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research/"/>
    </mc:Choice>
  </mc:AlternateContent>
  <xr:revisionPtr revIDLastSave="139" documentId="11_37F14C7EFB85D56DCC6ADBDB9538C843BDD58993" xr6:coauthVersionLast="47" xr6:coauthVersionMax="47" xr10:uidLastSave="{79F76EB4-9D33-4063-AB17-58EDDF0DF67C}"/>
  <bookViews>
    <workbookView xWindow="43080" yWindow="-120" windowWidth="38640" windowHeight="21120" activeTab="2" xr2:uid="{00000000-000D-0000-FFFF-FFFF00000000}"/>
  </bookViews>
  <sheets>
    <sheet name="관심종목" sheetId="1" r:id="rId1"/>
    <sheet name="금 시세" sheetId="7" r:id="rId2"/>
    <sheet name="리서치 보고서" sheetId="2" r:id="rId3"/>
    <sheet name="업종 정보" sheetId="3" r:id="rId4"/>
    <sheet name="미국 RSI" sheetId="4" r:id="rId5"/>
    <sheet name="한국 RSI" sheetId="5" r:id="rId6"/>
    <sheet name="비교 차트" sheetId="6" r:id="rId7"/>
  </sheets>
  <definedNames>
    <definedName name="_xlnm._FilterDatabase" localSheetId="1" hidden="1">'금 시세'!$A$1:$K$1</definedName>
    <definedName name="_xlnm._FilterDatabase" localSheetId="2" hidden="1">'리서치 보고서'!$A$1:$L$15756</definedName>
    <definedName name="_xlnm._FilterDatabase" localSheetId="4" hidden="1">'미국 RSI'!$A$1:$L$1</definedName>
    <definedName name="_xlnm._FilterDatabase" localSheetId="5" hidden="1">'한국 RSI'!$A$1:$Y$1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6" i="2" l="1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N2" i="7"/>
  <c r="O2" i="7"/>
  <c r="N3" i="7"/>
  <c r="O3" i="7"/>
  <c r="N4" i="7"/>
  <c r="O4" i="7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N5" i="7"/>
  <c r="O5" i="7"/>
  <c r="N6" i="7"/>
  <c r="O6" i="7"/>
  <c r="N7" i="7"/>
  <c r="O7" i="7"/>
  <c r="N8" i="7"/>
  <c r="O8" i="7"/>
  <c r="N9" i="7"/>
  <c r="O9" i="7"/>
  <c r="N10" i="7"/>
  <c r="O10" i="7"/>
  <c r="N11" i="7"/>
  <c r="O11" i="7"/>
  <c r="N12" i="7"/>
  <c r="O12" i="7"/>
  <c r="N13" i="7"/>
  <c r="O13" i="7"/>
  <c r="N14" i="7"/>
  <c r="O14" i="7"/>
  <c r="N15" i="7"/>
  <c r="O15" i="7"/>
  <c r="N16" i="7"/>
  <c r="O16" i="7"/>
  <c r="N17" i="7"/>
  <c r="O17" i="7"/>
  <c r="N18" i="7"/>
  <c r="O18" i="7"/>
  <c r="N19" i="7"/>
  <c r="O19" i="7"/>
  <c r="N20" i="7"/>
  <c r="O20" i="7"/>
  <c r="N21" i="7"/>
  <c r="O21" i="7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173" i="2"/>
  <c r="J1172" i="2"/>
  <c r="J1171" i="2"/>
  <c r="J1170" i="2"/>
  <c r="J1169" i="2"/>
  <c r="J1168" i="2"/>
  <c r="J1167" i="2"/>
  <c r="J1166" i="2"/>
  <c r="J1165" i="2"/>
  <c r="J1164" i="2"/>
  <c r="J1163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N22" i="7"/>
  <c r="O22" i="7"/>
  <c r="N23" i="7"/>
  <c r="O23" i="7"/>
  <c r="N24" i="7"/>
  <c r="O24" i="7"/>
  <c r="N25" i="7"/>
  <c r="O25" i="7" s="1"/>
  <c r="N26" i="7"/>
  <c r="O26" i="7"/>
  <c r="N27" i="7"/>
  <c r="O27" i="7"/>
  <c r="N28" i="7"/>
  <c r="O28" i="7"/>
  <c r="N29" i="7"/>
  <c r="O29" i="7"/>
  <c r="N30" i="7"/>
  <c r="O30" i="7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69" i="2"/>
  <c r="J1368" i="2"/>
  <c r="J1367" i="2"/>
  <c r="J1366" i="2"/>
  <c r="J1365" i="2"/>
  <c r="J1364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87" i="2"/>
  <c r="J1686" i="2"/>
  <c r="J1685" i="2"/>
  <c r="J1684" i="2"/>
  <c r="J1683" i="2"/>
  <c r="J1682" i="2"/>
  <c r="J1681" i="2"/>
  <c r="J1680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N31" i="7"/>
  <c r="O31" i="7" s="1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N32" i="7"/>
  <c r="O32" i="7" s="1"/>
  <c r="N33" i="7"/>
  <c r="O33" i="7" s="1"/>
  <c r="N34" i="7"/>
  <c r="O34" i="7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N35" i="7"/>
  <c r="O35" i="7"/>
  <c r="N36" i="7"/>
  <c r="O36" i="7"/>
  <c r="N37" i="7"/>
  <c r="O37" i="7"/>
  <c r="N38" i="7"/>
  <c r="O38" i="7" s="1"/>
  <c r="N39" i="7"/>
  <c r="O39" i="7" s="1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928" i="2"/>
  <c r="J1927" i="2"/>
  <c r="J1926" i="2"/>
  <c r="J1925" i="2"/>
  <c r="J1924" i="2"/>
  <c r="J1923" i="2"/>
  <c r="J1922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N40" i="7"/>
  <c r="N41" i="7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2008" i="2"/>
  <c r="J2007" i="2"/>
  <c r="J2006" i="2"/>
  <c r="J2005" i="2"/>
  <c r="J2004" i="2"/>
  <c r="J2003" i="2"/>
  <c r="J2002" i="2"/>
  <c r="J2001" i="2"/>
  <c r="J2000" i="2"/>
  <c r="J2013" i="2"/>
  <c r="J2012" i="2"/>
  <c r="J2011" i="2"/>
  <c r="J2010" i="2"/>
  <c r="J2009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N42" i="7"/>
  <c r="N43" i="7"/>
  <c r="N44" i="7"/>
  <c r="O44" i="7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N1857" i="7"/>
  <c r="N1856" i="7"/>
  <c r="N1855" i="7"/>
  <c r="N1854" i="7"/>
  <c r="N1853" i="7"/>
  <c r="N1852" i="7"/>
  <c r="N1851" i="7"/>
  <c r="N1850" i="7"/>
  <c r="N1849" i="7"/>
  <c r="N1848" i="7"/>
  <c r="N1847" i="7"/>
  <c r="N1846" i="7"/>
  <c r="N1845" i="7"/>
  <c r="N1844" i="7"/>
  <c r="N1843" i="7"/>
  <c r="N1842" i="7"/>
  <c r="N1841" i="7"/>
  <c r="N1840" i="7"/>
  <c r="N1839" i="7"/>
  <c r="N1838" i="7"/>
  <c r="N1837" i="7"/>
  <c r="N1836" i="7"/>
  <c r="N1835" i="7"/>
  <c r="N1834" i="7"/>
  <c r="N1833" i="7"/>
  <c r="N1832" i="7"/>
  <c r="N1831" i="7"/>
  <c r="N1830" i="7"/>
  <c r="N1829" i="7"/>
  <c r="N1828" i="7"/>
  <c r="N1827" i="7"/>
  <c r="N1826" i="7"/>
  <c r="N1825" i="7"/>
  <c r="N1824" i="7"/>
  <c r="N1823" i="7"/>
  <c r="N1822" i="7"/>
  <c r="N1821" i="7"/>
  <c r="N1820" i="7"/>
  <c r="N1819" i="7"/>
  <c r="N1818" i="7"/>
  <c r="N1817" i="7"/>
  <c r="N1816" i="7"/>
  <c r="N1815" i="7"/>
  <c r="N1814" i="7"/>
  <c r="N1813" i="7"/>
  <c r="N1812" i="7"/>
  <c r="N1811" i="7"/>
  <c r="N1810" i="7"/>
  <c r="N1809" i="7"/>
  <c r="N1808" i="7"/>
  <c r="N1807" i="7"/>
  <c r="N1806" i="7"/>
  <c r="N1805" i="7"/>
  <c r="N1804" i="7"/>
  <c r="N1803" i="7"/>
  <c r="N1802" i="7"/>
  <c r="N1801" i="7"/>
  <c r="N1800" i="7"/>
  <c r="N1799" i="7"/>
  <c r="N1798" i="7"/>
  <c r="N1797" i="7"/>
  <c r="N1796" i="7"/>
  <c r="N1795" i="7"/>
  <c r="N1794" i="7"/>
  <c r="N1793" i="7"/>
  <c r="N1792" i="7"/>
  <c r="N1791" i="7"/>
  <c r="N1790" i="7"/>
  <c r="N1789" i="7"/>
  <c r="N1788" i="7"/>
  <c r="N1787" i="7"/>
  <c r="N1786" i="7"/>
  <c r="N1785" i="7"/>
  <c r="N1784" i="7"/>
  <c r="N1783" i="7"/>
  <c r="N1782" i="7"/>
  <c r="N1781" i="7"/>
  <c r="N1780" i="7"/>
  <c r="N1779" i="7"/>
  <c r="N1778" i="7"/>
  <c r="N1777" i="7"/>
  <c r="N1776" i="7"/>
  <c r="N1775" i="7"/>
  <c r="N1774" i="7"/>
  <c r="N1773" i="7"/>
  <c r="N1772" i="7"/>
  <c r="N1771" i="7"/>
  <c r="N1770" i="7"/>
  <c r="N1769" i="7"/>
  <c r="N1768" i="7"/>
  <c r="N1767" i="7"/>
  <c r="N1766" i="7"/>
  <c r="N1765" i="7"/>
  <c r="N1764" i="7"/>
  <c r="N1763" i="7"/>
  <c r="N1762" i="7"/>
  <c r="N1761" i="7"/>
  <c r="N1760" i="7"/>
  <c r="N1759" i="7"/>
  <c r="N1758" i="7"/>
  <c r="N1757" i="7"/>
  <c r="N1756" i="7"/>
  <c r="N1755" i="7"/>
  <c r="N1754" i="7"/>
  <c r="N1753" i="7"/>
  <c r="N1752" i="7"/>
  <c r="N1751" i="7"/>
  <c r="N1750" i="7"/>
  <c r="N1749" i="7"/>
  <c r="N1748" i="7"/>
  <c r="N1747" i="7"/>
  <c r="N1746" i="7"/>
  <c r="N1745" i="7"/>
  <c r="N1744" i="7"/>
  <c r="N1743" i="7"/>
  <c r="N1742" i="7"/>
  <c r="N1741" i="7"/>
  <c r="N1740" i="7"/>
  <c r="N1739" i="7"/>
  <c r="N1738" i="7"/>
  <c r="N1737" i="7"/>
  <c r="N1736" i="7"/>
  <c r="N1735" i="7"/>
  <c r="N1734" i="7"/>
  <c r="N1733" i="7"/>
  <c r="N1732" i="7"/>
  <c r="N1731" i="7"/>
  <c r="N1730" i="7"/>
  <c r="N1729" i="7"/>
  <c r="N1728" i="7"/>
  <c r="N1727" i="7"/>
  <c r="N1726" i="7"/>
  <c r="N1725" i="7"/>
  <c r="N1724" i="7"/>
  <c r="N1723" i="7"/>
  <c r="N1722" i="7"/>
  <c r="N1721" i="7"/>
  <c r="N1720" i="7"/>
  <c r="N1719" i="7"/>
  <c r="N1718" i="7"/>
  <c r="N1717" i="7"/>
  <c r="N1716" i="7"/>
  <c r="N1715" i="7"/>
  <c r="N1714" i="7"/>
  <c r="N1713" i="7"/>
  <c r="N1712" i="7"/>
  <c r="N1711" i="7"/>
  <c r="N1710" i="7"/>
  <c r="N1709" i="7"/>
  <c r="N1708" i="7"/>
  <c r="N1707" i="7"/>
  <c r="N1706" i="7"/>
  <c r="N1705" i="7"/>
  <c r="N1704" i="7"/>
  <c r="N1703" i="7"/>
  <c r="N1702" i="7"/>
  <c r="N1701" i="7"/>
  <c r="N1700" i="7"/>
  <c r="N1699" i="7"/>
  <c r="N1698" i="7"/>
  <c r="N1697" i="7"/>
  <c r="N1696" i="7"/>
  <c r="N1695" i="7"/>
  <c r="N1694" i="7"/>
  <c r="N1693" i="7"/>
  <c r="N1692" i="7"/>
  <c r="N1691" i="7"/>
  <c r="N1690" i="7"/>
  <c r="N1689" i="7"/>
  <c r="N1688" i="7"/>
  <c r="N1687" i="7"/>
  <c r="N1686" i="7"/>
  <c r="N1685" i="7"/>
  <c r="N1684" i="7"/>
  <c r="N1683" i="7"/>
  <c r="N1682" i="7"/>
  <c r="N1681" i="7"/>
  <c r="N1680" i="7"/>
  <c r="N1679" i="7"/>
  <c r="N1678" i="7"/>
  <c r="N1677" i="7"/>
  <c r="N1676" i="7"/>
  <c r="N1675" i="7"/>
  <c r="N1674" i="7"/>
  <c r="N1673" i="7"/>
  <c r="N1672" i="7"/>
  <c r="N1671" i="7"/>
  <c r="N1670" i="7"/>
  <c r="N1669" i="7"/>
  <c r="N1668" i="7"/>
  <c r="N1667" i="7"/>
  <c r="N1666" i="7"/>
  <c r="N1665" i="7"/>
  <c r="N1664" i="7"/>
  <c r="N1663" i="7"/>
  <c r="N1662" i="7"/>
  <c r="N1661" i="7"/>
  <c r="N1660" i="7"/>
  <c r="N1659" i="7"/>
  <c r="N1658" i="7"/>
  <c r="N1657" i="7"/>
  <c r="N1656" i="7"/>
  <c r="N1655" i="7"/>
  <c r="N1654" i="7"/>
  <c r="N1653" i="7"/>
  <c r="N1652" i="7"/>
  <c r="N1651" i="7"/>
  <c r="N1650" i="7"/>
  <c r="N1649" i="7"/>
  <c r="N1648" i="7"/>
  <c r="N1647" i="7"/>
  <c r="N1646" i="7"/>
  <c r="N1645" i="7"/>
  <c r="N1644" i="7"/>
  <c r="N1643" i="7"/>
  <c r="N1642" i="7"/>
  <c r="N1641" i="7"/>
  <c r="N1640" i="7"/>
  <c r="N1639" i="7"/>
  <c r="N1638" i="7"/>
  <c r="N1637" i="7"/>
  <c r="N1636" i="7"/>
  <c r="N1635" i="7"/>
  <c r="N1634" i="7"/>
  <c r="N1633" i="7"/>
  <c r="N1632" i="7"/>
  <c r="N1631" i="7"/>
  <c r="N1630" i="7"/>
  <c r="N1629" i="7"/>
  <c r="N1628" i="7"/>
  <c r="N1627" i="7"/>
  <c r="N1626" i="7"/>
  <c r="N1625" i="7"/>
  <c r="N1624" i="7"/>
  <c r="N1623" i="7"/>
  <c r="N1622" i="7"/>
  <c r="N1621" i="7"/>
  <c r="N1620" i="7"/>
  <c r="N1619" i="7"/>
  <c r="N1618" i="7"/>
  <c r="N1617" i="7"/>
  <c r="N1616" i="7"/>
  <c r="N1615" i="7"/>
  <c r="N1614" i="7"/>
  <c r="N1613" i="7"/>
  <c r="N1612" i="7"/>
  <c r="N1611" i="7"/>
  <c r="N1610" i="7"/>
  <c r="N1609" i="7"/>
  <c r="N1608" i="7"/>
  <c r="N1607" i="7"/>
  <c r="N1606" i="7"/>
  <c r="N1605" i="7"/>
  <c r="N1604" i="7"/>
  <c r="N1603" i="7"/>
  <c r="N1602" i="7"/>
  <c r="N1601" i="7"/>
  <c r="N1600" i="7"/>
  <c r="N1599" i="7"/>
  <c r="N1598" i="7"/>
  <c r="N1597" i="7"/>
  <c r="N1596" i="7"/>
  <c r="N1595" i="7"/>
  <c r="N1594" i="7"/>
  <c r="N1593" i="7"/>
  <c r="N1592" i="7"/>
  <c r="N1591" i="7"/>
  <c r="N1590" i="7"/>
  <c r="N1589" i="7"/>
  <c r="N1588" i="7"/>
  <c r="N1587" i="7"/>
  <c r="N1586" i="7"/>
  <c r="N1585" i="7"/>
  <c r="N1584" i="7"/>
  <c r="N1583" i="7"/>
  <c r="N1582" i="7"/>
  <c r="N1581" i="7"/>
  <c r="N1580" i="7"/>
  <c r="N1579" i="7"/>
  <c r="N1578" i="7"/>
  <c r="N1577" i="7"/>
  <c r="N1576" i="7"/>
  <c r="N1575" i="7"/>
  <c r="N1574" i="7"/>
  <c r="N1573" i="7"/>
  <c r="N1572" i="7"/>
  <c r="N1571" i="7"/>
  <c r="N1570" i="7"/>
  <c r="N1569" i="7"/>
  <c r="N1568" i="7"/>
  <c r="N1567" i="7"/>
  <c r="N1566" i="7"/>
  <c r="N1565" i="7"/>
  <c r="N1564" i="7"/>
  <c r="N1563" i="7"/>
  <c r="N1562" i="7"/>
  <c r="N1561" i="7"/>
  <c r="N1560" i="7"/>
  <c r="N1559" i="7"/>
  <c r="N1558" i="7"/>
  <c r="N1557" i="7"/>
  <c r="N1556" i="7"/>
  <c r="N1555" i="7"/>
  <c r="N1554" i="7"/>
  <c r="N1553" i="7"/>
  <c r="N1552" i="7"/>
  <c r="N1551" i="7"/>
  <c r="N1550" i="7"/>
  <c r="N1549" i="7"/>
  <c r="N1548" i="7"/>
  <c r="N1547" i="7"/>
  <c r="N1546" i="7"/>
  <c r="N1545" i="7"/>
  <c r="N1544" i="7"/>
  <c r="N1543" i="7"/>
  <c r="N1542" i="7"/>
  <c r="N1541" i="7"/>
  <c r="N1540" i="7"/>
  <c r="N1539" i="7"/>
  <c r="N1538" i="7"/>
  <c r="N1537" i="7"/>
  <c r="N1536" i="7"/>
  <c r="N1535" i="7"/>
  <c r="N1534" i="7"/>
  <c r="N1533" i="7"/>
  <c r="N1532" i="7"/>
  <c r="N1531" i="7"/>
  <c r="N1530" i="7"/>
  <c r="N1529" i="7"/>
  <c r="N1528" i="7"/>
  <c r="N1527" i="7"/>
  <c r="N1526" i="7"/>
  <c r="N1525" i="7"/>
  <c r="N1524" i="7"/>
  <c r="N1523" i="7"/>
  <c r="N1522" i="7"/>
  <c r="N1521" i="7"/>
  <c r="N1520" i="7"/>
  <c r="N1519" i="7"/>
  <c r="N1518" i="7"/>
  <c r="N1517" i="7"/>
  <c r="N1516" i="7"/>
  <c r="N1515" i="7"/>
  <c r="N1514" i="7"/>
  <c r="N1513" i="7"/>
  <c r="N1512" i="7"/>
  <c r="N1511" i="7"/>
  <c r="N1510" i="7"/>
  <c r="N1509" i="7"/>
  <c r="N1508" i="7"/>
  <c r="N1507" i="7"/>
  <c r="N1506" i="7"/>
  <c r="N1505" i="7"/>
  <c r="N1504" i="7"/>
  <c r="N1503" i="7"/>
  <c r="N1502" i="7"/>
  <c r="N1501" i="7"/>
  <c r="N1500" i="7"/>
  <c r="N1499" i="7"/>
  <c r="N1498" i="7"/>
  <c r="N1497" i="7"/>
  <c r="N1496" i="7"/>
  <c r="N1495" i="7"/>
  <c r="N1494" i="7"/>
  <c r="N1493" i="7"/>
  <c r="N1492" i="7"/>
  <c r="N1491" i="7"/>
  <c r="N1490" i="7"/>
  <c r="N1489" i="7"/>
  <c r="N1488" i="7"/>
  <c r="N1487" i="7"/>
  <c r="N1486" i="7"/>
  <c r="N1485" i="7"/>
  <c r="N1484" i="7"/>
  <c r="N1483" i="7"/>
  <c r="N1482" i="7"/>
  <c r="N1481" i="7"/>
  <c r="N1480" i="7"/>
  <c r="N1479" i="7"/>
  <c r="N1478" i="7"/>
  <c r="N1477" i="7"/>
  <c r="N1476" i="7"/>
  <c r="N1475" i="7"/>
  <c r="N1474" i="7"/>
  <c r="N1473" i="7"/>
  <c r="N1472" i="7"/>
  <c r="N1471" i="7"/>
  <c r="N1470" i="7"/>
  <c r="N1469" i="7"/>
  <c r="N1468" i="7"/>
  <c r="N1467" i="7"/>
  <c r="N1466" i="7"/>
  <c r="N1465" i="7"/>
  <c r="N1464" i="7"/>
  <c r="N1463" i="7"/>
  <c r="N1462" i="7"/>
  <c r="N1461" i="7"/>
  <c r="N1460" i="7"/>
  <c r="N1459" i="7"/>
  <c r="N1458" i="7"/>
  <c r="N1457" i="7"/>
  <c r="N1456" i="7"/>
  <c r="N1455" i="7"/>
  <c r="N1454" i="7"/>
  <c r="N1453" i="7"/>
  <c r="N1452" i="7"/>
  <c r="N1451" i="7"/>
  <c r="N1450" i="7"/>
  <c r="N1449" i="7"/>
  <c r="N1448" i="7"/>
  <c r="N1447" i="7"/>
  <c r="N1446" i="7"/>
  <c r="N1445" i="7"/>
  <c r="N1444" i="7"/>
  <c r="N1443" i="7"/>
  <c r="N1442" i="7"/>
  <c r="N1441" i="7"/>
  <c r="N1440" i="7"/>
  <c r="N1439" i="7"/>
  <c r="N1438" i="7"/>
  <c r="N1437" i="7"/>
  <c r="N1436" i="7"/>
  <c r="N1435" i="7"/>
  <c r="N1434" i="7"/>
  <c r="N1433" i="7"/>
  <c r="N1432" i="7"/>
  <c r="N1431" i="7"/>
  <c r="N1430" i="7"/>
  <c r="N1429" i="7"/>
  <c r="N1428" i="7"/>
  <c r="N1427" i="7"/>
  <c r="N1426" i="7"/>
  <c r="N1425" i="7"/>
  <c r="N1424" i="7"/>
  <c r="N1423" i="7"/>
  <c r="N1422" i="7"/>
  <c r="N1421" i="7"/>
  <c r="N1420" i="7"/>
  <c r="N1419" i="7"/>
  <c r="N1418" i="7"/>
  <c r="N1417" i="7"/>
  <c r="N1416" i="7"/>
  <c r="N1415" i="7"/>
  <c r="N1414" i="7"/>
  <c r="N1413" i="7"/>
  <c r="N1412" i="7"/>
  <c r="N1411" i="7"/>
  <c r="N1410" i="7"/>
  <c r="N1409" i="7"/>
  <c r="N1408" i="7"/>
  <c r="N1407" i="7"/>
  <c r="N1406" i="7"/>
  <c r="N1405" i="7"/>
  <c r="N1404" i="7"/>
  <c r="N1403" i="7"/>
  <c r="N1402" i="7"/>
  <c r="N1401" i="7"/>
  <c r="N1400" i="7"/>
  <c r="N1399" i="7"/>
  <c r="N1398" i="7"/>
  <c r="N1397" i="7"/>
  <c r="N1396" i="7"/>
  <c r="N1395" i="7"/>
  <c r="N1394" i="7"/>
  <c r="N1393" i="7"/>
  <c r="N1392" i="7"/>
  <c r="N1391" i="7"/>
  <c r="N1390" i="7"/>
  <c r="N1389" i="7"/>
  <c r="N1388" i="7"/>
  <c r="N1387" i="7"/>
  <c r="N1386" i="7"/>
  <c r="N1385" i="7"/>
  <c r="N1384" i="7"/>
  <c r="N1383" i="7"/>
  <c r="N1382" i="7"/>
  <c r="N1381" i="7"/>
  <c r="N1380" i="7"/>
  <c r="N1379" i="7"/>
  <c r="N1378" i="7"/>
  <c r="N1377" i="7"/>
  <c r="N1376" i="7"/>
  <c r="N1375" i="7"/>
  <c r="N1374" i="7"/>
  <c r="N1373" i="7"/>
  <c r="N1372" i="7"/>
  <c r="N1371" i="7"/>
  <c r="N1370" i="7"/>
  <c r="N1369" i="7"/>
  <c r="N1368" i="7"/>
  <c r="N1367" i="7"/>
  <c r="N1366" i="7"/>
  <c r="N1365" i="7"/>
  <c r="N1364" i="7"/>
  <c r="N1363" i="7"/>
  <c r="N1362" i="7"/>
  <c r="N1361" i="7"/>
  <c r="N1360" i="7"/>
  <c r="N1359" i="7"/>
  <c r="N1358" i="7"/>
  <c r="N1357" i="7"/>
  <c r="N1356" i="7"/>
  <c r="N1355" i="7"/>
  <c r="N1354" i="7"/>
  <c r="N1353" i="7"/>
  <c r="N1352" i="7"/>
  <c r="N1351" i="7"/>
  <c r="N1350" i="7"/>
  <c r="N1349" i="7"/>
  <c r="N1348" i="7"/>
  <c r="N1347" i="7"/>
  <c r="N1346" i="7"/>
  <c r="N1345" i="7"/>
  <c r="N1344" i="7"/>
  <c r="N1343" i="7"/>
  <c r="N1342" i="7"/>
  <c r="N1341" i="7"/>
  <c r="N1340" i="7"/>
  <c r="N1339" i="7"/>
  <c r="N1338" i="7"/>
  <c r="N1337" i="7"/>
  <c r="N1336" i="7"/>
  <c r="N1335" i="7"/>
  <c r="N1334" i="7"/>
  <c r="N1333" i="7"/>
  <c r="N1332" i="7"/>
  <c r="N1331" i="7"/>
  <c r="N1330" i="7"/>
  <c r="N1329" i="7"/>
  <c r="N1328" i="7"/>
  <c r="N1327" i="7"/>
  <c r="N1326" i="7"/>
  <c r="N1325" i="7"/>
  <c r="N1324" i="7"/>
  <c r="N1323" i="7"/>
  <c r="N1322" i="7"/>
  <c r="N1321" i="7"/>
  <c r="N1320" i="7"/>
  <c r="N1319" i="7"/>
  <c r="N1318" i="7"/>
  <c r="N1317" i="7"/>
  <c r="N1316" i="7"/>
  <c r="N1315" i="7"/>
  <c r="N1314" i="7"/>
  <c r="N1313" i="7"/>
  <c r="N1312" i="7"/>
  <c r="N1311" i="7"/>
  <c r="N1310" i="7"/>
  <c r="N1309" i="7"/>
  <c r="N1308" i="7"/>
  <c r="N1307" i="7"/>
  <c r="N1306" i="7"/>
  <c r="N1305" i="7"/>
  <c r="N1304" i="7"/>
  <c r="N1303" i="7"/>
  <c r="N1302" i="7"/>
  <c r="N1301" i="7"/>
  <c r="N1300" i="7"/>
  <c r="N1299" i="7"/>
  <c r="N1298" i="7"/>
  <c r="N1297" i="7"/>
  <c r="N1296" i="7"/>
  <c r="N1295" i="7"/>
  <c r="N1294" i="7"/>
  <c r="N1293" i="7"/>
  <c r="N1292" i="7"/>
  <c r="N1291" i="7"/>
  <c r="N1290" i="7"/>
  <c r="N1289" i="7"/>
  <c r="N1288" i="7"/>
  <c r="N1287" i="7"/>
  <c r="N1286" i="7"/>
  <c r="N1285" i="7"/>
  <c r="N1284" i="7"/>
  <c r="N1283" i="7"/>
  <c r="N1282" i="7"/>
  <c r="N1281" i="7"/>
  <c r="N1280" i="7"/>
  <c r="N1279" i="7"/>
  <c r="N1278" i="7"/>
  <c r="N1277" i="7"/>
  <c r="N1276" i="7"/>
  <c r="N1275" i="7"/>
  <c r="N1274" i="7"/>
  <c r="N1273" i="7"/>
  <c r="N1272" i="7"/>
  <c r="N1271" i="7"/>
  <c r="N1270" i="7"/>
  <c r="N1269" i="7"/>
  <c r="N1268" i="7"/>
  <c r="N1267" i="7"/>
  <c r="N1266" i="7"/>
  <c r="N1265" i="7"/>
  <c r="N1264" i="7"/>
  <c r="N1263" i="7"/>
  <c r="N1262" i="7"/>
  <c r="N1261" i="7"/>
  <c r="N1260" i="7"/>
  <c r="N1259" i="7"/>
  <c r="N1258" i="7"/>
  <c r="N1257" i="7"/>
  <c r="N1256" i="7"/>
  <c r="N1255" i="7"/>
  <c r="N1254" i="7"/>
  <c r="N1253" i="7"/>
  <c r="N1252" i="7"/>
  <c r="N1251" i="7"/>
  <c r="N1250" i="7"/>
  <c r="N1249" i="7"/>
  <c r="N1248" i="7"/>
  <c r="N1247" i="7"/>
  <c r="N1246" i="7"/>
  <c r="N1245" i="7"/>
  <c r="N1244" i="7"/>
  <c r="N1243" i="7"/>
  <c r="N1242" i="7"/>
  <c r="N1241" i="7"/>
  <c r="N1240" i="7"/>
  <c r="N1239" i="7"/>
  <c r="N1238" i="7"/>
  <c r="N1237" i="7"/>
  <c r="N1236" i="7"/>
  <c r="N1235" i="7"/>
  <c r="N1234" i="7"/>
  <c r="N1233" i="7"/>
  <c r="N1232" i="7"/>
  <c r="N1231" i="7"/>
  <c r="N1230" i="7"/>
  <c r="N1229" i="7"/>
  <c r="N1228" i="7"/>
  <c r="N1227" i="7"/>
  <c r="N1226" i="7"/>
  <c r="N1225" i="7"/>
  <c r="N1224" i="7"/>
  <c r="N1223" i="7"/>
  <c r="N1222" i="7"/>
  <c r="N1221" i="7"/>
  <c r="N1220" i="7"/>
  <c r="N1219" i="7"/>
  <c r="N1218" i="7"/>
  <c r="N1217" i="7"/>
  <c r="N1216" i="7"/>
  <c r="N1215" i="7"/>
  <c r="N1214" i="7"/>
  <c r="N1213" i="7"/>
  <c r="N1212" i="7"/>
  <c r="N1211" i="7"/>
  <c r="N1210" i="7"/>
  <c r="N1209" i="7"/>
  <c r="N1208" i="7"/>
  <c r="N1207" i="7"/>
  <c r="N1206" i="7"/>
  <c r="N1205" i="7"/>
  <c r="N1204" i="7"/>
  <c r="N1203" i="7"/>
  <c r="N1202" i="7"/>
  <c r="N1201" i="7"/>
  <c r="N1200" i="7"/>
  <c r="N1199" i="7"/>
  <c r="N1198" i="7"/>
  <c r="N1197" i="7"/>
  <c r="N1196" i="7"/>
  <c r="N1195" i="7"/>
  <c r="N1194" i="7"/>
  <c r="N1193" i="7"/>
  <c r="N1192" i="7"/>
  <c r="N1191" i="7"/>
  <c r="N1190" i="7"/>
  <c r="N1189" i="7"/>
  <c r="N1188" i="7"/>
  <c r="N1187" i="7"/>
  <c r="N1186" i="7"/>
  <c r="N1185" i="7"/>
  <c r="N1184" i="7"/>
  <c r="N1183" i="7"/>
  <c r="N1182" i="7"/>
  <c r="N1181" i="7"/>
  <c r="N1180" i="7"/>
  <c r="N1179" i="7"/>
  <c r="N1178" i="7"/>
  <c r="N1177" i="7"/>
  <c r="N1176" i="7"/>
  <c r="N1175" i="7"/>
  <c r="N1174" i="7"/>
  <c r="N1173" i="7"/>
  <c r="N1172" i="7"/>
  <c r="N1171" i="7"/>
  <c r="N1170" i="7"/>
  <c r="N1169" i="7"/>
  <c r="N1168" i="7"/>
  <c r="N1167" i="7"/>
  <c r="N1166" i="7"/>
  <c r="N1165" i="7"/>
  <c r="N1164" i="7"/>
  <c r="N1163" i="7"/>
  <c r="N1162" i="7"/>
  <c r="N1161" i="7"/>
  <c r="N1160" i="7"/>
  <c r="N1159" i="7"/>
  <c r="N1158" i="7"/>
  <c r="N1157" i="7"/>
  <c r="N1156" i="7"/>
  <c r="N1155" i="7"/>
  <c r="N1154" i="7"/>
  <c r="N1153" i="7"/>
  <c r="N1152" i="7"/>
  <c r="N1151" i="7"/>
  <c r="N1150" i="7"/>
  <c r="N1149" i="7"/>
  <c r="N1148" i="7"/>
  <c r="N1147" i="7"/>
  <c r="N1146" i="7"/>
  <c r="N1145" i="7"/>
  <c r="N1144" i="7"/>
  <c r="N1143" i="7"/>
  <c r="N1142" i="7"/>
  <c r="N1141" i="7"/>
  <c r="N1140" i="7"/>
  <c r="N1139" i="7"/>
  <c r="N1138" i="7"/>
  <c r="N1137" i="7"/>
  <c r="N1136" i="7"/>
  <c r="N1135" i="7"/>
  <c r="N1134" i="7"/>
  <c r="N1133" i="7"/>
  <c r="N1132" i="7"/>
  <c r="N1131" i="7"/>
  <c r="N1130" i="7"/>
  <c r="N1129" i="7"/>
  <c r="N1128" i="7"/>
  <c r="N1127" i="7"/>
  <c r="N1126" i="7"/>
  <c r="N1125" i="7"/>
  <c r="N1124" i="7"/>
  <c r="N1123" i="7"/>
  <c r="N1122" i="7"/>
  <c r="N1121" i="7"/>
  <c r="N1120" i="7"/>
  <c r="N1119" i="7"/>
  <c r="N1118" i="7"/>
  <c r="N1117" i="7"/>
  <c r="N1116" i="7"/>
  <c r="N1115" i="7"/>
  <c r="N1114" i="7"/>
  <c r="N1113" i="7"/>
  <c r="N1112" i="7"/>
  <c r="N1111" i="7"/>
  <c r="N1110" i="7"/>
  <c r="N1109" i="7"/>
  <c r="N1108" i="7"/>
  <c r="N1107" i="7"/>
  <c r="N1106" i="7"/>
  <c r="N1105" i="7"/>
  <c r="N1104" i="7"/>
  <c r="N1103" i="7"/>
  <c r="N1102" i="7"/>
  <c r="N1101" i="7"/>
  <c r="N1100" i="7"/>
  <c r="N1099" i="7"/>
  <c r="N1098" i="7"/>
  <c r="N1097" i="7"/>
  <c r="N1096" i="7"/>
  <c r="N1095" i="7"/>
  <c r="N1094" i="7"/>
  <c r="N1093" i="7"/>
  <c r="N1092" i="7"/>
  <c r="N1091" i="7"/>
  <c r="N1090" i="7"/>
  <c r="N1089" i="7"/>
  <c r="N1088" i="7"/>
  <c r="N1087" i="7"/>
  <c r="N1086" i="7"/>
  <c r="N1085" i="7"/>
  <c r="N1084" i="7"/>
  <c r="N1083" i="7"/>
  <c r="N1082" i="7"/>
  <c r="N1081" i="7"/>
  <c r="N1080" i="7"/>
  <c r="N1079" i="7"/>
  <c r="N1078" i="7"/>
  <c r="N1077" i="7"/>
  <c r="N1076" i="7"/>
  <c r="N1075" i="7"/>
  <c r="N1074" i="7"/>
  <c r="N1073" i="7"/>
  <c r="N1072" i="7"/>
  <c r="N1071" i="7"/>
  <c r="N1070" i="7"/>
  <c r="N1069" i="7"/>
  <c r="N1068" i="7"/>
  <c r="N1067" i="7"/>
  <c r="N1066" i="7"/>
  <c r="N1065" i="7"/>
  <c r="N1064" i="7"/>
  <c r="N1063" i="7"/>
  <c r="N1062" i="7"/>
  <c r="N1061" i="7"/>
  <c r="N1060" i="7"/>
  <c r="N1059" i="7"/>
  <c r="N1058" i="7"/>
  <c r="N1057" i="7"/>
  <c r="N1056" i="7"/>
  <c r="N1055" i="7"/>
  <c r="N1054" i="7"/>
  <c r="N1053" i="7"/>
  <c r="N1052" i="7"/>
  <c r="N1051" i="7"/>
  <c r="N1050" i="7"/>
  <c r="N1049" i="7"/>
  <c r="N1048" i="7"/>
  <c r="N1047" i="7"/>
  <c r="N1046" i="7"/>
  <c r="N1045" i="7"/>
  <c r="N1044" i="7"/>
  <c r="N1043" i="7"/>
  <c r="N1042" i="7"/>
  <c r="N1041" i="7"/>
  <c r="N1040" i="7"/>
  <c r="N1039" i="7"/>
  <c r="N1038" i="7"/>
  <c r="N1037" i="7"/>
  <c r="N1036" i="7"/>
  <c r="N1035" i="7"/>
  <c r="N1034" i="7"/>
  <c r="N1033" i="7"/>
  <c r="N1032" i="7"/>
  <c r="N1031" i="7"/>
  <c r="N1030" i="7"/>
  <c r="N1029" i="7"/>
  <c r="N1028" i="7"/>
  <c r="N1027" i="7"/>
  <c r="N1026" i="7"/>
  <c r="N1025" i="7"/>
  <c r="N1024" i="7"/>
  <c r="N1023" i="7"/>
  <c r="N1022" i="7"/>
  <c r="N1021" i="7"/>
  <c r="N1020" i="7"/>
  <c r="N1019" i="7"/>
  <c r="N1018" i="7"/>
  <c r="N1017" i="7"/>
  <c r="N1016" i="7"/>
  <c r="N1015" i="7"/>
  <c r="N1014" i="7"/>
  <c r="N1013" i="7"/>
  <c r="N1012" i="7"/>
  <c r="N1011" i="7"/>
  <c r="N1010" i="7"/>
  <c r="N1009" i="7"/>
  <c r="N1008" i="7"/>
  <c r="N1007" i="7"/>
  <c r="N1006" i="7"/>
  <c r="N1005" i="7"/>
  <c r="N1004" i="7"/>
  <c r="N1003" i="7"/>
  <c r="N1002" i="7"/>
  <c r="N1001" i="7"/>
  <c r="N1000" i="7"/>
  <c r="N999" i="7"/>
  <c r="N998" i="7"/>
  <c r="N997" i="7"/>
  <c r="N996" i="7"/>
  <c r="N995" i="7"/>
  <c r="N994" i="7"/>
  <c r="N993" i="7"/>
  <c r="N992" i="7"/>
  <c r="N991" i="7"/>
  <c r="N990" i="7"/>
  <c r="N989" i="7"/>
  <c r="N988" i="7"/>
  <c r="N987" i="7"/>
  <c r="N986" i="7"/>
  <c r="N985" i="7"/>
  <c r="N984" i="7"/>
  <c r="N983" i="7"/>
  <c r="N982" i="7"/>
  <c r="N981" i="7"/>
  <c r="N980" i="7"/>
  <c r="N979" i="7"/>
  <c r="N978" i="7"/>
  <c r="N977" i="7"/>
  <c r="N976" i="7"/>
  <c r="N975" i="7"/>
  <c r="N974" i="7"/>
  <c r="N973" i="7"/>
  <c r="N972" i="7"/>
  <c r="N971" i="7"/>
  <c r="N970" i="7"/>
  <c r="N969" i="7"/>
  <c r="N968" i="7"/>
  <c r="N967" i="7"/>
  <c r="N966" i="7"/>
  <c r="N965" i="7"/>
  <c r="N964" i="7"/>
  <c r="N963" i="7"/>
  <c r="N962" i="7"/>
  <c r="N961" i="7"/>
  <c r="N960" i="7"/>
  <c r="N959" i="7"/>
  <c r="N958" i="7"/>
  <c r="N957" i="7"/>
  <c r="N956" i="7"/>
  <c r="N955" i="7"/>
  <c r="N954" i="7"/>
  <c r="N953" i="7"/>
  <c r="N952" i="7"/>
  <c r="N951" i="7"/>
  <c r="N950" i="7"/>
  <c r="N949" i="7"/>
  <c r="N948" i="7"/>
  <c r="N947" i="7"/>
  <c r="N946" i="7"/>
  <c r="N945" i="7"/>
  <c r="N944" i="7"/>
  <c r="N943" i="7"/>
  <c r="N942" i="7"/>
  <c r="N941" i="7"/>
  <c r="N940" i="7"/>
  <c r="N939" i="7"/>
  <c r="N938" i="7"/>
  <c r="N937" i="7"/>
  <c r="N936" i="7"/>
  <c r="N935" i="7"/>
  <c r="N934" i="7"/>
  <c r="N933" i="7"/>
  <c r="N932" i="7"/>
  <c r="N931" i="7"/>
  <c r="N930" i="7"/>
  <c r="N929" i="7"/>
  <c r="N928" i="7"/>
  <c r="N927" i="7"/>
  <c r="N926" i="7"/>
  <c r="N925" i="7"/>
  <c r="N924" i="7"/>
  <c r="N923" i="7"/>
  <c r="N922" i="7"/>
  <c r="N921" i="7"/>
  <c r="N920" i="7"/>
  <c r="N919" i="7"/>
  <c r="N918" i="7"/>
  <c r="N917" i="7"/>
  <c r="N916" i="7"/>
  <c r="N915" i="7"/>
  <c r="N914" i="7"/>
  <c r="N913" i="7"/>
  <c r="N912" i="7"/>
  <c r="N911" i="7"/>
  <c r="N910" i="7"/>
  <c r="N909" i="7"/>
  <c r="N908" i="7"/>
  <c r="N907" i="7"/>
  <c r="N906" i="7"/>
  <c r="N905" i="7"/>
  <c r="N904" i="7"/>
  <c r="N903" i="7"/>
  <c r="N902" i="7"/>
  <c r="N901" i="7"/>
  <c r="N900" i="7"/>
  <c r="N899" i="7"/>
  <c r="N898" i="7"/>
  <c r="N897" i="7"/>
  <c r="N896" i="7"/>
  <c r="N895" i="7"/>
  <c r="N894" i="7"/>
  <c r="N893" i="7"/>
  <c r="N892" i="7"/>
  <c r="N891" i="7"/>
  <c r="N890" i="7"/>
  <c r="N889" i="7"/>
  <c r="N888" i="7"/>
  <c r="N887" i="7"/>
  <c r="N886" i="7"/>
  <c r="N885" i="7"/>
  <c r="N884" i="7"/>
  <c r="N883" i="7"/>
  <c r="N882" i="7"/>
  <c r="N881" i="7"/>
  <c r="N880" i="7"/>
  <c r="N879" i="7"/>
  <c r="N878" i="7"/>
  <c r="N877" i="7"/>
  <c r="N876" i="7"/>
  <c r="N875" i="7"/>
  <c r="N874" i="7"/>
  <c r="N873" i="7"/>
  <c r="N872" i="7"/>
  <c r="N871" i="7"/>
  <c r="N870" i="7"/>
  <c r="N869" i="7"/>
  <c r="N868" i="7"/>
  <c r="N867" i="7"/>
  <c r="N866" i="7"/>
  <c r="N865" i="7"/>
  <c r="N864" i="7"/>
  <c r="N863" i="7"/>
  <c r="N862" i="7"/>
  <c r="N861" i="7"/>
  <c r="N860" i="7"/>
  <c r="N859" i="7"/>
  <c r="N858" i="7"/>
  <c r="N857" i="7"/>
  <c r="N856" i="7"/>
  <c r="N855" i="7"/>
  <c r="N854" i="7"/>
  <c r="N853" i="7"/>
  <c r="N852" i="7"/>
  <c r="N851" i="7"/>
  <c r="N850" i="7"/>
  <c r="N849" i="7"/>
  <c r="N848" i="7"/>
  <c r="N847" i="7"/>
  <c r="N846" i="7"/>
  <c r="N845" i="7"/>
  <c r="N844" i="7"/>
  <c r="N843" i="7"/>
  <c r="N842" i="7"/>
  <c r="N841" i="7"/>
  <c r="N840" i="7"/>
  <c r="N839" i="7"/>
  <c r="N838" i="7"/>
  <c r="N837" i="7"/>
  <c r="N836" i="7"/>
  <c r="N835" i="7"/>
  <c r="N834" i="7"/>
  <c r="N833" i="7"/>
  <c r="N832" i="7"/>
  <c r="N831" i="7"/>
  <c r="N830" i="7"/>
  <c r="N829" i="7"/>
  <c r="N828" i="7"/>
  <c r="N827" i="7"/>
  <c r="N826" i="7"/>
  <c r="N825" i="7"/>
  <c r="N824" i="7"/>
  <c r="N823" i="7"/>
  <c r="N822" i="7"/>
  <c r="N821" i="7"/>
  <c r="N820" i="7"/>
  <c r="N819" i="7"/>
  <c r="N818" i="7"/>
  <c r="N817" i="7"/>
  <c r="N816" i="7"/>
  <c r="N815" i="7"/>
  <c r="N814" i="7"/>
  <c r="N813" i="7"/>
  <c r="N812" i="7"/>
  <c r="N811" i="7"/>
  <c r="N810" i="7"/>
  <c r="N809" i="7"/>
  <c r="N808" i="7"/>
  <c r="N807" i="7"/>
  <c r="N806" i="7"/>
  <c r="N805" i="7"/>
  <c r="N804" i="7"/>
  <c r="N803" i="7"/>
  <c r="N802" i="7"/>
  <c r="N801" i="7"/>
  <c r="N800" i="7"/>
  <c r="N799" i="7"/>
  <c r="N798" i="7"/>
  <c r="N797" i="7"/>
  <c r="N796" i="7"/>
  <c r="N795" i="7"/>
  <c r="N794" i="7"/>
  <c r="N793" i="7"/>
  <c r="N792" i="7"/>
  <c r="N791" i="7"/>
  <c r="N790" i="7"/>
  <c r="N789" i="7"/>
  <c r="N788" i="7"/>
  <c r="N787" i="7"/>
  <c r="N786" i="7"/>
  <c r="N785" i="7"/>
  <c r="N784" i="7"/>
  <c r="N783" i="7"/>
  <c r="N782" i="7"/>
  <c r="N781" i="7"/>
  <c r="N780" i="7"/>
  <c r="N779" i="7"/>
  <c r="N778" i="7"/>
  <c r="N777" i="7"/>
  <c r="N776" i="7"/>
  <c r="N775" i="7"/>
  <c r="N774" i="7"/>
  <c r="N773" i="7"/>
  <c r="N772" i="7"/>
  <c r="N771" i="7"/>
  <c r="N770" i="7"/>
  <c r="N769" i="7"/>
  <c r="N768" i="7"/>
  <c r="N767" i="7"/>
  <c r="N766" i="7"/>
  <c r="N765" i="7"/>
  <c r="N764" i="7"/>
  <c r="N763" i="7"/>
  <c r="N762" i="7"/>
  <c r="N761" i="7"/>
  <c r="N760" i="7"/>
  <c r="N759" i="7"/>
  <c r="N758" i="7"/>
  <c r="N757" i="7"/>
  <c r="N756" i="7"/>
  <c r="N755" i="7"/>
  <c r="N754" i="7"/>
  <c r="N753" i="7"/>
  <c r="N752" i="7"/>
  <c r="N751" i="7"/>
  <c r="N750" i="7"/>
  <c r="N749" i="7"/>
  <c r="N748" i="7"/>
  <c r="N747" i="7"/>
  <c r="N746" i="7"/>
  <c r="N745" i="7"/>
  <c r="N744" i="7"/>
  <c r="N743" i="7"/>
  <c r="N742" i="7"/>
  <c r="N741" i="7"/>
  <c r="N740" i="7"/>
  <c r="N739" i="7"/>
  <c r="N738" i="7"/>
  <c r="N737" i="7"/>
  <c r="N736" i="7"/>
  <c r="N735" i="7"/>
  <c r="N734" i="7"/>
  <c r="N733" i="7"/>
  <c r="N732" i="7"/>
  <c r="N731" i="7"/>
  <c r="N730" i="7"/>
  <c r="N729" i="7"/>
  <c r="N728" i="7"/>
  <c r="N727" i="7"/>
  <c r="N726" i="7"/>
  <c r="N725" i="7"/>
  <c r="N724" i="7"/>
  <c r="N723" i="7"/>
  <c r="N722" i="7"/>
  <c r="N721" i="7"/>
  <c r="N720" i="7"/>
  <c r="N719" i="7"/>
  <c r="N718" i="7"/>
  <c r="N717" i="7"/>
  <c r="N716" i="7"/>
  <c r="N715" i="7"/>
  <c r="N714" i="7"/>
  <c r="N713" i="7"/>
  <c r="N712" i="7"/>
  <c r="N711" i="7"/>
  <c r="N710" i="7"/>
  <c r="N709" i="7"/>
  <c r="N708" i="7"/>
  <c r="N707" i="7"/>
  <c r="N706" i="7"/>
  <c r="N705" i="7"/>
  <c r="N704" i="7"/>
  <c r="N703" i="7"/>
  <c r="N702" i="7"/>
  <c r="N701" i="7"/>
  <c r="N700" i="7"/>
  <c r="N699" i="7"/>
  <c r="N698" i="7"/>
  <c r="N697" i="7"/>
  <c r="N696" i="7"/>
  <c r="N695" i="7"/>
  <c r="N694" i="7"/>
  <c r="N693" i="7"/>
  <c r="N692" i="7"/>
  <c r="N691" i="7"/>
  <c r="N690" i="7"/>
  <c r="N689" i="7"/>
  <c r="N688" i="7"/>
  <c r="N687" i="7"/>
  <c r="N686" i="7"/>
  <c r="N685" i="7"/>
  <c r="N684" i="7"/>
  <c r="N683" i="7"/>
  <c r="N682" i="7"/>
  <c r="N681" i="7"/>
  <c r="N680" i="7"/>
  <c r="N679" i="7"/>
  <c r="N678" i="7"/>
  <c r="N677" i="7"/>
  <c r="N676" i="7"/>
  <c r="N675" i="7"/>
  <c r="N674" i="7"/>
  <c r="N673" i="7"/>
  <c r="N672" i="7"/>
  <c r="N671" i="7"/>
  <c r="N670" i="7"/>
  <c r="N669" i="7"/>
  <c r="N668" i="7"/>
  <c r="N667" i="7"/>
  <c r="N666" i="7"/>
  <c r="N665" i="7"/>
  <c r="N664" i="7"/>
  <c r="N663" i="7"/>
  <c r="N662" i="7"/>
  <c r="N661" i="7"/>
  <c r="N660" i="7"/>
  <c r="N659" i="7"/>
  <c r="N658" i="7"/>
  <c r="N657" i="7"/>
  <c r="N656" i="7"/>
  <c r="N655" i="7"/>
  <c r="N654" i="7"/>
  <c r="N653" i="7"/>
  <c r="N652" i="7"/>
  <c r="N651" i="7"/>
  <c r="N650" i="7"/>
  <c r="N649" i="7"/>
  <c r="N648" i="7"/>
  <c r="N647" i="7"/>
  <c r="N646" i="7"/>
  <c r="N645" i="7"/>
  <c r="N644" i="7"/>
  <c r="N643" i="7"/>
  <c r="N642" i="7"/>
  <c r="N641" i="7"/>
  <c r="N640" i="7"/>
  <c r="N639" i="7"/>
  <c r="N638" i="7"/>
  <c r="N637" i="7"/>
  <c r="N636" i="7"/>
  <c r="N635" i="7"/>
  <c r="N634" i="7"/>
  <c r="N633" i="7"/>
  <c r="N632" i="7"/>
  <c r="N631" i="7"/>
  <c r="N630" i="7"/>
  <c r="N629" i="7"/>
  <c r="N628" i="7"/>
  <c r="N627" i="7"/>
  <c r="N626" i="7"/>
  <c r="N625" i="7"/>
  <c r="N624" i="7"/>
  <c r="N623" i="7"/>
  <c r="N622" i="7"/>
  <c r="N621" i="7"/>
  <c r="N620" i="7"/>
  <c r="N619" i="7"/>
  <c r="N618" i="7"/>
  <c r="N617" i="7"/>
  <c r="N616" i="7"/>
  <c r="N615" i="7"/>
  <c r="N614" i="7"/>
  <c r="N613" i="7"/>
  <c r="N612" i="7"/>
  <c r="N611" i="7"/>
  <c r="N610" i="7"/>
  <c r="N609" i="7"/>
  <c r="N608" i="7"/>
  <c r="N607" i="7"/>
  <c r="N606" i="7"/>
  <c r="N605" i="7"/>
  <c r="N604" i="7"/>
  <c r="N603" i="7"/>
  <c r="N602" i="7"/>
  <c r="N601" i="7"/>
  <c r="N600" i="7"/>
  <c r="N599" i="7"/>
  <c r="N598" i="7"/>
  <c r="N597" i="7"/>
  <c r="N596" i="7"/>
  <c r="N595" i="7"/>
  <c r="N594" i="7"/>
  <c r="N593" i="7"/>
  <c r="N592" i="7"/>
  <c r="N591" i="7"/>
  <c r="N590" i="7"/>
  <c r="N589" i="7"/>
  <c r="N588" i="7"/>
  <c r="N587" i="7"/>
  <c r="N586" i="7"/>
  <c r="N585" i="7"/>
  <c r="N584" i="7"/>
  <c r="N583" i="7"/>
  <c r="N582" i="7"/>
  <c r="N581" i="7"/>
  <c r="N580" i="7"/>
  <c r="N579" i="7"/>
  <c r="N578" i="7"/>
  <c r="N577" i="7"/>
  <c r="N576" i="7"/>
  <c r="N575" i="7"/>
  <c r="N574" i="7"/>
  <c r="N573" i="7"/>
  <c r="N572" i="7"/>
  <c r="N571" i="7"/>
  <c r="N570" i="7"/>
  <c r="N569" i="7"/>
  <c r="N568" i="7"/>
  <c r="N567" i="7"/>
  <c r="N566" i="7"/>
  <c r="N565" i="7"/>
  <c r="N564" i="7"/>
  <c r="N563" i="7"/>
  <c r="N562" i="7"/>
  <c r="N561" i="7"/>
  <c r="N560" i="7"/>
  <c r="N559" i="7"/>
  <c r="N558" i="7"/>
  <c r="N557" i="7"/>
  <c r="N556" i="7"/>
  <c r="N555" i="7"/>
  <c r="N554" i="7"/>
  <c r="N553" i="7"/>
  <c r="N552" i="7"/>
  <c r="N551" i="7"/>
  <c r="N550" i="7"/>
  <c r="N549" i="7"/>
  <c r="N548" i="7"/>
  <c r="N547" i="7"/>
  <c r="N546" i="7"/>
  <c r="N545" i="7"/>
  <c r="N544" i="7"/>
  <c r="N543" i="7"/>
  <c r="N542" i="7"/>
  <c r="N541" i="7"/>
  <c r="N540" i="7"/>
  <c r="N539" i="7"/>
  <c r="N538" i="7"/>
  <c r="N537" i="7"/>
  <c r="N536" i="7"/>
  <c r="N535" i="7"/>
  <c r="N534" i="7"/>
  <c r="N533" i="7"/>
  <c r="N532" i="7"/>
  <c r="N531" i="7"/>
  <c r="N530" i="7"/>
  <c r="N529" i="7"/>
  <c r="N528" i="7"/>
  <c r="N527" i="7"/>
  <c r="N526" i="7"/>
  <c r="N525" i="7"/>
  <c r="N524" i="7"/>
  <c r="N523" i="7"/>
  <c r="N522" i="7"/>
  <c r="N521" i="7"/>
  <c r="N520" i="7"/>
  <c r="N519" i="7"/>
  <c r="N518" i="7"/>
  <c r="N517" i="7"/>
  <c r="N516" i="7"/>
  <c r="N515" i="7"/>
  <c r="N514" i="7"/>
  <c r="N513" i="7"/>
  <c r="N512" i="7"/>
  <c r="N511" i="7"/>
  <c r="N510" i="7"/>
  <c r="N509" i="7"/>
  <c r="N508" i="7"/>
  <c r="N507" i="7"/>
  <c r="N506" i="7"/>
  <c r="N505" i="7"/>
  <c r="N504" i="7"/>
  <c r="N503" i="7"/>
  <c r="N502" i="7"/>
  <c r="N501" i="7"/>
  <c r="N500" i="7"/>
  <c r="N499" i="7"/>
  <c r="N498" i="7"/>
  <c r="N497" i="7"/>
  <c r="N496" i="7"/>
  <c r="N495" i="7"/>
  <c r="N494" i="7"/>
  <c r="N493" i="7"/>
  <c r="N492" i="7"/>
  <c r="N491" i="7"/>
  <c r="N490" i="7"/>
  <c r="N489" i="7"/>
  <c r="N488" i="7"/>
  <c r="N487" i="7"/>
  <c r="N486" i="7"/>
  <c r="N485" i="7"/>
  <c r="N484" i="7"/>
  <c r="N483" i="7"/>
  <c r="N482" i="7"/>
  <c r="N481" i="7"/>
  <c r="N480" i="7"/>
  <c r="N479" i="7"/>
  <c r="N478" i="7"/>
  <c r="N477" i="7"/>
  <c r="N476" i="7"/>
  <c r="N475" i="7"/>
  <c r="N474" i="7"/>
  <c r="N473" i="7"/>
  <c r="N472" i="7"/>
  <c r="N471" i="7"/>
  <c r="N470" i="7"/>
  <c r="N469" i="7"/>
  <c r="N468" i="7"/>
  <c r="N467" i="7"/>
  <c r="N466" i="7"/>
  <c r="N465" i="7"/>
  <c r="N464" i="7"/>
  <c r="N463" i="7"/>
  <c r="N462" i="7"/>
  <c r="N461" i="7"/>
  <c r="N460" i="7"/>
  <c r="N459" i="7"/>
  <c r="N458" i="7"/>
  <c r="N457" i="7"/>
  <c r="N456" i="7"/>
  <c r="N455" i="7"/>
  <c r="N454" i="7"/>
  <c r="N453" i="7"/>
  <c r="N452" i="7"/>
  <c r="N451" i="7"/>
  <c r="N450" i="7"/>
  <c r="N449" i="7"/>
  <c r="N448" i="7"/>
  <c r="N447" i="7"/>
  <c r="N446" i="7"/>
  <c r="N445" i="7"/>
  <c r="N444" i="7"/>
  <c r="N443" i="7"/>
  <c r="N442" i="7"/>
  <c r="N441" i="7"/>
  <c r="N440" i="7"/>
  <c r="N439" i="7"/>
  <c r="N438" i="7"/>
  <c r="N437" i="7"/>
  <c r="N436" i="7"/>
  <c r="N435" i="7"/>
  <c r="N434" i="7"/>
  <c r="N433" i="7"/>
  <c r="N432" i="7"/>
  <c r="N431" i="7"/>
  <c r="N430" i="7"/>
  <c r="N429" i="7"/>
  <c r="N428" i="7"/>
  <c r="N427" i="7"/>
  <c r="N426" i="7"/>
  <c r="N425" i="7"/>
  <c r="N424" i="7"/>
  <c r="N423" i="7"/>
  <c r="N422" i="7"/>
  <c r="N421" i="7"/>
  <c r="N420" i="7"/>
  <c r="N419" i="7"/>
  <c r="N418" i="7"/>
  <c r="N417" i="7"/>
  <c r="N416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7" i="7"/>
  <c r="N386" i="7"/>
  <c r="N385" i="7"/>
  <c r="N384" i="7"/>
  <c r="N383" i="7"/>
  <c r="N382" i="7"/>
  <c r="N381" i="7"/>
  <c r="N380" i="7"/>
  <c r="N379" i="7"/>
  <c r="N378" i="7"/>
  <c r="N377" i="7"/>
  <c r="N376" i="7"/>
  <c r="N375" i="7"/>
  <c r="N374" i="7"/>
  <c r="N373" i="7"/>
  <c r="N372" i="7"/>
  <c r="N371" i="7"/>
  <c r="N370" i="7"/>
  <c r="N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J15756" i="2"/>
  <c r="J15755" i="2"/>
  <c r="J15754" i="2"/>
  <c r="J15753" i="2"/>
  <c r="J15752" i="2"/>
  <c r="J15751" i="2"/>
  <c r="J15750" i="2"/>
  <c r="J15749" i="2"/>
  <c r="J15748" i="2"/>
  <c r="J15747" i="2"/>
  <c r="J15746" i="2"/>
  <c r="J15745" i="2"/>
  <c r="J15744" i="2"/>
  <c r="J15743" i="2"/>
  <c r="J15742" i="2"/>
  <c r="J15741" i="2"/>
  <c r="J15740" i="2"/>
  <c r="J15739" i="2"/>
  <c r="J15738" i="2"/>
  <c r="J15737" i="2"/>
  <c r="J15736" i="2"/>
  <c r="J15735" i="2"/>
  <c r="J15734" i="2"/>
  <c r="J15733" i="2"/>
  <c r="J15732" i="2"/>
  <c r="J15731" i="2"/>
  <c r="J15730" i="2"/>
  <c r="J15729" i="2"/>
  <c r="J15728" i="2"/>
  <c r="J15727" i="2"/>
  <c r="J15726" i="2"/>
  <c r="J15725" i="2"/>
  <c r="J15724" i="2"/>
  <c r="J15723" i="2"/>
  <c r="J15722" i="2"/>
  <c r="J15721" i="2"/>
  <c r="J15720" i="2"/>
  <c r="J15719" i="2"/>
  <c r="J15718" i="2"/>
  <c r="J15717" i="2"/>
  <c r="J15716" i="2"/>
  <c r="J15715" i="2"/>
  <c r="J15714" i="2"/>
  <c r="J15713" i="2"/>
  <c r="J15712" i="2"/>
  <c r="J15711" i="2"/>
  <c r="J15710" i="2"/>
  <c r="J15709" i="2"/>
  <c r="J15708" i="2"/>
  <c r="J15707" i="2"/>
  <c r="J15706" i="2"/>
  <c r="J15705" i="2"/>
  <c r="J15704" i="2"/>
  <c r="J15703" i="2"/>
  <c r="J15702" i="2"/>
  <c r="J15701" i="2"/>
  <c r="J15700" i="2"/>
  <c r="J15699" i="2"/>
  <c r="J15698" i="2"/>
  <c r="J15697" i="2"/>
  <c r="J15696" i="2"/>
  <c r="J15695" i="2"/>
  <c r="J15694" i="2"/>
  <c r="J15693" i="2"/>
  <c r="J15692" i="2"/>
  <c r="J15691" i="2"/>
  <c r="J15690" i="2"/>
  <c r="J15689" i="2"/>
  <c r="J15688" i="2"/>
  <c r="J15687" i="2"/>
  <c r="J15686" i="2"/>
  <c r="J15685" i="2"/>
  <c r="J15684" i="2"/>
  <c r="J15683" i="2"/>
  <c r="J15682" i="2"/>
  <c r="J15681" i="2"/>
  <c r="J15680" i="2"/>
  <c r="J15679" i="2"/>
  <c r="J15678" i="2"/>
  <c r="J15677" i="2"/>
  <c r="J15676" i="2"/>
  <c r="J15675" i="2"/>
  <c r="J15674" i="2"/>
  <c r="J15673" i="2"/>
  <c r="J15672" i="2"/>
  <c r="J15671" i="2"/>
  <c r="J15670" i="2"/>
  <c r="J15669" i="2"/>
  <c r="J15668" i="2"/>
  <c r="J15667" i="2"/>
  <c r="J15666" i="2"/>
  <c r="J15665" i="2"/>
  <c r="J15664" i="2"/>
  <c r="J15663" i="2"/>
  <c r="J15662" i="2"/>
  <c r="J15661" i="2"/>
  <c r="J15660" i="2"/>
  <c r="J15659" i="2"/>
  <c r="J15658" i="2"/>
  <c r="J15657" i="2"/>
  <c r="J15656" i="2"/>
  <c r="J15655" i="2"/>
  <c r="J15654" i="2"/>
  <c r="J15653" i="2"/>
  <c r="J15652" i="2"/>
  <c r="J15651" i="2"/>
  <c r="J15650" i="2"/>
  <c r="J15649" i="2"/>
  <c r="J15648" i="2"/>
  <c r="J15647" i="2"/>
  <c r="J15646" i="2"/>
  <c r="J15645" i="2"/>
  <c r="J15644" i="2"/>
  <c r="J15643" i="2"/>
  <c r="J15642" i="2"/>
  <c r="J15641" i="2"/>
  <c r="J15640" i="2"/>
  <c r="J15639" i="2"/>
  <c r="J15638" i="2"/>
  <c r="J15637" i="2"/>
  <c r="J15636" i="2"/>
  <c r="J15635" i="2"/>
  <c r="J15634" i="2"/>
  <c r="J15633" i="2"/>
  <c r="J15632" i="2"/>
  <c r="J15631" i="2"/>
  <c r="J15630" i="2"/>
  <c r="J15629" i="2"/>
  <c r="J15628" i="2"/>
  <c r="J15627" i="2"/>
  <c r="J15626" i="2"/>
  <c r="J15625" i="2"/>
  <c r="J15624" i="2"/>
  <c r="J15623" i="2"/>
  <c r="J15622" i="2"/>
  <c r="J15621" i="2"/>
  <c r="J15620" i="2"/>
  <c r="J15619" i="2"/>
  <c r="J15618" i="2"/>
  <c r="J15617" i="2"/>
  <c r="J15616" i="2"/>
  <c r="J15615" i="2"/>
  <c r="J15614" i="2"/>
  <c r="J15613" i="2"/>
  <c r="J15612" i="2"/>
  <c r="J15611" i="2"/>
  <c r="J15610" i="2"/>
  <c r="J15609" i="2"/>
  <c r="J15608" i="2"/>
  <c r="J15607" i="2"/>
  <c r="J15606" i="2"/>
  <c r="J15605" i="2"/>
  <c r="J15604" i="2"/>
  <c r="J15603" i="2"/>
  <c r="J15602" i="2"/>
  <c r="J15601" i="2"/>
  <c r="J15600" i="2"/>
  <c r="J15599" i="2"/>
  <c r="J15598" i="2"/>
  <c r="J15597" i="2"/>
  <c r="J15596" i="2"/>
  <c r="J15595" i="2"/>
  <c r="J15594" i="2"/>
  <c r="J15593" i="2"/>
  <c r="J15592" i="2"/>
  <c r="J15591" i="2"/>
  <c r="J15590" i="2"/>
  <c r="J15589" i="2"/>
  <c r="J15588" i="2"/>
  <c r="J15587" i="2"/>
  <c r="J15586" i="2"/>
  <c r="J15585" i="2"/>
  <c r="J15584" i="2"/>
  <c r="J15583" i="2"/>
  <c r="J15582" i="2"/>
  <c r="J15581" i="2"/>
  <c r="J15580" i="2"/>
  <c r="J15579" i="2"/>
  <c r="J15578" i="2"/>
  <c r="J15577" i="2"/>
  <c r="J15576" i="2"/>
  <c r="J15575" i="2"/>
  <c r="J15574" i="2"/>
  <c r="J15573" i="2"/>
  <c r="J15572" i="2"/>
  <c r="J15571" i="2"/>
  <c r="J15570" i="2"/>
  <c r="J15569" i="2"/>
  <c r="J15568" i="2"/>
  <c r="J15567" i="2"/>
  <c r="J15566" i="2"/>
  <c r="J15565" i="2"/>
  <c r="J15564" i="2"/>
  <c r="J15563" i="2"/>
  <c r="J15562" i="2"/>
  <c r="J15561" i="2"/>
  <c r="J15560" i="2"/>
  <c r="J15559" i="2"/>
  <c r="J15558" i="2"/>
  <c r="J15557" i="2"/>
  <c r="J15556" i="2"/>
  <c r="J15555" i="2"/>
  <c r="J15554" i="2"/>
  <c r="J15553" i="2"/>
  <c r="J15552" i="2"/>
  <c r="J15551" i="2"/>
  <c r="J15550" i="2"/>
  <c r="J15549" i="2"/>
  <c r="J15548" i="2"/>
  <c r="J15547" i="2"/>
  <c r="J15546" i="2"/>
  <c r="J15545" i="2"/>
  <c r="J15544" i="2"/>
  <c r="J15543" i="2"/>
  <c r="J15542" i="2"/>
  <c r="J15541" i="2"/>
  <c r="J15540" i="2"/>
  <c r="J15539" i="2"/>
  <c r="J15538" i="2"/>
  <c r="J15537" i="2"/>
  <c r="J15536" i="2"/>
  <c r="J15535" i="2"/>
  <c r="J15534" i="2"/>
  <c r="J15533" i="2"/>
  <c r="J15532" i="2"/>
  <c r="J15531" i="2"/>
  <c r="J15530" i="2"/>
  <c r="J15529" i="2"/>
  <c r="J15528" i="2"/>
  <c r="J15527" i="2"/>
  <c r="J15526" i="2"/>
  <c r="J15525" i="2"/>
  <c r="J15524" i="2"/>
  <c r="J15523" i="2"/>
  <c r="J15522" i="2"/>
  <c r="J15521" i="2"/>
  <c r="J15520" i="2"/>
  <c r="J15519" i="2"/>
  <c r="J15518" i="2"/>
  <c r="J15517" i="2"/>
  <c r="J15516" i="2"/>
  <c r="J15515" i="2"/>
  <c r="J15514" i="2"/>
  <c r="J15513" i="2"/>
  <c r="J15512" i="2"/>
  <c r="J15511" i="2"/>
  <c r="J15510" i="2"/>
  <c r="J15509" i="2"/>
  <c r="J15508" i="2"/>
  <c r="J15507" i="2"/>
  <c r="J15506" i="2"/>
  <c r="J15505" i="2"/>
  <c r="J15504" i="2"/>
  <c r="J15503" i="2"/>
  <c r="J15502" i="2"/>
  <c r="J15501" i="2"/>
  <c r="J15500" i="2"/>
  <c r="J15499" i="2"/>
  <c r="J15498" i="2"/>
  <c r="J15497" i="2"/>
  <c r="J15496" i="2"/>
  <c r="J15495" i="2"/>
  <c r="J15494" i="2"/>
  <c r="J15493" i="2"/>
  <c r="J15492" i="2"/>
  <c r="J15491" i="2"/>
  <c r="J15490" i="2"/>
  <c r="J15489" i="2"/>
  <c r="J15488" i="2"/>
  <c r="J15487" i="2"/>
  <c r="J15486" i="2"/>
  <c r="J15485" i="2"/>
  <c r="J15484" i="2"/>
  <c r="J15483" i="2"/>
  <c r="J15482" i="2"/>
  <c r="J15481" i="2"/>
  <c r="J15480" i="2"/>
  <c r="J15479" i="2"/>
  <c r="J15478" i="2"/>
  <c r="J15477" i="2"/>
  <c r="J15476" i="2"/>
  <c r="J15475" i="2"/>
  <c r="J15474" i="2"/>
  <c r="J15473" i="2"/>
  <c r="J15472" i="2"/>
  <c r="J15471" i="2"/>
  <c r="J15470" i="2"/>
  <c r="J15469" i="2"/>
  <c r="J15468" i="2"/>
  <c r="J15467" i="2"/>
  <c r="J15466" i="2"/>
  <c r="J15465" i="2"/>
  <c r="J15464" i="2"/>
  <c r="J15463" i="2"/>
  <c r="J15462" i="2"/>
  <c r="J15461" i="2"/>
  <c r="J15460" i="2"/>
  <c r="J15459" i="2"/>
  <c r="J15458" i="2"/>
  <c r="J15457" i="2"/>
  <c r="J15456" i="2"/>
  <c r="J15455" i="2"/>
  <c r="J15454" i="2"/>
  <c r="J15453" i="2"/>
  <c r="J15452" i="2"/>
  <c r="J15451" i="2"/>
  <c r="J15450" i="2"/>
  <c r="J15449" i="2"/>
  <c r="J15448" i="2"/>
  <c r="J15447" i="2"/>
  <c r="J15446" i="2"/>
  <c r="J15445" i="2"/>
  <c r="J15444" i="2"/>
  <c r="J15443" i="2"/>
  <c r="J15442" i="2"/>
  <c r="J15441" i="2"/>
  <c r="J15440" i="2"/>
  <c r="J15439" i="2"/>
  <c r="J15438" i="2"/>
  <c r="J15437" i="2"/>
  <c r="J15436" i="2"/>
  <c r="J15435" i="2"/>
  <c r="J15434" i="2"/>
  <c r="J15433" i="2"/>
  <c r="J15432" i="2"/>
  <c r="J15431" i="2"/>
  <c r="J15430" i="2"/>
  <c r="J15429" i="2"/>
  <c r="J15428" i="2"/>
  <c r="J15427" i="2"/>
  <c r="J15426" i="2"/>
  <c r="J15425" i="2"/>
  <c r="J15424" i="2"/>
  <c r="J15423" i="2"/>
  <c r="J15422" i="2"/>
  <c r="J15421" i="2"/>
  <c r="J15420" i="2"/>
  <c r="J15419" i="2"/>
  <c r="J15418" i="2"/>
  <c r="J15417" i="2"/>
  <c r="J15416" i="2"/>
  <c r="J15415" i="2"/>
  <c r="J15414" i="2"/>
  <c r="J15413" i="2"/>
  <c r="J15412" i="2"/>
  <c r="J15411" i="2"/>
  <c r="J15410" i="2"/>
  <c r="J15409" i="2"/>
  <c r="J15408" i="2"/>
  <c r="J15407" i="2"/>
  <c r="J15406" i="2"/>
  <c r="J15405" i="2"/>
  <c r="J15404" i="2"/>
  <c r="J15403" i="2"/>
  <c r="J15402" i="2"/>
  <c r="J15401" i="2"/>
  <c r="J15400" i="2"/>
  <c r="J15399" i="2"/>
  <c r="J15398" i="2"/>
  <c r="J15397" i="2"/>
  <c r="J15396" i="2"/>
  <c r="J15395" i="2"/>
  <c r="J15394" i="2"/>
  <c r="J15393" i="2"/>
  <c r="J15392" i="2"/>
  <c r="J15391" i="2"/>
  <c r="J15390" i="2"/>
  <c r="J15389" i="2"/>
  <c r="J15388" i="2"/>
  <c r="J15387" i="2"/>
  <c r="J15386" i="2"/>
  <c r="J15385" i="2"/>
  <c r="J15384" i="2"/>
  <c r="J15383" i="2"/>
  <c r="J15382" i="2"/>
  <c r="J15381" i="2"/>
  <c r="J15380" i="2"/>
  <c r="J15379" i="2"/>
  <c r="J15378" i="2"/>
  <c r="J15377" i="2"/>
  <c r="J15376" i="2"/>
  <c r="J15375" i="2"/>
  <c r="J15374" i="2"/>
  <c r="J15373" i="2"/>
  <c r="J15372" i="2"/>
  <c r="J15371" i="2"/>
  <c r="J15370" i="2"/>
  <c r="J15369" i="2"/>
  <c r="J15368" i="2"/>
  <c r="J15367" i="2"/>
  <c r="J15366" i="2"/>
  <c r="J15365" i="2"/>
  <c r="J15364" i="2"/>
  <c r="J15363" i="2"/>
  <c r="J15362" i="2"/>
  <c r="J15361" i="2"/>
  <c r="J15360" i="2"/>
  <c r="J15359" i="2"/>
  <c r="J15358" i="2"/>
  <c r="J15357" i="2"/>
  <c r="J15356" i="2"/>
  <c r="J15355" i="2"/>
  <c r="J15354" i="2"/>
  <c r="J15353" i="2"/>
  <c r="J15352" i="2"/>
  <c r="J15351" i="2"/>
  <c r="J15350" i="2"/>
  <c r="J15349" i="2"/>
  <c r="J15348" i="2"/>
  <c r="J15347" i="2"/>
  <c r="J15346" i="2"/>
  <c r="J15345" i="2"/>
  <c r="J15344" i="2"/>
  <c r="J15343" i="2"/>
  <c r="J15342" i="2"/>
  <c r="J15341" i="2"/>
  <c r="J15340" i="2"/>
  <c r="J15339" i="2"/>
  <c r="J15338" i="2"/>
  <c r="J15337" i="2"/>
  <c r="J15336" i="2"/>
  <c r="J15335" i="2"/>
  <c r="J15334" i="2"/>
  <c r="J15333" i="2"/>
  <c r="J15332" i="2"/>
  <c r="J15331" i="2"/>
  <c r="J15330" i="2"/>
  <c r="J15329" i="2"/>
  <c r="J15328" i="2"/>
  <c r="J15327" i="2"/>
  <c r="J15326" i="2"/>
  <c r="J15325" i="2"/>
  <c r="J15324" i="2"/>
  <c r="J15323" i="2"/>
  <c r="J15322" i="2"/>
  <c r="J15321" i="2"/>
  <c r="J15320" i="2"/>
  <c r="J15319" i="2"/>
  <c r="J15318" i="2"/>
  <c r="J15317" i="2"/>
  <c r="J15316" i="2"/>
  <c r="J15315" i="2"/>
  <c r="J15314" i="2"/>
  <c r="J15313" i="2"/>
  <c r="J15312" i="2"/>
  <c r="J15311" i="2"/>
  <c r="J15310" i="2"/>
  <c r="J15309" i="2"/>
  <c r="J15308" i="2"/>
  <c r="J15307" i="2"/>
  <c r="J15306" i="2"/>
  <c r="J15305" i="2"/>
  <c r="J15304" i="2"/>
  <c r="J15303" i="2"/>
  <c r="J15302" i="2"/>
  <c r="J15301" i="2"/>
  <c r="J15300" i="2"/>
  <c r="J15299" i="2"/>
  <c r="J15298" i="2"/>
  <c r="J15297" i="2"/>
  <c r="J15296" i="2"/>
  <c r="J15295" i="2"/>
  <c r="J15294" i="2"/>
  <c r="J15293" i="2"/>
  <c r="J15292" i="2"/>
  <c r="J15291" i="2"/>
  <c r="J15290" i="2"/>
  <c r="J15289" i="2"/>
  <c r="J15288" i="2"/>
  <c r="J15287" i="2"/>
  <c r="J15286" i="2"/>
  <c r="J15285" i="2"/>
  <c r="J15284" i="2"/>
  <c r="J15283" i="2"/>
  <c r="J15282" i="2"/>
  <c r="J15281" i="2"/>
  <c r="J15280" i="2"/>
  <c r="J15279" i="2"/>
  <c r="J15278" i="2"/>
  <c r="J15277" i="2"/>
  <c r="J15276" i="2"/>
  <c r="J15275" i="2"/>
  <c r="J15274" i="2"/>
  <c r="J15273" i="2"/>
  <c r="J15272" i="2"/>
  <c r="J15271" i="2"/>
  <c r="J15270" i="2"/>
  <c r="J15269" i="2"/>
  <c r="J15268" i="2"/>
  <c r="J15267" i="2"/>
  <c r="J15266" i="2"/>
  <c r="J15265" i="2"/>
  <c r="J15264" i="2"/>
  <c r="J15263" i="2"/>
  <c r="J15262" i="2"/>
  <c r="J15261" i="2"/>
  <c r="J15260" i="2"/>
  <c r="J15259" i="2"/>
  <c r="J15258" i="2"/>
  <c r="J15257" i="2"/>
  <c r="J15256" i="2"/>
  <c r="J15255" i="2"/>
  <c r="J15254" i="2"/>
  <c r="J15253" i="2"/>
  <c r="J15252" i="2"/>
  <c r="J15251" i="2"/>
  <c r="J15250" i="2"/>
  <c r="J15249" i="2"/>
  <c r="J15248" i="2"/>
  <c r="J15247" i="2"/>
  <c r="J15246" i="2"/>
  <c r="J15245" i="2"/>
  <c r="J15244" i="2"/>
  <c r="J15243" i="2"/>
  <c r="J15242" i="2"/>
  <c r="J15241" i="2"/>
  <c r="J15240" i="2"/>
  <c r="J15239" i="2"/>
  <c r="J15238" i="2"/>
  <c r="J15237" i="2"/>
  <c r="J15236" i="2"/>
  <c r="J15235" i="2"/>
  <c r="J15234" i="2"/>
  <c r="J15233" i="2"/>
  <c r="J15232" i="2"/>
  <c r="J15231" i="2"/>
  <c r="J15230" i="2"/>
  <c r="J15229" i="2"/>
  <c r="J15228" i="2"/>
  <c r="J15227" i="2"/>
  <c r="J15226" i="2"/>
  <c r="J15225" i="2"/>
  <c r="J15224" i="2"/>
  <c r="J15223" i="2"/>
  <c r="J15222" i="2"/>
  <c r="J15221" i="2"/>
  <c r="J15220" i="2"/>
  <c r="J15219" i="2"/>
  <c r="J15218" i="2"/>
  <c r="J15217" i="2"/>
  <c r="J15216" i="2"/>
  <c r="J15215" i="2"/>
  <c r="J15214" i="2"/>
  <c r="J15213" i="2"/>
  <c r="J15212" i="2"/>
  <c r="J15211" i="2"/>
  <c r="J15210" i="2"/>
  <c r="J15209" i="2"/>
  <c r="J15208" i="2"/>
  <c r="J15207" i="2"/>
  <c r="J15206" i="2"/>
  <c r="J15205" i="2"/>
  <c r="J15204" i="2"/>
  <c r="J15203" i="2"/>
  <c r="J15202" i="2"/>
  <c r="J15201" i="2"/>
  <c r="J15200" i="2"/>
  <c r="J15199" i="2"/>
  <c r="J15198" i="2"/>
  <c r="J15197" i="2"/>
  <c r="J15196" i="2"/>
  <c r="J15195" i="2"/>
  <c r="J15194" i="2"/>
  <c r="J15193" i="2"/>
  <c r="J15192" i="2"/>
  <c r="J15191" i="2"/>
  <c r="J15190" i="2"/>
  <c r="J15189" i="2"/>
  <c r="J15188" i="2"/>
  <c r="J15187" i="2"/>
  <c r="J15186" i="2"/>
  <c r="J15185" i="2"/>
  <c r="J15184" i="2"/>
  <c r="J15183" i="2"/>
  <c r="J15182" i="2"/>
  <c r="J15181" i="2"/>
  <c r="J15180" i="2"/>
  <c r="J15179" i="2"/>
  <c r="J15178" i="2"/>
  <c r="J15177" i="2"/>
  <c r="J15176" i="2"/>
  <c r="J15175" i="2"/>
  <c r="J15174" i="2"/>
  <c r="J15173" i="2"/>
  <c r="J15172" i="2"/>
  <c r="J15171" i="2"/>
  <c r="J15170" i="2"/>
  <c r="J15169" i="2"/>
  <c r="J15168" i="2"/>
  <c r="J15167" i="2"/>
  <c r="J15166" i="2"/>
  <c r="J15165" i="2"/>
  <c r="J15164" i="2"/>
  <c r="J15163" i="2"/>
  <c r="J15162" i="2"/>
  <c r="J15161" i="2"/>
  <c r="J15160" i="2"/>
  <c r="J15159" i="2"/>
  <c r="J15158" i="2"/>
  <c r="J15157" i="2"/>
  <c r="J15156" i="2"/>
  <c r="J15155" i="2"/>
  <c r="J15154" i="2"/>
  <c r="J15153" i="2"/>
  <c r="J15152" i="2"/>
  <c r="J15151" i="2"/>
  <c r="J15150" i="2"/>
  <c r="J15149" i="2"/>
  <c r="J15148" i="2"/>
  <c r="J15147" i="2"/>
  <c r="J15146" i="2"/>
  <c r="J15145" i="2"/>
  <c r="J15144" i="2"/>
  <c r="J15143" i="2"/>
  <c r="J15142" i="2"/>
  <c r="J15141" i="2"/>
  <c r="J15140" i="2"/>
  <c r="J15139" i="2"/>
  <c r="J15138" i="2"/>
  <c r="J15137" i="2"/>
  <c r="J15136" i="2"/>
  <c r="J15135" i="2"/>
  <c r="J15134" i="2"/>
  <c r="J15133" i="2"/>
  <c r="J15132" i="2"/>
  <c r="J15131" i="2"/>
  <c r="J15130" i="2"/>
  <c r="J15129" i="2"/>
  <c r="J15128" i="2"/>
  <c r="J15127" i="2"/>
  <c r="J15126" i="2"/>
  <c r="J15125" i="2"/>
  <c r="J15124" i="2"/>
  <c r="J15123" i="2"/>
  <c r="J15122" i="2"/>
  <c r="J15121" i="2"/>
  <c r="J15120" i="2"/>
  <c r="J15119" i="2"/>
  <c r="J15118" i="2"/>
  <c r="J15117" i="2"/>
  <c r="J15116" i="2"/>
  <c r="J15115" i="2"/>
  <c r="J15114" i="2"/>
  <c r="J15113" i="2"/>
  <c r="J15112" i="2"/>
  <c r="J15111" i="2"/>
  <c r="J15110" i="2"/>
  <c r="J15109" i="2"/>
  <c r="J15108" i="2"/>
  <c r="J15107" i="2"/>
  <c r="J15106" i="2"/>
  <c r="J15105" i="2"/>
  <c r="J15104" i="2"/>
  <c r="J15103" i="2"/>
  <c r="J15102" i="2"/>
  <c r="J15101" i="2"/>
  <c r="J15100" i="2"/>
  <c r="J15099" i="2"/>
  <c r="J15098" i="2"/>
  <c r="J15097" i="2"/>
  <c r="J15096" i="2"/>
  <c r="J15095" i="2"/>
  <c r="J15094" i="2"/>
  <c r="J15093" i="2"/>
  <c r="J15092" i="2"/>
  <c r="J15091" i="2"/>
  <c r="J15090" i="2"/>
  <c r="J15089" i="2"/>
  <c r="J15088" i="2"/>
  <c r="J15087" i="2"/>
  <c r="J15086" i="2"/>
  <c r="J15085" i="2"/>
  <c r="J15084" i="2"/>
  <c r="J15083" i="2"/>
  <c r="J15082" i="2"/>
  <c r="J15081" i="2"/>
  <c r="J15080" i="2"/>
  <c r="J15079" i="2"/>
  <c r="J15078" i="2"/>
  <c r="J15077" i="2"/>
  <c r="J15076" i="2"/>
  <c r="J15075" i="2"/>
  <c r="J15074" i="2"/>
  <c r="J15073" i="2"/>
  <c r="J15072" i="2"/>
  <c r="J15071" i="2"/>
  <c r="J15070" i="2"/>
  <c r="J15069" i="2"/>
  <c r="J15068" i="2"/>
  <c r="J15067" i="2"/>
  <c r="J15066" i="2"/>
  <c r="J15065" i="2"/>
  <c r="J15064" i="2"/>
  <c r="J15063" i="2"/>
  <c r="J15062" i="2"/>
  <c r="J15061" i="2"/>
  <c r="J15060" i="2"/>
  <c r="J15059" i="2"/>
  <c r="J15058" i="2"/>
  <c r="J15057" i="2"/>
  <c r="J15056" i="2"/>
  <c r="J15055" i="2"/>
  <c r="J15054" i="2"/>
  <c r="J15053" i="2"/>
  <c r="J15052" i="2"/>
  <c r="J15051" i="2"/>
  <c r="J15050" i="2"/>
  <c r="J15049" i="2"/>
  <c r="J15048" i="2"/>
  <c r="J15047" i="2"/>
  <c r="J15046" i="2"/>
  <c r="J15045" i="2"/>
  <c r="J15044" i="2"/>
  <c r="J15043" i="2"/>
  <c r="J15042" i="2"/>
  <c r="J15041" i="2"/>
  <c r="J15040" i="2"/>
  <c r="J15039" i="2"/>
  <c r="J15038" i="2"/>
  <c r="J15037" i="2"/>
  <c r="J15036" i="2"/>
  <c r="J15035" i="2"/>
  <c r="J15034" i="2"/>
  <c r="J15033" i="2"/>
  <c r="J15032" i="2"/>
  <c r="J15031" i="2"/>
  <c r="J15030" i="2"/>
  <c r="J15029" i="2"/>
  <c r="J15028" i="2"/>
  <c r="J15027" i="2"/>
  <c r="J15026" i="2"/>
  <c r="J15025" i="2"/>
  <c r="J15024" i="2"/>
  <c r="J15023" i="2"/>
  <c r="J15022" i="2"/>
  <c r="J15021" i="2"/>
  <c r="J15020" i="2"/>
  <c r="J15019" i="2"/>
  <c r="J15018" i="2"/>
  <c r="J15017" i="2"/>
  <c r="J15016" i="2"/>
  <c r="J15015" i="2"/>
  <c r="J15014" i="2"/>
  <c r="J15013" i="2"/>
  <c r="J15012" i="2"/>
  <c r="J15011" i="2"/>
  <c r="J15010" i="2"/>
  <c r="J15009" i="2"/>
  <c r="J15008" i="2"/>
  <c r="J15007" i="2"/>
  <c r="J15006" i="2"/>
  <c r="J15005" i="2"/>
  <c r="J15004" i="2"/>
  <c r="J15003" i="2"/>
  <c r="J15002" i="2"/>
  <c r="J15001" i="2"/>
  <c r="J15000" i="2"/>
  <c r="J14999" i="2"/>
  <c r="J14998" i="2"/>
  <c r="J14997" i="2"/>
  <c r="J14996" i="2"/>
  <c r="J14995" i="2"/>
  <c r="J14994" i="2"/>
  <c r="J14993" i="2"/>
  <c r="J14992" i="2"/>
  <c r="J14991" i="2"/>
  <c r="J14990" i="2"/>
  <c r="J14989" i="2"/>
  <c r="J14988" i="2"/>
  <c r="J14987" i="2"/>
  <c r="J14986" i="2"/>
  <c r="J14985" i="2"/>
  <c r="J14984" i="2"/>
  <c r="J14983" i="2"/>
  <c r="J14982" i="2"/>
  <c r="J14981" i="2"/>
  <c r="J14980" i="2"/>
  <c r="J14979" i="2"/>
  <c r="J14978" i="2"/>
  <c r="J14977" i="2"/>
  <c r="J14976" i="2"/>
  <c r="J14975" i="2"/>
  <c r="J14974" i="2"/>
  <c r="J14973" i="2"/>
  <c r="J14972" i="2"/>
  <c r="J14971" i="2"/>
  <c r="J14970" i="2"/>
  <c r="J14969" i="2"/>
  <c r="J14968" i="2"/>
  <c r="J14967" i="2"/>
  <c r="J14966" i="2"/>
  <c r="J14965" i="2"/>
  <c r="J14964" i="2"/>
  <c r="J14963" i="2"/>
  <c r="J14962" i="2"/>
  <c r="J14961" i="2"/>
  <c r="J14960" i="2"/>
  <c r="J14959" i="2"/>
  <c r="J14958" i="2"/>
  <c r="J14957" i="2"/>
  <c r="J14956" i="2"/>
  <c r="J14955" i="2"/>
  <c r="J14954" i="2"/>
  <c r="J14953" i="2"/>
  <c r="J14952" i="2"/>
  <c r="J14951" i="2"/>
  <c r="J14950" i="2"/>
  <c r="J14949" i="2"/>
  <c r="J14948" i="2"/>
  <c r="J14947" i="2"/>
  <c r="J14946" i="2"/>
  <c r="J14945" i="2"/>
  <c r="J14944" i="2"/>
  <c r="J14943" i="2"/>
  <c r="J14942" i="2"/>
  <c r="J14941" i="2"/>
  <c r="J14940" i="2"/>
  <c r="J14939" i="2"/>
  <c r="J14938" i="2"/>
  <c r="J14937" i="2"/>
  <c r="J14936" i="2"/>
  <c r="J14935" i="2"/>
  <c r="J14934" i="2"/>
  <c r="J14933" i="2"/>
  <c r="J14932" i="2"/>
  <c r="J14931" i="2"/>
  <c r="J14930" i="2"/>
  <c r="J14929" i="2"/>
  <c r="J14928" i="2"/>
  <c r="J14927" i="2"/>
  <c r="J14926" i="2"/>
  <c r="J14925" i="2"/>
  <c r="J14924" i="2"/>
  <c r="J14923" i="2"/>
  <c r="J14922" i="2"/>
  <c r="J14921" i="2"/>
  <c r="J14920" i="2"/>
  <c r="J14919" i="2"/>
  <c r="J14918" i="2"/>
  <c r="J14917" i="2"/>
  <c r="J14916" i="2"/>
  <c r="J14915" i="2"/>
  <c r="J14914" i="2"/>
  <c r="J14913" i="2"/>
  <c r="J14912" i="2"/>
  <c r="J14911" i="2"/>
  <c r="J14910" i="2"/>
  <c r="J14909" i="2"/>
  <c r="J14908" i="2"/>
  <c r="J14907" i="2"/>
  <c r="J14906" i="2"/>
  <c r="J14905" i="2"/>
  <c r="J14904" i="2"/>
  <c r="J14903" i="2"/>
  <c r="J14902" i="2"/>
  <c r="J14901" i="2"/>
  <c r="J14900" i="2"/>
  <c r="J14899" i="2"/>
  <c r="J14898" i="2"/>
  <c r="J14897" i="2"/>
  <c r="J14896" i="2"/>
  <c r="J14895" i="2"/>
  <c r="J14894" i="2"/>
  <c r="J14893" i="2"/>
  <c r="J14892" i="2"/>
  <c r="J14891" i="2"/>
  <c r="J14890" i="2"/>
  <c r="J14889" i="2"/>
  <c r="J14888" i="2"/>
  <c r="J14887" i="2"/>
  <c r="J14886" i="2"/>
  <c r="J14885" i="2"/>
  <c r="J14884" i="2"/>
  <c r="J14883" i="2"/>
  <c r="J14882" i="2"/>
  <c r="J14881" i="2"/>
  <c r="J14880" i="2"/>
  <c r="J14879" i="2"/>
  <c r="J14878" i="2"/>
  <c r="J14877" i="2"/>
  <c r="J14876" i="2"/>
  <c r="J14875" i="2"/>
  <c r="J14874" i="2"/>
  <c r="J14873" i="2"/>
  <c r="J14872" i="2"/>
  <c r="J14871" i="2"/>
  <c r="J14870" i="2"/>
  <c r="J14869" i="2"/>
  <c r="J14868" i="2"/>
  <c r="J14867" i="2"/>
  <c r="J14866" i="2"/>
  <c r="J14865" i="2"/>
  <c r="J14864" i="2"/>
  <c r="J14863" i="2"/>
  <c r="J14862" i="2"/>
  <c r="J14861" i="2"/>
  <c r="J14860" i="2"/>
  <c r="J14859" i="2"/>
  <c r="J14858" i="2"/>
  <c r="J14857" i="2"/>
  <c r="J14856" i="2"/>
  <c r="J14855" i="2"/>
  <c r="J14854" i="2"/>
  <c r="J14853" i="2"/>
  <c r="J14852" i="2"/>
  <c r="J14851" i="2"/>
  <c r="J14850" i="2"/>
  <c r="J14849" i="2"/>
  <c r="J14848" i="2"/>
  <c r="J14847" i="2"/>
  <c r="J14846" i="2"/>
  <c r="J14845" i="2"/>
  <c r="J14844" i="2"/>
  <c r="J14843" i="2"/>
  <c r="J14842" i="2"/>
  <c r="J14841" i="2"/>
  <c r="J14840" i="2"/>
  <c r="J14839" i="2"/>
  <c r="J14838" i="2"/>
  <c r="J14837" i="2"/>
  <c r="J14836" i="2"/>
  <c r="J14835" i="2"/>
  <c r="J14834" i="2"/>
  <c r="J14833" i="2"/>
  <c r="J14832" i="2"/>
  <c r="J14831" i="2"/>
  <c r="J14830" i="2"/>
  <c r="J14829" i="2"/>
  <c r="J14828" i="2"/>
  <c r="J14827" i="2"/>
  <c r="J14826" i="2"/>
  <c r="J14825" i="2"/>
  <c r="J14824" i="2"/>
  <c r="J14823" i="2"/>
  <c r="J14822" i="2"/>
  <c r="J14821" i="2"/>
  <c r="J14820" i="2"/>
  <c r="J14819" i="2"/>
  <c r="J14818" i="2"/>
  <c r="J14817" i="2"/>
  <c r="J14816" i="2"/>
  <c r="J14815" i="2"/>
  <c r="J14814" i="2"/>
  <c r="J14813" i="2"/>
  <c r="J14812" i="2"/>
  <c r="J14811" i="2"/>
  <c r="J14810" i="2"/>
  <c r="J14809" i="2"/>
  <c r="J14808" i="2"/>
  <c r="J14807" i="2"/>
  <c r="J14806" i="2"/>
  <c r="J14805" i="2"/>
  <c r="J14804" i="2"/>
  <c r="J14803" i="2"/>
  <c r="J14802" i="2"/>
  <c r="J14801" i="2"/>
  <c r="J14800" i="2"/>
  <c r="J14799" i="2"/>
  <c r="J14798" i="2"/>
  <c r="J14797" i="2"/>
  <c r="J14796" i="2"/>
  <c r="J14795" i="2"/>
  <c r="J14794" i="2"/>
  <c r="J14793" i="2"/>
  <c r="J14792" i="2"/>
  <c r="J14791" i="2"/>
  <c r="J14790" i="2"/>
  <c r="J14789" i="2"/>
  <c r="J14788" i="2"/>
  <c r="J14787" i="2"/>
  <c r="J14786" i="2"/>
  <c r="J14785" i="2"/>
  <c r="J14784" i="2"/>
  <c r="J14783" i="2"/>
  <c r="J14782" i="2"/>
  <c r="J14781" i="2"/>
  <c r="J14780" i="2"/>
  <c r="J14779" i="2"/>
  <c r="J14778" i="2"/>
  <c r="J14777" i="2"/>
  <c r="J14776" i="2"/>
  <c r="J14775" i="2"/>
  <c r="J14774" i="2"/>
  <c r="J14773" i="2"/>
  <c r="J14772" i="2"/>
  <c r="J14771" i="2"/>
  <c r="J14770" i="2"/>
  <c r="J14769" i="2"/>
  <c r="J14768" i="2"/>
  <c r="J14767" i="2"/>
  <c r="J14766" i="2"/>
  <c r="J14765" i="2"/>
  <c r="J14764" i="2"/>
  <c r="J14763" i="2"/>
  <c r="J14762" i="2"/>
  <c r="J14761" i="2"/>
  <c r="J14760" i="2"/>
  <c r="J14759" i="2"/>
  <c r="J14758" i="2"/>
  <c r="J14757" i="2"/>
  <c r="J14756" i="2"/>
  <c r="J14755" i="2"/>
  <c r="J14754" i="2"/>
  <c r="J14753" i="2"/>
  <c r="J14752" i="2"/>
  <c r="J14751" i="2"/>
  <c r="J14750" i="2"/>
  <c r="J14749" i="2"/>
  <c r="J14748" i="2"/>
  <c r="J14747" i="2"/>
  <c r="J14746" i="2"/>
  <c r="J14745" i="2"/>
  <c r="J14744" i="2"/>
  <c r="J14743" i="2"/>
  <c r="J14742" i="2"/>
  <c r="J14741" i="2"/>
  <c r="J14740" i="2"/>
  <c r="J14739" i="2"/>
  <c r="J14738" i="2"/>
  <c r="J14737" i="2"/>
  <c r="J14736" i="2"/>
  <c r="J14735" i="2"/>
  <c r="J14734" i="2"/>
  <c r="J14733" i="2"/>
  <c r="J14732" i="2"/>
  <c r="J14731" i="2"/>
  <c r="J14730" i="2"/>
  <c r="J14729" i="2"/>
  <c r="J14728" i="2"/>
  <c r="J14727" i="2"/>
  <c r="J14726" i="2"/>
  <c r="J14725" i="2"/>
  <c r="J14724" i="2"/>
  <c r="J14723" i="2"/>
  <c r="J14722" i="2"/>
  <c r="J14721" i="2"/>
  <c r="J14720" i="2"/>
  <c r="J14719" i="2"/>
  <c r="J14718" i="2"/>
  <c r="J14717" i="2"/>
  <c r="J14716" i="2"/>
  <c r="J14715" i="2"/>
  <c r="J14714" i="2"/>
  <c r="J14713" i="2"/>
  <c r="J14712" i="2"/>
  <c r="J14711" i="2"/>
  <c r="J14710" i="2"/>
  <c r="J14709" i="2"/>
  <c r="J14708" i="2"/>
  <c r="J14707" i="2"/>
  <c r="J14706" i="2"/>
  <c r="J14705" i="2"/>
  <c r="J14704" i="2"/>
  <c r="J14703" i="2"/>
  <c r="J14702" i="2"/>
  <c r="J14701" i="2"/>
  <c r="J14700" i="2"/>
  <c r="J14699" i="2"/>
  <c r="J14698" i="2"/>
  <c r="J14697" i="2"/>
  <c r="J14696" i="2"/>
  <c r="J14695" i="2"/>
  <c r="J14694" i="2"/>
  <c r="J14693" i="2"/>
  <c r="J14692" i="2"/>
  <c r="J14691" i="2"/>
  <c r="J14690" i="2"/>
  <c r="J14689" i="2"/>
  <c r="J14688" i="2"/>
  <c r="J14687" i="2"/>
  <c r="J14686" i="2"/>
  <c r="J14685" i="2"/>
  <c r="J14684" i="2"/>
  <c r="J14683" i="2"/>
  <c r="J14682" i="2"/>
  <c r="J14681" i="2"/>
  <c r="J14680" i="2"/>
  <c r="J14679" i="2"/>
  <c r="J14678" i="2"/>
  <c r="J14677" i="2"/>
  <c r="J14676" i="2"/>
  <c r="J14675" i="2"/>
  <c r="J14674" i="2"/>
  <c r="J14673" i="2"/>
  <c r="J14672" i="2"/>
  <c r="J14671" i="2"/>
  <c r="J14670" i="2"/>
  <c r="J14669" i="2"/>
  <c r="J14668" i="2"/>
  <c r="J14667" i="2"/>
  <c r="J14666" i="2"/>
  <c r="J14665" i="2"/>
  <c r="J14664" i="2"/>
  <c r="J14663" i="2"/>
  <c r="J14662" i="2"/>
  <c r="J14661" i="2"/>
  <c r="J14660" i="2"/>
  <c r="J14659" i="2"/>
  <c r="J14658" i="2"/>
  <c r="J14657" i="2"/>
  <c r="J14656" i="2"/>
  <c r="J14655" i="2"/>
  <c r="J14654" i="2"/>
  <c r="J14653" i="2"/>
  <c r="J14652" i="2"/>
  <c r="J14651" i="2"/>
  <c r="J14650" i="2"/>
  <c r="J14649" i="2"/>
  <c r="J14648" i="2"/>
  <c r="J14647" i="2"/>
  <c r="J14646" i="2"/>
  <c r="J14645" i="2"/>
  <c r="J14644" i="2"/>
  <c r="J14643" i="2"/>
  <c r="J14642" i="2"/>
  <c r="J14641" i="2"/>
  <c r="J14640" i="2"/>
  <c r="J14639" i="2"/>
  <c r="J14638" i="2"/>
  <c r="J14637" i="2"/>
  <c r="J14636" i="2"/>
  <c r="J14635" i="2"/>
  <c r="J14634" i="2"/>
  <c r="J14633" i="2"/>
  <c r="J14632" i="2"/>
  <c r="J14631" i="2"/>
  <c r="J14630" i="2"/>
  <c r="J14629" i="2"/>
  <c r="J14628" i="2"/>
  <c r="J14627" i="2"/>
  <c r="J14626" i="2"/>
  <c r="J14625" i="2"/>
  <c r="J14624" i="2"/>
  <c r="J14623" i="2"/>
  <c r="J14622" i="2"/>
  <c r="J14621" i="2"/>
  <c r="J14620" i="2"/>
  <c r="J14619" i="2"/>
  <c r="J14618" i="2"/>
  <c r="J14617" i="2"/>
  <c r="J14616" i="2"/>
  <c r="J14615" i="2"/>
  <c r="J14614" i="2"/>
  <c r="J14613" i="2"/>
  <c r="J14612" i="2"/>
  <c r="J14611" i="2"/>
  <c r="J14610" i="2"/>
  <c r="J14609" i="2"/>
  <c r="J14608" i="2"/>
  <c r="J14607" i="2"/>
  <c r="J14606" i="2"/>
  <c r="J14605" i="2"/>
  <c r="J14604" i="2"/>
  <c r="J14603" i="2"/>
  <c r="J14602" i="2"/>
  <c r="J14601" i="2"/>
  <c r="J14600" i="2"/>
  <c r="J14599" i="2"/>
  <c r="J14598" i="2"/>
  <c r="J14597" i="2"/>
  <c r="J14596" i="2"/>
  <c r="J14595" i="2"/>
  <c r="J14594" i="2"/>
  <c r="J14593" i="2"/>
  <c r="J14592" i="2"/>
  <c r="J14591" i="2"/>
  <c r="J14590" i="2"/>
  <c r="J14589" i="2"/>
  <c r="J14588" i="2"/>
  <c r="J14587" i="2"/>
  <c r="J14586" i="2"/>
  <c r="J14585" i="2"/>
  <c r="J14584" i="2"/>
  <c r="J14583" i="2"/>
  <c r="J14582" i="2"/>
  <c r="J14581" i="2"/>
  <c r="J14580" i="2"/>
  <c r="J14579" i="2"/>
  <c r="J14578" i="2"/>
  <c r="J14577" i="2"/>
  <c r="J14576" i="2"/>
  <c r="J14575" i="2"/>
  <c r="J14574" i="2"/>
  <c r="J14573" i="2"/>
  <c r="J14572" i="2"/>
  <c r="J14571" i="2"/>
  <c r="J14570" i="2"/>
  <c r="J14569" i="2"/>
  <c r="J14568" i="2"/>
  <c r="J14567" i="2"/>
  <c r="J14566" i="2"/>
  <c r="J14565" i="2"/>
  <c r="J14564" i="2"/>
  <c r="J14563" i="2"/>
  <c r="J14562" i="2"/>
  <c r="J14561" i="2"/>
  <c r="J14560" i="2"/>
  <c r="J14559" i="2"/>
  <c r="J14558" i="2"/>
  <c r="J14557" i="2"/>
  <c r="J14556" i="2"/>
  <c r="J14555" i="2"/>
  <c r="J14554" i="2"/>
  <c r="J14553" i="2"/>
  <c r="J14552" i="2"/>
  <c r="J14551" i="2"/>
  <c r="J14550" i="2"/>
  <c r="J14549" i="2"/>
  <c r="J14548" i="2"/>
  <c r="J14547" i="2"/>
  <c r="J14546" i="2"/>
  <c r="J14545" i="2"/>
  <c r="J14544" i="2"/>
  <c r="J14543" i="2"/>
  <c r="J14542" i="2"/>
  <c r="J14541" i="2"/>
  <c r="J14540" i="2"/>
  <c r="J14539" i="2"/>
  <c r="J14538" i="2"/>
  <c r="J14537" i="2"/>
  <c r="J14536" i="2"/>
  <c r="J14535" i="2"/>
  <c r="J14534" i="2"/>
  <c r="J14533" i="2"/>
  <c r="J14532" i="2"/>
  <c r="J14531" i="2"/>
  <c r="J14530" i="2"/>
  <c r="J14529" i="2"/>
  <c r="J14528" i="2"/>
  <c r="J14527" i="2"/>
  <c r="J14526" i="2"/>
  <c r="J14525" i="2"/>
  <c r="J14524" i="2"/>
  <c r="J14523" i="2"/>
  <c r="J14522" i="2"/>
  <c r="J14521" i="2"/>
  <c r="J14520" i="2"/>
  <c r="J14519" i="2"/>
  <c r="J14518" i="2"/>
  <c r="J14517" i="2"/>
  <c r="J14516" i="2"/>
  <c r="J14515" i="2"/>
  <c r="J14514" i="2"/>
  <c r="J14513" i="2"/>
  <c r="J14512" i="2"/>
  <c r="J14511" i="2"/>
  <c r="J14510" i="2"/>
  <c r="J14509" i="2"/>
  <c r="J14508" i="2"/>
  <c r="J14507" i="2"/>
  <c r="J14506" i="2"/>
  <c r="J14505" i="2"/>
  <c r="J14504" i="2"/>
  <c r="J14503" i="2"/>
  <c r="J14502" i="2"/>
  <c r="J14501" i="2"/>
  <c r="J14500" i="2"/>
  <c r="J14499" i="2"/>
  <c r="J14498" i="2"/>
  <c r="J14497" i="2"/>
  <c r="J14496" i="2"/>
  <c r="J14495" i="2"/>
  <c r="J14494" i="2"/>
  <c r="J14493" i="2"/>
  <c r="J14492" i="2"/>
  <c r="J14491" i="2"/>
  <c r="J14490" i="2"/>
  <c r="J14489" i="2"/>
  <c r="J14488" i="2"/>
  <c r="J14487" i="2"/>
  <c r="J14486" i="2"/>
  <c r="J14485" i="2"/>
  <c r="J14484" i="2"/>
  <c r="J14483" i="2"/>
  <c r="J14482" i="2"/>
  <c r="J14481" i="2"/>
  <c r="J14480" i="2"/>
  <c r="J14479" i="2"/>
  <c r="J14478" i="2"/>
  <c r="J14477" i="2"/>
  <c r="J14476" i="2"/>
  <c r="J14475" i="2"/>
  <c r="J14474" i="2"/>
  <c r="J14473" i="2"/>
  <c r="J14472" i="2"/>
  <c r="J14471" i="2"/>
  <c r="J14470" i="2"/>
  <c r="J14469" i="2"/>
  <c r="J14468" i="2"/>
  <c r="J14467" i="2"/>
  <c r="J14466" i="2"/>
  <c r="J14465" i="2"/>
  <c r="J14464" i="2"/>
  <c r="J14463" i="2"/>
  <c r="J14462" i="2"/>
  <c r="J14461" i="2"/>
  <c r="J14460" i="2"/>
  <c r="J14459" i="2"/>
  <c r="J14458" i="2"/>
  <c r="J14457" i="2"/>
  <c r="J14456" i="2"/>
  <c r="J14455" i="2"/>
  <c r="J14454" i="2"/>
  <c r="J14453" i="2"/>
  <c r="J14452" i="2"/>
  <c r="J14451" i="2"/>
  <c r="J14450" i="2"/>
  <c r="J14449" i="2"/>
  <c r="J14448" i="2"/>
  <c r="J14447" i="2"/>
  <c r="J14446" i="2"/>
  <c r="J14445" i="2"/>
  <c r="J14444" i="2"/>
  <c r="J14443" i="2"/>
  <c r="J14442" i="2"/>
  <c r="J14441" i="2"/>
  <c r="J14440" i="2"/>
  <c r="J14439" i="2"/>
  <c r="J14438" i="2"/>
  <c r="J14437" i="2"/>
  <c r="J14436" i="2"/>
  <c r="J14435" i="2"/>
  <c r="J14434" i="2"/>
  <c r="J14433" i="2"/>
  <c r="J14432" i="2"/>
  <c r="J14431" i="2"/>
  <c r="J14430" i="2"/>
  <c r="J14429" i="2"/>
  <c r="J14428" i="2"/>
  <c r="J14427" i="2"/>
  <c r="J14426" i="2"/>
  <c r="J14425" i="2"/>
  <c r="J14424" i="2"/>
  <c r="J14423" i="2"/>
  <c r="J14422" i="2"/>
  <c r="J14421" i="2"/>
  <c r="J14420" i="2"/>
  <c r="J14419" i="2"/>
  <c r="J14418" i="2"/>
  <c r="J14417" i="2"/>
  <c r="J14416" i="2"/>
  <c r="J14415" i="2"/>
  <c r="J14414" i="2"/>
  <c r="J14413" i="2"/>
  <c r="J14412" i="2"/>
  <c r="J14411" i="2"/>
  <c r="J14410" i="2"/>
  <c r="J14409" i="2"/>
  <c r="J14408" i="2"/>
  <c r="J14407" i="2"/>
  <c r="J14406" i="2"/>
  <c r="J14405" i="2"/>
  <c r="J14404" i="2"/>
  <c r="J14403" i="2"/>
  <c r="J14402" i="2"/>
  <c r="J14401" i="2"/>
  <c r="J14400" i="2"/>
  <c r="J14399" i="2"/>
  <c r="J14398" i="2"/>
  <c r="J14397" i="2"/>
  <c r="J14396" i="2"/>
  <c r="J14395" i="2"/>
  <c r="J14394" i="2"/>
  <c r="J14393" i="2"/>
  <c r="J14392" i="2"/>
  <c r="J14391" i="2"/>
  <c r="J14390" i="2"/>
  <c r="J14389" i="2"/>
  <c r="J14388" i="2"/>
  <c r="J14387" i="2"/>
  <c r="J14386" i="2"/>
  <c r="J14385" i="2"/>
  <c r="J14384" i="2"/>
  <c r="J14383" i="2"/>
  <c r="J14382" i="2"/>
  <c r="J14381" i="2"/>
  <c r="J14380" i="2"/>
  <c r="J14379" i="2"/>
  <c r="J14378" i="2"/>
  <c r="J14377" i="2"/>
  <c r="J14376" i="2"/>
  <c r="J14375" i="2"/>
  <c r="J14374" i="2"/>
  <c r="J14373" i="2"/>
  <c r="J14372" i="2"/>
  <c r="J14371" i="2"/>
  <c r="J14370" i="2"/>
  <c r="J14369" i="2"/>
  <c r="J14368" i="2"/>
  <c r="J14367" i="2"/>
  <c r="J14366" i="2"/>
  <c r="J14365" i="2"/>
  <c r="J14364" i="2"/>
  <c r="J14363" i="2"/>
  <c r="J14362" i="2"/>
  <c r="J14361" i="2"/>
  <c r="J14360" i="2"/>
  <c r="J14359" i="2"/>
  <c r="J14358" i="2"/>
  <c r="J14357" i="2"/>
  <c r="J14356" i="2"/>
  <c r="J14355" i="2"/>
  <c r="J14354" i="2"/>
  <c r="J14353" i="2"/>
  <c r="J14352" i="2"/>
  <c r="J14351" i="2"/>
  <c r="J14350" i="2"/>
  <c r="J14349" i="2"/>
  <c r="J14348" i="2"/>
  <c r="J14347" i="2"/>
  <c r="J14346" i="2"/>
  <c r="J14345" i="2"/>
  <c r="J14344" i="2"/>
  <c r="J14343" i="2"/>
  <c r="J14342" i="2"/>
  <c r="J14341" i="2"/>
  <c r="J14340" i="2"/>
  <c r="J14339" i="2"/>
  <c r="J14338" i="2"/>
  <c r="J14337" i="2"/>
  <c r="J14336" i="2"/>
  <c r="J14335" i="2"/>
  <c r="J14334" i="2"/>
  <c r="J14333" i="2"/>
  <c r="J14332" i="2"/>
  <c r="J14331" i="2"/>
  <c r="J14330" i="2"/>
  <c r="J14329" i="2"/>
  <c r="J14328" i="2"/>
  <c r="J14327" i="2"/>
  <c r="J14326" i="2"/>
  <c r="J14325" i="2"/>
  <c r="J14324" i="2"/>
  <c r="J14323" i="2"/>
  <c r="J14322" i="2"/>
  <c r="J14321" i="2"/>
  <c r="J14320" i="2"/>
  <c r="J14319" i="2"/>
  <c r="J14318" i="2"/>
  <c r="J14317" i="2"/>
  <c r="J14316" i="2"/>
  <c r="J14315" i="2"/>
  <c r="J14314" i="2"/>
  <c r="J14313" i="2"/>
  <c r="J14312" i="2"/>
  <c r="J14311" i="2"/>
  <c r="J14310" i="2"/>
  <c r="J14309" i="2"/>
  <c r="J14308" i="2"/>
  <c r="J14307" i="2"/>
  <c r="J14306" i="2"/>
  <c r="J14305" i="2"/>
  <c r="J14304" i="2"/>
  <c r="J14303" i="2"/>
  <c r="J14302" i="2"/>
  <c r="J14301" i="2"/>
  <c r="J14300" i="2"/>
  <c r="J14299" i="2"/>
  <c r="J14298" i="2"/>
  <c r="J14297" i="2"/>
  <c r="J14296" i="2"/>
  <c r="J14295" i="2"/>
  <c r="J14294" i="2"/>
  <c r="J14293" i="2"/>
  <c r="J14292" i="2"/>
  <c r="J14291" i="2"/>
  <c r="J14290" i="2"/>
  <c r="J14289" i="2"/>
  <c r="J14288" i="2"/>
  <c r="J14287" i="2"/>
  <c r="J14286" i="2"/>
  <c r="J14285" i="2"/>
  <c r="J14284" i="2"/>
  <c r="J14283" i="2"/>
  <c r="J14282" i="2"/>
  <c r="J14281" i="2"/>
  <c r="J14280" i="2"/>
  <c r="J14279" i="2"/>
  <c r="J14278" i="2"/>
  <c r="J14277" i="2"/>
  <c r="J14276" i="2"/>
  <c r="J14275" i="2"/>
  <c r="J14274" i="2"/>
  <c r="J14273" i="2"/>
  <c r="J14272" i="2"/>
  <c r="J14271" i="2"/>
  <c r="J14270" i="2"/>
  <c r="J14269" i="2"/>
  <c r="J14268" i="2"/>
  <c r="J14267" i="2"/>
  <c r="J14266" i="2"/>
  <c r="J14265" i="2"/>
  <c r="J14264" i="2"/>
  <c r="J14263" i="2"/>
  <c r="J14262" i="2"/>
  <c r="J14261" i="2"/>
  <c r="J14260" i="2"/>
  <c r="J14259" i="2"/>
  <c r="J14258" i="2"/>
  <c r="J14257" i="2"/>
  <c r="J14256" i="2"/>
  <c r="J14255" i="2"/>
  <c r="J14254" i="2"/>
  <c r="J14253" i="2"/>
  <c r="J14252" i="2"/>
  <c r="J14251" i="2"/>
  <c r="J14250" i="2"/>
  <c r="J14249" i="2"/>
  <c r="J14248" i="2"/>
  <c r="J14247" i="2"/>
  <c r="J14246" i="2"/>
  <c r="J14245" i="2"/>
  <c r="J14244" i="2"/>
  <c r="J14243" i="2"/>
  <c r="J14242" i="2"/>
  <c r="J14241" i="2"/>
  <c r="J14240" i="2"/>
  <c r="J14239" i="2"/>
  <c r="J14238" i="2"/>
  <c r="J14237" i="2"/>
  <c r="J14236" i="2"/>
  <c r="J14235" i="2"/>
  <c r="J14234" i="2"/>
  <c r="J14233" i="2"/>
  <c r="J14232" i="2"/>
  <c r="J14231" i="2"/>
  <c r="J14230" i="2"/>
  <c r="J14229" i="2"/>
  <c r="J14228" i="2"/>
  <c r="J14227" i="2"/>
  <c r="J14226" i="2"/>
  <c r="J14225" i="2"/>
  <c r="J14224" i="2"/>
  <c r="J14223" i="2"/>
  <c r="J14222" i="2"/>
  <c r="J14221" i="2"/>
  <c r="J14220" i="2"/>
  <c r="J14219" i="2"/>
  <c r="J14218" i="2"/>
  <c r="J14217" i="2"/>
  <c r="J14216" i="2"/>
  <c r="J14215" i="2"/>
  <c r="J14214" i="2"/>
  <c r="J14213" i="2"/>
  <c r="J14212" i="2"/>
  <c r="J14211" i="2"/>
  <c r="J14210" i="2"/>
  <c r="J14209" i="2"/>
  <c r="J14208" i="2"/>
  <c r="J14207" i="2"/>
  <c r="J14206" i="2"/>
  <c r="J14205" i="2"/>
  <c r="J14204" i="2"/>
  <c r="J14203" i="2"/>
  <c r="J14202" i="2"/>
  <c r="J14201" i="2"/>
  <c r="J14200" i="2"/>
  <c r="J14199" i="2"/>
  <c r="J14198" i="2"/>
  <c r="J14197" i="2"/>
  <c r="J14196" i="2"/>
  <c r="J14195" i="2"/>
  <c r="J14194" i="2"/>
  <c r="J14193" i="2"/>
  <c r="J14192" i="2"/>
  <c r="J14191" i="2"/>
  <c r="J14190" i="2"/>
  <c r="J14189" i="2"/>
  <c r="J14188" i="2"/>
  <c r="J14187" i="2"/>
  <c r="J14186" i="2"/>
  <c r="J14185" i="2"/>
  <c r="J14184" i="2"/>
  <c r="J14183" i="2"/>
  <c r="J14182" i="2"/>
  <c r="J14181" i="2"/>
  <c r="J14180" i="2"/>
  <c r="J14179" i="2"/>
  <c r="J14178" i="2"/>
  <c r="J14177" i="2"/>
  <c r="J14176" i="2"/>
  <c r="J14175" i="2"/>
  <c r="J14174" i="2"/>
  <c r="J14173" i="2"/>
  <c r="J14172" i="2"/>
  <c r="J14171" i="2"/>
  <c r="J14170" i="2"/>
  <c r="J14169" i="2"/>
  <c r="J14168" i="2"/>
  <c r="J14167" i="2"/>
  <c r="J14166" i="2"/>
  <c r="J14165" i="2"/>
  <c r="J14164" i="2"/>
  <c r="J14163" i="2"/>
  <c r="J14162" i="2"/>
  <c r="J14161" i="2"/>
  <c r="J14160" i="2"/>
  <c r="J14159" i="2"/>
  <c r="J14158" i="2"/>
  <c r="J14157" i="2"/>
  <c r="J14156" i="2"/>
  <c r="J14155" i="2"/>
  <c r="J14154" i="2"/>
  <c r="J14153" i="2"/>
  <c r="J14152" i="2"/>
  <c r="J14151" i="2"/>
  <c r="J14150" i="2"/>
  <c r="J14149" i="2"/>
  <c r="J14148" i="2"/>
  <c r="J14147" i="2"/>
  <c r="J14146" i="2"/>
  <c r="J14145" i="2"/>
  <c r="J14144" i="2"/>
  <c r="J14143" i="2"/>
  <c r="J14142" i="2"/>
  <c r="J14141" i="2"/>
  <c r="J14140" i="2"/>
  <c r="J14139" i="2"/>
  <c r="J14138" i="2"/>
  <c r="J14137" i="2"/>
  <c r="J14136" i="2"/>
  <c r="J14135" i="2"/>
  <c r="J14134" i="2"/>
  <c r="J14133" i="2"/>
  <c r="J14132" i="2"/>
  <c r="J14131" i="2"/>
  <c r="J14130" i="2"/>
  <c r="J14129" i="2"/>
  <c r="J14128" i="2"/>
  <c r="J14127" i="2"/>
  <c r="J14126" i="2"/>
  <c r="J14125" i="2"/>
  <c r="J14124" i="2"/>
  <c r="J14123" i="2"/>
  <c r="J14122" i="2"/>
  <c r="J14121" i="2"/>
  <c r="J14120" i="2"/>
  <c r="J14119" i="2"/>
  <c r="J14118" i="2"/>
  <c r="J14117" i="2"/>
  <c r="J14116" i="2"/>
  <c r="J14115" i="2"/>
  <c r="J14114" i="2"/>
  <c r="J14113" i="2"/>
  <c r="J14112" i="2"/>
  <c r="J14111" i="2"/>
  <c r="J14110" i="2"/>
  <c r="J14109" i="2"/>
  <c r="J14108" i="2"/>
  <c r="J14107" i="2"/>
  <c r="J14106" i="2"/>
  <c r="J14105" i="2"/>
  <c r="J14104" i="2"/>
  <c r="J14103" i="2"/>
  <c r="J14102" i="2"/>
  <c r="J14101" i="2"/>
  <c r="J14100" i="2"/>
  <c r="J14099" i="2"/>
  <c r="J14098" i="2"/>
  <c r="J14097" i="2"/>
  <c r="J14096" i="2"/>
  <c r="J14095" i="2"/>
  <c r="J14094" i="2"/>
  <c r="J14093" i="2"/>
  <c r="J14092" i="2"/>
  <c r="J14091" i="2"/>
  <c r="J14090" i="2"/>
  <c r="J14089" i="2"/>
  <c r="J14088" i="2"/>
  <c r="J14087" i="2"/>
  <c r="J14086" i="2"/>
  <c r="J14085" i="2"/>
  <c r="J14084" i="2"/>
  <c r="J14083" i="2"/>
  <c r="J14082" i="2"/>
  <c r="J14081" i="2"/>
  <c r="J14080" i="2"/>
  <c r="J14079" i="2"/>
  <c r="J14078" i="2"/>
  <c r="J14077" i="2"/>
  <c r="J14076" i="2"/>
  <c r="J14075" i="2"/>
  <c r="J14074" i="2"/>
  <c r="J14073" i="2"/>
  <c r="J14072" i="2"/>
  <c r="J14071" i="2"/>
  <c r="J14070" i="2"/>
  <c r="J14069" i="2"/>
  <c r="J14068" i="2"/>
  <c r="J14067" i="2"/>
  <c r="J14066" i="2"/>
  <c r="J14065" i="2"/>
  <c r="J14064" i="2"/>
  <c r="J14063" i="2"/>
  <c r="J14062" i="2"/>
  <c r="J14061" i="2"/>
  <c r="J14060" i="2"/>
  <c r="J14059" i="2"/>
  <c r="J14058" i="2"/>
  <c r="J14057" i="2"/>
  <c r="J14056" i="2"/>
  <c r="J14055" i="2"/>
  <c r="J14054" i="2"/>
  <c r="J14053" i="2"/>
  <c r="J14052" i="2"/>
  <c r="J14051" i="2"/>
  <c r="J14050" i="2"/>
  <c r="J14049" i="2"/>
  <c r="J14048" i="2"/>
  <c r="J14047" i="2"/>
  <c r="J14046" i="2"/>
  <c r="J14045" i="2"/>
  <c r="J14044" i="2"/>
  <c r="J14043" i="2"/>
  <c r="J14042" i="2"/>
  <c r="J14041" i="2"/>
  <c r="J14040" i="2"/>
  <c r="J14039" i="2"/>
  <c r="J14038" i="2"/>
  <c r="J14037" i="2"/>
  <c r="J14036" i="2"/>
  <c r="J14035" i="2"/>
  <c r="J14034" i="2"/>
  <c r="J14033" i="2"/>
  <c r="J14032" i="2"/>
  <c r="J14031" i="2"/>
  <c r="J14030" i="2"/>
  <c r="J14029" i="2"/>
  <c r="J14028" i="2"/>
  <c r="J14027" i="2"/>
  <c r="J14026" i="2"/>
  <c r="J14025" i="2"/>
  <c r="J14024" i="2"/>
  <c r="J14023" i="2"/>
  <c r="J14022" i="2"/>
  <c r="J14021" i="2"/>
  <c r="J14020" i="2"/>
  <c r="J14019" i="2"/>
  <c r="J14018" i="2"/>
  <c r="J14017" i="2"/>
  <c r="J14016" i="2"/>
  <c r="J14015" i="2"/>
  <c r="J14014" i="2"/>
  <c r="J14013" i="2"/>
  <c r="J14012" i="2"/>
  <c r="J14011" i="2"/>
  <c r="J14010" i="2"/>
  <c r="J14009" i="2"/>
  <c r="J14008" i="2"/>
  <c r="J14007" i="2"/>
  <c r="J14006" i="2"/>
  <c r="J14005" i="2"/>
  <c r="J14004" i="2"/>
  <c r="J14003" i="2"/>
  <c r="J14002" i="2"/>
  <c r="J14001" i="2"/>
  <c r="J14000" i="2"/>
  <c r="J13999" i="2"/>
  <c r="J13998" i="2"/>
  <c r="J13997" i="2"/>
  <c r="J13996" i="2"/>
  <c r="J13995" i="2"/>
  <c r="J13994" i="2"/>
  <c r="J13993" i="2"/>
  <c r="J13992" i="2"/>
  <c r="J13991" i="2"/>
  <c r="J13990" i="2"/>
  <c r="J13989" i="2"/>
  <c r="J13988" i="2"/>
  <c r="J13987" i="2"/>
  <c r="J13986" i="2"/>
  <c r="J13985" i="2"/>
  <c r="J13984" i="2"/>
  <c r="J13983" i="2"/>
  <c r="J13982" i="2"/>
  <c r="J13981" i="2"/>
  <c r="J13980" i="2"/>
  <c r="J13979" i="2"/>
  <c r="J13978" i="2"/>
  <c r="J13977" i="2"/>
  <c r="J13976" i="2"/>
  <c r="J13975" i="2"/>
  <c r="J13974" i="2"/>
  <c r="J13973" i="2"/>
  <c r="J13972" i="2"/>
  <c r="J13971" i="2"/>
  <c r="J13970" i="2"/>
  <c r="J13969" i="2"/>
  <c r="J13968" i="2"/>
  <c r="J13967" i="2"/>
  <c r="J13966" i="2"/>
  <c r="J13965" i="2"/>
  <c r="J13964" i="2"/>
  <c r="J13963" i="2"/>
  <c r="J13962" i="2"/>
  <c r="J13961" i="2"/>
  <c r="J13960" i="2"/>
  <c r="J13959" i="2"/>
  <c r="J13958" i="2"/>
  <c r="J13957" i="2"/>
  <c r="J13956" i="2"/>
  <c r="J13955" i="2"/>
  <c r="J13954" i="2"/>
  <c r="J13953" i="2"/>
  <c r="J13952" i="2"/>
  <c r="J13951" i="2"/>
  <c r="J13950" i="2"/>
  <c r="J13949" i="2"/>
  <c r="J13948" i="2"/>
  <c r="J13947" i="2"/>
  <c r="J13946" i="2"/>
  <c r="J13945" i="2"/>
  <c r="J13944" i="2"/>
  <c r="J13943" i="2"/>
  <c r="J13942" i="2"/>
  <c r="J13941" i="2"/>
  <c r="J13940" i="2"/>
  <c r="J13939" i="2"/>
  <c r="J13938" i="2"/>
  <c r="J13937" i="2"/>
  <c r="J13936" i="2"/>
  <c r="J13935" i="2"/>
  <c r="J13934" i="2"/>
  <c r="J13933" i="2"/>
  <c r="J13932" i="2"/>
  <c r="J13931" i="2"/>
  <c r="J13930" i="2"/>
  <c r="J13929" i="2"/>
  <c r="J13928" i="2"/>
  <c r="J13927" i="2"/>
  <c r="J13926" i="2"/>
  <c r="J13925" i="2"/>
  <c r="J13924" i="2"/>
  <c r="J13923" i="2"/>
  <c r="J13922" i="2"/>
  <c r="J13921" i="2"/>
  <c r="J13920" i="2"/>
  <c r="J13919" i="2"/>
  <c r="J13918" i="2"/>
  <c r="J13917" i="2"/>
  <c r="J13916" i="2"/>
  <c r="J13915" i="2"/>
  <c r="J13914" i="2"/>
  <c r="J13913" i="2"/>
  <c r="J13912" i="2"/>
  <c r="J13911" i="2"/>
  <c r="J13910" i="2"/>
  <c r="J13909" i="2"/>
  <c r="J13908" i="2"/>
  <c r="J13907" i="2"/>
  <c r="J13906" i="2"/>
  <c r="J13905" i="2"/>
  <c r="J13904" i="2"/>
  <c r="J13903" i="2"/>
  <c r="J13902" i="2"/>
  <c r="J13901" i="2"/>
  <c r="J13900" i="2"/>
  <c r="J13899" i="2"/>
  <c r="J13898" i="2"/>
  <c r="J13897" i="2"/>
  <c r="J13896" i="2"/>
  <c r="J13895" i="2"/>
  <c r="J13894" i="2"/>
  <c r="J13893" i="2"/>
  <c r="J13892" i="2"/>
  <c r="J13891" i="2"/>
  <c r="J13890" i="2"/>
  <c r="J13889" i="2"/>
  <c r="J13888" i="2"/>
  <c r="J13887" i="2"/>
  <c r="J13886" i="2"/>
  <c r="J13885" i="2"/>
  <c r="J13884" i="2"/>
  <c r="J13883" i="2"/>
  <c r="J13882" i="2"/>
  <c r="J13881" i="2"/>
  <c r="J13880" i="2"/>
  <c r="J13879" i="2"/>
  <c r="J13878" i="2"/>
  <c r="J13877" i="2"/>
  <c r="J13876" i="2"/>
  <c r="J13875" i="2"/>
  <c r="J13874" i="2"/>
  <c r="J13873" i="2"/>
  <c r="J13872" i="2"/>
  <c r="J13871" i="2"/>
  <c r="J13870" i="2"/>
  <c r="J13869" i="2"/>
  <c r="J13868" i="2"/>
  <c r="J13867" i="2"/>
  <c r="J13866" i="2"/>
  <c r="J13865" i="2"/>
  <c r="J13864" i="2"/>
  <c r="J13863" i="2"/>
  <c r="J13862" i="2"/>
  <c r="J13861" i="2"/>
  <c r="J13860" i="2"/>
  <c r="J13859" i="2"/>
  <c r="J13858" i="2"/>
  <c r="J13857" i="2"/>
  <c r="J13856" i="2"/>
  <c r="J13855" i="2"/>
  <c r="J13854" i="2"/>
  <c r="J13853" i="2"/>
  <c r="J13852" i="2"/>
  <c r="J13851" i="2"/>
  <c r="J13850" i="2"/>
  <c r="J13849" i="2"/>
  <c r="J13848" i="2"/>
  <c r="J13847" i="2"/>
  <c r="J13846" i="2"/>
  <c r="J13845" i="2"/>
  <c r="J13844" i="2"/>
  <c r="J13843" i="2"/>
  <c r="J13842" i="2"/>
  <c r="J13841" i="2"/>
  <c r="J13840" i="2"/>
  <c r="J13839" i="2"/>
  <c r="J13838" i="2"/>
  <c r="J13837" i="2"/>
  <c r="J13836" i="2"/>
  <c r="J13835" i="2"/>
  <c r="J13834" i="2"/>
  <c r="J13833" i="2"/>
  <c r="J13832" i="2"/>
  <c r="J13831" i="2"/>
  <c r="J13830" i="2"/>
  <c r="J13829" i="2"/>
  <c r="J13828" i="2"/>
  <c r="J13827" i="2"/>
  <c r="J13826" i="2"/>
  <c r="J13825" i="2"/>
  <c r="J13824" i="2"/>
  <c r="J13823" i="2"/>
  <c r="J13822" i="2"/>
  <c r="J13821" i="2"/>
  <c r="J13820" i="2"/>
  <c r="J13819" i="2"/>
  <c r="J13818" i="2"/>
  <c r="J13817" i="2"/>
  <c r="J13816" i="2"/>
  <c r="J13815" i="2"/>
  <c r="J13814" i="2"/>
  <c r="J13813" i="2"/>
  <c r="J13812" i="2"/>
  <c r="J13811" i="2"/>
  <c r="J13810" i="2"/>
  <c r="J13809" i="2"/>
  <c r="J13808" i="2"/>
  <c r="J13807" i="2"/>
  <c r="J13806" i="2"/>
  <c r="J13805" i="2"/>
  <c r="J13804" i="2"/>
  <c r="J13803" i="2"/>
  <c r="J13802" i="2"/>
  <c r="J13801" i="2"/>
  <c r="J13800" i="2"/>
  <c r="J13799" i="2"/>
  <c r="J13798" i="2"/>
  <c r="J13797" i="2"/>
  <c r="J13796" i="2"/>
  <c r="J13795" i="2"/>
  <c r="J13794" i="2"/>
  <c r="J13793" i="2"/>
  <c r="J13792" i="2"/>
  <c r="J13791" i="2"/>
  <c r="J13790" i="2"/>
  <c r="J13789" i="2"/>
  <c r="J13788" i="2"/>
  <c r="J13787" i="2"/>
  <c r="J13786" i="2"/>
  <c r="J13785" i="2"/>
  <c r="J13784" i="2"/>
  <c r="J13783" i="2"/>
  <c r="J13782" i="2"/>
  <c r="J13781" i="2"/>
  <c r="J13780" i="2"/>
  <c r="J13779" i="2"/>
  <c r="J13778" i="2"/>
  <c r="J13777" i="2"/>
  <c r="J13776" i="2"/>
  <c r="J13775" i="2"/>
  <c r="J13774" i="2"/>
  <c r="J13773" i="2"/>
  <c r="J13772" i="2"/>
  <c r="J13771" i="2"/>
  <c r="J13770" i="2"/>
  <c r="J13769" i="2"/>
  <c r="J13768" i="2"/>
  <c r="J13767" i="2"/>
  <c r="J13766" i="2"/>
  <c r="J13765" i="2"/>
  <c r="J13764" i="2"/>
  <c r="J13763" i="2"/>
  <c r="J13762" i="2"/>
  <c r="J13761" i="2"/>
  <c r="J13760" i="2"/>
  <c r="J13759" i="2"/>
  <c r="J13758" i="2"/>
  <c r="J13757" i="2"/>
  <c r="J13756" i="2"/>
  <c r="J13755" i="2"/>
  <c r="J13754" i="2"/>
  <c r="J13753" i="2"/>
  <c r="J13752" i="2"/>
  <c r="J13751" i="2"/>
  <c r="J13750" i="2"/>
  <c r="J13749" i="2"/>
  <c r="J13748" i="2"/>
  <c r="J13747" i="2"/>
  <c r="J13746" i="2"/>
  <c r="J13745" i="2"/>
  <c r="J13744" i="2"/>
  <c r="J13743" i="2"/>
  <c r="J13742" i="2"/>
  <c r="J13741" i="2"/>
  <c r="J13740" i="2"/>
  <c r="J13739" i="2"/>
  <c r="J13738" i="2"/>
  <c r="J13737" i="2"/>
  <c r="J13736" i="2"/>
  <c r="J13735" i="2"/>
  <c r="J13734" i="2"/>
  <c r="J13733" i="2"/>
  <c r="J13732" i="2"/>
  <c r="J13731" i="2"/>
  <c r="J13730" i="2"/>
  <c r="J13729" i="2"/>
  <c r="J13728" i="2"/>
  <c r="J13727" i="2"/>
  <c r="J13726" i="2"/>
  <c r="J13725" i="2"/>
  <c r="J13724" i="2"/>
  <c r="J13723" i="2"/>
  <c r="J13722" i="2"/>
  <c r="J13721" i="2"/>
  <c r="J13720" i="2"/>
  <c r="J13719" i="2"/>
  <c r="J13718" i="2"/>
  <c r="J13717" i="2"/>
  <c r="J13716" i="2"/>
  <c r="J13715" i="2"/>
  <c r="J13714" i="2"/>
  <c r="J13713" i="2"/>
  <c r="J13712" i="2"/>
  <c r="J13711" i="2"/>
  <c r="J13710" i="2"/>
  <c r="J13709" i="2"/>
  <c r="J13708" i="2"/>
  <c r="J13707" i="2"/>
  <c r="J13706" i="2"/>
  <c r="J13705" i="2"/>
  <c r="J13704" i="2"/>
  <c r="J13703" i="2"/>
  <c r="J13702" i="2"/>
  <c r="J13701" i="2"/>
  <c r="J13700" i="2"/>
  <c r="J13699" i="2"/>
  <c r="J13698" i="2"/>
  <c r="J13697" i="2"/>
  <c r="J13696" i="2"/>
  <c r="J13695" i="2"/>
  <c r="J13694" i="2"/>
  <c r="J13693" i="2"/>
  <c r="J13692" i="2"/>
  <c r="J13691" i="2"/>
  <c r="J13690" i="2"/>
  <c r="J13689" i="2"/>
  <c r="J13688" i="2"/>
  <c r="J13687" i="2"/>
  <c r="J13686" i="2"/>
  <c r="J13685" i="2"/>
  <c r="J13684" i="2"/>
  <c r="J13683" i="2"/>
  <c r="J13682" i="2"/>
  <c r="J13681" i="2"/>
  <c r="J13680" i="2"/>
  <c r="J13679" i="2"/>
  <c r="J13678" i="2"/>
  <c r="J13677" i="2"/>
  <c r="J13676" i="2"/>
  <c r="J13675" i="2"/>
  <c r="J13674" i="2"/>
  <c r="J13673" i="2"/>
  <c r="J13672" i="2"/>
  <c r="J13671" i="2"/>
  <c r="J13670" i="2"/>
  <c r="J13669" i="2"/>
  <c r="J13668" i="2"/>
  <c r="J13667" i="2"/>
  <c r="J13666" i="2"/>
  <c r="J13665" i="2"/>
  <c r="J13664" i="2"/>
  <c r="J13663" i="2"/>
  <c r="J13662" i="2"/>
  <c r="J13661" i="2"/>
  <c r="J13660" i="2"/>
  <c r="J13659" i="2"/>
  <c r="J13658" i="2"/>
  <c r="J13657" i="2"/>
  <c r="J13656" i="2"/>
  <c r="J13655" i="2"/>
  <c r="J13654" i="2"/>
  <c r="J13653" i="2"/>
  <c r="J13652" i="2"/>
  <c r="J13651" i="2"/>
  <c r="J13650" i="2"/>
  <c r="J13649" i="2"/>
  <c r="J13648" i="2"/>
  <c r="J13647" i="2"/>
  <c r="J13646" i="2"/>
  <c r="J13645" i="2"/>
  <c r="J13644" i="2"/>
  <c r="J13643" i="2"/>
  <c r="J13642" i="2"/>
  <c r="J13641" i="2"/>
  <c r="J13640" i="2"/>
  <c r="J13639" i="2"/>
  <c r="J13638" i="2"/>
  <c r="J13637" i="2"/>
  <c r="J13636" i="2"/>
  <c r="J13635" i="2"/>
  <c r="J13634" i="2"/>
  <c r="J13633" i="2"/>
  <c r="J13632" i="2"/>
  <c r="J13631" i="2"/>
  <c r="J13630" i="2"/>
  <c r="J13629" i="2"/>
  <c r="J13628" i="2"/>
  <c r="J13627" i="2"/>
  <c r="J13626" i="2"/>
  <c r="J13625" i="2"/>
  <c r="J13624" i="2"/>
  <c r="J13623" i="2"/>
  <c r="J13622" i="2"/>
  <c r="J13621" i="2"/>
  <c r="J13620" i="2"/>
  <c r="J13619" i="2"/>
  <c r="J13618" i="2"/>
  <c r="J13617" i="2"/>
  <c r="J13616" i="2"/>
  <c r="J13615" i="2"/>
  <c r="J13614" i="2"/>
  <c r="J13613" i="2"/>
  <c r="J13612" i="2"/>
  <c r="J13611" i="2"/>
  <c r="J13610" i="2"/>
  <c r="J13609" i="2"/>
  <c r="J13608" i="2"/>
  <c r="J13607" i="2"/>
  <c r="J13606" i="2"/>
  <c r="J13605" i="2"/>
  <c r="J13604" i="2"/>
  <c r="J13603" i="2"/>
  <c r="J13602" i="2"/>
  <c r="J13601" i="2"/>
  <c r="J13600" i="2"/>
  <c r="J13599" i="2"/>
  <c r="J13598" i="2"/>
  <c r="J13597" i="2"/>
  <c r="J13596" i="2"/>
  <c r="J13595" i="2"/>
  <c r="J13594" i="2"/>
  <c r="J13593" i="2"/>
  <c r="J13592" i="2"/>
  <c r="J13591" i="2"/>
  <c r="J13590" i="2"/>
  <c r="J13589" i="2"/>
  <c r="J13588" i="2"/>
  <c r="J13587" i="2"/>
  <c r="J13586" i="2"/>
  <c r="J13585" i="2"/>
  <c r="J13584" i="2"/>
  <c r="J13583" i="2"/>
  <c r="J13582" i="2"/>
  <c r="J13581" i="2"/>
  <c r="J13580" i="2"/>
  <c r="J13579" i="2"/>
  <c r="J13578" i="2"/>
  <c r="J13577" i="2"/>
  <c r="J13576" i="2"/>
  <c r="J13575" i="2"/>
  <c r="J13574" i="2"/>
  <c r="J13573" i="2"/>
  <c r="J13572" i="2"/>
  <c r="J13571" i="2"/>
  <c r="J13570" i="2"/>
  <c r="J13569" i="2"/>
  <c r="J13568" i="2"/>
  <c r="J13567" i="2"/>
  <c r="J13566" i="2"/>
  <c r="J13565" i="2"/>
  <c r="J13564" i="2"/>
  <c r="J13563" i="2"/>
  <c r="J13562" i="2"/>
  <c r="J13561" i="2"/>
  <c r="J13560" i="2"/>
  <c r="J13559" i="2"/>
  <c r="J13558" i="2"/>
  <c r="J13557" i="2"/>
  <c r="J13556" i="2"/>
  <c r="J13555" i="2"/>
  <c r="J13554" i="2"/>
  <c r="J13553" i="2"/>
  <c r="J13552" i="2"/>
  <c r="J13551" i="2"/>
  <c r="J13550" i="2"/>
  <c r="J13549" i="2"/>
  <c r="J13548" i="2"/>
  <c r="J13547" i="2"/>
  <c r="J13546" i="2"/>
  <c r="J13545" i="2"/>
  <c r="J13544" i="2"/>
  <c r="J13543" i="2"/>
  <c r="J13542" i="2"/>
  <c r="J13541" i="2"/>
  <c r="J13540" i="2"/>
  <c r="J13539" i="2"/>
  <c r="J13538" i="2"/>
  <c r="J13537" i="2"/>
  <c r="J13536" i="2"/>
  <c r="J13535" i="2"/>
  <c r="J13534" i="2"/>
  <c r="J13533" i="2"/>
  <c r="J13532" i="2"/>
  <c r="J13531" i="2"/>
  <c r="J13530" i="2"/>
  <c r="J13529" i="2"/>
  <c r="J13528" i="2"/>
  <c r="J13527" i="2"/>
  <c r="J13526" i="2"/>
  <c r="J13525" i="2"/>
  <c r="J13524" i="2"/>
  <c r="J13523" i="2"/>
  <c r="J13522" i="2"/>
  <c r="J13521" i="2"/>
  <c r="J13520" i="2"/>
  <c r="J13519" i="2"/>
  <c r="J13518" i="2"/>
  <c r="J13517" i="2"/>
  <c r="J13516" i="2"/>
  <c r="J13515" i="2"/>
  <c r="J13514" i="2"/>
  <c r="J13513" i="2"/>
  <c r="J13512" i="2"/>
  <c r="J13511" i="2"/>
  <c r="J13510" i="2"/>
  <c r="J13509" i="2"/>
  <c r="J13508" i="2"/>
  <c r="J13507" i="2"/>
  <c r="J13506" i="2"/>
  <c r="J13505" i="2"/>
  <c r="J13504" i="2"/>
  <c r="J13503" i="2"/>
  <c r="J13502" i="2"/>
  <c r="J13501" i="2"/>
  <c r="J13500" i="2"/>
  <c r="J13499" i="2"/>
  <c r="J13498" i="2"/>
  <c r="J13497" i="2"/>
  <c r="J13496" i="2"/>
  <c r="J13495" i="2"/>
  <c r="J13494" i="2"/>
  <c r="J13493" i="2"/>
  <c r="J13492" i="2"/>
  <c r="J13491" i="2"/>
  <c r="J13490" i="2"/>
  <c r="J13489" i="2"/>
  <c r="J13488" i="2"/>
  <c r="J13487" i="2"/>
  <c r="J13486" i="2"/>
  <c r="J13485" i="2"/>
  <c r="J13484" i="2"/>
  <c r="J13483" i="2"/>
  <c r="J13482" i="2"/>
  <c r="J13481" i="2"/>
  <c r="J13480" i="2"/>
  <c r="J13479" i="2"/>
  <c r="J13478" i="2"/>
  <c r="J13477" i="2"/>
  <c r="J13476" i="2"/>
  <c r="J13475" i="2"/>
  <c r="J13474" i="2"/>
  <c r="J13473" i="2"/>
  <c r="J13472" i="2"/>
  <c r="J13471" i="2"/>
  <c r="J13470" i="2"/>
  <c r="J13469" i="2"/>
  <c r="J13468" i="2"/>
  <c r="J13467" i="2"/>
  <c r="J13466" i="2"/>
  <c r="J13465" i="2"/>
  <c r="J13464" i="2"/>
  <c r="J13463" i="2"/>
  <c r="J13462" i="2"/>
  <c r="J13461" i="2"/>
  <c r="J13460" i="2"/>
  <c r="J13459" i="2"/>
  <c r="J13458" i="2"/>
  <c r="J13457" i="2"/>
  <c r="J13456" i="2"/>
  <c r="J13455" i="2"/>
  <c r="J13454" i="2"/>
  <c r="J13453" i="2"/>
  <c r="J13452" i="2"/>
  <c r="J13451" i="2"/>
  <c r="J13450" i="2"/>
  <c r="J13449" i="2"/>
  <c r="J13448" i="2"/>
  <c r="J13447" i="2"/>
  <c r="J13446" i="2"/>
  <c r="J13445" i="2"/>
  <c r="J13444" i="2"/>
  <c r="J13443" i="2"/>
  <c r="J13442" i="2"/>
  <c r="J13441" i="2"/>
  <c r="J13440" i="2"/>
  <c r="J13439" i="2"/>
  <c r="J13438" i="2"/>
  <c r="J13437" i="2"/>
  <c r="J13436" i="2"/>
  <c r="J13435" i="2"/>
  <c r="J13434" i="2"/>
  <c r="J13433" i="2"/>
  <c r="J13432" i="2"/>
  <c r="J13431" i="2"/>
  <c r="J13430" i="2"/>
  <c r="J13429" i="2"/>
  <c r="J13428" i="2"/>
  <c r="J13427" i="2"/>
  <c r="J13426" i="2"/>
  <c r="J13425" i="2"/>
  <c r="J13424" i="2"/>
  <c r="J13423" i="2"/>
  <c r="J13422" i="2"/>
  <c r="J13421" i="2"/>
  <c r="J13420" i="2"/>
  <c r="J13419" i="2"/>
  <c r="J13418" i="2"/>
  <c r="J13417" i="2"/>
  <c r="J13416" i="2"/>
  <c r="J13415" i="2"/>
  <c r="J13414" i="2"/>
  <c r="J13413" i="2"/>
  <c r="J13412" i="2"/>
  <c r="J13411" i="2"/>
  <c r="J13410" i="2"/>
  <c r="J13409" i="2"/>
  <c r="J13408" i="2"/>
  <c r="J13407" i="2"/>
  <c r="J13406" i="2"/>
  <c r="J13405" i="2"/>
  <c r="J13404" i="2"/>
  <c r="J13403" i="2"/>
  <c r="J13402" i="2"/>
  <c r="J13401" i="2"/>
  <c r="J13400" i="2"/>
  <c r="J13399" i="2"/>
  <c r="J13398" i="2"/>
  <c r="J13397" i="2"/>
  <c r="J13396" i="2"/>
  <c r="J13395" i="2"/>
  <c r="J13394" i="2"/>
  <c r="J13393" i="2"/>
  <c r="J13392" i="2"/>
  <c r="J13391" i="2"/>
  <c r="J13390" i="2"/>
  <c r="J13389" i="2"/>
  <c r="J13388" i="2"/>
  <c r="J13387" i="2"/>
  <c r="J13386" i="2"/>
  <c r="J13385" i="2"/>
  <c r="J13384" i="2"/>
  <c r="J13383" i="2"/>
  <c r="J13382" i="2"/>
  <c r="J13381" i="2"/>
  <c r="J13380" i="2"/>
  <c r="J13379" i="2"/>
  <c r="J13378" i="2"/>
  <c r="J13377" i="2"/>
  <c r="J13376" i="2"/>
  <c r="J13375" i="2"/>
  <c r="J13374" i="2"/>
  <c r="J13373" i="2"/>
  <c r="J13372" i="2"/>
  <c r="J13371" i="2"/>
  <c r="J13370" i="2"/>
  <c r="J13369" i="2"/>
  <c r="J13368" i="2"/>
  <c r="J13367" i="2"/>
  <c r="J13366" i="2"/>
  <c r="J13365" i="2"/>
  <c r="J13364" i="2"/>
  <c r="J13363" i="2"/>
  <c r="J13362" i="2"/>
  <c r="J13361" i="2"/>
  <c r="J13360" i="2"/>
  <c r="J13359" i="2"/>
  <c r="J13358" i="2"/>
  <c r="J13357" i="2"/>
  <c r="J13356" i="2"/>
  <c r="J13355" i="2"/>
  <c r="J13354" i="2"/>
  <c r="J13353" i="2"/>
  <c r="J13352" i="2"/>
  <c r="J13351" i="2"/>
  <c r="J13350" i="2"/>
  <c r="J13349" i="2"/>
  <c r="J13348" i="2"/>
  <c r="J13347" i="2"/>
  <c r="J13346" i="2"/>
  <c r="J13345" i="2"/>
  <c r="J13344" i="2"/>
  <c r="J13343" i="2"/>
  <c r="J13342" i="2"/>
  <c r="J13341" i="2"/>
  <c r="J13340" i="2"/>
  <c r="J13339" i="2"/>
  <c r="J13338" i="2"/>
  <c r="J13337" i="2"/>
  <c r="J13336" i="2"/>
  <c r="J13335" i="2"/>
  <c r="J13334" i="2"/>
  <c r="J13333" i="2"/>
  <c r="J13332" i="2"/>
  <c r="J13331" i="2"/>
  <c r="J13330" i="2"/>
  <c r="J13329" i="2"/>
  <c r="J13328" i="2"/>
  <c r="J13327" i="2"/>
  <c r="J13326" i="2"/>
  <c r="J13325" i="2"/>
  <c r="J13324" i="2"/>
  <c r="J13323" i="2"/>
  <c r="J13322" i="2"/>
  <c r="J13321" i="2"/>
  <c r="J13320" i="2"/>
  <c r="J13319" i="2"/>
  <c r="J13318" i="2"/>
  <c r="J13317" i="2"/>
  <c r="J13316" i="2"/>
  <c r="J13315" i="2"/>
  <c r="J13314" i="2"/>
  <c r="J13313" i="2"/>
  <c r="J13312" i="2"/>
  <c r="J13311" i="2"/>
  <c r="J13310" i="2"/>
  <c r="J13309" i="2"/>
  <c r="J13308" i="2"/>
  <c r="J13307" i="2"/>
  <c r="J13306" i="2"/>
  <c r="J13305" i="2"/>
  <c r="J13304" i="2"/>
  <c r="J13303" i="2"/>
  <c r="J13302" i="2"/>
  <c r="J13301" i="2"/>
  <c r="J13300" i="2"/>
  <c r="J13299" i="2"/>
  <c r="J13298" i="2"/>
  <c r="J13297" i="2"/>
  <c r="J13296" i="2"/>
  <c r="J13295" i="2"/>
  <c r="J13294" i="2"/>
  <c r="J13293" i="2"/>
  <c r="J13292" i="2"/>
  <c r="J13291" i="2"/>
  <c r="J13290" i="2"/>
  <c r="J13289" i="2"/>
  <c r="J13288" i="2"/>
  <c r="J13287" i="2"/>
  <c r="J13286" i="2"/>
  <c r="J13285" i="2"/>
  <c r="J13284" i="2"/>
  <c r="J13283" i="2"/>
  <c r="J13282" i="2"/>
  <c r="J13281" i="2"/>
  <c r="J13280" i="2"/>
  <c r="J13279" i="2"/>
  <c r="J13278" i="2"/>
  <c r="J13277" i="2"/>
  <c r="J13276" i="2"/>
  <c r="J13275" i="2"/>
  <c r="J13274" i="2"/>
  <c r="J13273" i="2"/>
  <c r="J13272" i="2"/>
  <c r="J13271" i="2"/>
  <c r="J13270" i="2"/>
  <c r="J13269" i="2"/>
  <c r="J13268" i="2"/>
  <c r="J13267" i="2"/>
  <c r="J13266" i="2"/>
  <c r="J13265" i="2"/>
  <c r="J13264" i="2"/>
  <c r="J13263" i="2"/>
  <c r="J13262" i="2"/>
  <c r="J13261" i="2"/>
  <c r="J13260" i="2"/>
  <c r="J13259" i="2"/>
  <c r="J13258" i="2"/>
  <c r="J13257" i="2"/>
  <c r="J13256" i="2"/>
  <c r="J13255" i="2"/>
  <c r="J13254" i="2"/>
  <c r="J13253" i="2"/>
  <c r="J13252" i="2"/>
  <c r="J13251" i="2"/>
  <c r="J13250" i="2"/>
  <c r="J13249" i="2"/>
  <c r="J13248" i="2"/>
  <c r="J13247" i="2"/>
  <c r="J13246" i="2"/>
  <c r="J13245" i="2"/>
  <c r="J13244" i="2"/>
  <c r="J13243" i="2"/>
  <c r="J13242" i="2"/>
  <c r="J13241" i="2"/>
  <c r="J13240" i="2"/>
  <c r="J13239" i="2"/>
  <c r="J13238" i="2"/>
  <c r="J13237" i="2"/>
  <c r="J13236" i="2"/>
  <c r="J13235" i="2"/>
  <c r="J13234" i="2"/>
  <c r="J13233" i="2"/>
  <c r="J13232" i="2"/>
  <c r="J13231" i="2"/>
  <c r="J13230" i="2"/>
  <c r="J13229" i="2"/>
  <c r="J13228" i="2"/>
  <c r="J13227" i="2"/>
  <c r="J13226" i="2"/>
  <c r="J13225" i="2"/>
  <c r="J13224" i="2"/>
  <c r="J13223" i="2"/>
  <c r="J13222" i="2"/>
  <c r="J13221" i="2"/>
  <c r="J13220" i="2"/>
  <c r="J13219" i="2"/>
  <c r="J13218" i="2"/>
  <c r="J13217" i="2"/>
  <c r="J13216" i="2"/>
  <c r="J13215" i="2"/>
  <c r="J13214" i="2"/>
  <c r="J13213" i="2"/>
  <c r="J13212" i="2"/>
  <c r="J13211" i="2"/>
  <c r="J13210" i="2"/>
  <c r="J13209" i="2"/>
  <c r="J13208" i="2"/>
  <c r="J13207" i="2"/>
  <c r="J13206" i="2"/>
  <c r="J13205" i="2"/>
  <c r="J13204" i="2"/>
  <c r="J13203" i="2"/>
  <c r="J13202" i="2"/>
  <c r="J13201" i="2"/>
  <c r="J13200" i="2"/>
  <c r="J13199" i="2"/>
  <c r="J13198" i="2"/>
  <c r="J13197" i="2"/>
  <c r="J13196" i="2"/>
  <c r="J13195" i="2"/>
  <c r="J13194" i="2"/>
  <c r="J13193" i="2"/>
  <c r="J13192" i="2"/>
  <c r="J13191" i="2"/>
  <c r="J13190" i="2"/>
  <c r="J13189" i="2"/>
  <c r="J13188" i="2"/>
  <c r="J13187" i="2"/>
  <c r="J13186" i="2"/>
  <c r="J13185" i="2"/>
  <c r="J13184" i="2"/>
  <c r="J13183" i="2"/>
  <c r="J13182" i="2"/>
  <c r="J13181" i="2"/>
  <c r="J13180" i="2"/>
  <c r="J13179" i="2"/>
  <c r="J13178" i="2"/>
  <c r="J13177" i="2"/>
  <c r="J13176" i="2"/>
  <c r="J13175" i="2"/>
  <c r="J13174" i="2"/>
  <c r="J13173" i="2"/>
  <c r="J13172" i="2"/>
  <c r="J13171" i="2"/>
  <c r="J13170" i="2"/>
  <c r="J13169" i="2"/>
  <c r="J13168" i="2"/>
  <c r="J13167" i="2"/>
  <c r="J13166" i="2"/>
  <c r="J13165" i="2"/>
  <c r="J13164" i="2"/>
  <c r="J13163" i="2"/>
  <c r="J13162" i="2"/>
  <c r="J13161" i="2"/>
  <c r="J13160" i="2"/>
  <c r="J13159" i="2"/>
  <c r="J13158" i="2"/>
  <c r="J13157" i="2"/>
  <c r="J13156" i="2"/>
  <c r="J13155" i="2"/>
  <c r="J13154" i="2"/>
  <c r="J13153" i="2"/>
  <c r="J13152" i="2"/>
  <c r="J13151" i="2"/>
  <c r="J13150" i="2"/>
  <c r="J13149" i="2"/>
  <c r="J13148" i="2"/>
  <c r="J13147" i="2"/>
  <c r="J13146" i="2"/>
  <c r="J13145" i="2"/>
  <c r="J13144" i="2"/>
  <c r="J13143" i="2"/>
  <c r="J13142" i="2"/>
  <c r="J13141" i="2"/>
  <c r="J13140" i="2"/>
  <c r="J13139" i="2"/>
  <c r="J13138" i="2"/>
  <c r="J13137" i="2"/>
  <c r="J13136" i="2"/>
  <c r="J13135" i="2"/>
  <c r="J13134" i="2"/>
  <c r="J13133" i="2"/>
  <c r="J13132" i="2"/>
  <c r="J13131" i="2"/>
  <c r="J13130" i="2"/>
  <c r="J13129" i="2"/>
  <c r="J13128" i="2"/>
  <c r="J13127" i="2"/>
  <c r="J13126" i="2"/>
  <c r="J13125" i="2"/>
  <c r="J13124" i="2"/>
  <c r="J13123" i="2"/>
  <c r="J13122" i="2"/>
  <c r="J13121" i="2"/>
  <c r="J13120" i="2"/>
  <c r="J13119" i="2"/>
  <c r="J13118" i="2"/>
  <c r="J13117" i="2"/>
  <c r="J13116" i="2"/>
  <c r="J13115" i="2"/>
  <c r="J13114" i="2"/>
  <c r="J13113" i="2"/>
  <c r="J13112" i="2"/>
  <c r="J13111" i="2"/>
  <c r="J13110" i="2"/>
  <c r="J13109" i="2"/>
  <c r="J13108" i="2"/>
  <c r="J13107" i="2"/>
  <c r="J13106" i="2"/>
  <c r="J13105" i="2"/>
  <c r="J13104" i="2"/>
  <c r="J13103" i="2"/>
  <c r="J13102" i="2"/>
  <c r="J13101" i="2"/>
  <c r="J13100" i="2"/>
  <c r="J13099" i="2"/>
  <c r="J13098" i="2"/>
  <c r="J13097" i="2"/>
  <c r="J13096" i="2"/>
  <c r="J13095" i="2"/>
  <c r="J13094" i="2"/>
  <c r="J13093" i="2"/>
  <c r="J13092" i="2"/>
  <c r="J13091" i="2"/>
  <c r="J13090" i="2"/>
  <c r="J13089" i="2"/>
  <c r="J13088" i="2"/>
  <c r="J13087" i="2"/>
  <c r="J13086" i="2"/>
  <c r="J13085" i="2"/>
  <c r="J13084" i="2"/>
  <c r="J13083" i="2"/>
  <c r="J13082" i="2"/>
  <c r="J13081" i="2"/>
  <c r="J13080" i="2"/>
  <c r="J13079" i="2"/>
  <c r="J13078" i="2"/>
  <c r="J13077" i="2"/>
  <c r="J13076" i="2"/>
  <c r="J13075" i="2"/>
  <c r="J13074" i="2"/>
  <c r="J13073" i="2"/>
  <c r="J13072" i="2"/>
  <c r="J13071" i="2"/>
  <c r="J13070" i="2"/>
  <c r="J13069" i="2"/>
  <c r="J13068" i="2"/>
  <c r="J13067" i="2"/>
  <c r="J13066" i="2"/>
  <c r="J13065" i="2"/>
  <c r="J13064" i="2"/>
  <c r="J13063" i="2"/>
  <c r="J13062" i="2"/>
  <c r="J13061" i="2"/>
  <c r="J13060" i="2"/>
  <c r="J13059" i="2"/>
  <c r="J13058" i="2"/>
  <c r="J13057" i="2"/>
  <c r="J13056" i="2"/>
  <c r="J13055" i="2"/>
  <c r="J13054" i="2"/>
  <c r="J13053" i="2"/>
  <c r="J13052" i="2"/>
  <c r="J13051" i="2"/>
  <c r="J13050" i="2"/>
  <c r="J13049" i="2"/>
  <c r="J13048" i="2"/>
  <c r="J13047" i="2"/>
  <c r="J13046" i="2"/>
  <c r="J13045" i="2"/>
  <c r="J13044" i="2"/>
  <c r="J13043" i="2"/>
  <c r="J13042" i="2"/>
  <c r="J13041" i="2"/>
  <c r="J13040" i="2"/>
  <c r="J13039" i="2"/>
  <c r="J13038" i="2"/>
  <c r="J13037" i="2"/>
  <c r="J13036" i="2"/>
  <c r="J13035" i="2"/>
  <c r="J13034" i="2"/>
  <c r="J13033" i="2"/>
  <c r="J13032" i="2"/>
  <c r="J13031" i="2"/>
  <c r="J13030" i="2"/>
  <c r="J13029" i="2"/>
  <c r="J13028" i="2"/>
  <c r="J13027" i="2"/>
  <c r="J13026" i="2"/>
  <c r="J13025" i="2"/>
  <c r="J13024" i="2"/>
  <c r="J13023" i="2"/>
  <c r="J13022" i="2"/>
  <c r="J13021" i="2"/>
  <c r="J13020" i="2"/>
  <c r="J13019" i="2"/>
  <c r="J13018" i="2"/>
  <c r="J13017" i="2"/>
  <c r="J13016" i="2"/>
  <c r="J13015" i="2"/>
  <c r="J13014" i="2"/>
  <c r="J13013" i="2"/>
  <c r="J13012" i="2"/>
  <c r="J13011" i="2"/>
  <c r="J13010" i="2"/>
  <c r="J13009" i="2"/>
  <c r="J13008" i="2"/>
  <c r="J13007" i="2"/>
  <c r="J13006" i="2"/>
  <c r="J13005" i="2"/>
  <c r="J13004" i="2"/>
  <c r="J13003" i="2"/>
  <c r="J13002" i="2"/>
  <c r="J13001" i="2"/>
  <c r="J13000" i="2"/>
  <c r="J12999" i="2"/>
  <c r="J12998" i="2"/>
  <c r="J12997" i="2"/>
  <c r="J12996" i="2"/>
  <c r="J12995" i="2"/>
  <c r="J12994" i="2"/>
  <c r="J12993" i="2"/>
  <c r="J12992" i="2"/>
  <c r="J12991" i="2"/>
  <c r="J12990" i="2"/>
  <c r="J12989" i="2"/>
  <c r="J12988" i="2"/>
  <c r="J12987" i="2"/>
  <c r="J12986" i="2"/>
  <c r="J12985" i="2"/>
  <c r="J12984" i="2"/>
  <c r="J12983" i="2"/>
  <c r="J12982" i="2"/>
  <c r="J12981" i="2"/>
  <c r="J12980" i="2"/>
  <c r="J12979" i="2"/>
  <c r="J12978" i="2"/>
  <c r="J12977" i="2"/>
  <c r="J12976" i="2"/>
  <c r="J12975" i="2"/>
  <c r="J12974" i="2"/>
  <c r="J12973" i="2"/>
  <c r="J12972" i="2"/>
  <c r="J12971" i="2"/>
  <c r="J12970" i="2"/>
  <c r="J12969" i="2"/>
  <c r="J12968" i="2"/>
  <c r="J12967" i="2"/>
  <c r="J12966" i="2"/>
  <c r="J12965" i="2"/>
  <c r="J12964" i="2"/>
  <c r="J12963" i="2"/>
  <c r="J12962" i="2"/>
  <c r="J12961" i="2"/>
  <c r="J12960" i="2"/>
  <c r="J12959" i="2"/>
  <c r="J12958" i="2"/>
  <c r="J12957" i="2"/>
  <c r="J12956" i="2"/>
  <c r="J12955" i="2"/>
  <c r="J12954" i="2"/>
  <c r="J12953" i="2"/>
  <c r="J12952" i="2"/>
  <c r="J12951" i="2"/>
  <c r="J12950" i="2"/>
  <c r="J12949" i="2"/>
  <c r="J12948" i="2"/>
  <c r="J12947" i="2"/>
  <c r="J12946" i="2"/>
  <c r="J12945" i="2"/>
  <c r="J12944" i="2"/>
  <c r="J12943" i="2"/>
  <c r="J12942" i="2"/>
  <c r="J12941" i="2"/>
  <c r="J12940" i="2"/>
  <c r="J12939" i="2"/>
  <c r="J12938" i="2"/>
  <c r="J12937" i="2"/>
  <c r="J12936" i="2"/>
  <c r="J12935" i="2"/>
  <c r="J12934" i="2"/>
  <c r="J12933" i="2"/>
  <c r="J12932" i="2"/>
  <c r="J12931" i="2"/>
  <c r="J12930" i="2"/>
  <c r="J12929" i="2"/>
  <c r="J12928" i="2"/>
  <c r="J12927" i="2"/>
  <c r="J12926" i="2"/>
  <c r="J12925" i="2"/>
  <c r="J12924" i="2"/>
  <c r="J12923" i="2"/>
  <c r="J12922" i="2"/>
  <c r="J12921" i="2"/>
  <c r="J12920" i="2"/>
  <c r="J12919" i="2"/>
  <c r="J12918" i="2"/>
  <c r="J12917" i="2"/>
  <c r="J12916" i="2"/>
  <c r="J12915" i="2"/>
  <c r="J12914" i="2"/>
  <c r="J12913" i="2"/>
  <c r="J12912" i="2"/>
  <c r="J12911" i="2"/>
  <c r="J12910" i="2"/>
  <c r="J12909" i="2"/>
  <c r="J12908" i="2"/>
  <c r="J12907" i="2"/>
  <c r="J12906" i="2"/>
  <c r="J12905" i="2"/>
  <c r="J12904" i="2"/>
  <c r="J12903" i="2"/>
  <c r="J12902" i="2"/>
  <c r="J12901" i="2"/>
  <c r="J12900" i="2"/>
  <c r="J12899" i="2"/>
  <c r="J12898" i="2"/>
  <c r="J12897" i="2"/>
  <c r="J12896" i="2"/>
  <c r="J12895" i="2"/>
  <c r="J12894" i="2"/>
  <c r="J12893" i="2"/>
  <c r="J12892" i="2"/>
  <c r="J12891" i="2"/>
  <c r="J12890" i="2"/>
  <c r="J12889" i="2"/>
  <c r="J12888" i="2"/>
  <c r="J12887" i="2"/>
  <c r="J12886" i="2"/>
  <c r="J12885" i="2"/>
  <c r="J12884" i="2"/>
  <c r="J12883" i="2"/>
  <c r="J12882" i="2"/>
  <c r="J12881" i="2"/>
  <c r="J12880" i="2"/>
  <c r="J12879" i="2"/>
  <c r="J12878" i="2"/>
  <c r="J12877" i="2"/>
  <c r="J12876" i="2"/>
  <c r="J12875" i="2"/>
  <c r="J12874" i="2"/>
  <c r="J12873" i="2"/>
  <c r="J12872" i="2"/>
  <c r="J12871" i="2"/>
  <c r="J12870" i="2"/>
  <c r="J12869" i="2"/>
  <c r="J12868" i="2"/>
  <c r="J12867" i="2"/>
  <c r="J12866" i="2"/>
  <c r="J12865" i="2"/>
  <c r="J12864" i="2"/>
  <c r="J12863" i="2"/>
  <c r="J12862" i="2"/>
  <c r="J12861" i="2"/>
  <c r="J12860" i="2"/>
  <c r="J12859" i="2"/>
  <c r="J12858" i="2"/>
  <c r="J12857" i="2"/>
  <c r="J12856" i="2"/>
  <c r="J12855" i="2"/>
  <c r="J12854" i="2"/>
  <c r="J12853" i="2"/>
  <c r="J12852" i="2"/>
  <c r="J12851" i="2"/>
  <c r="J12850" i="2"/>
  <c r="J12849" i="2"/>
  <c r="J12848" i="2"/>
  <c r="J12847" i="2"/>
  <c r="J12846" i="2"/>
  <c r="J12845" i="2"/>
  <c r="J12844" i="2"/>
  <c r="J12843" i="2"/>
  <c r="J12842" i="2"/>
  <c r="J12841" i="2"/>
  <c r="J12840" i="2"/>
  <c r="J12839" i="2"/>
  <c r="J12838" i="2"/>
  <c r="J12837" i="2"/>
  <c r="J12836" i="2"/>
  <c r="J12835" i="2"/>
  <c r="J12834" i="2"/>
  <c r="J12833" i="2"/>
  <c r="J12832" i="2"/>
  <c r="J12831" i="2"/>
  <c r="J12830" i="2"/>
  <c r="J12829" i="2"/>
  <c r="J12828" i="2"/>
  <c r="J12827" i="2"/>
  <c r="J12826" i="2"/>
  <c r="J12825" i="2"/>
  <c r="J12824" i="2"/>
  <c r="J12823" i="2"/>
  <c r="J12822" i="2"/>
  <c r="J12821" i="2"/>
  <c r="J12820" i="2"/>
  <c r="J12819" i="2"/>
  <c r="J12818" i="2"/>
  <c r="J12817" i="2"/>
  <c r="J12816" i="2"/>
  <c r="J12815" i="2"/>
  <c r="J12814" i="2"/>
  <c r="J12813" i="2"/>
  <c r="J12812" i="2"/>
  <c r="J12811" i="2"/>
  <c r="J12810" i="2"/>
  <c r="J12809" i="2"/>
  <c r="J12808" i="2"/>
  <c r="J12807" i="2"/>
  <c r="J12806" i="2"/>
  <c r="J12805" i="2"/>
  <c r="J12804" i="2"/>
  <c r="J12803" i="2"/>
  <c r="J12802" i="2"/>
  <c r="J12801" i="2"/>
  <c r="J12800" i="2"/>
  <c r="J12799" i="2"/>
  <c r="J12798" i="2"/>
  <c r="J12797" i="2"/>
  <c r="J12796" i="2"/>
  <c r="J12795" i="2"/>
  <c r="J12794" i="2"/>
  <c r="J12793" i="2"/>
  <c r="J12792" i="2"/>
  <c r="J12791" i="2"/>
  <c r="J12790" i="2"/>
  <c r="J12789" i="2"/>
  <c r="J12788" i="2"/>
  <c r="J12787" i="2"/>
  <c r="J12786" i="2"/>
  <c r="J12785" i="2"/>
  <c r="J12784" i="2"/>
  <c r="J12783" i="2"/>
  <c r="J12782" i="2"/>
  <c r="J12781" i="2"/>
  <c r="J12780" i="2"/>
  <c r="J12779" i="2"/>
  <c r="J12778" i="2"/>
  <c r="J12777" i="2"/>
  <c r="J12776" i="2"/>
  <c r="J12775" i="2"/>
  <c r="J12774" i="2"/>
  <c r="J12773" i="2"/>
  <c r="J12772" i="2"/>
  <c r="J12771" i="2"/>
  <c r="J12770" i="2"/>
  <c r="J12769" i="2"/>
  <c r="J12768" i="2"/>
  <c r="J12767" i="2"/>
  <c r="J12766" i="2"/>
  <c r="J12765" i="2"/>
  <c r="J12764" i="2"/>
  <c r="J12763" i="2"/>
  <c r="J12762" i="2"/>
  <c r="J12761" i="2"/>
  <c r="J12760" i="2"/>
  <c r="J12759" i="2"/>
  <c r="J12758" i="2"/>
  <c r="J12757" i="2"/>
  <c r="J12756" i="2"/>
  <c r="J12755" i="2"/>
  <c r="J12754" i="2"/>
  <c r="J12753" i="2"/>
  <c r="J12752" i="2"/>
  <c r="J12751" i="2"/>
  <c r="J12750" i="2"/>
  <c r="J12749" i="2"/>
  <c r="J12748" i="2"/>
  <c r="J12747" i="2"/>
  <c r="J12746" i="2"/>
  <c r="J12745" i="2"/>
  <c r="J12744" i="2"/>
  <c r="J12743" i="2"/>
  <c r="J12742" i="2"/>
  <c r="J12741" i="2"/>
  <c r="J12740" i="2"/>
  <c r="J12739" i="2"/>
  <c r="J12738" i="2"/>
  <c r="J12737" i="2"/>
  <c r="J12736" i="2"/>
  <c r="J12735" i="2"/>
  <c r="J12734" i="2"/>
  <c r="J12733" i="2"/>
  <c r="J12732" i="2"/>
  <c r="J12731" i="2"/>
  <c r="J12730" i="2"/>
  <c r="J12729" i="2"/>
  <c r="J12728" i="2"/>
  <c r="J12727" i="2"/>
  <c r="J12726" i="2"/>
  <c r="J12725" i="2"/>
  <c r="J12724" i="2"/>
  <c r="J12723" i="2"/>
  <c r="J12722" i="2"/>
  <c r="J12721" i="2"/>
  <c r="J12720" i="2"/>
  <c r="J12719" i="2"/>
  <c r="J12718" i="2"/>
  <c r="J12717" i="2"/>
  <c r="J12716" i="2"/>
  <c r="J12715" i="2"/>
  <c r="J12714" i="2"/>
  <c r="J12713" i="2"/>
  <c r="J12712" i="2"/>
  <c r="J12711" i="2"/>
  <c r="J12710" i="2"/>
  <c r="J12709" i="2"/>
  <c r="J12708" i="2"/>
  <c r="J12707" i="2"/>
  <c r="J12706" i="2"/>
  <c r="J12705" i="2"/>
  <c r="J12704" i="2"/>
  <c r="J12703" i="2"/>
  <c r="J12702" i="2"/>
  <c r="J12701" i="2"/>
  <c r="J12700" i="2"/>
  <c r="J12699" i="2"/>
  <c r="J12698" i="2"/>
  <c r="J12697" i="2"/>
  <c r="J12696" i="2"/>
  <c r="J12695" i="2"/>
  <c r="J12694" i="2"/>
  <c r="J12693" i="2"/>
  <c r="J12692" i="2"/>
  <c r="J12691" i="2"/>
  <c r="J12690" i="2"/>
  <c r="J12689" i="2"/>
  <c r="J12688" i="2"/>
  <c r="J12687" i="2"/>
  <c r="J12686" i="2"/>
  <c r="J12685" i="2"/>
  <c r="J12684" i="2"/>
  <c r="J12683" i="2"/>
  <c r="J12682" i="2"/>
  <c r="J12681" i="2"/>
  <c r="J12680" i="2"/>
  <c r="J12679" i="2"/>
  <c r="J12678" i="2"/>
  <c r="J12677" i="2"/>
  <c r="J12676" i="2"/>
  <c r="J12675" i="2"/>
  <c r="J12674" i="2"/>
  <c r="J12673" i="2"/>
  <c r="J12672" i="2"/>
  <c r="J12671" i="2"/>
  <c r="J12670" i="2"/>
  <c r="J12669" i="2"/>
  <c r="J12668" i="2"/>
  <c r="J12667" i="2"/>
  <c r="J12666" i="2"/>
  <c r="J12665" i="2"/>
  <c r="J12664" i="2"/>
  <c r="J12663" i="2"/>
  <c r="J12662" i="2"/>
  <c r="J12661" i="2"/>
  <c r="J12660" i="2"/>
  <c r="J12659" i="2"/>
  <c r="J12658" i="2"/>
  <c r="J12657" i="2"/>
  <c r="J12656" i="2"/>
  <c r="J12655" i="2"/>
  <c r="J12654" i="2"/>
  <c r="J12653" i="2"/>
  <c r="J12652" i="2"/>
  <c r="J12651" i="2"/>
  <c r="J12650" i="2"/>
  <c r="J12649" i="2"/>
  <c r="J12648" i="2"/>
  <c r="J12647" i="2"/>
  <c r="J12646" i="2"/>
  <c r="J12645" i="2"/>
  <c r="J12644" i="2"/>
  <c r="J12643" i="2"/>
  <c r="J12642" i="2"/>
  <c r="J12641" i="2"/>
  <c r="J12640" i="2"/>
  <c r="J12639" i="2"/>
  <c r="J12638" i="2"/>
  <c r="J12637" i="2"/>
  <c r="J12636" i="2"/>
  <c r="J12635" i="2"/>
  <c r="J12634" i="2"/>
  <c r="J12633" i="2"/>
  <c r="J12632" i="2"/>
  <c r="J12631" i="2"/>
  <c r="J12630" i="2"/>
  <c r="J12629" i="2"/>
  <c r="J12628" i="2"/>
  <c r="J12627" i="2"/>
  <c r="J12626" i="2"/>
  <c r="J12625" i="2"/>
  <c r="J12624" i="2"/>
  <c r="J12623" i="2"/>
  <c r="J12622" i="2"/>
  <c r="J12621" i="2"/>
  <c r="J12620" i="2"/>
  <c r="J12619" i="2"/>
  <c r="J12618" i="2"/>
  <c r="J12617" i="2"/>
  <c r="J12616" i="2"/>
  <c r="J12615" i="2"/>
  <c r="J12614" i="2"/>
  <c r="J12613" i="2"/>
  <c r="J12612" i="2"/>
  <c r="J12611" i="2"/>
  <c r="J12610" i="2"/>
  <c r="J12609" i="2"/>
  <c r="J12608" i="2"/>
  <c r="J12607" i="2"/>
  <c r="J12606" i="2"/>
  <c r="J12605" i="2"/>
  <c r="J12604" i="2"/>
  <c r="J12603" i="2"/>
  <c r="J12602" i="2"/>
  <c r="J12601" i="2"/>
  <c r="J12600" i="2"/>
  <c r="J12599" i="2"/>
  <c r="J12598" i="2"/>
  <c r="J12597" i="2"/>
  <c r="J12596" i="2"/>
  <c r="J12595" i="2"/>
  <c r="J12594" i="2"/>
  <c r="J12593" i="2"/>
  <c r="J12592" i="2"/>
  <c r="J12591" i="2"/>
  <c r="J12590" i="2"/>
  <c r="J12589" i="2"/>
  <c r="J12588" i="2"/>
  <c r="J12587" i="2"/>
  <c r="J12586" i="2"/>
  <c r="J12585" i="2"/>
  <c r="J12584" i="2"/>
  <c r="J12583" i="2"/>
  <c r="J12582" i="2"/>
  <c r="J12581" i="2"/>
  <c r="J12580" i="2"/>
  <c r="J12579" i="2"/>
  <c r="J12578" i="2"/>
  <c r="J12577" i="2"/>
  <c r="J12576" i="2"/>
  <c r="J12575" i="2"/>
  <c r="J12574" i="2"/>
  <c r="J12573" i="2"/>
  <c r="J12572" i="2"/>
  <c r="J12571" i="2"/>
  <c r="J12570" i="2"/>
  <c r="J12569" i="2"/>
  <c r="J12568" i="2"/>
  <c r="J12567" i="2"/>
  <c r="J12566" i="2"/>
  <c r="J12565" i="2"/>
  <c r="J12564" i="2"/>
  <c r="J12563" i="2"/>
  <c r="J12562" i="2"/>
  <c r="J12561" i="2"/>
  <c r="J12560" i="2"/>
  <c r="J12559" i="2"/>
  <c r="J12558" i="2"/>
  <c r="J12557" i="2"/>
  <c r="J12556" i="2"/>
  <c r="J12555" i="2"/>
  <c r="J12554" i="2"/>
  <c r="J12553" i="2"/>
  <c r="J12552" i="2"/>
  <c r="J12551" i="2"/>
  <c r="J12550" i="2"/>
  <c r="J12549" i="2"/>
  <c r="J12548" i="2"/>
  <c r="J12547" i="2"/>
  <c r="J12546" i="2"/>
  <c r="J12545" i="2"/>
  <c r="J12544" i="2"/>
  <c r="J12543" i="2"/>
  <c r="J12542" i="2"/>
  <c r="J12541" i="2"/>
  <c r="J12540" i="2"/>
  <c r="J12539" i="2"/>
  <c r="J12538" i="2"/>
  <c r="J12537" i="2"/>
  <c r="J12536" i="2"/>
  <c r="J12535" i="2"/>
  <c r="J12534" i="2"/>
  <c r="J12533" i="2"/>
  <c r="J12532" i="2"/>
  <c r="J12531" i="2"/>
  <c r="J12530" i="2"/>
  <c r="J12529" i="2"/>
  <c r="J12528" i="2"/>
  <c r="J12527" i="2"/>
  <c r="J12526" i="2"/>
  <c r="J12525" i="2"/>
  <c r="J12524" i="2"/>
  <c r="J12523" i="2"/>
  <c r="J12522" i="2"/>
  <c r="J12521" i="2"/>
  <c r="J12520" i="2"/>
  <c r="J12519" i="2"/>
  <c r="J12518" i="2"/>
  <c r="J12517" i="2"/>
  <c r="J12516" i="2"/>
  <c r="J12515" i="2"/>
  <c r="J12514" i="2"/>
  <c r="J12513" i="2"/>
  <c r="J12512" i="2"/>
  <c r="J12511" i="2"/>
  <c r="J12510" i="2"/>
  <c r="J12509" i="2"/>
  <c r="J12508" i="2"/>
  <c r="J12507" i="2"/>
  <c r="J12506" i="2"/>
  <c r="J12505" i="2"/>
  <c r="J12504" i="2"/>
  <c r="J12503" i="2"/>
  <c r="J12502" i="2"/>
  <c r="J12501" i="2"/>
  <c r="J12500" i="2"/>
  <c r="J12499" i="2"/>
  <c r="J12498" i="2"/>
  <c r="J12497" i="2"/>
  <c r="J12496" i="2"/>
  <c r="J12495" i="2"/>
  <c r="J12494" i="2"/>
  <c r="J12493" i="2"/>
  <c r="J12492" i="2"/>
  <c r="J12491" i="2"/>
  <c r="J12490" i="2"/>
  <c r="J12489" i="2"/>
  <c r="J12488" i="2"/>
  <c r="J12487" i="2"/>
  <c r="J12486" i="2"/>
  <c r="J12485" i="2"/>
  <c r="J12484" i="2"/>
  <c r="J12483" i="2"/>
  <c r="J12482" i="2"/>
  <c r="J12481" i="2"/>
  <c r="J12480" i="2"/>
  <c r="J12479" i="2"/>
  <c r="J12478" i="2"/>
  <c r="J12477" i="2"/>
  <c r="J12476" i="2"/>
  <c r="J12475" i="2"/>
  <c r="J12474" i="2"/>
  <c r="J12473" i="2"/>
  <c r="J12472" i="2"/>
  <c r="J12471" i="2"/>
  <c r="J12470" i="2"/>
  <c r="J12469" i="2"/>
  <c r="J12468" i="2"/>
  <c r="J12467" i="2"/>
  <c r="J12466" i="2"/>
  <c r="J12465" i="2"/>
  <c r="J12464" i="2"/>
  <c r="J12463" i="2"/>
  <c r="J12462" i="2"/>
  <c r="J12461" i="2"/>
  <c r="J12460" i="2"/>
  <c r="J12459" i="2"/>
  <c r="J12458" i="2"/>
  <c r="J12457" i="2"/>
  <c r="J12456" i="2"/>
  <c r="J12455" i="2"/>
  <c r="J12454" i="2"/>
  <c r="J12453" i="2"/>
  <c r="J12452" i="2"/>
  <c r="J12451" i="2"/>
  <c r="J12450" i="2"/>
  <c r="J12449" i="2"/>
  <c r="J12448" i="2"/>
  <c r="J12447" i="2"/>
  <c r="J12446" i="2"/>
  <c r="J12445" i="2"/>
  <c r="J12444" i="2"/>
  <c r="J12443" i="2"/>
  <c r="J12442" i="2"/>
  <c r="J12441" i="2"/>
  <c r="J12440" i="2"/>
  <c r="J12439" i="2"/>
  <c r="J12438" i="2"/>
  <c r="J12437" i="2"/>
  <c r="J12436" i="2"/>
  <c r="J12435" i="2"/>
  <c r="J12434" i="2"/>
  <c r="J12433" i="2"/>
  <c r="J12432" i="2"/>
  <c r="J12431" i="2"/>
  <c r="J12430" i="2"/>
  <c r="J12429" i="2"/>
  <c r="J12428" i="2"/>
  <c r="J12427" i="2"/>
  <c r="J12426" i="2"/>
  <c r="J12425" i="2"/>
  <c r="J12424" i="2"/>
  <c r="J12423" i="2"/>
  <c r="J12422" i="2"/>
  <c r="J12421" i="2"/>
  <c r="J12420" i="2"/>
  <c r="J12419" i="2"/>
  <c r="J12418" i="2"/>
  <c r="J12417" i="2"/>
  <c r="J12416" i="2"/>
  <c r="J12415" i="2"/>
  <c r="J12414" i="2"/>
  <c r="J12413" i="2"/>
  <c r="J12412" i="2"/>
  <c r="J12411" i="2"/>
  <c r="J12410" i="2"/>
  <c r="J12409" i="2"/>
  <c r="J12408" i="2"/>
  <c r="J12407" i="2"/>
  <c r="J12406" i="2"/>
  <c r="J12405" i="2"/>
  <c r="J12404" i="2"/>
  <c r="J12403" i="2"/>
  <c r="J12402" i="2"/>
  <c r="J12401" i="2"/>
  <c r="J12400" i="2"/>
  <c r="J12399" i="2"/>
  <c r="J12398" i="2"/>
  <c r="J12397" i="2"/>
  <c r="J12396" i="2"/>
  <c r="J12395" i="2"/>
  <c r="J12394" i="2"/>
  <c r="J12393" i="2"/>
  <c r="J12392" i="2"/>
  <c r="J12391" i="2"/>
  <c r="J12390" i="2"/>
  <c r="J12389" i="2"/>
  <c r="J12388" i="2"/>
  <c r="J12387" i="2"/>
  <c r="J12386" i="2"/>
  <c r="J12385" i="2"/>
  <c r="J12384" i="2"/>
  <c r="J12383" i="2"/>
  <c r="J12382" i="2"/>
  <c r="J12381" i="2"/>
  <c r="J12380" i="2"/>
  <c r="J12379" i="2"/>
  <c r="J12378" i="2"/>
  <c r="J12377" i="2"/>
  <c r="J12376" i="2"/>
  <c r="J12375" i="2"/>
  <c r="J12374" i="2"/>
  <c r="J12373" i="2"/>
  <c r="J12372" i="2"/>
  <c r="J12371" i="2"/>
  <c r="J12370" i="2"/>
  <c r="J12369" i="2"/>
  <c r="J12368" i="2"/>
  <c r="J12367" i="2"/>
  <c r="J12366" i="2"/>
  <c r="J12365" i="2"/>
  <c r="J12364" i="2"/>
  <c r="J12363" i="2"/>
  <c r="J12362" i="2"/>
  <c r="J12361" i="2"/>
  <c r="J12360" i="2"/>
  <c r="J12359" i="2"/>
  <c r="J12358" i="2"/>
  <c r="J12357" i="2"/>
  <c r="J12356" i="2"/>
  <c r="J12355" i="2"/>
  <c r="J12354" i="2"/>
  <c r="J12353" i="2"/>
  <c r="J12352" i="2"/>
  <c r="J12351" i="2"/>
  <c r="J12350" i="2"/>
  <c r="J12349" i="2"/>
  <c r="J12348" i="2"/>
  <c r="J12347" i="2"/>
  <c r="J12346" i="2"/>
  <c r="J12345" i="2"/>
  <c r="J12344" i="2"/>
  <c r="J12343" i="2"/>
  <c r="J12342" i="2"/>
  <c r="J12341" i="2"/>
  <c r="J12340" i="2"/>
  <c r="J12339" i="2"/>
  <c r="J12338" i="2"/>
  <c r="J12337" i="2"/>
  <c r="J12336" i="2"/>
  <c r="J12335" i="2"/>
  <c r="J12334" i="2"/>
  <c r="J12333" i="2"/>
  <c r="J12332" i="2"/>
  <c r="J12331" i="2"/>
  <c r="J12330" i="2"/>
  <c r="J12329" i="2"/>
  <c r="J12328" i="2"/>
  <c r="J12327" i="2"/>
  <c r="J12326" i="2"/>
  <c r="J12325" i="2"/>
  <c r="J12324" i="2"/>
  <c r="J12323" i="2"/>
  <c r="J12322" i="2"/>
  <c r="J12321" i="2"/>
  <c r="J12320" i="2"/>
  <c r="J12319" i="2"/>
  <c r="J12318" i="2"/>
  <c r="J12317" i="2"/>
  <c r="J12316" i="2"/>
  <c r="J12315" i="2"/>
  <c r="J12314" i="2"/>
  <c r="J12313" i="2"/>
  <c r="J12312" i="2"/>
  <c r="J12311" i="2"/>
  <c r="J12310" i="2"/>
  <c r="J12309" i="2"/>
  <c r="J12308" i="2"/>
  <c r="J12307" i="2"/>
  <c r="J12306" i="2"/>
  <c r="J12305" i="2"/>
  <c r="J12304" i="2"/>
  <c r="J12303" i="2"/>
  <c r="J12302" i="2"/>
  <c r="J12301" i="2"/>
  <c r="J12300" i="2"/>
  <c r="J12299" i="2"/>
  <c r="J12298" i="2"/>
  <c r="J12297" i="2"/>
  <c r="J12296" i="2"/>
  <c r="J12295" i="2"/>
  <c r="J12294" i="2"/>
  <c r="J12293" i="2"/>
  <c r="J12292" i="2"/>
  <c r="J12291" i="2"/>
  <c r="J12290" i="2"/>
  <c r="J12289" i="2"/>
  <c r="J12288" i="2"/>
  <c r="J12287" i="2"/>
  <c r="J12286" i="2"/>
  <c r="J12285" i="2"/>
  <c r="J12284" i="2"/>
  <c r="J12283" i="2"/>
  <c r="J12282" i="2"/>
  <c r="J12281" i="2"/>
  <c r="J12280" i="2"/>
  <c r="J12279" i="2"/>
  <c r="J12278" i="2"/>
  <c r="J12277" i="2"/>
  <c r="J12276" i="2"/>
  <c r="J12275" i="2"/>
  <c r="J12274" i="2"/>
  <c r="J12273" i="2"/>
  <c r="J12272" i="2"/>
  <c r="J12271" i="2"/>
  <c r="J12270" i="2"/>
  <c r="J12269" i="2"/>
  <c r="J12268" i="2"/>
  <c r="J12267" i="2"/>
  <c r="J12266" i="2"/>
  <c r="J12265" i="2"/>
  <c r="J12264" i="2"/>
  <c r="J12263" i="2"/>
  <c r="J12262" i="2"/>
  <c r="J12261" i="2"/>
  <c r="J12260" i="2"/>
  <c r="J12259" i="2"/>
  <c r="J12258" i="2"/>
  <c r="J12257" i="2"/>
  <c r="J12256" i="2"/>
  <c r="J12255" i="2"/>
  <c r="J12254" i="2"/>
  <c r="J12253" i="2"/>
  <c r="J12252" i="2"/>
  <c r="J12251" i="2"/>
  <c r="J12250" i="2"/>
  <c r="J12249" i="2"/>
  <c r="J12248" i="2"/>
  <c r="J12247" i="2"/>
  <c r="J12246" i="2"/>
  <c r="J12245" i="2"/>
  <c r="J12244" i="2"/>
  <c r="J12243" i="2"/>
  <c r="J12242" i="2"/>
  <c r="J12241" i="2"/>
  <c r="J12240" i="2"/>
  <c r="J12239" i="2"/>
  <c r="J12238" i="2"/>
  <c r="J12237" i="2"/>
  <c r="J12236" i="2"/>
  <c r="J12235" i="2"/>
  <c r="J12234" i="2"/>
  <c r="J12233" i="2"/>
  <c r="J12232" i="2"/>
  <c r="J12231" i="2"/>
  <c r="J12230" i="2"/>
  <c r="J12229" i="2"/>
  <c r="J12228" i="2"/>
  <c r="J12227" i="2"/>
  <c r="J12226" i="2"/>
  <c r="J12225" i="2"/>
  <c r="J12224" i="2"/>
  <c r="J12223" i="2"/>
  <c r="J12222" i="2"/>
  <c r="J12221" i="2"/>
  <c r="J12220" i="2"/>
  <c r="J12219" i="2"/>
  <c r="J12218" i="2"/>
  <c r="J12217" i="2"/>
  <c r="J12216" i="2"/>
  <c r="J12215" i="2"/>
  <c r="J12214" i="2"/>
  <c r="J12213" i="2"/>
  <c r="J12212" i="2"/>
  <c r="J12211" i="2"/>
  <c r="J12210" i="2"/>
  <c r="J12209" i="2"/>
  <c r="J12208" i="2"/>
  <c r="J12207" i="2"/>
  <c r="J12206" i="2"/>
  <c r="J12205" i="2"/>
  <c r="J12204" i="2"/>
  <c r="J12203" i="2"/>
  <c r="J12202" i="2"/>
  <c r="J12201" i="2"/>
  <c r="J12200" i="2"/>
  <c r="J12199" i="2"/>
  <c r="J12198" i="2"/>
  <c r="J12197" i="2"/>
  <c r="J12196" i="2"/>
  <c r="J12195" i="2"/>
  <c r="J12194" i="2"/>
  <c r="J12193" i="2"/>
  <c r="J12192" i="2"/>
  <c r="J12191" i="2"/>
  <c r="J12190" i="2"/>
  <c r="J12189" i="2"/>
  <c r="J12188" i="2"/>
  <c r="J12187" i="2"/>
  <c r="J12186" i="2"/>
  <c r="J12185" i="2"/>
  <c r="J12184" i="2"/>
  <c r="J12183" i="2"/>
  <c r="J12182" i="2"/>
  <c r="J12181" i="2"/>
  <c r="J12180" i="2"/>
  <c r="J12179" i="2"/>
  <c r="J12178" i="2"/>
  <c r="J12177" i="2"/>
  <c r="J12176" i="2"/>
  <c r="J12175" i="2"/>
  <c r="J12174" i="2"/>
  <c r="J12173" i="2"/>
  <c r="J12172" i="2"/>
  <c r="J12171" i="2"/>
  <c r="J12170" i="2"/>
  <c r="J12169" i="2"/>
  <c r="J12168" i="2"/>
  <c r="J12167" i="2"/>
  <c r="J12166" i="2"/>
  <c r="J12165" i="2"/>
  <c r="J12164" i="2"/>
  <c r="J12163" i="2"/>
  <c r="J12162" i="2"/>
  <c r="J12161" i="2"/>
  <c r="J12160" i="2"/>
  <c r="J12159" i="2"/>
  <c r="J12158" i="2"/>
  <c r="J12157" i="2"/>
  <c r="J12156" i="2"/>
  <c r="J12155" i="2"/>
  <c r="J12154" i="2"/>
  <c r="J12153" i="2"/>
  <c r="J12152" i="2"/>
  <c r="J12151" i="2"/>
  <c r="J12150" i="2"/>
  <c r="J12149" i="2"/>
  <c r="J12148" i="2"/>
  <c r="J12147" i="2"/>
  <c r="J12146" i="2"/>
  <c r="J12145" i="2"/>
  <c r="J12144" i="2"/>
  <c r="J12143" i="2"/>
  <c r="J12142" i="2"/>
  <c r="J12141" i="2"/>
  <c r="J12140" i="2"/>
  <c r="J12139" i="2"/>
  <c r="J12138" i="2"/>
  <c r="J12137" i="2"/>
  <c r="J12136" i="2"/>
  <c r="J12135" i="2"/>
  <c r="J12134" i="2"/>
  <c r="J12133" i="2"/>
  <c r="J12132" i="2"/>
  <c r="J12131" i="2"/>
  <c r="J12130" i="2"/>
  <c r="J12129" i="2"/>
  <c r="J12128" i="2"/>
  <c r="J12127" i="2"/>
  <c r="J12126" i="2"/>
  <c r="J12125" i="2"/>
  <c r="J12124" i="2"/>
  <c r="J12123" i="2"/>
  <c r="J12122" i="2"/>
  <c r="J12121" i="2"/>
  <c r="J12120" i="2"/>
  <c r="J12119" i="2"/>
  <c r="J12118" i="2"/>
  <c r="J12117" i="2"/>
  <c r="J12116" i="2"/>
  <c r="J12115" i="2"/>
  <c r="J12114" i="2"/>
  <c r="J12113" i="2"/>
  <c r="J12112" i="2"/>
  <c r="J12111" i="2"/>
  <c r="J12110" i="2"/>
  <c r="J12109" i="2"/>
  <c r="J12108" i="2"/>
  <c r="J12107" i="2"/>
  <c r="J12106" i="2"/>
  <c r="J12105" i="2"/>
  <c r="J12104" i="2"/>
  <c r="J12103" i="2"/>
  <c r="J12102" i="2"/>
  <c r="J12101" i="2"/>
  <c r="J12100" i="2"/>
  <c r="J12099" i="2"/>
  <c r="J12098" i="2"/>
  <c r="J12097" i="2"/>
  <c r="J12096" i="2"/>
  <c r="J12095" i="2"/>
  <c r="J12094" i="2"/>
  <c r="J12093" i="2"/>
  <c r="J12092" i="2"/>
  <c r="J12091" i="2"/>
  <c r="J12090" i="2"/>
  <c r="J12089" i="2"/>
  <c r="J12088" i="2"/>
  <c r="J12087" i="2"/>
  <c r="J12086" i="2"/>
  <c r="J12085" i="2"/>
  <c r="J12084" i="2"/>
  <c r="J12083" i="2"/>
  <c r="J12082" i="2"/>
  <c r="J12081" i="2"/>
  <c r="J12080" i="2"/>
  <c r="J12079" i="2"/>
  <c r="J12078" i="2"/>
  <c r="J12077" i="2"/>
  <c r="J12076" i="2"/>
  <c r="J12075" i="2"/>
  <c r="J12074" i="2"/>
  <c r="J12073" i="2"/>
  <c r="J12072" i="2"/>
  <c r="J12071" i="2"/>
  <c r="J12070" i="2"/>
  <c r="J12069" i="2"/>
  <c r="J12068" i="2"/>
  <c r="J12067" i="2"/>
  <c r="J12066" i="2"/>
  <c r="J12065" i="2"/>
  <c r="J12064" i="2"/>
  <c r="J12063" i="2"/>
  <c r="J12062" i="2"/>
  <c r="J12061" i="2"/>
  <c r="J12060" i="2"/>
  <c r="J12059" i="2"/>
  <c r="J12058" i="2"/>
  <c r="J12057" i="2"/>
  <c r="J12056" i="2"/>
  <c r="J12055" i="2"/>
  <c r="J12054" i="2"/>
  <c r="J12053" i="2"/>
  <c r="J12052" i="2"/>
  <c r="J12051" i="2"/>
  <c r="J12050" i="2"/>
  <c r="J12049" i="2"/>
  <c r="J12048" i="2"/>
  <c r="J12047" i="2"/>
  <c r="J12046" i="2"/>
  <c r="J12045" i="2"/>
  <c r="J12044" i="2"/>
  <c r="J12043" i="2"/>
  <c r="J12042" i="2"/>
  <c r="J12041" i="2"/>
  <c r="J12040" i="2"/>
  <c r="J12039" i="2"/>
  <c r="J12038" i="2"/>
  <c r="J12037" i="2"/>
  <c r="J12036" i="2"/>
  <c r="J12035" i="2"/>
  <c r="J12034" i="2"/>
  <c r="J12033" i="2"/>
  <c r="J12032" i="2"/>
  <c r="J12031" i="2"/>
  <c r="J12030" i="2"/>
  <c r="J12029" i="2"/>
  <c r="J12028" i="2"/>
  <c r="J12027" i="2"/>
  <c r="J12026" i="2"/>
  <c r="J12025" i="2"/>
  <c r="J12024" i="2"/>
  <c r="J12023" i="2"/>
  <c r="J12022" i="2"/>
  <c r="J12021" i="2"/>
  <c r="J12020" i="2"/>
  <c r="J12019" i="2"/>
  <c r="J12018" i="2"/>
  <c r="J12017" i="2"/>
  <c r="J12016" i="2"/>
  <c r="J12015" i="2"/>
  <c r="J12014" i="2"/>
  <c r="J12013" i="2"/>
  <c r="J12012" i="2"/>
  <c r="J12011" i="2"/>
  <c r="J12010" i="2"/>
  <c r="J12009" i="2"/>
  <c r="J12008" i="2"/>
  <c r="J12007" i="2"/>
  <c r="J12006" i="2"/>
  <c r="J12005" i="2"/>
  <c r="J12004" i="2"/>
  <c r="J12003" i="2"/>
  <c r="J12002" i="2"/>
  <c r="J12001" i="2"/>
  <c r="J12000" i="2"/>
  <c r="J11999" i="2"/>
  <c r="J11998" i="2"/>
  <c r="J11997" i="2"/>
  <c r="J11996" i="2"/>
  <c r="J11995" i="2"/>
  <c r="J11994" i="2"/>
  <c r="J11993" i="2"/>
  <c r="J11992" i="2"/>
  <c r="J11991" i="2"/>
  <c r="J11990" i="2"/>
  <c r="J11989" i="2"/>
  <c r="J11988" i="2"/>
  <c r="J11987" i="2"/>
  <c r="J11986" i="2"/>
  <c r="J11985" i="2"/>
  <c r="J11984" i="2"/>
  <c r="J11983" i="2"/>
  <c r="J11982" i="2"/>
  <c r="J11981" i="2"/>
  <c r="J11980" i="2"/>
  <c r="J11979" i="2"/>
  <c r="J11978" i="2"/>
  <c r="J11977" i="2"/>
  <c r="J11976" i="2"/>
  <c r="J11975" i="2"/>
  <c r="J11974" i="2"/>
  <c r="J11973" i="2"/>
  <c r="J11972" i="2"/>
  <c r="J11971" i="2"/>
  <c r="J11970" i="2"/>
  <c r="J11969" i="2"/>
  <c r="J11968" i="2"/>
  <c r="J11967" i="2"/>
  <c r="J11966" i="2"/>
  <c r="J11965" i="2"/>
  <c r="J11964" i="2"/>
  <c r="J11963" i="2"/>
  <c r="J11962" i="2"/>
  <c r="J11961" i="2"/>
  <c r="J11960" i="2"/>
  <c r="J11959" i="2"/>
  <c r="J11958" i="2"/>
  <c r="J11957" i="2"/>
  <c r="J11956" i="2"/>
  <c r="J11955" i="2"/>
  <c r="J11954" i="2"/>
  <c r="J11953" i="2"/>
  <c r="J11952" i="2"/>
  <c r="J11951" i="2"/>
  <c r="J11950" i="2"/>
  <c r="J11949" i="2"/>
  <c r="J11948" i="2"/>
  <c r="J11947" i="2"/>
  <c r="J11946" i="2"/>
  <c r="J11945" i="2"/>
  <c r="J11944" i="2"/>
  <c r="J11943" i="2"/>
  <c r="J11942" i="2"/>
  <c r="J11941" i="2"/>
  <c r="J11940" i="2"/>
  <c r="J11939" i="2"/>
  <c r="J11938" i="2"/>
  <c r="J11937" i="2"/>
  <c r="J11936" i="2"/>
  <c r="J11935" i="2"/>
  <c r="J11934" i="2"/>
  <c r="J11933" i="2"/>
  <c r="J11932" i="2"/>
  <c r="J11931" i="2"/>
  <c r="J11930" i="2"/>
  <c r="J11929" i="2"/>
  <c r="J11928" i="2"/>
  <c r="J11927" i="2"/>
  <c r="J11926" i="2"/>
  <c r="J11925" i="2"/>
  <c r="J11924" i="2"/>
  <c r="J11923" i="2"/>
  <c r="J11922" i="2"/>
  <c r="J11921" i="2"/>
  <c r="J11920" i="2"/>
  <c r="J11919" i="2"/>
  <c r="J11918" i="2"/>
  <c r="J11917" i="2"/>
  <c r="J11916" i="2"/>
  <c r="J11915" i="2"/>
  <c r="J11914" i="2"/>
  <c r="J11913" i="2"/>
  <c r="J11912" i="2"/>
  <c r="J11911" i="2"/>
  <c r="J11910" i="2"/>
  <c r="J11909" i="2"/>
  <c r="J11908" i="2"/>
  <c r="J11907" i="2"/>
  <c r="J11906" i="2"/>
  <c r="J11905" i="2"/>
  <c r="J11904" i="2"/>
  <c r="J11903" i="2"/>
  <c r="J11902" i="2"/>
  <c r="J11901" i="2"/>
  <c r="J11900" i="2"/>
  <c r="J11899" i="2"/>
  <c r="J11898" i="2"/>
  <c r="J11897" i="2"/>
  <c r="J11896" i="2"/>
  <c r="J11895" i="2"/>
  <c r="J11894" i="2"/>
  <c r="J11893" i="2"/>
  <c r="J11892" i="2"/>
  <c r="J11891" i="2"/>
  <c r="J11890" i="2"/>
  <c r="J11889" i="2"/>
  <c r="J11888" i="2"/>
  <c r="J11887" i="2"/>
  <c r="J11886" i="2"/>
  <c r="J11885" i="2"/>
  <c r="J11884" i="2"/>
  <c r="J11883" i="2"/>
  <c r="J11882" i="2"/>
  <c r="J11881" i="2"/>
  <c r="J11880" i="2"/>
  <c r="J11879" i="2"/>
  <c r="J11878" i="2"/>
  <c r="J11877" i="2"/>
  <c r="J11876" i="2"/>
  <c r="J11875" i="2"/>
  <c r="J11874" i="2"/>
  <c r="J11873" i="2"/>
  <c r="J11872" i="2"/>
  <c r="J11871" i="2"/>
  <c r="J11870" i="2"/>
  <c r="J11869" i="2"/>
  <c r="J11868" i="2"/>
  <c r="J11867" i="2"/>
  <c r="J11866" i="2"/>
  <c r="J11865" i="2"/>
  <c r="J11864" i="2"/>
  <c r="J11863" i="2"/>
  <c r="J11862" i="2"/>
  <c r="J11861" i="2"/>
  <c r="J11860" i="2"/>
  <c r="J11859" i="2"/>
  <c r="J11858" i="2"/>
  <c r="J11857" i="2"/>
  <c r="J11856" i="2"/>
  <c r="J11855" i="2"/>
  <c r="J11854" i="2"/>
  <c r="J11853" i="2"/>
  <c r="J11852" i="2"/>
  <c r="J11851" i="2"/>
  <c r="J11850" i="2"/>
  <c r="J11849" i="2"/>
  <c r="J11848" i="2"/>
  <c r="J11847" i="2"/>
  <c r="J11846" i="2"/>
  <c r="J11845" i="2"/>
  <c r="J11844" i="2"/>
  <c r="J11843" i="2"/>
  <c r="J11842" i="2"/>
  <c r="J11841" i="2"/>
  <c r="J11840" i="2"/>
  <c r="J11839" i="2"/>
  <c r="J11838" i="2"/>
  <c r="J11837" i="2"/>
  <c r="J11836" i="2"/>
  <c r="J11835" i="2"/>
  <c r="J11834" i="2"/>
  <c r="J11833" i="2"/>
  <c r="J11832" i="2"/>
  <c r="J11831" i="2"/>
  <c r="J11830" i="2"/>
  <c r="J11829" i="2"/>
  <c r="J11828" i="2"/>
  <c r="J11827" i="2"/>
  <c r="J11826" i="2"/>
  <c r="J11825" i="2"/>
  <c r="J11824" i="2"/>
  <c r="J11823" i="2"/>
  <c r="J11822" i="2"/>
  <c r="J11821" i="2"/>
  <c r="J11820" i="2"/>
  <c r="J11819" i="2"/>
  <c r="J11818" i="2"/>
  <c r="J11817" i="2"/>
  <c r="J11816" i="2"/>
  <c r="J11815" i="2"/>
  <c r="J11814" i="2"/>
  <c r="J11813" i="2"/>
  <c r="J11812" i="2"/>
  <c r="J11811" i="2"/>
  <c r="J11810" i="2"/>
  <c r="J11809" i="2"/>
  <c r="J11808" i="2"/>
  <c r="J11807" i="2"/>
  <c r="J11806" i="2"/>
  <c r="J11805" i="2"/>
  <c r="J11804" i="2"/>
  <c r="J11803" i="2"/>
  <c r="J11802" i="2"/>
  <c r="J11801" i="2"/>
  <c r="J11800" i="2"/>
  <c r="J11799" i="2"/>
  <c r="J11798" i="2"/>
  <c r="J11797" i="2"/>
  <c r="J11796" i="2"/>
  <c r="J11795" i="2"/>
  <c r="J11794" i="2"/>
  <c r="J11793" i="2"/>
  <c r="J11792" i="2"/>
  <c r="J11791" i="2"/>
  <c r="J11790" i="2"/>
  <c r="J11789" i="2"/>
  <c r="J11788" i="2"/>
  <c r="J11787" i="2"/>
  <c r="J11786" i="2"/>
  <c r="J11785" i="2"/>
  <c r="J11784" i="2"/>
  <c r="J11783" i="2"/>
  <c r="J11782" i="2"/>
  <c r="J11781" i="2"/>
  <c r="J11780" i="2"/>
  <c r="J11779" i="2"/>
  <c r="J11778" i="2"/>
  <c r="J11777" i="2"/>
  <c r="J11776" i="2"/>
  <c r="J11775" i="2"/>
  <c r="J11774" i="2"/>
  <c r="J11773" i="2"/>
  <c r="J11772" i="2"/>
  <c r="J11771" i="2"/>
  <c r="J11770" i="2"/>
  <c r="J11769" i="2"/>
  <c r="J11768" i="2"/>
  <c r="J11767" i="2"/>
  <c r="J11766" i="2"/>
  <c r="J11765" i="2"/>
  <c r="J11764" i="2"/>
  <c r="J11763" i="2"/>
  <c r="J11762" i="2"/>
  <c r="J11761" i="2"/>
  <c r="J11760" i="2"/>
  <c r="J11759" i="2"/>
  <c r="J11758" i="2"/>
  <c r="J11757" i="2"/>
  <c r="J11756" i="2"/>
  <c r="J11755" i="2"/>
  <c r="J11754" i="2"/>
  <c r="J11753" i="2"/>
  <c r="J11752" i="2"/>
  <c r="J11751" i="2"/>
  <c r="J11750" i="2"/>
  <c r="J11749" i="2"/>
  <c r="J11748" i="2"/>
  <c r="J11747" i="2"/>
  <c r="J11746" i="2"/>
  <c r="J11745" i="2"/>
  <c r="J11744" i="2"/>
  <c r="J11743" i="2"/>
  <c r="J11742" i="2"/>
  <c r="J11741" i="2"/>
  <c r="J11740" i="2"/>
  <c r="J11739" i="2"/>
  <c r="J11738" i="2"/>
  <c r="J11737" i="2"/>
  <c r="J11736" i="2"/>
  <c r="J11735" i="2"/>
  <c r="J11734" i="2"/>
  <c r="J11733" i="2"/>
  <c r="J11732" i="2"/>
  <c r="J11731" i="2"/>
  <c r="J11730" i="2"/>
  <c r="J11729" i="2"/>
  <c r="J11728" i="2"/>
  <c r="J11727" i="2"/>
  <c r="J11726" i="2"/>
  <c r="J11725" i="2"/>
  <c r="J11724" i="2"/>
  <c r="J11723" i="2"/>
  <c r="J11722" i="2"/>
  <c r="J11721" i="2"/>
  <c r="J11720" i="2"/>
  <c r="J11719" i="2"/>
  <c r="J11718" i="2"/>
  <c r="J11717" i="2"/>
  <c r="J11716" i="2"/>
  <c r="J11715" i="2"/>
  <c r="J11714" i="2"/>
  <c r="J11713" i="2"/>
  <c r="J11712" i="2"/>
  <c r="J11711" i="2"/>
  <c r="J11710" i="2"/>
  <c r="J11709" i="2"/>
  <c r="J11708" i="2"/>
  <c r="J11707" i="2"/>
  <c r="J11706" i="2"/>
  <c r="J11705" i="2"/>
  <c r="J11704" i="2"/>
  <c r="J11703" i="2"/>
  <c r="J11702" i="2"/>
  <c r="J11701" i="2"/>
  <c r="J11700" i="2"/>
  <c r="J11699" i="2"/>
  <c r="J11698" i="2"/>
  <c r="J11697" i="2"/>
  <c r="J11696" i="2"/>
  <c r="J11695" i="2"/>
  <c r="J11694" i="2"/>
  <c r="J11693" i="2"/>
  <c r="J11692" i="2"/>
  <c r="J11691" i="2"/>
  <c r="J11690" i="2"/>
  <c r="J11689" i="2"/>
  <c r="J11688" i="2"/>
  <c r="J11687" i="2"/>
  <c r="J11686" i="2"/>
  <c r="J11685" i="2"/>
  <c r="J11684" i="2"/>
  <c r="J11683" i="2"/>
  <c r="J11682" i="2"/>
  <c r="J11681" i="2"/>
  <c r="J11680" i="2"/>
  <c r="J11679" i="2"/>
  <c r="J11678" i="2"/>
  <c r="J11677" i="2"/>
  <c r="J11676" i="2"/>
  <c r="J11675" i="2"/>
  <c r="J11674" i="2"/>
  <c r="J11673" i="2"/>
  <c r="J11672" i="2"/>
  <c r="J11671" i="2"/>
  <c r="J11670" i="2"/>
  <c r="J11669" i="2"/>
  <c r="J11668" i="2"/>
  <c r="J11667" i="2"/>
  <c r="J11666" i="2"/>
  <c r="J11665" i="2"/>
  <c r="J11664" i="2"/>
  <c r="J11663" i="2"/>
  <c r="J11662" i="2"/>
  <c r="J11661" i="2"/>
  <c r="J11660" i="2"/>
  <c r="J11659" i="2"/>
  <c r="J11658" i="2"/>
  <c r="J11657" i="2"/>
  <c r="J11656" i="2"/>
  <c r="J11655" i="2"/>
  <c r="J11654" i="2"/>
  <c r="J11653" i="2"/>
  <c r="J11652" i="2"/>
  <c r="J11651" i="2"/>
  <c r="J11650" i="2"/>
  <c r="J11649" i="2"/>
  <c r="J11648" i="2"/>
  <c r="J11647" i="2"/>
  <c r="J11646" i="2"/>
  <c r="J11645" i="2"/>
  <c r="J11644" i="2"/>
  <c r="J11643" i="2"/>
  <c r="J11642" i="2"/>
  <c r="J11641" i="2"/>
  <c r="J11640" i="2"/>
  <c r="J11639" i="2"/>
  <c r="J11638" i="2"/>
  <c r="J11637" i="2"/>
  <c r="J11636" i="2"/>
  <c r="J11635" i="2"/>
  <c r="J11634" i="2"/>
  <c r="J11633" i="2"/>
  <c r="J11632" i="2"/>
  <c r="J11631" i="2"/>
  <c r="J11630" i="2"/>
  <c r="J11629" i="2"/>
  <c r="J11628" i="2"/>
  <c r="J11627" i="2"/>
  <c r="J11626" i="2"/>
  <c r="J11625" i="2"/>
  <c r="J11624" i="2"/>
  <c r="J11623" i="2"/>
  <c r="J11622" i="2"/>
  <c r="J11621" i="2"/>
  <c r="J11620" i="2"/>
  <c r="J11619" i="2"/>
  <c r="J11618" i="2"/>
  <c r="J11617" i="2"/>
  <c r="J11616" i="2"/>
  <c r="J11615" i="2"/>
  <c r="J11614" i="2"/>
  <c r="J11613" i="2"/>
  <c r="J11612" i="2"/>
  <c r="J11611" i="2"/>
  <c r="J11610" i="2"/>
  <c r="J11609" i="2"/>
  <c r="J11608" i="2"/>
  <c r="J11607" i="2"/>
  <c r="J11606" i="2"/>
  <c r="J11605" i="2"/>
  <c r="J11604" i="2"/>
  <c r="J11603" i="2"/>
  <c r="J11602" i="2"/>
  <c r="J11601" i="2"/>
  <c r="J11600" i="2"/>
  <c r="J11599" i="2"/>
  <c r="J11598" i="2"/>
  <c r="J11597" i="2"/>
  <c r="J11596" i="2"/>
  <c r="J11595" i="2"/>
  <c r="J11594" i="2"/>
  <c r="J11593" i="2"/>
  <c r="J11592" i="2"/>
  <c r="J11591" i="2"/>
  <c r="J11590" i="2"/>
  <c r="J11589" i="2"/>
  <c r="J11588" i="2"/>
  <c r="J11587" i="2"/>
  <c r="J11586" i="2"/>
  <c r="J11585" i="2"/>
  <c r="J11584" i="2"/>
  <c r="J11583" i="2"/>
  <c r="J11582" i="2"/>
  <c r="J11581" i="2"/>
  <c r="J11580" i="2"/>
  <c r="J11579" i="2"/>
  <c r="J11578" i="2"/>
  <c r="J11577" i="2"/>
  <c r="J11576" i="2"/>
  <c r="J11575" i="2"/>
  <c r="J11574" i="2"/>
  <c r="J11573" i="2"/>
  <c r="J11572" i="2"/>
  <c r="J11571" i="2"/>
  <c r="J11570" i="2"/>
  <c r="J11569" i="2"/>
  <c r="J11568" i="2"/>
  <c r="J11567" i="2"/>
  <c r="J11566" i="2"/>
  <c r="J11565" i="2"/>
  <c r="J11564" i="2"/>
  <c r="J11563" i="2"/>
  <c r="J11562" i="2"/>
  <c r="J11561" i="2"/>
  <c r="J11560" i="2"/>
  <c r="J11559" i="2"/>
  <c r="J11558" i="2"/>
  <c r="J11557" i="2"/>
  <c r="J11556" i="2"/>
  <c r="J11555" i="2"/>
  <c r="J11554" i="2"/>
  <c r="J11553" i="2"/>
  <c r="J11552" i="2"/>
  <c r="J11551" i="2"/>
  <c r="J11550" i="2"/>
  <c r="J11549" i="2"/>
  <c r="J11548" i="2"/>
  <c r="J11547" i="2"/>
  <c r="J11546" i="2"/>
  <c r="J11545" i="2"/>
  <c r="J11544" i="2"/>
  <c r="J11543" i="2"/>
  <c r="J11542" i="2"/>
  <c r="J11541" i="2"/>
  <c r="J11540" i="2"/>
  <c r="J11539" i="2"/>
  <c r="J11538" i="2"/>
  <c r="J11537" i="2"/>
  <c r="J11536" i="2"/>
  <c r="J11535" i="2"/>
  <c r="J11534" i="2"/>
  <c r="J11533" i="2"/>
  <c r="J11532" i="2"/>
  <c r="J11531" i="2"/>
  <c r="J11530" i="2"/>
  <c r="J11529" i="2"/>
  <c r="J11528" i="2"/>
  <c r="J11527" i="2"/>
  <c r="J11526" i="2"/>
  <c r="J11525" i="2"/>
  <c r="J11524" i="2"/>
  <c r="J11523" i="2"/>
  <c r="J11522" i="2"/>
  <c r="J11521" i="2"/>
  <c r="J11520" i="2"/>
  <c r="J11519" i="2"/>
  <c r="J11518" i="2"/>
  <c r="J11517" i="2"/>
  <c r="J11516" i="2"/>
  <c r="J11515" i="2"/>
  <c r="J11514" i="2"/>
  <c r="J11513" i="2"/>
  <c r="J11512" i="2"/>
  <c r="J11511" i="2"/>
  <c r="J11510" i="2"/>
  <c r="J11509" i="2"/>
  <c r="J11508" i="2"/>
  <c r="J11507" i="2"/>
  <c r="J11506" i="2"/>
  <c r="J11505" i="2"/>
  <c r="J11504" i="2"/>
  <c r="J11503" i="2"/>
  <c r="J11502" i="2"/>
  <c r="J11501" i="2"/>
  <c r="J11500" i="2"/>
  <c r="J11499" i="2"/>
  <c r="J11498" i="2"/>
  <c r="J11497" i="2"/>
  <c r="J11496" i="2"/>
  <c r="J11495" i="2"/>
  <c r="J11494" i="2"/>
  <c r="J11493" i="2"/>
  <c r="J11492" i="2"/>
  <c r="J11491" i="2"/>
  <c r="J11490" i="2"/>
  <c r="J11489" i="2"/>
  <c r="J11488" i="2"/>
  <c r="J11487" i="2"/>
  <c r="J11486" i="2"/>
  <c r="J11485" i="2"/>
  <c r="J11484" i="2"/>
  <c r="J11483" i="2"/>
  <c r="J11482" i="2"/>
  <c r="J11481" i="2"/>
  <c r="J11480" i="2"/>
  <c r="J11479" i="2"/>
  <c r="J11478" i="2"/>
  <c r="J11477" i="2"/>
  <c r="J11476" i="2"/>
  <c r="J11475" i="2"/>
  <c r="J11474" i="2"/>
  <c r="J11473" i="2"/>
  <c r="J11472" i="2"/>
  <c r="J11471" i="2"/>
  <c r="J11470" i="2"/>
  <c r="J11469" i="2"/>
  <c r="J11468" i="2"/>
  <c r="J11467" i="2"/>
  <c r="J11466" i="2"/>
  <c r="J11465" i="2"/>
  <c r="J11464" i="2"/>
  <c r="J11463" i="2"/>
  <c r="J11462" i="2"/>
  <c r="J11461" i="2"/>
  <c r="J11460" i="2"/>
  <c r="J11459" i="2"/>
  <c r="J11458" i="2"/>
  <c r="J11457" i="2"/>
  <c r="J11456" i="2"/>
  <c r="J11455" i="2"/>
  <c r="J11454" i="2"/>
  <c r="J11453" i="2"/>
  <c r="J11452" i="2"/>
  <c r="J11451" i="2"/>
  <c r="J11450" i="2"/>
  <c r="J11449" i="2"/>
  <c r="J11448" i="2"/>
  <c r="J11447" i="2"/>
  <c r="J11446" i="2"/>
  <c r="J11445" i="2"/>
  <c r="J11444" i="2"/>
  <c r="J11443" i="2"/>
  <c r="J11442" i="2"/>
  <c r="J11441" i="2"/>
  <c r="J11440" i="2"/>
  <c r="J11439" i="2"/>
  <c r="J11438" i="2"/>
  <c r="J11437" i="2"/>
  <c r="J11436" i="2"/>
  <c r="J11435" i="2"/>
  <c r="J11434" i="2"/>
  <c r="J11433" i="2"/>
  <c r="J11432" i="2"/>
  <c r="J11431" i="2"/>
  <c r="J11430" i="2"/>
  <c r="J11429" i="2"/>
  <c r="J11428" i="2"/>
  <c r="J11427" i="2"/>
  <c r="J11426" i="2"/>
  <c r="J11425" i="2"/>
  <c r="J11424" i="2"/>
  <c r="J11423" i="2"/>
  <c r="J11422" i="2"/>
  <c r="J11421" i="2"/>
  <c r="J11420" i="2"/>
  <c r="J11419" i="2"/>
  <c r="J11418" i="2"/>
  <c r="J11417" i="2"/>
  <c r="J11416" i="2"/>
  <c r="J11415" i="2"/>
  <c r="J11414" i="2"/>
  <c r="J11413" i="2"/>
  <c r="J11412" i="2"/>
  <c r="J11411" i="2"/>
  <c r="J11410" i="2"/>
  <c r="J11409" i="2"/>
  <c r="J11408" i="2"/>
  <c r="J11407" i="2"/>
  <c r="J11406" i="2"/>
  <c r="J11405" i="2"/>
  <c r="J11404" i="2"/>
  <c r="J11403" i="2"/>
  <c r="J11402" i="2"/>
  <c r="J11401" i="2"/>
  <c r="J11400" i="2"/>
  <c r="J11399" i="2"/>
  <c r="J11398" i="2"/>
  <c r="J11397" i="2"/>
  <c r="J11396" i="2"/>
  <c r="J11395" i="2"/>
  <c r="J11394" i="2"/>
  <c r="J11393" i="2"/>
  <c r="J11392" i="2"/>
  <c r="J11391" i="2"/>
  <c r="J11390" i="2"/>
  <c r="J11389" i="2"/>
  <c r="J11388" i="2"/>
  <c r="J11387" i="2"/>
  <c r="J11386" i="2"/>
  <c r="J11385" i="2"/>
  <c r="J11384" i="2"/>
  <c r="J11383" i="2"/>
  <c r="J11382" i="2"/>
  <c r="J11381" i="2"/>
  <c r="J11380" i="2"/>
  <c r="J11379" i="2"/>
  <c r="J11378" i="2"/>
  <c r="J11377" i="2"/>
  <c r="J11376" i="2"/>
  <c r="J11375" i="2"/>
  <c r="J11374" i="2"/>
  <c r="J11373" i="2"/>
  <c r="J11372" i="2"/>
  <c r="J11371" i="2"/>
  <c r="J11370" i="2"/>
  <c r="J11369" i="2"/>
  <c r="J11368" i="2"/>
  <c r="J11367" i="2"/>
  <c r="J11366" i="2"/>
  <c r="J11365" i="2"/>
  <c r="J11364" i="2"/>
  <c r="J11363" i="2"/>
  <c r="J11362" i="2"/>
  <c r="J11361" i="2"/>
  <c r="J11360" i="2"/>
  <c r="J11359" i="2"/>
  <c r="J11358" i="2"/>
  <c r="J11357" i="2"/>
  <c r="J11356" i="2"/>
  <c r="J11355" i="2"/>
  <c r="J11354" i="2"/>
  <c r="J11353" i="2"/>
  <c r="J11352" i="2"/>
  <c r="J11351" i="2"/>
  <c r="J11350" i="2"/>
  <c r="J11349" i="2"/>
  <c r="J11348" i="2"/>
  <c r="J11347" i="2"/>
  <c r="J11346" i="2"/>
  <c r="J11345" i="2"/>
  <c r="J11344" i="2"/>
  <c r="J11343" i="2"/>
  <c r="J11342" i="2"/>
  <c r="J11341" i="2"/>
  <c r="J11340" i="2"/>
  <c r="J11339" i="2"/>
  <c r="J11338" i="2"/>
  <c r="J11337" i="2"/>
  <c r="J11336" i="2"/>
  <c r="J11335" i="2"/>
  <c r="J11334" i="2"/>
  <c r="J11333" i="2"/>
  <c r="J11332" i="2"/>
  <c r="J11331" i="2"/>
  <c r="J11330" i="2"/>
  <c r="J11329" i="2"/>
  <c r="J11328" i="2"/>
  <c r="J11327" i="2"/>
  <c r="J11326" i="2"/>
  <c r="J11325" i="2"/>
  <c r="J11324" i="2"/>
  <c r="J11323" i="2"/>
  <c r="J11322" i="2"/>
  <c r="J11321" i="2"/>
  <c r="J11320" i="2"/>
  <c r="J11319" i="2"/>
  <c r="J11318" i="2"/>
  <c r="J11317" i="2"/>
  <c r="J11316" i="2"/>
  <c r="J11315" i="2"/>
  <c r="J11314" i="2"/>
  <c r="J11313" i="2"/>
  <c r="J11312" i="2"/>
  <c r="J11311" i="2"/>
  <c r="J11310" i="2"/>
  <c r="J11309" i="2"/>
  <c r="J11308" i="2"/>
  <c r="J11307" i="2"/>
  <c r="J11306" i="2"/>
  <c r="J11305" i="2"/>
  <c r="J11304" i="2"/>
  <c r="J11303" i="2"/>
  <c r="J11302" i="2"/>
  <c r="J11301" i="2"/>
  <c r="J11300" i="2"/>
  <c r="J11299" i="2"/>
  <c r="J11298" i="2"/>
  <c r="J11297" i="2"/>
  <c r="J11296" i="2"/>
  <c r="J11295" i="2"/>
  <c r="J11294" i="2"/>
  <c r="J11293" i="2"/>
  <c r="J11292" i="2"/>
  <c r="J11291" i="2"/>
  <c r="J11290" i="2"/>
  <c r="J11289" i="2"/>
  <c r="J11288" i="2"/>
  <c r="J11287" i="2"/>
  <c r="J11286" i="2"/>
  <c r="J11285" i="2"/>
  <c r="J11284" i="2"/>
  <c r="J11283" i="2"/>
  <c r="J11282" i="2"/>
  <c r="J11281" i="2"/>
  <c r="J11280" i="2"/>
  <c r="J11279" i="2"/>
  <c r="J11278" i="2"/>
  <c r="J11277" i="2"/>
  <c r="J11276" i="2"/>
  <c r="J11275" i="2"/>
  <c r="J11274" i="2"/>
  <c r="J11273" i="2"/>
  <c r="J11272" i="2"/>
  <c r="J11271" i="2"/>
  <c r="J11270" i="2"/>
  <c r="J11269" i="2"/>
  <c r="J11268" i="2"/>
  <c r="J11267" i="2"/>
  <c r="J11266" i="2"/>
  <c r="J11265" i="2"/>
  <c r="J11264" i="2"/>
  <c r="J11263" i="2"/>
  <c r="J11262" i="2"/>
  <c r="J11261" i="2"/>
  <c r="J11260" i="2"/>
  <c r="J11259" i="2"/>
  <c r="J11258" i="2"/>
  <c r="J11257" i="2"/>
  <c r="J11256" i="2"/>
  <c r="J11255" i="2"/>
  <c r="J11254" i="2"/>
  <c r="J11253" i="2"/>
  <c r="J11252" i="2"/>
  <c r="J11251" i="2"/>
  <c r="J11250" i="2"/>
  <c r="J11249" i="2"/>
  <c r="J11248" i="2"/>
  <c r="J11247" i="2"/>
  <c r="J11246" i="2"/>
  <c r="J11245" i="2"/>
  <c r="J11244" i="2"/>
  <c r="J11243" i="2"/>
  <c r="J11242" i="2"/>
  <c r="J11241" i="2"/>
  <c r="J11240" i="2"/>
  <c r="J11239" i="2"/>
  <c r="J11238" i="2"/>
  <c r="J11237" i="2"/>
  <c r="J11236" i="2"/>
  <c r="J11235" i="2"/>
  <c r="J11234" i="2"/>
  <c r="J11233" i="2"/>
  <c r="J11232" i="2"/>
  <c r="J11231" i="2"/>
  <c r="J11230" i="2"/>
  <c r="J11229" i="2"/>
  <c r="J11228" i="2"/>
  <c r="J11227" i="2"/>
  <c r="J11226" i="2"/>
  <c r="J11225" i="2"/>
  <c r="J11224" i="2"/>
  <c r="J11223" i="2"/>
  <c r="J11222" i="2"/>
  <c r="J11221" i="2"/>
  <c r="J11220" i="2"/>
  <c r="J11219" i="2"/>
  <c r="J11218" i="2"/>
  <c r="J11217" i="2"/>
  <c r="J11216" i="2"/>
  <c r="J11215" i="2"/>
  <c r="J11214" i="2"/>
  <c r="J11213" i="2"/>
  <c r="J11212" i="2"/>
  <c r="J11211" i="2"/>
  <c r="J11210" i="2"/>
  <c r="J11209" i="2"/>
  <c r="J11208" i="2"/>
  <c r="J11207" i="2"/>
  <c r="J11206" i="2"/>
  <c r="J11205" i="2"/>
  <c r="J11204" i="2"/>
  <c r="J11203" i="2"/>
  <c r="J11202" i="2"/>
  <c r="J11201" i="2"/>
  <c r="J11200" i="2"/>
  <c r="J11199" i="2"/>
  <c r="J11198" i="2"/>
  <c r="J11197" i="2"/>
  <c r="J11196" i="2"/>
  <c r="J11195" i="2"/>
  <c r="J11194" i="2"/>
  <c r="J11193" i="2"/>
  <c r="J11192" i="2"/>
  <c r="J11191" i="2"/>
  <c r="J11190" i="2"/>
  <c r="J11189" i="2"/>
  <c r="J11188" i="2"/>
  <c r="J11187" i="2"/>
  <c r="J11186" i="2"/>
  <c r="J11185" i="2"/>
  <c r="J11184" i="2"/>
  <c r="J11183" i="2"/>
  <c r="J11182" i="2"/>
  <c r="J11181" i="2"/>
  <c r="J11180" i="2"/>
  <c r="J11179" i="2"/>
  <c r="J11178" i="2"/>
  <c r="J11177" i="2"/>
  <c r="J11176" i="2"/>
  <c r="J11175" i="2"/>
  <c r="J11174" i="2"/>
  <c r="J11173" i="2"/>
  <c r="J11172" i="2"/>
  <c r="J11171" i="2"/>
  <c r="J11170" i="2"/>
  <c r="J11169" i="2"/>
  <c r="J11168" i="2"/>
  <c r="J11167" i="2"/>
  <c r="J11166" i="2"/>
  <c r="J11165" i="2"/>
  <c r="J11164" i="2"/>
  <c r="J11163" i="2"/>
  <c r="J11162" i="2"/>
  <c r="J11161" i="2"/>
  <c r="J11160" i="2"/>
  <c r="J11159" i="2"/>
  <c r="J11158" i="2"/>
  <c r="J11157" i="2"/>
  <c r="J11156" i="2"/>
  <c r="J11155" i="2"/>
  <c r="J11154" i="2"/>
  <c r="J11153" i="2"/>
  <c r="J11152" i="2"/>
  <c r="J11151" i="2"/>
  <c r="J11150" i="2"/>
  <c r="J11149" i="2"/>
  <c r="J11148" i="2"/>
  <c r="J11147" i="2"/>
  <c r="J11146" i="2"/>
  <c r="J11145" i="2"/>
  <c r="J11144" i="2"/>
  <c r="J11143" i="2"/>
  <c r="J11142" i="2"/>
  <c r="J11141" i="2"/>
  <c r="J11140" i="2"/>
  <c r="J11139" i="2"/>
  <c r="J11138" i="2"/>
  <c r="J11137" i="2"/>
  <c r="J11136" i="2"/>
  <c r="J11135" i="2"/>
  <c r="J11134" i="2"/>
  <c r="J11133" i="2"/>
  <c r="J11132" i="2"/>
  <c r="J11131" i="2"/>
  <c r="J11130" i="2"/>
  <c r="J11129" i="2"/>
  <c r="J11128" i="2"/>
  <c r="J11127" i="2"/>
  <c r="J11126" i="2"/>
  <c r="J11125" i="2"/>
  <c r="J11124" i="2"/>
  <c r="J11123" i="2"/>
  <c r="J11122" i="2"/>
  <c r="J11121" i="2"/>
  <c r="J11120" i="2"/>
  <c r="J11119" i="2"/>
  <c r="J11118" i="2"/>
  <c r="J11117" i="2"/>
  <c r="J11116" i="2"/>
  <c r="J11115" i="2"/>
  <c r="J11114" i="2"/>
  <c r="J11113" i="2"/>
  <c r="J11112" i="2"/>
  <c r="J11111" i="2"/>
  <c r="J11110" i="2"/>
  <c r="J11109" i="2"/>
  <c r="J11108" i="2"/>
  <c r="J11107" i="2"/>
  <c r="J11106" i="2"/>
  <c r="J11105" i="2"/>
  <c r="J11104" i="2"/>
  <c r="J11103" i="2"/>
  <c r="J11102" i="2"/>
  <c r="J11101" i="2"/>
  <c r="J11100" i="2"/>
  <c r="J11099" i="2"/>
  <c r="J11098" i="2"/>
  <c r="J11097" i="2"/>
  <c r="J11096" i="2"/>
  <c r="J11095" i="2"/>
  <c r="J11094" i="2"/>
  <c r="J11093" i="2"/>
  <c r="J11092" i="2"/>
  <c r="J11091" i="2"/>
  <c r="J11090" i="2"/>
  <c r="J11089" i="2"/>
  <c r="J11088" i="2"/>
  <c r="J11087" i="2"/>
  <c r="J11086" i="2"/>
  <c r="J11085" i="2"/>
  <c r="J11084" i="2"/>
  <c r="J11083" i="2"/>
  <c r="J11082" i="2"/>
  <c r="J11081" i="2"/>
  <c r="J11080" i="2"/>
  <c r="J11079" i="2"/>
  <c r="J11078" i="2"/>
  <c r="J11077" i="2"/>
  <c r="J11076" i="2"/>
  <c r="J11075" i="2"/>
  <c r="J11074" i="2"/>
  <c r="J11073" i="2"/>
  <c r="J11072" i="2"/>
  <c r="J11071" i="2"/>
  <c r="J11070" i="2"/>
  <c r="J11069" i="2"/>
  <c r="J11068" i="2"/>
  <c r="J11067" i="2"/>
  <c r="J11066" i="2"/>
  <c r="J11065" i="2"/>
  <c r="J11064" i="2"/>
  <c r="J11063" i="2"/>
  <c r="J11062" i="2"/>
  <c r="J11061" i="2"/>
  <c r="J11060" i="2"/>
  <c r="J11059" i="2"/>
  <c r="J11058" i="2"/>
  <c r="J11057" i="2"/>
  <c r="J11056" i="2"/>
  <c r="J11055" i="2"/>
  <c r="J11054" i="2"/>
  <c r="J11053" i="2"/>
  <c r="J11052" i="2"/>
  <c r="J11051" i="2"/>
  <c r="J11050" i="2"/>
  <c r="J11049" i="2"/>
  <c r="J11048" i="2"/>
  <c r="J11047" i="2"/>
  <c r="J11046" i="2"/>
  <c r="J11045" i="2"/>
  <c r="J11044" i="2"/>
  <c r="J11043" i="2"/>
  <c r="J11042" i="2"/>
  <c r="J11041" i="2"/>
  <c r="J11040" i="2"/>
  <c r="J11039" i="2"/>
  <c r="J11038" i="2"/>
  <c r="J11037" i="2"/>
  <c r="J11036" i="2"/>
  <c r="J11035" i="2"/>
  <c r="J11034" i="2"/>
  <c r="J11033" i="2"/>
  <c r="J11032" i="2"/>
  <c r="J11031" i="2"/>
  <c r="J11030" i="2"/>
  <c r="J11029" i="2"/>
  <c r="J11028" i="2"/>
  <c r="J11027" i="2"/>
  <c r="J11026" i="2"/>
  <c r="J11025" i="2"/>
  <c r="J11024" i="2"/>
  <c r="J11023" i="2"/>
  <c r="J11022" i="2"/>
  <c r="J11021" i="2"/>
  <c r="J11020" i="2"/>
  <c r="J11019" i="2"/>
  <c r="J11018" i="2"/>
  <c r="J11017" i="2"/>
  <c r="J11016" i="2"/>
  <c r="J11015" i="2"/>
  <c r="J11014" i="2"/>
  <c r="J11013" i="2"/>
  <c r="J11012" i="2"/>
  <c r="J11011" i="2"/>
  <c r="J11010" i="2"/>
  <c r="J11009" i="2"/>
  <c r="J11008" i="2"/>
  <c r="J11007" i="2"/>
  <c r="J11006" i="2"/>
  <c r="J11005" i="2"/>
  <c r="J11004" i="2"/>
  <c r="J11003" i="2"/>
  <c r="J11002" i="2"/>
  <c r="J11001" i="2"/>
  <c r="J11000" i="2"/>
  <c r="J10999" i="2"/>
  <c r="J10998" i="2"/>
  <c r="J10997" i="2"/>
  <c r="J10996" i="2"/>
  <c r="J10995" i="2"/>
  <c r="J10994" i="2"/>
  <c r="J10993" i="2"/>
  <c r="J10992" i="2"/>
  <c r="J10991" i="2"/>
  <c r="J10990" i="2"/>
  <c r="J10989" i="2"/>
  <c r="J10988" i="2"/>
  <c r="J10987" i="2"/>
  <c r="J10986" i="2"/>
  <c r="J10985" i="2"/>
  <c r="J10984" i="2"/>
  <c r="J10983" i="2"/>
  <c r="J10982" i="2"/>
  <c r="J10981" i="2"/>
  <c r="J10980" i="2"/>
  <c r="J10979" i="2"/>
  <c r="J10978" i="2"/>
  <c r="J10977" i="2"/>
  <c r="J10976" i="2"/>
  <c r="J10975" i="2"/>
  <c r="J10974" i="2"/>
  <c r="J10973" i="2"/>
  <c r="J10972" i="2"/>
  <c r="J10971" i="2"/>
  <c r="J10970" i="2"/>
  <c r="J10969" i="2"/>
  <c r="J10968" i="2"/>
  <c r="J10967" i="2"/>
  <c r="J10966" i="2"/>
  <c r="J10965" i="2"/>
  <c r="J10964" i="2"/>
  <c r="J10963" i="2"/>
  <c r="J10962" i="2"/>
  <c r="J10961" i="2"/>
  <c r="J10960" i="2"/>
  <c r="J10959" i="2"/>
  <c r="J10958" i="2"/>
  <c r="J10957" i="2"/>
  <c r="J10956" i="2"/>
  <c r="J10955" i="2"/>
  <c r="J10954" i="2"/>
  <c r="J10953" i="2"/>
  <c r="J10952" i="2"/>
  <c r="J10951" i="2"/>
  <c r="J10950" i="2"/>
  <c r="J10949" i="2"/>
  <c r="J10948" i="2"/>
  <c r="J10947" i="2"/>
  <c r="J10946" i="2"/>
  <c r="J10945" i="2"/>
  <c r="J10944" i="2"/>
  <c r="J10943" i="2"/>
  <c r="J10942" i="2"/>
  <c r="J10941" i="2"/>
  <c r="J10940" i="2"/>
  <c r="J10939" i="2"/>
  <c r="J10938" i="2"/>
  <c r="J10937" i="2"/>
  <c r="J10936" i="2"/>
  <c r="J10935" i="2"/>
  <c r="J10934" i="2"/>
  <c r="J10933" i="2"/>
  <c r="J10932" i="2"/>
  <c r="J10931" i="2"/>
  <c r="J10930" i="2"/>
  <c r="J10929" i="2"/>
  <c r="J10928" i="2"/>
  <c r="J10927" i="2"/>
  <c r="J10926" i="2"/>
  <c r="J10925" i="2"/>
  <c r="J10924" i="2"/>
  <c r="J10923" i="2"/>
  <c r="J10922" i="2"/>
  <c r="J10921" i="2"/>
  <c r="J10920" i="2"/>
  <c r="J10919" i="2"/>
  <c r="J10918" i="2"/>
  <c r="J10917" i="2"/>
  <c r="J10916" i="2"/>
  <c r="J10915" i="2"/>
  <c r="J10914" i="2"/>
  <c r="J10913" i="2"/>
  <c r="J10912" i="2"/>
  <c r="J10911" i="2"/>
  <c r="J10910" i="2"/>
  <c r="J10909" i="2"/>
  <c r="J10908" i="2"/>
  <c r="J10907" i="2"/>
  <c r="J10906" i="2"/>
  <c r="J10905" i="2"/>
  <c r="J10904" i="2"/>
  <c r="J10903" i="2"/>
  <c r="J10902" i="2"/>
  <c r="J10901" i="2"/>
  <c r="J10900" i="2"/>
  <c r="J10899" i="2"/>
  <c r="J10898" i="2"/>
  <c r="J10897" i="2"/>
  <c r="J10896" i="2"/>
  <c r="J10895" i="2"/>
  <c r="J10894" i="2"/>
  <c r="J10893" i="2"/>
  <c r="J10892" i="2"/>
  <c r="J10891" i="2"/>
  <c r="J10890" i="2"/>
  <c r="J10889" i="2"/>
  <c r="J10888" i="2"/>
  <c r="J10887" i="2"/>
  <c r="J10886" i="2"/>
  <c r="J10885" i="2"/>
  <c r="J10884" i="2"/>
  <c r="J10883" i="2"/>
  <c r="J10882" i="2"/>
  <c r="J10881" i="2"/>
  <c r="J10880" i="2"/>
  <c r="J10879" i="2"/>
  <c r="J10878" i="2"/>
  <c r="J10877" i="2"/>
  <c r="J10876" i="2"/>
  <c r="J10875" i="2"/>
  <c r="J10874" i="2"/>
  <c r="J10873" i="2"/>
  <c r="J10872" i="2"/>
  <c r="J10871" i="2"/>
  <c r="J10870" i="2"/>
  <c r="J10869" i="2"/>
  <c r="J10868" i="2"/>
  <c r="J10867" i="2"/>
  <c r="J10866" i="2"/>
  <c r="J10865" i="2"/>
  <c r="J10864" i="2"/>
  <c r="J10863" i="2"/>
  <c r="J10862" i="2"/>
  <c r="J10861" i="2"/>
  <c r="J10860" i="2"/>
  <c r="J10859" i="2"/>
  <c r="J10858" i="2"/>
  <c r="J10857" i="2"/>
  <c r="J10856" i="2"/>
  <c r="J10855" i="2"/>
  <c r="J10854" i="2"/>
  <c r="J10853" i="2"/>
  <c r="J10852" i="2"/>
  <c r="J10851" i="2"/>
  <c r="J10850" i="2"/>
  <c r="J10849" i="2"/>
  <c r="J10848" i="2"/>
  <c r="J10847" i="2"/>
  <c r="J10846" i="2"/>
  <c r="J10845" i="2"/>
  <c r="J10844" i="2"/>
  <c r="J10843" i="2"/>
  <c r="J10842" i="2"/>
  <c r="J10841" i="2"/>
  <c r="J10840" i="2"/>
  <c r="J10839" i="2"/>
  <c r="J10838" i="2"/>
  <c r="J10837" i="2"/>
  <c r="J10836" i="2"/>
  <c r="J10835" i="2"/>
  <c r="J10834" i="2"/>
  <c r="J10833" i="2"/>
  <c r="J10832" i="2"/>
  <c r="J10831" i="2"/>
  <c r="J10830" i="2"/>
  <c r="J10829" i="2"/>
  <c r="J10828" i="2"/>
  <c r="J10827" i="2"/>
  <c r="J10826" i="2"/>
  <c r="J10825" i="2"/>
  <c r="J10824" i="2"/>
  <c r="J10823" i="2"/>
  <c r="J10822" i="2"/>
  <c r="J10821" i="2"/>
  <c r="J10820" i="2"/>
  <c r="J10819" i="2"/>
  <c r="J10818" i="2"/>
  <c r="J10817" i="2"/>
  <c r="J10816" i="2"/>
  <c r="J10815" i="2"/>
  <c r="J10814" i="2"/>
  <c r="J10813" i="2"/>
  <c r="J10812" i="2"/>
  <c r="J10811" i="2"/>
  <c r="J10810" i="2"/>
  <c r="J10809" i="2"/>
  <c r="J10808" i="2"/>
  <c r="J10807" i="2"/>
  <c r="J10806" i="2"/>
  <c r="J10805" i="2"/>
  <c r="J10804" i="2"/>
  <c r="J10803" i="2"/>
  <c r="J10802" i="2"/>
  <c r="J10801" i="2"/>
  <c r="J10800" i="2"/>
  <c r="J10799" i="2"/>
  <c r="J10798" i="2"/>
  <c r="J10797" i="2"/>
  <c r="J10796" i="2"/>
  <c r="J10795" i="2"/>
  <c r="J10794" i="2"/>
  <c r="J10793" i="2"/>
  <c r="J10792" i="2"/>
  <c r="J10791" i="2"/>
  <c r="J10790" i="2"/>
  <c r="J10789" i="2"/>
  <c r="J10788" i="2"/>
  <c r="J10787" i="2"/>
  <c r="J10786" i="2"/>
  <c r="J10785" i="2"/>
  <c r="J10784" i="2"/>
  <c r="J10783" i="2"/>
  <c r="J10782" i="2"/>
  <c r="J10781" i="2"/>
  <c r="J10780" i="2"/>
  <c r="J10779" i="2"/>
  <c r="J10778" i="2"/>
  <c r="J10777" i="2"/>
  <c r="J10776" i="2"/>
  <c r="J10775" i="2"/>
  <c r="J10774" i="2"/>
  <c r="J10773" i="2"/>
  <c r="J10772" i="2"/>
  <c r="J10771" i="2"/>
  <c r="J10770" i="2"/>
  <c r="J10769" i="2"/>
  <c r="J10768" i="2"/>
  <c r="J10767" i="2"/>
  <c r="J10766" i="2"/>
  <c r="J10765" i="2"/>
  <c r="J10764" i="2"/>
  <c r="J10763" i="2"/>
  <c r="J10762" i="2"/>
  <c r="J10761" i="2"/>
  <c r="J10760" i="2"/>
  <c r="J10759" i="2"/>
  <c r="J10758" i="2"/>
  <c r="J10757" i="2"/>
  <c r="J10756" i="2"/>
  <c r="J10755" i="2"/>
  <c r="J10754" i="2"/>
  <c r="J10753" i="2"/>
  <c r="J10752" i="2"/>
  <c r="J10751" i="2"/>
  <c r="J10750" i="2"/>
  <c r="J10749" i="2"/>
  <c r="J10748" i="2"/>
  <c r="J10747" i="2"/>
  <c r="J10746" i="2"/>
  <c r="J10745" i="2"/>
  <c r="J10744" i="2"/>
  <c r="J10743" i="2"/>
  <c r="J10742" i="2"/>
  <c r="J10741" i="2"/>
  <c r="J10740" i="2"/>
  <c r="J10739" i="2"/>
  <c r="J10738" i="2"/>
  <c r="J10737" i="2"/>
  <c r="J10736" i="2"/>
  <c r="J10735" i="2"/>
  <c r="J10734" i="2"/>
  <c r="J10733" i="2"/>
  <c r="J10732" i="2"/>
  <c r="J10731" i="2"/>
  <c r="J10730" i="2"/>
  <c r="J10729" i="2"/>
  <c r="J10728" i="2"/>
  <c r="J10727" i="2"/>
  <c r="J10726" i="2"/>
  <c r="J10725" i="2"/>
  <c r="J10724" i="2"/>
  <c r="J10723" i="2"/>
  <c r="J10722" i="2"/>
  <c r="J10721" i="2"/>
  <c r="J10720" i="2"/>
  <c r="J10719" i="2"/>
  <c r="J10718" i="2"/>
  <c r="J10717" i="2"/>
  <c r="J10716" i="2"/>
  <c r="J10715" i="2"/>
  <c r="J10714" i="2"/>
  <c r="J10713" i="2"/>
  <c r="J10712" i="2"/>
  <c r="J10711" i="2"/>
  <c r="J10710" i="2"/>
  <c r="J10709" i="2"/>
  <c r="J10708" i="2"/>
  <c r="J10707" i="2"/>
  <c r="J10706" i="2"/>
  <c r="J10705" i="2"/>
  <c r="J10704" i="2"/>
  <c r="J10703" i="2"/>
  <c r="J10702" i="2"/>
  <c r="J10701" i="2"/>
  <c r="J10700" i="2"/>
  <c r="J10699" i="2"/>
  <c r="J10698" i="2"/>
  <c r="J10697" i="2"/>
  <c r="J10696" i="2"/>
  <c r="J10695" i="2"/>
  <c r="J10694" i="2"/>
  <c r="J10693" i="2"/>
  <c r="J10692" i="2"/>
  <c r="J10691" i="2"/>
  <c r="J10690" i="2"/>
  <c r="J10689" i="2"/>
  <c r="J10688" i="2"/>
  <c r="J10687" i="2"/>
  <c r="J10686" i="2"/>
  <c r="J10685" i="2"/>
  <c r="J10684" i="2"/>
  <c r="J10683" i="2"/>
  <c r="J10682" i="2"/>
  <c r="J10681" i="2"/>
  <c r="J10680" i="2"/>
  <c r="J10679" i="2"/>
  <c r="J10678" i="2"/>
  <c r="J10677" i="2"/>
  <c r="J10676" i="2"/>
  <c r="J10675" i="2"/>
  <c r="J10674" i="2"/>
  <c r="J10673" i="2"/>
  <c r="J10672" i="2"/>
  <c r="J10671" i="2"/>
  <c r="J10670" i="2"/>
  <c r="J10669" i="2"/>
  <c r="J10668" i="2"/>
  <c r="J10667" i="2"/>
  <c r="J10666" i="2"/>
  <c r="J10665" i="2"/>
  <c r="J10664" i="2"/>
  <c r="J10663" i="2"/>
  <c r="J10662" i="2"/>
  <c r="J10661" i="2"/>
  <c r="J10660" i="2"/>
  <c r="J10659" i="2"/>
  <c r="J10658" i="2"/>
  <c r="J10657" i="2"/>
  <c r="J10656" i="2"/>
  <c r="J10655" i="2"/>
  <c r="J10654" i="2"/>
  <c r="J10653" i="2"/>
  <c r="J10652" i="2"/>
  <c r="J10651" i="2"/>
  <c r="J10650" i="2"/>
  <c r="J10649" i="2"/>
  <c r="J10648" i="2"/>
  <c r="J10647" i="2"/>
  <c r="J10646" i="2"/>
  <c r="J10645" i="2"/>
  <c r="J10644" i="2"/>
  <c r="J10643" i="2"/>
  <c r="J10642" i="2"/>
  <c r="J10641" i="2"/>
  <c r="J10640" i="2"/>
  <c r="J10639" i="2"/>
  <c r="J10638" i="2"/>
  <c r="J10637" i="2"/>
  <c r="J10636" i="2"/>
  <c r="J10635" i="2"/>
  <c r="J10634" i="2"/>
  <c r="J10633" i="2"/>
  <c r="J10632" i="2"/>
  <c r="J10631" i="2"/>
  <c r="J10630" i="2"/>
  <c r="J10629" i="2"/>
  <c r="J10628" i="2"/>
  <c r="J10627" i="2"/>
  <c r="J10626" i="2"/>
  <c r="J10625" i="2"/>
  <c r="J10624" i="2"/>
  <c r="J10623" i="2"/>
  <c r="J10622" i="2"/>
  <c r="J10621" i="2"/>
  <c r="J10620" i="2"/>
  <c r="J10619" i="2"/>
  <c r="J10618" i="2"/>
  <c r="J10617" i="2"/>
  <c r="J10616" i="2"/>
  <c r="J10615" i="2"/>
  <c r="J10614" i="2"/>
  <c r="J10613" i="2"/>
  <c r="J10612" i="2"/>
  <c r="J10611" i="2"/>
  <c r="J10610" i="2"/>
  <c r="J10609" i="2"/>
  <c r="J10608" i="2"/>
  <c r="J10607" i="2"/>
  <c r="J10606" i="2"/>
  <c r="J10605" i="2"/>
  <c r="J10604" i="2"/>
  <c r="J10603" i="2"/>
  <c r="J10602" i="2"/>
  <c r="J10601" i="2"/>
  <c r="J10600" i="2"/>
  <c r="J10599" i="2"/>
  <c r="J10598" i="2"/>
  <c r="J10597" i="2"/>
  <c r="J10596" i="2"/>
  <c r="J10595" i="2"/>
  <c r="J10594" i="2"/>
  <c r="J10593" i="2"/>
  <c r="J10592" i="2"/>
  <c r="J10591" i="2"/>
  <c r="J10590" i="2"/>
  <c r="J10589" i="2"/>
  <c r="J10588" i="2"/>
  <c r="J10587" i="2"/>
  <c r="J10586" i="2"/>
  <c r="J10585" i="2"/>
  <c r="J10584" i="2"/>
  <c r="J10583" i="2"/>
  <c r="J10582" i="2"/>
  <c r="J10581" i="2"/>
  <c r="J10580" i="2"/>
  <c r="J10579" i="2"/>
  <c r="J10578" i="2"/>
  <c r="J10577" i="2"/>
  <c r="J10576" i="2"/>
  <c r="J10575" i="2"/>
  <c r="J10574" i="2"/>
  <c r="J10573" i="2"/>
  <c r="J10572" i="2"/>
  <c r="J10571" i="2"/>
  <c r="J10570" i="2"/>
  <c r="J10569" i="2"/>
  <c r="J10568" i="2"/>
  <c r="J10567" i="2"/>
  <c r="J10566" i="2"/>
  <c r="J10565" i="2"/>
  <c r="J10564" i="2"/>
  <c r="J10563" i="2"/>
  <c r="J10562" i="2"/>
  <c r="J10561" i="2"/>
  <c r="J10560" i="2"/>
  <c r="J10559" i="2"/>
  <c r="J10558" i="2"/>
  <c r="J10557" i="2"/>
  <c r="J10556" i="2"/>
  <c r="J10555" i="2"/>
  <c r="J10554" i="2"/>
  <c r="J10553" i="2"/>
  <c r="J10552" i="2"/>
  <c r="J10551" i="2"/>
  <c r="J10550" i="2"/>
  <c r="J10549" i="2"/>
  <c r="J10548" i="2"/>
  <c r="J10547" i="2"/>
  <c r="J10546" i="2"/>
  <c r="J10545" i="2"/>
  <c r="J10544" i="2"/>
  <c r="J10543" i="2"/>
  <c r="J10542" i="2"/>
  <c r="J10541" i="2"/>
  <c r="J10540" i="2"/>
  <c r="J10539" i="2"/>
  <c r="J10538" i="2"/>
  <c r="J10537" i="2"/>
  <c r="J10536" i="2"/>
  <c r="J10535" i="2"/>
  <c r="J10534" i="2"/>
  <c r="J10533" i="2"/>
  <c r="J10532" i="2"/>
  <c r="J10531" i="2"/>
  <c r="J10530" i="2"/>
  <c r="J10529" i="2"/>
  <c r="J10528" i="2"/>
  <c r="J10527" i="2"/>
  <c r="J10526" i="2"/>
  <c r="J10525" i="2"/>
  <c r="J10524" i="2"/>
  <c r="J10523" i="2"/>
  <c r="J10522" i="2"/>
  <c r="J10521" i="2"/>
  <c r="J10520" i="2"/>
  <c r="J10519" i="2"/>
  <c r="J10518" i="2"/>
  <c r="J10517" i="2"/>
  <c r="J10516" i="2"/>
  <c r="J10515" i="2"/>
  <c r="J10514" i="2"/>
  <c r="J10513" i="2"/>
  <c r="J10512" i="2"/>
  <c r="J10511" i="2"/>
  <c r="J10510" i="2"/>
  <c r="J10509" i="2"/>
  <c r="J10508" i="2"/>
  <c r="J10507" i="2"/>
  <c r="J10506" i="2"/>
  <c r="J10505" i="2"/>
  <c r="J10504" i="2"/>
  <c r="J10503" i="2"/>
  <c r="J10502" i="2"/>
  <c r="J10501" i="2"/>
  <c r="J10500" i="2"/>
  <c r="J10499" i="2"/>
  <c r="J10498" i="2"/>
  <c r="J10497" i="2"/>
  <c r="J10496" i="2"/>
  <c r="J10495" i="2"/>
  <c r="J10494" i="2"/>
  <c r="J10493" i="2"/>
  <c r="J10492" i="2"/>
  <c r="J10491" i="2"/>
  <c r="J10490" i="2"/>
  <c r="J10489" i="2"/>
  <c r="J10488" i="2"/>
  <c r="J10487" i="2"/>
  <c r="J10486" i="2"/>
  <c r="J10485" i="2"/>
  <c r="J10484" i="2"/>
  <c r="J10483" i="2"/>
  <c r="J10482" i="2"/>
  <c r="J10481" i="2"/>
  <c r="J10480" i="2"/>
  <c r="J10479" i="2"/>
  <c r="J10478" i="2"/>
  <c r="J10477" i="2"/>
  <c r="J10476" i="2"/>
  <c r="J10475" i="2"/>
  <c r="J10474" i="2"/>
  <c r="J10473" i="2"/>
  <c r="J10472" i="2"/>
  <c r="J10471" i="2"/>
  <c r="J10470" i="2"/>
  <c r="J10469" i="2"/>
  <c r="J10468" i="2"/>
  <c r="J10467" i="2"/>
  <c r="J10466" i="2"/>
  <c r="J10465" i="2"/>
  <c r="J10464" i="2"/>
  <c r="J10463" i="2"/>
  <c r="J10462" i="2"/>
  <c r="J10461" i="2"/>
  <c r="J10460" i="2"/>
  <c r="J10459" i="2"/>
  <c r="J10458" i="2"/>
  <c r="J10457" i="2"/>
  <c r="J10456" i="2"/>
  <c r="J10455" i="2"/>
  <c r="J10454" i="2"/>
  <c r="J10453" i="2"/>
  <c r="J10452" i="2"/>
  <c r="J10451" i="2"/>
  <c r="J10450" i="2"/>
  <c r="J10449" i="2"/>
  <c r="J10448" i="2"/>
  <c r="J10447" i="2"/>
  <c r="J10446" i="2"/>
  <c r="J10445" i="2"/>
  <c r="J10444" i="2"/>
  <c r="J10443" i="2"/>
  <c r="J10442" i="2"/>
  <c r="J10441" i="2"/>
  <c r="J10440" i="2"/>
  <c r="J10439" i="2"/>
  <c r="J10438" i="2"/>
  <c r="J10437" i="2"/>
  <c r="J10436" i="2"/>
  <c r="J10435" i="2"/>
  <c r="J10434" i="2"/>
  <c r="J10433" i="2"/>
  <c r="J10432" i="2"/>
  <c r="J10431" i="2"/>
  <c r="J10430" i="2"/>
  <c r="J10429" i="2"/>
  <c r="J10428" i="2"/>
  <c r="J10427" i="2"/>
  <c r="J10426" i="2"/>
  <c r="J10425" i="2"/>
  <c r="J10424" i="2"/>
  <c r="J10423" i="2"/>
  <c r="J10422" i="2"/>
  <c r="J10421" i="2"/>
  <c r="J10420" i="2"/>
  <c r="J10419" i="2"/>
  <c r="J10418" i="2"/>
  <c r="J10417" i="2"/>
  <c r="J10416" i="2"/>
  <c r="J10415" i="2"/>
  <c r="J10414" i="2"/>
  <c r="J10413" i="2"/>
  <c r="J10412" i="2"/>
  <c r="J10411" i="2"/>
  <c r="J10410" i="2"/>
  <c r="J10409" i="2"/>
  <c r="J10408" i="2"/>
  <c r="J10407" i="2"/>
  <c r="J10406" i="2"/>
  <c r="J10405" i="2"/>
  <c r="J10404" i="2"/>
  <c r="J10403" i="2"/>
  <c r="J10402" i="2"/>
  <c r="J10401" i="2"/>
  <c r="J10400" i="2"/>
  <c r="J10399" i="2"/>
  <c r="J10398" i="2"/>
  <c r="J10397" i="2"/>
  <c r="J10396" i="2"/>
  <c r="J10395" i="2"/>
  <c r="J10394" i="2"/>
  <c r="J10393" i="2"/>
  <c r="J10392" i="2"/>
  <c r="J10391" i="2"/>
  <c r="J10390" i="2"/>
  <c r="J10389" i="2"/>
  <c r="J10388" i="2"/>
  <c r="J10387" i="2"/>
  <c r="J10386" i="2"/>
  <c r="J10385" i="2"/>
  <c r="J10384" i="2"/>
  <c r="J10383" i="2"/>
  <c r="J10382" i="2"/>
  <c r="J10381" i="2"/>
  <c r="J10380" i="2"/>
  <c r="J10379" i="2"/>
  <c r="J10378" i="2"/>
  <c r="J10377" i="2"/>
  <c r="J10376" i="2"/>
  <c r="J10375" i="2"/>
  <c r="J10374" i="2"/>
  <c r="J10373" i="2"/>
  <c r="J10372" i="2"/>
  <c r="J10371" i="2"/>
  <c r="J10370" i="2"/>
  <c r="J10369" i="2"/>
  <c r="J10368" i="2"/>
  <c r="J10367" i="2"/>
  <c r="J10366" i="2"/>
  <c r="J10365" i="2"/>
  <c r="J10364" i="2"/>
  <c r="J10363" i="2"/>
  <c r="J10362" i="2"/>
  <c r="J10361" i="2"/>
  <c r="J10360" i="2"/>
  <c r="J10359" i="2"/>
  <c r="J10358" i="2"/>
  <c r="J10357" i="2"/>
  <c r="J10356" i="2"/>
  <c r="J10355" i="2"/>
  <c r="J10354" i="2"/>
  <c r="J10353" i="2"/>
  <c r="J10352" i="2"/>
  <c r="J10351" i="2"/>
  <c r="J10350" i="2"/>
  <c r="J10349" i="2"/>
  <c r="J10348" i="2"/>
  <c r="J10347" i="2"/>
  <c r="J10346" i="2"/>
  <c r="J10345" i="2"/>
  <c r="J10344" i="2"/>
  <c r="J10343" i="2"/>
  <c r="J10342" i="2"/>
  <c r="J10341" i="2"/>
  <c r="J10340" i="2"/>
  <c r="J10339" i="2"/>
  <c r="J10338" i="2"/>
  <c r="J10337" i="2"/>
  <c r="J10336" i="2"/>
  <c r="J10335" i="2"/>
  <c r="J10334" i="2"/>
  <c r="J10333" i="2"/>
  <c r="J10332" i="2"/>
  <c r="J10331" i="2"/>
  <c r="J10330" i="2"/>
  <c r="J10329" i="2"/>
  <c r="J10328" i="2"/>
  <c r="J10327" i="2"/>
  <c r="J10326" i="2"/>
  <c r="J10325" i="2"/>
  <c r="J10324" i="2"/>
  <c r="J10323" i="2"/>
  <c r="J10322" i="2"/>
  <c r="J10321" i="2"/>
  <c r="J10320" i="2"/>
  <c r="J10319" i="2"/>
  <c r="J10318" i="2"/>
  <c r="J10317" i="2"/>
  <c r="J10316" i="2"/>
  <c r="J10315" i="2"/>
  <c r="J10314" i="2"/>
  <c r="J10313" i="2"/>
  <c r="J10312" i="2"/>
  <c r="J10311" i="2"/>
  <c r="J10310" i="2"/>
  <c r="J10309" i="2"/>
  <c r="J10308" i="2"/>
  <c r="J10307" i="2"/>
  <c r="J10306" i="2"/>
  <c r="J10305" i="2"/>
  <c r="J10304" i="2"/>
  <c r="J10303" i="2"/>
  <c r="J10302" i="2"/>
  <c r="J10301" i="2"/>
  <c r="J10300" i="2"/>
  <c r="J10299" i="2"/>
  <c r="J10298" i="2"/>
  <c r="J10297" i="2"/>
  <c r="J10296" i="2"/>
  <c r="J10295" i="2"/>
  <c r="J10294" i="2"/>
  <c r="J10293" i="2"/>
  <c r="J10292" i="2"/>
  <c r="J10291" i="2"/>
  <c r="J10290" i="2"/>
  <c r="J10289" i="2"/>
  <c r="J10288" i="2"/>
  <c r="J10287" i="2"/>
  <c r="J10286" i="2"/>
  <c r="J10285" i="2"/>
  <c r="J10284" i="2"/>
  <c r="J10283" i="2"/>
  <c r="J10282" i="2"/>
  <c r="J10281" i="2"/>
  <c r="J10280" i="2"/>
  <c r="J10279" i="2"/>
  <c r="J10278" i="2"/>
  <c r="J10277" i="2"/>
  <c r="J10276" i="2"/>
  <c r="J10275" i="2"/>
  <c r="J10274" i="2"/>
  <c r="J10273" i="2"/>
  <c r="J10272" i="2"/>
  <c r="J10271" i="2"/>
  <c r="J10270" i="2"/>
  <c r="J10269" i="2"/>
  <c r="J10268" i="2"/>
  <c r="J10267" i="2"/>
  <c r="J10266" i="2"/>
  <c r="J10265" i="2"/>
  <c r="J10264" i="2"/>
  <c r="J10263" i="2"/>
  <c r="J10262" i="2"/>
  <c r="J10261" i="2"/>
  <c r="J10260" i="2"/>
  <c r="J10259" i="2"/>
  <c r="J10258" i="2"/>
  <c r="J10257" i="2"/>
  <c r="J10256" i="2"/>
  <c r="J10255" i="2"/>
  <c r="J10254" i="2"/>
  <c r="J10253" i="2"/>
  <c r="J10252" i="2"/>
  <c r="J10251" i="2"/>
  <c r="J10250" i="2"/>
  <c r="J10249" i="2"/>
  <c r="J10248" i="2"/>
  <c r="J10247" i="2"/>
  <c r="J10246" i="2"/>
  <c r="J10245" i="2"/>
  <c r="J10244" i="2"/>
  <c r="J10243" i="2"/>
  <c r="J10242" i="2"/>
  <c r="J10241" i="2"/>
  <c r="J10240" i="2"/>
  <c r="J10239" i="2"/>
  <c r="J10238" i="2"/>
  <c r="J10237" i="2"/>
  <c r="J10236" i="2"/>
  <c r="J10235" i="2"/>
  <c r="J10234" i="2"/>
  <c r="J10233" i="2"/>
  <c r="J10232" i="2"/>
  <c r="J10231" i="2"/>
  <c r="J10230" i="2"/>
  <c r="J10229" i="2"/>
  <c r="J10228" i="2"/>
  <c r="J10227" i="2"/>
  <c r="J10226" i="2"/>
  <c r="J10225" i="2"/>
  <c r="J10224" i="2"/>
  <c r="J10223" i="2"/>
  <c r="J10222" i="2"/>
  <c r="J10221" i="2"/>
  <c r="J10220" i="2"/>
  <c r="J10219" i="2"/>
  <c r="J10218" i="2"/>
  <c r="J10217" i="2"/>
  <c r="J10216" i="2"/>
  <c r="J10215" i="2"/>
  <c r="J10214" i="2"/>
  <c r="J10213" i="2"/>
  <c r="J10212" i="2"/>
  <c r="J10211" i="2"/>
  <c r="J10210" i="2"/>
  <c r="J10209" i="2"/>
  <c r="J10208" i="2"/>
  <c r="J10207" i="2"/>
  <c r="J10206" i="2"/>
  <c r="J10205" i="2"/>
  <c r="J10204" i="2"/>
  <c r="J10203" i="2"/>
  <c r="J10202" i="2"/>
  <c r="J10201" i="2"/>
  <c r="J10200" i="2"/>
  <c r="J10199" i="2"/>
  <c r="J10198" i="2"/>
  <c r="J10197" i="2"/>
  <c r="J10196" i="2"/>
  <c r="J10195" i="2"/>
  <c r="J10194" i="2"/>
  <c r="J10193" i="2"/>
  <c r="J10192" i="2"/>
  <c r="J10191" i="2"/>
  <c r="J10190" i="2"/>
  <c r="J10189" i="2"/>
  <c r="J10188" i="2"/>
  <c r="J10187" i="2"/>
  <c r="J10186" i="2"/>
  <c r="J10185" i="2"/>
  <c r="J10184" i="2"/>
  <c r="J10183" i="2"/>
  <c r="J10182" i="2"/>
  <c r="J10181" i="2"/>
  <c r="J10180" i="2"/>
  <c r="J10179" i="2"/>
  <c r="J10178" i="2"/>
  <c r="J10177" i="2"/>
  <c r="J10176" i="2"/>
  <c r="J10175" i="2"/>
  <c r="J10174" i="2"/>
  <c r="J10173" i="2"/>
  <c r="J10172" i="2"/>
  <c r="J10171" i="2"/>
  <c r="J10170" i="2"/>
  <c r="J10169" i="2"/>
  <c r="J10168" i="2"/>
  <c r="J10167" i="2"/>
  <c r="J10166" i="2"/>
  <c r="J10165" i="2"/>
  <c r="J10164" i="2"/>
  <c r="J10163" i="2"/>
  <c r="J10162" i="2"/>
  <c r="J10161" i="2"/>
  <c r="J10160" i="2"/>
  <c r="J10159" i="2"/>
  <c r="J10158" i="2"/>
  <c r="J10157" i="2"/>
  <c r="J10156" i="2"/>
  <c r="J10155" i="2"/>
  <c r="J10154" i="2"/>
  <c r="J10153" i="2"/>
  <c r="J10152" i="2"/>
  <c r="J10151" i="2"/>
  <c r="J10150" i="2"/>
  <c r="J10149" i="2"/>
  <c r="J10148" i="2"/>
  <c r="J10147" i="2"/>
  <c r="J10146" i="2"/>
  <c r="J10145" i="2"/>
  <c r="J10144" i="2"/>
  <c r="J10143" i="2"/>
  <c r="J10142" i="2"/>
  <c r="J10141" i="2"/>
  <c r="J10140" i="2"/>
  <c r="J10139" i="2"/>
  <c r="J10138" i="2"/>
  <c r="J10137" i="2"/>
  <c r="J10136" i="2"/>
  <c r="J10135" i="2"/>
  <c r="J10134" i="2"/>
  <c r="J10133" i="2"/>
  <c r="J10132" i="2"/>
  <c r="J10131" i="2"/>
  <c r="J10130" i="2"/>
  <c r="J10129" i="2"/>
  <c r="J10128" i="2"/>
  <c r="J10127" i="2"/>
  <c r="J10126" i="2"/>
  <c r="J10125" i="2"/>
  <c r="J10124" i="2"/>
  <c r="J10123" i="2"/>
  <c r="J10122" i="2"/>
  <c r="J10121" i="2"/>
  <c r="J10120" i="2"/>
  <c r="J10119" i="2"/>
  <c r="J10118" i="2"/>
  <c r="J10117" i="2"/>
  <c r="J10116" i="2"/>
  <c r="J10115" i="2"/>
  <c r="J10114" i="2"/>
  <c r="J10113" i="2"/>
  <c r="J10112" i="2"/>
  <c r="J10111" i="2"/>
  <c r="J10110" i="2"/>
  <c r="J10109" i="2"/>
  <c r="J10108" i="2"/>
  <c r="J10107" i="2"/>
  <c r="J10106" i="2"/>
  <c r="J10105" i="2"/>
  <c r="J10104" i="2"/>
  <c r="J10103" i="2"/>
  <c r="J10102" i="2"/>
  <c r="J10101" i="2"/>
  <c r="J10100" i="2"/>
  <c r="J10099" i="2"/>
  <c r="J10098" i="2"/>
  <c r="J10097" i="2"/>
  <c r="J10096" i="2"/>
  <c r="J10095" i="2"/>
  <c r="J10094" i="2"/>
  <c r="J10093" i="2"/>
  <c r="J10092" i="2"/>
  <c r="J10091" i="2"/>
  <c r="J10090" i="2"/>
  <c r="J10089" i="2"/>
  <c r="J10088" i="2"/>
  <c r="J10087" i="2"/>
  <c r="J10086" i="2"/>
  <c r="J10085" i="2"/>
  <c r="J10084" i="2"/>
  <c r="J10083" i="2"/>
  <c r="J10082" i="2"/>
  <c r="J10081" i="2"/>
  <c r="J10080" i="2"/>
  <c r="J10079" i="2"/>
  <c r="J10078" i="2"/>
  <c r="J10077" i="2"/>
  <c r="J10076" i="2"/>
  <c r="J10075" i="2"/>
  <c r="J10074" i="2"/>
  <c r="J10073" i="2"/>
  <c r="J10072" i="2"/>
  <c r="J10071" i="2"/>
  <c r="J10070" i="2"/>
  <c r="J10069" i="2"/>
  <c r="J10068" i="2"/>
  <c r="J10067" i="2"/>
  <c r="J10066" i="2"/>
  <c r="J10065" i="2"/>
  <c r="J10064" i="2"/>
  <c r="J10063" i="2"/>
  <c r="J10062" i="2"/>
  <c r="J10061" i="2"/>
  <c r="J10060" i="2"/>
  <c r="J10059" i="2"/>
  <c r="J10058" i="2"/>
  <c r="J10057" i="2"/>
  <c r="J10056" i="2"/>
  <c r="J10055" i="2"/>
  <c r="J10054" i="2"/>
  <c r="J10053" i="2"/>
  <c r="J10052" i="2"/>
  <c r="J10051" i="2"/>
  <c r="J10050" i="2"/>
  <c r="J10049" i="2"/>
  <c r="J10048" i="2"/>
  <c r="J10047" i="2"/>
  <c r="J10046" i="2"/>
  <c r="J10045" i="2"/>
  <c r="J10044" i="2"/>
  <c r="J10043" i="2"/>
  <c r="J10042" i="2"/>
  <c r="J10041" i="2"/>
  <c r="J10040" i="2"/>
  <c r="J10039" i="2"/>
  <c r="J10038" i="2"/>
  <c r="J10037" i="2"/>
  <c r="J10036" i="2"/>
  <c r="J10035" i="2"/>
  <c r="J10034" i="2"/>
  <c r="J10033" i="2"/>
  <c r="J10032" i="2"/>
  <c r="J10031" i="2"/>
  <c r="J10030" i="2"/>
  <c r="J10029" i="2"/>
  <c r="J10028" i="2"/>
  <c r="J10027" i="2"/>
  <c r="J10026" i="2"/>
  <c r="J10025" i="2"/>
  <c r="J10024" i="2"/>
  <c r="J10023" i="2"/>
  <c r="J10022" i="2"/>
  <c r="J10021" i="2"/>
  <c r="J10020" i="2"/>
  <c r="J10019" i="2"/>
  <c r="J10018" i="2"/>
  <c r="J10017" i="2"/>
  <c r="J10016" i="2"/>
  <c r="J10015" i="2"/>
  <c r="J10014" i="2"/>
  <c r="J10013" i="2"/>
  <c r="J10012" i="2"/>
  <c r="J10011" i="2"/>
  <c r="J10010" i="2"/>
  <c r="J10009" i="2"/>
  <c r="J10008" i="2"/>
  <c r="J10007" i="2"/>
  <c r="J10006" i="2"/>
  <c r="J10005" i="2"/>
  <c r="J10004" i="2"/>
  <c r="J10003" i="2"/>
  <c r="J10002" i="2"/>
  <c r="J10001" i="2"/>
  <c r="J10000" i="2"/>
  <c r="J9999" i="2"/>
  <c r="J9998" i="2"/>
  <c r="J9997" i="2"/>
  <c r="J9996" i="2"/>
  <c r="J9995" i="2"/>
  <c r="J9994" i="2"/>
  <c r="J9993" i="2"/>
  <c r="J9992" i="2"/>
  <c r="J9991" i="2"/>
  <c r="J9990" i="2"/>
  <c r="J9989" i="2"/>
  <c r="J9988" i="2"/>
  <c r="J9987" i="2"/>
  <c r="J9986" i="2"/>
  <c r="J9985" i="2"/>
  <c r="J9984" i="2"/>
  <c r="J9983" i="2"/>
  <c r="J9982" i="2"/>
  <c r="J9981" i="2"/>
  <c r="J9980" i="2"/>
  <c r="J9979" i="2"/>
  <c r="J9978" i="2"/>
  <c r="J9977" i="2"/>
  <c r="J9976" i="2"/>
  <c r="J9975" i="2"/>
  <c r="J9974" i="2"/>
  <c r="J9973" i="2"/>
  <c r="J9972" i="2"/>
  <c r="J9971" i="2"/>
  <c r="J9970" i="2"/>
  <c r="J9969" i="2"/>
  <c r="J9968" i="2"/>
  <c r="J9967" i="2"/>
  <c r="J9966" i="2"/>
  <c r="J9965" i="2"/>
  <c r="J9964" i="2"/>
  <c r="J9963" i="2"/>
  <c r="J9962" i="2"/>
  <c r="J9961" i="2"/>
  <c r="J9960" i="2"/>
  <c r="J9959" i="2"/>
  <c r="J9958" i="2"/>
  <c r="J9957" i="2"/>
  <c r="J9956" i="2"/>
  <c r="J9955" i="2"/>
  <c r="J9954" i="2"/>
  <c r="J9953" i="2"/>
  <c r="J9952" i="2"/>
  <c r="J9951" i="2"/>
  <c r="J9950" i="2"/>
  <c r="J9949" i="2"/>
  <c r="J9948" i="2"/>
  <c r="J9947" i="2"/>
  <c r="J9946" i="2"/>
  <c r="J9945" i="2"/>
  <c r="J9944" i="2"/>
  <c r="J9943" i="2"/>
  <c r="J9942" i="2"/>
  <c r="J9941" i="2"/>
  <c r="J9940" i="2"/>
  <c r="J9939" i="2"/>
  <c r="J9938" i="2"/>
  <c r="J9937" i="2"/>
  <c r="J9936" i="2"/>
  <c r="J9935" i="2"/>
  <c r="J9934" i="2"/>
  <c r="J9933" i="2"/>
  <c r="J9932" i="2"/>
  <c r="J9931" i="2"/>
  <c r="J9930" i="2"/>
  <c r="J9929" i="2"/>
  <c r="J9928" i="2"/>
  <c r="J9927" i="2"/>
  <c r="J9926" i="2"/>
  <c r="J9925" i="2"/>
  <c r="J9924" i="2"/>
  <c r="J9923" i="2"/>
  <c r="J9922" i="2"/>
  <c r="J9921" i="2"/>
  <c r="J9920" i="2"/>
  <c r="J9919" i="2"/>
  <c r="J9918" i="2"/>
  <c r="J9917" i="2"/>
  <c r="J9916" i="2"/>
  <c r="J9915" i="2"/>
  <c r="J9914" i="2"/>
  <c r="J9913" i="2"/>
  <c r="J9912" i="2"/>
  <c r="J9911" i="2"/>
  <c r="J9910" i="2"/>
  <c r="J9909" i="2"/>
  <c r="J9908" i="2"/>
  <c r="J9907" i="2"/>
  <c r="J9906" i="2"/>
  <c r="J9905" i="2"/>
  <c r="J9904" i="2"/>
  <c r="J9903" i="2"/>
  <c r="J9902" i="2"/>
  <c r="J9901" i="2"/>
  <c r="J9900" i="2"/>
  <c r="J9899" i="2"/>
  <c r="J9898" i="2"/>
  <c r="J9897" i="2"/>
  <c r="J9896" i="2"/>
  <c r="J9895" i="2"/>
  <c r="J9894" i="2"/>
  <c r="J9893" i="2"/>
  <c r="J9892" i="2"/>
  <c r="J9891" i="2"/>
  <c r="J9890" i="2"/>
  <c r="J9889" i="2"/>
  <c r="J9888" i="2"/>
  <c r="J9887" i="2"/>
  <c r="J9886" i="2"/>
  <c r="J9885" i="2"/>
  <c r="J9884" i="2"/>
  <c r="J9883" i="2"/>
  <c r="J9882" i="2"/>
  <c r="J9881" i="2"/>
  <c r="J9880" i="2"/>
  <c r="J9879" i="2"/>
  <c r="J9878" i="2"/>
  <c r="J9877" i="2"/>
  <c r="J9876" i="2"/>
  <c r="J9875" i="2"/>
  <c r="J9874" i="2"/>
  <c r="J9873" i="2"/>
  <c r="J9872" i="2"/>
  <c r="J9871" i="2"/>
  <c r="J9870" i="2"/>
  <c r="J9869" i="2"/>
  <c r="J9868" i="2"/>
  <c r="J9867" i="2"/>
  <c r="J9866" i="2"/>
  <c r="J9865" i="2"/>
  <c r="J9864" i="2"/>
  <c r="J9863" i="2"/>
  <c r="J9862" i="2"/>
  <c r="J9861" i="2"/>
  <c r="J9860" i="2"/>
  <c r="J9859" i="2"/>
  <c r="J9858" i="2"/>
  <c r="J9857" i="2"/>
  <c r="J9856" i="2"/>
  <c r="J9855" i="2"/>
  <c r="J9854" i="2"/>
  <c r="J9853" i="2"/>
  <c r="J9852" i="2"/>
  <c r="J9851" i="2"/>
  <c r="J9850" i="2"/>
  <c r="J9849" i="2"/>
  <c r="J9848" i="2"/>
  <c r="J9847" i="2"/>
  <c r="J9846" i="2"/>
  <c r="J9845" i="2"/>
  <c r="J9844" i="2"/>
  <c r="J9843" i="2"/>
  <c r="J9842" i="2"/>
  <c r="J9841" i="2"/>
  <c r="J9840" i="2"/>
  <c r="J9839" i="2"/>
  <c r="J9838" i="2"/>
  <c r="J9837" i="2"/>
  <c r="J9836" i="2"/>
  <c r="J9835" i="2"/>
  <c r="J9834" i="2"/>
  <c r="J9833" i="2"/>
  <c r="J9832" i="2"/>
  <c r="J9831" i="2"/>
  <c r="J9830" i="2"/>
  <c r="J9829" i="2"/>
  <c r="J9828" i="2"/>
  <c r="J9827" i="2"/>
  <c r="J9826" i="2"/>
  <c r="J9825" i="2"/>
  <c r="J9824" i="2"/>
  <c r="J9823" i="2"/>
  <c r="J9822" i="2"/>
  <c r="J9821" i="2"/>
  <c r="J9820" i="2"/>
  <c r="J9819" i="2"/>
  <c r="J9818" i="2"/>
  <c r="J9817" i="2"/>
  <c r="J9816" i="2"/>
  <c r="J9815" i="2"/>
  <c r="J9814" i="2"/>
  <c r="J9813" i="2"/>
  <c r="J9812" i="2"/>
  <c r="J9811" i="2"/>
  <c r="J9810" i="2"/>
  <c r="J9809" i="2"/>
  <c r="J9808" i="2"/>
  <c r="J9807" i="2"/>
  <c r="J9806" i="2"/>
  <c r="J9805" i="2"/>
  <c r="J9804" i="2"/>
  <c r="J9803" i="2"/>
  <c r="J9802" i="2"/>
  <c r="J9801" i="2"/>
  <c r="J9800" i="2"/>
  <c r="J9799" i="2"/>
  <c r="J9798" i="2"/>
  <c r="J9797" i="2"/>
  <c r="J9796" i="2"/>
  <c r="J9795" i="2"/>
  <c r="J9794" i="2"/>
  <c r="J9793" i="2"/>
  <c r="J9792" i="2"/>
  <c r="J9791" i="2"/>
  <c r="J9790" i="2"/>
  <c r="J9789" i="2"/>
  <c r="J9788" i="2"/>
  <c r="J9787" i="2"/>
  <c r="J9786" i="2"/>
  <c r="J9785" i="2"/>
  <c r="J9784" i="2"/>
  <c r="J9783" i="2"/>
  <c r="J9782" i="2"/>
  <c r="J9781" i="2"/>
  <c r="J9780" i="2"/>
  <c r="J9779" i="2"/>
  <c r="J9778" i="2"/>
  <c r="J9777" i="2"/>
  <c r="J9776" i="2"/>
  <c r="J9775" i="2"/>
  <c r="J9774" i="2"/>
  <c r="J9773" i="2"/>
  <c r="J9772" i="2"/>
  <c r="J9771" i="2"/>
  <c r="J9770" i="2"/>
  <c r="J9769" i="2"/>
  <c r="J9768" i="2"/>
  <c r="J9767" i="2"/>
  <c r="J9766" i="2"/>
  <c r="J9765" i="2"/>
  <c r="J9764" i="2"/>
  <c r="J9763" i="2"/>
  <c r="J9762" i="2"/>
  <c r="J9761" i="2"/>
  <c r="J9760" i="2"/>
  <c r="J9759" i="2"/>
  <c r="J9758" i="2"/>
  <c r="J9757" i="2"/>
  <c r="J9756" i="2"/>
  <c r="J9755" i="2"/>
  <c r="J9754" i="2"/>
  <c r="J9753" i="2"/>
  <c r="J9752" i="2"/>
  <c r="J9751" i="2"/>
  <c r="J9750" i="2"/>
  <c r="J9749" i="2"/>
  <c r="J9748" i="2"/>
  <c r="J9747" i="2"/>
  <c r="J9746" i="2"/>
  <c r="J9745" i="2"/>
  <c r="J9744" i="2"/>
  <c r="J9743" i="2"/>
  <c r="J9742" i="2"/>
  <c r="J9741" i="2"/>
  <c r="J9740" i="2"/>
  <c r="J9739" i="2"/>
  <c r="J9738" i="2"/>
  <c r="J9737" i="2"/>
  <c r="J9736" i="2"/>
  <c r="J9735" i="2"/>
  <c r="J9734" i="2"/>
  <c r="J9733" i="2"/>
  <c r="J9732" i="2"/>
  <c r="J9731" i="2"/>
  <c r="J9730" i="2"/>
  <c r="J9729" i="2"/>
  <c r="J9728" i="2"/>
  <c r="J9727" i="2"/>
  <c r="J9726" i="2"/>
  <c r="J9725" i="2"/>
  <c r="J9724" i="2"/>
  <c r="J9723" i="2"/>
  <c r="J9722" i="2"/>
  <c r="J9721" i="2"/>
  <c r="J9720" i="2"/>
  <c r="J9719" i="2"/>
  <c r="J9718" i="2"/>
  <c r="J9717" i="2"/>
  <c r="J9716" i="2"/>
  <c r="J9715" i="2"/>
  <c r="J9714" i="2"/>
  <c r="J9713" i="2"/>
  <c r="J9712" i="2"/>
  <c r="J9711" i="2"/>
  <c r="J9710" i="2"/>
  <c r="J9709" i="2"/>
  <c r="J9708" i="2"/>
  <c r="J9707" i="2"/>
  <c r="J9706" i="2"/>
  <c r="J9705" i="2"/>
  <c r="J9704" i="2"/>
  <c r="J9703" i="2"/>
  <c r="J9702" i="2"/>
  <c r="J9701" i="2"/>
  <c r="J9700" i="2"/>
  <c r="J9699" i="2"/>
  <c r="J9698" i="2"/>
  <c r="J9697" i="2"/>
  <c r="J9696" i="2"/>
  <c r="J9695" i="2"/>
  <c r="J9694" i="2"/>
  <c r="J9693" i="2"/>
  <c r="J9692" i="2"/>
  <c r="J9691" i="2"/>
  <c r="J9690" i="2"/>
  <c r="J9689" i="2"/>
  <c r="J9688" i="2"/>
  <c r="J9687" i="2"/>
  <c r="J9686" i="2"/>
  <c r="J9685" i="2"/>
  <c r="J9684" i="2"/>
  <c r="J9683" i="2"/>
  <c r="J9682" i="2"/>
  <c r="J9681" i="2"/>
  <c r="J9680" i="2"/>
  <c r="J9679" i="2"/>
  <c r="J9678" i="2"/>
  <c r="J9677" i="2"/>
  <c r="J9676" i="2"/>
  <c r="J9675" i="2"/>
  <c r="J9674" i="2"/>
  <c r="J9673" i="2"/>
  <c r="J9672" i="2"/>
  <c r="J9671" i="2"/>
  <c r="J9670" i="2"/>
  <c r="J9669" i="2"/>
  <c r="J9668" i="2"/>
  <c r="J9667" i="2"/>
  <c r="J9666" i="2"/>
  <c r="J9665" i="2"/>
  <c r="J9664" i="2"/>
  <c r="J9663" i="2"/>
  <c r="J9662" i="2"/>
  <c r="J9661" i="2"/>
  <c r="J9660" i="2"/>
  <c r="J9659" i="2"/>
  <c r="J9658" i="2"/>
  <c r="J9657" i="2"/>
  <c r="J9656" i="2"/>
  <c r="J9655" i="2"/>
  <c r="J9654" i="2"/>
  <c r="J9653" i="2"/>
  <c r="J9652" i="2"/>
  <c r="J9651" i="2"/>
  <c r="J9650" i="2"/>
  <c r="J9649" i="2"/>
  <c r="J9648" i="2"/>
  <c r="J9647" i="2"/>
  <c r="J9646" i="2"/>
  <c r="J9645" i="2"/>
  <c r="J9644" i="2"/>
  <c r="J9643" i="2"/>
  <c r="J9642" i="2"/>
  <c r="J9641" i="2"/>
  <c r="J9640" i="2"/>
  <c r="J9639" i="2"/>
  <c r="J9638" i="2"/>
  <c r="J9637" i="2"/>
  <c r="J9636" i="2"/>
  <c r="J9635" i="2"/>
  <c r="J9634" i="2"/>
  <c r="J9633" i="2"/>
  <c r="J9632" i="2"/>
  <c r="J9631" i="2"/>
  <c r="J9630" i="2"/>
  <c r="J9629" i="2"/>
  <c r="J9628" i="2"/>
  <c r="J9627" i="2"/>
  <c r="J9626" i="2"/>
  <c r="J9625" i="2"/>
  <c r="J9624" i="2"/>
  <c r="J9623" i="2"/>
  <c r="J9622" i="2"/>
  <c r="J9621" i="2"/>
  <c r="J9620" i="2"/>
  <c r="J9619" i="2"/>
  <c r="J9618" i="2"/>
  <c r="J9617" i="2"/>
  <c r="J9616" i="2"/>
  <c r="J9615" i="2"/>
  <c r="J9614" i="2"/>
  <c r="J9613" i="2"/>
  <c r="J9612" i="2"/>
  <c r="J9611" i="2"/>
  <c r="J9610" i="2"/>
  <c r="J9609" i="2"/>
  <c r="J9608" i="2"/>
  <c r="J9607" i="2"/>
  <c r="J9606" i="2"/>
  <c r="J9605" i="2"/>
  <c r="J9604" i="2"/>
  <c r="J9603" i="2"/>
  <c r="J9602" i="2"/>
  <c r="J9601" i="2"/>
  <c r="J9600" i="2"/>
  <c r="J9599" i="2"/>
  <c r="J9598" i="2"/>
  <c r="J9597" i="2"/>
  <c r="J9596" i="2"/>
  <c r="J9595" i="2"/>
  <c r="J9594" i="2"/>
  <c r="J9593" i="2"/>
  <c r="J9592" i="2"/>
  <c r="J9591" i="2"/>
  <c r="J9590" i="2"/>
  <c r="J9589" i="2"/>
  <c r="J9588" i="2"/>
  <c r="J9587" i="2"/>
  <c r="J9586" i="2"/>
  <c r="J9585" i="2"/>
  <c r="J9584" i="2"/>
  <c r="J9583" i="2"/>
  <c r="J9582" i="2"/>
  <c r="J9581" i="2"/>
  <c r="J9580" i="2"/>
  <c r="J9579" i="2"/>
  <c r="J9578" i="2"/>
  <c r="J9577" i="2"/>
  <c r="J9576" i="2"/>
  <c r="J9575" i="2"/>
  <c r="J9574" i="2"/>
  <c r="J9573" i="2"/>
  <c r="J9572" i="2"/>
  <c r="J9571" i="2"/>
  <c r="J9570" i="2"/>
  <c r="J9569" i="2"/>
  <c r="J9568" i="2"/>
  <c r="J9567" i="2"/>
  <c r="J9566" i="2"/>
  <c r="J9565" i="2"/>
  <c r="J9564" i="2"/>
  <c r="J9563" i="2"/>
  <c r="J9562" i="2"/>
  <c r="J9561" i="2"/>
  <c r="J9560" i="2"/>
  <c r="J9559" i="2"/>
  <c r="J9558" i="2"/>
  <c r="J9557" i="2"/>
  <c r="J9556" i="2"/>
  <c r="J9555" i="2"/>
  <c r="J9554" i="2"/>
  <c r="J9553" i="2"/>
  <c r="J9552" i="2"/>
  <c r="J9551" i="2"/>
  <c r="J9550" i="2"/>
  <c r="J9549" i="2"/>
  <c r="J9548" i="2"/>
  <c r="J9547" i="2"/>
  <c r="J9546" i="2"/>
  <c r="J9545" i="2"/>
  <c r="J9544" i="2"/>
  <c r="J9543" i="2"/>
  <c r="J9542" i="2"/>
  <c r="J9541" i="2"/>
  <c r="J9540" i="2"/>
  <c r="J9539" i="2"/>
  <c r="J9538" i="2"/>
  <c r="J9537" i="2"/>
  <c r="J9536" i="2"/>
  <c r="J9535" i="2"/>
  <c r="J9534" i="2"/>
  <c r="J9533" i="2"/>
  <c r="J9532" i="2"/>
  <c r="J9531" i="2"/>
  <c r="J9530" i="2"/>
  <c r="J9529" i="2"/>
  <c r="J9528" i="2"/>
  <c r="J9527" i="2"/>
  <c r="J9526" i="2"/>
  <c r="J9525" i="2"/>
  <c r="J9524" i="2"/>
  <c r="J9523" i="2"/>
  <c r="J9522" i="2"/>
  <c r="J9521" i="2"/>
  <c r="J9520" i="2"/>
  <c r="J9519" i="2"/>
  <c r="J9518" i="2"/>
  <c r="J9517" i="2"/>
  <c r="J9516" i="2"/>
  <c r="J9515" i="2"/>
  <c r="J9514" i="2"/>
  <c r="J9513" i="2"/>
  <c r="J9512" i="2"/>
  <c r="J9511" i="2"/>
  <c r="J9510" i="2"/>
  <c r="J9509" i="2"/>
  <c r="J9508" i="2"/>
  <c r="J9507" i="2"/>
  <c r="J9506" i="2"/>
  <c r="J9505" i="2"/>
  <c r="J9504" i="2"/>
  <c r="J9503" i="2"/>
  <c r="J9502" i="2"/>
  <c r="J9501" i="2"/>
  <c r="J9500" i="2"/>
  <c r="J9499" i="2"/>
  <c r="J9498" i="2"/>
  <c r="J9497" i="2"/>
  <c r="J9496" i="2"/>
  <c r="J9495" i="2"/>
  <c r="J9494" i="2"/>
  <c r="J9493" i="2"/>
  <c r="J9492" i="2"/>
  <c r="J9491" i="2"/>
  <c r="J9490" i="2"/>
  <c r="J9489" i="2"/>
  <c r="J9488" i="2"/>
  <c r="J9487" i="2"/>
  <c r="J9486" i="2"/>
  <c r="J9485" i="2"/>
  <c r="J9484" i="2"/>
  <c r="J9483" i="2"/>
  <c r="J9482" i="2"/>
  <c r="J9481" i="2"/>
  <c r="J9480" i="2"/>
  <c r="J9479" i="2"/>
  <c r="J9478" i="2"/>
  <c r="J9477" i="2"/>
  <c r="J9476" i="2"/>
  <c r="J9475" i="2"/>
  <c r="J9474" i="2"/>
  <c r="J9473" i="2"/>
  <c r="J9472" i="2"/>
  <c r="J9471" i="2"/>
  <c r="J9470" i="2"/>
  <c r="J9469" i="2"/>
  <c r="J9468" i="2"/>
  <c r="J9467" i="2"/>
  <c r="J9466" i="2"/>
  <c r="J9465" i="2"/>
  <c r="J9464" i="2"/>
  <c r="J9463" i="2"/>
  <c r="J9462" i="2"/>
  <c r="J9461" i="2"/>
  <c r="J9460" i="2"/>
  <c r="J9459" i="2"/>
  <c r="J9458" i="2"/>
  <c r="J9457" i="2"/>
  <c r="J9456" i="2"/>
  <c r="J9455" i="2"/>
  <c r="J9454" i="2"/>
  <c r="J9453" i="2"/>
  <c r="J9452" i="2"/>
  <c r="J9451" i="2"/>
  <c r="J9450" i="2"/>
  <c r="J9449" i="2"/>
  <c r="J9448" i="2"/>
  <c r="J9447" i="2"/>
  <c r="J9446" i="2"/>
  <c r="J9445" i="2"/>
  <c r="J9444" i="2"/>
  <c r="J9443" i="2"/>
  <c r="J9442" i="2"/>
  <c r="J9441" i="2"/>
  <c r="J9440" i="2"/>
  <c r="J9439" i="2"/>
  <c r="J9438" i="2"/>
  <c r="J9437" i="2"/>
  <c r="J9436" i="2"/>
  <c r="J9435" i="2"/>
  <c r="J9434" i="2"/>
  <c r="J9433" i="2"/>
  <c r="J9432" i="2"/>
  <c r="J9431" i="2"/>
  <c r="J9430" i="2"/>
  <c r="J9429" i="2"/>
  <c r="J9428" i="2"/>
  <c r="J9427" i="2"/>
  <c r="J9426" i="2"/>
  <c r="J9425" i="2"/>
  <c r="J9424" i="2"/>
  <c r="J9423" i="2"/>
  <c r="J9422" i="2"/>
  <c r="J9421" i="2"/>
  <c r="J9420" i="2"/>
  <c r="J9419" i="2"/>
  <c r="J9418" i="2"/>
  <c r="J9417" i="2"/>
  <c r="J9416" i="2"/>
  <c r="J9415" i="2"/>
  <c r="J9414" i="2"/>
  <c r="J9413" i="2"/>
  <c r="J9412" i="2"/>
  <c r="J9411" i="2"/>
  <c r="J9410" i="2"/>
  <c r="J9409" i="2"/>
  <c r="J9408" i="2"/>
  <c r="J9407" i="2"/>
  <c r="J9406" i="2"/>
  <c r="J9405" i="2"/>
  <c r="J9404" i="2"/>
  <c r="J9403" i="2"/>
  <c r="J9402" i="2"/>
  <c r="J9401" i="2"/>
  <c r="J9400" i="2"/>
  <c r="J9399" i="2"/>
  <c r="J9398" i="2"/>
  <c r="J9397" i="2"/>
  <c r="J9396" i="2"/>
  <c r="J9395" i="2"/>
  <c r="J9394" i="2"/>
  <c r="J9393" i="2"/>
  <c r="J9392" i="2"/>
  <c r="J9391" i="2"/>
  <c r="J9390" i="2"/>
  <c r="J9389" i="2"/>
  <c r="J9388" i="2"/>
  <c r="J9387" i="2"/>
  <c r="J9386" i="2"/>
  <c r="J9385" i="2"/>
  <c r="J9384" i="2"/>
  <c r="J9383" i="2"/>
  <c r="J9382" i="2"/>
  <c r="J9381" i="2"/>
  <c r="J9380" i="2"/>
  <c r="J9379" i="2"/>
  <c r="J9378" i="2"/>
  <c r="J9377" i="2"/>
  <c r="J9376" i="2"/>
  <c r="J9375" i="2"/>
  <c r="J9374" i="2"/>
  <c r="J9373" i="2"/>
  <c r="J9372" i="2"/>
  <c r="J9371" i="2"/>
  <c r="J9370" i="2"/>
  <c r="J9369" i="2"/>
  <c r="J9368" i="2"/>
  <c r="J9367" i="2"/>
  <c r="J9366" i="2"/>
  <c r="J9365" i="2"/>
  <c r="J9364" i="2"/>
  <c r="J9363" i="2"/>
  <c r="J9362" i="2"/>
  <c r="J9361" i="2"/>
  <c r="J9360" i="2"/>
  <c r="J9359" i="2"/>
  <c r="J9358" i="2"/>
  <c r="J9357" i="2"/>
  <c r="J9356" i="2"/>
  <c r="J9355" i="2"/>
  <c r="J9354" i="2"/>
  <c r="J9353" i="2"/>
  <c r="J9352" i="2"/>
  <c r="J9351" i="2"/>
  <c r="J9350" i="2"/>
  <c r="J9349" i="2"/>
  <c r="J9348" i="2"/>
  <c r="J9347" i="2"/>
  <c r="J9346" i="2"/>
  <c r="J9345" i="2"/>
  <c r="J9344" i="2"/>
  <c r="J9343" i="2"/>
  <c r="J9342" i="2"/>
  <c r="J9341" i="2"/>
  <c r="J9340" i="2"/>
  <c r="J9339" i="2"/>
  <c r="J9338" i="2"/>
  <c r="J9337" i="2"/>
  <c r="J9336" i="2"/>
  <c r="J9335" i="2"/>
  <c r="J9334" i="2"/>
  <c r="J9333" i="2"/>
  <c r="J9332" i="2"/>
  <c r="J9331" i="2"/>
  <c r="J9330" i="2"/>
  <c r="J9329" i="2"/>
  <c r="J9328" i="2"/>
  <c r="J9327" i="2"/>
  <c r="J9326" i="2"/>
  <c r="J9325" i="2"/>
  <c r="J9324" i="2"/>
  <c r="J9323" i="2"/>
  <c r="J9322" i="2"/>
  <c r="J9321" i="2"/>
  <c r="J9320" i="2"/>
  <c r="J9319" i="2"/>
  <c r="J9318" i="2"/>
  <c r="J9317" i="2"/>
  <c r="J9316" i="2"/>
  <c r="J9315" i="2"/>
  <c r="J9314" i="2"/>
  <c r="J9313" i="2"/>
  <c r="J9312" i="2"/>
  <c r="J9311" i="2"/>
  <c r="J9310" i="2"/>
  <c r="J9309" i="2"/>
  <c r="J9308" i="2"/>
  <c r="J9307" i="2"/>
  <c r="J9306" i="2"/>
  <c r="J9305" i="2"/>
  <c r="J9304" i="2"/>
  <c r="J9303" i="2"/>
  <c r="J9302" i="2"/>
  <c r="J9301" i="2"/>
  <c r="J9300" i="2"/>
  <c r="J9299" i="2"/>
  <c r="J9298" i="2"/>
  <c r="J9297" i="2"/>
  <c r="J9296" i="2"/>
  <c r="J9295" i="2"/>
  <c r="J9294" i="2"/>
  <c r="J9293" i="2"/>
  <c r="J9292" i="2"/>
  <c r="J9291" i="2"/>
  <c r="J9290" i="2"/>
  <c r="J9289" i="2"/>
  <c r="J9288" i="2"/>
  <c r="J9287" i="2"/>
  <c r="J9286" i="2"/>
  <c r="J9285" i="2"/>
  <c r="J9284" i="2"/>
  <c r="J9283" i="2"/>
  <c r="J9282" i="2"/>
  <c r="J9281" i="2"/>
  <c r="J9280" i="2"/>
  <c r="J9279" i="2"/>
  <c r="J9278" i="2"/>
  <c r="J9277" i="2"/>
  <c r="J9276" i="2"/>
  <c r="J9275" i="2"/>
  <c r="J9274" i="2"/>
  <c r="J9273" i="2"/>
  <c r="J9272" i="2"/>
  <c r="J9271" i="2"/>
  <c r="J9270" i="2"/>
  <c r="J9269" i="2"/>
  <c r="J9268" i="2"/>
  <c r="J9267" i="2"/>
  <c r="J9266" i="2"/>
  <c r="J9265" i="2"/>
  <c r="J9264" i="2"/>
  <c r="J9263" i="2"/>
  <c r="J9262" i="2"/>
  <c r="J9261" i="2"/>
  <c r="J9260" i="2"/>
  <c r="J9259" i="2"/>
  <c r="J9258" i="2"/>
  <c r="J9257" i="2"/>
  <c r="J9256" i="2"/>
  <c r="J9255" i="2"/>
  <c r="J9254" i="2"/>
  <c r="J9253" i="2"/>
  <c r="J9252" i="2"/>
  <c r="J9251" i="2"/>
  <c r="J9250" i="2"/>
  <c r="J9249" i="2"/>
  <c r="J9248" i="2"/>
  <c r="J9247" i="2"/>
  <c r="J9246" i="2"/>
  <c r="J9245" i="2"/>
  <c r="J9244" i="2"/>
  <c r="J9243" i="2"/>
  <c r="J9242" i="2"/>
  <c r="J9241" i="2"/>
  <c r="J9240" i="2"/>
  <c r="J9239" i="2"/>
  <c r="J9238" i="2"/>
  <c r="J9237" i="2"/>
  <c r="J9236" i="2"/>
  <c r="J9235" i="2"/>
  <c r="J9234" i="2"/>
  <c r="J9233" i="2"/>
  <c r="J9232" i="2"/>
  <c r="J9231" i="2"/>
  <c r="J9230" i="2"/>
  <c r="J9229" i="2"/>
  <c r="J9228" i="2"/>
  <c r="J9227" i="2"/>
  <c r="J9226" i="2"/>
  <c r="J9225" i="2"/>
  <c r="J9224" i="2"/>
  <c r="J9223" i="2"/>
  <c r="J9222" i="2"/>
  <c r="J9221" i="2"/>
  <c r="J9220" i="2"/>
  <c r="J9219" i="2"/>
  <c r="J9218" i="2"/>
  <c r="J9217" i="2"/>
  <c r="J9216" i="2"/>
  <c r="J9215" i="2"/>
  <c r="J9214" i="2"/>
  <c r="J9213" i="2"/>
  <c r="J9212" i="2"/>
  <c r="J9211" i="2"/>
  <c r="J9210" i="2"/>
  <c r="J9209" i="2"/>
  <c r="J9208" i="2"/>
  <c r="J9207" i="2"/>
  <c r="J9206" i="2"/>
  <c r="J9205" i="2"/>
  <c r="J9204" i="2"/>
  <c r="J9203" i="2"/>
  <c r="J9202" i="2"/>
  <c r="J9201" i="2"/>
  <c r="J9200" i="2"/>
  <c r="J9199" i="2"/>
  <c r="J9198" i="2"/>
  <c r="J9197" i="2"/>
  <c r="J9196" i="2"/>
  <c r="J9195" i="2"/>
  <c r="J9194" i="2"/>
  <c r="J9193" i="2"/>
  <c r="J9192" i="2"/>
  <c r="J9191" i="2"/>
  <c r="J9190" i="2"/>
  <c r="J9189" i="2"/>
  <c r="J9188" i="2"/>
  <c r="J9187" i="2"/>
  <c r="J9186" i="2"/>
  <c r="J9185" i="2"/>
  <c r="J9184" i="2"/>
  <c r="J9183" i="2"/>
  <c r="J9182" i="2"/>
  <c r="J9181" i="2"/>
  <c r="J9180" i="2"/>
  <c r="J9179" i="2"/>
  <c r="J9178" i="2"/>
  <c r="J9177" i="2"/>
  <c r="J9176" i="2"/>
  <c r="J9175" i="2"/>
  <c r="J9174" i="2"/>
  <c r="J9173" i="2"/>
  <c r="J9172" i="2"/>
  <c r="J9171" i="2"/>
  <c r="J9170" i="2"/>
  <c r="J9169" i="2"/>
  <c r="J9168" i="2"/>
  <c r="J9167" i="2"/>
  <c r="J9166" i="2"/>
  <c r="J9165" i="2"/>
  <c r="J9164" i="2"/>
  <c r="J9163" i="2"/>
  <c r="J9162" i="2"/>
  <c r="J9161" i="2"/>
  <c r="J9160" i="2"/>
  <c r="J9159" i="2"/>
  <c r="J9158" i="2"/>
  <c r="J9157" i="2"/>
  <c r="J9156" i="2"/>
  <c r="J9155" i="2"/>
  <c r="J9154" i="2"/>
  <c r="J9153" i="2"/>
  <c r="J9152" i="2"/>
  <c r="J9151" i="2"/>
  <c r="J9150" i="2"/>
  <c r="J9149" i="2"/>
  <c r="J9148" i="2"/>
  <c r="J9147" i="2"/>
  <c r="J9146" i="2"/>
  <c r="J9145" i="2"/>
  <c r="J9144" i="2"/>
  <c r="J9143" i="2"/>
  <c r="J9142" i="2"/>
  <c r="J9141" i="2"/>
  <c r="J9140" i="2"/>
  <c r="J9139" i="2"/>
  <c r="J9138" i="2"/>
  <c r="J9137" i="2"/>
  <c r="J9136" i="2"/>
  <c r="J9135" i="2"/>
  <c r="J9134" i="2"/>
  <c r="J9133" i="2"/>
  <c r="J9132" i="2"/>
  <c r="J9131" i="2"/>
  <c r="J9130" i="2"/>
  <c r="J9129" i="2"/>
  <c r="J9128" i="2"/>
  <c r="J9127" i="2"/>
  <c r="J9126" i="2"/>
  <c r="J9125" i="2"/>
  <c r="J9124" i="2"/>
  <c r="J9123" i="2"/>
  <c r="J9122" i="2"/>
  <c r="J9121" i="2"/>
  <c r="J9120" i="2"/>
  <c r="J9119" i="2"/>
  <c r="J9118" i="2"/>
  <c r="J9117" i="2"/>
  <c r="J9116" i="2"/>
  <c r="J9115" i="2"/>
  <c r="J9114" i="2"/>
  <c r="J9113" i="2"/>
  <c r="J9112" i="2"/>
  <c r="J9111" i="2"/>
  <c r="J9110" i="2"/>
  <c r="J9109" i="2"/>
  <c r="J9108" i="2"/>
  <c r="J9107" i="2"/>
  <c r="J9106" i="2"/>
  <c r="J9105" i="2"/>
  <c r="J9104" i="2"/>
  <c r="J9103" i="2"/>
  <c r="J9102" i="2"/>
  <c r="J9101" i="2"/>
  <c r="J9100" i="2"/>
  <c r="J9099" i="2"/>
  <c r="J9098" i="2"/>
  <c r="J9097" i="2"/>
  <c r="J9096" i="2"/>
  <c r="J9095" i="2"/>
  <c r="J9094" i="2"/>
  <c r="J9093" i="2"/>
  <c r="J9092" i="2"/>
  <c r="J9091" i="2"/>
  <c r="J9090" i="2"/>
  <c r="J9089" i="2"/>
  <c r="J9088" i="2"/>
  <c r="J9087" i="2"/>
  <c r="J9086" i="2"/>
  <c r="J9085" i="2"/>
  <c r="J9084" i="2"/>
  <c r="J9083" i="2"/>
  <c r="J9082" i="2"/>
  <c r="J9081" i="2"/>
  <c r="J9080" i="2"/>
  <c r="J9079" i="2"/>
  <c r="J9078" i="2"/>
  <c r="J9077" i="2"/>
  <c r="J9076" i="2"/>
  <c r="J9075" i="2"/>
  <c r="J9074" i="2"/>
  <c r="J9073" i="2"/>
  <c r="J9072" i="2"/>
  <c r="J9071" i="2"/>
  <c r="J9070" i="2"/>
  <c r="J9069" i="2"/>
  <c r="J9068" i="2"/>
  <c r="J9067" i="2"/>
  <c r="J9066" i="2"/>
  <c r="J9065" i="2"/>
  <c r="J9064" i="2"/>
  <c r="J9063" i="2"/>
  <c r="J9062" i="2"/>
  <c r="J9061" i="2"/>
  <c r="J9060" i="2"/>
  <c r="J9059" i="2"/>
  <c r="J9058" i="2"/>
  <c r="J9057" i="2"/>
  <c r="J9056" i="2"/>
  <c r="J9055" i="2"/>
  <c r="J9054" i="2"/>
  <c r="J9053" i="2"/>
  <c r="J9052" i="2"/>
  <c r="J9051" i="2"/>
  <c r="J9050" i="2"/>
  <c r="J9049" i="2"/>
  <c r="J9048" i="2"/>
  <c r="J9047" i="2"/>
  <c r="J9046" i="2"/>
  <c r="J9045" i="2"/>
  <c r="J9044" i="2"/>
  <c r="J9043" i="2"/>
  <c r="J9042" i="2"/>
  <c r="J9041" i="2"/>
  <c r="J9040" i="2"/>
  <c r="J9039" i="2"/>
  <c r="J9038" i="2"/>
  <c r="J9037" i="2"/>
  <c r="J9036" i="2"/>
  <c r="J9035" i="2"/>
  <c r="J9034" i="2"/>
  <c r="J9033" i="2"/>
  <c r="J9032" i="2"/>
  <c r="J9031" i="2"/>
  <c r="J9030" i="2"/>
  <c r="J9029" i="2"/>
  <c r="J9028" i="2"/>
  <c r="J9027" i="2"/>
  <c r="J9026" i="2"/>
  <c r="J9025" i="2"/>
  <c r="J9024" i="2"/>
  <c r="J9023" i="2"/>
  <c r="J9022" i="2"/>
  <c r="J9021" i="2"/>
  <c r="J9020" i="2"/>
  <c r="J9019" i="2"/>
  <c r="J9018" i="2"/>
  <c r="J9017" i="2"/>
  <c r="J9016" i="2"/>
  <c r="J9015" i="2"/>
  <c r="J9014" i="2"/>
  <c r="J9013" i="2"/>
  <c r="J9012" i="2"/>
  <c r="J9011" i="2"/>
  <c r="J9010" i="2"/>
  <c r="J9009" i="2"/>
  <c r="J9008" i="2"/>
  <c r="J9007" i="2"/>
  <c r="J9006" i="2"/>
  <c r="J9005" i="2"/>
  <c r="J9004" i="2"/>
  <c r="J9003" i="2"/>
  <c r="J9002" i="2"/>
  <c r="J9001" i="2"/>
  <c r="J9000" i="2"/>
  <c r="J8999" i="2"/>
  <c r="J8998" i="2"/>
  <c r="J8997" i="2"/>
  <c r="J8996" i="2"/>
  <c r="J8995" i="2"/>
  <c r="J8994" i="2"/>
  <c r="J8993" i="2"/>
  <c r="J8992" i="2"/>
  <c r="J8991" i="2"/>
  <c r="J8990" i="2"/>
  <c r="J8989" i="2"/>
  <c r="J8988" i="2"/>
  <c r="J8987" i="2"/>
  <c r="J8986" i="2"/>
  <c r="J8985" i="2"/>
  <c r="J8984" i="2"/>
  <c r="J8983" i="2"/>
  <c r="J8982" i="2"/>
  <c r="J8981" i="2"/>
  <c r="J8980" i="2"/>
  <c r="J8979" i="2"/>
  <c r="J8978" i="2"/>
  <c r="J8977" i="2"/>
  <c r="J8976" i="2"/>
  <c r="J8975" i="2"/>
  <c r="J8974" i="2"/>
  <c r="J8973" i="2"/>
  <c r="J8972" i="2"/>
  <c r="J8971" i="2"/>
  <c r="J8970" i="2"/>
  <c r="J8969" i="2"/>
  <c r="J8968" i="2"/>
  <c r="J8967" i="2"/>
  <c r="J8966" i="2"/>
  <c r="J8965" i="2"/>
  <c r="J8964" i="2"/>
  <c r="J8963" i="2"/>
  <c r="J8962" i="2"/>
  <c r="J8961" i="2"/>
  <c r="J8960" i="2"/>
  <c r="J8959" i="2"/>
  <c r="J8958" i="2"/>
  <c r="J8957" i="2"/>
  <c r="J8956" i="2"/>
  <c r="J8955" i="2"/>
  <c r="J8954" i="2"/>
  <c r="J8953" i="2"/>
  <c r="J8952" i="2"/>
  <c r="J8951" i="2"/>
  <c r="J8950" i="2"/>
  <c r="J8949" i="2"/>
  <c r="J8948" i="2"/>
  <c r="J8947" i="2"/>
  <c r="J8946" i="2"/>
  <c r="J8945" i="2"/>
  <c r="J8944" i="2"/>
  <c r="J8943" i="2"/>
  <c r="J8942" i="2"/>
  <c r="J8941" i="2"/>
  <c r="J8940" i="2"/>
  <c r="J8939" i="2"/>
  <c r="J8938" i="2"/>
  <c r="J8937" i="2"/>
  <c r="J8936" i="2"/>
  <c r="J8935" i="2"/>
  <c r="J8934" i="2"/>
  <c r="J8933" i="2"/>
  <c r="J8932" i="2"/>
  <c r="J8931" i="2"/>
  <c r="J8930" i="2"/>
  <c r="J8929" i="2"/>
  <c r="J8928" i="2"/>
  <c r="J8927" i="2"/>
  <c r="J8926" i="2"/>
  <c r="J8925" i="2"/>
  <c r="J8924" i="2"/>
  <c r="J8923" i="2"/>
  <c r="J8922" i="2"/>
  <c r="J8921" i="2"/>
  <c r="J8920" i="2"/>
  <c r="J8919" i="2"/>
  <c r="J8918" i="2"/>
  <c r="J8917" i="2"/>
  <c r="J8916" i="2"/>
  <c r="J8915" i="2"/>
  <c r="J8914" i="2"/>
  <c r="J8913" i="2"/>
  <c r="J8912" i="2"/>
  <c r="J8911" i="2"/>
  <c r="J8910" i="2"/>
  <c r="J8909" i="2"/>
  <c r="J8908" i="2"/>
  <c r="J8907" i="2"/>
  <c r="J8906" i="2"/>
  <c r="J8905" i="2"/>
  <c r="J8904" i="2"/>
  <c r="J8903" i="2"/>
  <c r="J8902" i="2"/>
  <c r="J8901" i="2"/>
  <c r="J8900" i="2"/>
  <c r="J8899" i="2"/>
  <c r="J8898" i="2"/>
  <c r="J8897" i="2"/>
  <c r="J8896" i="2"/>
  <c r="J8895" i="2"/>
  <c r="J8894" i="2"/>
  <c r="J8893" i="2"/>
  <c r="J8892" i="2"/>
  <c r="J8891" i="2"/>
  <c r="J8890" i="2"/>
  <c r="J8889" i="2"/>
  <c r="J8888" i="2"/>
  <c r="J8887" i="2"/>
  <c r="J8886" i="2"/>
  <c r="J8885" i="2"/>
  <c r="J8884" i="2"/>
  <c r="J8883" i="2"/>
  <c r="J8882" i="2"/>
  <c r="J8881" i="2"/>
  <c r="J8880" i="2"/>
  <c r="J8879" i="2"/>
  <c r="J8878" i="2"/>
  <c r="J8877" i="2"/>
  <c r="J8876" i="2"/>
  <c r="J8875" i="2"/>
  <c r="J8874" i="2"/>
  <c r="J8873" i="2"/>
  <c r="J8872" i="2"/>
  <c r="J8871" i="2"/>
  <c r="J8870" i="2"/>
  <c r="J8869" i="2"/>
  <c r="J8868" i="2"/>
  <c r="J8867" i="2"/>
  <c r="J8866" i="2"/>
  <c r="J8865" i="2"/>
  <c r="J8864" i="2"/>
  <c r="J8863" i="2"/>
  <c r="J8862" i="2"/>
  <c r="J8861" i="2"/>
  <c r="J8860" i="2"/>
  <c r="J8859" i="2"/>
  <c r="J8858" i="2"/>
  <c r="J8857" i="2"/>
  <c r="J8856" i="2"/>
  <c r="J8855" i="2"/>
  <c r="J8854" i="2"/>
  <c r="J8853" i="2"/>
  <c r="J8852" i="2"/>
  <c r="J8851" i="2"/>
  <c r="J8850" i="2"/>
  <c r="J8849" i="2"/>
  <c r="J8848" i="2"/>
  <c r="J8847" i="2"/>
  <c r="J8846" i="2"/>
  <c r="J8845" i="2"/>
  <c r="J8844" i="2"/>
  <c r="J8843" i="2"/>
  <c r="J8842" i="2"/>
  <c r="J8841" i="2"/>
  <c r="J8840" i="2"/>
  <c r="J8839" i="2"/>
  <c r="J8838" i="2"/>
  <c r="J8837" i="2"/>
  <c r="J8836" i="2"/>
  <c r="J8835" i="2"/>
  <c r="J8834" i="2"/>
  <c r="J8833" i="2"/>
  <c r="J8832" i="2"/>
  <c r="J8831" i="2"/>
  <c r="J8830" i="2"/>
  <c r="J8829" i="2"/>
  <c r="J8828" i="2"/>
  <c r="J8827" i="2"/>
  <c r="J8826" i="2"/>
  <c r="J8825" i="2"/>
  <c r="J8824" i="2"/>
  <c r="J8823" i="2"/>
  <c r="J8822" i="2"/>
  <c r="J8821" i="2"/>
  <c r="J8820" i="2"/>
  <c r="J8819" i="2"/>
  <c r="J8818" i="2"/>
  <c r="J8817" i="2"/>
  <c r="J8816" i="2"/>
  <c r="J8815" i="2"/>
  <c r="J8814" i="2"/>
  <c r="J8813" i="2"/>
  <c r="J8812" i="2"/>
  <c r="J8811" i="2"/>
  <c r="J8810" i="2"/>
  <c r="J8809" i="2"/>
  <c r="J8808" i="2"/>
  <c r="J8807" i="2"/>
  <c r="J8806" i="2"/>
  <c r="J8805" i="2"/>
  <c r="J8804" i="2"/>
  <c r="J8803" i="2"/>
  <c r="J8802" i="2"/>
  <c r="J8801" i="2"/>
  <c r="J8800" i="2"/>
  <c r="J8799" i="2"/>
  <c r="J8798" i="2"/>
  <c r="J8797" i="2"/>
  <c r="J8796" i="2"/>
  <c r="J8795" i="2"/>
  <c r="J8794" i="2"/>
  <c r="J8793" i="2"/>
  <c r="J8792" i="2"/>
  <c r="J8791" i="2"/>
  <c r="J8790" i="2"/>
  <c r="J8789" i="2"/>
  <c r="J8788" i="2"/>
  <c r="J8787" i="2"/>
  <c r="J8786" i="2"/>
  <c r="J8785" i="2"/>
  <c r="J8784" i="2"/>
  <c r="J8783" i="2"/>
  <c r="J8782" i="2"/>
  <c r="J8781" i="2"/>
  <c r="J8780" i="2"/>
  <c r="J8779" i="2"/>
  <c r="J8778" i="2"/>
  <c r="J8777" i="2"/>
  <c r="J8776" i="2"/>
  <c r="J8775" i="2"/>
  <c r="J8774" i="2"/>
  <c r="J8773" i="2"/>
  <c r="J8772" i="2"/>
  <c r="J8771" i="2"/>
  <c r="J8770" i="2"/>
  <c r="J8769" i="2"/>
  <c r="J8768" i="2"/>
  <c r="J8767" i="2"/>
  <c r="J8766" i="2"/>
  <c r="J8765" i="2"/>
  <c r="J8764" i="2"/>
  <c r="J8763" i="2"/>
  <c r="J8762" i="2"/>
  <c r="J8761" i="2"/>
  <c r="J8760" i="2"/>
  <c r="J8759" i="2"/>
  <c r="J8758" i="2"/>
  <c r="J8757" i="2"/>
  <c r="J8756" i="2"/>
  <c r="J8755" i="2"/>
  <c r="J8754" i="2"/>
  <c r="J8753" i="2"/>
  <c r="J8752" i="2"/>
  <c r="J8751" i="2"/>
  <c r="J8750" i="2"/>
  <c r="J8749" i="2"/>
  <c r="J8748" i="2"/>
  <c r="J8747" i="2"/>
  <c r="J8746" i="2"/>
  <c r="J8745" i="2"/>
  <c r="J8744" i="2"/>
  <c r="J8743" i="2"/>
  <c r="J8742" i="2"/>
  <c r="J8741" i="2"/>
  <c r="J8740" i="2"/>
  <c r="J8739" i="2"/>
  <c r="J8738" i="2"/>
  <c r="J8737" i="2"/>
  <c r="J8736" i="2"/>
  <c r="J8735" i="2"/>
  <c r="J8734" i="2"/>
  <c r="J8733" i="2"/>
  <c r="J8732" i="2"/>
  <c r="J8731" i="2"/>
  <c r="J8730" i="2"/>
  <c r="J8729" i="2"/>
  <c r="J8728" i="2"/>
  <c r="J8727" i="2"/>
  <c r="J8726" i="2"/>
  <c r="J8725" i="2"/>
  <c r="J8724" i="2"/>
  <c r="J8723" i="2"/>
  <c r="J8722" i="2"/>
  <c r="J8721" i="2"/>
  <c r="J8720" i="2"/>
  <c r="J8719" i="2"/>
  <c r="J8718" i="2"/>
  <c r="J8717" i="2"/>
  <c r="J8716" i="2"/>
  <c r="J8715" i="2"/>
  <c r="J8714" i="2"/>
  <c r="J8713" i="2"/>
  <c r="J8712" i="2"/>
  <c r="J8711" i="2"/>
  <c r="J8710" i="2"/>
  <c r="J8709" i="2"/>
  <c r="J8708" i="2"/>
  <c r="J8707" i="2"/>
  <c r="J8706" i="2"/>
  <c r="J8705" i="2"/>
  <c r="J8704" i="2"/>
  <c r="J8703" i="2"/>
  <c r="J8702" i="2"/>
  <c r="J8701" i="2"/>
  <c r="J8700" i="2"/>
  <c r="J8699" i="2"/>
  <c r="J8698" i="2"/>
  <c r="J8697" i="2"/>
  <c r="J8696" i="2"/>
  <c r="J8695" i="2"/>
  <c r="J8694" i="2"/>
  <c r="J8693" i="2"/>
  <c r="J8692" i="2"/>
  <c r="J8691" i="2"/>
  <c r="J8690" i="2"/>
  <c r="J8689" i="2"/>
  <c r="J8688" i="2"/>
  <c r="J8687" i="2"/>
  <c r="J8686" i="2"/>
  <c r="J8685" i="2"/>
  <c r="J8684" i="2"/>
  <c r="J8683" i="2"/>
  <c r="J8682" i="2"/>
  <c r="J8681" i="2"/>
  <c r="J8680" i="2"/>
  <c r="J8679" i="2"/>
  <c r="J8678" i="2"/>
  <c r="J8677" i="2"/>
  <c r="J8676" i="2"/>
  <c r="J8675" i="2"/>
  <c r="J8674" i="2"/>
  <c r="J8673" i="2"/>
  <c r="J8672" i="2"/>
  <c r="J8671" i="2"/>
  <c r="J8670" i="2"/>
  <c r="J8669" i="2"/>
  <c r="J8668" i="2"/>
  <c r="J8667" i="2"/>
  <c r="J8666" i="2"/>
  <c r="J8665" i="2"/>
  <c r="J8664" i="2"/>
  <c r="J8663" i="2"/>
  <c r="J8662" i="2"/>
  <c r="J8661" i="2"/>
  <c r="J8660" i="2"/>
  <c r="J8659" i="2"/>
  <c r="J8658" i="2"/>
  <c r="J8657" i="2"/>
  <c r="J8656" i="2"/>
  <c r="J8655" i="2"/>
  <c r="J8654" i="2"/>
  <c r="J8653" i="2"/>
  <c r="J8652" i="2"/>
  <c r="J8651" i="2"/>
  <c r="J8650" i="2"/>
  <c r="J8649" i="2"/>
  <c r="J8648" i="2"/>
  <c r="J8647" i="2"/>
  <c r="J8646" i="2"/>
  <c r="J8645" i="2"/>
  <c r="J8644" i="2"/>
  <c r="J8643" i="2"/>
  <c r="J8642" i="2"/>
  <c r="J8641" i="2"/>
  <c r="J8640" i="2"/>
  <c r="J8639" i="2"/>
  <c r="J8638" i="2"/>
  <c r="J8637" i="2"/>
  <c r="J8636" i="2"/>
  <c r="J8635" i="2"/>
  <c r="J8634" i="2"/>
  <c r="J8633" i="2"/>
  <c r="J8632" i="2"/>
  <c r="J8631" i="2"/>
  <c r="J8630" i="2"/>
  <c r="J8629" i="2"/>
  <c r="J8628" i="2"/>
  <c r="J8627" i="2"/>
  <c r="J8626" i="2"/>
  <c r="J8625" i="2"/>
  <c r="J8624" i="2"/>
  <c r="J8623" i="2"/>
  <c r="J8622" i="2"/>
  <c r="J8621" i="2"/>
  <c r="J8620" i="2"/>
  <c r="J8619" i="2"/>
  <c r="J8618" i="2"/>
  <c r="J8617" i="2"/>
  <c r="J8616" i="2"/>
  <c r="J8615" i="2"/>
  <c r="J8614" i="2"/>
  <c r="J8613" i="2"/>
  <c r="J8612" i="2"/>
  <c r="J8611" i="2"/>
  <c r="J8610" i="2"/>
  <c r="J8609" i="2"/>
  <c r="J8608" i="2"/>
  <c r="J8607" i="2"/>
  <c r="J8606" i="2"/>
  <c r="J8605" i="2"/>
  <c r="J8604" i="2"/>
  <c r="J8603" i="2"/>
  <c r="J8602" i="2"/>
  <c r="J8601" i="2"/>
  <c r="J8600" i="2"/>
  <c r="J8599" i="2"/>
  <c r="J8598" i="2"/>
  <c r="J8597" i="2"/>
  <c r="J8596" i="2"/>
  <c r="J8595" i="2"/>
  <c r="J8594" i="2"/>
  <c r="J8593" i="2"/>
  <c r="J8592" i="2"/>
  <c r="J8591" i="2"/>
  <c r="J8590" i="2"/>
  <c r="J8589" i="2"/>
  <c r="J8588" i="2"/>
  <c r="J8587" i="2"/>
  <c r="J8586" i="2"/>
  <c r="J8585" i="2"/>
  <c r="J8584" i="2"/>
  <c r="J8583" i="2"/>
  <c r="J8582" i="2"/>
  <c r="J8581" i="2"/>
  <c r="J8580" i="2"/>
  <c r="J8579" i="2"/>
  <c r="J8578" i="2"/>
  <c r="J8577" i="2"/>
  <c r="J8576" i="2"/>
  <c r="J8575" i="2"/>
  <c r="J8574" i="2"/>
  <c r="J8573" i="2"/>
  <c r="J8572" i="2"/>
  <c r="J8571" i="2"/>
  <c r="J8570" i="2"/>
  <c r="J8569" i="2"/>
  <c r="J8568" i="2"/>
  <c r="J8567" i="2"/>
  <c r="J8566" i="2"/>
  <c r="J8565" i="2"/>
  <c r="J8564" i="2"/>
  <c r="J8563" i="2"/>
  <c r="J8562" i="2"/>
  <c r="J8561" i="2"/>
  <c r="J8560" i="2"/>
  <c r="J8559" i="2"/>
  <c r="J8558" i="2"/>
  <c r="J8557" i="2"/>
  <c r="J8556" i="2"/>
  <c r="J8555" i="2"/>
  <c r="J8554" i="2"/>
  <c r="J8553" i="2"/>
  <c r="J8552" i="2"/>
  <c r="J8551" i="2"/>
  <c r="J8550" i="2"/>
  <c r="J8549" i="2"/>
  <c r="J8548" i="2"/>
  <c r="J8547" i="2"/>
  <c r="J8546" i="2"/>
  <c r="J8545" i="2"/>
  <c r="J8544" i="2"/>
  <c r="J8543" i="2"/>
  <c r="J8542" i="2"/>
  <c r="J8541" i="2"/>
  <c r="J8540" i="2"/>
  <c r="J8539" i="2"/>
  <c r="J8538" i="2"/>
  <c r="J8537" i="2"/>
  <c r="J8536" i="2"/>
  <c r="J8535" i="2"/>
  <c r="J8534" i="2"/>
  <c r="J8533" i="2"/>
  <c r="J8532" i="2"/>
  <c r="J8531" i="2"/>
  <c r="J8530" i="2"/>
  <c r="J8529" i="2"/>
  <c r="J8528" i="2"/>
  <c r="J8527" i="2"/>
  <c r="J8526" i="2"/>
  <c r="J8525" i="2"/>
  <c r="J8524" i="2"/>
  <c r="J8523" i="2"/>
  <c r="J8522" i="2"/>
  <c r="J8521" i="2"/>
  <c r="J8520" i="2"/>
  <c r="J8519" i="2"/>
  <c r="J8518" i="2"/>
  <c r="J8517" i="2"/>
  <c r="J8516" i="2"/>
  <c r="J8515" i="2"/>
  <c r="J8514" i="2"/>
  <c r="J8513" i="2"/>
  <c r="J8512" i="2"/>
  <c r="J8511" i="2"/>
  <c r="J8510" i="2"/>
  <c r="J8509" i="2"/>
  <c r="J8508" i="2"/>
  <c r="J8507" i="2"/>
  <c r="J8506" i="2"/>
  <c r="J8505" i="2"/>
  <c r="J8504" i="2"/>
  <c r="J8503" i="2"/>
  <c r="J8502" i="2"/>
  <c r="J8501" i="2"/>
  <c r="J8500" i="2"/>
  <c r="J8499" i="2"/>
  <c r="J8498" i="2"/>
  <c r="J8497" i="2"/>
  <c r="J8496" i="2"/>
  <c r="J8495" i="2"/>
  <c r="J8494" i="2"/>
  <c r="J8493" i="2"/>
  <c r="J8492" i="2"/>
  <c r="J8491" i="2"/>
  <c r="J8490" i="2"/>
  <c r="J8489" i="2"/>
  <c r="J8488" i="2"/>
  <c r="J8487" i="2"/>
  <c r="J8486" i="2"/>
  <c r="J8485" i="2"/>
  <c r="J8484" i="2"/>
  <c r="J8483" i="2"/>
  <c r="J8482" i="2"/>
  <c r="J8481" i="2"/>
  <c r="J8480" i="2"/>
  <c r="J8479" i="2"/>
  <c r="J8478" i="2"/>
  <c r="J8477" i="2"/>
  <c r="J8476" i="2"/>
  <c r="J8475" i="2"/>
  <c r="J8474" i="2"/>
  <c r="J8473" i="2"/>
  <c r="J8472" i="2"/>
  <c r="J8471" i="2"/>
  <c r="J8470" i="2"/>
  <c r="J8469" i="2"/>
  <c r="J8468" i="2"/>
  <c r="J8467" i="2"/>
  <c r="J8466" i="2"/>
  <c r="J8465" i="2"/>
  <c r="J8464" i="2"/>
  <c r="J8463" i="2"/>
  <c r="J8462" i="2"/>
  <c r="J8461" i="2"/>
  <c r="J8460" i="2"/>
  <c r="J8459" i="2"/>
  <c r="J8458" i="2"/>
  <c r="J8457" i="2"/>
  <c r="J8456" i="2"/>
  <c r="J8455" i="2"/>
  <c r="J8454" i="2"/>
  <c r="J8453" i="2"/>
  <c r="J8452" i="2"/>
  <c r="J8451" i="2"/>
  <c r="J8450" i="2"/>
  <c r="J8449" i="2"/>
  <c r="J8448" i="2"/>
  <c r="J8447" i="2"/>
  <c r="J8446" i="2"/>
  <c r="J8445" i="2"/>
  <c r="J8444" i="2"/>
  <c r="J8443" i="2"/>
  <c r="J8442" i="2"/>
  <c r="J8441" i="2"/>
  <c r="J8440" i="2"/>
  <c r="J8439" i="2"/>
  <c r="J8438" i="2"/>
  <c r="J8437" i="2"/>
  <c r="J8436" i="2"/>
  <c r="J8435" i="2"/>
  <c r="J8434" i="2"/>
  <c r="J8433" i="2"/>
  <c r="J8432" i="2"/>
  <c r="J8431" i="2"/>
  <c r="J8430" i="2"/>
  <c r="J8429" i="2"/>
  <c r="J8428" i="2"/>
  <c r="J8427" i="2"/>
  <c r="J8426" i="2"/>
  <c r="J8425" i="2"/>
  <c r="J8424" i="2"/>
  <c r="J8423" i="2"/>
  <c r="J8422" i="2"/>
  <c r="J8421" i="2"/>
  <c r="J8420" i="2"/>
  <c r="J8419" i="2"/>
  <c r="J8418" i="2"/>
  <c r="J8417" i="2"/>
  <c r="J8416" i="2"/>
  <c r="J8415" i="2"/>
  <c r="J8414" i="2"/>
  <c r="J8413" i="2"/>
  <c r="J8412" i="2"/>
  <c r="J8411" i="2"/>
  <c r="J8410" i="2"/>
  <c r="J8409" i="2"/>
  <c r="J8408" i="2"/>
  <c r="J8407" i="2"/>
  <c r="J8406" i="2"/>
  <c r="J8405" i="2"/>
  <c r="J8404" i="2"/>
  <c r="J8403" i="2"/>
  <c r="J8402" i="2"/>
  <c r="J8401" i="2"/>
  <c r="J8400" i="2"/>
  <c r="J8399" i="2"/>
  <c r="J8398" i="2"/>
  <c r="J8397" i="2"/>
  <c r="J8396" i="2"/>
  <c r="J8395" i="2"/>
  <c r="J8394" i="2"/>
  <c r="J8393" i="2"/>
  <c r="J8392" i="2"/>
  <c r="J8391" i="2"/>
  <c r="J8390" i="2"/>
  <c r="J8389" i="2"/>
  <c r="J8388" i="2"/>
  <c r="J8387" i="2"/>
  <c r="J8386" i="2"/>
  <c r="J8385" i="2"/>
  <c r="J8384" i="2"/>
  <c r="J8383" i="2"/>
  <c r="J8382" i="2"/>
  <c r="J8381" i="2"/>
  <c r="J8380" i="2"/>
  <c r="J8379" i="2"/>
  <c r="J8378" i="2"/>
  <c r="J8377" i="2"/>
  <c r="J8376" i="2"/>
  <c r="J8375" i="2"/>
  <c r="J8374" i="2"/>
  <c r="J8373" i="2"/>
  <c r="J8372" i="2"/>
  <c r="J8371" i="2"/>
  <c r="J8370" i="2"/>
  <c r="J8369" i="2"/>
  <c r="J8368" i="2"/>
  <c r="J8367" i="2"/>
  <c r="J8366" i="2"/>
  <c r="J8365" i="2"/>
  <c r="J8364" i="2"/>
  <c r="J8363" i="2"/>
  <c r="J8362" i="2"/>
  <c r="J8361" i="2"/>
  <c r="J8360" i="2"/>
  <c r="J8359" i="2"/>
  <c r="J8358" i="2"/>
  <c r="J8357" i="2"/>
  <c r="J8356" i="2"/>
  <c r="J8355" i="2"/>
  <c r="J8354" i="2"/>
  <c r="J8353" i="2"/>
  <c r="J8352" i="2"/>
  <c r="J8351" i="2"/>
  <c r="J8350" i="2"/>
  <c r="J8349" i="2"/>
  <c r="J8348" i="2"/>
  <c r="J8347" i="2"/>
  <c r="J8346" i="2"/>
  <c r="J8345" i="2"/>
  <c r="J8344" i="2"/>
  <c r="J8343" i="2"/>
  <c r="J8342" i="2"/>
  <c r="J8341" i="2"/>
  <c r="J8340" i="2"/>
  <c r="J8339" i="2"/>
  <c r="J8338" i="2"/>
  <c r="J8337" i="2"/>
  <c r="J8336" i="2"/>
  <c r="J8335" i="2"/>
  <c r="J8334" i="2"/>
  <c r="J8333" i="2"/>
  <c r="J8332" i="2"/>
  <c r="J8331" i="2"/>
  <c r="J8330" i="2"/>
  <c r="J8329" i="2"/>
  <c r="J8328" i="2"/>
  <c r="J8327" i="2"/>
  <c r="J8326" i="2"/>
  <c r="J8325" i="2"/>
  <c r="J8324" i="2"/>
  <c r="J8323" i="2"/>
  <c r="J8322" i="2"/>
  <c r="J8321" i="2"/>
  <c r="J8320" i="2"/>
  <c r="J8319" i="2"/>
  <c r="J8318" i="2"/>
  <c r="J8317" i="2"/>
  <c r="J8316" i="2"/>
  <c r="J8315" i="2"/>
  <c r="J8314" i="2"/>
  <c r="J8313" i="2"/>
  <c r="J8312" i="2"/>
  <c r="J8311" i="2"/>
  <c r="J8310" i="2"/>
  <c r="J8309" i="2"/>
  <c r="J8308" i="2"/>
  <c r="J8307" i="2"/>
  <c r="J8306" i="2"/>
  <c r="J8305" i="2"/>
  <c r="J8304" i="2"/>
  <c r="J8303" i="2"/>
  <c r="J8302" i="2"/>
  <c r="J8301" i="2"/>
  <c r="J8300" i="2"/>
  <c r="J8299" i="2"/>
  <c r="J8298" i="2"/>
  <c r="J8297" i="2"/>
  <c r="J8296" i="2"/>
  <c r="J8295" i="2"/>
  <c r="J8294" i="2"/>
  <c r="J8293" i="2"/>
  <c r="J8292" i="2"/>
  <c r="J8291" i="2"/>
  <c r="J8290" i="2"/>
  <c r="J8289" i="2"/>
  <c r="J8288" i="2"/>
  <c r="J8287" i="2"/>
  <c r="J8286" i="2"/>
  <c r="J8285" i="2"/>
  <c r="J8284" i="2"/>
  <c r="J8283" i="2"/>
  <c r="J8282" i="2"/>
  <c r="J8281" i="2"/>
  <c r="J8280" i="2"/>
  <c r="J8279" i="2"/>
  <c r="J8278" i="2"/>
  <c r="J8277" i="2"/>
  <c r="J8276" i="2"/>
  <c r="J8275" i="2"/>
  <c r="J8274" i="2"/>
  <c r="J8273" i="2"/>
  <c r="J8272" i="2"/>
  <c r="J8271" i="2"/>
  <c r="J8270" i="2"/>
  <c r="J8269" i="2"/>
  <c r="J8268" i="2"/>
  <c r="J8267" i="2"/>
  <c r="J8266" i="2"/>
  <c r="J8265" i="2"/>
  <c r="J8264" i="2"/>
  <c r="J8263" i="2"/>
  <c r="J8262" i="2"/>
  <c r="J8261" i="2"/>
  <c r="J8260" i="2"/>
  <c r="J8259" i="2"/>
  <c r="J8258" i="2"/>
  <c r="J8257" i="2"/>
  <c r="J8256" i="2"/>
  <c r="J8255" i="2"/>
  <c r="J8254" i="2"/>
  <c r="J8253" i="2"/>
  <c r="J8252" i="2"/>
  <c r="J8251" i="2"/>
  <c r="J8250" i="2"/>
  <c r="J8249" i="2"/>
  <c r="J8248" i="2"/>
  <c r="J8247" i="2"/>
  <c r="J8246" i="2"/>
  <c r="J8245" i="2"/>
  <c r="J8244" i="2"/>
  <c r="J8243" i="2"/>
  <c r="J8242" i="2"/>
  <c r="J8241" i="2"/>
  <c r="J8240" i="2"/>
  <c r="J8239" i="2"/>
  <c r="J8238" i="2"/>
  <c r="J8237" i="2"/>
  <c r="J8236" i="2"/>
  <c r="J8235" i="2"/>
  <c r="J8234" i="2"/>
  <c r="J8233" i="2"/>
  <c r="J8232" i="2"/>
  <c r="J8231" i="2"/>
  <c r="J8230" i="2"/>
  <c r="J8229" i="2"/>
  <c r="J8228" i="2"/>
  <c r="J8227" i="2"/>
  <c r="J8226" i="2"/>
  <c r="J8225" i="2"/>
  <c r="J8224" i="2"/>
  <c r="J8223" i="2"/>
  <c r="J8222" i="2"/>
  <c r="J8221" i="2"/>
  <c r="J8220" i="2"/>
  <c r="J8219" i="2"/>
  <c r="J8218" i="2"/>
  <c r="J8217" i="2"/>
  <c r="J8216" i="2"/>
  <c r="J8215" i="2"/>
  <c r="J8214" i="2"/>
  <c r="J8213" i="2"/>
  <c r="J8212" i="2"/>
  <c r="J8211" i="2"/>
  <c r="J8210" i="2"/>
  <c r="J8209" i="2"/>
  <c r="J8208" i="2"/>
  <c r="J8207" i="2"/>
  <c r="J8206" i="2"/>
  <c r="J8205" i="2"/>
  <c r="J8204" i="2"/>
  <c r="J8203" i="2"/>
  <c r="J8202" i="2"/>
  <c r="J8201" i="2"/>
  <c r="J8200" i="2"/>
  <c r="J8199" i="2"/>
  <c r="J8198" i="2"/>
  <c r="J8197" i="2"/>
  <c r="J8196" i="2"/>
  <c r="J8195" i="2"/>
  <c r="J8194" i="2"/>
  <c r="J8193" i="2"/>
  <c r="J8192" i="2"/>
  <c r="J8191" i="2"/>
  <c r="J8190" i="2"/>
  <c r="J8189" i="2"/>
  <c r="J8188" i="2"/>
  <c r="J8187" i="2"/>
  <c r="J8186" i="2"/>
  <c r="J8185" i="2"/>
  <c r="J8184" i="2"/>
  <c r="J8183" i="2"/>
  <c r="J8182" i="2"/>
  <c r="J8181" i="2"/>
  <c r="J8180" i="2"/>
  <c r="J8179" i="2"/>
  <c r="J8178" i="2"/>
  <c r="J8177" i="2"/>
  <c r="J8176" i="2"/>
  <c r="J8175" i="2"/>
  <c r="J8174" i="2"/>
  <c r="J8173" i="2"/>
  <c r="J8172" i="2"/>
  <c r="J8171" i="2"/>
  <c r="J8170" i="2"/>
  <c r="J8169" i="2"/>
  <c r="J8168" i="2"/>
  <c r="J8167" i="2"/>
  <c r="J8166" i="2"/>
  <c r="J8165" i="2"/>
  <c r="J8164" i="2"/>
  <c r="J8163" i="2"/>
  <c r="J8162" i="2"/>
  <c r="J8161" i="2"/>
  <c r="J8160" i="2"/>
  <c r="J8159" i="2"/>
  <c r="J8158" i="2"/>
  <c r="J8157" i="2"/>
  <c r="J8156" i="2"/>
  <c r="J8155" i="2"/>
  <c r="J8154" i="2"/>
  <c r="J8153" i="2"/>
  <c r="J8152" i="2"/>
  <c r="J8151" i="2"/>
  <c r="J8150" i="2"/>
  <c r="J8149" i="2"/>
  <c r="J8148" i="2"/>
  <c r="J8147" i="2"/>
  <c r="J8146" i="2"/>
  <c r="J8145" i="2"/>
  <c r="J8144" i="2"/>
  <c r="J8143" i="2"/>
  <c r="J8142" i="2"/>
  <c r="J8141" i="2"/>
  <c r="J8140" i="2"/>
  <c r="J8139" i="2"/>
  <c r="J8138" i="2"/>
  <c r="J8137" i="2"/>
  <c r="J8136" i="2"/>
  <c r="J8135" i="2"/>
  <c r="J8134" i="2"/>
  <c r="J8133" i="2"/>
  <c r="J8132" i="2"/>
  <c r="J8131" i="2"/>
  <c r="J8130" i="2"/>
  <c r="J8129" i="2"/>
  <c r="J8128" i="2"/>
  <c r="J8127" i="2"/>
  <c r="J8126" i="2"/>
  <c r="J8125" i="2"/>
  <c r="J8124" i="2"/>
  <c r="J8123" i="2"/>
  <c r="J8122" i="2"/>
  <c r="J8121" i="2"/>
  <c r="J8120" i="2"/>
  <c r="J8119" i="2"/>
  <c r="J8118" i="2"/>
  <c r="J8117" i="2"/>
  <c r="J8116" i="2"/>
  <c r="J8115" i="2"/>
  <c r="J8114" i="2"/>
  <c r="J8113" i="2"/>
  <c r="J8112" i="2"/>
  <c r="J8111" i="2"/>
  <c r="J8110" i="2"/>
  <c r="J8109" i="2"/>
  <c r="J8108" i="2"/>
  <c r="J8107" i="2"/>
  <c r="J8106" i="2"/>
  <c r="J8105" i="2"/>
  <c r="J8104" i="2"/>
  <c r="J8103" i="2"/>
  <c r="J8102" i="2"/>
  <c r="J8101" i="2"/>
  <c r="J8100" i="2"/>
  <c r="J8099" i="2"/>
  <c r="J8098" i="2"/>
  <c r="J8097" i="2"/>
  <c r="J8096" i="2"/>
  <c r="J8095" i="2"/>
  <c r="J8094" i="2"/>
  <c r="J8093" i="2"/>
  <c r="J8092" i="2"/>
  <c r="J8091" i="2"/>
  <c r="J8090" i="2"/>
  <c r="J8089" i="2"/>
  <c r="J8088" i="2"/>
  <c r="J8087" i="2"/>
  <c r="J8086" i="2"/>
  <c r="J8085" i="2"/>
  <c r="J8084" i="2"/>
  <c r="J8083" i="2"/>
  <c r="J8082" i="2"/>
  <c r="J8081" i="2"/>
  <c r="J8080" i="2"/>
  <c r="J8079" i="2"/>
  <c r="J8078" i="2"/>
  <c r="J8077" i="2"/>
  <c r="J8076" i="2"/>
  <c r="J8075" i="2"/>
  <c r="J8074" i="2"/>
  <c r="J8073" i="2"/>
  <c r="J8072" i="2"/>
  <c r="J8071" i="2"/>
  <c r="J8070" i="2"/>
  <c r="J8069" i="2"/>
  <c r="J8068" i="2"/>
  <c r="J8067" i="2"/>
  <c r="J8066" i="2"/>
  <c r="J8065" i="2"/>
  <c r="J8064" i="2"/>
  <c r="J8063" i="2"/>
  <c r="J8062" i="2"/>
  <c r="J8061" i="2"/>
  <c r="J8060" i="2"/>
  <c r="J8059" i="2"/>
  <c r="J8058" i="2"/>
  <c r="J8057" i="2"/>
  <c r="J8056" i="2"/>
  <c r="J8055" i="2"/>
  <c r="J8054" i="2"/>
  <c r="J8053" i="2"/>
  <c r="J8052" i="2"/>
  <c r="J8051" i="2"/>
  <c r="J8050" i="2"/>
  <c r="J8049" i="2"/>
  <c r="J8048" i="2"/>
  <c r="J8047" i="2"/>
  <c r="J8046" i="2"/>
  <c r="J8045" i="2"/>
  <c r="J8044" i="2"/>
  <c r="J8043" i="2"/>
  <c r="J8042" i="2"/>
  <c r="J8041" i="2"/>
  <c r="J8040" i="2"/>
  <c r="J8039" i="2"/>
  <c r="J8038" i="2"/>
  <c r="J8037" i="2"/>
  <c r="J8036" i="2"/>
  <c r="J8035" i="2"/>
  <c r="J8034" i="2"/>
  <c r="J8033" i="2"/>
  <c r="J8032" i="2"/>
  <c r="J8031" i="2"/>
  <c r="J8030" i="2"/>
  <c r="J8029" i="2"/>
  <c r="J8028" i="2"/>
  <c r="J8027" i="2"/>
  <c r="J8026" i="2"/>
  <c r="J8025" i="2"/>
  <c r="J8024" i="2"/>
  <c r="J8023" i="2"/>
  <c r="J8022" i="2"/>
  <c r="J8021" i="2"/>
  <c r="J8020" i="2"/>
  <c r="J8019" i="2"/>
  <c r="J8018" i="2"/>
  <c r="J8017" i="2"/>
  <c r="J8016" i="2"/>
  <c r="J8015" i="2"/>
  <c r="J8014" i="2"/>
  <c r="J8013" i="2"/>
  <c r="J8012" i="2"/>
  <c r="J8011" i="2"/>
  <c r="J8010" i="2"/>
  <c r="J8009" i="2"/>
  <c r="J8008" i="2"/>
  <c r="J8007" i="2"/>
  <c r="J8006" i="2"/>
  <c r="J8005" i="2"/>
  <c r="J8004" i="2"/>
  <c r="J8003" i="2"/>
  <c r="J8002" i="2"/>
  <c r="J8001" i="2"/>
  <c r="J8000" i="2"/>
  <c r="J7999" i="2"/>
  <c r="J7998" i="2"/>
  <c r="J7997" i="2"/>
  <c r="J7996" i="2"/>
  <c r="J7995" i="2"/>
  <c r="J7994" i="2"/>
  <c r="J7993" i="2"/>
  <c r="J7992" i="2"/>
  <c r="J7991" i="2"/>
  <c r="J7990" i="2"/>
  <c r="J7989" i="2"/>
  <c r="J7988" i="2"/>
  <c r="J7987" i="2"/>
  <c r="J7986" i="2"/>
  <c r="J7985" i="2"/>
  <c r="J7984" i="2"/>
  <c r="J7983" i="2"/>
  <c r="J7982" i="2"/>
  <c r="J7981" i="2"/>
  <c r="J7980" i="2"/>
  <c r="J7979" i="2"/>
  <c r="J7978" i="2"/>
  <c r="J7977" i="2"/>
  <c r="J7976" i="2"/>
  <c r="J7975" i="2"/>
  <c r="J7974" i="2"/>
  <c r="J7973" i="2"/>
  <c r="J7972" i="2"/>
  <c r="J7971" i="2"/>
  <c r="J7970" i="2"/>
  <c r="J7969" i="2"/>
  <c r="J7968" i="2"/>
  <c r="J7967" i="2"/>
  <c r="J7966" i="2"/>
  <c r="J7965" i="2"/>
  <c r="J7964" i="2"/>
  <c r="J7963" i="2"/>
  <c r="J7962" i="2"/>
  <c r="J7961" i="2"/>
  <c r="J7960" i="2"/>
  <c r="J7959" i="2"/>
  <c r="J7958" i="2"/>
  <c r="J7957" i="2"/>
  <c r="J7956" i="2"/>
  <c r="J7955" i="2"/>
  <c r="J7954" i="2"/>
  <c r="J7953" i="2"/>
  <c r="J7952" i="2"/>
  <c r="J7951" i="2"/>
  <c r="J7950" i="2"/>
  <c r="J7949" i="2"/>
  <c r="J7948" i="2"/>
  <c r="J7947" i="2"/>
  <c r="J7946" i="2"/>
  <c r="J7945" i="2"/>
  <c r="J7944" i="2"/>
  <c r="J7943" i="2"/>
  <c r="J7942" i="2"/>
  <c r="J7941" i="2"/>
  <c r="J7940" i="2"/>
  <c r="J7939" i="2"/>
  <c r="J7938" i="2"/>
  <c r="J7937" i="2"/>
  <c r="J7936" i="2"/>
  <c r="J7935" i="2"/>
  <c r="J7934" i="2"/>
  <c r="J7933" i="2"/>
  <c r="J7932" i="2"/>
  <c r="J7931" i="2"/>
  <c r="J7930" i="2"/>
  <c r="J7929" i="2"/>
  <c r="J7928" i="2"/>
  <c r="J7927" i="2"/>
  <c r="J7926" i="2"/>
  <c r="J7925" i="2"/>
  <c r="J7924" i="2"/>
  <c r="J7923" i="2"/>
  <c r="J7922" i="2"/>
  <c r="J7921" i="2"/>
  <c r="J7920" i="2"/>
  <c r="J7919" i="2"/>
  <c r="J7918" i="2"/>
  <c r="J7917" i="2"/>
  <c r="J7916" i="2"/>
  <c r="J7915" i="2"/>
  <c r="J7914" i="2"/>
  <c r="J7913" i="2"/>
  <c r="J7912" i="2"/>
  <c r="J7911" i="2"/>
  <c r="J7910" i="2"/>
  <c r="J7909" i="2"/>
  <c r="J7908" i="2"/>
  <c r="J7907" i="2"/>
  <c r="J7906" i="2"/>
  <c r="J7905" i="2"/>
  <c r="J7904" i="2"/>
  <c r="J7903" i="2"/>
  <c r="J7902" i="2"/>
  <c r="J7901" i="2"/>
  <c r="J7900" i="2"/>
  <c r="J7899" i="2"/>
  <c r="J7898" i="2"/>
  <c r="J7897" i="2"/>
  <c r="J7896" i="2"/>
  <c r="J7895" i="2"/>
  <c r="J7894" i="2"/>
  <c r="J7893" i="2"/>
  <c r="J7892" i="2"/>
  <c r="J7891" i="2"/>
  <c r="J7890" i="2"/>
  <c r="J7889" i="2"/>
  <c r="J7888" i="2"/>
  <c r="J7887" i="2"/>
  <c r="J7886" i="2"/>
  <c r="J7885" i="2"/>
  <c r="J7884" i="2"/>
  <c r="J7883" i="2"/>
  <c r="J7882" i="2"/>
  <c r="J7881" i="2"/>
  <c r="J7880" i="2"/>
  <c r="J7879" i="2"/>
  <c r="J7878" i="2"/>
  <c r="J7877" i="2"/>
  <c r="J7876" i="2"/>
  <c r="J7875" i="2"/>
  <c r="J7874" i="2"/>
  <c r="J7873" i="2"/>
  <c r="J7872" i="2"/>
  <c r="J7871" i="2"/>
  <c r="J7870" i="2"/>
  <c r="J7869" i="2"/>
  <c r="J7868" i="2"/>
  <c r="J7867" i="2"/>
  <c r="J7866" i="2"/>
  <c r="J7865" i="2"/>
  <c r="J7864" i="2"/>
  <c r="J7863" i="2"/>
  <c r="J7862" i="2"/>
  <c r="J7861" i="2"/>
  <c r="J7860" i="2"/>
  <c r="J7859" i="2"/>
  <c r="J7858" i="2"/>
  <c r="J7857" i="2"/>
  <c r="J7856" i="2"/>
  <c r="J7855" i="2"/>
  <c r="J7854" i="2"/>
  <c r="J7853" i="2"/>
  <c r="J7852" i="2"/>
  <c r="J7851" i="2"/>
  <c r="J7850" i="2"/>
  <c r="J7849" i="2"/>
  <c r="J7848" i="2"/>
  <c r="J7847" i="2"/>
  <c r="J7846" i="2"/>
  <c r="J7845" i="2"/>
  <c r="J7844" i="2"/>
  <c r="J7843" i="2"/>
  <c r="J7842" i="2"/>
  <c r="J7841" i="2"/>
  <c r="J7840" i="2"/>
  <c r="J7839" i="2"/>
  <c r="J7838" i="2"/>
  <c r="J7837" i="2"/>
  <c r="J7836" i="2"/>
  <c r="J7835" i="2"/>
  <c r="J7834" i="2"/>
  <c r="J7833" i="2"/>
  <c r="J7832" i="2"/>
  <c r="J7831" i="2"/>
  <c r="J7830" i="2"/>
  <c r="J7829" i="2"/>
  <c r="J7828" i="2"/>
  <c r="J7827" i="2"/>
  <c r="J7826" i="2"/>
  <c r="J7825" i="2"/>
  <c r="J7824" i="2"/>
  <c r="J7823" i="2"/>
  <c r="J7822" i="2"/>
  <c r="J7821" i="2"/>
  <c r="J7820" i="2"/>
  <c r="J7819" i="2"/>
  <c r="J7818" i="2"/>
  <c r="J7817" i="2"/>
  <c r="J7816" i="2"/>
  <c r="J7815" i="2"/>
  <c r="J7814" i="2"/>
  <c r="J7813" i="2"/>
  <c r="J7812" i="2"/>
  <c r="J7811" i="2"/>
  <c r="J7810" i="2"/>
  <c r="J7809" i="2"/>
  <c r="J7808" i="2"/>
  <c r="J7807" i="2"/>
  <c r="J7806" i="2"/>
  <c r="J7805" i="2"/>
  <c r="J7804" i="2"/>
  <c r="J7803" i="2"/>
  <c r="J7802" i="2"/>
  <c r="J7801" i="2"/>
  <c r="J7800" i="2"/>
  <c r="J7799" i="2"/>
  <c r="J7798" i="2"/>
  <c r="J7797" i="2"/>
  <c r="J7796" i="2"/>
  <c r="J7795" i="2"/>
  <c r="J7794" i="2"/>
  <c r="J7793" i="2"/>
  <c r="J7792" i="2"/>
  <c r="J7791" i="2"/>
  <c r="J7790" i="2"/>
  <c r="J7789" i="2"/>
  <c r="J7788" i="2"/>
  <c r="J7787" i="2"/>
  <c r="J7786" i="2"/>
  <c r="J7785" i="2"/>
  <c r="J7784" i="2"/>
  <c r="J7783" i="2"/>
  <c r="J7782" i="2"/>
  <c r="J7781" i="2"/>
  <c r="J7780" i="2"/>
  <c r="J7779" i="2"/>
  <c r="J7778" i="2"/>
  <c r="J7777" i="2"/>
  <c r="J7776" i="2"/>
  <c r="J7775" i="2"/>
  <c r="J7774" i="2"/>
  <c r="J7773" i="2"/>
  <c r="J7772" i="2"/>
  <c r="J7771" i="2"/>
  <c r="J7770" i="2"/>
  <c r="J7769" i="2"/>
  <c r="J7768" i="2"/>
  <c r="J7767" i="2"/>
  <c r="J7766" i="2"/>
  <c r="J7765" i="2"/>
  <c r="J7764" i="2"/>
  <c r="J7763" i="2"/>
  <c r="J7762" i="2"/>
  <c r="J7761" i="2"/>
  <c r="J7760" i="2"/>
  <c r="J7759" i="2"/>
  <c r="J7758" i="2"/>
  <c r="J7757" i="2"/>
  <c r="J7756" i="2"/>
  <c r="J7755" i="2"/>
  <c r="J7754" i="2"/>
  <c r="J7753" i="2"/>
  <c r="J7752" i="2"/>
  <c r="J7751" i="2"/>
  <c r="J7750" i="2"/>
  <c r="J7749" i="2"/>
  <c r="J7748" i="2"/>
  <c r="J7747" i="2"/>
  <c r="J7746" i="2"/>
  <c r="J7745" i="2"/>
  <c r="J7744" i="2"/>
  <c r="J7743" i="2"/>
  <c r="J7742" i="2"/>
  <c r="J7741" i="2"/>
  <c r="J7740" i="2"/>
  <c r="J7739" i="2"/>
  <c r="J7738" i="2"/>
  <c r="J7737" i="2"/>
  <c r="J7736" i="2"/>
  <c r="J7735" i="2"/>
  <c r="J7734" i="2"/>
  <c r="J7733" i="2"/>
  <c r="J7732" i="2"/>
  <c r="J7731" i="2"/>
  <c r="J7730" i="2"/>
  <c r="J7729" i="2"/>
  <c r="J7728" i="2"/>
  <c r="J7727" i="2"/>
  <c r="J7726" i="2"/>
  <c r="J7725" i="2"/>
  <c r="J7724" i="2"/>
  <c r="J7723" i="2"/>
  <c r="J7722" i="2"/>
  <c r="J7721" i="2"/>
  <c r="J7720" i="2"/>
  <c r="J7719" i="2"/>
  <c r="J7718" i="2"/>
  <c r="J7717" i="2"/>
  <c r="J7716" i="2"/>
  <c r="J7715" i="2"/>
  <c r="J7714" i="2"/>
  <c r="J7713" i="2"/>
  <c r="J7712" i="2"/>
  <c r="J7711" i="2"/>
  <c r="J7710" i="2"/>
  <c r="J7709" i="2"/>
  <c r="J7708" i="2"/>
  <c r="J7707" i="2"/>
  <c r="J7706" i="2"/>
  <c r="J7705" i="2"/>
  <c r="J7704" i="2"/>
  <c r="J7703" i="2"/>
  <c r="J7702" i="2"/>
  <c r="J7701" i="2"/>
  <c r="J7700" i="2"/>
  <c r="J7699" i="2"/>
  <c r="J7698" i="2"/>
  <c r="J7697" i="2"/>
  <c r="J7696" i="2"/>
  <c r="J7695" i="2"/>
  <c r="J7694" i="2"/>
  <c r="J7693" i="2"/>
  <c r="J7692" i="2"/>
  <c r="J7691" i="2"/>
  <c r="J7690" i="2"/>
  <c r="J7689" i="2"/>
  <c r="J7688" i="2"/>
  <c r="J7687" i="2"/>
  <c r="J7686" i="2"/>
  <c r="J7685" i="2"/>
  <c r="J7684" i="2"/>
  <c r="J7683" i="2"/>
  <c r="J7682" i="2"/>
  <c r="J7681" i="2"/>
  <c r="J7680" i="2"/>
  <c r="J7679" i="2"/>
  <c r="J7678" i="2"/>
  <c r="J7677" i="2"/>
  <c r="J7676" i="2"/>
  <c r="J7675" i="2"/>
  <c r="J7674" i="2"/>
  <c r="J7673" i="2"/>
  <c r="J7672" i="2"/>
  <c r="J7671" i="2"/>
  <c r="J7670" i="2"/>
  <c r="J7669" i="2"/>
  <c r="J7668" i="2"/>
  <c r="J7667" i="2"/>
  <c r="J7666" i="2"/>
  <c r="J7665" i="2"/>
  <c r="J7664" i="2"/>
  <c r="J7663" i="2"/>
  <c r="J7662" i="2"/>
  <c r="J7661" i="2"/>
  <c r="J7660" i="2"/>
  <c r="J7659" i="2"/>
  <c r="J7658" i="2"/>
  <c r="J7657" i="2"/>
  <c r="J7656" i="2"/>
  <c r="J7655" i="2"/>
  <c r="J7654" i="2"/>
  <c r="J7653" i="2"/>
  <c r="J7652" i="2"/>
  <c r="J7651" i="2"/>
  <c r="J7650" i="2"/>
  <c r="J7649" i="2"/>
  <c r="J7648" i="2"/>
  <c r="J7647" i="2"/>
  <c r="J7646" i="2"/>
  <c r="J7645" i="2"/>
  <c r="J7644" i="2"/>
  <c r="J7643" i="2"/>
  <c r="J7642" i="2"/>
  <c r="J7641" i="2"/>
  <c r="J7640" i="2"/>
  <c r="J7639" i="2"/>
  <c r="J7638" i="2"/>
  <c r="J7637" i="2"/>
  <c r="J7636" i="2"/>
  <c r="J7635" i="2"/>
  <c r="J7634" i="2"/>
  <c r="J7633" i="2"/>
  <c r="J7632" i="2"/>
  <c r="J7631" i="2"/>
  <c r="J7630" i="2"/>
  <c r="J7629" i="2"/>
  <c r="J7628" i="2"/>
  <c r="J7627" i="2"/>
  <c r="J7626" i="2"/>
  <c r="J7625" i="2"/>
  <c r="J7624" i="2"/>
  <c r="J7623" i="2"/>
  <c r="J7622" i="2"/>
  <c r="J7621" i="2"/>
  <c r="J7620" i="2"/>
  <c r="J7619" i="2"/>
  <c r="J7618" i="2"/>
  <c r="J7617" i="2"/>
  <c r="J7616" i="2"/>
  <c r="J7615" i="2"/>
  <c r="J7614" i="2"/>
  <c r="J7613" i="2"/>
  <c r="J7612" i="2"/>
  <c r="J7611" i="2"/>
  <c r="J7610" i="2"/>
  <c r="J7609" i="2"/>
  <c r="J7608" i="2"/>
  <c r="J7607" i="2"/>
  <c r="J7606" i="2"/>
  <c r="J7605" i="2"/>
  <c r="J7604" i="2"/>
  <c r="J7603" i="2"/>
  <c r="J7602" i="2"/>
  <c r="J7601" i="2"/>
  <c r="J7600" i="2"/>
  <c r="J7599" i="2"/>
  <c r="J7598" i="2"/>
  <c r="J7597" i="2"/>
  <c r="J7596" i="2"/>
  <c r="J7595" i="2"/>
  <c r="J7594" i="2"/>
  <c r="J7593" i="2"/>
  <c r="J7592" i="2"/>
  <c r="J7591" i="2"/>
  <c r="J7590" i="2"/>
  <c r="J7589" i="2"/>
  <c r="J7588" i="2"/>
  <c r="J7587" i="2"/>
  <c r="J7586" i="2"/>
  <c r="J7585" i="2"/>
  <c r="J7584" i="2"/>
  <c r="J7583" i="2"/>
  <c r="J7582" i="2"/>
  <c r="J7581" i="2"/>
  <c r="J7580" i="2"/>
  <c r="J7579" i="2"/>
  <c r="J7578" i="2"/>
  <c r="J7577" i="2"/>
  <c r="J7576" i="2"/>
  <c r="J7575" i="2"/>
  <c r="J7574" i="2"/>
  <c r="J7573" i="2"/>
  <c r="J7572" i="2"/>
  <c r="J7571" i="2"/>
  <c r="J7570" i="2"/>
  <c r="J7569" i="2"/>
  <c r="J7568" i="2"/>
  <c r="J7567" i="2"/>
  <c r="J7566" i="2"/>
  <c r="J7565" i="2"/>
  <c r="J7564" i="2"/>
  <c r="J7563" i="2"/>
  <c r="J7562" i="2"/>
  <c r="J7561" i="2"/>
  <c r="J7560" i="2"/>
  <c r="J7559" i="2"/>
  <c r="J7558" i="2"/>
  <c r="J7557" i="2"/>
  <c r="J7556" i="2"/>
  <c r="J7555" i="2"/>
  <c r="J7554" i="2"/>
  <c r="J7553" i="2"/>
  <c r="J7552" i="2"/>
  <c r="J7551" i="2"/>
  <c r="J7550" i="2"/>
  <c r="J7549" i="2"/>
  <c r="J7548" i="2"/>
  <c r="J7547" i="2"/>
  <c r="J7546" i="2"/>
  <c r="J7545" i="2"/>
  <c r="J7544" i="2"/>
  <c r="J7543" i="2"/>
  <c r="J7542" i="2"/>
  <c r="J7541" i="2"/>
  <c r="J7540" i="2"/>
  <c r="J7539" i="2"/>
  <c r="J7538" i="2"/>
  <c r="J7537" i="2"/>
  <c r="J7536" i="2"/>
  <c r="J7535" i="2"/>
  <c r="J7534" i="2"/>
  <c r="J7533" i="2"/>
  <c r="J7532" i="2"/>
  <c r="J7531" i="2"/>
  <c r="J7530" i="2"/>
  <c r="J7529" i="2"/>
  <c r="J7528" i="2"/>
  <c r="J7527" i="2"/>
  <c r="J7526" i="2"/>
  <c r="J7525" i="2"/>
  <c r="J7524" i="2"/>
  <c r="J7523" i="2"/>
  <c r="J7522" i="2"/>
  <c r="J7521" i="2"/>
  <c r="J7520" i="2"/>
  <c r="J7519" i="2"/>
  <c r="J7518" i="2"/>
  <c r="J7517" i="2"/>
  <c r="J7516" i="2"/>
  <c r="J7515" i="2"/>
  <c r="J7514" i="2"/>
  <c r="J7513" i="2"/>
  <c r="J7512" i="2"/>
  <c r="J7511" i="2"/>
  <c r="J7510" i="2"/>
  <c r="J7509" i="2"/>
  <c r="J7508" i="2"/>
  <c r="J7507" i="2"/>
  <c r="J7506" i="2"/>
  <c r="J7505" i="2"/>
  <c r="J7504" i="2"/>
  <c r="J7503" i="2"/>
  <c r="J7502" i="2"/>
  <c r="J7501" i="2"/>
  <c r="J7500" i="2"/>
  <c r="J7499" i="2"/>
  <c r="J7498" i="2"/>
  <c r="J7497" i="2"/>
  <c r="J7496" i="2"/>
  <c r="J7495" i="2"/>
  <c r="J7494" i="2"/>
  <c r="J7493" i="2"/>
  <c r="J7492" i="2"/>
  <c r="J7491" i="2"/>
  <c r="J7490" i="2"/>
  <c r="J7489" i="2"/>
  <c r="J7488" i="2"/>
  <c r="J7487" i="2"/>
  <c r="J7486" i="2"/>
  <c r="J7485" i="2"/>
  <c r="J7484" i="2"/>
  <c r="J7483" i="2"/>
  <c r="J7482" i="2"/>
  <c r="J7481" i="2"/>
  <c r="J7480" i="2"/>
  <c r="J7479" i="2"/>
  <c r="J7478" i="2"/>
  <c r="J7477" i="2"/>
  <c r="J7476" i="2"/>
  <c r="J7475" i="2"/>
  <c r="J7474" i="2"/>
  <c r="J7473" i="2"/>
  <c r="J7472" i="2"/>
  <c r="J7471" i="2"/>
  <c r="J7470" i="2"/>
  <c r="J7469" i="2"/>
  <c r="J7468" i="2"/>
  <c r="J7467" i="2"/>
  <c r="J7466" i="2"/>
  <c r="J7465" i="2"/>
  <c r="J7464" i="2"/>
  <c r="J7463" i="2"/>
  <c r="J7462" i="2"/>
  <c r="J7461" i="2"/>
  <c r="J7460" i="2"/>
  <c r="J7459" i="2"/>
  <c r="J7458" i="2"/>
  <c r="J7457" i="2"/>
  <c r="J7456" i="2"/>
  <c r="J7455" i="2"/>
  <c r="J7454" i="2"/>
  <c r="J7453" i="2"/>
  <c r="J7452" i="2"/>
  <c r="J7451" i="2"/>
  <c r="J7450" i="2"/>
  <c r="J7449" i="2"/>
  <c r="J7448" i="2"/>
  <c r="J7447" i="2"/>
  <c r="J7446" i="2"/>
  <c r="J7445" i="2"/>
  <c r="J7444" i="2"/>
  <c r="J7443" i="2"/>
  <c r="J7442" i="2"/>
  <c r="J7441" i="2"/>
  <c r="J7440" i="2"/>
  <c r="J7439" i="2"/>
  <c r="J7438" i="2"/>
  <c r="J7437" i="2"/>
  <c r="J7436" i="2"/>
  <c r="J7435" i="2"/>
  <c r="J7434" i="2"/>
  <c r="J7433" i="2"/>
  <c r="J7432" i="2"/>
  <c r="J7431" i="2"/>
  <c r="J7430" i="2"/>
  <c r="J7429" i="2"/>
  <c r="J7428" i="2"/>
  <c r="J7427" i="2"/>
  <c r="J7426" i="2"/>
  <c r="J7425" i="2"/>
  <c r="J7424" i="2"/>
  <c r="J7423" i="2"/>
  <c r="J7422" i="2"/>
  <c r="J7421" i="2"/>
  <c r="J7420" i="2"/>
  <c r="J7419" i="2"/>
  <c r="J7418" i="2"/>
  <c r="J7417" i="2"/>
  <c r="J7416" i="2"/>
  <c r="J7415" i="2"/>
  <c r="J7414" i="2"/>
  <c r="J7413" i="2"/>
  <c r="J7412" i="2"/>
  <c r="J7411" i="2"/>
  <c r="J7410" i="2"/>
  <c r="J7409" i="2"/>
  <c r="J7408" i="2"/>
  <c r="J7407" i="2"/>
  <c r="J7406" i="2"/>
  <c r="J7405" i="2"/>
  <c r="J7404" i="2"/>
  <c r="J7403" i="2"/>
  <c r="J7402" i="2"/>
  <c r="J7401" i="2"/>
  <c r="J7400" i="2"/>
  <c r="J7399" i="2"/>
  <c r="J7398" i="2"/>
  <c r="J7397" i="2"/>
  <c r="J7396" i="2"/>
  <c r="J7395" i="2"/>
  <c r="J7394" i="2"/>
  <c r="J7393" i="2"/>
  <c r="J7392" i="2"/>
  <c r="J7391" i="2"/>
  <c r="J7390" i="2"/>
  <c r="J7389" i="2"/>
  <c r="J7388" i="2"/>
  <c r="J7387" i="2"/>
  <c r="J7386" i="2"/>
  <c r="J7385" i="2"/>
  <c r="J7384" i="2"/>
  <c r="J7383" i="2"/>
  <c r="J7382" i="2"/>
  <c r="J7381" i="2"/>
  <c r="J7380" i="2"/>
  <c r="J7379" i="2"/>
  <c r="J7378" i="2"/>
  <c r="J7377" i="2"/>
  <c r="J7376" i="2"/>
  <c r="J7375" i="2"/>
  <c r="J7374" i="2"/>
  <c r="J7373" i="2"/>
  <c r="J7372" i="2"/>
  <c r="J7371" i="2"/>
  <c r="J7370" i="2"/>
  <c r="J7369" i="2"/>
  <c r="J7368" i="2"/>
  <c r="J7367" i="2"/>
  <c r="J7366" i="2"/>
  <c r="J7365" i="2"/>
  <c r="J7364" i="2"/>
  <c r="J7363" i="2"/>
  <c r="J7362" i="2"/>
  <c r="J7361" i="2"/>
  <c r="J7360" i="2"/>
  <c r="J7359" i="2"/>
  <c r="J7358" i="2"/>
  <c r="J7357" i="2"/>
  <c r="J7356" i="2"/>
  <c r="J7355" i="2"/>
  <c r="J7354" i="2"/>
  <c r="J7353" i="2"/>
  <c r="J7352" i="2"/>
  <c r="J7351" i="2"/>
  <c r="J7350" i="2"/>
  <c r="J7349" i="2"/>
  <c r="J7348" i="2"/>
  <c r="J7347" i="2"/>
  <c r="J7346" i="2"/>
  <c r="J7345" i="2"/>
  <c r="J7344" i="2"/>
  <c r="J7343" i="2"/>
  <c r="J7342" i="2"/>
  <c r="J7341" i="2"/>
  <c r="J7340" i="2"/>
  <c r="J7339" i="2"/>
  <c r="J7338" i="2"/>
  <c r="J7337" i="2"/>
  <c r="J7336" i="2"/>
  <c r="J7335" i="2"/>
  <c r="J7334" i="2"/>
  <c r="J7333" i="2"/>
  <c r="J7332" i="2"/>
  <c r="J7331" i="2"/>
  <c r="J7330" i="2"/>
  <c r="J7329" i="2"/>
  <c r="J7328" i="2"/>
  <c r="J7327" i="2"/>
  <c r="J7326" i="2"/>
  <c r="J7325" i="2"/>
  <c r="J7324" i="2"/>
  <c r="J7323" i="2"/>
  <c r="J7322" i="2"/>
  <c r="J7321" i="2"/>
  <c r="J7320" i="2"/>
  <c r="J7319" i="2"/>
  <c r="J7318" i="2"/>
  <c r="J7317" i="2"/>
  <c r="J7316" i="2"/>
  <c r="J7315" i="2"/>
  <c r="J7314" i="2"/>
  <c r="J7313" i="2"/>
  <c r="J7312" i="2"/>
  <c r="J7311" i="2"/>
  <c r="J7310" i="2"/>
  <c r="J7309" i="2"/>
  <c r="J7308" i="2"/>
  <c r="J7307" i="2"/>
  <c r="J7306" i="2"/>
  <c r="J7305" i="2"/>
  <c r="J7304" i="2"/>
  <c r="J7303" i="2"/>
  <c r="J7302" i="2"/>
  <c r="J7301" i="2"/>
  <c r="J7300" i="2"/>
  <c r="J7299" i="2"/>
  <c r="J7298" i="2"/>
  <c r="J7297" i="2"/>
  <c r="J7296" i="2"/>
  <c r="J7295" i="2"/>
  <c r="J7294" i="2"/>
  <c r="J7293" i="2"/>
  <c r="J7292" i="2"/>
  <c r="J7291" i="2"/>
  <c r="J7290" i="2"/>
  <c r="J7289" i="2"/>
  <c r="J7288" i="2"/>
  <c r="J7287" i="2"/>
  <c r="J7286" i="2"/>
  <c r="J7285" i="2"/>
  <c r="J7284" i="2"/>
  <c r="J7283" i="2"/>
  <c r="J7282" i="2"/>
  <c r="J7281" i="2"/>
  <c r="J7280" i="2"/>
  <c r="J7279" i="2"/>
  <c r="J7278" i="2"/>
  <c r="J7277" i="2"/>
  <c r="J7276" i="2"/>
  <c r="J7275" i="2"/>
  <c r="J7274" i="2"/>
  <c r="J7273" i="2"/>
  <c r="J7272" i="2"/>
  <c r="J7271" i="2"/>
  <c r="J7270" i="2"/>
  <c r="J7269" i="2"/>
  <c r="J7268" i="2"/>
  <c r="J7267" i="2"/>
  <c r="J7266" i="2"/>
  <c r="J7265" i="2"/>
  <c r="J7264" i="2"/>
  <c r="J7263" i="2"/>
  <c r="J7262" i="2"/>
  <c r="J7261" i="2"/>
  <c r="J7260" i="2"/>
  <c r="J7259" i="2"/>
  <c r="J7258" i="2"/>
  <c r="J7257" i="2"/>
  <c r="J7256" i="2"/>
  <c r="J7255" i="2"/>
  <c r="J7254" i="2"/>
  <c r="J7253" i="2"/>
  <c r="J7252" i="2"/>
  <c r="J7251" i="2"/>
  <c r="J7250" i="2"/>
  <c r="J7249" i="2"/>
  <c r="J7248" i="2"/>
  <c r="J7247" i="2"/>
  <c r="J7246" i="2"/>
  <c r="J7245" i="2"/>
  <c r="J7244" i="2"/>
  <c r="J7243" i="2"/>
  <c r="J7242" i="2"/>
  <c r="J7241" i="2"/>
  <c r="J7240" i="2"/>
  <c r="J7239" i="2"/>
  <c r="J7238" i="2"/>
  <c r="J7237" i="2"/>
  <c r="J7236" i="2"/>
  <c r="J7235" i="2"/>
  <c r="J7234" i="2"/>
  <c r="J7233" i="2"/>
  <c r="J7232" i="2"/>
  <c r="J7231" i="2"/>
  <c r="J7230" i="2"/>
  <c r="J7229" i="2"/>
  <c r="J7228" i="2"/>
  <c r="J7227" i="2"/>
  <c r="J7226" i="2"/>
  <c r="J7225" i="2"/>
  <c r="J7224" i="2"/>
  <c r="J7223" i="2"/>
  <c r="J7222" i="2"/>
  <c r="J7221" i="2"/>
  <c r="J7220" i="2"/>
  <c r="J7219" i="2"/>
  <c r="J7218" i="2"/>
  <c r="J7217" i="2"/>
  <c r="J7216" i="2"/>
  <c r="J7215" i="2"/>
  <c r="J7214" i="2"/>
  <c r="J7213" i="2"/>
  <c r="J7212" i="2"/>
  <c r="J7211" i="2"/>
  <c r="J7210" i="2"/>
  <c r="J7209" i="2"/>
  <c r="J7208" i="2"/>
  <c r="J7207" i="2"/>
  <c r="J7206" i="2"/>
  <c r="J7205" i="2"/>
  <c r="J7204" i="2"/>
  <c r="J7203" i="2"/>
  <c r="J7202" i="2"/>
  <c r="J7201" i="2"/>
  <c r="J7200" i="2"/>
  <c r="J7199" i="2"/>
  <c r="J7198" i="2"/>
  <c r="J7197" i="2"/>
  <c r="J7196" i="2"/>
  <c r="J7195" i="2"/>
  <c r="J7194" i="2"/>
  <c r="J7193" i="2"/>
  <c r="J7192" i="2"/>
  <c r="J7191" i="2"/>
  <c r="J7190" i="2"/>
  <c r="J7189" i="2"/>
  <c r="J7188" i="2"/>
  <c r="J7187" i="2"/>
  <c r="J7186" i="2"/>
  <c r="J7185" i="2"/>
  <c r="J7184" i="2"/>
  <c r="J7183" i="2"/>
  <c r="J7182" i="2"/>
  <c r="J7181" i="2"/>
  <c r="J7180" i="2"/>
  <c r="J7179" i="2"/>
  <c r="J7178" i="2"/>
  <c r="J7177" i="2"/>
  <c r="J7176" i="2"/>
  <c r="J7175" i="2"/>
  <c r="J7174" i="2"/>
  <c r="J7173" i="2"/>
  <c r="J7172" i="2"/>
  <c r="J7171" i="2"/>
  <c r="J7170" i="2"/>
  <c r="J7169" i="2"/>
  <c r="J7168" i="2"/>
  <c r="J7167" i="2"/>
  <c r="J7166" i="2"/>
  <c r="J7165" i="2"/>
  <c r="J7164" i="2"/>
  <c r="J7163" i="2"/>
  <c r="J7162" i="2"/>
  <c r="J7161" i="2"/>
  <c r="J7160" i="2"/>
  <c r="J7159" i="2"/>
  <c r="J7158" i="2"/>
  <c r="J7157" i="2"/>
  <c r="J7156" i="2"/>
  <c r="J7155" i="2"/>
  <c r="J7154" i="2"/>
  <c r="J7153" i="2"/>
  <c r="J7152" i="2"/>
  <c r="J7151" i="2"/>
  <c r="J7150" i="2"/>
  <c r="J7149" i="2"/>
  <c r="J7148" i="2"/>
  <c r="J7147" i="2"/>
  <c r="J7146" i="2"/>
  <c r="J7145" i="2"/>
  <c r="J7144" i="2"/>
  <c r="J7143" i="2"/>
  <c r="J7142" i="2"/>
  <c r="J7141" i="2"/>
  <c r="J7140" i="2"/>
  <c r="J7139" i="2"/>
  <c r="J7138" i="2"/>
  <c r="J7137" i="2"/>
  <c r="J7136" i="2"/>
  <c r="J7135" i="2"/>
  <c r="J7134" i="2"/>
  <c r="J7133" i="2"/>
  <c r="J7132" i="2"/>
  <c r="J7131" i="2"/>
  <c r="J7130" i="2"/>
  <c r="J7129" i="2"/>
  <c r="J7128" i="2"/>
  <c r="J7127" i="2"/>
  <c r="J7126" i="2"/>
  <c r="J7125" i="2"/>
  <c r="J7124" i="2"/>
  <c r="J7123" i="2"/>
  <c r="J7122" i="2"/>
  <c r="J7121" i="2"/>
  <c r="J7120" i="2"/>
  <c r="J7119" i="2"/>
  <c r="J7118" i="2"/>
  <c r="J7117" i="2"/>
  <c r="J7116" i="2"/>
  <c r="J7115" i="2"/>
  <c r="J7114" i="2"/>
  <c r="J7113" i="2"/>
  <c r="J7112" i="2"/>
  <c r="J7111" i="2"/>
  <c r="J7110" i="2"/>
  <c r="J7109" i="2"/>
  <c r="J7108" i="2"/>
  <c r="J7107" i="2"/>
  <c r="J7106" i="2"/>
  <c r="J7105" i="2"/>
  <c r="J7104" i="2"/>
  <c r="J7103" i="2"/>
  <c r="J7102" i="2"/>
  <c r="J7101" i="2"/>
  <c r="J7100" i="2"/>
  <c r="J7099" i="2"/>
  <c r="J7098" i="2"/>
  <c r="J7097" i="2"/>
  <c r="J7096" i="2"/>
  <c r="J7095" i="2"/>
  <c r="J7094" i="2"/>
  <c r="J7093" i="2"/>
  <c r="J7092" i="2"/>
  <c r="J7091" i="2"/>
  <c r="J7090" i="2"/>
  <c r="J7089" i="2"/>
  <c r="J7088" i="2"/>
  <c r="J7087" i="2"/>
  <c r="J7086" i="2"/>
  <c r="J7085" i="2"/>
  <c r="J7084" i="2"/>
  <c r="J7083" i="2"/>
  <c r="J7082" i="2"/>
  <c r="J7081" i="2"/>
  <c r="J7080" i="2"/>
  <c r="J7079" i="2"/>
  <c r="J7078" i="2"/>
  <c r="J7077" i="2"/>
  <c r="J7076" i="2"/>
  <c r="J7075" i="2"/>
  <c r="J7074" i="2"/>
  <c r="J7073" i="2"/>
  <c r="J7072" i="2"/>
  <c r="J7071" i="2"/>
  <c r="J7070" i="2"/>
  <c r="J7069" i="2"/>
  <c r="J7068" i="2"/>
  <c r="J7067" i="2"/>
  <c r="J7066" i="2"/>
  <c r="J7065" i="2"/>
  <c r="J7064" i="2"/>
  <c r="J7063" i="2"/>
  <c r="J7062" i="2"/>
  <c r="J7061" i="2"/>
  <c r="J7060" i="2"/>
  <c r="J7059" i="2"/>
  <c r="J7058" i="2"/>
  <c r="J7057" i="2"/>
  <c r="J7056" i="2"/>
  <c r="J7055" i="2"/>
  <c r="J7054" i="2"/>
  <c r="J7053" i="2"/>
  <c r="J7052" i="2"/>
  <c r="J7051" i="2"/>
  <c r="J7050" i="2"/>
  <c r="J7049" i="2"/>
  <c r="J7048" i="2"/>
  <c r="J7047" i="2"/>
  <c r="J7046" i="2"/>
  <c r="J7045" i="2"/>
  <c r="J7044" i="2"/>
  <c r="J7043" i="2"/>
  <c r="J7042" i="2"/>
  <c r="J7041" i="2"/>
  <c r="J7040" i="2"/>
  <c r="J7039" i="2"/>
  <c r="J7038" i="2"/>
  <c r="J7037" i="2"/>
  <c r="J7036" i="2"/>
  <c r="J7035" i="2"/>
  <c r="J7034" i="2"/>
  <c r="J7033" i="2"/>
  <c r="J7032" i="2"/>
  <c r="J7031" i="2"/>
  <c r="J7030" i="2"/>
  <c r="J7029" i="2"/>
  <c r="J7028" i="2"/>
  <c r="J7027" i="2"/>
  <c r="J7026" i="2"/>
  <c r="J7025" i="2"/>
  <c r="J7024" i="2"/>
  <c r="J7023" i="2"/>
  <c r="J7022" i="2"/>
  <c r="J7021" i="2"/>
  <c r="J7020" i="2"/>
  <c r="J7019" i="2"/>
  <c r="J7018" i="2"/>
  <c r="J7017" i="2"/>
  <c r="J7016" i="2"/>
  <c r="J7015" i="2"/>
  <c r="J7014" i="2"/>
  <c r="J7013" i="2"/>
  <c r="J7012" i="2"/>
  <c r="J7011" i="2"/>
  <c r="J7010" i="2"/>
  <c r="J7009" i="2"/>
  <c r="J7008" i="2"/>
  <c r="J7007" i="2"/>
  <c r="J7006" i="2"/>
  <c r="J7005" i="2"/>
  <c r="J7004" i="2"/>
  <c r="J7003" i="2"/>
  <c r="J7002" i="2"/>
  <c r="J7001" i="2"/>
  <c r="J7000" i="2"/>
  <c r="J6999" i="2"/>
  <c r="J6998" i="2"/>
  <c r="J6997" i="2"/>
  <c r="J6996" i="2"/>
  <c r="J6995" i="2"/>
  <c r="J6994" i="2"/>
  <c r="J6993" i="2"/>
  <c r="J6992" i="2"/>
  <c r="J6991" i="2"/>
  <c r="J6990" i="2"/>
  <c r="J6989" i="2"/>
  <c r="J6988" i="2"/>
  <c r="J6987" i="2"/>
  <c r="J6986" i="2"/>
  <c r="J6985" i="2"/>
  <c r="J6984" i="2"/>
  <c r="J6983" i="2"/>
  <c r="J6982" i="2"/>
  <c r="J6981" i="2"/>
  <c r="J6980" i="2"/>
  <c r="J6979" i="2"/>
  <c r="J6978" i="2"/>
  <c r="J6977" i="2"/>
  <c r="J6976" i="2"/>
  <c r="J6975" i="2"/>
  <c r="J6974" i="2"/>
  <c r="J6973" i="2"/>
  <c r="J6972" i="2"/>
  <c r="J6971" i="2"/>
  <c r="J6970" i="2"/>
  <c r="J6969" i="2"/>
  <c r="J6968" i="2"/>
  <c r="J6967" i="2"/>
  <c r="J6966" i="2"/>
  <c r="J6965" i="2"/>
  <c r="J6964" i="2"/>
  <c r="J6963" i="2"/>
  <c r="J6962" i="2"/>
  <c r="J6961" i="2"/>
  <c r="J6960" i="2"/>
  <c r="J6959" i="2"/>
  <c r="J6958" i="2"/>
  <c r="J6957" i="2"/>
  <c r="J6956" i="2"/>
  <c r="J6955" i="2"/>
  <c r="J6954" i="2"/>
  <c r="J6953" i="2"/>
  <c r="J6952" i="2"/>
  <c r="J6951" i="2"/>
  <c r="J6950" i="2"/>
  <c r="J6949" i="2"/>
  <c r="J6948" i="2"/>
  <c r="J6947" i="2"/>
  <c r="J6946" i="2"/>
  <c r="J6945" i="2"/>
  <c r="J6944" i="2"/>
  <c r="J6943" i="2"/>
  <c r="J6942" i="2"/>
  <c r="J6941" i="2"/>
  <c r="J6940" i="2"/>
  <c r="J6939" i="2"/>
  <c r="J6938" i="2"/>
  <c r="J6937" i="2"/>
  <c r="J6936" i="2"/>
  <c r="J6935" i="2"/>
  <c r="J6934" i="2"/>
  <c r="J6933" i="2"/>
  <c r="J6932" i="2"/>
  <c r="J6931" i="2"/>
  <c r="J6930" i="2"/>
  <c r="J6929" i="2"/>
  <c r="J6928" i="2"/>
  <c r="J6927" i="2"/>
  <c r="J6926" i="2"/>
  <c r="J6925" i="2"/>
  <c r="J6924" i="2"/>
  <c r="J6923" i="2"/>
  <c r="J6922" i="2"/>
  <c r="J6921" i="2"/>
  <c r="J6920" i="2"/>
  <c r="J6919" i="2"/>
  <c r="J6918" i="2"/>
  <c r="J6917" i="2"/>
  <c r="J6916" i="2"/>
  <c r="J6915" i="2"/>
  <c r="J6914" i="2"/>
  <c r="J6913" i="2"/>
  <c r="J6912" i="2"/>
  <c r="J6911" i="2"/>
  <c r="J6910" i="2"/>
  <c r="J6909" i="2"/>
  <c r="J6908" i="2"/>
  <c r="J6907" i="2"/>
  <c r="J6906" i="2"/>
  <c r="J6905" i="2"/>
  <c r="J6904" i="2"/>
  <c r="J6903" i="2"/>
  <c r="J6902" i="2"/>
  <c r="J6901" i="2"/>
  <c r="J6900" i="2"/>
  <c r="J6899" i="2"/>
  <c r="J6898" i="2"/>
  <c r="J6897" i="2"/>
  <c r="J6896" i="2"/>
  <c r="J6895" i="2"/>
  <c r="J6894" i="2"/>
  <c r="J6893" i="2"/>
  <c r="J6892" i="2"/>
  <c r="J6891" i="2"/>
  <c r="J6890" i="2"/>
  <c r="J6889" i="2"/>
  <c r="J6888" i="2"/>
  <c r="J6887" i="2"/>
  <c r="J6886" i="2"/>
  <c r="J6885" i="2"/>
  <c r="J6884" i="2"/>
  <c r="J6883" i="2"/>
  <c r="J6882" i="2"/>
  <c r="J6881" i="2"/>
  <c r="J6880" i="2"/>
  <c r="J6879" i="2"/>
  <c r="J6878" i="2"/>
  <c r="J6877" i="2"/>
  <c r="J6876" i="2"/>
  <c r="J6875" i="2"/>
  <c r="J6874" i="2"/>
  <c r="J6873" i="2"/>
  <c r="J6872" i="2"/>
  <c r="J6871" i="2"/>
  <c r="J6870" i="2"/>
  <c r="J6869" i="2"/>
  <c r="J6868" i="2"/>
  <c r="J6867" i="2"/>
  <c r="J6866" i="2"/>
  <c r="J6865" i="2"/>
  <c r="J6864" i="2"/>
  <c r="J6863" i="2"/>
  <c r="J6862" i="2"/>
  <c r="J6861" i="2"/>
  <c r="J6860" i="2"/>
  <c r="J6859" i="2"/>
  <c r="J6858" i="2"/>
  <c r="J6857" i="2"/>
  <c r="J6856" i="2"/>
  <c r="J6855" i="2"/>
  <c r="J6854" i="2"/>
  <c r="J6853" i="2"/>
  <c r="J6852" i="2"/>
  <c r="J6851" i="2"/>
  <c r="J6850" i="2"/>
  <c r="J6849" i="2"/>
  <c r="J6848" i="2"/>
  <c r="J6847" i="2"/>
  <c r="J6846" i="2"/>
  <c r="J6845" i="2"/>
  <c r="J6844" i="2"/>
  <c r="J6843" i="2"/>
  <c r="J6842" i="2"/>
  <c r="J6841" i="2"/>
  <c r="J6840" i="2"/>
  <c r="J6839" i="2"/>
  <c r="J6838" i="2"/>
  <c r="J6837" i="2"/>
  <c r="J6836" i="2"/>
  <c r="J6835" i="2"/>
  <c r="J6834" i="2"/>
  <c r="J6833" i="2"/>
  <c r="J6832" i="2"/>
  <c r="J6831" i="2"/>
  <c r="J6830" i="2"/>
  <c r="J6829" i="2"/>
  <c r="J6828" i="2"/>
  <c r="J6827" i="2"/>
  <c r="J6826" i="2"/>
  <c r="J6825" i="2"/>
  <c r="J6824" i="2"/>
  <c r="J6823" i="2"/>
  <c r="J6822" i="2"/>
  <c r="J6821" i="2"/>
  <c r="J6820" i="2"/>
  <c r="J6819" i="2"/>
  <c r="J6818" i="2"/>
  <c r="J6817" i="2"/>
  <c r="J6816" i="2"/>
  <c r="J6815" i="2"/>
  <c r="J6814" i="2"/>
  <c r="J6813" i="2"/>
  <c r="J6812" i="2"/>
  <c r="J6811" i="2"/>
  <c r="J6810" i="2"/>
  <c r="J6809" i="2"/>
  <c r="J6808" i="2"/>
  <c r="J6807" i="2"/>
  <c r="J6806" i="2"/>
  <c r="J6805" i="2"/>
  <c r="J6804" i="2"/>
  <c r="J6803" i="2"/>
  <c r="J6802" i="2"/>
  <c r="J6801" i="2"/>
  <c r="J6800" i="2"/>
  <c r="J6799" i="2"/>
  <c r="J6798" i="2"/>
  <c r="J6797" i="2"/>
  <c r="J6796" i="2"/>
  <c r="J6795" i="2"/>
  <c r="J6794" i="2"/>
  <c r="J6793" i="2"/>
  <c r="J6792" i="2"/>
  <c r="J6791" i="2"/>
  <c r="J6790" i="2"/>
  <c r="J6789" i="2"/>
  <c r="J6788" i="2"/>
  <c r="J6787" i="2"/>
  <c r="J6786" i="2"/>
  <c r="J6785" i="2"/>
  <c r="J6784" i="2"/>
  <c r="J6783" i="2"/>
  <c r="J6782" i="2"/>
  <c r="J6781" i="2"/>
  <c r="J6780" i="2"/>
  <c r="J6779" i="2"/>
  <c r="J6778" i="2"/>
  <c r="J6777" i="2"/>
  <c r="J6776" i="2"/>
  <c r="J6775" i="2"/>
  <c r="J6774" i="2"/>
  <c r="J6773" i="2"/>
  <c r="J6772" i="2"/>
  <c r="J6771" i="2"/>
  <c r="J6770" i="2"/>
  <c r="J6769" i="2"/>
  <c r="J6768" i="2"/>
  <c r="J6767" i="2"/>
  <c r="J6766" i="2"/>
  <c r="J6765" i="2"/>
  <c r="J6764" i="2"/>
  <c r="J6763" i="2"/>
  <c r="J6762" i="2"/>
  <c r="J6761" i="2"/>
  <c r="J6760" i="2"/>
  <c r="J6759" i="2"/>
  <c r="J6758" i="2"/>
  <c r="J6757" i="2"/>
  <c r="J6756" i="2"/>
  <c r="J6755" i="2"/>
  <c r="J6754" i="2"/>
  <c r="J6753" i="2"/>
  <c r="J6752" i="2"/>
  <c r="J6751" i="2"/>
  <c r="J6750" i="2"/>
  <c r="J6749" i="2"/>
  <c r="J6748" i="2"/>
  <c r="J6747" i="2"/>
  <c r="J6746" i="2"/>
  <c r="J6745" i="2"/>
  <c r="J6744" i="2"/>
  <c r="J6743" i="2"/>
  <c r="J6742" i="2"/>
  <c r="J6741" i="2"/>
  <c r="J6740" i="2"/>
  <c r="J6739" i="2"/>
  <c r="J6738" i="2"/>
  <c r="J6737" i="2"/>
  <c r="J6736" i="2"/>
  <c r="J6735" i="2"/>
  <c r="J6734" i="2"/>
  <c r="J6733" i="2"/>
  <c r="J6732" i="2"/>
  <c r="J6731" i="2"/>
  <c r="J6730" i="2"/>
  <c r="J6729" i="2"/>
  <c r="J6728" i="2"/>
  <c r="J6727" i="2"/>
  <c r="J6726" i="2"/>
  <c r="J6725" i="2"/>
  <c r="J6724" i="2"/>
  <c r="J6723" i="2"/>
  <c r="J6722" i="2"/>
  <c r="J6721" i="2"/>
  <c r="J6720" i="2"/>
  <c r="J6719" i="2"/>
  <c r="J6718" i="2"/>
  <c r="J6717" i="2"/>
  <c r="J6716" i="2"/>
  <c r="J6715" i="2"/>
  <c r="J6714" i="2"/>
  <c r="J6713" i="2"/>
  <c r="J6712" i="2"/>
  <c r="J6711" i="2"/>
  <c r="J6710" i="2"/>
  <c r="J6709" i="2"/>
  <c r="J6708" i="2"/>
  <c r="J6707" i="2"/>
  <c r="J6706" i="2"/>
  <c r="J6705" i="2"/>
  <c r="J6704" i="2"/>
  <c r="J6703" i="2"/>
  <c r="J6702" i="2"/>
  <c r="J6701" i="2"/>
  <c r="J6700" i="2"/>
  <c r="J6699" i="2"/>
  <c r="J6698" i="2"/>
  <c r="J6697" i="2"/>
  <c r="J6696" i="2"/>
  <c r="J6695" i="2"/>
  <c r="J6694" i="2"/>
  <c r="J6693" i="2"/>
  <c r="J6692" i="2"/>
  <c r="J6691" i="2"/>
  <c r="J6690" i="2"/>
  <c r="J6689" i="2"/>
  <c r="J6688" i="2"/>
  <c r="J6687" i="2"/>
  <c r="J6686" i="2"/>
  <c r="J6685" i="2"/>
  <c r="J6684" i="2"/>
  <c r="J6683" i="2"/>
  <c r="J6682" i="2"/>
  <c r="J6681" i="2"/>
  <c r="J6680" i="2"/>
  <c r="J6679" i="2"/>
  <c r="J6678" i="2"/>
  <c r="J6677" i="2"/>
  <c r="J6676" i="2"/>
  <c r="J6675" i="2"/>
  <c r="J6674" i="2"/>
  <c r="J6673" i="2"/>
  <c r="J6672" i="2"/>
  <c r="J6671" i="2"/>
  <c r="J6670" i="2"/>
  <c r="J6669" i="2"/>
  <c r="J6668" i="2"/>
  <c r="J6667" i="2"/>
  <c r="J6666" i="2"/>
  <c r="J6665" i="2"/>
  <c r="J6664" i="2"/>
  <c r="J6663" i="2"/>
  <c r="J6662" i="2"/>
  <c r="J6661" i="2"/>
  <c r="J6660" i="2"/>
  <c r="J6659" i="2"/>
  <c r="J6658" i="2"/>
  <c r="J6657" i="2"/>
  <c r="J6656" i="2"/>
  <c r="J6655" i="2"/>
  <c r="J6654" i="2"/>
  <c r="J6653" i="2"/>
  <c r="J6652" i="2"/>
  <c r="J6651" i="2"/>
  <c r="J6650" i="2"/>
  <c r="J6649" i="2"/>
  <c r="J6648" i="2"/>
  <c r="J6647" i="2"/>
  <c r="J6646" i="2"/>
  <c r="J6645" i="2"/>
  <c r="J6644" i="2"/>
  <c r="J6643" i="2"/>
  <c r="J6642" i="2"/>
  <c r="J6641" i="2"/>
  <c r="J6640" i="2"/>
  <c r="J6639" i="2"/>
  <c r="J6638" i="2"/>
  <c r="J6637" i="2"/>
  <c r="J6636" i="2"/>
  <c r="J6635" i="2"/>
  <c r="J6634" i="2"/>
  <c r="J6633" i="2"/>
  <c r="J6632" i="2"/>
  <c r="J6631" i="2"/>
  <c r="J6630" i="2"/>
  <c r="J6629" i="2"/>
  <c r="J6628" i="2"/>
  <c r="J6627" i="2"/>
  <c r="J6626" i="2"/>
  <c r="J6625" i="2"/>
  <c r="J6624" i="2"/>
  <c r="J6623" i="2"/>
  <c r="J6622" i="2"/>
  <c r="J6621" i="2"/>
  <c r="J6620" i="2"/>
  <c r="J6619" i="2"/>
  <c r="J6618" i="2"/>
  <c r="J6617" i="2"/>
  <c r="J6616" i="2"/>
  <c r="J6615" i="2"/>
  <c r="J6614" i="2"/>
  <c r="J6613" i="2"/>
  <c r="J6612" i="2"/>
  <c r="J6611" i="2"/>
  <c r="J6610" i="2"/>
  <c r="J6609" i="2"/>
  <c r="J6608" i="2"/>
  <c r="J6607" i="2"/>
  <c r="J6606" i="2"/>
  <c r="J6605" i="2"/>
  <c r="J6604" i="2"/>
  <c r="J6603" i="2"/>
  <c r="J6602" i="2"/>
  <c r="J6601" i="2"/>
  <c r="J6600" i="2"/>
  <c r="J6599" i="2"/>
  <c r="J6598" i="2"/>
  <c r="J6597" i="2"/>
  <c r="J6596" i="2"/>
  <c r="J6595" i="2"/>
  <c r="J6594" i="2"/>
  <c r="J6593" i="2"/>
  <c r="J6592" i="2"/>
  <c r="J6591" i="2"/>
  <c r="J6590" i="2"/>
  <c r="J6589" i="2"/>
  <c r="J6588" i="2"/>
  <c r="J6587" i="2"/>
  <c r="J6586" i="2"/>
  <c r="J6585" i="2"/>
  <c r="J6584" i="2"/>
  <c r="J6583" i="2"/>
  <c r="J6582" i="2"/>
  <c r="J6581" i="2"/>
  <c r="J6580" i="2"/>
  <c r="J6579" i="2"/>
  <c r="J6578" i="2"/>
  <c r="J6577" i="2"/>
  <c r="J6576" i="2"/>
  <c r="J6575" i="2"/>
  <c r="J6574" i="2"/>
  <c r="J6573" i="2"/>
  <c r="J6572" i="2"/>
  <c r="J6571" i="2"/>
  <c r="J6570" i="2"/>
  <c r="J6569" i="2"/>
  <c r="J6568" i="2"/>
  <c r="J6567" i="2"/>
  <c r="J6566" i="2"/>
  <c r="J6565" i="2"/>
  <c r="J6564" i="2"/>
  <c r="J6563" i="2"/>
  <c r="J6562" i="2"/>
  <c r="J6561" i="2"/>
  <c r="J6560" i="2"/>
  <c r="J6559" i="2"/>
  <c r="J6558" i="2"/>
  <c r="J6557" i="2"/>
  <c r="J6556" i="2"/>
  <c r="J6555" i="2"/>
  <c r="J6554" i="2"/>
  <c r="J6553" i="2"/>
  <c r="J6552" i="2"/>
  <c r="J6551" i="2"/>
  <c r="J6550" i="2"/>
  <c r="J6549" i="2"/>
  <c r="J6548" i="2"/>
  <c r="J6547" i="2"/>
  <c r="J6546" i="2"/>
  <c r="J6545" i="2"/>
  <c r="J6544" i="2"/>
  <c r="J6543" i="2"/>
  <c r="J6542" i="2"/>
  <c r="J6541" i="2"/>
  <c r="J6540" i="2"/>
  <c r="J6539" i="2"/>
  <c r="J6538" i="2"/>
  <c r="J6537" i="2"/>
  <c r="J6536" i="2"/>
  <c r="J6535" i="2"/>
  <c r="J6534" i="2"/>
  <c r="J6533" i="2"/>
  <c r="J6532" i="2"/>
  <c r="J6531" i="2"/>
  <c r="J6530" i="2"/>
  <c r="J6529" i="2"/>
  <c r="J6528" i="2"/>
  <c r="J6527" i="2"/>
  <c r="J6526" i="2"/>
  <c r="J6525" i="2"/>
  <c r="J6524" i="2"/>
  <c r="J6523" i="2"/>
  <c r="J6522" i="2"/>
  <c r="J6521" i="2"/>
  <c r="J6520" i="2"/>
  <c r="J6519" i="2"/>
  <c r="J6518" i="2"/>
  <c r="J6517" i="2"/>
  <c r="J6516" i="2"/>
  <c r="J6515" i="2"/>
  <c r="J6514" i="2"/>
  <c r="J6513" i="2"/>
  <c r="J6512" i="2"/>
  <c r="J6511" i="2"/>
  <c r="J6510" i="2"/>
  <c r="J6509" i="2"/>
  <c r="J6508" i="2"/>
  <c r="J6507" i="2"/>
  <c r="J6506" i="2"/>
  <c r="J6505" i="2"/>
  <c r="J6504" i="2"/>
  <c r="J6503" i="2"/>
  <c r="J6502" i="2"/>
  <c r="J6501" i="2"/>
  <c r="J6500" i="2"/>
  <c r="J6499" i="2"/>
  <c r="J6498" i="2"/>
  <c r="J6497" i="2"/>
  <c r="J6496" i="2"/>
  <c r="J6495" i="2"/>
  <c r="J6494" i="2"/>
  <c r="J6493" i="2"/>
  <c r="J6492" i="2"/>
  <c r="J6491" i="2"/>
  <c r="J6490" i="2"/>
  <c r="J6489" i="2"/>
  <c r="J6488" i="2"/>
  <c r="J6487" i="2"/>
  <c r="J6486" i="2"/>
  <c r="J6485" i="2"/>
  <c r="J6484" i="2"/>
  <c r="J6483" i="2"/>
  <c r="J6482" i="2"/>
  <c r="J6481" i="2"/>
  <c r="J6480" i="2"/>
  <c r="J6479" i="2"/>
  <c r="J6478" i="2"/>
  <c r="J6477" i="2"/>
  <c r="J6476" i="2"/>
  <c r="J6475" i="2"/>
  <c r="J6474" i="2"/>
  <c r="J6473" i="2"/>
  <c r="J6472" i="2"/>
  <c r="J6471" i="2"/>
  <c r="J6470" i="2"/>
  <c r="J6469" i="2"/>
  <c r="J6468" i="2"/>
  <c r="J6467" i="2"/>
  <c r="J6466" i="2"/>
  <c r="J6465" i="2"/>
  <c r="J6464" i="2"/>
  <c r="J6463" i="2"/>
  <c r="J6462" i="2"/>
  <c r="J6461" i="2"/>
  <c r="J6460" i="2"/>
  <c r="J6459" i="2"/>
  <c r="J6458" i="2"/>
  <c r="J6457" i="2"/>
  <c r="J6456" i="2"/>
  <c r="J6455" i="2"/>
  <c r="J6454" i="2"/>
  <c r="J6453" i="2"/>
  <c r="J6452" i="2"/>
  <c r="J6451" i="2"/>
  <c r="J6450" i="2"/>
  <c r="J6449" i="2"/>
  <c r="J6448" i="2"/>
  <c r="J6447" i="2"/>
  <c r="J6446" i="2"/>
  <c r="J6445" i="2"/>
  <c r="J6444" i="2"/>
  <c r="J6443" i="2"/>
  <c r="J6442" i="2"/>
  <c r="J6441" i="2"/>
  <c r="J6440" i="2"/>
  <c r="J6439" i="2"/>
  <c r="J6438" i="2"/>
  <c r="J6437" i="2"/>
  <c r="J6436" i="2"/>
  <c r="J6435" i="2"/>
  <c r="J6434" i="2"/>
  <c r="J6433" i="2"/>
  <c r="J6432" i="2"/>
  <c r="J6431" i="2"/>
  <c r="J6430" i="2"/>
  <c r="J6429" i="2"/>
  <c r="J6428" i="2"/>
  <c r="J6427" i="2"/>
  <c r="J6426" i="2"/>
  <c r="J6425" i="2"/>
  <c r="J6424" i="2"/>
  <c r="J6423" i="2"/>
  <c r="J6422" i="2"/>
  <c r="J6421" i="2"/>
  <c r="J6420" i="2"/>
  <c r="J6419" i="2"/>
  <c r="J6418" i="2"/>
  <c r="J6417" i="2"/>
  <c r="J6416" i="2"/>
  <c r="J6415" i="2"/>
  <c r="J6414" i="2"/>
  <c r="J6413" i="2"/>
  <c r="J6412" i="2"/>
  <c r="J6411" i="2"/>
  <c r="J6410" i="2"/>
  <c r="J6409" i="2"/>
  <c r="J6408" i="2"/>
  <c r="J6407" i="2"/>
  <c r="J6406" i="2"/>
  <c r="J6405" i="2"/>
  <c r="J6404" i="2"/>
  <c r="J6403" i="2"/>
  <c r="J6402" i="2"/>
  <c r="J6401" i="2"/>
  <c r="J6400" i="2"/>
  <c r="J6399" i="2"/>
  <c r="J6398" i="2"/>
  <c r="J6397" i="2"/>
  <c r="J6396" i="2"/>
  <c r="J6395" i="2"/>
  <c r="J6394" i="2"/>
  <c r="J6393" i="2"/>
  <c r="J6392" i="2"/>
  <c r="J6391" i="2"/>
  <c r="J6390" i="2"/>
  <c r="J6389" i="2"/>
  <c r="J6388" i="2"/>
  <c r="J6387" i="2"/>
  <c r="J6386" i="2"/>
  <c r="J6385" i="2"/>
  <c r="J6384" i="2"/>
  <c r="J6383" i="2"/>
  <c r="J6382" i="2"/>
  <c r="J6381" i="2"/>
  <c r="J6380" i="2"/>
  <c r="J6379" i="2"/>
  <c r="J6378" i="2"/>
  <c r="J6377" i="2"/>
  <c r="J6376" i="2"/>
  <c r="J6375" i="2"/>
  <c r="J6374" i="2"/>
  <c r="J6373" i="2"/>
  <c r="J6372" i="2"/>
  <c r="J6371" i="2"/>
  <c r="J6370" i="2"/>
  <c r="J6369" i="2"/>
  <c r="J6368" i="2"/>
  <c r="J6367" i="2"/>
  <c r="J6366" i="2"/>
  <c r="J6365" i="2"/>
  <c r="J6364" i="2"/>
  <c r="J6363" i="2"/>
  <c r="J6362" i="2"/>
  <c r="J6361" i="2"/>
  <c r="J6360" i="2"/>
  <c r="J6359" i="2"/>
  <c r="J6358" i="2"/>
  <c r="J6357" i="2"/>
  <c r="J6356" i="2"/>
  <c r="J6355" i="2"/>
  <c r="J6354" i="2"/>
  <c r="J6353" i="2"/>
  <c r="J6352" i="2"/>
  <c r="J6351" i="2"/>
  <c r="J6350" i="2"/>
  <c r="J6349" i="2"/>
  <c r="J6348" i="2"/>
  <c r="J6347" i="2"/>
  <c r="J6346" i="2"/>
  <c r="J6345" i="2"/>
  <c r="J6344" i="2"/>
  <c r="J6343" i="2"/>
  <c r="J6342" i="2"/>
  <c r="J6341" i="2"/>
  <c r="J6340" i="2"/>
  <c r="J6339" i="2"/>
  <c r="J6338" i="2"/>
  <c r="J6337" i="2"/>
  <c r="J6336" i="2"/>
  <c r="J6335" i="2"/>
  <c r="J6334" i="2"/>
  <c r="J6333" i="2"/>
  <c r="J6332" i="2"/>
  <c r="J6331" i="2"/>
  <c r="J6330" i="2"/>
  <c r="J6329" i="2"/>
  <c r="J6328" i="2"/>
  <c r="J6327" i="2"/>
  <c r="J6326" i="2"/>
  <c r="J6325" i="2"/>
  <c r="J6324" i="2"/>
  <c r="J6323" i="2"/>
  <c r="J6322" i="2"/>
  <c r="J6321" i="2"/>
  <c r="J6320" i="2"/>
  <c r="J6319" i="2"/>
  <c r="J6318" i="2"/>
  <c r="J6317" i="2"/>
  <c r="J6316" i="2"/>
  <c r="J6315" i="2"/>
  <c r="J6314" i="2"/>
  <c r="J6313" i="2"/>
  <c r="J6312" i="2"/>
  <c r="J6311" i="2"/>
  <c r="J6310" i="2"/>
  <c r="J6309" i="2"/>
  <c r="J6308" i="2"/>
  <c r="J6307" i="2"/>
  <c r="J6306" i="2"/>
  <c r="J6305" i="2"/>
  <c r="J6304" i="2"/>
  <c r="J6303" i="2"/>
  <c r="J6302" i="2"/>
  <c r="J6301" i="2"/>
  <c r="J6300" i="2"/>
  <c r="J6299" i="2"/>
  <c r="J6298" i="2"/>
  <c r="J6297" i="2"/>
  <c r="J6296" i="2"/>
  <c r="J6295" i="2"/>
  <c r="J6294" i="2"/>
  <c r="J6293" i="2"/>
  <c r="J6292" i="2"/>
  <c r="J6291" i="2"/>
  <c r="J6290" i="2"/>
  <c r="J6289" i="2"/>
  <c r="J6288" i="2"/>
  <c r="J6287" i="2"/>
  <c r="J6286" i="2"/>
  <c r="J6285" i="2"/>
  <c r="J6284" i="2"/>
  <c r="J6283" i="2"/>
  <c r="J6282" i="2"/>
  <c r="J6281" i="2"/>
  <c r="J6280" i="2"/>
  <c r="J6279" i="2"/>
  <c r="J6278" i="2"/>
  <c r="J6277" i="2"/>
  <c r="J6276" i="2"/>
  <c r="J6275" i="2"/>
  <c r="J6274" i="2"/>
  <c r="J6273" i="2"/>
  <c r="J6272" i="2"/>
  <c r="J6271" i="2"/>
  <c r="J6270" i="2"/>
  <c r="J6269" i="2"/>
  <c r="J6268" i="2"/>
  <c r="J6267" i="2"/>
  <c r="J6266" i="2"/>
  <c r="J6265" i="2"/>
  <c r="J6264" i="2"/>
  <c r="J6263" i="2"/>
  <c r="J6262" i="2"/>
  <c r="J6261" i="2"/>
  <c r="J6260" i="2"/>
  <c r="J6259" i="2"/>
  <c r="J6258" i="2"/>
  <c r="J6257" i="2"/>
  <c r="J6256" i="2"/>
  <c r="J6255" i="2"/>
  <c r="J6254" i="2"/>
  <c r="J6253" i="2"/>
  <c r="J6252" i="2"/>
  <c r="J6251" i="2"/>
  <c r="J6250" i="2"/>
  <c r="J6249" i="2"/>
  <c r="J6248" i="2"/>
  <c r="J6247" i="2"/>
  <c r="J6246" i="2"/>
  <c r="J6245" i="2"/>
  <c r="J6244" i="2"/>
  <c r="J6243" i="2"/>
  <c r="J6242" i="2"/>
  <c r="J6241" i="2"/>
  <c r="J6240" i="2"/>
  <c r="J6239" i="2"/>
  <c r="J6238" i="2"/>
  <c r="J6237" i="2"/>
  <c r="J6236" i="2"/>
  <c r="J6235" i="2"/>
  <c r="J6234" i="2"/>
  <c r="J6233" i="2"/>
  <c r="J6232" i="2"/>
  <c r="J6231" i="2"/>
  <c r="J6230" i="2"/>
  <c r="J6229" i="2"/>
  <c r="J6228" i="2"/>
  <c r="J6227" i="2"/>
  <c r="J6226" i="2"/>
  <c r="J6225" i="2"/>
  <c r="J6224" i="2"/>
  <c r="J6223" i="2"/>
  <c r="J6222" i="2"/>
  <c r="J6221" i="2"/>
  <c r="J6220" i="2"/>
  <c r="J6219" i="2"/>
  <c r="J6218" i="2"/>
  <c r="J6217" i="2"/>
  <c r="J6216" i="2"/>
  <c r="J6215" i="2"/>
  <c r="J6214" i="2"/>
  <c r="J6213" i="2"/>
  <c r="J6212" i="2"/>
  <c r="J6211" i="2"/>
  <c r="J6210" i="2"/>
  <c r="J6209" i="2"/>
  <c r="J6208" i="2"/>
  <c r="J6207" i="2"/>
  <c r="J6206" i="2"/>
  <c r="J6205" i="2"/>
  <c r="J6204" i="2"/>
  <c r="J6203" i="2"/>
  <c r="J6202" i="2"/>
  <c r="J6201" i="2"/>
  <c r="J6200" i="2"/>
  <c r="J6199" i="2"/>
  <c r="J6198" i="2"/>
  <c r="J6197" i="2"/>
  <c r="J6196" i="2"/>
  <c r="J6195" i="2"/>
  <c r="J6194" i="2"/>
  <c r="J6193" i="2"/>
  <c r="J6192" i="2"/>
  <c r="J6191" i="2"/>
  <c r="J6190" i="2"/>
  <c r="J6189" i="2"/>
  <c r="J6188" i="2"/>
  <c r="J6187" i="2"/>
  <c r="J6186" i="2"/>
  <c r="J6185" i="2"/>
  <c r="J6184" i="2"/>
  <c r="J6183" i="2"/>
  <c r="J6182" i="2"/>
  <c r="J6181" i="2"/>
  <c r="J6180" i="2"/>
  <c r="J6179" i="2"/>
  <c r="J6178" i="2"/>
  <c r="J6177" i="2"/>
  <c r="J6176" i="2"/>
  <c r="J6175" i="2"/>
  <c r="J6174" i="2"/>
  <c r="J6173" i="2"/>
  <c r="J6172" i="2"/>
  <c r="J6171" i="2"/>
  <c r="J6170" i="2"/>
  <c r="J6169" i="2"/>
  <c r="J6168" i="2"/>
  <c r="J6167" i="2"/>
  <c r="J6166" i="2"/>
  <c r="J6165" i="2"/>
  <c r="J6164" i="2"/>
  <c r="J6163" i="2"/>
  <c r="J6162" i="2"/>
  <c r="J6161" i="2"/>
  <c r="J6160" i="2"/>
  <c r="J6159" i="2"/>
  <c r="J6158" i="2"/>
  <c r="J6157" i="2"/>
  <c r="J6156" i="2"/>
  <c r="J6155" i="2"/>
  <c r="J6154" i="2"/>
  <c r="J6153" i="2"/>
  <c r="J6152" i="2"/>
  <c r="J6151" i="2"/>
  <c r="J6150" i="2"/>
  <c r="J6149" i="2"/>
  <c r="J6148" i="2"/>
  <c r="J6147" i="2"/>
  <c r="J6146" i="2"/>
  <c r="J6145" i="2"/>
  <c r="J6144" i="2"/>
  <c r="J6143" i="2"/>
  <c r="J6142" i="2"/>
  <c r="J6141" i="2"/>
  <c r="J6140" i="2"/>
  <c r="J6139" i="2"/>
  <c r="J6138" i="2"/>
  <c r="J6137" i="2"/>
  <c r="J6136" i="2"/>
  <c r="J6135" i="2"/>
  <c r="J6134" i="2"/>
  <c r="J6133" i="2"/>
  <c r="J6132" i="2"/>
  <c r="J6131" i="2"/>
  <c r="J6130" i="2"/>
  <c r="J6129" i="2"/>
  <c r="J6128" i="2"/>
  <c r="J6127" i="2"/>
  <c r="J6126" i="2"/>
  <c r="J6125" i="2"/>
  <c r="J6124" i="2"/>
  <c r="J6123" i="2"/>
  <c r="J6122" i="2"/>
  <c r="J6121" i="2"/>
  <c r="J6120" i="2"/>
  <c r="J6119" i="2"/>
  <c r="J6118" i="2"/>
  <c r="J6117" i="2"/>
  <c r="J6116" i="2"/>
  <c r="J6115" i="2"/>
  <c r="J6114" i="2"/>
  <c r="J6113" i="2"/>
  <c r="J6112" i="2"/>
  <c r="J6111" i="2"/>
  <c r="J6110" i="2"/>
  <c r="J6109" i="2"/>
  <c r="J6108" i="2"/>
  <c r="J6107" i="2"/>
  <c r="J6106" i="2"/>
  <c r="J6105" i="2"/>
  <c r="J6104" i="2"/>
  <c r="J6103" i="2"/>
  <c r="J6102" i="2"/>
  <c r="J6101" i="2"/>
  <c r="J6100" i="2"/>
  <c r="J6099" i="2"/>
  <c r="J6098" i="2"/>
  <c r="J6097" i="2"/>
  <c r="J6096" i="2"/>
  <c r="J6095" i="2"/>
  <c r="J6094" i="2"/>
  <c r="J6093" i="2"/>
  <c r="J6092" i="2"/>
  <c r="J6091" i="2"/>
  <c r="J6090" i="2"/>
  <c r="J6089" i="2"/>
  <c r="J6088" i="2"/>
  <c r="J6087" i="2"/>
  <c r="J6086" i="2"/>
  <c r="J6085" i="2"/>
  <c r="J6084" i="2"/>
  <c r="J6083" i="2"/>
  <c r="J6082" i="2"/>
  <c r="J6081" i="2"/>
  <c r="J6080" i="2"/>
  <c r="J6079" i="2"/>
  <c r="J6078" i="2"/>
  <c r="J6077" i="2"/>
  <c r="J6076" i="2"/>
  <c r="J6075" i="2"/>
  <c r="J6074" i="2"/>
  <c r="J6073" i="2"/>
  <c r="J6072" i="2"/>
  <c r="J6071" i="2"/>
  <c r="J6070" i="2"/>
  <c r="J6069" i="2"/>
  <c r="J6068" i="2"/>
  <c r="J6067" i="2"/>
  <c r="J6066" i="2"/>
  <c r="J6065" i="2"/>
  <c r="J6064" i="2"/>
  <c r="J6063" i="2"/>
  <c r="J6062" i="2"/>
  <c r="J6061" i="2"/>
  <c r="J6060" i="2"/>
  <c r="J6059" i="2"/>
  <c r="J6058" i="2"/>
  <c r="J6057" i="2"/>
  <c r="J6056" i="2"/>
  <c r="J6055" i="2"/>
  <c r="J6054" i="2"/>
  <c r="J6053" i="2"/>
  <c r="J6052" i="2"/>
  <c r="J6051" i="2"/>
  <c r="J6050" i="2"/>
  <c r="J6049" i="2"/>
  <c r="J6048" i="2"/>
  <c r="J6047" i="2"/>
  <c r="J6046" i="2"/>
  <c r="J6045" i="2"/>
  <c r="J6044" i="2"/>
  <c r="J6043" i="2"/>
  <c r="J6042" i="2"/>
  <c r="J6041" i="2"/>
  <c r="J6040" i="2"/>
  <c r="J6039" i="2"/>
  <c r="J6038" i="2"/>
  <c r="J6037" i="2"/>
  <c r="J6036" i="2"/>
  <c r="J6035" i="2"/>
  <c r="J6034" i="2"/>
  <c r="J6033" i="2"/>
  <c r="J6032" i="2"/>
  <c r="J6031" i="2"/>
  <c r="J6030" i="2"/>
  <c r="J6029" i="2"/>
  <c r="J6028" i="2"/>
  <c r="J6027" i="2"/>
  <c r="J6026" i="2"/>
  <c r="J6025" i="2"/>
  <c r="J6024" i="2"/>
  <c r="J6023" i="2"/>
  <c r="J6022" i="2"/>
  <c r="J6021" i="2"/>
  <c r="J6020" i="2"/>
  <c r="J6019" i="2"/>
  <c r="J6018" i="2"/>
  <c r="J6017" i="2"/>
  <c r="J6016" i="2"/>
  <c r="J6015" i="2"/>
  <c r="J6014" i="2"/>
  <c r="J6013" i="2"/>
  <c r="J6012" i="2"/>
  <c r="J6011" i="2"/>
  <c r="J6010" i="2"/>
  <c r="J6009" i="2"/>
  <c r="J6008" i="2"/>
  <c r="J6007" i="2"/>
  <c r="J6006" i="2"/>
  <c r="J6005" i="2"/>
  <c r="J6004" i="2"/>
  <c r="J6003" i="2"/>
  <c r="J6002" i="2"/>
  <c r="J6001" i="2"/>
  <c r="J6000" i="2"/>
  <c r="J5999" i="2"/>
  <c r="J5998" i="2"/>
  <c r="J5997" i="2"/>
  <c r="J5996" i="2"/>
  <c r="J5995" i="2"/>
  <c r="J5994" i="2"/>
  <c r="J5993" i="2"/>
  <c r="J5992" i="2"/>
  <c r="J5991" i="2"/>
  <c r="J5990" i="2"/>
  <c r="J5989" i="2"/>
  <c r="J5988" i="2"/>
  <c r="J5987" i="2"/>
  <c r="J5986" i="2"/>
  <c r="J5985" i="2"/>
  <c r="J5984" i="2"/>
  <c r="J5983" i="2"/>
  <c r="J5982" i="2"/>
  <c r="J5981" i="2"/>
  <c r="J5980" i="2"/>
  <c r="J5979" i="2"/>
  <c r="J5978" i="2"/>
  <c r="J5977" i="2"/>
  <c r="J5976" i="2"/>
  <c r="J5975" i="2"/>
  <c r="J5974" i="2"/>
  <c r="J5973" i="2"/>
  <c r="J5972" i="2"/>
  <c r="J5971" i="2"/>
  <c r="J5970" i="2"/>
  <c r="J5969" i="2"/>
  <c r="J5968" i="2"/>
  <c r="J5967" i="2"/>
  <c r="J5966" i="2"/>
  <c r="J5965" i="2"/>
  <c r="J5964" i="2"/>
  <c r="J5963" i="2"/>
  <c r="J5962" i="2"/>
  <c r="J5961" i="2"/>
  <c r="J5960" i="2"/>
  <c r="J5959" i="2"/>
  <c r="J5958" i="2"/>
  <c r="J5957" i="2"/>
  <c r="J5956" i="2"/>
  <c r="J5955" i="2"/>
  <c r="J5954" i="2"/>
  <c r="J5953" i="2"/>
  <c r="J5952" i="2"/>
  <c r="J5951" i="2"/>
  <c r="J5950" i="2"/>
  <c r="J5949" i="2"/>
  <c r="J5948" i="2"/>
  <c r="J5947" i="2"/>
  <c r="J5946" i="2"/>
  <c r="J5945" i="2"/>
  <c r="J5944" i="2"/>
  <c r="J5943" i="2"/>
  <c r="J5942" i="2"/>
  <c r="J5941" i="2"/>
  <c r="J5940" i="2"/>
  <c r="J5939" i="2"/>
  <c r="J5938" i="2"/>
  <c r="J5937" i="2"/>
  <c r="J5936" i="2"/>
  <c r="J5935" i="2"/>
  <c r="J5934" i="2"/>
  <c r="J5933" i="2"/>
  <c r="J5932" i="2"/>
  <c r="J5931" i="2"/>
  <c r="J5930" i="2"/>
  <c r="J5929" i="2"/>
  <c r="J5928" i="2"/>
  <c r="J5927" i="2"/>
  <c r="J5926" i="2"/>
  <c r="J5925" i="2"/>
  <c r="J5924" i="2"/>
  <c r="J5923" i="2"/>
  <c r="J5922" i="2"/>
  <c r="J5921" i="2"/>
  <c r="J5920" i="2"/>
  <c r="J5919" i="2"/>
  <c r="J5918" i="2"/>
  <c r="J5917" i="2"/>
  <c r="J5916" i="2"/>
  <c r="J5915" i="2"/>
  <c r="J5914" i="2"/>
  <c r="J5913" i="2"/>
  <c r="J5912" i="2"/>
  <c r="J5911" i="2"/>
  <c r="J5910" i="2"/>
  <c r="J5909" i="2"/>
  <c r="J5908" i="2"/>
  <c r="J5907" i="2"/>
  <c r="J5906" i="2"/>
  <c r="J5905" i="2"/>
  <c r="J5904" i="2"/>
  <c r="J5903" i="2"/>
  <c r="J5902" i="2"/>
  <c r="J5901" i="2"/>
  <c r="J5900" i="2"/>
  <c r="J5899" i="2"/>
  <c r="J5898" i="2"/>
  <c r="J5897" i="2"/>
  <c r="J5896" i="2"/>
  <c r="J5895" i="2"/>
  <c r="J5894" i="2"/>
  <c r="J5893" i="2"/>
  <c r="J5892" i="2"/>
  <c r="J5891" i="2"/>
  <c r="J5890" i="2"/>
  <c r="J5889" i="2"/>
  <c r="J5888" i="2"/>
  <c r="J5887" i="2"/>
  <c r="J5886" i="2"/>
  <c r="J5885" i="2"/>
  <c r="J5884" i="2"/>
  <c r="J5883" i="2"/>
  <c r="J5882" i="2"/>
  <c r="J5881" i="2"/>
  <c r="J5880" i="2"/>
  <c r="J5879" i="2"/>
  <c r="J5878" i="2"/>
  <c r="J5877" i="2"/>
  <c r="J5876" i="2"/>
  <c r="J5875" i="2"/>
  <c r="J5874" i="2"/>
  <c r="J5873" i="2"/>
  <c r="J5872" i="2"/>
  <c r="J5871" i="2"/>
  <c r="J5870" i="2"/>
  <c r="J5869" i="2"/>
  <c r="J5868" i="2"/>
  <c r="J5867" i="2"/>
  <c r="J5866" i="2"/>
  <c r="J5865" i="2"/>
  <c r="J5864" i="2"/>
  <c r="J5863" i="2"/>
  <c r="J5862" i="2"/>
  <c r="J5861" i="2"/>
  <c r="J5860" i="2"/>
  <c r="J5859" i="2"/>
  <c r="J5858" i="2"/>
  <c r="J5857" i="2"/>
  <c r="J5856" i="2"/>
  <c r="J5855" i="2"/>
  <c r="J5854" i="2"/>
  <c r="J5853" i="2"/>
  <c r="J5852" i="2"/>
  <c r="J5851" i="2"/>
  <c r="J5850" i="2"/>
  <c r="J5849" i="2"/>
  <c r="J5848" i="2"/>
  <c r="J5847" i="2"/>
  <c r="J5846" i="2"/>
  <c r="J5845" i="2"/>
  <c r="J5844" i="2"/>
  <c r="J5843" i="2"/>
  <c r="J5842" i="2"/>
  <c r="J5841" i="2"/>
  <c r="J5840" i="2"/>
  <c r="J5839" i="2"/>
  <c r="J5838" i="2"/>
  <c r="J5837" i="2"/>
  <c r="J5836" i="2"/>
  <c r="J5835" i="2"/>
  <c r="J5834" i="2"/>
  <c r="J5833" i="2"/>
  <c r="J5832" i="2"/>
  <c r="J5831" i="2"/>
  <c r="J5830" i="2"/>
  <c r="J5829" i="2"/>
  <c r="J5828" i="2"/>
  <c r="J5827" i="2"/>
  <c r="J5826" i="2"/>
  <c r="J5825" i="2"/>
  <c r="J5824" i="2"/>
  <c r="J5823" i="2"/>
  <c r="J5822" i="2"/>
  <c r="J5821" i="2"/>
  <c r="J5820" i="2"/>
  <c r="J5819" i="2"/>
  <c r="J5818" i="2"/>
  <c r="J5817" i="2"/>
  <c r="J5816" i="2"/>
  <c r="J5815" i="2"/>
  <c r="J5814" i="2"/>
  <c r="J5813" i="2"/>
  <c r="J5812" i="2"/>
  <c r="J5811" i="2"/>
  <c r="J5810" i="2"/>
  <c r="J5809" i="2"/>
  <c r="J5808" i="2"/>
  <c r="J5807" i="2"/>
  <c r="J5806" i="2"/>
  <c r="J5805" i="2"/>
  <c r="J5804" i="2"/>
  <c r="J5803" i="2"/>
  <c r="J5802" i="2"/>
  <c r="J5801" i="2"/>
  <c r="J5800" i="2"/>
  <c r="J5799" i="2"/>
  <c r="J5798" i="2"/>
  <c r="J5797" i="2"/>
  <c r="J5796" i="2"/>
  <c r="J5795" i="2"/>
  <c r="J5794" i="2"/>
  <c r="J5793" i="2"/>
  <c r="J5792" i="2"/>
  <c r="J5791" i="2"/>
  <c r="J5790" i="2"/>
  <c r="J5789" i="2"/>
  <c r="J5788" i="2"/>
  <c r="J5787" i="2"/>
  <c r="J5786" i="2"/>
  <c r="J5785" i="2"/>
  <c r="J5784" i="2"/>
  <c r="J5783" i="2"/>
  <c r="J5782" i="2"/>
  <c r="J5781" i="2"/>
  <c r="J5780" i="2"/>
  <c r="J5779" i="2"/>
  <c r="J5778" i="2"/>
  <c r="J5777" i="2"/>
  <c r="J5776" i="2"/>
  <c r="J5775" i="2"/>
  <c r="J5774" i="2"/>
  <c r="J5773" i="2"/>
  <c r="J5772" i="2"/>
  <c r="J5771" i="2"/>
  <c r="J5770" i="2"/>
  <c r="J5769" i="2"/>
  <c r="J5768" i="2"/>
  <c r="J5767" i="2"/>
  <c r="J5766" i="2"/>
  <c r="J5765" i="2"/>
  <c r="J5764" i="2"/>
  <c r="J5763" i="2"/>
  <c r="J5762" i="2"/>
  <c r="J5761" i="2"/>
  <c r="J5760" i="2"/>
  <c r="J5759" i="2"/>
  <c r="J5758" i="2"/>
  <c r="J5757" i="2"/>
  <c r="J5756" i="2"/>
  <c r="J5755" i="2"/>
  <c r="J5754" i="2"/>
  <c r="J5753" i="2"/>
  <c r="J5752" i="2"/>
  <c r="J5751" i="2"/>
  <c r="J5750" i="2"/>
  <c r="J5749" i="2"/>
  <c r="J5748" i="2"/>
  <c r="J5747" i="2"/>
  <c r="J5746" i="2"/>
  <c r="J5745" i="2"/>
  <c r="J5744" i="2"/>
  <c r="J5743" i="2"/>
  <c r="J5742" i="2"/>
  <c r="J5741" i="2"/>
  <c r="J5740" i="2"/>
  <c r="J5739" i="2"/>
  <c r="J5738" i="2"/>
  <c r="J5737" i="2"/>
  <c r="J5736" i="2"/>
  <c r="J5735" i="2"/>
  <c r="J5734" i="2"/>
  <c r="J5733" i="2"/>
  <c r="J5732" i="2"/>
  <c r="J5731" i="2"/>
  <c r="J5730" i="2"/>
  <c r="J5729" i="2"/>
  <c r="J5728" i="2"/>
  <c r="J5727" i="2"/>
  <c r="J5726" i="2"/>
  <c r="J5725" i="2"/>
  <c r="J5724" i="2"/>
  <c r="J5723" i="2"/>
  <c r="J5722" i="2"/>
  <c r="J5721" i="2"/>
  <c r="J5720" i="2"/>
  <c r="J5719" i="2"/>
  <c r="J5718" i="2"/>
  <c r="J5717" i="2"/>
  <c r="J5716" i="2"/>
  <c r="J5715" i="2"/>
  <c r="J5714" i="2"/>
  <c r="J5713" i="2"/>
  <c r="J5712" i="2"/>
  <c r="J5711" i="2"/>
  <c r="J5710" i="2"/>
  <c r="J5709" i="2"/>
  <c r="J5708" i="2"/>
  <c r="J5707" i="2"/>
  <c r="J5706" i="2"/>
  <c r="J5705" i="2"/>
  <c r="J5704" i="2"/>
  <c r="J5703" i="2"/>
  <c r="J5702" i="2"/>
  <c r="J5701" i="2"/>
  <c r="J5700" i="2"/>
  <c r="J5699" i="2"/>
  <c r="J5698" i="2"/>
  <c r="J5697" i="2"/>
  <c r="J5696" i="2"/>
  <c r="J5695" i="2"/>
  <c r="J5694" i="2"/>
  <c r="J5693" i="2"/>
  <c r="J5692" i="2"/>
  <c r="J5691" i="2"/>
  <c r="J5690" i="2"/>
  <c r="J5689" i="2"/>
  <c r="J5688" i="2"/>
  <c r="J5687" i="2"/>
  <c r="J5686" i="2"/>
  <c r="J5685" i="2"/>
  <c r="J5684" i="2"/>
  <c r="J5683" i="2"/>
  <c r="J5682" i="2"/>
  <c r="J5681" i="2"/>
  <c r="J5680" i="2"/>
  <c r="J5679" i="2"/>
  <c r="J5678" i="2"/>
  <c r="J5677" i="2"/>
  <c r="J5676" i="2"/>
  <c r="J5675" i="2"/>
  <c r="J5674" i="2"/>
  <c r="J5673" i="2"/>
  <c r="J5672" i="2"/>
  <c r="J5671" i="2"/>
  <c r="J5670" i="2"/>
  <c r="J5669" i="2"/>
  <c r="J5668" i="2"/>
  <c r="J5667" i="2"/>
  <c r="J5666" i="2"/>
  <c r="J5665" i="2"/>
  <c r="J5664" i="2"/>
  <c r="J5663" i="2"/>
  <c r="J5662" i="2"/>
  <c r="J5661" i="2"/>
  <c r="J5660" i="2"/>
  <c r="J5659" i="2"/>
  <c r="J5658" i="2"/>
  <c r="J5657" i="2"/>
  <c r="J5656" i="2"/>
  <c r="J5655" i="2"/>
  <c r="J5654" i="2"/>
  <c r="J5653" i="2"/>
  <c r="J5652" i="2"/>
  <c r="J5651" i="2"/>
  <c r="J5650" i="2"/>
  <c r="J5649" i="2"/>
  <c r="J5648" i="2"/>
  <c r="J5647" i="2"/>
  <c r="J5646" i="2"/>
  <c r="J5645" i="2"/>
  <c r="J5644" i="2"/>
  <c r="J5643" i="2"/>
  <c r="J5642" i="2"/>
  <c r="J5641" i="2"/>
  <c r="J5640" i="2"/>
  <c r="J5639" i="2"/>
  <c r="J5638" i="2"/>
  <c r="J5637" i="2"/>
  <c r="J5636" i="2"/>
  <c r="J5635" i="2"/>
  <c r="J5634" i="2"/>
  <c r="J5633" i="2"/>
  <c r="J5632" i="2"/>
  <c r="J5631" i="2"/>
  <c r="J5630" i="2"/>
  <c r="J5629" i="2"/>
  <c r="J5628" i="2"/>
  <c r="J5627" i="2"/>
  <c r="J5626" i="2"/>
  <c r="J5625" i="2"/>
  <c r="J5624" i="2"/>
  <c r="J5623" i="2"/>
  <c r="J5622" i="2"/>
  <c r="J5621" i="2"/>
  <c r="J5620" i="2"/>
  <c r="J5619" i="2"/>
  <c r="J5618" i="2"/>
  <c r="J5617" i="2"/>
  <c r="J5616" i="2"/>
  <c r="J5615" i="2"/>
  <c r="J5614" i="2"/>
  <c r="J5613" i="2"/>
  <c r="J5612" i="2"/>
  <c r="J5611" i="2"/>
  <c r="J5610" i="2"/>
  <c r="J5609" i="2"/>
  <c r="J5608" i="2"/>
  <c r="J5607" i="2"/>
  <c r="J5606" i="2"/>
  <c r="J5605" i="2"/>
  <c r="J5604" i="2"/>
  <c r="J5603" i="2"/>
  <c r="J5602" i="2"/>
  <c r="J5601" i="2"/>
  <c r="J5600" i="2"/>
  <c r="J5599" i="2"/>
  <c r="J5598" i="2"/>
  <c r="J5597" i="2"/>
  <c r="J5596" i="2"/>
  <c r="J5595" i="2"/>
  <c r="J5594" i="2"/>
  <c r="J5593" i="2"/>
  <c r="J5592" i="2"/>
  <c r="J5591" i="2"/>
  <c r="J5590" i="2"/>
  <c r="J5589" i="2"/>
  <c r="J5588" i="2"/>
  <c r="J5587" i="2"/>
  <c r="J5586" i="2"/>
  <c r="J5585" i="2"/>
  <c r="J5584" i="2"/>
  <c r="J5583" i="2"/>
  <c r="J5582" i="2"/>
  <c r="J5581" i="2"/>
  <c r="J5580" i="2"/>
  <c r="J5579" i="2"/>
  <c r="J5578" i="2"/>
  <c r="J5577" i="2"/>
  <c r="J5576" i="2"/>
  <c r="J5575" i="2"/>
  <c r="J5574" i="2"/>
  <c r="J5573" i="2"/>
  <c r="J5572" i="2"/>
  <c r="J5571" i="2"/>
  <c r="J5570" i="2"/>
  <c r="J5569" i="2"/>
  <c r="J5568" i="2"/>
  <c r="J5567" i="2"/>
  <c r="J5566" i="2"/>
  <c r="J5565" i="2"/>
  <c r="J5564" i="2"/>
  <c r="J5563" i="2"/>
  <c r="J5562" i="2"/>
  <c r="J5561" i="2"/>
  <c r="J5560" i="2"/>
  <c r="J5559" i="2"/>
  <c r="J5558" i="2"/>
  <c r="J5557" i="2"/>
  <c r="J5556" i="2"/>
  <c r="J5555" i="2"/>
  <c r="J5554" i="2"/>
  <c r="J5553" i="2"/>
  <c r="J5552" i="2"/>
  <c r="J5551" i="2"/>
  <c r="J5550" i="2"/>
  <c r="J5549" i="2"/>
  <c r="J5548" i="2"/>
  <c r="J5547" i="2"/>
  <c r="J5546" i="2"/>
  <c r="J5545" i="2"/>
  <c r="J5544" i="2"/>
  <c r="J5543" i="2"/>
  <c r="J5542" i="2"/>
  <c r="J5541" i="2"/>
  <c r="J5540" i="2"/>
  <c r="J5539" i="2"/>
  <c r="J5538" i="2"/>
  <c r="J5537" i="2"/>
  <c r="J5536" i="2"/>
  <c r="J5535" i="2"/>
  <c r="J5534" i="2"/>
  <c r="J5533" i="2"/>
  <c r="J5532" i="2"/>
  <c r="J5531" i="2"/>
  <c r="J5530" i="2"/>
  <c r="J5529" i="2"/>
  <c r="J5528" i="2"/>
  <c r="J5527" i="2"/>
  <c r="J5526" i="2"/>
  <c r="J5525" i="2"/>
  <c r="J5524" i="2"/>
  <c r="J5523" i="2"/>
  <c r="J5522" i="2"/>
  <c r="J5521" i="2"/>
  <c r="J5520" i="2"/>
  <c r="J5519" i="2"/>
  <c r="J5518" i="2"/>
  <c r="J5517" i="2"/>
  <c r="J5516" i="2"/>
  <c r="J5515" i="2"/>
  <c r="J5514" i="2"/>
  <c r="J5513" i="2"/>
  <c r="J5512" i="2"/>
  <c r="J5511" i="2"/>
  <c r="J5510" i="2"/>
  <c r="J5509" i="2"/>
  <c r="J5508" i="2"/>
  <c r="J5507" i="2"/>
  <c r="J5506" i="2"/>
  <c r="J5505" i="2"/>
  <c r="J5504" i="2"/>
  <c r="J5503" i="2"/>
  <c r="J5502" i="2"/>
  <c r="J5501" i="2"/>
  <c r="J5500" i="2"/>
  <c r="J5499" i="2"/>
  <c r="J5498" i="2"/>
  <c r="J5497" i="2"/>
  <c r="J5496" i="2"/>
  <c r="J5495" i="2"/>
  <c r="J5494" i="2"/>
  <c r="J5493" i="2"/>
  <c r="J5492" i="2"/>
  <c r="J5491" i="2"/>
  <c r="J5490" i="2"/>
  <c r="J5489" i="2"/>
  <c r="J5488" i="2"/>
  <c r="J5487" i="2"/>
  <c r="J5486" i="2"/>
  <c r="J5485" i="2"/>
  <c r="J5484" i="2"/>
  <c r="J5483" i="2"/>
  <c r="J5482" i="2"/>
  <c r="J5481" i="2"/>
  <c r="J5480" i="2"/>
  <c r="J5479" i="2"/>
  <c r="J5478" i="2"/>
  <c r="J5477" i="2"/>
  <c r="J5476" i="2"/>
  <c r="J5475" i="2"/>
  <c r="J5474" i="2"/>
  <c r="J5473" i="2"/>
  <c r="J5472" i="2"/>
  <c r="J5471" i="2"/>
  <c r="J5470" i="2"/>
  <c r="J5469" i="2"/>
  <c r="J5468" i="2"/>
  <c r="J5467" i="2"/>
  <c r="J5466" i="2"/>
  <c r="J5465" i="2"/>
  <c r="J5464" i="2"/>
  <c r="J5463" i="2"/>
  <c r="J5462" i="2"/>
  <c r="J5461" i="2"/>
  <c r="J5460" i="2"/>
  <c r="J5459" i="2"/>
  <c r="J5458" i="2"/>
  <c r="J5457" i="2"/>
  <c r="J5456" i="2"/>
  <c r="J5455" i="2"/>
  <c r="J5454" i="2"/>
  <c r="J5453" i="2"/>
  <c r="J5452" i="2"/>
  <c r="J5451" i="2"/>
  <c r="J5450" i="2"/>
  <c r="J5449" i="2"/>
  <c r="J5448" i="2"/>
  <c r="J5447" i="2"/>
  <c r="J5446" i="2"/>
  <c r="J5444" i="2"/>
  <c r="J5443" i="2"/>
  <c r="J5442" i="2"/>
  <c r="J5441" i="2"/>
  <c r="J5440" i="2"/>
  <c r="J5439" i="2"/>
  <c r="J5438" i="2"/>
  <c r="J5437" i="2"/>
  <c r="J5436" i="2"/>
  <c r="J5435" i="2"/>
  <c r="J5434" i="2"/>
  <c r="J5433" i="2"/>
  <c r="J5432" i="2"/>
  <c r="J5431" i="2"/>
  <c r="J5430" i="2"/>
  <c r="J5429" i="2"/>
  <c r="J5428" i="2"/>
  <c r="J5427" i="2"/>
  <c r="J5426" i="2"/>
  <c r="J5425" i="2"/>
  <c r="J5424" i="2"/>
  <c r="J5423" i="2"/>
  <c r="J5422" i="2"/>
  <c r="J5421" i="2"/>
  <c r="J5420" i="2"/>
  <c r="J5419" i="2"/>
  <c r="J5418" i="2"/>
  <c r="J5417" i="2"/>
  <c r="J5416" i="2"/>
  <c r="J5415" i="2"/>
  <c r="J5414" i="2"/>
  <c r="J5413" i="2"/>
  <c r="J5412" i="2"/>
  <c r="J5411" i="2"/>
  <c r="J5410" i="2"/>
  <c r="J5409" i="2"/>
  <c r="J5408" i="2"/>
  <c r="J5407" i="2"/>
  <c r="J5406" i="2"/>
  <c r="J5405" i="2"/>
  <c r="J5404" i="2"/>
  <c r="J5403" i="2"/>
  <c r="J5402" i="2"/>
  <c r="J5401" i="2"/>
  <c r="J5400" i="2"/>
  <c r="J5399" i="2"/>
  <c r="J5398" i="2"/>
  <c r="J5397" i="2"/>
  <c r="J5396" i="2"/>
  <c r="J5395" i="2"/>
  <c r="J5394" i="2"/>
  <c r="J5393" i="2"/>
  <c r="J5392" i="2"/>
  <c r="J5391" i="2"/>
  <c r="J5390" i="2"/>
  <c r="J5389" i="2"/>
  <c r="J5388" i="2"/>
  <c r="J5387" i="2"/>
  <c r="J5386" i="2"/>
  <c r="J5385" i="2"/>
  <c r="J5384" i="2"/>
  <c r="J5383" i="2"/>
  <c r="J5382" i="2"/>
  <c r="J5381" i="2"/>
  <c r="J5380" i="2"/>
  <c r="J5379" i="2"/>
  <c r="J5378" i="2"/>
  <c r="J5377" i="2"/>
  <c r="J5376" i="2"/>
  <c r="J5375" i="2"/>
  <c r="J5374" i="2"/>
  <c r="J5373" i="2"/>
  <c r="J5372" i="2"/>
  <c r="J5371" i="2"/>
  <c r="J5370" i="2"/>
  <c r="J5369" i="2"/>
  <c r="J5368" i="2"/>
  <c r="J5367" i="2"/>
  <c r="J5366" i="2"/>
  <c r="J5365" i="2"/>
  <c r="J5364" i="2"/>
  <c r="J5363" i="2"/>
  <c r="J5362" i="2"/>
  <c r="J5361" i="2"/>
  <c r="J5360" i="2"/>
  <c r="J5359" i="2"/>
  <c r="J5358" i="2"/>
  <c r="J5357" i="2"/>
  <c r="J5356" i="2"/>
  <c r="J5355" i="2"/>
  <c r="J5354" i="2"/>
  <c r="J5353" i="2"/>
  <c r="J5352" i="2"/>
  <c r="J5351" i="2"/>
  <c r="J5350" i="2"/>
  <c r="J5349" i="2"/>
  <c r="J5348" i="2"/>
  <c r="J5347" i="2"/>
  <c r="J5346" i="2"/>
  <c r="J5345" i="2"/>
  <c r="J5344" i="2"/>
  <c r="J5343" i="2"/>
  <c r="J5342" i="2"/>
  <c r="J5341" i="2"/>
  <c r="J5340" i="2"/>
  <c r="J5339" i="2"/>
  <c r="J5338" i="2"/>
  <c r="J5337" i="2"/>
  <c r="J5336" i="2"/>
  <c r="J5335" i="2"/>
  <c r="J5334" i="2"/>
  <c r="J5333" i="2"/>
  <c r="J5332" i="2"/>
  <c r="J5331" i="2"/>
  <c r="J5330" i="2"/>
  <c r="J5329" i="2"/>
  <c r="J5328" i="2"/>
  <c r="J5327" i="2"/>
  <c r="J5326" i="2"/>
  <c r="J5325" i="2"/>
  <c r="J5324" i="2"/>
  <c r="J5323" i="2"/>
  <c r="J5322" i="2"/>
  <c r="J5321" i="2"/>
  <c r="J5320" i="2"/>
  <c r="J5319" i="2"/>
  <c r="J5318" i="2"/>
  <c r="J5317" i="2"/>
  <c r="J5316" i="2"/>
  <c r="J5315" i="2"/>
  <c r="J5314" i="2"/>
  <c r="J5313" i="2"/>
  <c r="J5312" i="2"/>
  <c r="J5311" i="2"/>
  <c r="J5310" i="2"/>
  <c r="J5309" i="2"/>
  <c r="J5308" i="2"/>
  <c r="J5307" i="2"/>
  <c r="J5306" i="2"/>
  <c r="J5305" i="2"/>
  <c r="J5304" i="2"/>
  <c r="J5303" i="2"/>
  <c r="J5302" i="2"/>
  <c r="J5301" i="2"/>
  <c r="J5300" i="2"/>
  <c r="J5299" i="2"/>
  <c r="J5298" i="2"/>
  <c r="J5297" i="2"/>
  <c r="J5296" i="2"/>
  <c r="J5295" i="2"/>
  <c r="J5294" i="2"/>
  <c r="J5293" i="2"/>
  <c r="J5292" i="2"/>
  <c r="J5291" i="2"/>
  <c r="J5290" i="2"/>
  <c r="J5289" i="2"/>
  <c r="J5288" i="2"/>
  <c r="J5287" i="2"/>
  <c r="J5286" i="2"/>
  <c r="J5285" i="2"/>
  <c r="J5284" i="2"/>
  <c r="J5283" i="2"/>
  <c r="J5282" i="2"/>
  <c r="J5281" i="2"/>
  <c r="J5280" i="2"/>
  <c r="J5279" i="2"/>
  <c r="J5278" i="2"/>
  <c r="J5277" i="2"/>
  <c r="J5276" i="2"/>
  <c r="J5275" i="2"/>
  <c r="J5274" i="2"/>
  <c r="J5273" i="2"/>
  <c r="J5272" i="2"/>
  <c r="J5271" i="2"/>
  <c r="J5270" i="2"/>
  <c r="J5269" i="2"/>
  <c r="J5268" i="2"/>
  <c r="J5267" i="2"/>
  <c r="J5266" i="2"/>
  <c r="J5265" i="2"/>
  <c r="J5264" i="2"/>
  <c r="J5263" i="2"/>
  <c r="J5262" i="2"/>
  <c r="J5261" i="2"/>
  <c r="J5260" i="2"/>
  <c r="J5259" i="2"/>
  <c r="J5258" i="2"/>
  <c r="J5257" i="2"/>
  <c r="J5256" i="2"/>
  <c r="J5255" i="2"/>
  <c r="J5254" i="2"/>
  <c r="J5253" i="2"/>
  <c r="J5252" i="2"/>
  <c r="J5251" i="2"/>
  <c r="J5250" i="2"/>
  <c r="J5249" i="2"/>
  <c r="J5248" i="2"/>
  <c r="J5247" i="2"/>
  <c r="J5246" i="2"/>
  <c r="J5245" i="2"/>
  <c r="J5244" i="2"/>
  <c r="J5243" i="2"/>
  <c r="J5242" i="2"/>
  <c r="J5241" i="2"/>
  <c r="J5240" i="2"/>
  <c r="J5239" i="2"/>
  <c r="J5238" i="2"/>
  <c r="J5237" i="2"/>
  <c r="J5236" i="2"/>
  <c r="J5235" i="2"/>
  <c r="J5234" i="2"/>
  <c r="J5233" i="2"/>
  <c r="J5232" i="2"/>
  <c r="J5231" i="2"/>
  <c r="J5230" i="2"/>
  <c r="J5229" i="2"/>
  <c r="J5228" i="2"/>
  <c r="J5227" i="2"/>
  <c r="J5226" i="2"/>
  <c r="J5225" i="2"/>
  <c r="J5224" i="2"/>
  <c r="J5223" i="2"/>
  <c r="J5222" i="2"/>
  <c r="J5221" i="2"/>
  <c r="J5220" i="2"/>
  <c r="J5219" i="2"/>
  <c r="J5218" i="2"/>
  <c r="J5217" i="2"/>
  <c r="J5216" i="2"/>
  <c r="J5215" i="2"/>
  <c r="J5214" i="2"/>
  <c r="J5213" i="2"/>
  <c r="J5212" i="2"/>
  <c r="J5211" i="2"/>
  <c r="J5210" i="2"/>
  <c r="J5209" i="2"/>
  <c r="J5208" i="2"/>
  <c r="J5207" i="2"/>
  <c r="J5206" i="2"/>
  <c r="J5205" i="2"/>
  <c r="J5204" i="2"/>
  <c r="J5203" i="2"/>
  <c r="J5202" i="2"/>
  <c r="J5201" i="2"/>
  <c r="J5200" i="2"/>
  <c r="J5199" i="2"/>
  <c r="J5198" i="2"/>
  <c r="J5197" i="2"/>
  <c r="J5196" i="2"/>
  <c r="J5195" i="2"/>
  <c r="J5194" i="2"/>
  <c r="J5193" i="2"/>
  <c r="J5192" i="2"/>
  <c r="J5191" i="2"/>
  <c r="J5190" i="2"/>
  <c r="J5189" i="2"/>
  <c r="J5188" i="2"/>
  <c r="J5187" i="2"/>
  <c r="J5186" i="2"/>
  <c r="J5185" i="2"/>
  <c r="J5184" i="2"/>
  <c r="J5183" i="2"/>
  <c r="J5182" i="2"/>
  <c r="J5181" i="2"/>
  <c r="J5180" i="2"/>
  <c r="J5179" i="2"/>
  <c r="J5178" i="2"/>
  <c r="J5177" i="2"/>
  <c r="J5176" i="2"/>
  <c r="J5175" i="2"/>
  <c r="J5174" i="2"/>
  <c r="J5173" i="2"/>
  <c r="J5172" i="2"/>
  <c r="J5171" i="2"/>
  <c r="J5170" i="2"/>
  <c r="J5169" i="2"/>
  <c r="J5168" i="2"/>
  <c r="J5167" i="2"/>
  <c r="J5166" i="2"/>
  <c r="J5165" i="2"/>
  <c r="J5164" i="2"/>
  <c r="J5163" i="2"/>
  <c r="J5162" i="2"/>
  <c r="J5161" i="2"/>
  <c r="J5160" i="2"/>
  <c r="J5159" i="2"/>
  <c r="J5158" i="2"/>
  <c r="J5157" i="2"/>
  <c r="J5156" i="2"/>
  <c r="J5155" i="2"/>
  <c r="J5154" i="2"/>
  <c r="J5153" i="2"/>
  <c r="J5152" i="2"/>
  <c r="J5151" i="2"/>
  <c r="J5150" i="2"/>
  <c r="J5149" i="2"/>
  <c r="J5148" i="2"/>
  <c r="J5147" i="2"/>
  <c r="J5146" i="2"/>
  <c r="J5145" i="2"/>
  <c r="J5144" i="2"/>
  <c r="J5143" i="2"/>
  <c r="J5142" i="2"/>
  <c r="J5141" i="2"/>
  <c r="J5140" i="2"/>
  <c r="J5139" i="2"/>
  <c r="J5138" i="2"/>
  <c r="J5137" i="2"/>
  <c r="J5136" i="2"/>
  <c r="J5135" i="2"/>
  <c r="J5134" i="2"/>
  <c r="J5133" i="2"/>
  <c r="J5132" i="2"/>
  <c r="J5131" i="2"/>
  <c r="J5130" i="2"/>
  <c r="J5129" i="2"/>
  <c r="J5128" i="2"/>
  <c r="J5127" i="2"/>
  <c r="J5126" i="2"/>
  <c r="J5125" i="2"/>
  <c r="J5124" i="2"/>
  <c r="J5123" i="2"/>
  <c r="J5122" i="2"/>
  <c r="J5121" i="2"/>
  <c r="J5120" i="2"/>
  <c r="J5119" i="2"/>
  <c r="J5118" i="2"/>
  <c r="J5117" i="2"/>
  <c r="J5116" i="2"/>
  <c r="J5115" i="2"/>
  <c r="J5114" i="2"/>
  <c r="J5113" i="2"/>
  <c r="J5112" i="2"/>
  <c r="J5111" i="2"/>
  <c r="J5110" i="2"/>
  <c r="J5109" i="2"/>
  <c r="J5108" i="2"/>
  <c r="J5107" i="2"/>
  <c r="J5106" i="2"/>
  <c r="J5105" i="2"/>
  <c r="J5104" i="2"/>
  <c r="J5103" i="2"/>
  <c r="J5102" i="2"/>
  <c r="J5101" i="2"/>
  <c r="J5100" i="2"/>
  <c r="J5099" i="2"/>
  <c r="J5098" i="2"/>
  <c r="J5097" i="2"/>
  <c r="J5096" i="2"/>
  <c r="J5095" i="2"/>
  <c r="J5094" i="2"/>
  <c r="J5093" i="2"/>
  <c r="J5092" i="2"/>
  <c r="J5091" i="2"/>
  <c r="J5090" i="2"/>
  <c r="J5089" i="2"/>
  <c r="J5088" i="2"/>
  <c r="J5087" i="2"/>
  <c r="J5086" i="2"/>
  <c r="J5085" i="2"/>
  <c r="J5084" i="2"/>
  <c r="J5083" i="2"/>
  <c r="J5082" i="2"/>
  <c r="J5081" i="2"/>
  <c r="J5080" i="2"/>
  <c r="J5079" i="2"/>
  <c r="J5078" i="2"/>
  <c r="J5077" i="2"/>
  <c r="J5076" i="2"/>
  <c r="J5075" i="2"/>
  <c r="J5074" i="2"/>
  <c r="J5073" i="2"/>
  <c r="J5072" i="2"/>
  <c r="J5071" i="2"/>
  <c r="J5070" i="2"/>
  <c r="J5069" i="2"/>
  <c r="J5068" i="2"/>
  <c r="J5067" i="2"/>
  <c r="J5066" i="2"/>
  <c r="J5065" i="2"/>
  <c r="J5064" i="2"/>
  <c r="J5063" i="2"/>
  <c r="J5062" i="2"/>
  <c r="J5061" i="2"/>
  <c r="J5060" i="2"/>
  <c r="J5059" i="2"/>
  <c r="J5058" i="2"/>
  <c r="J5057" i="2"/>
  <c r="J5056" i="2"/>
  <c r="J5055" i="2"/>
  <c r="J5054" i="2"/>
  <c r="J5053" i="2"/>
  <c r="J5052" i="2"/>
  <c r="J5051" i="2"/>
  <c r="J5050" i="2"/>
  <c r="J5049" i="2"/>
  <c r="J5048" i="2"/>
  <c r="J5047" i="2"/>
  <c r="J5046" i="2"/>
  <c r="J5045" i="2"/>
  <c r="J5044" i="2"/>
  <c r="J5043" i="2"/>
  <c r="J5042" i="2"/>
  <c r="J5041" i="2"/>
  <c r="J5040" i="2"/>
  <c r="J5039" i="2"/>
  <c r="J5038" i="2"/>
  <c r="J5037" i="2"/>
  <c r="J5036" i="2"/>
  <c r="J5035" i="2"/>
  <c r="J5034" i="2"/>
  <c r="J5033" i="2"/>
  <c r="J5032" i="2"/>
  <c r="J5031" i="2"/>
  <c r="J5030" i="2"/>
  <c r="J5029" i="2"/>
  <c r="J5028" i="2"/>
  <c r="J5027" i="2"/>
  <c r="J5026" i="2"/>
  <c r="J5025" i="2"/>
  <c r="J5024" i="2"/>
  <c r="J5023" i="2"/>
  <c r="J5022" i="2"/>
  <c r="J5021" i="2"/>
  <c r="J5020" i="2"/>
  <c r="J5019" i="2"/>
  <c r="J5018" i="2"/>
  <c r="J5017" i="2"/>
  <c r="J5016" i="2"/>
  <c r="J5015" i="2"/>
  <c r="J5014" i="2"/>
  <c r="J5013" i="2"/>
  <c r="J5012" i="2"/>
  <c r="J5011" i="2"/>
  <c r="J5010" i="2"/>
  <c r="J5009" i="2"/>
  <c r="J5008" i="2"/>
  <c r="J5007" i="2"/>
  <c r="J5006" i="2"/>
  <c r="J5005" i="2"/>
  <c r="J5004" i="2"/>
  <c r="J5003" i="2"/>
  <c r="J5002" i="2"/>
  <c r="J5001" i="2"/>
  <c r="J5000" i="2"/>
  <c r="J4999" i="2"/>
  <c r="J4998" i="2"/>
  <c r="J4997" i="2"/>
  <c r="J4996" i="2"/>
  <c r="J4995" i="2"/>
  <c r="J4994" i="2"/>
  <c r="J4993" i="2"/>
  <c r="J4992" i="2"/>
  <c r="J4991" i="2"/>
  <c r="J4990" i="2"/>
  <c r="J4989" i="2"/>
  <c r="J4988" i="2"/>
  <c r="J4987" i="2"/>
  <c r="J4986" i="2"/>
  <c r="J4985" i="2"/>
  <c r="J4984" i="2"/>
  <c r="J4983" i="2"/>
  <c r="J4982" i="2"/>
  <c r="J4981" i="2"/>
  <c r="J4980" i="2"/>
  <c r="J4979" i="2"/>
  <c r="J4978" i="2"/>
  <c r="J4977" i="2"/>
  <c r="J4976" i="2"/>
  <c r="J4975" i="2"/>
  <c r="J4974" i="2"/>
  <c r="J4973" i="2"/>
  <c r="J4972" i="2"/>
  <c r="J4971" i="2"/>
  <c r="J4970" i="2"/>
  <c r="J4969" i="2"/>
  <c r="J4968" i="2"/>
  <c r="J4967" i="2"/>
  <c r="J4966" i="2"/>
  <c r="J4965" i="2"/>
  <c r="J4964" i="2"/>
  <c r="J4963" i="2"/>
  <c r="J4962" i="2"/>
  <c r="J4961" i="2"/>
  <c r="J4960" i="2"/>
  <c r="J4959" i="2"/>
  <c r="J4958" i="2"/>
  <c r="J4957" i="2"/>
  <c r="J4956" i="2"/>
  <c r="J4955" i="2"/>
  <c r="J4954" i="2"/>
  <c r="J4953" i="2"/>
  <c r="J4952" i="2"/>
  <c r="J4951" i="2"/>
  <c r="J4950" i="2"/>
  <c r="J4949" i="2"/>
  <c r="J4948" i="2"/>
  <c r="J4947" i="2"/>
  <c r="J4946" i="2"/>
  <c r="J4945" i="2"/>
  <c r="J4944" i="2"/>
  <c r="J4943" i="2"/>
  <c r="J4942" i="2"/>
  <c r="J4941" i="2"/>
  <c r="J4940" i="2"/>
  <c r="J4939" i="2"/>
  <c r="J4938" i="2"/>
  <c r="J4937" i="2"/>
  <c r="J4936" i="2"/>
  <c r="J4935" i="2"/>
  <c r="J4934" i="2"/>
  <c r="J4933" i="2"/>
  <c r="J4932" i="2"/>
  <c r="J4931" i="2"/>
  <c r="J4930" i="2"/>
  <c r="J4929" i="2"/>
  <c r="J4928" i="2"/>
  <c r="J4927" i="2"/>
  <c r="J4926" i="2"/>
  <c r="J4925" i="2"/>
  <c r="J4924" i="2"/>
  <c r="J4923" i="2"/>
  <c r="J4922" i="2"/>
  <c r="J4921" i="2"/>
  <c r="J4920" i="2"/>
  <c r="J4919" i="2"/>
  <c r="J4918" i="2"/>
  <c r="J4917" i="2"/>
  <c r="J4916" i="2"/>
  <c r="J4915" i="2"/>
  <c r="J4914" i="2"/>
  <c r="J4913" i="2"/>
  <c r="J4912" i="2"/>
  <c r="J4911" i="2"/>
  <c r="J4910" i="2"/>
  <c r="J4909" i="2"/>
  <c r="J4908" i="2"/>
  <c r="J4907" i="2"/>
  <c r="J4906" i="2"/>
  <c r="J4905" i="2"/>
  <c r="J4904" i="2"/>
  <c r="J4903" i="2"/>
  <c r="J4902" i="2"/>
  <c r="J4901" i="2"/>
  <c r="J4900" i="2"/>
  <c r="J4899" i="2"/>
  <c r="J4898" i="2"/>
  <c r="J4897" i="2"/>
  <c r="J4896" i="2"/>
  <c r="J4895" i="2"/>
  <c r="J4894" i="2"/>
  <c r="J4893" i="2"/>
  <c r="J4892" i="2"/>
  <c r="J4891" i="2"/>
  <c r="J4890" i="2"/>
  <c r="J4889" i="2"/>
  <c r="J4888" i="2"/>
  <c r="J4887" i="2"/>
  <c r="J4886" i="2"/>
  <c r="J4885" i="2"/>
  <c r="J4884" i="2"/>
  <c r="J4883" i="2"/>
  <c r="J4882" i="2"/>
  <c r="J4881" i="2"/>
  <c r="J4880" i="2"/>
  <c r="J4879" i="2"/>
  <c r="J4878" i="2"/>
  <c r="J4877" i="2"/>
  <c r="J4876" i="2"/>
  <c r="J4875" i="2"/>
  <c r="J4874" i="2"/>
  <c r="J4873" i="2"/>
  <c r="J4872" i="2"/>
  <c r="J4871" i="2"/>
  <c r="J4870" i="2"/>
  <c r="J4869" i="2"/>
  <c r="J4868" i="2"/>
  <c r="J4867" i="2"/>
  <c r="J4866" i="2"/>
  <c r="J4865" i="2"/>
  <c r="J4864" i="2"/>
  <c r="J4863" i="2"/>
  <c r="J4862" i="2"/>
  <c r="J4861" i="2"/>
  <c r="J4860" i="2"/>
  <c r="J4859" i="2"/>
  <c r="J4858" i="2"/>
  <c r="J4857" i="2"/>
  <c r="J4856" i="2"/>
  <c r="J4855" i="2"/>
  <c r="J4854" i="2"/>
  <c r="J4853" i="2"/>
  <c r="J4852" i="2"/>
  <c r="J4851" i="2"/>
  <c r="J4850" i="2"/>
  <c r="J4849" i="2"/>
  <c r="J4848" i="2"/>
  <c r="J4847" i="2"/>
  <c r="J4846" i="2"/>
  <c r="J4845" i="2"/>
  <c r="J4844" i="2"/>
  <c r="J4843" i="2"/>
  <c r="J4842" i="2"/>
  <c r="J4841" i="2"/>
  <c r="J4840" i="2"/>
  <c r="J4839" i="2"/>
  <c r="J4838" i="2"/>
  <c r="J4837" i="2"/>
  <c r="J4836" i="2"/>
  <c r="J4835" i="2"/>
  <c r="J4834" i="2"/>
  <c r="J4833" i="2"/>
  <c r="J4832" i="2"/>
  <c r="J4831" i="2"/>
  <c r="J4830" i="2"/>
  <c r="J4829" i="2"/>
  <c r="J4828" i="2"/>
  <c r="J4827" i="2"/>
  <c r="J4826" i="2"/>
  <c r="J4825" i="2"/>
  <c r="J4824" i="2"/>
  <c r="J4823" i="2"/>
  <c r="J4822" i="2"/>
  <c r="J4821" i="2"/>
  <c r="J4820" i="2"/>
  <c r="J4819" i="2"/>
  <c r="J4818" i="2"/>
  <c r="J4817" i="2"/>
  <c r="J4816" i="2"/>
  <c r="J4815" i="2"/>
  <c r="J4814" i="2"/>
  <c r="J4813" i="2"/>
  <c r="J4812" i="2"/>
  <c r="J4811" i="2"/>
  <c r="J4810" i="2"/>
  <c r="J4809" i="2"/>
  <c r="J4808" i="2"/>
  <c r="J4807" i="2"/>
  <c r="J4806" i="2"/>
  <c r="J4805" i="2"/>
  <c r="J4804" i="2"/>
  <c r="J4803" i="2"/>
  <c r="J4802" i="2"/>
  <c r="J4801" i="2"/>
  <c r="J4800" i="2"/>
  <c r="J4799" i="2"/>
  <c r="J4798" i="2"/>
  <c r="J4797" i="2"/>
  <c r="J4796" i="2"/>
  <c r="J4795" i="2"/>
  <c r="J4794" i="2"/>
  <c r="J4793" i="2"/>
  <c r="J4792" i="2"/>
  <c r="J4791" i="2"/>
  <c r="J4790" i="2"/>
  <c r="J4789" i="2"/>
  <c r="J4788" i="2"/>
  <c r="J4787" i="2"/>
  <c r="J4786" i="2"/>
  <c r="J4785" i="2"/>
  <c r="J4784" i="2"/>
  <c r="J4783" i="2"/>
  <c r="J4782" i="2"/>
  <c r="J4781" i="2"/>
  <c r="J4780" i="2"/>
  <c r="J4779" i="2"/>
  <c r="J4778" i="2"/>
  <c r="J4777" i="2"/>
  <c r="J4776" i="2"/>
  <c r="J4775" i="2"/>
  <c r="J4774" i="2"/>
  <c r="J4773" i="2"/>
  <c r="J4772" i="2"/>
  <c r="J4771" i="2"/>
  <c r="J4770" i="2"/>
  <c r="J4769" i="2"/>
  <c r="J4768" i="2"/>
  <c r="J4767" i="2"/>
  <c r="J4766" i="2"/>
  <c r="J4765" i="2"/>
  <c r="J4764" i="2"/>
  <c r="J4763" i="2"/>
  <c r="J4762" i="2"/>
  <c r="J4761" i="2"/>
  <c r="J4760" i="2"/>
  <c r="J4759" i="2"/>
  <c r="J4758" i="2"/>
  <c r="J4757" i="2"/>
  <c r="J4756" i="2"/>
  <c r="J4755" i="2"/>
  <c r="J4754" i="2"/>
  <c r="J4753" i="2"/>
  <c r="J4752" i="2"/>
  <c r="J4751" i="2"/>
  <c r="J4750" i="2"/>
  <c r="J4749" i="2"/>
  <c r="J4748" i="2"/>
  <c r="J4747" i="2"/>
  <c r="J4746" i="2"/>
  <c r="J4745" i="2"/>
  <c r="J4744" i="2"/>
  <c r="J4743" i="2"/>
  <c r="J4742" i="2"/>
  <c r="J4741" i="2"/>
  <c r="J4740" i="2"/>
  <c r="J4739" i="2"/>
  <c r="J4738" i="2"/>
  <c r="J4737" i="2"/>
  <c r="J4736" i="2"/>
  <c r="J4735" i="2"/>
  <c r="J4734" i="2"/>
  <c r="J4733" i="2"/>
  <c r="J4732" i="2"/>
  <c r="J4731" i="2"/>
  <c r="J4730" i="2"/>
  <c r="J4729" i="2"/>
  <c r="J4728" i="2"/>
  <c r="J4727" i="2"/>
  <c r="J4726" i="2"/>
  <c r="J4725" i="2"/>
  <c r="J4724" i="2"/>
  <c r="J4723" i="2"/>
  <c r="J4722" i="2"/>
  <c r="J4721" i="2"/>
  <c r="J4720" i="2"/>
  <c r="J4719" i="2"/>
  <c r="J4718" i="2"/>
  <c r="J4717" i="2"/>
  <c r="J4716" i="2"/>
  <c r="J4715" i="2"/>
  <c r="J4714" i="2"/>
  <c r="J4713" i="2"/>
  <c r="J4712" i="2"/>
  <c r="J4711" i="2"/>
  <c r="J4710" i="2"/>
  <c r="J4709" i="2"/>
  <c r="J4708" i="2"/>
  <c r="J4707" i="2"/>
  <c r="J4706" i="2"/>
  <c r="J4705" i="2"/>
  <c r="J4704" i="2"/>
  <c r="J4703" i="2"/>
  <c r="J4702" i="2"/>
  <c r="J4701" i="2"/>
  <c r="J4700" i="2"/>
  <c r="J4699" i="2"/>
  <c r="J4698" i="2"/>
  <c r="J4697" i="2"/>
  <c r="J4696" i="2"/>
  <c r="J4695" i="2"/>
  <c r="J4694" i="2"/>
  <c r="J4693" i="2"/>
  <c r="J4692" i="2"/>
  <c r="J4691" i="2"/>
  <c r="J4690" i="2"/>
  <c r="J4689" i="2"/>
  <c r="J4688" i="2"/>
  <c r="J4687" i="2"/>
  <c r="J4686" i="2"/>
  <c r="J4685" i="2"/>
  <c r="J4684" i="2"/>
  <c r="J4683" i="2"/>
  <c r="J4682" i="2"/>
  <c r="J4681" i="2"/>
  <c r="J4680" i="2"/>
  <c r="J4679" i="2"/>
  <c r="J4678" i="2"/>
  <c r="J4677" i="2"/>
  <c r="J4676" i="2"/>
  <c r="J4675" i="2"/>
  <c r="J4674" i="2"/>
  <c r="J4673" i="2"/>
  <c r="J4672" i="2"/>
  <c r="J4671" i="2"/>
  <c r="J4670" i="2"/>
  <c r="J4669" i="2"/>
  <c r="J4668" i="2"/>
  <c r="J4667" i="2"/>
  <c r="J4666" i="2"/>
  <c r="J4665" i="2"/>
  <c r="J4664" i="2"/>
  <c r="J4663" i="2"/>
  <c r="J4662" i="2"/>
  <c r="J4661" i="2"/>
  <c r="J4660" i="2"/>
  <c r="J4659" i="2"/>
  <c r="J4658" i="2"/>
  <c r="J4657" i="2"/>
  <c r="J4656" i="2"/>
  <c r="J4655" i="2"/>
  <c r="J4654" i="2"/>
  <c r="J4653" i="2"/>
  <c r="J4652" i="2"/>
  <c r="J4651" i="2"/>
  <c r="J4650" i="2"/>
  <c r="J4649" i="2"/>
  <c r="J4648" i="2"/>
  <c r="J4647" i="2"/>
  <c r="J4646" i="2"/>
  <c r="J4645" i="2"/>
  <c r="J4644" i="2"/>
  <c r="J4643" i="2"/>
  <c r="J4642" i="2"/>
  <c r="J4641" i="2"/>
  <c r="J4640" i="2"/>
  <c r="J4639" i="2"/>
  <c r="J4638" i="2"/>
  <c r="J4637" i="2"/>
  <c r="J4636" i="2"/>
  <c r="J4635" i="2"/>
  <c r="J4634" i="2"/>
  <c r="J4633" i="2"/>
  <c r="J4632" i="2"/>
  <c r="J4631" i="2"/>
  <c r="J4630" i="2"/>
  <c r="J4629" i="2"/>
  <c r="J4628" i="2"/>
  <c r="J4627" i="2"/>
  <c r="J4626" i="2"/>
  <c r="J4625" i="2"/>
  <c r="J4624" i="2"/>
  <c r="J4623" i="2"/>
  <c r="J4622" i="2"/>
  <c r="J4621" i="2"/>
  <c r="J4620" i="2"/>
  <c r="J4619" i="2"/>
  <c r="J4618" i="2"/>
  <c r="J4617" i="2"/>
  <c r="J4616" i="2"/>
  <c r="J4615" i="2"/>
  <c r="J4614" i="2"/>
  <c r="J4613" i="2"/>
  <c r="J4612" i="2"/>
  <c r="J4611" i="2"/>
  <c r="J4610" i="2"/>
  <c r="J4609" i="2"/>
  <c r="J4608" i="2"/>
  <c r="J4607" i="2"/>
  <c r="J4606" i="2"/>
  <c r="J4605" i="2"/>
  <c r="J4604" i="2"/>
  <c r="J4603" i="2"/>
  <c r="J4602" i="2"/>
  <c r="J4601" i="2"/>
  <c r="J4600" i="2"/>
  <c r="J4599" i="2"/>
  <c r="J4598" i="2"/>
  <c r="J4597" i="2"/>
  <c r="J4596" i="2"/>
  <c r="J4595" i="2"/>
  <c r="J4594" i="2"/>
  <c r="J4593" i="2"/>
  <c r="J4592" i="2"/>
  <c r="J4591" i="2"/>
  <c r="J4590" i="2"/>
  <c r="J4589" i="2"/>
  <c r="J4588" i="2"/>
  <c r="J4587" i="2"/>
  <c r="J4586" i="2"/>
  <c r="J4585" i="2"/>
  <c r="J4584" i="2"/>
  <c r="J4583" i="2"/>
  <c r="J4582" i="2"/>
  <c r="J4581" i="2"/>
  <c r="J4580" i="2"/>
  <c r="J4579" i="2"/>
  <c r="J4578" i="2"/>
  <c r="J4577" i="2"/>
  <c r="J4576" i="2"/>
  <c r="J4575" i="2"/>
  <c r="J4574" i="2"/>
  <c r="J4573" i="2"/>
  <c r="J4572" i="2"/>
  <c r="J4571" i="2"/>
  <c r="J4570" i="2"/>
  <c r="J4569" i="2"/>
  <c r="J4568" i="2"/>
  <c r="J4567" i="2"/>
  <c r="J4566" i="2"/>
  <c r="J4565" i="2"/>
  <c r="J4564" i="2"/>
  <c r="J4563" i="2"/>
  <c r="J4562" i="2"/>
  <c r="J4561" i="2"/>
  <c r="J4560" i="2"/>
  <c r="J4559" i="2"/>
  <c r="J4558" i="2"/>
  <c r="J4557" i="2"/>
  <c r="J4556" i="2"/>
  <c r="J4555" i="2"/>
  <c r="J4554" i="2"/>
  <c r="J4553" i="2"/>
  <c r="J4552" i="2"/>
  <c r="J4551" i="2"/>
  <c r="J4550" i="2"/>
  <c r="J4549" i="2"/>
  <c r="J4548" i="2"/>
  <c r="J4547" i="2"/>
  <c r="J4546" i="2"/>
  <c r="J4545" i="2"/>
  <c r="J4544" i="2"/>
  <c r="J4543" i="2"/>
  <c r="J4542" i="2"/>
  <c r="J4541" i="2"/>
  <c r="J4540" i="2"/>
  <c r="J4539" i="2"/>
  <c r="J4538" i="2"/>
  <c r="J4537" i="2"/>
  <c r="J4536" i="2"/>
  <c r="J4535" i="2"/>
  <c r="J4534" i="2"/>
  <c r="J4533" i="2"/>
  <c r="J4532" i="2"/>
  <c r="J4531" i="2"/>
  <c r="J4530" i="2"/>
  <c r="J4529" i="2"/>
  <c r="J4528" i="2"/>
  <c r="J4527" i="2"/>
  <c r="J4526" i="2"/>
  <c r="J4525" i="2"/>
  <c r="J4524" i="2"/>
  <c r="J4523" i="2"/>
  <c r="J4522" i="2"/>
  <c r="J4521" i="2"/>
  <c r="J4520" i="2"/>
  <c r="J4519" i="2"/>
  <c r="J4518" i="2"/>
  <c r="J4517" i="2"/>
  <c r="J4516" i="2"/>
  <c r="J4515" i="2"/>
  <c r="J4514" i="2"/>
  <c r="J4513" i="2"/>
  <c r="J4512" i="2"/>
  <c r="J4511" i="2"/>
  <c r="J4510" i="2"/>
  <c r="J4509" i="2"/>
  <c r="J4508" i="2"/>
  <c r="J4507" i="2"/>
  <c r="J4506" i="2"/>
  <c r="J4505" i="2"/>
  <c r="J4504" i="2"/>
  <c r="J4503" i="2"/>
  <c r="J4502" i="2"/>
  <c r="J4501" i="2"/>
  <c r="J4500" i="2"/>
  <c r="J4499" i="2"/>
  <c r="J4498" i="2"/>
  <c r="J4497" i="2"/>
  <c r="J4496" i="2"/>
  <c r="J4495" i="2"/>
  <c r="J4494" i="2"/>
  <c r="J4493" i="2"/>
  <c r="J4492" i="2"/>
  <c r="J4491" i="2"/>
  <c r="J4490" i="2"/>
  <c r="J4489" i="2"/>
  <c r="J4488" i="2"/>
  <c r="J4487" i="2"/>
  <c r="J4486" i="2"/>
  <c r="J4485" i="2"/>
  <c r="J4484" i="2"/>
  <c r="J4483" i="2"/>
  <c r="J4482" i="2"/>
  <c r="J4481" i="2"/>
  <c r="J4480" i="2"/>
  <c r="J4479" i="2"/>
  <c r="J4478" i="2"/>
  <c r="J4477" i="2"/>
  <c r="J4476" i="2"/>
  <c r="J4475" i="2"/>
  <c r="J4474" i="2"/>
  <c r="J4473" i="2"/>
  <c r="J4472" i="2"/>
  <c r="J4471" i="2"/>
  <c r="J4470" i="2"/>
  <c r="J4469" i="2"/>
  <c r="J4468" i="2"/>
  <c r="J4467" i="2"/>
  <c r="J4466" i="2"/>
  <c r="J4465" i="2"/>
  <c r="J4464" i="2"/>
  <c r="J4463" i="2"/>
  <c r="J4462" i="2"/>
  <c r="J4461" i="2"/>
  <c r="J4460" i="2"/>
  <c r="J4459" i="2"/>
  <c r="J4458" i="2"/>
  <c r="J4457" i="2"/>
  <c r="J4456" i="2"/>
  <c r="J4455" i="2"/>
  <c r="J4454" i="2"/>
  <c r="J4453" i="2"/>
  <c r="J4452" i="2"/>
  <c r="J4451" i="2"/>
  <c r="J4450" i="2"/>
  <c r="J4449" i="2"/>
  <c r="J4448" i="2"/>
  <c r="J4447" i="2"/>
  <c r="J4446" i="2"/>
  <c r="J4445" i="2"/>
  <c r="J4444" i="2"/>
  <c r="J4443" i="2"/>
  <c r="J4442" i="2"/>
  <c r="J4441" i="2"/>
  <c r="J4440" i="2"/>
  <c r="J4439" i="2"/>
  <c r="J4438" i="2"/>
  <c r="J4437" i="2"/>
  <c r="J4436" i="2"/>
  <c r="J4435" i="2"/>
  <c r="J4434" i="2"/>
  <c r="J4433" i="2"/>
  <c r="J4432" i="2"/>
  <c r="J4431" i="2"/>
  <c r="J4430" i="2"/>
  <c r="J4429" i="2"/>
  <c r="J4428" i="2"/>
  <c r="J4427" i="2"/>
  <c r="J4426" i="2"/>
  <c r="J4425" i="2"/>
  <c r="J4424" i="2"/>
  <c r="J4423" i="2"/>
  <c r="J4422" i="2"/>
  <c r="J4421" i="2"/>
  <c r="J4420" i="2"/>
  <c r="J4419" i="2"/>
  <c r="J4418" i="2"/>
  <c r="J4417" i="2"/>
  <c r="J4416" i="2"/>
  <c r="J4415" i="2"/>
  <c r="J4414" i="2"/>
  <c r="J4413" i="2"/>
  <c r="J4412" i="2"/>
  <c r="J4411" i="2"/>
  <c r="J4410" i="2"/>
  <c r="J4409" i="2"/>
  <c r="J4408" i="2"/>
  <c r="J4407" i="2"/>
  <c r="J4406" i="2"/>
  <c r="J4405" i="2"/>
  <c r="J4404" i="2"/>
  <c r="J4403" i="2"/>
  <c r="J4402" i="2"/>
  <c r="J4401" i="2"/>
  <c r="J4400" i="2"/>
  <c r="J4399" i="2"/>
  <c r="J4398" i="2"/>
  <c r="J4397" i="2"/>
  <c r="J4396" i="2"/>
  <c r="J4395" i="2"/>
  <c r="J4394" i="2"/>
  <c r="J4393" i="2"/>
  <c r="J4392" i="2"/>
  <c r="J4391" i="2"/>
  <c r="J4390" i="2"/>
  <c r="J4389" i="2"/>
  <c r="J4388" i="2"/>
  <c r="J4387" i="2"/>
  <c r="J4386" i="2"/>
  <c r="J4385" i="2"/>
  <c r="J4384" i="2"/>
  <c r="J4383" i="2"/>
  <c r="J4382" i="2"/>
  <c r="J4381" i="2"/>
  <c r="J4380" i="2"/>
  <c r="J4379" i="2"/>
  <c r="J4378" i="2"/>
  <c r="J4377" i="2"/>
  <c r="J4376" i="2"/>
  <c r="J4375" i="2"/>
  <c r="J4374" i="2"/>
  <c r="J4373" i="2"/>
  <c r="J4372" i="2"/>
  <c r="J4371" i="2"/>
  <c r="J4370" i="2"/>
  <c r="J4369" i="2"/>
  <c r="J4368" i="2"/>
  <c r="J4367" i="2"/>
  <c r="J4366" i="2"/>
  <c r="J4365" i="2"/>
  <c r="J4364" i="2"/>
  <c r="J4363" i="2"/>
  <c r="J4362" i="2"/>
  <c r="J4361" i="2"/>
  <c r="J4360" i="2"/>
  <c r="J4359" i="2"/>
  <c r="J4358" i="2"/>
  <c r="J4357" i="2"/>
  <c r="J4356" i="2"/>
  <c r="J4355" i="2"/>
  <c r="J4354" i="2"/>
  <c r="J4353" i="2"/>
  <c r="J4352" i="2"/>
  <c r="J4351" i="2"/>
  <c r="J4350" i="2"/>
  <c r="J4349" i="2"/>
  <c r="J4348" i="2"/>
  <c r="J4347" i="2"/>
  <c r="J4346" i="2"/>
  <c r="J4345" i="2"/>
  <c r="J4344" i="2"/>
  <c r="J4343" i="2"/>
  <c r="J4342" i="2"/>
  <c r="J4341" i="2"/>
  <c r="J4340" i="2"/>
  <c r="J4339" i="2"/>
  <c r="J4338" i="2"/>
  <c r="J4337" i="2"/>
  <c r="J4336" i="2"/>
  <c r="J4335" i="2"/>
  <c r="J4334" i="2"/>
  <c r="J4333" i="2"/>
  <c r="J4332" i="2"/>
  <c r="J4331" i="2"/>
  <c r="J4330" i="2"/>
  <c r="J4329" i="2"/>
  <c r="J4328" i="2"/>
  <c r="J4327" i="2"/>
  <c r="J4326" i="2"/>
  <c r="J4325" i="2"/>
  <c r="J4324" i="2"/>
  <c r="J4323" i="2"/>
  <c r="J4322" i="2"/>
  <c r="J4321" i="2"/>
  <c r="J4320" i="2"/>
  <c r="J4319" i="2"/>
  <c r="J4318" i="2"/>
  <c r="J4317" i="2"/>
  <c r="J4316" i="2"/>
  <c r="J4315" i="2"/>
  <c r="J4314" i="2"/>
  <c r="J4313" i="2"/>
  <c r="J4312" i="2"/>
  <c r="J4311" i="2"/>
  <c r="J4310" i="2"/>
  <c r="J4309" i="2"/>
  <c r="J4308" i="2"/>
  <c r="J4307" i="2"/>
  <c r="J4306" i="2"/>
  <c r="J4305" i="2"/>
  <c r="J4304" i="2"/>
  <c r="J4303" i="2"/>
  <c r="J4302" i="2"/>
  <c r="J4301" i="2"/>
  <c r="J4300" i="2"/>
  <c r="J4299" i="2"/>
  <c r="J4298" i="2"/>
  <c r="J4297" i="2"/>
  <c r="J4296" i="2"/>
  <c r="J4295" i="2"/>
  <c r="J4294" i="2"/>
  <c r="J4293" i="2"/>
  <c r="J4292" i="2"/>
  <c r="J4291" i="2"/>
  <c r="J4290" i="2"/>
  <c r="J4289" i="2"/>
  <c r="J4288" i="2"/>
  <c r="J4287" i="2"/>
  <c r="J4286" i="2"/>
  <c r="J4285" i="2"/>
  <c r="J4284" i="2"/>
  <c r="J4283" i="2"/>
  <c r="J4282" i="2"/>
  <c r="J4281" i="2"/>
  <c r="J4280" i="2"/>
  <c r="J4279" i="2"/>
  <c r="J4278" i="2"/>
  <c r="J4277" i="2"/>
  <c r="J4276" i="2"/>
  <c r="J4275" i="2"/>
  <c r="J4274" i="2"/>
  <c r="J4273" i="2"/>
  <c r="J4272" i="2"/>
  <c r="J4271" i="2"/>
  <c r="J4270" i="2"/>
  <c r="J4269" i="2"/>
  <c r="J4268" i="2"/>
  <c r="J4267" i="2"/>
  <c r="J4266" i="2"/>
  <c r="J4265" i="2"/>
  <c r="J4264" i="2"/>
  <c r="J4263" i="2"/>
  <c r="J4262" i="2"/>
  <c r="J4261" i="2"/>
  <c r="J4260" i="2"/>
  <c r="J4259" i="2"/>
  <c r="J4258" i="2"/>
  <c r="J4257" i="2"/>
  <c r="J4256" i="2"/>
  <c r="J4255" i="2"/>
  <c r="J4254" i="2"/>
  <c r="J4253" i="2"/>
  <c r="J4252" i="2"/>
  <c r="J4251" i="2"/>
  <c r="J4250" i="2"/>
  <c r="J4249" i="2"/>
  <c r="J4248" i="2"/>
  <c r="J4247" i="2"/>
  <c r="J4246" i="2"/>
  <c r="J4245" i="2"/>
  <c r="J4244" i="2"/>
  <c r="J4243" i="2"/>
  <c r="J4242" i="2"/>
  <c r="J4241" i="2"/>
  <c r="J4240" i="2"/>
  <c r="J4239" i="2"/>
  <c r="J4238" i="2"/>
  <c r="J4237" i="2"/>
  <c r="J4236" i="2"/>
  <c r="J4235" i="2"/>
  <c r="J4234" i="2"/>
  <c r="J4233" i="2"/>
  <c r="J4232" i="2"/>
  <c r="J4231" i="2"/>
  <c r="J4230" i="2"/>
  <c r="J4229" i="2"/>
  <c r="J4228" i="2"/>
  <c r="J4227" i="2"/>
  <c r="J4226" i="2"/>
  <c r="J4225" i="2"/>
  <c r="J4224" i="2"/>
  <c r="J4223" i="2"/>
  <c r="J4222" i="2"/>
  <c r="J4221" i="2"/>
  <c r="J4220" i="2"/>
  <c r="J4219" i="2"/>
  <c r="J4218" i="2"/>
  <c r="J4217" i="2"/>
  <c r="J4216" i="2"/>
  <c r="J4215" i="2"/>
  <c r="J4214" i="2"/>
  <c r="J4213" i="2"/>
  <c r="J4212" i="2"/>
  <c r="J4211" i="2"/>
  <c r="J4210" i="2"/>
  <c r="J4209" i="2"/>
  <c r="J4208" i="2"/>
  <c r="J4207" i="2"/>
  <c r="J4206" i="2"/>
  <c r="J4205" i="2"/>
  <c r="J4204" i="2"/>
  <c r="J4203" i="2"/>
  <c r="J4202" i="2"/>
  <c r="J4201" i="2"/>
  <c r="J4200" i="2"/>
  <c r="J4199" i="2"/>
  <c r="J4198" i="2"/>
  <c r="J4197" i="2"/>
  <c r="J4196" i="2"/>
  <c r="J4195" i="2"/>
  <c r="J4194" i="2"/>
  <c r="J4193" i="2"/>
  <c r="J4192" i="2"/>
  <c r="J4191" i="2"/>
  <c r="J4190" i="2"/>
  <c r="J4189" i="2"/>
  <c r="J4188" i="2"/>
  <c r="J4187" i="2"/>
  <c r="J4186" i="2"/>
  <c r="J4185" i="2"/>
  <c r="J4184" i="2"/>
  <c r="J4183" i="2"/>
  <c r="J4182" i="2"/>
  <c r="J4181" i="2"/>
  <c r="J4180" i="2"/>
  <c r="J4179" i="2"/>
  <c r="J4178" i="2"/>
  <c r="J4177" i="2"/>
  <c r="J4176" i="2"/>
  <c r="J4175" i="2"/>
  <c r="J4174" i="2"/>
  <c r="J4173" i="2"/>
  <c r="J4172" i="2"/>
  <c r="J4171" i="2"/>
  <c r="J4170" i="2"/>
  <c r="J4169" i="2"/>
  <c r="J4168" i="2"/>
  <c r="J4167" i="2"/>
  <c r="J4166" i="2"/>
  <c r="J4165" i="2"/>
  <c r="J4164" i="2"/>
  <c r="J4163" i="2"/>
  <c r="J4162" i="2"/>
  <c r="J4161" i="2"/>
  <c r="J4160" i="2"/>
  <c r="J4159" i="2"/>
  <c r="J4158" i="2"/>
  <c r="J4157" i="2"/>
  <c r="J4156" i="2"/>
  <c r="J4155" i="2"/>
  <c r="J4154" i="2"/>
  <c r="J4153" i="2"/>
  <c r="J4152" i="2"/>
  <c r="J4151" i="2"/>
  <c r="J4150" i="2"/>
  <c r="J4149" i="2"/>
  <c r="J4148" i="2"/>
  <c r="J4147" i="2"/>
  <c r="J4146" i="2"/>
  <c r="J4145" i="2"/>
  <c r="J4144" i="2"/>
  <c r="J4143" i="2"/>
  <c r="J4142" i="2"/>
  <c r="J4141" i="2"/>
  <c r="J4140" i="2"/>
  <c r="J4139" i="2"/>
  <c r="J4138" i="2"/>
  <c r="J4137" i="2"/>
  <c r="J4136" i="2"/>
  <c r="J4135" i="2"/>
  <c r="J4134" i="2"/>
  <c r="J4133" i="2"/>
  <c r="J4132" i="2"/>
  <c r="J4131" i="2"/>
  <c r="J4130" i="2"/>
  <c r="J4129" i="2"/>
  <c r="J4128" i="2"/>
  <c r="J4127" i="2"/>
  <c r="J4126" i="2"/>
  <c r="J4125" i="2"/>
  <c r="J4124" i="2"/>
  <c r="J4123" i="2"/>
  <c r="J4122" i="2"/>
  <c r="J4121" i="2"/>
  <c r="J4120" i="2"/>
  <c r="J4119" i="2"/>
  <c r="J4118" i="2"/>
  <c r="J4117" i="2"/>
  <c r="J4116" i="2"/>
  <c r="J4115" i="2"/>
  <c r="J4114" i="2"/>
  <c r="J4113" i="2"/>
  <c r="J4112" i="2"/>
  <c r="J4111" i="2"/>
  <c r="J4110" i="2"/>
  <c r="J4109" i="2"/>
  <c r="J4108" i="2"/>
  <c r="J4107" i="2"/>
  <c r="J4106" i="2"/>
  <c r="J4105" i="2"/>
  <c r="J4104" i="2"/>
  <c r="J4103" i="2"/>
  <c r="J4102" i="2"/>
  <c r="J4101" i="2"/>
  <c r="J4100" i="2"/>
  <c r="J4099" i="2"/>
  <c r="J4098" i="2"/>
  <c r="J4097" i="2"/>
  <c r="J4096" i="2"/>
  <c r="J4095" i="2"/>
  <c r="J4094" i="2"/>
  <c r="J4093" i="2"/>
  <c r="J4092" i="2"/>
  <c r="J4091" i="2"/>
  <c r="J4090" i="2"/>
  <c r="J4089" i="2"/>
  <c r="J4088" i="2"/>
  <c r="J4087" i="2"/>
  <c r="J4086" i="2"/>
  <c r="J4085" i="2"/>
  <c r="J4084" i="2"/>
  <c r="J4083" i="2"/>
  <c r="J4082" i="2"/>
  <c r="J4081" i="2"/>
  <c r="J4080" i="2"/>
  <c r="J4079" i="2"/>
  <c r="J4078" i="2"/>
  <c r="J4077" i="2"/>
  <c r="J4076" i="2"/>
  <c r="J4075" i="2"/>
  <c r="J4074" i="2"/>
  <c r="J4073" i="2"/>
  <c r="J4072" i="2"/>
  <c r="J4071" i="2"/>
  <c r="J4070" i="2"/>
  <c r="J4069" i="2"/>
  <c r="J4068" i="2"/>
  <c r="J4067" i="2"/>
  <c r="J4066" i="2"/>
  <c r="J4065" i="2"/>
  <c r="J4064" i="2"/>
  <c r="J4063" i="2"/>
  <c r="J4062" i="2"/>
  <c r="J4061" i="2"/>
  <c r="J4060" i="2"/>
  <c r="J4059" i="2"/>
  <c r="J4058" i="2"/>
  <c r="J4057" i="2"/>
  <c r="J4056" i="2"/>
  <c r="J4055" i="2"/>
  <c r="J4054" i="2"/>
  <c r="J4053" i="2"/>
  <c r="J4052" i="2"/>
  <c r="J4051" i="2"/>
  <c r="J4050" i="2"/>
  <c r="J4049" i="2"/>
  <c r="J4048" i="2"/>
  <c r="J4047" i="2"/>
  <c r="J4046" i="2"/>
  <c r="J4045" i="2"/>
  <c r="J4044" i="2"/>
  <c r="J4043" i="2"/>
  <c r="J4042" i="2"/>
  <c r="J4041" i="2"/>
  <c r="J4040" i="2"/>
  <c r="J4039" i="2"/>
  <c r="J4038" i="2"/>
  <c r="J4037" i="2"/>
  <c r="J4036" i="2"/>
  <c r="J4035" i="2"/>
  <c r="J4034" i="2"/>
  <c r="J4033" i="2"/>
  <c r="J4032" i="2"/>
  <c r="J4031" i="2"/>
  <c r="J4030" i="2"/>
  <c r="J4029" i="2"/>
  <c r="J4028" i="2"/>
  <c r="J4027" i="2"/>
  <c r="J4026" i="2"/>
  <c r="J4025" i="2"/>
  <c r="J4024" i="2"/>
  <c r="J4023" i="2"/>
  <c r="J4022" i="2"/>
  <c r="J4021" i="2"/>
  <c r="J4020" i="2"/>
  <c r="J4019" i="2"/>
  <c r="J4018" i="2"/>
  <c r="J4017" i="2"/>
  <c r="J4016" i="2"/>
  <c r="J4015" i="2"/>
  <c r="J4014" i="2"/>
  <c r="J4013" i="2"/>
  <c r="J4012" i="2"/>
  <c r="J4011" i="2"/>
  <c r="J4010" i="2"/>
  <c r="J4009" i="2"/>
  <c r="J4008" i="2"/>
  <c r="J4007" i="2"/>
  <c r="J4006" i="2"/>
  <c r="J4005" i="2"/>
  <c r="J4004" i="2"/>
  <c r="J4003" i="2"/>
  <c r="J4002" i="2"/>
  <c r="J4001" i="2"/>
  <c r="J4000" i="2"/>
  <c r="J3999" i="2"/>
  <c r="J3998" i="2"/>
  <c r="J3997" i="2"/>
  <c r="J3996" i="2"/>
  <c r="J3995" i="2"/>
  <c r="J3994" i="2"/>
  <c r="J3993" i="2"/>
  <c r="J3992" i="2"/>
  <c r="J3991" i="2"/>
  <c r="J3990" i="2"/>
  <c r="J3989" i="2"/>
  <c r="J3988" i="2"/>
  <c r="J3987" i="2"/>
  <c r="J3986" i="2"/>
  <c r="J3985" i="2"/>
  <c r="J3984" i="2"/>
  <c r="J3983" i="2"/>
  <c r="J3982" i="2"/>
  <c r="J3981" i="2"/>
  <c r="J3980" i="2"/>
  <c r="J3979" i="2"/>
  <c r="J3978" i="2"/>
  <c r="J3977" i="2"/>
  <c r="J3976" i="2"/>
  <c r="J3975" i="2"/>
  <c r="J3974" i="2"/>
  <c r="J3973" i="2"/>
  <c r="J3972" i="2"/>
  <c r="J3971" i="2"/>
  <c r="J3970" i="2"/>
  <c r="J3969" i="2"/>
  <c r="J3968" i="2"/>
  <c r="J3967" i="2"/>
  <c r="J3966" i="2"/>
  <c r="J3965" i="2"/>
  <c r="J3964" i="2"/>
  <c r="J3963" i="2"/>
  <c r="J3962" i="2"/>
  <c r="J3961" i="2"/>
  <c r="J3960" i="2"/>
  <c r="J3959" i="2"/>
  <c r="J3958" i="2"/>
  <c r="J3957" i="2"/>
  <c r="J3956" i="2"/>
  <c r="J3955" i="2"/>
  <c r="J3954" i="2"/>
  <c r="J3953" i="2"/>
  <c r="J3952" i="2"/>
  <c r="J3951" i="2"/>
  <c r="J3950" i="2"/>
  <c r="J3949" i="2"/>
  <c r="J3948" i="2"/>
  <c r="J3947" i="2"/>
  <c r="J3946" i="2"/>
  <c r="J3945" i="2"/>
  <c r="J3944" i="2"/>
  <c r="J3943" i="2"/>
  <c r="J3942" i="2"/>
  <c r="J3941" i="2"/>
  <c r="J3940" i="2"/>
  <c r="J3939" i="2"/>
  <c r="J3938" i="2"/>
  <c r="J3937" i="2"/>
  <c r="J3936" i="2"/>
  <c r="J3935" i="2"/>
  <c r="J3934" i="2"/>
  <c r="J3933" i="2"/>
  <c r="J3932" i="2"/>
  <c r="J3931" i="2"/>
  <c r="J3930" i="2"/>
  <c r="J3929" i="2"/>
  <c r="J3928" i="2"/>
  <c r="J3927" i="2"/>
  <c r="J3926" i="2"/>
  <c r="J3925" i="2"/>
  <c r="J3924" i="2"/>
  <c r="J3923" i="2"/>
  <c r="J3922" i="2"/>
  <c r="J3921" i="2"/>
  <c r="J3920" i="2"/>
  <c r="J3919" i="2"/>
  <c r="J3918" i="2"/>
  <c r="J3917" i="2"/>
  <c r="J3916" i="2"/>
  <c r="J3915" i="2"/>
  <c r="J3914" i="2"/>
  <c r="J3913" i="2"/>
  <c r="J3912" i="2"/>
  <c r="J3911" i="2"/>
  <c r="J3910" i="2"/>
  <c r="J3909" i="2"/>
  <c r="J3908" i="2"/>
  <c r="J3907" i="2"/>
  <c r="J3906" i="2"/>
  <c r="J3905" i="2"/>
  <c r="J3904" i="2"/>
  <c r="J3903" i="2"/>
  <c r="J3902" i="2"/>
  <c r="J3901" i="2"/>
  <c r="J3900" i="2"/>
  <c r="J3899" i="2"/>
  <c r="J3898" i="2"/>
  <c r="J3897" i="2"/>
  <c r="J3896" i="2"/>
  <c r="J3895" i="2"/>
  <c r="J3894" i="2"/>
  <c r="J3893" i="2"/>
  <c r="J3892" i="2"/>
  <c r="J3891" i="2"/>
  <c r="J3890" i="2"/>
  <c r="J3889" i="2"/>
  <c r="J3888" i="2"/>
  <c r="J3887" i="2"/>
  <c r="J3886" i="2"/>
  <c r="J3885" i="2"/>
  <c r="J3884" i="2"/>
  <c r="J3883" i="2"/>
  <c r="J3882" i="2"/>
  <c r="J3881" i="2"/>
  <c r="J3880" i="2"/>
  <c r="J3879" i="2"/>
  <c r="J3878" i="2"/>
  <c r="J3877" i="2"/>
  <c r="J3876" i="2"/>
  <c r="J3875" i="2"/>
  <c r="J3874" i="2"/>
  <c r="J3873" i="2"/>
  <c r="J3872" i="2"/>
  <c r="J3871" i="2"/>
  <c r="J3870" i="2"/>
  <c r="J3869" i="2"/>
  <c r="J3868" i="2"/>
  <c r="J3867" i="2"/>
  <c r="J3866" i="2"/>
  <c r="J3865" i="2"/>
  <c r="J3864" i="2"/>
  <c r="J3863" i="2"/>
  <c r="J3862" i="2"/>
  <c r="J3861" i="2"/>
  <c r="J3860" i="2"/>
  <c r="J3859" i="2"/>
  <c r="J3858" i="2"/>
  <c r="J3857" i="2"/>
  <c r="J3856" i="2"/>
  <c r="J3855" i="2"/>
  <c r="J3854" i="2"/>
  <c r="J3853" i="2"/>
  <c r="J3852" i="2"/>
  <c r="J3851" i="2"/>
  <c r="J3850" i="2"/>
  <c r="J3849" i="2"/>
  <c r="J3848" i="2"/>
  <c r="J3847" i="2"/>
  <c r="J3846" i="2"/>
  <c r="J3845" i="2"/>
  <c r="J3844" i="2"/>
  <c r="J3843" i="2"/>
  <c r="J3842" i="2"/>
  <c r="J3841" i="2"/>
  <c r="J3840" i="2"/>
  <c r="J3839" i="2"/>
  <c r="J3838" i="2"/>
  <c r="J3837" i="2"/>
  <c r="J3836" i="2"/>
  <c r="J3835" i="2"/>
  <c r="J3834" i="2"/>
  <c r="J3833" i="2"/>
  <c r="J3832" i="2"/>
  <c r="J3831" i="2"/>
  <c r="J3830" i="2"/>
  <c r="J3829" i="2"/>
  <c r="J3828" i="2"/>
  <c r="J3827" i="2"/>
  <c r="J3826" i="2"/>
  <c r="J3825" i="2"/>
  <c r="J3824" i="2"/>
  <c r="J3823" i="2"/>
  <c r="J3822" i="2"/>
  <c r="J3821" i="2"/>
  <c r="J3820" i="2"/>
  <c r="J3819" i="2"/>
  <c r="J3818" i="2"/>
  <c r="J3817" i="2"/>
  <c r="J3816" i="2"/>
  <c r="J3815" i="2"/>
  <c r="J3814" i="2"/>
  <c r="J3813" i="2"/>
  <c r="J3812" i="2"/>
  <c r="J3811" i="2"/>
  <c r="J3810" i="2"/>
  <c r="J3809" i="2"/>
  <c r="J3808" i="2"/>
  <c r="J3807" i="2"/>
  <c r="J3806" i="2"/>
  <c r="J3805" i="2"/>
  <c r="J3804" i="2"/>
  <c r="J3803" i="2"/>
  <c r="J3802" i="2"/>
  <c r="J3801" i="2"/>
  <c r="J3800" i="2"/>
  <c r="J3799" i="2"/>
  <c r="J3798" i="2"/>
  <c r="J3797" i="2"/>
  <c r="J3796" i="2"/>
  <c r="J3795" i="2"/>
  <c r="J3794" i="2"/>
  <c r="J3793" i="2"/>
  <c r="J3792" i="2"/>
  <c r="J3791" i="2"/>
  <c r="J3790" i="2"/>
  <c r="J3789" i="2"/>
  <c r="J3788" i="2"/>
  <c r="J3787" i="2"/>
  <c r="J3786" i="2"/>
  <c r="J3785" i="2"/>
  <c r="J3784" i="2"/>
  <c r="J3783" i="2"/>
  <c r="J3782" i="2"/>
  <c r="J3781" i="2"/>
  <c r="J3780" i="2"/>
  <c r="J3779" i="2"/>
  <c r="J3778" i="2"/>
  <c r="J3777" i="2"/>
  <c r="J3776" i="2"/>
  <c r="J3775" i="2"/>
  <c r="J3774" i="2"/>
  <c r="J3773" i="2"/>
  <c r="J3772" i="2"/>
  <c r="J3771" i="2"/>
  <c r="J3770" i="2"/>
  <c r="J3769" i="2"/>
  <c r="J3768" i="2"/>
  <c r="J3767" i="2"/>
  <c r="J3766" i="2"/>
  <c r="J3765" i="2"/>
  <c r="J3764" i="2"/>
  <c r="J3763" i="2"/>
  <c r="J3762" i="2"/>
  <c r="J3761" i="2"/>
  <c r="J3760" i="2"/>
  <c r="J3759" i="2"/>
  <c r="J3758" i="2"/>
  <c r="J3757" i="2"/>
  <c r="J3756" i="2"/>
  <c r="J3755" i="2"/>
  <c r="J3754" i="2"/>
  <c r="J3753" i="2"/>
  <c r="J3752" i="2"/>
  <c r="J3751" i="2"/>
  <c r="J3750" i="2"/>
  <c r="J3749" i="2"/>
  <c r="J3748" i="2"/>
  <c r="J3747" i="2"/>
  <c r="J3746" i="2"/>
  <c r="J3745" i="2"/>
  <c r="J3744" i="2"/>
  <c r="J3743" i="2"/>
  <c r="J3742" i="2"/>
  <c r="J3741" i="2"/>
  <c r="J3740" i="2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O43" i="7" l="1"/>
  <c r="O41" i="7"/>
  <c r="O42" i="7"/>
  <c r="O40" i="7"/>
  <c r="O697" i="7"/>
  <c r="O682" i="7"/>
  <c r="O1464" i="7"/>
  <c r="O708" i="7"/>
  <c r="O702" i="7"/>
  <c r="O1055" i="7"/>
  <c r="O997" i="7"/>
  <c r="O992" i="7"/>
  <c r="O988" i="7"/>
  <c r="O959" i="7"/>
  <c r="O950" i="7"/>
  <c r="O939" i="7"/>
  <c r="O933" i="7"/>
  <c r="O928" i="7"/>
  <c r="O924" i="7"/>
  <c r="O921" i="7"/>
  <c r="O918" i="7"/>
  <c r="O913" i="7"/>
  <c r="O910" i="7"/>
  <c r="O907" i="7"/>
  <c r="O905" i="7"/>
  <c r="O900" i="7"/>
  <c r="O896" i="7"/>
  <c r="O893" i="7"/>
  <c r="O889" i="7"/>
  <c r="O880" i="7"/>
  <c r="O876" i="7"/>
  <c r="O870" i="7"/>
  <c r="O865" i="7"/>
  <c r="O860" i="7"/>
  <c r="O857" i="7"/>
  <c r="O850" i="7"/>
  <c r="O834" i="7"/>
  <c r="O831" i="7"/>
  <c r="O827" i="7"/>
  <c r="O825" i="7"/>
  <c r="O813" i="7"/>
  <c r="O810" i="7"/>
  <c r="O802" i="7"/>
  <c r="O793" i="7"/>
  <c r="O787" i="7"/>
  <c r="O690" i="7"/>
  <c r="O677" i="7"/>
  <c r="O678" i="7"/>
  <c r="O694" i="7"/>
  <c r="O686" i="7"/>
  <c r="O1857" i="7"/>
  <c r="O1856" i="7"/>
  <c r="O1855" i="7"/>
  <c r="O1854" i="7"/>
  <c r="O1853" i="7"/>
  <c r="O1852" i="7"/>
  <c r="O1851" i="7"/>
  <c r="O1850" i="7"/>
  <c r="O1849" i="7"/>
  <c r="O1848" i="7"/>
  <c r="O1847" i="7"/>
  <c r="O1846" i="7"/>
  <c r="O1845" i="7"/>
  <c r="O1844" i="7"/>
  <c r="O1843" i="7"/>
  <c r="O1842" i="7"/>
  <c r="O1841" i="7"/>
  <c r="O1840" i="7"/>
  <c r="O1839" i="7"/>
  <c r="O1838" i="7"/>
  <c r="O1837" i="7"/>
  <c r="O1836" i="7"/>
  <c r="O1835" i="7"/>
  <c r="O1834" i="7"/>
  <c r="O1833" i="7"/>
  <c r="O1832" i="7"/>
  <c r="O1831" i="7"/>
  <c r="O1830" i="7"/>
  <c r="O1829" i="7"/>
  <c r="O1828" i="7"/>
  <c r="O1827" i="7"/>
  <c r="O1826" i="7"/>
  <c r="O1825" i="7"/>
  <c r="O1824" i="7"/>
  <c r="O1823" i="7"/>
  <c r="O1822" i="7"/>
  <c r="O1821" i="7"/>
  <c r="O1820" i="7"/>
  <c r="O1819" i="7"/>
  <c r="O1818" i="7"/>
  <c r="O1817" i="7"/>
  <c r="O1816" i="7"/>
  <c r="O1815" i="7"/>
  <c r="O1814" i="7"/>
  <c r="O1813" i="7"/>
  <c r="O1812" i="7"/>
  <c r="O1811" i="7"/>
  <c r="O1810" i="7"/>
  <c r="O1809" i="7"/>
  <c r="O1808" i="7"/>
  <c r="O1807" i="7"/>
  <c r="O1806" i="7"/>
  <c r="O1805" i="7"/>
  <c r="O1804" i="7"/>
  <c r="O1803" i="7"/>
  <c r="O1802" i="7"/>
  <c r="O1801" i="7"/>
  <c r="O1800" i="7"/>
  <c r="O1799" i="7"/>
  <c r="O1798" i="7"/>
  <c r="O1797" i="7"/>
  <c r="O1796" i="7"/>
  <c r="O1795" i="7"/>
  <c r="O1794" i="7"/>
  <c r="O1793" i="7"/>
  <c r="O1792" i="7"/>
  <c r="O1791" i="7"/>
  <c r="O1790" i="7"/>
  <c r="O1789" i="7"/>
  <c r="O1788" i="7"/>
  <c r="O1787" i="7"/>
  <c r="O1786" i="7"/>
  <c r="O1785" i="7"/>
  <c r="O1784" i="7"/>
  <c r="O1783" i="7"/>
  <c r="O1782" i="7"/>
  <c r="O1781" i="7"/>
  <c r="O1780" i="7"/>
  <c r="O1779" i="7"/>
  <c r="O1778" i="7"/>
  <c r="O1777" i="7"/>
  <c r="O1776" i="7"/>
  <c r="O1775" i="7"/>
  <c r="O1774" i="7"/>
  <c r="O1773" i="7"/>
  <c r="O1772" i="7"/>
  <c r="O1771" i="7"/>
  <c r="O1770" i="7"/>
  <c r="O1769" i="7"/>
  <c r="O1768" i="7"/>
  <c r="O1767" i="7"/>
  <c r="O1766" i="7"/>
  <c r="O1765" i="7"/>
  <c r="O1764" i="7"/>
  <c r="O1763" i="7"/>
  <c r="O1762" i="7"/>
  <c r="O1761" i="7"/>
  <c r="O1760" i="7"/>
  <c r="O1759" i="7"/>
  <c r="O1758" i="7"/>
  <c r="O1757" i="7"/>
  <c r="O1756" i="7"/>
  <c r="O1755" i="7"/>
  <c r="O1754" i="7"/>
  <c r="O1753" i="7"/>
  <c r="O1752" i="7"/>
  <c r="O1751" i="7"/>
  <c r="O1750" i="7"/>
  <c r="O1749" i="7"/>
  <c r="O1748" i="7"/>
  <c r="O1747" i="7"/>
  <c r="O1746" i="7"/>
  <c r="O1745" i="7"/>
  <c r="O1744" i="7"/>
  <c r="O1743" i="7"/>
  <c r="O1742" i="7"/>
  <c r="O1741" i="7"/>
  <c r="O1740" i="7"/>
  <c r="O1739" i="7"/>
  <c r="O1738" i="7"/>
  <c r="O1737" i="7"/>
  <c r="O1736" i="7"/>
  <c r="O1735" i="7"/>
  <c r="O1734" i="7"/>
  <c r="O1733" i="7"/>
  <c r="O1732" i="7"/>
  <c r="O1731" i="7"/>
  <c r="O1730" i="7"/>
  <c r="O1729" i="7"/>
  <c r="O1728" i="7"/>
  <c r="O1727" i="7"/>
  <c r="O1726" i="7"/>
  <c r="O1725" i="7"/>
  <c r="O1724" i="7"/>
  <c r="O1723" i="7"/>
  <c r="O1722" i="7"/>
  <c r="O1721" i="7"/>
  <c r="O1720" i="7"/>
  <c r="O1719" i="7"/>
  <c r="O1718" i="7"/>
  <c r="O1717" i="7"/>
  <c r="O1716" i="7"/>
  <c r="O1715" i="7"/>
  <c r="O1714" i="7"/>
  <c r="O1713" i="7"/>
  <c r="O1712" i="7"/>
  <c r="O1711" i="7"/>
  <c r="O1710" i="7"/>
  <c r="O1709" i="7"/>
  <c r="O1708" i="7"/>
  <c r="O1707" i="7"/>
  <c r="O1706" i="7"/>
  <c r="O1705" i="7"/>
  <c r="O1704" i="7"/>
  <c r="O1703" i="7"/>
  <c r="O1702" i="7"/>
  <c r="O1701" i="7"/>
  <c r="O1700" i="7"/>
  <c r="O1699" i="7"/>
  <c r="O1698" i="7"/>
  <c r="O1697" i="7"/>
  <c r="O1696" i="7"/>
  <c r="O1695" i="7"/>
  <c r="O1694" i="7"/>
  <c r="O1693" i="7"/>
  <c r="O1692" i="7"/>
  <c r="O1691" i="7"/>
  <c r="O1690" i="7"/>
  <c r="O1689" i="7"/>
  <c r="O1688" i="7"/>
  <c r="O1687" i="7"/>
  <c r="O1686" i="7"/>
  <c r="O1685" i="7"/>
  <c r="O1684" i="7"/>
  <c r="O1683" i="7"/>
  <c r="O1682" i="7"/>
  <c r="O1681" i="7"/>
  <c r="O1680" i="7"/>
  <c r="O1679" i="7"/>
  <c r="O1678" i="7"/>
  <c r="O1677" i="7"/>
  <c r="O1676" i="7"/>
  <c r="O1675" i="7"/>
  <c r="O1674" i="7"/>
  <c r="O1673" i="7"/>
  <c r="O1672" i="7"/>
  <c r="O1671" i="7"/>
  <c r="O1670" i="7"/>
  <c r="O1669" i="7"/>
  <c r="O1668" i="7"/>
  <c r="O1667" i="7"/>
  <c r="O1666" i="7"/>
  <c r="O1665" i="7"/>
  <c r="O1664" i="7"/>
  <c r="O1663" i="7"/>
  <c r="O1662" i="7"/>
  <c r="O1661" i="7"/>
  <c r="O1660" i="7"/>
  <c r="O1659" i="7"/>
  <c r="O1658" i="7"/>
  <c r="O1657" i="7"/>
  <c r="O1656" i="7"/>
  <c r="O1655" i="7"/>
  <c r="O1654" i="7"/>
  <c r="O1653" i="7"/>
  <c r="O1652" i="7"/>
  <c r="O1651" i="7"/>
  <c r="O1650" i="7"/>
  <c r="O1649" i="7"/>
  <c r="O1648" i="7"/>
  <c r="O1647" i="7"/>
  <c r="O1646" i="7"/>
  <c r="O1645" i="7"/>
  <c r="O1644" i="7"/>
  <c r="O1643" i="7"/>
  <c r="O1642" i="7"/>
  <c r="O1641" i="7"/>
  <c r="O1640" i="7"/>
  <c r="O1639" i="7"/>
  <c r="O1638" i="7"/>
  <c r="O1637" i="7"/>
  <c r="O1636" i="7"/>
  <c r="O1635" i="7"/>
  <c r="O1634" i="7"/>
  <c r="O1633" i="7"/>
  <c r="O1632" i="7"/>
  <c r="O1631" i="7"/>
  <c r="O1630" i="7"/>
  <c r="O1629" i="7"/>
  <c r="O1628" i="7"/>
  <c r="O1627" i="7"/>
  <c r="O1626" i="7"/>
  <c r="O1625" i="7"/>
  <c r="O1624" i="7"/>
  <c r="O1623" i="7"/>
  <c r="O1622" i="7"/>
  <c r="O1621" i="7"/>
  <c r="O1620" i="7"/>
  <c r="O1619" i="7"/>
  <c r="O1618" i="7"/>
  <c r="O1617" i="7"/>
  <c r="O1616" i="7"/>
  <c r="O1615" i="7"/>
  <c r="O1614" i="7"/>
  <c r="O1613" i="7"/>
  <c r="O1612" i="7"/>
  <c r="O1611" i="7"/>
  <c r="O1610" i="7"/>
  <c r="O1609" i="7"/>
  <c r="O1608" i="7"/>
  <c r="O1607" i="7"/>
  <c r="O1606" i="7"/>
  <c r="O1605" i="7"/>
  <c r="O1604" i="7"/>
  <c r="O1603" i="7"/>
  <c r="O1602" i="7"/>
  <c r="O1601" i="7"/>
  <c r="O1600" i="7"/>
  <c r="O1599" i="7"/>
  <c r="O1598" i="7"/>
  <c r="O1597" i="7"/>
  <c r="O1596" i="7"/>
  <c r="O1595" i="7"/>
  <c r="O1594" i="7"/>
  <c r="O1593" i="7"/>
  <c r="O1592" i="7"/>
  <c r="O1591" i="7"/>
  <c r="O1590" i="7"/>
  <c r="O1589" i="7"/>
  <c r="O1588" i="7"/>
  <c r="O1587" i="7"/>
  <c r="O1586" i="7"/>
  <c r="O1585" i="7"/>
  <c r="O1584" i="7"/>
  <c r="O1583" i="7"/>
  <c r="O1582" i="7"/>
  <c r="O1581" i="7"/>
  <c r="O1580" i="7"/>
  <c r="O1579" i="7"/>
  <c r="O1578" i="7"/>
  <c r="O1577" i="7"/>
  <c r="O1576" i="7"/>
  <c r="O1575" i="7"/>
  <c r="O1574" i="7"/>
  <c r="O1573" i="7"/>
  <c r="O1572" i="7"/>
  <c r="O1571" i="7"/>
  <c r="O1570" i="7"/>
  <c r="O1569" i="7"/>
  <c r="O1568" i="7"/>
  <c r="O1567" i="7"/>
  <c r="O1566" i="7"/>
  <c r="O1565" i="7"/>
  <c r="O1564" i="7"/>
  <c r="O1563" i="7"/>
  <c r="O1562" i="7"/>
  <c r="O1561" i="7"/>
  <c r="O1560" i="7"/>
  <c r="O1559" i="7"/>
  <c r="O1558" i="7"/>
  <c r="O1557" i="7"/>
  <c r="O1556" i="7"/>
  <c r="O1555" i="7"/>
  <c r="O1554" i="7"/>
  <c r="O1553" i="7"/>
  <c r="O1552" i="7"/>
  <c r="O1551" i="7"/>
  <c r="O1550" i="7"/>
  <c r="O1549" i="7"/>
  <c r="O1548" i="7"/>
  <c r="O1547" i="7"/>
  <c r="O1546" i="7"/>
  <c r="O1545" i="7"/>
  <c r="O1544" i="7"/>
  <c r="O1543" i="7"/>
  <c r="O1542" i="7"/>
  <c r="O1541" i="7"/>
  <c r="O1540" i="7"/>
  <c r="O1539" i="7"/>
  <c r="O1538" i="7"/>
  <c r="O1537" i="7"/>
  <c r="O1536" i="7"/>
  <c r="O1535" i="7"/>
  <c r="O1534" i="7"/>
  <c r="O1533" i="7"/>
  <c r="O1532" i="7"/>
  <c r="O1531" i="7"/>
  <c r="O1530" i="7"/>
  <c r="O1529" i="7"/>
  <c r="O1528" i="7"/>
  <c r="O1527" i="7"/>
  <c r="O1526" i="7"/>
  <c r="O1525" i="7"/>
  <c r="O1524" i="7"/>
  <c r="O1523" i="7"/>
  <c r="O1522" i="7"/>
  <c r="O1521" i="7"/>
  <c r="O1520" i="7"/>
  <c r="O1519" i="7"/>
  <c r="O1518" i="7"/>
  <c r="O1517" i="7"/>
  <c r="O1516" i="7"/>
  <c r="O1515" i="7"/>
  <c r="O1514" i="7"/>
  <c r="O1513" i="7"/>
  <c r="O1512" i="7"/>
  <c r="O1511" i="7"/>
  <c r="O1510" i="7"/>
  <c r="O1509" i="7"/>
  <c r="O1508" i="7"/>
  <c r="O1507" i="7"/>
  <c r="O1506" i="7"/>
  <c r="O1505" i="7"/>
  <c r="O1504" i="7"/>
  <c r="O1503" i="7"/>
  <c r="O1502" i="7"/>
  <c r="O1501" i="7"/>
  <c r="O1500" i="7"/>
  <c r="O1499" i="7"/>
  <c r="O1498" i="7"/>
  <c r="O1497" i="7"/>
  <c r="O1496" i="7"/>
  <c r="O1495" i="7"/>
  <c r="O1494" i="7"/>
  <c r="O1493" i="7"/>
  <c r="O1492" i="7"/>
  <c r="O1491" i="7"/>
  <c r="O1490" i="7"/>
  <c r="O1489" i="7"/>
  <c r="O1488" i="7"/>
  <c r="O1487" i="7"/>
  <c r="O1486" i="7"/>
  <c r="O1485" i="7"/>
  <c r="O1484" i="7"/>
  <c r="O1483" i="7"/>
  <c r="O1482" i="7"/>
  <c r="O1481" i="7"/>
  <c r="O1480" i="7"/>
  <c r="O1479" i="7"/>
  <c r="O1478" i="7"/>
  <c r="O1477" i="7"/>
  <c r="O1476" i="7"/>
  <c r="O1475" i="7"/>
  <c r="O1474" i="7"/>
  <c r="O1473" i="7"/>
  <c r="O1472" i="7"/>
  <c r="O1471" i="7"/>
  <c r="O1470" i="7"/>
  <c r="O1469" i="7"/>
  <c r="O1468" i="7"/>
  <c r="O1467" i="7"/>
  <c r="O1466" i="7"/>
  <c r="O1465" i="7"/>
  <c r="O1122" i="7"/>
  <c r="O1121" i="7"/>
  <c r="O1120" i="7"/>
  <c r="O1119" i="7"/>
  <c r="O1118" i="7"/>
  <c r="O1117" i="7"/>
  <c r="O1116" i="7"/>
  <c r="O1115" i="7"/>
  <c r="O1114" i="7"/>
  <c r="O1113" i="7"/>
  <c r="O1112" i="7"/>
  <c r="O1111" i="7"/>
  <c r="O1110" i="7"/>
  <c r="O1109" i="7"/>
  <c r="O1108" i="7"/>
  <c r="O1107" i="7"/>
  <c r="O1106" i="7"/>
  <c r="O1105" i="7"/>
  <c r="O1104" i="7"/>
  <c r="O1103" i="7"/>
  <c r="O1102" i="7"/>
  <c r="O1101" i="7"/>
  <c r="O1100" i="7"/>
  <c r="O1099" i="7"/>
  <c r="O1098" i="7"/>
  <c r="O1097" i="7"/>
  <c r="O1096" i="7"/>
  <c r="O1095" i="7"/>
  <c r="O1094" i="7"/>
  <c r="O1093" i="7"/>
  <c r="O1092" i="7"/>
  <c r="O1091" i="7"/>
  <c r="O1090" i="7"/>
  <c r="O1089" i="7"/>
  <c r="O1088" i="7"/>
  <c r="O1087" i="7"/>
  <c r="O1086" i="7"/>
  <c r="O1085" i="7"/>
  <c r="O1084" i="7"/>
  <c r="O1083" i="7"/>
  <c r="O1082" i="7"/>
  <c r="O1081" i="7"/>
  <c r="O1080" i="7"/>
  <c r="O1079" i="7"/>
  <c r="O1078" i="7"/>
  <c r="O1077" i="7"/>
  <c r="O1076" i="7"/>
  <c r="O1075" i="7"/>
  <c r="O1074" i="7"/>
  <c r="O1073" i="7"/>
  <c r="O1072" i="7"/>
  <c r="O1071" i="7"/>
  <c r="O1070" i="7"/>
  <c r="O1069" i="7"/>
  <c r="O1068" i="7"/>
  <c r="O1067" i="7"/>
  <c r="O1066" i="7"/>
  <c r="O1065" i="7"/>
  <c r="O1064" i="7"/>
  <c r="O1063" i="7"/>
  <c r="O1062" i="7"/>
  <c r="O1061" i="7"/>
  <c r="O1060" i="7"/>
  <c r="O1059" i="7"/>
  <c r="O1058" i="7"/>
  <c r="O1057" i="7"/>
  <c r="O1056" i="7"/>
  <c r="O1054" i="7"/>
  <c r="O1053" i="7"/>
  <c r="O1052" i="7"/>
  <c r="O1051" i="7"/>
  <c r="O1050" i="7"/>
  <c r="O1049" i="7"/>
  <c r="O1048" i="7"/>
  <c r="O1047" i="7"/>
  <c r="O1046" i="7"/>
  <c r="O1045" i="7"/>
  <c r="O1044" i="7"/>
  <c r="O1043" i="7"/>
  <c r="O1042" i="7"/>
  <c r="O1041" i="7"/>
  <c r="O1040" i="7"/>
  <c r="O1039" i="7"/>
  <c r="O1038" i="7"/>
  <c r="O1037" i="7"/>
  <c r="O1036" i="7"/>
  <c r="O1035" i="7"/>
  <c r="O1034" i="7"/>
  <c r="O1033" i="7"/>
  <c r="O1032" i="7"/>
  <c r="O1031" i="7"/>
  <c r="O1030" i="7"/>
  <c r="O1029" i="7"/>
  <c r="O1028" i="7"/>
  <c r="O1027" i="7"/>
  <c r="O1026" i="7"/>
  <c r="O1025" i="7"/>
  <c r="O1024" i="7"/>
  <c r="O1023" i="7"/>
  <c r="O1022" i="7"/>
  <c r="O1021" i="7"/>
  <c r="O1020" i="7"/>
  <c r="O1019" i="7"/>
  <c r="O1018" i="7"/>
  <c r="O1017" i="7"/>
  <c r="O1016" i="7"/>
  <c r="O1015" i="7"/>
  <c r="O1014" i="7"/>
  <c r="O1013" i="7"/>
  <c r="O1012" i="7"/>
  <c r="O1011" i="7"/>
  <c r="O1010" i="7"/>
  <c r="O1009" i="7"/>
  <c r="O1008" i="7"/>
  <c r="O1007" i="7"/>
  <c r="O1006" i="7"/>
  <c r="O999" i="7"/>
  <c r="O996" i="7"/>
  <c r="O995" i="7"/>
  <c r="O994" i="7"/>
  <c r="O991" i="7"/>
  <c r="O990" i="7"/>
  <c r="O989" i="7"/>
  <c r="O987" i="7"/>
  <c r="O986" i="7"/>
  <c r="O985" i="7"/>
  <c r="O984" i="7"/>
  <c r="O983" i="7"/>
  <c r="O982" i="7"/>
  <c r="O981" i="7"/>
  <c r="O980" i="7"/>
  <c r="O979" i="7"/>
  <c r="O978" i="7"/>
  <c r="O977" i="7"/>
  <c r="O976" i="7"/>
  <c r="O975" i="7"/>
  <c r="O974" i="7"/>
  <c r="O973" i="7"/>
  <c r="O972" i="7"/>
  <c r="O971" i="7"/>
  <c r="O970" i="7"/>
  <c r="O969" i="7"/>
  <c r="O968" i="7"/>
  <c r="O967" i="7"/>
  <c r="O966" i="7"/>
  <c r="O965" i="7"/>
  <c r="O964" i="7"/>
  <c r="O963" i="7"/>
  <c r="O962" i="7"/>
  <c r="O961" i="7"/>
  <c r="O960" i="7"/>
  <c r="O958" i="7"/>
  <c r="O957" i="7"/>
  <c r="O956" i="7"/>
  <c r="O955" i="7"/>
  <c r="O954" i="7"/>
  <c r="O952" i="7"/>
  <c r="O949" i="7"/>
  <c r="O948" i="7"/>
  <c r="O947" i="7"/>
  <c r="O946" i="7"/>
  <c r="O945" i="7"/>
  <c r="O944" i="7"/>
  <c r="O943" i="7"/>
  <c r="O942" i="7"/>
  <c r="O941" i="7"/>
  <c r="O940" i="7"/>
  <c r="O938" i="7"/>
  <c r="O937" i="7"/>
  <c r="O936" i="7"/>
  <c r="O935" i="7"/>
  <c r="O934" i="7"/>
  <c r="O932" i="7"/>
  <c r="O931" i="7"/>
  <c r="O930" i="7"/>
  <c r="O929" i="7"/>
  <c r="O927" i="7"/>
  <c r="O926" i="7"/>
  <c r="O925" i="7"/>
  <c r="O923" i="7"/>
  <c r="O922" i="7"/>
  <c r="O920" i="7"/>
  <c r="O919" i="7"/>
  <c r="O917" i="7"/>
  <c r="O916" i="7"/>
  <c r="O915" i="7"/>
  <c r="O914" i="7"/>
  <c r="O912" i="7"/>
  <c r="O911" i="7"/>
  <c r="O909" i="7"/>
  <c r="O908" i="7"/>
  <c r="O906" i="7"/>
  <c r="O904" i="7"/>
  <c r="O903" i="7"/>
  <c r="O902" i="7"/>
  <c r="O901" i="7"/>
  <c r="O899" i="7"/>
  <c r="O898" i="7"/>
  <c r="O897" i="7"/>
  <c r="O895" i="7"/>
  <c r="O894" i="7"/>
  <c r="O892" i="7"/>
  <c r="O891" i="7"/>
  <c r="O890" i="7"/>
  <c r="O888" i="7"/>
  <c r="O887" i="7"/>
  <c r="O886" i="7"/>
  <c r="O885" i="7"/>
  <c r="O883" i="7"/>
  <c r="O881" i="7"/>
  <c r="O879" i="7"/>
  <c r="O878" i="7"/>
  <c r="O877" i="7"/>
  <c r="O875" i="7"/>
  <c r="O874" i="7"/>
  <c r="O873" i="7"/>
  <c r="O872" i="7"/>
  <c r="O871" i="7"/>
  <c r="O869" i="7"/>
  <c r="O868" i="7"/>
  <c r="O867" i="7"/>
  <c r="O866" i="7"/>
  <c r="O864" i="7"/>
  <c r="O863" i="7"/>
  <c r="O862" i="7"/>
  <c r="O859" i="7"/>
  <c r="O858" i="7"/>
  <c r="O856" i="7"/>
  <c r="O855" i="7"/>
  <c r="O854" i="7"/>
  <c r="O852" i="7"/>
  <c r="O851" i="7"/>
  <c r="O849" i="7"/>
  <c r="O848" i="7"/>
  <c r="O846" i="7"/>
  <c r="O845" i="7"/>
  <c r="O844" i="7"/>
  <c r="O843" i="7"/>
  <c r="O841" i="7"/>
  <c r="O840" i="7"/>
  <c r="O839" i="7"/>
  <c r="O838" i="7"/>
  <c r="O837" i="7"/>
  <c r="O836" i="7"/>
  <c r="O835" i="7"/>
  <c r="O833" i="7"/>
  <c r="O832" i="7"/>
  <c r="O830" i="7"/>
  <c r="O829" i="7"/>
  <c r="O828" i="7"/>
  <c r="O826" i="7"/>
  <c r="O824" i="7"/>
  <c r="O823" i="7"/>
  <c r="O822" i="7"/>
  <c r="O821" i="7"/>
  <c r="O820" i="7"/>
  <c r="O819" i="7"/>
  <c r="O817" i="7"/>
  <c r="O816" i="7"/>
  <c r="O815" i="7"/>
  <c r="O812" i="7"/>
  <c r="O811" i="7"/>
  <c r="O809" i="7"/>
  <c r="O808" i="7"/>
  <c r="O807" i="7"/>
  <c r="O805" i="7"/>
  <c r="O804" i="7"/>
  <c r="O803" i="7"/>
  <c r="O801" i="7"/>
  <c r="O800" i="7"/>
  <c r="O799" i="7"/>
  <c r="O797" i="7"/>
  <c r="O796" i="7"/>
  <c r="O795" i="7"/>
  <c r="O794" i="7"/>
  <c r="O792" i="7"/>
  <c r="O791" i="7"/>
  <c r="O790" i="7"/>
  <c r="O789" i="7"/>
  <c r="O788" i="7"/>
  <c r="O786" i="7"/>
  <c r="O785" i="7"/>
  <c r="O784" i="7"/>
  <c r="O783" i="7"/>
  <c r="O782" i="7"/>
  <c r="O781" i="7"/>
  <c r="O780" i="7"/>
  <c r="O779" i="7"/>
  <c r="O778" i="7"/>
  <c r="O707" i="7"/>
  <c r="O706" i="7"/>
  <c r="O705" i="7"/>
  <c r="O703" i="7"/>
  <c r="O701" i="7"/>
  <c r="O700" i="7"/>
  <c r="O699" i="7"/>
  <c r="O696" i="7"/>
  <c r="O695" i="7"/>
  <c r="O693" i="7"/>
  <c r="O692" i="7"/>
  <c r="O691" i="7"/>
  <c r="O689" i="7"/>
  <c r="O688" i="7"/>
  <c r="O687" i="7"/>
  <c r="O685" i="7"/>
  <c r="O684" i="7"/>
  <c r="O683" i="7"/>
  <c r="O681" i="7"/>
  <c r="O680" i="7"/>
  <c r="O679" i="7"/>
  <c r="O1463" i="7"/>
  <c r="O1462" i="7"/>
  <c r="O1461" i="7"/>
  <c r="O1460" i="7"/>
  <c r="O1459" i="7"/>
  <c r="O1458" i="7"/>
  <c r="O1457" i="7"/>
  <c r="O1456" i="7"/>
  <c r="O1455" i="7"/>
  <c r="O1454" i="7"/>
  <c r="O1453" i="7"/>
  <c r="O1452" i="7"/>
  <c r="O1451" i="7"/>
  <c r="O1450" i="7"/>
  <c r="O1449" i="7"/>
  <c r="O1448" i="7"/>
  <c r="O1447" i="7"/>
  <c r="O1446" i="7"/>
  <c r="O1445" i="7"/>
  <c r="O1444" i="7"/>
  <c r="O1443" i="7"/>
  <c r="O1442" i="7"/>
  <c r="O1441" i="7"/>
  <c r="O1440" i="7"/>
  <c r="O1439" i="7"/>
  <c r="O1438" i="7"/>
  <c r="O1437" i="7"/>
  <c r="O1436" i="7"/>
  <c r="O1435" i="7"/>
  <c r="O1434" i="7"/>
  <c r="O1433" i="7"/>
  <c r="O1432" i="7"/>
  <c r="O1431" i="7"/>
  <c r="O1430" i="7"/>
  <c r="O1429" i="7"/>
  <c r="O1428" i="7"/>
  <c r="O1427" i="7"/>
  <c r="O1426" i="7"/>
  <c r="O1425" i="7"/>
  <c r="O1424" i="7"/>
  <c r="O1423" i="7"/>
  <c r="O1422" i="7"/>
  <c r="O1421" i="7"/>
  <c r="O1420" i="7"/>
  <c r="O1419" i="7"/>
  <c r="O1418" i="7"/>
  <c r="O1417" i="7"/>
  <c r="O1416" i="7"/>
  <c r="O1415" i="7"/>
  <c r="O1414" i="7"/>
  <c r="O1413" i="7"/>
  <c r="O1412" i="7"/>
  <c r="O1411" i="7"/>
  <c r="O1410" i="7"/>
  <c r="O1409" i="7"/>
  <c r="O1408" i="7"/>
  <c r="O1407" i="7"/>
  <c r="O1406" i="7"/>
  <c r="O1405" i="7"/>
  <c r="O1404" i="7"/>
  <c r="O1403" i="7"/>
  <c r="O1402" i="7"/>
  <c r="O1401" i="7"/>
  <c r="O1400" i="7"/>
  <c r="O1399" i="7"/>
  <c r="O1398" i="7"/>
  <c r="O1397" i="7"/>
  <c r="O1396" i="7"/>
  <c r="O1395" i="7"/>
  <c r="O1394" i="7"/>
  <c r="O1393" i="7"/>
  <c r="O1392" i="7"/>
  <c r="O1391" i="7"/>
  <c r="O1390" i="7"/>
  <c r="O1389" i="7"/>
  <c r="O1388" i="7"/>
  <c r="O1387" i="7"/>
  <c r="O1386" i="7"/>
  <c r="O1385" i="7"/>
  <c r="O1384" i="7"/>
  <c r="O1383" i="7"/>
  <c r="O1382" i="7"/>
  <c r="O1381" i="7"/>
  <c r="O1380" i="7"/>
  <c r="O1379" i="7"/>
  <c r="O1378" i="7"/>
  <c r="O1377" i="7"/>
  <c r="O1376" i="7"/>
  <c r="O1375" i="7"/>
  <c r="O1374" i="7"/>
  <c r="O1373" i="7"/>
  <c r="O1372" i="7"/>
  <c r="O1371" i="7"/>
  <c r="O1370" i="7"/>
  <c r="O1369" i="7"/>
  <c r="O1368" i="7"/>
  <c r="O1367" i="7"/>
  <c r="O1366" i="7"/>
  <c r="O1365" i="7"/>
  <c r="O1364" i="7"/>
  <c r="O1363" i="7"/>
  <c r="O1362" i="7"/>
  <c r="O1361" i="7"/>
  <c r="O1360" i="7"/>
  <c r="O1359" i="7"/>
  <c r="O1358" i="7"/>
  <c r="O1357" i="7"/>
  <c r="O1356" i="7"/>
  <c r="O1355" i="7"/>
  <c r="O1354" i="7"/>
  <c r="O1353" i="7"/>
  <c r="O1352" i="7"/>
  <c r="O1351" i="7"/>
  <c r="O1350" i="7"/>
  <c r="O1349" i="7"/>
  <c r="O1348" i="7"/>
  <c r="O1347" i="7"/>
  <c r="O1346" i="7"/>
  <c r="O1345" i="7"/>
  <c r="O1344" i="7"/>
  <c r="O1343" i="7"/>
  <c r="O1342" i="7"/>
  <c r="O1341" i="7"/>
  <c r="O1340" i="7"/>
  <c r="O1339" i="7"/>
  <c r="O1338" i="7"/>
  <c r="O1337" i="7"/>
  <c r="O1336" i="7"/>
  <c r="O1335" i="7"/>
  <c r="O1334" i="7"/>
  <c r="O1333" i="7"/>
  <c r="O1332" i="7"/>
  <c r="O1331" i="7"/>
  <c r="O1330" i="7"/>
  <c r="O1329" i="7"/>
  <c r="O1328" i="7"/>
  <c r="O1327" i="7"/>
  <c r="O1326" i="7"/>
  <c r="O1325" i="7"/>
  <c r="O1324" i="7"/>
  <c r="O1323" i="7"/>
  <c r="O1322" i="7"/>
  <c r="O1321" i="7"/>
  <c r="O1320" i="7"/>
  <c r="O1319" i="7"/>
  <c r="O1318" i="7"/>
  <c r="O1317" i="7"/>
  <c r="O1316" i="7"/>
  <c r="O1315" i="7"/>
  <c r="O1314" i="7"/>
  <c r="O1313" i="7"/>
  <c r="O1312" i="7"/>
  <c r="O1311" i="7"/>
  <c r="O1310" i="7"/>
  <c r="O1309" i="7"/>
  <c r="O1308" i="7"/>
  <c r="O1307" i="7"/>
  <c r="O1306" i="7"/>
  <c r="O1305" i="7"/>
  <c r="O1304" i="7"/>
  <c r="O1303" i="7"/>
  <c r="O1302" i="7"/>
  <c r="O1301" i="7"/>
  <c r="O1300" i="7"/>
  <c r="O1299" i="7"/>
  <c r="O1298" i="7"/>
  <c r="O1297" i="7"/>
  <c r="O1296" i="7"/>
  <c r="O1295" i="7"/>
  <c r="O1294" i="7"/>
  <c r="O1293" i="7"/>
  <c r="O1292" i="7"/>
  <c r="O1291" i="7"/>
  <c r="O1290" i="7"/>
  <c r="O1289" i="7"/>
  <c r="O1288" i="7"/>
  <c r="O1287" i="7"/>
  <c r="O1286" i="7"/>
  <c r="O1285" i="7"/>
  <c r="O1284" i="7"/>
  <c r="O1283" i="7"/>
  <c r="O1282" i="7"/>
  <c r="O1281" i="7"/>
  <c r="O1280" i="7"/>
  <c r="O1279" i="7"/>
  <c r="O1278" i="7"/>
  <c r="O1277" i="7"/>
  <c r="O1276" i="7"/>
  <c r="O1275" i="7"/>
  <c r="O1274" i="7"/>
  <c r="O1273" i="7"/>
  <c r="O1272" i="7"/>
  <c r="O1271" i="7"/>
  <c r="O1270" i="7"/>
  <c r="O1269" i="7"/>
  <c r="O1268" i="7"/>
  <c r="O1267" i="7"/>
  <c r="O1266" i="7"/>
  <c r="O1265" i="7"/>
  <c r="O1264" i="7"/>
  <c r="O1263" i="7"/>
  <c r="O1262" i="7"/>
  <c r="O1261" i="7"/>
  <c r="O1260" i="7"/>
  <c r="O1259" i="7"/>
  <c r="O1258" i="7"/>
  <c r="O1257" i="7"/>
  <c r="O1256" i="7"/>
  <c r="O1255" i="7"/>
  <c r="O1254" i="7"/>
  <c r="O1253" i="7"/>
  <c r="O1252" i="7"/>
  <c r="O1251" i="7"/>
  <c r="O1250" i="7"/>
  <c r="O1249" i="7"/>
  <c r="O1248" i="7"/>
  <c r="O1247" i="7"/>
  <c r="O1246" i="7"/>
  <c r="O1245" i="7"/>
  <c r="O1244" i="7"/>
  <c r="O1243" i="7"/>
  <c r="O1242" i="7"/>
  <c r="O1241" i="7"/>
  <c r="O1240" i="7"/>
  <c r="O1239" i="7"/>
  <c r="O1238" i="7"/>
  <c r="O1237" i="7"/>
  <c r="O1236" i="7"/>
  <c r="O1235" i="7"/>
  <c r="O1234" i="7"/>
  <c r="O1233" i="7"/>
  <c r="O1232" i="7"/>
  <c r="O1231" i="7"/>
  <c r="O1230" i="7"/>
  <c r="O1229" i="7"/>
  <c r="O1228" i="7"/>
  <c r="O1227" i="7"/>
  <c r="O1226" i="7"/>
  <c r="O1225" i="7"/>
  <c r="O1224" i="7"/>
  <c r="O1223" i="7"/>
  <c r="O1222" i="7"/>
  <c r="O1221" i="7"/>
  <c r="O1220" i="7"/>
  <c r="O1219" i="7"/>
  <c r="O1218" i="7"/>
  <c r="O1217" i="7"/>
  <c r="O1216" i="7"/>
  <c r="O1215" i="7"/>
  <c r="O1214" i="7"/>
  <c r="O1213" i="7"/>
  <c r="O1212" i="7"/>
  <c r="O1211" i="7"/>
  <c r="O1210" i="7"/>
  <c r="O1209" i="7"/>
  <c r="O1208" i="7"/>
  <c r="O1207" i="7"/>
  <c r="O1206" i="7"/>
  <c r="O1205" i="7"/>
  <c r="O1204" i="7"/>
  <c r="O1203" i="7"/>
  <c r="O1202" i="7"/>
  <c r="O1201" i="7"/>
  <c r="O1200" i="7"/>
  <c r="O1199" i="7"/>
  <c r="O1198" i="7"/>
  <c r="O1197" i="7"/>
  <c r="O1196" i="7"/>
  <c r="O1195" i="7"/>
  <c r="O1194" i="7"/>
  <c r="O1193" i="7"/>
  <c r="O1192" i="7"/>
  <c r="O1191" i="7"/>
  <c r="O1190" i="7"/>
  <c r="O1189" i="7"/>
  <c r="O1188" i="7"/>
  <c r="O1187" i="7"/>
  <c r="O1186" i="7"/>
  <c r="O1185" i="7"/>
  <c r="O1184" i="7"/>
  <c r="O1183" i="7"/>
  <c r="O1182" i="7"/>
  <c r="O1181" i="7"/>
  <c r="O1180" i="7"/>
  <c r="O1179" i="7"/>
  <c r="O1178" i="7"/>
  <c r="O1177" i="7"/>
  <c r="O1176" i="7"/>
  <c r="O1175" i="7"/>
  <c r="O1174" i="7"/>
  <c r="O1173" i="7"/>
  <c r="O1172" i="7"/>
  <c r="O1171" i="7"/>
  <c r="O1170" i="7"/>
  <c r="O1169" i="7"/>
  <c r="O1168" i="7"/>
  <c r="O1167" i="7"/>
  <c r="O1166" i="7"/>
  <c r="O1165" i="7"/>
  <c r="O1164" i="7"/>
  <c r="O1163" i="7"/>
  <c r="O1162" i="7"/>
  <c r="O1161" i="7"/>
  <c r="O1160" i="7"/>
  <c r="O1159" i="7"/>
  <c r="O1158" i="7"/>
  <c r="O1157" i="7"/>
  <c r="O1156" i="7"/>
  <c r="O1155" i="7"/>
  <c r="O1154" i="7"/>
  <c r="O1153" i="7"/>
  <c r="O1152" i="7"/>
  <c r="O1151" i="7"/>
  <c r="O1150" i="7"/>
  <c r="O1149" i="7"/>
  <c r="O1148" i="7"/>
  <c r="O1147" i="7"/>
  <c r="O1146" i="7"/>
  <c r="O1145" i="7"/>
  <c r="O1144" i="7"/>
  <c r="O1143" i="7"/>
  <c r="O1142" i="7"/>
  <c r="O1141" i="7"/>
  <c r="O1140" i="7"/>
  <c r="O1139" i="7"/>
  <c r="O1138" i="7"/>
  <c r="O1137" i="7"/>
  <c r="O1136" i="7"/>
  <c r="O1135" i="7"/>
  <c r="O1134" i="7"/>
  <c r="O1133" i="7"/>
  <c r="O1132" i="7"/>
  <c r="O1131" i="7"/>
  <c r="O1130" i="7"/>
  <c r="O1129" i="7"/>
  <c r="O1128" i="7"/>
  <c r="O1127" i="7"/>
  <c r="O1126" i="7"/>
  <c r="O1125" i="7"/>
  <c r="O1124" i="7"/>
  <c r="O1123" i="7"/>
  <c r="O1005" i="7"/>
  <c r="O1004" i="7"/>
  <c r="O1003" i="7"/>
  <c r="O1002" i="7"/>
  <c r="O1001" i="7"/>
  <c r="O1000" i="7"/>
  <c r="O998" i="7"/>
  <c r="O993" i="7"/>
  <c r="O953" i="7"/>
  <c r="O951" i="7"/>
  <c r="O884" i="7"/>
  <c r="O882" i="7"/>
  <c r="O861" i="7"/>
  <c r="O853" i="7"/>
  <c r="O847" i="7"/>
  <c r="O842" i="7"/>
  <c r="O818" i="7"/>
  <c r="O814" i="7"/>
  <c r="O806" i="7"/>
  <c r="O79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754" i="7"/>
  <c r="O753" i="7"/>
  <c r="O752" i="7"/>
  <c r="O751" i="7"/>
  <c r="O750" i="7"/>
  <c r="O749" i="7"/>
  <c r="O748" i="7"/>
  <c r="O747" i="7"/>
  <c r="O746" i="7"/>
  <c r="O745" i="7"/>
  <c r="O744" i="7"/>
  <c r="O743" i="7"/>
  <c r="O742" i="7"/>
  <c r="O741" i="7"/>
  <c r="O740" i="7"/>
  <c r="O739" i="7"/>
  <c r="O738" i="7"/>
  <c r="O737" i="7"/>
  <c r="O736" i="7"/>
  <c r="O735" i="7"/>
  <c r="O734" i="7"/>
  <c r="O733" i="7"/>
  <c r="O732" i="7"/>
  <c r="O731" i="7"/>
  <c r="O730" i="7"/>
  <c r="O729" i="7"/>
  <c r="O728" i="7"/>
  <c r="O727" i="7"/>
  <c r="O726" i="7"/>
  <c r="O725" i="7"/>
  <c r="O724" i="7"/>
  <c r="O723" i="7"/>
  <c r="O722" i="7"/>
  <c r="O721" i="7"/>
  <c r="O720" i="7"/>
  <c r="O719" i="7"/>
  <c r="O718" i="7"/>
  <c r="O717" i="7"/>
  <c r="O716" i="7"/>
  <c r="O715" i="7"/>
  <c r="O714" i="7"/>
  <c r="O713" i="7"/>
  <c r="O712" i="7"/>
  <c r="O711" i="7"/>
  <c r="O710" i="7"/>
  <c r="O709" i="7"/>
  <c r="O704" i="7"/>
  <c r="O698" i="7"/>
  <c r="O676" i="7"/>
  <c r="O675" i="7"/>
  <c r="O674" i="7"/>
  <c r="O673" i="7"/>
  <c r="O672" i="7"/>
  <c r="O671" i="7"/>
  <c r="O670" i="7"/>
  <c r="O669" i="7"/>
  <c r="O668" i="7"/>
  <c r="O667" i="7"/>
  <c r="O666" i="7"/>
  <c r="O665" i="7"/>
  <c r="O664" i="7"/>
  <c r="O663" i="7"/>
  <c r="O662" i="7"/>
  <c r="O661" i="7"/>
  <c r="O660" i="7"/>
  <c r="O659" i="7"/>
  <c r="O658" i="7"/>
  <c r="O657" i="7"/>
  <c r="O656" i="7"/>
  <c r="O655" i="7"/>
  <c r="O654" i="7"/>
  <c r="O653" i="7"/>
  <c r="O652" i="7"/>
  <c r="O651" i="7"/>
  <c r="O650" i="7"/>
  <c r="O649" i="7"/>
  <c r="O648" i="7"/>
  <c r="O647" i="7"/>
  <c r="O646" i="7"/>
  <c r="O645" i="7"/>
  <c r="O644" i="7"/>
  <c r="O643" i="7"/>
  <c r="O642" i="7"/>
  <c r="O641" i="7"/>
  <c r="O640" i="7"/>
  <c r="O639" i="7"/>
  <c r="O638" i="7"/>
  <c r="O637" i="7"/>
  <c r="O636" i="7"/>
  <c r="O635" i="7"/>
  <c r="O634" i="7"/>
  <c r="O633" i="7"/>
  <c r="O632" i="7"/>
  <c r="O631" i="7"/>
  <c r="O630" i="7"/>
  <c r="O629" i="7"/>
  <c r="O628" i="7"/>
  <c r="O627" i="7"/>
  <c r="O626" i="7"/>
  <c r="O625" i="7"/>
  <c r="O624" i="7"/>
  <c r="O623" i="7"/>
  <c r="O622" i="7"/>
  <c r="O621" i="7"/>
  <c r="O620" i="7"/>
  <c r="O619" i="7"/>
  <c r="O618" i="7"/>
  <c r="O617" i="7"/>
  <c r="O616" i="7"/>
  <c r="O615" i="7"/>
  <c r="O614" i="7"/>
  <c r="O613" i="7"/>
  <c r="O612" i="7"/>
  <c r="O611" i="7"/>
  <c r="O610" i="7"/>
  <c r="O609" i="7"/>
  <c r="O608" i="7"/>
  <c r="O607" i="7"/>
  <c r="O606" i="7"/>
  <c r="O605" i="7"/>
  <c r="O604" i="7"/>
  <c r="O603" i="7"/>
  <c r="O602" i="7"/>
  <c r="O601" i="7"/>
  <c r="O600" i="7"/>
  <c r="O599" i="7"/>
  <c r="O598" i="7"/>
  <c r="O597" i="7"/>
  <c r="O596" i="7"/>
  <c r="O595" i="7"/>
  <c r="O594" i="7"/>
  <c r="O593" i="7"/>
  <c r="O592" i="7"/>
  <c r="O591" i="7"/>
  <c r="O590" i="7"/>
  <c r="O589" i="7"/>
  <c r="O588" i="7"/>
  <c r="O587" i="7"/>
  <c r="O586" i="7"/>
  <c r="O585" i="7"/>
  <c r="O584" i="7"/>
  <c r="O583" i="7"/>
  <c r="O582" i="7"/>
  <c r="O581" i="7"/>
  <c r="O580" i="7"/>
  <c r="O579" i="7"/>
  <c r="O578" i="7"/>
  <c r="O577" i="7"/>
  <c r="O576" i="7"/>
  <c r="O575" i="7"/>
  <c r="O574" i="7"/>
  <c r="O573" i="7"/>
  <c r="O572" i="7"/>
  <c r="O571" i="7"/>
  <c r="O570" i="7"/>
  <c r="O569" i="7"/>
  <c r="O568" i="7"/>
  <c r="O567" i="7"/>
  <c r="O566" i="7"/>
  <c r="O565" i="7"/>
  <c r="O564" i="7"/>
  <c r="O563" i="7"/>
  <c r="O562" i="7"/>
  <c r="O561" i="7"/>
  <c r="O560" i="7"/>
  <c r="O559" i="7"/>
  <c r="O558" i="7"/>
  <c r="O557" i="7"/>
  <c r="O556" i="7"/>
  <c r="O555" i="7"/>
  <c r="O554" i="7"/>
  <c r="O553" i="7"/>
  <c r="O552" i="7"/>
  <c r="O551" i="7"/>
  <c r="O550" i="7"/>
  <c r="O549" i="7"/>
  <c r="O548" i="7"/>
  <c r="O547" i="7"/>
  <c r="O546" i="7"/>
  <c r="O545" i="7"/>
  <c r="O544" i="7"/>
  <c r="O543" i="7"/>
  <c r="O542" i="7"/>
  <c r="O541" i="7"/>
  <c r="O540" i="7"/>
  <c r="O539" i="7"/>
  <c r="O538" i="7"/>
  <c r="O537" i="7"/>
  <c r="O536" i="7"/>
  <c r="O535" i="7"/>
  <c r="O534" i="7"/>
  <c r="O533" i="7"/>
  <c r="O532" i="7"/>
  <c r="O531" i="7"/>
  <c r="O530" i="7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</calcChain>
</file>

<file path=xl/sharedStrings.xml><?xml version="1.0" encoding="utf-8"?>
<sst xmlns="http://schemas.openxmlformats.org/spreadsheetml/2006/main" count="128251" uniqueCount="36175">
  <si>
    <t>작성일</t>
  </si>
  <si>
    <t>종목코드</t>
  </si>
  <si>
    <t>종목명</t>
  </si>
  <si>
    <t>증권사</t>
  </si>
  <si>
    <t>투자의견</t>
  </si>
  <si>
    <t>목표주가</t>
  </si>
  <si>
    <t>발간 시점 종가</t>
  </si>
  <si>
    <t>제목</t>
  </si>
  <si>
    <t>링크</t>
  </si>
  <si>
    <t>PDF</t>
  </si>
  <si>
    <t>ID</t>
  </si>
  <si>
    <t>괴리율</t>
  </si>
  <si>
    <t>2026-06-09</t>
  </si>
  <si>
    <t>005930</t>
  </si>
  <si>
    <t>삼성전자</t>
  </si>
  <si>
    <t>미래에셋증권</t>
  </si>
  <si>
    <t>매수</t>
  </si>
  <si>
    <t>어두울땐 실적을 켜자</t>
  </si>
  <si>
    <t>보기</t>
  </si>
  <si>
    <t>93457</t>
  </si>
  <si>
    <t>셀트리온</t>
  </si>
  <si>
    <t>001450</t>
  </si>
  <si>
    <t>현대해상</t>
  </si>
  <si>
    <t>신한투자증권</t>
  </si>
  <si>
    <t>금리 상승 및 관리급여 도입 수혜주</t>
  </si>
  <si>
    <t>93456</t>
  </si>
  <si>
    <t>리노공업</t>
  </si>
  <si>
    <t>023530</t>
  </si>
  <si>
    <t>롯데쇼핑</t>
  </si>
  <si>
    <t>대표이사 간담회 후기, 아직 갈 길이 멀다</t>
  </si>
  <si>
    <t>93455</t>
  </si>
  <si>
    <t>삼성E&amp;A</t>
  </si>
  <si>
    <t>009150</t>
  </si>
  <si>
    <t>삼성전기</t>
  </si>
  <si>
    <t>iM증권</t>
  </si>
  <si>
    <t>Buy</t>
  </si>
  <si>
    <t>가늠할 수 없는 이익의 지평</t>
  </si>
  <si>
    <t>93454</t>
  </si>
  <si>
    <t>140860</t>
  </si>
  <si>
    <t>파크시스템스</t>
  </si>
  <si>
    <t>상저하고</t>
  </si>
  <si>
    <t>93453</t>
  </si>
  <si>
    <t>035420</t>
  </si>
  <si>
    <t>NAVER</t>
  </si>
  <si>
    <t>키움증권</t>
  </si>
  <si>
    <t>OutPerform</t>
  </si>
  <si>
    <t>밸류에이션 종합 판단</t>
  </si>
  <si>
    <t>93452</t>
  </si>
  <si>
    <t>0010V0</t>
  </si>
  <si>
    <t>제이피아이헬스케어</t>
  </si>
  <si>
    <t>없음</t>
  </si>
  <si>
    <t>1분기 부진을 만회할 하반기 외형 확장</t>
  </si>
  <si>
    <t>93451</t>
  </si>
  <si>
    <t>IBK투자증권</t>
  </si>
  <si>
    <t>NAVER AI 팩토리 사업 진출 분석 및 향후 전망</t>
  </si>
  <si>
    <t>93450</t>
  </si>
  <si>
    <t>2026-06-08</t>
  </si>
  <si>
    <t>한화투자증권</t>
  </si>
  <si>
    <t>드디어 시작된 AI팩토리의 외부 사업화</t>
  </si>
  <si>
    <t>93449</t>
  </si>
  <si>
    <t>교보증권</t>
  </si>
  <si>
    <t>CEO-애널리스트 미팅 후기: 전 부문 차별화 전략 확인</t>
  </si>
  <si>
    <t>93448</t>
  </si>
  <si>
    <t>128940</t>
  </si>
  <si>
    <t>한미약품</t>
  </si>
  <si>
    <t>하나증권</t>
  </si>
  <si>
    <t>L/O 가이던스 달성, 그러나 아직 몇 발 더 남았다</t>
  </si>
  <si>
    <t>93447</t>
  </si>
  <si>
    <t>347850</t>
  </si>
  <si>
    <t>디앤디파마텍</t>
  </si>
  <si>
    <t>성공적인 MASH 결과 들고 다음 스텝으로 (NDR 후기)</t>
  </si>
  <si>
    <t>93446</t>
  </si>
  <si>
    <t>028260</t>
  </si>
  <si>
    <t>삼성물산</t>
  </si>
  <si>
    <t>의심할 필요가 없는 PBR 0.7배 저렴한 주가</t>
  </si>
  <si>
    <t>93445</t>
  </si>
  <si>
    <t>011200</t>
  </si>
  <si>
    <t>HMM</t>
  </si>
  <si>
    <t>한국투자증권</t>
  </si>
  <si>
    <t>SCFI 전쟁 이후 두 배 넘게 상승</t>
  </si>
  <si>
    <t>93444</t>
  </si>
  <si>
    <t>005940</t>
  </si>
  <si>
    <t>NH투자증권</t>
  </si>
  <si>
    <t>대신증권</t>
  </si>
  <si>
    <t>롤러코스터 증시, 편안한 배당매력에 주목</t>
  </si>
  <si>
    <t>93443</t>
  </si>
  <si>
    <t>138040</t>
  </si>
  <si>
    <t>메리츠금융지주</t>
  </si>
  <si>
    <t>현 시점에서는 가장 매력적인 방어주</t>
  </si>
  <si>
    <t>93442</t>
  </si>
  <si>
    <t>178320</t>
  </si>
  <si>
    <t>서진시스템</t>
  </si>
  <si>
    <t>유진투자증권</t>
  </si>
  <si>
    <t>신호와 소음</t>
  </si>
  <si>
    <t>93441</t>
  </si>
  <si>
    <t>028050</t>
  </si>
  <si>
    <t>발주처의 지갑이 두툼할 때 EPC사의 수주도 커진다</t>
  </si>
  <si>
    <t>93440</t>
  </si>
  <si>
    <t>181710</t>
  </si>
  <si>
    <t>NHN</t>
  </si>
  <si>
    <t>기술 성장성 지속 기대</t>
  </si>
  <si>
    <t>93439</t>
  </si>
  <si>
    <t>090460</t>
  </si>
  <si>
    <t>비에이치</t>
  </si>
  <si>
    <t>로봇 밸류체인 인식과 새로운 기회</t>
  </si>
  <si>
    <t>93438</t>
  </si>
  <si>
    <t>200670</t>
  </si>
  <si>
    <t>휴메딕스</t>
  </si>
  <si>
    <t>리투오/필러 성장으로 올해 사상 최대 실적 가시화</t>
  </si>
  <si>
    <t>93437</t>
  </si>
  <si>
    <t>222800</t>
  </si>
  <si>
    <t>심텍</t>
  </si>
  <si>
    <t>본질은 그대로</t>
  </si>
  <si>
    <t>93436</t>
  </si>
  <si>
    <t>060250</t>
  </si>
  <si>
    <t>NHN KCP</t>
  </si>
  <si>
    <t>지속 성장 기대</t>
  </si>
  <si>
    <t>93435</t>
  </si>
  <si>
    <t>139480</t>
  </si>
  <si>
    <t>이마트</t>
  </si>
  <si>
    <t>추가로 나올 악재가 있을까</t>
  </si>
  <si>
    <t>93434</t>
  </si>
  <si>
    <t>229500</t>
  </si>
  <si>
    <t>노브메타파마</t>
  </si>
  <si>
    <t>한국IR협의회</t>
  </si>
  <si>
    <t>Cyclo-Z의 재발견, 검증된 내약성 위에 확장되는 적응증</t>
  </si>
  <si>
    <t>93433</t>
  </si>
  <si>
    <t>2026-06-05</t>
  </si>
  <si>
    <t>218410</t>
  </si>
  <si>
    <t>RFHIC</t>
  </si>
  <si>
    <t>업데이트: 주가는 쉬었지만 펀더멘털은 여전히 좋습니다</t>
  </si>
  <si>
    <t>93432</t>
  </si>
  <si>
    <t>069960</t>
  </si>
  <si>
    <t>현대백화점</t>
  </si>
  <si>
    <t>이제 키 좀 맞춰볼까?</t>
  </si>
  <si>
    <t>93431</t>
  </si>
  <si>
    <t>098070</t>
  </si>
  <si>
    <t>한텍</t>
  </si>
  <si>
    <t>탐방노트: 북미 LNG 수주 모멘텀</t>
  </si>
  <si>
    <t>93430</t>
  </si>
  <si>
    <t>기판도 깐부다</t>
  </si>
  <si>
    <t>93429</t>
  </si>
  <si>
    <t>123330</t>
  </si>
  <si>
    <t>제닉</t>
  </si>
  <si>
    <t>역대 최대 매출 경신 중</t>
  </si>
  <si>
    <t>93428</t>
  </si>
  <si>
    <t>319660</t>
  </si>
  <si>
    <t>피에스케이</t>
  </si>
  <si>
    <t>모든 고객들이 Capex 상향</t>
  </si>
  <si>
    <t>93427</t>
  </si>
  <si>
    <t>001680</t>
  </si>
  <si>
    <t>대상</t>
  </si>
  <si>
    <t>1Q26 Re: 2분기까지 전년 베이스 부담</t>
  </si>
  <si>
    <t>93426</t>
  </si>
  <si>
    <t>가스(LNG)와 탄소중립을 위한 여정</t>
  </si>
  <si>
    <t>93425</t>
  </si>
  <si>
    <t>018880</t>
  </si>
  <si>
    <t>한온시스템</t>
  </si>
  <si>
    <t>유안타증권</t>
  </si>
  <si>
    <t>Hold</t>
  </si>
  <si>
    <t>손익은 소폭 개선, 재무는 여전히 부담</t>
  </si>
  <si>
    <t>93424</t>
  </si>
  <si>
    <t>122640</t>
  </si>
  <si>
    <t>예스티</t>
  </si>
  <si>
    <t>[NDR후기] 3개의 이벤트를 주목!</t>
  </si>
  <si>
    <t>93423</t>
  </si>
  <si>
    <t>061090</t>
  </si>
  <si>
    <t>세나테크놀로지</t>
  </si>
  <si>
    <t>음성을 통한 로봇과의 의사소통</t>
  </si>
  <si>
    <t>93422</t>
  </si>
  <si>
    <t>383220</t>
  </si>
  <si>
    <t>F&amp;F</t>
  </si>
  <si>
    <t>테일러메이드 매각 vs 인수 시나리오 분석</t>
  </si>
  <si>
    <t>93421</t>
  </si>
  <si>
    <t>039490</t>
  </si>
  <si>
    <t>목표주가 60만원</t>
  </si>
  <si>
    <t>93420</t>
  </si>
  <si>
    <t>060720</t>
  </si>
  <si>
    <t>KH바텍</t>
  </si>
  <si>
    <t>SK증권</t>
  </si>
  <si>
    <t>로봇/전장 부품사로 업그레이드</t>
  </si>
  <si>
    <t>93419</t>
  </si>
  <si>
    <t>388790</t>
  </si>
  <si>
    <t>라이콤</t>
  </si>
  <si>
    <t>숨겨진 광통신 수혜주</t>
  </si>
  <si>
    <t>93418</t>
  </si>
  <si>
    <t>192650</t>
  </si>
  <si>
    <t>드림텍</t>
  </si>
  <si>
    <t>하반기 반등 전망</t>
  </si>
  <si>
    <t>93417</t>
  </si>
  <si>
    <t>하반기부터 다시 실적 반등</t>
  </si>
  <si>
    <t>93416</t>
  </si>
  <si>
    <t>355690</t>
  </si>
  <si>
    <t>에이텀</t>
  </si>
  <si>
    <t>게임 체인저</t>
  </si>
  <si>
    <t>93415</t>
  </si>
  <si>
    <t>053280</t>
  </si>
  <si>
    <t>예스24</t>
  </si>
  <si>
    <t>26년 예상 배당수익률 8.7%, 재평가 가능성</t>
  </si>
  <si>
    <t>93414</t>
  </si>
  <si>
    <t>078590</t>
  </si>
  <si>
    <t>휴림에이텍</t>
  </si>
  <si>
    <t>NICE평가정보</t>
  </si>
  <si>
    <t>현대·기아차와 성장한 자동차 내외장재 전문기업, 친환경·자율주행 시대 선도</t>
  </si>
  <si>
    <t>93413</t>
  </si>
  <si>
    <t>149010</t>
  </si>
  <si>
    <t>아이케이세미콘</t>
  </si>
  <si>
    <t>서울평가정보</t>
  </si>
  <si>
    <t>자동차용 반도체로 성장축을 전환하는 고신뢰성 시스템 반도체 팹리스 기업</t>
  </si>
  <si>
    <t>93412</t>
  </si>
  <si>
    <t>413300</t>
  </si>
  <si>
    <t>티엘엔지니어링</t>
  </si>
  <si>
    <t>클린룸에서 시작해 에너지를 되살리다</t>
  </si>
  <si>
    <t>93411</t>
  </si>
  <si>
    <t>185190</t>
  </si>
  <si>
    <t>수프로</t>
  </si>
  <si>
    <t>수목에서 탄소까지, 국내를 넘어 세계를 녹이는 그린 전문기업</t>
  </si>
  <si>
    <t>93410</t>
  </si>
  <si>
    <t>207490</t>
  </si>
  <si>
    <t>에이펙스인텍</t>
  </si>
  <si>
    <t>공공 인프라용 LED 조명 기술 기반 사업 영역 확장 중</t>
  </si>
  <si>
    <t>93409</t>
  </si>
  <si>
    <t>162120</t>
  </si>
  <si>
    <t>루켄테크놀러지스</t>
  </si>
  <si>
    <t>디스플레이 검사장비에서 HBM·AI 반도체용 고정밀 검사부품으로 전환 추진 중</t>
  </si>
  <si>
    <t>93408</t>
  </si>
  <si>
    <t>289170</t>
  </si>
  <si>
    <t>바이오텐</t>
  </si>
  <si>
    <t>생체이용률 개선 수용화 소재 제품화 역량을 보유한 기업</t>
  </si>
  <si>
    <t>93407</t>
  </si>
  <si>
    <t>2026-06-04</t>
  </si>
  <si>
    <t>304360</t>
  </si>
  <si>
    <t>에스바이오메딕스</t>
  </si>
  <si>
    <t>TED-A9 임상 결과 후 전략</t>
  </si>
  <si>
    <t>93406</t>
  </si>
  <si>
    <t>LILLY - It's Hanmi</t>
  </si>
  <si>
    <t>93405</t>
  </si>
  <si>
    <t>039200</t>
  </si>
  <si>
    <t>오스코텍</t>
  </si>
  <si>
    <t>바이오텍의 정석</t>
  </si>
  <si>
    <t>93404</t>
  </si>
  <si>
    <t>릴리와의 계약 홈런</t>
  </si>
  <si>
    <t>93403</t>
  </si>
  <si>
    <t>226950</t>
  </si>
  <si>
    <t>올릭스</t>
  </si>
  <si>
    <t>로레알 지분투자, 본계약의 가능성 확인!</t>
  </si>
  <si>
    <t>93402</t>
  </si>
  <si>
    <t>230240</t>
  </si>
  <si>
    <t>에치에프알</t>
  </si>
  <si>
    <t>우리보다 확실한 AT&amp;T 벤더사는 없습니다</t>
  </si>
  <si>
    <t>93401</t>
  </si>
  <si>
    <t>세비도플레닙, 야-호!</t>
  </si>
  <si>
    <t>93400</t>
  </si>
  <si>
    <t>지분가치는 상승, 주주환원은 확대</t>
  </si>
  <si>
    <t>93399</t>
  </si>
  <si>
    <t>074600</t>
  </si>
  <si>
    <t>원익QnC</t>
  </si>
  <si>
    <t>쿼츠 수요의 구조적 성장</t>
  </si>
  <si>
    <t>93398</t>
  </si>
  <si>
    <t>035900</t>
  </si>
  <si>
    <t>JYP Ent.</t>
  </si>
  <si>
    <t>공연·MD 중심의 글로벌 IP 수익화 확대</t>
  </si>
  <si>
    <t>93397</t>
  </si>
  <si>
    <t>2026-06-02</t>
  </si>
  <si>
    <t>006260</t>
  </si>
  <si>
    <t>LS</t>
  </si>
  <si>
    <t>실적 성장 본격화 &amp; 주가 급락은 저가 매수 기회</t>
  </si>
  <si>
    <t>93396</t>
  </si>
  <si>
    <t>196170</t>
  </si>
  <si>
    <t>알테오젠</t>
  </si>
  <si>
    <t>특허 리스크 Down, 신규 딜 가능성 Up</t>
  </si>
  <si>
    <t>93395</t>
  </si>
  <si>
    <t>214450</t>
  </si>
  <si>
    <t>파마리서치</t>
  </si>
  <si>
    <t>코스닥을 담는다면 이런 종목부터</t>
  </si>
  <si>
    <t>93394</t>
  </si>
  <si>
    <t>DS투자증권</t>
  </si>
  <si>
    <t>소네페글루타이드 가치 재산정 이벤트</t>
  </si>
  <si>
    <t>93393</t>
  </si>
  <si>
    <t>로레알의 손을 잡고 더 넓은 세상으로</t>
  </si>
  <si>
    <t>93392</t>
  </si>
  <si>
    <t>032500</t>
  </si>
  <si>
    <t>케이엠더블유</t>
  </si>
  <si>
    <t>미국에서 삼성 수혜 볼 것, 길게 보면 너무 싼 주식</t>
  </si>
  <si>
    <t>93391</t>
  </si>
  <si>
    <t>일라이 릴리 기술이전으로 실적과 신약가치 ‘일석이조’</t>
  </si>
  <si>
    <t>93390</t>
  </si>
  <si>
    <t>로레알과 피를 섞다</t>
  </si>
  <si>
    <t>93389</t>
  </si>
  <si>
    <t>릴리와의 서프라이즈 빅딜, 비만에서 추가 L/O 기대</t>
  </si>
  <si>
    <t>93388</t>
  </si>
  <si>
    <t>170920</t>
  </si>
  <si>
    <t>엘티씨</t>
  </si>
  <si>
    <t>숫자로 보여주는 소부장 모범생</t>
  </si>
  <si>
    <t>93387</t>
  </si>
  <si>
    <t>049720</t>
  </si>
  <si>
    <t>고려신용정보</t>
  </si>
  <si>
    <t>어둠의 금융주</t>
  </si>
  <si>
    <t>93386</t>
  </si>
  <si>
    <t>올해 1건 ‘이상’ 기술이전 목표. 이상무!</t>
  </si>
  <si>
    <t>93385</t>
  </si>
  <si>
    <t>142210</t>
  </si>
  <si>
    <t>유니트론텍</t>
  </si>
  <si>
    <t>이제 저평가 아닌 재평가(feat. Micron, AUO)</t>
  </si>
  <si>
    <t>93384</t>
  </si>
  <si>
    <t>003000</t>
  </si>
  <si>
    <t>부광약품</t>
  </si>
  <si>
    <t>본업 성장세 위에 RNA 플랫폼 재평가 기대</t>
  </si>
  <si>
    <t>93383</t>
  </si>
  <si>
    <t>389650</t>
  </si>
  <si>
    <t>넥스트바이오메디컬</t>
  </si>
  <si>
    <t>벌써 3번째 글로벌 기업과 파트너십 발표</t>
  </si>
  <si>
    <t>93382</t>
  </si>
  <si>
    <t>2026-06-01</t>
  </si>
  <si>
    <t>엄중의 왕, 29년으로 모시겠습니다</t>
  </si>
  <si>
    <t>93381</t>
  </si>
  <si>
    <t>383310</t>
  </si>
  <si>
    <t>에코프로에이치엔</t>
  </si>
  <si>
    <t>반도체 팹 증설의 숨은 수혜주</t>
  </si>
  <si>
    <t>93380</t>
  </si>
  <si>
    <t>트리거가 필요해</t>
  </si>
  <si>
    <t>93379</t>
  </si>
  <si>
    <t>290650</t>
  </si>
  <si>
    <t>엘앤씨바이오</t>
  </si>
  <si>
    <t>Corporate Day 후기: 리투오가 바꾼 수익 구조</t>
  </si>
  <si>
    <t>93378</t>
  </si>
  <si>
    <t>042520</t>
  </si>
  <si>
    <t>한스바이오메드</t>
  </si>
  <si>
    <t>Corporate Day 후기: 신규 채널이 열린다</t>
  </si>
  <si>
    <t>93377</t>
  </si>
  <si>
    <t>009830</t>
  </si>
  <si>
    <t>한화솔루션</t>
  </si>
  <si>
    <t>2026년 유상증자 꼭 필요하다!</t>
  </si>
  <si>
    <t>93376</t>
  </si>
  <si>
    <t>000660</t>
  </si>
  <si>
    <t>SK하이닉스</t>
  </si>
  <si>
    <t>플러스 알파: ADR을 넘어 PHLX까지</t>
  </si>
  <si>
    <t>93375</t>
  </si>
  <si>
    <t>플러스 알파: 대규모 주주환원</t>
  </si>
  <si>
    <t>93374</t>
  </si>
  <si>
    <t>005160</t>
  </si>
  <si>
    <t>동국산업</t>
  </si>
  <si>
    <t>2차전지 소재기업 부각 및 풍력시장 수혜 기대</t>
  </si>
  <si>
    <t>93373</t>
  </si>
  <si>
    <t>006730</t>
  </si>
  <si>
    <t>서부T&amp;D</t>
  </si>
  <si>
    <t>최대 객실 레버리지 효과 및 자산가치 수익화 가속화</t>
  </si>
  <si>
    <t>93372</t>
  </si>
  <si>
    <t>299030</t>
  </si>
  <si>
    <t>하나기술</t>
  </si>
  <si>
    <t>1Q26 Review: 인도 및 북미향 본격 공급 준비</t>
  </si>
  <si>
    <t>93371</t>
  </si>
  <si>
    <t>064350</t>
  </si>
  <si>
    <t>현대로템</t>
  </si>
  <si>
    <t>창원 공장 투어에서 보고 온 것들</t>
  </si>
  <si>
    <t>93370</t>
  </si>
  <si>
    <t>356860</t>
  </si>
  <si>
    <t>티엘비</t>
  </si>
  <si>
    <t>쏘캠 (SOCAMM) 대장주</t>
  </si>
  <si>
    <t>93369</t>
  </si>
  <si>
    <t>베링거 앞서는 결과로 서프라이즈</t>
  </si>
  <si>
    <t>93368</t>
  </si>
  <si>
    <t>003550</t>
  </si>
  <si>
    <t>LG</t>
  </si>
  <si>
    <t>드디어 부각되기 시작한 AI + 로봇 밸류</t>
  </si>
  <si>
    <t>93367</t>
  </si>
  <si>
    <t>020000</t>
  </si>
  <si>
    <t>한섬</t>
  </si>
  <si>
    <t>프리미엄 회복에 밸류업을 더하다</t>
  </si>
  <si>
    <t>93366</t>
  </si>
  <si>
    <t>122870</t>
  </si>
  <si>
    <t>와이지엔터테인먼트</t>
  </si>
  <si>
    <t>세대교체 순항 중</t>
  </si>
  <si>
    <t>93365</t>
  </si>
  <si>
    <t>2026-05-29</t>
  </si>
  <si>
    <t>095660</t>
  </si>
  <si>
    <t>네오위즈</t>
  </si>
  <si>
    <t>대형 신작 성과까지의 기다림</t>
  </si>
  <si>
    <t>93364</t>
  </si>
  <si>
    <t>004150</t>
  </si>
  <si>
    <t>한솔홀딩스</t>
  </si>
  <si>
    <t>극심한 저평가 해소 구간</t>
  </si>
  <si>
    <t>93363</t>
  </si>
  <si>
    <t>454910</t>
  </si>
  <si>
    <t>두산로보틱스</t>
  </si>
  <si>
    <t>중립</t>
  </si>
  <si>
    <t>펀더멘털과 내러티브의 작은 변화</t>
  </si>
  <si>
    <t>93362</t>
  </si>
  <si>
    <t>079900</t>
  </si>
  <si>
    <t>전진건설로봇</t>
  </si>
  <si>
    <t>일시적 부진, 이어질 편안한 성장</t>
  </si>
  <si>
    <t>93361</t>
  </si>
  <si>
    <t>이제 피지컬 AI 기업으로 우뚝 섰습니다</t>
  </si>
  <si>
    <t>93360</t>
  </si>
  <si>
    <t>060980</t>
  </si>
  <si>
    <t>HL홀딩스</t>
  </si>
  <si>
    <t>지분가치 상승을 반영하여 목표주가 상향</t>
  </si>
  <si>
    <t>93359</t>
  </si>
  <si>
    <t>003670</t>
  </si>
  <si>
    <t>포스코퓨처엠</t>
  </si>
  <si>
    <t>흑연 가치에 대한 고찰</t>
  </si>
  <si>
    <t>93358</t>
  </si>
  <si>
    <t>017940</t>
  </si>
  <si>
    <t>E1</t>
  </si>
  <si>
    <t>일시적 부진. 2분기부터 안정화 예상</t>
  </si>
  <si>
    <t>93357</t>
  </si>
  <si>
    <t>081180</t>
  </si>
  <si>
    <t>쎄크</t>
  </si>
  <si>
    <t>미세화될수록 내면 검사가 중요해진다!</t>
  </si>
  <si>
    <t>93356</t>
  </si>
  <si>
    <t>129920</t>
  </si>
  <si>
    <t>대성하이텍</t>
  </si>
  <si>
    <t>본격적인 실적성장은 2Q26부터</t>
  </si>
  <si>
    <t>93355</t>
  </si>
  <si>
    <t>263860</t>
  </si>
  <si>
    <t>지니언스</t>
  </si>
  <si>
    <t>이유 있는 실적개선, 지속성 위한 준비태세</t>
  </si>
  <si>
    <t>93354</t>
  </si>
  <si>
    <t>248070</t>
  </si>
  <si>
    <t>솔루엠</t>
  </si>
  <si>
    <t>솔루엠 시즌2 돌입 준비</t>
  </si>
  <si>
    <t>93353</t>
  </si>
  <si>
    <t>033270</t>
  </si>
  <si>
    <t>유나이티드제약</t>
  </si>
  <si>
    <t>개량신약 중심, 제도 개편 영향 제한적</t>
  </si>
  <si>
    <t>93352</t>
  </si>
  <si>
    <t>034230</t>
  </si>
  <si>
    <t>파라다이스</t>
  </si>
  <si>
    <t>주가 부진에 가려진 복합 리조트 성장세</t>
  </si>
  <si>
    <t>93351</t>
  </si>
  <si>
    <t>009420</t>
  </si>
  <si>
    <t>한올바이오파마</t>
  </si>
  <si>
    <t>전세계 최초 성공, 1등을 사라</t>
  </si>
  <si>
    <t>93350</t>
  </si>
  <si>
    <t>090430</t>
  </si>
  <si>
    <t>아모레퍼시픽</t>
  </si>
  <si>
    <t>1Q26 Review: 차근차근</t>
  </si>
  <si>
    <t>93349</t>
  </si>
  <si>
    <t>183300</t>
  </si>
  <si>
    <t>코미코</t>
  </si>
  <si>
    <t>본업 회복과 미코세라믹스가 이끄는 재평가</t>
  </si>
  <si>
    <t>93348</t>
  </si>
  <si>
    <t>094360</t>
  </si>
  <si>
    <t>칩스앤미디어</t>
  </si>
  <si>
    <t>Physical AI 시대, 영상 데이터 폭증의 수혜주</t>
  </si>
  <si>
    <t>93347</t>
  </si>
  <si>
    <t>417840</t>
  </si>
  <si>
    <t>저스템</t>
  </si>
  <si>
    <t>반도체 수율 개선 투자의 핵심 수혜주</t>
  </si>
  <si>
    <t>93346</t>
  </si>
  <si>
    <t>051900</t>
  </si>
  <si>
    <t>LG생활건강</t>
  </si>
  <si>
    <t>1Q26 Review: 여명 직전</t>
  </si>
  <si>
    <t>93345</t>
  </si>
  <si>
    <t>전략적 판단 필요</t>
  </si>
  <si>
    <t>93344</t>
  </si>
  <si>
    <t>394800</t>
  </si>
  <si>
    <t>쓰리빌리언</t>
  </si>
  <si>
    <t>[AI] AI 기반 희귀질환 유전체 분석 전문기업</t>
  </si>
  <si>
    <t>93343</t>
  </si>
  <si>
    <t>096250</t>
  </si>
  <si>
    <t>와이즈넛</t>
  </si>
  <si>
    <t>[AI] AI 기반 검색 및 자연어처리 기술 전문기업</t>
  </si>
  <si>
    <t>93342</t>
  </si>
  <si>
    <t>051370</t>
  </si>
  <si>
    <t>인터플렉스</t>
  </si>
  <si>
    <t>[AI] FPCB 제조 전문성과 전장용 FPCB 확장</t>
  </si>
  <si>
    <t>93341</t>
  </si>
  <si>
    <t>234340</t>
  </si>
  <si>
    <t>헥토파이낸셜</t>
  </si>
  <si>
    <t>[AI] 전자결제 및 핀테크 금융 서비스 결합 사업</t>
  </si>
  <si>
    <t>93340</t>
  </si>
  <si>
    <t>245450</t>
  </si>
  <si>
    <t>씨앤에스링크</t>
  </si>
  <si>
    <t>통신·IoT 기술로 일상을 연결하는 ICT 전문 제조기업</t>
  </si>
  <si>
    <t>93339</t>
  </si>
  <si>
    <t>186230</t>
  </si>
  <si>
    <t>그린플러스</t>
  </si>
  <si>
    <t>첨단온실 인프라 시장에서 경쟁우위를 보유한 통합형 스마트팜 전문기업</t>
  </si>
  <si>
    <t>93338</t>
  </si>
  <si>
    <t>205500</t>
  </si>
  <si>
    <t>넥써쓰</t>
  </si>
  <si>
    <t>게임 개발 역량 기반 블록체인 플랫폼과 용역 사업으로 확장 중인 전환기 기업</t>
  </si>
  <si>
    <t>93337</t>
  </si>
  <si>
    <t>2026-05-28</t>
  </si>
  <si>
    <t>006280</t>
  </si>
  <si>
    <t>녹십자</t>
  </si>
  <si>
    <t>큐레보 매각: 장기 성장 동력 확보</t>
  </si>
  <si>
    <t>93336</t>
  </si>
  <si>
    <t>195870</t>
  </si>
  <si>
    <t>해성디에스</t>
  </si>
  <si>
    <t>1Q26 Re: 여기도 쇼티지</t>
  </si>
  <si>
    <t>93335</t>
  </si>
  <si>
    <t>26년, 반등 시작</t>
  </si>
  <si>
    <t>93334</t>
  </si>
  <si>
    <t>278470</t>
  </si>
  <si>
    <t>에이피알</t>
  </si>
  <si>
    <t>아직 가보지 않은 길이 많다</t>
  </si>
  <si>
    <t>93333</t>
  </si>
  <si>
    <t>111380</t>
  </si>
  <si>
    <t>동인기연</t>
  </si>
  <si>
    <t>믹스 개선으로 비수기에도 두 자릿수 OPM</t>
  </si>
  <si>
    <t>93332</t>
  </si>
  <si>
    <t>009450</t>
  </si>
  <si>
    <t>경동나비엔</t>
  </si>
  <si>
    <t>1Q는 예고편 2Q부터가 진짜</t>
  </si>
  <si>
    <t>93331</t>
  </si>
  <si>
    <t>241590</t>
  </si>
  <si>
    <t>화승엔터프라이즈</t>
  </si>
  <si>
    <t>가동률 턴어라운드 임박</t>
  </si>
  <si>
    <t>93330</t>
  </si>
  <si>
    <t>014830</t>
  </si>
  <si>
    <t>유니드</t>
  </si>
  <si>
    <t>26년 중국 법인이 리딩</t>
  </si>
  <si>
    <t>93329</t>
  </si>
  <si>
    <t>001250</t>
  </si>
  <si>
    <t>GS글로벌</t>
  </si>
  <si>
    <t>올해는 상사가 주인공</t>
  </si>
  <si>
    <t>93328</t>
  </si>
  <si>
    <t>005380</t>
  </si>
  <si>
    <t>현대차</t>
  </si>
  <si>
    <t>현대차의 PER은 왜 달라져야 하는가</t>
  </si>
  <si>
    <t>93327</t>
  </si>
  <si>
    <t>249420</t>
  </si>
  <si>
    <t>일동제약</t>
  </si>
  <si>
    <t>실적 반등 확인, 파이프라인 가치 재평가 기대</t>
  </si>
  <si>
    <t>93326</t>
  </si>
  <si>
    <t>섹터의 구원자</t>
  </si>
  <si>
    <t>93325</t>
  </si>
  <si>
    <t>217590</t>
  </si>
  <si>
    <t>티엠씨</t>
  </si>
  <si>
    <t>시즌 2 를 향해</t>
  </si>
  <si>
    <t>93324</t>
  </si>
  <si>
    <t>030200</t>
  </si>
  <si>
    <t>KT</t>
  </si>
  <si>
    <t>6월 전략 - 이젠 장기 매수 전략이 차라리 나을 듯</t>
  </si>
  <si>
    <t>93323</t>
  </si>
  <si>
    <t>032640</t>
  </si>
  <si>
    <t>LG유플러스</t>
  </si>
  <si>
    <t>6월 전략 - 8월 보고 미리 보유하세요</t>
  </si>
  <si>
    <t>93322</t>
  </si>
  <si>
    <t>017670</t>
  </si>
  <si>
    <t>SK텔레콤</t>
  </si>
  <si>
    <t>6월 전략 - Multiple 확장 국면 전개될 듯</t>
  </si>
  <si>
    <t>93321</t>
  </si>
  <si>
    <t>357780</t>
  </si>
  <si>
    <t>솔브레인</t>
  </si>
  <si>
    <t>무기가 다양해지고 있다</t>
  </si>
  <si>
    <t>93320</t>
  </si>
  <si>
    <t>459100</t>
  </si>
  <si>
    <t>위츠</t>
  </si>
  <si>
    <t>무선충전모듈에서 가전, 전장 사업 등으로 다각화</t>
  </si>
  <si>
    <t>93319</t>
  </si>
  <si>
    <t>270660</t>
  </si>
  <si>
    <t>에브리봇</t>
  </si>
  <si>
    <t>체질 개선의 시작</t>
  </si>
  <si>
    <t>93318</t>
  </si>
  <si>
    <t>000640</t>
  </si>
  <si>
    <t>동아쏘시오홀딩스</t>
  </si>
  <si>
    <t>자회사의 단기 실적 개선과 중장기 성장에 주목</t>
  </si>
  <si>
    <t>93317</t>
  </si>
  <si>
    <t>461030</t>
  </si>
  <si>
    <t>아이엠비디엑스</t>
  </si>
  <si>
    <t>기술 입증으로 해외 공략 가속</t>
  </si>
  <si>
    <t>93316</t>
  </si>
  <si>
    <t>041830</t>
  </si>
  <si>
    <t>인바디</t>
  </si>
  <si>
    <t>미국 비만 관리시장, 흥분해도 좋다!</t>
  </si>
  <si>
    <t>93315</t>
  </si>
  <si>
    <t>204270</t>
  </si>
  <si>
    <t>제이앤티씨</t>
  </si>
  <si>
    <t>1Q26 Review: 하반기 신사업 매출 본격화 기대</t>
  </si>
  <si>
    <t>93314</t>
  </si>
  <si>
    <t>290740</t>
  </si>
  <si>
    <t>액트로</t>
  </si>
  <si>
    <t>1Q26 Review: 신사업(전장&amp;로봇) 가시화 단계</t>
  </si>
  <si>
    <t>93313</t>
  </si>
  <si>
    <t>012330</t>
  </si>
  <si>
    <t>현대모비스</t>
  </si>
  <si>
    <t>자동차 부품사를 넘어 Physical AI 밸류체인으로</t>
  </si>
  <si>
    <t>93312</t>
  </si>
  <si>
    <t>444530</t>
  </si>
  <si>
    <t>심플랫폼</t>
  </si>
  <si>
    <t>피지컬 AI의 숨겨진 진주</t>
  </si>
  <si>
    <t>93311</t>
  </si>
  <si>
    <t>083650</t>
  </si>
  <si>
    <t>비에이치아이</t>
  </si>
  <si>
    <t>펀더멘털 이상무</t>
  </si>
  <si>
    <t>93310</t>
  </si>
  <si>
    <t>003070</t>
  </si>
  <si>
    <t>코오롱글로벌</t>
  </si>
  <si>
    <t>[NDR 후기] 빅배스 이후 실적 정상화</t>
  </si>
  <si>
    <t>93309</t>
  </si>
  <si>
    <t>259630</t>
  </si>
  <si>
    <t>엠플러스</t>
  </si>
  <si>
    <t>높아지는 경쟁력 주목</t>
  </si>
  <si>
    <t>93308</t>
  </si>
  <si>
    <t>All Clear!! 히어로가 나타났다</t>
  </si>
  <si>
    <t>93307</t>
  </si>
  <si>
    <t>릴리의 선택. 단순 일회성이 아닌 선순환의 시작</t>
  </si>
  <si>
    <t>93306</t>
  </si>
  <si>
    <t>491000</t>
  </si>
  <si>
    <t>리브스메드</t>
  </si>
  <si>
    <t>아쉬운 실적과 수술로봇 기대감 사이</t>
  </si>
  <si>
    <t>93305</t>
  </si>
  <si>
    <t>004990</t>
  </si>
  <si>
    <t>롯데지주</t>
  </si>
  <si>
    <t>롯데그룹 시각에서 해석해야 할 시점</t>
  </si>
  <si>
    <t>93304</t>
  </si>
  <si>
    <t>215200</t>
  </si>
  <si>
    <t>메가스터디교육</t>
  </si>
  <si>
    <t>교육 시장 재편의 수혜주</t>
  </si>
  <si>
    <t>93303</t>
  </si>
  <si>
    <t>140070</t>
  </si>
  <si>
    <t>서플러스글로벌</t>
  </si>
  <si>
    <t>[AI] 중고 반도체 장비 유통 및 재생 전문기업</t>
  </si>
  <si>
    <t>93302</t>
  </si>
  <si>
    <t>475580</t>
  </si>
  <si>
    <t>에이럭스</t>
  </si>
  <si>
    <t>[AI] 로봇 및 자동화 산업 내 매출 성장 기업</t>
  </si>
  <si>
    <t>93301</t>
  </si>
  <si>
    <t>036800</t>
  </si>
  <si>
    <t>나이스정보통신</t>
  </si>
  <si>
    <t>[AI] 전자결제 및 VAN 서비스 전문기업</t>
  </si>
  <si>
    <t>93300</t>
  </si>
  <si>
    <t>475460</t>
  </si>
  <si>
    <t>미트박스</t>
  </si>
  <si>
    <t>[AI] 축산물 온라인 B2B 유통 플랫폼 전문기업</t>
  </si>
  <si>
    <t>93299</t>
  </si>
  <si>
    <t>086710</t>
  </si>
  <si>
    <t>선진뷰티사이언스</t>
  </si>
  <si>
    <t>[AI] 화장품 원료 및 완제품 제조 전문기업</t>
  </si>
  <si>
    <t>93298</t>
  </si>
  <si>
    <t>2026-05-27</t>
  </si>
  <si>
    <t>380550</t>
  </si>
  <si>
    <t>뉴로핏</t>
  </si>
  <si>
    <t>글로벌 시장 진입에 따른 성장통</t>
  </si>
  <si>
    <t>93297</t>
  </si>
  <si>
    <t>013030</t>
  </si>
  <si>
    <t>하이록코리아</t>
  </si>
  <si>
    <t>에너지 공급망 재편 수혜주</t>
  </si>
  <si>
    <t>93296</t>
  </si>
  <si>
    <t>MarketPerform</t>
  </si>
  <si>
    <t>멀티플이 펀더멘탈을 하회하기 시작</t>
  </si>
  <si>
    <t>93295</t>
  </si>
  <si>
    <t>403550</t>
  </si>
  <si>
    <t>쏘카</t>
  </si>
  <si>
    <t>모빌리티 혁신은 계속된다</t>
  </si>
  <si>
    <t>93294</t>
  </si>
  <si>
    <t>070960</t>
  </si>
  <si>
    <t>모나용평</t>
  </si>
  <si>
    <t>이어질 분양과 이에 따른 운영 매출 확대에 주목</t>
  </si>
  <si>
    <t>93293</t>
  </si>
  <si>
    <t>126720</t>
  </si>
  <si>
    <t>수산인더스트리</t>
  </si>
  <si>
    <t>원전 생태계 확대로 기대되는 수혜</t>
  </si>
  <si>
    <t>93292</t>
  </si>
  <si>
    <t>286940</t>
  </si>
  <si>
    <t>롯데이노베이트</t>
  </si>
  <si>
    <t>본업은 성장하지만 주가의 촉매가 부족</t>
  </si>
  <si>
    <t>93291</t>
  </si>
  <si>
    <t>034120</t>
  </si>
  <si>
    <t>SBS</t>
  </si>
  <si>
    <t>콘텐츠로 광고 부진 방어</t>
  </si>
  <si>
    <t>93290</t>
  </si>
  <si>
    <t>097230</t>
  </si>
  <si>
    <t>HJ중공업</t>
  </si>
  <si>
    <t>개화하는 상선과 다가오는 미국향 모멘텀</t>
  </si>
  <si>
    <t>93289</t>
  </si>
  <si>
    <t>456010</t>
  </si>
  <si>
    <t>아이씨티케이</t>
  </si>
  <si>
    <t>트럼프가 양자산업에 사활을 걸고 있습니다</t>
  </si>
  <si>
    <t>93288</t>
  </si>
  <si>
    <t>340450</t>
  </si>
  <si>
    <t>지씨지놈</t>
  </si>
  <si>
    <t>여기 임상유전체와 액체생검은 공상과학이 아니네?</t>
  </si>
  <si>
    <t>93287</t>
  </si>
  <si>
    <t>105630</t>
  </si>
  <si>
    <t>한세실업</t>
  </si>
  <si>
    <t>1Q26 Review: 완만한 기울기로</t>
  </si>
  <si>
    <t>93286</t>
  </si>
  <si>
    <t>전약후강(前弱後强)</t>
  </si>
  <si>
    <t>93285</t>
  </si>
  <si>
    <t>밸류에이션 집중 추격 구간</t>
  </si>
  <si>
    <t>93284</t>
  </si>
  <si>
    <t>452430</t>
  </si>
  <si>
    <t>사피엔반도체</t>
  </si>
  <si>
    <t>1Q26 Review: 하반기 AR Glass 출시 경쟁 수혜</t>
  </si>
  <si>
    <t>93283</t>
  </si>
  <si>
    <t>밸류에이션 대기권 돌파</t>
  </si>
  <si>
    <t>93282</t>
  </si>
  <si>
    <t>068270</t>
  </si>
  <si>
    <t>CSID 후기: 오픈 이노베이션으로 맞춘 신약 퍼즐</t>
  </si>
  <si>
    <t>93281</t>
  </si>
  <si>
    <t>052710</t>
  </si>
  <si>
    <t>아모텍</t>
  </si>
  <si>
    <t>광 네트워크 시대, 가장 매력적인 투자 대안</t>
  </si>
  <si>
    <t>93280</t>
  </si>
  <si>
    <t>034730</t>
  </si>
  <si>
    <t>SK</t>
  </si>
  <si>
    <t>26년엔 SK에코플랜트를 주목하자</t>
  </si>
  <si>
    <t>93279</t>
  </si>
  <si>
    <t>311060</t>
  </si>
  <si>
    <t>엘에이티</t>
  </si>
  <si>
    <t>차세대 에너지 인프라 장비사로의 도약</t>
  </si>
  <si>
    <t>93278</t>
  </si>
  <si>
    <t>122900</t>
  </si>
  <si>
    <t>아이마켓코리아</t>
  </si>
  <si>
    <t>삼성과 밀접한 거 아시잖아요</t>
  </si>
  <si>
    <t>93277</t>
  </si>
  <si>
    <t>328130</t>
  </si>
  <si>
    <t>루닛</t>
  </si>
  <si>
    <t>더 강해져 돌아왔다</t>
  </si>
  <si>
    <t>93276</t>
  </si>
  <si>
    <t>현대차증권</t>
  </si>
  <si>
    <t>2026년 나는 다시 태어났다</t>
  </si>
  <si>
    <t>93275</t>
  </si>
  <si>
    <t>우려하는 Chasm이 오지 않을 수도 있다</t>
  </si>
  <si>
    <t>93274</t>
  </si>
  <si>
    <t>2026-05-26</t>
  </si>
  <si>
    <t>003220</t>
  </si>
  <si>
    <t>대원제약</t>
  </si>
  <si>
    <t>견조한 성장 흐름 유지</t>
  </si>
  <si>
    <t>93273</t>
  </si>
  <si>
    <t>145720</t>
  </si>
  <si>
    <t>덴티움</t>
  </si>
  <si>
    <t>효율화 성공</t>
  </si>
  <si>
    <t>93272</t>
  </si>
  <si>
    <t>185750</t>
  </si>
  <si>
    <t>종근당</t>
  </si>
  <si>
    <t>위고비로 안정화된 Top line</t>
  </si>
  <si>
    <t>93271</t>
  </si>
  <si>
    <t>326030</t>
  </si>
  <si>
    <t>SK바이오팜</t>
  </si>
  <si>
    <t>견조한 엑스코프리의 성장세 확인</t>
  </si>
  <si>
    <t>93270</t>
  </si>
  <si>
    <t>010060</t>
  </si>
  <si>
    <t>OCI홀딩스</t>
  </si>
  <si>
    <t>GE Vernova가 부럽지 않다</t>
  </si>
  <si>
    <t>93269</t>
  </si>
  <si>
    <t>011070</t>
  </si>
  <si>
    <t>LG이노텍</t>
  </si>
  <si>
    <t>전 사업부의 우상향 방향성</t>
  </si>
  <si>
    <t>93268</t>
  </si>
  <si>
    <t>010140</t>
  </si>
  <si>
    <t>삼성중공업</t>
  </si>
  <si>
    <t>이제부터가 진짜</t>
  </si>
  <si>
    <t>93267</t>
  </si>
  <si>
    <t>086390</t>
  </si>
  <si>
    <t>유니테스트</t>
  </si>
  <si>
    <t>HBM4 번인 테스터, 중화권 CAPA 증설, 태양광 턴어라운드</t>
  </si>
  <si>
    <t>93266</t>
  </si>
  <si>
    <t>095340</t>
  </si>
  <si>
    <t>ISC</t>
  </si>
  <si>
    <t>AI 내러티브, 실적 성장 모두 완벽</t>
  </si>
  <si>
    <t>93265</t>
  </si>
  <si>
    <t>161890</t>
  </si>
  <si>
    <t>한국콜마</t>
  </si>
  <si>
    <t>Corporate Day 후기: 3Q도 간다</t>
  </si>
  <si>
    <t>93264</t>
  </si>
  <si>
    <t>483650</t>
  </si>
  <si>
    <t>달바글로벌</t>
  </si>
  <si>
    <t>Corporate Day 후기: 확장과 다변화</t>
  </si>
  <si>
    <t>93263</t>
  </si>
  <si>
    <t>257720</t>
  </si>
  <si>
    <t>실리콘투</t>
  </si>
  <si>
    <t>Corporate Day 후기: 글로벌 확장 지속</t>
  </si>
  <si>
    <t>93262</t>
  </si>
  <si>
    <t>192820</t>
  </si>
  <si>
    <t>코스맥스</t>
  </si>
  <si>
    <t>Corporate Day 후기: 미국 턴어라운드 기대</t>
  </si>
  <si>
    <t>93261</t>
  </si>
  <si>
    <t>073490</t>
  </si>
  <si>
    <t>LIG아큐버</t>
  </si>
  <si>
    <t>O-RAN 테스트 역량 보유</t>
  </si>
  <si>
    <t>93260</t>
  </si>
  <si>
    <t>389020</t>
  </si>
  <si>
    <t>자람테크놀로지</t>
  </si>
  <si>
    <t>차세대 통신망의 핵심 제품 보유</t>
  </si>
  <si>
    <t>93259</t>
  </si>
  <si>
    <t>050890</t>
  </si>
  <si>
    <t>쏠리드</t>
  </si>
  <si>
    <t>Capex 사이클 및 네트워크 투자 확대 수혜</t>
  </si>
  <si>
    <t>93258</t>
  </si>
  <si>
    <t>272450</t>
  </si>
  <si>
    <t>진에어</t>
  </si>
  <si>
    <t>버틸 체력은 충분</t>
  </si>
  <si>
    <t>93257</t>
  </si>
  <si>
    <t>세대 전환의 최대 수혜주. 턴어라운드 시작</t>
  </si>
  <si>
    <t>93256</t>
  </si>
  <si>
    <t>새로운 꿈을 꾸기 시작했다</t>
  </si>
  <si>
    <t>93255</t>
  </si>
  <si>
    <t>336260</t>
  </si>
  <si>
    <t>두산퓨얼셀</t>
  </si>
  <si>
    <t>해외 사업 중심으로 구조 전환</t>
  </si>
  <si>
    <t>93254</t>
  </si>
  <si>
    <t>초호황에 증설로 응수</t>
  </si>
  <si>
    <t>93253</t>
  </si>
  <si>
    <t xml:space="preserve">1Q26 Review: 글로벌 재건 및 인프라 수요 기대 </t>
  </si>
  <si>
    <t>93252</t>
  </si>
  <si>
    <t>365340</t>
  </si>
  <si>
    <t>성일하이텍</t>
  </si>
  <si>
    <t>1Q26 Review: 본격적인 실적 턴어라운드 시작</t>
  </si>
  <si>
    <t>93251</t>
  </si>
  <si>
    <t>043260</t>
  </si>
  <si>
    <t>성호전자</t>
  </si>
  <si>
    <t xml:space="preserve">[탐방후기] CPO 도메인의 확장에서 찾는 성장 기회 </t>
  </si>
  <si>
    <t>93250</t>
  </si>
  <si>
    <t>글로벌 1등 부품 기업 멀티플</t>
  </si>
  <si>
    <t>93249</t>
  </si>
  <si>
    <t>최선호주의 이유</t>
  </si>
  <si>
    <t>93248</t>
  </si>
  <si>
    <t>111770</t>
  </si>
  <si>
    <t>영원무역</t>
  </si>
  <si>
    <t>1Q26 Review: 글로벌 탑 애슬레저 브랜드 생산 모음 zip</t>
  </si>
  <si>
    <t>93247</t>
  </si>
  <si>
    <t>044490</t>
  </si>
  <si>
    <t>태웅</t>
  </si>
  <si>
    <t>올해 미국 원전 진출 가시화로 성장성 가속화</t>
  </si>
  <si>
    <t>93246</t>
  </si>
  <si>
    <t>올해 미국 원전 진출 및 사상 최대 실적 가시화</t>
  </si>
  <si>
    <t>93245</t>
  </si>
  <si>
    <t>삼성그룹 지주사로 밸류업 및 원전 밸류 상승 본격화</t>
  </si>
  <si>
    <t>93244</t>
  </si>
  <si>
    <t>081660</t>
  </si>
  <si>
    <t>미스토홀딩스</t>
  </si>
  <si>
    <t>국내 실적 호조, 배당주 매력 지속</t>
  </si>
  <si>
    <t>93243</t>
  </si>
  <si>
    <t>003570</t>
  </si>
  <si>
    <t>SNT다이내믹스</t>
  </si>
  <si>
    <t>이제는 조연 아닌 주인공</t>
  </si>
  <si>
    <t>93242</t>
  </si>
  <si>
    <t>388610</t>
  </si>
  <si>
    <t>지에프씨생명과학</t>
  </si>
  <si>
    <t>화장품 융복합 바이오 소재 전문기업</t>
  </si>
  <si>
    <t>93241</t>
  </si>
  <si>
    <t>402340</t>
  </si>
  <si>
    <t>SK스퀘어</t>
  </si>
  <si>
    <t>백조의 첫 날갯짓</t>
  </si>
  <si>
    <t>93240</t>
  </si>
  <si>
    <t>93239</t>
  </si>
  <si>
    <t>93238</t>
  </si>
  <si>
    <t>023160</t>
  </si>
  <si>
    <t>태광</t>
  </si>
  <si>
    <t>막힌 LNG, 빨라지는 모듈러 투자</t>
  </si>
  <si>
    <t>93237</t>
  </si>
  <si>
    <t>ESL로 벌고, 전력으로 큰다</t>
  </si>
  <si>
    <t>93236</t>
  </si>
  <si>
    <t>2026-05-22</t>
  </si>
  <si>
    <t>077970</t>
  </si>
  <si>
    <t>STX엔진</t>
  </si>
  <si>
    <t>유암코 PEF 청산 관련 코멘트: 사업 분리 매각 가능성 제시</t>
  </si>
  <si>
    <t>93235</t>
  </si>
  <si>
    <t>메리츠증권</t>
  </si>
  <si>
    <t>대체불가</t>
  </si>
  <si>
    <t>93234</t>
  </si>
  <si>
    <t>069620</t>
  </si>
  <si>
    <t>대웅제약</t>
  </si>
  <si>
    <t>1Q26 Re: 하반기를 기대해보자</t>
  </si>
  <si>
    <t>93233</t>
  </si>
  <si>
    <t>126340</t>
  </si>
  <si>
    <t>비나텍</t>
  </si>
  <si>
    <t>지속되는 사세 확장</t>
  </si>
  <si>
    <t>93232</t>
  </si>
  <si>
    <t>1402, 성공의 신호탄</t>
  </si>
  <si>
    <t>93231</t>
  </si>
  <si>
    <t>원재료 부담도 상쇄할 소재 역량</t>
  </si>
  <si>
    <t>93230</t>
  </si>
  <si>
    <t>213420</t>
  </si>
  <si>
    <t>덕산네오룩스</t>
  </si>
  <si>
    <t>전방 우려 속 두드러질 추이</t>
  </si>
  <si>
    <t>93229</t>
  </si>
  <si>
    <t>138080</t>
  </si>
  <si>
    <t>오이솔루션</t>
  </si>
  <si>
    <t>저는 “무선통신장비주” 입니다</t>
  </si>
  <si>
    <t>93228</t>
  </si>
  <si>
    <t>010780</t>
  </si>
  <si>
    <t>아이에스동서</t>
  </si>
  <si>
    <t>6월 경산 펜타힐즈W 분양 확정</t>
  </si>
  <si>
    <t>93227</t>
  </si>
  <si>
    <t>114090</t>
  </si>
  <si>
    <t>GKL</t>
  </si>
  <si>
    <t>점진적 실적 개선세는 지속 중</t>
  </si>
  <si>
    <t>93226</t>
  </si>
  <si>
    <t>014790</t>
  </si>
  <si>
    <t>HL D&amp;I</t>
  </si>
  <si>
    <t>2026, 2027, 2028년 영업이익 &gt;&gt;&gt; 현재 시가총액</t>
  </si>
  <si>
    <t>93225</t>
  </si>
  <si>
    <t>192080</t>
  </si>
  <si>
    <t>더블유게임즈</t>
  </si>
  <si>
    <t>AI 게임 개발과 지배구조 개선, Top Pick</t>
  </si>
  <si>
    <t>93224</t>
  </si>
  <si>
    <t>NDR 후기: 기술수출 선순환 진입</t>
  </si>
  <si>
    <t>93223</t>
  </si>
  <si>
    <t>058470</t>
  </si>
  <si>
    <t>AI시대 소켓은 필수</t>
  </si>
  <si>
    <t>93222</t>
  </si>
  <si>
    <t>실적이 끌고 정책은 밀고!</t>
  </si>
  <si>
    <t>93221</t>
  </si>
  <si>
    <t>475960</t>
  </si>
  <si>
    <t>토모큐브</t>
  </si>
  <si>
    <t>낭중지추(囊中之錐)</t>
  </si>
  <si>
    <t>93220</t>
  </si>
  <si>
    <t>93219</t>
  </si>
  <si>
    <t>042000</t>
  </si>
  <si>
    <t>카페24</t>
  </si>
  <si>
    <t>기다림의 시기</t>
  </si>
  <si>
    <t>93218</t>
  </si>
  <si>
    <t>018260</t>
  </si>
  <si>
    <t>삼성에스디에스</t>
  </si>
  <si>
    <t>AI 시대의 확실한 수혜주</t>
  </si>
  <si>
    <t>93217</t>
  </si>
  <si>
    <t>064400</t>
  </si>
  <si>
    <t>LG씨엔에스</t>
  </si>
  <si>
    <t>AI, 로봇 전환 수혜 본격화</t>
  </si>
  <si>
    <t>93216</t>
  </si>
  <si>
    <t>035720</t>
  </si>
  <si>
    <t>카카오</t>
  </si>
  <si>
    <t>증명이 필요한 시기</t>
  </si>
  <si>
    <t>93215</t>
  </si>
  <si>
    <t>트래픽 감소 우려</t>
  </si>
  <si>
    <t>93214</t>
  </si>
  <si>
    <t>236030</t>
  </si>
  <si>
    <t>씨알푸드</t>
  </si>
  <si>
    <t>건강지향 곡물 가공식품과 B2B 원료형 사업으로 확장 추진 중</t>
  </si>
  <si>
    <t>93213</t>
  </si>
  <si>
    <t>253610</t>
  </si>
  <si>
    <t>루트락</t>
  </si>
  <si>
    <t>한국인의 관절을 지키는 국산 정형외과 임플란트 선도기업</t>
  </si>
  <si>
    <t>93212</t>
  </si>
  <si>
    <t>112190</t>
  </si>
  <si>
    <t>KC산업</t>
  </si>
  <si>
    <t>콘크리트를 스마트하게, 설계부터 시공까지 - PC산업의 독보적 1위</t>
  </si>
  <si>
    <t>93211</t>
  </si>
  <si>
    <t>276240</t>
  </si>
  <si>
    <t>엘리비젼</t>
  </si>
  <si>
    <t>고객 맞춤형 인터랙티브 키오스크 솔루션 기업</t>
  </si>
  <si>
    <t>93210</t>
  </si>
  <si>
    <t>114810</t>
  </si>
  <si>
    <t>한솔아이원스</t>
  </si>
  <si>
    <t>[AI] 반도체 공정용 소모성 부품 제조 및 재생 전문기업</t>
  </si>
  <si>
    <t>93209</t>
  </si>
  <si>
    <t>212710</t>
  </si>
  <si>
    <t>아이에스티이</t>
  </si>
  <si>
    <t>[AI] 반도체 및 디스플레이 제조 장비 전문기업</t>
  </si>
  <si>
    <t>93208</t>
  </si>
  <si>
    <t>272110</t>
  </si>
  <si>
    <t>케이엔제이</t>
  </si>
  <si>
    <t>[AI] 반도체 식각 공정용 소모성 부품 전문기업</t>
  </si>
  <si>
    <t>93207</t>
  </si>
  <si>
    <t>278280</t>
  </si>
  <si>
    <t>천보</t>
  </si>
  <si>
    <t>[AI] 2차전지 전해질 첨가제 및 전자재료 전문기업</t>
  </si>
  <si>
    <t>93206</t>
  </si>
  <si>
    <t>2026-05-21</t>
  </si>
  <si>
    <t>Best in class 전략 유효</t>
  </si>
  <si>
    <t>93205</t>
  </si>
  <si>
    <t>018670</t>
  </si>
  <si>
    <t>SK가스</t>
  </si>
  <si>
    <t>NDR 후기: 좋은 내용 대비 너무 빠진 주가</t>
  </si>
  <si>
    <t>93204</t>
  </si>
  <si>
    <t>부진 속 기대 요인 점검</t>
  </si>
  <si>
    <t>93203</t>
  </si>
  <si>
    <t>점점 더 강해지는 확신</t>
  </si>
  <si>
    <t>93202</t>
  </si>
  <si>
    <t>미국 5G SA 시대 개막, 삼성/애플 수혜 기대</t>
  </si>
  <si>
    <t>93201</t>
  </si>
  <si>
    <t>357230</t>
  </si>
  <si>
    <t>에이치피오</t>
  </si>
  <si>
    <t>M&amp;A를 통한 성장 지속</t>
  </si>
  <si>
    <t>93200</t>
  </si>
  <si>
    <t>[다시봐] 26년 매출성장 기대 요인</t>
  </si>
  <si>
    <t>93199</t>
  </si>
  <si>
    <t>114840</t>
  </si>
  <si>
    <t>아이패밀리에스씨</t>
  </si>
  <si>
    <t>[다시봐] 다작속에 히트작품 나온다!</t>
  </si>
  <si>
    <t>93198</t>
  </si>
  <si>
    <t>010280</t>
  </si>
  <si>
    <t>아이티센엔텍</t>
  </si>
  <si>
    <t>1Q26 Review: CX 중심에서 AX, DX로 확대 중</t>
  </si>
  <si>
    <t>93197</t>
  </si>
  <si>
    <t>294570</t>
  </si>
  <si>
    <t>쿠콘</t>
  </si>
  <si>
    <t>1Q26 Review: 7분기 연속 수익성 개선(YoY) 지속</t>
  </si>
  <si>
    <t>93196</t>
  </si>
  <si>
    <t>095570</t>
  </si>
  <si>
    <t>AJ네트웍스</t>
  </si>
  <si>
    <t>1Q26 Review: 서빙 로봇, 물류로봇 렌탈 사업 확대</t>
  </si>
  <si>
    <t>93195</t>
  </si>
  <si>
    <t>기대의 문턱을 넘어섰다!</t>
  </si>
  <si>
    <t>93194</t>
  </si>
  <si>
    <t>주도주는 원래 비싼 겁니다</t>
  </si>
  <si>
    <t>93193</t>
  </si>
  <si>
    <t>초호황 속 조정 구간 = 매수 타이밍</t>
  </si>
  <si>
    <t>93192</t>
  </si>
  <si>
    <t>1Q26 Review: 외국인 관광객 고맙습니다</t>
  </si>
  <si>
    <t>93191</t>
  </si>
  <si>
    <t>실리콘 커패시터/대규모 수주 공시</t>
  </si>
  <si>
    <t>93190</t>
  </si>
  <si>
    <t>014620</t>
  </si>
  <si>
    <t>성광벤드</t>
  </si>
  <si>
    <t>NDR 후기: 기대 이상의 전방 시장이 온다</t>
  </si>
  <si>
    <t>93189</t>
  </si>
  <si>
    <t>489500</t>
  </si>
  <si>
    <t>엘케이켐</t>
  </si>
  <si>
    <t>고성능 서버 칩의 대체불가 소재기업</t>
  </si>
  <si>
    <t>93188</t>
  </si>
  <si>
    <t>여전히 포카드</t>
  </si>
  <si>
    <t>93187</t>
  </si>
  <si>
    <t>141080</t>
  </si>
  <si>
    <t>리가켐바이오</t>
  </si>
  <si>
    <t>흔들리는 것은 마음일 뿐이다</t>
  </si>
  <si>
    <t>93186</t>
  </si>
  <si>
    <t>실리콘커패시터 대규모 수주 시사점: ① LTA, ② Fabless biz, ③ 턴키 biz의 퍼즐</t>
  </si>
  <si>
    <t>93185</t>
  </si>
  <si>
    <t>317330</t>
  </si>
  <si>
    <t>덕산테코피아</t>
  </si>
  <si>
    <t>NDR 후기: 2H26 본격 성장 기대</t>
  </si>
  <si>
    <t>93184</t>
  </si>
  <si>
    <t>032350</t>
  </si>
  <si>
    <t>롯데관광개발</t>
  </si>
  <si>
    <t>NDR 후기: 2Q26 순항 중</t>
  </si>
  <si>
    <t>93183</t>
  </si>
  <si>
    <t>006800</t>
  </si>
  <si>
    <t>해외법인 체력 개선 확인. 지속성 검증 구간</t>
  </si>
  <si>
    <t>93182</t>
  </si>
  <si>
    <t>AI 추론 수요 확대 수혜</t>
  </si>
  <si>
    <t>93181</t>
  </si>
  <si>
    <t>072870</t>
  </si>
  <si>
    <t>메가스터디</t>
  </si>
  <si>
    <t>레저사업을 기반으로 적극적인 주주환원 정책 기대</t>
  </si>
  <si>
    <t>93180</t>
  </si>
  <si>
    <t>418470</t>
  </si>
  <si>
    <t>KT밀리의서재</t>
  </si>
  <si>
    <t>시총 84%가 순현금, 전자책 구독 1위 기업</t>
  </si>
  <si>
    <t>93179</t>
  </si>
  <si>
    <t>293490</t>
  </si>
  <si>
    <t>카카오게임즈</t>
  </si>
  <si>
    <t>재개되는 신작 모멘텀과 기대되는 라인야후 시너지</t>
  </si>
  <si>
    <t>93178</t>
  </si>
  <si>
    <t>내부는 태풍, 외부는 폭풍</t>
  </si>
  <si>
    <t>93177</t>
  </si>
  <si>
    <t>051500</t>
  </si>
  <si>
    <t>CJ프레시웨이</t>
  </si>
  <si>
    <t>시장은 변화고, 펀더멘탈은 상승하고 있다</t>
  </si>
  <si>
    <t>93176</t>
  </si>
  <si>
    <t>2026-05-20</t>
  </si>
  <si>
    <t>031430</t>
  </si>
  <si>
    <t>신세계인터내셔날</t>
  </si>
  <si>
    <t>미니 백화점</t>
  </si>
  <si>
    <t>93175</t>
  </si>
  <si>
    <t>161390</t>
  </si>
  <si>
    <t>한국타이어앤테크놀로지</t>
  </si>
  <si>
    <t>이젠 열관리가 타이어에게 힘이 될 때</t>
  </si>
  <si>
    <t>93174</t>
  </si>
  <si>
    <t>1Q26 Review 실적으로 증명한 성장</t>
  </si>
  <si>
    <t>93173</t>
  </si>
  <si>
    <t>035600</t>
  </si>
  <si>
    <t>KG이니시스</t>
  </si>
  <si>
    <t>정상화된 이익 유지 + 렌탈, 할부금융, 글로벌 성장 준비</t>
  </si>
  <si>
    <t>93172</t>
  </si>
  <si>
    <t>033640</t>
  </si>
  <si>
    <t>네패스</t>
  </si>
  <si>
    <t>뚜렷한 체질 개선 추이</t>
  </si>
  <si>
    <t>93171</t>
  </si>
  <si>
    <t>064760</t>
  </si>
  <si>
    <t>티씨케이</t>
  </si>
  <si>
    <t>전방 시장 호황과의 필연적인 동행</t>
  </si>
  <si>
    <t>93170</t>
  </si>
  <si>
    <t>131970</t>
  </si>
  <si>
    <t>두산테스나</t>
  </si>
  <si>
    <t>파운드리 확대에 따른 강한 수혜</t>
  </si>
  <si>
    <t>93169</t>
  </si>
  <si>
    <t>200710</t>
  </si>
  <si>
    <t>에이디테크놀로지</t>
  </si>
  <si>
    <t>변하지 않은 중장기 성장 여력</t>
  </si>
  <si>
    <t>93168</t>
  </si>
  <si>
    <t>이번에도 AT&amp;T에 들어갈 확률이 높습니다</t>
  </si>
  <si>
    <t>93167</t>
  </si>
  <si>
    <t>귀해진 저 PBR 대표 통신장비주</t>
  </si>
  <si>
    <t>93166</t>
  </si>
  <si>
    <t>207940</t>
  </si>
  <si>
    <t>삼성바이오로직스</t>
  </si>
  <si>
    <t>규모의 경제가 만드는 복리 성장</t>
  </si>
  <si>
    <t>93165</t>
  </si>
  <si>
    <t>이제 보이기 시작한다</t>
  </si>
  <si>
    <t>93164</t>
  </si>
  <si>
    <t>237690</t>
  </si>
  <si>
    <t>에스티팜</t>
  </si>
  <si>
    <t>올리고, 성장의 변곡점</t>
  </si>
  <si>
    <t>93163</t>
  </si>
  <si>
    <t>검증된 플랫폼, 열려 있는 Upside</t>
  </si>
  <si>
    <t>93162</t>
  </si>
  <si>
    <t>0126Z0</t>
  </si>
  <si>
    <t>삼성에피스홀딩스</t>
  </si>
  <si>
    <t>안정적 수익 구조에 신약 옵션을 더하다</t>
  </si>
  <si>
    <t>93161</t>
  </si>
  <si>
    <t>282330</t>
  </si>
  <si>
    <t>BGF리테일</t>
  </si>
  <si>
    <t>1Q26 Review: Growth &amp; Fun</t>
  </si>
  <si>
    <t>93160</t>
  </si>
  <si>
    <t>003160</t>
  </si>
  <si>
    <t>디아이</t>
  </si>
  <si>
    <t>이익 레버리지 본격화</t>
  </si>
  <si>
    <t>93159</t>
  </si>
  <si>
    <t>381970</t>
  </si>
  <si>
    <t>케이카</t>
  </si>
  <si>
    <t>생태계 완성을 위한 퍼즐 한 조각</t>
  </si>
  <si>
    <t>93158</t>
  </si>
  <si>
    <t>111110</t>
  </si>
  <si>
    <t>호전실업</t>
  </si>
  <si>
    <t>의류 OEM 시장 판이 커진다</t>
  </si>
  <si>
    <t>93157</t>
  </si>
  <si>
    <t>463020</t>
  </si>
  <si>
    <t>뉴엔AI</t>
  </si>
  <si>
    <t>소셜 리스닝 서비스 기업</t>
  </si>
  <si>
    <t>93156</t>
  </si>
  <si>
    <t>2026-05-19</t>
  </si>
  <si>
    <t>1Q26 Review : 관세 기저가 동일해지는 2분기</t>
  </si>
  <si>
    <t>93155</t>
  </si>
  <si>
    <t>271560</t>
  </si>
  <si>
    <t>오리온</t>
  </si>
  <si>
    <t>위기를 기회로</t>
  </si>
  <si>
    <t>93154</t>
  </si>
  <si>
    <t>014680</t>
  </si>
  <si>
    <t>한솔케미칼</t>
  </si>
  <si>
    <t>1Q26 Re: QD 감소 아쉽지만 반도체 매출 증가가 이를 상쇄</t>
  </si>
  <si>
    <t>93153</t>
  </si>
  <si>
    <t>007660</t>
  </si>
  <si>
    <t>이수페타시스</t>
  </si>
  <si>
    <t>1Q26 Re: 묵묵하게 열일 중</t>
  </si>
  <si>
    <t>93152</t>
  </si>
  <si>
    <t>033500</t>
  </si>
  <si>
    <t>동성화인텍</t>
  </si>
  <si>
    <t>실적, 수주 감안 시 매력적인 밸류에이션 레벨</t>
  </si>
  <si>
    <t>93151</t>
  </si>
  <si>
    <t>017960</t>
  </si>
  <si>
    <t>한국카본</t>
  </si>
  <si>
    <t>본업은 계속 좋고 모멘텀도 충분하다.</t>
  </si>
  <si>
    <t>93150</t>
  </si>
  <si>
    <t>015760</t>
  </si>
  <si>
    <t>한국전력</t>
  </si>
  <si>
    <t>1Q26 Review: 원전 예방 정비에 따른 연료비 상승</t>
  </si>
  <si>
    <t>93149</t>
  </si>
  <si>
    <t>052690</t>
  </si>
  <si>
    <t>한전기술</t>
  </si>
  <si>
    <t>1Q26 Review: 원전 설계로 마진 개선</t>
  </si>
  <si>
    <t>93148</t>
  </si>
  <si>
    <t>견조한 매출 성장률!</t>
  </si>
  <si>
    <t>93147</t>
  </si>
  <si>
    <t>국내 최초 빅테크 레퍼런스 확보, 지금 매수하세요</t>
  </si>
  <si>
    <t>93146</t>
  </si>
  <si>
    <t>중요한 건 올해가 아닌 내년도 실적입니다</t>
  </si>
  <si>
    <t>93145</t>
  </si>
  <si>
    <t>핵심은 HRSG, 그런데 이제 보일러를 곁들인</t>
  </si>
  <si>
    <t>93144</t>
  </si>
  <si>
    <t>105840</t>
  </si>
  <si>
    <t>우진</t>
  </si>
  <si>
    <t>반도체용 온도센서, 다시 살아나다</t>
  </si>
  <si>
    <t>93143</t>
  </si>
  <si>
    <t>로봇은 비에이치(R/F PCB)에 왜 주목하는가!</t>
  </si>
  <si>
    <t>93142</t>
  </si>
  <si>
    <t>001040</t>
  </si>
  <si>
    <t>CJ</t>
  </si>
  <si>
    <t>1Q 부진 불구, 올리브영 글로벌 진출과 자사주 향방이 변수</t>
  </si>
  <si>
    <t>93141</t>
  </si>
  <si>
    <t>2Q 반등 및 로봇, 전장 강화</t>
  </si>
  <si>
    <t>93140</t>
  </si>
  <si>
    <t>1Q26 Re : 컨센 하회, 수익성 개선에 주목</t>
  </si>
  <si>
    <t>93139</t>
  </si>
  <si>
    <t>003850</t>
  </si>
  <si>
    <t>보령</t>
  </si>
  <si>
    <t>1Q26 Re: 약가인하 역풍에도 84.7% 성장</t>
  </si>
  <si>
    <t>93138</t>
  </si>
  <si>
    <t>자사주 가치 부각 시점에 높아진 할인율</t>
  </si>
  <si>
    <t>93137</t>
  </si>
  <si>
    <t>005440</t>
  </si>
  <si>
    <t>현대지에프홀딩스</t>
  </si>
  <si>
    <t>지주사로 향하는 그룹의 기업가치제고</t>
  </si>
  <si>
    <t>93136</t>
  </si>
  <si>
    <t>추가적인 주주환원 기대</t>
  </si>
  <si>
    <t>93135</t>
  </si>
  <si>
    <t>중복상장 규제로 주가 탄력성 확대</t>
  </si>
  <si>
    <t>93134</t>
  </si>
  <si>
    <t>007070</t>
  </si>
  <si>
    <t>GS리테일</t>
  </si>
  <si>
    <t>1Q26 Review: Good, So far</t>
  </si>
  <si>
    <t>93133</t>
  </si>
  <si>
    <t>우호적인 업황 지속</t>
  </si>
  <si>
    <t>93132</t>
  </si>
  <si>
    <t>000880</t>
  </si>
  <si>
    <t>한화</t>
  </si>
  <si>
    <t>불확실성 해소 앞두고 할인율 축소 기대</t>
  </si>
  <si>
    <t>93131</t>
  </si>
  <si>
    <t>자체사업 호조 속 주주환원 확대 기대</t>
  </si>
  <si>
    <t>93130</t>
  </si>
  <si>
    <t>높은 주가 탄력성</t>
  </si>
  <si>
    <t>93129</t>
  </si>
  <si>
    <t>126700</t>
  </si>
  <si>
    <t>하이비젼시스템</t>
  </si>
  <si>
    <t>1Q26 Review: 인도공장 가동 및 확대 수혜 기대</t>
  </si>
  <si>
    <t>93128</t>
  </si>
  <si>
    <t>122450</t>
  </si>
  <si>
    <t>KX</t>
  </si>
  <si>
    <t>1Q26 Review: 제조·레저 부문 실적 성장세 전환</t>
  </si>
  <si>
    <t>93127</t>
  </si>
  <si>
    <t>지분가치는 상승, 할인율은 축소</t>
  </si>
  <si>
    <t>93126</t>
  </si>
  <si>
    <t>489790</t>
  </si>
  <si>
    <t>한화비전</t>
  </si>
  <si>
    <t>시큐리티가 지켜주는 하방</t>
  </si>
  <si>
    <t>93125</t>
  </si>
  <si>
    <t>419530</t>
  </si>
  <si>
    <t>SAMG엔터</t>
  </si>
  <si>
    <t>고민될수록 내실을 다시 보자</t>
  </si>
  <si>
    <t>93124</t>
  </si>
  <si>
    <t>272290</t>
  </si>
  <si>
    <t>이녹스첨단소재</t>
  </si>
  <si>
    <t>NDR 후기 응용처 다변화</t>
  </si>
  <si>
    <t>93123</t>
  </si>
  <si>
    <t>089010</t>
  </si>
  <si>
    <t>켐트로닉스</t>
  </si>
  <si>
    <t>반도체 소재 및 유리기판 기대감 유효</t>
  </si>
  <si>
    <t>93122</t>
  </si>
  <si>
    <t>003540</t>
  </si>
  <si>
    <t>기보유 자사주 소각 등 적극적인 주주환원 행보 긍정적</t>
  </si>
  <si>
    <t>93121</t>
  </si>
  <si>
    <t>173940</t>
  </si>
  <si>
    <t>에프엔씨엔터</t>
  </si>
  <si>
    <t>실적 턴어라운드에 따른 리레이팅 시점</t>
  </si>
  <si>
    <t>93120</t>
  </si>
  <si>
    <t>춘절 끝, 이제는 앞만 보고 달린다</t>
  </si>
  <si>
    <t>93119</t>
  </si>
  <si>
    <t>494120</t>
  </si>
  <si>
    <t>큐리오시스</t>
  </si>
  <si>
    <t>펀더멘탈 이상 無</t>
  </si>
  <si>
    <t>93118</t>
  </si>
  <si>
    <t>089590</t>
  </si>
  <si>
    <t>제주항공</t>
  </si>
  <si>
    <t>재무 개선을 위한 잰걸음</t>
  </si>
  <si>
    <t>93117</t>
  </si>
  <si>
    <t>039570</t>
  </si>
  <si>
    <t>HDC랩스</t>
  </si>
  <si>
    <t>1Q26 Review: 일회성 요인 없는 수익성 개선</t>
  </si>
  <si>
    <t>93116</t>
  </si>
  <si>
    <t>2026-05-18</t>
  </si>
  <si>
    <t>194700</t>
  </si>
  <si>
    <t>노바렉스</t>
  </si>
  <si>
    <t>역대 최대 분기 실적이 의미하는 것</t>
  </si>
  <si>
    <t>93115</t>
  </si>
  <si>
    <t>웰니스(Wellness), 새로운 성장 축으로 부상</t>
  </si>
  <si>
    <t>93114</t>
  </si>
  <si>
    <t>000370</t>
  </si>
  <si>
    <t>한화손해보험</t>
  </si>
  <si>
    <t>1Q26 Review: 여성 및 시니어 특화를 통한 성장 기대</t>
  </si>
  <si>
    <t>93113</t>
  </si>
  <si>
    <t>1Q26Review: 보험손익 개선 흐름에 따른 연간 이익 개선 기대</t>
  </si>
  <si>
    <t>93112</t>
  </si>
  <si>
    <t>000810</t>
  </si>
  <si>
    <t>삼성화재</t>
  </si>
  <si>
    <t>1Q26 Review: 견조한 이익 지속 전망, 업종내 Top picks</t>
  </si>
  <si>
    <t>93111</t>
  </si>
  <si>
    <t>088350</t>
  </si>
  <si>
    <t>한화생명</t>
  </si>
  <si>
    <t>1Q26 Review: 연결기준 당기순이익 증가 긍정적</t>
  </si>
  <si>
    <t>93110</t>
  </si>
  <si>
    <t>032830</t>
  </si>
  <si>
    <t>삼성생명</t>
  </si>
  <si>
    <t>1Q26Review: 목표주가 33만원 상향, Trading Buy 제시</t>
  </si>
  <si>
    <t>93109</t>
  </si>
  <si>
    <t>016360</t>
  </si>
  <si>
    <t>삼성증권</t>
  </si>
  <si>
    <t>1Q26 Review: 자산관리 및 위탁매매 전천후 성장 기대</t>
  </si>
  <si>
    <t>93108</t>
  </si>
  <si>
    <t>005830</t>
  </si>
  <si>
    <t>DB손해보험</t>
  </si>
  <si>
    <t>1Q26 Review: 1분기 보단 2분기부터…</t>
  </si>
  <si>
    <t>93107</t>
  </si>
  <si>
    <t>071050</t>
  </si>
  <si>
    <t>한국금융지주</t>
  </si>
  <si>
    <t>1Q26 Review: 돋보이는 전 부분의 고른 약진</t>
  </si>
  <si>
    <t>93106</t>
  </si>
  <si>
    <t>1Q26Review: 적극적인 투자 및 해외법인과 시너지 기대</t>
  </si>
  <si>
    <t>93105</t>
  </si>
  <si>
    <t>Better Growth, Falling costs</t>
  </si>
  <si>
    <t>93104</t>
  </si>
  <si>
    <t>005850</t>
  </si>
  <si>
    <t>에스엘</t>
  </si>
  <si>
    <t>1Q26 Review: 준비해왔던날개를 활짝 펴고</t>
  </si>
  <si>
    <t>93103</t>
  </si>
  <si>
    <t>Growing Smarter, 질적 성장 본격화</t>
  </si>
  <si>
    <t>93102</t>
  </si>
  <si>
    <t>호실적에 더해 나진상가 건축 허가도 획득</t>
  </si>
  <si>
    <t>93101</t>
  </si>
  <si>
    <t>반등이 쉽지 않은 TV광고</t>
  </si>
  <si>
    <t>93100</t>
  </si>
  <si>
    <t>하반기 믹스개선 본격화</t>
  </si>
  <si>
    <t>93099</t>
  </si>
  <si>
    <t>반도체 슈퍼사이클에 따른 수혜</t>
  </si>
  <si>
    <t>93098</t>
  </si>
  <si>
    <t>306200</t>
  </si>
  <si>
    <t>세아제강</t>
  </si>
  <si>
    <t>2H25의 부진에서 벗어나는 중!</t>
  </si>
  <si>
    <t>93097</t>
  </si>
  <si>
    <t>잘 나가는 램프, 기대되는 로봇</t>
  </si>
  <si>
    <t>93096</t>
  </si>
  <si>
    <t>예상보다 밋밋했지만 2분기 이후를 기대</t>
  </si>
  <si>
    <t>93095</t>
  </si>
  <si>
    <t>004370</t>
  </si>
  <si>
    <t>농심</t>
  </si>
  <si>
    <t>1Q26 Re: 해외법인 수익성 선방</t>
  </si>
  <si>
    <t>93094</t>
  </si>
  <si>
    <t>시차로 인한 트레이딩 호조. 하반기 발전업 개선 기대</t>
  </si>
  <si>
    <t>93093</t>
  </si>
  <si>
    <t>불확실성을 상쇄하는 공급 사이클 시작</t>
  </si>
  <si>
    <t>93092</t>
  </si>
  <si>
    <t>NDR 후기 : 쉬이 꺾이지 않을 실적 반등세</t>
  </si>
  <si>
    <t>93091</t>
  </si>
  <si>
    <t>1Q26 Review : 시장의 눈높이를 계속 뛰어넘는 실적</t>
  </si>
  <si>
    <t>93090</t>
  </si>
  <si>
    <t>1Q26 Review : 대기업도 줄 서게 하는 중화권 유통 역량</t>
  </si>
  <si>
    <t>93089</t>
  </si>
  <si>
    <t>002020</t>
  </si>
  <si>
    <t>코오롱</t>
  </si>
  <si>
    <t>1Q26 Review : Kolon Sport China 전망치 상향</t>
  </si>
  <si>
    <t>93088</t>
  </si>
  <si>
    <t>1Q26 Review : 하이닉스와 연결된 현금흐름과 에코플랜트의 존재감</t>
  </si>
  <si>
    <t>93087</t>
  </si>
  <si>
    <t>003690</t>
  </si>
  <si>
    <t>코리안리</t>
  </si>
  <si>
    <t>사고가 없어서, 역대 최대 실적</t>
  </si>
  <si>
    <t>93086</t>
  </si>
  <si>
    <t>견조한 출발, 주가는 싸다</t>
  </si>
  <si>
    <t>93085</t>
  </si>
  <si>
    <t>드디어 듀레이션 매칭에 성공</t>
  </si>
  <si>
    <t>93084</t>
  </si>
  <si>
    <t>해외 성장 눈높이 상향</t>
  </si>
  <si>
    <t>93083</t>
  </si>
  <si>
    <t>어닝 쇼크지만 추정치 변동은 제한적</t>
  </si>
  <si>
    <t>93082</t>
  </si>
  <si>
    <t>수요가 캐파를 부르고, 캐파가 실적을 만든다</t>
  </si>
  <si>
    <t>93081</t>
  </si>
  <si>
    <t>기판으로 그린 미래의 청사진</t>
  </si>
  <si>
    <t>93080</t>
  </si>
  <si>
    <t>103590</t>
  </si>
  <si>
    <t>일진전기</t>
  </si>
  <si>
    <t>OPM 10%, 이익 체력이 달라졌다</t>
  </si>
  <si>
    <t>93079</t>
  </si>
  <si>
    <t>북미 수익성 회복, 유럽 확장 본격화</t>
  </si>
  <si>
    <t>93078</t>
  </si>
  <si>
    <t>376300</t>
  </si>
  <si>
    <t>디어유</t>
  </si>
  <si>
    <t>역사적 밴드 하단을 지나는 중</t>
  </si>
  <si>
    <t>93077</t>
  </si>
  <si>
    <t xml:space="preserve">1Q26 Review: 미스토만의 방향, 속도로 </t>
  </si>
  <si>
    <t>93076</t>
  </si>
  <si>
    <t>000080</t>
  </si>
  <si>
    <t>하이트진로</t>
  </si>
  <si>
    <t>맥주의 효율화, 소주의 글로벌화</t>
  </si>
  <si>
    <t>93075</t>
  </si>
  <si>
    <t>랩오토메이션, 그게 돈이 됩니까?</t>
  </si>
  <si>
    <t>93074</t>
  </si>
  <si>
    <t>무난한 실적</t>
  </si>
  <si>
    <t>93073</t>
  </si>
  <si>
    <t>아쉬운 마진</t>
  </si>
  <si>
    <t>93072</t>
  </si>
  <si>
    <t>손실부담계약비용 환입으로 추정치 상회</t>
  </si>
  <si>
    <t>93071</t>
  </si>
  <si>
    <t>호실적으로 배당 기대 확대</t>
  </si>
  <si>
    <t>93070</t>
  </si>
  <si>
    <t>아크테릭스 오더 급증</t>
  </si>
  <si>
    <t>93069</t>
  </si>
  <si>
    <t>NAND 모멘텀 추가 반영</t>
  </si>
  <si>
    <t>93068</t>
  </si>
  <si>
    <t>005070</t>
  </si>
  <si>
    <t>코스모신소재</t>
  </si>
  <si>
    <t>93067</t>
  </si>
  <si>
    <t>282720</t>
  </si>
  <si>
    <t>금양그린파워</t>
  </si>
  <si>
    <t>1 분기 적자는 계절성 요인, 정부 정책 지원 확대가 미치는 영향 커</t>
  </si>
  <si>
    <t>93066</t>
  </si>
  <si>
    <t>숨고르기 끝. 가격 싸이클 재점화</t>
  </si>
  <si>
    <t>93065</t>
  </si>
  <si>
    <t>097520</t>
  </si>
  <si>
    <t>엠씨넥스</t>
  </si>
  <si>
    <t>모바일 부진은 선반영, 전장 기대감을 반영할 차례</t>
  </si>
  <si>
    <t>93064</t>
  </si>
  <si>
    <t>산 넘어 산</t>
  </si>
  <si>
    <t>93063</t>
  </si>
  <si>
    <t>282880</t>
  </si>
  <si>
    <t>코윈테크</t>
  </si>
  <si>
    <t>1Q26 Review: 로봇·자동화 부문 비즈니스 강화</t>
  </si>
  <si>
    <t>93062</t>
  </si>
  <si>
    <t>OEM 성장, SCOTT 회복</t>
  </si>
  <si>
    <t>93061</t>
  </si>
  <si>
    <t>멀리 보자</t>
  </si>
  <si>
    <t>93060</t>
  </si>
  <si>
    <t>1Q26 Review: 국내외 우호적인 정책 수혜 기대</t>
  </si>
  <si>
    <t>93059</t>
  </si>
  <si>
    <t>1Q26 Review: 국내 색조 부진의 아쉬움</t>
  </si>
  <si>
    <t>93058</t>
  </si>
  <si>
    <t>042510</t>
  </si>
  <si>
    <t>라온시큐어</t>
  </si>
  <si>
    <t>1Q26 Review: 보안 수요 증가로 실적 성장 중</t>
  </si>
  <si>
    <t>93057</t>
  </si>
  <si>
    <t>배당 못받는게 유일한 흠</t>
  </si>
  <si>
    <t>93056</t>
  </si>
  <si>
    <t>189300</t>
  </si>
  <si>
    <t>인텔리안테크</t>
  </si>
  <si>
    <t>실적, 모멘텀 모두 좋다</t>
  </si>
  <si>
    <t>93055</t>
  </si>
  <si>
    <t>전방위 손해율 악화 구간</t>
  </si>
  <si>
    <t>93054</t>
  </si>
  <si>
    <t xml:space="preserve">왕관을 쓰려는 자, 고정비의 무게를 버텨라 </t>
  </si>
  <si>
    <t>93053</t>
  </si>
  <si>
    <t>001740</t>
  </si>
  <si>
    <t>SK네트웍스</t>
  </si>
  <si>
    <t>올해 실적개선 가속화 및 로봇사업 확장의 기반 마련</t>
  </si>
  <si>
    <t>93052</t>
  </si>
  <si>
    <t>PBR 상승의 트리거→주주환원 및 로봇사업 확대</t>
  </si>
  <si>
    <t>93051</t>
  </si>
  <si>
    <t>끓기 시작하는 해외 성장</t>
  </si>
  <si>
    <t>93050</t>
  </si>
  <si>
    <t>지분법 기저효과로 이익 감소, 주주환원 기조는 유지</t>
  </si>
  <si>
    <t>93049</t>
  </si>
  <si>
    <t>보이는 것이 전부는 아니다</t>
  </si>
  <si>
    <t>93048</t>
  </si>
  <si>
    <t>다시 우등생 모습을 보여주길</t>
  </si>
  <si>
    <t>93046</t>
  </si>
  <si>
    <t>시청률이 전부는 아닙니다</t>
  </si>
  <si>
    <t>93045</t>
  </si>
  <si>
    <t>267250</t>
  </si>
  <si>
    <t>HD현대</t>
  </si>
  <si>
    <t>종합선물세트</t>
  </si>
  <si>
    <t>93044</t>
  </si>
  <si>
    <t>이제는 할인이 아니라 프리미엄을 논할 때</t>
  </si>
  <si>
    <t>93043</t>
  </si>
  <si>
    <t>348210</t>
  </si>
  <si>
    <t>넥스틴</t>
  </si>
  <si>
    <t>큰 그림은 그대로</t>
  </si>
  <si>
    <t>93042</t>
  </si>
  <si>
    <t>진짜 좋아지고 있다!!</t>
  </si>
  <si>
    <t>93041</t>
  </si>
  <si>
    <t>구조적 실적 개선 본격화</t>
  </si>
  <si>
    <t>93040</t>
  </si>
  <si>
    <t>033240</t>
  </si>
  <si>
    <t>자화전자</t>
  </si>
  <si>
    <t>1Q 호조! 성장 지속, 다각화도 추진</t>
  </si>
  <si>
    <t>93039</t>
  </si>
  <si>
    <t>403870</t>
  </si>
  <si>
    <t>HPSP</t>
  </si>
  <si>
    <t>확장의 연속</t>
  </si>
  <si>
    <t>93038</t>
  </si>
  <si>
    <t>더 올라갑니다</t>
  </si>
  <si>
    <t>93037</t>
  </si>
  <si>
    <t>005880</t>
  </si>
  <si>
    <t>대한해운</t>
  </si>
  <si>
    <t>밖에 전쟁 났나요?</t>
  </si>
  <si>
    <t>93036</t>
  </si>
  <si>
    <t>039030</t>
  </si>
  <si>
    <t>이오테크닉스</t>
  </si>
  <si>
    <t>1Q부터 고성장 입증</t>
  </si>
  <si>
    <t>93035</t>
  </si>
  <si>
    <t>131290</t>
  </si>
  <si>
    <t>티에스이</t>
  </si>
  <si>
    <t>숫자로 증명한 소부장 Top Pick</t>
  </si>
  <si>
    <t>93034</t>
  </si>
  <si>
    <t>204620</t>
  </si>
  <si>
    <t>글로벌텍스프리</t>
  </si>
  <si>
    <t>1Q26 Review: 멈출 수 없는 성장</t>
  </si>
  <si>
    <t>93033</t>
  </si>
  <si>
    <t>별일 없이 산다</t>
  </si>
  <si>
    <t>93032</t>
  </si>
  <si>
    <t>One-off 요인 대거 반영. 하반기 개선 전망</t>
  </si>
  <si>
    <t>93031</t>
  </si>
  <si>
    <t>실현되고 있는 내러티브</t>
  </si>
  <si>
    <t>93030</t>
  </si>
  <si>
    <t>340570</t>
  </si>
  <si>
    <t>티앤엘</t>
  </si>
  <si>
    <t>부활</t>
  </si>
  <si>
    <t>93029</t>
  </si>
  <si>
    <t>예상 보다 견조한 수익성 시현</t>
  </si>
  <si>
    <t>93028</t>
  </si>
  <si>
    <t>091580</t>
  </si>
  <si>
    <t>상신이디피</t>
  </si>
  <si>
    <t>BESS 향 수요 확대로 각형 제조업체 몸 값 높아져</t>
  </si>
  <si>
    <t>93027</t>
  </si>
  <si>
    <t>243840</t>
  </si>
  <si>
    <t>신흥에스이씨</t>
  </si>
  <si>
    <t>미국 BESS 와 데이터센터용 BBU 로 턴어라운드</t>
  </si>
  <si>
    <t>93026</t>
  </si>
  <si>
    <t>089980</t>
  </si>
  <si>
    <t>상아프론테크</t>
  </si>
  <si>
    <t>2분기부터 이익 증가세 본격화</t>
  </si>
  <si>
    <t>93025</t>
  </si>
  <si>
    <t>001530</t>
  </si>
  <si>
    <t>DI동일</t>
  </si>
  <si>
    <t>미국 BESS용 수요 증가로 알루미늄박 가동률 상승</t>
  </si>
  <si>
    <t>93024</t>
  </si>
  <si>
    <t>093370</t>
  </si>
  <si>
    <t>후성</t>
  </si>
  <si>
    <t>실적 성장 본격화 확인, 2분기부터 더 좋아져</t>
  </si>
  <si>
    <t>93023</t>
  </si>
  <si>
    <t>053580</t>
  </si>
  <si>
    <t>웹케시</t>
  </si>
  <si>
    <t xml:space="preserve">1Q26 Review: 금융 AI Agent 사업화 추진 본격화. </t>
  </si>
  <si>
    <t>93022</t>
  </si>
  <si>
    <t>213500</t>
  </si>
  <si>
    <t>한솔제지</t>
  </si>
  <si>
    <t>1Q26 Review: 2 분기 실적 회복, 수익성 개선 기대</t>
  </si>
  <si>
    <t>93021</t>
  </si>
  <si>
    <t>ROE 개선 요인 확보</t>
  </si>
  <si>
    <t>93020</t>
  </si>
  <si>
    <t>거래대금 증가의 최고 수혜주</t>
  </si>
  <si>
    <t>93019</t>
  </si>
  <si>
    <t>2026-05-15</t>
  </si>
  <si>
    <t>ROE와 주가 방어를 위한 추가 액션 필요</t>
  </si>
  <si>
    <t>93018</t>
  </si>
  <si>
    <t>나도 삼성전자 주식 있어</t>
  </si>
  <si>
    <t>93017</t>
  </si>
  <si>
    <t>All Time Favorite</t>
  </si>
  <si>
    <t>93016</t>
  </si>
  <si>
    <t>목표 시가총액 100조원</t>
  </si>
  <si>
    <t>93015</t>
  </si>
  <si>
    <t>지분 가치는 증가, 할인율 축소의 근거는 미약</t>
  </si>
  <si>
    <t>93014</t>
  </si>
  <si>
    <t>232140</t>
  </si>
  <si>
    <t>와이씨</t>
  </si>
  <si>
    <t>HBM4에서 더 빛날 회사</t>
  </si>
  <si>
    <t>93013</t>
  </si>
  <si>
    <t>361610</t>
  </si>
  <si>
    <t>SK아이이테크놀로지</t>
  </si>
  <si>
    <t>인고의 시간, 2027년의 가시성을 기다리며</t>
  </si>
  <si>
    <t>93012</t>
  </si>
  <si>
    <t>고르게 양호한 실적, ROE 개선은 과제</t>
  </si>
  <si>
    <t>93011</t>
  </si>
  <si>
    <t>가슴이 웅장해지는 내년</t>
  </si>
  <si>
    <t>93010</t>
  </si>
  <si>
    <t>1Q26 Review: MD Crescendo, 더 커질 실적 모멘텀</t>
  </si>
  <si>
    <t>93009</t>
  </si>
  <si>
    <t>051600</t>
  </si>
  <si>
    <t>한전KPS</t>
  </si>
  <si>
    <t>1Q26 Review: 그래도 안정적인 실적 지속</t>
  </si>
  <si>
    <t>93008</t>
  </si>
  <si>
    <t>스키즈 앨범도 트와이스 MD도 여전히 고성장 중</t>
  </si>
  <si>
    <t>93007</t>
  </si>
  <si>
    <t>롤링 경쟁력 강화로 사상 최대 매출 재개될 것</t>
  </si>
  <si>
    <t>93006</t>
  </si>
  <si>
    <t>012450</t>
  </si>
  <si>
    <t>한화에어로스페이스</t>
  </si>
  <si>
    <t>다시 찾아온 매수 기회</t>
  </si>
  <si>
    <t>93005</t>
  </si>
  <si>
    <t>267270</t>
  </si>
  <si>
    <t>HD건설기계</t>
  </si>
  <si>
    <t>1Q26 리뷰: 기대치 상회. 가이던스 초과 달성 가능성 확인</t>
  </si>
  <si>
    <t>93004</t>
  </si>
  <si>
    <t>475150</t>
  </si>
  <si>
    <t>SK이터닉스</t>
  </si>
  <si>
    <t>하반기에 집중될 실적 모멘텀</t>
  </si>
  <si>
    <t>93003</t>
  </si>
  <si>
    <t>본업과 투자 모두 좋은 상황</t>
  </si>
  <si>
    <t>93002</t>
  </si>
  <si>
    <t>030520</t>
  </si>
  <si>
    <t>한글과컴퓨터</t>
  </si>
  <si>
    <t>1Q26 Review: 이제는 AI 사업의 성과를 기대할 때</t>
  </si>
  <si>
    <t>93001</t>
  </si>
  <si>
    <t>372910</t>
  </si>
  <si>
    <t>한컴라이프케어</t>
  </si>
  <si>
    <t>1Q26 Review: 성수기인 2분기 실적 성장 기대</t>
  </si>
  <si>
    <t>93000</t>
  </si>
  <si>
    <t>손해율 반전 시그널 캐치!</t>
  </si>
  <si>
    <t>92999</t>
  </si>
  <si>
    <t>전자 주가에 가려진 훌륭한 펀더멘탈</t>
  </si>
  <si>
    <t>92998</t>
  </si>
  <si>
    <t>최선호주로 10년 넘게 유지하는 이유</t>
  </si>
  <si>
    <t>92997</t>
  </si>
  <si>
    <t>높은 기대치 충족하는 양호한 실적</t>
  </si>
  <si>
    <t>92996</t>
  </si>
  <si>
    <t>1Q26 Review: 중동발 쇼크 영향, 점진적 회복 예상</t>
  </si>
  <si>
    <t>92995</t>
  </si>
  <si>
    <t>선배의 품격</t>
  </si>
  <si>
    <t>92994</t>
  </si>
  <si>
    <t>중요한 건 4월, 5월 시작이 좋다</t>
  </si>
  <si>
    <t>92993</t>
  </si>
  <si>
    <t>이어지는 호실적에 가장 낮은 멀티플</t>
  </si>
  <si>
    <t>92992</t>
  </si>
  <si>
    <t>NDR 후기: 지금처럼 꾸준히</t>
  </si>
  <si>
    <t>92991</t>
  </si>
  <si>
    <t>공연과 MD 시너지의 좋은 예</t>
  </si>
  <si>
    <t>92990</t>
  </si>
  <si>
    <t>가동률 하락의 늪</t>
  </si>
  <si>
    <t>92989</t>
  </si>
  <si>
    <t>1Q26 Review: 순수 체급으로 '순이익' 9천억원대</t>
  </si>
  <si>
    <t>92988</t>
  </si>
  <si>
    <t>MD 매출 구조적 성장 가능성 입증</t>
  </si>
  <si>
    <t>92987</t>
  </si>
  <si>
    <t>증권업종의 팔방미인</t>
  </si>
  <si>
    <t>92986</t>
  </si>
  <si>
    <t>본업보다는 삼성전자에 좌우될 주가</t>
  </si>
  <si>
    <t>92985</t>
  </si>
  <si>
    <t>안정적인 본업</t>
  </si>
  <si>
    <t>92984</t>
  </si>
  <si>
    <t>020150</t>
  </si>
  <si>
    <t>롯데에너지머티리얼즈</t>
  </si>
  <si>
    <t>고부가 사업 확대로 중장기 성장 모멘텀 강화</t>
  </si>
  <si>
    <t>92983</t>
  </si>
  <si>
    <t>078600</t>
  </si>
  <si>
    <t>대주전자재료</t>
  </si>
  <si>
    <t>실적 차별화와 멀티플 Re-rating 구간 지속</t>
  </si>
  <si>
    <t>92982</t>
  </si>
  <si>
    <t>1Q26 Re: 견조한 실적 흐름 지속</t>
  </si>
  <si>
    <t>92981</t>
  </si>
  <si>
    <t>1Q26 Re: 기대치 큰 폭 상회. 팔 이유가 없다</t>
  </si>
  <si>
    <t>92980</t>
  </si>
  <si>
    <t>92979</t>
  </si>
  <si>
    <t>비수기에도 수익성 개선 긍정적</t>
  </si>
  <si>
    <t>92978</t>
  </si>
  <si>
    <t>사이클 시작, 베팅을 키울 시점</t>
  </si>
  <si>
    <t>92977</t>
  </si>
  <si>
    <t>성공적인 MD 전략 증명, Top-Pick 제시</t>
  </si>
  <si>
    <t>92976</t>
  </si>
  <si>
    <t>228670</t>
  </si>
  <si>
    <t>레이</t>
  </si>
  <si>
    <t>팝콘 튀기는 제2차 덴탈 경영권 전쟁</t>
  </si>
  <si>
    <t>92975</t>
  </si>
  <si>
    <t>국내 채권추심업계의 독보적 1위 기업</t>
  </si>
  <si>
    <t>92974</t>
  </si>
  <si>
    <t>보릿고개 딛고 다시 성장</t>
  </si>
  <si>
    <t>92973</t>
  </si>
  <si>
    <t>신계약 CSM YoY 11% 감소</t>
  </si>
  <si>
    <t>92972</t>
  </si>
  <si>
    <t>233990</t>
  </si>
  <si>
    <t>질경이</t>
  </si>
  <si>
    <t>여성의 일상을 과학으로 케어하는, Y존 토털케어의 글로벌 선도자</t>
  </si>
  <si>
    <t>92971</t>
  </si>
  <si>
    <t>052960</t>
  </si>
  <si>
    <t>태양3C</t>
  </si>
  <si>
    <t>자동차 전장부품 유통 기반 차세대 카테터·내시경 모듈로 확장 중</t>
  </si>
  <si>
    <t>92970</t>
  </si>
  <si>
    <t>351020</t>
  </si>
  <si>
    <t>미쥬</t>
  </si>
  <si>
    <t>운영 효율화와 친환경 소재 차별화를 통해 브랜드 확장과 성장 동력 확보 중</t>
  </si>
  <si>
    <t>92969</t>
  </si>
  <si>
    <t>ETC 유통 채널 효율화 진행 중</t>
  </si>
  <si>
    <t>92968</t>
  </si>
  <si>
    <t>2026-05-14</t>
  </si>
  <si>
    <t>자회사 매각으로 수익성 개선</t>
  </si>
  <si>
    <t>92967</t>
  </si>
  <si>
    <t>041510</t>
  </si>
  <si>
    <t>에스엠</t>
  </si>
  <si>
    <t>단단해진 이익 체력</t>
  </si>
  <si>
    <t>92966</t>
  </si>
  <si>
    <t>112610</t>
  </si>
  <si>
    <t>씨에스윈드</t>
  </si>
  <si>
    <t>1Q26 Review; 타워 부문 수익성 개선 본격화</t>
  </si>
  <si>
    <t>92965</t>
  </si>
  <si>
    <t>004170</t>
  </si>
  <si>
    <t>신세계</t>
  </si>
  <si>
    <t>백화점은 매출 성장, 면세업은 수익 회복</t>
  </si>
  <si>
    <t>92964</t>
  </si>
  <si>
    <t>253450</t>
  </si>
  <si>
    <t>스튜디오드래곤</t>
  </si>
  <si>
    <t>회복은 맞지만, 속도는 기대 이하</t>
  </si>
  <si>
    <t>92963</t>
  </si>
  <si>
    <t>다음 스텝을 준비 중</t>
  </si>
  <si>
    <t>92962</t>
  </si>
  <si>
    <t>251270</t>
  </si>
  <si>
    <t>넷마블</t>
  </si>
  <si>
    <t>하반기 신작 기대감 유효</t>
  </si>
  <si>
    <t>92961</t>
  </si>
  <si>
    <t>011780</t>
  </si>
  <si>
    <t>금호석유화학</t>
  </si>
  <si>
    <t>1Q26 review - 다음 분기 어닝 서프라이즈 전망</t>
  </si>
  <si>
    <t>92960</t>
  </si>
  <si>
    <t>002380</t>
  </si>
  <si>
    <t>KCC</t>
  </si>
  <si>
    <t>1Q26 review - 수익성 일시 둔화 vs 자산 가치 반등</t>
  </si>
  <si>
    <t>92959</t>
  </si>
  <si>
    <t>035760</t>
  </si>
  <si>
    <t>CJ ENM</t>
  </si>
  <si>
    <t>엇갈린 흐름 속에서도 남아있는 기대</t>
  </si>
  <si>
    <t>92958</t>
  </si>
  <si>
    <t>036570</t>
  </si>
  <si>
    <t>NC</t>
  </si>
  <si>
    <t>체질 개선 초입</t>
  </si>
  <si>
    <t>92957</t>
  </si>
  <si>
    <t>003230</t>
  </si>
  <si>
    <t>삼양식품</t>
  </si>
  <si>
    <t>공급 병목 완화에 따른 추가 성장 기대</t>
  </si>
  <si>
    <t>92956</t>
  </si>
  <si>
    <t>096770</t>
  </si>
  <si>
    <t>SK이노베이션</t>
  </si>
  <si>
    <t>에너지 안보 시대, 전통에너지 가치 재평가</t>
  </si>
  <si>
    <t>92955</t>
  </si>
  <si>
    <t>214150</t>
  </si>
  <si>
    <t>클래시스</t>
  </si>
  <si>
    <t>실적 개선의 여지만 남았다</t>
  </si>
  <si>
    <t>92954</t>
  </si>
  <si>
    <t>안정적인 체력, 확대되는 저변</t>
  </si>
  <si>
    <t>92953</t>
  </si>
  <si>
    <t>예상보다 빠른 DTC 비중 증가 + AI 기반 캐주얼 성장</t>
  </si>
  <si>
    <t>92952</t>
  </si>
  <si>
    <t>Q26 Review: 시작되는 성장 스토리, 진짜 중요한 건 수율이다</t>
  </si>
  <si>
    <t>92951</t>
  </si>
  <si>
    <t>1Q26 Review : 본업 성장이 중요한 시점</t>
  </si>
  <si>
    <t>92950</t>
  </si>
  <si>
    <t>1Q26 Review: 업황 재편에 따른 실적 개선 기대감 유효</t>
  </si>
  <si>
    <t>92949</t>
  </si>
  <si>
    <t>여전히 없어서 못 파는 중</t>
  </si>
  <si>
    <t>92948</t>
  </si>
  <si>
    <t>불닭을 과소평가하지 말자</t>
  </si>
  <si>
    <t>92947</t>
  </si>
  <si>
    <t>405100</t>
  </si>
  <si>
    <t>큐알티</t>
  </si>
  <si>
    <t>전방산업 호조 + 신규사업 매출 확대</t>
  </si>
  <si>
    <t>92946</t>
  </si>
  <si>
    <t xml:space="preserve">특기인 MMORPG 성공중에 캐주얼 엔진 장착 </t>
  </si>
  <si>
    <t>92945</t>
  </si>
  <si>
    <t>26년 호실적을 기대하는 요인</t>
  </si>
  <si>
    <t>92944</t>
  </si>
  <si>
    <t>높아진 실적 체력</t>
  </si>
  <si>
    <t>92943</t>
  </si>
  <si>
    <t>064260</t>
  </si>
  <si>
    <t>다날</t>
  </si>
  <si>
    <t>결제는 다 날 통해</t>
  </si>
  <si>
    <t>92942</t>
  </si>
  <si>
    <t>아직도 초과 수요! 2분기 수출도 맑음!</t>
  </si>
  <si>
    <t>92941</t>
  </si>
  <si>
    <t>예견된 정유 호실적</t>
  </si>
  <si>
    <t>92940</t>
  </si>
  <si>
    <t>상승하는 운임, 비용 증가 상쇄 기대</t>
  </si>
  <si>
    <t>92939</t>
  </si>
  <si>
    <t>1Q26 Re - 연결 기준 실적도 양호</t>
  </si>
  <si>
    <t>92938</t>
  </si>
  <si>
    <t>036460</t>
  </si>
  <si>
    <t>한국가스공사</t>
  </si>
  <si>
    <t>하반기 자원개발 실적 극대화 가능</t>
  </si>
  <si>
    <t>92937</t>
  </si>
  <si>
    <t>Neutral</t>
  </si>
  <si>
    <t>올해 실적은 1분기가 고점</t>
  </si>
  <si>
    <t>92936</t>
  </si>
  <si>
    <t>039130</t>
  </si>
  <si>
    <t>하나투어</t>
  </si>
  <si>
    <t>종전만 기다리고 있다</t>
  </si>
  <si>
    <t>92935</t>
  </si>
  <si>
    <t>388210</t>
  </si>
  <si>
    <t>씨엠티엑스</t>
  </si>
  <si>
    <t>1Q26P Review: 반도체 부품, 에프터 마켓 강자</t>
  </si>
  <si>
    <t>92934</t>
  </si>
  <si>
    <t>1Q26 Re: 꾸준함도 칭찬 받을 일이다</t>
  </si>
  <si>
    <t>92933</t>
  </si>
  <si>
    <t>이익/배당 전망치 하향, 장기 저점 매수 추천</t>
  </si>
  <si>
    <t>92932</t>
  </si>
  <si>
    <t>계단식 성장의 시작</t>
  </si>
  <si>
    <t>92931</t>
  </si>
  <si>
    <t>덕은 입주가 만든 서프라이즈</t>
  </si>
  <si>
    <t>92930</t>
  </si>
  <si>
    <t>영업실적 개선. 미수금 회수는 중장기적 접근 필요</t>
  </si>
  <si>
    <t>92929</t>
  </si>
  <si>
    <t>체질 개선 완료</t>
  </si>
  <si>
    <t>92928</t>
  </si>
  <si>
    <t>실적 개선은 OUT, 해외 원전 모멘텀은 IN</t>
  </si>
  <si>
    <t>92927</t>
  </si>
  <si>
    <t>단순 모멘텀이 아닌 구조적 성장 구간. 사야할 때</t>
  </si>
  <si>
    <t>92926</t>
  </si>
  <si>
    <t>000270</t>
  </si>
  <si>
    <t>기아</t>
  </si>
  <si>
    <t>매력적인 모범생</t>
  </si>
  <si>
    <t>92925</t>
  </si>
  <si>
    <t>1Q26 Re: 단기 Good, 중장기는 아직 우려가 더 많다</t>
  </si>
  <si>
    <t>92924</t>
  </si>
  <si>
    <t>1Q26 Review: 단기 실적 너머 현지 생산이라는 경험치</t>
  </si>
  <si>
    <t>92923</t>
  </si>
  <si>
    <t>000120</t>
  </si>
  <si>
    <t>CJ대한통운</t>
  </si>
  <si>
    <t>1Q26 Re: 지연된 증익 시점</t>
  </si>
  <si>
    <t>92922</t>
  </si>
  <si>
    <t>064850</t>
  </si>
  <si>
    <t>에프앤가이드</t>
  </si>
  <si>
    <t>1Q16: ETF 시장 급속 확대로 최대 실적 달성</t>
  </si>
  <si>
    <t>92921</t>
  </si>
  <si>
    <t>066570</t>
  </si>
  <si>
    <t>LG전자</t>
  </si>
  <si>
    <t>가뿐해진 몸으로 로봇 밸류체인 탑승</t>
  </si>
  <si>
    <t>92920</t>
  </si>
  <si>
    <t>1Q26P Review: 20분기 연속 매출 성장 지속 성공</t>
  </si>
  <si>
    <t>92919</t>
  </si>
  <si>
    <t>단기 실적 변동성 vs. 중장기 호황</t>
  </si>
  <si>
    <t>92918</t>
  </si>
  <si>
    <t>095610</t>
  </si>
  <si>
    <t>테스</t>
  </si>
  <si>
    <t>시작이 좋다</t>
  </si>
  <si>
    <t>92917</t>
  </si>
  <si>
    <t>스킨케어 성장성과 수익성 개선 가능성에 주목</t>
  </si>
  <si>
    <t>92916</t>
  </si>
  <si>
    <t>유럽에서의 저력을 보여줬다</t>
  </si>
  <si>
    <t>92915</t>
  </si>
  <si>
    <t>예상 수준의 실적과 한미 원전 협력 기대감</t>
  </si>
  <si>
    <t>92914</t>
  </si>
  <si>
    <t>036620</t>
  </si>
  <si>
    <t>감성코퍼레이션</t>
  </si>
  <si>
    <t>수출 모멘텀에 비해 저평가된 주가</t>
  </si>
  <si>
    <t>92913</t>
  </si>
  <si>
    <t>소리 없이 강하다</t>
  </si>
  <si>
    <t>92912</t>
  </si>
  <si>
    <t>풀가동으로 전략 전환</t>
  </si>
  <si>
    <t>92911</t>
  </si>
  <si>
    <t>오랜 기다림 끝에 실적 서프라이즈</t>
  </si>
  <si>
    <t>92910</t>
  </si>
  <si>
    <t>하반기로 갈수록 연료가격 상승영향 본격화</t>
  </si>
  <si>
    <t>92909</t>
  </si>
  <si>
    <t>첫 술에 배부르랴</t>
  </si>
  <si>
    <t>92908</t>
  </si>
  <si>
    <t>1Q26 Re: M/S 확대를 위한 일시적 실적 둔화</t>
  </si>
  <si>
    <t>92907</t>
  </si>
  <si>
    <t>불확실성 산재, 하지만 주가 하락 리스크는 제한적</t>
  </si>
  <si>
    <t>92906</t>
  </si>
  <si>
    <t>078930</t>
  </si>
  <si>
    <t>GS</t>
  </si>
  <si>
    <t>국제유가 상승으로 인한 어닝 서프라이즈</t>
  </si>
  <si>
    <t>92905</t>
  </si>
  <si>
    <t>NC IP POWER</t>
  </si>
  <si>
    <t>92904</t>
  </si>
  <si>
    <t>탑픽인 이유</t>
  </si>
  <si>
    <t>92903</t>
  </si>
  <si>
    <t>1Q26 Review: 대장 따라간다</t>
  </si>
  <si>
    <t>92902</t>
  </si>
  <si>
    <t>잘한다, 잘한다, 잘한다</t>
  </si>
  <si>
    <t>92901</t>
  </si>
  <si>
    <t>083500</t>
  </si>
  <si>
    <t>에프엔에스테크</t>
  </si>
  <si>
    <t>1Q26 Review: 구조적 수익성 개선 확인</t>
  </si>
  <si>
    <t>92900</t>
  </si>
  <si>
    <t>1Q26 Re: 갈락티코 포트폴리오</t>
  </si>
  <si>
    <t>92899</t>
  </si>
  <si>
    <t>국내 정유사들 중에서 차별화되는 포인트 2가지</t>
  </si>
  <si>
    <t>92898</t>
  </si>
  <si>
    <t>2Q부터 온기 반영</t>
  </si>
  <si>
    <t>92897</t>
  </si>
  <si>
    <t>마른 하늘에 날벼락이란 이런 것인가</t>
  </si>
  <si>
    <t>92896</t>
  </si>
  <si>
    <t>때를 기다리며</t>
  </si>
  <si>
    <t>92895</t>
  </si>
  <si>
    <t>1분기 양호했으나 2분기는 눈높이 Down</t>
  </si>
  <si>
    <t>92894</t>
  </si>
  <si>
    <t>여전한 초과 수요</t>
  </si>
  <si>
    <t>92893</t>
  </si>
  <si>
    <t>1분기도 좋고, 2분기는 더욱 좋다</t>
  </si>
  <si>
    <t>92892</t>
  </si>
  <si>
    <t>214320</t>
  </si>
  <si>
    <t>이노션</t>
  </si>
  <si>
    <t>CX와 스포츠로 증명한 차별화된 성장성</t>
  </si>
  <si>
    <t>92891</t>
  </si>
  <si>
    <t>종합적 변수 고려</t>
  </si>
  <si>
    <t>92890</t>
  </si>
  <si>
    <t>올해도 상저하고</t>
  </si>
  <si>
    <t>92889</t>
  </si>
  <si>
    <t>양호한 영업이익 달성 불구, 지배주주순이익은 부진</t>
  </si>
  <si>
    <t>92888</t>
  </si>
  <si>
    <t>이런 기업 또 없습니다</t>
  </si>
  <si>
    <t>92887</t>
  </si>
  <si>
    <t>지원금은 일시적이나 경쟁 완화는 지속</t>
  </si>
  <si>
    <t>92886</t>
  </si>
  <si>
    <t>불확실한 업황 속 분투</t>
  </si>
  <si>
    <t>92885</t>
  </si>
  <si>
    <t>좋은 소식이네</t>
  </si>
  <si>
    <t>92884</t>
  </si>
  <si>
    <t>체급을 입증할 때, 시험 직전 문제 풀이의 시간</t>
  </si>
  <si>
    <t>92883</t>
  </si>
  <si>
    <t>5년 전보다 더 강한 기판 싸이클</t>
  </si>
  <si>
    <t>92882</t>
  </si>
  <si>
    <t>124560</t>
  </si>
  <si>
    <t>태웅로직스</t>
  </si>
  <si>
    <t>주주환원 지속에도 불구 밸류업은 지연</t>
  </si>
  <si>
    <t>92881</t>
  </si>
  <si>
    <t>난 3년 후를 더욱 주목한다</t>
  </si>
  <si>
    <t>92880</t>
  </si>
  <si>
    <t>여전히 주목해야 할 시장 지위 확대</t>
  </si>
  <si>
    <t>92879</t>
  </si>
  <si>
    <t>중국에서 2차 VBP만 다시 시작된다면!</t>
  </si>
  <si>
    <t>92878</t>
  </si>
  <si>
    <t>매수 타이밍. 모멘텀 구간 진입</t>
  </si>
  <si>
    <t>92877</t>
  </si>
  <si>
    <t>043150</t>
  </si>
  <si>
    <t>바텍</t>
  </si>
  <si>
    <t>원가 압박 이겨내는 중</t>
  </si>
  <si>
    <t>92876</t>
  </si>
  <si>
    <t>2026-05-13</t>
  </si>
  <si>
    <t>Next Level</t>
  </si>
  <si>
    <t>92875</t>
  </si>
  <si>
    <t>패션, 뷰티 모두 고르게 회복</t>
  </si>
  <si>
    <t>92874</t>
  </si>
  <si>
    <t>신성장(로봇 등) 추진 ~</t>
  </si>
  <si>
    <t>92873</t>
  </si>
  <si>
    <t>배당 최소 보장을 높이셨네요</t>
  </si>
  <si>
    <t>92872</t>
  </si>
  <si>
    <t>외국인, 패션, 럭셔리 고성장 3박자</t>
  </si>
  <si>
    <t>92871</t>
  </si>
  <si>
    <t>1분기 순이익 1조, 2분기 더 높다</t>
  </si>
  <si>
    <t>92870</t>
  </si>
  <si>
    <t>112040</t>
  </si>
  <si>
    <t>위메이드</t>
  </si>
  <si>
    <t>신작 출시 이후를 기대</t>
  </si>
  <si>
    <t>92869</t>
  </si>
  <si>
    <t>기대에 부합하는 실적과 주주환원 정책</t>
  </si>
  <si>
    <t>92868</t>
  </si>
  <si>
    <t>263750</t>
  </si>
  <si>
    <t>펄어비스</t>
  </si>
  <si>
    <t>26일만에 500만장 판매가 의미하는 바</t>
  </si>
  <si>
    <t>92867</t>
  </si>
  <si>
    <t>이벤트 정점은 지났지만, 프리미엄 밸류는 남을 것</t>
  </si>
  <si>
    <t>92866</t>
  </si>
  <si>
    <t>458870</t>
  </si>
  <si>
    <t>씨어스</t>
  </si>
  <si>
    <t>이 시국에 이만한 기업도 없다</t>
  </si>
  <si>
    <t>92865</t>
  </si>
  <si>
    <t>절대 평가와 상대평가의 차이</t>
  </si>
  <si>
    <t>92864</t>
  </si>
  <si>
    <t>339770</t>
  </si>
  <si>
    <t>교촌에프앤비</t>
  </si>
  <si>
    <t>1Q26P Review: 해외 사업 및 신사업은 성장 중</t>
  </si>
  <si>
    <t>92863</t>
  </si>
  <si>
    <t>GPUaaS 매출 2분기 반영 기대</t>
  </si>
  <si>
    <t>92862</t>
  </si>
  <si>
    <t>실손만 개선되면</t>
  </si>
  <si>
    <t>92861</t>
  </si>
  <si>
    <t>1Q26 Review : LVMH가 주목한 백화점</t>
  </si>
  <si>
    <t>92860</t>
  </si>
  <si>
    <t>대체투자 평가익으로 어닝 서프라이즈</t>
  </si>
  <si>
    <t>92859</t>
  </si>
  <si>
    <t>097950</t>
  </si>
  <si>
    <t>CJ제일제당</t>
  </si>
  <si>
    <t>속도는 더디지만, 방향성은 확인</t>
  </si>
  <si>
    <t>92858</t>
  </si>
  <si>
    <t>화려한 역전</t>
  </si>
  <si>
    <t>92857</t>
  </si>
  <si>
    <t>002350</t>
  </si>
  <si>
    <t>넥센타이어</t>
  </si>
  <si>
    <t>NDR 후기: 구조적 성장에 주목</t>
  </si>
  <si>
    <t>92856</t>
  </si>
  <si>
    <t>005690</t>
  </si>
  <si>
    <t>파미셀</t>
  </si>
  <si>
    <t>예상치를 웃도는 수익성</t>
  </si>
  <si>
    <t>92855</t>
  </si>
  <si>
    <t>불확실성 일부 완화</t>
  </si>
  <si>
    <t>92854</t>
  </si>
  <si>
    <t>100090</t>
  </si>
  <si>
    <t>SK오션플랜트</t>
  </si>
  <si>
    <t>1Q26 Review: 높은 마진 기록</t>
  </si>
  <si>
    <t>92853</t>
  </si>
  <si>
    <t>1Q26P Review: 5분기 매출 성장세 지속 성공</t>
  </si>
  <si>
    <t>92852</t>
  </si>
  <si>
    <t>1Q26 Review: 우아한 샤넬, 우아한 프라다, 깔끔한 신세계</t>
  </si>
  <si>
    <t>92851</t>
  </si>
  <si>
    <t>바이오 진짜 저점 통과</t>
  </si>
  <si>
    <t>92850</t>
  </si>
  <si>
    <t>OPM 시장기대치 상회</t>
  </si>
  <si>
    <t>92849</t>
  </si>
  <si>
    <t>한국 +17%, 중국 +20%, 미국 +46% 성장률 맑음</t>
  </si>
  <si>
    <t>92848</t>
  </si>
  <si>
    <t>ETC 조정 완료 시 매려적 구간 진입</t>
  </si>
  <si>
    <t>92846</t>
  </si>
  <si>
    <t>2Q26 기술과 결제 부문 통한 본격 성장 재개 예상</t>
  </si>
  <si>
    <t>92845</t>
  </si>
  <si>
    <t>만점짜리 실적</t>
  </si>
  <si>
    <t>92844</t>
  </si>
  <si>
    <t>228850</t>
  </si>
  <si>
    <t>레이언스</t>
  </si>
  <si>
    <t>1Q26P Review: 수익성 개선, 어닝서프라이즈 시현</t>
  </si>
  <si>
    <t>92843</t>
  </si>
  <si>
    <t>본격적인 레버리지 효과가 남아있는 올해</t>
  </si>
  <si>
    <t>92842</t>
  </si>
  <si>
    <t>2026년 1분기 컨퍼런스 콜 요약</t>
  </si>
  <si>
    <t>92841</t>
  </si>
  <si>
    <t>1Q26 Re - 이제 시작</t>
  </si>
  <si>
    <t>92840</t>
  </si>
  <si>
    <t>1Q26 Re: 내년부터 본게임</t>
  </si>
  <si>
    <t>92839</t>
  </si>
  <si>
    <t>바이오시밀러 대비 우수성을 입증할 기회</t>
  </si>
  <si>
    <t>92838</t>
  </si>
  <si>
    <t>1Q26 Re: 급변한 바이오 시황 감안시 ‘매수’로 대응</t>
  </si>
  <si>
    <t>92837</t>
  </si>
  <si>
    <t>확연히 느껴지는 드랍액 정상화</t>
  </si>
  <si>
    <t>92836</t>
  </si>
  <si>
    <t>매출 Mix 개선에 따른 마진 상승 확인</t>
  </si>
  <si>
    <t>92835</t>
  </si>
  <si>
    <t>1Q26 Re: 역대 최대 실적, 2분기에 더 큰 거 온다</t>
  </si>
  <si>
    <t>92834</t>
  </si>
  <si>
    <t>드디어 왔다! 실적 턴어라운드!</t>
  </si>
  <si>
    <t>92833</t>
  </si>
  <si>
    <t>FCBGA 낙수효과, SiP 쇼티지: 27년 추정치 상향</t>
  </si>
  <si>
    <t>92832</t>
  </si>
  <si>
    <t>대체투자 손익에 힘입어 예상치 상회</t>
  </si>
  <si>
    <t>92831</t>
  </si>
  <si>
    <t>원래 명품은 비싸다</t>
  </si>
  <si>
    <t>92830</t>
  </si>
  <si>
    <t>배당 불가로 26F PER 2.2x 구간</t>
  </si>
  <si>
    <t>92829</t>
  </si>
  <si>
    <t>방향과 속도</t>
  </si>
  <si>
    <t>92828</t>
  </si>
  <si>
    <t>OLED는 안정형, 자회사는 성장형</t>
  </si>
  <si>
    <t>92827</t>
  </si>
  <si>
    <t>투자손익이 견인한 실적 턴어라운드</t>
  </si>
  <si>
    <t>92826</t>
  </si>
  <si>
    <t>하반기 중 부각받을 여지 존재</t>
  </si>
  <si>
    <t>92825</t>
  </si>
  <si>
    <t>1Q26 Review: 이런 실적, 안 보고 배겨요?</t>
  </si>
  <si>
    <t>92824</t>
  </si>
  <si>
    <t>가입자 증가와 견조한 환원 정책</t>
  </si>
  <si>
    <t>92823</t>
  </si>
  <si>
    <t>큰 방향은 유효</t>
  </si>
  <si>
    <t>92822</t>
  </si>
  <si>
    <t>실적 서프라이즈와 열린 하늘길</t>
  </si>
  <si>
    <t>92821</t>
  </si>
  <si>
    <t>낮았던 시장 기대치 대비 서프!</t>
  </si>
  <si>
    <t>92820</t>
  </si>
  <si>
    <t>핵심은 고부가 비중</t>
  </si>
  <si>
    <t>92819</t>
  </si>
  <si>
    <t>아쉬운 시작</t>
  </si>
  <si>
    <t>92818</t>
  </si>
  <si>
    <t>아쉬움 30%, 기대감 70%</t>
  </si>
  <si>
    <t>92817</t>
  </si>
  <si>
    <t>점점 좋아지고 있는 나</t>
  </si>
  <si>
    <t>92816</t>
  </si>
  <si>
    <t>009240</t>
  </si>
  <si>
    <t>한샘</t>
  </si>
  <si>
    <t>하반기까지 지켜볼 필요</t>
  </si>
  <si>
    <t>92815</t>
  </si>
  <si>
    <t>동급최강</t>
  </si>
  <si>
    <t>92814</t>
  </si>
  <si>
    <t>바이오 이익 정상화 국면 진입</t>
  </si>
  <si>
    <t>92813</t>
  </si>
  <si>
    <t>082920</t>
  </si>
  <si>
    <t>비츠로셀</t>
  </si>
  <si>
    <t>성장주 프리미엄 강화</t>
  </si>
  <si>
    <t>92812</t>
  </si>
  <si>
    <t>Black PDL은 흐름이다</t>
  </si>
  <si>
    <t>92811</t>
  </si>
  <si>
    <t>국내가 받쳐주고 해외는 곧 계약하고</t>
  </si>
  <si>
    <t>92810</t>
  </si>
  <si>
    <t>011170</t>
  </si>
  <si>
    <t>롯데케미칼</t>
  </si>
  <si>
    <t>완만한 회복 전망</t>
  </si>
  <si>
    <t>92809</t>
  </si>
  <si>
    <t>1Q26 Review: 대규모 평가이익 다음은 미래에셋 3.0</t>
  </si>
  <si>
    <t>92808</t>
  </si>
  <si>
    <t>바이오 부문 중심의 수익성 반등 전망</t>
  </si>
  <si>
    <t>92807</t>
  </si>
  <si>
    <t>실적도 신세계</t>
  </si>
  <si>
    <t>92806</t>
  </si>
  <si>
    <t>얼마나 EPS가 더 오르려는 건지 감도 안 옴</t>
  </si>
  <si>
    <t>92805</t>
  </si>
  <si>
    <t>기습 동면에 들어간 곰</t>
  </si>
  <si>
    <t>92804</t>
  </si>
  <si>
    <t>1Q26 Re: 제도 개선을 기다리며 펀더멘털 회복 중</t>
  </si>
  <si>
    <t>92803</t>
  </si>
  <si>
    <t>252990</t>
  </si>
  <si>
    <t>샘씨엔에스</t>
  </si>
  <si>
    <t>DRAM과 함께 고마진으로 복귀</t>
  </si>
  <si>
    <t>92802</t>
  </si>
  <si>
    <t>독점 벤더의 실적은 쉬지 않는다</t>
  </si>
  <si>
    <t>92801</t>
  </si>
  <si>
    <t>세포치료제 시장이 커진다고 들었습니다만</t>
  </si>
  <si>
    <t>92800</t>
  </si>
  <si>
    <t>예상치 부합한 분기 실적</t>
  </si>
  <si>
    <t>92799</t>
  </si>
  <si>
    <t>강력한 1분기, 더욱 강력한 2분기!</t>
  </si>
  <si>
    <t>92798</t>
  </si>
  <si>
    <t>구조적인 수익성 증가 시작</t>
  </si>
  <si>
    <t>92797</t>
  </si>
  <si>
    <t>6월, 3개의 분기점</t>
  </si>
  <si>
    <t>92796</t>
  </si>
  <si>
    <t>통증 치료 플랫폼으로써의 잠재력 다시 한번 확인</t>
  </si>
  <si>
    <t>92795</t>
  </si>
  <si>
    <t>2026-05-12</t>
  </si>
  <si>
    <t>지금부터 매수 구간</t>
  </si>
  <si>
    <t>92794</t>
  </si>
  <si>
    <t>이런 날이 다 오네요</t>
  </si>
  <si>
    <t>92793</t>
  </si>
  <si>
    <t>실적 안정화 확인. 이제는 해외 원전 정비 확대 잠재력</t>
  </si>
  <si>
    <t>92792</t>
  </si>
  <si>
    <t>482630</t>
  </si>
  <si>
    <t>삼양엔씨켐</t>
  </si>
  <si>
    <t>역대 최대 분기 실적으로 입증하고 있는 성장성</t>
  </si>
  <si>
    <t>92791</t>
  </si>
  <si>
    <t>리테일 실적 호조로 컨센서스 상회</t>
  </si>
  <si>
    <t>92790</t>
  </si>
  <si>
    <t>불확실성 여전하나, 전쟁 이후 개선된 영업환경</t>
  </si>
  <si>
    <t>92789</t>
  </si>
  <si>
    <t>010950</t>
  </si>
  <si>
    <t>S-Oil</t>
  </si>
  <si>
    <t>불확실성을 상쇄하는 원유 수급 안정성 확인</t>
  </si>
  <si>
    <t>92788</t>
  </si>
  <si>
    <t>1Q26 Review : 그냥 사셨으면 좋겠습니다.</t>
  </si>
  <si>
    <t>92787</t>
  </si>
  <si>
    <t>AI 소재사로서의 리레이팅 구간 도래</t>
  </si>
  <si>
    <t>92786</t>
  </si>
  <si>
    <t>000990</t>
  </si>
  <si>
    <t>DB하이텍</t>
  </si>
  <si>
    <t>NDR 후기: 목표주가 대폭 상향</t>
  </si>
  <si>
    <t>92785</t>
  </si>
  <si>
    <t>1Q26 Review: 자회사는 거들 뿐, 백화점 실적 미쳤다(positive)</t>
  </si>
  <si>
    <t>92784</t>
  </si>
  <si>
    <t>[NDR후기] ESS 수요확대, PFE 규제 수혜 동시부각</t>
  </si>
  <si>
    <t>92783</t>
  </si>
  <si>
    <t>462870</t>
  </si>
  <si>
    <t>시프트업</t>
  </si>
  <si>
    <t>차기 파이프라인 정보에 대한 감도가 높아질 시기</t>
  </si>
  <si>
    <t>92782</t>
  </si>
  <si>
    <t>1Q26 Re - 리테일 시대 개막</t>
  </si>
  <si>
    <t>92781</t>
  </si>
  <si>
    <t>2분기 실적 회복 여부 확인 필요</t>
  </si>
  <si>
    <t>92780</t>
  </si>
  <si>
    <t>딥 밸류 구간, 비중 확대 시점</t>
  </si>
  <si>
    <t>92779</t>
  </si>
  <si>
    <t>중장기 실적 회복 가시성 확대</t>
  </si>
  <si>
    <t>92778</t>
  </si>
  <si>
    <t>단기 실적 변동성 국면. 중기 수급 개선 가능</t>
  </si>
  <si>
    <t>92777</t>
  </si>
  <si>
    <t>유가 안정화 이후 본격 반등 전망</t>
  </si>
  <si>
    <t>92776</t>
  </si>
  <si>
    <t>92775</t>
  </si>
  <si>
    <t>1Q26 Review: 백화점 Up, 적자 사업 Down</t>
  </si>
  <si>
    <t>92774</t>
  </si>
  <si>
    <t>하반기부터는 달라질 것</t>
  </si>
  <si>
    <t>92773</t>
  </si>
  <si>
    <t>100점짜리 실적</t>
  </si>
  <si>
    <t>92772</t>
  </si>
  <si>
    <t>1Q26 Review: 10점 만점에 10점</t>
  </si>
  <si>
    <t>92771</t>
  </si>
  <si>
    <t>우려보다 기대를</t>
  </si>
  <si>
    <t>92770</t>
  </si>
  <si>
    <t>1Q26 Re: 여기도 역대 최대 실적</t>
  </si>
  <si>
    <t>92769</t>
  </si>
  <si>
    <t>P의거짓의 그림자</t>
  </si>
  <si>
    <t>92768</t>
  </si>
  <si>
    <t>회로박 시작, 전지박 가동률이 관건</t>
  </si>
  <si>
    <t>92767</t>
  </si>
  <si>
    <t>중동사태로 예상치 못한 반전국면 진입</t>
  </si>
  <si>
    <t>92766</t>
  </si>
  <si>
    <t>상반기 변동성 확대 후 하반기 상향 안정화</t>
  </si>
  <si>
    <t>92765</t>
  </si>
  <si>
    <t>위탁매매수수료에 기반한 이익 상승</t>
  </si>
  <si>
    <t>92764</t>
  </si>
  <si>
    <t>높아진 눈높이를 상회하는 어닝 서프라이즈</t>
  </si>
  <si>
    <t>92763</t>
  </si>
  <si>
    <t>안정적인 원유 수급 능력</t>
  </si>
  <si>
    <t>92762</t>
  </si>
  <si>
    <t>대한민국 대표 소부장</t>
  </si>
  <si>
    <t>92761</t>
  </si>
  <si>
    <t>종전 이후에도 타이트한 수급 지속</t>
  </si>
  <si>
    <t>92760</t>
  </si>
  <si>
    <t>회로박 모멘텀 가속화</t>
  </si>
  <si>
    <t>92759</t>
  </si>
  <si>
    <t>흠 잡을 데가 없다</t>
  </si>
  <si>
    <t>92758</t>
  </si>
  <si>
    <t>원전 모멘텀에 실적 개선까지</t>
  </si>
  <si>
    <t>92757</t>
  </si>
  <si>
    <t>완벽한 부활</t>
  </si>
  <si>
    <t>92756</t>
  </si>
  <si>
    <t>올해는 ESS와 회로박으로 간다</t>
  </si>
  <si>
    <t>92755</t>
  </si>
  <si>
    <t>476060</t>
  </si>
  <si>
    <t>온코닉테라퓨틱스</t>
  </si>
  <si>
    <t>자큐보, 그 너머의 네수파립</t>
  </si>
  <si>
    <t>92754</t>
  </si>
  <si>
    <t>NDR 후기: 본업의 방어력과 AI DC/로봇의 확장성</t>
  </si>
  <si>
    <t>92753</t>
  </si>
  <si>
    <t>2분기는 개선되나, 역래깅 구간에 대비</t>
  </si>
  <si>
    <t>92752</t>
  </si>
  <si>
    <t>393890</t>
  </si>
  <si>
    <t>더블유씨피</t>
  </si>
  <si>
    <t>22~23년 실적으로 돌아가는 초입</t>
  </si>
  <si>
    <t>92751</t>
  </si>
  <si>
    <t>석유 최고가격제에 따른 실적 변동성 확대 예상</t>
  </si>
  <si>
    <t>92750</t>
  </si>
  <si>
    <t>원전에 버금가는 완도 금일 해상풍력</t>
  </si>
  <si>
    <t>92749</t>
  </si>
  <si>
    <t>2026-05-11</t>
  </si>
  <si>
    <t>온라인으로 식자재 유통의 봄은 온다 part2</t>
  </si>
  <si>
    <t>92748</t>
  </si>
  <si>
    <t>가던 길 잘 가는 중</t>
  </si>
  <si>
    <t>92747</t>
  </si>
  <si>
    <t>1Q26 Review: 하반기로 갈수록 커질 저연차의 춤사위</t>
  </si>
  <si>
    <t>92746</t>
  </si>
  <si>
    <t>[NDR후기] 월간 단위로 강화되는 MLCC·FC-BGA 사이클</t>
  </si>
  <si>
    <t>92745</t>
  </si>
  <si>
    <t>280360</t>
  </si>
  <si>
    <t>롯데웰푸드</t>
  </si>
  <si>
    <t>시장기대치 +47% 상회, 진짜 바뀌고 있다</t>
  </si>
  <si>
    <t>92744</t>
  </si>
  <si>
    <t>241710</t>
  </si>
  <si>
    <t>코스메카코리아</t>
  </si>
  <si>
    <t>히트 브랜드가 늘어나고 있어요</t>
  </si>
  <si>
    <t>92743</t>
  </si>
  <si>
    <t>서프라이즈! 역시 상반기 왕좌</t>
  </si>
  <si>
    <t>92742</t>
  </si>
  <si>
    <t>1Q26 Re: 큰 배가 높은 파고를 넘는 법</t>
  </si>
  <si>
    <t>92741</t>
  </si>
  <si>
    <t>089860</t>
  </si>
  <si>
    <t>롯데렌탈</t>
  </si>
  <si>
    <t>1Q26 Re: 매각이 재평가의 트리거가 되길</t>
  </si>
  <si>
    <t>92740</t>
  </si>
  <si>
    <t>수익성은 일시 하락할 것이다. 그러니 주식을 사야 한다</t>
  </si>
  <si>
    <t>92739</t>
  </si>
  <si>
    <t>120110</t>
  </si>
  <si>
    <t>코오롱인더</t>
  </si>
  <si>
    <t>상반기는 수지, 하반기는 mPPO/아라미드</t>
  </si>
  <si>
    <t>92738</t>
  </si>
  <si>
    <t>3분기부터 높은 관심 필요</t>
  </si>
  <si>
    <t>92737</t>
  </si>
  <si>
    <t>1Q26 Re: 사측 비용 절감 노력 주효</t>
  </si>
  <si>
    <t>92736</t>
  </si>
  <si>
    <t>1Q26 Re: 손익 하회했지만, 온라인 채널 매출 회복</t>
  </si>
  <si>
    <t>92735</t>
  </si>
  <si>
    <t>안정적인 실적 흐름</t>
  </si>
  <si>
    <t>92734</t>
  </si>
  <si>
    <t>071320</t>
  </si>
  <si>
    <t>지역난방공사</t>
  </si>
  <si>
    <t>연간 가이던스 상회 가능성 충분</t>
  </si>
  <si>
    <t>92733</t>
  </si>
  <si>
    <t>아직도 싸다 PBR 0.7배</t>
  </si>
  <si>
    <t>92732</t>
  </si>
  <si>
    <t>고객사 다변화가 돋보인 실적</t>
  </si>
  <si>
    <t>92731</t>
  </si>
  <si>
    <t>079550</t>
  </si>
  <si>
    <t>LIG디펜스앤에어로스페이스</t>
  </si>
  <si>
    <t>[1Q26 Review] 미사일 쇼티지 속 호실적</t>
  </si>
  <si>
    <t>92730</t>
  </si>
  <si>
    <t>산뜻한 출발</t>
  </si>
  <si>
    <t>92729</t>
  </si>
  <si>
    <t>021240</t>
  </si>
  <si>
    <t>코웨이</t>
  </si>
  <si>
    <t>1Q26 Review : 기우에 불과했던 우려들. 제 자리로 돌아갈 시간</t>
  </si>
  <si>
    <t>92728</t>
  </si>
  <si>
    <t>[NDR 후기] 슬슬 보셔야 합니다.</t>
  </si>
  <si>
    <t>92727</t>
  </si>
  <si>
    <t>화장품 성장 지속, 의료기기 회복 여부가 관건</t>
  </si>
  <si>
    <t>92726</t>
  </si>
  <si>
    <t>한국법인 실적 호조와 가이던스 상향에 주목</t>
  </si>
  <si>
    <t>92725</t>
  </si>
  <si>
    <t>모든 퍼즐이 맞춰지다</t>
  </si>
  <si>
    <t>92724</t>
  </si>
  <si>
    <t>068930</t>
  </si>
  <si>
    <t>디지털대성</t>
  </si>
  <si>
    <t>2분기에도 실적 호조 기대</t>
  </si>
  <si>
    <t>92723</t>
  </si>
  <si>
    <t>신작 공백 구간</t>
  </si>
  <si>
    <t>92722</t>
  </si>
  <si>
    <t>AI 데이터센터 수주 급증 수혜</t>
  </si>
  <si>
    <t>92721</t>
  </si>
  <si>
    <t>중장기 사업 가시성 확보</t>
  </si>
  <si>
    <t>92720</t>
  </si>
  <si>
    <t>079430</t>
  </si>
  <si>
    <t>현대리바트</t>
  </si>
  <si>
    <t>쉽지 않은 실적 회복</t>
  </si>
  <si>
    <t>92719</t>
  </si>
  <si>
    <t>과하게 보수적이었던 가이던스</t>
  </si>
  <si>
    <t>92718</t>
  </si>
  <si>
    <t>92717</t>
  </si>
  <si>
    <t>1Q26 Review: 기대 이상의 서프라이즈 시현</t>
  </si>
  <si>
    <t>92716</t>
  </si>
  <si>
    <t>036420</t>
  </si>
  <si>
    <t>콘텐트리중앙</t>
  </si>
  <si>
    <t>열심히 노력하고 있습니다.</t>
  </si>
  <si>
    <t>92715</t>
  </si>
  <si>
    <t>047810</t>
  </si>
  <si>
    <t>한국항공우주</t>
  </si>
  <si>
    <t>1Q26 Review: 아쉬운 실적 속 이뤄지는 체질 변화</t>
  </si>
  <si>
    <t>92714</t>
  </si>
  <si>
    <t>B가 효자였어!</t>
  </si>
  <si>
    <t>92713</t>
  </si>
  <si>
    <t>광고가 안보인다.</t>
  </si>
  <si>
    <t>92712</t>
  </si>
  <si>
    <t>우선 외형은 회복했습니다.</t>
  </si>
  <si>
    <t>92711</t>
  </si>
  <si>
    <t>서두르지 않고 꾸준히 우상향</t>
  </si>
  <si>
    <t>92710</t>
  </si>
  <si>
    <t>037560</t>
  </si>
  <si>
    <t>LG헬로비전</t>
  </si>
  <si>
    <t>돌파구가 필요합니다</t>
  </si>
  <si>
    <t>92709</t>
  </si>
  <si>
    <t>소비 회복으로 편의점도 회복</t>
  </si>
  <si>
    <t>92708</t>
  </si>
  <si>
    <t>적극적인 광고주 발굴</t>
  </si>
  <si>
    <t>92707</t>
  </si>
  <si>
    <t>079160</t>
  </si>
  <si>
    <t>CJ CGV</t>
  </si>
  <si>
    <t>신작이라면 보시겠습니까?</t>
  </si>
  <si>
    <t>92706</t>
  </si>
  <si>
    <t>053210</t>
  </si>
  <si>
    <t>스카이라이프</t>
  </si>
  <si>
    <t>아직은 성장을 위한 투자 구간</t>
  </si>
  <si>
    <t>92705</t>
  </si>
  <si>
    <t>안 좋을 때 좋은 주식</t>
  </si>
  <si>
    <t>92704</t>
  </si>
  <si>
    <t>리쥬란 옥외광고 도배의 이유</t>
  </si>
  <si>
    <t>92703</t>
  </si>
  <si>
    <t>1Q26 Review: 알리글로 실적은 기대 이상</t>
  </si>
  <si>
    <t>92702</t>
  </si>
  <si>
    <t>성수기를 앞두고 추정치 상향</t>
  </si>
  <si>
    <t>92701</t>
  </si>
  <si>
    <t>성수기를 앞두고 매력적인 가격</t>
  </si>
  <si>
    <t>92700</t>
  </si>
  <si>
    <t>054450</t>
  </si>
  <si>
    <t>텔레칩스</t>
  </si>
  <si>
    <t>1Q26P Review: “SoC 개발 용역” 매출 본격 반영</t>
  </si>
  <si>
    <t>92699</t>
  </si>
  <si>
    <t>214180</t>
  </si>
  <si>
    <t>헥토이노베이션</t>
  </si>
  <si>
    <t>1Q26P Review: 분기 최대 천억원대 매출액 돌파</t>
  </si>
  <si>
    <t>92698</t>
  </si>
  <si>
    <t>096530</t>
  </si>
  <si>
    <t>씨젠</t>
  </si>
  <si>
    <t>4년 만에 두 자릿수 영업이익률로 돌아갈 시간</t>
  </si>
  <si>
    <t>92697</t>
  </si>
  <si>
    <t>강한 업황, 강한 실적</t>
  </si>
  <si>
    <t>92696</t>
  </si>
  <si>
    <t>바닥은 확인했고, 리쥬란은 건재하다</t>
  </si>
  <si>
    <t>92695</t>
  </si>
  <si>
    <t>비 갠 뒤에 비애 대신 a happy end</t>
  </si>
  <si>
    <t>92694</t>
  </si>
  <si>
    <t>전공정 장비, 여전히 Top-pick</t>
  </si>
  <si>
    <t>92693</t>
  </si>
  <si>
    <t>안정적인 실적 성장 국면</t>
  </si>
  <si>
    <t>92692</t>
  </si>
  <si>
    <t>AI 를 기다리며</t>
  </si>
  <si>
    <t>92691</t>
  </si>
  <si>
    <t>리쥬란 브랜드 위상 증명</t>
  </si>
  <si>
    <t>92690</t>
  </si>
  <si>
    <t>전 사업부에서 누리는 고유가 + ESS 확대 기회</t>
  </si>
  <si>
    <t>92689</t>
  </si>
  <si>
    <t>태양광 트렌드 변화에 대응하기 위한 고군분투</t>
  </si>
  <si>
    <t>92688</t>
  </si>
  <si>
    <t>2분기 적자 예상에도 긍정적인 중장기 방향성</t>
  </si>
  <si>
    <t>92687</t>
  </si>
  <si>
    <t>AIDC 전력수요 급증 관련 사업 확장 잠재력</t>
  </si>
  <si>
    <t>92686</t>
  </si>
  <si>
    <t>무난한 실적, 저렴해진 구간</t>
  </si>
  <si>
    <t>92685</t>
  </si>
  <si>
    <t>찾았다, 중장기 성장 동력</t>
  </si>
  <si>
    <t>92684</t>
  </si>
  <si>
    <t>한국이 좋아도 너무 좋네</t>
  </si>
  <si>
    <t>92683</t>
  </si>
  <si>
    <t>말 있죠, 하반기부터 좋은데 안 보고 배겨?</t>
  </si>
  <si>
    <t>92682</t>
  </si>
  <si>
    <t>240810</t>
  </si>
  <si>
    <t>원익IPS</t>
  </si>
  <si>
    <t>추정치 상향의 서막</t>
  </si>
  <si>
    <t>92681</t>
  </si>
  <si>
    <t>1Q26 Review: 수익성 방어 문제없다</t>
  </si>
  <si>
    <t>92680</t>
  </si>
  <si>
    <t>SoC 개발 용역/해외 매출 증가→사상 최대 실적 가시화</t>
  </si>
  <si>
    <t>92679</t>
  </si>
  <si>
    <t>1Q26 Review: 호실적으로 스타트</t>
  </si>
  <si>
    <t>92678</t>
  </si>
  <si>
    <t>ESS, AIDC 핵심 밸류체인으로 진입 중</t>
  </si>
  <si>
    <t>92677</t>
  </si>
  <si>
    <t>이제 특허 이슈 해소만 남았다</t>
  </si>
  <si>
    <t>92676</t>
  </si>
  <si>
    <t>조용하게 강하다</t>
  </si>
  <si>
    <t>92675</t>
  </si>
  <si>
    <t>다재다능</t>
  </si>
  <si>
    <t>92674</t>
  </si>
  <si>
    <t>92673</t>
  </si>
  <si>
    <t>066970</t>
  </si>
  <si>
    <t>엘앤에프</t>
  </si>
  <si>
    <t>AIDC향 ESS의 중장기적인 성장성 확보</t>
  </si>
  <si>
    <t>92672</t>
  </si>
  <si>
    <t>006400</t>
  </si>
  <si>
    <t>삼성SDI</t>
  </si>
  <si>
    <t>92671</t>
  </si>
  <si>
    <t>121600</t>
  </si>
  <si>
    <t>나노신소재</t>
  </si>
  <si>
    <t>미국 태양전지 탈중국 소재의 수혜</t>
  </si>
  <si>
    <t>92670</t>
  </si>
  <si>
    <t>우주/방산 안테나 등으로 올해 사상 최대 실적 가시화</t>
  </si>
  <si>
    <t>92669</t>
  </si>
  <si>
    <t>373220</t>
  </si>
  <si>
    <t>LG에너지솔루션</t>
  </si>
  <si>
    <t>ESS 수주가 다 찼다</t>
  </si>
  <si>
    <t>92668</t>
  </si>
  <si>
    <t>499790</t>
  </si>
  <si>
    <t>GS피앤엘</t>
  </si>
  <si>
    <t>비수기 증명된 이익 레버리지 효과</t>
  </si>
  <si>
    <t>92667</t>
  </si>
  <si>
    <t>뚜렷한 상저하고 실적 보일 전망</t>
  </si>
  <si>
    <t>92666</t>
  </si>
  <si>
    <t>글로벌 확장에 주목할 시점</t>
  </si>
  <si>
    <t>92665</t>
  </si>
  <si>
    <t>일시 비용 부담으로 컨센 하회</t>
  </si>
  <si>
    <t>92664</t>
  </si>
  <si>
    <t>우호적인 매크로 환경 지속, 기대해볼 2분기</t>
  </si>
  <si>
    <t>92663</t>
  </si>
  <si>
    <t>고연차 IP의 성장이 필요한 시점</t>
  </si>
  <si>
    <t>92662</t>
  </si>
  <si>
    <t>투자 비용 확대로 어닝 쇼크 기록</t>
  </si>
  <si>
    <t>92661</t>
  </si>
  <si>
    <t>수익성 반등 본격화</t>
  </si>
  <si>
    <t>92660</t>
  </si>
  <si>
    <t>2Q26 영업이익 100조원 예상</t>
  </si>
  <si>
    <t>92659</t>
  </si>
  <si>
    <t>온라인 사업 성장 드라이브 본격화</t>
  </si>
  <si>
    <t>92658</t>
  </si>
  <si>
    <t>2Q26 영업이익 70조원 예상</t>
  </si>
  <si>
    <t>92657</t>
  </si>
  <si>
    <t>이익 체력이 돋보였던 1분기</t>
  </si>
  <si>
    <t>92656</t>
  </si>
  <si>
    <t>흑묘백묘론, 의료기기든 화장품이든 성장만 하면 돼</t>
  </si>
  <si>
    <t>92655</t>
  </si>
  <si>
    <t>086450</t>
  </si>
  <si>
    <t>동국제약</t>
  </si>
  <si>
    <t>본업 회복에 더해지는 두 개의 업사이드</t>
  </si>
  <si>
    <t>92654</t>
  </si>
  <si>
    <t>000150</t>
  </si>
  <si>
    <t>두산</t>
  </si>
  <si>
    <t>NDR 후기: CAPA 와 고객사의 동반 확장</t>
  </si>
  <si>
    <t>92653</t>
  </si>
  <si>
    <t>실적 퀀텀! 배당 퀀텀!</t>
  </si>
  <si>
    <t>92652</t>
  </si>
  <si>
    <t>2026-05-08</t>
  </si>
  <si>
    <t>한국과 미국 모두 기대 이상</t>
  </si>
  <si>
    <t>92651</t>
  </si>
  <si>
    <t>비수기에도 확인한 이익 체력</t>
  </si>
  <si>
    <t>92650</t>
  </si>
  <si>
    <t>033780</t>
  </si>
  <si>
    <t>KT&amp;G</t>
  </si>
  <si>
    <t>보이는 게 다가 아니에요</t>
  </si>
  <si>
    <t>92649</t>
  </si>
  <si>
    <t>1Q26 Review : 곧 빛을 발할 신선식품 강화 전략</t>
  </si>
  <si>
    <t>92648</t>
  </si>
  <si>
    <t>1Q26 Review : 절대적으로 우수한 편의점 업황</t>
  </si>
  <si>
    <t>92647</t>
  </si>
  <si>
    <t>1Q26 Review : 영역을 확장 중인 엑사원</t>
  </si>
  <si>
    <t>92646</t>
  </si>
  <si>
    <t>329180</t>
  </si>
  <si>
    <t>HD현대중공업</t>
  </si>
  <si>
    <t>[1Q26 Review] 견조한 상선에 더해지는 DC 엔진 스토리</t>
  </si>
  <si>
    <t>92645</t>
  </si>
  <si>
    <t>모든걸 증명해보인 1분기</t>
  </si>
  <si>
    <t>92644</t>
  </si>
  <si>
    <t>해외 담배 중심 실적 성장과 주주 환원 기대</t>
  </si>
  <si>
    <t>92643</t>
  </si>
  <si>
    <t>수주 모멘텀이 견인할 주가</t>
  </si>
  <si>
    <t>92642</t>
  </si>
  <si>
    <t>본업도 잘하는데 새로운 기회까지 선점</t>
  </si>
  <si>
    <t>92641</t>
  </si>
  <si>
    <t>예상한 비수기, 성수기 폭은 하반기 신작에 달렸다</t>
  </si>
  <si>
    <t>92640</t>
  </si>
  <si>
    <t>222040</t>
  </si>
  <si>
    <t>코스맥스엔비티</t>
  </si>
  <si>
    <t>오랫동안 기다려왔던 실적 서프라이즈!</t>
  </si>
  <si>
    <t>92639</t>
  </si>
  <si>
    <t>1Q26 Review: 상저하고</t>
  </si>
  <si>
    <t>92638</t>
  </si>
  <si>
    <t>비핵심 사업 정리 + AI 도입 통한 톡비즈 매출 성장 제고</t>
  </si>
  <si>
    <t>92637</t>
  </si>
  <si>
    <t>초과 수요 x 수익성 개선 x 지역 확장 콜라보</t>
  </si>
  <si>
    <t>92636</t>
  </si>
  <si>
    <t>1Q26 리뷰: 기대치 하회. 지배구조 향방에 대한 관심 확대</t>
  </si>
  <si>
    <t>92635</t>
  </si>
  <si>
    <t>1Q26 리뷰: 기대치 상회. 종전 우려와 가이던스 상향 부재</t>
  </si>
  <si>
    <t>92634</t>
  </si>
  <si>
    <t>모회사의 반등이 절실</t>
  </si>
  <si>
    <t>92633</t>
  </si>
  <si>
    <t>하반기를 기다려 보자</t>
  </si>
  <si>
    <t>92632</t>
  </si>
  <si>
    <t>실적은 여전히 좋은데</t>
  </si>
  <si>
    <t>92631</t>
  </si>
  <si>
    <t>피지컬 AI의 실체를 보여줄 것입니다</t>
  </si>
  <si>
    <t>92630</t>
  </si>
  <si>
    <t>1Q 리뷰 - 실적 저점 통과, 2분기부터 실적 좋을 것</t>
  </si>
  <si>
    <t>92629</t>
  </si>
  <si>
    <t>2026년 1분기 컨퍼런스콜 요약</t>
  </si>
  <si>
    <t>92628</t>
  </si>
  <si>
    <t>92627</t>
  </si>
  <si>
    <t>1Q 리뷰 - 실적 양호, 올해 유의미한 이익 성장 전망</t>
  </si>
  <si>
    <t>92626</t>
  </si>
  <si>
    <t>전쟁으로 사이클은 더욱 빠르게 돌아선다</t>
  </si>
  <si>
    <t>92625</t>
  </si>
  <si>
    <t>하반기 AI 에이전트 대중화가 중요</t>
  </si>
  <si>
    <t>92624</t>
  </si>
  <si>
    <t>PLC 관리 역량 증명 필요</t>
  </si>
  <si>
    <t>92623</t>
  </si>
  <si>
    <t>인센티브 없이도 두 자리 수 마진 기록</t>
  </si>
  <si>
    <t>92622</t>
  </si>
  <si>
    <t>일회성 요인 없이 실적 서프라이즈</t>
  </si>
  <si>
    <t>92621</t>
  </si>
  <si>
    <t>071970</t>
  </si>
  <si>
    <t>HD현대마린엔진</t>
  </si>
  <si>
    <t>비수기에도 이익률 추가 개선</t>
  </si>
  <si>
    <t>92620</t>
  </si>
  <si>
    <t>009540</t>
  </si>
  <si>
    <t>HD한국조선해양</t>
  </si>
  <si>
    <t>모든 자회사의 실적 성장</t>
  </si>
  <si>
    <t>92619</t>
  </si>
  <si>
    <t>LG화학 수익성 회복 여부가 관건. EXAONE 확장성 주목</t>
  </si>
  <si>
    <t>92618</t>
  </si>
  <si>
    <t>더딘 이익 성장, 미래가 열린 기업</t>
  </si>
  <si>
    <t>92617</t>
  </si>
  <si>
    <t>깔끔한 시작</t>
  </si>
  <si>
    <t>92616</t>
  </si>
  <si>
    <t>Waiting for you</t>
  </si>
  <si>
    <t>92615</t>
  </si>
  <si>
    <t>1Q26 Review: 본격적인 성장 초입임을 입증</t>
  </si>
  <si>
    <t>92614</t>
  </si>
  <si>
    <t>1Q26 Re: 1H25 이익을 한 분기에 달성</t>
  </si>
  <si>
    <t>92613</t>
  </si>
  <si>
    <t>이익 체력 개선, 다음은 배당 강화</t>
  </si>
  <si>
    <t>92612</t>
  </si>
  <si>
    <t>실적·배당·가치, 삼박자로 돌아왔다</t>
  </si>
  <si>
    <t>92611</t>
  </si>
  <si>
    <t>숫자로 증명한 플랫폼 경쟁력</t>
  </si>
  <si>
    <t>92610</t>
  </si>
  <si>
    <t>흠잡을 데 없는 실적</t>
  </si>
  <si>
    <t>92609</t>
  </si>
  <si>
    <t>064290</t>
  </si>
  <si>
    <t>인텍플러스</t>
  </si>
  <si>
    <t>어차피 마지막은 검사!</t>
  </si>
  <si>
    <t>92608</t>
  </si>
  <si>
    <t>또 최대 실적, 이제는 글로벌 메가 브랜드</t>
  </si>
  <si>
    <t>92607</t>
  </si>
  <si>
    <t>259960</t>
  </si>
  <si>
    <t>크래프톤</t>
  </si>
  <si>
    <t>기다림은 우리편</t>
  </si>
  <si>
    <t>92606</t>
  </si>
  <si>
    <t>원료 가격 안정화로 본격 스프레드 개선을 기대</t>
  </si>
  <si>
    <t>92605</t>
  </si>
  <si>
    <t>1Q26 Review: 화장품 대장의 위용</t>
  </si>
  <si>
    <t>92604</t>
  </si>
  <si>
    <t>다소 아쉬운 신작 성과</t>
  </si>
  <si>
    <t>92603</t>
  </si>
  <si>
    <t>필수재 채널까지 닿은 소비 호황의 훈풍</t>
  </si>
  <si>
    <t>92602</t>
  </si>
  <si>
    <t>동일점과 출점 모두 회복</t>
  </si>
  <si>
    <t>92601</t>
  </si>
  <si>
    <t>마일스톤 유입으로 컨센 상회</t>
  </si>
  <si>
    <t>92600</t>
  </si>
  <si>
    <t>비용 효율화와 AI 풀스택이 보여줄 수익성 증가</t>
  </si>
  <si>
    <t>92599</t>
  </si>
  <si>
    <t>이제 본게임 시작</t>
  </si>
  <si>
    <t>92598</t>
  </si>
  <si>
    <t>非 천궁에서 본 가능성</t>
  </si>
  <si>
    <t>92597</t>
  </si>
  <si>
    <t>1Q26P Review: 최대 매출액, OPM 15%대 회복</t>
  </si>
  <si>
    <t>92596</t>
  </si>
  <si>
    <t>420770</t>
  </si>
  <si>
    <t>기가비스</t>
  </si>
  <si>
    <t>FCBGA의 하반기 화두는 '증설투자'</t>
  </si>
  <si>
    <t>92595</t>
  </si>
  <si>
    <t>089600</t>
  </si>
  <si>
    <t>KT나스미디어</t>
  </si>
  <si>
    <t>1Q26P Review: 5분기 연속 매출 성장세 지속</t>
  </si>
  <si>
    <t>92594</t>
  </si>
  <si>
    <t>비교업체들 대비 저평가 여전, 목표주가 상향</t>
  </si>
  <si>
    <t>92593</t>
  </si>
  <si>
    <t>미국 비만 치료 시장이 부른다</t>
  </si>
  <si>
    <t>92592</t>
  </si>
  <si>
    <t>안정적인 이익 개선</t>
  </si>
  <si>
    <t>92591</t>
  </si>
  <si>
    <t>미국 뇌전증 치료제 성장 재확인</t>
  </si>
  <si>
    <t>92590</t>
  </si>
  <si>
    <t>자식 농사의 결실</t>
  </si>
  <si>
    <t>92589</t>
  </si>
  <si>
    <t>최선을 다하고 있기는 한데</t>
  </si>
  <si>
    <t>92588</t>
  </si>
  <si>
    <t>이제 믿을 곳은 티빙</t>
  </si>
  <si>
    <t>92587</t>
  </si>
  <si>
    <t>안 좋은 사업부문 없고, 더 좋아질 가능성 높다</t>
  </si>
  <si>
    <t>92586</t>
  </si>
  <si>
    <t>견조한 매출 vs. 일시 비용 부담</t>
  </si>
  <si>
    <t>92585</t>
  </si>
  <si>
    <t>NB 라텍스 턴어라운드 가시화</t>
  </si>
  <si>
    <t>92584</t>
  </si>
  <si>
    <t>극적인 이익 레버리지 효과</t>
  </si>
  <si>
    <t>92583</t>
  </si>
  <si>
    <t>010130</t>
  </si>
  <si>
    <t>고려아연</t>
  </si>
  <si>
    <t>1Q 호실적 달성. 앞으로 남은 과제는?</t>
  </si>
  <si>
    <t>92582</t>
  </si>
  <si>
    <t>남은 분기 편안하게</t>
  </si>
  <si>
    <t>92581</t>
  </si>
  <si>
    <t>중동의 연기 속에서도 숫자는 타오른다</t>
  </si>
  <si>
    <t>92580</t>
  </si>
  <si>
    <t>예상했던 호실적, 2Q26도 계속될 듯</t>
  </si>
  <si>
    <t>92579</t>
  </si>
  <si>
    <t>선명해지는 반등의 열쇠</t>
  </si>
  <si>
    <t>92578</t>
  </si>
  <si>
    <t>장기 접근 필요</t>
  </si>
  <si>
    <t>92577</t>
  </si>
  <si>
    <t>어닝 서프와 함께 맞이한 조정, 과하다</t>
  </si>
  <si>
    <t>92576</t>
  </si>
  <si>
    <t>유의미한 수익성 개선, AI 성과는 아직</t>
  </si>
  <si>
    <t>92575</t>
  </si>
  <si>
    <t>92574</t>
  </si>
  <si>
    <t>호실적, 멀리 보면 안전한 성장</t>
  </si>
  <si>
    <t>92573</t>
  </si>
  <si>
    <t>장사가 잘되요</t>
  </si>
  <si>
    <t>92572</t>
  </si>
  <si>
    <t>하반기에 발표될 배당 강화 정책에 주목</t>
  </si>
  <si>
    <t>92571</t>
  </si>
  <si>
    <t>핵심 지표는 굳건</t>
  </si>
  <si>
    <t>92570</t>
  </si>
  <si>
    <t>상선, 군함, 엔진을 다 갖춘 만능 조선사</t>
  </si>
  <si>
    <t>92569</t>
  </si>
  <si>
    <t>1Q26: 현시점 가장 귀한 방산기업</t>
  </si>
  <si>
    <t>92568</t>
  </si>
  <si>
    <t>늘어나는 수주 기회에 주목</t>
  </si>
  <si>
    <t>92567</t>
  </si>
  <si>
    <t>단기 모멘텀 둔화에도 여전히 긍정적</t>
  </si>
  <si>
    <t>92566</t>
  </si>
  <si>
    <t>점차 선명해지는 그림</t>
  </si>
  <si>
    <t>92565</t>
  </si>
  <si>
    <t>145020</t>
  </si>
  <si>
    <t>휴젤</t>
  </si>
  <si>
    <t>톡신 경보 톡신 경보 영업인력 총동원</t>
  </si>
  <si>
    <t>92564</t>
  </si>
  <si>
    <t>유럽이 이끄는 중장기 성장 모멘텀</t>
  </si>
  <si>
    <t>92563</t>
  </si>
  <si>
    <t>Big 4 시장에서의 견조한 성장</t>
  </si>
  <si>
    <t>92562</t>
  </si>
  <si>
    <t>071840</t>
  </si>
  <si>
    <t>롯데하이마트</t>
  </si>
  <si>
    <t>전략과 실적 중 전략에 눈이 가는 이유</t>
  </si>
  <si>
    <t>92561</t>
  </si>
  <si>
    <t>이변이 없는 펀더멘탈</t>
  </si>
  <si>
    <t>92560</t>
  </si>
  <si>
    <t>2분기 연속 실적 서프라이즈!</t>
  </si>
  <si>
    <t>92559</t>
  </si>
  <si>
    <t>전 사업 부문 성장. AIDC 수요 증가 지속</t>
  </si>
  <si>
    <t>92558</t>
  </si>
  <si>
    <t>039840</t>
  </si>
  <si>
    <t>디오</t>
  </si>
  <si>
    <t>매출채권 관리에 힘입어 마진 개선</t>
  </si>
  <si>
    <t>92557</t>
  </si>
  <si>
    <t>047080</t>
  </si>
  <si>
    <t>한빛소프트</t>
  </si>
  <si>
    <t>IP 자산과 AI·XR 기술력이 만나는 글로벌 디지털 콘텐츠 플랫폼</t>
  </si>
  <si>
    <t>92556</t>
  </si>
  <si>
    <t>070590</t>
  </si>
  <si>
    <t>인티큐브</t>
  </si>
  <si>
    <t>AI 기반 디지털 컨택센터 및 클라우드 커뮤니케이션 솔루션 전문기업</t>
  </si>
  <si>
    <t>92555</t>
  </si>
  <si>
    <t>2026-05-07</t>
  </si>
  <si>
    <t>100120</t>
  </si>
  <si>
    <t>뷰웍스</t>
  </si>
  <si>
    <t>허리띠 졸라매니 좋아지는 마진</t>
  </si>
  <si>
    <t>92554</t>
  </si>
  <si>
    <t>1Q26 Review : 백화점도 결국 고정비 비즈니스(feat. 영업 레버리지)</t>
  </si>
  <si>
    <t>92553</t>
  </si>
  <si>
    <t>323410</t>
  </si>
  <si>
    <t>카카오뱅크</t>
  </si>
  <si>
    <t>1Q26 Review: 지속적인 고객 확대를 통한 성장 모멘텀 유효</t>
  </si>
  <si>
    <t>92552</t>
  </si>
  <si>
    <t>촘촘한 R&amp;D 모멘텀</t>
  </si>
  <si>
    <t>92551</t>
  </si>
  <si>
    <t>인상적인 옴니클로와 스토보클로의 성장</t>
  </si>
  <si>
    <t>92550</t>
  </si>
  <si>
    <t>000100</t>
  </si>
  <si>
    <t>유한양행</t>
  </si>
  <si>
    <t>아직은 쉬어가는 중</t>
  </si>
  <si>
    <t>92549</t>
  </si>
  <si>
    <t>377300</t>
  </si>
  <si>
    <t>카카오페이</t>
  </si>
  <si>
    <t>매출 고성장 속 에이전트 전략 전개</t>
  </si>
  <si>
    <t>92548</t>
  </si>
  <si>
    <t>1Q26 Review: Too Rude to Discount</t>
  </si>
  <si>
    <t>92547</t>
  </si>
  <si>
    <t>1Q26 Review: 내국인도 외국인도 한도초과</t>
  </si>
  <si>
    <t>92546</t>
  </si>
  <si>
    <t>이익 정상화의 원년</t>
  </si>
  <si>
    <t>92545</t>
  </si>
  <si>
    <t>실리콘 판가 상향과 보유지분 가치 상승</t>
  </si>
  <si>
    <t>92544</t>
  </si>
  <si>
    <t>실적은 예상 부합. 기대 요인은 스테이블코인 관련 모멘텀</t>
  </si>
  <si>
    <t>92543</t>
  </si>
  <si>
    <t>바닥이 맞습니다</t>
  </si>
  <si>
    <t>92542</t>
  </si>
  <si>
    <t>슴슴하다</t>
  </si>
  <si>
    <t>92541</t>
  </si>
  <si>
    <t>비수기에 증명한 구조적 성장</t>
  </si>
  <si>
    <t>92540</t>
  </si>
  <si>
    <t>본업 경쟁력 강화 지속, 지누스가 할인 요인</t>
  </si>
  <si>
    <t>92539</t>
  </si>
  <si>
    <t>성장 이끄는 신규 시밀러</t>
  </si>
  <si>
    <t>92538</t>
  </si>
  <si>
    <t>전부문 고른 성장</t>
  </si>
  <si>
    <t>92537</t>
  </si>
  <si>
    <t>012750</t>
  </si>
  <si>
    <t>에스원</t>
  </si>
  <si>
    <t>새로운 성장을 위한 변화</t>
  </si>
  <si>
    <t>92536</t>
  </si>
  <si>
    <t>백화점 레버리지 확인</t>
  </si>
  <si>
    <t>92535</t>
  </si>
  <si>
    <t>1Q 호조, 소캠2 매출 시작!</t>
  </si>
  <si>
    <t>92534</t>
  </si>
  <si>
    <t>지누스 부진 불구, 백화점 초호황 고려한 투자 필요</t>
  </si>
  <si>
    <t>92533</t>
  </si>
  <si>
    <t>슈퍼뱅크 상장차익으로 사상 최대 실적 달성</t>
  </si>
  <si>
    <t>92532</t>
  </si>
  <si>
    <t>수익성 개선과 함께 주주환원 가시성 확보</t>
  </si>
  <si>
    <t>92531</t>
  </si>
  <si>
    <t>1Q26 Review: 백화점 영업이익 야호!</t>
  </si>
  <si>
    <t>92530</t>
  </si>
  <si>
    <t>아직 가보지 못한 제자리를 향해</t>
  </si>
  <si>
    <t>92529</t>
  </si>
  <si>
    <t>계절적 비수기에도 호텔 호조</t>
  </si>
  <si>
    <t>92528</t>
  </si>
  <si>
    <t>밸류에이션 할인 종식을 고함</t>
  </si>
  <si>
    <t>92527</t>
  </si>
  <si>
    <t>외형과 수익성 동시에 잡기</t>
  </si>
  <si>
    <t>92526</t>
  </si>
  <si>
    <t>327260</t>
  </si>
  <si>
    <t>RF머트리얼즈</t>
  </si>
  <si>
    <t>탐방노트: EML보다 더 심각한 펌프레이저 공급 부족</t>
  </si>
  <si>
    <t>92525</t>
  </si>
  <si>
    <t>따박따박 본업 실적에 해외 붙이기</t>
  </si>
  <si>
    <t>92524</t>
  </si>
  <si>
    <t>네? 아직도 PER 15배라구요?</t>
  </si>
  <si>
    <t>92523</t>
  </si>
  <si>
    <t>최후의 깃발을 꽂는 건 지상군(이제 철도도 보자)</t>
  </si>
  <si>
    <t>92522</t>
  </si>
  <si>
    <t>전 세계에서 가장 싼 백화점 기업</t>
  </si>
  <si>
    <t>92521</t>
  </si>
  <si>
    <t>저연차 성장 궤도 진입</t>
  </si>
  <si>
    <t>92520</t>
  </si>
  <si>
    <t>혁신과 현실 사이</t>
  </si>
  <si>
    <t>92519</t>
  </si>
  <si>
    <t>자본효율성 제고 노력 지속</t>
  </si>
  <si>
    <t>92518</t>
  </si>
  <si>
    <t>수익성 개선의 본격화</t>
  </si>
  <si>
    <t>92517</t>
  </si>
  <si>
    <t>가파른 회복세</t>
  </si>
  <si>
    <t>92516</t>
  </si>
  <si>
    <t>2분기에 다 준비해봤어</t>
  </si>
  <si>
    <t>92515</t>
  </si>
  <si>
    <t>5/29일 에스파 컴백해요</t>
  </si>
  <si>
    <t>92514</t>
  </si>
  <si>
    <t>비수기 끝났다</t>
  </si>
  <si>
    <t>92513</t>
  </si>
  <si>
    <t>453340</t>
  </si>
  <si>
    <t>현대그린푸드</t>
  </si>
  <si>
    <t>전혀 예상 못한 서프라이즈!</t>
  </si>
  <si>
    <t>92512</t>
  </si>
  <si>
    <t>판가도, 가동률도, 그리고 SOCAMM도</t>
  </si>
  <si>
    <t>92511</t>
  </si>
  <si>
    <t>하반기 모멘텀 부각</t>
  </si>
  <si>
    <t>92510</t>
  </si>
  <si>
    <t>119610</t>
  </si>
  <si>
    <t>인터로조</t>
  </si>
  <si>
    <t>정상화</t>
  </si>
  <si>
    <t>92509</t>
  </si>
  <si>
    <t>백화점이 하드 캐리</t>
  </si>
  <si>
    <t>92508</t>
  </si>
  <si>
    <t>바이오시밀러 신제품 효과는 이제 시작!</t>
  </si>
  <si>
    <t>92507</t>
  </si>
  <si>
    <t>본원 경쟁력 발현</t>
  </si>
  <si>
    <t>92506</t>
  </si>
  <si>
    <t>005490</t>
  </si>
  <si>
    <t>POSCO홀딩스</t>
  </si>
  <si>
    <t>리튬사업에 동이 튼다!</t>
  </si>
  <si>
    <t>92505</t>
  </si>
  <si>
    <t>067160</t>
  </si>
  <si>
    <t>SOOP</t>
  </si>
  <si>
    <t>2분기부터 회복되는 실적과 강화되는 플랫폼 경쟁력</t>
  </si>
  <si>
    <t>92504</t>
  </si>
  <si>
    <t>가시화되는 자회사들의 성장스토리</t>
  </si>
  <si>
    <t>92503</t>
  </si>
  <si>
    <t>019010</t>
  </si>
  <si>
    <t>베뉴지</t>
  </si>
  <si>
    <t>네 우리가 들어본 그 웨딩홀 맞습니다</t>
  </si>
  <si>
    <t>92502</t>
  </si>
  <si>
    <t>Sell-On이 아니라 글로벌 확장 전략의 신호탄</t>
  </si>
  <si>
    <t>92501</t>
  </si>
  <si>
    <t>2026-05-06</t>
  </si>
  <si>
    <t>성장 동력의 둔화</t>
  </si>
  <si>
    <t>92500</t>
  </si>
  <si>
    <t>307950</t>
  </si>
  <si>
    <t>현대오토에버</t>
  </si>
  <si>
    <t>단기 노이즈보다 중기 모멘텀에 주목</t>
  </si>
  <si>
    <t>92499</t>
  </si>
  <si>
    <t>005300</t>
  </si>
  <si>
    <t>롯데칠성</t>
  </si>
  <si>
    <t>시장기대치 상회, 중동 전쟁 이슈는 불확실성 요인</t>
  </si>
  <si>
    <t>92498</t>
  </si>
  <si>
    <t>호황의 강도와 지속성 모두 확인</t>
  </si>
  <si>
    <t>92497</t>
  </si>
  <si>
    <t>1Q26 Review: 큰 그림은 변함없다</t>
  </si>
  <si>
    <t>92496</t>
  </si>
  <si>
    <t>성공적인 비수기 돌파</t>
  </si>
  <si>
    <t>92495</t>
  </si>
  <si>
    <t>일회성에 불과할 충격</t>
  </si>
  <si>
    <t>92494</t>
  </si>
  <si>
    <t>1Q26 Re: 호실적에도 사측 연간 가이던스 유지</t>
  </si>
  <si>
    <t>92493</t>
  </si>
  <si>
    <t>028670</t>
  </si>
  <si>
    <t>팬오션</t>
  </si>
  <si>
    <t>1Q26 Re: 에너지 선사로서 돋보일 때</t>
  </si>
  <si>
    <t>92492</t>
  </si>
  <si>
    <t>EV 테슬라와 ESS LFP 시너지 효과</t>
  </si>
  <si>
    <t>92491</t>
  </si>
  <si>
    <t>011760</t>
  </si>
  <si>
    <t>현대코퍼레이션</t>
  </si>
  <si>
    <t>분기 최대 이익 경신</t>
  </si>
  <si>
    <t>92490</t>
  </si>
  <si>
    <t>판돈 오르니, 판이 깔린다</t>
  </si>
  <si>
    <t>92489</t>
  </si>
  <si>
    <t>474170</t>
  </si>
  <si>
    <t>루미르</t>
  </si>
  <si>
    <t>바다에서 우주로 가보SAR</t>
  </si>
  <si>
    <t>92488</t>
  </si>
  <si>
    <t>361390</t>
  </si>
  <si>
    <t>제노코</t>
  </si>
  <si>
    <t>KAI를 등에 업고 우주로</t>
  </si>
  <si>
    <t>92487</t>
  </si>
  <si>
    <t>451760</t>
  </si>
  <si>
    <t>컨텍</t>
  </si>
  <si>
    <t>A-Z 우주를 연결하는 인프라</t>
  </si>
  <si>
    <t>92486</t>
  </si>
  <si>
    <t>462350</t>
  </si>
  <si>
    <t>이노스페이스</t>
  </si>
  <si>
    <t>나 쏠 수 있어!</t>
  </si>
  <si>
    <t>92485</t>
  </si>
  <si>
    <t>478340</t>
  </si>
  <si>
    <t>나라스페이스테크놀로지</t>
  </si>
  <si>
    <t>NASA가 인정한 기업</t>
  </si>
  <si>
    <t>92484</t>
  </si>
  <si>
    <t>347700</t>
  </si>
  <si>
    <t>스피어</t>
  </si>
  <si>
    <t>성장 가시성이 확보되는 원년</t>
  </si>
  <si>
    <t>92483</t>
  </si>
  <si>
    <t>295310</t>
  </si>
  <si>
    <t>에이치브이엠</t>
  </si>
  <si>
    <t>증설에는 이유가 있겠죠?</t>
  </si>
  <si>
    <t>92482</t>
  </si>
  <si>
    <t>성장의 서막: 非스타링크 진영의 활약 예고</t>
  </si>
  <si>
    <t>92481</t>
  </si>
  <si>
    <t>272210</t>
  </si>
  <si>
    <t>한화시스템</t>
  </si>
  <si>
    <t>우주+방산+조선, 독보적인 사업 포트폴리오</t>
  </si>
  <si>
    <t>92480</t>
  </si>
  <si>
    <t>호실적을 기록한 탱커, LNG</t>
  </si>
  <si>
    <t>92479</t>
  </si>
  <si>
    <t>100590</t>
  </si>
  <si>
    <t>머큐리</t>
  </si>
  <si>
    <t>#광케이블 #WiFi7</t>
  </si>
  <si>
    <t>92478</t>
  </si>
  <si>
    <t>매출처 확대와 턴키 수주로의 확장</t>
  </si>
  <si>
    <t>92477</t>
  </si>
  <si>
    <t>472850</t>
  </si>
  <si>
    <t>폰드그룹</t>
  </si>
  <si>
    <t>사업적 결합이 시작된다!</t>
  </si>
  <si>
    <t>92476</t>
  </si>
  <si>
    <t>069260</t>
  </si>
  <si>
    <t>TKG휴켐스</t>
  </si>
  <si>
    <t>호황이었던 2022년 Again!</t>
  </si>
  <si>
    <t>92475</t>
  </si>
  <si>
    <t>024850</t>
  </si>
  <si>
    <t>HLB이노베이션</t>
  </si>
  <si>
    <t>세상에 없던 CAR-T 세포 치료제가 온다</t>
  </si>
  <si>
    <t>92474</t>
  </si>
  <si>
    <t>033160</t>
  </si>
  <si>
    <t>엠케이전자</t>
  </si>
  <si>
    <t>1분기 실적 서프라이즈. 그러나 아직 SOCAMM은 시작도 안했다</t>
  </si>
  <si>
    <t>92473</t>
  </si>
  <si>
    <t>실적 호전과 풍부한 재원에서 비롯되는 주주환원</t>
  </si>
  <si>
    <t>92472</t>
  </si>
  <si>
    <t>091700</t>
  </si>
  <si>
    <t>파트론</t>
  </si>
  <si>
    <t>1Q, 매출 상회/수익성 하회</t>
  </si>
  <si>
    <t>92471</t>
  </si>
  <si>
    <t>1Q 영업이익은 호실적~이제는 폴더블폰, 아이폰18!</t>
  </si>
  <si>
    <t>92470</t>
  </si>
  <si>
    <t>004800</t>
  </si>
  <si>
    <t>효성</t>
  </si>
  <si>
    <t>자회사 전방위 개선, 고배당 기조 지속 확인</t>
  </si>
  <si>
    <t>92469</t>
  </si>
  <si>
    <t>본업 성장과 전방 시장의 확장에 주목</t>
  </si>
  <si>
    <t>92468</t>
  </si>
  <si>
    <t>수익성 악화는 일시적일 뿐</t>
  </si>
  <si>
    <t>92467</t>
  </si>
  <si>
    <t>ESS + 4680이 견인하는 실적</t>
  </si>
  <si>
    <t>92466</t>
  </si>
  <si>
    <t>215000</t>
  </si>
  <si>
    <t>골프존</t>
  </si>
  <si>
    <t>1Q26P Review: 6분기 연속 해외 매출 증가</t>
  </si>
  <si>
    <t>92465</t>
  </si>
  <si>
    <t>051910</t>
  </si>
  <si>
    <t>LG화학</t>
  </si>
  <si>
    <t>첨단소재 실적 턴어라운드 시작</t>
  </si>
  <si>
    <t>92464</t>
  </si>
  <si>
    <t>증익 싸이클 진입: 아이폰증산 + 사업다각화</t>
  </si>
  <si>
    <t>92463</t>
  </si>
  <si>
    <t>1Q26P Review: 13분기만 회복한 15%대 OPM</t>
  </si>
  <si>
    <t>92462</t>
  </si>
  <si>
    <t>1Q26 Review: 매출 이연 효과일 뿐 방향성은 변함없다</t>
  </si>
  <si>
    <t>92461</t>
  </si>
  <si>
    <t>볼수록 매력있다</t>
  </si>
  <si>
    <t>92460</t>
  </si>
  <si>
    <t>역기저효과에도 실적 선방</t>
  </si>
  <si>
    <t>92459</t>
  </si>
  <si>
    <t>좀 더 지켜봐야 할 때</t>
  </si>
  <si>
    <t>92458</t>
  </si>
  <si>
    <t>오랜만에 찾아온 국내 외형 성장</t>
  </si>
  <si>
    <t>92457</t>
  </si>
  <si>
    <t>유가 충격에도 견조한 실적</t>
  </si>
  <si>
    <t>92456</t>
  </si>
  <si>
    <t>남다른 입지가 부여할 프리미엄</t>
  </si>
  <si>
    <t>92455</t>
  </si>
  <si>
    <t xml:space="preserve"> IP 다변화가 관건</t>
  </si>
  <si>
    <t>92454</t>
  </si>
  <si>
    <t>178920</t>
  </si>
  <si>
    <t>PI첨단소재</t>
  </si>
  <si>
    <t>판가 ↑ 고부가가치 비중 ↑ = 수익성 개선 가속화</t>
  </si>
  <si>
    <t>92453</t>
  </si>
  <si>
    <t>2Q26부터 실적 개선세 재개 예상</t>
  </si>
  <si>
    <t>92452</t>
  </si>
  <si>
    <t>037030</t>
  </si>
  <si>
    <t>파워넷</t>
  </si>
  <si>
    <t>EMS로 외형 성장, 800VDC PSU도 순항 중</t>
  </si>
  <si>
    <t>92451</t>
  </si>
  <si>
    <t>신제품 성과가 필요한 때</t>
  </si>
  <si>
    <t>92450</t>
  </si>
  <si>
    <t>불가피한 파업의 영향. 실적 기대치 낮춰야..</t>
  </si>
  <si>
    <t>92449</t>
  </si>
  <si>
    <t>493330</t>
  </si>
  <si>
    <t>지에프아이</t>
  </si>
  <si>
    <t>글로벌 ESS 안전 책임진다</t>
  </si>
  <si>
    <t>92448</t>
  </si>
  <si>
    <t>매출 성장률 회복에 대한 기대</t>
  </si>
  <si>
    <t>92447</t>
  </si>
  <si>
    <t>드라이벌크에서 벌크로 재편 지속</t>
  </si>
  <si>
    <t>92446</t>
  </si>
  <si>
    <t>062040</t>
  </si>
  <si>
    <t>산일전기</t>
  </si>
  <si>
    <t>AI 데이터센터 밸류체인으로 합류</t>
  </si>
  <si>
    <t>92445</t>
  </si>
  <si>
    <t>2026-05-04</t>
  </si>
  <si>
    <t>확실한 성장</t>
  </si>
  <si>
    <t>92339</t>
  </si>
  <si>
    <t>가격 인상의 조건이 만들어지는 중</t>
  </si>
  <si>
    <t>92338</t>
  </si>
  <si>
    <t>마법의 단어, '선반영'</t>
  </si>
  <si>
    <t>92337</t>
  </si>
  <si>
    <t>138930</t>
  </si>
  <si>
    <t>BNK금융지주</t>
  </si>
  <si>
    <t>일시적 부진, 펀더멘탈 개선세 지속</t>
  </si>
  <si>
    <t>92336</t>
  </si>
  <si>
    <t>회원제 결제는 사상 최대 실적을, 스테이블코인은 성장성을</t>
  </si>
  <si>
    <t>92335</t>
  </si>
  <si>
    <t>034020</t>
  </si>
  <si>
    <t>두산에너빌리티</t>
  </si>
  <si>
    <t>에너지 안보로 美 원전 등 신규수주 모멘텀 풍부</t>
  </si>
  <si>
    <t>92334</t>
  </si>
  <si>
    <t>의심할 여지 없는 초호황</t>
  </si>
  <si>
    <t>92333</t>
  </si>
  <si>
    <t>006360</t>
  </si>
  <si>
    <t>GS건설</t>
  </si>
  <si>
    <t>실적보다 원전, 수주 가시화가 관건</t>
  </si>
  <si>
    <t>92332</t>
  </si>
  <si>
    <t>008770</t>
  </si>
  <si>
    <t>호텔신라</t>
  </si>
  <si>
    <t>구조적인 수익성 개선 본격화</t>
  </si>
  <si>
    <t>92331</t>
  </si>
  <si>
    <t>1Q26: 무기 백화점, 올해도 성황</t>
  </si>
  <si>
    <t>92330</t>
  </si>
  <si>
    <t>가격인상 싸이클 초입: MLCC, FCBGA, BGA</t>
  </si>
  <si>
    <t>92329</t>
  </si>
  <si>
    <t>환입 효과 외 본업에서도 실적 차별화 기대</t>
  </si>
  <si>
    <t>92328</t>
  </si>
  <si>
    <t>정반합 결과치</t>
  </si>
  <si>
    <t>92327</t>
  </si>
  <si>
    <t>특수변압기 전방시장 확장, 이뤄 졌다고</t>
  </si>
  <si>
    <t>92326</t>
  </si>
  <si>
    <t>3Q26 영업이익 100조원 전망</t>
  </si>
  <si>
    <t>92325</t>
  </si>
  <si>
    <t>비용은 일시적, 성장은 구조적</t>
  </si>
  <si>
    <t>92324</t>
  </si>
  <si>
    <t>194370</t>
  </si>
  <si>
    <t>제이에스코퍼레이션</t>
  </si>
  <si>
    <t>이제 할인에서 할증으로 갈 때</t>
  </si>
  <si>
    <t>92323</t>
  </si>
  <si>
    <t>375500</t>
  </si>
  <si>
    <t>DL이앤씨</t>
  </si>
  <si>
    <t>아크로(ACRO)디테: 실적과 서사의 조화</t>
  </si>
  <si>
    <t>92322</t>
  </si>
  <si>
    <t>일시적 부진, 펀더멘털 이상 무</t>
  </si>
  <si>
    <t>92321</t>
  </si>
  <si>
    <t>NDR 후기: 좋아진 실적, 더 좋은 업황</t>
  </si>
  <si>
    <t>92320</t>
  </si>
  <si>
    <t>단납기에서 LTA로 비즈니스 모델이 변화하고 있다</t>
  </si>
  <si>
    <t>92319</t>
  </si>
  <si>
    <t>1Q26P Review: AX, RX, VX 확대 수혜 기대</t>
  </si>
  <si>
    <t>92318</t>
  </si>
  <si>
    <t>제품 포트폴리오 확대로 새로운 성장 동력</t>
  </si>
  <si>
    <t>92317</t>
  </si>
  <si>
    <t>호실적 속 M/S 하락 방어는 과제</t>
  </si>
  <si>
    <t>92316</t>
  </si>
  <si>
    <t>경쟁력 회복이 일조한 1Q26 Memory 실적</t>
  </si>
  <si>
    <t>92315</t>
  </si>
  <si>
    <t>거래대금 확대로 위탁매매/운용손익 호조</t>
  </si>
  <si>
    <t>92314</t>
  </si>
  <si>
    <t>실적은 부진하나, 원전 프리미엄 부여로 목표주가 상향</t>
  </si>
  <si>
    <t>92313</t>
  </si>
  <si>
    <t>확연한 마진 개선세와 SMR, 대형 원전 기회까지</t>
  </si>
  <si>
    <t>92312</t>
  </si>
  <si>
    <t>자율주행 서비스 상용화 목적 650억 원 유상증자 결의</t>
  </si>
  <si>
    <t>92311</t>
  </si>
  <si>
    <t>대손비용 축소에 기반한 실적 개선</t>
  </si>
  <si>
    <t>92310</t>
  </si>
  <si>
    <t>비은행 개선, 주주환원 지속</t>
  </si>
  <si>
    <t>92309</t>
  </si>
  <si>
    <t>높아진 예측 가능성으로 업사이드 타진</t>
  </si>
  <si>
    <t>92308</t>
  </si>
  <si>
    <t>103140</t>
  </si>
  <si>
    <t>풍산</t>
  </si>
  <si>
    <t>개선 중이나 불확실성 해소가 먼저</t>
  </si>
  <si>
    <t>92307</t>
  </si>
  <si>
    <t>035250</t>
  </si>
  <si>
    <t>강원랜드</t>
  </si>
  <si>
    <t>1분기 실적 선방, 관건은 리노베이션 영향</t>
  </si>
  <si>
    <t>92306</t>
  </si>
  <si>
    <t>Slow Starter</t>
  </si>
  <si>
    <t>92305</t>
  </si>
  <si>
    <t>047050</t>
  </si>
  <si>
    <t>포스코인터내셔널</t>
  </si>
  <si>
    <t>1Q26 Review: 순조로운 출발</t>
  </si>
  <si>
    <t>92304</t>
  </si>
  <si>
    <t>아쉬운 1분기 실적, 연간 성장 기대감 유효</t>
  </si>
  <si>
    <t>92303</t>
  </si>
  <si>
    <t>북미 ESS CAPA 역량에 주목할 필요</t>
  </si>
  <si>
    <t>92302</t>
  </si>
  <si>
    <t>SMR 모멘텀에 더해진 높은 주택 마진</t>
  </si>
  <si>
    <t>92301</t>
  </si>
  <si>
    <t>높은 마진에도 예상보다 컸던 주택 외형 감소</t>
  </si>
  <si>
    <t>92300</t>
  </si>
  <si>
    <t>475400</t>
  </si>
  <si>
    <t>씨메스로보틱스</t>
  </si>
  <si>
    <t>휴머노이드 시대, 피지컬 AI 애플리케이션 강자</t>
  </si>
  <si>
    <t>92299</t>
  </si>
  <si>
    <t>M&amp;A로 외형 성장, 남은 과제는 이익 체력</t>
  </si>
  <si>
    <t>92298</t>
  </si>
  <si>
    <t>저평가. 로봇을 포함한 다양한 성장성 부각 필요</t>
  </si>
  <si>
    <t>92297</t>
  </si>
  <si>
    <t>2분기까지 개선되는 수익성</t>
  </si>
  <si>
    <t>92296</t>
  </si>
  <si>
    <t>위기는 나의 기회</t>
  </si>
  <si>
    <t>92295</t>
  </si>
  <si>
    <t>아쉬움이 남는 실적과 가이던스</t>
  </si>
  <si>
    <t>92294</t>
  </si>
  <si>
    <t>위기의 계절을 지나, '오딘Q'의 시간이 온다</t>
  </si>
  <si>
    <t>92293</t>
  </si>
  <si>
    <t>이유 있는 자신감</t>
  </si>
  <si>
    <t>92292</t>
  </si>
  <si>
    <t>192440</t>
  </si>
  <si>
    <t>슈피겐코리아</t>
  </si>
  <si>
    <t>글로벌 온라인 채널 기반의 모바일 보호 액세서리 브랜드</t>
  </si>
  <si>
    <t>92291</t>
  </si>
  <si>
    <t>054940</t>
  </si>
  <si>
    <t>엑사이엔씨</t>
  </si>
  <si>
    <t>반도체·데이터센터의 내부 클린룸·시스템실링 등을 시공하는 실내건축 전문기업</t>
  </si>
  <si>
    <t>92290</t>
  </si>
  <si>
    <t>060480</t>
  </si>
  <si>
    <t>국일신동</t>
  </si>
  <si>
    <t>동합금 황동봉 제품 기반 비철금속 소재 전문기업</t>
  </si>
  <si>
    <t>92289</t>
  </si>
  <si>
    <t>148250</t>
  </si>
  <si>
    <t>알엔투테크놀로지</t>
  </si>
  <si>
    <t>세라믹 소재·부품 기술 기반 고신뢰성 기판과 방열기판으로 확장 시도 중</t>
  </si>
  <si>
    <t>92288</t>
  </si>
  <si>
    <t>368970</t>
  </si>
  <si>
    <t>오에스피</t>
  </si>
  <si>
    <t>유기농 기반 프리미엄 펫푸드 ODM 전문기업</t>
  </si>
  <si>
    <t>92287</t>
  </si>
  <si>
    <t>146060</t>
  </si>
  <si>
    <t>율촌</t>
  </si>
  <si>
    <t>정밀 인발강관 기반의 고부가 자동차용 소재 기업</t>
  </si>
  <si>
    <t>92286</t>
  </si>
  <si>
    <t>2026-04-30</t>
  </si>
  <si>
    <t>001430</t>
  </si>
  <si>
    <t>세아베스틸지주</t>
  </si>
  <si>
    <t>업황 개선 vs 밸류에이션 부담</t>
  </si>
  <si>
    <t>92190</t>
  </si>
  <si>
    <t>가스터빈 모멘텀 강화</t>
  </si>
  <si>
    <t>92189</t>
  </si>
  <si>
    <t>4월 NB 라텍스 가격 +81% MoM, 글로벌 1위의 기회</t>
  </si>
  <si>
    <t>92188</t>
  </si>
  <si>
    <t>443060</t>
  </si>
  <si>
    <t>HD현대마린솔루션</t>
  </si>
  <si>
    <t>1Q26 NDR 후기: 데이터센터로 더 커진다</t>
  </si>
  <si>
    <t>92187</t>
  </si>
  <si>
    <t>에너지 사업 경쟁력 주목</t>
  </si>
  <si>
    <t>92186</t>
  </si>
  <si>
    <t>016380</t>
  </si>
  <si>
    <t>KG스틸</t>
  </si>
  <si>
    <t>가격 인상·반덤핑·저PBR의 삼중 모멘텀 기대</t>
  </si>
  <si>
    <t>92185</t>
  </si>
  <si>
    <t>NAND 고단화 대표 수혜주</t>
  </si>
  <si>
    <t>92184</t>
  </si>
  <si>
    <t>가스터빈, SMR 수주 성과가 빛났던 1분기</t>
  </si>
  <si>
    <t>92183</t>
  </si>
  <si>
    <t>247540</t>
  </si>
  <si>
    <t>에코프로비엠</t>
  </si>
  <si>
    <t>헝가리 공장 가동에 따른 수혜 기대감 유효</t>
  </si>
  <si>
    <t>92182</t>
  </si>
  <si>
    <t>352820</t>
  </si>
  <si>
    <t>하이브</t>
  </si>
  <si>
    <t>실질적 어닝 서프라이즈</t>
  </si>
  <si>
    <t>92181</t>
  </si>
  <si>
    <t>늘어나는 수요 대비 한정적인 공급</t>
  </si>
  <si>
    <t>92180</t>
  </si>
  <si>
    <t>1분기 일회성 제외하면 무난, 2분기부터 성장 재개</t>
  </si>
  <si>
    <t>92179</t>
  </si>
  <si>
    <t>001120</t>
  </si>
  <si>
    <t>LX인터내셔널</t>
  </si>
  <si>
    <t>호실적으로 이어진 원자재 모멘텀</t>
  </si>
  <si>
    <t>92178</t>
  </si>
  <si>
    <t>이제 본업으로 승부 볼 차례</t>
  </si>
  <si>
    <t>92177</t>
  </si>
  <si>
    <t>해외 진출 기대 유효 vs 국내 사업 불확실성 높아져</t>
  </si>
  <si>
    <t>92176</t>
  </si>
  <si>
    <t>전략적 변화 과도기</t>
  </si>
  <si>
    <t>92175</t>
  </si>
  <si>
    <t>082740</t>
  </si>
  <si>
    <t>한화엔진</t>
  </si>
  <si>
    <t>4행정 중속엔진 적시의 재개</t>
  </si>
  <si>
    <t>92174</t>
  </si>
  <si>
    <t>착실한 실적</t>
  </si>
  <si>
    <t>92173</t>
  </si>
  <si>
    <t>유럽 전기차향 물량 증가 시그널 긍정적</t>
  </si>
  <si>
    <t>92172</t>
  </si>
  <si>
    <t>돋보이는 방산</t>
  </si>
  <si>
    <t>92171</t>
  </si>
  <si>
    <t>2026-04-29</t>
  </si>
  <si>
    <t>성공적 리밸런싱</t>
  </si>
  <si>
    <t>92170</t>
  </si>
  <si>
    <t>가동률회복: 1Q 45% &gt; 하반기 65%</t>
  </si>
  <si>
    <t>92169</t>
  </si>
  <si>
    <t>336370</t>
  </si>
  <si>
    <t>솔루스첨단소재</t>
  </si>
  <si>
    <t>1Q26 실적발표: 하반기 가동률, 풀캐파 자신</t>
  </si>
  <si>
    <t>92168</t>
  </si>
  <si>
    <t>기존작 하향 안정화, 언바운드 인수</t>
  </si>
  <si>
    <t>92167</t>
  </si>
  <si>
    <t>1Q26 Review 컨센서스 큰 폭 상회</t>
  </si>
  <si>
    <t>92166</t>
  </si>
  <si>
    <t>이익 성장기에 DDI 완전 자회사화 추진</t>
  </si>
  <si>
    <t>92165</t>
  </si>
  <si>
    <t>전방과 동행하는 Top-Tier 소재 역량</t>
  </si>
  <si>
    <t>92164</t>
  </si>
  <si>
    <t>298380</t>
  </si>
  <si>
    <t>에이비엘바이오</t>
  </si>
  <si>
    <t>하락이 너무 과하다</t>
  </si>
  <si>
    <t>92163</t>
  </si>
  <si>
    <t>073240</t>
  </si>
  <si>
    <t>금호타이어</t>
  </si>
  <si>
    <t>공급력 확대 기세를 꺾는 원자재가 상승 부담</t>
  </si>
  <si>
    <t>92162</t>
  </si>
  <si>
    <t>회복 가시성 확보</t>
  </si>
  <si>
    <t>92161</t>
  </si>
  <si>
    <t>1Q26 Review &amp; 국제그린에너지엑스포 탐방 후기</t>
  </si>
  <si>
    <t>92160</t>
  </si>
  <si>
    <t>전 사업부 흑자 전환과 태양광 모멘텀 가시화</t>
  </si>
  <si>
    <t>92159</t>
  </si>
  <si>
    <t>000720</t>
  </si>
  <si>
    <t>현대건설</t>
  </si>
  <si>
    <t>[1Q26 Review] 넘볼 수 없는 자리</t>
  </si>
  <si>
    <t>92158</t>
  </si>
  <si>
    <t>139130</t>
  </si>
  <si>
    <t>iM금융지주</t>
  </si>
  <si>
    <t>1Q26Review: 수익 개선과 비과세 배당 추진 주가에 긍정적</t>
  </si>
  <si>
    <t>92157</t>
  </si>
  <si>
    <t>보다 높아진 4분기 흑전 가시성</t>
  </si>
  <si>
    <t>92156</t>
  </si>
  <si>
    <t>PPE 공급 쇼크 속 mPPO 내재화 가치 급증</t>
  </si>
  <si>
    <t>92155</t>
  </si>
  <si>
    <t>원전, 수익성 방어: 모두 준비 갈 완료!</t>
  </si>
  <si>
    <t>92153</t>
  </si>
  <si>
    <t>[NDR후기] 기대되는 2Q 실적</t>
  </si>
  <si>
    <t>92152</t>
  </si>
  <si>
    <t>CET 1 비율 12.3% 상회를 향해</t>
  </si>
  <si>
    <t>92151</t>
  </si>
  <si>
    <t>267260</t>
  </si>
  <si>
    <t>HD현대일렉트릭</t>
  </si>
  <si>
    <t>초고압 수주 레벨업 + 엔진 발전 확장</t>
  </si>
  <si>
    <t>92150</t>
  </si>
  <si>
    <t>선제적인 성장에도 자본비율 방어</t>
  </si>
  <si>
    <t>92149</t>
  </si>
  <si>
    <t>믹스 개선으로 증명한 이익 체력, 신공장으로 여는 도약</t>
  </si>
  <si>
    <t>92148</t>
  </si>
  <si>
    <t>1분기 실적, 시장 예상치 상회</t>
  </si>
  <si>
    <t>92147</t>
  </si>
  <si>
    <t>일부 납기 조정에도 20% 중반 마진</t>
  </si>
  <si>
    <t>92146</t>
  </si>
  <si>
    <t>176750</t>
  </si>
  <si>
    <t>듀켐바이오</t>
  </si>
  <si>
    <t>[AI] 방사성의약품 생산 및 공급 전문기업</t>
  </si>
  <si>
    <t>92145</t>
  </si>
  <si>
    <t>실적에 기반한 상승, 2024년과 다르다</t>
  </si>
  <si>
    <t>92144</t>
  </si>
  <si>
    <t>402030</t>
  </si>
  <si>
    <t>코난테크놀로지</t>
  </si>
  <si>
    <t>[AI] AI 기반 자연어처리 및 빅데이터 분석 솔루션 전문기업</t>
  </si>
  <si>
    <t>92143</t>
  </si>
  <si>
    <t>047040</t>
  </si>
  <si>
    <t>대우건설</t>
  </si>
  <si>
    <t>빅배스 이후 기록한 호실적과 Valuation 부담</t>
  </si>
  <si>
    <t>92142</t>
  </si>
  <si>
    <t>서프라이즈 기록</t>
  </si>
  <si>
    <t>92141</t>
  </si>
  <si>
    <t>우주 모멘텀에 펀더멘털까지</t>
  </si>
  <si>
    <t>92140</t>
  </si>
  <si>
    <t>건축부문 실적 서프라이즈</t>
  </si>
  <si>
    <t>92139</t>
  </si>
  <si>
    <t>저도 미국 시장 수혜주입니다</t>
  </si>
  <si>
    <t>92138</t>
  </si>
  <si>
    <t>이제 막 좋아지기 시작</t>
  </si>
  <si>
    <t>92137</t>
  </si>
  <si>
    <t>위기를 기회로 전환하는 것도 능력</t>
  </si>
  <si>
    <t>92136</t>
  </si>
  <si>
    <t>AIDC 온사이트 발전용 제품 공급 확대</t>
  </si>
  <si>
    <t>92135</t>
  </si>
  <si>
    <t>화학/신재생에너지 실적 동반 턴어라운드</t>
  </si>
  <si>
    <t>92134</t>
  </si>
  <si>
    <t>1Q26P Review: 로열티 매출 성장세 지속 기대</t>
  </si>
  <si>
    <t>92133</t>
  </si>
  <si>
    <t>물 들어온다, 노 젓자</t>
  </si>
  <si>
    <t>92132</t>
  </si>
  <si>
    <t>더 이상 하락은 없다</t>
  </si>
  <si>
    <t>92131</t>
  </si>
  <si>
    <t>298040</t>
  </si>
  <si>
    <t>효성중공업</t>
  </si>
  <si>
    <t xml:space="preserve"> NDR후기: 765kV부터 SST 까지</t>
  </si>
  <si>
    <t>92130</t>
  </si>
  <si>
    <t>실적은 단기에, 수주는 긴호흡 하에 증가</t>
  </si>
  <si>
    <t>92129</t>
  </si>
  <si>
    <t>고성장을 통한 이자이익 기반 강화</t>
  </si>
  <si>
    <t>92128</t>
  </si>
  <si>
    <t>계약으로 확인될 경쟁력</t>
  </si>
  <si>
    <t>92127</t>
  </si>
  <si>
    <t>동박 매각! 전지박 순항 중!</t>
  </si>
  <si>
    <t>92126</t>
  </si>
  <si>
    <t>이젠 전 사업부문이 AI 인프라 구축에 동원</t>
  </si>
  <si>
    <t>92125</t>
  </si>
  <si>
    <t>241560</t>
  </si>
  <si>
    <t>두산밥캣</t>
  </si>
  <si>
    <t>회복되는 시장과 확고한 입지</t>
  </si>
  <si>
    <t>92124</t>
  </si>
  <si>
    <t>실적보다 수주, 역대 최대 분기 수주</t>
  </si>
  <si>
    <t>92123</t>
  </si>
  <si>
    <t>사상 최대 수주, 발전기까지 터지나?</t>
  </si>
  <si>
    <t>92122</t>
  </si>
  <si>
    <t>수주는 강했다</t>
  </si>
  <si>
    <t>92121</t>
  </si>
  <si>
    <t>1Q26 Preview: 공급 리스크는 기회 요인</t>
  </si>
  <si>
    <t>92120</t>
  </si>
  <si>
    <t>안정되고 있는 수익성, 유효한 원전 수주 기대감</t>
  </si>
  <si>
    <t>92119</t>
  </si>
  <si>
    <t>1Q26 Preview: 탄탄한 이익 체력</t>
  </si>
  <si>
    <t>92118</t>
  </si>
  <si>
    <t>정상화를 넘어 이제는 리레이팅으로</t>
  </si>
  <si>
    <t>92117</t>
  </si>
  <si>
    <t>서프라이즈 할 2026년</t>
  </si>
  <si>
    <t>92116</t>
  </si>
  <si>
    <t>새로운 역사를 썼다</t>
  </si>
  <si>
    <t>92115</t>
  </si>
  <si>
    <t>1Q26 NDR 후기: 늦지 않았으니 매수</t>
  </si>
  <si>
    <t>92114</t>
  </si>
  <si>
    <t>일회성 환입을 고려해도 긍정적인 실적 달성</t>
  </si>
  <si>
    <t>92113</t>
  </si>
  <si>
    <t>우려 대비 양호한 실적</t>
  </si>
  <si>
    <t>92112</t>
  </si>
  <si>
    <t>원전 기대감에 더해진 수익성 개선</t>
  </si>
  <si>
    <t>92111</t>
  </si>
  <si>
    <t>주가 조정 발생시 트레이딩 관점에서 접근</t>
  </si>
  <si>
    <t>92110</t>
  </si>
  <si>
    <t>방향성은 위</t>
  </si>
  <si>
    <t>92109</t>
  </si>
  <si>
    <t>견조한 본업, 신사업의 반등이 필요</t>
  </si>
  <si>
    <t>92108</t>
  </si>
  <si>
    <t>004000</t>
  </si>
  <si>
    <t>롯데정밀화학</t>
  </si>
  <si>
    <t>호실적에 반도체 소재 모멘텀까지</t>
  </si>
  <si>
    <t>92107</t>
  </si>
  <si>
    <t>042660</t>
  </si>
  <si>
    <t>한화오션</t>
  </si>
  <si>
    <t>빛을 뿜는 상선, 때를 기다리는 특수선&amp;플랜트</t>
  </si>
  <si>
    <t>92106</t>
  </si>
  <si>
    <t>점점 선명해지는 수주 타임 라인</t>
  </si>
  <si>
    <t>92105</t>
  </si>
  <si>
    <t>높아지는 실적 개선 기대감</t>
  </si>
  <si>
    <t>92104</t>
  </si>
  <si>
    <t>공격적인 가이던스 속에 그래도 확실한 한 가지</t>
  </si>
  <si>
    <t>92103</t>
  </si>
  <si>
    <t>핵심이익 긍정적이나 비용 및 자본관리 필요</t>
  </si>
  <si>
    <t>92102</t>
  </si>
  <si>
    <t>195940</t>
  </si>
  <si>
    <t>HK이노엔</t>
  </si>
  <si>
    <t>편안하게 봐도 좋은 시점</t>
  </si>
  <si>
    <t>92101</t>
  </si>
  <si>
    <t>1분기부터 확인된 긍정적인 변화</t>
  </si>
  <si>
    <t>92100</t>
  </si>
  <si>
    <t>이제 공은 규제당국의 손에</t>
  </si>
  <si>
    <t>92099</t>
  </si>
  <si>
    <t>신호등 바뀌었어 Green Green</t>
  </si>
  <si>
    <t>92098</t>
  </si>
  <si>
    <t>불확실성 있으나 영업이익 가이던스 달성 전망</t>
  </si>
  <si>
    <t>92097</t>
  </si>
  <si>
    <t>003620</t>
  </si>
  <si>
    <t>KG모빌리티</t>
  </si>
  <si>
    <t>픽업트럭 명가의 저력 증명</t>
  </si>
  <si>
    <t>92096</t>
  </si>
  <si>
    <t>비은행 개선, 비과세 배당 추진</t>
  </si>
  <si>
    <t>92095</t>
  </si>
  <si>
    <t>144510</t>
  </si>
  <si>
    <t>지씨셀</t>
  </si>
  <si>
    <t>세포치료제 푸카소 상업화와 NK 파이프라인 모멘텀이 동시에 열린다</t>
  </si>
  <si>
    <t>92094</t>
  </si>
  <si>
    <t>계단식 리레이팅 구간 진입</t>
  </si>
  <si>
    <t>92093</t>
  </si>
  <si>
    <t>2026-04-28</t>
  </si>
  <si>
    <t>DDI 잔여 지분 전량 취득으로 이중상장 할인요소 해소</t>
  </si>
  <si>
    <t>92092</t>
  </si>
  <si>
    <t>[1Q26 Review] 반가운 상선 수익성 서프라이즈</t>
  </si>
  <si>
    <t>92091</t>
  </si>
  <si>
    <t>ABL001의 가치는 원래 미미했다</t>
  </si>
  <si>
    <t>92090</t>
  </si>
  <si>
    <t>476830</t>
  </si>
  <si>
    <t>알지노믹스</t>
  </si>
  <si>
    <t>AACR2026 간담회 후기</t>
  </si>
  <si>
    <t>92089</t>
  </si>
  <si>
    <t>효자 상선과 효자가 될 특수선 및 해양플랜트</t>
  </si>
  <si>
    <t>92088</t>
  </si>
  <si>
    <t>우려를 기대로</t>
  </si>
  <si>
    <t>92087</t>
  </si>
  <si>
    <t>1Q26 Review 성장기업으로 재평가</t>
  </si>
  <si>
    <t>92086</t>
  </si>
  <si>
    <t>1Q26 Re: 아주 좋은 시작, 기대할만한 한 해</t>
  </si>
  <si>
    <t>92085</t>
  </si>
  <si>
    <t>상선 마진 18% 달성</t>
  </si>
  <si>
    <t>92084</t>
  </si>
  <si>
    <t>5월 전략 - 주가 상승을 위한 재료가 부족한 시점</t>
  </si>
  <si>
    <t>92083</t>
  </si>
  <si>
    <t>5월 전략 - 단기 주가 반등 기대</t>
  </si>
  <si>
    <t>92082</t>
  </si>
  <si>
    <t>5월 전략 - DPS 조기 정상화 기대감 커질 시점</t>
  </si>
  <si>
    <t>92081</t>
  </si>
  <si>
    <t>DRAM, NAND 동시 수혜 및 신규 장비 기대감</t>
  </si>
  <si>
    <t>92080</t>
  </si>
  <si>
    <t>294870</t>
  </si>
  <si>
    <t>IPARK현대산업개발</t>
  </si>
  <si>
    <t>외주주택 마진 서프라이즈</t>
  </si>
  <si>
    <t>92079</t>
  </si>
  <si>
    <t>Capa 여력이 신규 고객사 모멘텀으로 이어지는 업황</t>
  </si>
  <si>
    <t>92078</t>
  </si>
  <si>
    <t>170900</t>
  </si>
  <si>
    <t>동아에스티</t>
  </si>
  <si>
    <t>1Q26Re: 비용 통제로 이익 개선</t>
  </si>
  <si>
    <t>92077</t>
  </si>
  <si>
    <t>1Q26Re: 안정적인 수주 잔고</t>
  </si>
  <si>
    <t>92076</t>
  </si>
  <si>
    <t>1Q26 Re: 믿고 있었습니다</t>
  </si>
  <si>
    <t>92075</t>
  </si>
  <si>
    <t>1Q26 Review: 넓어진 무대 속 두 주인공</t>
  </si>
  <si>
    <t>92074</t>
  </si>
  <si>
    <t>011790</t>
  </si>
  <si>
    <t>SKC</t>
  </si>
  <si>
    <t>2026년은 다운사이징 시기이다!</t>
  </si>
  <si>
    <t>92073</t>
  </si>
  <si>
    <t>175330</t>
  </si>
  <si>
    <t>JB금융지주</t>
  </si>
  <si>
    <t>연간 가이드라인 7,500억원 변동 없음</t>
  </si>
  <si>
    <t>92072</t>
  </si>
  <si>
    <t>105560</t>
  </si>
  <si>
    <t>KB금융</t>
  </si>
  <si>
    <t>기대되는 하반기 자사주 매입</t>
  </si>
  <si>
    <t>92071</t>
  </si>
  <si>
    <t>신성장 동력을 추가로 확보! 북미, ESS, 휴머노이드/로봇!</t>
  </si>
  <si>
    <t>92070</t>
  </si>
  <si>
    <t>1Q 깜작실적! 반도체 기판의 재평가 진행</t>
  </si>
  <si>
    <t>92069</t>
  </si>
  <si>
    <t>백조는 날고 싶다</t>
  </si>
  <si>
    <t>92068</t>
  </si>
  <si>
    <t>166090</t>
  </si>
  <si>
    <t>하나머티리얼즈</t>
  </si>
  <si>
    <t>Earning Surprise</t>
  </si>
  <si>
    <t>92067</t>
  </si>
  <si>
    <t>1Q26 Review: 견고한 본업, 아쉬운 필리조선소 적자</t>
  </si>
  <si>
    <t>92066</t>
  </si>
  <si>
    <t>상선이 이끄는 이익 성장</t>
  </si>
  <si>
    <t>92065</t>
  </si>
  <si>
    <t>226400</t>
  </si>
  <si>
    <t>오스테오닉</t>
  </si>
  <si>
    <t>Zimmer발 리레이팅이 온다</t>
  </si>
  <si>
    <t>92064</t>
  </si>
  <si>
    <t>098460</t>
  </si>
  <si>
    <t>고영</t>
  </si>
  <si>
    <t>AI가 AI했다</t>
  </si>
  <si>
    <t>92063</t>
  </si>
  <si>
    <t>099190</t>
  </si>
  <si>
    <t>아이센스</t>
  </si>
  <si>
    <t>CGM 사업은 계획대로 순항 중</t>
  </si>
  <si>
    <t>92062</t>
  </si>
  <si>
    <t>229640</t>
  </si>
  <si>
    <t>LS에코에너지</t>
  </si>
  <si>
    <t>희토류로 밸류업, HVDC로 레벨업</t>
  </si>
  <si>
    <t>92061</t>
  </si>
  <si>
    <t>단기 실적 부진, 큰 그림은 그대로</t>
  </si>
  <si>
    <t>92060</t>
  </si>
  <si>
    <t>AI 러버 소켓의 존재감</t>
  </si>
  <si>
    <t>92059</t>
  </si>
  <si>
    <t>1Q26 Review: 낮아진 매출보다 높아진 마진에 주목</t>
  </si>
  <si>
    <t>92058</t>
  </si>
  <si>
    <t>되돌아온 사이클, 합병으로 구조적 성장</t>
  </si>
  <si>
    <t>92057</t>
  </si>
  <si>
    <t>성장궤도 진입: 북미증산 &amp; SiP 쇼티지</t>
  </si>
  <si>
    <t>92056</t>
  </si>
  <si>
    <t>1Q26 잠정실적: 순항중</t>
  </si>
  <si>
    <t>92055</t>
  </si>
  <si>
    <t>지속되는 수주 모멘텀, 상방 여력 여전</t>
  </si>
  <si>
    <t>92054</t>
  </si>
  <si>
    <t>또 하나의 원동력 CPU</t>
  </si>
  <si>
    <t>92053</t>
  </si>
  <si>
    <t>089030</t>
  </si>
  <si>
    <t>테크윙</t>
  </si>
  <si>
    <t>앞으로가 기대되는 이유</t>
  </si>
  <si>
    <t>92052</t>
  </si>
  <si>
    <t>실적 확인, 밸류에이션 레벨업</t>
  </si>
  <si>
    <t>92051</t>
  </si>
  <si>
    <t>실적 증명과 밸류에이션 레벨업</t>
  </si>
  <si>
    <t>92050</t>
  </si>
  <si>
    <t>상선이 이끈 서프라이즈, 편안한 성장</t>
  </si>
  <si>
    <t>92049</t>
  </si>
  <si>
    <t>매력적인 주가 레벨</t>
  </si>
  <si>
    <t>92048</t>
  </si>
  <si>
    <t>1Q26 Re: 고무적인 이익률, 아쉬운 외형 감소</t>
  </si>
  <si>
    <t>92047</t>
  </si>
  <si>
    <t>1Q26 Preview: 대주주 변경 이후가 관건</t>
  </si>
  <si>
    <t>92046</t>
  </si>
  <si>
    <t>건설장비 실적 호조에 힘입어 어닝 서프라이즈</t>
  </si>
  <si>
    <t>92045</t>
  </si>
  <si>
    <t>패키지솔루션이 시가총액의 절반 이상을 설명</t>
  </si>
  <si>
    <t>92044</t>
  </si>
  <si>
    <t>일회성 없이 놀라운 상선 마진 시현</t>
  </si>
  <si>
    <t>92043</t>
  </si>
  <si>
    <t>성장성, 수익성 모두 확보한 반도체 부품 신흥 강자</t>
  </si>
  <si>
    <t>92042</t>
  </si>
  <si>
    <t>1Q26: 미국 군함만 바라보는 회사가 아니다</t>
  </si>
  <si>
    <t>92041</t>
  </si>
  <si>
    <t>눈 높이 상향</t>
  </si>
  <si>
    <t>92040</t>
  </si>
  <si>
    <t>298050</t>
  </si>
  <si>
    <t>HS효성첨단소재</t>
  </si>
  <si>
    <t>2~3분기 타이어코드 판가 인상 탄소섬유 적자 축소</t>
  </si>
  <si>
    <t>92039</t>
  </si>
  <si>
    <t>반등 국면 진입</t>
  </si>
  <si>
    <t>92038</t>
  </si>
  <si>
    <t>외주주택 수익성 개선이 긍정적</t>
  </si>
  <si>
    <t>92037</t>
  </si>
  <si>
    <t xml:space="preserve"> AI 버티컬 경쟁력</t>
  </si>
  <si>
    <t>92036</t>
  </si>
  <si>
    <t>매출 부진하나 외주주택 수익성 회복 가시화</t>
  </si>
  <si>
    <t>92035</t>
  </si>
  <si>
    <t>355150</t>
  </si>
  <si>
    <t>코스텍시스</t>
  </si>
  <si>
    <t>800VDC 파워모듈의 솔벤더</t>
  </si>
  <si>
    <t>92034</t>
  </si>
  <si>
    <t>417970</t>
  </si>
  <si>
    <t>모델솔루션</t>
  </si>
  <si>
    <t>수익성 개선 국면 진입</t>
  </si>
  <si>
    <t>92033</t>
  </si>
  <si>
    <t>1Q26 Review: Top Tier 기판 업체로의 도약</t>
  </si>
  <si>
    <t>92032</t>
  </si>
  <si>
    <t>기판이 증명한 업사이드</t>
  </si>
  <si>
    <t>92031</t>
  </si>
  <si>
    <t>1Q26 Review: 두 자릿수 영업이익률 시대 진입</t>
  </si>
  <si>
    <t>92030</t>
  </si>
  <si>
    <t>2026-04-27</t>
  </si>
  <si>
    <t>004020</t>
  </si>
  <si>
    <t>현대제철</t>
  </si>
  <si>
    <t>1Q26 Review: 2분기 스프레드 반등 여부에 주목</t>
  </si>
  <si>
    <t>92029</t>
  </si>
  <si>
    <t>086790</t>
  </si>
  <si>
    <t>하나금융지주</t>
  </si>
  <si>
    <t>배당 비중 확대</t>
  </si>
  <si>
    <t>92028</t>
  </si>
  <si>
    <t>핵심부품은 전동화 올라와주고, A/S는 관세 우려 완화하고</t>
  </si>
  <si>
    <t>92027</t>
  </si>
  <si>
    <t>316140</t>
  </si>
  <si>
    <t>우리금융지주</t>
  </si>
  <si>
    <t>자본비율 상승과 비은행 확대를 위한 투자</t>
  </si>
  <si>
    <t>92026</t>
  </si>
  <si>
    <t>024110</t>
  </si>
  <si>
    <t>기업은행</t>
  </si>
  <si>
    <t>첫 중간 배당 지급</t>
  </si>
  <si>
    <t>92025</t>
  </si>
  <si>
    <t>시장 리스크 상쇄할 경쟁력 확인, 미래 사업 영향력 지속 확대</t>
  </si>
  <si>
    <t>92024</t>
  </si>
  <si>
    <t>[1Q26 Review] 여전히 우리는 전차가 많이 필요하다</t>
  </si>
  <si>
    <t>92023</t>
  </si>
  <si>
    <t>1Q26 Review : 고무적인 것은 시내점 외형 성장</t>
  </si>
  <si>
    <t>92022</t>
  </si>
  <si>
    <t>순수한 글로벌 팬덤 비즈니스 투자처</t>
  </si>
  <si>
    <t>92021</t>
  </si>
  <si>
    <t>상반기 자사주 매입 계획 발표</t>
  </si>
  <si>
    <t>92020</t>
  </si>
  <si>
    <t>외생변수에 대한 높은 방어력 확인</t>
  </si>
  <si>
    <t>92019</t>
  </si>
  <si>
    <t>1Q26 Review: 회복을 넘어 서프라이즈로 증명한 면세</t>
  </si>
  <si>
    <t>92018</t>
  </si>
  <si>
    <t>1Q26 Review: 부담스럽지 않다</t>
  </si>
  <si>
    <t>92017</t>
  </si>
  <si>
    <t>1Q26 Review: 시장보다 강한 수요, 주가보다 강한 본업</t>
  </si>
  <si>
    <t>92016</t>
  </si>
  <si>
    <t>1Q26 Review: 실적은 지나가는 바람일 뿐</t>
  </si>
  <si>
    <t>92015</t>
  </si>
  <si>
    <t>1Q26 Review: 그룹내 시너지 효과 본격 가시화 시작</t>
  </si>
  <si>
    <t>92014</t>
  </si>
  <si>
    <t>1Q26Review: 충실한 역할 속에 빛나는 이익, 그리고 분기배당</t>
  </si>
  <si>
    <t>92013</t>
  </si>
  <si>
    <t>1Q26 Review: 이자수익 및 비이자수익 고른 이익 개선 시현</t>
  </si>
  <si>
    <t>92012</t>
  </si>
  <si>
    <t>1Q26 리뷰: 기대치 부합. 어쩌면 종전 수혜주</t>
  </si>
  <si>
    <t>92011</t>
  </si>
  <si>
    <t>UJTS 사업 철수: 아쉬움은 단기 변수. 핵심은 KF-21 수출</t>
  </si>
  <si>
    <t>92010</t>
  </si>
  <si>
    <t>큰폭의 NIM 상승과 대손비용 감소 효과가 만든 호실적</t>
  </si>
  <si>
    <t>92009</t>
  </si>
  <si>
    <t>실적은 부진했지만 CET 1 비율 대폭 개선. 비은행이 관건</t>
  </si>
  <si>
    <t>92008</t>
  </si>
  <si>
    <t>460860</t>
  </si>
  <si>
    <t>동국제강</t>
  </si>
  <si>
    <t>예상보다 양호한 1Q26 영업실적 기록</t>
  </si>
  <si>
    <t>92007</t>
  </si>
  <si>
    <t>1분기 영업실적 부진</t>
  </si>
  <si>
    <t>92006</t>
  </si>
  <si>
    <t>298020</t>
  </si>
  <si>
    <t>효성티앤씨</t>
  </si>
  <si>
    <t>컨센 상회. 2Q26도 증익 유효</t>
  </si>
  <si>
    <t>92005</t>
  </si>
  <si>
    <t>하반기 해외 CKD 사업 본격화로 성장 모멘텀 확보</t>
  </si>
  <si>
    <t>92004</t>
  </si>
  <si>
    <t>로봇 현금흐름을 만들 수 있는 회사</t>
  </si>
  <si>
    <t>92003</t>
  </si>
  <si>
    <t>미국 수주 급증. 실적도 사실상 서프라이즈</t>
  </si>
  <si>
    <t>92002</t>
  </si>
  <si>
    <t>데이터센터까지 확대되는 사업 영역</t>
  </si>
  <si>
    <t>92001</t>
  </si>
  <si>
    <t>011210</t>
  </si>
  <si>
    <t>현대위아</t>
  </si>
  <si>
    <t>잘할 수 있는 것에 집중하자</t>
  </si>
  <si>
    <t>92000</t>
  </si>
  <si>
    <t>HEV로 실적을 지키고, SDV와 로보틱스로 밸류를 높인다</t>
  </si>
  <si>
    <t>91999</t>
  </si>
  <si>
    <t>미국·유럽 채널 확장으로 성장 가시성 확대</t>
  </si>
  <si>
    <t>91998</t>
  </si>
  <si>
    <t>1Q26 Re: KKR도 다시 사고 싶을 듯</t>
  </si>
  <si>
    <t>91997</t>
  </si>
  <si>
    <t>기업가치 제고를 위해 비은행 자회사 강화 중</t>
  </si>
  <si>
    <t>91996</t>
  </si>
  <si>
    <t>1Q26 Review 양호한 실적</t>
  </si>
  <si>
    <t>91995</t>
  </si>
  <si>
    <t>폭발적인 수주, 목표주가 500만원</t>
  </si>
  <si>
    <t>91994</t>
  </si>
  <si>
    <t>의심하지 않는 실적 성장</t>
  </si>
  <si>
    <t>91993</t>
  </si>
  <si>
    <t>아쉬운 1분기 실적에도 가격 상승은 이어진다</t>
  </si>
  <si>
    <t>91992</t>
  </si>
  <si>
    <t>1Q26 Review: 방산 부문의 호실적</t>
  </si>
  <si>
    <t>91991</t>
  </si>
  <si>
    <t>상상도 못한 서프라이즈</t>
  </si>
  <si>
    <t>91990</t>
  </si>
  <si>
    <t>1Q26 Review: A/S가 지켜준 실적, 하반기 로보틱스 모멘텀 기대</t>
  </si>
  <si>
    <t>91989</t>
  </si>
  <si>
    <t>1Q26 Review: ASP/글로벌 시장 점유율 상승</t>
  </si>
  <si>
    <t>91988</t>
  </si>
  <si>
    <t>Trade-off 국면</t>
  </si>
  <si>
    <t>91987</t>
  </si>
  <si>
    <t>쾌조의 스타트!</t>
  </si>
  <si>
    <t>91986</t>
  </si>
  <si>
    <t>매력적인 투자처</t>
  </si>
  <si>
    <t>91985</t>
  </si>
  <si>
    <t>방산 사업 매각 방식이 관건</t>
  </si>
  <si>
    <t>91984</t>
  </si>
  <si>
    <t>030000</t>
  </si>
  <si>
    <t>제일기획</t>
  </si>
  <si>
    <t>굳건한 고배당주</t>
  </si>
  <si>
    <t>91983</t>
  </si>
  <si>
    <t>총 환원율 50% 가시화, 현금 배당에 좀더 주력할 전망</t>
  </si>
  <si>
    <t>91982</t>
  </si>
  <si>
    <t>1차 목표 완성, 이제 비은행 계열사 강화로 전진</t>
  </si>
  <si>
    <t>91981</t>
  </si>
  <si>
    <t>무슨 말이 필요한가? 적극 매수!</t>
  </si>
  <si>
    <t>91980</t>
  </si>
  <si>
    <t>지분법 이익 증가와 투자 리스크 해소</t>
  </si>
  <si>
    <t>91979</t>
  </si>
  <si>
    <t>1Q26 Pre: 이집트, 호주 매출 인식 개시</t>
  </si>
  <si>
    <t>91978</t>
  </si>
  <si>
    <t>면세사업 업황 저점 통과 호텔은 호황 지속</t>
  </si>
  <si>
    <t>91977</t>
  </si>
  <si>
    <t>1Q26 Review: 견고한 실적 속 확대되는 파이프라인</t>
  </si>
  <si>
    <t>91976</t>
  </si>
  <si>
    <t>290270</t>
  </si>
  <si>
    <t>휴네시온</t>
  </si>
  <si>
    <t>망연계 보안 솔루션 1위</t>
  </si>
  <si>
    <t>91975</t>
  </si>
  <si>
    <t>251370</t>
  </si>
  <si>
    <t>와이엠티</t>
  </si>
  <si>
    <t>NDR 후기: 여전한 Narrative와 늘어날 Number</t>
  </si>
  <si>
    <t>91974</t>
  </si>
  <si>
    <t>실적 호조, 다시 열리는 수출 성장판</t>
  </si>
  <si>
    <t>91973</t>
  </si>
  <si>
    <t>1Q26 리뷰: 관세 비용 회수, 견조한 AS 이익</t>
  </si>
  <si>
    <t>91972</t>
  </si>
  <si>
    <t>AI 인프라 투자 확대 수혜(ft. AI솔루션, 광모듈)</t>
  </si>
  <si>
    <t>91971</t>
  </si>
  <si>
    <t>선 수비(A/S), 후 역습(제조 정상화, 로보틱스)</t>
  </si>
  <si>
    <t>91970</t>
  </si>
  <si>
    <t>하반기부터 다시 많아질 이야기거리</t>
  </si>
  <si>
    <t>91969</t>
  </si>
  <si>
    <t>최악의 영업 환경을 지나 판가 전가력의 시험대로</t>
  </si>
  <si>
    <t>91968</t>
  </si>
  <si>
    <t>1Q26 리뷰: 가격믹스 긍정적, 전기차 주목</t>
  </si>
  <si>
    <t>91967</t>
  </si>
  <si>
    <t>미국 ESS향 알루미늄박 매출 증가 본격화</t>
  </si>
  <si>
    <t>91966</t>
  </si>
  <si>
    <t>AI 데이터센터 확보로 성장의 핵심 동력 기반 마련</t>
  </si>
  <si>
    <t>91965</t>
  </si>
  <si>
    <t>092870</t>
  </si>
  <si>
    <t>엑시콘</t>
  </si>
  <si>
    <t>CLT, SSD 테스터 등으로 올해 사상 최대 실적 가시화</t>
  </si>
  <si>
    <t>91964</t>
  </si>
  <si>
    <t>각종 파고를 견디는 제조 경쟁력과 미래 프리미엄</t>
  </si>
  <si>
    <t>91963</t>
  </si>
  <si>
    <t>혁신은 유효하나 실적은 전통 금융이 견인</t>
  </si>
  <si>
    <t>91962</t>
  </si>
  <si>
    <t>곧 좋아질 거야</t>
  </si>
  <si>
    <t>91961</t>
  </si>
  <si>
    <t>기대보다 훨씬 더 뜨거운 스판덱스 업황 온기</t>
  </si>
  <si>
    <t>91960</t>
  </si>
  <si>
    <t>미국 수주가 터졌다</t>
  </si>
  <si>
    <t>91959</t>
  </si>
  <si>
    <t>마진 및 건전성 개선으로 고환율 극복</t>
  </si>
  <si>
    <t>91958</t>
  </si>
  <si>
    <t>자산 재평가로 자본비율 큰 폭 상승</t>
  </si>
  <si>
    <t>91957</t>
  </si>
  <si>
    <t>실적은 거들 뿐, 수주 대확장</t>
  </si>
  <si>
    <t>91956</t>
  </si>
  <si>
    <t>은행 손익 회복 기대</t>
  </si>
  <si>
    <t>91955</t>
  </si>
  <si>
    <t>2차 목표 시총 3.7조원, 대장주의 품격</t>
  </si>
  <si>
    <t>91954</t>
  </si>
  <si>
    <t>이번에는 진짜 다르다(feat. 면세)</t>
  </si>
  <si>
    <t>91953</t>
  </si>
  <si>
    <t>시선은 2분기로</t>
  </si>
  <si>
    <t>91952</t>
  </si>
  <si>
    <t>'어드밴스드패키지' 전환 &amp; FCBGA' 증설 수혜</t>
  </si>
  <si>
    <t>91951</t>
  </si>
  <si>
    <t>SMR 시장 선도 가능성에 주목, Top-Pick 유지</t>
  </si>
  <si>
    <t>91950</t>
  </si>
  <si>
    <t>은행의 효율성에 비은행 회복이 더해지면</t>
  </si>
  <si>
    <t>91949</t>
  </si>
  <si>
    <t>자본에 펌핑 들어간다</t>
  </si>
  <si>
    <t>91948</t>
  </si>
  <si>
    <t>1Q26: 지금 사야 한다</t>
  </si>
  <si>
    <t>91947</t>
  </si>
  <si>
    <t>미국 DC향 4행정 엔진 수주 기대</t>
  </si>
  <si>
    <t>91946</t>
  </si>
  <si>
    <t>3분기까지 긍정적 흐름</t>
  </si>
  <si>
    <t>91945</t>
  </si>
  <si>
    <t>관세 영향이 감소하는 26.2Q를 기대</t>
  </si>
  <si>
    <t>91944</t>
  </si>
  <si>
    <t>신차 효과로 26.2Q의 리스크를 최소화</t>
  </si>
  <si>
    <t>91943</t>
  </si>
  <si>
    <t>1분기 실적은 아쉬우나 고배당 매력은 여전</t>
  </si>
  <si>
    <t>91942</t>
  </si>
  <si>
    <t>X-Energy 상장 이슈 코멘트</t>
  </si>
  <si>
    <t>91941</t>
  </si>
  <si>
    <t>공격적인 BEV 라인업 전개의 후폭풍</t>
  </si>
  <si>
    <t>91940</t>
  </si>
  <si>
    <t>순이익 감소, 중간배당 예정</t>
  </si>
  <si>
    <t>91939</t>
  </si>
  <si>
    <t>안정적 이익증가 지속</t>
  </si>
  <si>
    <t>91938</t>
  </si>
  <si>
    <t>분기 최대실적, 추가 개선 기대</t>
  </si>
  <si>
    <t>91937</t>
  </si>
  <si>
    <t>빠른 자본비율 상승, 비은행 강화</t>
  </si>
  <si>
    <t>91936</t>
  </si>
  <si>
    <t>055550</t>
  </si>
  <si>
    <t>신한지주</t>
  </si>
  <si>
    <t>주주환원에 대한 자신감과 의지</t>
  </si>
  <si>
    <t>91935</t>
  </si>
  <si>
    <t>최대실적, 대규모 자기주식 소각</t>
  </si>
  <si>
    <t>91934</t>
  </si>
  <si>
    <t>이제 보이시나요? 호텔의 가치</t>
  </si>
  <si>
    <t>91933</t>
  </si>
  <si>
    <t>자산 재평가로 자본비율 급등</t>
  </si>
  <si>
    <t>91932</t>
  </si>
  <si>
    <t>이제는 P/B 1배를 향해</t>
  </si>
  <si>
    <t>91931</t>
  </si>
  <si>
    <t>063440</t>
  </si>
  <si>
    <t>SM Life Design</t>
  </si>
  <si>
    <t>[AI] K-POP 콘텐츠 유통 및 MD 사업 영위 기업</t>
  </si>
  <si>
    <t>91930</t>
  </si>
  <si>
    <t>461300</t>
  </si>
  <si>
    <t>아이스크림미디어</t>
  </si>
  <si>
    <t>[AI] 에듀테크 기반 디지털 교육 콘텐츠 및 플랫폼 전문기업</t>
  </si>
  <si>
    <t>91929</t>
  </si>
  <si>
    <t>092730</t>
  </si>
  <si>
    <t>네오팜</t>
  </si>
  <si>
    <t>[AI] 피부과학 기반 더마코스메틱 전문기업</t>
  </si>
  <si>
    <t>91928</t>
  </si>
  <si>
    <t>[AI] 웨어러블 의료기기 기반 디지털 헬스케어 플랫폼 기업</t>
  </si>
  <si>
    <t>91927</t>
  </si>
  <si>
    <t>418420</t>
  </si>
  <si>
    <t>라온텍</t>
  </si>
  <si>
    <t>[AI] 마이크로디스플레이 구동 반도체 설계 전문 팹리스 기업</t>
  </si>
  <si>
    <t>91926</t>
  </si>
  <si>
    <t>200470</t>
  </si>
  <si>
    <t>에이팩트</t>
  </si>
  <si>
    <t>[AI] 반도체 후공정 패키징 및 테스트 턴키 솔루션 전문기업</t>
  </si>
  <si>
    <t>91925</t>
  </si>
  <si>
    <t>2026-04-24</t>
  </si>
  <si>
    <t>낮은 주가 레벨, 기대해볼 만한 투자 성과</t>
  </si>
  <si>
    <t>91924</t>
  </si>
  <si>
    <t>1Q26 Review: 오버행 해소 후 견조한 실적, 주가 상승은 당연</t>
  </si>
  <si>
    <t>91923</t>
  </si>
  <si>
    <t>1Q26 Review: 너무나 잘 견딘 후, 기대될 하반기</t>
  </si>
  <si>
    <t>91922</t>
  </si>
  <si>
    <t>1Q26 Review: 순조로운 출발, 주주환원정책 강화 기대</t>
  </si>
  <si>
    <t>91921</t>
  </si>
  <si>
    <t>1Q26 Review: 반도체 투자 사이클과 뉴에너지 기대감 여전</t>
  </si>
  <si>
    <t>91920</t>
  </si>
  <si>
    <t>가파른 가격 상승세 지속</t>
  </si>
  <si>
    <t>91919</t>
  </si>
  <si>
    <t>077360</t>
  </si>
  <si>
    <t>덕산하이메탈</t>
  </si>
  <si>
    <t>FCBGA 호황과 점유율 확대에 따른 구조적 성장</t>
  </si>
  <si>
    <t>91918</t>
  </si>
  <si>
    <t>비은행이 그룹 ROE 상승 견인. 기존 자사주도 모두 소각</t>
  </si>
  <si>
    <t>91917</t>
  </si>
  <si>
    <t>1Q26 Review: 방향 맞고, 규모는 더해지고</t>
  </si>
  <si>
    <t>91916</t>
  </si>
  <si>
    <t>RWA 성장률 대비 ROE 수준이 주주환원율을 결정</t>
  </si>
  <si>
    <t>91915</t>
  </si>
  <si>
    <t>중장기 성장을 위한 10조원 규모 투자 가이던스 제시</t>
  </si>
  <si>
    <t>91914</t>
  </si>
  <si>
    <t>성장과 가치 제고라는 명확한 목표 제시</t>
  </si>
  <si>
    <t>91913</t>
  </si>
  <si>
    <t>086280</t>
  </si>
  <si>
    <t>현대글로비스</t>
  </si>
  <si>
    <t>길이 막히면 단가가 뛴다</t>
  </si>
  <si>
    <t>91912</t>
  </si>
  <si>
    <t>1Q26 Review: 멋진 자본 경쟁력, 역대 최대 자기주식 소각</t>
  </si>
  <si>
    <t>91911</t>
  </si>
  <si>
    <t>하반기로 향하는 시선</t>
  </si>
  <si>
    <t>91910</t>
  </si>
  <si>
    <t>유효한 재건 기대</t>
  </si>
  <si>
    <t>91909</t>
  </si>
  <si>
    <t>반도체 애널리스트도 탐내는 종목</t>
  </si>
  <si>
    <t>91908</t>
  </si>
  <si>
    <t>여전히 매력적</t>
  </si>
  <si>
    <t>91907</t>
  </si>
  <si>
    <t>1Q26 Re: 서프라이즈, 이 다음 지켜볼 사업 확대</t>
  </si>
  <si>
    <t>91906</t>
  </si>
  <si>
    <t>1Q26 Re: Cycle goes on</t>
  </si>
  <si>
    <t>91905</t>
  </si>
  <si>
    <t>제조업을 넘어 모빌리티/AI 프리미엄 구간으로 진입</t>
  </si>
  <si>
    <t>91904</t>
  </si>
  <si>
    <t>턴어라운드의 시작</t>
  </si>
  <si>
    <t>91903</t>
  </si>
  <si>
    <t>해운이 견인한 실적, 하반기 회복 기대</t>
  </si>
  <si>
    <t>91902</t>
  </si>
  <si>
    <t>중동 이슈 상에서도 성장성 이상 무</t>
  </si>
  <si>
    <t>91901</t>
  </si>
  <si>
    <t>063080</t>
  </si>
  <si>
    <t>컴투스홀딩스</t>
  </si>
  <si>
    <t>[탐방노트] 신규게임 &amp; 게임플랫폼 성장 기대</t>
  </si>
  <si>
    <t>91900</t>
  </si>
  <si>
    <t>AI Full Stack과 새로운 성장</t>
  </si>
  <si>
    <t>91899</t>
  </si>
  <si>
    <t>추세가 살아 있는 주식</t>
  </si>
  <si>
    <t>91898</t>
  </si>
  <si>
    <t>2Q26 예상 영업이익 65.5조원, 가격 모멘텀 극대화 구간</t>
  </si>
  <si>
    <t>91897</t>
  </si>
  <si>
    <t>Value up 2.0: 성장과 환원의 합리적 지점을 제시</t>
  </si>
  <si>
    <t>91896</t>
  </si>
  <si>
    <t>PCB/CCL용 동박 라인전환 본격화</t>
  </si>
  <si>
    <t>91895</t>
  </si>
  <si>
    <t>증설 로드맵에서 드러난 스페이스X와의 동맹</t>
  </si>
  <si>
    <t>91894</t>
  </si>
  <si>
    <t>하반기 자사주 매입 추정치 1조원으로 상향</t>
  </si>
  <si>
    <t>91893</t>
  </si>
  <si>
    <t>1Q26 리뷰: 무난한 실적을 넘어 신사업으로</t>
  </si>
  <si>
    <t>91892</t>
  </si>
  <si>
    <t>미래를 연결할 단기 모멘텀은 신차효과</t>
  </si>
  <si>
    <t>91891</t>
  </si>
  <si>
    <t>1Q26P Review: 분기 사상 최대 매출액 달성</t>
  </si>
  <si>
    <t>91890</t>
  </si>
  <si>
    <t>고객사 다변화가 확인되는 구간</t>
  </si>
  <si>
    <t>91889</t>
  </si>
  <si>
    <t>수주 좋고, 재건 붙고</t>
  </si>
  <si>
    <t>91888</t>
  </si>
  <si>
    <t>이제부터는 ‘폭’보다는 ‘지속성’</t>
  </si>
  <si>
    <t>91887</t>
  </si>
  <si>
    <t>035810</t>
  </si>
  <si>
    <t>이지홀딩스</t>
  </si>
  <si>
    <t>농축산 전 밸류체인을 수직계열화한 지주회사</t>
  </si>
  <si>
    <t>91886</t>
  </si>
  <si>
    <t>EPS증가 + 총환원율 상승= 멀티플 리레이팅 요인</t>
  </si>
  <si>
    <t>91885</t>
  </si>
  <si>
    <t>비은행 계열사의 눈부신 약진</t>
  </si>
  <si>
    <t>91884</t>
  </si>
  <si>
    <t>034220</t>
  </si>
  <si>
    <t>LG디스플레이</t>
  </si>
  <si>
    <t>1Q 선전, OLED 투자 확대</t>
  </si>
  <si>
    <t>91883</t>
  </si>
  <si>
    <t>딱 예상한대로</t>
  </si>
  <si>
    <t>91882</t>
  </si>
  <si>
    <t>본업 확장과 중장기 시너지 강화</t>
  </si>
  <si>
    <t>91881</t>
  </si>
  <si>
    <t>Shaper and Longer</t>
  </si>
  <si>
    <t>91880</t>
  </si>
  <si>
    <t>1Q26 Review - 재건, 그리고 Captive Premium</t>
  </si>
  <si>
    <t>91879</t>
  </si>
  <si>
    <t>글로벌 에너지 수요 증가, 사업 참여 확대 기대</t>
  </si>
  <si>
    <t>91878</t>
  </si>
  <si>
    <t>카본이 벌어 우주를 사다</t>
  </si>
  <si>
    <t>91877</t>
  </si>
  <si>
    <t>1Q26 Review: 체질 개선에 순항하는 실적</t>
  </si>
  <si>
    <t>91876</t>
  </si>
  <si>
    <t>204320</t>
  </si>
  <si>
    <t>HL만도</t>
  </si>
  <si>
    <t>1Q26 Preview: 북미 EV 시장 둔화의 영향</t>
  </si>
  <si>
    <t>91875</t>
  </si>
  <si>
    <t>새로운 밸류업과 함께 산뜻한 출발</t>
  </si>
  <si>
    <t>91874</t>
  </si>
  <si>
    <t>히든 밸류, 반도체 호황의 숨은 수혜주</t>
  </si>
  <si>
    <t>91873</t>
  </si>
  <si>
    <t>가장 안정적인 이익체력</t>
  </si>
  <si>
    <t>91872</t>
  </si>
  <si>
    <t>382800</t>
  </si>
  <si>
    <t>지앤비에스 에코</t>
  </si>
  <si>
    <t>초호황 국면 진입</t>
  </si>
  <si>
    <t>91871</t>
  </si>
  <si>
    <t>구체화되는 기대감이 긍정적</t>
  </si>
  <si>
    <t>91870</t>
  </si>
  <si>
    <t>예상을 넘어서는 운용실적</t>
  </si>
  <si>
    <t>91869</t>
  </si>
  <si>
    <t>가격 상승 트렌드가 담보된 업황</t>
  </si>
  <si>
    <t>91868</t>
  </si>
  <si>
    <t>2Q26 영업이익 65조원 전망</t>
  </si>
  <si>
    <t>91867</t>
  </si>
  <si>
    <t>새로운 밸류에이션 필요</t>
  </si>
  <si>
    <t>91866</t>
  </si>
  <si>
    <t>선제적 불확실성 제거</t>
  </si>
  <si>
    <t>91865</t>
  </si>
  <si>
    <t>1Q26 Review: 중단기 풍부한 모멘텀</t>
  </si>
  <si>
    <t>91864</t>
  </si>
  <si>
    <t>비이자 부진으로 기대치 하회</t>
  </si>
  <si>
    <t>91863</t>
  </si>
  <si>
    <t>자본시장 경쟁력 부각</t>
  </si>
  <si>
    <t>91862</t>
  </si>
  <si>
    <t>P/B 0.8배 하회시 트레이딩 전략 유효</t>
  </si>
  <si>
    <t>91861</t>
  </si>
  <si>
    <t>2Q26 영업이익 58.9조원으로 개선 전망</t>
  </si>
  <si>
    <t>91860</t>
  </si>
  <si>
    <t>달릴 준비 완료!</t>
  </si>
  <si>
    <t>91859</t>
  </si>
  <si>
    <t>1Q26 Review: 좋을 줄 알았지만, 기대 이상</t>
  </si>
  <si>
    <t>91858</t>
  </si>
  <si>
    <t>NH stands for No Hesitation</t>
  </si>
  <si>
    <t>91857</t>
  </si>
  <si>
    <t>무난한 실적, 미래 사업 성과는 시간이 필요</t>
  </si>
  <si>
    <t>91856</t>
  </si>
  <si>
    <t>1Q26 Review: 관세&amp;판매보증충당금 영향</t>
  </si>
  <si>
    <t>91855</t>
  </si>
  <si>
    <t>간바레 저연차!</t>
  </si>
  <si>
    <t>91854</t>
  </si>
  <si>
    <t>중동 전쟁 영향 제한적, 안정적인 실적 추이 지속</t>
  </si>
  <si>
    <t>91853</t>
  </si>
  <si>
    <t>AI서버, 광 인프라 낙수효과 확인</t>
  </si>
  <si>
    <t>91852</t>
  </si>
  <si>
    <t>해외시장, 해법이 되다</t>
  </si>
  <si>
    <t>91851</t>
  </si>
  <si>
    <t>이 정도 파도쯤이야</t>
  </si>
  <si>
    <t>91850</t>
  </si>
  <si>
    <t>005090</t>
  </si>
  <si>
    <t>SGC에너지</t>
  </si>
  <si>
    <t>AIDC 일정 가속화 및 2단계 사업 가시화 속도</t>
  </si>
  <si>
    <t>91849</t>
  </si>
  <si>
    <t>지나간 실적보다 잠재력에 주목할 때</t>
  </si>
  <si>
    <t>91848</t>
  </si>
  <si>
    <t>빛에 가려진 뇌 수술 로봇, 1Q26 주인공은 AI</t>
  </si>
  <si>
    <t>91847</t>
  </si>
  <si>
    <t>394420</t>
  </si>
  <si>
    <t>리센스메디컬</t>
  </si>
  <si>
    <t>냉각 마취의 세계: 뜨거운 아이스 아메리카노 주세요</t>
  </si>
  <si>
    <t>91846</t>
  </si>
  <si>
    <t>세계 기업 역사에서 최고 영업이익률!</t>
  </si>
  <si>
    <t>91845</t>
  </si>
  <si>
    <t>전쟁 이후 기회와 중장기 포트폴리오 다변화</t>
  </si>
  <si>
    <t>91844</t>
  </si>
  <si>
    <t>미국 주도의 HEV 판매 비중 최고치 경신</t>
  </si>
  <si>
    <t>91843</t>
  </si>
  <si>
    <t>1Q26 Re: 역대 최대 실적, 늘어난 자본 규모에 주목</t>
  </si>
  <si>
    <t>91842</t>
  </si>
  <si>
    <t>330860</t>
  </si>
  <si>
    <t>네패스아크</t>
  </si>
  <si>
    <t>본격적인 턴어라운드</t>
  </si>
  <si>
    <t>91841</t>
  </si>
  <si>
    <t>204020</t>
  </si>
  <si>
    <t>그리티</t>
  </si>
  <si>
    <t>브랜드 포트폴리오 확장과 실적 반등 본격화</t>
  </si>
  <si>
    <t>91840</t>
  </si>
  <si>
    <t>초고수익 구간 안착</t>
  </si>
  <si>
    <t>91839</t>
  </si>
  <si>
    <t>언제나 든든한 1등</t>
  </si>
  <si>
    <t>91838</t>
  </si>
  <si>
    <t>다시 한번 증명한 펀더멘털</t>
  </si>
  <si>
    <t>91837</t>
  </si>
  <si>
    <t>ROE 개선에 진심</t>
  </si>
  <si>
    <t>91836</t>
  </si>
  <si>
    <t>206400</t>
  </si>
  <si>
    <t>베노티앤알</t>
  </si>
  <si>
    <t>친환경 에너지 절감형 실내건축 기반 통합 건축 솔루션 기업</t>
  </si>
  <si>
    <t>91835</t>
  </si>
  <si>
    <t>452190</t>
  </si>
  <si>
    <t>한빛레이저</t>
  </si>
  <si>
    <t>레이저 정밀가공 기술 기반 첨단 제조공정용 응용장비 기업</t>
  </si>
  <si>
    <t>91834</t>
  </si>
  <si>
    <t>023600</t>
  </si>
  <si>
    <t>삼보판지</t>
  </si>
  <si>
    <t>골판지 및 골판지용 원지 수직계열화를 기반으로 한 친환경 종합 포장재 기업</t>
  </si>
  <si>
    <t>91833</t>
  </si>
  <si>
    <t>049550</t>
  </si>
  <si>
    <t>잉크테크</t>
  </si>
  <si>
    <t>글로벌 산업용 잉크 및 기능성 소재 전문기업</t>
  </si>
  <si>
    <t>91832</t>
  </si>
  <si>
    <t>191410</t>
  </si>
  <si>
    <t>육일씨엔에쓰</t>
  </si>
  <si>
    <t>에듀테크 성장을 중심으로 사업구조 전환을 추진하는 복합사업 기업</t>
  </si>
  <si>
    <t>91831</t>
  </si>
  <si>
    <t>유상증자 규모 축소 발표</t>
  </si>
  <si>
    <t>91830</t>
  </si>
  <si>
    <t>2026-04-23</t>
  </si>
  <si>
    <t>1Q26 Conference call</t>
  </si>
  <si>
    <t>91829</t>
  </si>
  <si>
    <t>유상증자 Comment(2): 유상증자 규모 축소와 차세대 기술 주도권 확보 전략</t>
  </si>
  <si>
    <t>91828</t>
  </si>
  <si>
    <t>1Q26 Re: 든든한 로직스</t>
  </si>
  <si>
    <t>91827</t>
  </si>
  <si>
    <t>동탄시티병원 스마트 병동 투어 후기: 현장에서 확인한 씨어스의 경쟁력</t>
  </si>
  <si>
    <t>91826</t>
  </si>
  <si>
    <t>요소 비료 강세와 전후 재건 수요의 반사 수혜</t>
  </si>
  <si>
    <t>91825</t>
  </si>
  <si>
    <t>1Q26 Re: 사업은 여전히 잘 하고 있다</t>
  </si>
  <si>
    <t>91824</t>
  </si>
  <si>
    <t>발전엔진 최대수혜: 저위험, 고마진, 반영구</t>
  </si>
  <si>
    <t>91823</t>
  </si>
  <si>
    <t>미국 DC향 중속 발전엔진 시장 데뷔, 증설 가능성에 무게</t>
  </si>
  <si>
    <t>91822</t>
  </si>
  <si>
    <t>1Q26 Preview: 너무 좋아서 더 아쉬운</t>
  </si>
  <si>
    <t>91821</t>
  </si>
  <si>
    <t>반등: 상반기 '루빈', 하반기 '건식 4680'</t>
  </si>
  <si>
    <t>91820</t>
  </si>
  <si>
    <t>록빌로 매출 성장 빌드업</t>
  </si>
  <si>
    <t>91819</t>
  </si>
  <si>
    <t>칼륨 업사이클의 수혜주</t>
  </si>
  <si>
    <t>91818</t>
  </si>
  <si>
    <t>불확실성 완화 국면</t>
  </si>
  <si>
    <t>91817</t>
  </si>
  <si>
    <t>171090</t>
  </si>
  <si>
    <t>선익시스템</t>
  </si>
  <si>
    <t>문제풀이 전 의도 찾기</t>
  </si>
  <si>
    <t>91816</t>
  </si>
  <si>
    <t>본 게임 시작 전</t>
  </si>
  <si>
    <t>91815</t>
  </si>
  <si>
    <t>104830</t>
  </si>
  <si>
    <t>원익머트리얼즈</t>
  </si>
  <si>
    <t>Peer 대비 절반 수준으로 저평가</t>
  </si>
  <si>
    <t>91814</t>
  </si>
  <si>
    <t>추가 성장 동력 유효</t>
  </si>
  <si>
    <t>91813</t>
  </si>
  <si>
    <t>반도체, 배터리 부문 호조로 이익 급증 예상</t>
  </si>
  <si>
    <t>91812</t>
  </si>
  <si>
    <t>순조로운 출발 예상</t>
  </si>
  <si>
    <t>91811</t>
  </si>
  <si>
    <t>059210</t>
  </si>
  <si>
    <t>메타바이오메드</t>
  </si>
  <si>
    <t>소재혁신센터 가동에 따른 소재 사업 매출 원년</t>
  </si>
  <si>
    <t>91810</t>
  </si>
  <si>
    <t>125210</t>
  </si>
  <si>
    <t>아모그린텍</t>
  </si>
  <si>
    <t>숨겨진 ESS·로봇 수혜주</t>
  </si>
  <si>
    <t>91809</t>
  </si>
  <si>
    <t>익숙함 속 커져가는 기대감</t>
  </si>
  <si>
    <t>91808</t>
  </si>
  <si>
    <t>26년 기대 이상으로 하드캐리 할 중국법인</t>
  </si>
  <si>
    <t>91807</t>
  </si>
  <si>
    <t>1Q26 Review 실망시키지 않는 실적. 기대치 부합.</t>
  </si>
  <si>
    <t>91806</t>
  </si>
  <si>
    <t>원엑시아 품고 체질 개선 돌입</t>
  </si>
  <si>
    <t>91805</t>
  </si>
  <si>
    <t>095270</t>
  </si>
  <si>
    <t>웨이브일렉트로</t>
  </si>
  <si>
    <t>찾았다, 또 다른 방산+통신주</t>
  </si>
  <si>
    <t>91804</t>
  </si>
  <si>
    <t>033230</t>
  </si>
  <si>
    <t>인성정보</t>
  </si>
  <si>
    <t>[AI] IT 인프라 구축 및 유지보수 서비스 전문기업</t>
  </si>
  <si>
    <t>91803</t>
  </si>
  <si>
    <t>025880</t>
  </si>
  <si>
    <t>케이씨피드</t>
  </si>
  <si>
    <t>[AI] 배합사료 제조 및 계란 가공식품 전문기업</t>
  </si>
  <si>
    <t>91802</t>
  </si>
  <si>
    <t>2026-04-22</t>
  </si>
  <si>
    <t>유틸리티에서 AI인프라 사업자로 변신</t>
  </si>
  <si>
    <t>91801</t>
  </si>
  <si>
    <t>석유화학 단기 흑자전환, 양극재 부진 지속</t>
  </si>
  <si>
    <t>91800</t>
  </si>
  <si>
    <t>010120</t>
  </si>
  <si>
    <t>LS ELECTRIC</t>
  </si>
  <si>
    <t>1Q26 Review: 떠오르는 글로벌 배전 시장의 신성(新星)</t>
  </si>
  <si>
    <t>91799</t>
  </si>
  <si>
    <t>유상증자 규모 축소 및 자구안 병행</t>
  </si>
  <si>
    <t>91798</t>
  </si>
  <si>
    <t>견조한 실적으로 증명할 입지</t>
  </si>
  <si>
    <t>91797</t>
  </si>
  <si>
    <t>레버리지 효과에 대한 근거 확보</t>
  </si>
  <si>
    <t>91796</t>
  </si>
  <si>
    <t>진짜 돌아온 오리온</t>
  </si>
  <si>
    <t>91795</t>
  </si>
  <si>
    <t>1Q26 Pre: 택배 MS 상승, but 이익 증가는 더딘 상황</t>
  </si>
  <si>
    <t>91794</t>
  </si>
  <si>
    <t>SMP 상승과 발전원가 하락</t>
  </si>
  <si>
    <t>91793</t>
  </si>
  <si>
    <t>연중 지속되는 분기 최대 실적 기록 경신</t>
  </si>
  <si>
    <t>91792</t>
  </si>
  <si>
    <t>2026년, 오리온의 시간</t>
  </si>
  <si>
    <t>91791</t>
  </si>
  <si>
    <t>394280</t>
  </si>
  <si>
    <t>오픈엣지테크놀로지</t>
  </si>
  <si>
    <t>메모리 플랫폼 대확장 시대와 IP의 시간 도래</t>
  </si>
  <si>
    <t>91790</t>
  </si>
  <si>
    <t>데이터센터 수요, 실적 반영 본격화</t>
  </si>
  <si>
    <t>91789</t>
  </si>
  <si>
    <t>진화하는 플랫폼, 구조적 성장 초입</t>
  </si>
  <si>
    <t>91788</t>
  </si>
  <si>
    <t>숫자로 증명하는 배전 사이클, 실질 OPM 10% 진입</t>
  </si>
  <si>
    <t>91787</t>
  </si>
  <si>
    <t>귀중한 CAPA 확장</t>
  </si>
  <si>
    <t>91786</t>
  </si>
  <si>
    <t>기판 낙수효과: FCBGA 다음은 SiP?</t>
  </si>
  <si>
    <t>91785</t>
  </si>
  <si>
    <t>숨어있던 호텔 수혜주</t>
  </si>
  <si>
    <t>91784</t>
  </si>
  <si>
    <t>구조적 턴어라운드 보인다</t>
  </si>
  <si>
    <t>91783</t>
  </si>
  <si>
    <t>최고의 입지, 최고의 효과</t>
  </si>
  <si>
    <t>91782</t>
  </si>
  <si>
    <t>호텔은 만실, 숨어있던 디벨로퍼 본능 꿈틀</t>
  </si>
  <si>
    <t>91781</t>
  </si>
  <si>
    <t>바람부는 제주로 감수광</t>
  </si>
  <si>
    <t>91780</t>
  </si>
  <si>
    <t>26 년 실적 상저하고, IP 세대교체 구간</t>
  </si>
  <si>
    <t>91779</t>
  </si>
  <si>
    <t>우리도 미국 갈 수 있어</t>
  </si>
  <si>
    <t>91778</t>
  </si>
  <si>
    <t>브로커리지는 도울 뿐, 진정한 북 비즈니스의 강자</t>
  </si>
  <si>
    <t>91777</t>
  </si>
  <si>
    <t>2026년은 기대에서 확신으로의 전환 과정</t>
  </si>
  <si>
    <t>91776</t>
  </si>
  <si>
    <t>다가오는 재평가의 시간</t>
  </si>
  <si>
    <t>91775</t>
  </si>
  <si>
    <t>FC BGA, 투자 확대는 1위로 도약!</t>
  </si>
  <si>
    <t>91774</t>
  </si>
  <si>
    <t>고연차 아티스트의 캐리력</t>
  </si>
  <si>
    <t>91773</t>
  </si>
  <si>
    <t>481070</t>
  </si>
  <si>
    <t>에이유브랜즈</t>
  </si>
  <si>
    <t>젊은 감성의 K패션 대표주자</t>
  </si>
  <si>
    <t>91772</t>
  </si>
  <si>
    <t>1Q26 Preview: 가시적인 수익성 개선</t>
  </si>
  <si>
    <t>91771</t>
  </si>
  <si>
    <t>수주잔고 넘어의 미래</t>
  </si>
  <si>
    <t>91770</t>
  </si>
  <si>
    <t>본격적인 중국 시장 침투 시작</t>
  </si>
  <si>
    <t>91769</t>
  </si>
  <si>
    <t>데이터센터용 회로박 판매 증가와 전고체 모멘텀</t>
  </si>
  <si>
    <t>91768</t>
  </si>
  <si>
    <t>무난한 실적, 미국향 성장 본격화</t>
  </si>
  <si>
    <t>91767</t>
  </si>
  <si>
    <t>차별적 수익성의 시작</t>
  </si>
  <si>
    <t>91766</t>
  </si>
  <si>
    <t>006650</t>
  </si>
  <si>
    <t>대한유화</t>
  </si>
  <si>
    <t>우려 대비 양호한 시황</t>
  </si>
  <si>
    <t>91765</t>
  </si>
  <si>
    <t>유상증자라는 이름의 우주 밸류체인 선탑승권</t>
  </si>
  <si>
    <t>91764</t>
  </si>
  <si>
    <t>1분기부터 제품믹스가 된다면, 기대해 볼만하다</t>
  </si>
  <si>
    <t>91763</t>
  </si>
  <si>
    <t>비용 감소로 실적 기대치 상회 전망</t>
  </si>
  <si>
    <t>91762</t>
  </si>
  <si>
    <t>242040</t>
  </si>
  <si>
    <t>나무기술</t>
  </si>
  <si>
    <t>클라우드, AI 사업 성장판이 열린다</t>
  </si>
  <si>
    <t>91761</t>
  </si>
  <si>
    <t>347890</t>
  </si>
  <si>
    <t>엠엑스온</t>
  </si>
  <si>
    <t>반도체 팹 증설 사이클의 수혜주</t>
  </si>
  <si>
    <t>91760</t>
  </si>
  <si>
    <t>하반기가 더 좋은 구조</t>
  </si>
  <si>
    <t>91759</t>
  </si>
  <si>
    <t>075130</t>
  </si>
  <si>
    <t>플랜티넷</t>
  </si>
  <si>
    <t>[AI] 유해 콘텐츠 차단 및 미디어 콘텐츠 전문 기업</t>
  </si>
  <si>
    <t>91758</t>
  </si>
  <si>
    <t>093190</t>
  </si>
  <si>
    <t>빅솔론</t>
  </si>
  <si>
    <t>[AI] POS 주변기기 전문 제조 및 글로벌 유통 기업</t>
  </si>
  <si>
    <t>91757</t>
  </si>
  <si>
    <t>[AI] 고전압 부품 및 모듈 사업 영위</t>
  </si>
  <si>
    <t>91756</t>
  </si>
  <si>
    <t>160190</t>
  </si>
  <si>
    <t>하이젠알앤엠</t>
  </si>
  <si>
    <t>[AI] 산업용 모터 및 감속기 제조 전문기업</t>
  </si>
  <si>
    <t>91755</t>
  </si>
  <si>
    <t>322310</t>
  </si>
  <si>
    <t>오로스테크놀로지</t>
  </si>
  <si>
    <t>[AI] 반도체 광학 계측 장비 전문기업</t>
  </si>
  <si>
    <t>91754</t>
  </si>
  <si>
    <t>177900</t>
  </si>
  <si>
    <t>쓰리에이로직스</t>
  </si>
  <si>
    <t>[AI] 팹리스 반도체 설계 전문기업</t>
  </si>
  <si>
    <t>91753</t>
  </si>
  <si>
    <t>053620</t>
  </si>
  <si>
    <t>태양</t>
  </si>
  <si>
    <t>[AI] 금속 용기 제조 및 판매 전문기업</t>
  </si>
  <si>
    <t>91752</t>
  </si>
  <si>
    <t>2026-04-21</t>
  </si>
  <si>
    <t>비계열 성과가 예상보다 호조</t>
  </si>
  <si>
    <t>91751</t>
  </si>
  <si>
    <t>불안 속 부각될 원전</t>
  </si>
  <si>
    <t>91750</t>
  </si>
  <si>
    <t>전방 확장으로 수주 공백 우려 불식</t>
  </si>
  <si>
    <t>91749</t>
  </si>
  <si>
    <t>온라인으로 식자재 유통의 봄은 온다</t>
  </si>
  <si>
    <t>91748</t>
  </si>
  <si>
    <t>캐주얼 게임을 통한 소수 라인업 의존도 감소 긍정적</t>
  </si>
  <si>
    <t>91747</t>
  </si>
  <si>
    <t>이것이 RNA Editing이다</t>
  </si>
  <si>
    <t>91746</t>
  </si>
  <si>
    <t>1Q26 Pre: 전쟁보단 벌크, 벌크보단 현금</t>
  </si>
  <si>
    <t>91745</t>
  </si>
  <si>
    <t>이제는 양자 시뮬레이션도 가능해요</t>
  </si>
  <si>
    <t>91744</t>
  </si>
  <si>
    <t>5G SA 시대 돌입, 늦게 오른 만큼 많이 오를 것</t>
  </si>
  <si>
    <t>91743</t>
  </si>
  <si>
    <t>간암 효능 서프라이즈, 개발 속도 및 파트너쉽 당길 것</t>
  </si>
  <si>
    <t>91742</t>
  </si>
  <si>
    <t>1Q26 Pre: 실적도, 주당가치도 오른다</t>
  </si>
  <si>
    <t>91741</t>
  </si>
  <si>
    <t>택배 호실적 전망</t>
  </si>
  <si>
    <t>91740</t>
  </si>
  <si>
    <t>매출 성장률과 GPM이 동반 상승: 영업 레버리지 구간</t>
  </si>
  <si>
    <t>91739</t>
  </si>
  <si>
    <t>디오, 숫자로 확인되는 해외 성장과 생산성 개선</t>
  </si>
  <si>
    <t>91738</t>
  </si>
  <si>
    <t>작지만 기술력 있는 멀티플 확장형 회사</t>
  </si>
  <si>
    <t>91737</t>
  </si>
  <si>
    <t>009900</t>
  </si>
  <si>
    <t>명신산업</t>
  </si>
  <si>
    <t>기회와 리스크의 공존</t>
  </si>
  <si>
    <t>91736</t>
  </si>
  <si>
    <t>고마진 사업부는 고성장하고 적자 사업부는 적자 줄고</t>
  </si>
  <si>
    <t>91735</t>
  </si>
  <si>
    <t>이제 지주회사 보다는 사업 회사로 재평가해야 할 때</t>
  </si>
  <si>
    <t>91734</t>
  </si>
  <si>
    <t>2027년 리바운드</t>
  </si>
  <si>
    <t>91733</t>
  </si>
  <si>
    <t>배터리 전지박 판매 성장 추세 전환</t>
  </si>
  <si>
    <t>91732</t>
  </si>
  <si>
    <t>어느새 PER 10배 초반</t>
  </si>
  <si>
    <t>91731</t>
  </si>
  <si>
    <t>탄탄한 레퍼런스의 실적화</t>
  </si>
  <si>
    <t>91730</t>
  </si>
  <si>
    <t>아쉬운 1분기, 주목할 2분기</t>
  </si>
  <si>
    <t>91729</t>
  </si>
  <si>
    <t>AACR 2026: 플랫폼 바이오텍으로 레벨업</t>
  </si>
  <si>
    <t>91728</t>
  </si>
  <si>
    <t>484590</t>
  </si>
  <si>
    <t>삼양컴텍</t>
  </si>
  <si>
    <t>계속해서 성장하는 필수 방산 기자재</t>
  </si>
  <si>
    <t>91727</t>
  </si>
  <si>
    <t>이유 있는 주가 상승</t>
  </si>
  <si>
    <t>91726</t>
  </si>
  <si>
    <t>하반기 신작 정보 공개가 재평가의 트리거</t>
  </si>
  <si>
    <t>91725</t>
  </si>
  <si>
    <t>티끌이 눈앞을 가려도 시야는 더욱 선명해진다</t>
  </si>
  <si>
    <t>91724</t>
  </si>
  <si>
    <t>실적 눈높이 재차 상향</t>
  </si>
  <si>
    <t>91723</t>
  </si>
  <si>
    <t>일회성 호실적이 아닌, 구조적 레벨업 구간</t>
  </si>
  <si>
    <t>91722</t>
  </si>
  <si>
    <t>007340</t>
  </si>
  <si>
    <t>DN오토모티브</t>
  </si>
  <si>
    <t>Heller 인수, 1Q26부터 실적 반영 시작</t>
  </si>
  <si>
    <t>91721</t>
  </si>
  <si>
    <t>신작 경쟁력 확인 필요</t>
  </si>
  <si>
    <t>91720</t>
  </si>
  <si>
    <t>점유율 회복은 지속된다</t>
  </si>
  <si>
    <t>91719</t>
  </si>
  <si>
    <t>466100</t>
  </si>
  <si>
    <t>클로봇</t>
  </si>
  <si>
    <t>[AI] 자율주행 로봇 솔루션 및 통합 관제 플랫폼 전문기업</t>
  </si>
  <si>
    <t>91718</t>
  </si>
  <si>
    <t>208140</t>
  </si>
  <si>
    <t>정다운</t>
  </si>
  <si>
    <t>[AI] 오리고기 가공 및 유통 수직 계열화 기업</t>
  </si>
  <si>
    <t>91717</t>
  </si>
  <si>
    <t>277410</t>
  </si>
  <si>
    <t>인산가</t>
  </si>
  <si>
    <t>[AI] 죽염을 핵심 원료로 하는 식품 및 건강기능식품 전문기업</t>
  </si>
  <si>
    <t>91716</t>
  </si>
  <si>
    <t>373170</t>
  </si>
  <si>
    <t>엠아이큐브솔루션</t>
  </si>
  <si>
    <t>[AI] 스마트팩토리 솔루션 전문기업</t>
  </si>
  <si>
    <t>91715</t>
  </si>
  <si>
    <t>311390</t>
  </si>
  <si>
    <t>네오크레마</t>
  </si>
  <si>
    <t>[AI] 기능성 당류와 펩타이드 제품 제조 기업</t>
  </si>
  <si>
    <t>91714</t>
  </si>
  <si>
    <t>2026-04-20</t>
  </si>
  <si>
    <t>성큼 다가온 실적개선으로 저평가 탈피될 듯</t>
  </si>
  <si>
    <t>91713</t>
  </si>
  <si>
    <t>올해 실적개선 및 원전 성장성 가속화</t>
  </si>
  <si>
    <t>91712</t>
  </si>
  <si>
    <t>지금 보이는 게 다가 아니야</t>
  </si>
  <si>
    <t>91711</t>
  </si>
  <si>
    <t>1Q26 Preview : 사명 그대로 ‘Handsome’</t>
  </si>
  <si>
    <t>91710</t>
  </si>
  <si>
    <t>FLNG에 방산까지 다 잡을 한 해</t>
  </si>
  <si>
    <t>91709</t>
  </si>
  <si>
    <t>배틀로얄 장르를 넘어선 PUBG의 성장이 시작되는 해</t>
  </si>
  <si>
    <t>91708</t>
  </si>
  <si>
    <t>1Q26 Pre: 혼란한 해운 시황, 그러나 잘 버텨낼 것</t>
  </si>
  <si>
    <t>91707</t>
  </si>
  <si>
    <t>1Q26 Pre: 인건비 정상화만 고려해도</t>
  </si>
  <si>
    <t>91706</t>
  </si>
  <si>
    <t>1Q26 Pre: 실적은 좋은데</t>
  </si>
  <si>
    <t>91705</t>
  </si>
  <si>
    <t>310210</t>
  </si>
  <si>
    <t>보로노이</t>
  </si>
  <si>
    <t>더 좋아진 결과</t>
  </si>
  <si>
    <t>91704</t>
  </si>
  <si>
    <t>반영한다고 했제</t>
  </si>
  <si>
    <t>91703</t>
  </si>
  <si>
    <t>1Q 깜작 실적을 예상! 폴더블폰, 피지컬AI에 본격 진출</t>
  </si>
  <si>
    <t>91702</t>
  </si>
  <si>
    <t>Hail Mary도 이노션!</t>
  </si>
  <si>
    <t>91701</t>
  </si>
  <si>
    <t>상선의 견인으로 성장</t>
  </si>
  <si>
    <t>91700</t>
  </si>
  <si>
    <t>NDR 후기: 기다림의 구간</t>
  </si>
  <si>
    <t>91699</t>
  </si>
  <si>
    <t>턴어라운드 기대감 부각</t>
  </si>
  <si>
    <t>91698</t>
  </si>
  <si>
    <t>견조한 외형 성장 기조</t>
  </si>
  <si>
    <t>91697</t>
  </si>
  <si>
    <t>시대정신을 이끄는 No.1 원전 시공사</t>
  </si>
  <si>
    <t>91696</t>
  </si>
  <si>
    <t>실적 서프라이즈 예상</t>
  </si>
  <si>
    <t>91695</t>
  </si>
  <si>
    <t>흔들림 없는 펀더멘털, 외형 성장은 지속된다</t>
  </si>
  <si>
    <t>91694</t>
  </si>
  <si>
    <t>중동 물류 이연, 알리글로로 상쇄 전망</t>
  </si>
  <si>
    <t>91693</t>
  </si>
  <si>
    <t>유럽 마일스톤 이연으로 하회 전망</t>
  </si>
  <si>
    <t>91692</t>
  </si>
  <si>
    <t>스킨부스터로 넓히고, 복합필러로 점프한다</t>
  </si>
  <si>
    <t>91691</t>
  </si>
  <si>
    <t>91690</t>
  </si>
  <si>
    <t>[AI] 폐배터리 재활용을 통한 2차전지 원료 제조 기업</t>
  </si>
  <si>
    <t>91689</t>
  </si>
  <si>
    <t>[AI] 반도체 및 디스플레이 습식 세정 장비 전문기업</t>
  </si>
  <si>
    <t>91688</t>
  </si>
  <si>
    <t>025770</t>
  </si>
  <si>
    <t>한국정보통신</t>
  </si>
  <si>
    <t>91687</t>
  </si>
  <si>
    <t>036200</t>
  </si>
  <si>
    <t>유니셈</t>
  </si>
  <si>
    <t>[AI] 반도체 유해가스 및 온도 제어 장비 전문기업</t>
  </si>
  <si>
    <t>91686</t>
  </si>
  <si>
    <t>[AI] 3D 홀로그래픽 현미경 기반 생명과학 연구 장비 전문기업</t>
  </si>
  <si>
    <t>91685</t>
  </si>
  <si>
    <t>079960</t>
  </si>
  <si>
    <t>동양이엔피</t>
  </si>
  <si>
    <t>[AI] 전자부품 제조 및 공급 전문기업</t>
  </si>
  <si>
    <t>91684</t>
  </si>
  <si>
    <t>043610</t>
  </si>
  <si>
    <t>KT지니뮤직</t>
  </si>
  <si>
    <t>[AI] 디지털 음악 스트리밍 및 콘텐츠 플랫폼 기업</t>
  </si>
  <si>
    <t>91683</t>
  </si>
  <si>
    <t>2026-04-17</t>
  </si>
  <si>
    <t>견고한 업황, 수급 안정화가 마지막 허들</t>
  </si>
  <si>
    <t>91682</t>
  </si>
  <si>
    <t>317400</t>
  </si>
  <si>
    <t>자이에스앤디</t>
  </si>
  <si>
    <t>점프업을 위한 준비</t>
  </si>
  <si>
    <t>91681</t>
  </si>
  <si>
    <t>상사를 넘어, 에너지로 증명되는 성장</t>
  </si>
  <si>
    <t>91680</t>
  </si>
  <si>
    <t>화이자 펩타이드 경구제 개발 의지 확인</t>
  </si>
  <si>
    <t>91679</t>
  </si>
  <si>
    <t>ICTK가 국내 양자솔루션 수출 1호 기업이 될 것입니다</t>
  </si>
  <si>
    <t>91678</t>
  </si>
  <si>
    <t>기업가치로 보면 여전히 극심한 저평가 상황입니다</t>
  </si>
  <si>
    <t>91677</t>
  </si>
  <si>
    <t>이제 5G SA 시대에 적응하셔야 합니다</t>
  </si>
  <si>
    <t>91676</t>
  </si>
  <si>
    <t>제한적인 공급 내 수요 확장세 지속</t>
  </si>
  <si>
    <t>91675</t>
  </si>
  <si>
    <t>크게 보면 더 잘 보여요</t>
  </si>
  <si>
    <t>91674</t>
  </si>
  <si>
    <t>비상(飛上)</t>
  </si>
  <si>
    <t>91673</t>
  </si>
  <si>
    <t>멀티플 리레이팅 이제 시작</t>
  </si>
  <si>
    <t>91672</t>
  </si>
  <si>
    <t>높지만 정당한 멀티플</t>
  </si>
  <si>
    <t>91671</t>
  </si>
  <si>
    <t>AI와 DTC 전략의 성과, 숫자로 증명한다</t>
  </si>
  <si>
    <t>91670</t>
  </si>
  <si>
    <t>뼈대는 그대로, 덩치는 커지는</t>
  </si>
  <si>
    <t>91669</t>
  </si>
  <si>
    <t>462980</t>
  </si>
  <si>
    <t>아이지넷</t>
  </si>
  <si>
    <t>보험에 플랫폼 사업을 입히다</t>
  </si>
  <si>
    <t>91668</t>
  </si>
  <si>
    <t>꼬마 선장처럼 지금 울고 몇 분 후에 갈게</t>
  </si>
  <si>
    <t>91667</t>
  </si>
  <si>
    <t>올해는 특수선 사업의 성과 기대</t>
  </si>
  <si>
    <t>91666</t>
  </si>
  <si>
    <t>LNG 공급망의 중심 축</t>
  </si>
  <si>
    <t>91665</t>
  </si>
  <si>
    <t>그룹사 해외 조선 사업 확대의 핵심</t>
  </si>
  <si>
    <t>91664</t>
  </si>
  <si>
    <t>우호적인 상선 업황과 군함 사업 확대 기대감</t>
  </si>
  <si>
    <t>91663</t>
  </si>
  <si>
    <t>매출액 감소보단 수익성 증가 영향이 큰 상황</t>
  </si>
  <si>
    <t>91662</t>
  </si>
  <si>
    <t>263720</t>
  </si>
  <si>
    <t>디앤씨미디어</t>
  </si>
  <si>
    <t>[AI] 웹소설·웹툰 IP 기반 콘텐츠 사업 전문기업</t>
  </si>
  <si>
    <t>91661</t>
  </si>
  <si>
    <t>013310</t>
  </si>
  <si>
    <t>아진산업</t>
  </si>
  <si>
    <t>[AI] 자동차 차체 부품 전문 제조 기업</t>
  </si>
  <si>
    <t>91660</t>
  </si>
  <si>
    <t>173130</t>
  </si>
  <si>
    <t>오파스넷</t>
  </si>
  <si>
    <t>[AI] IT 인프라 유통 및 서비스 전문기업</t>
  </si>
  <si>
    <t>91659</t>
  </si>
  <si>
    <t>052260</t>
  </si>
  <si>
    <t>현대바이오랜드</t>
  </si>
  <si>
    <t>[AI] 천연물 기반 화장품 및 건강기능식품 원료 전문기업</t>
  </si>
  <si>
    <t>91658</t>
  </si>
  <si>
    <t>368770</t>
  </si>
  <si>
    <t>파이버프로</t>
  </si>
  <si>
    <t>[AI] 광섬유 센서 기반 계측 및 모니터링 장비 전문기업</t>
  </si>
  <si>
    <t>91657</t>
  </si>
  <si>
    <t>088340</t>
  </si>
  <si>
    <t>유라클</t>
  </si>
  <si>
    <t>[AI] AI·모바일 플랫폼 전문기업의 사업 확장</t>
  </si>
  <si>
    <t>91656</t>
  </si>
  <si>
    <t>036010</t>
  </si>
  <si>
    <t>아비코전자</t>
  </si>
  <si>
    <t>[AI] 수동소자 제조 전문기업의 실적 턴어라운드</t>
  </si>
  <si>
    <t>91655</t>
  </si>
  <si>
    <t>씨메스</t>
  </si>
  <si>
    <t>[AI] 3D 비전 기반 로봇 지능화 솔루션 전문기업</t>
  </si>
  <si>
    <t>91654</t>
  </si>
  <si>
    <t>003310</t>
  </si>
  <si>
    <t>대주산업</t>
  </si>
  <si>
    <t>[AI] 건설자재 및 화학제품 제조·판매 전문기업</t>
  </si>
  <si>
    <t>91653</t>
  </si>
  <si>
    <t>226340</t>
  </si>
  <si>
    <t>본느</t>
  </si>
  <si>
    <t>빠른 제품 기획과 외주 생산 기반 글로벌 시장을 공략하는 화장품 기업</t>
  </si>
  <si>
    <t>91652</t>
  </si>
  <si>
    <t>018620</t>
  </si>
  <si>
    <t>우진비앤지</t>
  </si>
  <si>
    <t>동물용 백신 및 의약품 기반 동물 헬스케어 솔루션 기업</t>
  </si>
  <si>
    <t>91651</t>
  </si>
  <si>
    <t>067370</t>
  </si>
  <si>
    <t>선바이오</t>
  </si>
  <si>
    <t>PEGylation 기술 기반 바이오의약품 및 약물전달 플랫폼 기업</t>
  </si>
  <si>
    <t>91650</t>
  </si>
  <si>
    <t>204840</t>
  </si>
  <si>
    <t>지엘팜텍</t>
  </si>
  <si>
    <t>제제기술 기반 개량신약 개발 중심의 의약품 연구개발 기업</t>
  </si>
  <si>
    <t>91649</t>
  </si>
  <si>
    <t>043360</t>
  </si>
  <si>
    <t>디지아이</t>
  </si>
  <si>
    <t>글로벌 산업용 잉크젯 프린팅 시장을 선도하는 디지털 프린팅 솔루션 기업</t>
  </si>
  <si>
    <t>91648</t>
  </si>
  <si>
    <t>285490</t>
  </si>
  <si>
    <t>노바텍</t>
  </si>
  <si>
    <t>네오디뮴 자석 기술 기반 전자·전장용 자석부품 전문기업</t>
  </si>
  <si>
    <t>91647</t>
  </si>
  <si>
    <t>2026-04-16</t>
  </si>
  <si>
    <t>아직 싸다고 말할 수 있는 방산주</t>
  </si>
  <si>
    <t>91646</t>
  </si>
  <si>
    <t>질주 전 고르기, 2분기부터 승부의 시작</t>
  </si>
  <si>
    <t>91645</t>
  </si>
  <si>
    <t>위기와 기회</t>
  </si>
  <si>
    <t>91644</t>
  </si>
  <si>
    <t>회복을 향한 빌드업 진행 중</t>
  </si>
  <si>
    <t>91643</t>
  </si>
  <si>
    <t>미스토 부문 이익 개선 흐름 유효</t>
  </si>
  <si>
    <t>91642</t>
  </si>
  <si>
    <t>1Q26 preview - 예상치 상회 전망</t>
  </si>
  <si>
    <t>91641</t>
  </si>
  <si>
    <t>낮은 기저+날씨 효과, 무난한 서프라이즈</t>
  </si>
  <si>
    <t>91640</t>
  </si>
  <si>
    <t>1Q26 preview - 공급 타이트에 힘입은 서프라이즈</t>
  </si>
  <si>
    <t>91639</t>
  </si>
  <si>
    <t>실적은 무난, 기대감은 낮아진 국면</t>
  </si>
  <si>
    <t>91638</t>
  </si>
  <si>
    <t>단기 실적보다 방향성에 주목</t>
  </si>
  <si>
    <t>91637</t>
  </si>
  <si>
    <t>1Q26 Preview: 본업 정상화 확인, SST 가동 가시화</t>
  </si>
  <si>
    <t>91636</t>
  </si>
  <si>
    <t>1Q26 Preview: 예견된 실망, 관건은 2분기 회복의 속도</t>
  </si>
  <si>
    <t>91635</t>
  </si>
  <si>
    <t>아직도 P/B 0.3배 이하</t>
  </si>
  <si>
    <t>91634</t>
  </si>
  <si>
    <t>폭발적 성장 + 두산의 캐파 증설 가능성</t>
  </si>
  <si>
    <t>91633</t>
  </si>
  <si>
    <t>290550</t>
  </si>
  <si>
    <t>디케이티</t>
  </si>
  <si>
    <t>도약 임박</t>
  </si>
  <si>
    <t>91632</t>
  </si>
  <si>
    <t>모멘텀, 실적, 벨류에이션의 트리플 크라운</t>
  </si>
  <si>
    <t>91631</t>
  </si>
  <si>
    <t>025540</t>
  </si>
  <si>
    <t>한국단자</t>
  </si>
  <si>
    <t>빨라진 지배구조 개선. 기업가치 상승으로 연결될 것</t>
  </si>
  <si>
    <t>91630</t>
  </si>
  <si>
    <t>089970</t>
  </si>
  <si>
    <t>브이엠</t>
  </si>
  <si>
    <t>예상보다 더 좋네요</t>
  </si>
  <si>
    <t>91629</t>
  </si>
  <si>
    <t>1Q26 Pre: 신약 성과로 주목할 한 해</t>
  </si>
  <si>
    <t>91628</t>
  </si>
  <si>
    <t>1Q26 프리뷰: 기대치 하회. 하반기로 갈수록 개선</t>
  </si>
  <si>
    <t>91627</t>
  </si>
  <si>
    <t>1Q26 실적 함의: 수주 시점 차별화 검증 기회</t>
  </si>
  <si>
    <t>91626</t>
  </si>
  <si>
    <t>1Q26 Pre: 수요는 여전히 공급을 상회</t>
  </si>
  <si>
    <t>91625</t>
  </si>
  <si>
    <t>1Q26 Preview: 실적은 기본, 3단계 경로로 지속 성장</t>
  </si>
  <si>
    <t>91624</t>
  </si>
  <si>
    <t>로보택시가 여는 새로운 챕터, 실적 턴어라운드의 시작</t>
  </si>
  <si>
    <t>91623</t>
  </si>
  <si>
    <t>446840</t>
  </si>
  <si>
    <t>지슨</t>
  </si>
  <si>
    <t>도청 및 불법촬영 방지를 위한 우호적인 정책 수혜</t>
  </si>
  <si>
    <t>91622</t>
  </si>
  <si>
    <t>357580</t>
  </si>
  <si>
    <t>아모센스</t>
  </si>
  <si>
    <t>SOFC 세라믹 기판 블룸에너지 공급망 진입</t>
  </si>
  <si>
    <t>91621</t>
  </si>
  <si>
    <t>2027년 북미 스마트폰 증산 수혜주</t>
  </si>
  <si>
    <t>91620</t>
  </si>
  <si>
    <t>이제부터 본 게임</t>
  </si>
  <si>
    <t>91619</t>
  </si>
  <si>
    <t>도드라지는 택배 물동량 성장</t>
  </si>
  <si>
    <t>91618</t>
  </si>
  <si>
    <t>실적과 주가 반등의 원년</t>
  </si>
  <si>
    <t>91617</t>
  </si>
  <si>
    <t>좋아질 일만 남았다</t>
  </si>
  <si>
    <t>91616</t>
  </si>
  <si>
    <t>자체 IP의 압도적인 백화점 입점률</t>
  </si>
  <si>
    <t>91615</t>
  </si>
  <si>
    <t>저성장 전망 속 부담스러워진 멀티플</t>
  </si>
  <si>
    <t>91614</t>
  </si>
  <si>
    <t>사업 다각화라는 성장 스토리를 이어간다</t>
  </si>
  <si>
    <t>91613</t>
  </si>
  <si>
    <t>PUBG 트래픽 서프라이즈 지속</t>
  </si>
  <si>
    <t>91612</t>
  </si>
  <si>
    <t>170790</t>
  </si>
  <si>
    <t>파이오링크</t>
  </si>
  <si>
    <t>숫자가 따라올 구간</t>
  </si>
  <si>
    <t>91611</t>
  </si>
  <si>
    <t>398120</t>
  </si>
  <si>
    <t>에스지헬스케어</t>
  </si>
  <si>
    <t>[AI] 중앙아시아 의료 인프라 공략하는 영상진단 장비 및 서비스 기업</t>
  </si>
  <si>
    <t>91610</t>
  </si>
  <si>
    <t>082800</t>
  </si>
  <si>
    <t>비보존 제약</t>
  </si>
  <si>
    <t>[AI] 전문의약품 및 일반의약품 제조 판매 기업</t>
  </si>
  <si>
    <t>91609</t>
  </si>
  <si>
    <t>133750</t>
  </si>
  <si>
    <t>메가엠디</t>
  </si>
  <si>
    <t>[AI] 의학계열 전문 교육 서비스 제공 기업</t>
  </si>
  <si>
    <t>91608</t>
  </si>
  <si>
    <t>005990</t>
  </si>
  <si>
    <t>매일홀딩스</t>
  </si>
  <si>
    <t>[AI] 유제품 및 식품 중심의 지주회사</t>
  </si>
  <si>
    <t>91607</t>
  </si>
  <si>
    <t>267980</t>
  </si>
  <si>
    <t>매일유업</t>
  </si>
  <si>
    <t>[AI] 유제품 기반 종합 식품기업으로 사업 다각화</t>
  </si>
  <si>
    <t>91606</t>
  </si>
  <si>
    <t>476080</t>
  </si>
  <si>
    <t>M83</t>
  </si>
  <si>
    <t>[AI] VFX 및 디지털 콘텐츠 제작 전문기업</t>
  </si>
  <si>
    <t>91605</t>
  </si>
  <si>
    <t>유일한 K-패션 상장사</t>
  </si>
  <si>
    <t>91604</t>
  </si>
  <si>
    <t>인바운드 마케팅도 장인급</t>
  </si>
  <si>
    <t>91603</t>
  </si>
  <si>
    <t>보릿고개 진짜 끝</t>
  </si>
  <si>
    <t>91602</t>
  </si>
  <si>
    <t>백화점 가치를 조명할 때</t>
  </si>
  <si>
    <t>91601</t>
  </si>
  <si>
    <t>백화점은 압도적, 면세점까지 좋아진다</t>
  </si>
  <si>
    <t>91600</t>
  </si>
  <si>
    <t>2026-04-15</t>
  </si>
  <si>
    <t>KKR과 전략적 협업 및 전환사채 발행 코멘트</t>
  </si>
  <si>
    <t>91599</t>
  </si>
  <si>
    <t>5개 분기 만의 증익</t>
  </si>
  <si>
    <t>91598</t>
  </si>
  <si>
    <t>1Q26 Preview: 메탈 효과가 이끈 신동, 방산은 숨고르기</t>
  </si>
  <si>
    <t>91597</t>
  </si>
  <si>
    <t>애널리스트 간담회 후기</t>
  </si>
  <si>
    <t>91596</t>
  </si>
  <si>
    <t>기대가 상당 부분 반영된 주가</t>
  </si>
  <si>
    <t>91595</t>
  </si>
  <si>
    <t>최고경영자 주관 간담회 후기: 바쁘다, 바빠</t>
  </si>
  <si>
    <t>91594</t>
  </si>
  <si>
    <t>1Q26 Pre: 일회성 비용 발생하나 펀더 이상 무</t>
  </si>
  <si>
    <t>91593</t>
  </si>
  <si>
    <t>지나가는 바람일 뿐</t>
  </si>
  <si>
    <t>91592</t>
  </si>
  <si>
    <t>스테이블 코인이 부상하면 ICTK에 주목해야 한다</t>
  </si>
  <si>
    <t>91591</t>
  </si>
  <si>
    <t>미국 시장 최대 수혜주는 KMW입니다</t>
  </si>
  <si>
    <t>91590</t>
  </si>
  <si>
    <t>다시 보여줄 리딩뱅크의 위용과 저력</t>
  </si>
  <si>
    <t>91589</t>
  </si>
  <si>
    <t>SMP 상한제가 다시 언급될 만큼 쉽지 않은 상황</t>
  </si>
  <si>
    <t>91588</t>
  </si>
  <si>
    <t>올해 사상최대 영업이익 달성 가시화</t>
  </si>
  <si>
    <t>91587</t>
  </si>
  <si>
    <t>448710</t>
  </si>
  <si>
    <t>코츠테크놀로지</t>
  </si>
  <si>
    <t>[탐방노트] #국산화 #방산수출 #ASP상승</t>
  </si>
  <si>
    <t>91586</t>
  </si>
  <si>
    <t>[탐방노트] #연료전지 #전장모듈</t>
  </si>
  <si>
    <t>91585</t>
  </si>
  <si>
    <t>불확실성 해소와 밸류업의 궤도 진입</t>
  </si>
  <si>
    <t>91584</t>
  </si>
  <si>
    <t>지금이 바로 성장의 초입</t>
  </si>
  <si>
    <t>91583</t>
  </si>
  <si>
    <t>353200</t>
  </si>
  <si>
    <t>대덕전자</t>
  </si>
  <si>
    <t>모든 기판 모멘텀 노출도 보유한 대장주</t>
  </si>
  <si>
    <t>91582</t>
  </si>
  <si>
    <t>탑라인, 수익성 모두 1Q가 연중 저점</t>
  </si>
  <si>
    <t>91581</t>
  </si>
  <si>
    <t>커진 변동성, 방향성은 확실</t>
  </si>
  <si>
    <t>91580</t>
  </si>
  <si>
    <t>최고경영자 간담회 후기</t>
  </si>
  <si>
    <t>91579</t>
  </si>
  <si>
    <t>실적 개선과 신사업 기대감이 동시에</t>
  </si>
  <si>
    <t>91578</t>
  </si>
  <si>
    <t>하반기에 집중된 실적 모멘텀</t>
  </si>
  <si>
    <t>91577</t>
  </si>
  <si>
    <t>외형 성장보단 수익성에 집중</t>
  </si>
  <si>
    <t>91576</t>
  </si>
  <si>
    <t>반도체 패키징 병목 속 이익개선 확대</t>
  </si>
  <si>
    <t>91575</t>
  </si>
  <si>
    <t>IR 後記: 전장 및 로봇 사업 진행은 순항 중</t>
  </si>
  <si>
    <t>91574</t>
  </si>
  <si>
    <t>탐방노트: ETF 시장 급속 확대의 최대 수혜주</t>
  </si>
  <si>
    <t>91573</t>
  </si>
  <si>
    <t>1Q26 Pre_견조한 실적, R&amp;D 모멘텀 본격화</t>
  </si>
  <si>
    <t>91572</t>
  </si>
  <si>
    <t>SMR로 연간 2,000억원 이상 영업이익 기대</t>
  </si>
  <si>
    <t>91571</t>
  </si>
  <si>
    <t>Memory를 System으로 봐야 그림이 보인다</t>
  </si>
  <si>
    <t>91570</t>
  </si>
  <si>
    <t>2분기 실적 기대감 확대</t>
  </si>
  <si>
    <t>91569</t>
  </si>
  <si>
    <t>인내는 쓰나 그 열매는 달다</t>
  </si>
  <si>
    <t>91568</t>
  </si>
  <si>
    <t>한화솔루션 유상증자 120% 초과 청약, 그룹 성장을 위한 합리적 의사 결정</t>
  </si>
  <si>
    <t>91567</t>
  </si>
  <si>
    <t>우주에서도 선택 받을 비중국 폴리실리콘</t>
  </si>
  <si>
    <t>91566</t>
  </si>
  <si>
    <t>시대를 향한 웅대한 비상</t>
  </si>
  <si>
    <t>91565</t>
  </si>
  <si>
    <t>리노베이션 및 비용 부담으로 컨센 하회 전망</t>
  </si>
  <si>
    <t>91564</t>
  </si>
  <si>
    <t>강력한 실적 모멘텀!</t>
  </si>
  <si>
    <t>91563</t>
  </si>
  <si>
    <t>352910</t>
  </si>
  <si>
    <t>오비고</t>
  </si>
  <si>
    <t>[AI] 차량용 소프트웨어 플랫폼 개발 및 공급 전문기업</t>
  </si>
  <si>
    <t>91562</t>
  </si>
  <si>
    <t>150900</t>
  </si>
  <si>
    <t>파수</t>
  </si>
  <si>
    <t>[AI] 데이터보안, 애플리케이션보안, 정보보호컨설팅 전문기업</t>
  </si>
  <si>
    <t>91561</t>
  </si>
  <si>
    <t>265520</t>
  </si>
  <si>
    <t>AP시스템</t>
  </si>
  <si>
    <t>[AI] 디스플레이 및 반도체 레이저 장비 전문기업</t>
  </si>
  <si>
    <t>91560</t>
  </si>
  <si>
    <t>206560</t>
  </si>
  <si>
    <t>덱스터</t>
  </si>
  <si>
    <t>[AI] 시각특수효과 및 콘텐츠 제작 전문기업</t>
  </si>
  <si>
    <t>91559</t>
  </si>
  <si>
    <t>088390</t>
  </si>
  <si>
    <t>이녹스</t>
  </si>
  <si>
    <t>[AI] 전자재료 및 부품 전문기업</t>
  </si>
  <si>
    <t>91558</t>
  </si>
  <si>
    <t>[AI] 3D 검사 장비 전문기업, 반도체 및 전자 부품 검사</t>
  </si>
  <si>
    <t>91557</t>
  </si>
  <si>
    <t>052330</t>
  </si>
  <si>
    <t>코텍</t>
  </si>
  <si>
    <t>[AI] 카지노용 디스플레이 전문 제조기업</t>
  </si>
  <si>
    <t>91556</t>
  </si>
  <si>
    <t>[AI] GaN 기반 반도체 소자 및 모듈 전문기업</t>
  </si>
  <si>
    <t>91555</t>
  </si>
  <si>
    <t>218150</t>
  </si>
  <si>
    <t>미래생명자원</t>
  </si>
  <si>
    <t>[AI] 동물용 사료 및 사료 원료 제조·판매 전문기업</t>
  </si>
  <si>
    <t>91554</t>
  </si>
  <si>
    <t>2026-04-14</t>
  </si>
  <si>
    <t>003490</t>
  </si>
  <si>
    <t>대한항공</t>
  </si>
  <si>
    <t>[1Q26 Review] 별도 서프라이즈</t>
  </si>
  <si>
    <t>91553</t>
  </si>
  <si>
    <t>실적으로 승부한다</t>
  </si>
  <si>
    <t>91552</t>
  </si>
  <si>
    <t>개선될 실적과 카카오톡에 지워지는 무게</t>
  </si>
  <si>
    <t>91551</t>
  </si>
  <si>
    <t>AI디레이팅 지속, 커머스와 크립토로 돌파구 모색</t>
  </si>
  <si>
    <t>91550</t>
  </si>
  <si>
    <t>1Q26E Preview: 방향은 맞다</t>
  </si>
  <si>
    <t>91549</t>
  </si>
  <si>
    <t>증설 확정에 따른 Re-Rating 논리 필요</t>
  </si>
  <si>
    <t>91548</t>
  </si>
  <si>
    <t>115440</t>
  </si>
  <si>
    <t>우리넷</t>
  </si>
  <si>
    <t>전송장비 주도주인데 PBR 1.7배?</t>
  </si>
  <si>
    <t>91547</t>
  </si>
  <si>
    <t>389470</t>
  </si>
  <si>
    <t>인벤티지랩</t>
  </si>
  <si>
    <t>NDR 후기: 고농도 SC제형화 플랫폼 및 CDMO 확장</t>
  </si>
  <si>
    <t>91546</t>
  </si>
  <si>
    <t>1Q26 Re: 단기 실적보다는 본질에 집중할 때</t>
  </si>
  <si>
    <t>91545</t>
  </si>
  <si>
    <t>1Q26 Preview: 브라질 효과 서서히</t>
  </si>
  <si>
    <t>91544</t>
  </si>
  <si>
    <t>001440</t>
  </si>
  <si>
    <t>대한전선</t>
  </si>
  <si>
    <t>고수익 프로젝트 비중 확대</t>
  </si>
  <si>
    <t>91543</t>
  </si>
  <si>
    <t>증설 효과 본격화, 이익 체질 상향 구간</t>
  </si>
  <si>
    <t>91542</t>
  </si>
  <si>
    <t>이익 체력은 증명, 저평가 해소가 필요한 시점</t>
  </si>
  <si>
    <t>91541</t>
  </si>
  <si>
    <t>일시적 조정, 성장 방향성 유효</t>
  </si>
  <si>
    <t>91540</t>
  </si>
  <si>
    <t>빅테크 고객확대, 수주 모멘텀 가속</t>
  </si>
  <si>
    <t>91539</t>
  </si>
  <si>
    <t>1Q는 착시, 2Q 기대는 더 커진다</t>
  </si>
  <si>
    <t>91538</t>
  </si>
  <si>
    <t>단기 눈높이는 낮추나, 중장기 성장 스토리는 유효</t>
  </si>
  <si>
    <t>91537</t>
  </si>
  <si>
    <t>[탐방노트] #체질개선 #영화개봉 #협업확대</t>
  </si>
  <si>
    <t>91536</t>
  </si>
  <si>
    <t>높아지는 실적 상향 가능성</t>
  </si>
  <si>
    <t>91535</t>
  </si>
  <si>
    <t>무난한 실적, 강해지는 원전 모멘텀</t>
  </si>
  <si>
    <t>91534</t>
  </si>
  <si>
    <t>플랜트 잠재안건 확대가 긍정적</t>
  </si>
  <si>
    <t>91533</t>
  </si>
  <si>
    <t>비용의 시간은 짧고, 수확의 시간은 길다</t>
  </si>
  <si>
    <t>91532</t>
  </si>
  <si>
    <t>깜짝 실적, 이제는 방어력에 주목</t>
  </si>
  <si>
    <t>91531</t>
  </si>
  <si>
    <t>1Q 숨고르기, 2Q 성장 사이클 재개</t>
  </si>
  <si>
    <t>91530</t>
  </si>
  <si>
    <t>다시 실적 모멘텀이 강해진다</t>
  </si>
  <si>
    <t>91529</t>
  </si>
  <si>
    <t>K-바이오 거버넌스의 새로운 기준을 제시할 오스코텍</t>
  </si>
  <si>
    <t>91528</t>
  </si>
  <si>
    <t>놀라운 실적의 연속</t>
  </si>
  <si>
    <t>91527</t>
  </si>
  <si>
    <t>실적 추정치 하향하나, 전쟁 리스크 해소에 주목</t>
  </si>
  <si>
    <t>91526</t>
  </si>
  <si>
    <t>광고 고성장과 수익성 개선은 확실</t>
  </si>
  <si>
    <t>91525</t>
  </si>
  <si>
    <t>스판덱스 5번째 판가 인상 발표 및 Spot 가격 상승</t>
  </si>
  <si>
    <t>91524</t>
  </si>
  <si>
    <t>대형 OLED 중심의 선전 기대</t>
  </si>
  <si>
    <t>91523</t>
  </si>
  <si>
    <t>아쉬운 시작에도 주주환원 매력은 유효</t>
  </si>
  <si>
    <t>91522</t>
  </si>
  <si>
    <t>하반기, 수주가 밀려온다</t>
  </si>
  <si>
    <t>91521</t>
  </si>
  <si>
    <t>1Q26 Preview: 편안함</t>
  </si>
  <si>
    <t>91520</t>
  </si>
  <si>
    <t>1Q26 Preview: 스페이스X와 함께</t>
  </si>
  <si>
    <t>91519</t>
  </si>
  <si>
    <t>단단해진 체력은 쉽게 약해지지 않을 전망</t>
  </si>
  <si>
    <t>91518</t>
  </si>
  <si>
    <t>커머스 중심 성장 전략 유지</t>
  </si>
  <si>
    <t>91517</t>
  </si>
  <si>
    <t>물이 빠지고 진짜 실력이 드러날 때</t>
  </si>
  <si>
    <t>91516</t>
  </si>
  <si>
    <t>무난한 성장 흐름 이어가는 중</t>
  </si>
  <si>
    <t>91515</t>
  </si>
  <si>
    <t>올해 해양과 특수선 수주가 관건</t>
  </si>
  <si>
    <t>91514</t>
  </si>
  <si>
    <t>개화 전 인내의 시간</t>
  </si>
  <si>
    <t>91513</t>
  </si>
  <si>
    <t>반도체가 받치고, 태양광으로 점프</t>
  </si>
  <si>
    <t>91512</t>
  </si>
  <si>
    <t>위고비로 외형성장. 연구개발 모멘텀은 제한적.</t>
  </si>
  <si>
    <t>91511</t>
  </si>
  <si>
    <t>불확실성이 확대될수록 대장주를 찾기 마련</t>
  </si>
  <si>
    <t>91510</t>
  </si>
  <si>
    <t>실체 '있는' 움직임</t>
  </si>
  <si>
    <t>91509</t>
  </si>
  <si>
    <t>프리미엄 소비 회복으로 실적 정상화 국면 진입</t>
  </si>
  <si>
    <t>91508</t>
  </si>
  <si>
    <t>037710</t>
  </si>
  <si>
    <t>광주신세계</t>
  </si>
  <si>
    <t>적극적인 주주환원 정책이 가져다주는 편안함</t>
  </si>
  <si>
    <t>91507</t>
  </si>
  <si>
    <t>092460</t>
  </si>
  <si>
    <t>한라IMS</t>
  </si>
  <si>
    <t>조선기자재에서 선박 MRO까지, 사업 구조의 확장</t>
  </si>
  <si>
    <t>91506</t>
  </si>
  <si>
    <t>수주했으니 이제 돈 벌 차례</t>
  </si>
  <si>
    <t>91505</t>
  </si>
  <si>
    <t>136480</t>
  </si>
  <si>
    <t>하림</t>
  </si>
  <si>
    <t>[AI] 닭고기 수직계열화 기반 육가공 전문기업</t>
  </si>
  <si>
    <t>91504</t>
  </si>
  <si>
    <t>[AI] 액체생검 기반 암 진단 및 모니터링 서비스 전문기업</t>
  </si>
  <si>
    <t>91503</t>
  </si>
  <si>
    <t>060560</t>
  </si>
  <si>
    <t>HC홈센타</t>
  </si>
  <si>
    <t>[AI] 건축자재 유통 및 판매 전문기업</t>
  </si>
  <si>
    <t>91502</t>
  </si>
  <si>
    <t>[AI] 초소형 SAR 위성 시스템 및 선박용 솔레노이드 전문기업</t>
  </si>
  <si>
    <t>91501</t>
  </si>
  <si>
    <t>234690</t>
  </si>
  <si>
    <t>녹십자웰빙</t>
  </si>
  <si>
    <t>[AI] 강기능식품 및 의약품 유통 사업 전문기업</t>
  </si>
  <si>
    <t>91500</t>
  </si>
  <si>
    <t>064550</t>
  </si>
  <si>
    <t>바이오니아</t>
  </si>
  <si>
    <t>[AI] 핵산 원천기술 기반 생명과학 연구 및 진단 전문기업</t>
  </si>
  <si>
    <t>91499</t>
  </si>
  <si>
    <t>2026-04-13</t>
  </si>
  <si>
    <t>1Q26 Preview : 우려를 불식시키는 실적에 더해 대주주 지분매입까지</t>
  </si>
  <si>
    <t>91498</t>
  </si>
  <si>
    <t>그룹 미래 모빌리티(로봇/SDV) 전략의 핵심 축 증명</t>
  </si>
  <si>
    <t>91497</t>
  </si>
  <si>
    <t>그룹 미래 모빌리티(로봇/SDV) 전략의 대표 수혜</t>
  </si>
  <si>
    <t>91496</t>
  </si>
  <si>
    <t>상저하고가 예상되는 2026</t>
  </si>
  <si>
    <t>91495</t>
  </si>
  <si>
    <t>1분기 컨센 부합 추정, 연중 안정적인 실적 전망</t>
  </si>
  <si>
    <t>91494</t>
  </si>
  <si>
    <t>선순환의 시작</t>
  </si>
  <si>
    <t>91493</t>
  </si>
  <si>
    <t>1Q26 Pre: 에페글레나타이드 기반 성장에 주목</t>
  </si>
  <si>
    <t>91492</t>
  </si>
  <si>
    <t>엔씨소프트</t>
  </si>
  <si>
    <t>반등의 서막</t>
  </si>
  <si>
    <t>91491</t>
  </si>
  <si>
    <t>1Q26 Preview 컨센서스 부합</t>
  </si>
  <si>
    <t>91490</t>
  </si>
  <si>
    <t>오랜만에 반가운 국내 반등</t>
  </si>
  <si>
    <t>91489</t>
  </si>
  <si>
    <t>변하지 않은 방향성과 편한 주가</t>
  </si>
  <si>
    <t>91488</t>
  </si>
  <si>
    <t>1Q26 Pre: 컨센서스 하회해도 이벤트를 기대 중</t>
  </si>
  <si>
    <t>91487</t>
  </si>
  <si>
    <t>기존 사업 정상화 진행 중</t>
  </si>
  <si>
    <t>91486</t>
  </si>
  <si>
    <t>1Q26부터 영업실적 개선 중</t>
  </si>
  <si>
    <t>91485</t>
  </si>
  <si>
    <t>1Q26 프리뷰: 기대치 하회. 그래도 연간 추정치 변동없음</t>
  </si>
  <si>
    <t>91484</t>
  </si>
  <si>
    <t>1Q 프리뷰 - 비용 증가로 실적 부진할 전망</t>
  </si>
  <si>
    <t>91483</t>
  </si>
  <si>
    <t>1Q26 Pre: 시장 기대 소폭 상회 예상</t>
  </si>
  <si>
    <t>91482</t>
  </si>
  <si>
    <t>자세히 보아야 예쁘다</t>
  </si>
  <si>
    <t>91481</t>
  </si>
  <si>
    <t>보다 먼 미래의 실적 고성장의 근거가 더 명확해진다</t>
  </si>
  <si>
    <t>91480</t>
  </si>
  <si>
    <t>돌아온 모범생</t>
  </si>
  <si>
    <t>91479</t>
  </si>
  <si>
    <t>놓치기 아까운 주식</t>
  </si>
  <si>
    <t>91478</t>
  </si>
  <si>
    <t>25년은 잊어주세요</t>
  </si>
  <si>
    <t>91477</t>
  </si>
  <si>
    <t>가동률 하락으로 실적 부진 예상</t>
  </si>
  <si>
    <t>91476</t>
  </si>
  <si>
    <t>글로벌 경기 방어주</t>
  </si>
  <si>
    <t>91475</t>
  </si>
  <si>
    <t>매출 성장률 부진으로 컨센서스 하회 전망</t>
  </si>
  <si>
    <t>91474</t>
  </si>
  <si>
    <t>1Q26 Preview: 또 다시 보여줘야 돼</t>
  </si>
  <si>
    <t>91473</t>
  </si>
  <si>
    <t>오버행 우려 상당 부분 해소</t>
  </si>
  <si>
    <t>91472</t>
  </si>
  <si>
    <t>곧 대망의 하반기가 온다</t>
  </si>
  <si>
    <t>91471</t>
  </si>
  <si>
    <t>Both Sides</t>
  </si>
  <si>
    <t>91470</t>
  </si>
  <si>
    <t>아쉬운 만큼 더 크게</t>
  </si>
  <si>
    <t>91469</t>
  </si>
  <si>
    <t>선배가 닦아 놓은 길만 가자</t>
  </si>
  <si>
    <t>91468</t>
  </si>
  <si>
    <t>건설장비 수출 호조가 이끌 성장세</t>
  </si>
  <si>
    <t>91467</t>
  </si>
  <si>
    <t>321550</t>
  </si>
  <si>
    <t>티움바이오</t>
  </si>
  <si>
    <t>NDR 후기: 메리골릭스 유럽 기술 이전 기대감</t>
  </si>
  <si>
    <t>91466</t>
  </si>
  <si>
    <t>1Q26 Preview: AS가 지켜주는 실적</t>
  </si>
  <si>
    <t>91465</t>
  </si>
  <si>
    <t>FTTH는 실적개선, 데이터센터는 성장성</t>
  </si>
  <si>
    <t>91464</t>
  </si>
  <si>
    <t>083450</t>
  </si>
  <si>
    <t>GST</t>
  </si>
  <si>
    <t>반도체 설비투자 확대로 올해 사상 최대 실적 가시화</t>
  </si>
  <si>
    <t>91463</t>
  </si>
  <si>
    <t>1Q26 Preview: 압도적인 이익 체력</t>
  </si>
  <si>
    <t>91462</t>
  </si>
  <si>
    <t>인프라 투자 확대로 Top-line 성장 가시화</t>
  </si>
  <si>
    <t>91461</t>
  </si>
  <si>
    <t>1Q26 Preview: 굳건</t>
  </si>
  <si>
    <t>91460</t>
  </si>
  <si>
    <t>풀하우스가 아니라 포카드</t>
  </si>
  <si>
    <t>91459</t>
  </si>
  <si>
    <t>난 핸들이 고장난A(nthropic)톤 트럭</t>
  </si>
  <si>
    <t>91458</t>
  </si>
  <si>
    <t>긍정적인 북미 수요 전망과 관세 불확실성</t>
  </si>
  <si>
    <t>91457</t>
  </si>
  <si>
    <t>유럽, 중동 지역에서 전차 수요 확대 전망</t>
  </si>
  <si>
    <t>91456</t>
  </si>
  <si>
    <t>078340</t>
  </si>
  <si>
    <t>컴투스</t>
  </si>
  <si>
    <t>신작 지속성이 관건</t>
  </si>
  <si>
    <t>91455</t>
  </si>
  <si>
    <t>1Q26 Preview: Rough Start</t>
  </si>
  <si>
    <t>91454</t>
  </si>
  <si>
    <t>1Q26 Preview: 한수 위 판매 경쟁력</t>
  </si>
  <si>
    <t>91453</t>
  </si>
  <si>
    <t>실적 하회 전망. 상반기 MASH 발표 주목!</t>
  </si>
  <si>
    <t>91452</t>
  </si>
  <si>
    <t>1Q26 영업이익 기대치 하회 예상</t>
  </si>
  <si>
    <t>91451</t>
  </si>
  <si>
    <t>구조적 성장 속 장비 다변화</t>
  </si>
  <si>
    <t>91450</t>
  </si>
  <si>
    <t>몇 안되는 사이버 캡 수혜주</t>
  </si>
  <si>
    <t>91449</t>
  </si>
  <si>
    <t>그럼에도 강해지는 이익 체력</t>
  </si>
  <si>
    <t>91448</t>
  </si>
  <si>
    <t>101360</t>
  </si>
  <si>
    <t>에코앤드림</t>
  </si>
  <si>
    <t>[AI] 이차전지 양극재 핵심 원료 전구체 전문기업</t>
  </si>
  <si>
    <t>91447</t>
  </si>
  <si>
    <t xml:space="preserve">[AI] 반도체 특수가스 전문기업 </t>
  </si>
  <si>
    <t>91446</t>
  </si>
  <si>
    <t>100130</t>
  </si>
  <si>
    <t>동국S&amp;C</t>
  </si>
  <si>
    <t>[AI] 풍력발전 타워 제조 전문기업</t>
  </si>
  <si>
    <t>91445</t>
  </si>
  <si>
    <t>457550</t>
  </si>
  <si>
    <t>우진엔텍</t>
  </si>
  <si>
    <t>[AI] 원자력 및 화력발전소 정비 전문기업</t>
  </si>
  <si>
    <t>91444</t>
  </si>
  <si>
    <t>289220</t>
  </si>
  <si>
    <t>자이언트스텝</t>
  </si>
  <si>
    <t>[AI] 실시간 3D 콘텐츠 및 AI 기반 버추얼 프로덕션 전문기업</t>
  </si>
  <si>
    <t>91443</t>
  </si>
  <si>
    <t>[AI] 비디오 코덱 IP 전문 반도체 설계 기업</t>
  </si>
  <si>
    <t>91442</t>
  </si>
  <si>
    <t>[AI] K-POP 기반 종합 엔터테인먼트 기업</t>
  </si>
  <si>
    <t>91441</t>
  </si>
  <si>
    <t>450330</t>
  </si>
  <si>
    <t>하스</t>
  </si>
  <si>
    <t>[AI] 치과용 리튬 디실리케이트 및 지르코니아 소재 전문기업</t>
  </si>
  <si>
    <t>91440</t>
  </si>
  <si>
    <t>[AI] 혈당 측정 체외진단 의료기기 전문기업</t>
  </si>
  <si>
    <t>91439</t>
  </si>
  <si>
    <t>123410</t>
  </si>
  <si>
    <t>코리아에프티</t>
  </si>
  <si>
    <t>[AI] 자동차 연료 시스템 부품 전문기업</t>
  </si>
  <si>
    <t>91438</t>
  </si>
  <si>
    <t>043650</t>
  </si>
  <si>
    <t>국순당</t>
  </si>
  <si>
    <t>[AI] 전통 발효 기술 기반의 주류 제조 및 판매 기업</t>
  </si>
  <si>
    <t>91437</t>
  </si>
  <si>
    <t>2026-04-10</t>
  </si>
  <si>
    <t>2026 CEO Investor Day Review</t>
  </si>
  <si>
    <t>91436</t>
  </si>
  <si>
    <t>053690</t>
  </si>
  <si>
    <t>한미글로벌</t>
  </si>
  <si>
    <t>신규원전 사업 첫 진입 성공</t>
  </si>
  <si>
    <t>91435</t>
  </si>
  <si>
    <t>1Q 기대감은 내려놓지만, 다시 사볼만한 구간</t>
  </si>
  <si>
    <t>91434</t>
  </si>
  <si>
    <t>484870</t>
  </si>
  <si>
    <t>엠앤씨솔루션</t>
  </si>
  <si>
    <t>매력적인 밸류에이션 구간 진입</t>
  </si>
  <si>
    <t>91433</t>
  </si>
  <si>
    <t>2026 CEO Investor Day: 신사업 가시화</t>
  </si>
  <si>
    <t>91432</t>
  </si>
  <si>
    <t>1Q26 Pre: 국내외로 성장하는 케이캡</t>
  </si>
  <si>
    <t>91431</t>
  </si>
  <si>
    <t>CEO Investor Day 주요 내용</t>
  </si>
  <si>
    <t>91430</t>
  </si>
  <si>
    <t>2026년 CEO Investor Day 핵심내용</t>
  </si>
  <si>
    <t>91429</t>
  </si>
  <si>
    <t>1Q 프리뷰 - 3사 중 유일하게 실적 우수할 전망</t>
  </si>
  <si>
    <t>91428</t>
  </si>
  <si>
    <t>2026년 가장 높은 자사주 매입 증가율 예상</t>
  </si>
  <si>
    <t>91427</t>
  </si>
  <si>
    <t>실적 기대감은 제한적이나, 다수의 모멘텀 보유</t>
  </si>
  <si>
    <t>91426</t>
  </si>
  <si>
    <t>탄탄한 본업과 신사업 모멘텀 기대</t>
  </si>
  <si>
    <t>91425</t>
  </si>
  <si>
    <t>실적보다 중요한 해외 원전 가시성</t>
  </si>
  <si>
    <t>91424</t>
  </si>
  <si>
    <t>2026년 CID 리뷰: 시간이 해결해 줄 것(+QnA 전체 요약)</t>
  </si>
  <si>
    <t>91423</t>
  </si>
  <si>
    <t>배당주에겐 무난 is Good</t>
  </si>
  <si>
    <t>91422</t>
  </si>
  <si>
    <t>765kV 모멘텀 본격화</t>
  </si>
  <si>
    <t>91421</t>
  </si>
  <si>
    <t>열린 마음으로 보자</t>
  </si>
  <si>
    <t>91420</t>
  </si>
  <si>
    <t>밸류에이션 프리미엄 정당화 국면</t>
  </si>
  <si>
    <t>91419</t>
  </si>
  <si>
    <t>실적은 탄탄, 모멘텀은 팡팡</t>
  </si>
  <si>
    <t>91418</t>
  </si>
  <si>
    <t>새로운 게 필요해</t>
  </si>
  <si>
    <t>91417</t>
  </si>
  <si>
    <t>리스크를 이기는 이익 체력</t>
  </si>
  <si>
    <t>91416</t>
  </si>
  <si>
    <t>역시 나 밖에 없지?</t>
  </si>
  <si>
    <t>91415</t>
  </si>
  <si>
    <t>2026 CID. 본업의 재발견, 멀티플 상향의 출발점</t>
  </si>
  <si>
    <t>91414</t>
  </si>
  <si>
    <t>견고한 A/S에 주목. 하반기는 제조의 역습 기대</t>
  </si>
  <si>
    <t>91413</t>
  </si>
  <si>
    <t>331740</t>
  </si>
  <si>
    <t>아우토크립트</t>
  </si>
  <si>
    <t>자율주행·로봇 시대의 핵심 보안 기업</t>
  </si>
  <si>
    <t>91412</t>
  </si>
  <si>
    <t>CID 2026 Review: 기다리면 복이 온다</t>
  </si>
  <si>
    <t>91411</t>
  </si>
  <si>
    <t>006110</t>
  </si>
  <si>
    <t>삼아알미늄</t>
  </si>
  <si>
    <t>하반기 풀캐파 가동이 예상되는 배터리 소재주</t>
  </si>
  <si>
    <t>91410</t>
  </si>
  <si>
    <t>매수 접근하기 좋은 가격대</t>
  </si>
  <si>
    <t>91409</t>
  </si>
  <si>
    <t>케이캡 해외 나간다, 질문?</t>
  </si>
  <si>
    <t>91408</t>
  </si>
  <si>
    <t>남다른 안정감</t>
  </si>
  <si>
    <t>91407</t>
  </si>
  <si>
    <t>스페이스X와 미국 SST</t>
  </si>
  <si>
    <t>91406</t>
  </si>
  <si>
    <t>성장의 증명, 이제는 수익성을 보여줄 차례</t>
  </si>
  <si>
    <t>91405</t>
  </si>
  <si>
    <t>#1. 자율주행 전략 (박민우 사장)</t>
  </si>
  <si>
    <t>91404</t>
  </si>
  <si>
    <t>기아 CEO Investor Day 주요 내용 1</t>
  </si>
  <si>
    <t>91403</t>
  </si>
  <si>
    <t>210120</t>
  </si>
  <si>
    <t>캔버스엔</t>
  </si>
  <si>
    <t>IP 기반 유통과 콘텐츠 확장을 중심으로 재편 중인 콘텐츠 기업</t>
  </si>
  <si>
    <t>91402</t>
  </si>
  <si>
    <t>290690</t>
  </si>
  <si>
    <t>소룩스</t>
  </si>
  <si>
    <t>광학설계 기반 조명 사업을 중심으로 시공·헬스케어 응용을 확대중인 기업</t>
  </si>
  <si>
    <t>91401</t>
  </si>
  <si>
    <t>377330</t>
  </si>
  <si>
    <t>이지트로닉스</t>
  </si>
  <si>
    <t>친환경 모빌리티 시대를 이끄는 전력변환 기술 기업</t>
  </si>
  <si>
    <t>91400</t>
  </si>
  <si>
    <t>312610</t>
  </si>
  <si>
    <t>에이에프더블류</t>
  </si>
  <si>
    <t>자동차 경량화 부품·전장부품으로 확장 중인 공정 통합형 제조기업</t>
  </si>
  <si>
    <t>91399</t>
  </si>
  <si>
    <t>099320</t>
  </si>
  <si>
    <t>쎄트렉아이</t>
  </si>
  <si>
    <t>[AI] 소형 지구관측 위성 시스템 개발 및 수출 전문기업</t>
  </si>
  <si>
    <t>91398</t>
  </si>
  <si>
    <t>066130</t>
  </si>
  <si>
    <t>하츠</t>
  </si>
  <si>
    <t>[AI] 주방 및 환기 가전 전문기업</t>
  </si>
  <si>
    <t>91397</t>
  </si>
  <si>
    <t>005670</t>
  </si>
  <si>
    <t>푸드웰</t>
  </si>
  <si>
    <t>[AI] 식품 제조 및 유통 기반의 사업 구조와 성장세</t>
  </si>
  <si>
    <t>91396</t>
  </si>
  <si>
    <t>[AI] 위성통신 안테나 시스템 전문기업</t>
  </si>
  <si>
    <t>91395</t>
  </si>
  <si>
    <t>[AI] 반도체 테스트 소켓 및 부품 전문기업</t>
  </si>
  <si>
    <t>91394</t>
  </si>
  <si>
    <t>2026-04-09</t>
  </si>
  <si>
    <t>004590</t>
  </si>
  <si>
    <t>한국가구</t>
  </si>
  <si>
    <t>[AI] 가구 제조 및 제과제빵원료 유통 사업 영위</t>
  </si>
  <si>
    <t>91393</t>
  </si>
  <si>
    <t>005860</t>
  </si>
  <si>
    <t>한일사료</t>
  </si>
  <si>
    <t>[AI] 배합사료 제조 및 축산물 유통 전문기업</t>
  </si>
  <si>
    <t>91392</t>
  </si>
  <si>
    <t>457600</t>
  </si>
  <si>
    <t>벡트</t>
  </si>
  <si>
    <t>[AI] 디지털 사이니지 토탈 솔루션 전문기업</t>
  </si>
  <si>
    <t>91391</t>
  </si>
  <si>
    <t>124500</t>
  </si>
  <si>
    <t>아이티센글로벌</t>
  </si>
  <si>
    <t>[AI] IT 서비스, 웹3, 투자 아우르는 복합 사업 그룹</t>
  </si>
  <si>
    <t>91390</t>
  </si>
  <si>
    <t>333620</t>
  </si>
  <si>
    <t>엔시스</t>
  </si>
  <si>
    <t>[AI] 이차전지 제조 공정 장비 전문기업</t>
  </si>
  <si>
    <t>91389</t>
  </si>
  <si>
    <t>067920</t>
  </si>
  <si>
    <t>이글루</t>
  </si>
  <si>
    <t>[AI] AI 기반 통합보안관리 및 서비스 전문기업</t>
  </si>
  <si>
    <t>91388</t>
  </si>
  <si>
    <t>236810</t>
  </si>
  <si>
    <t>엔비티</t>
  </si>
  <si>
    <t>[AI] 리워드 기반 모바일 광고 플랫폼 및 오퍼월 사업 전문기업</t>
  </si>
  <si>
    <t>91387</t>
  </si>
  <si>
    <t>[AI] PUF 기반 보안칩 및 양자내성암호 기술 전문기업</t>
  </si>
  <si>
    <t>91386</t>
  </si>
  <si>
    <t>[AI] 반도체 및 디스플레이 검사장비 전문기업</t>
  </si>
  <si>
    <t>91385</t>
  </si>
  <si>
    <t>009780</t>
  </si>
  <si>
    <t>엠에스씨</t>
  </si>
  <si>
    <t>[AI] 식품 신소재 전문기업의 유연생산시스템과 기술력</t>
  </si>
  <si>
    <t>91384</t>
  </si>
  <si>
    <t>올랐어도 또 오른다</t>
  </si>
  <si>
    <t>91383</t>
  </si>
  <si>
    <t>순항 중입니다</t>
  </si>
  <si>
    <t>91382</t>
  </si>
  <si>
    <t>1Q26 Pre: 또프라이즈</t>
  </si>
  <si>
    <t>91381</t>
  </si>
  <si>
    <t>1Q26 Preview; 체질 변화 중</t>
  </si>
  <si>
    <t>91380</t>
  </si>
  <si>
    <t>탄탄하다</t>
  </si>
  <si>
    <t>91379</t>
  </si>
  <si>
    <t>끝이 안보이는 성장</t>
  </si>
  <si>
    <t>91378</t>
  </si>
  <si>
    <t>예상대로 무난할 1분기, 개선되는 센티</t>
  </si>
  <si>
    <t>91377</t>
  </si>
  <si>
    <t>영업실적 개선 중</t>
  </si>
  <si>
    <t>91376</t>
  </si>
  <si>
    <t>1Q26은 다소 부진, 2Q26부터 영업실적 개선 전망</t>
  </si>
  <si>
    <t>91375</t>
  </si>
  <si>
    <t>빠르면 올해 미국에서 암호화폐 보안 매출이 기대됩니다</t>
  </si>
  <si>
    <t>91374</t>
  </si>
  <si>
    <t>1Q 프리뷰 - 올해 시작이 좋네요</t>
  </si>
  <si>
    <t>91373</t>
  </si>
  <si>
    <t>수익성 중심의 성과 지속</t>
  </si>
  <si>
    <t>91372</t>
  </si>
  <si>
    <t>서프라이즈 없는 기대 수준의 실적 전망</t>
  </si>
  <si>
    <t>91371</t>
  </si>
  <si>
    <t>시작은 낮게, 엔딩은 높게</t>
  </si>
  <si>
    <t>91370</t>
  </si>
  <si>
    <t>단기 실적 부진 불가피. 중기 모멘텀은 여전히 유효</t>
  </si>
  <si>
    <t>91369</t>
  </si>
  <si>
    <t>양적 성장의 시작</t>
  </si>
  <si>
    <t>91368</t>
  </si>
  <si>
    <t>1Q26 Preview: 일시적 부진, 방향성은 그대로</t>
  </si>
  <si>
    <t>91367</t>
  </si>
  <si>
    <t>488280</t>
  </si>
  <si>
    <t>에스투더블유</t>
  </si>
  <si>
    <t>바겐세일</t>
  </si>
  <si>
    <t>91366</t>
  </si>
  <si>
    <t>실적 안정성은 지속, 탱커 자산 확보 긍정적</t>
  </si>
  <si>
    <t>91365</t>
  </si>
  <si>
    <t>차원이 다른 도약</t>
  </si>
  <si>
    <t>91364</t>
  </si>
  <si>
    <t>실적 체력 확인 구간 진입</t>
  </si>
  <si>
    <t>91363</t>
  </si>
  <si>
    <t>커머스가 하드캐리</t>
  </si>
  <si>
    <t>91362</t>
  </si>
  <si>
    <t>모회사 기술력 기반 신사업 매출 본격화 원년 기대</t>
  </si>
  <si>
    <t>91361</t>
  </si>
  <si>
    <t>비츠로셀은 웃고 있다</t>
  </si>
  <si>
    <t>91360</t>
  </si>
  <si>
    <t>2분기부터 실적 회복 본격화</t>
  </si>
  <si>
    <t>91359</t>
  </si>
  <si>
    <t>핵심사업은 순항</t>
  </si>
  <si>
    <t>91358</t>
  </si>
  <si>
    <t>2분기 실적 모멘텀 Trailer</t>
  </si>
  <si>
    <t>91357</t>
  </si>
  <si>
    <t>한화솔루션 유상증자 참여 결정</t>
  </si>
  <si>
    <t>91356</t>
  </si>
  <si>
    <t>모듈 및 핵심부품과 A/S의 수익성 양극화 전망</t>
  </si>
  <si>
    <t>91355</t>
  </si>
  <si>
    <t>상한가에도 추가 상승이 가능한 이유 - 원전</t>
  </si>
  <si>
    <t>91354</t>
  </si>
  <si>
    <t>이보다 더 좋을 수 없다</t>
  </si>
  <si>
    <t>91353</t>
  </si>
  <si>
    <t>하이드로겔 마스크팩의 부활</t>
  </si>
  <si>
    <t>91352</t>
  </si>
  <si>
    <t>더 벌어지는 초격차. 한눈 팔지 말자</t>
  </si>
  <si>
    <t>91351</t>
  </si>
  <si>
    <t>2026-04-08</t>
  </si>
  <si>
    <t>전쟁도 막지 못한</t>
  </si>
  <si>
    <t>91350</t>
  </si>
  <si>
    <t>1Q26 잠정실적 코멘트 - EV 부진을 ESS로 빠르게 메우는 중</t>
  </si>
  <si>
    <t>91349</t>
  </si>
  <si>
    <t>심각한 숏티지, 더 강력해지는 이익 체력</t>
  </si>
  <si>
    <t>91348</t>
  </si>
  <si>
    <t>진짜 놀랐습니다..</t>
  </si>
  <si>
    <t>91347</t>
  </si>
  <si>
    <t>1Q26 Preview: 백화점 수익성 개선 많이 될거야</t>
  </si>
  <si>
    <t>91346</t>
  </si>
  <si>
    <t>1Q26 Preview: 백화점 너 정말 실적의 **핵심을 찔렀어**</t>
  </si>
  <si>
    <t>91345</t>
  </si>
  <si>
    <t>한 분기 만에 2025년 전체를 넘다</t>
  </si>
  <si>
    <t>91344</t>
  </si>
  <si>
    <t>실적 컨센서스 상회</t>
  </si>
  <si>
    <t>91343</t>
  </si>
  <si>
    <t>1Q26 Preview: 전쟁 속에서도 더 강해진 실적</t>
  </si>
  <si>
    <t>91342</t>
  </si>
  <si>
    <t>본업의 정상화에 로봇 모멘텀 추가</t>
  </si>
  <si>
    <t>91341</t>
  </si>
  <si>
    <t>EV 부진 지속</t>
  </si>
  <si>
    <t>91340</t>
  </si>
  <si>
    <t>2026년 영업이익 355조원으로 상향</t>
  </si>
  <si>
    <t>91339</t>
  </si>
  <si>
    <t>1Q26 Pre: 온라인 채널 확대 위한 마케팅비 지출</t>
  </si>
  <si>
    <t>91338</t>
  </si>
  <si>
    <t>상반기 1만세대 분양 페이스</t>
  </si>
  <si>
    <t>91337</t>
  </si>
  <si>
    <t>무난한 1분기</t>
  </si>
  <si>
    <t>91336</t>
  </si>
  <si>
    <t>NDR 후기: 성장 전망 이상 무</t>
  </si>
  <si>
    <t>91335</t>
  </si>
  <si>
    <t>1Q26 Pre - SpaceX 가 끝이 아님</t>
  </si>
  <si>
    <t>91334</t>
  </si>
  <si>
    <t>신작 공개까지 대기</t>
  </si>
  <si>
    <t>91333</t>
  </si>
  <si>
    <t>무소식이 희소식: 이상 無</t>
  </si>
  <si>
    <t>91332</t>
  </si>
  <si>
    <t>국내 견조, 해외 온도차</t>
  </si>
  <si>
    <t>91331</t>
  </si>
  <si>
    <t>KT - 주주환원은 흔들리지 않는다</t>
  </si>
  <si>
    <t>91330</t>
  </si>
  <si>
    <t>실적 정상화 구간 진입. SKB 이익 +21% YoY</t>
  </si>
  <si>
    <t>91329</t>
  </si>
  <si>
    <t>Memory Giant</t>
  </si>
  <si>
    <t>91328</t>
  </si>
  <si>
    <t>폴더블폰, 피지컬AI !</t>
  </si>
  <si>
    <t>91327</t>
  </si>
  <si>
    <t>2026년 FC BGA, MLCC 가격이 상승</t>
  </si>
  <si>
    <t>91326</t>
  </si>
  <si>
    <t>1Q 예상 상회! 달라진 체력을 확인!</t>
  </si>
  <si>
    <t>91325</t>
  </si>
  <si>
    <t>광고가 아쉽다</t>
  </si>
  <si>
    <t>91324</t>
  </si>
  <si>
    <t>2026년에도 수주 및 매출액 가이던스 상회 전망</t>
  </si>
  <si>
    <t>91323</t>
  </si>
  <si>
    <t>‘R’NA 플랫폼으로 ‘Z’속 성장</t>
  </si>
  <si>
    <t>91322</t>
  </si>
  <si>
    <t>1Q26P Review: 시작이 좋다</t>
  </si>
  <si>
    <t>91321</t>
  </si>
  <si>
    <t>2분기 실적이 본 게임</t>
  </si>
  <si>
    <t>91320</t>
  </si>
  <si>
    <t>1Q26 잠정 실적 코멘트</t>
  </si>
  <si>
    <t>91319</t>
  </si>
  <si>
    <t>1Q26 Preview: 안산의 삼성전자</t>
  </si>
  <si>
    <t>91318</t>
  </si>
  <si>
    <t>글로벌 진출 성공, 저평가된 방산 핵심부품 수혜주</t>
  </si>
  <si>
    <t>91317</t>
  </si>
  <si>
    <t>LG에너지솔루션 1Q26 잠정실적 발표</t>
  </si>
  <si>
    <t>91316</t>
  </si>
  <si>
    <t>1Q26 저점으로 ESS 중심 실적 회복세 전망</t>
  </si>
  <si>
    <t>91315</t>
  </si>
  <si>
    <t>1Q26 Preview: 걱정 없음</t>
  </si>
  <si>
    <t>91314</t>
  </si>
  <si>
    <t>악재만 반영한 주가</t>
  </si>
  <si>
    <t>91313</t>
  </si>
  <si>
    <t>주당가치 급증. 단 이란 전쟁은 여전히 중요</t>
  </si>
  <si>
    <t>91312</t>
  </si>
  <si>
    <t>1Q26 잠정 실적 리뷰: 컨센서스 대비 매출은 상회, 영업이익은 하회</t>
  </si>
  <si>
    <t>91311</t>
  </si>
  <si>
    <t>수주 우려를 덜어줄 SMR 모멘텀</t>
  </si>
  <si>
    <t>91310</t>
  </si>
  <si>
    <t>너무 좋아도 걱정</t>
  </si>
  <si>
    <t>91309</t>
  </si>
  <si>
    <t>판도가 바뀌었다!</t>
  </si>
  <si>
    <t>91308</t>
  </si>
  <si>
    <t>PCB 업계 내 숨어있는 강소기업</t>
  </si>
  <si>
    <t>91307</t>
  </si>
  <si>
    <t>2026-04-07</t>
  </si>
  <si>
    <t>신차 효과 확인, 증익 흐름으로 전환 시작</t>
  </si>
  <si>
    <t>91306</t>
  </si>
  <si>
    <t>수익성 기저 구간, 하반기 신차 출시와 로봇/SDV 대응 효과 기대</t>
  </si>
  <si>
    <t>91305</t>
  </si>
  <si>
    <t>기업의 구조적 성장에 주목</t>
  </si>
  <si>
    <t>91304</t>
  </si>
  <si>
    <t>1Q26 Pre: 신규품목 가속성장 지속 전망</t>
  </si>
  <si>
    <t>91303</t>
  </si>
  <si>
    <t>1Q26 Preview: 지금부터 기대되는 구간</t>
  </si>
  <si>
    <t>91302</t>
  </si>
  <si>
    <t>1Q26 Preview: 나아갈 길만 남았다</t>
  </si>
  <si>
    <t>91301</t>
  </si>
  <si>
    <t>1Q26 Preview: 국내 수익성과 COSRX 반등</t>
  </si>
  <si>
    <t>91300</t>
  </si>
  <si>
    <t>1Q26 Preview: 터널의 끝, 빛이 보인다</t>
  </si>
  <si>
    <t>91299</t>
  </si>
  <si>
    <t>1Q26 Pre - 리테일 경쟁력 부각될 것</t>
  </si>
  <si>
    <t>91298</t>
  </si>
  <si>
    <t>1Q26 프리뷰: 기대치 부합. 중요한 것은 신규수주 성과</t>
  </si>
  <si>
    <t>91297</t>
  </si>
  <si>
    <t>지금은 사야 할 때</t>
  </si>
  <si>
    <t>91296</t>
  </si>
  <si>
    <t>아쉬운 1분기, 기대되는 26년</t>
  </si>
  <si>
    <t>91295</t>
  </si>
  <si>
    <t>065450</t>
  </si>
  <si>
    <t>빅텍</t>
  </si>
  <si>
    <t>[다시봐] 전자전 &amp; 신규 성장동력</t>
  </si>
  <si>
    <t>91294</t>
  </si>
  <si>
    <t>놀라운 실적의 시작</t>
  </si>
  <si>
    <t>91293</t>
  </si>
  <si>
    <t>0120G0</t>
  </si>
  <si>
    <t>삼양바이오팜</t>
  </si>
  <si>
    <t>콥데이 후기: 차세대 딜리버리 플랫폼에 주목</t>
  </si>
  <si>
    <t>91292</t>
  </si>
  <si>
    <t>1Q26 실적 회복 + 해외 원전 정비사업 재평가</t>
  </si>
  <si>
    <t>91291</t>
  </si>
  <si>
    <t>구조적 성장 유효</t>
  </si>
  <si>
    <t>91290</t>
  </si>
  <si>
    <t>1Q는 숨고르기. Physical AI로 달릴 하반기 기대</t>
  </si>
  <si>
    <t>91289</t>
  </si>
  <si>
    <t>가까워지고 있는 ‘가시적 성과의 변곡점’</t>
  </si>
  <si>
    <t>91288</t>
  </si>
  <si>
    <t>이번에는 진짜 다르다(feat. 바이오)</t>
  </si>
  <si>
    <t>91287</t>
  </si>
  <si>
    <t>멀리 멀리 날아라, KF-21</t>
  </si>
  <si>
    <t>91286</t>
  </si>
  <si>
    <t>1Q26 Pre: 매출액 대폭 상회, 손익 부합</t>
  </si>
  <si>
    <t>91285</t>
  </si>
  <si>
    <t>고성장 매력을 깎는 상반기 이익률</t>
  </si>
  <si>
    <t>91284</t>
  </si>
  <si>
    <t>필리 적자 폭 축소 및 방산 수출 확대</t>
  </si>
  <si>
    <t>91283</t>
  </si>
  <si>
    <t>유럽 및 중동 지역 분쟁 이후 인프라 복구 수요 기대</t>
  </si>
  <si>
    <t>91282</t>
  </si>
  <si>
    <t>K-록히드마틴</t>
  </si>
  <si>
    <t>91281</t>
  </si>
  <si>
    <t>밸류에이션 매력도 충분, 저점 매수 기회</t>
  </si>
  <si>
    <t>91280</t>
  </si>
  <si>
    <t>시작이 좋다.</t>
  </si>
  <si>
    <t>91279</t>
  </si>
  <si>
    <t>LIG넥스원</t>
  </si>
  <si>
    <t>현대전의 최강자</t>
  </si>
  <si>
    <t>91278</t>
  </si>
  <si>
    <t>확산되는 부품 Shortage</t>
  </si>
  <si>
    <t>91277</t>
  </si>
  <si>
    <t>숨 고르기 1분기</t>
  </si>
  <si>
    <t>91276</t>
  </si>
  <si>
    <t>다시 돌아온 반도체 투자 사이클 수혜</t>
  </si>
  <si>
    <t>91275</t>
  </si>
  <si>
    <t>신사업을 통한 외형 성장 기대</t>
  </si>
  <si>
    <t>91274</t>
  </si>
  <si>
    <t>2026-04-06</t>
  </si>
  <si>
    <t>반등의 시작</t>
  </si>
  <si>
    <t>91273</t>
  </si>
  <si>
    <t>1Q26 Preview : 홈플러스 구조조정 &gt; 전쟁 추경</t>
  </si>
  <si>
    <t>91272</t>
  </si>
  <si>
    <t>1Q26 Preview : 소외된 인바운드 관련주의 반격의 시간</t>
  </si>
  <si>
    <t>91271</t>
  </si>
  <si>
    <t>1Q26 Preview : 10년 전 일본 편의점이 걸었던 길</t>
  </si>
  <si>
    <t>91270</t>
  </si>
  <si>
    <t>91269</t>
  </si>
  <si>
    <t>그럼에도 불구하고 견조한 음극재 수주</t>
  </si>
  <si>
    <t>91268</t>
  </si>
  <si>
    <t>헝가리 현지화 수혜</t>
  </si>
  <si>
    <t>91267</t>
  </si>
  <si>
    <t>견조한 업황 유지</t>
  </si>
  <si>
    <t>91266</t>
  </si>
  <si>
    <t>K-LFP? 나만이 유일한 대안!</t>
  </si>
  <si>
    <t>91265</t>
  </si>
  <si>
    <t>한국 법인 성장에 주목</t>
  </si>
  <si>
    <t>91264</t>
  </si>
  <si>
    <t>실적은 하반기가 중요</t>
  </si>
  <si>
    <t>91263</t>
  </si>
  <si>
    <t>넘쳐나는 개발 수요</t>
  </si>
  <si>
    <t>91262</t>
  </si>
  <si>
    <t>바닥은 다졌고 위를 바라볼 때</t>
  </si>
  <si>
    <t>91261</t>
  </si>
  <si>
    <t>부진한 자회사 실적 주가에 기반영 상태</t>
  </si>
  <si>
    <t>91260</t>
  </si>
  <si>
    <t>자산 효과와 인바운드 소비가 성장의 축</t>
  </si>
  <si>
    <t>91259</t>
  </si>
  <si>
    <t>핵심 지역에 핵심 랜드마크 점포</t>
  </si>
  <si>
    <t>91258</t>
  </si>
  <si>
    <t>거래대금 M/S 상승 중</t>
  </si>
  <si>
    <t>91257</t>
  </si>
  <si>
    <t>증시 반등 시 가장 큰 수혜</t>
  </si>
  <si>
    <t>91256</t>
  </si>
  <si>
    <t>실적을 기대하게 만드는 기업</t>
  </si>
  <si>
    <t>91255</t>
  </si>
  <si>
    <t>안정적인 이익 및 높은 주주환원이 강점</t>
  </si>
  <si>
    <t>91254</t>
  </si>
  <si>
    <t>스페이스x 상장까지 걱정 없음</t>
  </si>
  <si>
    <t>91253</t>
  </si>
  <si>
    <t>036810</t>
  </si>
  <si>
    <t>에프에스티</t>
  </si>
  <si>
    <t>ArF 펠리클 시장 내 독보적 지배력, EUV로 증명할 시간</t>
  </si>
  <si>
    <t>91252</t>
  </si>
  <si>
    <t>중동 사태 여파 제한적, 에너지 분야 진출 확대는 긍정적</t>
  </si>
  <si>
    <t>91251</t>
  </si>
  <si>
    <t>고성장에서 안정적 고수익으로</t>
  </si>
  <si>
    <t>91250</t>
  </si>
  <si>
    <t>역대급 1분기 실적 기대</t>
  </si>
  <si>
    <t>91249</t>
  </si>
  <si>
    <t>뉴 노멀 증명 구간</t>
  </si>
  <si>
    <t>91248</t>
  </si>
  <si>
    <t>이노텍, 만개(滿開)</t>
  </si>
  <si>
    <t>91247</t>
  </si>
  <si>
    <t>에너지 안보 부각으로 석탄 부활 ⇒ 최대 수혜</t>
  </si>
  <si>
    <t>91246</t>
  </si>
  <si>
    <t>스판덱스 서프라이즈, 끝이 아닌 시작</t>
  </si>
  <si>
    <t>91245</t>
  </si>
  <si>
    <t>미국에서 수주가 몰려오고 있다</t>
  </si>
  <si>
    <t>91244</t>
  </si>
  <si>
    <t>100840</t>
  </si>
  <si>
    <t>SNT에너지</t>
  </si>
  <si>
    <t>미국 수주 확대로 밸류에이션 리레이팅 될 듯</t>
  </si>
  <si>
    <t>91243</t>
  </si>
  <si>
    <t>358570</t>
  </si>
  <si>
    <t>지아이이노베이션</t>
  </si>
  <si>
    <t>J&amp;J 협력, ASCO 구두발표로 변화 시작</t>
  </si>
  <si>
    <t>91242</t>
  </si>
  <si>
    <t>연간 영업이익 200조원 초과 전망</t>
  </si>
  <si>
    <t>91241</t>
  </si>
  <si>
    <t>AI Cycle 대표 리드오프</t>
  </si>
  <si>
    <t>91240</t>
  </si>
  <si>
    <t>현 시점은 Peak 구간의 초입</t>
  </si>
  <si>
    <t>91239</t>
  </si>
  <si>
    <t>돈 되는 수주만 골라 받을 수 있는 업황</t>
  </si>
  <si>
    <t>91238</t>
  </si>
  <si>
    <t>판가, 재료비 방향이 바뀌었고, SOCAMM은 더 커진다</t>
  </si>
  <si>
    <t>91237</t>
  </si>
  <si>
    <t>080160</t>
  </si>
  <si>
    <t>모두투어</t>
  </si>
  <si>
    <t>본격적인 수익성 개선세 돌입</t>
  </si>
  <si>
    <t>91236</t>
  </si>
  <si>
    <t>1분기 실적 개선은 추정이 아닌 확정</t>
  </si>
  <si>
    <t>91235</t>
  </si>
  <si>
    <t>2026-04-03</t>
  </si>
  <si>
    <t>대형 파트너십을 통한 서비스 확장 기회 클 것</t>
  </si>
  <si>
    <t>91234</t>
  </si>
  <si>
    <t>한차례 낮아진 박스권 흐름 전망</t>
  </si>
  <si>
    <t>91233</t>
  </si>
  <si>
    <t>씨앗을 많이 뿌려야 수확도 많이 합니다</t>
  </si>
  <si>
    <t>91232</t>
  </si>
  <si>
    <t>매도</t>
  </si>
  <si>
    <t>TED 임상 3상 실패의 의미</t>
  </si>
  <si>
    <t>91231</t>
  </si>
  <si>
    <t>국내외 실적 성장과 주주환원으로 밸류업</t>
  </si>
  <si>
    <t>91230</t>
  </si>
  <si>
    <t>효율화와 AI 투자로 실적 성장 준비</t>
  </si>
  <si>
    <t>91229</t>
  </si>
  <si>
    <t>광에 이어 RF 호재가 기대됩니다</t>
  </si>
  <si>
    <t>91228</t>
  </si>
  <si>
    <t>006040</t>
  </si>
  <si>
    <t>동원산업</t>
  </si>
  <si>
    <t>1Q26 Pre: 식품 호조 VS. 비식품 부진</t>
  </si>
  <si>
    <t>91227</t>
  </si>
  <si>
    <t>1분기부터 영업실적 개선 전망</t>
  </si>
  <si>
    <t>91226</t>
  </si>
  <si>
    <t>1Q26 Pre - 생각보다 더 좋다</t>
  </si>
  <si>
    <t>91225</t>
  </si>
  <si>
    <t>1Q26 프리뷰: 견조한 YoY 실적 성장 전망</t>
  </si>
  <si>
    <t>91224</t>
  </si>
  <si>
    <t>다변화가 시작될 한 해</t>
  </si>
  <si>
    <t>91223</t>
  </si>
  <si>
    <t>'MLCC 임베디드 PCB'의 미래</t>
  </si>
  <si>
    <t>91222</t>
  </si>
  <si>
    <t>실적은 양호, 성장 모멘텀은 점증 구간 진입</t>
  </si>
  <si>
    <t>91221</t>
  </si>
  <si>
    <t>탄탄한 이익 체력</t>
  </si>
  <si>
    <t>91220</t>
  </si>
  <si>
    <t>실적은 안정적, 성장 모멘텀은 CID부터 시작</t>
  </si>
  <si>
    <t>91219</t>
  </si>
  <si>
    <t>흐린 뒤 맑음</t>
  </si>
  <si>
    <t>91218</t>
  </si>
  <si>
    <t>바토클리맙 임상 3상에서 확인한 시그널</t>
  </si>
  <si>
    <t>91217</t>
  </si>
  <si>
    <t>1Q26 Preview: 우리도 아직 2회말이에요</t>
  </si>
  <si>
    <t>91216</t>
  </si>
  <si>
    <t>AX=아이티센엔텍, 주가 상승 잠재력 가장 크다</t>
  </si>
  <si>
    <t>91215</t>
  </si>
  <si>
    <t>미국 재고 변수, 성장은 유효</t>
  </si>
  <si>
    <t>91214</t>
  </si>
  <si>
    <t>감다살 MONEY MOVE, 재무상태표에서 손익계산서로</t>
  </si>
  <si>
    <t>91213</t>
  </si>
  <si>
    <t>038680</t>
  </si>
  <si>
    <t>에스넷</t>
  </si>
  <si>
    <t>자체 솔루션을 보유한 네트워크 통합 기업</t>
  </si>
  <si>
    <t>91212</t>
  </si>
  <si>
    <t>수출 확장 원년, 밸류업은 진행형</t>
  </si>
  <si>
    <t>91211</t>
  </si>
  <si>
    <t>036630</t>
  </si>
  <si>
    <t>세종텔레콤</t>
  </si>
  <si>
    <t>기술집약적 인프라혁신과 디지털전환 주도 기업</t>
  </si>
  <si>
    <t>91210</t>
  </si>
  <si>
    <t>2026-04-02</t>
  </si>
  <si>
    <t>적자 클라우드 법인, 전사 실적에 로 기여될 시기</t>
  </si>
  <si>
    <t>91209</t>
  </si>
  <si>
    <t>바닥 잡은 상황, 넥스트 IP가 그 이상을 올려 줄 것</t>
  </si>
  <si>
    <t>91208</t>
  </si>
  <si>
    <t>오랜 인내의 결실</t>
  </si>
  <si>
    <t>91207</t>
  </si>
  <si>
    <t>우려를 왜 하죠? 로봇도 있는데</t>
  </si>
  <si>
    <t>91206</t>
  </si>
  <si>
    <t>1Q26 Pre: 록빌 공장 인수 완료, 가이던스 상향 전망</t>
  </si>
  <si>
    <t>91205</t>
  </si>
  <si>
    <t>여전히 예상치를 상회하는 메모리 가격</t>
  </si>
  <si>
    <t>91204</t>
  </si>
  <si>
    <t>호르무즈 봉쇄는 에너지 기업가치를 높인다!</t>
  </si>
  <si>
    <t>91203</t>
  </si>
  <si>
    <t>1Q26Pre: 안정적인 성장</t>
  </si>
  <si>
    <t>91202</t>
  </si>
  <si>
    <t>'물 만난 고기'</t>
  </si>
  <si>
    <t>91201</t>
  </si>
  <si>
    <t>자회사 비상과 주주환원의 궤도 진입</t>
  </si>
  <si>
    <t>91200</t>
  </si>
  <si>
    <t>낮은 PBR이 만드는 역설적 기회</t>
  </si>
  <si>
    <t>91199</t>
  </si>
  <si>
    <t>자회사 상장 규제, 열리는 가치</t>
  </si>
  <si>
    <t>91198</t>
  </si>
  <si>
    <t>성장도, 환원도, ‘정석’으로 간다</t>
  </si>
  <si>
    <t>91197</t>
  </si>
  <si>
    <t>올리브영 지배력 확대, 그리고 밸류업 카드</t>
  </si>
  <si>
    <t>91196</t>
  </si>
  <si>
    <t>극심한 저평가</t>
  </si>
  <si>
    <t>91195</t>
  </si>
  <si>
    <t>636조 그늘 아래 23조, 빛을 발할 주주환원</t>
  </si>
  <si>
    <t>91194</t>
  </si>
  <si>
    <t>조용한 강자</t>
  </si>
  <si>
    <t>91193</t>
  </si>
  <si>
    <t>많이 만들고, 잘 만들고</t>
  </si>
  <si>
    <t>91192</t>
  </si>
  <si>
    <t>구조적 변화의 서막</t>
  </si>
  <si>
    <t>91191</t>
  </si>
  <si>
    <t>신세계 사기 딱 좋은 시점</t>
  </si>
  <si>
    <t>91190</t>
  </si>
  <si>
    <t>91189</t>
  </si>
  <si>
    <t>168360</t>
  </si>
  <si>
    <t>펨트론</t>
  </si>
  <si>
    <t>SMT에서 반도체로, 체질 개선 본격화</t>
  </si>
  <si>
    <t>91188</t>
  </si>
  <si>
    <t>벨류에이션 매력에 강력한 내러티브까지</t>
  </si>
  <si>
    <t>91187</t>
  </si>
  <si>
    <t>낸드는 테스죠</t>
  </si>
  <si>
    <t>91186</t>
  </si>
  <si>
    <t>통상적으로 1분기는 아쉬웠다</t>
  </si>
  <si>
    <t>91185</t>
  </si>
  <si>
    <t>060280</t>
  </si>
  <si>
    <t>큐렉소</t>
  </si>
  <si>
    <t>실적으로 입증된 대한민국 의료로봇 진짜 대장</t>
  </si>
  <si>
    <t>91184</t>
  </si>
  <si>
    <t>기대 이상의 출하량과 재평가 근거 확보</t>
  </si>
  <si>
    <t>91183</t>
  </si>
  <si>
    <t>033530</t>
  </si>
  <si>
    <t>SJG세종</t>
  </si>
  <si>
    <t>수익성 개선 속에 신사업 진행 가속화 긍정적</t>
  </si>
  <si>
    <t>91182</t>
  </si>
  <si>
    <t>6년간 두 자리 수 매출 증가, 최대 실적 갱신 지속</t>
  </si>
  <si>
    <t>91181</t>
  </si>
  <si>
    <t>일회성을 감안해도 좋은 출발</t>
  </si>
  <si>
    <t>91180</t>
  </si>
  <si>
    <t>353810</t>
  </si>
  <si>
    <t>이지바이오</t>
  </si>
  <si>
    <t>이 회사는 그냥 경영을 잘함</t>
  </si>
  <si>
    <t>91179</t>
  </si>
  <si>
    <t>160980</t>
  </si>
  <si>
    <t>싸이맥스</t>
  </si>
  <si>
    <t>실적·멀티플 동반 개선 구간 진입</t>
  </si>
  <si>
    <t>91178</t>
  </si>
  <si>
    <t>실적은 안정, 성장 스토리는 확장</t>
  </si>
  <si>
    <t>91177</t>
  </si>
  <si>
    <t>이제 호재가 터질 시기</t>
  </si>
  <si>
    <t>91176</t>
  </si>
  <si>
    <t>기대치 부합 전망. 불확실성 해소 기대</t>
  </si>
  <si>
    <t>91175</t>
  </si>
  <si>
    <t>365270</t>
  </si>
  <si>
    <t>큐라클</t>
  </si>
  <si>
    <t>꺼진 파이프라인도 다시 보자</t>
  </si>
  <si>
    <t>91174</t>
  </si>
  <si>
    <t>실적 개선과 주주환원 확대로 주가 밸류업 기대</t>
  </si>
  <si>
    <t>91173</t>
  </si>
  <si>
    <t>2026-04-01</t>
  </si>
  <si>
    <t>펀더멘탈 이상 무</t>
  </si>
  <si>
    <t>91172</t>
  </si>
  <si>
    <t>리레이팅 받지 않을 이유가 없다</t>
  </si>
  <si>
    <t>91171</t>
  </si>
  <si>
    <t>ADC는 여전히 뜨겁다</t>
  </si>
  <si>
    <t>91170</t>
  </si>
  <si>
    <t>석탄 가격 강세와 물류 운임 상승 수혜</t>
  </si>
  <si>
    <t>91169</t>
  </si>
  <si>
    <t>배당락 이후 주가 하락은 기회</t>
  </si>
  <si>
    <t>91168</t>
  </si>
  <si>
    <t>1Q26 Pre: 단기 실적 모멘텀 부재</t>
  </si>
  <si>
    <t>91167</t>
  </si>
  <si>
    <t>1분기는 양호</t>
  </si>
  <si>
    <t>91166</t>
  </si>
  <si>
    <t>유럽 질주 속 중동 변수</t>
  </si>
  <si>
    <t>91165</t>
  </si>
  <si>
    <t>한국법인은 선전, 변수는 주가</t>
  </si>
  <si>
    <t>91164</t>
  </si>
  <si>
    <t>외형 성장 재확인, 믹스 영향으로 수익성 둔화</t>
  </si>
  <si>
    <t>91163</t>
  </si>
  <si>
    <t>올리브영의 가치가 곧 CJ의 가치</t>
  </si>
  <si>
    <t>91162</t>
  </si>
  <si>
    <t>팔 건 팔고, 돌려줄 건 돌려준다</t>
  </si>
  <si>
    <t>91161</t>
  </si>
  <si>
    <t>근데 이제 현금배당을 곁들인</t>
  </si>
  <si>
    <t>91160</t>
  </si>
  <si>
    <t>자사주 소각의 모범</t>
  </si>
  <si>
    <t>91159</t>
  </si>
  <si>
    <t>눌려 있는 용수철(龍鬚鐵)</t>
  </si>
  <si>
    <t>91158</t>
  </si>
  <si>
    <t>로봇 기대는 유효. 당장의 승부처는 멕시코</t>
  </si>
  <si>
    <t>91157</t>
  </si>
  <si>
    <t>포화가 두렵지만 포기는 이르다</t>
  </si>
  <si>
    <t>91156</t>
  </si>
  <si>
    <t>376270</t>
  </si>
  <si>
    <t>HEM파마</t>
  </si>
  <si>
    <t>NDR후기: 높은 관심 확인, 주가의 핵심 변수는 수익화 시점</t>
  </si>
  <si>
    <t>91155</t>
  </si>
  <si>
    <t>현물가격과 빅테크 Capex 증가율에 주목</t>
  </si>
  <si>
    <t>91154</t>
  </si>
  <si>
    <t>스태그플레이션 우려 Vs 살아있는 업황</t>
  </si>
  <si>
    <t>91153</t>
  </si>
  <si>
    <t>3 조원 교환사채 발행 코멘트</t>
  </si>
  <si>
    <t>91152</t>
  </si>
  <si>
    <t>최근 높아진 기대치마저 상회할 전망</t>
  </si>
  <si>
    <t>91151</t>
  </si>
  <si>
    <t>1Q26Preiview: 비수기를 압도하는 실적</t>
  </si>
  <si>
    <t>91150</t>
  </si>
  <si>
    <t>1Q26 Preview: 우리 패키지가 달라졌어요</t>
  </si>
  <si>
    <t>91149</t>
  </si>
  <si>
    <t>메티오닌 생산 방식 차이로 수익성 반등 전망</t>
  </si>
  <si>
    <t>91148</t>
  </si>
  <si>
    <t>성장의 정석</t>
  </si>
  <si>
    <t>91147</t>
  </si>
  <si>
    <t>다시 찾아온 실적 모멘텀</t>
  </si>
  <si>
    <t>91146</t>
  </si>
  <si>
    <t>2026-03-31</t>
  </si>
  <si>
    <t>분기마다 확인될 자회사 손익 개선세</t>
  </si>
  <si>
    <t>91145</t>
  </si>
  <si>
    <t>AGAIN 2024, 지금이 매수 적기</t>
  </si>
  <si>
    <t>91144</t>
  </si>
  <si>
    <t>LNG-LPG 옵셔널리티 수익 당분간 제한적일 전망</t>
  </si>
  <si>
    <t>91143</t>
  </si>
  <si>
    <t>내년엔 쇼티지 가능성이 높습니다</t>
  </si>
  <si>
    <t>91142</t>
  </si>
  <si>
    <t>4월 전략 - DPS 정상화 기대감으로 탄력적 반등 예상</t>
  </si>
  <si>
    <t>91141</t>
  </si>
  <si>
    <t>4월 전략 - 자사주를 배당처럼 인식하진 않을 것</t>
  </si>
  <si>
    <t>91140</t>
  </si>
  <si>
    <t>4월 전략 - 1분기 실적 호전으로 주가 반등 예상</t>
  </si>
  <si>
    <t>91139</t>
  </si>
  <si>
    <t>CKD-510, 심방세동 가치 반영</t>
  </si>
  <si>
    <t>91138</t>
  </si>
  <si>
    <t>439260</t>
  </si>
  <si>
    <t>대한조선</t>
  </si>
  <si>
    <t>시간차 공격: 2Q26F 신조선가 기록 경신 예상</t>
  </si>
  <si>
    <t>91137</t>
  </si>
  <si>
    <t>241840</t>
  </si>
  <si>
    <t>에이스토리</t>
  </si>
  <si>
    <t>편성이 돌아왔다, 이제는 IP가 증명할 차례</t>
  </si>
  <si>
    <t>91136</t>
  </si>
  <si>
    <t>046390</t>
  </si>
  <si>
    <t>삼화네트웍스</t>
  </si>
  <si>
    <t>실적 공백기, 현금이 버티고 편성이 기다린다</t>
  </si>
  <si>
    <t>91135</t>
  </si>
  <si>
    <t>기판 완판 다음은 판가 점프</t>
  </si>
  <si>
    <t>91134</t>
  </si>
  <si>
    <t>LNG 밸류체인, 일시적 저평가 구간</t>
  </si>
  <si>
    <t>91133</t>
  </si>
  <si>
    <t>본업 부진에도 지속되는 최대 이익</t>
  </si>
  <si>
    <t>91132</t>
  </si>
  <si>
    <t>업황 혼조에도 구조적 성장</t>
  </si>
  <si>
    <t>91131</t>
  </si>
  <si>
    <t>나에겐 삼성전자가 있다</t>
  </si>
  <si>
    <t>91130</t>
  </si>
  <si>
    <t>에이전틱 AI 보안 자동화 플랫폼 성장 전략 추진</t>
  </si>
  <si>
    <t>91129</t>
  </si>
  <si>
    <t>가격 전가력을 겸비한 성장주</t>
  </si>
  <si>
    <t>91128</t>
  </si>
  <si>
    <t>017370</t>
  </si>
  <si>
    <t>우신시스템</t>
  </si>
  <si>
    <t>안전벨트의 성장은 예정, 자동화 반등 필요</t>
  </si>
  <si>
    <t>91127</t>
  </si>
  <si>
    <t>원전 발주처는 PM이 필요하다</t>
  </si>
  <si>
    <t>91126</t>
  </si>
  <si>
    <t>기술적 해자가 만드는 수익성</t>
  </si>
  <si>
    <t>91125</t>
  </si>
  <si>
    <t>2026-03-30</t>
  </si>
  <si>
    <t>분기 이익 변동성은 아쉽지만 플랫폼 시너지 확대 중</t>
  </si>
  <si>
    <t>91124</t>
  </si>
  <si>
    <t>놓쳐선 안 될 격변의 시기</t>
  </si>
  <si>
    <t>91123</t>
  </si>
  <si>
    <t>세 가지 길 - 알츠하이머, in vivo CAR-T, 간암</t>
  </si>
  <si>
    <t>91122</t>
  </si>
  <si>
    <t>조롱을 환호로 바꿨다+ 붉은사막 플레이 후기</t>
  </si>
  <si>
    <t>91121</t>
  </si>
  <si>
    <t>선단공정 수율 개선을 지원하는 핵심 파트너</t>
  </si>
  <si>
    <t>91120</t>
  </si>
  <si>
    <t>1Q26 Preview: 컨센서스 소폭 하회</t>
  </si>
  <si>
    <t>91119</t>
  </si>
  <si>
    <t>1Q26 Preview 컨센서스 소폭 상회</t>
  </si>
  <si>
    <t>91118</t>
  </si>
  <si>
    <t>2026년 나는 다시 태어난다</t>
  </si>
  <si>
    <t>91117</t>
  </si>
  <si>
    <t>Memory Super-Cycle 내 숨은 주인공(SOCAMM, LPDDR)</t>
  </si>
  <si>
    <t>91116</t>
  </si>
  <si>
    <t>영업파트너 발표로 부각될 넥스피어F 가치</t>
  </si>
  <si>
    <t>91115</t>
  </si>
  <si>
    <t>파운드리 모멘텀</t>
  </si>
  <si>
    <t>91114</t>
  </si>
  <si>
    <t>075580</t>
  </si>
  <si>
    <t>세진중공업</t>
  </si>
  <si>
    <t>선박 화물탱크, 편안한 2026년의 선택지</t>
  </si>
  <si>
    <t>91113</t>
  </si>
  <si>
    <t>012630</t>
  </si>
  <si>
    <t>HDC</t>
  </si>
  <si>
    <t>자사주 소각 기대 및 통영에코파워 실적 개선 가속화</t>
  </si>
  <si>
    <t>91112</t>
  </si>
  <si>
    <t>AI 반도체 수혜 지속과 매출 안정성 강화</t>
  </si>
  <si>
    <t>91111</t>
  </si>
  <si>
    <t>흑자전환 가능성이 보인다</t>
  </si>
  <si>
    <t>91110</t>
  </si>
  <si>
    <t>4Q25 Review: 글로벌 레저 사업 확대 가속화</t>
  </si>
  <si>
    <t>91109</t>
  </si>
  <si>
    <t>신규 바이오시밀러 확장과 증설에 집중</t>
  </si>
  <si>
    <t>91108</t>
  </si>
  <si>
    <t>1Q26 영업이익 43조원, 서프라이즈 예상</t>
  </si>
  <si>
    <t>91107</t>
  </si>
  <si>
    <t>214390</t>
  </si>
  <si>
    <t>경보제약</t>
  </si>
  <si>
    <t>ADC CDMO를 통한 미래성장동력 장착</t>
  </si>
  <si>
    <t>91106</t>
  </si>
  <si>
    <t>임상 데이터로 입증하는 파이프라인 경쟁력</t>
  </si>
  <si>
    <t>91105</t>
  </si>
  <si>
    <t>자회사의 성장 기대</t>
  </si>
  <si>
    <t>91104</t>
  </si>
  <si>
    <t>2026-03-27</t>
  </si>
  <si>
    <t>LNGC 호황에 먼저 웃을 보냉재</t>
  </si>
  <si>
    <t>91103</t>
  </si>
  <si>
    <t>유상증자 Comment: 필요했던 자금조달, 업황 회복 및 기술 확보가 관건</t>
  </si>
  <si>
    <t>91102</t>
  </si>
  <si>
    <t>1Q26 Preview: 국제선 여객 호조</t>
  </si>
  <si>
    <t>91101</t>
  </si>
  <si>
    <t>기대효과 없는 유상증자</t>
  </si>
  <si>
    <t>91100</t>
  </si>
  <si>
    <t>저도 기판 멀티플 주세요</t>
  </si>
  <si>
    <t>91099</t>
  </si>
  <si>
    <t>양호한 실적 전망과 경계심의 공존</t>
  </si>
  <si>
    <t>91098</t>
  </si>
  <si>
    <t>단기 수익화 가시성이 제한적인 탠덤셀</t>
  </si>
  <si>
    <t>91097</t>
  </si>
  <si>
    <t>NDR후기: 이기는 편 우리 편</t>
  </si>
  <si>
    <t>91096</t>
  </si>
  <si>
    <t>한 분기에 2건 L/O 체결, 간담회 내용 정리</t>
  </si>
  <si>
    <t>91095</t>
  </si>
  <si>
    <t>0008Z0</t>
  </si>
  <si>
    <t>에스엔시스</t>
  </si>
  <si>
    <t>NDR 후기: 사이클 걱정 없이 쭉 성장한다</t>
  </si>
  <si>
    <t>91094</t>
  </si>
  <si>
    <t>전방산업이 바뀐다</t>
  </si>
  <si>
    <t>91093</t>
  </si>
  <si>
    <t>005180</t>
  </si>
  <si>
    <t>빙그레</t>
  </si>
  <si>
    <t>단기 실적 기대감은 제한적이지만</t>
  </si>
  <si>
    <t>91092</t>
  </si>
  <si>
    <t>재무구조 개선 및 미래성장투자를 위한 유상증자 발표</t>
  </si>
  <si>
    <t>91091</t>
  </si>
  <si>
    <t>382480</t>
  </si>
  <si>
    <t>지아이텍</t>
  </si>
  <si>
    <t>2차전지 코팅 공정 부품 슬롯다이 제조업체</t>
  </si>
  <si>
    <t>91090</t>
  </si>
  <si>
    <t>220180</t>
  </si>
  <si>
    <t>핸디소프트</t>
  </si>
  <si>
    <t>폴라리스그룹 시너지 효과 기대</t>
  </si>
  <si>
    <t>91089</t>
  </si>
  <si>
    <t>BBB 셔틀 상업화와 4월 담도암 2차 주목</t>
  </si>
  <si>
    <t>91088</t>
  </si>
  <si>
    <t>2026년, 미국 원전 진출과 가시적 성과 기대</t>
  </si>
  <si>
    <t>91087</t>
  </si>
  <si>
    <t>원전 밸류체인의 성과와 기대감</t>
  </si>
  <si>
    <t>91086</t>
  </si>
  <si>
    <t>148930</t>
  </si>
  <si>
    <t>에이치와이티씨</t>
  </si>
  <si>
    <t>2차전지 공정의 수율과 품질을 좌우하는 초정밀 주요 부품 기술 기업</t>
  </si>
  <si>
    <t>91085</t>
  </si>
  <si>
    <t>330350</t>
  </si>
  <si>
    <t>위더스제약</t>
  </si>
  <si>
    <t>제네릭 기반 안정성과 성장 전략을 갖춘 전문의약품 기업</t>
  </si>
  <si>
    <t>91084</t>
  </si>
  <si>
    <t>457370</t>
  </si>
  <si>
    <t>한켐</t>
  </si>
  <si>
    <t>유기화합물 합성·정제 기술 기반의 첨단 기능성 화학소재 플랫폼 기업</t>
  </si>
  <si>
    <t>91083</t>
  </si>
  <si>
    <t>2026-03-26</t>
  </si>
  <si>
    <t>진짜가 돌아온다, 아직 더 남은 호재 이벤트</t>
  </si>
  <si>
    <t>91082</t>
  </si>
  <si>
    <t>아직 본 게임은 시작도 안했다</t>
  </si>
  <si>
    <t>91081</t>
  </si>
  <si>
    <t>1Q26 Preview: 철강의 아쉬움, 인프라의 견조한 방어</t>
  </si>
  <si>
    <t>91080</t>
  </si>
  <si>
    <t>[탐방노트] 순풍만범(順風滿帆)</t>
  </si>
  <si>
    <t>91079</t>
  </si>
  <si>
    <t>성장 엔진 가속</t>
  </si>
  <si>
    <t>91078</t>
  </si>
  <si>
    <t>데이터센터 신사업이 여는 성장의 문</t>
  </si>
  <si>
    <t>91077</t>
  </si>
  <si>
    <t>2026년 뚜렷한 성장세, 여전히 저평가 국면</t>
  </si>
  <si>
    <t>91076</t>
  </si>
  <si>
    <t>0004V0</t>
  </si>
  <si>
    <t>엔비알모션</t>
  </si>
  <si>
    <t>설명할 시간 없어, 빨리 타(feat. 로봇)</t>
  </si>
  <si>
    <t>91075</t>
  </si>
  <si>
    <t>시동걸린 주주환원</t>
  </si>
  <si>
    <t>91074</t>
  </si>
  <si>
    <t>246960</t>
  </si>
  <si>
    <t>SCL사이언스</t>
  </si>
  <si>
    <t>기존 사업 받고, AI 암 백신 개발 더</t>
  </si>
  <si>
    <t>91073</t>
  </si>
  <si>
    <t>사업 영역 확대를 모색하는 이차전지 강소기업</t>
  </si>
  <si>
    <t>91072</t>
  </si>
  <si>
    <t>1분기에도 안정적 실적 달성</t>
  </si>
  <si>
    <t>91071</t>
  </si>
  <si>
    <t>2026-03-25</t>
  </si>
  <si>
    <t>064960</t>
  </si>
  <si>
    <t>SNT모티브</t>
  </si>
  <si>
    <t>그룹사 로봇역량 집합!</t>
  </si>
  <si>
    <t>91070</t>
  </si>
  <si>
    <t>늦바람이 무섭다</t>
  </si>
  <si>
    <t>91069</t>
  </si>
  <si>
    <t>시장을 이기는 KT</t>
  </si>
  <si>
    <t>91068</t>
  </si>
  <si>
    <t>가장 높은 재투자수익률</t>
  </si>
  <si>
    <t>91067</t>
  </si>
  <si>
    <t>새로운 역사가 진행, 추가로 도약을 예상</t>
  </si>
  <si>
    <t>91066</t>
  </si>
  <si>
    <t>085910</t>
  </si>
  <si>
    <t>네오티스</t>
  </si>
  <si>
    <t>마이크로비트 사업을 통한 실적 퀀텀점프</t>
  </si>
  <si>
    <t>91065</t>
  </si>
  <si>
    <t>ADR 발행과 의미</t>
  </si>
  <si>
    <t>91064</t>
  </si>
  <si>
    <t>나에겐 아직, 자사주 17%가 있다</t>
  </si>
  <si>
    <t>91063</t>
  </si>
  <si>
    <t>017810</t>
  </si>
  <si>
    <t>풀무원</t>
  </si>
  <si>
    <t>바른 먹거리로 국내외 실적 개선</t>
  </si>
  <si>
    <t>91062</t>
  </si>
  <si>
    <t>올해 우리넷 주가는 오를 수 밖에 없습니다</t>
  </si>
  <si>
    <t>91061</t>
  </si>
  <si>
    <t>아직 호황의 초입</t>
  </si>
  <si>
    <t>91060</t>
  </si>
  <si>
    <t>로보틱스 지분 100% 인수. 스맥 지분경쟁 참여</t>
  </si>
  <si>
    <t>91059</t>
  </si>
  <si>
    <t>P/B 0.3배, 안정적 현금흐름</t>
  </si>
  <si>
    <t>91058</t>
  </si>
  <si>
    <t>높아지는 2026년 실적 눈높이</t>
  </si>
  <si>
    <t>91057</t>
  </si>
  <si>
    <t>[NDR 후기] 양파 같은 사업 확장</t>
  </si>
  <si>
    <t>91056</t>
  </si>
  <si>
    <t>2026년 나프타 프리미엄 복병을 만나다!</t>
  </si>
  <si>
    <t>91055</t>
  </si>
  <si>
    <t>054210</t>
  </si>
  <si>
    <t>이랜텍</t>
  </si>
  <si>
    <t>멀티플 리레이팅의 원년</t>
  </si>
  <si>
    <t>91054</t>
  </si>
  <si>
    <t xml:space="preserve"> LFP 수주: 끝이 아닌 시작</t>
  </si>
  <si>
    <t>91053</t>
  </si>
  <si>
    <t>2026-03-24</t>
  </si>
  <si>
    <t>안정적인 기존 사업, 기대되는 신사업</t>
  </si>
  <si>
    <t>91052</t>
  </si>
  <si>
    <t>신규 엔진 확보로 `30년 매출 5조 목표</t>
  </si>
  <si>
    <t>91051</t>
  </si>
  <si>
    <t>부품사 시총 2위를 향해 간다</t>
  </si>
  <si>
    <t>91050</t>
  </si>
  <si>
    <t>휠라 경쟁력 제고 vs. K패션은 시간 필요</t>
  </si>
  <si>
    <t>91049</t>
  </si>
  <si>
    <t>원전이든 LNG든 다 이루어질지니</t>
  </si>
  <si>
    <t>91048</t>
  </si>
  <si>
    <t>기다림이 길어지나 리레이팅을 위한 고군분투 중</t>
  </si>
  <si>
    <t>91047</t>
  </si>
  <si>
    <t>높아진 기대에 부합한 4분기, 중국 확장 모멘텀 유효</t>
  </si>
  <si>
    <t>91046</t>
  </si>
  <si>
    <t>중동 전쟁 - 정제된 기름이 보다 귀해진다</t>
  </si>
  <si>
    <t>91045</t>
  </si>
  <si>
    <t>서비스 고도화와 AI 중심 전략</t>
  </si>
  <si>
    <t>91044</t>
  </si>
  <si>
    <t>글로벌 팬덤 기반 성장 레버리지 확대</t>
  </si>
  <si>
    <t>91043</t>
  </si>
  <si>
    <t>발사 서비스 공급 부족, 국내 유일 대안</t>
  </si>
  <si>
    <t>91042</t>
  </si>
  <si>
    <t>전쟁발 수요 확대, SpaceEye-T 성장 기대</t>
  </si>
  <si>
    <t>91041</t>
  </si>
  <si>
    <t>지상위성서비스의 강자, 거리낄 것이 없다</t>
  </si>
  <si>
    <t>91040</t>
  </si>
  <si>
    <t>스페이스X 하면 스피어지</t>
  </si>
  <si>
    <t>91039</t>
  </si>
  <si>
    <t>이노와이어리스</t>
  </si>
  <si>
    <t>스페이스붐의 숨은 수혜주</t>
  </si>
  <si>
    <t>91038</t>
  </si>
  <si>
    <t>KAI 편입 이후 항공, 우주 핵심 부품 국산화의 전략적 허브로 재편</t>
  </si>
  <si>
    <t>91037</t>
  </si>
  <si>
    <t>플래닛랩스, KAI 협력기반 위성·지상국사업 확장</t>
  </si>
  <si>
    <t>91036</t>
  </si>
  <si>
    <t>피지컬 AI(로봇)는 끌고 1Q 실적 호조가 밀다~</t>
  </si>
  <si>
    <t>91035</t>
  </si>
  <si>
    <t>일회성 비용에 따른 컨센서스 하회 전망</t>
  </si>
  <si>
    <t>91034</t>
  </si>
  <si>
    <t>1Q26 Preview: 일회성 비용 제거 시 컨센상회</t>
  </si>
  <si>
    <t>91033</t>
  </si>
  <si>
    <t>이렇게까지 빠질 일인가?</t>
  </si>
  <si>
    <t>91032</t>
  </si>
  <si>
    <t>생각보다 큰 신규 사업의 잠재력</t>
  </si>
  <si>
    <t>91031</t>
  </si>
  <si>
    <t>탄소년단 활동 초기 구간, 주가 조정은 매수 기회</t>
  </si>
  <si>
    <t>91030</t>
  </si>
  <si>
    <t>오리지널의 힘은 무시할 수 없다</t>
  </si>
  <si>
    <t>91029</t>
  </si>
  <si>
    <t>J&amp;J 1상 완료의 나비효과</t>
  </si>
  <si>
    <t>91028</t>
  </si>
  <si>
    <t>BTS 컴백에 대한 신한생각</t>
  </si>
  <si>
    <t>91027</t>
  </si>
  <si>
    <t>변함없는 방향성</t>
  </si>
  <si>
    <t>91026</t>
  </si>
  <si>
    <t>콥데이 後記: 대형고객 확보 통한 턴어라운드 기대</t>
  </si>
  <si>
    <t>91025</t>
  </si>
  <si>
    <t>현대중공업터보기계 기업 가치 재평가 필요</t>
  </si>
  <si>
    <t>91024</t>
  </si>
  <si>
    <t>로봇에도 쓰인다면?</t>
  </si>
  <si>
    <t>91023</t>
  </si>
  <si>
    <t>221840</t>
  </si>
  <si>
    <t>하이즈항공</t>
  </si>
  <si>
    <t>보잉의 생산대수 증가로 동반 성장 전망</t>
  </si>
  <si>
    <t>91022</t>
  </si>
  <si>
    <t>2026-03-23</t>
  </si>
  <si>
    <t>이제 주식도 수출한다</t>
  </si>
  <si>
    <t>91021</t>
  </si>
  <si>
    <t>긍정적 흐름의 연속</t>
  </si>
  <si>
    <t>91020</t>
  </si>
  <si>
    <t>나는 상한가를 처음 보았다</t>
  </si>
  <si>
    <t>91019</t>
  </si>
  <si>
    <t>간담회 후기: 수요보다 공급이 변수, 성장 방향성 유효</t>
  </si>
  <si>
    <t>91018</t>
  </si>
  <si>
    <t>1Q26 Pre: 바이오 시황 부담</t>
  </si>
  <si>
    <t>91017</t>
  </si>
  <si>
    <t>내신 중요도 상향에 대응</t>
  </si>
  <si>
    <t>91016</t>
  </si>
  <si>
    <t>증익 지속, 2분기중 KKR의 그늘이 걷힌다면</t>
  </si>
  <si>
    <t>91015</t>
  </si>
  <si>
    <t>078890</t>
  </si>
  <si>
    <t>가온그룹</t>
  </si>
  <si>
    <t>실적과 성장성 동반 부각 기대</t>
  </si>
  <si>
    <t>91014</t>
  </si>
  <si>
    <t>211270</t>
  </si>
  <si>
    <t>AP위성</t>
  </si>
  <si>
    <t>위성 양산 전환과 통신 고객 다변화 주목</t>
  </si>
  <si>
    <t>91013</t>
  </si>
  <si>
    <t>밸류에이션의 재평가 시작 : ①애플 폴더블폰 ②피지컬 AI</t>
  </si>
  <si>
    <t>91012</t>
  </si>
  <si>
    <t>과거의 대덕이 아니다</t>
  </si>
  <si>
    <t>91011</t>
  </si>
  <si>
    <t>&lt;붉은사막&gt; 출시 후 점검</t>
  </si>
  <si>
    <t>91010</t>
  </si>
  <si>
    <t>CMO CAPA 증설 본격화 ⇒ 중장기 성장 모멘텀</t>
  </si>
  <si>
    <t>91009</t>
  </si>
  <si>
    <t>에너지 전쟁시대, 롱 포지션 기업</t>
  </si>
  <si>
    <t>91008</t>
  </si>
  <si>
    <t>숫자로 증명</t>
  </si>
  <si>
    <t>91007</t>
  </si>
  <si>
    <t>473980</t>
  </si>
  <si>
    <t>노머스</t>
  </si>
  <si>
    <t>이 정도면 포켓 페어</t>
  </si>
  <si>
    <t>91006</t>
  </si>
  <si>
    <t>4Q25 Review: 연간 최대 매출액 및 영업이익 달성</t>
  </si>
  <si>
    <t>91005</t>
  </si>
  <si>
    <t>161580</t>
  </si>
  <si>
    <t>필옵틱스</t>
  </si>
  <si>
    <t>[NDR 후기] 천천히, 꾸준히</t>
  </si>
  <si>
    <t>91004</t>
  </si>
  <si>
    <t>Corp.Day 후기: 로봇/SDV가 수익 모델의 구조적 변화를 불러올 것</t>
  </si>
  <si>
    <t>91003</t>
  </si>
  <si>
    <t>950220</t>
  </si>
  <si>
    <t>네오이뮨텍</t>
  </si>
  <si>
    <t>First-in-Class를 향한 두 개의 길: ARS와 CAR-T</t>
  </si>
  <si>
    <t>91002</t>
  </si>
  <si>
    <t>2026-03-20</t>
  </si>
  <si>
    <t>GTC 2026 HMG-엔비디아 로봇/자율주행 협력의 숨은 수혜자</t>
  </si>
  <si>
    <t>91001</t>
  </si>
  <si>
    <t>자사주 소각에 따른 재무적 효과 결국 주가에 반영 전망</t>
  </si>
  <si>
    <t>91000</t>
  </si>
  <si>
    <t>서버 FCBGA 공급 가시화, 멀티플 리레이팅 근거 확보</t>
  </si>
  <si>
    <t>90999</t>
  </si>
  <si>
    <t>실적은 센티를 이긴다</t>
  </si>
  <si>
    <t>90998</t>
  </si>
  <si>
    <t>단단한 펀더멘털, 축소될 밸류에이션 갭</t>
  </si>
  <si>
    <t>90997</t>
  </si>
  <si>
    <t>티엘비, 공장투어 후기 (추가 증설 결정)</t>
  </si>
  <si>
    <t>90996</t>
  </si>
  <si>
    <t>든든한 본업과 탄소섬유 기대감 부각</t>
  </si>
  <si>
    <t>90995</t>
  </si>
  <si>
    <t>태양광 중심으로 재편되는 에너지 안보 패러다임</t>
  </si>
  <si>
    <t>90994</t>
  </si>
  <si>
    <t>089850</t>
  </si>
  <si>
    <t>유비벨록스</t>
  </si>
  <si>
    <t>독점적 지위 갖춰가는 사업 한두 개가 아니다</t>
  </si>
  <si>
    <t>90993</t>
  </si>
  <si>
    <t>332370</t>
  </si>
  <si>
    <t>아이디피</t>
  </si>
  <si>
    <t>안정성 기반으로 변화를 준비</t>
  </si>
  <si>
    <t>90992</t>
  </si>
  <si>
    <t>2026-03-19</t>
  </si>
  <si>
    <t>4Q25 Review : 턴어라운드 본격화 전망되나, K패션은 기다림이 필요</t>
  </si>
  <si>
    <t>90991</t>
  </si>
  <si>
    <t>안 살 이유가 없다</t>
  </si>
  <si>
    <t>90990</t>
  </si>
  <si>
    <t>예상보다 좋습니다</t>
  </si>
  <si>
    <t>90989</t>
  </si>
  <si>
    <t>004690</t>
  </si>
  <si>
    <t>삼천리</t>
  </si>
  <si>
    <t>보유 자사주 소각 긍정적</t>
  </si>
  <si>
    <t>90988</t>
  </si>
  <si>
    <t>푸드빌 호실적. 올리브영 가치도 multiple에 온전히 반영 예상</t>
  </si>
  <si>
    <t>90987</t>
  </si>
  <si>
    <t>모멘텀 플레이 가능 구간</t>
  </si>
  <si>
    <t>90986</t>
  </si>
  <si>
    <t>P/E 밴드 하단에서 여전히 매력적인 투자처</t>
  </si>
  <si>
    <t>90985</t>
  </si>
  <si>
    <t>육각형 포트폴리오를 향해</t>
  </si>
  <si>
    <t>90984</t>
  </si>
  <si>
    <t>확신의 실적 모멘텀이 시작된다</t>
  </si>
  <si>
    <t>90983</t>
  </si>
  <si>
    <t>호르무즈 봉쇄, 오히려 전화위복!</t>
  </si>
  <si>
    <t>90982</t>
  </si>
  <si>
    <t>원전 소외주, 반등 포인트 점검</t>
  </si>
  <si>
    <t>90981</t>
  </si>
  <si>
    <t>콥데이 후기: 전성기를 넘어보자</t>
  </si>
  <si>
    <t>90980</t>
  </si>
  <si>
    <t>모빌리티 밸류데이 후기: 청사진 구체화</t>
  </si>
  <si>
    <t>90979</t>
  </si>
  <si>
    <t>아직도 현저히 저평가 받고 있다</t>
  </si>
  <si>
    <t>90978</t>
  </si>
  <si>
    <t>NAND 고단화 수혜 예상</t>
  </si>
  <si>
    <t>90977</t>
  </si>
  <si>
    <t>올리브영이 하드캐리</t>
  </si>
  <si>
    <t>90976</t>
  </si>
  <si>
    <t>376930</t>
  </si>
  <si>
    <t>노을</t>
  </si>
  <si>
    <t>스케일업 단계로 진입</t>
  </si>
  <si>
    <t>90975</t>
  </si>
  <si>
    <t>042500</t>
  </si>
  <si>
    <t>링네트</t>
  </si>
  <si>
    <t>네트워크 통합(NI)의 수익 방정식</t>
  </si>
  <si>
    <t>90974</t>
  </si>
  <si>
    <t>26년 ESS 추정치 추가 상향 조정</t>
  </si>
  <si>
    <t>90973</t>
  </si>
  <si>
    <t>26년 영업 흑자 전환 예상</t>
  </si>
  <si>
    <t>90972</t>
  </si>
  <si>
    <t>실적, 밸류에이션 정상화 초입 구간</t>
  </si>
  <si>
    <t>90971</t>
  </si>
  <si>
    <t>2026-03-18</t>
  </si>
  <si>
    <t>하방은 프로젝트, 상방은 유가</t>
  </si>
  <si>
    <t>90970</t>
  </si>
  <si>
    <t>019180</t>
  </si>
  <si>
    <t>티에이치엔</t>
  </si>
  <si>
    <t>P/E가 3배도 안 되네요</t>
  </si>
  <si>
    <t>90969</t>
  </si>
  <si>
    <t>동양생명 완전자회사화는 ABL생명 통합을 위한 사전작업</t>
  </si>
  <si>
    <t>90968</t>
  </si>
  <si>
    <t>전반전 TWICE, 후반전 STRAYKIDS</t>
  </si>
  <si>
    <t>90967</t>
  </si>
  <si>
    <t>SM on the NEXT LEVEL</t>
  </si>
  <si>
    <t>90966</t>
  </si>
  <si>
    <t>30년 내공 = 빅뱅 20주년 + 블핑 10주년</t>
  </si>
  <si>
    <t>90965</t>
  </si>
  <si>
    <t>돌아온 BTS, 완전체 HYBE</t>
  </si>
  <si>
    <t>90964</t>
  </si>
  <si>
    <t>진정한 풀스택</t>
  </si>
  <si>
    <t>90963</t>
  </si>
  <si>
    <t>90962</t>
  </si>
  <si>
    <t>053030</t>
  </si>
  <si>
    <t>바이넥스</t>
  </si>
  <si>
    <t>상업화 생산 확대를 위한 준비</t>
  </si>
  <si>
    <t>90961</t>
  </si>
  <si>
    <t>콥데이 後記: 금융 AI Agent 기업으로 도약 중</t>
  </si>
  <si>
    <t>90960</t>
  </si>
  <si>
    <t>백화점에서 확산되는 온기(溫氣)</t>
  </si>
  <si>
    <t>90959</t>
  </si>
  <si>
    <t>2026-03-17</t>
  </si>
  <si>
    <t>중국 법인 동월 최대 매출 시현</t>
  </si>
  <si>
    <t>90958</t>
  </si>
  <si>
    <t>4월 AACR RZ-001 간암 중간 데이터에 주목</t>
  </si>
  <si>
    <t>90957</t>
  </si>
  <si>
    <t>실적 확인하고 매수하시면 늦습니다</t>
  </si>
  <si>
    <t>90956</t>
  </si>
  <si>
    <t>모빌리티사업 밸류데이 후기</t>
  </si>
  <si>
    <t>90955</t>
  </si>
  <si>
    <t>밸류업의 조건들이 갖춰지고 있다</t>
  </si>
  <si>
    <t>90954</t>
  </si>
  <si>
    <t>서버 구조의 변화는 중장기 성장의 근거</t>
  </si>
  <si>
    <t>90953</t>
  </si>
  <si>
    <t>1분기 NIM 상승과 대손비용 안정화, CET 1 비율 상승 기대</t>
  </si>
  <si>
    <t>90952</t>
  </si>
  <si>
    <t>360350</t>
  </si>
  <si>
    <t>코셈</t>
  </si>
  <si>
    <t>제2의 파크시스템스를 찾는다면</t>
  </si>
  <si>
    <t>90951</t>
  </si>
  <si>
    <t>Corp.Day 후기: 열관리 매출 증가와 인도 증설</t>
  </si>
  <si>
    <t>90950</t>
  </si>
  <si>
    <t xml:space="preserve"> NDR 후기: 열매가 주렁주렁</t>
  </si>
  <si>
    <t>90949</t>
  </si>
  <si>
    <t>글로벌 위성 사업자용 소재 공급 효과</t>
  </si>
  <si>
    <t>90948</t>
  </si>
  <si>
    <t>앞으로 좋아질 실적과 주주환원까지</t>
  </si>
  <si>
    <t>90947</t>
  </si>
  <si>
    <t>456160</t>
  </si>
  <si>
    <t>지투지바이오</t>
  </si>
  <si>
    <t>삼성에피스 L/O 성공에 투자 유치까지</t>
  </si>
  <si>
    <t>90946</t>
  </si>
  <si>
    <t>실적보다는 높아진 뉴에너지 성장성에 주목</t>
  </si>
  <si>
    <t>90945</t>
  </si>
  <si>
    <t>콥데이 後記: 본격적인 실적 턴어라운드 시작</t>
  </si>
  <si>
    <t>90944</t>
  </si>
  <si>
    <t>수익성 개선 흐름 본격화될 전망</t>
  </si>
  <si>
    <t>90943</t>
  </si>
  <si>
    <t>해외법인 성장세 강화로 실적 추정치 상향 전망</t>
  </si>
  <si>
    <t>90942</t>
  </si>
  <si>
    <t>어려운 환경 속 실적 턴어라운드 달성</t>
  </si>
  <si>
    <t>90941</t>
  </si>
  <si>
    <t>256150</t>
  </si>
  <si>
    <t>한독크린텍</t>
  </si>
  <si>
    <t>국내 정수기용 카본블록 필터 1위 업체</t>
  </si>
  <si>
    <t>90940</t>
  </si>
  <si>
    <t>조정이 주는 멋진 기회!</t>
  </si>
  <si>
    <t>90939</t>
  </si>
  <si>
    <t>2026-03-16</t>
  </si>
  <si>
    <t>낮아진 딜러 재고, 높아진 밸류에이션 매력도</t>
  </si>
  <si>
    <t>90938</t>
  </si>
  <si>
    <t>실적 회복과 배당은 기본. 더 큰 미래도 가능하다</t>
  </si>
  <si>
    <t>90937</t>
  </si>
  <si>
    <t>1Q26 예상 영업이익 QoQ +53.0%</t>
  </si>
  <si>
    <t>90936</t>
  </si>
  <si>
    <t>LNG 보냉제 성장에 방산까지 영역 확대</t>
  </si>
  <si>
    <t>90935</t>
  </si>
  <si>
    <t>078520</t>
  </si>
  <si>
    <t>에이블씨엔씨</t>
  </si>
  <si>
    <t>실적, 밸류에이션, 주주환원 완벽한 3박자</t>
  </si>
  <si>
    <t>90934</t>
  </si>
  <si>
    <t>지금이라도 사야 하는 이유</t>
  </si>
  <si>
    <t>90933</t>
  </si>
  <si>
    <t>현저한 저평가</t>
  </si>
  <si>
    <t>90932</t>
  </si>
  <si>
    <t>팰리세이드 리콜 관련 업데이트</t>
  </si>
  <si>
    <t>90931</t>
  </si>
  <si>
    <t>신호탄</t>
  </si>
  <si>
    <t>90930</t>
  </si>
  <si>
    <t>수직계열화의 신이 보여줄 Showtime</t>
  </si>
  <si>
    <t>90929</t>
  </si>
  <si>
    <t>희토류 탈중국화 밸류체인 한 축을 담당하면서 성장성 부각</t>
  </si>
  <si>
    <t>90928</t>
  </si>
  <si>
    <t>380540</t>
  </si>
  <si>
    <t>옵티코어</t>
  </si>
  <si>
    <t>K-AAOI의 가능성을 보다</t>
  </si>
  <si>
    <t>90927</t>
  </si>
  <si>
    <t>스페이스X 발사체 성장은 곧 나의 성장</t>
  </si>
  <si>
    <t>90926</t>
  </si>
  <si>
    <t>HBM 전선 이상 무</t>
  </si>
  <si>
    <t>90925</t>
  </si>
  <si>
    <t>226330</t>
  </si>
  <si>
    <t>신테카바이오</t>
  </si>
  <si>
    <t>AI신약개발플랫폼 사업의 본격적인 실적 성장 기대</t>
  </si>
  <si>
    <t>90924</t>
  </si>
  <si>
    <t>인바운드 증가 모멘텀은 2Q에 더 강화될 전망</t>
  </si>
  <si>
    <t>90923</t>
  </si>
  <si>
    <t>지속적 매수 기회</t>
  </si>
  <si>
    <t>90922</t>
  </si>
  <si>
    <t>우리만 역주행 중</t>
  </si>
  <si>
    <t>90921</t>
  </si>
  <si>
    <t>2026-03-13</t>
  </si>
  <si>
    <t>실적과 모멘텀 모두 매력적이다!</t>
  </si>
  <si>
    <t>90920</t>
  </si>
  <si>
    <t>올해도 N수생 多</t>
  </si>
  <si>
    <t>90919</t>
  </si>
  <si>
    <t>광모듈 수요가 끝이 없다</t>
  </si>
  <si>
    <t>90918</t>
  </si>
  <si>
    <t>이번엔 기대가 되는 4월입니다</t>
  </si>
  <si>
    <t>90917</t>
  </si>
  <si>
    <t>실적 상향과 밸류업 기대감</t>
  </si>
  <si>
    <t>90916</t>
  </si>
  <si>
    <t>043370</t>
  </si>
  <si>
    <t>피에이치에이</t>
  </si>
  <si>
    <t>자기주식 7.0% 보유 중</t>
  </si>
  <si>
    <t>90915</t>
  </si>
  <si>
    <t>[탐방노트] 연간 가이던스 달성 가능성 충분</t>
  </si>
  <si>
    <t>90914</t>
  </si>
  <si>
    <t>0007C0</t>
  </si>
  <si>
    <t>아크릴</t>
  </si>
  <si>
    <t>엔비디아 GPU 26만 장의 직접적인 수혜주</t>
  </si>
  <si>
    <t>90913</t>
  </si>
  <si>
    <t>콥데이 후기: 다가오는 기대 신작들</t>
  </si>
  <si>
    <t>90912</t>
  </si>
  <si>
    <t>사업다변화에 성공, 역대 최대 매출 달성 지속 전망</t>
  </si>
  <si>
    <t>90911</t>
  </si>
  <si>
    <t>단순 테마 아닌 구조적 성장 가능성을 확인하다</t>
  </si>
  <si>
    <t>90910</t>
  </si>
  <si>
    <t>고부가제품 확대 기대</t>
  </si>
  <si>
    <t>90909</t>
  </si>
  <si>
    <t>2026-03-12</t>
  </si>
  <si>
    <t>해외 마케팅과 지역 확대로 글로벌 존재감 확대 중</t>
  </si>
  <si>
    <t>90907</t>
  </si>
  <si>
    <t>해외 성장이 아쉬워</t>
  </si>
  <si>
    <t>90906</t>
  </si>
  <si>
    <t>최소한 시총 1조원은 되어야 정상입니다</t>
  </si>
  <si>
    <t>90905</t>
  </si>
  <si>
    <t>내일 매수하면 늦습니다</t>
  </si>
  <si>
    <t>90904</t>
  </si>
  <si>
    <t>4Q25 Re: 아쉬운 미국</t>
  </si>
  <si>
    <t>90903</t>
  </si>
  <si>
    <t>한국 보다 낮아진 북미 마진</t>
  </si>
  <si>
    <t>90902</t>
  </si>
  <si>
    <t>기판 기술 고도화, 국내 Pure-play Top player</t>
  </si>
  <si>
    <t>90901</t>
  </si>
  <si>
    <t>서버가 바꾼 수급 방정식, P의 시작과 예고된 Q</t>
  </si>
  <si>
    <t>90900</t>
  </si>
  <si>
    <t>글로벌 확장 비용 부담 지속</t>
  </si>
  <si>
    <t>90899</t>
  </si>
  <si>
    <t>019210</t>
  </si>
  <si>
    <t>와이지-원</t>
  </si>
  <si>
    <t>[다시봐] 아킬레스건이 성장요인으로 탈바꿈</t>
  </si>
  <si>
    <t>90898</t>
  </si>
  <si>
    <t>2026년 3차 성장 진입 : 아이폰 폴드, HDI = 양산 시작</t>
  </si>
  <si>
    <t>90897</t>
  </si>
  <si>
    <t>콥데이 후기: 정상화 끝, 성장기 진입</t>
  </si>
  <si>
    <t>90896</t>
  </si>
  <si>
    <t>한 번 더 끓어오르는 글로벌 성장</t>
  </si>
  <si>
    <t>90895</t>
  </si>
  <si>
    <t>058970</t>
  </si>
  <si>
    <t>엠로</t>
  </si>
  <si>
    <t>AI를 내재화한 SRM 소프트웨어의 글로벌 도전</t>
  </si>
  <si>
    <t>90894</t>
  </si>
  <si>
    <t># 스판덱스 3번째 가격 인상 발표</t>
  </si>
  <si>
    <t>90893</t>
  </si>
  <si>
    <t>2026-03-11</t>
  </si>
  <si>
    <t>2026년 배당수익률 2.7% 예상</t>
  </si>
  <si>
    <t>90892</t>
  </si>
  <si>
    <t>삼팔光(광)땡</t>
  </si>
  <si>
    <t>90891</t>
  </si>
  <si>
    <t>New History, New Record</t>
  </si>
  <si>
    <t>90890</t>
  </si>
  <si>
    <t>아직 쓰이지 않은 챕터, 중국</t>
  </si>
  <si>
    <t>90889</t>
  </si>
  <si>
    <t>AI글래스, 인도, 그리고스펙업사이클</t>
  </si>
  <si>
    <t>90888</t>
  </si>
  <si>
    <t>연초부터 폭발적 성장 + 두산의 캐파 증설 가능성</t>
  </si>
  <si>
    <t>90887</t>
  </si>
  <si>
    <t>4조 8,343억원 규모의 자사주 전량 소각</t>
  </si>
  <si>
    <t>90886</t>
  </si>
  <si>
    <t>희소성 높은 기업</t>
  </si>
  <si>
    <t>90885</t>
  </si>
  <si>
    <t>비메모리 산업 내 성장 잠재력 Top-Tier</t>
  </si>
  <si>
    <t>90884</t>
  </si>
  <si>
    <t>4Q25 Review: 고연차는 강하고, MD는 커지고</t>
  </si>
  <si>
    <t>90883</t>
  </si>
  <si>
    <t>JustPlay 인수, 하반기 캐주얼 추가 딜 기대</t>
  </si>
  <si>
    <t>90882</t>
  </si>
  <si>
    <t>스트레이키즈 Everywhere</t>
  </si>
  <si>
    <t>90881</t>
  </si>
  <si>
    <t>최소 시총 1.5조원을 기대하는 종목</t>
  </si>
  <si>
    <t>90880</t>
  </si>
  <si>
    <t>2025년 기준 PER 4.3배</t>
  </si>
  <si>
    <t>90879</t>
  </si>
  <si>
    <t>036890</t>
  </si>
  <si>
    <t>진성티이씨</t>
  </si>
  <si>
    <t>콥데이 후기, 캐터필러와 업사이클에 힘입어 진격</t>
  </si>
  <si>
    <t>90878</t>
  </si>
  <si>
    <t>서구권 팬덤 확대의 나비효과</t>
  </si>
  <si>
    <t>90877</t>
  </si>
  <si>
    <t>0009K0</t>
  </si>
  <si>
    <t>에임드바이오</t>
  </si>
  <si>
    <t>콥데이 후기, 빅파마 에셋 개발 순항 중</t>
  </si>
  <si>
    <t>90876</t>
  </si>
  <si>
    <t>스키즈의 줏대 있는 성장</t>
  </si>
  <si>
    <t>90875</t>
  </si>
  <si>
    <t>Investor Day 후기</t>
  </si>
  <si>
    <t>90874</t>
  </si>
  <si>
    <t>25%의 자사주 전량 소각 결정, 이후에 봐야할 것은</t>
  </si>
  <si>
    <t>90873</t>
  </si>
  <si>
    <t>2026년 MD 전략 변화에 주목할 시점</t>
  </si>
  <si>
    <t>90872</t>
  </si>
  <si>
    <t>자사주 취득, 처분, 소각 계획 공시</t>
  </si>
  <si>
    <t>90871</t>
  </si>
  <si>
    <t>[NDR 후기]: SOFC 세라믹 기판 공급 개시</t>
  </si>
  <si>
    <t>90870</t>
  </si>
  <si>
    <t>347740</t>
  </si>
  <si>
    <t>피엔케이피부임상연구센타</t>
  </si>
  <si>
    <t>실적 레버리지 구간 진입과 글로벌 확장 모멘텀 주목</t>
  </si>
  <si>
    <t>90869</t>
  </si>
  <si>
    <t>항공우주부문, 방산을 업고 성장한다</t>
  </si>
  <si>
    <t>90868</t>
  </si>
  <si>
    <t>2026-03-10</t>
  </si>
  <si>
    <t>케이카 사기 좋은 날</t>
  </si>
  <si>
    <t>90867</t>
  </si>
  <si>
    <t>나올 재료 감안 시 이번엔 텐베거가 예상됩니다</t>
  </si>
  <si>
    <t>90866</t>
  </si>
  <si>
    <t>글로벌에서 가장 저평가된 공작기계 회사</t>
  </si>
  <si>
    <t>90865</t>
  </si>
  <si>
    <t>미국 LNG 수주 올해부터가 시작</t>
  </si>
  <si>
    <t>90864</t>
  </si>
  <si>
    <t>신한 Premier Corporate Day 후기</t>
  </si>
  <si>
    <t>90863</t>
  </si>
  <si>
    <t>376900</t>
  </si>
  <si>
    <t>로킷헬스케어</t>
  </si>
  <si>
    <t>재생의료 성장 사이클 확인 구간</t>
  </si>
  <si>
    <t>90862</t>
  </si>
  <si>
    <t>주력 전방산업 호조, 주가 레벨업</t>
  </si>
  <si>
    <t>90861</t>
  </si>
  <si>
    <t>메모리 장비 투자 수혜 확대</t>
  </si>
  <si>
    <t>90860</t>
  </si>
  <si>
    <t>277880</t>
  </si>
  <si>
    <t>티에스아이</t>
  </si>
  <si>
    <t>이차전지 전극공정(믹싱) 장비 기업</t>
  </si>
  <si>
    <t>90859</t>
  </si>
  <si>
    <t>456070</t>
  </si>
  <si>
    <t>이엔셀</t>
  </si>
  <si>
    <t>세 개의 스위치: CDMO + EN001 + 일본 진출</t>
  </si>
  <si>
    <t>90858</t>
  </si>
  <si>
    <t>주가 매력도가 더 높아졌다</t>
  </si>
  <si>
    <t>90857</t>
  </si>
  <si>
    <t>2026-03-09</t>
  </si>
  <si>
    <t>새 옷으로 옷장을 채울 시간</t>
  </si>
  <si>
    <t>90856</t>
  </si>
  <si>
    <t>26년 밸류업 기반 다지기</t>
  </si>
  <si>
    <t>90855</t>
  </si>
  <si>
    <t>K배터리 음극재 붐은 온다</t>
  </si>
  <si>
    <t>90854</t>
  </si>
  <si>
    <t>NDR 후기, 기대되는 2026년</t>
  </si>
  <si>
    <t>90853</t>
  </si>
  <si>
    <t>순조롭게 운항 중인 선박 토탈 솔루션</t>
  </si>
  <si>
    <t>90852</t>
  </si>
  <si>
    <t>스테이블코인 기반 정산 인프라 허브 역할로 성장성 UP</t>
  </si>
  <si>
    <t>90851</t>
  </si>
  <si>
    <t>K2 전차, 천궁-II 등으로 매출 성장 본격화</t>
  </si>
  <si>
    <t>90850</t>
  </si>
  <si>
    <t>스테이블코인 및 STO 개화기 시대, 인프라 내가 깐다</t>
  </si>
  <si>
    <t>90849</t>
  </si>
  <si>
    <t>마법 같은 프라이버시 디스플레이의 최대 수혜</t>
  </si>
  <si>
    <t>90848</t>
  </si>
  <si>
    <t>2026-03-06</t>
  </si>
  <si>
    <t>신규 자회사들의 성과가 관건</t>
  </si>
  <si>
    <t>90847</t>
  </si>
  <si>
    <t>테마는 거들 뿐, 본질은 업황 턴어라운드</t>
  </si>
  <si>
    <t>90846</t>
  </si>
  <si>
    <t>장비 Top-pick 유지</t>
  </si>
  <si>
    <t>90845</t>
  </si>
  <si>
    <t>1Q26 예상 영업이익 247억원</t>
  </si>
  <si>
    <t>90844</t>
  </si>
  <si>
    <t>083930</t>
  </si>
  <si>
    <t>아바코</t>
  </si>
  <si>
    <t>[다시봐] 신규성장동력을 주목!</t>
  </si>
  <si>
    <t>90843</t>
  </si>
  <si>
    <t>金의환향: 21세기 골드러시</t>
  </si>
  <si>
    <t>90842</t>
  </si>
  <si>
    <t>에이피알의 시간이 다시 왔다</t>
  </si>
  <si>
    <t>90841</t>
  </si>
  <si>
    <t>다소 아쉬운 2025년, 2026년을 바라보자</t>
  </si>
  <si>
    <t>90840</t>
  </si>
  <si>
    <t>달라진 분위기</t>
  </si>
  <si>
    <t>90839</t>
  </si>
  <si>
    <t>058650</t>
  </si>
  <si>
    <t>세아홀딩스</t>
  </si>
  <si>
    <t>Corp. Day 후기: 성장 스토리 이상 無</t>
  </si>
  <si>
    <t>90838</t>
  </si>
  <si>
    <t>앱 수수료 인하의 최대 수혜주</t>
  </si>
  <si>
    <t>90837</t>
  </si>
  <si>
    <t>변함없는 Top Pick</t>
  </si>
  <si>
    <t>90836</t>
  </si>
  <si>
    <t>소부장 필수 선택지</t>
  </si>
  <si>
    <t>90835</t>
  </si>
  <si>
    <t>187790</t>
  </si>
  <si>
    <t>나노</t>
  </si>
  <si>
    <t>커지는 시장, 집중되는 수혜</t>
  </si>
  <si>
    <t>90834</t>
  </si>
  <si>
    <t>반도체 장비 수주 본격화, 고객 다변화 성공</t>
  </si>
  <si>
    <t>90833</t>
  </si>
  <si>
    <t>턴어라운드 및 밸류업의 시작</t>
  </si>
  <si>
    <t>90832</t>
  </si>
  <si>
    <t>337930</t>
  </si>
  <si>
    <t>젝시믹스</t>
  </si>
  <si>
    <t>다시 시작되는 성장 국면</t>
  </si>
  <si>
    <t>90831</t>
  </si>
  <si>
    <t>기대와 우려 사이</t>
  </si>
  <si>
    <t>90830</t>
  </si>
  <si>
    <t>347000</t>
  </si>
  <si>
    <t>센코</t>
  </si>
  <si>
    <t>[AI] 전기화학식 가스 센서 기반 안전 솔루션 전문기업</t>
  </si>
  <si>
    <t>90829</t>
  </si>
  <si>
    <t>[AI] 위성통신 및 항공전자 핵심부품 전문기업</t>
  </si>
  <si>
    <t>90828</t>
  </si>
  <si>
    <t>2026-03-05</t>
  </si>
  <si>
    <t>기판, 살판 났다</t>
  </si>
  <si>
    <t>90827</t>
  </si>
  <si>
    <t>배당이 아쉬우니</t>
  </si>
  <si>
    <t>90826</t>
  </si>
  <si>
    <t>빅뱅 컴백 오피셜</t>
  </si>
  <si>
    <t>90825</t>
  </si>
  <si>
    <t>236200</t>
  </si>
  <si>
    <t>슈프리마</t>
  </si>
  <si>
    <t>[NDR 후기] 2026년 성장 요인</t>
  </si>
  <si>
    <t>90824</t>
  </si>
  <si>
    <t>293940</t>
  </si>
  <si>
    <t>신한알파리츠</t>
  </si>
  <si>
    <t>그레이츠 판교, 임대료 상승도 GREAT!</t>
  </si>
  <si>
    <t>90823</t>
  </si>
  <si>
    <t>최대 실적이 다가온다</t>
  </si>
  <si>
    <t>90822</t>
  </si>
  <si>
    <t>이 정도면 바닥이 아닐까?</t>
  </si>
  <si>
    <t>90821</t>
  </si>
  <si>
    <t>기대되는 2026년</t>
  </si>
  <si>
    <t>90820</t>
  </si>
  <si>
    <t>빅뱅 20주년 월드투어 동행 확정</t>
  </si>
  <si>
    <t>90819</t>
  </si>
  <si>
    <t>실적 서프라이즈 예상, AI 수혜 본격화</t>
  </si>
  <si>
    <t>90818</t>
  </si>
  <si>
    <t>475230</t>
  </si>
  <si>
    <t>엔알비</t>
  </si>
  <si>
    <t>차곡차곡 쌓이는 일감</t>
  </si>
  <si>
    <t>90817</t>
  </si>
  <si>
    <t>군계일학</t>
  </si>
  <si>
    <t>90816</t>
  </si>
  <si>
    <t>096240</t>
  </si>
  <si>
    <t>크레버스</t>
  </si>
  <si>
    <t>실적 턴어라운드 기대</t>
  </si>
  <si>
    <t>90815</t>
  </si>
  <si>
    <t>후퇴가 아닌 진격을 할 때</t>
  </si>
  <si>
    <t>90814</t>
  </si>
  <si>
    <t>메모리 업황은 평화롭다</t>
  </si>
  <si>
    <t>90813</t>
  </si>
  <si>
    <t>2026-03-04</t>
  </si>
  <si>
    <t>뚜렷한 턴어라운드 국면 진입</t>
  </si>
  <si>
    <t>90812</t>
  </si>
  <si>
    <t>메가IP-차세대IP-신인IP로 30주년 완벽한 라인업</t>
  </si>
  <si>
    <t>90811</t>
  </si>
  <si>
    <t>치솟는 몸값</t>
  </si>
  <si>
    <t>90810</t>
  </si>
  <si>
    <t>숫자와 R&amp;D 함께 성장 중</t>
  </si>
  <si>
    <t>90809</t>
  </si>
  <si>
    <t>유럽 마일스톤의 이연</t>
  </si>
  <si>
    <t>90808</t>
  </si>
  <si>
    <t>사야 한다</t>
  </si>
  <si>
    <t>90807</t>
  </si>
  <si>
    <t>5G SA로의 진화 시 새로운 주가 역사 쓸 것</t>
  </si>
  <si>
    <t>90806</t>
  </si>
  <si>
    <t>과거 쏠리드 주가는 단기 실적 아닌 스토리로 움직였다</t>
  </si>
  <si>
    <t>90805</t>
  </si>
  <si>
    <t>5G SA 시대에도 큰 수혜 예상됩니다</t>
  </si>
  <si>
    <t>90804</t>
  </si>
  <si>
    <t>2019년 이상의 주가 상승을 경험할 겁니다</t>
  </si>
  <si>
    <t>90803</t>
  </si>
  <si>
    <t>264450</t>
  </si>
  <si>
    <t>유비쿼스</t>
  </si>
  <si>
    <t>피지컬 AI 시대 국가 대동맥</t>
  </si>
  <si>
    <t>90802</t>
  </si>
  <si>
    <t>피지컬 AI 덕분에 실적과 주가 모두 향상될 겁니다</t>
  </si>
  <si>
    <t>90801</t>
  </si>
  <si>
    <t>텐베거 너머를 향하여</t>
  </si>
  <si>
    <t>90800</t>
  </si>
  <si>
    <t>업황 개선 기대감 증폭, 실적 선반영 효과 커질 시점</t>
  </si>
  <si>
    <t>90799</t>
  </si>
  <si>
    <t>5G SA 시대에는 ICTK의 진면목이 드러날 것</t>
  </si>
  <si>
    <t>90798</t>
  </si>
  <si>
    <t>구조적 전환을 반영하는 주가</t>
  </si>
  <si>
    <t>90797</t>
  </si>
  <si>
    <t>90796</t>
  </si>
  <si>
    <t>수급 해소 이후 본격 레벨업</t>
  </si>
  <si>
    <t>90795</t>
  </si>
  <si>
    <t>고마진이 정당화하는 멀티플</t>
  </si>
  <si>
    <t>90794</t>
  </si>
  <si>
    <t>밸류에이션 상단을 허물다</t>
  </si>
  <si>
    <t>90793</t>
  </si>
  <si>
    <t>고점을 논하기엔 이른 이유</t>
  </si>
  <si>
    <t>90792</t>
  </si>
  <si>
    <t>선대 구축과 재편의 수혜가 오버행을 압도</t>
  </si>
  <si>
    <t>90791</t>
  </si>
  <si>
    <t>대산공장 구조조정으로, 2,000억원 절감 기대!</t>
  </si>
  <si>
    <t>90790</t>
  </si>
  <si>
    <t>빅뱅 20주년 기념 월드투어 발표!</t>
  </si>
  <si>
    <t>90789</t>
  </si>
  <si>
    <t>2026년 차별된 성장!</t>
  </si>
  <si>
    <t>90788</t>
  </si>
  <si>
    <t>2Q에 회복을 예상</t>
  </si>
  <si>
    <t>90787</t>
  </si>
  <si>
    <t>2026년 긴호흡의 전략!</t>
  </si>
  <si>
    <t>90786</t>
  </si>
  <si>
    <t>해외 매출비중 분기 30%대, 연간 20%대 첫 돌파</t>
  </si>
  <si>
    <t>90785</t>
  </si>
  <si>
    <t>증설로 보는 성장 스토리</t>
  </si>
  <si>
    <t>90784</t>
  </si>
  <si>
    <t>통신과 로봇 가온나!</t>
  </si>
  <si>
    <t>90783</t>
  </si>
  <si>
    <t>보였다 반등의 실...!</t>
  </si>
  <si>
    <t>90782</t>
  </si>
  <si>
    <t>2026년 HPA 시장 진출의 원년</t>
  </si>
  <si>
    <t>90781</t>
  </si>
  <si>
    <t>2026-03-03</t>
  </si>
  <si>
    <t>NDR 후기: 이미 증명한 회복세, 높아진 가시성</t>
  </si>
  <si>
    <t>90780</t>
  </si>
  <si>
    <t>독보적인 성장주</t>
  </si>
  <si>
    <t>90779</t>
  </si>
  <si>
    <t>Physical-AI 확산 경쟁의 승자</t>
  </si>
  <si>
    <t>90778</t>
  </si>
  <si>
    <t>미국 Patriot를 보완할 수 있는 천궁-II</t>
  </si>
  <si>
    <t>90777</t>
  </si>
  <si>
    <t>2026년 이익 개선 국면 진입</t>
  </si>
  <si>
    <t>90776</t>
  </si>
  <si>
    <t>2026년 두 자릿수 성장 가이던스로 재도약</t>
  </si>
  <si>
    <t>90775</t>
  </si>
  <si>
    <t>2026년 국내 맑음, 북미 흐림</t>
  </si>
  <si>
    <t>90774</t>
  </si>
  <si>
    <t>4Q25 Review: 본업 호조, 순손실은 회계 요인</t>
  </si>
  <si>
    <t>90773</t>
  </si>
  <si>
    <t>강한 자신감</t>
  </si>
  <si>
    <t>90772</t>
  </si>
  <si>
    <t>엄마는 우리 아들 믿어</t>
  </si>
  <si>
    <t>90771</t>
  </si>
  <si>
    <t>K2 수출 다변화와 차세대 무기체계 확장 기대</t>
  </si>
  <si>
    <t>90770</t>
  </si>
  <si>
    <t>두 번째 판가 인상, 여전히 사야할 때</t>
  </si>
  <si>
    <t>90769</t>
  </si>
  <si>
    <t>브로커리지 하면 나야 나!</t>
  </si>
  <si>
    <t>90768</t>
  </si>
  <si>
    <t>모범생은 일단 다해요 - 호실적, 고배당, 그리고 IMA</t>
  </si>
  <si>
    <t>90767</t>
  </si>
  <si>
    <t>조용히 강한 리테일의 품격</t>
  </si>
  <si>
    <t>90766</t>
  </si>
  <si>
    <t>비싸다고? 나 지금 2조 버는데?</t>
  </si>
  <si>
    <t>90765</t>
  </si>
  <si>
    <t>턴어라운드 확인. 재생에너지와 원전 모멘텀 기대</t>
  </si>
  <si>
    <t>90764</t>
  </si>
  <si>
    <t>성과는 화려, 시험대에 오른 지속 가능성</t>
  </si>
  <si>
    <t>90763</t>
  </si>
  <si>
    <t>비만 판도 바꿀 siRNA, 릴리 파트너십 주목</t>
  </si>
  <si>
    <t>90762</t>
  </si>
  <si>
    <t>2026년 AR Glass 본격적 출시의 수혜 기대</t>
  </si>
  <si>
    <t>90761</t>
  </si>
  <si>
    <t>새로운 전기를 맞이하다</t>
  </si>
  <si>
    <t>90760</t>
  </si>
  <si>
    <t>3차 상법 개정 수혜 가능할 듯</t>
  </si>
  <si>
    <t>90759</t>
  </si>
  <si>
    <t>2026년 영업이익 170조원으로 상향</t>
  </si>
  <si>
    <t>90758</t>
  </si>
  <si>
    <t>2026년 영업이익 200조원으로 상향</t>
  </si>
  <si>
    <t>90757</t>
  </si>
  <si>
    <t>2026-02-27</t>
  </si>
  <si>
    <t>차세대 Mega IP 보유사로 도약하는 해가 되어야</t>
  </si>
  <si>
    <t>90756</t>
  </si>
  <si>
    <t>두산이 만든 Peer Pressure</t>
  </si>
  <si>
    <t>90755</t>
  </si>
  <si>
    <t>4Q25 Review: 레벨업 할 준비 완료</t>
  </si>
  <si>
    <t>90754</t>
  </si>
  <si>
    <t>4Q25 Review: 전 연차가 만들어 갈 꽃길</t>
  </si>
  <si>
    <t>90753</t>
  </si>
  <si>
    <t>부산테크센터 탐방: 미래먹거리 Ready to Take off</t>
  </si>
  <si>
    <t>90752</t>
  </si>
  <si>
    <t>올해는 빅뱅의 20주년</t>
  </si>
  <si>
    <t>90751</t>
  </si>
  <si>
    <t>우선주에 대한 투자 전략</t>
  </si>
  <si>
    <t>90750</t>
  </si>
  <si>
    <t>산업용 요금 인하 및 자회사 비용 확대 리스크</t>
  </si>
  <si>
    <t>90749</t>
  </si>
  <si>
    <t>올해도 피할 수 없었던 해외사업 손상차손</t>
  </si>
  <si>
    <t>90748</t>
  </si>
  <si>
    <t>단기 주가 상승 모멘텀에 우선 집중</t>
  </si>
  <si>
    <t>90747</t>
  </si>
  <si>
    <t>163730</t>
  </si>
  <si>
    <t>핑거</t>
  </si>
  <si>
    <t>스테이블코인 산업 개화는 기회요인!</t>
  </si>
  <si>
    <t>90746</t>
  </si>
  <si>
    <t>388050</t>
  </si>
  <si>
    <t>지투파워</t>
  </si>
  <si>
    <t>#전력 #태양광 #ESS</t>
  </si>
  <si>
    <t>90745</t>
  </si>
  <si>
    <t>008490</t>
  </si>
  <si>
    <t>서흥</t>
  </si>
  <si>
    <t>하드캡슐 수익성 정상화와 중국향 건강기능식품 수출 성장이 이끄는 본업의 동반 개선</t>
  </si>
  <si>
    <t>90744</t>
  </si>
  <si>
    <t>글로벌 Top vendor다운 놀라운 실적</t>
  </si>
  <si>
    <t>90743</t>
  </si>
  <si>
    <t>시총보다 이익잉여금이 많은 글로벌 1위</t>
  </si>
  <si>
    <t>90742</t>
  </si>
  <si>
    <t>아쉬움은 남지만, 해외 원전 사업 확대에 초점을 맞출 때</t>
  </si>
  <si>
    <t>90741</t>
  </si>
  <si>
    <t>Keep Going</t>
  </si>
  <si>
    <t>90740</t>
  </si>
  <si>
    <t>일회성 요인보다 중장기적 성장성에 주목</t>
  </si>
  <si>
    <t>90739</t>
  </si>
  <si>
    <t>기술 변화와 CapEx 낙수 효과를 동시에</t>
  </si>
  <si>
    <t>90738</t>
  </si>
  <si>
    <t>배당 확대 여지는 확인</t>
  </si>
  <si>
    <t>90737</t>
  </si>
  <si>
    <t>031980</t>
  </si>
  <si>
    <t>피에스케이홀딩스</t>
  </si>
  <si>
    <t>후공정 투자의 최전선</t>
  </si>
  <si>
    <t>90736</t>
  </si>
  <si>
    <t>146320</t>
  </si>
  <si>
    <t>비씨엔씨</t>
  </si>
  <si>
    <t>숨겨진 보석</t>
  </si>
  <si>
    <t>90735</t>
  </si>
  <si>
    <t>흥행한 IP의 힘</t>
  </si>
  <si>
    <t>90734</t>
  </si>
  <si>
    <t>올해도 순항 예정</t>
  </si>
  <si>
    <t>90733</t>
  </si>
  <si>
    <t>Top Pick으로 지속 추천!</t>
  </si>
  <si>
    <t>90732</t>
  </si>
  <si>
    <t>올해는 왕년의 영광을 재현할 수 있을까?</t>
  </si>
  <si>
    <t>90731</t>
  </si>
  <si>
    <t>배당은 아쉽지만 원전 모멘텀은 유효하다</t>
  </si>
  <si>
    <t>90730</t>
  </si>
  <si>
    <t>민수용 미수금 회수는 긍정적이나 배당이 아쉽다</t>
  </si>
  <si>
    <t>90729</t>
  </si>
  <si>
    <t>확인될 때까지</t>
  </si>
  <si>
    <t>90728</t>
  </si>
  <si>
    <t>국내 장비 대장</t>
  </si>
  <si>
    <t>90727</t>
  </si>
  <si>
    <t>올해 활동 계획이 구체화되는 시점에 주목</t>
  </si>
  <si>
    <t>90726</t>
  </si>
  <si>
    <t>예상한 대로</t>
  </si>
  <si>
    <t>90725</t>
  </si>
  <si>
    <t>4Q25P Review: 삼성전자 투자 수혜</t>
  </si>
  <si>
    <t>90724</t>
  </si>
  <si>
    <t>또 한번의 Harvest</t>
  </si>
  <si>
    <t>90723</t>
  </si>
  <si>
    <t>과도한 낙관에 대한 경계심 유지</t>
  </si>
  <si>
    <t>90722</t>
  </si>
  <si>
    <t>011930</t>
  </si>
  <si>
    <t>신성이엔지</t>
  </si>
  <si>
    <t>펀더멘털 회복과 불붙는 신사업</t>
  </si>
  <si>
    <t>90721</t>
  </si>
  <si>
    <t>137400</t>
  </si>
  <si>
    <t>피엔티</t>
  </si>
  <si>
    <t>건식 공정과 전고체의 교집합</t>
  </si>
  <si>
    <t>90720</t>
  </si>
  <si>
    <t>455180</t>
  </si>
  <si>
    <t>케이지에이</t>
  </si>
  <si>
    <t>이차전지 전극공정(코팅, 프레스, 슬리터) 장비 기업</t>
  </si>
  <si>
    <t>90719</t>
  </si>
  <si>
    <t>시간이 더 필요</t>
  </si>
  <si>
    <t>90718</t>
  </si>
  <si>
    <t>심방세동 파이프라인 가치 반영 시작</t>
  </si>
  <si>
    <t>90717</t>
  </si>
  <si>
    <t>추가 해외 수주가 필요</t>
  </si>
  <si>
    <t>90716</t>
  </si>
  <si>
    <t>460940</t>
  </si>
  <si>
    <t>피앤에스로보틱스</t>
  </si>
  <si>
    <t>[AI] 환자 맞춤형 재활훈련 로봇시스템 전문기업</t>
  </si>
  <si>
    <t>90715</t>
  </si>
  <si>
    <t>001810</t>
  </si>
  <si>
    <t>무림SP</t>
  </si>
  <si>
    <t>[AI] CCP 국내 시장 독점적 지위의 제지 전문기업</t>
  </si>
  <si>
    <t>90714</t>
  </si>
  <si>
    <t>2026-02-26</t>
  </si>
  <si>
    <t>새로운 성장 궤도 진입</t>
  </si>
  <si>
    <t>90713</t>
  </si>
  <si>
    <t>경산 펜타힐즈W 탐방 후기, 자체 사업의 잠재력</t>
  </si>
  <si>
    <t>90712</t>
  </si>
  <si>
    <t>체외진단 매출 5,000억원 시대를 예고하다</t>
  </si>
  <si>
    <t>90711</t>
  </si>
  <si>
    <t>가격 매력 발생</t>
  </si>
  <si>
    <t>90710</t>
  </si>
  <si>
    <t>역사적 신고가 경신은 새로운 시작을 의미</t>
  </si>
  <si>
    <t>90709</t>
  </si>
  <si>
    <t>좋은 출발</t>
  </si>
  <si>
    <t>90708</t>
  </si>
  <si>
    <t>297090</t>
  </si>
  <si>
    <t>씨에스베어링</t>
  </si>
  <si>
    <t>낮아진 기대, 예상 밖의 좋은 실적</t>
  </si>
  <si>
    <t>90707</t>
  </si>
  <si>
    <t>로봇산업 진출, P와 Q의 확</t>
  </si>
  <si>
    <t>90706</t>
  </si>
  <si>
    <t>이익과 파이프라인 성장</t>
  </si>
  <si>
    <t>90705</t>
  </si>
  <si>
    <t>1월 Review: 반등의 실마리는 만들어졌다</t>
  </si>
  <si>
    <t>90704</t>
  </si>
  <si>
    <t>적층 메모리(HBM, HBF,SOCAMM) 모두 대응 가능한 유일한 장비사</t>
  </si>
  <si>
    <t>90703</t>
  </si>
  <si>
    <t>별도법인 매출 성장세 견조</t>
  </si>
  <si>
    <t>90702</t>
  </si>
  <si>
    <t>출발이 좋다</t>
  </si>
  <si>
    <t>90701</t>
  </si>
  <si>
    <t>고객사 출하 전략의 수혜</t>
  </si>
  <si>
    <t>90700</t>
  </si>
  <si>
    <t>069080</t>
  </si>
  <si>
    <t>웹젠</t>
  </si>
  <si>
    <t>주주환원 확대에도 부진한 신작 성과</t>
  </si>
  <si>
    <t>90699</t>
  </si>
  <si>
    <t>미국 공장 가동으로 실적 개선 기대</t>
  </si>
  <si>
    <t>90698</t>
  </si>
  <si>
    <t>089890</t>
  </si>
  <si>
    <t>코세스</t>
  </si>
  <si>
    <t>SOFC 증설 사이클 초입, 실적 레벨업 시작</t>
  </si>
  <si>
    <t>90697</t>
  </si>
  <si>
    <t>094170</t>
  </si>
  <si>
    <t>동운아나텍</t>
  </si>
  <si>
    <t>4Q25P Review: 본업 실적 성장 속에, 상반기에 의료기기 임상 진행 예정</t>
  </si>
  <si>
    <t>90696</t>
  </si>
  <si>
    <t>본격적인 턴어라운드로 26년 사상 최대 실적 전망</t>
  </si>
  <si>
    <t>90695</t>
  </si>
  <si>
    <t>폴더블 + IT OLED 적자폭 축소</t>
  </si>
  <si>
    <t>90694</t>
  </si>
  <si>
    <t>2026-02-25</t>
  </si>
  <si>
    <t>성장 스토리 이상 無</t>
  </si>
  <si>
    <t>90693</t>
  </si>
  <si>
    <t>우려 대비 두드러지는 자신감</t>
  </si>
  <si>
    <t>90692</t>
  </si>
  <si>
    <t>2026년 및 중장기 사업계획 IR 핵심내용 정리</t>
  </si>
  <si>
    <t>90691</t>
  </si>
  <si>
    <t>달라질 2026년</t>
  </si>
  <si>
    <t>90690</t>
  </si>
  <si>
    <t>26년에도 멈추지 않을 실적개선</t>
  </si>
  <si>
    <t>90689</t>
  </si>
  <si>
    <t>대형원전, SMR 모두 수주 모멘텀 확장</t>
  </si>
  <si>
    <t>90688</t>
  </si>
  <si>
    <t>오랫동안 많이 해본 놈이 잘한다!</t>
  </si>
  <si>
    <t>90687</t>
  </si>
  <si>
    <t>하나만 낳아 잘 키우자</t>
  </si>
  <si>
    <t>90686</t>
  </si>
  <si>
    <t>아직 해외 원전 EPC 사업가치 재평가는 끝나지 않았다!</t>
  </si>
  <si>
    <t>90685</t>
  </si>
  <si>
    <t>본업 Super-Cycle + 연결회사 실적 개선=Re-Rating</t>
  </si>
  <si>
    <t>90684</t>
  </si>
  <si>
    <t>유가의 함수에서 벗어나다</t>
  </si>
  <si>
    <t>90683</t>
  </si>
  <si>
    <t>더 나아질 2026년</t>
  </si>
  <si>
    <t>90682</t>
  </si>
  <si>
    <t>수주가 넘치죠</t>
  </si>
  <si>
    <t>90681</t>
  </si>
  <si>
    <t>수익성 확대 지속</t>
  </si>
  <si>
    <t>90680</t>
  </si>
  <si>
    <t>4Q25 Review: 신사업 기반 멀티플 확대 국면 진입</t>
  </si>
  <si>
    <t>90679</t>
  </si>
  <si>
    <t>4Q25P Review: AI Agent 시장 확대 및 AI 오케스트레이션 기업으로 도약 중</t>
  </si>
  <si>
    <t>90678</t>
  </si>
  <si>
    <t>2Q26 수익성 개선 기울기에 주목</t>
  </si>
  <si>
    <t>90677</t>
  </si>
  <si>
    <t>4Q25P Review: 방산 사업 정상화 기대</t>
  </si>
  <si>
    <t>90676</t>
  </si>
  <si>
    <t>단단해진 펀더멘털, 높아진 성장 가시성</t>
  </si>
  <si>
    <t>90675</t>
  </si>
  <si>
    <t>464490</t>
  </si>
  <si>
    <t>쿼드메디슨</t>
  </si>
  <si>
    <t>바이오 소부장의 숨은 진주</t>
  </si>
  <si>
    <t>90674</t>
  </si>
  <si>
    <t>수주&amp;실적&amp;모멘텀 3박자가 완벽</t>
  </si>
  <si>
    <t>90673</t>
  </si>
  <si>
    <t>임상 데이터가 만든 기업가치 변곡점</t>
  </si>
  <si>
    <t>90672</t>
  </si>
  <si>
    <t>2026-02-24</t>
  </si>
  <si>
    <t>045100</t>
  </si>
  <si>
    <t>한양이엔지</t>
  </si>
  <si>
    <t>반도체 인프라 1위를 넘어 우주항공 핵심기업으로 부상</t>
  </si>
  <si>
    <t>90671</t>
  </si>
  <si>
    <t>011560</t>
  </si>
  <si>
    <t>세보엠이씨</t>
  </si>
  <si>
    <t>하이테크 매출비중 85%, 반도체 설비투자 확대의 직접적 수혜주</t>
  </si>
  <si>
    <t>90670</t>
  </si>
  <si>
    <t>053080</t>
  </si>
  <si>
    <t>케이엔솔</t>
  </si>
  <si>
    <t>반도체 ICR 부문의 성장과 숨고르기에 들어간 드라이룸</t>
  </si>
  <si>
    <t>90669</t>
  </si>
  <si>
    <t>037350</t>
  </si>
  <si>
    <t>성도이엔지</t>
  </si>
  <si>
    <t>PBR 0.3배로 반도체 하이테크 설비업종 최대 저평가 메리트 보유</t>
  </si>
  <si>
    <t>90668</t>
  </si>
  <si>
    <t>저점 종료. 26년 상승 개시</t>
  </si>
  <si>
    <t>90667</t>
  </si>
  <si>
    <t>성장 스토리 유효, 마진은 개선 과제</t>
  </si>
  <si>
    <t>90666</t>
  </si>
  <si>
    <t>코스닥 내 돋보이는 실적주</t>
  </si>
  <si>
    <t>90665</t>
  </si>
  <si>
    <t>3월 전략 - 호재 상존, 여기서 더 오를 것입니다</t>
  </si>
  <si>
    <t>90664</t>
  </si>
  <si>
    <t>3월 전략 - 자사주냐 배당이냐 그것이 문제로다</t>
  </si>
  <si>
    <t>90663</t>
  </si>
  <si>
    <t>3월 전략 - 5G SA 진화 감안 시 한참 더 오를 것입니다</t>
  </si>
  <si>
    <t>90662</t>
  </si>
  <si>
    <t>해상풍력 매출 성장과 마진 상승 기대</t>
  </si>
  <si>
    <t>90661</t>
  </si>
  <si>
    <t>[다시봐] 작지만 강한 기업</t>
  </si>
  <si>
    <t>90660</t>
  </si>
  <si>
    <t>시급한 재평가</t>
  </si>
  <si>
    <t>90659</t>
  </si>
  <si>
    <t>재평가가 필요하다</t>
  </si>
  <si>
    <t>90658</t>
  </si>
  <si>
    <t>90657</t>
  </si>
  <si>
    <t>냉정과 열정 사이, 밸류에이션 콜</t>
  </si>
  <si>
    <t>90656</t>
  </si>
  <si>
    <t>034830</t>
  </si>
  <si>
    <t>한국토지신탁</t>
  </si>
  <si>
    <t>시작된 2026년 실적 턴어라운드</t>
  </si>
  <si>
    <t>90655</t>
  </si>
  <si>
    <t>조선부문 수주 확대 예상</t>
  </si>
  <si>
    <t>90654</t>
  </si>
  <si>
    <t>4Q25 Re: 이번 주가 상승, 난 좀 다르게 본다</t>
  </si>
  <si>
    <t>90653</t>
  </si>
  <si>
    <t>수익성 아쉽지만, 올해에 대한 자신감은 긍정적</t>
  </si>
  <si>
    <t>90652</t>
  </si>
  <si>
    <t>4Q25P Review: 지난해 투자 효과 기대</t>
  </si>
  <si>
    <t>90651</t>
  </si>
  <si>
    <t>[NDR 후기] 실적이 안갯속 나침반이 되길</t>
  </si>
  <si>
    <t>90650</t>
  </si>
  <si>
    <t>080530</t>
  </si>
  <si>
    <t>코디</t>
  </si>
  <si>
    <t>색조 확장 사이클·인디브랜드 성장과 함께 실적 개선 본격</t>
  </si>
  <si>
    <t>90649</t>
  </si>
  <si>
    <t>불확실성만 해소된다면 드러날 호재들</t>
  </si>
  <si>
    <t>90648</t>
  </si>
  <si>
    <t>2026-02-23</t>
  </si>
  <si>
    <t>풍성하다</t>
  </si>
  <si>
    <t>90647</t>
  </si>
  <si>
    <t>[4Q25 Review] 고스트로보틱스, 우려가 기대로</t>
  </si>
  <si>
    <t>90646</t>
  </si>
  <si>
    <t>신뢰의 문제</t>
  </si>
  <si>
    <t>90645</t>
  </si>
  <si>
    <t>4Q25 호실적으로 26년 방향성 입증</t>
  </si>
  <si>
    <t>90644</t>
  </si>
  <si>
    <t>NDR후기: 반등을 기다리며</t>
  </si>
  <si>
    <t>90643</t>
  </si>
  <si>
    <t>Physical-AI가 꺾이지 않는다면, 무너지지 않을 가격</t>
  </si>
  <si>
    <t>90642</t>
  </si>
  <si>
    <t>매출 순항 중</t>
  </si>
  <si>
    <t>90641</t>
  </si>
  <si>
    <t>전 법인 호조! 일회성 제외시 더 호실적!</t>
  </si>
  <si>
    <t>90640</t>
  </si>
  <si>
    <t>본업/부업 모두 업사이드 크다</t>
  </si>
  <si>
    <t>90639</t>
  </si>
  <si>
    <t>사상 최대 호텔 이익과 개발 가시화</t>
  </si>
  <si>
    <t>90638</t>
  </si>
  <si>
    <t>더 이상 정유 Up-Cycle에서 소외되지 않는다</t>
  </si>
  <si>
    <t>90637</t>
  </si>
  <si>
    <t>2026년에도 지속될 실적 성장</t>
  </si>
  <si>
    <t>90636</t>
  </si>
  <si>
    <t>K-ODM의 날개를 달다</t>
  </si>
  <si>
    <t>90635</t>
  </si>
  <si>
    <t>090850</t>
  </si>
  <si>
    <t>현대이지웰</t>
  </si>
  <si>
    <t>기업도 직원도 모두 좋은 선택적 복지</t>
  </si>
  <si>
    <t>90634</t>
  </si>
  <si>
    <t>2026년 신제품 수주 확대와 이익 레버리지 본격화</t>
  </si>
  <si>
    <t>90633</t>
  </si>
  <si>
    <t>오리무중</t>
  </si>
  <si>
    <t>90632</t>
  </si>
  <si>
    <t>KAI 편입 이후 항공, 우주 통신 핵심부품 국산화의 전략적 허브로 재편</t>
  </si>
  <si>
    <t>90631</t>
  </si>
  <si>
    <t>전인미답</t>
  </si>
  <si>
    <t>90630</t>
  </si>
  <si>
    <t>국민 1등 주식</t>
  </si>
  <si>
    <t>90629</t>
  </si>
  <si>
    <t>배당, 그리고 언더라이팅 수석</t>
  </si>
  <si>
    <t>90628</t>
  </si>
  <si>
    <t>주주가치 제고, 바랍니다.</t>
  </si>
  <si>
    <t>90627</t>
  </si>
  <si>
    <t>어렵게 되찾은 미용 왕좌, 이제 장기집권 시대로</t>
  </si>
  <si>
    <t>90626</t>
  </si>
  <si>
    <t>에너지 사업 확대 긍정적</t>
  </si>
  <si>
    <t>90625</t>
  </si>
  <si>
    <t>416180</t>
  </si>
  <si>
    <t>신성에스티</t>
  </si>
  <si>
    <t>북미 ESS 나빌레라</t>
  </si>
  <si>
    <t>90624</t>
  </si>
  <si>
    <t>이지하게 배당 올라왔다</t>
  </si>
  <si>
    <t>90623</t>
  </si>
  <si>
    <t>001820</t>
  </si>
  <si>
    <t>삼화콘덴서</t>
  </si>
  <si>
    <t>가격 인상 기대 및 DC-Link 매출 성장 본격화</t>
  </si>
  <si>
    <t>90622</t>
  </si>
  <si>
    <t>꽉 잡아, 2027년에 진짜 큰거 온다</t>
  </si>
  <si>
    <t>90621</t>
  </si>
  <si>
    <t>체질 업그레이드 중</t>
  </si>
  <si>
    <t>90620</t>
  </si>
  <si>
    <t>GOAT (Greatest of All Time)</t>
  </si>
  <si>
    <t>90619</t>
  </si>
  <si>
    <t>영국 특허 첫 판결, 머크에 손 들어줬다</t>
  </si>
  <si>
    <t>90618</t>
  </si>
  <si>
    <t>마진까지 챙길 성장주</t>
  </si>
  <si>
    <t>90617</t>
  </si>
  <si>
    <t>4Q25 Re: 기대치 상회, 추가 주주환원 기대감 상승 중</t>
  </si>
  <si>
    <t>90616</t>
  </si>
  <si>
    <t>[NDR 후기] 바닥 친 기대감</t>
  </si>
  <si>
    <t>90615</t>
  </si>
  <si>
    <t>4Q25 Re: 기대치 하회했으나 자본이 급증</t>
  </si>
  <si>
    <t>90614</t>
  </si>
  <si>
    <t>4Q25 Re: 기대치 하회, 주가는 여전히 너무나 싸다</t>
  </si>
  <si>
    <t>90613</t>
  </si>
  <si>
    <t>4Q25P Review: 9분기 만에 매출 성장</t>
  </si>
  <si>
    <t>90612</t>
  </si>
  <si>
    <t>4Q25P Review: 수익성 개선 지속 긍정적</t>
  </si>
  <si>
    <t>90611</t>
  </si>
  <si>
    <t>흑자 기조 지속</t>
  </si>
  <si>
    <t>90610</t>
  </si>
  <si>
    <t>실적 회복 지연 속, 음극재 수혜 기대</t>
  </si>
  <si>
    <t>90609</t>
  </si>
  <si>
    <t>장비, 고객 다변화 지속</t>
  </si>
  <si>
    <t>90608</t>
  </si>
  <si>
    <t>기대감을 만드는 환원</t>
  </si>
  <si>
    <t>90607</t>
  </si>
  <si>
    <t>생태계 조성자</t>
  </si>
  <si>
    <t>90606</t>
  </si>
  <si>
    <t>배당수익률 3%대 진입</t>
  </si>
  <si>
    <t>90605</t>
  </si>
  <si>
    <t>2026-02-20</t>
  </si>
  <si>
    <t>삼성디스플레이 지분 매각에 따른 멀티플 개선 전망</t>
  </si>
  <si>
    <t>90604</t>
  </si>
  <si>
    <t>과속 방지턱은 확인하면서 가야지</t>
  </si>
  <si>
    <t>90603</t>
  </si>
  <si>
    <t>만년 저평가 상태를 어떻게 해소할 것인가?</t>
  </si>
  <si>
    <t>90602</t>
  </si>
  <si>
    <t>26년 = Q-growth</t>
  </si>
  <si>
    <t>90601</t>
  </si>
  <si>
    <t>대미투자 수혜까지 기대된다</t>
  </si>
  <si>
    <t>90600</t>
  </si>
  <si>
    <t>765kV 변압기 수혜전망</t>
  </si>
  <si>
    <t>90599</t>
  </si>
  <si>
    <t>보여줄 게 남았다</t>
  </si>
  <si>
    <t>90598</t>
  </si>
  <si>
    <t>26년은 수익성 개선이 기대되는 한 해</t>
  </si>
  <si>
    <t>90597</t>
  </si>
  <si>
    <t>이것이 밸류업</t>
  </si>
  <si>
    <t>90596</t>
  </si>
  <si>
    <t>26년 전장향 매출 확대</t>
  </si>
  <si>
    <t>90595</t>
  </si>
  <si>
    <t>1Q 깜작실적, 그리고 2026년 피지컬AI 진출!</t>
  </si>
  <si>
    <t>90594</t>
  </si>
  <si>
    <t>007810</t>
  </si>
  <si>
    <t>코리아써키트</t>
  </si>
  <si>
    <t>2026년 차별화된 성장, 저평가 지속!</t>
  </si>
  <si>
    <t>90593</t>
  </si>
  <si>
    <t>실적은 잠시 주춤, 큰 성장을 이뤄가는 중</t>
  </si>
  <si>
    <t>90592</t>
  </si>
  <si>
    <t>4Q25P Review: 수출 회복 지속 긍정적</t>
  </si>
  <si>
    <t>90591</t>
  </si>
  <si>
    <t>000520</t>
  </si>
  <si>
    <t>삼일제약</t>
  </si>
  <si>
    <t>실적 정상화와 구조적 재평가 국면</t>
  </si>
  <si>
    <t>90590</t>
  </si>
  <si>
    <t>보유자산 매각 추진 검토 공시 관련 코멘트</t>
  </si>
  <si>
    <t>90589</t>
  </si>
  <si>
    <t>NDR 후기, AI기반 보안 고도화 수혜주</t>
  </si>
  <si>
    <t>90588</t>
  </si>
  <si>
    <t>업황은 둔화, 지위는 견고</t>
  </si>
  <si>
    <t>90587</t>
  </si>
  <si>
    <t>희망은 있으나, 풀어야 할 과제도 명확</t>
  </si>
  <si>
    <t>90586</t>
  </si>
  <si>
    <t>FEOC 세부안 발표: 비중국산 프리미엄 근거 확보</t>
  </si>
  <si>
    <t>90585</t>
  </si>
  <si>
    <t>BM 변화가 주는 함의</t>
  </si>
  <si>
    <t>90584</t>
  </si>
  <si>
    <t>AI 수혜 시작. 저평가 매력 주목</t>
  </si>
  <si>
    <t>90583</t>
  </si>
  <si>
    <t>476040</t>
  </si>
  <si>
    <t>오가노이드사이언스</t>
  </si>
  <si>
    <t>산업 변화 직전 오가노이드 New Era Era</t>
  </si>
  <si>
    <t>90582</t>
  </si>
  <si>
    <t>고마진 포트폴리오 전환, 영업이익률 30% 시대 진입</t>
  </si>
  <si>
    <t>90581</t>
  </si>
  <si>
    <t>다시 한번 사상 최대 실적 경신 도전</t>
  </si>
  <si>
    <t>90580</t>
  </si>
  <si>
    <t>2026-02-19</t>
  </si>
  <si>
    <t>자율주행 모멘텀도 가시화(feat. Waymo &amp; Motional)</t>
  </si>
  <si>
    <t>90579</t>
  </si>
  <si>
    <t>[NDR 후기] 통합 법인 출범, 구조적 성장 본격화</t>
  </si>
  <si>
    <t>90578</t>
  </si>
  <si>
    <t>미운 오리에서 백조가 될 가능성</t>
  </si>
  <si>
    <t>90577</t>
  </si>
  <si>
    <t>251970</t>
  </si>
  <si>
    <t>펌텍코리아</t>
  </si>
  <si>
    <t>영업일 수 및 4공장 램프업 영향, 문제없는 수주</t>
  </si>
  <si>
    <t>90576</t>
  </si>
  <si>
    <t>4Q25 Review: 본업은 잘 진행 중입니다</t>
  </si>
  <si>
    <t>90575</t>
  </si>
  <si>
    <t>4Q25 Review: 원전 차근차근 진행중</t>
  </si>
  <si>
    <t>90574</t>
  </si>
  <si>
    <t>425420</t>
  </si>
  <si>
    <t>티에프이</t>
  </si>
  <si>
    <t>나도 코스닥 테스트 소켓 기업</t>
  </si>
  <si>
    <t>90573</t>
  </si>
  <si>
    <t>4Q25 리뷰: 기대치 하회했지만 여전히 넉넉한 수주잔고</t>
  </si>
  <si>
    <t>90572</t>
  </si>
  <si>
    <t>4Q25 NDR 후기: 시작이 좋다</t>
  </si>
  <si>
    <t>90571</t>
  </si>
  <si>
    <t>믿고 다시 돌아봐야 할 때 (NDR후기)</t>
  </si>
  <si>
    <t>90570</t>
  </si>
  <si>
    <t>4Q25 Review: 영업 레버리지, 브라질 환입으로 컨센 상회</t>
  </si>
  <si>
    <t>90569</t>
  </si>
  <si>
    <t>2026년 미국과 유럽 중심 성장 기대</t>
  </si>
  <si>
    <t>90568</t>
  </si>
  <si>
    <t>4Q25 Review: 좀 더 멀리보자</t>
  </si>
  <si>
    <t>90567</t>
  </si>
  <si>
    <t>4Q25 Review: 턴어라운드, 성장은 이제 시작</t>
  </si>
  <si>
    <t>90566</t>
  </si>
  <si>
    <t>숫자는 거짓말을 하지 않는다</t>
  </si>
  <si>
    <t>90565</t>
  </si>
  <si>
    <t>아이센스, 지축을 박차고 포효하라</t>
  </si>
  <si>
    <t>90564</t>
  </si>
  <si>
    <t>배터리 알루미늄박 전성 시대 온다</t>
  </si>
  <si>
    <t>90563</t>
  </si>
  <si>
    <t>비교업체 대비 주가 약세 과도</t>
  </si>
  <si>
    <t>90562</t>
  </si>
  <si>
    <t>실적은 단기 부진, 멀리보면 잘 가고 있음</t>
  </si>
  <si>
    <t>90561</t>
  </si>
  <si>
    <t>4Q25P Review: 사업 다변화 본격 추진</t>
  </si>
  <si>
    <t>90560</t>
  </si>
  <si>
    <t>업황 바닥에도 이 정도 실적</t>
  </si>
  <si>
    <t>90559</t>
  </si>
  <si>
    <t>흔들림 없는 성장</t>
  </si>
  <si>
    <t>90558</t>
  </si>
  <si>
    <t>느리지만 회복 중</t>
  </si>
  <si>
    <t>90557</t>
  </si>
  <si>
    <t>4Q25P Review: 19 분기 연속 매출 성장, 영업이익 분기 최초 500억원 돌파</t>
  </si>
  <si>
    <t>90556</t>
  </si>
  <si>
    <t>StrongBuy</t>
  </si>
  <si>
    <t>증명한 Next Level과 보여줄 Next Step</t>
  </si>
  <si>
    <t>90555</t>
  </si>
  <si>
    <t>유일무이하다 유일무이한</t>
  </si>
  <si>
    <t>90554</t>
  </si>
  <si>
    <t>미국·중동 등 수주 확대 및 실적개선 가속화</t>
  </si>
  <si>
    <t>90553</t>
  </si>
  <si>
    <t>002320</t>
  </si>
  <si>
    <t>한진</t>
  </si>
  <si>
    <t>K-브랜드 수요 확대로 글로벌부문 확장세</t>
  </si>
  <si>
    <t>90552</t>
  </si>
  <si>
    <t>올해 수익성 대폭 개선 및 자사주 소각 기대</t>
  </si>
  <si>
    <t>90551</t>
  </si>
  <si>
    <t>자사주 소각 기대 및 중동 등 수출지역 확대로 레벨업</t>
  </si>
  <si>
    <t>90550</t>
  </si>
  <si>
    <t>美 원전 수주 등 사상 최대 수주 행진 이어진다⇒밸류 UP</t>
  </si>
  <si>
    <t>90549</t>
  </si>
  <si>
    <t>북미 시장의 수요 개선과 관세 부담 해소가 관건</t>
  </si>
  <si>
    <t>90548</t>
  </si>
  <si>
    <t>방산 수출 확대와 GR의 실적 턴어라운드 기대</t>
  </si>
  <si>
    <t>90547</t>
  </si>
  <si>
    <t>성장에 성장에 성장을 더해서</t>
  </si>
  <si>
    <t>90546</t>
  </si>
  <si>
    <t>묵묵히, 가야 할 곳을 향해</t>
  </si>
  <si>
    <t>90545</t>
  </si>
  <si>
    <t>080580</t>
  </si>
  <si>
    <t>오킨스전자</t>
  </si>
  <si>
    <t>반도체 테스트 시장의 올라운더</t>
  </si>
  <si>
    <t>90544</t>
  </si>
  <si>
    <t>금융정보서비스 기업에서 인덱스 사업자로</t>
  </si>
  <si>
    <t>90543</t>
  </si>
  <si>
    <t>아쉬운 타워 부문 vs. 생각보다 괜찮은 수익성</t>
  </si>
  <si>
    <t>90542</t>
  </si>
  <si>
    <t>2026-02-13</t>
  </si>
  <si>
    <t>조롱을 환호로 바꿀 것</t>
  </si>
  <si>
    <t>90541</t>
  </si>
  <si>
    <t>[NDR 후기]우주 사업 가치 반영으로 목표가 상향</t>
  </si>
  <si>
    <t>90540</t>
  </si>
  <si>
    <t>27년 이후 수요까지 대비한 증설 전망</t>
  </si>
  <si>
    <t>90539</t>
  </si>
  <si>
    <t>102710</t>
  </si>
  <si>
    <t>이엔에프테크놀로지</t>
  </si>
  <si>
    <t>앞으로 기대되는 일들이 많다</t>
  </si>
  <si>
    <t>90538</t>
  </si>
  <si>
    <t>4Q25 Review: 2026년 ‘방’향은 ‘탄’탄대로</t>
  </si>
  <si>
    <t>90537</t>
  </si>
  <si>
    <t>단단한 하방과 열려있는 상방</t>
  </si>
  <si>
    <t>90536</t>
  </si>
  <si>
    <t>AI 수익화의 원년</t>
  </si>
  <si>
    <t>90535</t>
  </si>
  <si>
    <t>라우드와 경영효율화가 견인한 묵직한 이익 성장</t>
  </si>
  <si>
    <t>90534</t>
  </si>
  <si>
    <t>이제 AP1000과 SMR 차례</t>
  </si>
  <si>
    <t>90533</t>
  </si>
  <si>
    <t>우린 작년 4월의 약속을 기억해요</t>
  </si>
  <si>
    <t>90532</t>
  </si>
  <si>
    <t>톡 DA 성과 확인. AI 에이전트 외부 확장이 중요</t>
  </si>
  <si>
    <t>90531</t>
  </si>
  <si>
    <t>이제부터 1년 내내 BTS</t>
  </si>
  <si>
    <t>90530</t>
  </si>
  <si>
    <t>1회성 비용 이슈 제외하면 컨센서스 부합</t>
  </si>
  <si>
    <t>90529</t>
  </si>
  <si>
    <t>[4Q25 Review] 순이익 서프라이즈!</t>
  </si>
  <si>
    <t>90528</t>
  </si>
  <si>
    <t>‘26년부터는 조금 쓰고 많이 벌어요</t>
  </si>
  <si>
    <t>90527</t>
  </si>
  <si>
    <t>추정치 재차 상향</t>
  </si>
  <si>
    <t>90526</t>
  </si>
  <si>
    <t>톡비즈 광고 성장, P와 Q 모두 예상보다 클 것</t>
  </si>
  <si>
    <t>90525</t>
  </si>
  <si>
    <t>톡개편에 의한 실적 개선</t>
  </si>
  <si>
    <t>90524</t>
  </si>
  <si>
    <t>사업 포트폴리오 다각화</t>
  </si>
  <si>
    <t>90523</t>
  </si>
  <si>
    <t>업황 둔화 속 수익성 방어</t>
  </si>
  <si>
    <t>90522</t>
  </si>
  <si>
    <t>4분기 실적 리뷰 및 NDR 후기</t>
  </si>
  <si>
    <t>90521</t>
  </si>
  <si>
    <t>가이던스에 일회일비 않기</t>
  </si>
  <si>
    <t>90520</t>
  </si>
  <si>
    <t>고비를 넘기다</t>
  </si>
  <si>
    <t>90519</t>
  </si>
  <si>
    <t>꾸준한데 싼 의료기기 소부장 기업</t>
  </si>
  <si>
    <t>90518</t>
  </si>
  <si>
    <t>붉은사막 이후도 생각할 시기</t>
  </si>
  <si>
    <t>90517</t>
  </si>
  <si>
    <t>BTS 월드투어 추정치 상향</t>
  </si>
  <si>
    <t>90516</t>
  </si>
  <si>
    <t>춘절부터 더 강해질 모멘텀</t>
  </si>
  <si>
    <t>90515</t>
  </si>
  <si>
    <t>4Q25 Review: 유효시장 점유율 상승 긍정적</t>
  </si>
  <si>
    <t>90514</t>
  </si>
  <si>
    <t>매출 성장도 하고, 이익 성장도 하고</t>
  </si>
  <si>
    <t>90513</t>
  </si>
  <si>
    <t>Crimson Desert is coming</t>
  </si>
  <si>
    <t>90512</t>
  </si>
  <si>
    <t>4Q25P Review: 수주 다각화 확대 중</t>
  </si>
  <si>
    <t>90511</t>
  </si>
  <si>
    <t>주주가치 제고에 대한 의지</t>
  </si>
  <si>
    <t>90510</t>
  </si>
  <si>
    <t>4Q25 Review: 넌 우리 마을의 영웅이야</t>
  </si>
  <si>
    <t>90509</t>
  </si>
  <si>
    <t>성장사업 위주의 외형 및 수익성 성장</t>
  </si>
  <si>
    <t>90508</t>
  </si>
  <si>
    <t>4Q25P Review: 3분기 연속 두 자리 수 매출 성장</t>
  </si>
  <si>
    <t>90507</t>
  </si>
  <si>
    <t>26년 가장 바쁠 한 해</t>
  </si>
  <si>
    <t>90506</t>
  </si>
  <si>
    <t>언제나 훌륭한 최선호주</t>
  </si>
  <si>
    <t>90505</t>
  </si>
  <si>
    <t>확대되는 점유율 안정적 성장과 배당 매력</t>
  </si>
  <si>
    <t>90504</t>
  </si>
  <si>
    <t>046890</t>
  </si>
  <si>
    <t>서울반도체</t>
  </si>
  <si>
    <t>4Q 흑전, 전장향 호조</t>
  </si>
  <si>
    <t>90503</t>
  </si>
  <si>
    <t>6년 만의 흑자 전환</t>
  </si>
  <si>
    <t>90502</t>
  </si>
  <si>
    <t>원전 팀코리아 러브콜로 성장 잠재력 확대</t>
  </si>
  <si>
    <t>90501</t>
  </si>
  <si>
    <t>4Q25 Review: 명확한 성장 시그널</t>
  </si>
  <si>
    <t>90500</t>
  </si>
  <si>
    <t>모든 준비는 끝났다</t>
  </si>
  <si>
    <t>90499</t>
  </si>
  <si>
    <t>비용 다 끝났니? 이제 할 일을 하자</t>
  </si>
  <si>
    <t>90498</t>
  </si>
  <si>
    <t>뭘 걱정해 이제 곧 춘절인데</t>
  </si>
  <si>
    <t>90497</t>
  </si>
  <si>
    <t>미국을 만난 미운 오리는 백(100)조가 되는 중</t>
  </si>
  <si>
    <t>90496</t>
  </si>
  <si>
    <t>AI 기대가 성과로 이어지기까지</t>
  </si>
  <si>
    <t>90495</t>
  </si>
  <si>
    <t>비용은 털어냈고, 왕의 귀환을 맞이할 때</t>
  </si>
  <si>
    <t>90494</t>
  </si>
  <si>
    <t>밸류 이전 현상 주목</t>
  </si>
  <si>
    <t>90493</t>
  </si>
  <si>
    <t>시간이 지날수록 유리</t>
  </si>
  <si>
    <t>90492</t>
  </si>
  <si>
    <t>기다림의 시간</t>
  </si>
  <si>
    <t>90491</t>
  </si>
  <si>
    <t>26년 YoY +100% 이상 가이던스</t>
  </si>
  <si>
    <t>90490</t>
  </si>
  <si>
    <t>AI CCL 독주 체제 지속</t>
  </si>
  <si>
    <t>90489</t>
  </si>
  <si>
    <t>올해도 재밌을 것 같습니다</t>
  </si>
  <si>
    <t>90488</t>
  </si>
  <si>
    <t>4분기 아쉬움에도 여전히 기대되는 26년</t>
  </si>
  <si>
    <t>90487</t>
  </si>
  <si>
    <t>연간 이익은 두 배로, 배당은 더 크게 증가</t>
  </si>
  <si>
    <t>90486</t>
  </si>
  <si>
    <t>기부경제선물 매출 역성장</t>
  </si>
  <si>
    <t>90485</t>
  </si>
  <si>
    <t>광고 회복세 관찰</t>
  </si>
  <si>
    <t>90484</t>
  </si>
  <si>
    <t>한국 반도체 장비 대표주</t>
  </si>
  <si>
    <t>90483</t>
  </si>
  <si>
    <t>007820</t>
  </si>
  <si>
    <t>에스엠코어</t>
  </si>
  <si>
    <t>2026년 턴어라운드와 수주 확대의 원년</t>
  </si>
  <si>
    <t>90482</t>
  </si>
  <si>
    <t>336680</t>
  </si>
  <si>
    <t>탑런토탈솔루션</t>
  </si>
  <si>
    <t>사업 모델 고도화와 외형 확대의 원년</t>
  </si>
  <si>
    <t>90481</t>
  </si>
  <si>
    <t>FC-BGA 업사이클 시동</t>
  </si>
  <si>
    <t>90480</t>
  </si>
  <si>
    <t>「AI」 카메라 모듈 검사장비 및 신사업 다각화 전문기업</t>
  </si>
  <si>
    <t>90479</t>
  </si>
  <si>
    <t>126730</t>
  </si>
  <si>
    <t>코칩</t>
  </si>
  <si>
    <t>「AI」 슈퍼커패시터 및 소형 이차전지 전문 제조 기업</t>
  </si>
  <si>
    <t>90478</t>
  </si>
  <si>
    <t>2026-02-12</t>
  </si>
  <si>
    <t>눈 앞으로 다가온 별도 자본 8조원</t>
  </si>
  <si>
    <t>90477</t>
  </si>
  <si>
    <t>P/E 10배를 향해 순항</t>
  </si>
  <si>
    <t>90476</t>
  </si>
  <si>
    <t>배당소득 분리과세 요건 충족</t>
  </si>
  <si>
    <t>90475</t>
  </si>
  <si>
    <t>신규 품목 가속 성장의 해</t>
  </si>
  <si>
    <t>90474</t>
  </si>
  <si>
    <t>역대급 주주환원에 신작일정도 GOOD</t>
  </si>
  <si>
    <t>90473</t>
  </si>
  <si>
    <t>322000</t>
  </si>
  <si>
    <t>HD현대에너지솔루션</t>
  </si>
  <si>
    <t>많이 오른 주가, 아직 물러설 구간이 아니다.</t>
  </si>
  <si>
    <t>90472</t>
  </si>
  <si>
    <t>배당 +40% 확대. 성장과 환원 두 마리 토끼 잡기</t>
  </si>
  <si>
    <t>90471</t>
  </si>
  <si>
    <t>4Q25 Review; 미국향 풀악셀</t>
  </si>
  <si>
    <t>90470</t>
  </si>
  <si>
    <t>397030</t>
  </si>
  <si>
    <t>에이프릴바이오</t>
  </si>
  <si>
    <t>큰 시장, 좋은 데이터, 후기 임상 진입의 삼박자</t>
  </si>
  <si>
    <t>90469</t>
  </si>
  <si>
    <t>4Q25 Review: 긍정적인 대외 변수</t>
  </si>
  <si>
    <t>90468</t>
  </si>
  <si>
    <t>90467</t>
  </si>
  <si>
    <t>주주환원 서프라이즈</t>
  </si>
  <si>
    <t>90466</t>
  </si>
  <si>
    <t>NDR 후기: 글로벌이 밀어주는 메디큐브!</t>
  </si>
  <si>
    <t>90465</t>
  </si>
  <si>
    <t>4Q25 Review: 본업과 주주환원의 동반 확대</t>
  </si>
  <si>
    <t>90464</t>
  </si>
  <si>
    <t>4Q25 Review: 한 박자 쉬고 다시 분기 최대 실적</t>
  </si>
  <si>
    <t>90463</t>
  </si>
  <si>
    <t>잠재 수요는 견조한 상황</t>
  </si>
  <si>
    <t>90462</t>
  </si>
  <si>
    <t>벌크선에 VLCC까지 요새 핫한거 다 있다</t>
  </si>
  <si>
    <t>90461</t>
  </si>
  <si>
    <t>본업과 자회사 모두 상당히 좋았다</t>
  </si>
  <si>
    <t>90460</t>
  </si>
  <si>
    <t>정상화된 4분기 영업실적, 올해 실적개선도 기대!</t>
  </si>
  <si>
    <t>90459</t>
  </si>
  <si>
    <t>배당 당사 기대치 상회 + 올해는 실적도 회복</t>
  </si>
  <si>
    <t>90458</t>
  </si>
  <si>
    <t>2026 방산 수출 둔화되지만, 구리 가격이 관전 포인트</t>
  </si>
  <si>
    <t>90457</t>
  </si>
  <si>
    <t>4Q25 Review : 백화점 모멘텀 강화 전망</t>
  </si>
  <si>
    <t>90456</t>
  </si>
  <si>
    <t>4Q25 Review : 기대감이 커지는 시기. 새벽배송에 대해선 냉정해야</t>
  </si>
  <si>
    <t>90455</t>
  </si>
  <si>
    <t>역시 살림 정말 잘 하는 집</t>
  </si>
  <si>
    <t>90454</t>
  </si>
  <si>
    <t>실적도, 배당도, 투자도 서프라이즈</t>
  </si>
  <si>
    <t>90453</t>
  </si>
  <si>
    <t>주가는 바닥, 실적 정상화는 아직</t>
  </si>
  <si>
    <t>90452</t>
  </si>
  <si>
    <t>IPO 전까지는 걱정 없다</t>
  </si>
  <si>
    <t>90451</t>
  </si>
  <si>
    <t>4Q25 리뷰: 역대 최대 영업이익 달성</t>
  </si>
  <si>
    <t>90450</t>
  </si>
  <si>
    <t>원가 부담에도 체력 확인 + 배당 서프라이즈</t>
  </si>
  <si>
    <t>90449</t>
  </si>
  <si>
    <t>우려를 떨쳐낸 아이온2 그리고 M&amp;A</t>
  </si>
  <si>
    <t>90448</t>
  </si>
  <si>
    <t>자산가치에 더한 호텔 슈퍼사이클</t>
  </si>
  <si>
    <t>90447</t>
  </si>
  <si>
    <t>수익성에 대한 눈높이를 낮춰도 높은 투자 매력도</t>
  </si>
  <si>
    <t>90446</t>
  </si>
  <si>
    <t>레이저티닙 성장 속도와 기술수출 가능성에 주목</t>
  </si>
  <si>
    <t>90445</t>
  </si>
  <si>
    <t>미국 직판 돈 얼마나 들어요?</t>
  </si>
  <si>
    <t>90444</t>
  </si>
  <si>
    <t>구조적 성장 본격화</t>
  </si>
  <si>
    <t>90443</t>
  </si>
  <si>
    <t>자회사 실적 아쉬운 점 주주가치 제고로 만회</t>
  </si>
  <si>
    <t>90441</t>
  </si>
  <si>
    <t>규제 해소에 대한 기대</t>
  </si>
  <si>
    <t>90440</t>
  </si>
  <si>
    <t>시황 부진에도 원가 경쟁력은 유지</t>
  </si>
  <si>
    <t>90439</t>
  </si>
  <si>
    <t>멀티플레이어로 변신 중</t>
  </si>
  <si>
    <t>90438</t>
  </si>
  <si>
    <t>실적 턴어라운드와 주주환원 강화</t>
  </si>
  <si>
    <t>90437</t>
  </si>
  <si>
    <t>나.. 귀여운데 돈도 잘 번다?</t>
  </si>
  <si>
    <t>90436</t>
  </si>
  <si>
    <t>내 거친 생각과 불안한 눈빛</t>
  </si>
  <si>
    <t>90435</t>
  </si>
  <si>
    <t>올해 운동 많이 될거야</t>
  </si>
  <si>
    <t>90434</t>
  </si>
  <si>
    <t>Re: 마트</t>
  </si>
  <si>
    <t>90433</t>
  </si>
  <si>
    <t>바닥 다지고 도약 준비</t>
  </si>
  <si>
    <t>90432</t>
  </si>
  <si>
    <t>백화점의 시간은 느리지만 단단하다</t>
  </si>
  <si>
    <t>90431</t>
  </si>
  <si>
    <t>업황 대비 선전</t>
  </si>
  <si>
    <t>90430</t>
  </si>
  <si>
    <t>기대했던 '반전'으로 최대 이익 기록</t>
  </si>
  <si>
    <t>90429</t>
  </si>
  <si>
    <t>4Q25 Review: 26 년을 기대하며</t>
  </si>
  <si>
    <t>90428</t>
  </si>
  <si>
    <t>안정적인 이익 창출력 입증</t>
  </si>
  <si>
    <t>90427</t>
  </si>
  <si>
    <t>4Q25P Review: 수익성 개선을 기대</t>
  </si>
  <si>
    <t>90426</t>
  </si>
  <si>
    <t>4Q25P Review: 중장기 성장 스토리는 여전히 유효</t>
  </si>
  <si>
    <t>90425</t>
  </si>
  <si>
    <t>MD/라이선싱 매출이 견인한 어닝 서프라이즈!</t>
  </si>
  <si>
    <t>90424</t>
  </si>
  <si>
    <t>MD 맛집</t>
  </si>
  <si>
    <t>90423</t>
  </si>
  <si>
    <t>90422</t>
  </si>
  <si>
    <t>변함없는 본업의 경쟁력</t>
  </si>
  <si>
    <t>90421</t>
  </si>
  <si>
    <t>턴어라운드의 가속</t>
  </si>
  <si>
    <t>90420</t>
  </si>
  <si>
    <t>단기 수급 모멘텀으로 목표주가 상회 예상</t>
  </si>
  <si>
    <t>90419</t>
  </si>
  <si>
    <t>종합 선사로 변모 중</t>
  </si>
  <si>
    <t>90418</t>
  </si>
  <si>
    <t>목표주가 40% 상향</t>
  </si>
  <si>
    <t>90417</t>
  </si>
  <si>
    <t>지금 주가 수준에서는 고민할 것이 없다</t>
  </si>
  <si>
    <t>90416</t>
  </si>
  <si>
    <t>어디로 가야하오</t>
  </si>
  <si>
    <t>90415</t>
  </si>
  <si>
    <t>전통의 강호가 돌아온다</t>
  </si>
  <si>
    <t>90414</t>
  </si>
  <si>
    <t>조금 더 숨을 고르자</t>
  </si>
  <si>
    <t>90413</t>
  </si>
  <si>
    <t>질적 성장이 증명한 어닝 서프라이즈</t>
  </si>
  <si>
    <t>90412</t>
  </si>
  <si>
    <t>신규 아이템으로 무장! 다시 성장궤도 돌입</t>
  </si>
  <si>
    <t>90411</t>
  </si>
  <si>
    <t>5년 만의 OLED 사이클과 자회사 가치 주목</t>
  </si>
  <si>
    <t>90410</t>
  </si>
  <si>
    <t>지배구조 개편의 묘수</t>
  </si>
  <si>
    <t>90409</t>
  </si>
  <si>
    <t>354320</t>
  </si>
  <si>
    <t>알멕</t>
  </si>
  <si>
    <t>알루미늄으로 꿈꾸는 무한 확장성</t>
  </si>
  <si>
    <t>90408</t>
  </si>
  <si>
    <t>우호적인 업황과 강화된 주주환원</t>
  </si>
  <si>
    <t>90407</t>
  </si>
  <si>
    <t>기대와 우려 요인의 공존</t>
  </si>
  <si>
    <t>90406</t>
  </si>
  <si>
    <t>밸류업 본격화</t>
  </si>
  <si>
    <t>90405</t>
  </si>
  <si>
    <t>백화점 실적 개선과 주주환원정책 강화 긍정적</t>
  </si>
  <si>
    <t>90404</t>
  </si>
  <si>
    <t>킥(kick)이 없다구요? #안나오는 OS, #API 증설, #R&amp;D 성과</t>
  </si>
  <si>
    <t>90403</t>
  </si>
  <si>
    <t>성공하면 CapEx, 실패하면 비용 아닙니까</t>
  </si>
  <si>
    <t>90402</t>
  </si>
  <si>
    <t>450080</t>
  </si>
  <si>
    <t>에코프로머티</t>
  </si>
  <si>
    <t>NDR 후기: 그린에코니켈 연결 편입 효과에 주목</t>
  </si>
  <si>
    <t>90401</t>
  </si>
  <si>
    <t>6%대 주주환원수익률 부각, 더 올라도 이상할 건 없다</t>
  </si>
  <si>
    <t>90400</t>
  </si>
  <si>
    <t>232680</t>
  </si>
  <si>
    <t>라온로보틱스</t>
  </si>
  <si>
    <t>반도체 제조공정 로봇 분야 글로벌 리더를 꿈꾼다</t>
  </si>
  <si>
    <t>90399</t>
  </si>
  <si>
    <t>240550</t>
  </si>
  <si>
    <t>동방메디컬</t>
  </si>
  <si>
    <t>안정적 한방 기반 위에 에스테틱 성장 엔진을 얹다</t>
  </si>
  <si>
    <t>90398</t>
  </si>
  <si>
    <t>모멘텀의 저점을 지나는 중</t>
  </si>
  <si>
    <t>90397</t>
  </si>
  <si>
    <t>드디어 흑자전환, 그리고 기대되는 이벤트들</t>
  </si>
  <si>
    <t>90396</t>
  </si>
  <si>
    <t>모멘텀은 하반기부터</t>
  </si>
  <si>
    <t>90395</t>
  </si>
  <si>
    <t>지누스 빼고 보자!</t>
  </si>
  <si>
    <t>90394</t>
  </si>
  <si>
    <t>미국 원전 시장의 문이 열린다면</t>
  </si>
  <si>
    <t>90393</t>
  </si>
  <si>
    <t>2026-02-11</t>
  </si>
  <si>
    <t>긴 호흡으로 접근할 시기</t>
  </si>
  <si>
    <t>90392</t>
  </si>
  <si>
    <t>27년을 바라볼 시기</t>
  </si>
  <si>
    <t>90391</t>
  </si>
  <si>
    <t>올해의 KEY도 아이온, 글로벌 흥행전망</t>
  </si>
  <si>
    <t>90390</t>
  </si>
  <si>
    <t>APB-R3의 아토피성피부염 P2 성공 확인</t>
  </si>
  <si>
    <t>90389</t>
  </si>
  <si>
    <t>플랫폼의 CJ. 특별관 콘텐츠 플랫폼으로 도약</t>
  </si>
  <si>
    <t>90388</t>
  </si>
  <si>
    <t>플랫폼의 CJ. K-Food 플랫폼으로 성장 필요</t>
  </si>
  <si>
    <t>90387</t>
  </si>
  <si>
    <t>재평가의 계기</t>
  </si>
  <si>
    <t>90386</t>
  </si>
  <si>
    <t>다음 도약을 위한 준비</t>
  </si>
  <si>
    <t>90385</t>
  </si>
  <si>
    <t>무형자산 상각의 의미</t>
  </si>
  <si>
    <t>90384</t>
  </si>
  <si>
    <t>분기 실적 변동성은 상수</t>
  </si>
  <si>
    <t>90383</t>
  </si>
  <si>
    <t>4Q25 Review: 그림이 그려진다</t>
  </si>
  <si>
    <t>90382</t>
  </si>
  <si>
    <t>올해 1Q와 3Q 실적이 중요해진 이유</t>
  </si>
  <si>
    <t>90381</t>
  </si>
  <si>
    <t>업사이드 크게 볼 것</t>
  </si>
  <si>
    <t>90380</t>
  </si>
  <si>
    <t>1월부터 사상 최대 매출에 3월 신규 호텔 오픈까지</t>
  </si>
  <si>
    <t>90379</t>
  </si>
  <si>
    <t>캐주얼 게임 시장 도전 본격화, 공격적 가이던스 제시</t>
  </si>
  <si>
    <t>90378</t>
  </si>
  <si>
    <t>2025년 4분기 컨퍼런스콜 요약</t>
  </si>
  <si>
    <t>90377</t>
  </si>
  <si>
    <t>4Q 리뷰 - 이익/DPS 방향성 보고 주가 판단할 시점</t>
  </si>
  <si>
    <t>90376</t>
  </si>
  <si>
    <t>4Q25 Re: 실적 부진 지속…</t>
  </si>
  <si>
    <t>90375</t>
  </si>
  <si>
    <t xml:space="preserve">본격 성장 전 높아지는 이익 베이스 </t>
  </si>
  <si>
    <t>90374</t>
  </si>
  <si>
    <t>신작들의 정보 공개를 기다리자</t>
  </si>
  <si>
    <t>90373</t>
  </si>
  <si>
    <t>아이온2 서프라이즈. 상반기 캐주얼 빅 딜 기대</t>
  </si>
  <si>
    <t>90372</t>
  </si>
  <si>
    <t>어려운 사업 환경…</t>
  </si>
  <si>
    <t>90371</t>
  </si>
  <si>
    <t>4Q25 Re: 올해가 더 기대된다</t>
  </si>
  <si>
    <t>90370</t>
  </si>
  <si>
    <t>올해 증익은 명확, 그 이상이 필요</t>
  </si>
  <si>
    <t>90369</t>
  </si>
  <si>
    <t>4Q25 Re: 리테일 부문 경쟁력에 주목할 시기</t>
  </si>
  <si>
    <t>90368</t>
  </si>
  <si>
    <t>지나간 실적 눈 감고, 풀장착 모멘텀에 집중</t>
  </si>
  <si>
    <t>90367</t>
  </si>
  <si>
    <t>4Q25 Review : 영업 레버리지 본격화</t>
  </si>
  <si>
    <t>90366</t>
  </si>
  <si>
    <t>실적 성장 국면 진입</t>
  </si>
  <si>
    <t>90365</t>
  </si>
  <si>
    <t>믿음의 KT</t>
  </si>
  <si>
    <t>90364</t>
  </si>
  <si>
    <t>4Q25 Review : 아쉬운 가이던스, 아쉬운 뉴스플로우</t>
  </si>
  <si>
    <t>90363</t>
  </si>
  <si>
    <t>금융자산도 1조원을 가지고 있다!</t>
  </si>
  <si>
    <t>90362</t>
  </si>
  <si>
    <t>바닥에 왔다</t>
  </si>
  <si>
    <t>90361</t>
  </si>
  <si>
    <t>시황 회복과 재무 계획 모두 관심사</t>
  </si>
  <si>
    <t>90360</t>
  </si>
  <si>
    <t>설득력 있는, 구체적인 전략이 필요</t>
  </si>
  <si>
    <t>90359</t>
  </si>
  <si>
    <t>4Q25 Review: 관세를 넘어선 EV 타이어</t>
  </si>
  <si>
    <t>90358</t>
  </si>
  <si>
    <t>수익성 관리 성과 가시화</t>
  </si>
  <si>
    <t>90357</t>
  </si>
  <si>
    <t>4분기 실적은 아쉽지만, 인바운드 확대를 기대</t>
  </si>
  <si>
    <t>90356</t>
  </si>
  <si>
    <t>이익 성장 사이클 재개</t>
  </si>
  <si>
    <t>90355</t>
  </si>
  <si>
    <t>지역 확장으로 성장 지속</t>
  </si>
  <si>
    <t>90354</t>
  </si>
  <si>
    <t>실적과 밸류에이션의 양수겸장 매력</t>
  </si>
  <si>
    <t>90353</t>
  </si>
  <si>
    <t>4Q25 Review: E-HAECHIE에 거는 기대</t>
  </si>
  <si>
    <t>90352</t>
  </si>
  <si>
    <t>수익성 중심 전략 지속 전망</t>
  </si>
  <si>
    <t>90351</t>
  </si>
  <si>
    <t>새로운 영역에 안착한 이익률, 추가 개선도 가능</t>
  </si>
  <si>
    <t>90350</t>
  </si>
  <si>
    <t>4Q25 Review; 다시 높아진 실적 변동성</t>
  </si>
  <si>
    <t>90349</t>
  </si>
  <si>
    <t>디레이팅 끝, 멀티플 수복 본격화</t>
  </si>
  <si>
    <t>90348</t>
  </si>
  <si>
    <t>한숨 돌린 실적</t>
  </si>
  <si>
    <t>90347</t>
  </si>
  <si>
    <t>CGM 로켓 타고 날아갈 준비 되셨습니까?</t>
  </si>
  <si>
    <t>90346</t>
  </si>
  <si>
    <t>이제 모든 부진을 털고 앞으로 나아간다</t>
  </si>
  <si>
    <t>90345</t>
  </si>
  <si>
    <t>두쫀쿠와 함께 상품력 회복</t>
  </si>
  <si>
    <t>90344</t>
  </si>
  <si>
    <t>Q 호조, 1Q 추가 확대</t>
  </si>
  <si>
    <t>90343</t>
  </si>
  <si>
    <t>1Q 깜작실적, 피지컬AI 강화, 다시 주목할 시간!</t>
  </si>
  <si>
    <t>90342</t>
  </si>
  <si>
    <t>26년/27년 高성장,저평가 : 애플(폴더블폰)의 실질 수혜!</t>
  </si>
  <si>
    <t>90341</t>
  </si>
  <si>
    <t>지금 사느냐, 나중에 더 비싸게 사느냐의 문제</t>
  </si>
  <si>
    <t>90340</t>
  </si>
  <si>
    <t>조용한 신고가. KT가 찐이다!</t>
  </si>
  <si>
    <t>90339</t>
  </si>
  <si>
    <t>90338</t>
  </si>
  <si>
    <t>2026년 증익이 가장 명확한 게임주</t>
  </si>
  <si>
    <t>90337</t>
  </si>
  <si>
    <t>지금은 실적이 아니라, 대형 원전 A/E의 가치 재평가</t>
  </si>
  <si>
    <t>90336</t>
  </si>
  <si>
    <t>신뢰의 KT</t>
  </si>
  <si>
    <t>90335</t>
  </si>
  <si>
    <t>불편하지 않은 의미 있는 비용</t>
  </si>
  <si>
    <t>90334</t>
  </si>
  <si>
    <t>한·중 소비 경기의 수혜주</t>
  </si>
  <si>
    <t>90333</t>
  </si>
  <si>
    <t>춘절 연휴 전 비중확대 추천</t>
  </si>
  <si>
    <t>90332</t>
  </si>
  <si>
    <t>신고가를 이어갈 전망</t>
  </si>
  <si>
    <t>90331</t>
  </si>
  <si>
    <t>훼손된 수익성이 개선될 때까지</t>
  </si>
  <si>
    <t>90330</t>
  </si>
  <si>
    <t>4Q보다 좋을 1Q, 2025년보다 나을 2026년</t>
  </si>
  <si>
    <t>90329</t>
  </si>
  <si>
    <t>절벽에서 맞이한 결단</t>
  </si>
  <si>
    <t>90328</t>
  </si>
  <si>
    <t>찾았다 두쫀쿠 수혜주</t>
  </si>
  <si>
    <t>90327</t>
  </si>
  <si>
    <t>2026년 매출 추정치: 2조원</t>
  </si>
  <si>
    <t>90326</t>
  </si>
  <si>
    <t>4Q25P Review: 글로벌 고객사외의 "SoC 개발 용역" 본격화 수혜</t>
  </si>
  <si>
    <t>90325</t>
  </si>
  <si>
    <t>대체 불가 영역 재확인</t>
  </si>
  <si>
    <t>90324</t>
  </si>
  <si>
    <t>인센으로 어닝 쇼크, 부럽습니다</t>
  </si>
  <si>
    <t>90323</t>
  </si>
  <si>
    <t>시간은 우리편</t>
  </si>
  <si>
    <t>90322</t>
  </si>
  <si>
    <t>견고해지는 전략적 위상 &gt; 단기 모멘텀 둔화</t>
  </si>
  <si>
    <t>90321</t>
  </si>
  <si>
    <t>택배 M/S 상승, 주가 상승의 핵심 동인</t>
  </si>
  <si>
    <t>90320</t>
  </si>
  <si>
    <t>기대감을 높일 시점</t>
  </si>
  <si>
    <t>90319</t>
  </si>
  <si>
    <t>비수기에도 역대 최대 이익 달성, 26년은 더 기대</t>
  </si>
  <si>
    <t>90318</t>
  </si>
  <si>
    <t>과하게 보수적인 가이던스</t>
  </si>
  <si>
    <t>90317</t>
  </si>
  <si>
    <t>분할 앞두고 할인율 축소 진행</t>
  </si>
  <si>
    <t>90316</t>
  </si>
  <si>
    <t>일회성 비용 반영으로 부진</t>
  </si>
  <si>
    <t>90315</t>
  </si>
  <si>
    <t>배당 서프라이즈</t>
  </si>
  <si>
    <t>90314</t>
  </si>
  <si>
    <t>양호한 실적, 양호한 주주환원</t>
  </si>
  <si>
    <t>90313</t>
  </si>
  <si>
    <t>리밸런싱과 주주환원의 선순환</t>
  </si>
  <si>
    <t>90312</t>
  </si>
  <si>
    <t>긍정적 현실의 직시</t>
  </si>
  <si>
    <t>90311</t>
  </si>
  <si>
    <t>과도한 주가 하락, 매수 기회</t>
  </si>
  <si>
    <t>90310</t>
  </si>
  <si>
    <t>우려는 점차 해소될 것</t>
  </si>
  <si>
    <t>90309</t>
  </si>
  <si>
    <t>인센티브 영향으로 컨센 하회</t>
  </si>
  <si>
    <t>90308</t>
  </si>
  <si>
    <t>스쳐 지나가는 성장통</t>
  </si>
  <si>
    <t>90307</t>
  </si>
  <si>
    <t>동일점 매출 증가로 안정적 이익 증가 가능</t>
  </si>
  <si>
    <t>90306</t>
  </si>
  <si>
    <t>실적 가시성 확보가 관건</t>
  </si>
  <si>
    <t>90305</t>
  </si>
  <si>
    <t>26년 예상됐던 P 하락, 그리고 예상치 못한 Q 감소</t>
  </si>
  <si>
    <t>90304</t>
  </si>
  <si>
    <t>뚜렷한 실적 성장 방향성에 주목</t>
  </si>
  <si>
    <t>90303</t>
  </si>
  <si>
    <t>2026년 실적 회복과 새로운 모멘텀을 기다리며</t>
  </si>
  <si>
    <t>90302</t>
  </si>
  <si>
    <t>세계적 파트너들로부터 검증받는 경쟁력</t>
  </si>
  <si>
    <t>90301</t>
  </si>
  <si>
    <t>의구심 해결, 한계 돌파 기대</t>
  </si>
  <si>
    <t>90300</t>
  </si>
  <si>
    <t>코스닥에 이렇게 든든한 제약사가 있습니다</t>
  </si>
  <si>
    <t>90299</t>
  </si>
  <si>
    <t>5년 만의 시가총액 1조 원 돌파를 향해</t>
  </si>
  <si>
    <t>90298</t>
  </si>
  <si>
    <t>187420</t>
  </si>
  <si>
    <t>HLB제넥스</t>
  </si>
  <si>
    <t>공정에 내재화된 성장, 가시화되는 실적</t>
  </si>
  <si>
    <t>90297</t>
  </si>
  <si>
    <t>상반기보다는 하반기를 기대</t>
  </si>
  <si>
    <t>90296</t>
  </si>
  <si>
    <t>돋보이는 실적</t>
  </si>
  <si>
    <t>90295</t>
  </si>
  <si>
    <t>반격이 시작된다</t>
  </si>
  <si>
    <t>90294</t>
  </si>
  <si>
    <t>314930</t>
  </si>
  <si>
    <t>바이오다인</t>
  </si>
  <si>
    <t>7년간 칼을 갈아온 로슈의 칼춤이 시작된다</t>
  </si>
  <si>
    <t>90293</t>
  </si>
  <si>
    <t>2026-02-10</t>
  </si>
  <si>
    <t>035150</t>
  </si>
  <si>
    <t>백산</t>
  </si>
  <si>
    <t>2026년 실적 회복과 주주환원 지속</t>
  </si>
  <si>
    <t>90292</t>
  </si>
  <si>
    <t>외형 성장 지속, 수익성 개선은 제한적</t>
  </si>
  <si>
    <t>90291</t>
  </si>
  <si>
    <t>큰 그림을 위한 숨고르기</t>
  </si>
  <si>
    <t>90290</t>
  </si>
  <si>
    <t>4Q25 NDR Review: 완벽한 Risk-Off</t>
  </si>
  <si>
    <t>90289</t>
  </si>
  <si>
    <t>정부 AI 전환의 파트너</t>
  </si>
  <si>
    <t>90288</t>
  </si>
  <si>
    <t>4Q25 Review: G.O.D 세계</t>
  </si>
  <si>
    <t>90287</t>
  </si>
  <si>
    <t>실적·수주 성장 시나리오 이상 무</t>
  </si>
  <si>
    <t>90286</t>
  </si>
  <si>
    <t>4Q25 Review: 보수적인 비용처리</t>
  </si>
  <si>
    <t>90285</t>
  </si>
  <si>
    <t>4Q25 Re: 외형성장을 위하여, 수익성 조정 중</t>
  </si>
  <si>
    <t>90284</t>
  </si>
  <si>
    <t>과도기임에도 증익 전망</t>
  </si>
  <si>
    <t>90283</t>
  </si>
  <si>
    <t>Asset Allocation 전략 재검토 필요</t>
  </si>
  <si>
    <t>90282</t>
  </si>
  <si>
    <t>모든 사업 부문에서 이익 성장</t>
  </si>
  <si>
    <t>90281</t>
  </si>
  <si>
    <t>신제품 출시 비용에 의한 실적 둔화</t>
  </si>
  <si>
    <t>90280</t>
  </si>
  <si>
    <t>194480</t>
  </si>
  <si>
    <t>데브시스터즈</t>
  </si>
  <si>
    <t>IP도 이제 기득권 시대, 수도권에 자가 보유 중</t>
  </si>
  <si>
    <t>90279</t>
  </si>
  <si>
    <t>일회성 비용에도 전분기대비 증익 달성</t>
  </si>
  <si>
    <t>90278</t>
  </si>
  <si>
    <t>25년도 좋았지만 본 게임은 26년부터</t>
  </si>
  <si>
    <t>90277</t>
  </si>
  <si>
    <t>엔진 부문 마진 20% 상회</t>
  </si>
  <si>
    <t>90276</t>
  </si>
  <si>
    <t>일회성 비용에도 양호한 실적</t>
  </si>
  <si>
    <t>90275</t>
  </si>
  <si>
    <t>2025년 4분기 컨퍼런스 콜 요약</t>
  </si>
  <si>
    <t>90274</t>
  </si>
  <si>
    <t>4Q25 Re: xAI와 SpaceX 평가이익만 1조원 이상 예상</t>
  </si>
  <si>
    <t>90273</t>
  </si>
  <si>
    <t>PUBG 반등세 기대, 그 이상을 기대</t>
  </si>
  <si>
    <t>90272</t>
  </si>
  <si>
    <t>1년만의 흑자전환, 그러나 신중한 접근 필요</t>
  </si>
  <si>
    <t>90271</t>
  </si>
  <si>
    <t>SST 가동 앞둔 일시적 흔들림</t>
  </si>
  <si>
    <t>90270</t>
  </si>
  <si>
    <t>이미 주가는 바닥. 반등 트리거를 보자</t>
  </si>
  <si>
    <t>90269</t>
  </si>
  <si>
    <t>내실을 다지는 2026년</t>
  </si>
  <si>
    <t>90268</t>
  </si>
  <si>
    <t>많이 아쉬웠던 4분기</t>
  </si>
  <si>
    <t>90267</t>
  </si>
  <si>
    <t>[4Q25 Review] 꺼낼 수 있는 무기가 많다</t>
  </si>
  <si>
    <t>90266</t>
  </si>
  <si>
    <t>2017년의 향기: 빅배스 이후 상승한 주가</t>
  </si>
  <si>
    <t>90265</t>
  </si>
  <si>
    <t>4Q25 Review : 마일스톤을 쌓아가는 중</t>
  </si>
  <si>
    <t>90264</t>
  </si>
  <si>
    <t>올해도 최대 실적 경신 (NDR 후기)</t>
  </si>
  <si>
    <t>90263</t>
  </si>
  <si>
    <t>4Q25 Review : 더블 체크(Double Check)</t>
  </si>
  <si>
    <t>90262</t>
  </si>
  <si>
    <t>여기서도 크게 더 오를 수 있습니다</t>
  </si>
  <si>
    <t>90261</t>
  </si>
  <si>
    <t>4Q25 리뷰: 길게 보면 작은 흔들림</t>
  </si>
  <si>
    <t>90259</t>
  </si>
  <si>
    <t>4Q25 Review : 해외 브랜드는 압도적</t>
  </si>
  <si>
    <t>90258</t>
  </si>
  <si>
    <t>4Q25 Review: 일회성 고려 시 양호!!</t>
  </si>
  <si>
    <t>90257</t>
  </si>
  <si>
    <t>비용 안녕(Bye), 원전 안녕(Hello)</t>
  </si>
  <si>
    <t>90256</t>
  </si>
  <si>
    <t>역대 최대 단일 수주 공시</t>
  </si>
  <si>
    <t>90255</t>
  </si>
  <si>
    <t>모바일 부진과 일회성 비용 반영</t>
  </si>
  <si>
    <t>90254</t>
  </si>
  <si>
    <t>이익 성장에도 재평가까지는 시간 필요</t>
  </si>
  <si>
    <t>90253</t>
  </si>
  <si>
    <t>107640</t>
  </si>
  <si>
    <t>한중엔시에스</t>
  </si>
  <si>
    <t>대기만성(大器晩成)</t>
  </si>
  <si>
    <t>90251</t>
  </si>
  <si>
    <t>대규모 적자 시현, 보다 뚜렷해진 투자포인트</t>
  </si>
  <si>
    <t>90250</t>
  </si>
  <si>
    <t>26년부터 계절성 완화 기대</t>
  </si>
  <si>
    <t>90249</t>
  </si>
  <si>
    <t>그만큼 돈을 잘 번 결과</t>
  </si>
  <si>
    <t>90248</t>
  </si>
  <si>
    <t>높아진 실적 기저, 성장은 불변</t>
  </si>
  <si>
    <t>90247</t>
  </si>
  <si>
    <t>2026년, 실적 회복 원년</t>
  </si>
  <si>
    <t>90246</t>
  </si>
  <si>
    <t>주요 사업부 실적이 좋았고, 당분간 계속 좋을 전망</t>
  </si>
  <si>
    <t>90245</t>
  </si>
  <si>
    <t>일희일비 하지 않기</t>
  </si>
  <si>
    <t>90244</t>
  </si>
  <si>
    <t>비수기 리스크를 확인한 4분기</t>
  </si>
  <si>
    <t>90243</t>
  </si>
  <si>
    <t>기술 가치가 만들어낼 레버리지</t>
  </si>
  <si>
    <t>90242</t>
  </si>
  <si>
    <t>투자에는 결실이 따르기 마련</t>
  </si>
  <si>
    <t>90241</t>
  </si>
  <si>
    <t>All about Space X</t>
  </si>
  <si>
    <t>90240</t>
  </si>
  <si>
    <t>노 젓는데 물이 계속 들어온다</t>
  </si>
  <si>
    <t>90239</t>
  </si>
  <si>
    <t>Mass 기반 경쟁력 강화 필요</t>
  </si>
  <si>
    <t>90238</t>
  </si>
  <si>
    <t>일회성 비용 없어도 부진했음</t>
  </si>
  <si>
    <t>90237</t>
  </si>
  <si>
    <t>인고의 시간을 지나 결실을 맺는 단계</t>
  </si>
  <si>
    <t>90236</t>
  </si>
  <si>
    <t>인바운드 대장주로 가는 길</t>
  </si>
  <si>
    <t>90235</t>
  </si>
  <si>
    <t>턴어라운드 시작</t>
  </si>
  <si>
    <t>90234</t>
  </si>
  <si>
    <t>쌓아갈 신뢰</t>
  </si>
  <si>
    <t>90233</t>
  </si>
  <si>
    <t>대규모 빅배스 후 상반기 실적이 중요</t>
  </si>
  <si>
    <t>90232</t>
  </si>
  <si>
    <t>실적의 온기 위에 피어난 배당 매력</t>
  </si>
  <si>
    <t>90231</t>
  </si>
  <si>
    <t>최악의 업황을 반영한 주가, 희망을 보여준 4Q25</t>
  </si>
  <si>
    <t>90230</t>
  </si>
  <si>
    <t>아쉬움 속 가져보는 작은 기대</t>
  </si>
  <si>
    <t>90229</t>
  </si>
  <si>
    <t>2026년 우려보다 기회의 구간</t>
  </si>
  <si>
    <t>90228</t>
  </si>
  <si>
    <t>대장주의 위엄 확인 중</t>
  </si>
  <si>
    <t>90227</t>
  </si>
  <si>
    <t>4Q25 Review: 견조한 실적</t>
  </si>
  <si>
    <t>90226</t>
  </si>
  <si>
    <t>단기 실적 부진에도 변함없는 신뢰</t>
  </si>
  <si>
    <t>90225</t>
  </si>
  <si>
    <t>빅배스로 실적 가시성 증대, 투자의견 상향</t>
  </si>
  <si>
    <t>90224</t>
  </si>
  <si>
    <t>4Q25 Review: 실적 개선세 지속</t>
  </si>
  <si>
    <t>90223</t>
  </si>
  <si>
    <t>타이밍 좋은 주주환원 계획 발표</t>
  </si>
  <si>
    <t>90222</t>
  </si>
  <si>
    <t>밸류에이션과 배당 매력 부각</t>
  </si>
  <si>
    <t>90221</t>
  </si>
  <si>
    <t>높아진 기대치 상회</t>
  </si>
  <si>
    <t>90220</t>
  </si>
  <si>
    <t>2Q26에 쏠려 있는 변곡점</t>
  </si>
  <si>
    <t>90219</t>
  </si>
  <si>
    <t>4Q25: 좋은데 더 좋아질 한 해</t>
  </si>
  <si>
    <t>90218</t>
  </si>
  <si>
    <t>4Q25: 서프가 줄었지 체력이 줄었나</t>
  </si>
  <si>
    <t>90217</t>
  </si>
  <si>
    <t>실적 턴어라운드, 주주환원율 상승</t>
  </si>
  <si>
    <t>90216</t>
  </si>
  <si>
    <t>익숙한 빅배스, 잘 때 생각 많이 날 거야</t>
  </si>
  <si>
    <t>90215</t>
  </si>
  <si>
    <t>4Q25 Re: 새로운 시대의 개막을 알리는 서프라이즈</t>
  </si>
  <si>
    <t>90214</t>
  </si>
  <si>
    <t>4Q25 Re: 기대치 상회. 덩치에 걸맞게 수익도 성장 중</t>
  </si>
  <si>
    <t>90213</t>
  </si>
  <si>
    <t>기대치 하회했지만 걱정할 것은 없음</t>
  </si>
  <si>
    <t>90212</t>
  </si>
  <si>
    <t>Big Bath, 이제 원전으로 Big Step</t>
  </si>
  <si>
    <t>90211</t>
  </si>
  <si>
    <t>4Q26 비메모리 영업흑자 전환 예상</t>
  </si>
  <si>
    <t>90210</t>
  </si>
  <si>
    <t>안팎으로 호황</t>
  </si>
  <si>
    <t>90209</t>
  </si>
  <si>
    <t>이익 레버리지 2027 그날을 기다리며...</t>
  </si>
  <si>
    <t>90208</t>
  </si>
  <si>
    <t>톡신에서 디지털 헬스케어로 옮겨진 포인트</t>
  </si>
  <si>
    <t>90207</t>
  </si>
  <si>
    <t>주가는 인바운드 모멘텀을 타고</t>
  </si>
  <si>
    <t>90206</t>
  </si>
  <si>
    <t>6%대 배당수익률 기대</t>
  </si>
  <si>
    <t>90205</t>
  </si>
  <si>
    <t>사자, 원전(Team Korea)을</t>
  </si>
  <si>
    <t>90204</t>
  </si>
  <si>
    <t>2026-02-09</t>
  </si>
  <si>
    <t>이게 바로 전화위복, 이익결손에서 이익잉여로 전환</t>
  </si>
  <si>
    <t>90203</t>
  </si>
  <si>
    <t>재차 확보된 TSR 매력</t>
  </si>
  <si>
    <t>90202</t>
  </si>
  <si>
    <t>비과세인 김에 배당을 더 드립니다</t>
  </si>
  <si>
    <t>90201</t>
  </si>
  <si>
    <t>환원 확대와 자본비율 개선의 동반이 필요</t>
  </si>
  <si>
    <t>90200</t>
  </si>
  <si>
    <t>몸은 가볍게, 마음은 비장하게</t>
  </si>
  <si>
    <t>90199</t>
  </si>
  <si>
    <t>HDC현대산업개발</t>
  </si>
  <si>
    <t>한 번은 서프가 나와야</t>
  </si>
  <si>
    <t>90198</t>
  </si>
  <si>
    <t>플랜트 수주에 달렸다</t>
  </si>
  <si>
    <t>90197</t>
  </si>
  <si>
    <t>대장주 자리 되찾으러 왔습니다</t>
  </si>
  <si>
    <t>90196</t>
  </si>
  <si>
    <t>4Q25 Review : 신규 카테고리 확장으로 성장률 방어 도모</t>
  </si>
  <si>
    <t>90195</t>
  </si>
  <si>
    <t>4Q25 Review : 26년 비중확대는 필수</t>
  </si>
  <si>
    <t>90194</t>
  </si>
  <si>
    <t>실적은 부진했지만 반가운 변화</t>
  </si>
  <si>
    <t>90193</t>
  </si>
  <si>
    <t>박스권 주가 흐름 의견 유지</t>
  </si>
  <si>
    <t>90192</t>
  </si>
  <si>
    <t>26년 국내외 실적 턴어라운드 본격화</t>
  </si>
  <si>
    <t>90191</t>
  </si>
  <si>
    <t>NDR 후기: 꿈의 마진 30%에 가장 근접한 조선사</t>
  </si>
  <si>
    <t>90190</t>
  </si>
  <si>
    <t>수비수에서 공격수로의 포지션 변화 긍정적</t>
  </si>
  <si>
    <t>90189</t>
  </si>
  <si>
    <t>소외 대신 주목이 필요한 주가</t>
  </si>
  <si>
    <t>90188</t>
  </si>
  <si>
    <t>정확한 문제 진단, 그리고 기대되는 원가 개선</t>
  </si>
  <si>
    <t>90187</t>
  </si>
  <si>
    <t>4Q25 Review: 주택건축 높은 수익성은 여전하나</t>
  </si>
  <si>
    <t>90186</t>
  </si>
  <si>
    <t>오래 기다리셨습니다</t>
  </si>
  <si>
    <t>90185</t>
  </si>
  <si>
    <t>4Q25 Review: 일회성이 많았던 실적</t>
  </si>
  <si>
    <t>90184</t>
  </si>
  <si>
    <t>착실히 진행되고 있는 버티컬 AI 기반 유기적 성장</t>
  </si>
  <si>
    <t>90183</t>
  </si>
  <si>
    <t>4Q25 Review: 이어지는 대장주로의 위엄</t>
  </si>
  <si>
    <t>90182</t>
  </si>
  <si>
    <t>4Q25 Review: 자체사업 효과 지속</t>
  </si>
  <si>
    <t>90181</t>
  </si>
  <si>
    <t>유년기를 지나 성장기</t>
  </si>
  <si>
    <t>90180</t>
  </si>
  <si>
    <t>4Q25 NDR 후기: 변동성 확대 국면의 최대 수혜주</t>
  </si>
  <si>
    <t>90179</t>
  </si>
  <si>
    <t>올해에도 배당 측면의 매력은 으뜸</t>
  </si>
  <si>
    <t>90178</t>
  </si>
  <si>
    <t>서프라이즈 요인만 남아있다</t>
  </si>
  <si>
    <t>90177</t>
  </si>
  <si>
    <t>기다리던 증익 사이클 시작</t>
  </si>
  <si>
    <t>90176</t>
  </si>
  <si>
    <t>신규 사업이 필요한 시기</t>
  </si>
  <si>
    <t>90175</t>
  </si>
  <si>
    <t>이제는 배전에서도 빠른 성장 기대</t>
  </si>
  <si>
    <t>90174</t>
  </si>
  <si>
    <t>보수적인 가이던스, 서프라이즈를 기대하며 (NDR 후기)</t>
  </si>
  <si>
    <t>90173</t>
  </si>
  <si>
    <t>화재를 이겨낸 실적. 신공장 증설로 완성될 성장</t>
  </si>
  <si>
    <t>90172</t>
  </si>
  <si>
    <t>2026년 실적 개화</t>
  </si>
  <si>
    <t>90171</t>
  </si>
  <si>
    <t>털고 일어날 때</t>
  </si>
  <si>
    <t>90170</t>
  </si>
  <si>
    <t>회복한 주택 마진</t>
  </si>
  <si>
    <t>90169</t>
  </si>
  <si>
    <t>4Q25 Re: 기대 하회, 올해 가이던스 충족 여부 관건</t>
  </si>
  <si>
    <t>90168</t>
  </si>
  <si>
    <t>일회성 비용에도 해외·COSRX 턴어라운드</t>
  </si>
  <si>
    <t>90167</t>
  </si>
  <si>
    <t>4Q25 Review: 내수 둔화, 수출 성장 유효</t>
  </si>
  <si>
    <t>90166</t>
  </si>
  <si>
    <t>근거 있는 자신감</t>
  </si>
  <si>
    <t>90165</t>
  </si>
  <si>
    <t>아직은 자사주를 더 살 시기</t>
  </si>
  <si>
    <t>90164</t>
  </si>
  <si>
    <t>2026년은 개선을 꿈꾼다</t>
  </si>
  <si>
    <t>90163</t>
  </si>
  <si>
    <t>커머스와 AI가 만들어 낸 실적</t>
  </si>
  <si>
    <t>90162</t>
  </si>
  <si>
    <t>[NDR 후기] 가이던스가 보수적인 세 가지 이유: 오프라인, 유럽, 디바이스</t>
  </si>
  <si>
    <t>90161</t>
  </si>
  <si>
    <t>1Q26F 호실적 예고, 26F 연간 비용은 부담</t>
  </si>
  <si>
    <t>90160</t>
  </si>
  <si>
    <t>완벽한 타이밍에 코스알엑스 턴어라운드</t>
  </si>
  <si>
    <t>90159</t>
  </si>
  <si>
    <t>열일하는 백화점</t>
  </si>
  <si>
    <t>90158</t>
  </si>
  <si>
    <t>그들은 다 계획이 있었다</t>
  </si>
  <si>
    <t>90157</t>
  </si>
  <si>
    <t>보통주 자본비율에 따라 기대되는 미래</t>
  </si>
  <si>
    <t>90156</t>
  </si>
  <si>
    <t>희토류 등 신성장 가시화!</t>
  </si>
  <si>
    <t>90155</t>
  </si>
  <si>
    <t>고단가 제품 수주 불구, 가동률 하락으로 마진 훼손</t>
  </si>
  <si>
    <t>90154</t>
  </si>
  <si>
    <t>분업 둔화 국면, 신사업은 인내 필요</t>
  </si>
  <si>
    <t>90153</t>
  </si>
  <si>
    <t>국내 유일 NFC 팹리스, 2026년 실적 레벨업 구간 진입</t>
  </si>
  <si>
    <t>90152</t>
  </si>
  <si>
    <t>4Q 실적은 예상을 상회!</t>
  </si>
  <si>
    <t>90151</t>
  </si>
  <si>
    <t>성장에 중심을 둘 26년</t>
  </si>
  <si>
    <t>90150</t>
  </si>
  <si>
    <t>실적 모멘텀은 제한적, 주가 기대감은 상존</t>
  </si>
  <si>
    <t>90149</t>
  </si>
  <si>
    <t>외형 축소 부담 지속될 전망</t>
  </si>
  <si>
    <t>90148</t>
  </si>
  <si>
    <t>도약의 시간</t>
  </si>
  <si>
    <t>90147</t>
  </si>
  <si>
    <t>분리과세 충족 난망</t>
  </si>
  <si>
    <t>90146</t>
  </si>
  <si>
    <t>균형잡힌 상승세</t>
  </si>
  <si>
    <t>90145</t>
  </si>
  <si>
    <t>실질 주주환원율 50% 달성 기대</t>
  </si>
  <si>
    <t>90144</t>
  </si>
  <si>
    <t>GS이니마 매각과 함께 부각될 저평가</t>
  </si>
  <si>
    <t>90143</t>
  </si>
  <si>
    <t>2026년 플랜트부문 향방이 중요</t>
  </si>
  <si>
    <t>90142</t>
  </si>
  <si>
    <t>복구를 넘어 구조적 성장으로</t>
  </si>
  <si>
    <t>90141</t>
  </si>
  <si>
    <t>카카오 부담의 끝자락</t>
  </si>
  <si>
    <t>90140</t>
  </si>
  <si>
    <t>서울원의 힘이 확인될 2026년</t>
  </si>
  <si>
    <t>90139</t>
  </si>
  <si>
    <t>변수 없는 비즈니스의 힘</t>
  </si>
  <si>
    <t>90138</t>
  </si>
  <si>
    <t>초고압전선이 수익성 견인</t>
  </si>
  <si>
    <t>90137</t>
  </si>
  <si>
    <t>4Q25 Review: 연내 사업 포트폴리오 재편 마무리 전망</t>
  </si>
  <si>
    <t>90136</t>
  </si>
  <si>
    <t>씨어스테크놀로지</t>
  </si>
  <si>
    <t>Accelerating to Scale</t>
  </si>
  <si>
    <t>90135</t>
  </si>
  <si>
    <t>백화점이 있었다</t>
  </si>
  <si>
    <t>90134</t>
  </si>
  <si>
    <t>상처받은 AI 자긍심, 성과로 회복해야</t>
  </si>
  <si>
    <t>90133</t>
  </si>
  <si>
    <t>4Q25 Review: Valuation call</t>
  </si>
  <si>
    <t>90132</t>
  </si>
  <si>
    <t>4Q25P Review: 사업 다각화 수혜 기대</t>
  </si>
  <si>
    <t>90131</t>
  </si>
  <si>
    <t>아무도 막을 수 없는 압도적인 실적</t>
  </si>
  <si>
    <t>90130</t>
  </si>
  <si>
    <t>드디어 분기 흑자 달성</t>
  </si>
  <si>
    <t>90129</t>
  </si>
  <si>
    <t>4Q25 실적발표, 매출 성장, 합병으로 본격 땅파기</t>
  </si>
  <si>
    <t>90128</t>
  </si>
  <si>
    <t>4Q25 Review: 이익은 베이스, 수주로 레이스</t>
  </si>
  <si>
    <t>90127</t>
  </si>
  <si>
    <t>진공상태</t>
  </si>
  <si>
    <t>90126</t>
  </si>
  <si>
    <t>분기 최고 영업이익 달성</t>
  </si>
  <si>
    <t>90125</t>
  </si>
  <si>
    <t>열정과 냉정 사이</t>
  </si>
  <si>
    <t>90124</t>
  </si>
  <si>
    <t>PBR 정상화 진행 중</t>
  </si>
  <si>
    <t>90123</t>
  </si>
  <si>
    <t>명확한 주주환원 강화 기조</t>
  </si>
  <si>
    <t>90122</t>
  </si>
  <si>
    <t>기대 이하의 실적, 기대 이상의 환원</t>
  </si>
  <si>
    <t>90121</t>
  </si>
  <si>
    <t>AI의 실적 기여 시작</t>
  </si>
  <si>
    <t>90120</t>
  </si>
  <si>
    <t>115180</t>
  </si>
  <si>
    <t>큐리언트</t>
  </si>
  <si>
    <t>항암제 회사로 바뀌는 중</t>
  </si>
  <si>
    <t>90119</t>
  </si>
  <si>
    <t>4Q25P Review: 7분기 연속 매출 성장</t>
  </si>
  <si>
    <t>90118</t>
  </si>
  <si>
    <t>정상 궤도로 순항 중</t>
  </si>
  <si>
    <t>90117</t>
  </si>
  <si>
    <t>서프라이즈, 만드는 만큼 팔립니다</t>
  </si>
  <si>
    <t>90116</t>
  </si>
  <si>
    <t>개선될 2026년 실적, 신규 플랜트 수주가 중요</t>
  </si>
  <si>
    <t>90115</t>
  </si>
  <si>
    <t>견조한 성장 스토리</t>
  </si>
  <si>
    <t>90114</t>
  </si>
  <si>
    <t>올해 매출 점프업 및 수술 로봇 성장성 가속화</t>
  </si>
  <si>
    <t>90113</t>
  </si>
  <si>
    <t>배당소득 분리과세 및 자사주 소각 기대됨</t>
  </si>
  <si>
    <t>90112</t>
  </si>
  <si>
    <t>의심할 여지가 없는 성장성</t>
  </si>
  <si>
    <t>90111</t>
  </si>
  <si>
    <t>백화점의 영업레버리지 효과 확대에 주목</t>
  </si>
  <si>
    <t>90110</t>
  </si>
  <si>
    <t>외형보다 내실, 질적 성장의 원년</t>
  </si>
  <si>
    <t>90109</t>
  </si>
  <si>
    <t>지난 부진보다 앞으로 좋아질 것에 주목</t>
  </si>
  <si>
    <t>90108</t>
  </si>
  <si>
    <t>원가 개선 속도는 아쉬우나 방향성은 분명</t>
  </si>
  <si>
    <t>90107</t>
  </si>
  <si>
    <t>탑라인 성장은 아쉬우나 확실한 마진 개선세</t>
  </si>
  <si>
    <t>90106</t>
  </si>
  <si>
    <t>주택부문 외형 감소 VS 마진 개선</t>
  </si>
  <si>
    <t>90105</t>
  </si>
  <si>
    <t>4Q25 Review</t>
  </si>
  <si>
    <t>90104</t>
  </si>
  <si>
    <t>플랜트 수주에 대한 가시성 확보 필요</t>
  </si>
  <si>
    <t>90103</t>
  </si>
  <si>
    <t>동트기 전이 가장 어둡다</t>
  </si>
  <si>
    <t>90102</t>
  </si>
  <si>
    <t>기업가치제고계획 업그레이드</t>
  </si>
  <si>
    <t>90101</t>
  </si>
  <si>
    <t>26년 외형확대 제한 vs 점차 확대될 LNG 포트폴리오</t>
  </si>
  <si>
    <t>90100</t>
  </si>
  <si>
    <t>증설 효과 반영 시작</t>
  </si>
  <si>
    <t>90099</t>
  </si>
  <si>
    <t>준비된 이익 정상화, 플랜트 수주가 응답할 시간</t>
  </si>
  <si>
    <t>90098</t>
  </si>
  <si>
    <t>실적 차별화 행보 지속</t>
  </si>
  <si>
    <t>90097</t>
  </si>
  <si>
    <t>아쉬운 이익에 가려진 잠재력</t>
  </si>
  <si>
    <t>90096</t>
  </si>
  <si>
    <t>양호한 실적, 주주환원 수단 측면에서 불리</t>
  </si>
  <si>
    <t>90095</t>
  </si>
  <si>
    <t>4Q25: 강력한 KF-21 수출 자신감</t>
  </si>
  <si>
    <t>90094</t>
  </si>
  <si>
    <t>최대실적과 주주환원 강화</t>
  </si>
  <si>
    <t>90093</t>
  </si>
  <si>
    <t>브랜드 신약 입지 확대와 R&amp;D 투자로 선순환</t>
  </si>
  <si>
    <t>90092</t>
  </si>
  <si>
    <t>마지막 남은 코인 사용, 진짜 배수의 진</t>
  </si>
  <si>
    <t>90091</t>
  </si>
  <si>
    <t>주가 오르기 전에 알았더라면 좋았을 것들</t>
  </si>
  <si>
    <t>90090</t>
  </si>
  <si>
    <t>SpacX 밸류체인 내 핵심 SCM 파트너</t>
  </si>
  <si>
    <t>90089</t>
  </si>
  <si>
    <t>뉴스페이스 시대, 우주향 첨단금속 수요 확대의 수혜주</t>
  </si>
  <si>
    <t>90088</t>
  </si>
  <si>
    <t>상징적인 우주 데이터 플랫폼 기업</t>
  </si>
  <si>
    <t>90087</t>
  </si>
  <si>
    <t>020710</t>
  </si>
  <si>
    <t>시공테크</t>
  </si>
  <si>
    <t>강력한 레퍼런스를 보유한 전시문화 전문기업</t>
  </si>
  <si>
    <t>90086</t>
  </si>
  <si>
    <t>나 혼자만 레벨업하는 실적, 이제는 비상의 시간</t>
  </si>
  <si>
    <t>90085</t>
  </si>
  <si>
    <t>2026년은 AI 수익화의 원년</t>
  </si>
  <si>
    <t>90084</t>
  </si>
  <si>
    <t>036540</t>
  </si>
  <si>
    <t>SFA반도체</t>
  </si>
  <si>
    <t>고객사 외주 확대 수혜</t>
  </si>
  <si>
    <t>90083</t>
  </si>
  <si>
    <t>새로운 목표 제시</t>
  </si>
  <si>
    <t>90082</t>
  </si>
  <si>
    <t>적극적인 주주환원 정책 시행</t>
  </si>
  <si>
    <t>90081</t>
  </si>
  <si>
    <t>2026-02-06</t>
  </si>
  <si>
    <t>본업 흑자기조 지속</t>
  </si>
  <si>
    <t>90080</t>
  </si>
  <si>
    <t>실적 정상화</t>
  </si>
  <si>
    <t>90079</t>
  </si>
  <si>
    <t>깜짝 서프라이즈, 분기 이익 안정성 기대</t>
  </si>
  <si>
    <t>90078</t>
  </si>
  <si>
    <t>미래 제품 수주 확대와 로보틱스 사업가치 증대</t>
  </si>
  <si>
    <t>90077</t>
  </si>
  <si>
    <t>삼성SDI는 회복, SKon은 악화</t>
  </si>
  <si>
    <t>90076</t>
  </si>
  <si>
    <t>본격 턴어라운드 시작</t>
  </si>
  <si>
    <t>90075</t>
  </si>
  <si>
    <t>3분기 연속 흑자 기록</t>
  </si>
  <si>
    <t>90074</t>
  </si>
  <si>
    <t>환원 목표를 2년 조기 달성</t>
  </si>
  <si>
    <t>90073</t>
  </si>
  <si>
    <t>서프라이즈 범벅</t>
  </si>
  <si>
    <t>90072</t>
  </si>
  <si>
    <t>첫 번째 Value-up ver.2 발표</t>
  </si>
  <si>
    <t>90071</t>
  </si>
  <si>
    <t>[4Q25 Review] 예상을 뛰어넘는 가이던스</t>
  </si>
  <si>
    <t>90070</t>
  </si>
  <si>
    <t>4Q25 Re: 역대 최고 실적, 리레이팅 국면 진입</t>
  </si>
  <si>
    <t>90069</t>
  </si>
  <si>
    <t>팔방미인형 기업으로 변모 중, 이제는 진짜 레벨업</t>
  </si>
  <si>
    <t>90068</t>
  </si>
  <si>
    <t>경상이익 개선 기대</t>
  </si>
  <si>
    <t>90067</t>
  </si>
  <si>
    <t>질적 성장의 점진적 가시화</t>
  </si>
  <si>
    <t>90066</t>
  </si>
  <si>
    <t>흑자 기조 속 Physical AI 기대감 형성</t>
  </si>
  <si>
    <t>90065</t>
  </si>
  <si>
    <t>플랫폼의 CJ. K-콘텐츠 대표 플랫폼으로 도약</t>
  </si>
  <si>
    <t>90064</t>
  </si>
  <si>
    <t>플랫폼의 CJ. 식자재유통 O2O 플랫폼으로 도약</t>
  </si>
  <si>
    <t>90063</t>
  </si>
  <si>
    <t>길었던 기다림, 기지개 켜는 태양광</t>
  </si>
  <si>
    <t>90062</t>
  </si>
  <si>
    <t>이익 성장 릴레이와 강해지는 주주환원책</t>
  </si>
  <si>
    <t>90061</t>
  </si>
  <si>
    <t>여전히 우등생</t>
  </si>
  <si>
    <t>90060</t>
  </si>
  <si>
    <t>4Q25 Preview: ‘Y’oung ‘G’eneration이 채워갈 실적</t>
  </si>
  <si>
    <t>90059</t>
  </si>
  <si>
    <t>4Q25 Review: 아쉬운 가이던스, 그래도 좋다</t>
  </si>
  <si>
    <t>90058</t>
  </si>
  <si>
    <t>스테이블코인 정산의 핵(核)</t>
  </si>
  <si>
    <t>90057</t>
  </si>
  <si>
    <t>장기 관점 접근 필요</t>
  </si>
  <si>
    <t>90056</t>
  </si>
  <si>
    <t>창사 이래 최대 실적을 향하여</t>
  </si>
  <si>
    <t>90055</t>
  </si>
  <si>
    <t>90054</t>
  </si>
  <si>
    <t>이런 실적을 보다 자주 볼 수 있기를</t>
  </si>
  <si>
    <t>90053</t>
  </si>
  <si>
    <t>오랫동안 바라던 그림이 나온 실적</t>
  </si>
  <si>
    <t>90052</t>
  </si>
  <si>
    <t>2026년 사상 최대 실적 도전</t>
  </si>
  <si>
    <t>90051</t>
  </si>
  <si>
    <t>우주 태양광 기대감에 얹어지는 실적 회복</t>
  </si>
  <si>
    <t>90050</t>
  </si>
  <si>
    <t>실적, 주주환원 모두 서프라이즈</t>
  </si>
  <si>
    <t>90049</t>
  </si>
  <si>
    <t>단기 실적 눈높이 하향조정 완료</t>
  </si>
  <si>
    <t>90048</t>
  </si>
  <si>
    <t>자동차에서 다진 60년의 기술, 로봇에서도 통한다</t>
  </si>
  <si>
    <t>90047</t>
  </si>
  <si>
    <t>올해 주주환원 규모 관건</t>
  </si>
  <si>
    <t>90046</t>
  </si>
  <si>
    <t>4Q 리뷰 - 알려진 악재 소멸, 주가 상승 압력 커질 것</t>
  </si>
  <si>
    <t>90045</t>
  </si>
  <si>
    <t>90044</t>
  </si>
  <si>
    <t>90043</t>
  </si>
  <si>
    <t>4Q 리뷰 - 내용상 실적 양호, 주가 오를 일만 남았다</t>
  </si>
  <si>
    <t>90042</t>
  </si>
  <si>
    <t>실적 개선과 배당 확대에 대한 자신감 피력</t>
  </si>
  <si>
    <t>90041</t>
  </si>
  <si>
    <t>4Q25 Review: 약속 지키며 마무리, 설레는 26년</t>
  </si>
  <si>
    <t>90040</t>
  </si>
  <si>
    <t>비만 테마를 실적으로 바꿀 첫 주자</t>
  </si>
  <si>
    <t>90039</t>
  </si>
  <si>
    <t>2025년 총주주환원율 52.4% 달성</t>
  </si>
  <si>
    <t>90038</t>
  </si>
  <si>
    <t>4Q25 Review: KF-21이 벌써 해외로?</t>
  </si>
  <si>
    <t>90037</t>
  </si>
  <si>
    <t>90036</t>
  </si>
  <si>
    <t>시밀러 품목 확대로 성장기 진입</t>
  </si>
  <si>
    <t>90035</t>
  </si>
  <si>
    <t>이익 성장에 따른 주주환원 확대 기대</t>
  </si>
  <si>
    <t>90034</t>
  </si>
  <si>
    <t>돌아온다고 했제, 반영한다고 그랬제</t>
  </si>
  <si>
    <t>90033</t>
  </si>
  <si>
    <t>데이터센터로 확장된 성장 스토리</t>
  </si>
  <si>
    <t>90032</t>
  </si>
  <si>
    <t>점진적 수익성 개선에 주목할 때</t>
  </si>
  <si>
    <t>90031</t>
  </si>
  <si>
    <t>양적성장의 원년</t>
  </si>
  <si>
    <t>90030</t>
  </si>
  <si>
    <t>본업 부진을 만회해가는 중</t>
  </si>
  <si>
    <t>90029</t>
  </si>
  <si>
    <t>이익은 아직, 외형 성장은 시작</t>
  </si>
  <si>
    <t>90028</t>
  </si>
  <si>
    <t>호실적과 라인업 가시화, 추정치 상향</t>
  </si>
  <si>
    <t>90027</t>
  </si>
  <si>
    <t>제작은 늘리고, 마진은 올리고</t>
  </si>
  <si>
    <t>90026</t>
  </si>
  <si>
    <t>이제 1조원은 기본입니다.</t>
  </si>
  <si>
    <t>90025</t>
  </si>
  <si>
    <t>26년은 전 사업부 흑자 도전</t>
  </si>
  <si>
    <t>90024</t>
  </si>
  <si>
    <t>호실적에도 설레지 않는 신작</t>
  </si>
  <si>
    <t>90023</t>
  </si>
  <si>
    <t>신박한 아이디어</t>
  </si>
  <si>
    <t>90022</t>
  </si>
  <si>
    <t>배당을 향한 총력적인 노력이 모두 가시화</t>
  </si>
  <si>
    <t>90021</t>
  </si>
  <si>
    <t>스쳐간 4분기 악몽, 다가올 수주 기대</t>
  </si>
  <si>
    <t>90020</t>
  </si>
  <si>
    <t>이제 글로벌 상위권 은행과 어깨를 나란히</t>
  </si>
  <si>
    <t>90019</t>
  </si>
  <si>
    <t>곧 일어날 시기</t>
  </si>
  <si>
    <t>90018</t>
  </si>
  <si>
    <t>흑자가 지속되는 시기</t>
  </si>
  <si>
    <t>90016</t>
  </si>
  <si>
    <t>4Q25 Review:핵심은 신규 수주</t>
  </si>
  <si>
    <t>90015</t>
  </si>
  <si>
    <t>26 &amp; 27년에도 EV 집중 전략</t>
  </si>
  <si>
    <t>90014</t>
  </si>
  <si>
    <t>기판 호황 씬의 주인공으로 리레이팅 중</t>
  </si>
  <si>
    <t>90013</t>
  </si>
  <si>
    <t>작년은 믹스 개선, 올해는 가격 전가</t>
  </si>
  <si>
    <t>90012</t>
  </si>
  <si>
    <t>나야, 넷마블</t>
  </si>
  <si>
    <t>90011</t>
  </si>
  <si>
    <t>수익성 회복 국면 진입</t>
  </si>
  <si>
    <t>90010</t>
  </si>
  <si>
    <t>자명한 Q 증가</t>
  </si>
  <si>
    <t>90009</t>
  </si>
  <si>
    <t>테마보다는 본질에 충실하자</t>
  </si>
  <si>
    <t>90008</t>
  </si>
  <si>
    <t>모든 것이 궤도에 올라올 한 해</t>
  </si>
  <si>
    <t>90007</t>
  </si>
  <si>
    <t>악재 반영 마무리, 실적 회복 가시화</t>
  </si>
  <si>
    <t>90006</t>
  </si>
  <si>
    <t>이제 P/B 1배 뚫습니다</t>
  </si>
  <si>
    <t>90005</t>
  </si>
  <si>
    <t>4Q25 Review_신제품 성장으로 수익성 개선</t>
  </si>
  <si>
    <t>90004</t>
  </si>
  <si>
    <t>올해 전지박 매출 급증 예상</t>
  </si>
  <si>
    <t>90003</t>
  </si>
  <si>
    <t>성장과 환원의 선순환 지속</t>
  </si>
  <si>
    <t>90002</t>
  </si>
  <si>
    <t>일회성 이익으로 선방</t>
  </si>
  <si>
    <t>90001</t>
  </si>
  <si>
    <t>로봇과 함께라면 일회성 비용은 무섭지 않아</t>
  </si>
  <si>
    <t>90000</t>
  </si>
  <si>
    <t>정상화로 가는 중</t>
  </si>
  <si>
    <t>89999</t>
  </si>
  <si>
    <t>구조적 성장의 초입</t>
  </si>
  <si>
    <t>89998</t>
  </si>
  <si>
    <t>실적과 주가도 우주로 가자</t>
  </si>
  <si>
    <t>89997</t>
  </si>
  <si>
    <t>054950</t>
  </si>
  <si>
    <t>제이브이엠</t>
  </si>
  <si>
    <t>2026년 성장 재개 기대</t>
  </si>
  <si>
    <t>89996</t>
  </si>
  <si>
    <t>본업 둔화에도 유효한 모멘텀</t>
  </si>
  <si>
    <t>89995</t>
  </si>
  <si>
    <t>다시 확인한 육각형 펀더멘털</t>
  </si>
  <si>
    <t>89994</t>
  </si>
  <si>
    <t>배당 '성장'주</t>
  </si>
  <si>
    <t>89993</t>
  </si>
  <si>
    <t>AI데이터센터 등 성장동력 제시</t>
  </si>
  <si>
    <t>89992</t>
  </si>
  <si>
    <t>시밀러 최고 실적, CMO 밸류까지 더하면?</t>
  </si>
  <si>
    <t>89991</t>
  </si>
  <si>
    <t>사업 전반에 걸쳐 체질 개선 중</t>
  </si>
  <si>
    <t>89990</t>
  </si>
  <si>
    <t>선방한 25년, 올 하반기부터 성장 재개</t>
  </si>
  <si>
    <t>89989</t>
  </si>
  <si>
    <t>밸류업 계획 조기 달성</t>
  </si>
  <si>
    <t>89988</t>
  </si>
  <si>
    <t>견고한 하방, 아쉬운 상승 모멘텀</t>
  </si>
  <si>
    <t>89987</t>
  </si>
  <si>
    <t>PBR 1.0배를 향해</t>
  </si>
  <si>
    <t>89986</t>
  </si>
  <si>
    <t>더 좋아질 일만 남았다</t>
  </si>
  <si>
    <t>89985</t>
  </si>
  <si>
    <t>유유히 오른다</t>
  </si>
  <si>
    <t>89984</t>
  </si>
  <si>
    <t>앤트로픽 지분 가치 부각</t>
  </si>
  <si>
    <t>89983</t>
  </si>
  <si>
    <t>관세이슈 지속, 그러나 성장스토리 유효</t>
  </si>
  <si>
    <t>89982</t>
  </si>
  <si>
    <t>전 사업부 실적 개선!</t>
  </si>
  <si>
    <t>89981</t>
  </si>
  <si>
    <t>최대실적, 주주환원율 목표 조기달성 기대</t>
  </si>
  <si>
    <t>89980</t>
  </si>
  <si>
    <t>나도 좋아졌어!</t>
  </si>
  <si>
    <t>89979</t>
  </si>
  <si>
    <t>화려한 컴백, 쉼표가 필요할지도</t>
  </si>
  <si>
    <t>89978</t>
  </si>
  <si>
    <t>할인율 축소중</t>
  </si>
  <si>
    <t>89977</t>
  </si>
  <si>
    <t>나 좋아졌어!</t>
  </si>
  <si>
    <t>89976</t>
  </si>
  <si>
    <t>Better than last year</t>
  </si>
  <si>
    <t>89975</t>
  </si>
  <si>
    <t>26년 영업이익 1조원이 보인다</t>
  </si>
  <si>
    <t>89974</t>
  </si>
  <si>
    <t>중장기 실적 회복 국면은 긍정적</t>
  </si>
  <si>
    <t>89973</t>
  </si>
  <si>
    <t>최근 주가 상승 요인은 업황 회복 아닌 수급</t>
  </si>
  <si>
    <t>89972</t>
  </si>
  <si>
    <t>26년 정상화를 기다리며</t>
  </si>
  <si>
    <t>89971</t>
  </si>
  <si>
    <t>89970</t>
  </si>
  <si>
    <t>온라인, 공격 앞으로</t>
  </si>
  <si>
    <t>89969</t>
  </si>
  <si>
    <t>그래도 꽤 많은 불확실성을 덜어냈다</t>
  </si>
  <si>
    <t>89968</t>
  </si>
  <si>
    <t>흔들리며 피는 꽃</t>
  </si>
  <si>
    <t>89967</t>
  </si>
  <si>
    <t>지금까지는 순조롭다</t>
  </si>
  <si>
    <t>89966</t>
  </si>
  <si>
    <t>연간 최대실적, 주주환원율 50% 돌파</t>
  </si>
  <si>
    <t>89965</t>
  </si>
  <si>
    <t>최대실적, 주주환원율 52.4%</t>
  </si>
  <si>
    <t>89964</t>
  </si>
  <si>
    <t>한화세미텍 영업흑자 전환 성공</t>
  </si>
  <si>
    <t>89963</t>
  </si>
  <si>
    <t>382900</t>
  </si>
  <si>
    <t>범한퓨얼셀</t>
  </si>
  <si>
    <t>연료전지·수소충전소, 양축 성장이 모두 기대되는 수소전문기업</t>
  </si>
  <si>
    <t>89962</t>
  </si>
  <si>
    <t>새로운 시대</t>
  </si>
  <si>
    <t>89961</t>
  </si>
  <si>
    <t>357550</t>
  </si>
  <si>
    <t>석경에이티</t>
  </si>
  <si>
    <t>[AI] 나노기술 기반 기능성 무기소재 전문기업</t>
  </si>
  <si>
    <t>89960</t>
  </si>
  <si>
    <t>464580</t>
  </si>
  <si>
    <t>닷밀</t>
  </si>
  <si>
    <t>[AI] 실감미디어 기반 콘텐츠 제작 및 솔루션 전문기업</t>
  </si>
  <si>
    <t>89959</t>
  </si>
  <si>
    <t>2026-02-05</t>
  </si>
  <si>
    <t>유럽 물량 증가로 지역별 물량 배분 원활, 26년 증익 본격화</t>
  </si>
  <si>
    <t>89958</t>
  </si>
  <si>
    <t>세아베스틸지주 주가 급등 코멘트</t>
  </si>
  <si>
    <t>89957</t>
  </si>
  <si>
    <t>하방 경직성 확보, 유의미한 반등은 시기상조</t>
  </si>
  <si>
    <t>89956</t>
  </si>
  <si>
    <t>012510</t>
  </si>
  <si>
    <t>더존비즈온</t>
  </si>
  <si>
    <t>마진율 40%가 나오는 SW 기업</t>
  </si>
  <si>
    <t>89955</t>
  </si>
  <si>
    <t>또 한번, 수주 역사를 쓸까</t>
  </si>
  <si>
    <t>89954</t>
  </si>
  <si>
    <t>묵묵하게 결국 이기는</t>
  </si>
  <si>
    <t>89953</t>
  </si>
  <si>
    <t>여신 성장성의 회복 여부가 중요</t>
  </si>
  <si>
    <t>89952</t>
  </si>
  <si>
    <t>4Q25 Review : 26년은 질적 성장의 해</t>
  </si>
  <si>
    <t>89951</t>
  </si>
  <si>
    <t>본업 회복은 지연, 자산가치는 유효</t>
  </si>
  <si>
    <t>89950</t>
  </si>
  <si>
    <t>2025년 가이던스도 1조원이었다</t>
  </si>
  <si>
    <t>89949</t>
  </si>
  <si>
    <t>1분기부터 연중 모멘텀 풍부</t>
  </si>
  <si>
    <t>89948</t>
  </si>
  <si>
    <t>장기 저평가 국면 탈피 기대</t>
  </si>
  <si>
    <t>89947</t>
  </si>
  <si>
    <t>이익 턴어라운드 기대</t>
  </si>
  <si>
    <t>89946</t>
  </si>
  <si>
    <t>구조적인 개선세 지속</t>
  </si>
  <si>
    <t>89945</t>
  </si>
  <si>
    <t>소비 트렌드 변화 속 돌파구 찾는 중</t>
  </si>
  <si>
    <t>89944</t>
  </si>
  <si>
    <t>본업 회복과 신 사업 확장</t>
  </si>
  <si>
    <t>89943</t>
  </si>
  <si>
    <t>128660</t>
  </si>
  <si>
    <t>피제이메탈</t>
  </si>
  <si>
    <t>저평가된 특수강 소재 기업</t>
  </si>
  <si>
    <t>89942</t>
  </si>
  <si>
    <t>OPM 가이던스 상향</t>
  </si>
  <si>
    <t>89941</t>
  </si>
  <si>
    <t>4Q25 Review: 본업 컨센서스 부합 수준</t>
  </si>
  <si>
    <t>89940</t>
  </si>
  <si>
    <t>4Q25 Review; 시간이 필요해</t>
  </si>
  <si>
    <t>89939</t>
  </si>
  <si>
    <t>일회성 비용으로 컨센서스 하회</t>
  </si>
  <si>
    <t>89938</t>
  </si>
  <si>
    <t>이제 분기 영업이익 천억원대 시대!</t>
  </si>
  <si>
    <t>89937</t>
  </si>
  <si>
    <t>4Q25 Review: 미스는 아쉽지만, 올해도 성장은 확실</t>
  </si>
  <si>
    <t>89936</t>
  </si>
  <si>
    <t>P/E 5배대 불과. 넥센타이어는 지금 타이어보다 싸다</t>
  </si>
  <si>
    <t>89935</t>
  </si>
  <si>
    <t>Mix 변화에 따른 일시적 마진 하락</t>
  </si>
  <si>
    <t>89934</t>
  </si>
  <si>
    <t>일회성 비용으로 시장 눈높이 하회</t>
  </si>
  <si>
    <t>89933</t>
  </si>
  <si>
    <t>향후 관전포인트는 inorganic 성장 전략과 스테이블코인</t>
  </si>
  <si>
    <t>89932</t>
  </si>
  <si>
    <t>4Q25 Re: 이상 무</t>
  </si>
  <si>
    <t>89931</t>
  </si>
  <si>
    <t>중국 PVC 구조조정과 반도체 수요 강세의 수혜</t>
  </si>
  <si>
    <t>89930</t>
  </si>
  <si>
    <t>좋아지는 업황 방향성 vs. LCI의 실적 불확실성</t>
  </si>
  <si>
    <t>89929</t>
  </si>
  <si>
    <t>이유 없는 증설은 없다</t>
  </si>
  <si>
    <t>89928</t>
  </si>
  <si>
    <t>올해 상당히 좋습니다</t>
  </si>
  <si>
    <t>89927</t>
  </si>
  <si>
    <t>타이어는 돈 버는 기계다</t>
  </si>
  <si>
    <t>89926</t>
  </si>
  <si>
    <t>주가 100% 상승 여정이 시작되다!</t>
  </si>
  <si>
    <t>89925</t>
  </si>
  <si>
    <t>단일 종목 레버리지 ETF 거래는 키움이지</t>
  </si>
  <si>
    <t>89924</t>
  </si>
  <si>
    <t>4Q25 Re: 복잡한 실적, 그래도 답은 하나</t>
  </si>
  <si>
    <t>89923</t>
  </si>
  <si>
    <t>147760</t>
  </si>
  <si>
    <t>피엠티</t>
  </si>
  <si>
    <t>NAND 공백 공략</t>
  </si>
  <si>
    <t>89922</t>
  </si>
  <si>
    <t>2026년, 해외 원전의 실질적 성과 기대</t>
  </si>
  <si>
    <t>89921</t>
  </si>
  <si>
    <t>매매 버튼 누르기 전(前) 생각해 볼 3가지</t>
  </si>
  <si>
    <t>89920</t>
  </si>
  <si>
    <t>‘26년 BK수수료수익만 2조원</t>
  </si>
  <si>
    <t>89919</t>
  </si>
  <si>
    <t>업종 내 주가 키맞추기 예상</t>
  </si>
  <si>
    <t>89918</t>
  </si>
  <si>
    <t>일회성 비용 반영에도 구조적 이익 체력 확인</t>
  </si>
  <si>
    <t>89917</t>
  </si>
  <si>
    <t>노이즈를 뚫고 갈 압도적 성장세</t>
  </si>
  <si>
    <t>89916</t>
  </si>
  <si>
    <t>2026년 수익성 개선에 따른 기업가치 우상향 전망</t>
  </si>
  <si>
    <t>89915</t>
  </si>
  <si>
    <t>왜 나한테만 이렇게 엄격한건데</t>
  </si>
  <si>
    <t>89914</t>
  </si>
  <si>
    <t>Utility &amp; Green Energy 2025 실적 전망</t>
  </si>
  <si>
    <t>89913</t>
  </si>
  <si>
    <t>SK하이닉스 NDR 후기: 20개 기관과의 열띤 대화의 장</t>
  </si>
  <si>
    <t>89912</t>
  </si>
  <si>
    <t>4Q25 실적발표, 아쉽지만 호황을 부정할 이유는 없음</t>
  </si>
  <si>
    <t>89911</t>
  </si>
  <si>
    <t>컨센서스 상회!</t>
  </si>
  <si>
    <t>89910</t>
  </si>
  <si>
    <t>비수기 극복</t>
  </si>
  <si>
    <t>89909</t>
  </si>
  <si>
    <t>쏟아지는 조명, 아쉬운 CAPA</t>
  </si>
  <si>
    <t>89908</t>
  </si>
  <si>
    <t>파르나스 레츠고</t>
  </si>
  <si>
    <t>89907</t>
  </si>
  <si>
    <t>해외 모멘텀 가속화</t>
  </si>
  <si>
    <t>89906</t>
  </si>
  <si>
    <t>좋아질 일만</t>
  </si>
  <si>
    <t>89905</t>
  </si>
  <si>
    <t>덜어냈더니 보이기 시작한 본업의 힘</t>
  </si>
  <si>
    <t>89904</t>
  </si>
  <si>
    <t>더 이상 물러날 곳이 없다</t>
  </si>
  <si>
    <t>89903</t>
  </si>
  <si>
    <t>High Single 영업이익률과 ROE를 향하여</t>
  </si>
  <si>
    <t>89902</t>
  </si>
  <si>
    <t>89901</t>
  </si>
  <si>
    <t>이제는 원전 수주에 집중</t>
  </si>
  <si>
    <t>89900</t>
  </si>
  <si>
    <t>순이자이익 회복과 M&amp;A 스토리 장착</t>
  </si>
  <si>
    <t>89899</t>
  </si>
  <si>
    <t>질적 성장 지속</t>
  </si>
  <si>
    <t>89898</t>
  </si>
  <si>
    <t>나갔다 하면 백전백승</t>
  </si>
  <si>
    <t>89897</t>
  </si>
  <si>
    <t>4Q25 Review: 수익성은 3Q26부터 반등 전망</t>
  </si>
  <si>
    <t>89896</t>
  </si>
  <si>
    <t>NDR 후기: '첨단' 소재 기업으로 변화 중</t>
  </si>
  <si>
    <t>89895</t>
  </si>
  <si>
    <t>물 들어올 때 노를 더 크게 만드는 중</t>
  </si>
  <si>
    <t>89894</t>
  </si>
  <si>
    <t>기대되는 원전 수주, 높은 밸류애이션 정당화</t>
  </si>
  <si>
    <t>89893</t>
  </si>
  <si>
    <t>올해는 수익성 회복 전망</t>
  </si>
  <si>
    <t>89892</t>
  </si>
  <si>
    <t>매출 2.1조원을 넘어서는 성장을 기대</t>
  </si>
  <si>
    <t>89891</t>
  </si>
  <si>
    <t>펼쳐질 미래에 투자하라 (PBR에서 PER로)</t>
  </si>
  <si>
    <t>89890</t>
  </si>
  <si>
    <t>일회성 비용을 제외 시 호실적 달성</t>
  </si>
  <si>
    <t>89889</t>
  </si>
  <si>
    <t>4Q25P Review: 최고 실적 갱신 지속</t>
  </si>
  <si>
    <t>89888</t>
  </si>
  <si>
    <t>신뢰 회복과 글로벌 확장의 전환점</t>
  </si>
  <si>
    <t>89887</t>
  </si>
  <si>
    <t>끝날 때까지 끝난 게 아니다</t>
  </si>
  <si>
    <t>89886</t>
  </si>
  <si>
    <t>역대 분기 최고 실적 기록</t>
  </si>
  <si>
    <t>89885</t>
  </si>
  <si>
    <t>OPM 41%로 증명한 기초체력</t>
  </si>
  <si>
    <t>89884</t>
  </si>
  <si>
    <t>26~27년 순차적으로 기대되는 것들</t>
  </si>
  <si>
    <t>89883</t>
  </si>
  <si>
    <t>4Q25: 기회는 준비된 자에게 찾아온다</t>
  </si>
  <si>
    <t>89882</t>
  </si>
  <si>
    <t>터널에서 탈출하기가 몹시 고되다</t>
  </si>
  <si>
    <t>89881</t>
  </si>
  <si>
    <t>구조적 이익률 개선 확인</t>
  </si>
  <si>
    <t>89880</t>
  </si>
  <si>
    <t>396300</t>
  </si>
  <si>
    <t>세아메카닉스</t>
  </si>
  <si>
    <t>ESS와 전장이 받치고, 로봇도 붙는다</t>
  </si>
  <si>
    <t>89879</t>
  </si>
  <si>
    <t>더 익숙해져 버린 끝없이 또 반복되는 기다림</t>
  </si>
  <si>
    <t>89878</t>
  </si>
  <si>
    <t>내실 다지기에 집중하는 한 해가 될 듯</t>
  </si>
  <si>
    <t>89877</t>
  </si>
  <si>
    <t>국내 매출 회복 여부가 관건</t>
  </si>
  <si>
    <t>89876</t>
  </si>
  <si>
    <t>무주공산 인바운드 선점, 멀티플 확장의 기회</t>
  </si>
  <si>
    <t>89875</t>
  </si>
  <si>
    <t>여전히 남아있는 원전 Upside</t>
  </si>
  <si>
    <t>89874</t>
  </si>
  <si>
    <t>[NDR 후기] 신사업 진출은 여전히 검토 단계</t>
  </si>
  <si>
    <t>89873</t>
  </si>
  <si>
    <t>폭력적인 실적, 해외 진출, 수급의 3박자</t>
  </si>
  <si>
    <t>89872</t>
  </si>
  <si>
    <t>단기 실적 개선은 어려울 전망</t>
  </si>
  <si>
    <t>89871</t>
  </si>
  <si>
    <t>더 사도 되는 구간</t>
  </si>
  <si>
    <t>89870</t>
  </si>
  <si>
    <t>편의점 부진에도 예상치 부합</t>
  </si>
  <si>
    <t>89869</t>
  </si>
  <si>
    <t>무조건 담아라</t>
  </si>
  <si>
    <t>89868</t>
  </si>
  <si>
    <t>281740</t>
  </si>
  <si>
    <t>레이크머티리얼즈</t>
  </si>
  <si>
    <t>유기금속화합물계의 All Round Player</t>
  </si>
  <si>
    <t>89867</t>
  </si>
  <si>
    <t>증시 호조에도 점유율은 하락</t>
  </si>
  <si>
    <t>89866</t>
  </si>
  <si>
    <t>2026-02-04</t>
  </si>
  <si>
    <t>89865</t>
  </si>
  <si>
    <t>공급망 재편이 여는 기회</t>
  </si>
  <si>
    <t>89864</t>
  </si>
  <si>
    <t>4Q25 Review : 나도 인바운드 수혜주. 2Q26 모멘텀 확대 전망</t>
  </si>
  <si>
    <t>89863</t>
  </si>
  <si>
    <t>AI 회로박과 ESS가 견인할 턴어라운드</t>
  </si>
  <si>
    <t>89862</t>
  </si>
  <si>
    <t>4Q25 NDR Review: 자명한 상승여력</t>
  </si>
  <si>
    <t>89861</t>
  </si>
  <si>
    <t>4Q25 Review: 결과보다 과정이 중요한 구간</t>
  </si>
  <si>
    <t>89860</t>
  </si>
  <si>
    <t>작년에 못 간 여행 올해는 갑니다</t>
  </si>
  <si>
    <t>89859</t>
  </si>
  <si>
    <t>배당주에서 성장주로 변신</t>
  </si>
  <si>
    <t>89858</t>
  </si>
  <si>
    <t>회복 방향성은 명확. 주당 가치 합리화까지의 거리가 멀 뿐</t>
  </si>
  <si>
    <t>89857</t>
  </si>
  <si>
    <t>단기 우려 해소, 비중 확대 시점 도래</t>
  </si>
  <si>
    <t>89856</t>
  </si>
  <si>
    <t>4Q25 리뷰: 점진적 개선, 유럽 전기차 주목</t>
  </si>
  <si>
    <t>89855</t>
  </si>
  <si>
    <t>턴어라운드 전 숨 고르기</t>
  </si>
  <si>
    <t>89854</t>
  </si>
  <si>
    <t>신사업(로봇/방산)이 관건!</t>
  </si>
  <si>
    <t>89853</t>
  </si>
  <si>
    <t>효율화 마무리. 돈 버는 구간</t>
  </si>
  <si>
    <t>89852</t>
  </si>
  <si>
    <t>Again 턴어라운드 프리미엄</t>
  </si>
  <si>
    <t>89851</t>
  </si>
  <si>
    <t>보유 현금 보다는 비싸야죠</t>
  </si>
  <si>
    <t>89850</t>
  </si>
  <si>
    <t>해외 공항 철수 비용 반영되며 실적 부진</t>
  </si>
  <si>
    <t>89849</t>
  </si>
  <si>
    <t>127120</t>
  </si>
  <si>
    <t>제이에스링크</t>
  </si>
  <si>
    <t>영구자석 증설계획 본궤도 진입</t>
  </si>
  <si>
    <t>89848</t>
  </si>
  <si>
    <t>26년은 미국 HEV와 유럽 EV가 성장의 축</t>
  </si>
  <si>
    <t>89847</t>
  </si>
  <si>
    <t>AI 회로박과 전고체 소재 기대 커</t>
  </si>
  <si>
    <t>89846</t>
  </si>
  <si>
    <t>4Q25P Review: 쌓여 가는 라이선스, 성장세 전환 기대되는 로열티 매출</t>
  </si>
  <si>
    <t>89845</t>
  </si>
  <si>
    <t>4Q25 Review: 고난의 25년을 지나 결실의 26년으로</t>
  </si>
  <si>
    <t>89844</t>
  </si>
  <si>
    <t>당분간 편안한 증익구간</t>
  </si>
  <si>
    <t>89843</t>
  </si>
  <si>
    <t>AI용 회로박 견조한 수요로 실적 개선 가시화</t>
  </si>
  <si>
    <t>89842</t>
  </si>
  <si>
    <t>4Q25 Preview: 분기 기준 사상 최대 매출 전망</t>
  </si>
  <si>
    <t>89841</t>
  </si>
  <si>
    <t>실적과 배당 모두 기대치 부합</t>
  </si>
  <si>
    <t>89840</t>
  </si>
  <si>
    <t>든든한 캡티브</t>
  </si>
  <si>
    <t>89839</t>
  </si>
  <si>
    <t>리레이팅을 향한 먼 길을 출발</t>
  </si>
  <si>
    <t>89838</t>
  </si>
  <si>
    <t>회로박, MLB와 FCBGA 기판의 병목</t>
  </si>
  <si>
    <t>89837</t>
  </si>
  <si>
    <t>여전히 저평가 국면을 지나고 있다</t>
  </si>
  <si>
    <t>89836</t>
  </si>
  <si>
    <t>숫자로 증명한다</t>
  </si>
  <si>
    <t>89835</t>
  </si>
  <si>
    <t>사람은 서울, 말은 제주도, 자동차는 해외로</t>
  </si>
  <si>
    <t>89834</t>
  </si>
  <si>
    <t>다시 돌아올 투자 사이클</t>
  </si>
  <si>
    <t>89833</t>
  </si>
  <si>
    <t>040420</t>
  </si>
  <si>
    <t>정상제이엘에스</t>
  </si>
  <si>
    <t>수익성 개선 기대</t>
  </si>
  <si>
    <t>89832</t>
  </si>
  <si>
    <t>053610</t>
  </si>
  <si>
    <t>프로텍</t>
  </si>
  <si>
    <t>선단 패키징 수요와 함께 성장</t>
  </si>
  <si>
    <t>89831</t>
  </si>
  <si>
    <t>EPS 추정치 상향 그리고 오버행 해소 임박</t>
  </si>
  <si>
    <t>89830</t>
  </si>
  <si>
    <t>호텔 비중이 높아지는 구간</t>
  </si>
  <si>
    <t>89829</t>
  </si>
  <si>
    <t>모처럼 찾아온 전방 시장의 활기</t>
  </si>
  <si>
    <t>89828</t>
  </si>
  <si>
    <t>점진적 실적 개선</t>
  </si>
  <si>
    <t>89827</t>
  </si>
  <si>
    <t>2026-02-03</t>
  </si>
  <si>
    <t>더 나빠질 것은 없다</t>
  </si>
  <si>
    <t>89826</t>
  </si>
  <si>
    <t>낮춰진 눈높이, 턴어라운드에 주목</t>
  </si>
  <si>
    <t>89825</t>
  </si>
  <si>
    <t>점진적인 적자폭 축소 전망</t>
  </si>
  <si>
    <t>89824</t>
  </si>
  <si>
    <t>다시 봄의 주식</t>
  </si>
  <si>
    <t>89823</t>
  </si>
  <si>
    <t>그럼에도 불구하고</t>
  </si>
  <si>
    <t>89822</t>
  </si>
  <si>
    <t>과거 2019년 당시 순환매를 상기할 시점</t>
  </si>
  <si>
    <t>89821</t>
  </si>
  <si>
    <t>머지 않아 미국과 유럽에서 큰 기회 올 것</t>
  </si>
  <si>
    <t>89820</t>
  </si>
  <si>
    <t>이젠 5G SA 시대에 걸 맞는 Multiple 고민해야</t>
  </si>
  <si>
    <t>89819</t>
  </si>
  <si>
    <t>214430</t>
  </si>
  <si>
    <t>아이쓰리시스템</t>
  </si>
  <si>
    <t>기계의 눈 전장을 넘어 우주로</t>
  </si>
  <si>
    <t>89818</t>
  </si>
  <si>
    <t>디지털과 북미로 성장 후 고배당</t>
  </si>
  <si>
    <t>89817</t>
  </si>
  <si>
    <t>T사 향 사업 시작. Gap 축소 유효</t>
  </si>
  <si>
    <t>89816</t>
  </si>
  <si>
    <t>ESS로 전사 실적 개선 시작</t>
  </si>
  <si>
    <t>89815</t>
  </si>
  <si>
    <t>업황부진 지속, 그러나 돋보이는 기저효과</t>
  </si>
  <si>
    <t>89814</t>
  </si>
  <si>
    <t>4Q25P Review: AI, 로봇 매출 확대 기대</t>
  </si>
  <si>
    <t>89813</t>
  </si>
  <si>
    <t>변화의 시작</t>
  </si>
  <si>
    <t>89812</t>
  </si>
  <si>
    <t>개선 방향성은 유효</t>
  </si>
  <si>
    <t>89811</t>
  </si>
  <si>
    <t>익숙해진 서프라이즈, 주가 변동성은 아직도 기회</t>
  </si>
  <si>
    <t>89810</t>
  </si>
  <si>
    <t>지루했던 주가 밴드에서의 탈출</t>
  </si>
  <si>
    <t>89809</t>
  </si>
  <si>
    <t>아직 세 발 더 남았다...</t>
  </si>
  <si>
    <t>89808</t>
  </si>
  <si>
    <t>단기 실적보다는 중장기 ESS 기회 요인에 주목</t>
  </si>
  <si>
    <t>89807</t>
  </si>
  <si>
    <t>단기 실적 부진하나 모멘텀은 유효</t>
  </si>
  <si>
    <t>89806</t>
  </si>
  <si>
    <t>탄력 받을 올리브영</t>
  </si>
  <si>
    <t>89805</t>
  </si>
  <si>
    <t>전혀 훼손되지 않은 전망</t>
  </si>
  <si>
    <t>89804</t>
  </si>
  <si>
    <t>실패가 아닌 재검증의 단계</t>
  </si>
  <si>
    <t>89803</t>
  </si>
  <si>
    <t>로봇 산업 성장에서 기회를 잡다</t>
  </si>
  <si>
    <t>89802</t>
  </si>
  <si>
    <t>KH바텍은 폴더블 힌지, 전장 및 로봇 부품 전문기업</t>
  </si>
  <si>
    <t>89801</t>
  </si>
  <si>
    <t>484120</t>
  </si>
  <si>
    <t>도우인시스</t>
  </si>
  <si>
    <t>도우인시스는 초박형 강화유리(UTG) 개발 및 제조/판매 전문기업</t>
  </si>
  <si>
    <t>89800</t>
  </si>
  <si>
    <t>2026-02-02</t>
  </si>
  <si>
    <t>사명처럼 화장품의 메카로</t>
  </si>
  <si>
    <t>89799</t>
  </si>
  <si>
    <t>4Q25 실적발표, 영업이익률 20%대의 중형 조선소</t>
  </si>
  <si>
    <t>89798</t>
  </si>
  <si>
    <t>253590</t>
  </si>
  <si>
    <t>네오셈</t>
  </si>
  <si>
    <t>HBM 다음은 HBF</t>
  </si>
  <si>
    <t>89797</t>
  </si>
  <si>
    <t>[4Q25 Review] 상저하고의 2026년 예상</t>
  </si>
  <si>
    <t>89796</t>
  </si>
  <si>
    <t>저점 통과 이후의 회복 경로 유효</t>
  </si>
  <si>
    <t>89795</t>
  </si>
  <si>
    <t>강한 성장과 모빌리티 기술 영역으로의 체질 개선</t>
  </si>
  <si>
    <t>89794</t>
  </si>
  <si>
    <t>AI/로봇사업 역할은 확실, 다만 좀 더 긴 호흡으로</t>
  </si>
  <si>
    <t>89793</t>
  </si>
  <si>
    <t>지금도 저평가 구간</t>
  </si>
  <si>
    <t>89792</t>
  </si>
  <si>
    <t>인천공항 DF2 적격 사업자 선정 코멘트</t>
  </si>
  <si>
    <t>89791</t>
  </si>
  <si>
    <t>BBB 셔틀, 논란과 무관한 가치 지속</t>
  </si>
  <si>
    <t>89790</t>
  </si>
  <si>
    <t>실적 반등의 초입</t>
  </si>
  <si>
    <t>89789</t>
  </si>
  <si>
    <t>한일령 효과와 춘절 모멘텀으로 역대 최대 실적</t>
  </si>
  <si>
    <t>89788</t>
  </si>
  <si>
    <t>당분간 강도 높은 사업 재정비 영향 지속 전망</t>
  </si>
  <si>
    <t>89787</t>
  </si>
  <si>
    <t>4Q25 Review: 이유가 있는 상승</t>
  </si>
  <si>
    <t>89786</t>
  </si>
  <si>
    <t>044450</t>
  </si>
  <si>
    <t>KSS해운</t>
  </si>
  <si>
    <t>계약 연장으로 실적 안정성 보강, 암모니아를 기다리며</t>
  </si>
  <si>
    <t>89785</t>
  </si>
  <si>
    <t>잊고 살았던 기름 냄새</t>
  </si>
  <si>
    <t>89784</t>
  </si>
  <si>
    <t>중공업 부문 이익률 20% 도달</t>
  </si>
  <si>
    <t>89783</t>
  </si>
  <si>
    <t>드디어 두 자리 수 마진 달성</t>
  </si>
  <si>
    <t>89782</t>
  </si>
  <si>
    <t>일회성 비용 제외 시 양호한 실적</t>
  </si>
  <si>
    <t>89781</t>
  </si>
  <si>
    <t>다소 과민반응. 주가 약세는 오히려 비중확대 기회</t>
  </si>
  <si>
    <t>89780</t>
  </si>
  <si>
    <t>4Q25 리뷰: 신규수주 성과가 가장 중요한 국면</t>
  </si>
  <si>
    <t>89779</t>
  </si>
  <si>
    <t>턴어라운드를 지나 신제품들의 기여가 시작될 때</t>
  </si>
  <si>
    <t>89778</t>
  </si>
  <si>
    <t>4Q25는 부진했지만 2026년 개선 가시성 높아</t>
  </si>
  <si>
    <t>89777</t>
  </si>
  <si>
    <t>탄소섬유의 낮은 실적 가시성</t>
  </si>
  <si>
    <t>89776</t>
  </si>
  <si>
    <t>스판덱스 증익 기조의 시작</t>
  </si>
  <si>
    <t>89775</t>
  </si>
  <si>
    <t>2026년 주주환원율 50% 달성 기대</t>
  </si>
  <si>
    <t>89774</t>
  </si>
  <si>
    <t>4Q25 Review: 악조건 속 체질 개선, 26년 정비 완료</t>
  </si>
  <si>
    <t>89773</t>
  </si>
  <si>
    <t>더 강해진 확신, 질주는 계속된다</t>
  </si>
  <si>
    <t>89772</t>
  </si>
  <si>
    <t>4Q25 Review: 과거보다 확인될 것에 집중</t>
  </si>
  <si>
    <t>89771</t>
  </si>
  <si>
    <t>최대출력으로 상장, 오버행이 핵심</t>
  </si>
  <si>
    <t>89770</t>
  </si>
  <si>
    <t>4Q25 Re: 순항이란 말이 너무 어울린다</t>
  </si>
  <si>
    <t>89769</t>
  </si>
  <si>
    <t>실적 + 배당성향 60% + 자사주</t>
  </si>
  <si>
    <t>89768</t>
  </si>
  <si>
    <t>전기차충전기 사업 흑자전환 시작</t>
  </si>
  <si>
    <t>89767</t>
  </si>
  <si>
    <t>매우 정석적인 성장세</t>
  </si>
  <si>
    <t>89766</t>
  </si>
  <si>
    <t>부진한 실적, 반등은 가능하다</t>
  </si>
  <si>
    <t>89765</t>
  </si>
  <si>
    <t>뚜렷한 별도 실적 개선, 자회사 손익의 아쉬움</t>
  </si>
  <si>
    <t>89764</t>
  </si>
  <si>
    <t>두 자리 수 이익 성장률 기대</t>
  </si>
  <si>
    <t>89763</t>
  </si>
  <si>
    <t>원재료는 뛰어도, 부담은 제자리</t>
  </si>
  <si>
    <t>89762</t>
  </si>
  <si>
    <t>대세에 지장 없다</t>
  </si>
  <si>
    <t>89761</t>
  </si>
  <si>
    <t>4Q25 Review: 로봇과 열관리 사업의 잠재력이 기대 요인</t>
  </si>
  <si>
    <t>89760</t>
  </si>
  <si>
    <t>FC BGA, 탄탄대로~</t>
  </si>
  <si>
    <t>89759</t>
  </si>
  <si>
    <t>1Q 실적 호조를 예상!</t>
  </si>
  <si>
    <t>89758</t>
  </si>
  <si>
    <t>아직도 보여 줄 것이 많이 남았다.</t>
  </si>
  <si>
    <t>89757</t>
  </si>
  <si>
    <t>투자 여력은 양호, 회수 시즌 기대!</t>
  </si>
  <si>
    <t>89756</t>
  </si>
  <si>
    <t>비싼 이유를 증명해낼 것</t>
  </si>
  <si>
    <t>89755</t>
  </si>
  <si>
    <t>미국 견인 사상 최대 실적, 2조 매출 가시성 확대</t>
  </si>
  <si>
    <t>89754</t>
  </si>
  <si>
    <t>바닥 확인</t>
  </si>
  <si>
    <t>89753</t>
  </si>
  <si>
    <t>바닥을 다지는 인고의 시간</t>
  </si>
  <si>
    <t>89752</t>
  </si>
  <si>
    <t>연 매출 10조 클럽 복귀</t>
  </si>
  <si>
    <t>89751</t>
  </si>
  <si>
    <t>ESS로 가려지지 않는 북미 EV 쇼크</t>
  </si>
  <si>
    <t>89750</t>
  </si>
  <si>
    <t>노이즈는 잠깐, 방향성은 유효</t>
  </si>
  <si>
    <t>89749</t>
  </si>
  <si>
    <t>AI 모멘텀 주목: 공조설비, 로봇용부품, AI가전</t>
  </si>
  <si>
    <t>89748</t>
  </si>
  <si>
    <t>4Q25 Review: 셋팅은 좋다. 너만 오면 고</t>
  </si>
  <si>
    <t>89747</t>
  </si>
  <si>
    <t>판가 인상 없이도 스판덱스 증익</t>
  </si>
  <si>
    <t>89746</t>
  </si>
  <si>
    <t>4Q25 실적발표, 어마어마한 성장 속도</t>
  </si>
  <si>
    <t>89745</t>
  </si>
  <si>
    <t>일회성 손실을 뚫고 확인된 본업 펀더멘털 회복</t>
  </si>
  <si>
    <t>89744</t>
  </si>
  <si>
    <t>시장 눈높이에 부합한 실적과 주주환원</t>
  </si>
  <si>
    <t>89743</t>
  </si>
  <si>
    <t>뇌투과 셔틀 확장성으로 검증 이어질 것</t>
  </si>
  <si>
    <t>89742</t>
  </si>
  <si>
    <t>중공업 영업이익률 20% 돌파</t>
  </si>
  <si>
    <t>89741</t>
  </si>
  <si>
    <t>2026년은 곳간을 채우는 해</t>
  </si>
  <si>
    <t>89740</t>
  </si>
  <si>
    <t>2보 전진을 위한 1보 후퇴</t>
  </si>
  <si>
    <t>89739</t>
  </si>
  <si>
    <t>4Q25: 작년에도, 올해도 우상향</t>
  </si>
  <si>
    <t>89738</t>
  </si>
  <si>
    <t>실적은 호흡 조절, 수주잔고 충전 중</t>
  </si>
  <si>
    <t>89737</t>
  </si>
  <si>
    <t>2026년 반등이 보인다</t>
  </si>
  <si>
    <t>89736</t>
  </si>
  <si>
    <t>4Q25 Review: 통합 AI 인프라 구축 시기의 구체화가 필요해</t>
  </si>
  <si>
    <t>89735</t>
  </si>
  <si>
    <t>4Q25: 걱정하지 마세요</t>
  </si>
  <si>
    <t>89734</t>
  </si>
  <si>
    <t>DPS 상향에 이어 자사주 소각도 기대됨</t>
  </si>
  <si>
    <t>89733</t>
  </si>
  <si>
    <t>오랜만에 느껴지는 스판덱스 업황의 온기</t>
  </si>
  <si>
    <t>89732</t>
  </si>
  <si>
    <t>실적부진 주범의 오명 조금씩 벗어낼 탄소섬유/아라미드</t>
  </si>
  <si>
    <t>89731</t>
  </si>
  <si>
    <t>로열티 수익과 차기 파이프라인이 중요한 시점</t>
  </si>
  <si>
    <t>89730</t>
  </si>
  <si>
    <t>매력적인 밸류에이션과 주주환원</t>
  </si>
  <si>
    <t>89729</t>
  </si>
  <si>
    <t>89728</t>
  </si>
  <si>
    <t>자회사 부진과 힐회성 비용으로 예상치 하회</t>
  </si>
  <si>
    <t>89727</t>
  </si>
  <si>
    <t>배당소득 분리과세, 주주환원율 50% 조기달성 전망</t>
  </si>
  <si>
    <t>89726</t>
  </si>
  <si>
    <t>Level Up 기대</t>
  </si>
  <si>
    <t>89725</t>
  </si>
  <si>
    <t>잠깐의 숨 고르기, 하반기 재도약을 준비</t>
  </si>
  <si>
    <t>89724</t>
  </si>
  <si>
    <t>순조로운 성장세, 긍정적인 수주 전망</t>
  </si>
  <si>
    <t>89723</t>
  </si>
  <si>
    <t>아쉬운 순위 조정. 담도암 3상 기대.</t>
  </si>
  <si>
    <t>89722</t>
  </si>
  <si>
    <t>바닥 찍고 개선되는 이익의 흐름</t>
  </si>
  <si>
    <t>89721</t>
  </si>
  <si>
    <t>서프라이즈, 미국향 변압기 출하증가</t>
  </si>
  <si>
    <t>89720</t>
  </si>
  <si>
    <t>1가구 1로봇 도입 시대를 기대하며</t>
  </si>
  <si>
    <t>89719</t>
  </si>
  <si>
    <t>미미하지만, 긍정적 변화</t>
  </si>
  <si>
    <t>89718</t>
  </si>
  <si>
    <t>조용한 파동, 확장되는 영역</t>
  </si>
  <si>
    <t>89717</t>
  </si>
  <si>
    <t>057050</t>
  </si>
  <si>
    <t>현대홈쇼핑</t>
  </si>
  <si>
    <t>이익 증가 구간 진입 = 배당 증가 구간 진입</t>
  </si>
  <si>
    <t>89716</t>
  </si>
  <si>
    <t>K-Bio의 다음 주자, K-CAB</t>
  </si>
  <si>
    <t>89715</t>
  </si>
  <si>
    <t>Rubin Ultra는 아직 나오지도 않았다</t>
  </si>
  <si>
    <t>89714</t>
  </si>
  <si>
    <t>북미 ESS부터 로보틱스까지 선도적 지위 선점</t>
  </si>
  <si>
    <t>89713</t>
  </si>
  <si>
    <t>2026-01-30</t>
  </si>
  <si>
    <t>순풍을 타는 구간</t>
  </si>
  <si>
    <t>89712</t>
  </si>
  <si>
    <t>Robotics Shock Earning Shock</t>
  </si>
  <si>
    <t>89711</t>
  </si>
  <si>
    <t>해운 중심 본업 성장과 BD 지분가치의 부각 효과</t>
  </si>
  <si>
    <t>89710</t>
  </si>
  <si>
    <t>비워내야 채울 수 있다</t>
  </si>
  <si>
    <t>89709</t>
  </si>
  <si>
    <t>바닥은 확인</t>
  </si>
  <si>
    <t>89708</t>
  </si>
  <si>
    <t>상반기 회복은 제한적, 하반기 반등을 기약</t>
  </si>
  <si>
    <t>89707</t>
  </si>
  <si>
    <t>본업은 흐림, 자산 가치는 맑음</t>
  </si>
  <si>
    <t>89706</t>
  </si>
  <si>
    <t>Shortage, Shortage, Shortage</t>
  </si>
  <si>
    <t>89705</t>
  </si>
  <si>
    <t>여전히 견조한 해외 수요</t>
  </si>
  <si>
    <t>89704</t>
  </si>
  <si>
    <t>불확실성 해소로 상방에 주목할 시점</t>
  </si>
  <si>
    <t>89703</t>
  </si>
  <si>
    <t>착실한 미래 사업 준비에 주목</t>
  </si>
  <si>
    <t>89702</t>
  </si>
  <si>
    <t>4Q25 Re: 수요 폭발</t>
  </si>
  <si>
    <t>89701</t>
  </si>
  <si>
    <t>4Q25 Re: 메모리만 믿으라구</t>
  </si>
  <si>
    <t>89700</t>
  </si>
  <si>
    <t>4Q25 Review: 차별적 경쟁력, 대체 불가 선택지</t>
  </si>
  <si>
    <t>89699</t>
  </si>
  <si>
    <t>높아진 기대치마저 상회</t>
  </si>
  <si>
    <t>89698</t>
  </si>
  <si>
    <t>강력한 메모리 업황</t>
  </si>
  <si>
    <t>89697</t>
  </si>
  <si>
    <t>외부 IP 기반의 신작 도전</t>
  </si>
  <si>
    <t>89696</t>
  </si>
  <si>
    <t>높아진 IP 가치 기반의 신작 출시 기대</t>
  </si>
  <si>
    <t>89695</t>
  </si>
  <si>
    <t>도약할 2026년!</t>
  </si>
  <si>
    <t>89694</t>
  </si>
  <si>
    <t>254Q Review: 시작된 실적 업사이클</t>
  </si>
  <si>
    <t>89693</t>
  </si>
  <si>
    <t>시원하게 털고가자!</t>
  </si>
  <si>
    <t>89692</t>
  </si>
  <si>
    <t>다시 QoQ 매출 감소 구간</t>
  </si>
  <si>
    <t>89691</t>
  </si>
  <si>
    <t>업황과 함께 돌아온 경쟁력</t>
  </si>
  <si>
    <t>89690</t>
  </si>
  <si>
    <t>기판 맹수, 앙!</t>
  </si>
  <si>
    <t>89689</t>
  </si>
  <si>
    <t>구조적 성장 동력의 지속. BD 가치 반영</t>
  </si>
  <si>
    <t>89688</t>
  </si>
  <si>
    <t>상반기 다시 한 번 Level-up 기대</t>
  </si>
  <si>
    <t>89687</t>
  </si>
  <si>
    <t>곳간에서 인심 난다</t>
  </si>
  <si>
    <t>89686</t>
  </si>
  <si>
    <t>다시 증익 구간 진입</t>
  </si>
  <si>
    <t>89685</t>
  </si>
  <si>
    <t>4분기 실적 하회. 2026년 물량 +1%. BD 가치 반영</t>
  </si>
  <si>
    <t>89684</t>
  </si>
  <si>
    <t>1Q26부터 개선 사이클 진입</t>
  </si>
  <si>
    <t>89683</t>
  </si>
  <si>
    <t>상반기 양극재 부진 vs. LGES 지분 활용</t>
  </si>
  <si>
    <t>89682</t>
  </si>
  <si>
    <t>2026년 BESS 성장성에 주목</t>
  </si>
  <si>
    <t>89681</t>
  </si>
  <si>
    <t>견조한 본업 성장</t>
  </si>
  <si>
    <t>89680</t>
  </si>
  <si>
    <t>4Q25 Review: New Era, 새 시대를 맞이하며</t>
  </si>
  <si>
    <t>89679</t>
  </si>
  <si>
    <t>1Q26 예상 영업이익 증가율 43.3%</t>
  </si>
  <si>
    <t>89678</t>
  </si>
  <si>
    <t>2026년 성장을 향한 과도기</t>
  </si>
  <si>
    <t>89677</t>
  </si>
  <si>
    <t>메모리 시장 내 위상과 강한 현금 창출력을 주목</t>
  </si>
  <si>
    <t>89676</t>
  </si>
  <si>
    <t>전장은 견조, AI서버 향 확대가 중요</t>
  </si>
  <si>
    <t>89675</t>
  </si>
  <si>
    <t>아직은 어두워 보이는 26년</t>
  </si>
  <si>
    <t>89674</t>
  </si>
  <si>
    <t>이익의 가시성이 투명에 가깝다</t>
  </si>
  <si>
    <t>89673</t>
  </si>
  <si>
    <t>보다 더 유리해지는 환경</t>
  </si>
  <si>
    <t>89672</t>
  </si>
  <si>
    <t>4Q25 리뷰: 실적 우려를 지나 로봇/자율주행</t>
  </si>
  <si>
    <t>89671</t>
  </si>
  <si>
    <t>4분기 실적 부진, 2026년 뚜렷한 반등 기대</t>
  </si>
  <si>
    <t>89670</t>
  </si>
  <si>
    <t>다양해지는 프리미엄 요소</t>
  </si>
  <si>
    <t>89669</t>
  </si>
  <si>
    <t>중국발 훈풍 기대감, 실적으로 이어질까?</t>
  </si>
  <si>
    <t>89668</t>
  </si>
  <si>
    <t>멈추지 않는 성장 동력</t>
  </si>
  <si>
    <t>89667</t>
  </si>
  <si>
    <t>중장기 성장동력 강화 시작</t>
  </si>
  <si>
    <t>89666</t>
  </si>
  <si>
    <t>돈도 잘 버는 로봇회사</t>
  </si>
  <si>
    <t>89665</t>
  </si>
  <si>
    <t>4Q25 Review: 거침없이 난 달려가지</t>
  </si>
  <si>
    <t>89664</t>
  </si>
  <si>
    <t>로봇 =&gt; 자율주행으로 이어질 모멘텀</t>
  </si>
  <si>
    <t>89663</t>
  </si>
  <si>
    <t>하.의.치 (하이닉스-의대-치대)</t>
  </si>
  <si>
    <t>89662</t>
  </si>
  <si>
    <t>나야, 삼성전자</t>
  </si>
  <si>
    <t>89661</t>
  </si>
  <si>
    <t>038290</t>
  </si>
  <si>
    <t>마크로젠</t>
  </si>
  <si>
    <t>저평가 구간, 마크로젠의 반격</t>
  </si>
  <si>
    <t>89660</t>
  </si>
  <si>
    <t>4Q25 Review: 너무 잘나가서 죄송합니다</t>
  </si>
  <si>
    <t>89659</t>
  </si>
  <si>
    <t>4Q25 Review: 도움 닫기</t>
  </si>
  <si>
    <t>89658</t>
  </si>
  <si>
    <t>4Q25 Preview: 반드시 거쳐야 하는 AI 수문장</t>
  </si>
  <si>
    <t>89657</t>
  </si>
  <si>
    <t>4Q25 Review: 잘 벌어서 많이 돌려 드릴게요</t>
  </si>
  <si>
    <t>89656</t>
  </si>
  <si>
    <t>결자해지 완료, 실적과 업황에 집중! - 주요 주주변경 및 지분공시 관련 Comment</t>
  </si>
  <si>
    <t>89655</t>
  </si>
  <si>
    <t>일회성 비용으로 실적 악화</t>
  </si>
  <si>
    <t>89654</t>
  </si>
  <si>
    <t>시선은 하반기로</t>
  </si>
  <si>
    <t>89653</t>
  </si>
  <si>
    <t>흘러오는 거대한 수레에 올라타자</t>
  </si>
  <si>
    <t>89652</t>
  </si>
  <si>
    <t>Good goodbye 2025년</t>
  </si>
  <si>
    <t>89651</t>
  </si>
  <si>
    <t>뚜렷한 상저하고</t>
  </si>
  <si>
    <t>89650</t>
  </si>
  <si>
    <t>2026년 실적으로 성장 입증 필요</t>
  </si>
  <si>
    <t>89649</t>
  </si>
  <si>
    <t>067000</t>
  </si>
  <si>
    <t>조이시티</t>
  </si>
  <si>
    <t>신작이 심상치 않다. Again 2020?</t>
  </si>
  <si>
    <t>89648</t>
  </si>
  <si>
    <t>이제 다시 달릴 때</t>
  </si>
  <si>
    <t>89647</t>
  </si>
  <si>
    <t>기대해도 좋을 2026년</t>
  </si>
  <si>
    <t>89646</t>
  </si>
  <si>
    <t>바닥을 지나는 중</t>
  </si>
  <si>
    <t>89645</t>
  </si>
  <si>
    <t>EV → ESS 라인 전환 확대</t>
  </si>
  <si>
    <t>89644</t>
  </si>
  <si>
    <t>예견된 부진</t>
  </si>
  <si>
    <t>89643</t>
  </si>
  <si>
    <t>108380</t>
  </si>
  <si>
    <t>대양전기공업</t>
  </si>
  <si>
    <t>코스닥 선진화의 아이콘이 될 기업</t>
  </si>
  <si>
    <t>89642</t>
  </si>
  <si>
    <t>2026년에도 견조한 실적 지속</t>
  </si>
  <si>
    <t>89641</t>
  </si>
  <si>
    <t>실적 + 주주 환원 + 장기 모멘텀</t>
  </si>
  <si>
    <t>89640</t>
  </si>
  <si>
    <t>다시 한 번 정상을 향해</t>
  </si>
  <si>
    <t>89639</t>
  </si>
  <si>
    <t>폭발적인 성장이 담보된 구간</t>
  </si>
  <si>
    <t>89638</t>
  </si>
  <si>
    <t>턴어라운드 국면</t>
  </si>
  <si>
    <t>89637</t>
  </si>
  <si>
    <t>기대할 것과 기대 낮춰야 하는 것의 공존</t>
  </si>
  <si>
    <t>89636</t>
  </si>
  <si>
    <t>아쉬운 실적, 그럼에도 시장 기대 이상 무</t>
  </si>
  <si>
    <t>89635</t>
  </si>
  <si>
    <t>예상보다 더 빠른 데이터센터향 응용처 확대</t>
  </si>
  <si>
    <t>89634</t>
  </si>
  <si>
    <t>중장기관점에서 핵심은 북미 ESS</t>
  </si>
  <si>
    <t>89633</t>
  </si>
  <si>
    <t>역대급 분기 가격 상승 예상</t>
  </si>
  <si>
    <t>89632</t>
  </si>
  <si>
    <t>완전한 경쟁력 회복과 실적 대폭 개선</t>
  </si>
  <si>
    <t>89631</t>
  </si>
  <si>
    <t>배당성장주로서 매력 부각</t>
  </si>
  <si>
    <t>89630</t>
  </si>
  <si>
    <t>이제 진짜 바닥이 보인다</t>
  </si>
  <si>
    <t>89629</t>
  </si>
  <si>
    <t>바닥을 지나는 시기?</t>
  </si>
  <si>
    <t>89628</t>
  </si>
  <si>
    <t>두근 두근, 하이브리드 본딩의 시대가 온다</t>
  </si>
  <si>
    <t>89627</t>
  </si>
  <si>
    <t>수익성 하락 우려는 기우(杞憂)</t>
  </si>
  <si>
    <t>89626</t>
  </si>
  <si>
    <t>2026년 영업이익 140조원으로 상향</t>
  </si>
  <si>
    <t>89625</t>
  </si>
  <si>
    <t>1Q26 영업이익 32조원 전망</t>
  </si>
  <si>
    <t>89624</t>
  </si>
  <si>
    <t>조정 시 매수 전략 유효한 시점</t>
  </si>
  <si>
    <t>89623</t>
  </si>
  <si>
    <t>아직 외국인 유입은 시작되기도 전이다</t>
  </si>
  <si>
    <t>89622</t>
  </si>
  <si>
    <t>신제품의 성과가 올해 성장성을 결정</t>
  </si>
  <si>
    <t>89621</t>
  </si>
  <si>
    <t>88년 만에 바뀌는 산업, 글로벌 최대 수혜 전망</t>
  </si>
  <si>
    <t>89620</t>
  </si>
  <si>
    <t>[AI] 패션과 뷰티를 아우르는 종합 브랜드 기업</t>
  </si>
  <si>
    <t>89619</t>
  </si>
  <si>
    <t>352480</t>
  </si>
  <si>
    <t>씨앤씨인터내셔널</t>
  </si>
  <si>
    <t>[AI] 색조화장품 전문 ODM 기업</t>
  </si>
  <si>
    <t>89618</t>
  </si>
  <si>
    <t>2026-01-29</t>
  </si>
  <si>
    <t>신차 효과와 AI/로보틱스로 밸류업</t>
  </si>
  <si>
    <t>89617</t>
  </si>
  <si>
    <t>여전히 어려운 시기</t>
  </si>
  <si>
    <t>89616</t>
  </si>
  <si>
    <t>배터리 부진을 상쇄한 전통산업</t>
  </si>
  <si>
    <t>89615</t>
  </si>
  <si>
    <t>2027년을 기다리기로 해요</t>
  </si>
  <si>
    <t>89614</t>
  </si>
  <si>
    <t>본업의 수익성 증대와 높아지는 미래 사업 가시성</t>
  </si>
  <si>
    <t>89613</t>
  </si>
  <si>
    <t>4Q25 Review: 영업이익 컨센서스 하회</t>
  </si>
  <si>
    <t>89612</t>
  </si>
  <si>
    <t>나도 원전 글로벌 플레이어</t>
  </si>
  <si>
    <t>89611</t>
  </si>
  <si>
    <t>역경을 헤치고 미래로 전진</t>
  </si>
  <si>
    <t>89610</t>
  </si>
  <si>
    <t>묵묵히 제 역할을 수행 중</t>
  </si>
  <si>
    <t>89609</t>
  </si>
  <si>
    <t>끝나지 않는 성장, 2026년의 주인공은 LS</t>
  </si>
  <si>
    <t>89608</t>
  </si>
  <si>
    <t>4Q25 Review: 성장은 필연적</t>
  </si>
  <si>
    <t>89607</t>
  </si>
  <si>
    <t>2026년에도 은행 중 증익 폭 가장 클 것으로 전망</t>
  </si>
  <si>
    <t>89606</t>
  </si>
  <si>
    <t>4분기 실적은 기대치 부합. BD 반영하여 목표주가 상향</t>
  </si>
  <si>
    <t>89605</t>
  </si>
  <si>
    <t>4분기 실적 부합. 2026년 신차 효과. BD 가치 반영</t>
  </si>
  <si>
    <t>89604</t>
  </si>
  <si>
    <t>2026년 전사 실적 대폭 개선. 투자의견 상향</t>
  </si>
  <si>
    <t>89603</t>
  </si>
  <si>
    <t>수주 많이 된다, 북미에서 제일 잘하는 부품사야</t>
  </si>
  <si>
    <t>89602</t>
  </si>
  <si>
    <t>Laggard-play의 가능성을 찾는 것이 중요</t>
  </si>
  <si>
    <t>89601</t>
  </si>
  <si>
    <t>항암 파이프라인 성과 기대</t>
  </si>
  <si>
    <t>89600</t>
  </si>
  <si>
    <t>Big Bath는 매수 기회인가?</t>
  </si>
  <si>
    <t>89599</t>
  </si>
  <si>
    <t>테스트 많이 된다</t>
  </si>
  <si>
    <t>89598</t>
  </si>
  <si>
    <t>2026 년: 출하량은 불확실 vs ASP 는 저점확인</t>
  </si>
  <si>
    <t>89597</t>
  </si>
  <si>
    <t>영업가치와 자산가치의 동반 상승 지속</t>
  </si>
  <si>
    <t>89596</t>
  </si>
  <si>
    <t>명확한 방향성을 따라</t>
  </si>
  <si>
    <t>89595</t>
  </si>
  <si>
    <t>할 일을 잘 한다!</t>
  </si>
  <si>
    <t>89594</t>
  </si>
  <si>
    <t>[4Q25 NDR 후기] 2026년 성장판이 활짝 열린다.</t>
  </si>
  <si>
    <t>89593</t>
  </si>
  <si>
    <t>OLED 선택은 맞다</t>
  </si>
  <si>
    <t>89592</t>
  </si>
  <si>
    <t>4Q25 리뷰: 가시적인 비용 회수</t>
  </si>
  <si>
    <t>89591</t>
  </si>
  <si>
    <t>예열 완료: 1분기 실적 모멘텀에 주목</t>
  </si>
  <si>
    <t>89590</t>
  </si>
  <si>
    <t>업종 내 Top Pick</t>
  </si>
  <si>
    <t>89589</t>
  </si>
  <si>
    <t>형님 뒤 따라갑니다</t>
  </si>
  <si>
    <t>89588</t>
  </si>
  <si>
    <t>459550</t>
  </si>
  <si>
    <t>알트</t>
  </si>
  <si>
    <t>쌓여가는 현금과 일본시장의 큰 기회</t>
  </si>
  <si>
    <t>89587</t>
  </si>
  <si>
    <t>4Q25 Review: HEV 공격적 확대를 통한 관세 위기 극복</t>
  </si>
  <si>
    <t>89586</t>
  </si>
  <si>
    <t>효율 개선에 총력을!</t>
  </si>
  <si>
    <t>89585</t>
  </si>
  <si>
    <t>정유 호조에도 배터리 부진 확대</t>
  </si>
  <si>
    <t>89584</t>
  </si>
  <si>
    <t>4Q25 리뷰: 매력적인 가이던스, BD, 배당</t>
  </si>
  <si>
    <t>89583</t>
  </si>
  <si>
    <t>실적개선과 주주환원의 선순환</t>
  </si>
  <si>
    <t>89582</t>
  </si>
  <si>
    <t>반도체 호황 향유 중</t>
  </si>
  <si>
    <t>89581</t>
  </si>
  <si>
    <t>4Q25 Review: 글로벌 원전 수주 시장에 참여 시작</t>
  </si>
  <si>
    <t>89580</t>
  </si>
  <si>
    <t>아직은 인고의 시간</t>
  </si>
  <si>
    <t>89579</t>
  </si>
  <si>
    <t>20조원의 순현금을 품은 로보틱스 회사</t>
  </si>
  <si>
    <t>89578</t>
  </si>
  <si>
    <t>‘로봇’과 ‘비계열 수주’가 견인할 미래 가치</t>
  </si>
  <si>
    <t>89577</t>
  </si>
  <si>
    <t>4Q25 Review: 탄탄한 실적과 로봇 사업 기대감</t>
  </si>
  <si>
    <t>89576</t>
  </si>
  <si>
    <t>시장의 관심은 액츄에이터로 귀결</t>
  </si>
  <si>
    <t>89575</t>
  </si>
  <si>
    <t>결국 시장에 드러날 진가</t>
  </si>
  <si>
    <t>89574</t>
  </si>
  <si>
    <t>2026년도 쉽지 않은 한 해</t>
  </si>
  <si>
    <t>89573</t>
  </si>
  <si>
    <t>2026년 사업 정상화 노력 효과 본격화</t>
  </si>
  <si>
    <t>89572</t>
  </si>
  <si>
    <t>보유지분 재평가와 펀더멘탈 강화</t>
  </si>
  <si>
    <t>89571</t>
  </si>
  <si>
    <t>턴어라운드 기대가 현실로</t>
  </si>
  <si>
    <t>89570</t>
  </si>
  <si>
    <t>하이닉스 배당 서프라이즈</t>
  </si>
  <si>
    <t>89569</t>
  </si>
  <si>
    <t>턴어라운드에 성장성까지</t>
  </si>
  <si>
    <t>89568</t>
  </si>
  <si>
    <t>느리지만 꾸준하게</t>
  </si>
  <si>
    <t>89567</t>
  </si>
  <si>
    <t>단기 상승 내러티브 존재하나 과열 주의</t>
  </si>
  <si>
    <t>89566</t>
  </si>
  <si>
    <t>26년에도 성장하는 기아</t>
  </si>
  <si>
    <t>89565</t>
  </si>
  <si>
    <t>장기간 적자 지속 전망</t>
  </si>
  <si>
    <t>89564</t>
  </si>
  <si>
    <t>4Q25 Review: 그럼에도 턴어라운드에 주목하자</t>
  </si>
  <si>
    <t>89563</t>
  </si>
  <si>
    <t>배터리 적자를 정유 사업이 만회</t>
  </si>
  <si>
    <t>89562</t>
  </si>
  <si>
    <t>일회성 비용은 아쉽지만 업황은 나쁘지 않다</t>
  </si>
  <si>
    <t>89561</t>
  </si>
  <si>
    <t>주가 상승을 정당화할 충분한 이유가 있다</t>
  </si>
  <si>
    <t>89560</t>
  </si>
  <si>
    <t>89559</t>
  </si>
  <si>
    <t>4Q25 잠정 실적 코멘트: 점유율 및 판가 우려 해소. TPU 시장 확대의 최대 수혜 지속</t>
  </si>
  <si>
    <t>89558</t>
  </si>
  <si>
    <t>미국 기대감은 유효하다</t>
  </si>
  <si>
    <t>89557</t>
  </si>
  <si>
    <t>체질 개선 가시화</t>
  </si>
  <si>
    <t>89556</t>
  </si>
  <si>
    <t>가파른 자체주택 마진 상승 전망</t>
  </si>
  <si>
    <t>89555</t>
  </si>
  <si>
    <t>주주환원율 상향 카드 검토가 필요한 시점</t>
  </si>
  <si>
    <t>89554</t>
  </si>
  <si>
    <t>고정비 부담 완화 사이클 진입, 목표주가 상향</t>
  </si>
  <si>
    <t>89553</t>
  </si>
  <si>
    <t>신규 성장전략: Electrification</t>
  </si>
  <si>
    <t>89552</t>
  </si>
  <si>
    <t>26년 수주 확대 효과 본격화</t>
  </si>
  <si>
    <t>89551</t>
  </si>
  <si>
    <t>094480</t>
  </si>
  <si>
    <t>갤럭시아머니트리</t>
  </si>
  <si>
    <t>결제는 연료, STO는 추진력</t>
  </si>
  <si>
    <t>89550</t>
  </si>
  <si>
    <t>2026-01-28</t>
  </si>
  <si>
    <t>주가의 변수, 실적이 아닌 자사주 소각 여부</t>
  </si>
  <si>
    <t>89549</t>
  </si>
  <si>
    <t>나야, 재도전. 우려 해소하며 주가 재도약 기대</t>
  </si>
  <si>
    <t>89548</t>
  </si>
  <si>
    <t>254Q Review: Top-Tier의 품격 기대</t>
  </si>
  <si>
    <t>89547</t>
  </si>
  <si>
    <t>1Q26 광학 호조와 기판 성장, 컨센상회</t>
  </si>
  <si>
    <t>89546</t>
  </si>
  <si>
    <t>4Q25 Review: 숫자는 답을 알고 있다</t>
  </si>
  <si>
    <t>89545</t>
  </si>
  <si>
    <t>일회성 비용에도 분기 최대 실적 기록</t>
  </si>
  <si>
    <t>89544</t>
  </si>
  <si>
    <t>올해는 시장점유율 급상승 가능성에 유의해야</t>
  </si>
  <si>
    <t>89543</t>
  </si>
  <si>
    <t>AI 모멘텀 감안하면 주가는 계속 상승할 겁니다</t>
  </si>
  <si>
    <t>89542</t>
  </si>
  <si>
    <t>4Q25 Preview: 2026 년에도 Top-Pick, 의심은 없다</t>
  </si>
  <si>
    <t>89541</t>
  </si>
  <si>
    <t>로봇이 이끌어갈 미래 성장</t>
  </si>
  <si>
    <t>89540</t>
  </si>
  <si>
    <t>데이터센터가 이끈 서프라이즈</t>
  </si>
  <si>
    <t>89539</t>
  </si>
  <si>
    <t>[다시봐] 기술 경쟁력 기반 해외 진출 확대 모색</t>
  </si>
  <si>
    <t>89538</t>
  </si>
  <si>
    <t>Silver lining in the Crucible of change</t>
  </si>
  <si>
    <t>89537</t>
  </si>
  <si>
    <t>배당만 확인시켜 주세요</t>
  </si>
  <si>
    <t>89536</t>
  </si>
  <si>
    <t>올랐어도 매력적입니다.</t>
  </si>
  <si>
    <t>89535</t>
  </si>
  <si>
    <t>지금이 아니면 늦다</t>
  </si>
  <si>
    <t>89534</t>
  </si>
  <si>
    <t>생각보다 국내 전력사업이 좋다</t>
  </si>
  <si>
    <t>89533</t>
  </si>
  <si>
    <t>수익성이 보여주는 명확한 Upturn</t>
  </si>
  <si>
    <t>89532</t>
  </si>
  <si>
    <t>바야흐로 배전의 시대</t>
  </si>
  <si>
    <t>89531</t>
  </si>
  <si>
    <t>미국 기대 유효, 국내는 부진</t>
  </si>
  <si>
    <t>89530</t>
  </si>
  <si>
    <t>2027년을 향하는 시선</t>
  </si>
  <si>
    <t>89529</t>
  </si>
  <si>
    <t>4Q25P Review: 연간 최고 실적 달성</t>
  </si>
  <si>
    <t>89528</t>
  </si>
  <si>
    <t>올해부터 부각될 신사업 가치</t>
  </si>
  <si>
    <t>89527</t>
  </si>
  <si>
    <t>실적과 수주 모두 역대 최대치</t>
  </si>
  <si>
    <t>89526</t>
  </si>
  <si>
    <t>반가운 실적</t>
  </si>
  <si>
    <t>89525</t>
  </si>
  <si>
    <t>서프라이즈, 빅테크를 투자하는 가장 스마트한 선택지</t>
  </si>
  <si>
    <t>89524</t>
  </si>
  <si>
    <t>Still 'LONG'</t>
  </si>
  <si>
    <t>89523</t>
  </si>
  <si>
    <t>89522</t>
  </si>
  <si>
    <t>힘내라 자회사</t>
  </si>
  <si>
    <t>89521</t>
  </si>
  <si>
    <t>2026-01-27</t>
  </si>
  <si>
    <t>재무구조 개선 가시성 확인, 이제는 성장성이 관건</t>
  </si>
  <si>
    <t>89520</t>
  </si>
  <si>
    <t>타이어 마진 확대 및 연결 수익성 안정적 개선 흐름</t>
  </si>
  <si>
    <t>89519</t>
  </si>
  <si>
    <t>화재 영향을 글로벌 CAPA-UP으로 전화위복</t>
  </si>
  <si>
    <t>89518</t>
  </si>
  <si>
    <t>4Q25 Preview : 아쿠쉬네트 지분 가치만 4조원</t>
  </si>
  <si>
    <t>89517</t>
  </si>
  <si>
    <t>2028년까지 견조한 정유 수급 사이클 기대</t>
  </si>
  <si>
    <t>89516</t>
  </si>
  <si>
    <t>준비된 우주항공 소재 플레이어</t>
  </si>
  <si>
    <t>89515</t>
  </si>
  <si>
    <t>내수 시장 한계 속 스스로 만드는 성장 기회</t>
  </si>
  <si>
    <t>89514</t>
  </si>
  <si>
    <t>글로벌EMS 신사업본격화그리고AI 글래스모멘텀</t>
  </si>
  <si>
    <t>89513</t>
  </si>
  <si>
    <t>차세대 제품의 주력 공급자 지위 공고화</t>
  </si>
  <si>
    <t>89512</t>
  </si>
  <si>
    <t>4Q25 Preview: 안정적으로 지켜낼</t>
  </si>
  <si>
    <t>89511</t>
  </si>
  <si>
    <t>26년 로스베가스 + 캐주얼 성장 + 플랫폼비율 하락</t>
  </si>
  <si>
    <t>89510</t>
  </si>
  <si>
    <t>4Q25 부진 vs. 1Q26 큰 폭 개선 예상</t>
  </si>
  <si>
    <t>89509</t>
  </si>
  <si>
    <t>4Q25 Pre: 아직 홍해를 못 간답니다</t>
  </si>
  <si>
    <t>89508</t>
  </si>
  <si>
    <t>2월 전략 - 이제 다시 매수해도 됩니다</t>
  </si>
  <si>
    <t>89507</t>
  </si>
  <si>
    <t>2월 전략 - 올해 DPS 성장률이 중요해지는 시점입니다</t>
  </si>
  <si>
    <t>89506</t>
  </si>
  <si>
    <t>2월 전략 - 투자 환경 개선, 매수 시점 앞당기세요</t>
  </si>
  <si>
    <t>89505</t>
  </si>
  <si>
    <t>2Q26 실적 추가 개선 전망. Top Pick 제시</t>
  </si>
  <si>
    <t>89504</t>
  </si>
  <si>
    <t>컨센서스 상회하는 실적으로 연간 손익 가이던스 부합 전망</t>
  </si>
  <si>
    <t>89503</t>
  </si>
  <si>
    <t>모바일 수요 역성장 vs 비모바일 영역 확대</t>
  </si>
  <si>
    <t>89502</t>
  </si>
  <si>
    <t>신성장동력 중심 성장 기대</t>
  </si>
  <si>
    <t>89501</t>
  </si>
  <si>
    <t>셀르디엠이 연 성장, 악재는 종료됐다</t>
  </si>
  <si>
    <t>89500</t>
  </si>
  <si>
    <t>변동성 확대 구간의 수혜주</t>
  </si>
  <si>
    <t>89499</t>
  </si>
  <si>
    <t>성장은 증권이 책임진다</t>
  </si>
  <si>
    <t>89498</t>
  </si>
  <si>
    <t>4Q25 Review: 외형 합격. 훼손되지 않은 본질</t>
  </si>
  <si>
    <t>89497</t>
  </si>
  <si>
    <t>073560</t>
  </si>
  <si>
    <t>우리손에프앤지</t>
  </si>
  <si>
    <t>실적안정성이 부각되는 양돈기업</t>
  </si>
  <si>
    <t>89496</t>
  </si>
  <si>
    <t xml:space="preserve">4Q25 Review: 비모바일 영역에서의  이익 기여 확대 </t>
  </si>
  <si>
    <t>89495</t>
  </si>
  <si>
    <t>4Q25 Review: 레버리지 구간 진입</t>
  </si>
  <si>
    <t>89494</t>
  </si>
  <si>
    <t>1Q 및 26년 실적은 성장!</t>
  </si>
  <si>
    <t>89493</t>
  </si>
  <si>
    <t>신규사업 성장궤도 진입</t>
  </si>
  <si>
    <t>89492</t>
  </si>
  <si>
    <t>해태 합병으로 구조적 개선 가시화</t>
  </si>
  <si>
    <t>89491</t>
  </si>
  <si>
    <t>아직 확인할게 남았다</t>
  </si>
  <si>
    <t>89490</t>
  </si>
  <si>
    <t>4Q25 잠정실적 공시, 서프라이즈, 행복할 2026년</t>
  </si>
  <si>
    <t>89489</t>
  </si>
  <si>
    <t>블록버스터로 가는 길</t>
  </si>
  <si>
    <t>89488</t>
  </si>
  <si>
    <t>민수용 미수금 회수가 시급하다</t>
  </si>
  <si>
    <t>89487</t>
  </si>
  <si>
    <t>4Q 컨센서스 Beat는 빙산의 일각</t>
  </si>
  <si>
    <t>89486</t>
  </si>
  <si>
    <t>실적 체력 확인</t>
  </si>
  <si>
    <t>89485</t>
  </si>
  <si>
    <t>다시 서프라이즈</t>
  </si>
  <si>
    <t>89484</t>
  </si>
  <si>
    <t>25년 4분기 일회성 비용으로 부진</t>
  </si>
  <si>
    <t>89483</t>
  </si>
  <si>
    <t>전방 수요 불확실성 vs 카메라 업그레이드 모멘텀</t>
  </si>
  <si>
    <t>89482</t>
  </si>
  <si>
    <t>89481</t>
  </si>
  <si>
    <t>드디어 시작된 F의 시간</t>
  </si>
  <si>
    <t>89480</t>
  </si>
  <si>
    <t>OSP 하락 효과 확대되며 하반기 실적 개선 전망</t>
  </si>
  <si>
    <t>89479</t>
  </si>
  <si>
    <t>2026년 하반기를 기대한다</t>
  </si>
  <si>
    <t>89478</t>
  </si>
  <si>
    <t>4Q25 Re: 4 분기 흑자전환 성공</t>
  </si>
  <si>
    <t>89477</t>
  </si>
  <si>
    <t>4Q25 Pre: 다시 한번 최고 수익성 갱신 전망</t>
  </si>
  <si>
    <t>89476</t>
  </si>
  <si>
    <t>228760</t>
  </si>
  <si>
    <t>지노믹트리</t>
  </si>
  <si>
    <t>얼리텍-B, 실적 레버리지 구간 진입</t>
  </si>
  <si>
    <t>89475</t>
  </si>
  <si>
    <t>4Q25 Pre: 4분기는 내가 주인공</t>
  </si>
  <si>
    <t>89474</t>
  </si>
  <si>
    <t>중장기 성장 국면 진입의 분기점</t>
  </si>
  <si>
    <t>89473</t>
  </si>
  <si>
    <t>전사적으로 증설이 필요해지고 있음</t>
  </si>
  <si>
    <t>89472</t>
  </si>
  <si>
    <t>아이폰 판매 호조와 기판 업사이드</t>
  </si>
  <si>
    <t>89471</t>
  </si>
  <si>
    <t>26년 분기별 정제마진 방향성에 대한 고민</t>
  </si>
  <si>
    <t>89470</t>
  </si>
  <si>
    <t>방산 믿고 통신에 건다</t>
  </si>
  <si>
    <t>89469</t>
  </si>
  <si>
    <t>체질 개선 확인, 성장 옵션 확대</t>
  </si>
  <si>
    <t>89468</t>
  </si>
  <si>
    <t>공정위 기업결합 금지 조치 코멘트</t>
  </si>
  <si>
    <t>89467</t>
  </si>
  <si>
    <t>전방 수요 우려를 상회할 카메라와 기판 업사이클</t>
  </si>
  <si>
    <t>89466</t>
  </si>
  <si>
    <t>사이버 보안 솔루션 NAC, EDR 1위 기업</t>
  </si>
  <si>
    <t>89465</t>
  </si>
  <si>
    <t>한파로 인한 정제설비 가동률 하락 가능성</t>
  </si>
  <si>
    <t>89464</t>
  </si>
  <si>
    <t>2026년 임상결과에 관심</t>
  </si>
  <si>
    <t>89463</t>
  </si>
  <si>
    <t>2026-01-26</t>
  </si>
  <si>
    <t>非 스타링크 진영에 대한 관심 확대 필요</t>
  </si>
  <si>
    <t>89462</t>
  </si>
  <si>
    <t>나만 소외될 이유 없지</t>
  </si>
  <si>
    <t>89461</t>
  </si>
  <si>
    <t>증익을 기대하는 두가지, 클라우드와 웹보드</t>
  </si>
  <si>
    <t>89460</t>
  </si>
  <si>
    <t>조정은 기회다</t>
  </si>
  <si>
    <t>89459</t>
  </si>
  <si>
    <t>4Q25 Review: 뉴에너지 사업 계획 강조</t>
  </si>
  <si>
    <t>89458</t>
  </si>
  <si>
    <t>4Q25 Review 컨센서스 상회</t>
  </si>
  <si>
    <t>89457</t>
  </si>
  <si>
    <t>일시적 주가 조정을 매수의 기회로</t>
  </si>
  <si>
    <t>89456</t>
  </si>
  <si>
    <t>역사적인 BTS 투어와 신인 그룹들의 성장 속도</t>
  </si>
  <si>
    <t>89455</t>
  </si>
  <si>
    <t>실적과 배당 서프라이즈와 명확한 방향성</t>
  </si>
  <si>
    <t>89454</t>
  </si>
  <si>
    <t>로봇에도 커넥터가 들어갑니다</t>
  </si>
  <si>
    <t>89453</t>
  </si>
  <si>
    <t>가치의 이해보다 상황에 대한 판단이 우선</t>
  </si>
  <si>
    <t>89452</t>
  </si>
  <si>
    <t>4Q25 Review: 서버 수요 전환과 계절성 약화</t>
  </si>
  <si>
    <t>89451</t>
  </si>
  <si>
    <t>쌓여가는 포텐</t>
  </si>
  <si>
    <t>89450</t>
  </si>
  <si>
    <t>호실적과 주주환원 강화, 신사업을 위한 행보</t>
  </si>
  <si>
    <t>89449</t>
  </si>
  <si>
    <t>대사질환으로 확장하는 RNA 치료제</t>
  </si>
  <si>
    <t>89448</t>
  </si>
  <si>
    <t>기판, 예약해야 할 판</t>
  </si>
  <si>
    <t>89447</t>
  </si>
  <si>
    <t>1분기 서프라이즈 기대. 매수 타이밍</t>
  </si>
  <si>
    <t>89446</t>
  </si>
  <si>
    <t>가시화된 하단, 열려 있는 상단</t>
  </si>
  <si>
    <t>89445</t>
  </si>
  <si>
    <t>4Q도 좋고 1Q는 더 좋다!</t>
  </si>
  <si>
    <t>89444</t>
  </si>
  <si>
    <t>일곱 가지 성장 동력</t>
  </si>
  <si>
    <t>89443</t>
  </si>
  <si>
    <t>노다지 캐러 미국 갑니다</t>
  </si>
  <si>
    <t>89442</t>
  </si>
  <si>
    <t>AI Cycle, 길고 더 강하다</t>
  </si>
  <si>
    <t>89441</t>
  </si>
  <si>
    <t>기대감 높아질 2026년</t>
  </si>
  <si>
    <t>89440</t>
  </si>
  <si>
    <t>중요한 것은 체질 개선</t>
  </si>
  <si>
    <t>89439</t>
  </si>
  <si>
    <t>희토류 탈중국화 밸류체인 구축 본격화로 성장성 부각</t>
  </si>
  <si>
    <t>89438</t>
  </si>
  <si>
    <t>스마트폰 고객사 영향, 북미 우호적 vs 중국 비우호적</t>
  </si>
  <si>
    <t>89437</t>
  </si>
  <si>
    <t>컨센서스 상회 예상</t>
  </si>
  <si>
    <t>89436</t>
  </si>
  <si>
    <t>인적분할 효과 단기적 But 개정상법 수혜</t>
  </si>
  <si>
    <t>89435</t>
  </si>
  <si>
    <t>AI 수요 지속적인 증가 및 개정상법 수혜</t>
  </si>
  <si>
    <t>89434</t>
  </si>
  <si>
    <t>4분기 기대 이상. 26년도 AI, 전장으로 성장</t>
  </si>
  <si>
    <t>89433</t>
  </si>
  <si>
    <t>2023년 전고점 못 갈 이유 있나요?</t>
  </si>
  <si>
    <t>89432</t>
  </si>
  <si>
    <t>4Q25 Review: 끓는점에 다가가는 중</t>
  </si>
  <si>
    <t>89431</t>
  </si>
  <si>
    <t>미묘한 차이</t>
  </si>
  <si>
    <t>89430</t>
  </si>
  <si>
    <t>4Q25P Review: 2026년 스포츠이벤트 등 수혜 기대</t>
  </si>
  <si>
    <t>89429</t>
  </si>
  <si>
    <t>Energy Transition: 프레임을 바꾸다</t>
  </si>
  <si>
    <t>89428</t>
  </si>
  <si>
    <t>MLCC에 대한 LTA 요구, 기판 증설의 의미</t>
  </si>
  <si>
    <t>89427</t>
  </si>
  <si>
    <t>AI 서버가 이끌 MLCC &amp; FC-BGA 호황기</t>
  </si>
  <si>
    <t>89426</t>
  </si>
  <si>
    <t>신작 게임성 검증 요구</t>
  </si>
  <si>
    <t>89425</t>
  </si>
  <si>
    <t>아이온2 매출 지속성 고려</t>
  </si>
  <si>
    <t>89424</t>
  </si>
  <si>
    <t>기업가치 내재화의 원년</t>
  </si>
  <si>
    <t>89423</t>
  </si>
  <si>
    <t>기업가치 발현 주목</t>
  </si>
  <si>
    <t>89422</t>
  </si>
  <si>
    <t>이번에도 기대치를 상회한 실적</t>
  </si>
  <si>
    <t>89421</t>
  </si>
  <si>
    <t>4Q25 Review: 기대를 넘어, 숫자로 증명하다</t>
  </si>
  <si>
    <t>89420</t>
  </si>
  <si>
    <t>경쟁력 시험대에 오르는 2026년</t>
  </si>
  <si>
    <t>89419</t>
  </si>
  <si>
    <t>2026-01-23</t>
  </si>
  <si>
    <t>216050</t>
  </si>
  <si>
    <t>인크로스</t>
  </si>
  <si>
    <t xml:space="preserve">[AI] 디지털 광고 미디어렙 및 커머스 사업 전문기업 </t>
  </si>
  <si>
    <t>89418</t>
  </si>
  <si>
    <t>464080</t>
  </si>
  <si>
    <t>에스오에스랩</t>
  </si>
  <si>
    <t>[AI] 3D 고정형 라이다 및 데이터 솔루션 전문기업</t>
  </si>
  <si>
    <t>89417</t>
  </si>
  <si>
    <t>SM Next 3.0: 잘 맞는 퍼스널 컬러를 찾았다</t>
  </si>
  <si>
    <t>89416</t>
  </si>
  <si>
    <t>실제 수주로 역량을 증명해야 할 시점</t>
  </si>
  <si>
    <t>89415</t>
  </si>
  <si>
    <t>시장 우려는 과도. 성장 동력 증명은 과제</t>
  </si>
  <si>
    <t>89414</t>
  </si>
  <si>
    <t>염소 급등으로 중국법인 개선 예상</t>
  </si>
  <si>
    <t>89413</t>
  </si>
  <si>
    <t>순항중</t>
  </si>
  <si>
    <t>89412</t>
  </si>
  <si>
    <t>올해는 유의미한 매출 발생합니다</t>
  </si>
  <si>
    <t>89411</t>
  </si>
  <si>
    <t>2026년은 상저하고</t>
  </si>
  <si>
    <t>89410</t>
  </si>
  <si>
    <t>리레이팅(Re-rating) 구간!</t>
  </si>
  <si>
    <t>89409</t>
  </si>
  <si>
    <t>P&amp;Q 동시개선으로 2026년도 성장 기대</t>
  </si>
  <si>
    <t>89408</t>
  </si>
  <si>
    <t>우려보다 펀더멘털에 집중할 때</t>
  </si>
  <si>
    <t>89407</t>
  </si>
  <si>
    <t>본업 성장과 모멘텀의 균형을 시현 중</t>
  </si>
  <si>
    <t>89406</t>
  </si>
  <si>
    <t>구조조정과 IP 신작 출시로 체질 개선</t>
  </si>
  <si>
    <t>89405</t>
  </si>
  <si>
    <t>변화된 경쟁 환경을 적극 활용할 필요 있을 것</t>
  </si>
  <si>
    <t>89404</t>
  </si>
  <si>
    <t>다음 행보를 위한 준비</t>
  </si>
  <si>
    <t>89403</t>
  </si>
  <si>
    <t>백화점 사업은 긍정적, 마트 사업은 아직 과제</t>
  </si>
  <si>
    <t>89402</t>
  </si>
  <si>
    <t>알리글로의 외형 성장과 자회사 운영 효율화로 이익 개선</t>
  </si>
  <si>
    <t>89401</t>
  </si>
  <si>
    <t>다작 출시로 `26년에도 고성장</t>
  </si>
  <si>
    <t>89400</t>
  </si>
  <si>
    <t>이스포츠와 광고로 엑셀 방송 대체</t>
  </si>
  <si>
    <t>89399</t>
  </si>
  <si>
    <t>4Q25 preview - 두 달 만에 1.5조원 증가한 투자자산</t>
  </si>
  <si>
    <t>89398</t>
  </si>
  <si>
    <t>108670</t>
  </si>
  <si>
    <t>LX하우시스</t>
  </si>
  <si>
    <t>건자재 손익 회복, 시간이 필요할 전망</t>
  </si>
  <si>
    <t>89397</t>
  </si>
  <si>
    <t>2026년, 이익과 주주 환원 모두 강화 기대</t>
  </si>
  <si>
    <t>89396</t>
  </si>
  <si>
    <t>미포, 헌팅턴과의 시너지</t>
  </si>
  <si>
    <t>89395</t>
  </si>
  <si>
    <t>시설투자는 ①소캠2 ②브로드컴 AI ③밸류에이션 상향</t>
  </si>
  <si>
    <t>89394</t>
  </si>
  <si>
    <t>오해와 진실</t>
  </si>
  <si>
    <t>89393</t>
  </si>
  <si>
    <t>윤곽이 드러나는 희토류 사업</t>
  </si>
  <si>
    <t>89392</t>
  </si>
  <si>
    <t>14년 박스권 돌파, 성장과 분배의 원년</t>
  </si>
  <si>
    <t>89391</t>
  </si>
  <si>
    <t>단기 실적은 부진, 글로벌 팬덤은 상승세</t>
  </si>
  <si>
    <t>89390</t>
  </si>
  <si>
    <t>일시적인 성장률 둔화</t>
  </si>
  <si>
    <t>89389</t>
  </si>
  <si>
    <t>AI시대 확실한 성장 방향성</t>
  </si>
  <si>
    <t>89388</t>
  </si>
  <si>
    <t>4Q25 Pre: 컨센 부합. 반도체 호황은 배당수익 증가로</t>
  </si>
  <si>
    <t>89387</t>
  </si>
  <si>
    <t>89386</t>
  </si>
  <si>
    <t>2026년 매출 턴어라운드 기대</t>
  </si>
  <si>
    <t>89385</t>
  </si>
  <si>
    <t>2026-01-22</t>
  </si>
  <si>
    <t>차량 모션에서 로보틱스 모션으로 밸류 리레이팅</t>
  </si>
  <si>
    <t>89384</t>
  </si>
  <si>
    <t>상반기까지는 어려운 환경 지속</t>
  </si>
  <si>
    <t>89383</t>
  </si>
  <si>
    <t>4Q25 Preview: 나를 버리고 가시는 님은 십리도 못가서 발병난다</t>
  </si>
  <si>
    <t>89382</t>
  </si>
  <si>
    <t>로열티 만큼 중요한 계약 수, 26년이 본격적 시작</t>
  </si>
  <si>
    <t>89381</t>
  </si>
  <si>
    <t>얼마까지 봐야할까</t>
  </si>
  <si>
    <t>89380</t>
  </si>
  <si>
    <t>비용 증가로 인한 단기 부진</t>
  </si>
  <si>
    <t>89379</t>
  </si>
  <si>
    <t>4Q25 프리뷰: 중장기 펀더멘털 이상 무</t>
  </si>
  <si>
    <t>89378</t>
  </si>
  <si>
    <t>4Q25 Preview: 집중모범상 수상</t>
  </si>
  <si>
    <t>89377</t>
  </si>
  <si>
    <t>4Q25 Preview: 팔방미인상 수상</t>
  </si>
  <si>
    <t>89376</t>
  </si>
  <si>
    <t>어렵지만 업황 개선 기회도 존재</t>
  </si>
  <si>
    <t>89375</t>
  </si>
  <si>
    <t>해외 원전 대열 합류, 준비는 끝났다</t>
  </si>
  <si>
    <t>89374</t>
  </si>
  <si>
    <t>소비심리 회복과 고단가 아우터 판매 증가로 실적 개선</t>
  </si>
  <si>
    <t>89373</t>
  </si>
  <si>
    <t>2차전지 Cap Assembly 중심의 성장 궤도 진입</t>
  </si>
  <si>
    <t>89372</t>
  </si>
  <si>
    <t>25년 4분기부터 실적 회복 시작</t>
  </si>
  <si>
    <t>89371</t>
  </si>
  <si>
    <t>4Q25 Preview: 1회성 비용보다는 턴어라운드에 주목하자</t>
  </si>
  <si>
    <t>89370</t>
  </si>
  <si>
    <t>2025년 4분기 잠정 실적 발표 코멘트</t>
  </si>
  <si>
    <t>89369</t>
  </si>
  <si>
    <t>텐베거의 향기(1): 고마진 ODM 사업의 서막</t>
  </si>
  <si>
    <t>89368</t>
  </si>
  <si>
    <t>BD 지분 가치 및 사업 확대 고려, 목표주가 상향</t>
  </si>
  <si>
    <t>89367</t>
  </si>
  <si>
    <t>올해도 계속될 K-잠수함 내러티브</t>
  </si>
  <si>
    <t>89366</t>
  </si>
  <si>
    <t>조용히 일감이 쌓이는 중</t>
  </si>
  <si>
    <t>89365</t>
  </si>
  <si>
    <t>89364</t>
  </si>
  <si>
    <t>M&amp;A 잘한다, 잘하는 회사다, 성장에 도움 많이 된다</t>
  </si>
  <si>
    <t>89363</t>
  </si>
  <si>
    <t>2026년 신사업 가시성 확대</t>
  </si>
  <si>
    <t>89362</t>
  </si>
  <si>
    <t>Pure-CDMO로써의 산뜻한 출발</t>
  </si>
  <si>
    <t>89361</t>
  </si>
  <si>
    <t>마르지 않는 수주 파이프라인</t>
  </si>
  <si>
    <t>89360</t>
  </si>
  <si>
    <t>빛으로 가는 AI 시대</t>
  </si>
  <si>
    <t>89359</t>
  </si>
  <si>
    <t>다가오는 K2 전차의 황금기</t>
  </si>
  <si>
    <t>89358</t>
  </si>
  <si>
    <t>4Q25 영업이익은 기대치 하회 예상</t>
  </si>
  <si>
    <t>89357</t>
  </si>
  <si>
    <t>기대치에 부합한 실적</t>
  </si>
  <si>
    <t>89356</t>
  </si>
  <si>
    <t>이거 수술 많이 된다 자기 전에 로봇 계속 생각날 거야</t>
  </si>
  <si>
    <t>89355</t>
  </si>
  <si>
    <t>354200</t>
  </si>
  <si>
    <t>엔젠바이오</t>
  </si>
  <si>
    <t>NGS에서 플랫폼으로: 데이터,AI, 유통을 품은 구조적 전환</t>
  </si>
  <si>
    <t>89354</t>
  </si>
  <si>
    <t>PR Strip 중심 성장 지속</t>
  </si>
  <si>
    <t>89353</t>
  </si>
  <si>
    <t>실적 부담 완화 국면 진입 기대</t>
  </si>
  <si>
    <t>89352</t>
  </si>
  <si>
    <t>2026-01-21</t>
  </si>
  <si>
    <t>특허와 밸류에이션 불확실성 해소</t>
  </si>
  <si>
    <t>89351</t>
  </si>
  <si>
    <t>장기계약이 말해주는 업황</t>
  </si>
  <si>
    <t>89350</t>
  </si>
  <si>
    <t>실적은 개선세, 로봇은 진심일세</t>
  </si>
  <si>
    <t>89349</t>
  </si>
  <si>
    <t>기판 증설 불가피 + 롱테일 수요</t>
  </si>
  <si>
    <t>89348</t>
  </si>
  <si>
    <t>서머너즈워 반등, 야구 고성장세 지속</t>
  </si>
  <si>
    <t>89347</t>
  </si>
  <si>
    <t>해상풍력·LNG로 체질 개선 본격화</t>
  </si>
  <si>
    <t>89346</t>
  </si>
  <si>
    <t>강력한 해양 수주 모멘텀 기대</t>
  </si>
  <si>
    <t>89345</t>
  </si>
  <si>
    <t>글로벌 원전사업 진출 예상</t>
  </si>
  <si>
    <t>89344</t>
  </si>
  <si>
    <t>블룸에너지 수혜 본격화, 동반될 리레이팅</t>
  </si>
  <si>
    <t>89343</t>
  </si>
  <si>
    <t>4Q25 Preview: 분명한 순풍</t>
  </si>
  <si>
    <t>89342</t>
  </si>
  <si>
    <t>1조대 매출 제품도 SC제형화 해야 하는 속사정</t>
  </si>
  <si>
    <t>89341</t>
  </si>
  <si>
    <t>대형은행지주사 상승 랠리 예상. 최선호주로 계속 제시</t>
  </si>
  <si>
    <t>89340</t>
  </si>
  <si>
    <t>아직 발굴되지 않은 피지컬 AI 수혜주</t>
  </si>
  <si>
    <t>89339</t>
  </si>
  <si>
    <t>기술력+마케팅=뷰티테크 선두주자</t>
  </si>
  <si>
    <t>89338</t>
  </si>
  <si>
    <t>원천 기술의 경쟁력</t>
  </si>
  <si>
    <t>89337</t>
  </si>
  <si>
    <t>2026, 동이 트고 있다</t>
  </si>
  <si>
    <t>89336</t>
  </si>
  <si>
    <t>지나친 위축에 대한 되돌림</t>
  </si>
  <si>
    <t>89335</t>
  </si>
  <si>
    <t>성수기 실적 안정적이나 2026년 신작 모멘텀 부족</t>
  </si>
  <si>
    <t>89334</t>
  </si>
  <si>
    <t>25년 최고의 한 해</t>
  </si>
  <si>
    <t>89333</t>
  </si>
  <si>
    <t>보유 자산의 히든 밸류</t>
  </si>
  <si>
    <t>89332</t>
  </si>
  <si>
    <t>4Q25 Preview: 그래도 역시 HBM</t>
  </si>
  <si>
    <t>89331</t>
  </si>
  <si>
    <t>4Q25 Preview: 기회는 반복된다</t>
  </si>
  <si>
    <t>89330</t>
  </si>
  <si>
    <t>흑자전환과 낙관적인 전망, 그리고 오버행 해소</t>
  </si>
  <si>
    <t>89329</t>
  </si>
  <si>
    <t>올해 영업이익 1조원 가시권</t>
  </si>
  <si>
    <t>89328</t>
  </si>
  <si>
    <t>저평가 구간</t>
  </si>
  <si>
    <t>89327</t>
  </si>
  <si>
    <t>변동성 잔존하나 쉽지 않은 업황</t>
  </si>
  <si>
    <t>89326</t>
  </si>
  <si>
    <t>실적과 신약 모두 맑음</t>
  </si>
  <si>
    <t>89325</t>
  </si>
  <si>
    <t>기다렸던 가격 인상, 글로벌 1위의 기회</t>
  </si>
  <si>
    <t>89324</t>
  </si>
  <si>
    <t>IR 後記: 브라질 ANVISA 승인 기대</t>
  </si>
  <si>
    <t>89323</t>
  </si>
  <si>
    <t>할인율이 축소될 시점</t>
  </si>
  <si>
    <t>89322</t>
  </si>
  <si>
    <t>실적의 정상화, 굳건한 R&amp;D</t>
  </si>
  <si>
    <t>89321</t>
  </si>
  <si>
    <t>4박자가 갖춰진 중장기 성장</t>
  </si>
  <si>
    <t>89320</t>
  </si>
  <si>
    <t>아직까지 새로운 건 없었다</t>
  </si>
  <si>
    <t>89319</t>
  </si>
  <si>
    <t>2차전지 안전부품 전문기업</t>
  </si>
  <si>
    <t>89318</t>
  </si>
  <si>
    <t>017890</t>
  </si>
  <si>
    <t>한국알콜</t>
  </si>
  <si>
    <t>반도체 소재기업으로 리레이팅 기대</t>
  </si>
  <si>
    <t>89317</t>
  </si>
  <si>
    <t>2026-01-20</t>
  </si>
  <si>
    <t>4Q25 Preview : 일시적 부진</t>
  </si>
  <si>
    <t>89316</t>
  </si>
  <si>
    <t>4Q25 Pre: 3Q부터 예고되었던 북경한미의 도약</t>
  </si>
  <si>
    <t>89315</t>
  </si>
  <si>
    <t>구조 개선 성과 속 시작되는 AI 서비스</t>
  </si>
  <si>
    <t>89314</t>
  </si>
  <si>
    <t>실적 서프라이즈 예상, MASH도 문제 없어</t>
  </si>
  <si>
    <t>89313</t>
  </si>
  <si>
    <t>일회성 비용으로 컨센 하회. 1Q26 대폭 개선</t>
  </si>
  <si>
    <t>89312</t>
  </si>
  <si>
    <t>꾸준하고 안정적인 성장 기조</t>
  </si>
  <si>
    <t>89311</t>
  </si>
  <si>
    <t>'25년 대비 방산 수출 회복 기대</t>
  </si>
  <si>
    <t>89310</t>
  </si>
  <si>
    <t>핵심 경쟁력을 증명할 2026</t>
  </si>
  <si>
    <t>89309</t>
  </si>
  <si>
    <t>속도보단 방향에 집중</t>
  </si>
  <si>
    <t>89308</t>
  </si>
  <si>
    <t>SAFA 플랫폼 기반 바이오텍</t>
  </si>
  <si>
    <t>89307</t>
  </si>
  <si>
    <t>기다리던 FLNG가 찾아왔어요</t>
  </si>
  <si>
    <t>89306</t>
  </si>
  <si>
    <t>알리글로가 이끄는 턴어라운드 기대</t>
  </si>
  <si>
    <t>89305</t>
  </si>
  <si>
    <t>2026년 연간 매출 1조원 회복 전망</t>
  </si>
  <si>
    <t>89304</t>
  </si>
  <si>
    <t>탄탄해지는 실적 기반이 긍정적</t>
  </si>
  <si>
    <t>89303</t>
  </si>
  <si>
    <t>수주 확대에 따른 실적 가시성 확대</t>
  </si>
  <si>
    <t>89302</t>
  </si>
  <si>
    <t>숫자가 보여줄 성장 궤도</t>
  </si>
  <si>
    <t>89301</t>
  </si>
  <si>
    <t>관세 협의 마무리 단계</t>
  </si>
  <si>
    <t>89300</t>
  </si>
  <si>
    <t>높아진 시장기대치에 부합 예상</t>
  </si>
  <si>
    <t>89299</t>
  </si>
  <si>
    <t>내러티브와 넘버스의 조화</t>
  </si>
  <si>
    <t>89298</t>
  </si>
  <si>
    <t>지속되는 실적 모멘텀</t>
  </si>
  <si>
    <t>89297</t>
  </si>
  <si>
    <t>탑라인 성장과 마진 확대가 동시에 나타난다</t>
  </si>
  <si>
    <t>89296</t>
  </si>
  <si>
    <t>회복에서 성장으로 가는 길목</t>
  </si>
  <si>
    <t>89295</t>
  </si>
  <si>
    <t>하방은 단단, 상방 요인을 찾아서</t>
  </si>
  <si>
    <t>89294</t>
  </si>
  <si>
    <t>4분기 영업이익 컨센 하회 전망</t>
  </si>
  <si>
    <t>89293</t>
  </si>
  <si>
    <t>2026년 실적 가시성 개선 구간 진입</t>
  </si>
  <si>
    <t>89292</t>
  </si>
  <si>
    <t>특수선 사업 성과에 주목할 시기</t>
  </si>
  <si>
    <t>89291</t>
  </si>
  <si>
    <t>현대차그룹 상승 랠리의 다음 타자를 찾는다면</t>
  </si>
  <si>
    <t>89290</t>
  </si>
  <si>
    <t>실적 기대치 상회 전망. 임상 데이터도 쏟아진다</t>
  </si>
  <si>
    <t>89289</t>
  </si>
  <si>
    <t>4Q25 영업이익, 시장 컨센서스 하회 예상</t>
  </si>
  <si>
    <t>89288</t>
  </si>
  <si>
    <t>25년 살짝 미스, 올해부터 쭉 기대해도 좋다</t>
  </si>
  <si>
    <t>89287</t>
  </si>
  <si>
    <t>본업 성장 위에 더해지는 신약 모멘텀</t>
  </si>
  <si>
    <t>89286</t>
  </si>
  <si>
    <t>기회의 땅 미국, 실적 성과로 이어지기 시작</t>
  </si>
  <si>
    <t>89285</t>
  </si>
  <si>
    <t>일회성 비용을 넘어 로봇/로보택시 주목</t>
  </si>
  <si>
    <t>89284</t>
  </si>
  <si>
    <t>SDC 지분 매각 가정 시 벌어지는 일들</t>
  </si>
  <si>
    <t>89283</t>
  </si>
  <si>
    <t>가격 강세를 온전히 실적으로</t>
  </si>
  <si>
    <t>89282</t>
  </si>
  <si>
    <t>2026-01-19</t>
  </si>
  <si>
    <t>상반기까지 부진 지속 전망</t>
  </si>
  <si>
    <t>89281</t>
  </si>
  <si>
    <t>정유화학 개선 긍정적이나, 배터리 회복은 요원</t>
  </si>
  <si>
    <t>89280</t>
  </si>
  <si>
    <t>CES 마케팅 효과 1분기 반영 기대</t>
  </si>
  <si>
    <t>89279</t>
  </si>
  <si>
    <t>실적의 2025년, 수주의 2026년</t>
  </si>
  <si>
    <t>89278</t>
  </si>
  <si>
    <t>89277</t>
  </si>
  <si>
    <t>4Q25 Preview: 이제부터 시작</t>
  </si>
  <si>
    <t>89276</t>
  </si>
  <si>
    <t>기대에 부합한 아이온2 성과와 반영될 매출변동비율 감소</t>
  </si>
  <si>
    <t>89275</t>
  </si>
  <si>
    <t>견조한 4분기 실적과 다시 시작되는 신작 모멘텀</t>
  </si>
  <si>
    <t>89274</t>
  </si>
  <si>
    <t>수주 공시 통해 가시성 확보</t>
  </si>
  <si>
    <t>89273</t>
  </si>
  <si>
    <t>2026년 실적 개선과 배당 확대 기대</t>
  </si>
  <si>
    <t>89272</t>
  </si>
  <si>
    <t>어려운 영업환경에서도 살 길을 모색하다</t>
  </si>
  <si>
    <t>89271</t>
  </si>
  <si>
    <t>가이던스 상단 근접할 것, 시장 확대로 26년도 성장</t>
  </si>
  <si>
    <t>89270</t>
  </si>
  <si>
    <t>단단한 실적, 주주환원 정책 기대</t>
  </si>
  <si>
    <t>89269</t>
  </si>
  <si>
    <t>Again 2011~2015</t>
  </si>
  <si>
    <t>89268</t>
  </si>
  <si>
    <t>기판 검사장비 구조적 성장 구간 진입</t>
  </si>
  <si>
    <t>89267</t>
  </si>
  <si>
    <t>이대로는 배당의 강점도 없어진다</t>
  </si>
  <si>
    <t>89266</t>
  </si>
  <si>
    <t>무난한 4Q25, 연간 매출전망에는 모자랄 것</t>
  </si>
  <si>
    <t>89265</t>
  </si>
  <si>
    <t>올해 실적 턴어라운드 환경하에서 배당 매력적</t>
  </si>
  <si>
    <t>89264</t>
  </si>
  <si>
    <t>매력적인 밸류에이션, BD 지분과 배당 주목</t>
  </si>
  <si>
    <t>89263</t>
  </si>
  <si>
    <t>연간 실적 개선, 로봇/SDV/로보택시 수혜</t>
  </si>
  <si>
    <t>89262</t>
  </si>
  <si>
    <t>배당소득 분리과세 충족 기대</t>
  </si>
  <si>
    <t>89261</t>
  </si>
  <si>
    <t>양호한 실적, 준수한 배당</t>
  </si>
  <si>
    <t>89260</t>
  </si>
  <si>
    <t>부진한 실적 예상</t>
  </si>
  <si>
    <t>89259</t>
  </si>
  <si>
    <t>과거의 LG전자가 아니다? 1Q 실적호조, 로봇 경쟁력</t>
  </si>
  <si>
    <t>89258</t>
  </si>
  <si>
    <t>반도체 호황의 수혜는 2026년 이익 확대로!</t>
  </si>
  <si>
    <t>89257</t>
  </si>
  <si>
    <t>조정 국면 속 성장 스토리는 여전</t>
  </si>
  <si>
    <t>89256</t>
  </si>
  <si>
    <t>숨겨진 SOFC 수혜주(ft.블룸에너지)</t>
  </si>
  <si>
    <t>89255</t>
  </si>
  <si>
    <t>4Q25 Preview: 원전 수주 기다리기</t>
  </si>
  <si>
    <t>89254</t>
  </si>
  <si>
    <t>4Q25 Preview: 우호적 업황 속 이익 개선 가시화</t>
  </si>
  <si>
    <t>89253</t>
  </si>
  <si>
    <t>금낭묘계(錦囊妙計)</t>
  </si>
  <si>
    <t>89252</t>
  </si>
  <si>
    <t>부동산이 효자</t>
  </si>
  <si>
    <t>89251</t>
  </si>
  <si>
    <t>4Q25 Preview: 2026년이 더 기대된다</t>
  </si>
  <si>
    <t>89250</t>
  </si>
  <si>
    <t>중장기적 성장성 여전하다</t>
  </si>
  <si>
    <t>89249</t>
  </si>
  <si>
    <t>예상대비 더욱 부진한 바이오</t>
  </si>
  <si>
    <t>89248</t>
  </si>
  <si>
    <t>트럼프 2.0 시대 LNG 및 희토류 등으로 밸류업</t>
  </si>
  <si>
    <t>89247</t>
  </si>
  <si>
    <t>개정상법으로 지배구조 개선되면서 동사 수혜</t>
  </si>
  <si>
    <t>89246</t>
  </si>
  <si>
    <t>새롭게 쓸 역사</t>
  </si>
  <si>
    <t>89245</t>
  </si>
  <si>
    <t>아직도 싸다, 눈높이를 맞추지 않을 이유가 없다</t>
  </si>
  <si>
    <t>89244</t>
  </si>
  <si>
    <t>AI 데이터센터 수주로 올해 실적 개선 가속화</t>
  </si>
  <si>
    <t>89243</t>
  </si>
  <si>
    <t>꾸준한 것도 능력이다</t>
  </si>
  <si>
    <t>89242</t>
  </si>
  <si>
    <t>새로운 도약</t>
  </si>
  <si>
    <t>89241</t>
  </si>
  <si>
    <t>SK하이닉스향 TC본더 공급 확대 예상</t>
  </si>
  <si>
    <t>89240</t>
  </si>
  <si>
    <t>기저부담</t>
  </si>
  <si>
    <t>89239</t>
  </si>
  <si>
    <t>예상보다 양호하다</t>
  </si>
  <si>
    <t>89238</t>
  </si>
  <si>
    <t>8년만에 첫 4분기 흑자전환 성공 전망</t>
  </si>
  <si>
    <t>89237</t>
  </si>
  <si>
    <t>기대감이 높아지는 구간</t>
  </si>
  <si>
    <t>89236</t>
  </si>
  <si>
    <t>탄탄한 조선과 성장성이 기대되는 방산</t>
  </si>
  <si>
    <t>89235</t>
  </si>
  <si>
    <t>필사즉생 필생즉사의 각오로, 미국 직판 선언</t>
  </si>
  <si>
    <t>89234</t>
  </si>
  <si>
    <t>HD현대건설기계</t>
  </si>
  <si>
    <t>달라진 체급으로 맞이하는 26년</t>
  </si>
  <si>
    <t>89233</t>
  </si>
  <si>
    <t>보수적인 가이던스, 수주 기대감은 충분</t>
  </si>
  <si>
    <t>89232</t>
  </si>
  <si>
    <t>실적과 주가의 괴리는 좁혀진다</t>
  </si>
  <si>
    <t>89231</t>
  </si>
  <si>
    <t>2026-01-16</t>
  </si>
  <si>
    <t>DA 인벤토리 확대 효과는 예상보다 클 것</t>
  </si>
  <si>
    <t>89230</t>
  </si>
  <si>
    <t>[4Q25 Review] 별도 서프라이즈</t>
  </si>
  <si>
    <t>89229</t>
  </si>
  <si>
    <t>4Q Preview + 국가대표 AI 선정 코멘트</t>
  </si>
  <si>
    <t>89228</t>
  </si>
  <si>
    <t>4Q25 Re: 화물/여객/항공우주 모두 좋았다</t>
  </si>
  <si>
    <t>89227</t>
  </si>
  <si>
    <t>비용 부담에도 운임 개선으로 컨센 상회</t>
  </si>
  <si>
    <t>89226</t>
  </si>
  <si>
    <t>4Q25 Preview: 알리글로 성장으로 우려 해소</t>
  </si>
  <si>
    <t>89225</t>
  </si>
  <si>
    <t>219130</t>
  </si>
  <si>
    <t>타이거일렉</t>
  </si>
  <si>
    <t>호랑이 기판이 솟아나요</t>
  </si>
  <si>
    <t>89224</t>
  </si>
  <si>
    <t>단가 상승으로 선방한 실적</t>
  </si>
  <si>
    <t>89223</t>
  </si>
  <si>
    <t>4Q25Pre_영업이익 컨센 13% 상회</t>
  </si>
  <si>
    <t>89222</t>
  </si>
  <si>
    <t>돈 쓸 줄 아는 회사</t>
  </si>
  <si>
    <t>89221</t>
  </si>
  <si>
    <t>안정적인 성장 궤도</t>
  </si>
  <si>
    <t>89220</t>
  </si>
  <si>
    <t>다사다난했던 2025년, 반등을 노리는 2026년</t>
  </si>
  <si>
    <t>89219</t>
  </si>
  <si>
    <t>미국의 의지를 믿어보자</t>
  </si>
  <si>
    <t>89218</t>
  </si>
  <si>
    <t>주주환원에서 나오는 안정감</t>
  </si>
  <si>
    <t>89217</t>
  </si>
  <si>
    <t>강력한 탑라인이 이끈 호실적</t>
  </si>
  <si>
    <t>89216</t>
  </si>
  <si>
    <t>223250</t>
  </si>
  <si>
    <t>드림씨아이에스</t>
  </si>
  <si>
    <t>신약개발과 오가노이드를 저비용 고효율로</t>
  </si>
  <si>
    <t>89215</t>
  </si>
  <si>
    <t>정상화의 길목</t>
  </si>
  <si>
    <t>89214</t>
  </si>
  <si>
    <t>세계 3위 스판덱스 업체의 파산 리스크 확대</t>
  </si>
  <si>
    <t>89213</t>
  </si>
  <si>
    <t>앞으로의 유럽과 중국 기대하기</t>
  </si>
  <si>
    <t>89212</t>
  </si>
  <si>
    <t>4Q25 실적은 기대치 하회 예상</t>
  </si>
  <si>
    <t>89211</t>
  </si>
  <si>
    <t>P/E 50x 이상에서 맞이하는 첫 어닝 시즌</t>
  </si>
  <si>
    <t>89210</t>
  </si>
  <si>
    <t>298830</t>
  </si>
  <si>
    <t>슈어소프트테크</t>
  </si>
  <si>
    <t>소프트웨어 검증 분야를 선도하는 작지만 알찬 기업</t>
  </si>
  <si>
    <t>89209</t>
  </si>
  <si>
    <t>2026-01-15</t>
  </si>
  <si>
    <t>방산 모멘텀 재가동, 신동 부문 구리 가격 수혜</t>
  </si>
  <si>
    <t>89208</t>
  </si>
  <si>
    <t>2026년에도 정제마진 강세 지속</t>
  </si>
  <si>
    <t>89207</t>
  </si>
  <si>
    <t>함부로 내려놓을 수 없는 이유</t>
  </si>
  <si>
    <t>89206</t>
  </si>
  <si>
    <t>군함보다 강력한 FLNG</t>
  </si>
  <si>
    <t>89205</t>
  </si>
  <si>
    <t>4Q25 Perview: 또 다시 증명</t>
  </si>
  <si>
    <t>89204</t>
  </si>
  <si>
    <t>새로운 성장기가 시작될 2026년</t>
  </si>
  <si>
    <t>89203</t>
  </si>
  <si>
    <t>4Q25 Pre: 시장 기대 부합 예상</t>
  </si>
  <si>
    <t>89202</t>
  </si>
  <si>
    <t>빅 딜이 필요한 시점</t>
  </si>
  <si>
    <t>89201</t>
  </si>
  <si>
    <t>4Q25 프리뷰: 여전히 순항 중인 실적</t>
  </si>
  <si>
    <t>89200</t>
  </si>
  <si>
    <t>기업가치 제고를 위한 승부수</t>
  </si>
  <si>
    <t>89199</t>
  </si>
  <si>
    <t>2026년 최대 실적 기대</t>
  </si>
  <si>
    <t>89198</t>
  </si>
  <si>
    <t>힘없는 주가 vs 힘솟는 실적: 4Q25 Preview</t>
  </si>
  <si>
    <t>89197</t>
  </si>
  <si>
    <t>해외 원전 가시적 성과와 멀티플 확장 전망</t>
  </si>
  <si>
    <t>89196</t>
  </si>
  <si>
    <t>저유가의 험난한 환경에도 갈 길 간다</t>
  </si>
  <si>
    <t>89195</t>
  </si>
  <si>
    <t>4분기 실적 부진, 2026년 체코 원전 성과 기대</t>
  </si>
  <si>
    <t>89194</t>
  </si>
  <si>
    <t>낮아진 실적 눈높이와 기대감</t>
  </si>
  <si>
    <t>89193</t>
  </si>
  <si>
    <t>4분기 실적 부진, 탑라인 성장 동력 확보가 관건</t>
  </si>
  <si>
    <t>89192</t>
  </si>
  <si>
    <t>4Q25 Preview: 장기 사업 방향성 제시 필요</t>
  </si>
  <si>
    <t>89191</t>
  </si>
  <si>
    <t>3Q25 숫자가 증명했고, 2026년에는 주가가 따라올 것</t>
  </si>
  <si>
    <t>89190</t>
  </si>
  <si>
    <t>4Q25 Preview: 명확한 수주 방향성 제시 기대</t>
  </si>
  <si>
    <t>89189</t>
  </si>
  <si>
    <t>상승할 일만 남았다</t>
  </si>
  <si>
    <t>89188</t>
  </si>
  <si>
    <t>2026년 전계열사 실적 모두 좋다</t>
  </si>
  <si>
    <t>89187</t>
  </si>
  <si>
    <t>89186</t>
  </si>
  <si>
    <t>4분기 마진 회복, ‘26년 성장 기대</t>
  </si>
  <si>
    <t>89185</t>
  </si>
  <si>
    <t>내수 소비 회복과 인바운드 증가, 두 개의 날개로 도약</t>
  </si>
  <si>
    <t>89184</t>
  </si>
  <si>
    <t>일시적 성장통을 매수 기회로</t>
  </si>
  <si>
    <t>89183</t>
  </si>
  <si>
    <t>000250</t>
  </si>
  <si>
    <t>삼천당제약</t>
  </si>
  <si>
    <t>모멘텀 맛집</t>
  </si>
  <si>
    <t>89182</t>
  </si>
  <si>
    <t>묵묵히 쌓아온 일감이 열어젖힐 매출액 1조원 시대</t>
  </si>
  <si>
    <t>89181</t>
  </si>
  <si>
    <t>백조가 된 현대차</t>
  </si>
  <si>
    <t>89180</t>
  </si>
  <si>
    <t>아쉬운 외형 둔화, 주택분양 확대가 필요</t>
  </si>
  <si>
    <t>89179</t>
  </si>
  <si>
    <t>굳건히 축적한 역량의 결실</t>
  </si>
  <si>
    <t>89178</t>
  </si>
  <si>
    <t>305090</t>
  </si>
  <si>
    <t>마이크로디지탈</t>
  </si>
  <si>
    <t>메이저리그 진입! 미국 시장은 의미가 다르다</t>
  </si>
  <si>
    <t>89177</t>
  </si>
  <si>
    <t>점진적인 체질 개선 중</t>
  </si>
  <si>
    <t>89176</t>
  </si>
  <si>
    <t>AI 성과에 달린 주가 방향성</t>
  </si>
  <si>
    <t>89175</t>
  </si>
  <si>
    <t>2026년 이익 개선 가시성 확대</t>
  </si>
  <si>
    <t>89174</t>
  </si>
  <si>
    <t>신작 없어도 호실적 지속</t>
  </si>
  <si>
    <t>89173</t>
  </si>
  <si>
    <t>단기 기대감 충분히 반영</t>
  </si>
  <si>
    <t>89172</t>
  </si>
  <si>
    <t>안정적인 실적, 여전히 큰 마케팅비</t>
  </si>
  <si>
    <t>89171</t>
  </si>
  <si>
    <t>2026년 외형 하락 지속하나 체코 원전 수주 기대</t>
  </si>
  <si>
    <t>89170</t>
  </si>
  <si>
    <t>큰 폭의 Q&amp;P 상승효과 기대되는 올해</t>
  </si>
  <si>
    <t>89169</t>
  </si>
  <si>
    <t>원전 진가의 발현</t>
  </si>
  <si>
    <t>89168</t>
  </si>
  <si>
    <t>Bloom Energy와 함께할 성장 주목</t>
  </si>
  <si>
    <t>89167</t>
  </si>
  <si>
    <t>인적분할 코멘트</t>
  </si>
  <si>
    <t>89166</t>
  </si>
  <si>
    <t>메모리, 파운드리 동반 수혜</t>
  </si>
  <si>
    <t>89165</t>
  </si>
  <si>
    <t>Automotive 시장 회복 수혜</t>
  </si>
  <si>
    <t>89164</t>
  </si>
  <si>
    <t>389030</t>
  </si>
  <si>
    <t>지니너스</t>
  </si>
  <si>
    <t>Genius Platform, Geninus Way: 데이터가 신약이 되는 시대</t>
  </si>
  <si>
    <t>89163</t>
  </si>
  <si>
    <t>BTS 월드투어 79회 확정, 실적 눈높이 상향</t>
  </si>
  <si>
    <t>89162</t>
  </si>
  <si>
    <t>주주환원이 포인트</t>
  </si>
  <si>
    <t>89161</t>
  </si>
  <si>
    <t>2026-01-14</t>
  </si>
  <si>
    <t>의외로 가장 편안한 Pick</t>
  </si>
  <si>
    <t>89160</t>
  </si>
  <si>
    <t>하향 조정 속 나홀로 선방</t>
  </si>
  <si>
    <t>89159</t>
  </si>
  <si>
    <t>전망치 하향: Ford 전기차 전략 조정 여파</t>
  </si>
  <si>
    <t>89158</t>
  </si>
  <si>
    <t>GM 가동 중단 영향 본격화</t>
  </si>
  <si>
    <t>89157</t>
  </si>
  <si>
    <t>쌓여가는 숙제</t>
  </si>
  <si>
    <t>89156</t>
  </si>
  <si>
    <t>안정적이어 보이지만 파격적인 행보의 연속</t>
  </si>
  <si>
    <t>89155</t>
  </si>
  <si>
    <t>Legacy 같지 않은 Legacy</t>
  </si>
  <si>
    <t>89154</t>
  </si>
  <si>
    <t>K-Contents와 K-Pop 플랫폼 경쟁력 강화</t>
  </si>
  <si>
    <t>89153</t>
  </si>
  <si>
    <t>4Q25 Preview: 웅장할 26년을 위한 준비</t>
  </si>
  <si>
    <t>89152</t>
  </si>
  <si>
    <t>336570</t>
  </si>
  <si>
    <t>원텍</t>
  </si>
  <si>
    <t>짝수 해마다 귀신같이 돌아오는 그 종목</t>
  </si>
  <si>
    <t>89151</t>
  </si>
  <si>
    <t>과징금 우려만 해소된다면...</t>
  </si>
  <si>
    <t>89150</t>
  </si>
  <si>
    <t>4분기 일회성 품질비용 예상. 로봇 사업은 2026년 시작</t>
  </si>
  <si>
    <t>89149</t>
  </si>
  <si>
    <t>2026년은 실적과 주가 동반 상승의 원년이 될 겁니다</t>
  </si>
  <si>
    <t>89148</t>
  </si>
  <si>
    <t>4Q25 Pre: 기저 효과 본격화</t>
  </si>
  <si>
    <t>89147</t>
  </si>
  <si>
    <t>4Q25 Pre: 바이오 부진</t>
  </si>
  <si>
    <t>89146</t>
  </si>
  <si>
    <t>그래도 2026년까지는 좋다</t>
  </si>
  <si>
    <t>89145</t>
  </si>
  <si>
    <t>거침 없는 실적 상향</t>
  </si>
  <si>
    <t>89144</t>
  </si>
  <si>
    <t>재도약하는 26년, 그리고 앤트로픽 가치</t>
  </si>
  <si>
    <t>89143</t>
  </si>
  <si>
    <t>단기 실적 부진에도 목표주가 상향 조정</t>
  </si>
  <si>
    <t>89142</t>
  </si>
  <si>
    <t>기대를 가져볼만한 구간</t>
  </si>
  <si>
    <t>89141</t>
  </si>
  <si>
    <t>2026년 믹스 개선 효과 유효</t>
  </si>
  <si>
    <t>89140</t>
  </si>
  <si>
    <t>다시 좋아질지어니</t>
  </si>
  <si>
    <t>89139</t>
  </si>
  <si>
    <t>4Q까진 본업 양호, 2026년엔 점진적 둔화 전망</t>
  </si>
  <si>
    <t>89138</t>
  </si>
  <si>
    <t>주가 급등, 가능성에 대한 베팅 구간</t>
  </si>
  <si>
    <t>89137</t>
  </si>
  <si>
    <t>밸류를 정당화해볼까요?</t>
  </si>
  <si>
    <t>89136</t>
  </si>
  <si>
    <t>보수적 계획에도 가능성은 충분</t>
  </si>
  <si>
    <t>89135</t>
  </si>
  <si>
    <t>이제는 실적, 수주 차례</t>
  </si>
  <si>
    <t>89134</t>
  </si>
  <si>
    <t>재정비의 시간</t>
  </si>
  <si>
    <t>89133</t>
  </si>
  <si>
    <t>예상을 뛰어넘은 BTS 월드투어</t>
  </si>
  <si>
    <t>89132</t>
  </si>
  <si>
    <t>소외를 벗어날 시점</t>
  </si>
  <si>
    <t>89131</t>
  </si>
  <si>
    <t>유럽에서 불어 올 훈풍</t>
  </si>
  <si>
    <t>89130</t>
  </si>
  <si>
    <t>로봇·AI 열풍에 가려진 알짜</t>
  </si>
  <si>
    <t>89129</t>
  </si>
  <si>
    <t>89128</t>
  </si>
  <si>
    <t>4Q25 Preview: 컨센서스 상회 전망</t>
  </si>
  <si>
    <t>89127</t>
  </si>
  <si>
    <t>반도체 매력 확대</t>
  </si>
  <si>
    <t>89126</t>
  </si>
  <si>
    <t>비용 반영보다 아쉬운 수주</t>
  </si>
  <si>
    <t>89125</t>
  </si>
  <si>
    <t>실적·배당 불확실성 선반영, 주가 회복 기대</t>
  </si>
  <si>
    <t>89124</t>
  </si>
  <si>
    <t>움직이는 로봇들의 눈과 발이 되어줄게</t>
  </si>
  <si>
    <t>89123</t>
  </si>
  <si>
    <t>아직 계속 재정비 중</t>
  </si>
  <si>
    <t>89122</t>
  </si>
  <si>
    <t>숫자보다는 방향을 봐야하는 시점</t>
  </si>
  <si>
    <t>89121</t>
  </si>
  <si>
    <t>기대 이상의 수주 성과, 본격적인 성장 드라이브</t>
  </si>
  <si>
    <t>89120</t>
  </si>
  <si>
    <t>북미 시장 회복과 유럽의 경쟁력 확대 기대</t>
  </si>
  <si>
    <t>89119</t>
  </si>
  <si>
    <t>LNGC&amp;FLNG 수주 잔치가 될 2026년</t>
  </si>
  <si>
    <t>89118</t>
  </si>
  <si>
    <t>필리와 오스탈로 간다</t>
  </si>
  <si>
    <t>89117</t>
  </si>
  <si>
    <t>미 함정 최강자 헌팅턴(HII)과 깐부</t>
  </si>
  <si>
    <t>89116</t>
  </si>
  <si>
    <t>제 처방 데이터가 이끌 방향성</t>
  </si>
  <si>
    <t>89115</t>
  </si>
  <si>
    <t>지누스 부진에도 기대치 상회 전망</t>
  </si>
  <si>
    <t>89114</t>
  </si>
  <si>
    <t>2026-01-13</t>
  </si>
  <si>
    <t>결자해지의 해가 되어야</t>
  </si>
  <si>
    <t>89113</t>
  </si>
  <si>
    <t>총자산의 19%가 전자 지분</t>
  </si>
  <si>
    <t>89112</t>
  </si>
  <si>
    <t>경상 체력의 안정적인 시현이 필요</t>
  </si>
  <si>
    <t>89111</t>
  </si>
  <si>
    <t>어닝 쇼크는 4Q25가 마지막, 이제 영광스러울 준비만…</t>
  </si>
  <si>
    <t>89110</t>
  </si>
  <si>
    <t>하이닉스 옆 자체사업</t>
  </si>
  <si>
    <t>89109</t>
  </si>
  <si>
    <t>잠깐의 성장통, 26년 더 큰 결실로</t>
  </si>
  <si>
    <t>89108</t>
  </si>
  <si>
    <t>4Q25 Pre: IMA 사업 진출에 주목할 시기</t>
  </si>
  <si>
    <t>89107</t>
  </si>
  <si>
    <t>4Q25 Pre: 실적과 배당, 둘 다 좋다</t>
  </si>
  <si>
    <t>89106</t>
  </si>
  <si>
    <t>다소 보수적 추정</t>
  </si>
  <si>
    <t>89105</t>
  </si>
  <si>
    <t>4Q 프리뷰 - 실적 부진 예상되나 주가는 오를 것</t>
  </si>
  <si>
    <t>89104</t>
  </si>
  <si>
    <t>4Q 프리뷰 - 내용상 실적은 좋을 것</t>
  </si>
  <si>
    <t>89103</t>
  </si>
  <si>
    <t>더욱 기대되는 2026년</t>
  </si>
  <si>
    <t>89102</t>
  </si>
  <si>
    <t>실적 개선 방향성은 유효</t>
  </si>
  <si>
    <t>89101</t>
  </si>
  <si>
    <t>낮아진 4분기 실적 기대감, 2026년 이익 정상화</t>
  </si>
  <si>
    <t>89100</t>
  </si>
  <si>
    <t>폴리실리콘, 워밍업 중</t>
  </si>
  <si>
    <t>89099</t>
  </si>
  <si>
    <t>2026년 추가로 도약! 거침 없는 성장!</t>
  </si>
  <si>
    <t>89098</t>
  </si>
  <si>
    <t>파운드리도 있죠</t>
  </si>
  <si>
    <t>89095</t>
  </si>
  <si>
    <t>달라진 것은 없다</t>
  </si>
  <si>
    <t>89094</t>
  </si>
  <si>
    <t>아쉬운 비용 부담</t>
  </si>
  <si>
    <t>89093</t>
  </si>
  <si>
    <t>신작만 잘 해준다면 올해도 끄떡없을 것</t>
  </si>
  <si>
    <t>89092</t>
  </si>
  <si>
    <t>내실을 다지는 구간</t>
  </si>
  <si>
    <t>89091</t>
  </si>
  <si>
    <t>1분기부터가 진짜 실적</t>
  </si>
  <si>
    <t>89090</t>
  </si>
  <si>
    <t>서프라이즈로 주가 바닥 잡는다</t>
  </si>
  <si>
    <t>89089</t>
  </si>
  <si>
    <t>대형원전을 넘어 SMR에 대한 기대감 반영되며 상승한 주가</t>
  </si>
  <si>
    <t>89088</t>
  </si>
  <si>
    <t>여기서 더 욕심 내봐도 좋다, 최선호주 유지</t>
  </si>
  <si>
    <t>89087</t>
  </si>
  <si>
    <t>글로벌 사료첨가제 기업으로의 전환</t>
  </si>
  <si>
    <t>89086</t>
  </si>
  <si>
    <t>전력 기자재 슈퍼 싸이클 도래</t>
  </si>
  <si>
    <t>89085</t>
  </si>
  <si>
    <t>마지막 숨 고르기</t>
  </si>
  <si>
    <t>89084</t>
  </si>
  <si>
    <t>2026-01-12</t>
  </si>
  <si>
    <t>해외 담배 중심 실적 성장 지속</t>
  </si>
  <si>
    <t>89083</t>
  </si>
  <si>
    <t>4Q25 Preview: 든든한 LNG선과 기대되는 군함</t>
  </si>
  <si>
    <t>89082</t>
  </si>
  <si>
    <t>투자와 성장을 동시에</t>
  </si>
  <si>
    <t>89081</t>
  </si>
  <si>
    <t>코어비즈니스 GREAT, AI는 지켜보아야</t>
  </si>
  <si>
    <t>89080</t>
  </si>
  <si>
    <t>올해의 유망주는 탱커선</t>
  </si>
  <si>
    <t>89079</t>
  </si>
  <si>
    <t>89078</t>
  </si>
  <si>
    <t>NCC 구조조정과 LNG 사이클의 수혜</t>
  </si>
  <si>
    <t>89077</t>
  </si>
  <si>
    <t>흐름은 이미 넘어왔다</t>
  </si>
  <si>
    <t>89076</t>
  </si>
  <si>
    <t>올해 반전 트리거 3가지</t>
  </si>
  <si>
    <t>89075</t>
  </si>
  <si>
    <t>악재보단 호재에 반응할 수 있는 주가</t>
  </si>
  <si>
    <t>89074</t>
  </si>
  <si>
    <t>비과세 배당 재원 없어 오히려 매년 DPS 10% 상승 기대</t>
  </si>
  <si>
    <t>89073</t>
  </si>
  <si>
    <t>4Q25 Pre: 컨센 또 상회</t>
  </si>
  <si>
    <t>89072</t>
  </si>
  <si>
    <t>4Q25 Pre: 계속 좋다</t>
  </si>
  <si>
    <t>89071</t>
  </si>
  <si>
    <t>4Q25 실적 유일하게 시장 기대 상회 전망</t>
  </si>
  <si>
    <t>89070</t>
  </si>
  <si>
    <t>4Q 프리뷰 – 희망 퇴직 비용 반영으로 실적 부진할 듯</t>
  </si>
  <si>
    <t>89069</t>
  </si>
  <si>
    <t>EV 둔화·ESS 호조</t>
  </si>
  <si>
    <t>89068</t>
  </si>
  <si>
    <t>지정학적 불확실성 속에서 찾는 기회</t>
  </si>
  <si>
    <t>89060</t>
  </si>
  <si>
    <t>4Q25 잠정실적 코멘트 -4Q25 실적 기대치 부합. 1H26 걱정은 여전</t>
  </si>
  <si>
    <t>89059</t>
  </si>
  <si>
    <t>2026년 이익 3배 성장 기대된다!</t>
  </si>
  <si>
    <t>89058</t>
  </si>
  <si>
    <t>알고 보면 심플하다</t>
  </si>
  <si>
    <t>89057</t>
  </si>
  <si>
    <t>4분기 순항, 올해는 23-24년 수주물량 인식</t>
  </si>
  <si>
    <t>89056</t>
  </si>
  <si>
    <t>4분기 기쁜 일회성 비용, 26년 특장점 발현</t>
  </si>
  <si>
    <t>89055</t>
  </si>
  <si>
    <t>LG에너지솔루션 4Q25 잠정실적: 영업이익 기준 컨센 하회 실적</t>
  </si>
  <si>
    <t>89054</t>
  </si>
  <si>
    <t>놀라운 실적, 더 놀라울 주주환원</t>
  </si>
  <si>
    <t>89053</t>
  </si>
  <si>
    <t>이제는 프리미엄 시대</t>
  </si>
  <si>
    <t>89052</t>
  </si>
  <si>
    <t>초기 가동 비용 반영 영향</t>
  </si>
  <si>
    <t>89051</t>
  </si>
  <si>
    <t>진화하는 국내 대표 신약 개발사</t>
  </si>
  <si>
    <t>89050</t>
  </si>
  <si>
    <t>순항 중</t>
  </si>
  <si>
    <t>89049</t>
  </si>
  <si>
    <t>실적 회복 중</t>
  </si>
  <si>
    <t>89048</t>
  </si>
  <si>
    <t>독보적 성장의 전방시장 포트폴리오는 2026년에도 계속된다</t>
  </si>
  <si>
    <t>89047</t>
  </si>
  <si>
    <t>LG에너지솔루션 4Q25 잠정실적 발표</t>
  </si>
  <si>
    <t>89046</t>
  </si>
  <si>
    <t>외형 성장은 신동이, 수익성 개선은 방산이 견인</t>
  </si>
  <si>
    <t>89045</t>
  </si>
  <si>
    <t>올해 플랫폼 성장의 필요조건, AI 서비스 성과</t>
  </si>
  <si>
    <t>89044</t>
  </si>
  <si>
    <t>모든 면에서 매력적인 주가</t>
  </si>
  <si>
    <t>89043</t>
  </si>
  <si>
    <t>올해 신규 수주 가시화로 사상 최대 실적 예상</t>
  </si>
  <si>
    <t>89042</t>
  </si>
  <si>
    <t>반기는 커머스와 AI, 하반기는 두나무</t>
  </si>
  <si>
    <t>89041</t>
  </si>
  <si>
    <t>89040</t>
  </si>
  <si>
    <t>4Q보다 1Q에 주목, 실적 개선, 로봇 사업 확대</t>
  </si>
  <si>
    <t>89039</t>
  </si>
  <si>
    <t xml:space="preserve">4Q25 일시적 실적 우려가 준 저가 매수 기회 </t>
  </si>
  <si>
    <t>89038</t>
  </si>
  <si>
    <t>어닝 서프가 없어도 긍정적인 이유: 톡비즈 성장 속도</t>
  </si>
  <si>
    <t>89037</t>
  </si>
  <si>
    <t>아이온2 이후가 보이기 시작했다</t>
  </si>
  <si>
    <t>89036</t>
  </si>
  <si>
    <t>투자포인트 부재에 역사적 저평가 진입</t>
  </si>
  <si>
    <t>89035</t>
  </si>
  <si>
    <t>뉴스페이스 시대 민간 발사 GO!</t>
  </si>
  <si>
    <t>89034</t>
  </si>
  <si>
    <t>커머스 중심 성과 지속</t>
  </si>
  <si>
    <t>89033</t>
  </si>
  <si>
    <t>안정화된 실적 속 피어나는 기대감</t>
  </si>
  <si>
    <t>89032</t>
  </si>
  <si>
    <t>지상국 서비스 본격화로 수익성 개선 가시화</t>
  </si>
  <si>
    <t>89031</t>
  </si>
  <si>
    <t>89030</t>
  </si>
  <si>
    <t>트럼프 2.0 시대 군용전지 및 시추 수요 확대로 성장세 가속화</t>
  </si>
  <si>
    <t>89029</t>
  </si>
  <si>
    <t>정상화의 초입</t>
  </si>
  <si>
    <t>89028</t>
  </si>
  <si>
    <t>바닥은 지났다</t>
  </si>
  <si>
    <t>89027</t>
  </si>
  <si>
    <t>카카오톡 개편으로 톡비즈 고성장 시작</t>
  </si>
  <si>
    <t>89026</t>
  </si>
  <si>
    <t>주택과 신사업의 외형 성장을 기다리며</t>
  </si>
  <si>
    <t>89025</t>
  </si>
  <si>
    <t>MASS 주도 외형 확장 지속</t>
  </si>
  <si>
    <t>89024</t>
  </si>
  <si>
    <t>2026년에도 풍부한 성장 모멘텀</t>
  </si>
  <si>
    <t>89023</t>
  </si>
  <si>
    <t xml:space="preserve">4Q25 잠정실적 코멘트 </t>
  </si>
  <si>
    <t>89022</t>
  </si>
  <si>
    <t xml:space="preserve"> 가이던스 달성 전망하나 올해 외형 감소 불가피</t>
  </si>
  <si>
    <t>89021</t>
  </si>
  <si>
    <t>4Q25 잠정 실적 리뷰: 적자전환 속, ESS 매출 2배 이상 성장은 고무적</t>
  </si>
  <si>
    <t>89020</t>
  </si>
  <si>
    <t>4Q Pre: SpaceX 만 있는 게 아님. 당분간 실적 걱정 X</t>
  </si>
  <si>
    <t>89019</t>
  </si>
  <si>
    <t>유연한 대응, 흔들리지 않기</t>
  </si>
  <si>
    <t>89018</t>
  </si>
  <si>
    <t>2025년은 안식년, 2026년부터 다시 가보자</t>
  </si>
  <si>
    <t>89017</t>
  </si>
  <si>
    <t>2026년, 비 온 뒤 맑음</t>
  </si>
  <si>
    <t>89016</t>
  </si>
  <si>
    <t>지역 Mix 악화 우려 및 상대적 주가 소외 점검</t>
  </si>
  <si>
    <t>89015</t>
  </si>
  <si>
    <t>163280</t>
  </si>
  <si>
    <t>에어레인</t>
  </si>
  <si>
    <t>기체분리막 전문기업</t>
  </si>
  <si>
    <t>89014</t>
  </si>
  <si>
    <t>89013</t>
  </si>
  <si>
    <t>2026-01-09</t>
  </si>
  <si>
    <t>4Q25 Preview: 국내 회복, 해외 확대</t>
  </si>
  <si>
    <t>89012</t>
  </si>
  <si>
    <t>양호한 실적, 로봇 사업 전개 수혜</t>
  </si>
  <si>
    <t>89011</t>
  </si>
  <si>
    <t>바닥 확인, 그 이상이 필요</t>
  </si>
  <si>
    <t>89010</t>
  </si>
  <si>
    <t>4Q25 Preview : 중국 소비 부양 방향성 전환과 테일러메이드</t>
  </si>
  <si>
    <t>89009</t>
  </si>
  <si>
    <t>다시 찾아온 저점 매수 기회</t>
  </si>
  <si>
    <t>89008</t>
  </si>
  <si>
    <t>4Q25 Preview; 밸류 매력도 부각</t>
  </si>
  <si>
    <t>89007</t>
  </si>
  <si>
    <t>4Q25 Preview; 내실 다지기</t>
  </si>
  <si>
    <t>89006</t>
  </si>
  <si>
    <t>오랜만의 호실적에 편성 확대까지</t>
  </si>
  <si>
    <t>89005</t>
  </si>
  <si>
    <t>4Q25 Pre: 비수기 + 일회성비용 집행</t>
  </si>
  <si>
    <t>89004</t>
  </si>
  <si>
    <t>올해 사상 최고치 영업이익 예상</t>
  </si>
  <si>
    <t>89003</t>
  </si>
  <si>
    <t>폭력적인 메모리 가격</t>
  </si>
  <si>
    <t>89002</t>
  </si>
  <si>
    <t>예고된 비용 반영</t>
  </si>
  <si>
    <t>89001</t>
  </si>
  <si>
    <t>4Q25E: 컨센서스 하회, YoY 성장세는 지속</t>
  </si>
  <si>
    <t>89000</t>
  </si>
  <si>
    <t>[다시봐] 시작된 HPA, 밸류 반영은 아직!</t>
  </si>
  <si>
    <t>88999</t>
  </si>
  <si>
    <t>실적 턴어라운드 + 신규 장비 매출 개화</t>
  </si>
  <si>
    <t>88998</t>
  </si>
  <si>
    <t>4Q25 잠정실적 공시관련 Comment</t>
  </si>
  <si>
    <t>88997</t>
  </si>
  <si>
    <t>4Q25 Preview: 사상 최대 실적 경신 전망</t>
  </si>
  <si>
    <t>88996</t>
  </si>
  <si>
    <t>4Q25 Review: 메모리 가격 상승을 등에 업고</t>
  </si>
  <si>
    <t>88995</t>
  </si>
  <si>
    <t>경쟁력 회복과 Val. 배수 상승</t>
  </si>
  <si>
    <t>88994</t>
  </si>
  <si>
    <t>혼자서도 잘해요</t>
  </si>
  <si>
    <t>88993</t>
  </si>
  <si>
    <t>PUBG 트래픽 반등이 필요</t>
  </si>
  <si>
    <t>88992</t>
  </si>
  <si>
    <t>2026년이 기대되는 이유</t>
  </si>
  <si>
    <t>88991</t>
  </si>
  <si>
    <t>도전적인 2026년도 문제없어!</t>
  </si>
  <si>
    <t>88990</t>
  </si>
  <si>
    <t>실적보다 중요한 기업가치 재평가 스토리</t>
  </si>
  <si>
    <t>88989</t>
  </si>
  <si>
    <t>25년 4분기. 메모리가 돋보인 실적</t>
  </si>
  <si>
    <t>88988</t>
  </si>
  <si>
    <t>주요 히트 제품 중심 성장세 지속</t>
  </si>
  <si>
    <t>88987</t>
  </si>
  <si>
    <t>1Q26 영업이익 26조원 전망</t>
  </si>
  <si>
    <t>88986</t>
  </si>
  <si>
    <t>폼은 일시적이나 클래스는 영원하다</t>
  </si>
  <si>
    <t>88985</t>
  </si>
  <si>
    <t>290560</t>
  </si>
  <si>
    <t>신시웨이</t>
  </si>
  <si>
    <t>[AI] 데이터베이스 보안 솔루션 전문 기업</t>
  </si>
  <si>
    <t>88984</t>
  </si>
  <si>
    <t>393210</t>
  </si>
  <si>
    <t>토마토시스템</t>
  </si>
  <si>
    <t xml:space="preserve">[AI] UI/UX 솔루션 및 AI 기반 헬스케어 플랫폼 전문 기업 </t>
  </si>
  <si>
    <t>88983</t>
  </si>
  <si>
    <t>205100</t>
  </si>
  <si>
    <t>엑셈</t>
  </si>
  <si>
    <t>[AI] IT 성능 관리 솔루션 전문 기업</t>
  </si>
  <si>
    <t>88982</t>
  </si>
  <si>
    <t>2026-01-08</t>
  </si>
  <si>
    <t>삼성전자 4Q25P: 메모리가 다 했다</t>
  </si>
  <si>
    <t>88980</t>
  </si>
  <si>
    <t>이익 정상화 준비</t>
  </si>
  <si>
    <t>88979</t>
  </si>
  <si>
    <t>K-Beauty 새역사</t>
  </si>
  <si>
    <t>88978</t>
  </si>
  <si>
    <t>비 온 뒤에 땅이 굳어진다</t>
  </si>
  <si>
    <t>88977</t>
  </si>
  <si>
    <t>이상 無</t>
  </si>
  <si>
    <t>88976</t>
  </si>
  <si>
    <t>권토중래(捲土重來)</t>
  </si>
  <si>
    <t>88975</t>
  </si>
  <si>
    <t>26년은 소비 회복과 업계 구조조정 효과 기대해 볼만</t>
  </si>
  <si>
    <t>88974</t>
  </si>
  <si>
    <t>많이 좋아졌습니다.</t>
  </si>
  <si>
    <t>88973</t>
  </si>
  <si>
    <t>26년 상반기에도 양호한 기존점 성장률 전망</t>
  </si>
  <si>
    <t>88972</t>
  </si>
  <si>
    <t>신뢰 회복, 주가 회복</t>
  </si>
  <si>
    <t>88971</t>
  </si>
  <si>
    <t>26년에도 이어지는 정제마진 강세</t>
  </si>
  <si>
    <t>88970</t>
  </si>
  <si>
    <t>신작이 없는 분기에 이 정도의 실적을</t>
  </si>
  <si>
    <t>88969</t>
  </si>
  <si>
    <t>여의주를 꽉 깨물고 승천을 준비 중인 이무기</t>
  </si>
  <si>
    <t>88968</t>
  </si>
  <si>
    <t>올해도 무거운 PUBG의 어깨</t>
  </si>
  <si>
    <t>88967</t>
  </si>
  <si>
    <t>기다려온 비용 회수의 계절, 실적 눈높이 상향</t>
  </si>
  <si>
    <t>88966</t>
  </si>
  <si>
    <t>심상치 않은 턴어라운드</t>
  </si>
  <si>
    <t>88965</t>
  </si>
  <si>
    <t>카메라 모듈, 업그레이드 사이클 진입</t>
  </si>
  <si>
    <t>88964</t>
  </si>
  <si>
    <t>주차 로봇 사업에 대한 기대</t>
  </si>
  <si>
    <t>88963</t>
  </si>
  <si>
    <t>실적 확인 끝! 이제는 매수 시점</t>
  </si>
  <si>
    <t>88962</t>
  </si>
  <si>
    <t>2026-01-07</t>
  </si>
  <si>
    <t>또 한 번의 가이던스 상향</t>
  </si>
  <si>
    <t>88961</t>
  </si>
  <si>
    <t>1H26 눈높이 하향 조정</t>
  </si>
  <si>
    <t>88960</t>
  </si>
  <si>
    <t>여전히 긴 터널을 지나는 중</t>
  </si>
  <si>
    <t>88959</t>
  </si>
  <si>
    <t>다시 확보된 상승 여력</t>
  </si>
  <si>
    <t>88958</t>
  </si>
  <si>
    <t>88957</t>
  </si>
  <si>
    <t>4Q25 Preview: 다사다난 했던 25년, 무난히 마무리</t>
  </si>
  <si>
    <t>88956</t>
  </si>
  <si>
    <t>추가 데이터센터 확보에 집중</t>
  </si>
  <si>
    <t>88955</t>
  </si>
  <si>
    <t>훌륭한 마무리, 1월 첫 타석 준비</t>
  </si>
  <si>
    <t>88954</t>
  </si>
  <si>
    <t>일시적인 폼의 변화</t>
  </si>
  <si>
    <t>88953</t>
  </si>
  <si>
    <t>미국의 중국 제재 본격화, 최고의 스토리로 나아가는 중</t>
  </si>
  <si>
    <t>88952</t>
  </si>
  <si>
    <t>실적에 이벤트까지, 매수 서두르세요</t>
  </si>
  <si>
    <t>88951</t>
  </si>
  <si>
    <t>2026년 봉형강 수익성 개선 기대</t>
  </si>
  <si>
    <t>88950</t>
  </si>
  <si>
    <t>불확실성 Delete</t>
  </si>
  <si>
    <t>88949</t>
  </si>
  <si>
    <t>커진 CDMO 경쟁력</t>
  </si>
  <si>
    <t>88948</t>
  </si>
  <si>
    <t>보이는 것만 믿어도</t>
  </si>
  <si>
    <t>88947</t>
  </si>
  <si>
    <t>4분기, 어쩔수가없다</t>
  </si>
  <si>
    <t>88946</t>
  </si>
  <si>
    <t>잠시 쉬어가는 시기</t>
  </si>
  <si>
    <t>88945</t>
  </si>
  <si>
    <t>이지하게 올라올 배당에 주목</t>
  </si>
  <si>
    <t>88944</t>
  </si>
  <si>
    <t>4Q25 Preview: 메모리 맹수, 앙!</t>
  </si>
  <si>
    <t>88943</t>
  </si>
  <si>
    <t>경쟁 강도 심화되고 있으나 안정적인 이익 체력</t>
  </si>
  <si>
    <t>88942</t>
  </si>
  <si>
    <t>또 한번의 보수적 가이던스, 일시적 주가 충격</t>
  </si>
  <si>
    <t>88941</t>
  </si>
  <si>
    <t>2026년 수익성 회복 본격화</t>
  </si>
  <si>
    <t>88940</t>
  </si>
  <si>
    <t>2026년 NAND 실적 전망치 상향</t>
  </si>
  <si>
    <t>88939</t>
  </si>
  <si>
    <t>펀더멘탈 이상 無, 고성장 트렌드 유효</t>
  </si>
  <si>
    <t>88938</t>
  </si>
  <si>
    <t>2025년 실적 A+. 2026년은요?</t>
  </si>
  <si>
    <t>88937</t>
  </si>
  <si>
    <t>든든한 수주, 단단한 실적</t>
  </si>
  <si>
    <t>88936</t>
  </si>
  <si>
    <t>2026-01-06</t>
  </si>
  <si>
    <t>[4Q25 Preview] 신차 효과 통해 증익 흐름으로 전환</t>
  </si>
  <si>
    <t>88935</t>
  </si>
  <si>
    <t>[4Q25 Preview] 수익성 저점 통과, 밸류 리레이팅 준비</t>
  </si>
  <si>
    <t>88934</t>
  </si>
  <si>
    <t>방어 보다는 공격이 필요한 때</t>
  </si>
  <si>
    <t>88933</t>
  </si>
  <si>
    <t>가장 편안할 선택지</t>
  </si>
  <si>
    <t>88932</t>
  </si>
  <si>
    <t>4Q25 Pre: 일회성비용으로 손익 기대 하회 예상</t>
  </si>
  <si>
    <t>88931</t>
  </si>
  <si>
    <t>1월 전략 - 상반기에 7만원은 넘어갈 것 같습니다</t>
  </si>
  <si>
    <t>88930</t>
  </si>
  <si>
    <t>1월 전략 - 길게 투자 하셔야 성과 날 수 있습니다</t>
  </si>
  <si>
    <t>88929</t>
  </si>
  <si>
    <t>1월 전략 - 4Q 배당 공시에 유의하세요</t>
  </si>
  <si>
    <t>88928</t>
  </si>
  <si>
    <t>441270</t>
  </si>
  <si>
    <t>파인엠텍</t>
  </si>
  <si>
    <t>올해 드디어 확인될 폴더블 아이폰 관련 매출</t>
  </si>
  <si>
    <t>88927</t>
  </si>
  <si>
    <t>기다려지는 실적 발표</t>
  </si>
  <si>
    <t>88926</t>
  </si>
  <si>
    <t>4Q 실적은 예상을 상회! 26년 新성장으로 진입~</t>
  </si>
  <si>
    <t>88925</t>
  </si>
  <si>
    <t>두 마리 토끼를 잡는다</t>
  </si>
  <si>
    <t>88924</t>
  </si>
  <si>
    <t>중국 반등 ＋ 신규 장비 모멘텀</t>
  </si>
  <si>
    <t>88923</t>
  </si>
  <si>
    <t>실적과 밸류에이션 재평가 원년</t>
  </si>
  <si>
    <t>88922</t>
  </si>
  <si>
    <t>본업의 견고함 위에 얹힌 ‘Beyond Auto 콜옵션’</t>
  </si>
  <si>
    <t>88921</t>
  </si>
  <si>
    <t>490470</t>
  </si>
  <si>
    <t>세미파이브</t>
  </si>
  <si>
    <t>물 들어온다</t>
  </si>
  <si>
    <t>88920</t>
  </si>
  <si>
    <t>일회성 이슈로 흔들릴 때 비중 확대 필요</t>
  </si>
  <si>
    <t>88919</t>
  </si>
  <si>
    <t>26년에도 성장 구조 유효</t>
  </si>
  <si>
    <t>88918</t>
  </si>
  <si>
    <t>306620</t>
  </si>
  <si>
    <t>네온테크</t>
  </si>
  <si>
    <t>MLCC 상승 사이클의 숨은 수혜주</t>
  </si>
  <si>
    <t>88917</t>
  </si>
  <si>
    <t>88916</t>
  </si>
  <si>
    <t>389500</t>
  </si>
  <si>
    <t>에스비비테크</t>
  </si>
  <si>
    <t>베어링을 넘어 로봇 부품 다크호스로 변모 중</t>
  </si>
  <si>
    <t>88915</t>
  </si>
  <si>
    <t>올해는 다를 가능성</t>
  </si>
  <si>
    <t>88914</t>
  </si>
  <si>
    <t>2026-01-05</t>
  </si>
  <si>
    <t>고객사의 보수적 재고 정책 지속되며 실적 부진</t>
  </si>
  <si>
    <t>88913</t>
  </si>
  <si>
    <t>두쫀쿠보다 달달한 HBM칩스</t>
  </si>
  <si>
    <t>88912</t>
  </si>
  <si>
    <t>고객사가 developing 되는 기업</t>
  </si>
  <si>
    <t>88911</t>
  </si>
  <si>
    <t>25년 4분기, 7개 분기 만에 이익 증가세로 전환 전망</t>
  </si>
  <si>
    <t>88910</t>
  </si>
  <si>
    <t>4Q25 Re: ‘25년을 딛고 밝은 ‘26년을 기대하며</t>
  </si>
  <si>
    <t>88909</t>
  </si>
  <si>
    <t>게이트웨이/하이브리드/군용 등 매출성장 3대축</t>
  </si>
  <si>
    <t>88908</t>
  </si>
  <si>
    <t>신뢰 회복의 ''26년을 기대</t>
  </si>
  <si>
    <t>88907</t>
  </si>
  <si>
    <t>올해도 실적 기저는 낮다</t>
  </si>
  <si>
    <t>88906</t>
  </si>
  <si>
    <t>신규 시밀러 성장으로 수익성 개선</t>
  </si>
  <si>
    <t>88905</t>
  </si>
  <si>
    <t>마지막 담력 테스트 구간</t>
  </si>
  <si>
    <t>88904</t>
  </si>
  <si>
    <t>독야청청</t>
  </si>
  <si>
    <t>88903</t>
  </si>
  <si>
    <t>메모리 중심의 체질 개선 가속화</t>
  </si>
  <si>
    <t>88902</t>
  </si>
  <si>
    <t>멈추지 않는 성장 엔진</t>
  </si>
  <si>
    <t>88901</t>
  </si>
  <si>
    <t>실적을 내려놓고 보면 편하다</t>
  </si>
  <si>
    <t>88900</t>
  </si>
  <si>
    <t>2026년초 가장 주목할 Post IPO 기업</t>
  </si>
  <si>
    <t>88899</t>
  </si>
  <si>
    <t>약속의 2026년</t>
  </si>
  <si>
    <t>88898</t>
  </si>
  <si>
    <t>별도 기준 컨센서스 상회 전망</t>
  </si>
  <si>
    <t>88897</t>
  </si>
  <si>
    <t>반도체 패키징 검사 중심 체질개선 진행중</t>
  </si>
  <si>
    <t>88896</t>
  </si>
  <si>
    <t>고점 멀티플 목표가 합리적</t>
  </si>
  <si>
    <t>88895</t>
  </si>
  <si>
    <t>구간매매 하기 좋은 구간</t>
  </si>
  <si>
    <t>88894</t>
  </si>
  <si>
    <t>고마진의 신제품 매출 확대로 호실적 기록</t>
  </si>
  <si>
    <t>88893</t>
  </si>
  <si>
    <t>이젠 기대보다 잘한다</t>
  </si>
  <si>
    <t>88892</t>
  </si>
  <si>
    <t>2026-01-02</t>
  </si>
  <si>
    <t>4Q25보다는 내년 실적개선을 기대해보자</t>
  </si>
  <si>
    <t>88891</t>
  </si>
  <si>
    <t>2026년, 힘찬 출발</t>
  </si>
  <si>
    <t>88890</t>
  </si>
  <si>
    <t>길어지는 기다림, 아직은 보수적 관점 유지</t>
  </si>
  <si>
    <t>88889</t>
  </si>
  <si>
    <t>036930</t>
  </si>
  <si>
    <t>주성엔지니어링</t>
  </si>
  <si>
    <t>메모리 반도체 투자 회복 국면, 저평가 해소 기대</t>
  </si>
  <si>
    <t>88888</t>
  </si>
  <si>
    <t>2025-12-30</t>
  </si>
  <si>
    <t>420570</t>
  </si>
  <si>
    <t>제이투케이바이오</t>
  </si>
  <si>
    <t>고객사 다변화와 낮아진 기저</t>
  </si>
  <si>
    <t>88887</t>
  </si>
  <si>
    <t>4Q25 Pre: 환율이 내려오면 대한항공을 보자</t>
  </si>
  <si>
    <t>88886</t>
  </si>
  <si>
    <t>비모바일 영역 확대로 Set 우려 상쇄</t>
  </si>
  <si>
    <t>88885</t>
  </si>
  <si>
    <t>단기 조정은 기회</t>
  </si>
  <si>
    <t>88884</t>
  </si>
  <si>
    <t>26년 다시 통신업 주도주</t>
  </si>
  <si>
    <t>88883</t>
  </si>
  <si>
    <t>비용 효율화로 호실적 전망. 2026년 일본 시장 재도전</t>
  </si>
  <si>
    <t>88882</t>
  </si>
  <si>
    <t>서광이 비추기 시작한다</t>
  </si>
  <si>
    <t>88881</t>
  </si>
  <si>
    <t>코로나급 저평가, 실적 회복과 자사주 소각에 주목</t>
  </si>
  <si>
    <t>88880</t>
  </si>
  <si>
    <t>348340</t>
  </si>
  <si>
    <t>뉴로메카</t>
  </si>
  <si>
    <t>다수의 로봇 프로젝트 진행 중</t>
  </si>
  <si>
    <t>88879</t>
  </si>
  <si>
    <t>2026년부터 실적 턴어라운드 본격화</t>
  </si>
  <si>
    <t>88878</t>
  </si>
  <si>
    <t>업그레이드로 레벨업</t>
  </si>
  <si>
    <t>88877</t>
  </si>
  <si>
    <t>포커스는 2026년에</t>
  </si>
  <si>
    <t>88876</t>
  </si>
  <si>
    <t>2026년에도 업황 호조 지속</t>
  </si>
  <si>
    <t>88875</t>
  </si>
  <si>
    <t>2025-12-29</t>
  </si>
  <si>
    <t>FBPS(Freudenberg) 계약 해지 관련</t>
  </si>
  <si>
    <t>88874</t>
  </si>
  <si>
    <t>429270</t>
  </si>
  <si>
    <t>시지트로닉스</t>
  </si>
  <si>
    <t>중장기 성장 방향성 점검</t>
  </si>
  <si>
    <t>88873</t>
  </si>
  <si>
    <t>역량 확대 → 매력도 상향</t>
  </si>
  <si>
    <t>88872</t>
  </si>
  <si>
    <t>자사주 소각 등으로 기업구조 개편 가시화 될 듯</t>
  </si>
  <si>
    <t>88871</t>
  </si>
  <si>
    <t>주식 소각 및 상법 개정 수혜 기대</t>
  </si>
  <si>
    <t>88870</t>
  </si>
  <si>
    <t>동 가격 상승 수혜 및 자사주 소각 기대</t>
  </si>
  <si>
    <t>88869</t>
  </si>
  <si>
    <t>내년 주요 자회사 실적 개선폭이 관건</t>
  </si>
  <si>
    <t>88868</t>
  </si>
  <si>
    <t>실적 개선과 주주환원의 조화</t>
  </si>
  <si>
    <t>88867</t>
  </si>
  <si>
    <t>돈을 내고 줄을 서시오</t>
  </si>
  <si>
    <t>88866</t>
  </si>
  <si>
    <t>실적은 돌아오고 자산은 깨어난다</t>
  </si>
  <si>
    <t>88865</t>
  </si>
  <si>
    <t>2025-12-26</t>
  </si>
  <si>
    <t>변화에 부합하는 핵심 수혜주</t>
  </si>
  <si>
    <t>88864</t>
  </si>
  <si>
    <t>주목받는 IL-2, 내년 주목할 임상 결과 발표 다수</t>
  </si>
  <si>
    <t>88863</t>
  </si>
  <si>
    <t>432980</t>
  </si>
  <si>
    <t>엠에프씨</t>
  </si>
  <si>
    <t>IPO 주관사 업데이트: 고부가가치 품목 매출 확대 중</t>
  </si>
  <si>
    <t>88862</t>
  </si>
  <si>
    <t>IPO 주관사 업데이트: 수주 규모 확대로 매출 성장 중</t>
  </si>
  <si>
    <t>88861</t>
  </si>
  <si>
    <t>246250</t>
  </si>
  <si>
    <t>에스엘에스바이오</t>
  </si>
  <si>
    <t>IPO 주관사 업데이트</t>
  </si>
  <si>
    <t>88860</t>
  </si>
  <si>
    <t>연말 수주 소식을 기대하며</t>
  </si>
  <si>
    <t>88859</t>
  </si>
  <si>
    <t>모든 것이 좋다</t>
  </si>
  <si>
    <t>88858</t>
  </si>
  <si>
    <t>88857</t>
  </si>
  <si>
    <t>338840</t>
  </si>
  <si>
    <t>와이바이오로직스</t>
  </si>
  <si>
    <t>다중 항체+싸이토카인으로 차별화</t>
  </si>
  <si>
    <t>88856</t>
  </si>
  <si>
    <t>451220</t>
  </si>
  <si>
    <t>아이엠티</t>
  </si>
  <si>
    <t>2026년 Turnaround 기대</t>
  </si>
  <si>
    <t>88855</t>
  </si>
  <si>
    <t>417180</t>
  </si>
  <si>
    <t>핑거스토리</t>
  </si>
  <si>
    <t>2026년 새로운 도약 기대</t>
  </si>
  <si>
    <t>88854</t>
  </si>
  <si>
    <t>좁혀질 간극</t>
  </si>
  <si>
    <t>88853</t>
  </si>
  <si>
    <t>464280</t>
  </si>
  <si>
    <t>티디에스팜</t>
  </si>
  <si>
    <t>파스에서 패치까지, 경피 약물전달제제 전문기업</t>
  </si>
  <si>
    <t>88852</t>
  </si>
  <si>
    <t>099750</t>
  </si>
  <si>
    <t>이지케어텍</t>
  </si>
  <si>
    <t>HIS를 넘어, 디지털 헬스케어 플랫폼으로</t>
  </si>
  <si>
    <t>88851</t>
  </si>
  <si>
    <t>2025-12-24</t>
  </si>
  <si>
    <t>결국 기회가 될 거래</t>
  </si>
  <si>
    <t>88850</t>
  </si>
  <si>
    <t>474610</t>
  </si>
  <si>
    <t>RF시스템즈</t>
  </si>
  <si>
    <t>견조한 수주와 가시화된 성장성</t>
  </si>
  <si>
    <t>88849</t>
  </si>
  <si>
    <t>적극적인 주주환원 정책으로 세상을 아름답게</t>
  </si>
  <si>
    <t>88848</t>
  </si>
  <si>
    <t>우주 like to BUY?</t>
  </si>
  <si>
    <t>88847</t>
  </si>
  <si>
    <t>본업 성장 흐름 지속</t>
  </si>
  <si>
    <t>88846</t>
  </si>
  <si>
    <t>285800</t>
  </si>
  <si>
    <t>진영</t>
  </si>
  <si>
    <t>불황에도 지속되는 다변화 노력</t>
  </si>
  <si>
    <t>88845</t>
  </si>
  <si>
    <t>콥데이 후기: 본캐는 개발입니다만</t>
  </si>
  <si>
    <t>88844</t>
  </si>
  <si>
    <t>C팝 아티스트 입점 본격화</t>
  </si>
  <si>
    <t>88843</t>
  </si>
  <si>
    <t>웅크렸던 거인이 기지개를 켜다</t>
  </si>
  <si>
    <t>88842</t>
  </si>
  <si>
    <t>271940</t>
  </si>
  <si>
    <t>일진하이솔루스</t>
  </si>
  <si>
    <t>부진했던 승용이 올라와줘서 다행이다.</t>
  </si>
  <si>
    <t>88841</t>
  </si>
  <si>
    <t>360070</t>
  </si>
  <si>
    <t>탑머티리얼</t>
  </si>
  <si>
    <t>소재 성장 본격화 기대</t>
  </si>
  <si>
    <t>88840</t>
  </si>
  <si>
    <t>부진한 업황을 감내하는 중</t>
  </si>
  <si>
    <t>88839</t>
  </si>
  <si>
    <t>AI 시대 전자소재 플레이어로의 재평가 모멘텀</t>
  </si>
  <si>
    <t>88838</t>
  </si>
  <si>
    <t>2025-12-23</t>
  </si>
  <si>
    <t>더 티니핑 스토어 방문 후기: 귀엽다</t>
  </si>
  <si>
    <t>88837</t>
  </si>
  <si>
    <t>4Q25 실적 턴어라운드 전망</t>
  </si>
  <si>
    <t>88836</t>
  </si>
  <si>
    <t>안정적인 기존 사업과 신사업 확대 국면</t>
  </si>
  <si>
    <t>88835</t>
  </si>
  <si>
    <t>모든 것이 한결 편안해진 구간</t>
  </si>
  <si>
    <t>88834</t>
  </si>
  <si>
    <t>SpaceX 투자 관련 코멘트</t>
  </si>
  <si>
    <t>88833</t>
  </si>
  <si>
    <t>석탄 시황 완만한 회복 기조</t>
  </si>
  <si>
    <t>88832</t>
  </si>
  <si>
    <t>검증된 멕시코, 가시화될 폴란드</t>
  </si>
  <si>
    <t>88831</t>
  </si>
  <si>
    <t>거제조선소 탐방일지</t>
  </si>
  <si>
    <t>88830</t>
  </si>
  <si>
    <t>2026년 : ① 최고 실적, 주가 ② 애플, 공급 확대 ③ 테슬라, 전략적 협력 강화</t>
  </si>
  <si>
    <t>88829</t>
  </si>
  <si>
    <t>외형 성장이 기대되는 26년</t>
  </si>
  <si>
    <t>88828</t>
  </si>
  <si>
    <t>콥데이 후기: 당신이 최근 재밌게 본 콘텐츠들의 제작사</t>
  </si>
  <si>
    <t>88827</t>
  </si>
  <si>
    <t>콥데이 후기: 진짜 좋아서 그래</t>
  </si>
  <si>
    <t>88826</t>
  </si>
  <si>
    <t>396470</t>
  </si>
  <si>
    <t>워트</t>
  </si>
  <si>
    <t>26년부터 실적 반등 기대</t>
  </si>
  <si>
    <t>88825</t>
  </si>
  <si>
    <t>411080</t>
  </si>
  <si>
    <t>샌즈랩</t>
  </si>
  <si>
    <t>해외 진출의 기틀을 마련</t>
  </si>
  <si>
    <t>88824</t>
  </si>
  <si>
    <t>산업용 부문 성과가 보여줄 성장</t>
  </si>
  <si>
    <t>88823</t>
  </si>
  <si>
    <t>475430</t>
  </si>
  <si>
    <t>키스트론</t>
  </si>
  <si>
    <t>국내 유일 바이메탈 와이어 제조사</t>
  </si>
  <si>
    <t>88822</t>
  </si>
  <si>
    <t>254490</t>
  </si>
  <si>
    <t>미래반도체</t>
  </si>
  <si>
    <t>메모리 가격 인상 동반 수혜</t>
  </si>
  <si>
    <t>88821</t>
  </si>
  <si>
    <t>미국 생산 거점 구축은 시작에 불과</t>
  </si>
  <si>
    <t>88820</t>
  </si>
  <si>
    <t>408920</t>
  </si>
  <si>
    <t>메쎄이상</t>
  </si>
  <si>
    <t>다시보면 느껴지는 매력</t>
  </si>
  <si>
    <t>88819</t>
  </si>
  <si>
    <t>트럼프 2.0 시대, 미국 제조업 리쇼어링의 수혜주</t>
  </si>
  <si>
    <t>88818</t>
  </si>
  <si>
    <t>036030</t>
  </si>
  <si>
    <t>케이티알파</t>
  </si>
  <si>
    <t>KT그룹의 커머스 전문 기업</t>
  </si>
  <si>
    <t>88817</t>
  </si>
  <si>
    <t>2025-12-22</t>
  </si>
  <si>
    <t>테일러메이드, 끝이 보인다</t>
  </si>
  <si>
    <t>88816</t>
  </si>
  <si>
    <t>외국인들이 정말 좋아하는 브랜드</t>
  </si>
  <si>
    <t>88815</t>
  </si>
  <si>
    <t>턴어라운드, 체질개선, 주주환원 3박자 만족</t>
  </si>
  <si>
    <t>88814</t>
  </si>
  <si>
    <t>많이 올랐어도 제일 좋다</t>
  </si>
  <si>
    <t>88813</t>
  </si>
  <si>
    <t>안정적 실적 증가 재개, 모멘텀은 해외 원전정비 시장 진출 확대</t>
  </si>
  <si>
    <t>88812</t>
  </si>
  <si>
    <t>26년 레이저티닙 미국 매출 본격화 기대</t>
  </si>
  <si>
    <t>88811</t>
  </si>
  <si>
    <t>자사주 소각 기대 및 중동수출 가속화로 수주증가 UP</t>
  </si>
  <si>
    <t>88810</t>
  </si>
  <si>
    <t>352090</t>
  </si>
  <si>
    <t>스톰테크</t>
  </si>
  <si>
    <t>IPO Update: 배당수익률 6.5% 예상</t>
  </si>
  <si>
    <t>88809</t>
  </si>
  <si>
    <t>사이버 안보 및 보안 수요 증가로 성장성 가속화</t>
  </si>
  <si>
    <t>88808</t>
  </si>
  <si>
    <t>지금이 바이오 소부장 국산화의 시발점!</t>
  </si>
  <si>
    <t>88807</t>
  </si>
  <si>
    <t>300080</t>
  </si>
  <si>
    <t>플리토</t>
  </si>
  <si>
    <t>데이터가 곧 경쟁력</t>
  </si>
  <si>
    <t>88806</t>
  </si>
  <si>
    <t>221800</t>
  </si>
  <si>
    <t>유투바이오</t>
  </si>
  <si>
    <t>진단부터 관리까지</t>
  </si>
  <si>
    <t>88805</t>
  </si>
  <si>
    <t>407400</t>
  </si>
  <si>
    <t>꿈비</t>
  </si>
  <si>
    <t>도약을 위한 준비는 마쳤다</t>
  </si>
  <si>
    <t>88804</t>
  </si>
  <si>
    <t>435570</t>
  </si>
  <si>
    <t>에르코스</t>
  </si>
  <si>
    <t>채널 및 제품 다변화 추진 계획</t>
  </si>
  <si>
    <t>88803</t>
  </si>
  <si>
    <t>BB크림의 원조, 글로벌 리부트</t>
  </si>
  <si>
    <t>88802</t>
  </si>
  <si>
    <t>340930</t>
  </si>
  <si>
    <t>유일에너테크</t>
  </si>
  <si>
    <t>전기차 캐즘 영향으로 단기 실적 부담 지속</t>
  </si>
  <si>
    <t>88801</t>
  </si>
  <si>
    <t>롯데그룹의 IT서비스 기업</t>
  </si>
  <si>
    <t>88800</t>
  </si>
  <si>
    <t>2025-12-19</t>
  </si>
  <si>
    <t>침투 가속화를 위한 모든 조건은 갖춰졌다</t>
  </si>
  <si>
    <t>88798</t>
  </si>
  <si>
    <t>255220</t>
  </si>
  <si>
    <t>SG</t>
  </si>
  <si>
    <t>2026년 기대되는 친환경 아스콘</t>
  </si>
  <si>
    <t>88797</t>
  </si>
  <si>
    <t>425040</t>
  </si>
  <si>
    <t>티이엠씨</t>
  </si>
  <si>
    <t>메모리 숏티지 수혜 예상</t>
  </si>
  <si>
    <t>88796</t>
  </si>
  <si>
    <t>481850</t>
  </si>
  <si>
    <t>신한글로벌액티브리츠</t>
  </si>
  <si>
    <t>묘안이 필요</t>
  </si>
  <si>
    <t>88795</t>
  </si>
  <si>
    <t>외형 성장 가속화</t>
  </si>
  <si>
    <t>88794</t>
  </si>
  <si>
    <t>SABCS(세계유방암학회) 및 NDR 후기</t>
  </si>
  <si>
    <t>88793</t>
  </si>
  <si>
    <t>중장기 성장 플랜 마련 중</t>
  </si>
  <si>
    <t>88792</t>
  </si>
  <si>
    <t>가속 페달을 밟고 AI로 전환</t>
  </si>
  <si>
    <t>88791</t>
  </si>
  <si>
    <t>AI기반 신사업 추진에 따른 성장 기대</t>
  </si>
  <si>
    <t>88790</t>
  </si>
  <si>
    <t>안정적 이익과 성장성과의 괴리</t>
  </si>
  <si>
    <t>88789</t>
  </si>
  <si>
    <t>033250</t>
  </si>
  <si>
    <t>체시스</t>
  </si>
  <si>
    <t>자동차 전동화 시대의 경량 샤시 솔루션 제조 기업</t>
  </si>
  <si>
    <t>88788</t>
  </si>
  <si>
    <t>005720</t>
  </si>
  <si>
    <t>넥센</t>
  </si>
  <si>
    <t>글로벌 모빌리티 기반의 다각화 산업 포트폴리오 기업</t>
  </si>
  <si>
    <t>88787</t>
  </si>
  <si>
    <t>033320</t>
  </si>
  <si>
    <t>제이씨현시스템</t>
  </si>
  <si>
    <t>고성능 PC·GPU 유통부터 프라이빗 AI 솔루션까지 아우르는 종합 ICT 인프라 기업</t>
  </si>
  <si>
    <t>88786</t>
  </si>
  <si>
    <t>2025-12-18</t>
  </si>
  <si>
    <t>자사주 전량 소각으로 기업가치 제고</t>
  </si>
  <si>
    <t>88785</t>
  </si>
  <si>
    <t>201490</t>
  </si>
  <si>
    <t>미투온</t>
  </si>
  <si>
    <t>소셜카지노에서 종합 엔터테인먼트 IP 그룹으로</t>
  </si>
  <si>
    <t>88784</t>
  </si>
  <si>
    <t>전자책에서 스토리 엔터테인먼트 플랫폼으로 확장</t>
  </si>
  <si>
    <t>88783</t>
  </si>
  <si>
    <t>403850</t>
  </si>
  <si>
    <t>더핑크퐁컴퍼니</t>
  </si>
  <si>
    <t>핵심 IP 성숙기 이후, 새로운 성장 사이클 진입</t>
  </si>
  <si>
    <t>88782</t>
  </si>
  <si>
    <t>중국 진출 앞둔 점진적 성장 구간 진입</t>
  </si>
  <si>
    <t>88781</t>
  </si>
  <si>
    <t>나혼렙 이후의 그림: 다중 IP 사이클이 열린다</t>
  </si>
  <si>
    <t>88780</t>
  </si>
  <si>
    <t>IP 확장과 라이선스 비중 상승으로 체질 개선 기대</t>
  </si>
  <si>
    <t>88779</t>
  </si>
  <si>
    <t>성장 스토리는 여전히 유효</t>
  </si>
  <si>
    <t>88778</t>
  </si>
  <si>
    <t>반격의 2026년</t>
  </si>
  <si>
    <t>88777</t>
  </si>
  <si>
    <t>메모리, 비메모리 모두 맑음</t>
  </si>
  <si>
    <t>88776</t>
  </si>
  <si>
    <t>멀티플 확장국면</t>
  </si>
  <si>
    <t>88775</t>
  </si>
  <si>
    <t>246710</t>
  </si>
  <si>
    <t>티앤알바이오팹</t>
  </si>
  <si>
    <t>재생의료 전문 기업. 재도약 준비 완료</t>
  </si>
  <si>
    <t>88774</t>
  </si>
  <si>
    <t>384470</t>
  </si>
  <si>
    <t>코어라인소프트</t>
  </si>
  <si>
    <t>축적되는 경쟁력, 실적으로 보여줄 때</t>
  </si>
  <si>
    <t>88773</t>
  </si>
  <si>
    <t>232830</t>
  </si>
  <si>
    <t>아이티센피엔에스</t>
  </si>
  <si>
    <t>매출성장 다음은 수익성</t>
  </si>
  <si>
    <t>88772</t>
  </si>
  <si>
    <t>340810</t>
  </si>
  <si>
    <t>시선AI</t>
  </si>
  <si>
    <t>AI 대전환기, 반전을 만들어야 한다</t>
  </si>
  <si>
    <t>88771</t>
  </si>
  <si>
    <t>준비된 자에게 올 성장의 기회</t>
  </si>
  <si>
    <t>88770</t>
  </si>
  <si>
    <t>328380</t>
  </si>
  <si>
    <t>솔트웨어</t>
  </si>
  <si>
    <t>AI로의 전환 시도 중</t>
  </si>
  <si>
    <t>88769</t>
  </si>
  <si>
    <t>391710</t>
  </si>
  <si>
    <t>코닉오토메이션</t>
  </si>
  <si>
    <t>장비 제어SW 기반의 스마트팩토리 솔루션 기업</t>
  </si>
  <si>
    <t>88768</t>
  </si>
  <si>
    <t>2026 CES의 Hidden Star</t>
  </si>
  <si>
    <t>88767</t>
  </si>
  <si>
    <t>2026년, 무대는 준비됐다</t>
  </si>
  <si>
    <t>88766</t>
  </si>
  <si>
    <t>LFP 양극재를 더하다</t>
  </si>
  <si>
    <t>88765</t>
  </si>
  <si>
    <t>다음 챕터를 향하다</t>
  </si>
  <si>
    <t>88764</t>
  </si>
  <si>
    <t>본업 중심의 구조적 성장 흐름 지속</t>
  </si>
  <si>
    <t>88763</t>
  </si>
  <si>
    <t>천천히 그러나 분명하게</t>
  </si>
  <si>
    <t>88762</t>
  </si>
  <si>
    <t>본업 관련 투자를 추진한다는 점이 중요</t>
  </si>
  <si>
    <t>88761</t>
  </si>
  <si>
    <t>배터리 합작 관계 청산 - 중장기 방향성은 긍정적</t>
  </si>
  <si>
    <t>88760</t>
  </si>
  <si>
    <t>시간이 쌓이며 그려지는 성장 곡선</t>
  </si>
  <si>
    <t>88759</t>
  </si>
  <si>
    <t>CEO Investor Day: 로봇 액추에이터 사업 진출 선언</t>
  </si>
  <si>
    <t>88758</t>
  </si>
  <si>
    <t>2025-12-17</t>
  </si>
  <si>
    <t>471820</t>
  </si>
  <si>
    <t>셀로맥스사이언스</t>
  </si>
  <si>
    <t>IPO 의무 발간: 수익성은 하락, 매출은 성장</t>
  </si>
  <si>
    <t>88757</t>
  </si>
  <si>
    <t>글로벌 딜 어게인!</t>
  </si>
  <si>
    <t>88756</t>
  </si>
  <si>
    <t>이제부터 본격적으로 호재 반영 들어갑니다</t>
  </si>
  <si>
    <t>88755</t>
  </si>
  <si>
    <t>기지개 켜는 대장주</t>
  </si>
  <si>
    <t>88754</t>
  </si>
  <si>
    <t>준비된 이에게 기회가</t>
  </si>
  <si>
    <t>88753</t>
  </si>
  <si>
    <t>배당 먹고, 긴호흡의 접근 필요</t>
  </si>
  <si>
    <t>88752</t>
  </si>
  <si>
    <t>푸른 피의 힘</t>
  </si>
  <si>
    <t>88751</t>
  </si>
  <si>
    <t>최고의 방어 시현 중</t>
  </si>
  <si>
    <t>88750</t>
  </si>
  <si>
    <t>007690</t>
  </si>
  <si>
    <t>국도화학</t>
  </si>
  <si>
    <t>시선은 26년으로</t>
  </si>
  <si>
    <t>88749</t>
  </si>
  <si>
    <t>명절 시점 차이로 조삼모사 시작</t>
  </si>
  <si>
    <t>88748</t>
  </si>
  <si>
    <t>펀더멘털 대비 과도한 하락</t>
  </si>
  <si>
    <t>88747</t>
  </si>
  <si>
    <t>예상보다 더 좋은 실적, 더 좋은 상황</t>
  </si>
  <si>
    <t>88746</t>
  </si>
  <si>
    <t>점점 궤도에 오르는 성장세</t>
  </si>
  <si>
    <t>88745</t>
  </si>
  <si>
    <t>448900</t>
  </si>
  <si>
    <t>한국피아이엠</t>
  </si>
  <si>
    <t>휴머노이드 핵심 부품 공급사로 변모 중</t>
  </si>
  <si>
    <t>88744</t>
  </si>
  <si>
    <t>105740</t>
  </si>
  <si>
    <t>디케이락</t>
  </si>
  <si>
    <t>계장용 피팅/밸브 업체. 반도체·항공·방산 진출</t>
  </si>
  <si>
    <t>88743</t>
  </si>
  <si>
    <t>051360</t>
  </si>
  <si>
    <t>토비스</t>
  </si>
  <si>
    <t>2026년 카지노/전장 디스플레이 모두 순항</t>
  </si>
  <si>
    <t>88742</t>
  </si>
  <si>
    <t>2025-12-16</t>
  </si>
  <si>
    <t>로보틱스 밸류 점진적 반영</t>
  </si>
  <si>
    <t>88741</t>
  </si>
  <si>
    <t>고객사 신차 사이클 수혜와 로보틱스 사업 확장 시작</t>
  </si>
  <si>
    <t>88740</t>
  </si>
  <si>
    <t>내년 2월까지 우금지!</t>
  </si>
  <si>
    <t>88739</t>
  </si>
  <si>
    <t>362990</t>
  </si>
  <si>
    <t>드림인사이트</t>
  </si>
  <si>
    <t>외형 확대를 위한 사전 준비 완료</t>
  </si>
  <si>
    <t>88738</t>
  </si>
  <si>
    <t>제련으로 “We go Together!”</t>
  </si>
  <si>
    <t>88737</t>
  </si>
  <si>
    <t>이건 적응증이 확대되고 있는 진단기업의 이야기다</t>
  </si>
  <si>
    <t>88736</t>
  </si>
  <si>
    <t>분기 신규 수주액 개선 재개</t>
  </si>
  <si>
    <t>88735</t>
  </si>
  <si>
    <t>323350</t>
  </si>
  <si>
    <t>다원넥스뷰</t>
  </si>
  <si>
    <t>확대를 통한 성장</t>
  </si>
  <si>
    <t>88734</t>
  </si>
  <si>
    <t>4분기는 환율, 26년은 제품믹스 개선</t>
  </si>
  <si>
    <t>88733</t>
  </si>
  <si>
    <t>글로벌 그리드 1위 기업, 영상의료기기도 합니다</t>
  </si>
  <si>
    <t>88732</t>
  </si>
  <si>
    <t>미래가 기대되는 준비된 신입</t>
  </si>
  <si>
    <t>88731</t>
  </si>
  <si>
    <t>디지털 마케팅 플랫폼 전문 기업</t>
  </si>
  <si>
    <t>88730</t>
  </si>
  <si>
    <t>162300</t>
  </si>
  <si>
    <t>신스틸</t>
  </si>
  <si>
    <t>성장성과 수익성이 돋보이는 독립형 철강코일센터</t>
  </si>
  <si>
    <t>88729</t>
  </si>
  <si>
    <t>AI 시대 핵심 부품 파트너</t>
  </si>
  <si>
    <t>88728</t>
  </si>
  <si>
    <t>RNA 신약개발을 위한 최고의 파트너</t>
  </si>
  <si>
    <t>88727</t>
  </si>
  <si>
    <t>이전과 다른 따듯한 겨울</t>
  </si>
  <si>
    <t>88726</t>
  </si>
  <si>
    <t>2025-12-15</t>
  </si>
  <si>
    <t>이익 저점 통과, 생산 거점 다변화</t>
  </si>
  <si>
    <t>88725</t>
  </si>
  <si>
    <t>컨센서스 상향과 밸류에이션 리레이팅 기대</t>
  </si>
  <si>
    <t>88724</t>
  </si>
  <si>
    <t>IP Value Up 스튜디오로 Level Up</t>
  </si>
  <si>
    <t>88723</t>
  </si>
  <si>
    <t>탐방 노트: 국내외 고른 성장+안정적 포트폴리오</t>
  </si>
  <si>
    <t>88722</t>
  </si>
  <si>
    <t>018290</t>
  </si>
  <si>
    <t>브이티</t>
  </si>
  <si>
    <t>탐방 노트: 마케팅 확대 중. 미국/러시아 향후 성장 엔진 기대</t>
  </si>
  <si>
    <t>88721</t>
  </si>
  <si>
    <t>308430</t>
  </si>
  <si>
    <t>셀비온</t>
  </si>
  <si>
    <t>CSR 보고서 수령, 조건부허가신청 및 3상 진행 계획</t>
  </si>
  <si>
    <t>88720</t>
  </si>
  <si>
    <t>미국에서의 특허 관련 작은 노이즈에 대한 코멘트</t>
  </si>
  <si>
    <t>88719</t>
  </si>
  <si>
    <t>컨센 대폭 상회 전망. OSP와 PX에 숨겨둔 이익</t>
  </si>
  <si>
    <t>88718</t>
  </si>
  <si>
    <t>CSR 공시, 이변 없는 데이터로 불확실성 불식</t>
  </si>
  <si>
    <t>88717</t>
  </si>
  <si>
    <t>방산·우주 관련 수주확대로 실적개선 가속화</t>
  </si>
  <si>
    <t>88716</t>
  </si>
  <si>
    <t>424760</t>
  </si>
  <si>
    <t>벨로크</t>
  </si>
  <si>
    <t>턴어라운드의 서막</t>
  </si>
  <si>
    <t>88715</t>
  </si>
  <si>
    <t>093320</t>
  </si>
  <si>
    <t>케이아이엔엑스</t>
  </si>
  <si>
    <t>88714</t>
  </si>
  <si>
    <t>413390</t>
  </si>
  <si>
    <t>엠오티</t>
  </si>
  <si>
    <t>이차전지 조립공정 장비회사</t>
  </si>
  <si>
    <t>88713</t>
  </si>
  <si>
    <t>탐방노트: 범용 S/W로 로봇 시장과 함께 성장</t>
  </si>
  <si>
    <t>88712</t>
  </si>
  <si>
    <t>2025-12-12</t>
  </si>
  <si>
    <t>CEO Investor Day에서 로봇 액츄에이터 사업을 설명</t>
  </si>
  <si>
    <t>88711</t>
  </si>
  <si>
    <t>2025 Investor Day Review - 나는 이제 ‘Intelligent Motion Provider’</t>
  </si>
  <si>
    <t>88710</t>
  </si>
  <si>
    <t>K-잠수함 내러티브는 내년에도 계속된다.</t>
  </si>
  <si>
    <t>88709</t>
  </si>
  <si>
    <t>342870</t>
  </si>
  <si>
    <t>오아</t>
  </si>
  <si>
    <t>숨겨진 '오아'시스</t>
  </si>
  <si>
    <t>88708</t>
  </si>
  <si>
    <t>311320</t>
  </si>
  <si>
    <t>지오엘리먼트</t>
  </si>
  <si>
    <t>2026년 솔리드 캐니스터 양산 본격화 전망</t>
  </si>
  <si>
    <t>88707</t>
  </si>
  <si>
    <t>빅파마가 선택한 ADC 유망주</t>
  </si>
  <si>
    <t>88706</t>
  </si>
  <si>
    <t>로봇 엑추에이터에 대한 기대감은 컸지만, 2028년에 봅시다</t>
  </si>
  <si>
    <t>88705</t>
  </si>
  <si>
    <t>재도약의 전환점</t>
  </si>
  <si>
    <t>88704</t>
  </si>
  <si>
    <t>임상 중심 CDMO에서 글로벌 상업 CDMO로, 체급이 달라지는 시점</t>
  </si>
  <si>
    <t>88703</t>
  </si>
  <si>
    <t>2025-12-11</t>
  </si>
  <si>
    <t>소재의 부진</t>
  </si>
  <si>
    <t>88702</t>
  </si>
  <si>
    <t>2026년 호재 넘쳐난다, 매수하고 기다리세요</t>
  </si>
  <si>
    <t>88701</t>
  </si>
  <si>
    <t>[다시봐] 단순 부품회사라는 인식을 버리자!</t>
  </si>
  <si>
    <t>88700</t>
  </si>
  <si>
    <t>044990</t>
  </si>
  <si>
    <t>에이치엔에스하이텍</t>
  </si>
  <si>
    <t>ACF 확대로 26년 턴어라운드 가시화</t>
  </si>
  <si>
    <t>88699</t>
  </si>
  <si>
    <t>372170</t>
  </si>
  <si>
    <t>윤성에프앤씨</t>
  </si>
  <si>
    <t>25년 바닥, 26년 회복</t>
  </si>
  <si>
    <t>88698</t>
  </si>
  <si>
    <t>204610</t>
  </si>
  <si>
    <t>티쓰리</t>
  </si>
  <si>
    <t>적극적인 주주환원 정책 지속</t>
  </si>
  <si>
    <t>88697</t>
  </si>
  <si>
    <t>413630</t>
  </si>
  <si>
    <t>씨피시스템</t>
  </si>
  <si>
    <t>2026년 인도 등 해외 매출 성장 기대</t>
  </si>
  <si>
    <t>88696</t>
  </si>
  <si>
    <t>413640</t>
  </si>
  <si>
    <t>비아이매트릭스</t>
  </si>
  <si>
    <t>수주 지연의 충격, 고객사 확보가 반등의 열쇠</t>
  </si>
  <si>
    <t>88695</t>
  </si>
  <si>
    <t>빼놓을 수 없는 조선 기자재</t>
  </si>
  <si>
    <t>88694</t>
  </si>
  <si>
    <t>460870</t>
  </si>
  <si>
    <t>에스엠씨지</t>
  </si>
  <si>
    <t>유리용기는 시간을 들여야 더 아름다워</t>
  </si>
  <si>
    <t>88693</t>
  </si>
  <si>
    <t>자회사 가치 상승과 할인율 축소의 트리거</t>
  </si>
  <si>
    <t>88692</t>
  </si>
  <si>
    <t>더 큰 기회와 가능성이 다가온다</t>
  </si>
  <si>
    <t>88691</t>
  </si>
  <si>
    <t>437730</t>
  </si>
  <si>
    <t>삼현</t>
  </si>
  <si>
    <t>NDR 후기: 로보틱스를 위한 성장통일 것인가</t>
  </si>
  <si>
    <t>88690</t>
  </si>
  <si>
    <t>474650</t>
  </si>
  <si>
    <t>링크솔루션</t>
  </si>
  <si>
    <t>산업용 3D 프린팅 전문기업</t>
  </si>
  <si>
    <t>88689</t>
  </si>
  <si>
    <t>308080</t>
  </si>
  <si>
    <t>바이젠셀</t>
  </si>
  <si>
    <t>VT-EBV-N 치료제 상업화 임박</t>
  </si>
  <si>
    <t>88688</t>
  </si>
  <si>
    <t>기술이전 완료, 상업화 시작!</t>
  </si>
  <si>
    <t>88687</t>
  </si>
  <si>
    <t>2025-12-10</t>
  </si>
  <si>
    <t>419080</t>
  </si>
  <si>
    <t>엔젯</t>
  </si>
  <si>
    <t>EHD로 유리기판 공정 혁신</t>
  </si>
  <si>
    <t>88686</t>
  </si>
  <si>
    <t>417790</t>
  </si>
  <si>
    <t>트루엔</t>
  </si>
  <si>
    <t>IoT 비중 확대와 수익성 개선</t>
  </si>
  <si>
    <t>88685</t>
  </si>
  <si>
    <t>26년에도 높은 주가 상승 예상, 연말 선취매 나서야</t>
  </si>
  <si>
    <t>88684</t>
  </si>
  <si>
    <t>031210</t>
  </si>
  <si>
    <t>서울보증보험</t>
  </si>
  <si>
    <t>배당 매력에 턴어라운드 기대까지</t>
  </si>
  <si>
    <t>88683</t>
  </si>
  <si>
    <t>새로운 성장 기회</t>
  </si>
  <si>
    <t>88682</t>
  </si>
  <si>
    <t>구조적 호황 지속</t>
  </si>
  <si>
    <t>88681</t>
  </si>
  <si>
    <t>대체 불가의 핵심 방산 기자재</t>
  </si>
  <si>
    <t>88680</t>
  </si>
  <si>
    <t>1,000억 원 매출, 10년 이상 확보</t>
  </si>
  <si>
    <t>88679</t>
  </si>
  <si>
    <t>2026년 HBM 출하량 3배 급증 예상</t>
  </si>
  <si>
    <t>88678</t>
  </si>
  <si>
    <t>108320</t>
  </si>
  <si>
    <t>LX세미콘</t>
  </si>
  <si>
    <t>길어지는 이원화 영향</t>
  </si>
  <si>
    <t>88677</t>
  </si>
  <si>
    <t>016610</t>
  </si>
  <si>
    <t>DB증권</t>
  </si>
  <si>
    <t>PIB사업 모델로 도약을 추구하는 증권사</t>
  </si>
  <si>
    <t>88676</t>
  </si>
  <si>
    <t>글로벌 고객사 확보한 PR 소재 업체</t>
  </si>
  <si>
    <t>88675</t>
  </si>
  <si>
    <t>2025-12-09</t>
  </si>
  <si>
    <t>418620</t>
  </si>
  <si>
    <t>E8</t>
  </si>
  <si>
    <t>시작된 정상화, 이제는 입증이 필요한 시점</t>
  </si>
  <si>
    <t>88674</t>
  </si>
  <si>
    <t>뚜렷한 실적 모멘텀 기대</t>
  </si>
  <si>
    <t>88673</t>
  </si>
  <si>
    <t>반도체, ESS, 로봇 커넥터 등으로 확장 중</t>
  </si>
  <si>
    <t>88672</t>
  </si>
  <si>
    <t>2026년 4년만에 증익 가능해!</t>
  </si>
  <si>
    <t>88671</t>
  </si>
  <si>
    <t>378340</t>
  </si>
  <si>
    <t>필에너지</t>
  </si>
  <si>
    <t>보릿고개, ESS와 기술력 확장이 버팀목</t>
  </si>
  <si>
    <t>88670</t>
  </si>
  <si>
    <t>내년 턴어라운드: NFC 국내 유일 강자</t>
  </si>
  <si>
    <t>88669</t>
  </si>
  <si>
    <t>시간이 지날수록 매력적인</t>
  </si>
  <si>
    <t>88668</t>
  </si>
  <si>
    <t>2026년 최선호주, 저평가, 성장 구간에 진입</t>
  </si>
  <si>
    <t>88667</t>
  </si>
  <si>
    <t>ESMO ASIA, 1차 치료제 확장 공식적 첫 언급</t>
  </si>
  <si>
    <t>88666</t>
  </si>
  <si>
    <t>3Q25 Review: 장비 사업의 본격 성장세 진입 초기</t>
  </si>
  <si>
    <t>88665</t>
  </si>
  <si>
    <t>순현금 1조원에 글래드 여의도까지, 이 시총이 맞나요?</t>
  </si>
  <si>
    <t>88664</t>
  </si>
  <si>
    <t>더 좋아진 북미 업황</t>
  </si>
  <si>
    <t>88663</t>
  </si>
  <si>
    <t>445680</t>
  </si>
  <si>
    <t>큐리옥스바이오시스템즈</t>
  </si>
  <si>
    <t>2026년이 기대되는 ‘플루토’</t>
  </si>
  <si>
    <t>88662</t>
  </si>
  <si>
    <t>273060</t>
  </si>
  <si>
    <t>와이즈버즈</t>
  </si>
  <si>
    <t>애드테크 역량을 갖춘 디지털 광고 기업</t>
  </si>
  <si>
    <t>88661</t>
  </si>
  <si>
    <t>내부적 리빌딩 진행 중</t>
  </si>
  <si>
    <t>88660</t>
  </si>
  <si>
    <t>2025-12-08</t>
  </si>
  <si>
    <t>저평가 받아왔던 명확한 이유들</t>
  </si>
  <si>
    <t>88659</t>
  </si>
  <si>
    <t>중국에 대한 기대감을 벌써 놓긴 아쉬운 상황</t>
  </si>
  <si>
    <t>88658</t>
  </si>
  <si>
    <t>독일 가처분 명령의 해석과 향후 전망</t>
  </si>
  <si>
    <t>88657</t>
  </si>
  <si>
    <t>26년 기판 호황 수혜 기대</t>
  </si>
  <si>
    <t>88656</t>
  </si>
  <si>
    <t>IT OLED 채용 확대로 Set 수요 우려 극복</t>
  </si>
  <si>
    <t>88655</t>
  </si>
  <si>
    <t>LNG 사이클의 수혜. 2026년 순이익 호조 전망</t>
  </si>
  <si>
    <t>88654</t>
  </si>
  <si>
    <t>주가 상승 랠리 지속 전망</t>
  </si>
  <si>
    <t>88653</t>
  </si>
  <si>
    <t>국내와 해외 동시 출격 대기</t>
  </si>
  <si>
    <t>88652</t>
  </si>
  <si>
    <t>또 해킹, 수혜주는 명백</t>
  </si>
  <si>
    <t>88651</t>
  </si>
  <si>
    <t>3Q25 Review: 미국, 유럽 등의 실적 성장세 지속 기대</t>
  </si>
  <si>
    <t>88650</t>
  </si>
  <si>
    <t>003720</t>
  </si>
  <si>
    <t>삼영</t>
  </si>
  <si>
    <t>탐방노트: 신(新)라인 최적화가 모든 것의 핵심</t>
  </si>
  <si>
    <t>88649</t>
  </si>
  <si>
    <t>동물실험감축과 오가노이드</t>
  </si>
  <si>
    <t>88648</t>
  </si>
  <si>
    <t>조용한 이익 성장</t>
  </si>
  <si>
    <t>88647</t>
  </si>
  <si>
    <t>AIDC 수요 증가⇒해외수주 확대로 성장성 가속화</t>
  </si>
  <si>
    <t>88646</t>
  </si>
  <si>
    <t>주차로봇으로 글로벌 중심에 서다</t>
  </si>
  <si>
    <t>88645</t>
  </si>
  <si>
    <t>SMR 등 글로벌 원전 관련 단조는 내가 한다</t>
  </si>
  <si>
    <t>88644</t>
  </si>
  <si>
    <t>443670</t>
  </si>
  <si>
    <t>에스피소프트</t>
  </si>
  <si>
    <t>중장기 성장 모멘텀 보유, 주주환원까지!</t>
  </si>
  <si>
    <t>88643</t>
  </si>
  <si>
    <t>88642</t>
  </si>
  <si>
    <t>경쟁강도의 증가</t>
  </si>
  <si>
    <t>88641</t>
  </si>
  <si>
    <t>신뢰도의 회복</t>
  </si>
  <si>
    <t>88640</t>
  </si>
  <si>
    <t>밸류에이션 부담</t>
  </si>
  <si>
    <t>88639</t>
  </si>
  <si>
    <t>MS 생태계 확산 및 자회사 인수 효과로 성장</t>
  </si>
  <si>
    <t>88638</t>
  </si>
  <si>
    <t>꾸준함이 돋보이는 카드프린터 전문기업</t>
  </si>
  <si>
    <t>88637</t>
  </si>
  <si>
    <t>484810</t>
  </si>
  <si>
    <t>티엑스알로보틱스</t>
  </si>
  <si>
    <t>검증된 물류자동화, 성장할 로봇자동화</t>
  </si>
  <si>
    <t>88636</t>
  </si>
  <si>
    <t>081150</t>
  </si>
  <si>
    <t>티플랙스</t>
  </si>
  <si>
    <t>압도적 자산가치를 가진 STS 틈새시장의 강소기업</t>
  </si>
  <si>
    <t>88635</t>
  </si>
  <si>
    <t>2025-12-05</t>
  </si>
  <si>
    <t>벌크선 시황도 좋고 재무건전성도 개선, 남은건 배당 뿐</t>
  </si>
  <si>
    <t>88634</t>
  </si>
  <si>
    <t>가상자산 2단계 입법안 최대 수혜주</t>
  </si>
  <si>
    <t>88633</t>
  </si>
  <si>
    <t>내년 기저효과 기인한 유의미한 손익 개선 전망</t>
  </si>
  <si>
    <t>88632</t>
  </si>
  <si>
    <t>036220</t>
  </si>
  <si>
    <t>오상헬스케어</t>
  </si>
  <si>
    <t>아쉬운 요인과 기대요인이 상존</t>
  </si>
  <si>
    <t>88631</t>
  </si>
  <si>
    <t>3Q25 Review: 성수기 진입으로 최대 매출 달성 전망</t>
  </si>
  <si>
    <t>88630</t>
  </si>
  <si>
    <t>RNA 치료제 시장과 함께 성장 중</t>
  </si>
  <si>
    <t>88629</t>
  </si>
  <si>
    <t>파킨슨병치료제 TED-A9 관련 주요 업데이트</t>
  </si>
  <si>
    <t>88628</t>
  </si>
  <si>
    <t>344860</t>
  </si>
  <si>
    <t>이노진</t>
  </si>
  <si>
    <t>중국 시장 진출 가시화 필요</t>
  </si>
  <si>
    <t>88627</t>
  </si>
  <si>
    <t>AI반도체 '필수 비타민' 소재기업</t>
  </si>
  <si>
    <t>88626</t>
  </si>
  <si>
    <t>관심을 모아가야 할 때</t>
  </si>
  <si>
    <t>88625</t>
  </si>
  <si>
    <t>한단계 더 성장을 위한 도약을 준비 중</t>
  </si>
  <si>
    <t>88624</t>
  </si>
  <si>
    <t>확인되는 성과, 기대되는 성장</t>
  </si>
  <si>
    <t>88623</t>
  </si>
  <si>
    <t>255440</t>
  </si>
  <si>
    <t>야스</t>
  </si>
  <si>
    <t>2026년 8.6세대 장비 수주가 필수적</t>
  </si>
  <si>
    <t>88622</t>
  </si>
  <si>
    <t>322510</t>
  </si>
  <si>
    <t>제이엘케이</t>
  </si>
  <si>
    <t>[AI] 의료 AI 기반 뇌졸중 및 암 진단 솔루션 전문기업</t>
  </si>
  <si>
    <t>88621</t>
  </si>
  <si>
    <t>[AI] ESS 및 자동차 부품 전문 기업</t>
  </si>
  <si>
    <t>88620</t>
  </si>
  <si>
    <t>066980</t>
  </si>
  <si>
    <t>한성크린텍</t>
  </si>
  <si>
    <t>[AI] 수처리 설비 EPC 및 폐기물 처리 사업 전문기업</t>
  </si>
  <si>
    <t>88619</t>
  </si>
  <si>
    <t>[AI] 이차전지 조립공정 핵심 설비 전문 기업</t>
  </si>
  <si>
    <t>88618</t>
  </si>
  <si>
    <t>290090</t>
  </si>
  <si>
    <t>트윔</t>
  </si>
  <si>
    <t>[AI] 비전 검사 기술 기반 제조업 자동화 솔루션 전문기업</t>
  </si>
  <si>
    <t>88617</t>
  </si>
  <si>
    <t>432720</t>
  </si>
  <si>
    <t>퀄리타스반도체</t>
  </si>
  <si>
    <t>[AI] 초고속 인터커넥트 IP 기술 선도 기업</t>
  </si>
  <si>
    <t>88616</t>
  </si>
  <si>
    <t>118990</t>
  </si>
  <si>
    <t>모트렉스</t>
  </si>
  <si>
    <t>[AI] 차량용 IVI제품 전문 기업</t>
  </si>
  <si>
    <t>88615</t>
  </si>
  <si>
    <t>302550</t>
  </si>
  <si>
    <t>리메드</t>
  </si>
  <si>
    <t>[AI] 비침습적 의료기기 분야의 혁신과 글로벌 시장 확장</t>
  </si>
  <si>
    <t>88614</t>
  </si>
  <si>
    <t>084650</t>
  </si>
  <si>
    <t>랩지노믹스</t>
  </si>
  <si>
    <t>[AI] 체외진단 시장 선도 기업</t>
  </si>
  <si>
    <t>88613</t>
  </si>
  <si>
    <t>032850</t>
  </si>
  <si>
    <t>비트컴퓨터</t>
  </si>
  <si>
    <t>[AI] 의료정보시스텀과 디지털헬스케어 전문 기업</t>
  </si>
  <si>
    <t>88612</t>
  </si>
  <si>
    <t>000040</t>
  </si>
  <si>
    <t>KR모터스</t>
  </si>
  <si>
    <t>한국기술신용평가(주)</t>
  </si>
  <si>
    <t>지속사업 기반을 재정비한 이륜차 전문 기업</t>
  </si>
  <si>
    <t>88611</t>
  </si>
  <si>
    <t>000230</t>
  </si>
  <si>
    <t>일동홀딩스</t>
  </si>
  <si>
    <t>글로벌 신약 상업화를 목표로 R&amp;D와 기술을 다각화하는 헬스케어 혁신 기업</t>
  </si>
  <si>
    <t>88610</t>
  </si>
  <si>
    <t>323990</t>
  </si>
  <si>
    <t>박셀바이오</t>
  </si>
  <si>
    <t>VAX-NK를 중심으로 면역세포치료제 상업화를 선도하는 바이오기업</t>
  </si>
  <si>
    <t>88609</t>
  </si>
  <si>
    <t>208640</t>
  </si>
  <si>
    <t>썸에이지</t>
  </si>
  <si>
    <t>검증된 개발 역량과 글로벌 퍼블리싱 경쟁력을 갖춘 모바일게임 전문 기업</t>
  </si>
  <si>
    <t>88608</t>
  </si>
  <si>
    <t>452200</t>
  </si>
  <si>
    <t>민테크</t>
  </si>
  <si>
    <t>배터리 검사·진단 장비 전문 기업</t>
  </si>
  <si>
    <t>88607</t>
  </si>
  <si>
    <t>239340</t>
  </si>
  <si>
    <t>이스트에이드</t>
  </si>
  <si>
    <t>AI 기술 기반 포털, 금융, 콘텐츠 혁신 플랫폼 기업</t>
  </si>
  <si>
    <t>88606</t>
  </si>
  <si>
    <t>373200</t>
  </si>
  <si>
    <t>엑스플러스</t>
  </si>
  <si>
    <t>UX/UI 디자인 역량을 바탕으로 프리미엄 모바일 액세서리 시장을 개척하는 기업</t>
  </si>
  <si>
    <t>88605</t>
  </si>
  <si>
    <t>453860</t>
  </si>
  <si>
    <t>에이에스텍</t>
  </si>
  <si>
    <t>유기 자외선 차단제 원료 개발과 생산능력 확장을 기반으로 한 종합 화장품 원료 기업</t>
  </si>
  <si>
    <t>88604</t>
  </si>
  <si>
    <t>238200</t>
  </si>
  <si>
    <t>비피도</t>
  </si>
  <si>
    <t>한국인 유래 고기능성 비피더스균 기반 마이크로바이옴 전문기업</t>
  </si>
  <si>
    <t>88603</t>
  </si>
  <si>
    <t>434480</t>
  </si>
  <si>
    <t>모니터랩</t>
  </si>
  <si>
    <t>클라우드 보안(SECaaS·SASE) 기반 기술경쟁력 및 글로벌 확장 전략</t>
  </si>
  <si>
    <t>88602</t>
  </si>
  <si>
    <t>117670</t>
  </si>
  <si>
    <t>알파칩스</t>
  </si>
  <si>
    <t>반도체 중심 체제로 재정비한 확장형 설계·팹리스 기업</t>
  </si>
  <si>
    <t>88601</t>
  </si>
  <si>
    <t>332190</t>
  </si>
  <si>
    <t>오션스바이오</t>
  </si>
  <si>
    <t>AI 기반 전자약으로 혁신을 선도하는 차세대 의료기기 기업</t>
  </si>
  <si>
    <t>88600</t>
  </si>
  <si>
    <t>403810</t>
  </si>
  <si>
    <t>아이엘커누스</t>
  </si>
  <si>
    <t>무선 센서와 IoT 제어 기술 기반 스마트 제어 솔루션 기업</t>
  </si>
  <si>
    <t>88599</t>
  </si>
  <si>
    <t>018500</t>
  </si>
  <si>
    <t>동원금속</t>
  </si>
  <si>
    <t>롤포밍 기술과 정밀 용접 기술 기반 자동차 부품 제조 기업</t>
  </si>
  <si>
    <t>88598</t>
  </si>
  <si>
    <t>013120</t>
  </si>
  <si>
    <t>동원개발</t>
  </si>
  <si>
    <t>견실한 성장세를 이어갈 안정형 중견 건설사</t>
  </si>
  <si>
    <t>88597</t>
  </si>
  <si>
    <t>179720</t>
  </si>
  <si>
    <t>머니무브</t>
  </si>
  <si>
    <t>AI 기반 신용평가 기술을 중심으로 성장해 온 온라인투자연계금융 플랫폼 기업</t>
  </si>
  <si>
    <t>88596</t>
  </si>
  <si>
    <t>260870</t>
  </si>
  <si>
    <t>SK시그넷</t>
  </si>
  <si>
    <t>초급속 충전 기술로 글로벌 전기차 인프라 혁신을 이끄는 에너지 솔루션 기업</t>
  </si>
  <si>
    <t>88595</t>
  </si>
  <si>
    <t>208890</t>
  </si>
  <si>
    <t>미래엔에듀파트너</t>
  </si>
  <si>
    <t>방과후 컴퓨터교육 기반 디지털 학습콘텐츠 전문 기업</t>
  </si>
  <si>
    <t>88594</t>
  </si>
  <si>
    <t>008350</t>
  </si>
  <si>
    <t>남선알미늄</t>
  </si>
  <si>
    <t>건축 및 자동차용 고성능 알루미늄 제품 생산기업</t>
  </si>
  <si>
    <t>88593</t>
  </si>
  <si>
    <t>002820</t>
  </si>
  <si>
    <t>SUN&amp;L</t>
  </si>
  <si>
    <t>목재 유통 및 생활용품 제조 전문기업</t>
  </si>
  <si>
    <t>88592</t>
  </si>
  <si>
    <t>006060</t>
  </si>
  <si>
    <t>화승인더</t>
  </si>
  <si>
    <t>글로벌 스포츠 ODM 및 정밀화학소재 전문기업</t>
  </si>
  <si>
    <t>88591</t>
  </si>
  <si>
    <t>002720</t>
  </si>
  <si>
    <t>국제약품</t>
  </si>
  <si>
    <t>글로벌 안과치료제·전문의약품 시장에서 기술 상용화를 선도하는 혁신 제약기업</t>
  </si>
  <si>
    <t>88590</t>
  </si>
  <si>
    <t>008870</t>
  </si>
  <si>
    <t>금비</t>
  </si>
  <si>
    <t>친환경 포장 솔루션을 제공하는 국내 대표 용기 제조기업</t>
  </si>
  <si>
    <t>88589</t>
  </si>
  <si>
    <t>011700</t>
  </si>
  <si>
    <t>한신기계</t>
  </si>
  <si>
    <t>전 기종 압축기 생산 능력과 Oil-Free 기술을 갖춘 공기압축기 선도 기업</t>
  </si>
  <si>
    <t>88588</t>
  </si>
  <si>
    <t>083470</t>
  </si>
  <si>
    <t>이엠앤아이</t>
  </si>
  <si>
    <t>AI 기반 디지털 화학·스마트 소재 플랫폼 기업</t>
  </si>
  <si>
    <t>88587</t>
  </si>
  <si>
    <t>154040</t>
  </si>
  <si>
    <t>다산솔루에타</t>
  </si>
  <si>
    <t>스마트 디바이스용 전자파 차폐·방열 소재 전문기업</t>
  </si>
  <si>
    <t>88586</t>
  </si>
  <si>
    <t>053300</t>
  </si>
  <si>
    <t>한국정보인증</t>
  </si>
  <si>
    <t>국내 최초의 인증기관으로 다양한 인증 관련 서비스 제공</t>
  </si>
  <si>
    <t>88585</t>
  </si>
  <si>
    <t>101670</t>
  </si>
  <si>
    <t>하이드로리튬</t>
  </si>
  <si>
    <t>고순도 정제 기술 기반 배터리급 리튬 소재 생산 및 다각화</t>
  </si>
  <si>
    <t>88584</t>
  </si>
  <si>
    <t>이차전지 전극공정장비와 덕트 자동화 장비 관련 기술 보유 기업</t>
  </si>
  <si>
    <t>88583</t>
  </si>
  <si>
    <t>021040</t>
  </si>
  <si>
    <t>대호특수강</t>
  </si>
  <si>
    <t>냉간가공 기반 강선 및 봉강 제조 전문기업</t>
  </si>
  <si>
    <t>88582</t>
  </si>
  <si>
    <t>062970</t>
  </si>
  <si>
    <t>한국첨단소재</t>
  </si>
  <si>
    <t>PLC 기반 광소자로 전송망·데이터센터·가입자망을 아우르는 광통신 핵심부품 공급</t>
  </si>
  <si>
    <t>88581</t>
  </si>
  <si>
    <t>045660</t>
  </si>
  <si>
    <t>에이텍</t>
  </si>
  <si>
    <t>금융자동화 전문 기업</t>
  </si>
  <si>
    <t>88580</t>
  </si>
  <si>
    <t>263920</t>
  </si>
  <si>
    <t>휴엠앤씨</t>
  </si>
  <si>
    <t>제약, 미용 유리용기 및 코스메틱 부자재 등 포장재 전문기업</t>
  </si>
  <si>
    <t>88579</t>
  </si>
  <si>
    <t>2025-12-04</t>
  </si>
  <si>
    <t>국내 주파수 재할당 대표 수혜주</t>
  </si>
  <si>
    <t>88578</t>
  </si>
  <si>
    <t>최대 실적이 보인다</t>
  </si>
  <si>
    <t>88577</t>
  </si>
  <si>
    <t>부산, 울산 공장 탐방기: 초고압 증설의 현장</t>
  </si>
  <si>
    <t>88576</t>
  </si>
  <si>
    <t>주목해야 하는 3가지 요인</t>
  </si>
  <si>
    <t>88575</t>
  </si>
  <si>
    <t>갖고있는 역량이 무기</t>
  </si>
  <si>
    <t>88574</t>
  </si>
  <si>
    <t>시장이 회사에 품는 의문 두 가지</t>
  </si>
  <si>
    <t>88573</t>
  </si>
  <si>
    <t>M&amp;A 검토 중, 전략 변화 기대</t>
  </si>
  <si>
    <t>88572</t>
  </si>
  <si>
    <t>오가노이드, 어차피 토모큐브로 간다</t>
  </si>
  <si>
    <t>88571</t>
  </si>
  <si>
    <t>콥데이 후기, 승기를 잡다</t>
  </si>
  <si>
    <t>88570</t>
  </si>
  <si>
    <t>4분기 백화점 호조로 컨센 상회 전망</t>
  </si>
  <si>
    <t>88569</t>
  </si>
  <si>
    <t>중국 향 수출이 이끄는 체질 개선과 외형 확장</t>
  </si>
  <si>
    <t>88568</t>
  </si>
  <si>
    <t>펀더멘탈 Top Pick!</t>
  </si>
  <si>
    <t>88567</t>
  </si>
  <si>
    <t>빅파마와의 파트너십을 통한 시장 공략</t>
  </si>
  <si>
    <t>88566</t>
  </si>
  <si>
    <t>2025-12-03</t>
  </si>
  <si>
    <t>11월 말 그대로 파라다이스~</t>
  </si>
  <si>
    <t>88565</t>
  </si>
  <si>
    <t>NDR 후기: 쇼티지 장기화 예상</t>
  </si>
  <si>
    <t>88564</t>
  </si>
  <si>
    <t>요리보고 조리봐도 저평가</t>
  </si>
  <si>
    <t>88563</t>
  </si>
  <si>
    <t>곧 밸류업 정책 수혜주로 부상할 것입니다</t>
  </si>
  <si>
    <t>88562</t>
  </si>
  <si>
    <t>순항중인 기업가치 제고 계획</t>
  </si>
  <si>
    <t>88561</t>
  </si>
  <si>
    <t>2025년 연간 흑자 전환 및 체질 개선 가속화</t>
  </si>
  <si>
    <t>88560</t>
  </si>
  <si>
    <t>기판, 상향 조정의 근거</t>
  </si>
  <si>
    <t>88559</t>
  </si>
  <si>
    <t>445180</t>
  </si>
  <si>
    <t>퓨릿</t>
  </si>
  <si>
    <t>반도체 케미컬 국산화의 스페셜리스트</t>
  </si>
  <si>
    <t>88558</t>
  </si>
  <si>
    <t>450950</t>
  </si>
  <si>
    <t>아스테라시스</t>
  </si>
  <si>
    <t>쿨(Cool)한 성장이 기대된다</t>
  </si>
  <si>
    <t>88557</t>
  </si>
  <si>
    <t>3Q25 Review: 인도향 대형 수주 기대</t>
  </si>
  <si>
    <t>88556</t>
  </si>
  <si>
    <t>3Q25 Review: 매출 증가세 전환 지속, 수익성 개선 중</t>
  </si>
  <si>
    <t>88555</t>
  </si>
  <si>
    <t>실적 체력 확인 + 신사업 스토리</t>
  </si>
  <si>
    <t>88554</t>
  </si>
  <si>
    <t>4분기 기대 이상, 26년 AI 주도 성장</t>
  </si>
  <si>
    <t>88553</t>
  </si>
  <si>
    <t>미국에 더해지는 신시장</t>
  </si>
  <si>
    <t>88552</t>
  </si>
  <si>
    <t>사업 영역이 확장된다</t>
  </si>
  <si>
    <t>88551</t>
  </si>
  <si>
    <t>K-팔란티어의 태동기</t>
  </si>
  <si>
    <t>88550</t>
  </si>
  <si>
    <t>묵묵히 갈 길 가는 중</t>
  </si>
  <si>
    <t>88549</t>
  </si>
  <si>
    <t>4분기 컨센 대폭 상회 전망</t>
  </si>
  <si>
    <t>88548</t>
  </si>
  <si>
    <t>88547</t>
  </si>
  <si>
    <t>The Organoid Shift: 글로벌 규제, 임상, 기술의 변곡점에 선 기업</t>
  </si>
  <si>
    <t>88546</t>
  </si>
  <si>
    <t>077500</t>
  </si>
  <si>
    <t>유니퀘스트</t>
  </si>
  <si>
    <t>차량용 반도체 시장 회복이 기대되는 반도체 유통사</t>
  </si>
  <si>
    <t>88545</t>
  </si>
  <si>
    <t>이제부터 내 기술은 모두 한 단계 진화한다</t>
  </si>
  <si>
    <t>88544</t>
  </si>
  <si>
    <t>내실을 다지고 미래를 도모하다</t>
  </si>
  <si>
    <t>88543</t>
  </si>
  <si>
    <t>2025-12-02</t>
  </si>
  <si>
    <t>고민할 필요 없는 안정감</t>
  </si>
  <si>
    <t>88542</t>
  </si>
  <si>
    <t>도파민에는 비수기가 없다</t>
  </si>
  <si>
    <t>88541</t>
  </si>
  <si>
    <t>비수기가 뭐죠?</t>
  </si>
  <si>
    <t>88540</t>
  </si>
  <si>
    <t>아무리 생각해도 참기 어려운 밸류</t>
  </si>
  <si>
    <t>88539</t>
  </si>
  <si>
    <t>유럽 공장 신설로 저변 확대 본격화</t>
  </si>
  <si>
    <t>88538</t>
  </si>
  <si>
    <t>터닝포인트 이후, 성장 국면 초입</t>
  </si>
  <si>
    <t>88537</t>
  </si>
  <si>
    <t>318060</t>
  </si>
  <si>
    <t>그래피</t>
  </si>
  <si>
    <t>독보적 기술력이 실적 개선으로 이어지는 구간</t>
  </si>
  <si>
    <t>88536</t>
  </si>
  <si>
    <t>현금이 가치를 증명할 때</t>
  </si>
  <si>
    <t>88535</t>
  </si>
  <si>
    <t>부산 및 울산 변압기 공장 투어 후기</t>
  </si>
  <si>
    <t>88534</t>
  </si>
  <si>
    <t>Next 플루빅토를 꿈꾸며</t>
  </si>
  <si>
    <t>88533</t>
  </si>
  <si>
    <t>4분기 영업이익 대폭 상향합니다</t>
  </si>
  <si>
    <t>88532</t>
  </si>
  <si>
    <t>288620</t>
  </si>
  <si>
    <t>에스퓨얼셀</t>
  </si>
  <si>
    <t>성장성에 대한 의문을 지워야 한다</t>
  </si>
  <si>
    <t>88531</t>
  </si>
  <si>
    <t>본업 경쟁력 개선을 기대</t>
  </si>
  <si>
    <t>88530</t>
  </si>
  <si>
    <t>2차전지 캔 전문기업</t>
  </si>
  <si>
    <t>88529</t>
  </si>
  <si>
    <t>2025-12-01</t>
  </si>
  <si>
    <t>100790</t>
  </si>
  <si>
    <t>미래에셋벤처투자</t>
  </si>
  <si>
    <t>코스닥 활성화 방안 가시화 되면 최대 수혜 가능할 듯</t>
  </si>
  <si>
    <t>88528</t>
  </si>
  <si>
    <t>성장성과 실적을 겸비한 코스닥 로봇업체 기수</t>
  </si>
  <si>
    <t>88527</t>
  </si>
  <si>
    <t>인도 공장 탐방 後記: 제품 다양화 및 고객 다변화에 긍정적</t>
  </si>
  <si>
    <t>88526</t>
  </si>
  <si>
    <t>NDR후기: 내년부터 두 배로 잘할게</t>
  </si>
  <si>
    <t>88525</t>
  </si>
  <si>
    <t>P4 라인 전환 수혜, 실적 전망치 상향</t>
  </si>
  <si>
    <t>88524</t>
  </si>
  <si>
    <t>136410</t>
  </si>
  <si>
    <t>아셈스</t>
  </si>
  <si>
    <t>독보적인 친환경 기술과 수익성으로 글로벌 밸류체인 내 슈퍼 을(乙)로 부상한 핫멜트 접착제 강소기업</t>
  </si>
  <si>
    <t>88523</t>
  </si>
  <si>
    <t>전략을 되돌아 볼 때</t>
  </si>
  <si>
    <t>88522</t>
  </si>
  <si>
    <t>3Q25 Review: 4 분기 실적 호조와 배당 매력</t>
  </si>
  <si>
    <t>88521</t>
  </si>
  <si>
    <t>3Q25 Update</t>
  </si>
  <si>
    <t>88520</t>
  </si>
  <si>
    <t>제일 어두운 구간은 통과</t>
  </si>
  <si>
    <t>88519</t>
  </si>
  <si>
    <t>돋보이는 고객사 경쟁력</t>
  </si>
  <si>
    <t>88518</t>
  </si>
  <si>
    <t>ESL 성장 지속, 신뢰 회복이 중요</t>
  </si>
  <si>
    <t>88517</t>
  </si>
  <si>
    <t>2025-11-28</t>
  </si>
  <si>
    <t>수출 모멘텀에 대한 갈증 해소 기대</t>
  </si>
  <si>
    <t>88516</t>
  </si>
  <si>
    <t>관세는 단기, 성장은 장기</t>
  </si>
  <si>
    <t>88515</t>
  </si>
  <si>
    <t>017800</t>
  </si>
  <si>
    <t>현대엘리베이터</t>
  </si>
  <si>
    <t>대규모 배당 지속될 전망</t>
  </si>
  <si>
    <t>88514</t>
  </si>
  <si>
    <t>88513</t>
  </si>
  <si>
    <t>4분기 실적 기대</t>
  </si>
  <si>
    <t>88512</t>
  </si>
  <si>
    <t>중국의 반등이 필요</t>
  </si>
  <si>
    <t>88511</t>
  </si>
  <si>
    <t>안정화된 실적</t>
  </si>
  <si>
    <t>88510</t>
  </si>
  <si>
    <t>결국 부각될 글로벌 유일의 Specialty</t>
  </si>
  <si>
    <t>88509</t>
  </si>
  <si>
    <t>대한민국 수익성 1등 조선사</t>
  </si>
  <si>
    <t>88508</t>
  </si>
  <si>
    <t>본격 증익구간 진입</t>
  </si>
  <si>
    <t>88507</t>
  </si>
  <si>
    <t>두나무 합병, 선명해진 꿈의 크기</t>
  </si>
  <si>
    <t>88506</t>
  </si>
  <si>
    <t>004490</t>
  </si>
  <si>
    <t>세방전지</t>
  </si>
  <si>
    <t>기업가치 제고 계획의 발표</t>
  </si>
  <si>
    <t>88505</t>
  </si>
  <si>
    <t>실적 추정치 상향 조정</t>
  </si>
  <si>
    <t>88504</t>
  </si>
  <si>
    <t>다수의 신제품 매출 발생 시작!</t>
  </si>
  <si>
    <t>88503</t>
  </si>
  <si>
    <t>AI 시대, 열을 지배하는 국내 유일 기업</t>
  </si>
  <si>
    <t>88502</t>
  </si>
  <si>
    <t>Grabody-B, 가치 상승과 확장</t>
  </si>
  <si>
    <t>88501</t>
  </si>
  <si>
    <t>높아지는 미국 매출, SUV 판매 호조 수혜</t>
  </si>
  <si>
    <t>88500</t>
  </si>
  <si>
    <t>성장우려에도 실적은 계속 성장 중</t>
  </si>
  <si>
    <t>88499</t>
  </si>
  <si>
    <t>R&amp;D Day 후기: 두번째 도약을 준비 중</t>
  </si>
  <si>
    <t>88498</t>
  </si>
  <si>
    <t>종합 핀테크 플랫폼의 탄생</t>
  </si>
  <si>
    <t>88497</t>
  </si>
  <si>
    <t>주어진 상황에 최선을 다하다 보면</t>
  </si>
  <si>
    <t>88496</t>
  </si>
  <si>
    <t>턴어라운드 가능성 점검</t>
  </si>
  <si>
    <t>88495</t>
  </si>
  <si>
    <t>겨울의 강자, 26년 수익성 개선에 주목</t>
  </si>
  <si>
    <t>88494</t>
  </si>
  <si>
    <t>수익성 개선에 주목, 이제는 봐야 할 때</t>
  </si>
  <si>
    <t>88493</t>
  </si>
  <si>
    <t>차별받을 이유는 없다</t>
  </si>
  <si>
    <t>88492</t>
  </si>
  <si>
    <t>중고차 시장, 신뢰 업고 성장 지속</t>
  </si>
  <si>
    <t>88491</t>
  </si>
  <si>
    <t>AI 경쟁력이 요구</t>
  </si>
  <si>
    <t>88490</t>
  </si>
  <si>
    <t>기존작이 밀고, 신작이 당기고</t>
  </si>
  <si>
    <t>88489</t>
  </si>
  <si>
    <t>450520</t>
  </si>
  <si>
    <t>인스웨이브</t>
  </si>
  <si>
    <t>금융권 고객의 디지털 전환을 돕는 소프트웨어 강소기업</t>
  </si>
  <si>
    <t>88488</t>
  </si>
  <si>
    <t>496320</t>
  </si>
  <si>
    <t>본시스템즈</t>
  </si>
  <si>
    <t>사이클로이드 기반 정밀 구동기술을 중심으로 성장한 차세대 로봇 제조기업</t>
  </si>
  <si>
    <t>88487</t>
  </si>
  <si>
    <t>343090</t>
  </si>
  <si>
    <t>HLB사이언스</t>
  </si>
  <si>
    <t>감염성·신경퇴행 질환 극복을 위한 혁신적 기전연구 기반의 신약개발 기업</t>
  </si>
  <si>
    <t>88486</t>
  </si>
  <si>
    <t>반세기 동안 축적된 전문기술과 노하우 기반의 배합사료·펫푸드 전문기업</t>
  </si>
  <si>
    <t>88485</t>
  </si>
  <si>
    <t>153490</t>
  </si>
  <si>
    <t>우리이앤엘</t>
  </si>
  <si>
    <t>LED에서 바이오·헬스케어로의 확장</t>
  </si>
  <si>
    <t>88484</t>
  </si>
  <si>
    <t>078070</t>
  </si>
  <si>
    <t>유비쿼스홀딩스</t>
  </si>
  <si>
    <t xml:space="preserve">지주회사에서 기술 투자 전문 플랫폼으로 변신중인 기업 </t>
  </si>
  <si>
    <t>88483</t>
  </si>
  <si>
    <t>057680</t>
  </si>
  <si>
    <t>티사이언티픽</t>
  </si>
  <si>
    <t>모바일 커머스, 정보보호 및 보안 등 IT 토털 서비스를 제공하는 기업</t>
  </si>
  <si>
    <t>88482</t>
  </si>
  <si>
    <t>258790</t>
  </si>
  <si>
    <t>소프트캠프</t>
  </si>
  <si>
    <t>차세대 보안 패러다임으로 성공적인 피봇을 실행하고 있는 기술 전문 기업</t>
  </si>
  <si>
    <t>88481</t>
  </si>
  <si>
    <t>105550</t>
  </si>
  <si>
    <t>엣지파운드리</t>
  </si>
  <si>
    <t>적외선 센서 및 고성능 열영상 솔루션 전문기업</t>
  </si>
  <si>
    <t>88480</t>
  </si>
  <si>
    <t>060540</t>
  </si>
  <si>
    <t>에스에이티</t>
  </si>
  <si>
    <t>ITS 장비·모바일 부품 제조 역량을 보유한 교통·전자 전문기업</t>
  </si>
  <si>
    <t>88479</t>
  </si>
  <si>
    <t>바이오소재 기술 기반의 차세대 화장품 원료 전문기업</t>
  </si>
  <si>
    <t>88478</t>
  </si>
  <si>
    <t>082850</t>
  </si>
  <si>
    <t>우리바이오</t>
  </si>
  <si>
    <t>LED 기반 전자부품과 건강기능식품 제조 전문기업</t>
  </si>
  <si>
    <t>88477</t>
  </si>
  <si>
    <t>331380</t>
  </si>
  <si>
    <t>포커스에이아이</t>
  </si>
  <si>
    <t>지능형 영상 보안 및 AI 솔루션 기반 융합 보안 솔루션 기업</t>
  </si>
  <si>
    <t>88476</t>
  </si>
  <si>
    <t>소버린 AI 구현을 위한 클라우드·AI 서비스 기업</t>
  </si>
  <si>
    <t>88475</t>
  </si>
  <si>
    <t>130740</t>
  </si>
  <si>
    <t>티피씨글로벌</t>
  </si>
  <si>
    <t>자동차 부품용 대표 정밀강관 제조업체</t>
  </si>
  <si>
    <t>88474</t>
  </si>
  <si>
    <t>유무선 통신 장비 제조 경쟁력</t>
  </si>
  <si>
    <t>88473</t>
  </si>
  <si>
    <t>250060</t>
  </si>
  <si>
    <t>모비스</t>
  </si>
  <si>
    <t>거대과학 인프라 제어장비 및 AI 스마트팩토리 솔루션 개발 전문기업</t>
  </si>
  <si>
    <t>88472</t>
  </si>
  <si>
    <t>153460</t>
  </si>
  <si>
    <t>네이블</t>
  </si>
  <si>
    <t>차세대 통신·네트워크 인프라 및 지능형 서비스 솔루션 개발·공급 전문기업</t>
  </si>
  <si>
    <t>88471</t>
  </si>
  <si>
    <t>198080</t>
  </si>
  <si>
    <t>캐프</t>
  </si>
  <si>
    <t>스마트폰용 FPCA 및 자동차용 와이퍼 블레이드 전문 제조기업</t>
  </si>
  <si>
    <t>88470</t>
  </si>
  <si>
    <t>109080</t>
  </si>
  <si>
    <t>옵티시스</t>
  </si>
  <si>
    <t>디지털 광링크 전문 제조기업</t>
  </si>
  <si>
    <t>88469</t>
  </si>
  <si>
    <t>168330</t>
  </si>
  <si>
    <t>내츄럴엔도텍</t>
  </si>
  <si>
    <t>바이오 기술과 천연 성분 기반 기능성 원료 개발 및 제조 기업</t>
  </si>
  <si>
    <t>88468</t>
  </si>
  <si>
    <t>215100</t>
  </si>
  <si>
    <t>로보로보</t>
  </si>
  <si>
    <t>연령·레벨 특화 로봇교육 라인업과 글로벌 파트너십을 통한 에듀테크 경쟁력 강화</t>
  </si>
  <si>
    <t>88467</t>
  </si>
  <si>
    <t>011320</t>
  </si>
  <si>
    <t>유니크</t>
  </si>
  <si>
    <t>정밀 유압·솔레노이드 제어기술 기반의 파워트레인 핵심부품 전문기업</t>
  </si>
  <si>
    <t>88466</t>
  </si>
  <si>
    <t>011080</t>
  </si>
  <si>
    <t>형지I&amp;C</t>
  </si>
  <si>
    <t>브랜드 경쟁력과 시장 감각을 바탕으로 지속적인 성장을 추구하는 토털패션 전문기업</t>
  </si>
  <si>
    <t>88465</t>
  </si>
  <si>
    <t>041520</t>
  </si>
  <si>
    <t>이엘씨</t>
  </si>
  <si>
    <t>반도체 후공정 기술 전환기를 맞은 정밀 제어기업의 성장 전략</t>
  </si>
  <si>
    <t>88464</t>
  </si>
  <si>
    <t>004430</t>
  </si>
  <si>
    <t>송원산업</t>
  </si>
  <si>
    <t>정밀합성 기반 화학소재 전문기업</t>
  </si>
  <si>
    <t>88463</t>
  </si>
  <si>
    <t>010580</t>
  </si>
  <si>
    <t>에스엠벡셀</t>
  </si>
  <si>
    <t>60년 전통의 자동차부품 및 전지 전문 제조기업</t>
  </si>
  <si>
    <t>88462</t>
  </si>
  <si>
    <t>003830</t>
  </si>
  <si>
    <t>대한화섬</t>
  </si>
  <si>
    <t xml:space="preserve">일반 폴리에스터부터 고기능성 원사까지 제조 가능한 폴리에스터 원사 전문 생산기업 </t>
  </si>
  <si>
    <t>88461</t>
  </si>
  <si>
    <t>001380</t>
  </si>
  <si>
    <t>SG글로벌</t>
  </si>
  <si>
    <t>수직계열화 생산체계를 보유한 자동차 시트 전문 제조기업</t>
  </si>
  <si>
    <t>88460</t>
  </si>
  <si>
    <t>005870</t>
  </si>
  <si>
    <t>휴니드</t>
  </si>
  <si>
    <t>항공전자와 방산 통신 기술 융합으로 글로벌 시장경쟁력을 갖춘 미래형 방위산업 기업</t>
  </si>
  <si>
    <t>88459</t>
  </si>
  <si>
    <t>013570</t>
  </si>
  <si>
    <t>디와이</t>
  </si>
  <si>
    <t>산업기계, 전장, 유압기기를 아우르는 종합 제조 지주기업</t>
  </si>
  <si>
    <t>88458</t>
  </si>
  <si>
    <t>009680</t>
  </si>
  <si>
    <t>모토닉</t>
  </si>
  <si>
    <t>연료시스템·파워트레인·전장 제어부품을 공급하는 자동차 부품 전문기업</t>
  </si>
  <si>
    <t>88457</t>
  </si>
  <si>
    <t>279060</t>
  </si>
  <si>
    <t>이노벡스</t>
  </si>
  <si>
    <t>2차전지 활성화·싸이클러 등 배터리 시험장비와 TAS·WINGTV 디스플레이 솔루션 제공</t>
  </si>
  <si>
    <t>88456</t>
  </si>
  <si>
    <t>2025-11-27</t>
  </si>
  <si>
    <t>백화점 대호황. 고가 브랜드 반등 본격화</t>
  </si>
  <si>
    <t>88455</t>
  </si>
  <si>
    <t>2026년 북중미 월드컵, 오더 턴어라운드 가시화</t>
  </si>
  <si>
    <t>88454</t>
  </si>
  <si>
    <t>외형 회복과 마진 동반 개선 구간으로</t>
  </si>
  <si>
    <t>88453</t>
  </si>
  <si>
    <t>실적 우상향과 주주환원의 하모니</t>
  </si>
  <si>
    <t>88452</t>
  </si>
  <si>
    <t>유럽 램프업 레버리지 기대</t>
  </si>
  <si>
    <t>88451</t>
  </si>
  <si>
    <t>K-원전 생태계 확산에 따른 전방위적 수혜</t>
  </si>
  <si>
    <t>88450</t>
  </si>
  <si>
    <t>실적 성장으로 이어질 CAPA 증가</t>
  </si>
  <si>
    <t>88449</t>
  </si>
  <si>
    <t>12월 전략 - 4Q DPS도 감소할 가능성이 높습니다</t>
  </si>
  <si>
    <t>88448</t>
  </si>
  <si>
    <t>12월 전략 - 아직 가격 메리트가 없어 보입니다</t>
  </si>
  <si>
    <t>88447</t>
  </si>
  <si>
    <t>12월 전략 - 이젠 분할 매수 들어가세요</t>
  </si>
  <si>
    <t>88446</t>
  </si>
  <si>
    <t>사업재편계획 제출 관련 코멘트</t>
  </si>
  <si>
    <t>88445</t>
  </si>
  <si>
    <t>원전확대 정책으로 매출회복 전망</t>
  </si>
  <si>
    <t>88444</t>
  </si>
  <si>
    <t>원전과 가스터빈을 동시에</t>
  </si>
  <si>
    <t>88443</t>
  </si>
  <si>
    <t>연료전지가 주목받는 이유</t>
  </si>
  <si>
    <t>88442</t>
  </si>
  <si>
    <t>숨겨진 반도체 소부장 + 유리기판 저평가주</t>
  </si>
  <si>
    <t>88441</t>
  </si>
  <si>
    <t>종합전선 기업으로 진화 중</t>
  </si>
  <si>
    <t>88440</t>
  </si>
  <si>
    <t>클라우드/AI 비중 60%, 수익성 개선 지속 전망</t>
  </si>
  <si>
    <t>88439</t>
  </si>
  <si>
    <t>늘어나는 모멘텀</t>
  </si>
  <si>
    <t>88438</t>
  </si>
  <si>
    <t>NDR 후기: 내년 기대감이 큰 이유</t>
  </si>
  <si>
    <t>88437</t>
  </si>
  <si>
    <t>NDR 후기 : 1회성 실적에 대한 우려는 그만</t>
  </si>
  <si>
    <t>88436</t>
  </si>
  <si>
    <t>2025-11-26</t>
  </si>
  <si>
    <t>회복 시그널 가시화되는 중</t>
  </si>
  <si>
    <t>88435</t>
  </si>
  <si>
    <t>알맞은 시점과 분명한 상승여력</t>
  </si>
  <si>
    <t>88434</t>
  </si>
  <si>
    <t>Beyond Drama, 예능과 엔터까지 커버리지 확대</t>
  </si>
  <si>
    <t>88433</t>
  </si>
  <si>
    <t>실적도 수주도 바닥은 지났다</t>
  </si>
  <si>
    <t>88432</t>
  </si>
  <si>
    <t>Beyond Movies, 콘텐츠 플랫폼 사업자로 도약</t>
  </si>
  <si>
    <t>88431</t>
  </si>
  <si>
    <t>계열사 지배력 강화와 사업구조 재편 완료</t>
  </si>
  <si>
    <t>88430</t>
  </si>
  <si>
    <t>내러티브 &amp; 넘버스</t>
  </si>
  <si>
    <t>88429</t>
  </si>
  <si>
    <t>안정적 이익 추세 지속</t>
  </si>
  <si>
    <t>88428</t>
  </si>
  <si>
    <t>4분기 흑전, 올해 연간 흑자 기록 예상됩니다</t>
  </si>
  <si>
    <t>88427</t>
  </si>
  <si>
    <t>4Q25 예상 영업이익 293억원</t>
  </si>
  <si>
    <t>88426</t>
  </si>
  <si>
    <t>317870</t>
  </si>
  <si>
    <t>엔바이오니아</t>
  </si>
  <si>
    <t>창사 이래 최대 터닝포인트</t>
  </si>
  <si>
    <t>88425</t>
  </si>
  <si>
    <t>밸류에이션 매력도 존재</t>
  </si>
  <si>
    <t>88424</t>
  </si>
  <si>
    <t>지급수수료율 급감 기대</t>
  </si>
  <si>
    <t>88423</t>
  </si>
  <si>
    <t>개발사도 앱 수수료 인하 수혜 전망</t>
  </si>
  <si>
    <t>88422</t>
  </si>
  <si>
    <t>보법이 다른 PF보증 전략</t>
  </si>
  <si>
    <t>88421</t>
  </si>
  <si>
    <t>88420</t>
  </si>
  <si>
    <t>높아지는 이익, 확장되는 신약</t>
  </si>
  <si>
    <t>88419</t>
  </si>
  <si>
    <t>303360</t>
  </si>
  <si>
    <t>프로티아</t>
  </si>
  <si>
    <t>이전과는 다른 모습을 보여줄 시간</t>
  </si>
  <si>
    <t>88418</t>
  </si>
  <si>
    <t>281820</t>
  </si>
  <si>
    <t>케이씨텍</t>
  </si>
  <si>
    <t>DRAM 투자 수혜</t>
  </si>
  <si>
    <t>88417</t>
  </si>
  <si>
    <t>007720</t>
  </si>
  <si>
    <t>소노스퀘어</t>
  </si>
  <si>
    <t>대명소노그룹의 MRO 사업 영위하는 회사</t>
  </si>
  <si>
    <t>88416</t>
  </si>
  <si>
    <t>025560</t>
  </si>
  <si>
    <t>미래산업</t>
  </si>
  <si>
    <t>이제는 실적으로 신뢰 회복할 때</t>
  </si>
  <si>
    <t>88415</t>
  </si>
  <si>
    <t>2025-11-25</t>
  </si>
  <si>
    <t>ON Exia 편입에 따른 기술 &amp; 솔루션 확장 기대</t>
  </si>
  <si>
    <t>88414</t>
  </si>
  <si>
    <t>26년 개선 가능성은 주가에 언제 반영될까?</t>
  </si>
  <si>
    <t>88413</t>
  </si>
  <si>
    <t>인니 현지 팜 기업 인수로 밸류체인 강화</t>
  </si>
  <si>
    <t>88412</t>
  </si>
  <si>
    <t>분할 끝, 리레이팅 시작</t>
  </si>
  <si>
    <t>88411</t>
  </si>
  <si>
    <t>가파른 실적 성장 흐름 지속</t>
  </si>
  <si>
    <t>88410</t>
  </si>
  <si>
    <t>팜 회사 인수로 더 견고해질 공수 밸런스</t>
  </si>
  <si>
    <t>88409</t>
  </si>
  <si>
    <t>소외된 글로벌 1위, 다시 관심을</t>
  </si>
  <si>
    <t>88408</t>
  </si>
  <si>
    <t>024720</t>
  </si>
  <si>
    <t>콜마홀딩스</t>
  </si>
  <si>
    <t>그룹사의 실적개선 및 배당확대, 그 모두를 누리다</t>
  </si>
  <si>
    <t>88407</t>
  </si>
  <si>
    <t>079940</t>
  </si>
  <si>
    <t>가비아</t>
  </si>
  <si>
    <t>AI·클라우드·IDC 기반의 SME 디지털 인프라 플랫폼 기업</t>
  </si>
  <si>
    <t>88406</t>
  </si>
  <si>
    <t>2025-11-24</t>
  </si>
  <si>
    <t>적정 기업가치 106조원</t>
  </si>
  <si>
    <t>88405</t>
  </si>
  <si>
    <t>NDR 후기: 내년 5월이 승부처</t>
  </si>
  <si>
    <t>88404</t>
  </si>
  <si>
    <t>보릿고개를 지나는 중</t>
  </si>
  <si>
    <t>88403</t>
  </si>
  <si>
    <t>Corporate Day 후기: 브라질 고민은 이제 끝</t>
  </si>
  <si>
    <t>88402</t>
  </si>
  <si>
    <t>Corporate Day 후기: 리투오 성장 극대화 전망</t>
  </si>
  <si>
    <t>88401</t>
  </si>
  <si>
    <t>Corporate Day 후기: 운이 트이는 시기다</t>
  </si>
  <si>
    <t>88400</t>
  </si>
  <si>
    <t>Corporate Day 후기: 뚜렷한 성장 발판, 미국</t>
  </si>
  <si>
    <t>88399</t>
  </si>
  <si>
    <t>Corporate Day 후기: 단기 고통, 중장기 수확</t>
  </si>
  <si>
    <t>88398</t>
  </si>
  <si>
    <t>한일령 반사수혜 기대</t>
  </si>
  <si>
    <t>88397</t>
  </si>
  <si>
    <t>2026년: MLCC 쇼티지 시나리오</t>
  </si>
  <si>
    <t>88396</t>
  </si>
  <si>
    <t>2026년: 루빈향 공급 전환으로 가동률 급반등</t>
  </si>
  <si>
    <t>88395</t>
  </si>
  <si>
    <t>2026년: ①적층기술, ②네트워크, ③단가인상</t>
  </si>
  <si>
    <t>88394</t>
  </si>
  <si>
    <t>대규모 추론 시대의 수혜주</t>
  </si>
  <si>
    <t>88393</t>
  </si>
  <si>
    <t>3Q25 NDR 후기 - 이겨낼 오해와 편견</t>
  </si>
  <si>
    <t>88392</t>
  </si>
  <si>
    <t>108490</t>
  </si>
  <si>
    <t>로보티즈</t>
  </si>
  <si>
    <t>대전환의 시대</t>
  </si>
  <si>
    <t>88391</t>
  </si>
  <si>
    <t>멀리 보고 버틸 때</t>
  </si>
  <si>
    <t>88390</t>
  </si>
  <si>
    <t>2026년은 매출 1,000억원 시대로 간다</t>
  </si>
  <si>
    <t>88389</t>
  </si>
  <si>
    <t>3Q25 Review: 베트남 공장 이상 無</t>
  </si>
  <si>
    <t>88388</t>
  </si>
  <si>
    <t>하이브리드 성장의 답답함이 뚫린다</t>
  </si>
  <si>
    <t>88387</t>
  </si>
  <si>
    <t>NDR후기: 미국 시장 성장 전략</t>
  </si>
  <si>
    <t>88386</t>
  </si>
  <si>
    <t>미국시장 MS 사상 최고치 돌파! 다음은 주가 차례</t>
  </si>
  <si>
    <t>88385</t>
  </si>
  <si>
    <t>NDR 후기: 기대되는 4분기, 더 기대되는 내년</t>
  </si>
  <si>
    <t>88384</t>
  </si>
  <si>
    <t>영업 흑자 가능한 온라인 유통 기업</t>
  </si>
  <si>
    <t>88383</t>
  </si>
  <si>
    <t>다각도로 확장하는 영유아식 전문 기업</t>
  </si>
  <si>
    <t>88382</t>
  </si>
  <si>
    <t>기술이 체급을 바꾼다, AI 기반 초고성장 잠재력 기대</t>
  </si>
  <si>
    <t>88381</t>
  </si>
  <si>
    <t>2025-11-21</t>
  </si>
  <si>
    <t>26년 전방 투자 확대 수혜 기대</t>
  </si>
  <si>
    <t>88380</t>
  </si>
  <si>
    <t>지수 랠리 탄력이 둔화되면 빛이나는 종목</t>
  </si>
  <si>
    <t>88379</t>
  </si>
  <si>
    <t>메모리 모듈 신사업 기반의 성장</t>
  </si>
  <si>
    <t>88378</t>
  </si>
  <si>
    <t>돌아온 이익 체력</t>
  </si>
  <si>
    <t>88377</t>
  </si>
  <si>
    <t>결국 관건은 주주환원</t>
  </si>
  <si>
    <t>88376</t>
  </si>
  <si>
    <t>[NDR 후기] 3분기 호실적은 예고편일 뿐</t>
  </si>
  <si>
    <t>88375</t>
  </si>
  <si>
    <t>2나노 그거 아무나 하는거 아닙니다</t>
  </si>
  <si>
    <t>88374</t>
  </si>
  <si>
    <t>단점들이 해소되고 있다!</t>
  </si>
  <si>
    <t>88373</t>
  </si>
  <si>
    <t>거래대금 상승 수혜 전망</t>
  </si>
  <si>
    <t>88372</t>
  </si>
  <si>
    <t>시장 성장률 그 이상</t>
  </si>
  <si>
    <t>88371</t>
  </si>
  <si>
    <t>고객사, 환율까지 완벽한 조합</t>
  </si>
  <si>
    <t>88370</t>
  </si>
  <si>
    <t>실적 급증 구간 진입</t>
  </si>
  <si>
    <t>88369</t>
  </si>
  <si>
    <t>P 인상 가능성 부각되나 Q 불확실성 존재</t>
  </si>
  <si>
    <t>88368</t>
  </si>
  <si>
    <t>이젠 next IP를 봐야할 때</t>
  </si>
  <si>
    <t>88367</t>
  </si>
  <si>
    <t>배당정책을 넘어선 주주환원</t>
  </si>
  <si>
    <t>88366</t>
  </si>
  <si>
    <t>3Q25 Review: 수익성 반등 분기점</t>
  </si>
  <si>
    <t>88365</t>
  </si>
  <si>
    <t>에이치이엠파마</t>
  </si>
  <si>
    <t>장내 생태계에서 글로벌 생태계로 진화, From Gut to Global</t>
  </si>
  <si>
    <t>88364</t>
  </si>
  <si>
    <t>일시적 적자 속에 보이는 내년 성장의 실루엣</t>
  </si>
  <si>
    <t>88363</t>
  </si>
  <si>
    <t>424960</t>
  </si>
  <si>
    <t>스마트레이더시스템</t>
  </si>
  <si>
    <t>[AI] 4D 이미징 레이다 제조 기업</t>
  </si>
  <si>
    <t>88362</t>
  </si>
  <si>
    <t>102370</t>
  </si>
  <si>
    <t>케이옥션</t>
  </si>
  <si>
    <t>[AI] 미술품 경매 시장의 선두주자</t>
  </si>
  <si>
    <t>88361</t>
  </si>
  <si>
    <t>086980</t>
  </si>
  <si>
    <t>쇼박스</t>
  </si>
  <si>
    <t>[AI] 영화 및 드라마 콘텐츠 제작 전문 기업</t>
  </si>
  <si>
    <t>88360</t>
  </si>
  <si>
    <t>217270</t>
  </si>
  <si>
    <t>넵튠</t>
  </si>
  <si>
    <t>[AI] 게임과 Ad-Tech 시너지를 통한 성장 동력 확보</t>
  </si>
  <si>
    <t>88359</t>
  </si>
  <si>
    <t>[AI] AI 기반 의료영상 분석 솔루션 전문 기업</t>
  </si>
  <si>
    <t>88358</t>
  </si>
  <si>
    <t>094970</t>
  </si>
  <si>
    <t>제이엠티</t>
  </si>
  <si>
    <t>전자부품·소비재·모빌리티를 아우르는 글로벌 종합제조기업</t>
  </si>
  <si>
    <t>88357</t>
  </si>
  <si>
    <t>217880</t>
  </si>
  <si>
    <t>틸론</t>
  </si>
  <si>
    <t>VDI 및 DaaS의 선도 주자로 클라우드 인프라 산업의 성장과 함께 성장 전망</t>
  </si>
  <si>
    <t>88356</t>
  </si>
  <si>
    <t>176590</t>
  </si>
  <si>
    <t>코나솔</t>
  </si>
  <si>
    <t>고강도 금속복합소재 기술 기반 반도체·에너지 분야로 확장 중</t>
  </si>
  <si>
    <t>88355</t>
  </si>
  <si>
    <t>318660</t>
  </si>
  <si>
    <t>타임기술</t>
  </si>
  <si>
    <t>AI 기반 방산 디지털 통합지원(IPS) 및 기술번역 전문기업</t>
  </si>
  <si>
    <t>88354</t>
  </si>
  <si>
    <t>447690</t>
  </si>
  <si>
    <t>아이오바이오</t>
  </si>
  <si>
    <t>정량 생체형광기반 지능형 진단검사 생태계(QBLISS)를 제공하는 구강 헬스케어 기업</t>
  </si>
  <si>
    <t>88353</t>
  </si>
  <si>
    <t>2025-11-20</t>
  </si>
  <si>
    <t>분양과 함께 성장할 운영 실적</t>
  </si>
  <si>
    <t>88352</t>
  </si>
  <si>
    <t>완전 열린 성장</t>
  </si>
  <si>
    <t>88351</t>
  </si>
  <si>
    <t>제대로 믿는 구석</t>
  </si>
  <si>
    <t>88350</t>
  </si>
  <si>
    <t>NDR 후기: 추가 증설이 야기할 Level Up</t>
  </si>
  <si>
    <t>88349</t>
  </si>
  <si>
    <t>중국 공장 증설 관련 코멘트</t>
  </si>
  <si>
    <t>88348</t>
  </si>
  <si>
    <t>예정된 턴어라운드</t>
  </si>
  <si>
    <t>88347</t>
  </si>
  <si>
    <t>3Q Review이제는 :성장의 시간</t>
  </si>
  <si>
    <t>88346</t>
  </si>
  <si>
    <t>[NDR 후기] 한일령, 상법개정안 수혜 기대</t>
  </si>
  <si>
    <t>88345</t>
  </si>
  <si>
    <t>주가 고점 오려면 아직 멀었습니다</t>
  </si>
  <si>
    <t>88344</t>
  </si>
  <si>
    <t>엑스코프리 처방량 가이던스 상단 달성 전망</t>
  </si>
  <si>
    <t>88343</t>
  </si>
  <si>
    <t>유럽 시판 허가까지 획득, 연내 추가 L/O도 기대</t>
  </si>
  <si>
    <t>88342</t>
  </si>
  <si>
    <t>두가지 공시의 함의: 축복에 끝이 없네</t>
  </si>
  <si>
    <t>88341</t>
  </si>
  <si>
    <t>아직은 안개 속</t>
  </si>
  <si>
    <t>88340</t>
  </si>
  <si>
    <t>미국 ESS 시장 확대 수혜주</t>
  </si>
  <si>
    <t>88339</t>
  </si>
  <si>
    <t>3Q25 Review: 백신 출시 효과 기대</t>
  </si>
  <si>
    <t>88338</t>
  </si>
  <si>
    <t>3Q25 Review: 성장세 지속 vs. 저평가</t>
  </si>
  <si>
    <t>88337</t>
  </si>
  <si>
    <t>국내 기업 최초, 미국 내 산업단지 개발!</t>
  </si>
  <si>
    <t>88336</t>
  </si>
  <si>
    <t>본업 이상 無, 밸류에이션 매력에 주목</t>
  </si>
  <si>
    <t>88335</t>
  </si>
  <si>
    <t>주가 밸류에이션은 매력적인 수준</t>
  </si>
  <si>
    <t>88334</t>
  </si>
  <si>
    <t>반도체 설비투자 회복은 인프라 기업의 기회</t>
  </si>
  <si>
    <t>88333</t>
  </si>
  <si>
    <t>459510</t>
  </si>
  <si>
    <t>나우로보틱스</t>
  </si>
  <si>
    <t>산업용 로봇에 강점이 있는 로봇 분야 새내기</t>
  </si>
  <si>
    <t>88332</t>
  </si>
  <si>
    <t>이익 Level Up 증명!</t>
  </si>
  <si>
    <t>88331</t>
  </si>
  <si>
    <t>2025-11-19</t>
  </si>
  <si>
    <t>관세 영향 본격화에 따른 어닝 쇼크 기록</t>
  </si>
  <si>
    <t>88330</t>
  </si>
  <si>
    <t>배당수익률 5% 내외의 기댓값은 적정</t>
  </si>
  <si>
    <t>88329</t>
  </si>
  <si>
    <t>4Q25 Preview 영업이익 추정치 상향</t>
  </si>
  <si>
    <t>88328</t>
  </si>
  <si>
    <t>005710</t>
  </si>
  <si>
    <t>대원산업</t>
  </si>
  <si>
    <t>P/E 2배 중반의 현저한 저평가</t>
  </si>
  <si>
    <t>88327</t>
  </si>
  <si>
    <t>구조적 마진 개선 본격화</t>
  </si>
  <si>
    <t>88326</t>
  </si>
  <si>
    <t>말하지 않아도 알아요~</t>
  </si>
  <si>
    <t>88325</t>
  </si>
  <si>
    <t>체질 개선은 진행, 모멘텀은 자금 활용</t>
  </si>
  <si>
    <t>88324</t>
  </si>
  <si>
    <t>숨은 고배당주</t>
  </si>
  <si>
    <t>88323</t>
  </si>
  <si>
    <t>기판, 사실상 완판</t>
  </si>
  <si>
    <t>88322</t>
  </si>
  <si>
    <t>다 해줬잖아</t>
  </si>
  <si>
    <t>88321</t>
  </si>
  <si>
    <t>기대수준에 대체로 부합</t>
  </si>
  <si>
    <t>88320</t>
  </si>
  <si>
    <t>3Q25 Review: 실적 성장 및 의료기기 사업 순항 중</t>
  </si>
  <si>
    <t>88319</t>
  </si>
  <si>
    <t>중국 반등에 위안</t>
  </si>
  <si>
    <t>88318</t>
  </si>
  <si>
    <t>3Q25 Review: 소재혁신센터 준공 예정</t>
  </si>
  <si>
    <t>88317</t>
  </si>
  <si>
    <t>3Q25 Review: 로봇렌탈 사업 본격화</t>
  </si>
  <si>
    <t>88316</t>
  </si>
  <si>
    <t>88315</t>
  </si>
  <si>
    <t>2026년까지 버텨보자</t>
  </si>
  <si>
    <t>88314</t>
  </si>
  <si>
    <t>2026년 영업이익 80조원으로 상향</t>
  </si>
  <si>
    <t>88313</t>
  </si>
  <si>
    <t>2025-11-18</t>
  </si>
  <si>
    <t>사업은 순항, 남은 건 매각</t>
  </si>
  <si>
    <t>88312</t>
  </si>
  <si>
    <t>3Q25 Review: 중장기 시각에서 접근 필요</t>
  </si>
  <si>
    <t>88311</t>
  </si>
  <si>
    <t>자기주식 매입/소각을 반영하여 목표주가 상향</t>
  </si>
  <si>
    <t>88310</t>
  </si>
  <si>
    <t>예상을 크게 상회하고 있는 실적</t>
  </si>
  <si>
    <t>88309</t>
  </si>
  <si>
    <t>빠르게 증가한 해상풍력 수주잔고</t>
  </si>
  <si>
    <t>88308</t>
  </si>
  <si>
    <t>주가 상승 압력 점차 커질 것, 비중 확대 나설 시점</t>
  </si>
  <si>
    <t>88307</t>
  </si>
  <si>
    <t>신제품 출시로 26년 수익성 회복 기대</t>
  </si>
  <si>
    <t>88306</t>
  </si>
  <si>
    <t>백화제방(百花齊放)</t>
  </si>
  <si>
    <t>88305</t>
  </si>
  <si>
    <t>분명, 2026년이 더 나아진다!</t>
  </si>
  <si>
    <t>88304</t>
  </si>
  <si>
    <t>유연성</t>
  </si>
  <si>
    <t>88303</t>
  </si>
  <si>
    <t>맥주 부진 지속</t>
  </si>
  <si>
    <t>88302</t>
  </si>
  <si>
    <t>성수기 효과에도 원가 부담 지속</t>
  </si>
  <si>
    <t>88301</t>
  </si>
  <si>
    <t>국내 수익성 개선</t>
  </si>
  <si>
    <t>88300</t>
  </si>
  <si>
    <t>노는 물이 다르다</t>
  </si>
  <si>
    <t>88299</t>
  </si>
  <si>
    <t>기대를 뛰어 넘은 매출 성장</t>
  </si>
  <si>
    <t>88298</t>
  </si>
  <si>
    <t>부진한 상황은 지나간…</t>
  </si>
  <si>
    <t>88297</t>
  </si>
  <si>
    <t>이럴 때 사야 하는 주식</t>
  </si>
  <si>
    <t>88296</t>
  </si>
  <si>
    <t>부활의 시점이 다가온다</t>
  </si>
  <si>
    <t>88295</t>
  </si>
  <si>
    <t>선구자 지위는 그대로, 달라진 것은 환경 뿐</t>
  </si>
  <si>
    <t>88294</t>
  </si>
  <si>
    <t>미국 법인 영업중단 효과로 전체 손익 개선</t>
  </si>
  <si>
    <t>88293</t>
  </si>
  <si>
    <t>2026년 실적 본격 성장, 관심이 필요</t>
  </si>
  <si>
    <t>88292</t>
  </si>
  <si>
    <t>매각 이슈 불확실성 해소 임박</t>
  </si>
  <si>
    <t>88291</t>
  </si>
  <si>
    <t>26년에도 이어갈 고성장</t>
  </si>
  <si>
    <t>88290</t>
  </si>
  <si>
    <t>핵심 사업부는 견조한 성장 중</t>
  </si>
  <si>
    <t>88289</t>
  </si>
  <si>
    <t>주도주의 가능성을 볼 시기</t>
  </si>
  <si>
    <t>88288</t>
  </si>
  <si>
    <t>3Q25 Re: 반성은 차갑게, 개선은 뜨겁게</t>
  </si>
  <si>
    <t>88287</t>
  </si>
  <si>
    <t>나 돌아왔어 츄!</t>
  </si>
  <si>
    <t>88286</t>
  </si>
  <si>
    <t>3Q25 Re: 한국 조선업 역사상 최고 수익성 달성</t>
  </si>
  <si>
    <t>88285</t>
  </si>
  <si>
    <t>북미 AI 인프라 구축의 동반자</t>
  </si>
  <si>
    <t>88284</t>
  </si>
  <si>
    <t>3Q25 Re: 견조한 본업. 다만 아쉬웠던 자회사 실적</t>
  </si>
  <si>
    <t>88283</t>
  </si>
  <si>
    <t>3Q25 Review: 유럽 재건 수요 회복 중</t>
  </si>
  <si>
    <t>88282</t>
  </si>
  <si>
    <t>기반 다지기</t>
  </si>
  <si>
    <t>88281</t>
  </si>
  <si>
    <t>3Q25 Review: PG 부문, 수익성 개선</t>
  </si>
  <si>
    <t>88280</t>
  </si>
  <si>
    <t>전방산업 증설 효과가 나타날 시기</t>
  </si>
  <si>
    <t>88279</t>
  </si>
  <si>
    <t>Scaling with Silicon2</t>
  </si>
  <si>
    <t>88278</t>
  </si>
  <si>
    <t>036640</t>
  </si>
  <si>
    <t>HRS</t>
  </si>
  <si>
    <t>저성장 국면에도 독보이는 업계 최고 수익성</t>
  </si>
  <si>
    <t>88277</t>
  </si>
  <si>
    <t>263020</t>
  </si>
  <si>
    <t>디케이앤디</t>
  </si>
  <si>
    <t>충분한 주주환원, 아쉬움이 남는 밸류에이션</t>
  </si>
  <si>
    <t>88276</t>
  </si>
  <si>
    <t>아디다스 하기 나름, 2026년 기약</t>
  </si>
  <si>
    <t>88275</t>
  </si>
  <si>
    <t>3분기 실적에서 보이는 부분</t>
  </si>
  <si>
    <t>88274</t>
  </si>
  <si>
    <t>2025-11-17</t>
  </si>
  <si>
    <t>3Q25 Review : 덜어내고, 강화하고</t>
  </si>
  <si>
    <t>88273</t>
  </si>
  <si>
    <t>3Q25 Review : 극복하면 그만</t>
  </si>
  <si>
    <t>88272</t>
  </si>
  <si>
    <t>불확실성 해소</t>
  </si>
  <si>
    <t>88271</t>
  </si>
  <si>
    <t>왕의 귀환</t>
  </si>
  <si>
    <t>88270</t>
  </si>
  <si>
    <t>12월 데이터 발표 일정 변경 없을 무</t>
  </si>
  <si>
    <t>88269</t>
  </si>
  <si>
    <t>내년도 쉽지 않지만 해외 공장이 기다리고 있다</t>
  </si>
  <si>
    <t>88268</t>
  </si>
  <si>
    <t>3Q25 Review: 순익 1,832억원, YoY 14.2%↓, QoQ 26.1%↓</t>
  </si>
  <si>
    <t>88267</t>
  </si>
  <si>
    <t>3Q25 Review: 보험손익 감소지만, 자본건전성 안정적</t>
  </si>
  <si>
    <t>88266</t>
  </si>
  <si>
    <t>진짜 대단하다.</t>
  </si>
  <si>
    <t>88265</t>
  </si>
  <si>
    <t>기다려왔던 실적 회복 국면</t>
  </si>
  <si>
    <t>88264</t>
  </si>
  <si>
    <t>시장 기대치 부합</t>
  </si>
  <si>
    <t>88263</t>
  </si>
  <si>
    <t>NAV 상승 반영 중인 주가. 변동성 확대는 불확실성 요인</t>
  </si>
  <si>
    <t>88262</t>
  </si>
  <si>
    <t>영업이익 개선 추세 전망</t>
  </si>
  <si>
    <t>88261</t>
  </si>
  <si>
    <t>중국 유기실리콘 감축 합의의 반사 수혜</t>
  </si>
  <si>
    <t>88260</t>
  </si>
  <si>
    <t>26년 다중적층 MLB 실적 기여 본격화</t>
  </si>
  <si>
    <t>88259</t>
  </si>
  <si>
    <t>주가는 관세를 선반영, 램프 공급은 미반영</t>
  </si>
  <si>
    <t>88258</t>
  </si>
  <si>
    <t>신공장 초기 비용은 성장으로 해결됩니다</t>
  </si>
  <si>
    <t>88257</t>
  </si>
  <si>
    <t>항공/우주/방산으로부터 수요 증가</t>
  </si>
  <si>
    <t>88256</t>
  </si>
  <si>
    <t>수익성 레벨업에도 저평가 영역</t>
  </si>
  <si>
    <t>88255</t>
  </si>
  <si>
    <t>영업이익률 11%로 회복</t>
  </si>
  <si>
    <t>88254</t>
  </si>
  <si>
    <t>214420</t>
  </si>
  <si>
    <t>토니모리</t>
  </si>
  <si>
    <t>실적 앞선 주가 흐름</t>
  </si>
  <si>
    <t>88253</t>
  </si>
  <si>
    <t>지금부터 바겐 세일</t>
  </si>
  <si>
    <t>88252</t>
  </si>
  <si>
    <t>숨 고르기 재도약을 준비할 시점</t>
  </si>
  <si>
    <t>88251</t>
  </si>
  <si>
    <t>가격 조정은 마무리 국면</t>
  </si>
  <si>
    <t>88250</t>
  </si>
  <si>
    <t>투자하기 참 좋은 시점</t>
  </si>
  <si>
    <t>88249</t>
  </si>
  <si>
    <t>육각형 포트폴리오의 완성</t>
  </si>
  <si>
    <t>88248</t>
  </si>
  <si>
    <t>체감되고 있는 어려움</t>
  </si>
  <si>
    <t>88247</t>
  </si>
  <si>
    <t>여전히 불타오르는 불닭 인기</t>
  </si>
  <si>
    <t>88246</t>
  </si>
  <si>
    <t>수익성 정상화의 조짐</t>
  </si>
  <si>
    <t>88245</t>
  </si>
  <si>
    <t>기다리던 서프라이즈</t>
  </si>
  <si>
    <t>88244</t>
  </si>
  <si>
    <t>마음 편한 동행</t>
  </si>
  <si>
    <t>88243</t>
  </si>
  <si>
    <t>잘한 3분기, 더 잘 할 4분기</t>
  </si>
  <si>
    <t>88242</t>
  </si>
  <si>
    <t>LiPF6 가격 급등세 지속</t>
  </si>
  <si>
    <t>88241</t>
  </si>
  <si>
    <t>이제 신선함은 없고 예측 가능성만 남았다</t>
  </si>
  <si>
    <t>88240</t>
  </si>
  <si>
    <t>리사도 알아봐 준 티니핑</t>
  </si>
  <si>
    <t>88239</t>
  </si>
  <si>
    <t>큰 도약을 위한 준비</t>
  </si>
  <si>
    <t>88238</t>
  </si>
  <si>
    <t>3Q25 Review: 실적 성장세 전환 기대</t>
  </si>
  <si>
    <t>88237</t>
  </si>
  <si>
    <t>3Q25 Review: 성수기 도래 성장 기대</t>
  </si>
  <si>
    <t>88236</t>
  </si>
  <si>
    <t>3Q25 Review: 시장 다변화 확대 중</t>
  </si>
  <si>
    <t>88235</t>
  </si>
  <si>
    <t>3Q25 Review: LEDoS 개발 이상 無</t>
  </si>
  <si>
    <t>88234</t>
  </si>
  <si>
    <t>4분기도 보수적으로</t>
  </si>
  <si>
    <t>88233</t>
  </si>
  <si>
    <t>안정적인 실적</t>
  </si>
  <si>
    <t>88232</t>
  </si>
  <si>
    <t>본격적인 실적 개선 구간 진입</t>
  </si>
  <si>
    <t>88231</t>
  </si>
  <si>
    <t>낮아진 기대치에 부합</t>
  </si>
  <si>
    <t>88230</t>
  </si>
  <si>
    <t>우려 대비 아주 좋은 실적</t>
  </si>
  <si>
    <t>88229</t>
  </si>
  <si>
    <t>리투오의 효과는 굉장했다!</t>
  </si>
  <si>
    <t>88228</t>
  </si>
  <si>
    <t>다시 전 고점을 향해</t>
  </si>
  <si>
    <t>88227</t>
  </si>
  <si>
    <t>3Q25 Review: 수익성 개선 긍정적</t>
  </si>
  <si>
    <t>88226</t>
  </si>
  <si>
    <t>3Q25 Review: 인도 진출 &amp; 사업 다각화</t>
  </si>
  <si>
    <t>88225</t>
  </si>
  <si>
    <t>2026 모멘텀: ①적층기술, ②네트워크, ③단가인상</t>
  </si>
  <si>
    <t>88224</t>
  </si>
  <si>
    <t>아니 이게 무슨 일이야</t>
  </si>
  <si>
    <t>88223</t>
  </si>
  <si>
    <t>언어데이터 수요 확대⇒글로벌 빅테크향 매출 성장성 UP</t>
  </si>
  <si>
    <t>88222</t>
  </si>
  <si>
    <t>미국 적자 덜고, 실적 회복 중</t>
  </si>
  <si>
    <t>88221</t>
  </si>
  <si>
    <t>좋아지고 있는게 보인다</t>
  </si>
  <si>
    <t>88220</t>
  </si>
  <si>
    <t>확실한 성장 동력에 집중</t>
  </si>
  <si>
    <t>88219</t>
  </si>
  <si>
    <t>사상 최대 실적 달성, 4분기가 더 기대된다.</t>
  </si>
  <si>
    <t>88218</t>
  </si>
  <si>
    <t>비수기에도 성장</t>
  </si>
  <si>
    <t>88217</t>
  </si>
  <si>
    <t>압도적 경쟁력</t>
  </si>
  <si>
    <t>88216</t>
  </si>
  <si>
    <t>한 분기씩 지연된 성장</t>
  </si>
  <si>
    <t>88215</t>
  </si>
  <si>
    <t>용호상박: 2개의 성</t>
  </si>
  <si>
    <t>88214</t>
  </si>
  <si>
    <t>이제는 데이터센터 수혜주</t>
  </si>
  <si>
    <t>88213</t>
  </si>
  <si>
    <t>88212</t>
  </si>
  <si>
    <t>돌아온 라면왕</t>
  </si>
  <si>
    <t>88211</t>
  </si>
  <si>
    <t>실적 턴어라운드 확인 완료</t>
  </si>
  <si>
    <t>88210</t>
  </si>
  <si>
    <t>든든한 내수가 돋보이는 실적</t>
  </si>
  <si>
    <t>88209</t>
  </si>
  <si>
    <t>증명된 실행력</t>
  </si>
  <si>
    <t>88208</t>
  </si>
  <si>
    <t>Capa 증설로 추가 성장 사이클 진입</t>
  </si>
  <si>
    <t>88207</t>
  </si>
  <si>
    <t>성장의 축이 이동하는 와중에, 잠깐 주춤했을 뿐</t>
  </si>
  <si>
    <t>88206</t>
  </si>
  <si>
    <t>여기서 또 고성장 시현이 가능하다</t>
  </si>
  <si>
    <t>88205</t>
  </si>
  <si>
    <t>4분기부터 “케데헌” 효과 본격화 기대</t>
  </si>
  <si>
    <t>88204</t>
  </si>
  <si>
    <t>판매량 증가와 가격 인상으로 수익성 회복 전망</t>
  </si>
  <si>
    <t>88203</t>
  </si>
  <si>
    <t>기대치 하회. CSM 순증했으나 보험이익 안정화 필요</t>
  </si>
  <si>
    <t>88202</t>
  </si>
  <si>
    <t>기대치 하회. 예실차와 자동차보험 부진</t>
  </si>
  <si>
    <t>88201</t>
  </si>
  <si>
    <t>기대치 부합. 견조한 수익성, 주주환원 정책도 유지</t>
  </si>
  <si>
    <t>88200</t>
  </si>
  <si>
    <t>2025-11-14</t>
  </si>
  <si>
    <t>ROE 개선 전망</t>
  </si>
  <si>
    <t>88199</t>
  </si>
  <si>
    <t>3Q25 Review : 관세 효과 확인, 26년 중미 프로젝트 가동 본격화</t>
  </si>
  <si>
    <t>88198</t>
  </si>
  <si>
    <t>3Q25 Review: 여성 및 시니어 특화 상품을 통한 성장 지속 중</t>
  </si>
  <si>
    <t>88197</t>
  </si>
  <si>
    <t>10조를 향해 갈 회사</t>
  </si>
  <si>
    <t>88196</t>
  </si>
  <si>
    <t>3Q25 Review: 안정적 손익 구조는 여전</t>
  </si>
  <si>
    <t>88195</t>
  </si>
  <si>
    <t>3Q25 Review: 업종 대표주로서 기대</t>
  </si>
  <si>
    <t>88194</t>
  </si>
  <si>
    <t>020560</t>
  </si>
  <si>
    <t>아시아나항공</t>
  </si>
  <si>
    <t>화물기 매각 이후의 아시아나항공</t>
  </si>
  <si>
    <t>88193</t>
  </si>
  <si>
    <t>이 정도로 부진한 광고 업황만 아니었다면</t>
  </si>
  <si>
    <t>88192</t>
  </si>
  <si>
    <t>3Q25 Re: 벌크선/유조선의 감익 완화 효과 기대 중</t>
  </si>
  <si>
    <t>88191</t>
  </si>
  <si>
    <t>연결과 별도 모두 분기 최대 실적 기록</t>
  </si>
  <si>
    <t>88190</t>
  </si>
  <si>
    <t>기다려온 성장은 4분기부터 본격화</t>
  </si>
  <si>
    <t>88189</t>
  </si>
  <si>
    <t>Corporate Day 후기: 해외 성장 가시화</t>
  </si>
  <si>
    <t>88188</t>
  </si>
  <si>
    <t>Corporate Day 후기: 26년 성장 모멘텀은 많다</t>
  </si>
  <si>
    <t>88187</t>
  </si>
  <si>
    <t>Corporate Day 후기: 인디 ODM 시대로 전환</t>
  </si>
  <si>
    <t>88186</t>
  </si>
  <si>
    <t>중장기적으로 이어질 공급 과잉</t>
  </si>
  <si>
    <t>88185</t>
  </si>
  <si>
    <t>4Q25 예상 영업이익 185억원</t>
  </si>
  <si>
    <t>88184</t>
  </si>
  <si>
    <t>미국 멤피스 공장 추가 투자 관련 코멘트</t>
  </si>
  <si>
    <t>88183</t>
  </si>
  <si>
    <t>리레이팅의 조건</t>
  </si>
  <si>
    <t>88182</t>
  </si>
  <si>
    <t>스마트 병동 시대를 선도하는 기업</t>
  </si>
  <si>
    <t>88181</t>
  </si>
  <si>
    <t>기록적인 실적 지속</t>
  </si>
  <si>
    <t>88180</t>
  </si>
  <si>
    <t>3%대 배당수익률 지속</t>
  </si>
  <si>
    <t>88179</t>
  </si>
  <si>
    <t>실적개선은 이어지나, 기대감 선반영</t>
  </si>
  <si>
    <t>88178</t>
  </si>
  <si>
    <t>A Company of Honor</t>
  </si>
  <si>
    <t>88177</t>
  </si>
  <si>
    <t>펀더멘털 이상의 주가</t>
  </si>
  <si>
    <t>88176</t>
  </si>
  <si>
    <t>관세 영향 제한적 발생하며 우려 대비 양호한 실적 기록</t>
  </si>
  <si>
    <t>88175</t>
  </si>
  <si>
    <t>강점이 점점 옅어지고 있음</t>
  </si>
  <si>
    <t>88174</t>
  </si>
  <si>
    <t>이제는 밸류 상단을 뚫어야 할때</t>
  </si>
  <si>
    <t>88173</t>
  </si>
  <si>
    <t>방향성은 명확하지만 중국이 발목을 잡는다</t>
  </si>
  <si>
    <t>88172</t>
  </si>
  <si>
    <t>배당성향 상향 기조는 지속</t>
  </si>
  <si>
    <t>88171</t>
  </si>
  <si>
    <t>우수한 펀더멘털 재입증</t>
  </si>
  <si>
    <t>88170</t>
  </si>
  <si>
    <t>새로운 시장을 대하는 자세</t>
  </si>
  <si>
    <t>88169</t>
  </si>
  <si>
    <t>저점에서 반등한 컨테이너 마진</t>
  </si>
  <si>
    <t>88168</t>
  </si>
  <si>
    <t>분기 최대 실적이지만 여전히 방망이는 짧게 잡기</t>
  </si>
  <si>
    <t>88167</t>
  </si>
  <si>
    <t>미국 ESS용 캡아세이 매출 시작</t>
  </si>
  <si>
    <t>88166</t>
  </si>
  <si>
    <t>고비를 지났다</t>
  </si>
  <si>
    <t>88165</t>
  </si>
  <si>
    <t>글로벌 업체들에게서 무수한 악수의 요청이</t>
  </si>
  <si>
    <t>88164</t>
  </si>
  <si>
    <t>앞으로가 더 기대되는 이유</t>
  </si>
  <si>
    <t>88163</t>
  </si>
  <si>
    <t>영업이익률 30%를 찍고 마는구나</t>
  </si>
  <si>
    <t>88162</t>
  </si>
  <si>
    <t>낮아지는 실적의 눈높이</t>
  </si>
  <si>
    <t>88161</t>
  </si>
  <si>
    <t>4분기도 이상무</t>
  </si>
  <si>
    <t>88160</t>
  </si>
  <si>
    <t>기대치 부합. 계속 오르는 데는 이유가 있다</t>
  </si>
  <si>
    <t>88159</t>
  </si>
  <si>
    <t>전선 부문 수익성개선</t>
  </si>
  <si>
    <t>88158</t>
  </si>
  <si>
    <t>4Q25 사상 최대 실적 전망</t>
  </si>
  <si>
    <t>88157</t>
  </si>
  <si>
    <t>다가오는 겨울, 비축해 둔 곳간에 주목</t>
  </si>
  <si>
    <t>88156</t>
  </si>
  <si>
    <t>High card</t>
  </si>
  <si>
    <t>88155</t>
  </si>
  <si>
    <t>예상보단 무난, 절대적으론 부족</t>
  </si>
  <si>
    <t>88154</t>
  </si>
  <si>
    <t>가자! 신고가를 향해</t>
  </si>
  <si>
    <t>88153</t>
  </si>
  <si>
    <t>2026년부터 본격적인 실적 회복세 전망</t>
  </si>
  <si>
    <t>88152</t>
  </si>
  <si>
    <t>미국 시장을 뚫는다면 전고점도 뚫을 수 있다.</t>
  </si>
  <si>
    <t>88151</t>
  </si>
  <si>
    <t>AX 성과 본격화</t>
  </si>
  <si>
    <t>88150</t>
  </si>
  <si>
    <t>기대되는 변화가 너무도 많은 2026년</t>
  </si>
  <si>
    <t>88149</t>
  </si>
  <si>
    <t>Valuation 배수 상향 필요</t>
  </si>
  <si>
    <t>88148</t>
  </si>
  <si>
    <t>기대치 부합, 부정적 업황에도 남아있는 상승 재료들</t>
  </si>
  <si>
    <t>88147</t>
  </si>
  <si>
    <t>2026년, OLED 대장의 귀환</t>
  </si>
  <si>
    <t>88146</t>
  </si>
  <si>
    <t>053450</t>
  </si>
  <si>
    <t>세코닉스</t>
  </si>
  <si>
    <t>광학 내재화를 바탕으로 완성한 전장 중심 사업구조</t>
  </si>
  <si>
    <t>88145</t>
  </si>
  <si>
    <t>126560</t>
  </si>
  <si>
    <t>현대퓨처넷</t>
  </si>
  <si>
    <t>디지털 미디어·IT 기반 ICT 전문기업으로 전환</t>
  </si>
  <si>
    <t>88144</t>
  </si>
  <si>
    <t>045970</t>
  </si>
  <si>
    <t>코아시아</t>
  </si>
  <si>
    <t>[AI] 시스템 반도체 및 전자부품 제조 분야 핵심 기업</t>
  </si>
  <si>
    <t>88143</t>
  </si>
  <si>
    <t>[AI] 플라즈마 기술 기반 친환경 환경 장비 전문 기업</t>
  </si>
  <si>
    <t>88142</t>
  </si>
  <si>
    <t>172670</t>
  </si>
  <si>
    <t>에이엘티</t>
  </si>
  <si>
    <t>[AI] 비메모리 반도체 테스트 및 차세대 기술 선도 기업</t>
  </si>
  <si>
    <t>88141</t>
  </si>
  <si>
    <t>[AI] 정수기 부품 및 PCB 전문 기업</t>
  </si>
  <si>
    <t>88140</t>
  </si>
  <si>
    <t>241770</t>
  </si>
  <si>
    <t>메카로</t>
  </si>
  <si>
    <t>[AI] 반도체 히터블럭 분야의 선도 기업</t>
  </si>
  <si>
    <t>88139</t>
  </si>
  <si>
    <t>086220</t>
  </si>
  <si>
    <t>광동헬스바이오</t>
  </si>
  <si>
    <t>천연물 소재 기반 건강기능식품 전문 기업</t>
  </si>
  <si>
    <t>88138</t>
  </si>
  <si>
    <t>131180</t>
  </si>
  <si>
    <t>딜리</t>
  </si>
  <si>
    <t>하드웨어·제어·소프트웨어 통합 공정 기술을 보유한 산업용 디지털 인쇄 장비 전문기업</t>
  </si>
  <si>
    <t>88137</t>
  </si>
  <si>
    <t>001420</t>
  </si>
  <si>
    <t>태원물산</t>
  </si>
  <si>
    <t>자동차부품 제조 중심에서 식품 유통으로 사업영역 확장 중</t>
  </si>
  <si>
    <t>88136</t>
  </si>
  <si>
    <t>002780</t>
  </si>
  <si>
    <t>진흥기업</t>
  </si>
  <si>
    <t>2년 연속 수주 1조 목표, 매출 및 수익성 반등에 성공한 종합건설업체</t>
  </si>
  <si>
    <t>88135</t>
  </si>
  <si>
    <t>012800</t>
  </si>
  <si>
    <t>대창</t>
  </si>
  <si>
    <t>비철금속 소재 기술 기반의 친환경·동합금 전문기업</t>
  </si>
  <si>
    <t>88134</t>
  </si>
  <si>
    <t>2025-11-13</t>
  </si>
  <si>
    <t>어쨌거나 효율화는 진행 중</t>
  </si>
  <si>
    <t>88133</t>
  </si>
  <si>
    <t>여전히 부진하나, 기대감은 높아지는 중</t>
  </si>
  <si>
    <t>88132</t>
  </si>
  <si>
    <t>배당은 이어지겠지만</t>
  </si>
  <si>
    <t>88131</t>
  </si>
  <si>
    <t>가시성이 높아진 연간 순이익 흑자</t>
  </si>
  <si>
    <t>88130</t>
  </si>
  <si>
    <t>[NDR 후기] 가파른 디지털헬스케어 성장</t>
  </si>
  <si>
    <t>88129</t>
  </si>
  <si>
    <t>3Q25 Review: P,Q 사이클 지속</t>
  </si>
  <si>
    <t>88128</t>
  </si>
  <si>
    <t>가동률 상승으로 아라미드 적자 축소 중</t>
  </si>
  <si>
    <t>88127</t>
  </si>
  <si>
    <t>2026년 꽤 풍성한 모멘텀</t>
  </si>
  <si>
    <t>88126</t>
  </si>
  <si>
    <t>환율이 조금만 내려간다면</t>
  </si>
  <si>
    <t>88125</t>
  </si>
  <si>
    <t>배출권 정책 강화 수혜 기대</t>
  </si>
  <si>
    <t>88124</t>
  </si>
  <si>
    <t>26년 이익 감소에도 DPS 증가할 것, 저점 노릴 때</t>
  </si>
  <si>
    <t>88123</t>
  </si>
  <si>
    <t>이동전화매출 증가 기대감 중요, 26년엔 리레이팅 전망</t>
  </si>
  <si>
    <t>88122</t>
  </si>
  <si>
    <t>2026년 이익 성장에도 봄 이후에나 주가 상승 예상</t>
  </si>
  <si>
    <t>88121</t>
  </si>
  <si>
    <t>가장 먼저 제출한 구조조정안. 2026년 회복 예상</t>
  </si>
  <si>
    <t>88120</t>
  </si>
  <si>
    <t>2026년 매출 성장이 준비된 기업</t>
  </si>
  <si>
    <t>88119</t>
  </si>
  <si>
    <t>072990</t>
  </si>
  <si>
    <t>에이치시티</t>
  </si>
  <si>
    <t>2026년 성장을 위한 준비는 이미 마련</t>
  </si>
  <si>
    <t>88118</t>
  </si>
  <si>
    <t>라인프로젝트(LCI) 상업 가동 시작</t>
  </si>
  <si>
    <t>88117</t>
  </si>
  <si>
    <t>역대 최대 매출 vs. 비용 부담</t>
  </si>
  <si>
    <t>88116</t>
  </si>
  <si>
    <t>이런 투자는 언제든지 환영</t>
  </si>
  <si>
    <t>88115</t>
  </si>
  <si>
    <t>가파른 성장의 연속</t>
  </si>
  <si>
    <t>88114</t>
  </si>
  <si>
    <t>NDC목표 상향으로 수혜 전망</t>
  </si>
  <si>
    <t>88113</t>
  </si>
  <si>
    <t>이젠 출시일까지 잘 도달하는 것이 목표</t>
  </si>
  <si>
    <t>88112</t>
  </si>
  <si>
    <t>턴어라운드 국면의 업사이드 리스크</t>
  </si>
  <si>
    <t>88111</t>
  </si>
  <si>
    <t>26년에도 멈추지 않을 화력</t>
  </si>
  <si>
    <t>88110</t>
  </si>
  <si>
    <t>관세 부담 해소가 관건</t>
  </si>
  <si>
    <t>88109</t>
  </si>
  <si>
    <t>릴리와 3.8조원 L/O, 그리고 더</t>
  </si>
  <si>
    <t>88108</t>
  </si>
  <si>
    <t>저평가 해소 구간</t>
  </si>
  <si>
    <t>88107</t>
  </si>
  <si>
    <t>미수금은 요지부동, 여전히 중요한 환율</t>
  </si>
  <si>
    <t>88106</t>
  </si>
  <si>
    <t>Shop Tour 후기; 웅장함 그 자체</t>
  </si>
  <si>
    <t>88105</t>
  </si>
  <si>
    <t>예상 수준의 실적</t>
  </si>
  <si>
    <t>88104</t>
  </si>
  <si>
    <t>3Q25 Review: 소비쿠폰 및 성수기 수혜</t>
  </si>
  <si>
    <t>88103</t>
  </si>
  <si>
    <t>3Q25 Review: AI 사업화 기반 구축 중</t>
  </si>
  <si>
    <t>88102</t>
  </si>
  <si>
    <t>3Q25 Review: 방산 사업의 정상화 기대</t>
  </si>
  <si>
    <t>88101</t>
  </si>
  <si>
    <t>역대 최대 실적을 가린 수익성 둔화</t>
  </si>
  <si>
    <t>88100</t>
  </si>
  <si>
    <t>연간 적자 축소는 지속될 것</t>
  </si>
  <si>
    <t>88099</t>
  </si>
  <si>
    <t>285130</t>
  </si>
  <si>
    <t>SK케미칼</t>
  </si>
  <si>
    <t>2026년 리레이팅 지속될 것</t>
  </si>
  <si>
    <t>88098</t>
  </si>
  <si>
    <t>원가 부담 확대에 따른 수익성 저하</t>
  </si>
  <si>
    <t>88097</t>
  </si>
  <si>
    <t>이번에는 진짜로 4년 만의 바닥 탈출 기대</t>
  </si>
  <si>
    <t>88096</t>
  </si>
  <si>
    <t>글로벌 BBB 대장주. 혁신의 중심에 ABL</t>
  </si>
  <si>
    <t>88095</t>
  </si>
  <si>
    <t>241690</t>
  </si>
  <si>
    <t>유니테크노</t>
  </si>
  <si>
    <t>산업용 ESS 부품 시장 진입에 따른 중장기 매출 성장 기대</t>
  </si>
  <si>
    <t>88094</t>
  </si>
  <si>
    <t>462860</t>
  </si>
  <si>
    <t>더즌</t>
  </si>
  <si>
    <t>떠오르는 디지털뱅킹 서비스 강소기업</t>
  </si>
  <si>
    <t>88093</t>
  </si>
  <si>
    <t>OLED에 반도체 한스푼</t>
  </si>
  <si>
    <t>88092</t>
  </si>
  <si>
    <t>계획대로 진행 중!</t>
  </si>
  <si>
    <t>88091</t>
  </si>
  <si>
    <t>2025-11-12</t>
  </si>
  <si>
    <t>3Q25 Review : 다가온 반격의 시간</t>
  </si>
  <si>
    <t>88090</t>
  </si>
  <si>
    <t>조롱을 환호로 바꾼다면</t>
  </si>
  <si>
    <t>88089</t>
  </si>
  <si>
    <t>일주일 뒤 정해질 이익과 주가의 향방</t>
  </si>
  <si>
    <t>88088</t>
  </si>
  <si>
    <t>하락이 과하다</t>
  </si>
  <si>
    <t>88087</t>
  </si>
  <si>
    <t>3Q25 Review: 중장기 성장 가능성 점검 완료</t>
  </si>
  <si>
    <t>88086</t>
  </si>
  <si>
    <t>변하고 있는 NC</t>
  </si>
  <si>
    <t>88085</t>
  </si>
  <si>
    <t>일시적 비용 증가로 인한 이익 감소</t>
  </si>
  <si>
    <t>88084</t>
  </si>
  <si>
    <t>3Q25 Re: 편안하다</t>
  </si>
  <si>
    <t>88083</t>
  </si>
  <si>
    <t>아이온2 다음은?</t>
  </si>
  <si>
    <t>88082</t>
  </si>
  <si>
    <t>이젠 출시만 남았다</t>
  </si>
  <si>
    <t>88081</t>
  </si>
  <si>
    <t>역대 최대 분기 실적 달성</t>
  </si>
  <si>
    <t>88080</t>
  </si>
  <si>
    <t>아이온2 이후 대작 부재</t>
  </si>
  <si>
    <t>88079</t>
  </si>
  <si>
    <t>갈 길이 먼 구조조정</t>
  </si>
  <si>
    <t>88078</t>
  </si>
  <si>
    <t>미친거 아니야</t>
  </si>
  <si>
    <t>88077</t>
  </si>
  <si>
    <t>회복 시그널 부재</t>
  </si>
  <si>
    <t>88076</t>
  </si>
  <si>
    <t>주가 조정 구간, 성장 스토리는 견조</t>
  </si>
  <si>
    <t>88075</t>
  </si>
  <si>
    <t>붉은사막 연기 가능성 일축</t>
  </si>
  <si>
    <t>88074</t>
  </si>
  <si>
    <t>한 번 맞았어야할 매를 빨리 맞은 것일 뿐</t>
  </si>
  <si>
    <t>88073</t>
  </si>
  <si>
    <t>견조한 니케 글로벌 성과</t>
  </si>
  <si>
    <t>88072</t>
  </si>
  <si>
    <t>아쉬움보다는 기대감이 더 크다</t>
  </si>
  <si>
    <t>88071</t>
  </si>
  <si>
    <t>NDR후기: 점유율 상승과 배당소득 분리과세가 핵심</t>
  </si>
  <si>
    <t>88070</t>
  </si>
  <si>
    <t>CJ제일제당은(는) 눈앞이 깜깜해졌다!</t>
  </si>
  <si>
    <t>88069</t>
  </si>
  <si>
    <t>기대되는 26년</t>
  </si>
  <si>
    <t>88068</t>
  </si>
  <si>
    <t>D-7</t>
  </si>
  <si>
    <t>88067</t>
  </si>
  <si>
    <t>탑라인 성장 회복 중</t>
  </si>
  <si>
    <t>88066</t>
  </si>
  <si>
    <t>공장 가동 늦어지며 적자</t>
  </si>
  <si>
    <t>88065</t>
  </si>
  <si>
    <t>잘됐으면 좋겠다</t>
  </si>
  <si>
    <t>88064</t>
  </si>
  <si>
    <t>아직도 싸요</t>
  </si>
  <si>
    <t>88063</t>
  </si>
  <si>
    <t>4분기 시작이 좋다</t>
  </si>
  <si>
    <t>88062</t>
  </si>
  <si>
    <t>88061</t>
  </si>
  <si>
    <t>DTC비중 어디까지 올라가는 거예요?</t>
  </si>
  <si>
    <t>88060</t>
  </si>
  <si>
    <t>준비는 끝났다</t>
  </si>
  <si>
    <t>88059</t>
  </si>
  <si>
    <t>바이오 부진 장기화</t>
  </si>
  <si>
    <t>88058</t>
  </si>
  <si>
    <t>공포를 사야 할 때</t>
  </si>
  <si>
    <t>88057</t>
  </si>
  <si>
    <t>바게닝 파워의 결과</t>
  </si>
  <si>
    <t>88056</t>
  </si>
  <si>
    <t>굿뉴스를 기대해보는 연말</t>
  </si>
  <si>
    <t>88055</t>
  </si>
  <si>
    <t>어려운 업황 속 최선의 실적</t>
  </si>
  <si>
    <t>88054</t>
  </si>
  <si>
    <t>속도는 느리지만 방향성은 확실하다</t>
  </si>
  <si>
    <t>88053</t>
  </si>
  <si>
    <t>119830</t>
  </si>
  <si>
    <t>아이텍</t>
  </si>
  <si>
    <t>반도체 테스트 전문 업체로의 높은 경쟁력 주목</t>
  </si>
  <si>
    <t>88052</t>
  </si>
  <si>
    <t>기존점 성장률 반등 본격화 전망</t>
  </si>
  <si>
    <t>88051</t>
  </si>
  <si>
    <t>성장통이 언제까지 갈까</t>
  </si>
  <si>
    <t>88050</t>
  </si>
  <si>
    <t>연간 순이익 2조원 페이스인데 시총 9.5조원</t>
  </si>
  <si>
    <t>88049</t>
  </si>
  <si>
    <t>기대치 상회, 분기 최대 실적 기록</t>
  </si>
  <si>
    <t>88048</t>
  </si>
  <si>
    <t>효율성을 찾아야 할 시점</t>
  </si>
  <si>
    <t>88047</t>
  </si>
  <si>
    <t>전립선암 치료제 조건부 허가 승인 Countdown!</t>
  </si>
  <si>
    <t>88046</t>
  </si>
  <si>
    <t>048910</t>
  </si>
  <si>
    <t>대원미디어</t>
  </si>
  <si>
    <t>닌텐도 사이클에 자체 IP 성장을 더한다</t>
  </si>
  <si>
    <t>88045</t>
  </si>
  <si>
    <t>클라우드 전환 가속, EQT 인수로 글로벌 도약의 발판 마련</t>
  </si>
  <si>
    <t>88044</t>
  </si>
  <si>
    <t>어려운 사업환경 지속</t>
  </si>
  <si>
    <t>88043</t>
  </si>
  <si>
    <t>3년 전의 데자뷔. 보릿고개를 넘어보자</t>
  </si>
  <si>
    <t>88042</t>
  </si>
  <si>
    <t>3Q25 review - 미국 시황 회복에도 누리지 못할 온기</t>
  </si>
  <si>
    <t>88041</t>
  </si>
  <si>
    <t>3Q review- 다소 아쉬운 실적</t>
  </si>
  <si>
    <t>88040</t>
  </si>
  <si>
    <t>이익 성장성과 신작 기대 회복 필요</t>
  </si>
  <si>
    <t>88039</t>
  </si>
  <si>
    <t>회복의 문턱에 서다</t>
  </si>
  <si>
    <t>88038</t>
  </si>
  <si>
    <t>백화점 사업의 견고한 매출 흐름 기대</t>
  </si>
  <si>
    <t>88037</t>
  </si>
  <si>
    <t>3Q review- 무엇보다 눈에 띄는 가이던스 상향</t>
  </si>
  <si>
    <t>88036</t>
  </si>
  <si>
    <t>보이는 숫자보다 단단해진 실적</t>
  </si>
  <si>
    <t>88035</t>
  </si>
  <si>
    <t>흔들리지 않는 기초 체력</t>
  </si>
  <si>
    <t>88034</t>
  </si>
  <si>
    <t>3Q25 review - 내년까지 이어질 자산 가치 재평가 모멘텀</t>
  </si>
  <si>
    <t>88033</t>
  </si>
  <si>
    <t>숙제는 남았지만 새 국면을 예고하는 움직임들</t>
  </si>
  <si>
    <t>88032</t>
  </si>
  <si>
    <t>2025-11-11</t>
  </si>
  <si>
    <t>자체 결제로의 대전환</t>
  </si>
  <si>
    <t>88031</t>
  </si>
  <si>
    <t>3Q 비용이 비용의 CAP이라면</t>
  </si>
  <si>
    <t>88030</t>
  </si>
  <si>
    <t>우려스러운 마진 하락</t>
  </si>
  <si>
    <t>88029</t>
  </si>
  <si>
    <t>물 들어올 때 노 젓기 위한 873억원</t>
  </si>
  <si>
    <t>88028</t>
  </si>
  <si>
    <t>3Q25 Review : 실적 전망치 상향, 기대감은 하향</t>
  </si>
  <si>
    <t>88027</t>
  </si>
  <si>
    <t>26년 루빈 전환기, 예측이 불가능한 확장성</t>
  </si>
  <si>
    <t>88026</t>
  </si>
  <si>
    <t>회로박과 ESS 동박으로 양방향적 AI 수혜 기대</t>
  </si>
  <si>
    <t>88025</t>
  </si>
  <si>
    <t>빅서프 예상</t>
  </si>
  <si>
    <t>88024</t>
  </si>
  <si>
    <t>기술 부문의 공공 사업 수혜 기대</t>
  </si>
  <si>
    <t>88023</t>
  </si>
  <si>
    <t>아쉬운 국내 수익성</t>
  </si>
  <si>
    <t>88022</t>
  </si>
  <si>
    <t>매력적인 K뷰티 실크로드</t>
  </si>
  <si>
    <t>88021</t>
  </si>
  <si>
    <t>실적의 바텀은 지났다</t>
  </si>
  <si>
    <t>88020</t>
  </si>
  <si>
    <t>무난한 실적. 장기 접근 유효</t>
  </si>
  <si>
    <t>88019</t>
  </si>
  <si>
    <t>열보 전진을 위한 일보 후퇴</t>
  </si>
  <si>
    <t>88018</t>
  </si>
  <si>
    <t>BTS 오기 전에 깔끔하게 대청소 한 번 했습니다</t>
  </si>
  <si>
    <t>88017</t>
  </si>
  <si>
    <t>내년 2분기부터 가파른 성장 기대</t>
  </si>
  <si>
    <t>88016</t>
  </si>
  <si>
    <t>부진했던 국제선</t>
  </si>
  <si>
    <t>88015</t>
  </si>
  <si>
    <t>Good!, Good!, Good!</t>
  </si>
  <si>
    <t>88014</t>
  </si>
  <si>
    <t>이루다로 검증한 M&amp;A 전략, 이번엔 브라질이다</t>
  </si>
  <si>
    <t>88013</t>
  </si>
  <si>
    <t>마진이 또 아쉽다</t>
  </si>
  <si>
    <t>88012</t>
  </si>
  <si>
    <t>저점 통과</t>
  </si>
  <si>
    <t>88011</t>
  </si>
  <si>
    <t>예상을 상회한 비용부담</t>
  </si>
  <si>
    <t>88010</t>
  </si>
  <si>
    <t>3Q25 Review: 신뢰의 도약</t>
  </si>
  <si>
    <t>88009</t>
  </si>
  <si>
    <t>국내 캐파를 AI 회로박으로 전환</t>
  </si>
  <si>
    <t>88008</t>
  </si>
  <si>
    <t>3Q25P Review: 신규 수주 효과 기대</t>
  </si>
  <si>
    <t>88007</t>
  </si>
  <si>
    <t>3Q25P Review: 18개 분기 연속 성장세</t>
  </si>
  <si>
    <t>88006</t>
  </si>
  <si>
    <t>AI 밸류체인 진입: 기판 소재 탈중국 반사수혜</t>
  </si>
  <si>
    <t>88005</t>
  </si>
  <si>
    <t>3Q25P Review: 해외 수출 회복세 지속</t>
  </si>
  <si>
    <t>88004</t>
  </si>
  <si>
    <t>3Q25P Review: VET, 산업 부문 회복 중</t>
  </si>
  <si>
    <t>88003</t>
  </si>
  <si>
    <t>EV 실적 부진을 상쇄시켜 줄 ESS의 높은 성장 가능성에 주목</t>
  </si>
  <si>
    <t>88002</t>
  </si>
  <si>
    <t>예상보다 더 부진한 실적, 그럼에도 불구하고</t>
  </si>
  <si>
    <t>88001</t>
  </si>
  <si>
    <t>3Q25P Review: 23분기 만에 분기 최고 OPM 달성</t>
  </si>
  <si>
    <t>88000</t>
  </si>
  <si>
    <t>평이한 실적 달성</t>
  </si>
  <si>
    <t>87999</t>
  </si>
  <si>
    <t>본 게임은 2026년!</t>
  </si>
  <si>
    <t>87998</t>
  </si>
  <si>
    <t>딜레마에 빠진 실적, 장기 성장성 유효</t>
  </si>
  <si>
    <t>87997</t>
  </si>
  <si>
    <t>중국 성장 견조</t>
  </si>
  <si>
    <t>87996</t>
  </si>
  <si>
    <t>4Q 최대 실적 전망. ‘26년에도 이어갈 독보적 지위</t>
  </si>
  <si>
    <t>87995</t>
  </si>
  <si>
    <t>흔들린 수익성</t>
  </si>
  <si>
    <t>87994</t>
  </si>
  <si>
    <t>87993</t>
  </si>
  <si>
    <t>AI용 회로박 수요 확인, 단기 주가 모멘텀</t>
  </si>
  <si>
    <t>87992</t>
  </si>
  <si>
    <t>자주 와서 경험해보면 재밌을텐데</t>
  </si>
  <si>
    <t>87991</t>
  </si>
  <si>
    <t>불편한 희극</t>
  </si>
  <si>
    <t>87990</t>
  </si>
  <si>
    <t>성장 기반 구축 VS 단기 실적 가시성 저하</t>
  </si>
  <si>
    <t>87989</t>
  </si>
  <si>
    <t>단기 실적보다 2026년 턴어라운드에 주목</t>
  </si>
  <si>
    <t>87988</t>
  </si>
  <si>
    <t>형님들이 잘해야 동생들의 선방이 빛날 수 있다</t>
  </si>
  <si>
    <t>87987</t>
  </si>
  <si>
    <t>쉴 땐 쉬고 할 땐 한다</t>
  </si>
  <si>
    <t>87986</t>
  </si>
  <si>
    <t>086900</t>
  </si>
  <si>
    <t>메디톡스</t>
  </si>
  <si>
    <t>건물 사이에 피어난 장미, 3Q 마진 개선세 확인</t>
  </si>
  <si>
    <t>87985</t>
  </si>
  <si>
    <t>고정비 부담 확대되며 컨센서스 하회</t>
  </si>
  <si>
    <t>87984</t>
  </si>
  <si>
    <t>383930</t>
  </si>
  <si>
    <t>디티앤씨알오</t>
  </si>
  <si>
    <t>수주잔고 증가에 따른 매출 회복 전망</t>
  </si>
  <si>
    <t>87983</t>
  </si>
  <si>
    <t>유럽 해상풍력의 수요가 돋보인 3분기</t>
  </si>
  <si>
    <t>87982</t>
  </si>
  <si>
    <t>AI와 ESS로 어플리케이션 다변화</t>
  </si>
  <si>
    <t>87981</t>
  </si>
  <si>
    <t>136150</t>
  </si>
  <si>
    <t>원일티엔아이</t>
  </si>
  <si>
    <t>천연가스 및 수소 인프라 장비 기업</t>
  </si>
  <si>
    <t>87980</t>
  </si>
  <si>
    <t>조선해양 호조에 반도체 턴어라운드 수혜 예상</t>
  </si>
  <si>
    <t>87979</t>
  </si>
  <si>
    <t>2025-11-10</t>
  </si>
  <si>
    <t>강한 성장 구간 진입</t>
  </si>
  <si>
    <t>87978</t>
  </si>
  <si>
    <t>[3Q25 Review] 마진 확대 구간 진입</t>
  </si>
  <si>
    <t>87977</t>
  </si>
  <si>
    <t>3Q25 Review : Godfather of Luxury Retailer</t>
  </si>
  <si>
    <t>87976</t>
  </si>
  <si>
    <t>3Q25 Review : 투자포인트가 차고 넘치다</t>
  </si>
  <si>
    <t>87975</t>
  </si>
  <si>
    <t>3Q25 Review : 우려보다 기대</t>
  </si>
  <si>
    <t>87974</t>
  </si>
  <si>
    <t>3Q25 Review : 투자의 결실이 줄줄이 소시지처럼</t>
  </si>
  <si>
    <t>87973</t>
  </si>
  <si>
    <t>[3Q25 Review] 기대감을 실어보자</t>
  </si>
  <si>
    <t>87972</t>
  </si>
  <si>
    <t>쇄신이 필요한 시점</t>
  </si>
  <si>
    <t>87971</t>
  </si>
  <si>
    <t>구조적 개선과 긍정적 지표 확인</t>
  </si>
  <si>
    <t>87970</t>
  </si>
  <si>
    <t>3Q25 Review: 추운 겨울 다시 살아날 따뜻한 백화점 매출</t>
  </si>
  <si>
    <t>87969</t>
  </si>
  <si>
    <t>견조한 한국 Vs. 아쉬운 미국</t>
  </si>
  <si>
    <t>87968</t>
  </si>
  <si>
    <t>수주는 확인, 다음은 체력</t>
  </si>
  <si>
    <t>87967</t>
  </si>
  <si>
    <t>자회사 효율화 재확인</t>
  </si>
  <si>
    <t>87966</t>
  </si>
  <si>
    <t>긍정적으로 나타난 분기 실적 변동성</t>
  </si>
  <si>
    <t>87965</t>
  </si>
  <si>
    <t>고배당주(진)</t>
  </si>
  <si>
    <t>87964</t>
  </si>
  <si>
    <t>타워 마진 저점 통과 확인</t>
  </si>
  <si>
    <t>87963</t>
  </si>
  <si>
    <t>입항수수료 비용이 없어졌어요</t>
  </si>
  <si>
    <t>87962</t>
  </si>
  <si>
    <t>타이어만 봐도 쌉니다</t>
  </si>
  <si>
    <t>87961</t>
  </si>
  <si>
    <t>영업이익보다 높은 지배순이익. 2026년에도 증익 유효</t>
  </si>
  <si>
    <t>87960</t>
  </si>
  <si>
    <t>3Q 리뷰 - 내년 상반기를 바라본 투자는 매력적</t>
  </si>
  <si>
    <t>87959</t>
  </si>
  <si>
    <t>2025.11.07 I 기업분석_25년 3분기 컨퍼런스 콜</t>
  </si>
  <si>
    <t>87958</t>
  </si>
  <si>
    <t>많이 아쉬웠던 MD 매출 부진</t>
  </si>
  <si>
    <t>87957</t>
  </si>
  <si>
    <t>3Q25 Re: 명암이 엇갈린 자회사 실적</t>
  </si>
  <si>
    <t>87956</t>
  </si>
  <si>
    <t>전화위복</t>
  </si>
  <si>
    <t>87955</t>
  </si>
  <si>
    <t>코스알엑스 부진 상쇄할 자체 브랜드 성장</t>
  </si>
  <si>
    <t>87954</t>
  </si>
  <si>
    <t>백화점 르네상스, 면세 구조조정 완료</t>
  </si>
  <si>
    <t>87953</t>
  </si>
  <si>
    <t>해외 법인 턴어라운드 절실</t>
  </si>
  <si>
    <t>87952</t>
  </si>
  <si>
    <t>실적 견조, 마케팅 투자로 성장 가속화</t>
  </si>
  <si>
    <t>87951</t>
  </si>
  <si>
    <t>견조한 본업을 다시 한번 확인</t>
  </si>
  <si>
    <t>87950</t>
  </si>
  <si>
    <t>[NDR 후기] 애피타이저 먼저 드실까요?</t>
  </si>
  <si>
    <t>87949</t>
  </si>
  <si>
    <t>주가 추가 상승 여력 충분</t>
  </si>
  <si>
    <t>87948</t>
  </si>
  <si>
    <t>실적 개선 본격화</t>
  </si>
  <si>
    <t>87947</t>
  </si>
  <si>
    <t>확 싸진 주가</t>
  </si>
  <si>
    <t>87946</t>
  </si>
  <si>
    <t>불확실성의 시기</t>
  </si>
  <si>
    <t>87945</t>
  </si>
  <si>
    <t>빛나는 원가 경쟁력</t>
  </si>
  <si>
    <t>87944</t>
  </si>
  <si>
    <t>밸류에이션 매력 '상당히' 부각</t>
  </si>
  <si>
    <t>87943</t>
  </si>
  <si>
    <t>실적 가시성 하락</t>
  </si>
  <si>
    <t>87942</t>
  </si>
  <si>
    <t>포트폴리오 경쟁력 우위 지속</t>
  </si>
  <si>
    <t>87941</t>
  </si>
  <si>
    <t>잠시 쉬어갑니다</t>
  </si>
  <si>
    <t>87940</t>
  </si>
  <si>
    <t>아쉬운 실적</t>
  </si>
  <si>
    <t>87939</t>
  </si>
  <si>
    <t>살아나는 택배, 안정적인 CL</t>
  </si>
  <si>
    <t>87938</t>
  </si>
  <si>
    <t>배당으로 돌아올 실적 호조</t>
  </si>
  <si>
    <t>87937</t>
  </si>
  <si>
    <t>3Q25P Review: 수익성 개선 지속</t>
  </si>
  <si>
    <t>87936</t>
  </si>
  <si>
    <t>KaPT가 보여줄 차례</t>
  </si>
  <si>
    <t>87935</t>
  </si>
  <si>
    <t>견조한 3분기 실적과 비수기에 접어드는 4분기</t>
  </si>
  <si>
    <t>87934</t>
  </si>
  <si>
    <t>분위기 전환 시작</t>
  </si>
  <si>
    <t>87933</t>
  </si>
  <si>
    <t>3Q25 Review: 이제 시작일 뿐이다</t>
  </si>
  <si>
    <t>87932</t>
  </si>
  <si>
    <t>다시 한 번 역대 최대 실적</t>
  </si>
  <si>
    <t>87931</t>
  </si>
  <si>
    <t>백화점 증익 본격화</t>
  </si>
  <si>
    <t>87930</t>
  </si>
  <si>
    <t>간만에 탑라인 성장</t>
  </si>
  <si>
    <t>87929</t>
  </si>
  <si>
    <t>미국 공장 생산성 제고가 필수</t>
  </si>
  <si>
    <t>87928</t>
  </si>
  <si>
    <t>이제는 'AI 주식'이어야 한다</t>
  </si>
  <si>
    <t>87927</t>
  </si>
  <si>
    <t>다시 한번 증명</t>
  </si>
  <si>
    <t>87926</t>
  </si>
  <si>
    <t>추진력이 필요한 때</t>
  </si>
  <si>
    <t>87925</t>
  </si>
  <si>
    <t>원전 진행률 상승 영향</t>
  </si>
  <si>
    <t>87924</t>
  </si>
  <si>
    <t>계단식 성장 지속</t>
  </si>
  <si>
    <t>87923</t>
  </si>
  <si>
    <t>백화점 반등 긍정적, 그로서리 부진 과제</t>
  </si>
  <si>
    <t>87922</t>
  </si>
  <si>
    <t>비규제 발전이 이끄는 성장</t>
  </si>
  <si>
    <t>87921</t>
  </si>
  <si>
    <t>견고한 펀더멘탈 증명</t>
  </si>
  <si>
    <t>87920</t>
  </si>
  <si>
    <t>MD 매출 기대치 하회</t>
  </si>
  <si>
    <t>87919</t>
  </si>
  <si>
    <t>87918</t>
  </si>
  <si>
    <t>빠르게 변신 중. 더 빠른 속도로 상승한 주가</t>
  </si>
  <si>
    <t>87917</t>
  </si>
  <si>
    <t>동 트기 전 새벽이 가장 어둡다</t>
  </si>
  <si>
    <t>87916</t>
  </si>
  <si>
    <t>우려에서 기대의 시선으로</t>
  </si>
  <si>
    <t>87915</t>
  </si>
  <si>
    <t>부대 장비지만 필수야</t>
  </si>
  <si>
    <t>87914</t>
  </si>
  <si>
    <t>실적에 비해 과도하게 위축된 투자심리</t>
  </si>
  <si>
    <t>87913</t>
  </si>
  <si>
    <t>캐시카우는 상단을 열고 신규 장비는 새로 붙고</t>
  </si>
  <si>
    <t>87912</t>
  </si>
  <si>
    <t>악조건 속에서 피어나는 재평가 모멘텀</t>
  </si>
  <si>
    <t>87911</t>
  </si>
  <si>
    <t>견조한 실적에 한온 반등과 주주환원이 더해지면?</t>
  </si>
  <si>
    <t>87910</t>
  </si>
  <si>
    <t>[NDR 후기] 패키지기판 추가 업사이드</t>
  </si>
  <si>
    <t>87909</t>
  </si>
  <si>
    <t>높아진 기대치 대비 다소 아쉬운 실적</t>
  </si>
  <si>
    <t>87908</t>
  </si>
  <si>
    <t>단기 실적 부진 속, ESS 신규 프로젝트 기대</t>
  </si>
  <si>
    <t>87907</t>
  </si>
  <si>
    <t>기대가 너무 컸던 탓일까?</t>
  </si>
  <si>
    <t>87906</t>
  </si>
  <si>
    <t>충분히 기대감을 가져볼 만한 시기</t>
  </si>
  <si>
    <t>87905</t>
  </si>
  <si>
    <t>3Q25: 엔진가 하락은 선가 하락보다 늦다</t>
  </si>
  <si>
    <t>87904</t>
  </si>
  <si>
    <t>매년 신규수주 14조원 이상 시대를 열다⇒밸류 UP</t>
  </si>
  <si>
    <t>87903</t>
  </si>
  <si>
    <t>이제 매출 성장으로 꽃을 피울 시기</t>
  </si>
  <si>
    <t>87902</t>
  </si>
  <si>
    <t>AI 및 로봇으로 실적과 성장성 다 잡는다</t>
  </si>
  <si>
    <t>87901</t>
  </si>
  <si>
    <t>열과 전력 모두 서프라이즈</t>
  </si>
  <si>
    <t>87900</t>
  </si>
  <si>
    <t>예상보다 더 추운 겨울</t>
  </si>
  <si>
    <t>87899</t>
  </si>
  <si>
    <t>NT 판매량 증가 가시화</t>
  </si>
  <si>
    <t>87898</t>
  </si>
  <si>
    <t>2026년을 보고 베팅할 시점</t>
  </si>
  <si>
    <t>87897</t>
  </si>
  <si>
    <t>4Q25 단기 부진에도 2026년 회복은 지속</t>
  </si>
  <si>
    <t>87896</t>
  </si>
  <si>
    <t>전사 실적 가시성과 추정치 상향 전망</t>
  </si>
  <si>
    <t>87895</t>
  </si>
  <si>
    <t>EARN YOUR LEGACY</t>
  </si>
  <si>
    <t>87894</t>
  </si>
  <si>
    <t>4분기, 국내 백화점과 할인점 모두 반등 전망</t>
  </si>
  <si>
    <t>87893</t>
  </si>
  <si>
    <t>톡 개편+AI = New Normal의 시작</t>
  </si>
  <si>
    <t>87892</t>
  </si>
  <si>
    <t>안정과 속도 사이에서</t>
  </si>
  <si>
    <t>87891</t>
  </si>
  <si>
    <t>추워질수록 실적에는 온기가 돈다</t>
  </si>
  <si>
    <t>87890</t>
  </si>
  <si>
    <t>303810</t>
  </si>
  <si>
    <t>동국생명과학</t>
  </si>
  <si>
    <t>국내 1위 조영제 전문기업</t>
  </si>
  <si>
    <t>87889</t>
  </si>
  <si>
    <t>광고 부문의 구조적인 성장 기대</t>
  </si>
  <si>
    <t>87888</t>
  </si>
  <si>
    <t>완만한 속도의 정상화 과정</t>
  </si>
  <si>
    <t>87887</t>
  </si>
  <si>
    <t>309960</t>
  </si>
  <si>
    <t>LB인베스트먼트</t>
  </si>
  <si>
    <t>충전된 드라이파우더와 투자 회수 기대감</t>
  </si>
  <si>
    <t>87886</t>
  </si>
  <si>
    <t>2025-11-07</t>
  </si>
  <si>
    <t>비용은 통제했는데, 매출 성장세는 반등</t>
  </si>
  <si>
    <t>87885</t>
  </si>
  <si>
    <t>이제는 인정해야 해요</t>
  </si>
  <si>
    <t>87884</t>
  </si>
  <si>
    <t>콘텐츠 화제성에 비해 아쉬운 실적</t>
  </si>
  <si>
    <t>87883</t>
  </si>
  <si>
    <t>가볍게 맞이할 새해</t>
  </si>
  <si>
    <t>87882</t>
  </si>
  <si>
    <t>[3Q25 Review] 담보된 성장을 차근차근 실현해 나가는 중</t>
  </si>
  <si>
    <t>87881</t>
  </si>
  <si>
    <t>3Q25 Review : 격차를 줄여라</t>
  </si>
  <si>
    <t>87880</t>
  </si>
  <si>
    <t>3Q25 Review : 10년 전 일본 편의점의 향기</t>
  </si>
  <si>
    <t>87879</t>
  </si>
  <si>
    <t>곧바로 이어질 릴레이 달리기</t>
  </si>
  <si>
    <t>87878</t>
  </si>
  <si>
    <t>담배 여전히 호실적!</t>
  </si>
  <si>
    <t>87877</t>
  </si>
  <si>
    <t>국내외 본업 중심 수익성 개선</t>
  </si>
  <si>
    <t>87876</t>
  </si>
  <si>
    <t>필샷, 나이스샷</t>
  </si>
  <si>
    <t>87875</t>
  </si>
  <si>
    <t>트래픽에 대한 강한 자신감 확인</t>
  </si>
  <si>
    <t>87874</t>
  </si>
  <si>
    <t>이제 오프라인 부스터도 장착</t>
  </si>
  <si>
    <t>87873</t>
  </si>
  <si>
    <t>3Q25 Review: Wealth Management 경쟁력 기대</t>
  </si>
  <si>
    <t>87872</t>
  </si>
  <si>
    <t>좋은 실적과 더 좋은 신작일정</t>
  </si>
  <si>
    <t>87871</t>
  </si>
  <si>
    <t>3Q25 리뷰: 연결자회사 손실에도 탄탄한 방산 체력</t>
  </si>
  <si>
    <t>87870</t>
  </si>
  <si>
    <t>2025년 3분기 컨퍼런스 콜</t>
  </si>
  <si>
    <t>87869</t>
  </si>
  <si>
    <t>3Q25 Re: 예상보다 견조한 실적</t>
  </si>
  <si>
    <t>87868</t>
  </si>
  <si>
    <t>2개 분기 연속 흑자 전환</t>
  </si>
  <si>
    <t>87867</t>
  </si>
  <si>
    <t>반전의 계기는 만들었다</t>
  </si>
  <si>
    <t>87866</t>
  </si>
  <si>
    <t>바닥을 알 수 없는 TV광고</t>
  </si>
  <si>
    <t>87865</t>
  </si>
  <si>
    <t>2026년, 글로벌 성과가 필요</t>
  </si>
  <si>
    <t>87864</t>
  </si>
  <si>
    <t>주택마진은 좋았으나 가이던스는 하향</t>
  </si>
  <si>
    <t>87863</t>
  </si>
  <si>
    <t>ECH 강세는 2026년에도 지속</t>
  </si>
  <si>
    <t>87862</t>
  </si>
  <si>
    <t>견조한 실적 흐름 지속</t>
  </si>
  <si>
    <t>87861</t>
  </si>
  <si>
    <t>3Q25 Re: 국내 매출 감소 폭 축소</t>
  </si>
  <si>
    <t>87860</t>
  </si>
  <si>
    <t>완만한 감익 국면. 연간 단위 성장은 유효</t>
  </si>
  <si>
    <t>87859</t>
  </si>
  <si>
    <t>3Q 컨센 상회, MSCI 조정은 매수 기회</t>
  </si>
  <si>
    <t>87858</t>
  </si>
  <si>
    <t>3Q25 Review: 감동적인 실적</t>
  </si>
  <si>
    <t>87857</t>
  </si>
  <si>
    <t>관건은 투자목적자산 및 해외법인 실적</t>
  </si>
  <si>
    <t>87856</t>
  </si>
  <si>
    <t>3Q25 Review: 앞으로도 서프라이즈 부탁해요</t>
  </si>
  <si>
    <t>87855</t>
  </si>
  <si>
    <t>별도와 연결, 역대 최대 매출액 시현</t>
  </si>
  <si>
    <t>87854</t>
  </si>
  <si>
    <t>2026년 Capa 확대 모멘텀 기대</t>
  </si>
  <si>
    <t>87853</t>
  </si>
  <si>
    <t>모든 사업이 견인한 사상 최대 실적</t>
  </si>
  <si>
    <t>87852</t>
  </si>
  <si>
    <t>수주 확대 구간</t>
  </si>
  <si>
    <t>87851</t>
  </si>
  <si>
    <t>비수기에도 신기록, 성장의 결은 완벽</t>
  </si>
  <si>
    <t>87850</t>
  </si>
  <si>
    <t>다시 한번 서프라이즈</t>
  </si>
  <si>
    <t>87849</t>
  </si>
  <si>
    <t>내수 둔화 속 해외 성장 강화</t>
  </si>
  <si>
    <t>87848</t>
  </si>
  <si>
    <t>서구권 확장 + 수익성 개선 지속</t>
  </si>
  <si>
    <t>87847</t>
  </si>
  <si>
    <t>백억의 추억</t>
  </si>
  <si>
    <t>87846</t>
  </si>
  <si>
    <t>시청률도 실적도 V자 반등</t>
  </si>
  <si>
    <t>87845</t>
  </si>
  <si>
    <t>다 미루어질지니</t>
  </si>
  <si>
    <t>87844</t>
  </si>
  <si>
    <t>&lt;아바타&gt;는 4DX에서 봐야죠</t>
  </si>
  <si>
    <t>87843</t>
  </si>
  <si>
    <t>미국 EV 노출도 없고, ESS 성장은 명확</t>
  </si>
  <si>
    <t>87842</t>
  </si>
  <si>
    <t>3분기 호실적, 연간 가이던스는 하향 조정</t>
  </si>
  <si>
    <t>87841</t>
  </si>
  <si>
    <t>착실히 좋아지고 있습니다</t>
  </si>
  <si>
    <t>87840</t>
  </si>
  <si>
    <t>간만에 주어진 매수 기회</t>
  </si>
  <si>
    <t>87839</t>
  </si>
  <si>
    <t>3Q25P Review: 6분기 연속 최대 매출 갱신</t>
  </si>
  <si>
    <t>87838</t>
  </si>
  <si>
    <t>3Q25P Review: 해외 수출비중 상승 중</t>
  </si>
  <si>
    <t>87837</t>
  </si>
  <si>
    <t>속도 내는 체질 개선 작업</t>
  </si>
  <si>
    <t>87836</t>
  </si>
  <si>
    <t>GS칼텍스가 이끈 호실적</t>
  </si>
  <si>
    <t>87835</t>
  </si>
  <si>
    <t>2개 분기 연속 서프라이즈. 이제 믿어주자</t>
  </si>
  <si>
    <t>87834</t>
  </si>
  <si>
    <t>3Q25P Review: 분기 최대 영업이익 달성</t>
  </si>
  <si>
    <t>87833</t>
  </si>
  <si>
    <t>3Q25 Re, 소비 쿠폰은 시작</t>
  </si>
  <si>
    <t>87832</t>
  </si>
  <si>
    <t>3Q25 Re, 편의점 경쟁력 회복</t>
  </si>
  <si>
    <t>87831</t>
  </si>
  <si>
    <t>3Q25 Re, 단점 없는 완벽한 실적</t>
  </si>
  <si>
    <t>87830</t>
  </si>
  <si>
    <t>코스알엑스가 주가 상승의 관건</t>
  </si>
  <si>
    <t>87829</t>
  </si>
  <si>
    <t>수확의 계절</t>
  </si>
  <si>
    <t>87828</t>
  </si>
  <si>
    <t>요새 드라마 재밌긴 하지</t>
  </si>
  <si>
    <t>87827</t>
  </si>
  <si>
    <t>4분기 실적 서프라이즈도 기대</t>
  </si>
  <si>
    <t>87826</t>
  </si>
  <si>
    <t>천천히 바닥을 다지는 중</t>
  </si>
  <si>
    <t>87825</t>
  </si>
  <si>
    <t>코스알엑스만 턴어라운드 한다면</t>
  </si>
  <si>
    <t>87824</t>
  </si>
  <si>
    <t>4분기 역대 최대 실적 달성 전망</t>
  </si>
  <si>
    <t>87823</t>
  </si>
  <si>
    <t>3Q25 Re: 꽉 찬 육각형</t>
  </si>
  <si>
    <t>87822</t>
  </si>
  <si>
    <t>3Q25 Re, 안정적 실적, 그 이상이 필요해</t>
  </si>
  <si>
    <t>87821</t>
  </si>
  <si>
    <t>3Q25 Re: 무난한 실적, 편안한 업황</t>
  </si>
  <si>
    <t>87820</t>
  </si>
  <si>
    <t>남다른 체급</t>
  </si>
  <si>
    <t>87819</t>
  </si>
  <si>
    <t>3Q25 Re, 차별화된 실적</t>
  </si>
  <si>
    <t>87818</t>
  </si>
  <si>
    <t>3Q25 Pre, 눈높이 조정. 방향성은 그대로</t>
  </si>
  <si>
    <t>87817</t>
  </si>
  <si>
    <t>3Q25 Re: 영업이익 말고 순이익을 보셔야 합니다</t>
  </si>
  <si>
    <t>87816</t>
  </si>
  <si>
    <t>3Q25: 좋은데, 단기 모멘텀은 다소 부재</t>
  </si>
  <si>
    <t>87815</t>
  </si>
  <si>
    <t>2026년 방향성은 개선</t>
  </si>
  <si>
    <t>87814</t>
  </si>
  <si>
    <t>26년 ECH 적자 사이클 종료 예상</t>
  </si>
  <si>
    <t>87813</t>
  </si>
  <si>
    <t>Capex 축소와 원가 안정화 긍정적</t>
  </si>
  <si>
    <t>87812</t>
  </si>
  <si>
    <t>87811</t>
  </si>
  <si>
    <t>실적도 좋고, 신작도 좋고</t>
  </si>
  <si>
    <t>87810</t>
  </si>
  <si>
    <t>내년에는 더 좋을 성장</t>
  </si>
  <si>
    <t>87809</t>
  </si>
  <si>
    <t>본업은 탄탄, 회복의 키는 코스알엑스</t>
  </si>
  <si>
    <t>87808</t>
  </si>
  <si>
    <t>컨센 상회한 3Q 실적 vs 보수적인 4Q 가이던스</t>
  </si>
  <si>
    <t>87807</t>
  </si>
  <si>
    <t>구조적 성장 국면 진입</t>
  </si>
  <si>
    <t>87806</t>
  </si>
  <si>
    <t>염소 개선 가시화</t>
  </si>
  <si>
    <t>87805</t>
  </si>
  <si>
    <t>눈높이 상향으로 보는 자신감</t>
  </si>
  <si>
    <t>87804</t>
  </si>
  <si>
    <t>제한적인 성수기 효과의 아쉬움, 해외로 일부 상쇄</t>
  </si>
  <si>
    <t>87803</t>
  </si>
  <si>
    <t>괜한 실적 걱정이었다</t>
  </si>
  <si>
    <t>87802</t>
  </si>
  <si>
    <t>2025년 가이던스 하향, 불안한 2026년</t>
  </si>
  <si>
    <t>87801</t>
  </si>
  <si>
    <t>기대치 상회, 여전히 훼손되지 않은 Catalyst들</t>
  </si>
  <si>
    <t>87800</t>
  </si>
  <si>
    <t>신제품 사이클 초입 국면 진입</t>
  </si>
  <si>
    <t>87799</t>
  </si>
  <si>
    <t>견조한 성장세 지속</t>
  </si>
  <si>
    <t>87798</t>
  </si>
  <si>
    <t>업황 대비 양호</t>
  </si>
  <si>
    <t>87797</t>
  </si>
  <si>
    <t>와우 ~ 서프라이즈</t>
  </si>
  <si>
    <t>87796</t>
  </si>
  <si>
    <t>어려운 환경. 하지만, 시장 재편은 시작</t>
  </si>
  <si>
    <t>87795</t>
  </si>
  <si>
    <t>3Q25 Re: 꾸준한 성장세</t>
  </si>
  <si>
    <t>87794</t>
  </si>
  <si>
    <t>3Q25 Review: 성장하는 해외 매출이 중요</t>
  </si>
  <si>
    <t>87793</t>
  </si>
  <si>
    <t>182360</t>
  </si>
  <si>
    <t>큐브엔터</t>
  </si>
  <si>
    <t>[AI] 엔터테인먼트와 코스메틱 사업을 통한 성장 동력 확보</t>
  </si>
  <si>
    <t>87792</t>
  </si>
  <si>
    <t>123420</t>
  </si>
  <si>
    <t>위메이드플레이</t>
  </si>
  <si>
    <t>[AI] 애니팡 IP 기반 모바일 게임 전문 기업 / 한국IR협의회</t>
  </si>
  <si>
    <t>87791</t>
  </si>
  <si>
    <t>408900</t>
  </si>
  <si>
    <t>스튜디오미르</t>
  </si>
  <si>
    <t>[AI] 글로벌 OTT 플랫폼 대상 애니메이션 총괄제작 전문기업</t>
  </si>
  <si>
    <t>87790</t>
  </si>
  <si>
    <t>199550</t>
  </si>
  <si>
    <t>레이저옵텍</t>
  </si>
  <si>
    <t>[AI] 레이저 원천기술 기반 피부미용 및 질환치료 의료기기 전문기업</t>
  </si>
  <si>
    <t>87789</t>
  </si>
  <si>
    <t>[AI] 국내 식자재 유통 및 푸드서비스 시장 선도 기업</t>
  </si>
  <si>
    <t>87788</t>
  </si>
  <si>
    <t>001340</t>
  </si>
  <si>
    <t>PKC</t>
  </si>
  <si>
    <t>70년 전통의 무기화학 및 특수가스 전문기업</t>
  </si>
  <si>
    <t>87787</t>
  </si>
  <si>
    <t>011690</t>
  </si>
  <si>
    <t>와이투솔루션</t>
  </si>
  <si>
    <t>전력전자와 로봇·바이오 기술을 아우르는 고령화·자동화 솔루션 기업</t>
  </si>
  <si>
    <t>87786</t>
  </si>
  <si>
    <t>002990</t>
  </si>
  <si>
    <t>금호건설</t>
  </si>
  <si>
    <t>스마트기술과 친환경 인프라로 미래를 건설하는 종합건설사</t>
  </si>
  <si>
    <t>87785</t>
  </si>
  <si>
    <t>008420</t>
  </si>
  <si>
    <t>문배철강</t>
  </si>
  <si>
    <t>열연강판 가공 전문성을 기반 국내 대표 스틸서비스센터</t>
  </si>
  <si>
    <t>87784</t>
  </si>
  <si>
    <t>002150</t>
  </si>
  <si>
    <t>도화엔지니어링</t>
  </si>
  <si>
    <t>글로벌 SOC 엔지니어링 전문기업</t>
  </si>
  <si>
    <t>87783</t>
  </si>
  <si>
    <t>017250</t>
  </si>
  <si>
    <t>인터엠</t>
  </si>
  <si>
    <t>국내 전관방송을 선도하는 음향 토탈 솔루션 리더 기업</t>
  </si>
  <si>
    <t>87782</t>
  </si>
  <si>
    <t>슬롯 다이·슬릿 노즐 기술을 중심으로 한 공정 기술 고도화와 사업 확장</t>
  </si>
  <si>
    <t>87781</t>
  </si>
  <si>
    <t>059090</t>
  </si>
  <si>
    <t>미코</t>
  </si>
  <si>
    <t>세라믹 기반 기술력으로 반도체에서 에너지·환경으로의 사업 확장</t>
  </si>
  <si>
    <t>87780</t>
  </si>
  <si>
    <t>SCR 기반의 탈질 촉매 전문기업</t>
  </si>
  <si>
    <t>87779</t>
  </si>
  <si>
    <t>019540</t>
  </si>
  <si>
    <t>일지테크</t>
  </si>
  <si>
    <t>정밀 차체 기술로 미래차 산업을 선도하는 글로벌 자동차 부품기업</t>
  </si>
  <si>
    <t>87778</t>
  </si>
  <si>
    <t>193250</t>
  </si>
  <si>
    <t>링크드</t>
  </si>
  <si>
    <t>진동 모터 제조사로 내실을 다지고 게임·VR 콘텐츠 등 사업 다각화</t>
  </si>
  <si>
    <t>87777</t>
  </si>
  <si>
    <t>151860</t>
  </si>
  <si>
    <t>KG에코솔루션</t>
  </si>
  <si>
    <t>차세대 바이오연료 기술을 갖춘 에너지 전환 선도 기업</t>
  </si>
  <si>
    <t>87776</t>
  </si>
  <si>
    <t>098120</t>
  </si>
  <si>
    <t>마이크로컨텍솔</t>
  </si>
  <si>
    <t>반도체 검사 소켓 제조 전문기업</t>
  </si>
  <si>
    <t>87775</t>
  </si>
  <si>
    <t>064800</t>
  </si>
  <si>
    <t>포니링크</t>
  </si>
  <si>
    <t>명품 유통을 기반으로 IT·모빌리티로 사업영역을 확장하는 다각화 기업</t>
  </si>
  <si>
    <t>87774</t>
  </si>
  <si>
    <t>2025-11-06</t>
  </si>
  <si>
    <t>계절성이 뭐죠</t>
  </si>
  <si>
    <t>87773</t>
  </si>
  <si>
    <t>또다시 실망스러운 가이던스</t>
  </si>
  <si>
    <t>87772</t>
  </si>
  <si>
    <t>평가손익 부진의 영향</t>
  </si>
  <si>
    <t>87771</t>
  </si>
  <si>
    <t>또다시 변화가 필요한 시점</t>
  </si>
  <si>
    <t>87770</t>
  </si>
  <si>
    <t>3Q25 Review : 발목 잡으려는 지누스를 뿌리치는 백화점</t>
  </si>
  <si>
    <t>87769</t>
  </si>
  <si>
    <t>3Q25 Review: 본업에서 나오는 경쟁력</t>
  </si>
  <si>
    <t>87768</t>
  </si>
  <si>
    <t>SK바이오팜; 레버리지의 구간!</t>
  </si>
  <si>
    <t>87767</t>
  </si>
  <si>
    <t>이익과 투자의 선순환</t>
  </si>
  <si>
    <t>87766</t>
  </si>
  <si>
    <t>성장을 위한 투자 중</t>
  </si>
  <si>
    <t>87765</t>
  </si>
  <si>
    <t>3Q25 Review: 고객기반 확대는 여전히 높은 경쟁력 보임</t>
  </si>
  <si>
    <t>87764</t>
  </si>
  <si>
    <t>3Q25 리뷰: 전략적인 접근이 필요한 시점</t>
  </si>
  <si>
    <t>87763</t>
  </si>
  <si>
    <t>매력적인 매수 시점</t>
  </si>
  <si>
    <t>87762</t>
  </si>
  <si>
    <t>3Q25 Re: 본업 이익 성장에 기반한 호실적</t>
  </si>
  <si>
    <t>87761</t>
  </si>
  <si>
    <t>낮아진 실적 추정치에 부합</t>
  </si>
  <si>
    <t>87760</t>
  </si>
  <si>
    <t>실적과 모멘텀의 괴리</t>
  </si>
  <si>
    <t>87759</t>
  </si>
  <si>
    <t>이제는 실적이 보여야 할 시기</t>
  </si>
  <si>
    <t>87758</t>
  </si>
  <si>
    <t>2025년 3분기 컨퍼런스콜</t>
  </si>
  <si>
    <t>87757</t>
  </si>
  <si>
    <t>3Q 리뷰 - 주가 상승 재료 부족, 내년을 기약해야</t>
  </si>
  <si>
    <t>87756</t>
  </si>
  <si>
    <t>AI 성과 확인. 2026년 경쟁력 부각 기대</t>
  </si>
  <si>
    <t>87755</t>
  </si>
  <si>
    <t>3Q25 컨센 상회 vs. 4Q25 부진 전망</t>
  </si>
  <si>
    <t>87754</t>
  </si>
  <si>
    <t>핵심경쟁력 기반 성장 노력에도 아직 더딘 플랫폼 수익화</t>
  </si>
  <si>
    <t>87753</t>
  </si>
  <si>
    <t>자동차소재 호조</t>
  </si>
  <si>
    <t>87752</t>
  </si>
  <si>
    <t>비만치료제 출시로 한 단계 더 성장할 내년(NDR 후기)</t>
  </si>
  <si>
    <t>87751</t>
  </si>
  <si>
    <t>안 좋은 건 다 지나갔다</t>
  </si>
  <si>
    <t>87750</t>
  </si>
  <si>
    <t>일부 MD 매출 이연에도 컨센서스 부합</t>
  </si>
  <si>
    <t>87749</t>
  </si>
  <si>
    <t>3연속 실적 서프라이즈에도 여전히 저평가</t>
  </si>
  <si>
    <t>87748</t>
  </si>
  <si>
    <t>2026년 동박 vs 글라스기판 혼조 국면...</t>
  </si>
  <si>
    <t>87747</t>
  </si>
  <si>
    <t>3Q25 Review: 예정된 부진, 예고된 성장</t>
  </si>
  <si>
    <t>87746</t>
  </si>
  <si>
    <t>2026년 글로벌 태양광 시장 흐림!</t>
  </si>
  <si>
    <t>87745</t>
  </si>
  <si>
    <t>AI를 통한 성장성 제고</t>
  </si>
  <si>
    <t>87744</t>
  </si>
  <si>
    <t>쇼크처럼 보이지만 서프입니다</t>
  </si>
  <si>
    <t>87743</t>
  </si>
  <si>
    <t>일회성을 걷어내면 보이는 옥석</t>
  </si>
  <si>
    <t>87742</t>
  </si>
  <si>
    <t>실적성장 이상무</t>
  </si>
  <si>
    <t>87741</t>
  </si>
  <si>
    <t>긍정적인 면에 주목!</t>
  </si>
  <si>
    <t>87740</t>
  </si>
  <si>
    <t>시간이 필요</t>
  </si>
  <si>
    <t>87739</t>
  </si>
  <si>
    <t>자회사 고성장과 배당매력 부각</t>
  </si>
  <si>
    <t>87738</t>
  </si>
  <si>
    <t>주가에 반영되지 않은 호실적</t>
  </si>
  <si>
    <t>87737</t>
  </si>
  <si>
    <t>시장기대치 부합</t>
  </si>
  <si>
    <t>87736</t>
  </si>
  <si>
    <t>3Q25 Re: 영업이익 컨센 51%상회</t>
  </si>
  <si>
    <t>87735</t>
  </si>
  <si>
    <t>레이저티닙 모멘텀 유효, 차세대 성장축은 비만/MASH</t>
  </si>
  <si>
    <t>87734</t>
  </si>
  <si>
    <t>목 말랐던 목표주가 상향 근거 발생</t>
  </si>
  <si>
    <t>87733</t>
  </si>
  <si>
    <t>좋았어!</t>
  </si>
  <si>
    <t>87732</t>
  </si>
  <si>
    <t>시너지가 필요합니다</t>
  </si>
  <si>
    <t>87731</t>
  </si>
  <si>
    <t>아직도 ‘오딘’뿐</t>
  </si>
  <si>
    <t>87730</t>
  </si>
  <si>
    <t>단기 이벤트 노이즈, 중장기 성장 가시성이 중요</t>
  </si>
  <si>
    <t>87729</t>
  </si>
  <si>
    <t>3Q25 양호한 성과 달성, 이젠 2026년을 볼 때</t>
  </si>
  <si>
    <t>87728</t>
  </si>
  <si>
    <t>백화점 본격적으로 호황기 진입</t>
  </si>
  <si>
    <t>87727</t>
  </si>
  <si>
    <t>2026년과 그 이후를 기대</t>
  </si>
  <si>
    <t>87726</t>
  </si>
  <si>
    <t>쏟아진 악재와 가이던스 하향, 그리고…</t>
  </si>
  <si>
    <t>87725</t>
  </si>
  <si>
    <t>모바일 성장세 지속되었으나 일회성 인건비 인식</t>
  </si>
  <si>
    <t>87724</t>
  </si>
  <si>
    <t>3Q25P Review: 원료 의약품 수출 호조</t>
  </si>
  <si>
    <t>87723</t>
  </si>
  <si>
    <t>3Q25P Review: 전방시장 회복세 전환, 미국지역 분기 최대 매출 달성</t>
  </si>
  <si>
    <t>87722</t>
  </si>
  <si>
    <t>87721</t>
  </si>
  <si>
    <t>비빌 언덕은 배당과 밸류에이션</t>
  </si>
  <si>
    <t>87720</t>
  </si>
  <si>
    <t>숨고른 실적, 달려나가는 R&amp;D</t>
  </si>
  <si>
    <t>87719</t>
  </si>
  <si>
    <t>폴더블 아이폰으로의 시선 변화 기대</t>
  </si>
  <si>
    <t>87718</t>
  </si>
  <si>
    <t>제대로 노 저은</t>
  </si>
  <si>
    <t>87717</t>
  </si>
  <si>
    <t>실적은 좋은데</t>
  </si>
  <si>
    <t>87716</t>
  </si>
  <si>
    <t>25년에 이어 26년도 눈높이 하향 조정 필요</t>
  </si>
  <si>
    <t>87715</t>
  </si>
  <si>
    <t>조금만 더 욕심내면 어떨까?</t>
  </si>
  <si>
    <t>87714</t>
  </si>
  <si>
    <t>ESS CAPA 상향 조정, 북미 수주 기대감 확대</t>
  </si>
  <si>
    <t>87713</t>
  </si>
  <si>
    <t>경쟁력의 차이, 이젠 인정하자</t>
  </si>
  <si>
    <t>87712</t>
  </si>
  <si>
    <t>3Q25 Review, 장기 호황의 서막</t>
  </si>
  <si>
    <t>87711</t>
  </si>
  <si>
    <t>비우호적인 영업 환경 지속</t>
  </si>
  <si>
    <t>87710</t>
  </si>
  <si>
    <t>2026년 시장 기대치 +20% 상회 전망</t>
  </si>
  <si>
    <t>87709</t>
  </si>
  <si>
    <t>아직은 터널 속</t>
  </si>
  <si>
    <t>87708</t>
  </si>
  <si>
    <t>쇼앤프루브</t>
  </si>
  <si>
    <t>87707</t>
  </si>
  <si>
    <t>또 다시 기다림</t>
  </si>
  <si>
    <t>87706</t>
  </si>
  <si>
    <t>3Q25 Re, 따뜻한 겨울 맞이 준비 중</t>
  </si>
  <si>
    <t>87705</t>
  </si>
  <si>
    <t>3Q25 Re, 물꼬만 트인다면 질주 가능</t>
  </si>
  <si>
    <t>87704</t>
  </si>
  <si>
    <t>내년까지는 백화점의 시간</t>
  </si>
  <si>
    <t>87703</t>
  </si>
  <si>
    <t>3Q25 Re: 숨 고르기, 여전한 성장 기대</t>
  </si>
  <si>
    <t>87702</t>
  </si>
  <si>
    <t>엇 배당이 늘겠다</t>
  </si>
  <si>
    <t>87701</t>
  </si>
  <si>
    <t>실적 서프라이즈에 관세 리스크 완화까지!</t>
  </si>
  <si>
    <t>87700</t>
  </si>
  <si>
    <t>일회성 제외하면 예상 수준</t>
  </si>
  <si>
    <t>87699</t>
  </si>
  <si>
    <t>87698</t>
  </si>
  <si>
    <t>성장으로 답하다</t>
  </si>
  <si>
    <t>87697</t>
  </si>
  <si>
    <t>아직 인내의 구간</t>
  </si>
  <si>
    <t>87696</t>
  </si>
  <si>
    <t>내수 소비경기 호조로 백화점 실적 추정치 상향</t>
  </si>
  <si>
    <t>87695</t>
  </si>
  <si>
    <t>네이버에 AI가 스며들면 생기는 일</t>
  </si>
  <si>
    <t>87694</t>
  </si>
  <si>
    <t>다음 스토리라인을 준비할 타이밍</t>
  </si>
  <si>
    <t>87693</t>
  </si>
  <si>
    <t>2분기에 이어 연달아 실적 서프라이즈</t>
  </si>
  <si>
    <t>87692</t>
  </si>
  <si>
    <t>성장 페이스 조정 중</t>
  </si>
  <si>
    <t>87691</t>
  </si>
  <si>
    <t>대주주 교체 지연 리스크에 묻힌 호실적</t>
  </si>
  <si>
    <t>87690</t>
  </si>
  <si>
    <t>274090</t>
  </si>
  <si>
    <t>켄코아에어로스페이스</t>
  </si>
  <si>
    <t>숨고르기에 들어간 PTF, 성장세를 이어가는 미국</t>
  </si>
  <si>
    <t>87689</t>
  </si>
  <si>
    <t>상승 준비 완료</t>
  </si>
  <si>
    <t>87688</t>
  </si>
  <si>
    <t>지누스 쇼크</t>
  </si>
  <si>
    <t>87687</t>
  </si>
  <si>
    <t>메마른 시기 속 싹트는 신작 모멘텀</t>
  </si>
  <si>
    <t>87686</t>
  </si>
  <si>
    <t>대한민국 AI 혁신의 최전선</t>
  </si>
  <si>
    <t>87685</t>
  </si>
  <si>
    <t>영업일 수 효과를 감안해도 긍정적 실적</t>
  </si>
  <si>
    <t>87684</t>
  </si>
  <si>
    <t>2025-11-05</t>
  </si>
  <si>
    <t>강력한 매수 타이밍</t>
  </si>
  <si>
    <t>87683</t>
  </si>
  <si>
    <t>속도의 문제</t>
  </si>
  <si>
    <t>87682</t>
  </si>
  <si>
    <t>3Q25 Review: 영업이익 컨센서스 하회</t>
  </si>
  <si>
    <t>87681</t>
  </si>
  <si>
    <t>회복에 대한 가시성 불투명</t>
  </si>
  <si>
    <t>87680</t>
  </si>
  <si>
    <t>3Q25 Review : 두 가지 자신감을 엿보다</t>
  </si>
  <si>
    <t>87679</t>
  </si>
  <si>
    <t>보이는 방향성, 아쉬운 속도</t>
  </si>
  <si>
    <t>87678</t>
  </si>
  <si>
    <t>방향은 옳지만 성과확인에 시간소요</t>
  </si>
  <si>
    <t>87677</t>
  </si>
  <si>
    <t>더 갑니다 진짜로</t>
  </si>
  <si>
    <t>87676</t>
  </si>
  <si>
    <t>3Q25 Review: 2026년을 봐야 할 종목</t>
  </si>
  <si>
    <t>87675</t>
  </si>
  <si>
    <t>3Q25 Review: 내년을 보자</t>
  </si>
  <si>
    <t>87674</t>
  </si>
  <si>
    <t>국내 물량 YoY 증가 전환, 영업이익도 일회성 제외시 턴어라운드</t>
  </si>
  <si>
    <t>87673</t>
  </si>
  <si>
    <t>경쟁 상황 감안 시 웰메이드 및 UGC 모드의 성공이 중요</t>
  </si>
  <si>
    <t>87672</t>
  </si>
  <si>
    <t>유저 거래 증가와 함께 이루어지는 AI 전환</t>
  </si>
  <si>
    <t>87671</t>
  </si>
  <si>
    <t>건물 사이에 피어난 장미</t>
  </si>
  <si>
    <t>87670</t>
  </si>
  <si>
    <t>우려를 반영한 주가</t>
  </si>
  <si>
    <t>87669</t>
  </si>
  <si>
    <t>멀티플 변화의 포착이 중요한 시점</t>
  </si>
  <si>
    <t>87668</t>
  </si>
  <si>
    <t>2개 분기 연속 다소 아쉬운 비용 이슈</t>
  </si>
  <si>
    <t>87667</t>
  </si>
  <si>
    <t>3분기 영업실적 예상치 부합!</t>
  </si>
  <si>
    <t>87666</t>
  </si>
  <si>
    <t>3Q25 Re: 4Q부터 기저 열차 탑승</t>
  </si>
  <si>
    <t>87665</t>
  </si>
  <si>
    <t>부동산 업황만 개선된다면</t>
  </si>
  <si>
    <t>87664</t>
  </si>
  <si>
    <t>이제부터는 숫자로 승부</t>
  </si>
  <si>
    <t>87663</t>
  </si>
  <si>
    <t>긍정적 포인트 대기 중인 2026년</t>
  </si>
  <si>
    <t>87662</t>
  </si>
  <si>
    <t>시장 예상치 하회, 녹록치 않은 업황</t>
  </si>
  <si>
    <t>87661</t>
  </si>
  <si>
    <t>탄탄한 펀더멘탈, 하지만 트리거 부재</t>
  </si>
  <si>
    <t>87660</t>
  </si>
  <si>
    <t>원가율 개선 지속</t>
  </si>
  <si>
    <t>87659</t>
  </si>
  <si>
    <t>3Q25 Review: 이익 개선 가속 구간</t>
  </si>
  <si>
    <t>87658</t>
  </si>
  <si>
    <t>호실적은 긍정적이나, 여전히 아쉽다</t>
  </si>
  <si>
    <t>87657</t>
  </si>
  <si>
    <t>3Q25P Review: 예상치 부합</t>
  </si>
  <si>
    <t>87656</t>
  </si>
  <si>
    <t>실적에 숨어있는 가능성</t>
  </si>
  <si>
    <t>87655</t>
  </si>
  <si>
    <t>3Q25 Review: 내년이 되면 사라질 문제</t>
  </si>
  <si>
    <t>87654</t>
  </si>
  <si>
    <t>87653</t>
  </si>
  <si>
    <t>가이던스 하향, 그러나 터널의 끝이 보인다</t>
  </si>
  <si>
    <t>87652</t>
  </si>
  <si>
    <t>87651</t>
  </si>
  <si>
    <t>3Q25 Preview: 견조한 가동률</t>
  </si>
  <si>
    <t>87650</t>
  </si>
  <si>
    <t>87649</t>
  </si>
  <si>
    <t>전고객 유심 무료 교체 관련 Comment</t>
  </si>
  <si>
    <t>87648</t>
  </si>
  <si>
    <t>빨라진 정상화, 길어진 호흡</t>
  </si>
  <si>
    <t>87647</t>
  </si>
  <si>
    <t>중국 시장은 시간이 필요하다</t>
  </si>
  <si>
    <t>87646</t>
  </si>
  <si>
    <t>본업 적자 지속, 부족한 단기 모멘텀</t>
  </si>
  <si>
    <t>87645</t>
  </si>
  <si>
    <t>87644</t>
  </si>
  <si>
    <t>신작 출시 전까진 PUBG 트래픽/매출이 관건</t>
  </si>
  <si>
    <t>87643</t>
  </si>
  <si>
    <t>헝가리 공장 완공과 중저가 라인업 확대</t>
  </si>
  <si>
    <t>87642</t>
  </si>
  <si>
    <t>이젠 다시 관심 가져야</t>
  </si>
  <si>
    <t>87641</t>
  </si>
  <si>
    <t>속도보다 방향</t>
  </si>
  <si>
    <t>87640</t>
  </si>
  <si>
    <t>3Q25P Review: 신제품 출시 효과 기대</t>
  </si>
  <si>
    <t>87639</t>
  </si>
  <si>
    <t>수익성은 안정 추세, 외형 반등 위한 수주 필요</t>
  </si>
  <si>
    <t>87638</t>
  </si>
  <si>
    <t>3Q25P Review: G사 모바일 첫 로열티 매출 발생</t>
  </si>
  <si>
    <t>87637</t>
  </si>
  <si>
    <t>반덤핑 관세 효과를 기대한다</t>
  </si>
  <si>
    <t>87636</t>
  </si>
  <si>
    <t>시장을 만족시킬 하반기 실적</t>
  </si>
  <si>
    <t>87635</t>
  </si>
  <si>
    <t>AI 메모리 수혜 가시화</t>
  </si>
  <si>
    <t>87634</t>
  </si>
  <si>
    <t>드디어 증익이 코앞에</t>
  </si>
  <si>
    <t>87633</t>
  </si>
  <si>
    <t>묵묵히 걸어가는 중</t>
  </si>
  <si>
    <t>87632</t>
  </si>
  <si>
    <t>펍지 &gt; 배틀필드6</t>
  </si>
  <si>
    <t>87631</t>
  </si>
  <si>
    <t>Pay Premium?</t>
  </si>
  <si>
    <t>87630</t>
  </si>
  <si>
    <t>이제 관건은 매출 회복</t>
  </si>
  <si>
    <t>87629</t>
  </si>
  <si>
    <t>중기적 관점으로 접근</t>
  </si>
  <si>
    <t>87628</t>
  </si>
  <si>
    <t>열심히 하시잖아</t>
  </si>
  <si>
    <t>87627</t>
  </si>
  <si>
    <t>시밀러 캐시카우로 신약 모달리티 확장</t>
  </si>
  <si>
    <t>87626</t>
  </si>
  <si>
    <t>수익성에서 보이는 회사의 체질 개선</t>
  </si>
  <si>
    <t>87625</t>
  </si>
  <si>
    <t>보여줄 성장이 더 큰 의료 AI의 대표주자</t>
  </si>
  <si>
    <t>87624</t>
  </si>
  <si>
    <t>감익에서 증익으로 전환</t>
  </si>
  <si>
    <t>87623</t>
  </si>
  <si>
    <t>훈풍이 살짝 느렸지만</t>
  </si>
  <si>
    <t>87622</t>
  </si>
  <si>
    <t>드디어 벗어난 합병의 그늘</t>
  </si>
  <si>
    <t>87621</t>
  </si>
  <si>
    <t>구조적 변화를 위한 준비 중</t>
  </si>
  <si>
    <t>87620</t>
  </si>
  <si>
    <t>기다림의 미학</t>
  </si>
  <si>
    <t>87619</t>
  </si>
  <si>
    <t>2025-11-04</t>
  </si>
  <si>
    <t>010620</t>
  </si>
  <si>
    <t>HD현대미포</t>
  </si>
  <si>
    <t>영업이익 컨센서스 92.4% 상회</t>
  </si>
  <si>
    <t>87618</t>
  </si>
  <si>
    <t>상선 OPM 13%, 엔진 OPM 21%</t>
  </si>
  <si>
    <t>87617</t>
  </si>
  <si>
    <t>우호적인 업황 진입</t>
  </si>
  <si>
    <t>87616</t>
  </si>
  <si>
    <t>[3Q25 Review] 아직 보여줄 게 많다</t>
  </si>
  <si>
    <t>87615</t>
  </si>
  <si>
    <t>[3Q25 Review] 결국 실적과 수주로 증명할 것</t>
  </si>
  <si>
    <t>87614</t>
  </si>
  <si>
    <t>3Q25 Review : 지나간 부진보다는 다가올 반등에 주목</t>
  </si>
  <si>
    <t>87613</t>
  </si>
  <si>
    <t>상황이 달라졌다. 바토클리맙 가치 재평가 필요</t>
  </si>
  <si>
    <t>87612</t>
  </si>
  <si>
    <t>29년까지 성장합니다</t>
  </si>
  <si>
    <t>87611</t>
  </si>
  <si>
    <t>생산성 어디까지 올라가는 거에요?</t>
  </si>
  <si>
    <t>87610</t>
  </si>
  <si>
    <t>화려하진 않지만 탄탄하다.</t>
  </si>
  <si>
    <t>87609</t>
  </si>
  <si>
    <t>NDR 후기: 메모리의 TSMC로 변화</t>
  </si>
  <si>
    <t>87608</t>
  </si>
  <si>
    <t>3Q25 리뷰: 기대치 부합하는 양호한 실적</t>
  </si>
  <si>
    <t>87607</t>
  </si>
  <si>
    <t>3Q25 리뷰: 연결자회사 부진에도 기대치 부합</t>
  </si>
  <si>
    <t>87606</t>
  </si>
  <si>
    <t>3Q25 Re: 안정적 실적 흐름, 주가는 지나친 저평가</t>
  </si>
  <si>
    <t>87605</t>
  </si>
  <si>
    <t>87604</t>
  </si>
  <si>
    <t>예상보다 빠른 실적 성장</t>
  </si>
  <si>
    <t>87603</t>
  </si>
  <si>
    <t>예상 외의 호실적 달성</t>
  </si>
  <si>
    <t>87602</t>
  </si>
  <si>
    <t>엔진과 부품 모두 빠르게 성장</t>
  </si>
  <si>
    <t>87601</t>
  </si>
  <si>
    <t>지분가치 상승과 북미 진출 기대감</t>
  </si>
  <si>
    <t>87600</t>
  </si>
  <si>
    <t>26년 중간배당 도입 예상</t>
  </si>
  <si>
    <t>87599</t>
  </si>
  <si>
    <t>밸류업 추가 공시 기대</t>
  </si>
  <si>
    <t>87598</t>
  </si>
  <si>
    <t>3Q25 Review: 실적 부합. 수주 기대감 상회</t>
  </si>
  <si>
    <t>87597</t>
  </si>
  <si>
    <t>3Q25 Review: 지상방산 부문 이익 체력 확인</t>
  </si>
  <si>
    <t>87596</t>
  </si>
  <si>
    <t>핵잠수함 이야기 - 표면보다 수면 아래를 보자</t>
  </si>
  <si>
    <t>87595</t>
  </si>
  <si>
    <t>증명하고 있는 전임상 결과들</t>
  </si>
  <si>
    <t>87594</t>
  </si>
  <si>
    <t>고성장하는 LNG</t>
  </si>
  <si>
    <t>87593</t>
  </si>
  <si>
    <t>흔들림 없는 실적</t>
  </si>
  <si>
    <t>87592</t>
  </si>
  <si>
    <t>분기 사상 최대 실적 시현</t>
  </si>
  <si>
    <t>87591</t>
  </si>
  <si>
    <t>운영선대 축소로 실적 예상 하회</t>
  </si>
  <si>
    <t>87590</t>
  </si>
  <si>
    <t>302440</t>
  </si>
  <si>
    <t>SK바이오사이언스</t>
  </si>
  <si>
    <t>수익성 회복세 지속, PCV21가 임상 순항중</t>
  </si>
  <si>
    <t>87589</t>
  </si>
  <si>
    <t>전 세계로 뻗어나가는 K2</t>
  </si>
  <si>
    <t>87588</t>
  </si>
  <si>
    <t>3Q25P Review: 중장기 관점에서 투자 권유</t>
  </si>
  <si>
    <t>87587</t>
  </si>
  <si>
    <t>해외 매출 성장과 브랜드 포트폴리오 확대</t>
  </si>
  <si>
    <t>87586</t>
  </si>
  <si>
    <t>3Q25 Review: 시장 기대치 부합</t>
  </si>
  <si>
    <t>87585</t>
  </si>
  <si>
    <t>2026년을 위한 밑그림</t>
  </si>
  <si>
    <t>87584</t>
  </si>
  <si>
    <t>방산 수출마진 41%로 이익개선 지속</t>
  </si>
  <si>
    <t>87583</t>
  </si>
  <si>
    <t>정제마진 강세가 온전히 반영될 4분기</t>
  </si>
  <si>
    <t>87582</t>
  </si>
  <si>
    <t>3Q25 Re, 궤도에 오른 방산 실적</t>
  </si>
  <si>
    <t>87581</t>
  </si>
  <si>
    <t>87580</t>
  </si>
  <si>
    <t>3Q25P Review: 4분기 단가 인상 기대</t>
  </si>
  <si>
    <t>87579</t>
  </si>
  <si>
    <t>호황을 반영하지 못하고 있는 주가</t>
  </si>
  <si>
    <t>87578</t>
  </si>
  <si>
    <t xml:space="preserve"> 더해지는 자신감</t>
  </si>
  <si>
    <t>87577</t>
  </si>
  <si>
    <t>3Q25: 폴란드는 주춧돌일 뿐</t>
  </si>
  <si>
    <t>87576</t>
  </si>
  <si>
    <t>3Q25: 서프라이즈는 계속, 편히 가져가자</t>
  </si>
  <si>
    <t>87575</t>
  </si>
  <si>
    <t>3Q25 Re, 신중한 스탠스 유지</t>
  </si>
  <si>
    <t>87574</t>
  </si>
  <si>
    <t>높아진 기저에도, 선방한 실적</t>
  </si>
  <si>
    <t>87573</t>
  </si>
  <si>
    <t>정제마진 강세 vs 유가 약세 사이의 고민</t>
  </si>
  <si>
    <t>87572</t>
  </si>
  <si>
    <t>LNG 밸류체인에서 종횡적 확장이 가장 기대되는 업체</t>
  </si>
  <si>
    <t>87571</t>
  </si>
  <si>
    <t>웨스틴 재개장, 시작이 좋은데요?</t>
  </si>
  <si>
    <t>87570</t>
  </si>
  <si>
    <t>87569</t>
  </si>
  <si>
    <t>3Q25 Re, 방산 매출 급증, 수주잔고 30조원</t>
  </si>
  <si>
    <t>87568</t>
  </si>
  <si>
    <t>MASGA는 아직 시작도 안 했다</t>
  </si>
  <si>
    <t>87567</t>
  </si>
  <si>
    <t>다작의 허실</t>
  </si>
  <si>
    <t>87566</t>
  </si>
  <si>
    <t>발행가액 상향은 곧 이자비용 축소</t>
  </si>
  <si>
    <t>87565</t>
  </si>
  <si>
    <t>부품도 본격적인 성장 궤도에 진입</t>
  </si>
  <si>
    <t>87564</t>
  </si>
  <si>
    <t>417010</t>
  </si>
  <si>
    <t>나노팀</t>
  </si>
  <si>
    <t>혁신 소재 제품으로 성장을 도모 중</t>
  </si>
  <si>
    <t>87563</t>
  </si>
  <si>
    <t>미포야, 그동안 정말 수고 많았어</t>
  </si>
  <si>
    <t>87562</t>
  </si>
  <si>
    <t>CGM 올해 목표치 무난하게 초과 달성할 것</t>
  </si>
  <si>
    <t>87561</t>
  </si>
  <si>
    <t>2025-11-03</t>
  </si>
  <si>
    <t>어려운 영업환경에도 LGES 지분 활용 기대감</t>
  </si>
  <si>
    <t>87560</t>
  </si>
  <si>
    <t>배터리 부진을 상쇄한 정유</t>
  </si>
  <si>
    <t>87559</t>
  </si>
  <si>
    <t>[3Q25 Review] 관세 15%와 신차 확대로 26년 실적 우상향</t>
  </si>
  <si>
    <t>87558</t>
  </si>
  <si>
    <t>[3Q25 Review] 관세 영향은 3Q 기점으로 Peak-out</t>
  </si>
  <si>
    <t>87557</t>
  </si>
  <si>
    <t>이익 성장의 축이 차량SW에서 SI로 전환</t>
  </si>
  <si>
    <t>87556</t>
  </si>
  <si>
    <t>연간 경상 이익이 8,000억원 근접할 전망</t>
  </si>
  <si>
    <t>87555</t>
  </si>
  <si>
    <t>마진 전망치 조정으로 이익 추정 상향</t>
  </si>
  <si>
    <t>87554</t>
  </si>
  <si>
    <t>주가 조정시 매수는 유효하지만</t>
  </si>
  <si>
    <t>87553</t>
  </si>
  <si>
    <t>하나씩 찾아가는 리레이팅의 실마리</t>
  </si>
  <si>
    <t>87552</t>
  </si>
  <si>
    <t>필리 적자 지속되나 기대되는 두 가지 모멘텀</t>
  </si>
  <si>
    <t>87551</t>
  </si>
  <si>
    <t>서비스에서 인프라로, 네이버 AI 패러다임의 변화</t>
  </si>
  <si>
    <t>87550</t>
  </si>
  <si>
    <t>관세는 지나가는 바람일 뿐</t>
  </si>
  <si>
    <t>87549</t>
  </si>
  <si>
    <t>비용이 집중된 분기</t>
  </si>
  <si>
    <t>87548</t>
  </si>
  <si>
    <t>CAPA 확대에서 드러나는 자신감</t>
  </si>
  <si>
    <t>87547</t>
  </si>
  <si>
    <t>증명의 시간</t>
  </si>
  <si>
    <t>87546</t>
  </si>
  <si>
    <t>새로운 목표 제시 필요</t>
  </si>
  <si>
    <t>87545</t>
  </si>
  <si>
    <t>광고 성과는 긍정적. 글로벌 사업은 긴 호흡으로 지켜보아야</t>
  </si>
  <si>
    <t>87544</t>
  </si>
  <si>
    <t>3Q25 Review 컨센상회, 양호한 수요</t>
  </si>
  <si>
    <t>87543</t>
  </si>
  <si>
    <t>3Q25 Review 컨센상회, 견조한 실적</t>
  </si>
  <si>
    <t>87542</t>
  </si>
  <si>
    <t>082640</t>
  </si>
  <si>
    <t>동양생명</t>
  </si>
  <si>
    <t>아직은 내실 다시기, 장기적 시너지 기대는 유효</t>
  </si>
  <si>
    <t>87541</t>
  </si>
  <si>
    <t>3Q25 Review: 지속적인 CET1 비율 상승 긍정적</t>
  </si>
  <si>
    <t>87540</t>
  </si>
  <si>
    <t>3Q25 Review: 신차 효과 발현 시, 넉넉한 업사이드</t>
  </si>
  <si>
    <t>87539</t>
  </si>
  <si>
    <t>3Q25 Review: YTD 400% 상승에도 남아있는 여력</t>
  </si>
  <si>
    <t>87538</t>
  </si>
  <si>
    <t>3Q25 Review: 불확실성 존재, 그럼에도 높은 기저</t>
  </si>
  <si>
    <t>87537</t>
  </si>
  <si>
    <t>계획대로 잘 가는 중</t>
  </si>
  <si>
    <t>87536</t>
  </si>
  <si>
    <t>부진한 업황에도 상대적인 선방!</t>
  </si>
  <si>
    <t>87535</t>
  </si>
  <si>
    <t>3분기 어닝쇼크 이후 4분기 정상화 전망</t>
  </si>
  <si>
    <t>87534</t>
  </si>
  <si>
    <t>실적 서프는 일회성 때문이지만 건전성 회복 효과도 상당</t>
  </si>
  <si>
    <t>87533</t>
  </si>
  <si>
    <t>광고가 살아나기 시작</t>
  </si>
  <si>
    <t>87532</t>
  </si>
  <si>
    <t>아쉬움의 3분기. 실적 바닥은 통과</t>
  </si>
  <si>
    <t>87531</t>
  </si>
  <si>
    <t>이제서야 산 중턱</t>
  </si>
  <si>
    <t>87530</t>
  </si>
  <si>
    <t>인고의 시간을 지나 턴어라운드 진행 중</t>
  </si>
  <si>
    <t>87529</t>
  </si>
  <si>
    <t>관세 비용이 낮아져 이익률 0.4%p 상승 가능</t>
  </si>
  <si>
    <t>87528</t>
  </si>
  <si>
    <t>신규 사업 추가 확대</t>
  </si>
  <si>
    <t>87527</t>
  </si>
  <si>
    <t>건축주택 마진은 좋았으나, 여러 1회성 비용이 발생</t>
  </si>
  <si>
    <t>87526</t>
  </si>
  <si>
    <t>중국 스판덱스 업황 개선 중</t>
  </si>
  <si>
    <t>87525</t>
  </si>
  <si>
    <t>컨센 대폭 상회로 목표주가 상향</t>
  </si>
  <si>
    <t>87524</t>
  </si>
  <si>
    <t>시장 컨센서스가 너무 낮다</t>
  </si>
  <si>
    <t>87523</t>
  </si>
  <si>
    <t>4Q25는 부진하나, 2026년 기대감은 유효</t>
  </si>
  <si>
    <t>87522</t>
  </si>
  <si>
    <t>3Q25 일회성 비용 대거 반영. 4Q25 회복</t>
  </si>
  <si>
    <t>87521</t>
  </si>
  <si>
    <t>연중 자본비율 13% 달성 예상</t>
  </si>
  <si>
    <t>87520</t>
  </si>
  <si>
    <t>3Q25 Review: 영역 구분 시점, 역량과 대응</t>
  </si>
  <si>
    <t>87519</t>
  </si>
  <si>
    <t>확신을 넘어, 질주는 계속된다</t>
  </si>
  <si>
    <t>87518</t>
  </si>
  <si>
    <t>변동성은 있으나 방향성은 유지</t>
  </si>
  <si>
    <t>87517</t>
  </si>
  <si>
    <t>총주주환원율 50% 멀지 않았다</t>
  </si>
  <si>
    <t>87516</t>
  </si>
  <si>
    <t>걱정말아요 그대</t>
  </si>
  <si>
    <t>87515</t>
  </si>
  <si>
    <t>3Q 비수기 주가 하락, 4Q 성수기에는?</t>
  </si>
  <si>
    <t>87514</t>
  </si>
  <si>
    <t>제품 포트폴리오 변화 중</t>
  </si>
  <si>
    <t>87513</t>
  </si>
  <si>
    <t>낮은 자본비율 지속 전망</t>
  </si>
  <si>
    <t>87512</t>
  </si>
  <si>
    <t>10%에 달하는 주주환원수익률 예상</t>
  </si>
  <si>
    <t>87511</t>
  </si>
  <si>
    <t>주주환원율 50% 조기 달성 예상</t>
  </si>
  <si>
    <t>87510</t>
  </si>
  <si>
    <t>넘치는 곳간</t>
  </si>
  <si>
    <t>87509</t>
  </si>
  <si>
    <t>자회사 지분 디스카운트 점진적 해소 전망</t>
  </si>
  <si>
    <t>87508</t>
  </si>
  <si>
    <t>투자의견 '중립'으로 상향</t>
  </si>
  <si>
    <t>87507</t>
  </si>
  <si>
    <t>3Q25 Review: 역관세 효과</t>
  </si>
  <si>
    <t>87506</t>
  </si>
  <si>
    <t>3Q25 Review: 영업이익률 급락</t>
  </si>
  <si>
    <t>87505</t>
  </si>
  <si>
    <t>3Q25 Review: Physical AI 인프라 투자의 수혜</t>
  </si>
  <si>
    <t>87504</t>
  </si>
  <si>
    <t>거친 항해 중에는 안락한 곳이 그립기 마련이다</t>
  </si>
  <si>
    <t>87503</t>
  </si>
  <si>
    <t>해외 비용 이슈로 시장 예상치 하회</t>
  </si>
  <si>
    <t>87502</t>
  </si>
  <si>
    <t>낮아진 시장 예상치 상회, 원전 기대감 유효</t>
  </si>
  <si>
    <t>87501</t>
  </si>
  <si>
    <t>필리의 안정화가 관건</t>
  </si>
  <si>
    <t>87500</t>
  </si>
  <si>
    <t>ESS로 배터리 포트폴리오 강화</t>
  </si>
  <si>
    <t>87499</t>
  </si>
  <si>
    <t>3Q25 리뷰: 관세 분담 성과 중요한 시점</t>
  </si>
  <si>
    <t>87498</t>
  </si>
  <si>
    <t>3Q25P Review: 높은 배당수익률 기대</t>
  </si>
  <si>
    <t>87497</t>
  </si>
  <si>
    <t>3Q25 리뷰: 관세 상쇄 아쉬우나 매력적인 배당</t>
  </si>
  <si>
    <t>87496</t>
  </si>
  <si>
    <t>2026년: R&amp;D 부문 성과 기대</t>
  </si>
  <si>
    <t>87495</t>
  </si>
  <si>
    <t>저점을 통과한 실적과 배당수익률 5.4%</t>
  </si>
  <si>
    <t>87494</t>
  </si>
  <si>
    <t>국제유가 변화로 인한 실적 반등</t>
  </si>
  <si>
    <t>87493</t>
  </si>
  <si>
    <t>도약을 위한 움츠림</t>
  </si>
  <si>
    <t>87492</t>
  </si>
  <si>
    <t>3분기부터 이익 성장 본격화 예상</t>
  </si>
  <si>
    <t>87491</t>
  </si>
  <si>
    <t>임상에서 증명한 글로벌 기술경쟁력</t>
  </si>
  <si>
    <t>87490</t>
  </si>
  <si>
    <t>안정적인 수익력을 보여주는 실적</t>
  </si>
  <si>
    <t>87489</t>
  </si>
  <si>
    <t>달라질 2026년을 기다리며</t>
  </si>
  <si>
    <t>87488</t>
  </si>
  <si>
    <t>3Q25 Review: 내실 다지기</t>
  </si>
  <si>
    <t>87487</t>
  </si>
  <si>
    <t>주가만 좋은게 아니라 실적도 좋은 회사</t>
  </si>
  <si>
    <t>87486</t>
  </si>
  <si>
    <t>여전히 높은 성장 여력</t>
  </si>
  <si>
    <t>87485</t>
  </si>
  <si>
    <t>우려 대비 양호한 업황</t>
  </si>
  <si>
    <t>87484</t>
  </si>
  <si>
    <t>실적 저점 통과 중. 2026년 방산 정상화 기대</t>
  </si>
  <si>
    <t>87483</t>
  </si>
  <si>
    <t>87482</t>
  </si>
  <si>
    <t>단기 실적 부진에도 중장기 성장 기대감 유효</t>
  </si>
  <si>
    <t>87481</t>
  </si>
  <si>
    <t>중공업 사업부 실적개선 이어진다</t>
  </si>
  <si>
    <t>87480</t>
  </si>
  <si>
    <t>내려간 실적 기대감만큼 올라간 원전 기대감</t>
  </si>
  <si>
    <t>87479</t>
  </si>
  <si>
    <t>신성장 동력에 대한 기대</t>
  </si>
  <si>
    <t>87478</t>
  </si>
  <si>
    <t>배터리 부진을 본업으로 상쇄</t>
  </si>
  <si>
    <t>87477</t>
  </si>
  <si>
    <t>3Q25 Review, 호황 지속</t>
  </si>
  <si>
    <t>87476</t>
  </si>
  <si>
    <t>고민의 구간</t>
  </si>
  <si>
    <t>87475</t>
  </si>
  <si>
    <t>3Q25 Re 또 서프라이즈, 300만원을 향해</t>
  </si>
  <si>
    <t>87474</t>
  </si>
  <si>
    <t>고객 다변화 추진 중</t>
  </si>
  <si>
    <t>87473</t>
  </si>
  <si>
    <t>스판덱스 판매량 개선 중</t>
  </si>
  <si>
    <t>87472</t>
  </si>
  <si>
    <t>정유 중심의 실적 개선</t>
  </si>
  <si>
    <t>87471</t>
  </si>
  <si>
    <t>실적 부진에도 꺾이지 않을 중장기 기대감</t>
  </si>
  <si>
    <t>87470</t>
  </si>
  <si>
    <t>87469</t>
  </si>
  <si>
    <t>내년부터 북미 主流市場 진출 본격화 될 듯</t>
  </si>
  <si>
    <t>87468</t>
  </si>
  <si>
    <t>지속되는 해외 수주 지연 부담</t>
  </si>
  <si>
    <t>87467</t>
  </si>
  <si>
    <t>2026년 실적 일회성 비용만 없다면 좋을 것</t>
  </si>
  <si>
    <t>87466</t>
  </si>
  <si>
    <t>더 강한 모멘텀이 필요하다</t>
  </si>
  <si>
    <t>87465</t>
  </si>
  <si>
    <t>눈에 띄는 건전성 지표 개선</t>
  </si>
  <si>
    <t>87464</t>
  </si>
  <si>
    <t>3Q25: 필리 조선소와 단독수출의 밝은 미래</t>
  </si>
  <si>
    <t>87463</t>
  </si>
  <si>
    <t>2026년 점진적 개선 지속</t>
  </si>
  <si>
    <t>87462</t>
  </si>
  <si>
    <t>실적 저점 통과 중. AI 사업 모멘텀 주목</t>
  </si>
  <si>
    <t>87461</t>
  </si>
  <si>
    <t>풍파를 이겨내는 견고함</t>
  </si>
  <si>
    <t>87460</t>
  </si>
  <si>
    <t>가장 큰 고비를 넘긴 듯</t>
  </si>
  <si>
    <t>87459</t>
  </si>
  <si>
    <t>AI 데이터센터 활용 가능성 UP ⇒ 성장성 UP</t>
  </si>
  <si>
    <t>87458</t>
  </si>
  <si>
    <t>원전, 바이오, 지배구조로 밸류 성장성 가속화</t>
  </si>
  <si>
    <t>87457</t>
  </si>
  <si>
    <t>26년 실적 개선과 LGES 지분 추가 활용에 주목</t>
  </si>
  <si>
    <t>87456</t>
  </si>
  <si>
    <t>서프라이즈의 의미</t>
  </si>
  <si>
    <t>87455</t>
  </si>
  <si>
    <t>87454</t>
  </si>
  <si>
    <t>결국은 주택</t>
  </si>
  <si>
    <t>87453</t>
  </si>
  <si>
    <t>미국 ESS 진출은 고무적. 그러나 아쉬운 규모</t>
  </si>
  <si>
    <t>87452</t>
  </si>
  <si>
    <t>치아교정기의 새로운 미래</t>
  </si>
  <si>
    <t>87451</t>
  </si>
  <si>
    <t>게임은 중간이 없다</t>
  </si>
  <si>
    <t>87450</t>
  </si>
  <si>
    <t>3Q25 Review: 손실의 계절이 지나면, 원전의 봄으로</t>
  </si>
  <si>
    <t>87449</t>
  </si>
  <si>
    <t>3Q25 Re 투자 증가로 쇼크, 측정 불가</t>
  </si>
  <si>
    <t>87448</t>
  </si>
  <si>
    <t>기대에 미치지 못한 실적</t>
  </si>
  <si>
    <t>87447</t>
  </si>
  <si>
    <t>일회성이익, 비은행 개선으로 최대순이익 가능</t>
  </si>
  <si>
    <t>87446</t>
  </si>
  <si>
    <t>순이익 급감에도 배당 컷은 없으리라</t>
  </si>
  <si>
    <t>87445</t>
  </si>
  <si>
    <t>불확실성 해소, 이제 멀리 보자</t>
  </si>
  <si>
    <t>87444</t>
  </si>
  <si>
    <t>좋지 않은 전방</t>
  </si>
  <si>
    <t>87443</t>
  </si>
  <si>
    <t>3Q25 Review: 토목부문 수익성 훼손 지속</t>
  </si>
  <si>
    <t>87442</t>
  </si>
  <si>
    <t>4대 핵심 전략의 성과!</t>
  </si>
  <si>
    <t>87441</t>
  </si>
  <si>
    <t>명확한 성장 스토리</t>
  </si>
  <si>
    <t>87440</t>
  </si>
  <si>
    <t>네이버? 섭섭하고 놀랍지만, 손해볼게 없는 장사</t>
  </si>
  <si>
    <t>87439</t>
  </si>
  <si>
    <t>우호적인 환경 속에 체질 개선도 빨라질 전망</t>
  </si>
  <si>
    <t>87438</t>
  </si>
  <si>
    <t>음극재와 미국 ESS 시장 진입이 Key</t>
  </si>
  <si>
    <t>87437</t>
  </si>
  <si>
    <t>2025-10-31</t>
  </si>
  <si>
    <t>3Q25 Re: 리테일과 트레이딩 부문 모두 선방</t>
  </si>
  <si>
    <t>87436</t>
  </si>
  <si>
    <t>증명했습니다</t>
  </si>
  <si>
    <t>87435</t>
  </si>
  <si>
    <t>북미에서 수주도 잘 받고, 생산도 잘하고 있네요</t>
  </si>
  <si>
    <t>87434</t>
  </si>
  <si>
    <t>역시 믿을맨. 감춰질 수 없는 강력한 펀더멘털 표출</t>
  </si>
  <si>
    <t>87433</t>
  </si>
  <si>
    <t>우려는 우려일 뿐</t>
  </si>
  <si>
    <t>87432</t>
  </si>
  <si>
    <t>그룹사 호황과 데이터센터로 장기 성장발판 마련</t>
  </si>
  <si>
    <t>87431</t>
  </si>
  <si>
    <t>이제 모멘텀 상방에 집중할 시점</t>
  </si>
  <si>
    <t>87430</t>
  </si>
  <si>
    <t>쉬어갈 4분기, 중장기 방향성에 주목</t>
  </si>
  <si>
    <t>87429</t>
  </si>
  <si>
    <t>K방산 세계화 1선발</t>
  </si>
  <si>
    <t>87428</t>
  </si>
  <si>
    <t>3Q25 Re: 제대로 부활</t>
  </si>
  <si>
    <t>87427</t>
  </si>
  <si>
    <t>본격적인 성수기 진입</t>
  </si>
  <si>
    <t>87426</t>
  </si>
  <si>
    <t>3Q25 Review; 기다려왔던 내용을 확인하는 시간</t>
  </si>
  <si>
    <t>87425</t>
  </si>
  <si>
    <t>계속 추가되는 성장의 동력</t>
  </si>
  <si>
    <t>87424</t>
  </si>
  <si>
    <t>3Q25 Review: 이어지는 외형 확장</t>
  </si>
  <si>
    <t>87423</t>
  </si>
  <si>
    <t>3Q25 Review: 보릿고개를 넘기고, 다시 한번 더</t>
  </si>
  <si>
    <t>87422</t>
  </si>
  <si>
    <t>성장은 아직 시작하지도 않았다</t>
  </si>
  <si>
    <t>87421</t>
  </si>
  <si>
    <t>3Q25Review: 가시화되고 있는 성장 및 수익성</t>
  </si>
  <si>
    <t>87420</t>
  </si>
  <si>
    <t>3Q25 Review: 적극적인 중기지원과 철저한 비용관리</t>
  </si>
  <si>
    <t>87419</t>
  </si>
  <si>
    <t>2026년 실적 회복의 근거 충분</t>
  </si>
  <si>
    <t>87418</t>
  </si>
  <si>
    <t>4분기부터 증익 사이클 본격 시작</t>
  </si>
  <si>
    <t>87417</t>
  </si>
  <si>
    <t>3Q25 Review: 돋보이는 업계 최고수준 자본적정성</t>
  </si>
  <si>
    <t>87416</t>
  </si>
  <si>
    <t>매출과 이익 모두 분기 최대 실</t>
  </si>
  <si>
    <t>87415</t>
  </si>
  <si>
    <t>잃은 만큼 다시 채워준 파이프라인, 다시 불어올 기대감</t>
  </si>
  <si>
    <t>87414</t>
  </si>
  <si>
    <t>3Q25 Review 메모리 사업부 사상최대 분기매출</t>
  </si>
  <si>
    <t>87413</t>
  </si>
  <si>
    <t>2026년은 다르다</t>
  </si>
  <si>
    <t>87412</t>
  </si>
  <si>
    <t>2025년 3분기 컨퍼런스콜 요약</t>
  </si>
  <si>
    <t>87411</t>
  </si>
  <si>
    <t>3Q25Review: 매력적인 배당수익률 구간</t>
  </si>
  <si>
    <t>87410</t>
  </si>
  <si>
    <t>3Q 리뷰 - 신뢰도 하락, 내년 4월에 다시 보세요</t>
  </si>
  <si>
    <t>87409</t>
  </si>
  <si>
    <t>내년이 기대된다!</t>
  </si>
  <si>
    <t>87408</t>
  </si>
  <si>
    <t>3Q25 Review: 주식시장 상승의 최대 수혜주</t>
  </si>
  <si>
    <t>87407</t>
  </si>
  <si>
    <t>2026년 영업이익 122% 증가</t>
  </si>
  <si>
    <t>87406</t>
  </si>
  <si>
    <t>다시 없을 역사적 모멘텀에서 지속적인 비중확대</t>
  </si>
  <si>
    <t>87405</t>
  </si>
  <si>
    <t>2025년 3분기 컨퍼런스 콜 요약</t>
  </si>
  <si>
    <t>87404</t>
  </si>
  <si>
    <t xml:space="preserve">2년만에 수주잔고 반등 </t>
  </si>
  <si>
    <t>87403</t>
  </si>
  <si>
    <t>3Q25 Re: 두개 분기 연속 역대급 실적</t>
  </si>
  <si>
    <t>87402</t>
  </si>
  <si>
    <t>[3Q25 Review] 이익 개선 지속, 입항 수수료 부과 우려 부각</t>
  </si>
  <si>
    <t>87401</t>
  </si>
  <si>
    <t>컨센서스에 부합한 무난한 실적</t>
  </si>
  <si>
    <t>87400</t>
  </si>
  <si>
    <t>[3Q25 Review] 관세 15% 타결과 신차 사이클 도래</t>
  </si>
  <si>
    <t>87399</t>
  </si>
  <si>
    <t>[3Q25 Review] 수익성 개선 흐름 긍정적</t>
  </si>
  <si>
    <t>87398</t>
  </si>
  <si>
    <t>2026년 주주환원 3.1조원 예상</t>
  </si>
  <si>
    <t>87397</t>
  </si>
  <si>
    <t>흑자전환 확인, 다음 관전 포인트는?</t>
  </si>
  <si>
    <t>87396</t>
  </si>
  <si>
    <t>3Q25 Review: Bottom-Fishing</t>
  </si>
  <si>
    <t>87395</t>
  </si>
  <si>
    <t>지속되는 이익 개선</t>
  </si>
  <si>
    <t>87394</t>
  </si>
  <si>
    <t>실적 개선 추세는 유효</t>
  </si>
  <si>
    <t>87393</t>
  </si>
  <si>
    <t>117730</t>
  </si>
  <si>
    <t>티로보틱스</t>
  </si>
  <si>
    <t>AMR의 확장에 주목!</t>
  </si>
  <si>
    <t>87392</t>
  </si>
  <si>
    <t>AI 수요 증가 수혜 지속</t>
  </si>
  <si>
    <t>87391</t>
  </si>
  <si>
    <t>3Q25 Re: 해저케이블, 이제 첫 발을 내딛다</t>
  </si>
  <si>
    <t>87390</t>
  </si>
  <si>
    <t>배당은 쉼표, 26년은 느낌표</t>
  </si>
  <si>
    <t>87389</t>
  </si>
  <si>
    <t>4분기도 기대된다</t>
  </si>
  <si>
    <t>87388</t>
  </si>
  <si>
    <t>업계 최고 주주환원율 기대</t>
  </si>
  <si>
    <t>87387</t>
  </si>
  <si>
    <t>가장 높은 배당수익률 전망</t>
  </si>
  <si>
    <t>87386</t>
  </si>
  <si>
    <t>3Q25 Review: 은혜 갚을 기말환율</t>
  </si>
  <si>
    <t>87385</t>
  </si>
  <si>
    <t>4Q25 반도체부문 영업이익 YoY +238%</t>
  </si>
  <si>
    <t>87384</t>
  </si>
  <si>
    <t>중장기 투자자라면 눈여겨 볼 소외주</t>
  </si>
  <si>
    <t>87383</t>
  </si>
  <si>
    <t>고배당주의 면모를 이어갈 것</t>
  </si>
  <si>
    <t>87382</t>
  </si>
  <si>
    <t>이제부터는 상향식이다</t>
  </si>
  <si>
    <t>87381</t>
  </si>
  <si>
    <t>4분기 만에 별도 기준 흑자 전환</t>
  </si>
  <si>
    <t>87380</t>
  </si>
  <si>
    <t>87379</t>
  </si>
  <si>
    <t>비화공 매출 공백에도 견조한 수익성</t>
  </si>
  <si>
    <t>87378</t>
  </si>
  <si>
    <t>우호적 업황과 보유 자사주 가치</t>
  </si>
  <si>
    <t>87377</t>
  </si>
  <si>
    <t>고로 롤마진 확대 효과</t>
  </si>
  <si>
    <t>87376</t>
  </si>
  <si>
    <t>두려워 말고 비중 늘릴 시점</t>
  </si>
  <si>
    <t>87375</t>
  </si>
  <si>
    <t>Nanya보다 쌉니다</t>
  </si>
  <si>
    <t>87374</t>
  </si>
  <si>
    <t>3Q 개선, 저평가에 초점</t>
  </si>
  <si>
    <t>87373</t>
  </si>
  <si>
    <t>분기 최대 실적 달성</t>
  </si>
  <si>
    <t>87372</t>
  </si>
  <si>
    <t>배당 감소 가능성에 대비하자</t>
  </si>
  <si>
    <t>87371</t>
  </si>
  <si>
    <t>3Q 실적 호조는 OLED 사업 전환의 성공!</t>
  </si>
  <si>
    <t>87370</t>
  </si>
  <si>
    <t>3Q 개선된 수익성! 2026년 성장으로 전환</t>
  </si>
  <si>
    <t>87369</t>
  </si>
  <si>
    <t>거래대금 50조원의 시대</t>
  </si>
  <si>
    <t>87368</t>
  </si>
  <si>
    <t>다시금 관심 높일 시점</t>
  </si>
  <si>
    <t>87367</t>
  </si>
  <si>
    <t>비 온 뒤에 땅은 굳는다</t>
  </si>
  <si>
    <t>87366</t>
  </si>
  <si>
    <t>아직 포기하기에는 이른 수주 목표 달성</t>
  </si>
  <si>
    <t>87365</t>
  </si>
  <si>
    <t>이익체력 &amp; 수주성과 양호!</t>
  </si>
  <si>
    <t>87364</t>
  </si>
  <si>
    <t>주주친화정책에 대한 재평가 필요</t>
  </si>
  <si>
    <t>87363</t>
  </si>
  <si>
    <t>분기 이익 바닥 통과. 추가적인 비용 지출 및 가입자 유출 제한적</t>
  </si>
  <si>
    <t>87362</t>
  </si>
  <si>
    <t>저평가된 자산가치와 자체사업 턴어라운드</t>
  </si>
  <si>
    <t>87361</t>
  </si>
  <si>
    <t>두 걸음 전진 위한 한 발 후퇴</t>
  </si>
  <si>
    <t>87360</t>
  </si>
  <si>
    <t>아직 모멘텀 찾아가는 중</t>
  </si>
  <si>
    <t>87359</t>
  </si>
  <si>
    <t>주가 키맞추기</t>
  </si>
  <si>
    <t>87358</t>
  </si>
  <si>
    <t>일회성 비용으로 기대치 큰 폭 하회한 아쉬움</t>
  </si>
  <si>
    <t>87357</t>
  </si>
  <si>
    <t>적수가 없는 올리브영</t>
  </si>
  <si>
    <t>87356</t>
  </si>
  <si>
    <t>충분한 주가상승 여력</t>
  </si>
  <si>
    <t>87355</t>
  </si>
  <si>
    <t>견조한 실적 흐름. AI 성장동력 필요</t>
  </si>
  <si>
    <t>87354</t>
  </si>
  <si>
    <t>3Q25P Review: 매출 안정적 성장세 전환</t>
  </si>
  <si>
    <t>87353</t>
  </si>
  <si>
    <t>3Q25 Review: 관세 영향에도 선방한 실적</t>
  </si>
  <si>
    <t>87352</t>
  </si>
  <si>
    <t>2026년 OLED 중심의 실적 개선 지속 전망</t>
  </si>
  <si>
    <t>87351</t>
  </si>
  <si>
    <t>경쟁우위 회복</t>
  </si>
  <si>
    <t>87350</t>
  </si>
  <si>
    <t>자사주 통한 재무구조 개선 가능성</t>
  </si>
  <si>
    <t>87349</t>
  </si>
  <si>
    <t>리밸런싱 및 자사주 소각 효과 극대화</t>
  </si>
  <si>
    <t>87348</t>
  </si>
  <si>
    <t>3Q25 Review: 체계적인 계약관리와 수주 모멘텀 지속</t>
  </si>
  <si>
    <t>87347</t>
  </si>
  <si>
    <t>3Q25 Review 편안함을 넘어 구조적 성장의 증명</t>
  </si>
  <si>
    <t>87346</t>
  </si>
  <si>
    <t>3Q25 리뷰: 관세 상쇄 지속, 미국 점유율 주목</t>
  </si>
  <si>
    <t>87345</t>
  </si>
  <si>
    <t>3Q25 Review: 30만 고지를 넘어</t>
  </si>
  <si>
    <t>87344</t>
  </si>
  <si>
    <t>3Q25 Review: 본업 우려 해소,신사업 모멘텀에 집중할 때</t>
  </si>
  <si>
    <t>87343</t>
  </si>
  <si>
    <t>성장 방향성은 유효</t>
  </si>
  <si>
    <t>87342</t>
  </si>
  <si>
    <t>아쉬운 실적 vs 매력적인 밸류에이션</t>
  </si>
  <si>
    <t>87341</t>
  </si>
  <si>
    <t>변함 없는 방향성</t>
  </si>
  <si>
    <t>87340</t>
  </si>
  <si>
    <t>본업으로 버티기</t>
  </si>
  <si>
    <t>87339</t>
  </si>
  <si>
    <t>쌓여가는 가능성이 긍정적</t>
  </si>
  <si>
    <t>87338</t>
  </si>
  <si>
    <t>3Q25 Review; 호텔이 너무 잘 된다</t>
  </si>
  <si>
    <t>87337</t>
  </si>
  <si>
    <t>3Q25 Re 관세 부담, 여전한 경쟁력</t>
  </si>
  <si>
    <t>87336</t>
  </si>
  <si>
    <t>성수기 관심UP</t>
  </si>
  <si>
    <t>87335</t>
  </si>
  <si>
    <t>042670</t>
  </si>
  <si>
    <t>HD현대인프라코어</t>
  </si>
  <si>
    <t>3Q25 Re 엔진 주춤, 마지막 실적발표</t>
  </si>
  <si>
    <t>87334</t>
  </si>
  <si>
    <t>Re-rating으로 가는 첫 번째 관문 통과</t>
  </si>
  <si>
    <t>87333</t>
  </si>
  <si>
    <t>아직도 PBR 1.0배 미만</t>
  </si>
  <si>
    <t>87332</t>
  </si>
  <si>
    <t>EV 배터리 수요 둔화 Vs. ESS 수요 급증</t>
  </si>
  <si>
    <t>87331</t>
  </si>
  <si>
    <t>3Q25 Review; 비수기에도 선방</t>
  </si>
  <si>
    <t>87330</t>
  </si>
  <si>
    <t>결국 19년만에 배당 축소</t>
  </si>
  <si>
    <t>87329</t>
  </si>
  <si>
    <t>아쉬운 실적, 풍부한 모멘텀</t>
  </si>
  <si>
    <t>87328</t>
  </si>
  <si>
    <t>HBM4 인증 통과 시 경쟁사 대비 큰 폭의 실적 개선 가능</t>
  </si>
  <si>
    <t>87327</t>
  </si>
  <si>
    <t>관세도 막지 못하는 중장기 성장 동력</t>
  </si>
  <si>
    <t>87326</t>
  </si>
  <si>
    <t>3Q25 Review: 불확실성 해소 구간</t>
  </si>
  <si>
    <t>87325</t>
  </si>
  <si>
    <t>3Q25 Pre; 미국 중심 해외 성장세 유효</t>
  </si>
  <si>
    <t>87324</t>
  </si>
  <si>
    <t>실적 견조, 다음 과제는 성장성과 자본 관리의 조화</t>
  </si>
  <si>
    <t>87323</t>
  </si>
  <si>
    <t>먼저 가는 판재류, 숨고르기 중인 봉형강</t>
  </si>
  <si>
    <t>87322</t>
  </si>
  <si>
    <t>3Q25 Re; 실적 순항 중, 전방 이상 무</t>
  </si>
  <si>
    <t>87321</t>
  </si>
  <si>
    <t>건전성 회복 흐름 지속</t>
  </si>
  <si>
    <t>87320</t>
  </si>
  <si>
    <t>수주 안건의 지역, 공종 확대, 목표주가 상향</t>
  </si>
  <si>
    <t>87319</t>
  </si>
  <si>
    <t>낮아진 중국發 기대감</t>
  </si>
  <si>
    <t>87318</t>
  </si>
  <si>
    <t>3Q25 Review: 이제 나를 봐요</t>
  </si>
  <si>
    <t>87317</t>
  </si>
  <si>
    <t>계절적 강세 구간 진입</t>
  </si>
  <si>
    <t>87316</t>
  </si>
  <si>
    <t>내년에도 멀티플 프리미엄 지속</t>
  </si>
  <si>
    <t>87315</t>
  </si>
  <si>
    <t>주주친화정책이 견인하는 할인율 축소 구간</t>
  </si>
  <si>
    <t>87314</t>
  </si>
  <si>
    <t>26년 신차 골드 사이클과 미국 시장 재편에 준비해야 할 때</t>
  </si>
  <si>
    <t>87313</t>
  </si>
  <si>
    <t>과도한 주가 하락, 주주친화 정책이 필요하다</t>
  </si>
  <si>
    <t>87312</t>
  </si>
  <si>
    <t>편안함이 매력</t>
  </si>
  <si>
    <t>87311</t>
  </si>
  <si>
    <t>단기 조정 구간, 구조적 개선은 진행 중</t>
  </si>
  <si>
    <t>87310</t>
  </si>
  <si>
    <t>3Q는 일단 상회. 커진 덩치는 실압근일까 풍근일까</t>
  </si>
  <si>
    <t>87309</t>
  </si>
  <si>
    <t>안개는 여전히 껴있습니다...</t>
  </si>
  <si>
    <t>87308</t>
  </si>
  <si>
    <t>기대를 충분히 반영한 주가</t>
  </si>
  <si>
    <t>87307</t>
  </si>
  <si>
    <t>예전의 그런 기업 아닙니다</t>
  </si>
  <si>
    <t>87306</t>
  </si>
  <si>
    <t>고객과 함께</t>
  </si>
  <si>
    <t>87305</t>
  </si>
  <si>
    <t>ESS 수주잔고 +140%</t>
  </si>
  <si>
    <t>87304</t>
  </si>
  <si>
    <t>핵심사업부문 항해 이상 무</t>
  </si>
  <si>
    <t>87303</t>
  </si>
  <si>
    <t>턴어라운드 이후 높아진 이익증가율</t>
  </si>
  <si>
    <t>87302</t>
  </si>
  <si>
    <t>4분기 실적 및 배당 불확실성 확대</t>
  </si>
  <si>
    <t>87301</t>
  </si>
  <si>
    <t>26년 전망은 여전히 밝다</t>
  </si>
  <si>
    <t>87300</t>
  </si>
  <si>
    <t>합병 이후 탄탄한 성장세 기대</t>
  </si>
  <si>
    <t>87299</t>
  </si>
  <si>
    <t>대형 철근 업체라서 고정비가 큰 탓일까</t>
  </si>
  <si>
    <t>87298</t>
  </si>
  <si>
    <t>AI로 따뜻할 겨울</t>
  </si>
  <si>
    <t>87297</t>
  </si>
  <si>
    <t>앞으로 2년간 믿을 건 ESS뿐</t>
  </si>
  <si>
    <t>87296</t>
  </si>
  <si>
    <t>관세 협의 완료</t>
  </si>
  <si>
    <t>87295</t>
  </si>
  <si>
    <t>EV 조정 속, ESS 수요로 만회</t>
  </si>
  <si>
    <t>87294</t>
  </si>
  <si>
    <t>치맥값 벌어가세요! 목표주가 추가 상향</t>
  </si>
  <si>
    <t>87293</t>
  </si>
  <si>
    <t>일회성 요인 및 재고조정 영향</t>
  </si>
  <si>
    <t>87292</t>
  </si>
  <si>
    <t>화공 업그레이드 진행중</t>
  </si>
  <si>
    <t>87291</t>
  </si>
  <si>
    <t>3Q25 Review: OLED 매출 비중 65% 달성</t>
  </si>
  <si>
    <t>87290</t>
  </si>
  <si>
    <t>최대실적 무난, 주주환원율 52% 전망</t>
  </si>
  <si>
    <t>87289</t>
  </si>
  <si>
    <t>사상 최대실적 전망, 높은 현금배당 성향</t>
  </si>
  <si>
    <t>87288</t>
  </si>
  <si>
    <t>DRAM 가격 상승에 따른 이익 레버리지 효과 압도적</t>
  </si>
  <si>
    <t>87287</t>
  </si>
  <si>
    <t>봉형강 업황 부진으로 예상치 하회</t>
  </si>
  <si>
    <t>87286</t>
  </si>
  <si>
    <t>임차료 줄고, KOSPI 오르고</t>
  </si>
  <si>
    <t>87285</t>
  </si>
  <si>
    <t>반등시점 모색구간</t>
  </si>
  <si>
    <t>87284</t>
  </si>
  <si>
    <t>이번 고점엔 펜타부킹, 헥사부킹이 온다</t>
  </si>
  <si>
    <t>87283</t>
  </si>
  <si>
    <t>우려는 뒤에 기대는 앞에</t>
  </si>
  <si>
    <t>87282</t>
  </si>
  <si>
    <t>251280</t>
  </si>
  <si>
    <t>안지오랩</t>
  </si>
  <si>
    <t>혈관신생억제 기반 의약품 및 건기식 개발 전문기업</t>
  </si>
  <si>
    <t>87281</t>
  </si>
  <si>
    <t>미토콘드리아 기반 대사·근육질환 치료제 개발 전문기업</t>
  </si>
  <si>
    <t>87280</t>
  </si>
  <si>
    <t>238170</t>
  </si>
  <si>
    <t>엔에스엠</t>
  </si>
  <si>
    <t>나노 전도성 고분자 기반의 친환경 정전기 방지 소재 전문기업</t>
  </si>
  <si>
    <t>87279</t>
  </si>
  <si>
    <t>180060</t>
  </si>
  <si>
    <t>탑선</t>
  </si>
  <si>
    <t>고효율 모듈 기술 기반의 신재생에너지 솔루션 기업</t>
  </si>
  <si>
    <t>87278</t>
  </si>
  <si>
    <t>192250</t>
  </si>
  <si>
    <t>케이사인</t>
  </si>
  <si>
    <t>암호 인증 및 데이터 보안의 강자</t>
  </si>
  <si>
    <t>87277</t>
  </si>
  <si>
    <t>048530</t>
  </si>
  <si>
    <t>인트론바이오</t>
  </si>
  <si>
    <t>박테리오파지 기반의 플랫폼 기술을 보유한 바이오 분야 선도기업</t>
  </si>
  <si>
    <t>87276</t>
  </si>
  <si>
    <t>187270</t>
  </si>
  <si>
    <t>신화콘텍</t>
  </si>
  <si>
    <t>초정밀 금형 및 자동화 기술 기반 정밀 커넥터 설계·제조·판매 전문기업</t>
  </si>
  <si>
    <t>87275</t>
  </si>
  <si>
    <t>고진공 다이캐스팅 기술을 기반으로 부품 제조 사업의 안정적인 성장</t>
  </si>
  <si>
    <t>87274</t>
  </si>
  <si>
    <t>041440</t>
  </si>
  <si>
    <t>현대에버다임</t>
  </si>
  <si>
    <t>건설기계·특장차·발전설비를 아우르는 종합 중장비 제조 및 글로벌 솔루션 제공</t>
  </si>
  <si>
    <t>87273</t>
  </si>
  <si>
    <t>307180</t>
  </si>
  <si>
    <t>아이엘</t>
  </si>
  <si>
    <t>모빌리티 분야로 사업 영역을 확장한 LED 실리콘 렌즈 전문기업</t>
  </si>
  <si>
    <t>87272</t>
  </si>
  <si>
    <t>066310</t>
  </si>
  <si>
    <t>큐에스아이</t>
  </si>
  <si>
    <t>레이저 다이오드 개발 및 공급 전문 업체</t>
  </si>
  <si>
    <t>87271</t>
  </si>
  <si>
    <t>기능성 헬스케어 중심의 건강기능식품·화장품·일반의약품 전문기업</t>
  </si>
  <si>
    <t>87270</t>
  </si>
  <si>
    <t>002630</t>
  </si>
  <si>
    <t>오리엔트바이오</t>
  </si>
  <si>
    <t>실험동물·연구장비·연구지원 바이오 전문기업</t>
  </si>
  <si>
    <t>87269</t>
  </si>
  <si>
    <t>009460</t>
  </si>
  <si>
    <t>한창제지</t>
  </si>
  <si>
    <t>국내 대표 친환경 백판지 전문 제조기업</t>
  </si>
  <si>
    <t>87268</t>
  </si>
  <si>
    <t>001260</t>
  </si>
  <si>
    <t>남광토건</t>
  </si>
  <si>
    <t>토목 인프라 및 주거·공공·산업 건축 분야 시공 기술력을 보유한 종합건설기업</t>
  </si>
  <si>
    <t>87267</t>
  </si>
  <si>
    <t>014910</t>
  </si>
  <si>
    <t>성문전자</t>
  </si>
  <si>
    <t>전력변환 핵심소재 기술로 글로벌 모빌리티 시장 대응 강화</t>
  </si>
  <si>
    <t>87266</t>
  </si>
  <si>
    <t>2025-10-30</t>
  </si>
  <si>
    <t>[3Q25 Review] 단기 수익성 개선에 대한 지속성 증명 여부 중요</t>
  </si>
  <si>
    <t>87265</t>
  </si>
  <si>
    <t>리레이팅 구간 진입</t>
  </si>
  <si>
    <t>87264</t>
  </si>
  <si>
    <t>세후 5%의 기대 배당수익률</t>
  </si>
  <si>
    <t>87263</t>
  </si>
  <si>
    <t>기대를 현실로</t>
  </si>
  <si>
    <t>87262</t>
  </si>
  <si>
    <t>분명한 수익성 개선</t>
  </si>
  <si>
    <t>87261</t>
  </si>
  <si>
    <t>성공적인 흑전을 발판삼아 ESS 선두로</t>
  </si>
  <si>
    <t>87260</t>
  </si>
  <si>
    <t>솔드 아웃</t>
  </si>
  <si>
    <t>87259</t>
  </si>
  <si>
    <t>3Q25 Review: 보여지는 숫자들</t>
  </si>
  <si>
    <t>87258</t>
  </si>
  <si>
    <t>3Q25 Review 컨센상회, 고부가 제품 수요증가</t>
  </si>
  <si>
    <t>87257</t>
  </si>
  <si>
    <t>3Q25 Review: 종합금융라인업 완성으로 기대되는 성장</t>
  </si>
  <si>
    <t>87256</t>
  </si>
  <si>
    <t>호황의 근거는 같다</t>
  </si>
  <si>
    <t>87255</t>
  </si>
  <si>
    <t>염가매수차익 확대로 배당매력은 한층 더 부각될 전망</t>
  </si>
  <si>
    <t>87254</t>
  </si>
  <si>
    <t>실적 개선의 방향성은 맞고, 주가는 속도가 중요</t>
  </si>
  <si>
    <t>87253</t>
  </si>
  <si>
    <t>수출이 잘 되었어요</t>
  </si>
  <si>
    <t>87252</t>
  </si>
  <si>
    <t>앞으로는 ICTK가 암호화폐 대장주입니다</t>
  </si>
  <si>
    <t>87251</t>
  </si>
  <si>
    <t>진격의 메모리</t>
  </si>
  <si>
    <t>87250</t>
  </si>
  <si>
    <t>3Q25Re: ETC가 이끄는 성장</t>
  </si>
  <si>
    <t>87249</t>
  </si>
  <si>
    <t>올리고 매출 증가로 수익성 개선</t>
  </si>
  <si>
    <t>87248</t>
  </si>
  <si>
    <t>3Q25 Review: 영업이익 기준 컨센 상회 실적</t>
  </si>
  <si>
    <t>87247</t>
  </si>
  <si>
    <t>3Q25 Review: 핵심은 Server Exposure 확대</t>
  </si>
  <si>
    <t>87246</t>
  </si>
  <si>
    <t>공급업체의 Bargaining power 극대화 국면 진입</t>
  </si>
  <si>
    <t>87245</t>
  </si>
  <si>
    <t>나노 분석 기술을 선도하는 글로벌 전자현미경 전문기업</t>
  </si>
  <si>
    <t>87244</t>
  </si>
  <si>
    <t>049070</t>
  </si>
  <si>
    <t>인탑스</t>
  </si>
  <si>
    <t>다각화된 사업 포트폴리오와 기술 경쟁력을 바탕으로 성장하는 제조업체</t>
  </si>
  <si>
    <t>87243</t>
  </si>
  <si>
    <t>반도체/디스플레이 유통과 자율주행 기술을 선도하는 기업</t>
  </si>
  <si>
    <t>87242</t>
  </si>
  <si>
    <t>Epi 기술 기반 광·개별소자 전문 IDM 반도체 기업</t>
  </si>
  <si>
    <t>87241</t>
  </si>
  <si>
    <t>141000</t>
  </si>
  <si>
    <t>비아트론</t>
  </si>
  <si>
    <t>디스플레이 열처리 장비 시장의 선도기업</t>
  </si>
  <si>
    <t>87240</t>
  </si>
  <si>
    <t>계절적 비수기를 삭제하는 업황 진입</t>
  </si>
  <si>
    <t>87239</t>
  </si>
  <si>
    <t>3Q25 Review: 올리고 매출 증가로 컨센 상회</t>
  </si>
  <si>
    <t>87238</t>
  </si>
  <si>
    <t>미국 원전 시장 Comment</t>
  </si>
  <si>
    <t>87237</t>
  </si>
  <si>
    <t>FC BGA &amp; MLCC, AI 및 서버향 매출 증가</t>
  </si>
  <si>
    <t>87236</t>
  </si>
  <si>
    <t>이번에 다르기 위해선</t>
  </si>
  <si>
    <t>87235</t>
  </si>
  <si>
    <t>변동성 대응 구간</t>
  </si>
  <si>
    <t>87234</t>
  </si>
  <si>
    <t>‘26년 이익증가, 배당상향, 비과세배당, 선물세트 3종</t>
  </si>
  <si>
    <t>87233</t>
  </si>
  <si>
    <t>3Q25 Review: 더 이상의 유증은 없다</t>
  </si>
  <si>
    <t>87232</t>
  </si>
  <si>
    <t>회계 이슈로 인한 거래정지 사유발생, 구조적 문제는 아니라 판단</t>
  </si>
  <si>
    <t>87231</t>
  </si>
  <si>
    <t>단기 주가 급등으로 인한 밸류에이션 부담 확대</t>
  </si>
  <si>
    <t>87230</t>
  </si>
  <si>
    <t>3Q25P Review: 해외 사업 순항 중</t>
  </si>
  <si>
    <t>87229</t>
  </si>
  <si>
    <t>3Q25P Review: 이익 구조의 전환</t>
  </si>
  <si>
    <t>87228</t>
  </si>
  <si>
    <t>당황하지 말고 매수</t>
  </si>
  <si>
    <t>87227</t>
  </si>
  <si>
    <t>짙어진 DRAM 색채</t>
  </si>
  <si>
    <t>87226</t>
  </si>
  <si>
    <t>ESS, 저희가 자동으로 만들어 드립니다</t>
  </si>
  <si>
    <t>87225</t>
  </si>
  <si>
    <t>둔화된 계절성은 AI 덕분</t>
  </si>
  <si>
    <t>87224</t>
  </si>
  <si>
    <t>강력한 자신감 표출</t>
  </si>
  <si>
    <t>87223</t>
  </si>
  <si>
    <t>국내 1위 MLCC, 기판 기업. AI 핵심 부품주</t>
  </si>
  <si>
    <t>87222</t>
  </si>
  <si>
    <t>범상치 않은 범용 DRAM 가격 흐름</t>
  </si>
  <si>
    <t>87221</t>
  </si>
  <si>
    <t>순풍에 돛 단 주가</t>
  </si>
  <si>
    <t>87220</t>
  </si>
  <si>
    <t>3Q25 Re, 불확실한 대외 여건 속 빛나는 성장</t>
  </si>
  <si>
    <t>87219</t>
  </si>
  <si>
    <t>분기 흑자전환 달성</t>
  </si>
  <si>
    <t>87218</t>
  </si>
  <si>
    <t>2년만에 흑자 달성</t>
  </si>
  <si>
    <t>87217</t>
  </si>
  <si>
    <t>MLCC 업황 지속성: 풀가동, 절제된 자본지출, 제한된 신규 진입</t>
  </si>
  <si>
    <t>87216</t>
  </si>
  <si>
    <t>헬스장 PT 등록 후 첫 인바디 검사 결과</t>
  </si>
  <si>
    <t>87215</t>
  </si>
  <si>
    <t>3박자의 하모니</t>
  </si>
  <si>
    <t>87214</t>
  </si>
  <si>
    <t>3Q25 Review: 메모리로 삼행시 지어보겠습니다</t>
  </si>
  <si>
    <t>87213</t>
  </si>
  <si>
    <t>호황 아래 비수기는 없다</t>
  </si>
  <si>
    <t>87212</t>
  </si>
  <si>
    <t>두려움이 곧 기회다</t>
  </si>
  <si>
    <t>87211</t>
  </si>
  <si>
    <t>대규모 일회성 이익, 보험 자회사 편입</t>
  </si>
  <si>
    <t>87210</t>
  </si>
  <si>
    <t>87209</t>
  </si>
  <si>
    <t>성공적인 보험사 인수 확인</t>
  </si>
  <si>
    <t>87208</t>
  </si>
  <si>
    <t>3Q25 Review: 긍정적 방향성 재확인</t>
  </si>
  <si>
    <t>87207</t>
  </si>
  <si>
    <t>스마트한 도입. R&amp;D 제외해도 상당한 저평가</t>
  </si>
  <si>
    <t>87206</t>
  </si>
  <si>
    <t>해외 진출이 멈추지 않는 탓일까</t>
  </si>
  <si>
    <t>87205</t>
  </si>
  <si>
    <t>수능 강의의 대명사이자 종합 교육플랫폼 회사</t>
  </si>
  <si>
    <t>87204</t>
  </si>
  <si>
    <t>101160</t>
  </si>
  <si>
    <t>월덱스</t>
  </si>
  <si>
    <t>After Market의 Si 파츠 강자</t>
  </si>
  <si>
    <t>87203</t>
  </si>
  <si>
    <t>014940</t>
  </si>
  <si>
    <t>오리엔탈정공</t>
  </si>
  <si>
    <t>조선산업 슈퍼사이클에 올라탄 선박용 크레인 및 Deck House 부문 조선기자재업체</t>
  </si>
  <si>
    <t>87202</t>
  </si>
  <si>
    <t>전석 매진 선언</t>
  </si>
  <si>
    <t>87201</t>
  </si>
  <si>
    <t>Legacy 반도체도 안보 자산</t>
  </si>
  <si>
    <t>87200</t>
  </si>
  <si>
    <t>다음 챕터를 위한 기반 다지기</t>
  </si>
  <si>
    <t>87199</t>
  </si>
  <si>
    <t>내년 증익 모멘텀 존재</t>
  </si>
  <si>
    <t>87198</t>
  </si>
  <si>
    <t>낮아진 신작 기대, PUBG 성장은 지속</t>
  </si>
  <si>
    <t>87197</t>
  </si>
  <si>
    <t>3Q25 review - 국내 화학 부진 영향</t>
  </si>
  <si>
    <t>87196</t>
  </si>
  <si>
    <t>실적 성장은 확실, 실적 가시성이 다음 모멘텀</t>
  </si>
  <si>
    <t>87195</t>
  </si>
  <si>
    <t>시간이 필요할 뿐</t>
  </si>
  <si>
    <t>87194</t>
  </si>
  <si>
    <t>실적과 신작 모멘텀 모두 보유</t>
  </si>
  <si>
    <t>87193</t>
  </si>
  <si>
    <t>불확실성이 조금씩 걷혀질 것</t>
  </si>
  <si>
    <t>87192</t>
  </si>
  <si>
    <t>아쉬움은 남지만 스토리는 이어진다</t>
  </si>
  <si>
    <t>87191</t>
  </si>
  <si>
    <t>2025-10-29</t>
  </si>
  <si>
    <t>ESS 기대감이 반영되는 시기</t>
  </si>
  <si>
    <t>87190</t>
  </si>
  <si>
    <t>내용이 좋은 실적</t>
  </si>
  <si>
    <t>87189</t>
  </si>
  <si>
    <t>기대보다 빠른 환원 확대도 가능할 것</t>
  </si>
  <si>
    <t>87188</t>
  </si>
  <si>
    <t>어느 것 하나 놓칠 수 없지</t>
  </si>
  <si>
    <t>87187</t>
  </si>
  <si>
    <t>적자 해소 지연 vs. ESS</t>
  </si>
  <si>
    <t>87186</t>
  </si>
  <si>
    <t>펀더먼털 턴어라운드 기대</t>
  </si>
  <si>
    <t>87185</t>
  </si>
  <si>
    <t>3Q25 Review 컨센하회, 보상금 반영 이연</t>
  </si>
  <si>
    <t>87184</t>
  </si>
  <si>
    <t>3Q25 Review: 지속적인 주주환원 기대가 주는 안정감</t>
  </si>
  <si>
    <t>87183</t>
  </si>
  <si>
    <t>3Q25 Review: 견고한 재무멘탈로 기대되는 주주환원 정책</t>
  </si>
  <si>
    <t>87182</t>
  </si>
  <si>
    <t>3Q25 Review: 양호한 NIM 관리에 따른 고른 성장 시현</t>
  </si>
  <si>
    <t>87181</t>
  </si>
  <si>
    <t>추가 자사주 매입 소각 결의. 비은행 실적도 다소 개선 중</t>
  </si>
  <si>
    <t>87180</t>
  </si>
  <si>
    <t>비이자 감소를 이자이익 증가와 대손비용 감소가 상쇄</t>
  </si>
  <si>
    <t>87179</t>
  </si>
  <si>
    <t>029780</t>
  </si>
  <si>
    <t>삼성카드</t>
  </si>
  <si>
    <t>안정적인 이익 흐름 지속</t>
  </si>
  <si>
    <t>87178</t>
  </si>
  <si>
    <t>완연한 실적증가</t>
  </si>
  <si>
    <t>87177</t>
  </si>
  <si>
    <t>3Q25 Review: 분할 직전까지 또 서프라이즈</t>
  </si>
  <si>
    <t>87176</t>
  </si>
  <si>
    <t>어쩔 수가 없다</t>
  </si>
  <si>
    <t>87175</t>
  </si>
  <si>
    <t>3Q25 Review: 실적보단 2026년 ESS에 주목</t>
  </si>
  <si>
    <t>87174</t>
  </si>
  <si>
    <t>CET-1비율 관리 의지 확인</t>
  </si>
  <si>
    <t>87173</t>
  </si>
  <si>
    <t>점점 좋아지고 있다</t>
  </si>
  <si>
    <t>87172</t>
  </si>
  <si>
    <t>계획대로 잘 가고 있다</t>
  </si>
  <si>
    <t>87171</t>
  </si>
  <si>
    <t>바이오 부문 호실적, 영업이익 비중은 73%</t>
  </si>
  <si>
    <t>87170</t>
  </si>
  <si>
    <t>분할 전 매수 전략 '아직' 유효</t>
  </si>
  <si>
    <t>87169</t>
  </si>
  <si>
    <t>고객사 다변화, 실현 가능성 주목</t>
  </si>
  <si>
    <t>87168</t>
  </si>
  <si>
    <t>고점은 아직 멀었습니다</t>
  </si>
  <si>
    <t>87167</t>
  </si>
  <si>
    <t>9월부터 송출객 반등 시작</t>
  </si>
  <si>
    <t>87166</t>
  </si>
  <si>
    <t>차별화된 기술력 입증, BBB 셔틀 플랫폼 주목</t>
  </si>
  <si>
    <t>87165</t>
  </si>
  <si>
    <t>부진한 숫자들 속, 의미 있는 흐름</t>
  </si>
  <si>
    <t>87164</t>
  </si>
  <si>
    <t>국내 유일의 원전 계측기 공급사</t>
  </si>
  <si>
    <t>87163</t>
  </si>
  <si>
    <t>950170</t>
  </si>
  <si>
    <t>JTC</t>
  </si>
  <si>
    <t>일본도 관광 특수 진행 중</t>
  </si>
  <si>
    <t>87162</t>
  </si>
  <si>
    <t>순수 원전 기업</t>
  </si>
  <si>
    <t>87161</t>
  </si>
  <si>
    <t>남는 자리가 없습니다</t>
  </si>
  <si>
    <t>87160</t>
  </si>
  <si>
    <t>실적 불확실성으로 낮아진 주가와 높아질 원전 기대감</t>
  </si>
  <si>
    <t>87159</t>
  </si>
  <si>
    <t>부담 없는 가격, 합리적인 선택</t>
  </si>
  <si>
    <t>87158</t>
  </si>
  <si>
    <t>과도한 주가 하락, 내년 상반기 국내 신속허가 신청 기대감에 주목</t>
  </si>
  <si>
    <t>87157</t>
  </si>
  <si>
    <t>내년 상반기, 임상에서의 가치를 입증할 모멘텀에 주목</t>
  </si>
  <si>
    <t>87156</t>
  </si>
  <si>
    <t>AI 인프라 전력 안정화 핵심, 슈퍼커패시터 리더</t>
  </si>
  <si>
    <t>87155</t>
  </si>
  <si>
    <t>010170</t>
  </si>
  <si>
    <t>대한광통신</t>
  </si>
  <si>
    <t>중소형 독점 방산 업체로 리레이팅될 전망</t>
  </si>
  <si>
    <t>87154</t>
  </si>
  <si>
    <t>천연가스의 귀환, 에어쿨러와 HRSG로 답하다</t>
  </si>
  <si>
    <t>87153</t>
  </si>
  <si>
    <t>원전·가스터빈 투트랙 성장 기대</t>
  </si>
  <si>
    <t>87152</t>
  </si>
  <si>
    <t>3Q25P Review: 예상치 상회, 목표주가 상향</t>
  </si>
  <si>
    <t>87151</t>
  </si>
  <si>
    <t>87150</t>
  </si>
  <si>
    <t>이익 증가의 가시성 높지만, 업황의 그늘</t>
  </si>
  <si>
    <t>87149</t>
  </si>
  <si>
    <t>호실적을 즐길 시간이 단 하루뿐이라니</t>
  </si>
  <si>
    <t>87148</t>
  </si>
  <si>
    <t>고객사 확대 긍정적</t>
  </si>
  <si>
    <t>87147</t>
  </si>
  <si>
    <t>코리아 프리미엄 시대의 수혜주</t>
  </si>
  <si>
    <t>87146</t>
  </si>
  <si>
    <t>가스터빈 수요가 늘어나면 주목받을 기업</t>
  </si>
  <si>
    <t>87145</t>
  </si>
  <si>
    <t>아쉽지만 여전한 기대감</t>
  </si>
  <si>
    <t>87144</t>
  </si>
  <si>
    <t>SOFC 양산이 기대된다</t>
  </si>
  <si>
    <t>87143</t>
  </si>
  <si>
    <t>Gap 축소 시작, 목표주가 45만원으로 상향</t>
  </si>
  <si>
    <t>87142</t>
  </si>
  <si>
    <t>Just Beginning</t>
  </si>
  <si>
    <t>87141</t>
  </si>
  <si>
    <t>추가 자사주 발표하며 시장 기대 부응</t>
  </si>
  <si>
    <t>87140</t>
  </si>
  <si>
    <t>답답하니까 내가 뛰어버려</t>
  </si>
  <si>
    <t>87139</t>
  </si>
  <si>
    <t>3Q25 Review; 서프라이즈, 풀가동의 끝은 어디</t>
  </si>
  <si>
    <t>87138</t>
  </si>
  <si>
    <t>주가 상승에도 할인율 고민은 여전</t>
  </si>
  <si>
    <t>87137</t>
  </si>
  <si>
    <t>큰 폭의 자본비율 개선 시현</t>
  </si>
  <si>
    <t>87136</t>
  </si>
  <si>
    <t>업황과 달리 쌓이고 있는 분양계획에 주목</t>
  </si>
  <si>
    <t>87135</t>
  </si>
  <si>
    <t>다케다와 이노반트가 쏘아올린 IL-2</t>
  </si>
  <si>
    <t>87134</t>
  </si>
  <si>
    <t>실적 성장세를 보면 매력적인 주가 수준</t>
  </si>
  <si>
    <t>87133</t>
  </si>
  <si>
    <t>최대실적 도전 중, 주주환원율 상향 기대</t>
  </si>
  <si>
    <t>87132</t>
  </si>
  <si>
    <t>ESS CAPA up</t>
  </si>
  <si>
    <t>87131</t>
  </si>
  <si>
    <t>유럽향 신규 고객사 확보</t>
  </si>
  <si>
    <t>87130</t>
  </si>
  <si>
    <t>새로운 돌파구가 될 ESS</t>
  </si>
  <si>
    <t>87129</t>
  </si>
  <si>
    <t>연간 최대실적으로 순항 중</t>
  </si>
  <si>
    <t>87128</t>
  </si>
  <si>
    <t>자기주식 추가매입, 주주환원율 상향</t>
  </si>
  <si>
    <t>87127</t>
  </si>
  <si>
    <t>상향된 추정치를 상회한 서프라이즈</t>
  </si>
  <si>
    <t>87126</t>
  </si>
  <si>
    <t>북미 LNG 터미널로 성장하는 화공기기 전문기업</t>
  </si>
  <si>
    <t>87125</t>
  </si>
  <si>
    <t>462510</t>
  </si>
  <si>
    <t>라메디텍</t>
  </si>
  <si>
    <t>레이저 기술 기반 미용기기 의료기기 전문기업</t>
  </si>
  <si>
    <t>87124</t>
  </si>
  <si>
    <t>고부가가치 촉매 시장 진출로 수익성 개선</t>
  </si>
  <si>
    <t>87123</t>
  </si>
  <si>
    <t>세라믹페이퍼-ESS 프레임베리어의 핵심 단열소재</t>
  </si>
  <si>
    <t>87122</t>
  </si>
  <si>
    <t>In the Zone</t>
  </si>
  <si>
    <t>87121</t>
  </si>
  <si>
    <t>분위기 좋고 실적도 좋고!</t>
  </si>
  <si>
    <t>87120</t>
  </si>
  <si>
    <t>기대에 부합하는 견조한 이익체력</t>
  </si>
  <si>
    <t>87119</t>
  </si>
  <si>
    <t>2025-10-28</t>
  </si>
  <si>
    <t>3Q25 잠정실적: 또 좋아졌습니다</t>
  </si>
  <si>
    <t>87118</t>
  </si>
  <si>
    <t>기대감 선반영된 주가</t>
  </si>
  <si>
    <t>87117</t>
  </si>
  <si>
    <t>철강 본업 견조 명확, 일회성 리스크 해소 구간</t>
  </si>
  <si>
    <t>87116</t>
  </si>
  <si>
    <t>원자재가/물류비 하향 안정화, 관세 영향은 물량 증대로 방어</t>
  </si>
  <si>
    <t>87115</t>
  </si>
  <si>
    <t>될성부른 적격 소재</t>
  </si>
  <si>
    <t>87114</t>
  </si>
  <si>
    <t>위고비보다 더 좋은데요?</t>
  </si>
  <si>
    <t>87113</t>
  </si>
  <si>
    <t>탑라인은 여전히 탄탄대로</t>
  </si>
  <si>
    <t>87112</t>
  </si>
  <si>
    <t>3Q25 Review 컨센 상회, 양극재 판매 증가</t>
  </si>
  <si>
    <t>87111</t>
  </si>
  <si>
    <t>변함없는 방향성과 낮아진 밸류에이션</t>
  </si>
  <si>
    <t>87110</t>
  </si>
  <si>
    <t>일회성 제외하면 시장 눈높이 부합</t>
  </si>
  <si>
    <t>87109</t>
  </si>
  <si>
    <t>불확실성에도 안정적인 실적 달성</t>
  </si>
  <si>
    <t>87108</t>
  </si>
  <si>
    <t>조금씩 영업실적 개선 중!</t>
  </si>
  <si>
    <t>87107</t>
  </si>
  <si>
    <t>에페글레나타이드 결과 발표, 국산 비만 치료제의 등장</t>
  </si>
  <si>
    <t>87106</t>
  </si>
  <si>
    <t>11월 전략 - 배당 축소된다면 수급 이탈 불가피</t>
  </si>
  <si>
    <t>87105</t>
  </si>
  <si>
    <t>11월 전략 - 아직은 리스크 대비 주가 싸지 않아요</t>
  </si>
  <si>
    <t>87104</t>
  </si>
  <si>
    <t>11월 전략 - 이젠 저점 잘 노리셔야 합니다</t>
  </si>
  <si>
    <t>87103</t>
  </si>
  <si>
    <t>아쉬운 하반기</t>
  </si>
  <si>
    <t>87102</t>
  </si>
  <si>
    <t>전구체 및 음극재 가치 단기간에 주가 반영</t>
  </si>
  <si>
    <t>87101</t>
  </si>
  <si>
    <t>다 가진 자의 여유</t>
  </si>
  <si>
    <t>87100</t>
  </si>
  <si>
    <t>내년을 더 기대하는 자세</t>
  </si>
  <si>
    <t>87099</t>
  </si>
  <si>
    <t>불변의 위상: 제한적 하방과 매우 높은 상방</t>
  </si>
  <si>
    <t>87098</t>
  </si>
  <si>
    <t>안팎으로 기다리고 있는 실적개선 요인</t>
  </si>
  <si>
    <t>87097</t>
  </si>
  <si>
    <t>포스코이앤씨 비용 반영에도 견조한 철강 손익</t>
  </si>
  <si>
    <t>87096</t>
  </si>
  <si>
    <t>돌아온 편의점 경쟁력. 실적 추정치 상향</t>
  </si>
  <si>
    <t>87095</t>
  </si>
  <si>
    <t>SENEX 증산과 LNG 수요 증가로 실적 유지</t>
  </si>
  <si>
    <t>87094</t>
  </si>
  <si>
    <t>예상보다 더 적었던 3분기 조업일수</t>
  </si>
  <si>
    <t>87093</t>
  </si>
  <si>
    <t>코스피에서 찾는 비만 치료제 리더</t>
  </si>
  <si>
    <t>87092</t>
  </si>
  <si>
    <t>미중분쟁 반사수혜</t>
  </si>
  <si>
    <t>87091</t>
  </si>
  <si>
    <t>아침은 온다</t>
  </si>
  <si>
    <t>87090</t>
  </si>
  <si>
    <t>3Q25 Re 잠시 숨고르기, 사업확장 지속</t>
  </si>
  <si>
    <t>87089</t>
  </si>
  <si>
    <t>3Q25 Review - 리스크가 없어지고 있음</t>
  </si>
  <si>
    <t>87088</t>
  </si>
  <si>
    <t>3Q25 Review - 양호한 실적과 신사업 기대감</t>
  </si>
  <si>
    <t>87087</t>
  </si>
  <si>
    <t>다소 아쉬운 3분기 실적</t>
  </si>
  <si>
    <t>87086</t>
  </si>
  <si>
    <t>일회성 손실에도 컨센서스 상회</t>
  </si>
  <si>
    <t>87085</t>
  </si>
  <si>
    <t>스프레드 부진, 염소적자 확대 영향</t>
  </si>
  <si>
    <t>87084</t>
  </si>
  <si>
    <t>음극재 사업부 기대감 속, 실적 불확실성 공존</t>
  </si>
  <si>
    <t>87083</t>
  </si>
  <si>
    <t>악재가 다 반영된 주가</t>
  </si>
  <si>
    <t>87082</t>
  </si>
  <si>
    <t>GM 내연기관 체제 복귀의 수혜 기대</t>
  </si>
  <si>
    <t>87081</t>
  </si>
  <si>
    <t>3Q25: 언제 할지 모르지만, 하면 우리가 한다</t>
  </si>
  <si>
    <t>87080</t>
  </si>
  <si>
    <t>평범한 3Q 실적, 비범한 미래 성장 스토리</t>
  </si>
  <si>
    <t>87079</t>
  </si>
  <si>
    <t>국내 노보와 릴리 양강구도에 한미 출전 예고</t>
  </si>
  <si>
    <t>87078</t>
  </si>
  <si>
    <t>양/음극재 수직계열화(feat. 탈중국)</t>
  </si>
  <si>
    <t>87077</t>
  </si>
  <si>
    <t>저속노화 구간만 지나면 바로 벌크업 돌입</t>
  </si>
  <si>
    <t>87076</t>
  </si>
  <si>
    <t>공급망 재편: 주목받는 상사의 역할</t>
  </si>
  <si>
    <t>87075</t>
  </si>
  <si>
    <t>M&amp;A를 통한 기업 가치 제고</t>
  </si>
  <si>
    <t>87074</t>
  </si>
  <si>
    <t>2025-10-27</t>
  </si>
  <si>
    <t>27년 ESS 매출액, EV 상회 예상</t>
  </si>
  <si>
    <t>87073</t>
  </si>
  <si>
    <t>87072</t>
  </si>
  <si>
    <t>3Q25 프리뷰: 주가 약세에도 실적은 컨센서스 부합</t>
  </si>
  <si>
    <t>87071</t>
  </si>
  <si>
    <t>26년 실리콘 포토닉스 수혜 본격화 기대</t>
  </si>
  <si>
    <t>87070</t>
  </si>
  <si>
    <t>시청률을 보면 주가가 보인다</t>
  </si>
  <si>
    <t>87069</t>
  </si>
  <si>
    <t>당장은 어렵지만, 내년은 다르다</t>
  </si>
  <si>
    <t>87068</t>
  </si>
  <si>
    <t>3Q/4Q, 수익성 개선 빠르다. 밸류에이션 재평가~</t>
  </si>
  <si>
    <t>87067</t>
  </si>
  <si>
    <t>FLNG 도크 점유율 상승으로 이익 개선세 Boost</t>
  </si>
  <si>
    <t>87066</t>
  </si>
  <si>
    <t>3Q25 NDR 1일차 후기: 성장 포텐셜 뿜! 뿜!</t>
  </si>
  <si>
    <t>87065</t>
  </si>
  <si>
    <t>LiPF6 가격 급등과 미국향 계약</t>
  </si>
  <si>
    <t>87064</t>
  </si>
  <si>
    <t>쉬어가는 실적, 커지는 몸집</t>
  </si>
  <si>
    <t>87063</t>
  </si>
  <si>
    <t>수주확대로 실적개선 가속화 및 원전 낙수효과 가시화</t>
  </si>
  <si>
    <t>87062</t>
  </si>
  <si>
    <t>펀더멘털 개선에도 수급 부담 및 밸류에이션 한계 지속</t>
  </si>
  <si>
    <t>87061</t>
  </si>
  <si>
    <t>미국에서 희토류 및 LNG 공급망 확장성 가속화</t>
  </si>
  <si>
    <t>87060</t>
  </si>
  <si>
    <t>실적보단 차기 주주환원 정책이 주요 변수</t>
  </si>
  <si>
    <t>87059</t>
  </si>
  <si>
    <t>우주로 향하는 첫걸음</t>
  </si>
  <si>
    <t>87058</t>
  </si>
  <si>
    <t>파이팅 해야지(feat. Galderma)</t>
  </si>
  <si>
    <t>87057</t>
  </si>
  <si>
    <t>기대가 현실로</t>
  </si>
  <si>
    <t>87056</t>
  </si>
  <si>
    <t>중국 성과에도 아쉬운 신작 공백</t>
  </si>
  <si>
    <t>87055</t>
  </si>
  <si>
    <t>신작 출시일 확정, 완만한 주가 상승 예상</t>
  </si>
  <si>
    <t>87054</t>
  </si>
  <si>
    <t>035000</t>
  </si>
  <si>
    <t>HS애드</t>
  </si>
  <si>
    <t>AI 플랫폼과 밸류업을 통한 구조적 전환기</t>
  </si>
  <si>
    <t>87053</t>
  </si>
  <si>
    <t>사업 다각화로 성장</t>
  </si>
  <si>
    <t>87052</t>
  </si>
  <si>
    <t>138610</t>
  </si>
  <si>
    <t>나이벡</t>
  </si>
  <si>
    <t>기술이전이 만든 턴어라운드, 이제는 신약가치의 입증 시간</t>
  </si>
  <si>
    <t>87051</t>
  </si>
  <si>
    <t>2025-10-24</t>
  </si>
  <si>
    <t>287840</t>
  </si>
  <si>
    <t>인투셀</t>
  </si>
  <si>
    <t>파트너의 후보물질 결정 및 본계약 기대</t>
  </si>
  <si>
    <t>87050</t>
  </si>
  <si>
    <t>3Q25 Pre: 감익 시기의 도래</t>
  </si>
  <si>
    <t>87049</t>
  </si>
  <si>
    <t>일회성 비용을 만회한 생산성 제고</t>
  </si>
  <si>
    <t>87048</t>
  </si>
  <si>
    <t>역대 최대 이익률 경신</t>
  </si>
  <si>
    <t>87047</t>
  </si>
  <si>
    <t>3Q25 Re: 프리미엄 확장의 초입</t>
  </si>
  <si>
    <t>87046</t>
  </si>
  <si>
    <t>2025년 3분기 실적 서프라이즈, 이후는?</t>
  </si>
  <si>
    <t>87045</t>
  </si>
  <si>
    <t>3Q25 Review: 조금 아껴서 더욱 호실적</t>
  </si>
  <si>
    <t>87044</t>
  </si>
  <si>
    <t>몸만 풀어도 이 정도</t>
  </si>
  <si>
    <t>87043</t>
  </si>
  <si>
    <t>동일점 회복 지속 여부 관건</t>
  </si>
  <si>
    <t>87042</t>
  </si>
  <si>
    <t>속도계가 올라간다</t>
  </si>
  <si>
    <t>87041</t>
  </si>
  <si>
    <t>글로벌 K-POP 팬덤 확장의 중심 노머스</t>
  </si>
  <si>
    <t>87040</t>
  </si>
  <si>
    <t>3Q25: 항상 기대를 살짝 넘는 편안한 실적</t>
  </si>
  <si>
    <t>87039</t>
  </si>
  <si>
    <t>트럼프도 막지 못한 변압기</t>
  </si>
  <si>
    <t>87038</t>
  </si>
  <si>
    <t>컨센서스 소폭 상회, 4분기는 더 좋다</t>
  </si>
  <si>
    <t>87037</t>
  </si>
  <si>
    <t>3Q25 Re: 4분기 OPM 11.8%를 전망하는 이유</t>
  </si>
  <si>
    <t>87036</t>
  </si>
  <si>
    <t>GMDSS 통신장비 시장 진출</t>
  </si>
  <si>
    <t>87035</t>
  </si>
  <si>
    <t>3Q25 Re 경쟁사를 따라가는 이익률</t>
  </si>
  <si>
    <t>87034</t>
  </si>
  <si>
    <t>3Q25 Re 실적과 수주 서프, 호황 종료 시점 예측 불가</t>
  </si>
  <si>
    <t>87033</t>
  </si>
  <si>
    <t>093520</t>
  </si>
  <si>
    <t>매커스</t>
  </si>
  <si>
    <t>Xilinx(AMD)와 MACOM의 반도체 칩 유통사</t>
  </si>
  <si>
    <t>87032</t>
  </si>
  <si>
    <t>053980</t>
  </si>
  <si>
    <t>오상자이엘</t>
  </si>
  <si>
    <t>다쏘시스템의 PLM 파트너</t>
  </si>
  <si>
    <t>87031</t>
  </si>
  <si>
    <t>아이온2, 추억이 매출을 만든다</t>
  </si>
  <si>
    <t>87030</t>
  </si>
  <si>
    <t>예상대로 3분기 실적은 호조</t>
  </si>
  <si>
    <t>87029</t>
  </si>
  <si>
    <t>049630</t>
  </si>
  <si>
    <t>재영솔루텍</t>
  </si>
  <si>
    <t>카메라 모듈 액추에이터 전문기업</t>
  </si>
  <si>
    <t>87028</t>
  </si>
  <si>
    <t>217910</t>
  </si>
  <si>
    <t>에스제이켐</t>
  </si>
  <si>
    <t>수처리제 및 자원재활용 기반 환경 화학 솔루션 기업</t>
  </si>
  <si>
    <t>87027</t>
  </si>
  <si>
    <t>013580</t>
  </si>
  <si>
    <t>계룡건설</t>
  </si>
  <si>
    <t>안정적인 공공 건설 역량과 ESG 성장 동력을 갖춘 종합 건설기업</t>
  </si>
  <si>
    <t>87026</t>
  </si>
  <si>
    <t>글로벌 파운드리 협력 및 칩렛 플랫폼 기반 주문형 반도체(ASIC) 설계 전문기업</t>
  </si>
  <si>
    <t>87025</t>
  </si>
  <si>
    <t>043910</t>
  </si>
  <si>
    <t>자연과환경</t>
  </si>
  <si>
    <t>PC 모듈러 공법 기반 친환경 인프라 시장을 선도하는 ESG 중심 기업</t>
  </si>
  <si>
    <t>87024</t>
  </si>
  <si>
    <t>056700</t>
  </si>
  <si>
    <t>신화인터텍</t>
  </si>
  <si>
    <t>광학필름·특수테이프 기반에서 배터리·모빌리티 소재로 확장하는 전자소재 기업</t>
  </si>
  <si>
    <t>87023</t>
  </si>
  <si>
    <t>색조화장품 제조 전문기업</t>
  </si>
  <si>
    <t>87022</t>
  </si>
  <si>
    <t>092300</t>
  </si>
  <si>
    <t>현우산업</t>
  </si>
  <si>
    <t>자동차 전장, 디스플레이 PCB 개발 및 공급 전문 업체</t>
  </si>
  <si>
    <t>87021</t>
  </si>
  <si>
    <t>065710</t>
  </si>
  <si>
    <t>서호전기</t>
  </si>
  <si>
    <t>항만 제어 시스템·전력 변환장치 기반의 전력·자동화 전문기업</t>
  </si>
  <si>
    <t>87020</t>
  </si>
  <si>
    <t>048470</t>
  </si>
  <si>
    <t>대동스틸</t>
  </si>
  <si>
    <t>산업 전반을 아우르는 맞춤형 철강재 전문 기업</t>
  </si>
  <si>
    <t>87019</t>
  </si>
  <si>
    <t>사료-농장-비료로 이어지는 계열화를 통해 경쟁력을 강화하는 신성장 기업</t>
  </si>
  <si>
    <t>87018</t>
  </si>
  <si>
    <t>2025-10-23</t>
  </si>
  <si>
    <t>편안한 증익의 초입</t>
  </si>
  <si>
    <t>87017</t>
  </si>
  <si>
    <t>변동성 속 구조적 성장성 주목</t>
  </si>
  <si>
    <t>87016</t>
  </si>
  <si>
    <t>시장의 관심은 이미 4분기 너머 26년을 향해</t>
  </si>
  <si>
    <t>87015</t>
  </si>
  <si>
    <t>배전 경쟁력이 차별화를 만든다.</t>
  </si>
  <si>
    <t>87014</t>
  </si>
  <si>
    <t>미국 입지 강화. 성장 동력 확보</t>
  </si>
  <si>
    <t>87013</t>
  </si>
  <si>
    <t>반가워 강달러</t>
  </si>
  <si>
    <t>87012</t>
  </si>
  <si>
    <t>STO 법제화시 Key Player로의 부상 기대</t>
  </si>
  <si>
    <t>87011</t>
  </si>
  <si>
    <t>3Q25 Review: 관세 부담에도 구조적 성장세</t>
  </si>
  <si>
    <t>87010</t>
  </si>
  <si>
    <t>26년이 기대되는 4가지 이유</t>
  </si>
  <si>
    <t>87009</t>
  </si>
  <si>
    <t>87008</t>
  </si>
  <si>
    <t>곡물가도 싸고, 축산가도 높고, 이안에 3분기 호실적이 있다 이게 내 결론이다</t>
  </si>
  <si>
    <t>87007</t>
  </si>
  <si>
    <t>블랙PDL 모멘텀 본격화</t>
  </si>
  <si>
    <t>87006</t>
  </si>
  <si>
    <t>3Q25 Re 관세 부담에도 선방</t>
  </si>
  <si>
    <t>87005</t>
  </si>
  <si>
    <t>관세를 이겨낼 희토류와 해저케이블 모멘텀</t>
  </si>
  <si>
    <t>87004</t>
  </si>
  <si>
    <t>190510</t>
  </si>
  <si>
    <t>나무가</t>
  </si>
  <si>
    <t>비전 기술로 어플리케이션 다변화 시도</t>
  </si>
  <si>
    <t>87003</t>
  </si>
  <si>
    <t>3Q25 Preview: 일류(一流)</t>
  </si>
  <si>
    <t>87002</t>
  </si>
  <si>
    <t>2025-10-22</t>
  </si>
  <si>
    <t>시장 예상치 부합 전망</t>
  </si>
  <si>
    <t>87001</t>
  </si>
  <si>
    <t>컨센서스 상회 추정, 양호한 주택 성과</t>
  </si>
  <si>
    <t>87000</t>
  </si>
  <si>
    <t>3Q25 Pre: 놀랍지 않은 서프라이즈</t>
  </si>
  <si>
    <t>86999</t>
  </si>
  <si>
    <t>101490</t>
  </si>
  <si>
    <t>에스앤에스텍</t>
  </si>
  <si>
    <t>86998</t>
  </si>
  <si>
    <t>가이던스에 부합한 실적 흐름</t>
  </si>
  <si>
    <t>86997</t>
  </si>
  <si>
    <t>손익보다 아쉬운 수주 실적</t>
  </si>
  <si>
    <t>86996</t>
  </si>
  <si>
    <t>9월 Review: 매출액 두 자릿 수 성장</t>
  </si>
  <si>
    <t>86995</t>
  </si>
  <si>
    <t>어닝 불확실성 상존, 원전 밸류체인 강화 지속</t>
  </si>
  <si>
    <t>86994</t>
  </si>
  <si>
    <t>3Q25 Re: 향후 관전 포인트는 미주 노선 회복 여부</t>
  </si>
  <si>
    <t>86993</t>
  </si>
  <si>
    <t>피해갈 수 없었던 미국 철강 관세 영향</t>
  </si>
  <si>
    <t>86992</t>
  </si>
  <si>
    <t>분기 최대 실적 달성 가능</t>
  </si>
  <si>
    <t>86991</t>
  </si>
  <si>
    <t>기대치를 상회할 3분기. 관세에 대한 베타가 가장 큰 회사</t>
  </si>
  <si>
    <t>86990</t>
  </si>
  <si>
    <t>엑스코프리 여전히 성장 중, 2nd 제품 도입 임박 예상</t>
  </si>
  <si>
    <t>86989</t>
  </si>
  <si>
    <t>[3Q25 Preview] 고부가 중심 성장과 그룹 미래 사업 수혜</t>
  </si>
  <si>
    <t>86988</t>
  </si>
  <si>
    <t>계획대로 되고 있어</t>
  </si>
  <si>
    <t>86987</t>
  </si>
  <si>
    <t>영업이익 컨센서스 27.6% 상회</t>
  </si>
  <si>
    <t>86986</t>
  </si>
  <si>
    <t>방산 사업 확장으로 새로 태어날 미포</t>
  </si>
  <si>
    <t>86985</t>
  </si>
  <si>
    <t>비용상승 국면에 마주한 공정위 조치와 수요 둔화</t>
  </si>
  <si>
    <t>86984</t>
  </si>
  <si>
    <t>좋아지고 있는 고로 이익</t>
  </si>
  <si>
    <t>86983</t>
  </si>
  <si>
    <t>비용 불확실성 확대</t>
  </si>
  <si>
    <t>86982</t>
  </si>
  <si>
    <t>3Q는 양호. 당분간 모멘텀 소진</t>
  </si>
  <si>
    <t>86981</t>
  </si>
  <si>
    <t>단가 하락으로 커진 고정비 부담</t>
  </si>
  <si>
    <t>86980</t>
  </si>
  <si>
    <t>예견된 부진, 다음을 바라볼 때</t>
  </si>
  <si>
    <t>86979</t>
  </si>
  <si>
    <t>9월 잠정 실적 Comment</t>
  </si>
  <si>
    <t>86978</t>
  </si>
  <si>
    <t>3Q25 별도 Re: 자유롬지 못했던 미주</t>
  </si>
  <si>
    <t>86977</t>
  </si>
  <si>
    <t>불편함을 다 반영한 주가</t>
  </si>
  <si>
    <t>86976</t>
  </si>
  <si>
    <t>서프라이즈의 연속. 구조적 변화에 주목</t>
  </si>
  <si>
    <t>86975</t>
  </si>
  <si>
    <t>3Q25 Pre: 시황 하락 지속, 공급 축소 필요</t>
  </si>
  <si>
    <t>86974</t>
  </si>
  <si>
    <t>데이터 발표로 주가 조정. 개선되는 기업가치</t>
  </si>
  <si>
    <t>86973</t>
  </si>
  <si>
    <t>2025-10-21</t>
  </si>
  <si>
    <t>숨 고르기</t>
  </si>
  <si>
    <t>86972</t>
  </si>
  <si>
    <t>지상방산과 해양방산 모멘텀을 모두 흡수</t>
  </si>
  <si>
    <t>86971</t>
  </si>
  <si>
    <t>딱 실적 추정치 만큼 내려온 주가</t>
  </si>
  <si>
    <t>86970</t>
  </si>
  <si>
    <t>가장 높고도 가파를 OPM 개선</t>
  </si>
  <si>
    <t>86969</t>
  </si>
  <si>
    <t>MASGA 선봉장 지위는 변함없다</t>
  </si>
  <si>
    <t>86968</t>
  </si>
  <si>
    <t>3Q25 Pre: 멀리 봐도 편안하다</t>
  </si>
  <si>
    <t>86967</t>
  </si>
  <si>
    <t>엔비디아와 주파수 경매 덕에 내년 실적은 든든하다</t>
  </si>
  <si>
    <t>86966</t>
  </si>
  <si>
    <t>2026년이 멀티플 리레이팅의 원년이 될 겁니다</t>
  </si>
  <si>
    <t>86965</t>
  </si>
  <si>
    <t>보안 이슈 덕에 26년은 실적과 주가 모두 청신호 기대</t>
  </si>
  <si>
    <t>86964</t>
  </si>
  <si>
    <t>KT 해킹 이슈와 무관, 26년부터 이익 정상화 시동 걸 것</t>
  </si>
  <si>
    <t>86963</t>
  </si>
  <si>
    <t>2026년도엔 실적보다 주가가 먼저 반응할 것입니다</t>
  </si>
  <si>
    <t>86962</t>
  </si>
  <si>
    <t>2026년엔 르네상스를 기대할 만하다</t>
  </si>
  <si>
    <t>86961</t>
  </si>
  <si>
    <t>전 부문 호조 양상, 26년에도 실적 호전 이어질 전망</t>
  </si>
  <si>
    <t>86960</t>
  </si>
  <si>
    <t>ECM 성장 모멘텀, 이제 시작이다</t>
  </si>
  <si>
    <t>86959</t>
  </si>
  <si>
    <t>[인도 IPO] 신흥 시장의 재정의, 리레이팅 근거</t>
  </si>
  <si>
    <t>86958</t>
  </si>
  <si>
    <t>3분기 연속 컨센 상회</t>
  </si>
  <si>
    <t>86957</t>
  </si>
  <si>
    <t>미국 친척집으로 자식 유학 보내는 마음인가</t>
  </si>
  <si>
    <t>86956</t>
  </si>
  <si>
    <t>모멘텀 공백 속 호실적 지속. 주가 회복 전망</t>
  </si>
  <si>
    <t>86955</t>
  </si>
  <si>
    <t>미국 법인 구조조정 영향으로 무난한 실적 전망</t>
  </si>
  <si>
    <t>86954</t>
  </si>
  <si>
    <t>AI 수혜는 시작! 26년 실적 상향, 최고가 기대</t>
  </si>
  <si>
    <t>86953</t>
  </si>
  <si>
    <t>아직 회복 시그널은 제한적</t>
  </si>
  <si>
    <t>86952</t>
  </si>
  <si>
    <t>빈틈이 없다</t>
  </si>
  <si>
    <t>86951</t>
  </si>
  <si>
    <t>시장 기대치 상회 전망</t>
  </si>
  <si>
    <t>86950</t>
  </si>
  <si>
    <t>주식은 쌀 때 사 두는 것</t>
  </si>
  <si>
    <t>86949</t>
  </si>
  <si>
    <t>3Q25P Review: 위기에서도 돋보인 수익성</t>
  </si>
  <si>
    <t>86948</t>
  </si>
  <si>
    <t>다시금 주도주의 시간</t>
  </si>
  <si>
    <t>86947</t>
  </si>
  <si>
    <t>3Q25 Pre: 도약을 위한 준비, 컨센 하회</t>
  </si>
  <si>
    <t>86946</t>
  </si>
  <si>
    <t>국내 부진, 중국 성장</t>
  </si>
  <si>
    <t>86945</t>
  </si>
  <si>
    <t>주가도 4분기가 성수기일까요?</t>
  </si>
  <si>
    <t>86944</t>
  </si>
  <si>
    <t>와우게임즈 연결 편입, M&amp;A 성과 지속</t>
  </si>
  <si>
    <t>86943</t>
  </si>
  <si>
    <t>숫자로 증명할 2026년</t>
  </si>
  <si>
    <t>86942</t>
  </si>
  <si>
    <t>또 흥행, 또 서프라이즈</t>
  </si>
  <si>
    <t>86941</t>
  </si>
  <si>
    <t>신규 IP 발굴 필요</t>
  </si>
  <si>
    <t>86940</t>
  </si>
  <si>
    <t>아직 수주가 나오길 기다리는 중</t>
  </si>
  <si>
    <t>86939</t>
  </si>
  <si>
    <t>2026년 실적 불확실성과 확실한 원전 방향성</t>
  </si>
  <si>
    <t>86938</t>
  </si>
  <si>
    <t>믿을 건 노바티스의 적응증 공개</t>
  </si>
  <si>
    <t>86937</t>
  </si>
  <si>
    <t>부진장강곤곤래(不盡長江滾滾來)</t>
  </si>
  <si>
    <t>86936</t>
  </si>
  <si>
    <t>이제는 흥행 체질</t>
  </si>
  <si>
    <t>86935</t>
  </si>
  <si>
    <t>001800</t>
  </si>
  <si>
    <t>오리온홀딩스</t>
  </si>
  <si>
    <t>바이오에 대한 주목할 만한 성과</t>
  </si>
  <si>
    <t>86934</t>
  </si>
  <si>
    <t>관세부담 완화 전망</t>
  </si>
  <si>
    <t>86933</t>
  </si>
  <si>
    <t>2025-10-20</t>
  </si>
  <si>
    <t>조금 달라질 것 같은 캡티브 분위기, 기말 배당 카드</t>
  </si>
  <si>
    <t>86932</t>
  </si>
  <si>
    <t>추후 실적 정상화를 가정</t>
  </si>
  <si>
    <t>86931</t>
  </si>
  <si>
    <t>유의미한 반등 신호는 아직</t>
  </si>
  <si>
    <t>86930</t>
  </si>
  <si>
    <t>대장은 대장이다</t>
  </si>
  <si>
    <t>86929</t>
  </si>
  <si>
    <t>정제마진 반등으로 하반기 회복 기대</t>
  </si>
  <si>
    <t>86928</t>
  </si>
  <si>
    <t>[인도 법인 상장 행사 후기] Life is really Good!</t>
  </si>
  <si>
    <t>86927</t>
  </si>
  <si>
    <t>추정치 상향 지속, 다방면에서 긍정적</t>
  </si>
  <si>
    <t>86926</t>
  </si>
  <si>
    <t>3Q25 Pre: 주가 하방은 막혀있다</t>
  </si>
  <si>
    <t>86925</t>
  </si>
  <si>
    <t>3분기 프리뷰. 관세에 가려진 비용 구조의 안정화</t>
  </si>
  <si>
    <t>86924</t>
  </si>
  <si>
    <t>3Q25 추정치 소폭 하향</t>
  </si>
  <si>
    <t>86923</t>
  </si>
  <si>
    <t>중국 외 핵심 원자재 보유 기업</t>
  </si>
  <si>
    <t>86922</t>
  </si>
  <si>
    <t>2H25 외형성장 지속 + 수주 기대감까지</t>
  </si>
  <si>
    <t>86921</t>
  </si>
  <si>
    <t>2026년에도 섹터 내 Best Top Pick 유지</t>
  </si>
  <si>
    <t>86920</t>
  </si>
  <si>
    <t>065510</t>
  </si>
  <si>
    <t>휴비츠</t>
  </si>
  <si>
    <t>신제품 출시가 만들 변화</t>
  </si>
  <si>
    <t>86919</t>
  </si>
  <si>
    <t>리쥬란은 김치다</t>
  </si>
  <si>
    <t>86918</t>
  </si>
  <si>
    <t>왜 인도법인 시가총액은 18조원일까?</t>
  </si>
  <si>
    <t>86917</t>
  </si>
  <si>
    <t>방향성은 변함없다</t>
  </si>
  <si>
    <t>86916</t>
  </si>
  <si>
    <t>풍부한 실적 모멘텀</t>
  </si>
  <si>
    <t>86915</t>
  </si>
  <si>
    <t>성장모멘텀 이상 無</t>
  </si>
  <si>
    <t>86914</t>
  </si>
  <si>
    <t>3Q25 Preview: 해외 수주가 필요하다</t>
  </si>
  <si>
    <t>86913</t>
  </si>
  <si>
    <t>3Q25 Preview: 해외 토목부문 공기 지연 지속</t>
  </si>
  <si>
    <t>86912</t>
  </si>
  <si>
    <t>3Q25 Preview: 아쉬운 계약 관리</t>
  </si>
  <si>
    <t>86911</t>
  </si>
  <si>
    <t>3Q25 Preview: 외주 주택 부문 일회성 비용 증가</t>
  </si>
  <si>
    <t>86910</t>
  </si>
  <si>
    <t>혼조의 실적으로 주가 하락, 결국 인정받을 가치</t>
  </si>
  <si>
    <t>86909</t>
  </si>
  <si>
    <t>기회의 땅 인도를 통한 밸류업 전망</t>
  </si>
  <si>
    <t>86908</t>
  </si>
  <si>
    <t>메모리 가동률 상승에 파운드리 투자 확대까지</t>
  </si>
  <si>
    <t>86907</t>
  </si>
  <si>
    <t>본업 성장과 주주 환원 강화</t>
  </si>
  <si>
    <t>86906</t>
  </si>
  <si>
    <t>신사업 확보 가능성, 본업은 성장 둔화</t>
  </si>
  <si>
    <t>86905</t>
  </si>
  <si>
    <t>콜라보로 실적 반등, 향후 성장성은 부재</t>
  </si>
  <si>
    <t>86904</t>
  </si>
  <si>
    <t>명절 효과 이연, AI 검색 도입 효과 기대</t>
  </si>
  <si>
    <t>86903</t>
  </si>
  <si>
    <t>물류로봇 성장성 가속화로 밸류에이션 리레이팅</t>
  </si>
  <si>
    <t>86902</t>
  </si>
  <si>
    <t>125490</t>
  </si>
  <si>
    <t>한라캐스트</t>
  </si>
  <si>
    <t>로봇, 자율주행 등 경량화로 성장성 가속화</t>
  </si>
  <si>
    <t>86901</t>
  </si>
  <si>
    <t>원전수주, 원자력 협정, 미국시장 수혜 가시화</t>
  </si>
  <si>
    <t>86900</t>
  </si>
  <si>
    <t>기대감 충분히 반영된 주가</t>
  </si>
  <si>
    <t>86899</t>
  </si>
  <si>
    <t>회복과 기대</t>
  </si>
  <si>
    <t>86898</t>
  </si>
  <si>
    <t>멈출 수 없는 AI컴퍼니 전환</t>
  </si>
  <si>
    <t>86897</t>
  </si>
  <si>
    <t>살아나는 R&amp;D로 리레이팅 중</t>
  </si>
  <si>
    <t>86896</t>
  </si>
  <si>
    <t>26년 어닝 방향성의 기로에 서다, 목표주가 상향</t>
  </si>
  <si>
    <t>86895</t>
  </si>
  <si>
    <t>2025-10-17</t>
  </si>
  <si>
    <t>별도 흑자전환으로 실적 저점 통과 확인</t>
  </si>
  <si>
    <t>86894</t>
  </si>
  <si>
    <t>3Q25 Preview : 거침없는 전진, 주가만 쉬었다.</t>
  </si>
  <si>
    <t>86893</t>
  </si>
  <si>
    <t>수익비용 시차에 따른 일시적 마진감소 예상</t>
  </si>
  <si>
    <t>86892</t>
  </si>
  <si>
    <t>속도는 느려도 방향은 맞다</t>
  </si>
  <si>
    <t>86891</t>
  </si>
  <si>
    <t>견조한 실적, 박스권 돌파할 모멘텀 찾기</t>
  </si>
  <si>
    <t>86890</t>
  </si>
  <si>
    <t>무관심 속에서 만들어지는 진짜 기회</t>
  </si>
  <si>
    <t>86889</t>
  </si>
  <si>
    <t>8개 분기만에 증익 전환 예상</t>
  </si>
  <si>
    <t>86888</t>
  </si>
  <si>
    <t>담배 본업 중심 견조한 성장 중</t>
  </si>
  <si>
    <t>86887</t>
  </si>
  <si>
    <t>3Q25 Preview: 늦게 온 추석, 늦게 올 진짜 실적</t>
  </si>
  <si>
    <t>86886</t>
  </si>
  <si>
    <t>하반기 비용 반영</t>
  </si>
  <si>
    <t>86885</t>
  </si>
  <si>
    <t>어려운 영업환경으로의 전환</t>
  </si>
  <si>
    <t>86884</t>
  </si>
  <si>
    <t>3분기 실적은 다소 아쉬울 전망</t>
  </si>
  <si>
    <t>86883</t>
  </si>
  <si>
    <t>실적과 재료 등 모두 겸비</t>
  </si>
  <si>
    <t>86882</t>
  </si>
  <si>
    <t>외형성장과 별개로 보험손익 부진 지속</t>
  </si>
  <si>
    <t>86881</t>
  </si>
  <si>
    <t>스트레이 키즈는 아직도 성장중</t>
  </si>
  <si>
    <t>86880</t>
  </si>
  <si>
    <t>무난한 실적, 다가올 기회</t>
  </si>
  <si>
    <t>86879</t>
  </si>
  <si>
    <t>적어도 1H26까지는 업황 강세 예상</t>
  </si>
  <si>
    <t>86878</t>
  </si>
  <si>
    <t>NDR 후기; 미리 메리골릭스마스</t>
  </si>
  <si>
    <t>86877</t>
  </si>
  <si>
    <t>반전의 조건; 가격 인상, 가동률 상승, 규제 완화</t>
  </si>
  <si>
    <t>86876</t>
  </si>
  <si>
    <t>아쉬운 제품믹스와 일회성 요인</t>
  </si>
  <si>
    <t>86875</t>
  </si>
  <si>
    <t>희망퇴직의 학습효과</t>
  </si>
  <si>
    <t>86874</t>
  </si>
  <si>
    <t>흠 잡을 곳이 없다</t>
  </si>
  <si>
    <t>86873</t>
  </si>
  <si>
    <t>3Q25 Preview: 이번 분기 영업이익도 컨센서스 상회를 기대합니다</t>
  </si>
  <si>
    <t>86872</t>
  </si>
  <si>
    <t>3분기 적자가 눈에 안들어오는 이유</t>
  </si>
  <si>
    <t>86871</t>
  </si>
  <si>
    <t>원숭이도 나무에서 떨어질 때가 있는 법</t>
  </si>
  <si>
    <t>86870</t>
  </si>
  <si>
    <t>적극적으로 성장을 모색하는 로봇 전문기업</t>
  </si>
  <si>
    <t>86869</t>
  </si>
  <si>
    <t>220100</t>
  </si>
  <si>
    <t>퓨쳐켐</t>
  </si>
  <si>
    <t>국내 방사성의약품 산업의 Father</t>
  </si>
  <si>
    <t>86868</t>
  </si>
  <si>
    <t>054800</t>
  </si>
  <si>
    <t>아이디스홀딩스</t>
  </si>
  <si>
    <t>전략적 M&amp;A를 통한 B2B 기술 중심 그룹사 전환</t>
  </si>
  <si>
    <t>86867</t>
  </si>
  <si>
    <t>084440</t>
  </si>
  <si>
    <t>유비온</t>
  </si>
  <si>
    <t>AI 기반 에듀테크 전문기업</t>
  </si>
  <si>
    <t>86866</t>
  </si>
  <si>
    <t>302920</t>
  </si>
  <si>
    <t>더콘텐츠온</t>
  </si>
  <si>
    <t>드라마 기획·제작과 OTT 멀티창구 배급을 결합한 종합 스튜디오형 콘텐츠 기업</t>
  </si>
  <si>
    <t>86865</t>
  </si>
  <si>
    <t>348080</t>
  </si>
  <si>
    <t>큐라티스</t>
  </si>
  <si>
    <t>차세대 플랫폼 기술을 보유한 백신·치료제 전문기업</t>
  </si>
  <si>
    <t>86864</t>
  </si>
  <si>
    <t>091120</t>
  </si>
  <si>
    <t>이엠텍</t>
  </si>
  <si>
    <t>음향·전자담배·헬스케어 분야 글로벌 부품·디바이스 전문기업</t>
  </si>
  <si>
    <t>86863</t>
  </si>
  <si>
    <t>058110</t>
  </si>
  <si>
    <t>멕아이씨에스</t>
  </si>
  <si>
    <t>인공호흡기와 호흡치료기 분야의 글로벌 의료솔루션 전문기업</t>
  </si>
  <si>
    <t>86862</t>
  </si>
  <si>
    <t>023770</t>
  </si>
  <si>
    <t>플레이위드</t>
  </si>
  <si>
    <t>온라인·모바일 MMORPG 기반 글로벌 게임 퍼블리셔</t>
  </si>
  <si>
    <t>86861</t>
  </si>
  <si>
    <t>이방성전도필름 및 수정 발진기 제조 전문기업</t>
  </si>
  <si>
    <t>86860</t>
  </si>
  <si>
    <t>089150</t>
  </si>
  <si>
    <t>케이씨티</t>
  </si>
  <si>
    <t>금융 및 특수 단말시스템 전문기업</t>
  </si>
  <si>
    <t>86859</t>
  </si>
  <si>
    <t>038010</t>
  </si>
  <si>
    <t>제일테크노스</t>
  </si>
  <si>
    <t>데크플레이트·조선용 강재의 설계·가공·공급 전문기업</t>
  </si>
  <si>
    <t>86858</t>
  </si>
  <si>
    <t>산업 전 분야 시험·인증·교정 서비스 제공 글로벌 공인시험/교정기관</t>
  </si>
  <si>
    <t>86857</t>
  </si>
  <si>
    <t>053350</t>
  </si>
  <si>
    <t>이니텍</t>
  </si>
  <si>
    <t>보안 금융 전문 기업</t>
  </si>
  <si>
    <t>86856</t>
  </si>
  <si>
    <t>036670</t>
  </si>
  <si>
    <t>삼양케이씨아이</t>
  </si>
  <si>
    <t>친환경 고기능성 퍼스널케어 원료 전문기업</t>
  </si>
  <si>
    <t>86855</t>
  </si>
  <si>
    <t>From Feed to Food: 축산에서 식품으로 이어지는 혁신</t>
  </si>
  <si>
    <t>86854</t>
  </si>
  <si>
    <t>039560</t>
  </si>
  <si>
    <t>다산네트웍스</t>
  </si>
  <si>
    <t>네트워크 기술력 기반으로 자동차 전장, 물류 플랫폼까지 확장 중인 기업</t>
  </si>
  <si>
    <t>86853</t>
  </si>
  <si>
    <t>2025-10-16</t>
  </si>
  <si>
    <t>쭉 이어지는 MD 호실적</t>
  </si>
  <si>
    <t>86852</t>
  </si>
  <si>
    <t>본업의 개선과 자회사 불확실성 사이</t>
  </si>
  <si>
    <t>86851</t>
  </si>
  <si>
    <t>지분가치 증가보다 더 많은 기대를 내포한 현재 주가</t>
  </si>
  <si>
    <t>86850</t>
  </si>
  <si>
    <t>점진적 우상향</t>
  </si>
  <si>
    <t>86849</t>
  </si>
  <si>
    <t>3Q25 Preview; 이럴 때 사야지</t>
  </si>
  <si>
    <t>86848</t>
  </si>
  <si>
    <t>아쉬운 바이오 부진 지속</t>
  </si>
  <si>
    <t>86847</t>
  </si>
  <si>
    <t>탐방 후기: 하반기까지 이어질 호실적</t>
  </si>
  <si>
    <t>86846</t>
  </si>
  <si>
    <t>높아진 밸류에이션 매력도</t>
  </si>
  <si>
    <t>86845</t>
  </si>
  <si>
    <t>3Q25 Preview: 컨센 26% 상회 예상</t>
  </si>
  <si>
    <t>86844</t>
  </si>
  <si>
    <t>환율이 걱정거리</t>
  </si>
  <si>
    <t>86843</t>
  </si>
  <si>
    <t>3Q25 Pre: 소재 부문 시장 기대 하회 전망</t>
  </si>
  <si>
    <t>86842</t>
  </si>
  <si>
    <t>3분기 프리뷰. 입항수수료 인상보다 핵심사업 강화에 주목</t>
  </si>
  <si>
    <t>86841</t>
  </si>
  <si>
    <t>실적 안정화 속 신약 성과 가시화</t>
  </si>
  <si>
    <t>86840</t>
  </si>
  <si>
    <t>궐련이 이끌 성장</t>
  </si>
  <si>
    <t>86839</t>
  </si>
  <si>
    <t>풀가동 국면 진입</t>
  </si>
  <si>
    <t>86838</t>
  </si>
  <si>
    <t>자본비율 개선 순항 중</t>
  </si>
  <si>
    <t>86837</t>
  </si>
  <si>
    <t>상승여력은 제한적</t>
  </si>
  <si>
    <t>86836</t>
  </si>
  <si>
    <t>86835</t>
  </si>
  <si>
    <t>3Q25 Pre; 여전히 견조한 실적 지속</t>
  </si>
  <si>
    <t>86834</t>
  </si>
  <si>
    <t>재생에너지 이어 원전 시장에도 진입</t>
  </si>
  <si>
    <t>86833</t>
  </si>
  <si>
    <t>와우게임즈 on</t>
  </si>
  <si>
    <t>86832</t>
  </si>
  <si>
    <t>3분기 실적 부진 예상</t>
  </si>
  <si>
    <t>86831</t>
  </si>
  <si>
    <t>3Q25 Pre; 도파민보다는 안정성</t>
  </si>
  <si>
    <t>86830</t>
  </si>
  <si>
    <t>1년 중 엔씨에게 가장 중요한 한 달</t>
  </si>
  <si>
    <t>86829</t>
  </si>
  <si>
    <t>유효한 성장 동력</t>
  </si>
  <si>
    <t>86828</t>
  </si>
  <si>
    <t>86827</t>
  </si>
  <si>
    <t>어쩔 수가 없는 업황</t>
  </si>
  <si>
    <t>86826</t>
  </si>
  <si>
    <t>시장의 관심은 3Q보다 `26년 수익성 방어 여부로</t>
  </si>
  <si>
    <t>86825</t>
  </si>
  <si>
    <t>북미 중심의 성장은 이제 시작 단계</t>
  </si>
  <si>
    <t>86824</t>
  </si>
  <si>
    <t>북미와 유럽 투 트랙 성장</t>
  </si>
  <si>
    <t>86823</t>
  </si>
  <si>
    <t>그야말로 실적 폭주기관차</t>
  </si>
  <si>
    <t>86822</t>
  </si>
  <si>
    <t>2025-10-15</t>
  </si>
  <si>
    <t>26년 ESS 매출 추정치 +55% 상향 조정</t>
  </si>
  <si>
    <t>86821</t>
  </si>
  <si>
    <t>3Q25 Pre: 탑 픽, 기다리던 북경한미 정상화 진입</t>
  </si>
  <si>
    <t>86820</t>
  </si>
  <si>
    <t>3Q25 Pre: 분할 이후에도 든든할 로직스</t>
  </si>
  <si>
    <t>86819</t>
  </si>
  <si>
    <t>예상 대비 견조한 탑라인과 감익 폭 축소 중</t>
  </si>
  <si>
    <t>86818</t>
  </si>
  <si>
    <t>3Q25 프리뷰: 우려에도 기대치 부합 예상</t>
  </si>
  <si>
    <t>86817</t>
  </si>
  <si>
    <t>북경한미 실적 회복 분위기, R&amp;D 이벤트도 이어갈 것</t>
  </si>
  <si>
    <t>86816</t>
  </si>
  <si>
    <t>3분기 프리뷰. 외풍에 덜 흔들리는 체질을 증명할 것</t>
  </si>
  <si>
    <t>86815</t>
  </si>
  <si>
    <t>3Q25 Pre: 본업 호조에 신사업 효과까지</t>
  </si>
  <si>
    <t>86814</t>
  </si>
  <si>
    <t>3Q25 Preview: 컨센 6% 상회 예상</t>
  </si>
  <si>
    <t>86813</t>
  </si>
  <si>
    <t>[3Q25 Preview] 축소에서 성장으로</t>
  </si>
  <si>
    <t>86812</t>
  </si>
  <si>
    <t>[3Q25 Preview] 주요 지역/고객향 물량 불확실성 해소 여부가 중요</t>
  </si>
  <si>
    <t>86811</t>
  </si>
  <si>
    <t>3Q25 잠정실적 리뷰</t>
  </si>
  <si>
    <t>86810</t>
  </si>
  <si>
    <t>3Q25 Preview : K패션 최전방 기업</t>
  </si>
  <si>
    <t>86809</t>
  </si>
  <si>
    <t>3Q25 Preview : 다가온 4분기</t>
  </si>
  <si>
    <t>86808</t>
  </si>
  <si>
    <t>3Q25Pre: 성장 지속</t>
  </si>
  <si>
    <t>86807</t>
  </si>
  <si>
    <t>다가오는 R&amp;D 성과 확인</t>
  </si>
  <si>
    <t>86806</t>
  </si>
  <si>
    <t>원래의 성장 궤도로 복귀</t>
  </si>
  <si>
    <t>86805</t>
  </si>
  <si>
    <t>3Q25 Pre: 4 공장 풀가동 효과로 컨센 상회</t>
  </si>
  <si>
    <t>86804</t>
  </si>
  <si>
    <t>86803</t>
  </si>
  <si>
    <t>3Q25 Preview: 회복 구간</t>
  </si>
  <si>
    <t>86802</t>
  </si>
  <si>
    <t>4Q25 영업이익 12.9조원으로 추가 개선 전망</t>
  </si>
  <si>
    <t>86801</t>
  </si>
  <si>
    <t>VIP 회복, Mass 성장</t>
  </si>
  <si>
    <t>86800</t>
  </si>
  <si>
    <t>3Q25 Preview: 4공장 Full 가동 효과</t>
  </si>
  <si>
    <t>86799</t>
  </si>
  <si>
    <t>글로벌 자동차사와 천연흑연 음극재 수주 발표</t>
  </si>
  <si>
    <t>86798</t>
  </si>
  <si>
    <t>25년 3분기, DS가 다했다</t>
  </si>
  <si>
    <t>86797</t>
  </si>
  <si>
    <t>모든 준비는 마쳤고 오기만 하면 돼</t>
  </si>
  <si>
    <t>86796</t>
  </si>
  <si>
    <t>화창한 여름이었다</t>
  </si>
  <si>
    <t>86795</t>
  </si>
  <si>
    <t>나무가 좋으니 숲도 좋다</t>
  </si>
  <si>
    <t>86794</t>
  </si>
  <si>
    <t>당분간 백화점이 전사 실적 개선 견인 전망</t>
  </si>
  <si>
    <t>86793</t>
  </si>
  <si>
    <t>백화점 소비 경기 맑음</t>
  </si>
  <si>
    <t>86792</t>
  </si>
  <si>
    <t>하반기 강한 모멘텀 대기 중</t>
  </si>
  <si>
    <t>86791</t>
  </si>
  <si>
    <t>메모리반도체 매출액 1등 탈환</t>
  </si>
  <si>
    <t>86790</t>
  </si>
  <si>
    <t>과도기가 지나간다</t>
  </si>
  <si>
    <t>86789</t>
  </si>
  <si>
    <t>여전히 매력적인 주가</t>
  </si>
  <si>
    <t>86788</t>
  </si>
  <si>
    <t xml:space="preserve">3Q 실적 상향, 저점에서 BUY! </t>
  </si>
  <si>
    <t>86787</t>
  </si>
  <si>
    <t>닉스 없는 자 나를 가져라</t>
  </si>
  <si>
    <t>86786</t>
  </si>
  <si>
    <t>일시적 부진</t>
  </si>
  <si>
    <t>86785</t>
  </si>
  <si>
    <t>역대 최대 분기 실적 기대</t>
  </si>
  <si>
    <t>86784</t>
  </si>
  <si>
    <t>3타수 3안타</t>
  </si>
  <si>
    <t>86783</t>
  </si>
  <si>
    <t>염소적자 추가 확대 영향</t>
  </si>
  <si>
    <t>86782</t>
  </si>
  <si>
    <t>ECH 강세 시황 지속</t>
  </si>
  <si>
    <t>86781</t>
  </si>
  <si>
    <t>풀 가동의 힘!! 분할 전 화려한 실적 기대</t>
  </si>
  <si>
    <t>86780</t>
  </si>
  <si>
    <t>22년 이후 첫 2조 원 미만 OP 예상되지만</t>
  </si>
  <si>
    <t>86779</t>
  </si>
  <si>
    <t>품목관세 본격화, 보수적 접근 필요한 3분기</t>
  </si>
  <si>
    <t>86778</t>
  </si>
  <si>
    <t>2026년 영업이익 63조원으로 상향</t>
  </si>
  <si>
    <t>86777</t>
  </si>
  <si>
    <t>950140</t>
  </si>
  <si>
    <t>잉글우드랩</t>
  </si>
  <si>
    <t>미국 인디브랜드의 성장은 미국 ODM에 맡기세요</t>
  </si>
  <si>
    <t>86776</t>
  </si>
  <si>
    <t>046440</t>
  </si>
  <si>
    <t>KG모빌리언스</t>
  </si>
  <si>
    <t>국내 휴대폰 결제 1위 사업자</t>
  </si>
  <si>
    <t>86775</t>
  </si>
  <si>
    <t>297890</t>
  </si>
  <si>
    <t>HB솔루션</t>
  </si>
  <si>
    <t>폼팩터 변화를 기다리며</t>
  </si>
  <si>
    <t>86774</t>
  </si>
  <si>
    <t>장기계약이 이끄는 안정적 수익</t>
  </si>
  <si>
    <t>86773</t>
  </si>
  <si>
    <t>2025-10-14</t>
  </si>
  <si>
    <t>3분기도 호실적</t>
  </si>
  <si>
    <t>86772</t>
  </si>
  <si>
    <t>3Q25 잠정실적 코멘트 - 기대와 우려가 공존하는 구간</t>
  </si>
  <si>
    <t>86771</t>
  </si>
  <si>
    <t>3분기 호실적10월 중국인 VIP 이벤트</t>
  </si>
  <si>
    <t>86770</t>
  </si>
  <si>
    <t>86769</t>
  </si>
  <si>
    <t>86768</t>
  </si>
  <si>
    <t>방산 성장 뿐만 아니라 동가격 상승에 베팅할 시점</t>
  </si>
  <si>
    <t>86767</t>
  </si>
  <si>
    <t>3Q 프리뷰 - 컨센서스 하회할 듯, 4Q가 더 문제</t>
  </si>
  <si>
    <t>86766</t>
  </si>
  <si>
    <t>3Q 프리뷰 - 컨센서스 크게 하회할 전망</t>
  </si>
  <si>
    <t>86765</t>
  </si>
  <si>
    <t>엔비디아 수주 감안하면 아직 멀티플 덜 올랐습니다</t>
  </si>
  <si>
    <t>86764</t>
  </si>
  <si>
    <t>Not a Pull-In, but a Recovery</t>
  </si>
  <si>
    <t>86763</t>
  </si>
  <si>
    <t>2Q25P: 기대 이상의 메모리</t>
  </si>
  <si>
    <t>86762</t>
  </si>
  <si>
    <t>4Q부터 구조적 개선 진입</t>
  </si>
  <si>
    <t>86761</t>
  </si>
  <si>
    <t>변압기 증설효과 진행 중</t>
  </si>
  <si>
    <t>86760</t>
  </si>
  <si>
    <t>흔들릴 이유가 없다</t>
  </si>
  <si>
    <t>86759</t>
  </si>
  <si>
    <t>2026년 구조적 성장 가시화</t>
  </si>
  <si>
    <t>86758</t>
  </si>
  <si>
    <t>여전히 확신의 영역</t>
  </si>
  <si>
    <t>86757</t>
  </si>
  <si>
    <t>프리미엄 정당화 시기</t>
  </si>
  <si>
    <t>86756</t>
  </si>
  <si>
    <t>The change has begun!</t>
  </si>
  <si>
    <t>86755</t>
  </si>
  <si>
    <t>꼭 필요한 기업</t>
  </si>
  <si>
    <t>86754</t>
  </si>
  <si>
    <t>적절한 웨이퍼 진출 시기, 적절한 매수 시점</t>
  </si>
  <si>
    <t>86753</t>
  </si>
  <si>
    <t>꾸준한 성장</t>
  </si>
  <si>
    <t>86752</t>
  </si>
  <si>
    <t>아직 남은 한 발, AI</t>
  </si>
  <si>
    <t>86751</t>
  </si>
  <si>
    <t>"AI, 핀테크, 커머스" 모두 바쁨</t>
  </si>
  <si>
    <t>86750</t>
  </si>
  <si>
    <t>3Q25 잠정실적 발표</t>
  </si>
  <si>
    <t>86749</t>
  </si>
  <si>
    <t>반박불가 대장주</t>
  </si>
  <si>
    <t>86748</t>
  </si>
  <si>
    <t>버티면 이긴다</t>
  </si>
  <si>
    <t>86747</t>
  </si>
  <si>
    <t>어려운 환경에서 호실적</t>
  </si>
  <si>
    <t>86746</t>
  </si>
  <si>
    <t>사업 포트폴리오 정비 긍정적</t>
  </si>
  <si>
    <t>86745</t>
  </si>
  <si>
    <t>좋은 실적을 기대, 떨어지는 실적을 걱정</t>
  </si>
  <si>
    <t>86744</t>
  </si>
  <si>
    <t>3Q25 잠정 실적 리뷰</t>
  </si>
  <si>
    <t>86743</t>
  </si>
  <si>
    <t>내년부터 ESS 부문이 이끄는 본격적인 실적 회복세</t>
  </si>
  <si>
    <t>86742</t>
  </si>
  <si>
    <t>케이팝 데몬 헌터스 효과에 올라타며</t>
  </si>
  <si>
    <t>86741</t>
  </si>
  <si>
    <t>3Q25Pre; 감지되는 회복세</t>
  </si>
  <si>
    <t>86740</t>
  </si>
  <si>
    <t>3Q25 잠정 실적 리뷰: 제품 믹스 개선, 보상금 등으로 영업이익 컨센서스 상회</t>
  </si>
  <si>
    <t>86739</t>
  </si>
  <si>
    <t>반도체 테스트 소켓 및 프로브 카드 공급사</t>
  </si>
  <si>
    <t>86738</t>
  </si>
  <si>
    <t>314140</t>
  </si>
  <si>
    <t>알피바이오</t>
  </si>
  <si>
    <t>제형 혁신과 개별인정형 원료 확장</t>
  </si>
  <si>
    <t>86737</t>
  </si>
  <si>
    <t>흑자전환을 목전에 둔 산업용 AIoT 플랫폼 기업</t>
  </si>
  <si>
    <t>86736</t>
  </si>
  <si>
    <t>범용 메모리 업황 엄중. 투자의견 상향</t>
  </si>
  <si>
    <t>86735</t>
  </si>
  <si>
    <t>2025-10-13</t>
  </si>
  <si>
    <t>3Q 실적 기대치 하회 vs 구조적 성장 모멘텀 유지</t>
  </si>
  <si>
    <t>86734</t>
  </si>
  <si>
    <t>관세·지분법손실 노이즈 속 전장 수익성 검증 구간</t>
  </si>
  <si>
    <t>86733</t>
  </si>
  <si>
    <t>곧 다가올 주가 재평가의 시간</t>
  </si>
  <si>
    <t>86732</t>
  </si>
  <si>
    <t>[3Q25 Preview] 관세, 공급망 재편에도 끄떡없는 이익 개선</t>
  </si>
  <si>
    <t>86731</t>
  </si>
  <si>
    <t>3분기까지 스키즈 레버리지 효과 확인</t>
  </si>
  <si>
    <t>86730</t>
  </si>
  <si>
    <t>3Q 프리뷰 구간 채워둬야 할 주식</t>
  </si>
  <si>
    <t>86729</t>
  </si>
  <si>
    <t>3분기 역대급의 실적</t>
  </si>
  <si>
    <t>86728</t>
  </si>
  <si>
    <t>다시 낮아진 주가, 반등에 무게</t>
  </si>
  <si>
    <t>86727</t>
  </si>
  <si>
    <t>3Q25 Preview: 든든한 기초체력</t>
  </si>
  <si>
    <t>86726</t>
  </si>
  <si>
    <t>3Q25 Preview: 어쩔 수 없는 일은 잊고, HEV M/S 확장 주목</t>
  </si>
  <si>
    <t>86725</t>
  </si>
  <si>
    <t>3Q25 Preview: 컨센 7% 상회 예상</t>
  </si>
  <si>
    <t>86724</t>
  </si>
  <si>
    <t>3Q25 프리뷰: 순항 중, 이상 무</t>
  </si>
  <si>
    <t>86723</t>
  </si>
  <si>
    <t>철강사업은 개선, 3분기는 자회사 실적 악화 우려</t>
  </si>
  <si>
    <t>86722</t>
  </si>
  <si>
    <t>CET 1 비율 Gap 축소 추세 지속 기대는 다소 어려울 듯</t>
  </si>
  <si>
    <t>86721</t>
  </si>
  <si>
    <t>우호적인 환경 지속</t>
  </si>
  <si>
    <t>86720</t>
  </si>
  <si>
    <t>3Q 프리뷰 - 실적보단 배당 불확실성이 고민입니다</t>
  </si>
  <si>
    <t>86719</t>
  </si>
  <si>
    <t>3Q25 Pre: 일회성 비용 및 카카오 투입 부담</t>
  </si>
  <si>
    <t>86718</t>
  </si>
  <si>
    <t>내년으로 이연된 이익</t>
  </si>
  <si>
    <t>86717</t>
  </si>
  <si>
    <t>3Q25 Preview: 영업이익 시장기대치 부합 전망</t>
  </si>
  <si>
    <t>86716</t>
  </si>
  <si>
    <t>3Q25 Preview: 낮은 눈높이는 높은 도약으로</t>
  </si>
  <si>
    <t>86715</t>
  </si>
  <si>
    <t>안정적 체력 유지</t>
  </si>
  <si>
    <t>86714</t>
  </si>
  <si>
    <t>은행+플랫폼, 대체 불가</t>
  </si>
  <si>
    <t>86713</t>
  </si>
  <si>
    <t>3Q25 Preview: 전진 또 전진</t>
  </si>
  <si>
    <t>86712</t>
  </si>
  <si>
    <t>펀더멘탈 이상 無, 숨 고르기 중</t>
  </si>
  <si>
    <t>86711</t>
  </si>
  <si>
    <t>비싼 C앗, 내년에는 수확하겠지</t>
  </si>
  <si>
    <t>86710</t>
  </si>
  <si>
    <t>3Q25 Preview: 본업 먼저 회복</t>
  </si>
  <si>
    <t>86709</t>
  </si>
  <si>
    <t>3Q25 Preview: 본업의 힘</t>
  </si>
  <si>
    <t>86708</t>
  </si>
  <si>
    <t>3Q25 Pre: 여객, 화물 부진, 4Q 여객 반등 기대</t>
  </si>
  <si>
    <t>86707</t>
  </si>
  <si>
    <t>3Q25 Pre: 가시화될 케이캡의 글로벌 성과</t>
  </si>
  <si>
    <t>86706</t>
  </si>
  <si>
    <t>반도체, 중동, 원전 등 성장 모멘텀 가속화</t>
  </si>
  <si>
    <t>86705</t>
  </si>
  <si>
    <t>시계 제로</t>
  </si>
  <si>
    <t>86704</t>
  </si>
  <si>
    <t>3Q25 Pre: 컨센 상회, 호실적 지속</t>
  </si>
  <si>
    <t>86703</t>
  </si>
  <si>
    <t>올해에 이어 내년도 기대할 수 있는 이유</t>
  </si>
  <si>
    <t>86702</t>
  </si>
  <si>
    <t>합병 후 시너지를 통한 추가 성장 기대</t>
  </si>
  <si>
    <t>86701</t>
  </si>
  <si>
    <t>일회성 환입으로 컨센서스 상회 예상</t>
  </si>
  <si>
    <t>86700</t>
  </si>
  <si>
    <t>미국 진출 모멘텀 및 해외 야드 성장 기대</t>
  </si>
  <si>
    <t>86699</t>
  </si>
  <si>
    <t>서양으로 진격 중, 아래가 아닌 위(胃)를 바라볼 때</t>
  </si>
  <si>
    <t>86698</t>
  </si>
  <si>
    <t>예열구간</t>
  </si>
  <si>
    <t>86697</t>
  </si>
  <si>
    <t>연말까지는 어쩔 수가 없다</t>
  </si>
  <si>
    <t>86696</t>
  </si>
  <si>
    <t>AI 위주의 성장세 지속</t>
  </si>
  <si>
    <t>86695</t>
  </si>
  <si>
    <t>이제는 본업이 한다</t>
  </si>
  <si>
    <t>86694</t>
  </si>
  <si>
    <t>의심을 거두고</t>
  </si>
  <si>
    <t>86693</t>
  </si>
  <si>
    <t>본업인 백화점 매출 반등 시작</t>
  </si>
  <si>
    <t>86692</t>
  </si>
  <si>
    <t>신작 지속성이 필요</t>
  </si>
  <si>
    <t>86691</t>
  </si>
  <si>
    <t>2025-10-10</t>
  </si>
  <si>
    <t>[3Q25 Preview] 관세 영향에도 안정적</t>
  </si>
  <si>
    <t>86690</t>
  </si>
  <si>
    <t>3Q25 Pre: 비만패치제, 본 궤도 탑승</t>
  </si>
  <si>
    <t>86689</t>
  </si>
  <si>
    <t>불확실성 완화 및 가격 메리트 발생으로 최선호주 제시</t>
  </si>
  <si>
    <t>86688</t>
  </si>
  <si>
    <t>수입 철강재 규제 확대의 긍정적인 영향 본격화</t>
  </si>
  <si>
    <t>86687</t>
  </si>
  <si>
    <t>예고된 소나기</t>
  </si>
  <si>
    <t>86686</t>
  </si>
  <si>
    <t>앱 개편에 놀란 가슴, AI가 달래준다</t>
  </si>
  <si>
    <t>86685</t>
  </si>
  <si>
    <t>본업 둔화 국면, 중장기 성장 옵션 부각</t>
  </si>
  <si>
    <t>86684</t>
  </si>
  <si>
    <t>상향 조정이 불가피한 업황</t>
  </si>
  <si>
    <t>86683</t>
  </si>
  <si>
    <t>26년 쿵짝 삼박자(P,Q,C) 속에</t>
  </si>
  <si>
    <t>86682</t>
  </si>
  <si>
    <t>세나리 글로벌 기대 이상의 성과</t>
  </si>
  <si>
    <t>86681</t>
  </si>
  <si>
    <t>3Q25 Preview: 언팩은 끝났지만, 이노텍은 이제 시작</t>
  </si>
  <si>
    <t>86680</t>
  </si>
  <si>
    <t>3Q25 Preview: 약점이 안보인다</t>
  </si>
  <si>
    <t>86679</t>
  </si>
  <si>
    <t>3Q25 Pre; 강력한 K-잠수함 내러티브</t>
  </si>
  <si>
    <t>86678</t>
  </si>
  <si>
    <t>3Q25 Pre; 비수기 영향을 줄여주는 원전</t>
  </si>
  <si>
    <t>86677</t>
  </si>
  <si>
    <t>3Q25 Pre; 한국의 Bloom Energy가 되려면 필요한 것</t>
  </si>
  <si>
    <t>86676</t>
  </si>
  <si>
    <t>3Q25 Pre; 다음 정류장은 “10만원”입니다.</t>
  </si>
  <si>
    <t>86675</t>
  </si>
  <si>
    <t>3Q25 Pre; Bloom Energy가 말아주는 국밥</t>
  </si>
  <si>
    <t>86674</t>
  </si>
  <si>
    <t>3Q25 Preview: 중국 성장 확실, 내수 회복 신호</t>
  </si>
  <si>
    <t>86673</t>
  </si>
  <si>
    <t>기울기 낮아졌지만, 연간 최대 실적 유효</t>
  </si>
  <si>
    <t>86672</t>
  </si>
  <si>
    <t>전방산업 투자 환경이 성장성 등으로 이어진다</t>
  </si>
  <si>
    <t>86671</t>
  </si>
  <si>
    <t>CLT는 실적개선을, 신규장비는 성장성을 이끌 듯</t>
  </si>
  <si>
    <t>86670</t>
  </si>
  <si>
    <t>올해와 내년 HBM 등이 실적개선 이끌 듯</t>
  </si>
  <si>
    <t>86669</t>
  </si>
  <si>
    <t>LNGC&amp;FLNG의 본격적인 수주가 시작된다</t>
  </si>
  <si>
    <t>86668</t>
  </si>
  <si>
    <t>견조한 상선, 기대되는 특수선</t>
  </si>
  <si>
    <t>86667</t>
  </si>
  <si>
    <t>현재 보다 미래가 더 기대되는 회사</t>
  </si>
  <si>
    <t>86666</t>
  </si>
  <si>
    <t>조경수사업, 환경 복원사업, 해외 녹화사업을 영위하는 조경 전문기업</t>
  </si>
  <si>
    <t>86665</t>
  </si>
  <si>
    <t>331660</t>
  </si>
  <si>
    <t>한국미라클피플사</t>
  </si>
  <si>
    <t>친환경 세정제와 화장품을 아우르며 글로벌 시장을 지향하는 생활·뷰티 기업</t>
  </si>
  <si>
    <t>86664</t>
  </si>
  <si>
    <t>258610</t>
  </si>
  <si>
    <t>케일럼</t>
  </si>
  <si>
    <t>지열발전 및 화공/LNG 플랜트 기자재 전문기업</t>
  </si>
  <si>
    <t>86663</t>
  </si>
  <si>
    <t>049080</t>
  </si>
  <si>
    <t>기가레인</t>
  </si>
  <si>
    <t>RF 통신 부품과 반도체 장비 제조 선도 기업</t>
  </si>
  <si>
    <t>86662</t>
  </si>
  <si>
    <t>BT/IT 융합 헬스케어 전문기업</t>
  </si>
  <si>
    <t>86661</t>
  </si>
  <si>
    <t>353590</t>
  </si>
  <si>
    <t>오토앤</t>
  </si>
  <si>
    <t>모빌리티 라이프 전문기업</t>
  </si>
  <si>
    <t>86660</t>
  </si>
  <si>
    <t>123570</t>
  </si>
  <si>
    <t>이엠넷</t>
  </si>
  <si>
    <t>생성형 AI와 쿠키리스 환경 대응을 통한 디지털 광고 대행 전문기업</t>
  </si>
  <si>
    <t>86659</t>
  </si>
  <si>
    <t>054300</t>
  </si>
  <si>
    <t>팬스타엔터프라이즈</t>
  </si>
  <si>
    <t>자동차 정비기기에서 친환경 선박 Retrofit EPC로 사업다각화</t>
  </si>
  <si>
    <t>86658</t>
  </si>
  <si>
    <t>042600</t>
  </si>
  <si>
    <t>새로닉스</t>
  </si>
  <si>
    <t>지속적인 변화를 통한 디스플레이 중심의 정보통신 가전제품 전문기업</t>
  </si>
  <si>
    <t>86657</t>
  </si>
  <si>
    <t>356890</t>
  </si>
  <si>
    <t>싸이버원</t>
  </si>
  <si>
    <t>지능형 통합보안관제플랫폼 사업의 순항과 정보보안 서비스 시장의 구조적 성장</t>
  </si>
  <si>
    <t>86656</t>
  </si>
  <si>
    <t>항체 플랫폼 기반의 차세대 면역항암제 개발 기업</t>
  </si>
  <si>
    <t>86655</t>
  </si>
  <si>
    <t>431190</t>
  </si>
  <si>
    <t>케이쓰리아이</t>
  </si>
  <si>
    <t>스마트팩토리와 AI 돌봄을 아우르는 차세대 Physical AI 솔루션 제공</t>
  </si>
  <si>
    <t>86654</t>
  </si>
  <si>
    <t>죽염 종가, H&amp;B 및 종합식품기업으로의 도약</t>
  </si>
  <si>
    <t>86653</t>
  </si>
  <si>
    <t>036090</t>
  </si>
  <si>
    <t>위지트</t>
  </si>
  <si>
    <t>디스플레이·반도체 장비 핵심 소모성 부품 정밀가공 및 표면처리 전문기업</t>
  </si>
  <si>
    <t>86652</t>
  </si>
  <si>
    <t>052860</t>
  </si>
  <si>
    <t>아이앤씨</t>
  </si>
  <si>
    <t>통신 반도체와 전력안전 솔루션을 아우르는 융합형 ICT 반도체 기업</t>
  </si>
  <si>
    <t>86651</t>
  </si>
  <si>
    <t>080010</t>
  </si>
  <si>
    <t>이상네트웍스</t>
  </si>
  <si>
    <t xml:space="preserve">사업 포트폴리오 다각화로 이끌어 가는 성장세 </t>
  </si>
  <si>
    <t>86650</t>
  </si>
  <si>
    <t>건강과 간편식을 아우르는 새로운 소비 트렌드의 식품 전문기업</t>
  </si>
  <si>
    <t>86649</t>
  </si>
  <si>
    <t>059120</t>
  </si>
  <si>
    <t>아진엑스텍</t>
  </si>
  <si>
    <t>로봇·스마트팩토리 산업을 이끄는 모션제어의 선도 기업</t>
  </si>
  <si>
    <t>86648</t>
  </si>
  <si>
    <t>133820</t>
  </si>
  <si>
    <t>화인베스틸</t>
  </si>
  <si>
    <t>조선용 형강에서 로봇·스마트 제조로 확장한 종합 철강 기업</t>
  </si>
  <si>
    <t>86647</t>
  </si>
  <si>
    <t>2025-10-02</t>
  </si>
  <si>
    <t>CJ피드앤케어 지분 매각 Comment</t>
  </si>
  <si>
    <t>86646</t>
  </si>
  <si>
    <t>[3Q25 Preview] 관세받고 배당 매력도와 시장 점유율 확대</t>
  </si>
  <si>
    <t>86645</t>
  </si>
  <si>
    <t>[3Q25 Review] 관세받고 배당 매력도와 xEV 물량 확대</t>
  </si>
  <si>
    <t>86644</t>
  </si>
  <si>
    <t>비수기를 몰랐던 9월. 그리고 10월에 쌓이는 기대</t>
  </si>
  <si>
    <t>86643</t>
  </si>
  <si>
    <t>아직 10월 전인데도 이 실적</t>
  </si>
  <si>
    <t>86642</t>
  </si>
  <si>
    <t>선택과 집중</t>
  </si>
  <si>
    <t>86641</t>
  </si>
  <si>
    <t>3Q25 Pre: 의료파업 완화 및 중국 케이캡 성장</t>
  </si>
  <si>
    <t>86640</t>
  </si>
  <si>
    <t>해외 본업 순항 중, COSRX도 재도약 준비 중</t>
  </si>
  <si>
    <t>86639</t>
  </si>
  <si>
    <t>3Q25 프리뷰: 마지막 매출 감소 구간</t>
  </si>
  <si>
    <t>86638</t>
  </si>
  <si>
    <t>3Q25 Pre: 순항 중</t>
  </si>
  <si>
    <t>86637</t>
  </si>
  <si>
    <t>3Q25 Pre: 시장 기대 부합 전망</t>
  </si>
  <si>
    <t>86636</t>
  </si>
  <si>
    <t>이니마 매각 반영 없을 3분기 실적</t>
  </si>
  <si>
    <t>86635</t>
  </si>
  <si>
    <t>[NDR 후기] 다 이루어질지니</t>
  </si>
  <si>
    <t>86634</t>
  </si>
  <si>
    <t>3Q25Pre: 순항 중</t>
  </si>
  <si>
    <t>86633</t>
  </si>
  <si>
    <t>3Q25F Preview: 이대로 가면 4분기에 기대를</t>
  </si>
  <si>
    <t>86632</t>
  </si>
  <si>
    <t>3Q25F Preview: 휴가철에도 일했어요</t>
  </si>
  <si>
    <t>86631</t>
  </si>
  <si>
    <t>하반기는 강세, 사업구조는 무적</t>
  </si>
  <si>
    <t>86630</t>
  </si>
  <si>
    <t>3Q25F Preview: 관건은 높아진 눈높이</t>
  </si>
  <si>
    <t>86629</t>
  </si>
  <si>
    <t>이제, 반등의 시간!</t>
  </si>
  <si>
    <t>86628</t>
  </si>
  <si>
    <t>피드앤케어 매각 결정</t>
  </si>
  <si>
    <t>86627</t>
  </si>
  <si>
    <t>FC-BGA CAPEX 증설 사이클 핵심 수혜주</t>
  </si>
  <si>
    <t>86626</t>
  </si>
  <si>
    <t>373160</t>
  </si>
  <si>
    <t>데이원컴퍼니</t>
  </si>
  <si>
    <t>비용 구조 개선으로 영업이익 흑자전환 전망</t>
  </si>
  <si>
    <t>86625</t>
  </si>
  <si>
    <t>NDR 후기: 고래가 기지개를 켠다</t>
  </si>
  <si>
    <t>86624</t>
  </si>
  <si>
    <t>NDR 후기: 새끼 고래 1호</t>
  </si>
  <si>
    <t>86623</t>
  </si>
  <si>
    <t>미국 기대감 높으나 국내는 부진</t>
  </si>
  <si>
    <t>86622</t>
  </si>
  <si>
    <t>4Q도 기대치 상회 예상. MLCC 호황 사이클의 초입</t>
  </si>
  <si>
    <t>86621</t>
  </si>
  <si>
    <t>반등이 보인다</t>
  </si>
  <si>
    <t>86620</t>
  </si>
  <si>
    <t>2년간의 수주 부진을 해결할 필요</t>
  </si>
  <si>
    <t>86619</t>
  </si>
  <si>
    <t>품목관세 정산 지연 및 영업외손실 확대 우려</t>
  </si>
  <si>
    <t>86618</t>
  </si>
  <si>
    <t>실적 불확실성보단 빨라지는 美 원전 시장 주목</t>
  </si>
  <si>
    <t>86617</t>
  </si>
  <si>
    <t>긍정적인 물동량 성장, 주춤한 글로벌 포워딩</t>
  </si>
  <si>
    <t>86616</t>
  </si>
  <si>
    <t>3Q25 Pre: 시황 대비 보수적인 실적</t>
  </si>
  <si>
    <t>86615</t>
  </si>
  <si>
    <t>카메라 모듈 강자의 행보 주목</t>
  </si>
  <si>
    <t>86614</t>
  </si>
  <si>
    <t>정제마진 강세 지속</t>
  </si>
  <si>
    <t>86613</t>
  </si>
  <si>
    <t>254120</t>
  </si>
  <si>
    <t>자비스</t>
  </si>
  <si>
    <t>FSCAN은 캐시카우, XSCAN 배터리/반도체는 성장동력</t>
  </si>
  <si>
    <t>86612</t>
  </si>
  <si>
    <t>2025-10-01</t>
  </si>
  <si>
    <t>노이즈보다 분명한 방향성에 주목</t>
  </si>
  <si>
    <t>86611</t>
  </si>
  <si>
    <t>3Q25 Preview: 차별화된 기반, 인바운드 모멘텀을 더하다</t>
  </si>
  <si>
    <t>86610</t>
  </si>
  <si>
    <t>3Q25 Preview: 인바운드 확대와 리뉴얼 효과에 따른 실적 개선 기대</t>
  </si>
  <si>
    <t>86609</t>
  </si>
  <si>
    <t>쉽지 않은 영업환경이지만</t>
  </si>
  <si>
    <t>86608</t>
  </si>
  <si>
    <t>우려할 필요 없이 파이프라인은 충분하다</t>
  </si>
  <si>
    <t>86607</t>
  </si>
  <si>
    <t>관세 영향 본격화</t>
  </si>
  <si>
    <t>86606</t>
  </si>
  <si>
    <t>바다는 비에 젖지 않는다</t>
  </si>
  <si>
    <t>86605</t>
  </si>
  <si>
    <t>관세 영향으로 실적 부진 전망</t>
  </si>
  <si>
    <t>86604</t>
  </si>
  <si>
    <t>어려운 환경 속에서도 매우 돋보이는 경쟁력</t>
  </si>
  <si>
    <t>86603</t>
  </si>
  <si>
    <t>예능은 히든 카드</t>
  </si>
  <si>
    <t>86602</t>
  </si>
  <si>
    <t>국제선 여객 부진, 시선을 4분기로</t>
  </si>
  <si>
    <t>86601</t>
  </si>
  <si>
    <t>우선은 전장, 이제 곧 맞이할 서버의 시대</t>
  </si>
  <si>
    <t>86600</t>
  </si>
  <si>
    <t>드디어 리뉴얼 완료</t>
  </si>
  <si>
    <t>86599</t>
  </si>
  <si>
    <t>대형점 위주의 백화점 경쟁력 강화</t>
  </si>
  <si>
    <t>86598</t>
  </si>
  <si>
    <t>‘호텔’ 신라</t>
  </si>
  <si>
    <t>86597</t>
  </si>
  <si>
    <t>3Q25 Preview: 가격 인상을 동반한 MLCC 사이클의 초입</t>
  </si>
  <si>
    <t>86596</t>
  </si>
  <si>
    <t>86595</t>
  </si>
  <si>
    <t>콥데이 후기; 눈에 보이는 성장</t>
  </si>
  <si>
    <t>86594</t>
  </si>
  <si>
    <t>동트기 전</t>
  </si>
  <si>
    <t>86593</t>
  </si>
  <si>
    <t>OLED 지정학적 리스크의 유일한 대안</t>
  </si>
  <si>
    <t>86592</t>
  </si>
  <si>
    <t>걱정없는 실적</t>
  </si>
  <si>
    <t>86591</t>
  </si>
  <si>
    <t>높아지는 이익 추정치, 26년에는 전장도 붙는다</t>
  </si>
  <si>
    <t>86590</t>
  </si>
  <si>
    <t>3Q25 Pre; 여전히 방망이는 짧게 잡기</t>
  </si>
  <si>
    <t>86589</t>
  </si>
  <si>
    <t>065370</t>
  </si>
  <si>
    <t>위세아이텍</t>
  </si>
  <si>
    <t>신사업을 준비하는 빅데이터 분석, AI 분야 강소기업</t>
  </si>
  <si>
    <t>86588</t>
  </si>
  <si>
    <t>자큐보 꽃이 피었습니다</t>
  </si>
  <si>
    <t>86587</t>
  </si>
  <si>
    <t>102120</t>
  </si>
  <si>
    <t>어보브반도체</t>
  </si>
  <si>
    <t>온디바이스 AI로 도약하는 MCU 강자</t>
  </si>
  <si>
    <t>86586</t>
  </si>
  <si>
    <t>산업 시찰: Dark Factory로 가는 여정이 시작되다</t>
  </si>
  <si>
    <t>86585</t>
  </si>
  <si>
    <t>더욱 우호적인 음극재 환경 변화</t>
  </si>
  <si>
    <t>86584</t>
  </si>
  <si>
    <t>콘텐츠 플랫폼으로 진화</t>
  </si>
  <si>
    <t>86583</t>
  </si>
  <si>
    <t>숨 고르기에도 빛나는 기말 배당 카드</t>
  </si>
  <si>
    <t>86582</t>
  </si>
  <si>
    <t>라인 전환과 ESS에 거는 기대</t>
  </si>
  <si>
    <t>86581</t>
  </si>
  <si>
    <t>美 보험사 Fortegra 인수</t>
  </si>
  <si>
    <t>86580</t>
  </si>
  <si>
    <t>지속되는 모멘텀 찾기</t>
  </si>
  <si>
    <t>86579</t>
  </si>
  <si>
    <t>사업 다각화의 모범 사례</t>
  </si>
  <si>
    <t>86578</t>
  </si>
  <si>
    <t>견조한 철강 본업, 자회사 손익 변수</t>
  </si>
  <si>
    <t>86577</t>
  </si>
  <si>
    <t>별도 기준 흑자 전환</t>
  </si>
  <si>
    <t>86576</t>
  </si>
  <si>
    <t>067310</t>
  </si>
  <si>
    <t>하나마이크론</t>
  </si>
  <si>
    <t>양방향에서 더 좋아지는 시기</t>
  </si>
  <si>
    <t>86575</t>
  </si>
  <si>
    <t>2025-09-30</t>
  </si>
  <si>
    <t>123890</t>
  </si>
  <si>
    <t>한국자산신탁</t>
  </si>
  <si>
    <t>지나온 고비</t>
  </si>
  <si>
    <t>86574</t>
  </si>
  <si>
    <t>가상자산 사업 결합 시 AI 디레이팅 분쇄가능</t>
  </si>
  <si>
    <t>86573</t>
  </si>
  <si>
    <t>26년 상반기까지 우상향 방향성 확보</t>
  </si>
  <si>
    <t>86572</t>
  </si>
  <si>
    <t>3Q25 Pre: 국내 식품 및 바이오 부진 이어질 전망</t>
  </si>
  <si>
    <t>86571</t>
  </si>
  <si>
    <t>글로벌 레벨업에 따른 구조적 성장 지속</t>
  </si>
  <si>
    <t>86570</t>
  </si>
  <si>
    <t>3Q 영업이익 컨센 하회 전망</t>
  </si>
  <si>
    <t>86569</t>
  </si>
  <si>
    <t>3Q 안정적 성장 · 거점 확충 본격화</t>
  </si>
  <si>
    <t>86568</t>
  </si>
  <si>
    <t>서프라이즈 공시로 실적 우려 이제 끝</t>
  </si>
  <si>
    <t>86567</t>
  </si>
  <si>
    <t>본업 ‘정상화’ + 신사업 ‘잠재력’</t>
  </si>
  <si>
    <t>86566</t>
  </si>
  <si>
    <t>과거 실적에 묻히긴 아쉬운 장미빛</t>
  </si>
  <si>
    <t>86565</t>
  </si>
  <si>
    <t>3Q25 Pre; 다소 불편한 여객 업황</t>
  </si>
  <si>
    <t>86564</t>
  </si>
  <si>
    <t>이익률 개선세</t>
  </si>
  <si>
    <t>86563</t>
  </si>
  <si>
    <t>메모리 빅사이클에 예외는 없다</t>
  </si>
  <si>
    <t>86562</t>
  </si>
  <si>
    <t>실적 기대감 ON, 우려는 잠시 OFF</t>
  </si>
  <si>
    <t>86561</t>
  </si>
  <si>
    <t>화공 포트폴리오 확장과 비화공 기대감</t>
  </si>
  <si>
    <t>86560</t>
  </si>
  <si>
    <t>GS이니마 매각과 무난한 3분기 실적</t>
  </si>
  <si>
    <t>86559</t>
  </si>
  <si>
    <t>3Q25 Preview: 품목 다변화가 활짝</t>
  </si>
  <si>
    <t>86558</t>
  </si>
  <si>
    <t>스테이블코인 신사업에 대한 기대</t>
  </si>
  <si>
    <t>86557</t>
  </si>
  <si>
    <t>037230</t>
  </si>
  <si>
    <t>한국팩키지</t>
  </si>
  <si>
    <t>일반팩 및 골판지 전문업체</t>
  </si>
  <si>
    <t>86556</t>
  </si>
  <si>
    <t>2028년까지 HBM과 Enterprise SSD 수요 증가 지속 전망</t>
  </si>
  <si>
    <t>86555</t>
  </si>
  <si>
    <t>2025-09-29</t>
  </si>
  <si>
    <t>2026년 반등의 기회</t>
  </si>
  <si>
    <t>86554</t>
  </si>
  <si>
    <t>믿음에 대한 보답</t>
  </si>
  <si>
    <t>86553</t>
  </si>
  <si>
    <t>131760</t>
  </si>
  <si>
    <t>파인텍</t>
  </si>
  <si>
    <t>조금씩 기대된는 것들</t>
  </si>
  <si>
    <t>86552</t>
  </si>
  <si>
    <t>두나무 합병설 그리고 분명한 사실</t>
  </si>
  <si>
    <t>86551</t>
  </si>
  <si>
    <t>AP 선단공정 채택 확대 및 패키징 변화 수혜 기대</t>
  </si>
  <si>
    <t>86550</t>
  </si>
  <si>
    <t>올해뿐 아니라 내년까지 볼 수 있는 기업</t>
  </si>
  <si>
    <t>86549</t>
  </si>
  <si>
    <t>디바이스, 추가 성장 동력으로 떠오르는 중</t>
  </si>
  <si>
    <t>86548</t>
  </si>
  <si>
    <t>3Q25 Pre; 미국 시장 진출 가능성 점검</t>
  </si>
  <si>
    <t>86547</t>
  </si>
  <si>
    <t>내년을 위한 중간 업데이트</t>
  </si>
  <si>
    <t>86546</t>
  </si>
  <si>
    <t>스테이블코인 시장 개화시 지급결제 분야에서 성장성 가속화</t>
  </si>
  <si>
    <t>86545</t>
  </si>
  <si>
    <t>국민성장펀드, BDC, 투자수익 등 물 들어올 때 노 젓기</t>
  </si>
  <si>
    <t>86544</t>
  </si>
  <si>
    <t>중동 전차수요 확대 ⇒ 변속기 국산화로 중동수출 가속화</t>
  </si>
  <si>
    <t>86543</t>
  </si>
  <si>
    <t>4년 연속 10%대 영업이익률 기록 전망</t>
  </si>
  <si>
    <t>86542</t>
  </si>
  <si>
    <t>2025-09-26</t>
  </si>
  <si>
    <t>3PL에서의 독보적 경쟁력</t>
  </si>
  <si>
    <t>86541</t>
  </si>
  <si>
    <t>26년에도 주주환원 증가</t>
  </si>
  <si>
    <t>86540</t>
  </si>
  <si>
    <t>미래가 준비된 초고압 전력기기 업체로 증명</t>
  </si>
  <si>
    <t>86539</t>
  </si>
  <si>
    <t>시나픽스 ADC 기술도입으로 플랫폼 강화</t>
  </si>
  <si>
    <t>86538</t>
  </si>
  <si>
    <t>2H25 전력기기 수출 지역 및 제품 다각화의 시작</t>
  </si>
  <si>
    <t>86537</t>
  </si>
  <si>
    <t>로보틱스株로 본다면 너무나도 싸다</t>
  </si>
  <si>
    <t>86536</t>
  </si>
  <si>
    <t>한국 OSAT 1등, 밸류 매력 지속</t>
  </si>
  <si>
    <t>86535</t>
  </si>
  <si>
    <t>확장하는 전시 사업, 더해지는 성장 동력</t>
  </si>
  <si>
    <t>86534</t>
  </si>
  <si>
    <t>K-인디 뷰티 브랜드량 오더 증가 기대</t>
  </si>
  <si>
    <t>86533</t>
  </si>
  <si>
    <t>K뷰티 성장 지속, 지금이 바로 기회</t>
  </si>
  <si>
    <t>86532</t>
  </si>
  <si>
    <t>10년 뒤에 해외에서 10조</t>
  </si>
  <si>
    <t>86531</t>
  </si>
  <si>
    <t>다시 온 성수기</t>
  </si>
  <si>
    <t>86530</t>
  </si>
  <si>
    <t>학회 발표, 파트너사 공개, 추가 기술 이전 기대</t>
  </si>
  <si>
    <t>86529</t>
  </si>
  <si>
    <t>P↑, Q ↑, C ↓ 본격화. 저평가 해소 전망</t>
  </si>
  <si>
    <t>86528</t>
  </si>
  <si>
    <t>펀더멘탈과 지배력의 하모니!</t>
  </si>
  <si>
    <t>86527</t>
  </si>
  <si>
    <t>346010</t>
  </si>
  <si>
    <t>타이드</t>
  </si>
  <si>
    <t>에너지 ICT를 품은 전력 인프라 솔루션 전문기업</t>
  </si>
  <si>
    <t>86526</t>
  </si>
  <si>
    <t>337840</t>
  </si>
  <si>
    <t>유엑스엔</t>
  </si>
  <si>
    <t>나노다공성 백금 기반 무효소 CGMS를 개발·상용화하는 바이오센서 기업</t>
  </si>
  <si>
    <t>86525</t>
  </si>
  <si>
    <t>032790</t>
  </si>
  <si>
    <t>엠젠솔루션</t>
  </si>
  <si>
    <t>신뢰성 있는 기술력 기반의 ICT 인프라 구축 기업</t>
  </si>
  <si>
    <t>86524</t>
  </si>
  <si>
    <t>모바일 액추에이터 및 자동화 설비 전문 기업</t>
  </si>
  <si>
    <t>86523</t>
  </si>
  <si>
    <t>154030</t>
  </si>
  <si>
    <t>아시아종묘</t>
  </si>
  <si>
    <t>첨단 육종 기술 기반 농식품 혁신 기업</t>
  </si>
  <si>
    <t>86522</t>
  </si>
  <si>
    <t>299170</t>
  </si>
  <si>
    <t>더블유에스아이</t>
  </si>
  <si>
    <t>헬스케어 유통·제조·로봇 전문기업</t>
  </si>
  <si>
    <t>86521</t>
  </si>
  <si>
    <t>095500</t>
  </si>
  <si>
    <t>미래나노텍</t>
  </si>
  <si>
    <t>광학필름 기반 사업에서 이차전지 소재, EMI 필터 분야로 확장한 기업</t>
  </si>
  <si>
    <t>86520</t>
  </si>
  <si>
    <t>278650</t>
  </si>
  <si>
    <t>HLB바이오스텝</t>
  </si>
  <si>
    <t>One-stop 비임상 CRO(Contract Research Organization) 전문기업</t>
  </si>
  <si>
    <t>86519</t>
  </si>
  <si>
    <t>다양한 산업 수요에 대응하는 고기능성 플라스틱 시트 전문기업</t>
  </si>
  <si>
    <t>86518</t>
  </si>
  <si>
    <t>048430</t>
  </si>
  <si>
    <t>유라테크</t>
  </si>
  <si>
    <t>친환경 자동차 시대를 준비하는 자동차 점화시스템 전문제조 기업</t>
  </si>
  <si>
    <t>86517</t>
  </si>
  <si>
    <t>024940</t>
  </si>
  <si>
    <t>PN풍년</t>
  </si>
  <si>
    <t>제품다각화와 글로벌 확장으로 미래를 도모하는 주방용품 제조 기업</t>
  </si>
  <si>
    <t>86516</t>
  </si>
  <si>
    <t>2025-09-25</t>
  </si>
  <si>
    <t>과거 멀티플 상단을 뚫어야 마땅한 구간</t>
  </si>
  <si>
    <t>86515</t>
  </si>
  <si>
    <t>유상증자 9,000억원 규모 확정 발표</t>
  </si>
  <si>
    <t>86514</t>
  </si>
  <si>
    <t>10월 전략 - 소나기 피할 대안, 26년엔 주도주 가능성</t>
  </si>
  <si>
    <t>86513</t>
  </si>
  <si>
    <t>10월 전략 - 아직은 위험 대비 가격 메리트 낮습니다</t>
  </si>
  <si>
    <t>86512</t>
  </si>
  <si>
    <t>10월 전략 - 11월 말 다시 매수하는게 좋을 듯합니다</t>
  </si>
  <si>
    <t>86511</t>
  </si>
  <si>
    <t>주가 바닥 판단</t>
  </si>
  <si>
    <t>86510</t>
  </si>
  <si>
    <t>샤힌프로젝트 경제성은 어느 정도일까?</t>
  </si>
  <si>
    <t>86509</t>
  </si>
  <si>
    <t>큰 변화에 따른 가능성 확인</t>
  </si>
  <si>
    <t>86508</t>
  </si>
  <si>
    <t>매수 시점, 우리는 2022년 사이클을 기대한다</t>
  </si>
  <si>
    <t>86507</t>
  </si>
  <si>
    <t>기대되는 가을, 겨울</t>
  </si>
  <si>
    <t>86506</t>
  </si>
  <si>
    <t>Investor Day 후기; 물류가 어려운 자는 나에게</t>
  </si>
  <si>
    <t>86505</t>
  </si>
  <si>
    <t>신규 레이저 장비 성과 현실화 단계 진입</t>
  </si>
  <si>
    <t>86504</t>
  </si>
  <si>
    <t>주주배정 후 실권주 일반공모, 증자비율 51.2%</t>
  </si>
  <si>
    <t>86503</t>
  </si>
  <si>
    <t>디스플레이 장비부터 반도체 부품/소재까지</t>
  </si>
  <si>
    <t>86502</t>
  </si>
  <si>
    <t>2025-09-24</t>
  </si>
  <si>
    <t>IMVT-1402에 대한 기대감을 높인 임상결과</t>
  </si>
  <si>
    <t>86501</t>
  </si>
  <si>
    <t>Better Choice, 밸류업의 정석</t>
  </si>
  <si>
    <t>86500</t>
  </si>
  <si>
    <t>86499</t>
  </si>
  <si>
    <t>if(kakao) 후기: 대규모 개편 개시, AI 형상 공개</t>
  </si>
  <si>
    <t>86498</t>
  </si>
  <si>
    <t>Investor Day 후기: 주주환원+니코틴 파우치 업체 인수 발표 (QnA 포함)</t>
  </si>
  <si>
    <t>86497</t>
  </si>
  <si>
    <t>9천억원 유상증자</t>
  </si>
  <si>
    <t>86496</t>
  </si>
  <si>
    <t>니코틴파우치 업체 지분 인수 + 추가 주주환원 발표</t>
  </si>
  <si>
    <t>86495</t>
  </si>
  <si>
    <t>카지노 증설과 다름 없는 호텔 인수 공시</t>
  </si>
  <si>
    <t>86494</t>
  </si>
  <si>
    <t>이프 카카오 25: 카카오톡의 변곡점</t>
  </si>
  <si>
    <t>86493</t>
  </si>
  <si>
    <t>회복 국면 진입했으나, 정상화에는 시간 필요</t>
  </si>
  <si>
    <t>86492</t>
  </si>
  <si>
    <t>Investor Day Review</t>
  </si>
  <si>
    <t>86491</t>
  </si>
  <si>
    <t>사상 최대 매출 기대</t>
  </si>
  <si>
    <t>86490</t>
  </si>
  <si>
    <t>86489</t>
  </si>
  <si>
    <t>지금의 기대감이 현실화 된다면</t>
  </si>
  <si>
    <t>86488</t>
  </si>
  <si>
    <t>15년 만의 변화</t>
  </si>
  <si>
    <t>86487</t>
  </si>
  <si>
    <t>[CEO Investor Day] 완벽한 주주환원 + 신사업 진출</t>
  </si>
  <si>
    <t>86486</t>
  </si>
  <si>
    <t>Global Top Solution Provider로 도약</t>
  </si>
  <si>
    <t>86485</t>
  </si>
  <si>
    <t>조정은 매수 기회</t>
  </si>
  <si>
    <t>86484</t>
  </si>
  <si>
    <t>ODM산업의 성장 +α</t>
  </si>
  <si>
    <t>86483</t>
  </si>
  <si>
    <t>내년이 기대되는 이유</t>
  </si>
  <si>
    <t>86482</t>
  </si>
  <si>
    <t>폼 돌아오는 중</t>
  </si>
  <si>
    <t>86481</t>
  </si>
  <si>
    <t>아직 보여줄 게 많아</t>
  </si>
  <si>
    <t>86480</t>
  </si>
  <si>
    <t>미국 생산기지 확보로 관세 해소, 성장 동력 강화</t>
  </si>
  <si>
    <t>86479</t>
  </si>
  <si>
    <t>연말로 갈수록 매력도 증가</t>
  </si>
  <si>
    <t>86478</t>
  </si>
  <si>
    <t>All Eyes on 카카오톡’s AI</t>
  </si>
  <si>
    <t>86477</t>
  </si>
  <si>
    <t>기대를 뛰어넘은 간담회</t>
  </si>
  <si>
    <t>86476</t>
  </si>
  <si>
    <t>악재 둔감 국면, 트레이딩 유효 구간 진입</t>
  </si>
  <si>
    <t>86475</t>
  </si>
  <si>
    <t>기업가치 성장과 환원의 빛으로 BUY</t>
  </si>
  <si>
    <t>86474</t>
  </si>
  <si>
    <t>86473</t>
  </si>
  <si>
    <t>실적 증명에 할인율 축소</t>
  </si>
  <si>
    <t>86472</t>
  </si>
  <si>
    <t>if(kakao)25: 웅장한 꿈, 증명 시작</t>
  </si>
  <si>
    <t>86471</t>
  </si>
  <si>
    <t>'if (kakao) 25' 정리</t>
  </si>
  <si>
    <t>86470</t>
  </si>
  <si>
    <t>직관적 해석과 전망</t>
  </si>
  <si>
    <t>86469</t>
  </si>
  <si>
    <t>마지막 관문, 1단 인증시험 성공</t>
  </si>
  <si>
    <t>86468</t>
  </si>
  <si>
    <t>현금 창출력과 주주환원정책 강화</t>
  </si>
  <si>
    <t>86467</t>
  </si>
  <si>
    <t>관세 불확실성 완화와 실적 기대감에 바닥 확인</t>
  </si>
  <si>
    <t>86466</t>
  </si>
  <si>
    <t>228340</t>
  </si>
  <si>
    <t>동양파일</t>
  </si>
  <si>
    <t>업계 구조조정 반사이익 및 대규모 국책사업의 기회</t>
  </si>
  <si>
    <t>86465</t>
  </si>
  <si>
    <t>동 트기 전이 가장 어둡다</t>
  </si>
  <si>
    <t>86464</t>
  </si>
  <si>
    <t>치료목적 의료기기의 새 역사를 써내려가는 중</t>
  </si>
  <si>
    <t>86463</t>
  </si>
  <si>
    <t>2025-09-23</t>
  </si>
  <si>
    <t>저평가의 늪에서 리레이팅의 계단으로</t>
  </si>
  <si>
    <t>86462</t>
  </si>
  <si>
    <t>에너지 안보가 부른 해양플랜트 붐의 수혜</t>
  </si>
  <si>
    <t>86461</t>
  </si>
  <si>
    <t>독자적인 무인기 항공엔진 개발 중</t>
  </si>
  <si>
    <t>86460</t>
  </si>
  <si>
    <t>스마트한 안티 드론</t>
  </si>
  <si>
    <t>86459</t>
  </si>
  <si>
    <t>업사이드 리스크 &gt; 다운사이드 리스크</t>
  </si>
  <si>
    <t>86458</t>
  </si>
  <si>
    <t>우려 대비 양호할 25년, 반등할 26년</t>
  </si>
  <si>
    <t>86457</t>
  </si>
  <si>
    <t>미국 산업 시찰 후기: 그 너머를 향해</t>
  </si>
  <si>
    <t>86456</t>
  </si>
  <si>
    <t>Pfizer의 Metsera 인수, 경구제는 대세</t>
  </si>
  <si>
    <t>86455</t>
  </si>
  <si>
    <t>조지아 공장, CID, 보스턴 다이내믹스 방문</t>
  </si>
  <si>
    <t>86454</t>
  </si>
  <si>
    <t>후공정 병목 해소 과정에서 빛나는 검사장비업체</t>
  </si>
  <si>
    <t>86453</t>
  </si>
  <si>
    <t>해외 진출 폴 포지션</t>
  </si>
  <si>
    <t>86452</t>
  </si>
  <si>
    <t>3Q25 Pre; 환율과 미수금에 주목하자</t>
  </si>
  <si>
    <t>86451</t>
  </si>
  <si>
    <t>3분기 NAND 순풍</t>
  </si>
  <si>
    <t>86450</t>
  </si>
  <si>
    <t>재정비 시간</t>
  </si>
  <si>
    <t>86449</t>
  </si>
  <si>
    <t>변함없는 성장</t>
  </si>
  <si>
    <t>86448</t>
  </si>
  <si>
    <t>더 큰 도약을 위해 쉬어가는 시기</t>
  </si>
  <si>
    <t>86447</t>
  </si>
  <si>
    <t>신사업보다는 본업 안정화에 선택과 집중</t>
  </si>
  <si>
    <t>86446</t>
  </si>
  <si>
    <t>파운드리 회복, 목표주가 상향</t>
  </si>
  <si>
    <t>86445</t>
  </si>
  <si>
    <t>준비된 통신장비 전문기업</t>
  </si>
  <si>
    <t>86444</t>
  </si>
  <si>
    <t>2025-09-22</t>
  </si>
  <si>
    <t>숨겨진 가치를 찾아서</t>
  </si>
  <si>
    <t>86443</t>
  </si>
  <si>
    <t>안정적으로 성장할 일만 남았다</t>
  </si>
  <si>
    <t>86442</t>
  </si>
  <si>
    <t>K-방산의 현재와 미래</t>
  </si>
  <si>
    <t>86441</t>
  </si>
  <si>
    <t>이륙하면 늦어요</t>
  </si>
  <si>
    <t>86440</t>
  </si>
  <si>
    <t>이제 위성 영상으로 돈을 벌 차례</t>
  </si>
  <si>
    <t>86439</t>
  </si>
  <si>
    <t>2025 CEO Investor Day Review - 친환경차 중심 현지화와 제조 경쟁력 강조</t>
  </si>
  <si>
    <t>86438</t>
  </si>
  <si>
    <t>FDA 승인과 CHMP 승인 권고, 연내 미국/유럽 진입</t>
  </si>
  <si>
    <t>86437</t>
  </si>
  <si>
    <t>3Q25 Pre: 많아진 식구들과 이연된 성수기 효과</t>
  </si>
  <si>
    <t>86436</t>
  </si>
  <si>
    <t>2025년 CEO Investor Day 핵심내용</t>
  </si>
  <si>
    <t>86435</t>
  </si>
  <si>
    <t>모든 악재 해소. 턴어라운드+인바운드 모멘텀 부각될 전망</t>
  </si>
  <si>
    <t>86434</t>
  </si>
  <si>
    <t>전방위적 업황 개선중</t>
  </si>
  <si>
    <t>86433</t>
  </si>
  <si>
    <t>사지 않을 이유가 없다</t>
  </si>
  <si>
    <t>86432</t>
  </si>
  <si>
    <t>법안 통과시 이제 기댈 곳은 자사주 소각</t>
  </si>
  <si>
    <t>86431</t>
  </si>
  <si>
    <t>글로벌 의료용 AI 기업으로서 성장성 가속화</t>
  </si>
  <si>
    <t>86430</t>
  </si>
  <si>
    <t>내년부터 CMO와 로열티 수익 함께 달린다</t>
  </si>
  <si>
    <t>86429</t>
  </si>
  <si>
    <t>하나씩 풀리는 매듭</t>
  </si>
  <si>
    <t>86428</t>
  </si>
  <si>
    <t>FDA 승인, 이제 전세계가 로열티 낸다</t>
  </si>
  <si>
    <t>86427</t>
  </si>
  <si>
    <t>남은 건 호재 뿐</t>
  </si>
  <si>
    <t>86426</t>
  </si>
  <si>
    <t>475660</t>
  </si>
  <si>
    <t>에스켐</t>
  </si>
  <si>
    <t>신사업 성장으로 기대되는 2026년</t>
  </si>
  <si>
    <t>86425</t>
  </si>
  <si>
    <t>AI가 읽는 희귀질환의 언어</t>
  </si>
  <si>
    <t>86424</t>
  </si>
  <si>
    <t>2025-09-19</t>
  </si>
  <si>
    <t>메모리 빅사이클과 동행</t>
  </si>
  <si>
    <t>86423</t>
  </si>
  <si>
    <t>G마켓-알리익스프레스 기업결합 조건부 승인</t>
  </si>
  <si>
    <t>86422</t>
  </si>
  <si>
    <t>MASH는 끝까지 봐야 하고, 비만치료제도 있다</t>
  </si>
  <si>
    <t>86421</t>
  </si>
  <si>
    <t>2025년 CID 리뷰 &amp; QnA 전체 요약</t>
  </si>
  <si>
    <t>86420</t>
  </si>
  <si>
    <t>국내 저점 통과, 해외 프로젝트 수주 본격화</t>
  </si>
  <si>
    <t>86419</t>
  </si>
  <si>
    <t>파멸적 상승에는 이유가 있다</t>
  </si>
  <si>
    <t>86418</t>
  </si>
  <si>
    <t>美 ESS 시장 지각변동 속 적자생존</t>
  </si>
  <si>
    <t>86417</t>
  </si>
  <si>
    <t>알리글로 미국 안착, 이익 성장의 신호탄</t>
  </si>
  <si>
    <t>86416</t>
  </si>
  <si>
    <t>디레이팅 요인 해소 중</t>
  </si>
  <si>
    <t>86415</t>
  </si>
  <si>
    <t>반등을 넘어 더 큰 성장 조준(feat. SOCAMM2)</t>
  </si>
  <si>
    <t>86414</t>
  </si>
  <si>
    <t>글로벌 1위에도 그렇지 못한 주가</t>
  </si>
  <si>
    <t>86413</t>
  </si>
  <si>
    <t>2025 현대차 CEO Investor Day(CID) 주요 내용 요약</t>
  </si>
  <si>
    <t>86412</t>
  </si>
  <si>
    <t>VAN과 PG를 겸업하는 종합 지급 결제 사업자</t>
  </si>
  <si>
    <t>86411</t>
  </si>
  <si>
    <t>신재생에너지로 사업을 확장하는 전기공사 전문업체</t>
  </si>
  <si>
    <t>86410</t>
  </si>
  <si>
    <t>3분기 소비쿠폰 효과</t>
  </si>
  <si>
    <t>86409</t>
  </si>
  <si>
    <t>낮아진 실적 눈높이 vs 견고한 중장기 성장 동력</t>
  </si>
  <si>
    <t>86408</t>
  </si>
  <si>
    <t>현대로템향 2차 포탄 수주, 장기 호실적 기대</t>
  </si>
  <si>
    <t>86407</t>
  </si>
  <si>
    <t>3Q25 preview - 업종 내 펀더멘털 회복세 보다 뚜렷</t>
  </si>
  <si>
    <t>86406</t>
  </si>
  <si>
    <t>해킹 의혹 무단 소액결제 사건 발생</t>
  </si>
  <si>
    <t>86405</t>
  </si>
  <si>
    <t>222980</t>
  </si>
  <si>
    <t>한국맥널티</t>
  </si>
  <si>
    <t>커피·제약·바이오를 아우르는 종합 식음료·헬스케어 기업</t>
  </si>
  <si>
    <t>86404</t>
  </si>
  <si>
    <t>048770</t>
  </si>
  <si>
    <t>TPC</t>
  </si>
  <si>
    <t>공기압 기기 기반의 공장 자동화 기기 전문기업</t>
  </si>
  <si>
    <t>86403</t>
  </si>
  <si>
    <t>026040</t>
  </si>
  <si>
    <t>제이에스티나</t>
  </si>
  <si>
    <t>글로벌 트렌드를 선도하는 주얼리·패션 전문기업</t>
  </si>
  <si>
    <t>86402</t>
  </si>
  <si>
    <t>046310</t>
  </si>
  <si>
    <t>백금T&amp;A</t>
  </si>
  <si>
    <t>레이더 디텍터, 무전기, 차량용 블랙박스 등 통신기기 개발 및 공급 전문 업체</t>
  </si>
  <si>
    <t>86401</t>
  </si>
  <si>
    <t>2025-09-16</t>
  </si>
  <si>
    <t>203450</t>
  </si>
  <si>
    <t>유니온바이오메트릭스</t>
  </si>
  <si>
    <t>고객다변화 모색하는 생체인식 강소기업</t>
  </si>
  <si>
    <t>86400</t>
  </si>
  <si>
    <t>2025-09-18</t>
  </si>
  <si>
    <t>베트남 탐방 후기; 베트남 법인을 통해 보는 성장 가능성</t>
  </si>
  <si>
    <t>86399</t>
  </si>
  <si>
    <t>ECH 강세로 컨센 상회 예상</t>
  </si>
  <si>
    <t>86398</t>
  </si>
  <si>
    <t>079370</t>
  </si>
  <si>
    <t>제우스</t>
  </si>
  <si>
    <t>신규장비에 대한 기대감이 개화될 시점</t>
  </si>
  <si>
    <t>86397</t>
  </si>
  <si>
    <t>동절기 본격 발휘될 수 있는 GPS 연료 경쟁력</t>
  </si>
  <si>
    <t>86396</t>
  </si>
  <si>
    <t>D2C 확산을 이끌 쇼핑 AI 에이전트</t>
  </si>
  <si>
    <t>86395</t>
  </si>
  <si>
    <t>다가오는 AI 서비스 시험대</t>
  </si>
  <si>
    <t>86394</t>
  </si>
  <si>
    <t>신성장 동력: 스테이블코인, 웹툰</t>
  </si>
  <si>
    <t>86393</t>
  </si>
  <si>
    <t>반도체로 달라질 사업 구조</t>
  </si>
  <si>
    <t>86392</t>
  </si>
  <si>
    <t>켐트로닉스 공장 투어 후기: 켐트로닉스 붐은 온다</t>
  </si>
  <si>
    <t>86391</t>
  </si>
  <si>
    <t>연말로 갈수록 주가 상승 모멘텀 강해질 전망</t>
  </si>
  <si>
    <t>86390</t>
  </si>
  <si>
    <t>2025-09-17</t>
  </si>
  <si>
    <t>여전히 글로벌 No. 1</t>
  </si>
  <si>
    <t>86389</t>
  </si>
  <si>
    <t>취향대로 골라 쓰는 브랜드 부자</t>
  </si>
  <si>
    <t>86388</t>
  </si>
  <si>
    <t>실적 안정성 강화</t>
  </si>
  <si>
    <t>86387</t>
  </si>
  <si>
    <t>면세업황 개선 가능성 주가에 미반영</t>
  </si>
  <si>
    <t>86386</t>
  </si>
  <si>
    <t>면세점도 회복하고, 백화점 소비도 살아나고</t>
  </si>
  <si>
    <t>86385</t>
  </si>
  <si>
    <t>글로벌 MZ들에게 인기 많은 한국 백화점</t>
  </si>
  <si>
    <t>86384</t>
  </si>
  <si>
    <t>실적은 걱정하지 마세요</t>
  </si>
  <si>
    <t>86383</t>
  </si>
  <si>
    <t>해운 이익 기여도 증가로 ROE 상승, 배당 확대 전망</t>
  </si>
  <si>
    <t>86382</t>
  </si>
  <si>
    <t xml:space="preserve"> IL-18, 아토피피부염 치료 성공 입증</t>
  </si>
  <si>
    <t>86381</t>
  </si>
  <si>
    <t>86380</t>
  </si>
  <si>
    <t>이미 훌륭한데 26년은 더 훌륭하다</t>
  </si>
  <si>
    <t>86379</t>
  </si>
  <si>
    <t>메모리 호황으로 호실적</t>
  </si>
  <si>
    <t>86378</t>
  </si>
  <si>
    <t>3사 중에선 그나마 가장 안전할 듯합니다</t>
  </si>
  <si>
    <t>86377</t>
  </si>
  <si>
    <t>여전히 아름다운 너</t>
  </si>
  <si>
    <t>86376</t>
  </si>
  <si>
    <t>이제는 나도</t>
  </si>
  <si>
    <t>86375</t>
  </si>
  <si>
    <t>콥데이 후기: 늘 해왔던 대로</t>
  </si>
  <si>
    <t>86374</t>
  </si>
  <si>
    <t>IR 後記: 수소차, 전기차 핵심부품 공급</t>
  </si>
  <si>
    <t>86373</t>
  </si>
  <si>
    <t>전선 중심의 글로벌 호황과 자사주 가치 부각</t>
  </si>
  <si>
    <t>86372</t>
  </si>
  <si>
    <t>9월부터 반등 기대</t>
  </si>
  <si>
    <t>86371</t>
  </si>
  <si>
    <t>기업용 AI 솔루션의 다크호스. 신제품 효과 주목</t>
  </si>
  <si>
    <t>86370</t>
  </si>
  <si>
    <t>2026년이 기대되는 이유 있는 이유</t>
  </si>
  <si>
    <t>86369</t>
  </si>
  <si>
    <t>하반기 실적 추정치 상향 조정</t>
  </si>
  <si>
    <t>86368</t>
  </si>
  <si>
    <t>애플보다 삼성의 폴더블폰의 신모델 출시에 주목!</t>
  </si>
  <si>
    <t>86366</t>
  </si>
  <si>
    <t>CEO IR Day 후기 : 변화에 대한 강한 의지 재확인</t>
  </si>
  <si>
    <t>86365</t>
  </si>
  <si>
    <t>SKT이어 KT까지 해킹 파문, ICTK가 대안일 수 있다</t>
  </si>
  <si>
    <t>86364</t>
  </si>
  <si>
    <t>이젠 자회사 덕까지 보게 생겼습니다</t>
  </si>
  <si>
    <t>86363</t>
  </si>
  <si>
    <t>차세대 스킨부스터로 선반영된 주가</t>
  </si>
  <si>
    <t>86362</t>
  </si>
  <si>
    <t>8년만에 DNT 가동율 100%로 올라서다!</t>
  </si>
  <si>
    <t>86361</t>
  </si>
  <si>
    <t>하반기 뚜렷한 실적 회복세 예상</t>
  </si>
  <si>
    <t>86360</t>
  </si>
  <si>
    <t>CEO IR DAY 후기; 다시 왕좌를 꿈꾸다</t>
  </si>
  <si>
    <t>86359</t>
  </si>
  <si>
    <t>베트남 주택 시장과 베트남 개발 사업</t>
  </si>
  <si>
    <t>86358</t>
  </si>
  <si>
    <t>축산물 플랫폼 확장과 신사업 매출 기여 본격화</t>
  </si>
  <si>
    <t>86357</t>
  </si>
  <si>
    <t>베트남 생산 이전 및 고객사 다변화 효과에 주목</t>
  </si>
  <si>
    <t>86356</t>
  </si>
  <si>
    <t>2025-09-15</t>
  </si>
  <si>
    <t>072710</t>
  </si>
  <si>
    <t>농심홀딩스</t>
  </si>
  <si>
    <t>농심보다 높을 상승 여력</t>
  </si>
  <si>
    <t>86355</t>
  </si>
  <si>
    <t>내년까지 편안한 증익 구간</t>
  </si>
  <si>
    <t>86354</t>
  </si>
  <si>
    <t>[탐방노트] 26년 DRAM향 프로브카드 매출 확대 기대</t>
  </si>
  <si>
    <t>86353</t>
  </si>
  <si>
    <t>[탐방노트]폴더블: 얇아질게 vs FPCB: 높아질게</t>
  </si>
  <si>
    <t>86352</t>
  </si>
  <si>
    <t>수율을 높이고 싶으신가요?</t>
  </si>
  <si>
    <t>86351</t>
  </si>
  <si>
    <t>86350</t>
  </si>
  <si>
    <t>콥데이 후기: 무소의 뿔</t>
  </si>
  <si>
    <t>86349</t>
  </si>
  <si>
    <t>콥데이 후기: 더할 것과 뺄 것</t>
  </si>
  <si>
    <t>86348</t>
  </si>
  <si>
    <t>범용 메모리 호황기 임박</t>
  </si>
  <si>
    <t>86347</t>
  </si>
  <si>
    <t>컨콜 後記: 본격 실적 턴어라운드 기대</t>
  </si>
  <si>
    <t>86346</t>
  </si>
  <si>
    <t>AI 바이오 리액터!</t>
  </si>
  <si>
    <t>86345</t>
  </si>
  <si>
    <t>ASP 상승으로 수익성 개선 가속화</t>
  </si>
  <si>
    <t>86344</t>
  </si>
  <si>
    <t>삼성전자 투자가 실적향상으로 이어진다</t>
  </si>
  <si>
    <t>86343</t>
  </si>
  <si>
    <t>LNG 공급의 시대 두 마리 토끼를 잡는다</t>
  </si>
  <si>
    <t>86342</t>
  </si>
  <si>
    <t>내년 HBM은 둔화되나 레거시 디램, 낸드는 양호</t>
  </si>
  <si>
    <t>86341</t>
  </si>
  <si>
    <t>3Q25 실적 서프라이즈 예상</t>
  </si>
  <si>
    <t>86340</t>
  </si>
  <si>
    <t>콥데이 후기; 여전한 자신감</t>
  </si>
  <si>
    <t>86339</t>
  </si>
  <si>
    <t>2025-09-12</t>
  </si>
  <si>
    <t>구조적 성장과 넘치는 재료</t>
  </si>
  <si>
    <t>86338</t>
  </si>
  <si>
    <t>Real Summit: AI 에이전트 시대 준비 완료</t>
  </si>
  <si>
    <t>86337</t>
  </si>
  <si>
    <t>어려운 국면, 노력과 시간 필요</t>
  </si>
  <si>
    <t>86336</t>
  </si>
  <si>
    <t>이어지고 있는 체질 개선</t>
  </si>
  <si>
    <t>86335</t>
  </si>
  <si>
    <t>철강, 내수 시장부터 회복 기대</t>
  </si>
  <si>
    <t>86334</t>
  </si>
  <si>
    <t>해저케이블 그리고 희토류</t>
  </si>
  <si>
    <t>86333</t>
  </si>
  <si>
    <t>공격적인 영구자석 생산계획</t>
  </si>
  <si>
    <t>86332</t>
  </si>
  <si>
    <t>3Q 실적은 상회, 다시 보자~</t>
  </si>
  <si>
    <t>86331</t>
  </si>
  <si>
    <t>CJ올리브영 실적 추정 및 기업가치 상향</t>
  </si>
  <si>
    <t>86330</t>
  </si>
  <si>
    <t>3분기 기대치가 너무 높다</t>
  </si>
  <si>
    <t>86329</t>
  </si>
  <si>
    <t>P의 거짓, 브라운더스트2 여전히 압도적 존재감</t>
  </si>
  <si>
    <t>86328</t>
  </si>
  <si>
    <t>성수기 진입으로 견조한 시황</t>
  </si>
  <si>
    <t>86327</t>
  </si>
  <si>
    <t>준비된 LCoS사수, 격발만 남았다</t>
  </si>
  <si>
    <t>86326</t>
  </si>
  <si>
    <t>스마트글래스 실적주 도약 임박</t>
  </si>
  <si>
    <t>86325</t>
  </si>
  <si>
    <t>069140</t>
  </si>
  <si>
    <t>누리플랜</t>
  </si>
  <si>
    <t>차별화된 기술력은 강력한 경쟁력</t>
  </si>
  <si>
    <t>86324</t>
  </si>
  <si>
    <t>콥데이 후기; 가시화되는 전방사업 다각화</t>
  </si>
  <si>
    <t>86323</t>
  </si>
  <si>
    <t>NDR 후기 - 모두가 궁금해하던 근황에 대하여</t>
  </si>
  <si>
    <t>86322</t>
  </si>
  <si>
    <t>230360</t>
  </si>
  <si>
    <t>에코마케팅</t>
  </si>
  <si>
    <t>안다르 컴퍼니</t>
  </si>
  <si>
    <t>86321</t>
  </si>
  <si>
    <t>아직도 의심한다면 하수</t>
  </si>
  <si>
    <t>86320</t>
  </si>
  <si>
    <t>콥데이 후기; 발사 제외 모두 가능</t>
  </si>
  <si>
    <t>86319</t>
  </si>
  <si>
    <t>늘어나는 수주, 공장은 가동 개시</t>
  </si>
  <si>
    <t>86318</t>
  </si>
  <si>
    <t>AI 카메라 선도와 아마존 진출로 글로벌 도약</t>
  </si>
  <si>
    <t>86317</t>
  </si>
  <si>
    <t>075970</t>
  </si>
  <si>
    <t>동국알앤에스</t>
  </si>
  <si>
    <t>내화물 및 첨단 세라믹 소재 전문기업</t>
  </si>
  <si>
    <t>86316</t>
  </si>
  <si>
    <t>046210</t>
  </si>
  <si>
    <t>HLB파나진</t>
  </si>
  <si>
    <t>글로벌 개인 맞춤형 의료 솔루션을 선도하는 분자진단 전문기업</t>
  </si>
  <si>
    <t>86315</t>
  </si>
  <si>
    <t>175140</t>
  </si>
  <si>
    <t>휴먼테크놀로지</t>
  </si>
  <si>
    <t>AI, 5G 기반 스피커, 라우터, 웨어러블 디바이스 개발 및 제조 전문기업</t>
  </si>
  <si>
    <t>86314</t>
  </si>
  <si>
    <t>083550</t>
  </si>
  <si>
    <t>케이엠</t>
  </si>
  <si>
    <t>방진복, 와이퍼, 글로브 등 다양한 클린룸 소모품 개발 및 제조 기업</t>
  </si>
  <si>
    <t>86313</t>
  </si>
  <si>
    <t>352700</t>
  </si>
  <si>
    <t>씨앤투스</t>
  </si>
  <si>
    <t>고성능 소재 원천기술 기반 필터 제조 전문 업체, 의료바이오 신소재 사업진출</t>
  </si>
  <si>
    <t>86312</t>
  </si>
  <si>
    <t>038070</t>
  </si>
  <si>
    <t>서린바이오</t>
  </si>
  <si>
    <t>바이오·제약 연구 기반의 시약 및 장비 유통 전문 기업</t>
  </si>
  <si>
    <t>86311</t>
  </si>
  <si>
    <t>2025-09-11</t>
  </si>
  <si>
    <t>스테이블 코인 생태계 형성에 필요한 종합결제사</t>
  </si>
  <si>
    <t>86310</t>
  </si>
  <si>
    <t>079810</t>
  </si>
  <si>
    <t>디이엔티</t>
  </si>
  <si>
    <t>레이저 노칭의 일류 기술로 이차전지 시장 선점</t>
  </si>
  <si>
    <t>86309</t>
  </si>
  <si>
    <t>468530</t>
  </si>
  <si>
    <t>프로티나</t>
  </si>
  <si>
    <t>Big Picture: AI 신약 개발, 글로벌 1위가 목표</t>
  </si>
  <si>
    <t>86308</t>
  </si>
  <si>
    <t>011230</t>
  </si>
  <si>
    <t>삼화전자</t>
  </si>
  <si>
    <t>콥데이 후기; 오해는 풀고 갑시다</t>
  </si>
  <si>
    <t>86307</t>
  </si>
  <si>
    <t>이유 있는 자신감, 저평가 탈출의 서막</t>
  </si>
  <si>
    <t>86306</t>
  </si>
  <si>
    <t>AI 데이터센터에 꼭 필요한 광모듈은 이곳에서</t>
  </si>
  <si>
    <t>86305</t>
  </si>
  <si>
    <t>레이어업, 마진업</t>
  </si>
  <si>
    <t>86304</t>
  </si>
  <si>
    <t>상향의 이유</t>
  </si>
  <si>
    <t>86303</t>
  </si>
  <si>
    <t>콥데이 후기: 위성 제조부터 서비스까지</t>
  </si>
  <si>
    <t>86302</t>
  </si>
  <si>
    <t>453450</t>
  </si>
  <si>
    <t>그리드위즈</t>
  </si>
  <si>
    <t>VPP로 성장이 기대되는 국내 1위 DR업체</t>
  </si>
  <si>
    <t>86301</t>
  </si>
  <si>
    <t>2025-09-10</t>
  </si>
  <si>
    <t>K-컬처 플랫폼은 바로 여기</t>
  </si>
  <si>
    <t>86300</t>
  </si>
  <si>
    <t>K-콘텐츠 수출이라면 바로 여기</t>
  </si>
  <si>
    <t>86299</t>
  </si>
  <si>
    <t>P/E 13배에는 아직 없는 CSP 가치</t>
  </si>
  <si>
    <t>86298</t>
  </si>
  <si>
    <t>귀한 분들께 추석 선물로 드리고픈 종목</t>
  </si>
  <si>
    <t>86297</t>
  </si>
  <si>
    <t>월렛원을 인수한 이유</t>
  </si>
  <si>
    <t>86296</t>
  </si>
  <si>
    <t>[다시봐] 자율이동로봇(AMR)!</t>
  </si>
  <si>
    <t>86295</t>
  </si>
  <si>
    <t>348950</t>
  </si>
  <si>
    <t>제이알글로벌리츠</t>
  </si>
  <si>
    <t>제이알 글로벌리츠</t>
  </si>
  <si>
    <t>86294</t>
  </si>
  <si>
    <t>미국 최대 규모 수주로 다시 한번 경쟁력 입증</t>
  </si>
  <si>
    <t>86293</t>
  </si>
  <si>
    <t>베트남 부동산, 개발사업 탐방 후기</t>
  </si>
  <si>
    <t>86292</t>
  </si>
  <si>
    <t>049830</t>
  </si>
  <si>
    <t>승일</t>
  </si>
  <si>
    <t>에어로졸 캔 및 일반 캔 제조업체</t>
  </si>
  <si>
    <t>86291</t>
  </si>
  <si>
    <t>우리나라 대표 얼굴 되어가는 드래곤시티</t>
  </si>
  <si>
    <t>86290</t>
  </si>
  <si>
    <t>4분기가 기대됩니다</t>
  </si>
  <si>
    <t>86289</t>
  </si>
  <si>
    <t>조용히 실적 상승 중</t>
  </si>
  <si>
    <t>86288</t>
  </si>
  <si>
    <t>중요한 변곡점</t>
  </si>
  <si>
    <t>86287</t>
  </si>
  <si>
    <t>아직 갈 길 많이 남았습니다</t>
  </si>
  <si>
    <t>86286</t>
  </si>
  <si>
    <t>신호가 옵니다</t>
  </si>
  <si>
    <t>86285</t>
  </si>
  <si>
    <t>AZ, 키트루다 우위 이중항체SC 임상 개시</t>
  </si>
  <si>
    <t>86284</t>
  </si>
  <si>
    <t>AI 에이전트 선점의 중요성</t>
  </si>
  <si>
    <t>86283</t>
  </si>
  <si>
    <t>돋보이는 성장, 26년 PER 4.9배</t>
  </si>
  <si>
    <t>86282</t>
  </si>
  <si>
    <t>턴어라운드 진행 중인 의료로봇 기업</t>
  </si>
  <si>
    <t>86281</t>
  </si>
  <si>
    <t>방사성의약품 Next Chapter, 치매와 전립선암 진단의 새로운 지평</t>
  </si>
  <si>
    <t>86280</t>
  </si>
  <si>
    <t>우려는 없다!</t>
  </si>
  <si>
    <t>86279</t>
  </si>
  <si>
    <t>배당에 진심!</t>
  </si>
  <si>
    <t>86278</t>
  </si>
  <si>
    <t>2025-09-09</t>
  </si>
  <si>
    <t>PULSE ON</t>
  </si>
  <si>
    <t>86277</t>
  </si>
  <si>
    <t>탐방 후기: 두 가지 성장 모멘텀</t>
  </si>
  <si>
    <t>86276</t>
  </si>
  <si>
    <t>베트남 호치민시 개발의 가치: 매출액 12.5조원 추정</t>
  </si>
  <si>
    <t>86275</t>
  </si>
  <si>
    <t>글로벌 석화 폐쇄 사이클 수혜를 기대한다!</t>
  </si>
  <si>
    <t>86274</t>
  </si>
  <si>
    <t>다시 한번 전고점을 향해</t>
  </si>
  <si>
    <t>86273</t>
  </si>
  <si>
    <t>북미 LNG가 이끄는 성장</t>
  </si>
  <si>
    <t>86272</t>
  </si>
  <si>
    <t>불확실성 속 편안한 선택지</t>
  </si>
  <si>
    <t>86271</t>
  </si>
  <si>
    <t>2025-09-08</t>
  </si>
  <si>
    <t>031440</t>
  </si>
  <si>
    <t>신세계푸드</t>
  </si>
  <si>
    <t>말이 안되는 Valuation</t>
  </si>
  <si>
    <t>86270</t>
  </si>
  <si>
    <t>Mass에서 찾는 Upside</t>
  </si>
  <si>
    <t>86269</t>
  </si>
  <si>
    <t>국내 Hit ratio 1위, 퍼블리싱 역량도 재평가 필요</t>
  </si>
  <si>
    <t>86268</t>
  </si>
  <si>
    <t>라인투어 후기 - 숨길 수 없는 호황</t>
  </si>
  <si>
    <t>86267</t>
  </si>
  <si>
    <t>해프닝으로 일단락됐지만 하방리스크 매우 적음을 재확인</t>
  </si>
  <si>
    <t>86266</t>
  </si>
  <si>
    <t>홍콩/싱가폴 NDR 후기</t>
  </si>
  <si>
    <t>86265</t>
  </si>
  <si>
    <t>세 번째 공장 투어 후기</t>
  </si>
  <si>
    <t>86264</t>
  </si>
  <si>
    <t>월렛원 인수, 계열사 시너지 효과 기대</t>
  </si>
  <si>
    <t>86263</t>
  </si>
  <si>
    <t>Conviction Buy</t>
  </si>
  <si>
    <t>86262</t>
  </si>
  <si>
    <t>탐방 後記: 숨겨진 저평가 실적주</t>
  </si>
  <si>
    <t>86261</t>
  </si>
  <si>
    <t>작년 연간 실적에 달하는 하반기 실적 예상</t>
  </si>
  <si>
    <t>86260</t>
  </si>
  <si>
    <t>콥데이 후기; 방향성은 이상무</t>
  </si>
  <si>
    <t>86259</t>
  </si>
  <si>
    <t>Corp.day 후기; 의료 AI 수익화 선두</t>
  </si>
  <si>
    <t>86258</t>
  </si>
  <si>
    <t>156100</t>
  </si>
  <si>
    <t>엘앤케이바이오</t>
  </si>
  <si>
    <t>콥데이 후기; 예열은 끝났다</t>
  </si>
  <si>
    <t>86257</t>
  </si>
  <si>
    <t>콥데이 후기; 이제 알테오젠의 시간</t>
  </si>
  <si>
    <t>86256</t>
  </si>
  <si>
    <t>판매상 및 보험수가 시너지로 씽크 도입 확대 가속화</t>
  </si>
  <si>
    <t>86255</t>
  </si>
  <si>
    <t>LNG 운반선 관련 수주 확대로 실적개선 가속화</t>
  </si>
  <si>
    <t>86254</t>
  </si>
  <si>
    <t>미국, 중동에서 LNG 관련 수주 증가로 실적개선 가속화</t>
  </si>
  <si>
    <t>86253</t>
  </si>
  <si>
    <t>1위 굳히기에 나선 AZ. 반격을 기다리는 J&amp;J</t>
  </si>
  <si>
    <t>86252</t>
  </si>
  <si>
    <t>진단 오디세이의 끝</t>
  </si>
  <si>
    <t>86251</t>
  </si>
  <si>
    <t>엘라비에 리투오 및 필러수출 성장성 가속화</t>
  </si>
  <si>
    <t>86250</t>
  </si>
  <si>
    <t>오해와 기회</t>
  </si>
  <si>
    <t>86249</t>
  </si>
  <si>
    <t>2025-09-05</t>
  </si>
  <si>
    <t>건설관리사업의 재평가</t>
  </si>
  <si>
    <t>86248</t>
  </si>
  <si>
    <t>대 HEV 시대: 이래도 싸다</t>
  </si>
  <si>
    <t>86247</t>
  </si>
  <si>
    <t>플루빅토 보다 여전히 높은 효능과 낮은 부작용 확인</t>
  </si>
  <si>
    <t>86246</t>
  </si>
  <si>
    <t>[NDR 후기] 소비쿠폰으로 고기 샀니?</t>
  </si>
  <si>
    <t>86245</t>
  </si>
  <si>
    <t>2대주주의 2번째 EB 발행, 오버행 우려 노출 지속</t>
  </si>
  <si>
    <t>86244</t>
  </si>
  <si>
    <t>수출이 되면 주가도 된다</t>
  </si>
  <si>
    <t>86243</t>
  </si>
  <si>
    <t>289930</t>
  </si>
  <si>
    <t>웨이비스</t>
  </si>
  <si>
    <t>국내 유일 GaN RF 반도체 IDM</t>
  </si>
  <si>
    <t>86242</t>
  </si>
  <si>
    <t>엔터 밸류체인에서 인프라를 담당합니다</t>
  </si>
  <si>
    <t>86241</t>
  </si>
  <si>
    <t>032280</t>
  </si>
  <si>
    <t>삼일</t>
  </si>
  <si>
    <t>토탈물류서비스를 구축한 종합물류기업</t>
  </si>
  <si>
    <t>86240</t>
  </si>
  <si>
    <t>092590</t>
  </si>
  <si>
    <t>럭스피아</t>
  </si>
  <si>
    <t>LED패키지/모듈 제조 전문 기업</t>
  </si>
  <si>
    <t>86239</t>
  </si>
  <si>
    <t>258050</t>
  </si>
  <si>
    <t>테크트랜스</t>
  </si>
  <si>
    <t>친환경 고기능성 비철금속 표면처리 전문기업</t>
  </si>
  <si>
    <t>86238</t>
  </si>
  <si>
    <t>215570</t>
  </si>
  <si>
    <t>크로넥스</t>
  </si>
  <si>
    <t>질병치료 및 생명연장을 위한 이종장기 및 신약관련 연구개발 전문기업</t>
  </si>
  <si>
    <t>86237</t>
  </si>
  <si>
    <t>033340</t>
  </si>
  <si>
    <t>좋은사람들</t>
  </si>
  <si>
    <t>기능성과 패션을 결합한 라이프스타일 이너웨어 전문기업</t>
  </si>
  <si>
    <t>86236</t>
  </si>
  <si>
    <t>080420</t>
  </si>
  <si>
    <t>모다이노칩</t>
  </si>
  <si>
    <t>세라믹 전자부품의 기술 혁신과 아울렛 유통의 안정성을 겸비한 종합 전자·유통 기업</t>
  </si>
  <si>
    <t>86235</t>
  </si>
  <si>
    <t>321820</t>
  </si>
  <si>
    <t>아티스트컴퍼니</t>
  </si>
  <si>
    <t>데이터 기반의 콘텐츠 기획·제작·유통·마케팅 전문기업</t>
  </si>
  <si>
    <t>86234</t>
  </si>
  <si>
    <t>정수기 시장으로 사업영역을 확대 중인 카본블록 필터 전문기업</t>
  </si>
  <si>
    <t>86233</t>
  </si>
  <si>
    <t>114450</t>
  </si>
  <si>
    <t>그린생명과학</t>
  </si>
  <si>
    <t>정밀화학 기반의 원료의약품 전문기업</t>
  </si>
  <si>
    <t>86232</t>
  </si>
  <si>
    <t>020180</t>
  </si>
  <si>
    <t>대신정보통신</t>
  </si>
  <si>
    <t>시스템통합 구축 및 운영 전문 업체, 디지털 전환 지원 기업으로의 성장</t>
  </si>
  <si>
    <t>86231</t>
  </si>
  <si>
    <t>전력 전송 솔루션 전문기업, 스마트폰·전기차 충전기 기반 성장 중</t>
  </si>
  <si>
    <t>86230</t>
  </si>
  <si>
    <t>143540</t>
  </si>
  <si>
    <t>영우디에스피</t>
  </si>
  <si>
    <t>이차전지/반도체 분야로 사업 영역을 확장한 디스플레이 검사장비 전문 기업</t>
  </si>
  <si>
    <t>86229</t>
  </si>
  <si>
    <t>037460</t>
  </si>
  <si>
    <t>삼지전자</t>
  </si>
  <si>
    <t>통신기기 제조·전자부품 유통 기반 종합 기업</t>
  </si>
  <si>
    <t>86228</t>
  </si>
  <si>
    <t>엔진 공장투어; 심장이 마구 뜁니다</t>
  </si>
  <si>
    <t>86227</t>
  </si>
  <si>
    <t>2025-09-04</t>
  </si>
  <si>
    <t>매수 진입하기에 좋은 시점입니다</t>
  </si>
  <si>
    <t>86226</t>
  </si>
  <si>
    <t>실적 턴어라운드, 밸류에이션도 회복</t>
  </si>
  <si>
    <t>86225</t>
  </si>
  <si>
    <t>재밌으면 올라야죠</t>
  </si>
  <si>
    <t>86224</t>
  </si>
  <si>
    <t>콥데이 후기; 턴어라운드의 모범사례</t>
  </si>
  <si>
    <t>86223</t>
  </si>
  <si>
    <t>매력 발산</t>
  </si>
  <si>
    <t>86222</t>
  </si>
  <si>
    <t>선단 공정의 숨은 일등 공신</t>
  </si>
  <si>
    <t>86221</t>
  </si>
  <si>
    <t>굳건한 시장 지위 유지</t>
  </si>
  <si>
    <t>86220</t>
  </si>
  <si>
    <t>어려운 업황에도 기회는 있다</t>
  </si>
  <si>
    <t>86219</t>
  </si>
  <si>
    <t>362320</t>
  </si>
  <si>
    <t>청담글로벌</t>
  </si>
  <si>
    <t>2Q25 Review &amp; NDR 후기</t>
  </si>
  <si>
    <t>86218</t>
  </si>
  <si>
    <t>모멘텀 재개를 넘어 확장까지</t>
  </si>
  <si>
    <t>86217</t>
  </si>
  <si>
    <t>콥데이 후기; 이만큼 명확한 신약은 없다</t>
  </si>
  <si>
    <t>86216</t>
  </si>
  <si>
    <t>전방 투자 효과 지속</t>
  </si>
  <si>
    <t>86215</t>
  </si>
  <si>
    <t>아무도 모르셨죠?</t>
  </si>
  <si>
    <t>86214</t>
  </si>
  <si>
    <t>장비 내 주도주</t>
  </si>
  <si>
    <t>86213</t>
  </si>
  <si>
    <t>교과서를 출판하는 에듀테크 기업</t>
  </si>
  <si>
    <t>86212</t>
  </si>
  <si>
    <t>452450</t>
  </si>
  <si>
    <t>피아이이</t>
  </si>
  <si>
    <t>이차전지 검사장비 AI 비전솔루션 전문기업</t>
  </si>
  <si>
    <t>86211</t>
  </si>
  <si>
    <t>318020</t>
  </si>
  <si>
    <t>포인트모바일</t>
  </si>
  <si>
    <t>아마존 매출 확대 + 안드로이드 POS</t>
  </si>
  <si>
    <t>86210</t>
  </si>
  <si>
    <t>업황 투자포인트를 그대로 증명</t>
  </si>
  <si>
    <t>86209</t>
  </si>
  <si>
    <t>2025-09-03</t>
  </si>
  <si>
    <t>미국 현지 생산으로 관세 리스크 대응과 고객 Retention 강화</t>
  </si>
  <si>
    <t>86208</t>
  </si>
  <si>
    <t>P-City의 8월은 북적북적</t>
  </si>
  <si>
    <t>86207</t>
  </si>
  <si>
    <t>하방이 막힌 주식은 사야한다</t>
  </si>
  <si>
    <t>86206</t>
  </si>
  <si>
    <t>005430</t>
  </si>
  <si>
    <t>한국공항</t>
  </si>
  <si>
    <t>항공기 지상조업 국내 MS 1위, 통합 효과도 기대</t>
  </si>
  <si>
    <t>86205</t>
  </si>
  <si>
    <t>콥데이 후기; 숫자로 신뢰를 만들다</t>
  </si>
  <si>
    <t>86204</t>
  </si>
  <si>
    <t>LNG 사이클 속 주목해야 할 종목</t>
  </si>
  <si>
    <t>86203</t>
  </si>
  <si>
    <t>이익 성장은 보장, Q 확장과 미국 진출 모멘텀 기대</t>
  </si>
  <si>
    <t>86202</t>
  </si>
  <si>
    <t>숨어있는 진주, 먼저 찾는 사람이 임자</t>
  </si>
  <si>
    <t>86201</t>
  </si>
  <si>
    <t>주가 급락 코멘트</t>
  </si>
  <si>
    <t>86200</t>
  </si>
  <si>
    <t>한국을 대표하는 더마 코스메틱 전문기업</t>
  </si>
  <si>
    <t>86199</t>
  </si>
  <si>
    <t>2025-09-02</t>
  </si>
  <si>
    <t>밑빠진 독에 물을 부어도</t>
  </si>
  <si>
    <t>86198</t>
  </si>
  <si>
    <t>승부처에 도달, 준비성은 최고</t>
  </si>
  <si>
    <t>86197</t>
  </si>
  <si>
    <t>AS도 부품모듈도 나빠질 수가 없다</t>
  </si>
  <si>
    <t>86196</t>
  </si>
  <si>
    <t>잘 달려왔다. 더 달릴 수 있을까?</t>
  </si>
  <si>
    <t>86195</t>
  </si>
  <si>
    <t>모든 것을 걸러내도 차고 넘치는 상승여력</t>
  </si>
  <si>
    <t>86194</t>
  </si>
  <si>
    <t>8월까지 좋았고, 9월 숨고르기 후 10월 ATH!</t>
  </si>
  <si>
    <t>86193</t>
  </si>
  <si>
    <t>연간 실적 추정치 상향</t>
  </si>
  <si>
    <t>86192</t>
  </si>
  <si>
    <t>Bargain Sale</t>
  </si>
  <si>
    <t>86191</t>
  </si>
  <si>
    <t>하반기는 전년대비 증익 흐름 기대</t>
  </si>
  <si>
    <t>86190</t>
  </si>
  <si>
    <t>3Q 깜작실적 예상, 폴더블폰 성공은 힌지!</t>
  </si>
  <si>
    <t>86189</t>
  </si>
  <si>
    <t>피지컬 AI 시대의 방점</t>
  </si>
  <si>
    <t>86188</t>
  </si>
  <si>
    <t>NDR 後記: 스마트폰에서 자동차 전장, 그리고 의료기기로 순항 중</t>
  </si>
  <si>
    <t>86187</t>
  </si>
  <si>
    <t>콥데이 후기; 넥스트 스텝, 넥스트 레벨</t>
  </si>
  <si>
    <t>86186</t>
  </si>
  <si>
    <t>뇌투과 플랫폼 임상적 근거 확보</t>
  </si>
  <si>
    <t>86185</t>
  </si>
  <si>
    <t>2025 CEO Investor Day 국내 NDR 후기</t>
  </si>
  <si>
    <t>86184</t>
  </si>
  <si>
    <t>이렇게 빠질 일인가?</t>
  </si>
  <si>
    <t>86183</t>
  </si>
  <si>
    <t>2025-09-01</t>
  </si>
  <si>
    <t>공격적인 설비투자에서 확인되는 명확한 성장성</t>
  </si>
  <si>
    <t>86182</t>
  </si>
  <si>
    <t>탐방노트: 고부가 비중 확대로 뚜렷한 실적 개선세</t>
  </si>
  <si>
    <t>86181</t>
  </si>
  <si>
    <t>하반기 기대 요인 점검</t>
  </si>
  <si>
    <t>86180</t>
  </si>
  <si>
    <t>美 채널 확장과 신사업 모멘텀</t>
  </si>
  <si>
    <t>86179</t>
  </si>
  <si>
    <t>필러 수출 성장과 ECM 스킨부스터에 주목</t>
  </si>
  <si>
    <t>86178</t>
  </si>
  <si>
    <t>글로벌 확산·신제품 모멘텀</t>
  </si>
  <si>
    <t>86177</t>
  </si>
  <si>
    <t>리쥬란 Capa 확대와 글로벌 진출</t>
  </si>
  <si>
    <t>86176</t>
  </si>
  <si>
    <t>면역 질환에서 노화까지</t>
  </si>
  <si>
    <t>86175</t>
  </si>
  <si>
    <t>바텍 정상 영업 중</t>
  </si>
  <si>
    <t>86174</t>
  </si>
  <si>
    <t>미국 투자 부각, 추가 업사이드 포인트는?</t>
  </si>
  <si>
    <t>86173</t>
  </si>
  <si>
    <t>하방경직성 확보했지만 중장기적인 접근 필요</t>
  </si>
  <si>
    <t>86172</t>
  </si>
  <si>
    <t>BDC 도입 및 AI 투자 활성화 ⇒ 동사 성장의 마중물 역할</t>
  </si>
  <si>
    <t>86171</t>
  </si>
  <si>
    <t>미국 지역 확장성 및 실적개선 가속화</t>
  </si>
  <si>
    <t>86170</t>
  </si>
  <si>
    <t>북미지역 교두보 확보 및 기관총 중동향 수출 가속화</t>
  </si>
  <si>
    <t>86169</t>
  </si>
  <si>
    <t>실적개선 및 배당성향 상향으로 DPS 대폭 증가할 듯</t>
  </si>
  <si>
    <t>86168</t>
  </si>
  <si>
    <t>최대주주 지분의 가치</t>
  </si>
  <si>
    <t>86167</t>
  </si>
  <si>
    <t>소재사업 견조해서 흑자 기조 유지</t>
  </si>
  <si>
    <t>86166</t>
  </si>
  <si>
    <t>역량 강화를 위한 현명한 결정!</t>
  </si>
  <si>
    <t>86165</t>
  </si>
  <si>
    <t>좋은 건 다 같이 알기</t>
  </si>
  <si>
    <t>86164</t>
  </si>
  <si>
    <t>신작 출시되어도 밸류에이션 매력 없음</t>
  </si>
  <si>
    <t>86163</t>
  </si>
  <si>
    <t>비용 효율화 확인, 게임 성과 주목</t>
  </si>
  <si>
    <t>86162</t>
  </si>
  <si>
    <t>기존작 하락세 지속, 주요 신작 지연</t>
  </si>
  <si>
    <t>86161</t>
  </si>
  <si>
    <t>성장률 및 수익성 제고 필요</t>
  </si>
  <si>
    <t>86160</t>
  </si>
  <si>
    <t>2025-08-29</t>
  </si>
  <si>
    <t>또 해내셨습니까</t>
  </si>
  <si>
    <t>86159</t>
  </si>
  <si>
    <t>보다 안정적으로</t>
  </si>
  <si>
    <t>86158</t>
  </si>
  <si>
    <t>Buldak, still on fire!</t>
  </si>
  <si>
    <t>86157</t>
  </si>
  <si>
    <t>대규모 CAPEX 사이클 시작</t>
  </si>
  <si>
    <t>86156</t>
  </si>
  <si>
    <t>2025 CID Review: 높아지는 성장 가시성</t>
  </si>
  <si>
    <t>86155</t>
  </si>
  <si>
    <t>234300</t>
  </si>
  <si>
    <t>에스트래픽</t>
  </si>
  <si>
    <t>[NDR후기] 기대되는 3개의 프로젝트!</t>
  </si>
  <si>
    <t>86154</t>
  </si>
  <si>
    <t>CISD 후기: Stairway to Pharma</t>
  </si>
  <si>
    <t>86153</t>
  </si>
  <si>
    <t>Pit out</t>
  </si>
  <si>
    <t>86152</t>
  </si>
  <si>
    <t>1,000억원 유상증자 발표</t>
  </si>
  <si>
    <t>86151</t>
  </si>
  <si>
    <t>[탐방노트] 기대 보단 천천히</t>
  </si>
  <si>
    <t>86150</t>
  </si>
  <si>
    <t>증설을 위한 유상증자 결정</t>
  </si>
  <si>
    <t>86149</t>
  </si>
  <si>
    <t>탄탄한 현재, 친환경으로 그리는 미래</t>
  </si>
  <si>
    <t>86148</t>
  </si>
  <si>
    <t>한번 더 Next Level을 향해</t>
  </si>
  <si>
    <t>86147</t>
  </si>
  <si>
    <t>이차전지 자동화 장비사에서 AMR 기업으로 발돋움</t>
  </si>
  <si>
    <t>86146</t>
  </si>
  <si>
    <t>야나두 폴더블</t>
  </si>
  <si>
    <t>86145</t>
  </si>
  <si>
    <t>3분기 약속의 시간</t>
  </si>
  <si>
    <t>86144</t>
  </si>
  <si>
    <t>내년은 탑라인/수익성 성장이 예정되어 있습니다</t>
  </si>
  <si>
    <t>86143</t>
  </si>
  <si>
    <t>296160</t>
  </si>
  <si>
    <t>프로젠</t>
  </si>
  <si>
    <t>NTIG®플랫폼 기반의 혁신 신약 개발 전문기업</t>
  </si>
  <si>
    <t>86142</t>
  </si>
  <si>
    <t>AI 시대의 기술과 함께하는 반도체·바이오 융합 기업</t>
  </si>
  <si>
    <t>86141</t>
  </si>
  <si>
    <t>038460</t>
  </si>
  <si>
    <t>바이오스마트</t>
  </si>
  <si>
    <t>스마트카드 제조 선도 기업</t>
  </si>
  <si>
    <t>86140</t>
  </si>
  <si>
    <t>유해 콘텐츠 차단 및 필터링 전문기업</t>
  </si>
  <si>
    <t>86139</t>
  </si>
  <si>
    <t>031310</t>
  </si>
  <si>
    <t>아이즈비전</t>
  </si>
  <si>
    <t>국내 알뜰폰(MVNO) 분야 선도기업에서 통신장비 제조 기술력 기반 신사업 개척중</t>
  </si>
  <si>
    <t>86138</t>
  </si>
  <si>
    <t>200230</t>
  </si>
  <si>
    <t>텔콘RF제약</t>
  </si>
  <si>
    <t>무선통신 전달 부품 기술과 제약 생산 역량 겸비</t>
  </si>
  <si>
    <t>86137</t>
  </si>
  <si>
    <t>032940</t>
  </si>
  <si>
    <t>원익</t>
  </si>
  <si>
    <t>다양한 사업 포트폴리오를 보유한 국내 유통 전문 기업</t>
  </si>
  <si>
    <t>86136</t>
  </si>
  <si>
    <t>163560</t>
  </si>
  <si>
    <t>동일고무벨트</t>
  </si>
  <si>
    <t>다양한 산업현장 대응이 가능한 고품질 산업용 고무 제조 전문기업</t>
  </si>
  <si>
    <t>86135</t>
  </si>
  <si>
    <t>264850</t>
  </si>
  <si>
    <t>이랜시스</t>
  </si>
  <si>
    <t>생활가전 및 보안솔루션의 주요부품 제조기업</t>
  </si>
  <si>
    <t>86134</t>
  </si>
  <si>
    <t>199480</t>
  </si>
  <si>
    <t>뱅크웨어글로벌</t>
  </si>
  <si>
    <t>신성장 비즈니스 모델을 겸비한 글로벌 금융 SW 전문 기업</t>
  </si>
  <si>
    <t>86133</t>
  </si>
  <si>
    <t>축산·식품, 생명공학 산업부문을 중심으로 수직계열화를 구현한 지주회사</t>
  </si>
  <si>
    <t>86132</t>
  </si>
  <si>
    <t>039740</t>
  </si>
  <si>
    <t>한국정보공학</t>
  </si>
  <si>
    <t>IT 인프라 구축 컨설팅 기반 융합형 유통 전문기업</t>
  </si>
  <si>
    <t>86131</t>
  </si>
  <si>
    <t>초정밀 마이크로 접합 기술 기반 반도체 후공정 턴키 플랫폼 선도기업</t>
  </si>
  <si>
    <t>86130</t>
  </si>
  <si>
    <t>2025-08-28</t>
  </si>
  <si>
    <t>2025 CEO Investor Day Review - 키워드는 미래 핵심제품 중심 성장</t>
  </si>
  <si>
    <t>86129</t>
  </si>
  <si>
    <t>25’ CID: 로보틱스를 포함한 포트폴리오 구체화</t>
  </si>
  <si>
    <t>86128</t>
  </si>
  <si>
    <t>3분기 호실적에 탈중국화로 인한 기대감</t>
  </si>
  <si>
    <t>86127</t>
  </si>
  <si>
    <t>이제부터 그려질 그림들...</t>
  </si>
  <si>
    <t>86126</t>
  </si>
  <si>
    <t>2025년 CEO Investor Day 내용 요약</t>
  </si>
  <si>
    <t>86125</t>
  </si>
  <si>
    <t>현대미포 흡수합병 코멘트</t>
  </si>
  <si>
    <t>86124</t>
  </si>
  <si>
    <t>정상 궤도</t>
  </si>
  <si>
    <t>86123</t>
  </si>
  <si>
    <t>넥쏘 2세대 출시: 다시 오른 반등의 시험대</t>
  </si>
  <si>
    <t>86122</t>
  </si>
  <si>
    <t>Investor Day: 큰 틀 유지, 사업내용 구체화</t>
  </si>
  <si>
    <t>86121</t>
  </si>
  <si>
    <t>현대모비스 2025 CID: 핵심부품 집중 &amp; 글로벌 거점 확대로 구체화된 성장전략</t>
  </si>
  <si>
    <t>86120</t>
  </si>
  <si>
    <t>공격 앞으로</t>
  </si>
  <si>
    <t>86119</t>
  </si>
  <si>
    <t>내수 부진, 美 50% 관세 효과</t>
  </si>
  <si>
    <t>86118</t>
  </si>
  <si>
    <t>KAI 인수 효과 기대</t>
  </si>
  <si>
    <t>86117</t>
  </si>
  <si>
    <t>HD현대미포 합병 관련 코멘트</t>
  </si>
  <si>
    <t>86116</t>
  </si>
  <si>
    <t>D5 Pkg. Substrate 주도로 실적 개선</t>
  </si>
  <si>
    <t>86115</t>
  </si>
  <si>
    <t>도전적인 영업 환경</t>
  </si>
  <si>
    <t>86114</t>
  </si>
  <si>
    <t>하반기 지켜보며 26년 실적 기대</t>
  </si>
  <si>
    <t>86113</t>
  </si>
  <si>
    <t>CID 후기; 불확실성을 헤쳐나가는 세 가지 비책</t>
  </si>
  <si>
    <t>86112</t>
  </si>
  <si>
    <t>AI 에이전트 전문기업으로 진화 중</t>
  </si>
  <si>
    <t>86111</t>
  </si>
  <si>
    <t>209640</t>
  </si>
  <si>
    <t>와이제이링크</t>
  </si>
  <si>
    <t>Global No. 1 SMT Platform Leader로 부상</t>
  </si>
  <si>
    <t>86110</t>
  </si>
  <si>
    <t>국내 1위의 선택적 복지 서비스 사업자</t>
  </si>
  <si>
    <t>86109</t>
  </si>
  <si>
    <t>Think(Thync) Big</t>
  </si>
  <si>
    <t>86108</t>
  </si>
  <si>
    <t>2025-08-27</t>
  </si>
  <si>
    <t>AI agent, 시작은 카카오로</t>
  </si>
  <si>
    <t>86107</t>
  </si>
  <si>
    <t>9월 전략 - 악재 소멸되면서 주가 반등 예상</t>
  </si>
  <si>
    <t>86106</t>
  </si>
  <si>
    <t>9월 전략 - 주주 환원 증가, 실적 개선 주가에 기반영</t>
  </si>
  <si>
    <t>86105</t>
  </si>
  <si>
    <t>9월 전략 - 단기 호재 고갈, 장기 매수로 전환</t>
  </si>
  <si>
    <t>86104</t>
  </si>
  <si>
    <t>사야하는 이유(3): 커지는 산업, 대비하는 EPC사</t>
  </si>
  <si>
    <t>86103</t>
  </si>
  <si>
    <t>3분기에도 대규모 충당금 환입 예상. 과징금 우려도 없음</t>
  </si>
  <si>
    <t>86102</t>
  </si>
  <si>
    <t>해외 전략 실행만 남았다</t>
  </si>
  <si>
    <t>86101</t>
  </si>
  <si>
    <t>그룹컨콜 후기</t>
  </si>
  <si>
    <t>86100</t>
  </si>
  <si>
    <t>AX 미디어 데이 참석 &amp; IDC 탐방</t>
  </si>
  <si>
    <t>86099</t>
  </si>
  <si>
    <t>Path Clear</t>
  </si>
  <si>
    <t>86098</t>
  </si>
  <si>
    <t>2분기 저점 확인 후 회복세 진입</t>
  </si>
  <si>
    <t>86097</t>
  </si>
  <si>
    <t>OSMU 전략을 추진 중인 웹툰 CP사</t>
  </si>
  <si>
    <t>86096</t>
  </si>
  <si>
    <t>thynC와 mobiCARE, 투트랙 질주로 고성장 궤도 진입</t>
  </si>
  <si>
    <t>86095</t>
  </si>
  <si>
    <t>2025-08-26</t>
  </si>
  <si>
    <t>잊혀진 SDC 가치 재조명</t>
  </si>
  <si>
    <t>86094</t>
  </si>
  <si>
    <t>Next Episode = 북미 LNG</t>
  </si>
  <si>
    <t>86093</t>
  </si>
  <si>
    <t>지금부터 Buy and Hold</t>
  </si>
  <si>
    <t>86092</t>
  </si>
  <si>
    <t>상반기 순이익 흑자전환</t>
  </si>
  <si>
    <t>86091</t>
  </si>
  <si>
    <t>NDR 후기: 시장을 선도하는 유일무이 패키징사</t>
  </si>
  <si>
    <t>86090</t>
  </si>
  <si>
    <t>강도 높은 글로벌 구조조정과 4년 만의 흑전</t>
  </si>
  <si>
    <t>86089</t>
  </si>
  <si>
    <t>주가가 박스권 상단을 돌파할 모멘텀이 필요</t>
  </si>
  <si>
    <t>86088</t>
  </si>
  <si>
    <t>Pie Expansion, 서버가 만든 성장의 경로</t>
  </si>
  <si>
    <t>86087</t>
  </si>
  <si>
    <t>AI Driven, 레거시부터 전장, 서버까지</t>
  </si>
  <si>
    <t>86086</t>
  </si>
  <si>
    <t>Worth the wait, 인내는 쓰나 열매는 달다</t>
  </si>
  <si>
    <t>86085</t>
  </si>
  <si>
    <t>Step by step, 하나씩 그러나 완전히</t>
  </si>
  <si>
    <t>86084</t>
  </si>
  <si>
    <t>Draw Scenario, 바닥 이후 반등</t>
  </si>
  <si>
    <t>86083</t>
  </si>
  <si>
    <t>3가지 호재가 주가에 반영될 시기이다!</t>
  </si>
  <si>
    <t>86082</t>
  </si>
  <si>
    <t>애매한 업황, 환율도 문제</t>
  </si>
  <si>
    <t>86081</t>
  </si>
  <si>
    <t>노란 봉투법 수혜? 맞습니다!</t>
  </si>
  <si>
    <t>86080</t>
  </si>
  <si>
    <t>화장품으로 턴어라운드 초읽기!</t>
  </si>
  <si>
    <t>86079</t>
  </si>
  <si>
    <t>흑자전환 다음은 수주</t>
  </si>
  <si>
    <t>86078</t>
  </si>
  <si>
    <t>138490</t>
  </si>
  <si>
    <t>코오롱ENP</t>
  </si>
  <si>
    <t>NDR 후기: 견조한 실적과 주가</t>
  </si>
  <si>
    <t>86077</t>
  </si>
  <si>
    <t>이젠 발사만 남았다</t>
  </si>
  <si>
    <t>86076</t>
  </si>
  <si>
    <t>올해는 조정 국면, 전장향 중장기 성장 모멘텀은 유효</t>
  </si>
  <si>
    <t>86075</t>
  </si>
  <si>
    <t>Galaxy Z Fold7 효과</t>
  </si>
  <si>
    <t>86074</t>
  </si>
  <si>
    <t>주가 상승을 실적으로 증명</t>
  </si>
  <si>
    <t>86073</t>
  </si>
  <si>
    <t>4가지 대세의 교집합</t>
  </si>
  <si>
    <t>86072</t>
  </si>
  <si>
    <t>2025-08-25</t>
  </si>
  <si>
    <t>주목받지 못했던 모멘텀, 이유 있는 주가 반등</t>
  </si>
  <si>
    <t>86071</t>
  </si>
  <si>
    <t>상대적 투자 매력도 부각, 수주 재개 전망</t>
  </si>
  <si>
    <t>86070</t>
  </si>
  <si>
    <t>전진 개시</t>
  </si>
  <si>
    <t>86069</t>
  </si>
  <si>
    <t>영업 레버리지 효과 나타나는 중</t>
  </si>
  <si>
    <t>86068</t>
  </si>
  <si>
    <t>하반기 물량/믹스 개선과 배당 확대 긍정적, 유증 참여 규모는 관건</t>
  </si>
  <si>
    <t>86067</t>
  </si>
  <si>
    <t>NDR 후기: 26년 도약을 위한 웅크림</t>
  </si>
  <si>
    <t>86066</t>
  </si>
  <si>
    <t>미국 공장의 성장은 2030년까지 쭉~</t>
  </si>
  <si>
    <t>86065</t>
  </si>
  <si>
    <t>NDR 후기: 이익체질 개선 입증</t>
  </si>
  <si>
    <t>86064</t>
  </si>
  <si>
    <t>NDR 후기: 변화의 바람</t>
  </si>
  <si>
    <t>86063</t>
  </si>
  <si>
    <t>2Q25 Review: 삼성전자 투자 재개 기대</t>
  </si>
  <si>
    <t>86062</t>
  </si>
  <si>
    <t>2Q25 Review: 광고 업황 회복 기대</t>
  </si>
  <si>
    <t>86061</t>
  </si>
  <si>
    <t>주목해야 할 NDR 후기</t>
  </si>
  <si>
    <t>86060</t>
  </si>
  <si>
    <t>우호적인 환경변화로 원전 수주증가는 지속된다</t>
  </si>
  <si>
    <t>86059</t>
  </si>
  <si>
    <t>미국 시장 진출 및 해외원전 수주 지속성 부각</t>
  </si>
  <si>
    <t>86058</t>
  </si>
  <si>
    <t>택배 및 미주 역직구 수요 증가로 실적개선 가속화</t>
  </si>
  <si>
    <t>86057</t>
  </si>
  <si>
    <t>내년부터 DC-Link 매출 성장 본격화 될 듯</t>
  </si>
  <si>
    <t>86056</t>
  </si>
  <si>
    <t>원전 BOP 수주확대 가능성 증대될 듯</t>
  </si>
  <si>
    <t>86055</t>
  </si>
  <si>
    <t>NDR 후기: 두 수 앞을 내다본 포석</t>
  </si>
  <si>
    <t>86054</t>
  </si>
  <si>
    <t>189980</t>
  </si>
  <si>
    <t>흥국에프엔비</t>
  </si>
  <si>
    <t>NDR 후기</t>
  </si>
  <si>
    <t>86053</t>
  </si>
  <si>
    <t>2025-08-22</t>
  </si>
  <si>
    <t>조금 더 기다려야 할 주주의 몫</t>
  </si>
  <si>
    <t>86052</t>
  </si>
  <si>
    <t>또 다시 볼 때</t>
  </si>
  <si>
    <t>86051</t>
  </si>
  <si>
    <t>배당성향 확대라는 약도 주네요</t>
  </si>
  <si>
    <t>86050</t>
  </si>
  <si>
    <t>빛나는 반도체, 빛나는 티에프이</t>
  </si>
  <si>
    <t>86049</t>
  </si>
  <si>
    <t>[NDR 후기] 바텀라인 효율화 완료, 신작으로 실적 반등 기대</t>
  </si>
  <si>
    <t>86048</t>
  </si>
  <si>
    <t>NDR 후기: 투자심리 개선을 기다리며</t>
  </si>
  <si>
    <t>86047</t>
  </si>
  <si>
    <t>NDR 후기: 하반기 턴어라운드 가능성 고조</t>
  </si>
  <si>
    <t>86046</t>
  </si>
  <si>
    <t>글로벌 톱티어 수익성에 걸맞는 주주환원 기대</t>
  </si>
  <si>
    <t>86045</t>
  </si>
  <si>
    <t>반도체 중고장비 시장의 빈티지 와인 딜러</t>
  </si>
  <si>
    <t>86044</t>
  </si>
  <si>
    <t>계단식 성장</t>
  </si>
  <si>
    <t>86043</t>
  </si>
  <si>
    <t>NDR 후기:역대 최고 실적 대비 주가는 저평가</t>
  </si>
  <si>
    <t>86042</t>
  </si>
  <si>
    <t>안타까운 업황 대표주</t>
  </si>
  <si>
    <t>86041</t>
  </si>
  <si>
    <t>HBM 출하량 급증, 실적 서프라이즈 예상</t>
  </si>
  <si>
    <t>86040</t>
  </si>
  <si>
    <t>차별화된 실적. 각형 투자 수혜도 주목</t>
  </si>
  <si>
    <t>86039</t>
  </si>
  <si>
    <t>033200</t>
  </si>
  <si>
    <t>모아텍</t>
  </si>
  <si>
    <t>모터 전문 강소기업에서 친환경차, 스마트홈까지 종합모션기업으로 도약</t>
  </si>
  <si>
    <t>86038</t>
  </si>
  <si>
    <t>094940</t>
  </si>
  <si>
    <t>푸른기술</t>
  </si>
  <si>
    <t>금융·역무·제조 분야의 스마트 자동화 플랫폼 전문기업</t>
  </si>
  <si>
    <t>86037</t>
  </si>
  <si>
    <t>040610</t>
  </si>
  <si>
    <t>SG&amp;G</t>
  </si>
  <si>
    <t>차량용 기능부품과 물류솔루션을 동시에 구축한 복합형 성장기업</t>
  </si>
  <si>
    <t>86036</t>
  </si>
  <si>
    <t>관세 압박에 상대적 우위</t>
  </si>
  <si>
    <t>86035</t>
  </si>
  <si>
    <t>2025-08-21</t>
  </si>
  <si>
    <t>실적은 내가 최고!</t>
  </si>
  <si>
    <t>86034</t>
  </si>
  <si>
    <t>318410</t>
  </si>
  <si>
    <t>비비씨</t>
  </si>
  <si>
    <t>K-칫솔, A사 모멘텀으로 리레이팅 기대</t>
  </si>
  <si>
    <t>86033</t>
  </si>
  <si>
    <t>현 시점 매수 의미 없다</t>
  </si>
  <si>
    <t>86032</t>
  </si>
  <si>
    <t>견조한 체력과 선진국 시장 확장</t>
  </si>
  <si>
    <t>86031</t>
  </si>
  <si>
    <t>올해 실적 눈높이 하향</t>
  </si>
  <si>
    <t>86030</t>
  </si>
  <si>
    <t>310200</t>
  </si>
  <si>
    <t>애니플러스</t>
  </si>
  <si>
    <t>Ani Plus, Growth Plus: 애니메이션 IP 레버리지</t>
  </si>
  <si>
    <t>86029</t>
  </si>
  <si>
    <t>2Q25 NDR Review: 여전히 재미난 사업 중</t>
  </si>
  <si>
    <t>86028</t>
  </si>
  <si>
    <t>파마리서치 NDR 후기; 성장의 무한열차</t>
  </si>
  <si>
    <t>86027</t>
  </si>
  <si>
    <t>간담회 후기: 예상치 못한 Good News!</t>
  </si>
  <si>
    <t>86026</t>
  </si>
  <si>
    <t>지속적인 R&amp;D 투자의 긍정적 효과</t>
  </si>
  <si>
    <t>86025</t>
  </si>
  <si>
    <t>PER 5배의 독점기업</t>
  </si>
  <si>
    <t>86024</t>
  </si>
  <si>
    <t>NDR 후기: 속도감 있는 자산효율화</t>
  </si>
  <si>
    <t>86023</t>
  </si>
  <si>
    <t>고무적인 이익률과 새로운 먹거리</t>
  </si>
  <si>
    <t>86022</t>
  </si>
  <si>
    <t>대내외적으로 아쉬운 상황</t>
  </si>
  <si>
    <t>86021</t>
  </si>
  <si>
    <t>소외된 우등생, 다시 관심 가져야 할 시점</t>
  </si>
  <si>
    <t>86020</t>
  </si>
  <si>
    <t>엔씨소프트 NDR 후기</t>
  </si>
  <si>
    <t>86019</t>
  </si>
  <si>
    <t>NDR 後記: AR Glass 시장 진입 순항 중</t>
  </si>
  <si>
    <t>86018</t>
  </si>
  <si>
    <t>2Q25 Review: 성장 기울기 조정</t>
  </si>
  <si>
    <t>86017</t>
  </si>
  <si>
    <t>애널리스트데이 후기</t>
  </si>
  <si>
    <t>86016</t>
  </si>
  <si>
    <t>비중국 2차전지 분리막 밸류체인의 핵심 플레이어</t>
  </si>
  <si>
    <t>86015</t>
  </si>
  <si>
    <t>체질 개선, 그리고 신규 먹거리 장착</t>
  </si>
  <si>
    <t>86014</t>
  </si>
  <si>
    <t>2025-08-20</t>
  </si>
  <si>
    <t>188040</t>
  </si>
  <si>
    <t>바이오포트</t>
  </si>
  <si>
    <t>하반기 사상 최대 매출 기대</t>
  </si>
  <si>
    <t>86013</t>
  </si>
  <si>
    <t>상반기 선방, 하반기 북미 중심 회복</t>
  </si>
  <si>
    <t>86012</t>
  </si>
  <si>
    <t>7월 Review: 성장 트리거가 필요해</t>
  </si>
  <si>
    <t>86011</t>
  </si>
  <si>
    <t>램프에서는 신공장과 신규 납품. 전장 제품도 성장 중</t>
  </si>
  <si>
    <t>86010</t>
  </si>
  <si>
    <t>중요한 건 내년 실적, 벌써 9월입니다</t>
  </si>
  <si>
    <t>86009</t>
  </si>
  <si>
    <t>AIDT의 교육자료로 전환은 업계 재편의 신호탄</t>
  </si>
  <si>
    <t>86008</t>
  </si>
  <si>
    <t>3분기, 아쉬운 출발</t>
  </si>
  <si>
    <t>86007</t>
  </si>
  <si>
    <t>여전히 한 몫하는 &lt;나혼렙&gt;</t>
  </si>
  <si>
    <t>86006</t>
  </si>
  <si>
    <t>7월 잠정 실적 Comment</t>
  </si>
  <si>
    <t>86005</t>
  </si>
  <si>
    <t>2Q25 Review: 레저 부문, 성수기 기대</t>
  </si>
  <si>
    <t>86004</t>
  </si>
  <si>
    <t>2Q25 Review: 신규 서비스 효과 기대</t>
  </si>
  <si>
    <t>86003</t>
  </si>
  <si>
    <t>2Q25 Review: eOIS 제품군 성장 기대</t>
  </si>
  <si>
    <t>86002</t>
  </si>
  <si>
    <t>NDR후기: 성장 기대치를 높이다</t>
  </si>
  <si>
    <t>86001</t>
  </si>
  <si>
    <t>아! 타겟은 조카가 아니라 나였구나!</t>
  </si>
  <si>
    <t>86000</t>
  </si>
  <si>
    <t>일시적인 부진을 뒤로 하고</t>
  </si>
  <si>
    <t>85999</t>
  </si>
  <si>
    <t>대한민국 대표 미디어-커머스 기업</t>
  </si>
  <si>
    <t>85998</t>
  </si>
  <si>
    <t>지혈에서 통증까지, 글로벌로 확산되는 기술력</t>
  </si>
  <si>
    <t>85997</t>
  </si>
  <si>
    <t>구조적 수익성 개선 구간</t>
  </si>
  <si>
    <t>85996</t>
  </si>
  <si>
    <t>MLCC, AI 고객이 추가 된다.</t>
  </si>
  <si>
    <t>85995</t>
  </si>
  <si>
    <t>2025-08-19</t>
  </si>
  <si>
    <t>수요는 넘치고, 생산은 확대중</t>
  </si>
  <si>
    <t>85994</t>
  </si>
  <si>
    <t>별도 영업이익 흑자전환 성공</t>
  </si>
  <si>
    <t>85993</t>
  </si>
  <si>
    <t>기초 튼튼하니까 매수하고 기다리면 주가 오를거에요</t>
  </si>
  <si>
    <t>85992</t>
  </si>
  <si>
    <t>선단 공정 장비 확대로 실적 상향</t>
  </si>
  <si>
    <t>85991</t>
  </si>
  <si>
    <t>2Q25 Review: 영업이익 기준 컨센 상회 실적</t>
  </si>
  <si>
    <t>85990</t>
  </si>
  <si>
    <t>저분자 비만 치료제, 필요 조건은 구비</t>
  </si>
  <si>
    <t>85989</t>
  </si>
  <si>
    <t>ORALINK 확장 가능성</t>
  </si>
  <si>
    <t>85988</t>
  </si>
  <si>
    <t>기대되는 겨울철 성수기</t>
  </si>
  <si>
    <t>85987</t>
  </si>
  <si>
    <t>성장하기 딱 좋은 시기네!</t>
  </si>
  <si>
    <t>85986</t>
  </si>
  <si>
    <t>코미코, 미코세라믹스 지분 취득</t>
  </si>
  <si>
    <t>85985</t>
  </si>
  <si>
    <t>2Q25 Review: 바닥을 벗어나는 매출</t>
  </si>
  <si>
    <t>85984</t>
  </si>
  <si>
    <t>039440</t>
  </si>
  <si>
    <t>에스티아이</t>
  </si>
  <si>
    <t>2H25부터 대규모 프로젝트</t>
  </si>
  <si>
    <t>85983</t>
  </si>
  <si>
    <t>하반기 반등 기대 확대</t>
  </si>
  <si>
    <t>85982</t>
  </si>
  <si>
    <t>2Q25 Review: 하반기 신사업 기대</t>
  </si>
  <si>
    <t>85981</t>
  </si>
  <si>
    <t>뚜렷한 실적 성장세 대비 저평가</t>
  </si>
  <si>
    <t>85980</t>
  </si>
  <si>
    <t>2Q25 Preview: 실적 개선 초입 구간</t>
  </si>
  <si>
    <t>85979</t>
  </si>
  <si>
    <t>올해는 전장, 내년은 AI서버</t>
  </si>
  <si>
    <t>85978</t>
  </si>
  <si>
    <t>실적으로 보여준 방향성</t>
  </si>
  <si>
    <t>85977</t>
  </si>
  <si>
    <t>새로움이 필요할 때</t>
  </si>
  <si>
    <t>85976</t>
  </si>
  <si>
    <t>미국은 생각보다 많이 약하고, 유럽은 생각보다 양호</t>
  </si>
  <si>
    <t>85975</t>
  </si>
  <si>
    <t>2Q25 Review: IoT솔루션 해외 진출 추진</t>
  </si>
  <si>
    <t>85974</t>
  </si>
  <si>
    <t>2Q25 Review: 사이버 위협 확대 수혜</t>
  </si>
  <si>
    <t>85973</t>
  </si>
  <si>
    <t>NDR 후기: 하반기 기회 요인, 투자의견 상향</t>
  </si>
  <si>
    <t>85972</t>
  </si>
  <si>
    <t>수출 기반의 안정적 성장 궤도 진입</t>
  </si>
  <si>
    <t>85971</t>
  </si>
  <si>
    <t>친환경 선박 엔진이 끌고, 데이터센터가 민다</t>
  </si>
  <si>
    <t>85970</t>
  </si>
  <si>
    <t>전사적 저평가 해소 전략을 가동해야 할 때</t>
  </si>
  <si>
    <t>85969</t>
  </si>
  <si>
    <t>2025-08-18</t>
  </si>
  <si>
    <t>2Q25 Review : 하반기 상호관세 영향 본격화 전망</t>
  </si>
  <si>
    <t>85968</t>
  </si>
  <si>
    <t>2Q25 Review : OEM 업황 자체는 호조</t>
  </si>
  <si>
    <t>85967</t>
  </si>
  <si>
    <t>2Q25 Review : 드디어 실적으로 증명해내다</t>
  </si>
  <si>
    <t>85966</t>
  </si>
  <si>
    <t>정상화의 증명이 필요</t>
  </si>
  <si>
    <t>85965</t>
  </si>
  <si>
    <t>[2Q25 Review] 효자 제품 게이트웨이</t>
  </si>
  <si>
    <t>85964</t>
  </si>
  <si>
    <t>3분기부터 관세 영향 본격화</t>
  </si>
  <si>
    <t>85963</t>
  </si>
  <si>
    <t>[2Q25 Review] 영업성과 개선에도 유상증자가 밸류를 희석</t>
  </si>
  <si>
    <t>85962</t>
  </si>
  <si>
    <t>원숭이가 나무에서 떨어질 때, 매수 타이밍</t>
  </si>
  <si>
    <t>85961</t>
  </si>
  <si>
    <t>견조한 수요와 적극적인 수출 대응의 시너지</t>
  </si>
  <si>
    <t>85960</t>
  </si>
  <si>
    <t>더 큰 도약을 위한 광고비 투자</t>
  </si>
  <si>
    <t>85959</t>
  </si>
  <si>
    <t>관세는 옅고 수요는 짙다</t>
  </si>
  <si>
    <t>85958</t>
  </si>
  <si>
    <t>올리브영 사상 최대 실적 &amp; 하반기도 호조</t>
  </si>
  <si>
    <t>85957</t>
  </si>
  <si>
    <t>5년만에 전하는 출사표</t>
  </si>
  <si>
    <t>85956</t>
  </si>
  <si>
    <t>끝나지 않았던 유상증자, 9월에 확인</t>
  </si>
  <si>
    <t>85955</t>
  </si>
  <si>
    <t>장비 포트폴리오 다변화는 기대 이상</t>
  </si>
  <si>
    <t>85954</t>
  </si>
  <si>
    <t>전력수요 급증 시대, 슈퍼커패시터가 뜬다</t>
  </si>
  <si>
    <t>85953</t>
  </si>
  <si>
    <t>치매, 전립선암 진단용 방사성의약품 비상 준비</t>
  </si>
  <si>
    <t>85952</t>
  </si>
  <si>
    <t>2Q25 Review: 여성보험 경쟁력을 통한 성장 기대</t>
  </si>
  <si>
    <t>85951</t>
  </si>
  <si>
    <t>2Q25 Review: 안정적 실적 기대감 유효, 업종내 Top picks</t>
  </si>
  <si>
    <t>85950</t>
  </si>
  <si>
    <t>2Q25 Review: 실적 개선 관측 불구, 추가 증자 임박</t>
  </si>
  <si>
    <t>85949</t>
  </si>
  <si>
    <t>2Q25 Review: 잘 견뎌낼 하반기, 기대되는 내년</t>
  </si>
  <si>
    <t>85948</t>
  </si>
  <si>
    <t>2Q25 Review: 아쉬운 해외 이익</t>
  </si>
  <si>
    <t>85947</t>
  </si>
  <si>
    <t>2Q25 Review: 다시 매운 맛으로 불을 지필 시간</t>
  </si>
  <si>
    <t>85946</t>
  </si>
  <si>
    <t>2Q25Re: 관세와 환율의 이중고</t>
  </si>
  <si>
    <t>85945</t>
  </si>
  <si>
    <t>순차입금 감소 추세 지속. 높은 자사주 비중도 기대 요인</t>
  </si>
  <si>
    <t>85944</t>
  </si>
  <si>
    <t>커지는 올리브영 지분가치. 주가에도 더 반영되어야</t>
  </si>
  <si>
    <t>85943</t>
  </si>
  <si>
    <t>미국의 철강 관세 인하가 필요한 시점</t>
  </si>
  <si>
    <t>85942</t>
  </si>
  <si>
    <t>2.1조원의 자사주 공개매수 결정</t>
  </si>
  <si>
    <t>85941</t>
  </si>
  <si>
    <t>5공장이 켜지면</t>
  </si>
  <si>
    <t>85940</t>
  </si>
  <si>
    <t>자회사 증자에 참여할 가능성</t>
  </si>
  <si>
    <t>85939</t>
  </si>
  <si>
    <t>결국 선택한 증자</t>
  </si>
  <si>
    <t>85938</t>
  </si>
  <si>
    <t>해상풍력 비중 상승과 이익 개선</t>
  </si>
  <si>
    <t>85937</t>
  </si>
  <si>
    <t>광고수익이 -13%인데 서프라이즈가 나오네요</t>
  </si>
  <si>
    <t>85936</t>
  </si>
  <si>
    <t>사야하는 이유(2): 가스와 파생 수주, 그리고 중동 화학</t>
  </si>
  <si>
    <t>85935</t>
  </si>
  <si>
    <t>2026년 쿼츠부문 예상 영업이익 735억원</t>
  </si>
  <si>
    <t>85934</t>
  </si>
  <si>
    <t>흔치 않은 매수 기회</t>
  </si>
  <si>
    <t>85933</t>
  </si>
  <si>
    <t>기대보다 더딘 회복</t>
  </si>
  <si>
    <t>85932</t>
  </si>
  <si>
    <t>남아있는 미국 턴어라운드 과제</t>
  </si>
  <si>
    <t>85931</t>
  </si>
  <si>
    <t>319400</t>
  </si>
  <si>
    <t>현대무벡스</t>
  </si>
  <si>
    <t>수주의 양과 질이 달라지는 국면</t>
  </si>
  <si>
    <t>85930</t>
  </si>
  <si>
    <t>라면이 진짜 안 끓었네</t>
  </si>
  <si>
    <t>85929</t>
  </si>
  <si>
    <t>3분기도 감익 가능성</t>
  </si>
  <si>
    <t>85928</t>
  </si>
  <si>
    <t>우려 대비 양호한 실적, 아쉬운 증자 계획</t>
  </si>
  <si>
    <t>85927</t>
  </si>
  <si>
    <t>미국 축산 따라갑니다</t>
  </si>
  <si>
    <t>85926</t>
  </si>
  <si>
    <t>미주지역 가격 인상 가능성</t>
  </si>
  <si>
    <t>85925</t>
  </si>
  <si>
    <t>단기 실적 숨고르기, 구조적 공급제약 지속</t>
  </si>
  <si>
    <t>85924</t>
  </si>
  <si>
    <t>하반기도 녹록치 않을 듯</t>
  </si>
  <si>
    <t>85923</t>
  </si>
  <si>
    <t>판관비 감안 시 선방</t>
  </si>
  <si>
    <t>85922</t>
  </si>
  <si>
    <t>해상풍력 비중 증가로 실적 안정적</t>
  </si>
  <si>
    <t>85921</t>
  </si>
  <si>
    <t>올리브영은 순항중</t>
  </si>
  <si>
    <t>85920</t>
  </si>
  <si>
    <t>OEM 견조, SCOTT 부진</t>
  </si>
  <si>
    <t>85919</t>
  </si>
  <si>
    <t>배터리 부진 불구 턴어라운드 시작</t>
  </si>
  <si>
    <t>85918</t>
  </si>
  <si>
    <t>예상보다 깊었던 골, 하반기 기대감은 유지</t>
  </si>
  <si>
    <t>85917</t>
  </si>
  <si>
    <t>2Q25 Review: 하반기 LFP 양극재 매출 가시화 기대</t>
  </si>
  <si>
    <t>85916</t>
  </si>
  <si>
    <t>2Q25 Review: 금융 AI 에이전트 기업 사업 추진 중</t>
  </si>
  <si>
    <t>85915</t>
  </si>
  <si>
    <t>변한 건 없어츄</t>
  </si>
  <si>
    <t>85914</t>
  </si>
  <si>
    <t>2Q25 Review: AI 기업 레퍼런스 확대 중</t>
  </si>
  <si>
    <t>85913</t>
  </si>
  <si>
    <t>2Q25 Review: 하반기는 소방, 방산 사업</t>
  </si>
  <si>
    <t>85912</t>
  </si>
  <si>
    <t>관대한 주주환원정책, 주요 주주 참여 물량이 중요</t>
  </si>
  <si>
    <t>85911</t>
  </si>
  <si>
    <t>HMM 자사주 공개매수 및 소각 Comment</t>
  </si>
  <si>
    <t>85910</t>
  </si>
  <si>
    <t>툼바가 조금 더 해주길</t>
  </si>
  <si>
    <t>85909</t>
  </si>
  <si>
    <t>좋은 건 너만 알기</t>
  </si>
  <si>
    <t>85908</t>
  </si>
  <si>
    <t>선방한 2Q 실적. 유증 불확실성이 문제</t>
  </si>
  <si>
    <t>85907</t>
  </si>
  <si>
    <t>2Q25 Review: 대세에 지장 없다</t>
  </si>
  <si>
    <t>85906</t>
  </si>
  <si>
    <t>2Q25 Re: 아쉽지만 괜찮습니다</t>
  </si>
  <si>
    <t>85905</t>
  </si>
  <si>
    <t>2Q25 Review: 잠깐의 숨고르기</t>
  </si>
  <si>
    <t>85904</t>
  </si>
  <si>
    <t>매운 맛의 바이블을 꿈꾸며</t>
  </si>
  <si>
    <t>85903</t>
  </si>
  <si>
    <t>무난한 실적 &amp; 주가 전망</t>
  </si>
  <si>
    <t>85902</t>
  </si>
  <si>
    <t>단기 관세 역풍을 견디게 하는 밸류 매력</t>
  </si>
  <si>
    <t>85901</t>
  </si>
  <si>
    <t>여전히 저평가</t>
  </si>
  <si>
    <t>85900</t>
  </si>
  <si>
    <t>하반기부터 본격적인 실적 개선세 전망</t>
  </si>
  <si>
    <t>85899</t>
  </si>
  <si>
    <t>고난의 상반기 끝, 하반기를 기대한다</t>
  </si>
  <si>
    <t>85898</t>
  </si>
  <si>
    <t>Level-Up 전환점</t>
  </si>
  <si>
    <t>85897</t>
  </si>
  <si>
    <t>미스토 부문 흑자전환 성공</t>
  </si>
  <si>
    <t>85896</t>
  </si>
  <si>
    <t>끝나지 않은 후공정</t>
  </si>
  <si>
    <t>85895</t>
  </si>
  <si>
    <t>2Q25 Re: Upgrade Complete</t>
  </si>
  <si>
    <t>85894</t>
  </si>
  <si>
    <t>실적 반등 초입 시그널</t>
  </si>
  <si>
    <t>85893</t>
  </si>
  <si>
    <t>2026년, 본업과 자회사 모두 최대 실적 전망</t>
  </si>
  <si>
    <t>85892</t>
  </si>
  <si>
    <t>기대치를 넘는 게이트웨이 성적</t>
  </si>
  <si>
    <t>85891</t>
  </si>
  <si>
    <t>AI 네트워크 사이클이 온다</t>
  </si>
  <si>
    <t>85890</t>
  </si>
  <si>
    <t>전방 영향 불가피하나 실적 성장세는 지속</t>
  </si>
  <si>
    <t>85889</t>
  </si>
  <si>
    <t>다시 한번 도약한 올리브영</t>
  </si>
  <si>
    <t>85888</t>
  </si>
  <si>
    <t>수익성 반등 vs 성장성 정체</t>
  </si>
  <si>
    <t>85887</t>
  </si>
  <si>
    <t>관세 부담도 넘는 인기</t>
  </si>
  <si>
    <t>85886</t>
  </si>
  <si>
    <t>85885</t>
  </si>
  <si>
    <t>어려운 업황에도 양호한 핵심 지표 긍정적</t>
  </si>
  <si>
    <t>85884</t>
  </si>
  <si>
    <t>가격 매력 여전히 유효하나 불확실성 불가피</t>
  </si>
  <si>
    <t>85883</t>
  </si>
  <si>
    <t>양호한 실적 흐름 긍정적이지만 높아진 변동성</t>
  </si>
  <si>
    <t>85882</t>
  </si>
  <si>
    <t>2Q25 Review: 최대 실적을 뒤로 하고</t>
  </si>
  <si>
    <t>85881</t>
  </si>
  <si>
    <t>2Q25 Review: 반등의 하반기</t>
  </si>
  <si>
    <t>85880</t>
  </si>
  <si>
    <t>아쉬운 실적, 하반기 및 내년 기대감은 유지</t>
  </si>
  <si>
    <t>85879</t>
  </si>
  <si>
    <t>086890</t>
  </si>
  <si>
    <t>이수앱지스</t>
  </si>
  <si>
    <t>NDR 후기: 탄탄한 실적과 R&amp;D 전략에 주목</t>
  </si>
  <si>
    <t>85878</t>
  </si>
  <si>
    <t>007310</t>
  </si>
  <si>
    <t>오뚜기</t>
  </si>
  <si>
    <t>터프한 환경을 버티는 중</t>
  </si>
  <si>
    <t>85877</t>
  </si>
  <si>
    <t>글로벌 성장을 위한 전력 투입 구간</t>
  </si>
  <si>
    <t>85876</t>
  </si>
  <si>
    <t>경기개선과 맞물린 성수기 효과 기대</t>
  </si>
  <si>
    <t>85875</t>
  </si>
  <si>
    <t>우리 원텍 정상영업 합니다</t>
  </si>
  <si>
    <t>85874</t>
  </si>
  <si>
    <t>이익률 상향 안정화 되는 중</t>
  </si>
  <si>
    <t>85873</t>
  </si>
  <si>
    <t>우리 자사주가 달라졌어요</t>
  </si>
  <si>
    <t>85872</t>
  </si>
  <si>
    <t>한 배에 탄 토끼와 거북이</t>
  </si>
  <si>
    <t>85871</t>
  </si>
  <si>
    <t>AI 웰니스 로봇 기업으로 변신</t>
  </si>
  <si>
    <t>85870</t>
  </si>
  <si>
    <t>하반기 해외매출 성장 본격화로 실적 개선 가속화</t>
  </si>
  <si>
    <t>85869</t>
  </si>
  <si>
    <t>발전기 및 방산용 엔진 호황으로 실적개선 가속화</t>
  </si>
  <si>
    <t>85868</t>
  </si>
  <si>
    <t>다시 만난 20%대 영업이익률</t>
  </si>
  <si>
    <t>85867</t>
  </si>
  <si>
    <t>글로벌 공급망 재편 속 비(非)중국산 드론 수혜주</t>
  </si>
  <si>
    <t>85866</t>
  </si>
  <si>
    <t>SiC Ring 애프터마켓 성장</t>
  </si>
  <si>
    <t>85865</t>
  </si>
  <si>
    <t>3Q부터 회복세 진입</t>
  </si>
  <si>
    <t>85864</t>
  </si>
  <si>
    <t>유연한 대응은 긍정적</t>
  </si>
  <si>
    <t>85863</t>
  </si>
  <si>
    <t>정부 사업의 수혜</t>
  </si>
  <si>
    <t>85862</t>
  </si>
  <si>
    <t>상대적으로 안정적인 수주가 매력</t>
  </si>
  <si>
    <t>85861</t>
  </si>
  <si>
    <t>054920</t>
  </si>
  <si>
    <t>한컴위드</t>
  </si>
  <si>
    <t>보안 솔루션 및 인증 서비스 제공 전문기업</t>
  </si>
  <si>
    <t>85860</t>
  </si>
  <si>
    <t>043340</t>
  </si>
  <si>
    <t>에쎈테크</t>
  </si>
  <si>
    <t>신뢰성 있는 기술을 확보한 황동 합금 밸브 전문기업</t>
  </si>
  <si>
    <t>85859</t>
  </si>
  <si>
    <t>026150</t>
  </si>
  <si>
    <t>특수건설</t>
  </si>
  <si>
    <t>쉴드 및 비개착공법 등의 특수 시공 능력을 보유한 건설기업</t>
  </si>
  <si>
    <t>85858</t>
  </si>
  <si>
    <t>093640</t>
  </si>
  <si>
    <t>케이알엠</t>
  </si>
  <si>
    <t>팹리스 기반의 사족보행 로봇 전문기업</t>
  </si>
  <si>
    <t>85857</t>
  </si>
  <si>
    <t>052300</t>
  </si>
  <si>
    <t>오션인더블유</t>
  </si>
  <si>
    <t>전국 유통망과 고기능 유리 솔루션으로 지속가능한 건축 시장을 선도하는 유리 유통 전문기업</t>
  </si>
  <si>
    <t>85856</t>
  </si>
  <si>
    <t>047770</t>
  </si>
  <si>
    <t>코데즈컴바인</t>
  </si>
  <si>
    <t>전략적 다각화와 가치 중심 패션기업으로의 진화</t>
  </si>
  <si>
    <t>85855</t>
  </si>
  <si>
    <t>046970</t>
  </si>
  <si>
    <t>우리로</t>
  </si>
  <si>
    <t>광통신과 양자기술로 미래를 설계하는 혁신 솔루션 기업</t>
  </si>
  <si>
    <t>85854</t>
  </si>
  <si>
    <t>010470</t>
  </si>
  <si>
    <t>오리콤</t>
  </si>
  <si>
    <t>맞춤형 종합 광고 솔루션 전문 기업</t>
  </si>
  <si>
    <t>85853</t>
  </si>
  <si>
    <t>2025-08-14</t>
  </si>
  <si>
    <t>신뢰가 없어지면 투자가 어렵다</t>
  </si>
  <si>
    <t>85852</t>
  </si>
  <si>
    <t>잘 했던걸 (다시) 잘 해보겠다는 의지</t>
  </si>
  <si>
    <t>85851</t>
  </si>
  <si>
    <t>예상된 당기 부진, 개선된 미래 지표</t>
  </si>
  <si>
    <t>85850</t>
  </si>
  <si>
    <t>사업가치와 지분가치 모두 상향</t>
  </si>
  <si>
    <t>85849</t>
  </si>
  <si>
    <t>해외에서 순항 중인 Coolfase</t>
  </si>
  <si>
    <t>85848</t>
  </si>
  <si>
    <t>2Q25 Review: 결국 시간이 해결</t>
  </si>
  <si>
    <t>85847</t>
  </si>
  <si>
    <t>2Q25 Review: 견조한 실적, 목표주가 상향, 업종 Top picks</t>
  </si>
  <si>
    <t>85846</t>
  </si>
  <si>
    <t>2Q25 Review: 업종 대표주로서 기대</t>
  </si>
  <si>
    <t>85845</t>
  </si>
  <si>
    <t>2Q25 Review: 하반기 개선 기대</t>
  </si>
  <si>
    <t>85844</t>
  </si>
  <si>
    <t>붉은사막 타임라인 신뢰성에 대한 우려로 변동성 구간 돌입</t>
  </si>
  <si>
    <t>85843</t>
  </si>
  <si>
    <t>M&amp;A 장인에게 수익성도 배송중</t>
  </si>
  <si>
    <t>85842</t>
  </si>
  <si>
    <t>컨센서스 하회 지속</t>
  </si>
  <si>
    <t>85841</t>
  </si>
  <si>
    <t>전방 수요 불확실성 확대에도 견조한 실적 전망</t>
  </si>
  <si>
    <t>85840</t>
  </si>
  <si>
    <t>역대급 월드 투어에 걸맞은 MD 서프라이즈</t>
  </si>
  <si>
    <t>85839</t>
  </si>
  <si>
    <t>2Q25 Re: 현금을 어떻게 사용하는지가 중요</t>
  </si>
  <si>
    <t>85838</t>
  </si>
  <si>
    <t>빨라지는 태양광 개발 시계</t>
  </si>
  <si>
    <t>85837</t>
  </si>
  <si>
    <t>정보통신 부문 증익 확인</t>
  </si>
  <si>
    <t>85836</t>
  </si>
  <si>
    <t>M&amp;A를 통한 성장 가속</t>
  </si>
  <si>
    <t>85835</t>
  </si>
  <si>
    <t>투자 매력도 상승 구간 진입</t>
  </si>
  <si>
    <t>85834</t>
  </si>
  <si>
    <t>이익 레벨업, 이미 예정된 그림</t>
  </si>
  <si>
    <t>85833</t>
  </si>
  <si>
    <t>어려운 시황, 자사주 매입 소각에 주목</t>
  </si>
  <si>
    <t>85832</t>
  </si>
  <si>
    <t>2Q25 Review: 매출이 회복되기 시작했다</t>
  </si>
  <si>
    <t>85831</t>
  </si>
  <si>
    <t>2Q review- 무난한 실적 달성</t>
  </si>
  <si>
    <t>85830</t>
  </si>
  <si>
    <t>2Q25 review; 높아진 밸류에이션 매력도</t>
  </si>
  <si>
    <t>85829</t>
  </si>
  <si>
    <t>약속을 지킬 시간</t>
  </si>
  <si>
    <t>85828</t>
  </si>
  <si>
    <t>국내 사업 실적 개선 위한 빠른 실행력 요구될 것</t>
  </si>
  <si>
    <t>85827</t>
  </si>
  <si>
    <t>M&amp;A 효과는 `26년부터</t>
  </si>
  <si>
    <t>85826</t>
  </si>
  <si>
    <t>성장과 혁신을 동시에</t>
  </si>
  <si>
    <t>85825</t>
  </si>
  <si>
    <t>하반기 영업 환경 단기 개선 기대</t>
  </si>
  <si>
    <t>85824</t>
  </si>
  <si>
    <t>준비한 무대를 선보일 시간이 다가왔다</t>
  </si>
  <si>
    <t>85823</t>
  </si>
  <si>
    <t>소비 쿠폰 효과로 단기 실적 개선 기대</t>
  </si>
  <si>
    <t>85822</t>
  </si>
  <si>
    <t>고객사 모멘텀이 필요한 때</t>
  </si>
  <si>
    <t>85821</t>
  </si>
  <si>
    <t>분명히 좋은 기업</t>
  </si>
  <si>
    <t>85820</t>
  </si>
  <si>
    <t>반복되는 출시 연기, 떠난 민심</t>
  </si>
  <si>
    <t>85819</t>
  </si>
  <si>
    <t>시계 제로 불확실성의 시대</t>
  </si>
  <si>
    <t>85818</t>
  </si>
  <si>
    <t>건강보험이 이끈 지표 개선</t>
  </si>
  <si>
    <t>85817</t>
  </si>
  <si>
    <t>장기 지표와 경쟁력에 주목</t>
  </si>
  <si>
    <t>85816</t>
  </si>
  <si>
    <t>이제 영업 인력은 충분히 확보했다</t>
  </si>
  <si>
    <t>85815</t>
  </si>
  <si>
    <t>디즈니가 밀어주는 IP 플랫폼</t>
  </si>
  <si>
    <t>85814</t>
  </si>
  <si>
    <t>견조한 이익 및 자본 부담 완화 긍정적</t>
  </si>
  <si>
    <t>85813</t>
  </si>
  <si>
    <t>저평가 구간, 회복을 향한 여정의 시작</t>
  </si>
  <si>
    <t>85812</t>
  </si>
  <si>
    <t>안정적인 이익과 주주환원은 충분히 긍정적</t>
  </si>
  <si>
    <t>85811</t>
  </si>
  <si>
    <t>중전기기 분기 사상 최대 매출</t>
  </si>
  <si>
    <t>85810</t>
  </si>
  <si>
    <t>전고점도 시간의 문제일 뿐</t>
  </si>
  <si>
    <t>85809</t>
  </si>
  <si>
    <t>MD 그리고 콘서트</t>
  </si>
  <si>
    <t>85808</t>
  </si>
  <si>
    <t>기다림과 실망의 반복</t>
  </si>
  <si>
    <t>85807</t>
  </si>
  <si>
    <t>씨앗 뿌리는 중</t>
  </si>
  <si>
    <t>85806</t>
  </si>
  <si>
    <t>중장기 관점의 Quality는 분명히 개선되는 중</t>
  </si>
  <si>
    <t>85805</t>
  </si>
  <si>
    <t>2Q25 Re: 시장의 관심은 자사주 매입</t>
  </si>
  <si>
    <t>85804</t>
  </si>
  <si>
    <t>어닝 서프라이즈!</t>
  </si>
  <si>
    <t>85803</t>
  </si>
  <si>
    <t>또 한 번 어닝 서프라이즈</t>
  </si>
  <si>
    <t>85802</t>
  </si>
  <si>
    <t>변한 것은 없다</t>
  </si>
  <si>
    <t>85801</t>
  </si>
  <si>
    <t>시장 확대를 위한 기조 변화 감지</t>
  </si>
  <si>
    <t>85800</t>
  </si>
  <si>
    <t>2Q25 Review: 하반기 소비쿠폰 수혜</t>
  </si>
  <si>
    <t>85799</t>
  </si>
  <si>
    <t>한화생명 2Q25 실적 Comment: 지속되는 불확실성</t>
  </si>
  <si>
    <t>85798</t>
  </si>
  <si>
    <t>성수기 진입으로 회복에 무게</t>
  </si>
  <si>
    <t>85797</t>
  </si>
  <si>
    <t>2Q25 Re: 방산이 돋보이는 중</t>
  </si>
  <si>
    <t>85796</t>
  </si>
  <si>
    <t>업황 모멘텀과 완벽히 동행</t>
  </si>
  <si>
    <t>85795</t>
  </si>
  <si>
    <t>소문에 속아 IP의 힘을 잊지 말자</t>
  </si>
  <si>
    <t>85794</t>
  </si>
  <si>
    <t>2Q25 Re: 역대급 혼란 속에 가중된 비용 부담</t>
  </si>
  <si>
    <t>85793</t>
  </si>
  <si>
    <t>136490</t>
  </si>
  <si>
    <t>선진</t>
  </si>
  <si>
    <t>본업에 집중합니다</t>
  </si>
  <si>
    <t>85792</t>
  </si>
  <si>
    <t>2Q25 Review: 영업 레버리지 효과 확인</t>
  </si>
  <si>
    <t>85791</t>
  </si>
  <si>
    <t>이젠 붉은사막 출시 이후가 더 걱정</t>
  </si>
  <si>
    <t>85790</t>
  </si>
  <si>
    <t>평온, 그 자체</t>
  </si>
  <si>
    <t>85789</t>
  </si>
  <si>
    <t>사지 않을 이유를 못 찾았어</t>
  </si>
  <si>
    <t>85788</t>
  </si>
  <si>
    <t>2분기 실적 저점 확인</t>
  </si>
  <si>
    <t>85787</t>
  </si>
  <si>
    <t>진정성의 결여</t>
  </si>
  <si>
    <t>85786</t>
  </si>
  <si>
    <t>기대치 상회, 안정적 본업과 추가 자본 활용 기대감</t>
  </si>
  <si>
    <t>85785</t>
  </si>
  <si>
    <t>기대치 상회. 기간 조정은 자사주 매입에 오히려 좋아</t>
  </si>
  <si>
    <t>85784</t>
  </si>
  <si>
    <t>확신의 Top Pick</t>
  </si>
  <si>
    <t>85783</t>
  </si>
  <si>
    <t>기대치 상회. Top Pick의 이유를 입증하는 호실적</t>
  </si>
  <si>
    <t>85782</t>
  </si>
  <si>
    <t>매출 성장으로 회복 입증</t>
  </si>
  <si>
    <t>85781</t>
  </si>
  <si>
    <t>서프라이즈의 연속</t>
  </si>
  <si>
    <t>85780</t>
  </si>
  <si>
    <t>025900</t>
  </si>
  <si>
    <t>동화기업</t>
  </si>
  <si>
    <t>목재 및 2차전지 전해액 전문기업</t>
  </si>
  <si>
    <t>85779</t>
  </si>
  <si>
    <t>재무 건전성 강화 정책 뒤에 숨겨진 호실적</t>
  </si>
  <si>
    <t>85778</t>
  </si>
  <si>
    <t>마진 하방 확인. 하반기는 기대해 볼 만하다.</t>
  </si>
  <si>
    <t>85777</t>
  </si>
  <si>
    <t>실적대비 과도한 주가 하락</t>
  </si>
  <si>
    <t>85776</t>
  </si>
  <si>
    <t>2025-08-13</t>
  </si>
  <si>
    <t>할인율 제거하며 목표주가 상향, 투자의견 유지</t>
  </si>
  <si>
    <t>85775</t>
  </si>
  <si>
    <t>LFP 양극재·ESS·동박, 신사업 포트폴리오 가속</t>
  </si>
  <si>
    <t>85774</t>
  </si>
  <si>
    <t>양치기 소년의 말로는 어땠나?</t>
  </si>
  <si>
    <t>85773</t>
  </si>
  <si>
    <t>현 주가는 이미 아이온2 흥행 성과 반영</t>
  </si>
  <si>
    <t>85772</t>
  </si>
  <si>
    <t>상당히 낮아진 신작 hit-ratio</t>
  </si>
  <si>
    <t>85771</t>
  </si>
  <si>
    <t>2Q, 분기 최고 매출! AI/데이터센터 투자의 수혜~</t>
  </si>
  <si>
    <t>85770</t>
  </si>
  <si>
    <t>하반기 모멘텀 풀가동 지금이 매수 구간</t>
  </si>
  <si>
    <t>85769</t>
  </si>
  <si>
    <t>식품 부진 지속</t>
  </si>
  <si>
    <t>85768</t>
  </si>
  <si>
    <t>Key factors: 환율 하향 안정화, 미국 원전시장 진출</t>
  </si>
  <si>
    <t>85767</t>
  </si>
  <si>
    <t>2Q25 Review : 예상치 못한 변수에도 투자포인트 유효</t>
  </si>
  <si>
    <t>85766</t>
  </si>
  <si>
    <t>지속 될 아이온2 모멘텀</t>
  </si>
  <si>
    <t>85765</t>
  </si>
  <si>
    <t>2Q25 Review: 하반기 본업 실적 개선 기대</t>
  </si>
  <si>
    <t>85764</t>
  </si>
  <si>
    <t>2Q25 Review: 쉽지 않은 영업환경</t>
  </si>
  <si>
    <t>85763</t>
  </si>
  <si>
    <t>RPG 라인업을 통한 이익 반등 여부가 중요</t>
  </si>
  <si>
    <t>85762</t>
  </si>
  <si>
    <t>인게임 빌드 공개 후 더욱 높아진 아이온 2 기대</t>
  </si>
  <si>
    <t>85761</t>
  </si>
  <si>
    <t>2Q25Re: 온라인 부진 vs. 오프라인 양호</t>
  </si>
  <si>
    <t>85760</t>
  </si>
  <si>
    <t>하반기에도 증익 모멘텀 지속</t>
  </si>
  <si>
    <t>85759</t>
  </si>
  <si>
    <t>2Q25 Re: 식품 부진 지속</t>
  </si>
  <si>
    <t>85758</t>
  </si>
  <si>
    <t>정말, 돌아온 건가?</t>
  </si>
  <si>
    <t>85757</t>
  </si>
  <si>
    <t>레거시 IP의 저력 확인</t>
  </si>
  <si>
    <t>85756</t>
  </si>
  <si>
    <t>사야하는 이유(1): 계열사 물량</t>
  </si>
  <si>
    <t>85755</t>
  </si>
  <si>
    <t>성장 모멘텀 제한</t>
  </si>
  <si>
    <t>85754</t>
  </si>
  <si>
    <t>기존 IP 지역확장과 신규게임 모멘텀</t>
  </si>
  <si>
    <t>85753</t>
  </si>
  <si>
    <t>아쉬운 실적이지만, 기대요인은 다수</t>
  </si>
  <si>
    <t>85752</t>
  </si>
  <si>
    <t>206640</t>
  </si>
  <si>
    <t>바디텍메드</t>
  </si>
  <si>
    <t>본업 성장 + 아직 구현되지 않은 성장동력</t>
  </si>
  <si>
    <t>85751</t>
  </si>
  <si>
    <t>B2C 프리미엄을 부여하기 어려운 환경</t>
  </si>
  <si>
    <t>85750</t>
  </si>
  <si>
    <t>산업용 요금에 대한 부담</t>
  </si>
  <si>
    <t>85749</t>
  </si>
  <si>
    <t>2Q25 Review: 컨센서스 소폭하회</t>
  </si>
  <si>
    <t>85748</t>
  </si>
  <si>
    <t>2Q25 Review: 보여줄 때가 다가온다</t>
  </si>
  <si>
    <t>85747</t>
  </si>
  <si>
    <t>2Q25 Review: 지금 팔기엔 너무 아까워</t>
  </si>
  <si>
    <t>85746</t>
  </si>
  <si>
    <t>모멘텀은 부족하나 회복에 무게</t>
  </si>
  <si>
    <t>85745</t>
  </si>
  <si>
    <t>2Q25 Review: 본격적인 성장 구간 진입</t>
  </si>
  <si>
    <t>85744</t>
  </si>
  <si>
    <t>나아지겠죠</t>
  </si>
  <si>
    <t>85743</t>
  </si>
  <si>
    <t>TME도 버블에 진심이다</t>
  </si>
  <si>
    <t>85742</t>
  </si>
  <si>
    <t>2Q25 Review: 훌륭한 관세 대응</t>
  </si>
  <si>
    <t>85741</t>
  </si>
  <si>
    <t>중국 사업 본격 준비</t>
  </si>
  <si>
    <t>85740</t>
  </si>
  <si>
    <t>2Q25 Review - 지역별 차등요금제 도입은 제도 개편의 시작</t>
  </si>
  <si>
    <t>85739</t>
  </si>
  <si>
    <t>NDR 후기: 내실 강화, 본질에 집중</t>
  </si>
  <si>
    <t>85738</t>
  </si>
  <si>
    <t>&lt;아이온2&gt; 출시까지 GO</t>
  </si>
  <si>
    <t>85737</t>
  </si>
  <si>
    <t>꺼지지 않은 불씨</t>
  </si>
  <si>
    <t>85736</t>
  </si>
  <si>
    <t>2Q25 Re: 방망이를 짧게 잡자</t>
  </si>
  <si>
    <t>85735</t>
  </si>
  <si>
    <t>2Q25 Re: 비수기에 집중된 정비비 지출</t>
  </si>
  <si>
    <t>85734</t>
  </si>
  <si>
    <t>다가오는 증명의 시간</t>
  </si>
  <si>
    <t>85733</t>
  </si>
  <si>
    <t>긴 터널 통과 중</t>
  </si>
  <si>
    <t>85732</t>
  </si>
  <si>
    <t>하반기에는 나아진 영업환경 기대</t>
  </si>
  <si>
    <t>85731</t>
  </si>
  <si>
    <t>26년 매출 가이던스 2조원이 보인다</t>
  </si>
  <si>
    <t>85730</t>
  </si>
  <si>
    <t>하반기 반등 모멘텀은 여전히 유효</t>
  </si>
  <si>
    <t>85729</t>
  </si>
  <si>
    <t>식품 반등 vs 바이오 악화</t>
  </si>
  <si>
    <t>85728</t>
  </si>
  <si>
    <t>하반기 미국 발주 본격화 전망</t>
  </si>
  <si>
    <t>85727</t>
  </si>
  <si>
    <t>성장이 기대되는 테스트 소켓 전문기업</t>
  </si>
  <si>
    <t>85726</t>
  </si>
  <si>
    <t>풀라인업을 구축한 의료용 영상진단기기 전문기업</t>
  </si>
  <si>
    <t>85725</t>
  </si>
  <si>
    <t>글로벌 확장과 사업 다각화로 성장 기반 강화 중</t>
  </si>
  <si>
    <t>85724</t>
  </si>
  <si>
    <t>연말 계절성 기대</t>
  </si>
  <si>
    <t>85723</t>
  </si>
  <si>
    <t>2025-08-12</t>
  </si>
  <si>
    <t>신작 없이 실적 서프라이즈</t>
  </si>
  <si>
    <t>85722</t>
  </si>
  <si>
    <t>현상유지의 상황, 관망이 유효한 시점</t>
  </si>
  <si>
    <t>85721</t>
  </si>
  <si>
    <t>아이온2 모멘텀을 즐길 시기</t>
  </si>
  <si>
    <t>85720</t>
  </si>
  <si>
    <t>3번째 IP 신작에 대한 추가 정보 기대</t>
  </si>
  <si>
    <t>85719</t>
  </si>
  <si>
    <t>NDR 후기: 조정은 기회</t>
  </si>
  <si>
    <t>85718</t>
  </si>
  <si>
    <t>기다림의 시간 필요</t>
  </si>
  <si>
    <t>85717</t>
  </si>
  <si>
    <t>2Q25 Review: 더 나아질 3분기</t>
  </si>
  <si>
    <t>85716</t>
  </si>
  <si>
    <t>2Q25 Review: 숨 고르기</t>
  </si>
  <si>
    <t>85715</t>
  </si>
  <si>
    <t>2Q25 Review: 전반적인 턴어라운드 성공!</t>
  </si>
  <si>
    <t>85714</t>
  </si>
  <si>
    <t>길어지는 기다림...</t>
  </si>
  <si>
    <t>85713</t>
  </si>
  <si>
    <t>뜨거운 여름밤은 가고 남은 건 이익이지만</t>
  </si>
  <si>
    <t>85712</t>
  </si>
  <si>
    <t>꾸준히 나아가는 회사</t>
  </si>
  <si>
    <t>85711</t>
  </si>
  <si>
    <t>2Q25 Review: 당분간 자본건전성에 집중이 예상됨</t>
  </si>
  <si>
    <t>85710</t>
  </si>
  <si>
    <t>2Q25Re: 화장품, 고무적인 변화들</t>
  </si>
  <si>
    <t>85709</t>
  </si>
  <si>
    <t>하반기 스피릿 정보 공개 기대</t>
  </si>
  <si>
    <t>85708</t>
  </si>
  <si>
    <t>2025년 2분기 컨퍼런스콜 요약</t>
  </si>
  <si>
    <t>85707</t>
  </si>
  <si>
    <t>니케는 기대치 미달, 스텔라블레이드는 기대치 상회</t>
  </si>
  <si>
    <t>85706</t>
  </si>
  <si>
    <t>바닥은 확인했으나, 예상보다 실적 회복 지연 전망</t>
  </si>
  <si>
    <t>85705</t>
  </si>
  <si>
    <t>열일하는 별도법인</t>
  </si>
  <si>
    <t>85704</t>
  </si>
  <si>
    <t>우리가 알던 KT가 아닙니다</t>
  </si>
  <si>
    <t>85703</t>
  </si>
  <si>
    <t>단기 비용 부담 속 장기 모멘텀 유지</t>
  </si>
  <si>
    <t>85702</t>
  </si>
  <si>
    <t>선케어로 성장 가속</t>
  </si>
  <si>
    <t>85701</t>
  </si>
  <si>
    <t>잉글우드랩, 돌아온 성장 엔진</t>
  </si>
  <si>
    <t>85700</t>
  </si>
  <si>
    <t>비용 증가로 적자전환</t>
  </si>
  <si>
    <t>85699</t>
  </si>
  <si>
    <t>10월, 라인 프로젝트 양산 시작하지만...</t>
  </si>
  <si>
    <t>85698</t>
  </si>
  <si>
    <t>2Q25 Review: 살짝 Miss</t>
  </si>
  <si>
    <t>85697</t>
  </si>
  <si>
    <t>M&amp;A로 성공 경험 쌓는 중</t>
  </si>
  <si>
    <t>85696</t>
  </si>
  <si>
    <t>하반기는 유럽도 좋아질 것</t>
  </si>
  <si>
    <t>85695</t>
  </si>
  <si>
    <t>기대 이상의 스텔라블레이드 성과</t>
  </si>
  <si>
    <t>85694</t>
  </si>
  <si>
    <t>장비 시장 상회하는 성장 기대</t>
  </si>
  <si>
    <t>85693</t>
  </si>
  <si>
    <t>마진이 아쉽다</t>
  </si>
  <si>
    <t>85692</t>
  </si>
  <si>
    <t>반등을 알리는 깜짝 서프라이즈</t>
  </si>
  <si>
    <t>85691</t>
  </si>
  <si>
    <t>NDR 후기; 기업가치 제고의 새로운 가능성</t>
  </si>
  <si>
    <t>85690</t>
  </si>
  <si>
    <t>3분기만에 영업 흑자 전환 예상</t>
  </si>
  <si>
    <t>85689</t>
  </si>
  <si>
    <t>2Q25P Review: 6개 분기 연속 최대 매출</t>
  </si>
  <si>
    <t>85688</t>
  </si>
  <si>
    <t>2Q25P Review: 하반기 실적 회복 기대</t>
  </si>
  <si>
    <t>85687</t>
  </si>
  <si>
    <t>2Q25P Review: 북미 7분기 연속 증가</t>
  </si>
  <si>
    <t>85686</t>
  </si>
  <si>
    <t>중장기로 계속 괜찮음</t>
  </si>
  <si>
    <t>85685</t>
  </si>
  <si>
    <t>미국 적자 관리가 관건</t>
  </si>
  <si>
    <t>85684</t>
  </si>
  <si>
    <t>AST Spacemobile 게이트웨이 수주 코멘트</t>
  </si>
  <si>
    <t>85683</t>
  </si>
  <si>
    <t>개발자 진정성을 고려</t>
  </si>
  <si>
    <t>85682</t>
  </si>
  <si>
    <t>새로운 성장 동력</t>
  </si>
  <si>
    <t>85681</t>
  </si>
  <si>
    <t>드디어 실적 턴어라운드</t>
  </si>
  <si>
    <t>85680</t>
  </si>
  <si>
    <t>많이 좋아했다 메디톡스</t>
  </si>
  <si>
    <t>85679</t>
  </si>
  <si>
    <t>완만한 순풍, 진로 이상 無</t>
  </si>
  <si>
    <t>85678</t>
  </si>
  <si>
    <t>국내는 확장세 유지, 해외 법인은 모니터링 필요</t>
  </si>
  <si>
    <t>85677</t>
  </si>
  <si>
    <t>일회성 요인 고려해도 호실적</t>
  </si>
  <si>
    <t>85676</t>
  </si>
  <si>
    <t>무난하지만 주가 상승은 하고 싶어</t>
  </si>
  <si>
    <t>85675</t>
  </si>
  <si>
    <t>그냥 좋다. 하반기는 더 좋다.</t>
  </si>
  <si>
    <t>85674</t>
  </si>
  <si>
    <t>지속되는 비용 부담</t>
  </si>
  <si>
    <t>85673</t>
  </si>
  <si>
    <t>2025-08-11</t>
  </si>
  <si>
    <t>2Q25 Review : 이제 계산이 선다</t>
  </si>
  <si>
    <t>85672</t>
  </si>
  <si>
    <t>2Q25 Review : 끝이 보이는 부진의 긴 터널</t>
  </si>
  <si>
    <t>85671</t>
  </si>
  <si>
    <t>2Q25 Review : 백화점 내 우선순위 상승</t>
  </si>
  <si>
    <t>85670</t>
  </si>
  <si>
    <t>2Q25 Review : 변함없는 투자포인트, 최선호주 유지</t>
  </si>
  <si>
    <t>85669</t>
  </si>
  <si>
    <t>2Q25 Review : 현 시점에서 비중을 줄일 이유가 없다</t>
  </si>
  <si>
    <t>85668</t>
  </si>
  <si>
    <t>장기적 관점으로 대응</t>
  </si>
  <si>
    <t>85667</t>
  </si>
  <si>
    <t>1H25&lt;2H25, 2025&lt;2026</t>
  </si>
  <si>
    <t>85666</t>
  </si>
  <si>
    <t>커머스 기대치 상회, 추가 기대감도 유효</t>
  </si>
  <si>
    <t>85665</t>
  </si>
  <si>
    <t>수주가 몰려온다.</t>
  </si>
  <si>
    <t>85664</t>
  </si>
  <si>
    <t>외부 AI 협력 열어둔 AI 서비스 전략 변화 긍정적</t>
  </si>
  <si>
    <t>85663</t>
  </si>
  <si>
    <t>2Q25 Review: 실적개선 및 가정치 조정으로 목표주가 상향</t>
  </si>
  <si>
    <t>85662</t>
  </si>
  <si>
    <t>지속되고 중첩되는 혁신</t>
  </si>
  <si>
    <t>85661</t>
  </si>
  <si>
    <t>강력한 IP 육성으로 더 단단해진 이익 체력</t>
  </si>
  <si>
    <t>85660</t>
  </si>
  <si>
    <t>2Q25 Review: 하반기를 기점으로 시작될 실적 모멘텀</t>
  </si>
  <si>
    <t>85659</t>
  </si>
  <si>
    <t>2Q25 Review: 기대감이 높았을 뿐, 변함없는 방향성</t>
  </si>
  <si>
    <t>85658</t>
  </si>
  <si>
    <t>2Q25 Review: 인디 매출은 여전히 견조해요</t>
  </si>
  <si>
    <t>85657</t>
  </si>
  <si>
    <t>2Q25 Re: 예상에 부합하는 실적</t>
  </si>
  <si>
    <t>85656</t>
  </si>
  <si>
    <t>2Q25 Re: 그래도 바닥은 찍었다</t>
  </si>
  <si>
    <t>85655</t>
  </si>
  <si>
    <t>글로벌 게임사를 향해 순항</t>
  </si>
  <si>
    <t>85654</t>
  </si>
  <si>
    <t>국가대표 AI, 글로벌 협업도 진행 중</t>
  </si>
  <si>
    <t>85653</t>
  </si>
  <si>
    <t>올해는 감익 사이클</t>
  </si>
  <si>
    <t>85652</t>
  </si>
  <si>
    <t>시간이 부족한 고객들. 수주 모멘텀 기대</t>
  </si>
  <si>
    <t>85651</t>
  </si>
  <si>
    <t>여전히 부진한 흐름 지속</t>
  </si>
  <si>
    <t>85650</t>
  </si>
  <si>
    <t>2H25, 영업이익 부진 vs. 지분법 이익 호조</t>
  </si>
  <si>
    <t>85649</t>
  </si>
  <si>
    <t>블랙핑크 투어 반영 전인데 3연속 실적 서프라이즈</t>
  </si>
  <si>
    <t>85648</t>
  </si>
  <si>
    <t>85647</t>
  </si>
  <si>
    <t>선케어 둔화가 부른 주가 하락</t>
  </si>
  <si>
    <t>85646</t>
  </si>
  <si>
    <t>가시적인 실적 개선에 베팅하자</t>
  </si>
  <si>
    <t>85645</t>
  </si>
  <si>
    <t>어두운 터널을 지나니 빛이 보이기 시작한다!</t>
  </si>
  <si>
    <t>85644</t>
  </si>
  <si>
    <t>드릉드릉 성장 시동거는 드론 업체</t>
  </si>
  <si>
    <t>85643</t>
  </si>
  <si>
    <t>국내 초등 검정 교육 부문 1위 에듀테크 기업</t>
  </si>
  <si>
    <t>85642</t>
  </si>
  <si>
    <t>본업은 부진 지속</t>
  </si>
  <si>
    <t>85641</t>
  </si>
  <si>
    <t>캡티브와 비계열로 정면 돌파</t>
  </si>
  <si>
    <t>85640</t>
  </si>
  <si>
    <t>신사업에 거는 기대</t>
  </si>
  <si>
    <t>85639</t>
  </si>
  <si>
    <t>설명이 필요 없는 좋은 실적</t>
  </si>
  <si>
    <t>85638</t>
  </si>
  <si>
    <t>자회사 실적 부진이 아쉽다</t>
  </si>
  <si>
    <t>85637</t>
  </si>
  <si>
    <t>인디게임의 명가, 하반기 인디게임 다수 출시예정</t>
  </si>
  <si>
    <t>85636</t>
  </si>
  <si>
    <t>대형마트 부진은 숙제, 그러나 하반기 소비 회복 흐름에 동참 예상</t>
  </si>
  <si>
    <t>85635</t>
  </si>
  <si>
    <t>편의점 업황 회복 시작, 점포 구조조정 효과도 기대</t>
  </si>
  <si>
    <t>85634</t>
  </si>
  <si>
    <t>커머스 잘하고 있지만, 아쉬웠던 광고</t>
  </si>
  <si>
    <t>85633</t>
  </si>
  <si>
    <t>성장통</t>
  </si>
  <si>
    <t>85632</t>
  </si>
  <si>
    <t>개선의 시그널</t>
  </si>
  <si>
    <t>85631</t>
  </si>
  <si>
    <t>판단을 바꾸기에 충분했던 압도적 숫자</t>
  </si>
  <si>
    <t>85630</t>
  </si>
  <si>
    <t>통폐합 연착륙 위해 규제 완화 필요</t>
  </si>
  <si>
    <t>85629</t>
  </si>
  <si>
    <t>하반기 백화점 증익 기대</t>
  </si>
  <si>
    <t>85628</t>
  </si>
  <si>
    <t>미국 타워 수주 급증 전망</t>
  </si>
  <si>
    <t>85627</t>
  </si>
  <si>
    <t>재무 구조 개선은 긍정적</t>
  </si>
  <si>
    <t>85626</t>
  </si>
  <si>
    <t>2Q25 Review: 본업 회복은 하반기로</t>
  </si>
  <si>
    <t>85625</t>
  </si>
  <si>
    <t>85624</t>
  </si>
  <si>
    <t>2Q25 Review: Unexpected</t>
  </si>
  <si>
    <t>85623</t>
  </si>
  <si>
    <t>2Q25 Review: 힘든 시기 선방</t>
  </si>
  <si>
    <t>85622</t>
  </si>
  <si>
    <t>2Q 실적 및 NDR Review - 큰 그림 그릴 때</t>
  </si>
  <si>
    <t>85621</t>
  </si>
  <si>
    <t>묵직한 이익 성장</t>
  </si>
  <si>
    <t>85620</t>
  </si>
  <si>
    <t>신작 출시를 기다릴 시기</t>
  </si>
  <si>
    <t>85619</t>
  </si>
  <si>
    <t>2Q25 Review: 글로벌 진출 지속 기대</t>
  </si>
  <si>
    <t>85618</t>
  </si>
  <si>
    <t>안정적인 실적의 연속</t>
  </si>
  <si>
    <t>85617</t>
  </si>
  <si>
    <t>미국 육상, 유럽 해상 풍력 수요 증가</t>
  </si>
  <si>
    <t>85616</t>
  </si>
  <si>
    <t>멀티플 상향 요인 충분, 저평가 해소의 시작</t>
  </si>
  <si>
    <t>85615</t>
  </si>
  <si>
    <t>과거의 영광을 되찾아올 때</t>
  </si>
  <si>
    <t>85614</t>
  </si>
  <si>
    <t>베이비몬스터가 견인한 서프라이즈</t>
  </si>
  <si>
    <t>85613</t>
  </si>
  <si>
    <t>판관비 증가 외 특이요인 없음</t>
  </si>
  <si>
    <t>85612</t>
  </si>
  <si>
    <t>좋은데, 눈높이의 문제</t>
  </si>
  <si>
    <t>85611</t>
  </si>
  <si>
    <t>이제부터는 실적도 리뉴얼</t>
  </si>
  <si>
    <t>85610</t>
  </si>
  <si>
    <t>다 잘하기 위한 성장통</t>
  </si>
  <si>
    <t>85609</t>
  </si>
  <si>
    <t>2Q25 Re: 여전히 미수금은 요지부동</t>
  </si>
  <si>
    <t>85608</t>
  </si>
  <si>
    <t>이제는 서프라이즈가 상수</t>
  </si>
  <si>
    <t>85607</t>
  </si>
  <si>
    <t>2Q25 Re: 견뎌야 할 성장통</t>
  </si>
  <si>
    <t>85606</t>
  </si>
  <si>
    <t>하반기 맑아지길 기대하며</t>
  </si>
  <si>
    <t>85605</t>
  </si>
  <si>
    <t>카카오와 함께 걸어갈 길</t>
  </si>
  <si>
    <t>85604</t>
  </si>
  <si>
    <t>숨 고르기 구간</t>
  </si>
  <si>
    <t>85603</t>
  </si>
  <si>
    <t>신작 출시 지연 변수</t>
  </si>
  <si>
    <t>85602</t>
  </si>
  <si>
    <t>성장 스토리는 유효하나, 단기 변동성은 유의</t>
  </si>
  <si>
    <t>85601</t>
  </si>
  <si>
    <t>본업은 이상 무, 주주환원 정책이 중요</t>
  </si>
  <si>
    <t>85600</t>
  </si>
  <si>
    <t>소비 쿠폰은 시작, 질적 성장에 집중</t>
  </si>
  <si>
    <t>85599</t>
  </si>
  <si>
    <t>본업 회복이 무엇보다 중요</t>
  </si>
  <si>
    <t>85598</t>
  </si>
  <si>
    <t>ESS 수혜 제한적, 주가 밸류에이션 부담 여전</t>
  </si>
  <si>
    <t>85597</t>
  </si>
  <si>
    <t>아직은 흐릿한 AI 수익화 그림</t>
  </si>
  <si>
    <t>85596</t>
  </si>
  <si>
    <t>실적은 U턴, 주주환원은 +</t>
  </si>
  <si>
    <t>85595</t>
  </si>
  <si>
    <t>다시 성장성에 초점</t>
  </si>
  <si>
    <t>85594</t>
  </si>
  <si>
    <t>실적이 잘나와서 더 아쉬운 신작 모멘텀</t>
  </si>
  <si>
    <t>85593</t>
  </si>
  <si>
    <t>양호한 수익성 vs 아쉬운 변동성</t>
  </si>
  <si>
    <t>85592</t>
  </si>
  <si>
    <t>고객 포트폴리오 전환 본격화</t>
  </si>
  <si>
    <t>85591</t>
  </si>
  <si>
    <t>아쉬운 상반기를 뒤로 하고</t>
  </si>
  <si>
    <t>85590</t>
  </si>
  <si>
    <t>상반기보단 좀 더 숨통 트일 하반기</t>
  </si>
  <si>
    <t>85589</t>
  </si>
  <si>
    <t>이 서프라이즈의 끝은 어디일까?</t>
  </si>
  <si>
    <t>85588</t>
  </si>
  <si>
    <t>하반기 키워드: 커머스와 AI</t>
  </si>
  <si>
    <t>85587</t>
  </si>
  <si>
    <t>통영에코파워 실적 개선 가속화로 동사 밸류 레벨업 될 듯</t>
  </si>
  <si>
    <t>85586</t>
  </si>
  <si>
    <t>코오롱스포츠 중국, 2Q에도 94% 이상 매출 성장</t>
  </si>
  <si>
    <t>85585</t>
  </si>
  <si>
    <t>엔진부문: 실적개선 및 성장성 진격의 선봉장</t>
  </si>
  <si>
    <t>85584</t>
  </si>
  <si>
    <t>하반기 사상 최대 MD 실적 기대</t>
  </si>
  <si>
    <t>85583</t>
  </si>
  <si>
    <t>144960</t>
  </si>
  <si>
    <t>뉴파워프라즈마</t>
  </si>
  <si>
    <t>공급망 재편 수혜로 상반기 사상 최대 실적 예상</t>
  </si>
  <si>
    <t>85582</t>
  </si>
  <si>
    <t>2Q25 Review - 특이사항 무</t>
  </si>
  <si>
    <t>85581</t>
  </si>
  <si>
    <t>2Q25 Review - 중국 공급 구조조정 기대감</t>
  </si>
  <si>
    <t>85580</t>
  </si>
  <si>
    <t>기대치 부합. 단점이 없는 게 장점</t>
  </si>
  <si>
    <t>85579</t>
  </si>
  <si>
    <t>하반기 백화점 매출 반등 기대</t>
  </si>
  <si>
    <t>85578</t>
  </si>
  <si>
    <t>비용효율화 효과 확인</t>
  </si>
  <si>
    <t>85577</t>
  </si>
  <si>
    <t>포모리서치</t>
  </si>
  <si>
    <t>85576</t>
  </si>
  <si>
    <t>최대 영업이익과 주주환원 확대 가능성</t>
  </si>
  <si>
    <t>85575</t>
  </si>
  <si>
    <t>예상보다 선방</t>
  </si>
  <si>
    <t>85574</t>
  </si>
  <si>
    <t>2분기 점유율은 증가, 수익성은 하락</t>
  </si>
  <si>
    <t>85573</t>
  </si>
  <si>
    <t>배당 인상 가능성도</t>
  </si>
  <si>
    <t>85572</t>
  </si>
  <si>
    <t>2025-08-08</t>
  </si>
  <si>
    <t>기다림이 필요한 구간</t>
  </si>
  <si>
    <t>85571</t>
  </si>
  <si>
    <t>평이한 실적</t>
  </si>
  <si>
    <t>85570</t>
  </si>
  <si>
    <t>일부 확인된 점유율 방어력</t>
  </si>
  <si>
    <t>85569</t>
  </si>
  <si>
    <t>상반기 연이은 서프라이즈</t>
  </si>
  <si>
    <t>85568</t>
  </si>
  <si>
    <t>백점 만점의 백점</t>
  </si>
  <si>
    <t>85567</t>
  </si>
  <si>
    <t>전통 IT 인프라에서 CCS 클라우드, AI/로봇 등 고부가 EIT 사업으로</t>
  </si>
  <si>
    <t>85566</t>
  </si>
  <si>
    <t>3분기 오봉절, 4분기 국경절</t>
  </si>
  <si>
    <t>85565</t>
  </si>
  <si>
    <t>[2Q25 Review] 여전히 유효한 성장 스토리</t>
  </si>
  <si>
    <t>85564</t>
  </si>
  <si>
    <t>2Q25 Review : 관건은 질적 성장</t>
  </si>
  <si>
    <t>85563</t>
  </si>
  <si>
    <t>더 기대되는 하반기</t>
  </si>
  <si>
    <t>85562</t>
  </si>
  <si>
    <t>가장 중요한 퍼즐 한조각, 카카오톡의 성장</t>
  </si>
  <si>
    <t>85561</t>
  </si>
  <si>
    <t>실적 성장과 주주 환원의 쌍끌이 주가 상승</t>
  </si>
  <si>
    <t>85560</t>
  </si>
  <si>
    <t>2Q25 Review: 기분 좋은 서프라이즈</t>
  </si>
  <si>
    <t>85559</t>
  </si>
  <si>
    <t>2H25 기다렸던 진화 시작</t>
  </si>
  <si>
    <t>85558</t>
  </si>
  <si>
    <t>2Q25 Review: 해외/추경/주주환원! 가격 인상 기대감은 덤</t>
  </si>
  <si>
    <t>85557</t>
  </si>
  <si>
    <t>결국엔 시간 문제</t>
  </si>
  <si>
    <t>85556</t>
  </si>
  <si>
    <t>지속 성장에 대한 시야 형성이 모멘텀이 될 것</t>
  </si>
  <si>
    <t>85555</t>
  </si>
  <si>
    <t>006805</t>
  </si>
  <si>
    <t>미래에셋증권우</t>
  </si>
  <si>
    <t>2Q25 Review: 분기 최대 세전이익 및 순이익 달성</t>
  </si>
  <si>
    <t>85554</t>
  </si>
  <si>
    <t>2025년 2분기 컨퍼런스 콜</t>
  </si>
  <si>
    <t>85553</t>
  </si>
  <si>
    <t>본업은 하반기도 부진. LGES 지분 활용만이 해답</t>
  </si>
  <si>
    <t>85552</t>
  </si>
  <si>
    <t>2Q25 Re: 분기 사상 최대 실적 달성</t>
  </si>
  <si>
    <t>85551</t>
  </si>
  <si>
    <t>장래희망은 SNS + AI</t>
  </si>
  <si>
    <t>85550</t>
  </si>
  <si>
    <t>일곱 개의 신작이 온다</t>
  </si>
  <si>
    <t>85549</t>
  </si>
  <si>
    <t>2Q25Re: 편의점에 우호적 환경 조성 중</t>
  </si>
  <si>
    <t>85548</t>
  </si>
  <si>
    <t>실적 좋고 모멘텀 좋고 추가 성장 동력까지</t>
  </si>
  <si>
    <t>85547</t>
  </si>
  <si>
    <t>얼마만의 흑자인가</t>
  </si>
  <si>
    <t>85546</t>
  </si>
  <si>
    <t>하반기부터 실적 정상화</t>
  </si>
  <si>
    <t>85545</t>
  </si>
  <si>
    <t>중국 드랍액이 예전만큼 회복된다면?</t>
  </si>
  <si>
    <t>85544</t>
  </si>
  <si>
    <t>하반기 기대해봐도 되지 않을까요?</t>
  </si>
  <si>
    <t>85543</t>
  </si>
  <si>
    <t>다소 늦어질 뿐 사라지지는 않을 수주</t>
  </si>
  <si>
    <t>85542</t>
  </si>
  <si>
    <t>올해 실적은 상저하고</t>
  </si>
  <si>
    <t>85541</t>
  </si>
  <si>
    <t>나무가 아닌 숲을 봐야 알 수 있는 규제와 실적</t>
  </si>
  <si>
    <t>85540</t>
  </si>
  <si>
    <t>여전히 저평가 구간!</t>
  </si>
  <si>
    <t>85539</t>
  </si>
  <si>
    <t>희소금속, 더 커진 무게감</t>
  </si>
  <si>
    <t>85538</t>
  </si>
  <si>
    <t>기대감</t>
  </si>
  <si>
    <t>85537</t>
  </si>
  <si>
    <t>기대 요인이 쌓이는 중</t>
  </si>
  <si>
    <t>85536</t>
  </si>
  <si>
    <t>보면 볼수록 매력적~</t>
  </si>
  <si>
    <t>85535</t>
  </si>
  <si>
    <t>해외법인과 투자목적자산의 콜라보</t>
  </si>
  <si>
    <t>85534</t>
  </si>
  <si>
    <t>3Q 이익 확대, 고부가 주력</t>
  </si>
  <si>
    <t>85533</t>
  </si>
  <si>
    <t>구조 개선 막바지</t>
  </si>
  <si>
    <t>85532</t>
  </si>
  <si>
    <t>1분기에 이어 2분기도 서프라이즈</t>
  </si>
  <si>
    <t>85531</t>
  </si>
  <si>
    <t>부담 끝. 하반기는 가볍게</t>
  </si>
  <si>
    <t>85530</t>
  </si>
  <si>
    <t>막판 스퍼트</t>
  </si>
  <si>
    <t>85529</t>
  </si>
  <si>
    <t>하반기 주가 상승의 키는 자회사가 아닌 본업</t>
  </si>
  <si>
    <t>85528</t>
  </si>
  <si>
    <t>하반기 작품은 상반기의 3배</t>
  </si>
  <si>
    <t>85527</t>
  </si>
  <si>
    <t>실적, 주주환원 모두 모범생</t>
  </si>
  <si>
    <t>85526</t>
  </si>
  <si>
    <t>성수기, 민생지원금, 소비 회복의 3박자 효과 시작 시점</t>
  </si>
  <si>
    <t>85525</t>
  </si>
  <si>
    <t>지나간 실적은 잊고, 앞만 바라볼 때</t>
  </si>
  <si>
    <t>85524</t>
  </si>
  <si>
    <t>하반기 분명한 실적 개선. 그리고 해외 원전 정비사업 확대</t>
  </si>
  <si>
    <t>85523</t>
  </si>
  <si>
    <t>보장된 미래만큼 비싸진 주가</t>
  </si>
  <si>
    <t>85522</t>
  </si>
  <si>
    <t>해외법인 및 투자자산 관련 이익 큰 폭 발생</t>
  </si>
  <si>
    <t>85521</t>
  </si>
  <si>
    <t>기대를 줄게</t>
  </si>
  <si>
    <t>85520</t>
  </si>
  <si>
    <t>하반기 全 사업부 흑자 기대</t>
  </si>
  <si>
    <t>85519</t>
  </si>
  <si>
    <t>2Q25 Review - 올해보다 내년 이후 더 쎈</t>
  </si>
  <si>
    <t>85518</t>
  </si>
  <si>
    <t>2Q25 Review: 소비쿠폰 효과는 3Q부터</t>
  </si>
  <si>
    <t>85517</t>
  </si>
  <si>
    <t>2Q25 Review: 전공정과 후공정, 메모리와 로직</t>
  </si>
  <si>
    <t>85516</t>
  </si>
  <si>
    <t>파운드리 노출에 실적까지 겸비</t>
  </si>
  <si>
    <t>85515</t>
  </si>
  <si>
    <t>2Q25 잠정실적: 눈높이가 높을 뿐</t>
  </si>
  <si>
    <t>85514</t>
  </si>
  <si>
    <t>자회사에 대한 기대감</t>
  </si>
  <si>
    <t>85513</t>
  </si>
  <si>
    <t>2Q25 Review: 본업 지표 개선으로 고수익성 지속</t>
  </si>
  <si>
    <t>85512</t>
  </si>
  <si>
    <t>2Q25 Review: 헬스케어 사업 성장 견인</t>
  </si>
  <si>
    <t>85511</t>
  </si>
  <si>
    <t>본업 부진을 만회할 세 가지 요소</t>
  </si>
  <si>
    <t>85510</t>
  </si>
  <si>
    <t>2Q25 Review: 두 자리 수 매출 성장률</t>
  </si>
  <si>
    <t>85509</t>
  </si>
  <si>
    <t>주주환원 확대 기대감 여전</t>
  </si>
  <si>
    <t>85508</t>
  </si>
  <si>
    <t>상반기도 좋았는데 하반기는 더 좋다</t>
  </si>
  <si>
    <t>85507</t>
  </si>
  <si>
    <t>물 들어올 때 노 젓기</t>
  </si>
  <si>
    <t>85506</t>
  </si>
  <si>
    <t>가장 ‘드라마’틱한 하반기 분위기 반전</t>
  </si>
  <si>
    <t>85505</t>
  </si>
  <si>
    <t>2Q25 Review: 하반기 신제품 공급 기대</t>
  </si>
  <si>
    <t>85504</t>
  </si>
  <si>
    <t>하반기에도 이어질 실적 모멘텀</t>
  </si>
  <si>
    <t>85503</t>
  </si>
  <si>
    <t>딱 맞아 떨어지는 타이밍</t>
  </si>
  <si>
    <t>85502</t>
  </si>
  <si>
    <t>7월 기세 그대로</t>
  </si>
  <si>
    <t>85501</t>
  </si>
  <si>
    <t>3분기, 4분기는 더 좋다!</t>
  </si>
  <si>
    <t>85500</t>
  </si>
  <si>
    <t>무너진 TC, 아쉬운 SMC, 그래도 잘 버틴 실적</t>
  </si>
  <si>
    <t>85499</t>
  </si>
  <si>
    <t>나야 소비쿠폰</t>
  </si>
  <si>
    <t>85498</t>
  </si>
  <si>
    <t>상반기 이익 &lt; 하반기 이익</t>
  </si>
  <si>
    <t>85497</t>
  </si>
  <si>
    <t>2Q25 Review: 강력한 수요에 힘입어 서프라이즈</t>
  </si>
  <si>
    <t>85496</t>
  </si>
  <si>
    <t>2Q25 Review - 올해보다 내년을 보자</t>
  </si>
  <si>
    <t>85495</t>
  </si>
  <si>
    <t>예견된 호실적</t>
  </si>
  <si>
    <t>85494</t>
  </si>
  <si>
    <t>하반기는 탄탄대로</t>
  </si>
  <si>
    <t>85493</t>
  </si>
  <si>
    <t>2Q25 Review - 오해로 인한 급락은 매수 기회</t>
  </si>
  <si>
    <t>85492</t>
  </si>
  <si>
    <t>주주환원 오마카세</t>
  </si>
  <si>
    <t>85491</t>
  </si>
  <si>
    <t>2Q25 Re: 어느정도 지워진 실적 우려</t>
  </si>
  <si>
    <t>85490</t>
  </si>
  <si>
    <t>좋은 성적표좋은 성적표</t>
  </si>
  <si>
    <t>85489</t>
  </si>
  <si>
    <t>성장성과 수익성 모두 잡으려는 카카오</t>
  </si>
  <si>
    <t>85488</t>
  </si>
  <si>
    <t>펀더멘털은 양호하지만...</t>
  </si>
  <si>
    <t>85487</t>
  </si>
  <si>
    <t>2Q25 Pre: 숫자만 받쳐주면 좋을텐데</t>
  </si>
  <si>
    <t>85486</t>
  </si>
  <si>
    <t>2Q25 Pre: 하반기 승용 물량이 중요</t>
  </si>
  <si>
    <t>85485</t>
  </si>
  <si>
    <t>기세를 올리다</t>
  </si>
  <si>
    <t>85484</t>
  </si>
  <si>
    <t>성장, 이제 시작입니다</t>
  </si>
  <si>
    <t>85483</t>
  </si>
  <si>
    <t>거봐 할 수 있잖아</t>
  </si>
  <si>
    <t>85482</t>
  </si>
  <si>
    <t>하반기 실적 부진 vs LGES 지분 활용 기대</t>
  </si>
  <si>
    <t>85481</t>
  </si>
  <si>
    <t>폭염 후엔 시원한 실적</t>
  </si>
  <si>
    <t>85480</t>
  </si>
  <si>
    <t>변함없는 우등생</t>
  </si>
  <si>
    <t>85479</t>
  </si>
  <si>
    <t>소비쿠폰 효과 본격화</t>
  </si>
  <si>
    <t>85478</t>
  </si>
  <si>
    <t>어느 하나 빠지는 것이 없다</t>
  </si>
  <si>
    <t>85477</t>
  </si>
  <si>
    <t>본업 부진 지속, 점진적 개선에 초점</t>
  </si>
  <si>
    <t>85476</t>
  </si>
  <si>
    <t>에코젠 M/S 확대 유효</t>
  </si>
  <si>
    <t>85475</t>
  </si>
  <si>
    <t>기대치 상회. 가상자산과 해외법인 성장 모멘텀에 주목</t>
  </si>
  <si>
    <t>85474</t>
  </si>
  <si>
    <t>원전·방산·우주항공·해상풍력에서 특수강 특수 기대</t>
  </si>
  <si>
    <t>85473</t>
  </si>
  <si>
    <t>FOUP 클리너로 출발, SiCN 증착 장비로 다변화</t>
  </si>
  <si>
    <t>85472</t>
  </si>
  <si>
    <t>공공·방위산업이 검증한 ‘Konan LLM과 Vision AI’</t>
  </si>
  <si>
    <t>85471</t>
  </si>
  <si>
    <t>하반기 수술로봇 이벤트를 기대해본다</t>
  </si>
  <si>
    <t>85470</t>
  </si>
  <si>
    <t>하반기 회복 속도가 관건</t>
  </si>
  <si>
    <t>85469</t>
  </si>
  <si>
    <t>448780</t>
  </si>
  <si>
    <t>마이크로엔엑스</t>
  </si>
  <si>
    <t>정밀 전동기술 내재화를 기반으로 한 글로벌 의료용 치과기기 전문기업</t>
  </si>
  <si>
    <t>85468</t>
  </si>
  <si>
    <t>DISPLAY, 생활가전 SMPS 전문기업</t>
  </si>
  <si>
    <t>85467</t>
  </si>
  <si>
    <t>광섬유 레이저 및 그 응용제품으로 사업 영역을 확장한 광통신 장비 전문 기업</t>
  </si>
  <si>
    <t>85466</t>
  </si>
  <si>
    <t>224110</t>
  </si>
  <si>
    <t>에이텍모빌리티</t>
  </si>
  <si>
    <t>대중교통 결제 시스템 전문 기업, 태그리스(tagless) 기반 서비스 확대 중</t>
  </si>
  <si>
    <t>85465</t>
  </si>
  <si>
    <t>372800</t>
  </si>
  <si>
    <t>아이티아이즈</t>
  </si>
  <si>
    <t>금융 IT 및 AI 기반 클라우드 플랫폼 기업</t>
  </si>
  <si>
    <t>85464</t>
  </si>
  <si>
    <t>465480</t>
  </si>
  <si>
    <t>인스피언</t>
  </si>
  <si>
    <t>SAP 사업 기반의 신성장 동력을 확보한 IT 서비스 전문기업</t>
  </si>
  <si>
    <t>85463</t>
  </si>
  <si>
    <t>기업의 인공지능 전환(AX) 지원을 선도하는 AI/BI/CI 솔루션 전문 기업</t>
  </si>
  <si>
    <t>85462</t>
  </si>
  <si>
    <t>340440</t>
  </si>
  <si>
    <t>세림B&amp;G</t>
  </si>
  <si>
    <t>진공성형 기술 기반 친환경 식품 포장 용기, 생분해성 필름 제조 기업</t>
  </si>
  <si>
    <t>85461</t>
  </si>
  <si>
    <t>317770</t>
  </si>
  <si>
    <t>엑스페릭스</t>
  </si>
  <si>
    <t>생체인식 기술 기반 보안 솔루션 전문기업</t>
  </si>
  <si>
    <t>85460</t>
  </si>
  <si>
    <t>361670</t>
  </si>
  <si>
    <t>삼영에스앤씨</t>
  </si>
  <si>
    <t>정밀 계측 센서 분야의 개발, 제조 전문기업</t>
  </si>
  <si>
    <t>85458</t>
  </si>
  <si>
    <t>가을은 카카오의 시간</t>
  </si>
  <si>
    <t>85457</t>
  </si>
  <si>
    <t>2025-08-07</t>
  </si>
  <si>
    <t>2Q25 Pre: 큼지막한 수주가 필요하다</t>
  </si>
  <si>
    <t>85456</t>
  </si>
  <si>
    <t>2Q25 Pre: 흑자전환 기대감과 희소식</t>
  </si>
  <si>
    <t>85455</t>
  </si>
  <si>
    <t>진격의 HDC 그룹</t>
  </si>
  <si>
    <t>85454</t>
  </si>
  <si>
    <t>실적은 터졌고, AI는 심었다</t>
  </si>
  <si>
    <t>85453</t>
  </si>
  <si>
    <t>그럼에도 실적이 아닌 지표에 투자해야할 시기</t>
  </si>
  <si>
    <t>85452</t>
  </si>
  <si>
    <t>2Q25 Review : 홈쇼핑 질적 성장 지속</t>
  </si>
  <si>
    <t>85451</t>
  </si>
  <si>
    <t>MD 화수분</t>
  </si>
  <si>
    <t>85450</t>
  </si>
  <si>
    <t>2Q25 Review : 탄탄한 실적</t>
  </si>
  <si>
    <t>85449</t>
  </si>
  <si>
    <t>말이 필요 없는 최선호주</t>
  </si>
  <si>
    <t>85448</t>
  </si>
  <si>
    <t>깔끔했던 실적</t>
  </si>
  <si>
    <t>85447</t>
  </si>
  <si>
    <t>서프라이즈의 정석</t>
  </si>
  <si>
    <t>85446</t>
  </si>
  <si>
    <t>2Q25 Re: 유럽 시장 성장 유효</t>
  </si>
  <si>
    <t>85445</t>
  </si>
  <si>
    <t xml:space="preserve"> 판매 회복세 진입</t>
  </si>
  <si>
    <t>85444</t>
  </si>
  <si>
    <t>2Q25 Review: 확장성은 여전히 지속 중</t>
  </si>
  <si>
    <t>85443</t>
  </si>
  <si>
    <t>2Q25 Review: 하반기 Batter, Batter, Batter Up</t>
  </si>
  <si>
    <t>85442</t>
  </si>
  <si>
    <t>2Q25 Review; 이걸 안 사요?</t>
  </si>
  <si>
    <t>85441</t>
  </si>
  <si>
    <t>2Q25 Review: 시가총액 1위 달성, ‘그 때 그 시절’ 밸류 가능할까?</t>
  </si>
  <si>
    <t>85440</t>
  </si>
  <si>
    <t>2Q25 Review: 사상 최대 실적을 통해 보여준 경쟁력</t>
  </si>
  <si>
    <t>85439</t>
  </si>
  <si>
    <t>2Q25 Re: 역대급 호실적</t>
  </si>
  <si>
    <t>85438</t>
  </si>
  <si>
    <t>BTS 완전체 투어까지는 지속적인 비중확대</t>
  </si>
  <si>
    <t>85437</t>
  </si>
  <si>
    <t>조정의 끝에 오고 있다</t>
  </si>
  <si>
    <t>85436</t>
  </si>
  <si>
    <t>3개 분기 연속 실적 서프라이즈!!!</t>
  </si>
  <si>
    <t>85435</t>
  </si>
  <si>
    <t>2Q25Re: 높아진 백화점 실적 가시성</t>
  </si>
  <si>
    <t>85434</t>
  </si>
  <si>
    <t>대출 규제 영향은 불가피. 신사업 기대감은 공존</t>
  </si>
  <si>
    <t>85433</t>
  </si>
  <si>
    <t>2Q 리뷰 - 악재 소멸, 시총 격차 축소 예상</t>
  </si>
  <si>
    <t>85432</t>
  </si>
  <si>
    <t>85431</t>
  </si>
  <si>
    <t>2Q25 Re: 중고차 가격 현실화 진행 중</t>
  </si>
  <si>
    <t>85430</t>
  </si>
  <si>
    <t>회사의 결정을 긍정적으로 평가</t>
  </si>
  <si>
    <t>85429</t>
  </si>
  <si>
    <t>더 좋아질 수 있다</t>
  </si>
  <si>
    <t>85428</t>
  </si>
  <si>
    <t>2Q25 실적 시장 컨센서스 상회</t>
  </si>
  <si>
    <t>85427</t>
  </si>
  <si>
    <t>K-뷰티의 새로운 제왕</t>
  </si>
  <si>
    <t>85426</t>
  </si>
  <si>
    <t>2Q25 컨센 소폭 하회, 주가에는 선반영</t>
  </si>
  <si>
    <t>85425</t>
  </si>
  <si>
    <t>ESS 멀티플은 아직 반영되지 않았다</t>
  </si>
  <si>
    <t>85424</t>
  </si>
  <si>
    <t>2Q25Re: 신규 시밀러 비중 증가</t>
  </si>
  <si>
    <t>85423</t>
  </si>
  <si>
    <t>경쟁구도 변화 &amp; 자회사 실적개선</t>
  </si>
  <si>
    <t>85422</t>
  </si>
  <si>
    <t>수익성과 수주의 희비교차</t>
  </si>
  <si>
    <t>85421</t>
  </si>
  <si>
    <t>하반기 실적개선 기대 유발하는 3가지 요인</t>
  </si>
  <si>
    <t>85420</t>
  </si>
  <si>
    <t>성장의 Key는 적극적인 M&amp;A</t>
  </si>
  <si>
    <t>85419</t>
  </si>
  <si>
    <t>LNG에 더해질 암모니아 탱크 수주</t>
  </si>
  <si>
    <t>85418</t>
  </si>
  <si>
    <t>엑스코프리 견조한 성장세 재확인</t>
  </si>
  <si>
    <t>85417</t>
  </si>
  <si>
    <t>업황 둔화, 믿을 건 자사주</t>
  </si>
  <si>
    <t>85416</t>
  </si>
  <si>
    <t>모든 사업부가 좋아지고 있는 구간</t>
  </si>
  <si>
    <t>85415</t>
  </si>
  <si>
    <t>하반기는 천천히</t>
  </si>
  <si>
    <t>85414</t>
  </si>
  <si>
    <t>하반기 견고한 실적 전망</t>
  </si>
  <si>
    <t>85413</t>
  </si>
  <si>
    <t>고민의 시간</t>
  </si>
  <si>
    <t>85412</t>
  </si>
  <si>
    <t>소름 돋아</t>
  </si>
  <si>
    <t>85411</t>
  </si>
  <si>
    <t>비용을 잠그자 마진이 터졌다</t>
  </si>
  <si>
    <t>85410</t>
  </si>
  <si>
    <t>경이로운 호실적, 밸류 검증은 이제부터</t>
  </si>
  <si>
    <t>85409</t>
  </si>
  <si>
    <t>반박 불가 대장주로 등극</t>
  </si>
  <si>
    <t>85408</t>
  </si>
  <si>
    <t>MD/라이선싱 매출 640억원의 의미</t>
  </si>
  <si>
    <t>85407</t>
  </si>
  <si>
    <t>하반기에 보여주는 청사진이 중요</t>
  </si>
  <si>
    <t>85406</t>
  </si>
  <si>
    <t>하반기 백화점 증익, 면세점 흑전 전망</t>
  </si>
  <si>
    <t>85405</t>
  </si>
  <si>
    <t>은행주를 하나만 살 수 있다면</t>
  </si>
  <si>
    <t>85404</t>
  </si>
  <si>
    <t>언제 다시 살까요?</t>
  </si>
  <si>
    <t>85403</t>
  </si>
  <si>
    <t>+163% 증익!</t>
  </si>
  <si>
    <t>85402</t>
  </si>
  <si>
    <t>실적보다 중요한건</t>
  </si>
  <si>
    <t>85401</t>
  </si>
  <si>
    <t>비은행 강화 및 예상보다 빠른 CET1비율 개선</t>
  </si>
  <si>
    <t>85400</t>
  </si>
  <si>
    <t>밸류에이션 갭 축소에 대한 기대감</t>
  </si>
  <si>
    <t>85399</t>
  </si>
  <si>
    <t>수출 비중 98%</t>
  </si>
  <si>
    <t>85398</t>
  </si>
  <si>
    <t>대규모 평가익으로 서프라이즈</t>
  </si>
  <si>
    <t>85397</t>
  </si>
  <si>
    <t>체질개선이 만들어낸 호실적</t>
  </si>
  <si>
    <t>85396</t>
  </si>
  <si>
    <t>일회성 요인 감안해도 업종 내 최상위 수익성</t>
  </si>
  <si>
    <t>85395</t>
  </si>
  <si>
    <t>저점을 확인한 주가</t>
  </si>
  <si>
    <t>85394</t>
  </si>
  <si>
    <t>반등 모멘텀에 주목</t>
  </si>
  <si>
    <t>85393</t>
  </si>
  <si>
    <t>2Q25 Review: 화장품 시총 1위의 위엄</t>
  </si>
  <si>
    <t>85392</t>
  </si>
  <si>
    <t>CAPEX축소 vs 미국 본토 진출</t>
  </si>
  <si>
    <t>85391</t>
  </si>
  <si>
    <t>괜한 걱정, 완벽 자체</t>
  </si>
  <si>
    <t>85390</t>
  </si>
  <si>
    <t>2Q25 Review: 밋밋한 실적, 펀더멘털 이상무</t>
  </si>
  <si>
    <t>85389</t>
  </si>
  <si>
    <t>기다림의 연속</t>
  </si>
  <si>
    <t>85388</t>
  </si>
  <si>
    <t>2Q25 Review: 하반기 실적 회복 기대</t>
  </si>
  <si>
    <t>85387</t>
  </si>
  <si>
    <t>ESS향 동박 물량 증가 4분기부</t>
  </si>
  <si>
    <t>85386</t>
  </si>
  <si>
    <t>시간을 벌다</t>
  </si>
  <si>
    <t>85385</t>
  </si>
  <si>
    <t>MD만 분기에 639억을 팔았다고?</t>
  </si>
  <si>
    <t>85384</t>
  </si>
  <si>
    <t>꽉 찬 육각형</t>
  </si>
  <si>
    <t>85383</t>
  </si>
  <si>
    <t>파티를 하려면 준비과정이 필요하지</t>
  </si>
  <si>
    <t>85382</t>
  </si>
  <si>
    <t>We're goin' up, up, up, it's our moment</t>
  </si>
  <si>
    <t>85381</t>
  </si>
  <si>
    <t>내년 실적을 기대하며</t>
  </si>
  <si>
    <t>85380</t>
  </si>
  <si>
    <t>사상 최대 MD 실적 기록</t>
  </si>
  <si>
    <t>85379</t>
  </si>
  <si>
    <t>실적은 좋았지만 짐펜트라는 아쉬웠다</t>
  </si>
  <si>
    <t>85378</t>
  </si>
  <si>
    <t>우려와 기대가 공존하는 과도기</t>
  </si>
  <si>
    <t>85377</t>
  </si>
  <si>
    <t>적자보다 뼈 아픈 신작 연기</t>
  </si>
  <si>
    <t>85376</t>
  </si>
  <si>
    <t>연말까지 이어질 불편함</t>
  </si>
  <si>
    <t>85375</t>
  </si>
  <si>
    <t>Money Maketh Money</t>
  </si>
  <si>
    <t>85374</t>
  </si>
  <si>
    <t>글로벌 메가 브랜드의 서막</t>
  </si>
  <si>
    <t>85373</t>
  </si>
  <si>
    <t>내수 소비 반등과 함께 실적 개선 본격화 전망</t>
  </si>
  <si>
    <t>85372</t>
  </si>
  <si>
    <t>가동률 상승으로 하반기 적자폭은 축소 예상</t>
  </si>
  <si>
    <t>85371</t>
  </si>
  <si>
    <t>It`s Toxins Out And Away We go</t>
  </si>
  <si>
    <t>85370</t>
  </si>
  <si>
    <t>2분기 Review: 질적 개선</t>
  </si>
  <si>
    <t>85369</t>
  </si>
  <si>
    <t>오딘 반등은 반가우나 아쉬운 신작 연기</t>
  </si>
  <si>
    <t>85368</t>
  </si>
  <si>
    <t>2025-08-06</t>
  </si>
  <si>
    <t>중기적인 확장 정책의 제시가 무엇보다 중요한 시점</t>
  </si>
  <si>
    <t>85367</t>
  </si>
  <si>
    <t>하반기 고객사 불확실성 우려 여전</t>
  </si>
  <si>
    <t>85366</t>
  </si>
  <si>
    <t>85365</t>
  </si>
  <si>
    <t>[2Q25 Review] OPM 21%, NI 흑전</t>
  </si>
  <si>
    <t>85364</t>
  </si>
  <si>
    <t>[2Q25 Review] 폴란드 물량 조기 생산에서 드러나는 자신감</t>
  </si>
  <si>
    <t>85363</t>
  </si>
  <si>
    <t>하반기는 좋아져야만 합니다</t>
  </si>
  <si>
    <t>85362</t>
  </si>
  <si>
    <t>퀀텀 점프를 위한 준비 완료</t>
  </si>
  <si>
    <t>85361</t>
  </si>
  <si>
    <t>2Q25 Re: 판관비 통제로 레버리지 효과 극대화</t>
  </si>
  <si>
    <t>85360</t>
  </si>
  <si>
    <t>이(二)회성 이익으로 서프라이즈</t>
  </si>
  <si>
    <t>85359</t>
  </si>
  <si>
    <t>공격적 확장 통한 ARPU 제고 기대</t>
  </si>
  <si>
    <t>85358</t>
  </si>
  <si>
    <t>2Q25 Review: 3분기 소비쿠폰+우호적 날씨를 기대!</t>
  </si>
  <si>
    <t>85357</t>
  </si>
  <si>
    <t>엄중한 K2 후속 물량 P의 효과, 27년부터는 Q효과까지</t>
  </si>
  <si>
    <t>85356</t>
  </si>
  <si>
    <t>실적 및 Valuation factor 회복 국면</t>
  </si>
  <si>
    <t>85355</t>
  </si>
  <si>
    <t>지치지도 않고 계속되는 실적 서프라이즈</t>
  </si>
  <si>
    <t>85354</t>
  </si>
  <si>
    <t>2Q25 Re: 낮아진 시장 기대 하회</t>
  </si>
  <si>
    <t>85353</t>
  </si>
  <si>
    <t>8~9월 쉬어갈 것, 2Q 실적 발표 때 추격 매수는 지양</t>
  </si>
  <si>
    <t>85352</t>
  </si>
  <si>
    <t>2Q 실적 발표 때 매수는 장기로, 11월에 다시 오를 것</t>
  </si>
  <si>
    <t>85351</t>
  </si>
  <si>
    <t>8월 말 Top line 결과를 기다리며</t>
  </si>
  <si>
    <t>85350</t>
  </si>
  <si>
    <t>2Q25 영업이익 서프라이즈, 엑스코프리 처방 우상향</t>
  </si>
  <si>
    <t>85349</t>
  </si>
  <si>
    <t>가장 높은 배당수익률</t>
  </si>
  <si>
    <t>85348</t>
  </si>
  <si>
    <t>대손비용 우려는 완화되고 있다</t>
  </si>
  <si>
    <t>85347</t>
  </si>
  <si>
    <t>실적 저점 통과 구간</t>
  </si>
  <si>
    <t>85346</t>
  </si>
  <si>
    <t>성장은 이제 시작</t>
  </si>
  <si>
    <t>85345</t>
  </si>
  <si>
    <t>성장을 멈추지 않을 것</t>
  </si>
  <si>
    <t>85344</t>
  </si>
  <si>
    <t>K-pop의 힘을 보여줘</t>
  </si>
  <si>
    <t>85343</t>
  </si>
  <si>
    <t>2Q25P Review: 매출 성장에 따른 레버리지 확대</t>
  </si>
  <si>
    <t>85342</t>
  </si>
  <si>
    <t>나빠진 게 없는데 괜히 주가만 빠졌다</t>
  </si>
  <si>
    <t>85341</t>
  </si>
  <si>
    <t>하반기에도 이익 턴어라운드 지속 예상</t>
  </si>
  <si>
    <t>85340</t>
  </si>
  <si>
    <t>실적을 보고 졸음번쩍</t>
  </si>
  <si>
    <t>85339</t>
  </si>
  <si>
    <t>비중확대 기회</t>
  </si>
  <si>
    <t>85338</t>
  </si>
  <si>
    <t>당신이 찾던 육각형 주식</t>
  </si>
  <si>
    <t>85337</t>
  </si>
  <si>
    <t>약속된 분기 최대 실적</t>
  </si>
  <si>
    <t>85336</t>
  </si>
  <si>
    <t>2Q25 Re: Amaranth10 성장세 고무적</t>
  </si>
  <si>
    <t>85335</t>
  </si>
  <si>
    <t>2Q25 Review: 신규사업 실적 성장 견인</t>
  </si>
  <si>
    <t>85334</t>
  </si>
  <si>
    <t>달라질 2026년에 주목</t>
  </si>
  <si>
    <t>85333</t>
  </si>
  <si>
    <t>2Q25 Re_어닝 서프라이즈, 탄탄대로</t>
  </si>
  <si>
    <t>85332</t>
  </si>
  <si>
    <t>하반기 반전을 기대하며</t>
  </si>
  <si>
    <t>85331</t>
  </si>
  <si>
    <t>일회성 이익 없이 서프라이즈!</t>
  </si>
  <si>
    <t>85330</t>
  </si>
  <si>
    <t>K2전차, Blitzkrieg(전격전) 시작!</t>
  </si>
  <si>
    <t>85329</t>
  </si>
  <si>
    <t>332570</t>
  </si>
  <si>
    <t>PS일렉트로닉스</t>
  </si>
  <si>
    <t>자율주행, 로보틱스, AI 신사업 확대 초입</t>
  </si>
  <si>
    <t>85328</t>
  </si>
  <si>
    <t>[NDR 후기] 반등 조건 모색</t>
  </si>
  <si>
    <t>85327</t>
  </si>
  <si>
    <t>2Q25 Review: 흔들림 없는 방향성 확인</t>
  </si>
  <si>
    <t>85326</t>
  </si>
  <si>
    <t>반갑다 무더위</t>
  </si>
  <si>
    <t>85325</t>
  </si>
  <si>
    <t>하반기도 달려간다</t>
  </si>
  <si>
    <t>85324</t>
  </si>
  <si>
    <t>지속될 흑자 기조</t>
  </si>
  <si>
    <t>85323</t>
  </si>
  <si>
    <t>양호한 2분기 실적, 신사업 가치 반영은 시기상조</t>
  </si>
  <si>
    <t>85322</t>
  </si>
  <si>
    <t>본게임 직전</t>
  </si>
  <si>
    <t>85321</t>
  </si>
  <si>
    <t>하반기가 중요</t>
  </si>
  <si>
    <t>85320</t>
  </si>
  <si>
    <t>펀더멘탈 회복 구간 진입</t>
  </si>
  <si>
    <t>85319</t>
  </si>
  <si>
    <t>관세 우려 털어버린 실적 서프라이즈</t>
  </si>
  <si>
    <t>85318</t>
  </si>
  <si>
    <t>본업은 여전히 적자, 하반기 불확실성은 지속</t>
  </si>
  <si>
    <t>85317</t>
  </si>
  <si>
    <t>대한민국 제38호 신약 어나프라주 발매</t>
  </si>
  <si>
    <t>85316</t>
  </si>
  <si>
    <t>NI/SI + 미국 원격 환자 모니터링 서비스 사업자</t>
  </si>
  <si>
    <t>85315</t>
  </si>
  <si>
    <t>우려를 불식시키는 호실적</t>
  </si>
  <si>
    <t>85314</t>
  </si>
  <si>
    <t>하반기 이륙 준비 끝</t>
  </si>
  <si>
    <t>85313</t>
  </si>
  <si>
    <t>오랜만에 받아든 괜찮은 성적표</t>
  </si>
  <si>
    <t>85312</t>
  </si>
  <si>
    <t>2Q25P Review:투자의 시간</t>
  </si>
  <si>
    <t>85311</t>
  </si>
  <si>
    <t>2025-08-05</t>
  </si>
  <si>
    <t>북미 ESS 용 LFP Shortage</t>
  </si>
  <si>
    <t>85310</t>
  </si>
  <si>
    <t>더 부진했던 내수, 더 좋았던 해외</t>
  </si>
  <si>
    <t>85309</t>
  </si>
  <si>
    <t>울산GPS 정지 영향을 상쇄한 LPG 트레이딩 서프라이즈</t>
  </si>
  <si>
    <t>85308</t>
  </si>
  <si>
    <t>2Q25 Review : 임박한 실적 턴어라운드</t>
  </si>
  <si>
    <t>85307</t>
  </si>
  <si>
    <t>트레이딩 실력이 빛을 발한 실적</t>
  </si>
  <si>
    <t>85306</t>
  </si>
  <si>
    <t>발전 부문 부진을 LPG 트레이딩으로 만회</t>
  </si>
  <si>
    <t>85305</t>
  </si>
  <si>
    <t>2Q25 Re: 국내 부진 지속</t>
  </si>
  <si>
    <t>85304</t>
  </si>
  <si>
    <t>실리콘 회복으로 2025년 사상 최대 실적 예상</t>
  </si>
  <si>
    <t>85303</t>
  </si>
  <si>
    <t>2분기 이익률 하락은 일시적 요인들이 많았다</t>
  </si>
  <si>
    <t>85302</t>
  </si>
  <si>
    <t>사이버 보안의 기본옵션 EDR</t>
  </si>
  <si>
    <t>85301</t>
  </si>
  <si>
    <t>Everything is Good!</t>
  </si>
  <si>
    <t>85300</t>
  </si>
  <si>
    <t>우려보단 양호했다</t>
  </si>
  <si>
    <t>85299</t>
  </si>
  <si>
    <t>기대 이상의 이익개선 속도</t>
  </si>
  <si>
    <t>85298</t>
  </si>
  <si>
    <t>2Q25 Review: 바텀아웃, 성장 구간 재진입</t>
  </si>
  <si>
    <t>85297</t>
  </si>
  <si>
    <t>해외가 살렸다</t>
  </si>
  <si>
    <t>85296</t>
  </si>
  <si>
    <t>3Q실적은 예상 상회 전망</t>
  </si>
  <si>
    <t>85295</t>
  </si>
  <si>
    <t>해외 모멘텀 강화</t>
  </si>
  <si>
    <t>85294</t>
  </si>
  <si>
    <t>상선의 깜짝 실적</t>
  </si>
  <si>
    <t>85293</t>
  </si>
  <si>
    <t>실적 반등보다 더 중요한 경쟁구도 변화</t>
  </si>
  <si>
    <t>85292</t>
  </si>
  <si>
    <t>반등 모멘텀은 약하나, 하방 경직성 확보</t>
  </si>
  <si>
    <t>85291</t>
  </si>
  <si>
    <t>새로운 성장동력을 준비하는 시기</t>
  </si>
  <si>
    <t>85290</t>
  </si>
  <si>
    <t>2Q25 Review: 북미, 유럽 증가세 전환</t>
  </si>
  <si>
    <t>85289</t>
  </si>
  <si>
    <t>2Q25 Review: 파운드리 맑음</t>
  </si>
  <si>
    <t>85288</t>
  </si>
  <si>
    <t>퀀텀 점프를 보아라</t>
  </si>
  <si>
    <t>85287</t>
  </si>
  <si>
    <t>앞으로 관전 포인트는 글로벌 확장</t>
  </si>
  <si>
    <t>85286</t>
  </si>
  <si>
    <t>높은 주가 상승 잠재력</t>
  </si>
  <si>
    <t>85285</t>
  </si>
  <si>
    <t>음료 레버리지 효과를 통한 반전 기대</t>
  </si>
  <si>
    <t>85284</t>
  </si>
  <si>
    <t>분위기 바뀌는 중</t>
  </si>
  <si>
    <t>85283</t>
  </si>
  <si>
    <t>내수보다는 해외가 반등의 열쇠</t>
  </si>
  <si>
    <t>85282</t>
  </si>
  <si>
    <t>하반기는 국내도 맑음</t>
  </si>
  <si>
    <t>85281</t>
  </si>
  <si>
    <t>2025-08-04</t>
  </si>
  <si>
    <t>관세 불확실성 지속</t>
  </si>
  <si>
    <t>85280</t>
  </si>
  <si>
    <t>2Q 부진, 새로운 변화가 필요</t>
  </si>
  <si>
    <t>85279</t>
  </si>
  <si>
    <t>소리소문없이 강하다</t>
  </si>
  <si>
    <t>85278</t>
  </si>
  <si>
    <t>단기 회복은 어려울 전망</t>
  </si>
  <si>
    <t>85277</t>
  </si>
  <si>
    <t>안정적인 실적과 성장성</t>
  </si>
  <si>
    <t>85276</t>
  </si>
  <si>
    <t>2Q25 Re: 해외 고수익 품목의 성장 본격화 해</t>
  </si>
  <si>
    <t>85275</t>
  </si>
  <si>
    <t>4분기 흑전에 대한 기다림</t>
  </si>
  <si>
    <t>85274</t>
  </si>
  <si>
    <t>2Q25 Review: 순항 중인 해외 사업</t>
  </si>
  <si>
    <t>85273</t>
  </si>
  <si>
    <t>NDR 후기: 올해 수주는 확실히 다르다</t>
  </si>
  <si>
    <t>85272</t>
  </si>
  <si>
    <t>2Q25 Pre: 실적 우려 지운 다음 신규 수주까지</t>
  </si>
  <si>
    <t>85271</t>
  </si>
  <si>
    <t>2Q25 Pre: 이상과 현실 사이에서</t>
  </si>
  <si>
    <t>85270</t>
  </si>
  <si>
    <t>방산 매출 성장 기대감 유효</t>
  </si>
  <si>
    <t>85269</t>
  </si>
  <si>
    <t>환율과 관세 영향에도 견조한 실적</t>
  </si>
  <si>
    <t>85268</t>
  </si>
  <si>
    <t>2분기 실적이 연중 저점</t>
  </si>
  <si>
    <t>85267</t>
  </si>
  <si>
    <t>변화의 서막, 달라질 평가</t>
  </si>
  <si>
    <t>85266</t>
  </si>
  <si>
    <t>2H25~2026년 증익 기조 유효</t>
  </si>
  <si>
    <t>85265</t>
  </si>
  <si>
    <t xml:space="preserve">보여주자, 대장주의 면모 </t>
  </si>
  <si>
    <t>85264</t>
  </si>
  <si>
    <t>향후 관세 우려 제한적</t>
  </si>
  <si>
    <t>85263</t>
  </si>
  <si>
    <t>신동과 방산, 같이 있을 때 시너지</t>
  </si>
  <si>
    <t>85262</t>
  </si>
  <si>
    <t>성장스토리는 아직 진행 중</t>
  </si>
  <si>
    <t>85261</t>
  </si>
  <si>
    <t>HDAC6 inhibitor 포텐셜에 주목</t>
  </si>
  <si>
    <t>85260</t>
  </si>
  <si>
    <t>예상보다 컸던 시황 부진 효과</t>
  </si>
  <si>
    <t>85259</t>
  </si>
  <si>
    <t>235980</t>
  </si>
  <si>
    <t>메드팩토</t>
  </si>
  <si>
    <t>백토서팁 재조명 가능성과 신규 항암제에 주목</t>
  </si>
  <si>
    <t>85258</t>
  </si>
  <si>
    <t>차근차근 개선 중</t>
  </si>
  <si>
    <t>85257</t>
  </si>
  <si>
    <t>2Q25 Review: 작년 2분기는 잊었다</t>
  </si>
  <si>
    <t>85256</t>
  </si>
  <si>
    <t>성장엔 이상 무</t>
  </si>
  <si>
    <t>85255</t>
  </si>
  <si>
    <t>2Q25P Review: 주력 제품 성장 확인</t>
  </si>
  <si>
    <t>85254</t>
  </si>
  <si>
    <t>알고 맞아도 아프다</t>
  </si>
  <si>
    <t>85253</t>
  </si>
  <si>
    <t>단기 흔들림보다 중장기 성장 파이프라인에 주목</t>
  </si>
  <si>
    <t>85252</t>
  </si>
  <si>
    <t>2Q25 Review: 높은 배당수익률 기대</t>
  </si>
  <si>
    <t>85251</t>
  </si>
  <si>
    <t>성장의 3박자: 수주잔고, 해저케이블, 에너지 고속도로</t>
  </si>
  <si>
    <t>85250</t>
  </si>
  <si>
    <t>실적개선, 배당성향, 자사주 등 세 개의 화살</t>
  </si>
  <si>
    <t>85249</t>
  </si>
  <si>
    <t>잠시 숨을 고르자</t>
  </si>
  <si>
    <t>85248</t>
  </si>
  <si>
    <t>이제는 자원보다 물류</t>
  </si>
  <si>
    <t>85247</t>
  </si>
  <si>
    <t>증설효과 본격화, TDI 공급차질 수혜</t>
  </si>
  <si>
    <t>85246</t>
  </si>
  <si>
    <t>2Q25 NDR 후기: 늦바람이 무서울 것이다</t>
  </si>
  <si>
    <t>85245</t>
  </si>
  <si>
    <t>햇빛을 머금고 자라나는 실적</t>
  </si>
  <si>
    <t>85244</t>
  </si>
  <si>
    <t>마지막 쉬어가는 구간</t>
  </si>
  <si>
    <t>85243</t>
  </si>
  <si>
    <t>외풍 견딘 내실. 이제 판을 키워갈 때</t>
  </si>
  <si>
    <t>85242</t>
  </si>
  <si>
    <t>85241</t>
  </si>
  <si>
    <t>부진한 실적에도 변함없는 방향성</t>
  </si>
  <si>
    <t>85240</t>
  </si>
  <si>
    <t>회복의 방향성은 유효</t>
  </si>
  <si>
    <t>85239</t>
  </si>
  <si>
    <t>그래도 올라온 가동률</t>
  </si>
  <si>
    <t>85238</t>
  </si>
  <si>
    <t>NAND에서 파운드리로 영역 확장</t>
  </si>
  <si>
    <t>85237</t>
  </si>
  <si>
    <t>암진단 액체생검 기술은 완성됐다, 이제는 확산의 시간</t>
  </si>
  <si>
    <t>85236</t>
  </si>
  <si>
    <t>하반기는 더 좋을 수 밖에</t>
  </si>
  <si>
    <t>85235</t>
  </si>
  <si>
    <t>2025-08-01</t>
  </si>
  <si>
    <t>유상증자 관련 컨퍼런스콜 요약</t>
  </si>
  <si>
    <t>85234</t>
  </si>
  <si>
    <t>2Q25 Re: 2분기 실적은 양호</t>
  </si>
  <si>
    <t>85233</t>
  </si>
  <si>
    <t>고부가 비중 확대로 견조한 실적 기록</t>
  </si>
  <si>
    <t>85232</t>
  </si>
  <si>
    <t>2Q25Re: 국내외 실적 방향성은 디스커버리에</t>
  </si>
  <si>
    <t>85231</t>
  </si>
  <si>
    <t>실적과 자본비율, 주주환원 측면의 세 가지 선물꾸러미</t>
  </si>
  <si>
    <t>85230</t>
  </si>
  <si>
    <t>2Q25 Re: LNG선대와 함께 저점 통과</t>
  </si>
  <si>
    <t>85229</t>
  </si>
  <si>
    <t xml:space="preserve">완만한 실적 개선 전망 </t>
  </si>
  <si>
    <t>85228</t>
  </si>
  <si>
    <t xml:space="preserve">영업실적 개선 중! </t>
  </si>
  <si>
    <t>85227</t>
  </si>
  <si>
    <t>철강 부문이 회복되고 있다!</t>
  </si>
  <si>
    <t>85226</t>
  </si>
  <si>
    <t>실적으로 나타나는 AI 수혜</t>
  </si>
  <si>
    <t>85225</t>
  </si>
  <si>
    <t>하나씩 찾아가는 경쟁력</t>
  </si>
  <si>
    <t>85224</t>
  </si>
  <si>
    <t>2Q25 Re: 도움닫기</t>
  </si>
  <si>
    <t>85223</t>
  </si>
  <si>
    <t>주가는 합병 효과보다 펀더먼털에 좌우될 전망</t>
  </si>
  <si>
    <t>85222</t>
  </si>
  <si>
    <t>3분기 실적이 매우 중요해졌다</t>
  </si>
  <si>
    <t>85221</t>
  </si>
  <si>
    <t>발전 부문 제외하면 양호한 흐름</t>
  </si>
  <si>
    <t>85220</t>
  </si>
  <si>
    <t>일시적 관세 우려와 여전한 공급 부족</t>
  </si>
  <si>
    <t>85219</t>
  </si>
  <si>
    <t>2Q25 Review: IMA 진출을 위한 유상증자(6,500억원) 발표</t>
  </si>
  <si>
    <t>85218</t>
  </si>
  <si>
    <t>환율 영향애도 마진 개선</t>
  </si>
  <si>
    <t>85217</t>
  </si>
  <si>
    <t>2Q25 Review: 실적 개선에 따른 주주환원기대 긍정적</t>
  </si>
  <si>
    <t>85216</t>
  </si>
  <si>
    <t>두 자리 수 마진을 향해</t>
  </si>
  <si>
    <t>85215</t>
  </si>
  <si>
    <t>생산성 상승에 의한 이익률 개선</t>
  </si>
  <si>
    <t>85214</t>
  </si>
  <si>
    <t>한화에어로스페이스의 포구는 올 하반기도, 내년에도 식지 않아</t>
  </si>
  <si>
    <t>85213</t>
  </si>
  <si>
    <t>지분가치 상승과 주주환원 확대 기대감</t>
  </si>
  <si>
    <t>85212</t>
  </si>
  <si>
    <t>2Q25 NDR Review: 기대되는 하반기</t>
  </si>
  <si>
    <t>85211</t>
  </si>
  <si>
    <t>[2Q25 Review] 이제 성장을 더할 차례</t>
  </si>
  <si>
    <t>85210</t>
  </si>
  <si>
    <t>2Q25 Review: 주택의 뚜렷한 이익 개선</t>
  </si>
  <si>
    <t>85209</t>
  </si>
  <si>
    <t>이익과 자본여력이 자아낸 환원 확대</t>
  </si>
  <si>
    <t>85208</t>
  </si>
  <si>
    <t>2Q25 Review: 화장품 사업 재정비 영향</t>
  </si>
  <si>
    <t>85207</t>
  </si>
  <si>
    <t>장기화되는 부진</t>
  </si>
  <si>
    <t>85206</t>
  </si>
  <si>
    <t>무조건 개선되어야 하는 SKon</t>
  </si>
  <si>
    <t>85205</t>
  </si>
  <si>
    <t>철강 개선 모멘텀 가시화</t>
  </si>
  <si>
    <t>85204</t>
  </si>
  <si>
    <t>보수적 접근 필요</t>
  </si>
  <si>
    <t>85203</t>
  </si>
  <si>
    <t>2Q25 Review : 실망하기엔 아직 일러요</t>
  </si>
  <si>
    <t>85202</t>
  </si>
  <si>
    <t xml:space="preserve">[2Q25 Review] 또 다시 증명된 반복생산 효과 </t>
  </si>
  <si>
    <t>85201</t>
  </si>
  <si>
    <t xml:space="preserve">이제는 숫자로 증명할 때 </t>
  </si>
  <si>
    <t>85200</t>
  </si>
  <si>
    <t>수출 비중 80%, 원/달러 환율 상승시 주목 必</t>
  </si>
  <si>
    <t>85199</t>
  </si>
  <si>
    <t>실적 쇼크 속 구조개편 가속, 내년 반등 노린다</t>
  </si>
  <si>
    <t>85198</t>
  </si>
  <si>
    <t>3Q25 예상 영업이익 QoQ 증가율 +62%</t>
  </si>
  <si>
    <t>85197</t>
  </si>
  <si>
    <t>2Q25 Review: 실적보다 엄중한 것들</t>
  </si>
  <si>
    <t>85196</t>
  </si>
  <si>
    <t>2Q25 Review: 늦었지만 빠르게</t>
  </si>
  <si>
    <t>85195</t>
  </si>
  <si>
    <t>2Q25 Review: 대장주답게</t>
  </si>
  <si>
    <t>85194</t>
  </si>
  <si>
    <t>철강과 에너지소재, 동반 개선 기대</t>
  </si>
  <si>
    <t>85193</t>
  </si>
  <si>
    <t>LNG 부문 성장성 기대</t>
  </si>
  <si>
    <t>85192</t>
  </si>
  <si>
    <t>필리야, 아프지마</t>
  </si>
  <si>
    <t>85191</t>
  </si>
  <si>
    <t>실적은 순항 중</t>
  </si>
  <si>
    <t>85190</t>
  </si>
  <si>
    <t>기어이 발목을 잡는 중국</t>
  </si>
  <si>
    <t>85189</t>
  </si>
  <si>
    <t>2Q25 Review : 철강만 좋았다</t>
  </si>
  <si>
    <t>85188</t>
  </si>
  <si>
    <t xml:space="preserve">2Q25 Re: 컨센 상회, 하반기에도 이어질 호실적 </t>
  </si>
  <si>
    <t>85187</t>
  </si>
  <si>
    <t>T發 꿈</t>
  </si>
  <si>
    <t>85186</t>
  </si>
  <si>
    <t>보급형 라인업 진입 &gt; 셀 3사 간 경쟁심화</t>
  </si>
  <si>
    <t>85185</t>
  </si>
  <si>
    <t>ESS 영업이익 비중 50%. ESS 재평가 필요</t>
  </si>
  <si>
    <t>85184</t>
  </si>
  <si>
    <t>MLCC의 뚝심, 가동률과 재고가 증명</t>
  </si>
  <si>
    <t>85183</t>
  </si>
  <si>
    <t>신뢰를 확인한 주택 원가율</t>
  </si>
  <si>
    <t>85182</t>
  </si>
  <si>
    <t>삼성카드 NDR 후기: 분명히 어려운 업황이나 안정적으로 관리 중</t>
  </si>
  <si>
    <t>85181</t>
  </si>
  <si>
    <t>극한 부진, 그래도 점차 나아질 것</t>
  </si>
  <si>
    <t>85180</t>
  </si>
  <si>
    <t>놀라움의 연속</t>
  </si>
  <si>
    <t>85179</t>
  </si>
  <si>
    <t>BNK금융지주 2Q25 실적 Comment: 크게 높아진 자사주 매입/소각 규모</t>
  </si>
  <si>
    <t>85178</t>
  </si>
  <si>
    <t>불확실성 감안하여 일단 지켜보기</t>
  </si>
  <si>
    <t>85177</t>
  </si>
  <si>
    <t>흥분해도 된다</t>
  </si>
  <si>
    <t>85176</t>
  </si>
  <si>
    <t>과도한 저평가 해소 국면</t>
  </si>
  <si>
    <t>85175</t>
  </si>
  <si>
    <t>국내 부진, 중국은 회복세 지속</t>
  </si>
  <si>
    <t>85174</t>
  </si>
  <si>
    <t xml:space="preserve"> 2Q25 Re 방산과 조선의 놀라운 성장</t>
  </si>
  <si>
    <t>85173</t>
  </si>
  <si>
    <t>현대가 풍력 얘기를 다시 하기 시작했다</t>
  </si>
  <si>
    <t>85172</t>
  </si>
  <si>
    <t>이제 관심은 ‘신규수주’로</t>
  </si>
  <si>
    <t>85171</t>
  </si>
  <si>
    <t>2Q25 Review: IT 수요 부진을 이겨내는 체질 변화</t>
  </si>
  <si>
    <t>85170</t>
  </si>
  <si>
    <t>2Q25 Re: 한층 견고해진 실적</t>
  </si>
  <si>
    <t>85169</t>
  </si>
  <si>
    <t xml:space="preserve">시황 부진에도 안정적 실적 지속 </t>
  </si>
  <si>
    <t>85168</t>
  </si>
  <si>
    <t>점점 속도 붙는다</t>
  </si>
  <si>
    <t>85167</t>
  </si>
  <si>
    <t>본업 호조세 지속</t>
  </si>
  <si>
    <t>85166</t>
  </si>
  <si>
    <t>주주환원 확대 순항 중</t>
  </si>
  <si>
    <t>85165</t>
  </si>
  <si>
    <t>벌써 이정도 마진율이라고?</t>
  </si>
  <si>
    <t>85164</t>
  </si>
  <si>
    <t>TSLA發 주가 급등에 대한 생각</t>
  </si>
  <si>
    <t>85163</t>
  </si>
  <si>
    <t>북미/일본 성장에도 단기 실적 부담 지속</t>
  </si>
  <si>
    <t>85162</t>
  </si>
  <si>
    <t>긍정과 부정 사이</t>
  </si>
  <si>
    <t>85161</t>
  </si>
  <si>
    <t>방산과 조선의 콜라보</t>
  </si>
  <si>
    <t>85160</t>
  </si>
  <si>
    <t>타이어보강재 강세 지속</t>
  </si>
  <si>
    <t>85159</t>
  </si>
  <si>
    <t>Don’t you know I am a Savage?</t>
  </si>
  <si>
    <t>85158</t>
  </si>
  <si>
    <t>2Q25P Review: 높은 성장률, 수익성</t>
  </si>
  <si>
    <t>85157</t>
  </si>
  <si>
    <t>성장 체력 입증</t>
  </si>
  <si>
    <t>85156</t>
  </si>
  <si>
    <t>85155</t>
  </si>
  <si>
    <t>자회사들의 이익 성장 견인 지속</t>
  </si>
  <si>
    <t>85154</t>
  </si>
  <si>
    <t>다수의 해외 거점 진출 모멘텀 기대</t>
  </si>
  <si>
    <t>85153</t>
  </si>
  <si>
    <t>실적 부진 흐름 예상되나 ESS 성장성 주목</t>
  </si>
  <si>
    <t>85152</t>
  </si>
  <si>
    <t>ESS up, EV down</t>
  </si>
  <si>
    <t>85151</t>
  </si>
  <si>
    <t>중국에 대한 자신감은 여전</t>
  </si>
  <si>
    <t>85150</t>
  </si>
  <si>
    <t>올해는 내러티브, 내년엔 펀더멘털</t>
  </si>
  <si>
    <t>85149</t>
  </si>
  <si>
    <t>ESS가 없어서 아쉽다</t>
  </si>
  <si>
    <t>85148</t>
  </si>
  <si>
    <t>일회성 이익 반영으로 시장 기대치 상회</t>
  </si>
  <si>
    <t>85147</t>
  </si>
  <si>
    <t>경쟁력 회복 기대감 재점화</t>
  </si>
  <si>
    <t>85146</t>
  </si>
  <si>
    <t>2Q25: 실적이 하방을, 기대가 상방을</t>
  </si>
  <si>
    <t>85145</t>
  </si>
  <si>
    <t>2Q 리뷰: 호주와 인도네시아에서 불어온 훈풍</t>
  </si>
  <si>
    <t>85144</t>
  </si>
  <si>
    <t>2Q 호실적은 장기 성장 스토리의 예고편</t>
  </si>
  <si>
    <t>85143</t>
  </si>
  <si>
    <t>하반기 주택부문 매출총이익률 17% 전망</t>
  </si>
  <si>
    <t>85142</t>
  </si>
  <si>
    <t>지속되는 실적 부진, 중장기 접근 필요</t>
  </si>
  <si>
    <t>85141</t>
  </si>
  <si>
    <t>자본비율에 가려진 높은 수익성에 주목</t>
  </si>
  <si>
    <t>85140</t>
  </si>
  <si>
    <t xml:space="preserve">2025년 턴어라운드와 미국 진출의 서막 </t>
  </si>
  <si>
    <t>85139</t>
  </si>
  <si>
    <t>이제는 굿 뉴스가 더 많다</t>
  </si>
  <si>
    <t>85138</t>
  </si>
  <si>
    <t xml:space="preserve">황제주의 품격 </t>
  </si>
  <si>
    <t>85137</t>
  </si>
  <si>
    <t>MA 3호 신청사</t>
  </si>
  <si>
    <t>85136</t>
  </si>
  <si>
    <t xml:space="preserve">전체 마진은 꾸준히 개선 중 </t>
  </si>
  <si>
    <t>85135</t>
  </si>
  <si>
    <t>2H25 벌크 수익성 개선 전망</t>
  </si>
  <si>
    <t>85134</t>
  </si>
  <si>
    <t xml:space="preserve"> HDO를 제외하고 다 좋아!</t>
  </si>
  <si>
    <t>85133</t>
  </si>
  <si>
    <t>SKI의 사업구조개편과 재무구조 안정화</t>
  </si>
  <si>
    <t>85132</t>
  </si>
  <si>
    <t>삼성전자의 메시지</t>
  </si>
  <si>
    <t>85131</t>
  </si>
  <si>
    <t xml:space="preserve">중국은 잘 되고 있으니 내수 부진 회복에 더 신경 써야... </t>
  </si>
  <si>
    <t>85130</t>
  </si>
  <si>
    <t>Steel Up, Battery still down</t>
  </si>
  <si>
    <t>85129</t>
  </si>
  <si>
    <t>2Q25 Pre: 요금 인상은 족쇄를 풀어</t>
  </si>
  <si>
    <t>85128</t>
  </si>
  <si>
    <t>Valuation 추가 상향을 위해서는?</t>
  </si>
  <si>
    <t>85127</t>
  </si>
  <si>
    <t>2Q25: 비공개 수주라도 괜찮아, 좋으니까</t>
  </si>
  <si>
    <t>85126</t>
  </si>
  <si>
    <t>기대감이 현실이 될 수 있을까?</t>
  </si>
  <si>
    <t>85125</t>
  </si>
  <si>
    <t>아쉬운 점 있으나 목표주가를 유지합니다</t>
  </si>
  <si>
    <t>85124</t>
  </si>
  <si>
    <t>오롯이 전달되는 조선업의 온기</t>
  </si>
  <si>
    <t>85123</t>
  </si>
  <si>
    <t>AI Driven 기업으로의 리레이팅 필요</t>
  </si>
  <si>
    <t>85122</t>
  </si>
  <si>
    <t>훈풍이 분다</t>
  </si>
  <si>
    <t>85121</t>
  </si>
  <si>
    <t>실적 정상화와 주주환원 강화</t>
  </si>
  <si>
    <t>85120</t>
  </si>
  <si>
    <t xml:space="preserve">2Q 기대치 상회, 6,500억원 증자 영향은 크진 않을 듯  </t>
  </si>
  <si>
    <t>85119</t>
  </si>
  <si>
    <t>마이크로 디스플레이 분야 강소기업</t>
  </si>
  <si>
    <t>85118</t>
  </si>
  <si>
    <t>2Q25 Preview: 실적으로 증명할 펀더멘털</t>
  </si>
  <si>
    <t>85117</t>
  </si>
  <si>
    <t>상반기 In Iine, 하반기 성장 둔화</t>
  </si>
  <si>
    <t>85116</t>
  </si>
  <si>
    <t>2분기 밋밋한 실적. DS 개선세는 지속될 것</t>
  </si>
  <si>
    <t>85115</t>
  </si>
  <si>
    <t>85114</t>
  </si>
  <si>
    <t>2Q25 Review: 주택 중심 이익 회복 본격화</t>
  </si>
  <si>
    <t>85113</t>
  </si>
  <si>
    <t>2Q25 리뷰: 질적 변화 기반 수익성 방어</t>
  </si>
  <si>
    <t>85112</t>
  </si>
  <si>
    <t>브레이크 없는 실적</t>
  </si>
  <si>
    <t>85111</t>
  </si>
  <si>
    <t>SK-On 회생에 모든 것을 걸고 있는 중</t>
  </si>
  <si>
    <t>85110</t>
  </si>
  <si>
    <t>클라우드·AI 기반 종합 IT서비스 기업</t>
  </si>
  <si>
    <t>85109</t>
  </si>
  <si>
    <t>052460</t>
  </si>
  <si>
    <t>아이크래프트</t>
  </si>
  <si>
    <t>네트워크 솔루션에서 AI 인프라 서비스까지 전문성을 보유한 기업</t>
  </si>
  <si>
    <t>85108</t>
  </si>
  <si>
    <t>스마트한 업무 환경을 위한 협업 시스템 제공</t>
  </si>
  <si>
    <t>85107</t>
  </si>
  <si>
    <t>376180</t>
  </si>
  <si>
    <t>피코그램</t>
  </si>
  <si>
    <t>소재(필터) 및 정수기 필터, 정수기 및 음식물처리기 개발 및 제조</t>
  </si>
  <si>
    <t>85106</t>
  </si>
  <si>
    <t>065170</t>
  </si>
  <si>
    <t>비엘팜텍</t>
  </si>
  <si>
    <t>건강식품과 체외진단기기 전문 바이오헬스 기업</t>
  </si>
  <si>
    <t>85105</t>
  </si>
  <si>
    <t>011370</t>
  </si>
  <si>
    <t>서한</t>
  </si>
  <si>
    <t>54년 신뢰를 바탕으로 100년 미래를 짓는 종합건설 기업</t>
  </si>
  <si>
    <t>85104</t>
  </si>
  <si>
    <t>084730</t>
  </si>
  <si>
    <t>팅크웨어</t>
  </si>
  <si>
    <t>블랙박스 기술을 기반으로 자율주행 시대에 대응하는 전장 솔루션 기업</t>
  </si>
  <si>
    <t>85103</t>
  </si>
  <si>
    <t>090360</t>
  </si>
  <si>
    <t>로보스타</t>
  </si>
  <si>
    <t>다양한 산업군의 공장 자동화를 위한 산업용 로봇 제조 및 System Engineering 구축</t>
  </si>
  <si>
    <t>85102</t>
  </si>
  <si>
    <t>198440</t>
  </si>
  <si>
    <t>강동씨앤엘</t>
  </si>
  <si>
    <t>고로슬래그 기반 친환경 시멘트 제조 전문기업, 레저사업으로의 영역 확장 중</t>
  </si>
  <si>
    <t>85101</t>
  </si>
  <si>
    <t>008370</t>
  </si>
  <si>
    <t>원풍</t>
  </si>
  <si>
    <t>친환경 고기능성 시트 기술을 기반으로 산업용 시트 시장을 선도하는 타포린 시트 전문기업</t>
  </si>
  <si>
    <t>85100</t>
  </si>
  <si>
    <t>AI Agent 시대의 차세대 카카오톡</t>
  </si>
  <si>
    <t>85099</t>
  </si>
  <si>
    <t>2025-07-31</t>
  </si>
  <si>
    <t>HBM3e 12단의 실적 개선 효과는 확인하고 판단하자</t>
  </si>
  <si>
    <t>85098</t>
  </si>
  <si>
    <t>지금 대구는 on FIRE</t>
  </si>
  <si>
    <t>85097</t>
  </si>
  <si>
    <t>목전에 둔 흑전과 신사업 노이즈 해소</t>
  </si>
  <si>
    <t>85096</t>
  </si>
  <si>
    <t>2Q25 Re: 하반기 명확한 성장을 기대</t>
  </si>
  <si>
    <t>85095</t>
  </si>
  <si>
    <t>성장과 수익성 개선 모두 초입 구간</t>
  </si>
  <si>
    <t>85094</t>
  </si>
  <si>
    <t>꾸준함이 매력</t>
  </si>
  <si>
    <t>85093</t>
  </si>
  <si>
    <t>혼란 속 냉정함이 투자 기회를 만든다</t>
  </si>
  <si>
    <t>85092</t>
  </si>
  <si>
    <t>2Q25 Review: 일회성은 많았지만 경상이익은 개선 중</t>
  </si>
  <si>
    <t>85091</t>
  </si>
  <si>
    <t>2Q25 Review; 일본 출시 마일스톤으로 증익 시현</t>
  </si>
  <si>
    <t>85090</t>
  </si>
  <si>
    <t>2Q25 Review: 유동성 수혜주는 키움이죠. 업종내 Top picks</t>
  </si>
  <si>
    <t>85089</t>
  </si>
  <si>
    <t>지금은 이중고이지만, 시간이 해결해 줄 것</t>
  </si>
  <si>
    <t>85088</t>
  </si>
  <si>
    <t>관세 대응으로 미국 내 판가 인상을 실행</t>
  </si>
  <si>
    <t>85087</t>
  </si>
  <si>
    <t>하반기는 숫자로 증명</t>
  </si>
  <si>
    <t>85086</t>
  </si>
  <si>
    <t>ECH 강세로 하반기 실적 개선 가시화</t>
  </si>
  <si>
    <t>85085</t>
  </si>
  <si>
    <t>쉬어 갈 하반기</t>
  </si>
  <si>
    <t>85084</t>
  </si>
  <si>
    <t>주가 조정 이후에 비중확대 기회 도래</t>
  </si>
  <si>
    <t>85083</t>
  </si>
  <si>
    <t>기저효과 감안하면 양호한 실적</t>
  </si>
  <si>
    <t>85082</t>
  </si>
  <si>
    <t>실적도 좋고 재료도 좋은데 이 가격이 말이 되나요</t>
  </si>
  <si>
    <t>85081</t>
  </si>
  <si>
    <t>추정치 부합, 하반기 게임 광고 수혜 기대</t>
  </si>
  <si>
    <t>85080</t>
  </si>
  <si>
    <t>추가로 1회성이 없기를 기대하며</t>
  </si>
  <si>
    <t>85079</t>
  </si>
  <si>
    <t>2025년 2분기 컨퍼런스 콜 요약</t>
  </si>
  <si>
    <t>85078</t>
  </si>
  <si>
    <t>2Q25 Re: 증시 호황이 이끈 호실적</t>
  </si>
  <si>
    <t>85077</t>
  </si>
  <si>
    <t xml:space="preserve">3분기 흑자전환 전망 </t>
  </si>
  <si>
    <t>85076</t>
  </si>
  <si>
    <t>[2Q25 Review] 지역별 판매 최적화와 관세 타결 여부가 중요</t>
  </si>
  <si>
    <t>85075</t>
  </si>
  <si>
    <t>[2Q25 Review] 연 내 CAPA 손실의 65% 만회 추진</t>
  </si>
  <si>
    <t>85074</t>
  </si>
  <si>
    <t>불확실성이 높은 태양광 사업</t>
  </si>
  <si>
    <t>85073</t>
  </si>
  <si>
    <t>수익성 개선 시점 지연</t>
  </si>
  <si>
    <t>85072</t>
  </si>
  <si>
    <t>NDR 후기: 불확실성 해소 전 미리 관심을 가져보자</t>
  </si>
  <si>
    <t>85071</t>
  </si>
  <si>
    <t>[2Q25 Review] 끝이 보이는 부진, 끝 모를 모멘텀</t>
  </si>
  <si>
    <t>85070</t>
  </si>
  <si>
    <t>일회성 이익 &gt; 손실</t>
  </si>
  <si>
    <t>85069</t>
  </si>
  <si>
    <t>기대 이상을 해주는 IB와 Trading</t>
  </si>
  <si>
    <t>85068</t>
  </si>
  <si>
    <t>2Q25 Review: 컨센 하회. 다만, 3Q 흑전 기대</t>
  </si>
  <si>
    <t>85067</t>
  </si>
  <si>
    <t>상반기보다 좋을 하반기</t>
  </si>
  <si>
    <t>85066</t>
  </si>
  <si>
    <t>예견된 상저하고의 실적 경로</t>
  </si>
  <si>
    <t>85065</t>
  </si>
  <si>
    <t>85064</t>
  </si>
  <si>
    <t xml:space="preserve">삼성전자 2Q25 컨퍼런스 콜 </t>
  </si>
  <si>
    <t>85063</t>
  </si>
  <si>
    <t>휴머노이드 시대를 준비하는 액추에이터 전문 업체</t>
  </si>
  <si>
    <t>85062</t>
  </si>
  <si>
    <t xml:space="preserve">앞으로는 핵심과 본질에 집중 </t>
  </si>
  <si>
    <t>85061</t>
  </si>
  <si>
    <t xml:space="preserve">Wag the Dog </t>
  </si>
  <si>
    <t>85060</t>
  </si>
  <si>
    <t>가까이 보면 부담, 멀리 보면 기회</t>
  </si>
  <si>
    <t>85059</t>
  </si>
  <si>
    <t xml:space="preserve">관세만 아니었다면, 확실한 우상향 </t>
  </si>
  <si>
    <t>85058</t>
  </si>
  <si>
    <t xml:space="preserve">주가도 실적도 변동성 대응 필수적 </t>
  </si>
  <si>
    <t>85057</t>
  </si>
  <si>
    <t>전 부문 실적 개선</t>
  </si>
  <si>
    <t>85056</t>
  </si>
  <si>
    <t>고수익 구조로 체질 개선 중</t>
  </si>
  <si>
    <t>85055</t>
  </si>
  <si>
    <t>수익성 개선에는 시간이 필요</t>
  </si>
  <si>
    <t>85054</t>
  </si>
  <si>
    <t>API 수출과 라이선스 수익이 이끈 서프라이즈</t>
  </si>
  <si>
    <t>85053</t>
  </si>
  <si>
    <t>건설 실적 부진과 반등 모색</t>
  </si>
  <si>
    <t>85052</t>
  </si>
  <si>
    <t>수입 열연 관세 예비 판정 확정, 긍정적 시황 변화 기대</t>
  </si>
  <si>
    <t>85051</t>
  </si>
  <si>
    <t xml:space="preserve">2Q review- 수익성 개선 지속 전망 </t>
  </si>
  <si>
    <t>85050</t>
  </si>
  <si>
    <t>2Q25 review - EU의 러시아 제재 강화로 수혜 전망</t>
  </si>
  <si>
    <t>85049</t>
  </si>
  <si>
    <t>양호한 실적, 순항 중인 성장 전략</t>
  </si>
  <si>
    <t>85048</t>
  </si>
  <si>
    <t>2Q25 review; 놀라운 수익성과 상향 조정된 공급 계획</t>
  </si>
  <si>
    <t>85047</t>
  </si>
  <si>
    <t>실적 정상화 확인, 하반기 실적과 모멘텀 모두 가시화</t>
  </si>
  <si>
    <t>85046</t>
  </si>
  <si>
    <t>비용 증가에 대한 의문이 커지는 시점</t>
  </si>
  <si>
    <t>85045</t>
  </si>
  <si>
    <t>사업 부문별 실적 온도차 극명</t>
  </si>
  <si>
    <t>85044</t>
  </si>
  <si>
    <t>레버리지 구간 진입. 역대 최대 실적 전망</t>
  </si>
  <si>
    <t>85043</t>
  </si>
  <si>
    <t>2Q25 Review: 하반기에 봐요</t>
  </si>
  <si>
    <t>85042</t>
  </si>
  <si>
    <t>지주사로의 가치 상승 반영 본격화</t>
  </si>
  <si>
    <t>85041</t>
  </si>
  <si>
    <t>주춤한 플랫폼</t>
  </si>
  <si>
    <t>85040</t>
  </si>
  <si>
    <t>IB 수수료 호조로 추정치 부합</t>
  </si>
  <si>
    <t>85039</t>
  </si>
  <si>
    <t>2Q25 Preview: 먹구름 지나간다</t>
  </si>
  <si>
    <t>85038</t>
  </si>
  <si>
    <t>높은 베타의 이유</t>
  </si>
  <si>
    <t>85037</t>
  </si>
  <si>
    <t>국내 유일한 ESS용 LFP 양극재 공급 업체</t>
  </si>
  <si>
    <t>85036</t>
  </si>
  <si>
    <t>흑자전환 시점 2027년 예상</t>
  </si>
  <si>
    <t>85035</t>
  </si>
  <si>
    <t>122990</t>
  </si>
  <si>
    <t>와이솔</t>
  </si>
  <si>
    <t>도전적인 환경</t>
  </si>
  <si>
    <t>85034</t>
  </si>
  <si>
    <t>AI 데이터센터향 MLCC 공급망 진입</t>
  </si>
  <si>
    <t>85033</t>
  </si>
  <si>
    <t>책임투자로 할인요인 완화</t>
  </si>
  <si>
    <t>85032</t>
  </si>
  <si>
    <t>중국 장비 셋업 지연, 시선은 PO 로</t>
  </si>
  <si>
    <t>85031</t>
  </si>
  <si>
    <t>혼란스러운 2Q25 실적, 3Q부터 경상 마진 기대</t>
  </si>
  <si>
    <t>85030</t>
  </si>
  <si>
    <t>2Q25 Re: 기대할 것이 많은 하반기</t>
  </si>
  <si>
    <t>85029</t>
  </si>
  <si>
    <t>느리지만 개선 중</t>
  </si>
  <si>
    <t>85028</t>
  </si>
  <si>
    <t>출하량 반등, 수익성 회복 모색 중</t>
  </si>
  <si>
    <t>85027</t>
  </si>
  <si>
    <t>좋은데 비싸다</t>
  </si>
  <si>
    <t>85026</t>
  </si>
  <si>
    <t>묻혀버린 실적 서프라이즈</t>
  </si>
  <si>
    <t>85025</t>
  </si>
  <si>
    <t>2Q25 Review: 총알 모으는 중</t>
  </si>
  <si>
    <t>85024</t>
  </si>
  <si>
    <t>Golden 매수 타이밍</t>
  </si>
  <si>
    <t>85023</t>
  </si>
  <si>
    <t>방향성은 아래보다 위</t>
  </si>
  <si>
    <t>85022</t>
  </si>
  <si>
    <t>가이던스 하향 조정</t>
  </si>
  <si>
    <t>85021</t>
  </si>
  <si>
    <t>결국 반신반의했던 것에 대한 씁쓸한 실망</t>
  </si>
  <si>
    <t>85020</t>
  </si>
  <si>
    <t>탐방 노트: Medtronic과 함께 날아오르는 지혈재</t>
  </si>
  <si>
    <t>85019</t>
  </si>
  <si>
    <t>리밸런싱 승부수</t>
  </si>
  <si>
    <t>85018</t>
  </si>
  <si>
    <t>하반기 모멘텀 둔화</t>
  </si>
  <si>
    <t>85017</t>
  </si>
  <si>
    <t>나 혼자만 레벨업</t>
  </si>
  <si>
    <t>85016</t>
  </si>
  <si>
    <t>그래도 반등하는 중</t>
  </si>
  <si>
    <t>85015</t>
  </si>
  <si>
    <t>ECH 턴어라운드 가시화</t>
  </si>
  <si>
    <t>85014</t>
  </si>
  <si>
    <t>NDR후기: 고압차단기 가세, 증설 대응</t>
  </si>
  <si>
    <t>85013</t>
  </si>
  <si>
    <t>관세 전가율과 체코 공장 가동률이 2H 실적 변수</t>
  </si>
  <si>
    <t>85012</t>
  </si>
  <si>
    <t>2Q25 Review: 실적은 아쉽지만 불확실성 축소</t>
  </si>
  <si>
    <t>85011</t>
  </si>
  <si>
    <t>2Q25 Review: 오랜만의 대박 실적</t>
  </si>
  <si>
    <t>85010</t>
  </si>
  <si>
    <t>단기 실적보단 모멘텀 발생 여부에 초점</t>
  </si>
  <si>
    <t>85009</t>
  </si>
  <si>
    <t>힘들게 버틴 2Q, 연간 가이던스 하향 리스크에 유의</t>
  </si>
  <si>
    <t>85008</t>
  </si>
  <si>
    <t>수주 코멘트: ESS 수주 기대감 확대 속, 유의미한 고객사 확보는 고무적</t>
  </si>
  <si>
    <t>85007</t>
  </si>
  <si>
    <t>ECH 적자 축소로 하반기 이익 큰 폭 증가</t>
  </si>
  <si>
    <t>85006</t>
  </si>
  <si>
    <t>최악의 구간을 지나, 하반기 실적 개선 기대</t>
  </si>
  <si>
    <t>85005</t>
  </si>
  <si>
    <t>이익 개선 고려할 때 저평가</t>
  </si>
  <si>
    <t>85004</t>
  </si>
  <si>
    <t>AI 시대, 필수가 된 사이버 보안 투자</t>
  </si>
  <si>
    <t>85003</t>
  </si>
  <si>
    <t>마일스톤 유입과 원료 공급 증가로 상회</t>
  </si>
  <si>
    <t>85002</t>
  </si>
  <si>
    <t>이슈가 많았던 2분기, 마지막 이슈인 GS이니마</t>
  </si>
  <si>
    <t>85001</t>
  </si>
  <si>
    <t>분명 나쁜 내용은 아니어도 또 주가 내리면 we buy it</t>
  </si>
  <si>
    <t>85000</t>
  </si>
  <si>
    <t>인수효과와 업황 개선 기대</t>
  </si>
  <si>
    <t>84999</t>
  </si>
  <si>
    <t>이제 실력은 실적으로 확인하자</t>
  </si>
  <si>
    <t>84998</t>
  </si>
  <si>
    <t xml:space="preserve">2Q25 Review: 많은 것이 정리되었다 </t>
  </si>
  <si>
    <t>84997</t>
  </si>
  <si>
    <t>26년 매출액 상향 조정. 이익이 관건</t>
  </si>
  <si>
    <t>84996</t>
  </si>
  <si>
    <t>회복의 흐름. 마진 개선은 과제</t>
  </si>
  <si>
    <t>84995</t>
  </si>
  <si>
    <t>진흙 속의 연꽃</t>
  </si>
  <si>
    <t>84994</t>
  </si>
  <si>
    <t>2025-07-30</t>
  </si>
  <si>
    <t>강화되는 수주 성장성 &gt;&gt; 가이던스 하향</t>
  </si>
  <si>
    <t>84993</t>
  </si>
  <si>
    <t>기부경제선물 성장세 둔화 본격화</t>
  </si>
  <si>
    <t>84992</t>
  </si>
  <si>
    <t>일회성 비용으로 기대치 하회</t>
  </si>
  <si>
    <t>84991</t>
  </si>
  <si>
    <t>시작은 확인, 이제는 성장으로 진행!</t>
  </si>
  <si>
    <t>84990</t>
  </si>
  <si>
    <t>삼성전자&amp;테슬라의 성공은 삼성전기가 책임진다</t>
  </si>
  <si>
    <t>84989</t>
  </si>
  <si>
    <t>수익성 실속 챙기기</t>
  </si>
  <si>
    <t>84988</t>
  </si>
  <si>
    <t>하반기 펍지 지속 강세 전망</t>
  </si>
  <si>
    <t>84987</t>
  </si>
  <si>
    <t>늘어난 인고의 시간</t>
  </si>
  <si>
    <t>84986</t>
  </si>
  <si>
    <t>필리 적자 확대, 그럼에도 26년 성장에 주목</t>
  </si>
  <si>
    <t>84985</t>
  </si>
  <si>
    <t>방향은 옳고 속도도 온트랙</t>
  </si>
  <si>
    <t>84984</t>
  </si>
  <si>
    <t>전반적인 주류 시장 침체, 하반기를 기대</t>
  </si>
  <si>
    <t>84983</t>
  </si>
  <si>
    <t>2Q25 Review: 시장예상치 하회</t>
  </si>
  <si>
    <t>84982</t>
  </si>
  <si>
    <t>단기 턴어라운드 시작으로 중장기 성장 모멘텀 축적될 시기</t>
  </si>
  <si>
    <t>84981</t>
  </si>
  <si>
    <t>2Q25 Review: 일회성 비용은 있었지만 주택 마진은 개선</t>
  </si>
  <si>
    <t>84980</t>
  </si>
  <si>
    <t>높았던 눈높이, 분명한 호실적</t>
  </si>
  <si>
    <t>84979</t>
  </si>
  <si>
    <t>하반기 실적 개선 가속화</t>
  </si>
  <si>
    <t>84978</t>
  </si>
  <si>
    <t>1회성 비용 제외 시 특이사항 없음</t>
  </si>
  <si>
    <t>84977</t>
  </si>
  <si>
    <t>개선된 주택마진과 지속하는 영업외비용</t>
  </si>
  <si>
    <t>84976</t>
  </si>
  <si>
    <t>빠르게 개선된 상선 수익성</t>
  </si>
  <si>
    <t>84975</t>
  </si>
  <si>
    <t>과거 오리온의 선례 복기</t>
  </si>
  <si>
    <t>84974</t>
  </si>
  <si>
    <t>특허로 트집 잡기 그만, 중요한 것은 OHPAS다</t>
  </si>
  <si>
    <t>84973</t>
  </si>
  <si>
    <t>수익화 모델 정점, 그 이상을 기대</t>
  </si>
  <si>
    <t>84972</t>
  </si>
  <si>
    <t>[2Q25 Review] 예견된 성장통, 더 강해질 필리</t>
  </si>
  <si>
    <t>84971</t>
  </si>
  <si>
    <t>주택 공급도, 마진도 상향</t>
  </si>
  <si>
    <t>84970</t>
  </si>
  <si>
    <t>우려는 조금, 기대는 많이</t>
  </si>
  <si>
    <t>84969</t>
  </si>
  <si>
    <t>2Q25 Review: 일회성 빼도 대만족</t>
  </si>
  <si>
    <t>84968</t>
  </si>
  <si>
    <t>자체사업 GPM 38.4%</t>
  </si>
  <si>
    <t>84967</t>
  </si>
  <si>
    <t>주택/건축 개선 vs 일회성 비용</t>
  </si>
  <si>
    <t>84966</t>
  </si>
  <si>
    <t>2분기 실적 부진, 녹록치 않은 업황</t>
  </si>
  <si>
    <t>84965</t>
  </si>
  <si>
    <t>실적은 아쉽지만 투자포인트는 유효</t>
  </si>
  <si>
    <t>84964</t>
  </si>
  <si>
    <t>남들보다 빠르게</t>
  </si>
  <si>
    <t>84963</t>
  </si>
  <si>
    <t>2Q25P Review: 일본 R사 고객 확보</t>
  </si>
  <si>
    <t>84962</t>
  </si>
  <si>
    <t>예상보다 좋았던 매출 vs. 많았던 비용</t>
  </si>
  <si>
    <t>84961</t>
  </si>
  <si>
    <t>상선 부문의 놀라운 성장세</t>
  </si>
  <si>
    <t>84960</t>
  </si>
  <si>
    <t>2Q25: 실적이 깡패인데, 미국과 북극도 있다</t>
  </si>
  <si>
    <t>84959</t>
  </si>
  <si>
    <t>단기 실적보다 멀리 볼 필요</t>
  </si>
  <si>
    <t>84958</t>
  </si>
  <si>
    <t>언젠간 한 번쯤은 돌아봐 주겠죠</t>
  </si>
  <si>
    <t>84957</t>
  </si>
  <si>
    <t>더욱 중요해진 PUBG 트래픽</t>
  </si>
  <si>
    <t>84956</t>
  </si>
  <si>
    <t>PKG 8600억원+MLB 6400억원</t>
  </si>
  <si>
    <t>84955</t>
  </si>
  <si>
    <t>아쉬워진 신작 모멘텀</t>
  </si>
  <si>
    <t>84954</t>
  </si>
  <si>
    <t>컨센 하회에도 웃을 수 있는 이유</t>
  </si>
  <si>
    <t>84953</t>
  </si>
  <si>
    <t>관세협상 이면에 글로벌 축산 공급망 재편 있다</t>
  </si>
  <si>
    <t>84952</t>
  </si>
  <si>
    <t>2분기 1회성? 아니 펀더멘탈 회복 구간</t>
  </si>
  <si>
    <t>84951</t>
  </si>
  <si>
    <t>부진한 실적에도 하반기 기대할 만한 요인들</t>
  </si>
  <si>
    <t>84950</t>
  </si>
  <si>
    <t>환율 하락에도 서프라이즈 시현</t>
  </si>
  <si>
    <t>84949</t>
  </si>
  <si>
    <t>하반기는 더 좋아진다</t>
  </si>
  <si>
    <t>84948</t>
  </si>
  <si>
    <t>2Q25 Re 서프라이즈 대열 동참</t>
  </si>
  <si>
    <t>84947</t>
  </si>
  <si>
    <t>2Q25 Re 무난한 실적, 편안한 사업</t>
  </si>
  <si>
    <t>84946</t>
  </si>
  <si>
    <t>계절성 타며 기다리는 2분기</t>
  </si>
  <si>
    <t>84945</t>
  </si>
  <si>
    <t>높아진 고객사 재고 부담</t>
  </si>
  <si>
    <t>84944</t>
  </si>
  <si>
    <t>'메가패스'로 온라인 입시 시장에서 독보적인 기업</t>
  </si>
  <si>
    <t>84943</t>
  </si>
  <si>
    <t>2Q24 Review: 믹스 개선에 따른 주택 마진 레벨업</t>
  </si>
  <si>
    <t>84942</t>
  </si>
  <si>
    <t>2025-07-29</t>
  </si>
  <si>
    <t>증설제약 환경에서 스펙 상향 &amp; 가동률 개선 (2Q25 실적발표 요약)</t>
  </si>
  <si>
    <t>84941</t>
  </si>
  <si>
    <t>일회성 손익 제거 시 무난한 실적</t>
  </si>
  <si>
    <t>84940</t>
  </si>
  <si>
    <t>분기 최대 이익 시현</t>
  </si>
  <si>
    <t>84939</t>
  </si>
  <si>
    <t>2Q25 Review: 자사주 매입&amp;소각을 통한 주주환원 기대</t>
  </si>
  <si>
    <t>84938</t>
  </si>
  <si>
    <t>올해 115% 증익 전망. 명약관화해진 턴어라운드 스토리</t>
  </si>
  <si>
    <t>84937</t>
  </si>
  <si>
    <t>주가로 보면 차라리 잘 되었습니다.</t>
  </si>
  <si>
    <t>84936</t>
  </si>
  <si>
    <t>계열 증권사의 정상화 지속</t>
  </si>
  <si>
    <t>84935</t>
  </si>
  <si>
    <t>눈에 보이기 시작한 실적 개선</t>
  </si>
  <si>
    <t>84934</t>
  </si>
  <si>
    <t>하반기를 위한 포석</t>
  </si>
  <si>
    <t>84933</t>
  </si>
  <si>
    <t>보안도 실적도 안심</t>
  </si>
  <si>
    <t>84932</t>
  </si>
  <si>
    <t>올리고 성장 가시화, 하반기 모멘텀 풍부</t>
  </si>
  <si>
    <t>84931</t>
  </si>
  <si>
    <t xml:space="preserve">지분법 이익 증가로 깜짝 실적 </t>
  </si>
  <si>
    <t>84930</t>
  </si>
  <si>
    <t>일희일비할 필요 없이 보면 됩니다</t>
  </si>
  <si>
    <t>84929</t>
  </si>
  <si>
    <t xml:space="preserve">Top Pick 의견 유지 </t>
  </si>
  <si>
    <t>84928</t>
  </si>
  <si>
    <t>삼성 피벗(?), 시작이 반이다</t>
  </si>
  <si>
    <t>84927</t>
  </si>
  <si>
    <t>주주환원 목표 조기 달성 기대</t>
  </si>
  <si>
    <t>84926</t>
  </si>
  <si>
    <t>시작이 반이다 → 향후 3년안에 미국에서 100대 판매</t>
  </si>
  <si>
    <t>84925</t>
  </si>
  <si>
    <t>2분기 실적이 만들어낼 나비효과</t>
  </si>
  <si>
    <t>84924</t>
  </si>
  <si>
    <t>대표이사 간담회 요약</t>
  </si>
  <si>
    <t>84923</t>
  </si>
  <si>
    <t>2Q25 잠정실적: 방산이 초든든</t>
  </si>
  <si>
    <t>84922</t>
  </si>
  <si>
    <t>반도체 위탁 생산 공급 계약 공시</t>
  </si>
  <si>
    <t>84921</t>
  </si>
  <si>
    <t xml:space="preserve">iM금융지주 2Q25 실적 Comment: 정상화된 이익 확인 </t>
  </si>
  <si>
    <t>84920</t>
  </si>
  <si>
    <t>2분기 실적 쇼크보다는 호텔 가치 상승에 주목</t>
  </si>
  <si>
    <t>84919</t>
  </si>
  <si>
    <t>2분기 부진에도 긍정적인 이유</t>
  </si>
  <si>
    <t>84918</t>
  </si>
  <si>
    <t>실적 회복이 이끄는 주가 정상화</t>
  </si>
  <si>
    <t>84917</t>
  </si>
  <si>
    <t>실적은 기대치 상회, 로보틱스는 톤 다운</t>
  </si>
  <si>
    <t>84916</t>
  </si>
  <si>
    <t>2Q25 Re 시작되는 이익률 상승</t>
  </si>
  <si>
    <t>84915</t>
  </si>
  <si>
    <t>실적 안정화와 자기주식 매입소각 확대</t>
  </si>
  <si>
    <t>84914</t>
  </si>
  <si>
    <t>바닥 딛고, 흑자전환을 향해</t>
  </si>
  <si>
    <t>84913</t>
  </si>
  <si>
    <t>실감 콘텐츠와 드라마 제작으로 사업 확장 중</t>
  </si>
  <si>
    <t>84912</t>
  </si>
  <si>
    <t>"Yes" stronger than "Approved"</t>
  </si>
  <si>
    <t>84911</t>
  </si>
  <si>
    <t>ESS 영업이익률 20%. 사업가치 40조원</t>
  </si>
  <si>
    <t>84910</t>
  </si>
  <si>
    <t>2025-07-28</t>
  </si>
  <si>
    <t xml:space="preserve">2Q25 Re: ‘26년 턴어라운드 가능성 확인 </t>
  </si>
  <si>
    <t>84909</t>
  </si>
  <si>
    <t>어려운 환경 속 빛날 다변화된 거점</t>
  </si>
  <si>
    <t>84908</t>
  </si>
  <si>
    <t>Capex 상향이 의미하는 것</t>
  </si>
  <si>
    <t>84907</t>
  </si>
  <si>
    <t>다시 찾아온 2차 리레이팅의 전조</t>
  </si>
  <si>
    <t>84906</t>
  </si>
  <si>
    <t>2Q25 Review: 더, 더, 더 할 수 있다</t>
  </si>
  <si>
    <t>84905</t>
  </si>
  <si>
    <t>2Q25 Review: 의심의 여지가 없는 단단함</t>
  </si>
  <si>
    <t>84904</t>
  </si>
  <si>
    <t>2Q25 NDR Review: 펼쳐진 답안지</t>
  </si>
  <si>
    <t>84903</t>
  </si>
  <si>
    <t>2Q25 Review: 불확실성이 큰 상황, 다만 싼 것도 맞다</t>
  </si>
  <si>
    <t>84902</t>
  </si>
  <si>
    <t>2Q25 Review: 자체사업의 높은 수익성</t>
  </si>
  <si>
    <t>84901</t>
  </si>
  <si>
    <t>2Q25 Review: 주춤한 실적 속, 하반기 개선 기대감은 여전히 유효</t>
  </si>
  <si>
    <t>84900</t>
  </si>
  <si>
    <t>2Q25 Review: 향후 비은행 자회사들과의 시너지 효과 기대</t>
  </si>
  <si>
    <t>84899</t>
  </si>
  <si>
    <t>2Q25 Review: 속도감 있는 주주환원, 긍정적</t>
  </si>
  <si>
    <t>84898</t>
  </si>
  <si>
    <t>2Q25 Review: 견조한 이익, 기대되는 배당</t>
  </si>
  <si>
    <t>84897</t>
  </si>
  <si>
    <t>유기실리콘, 회복 탄력성 강해질 전망</t>
  </si>
  <si>
    <t>84896</t>
  </si>
  <si>
    <t>하반기에도 가파른 성장세 전망</t>
  </si>
  <si>
    <t>84895</t>
  </si>
  <si>
    <t>소비심리 회복이 필요</t>
  </si>
  <si>
    <t>84894</t>
  </si>
  <si>
    <t>2Q25 Re, 매출 감소 우려에도 개선된 이익률로 선방</t>
  </si>
  <si>
    <t>84893</t>
  </si>
  <si>
    <t>기대이상의 2분기 영업실적, 앞으로도 기대!</t>
  </si>
  <si>
    <t>84892</t>
  </si>
  <si>
    <t>일회성 비용에도 분기 최대 이익 달성</t>
  </si>
  <si>
    <t>84891</t>
  </si>
  <si>
    <t>북미 수주 기대감</t>
  </si>
  <si>
    <t>84890</t>
  </si>
  <si>
    <t>여백이 부족하여</t>
  </si>
  <si>
    <t>84889</t>
  </si>
  <si>
    <t>실적과 주주환원 모두 예상대로 순항 중</t>
  </si>
  <si>
    <t>84888</t>
  </si>
  <si>
    <t>실적은 내용상 밋밋했지만 CET 1 비율 상승 폭은 고무적</t>
  </si>
  <si>
    <t>84887</t>
  </si>
  <si>
    <t>부족함 없는 흠 잡을 곳 없는 실적. 업종 최선호주 제시</t>
  </si>
  <si>
    <t>84886</t>
  </si>
  <si>
    <t>2Q25Re: 하반기로 갈수록 반영될 모멘텀</t>
  </si>
  <si>
    <t>84885</t>
  </si>
  <si>
    <t>친환경차 라인업 확대</t>
  </si>
  <si>
    <t>84884</t>
  </si>
  <si>
    <t>전장 제품을 타고 달립니다</t>
  </si>
  <si>
    <t>84883</t>
  </si>
  <si>
    <t>선택과 집중의 기조 속에서 수주 증가</t>
  </si>
  <si>
    <t>84882</t>
  </si>
  <si>
    <t>체질 개선으로 밸류업</t>
  </si>
  <si>
    <t>84881</t>
  </si>
  <si>
    <t>Worst를 벗어날 촉매가 발생하면 즉각 회복 가능</t>
  </si>
  <si>
    <t>84880</t>
  </si>
  <si>
    <t>2년만의 이익 추정치 상향 구간</t>
  </si>
  <si>
    <t>84879</t>
  </si>
  <si>
    <t>84878</t>
  </si>
  <si>
    <t>관세 전쟁 속 미국향 수출 20% 급증</t>
  </si>
  <si>
    <t>84877</t>
  </si>
  <si>
    <t>어떻게든 해내는 중</t>
  </si>
  <si>
    <t>84876</t>
  </si>
  <si>
    <t>[2Q25 Review] 하반기 큰 폭 개선</t>
  </si>
  <si>
    <t>84875</t>
  </si>
  <si>
    <t>[2Q25 Review] 치킨 게임 국면에서 미국 M/S 확대 도전</t>
  </si>
  <si>
    <t>84874</t>
  </si>
  <si>
    <t>환호할 만한 주주환원 확대</t>
  </si>
  <si>
    <t>84873</t>
  </si>
  <si>
    <t>3번째 자사주도 기대</t>
  </si>
  <si>
    <t>84872</t>
  </si>
  <si>
    <t>[2Q25 Review] 차량부품 매출 증가세 전환, ’26년은 HEV엔진으로 확장</t>
  </si>
  <si>
    <t>84871</t>
  </si>
  <si>
    <t>[2Q25 Review] 현지 전동화 효과 확인, 예상 대비 높은 관세 영향은 관건</t>
  </si>
  <si>
    <t>84870</t>
  </si>
  <si>
    <t>[2Q25 Review] 진짜, 진짜예요</t>
  </si>
  <si>
    <t>84869</t>
  </si>
  <si>
    <t>ESS, 난제 해결 실마리로 부각</t>
  </si>
  <si>
    <t>84868</t>
  </si>
  <si>
    <t>2Q25 Review: 컨센서스 대비 상회하는 실적 기록</t>
  </si>
  <si>
    <t>84867</t>
  </si>
  <si>
    <t>앞으로의 성장이 더 기대된다</t>
  </si>
  <si>
    <t>84866</t>
  </si>
  <si>
    <t>2Q25Re: 컨센서스에 부합</t>
  </si>
  <si>
    <t>84865</t>
  </si>
  <si>
    <t>기대 이상의 외형성장</t>
  </si>
  <si>
    <t>84864</t>
  </si>
  <si>
    <t>황제주의 질주, 멈출 이유가 없다</t>
  </si>
  <si>
    <t>84863</t>
  </si>
  <si>
    <t xml:space="preserve">개선된 후판, 개선될 봉형강 </t>
  </si>
  <si>
    <t>84862</t>
  </si>
  <si>
    <t>실적은 회복세, 하반기 R&amp;D 모멘텀 주목</t>
  </si>
  <si>
    <t>84861</t>
  </si>
  <si>
    <t>면세점 업황 개선 속도 더디더라도 방향은 제대로</t>
  </si>
  <si>
    <t>84860</t>
  </si>
  <si>
    <t>원전/가스 이외 국내 해상풍력/양수발전에서도 훈풍</t>
  </si>
  <si>
    <t>84859</t>
  </si>
  <si>
    <t>주가 하방 우려 제한적이나, 실적 둔화 가능성 경계필요</t>
  </si>
  <si>
    <t>84858</t>
  </si>
  <si>
    <t>2025년은 방산, 2026년은 본업을 기대하며</t>
  </si>
  <si>
    <t>84857</t>
  </si>
  <si>
    <t>하락우려보다는 상승여력에 대한 고민 필요</t>
  </si>
  <si>
    <t>84856</t>
  </si>
  <si>
    <t>지금 주가에 수주 모멘텀만 더해진다면</t>
  </si>
  <si>
    <t>84855</t>
  </si>
  <si>
    <t>주택사업 성공적</t>
  </si>
  <si>
    <t>84854</t>
  </si>
  <si>
    <t>84853</t>
  </si>
  <si>
    <t>84852</t>
  </si>
  <si>
    <t>손익개선은 이어지나, 하반기는 여전히 불편</t>
  </si>
  <si>
    <t>84851</t>
  </si>
  <si>
    <t>관세비용에도 불구하고 양호한 실적</t>
  </si>
  <si>
    <t>84850</t>
  </si>
  <si>
    <t>2Q25 리뷰: 제조 부문 흑자, 안정적인 A/S</t>
  </si>
  <si>
    <t>84849</t>
  </si>
  <si>
    <t>2Q25 리뷰: 양호한 실적, 고객사 판매 주목</t>
  </si>
  <si>
    <t>84848</t>
  </si>
  <si>
    <t>글로벌 스윙생산체계로 관세 영향 방어</t>
  </si>
  <si>
    <t>84847</t>
  </si>
  <si>
    <t>중국 폐쇄 + REPowerEU</t>
  </si>
  <si>
    <t>84846</t>
  </si>
  <si>
    <t>2Q25P Review: 매출 하회, 이익 부합</t>
  </si>
  <si>
    <t>84845</t>
  </si>
  <si>
    <t>2Q25P Review: 심화되는 불확실성, 매력적인 가격</t>
  </si>
  <si>
    <t>84844</t>
  </si>
  <si>
    <t>ESS로 EV의 공백을 최소화</t>
  </si>
  <si>
    <t>84843</t>
  </si>
  <si>
    <t>2Q25 리뷰: 관세 영향, 유럽 전기차 주목</t>
  </si>
  <si>
    <t>84842</t>
  </si>
  <si>
    <t>수익성 하락보다는 MS 확대가 긍정적</t>
  </si>
  <si>
    <t>84841</t>
  </si>
  <si>
    <t>미국 ESS 시장에서 중국 퇴출 가능성 확대</t>
  </si>
  <si>
    <t>84840</t>
  </si>
  <si>
    <t>EV down, ESS up</t>
  </si>
  <si>
    <t>84839</t>
  </si>
  <si>
    <t>기대에 미치지 못하는 주주환원</t>
  </si>
  <si>
    <t>84838</t>
  </si>
  <si>
    <t>북미전동화 공장의 흑전과 고성장</t>
  </si>
  <si>
    <t>84837</t>
  </si>
  <si>
    <t>2Q25 Review: 관세를 넘어선 펀더멘탈 개선</t>
  </si>
  <si>
    <t>84836</t>
  </si>
  <si>
    <t>독보적 성과</t>
  </si>
  <si>
    <t>84835</t>
  </si>
  <si>
    <t xml:space="preserve">2Q25P Review: 모멘텀이 필요하다  </t>
  </si>
  <si>
    <t>84834</t>
  </si>
  <si>
    <t>주주환원율 50% 근접</t>
  </si>
  <si>
    <t>84833</t>
  </si>
  <si>
    <t>2Q25 Review:북미 시장 구조적 성장으로 관세 영향 극복</t>
  </si>
  <si>
    <t>84832</t>
  </si>
  <si>
    <t>AMPC 수취 본격화</t>
  </si>
  <si>
    <t>84831</t>
  </si>
  <si>
    <t>본업 턴어라운드 + 배터리팩 신사업 본격화</t>
  </si>
  <si>
    <t>84830</t>
  </si>
  <si>
    <t>선수요 발생과 관세 영향 본격화</t>
  </si>
  <si>
    <t>84829</t>
  </si>
  <si>
    <t>2Q25 Review: 하반기 관세 대응 역량 입증이 관건</t>
  </si>
  <si>
    <t>84828</t>
  </si>
  <si>
    <t>의심에서 확신으로</t>
  </si>
  <si>
    <t>84827</t>
  </si>
  <si>
    <t>군산 조선소가 MRO 전용 야드로 재편되면 세진중공업도 수혜다?</t>
  </si>
  <si>
    <t>84826</t>
  </si>
  <si>
    <t>PBR 0.6배에 담겨 있는 관세 걱정</t>
  </si>
  <si>
    <t>84825</t>
  </si>
  <si>
    <t>2Q25 Review: 판관비 효율화로 수익성 개선</t>
  </si>
  <si>
    <t>84824</t>
  </si>
  <si>
    <t>흔들림 없는 실적, 내 갈 길을 간다</t>
  </si>
  <si>
    <t>84823</t>
  </si>
  <si>
    <t>SOFC 공장 완공으로 사업 영역 확장</t>
  </si>
  <si>
    <t>84822</t>
  </si>
  <si>
    <t>2Q25 Review: 3분기가 기대되는 실적</t>
  </si>
  <si>
    <t>84821</t>
  </si>
  <si>
    <t>2Q25 Re 전력 이익률 상승 본격화</t>
  </si>
  <si>
    <t>84820</t>
  </si>
  <si>
    <t>2Q25 Re 쉬어 가지만 여유 있는 기다림</t>
  </si>
  <si>
    <t>84819</t>
  </si>
  <si>
    <t>One quarter more</t>
  </si>
  <si>
    <t>84818</t>
  </si>
  <si>
    <t>지나치기 어려운 너무나도 좋은 가성비</t>
  </si>
  <si>
    <t>84817</t>
  </si>
  <si>
    <t>2분기 둔화된 계절성. 3분기 낮아진 수익성</t>
  </si>
  <si>
    <t>84816</t>
  </si>
  <si>
    <t>어려울 때 돋보이는 경쟁력</t>
  </si>
  <si>
    <t>84815</t>
  </si>
  <si>
    <t>점점 더 확실해지는 실적 성장성</t>
  </si>
  <si>
    <t>84814</t>
  </si>
  <si>
    <t>IR 後記: 뇌수술용로봇 글로벌 진출 원년</t>
  </si>
  <si>
    <t>84813</t>
  </si>
  <si>
    <t>2Q25P Review: 높은 배당수익률 기대</t>
  </si>
  <si>
    <t>84812</t>
  </si>
  <si>
    <t>괄목할만한 CET1비율 개선</t>
  </si>
  <si>
    <t>84811</t>
  </si>
  <si>
    <t>펀더멘탈 이상무</t>
  </si>
  <si>
    <t>84810</t>
  </si>
  <si>
    <t>MS의 돌파구 필요</t>
  </si>
  <si>
    <t>84809</t>
  </si>
  <si>
    <t>오버행 리스크 주의보</t>
  </si>
  <si>
    <t>84808</t>
  </si>
  <si>
    <t>84807</t>
  </si>
  <si>
    <t>사업 경쟁력 vs 관세 우려</t>
  </si>
  <si>
    <t>84806</t>
  </si>
  <si>
    <t>관세 폭풍 속에 빛난 회복탄력성</t>
  </si>
  <si>
    <t>84805</t>
  </si>
  <si>
    <t>돈이 되는 BDC 및 AI → 성장의 마중물 역할</t>
  </si>
  <si>
    <t>84804</t>
  </si>
  <si>
    <t>관세로 꺾인 이익. 하반기 체질 개선이 반등 열쇠</t>
  </si>
  <si>
    <t>84803</t>
  </si>
  <si>
    <t>2Q25 Re: 다음 시세 분출을 위한 동력 준비 완료</t>
  </si>
  <si>
    <t>84802</t>
  </si>
  <si>
    <t>가스로 실적개선, 원전으로 성장성 가속화</t>
  </si>
  <si>
    <t>84801</t>
  </si>
  <si>
    <t>상법개정으로 지배구조 개선되면서 동사 수혜</t>
  </si>
  <si>
    <t>84800</t>
  </si>
  <si>
    <t>AI 수요 증가 및 상법개정 수혜</t>
  </si>
  <si>
    <t>84799</t>
  </si>
  <si>
    <t>유가 급락 효과 소멸로 상저하고 전망</t>
  </si>
  <si>
    <t>84798</t>
  </si>
  <si>
    <t>2Q25 Re: 추세의 변곡점에서 필요한 한 가지</t>
  </si>
  <si>
    <t>84797</t>
  </si>
  <si>
    <t>일시적 요인 반영, 개선될 하반기</t>
  </si>
  <si>
    <t>84795</t>
  </si>
  <si>
    <t>4분기 추가 자사주 매입 기대</t>
  </si>
  <si>
    <t>84794</t>
  </si>
  <si>
    <t>빠르게 올라오는 자본비율</t>
  </si>
  <si>
    <t>84793</t>
  </si>
  <si>
    <t>예상보다 높은 아이파크의 수익성</t>
  </si>
  <si>
    <t>84792</t>
  </si>
  <si>
    <t>관세 불확실성 영향</t>
  </si>
  <si>
    <t>84791</t>
  </si>
  <si>
    <t>2H25 강화될 AI 모멘텀 주목</t>
  </si>
  <si>
    <t>84790</t>
  </si>
  <si>
    <t>2Q25 Review: 안정적 본업 기반 수익성 개선</t>
  </si>
  <si>
    <t>84789</t>
  </si>
  <si>
    <t>중복상장 리스크 해소, 멀티플 정상화 전망</t>
  </si>
  <si>
    <t>84788</t>
  </si>
  <si>
    <t>단기 수요 불확실성 속, ESS 기대감은 확대</t>
  </si>
  <si>
    <t>84787</t>
  </si>
  <si>
    <t>분기 최대 실적, 비은행 강화 중</t>
  </si>
  <si>
    <t>84786</t>
  </si>
  <si>
    <t>상반기 누적 최대 실적, 주주환원율 상향</t>
  </si>
  <si>
    <t>84785</t>
  </si>
  <si>
    <t>Don’t look back in anger</t>
  </si>
  <si>
    <t>84784</t>
  </si>
  <si>
    <t>최대 실적 기록 중, 추가 주주환원 기대</t>
  </si>
  <si>
    <t>84783</t>
  </si>
  <si>
    <t>연간 그림은 바뀌지 않았다</t>
  </si>
  <si>
    <t>84782</t>
  </si>
  <si>
    <t>NDR 후기: “블로잉”에 이은 “블룸앤그립” 기술</t>
  </si>
  <si>
    <t>84781</t>
  </si>
  <si>
    <t>이제는 손에 잡히는 하반기 턴어라운드</t>
  </si>
  <si>
    <t>84780</t>
  </si>
  <si>
    <t>2025-07-25</t>
  </si>
  <si>
    <t>거를 타선이 없다</t>
  </si>
  <si>
    <t>84779</t>
  </si>
  <si>
    <t>데이터센터 수주는 나의 힘</t>
  </si>
  <si>
    <t>84778</t>
  </si>
  <si>
    <t>높아지는 AX수요에 따른 수혜 전망</t>
  </si>
  <si>
    <t>84777</t>
  </si>
  <si>
    <t xml:space="preserve">2Q25 Re: 외형성장을 위한 시간, 수익성 조정 중 </t>
  </si>
  <si>
    <t>84776</t>
  </si>
  <si>
    <t>외부 변수에도 무너지지 않는 성장</t>
  </si>
  <si>
    <t>84775</t>
  </si>
  <si>
    <t>완전히 달라진 실적</t>
  </si>
  <si>
    <t>84774</t>
  </si>
  <si>
    <t xml:space="preserve">2Q25 Re: 턴어라운드 시작 </t>
  </si>
  <si>
    <t>84773</t>
  </si>
  <si>
    <t>2Q25 Review: 합리적 정책 기반 나아가는 중</t>
  </si>
  <si>
    <t>84772</t>
  </si>
  <si>
    <t>2Q25 Review: 업황을 보면 보이는 답</t>
  </si>
  <si>
    <t>84771</t>
  </si>
  <si>
    <t>2Q25 Review: 화공으로 비화공 상쇄</t>
  </si>
  <si>
    <t>84770</t>
  </si>
  <si>
    <t>글로벌에서 Gonna Be, Gonna Be Golden!</t>
  </si>
  <si>
    <t>84769</t>
  </si>
  <si>
    <t>2Q25 Review: 상반기 기준 역대 최고 실적 시현</t>
  </si>
  <si>
    <t>84768</t>
  </si>
  <si>
    <t xml:space="preserve">2Q25 Review: 실적과 업계 최고 자본적정성이 주는 안정감  </t>
  </si>
  <si>
    <t>84767</t>
  </si>
  <si>
    <t>2Q25 Review: 분기별 역대 최고치 갱신, 두자릿수 ROE 기대</t>
  </si>
  <si>
    <t>84766</t>
  </si>
  <si>
    <t>RoRWA 중시 수익성 개선 위주의 돋보이는 성장 전략</t>
  </si>
  <si>
    <t>84765</t>
  </si>
  <si>
    <t>25% 관세를 내고도 주가는 쌉니다</t>
  </si>
  <si>
    <t>84764</t>
  </si>
  <si>
    <t>회복과 성장의 마중물</t>
  </si>
  <si>
    <t>84763</t>
  </si>
  <si>
    <t>기성물량 감소의 여파</t>
  </si>
  <si>
    <t>84762</t>
  </si>
  <si>
    <t>달라진 건 없다</t>
  </si>
  <si>
    <t>84761</t>
  </si>
  <si>
    <t>점진적 개선 중!</t>
  </si>
  <si>
    <t>84760</t>
  </si>
  <si>
    <t>순항</t>
  </si>
  <si>
    <t>84759</t>
  </si>
  <si>
    <t>스스로 증명한 가치</t>
  </si>
  <si>
    <t>84758</t>
  </si>
  <si>
    <t>매출액도 1조원 훌쩍 넘고, 시총도 1조원 넘을 거에요</t>
  </si>
  <si>
    <t>84757</t>
  </si>
  <si>
    <t>분기 최대 순익 시현. 총주주환원율도 50%를 크게 상회</t>
  </si>
  <si>
    <t>84756</t>
  </si>
  <si>
    <t>내용면에서 아쉬웠던 실적. 정책 수혜 가능성도 지켜봐야</t>
  </si>
  <si>
    <t>84755</t>
  </si>
  <si>
    <t>일회성 없이도 시장 기대치 상회</t>
  </si>
  <si>
    <t>84754</t>
  </si>
  <si>
    <t>관세 영향 감안하면 양호한 실적</t>
  </si>
  <si>
    <t>84753</t>
  </si>
  <si>
    <t>견조한 수익성을 증명한 실적</t>
  </si>
  <si>
    <t>84752</t>
  </si>
  <si>
    <t>[2Q25 Review] 관세 영향에 경쟁사와의 가격 경쟁 부담까지</t>
  </si>
  <si>
    <t>84751</t>
  </si>
  <si>
    <t>여전히 강한 클라우드 데이터센터 서버 수요</t>
  </si>
  <si>
    <t>84750</t>
  </si>
  <si>
    <t>[2Q25 Review] 해운 중심의 강한 이익 개선</t>
  </si>
  <si>
    <t>84749</t>
  </si>
  <si>
    <t>재료가 많아서 투자의견 상향</t>
  </si>
  <si>
    <t>84748</t>
  </si>
  <si>
    <t>[2Q25 Review] 마이닝 붐</t>
  </si>
  <si>
    <t>84747</t>
  </si>
  <si>
    <t>실적 개선 모멘텀 지속될 것</t>
  </si>
  <si>
    <t>84746</t>
  </si>
  <si>
    <t>좋았으나, 단기 노이즈들을 충분히 소화하고 갈 필요</t>
  </si>
  <si>
    <t>84745</t>
  </si>
  <si>
    <t>[2Q25 Review] 추가 상향의 여지</t>
  </si>
  <si>
    <t>84744</t>
  </si>
  <si>
    <t>관세 부담 속 중장기 업사이드 확인</t>
  </si>
  <si>
    <t>84743</t>
  </si>
  <si>
    <t>2Q25 Pull-in 효과 극대화</t>
  </si>
  <si>
    <t>84742</t>
  </si>
  <si>
    <t>2Q25 Review: 순항 그 자체, 하반기는…?</t>
  </si>
  <si>
    <t>84741</t>
  </si>
  <si>
    <t>2Q25 Review: 걱정거리 없는 상황</t>
  </si>
  <si>
    <t>84740</t>
  </si>
  <si>
    <t>믿을 건 자사주 매입 소각</t>
  </si>
  <si>
    <t>84739</t>
  </si>
  <si>
    <t>반등의 시그널</t>
  </si>
  <si>
    <t>84738</t>
  </si>
  <si>
    <t>다가올 총주주환원율 50%</t>
  </si>
  <si>
    <t>84737</t>
  </si>
  <si>
    <t>대손비용 개선 확인 필요</t>
  </si>
  <si>
    <t>84736</t>
  </si>
  <si>
    <t xml:space="preserve">예견된 상저하고의 상반기 종료 </t>
  </si>
  <si>
    <t>84735</t>
  </si>
  <si>
    <t xml:space="preserve">외형 가시성 확인 </t>
  </si>
  <si>
    <t>84734</t>
  </si>
  <si>
    <t>실적 개선 여건 갖춰지는 중</t>
  </si>
  <si>
    <t>84733</t>
  </si>
  <si>
    <t>2Q, 깜작 실적~</t>
  </si>
  <si>
    <t>84732</t>
  </si>
  <si>
    <t>해운 손익 개선이 좋은 이유</t>
  </si>
  <si>
    <t>84731</t>
  </si>
  <si>
    <t xml:space="preserve">분기 최대 실적인데 주가는 왜 안 오를까요? </t>
  </si>
  <si>
    <t>84730</t>
  </si>
  <si>
    <t xml:space="preserve"> 지나간 실적보다 하반기 실적 개선 및 성장 모멘텀에 주목</t>
  </si>
  <si>
    <t>84729</t>
  </si>
  <si>
    <t xml:space="preserve">중국·일본산 열연 잠정관세 부과, 순풍이 불어온다 </t>
  </si>
  <si>
    <t>84728</t>
  </si>
  <si>
    <t xml:space="preserve">약점이 사라지고 있다 </t>
  </si>
  <si>
    <t>84727</t>
  </si>
  <si>
    <t xml:space="preserve">Valuation 논란을 잠재워 버림 </t>
  </si>
  <si>
    <t>84726</t>
  </si>
  <si>
    <t>믹스 개선 효과로 이익 상승 중</t>
  </si>
  <si>
    <t>84725</t>
  </si>
  <si>
    <t>관세 격량 속 편안한 선택지</t>
  </si>
  <si>
    <t>84724</t>
  </si>
  <si>
    <t>하방 대비 상방을 열어둘 필요</t>
  </si>
  <si>
    <t>84723</t>
  </si>
  <si>
    <t>건자재 실적 부진 지속</t>
  </si>
  <si>
    <t>84722</t>
  </si>
  <si>
    <t>2Q25P Review: 영업이익 컨센서스 하회</t>
  </si>
  <si>
    <t>84721</t>
  </si>
  <si>
    <t>매출 둔화에도 양호한 수익성의 호실적</t>
  </si>
  <si>
    <t>84720</t>
  </si>
  <si>
    <t>가이던스를 상향할 수밖에 없는 실적</t>
  </si>
  <si>
    <t>84719</t>
  </si>
  <si>
    <t>아쉬운 별도 손익에도 긍정적</t>
  </si>
  <si>
    <t>84718</t>
  </si>
  <si>
    <t>끝나가는 방황과 잡혀가는 방향성</t>
  </si>
  <si>
    <t>84717</t>
  </si>
  <si>
    <t>2Q25P Review: 영업이익률 19%</t>
  </si>
  <si>
    <t>84716</t>
  </si>
  <si>
    <t>2Q25 Review: 높아진 컨센보다 좋은 실적</t>
  </si>
  <si>
    <t>84715</t>
  </si>
  <si>
    <t>추가적인 할인율 축소 유인</t>
  </si>
  <si>
    <t>84714</t>
  </si>
  <si>
    <t>2Q25 Re 서프라이즈, 실적 오르막의 시작</t>
  </si>
  <si>
    <t>84713</t>
  </si>
  <si>
    <t>2Q25 Re 편안하지 아니한가</t>
  </si>
  <si>
    <t>84712</t>
  </si>
  <si>
    <t>육상풍력 전망치 Up, 해상풍력 전망치 Down</t>
  </si>
  <si>
    <t>84711</t>
  </si>
  <si>
    <t>관세가 변수</t>
  </si>
  <si>
    <t>84710</t>
  </si>
  <si>
    <t>주주환원율 53%에 이를 전망</t>
  </si>
  <si>
    <t>84709</t>
  </si>
  <si>
    <t>84708</t>
  </si>
  <si>
    <t>나도 레벨업</t>
  </si>
  <si>
    <t>84707</t>
  </si>
  <si>
    <t>기대되는 하반기, 변한 것은 없다</t>
  </si>
  <si>
    <t>84706</t>
  </si>
  <si>
    <t>84705</t>
  </si>
  <si>
    <t>비이자이익 호조로 컨센서스 부합</t>
  </si>
  <si>
    <t>84704</t>
  </si>
  <si>
    <t>2Q25 리뷰: 양호한 실적, 관세/점유율 주목</t>
  </si>
  <si>
    <t>84703</t>
  </si>
  <si>
    <t>달라진 세상, 달라진 메모리, 달라진 SK</t>
  </si>
  <si>
    <t>84702</t>
  </si>
  <si>
    <t xml:space="preserve">2Q25 Review: 체계적인 계약 관리가 이익으로 발현 중 </t>
  </si>
  <si>
    <t>84701</t>
  </si>
  <si>
    <t>실적은 이제 안정화, 수주 풀 확대가 중요</t>
  </si>
  <si>
    <t>84700</t>
  </si>
  <si>
    <t>보법이 다른 RORWA 관리</t>
  </si>
  <si>
    <t>84699</t>
  </si>
  <si>
    <t>2분기는 Bit, 3분기는 제품믹스 개선</t>
  </si>
  <si>
    <t>84698</t>
  </si>
  <si>
    <t>여전한 하반기 실적 자신감 확인</t>
  </si>
  <si>
    <t>84697</t>
  </si>
  <si>
    <t>2Q25 Re 관세보다 수출 경쟁력</t>
  </si>
  <si>
    <t>84696</t>
  </si>
  <si>
    <t>2Q25 Re 신흥시장이 이끄는 턴어라운드</t>
  </si>
  <si>
    <t>84695</t>
  </si>
  <si>
    <t>수주 가이던스 달성 긍정적, 목표주가 상향</t>
  </si>
  <si>
    <t>84694</t>
  </si>
  <si>
    <t>2Q25 Re: 기대 이상의 이익 성장</t>
  </si>
  <si>
    <t>84693</t>
  </si>
  <si>
    <t>좀 더 남았다고 생각해요(中 감산 &amp; 제철소 지분율 발표)</t>
  </si>
  <si>
    <t>84692</t>
  </si>
  <si>
    <t>인상적인 해운 실적, 톤세제 효과로 배당 추정치 상향</t>
  </si>
  <si>
    <t>84691</t>
  </si>
  <si>
    <t>2Q25 Review: 기대치 부합, 관건은 관세 협상</t>
  </si>
  <si>
    <t>84690</t>
  </si>
  <si>
    <t>관세 충격을 빼고 보면 굳건한 펀더멘털</t>
  </si>
  <si>
    <t>84689</t>
  </si>
  <si>
    <t>하반기에도 지속될 이익 개선</t>
  </si>
  <si>
    <t>84688</t>
  </si>
  <si>
    <t>To 50% and beyond</t>
  </si>
  <si>
    <t>84687</t>
  </si>
  <si>
    <t>해소될 우려와 지속될 경쟁우위</t>
  </si>
  <si>
    <t>84686</t>
  </si>
  <si>
    <t>업황 둔화 재개 및 HBM 수요 둔화 우려</t>
  </si>
  <si>
    <t>84685</t>
  </si>
  <si>
    <t>8월 4중 전회까지는 긍정적 관점 유지</t>
  </si>
  <si>
    <t>84684</t>
  </si>
  <si>
    <t>기대 이상의 수익성</t>
  </si>
  <si>
    <t>84683</t>
  </si>
  <si>
    <t>컨센서스 부합한 영업성과</t>
  </si>
  <si>
    <t>84682</t>
  </si>
  <si>
    <t>정책 변화에 거는 기대</t>
  </si>
  <si>
    <t>84681</t>
  </si>
  <si>
    <t>클라우드가 이끌 미래</t>
  </si>
  <si>
    <t>84680</t>
  </si>
  <si>
    <t>2Q25: 믿고 보는 편안한 실적</t>
  </si>
  <si>
    <t>84679</t>
  </si>
  <si>
    <t>낮은 출하 가이던스와 HBM 경쟁 심화 우려</t>
  </si>
  <si>
    <t>84678</t>
  </si>
  <si>
    <t>실적 개선과 밸류에이션 역사적 저점</t>
  </si>
  <si>
    <t>84677</t>
  </si>
  <si>
    <t xml:space="preserve">매는 먼저 맞는 게 낫다, 그런데 늦어진다 </t>
  </si>
  <si>
    <t>84676</t>
  </si>
  <si>
    <t>마침내 발광(發光)하는 실적</t>
  </si>
  <si>
    <t>84675</t>
  </si>
  <si>
    <t>주주환원율 50% 시대 개막</t>
  </si>
  <si>
    <t>84674</t>
  </si>
  <si>
    <t>건전성 관리 강화 기조 지속</t>
  </si>
  <si>
    <t>84673</t>
  </si>
  <si>
    <t>하반기에도 남아있는 카드들</t>
  </si>
  <si>
    <t>84672</t>
  </si>
  <si>
    <t>하반기부터 뚜렷해질 개선세</t>
  </si>
  <si>
    <t>84671</t>
  </si>
  <si>
    <t>분기 최대, 상반기 누적 최대</t>
  </si>
  <si>
    <t>84670</t>
  </si>
  <si>
    <t>역대 최대실적, 현금배당의 매력 부각</t>
  </si>
  <si>
    <t>84669</t>
  </si>
  <si>
    <t>상반기 최대 실적, 주주환원율 52%</t>
  </si>
  <si>
    <t>84668</t>
  </si>
  <si>
    <t>나무가 아니라 숲을 보자</t>
  </si>
  <si>
    <t>84667</t>
  </si>
  <si>
    <t>유해콘텐츠 차단 사업 고성장, 모아진은 다음 챕터</t>
  </si>
  <si>
    <t>84666</t>
  </si>
  <si>
    <t>AI 기반 통합 솔루션 기업으로 진화</t>
  </si>
  <si>
    <t>84665</t>
  </si>
  <si>
    <t>흑자 전환과 글로벌 확장, 리레이팅의 서막</t>
  </si>
  <si>
    <t>84664</t>
  </si>
  <si>
    <t>대구경북 기반 건설자재 및 지역사업 전문업체</t>
  </si>
  <si>
    <t>84663</t>
  </si>
  <si>
    <t xml:space="preserve">수익성 개선은 시작되었다. 하반기 수주 회복이 다음 촉매  </t>
  </si>
  <si>
    <t>84662</t>
  </si>
  <si>
    <t>2025-07-24</t>
  </si>
  <si>
    <t>266170</t>
  </si>
  <si>
    <t>뿌리깊은나무들</t>
  </si>
  <si>
    <t xml:space="preserve">미래형 K-컨텐츠 Hub를 지향하는 종합미디어 전문기업 </t>
  </si>
  <si>
    <t>84661</t>
  </si>
  <si>
    <t>191600</t>
  </si>
  <si>
    <t>블루탑</t>
  </si>
  <si>
    <t>적층 및 도금 기술 내재화를 통한 안정적인 인쇄회로기판 제조 기업</t>
  </si>
  <si>
    <t>84660</t>
  </si>
  <si>
    <t>원료의약품의 국산화 선도기업</t>
  </si>
  <si>
    <t>84659</t>
  </si>
  <si>
    <t>114630</t>
  </si>
  <si>
    <t>폴라리스우노</t>
  </si>
  <si>
    <t>고부가가치 가발용 합성사 전문기업</t>
  </si>
  <si>
    <t>84658</t>
  </si>
  <si>
    <t>246720</t>
  </si>
  <si>
    <t>아스타</t>
  </si>
  <si>
    <t>MALDI-TOF 질량분석기 기반의 차세대 진단/QC 플랫폼 개발 및 생산</t>
  </si>
  <si>
    <t>84657</t>
  </si>
  <si>
    <t>368600</t>
  </si>
  <si>
    <t>아이씨에이치</t>
  </si>
  <si>
    <t>PU 폼 제품군을 단기 성장 모멘텀으로 구축한 IT기기 소재/부품 전문기업</t>
  </si>
  <si>
    <t>84656</t>
  </si>
  <si>
    <t>POS, 태블릿까지 사업영역을 확대한 산업용 PDA 전문 기업</t>
  </si>
  <si>
    <t>84655</t>
  </si>
  <si>
    <t>140430</t>
  </si>
  <si>
    <t>카티스</t>
  </si>
  <si>
    <t>공간인지 보안 플랫폼 개발 전문기업</t>
  </si>
  <si>
    <t>84654</t>
  </si>
  <si>
    <t>464500</t>
  </si>
  <si>
    <t>아이언디바이스</t>
  </si>
  <si>
    <t>혼성신호 SoC 반도체 설계 선도기업</t>
  </si>
  <si>
    <t>84653</t>
  </si>
  <si>
    <t>009730</t>
  </si>
  <si>
    <t>이렘</t>
  </si>
  <si>
    <t>50년 업력의 스테인리스 강관 제조 전문기업</t>
  </si>
  <si>
    <t>84652</t>
  </si>
  <si>
    <t>SK하이닉스 2Q25 컨퍼런스 콜</t>
  </si>
  <si>
    <t>84651</t>
  </si>
  <si>
    <t>단기 실적보다 반등할 26년을 주목</t>
  </si>
  <si>
    <t>84650</t>
  </si>
  <si>
    <t>2Q25 Re: 안정적 실적 성장 기반 가이던스 상향</t>
  </si>
  <si>
    <t>84649</t>
  </si>
  <si>
    <t>가장 설레는 단어, 턴어라운드</t>
  </si>
  <si>
    <t>84648</t>
  </si>
  <si>
    <t>2Q25 Review; 진격의 로직스</t>
  </si>
  <si>
    <t>84647</t>
  </si>
  <si>
    <t>불리한 영업환경 속 견조한 기판소재와 전장부품</t>
  </si>
  <si>
    <t>84646</t>
  </si>
  <si>
    <t>2Q25 Review: 가이던스 상향, 빠른 Ramp-up 효과</t>
  </si>
  <si>
    <t>84645</t>
  </si>
  <si>
    <t>2분기 실적보다 하반기 모멘텀에 관심</t>
  </si>
  <si>
    <t>84644</t>
  </si>
  <si>
    <t>하반기 증익 기조 유효</t>
  </si>
  <si>
    <t>84643</t>
  </si>
  <si>
    <t>2Q25 Re: 중국의 원가 부담 가중 및 경쟁 심화</t>
  </si>
  <si>
    <t>84642</t>
  </si>
  <si>
    <t>EXAONE AI Talk Concert 2025</t>
  </si>
  <si>
    <t>84641</t>
  </si>
  <si>
    <t>부진한 업황 속 고객사 확장에 대한 자신감</t>
  </si>
  <si>
    <t>84640</t>
  </si>
  <si>
    <t>[2Q25 Review] 엔진의 가치를 적극 반영할 때</t>
  </si>
  <si>
    <t>84639</t>
  </si>
  <si>
    <t>주가 상승에는 이유가 있다</t>
  </si>
  <si>
    <t>84638</t>
  </si>
  <si>
    <t>2Q25Re: 환율 하락에도 실적은 견조</t>
  </si>
  <si>
    <t>84637</t>
  </si>
  <si>
    <t>국내 1위 SRM 기업 글로벌 SaaS로 도약 중</t>
  </si>
  <si>
    <t>84636</t>
  </si>
  <si>
    <t>K신드롬의 결정판, KT</t>
  </si>
  <si>
    <t>84635</t>
  </si>
  <si>
    <t>2H25(하반기) 성장(yoy), 저평가는 비중확대의 기준</t>
  </si>
  <si>
    <t>84634</t>
  </si>
  <si>
    <t>CDMO의 정석, 흔들림 없는 성장 신호</t>
  </si>
  <si>
    <t>84633</t>
  </si>
  <si>
    <t>하반기부터 개선 시작</t>
  </si>
  <si>
    <t>84632</t>
  </si>
  <si>
    <t>2Q25 Pre: OBBBA 한번 믿어 볼래?</t>
  </si>
  <si>
    <t>84631</t>
  </si>
  <si>
    <t>때로는 고정관념이 가장 큰 장애물이 된다</t>
  </si>
  <si>
    <t>84630</t>
  </si>
  <si>
    <t>Gonna be, gonna be golden</t>
  </si>
  <si>
    <t>84629</t>
  </si>
  <si>
    <t>2Q25 Pre: 외면하기 힘든 업사이드 리스크</t>
  </si>
  <si>
    <t>84628</t>
  </si>
  <si>
    <t>구체화되어가는 성장 스토리</t>
  </si>
  <si>
    <t>84627</t>
  </si>
  <si>
    <t>2Q25 Re 서프라이즈, 기지개를 켠다</t>
  </si>
  <si>
    <t>84626</t>
  </si>
  <si>
    <t>당분간 보수적인 관점에서 접근</t>
  </si>
  <si>
    <t>84625</t>
  </si>
  <si>
    <t>언제 다시 봐야할까</t>
  </si>
  <si>
    <t>84624</t>
  </si>
  <si>
    <t>전기차 불황? 고객사 다변화로 돌파</t>
  </si>
  <si>
    <t>84623</t>
  </si>
  <si>
    <t>2Q25 Review: 견조한 수익성 입증</t>
  </si>
  <si>
    <t>84622</t>
  </si>
  <si>
    <t>본격적 반등은 4분기. 안정된 재무기반 주목</t>
  </si>
  <si>
    <t>84621</t>
  </si>
  <si>
    <t>2Q25P Review: 그의 튼튼한 다리를 믿어</t>
  </si>
  <si>
    <t>84620</t>
  </si>
  <si>
    <t>Triangle Momentum</t>
  </si>
  <si>
    <t>84619</t>
  </si>
  <si>
    <t>트럼프 정책 리스크 정점 지나</t>
  </si>
  <si>
    <t>84618</t>
  </si>
  <si>
    <t>2Q25 Review: 클라우드&amp;AI 성장 견인</t>
  </si>
  <si>
    <t>84617</t>
  </si>
  <si>
    <t>실적저점 통과 vs 매크로 불확실성</t>
  </si>
  <si>
    <t>84616</t>
  </si>
  <si>
    <t>핵심 고객 부진, 신규 고객 확보는 긍정적</t>
  </si>
  <si>
    <t>84615</t>
  </si>
  <si>
    <t>On Track</t>
  </si>
  <si>
    <t>84614</t>
  </si>
  <si>
    <t>2Q25 Re: 이어진 호실적, 컨센 10% 상회</t>
  </si>
  <si>
    <t>84613</t>
  </si>
  <si>
    <t>2Q25P Review: 안정적인 흐름</t>
  </si>
  <si>
    <t>84612</t>
  </si>
  <si>
    <t>카지노, 호텔, 여행 다 있는데?</t>
  </si>
  <si>
    <t>84611</t>
  </si>
  <si>
    <t>중고 신입 등판! 최대 관심 기업!</t>
  </si>
  <si>
    <t>84610</t>
  </si>
  <si>
    <t>Bottom Out</t>
  </si>
  <si>
    <t>84609</t>
  </si>
  <si>
    <t>속도 조절 후 재가속 준비</t>
  </si>
  <si>
    <t>84608</t>
  </si>
  <si>
    <t>123860</t>
  </si>
  <si>
    <t>아나패스</t>
  </si>
  <si>
    <t>IT OLED, AI 디바이스의 진정한 수혜주</t>
  </si>
  <si>
    <t>84607</t>
  </si>
  <si>
    <t>유니드-지속중인 업황 강세</t>
  </si>
  <si>
    <t>84606</t>
  </si>
  <si>
    <t>중국 염화칼륨 급등으로 하반기 판가 추가 상승 기대</t>
  </si>
  <si>
    <t>84605</t>
  </si>
  <si>
    <t>머리는 차갑게, 가슴은 뜨겁게</t>
  </si>
  <si>
    <t>84604</t>
  </si>
  <si>
    <t>2분기 저점, 3분기 성수기 진입</t>
  </si>
  <si>
    <t>84603</t>
  </si>
  <si>
    <t>성수기 실적 회복이 중요</t>
  </si>
  <si>
    <t>84602</t>
  </si>
  <si>
    <t>클라우드 성장이 핵심</t>
  </si>
  <si>
    <t>84601</t>
  </si>
  <si>
    <t>실적 코멘트와 향후 전망</t>
  </si>
  <si>
    <t>84600</t>
  </si>
  <si>
    <t>동양 챔피언에 올라섰으니, 이제 더 넓은 세계로</t>
  </si>
  <si>
    <t>84599</t>
  </si>
  <si>
    <t>이제 잘 팔기만 하면 된다</t>
  </si>
  <si>
    <t>84598</t>
  </si>
  <si>
    <t>2025-07-23</t>
  </si>
  <si>
    <t>2Q25 Pre: 이구환신 효과 지속</t>
  </si>
  <si>
    <t>84597</t>
  </si>
  <si>
    <t>시차에 의한 조정은 기회</t>
  </si>
  <si>
    <t>84596</t>
  </si>
  <si>
    <t>2분기 어닝 서프라이즈 예상, 올해 방산/삼성 추세 양호</t>
  </si>
  <si>
    <t>84595</t>
  </si>
  <si>
    <t>알고 보면 호실적</t>
  </si>
  <si>
    <t>84594</t>
  </si>
  <si>
    <t>2Q 실적 좋고, 모멘텀 유효하고</t>
  </si>
  <si>
    <t>84593</t>
  </si>
  <si>
    <t>더 멀리 내다보기</t>
  </si>
  <si>
    <t>84592</t>
  </si>
  <si>
    <t xml:space="preserve">완벽한 상승, 여전히 매력적 </t>
  </si>
  <si>
    <t>84591</t>
  </si>
  <si>
    <t>역대 최고 OPM, 이익 체력 확인</t>
  </si>
  <si>
    <t>84590</t>
  </si>
  <si>
    <t>본격적인 외연 확장의 초입</t>
  </si>
  <si>
    <t>84589</t>
  </si>
  <si>
    <t>관세 비용 전가 여부가 관건</t>
  </si>
  <si>
    <t>84588</t>
  </si>
  <si>
    <t>2Q25 Pre: 다음 시세 분출을 기다리며</t>
  </si>
  <si>
    <t>84587</t>
  </si>
  <si>
    <t>CEO IR Day; 준비된 자에게 기회가 온다</t>
  </si>
  <si>
    <t>84586</t>
  </si>
  <si>
    <t>2Q25 Re 조삼모사, 기대되는 하반기</t>
  </si>
  <si>
    <t>84585</t>
  </si>
  <si>
    <t>무난한게 장점!</t>
  </si>
  <si>
    <t>84584</t>
  </si>
  <si>
    <t>변화의 시작점</t>
  </si>
  <si>
    <t>84583</t>
  </si>
  <si>
    <t>하반기에 집중된 모멘텀</t>
  </si>
  <si>
    <t>84582</t>
  </si>
  <si>
    <t>자세히 뜯어보면 괜찮다</t>
  </si>
  <si>
    <t>84581</t>
  </si>
  <si>
    <t>2Q25 Preview: 글로벌 재건 수혜 기대</t>
  </si>
  <si>
    <t>84580</t>
  </si>
  <si>
    <t>오산시 옹벽 사고 관련 코멘트: 직접적인 영향 제한적일 것, 주가 하락폭 과도함</t>
  </si>
  <si>
    <t>84579</t>
  </si>
  <si>
    <t>086520</t>
  </si>
  <si>
    <t>에코프로</t>
  </si>
  <si>
    <t>2차전지 소재 글로벌 밸류체인을 가진 지주회사</t>
  </si>
  <si>
    <t>84578</t>
  </si>
  <si>
    <t>2025-07-22</t>
  </si>
  <si>
    <t>최고 매출(2Q 및 2025년)의 예상은 혼자만 승승장구?</t>
  </si>
  <si>
    <t>84577</t>
  </si>
  <si>
    <t>관세도 피해가는 실적</t>
  </si>
  <si>
    <t>84576</t>
  </si>
  <si>
    <t>기다렸던 바로 그 소식</t>
  </si>
  <si>
    <t>84575</t>
  </si>
  <si>
    <t xml:space="preserve">안정적인 실적, 신제품 비중 확대 지속 </t>
  </si>
  <si>
    <t>84574</t>
  </si>
  <si>
    <t>8월 전략 - DPS 추가 상승해야만 주가 크게 오를 것</t>
  </si>
  <si>
    <t>84573</t>
  </si>
  <si>
    <t>8월 전략 - 결국 KT 주가와 같아질 것입니다</t>
  </si>
  <si>
    <t>84572</t>
  </si>
  <si>
    <t>8월 전략 - 어닝 서프라이즈라도 주가는 단기 횡보 예상</t>
  </si>
  <si>
    <t>84571</t>
  </si>
  <si>
    <t>무더위에도 오르지 않는 SMP</t>
  </si>
  <si>
    <t>84570</t>
  </si>
  <si>
    <t>현재 주가는 24년 10월, 글로벌TL 출시 시점 수준</t>
  </si>
  <si>
    <t>84569</t>
  </si>
  <si>
    <t>독일 TDI 생산차질 호재 출현!</t>
  </si>
  <si>
    <t>84568</t>
  </si>
  <si>
    <t>하반기 반등을 기대해보자</t>
  </si>
  <si>
    <t>84567</t>
  </si>
  <si>
    <t>2Q25 Preview: 흔들리지 않는 실적</t>
  </si>
  <si>
    <t>84566</t>
  </si>
  <si>
    <t>042700</t>
  </si>
  <si>
    <t>한미반도체</t>
  </si>
  <si>
    <t>2Q25 Preview: 하반기를 향해</t>
  </si>
  <si>
    <t>84565</t>
  </si>
  <si>
    <t>2Q25 Preview: 우려를 해소시키는 실적</t>
  </si>
  <si>
    <t>84564</t>
  </si>
  <si>
    <t>2Q25P Review: 예상치 부합</t>
  </si>
  <si>
    <t>84563</t>
  </si>
  <si>
    <t>2027년 폴더블 아이폰 추정치 신규 반영</t>
  </si>
  <si>
    <t>84562</t>
  </si>
  <si>
    <t>올해는 유럽 EV 호조로 폴란드 법인 성장 기대</t>
  </si>
  <si>
    <t>84561</t>
  </si>
  <si>
    <t>꿋꿋하게 My Way</t>
  </si>
  <si>
    <t>84560</t>
  </si>
  <si>
    <t>빠른 속도로 진행되는 M&amp;A와 주주환원</t>
  </si>
  <si>
    <t>84559</t>
  </si>
  <si>
    <t>플리토가 보여주는 AI로 돈 버는 방법</t>
  </si>
  <si>
    <t>84558</t>
  </si>
  <si>
    <t>고객사·장비 다변화 시도 중</t>
  </si>
  <si>
    <t>84557</t>
  </si>
  <si>
    <t>근거리 무선통신 기술의 장인</t>
  </si>
  <si>
    <t>84556</t>
  </si>
  <si>
    <t>2025-07-21</t>
  </si>
  <si>
    <t>2Q25P Re: 양극재 물량 부진 및 판가 하락으로 컨센서스 하회</t>
  </si>
  <si>
    <t>84555</t>
  </si>
  <si>
    <t>2Q25 Preview: 갈수록 좋아지는 구조적 성장주</t>
  </si>
  <si>
    <t>84554</t>
  </si>
  <si>
    <t>2Q25 Review: 주택의 안정적인 회복</t>
  </si>
  <si>
    <t>84553</t>
  </si>
  <si>
    <t>성장 채널 접점 확대 + 해외 판로 개척</t>
  </si>
  <si>
    <t>84552</t>
  </si>
  <si>
    <t>다이소 + 해외 + ODM 견인 지속</t>
  </si>
  <si>
    <t>84551</t>
  </si>
  <si>
    <t>237880</t>
  </si>
  <si>
    <t>클리오</t>
  </si>
  <si>
    <t>전반적 개선 모색</t>
  </si>
  <si>
    <t>84550</t>
  </si>
  <si>
    <t>2Q25 Pre: 실적 전망 상향</t>
  </si>
  <si>
    <t>84549</t>
  </si>
  <si>
    <t>국내 주택 마진 개선, 해외 비용 반영</t>
  </si>
  <si>
    <t>84548</t>
  </si>
  <si>
    <t>음극재 기대감 상승에도 업황 턴어라운드는 아직</t>
  </si>
  <si>
    <t>84547</t>
  </si>
  <si>
    <t>[2Q25 Review] 추세가 바뀌진 않는다</t>
  </si>
  <si>
    <t>84546</t>
  </si>
  <si>
    <t>현 주가는 세미텍 가치가 사라진 수준</t>
  </si>
  <si>
    <t>84545</t>
  </si>
  <si>
    <t>260970</t>
  </si>
  <si>
    <t>에스앤디</t>
  </si>
  <si>
    <t>오해세요</t>
  </si>
  <si>
    <t>84544</t>
  </si>
  <si>
    <t>저성장ㆍ저P/E보다 고성장ㆍ고P/E가 낫다</t>
  </si>
  <si>
    <t>84543</t>
  </si>
  <si>
    <t>급할수록 펀더멘털</t>
  </si>
  <si>
    <t>84542</t>
  </si>
  <si>
    <t>실적 눈높이는 하향, 원전 기대감은 유효</t>
  </si>
  <si>
    <t>84541</t>
  </si>
  <si>
    <t>자본 확충 압박 완화</t>
  </si>
  <si>
    <t>84540</t>
  </si>
  <si>
    <t>배당 확대에 대한 기대는 충분히 반영</t>
  </si>
  <si>
    <t>84539</t>
  </si>
  <si>
    <t>현재 수준 유지 예상</t>
  </si>
  <si>
    <t>84538</t>
  </si>
  <si>
    <t>이제는 현실에 주목</t>
  </si>
  <si>
    <t>84537</t>
  </si>
  <si>
    <t>이미 많이 보여주었다</t>
  </si>
  <si>
    <t>84536</t>
  </si>
  <si>
    <t>실적 굿, 밸류에이션 굿, 주주환원 굿</t>
  </si>
  <si>
    <t>84535</t>
  </si>
  <si>
    <t xml:space="preserve">기대보다 아쉬운 상반기 </t>
  </si>
  <si>
    <t>84534</t>
  </si>
  <si>
    <t>2Q 역대 최고 OP 달성 예상 및 베트남 성장 최대 수혜</t>
  </si>
  <si>
    <t>84533</t>
  </si>
  <si>
    <t>84532</t>
  </si>
  <si>
    <t>초극박 PI필름 적용(초슬림폰,폴더블폰) 확대로 성장성 부각</t>
  </si>
  <si>
    <t>84531</t>
  </si>
  <si>
    <t>2Q25 Review: 커져가는 원전 기대감</t>
  </si>
  <si>
    <t>84530</t>
  </si>
  <si>
    <t>탈중국 흐름에서 기회 발굴</t>
  </si>
  <si>
    <t>84529</t>
  </si>
  <si>
    <t>기대 반, 걱정 반</t>
  </si>
  <si>
    <t>84528</t>
  </si>
  <si>
    <t>단기 실적 우려에도 유효한 모멘텀</t>
  </si>
  <si>
    <t>84527</t>
  </si>
  <si>
    <t>2Q25 일시적인 실적 부진 예상</t>
  </si>
  <si>
    <t>84526</t>
  </si>
  <si>
    <t xml:space="preserve">의정 갈등 해결? 수혜 전망! </t>
  </si>
  <si>
    <t>84525</t>
  </si>
  <si>
    <t>이익개선과 리레이팅</t>
  </si>
  <si>
    <t>84524</t>
  </si>
  <si>
    <t>폴란드 2차 계약 이후, 더욱 확대될 해외 수주</t>
  </si>
  <si>
    <t>84523</t>
  </si>
  <si>
    <t>개선의 방향성은 지속</t>
  </si>
  <si>
    <t>84522</t>
  </si>
  <si>
    <t>84521</t>
  </si>
  <si>
    <t>실적 보다는 기대감이 앞서는 구간</t>
  </si>
  <si>
    <t>84520</t>
  </si>
  <si>
    <t>끝나지 않은 비용 반영, 원전 시장 확대는 지속</t>
  </si>
  <si>
    <t>84519</t>
  </si>
  <si>
    <t>양호한 실적과 함께 실적 신뢰도 상승 전망</t>
  </si>
  <si>
    <t>84518</t>
  </si>
  <si>
    <t>관세 불확실성을 넘어서야</t>
  </si>
  <si>
    <t>84517</t>
  </si>
  <si>
    <t>HBM4, 파운드리 경쟁력 회복 예상</t>
  </si>
  <si>
    <t>84516</t>
  </si>
  <si>
    <t>SK하이닉스 소재와 장비를 담당하는 핵심 벤더</t>
  </si>
  <si>
    <t>84515</t>
  </si>
  <si>
    <t>관성에서의 탈피. 견조한 하반기 실적 전망</t>
  </si>
  <si>
    <t>84514</t>
  </si>
  <si>
    <t>2Q25 Review: 해외 현장 원가 부담 지속</t>
  </si>
  <si>
    <t>84513</t>
  </si>
  <si>
    <t>2025-07-18</t>
  </si>
  <si>
    <t xml:space="preserve">2Q25 Pre: 해외사업 구조적 성장으로 서프라이즈 </t>
  </si>
  <si>
    <t>84512</t>
  </si>
  <si>
    <t>명백히 보이는 슈퍼사이클 진입 가능성</t>
  </si>
  <si>
    <t>84511</t>
  </si>
  <si>
    <t>2Q25 Preview: 실적 회복과 SMR은 순항 중</t>
  </si>
  <si>
    <t>84510</t>
  </si>
  <si>
    <t>2Q25 Preview: 견고한 실적 증명</t>
  </si>
  <si>
    <t>84509</t>
  </si>
  <si>
    <t>내수 회복과 인바운드 모멘텀까지</t>
  </si>
  <si>
    <t>84508</t>
  </si>
  <si>
    <t>2분기 양호한 실적 기록 전망</t>
  </si>
  <si>
    <t>84507</t>
  </si>
  <si>
    <t>불확실성 속 선방 기대</t>
  </si>
  <si>
    <t>84506</t>
  </si>
  <si>
    <t>K-애슬레저 선두주자 &amp; 해외진출의 선구자</t>
  </si>
  <si>
    <t>84505</t>
  </si>
  <si>
    <t xml:space="preserve">2Q25 Preview: 벌크 부진 속 LNG 고성장 </t>
  </si>
  <si>
    <t>84504</t>
  </si>
  <si>
    <t>이렇게 올랐는데 사도 돼요? 네.</t>
  </si>
  <si>
    <t>84503</t>
  </si>
  <si>
    <t>아이온 좋아하세요?</t>
  </si>
  <si>
    <t>84502</t>
  </si>
  <si>
    <t>국내 복지몰 1위 사업자</t>
  </si>
  <si>
    <t>84501</t>
  </si>
  <si>
    <t>라면이 아직 안 끓어요</t>
  </si>
  <si>
    <t>84500</t>
  </si>
  <si>
    <t>탄력받는 평판형 안테나 매출 성장</t>
  </si>
  <si>
    <t>84499</t>
  </si>
  <si>
    <t>6개 분기 연속 서프라이즈 전망</t>
  </si>
  <si>
    <t>84498</t>
  </si>
  <si>
    <t>잠깐 낮춘 속도, 방향은 그대로</t>
  </si>
  <si>
    <t>84497</t>
  </si>
  <si>
    <t>2Q25 Pre: 컨센 상회, 전 사업부 고른 성장</t>
  </si>
  <si>
    <t>84496</t>
  </si>
  <si>
    <t>2Q25 Preview: 영업이익 컨센서스 상회 전망</t>
  </si>
  <si>
    <t>84495</t>
  </si>
  <si>
    <t>Black PDL이 바꿀 기업 가치</t>
  </si>
  <si>
    <t>84494</t>
  </si>
  <si>
    <t>다국적 아티스트 중심의 글로벌 성장 기대</t>
  </si>
  <si>
    <t>84493</t>
  </si>
  <si>
    <t>안정적 수익구조 속 나타나는 시황 반등</t>
  </si>
  <si>
    <t>84492</t>
  </si>
  <si>
    <t>2분기 실적도 All Green</t>
  </si>
  <si>
    <t>84491</t>
  </si>
  <si>
    <t>434190</t>
  </si>
  <si>
    <t>탈로스</t>
  </si>
  <si>
    <t>리튬이온 2차전지 기반의 군용 배터리 팩 및 충전기 설계·제조 전문 기업</t>
  </si>
  <si>
    <t>84490</t>
  </si>
  <si>
    <t>045520</t>
  </si>
  <si>
    <t>크린앤사이언스</t>
  </si>
  <si>
    <t>필터 및 필터 미디어 분야의 기술경쟁력을 보유한 전문기업</t>
  </si>
  <si>
    <t>84489</t>
  </si>
  <si>
    <t>006910</t>
  </si>
  <si>
    <t>보성파워텍</t>
  </si>
  <si>
    <t>50년 전통의 국내 대표 전력기자재 전문기업</t>
  </si>
  <si>
    <t>84488</t>
  </si>
  <si>
    <t>2025-07-17</t>
  </si>
  <si>
    <t>원가 압박에도 선방한 2분기</t>
  </si>
  <si>
    <t>84487</t>
  </si>
  <si>
    <t>조용한 업황, 편안한 실적</t>
  </si>
  <si>
    <t>84486</t>
  </si>
  <si>
    <t>방송은 합격</t>
  </si>
  <si>
    <t>84485</t>
  </si>
  <si>
    <t>다시 시작된 자체사업</t>
  </si>
  <si>
    <t>84484</t>
  </si>
  <si>
    <t>영업이익의 규모가 시가총액에 반영되기 시작</t>
  </si>
  <si>
    <t>84483</t>
  </si>
  <si>
    <t>국내 &amp; 미국 법인 가동률 상승세</t>
  </si>
  <si>
    <t>84482</t>
  </si>
  <si>
    <t>하반기 원합니다 내가 살기 위해서</t>
  </si>
  <si>
    <t>84481</t>
  </si>
  <si>
    <t>2026년 풍부해지는 모멘텀</t>
  </si>
  <si>
    <t>84480</t>
  </si>
  <si>
    <t>쉴 틈 없는 하반기</t>
  </si>
  <si>
    <t>84479</t>
  </si>
  <si>
    <t>주가는 싸다</t>
  </si>
  <si>
    <t>84478</t>
  </si>
  <si>
    <t>Ready to jump</t>
  </si>
  <si>
    <t>84477</t>
  </si>
  <si>
    <t>오버슈팅 구간, 밸류에이션 재점검 필요</t>
  </si>
  <si>
    <t>84476</t>
  </si>
  <si>
    <t>어려운 대외환경 지속</t>
  </si>
  <si>
    <t>84475</t>
  </si>
  <si>
    <t>진짜 바닥은 지난듯</t>
  </si>
  <si>
    <t>84474</t>
  </si>
  <si>
    <t>양산레벨로 입증된 Spacer의 미래</t>
  </si>
  <si>
    <t>84473</t>
  </si>
  <si>
    <t>현금배당의 매력 부각</t>
  </si>
  <si>
    <t>84472</t>
  </si>
  <si>
    <t>스마트 팩토리 솔루션 전문기업</t>
  </si>
  <si>
    <t>84471</t>
  </si>
  <si>
    <t>2025-07-16</t>
  </si>
  <si>
    <t>2Q25 Preview: 공작사업부 매각 완료</t>
  </si>
  <si>
    <t>84470</t>
  </si>
  <si>
    <t>2Q25 Pre: 고민도 기대도 되는 하반기</t>
  </si>
  <si>
    <t>84469</t>
  </si>
  <si>
    <t>2Q25 Preview: 건축/주택에 원전 더하기</t>
  </si>
  <si>
    <t>84468</t>
  </si>
  <si>
    <t>6월 Re: 글로벌 전반 소비둔화 지속</t>
  </si>
  <si>
    <t>84467</t>
  </si>
  <si>
    <t>일찍 시작된 서곡, 순조로운 시리즈화</t>
  </si>
  <si>
    <t>84466</t>
  </si>
  <si>
    <t>AI 수요 호조에 동반</t>
  </si>
  <si>
    <t>84465</t>
  </si>
  <si>
    <t>Super Fans Monetization (feat. TME)</t>
  </si>
  <si>
    <t>84464</t>
  </si>
  <si>
    <t>2Q25 Preview : 더 가팔라질 중국 아웃도어 성장 경로와 기대감</t>
  </si>
  <si>
    <t>84463</t>
  </si>
  <si>
    <t>나는 아직 배고프다!</t>
  </si>
  <si>
    <t>84462</t>
  </si>
  <si>
    <t>견고하다</t>
  </si>
  <si>
    <t>84461</t>
  </si>
  <si>
    <t>2Q 부진하나 2026년 성장에 초점</t>
  </si>
  <si>
    <t>84460</t>
  </si>
  <si>
    <t xml:space="preserve">2Q 영업이익, 우려대비 양호! 숫자, 경쟁력 확대를 의미! </t>
  </si>
  <si>
    <t>84459</t>
  </si>
  <si>
    <t>거의 다 왔습니다. 잠시만요</t>
  </si>
  <si>
    <t>84458</t>
  </si>
  <si>
    <t>특수선과 해양 성장을 주시</t>
  </si>
  <si>
    <t>84457</t>
  </si>
  <si>
    <t xml:space="preserve">Classic is the Best </t>
  </si>
  <si>
    <t>84456</t>
  </si>
  <si>
    <t>하반기로 갈수록 믹스 개선</t>
  </si>
  <si>
    <t>84455</t>
  </si>
  <si>
    <t>어차피 2분기 실적은 관심 없으실 테니 하반기 CAPA나 예측해보겠습니다</t>
  </si>
  <si>
    <t>84454</t>
  </si>
  <si>
    <t>84453</t>
  </si>
  <si>
    <t>2Q25 Preview: Sun 성수기 기대</t>
  </si>
  <si>
    <t>84452</t>
  </si>
  <si>
    <t>2Q25 Preview: 국내는 쉬고 중국은 간다</t>
  </si>
  <si>
    <t>84451</t>
  </si>
  <si>
    <t>2Q25 Pre; 완만한 흐름 이어지는 중</t>
  </si>
  <si>
    <t>84450</t>
  </si>
  <si>
    <t>2Q25 Preview: 이익 정상화 흐름 지속</t>
  </si>
  <si>
    <t>84449</t>
  </si>
  <si>
    <t>2Q25 Preview: 컨센서스 부합, 로보틱스 모멘텀 부각될 전망</t>
  </si>
  <si>
    <t>84448</t>
  </si>
  <si>
    <t>약속의 하반기에 들어서며</t>
  </si>
  <si>
    <t>84447</t>
  </si>
  <si>
    <t>2Q25 Preview: 고배당(7.1%)과 배당 성장 매력</t>
  </si>
  <si>
    <t>84446</t>
  </si>
  <si>
    <t>하반기 LNG선 발주 기대감 유효</t>
  </si>
  <si>
    <t>84445</t>
  </si>
  <si>
    <t>3D프린팅, 제조업의 게임 체인</t>
  </si>
  <si>
    <t>84444</t>
  </si>
  <si>
    <t>2Q25Pre: 아직 기 모으는 중</t>
  </si>
  <si>
    <t>84443</t>
  </si>
  <si>
    <t>087010</t>
  </si>
  <si>
    <t>펩트론</t>
  </si>
  <si>
    <t>지속형 기술 상업화로 검증 ‘루프원’ 승인</t>
  </si>
  <si>
    <t>84442</t>
  </si>
  <si>
    <t>2Q25 Pre: 완만한 흐름 이어지는 중</t>
  </si>
  <si>
    <t>84441</t>
  </si>
  <si>
    <t>하반기 실적 회복 예상</t>
  </si>
  <si>
    <t>84440</t>
  </si>
  <si>
    <t>무역협상 및 밸류에이션 현황 점검 필요</t>
  </si>
  <si>
    <t>84439</t>
  </si>
  <si>
    <t>실적 턴어라운드, 소재 업종 Top Pick 제시</t>
  </si>
  <si>
    <t>84438</t>
  </si>
  <si>
    <t>캡티브 채널과 자본력을 갖춘 드라마 제작사</t>
  </si>
  <si>
    <t>84437</t>
  </si>
  <si>
    <t>AI 출입보안 플랫폼 시장 주도</t>
  </si>
  <si>
    <t>84436</t>
  </si>
  <si>
    <t>폐배터리 Full Recycling 부문 Global Player</t>
  </si>
  <si>
    <t>84435</t>
  </si>
  <si>
    <t>단기 실적보다는 회생 전략에 주목</t>
  </si>
  <si>
    <t>84434</t>
  </si>
  <si>
    <t>2025-07-15</t>
  </si>
  <si>
    <t>믿을 건 결국 실적</t>
  </si>
  <si>
    <t>84433</t>
  </si>
  <si>
    <t xml:space="preserve">글로벌에서 커지는 존재감: 처방 증가와 수주 확대 </t>
  </si>
  <si>
    <t>84432</t>
  </si>
  <si>
    <t>주가 상승의 톱니바퀴가 맞물린 모습</t>
  </si>
  <si>
    <t>84431</t>
  </si>
  <si>
    <t>2025년 하반기, 저PBR 해소 흐름 이어진다!</t>
  </si>
  <si>
    <t>84430</t>
  </si>
  <si>
    <t>자체사업의 힘</t>
  </si>
  <si>
    <t>84429</t>
  </si>
  <si>
    <t>오르지 못할 이유가 없다</t>
  </si>
  <si>
    <t>84428</t>
  </si>
  <si>
    <t>예견된 상반기, 기대되는 하반기</t>
  </si>
  <si>
    <t>84427</t>
  </si>
  <si>
    <t>회복 방향성은 유효</t>
  </si>
  <si>
    <t>84426</t>
  </si>
  <si>
    <t>늘어나는 성장 포인트</t>
  </si>
  <si>
    <t>84425</t>
  </si>
  <si>
    <t>Keep Going, 진짜는 3Q부터</t>
  </si>
  <si>
    <t>84424</t>
  </si>
  <si>
    <t>차별화된 주가 흐름, 투자의견 Buy로 상향</t>
  </si>
  <si>
    <t>84423</t>
  </si>
  <si>
    <t>중장기적 모멘텀 유효</t>
  </si>
  <si>
    <t>84422</t>
  </si>
  <si>
    <t>이제 방산 밸류에이션 줘요</t>
  </si>
  <si>
    <t>84421</t>
  </si>
  <si>
    <t>스테이블코인 유통/결제 부문 역할 기대</t>
  </si>
  <si>
    <t>84420</t>
  </si>
  <si>
    <t>중장기 우상향은 보장된 미래</t>
  </si>
  <si>
    <t>84419</t>
  </si>
  <si>
    <t xml:space="preserve"> 알고 보면 무서운 쇠맛</t>
  </si>
  <si>
    <t>84418</t>
  </si>
  <si>
    <t>실적 관건: 이차전지 적자 폭</t>
  </si>
  <si>
    <t>84417</t>
  </si>
  <si>
    <t>K-beauty Tiktok Hunters</t>
  </si>
  <si>
    <t>84416</t>
  </si>
  <si>
    <t>2Q25 Preview: 관세 불확실성 완화 기대</t>
  </si>
  <si>
    <t>84415</t>
  </si>
  <si>
    <t>단기 부진보다 회복에 초점</t>
  </si>
  <si>
    <t>84414</t>
  </si>
  <si>
    <t>나 혼자만 광고 호황</t>
  </si>
  <si>
    <t>84413</t>
  </si>
  <si>
    <t>원전을 통한 해외 수주 증가와 밸류에이션 확장</t>
  </si>
  <si>
    <t>84412</t>
  </si>
  <si>
    <t>어뮤즈를 품고 레벨업</t>
  </si>
  <si>
    <t>84411</t>
  </si>
  <si>
    <t>2025-07-14</t>
  </si>
  <si>
    <t>멀리서 보면 희극</t>
  </si>
  <si>
    <t>84410</t>
  </si>
  <si>
    <t>2Q25 Pre: 1H 선수요 반영, 2H M/S 확장 여부 주목</t>
  </si>
  <si>
    <t>84409</t>
  </si>
  <si>
    <t>역대 최대 실적 예상</t>
  </si>
  <si>
    <t>84408</t>
  </si>
  <si>
    <t>분기 최대 실적 전망</t>
  </si>
  <si>
    <t>84407</t>
  </si>
  <si>
    <t>분기 최고 실적 전망</t>
  </si>
  <si>
    <t>84406</t>
  </si>
  <si>
    <t>역대 최고 실적 전망</t>
  </si>
  <si>
    <t>84405</t>
  </si>
  <si>
    <t xml:space="preserve">2Q25 Re: 안정적 실적, 더욱 기대되는 하반기 </t>
  </si>
  <si>
    <t>84404</t>
  </si>
  <si>
    <t>상법 개정으로 승계는 빨라지고, 주주환원은 늘어날 듯</t>
  </si>
  <si>
    <t>84403</t>
  </si>
  <si>
    <t>상법 개정과 PBR 1배 이상을 향한 경영진의 의지</t>
  </si>
  <si>
    <t>84402</t>
  </si>
  <si>
    <t>일시적 비용 감소에 의한 증익</t>
  </si>
  <si>
    <t>84401</t>
  </si>
  <si>
    <t>단기적으로는 쉬어가는 분위기</t>
  </si>
  <si>
    <t>84400</t>
  </si>
  <si>
    <t>[2Q25 Review] 선방한 2분기. 내심 기대하는 3분기</t>
  </si>
  <si>
    <t>84399</t>
  </si>
  <si>
    <t>[2Q25 Preview] 광주공장 화재와 관세 영향 고려</t>
  </si>
  <si>
    <t>84398</t>
  </si>
  <si>
    <t>[2Q25 Preview] 북미 매출 회복 상황에서 관세 부담 가시화</t>
  </si>
  <si>
    <t>84397</t>
  </si>
  <si>
    <t>폴란드 2차 계약, 여기서 끝이 아니다</t>
  </si>
  <si>
    <t>84396</t>
  </si>
  <si>
    <t>84395</t>
  </si>
  <si>
    <t>회복 시기 지연</t>
  </si>
  <si>
    <t>84394</t>
  </si>
  <si>
    <t>2Q25 Review: 유류비 감소로 비용 증가분 상쇄</t>
  </si>
  <si>
    <t>84393</t>
  </si>
  <si>
    <t xml:space="preserve">브랜드 파워가 이끌 실적 성장 </t>
  </si>
  <si>
    <t>84392</t>
  </si>
  <si>
    <t>적정가치 도달</t>
  </si>
  <si>
    <t>84391</t>
  </si>
  <si>
    <t>실망감도 이미 반영된 주가</t>
  </si>
  <si>
    <t>84390</t>
  </si>
  <si>
    <t>모멘텀은 이제 시작</t>
  </si>
  <si>
    <t>84389</t>
  </si>
  <si>
    <t>건전성 우려 완화</t>
  </si>
  <si>
    <t>84388</t>
  </si>
  <si>
    <t>빠른 자본비율 상승으로 환원 확대 가능</t>
  </si>
  <si>
    <t>84387</t>
  </si>
  <si>
    <t>배당소득 비과세 기대는 충분히 반영</t>
  </si>
  <si>
    <t>84386</t>
  </si>
  <si>
    <t>자본비율 안정으로 환원 가속 기대</t>
  </si>
  <si>
    <t>84385</t>
  </si>
  <si>
    <t>장기 보유 매력 유효</t>
  </si>
  <si>
    <t>84384</t>
  </si>
  <si>
    <t xml:space="preserve">실적이 쑥쑥, 신용도 쑥쑥 </t>
  </si>
  <si>
    <t>84383</t>
  </si>
  <si>
    <t>중장기적 관점에서 대응</t>
  </si>
  <si>
    <t>84382</t>
  </si>
  <si>
    <t>사상최대 분기 실적 전망</t>
  </si>
  <si>
    <t>84381</t>
  </si>
  <si>
    <t xml:space="preserve">다가온 성수기 </t>
  </si>
  <si>
    <t>84380</t>
  </si>
  <si>
    <t>2분기 수주 일부 이연</t>
  </si>
  <si>
    <t>84379</t>
  </si>
  <si>
    <t>환율 변동에 따른 원가율 상승으로 실적 부진 전망</t>
  </si>
  <si>
    <t>84378</t>
  </si>
  <si>
    <t>신규 브랜드가 이끄는 양호한 실적 전망</t>
  </si>
  <si>
    <t>84377</t>
  </si>
  <si>
    <t>분위기 반전을 기대해도 좋습니다</t>
  </si>
  <si>
    <t>84376</t>
  </si>
  <si>
    <t>더욱 적극적인 주주환원 기대</t>
  </si>
  <si>
    <t>84375</t>
  </si>
  <si>
    <t>P/B 1배 도달을 위한 마지막 단계</t>
  </si>
  <si>
    <t>84374</t>
  </si>
  <si>
    <t>제도 동향은 긍정적이나 보다 확실한 개선 필요</t>
  </si>
  <si>
    <t>84373</t>
  </si>
  <si>
    <t>알려진 부진, 연말을 보자</t>
  </si>
  <si>
    <t>84372</t>
  </si>
  <si>
    <t>잘 팔린 DLC, 역주행 브더2</t>
  </si>
  <si>
    <t>84371</t>
  </si>
  <si>
    <t>2Q25 Preview: Sun 성장 기대</t>
  </si>
  <si>
    <t>84370</t>
  </si>
  <si>
    <t>K-Pop Hunters</t>
  </si>
  <si>
    <t>84369</t>
  </si>
  <si>
    <t>가능성에 베팅</t>
  </si>
  <si>
    <t>84368</t>
  </si>
  <si>
    <t>Clean work</t>
  </si>
  <si>
    <t>84367</t>
  </si>
  <si>
    <t>제한적인 고액 사고 영향 전망</t>
  </si>
  <si>
    <t>84366</t>
  </si>
  <si>
    <t>좋은 건 같이 알기</t>
  </si>
  <si>
    <t>84365</t>
  </si>
  <si>
    <t>2Q25 Re; 고운임과 유류단가 하락에 따른 호실적</t>
  </si>
  <si>
    <t>84364</t>
  </si>
  <si>
    <t xml:space="preserve">2Q25 Pre: 점진적인 회복, 컨센 부합 </t>
  </si>
  <si>
    <t>84363</t>
  </si>
  <si>
    <t>그럼에도 잘 될 걸 아니까</t>
  </si>
  <si>
    <t>84361</t>
  </si>
  <si>
    <t>예정된 부진과 빠른 턴어라운드</t>
  </si>
  <si>
    <t>84360</t>
  </si>
  <si>
    <t>2Q25 Pre: 일회성 요인으로 컨센 하회</t>
  </si>
  <si>
    <t>84359</t>
  </si>
  <si>
    <t>이제 적자 넷마블은 잊어줘</t>
  </si>
  <si>
    <t>84358</t>
  </si>
  <si>
    <t>2Q25 Preview: 새로운 청사진이 필요</t>
  </si>
  <si>
    <t>84357</t>
  </si>
  <si>
    <t>U턴 지속 중</t>
  </si>
  <si>
    <t>84356</t>
  </si>
  <si>
    <t>주가의 속도조절이 필요한 시기</t>
  </si>
  <si>
    <t>84355</t>
  </si>
  <si>
    <t>상반기 수주, 연간 목표의 81% 달성 전망</t>
  </si>
  <si>
    <t>84354</t>
  </si>
  <si>
    <t>길게 보면 더 아름답다</t>
  </si>
  <si>
    <t>84353</t>
  </si>
  <si>
    <t>84352</t>
  </si>
  <si>
    <t>배당수익률(6.3%) 및 밸류에이션 매력적</t>
  </si>
  <si>
    <t>84351</t>
  </si>
  <si>
    <t>기관총 중동향 수출 증가로 수익성 개선 가속화</t>
  </si>
  <si>
    <t>84350</t>
  </si>
  <si>
    <t>플라즈마, UTG, 방산 등 실적의 날개를 달다</t>
  </si>
  <si>
    <t>84349</t>
  </si>
  <si>
    <t>내년부터 제대로 달린다</t>
  </si>
  <si>
    <t>84348</t>
  </si>
  <si>
    <t>일회성 제외하면 무난한 실적</t>
  </si>
  <si>
    <t>84347</t>
  </si>
  <si>
    <t>News 코멘트: SK온과 북미 ESS용 LFP 양극재 공급을 위한 업무협약(MOU) 체결</t>
  </si>
  <si>
    <t>84346</t>
  </si>
  <si>
    <t>불황에도 강한데 다가올 호황에는?</t>
  </si>
  <si>
    <t>84345</t>
  </si>
  <si>
    <t>이제부터는 실적이 따라붙을 것</t>
  </si>
  <si>
    <t>84344</t>
  </si>
  <si>
    <t>실적 정상화와 주주환원 강화 기대</t>
  </si>
  <si>
    <t>84343</t>
  </si>
  <si>
    <t>아메리칸 나이트메어 그리고 인디안 드림</t>
  </si>
  <si>
    <t>84342</t>
  </si>
  <si>
    <t>2025-07-11</t>
  </si>
  <si>
    <t xml:space="preserve">2Q25 Pre: Top 10 고객사 순위 격변 중 </t>
  </si>
  <si>
    <t>84341</t>
  </si>
  <si>
    <t>2분기 무난하게</t>
  </si>
  <si>
    <t>84340</t>
  </si>
  <si>
    <t>프로야구 인기와 동반하고 있는 야구 라인업</t>
  </si>
  <si>
    <t>84339</t>
  </si>
  <si>
    <t>스키즈 레버리지</t>
  </si>
  <si>
    <t>84338</t>
  </si>
  <si>
    <t>효자손 같은 기업!</t>
  </si>
  <si>
    <t>84337</t>
  </si>
  <si>
    <t>안정적인 케이캡 처방 증가</t>
  </si>
  <si>
    <t>84336</t>
  </si>
  <si>
    <t>2분기도 어려웠던 식품</t>
  </si>
  <si>
    <t>84335</t>
  </si>
  <si>
    <t>작년 하반기 기저가 두렵지 않은 이유</t>
  </si>
  <si>
    <t>84334</t>
  </si>
  <si>
    <t>217190</t>
  </si>
  <si>
    <t>제너셈</t>
  </si>
  <si>
    <t xml:space="preserve">꾸준히 준비 중인 미래 </t>
  </si>
  <si>
    <t>84333</t>
  </si>
  <si>
    <t>하반기 실적 개선 사이클 진입 전망</t>
  </si>
  <si>
    <t>84332</t>
  </si>
  <si>
    <t>가보지 않은 길을 가려합니다</t>
  </si>
  <si>
    <t>84331</t>
  </si>
  <si>
    <t>NB-Latex, 2분기 부진에도 3분기 레벨업은 변화 없어</t>
  </si>
  <si>
    <t>84330</t>
  </si>
  <si>
    <t>부진한 업황 속 그래도 개선 포인트들이 조금씩 출현하고 있는 요즘</t>
  </si>
  <si>
    <t>84329</t>
  </si>
  <si>
    <t>하반기 3가지 관전 포인트</t>
  </si>
  <si>
    <t>84328</t>
  </si>
  <si>
    <t>정제마진 하단 지지 요인 vs 유가 추가 조정 가능성</t>
  </si>
  <si>
    <t>84327</t>
  </si>
  <si>
    <t>엔무브 상장 철회가 시사하는 것</t>
  </si>
  <si>
    <t>84326</t>
  </si>
  <si>
    <t>여전한 OBBB 법안 불확실성, 그리고 몇 가지 아쉬움</t>
  </si>
  <si>
    <t>84325</t>
  </si>
  <si>
    <t>우려와 달리 아직까지 관세 관련 비용 부담은 미미</t>
  </si>
  <si>
    <t>84324</t>
  </si>
  <si>
    <t>글로벌 1위 업체의 위용으로 버텨내는 관세 부담</t>
  </si>
  <si>
    <t>84323</t>
  </si>
  <si>
    <t>하반기 스프레드 추가 개선을 기대할 수 있는 이유</t>
  </si>
  <si>
    <t>84322</t>
  </si>
  <si>
    <t>상반기와는 확실히 다른 분위기를 느낄 수 있을 하반기</t>
  </si>
  <si>
    <t>84321</t>
  </si>
  <si>
    <t>ADEL-Y01 가치는 아직 미반영</t>
  </si>
  <si>
    <t>84320</t>
  </si>
  <si>
    <t>연중 이어지는 실적 기저 부담과 투자포인트</t>
  </si>
  <si>
    <t>84319</t>
  </si>
  <si>
    <t>사업 부문별 온도차</t>
  </si>
  <si>
    <t>84318</t>
  </si>
  <si>
    <t>양호한 실적, 해외 수주 공백 축소</t>
  </si>
  <si>
    <t>84316</t>
  </si>
  <si>
    <t>뚜렷한 주택 원가율 개선</t>
  </si>
  <si>
    <t>84315</t>
  </si>
  <si>
    <t>아쉬운 2분기, 상저하고의 실적 흐름 기대</t>
  </si>
  <si>
    <t>84314</t>
  </si>
  <si>
    <t>2Q25 Preview: 케이캡® 해외 진출 확대</t>
  </si>
  <si>
    <t>84313</t>
  </si>
  <si>
    <t>3Q25부터 다시 성장국면 돌입</t>
  </si>
  <si>
    <t>84312</t>
  </si>
  <si>
    <t>하반기를 주목하자</t>
  </si>
  <si>
    <t>84311</t>
  </si>
  <si>
    <t>노 젓는 구간</t>
  </si>
  <si>
    <t>84310</t>
  </si>
  <si>
    <t>과도한 우려는 경계</t>
  </si>
  <si>
    <t>84309</t>
  </si>
  <si>
    <t>저PER주의 턴어라운드</t>
  </si>
  <si>
    <t>84308</t>
  </si>
  <si>
    <t>2Q25 Preview: 그럼에도 불구하고, 컨센서스 상회 추정</t>
  </si>
  <si>
    <t>84307</t>
  </si>
  <si>
    <t>글로벌 1위의 경쟁력</t>
  </si>
  <si>
    <t>84306</t>
  </si>
  <si>
    <t>변함없는 탑픽</t>
  </si>
  <si>
    <t>84305</t>
  </si>
  <si>
    <t>인고의 시간. 빛날 내년</t>
  </si>
  <si>
    <t>84304</t>
  </si>
  <si>
    <t>하반기부터는 실적도 리뉴얼</t>
  </si>
  <si>
    <t>84303</t>
  </si>
  <si>
    <t>260930</t>
  </si>
  <si>
    <t>씨티케이</t>
  </si>
  <si>
    <t>성장 준비 중. 친환경 정책 수혜도 기대</t>
  </si>
  <si>
    <t>84302</t>
  </si>
  <si>
    <t>84301</t>
  </si>
  <si>
    <t>전원공급장치(SMPS) 전문기업</t>
  </si>
  <si>
    <t>84300</t>
  </si>
  <si>
    <t>제품 믹스 개선과 원가개선 효과 지속 전망</t>
  </si>
  <si>
    <t>84299</t>
  </si>
  <si>
    <t xml:space="preserve">2분기도 이상무 </t>
  </si>
  <si>
    <t>84296</t>
  </si>
  <si>
    <t>389680</t>
  </si>
  <si>
    <t>유디엠텍</t>
  </si>
  <si>
    <t>자동화 공정 데이터 분석 AI 솔루션으로 스마트 제조 시장 공략 가속화</t>
  </si>
  <si>
    <t>84295</t>
  </si>
  <si>
    <t>307870</t>
  </si>
  <si>
    <t>비투엔</t>
  </si>
  <si>
    <t>인공지능과 빅데이터 융합을 통한 데이터 거버넌스 전문기업</t>
  </si>
  <si>
    <t>84294</t>
  </si>
  <si>
    <t>060260</t>
  </si>
  <si>
    <t>뉴보텍</t>
  </si>
  <si>
    <t>물 환경 인프라를 선도하는 종합 환경솔루션 전문기업</t>
  </si>
  <si>
    <t>84293</t>
  </si>
  <si>
    <t>024740</t>
  </si>
  <si>
    <t>한일단조</t>
  </si>
  <si>
    <t>자동차·방산 단조 부품 전문기업</t>
  </si>
  <si>
    <t>84292</t>
  </si>
  <si>
    <t>84291</t>
  </si>
  <si>
    <t>다시 확장의 시기로</t>
  </si>
  <si>
    <t>84290</t>
  </si>
  <si>
    <t>전기화, 방산, 주주 환원 정책의 삼박자</t>
  </si>
  <si>
    <t>84288</t>
  </si>
  <si>
    <t>시황 불확실성 있지만, 배당수익률 여전히 매력적</t>
  </si>
  <si>
    <t>84287</t>
  </si>
  <si>
    <t>2Q25 preview - NAV 할인율 축소가 필요한 시점</t>
  </si>
  <si>
    <t>84286</t>
  </si>
  <si>
    <t>2025-07-10</t>
  </si>
  <si>
    <t>경영권분쟁 및 업황 Update</t>
  </si>
  <si>
    <t>84285</t>
  </si>
  <si>
    <t>2Q25Pre: 하반기 기대</t>
  </si>
  <si>
    <t>84284</t>
  </si>
  <si>
    <t>성장 동력이 필요한 시기</t>
  </si>
  <si>
    <t>84283</t>
  </si>
  <si>
    <t>시장 확대와 실적이 바로 붙는 M&amp;A</t>
  </si>
  <si>
    <t>84282</t>
  </si>
  <si>
    <t>가장 빛나는 순간</t>
  </si>
  <si>
    <t>84281</t>
  </si>
  <si>
    <t>실적은 주춤, 하지만 모멘텀은 여전히 유효</t>
  </si>
  <si>
    <t>84280</t>
  </si>
  <si>
    <t>Mega IP가 둘</t>
  </si>
  <si>
    <t>84279</t>
  </si>
  <si>
    <t>[2Q25 Preview] 사업 규모 축소 기저 구간 도달</t>
  </si>
  <si>
    <t>84278</t>
  </si>
  <si>
    <t>2Q25 Pre: 분기 최대 실적 전망</t>
  </si>
  <si>
    <t>84277</t>
  </si>
  <si>
    <t>2Q25 Pre: 해외궐련 순항 + 추경 모멘텀 + 주주환원 콜라보</t>
  </si>
  <si>
    <t>84276</t>
  </si>
  <si>
    <t>와우 게임즈 인수, 소셜카지노 반등 기대</t>
  </si>
  <si>
    <t>84275</t>
  </si>
  <si>
    <t>2Q25 Pre: 장기전</t>
  </si>
  <si>
    <t>84274</t>
  </si>
  <si>
    <t>끝날 기미가 없는 호황</t>
  </si>
  <si>
    <t>84273</t>
  </si>
  <si>
    <t>2Q 프리뷰 - 깜짝 실적 발표 전망, 상승 기조 지속 예상</t>
  </si>
  <si>
    <t>84272</t>
  </si>
  <si>
    <t>2Q 프리뷰 - 실적보단 7월 말 DPS 발표가 중요</t>
  </si>
  <si>
    <t>84271</t>
  </si>
  <si>
    <t>단기 과제는 BEP, 장기 비전은 AI 헬스케어</t>
  </si>
  <si>
    <t>84270</t>
  </si>
  <si>
    <t>관심을 가져야 할 시점</t>
  </si>
  <si>
    <t>84269</t>
  </si>
  <si>
    <t>해외 궐련 성장 + 주주환원 = 여전히 남아있는 업사이드</t>
  </si>
  <si>
    <t>84268</t>
  </si>
  <si>
    <t>폴더블폰, 힌지가 주인공~</t>
  </si>
  <si>
    <t>84267</t>
  </si>
  <si>
    <t>이익의 레벨이 달라진다</t>
  </si>
  <si>
    <t>84266</t>
  </si>
  <si>
    <t>잠깐의 흔들림, 커지는 BTS의 실루엣</t>
  </si>
  <si>
    <t>84265</t>
  </si>
  <si>
    <t>2Q25 Preview: 고속도로 진입</t>
  </si>
  <si>
    <t>84264</t>
  </si>
  <si>
    <t>2Q25 Preview; 잘하고 있어츄</t>
  </si>
  <si>
    <t>84263</t>
  </si>
  <si>
    <t>2Q25 Preview: 연간 실적은 무난하나, 수주는 성장할 것</t>
  </si>
  <si>
    <t>84262</t>
  </si>
  <si>
    <t>인투셀-에이비엘 기술 이전 계약 해지, 주요 쟁점은?</t>
  </si>
  <si>
    <t>84261</t>
  </si>
  <si>
    <t>2Q25 Preview: 규제에도 불구하고 2027년까지 확보된 성장</t>
  </si>
  <si>
    <t>84260</t>
  </si>
  <si>
    <t>2분기도 순항</t>
  </si>
  <si>
    <t>84259</t>
  </si>
  <si>
    <t>서행할 차례</t>
  </si>
  <si>
    <t>84258</t>
  </si>
  <si>
    <t>와우게임즈 인수 코멘트</t>
  </si>
  <si>
    <t>84257</t>
  </si>
  <si>
    <t>상법개정의 나비효과</t>
  </si>
  <si>
    <t>84256</t>
  </si>
  <si>
    <t>2분기까지는</t>
  </si>
  <si>
    <t>84255</t>
  </si>
  <si>
    <t>배당 수익률 6.5% 예상되는 고배당주</t>
  </si>
  <si>
    <t>84254</t>
  </si>
  <si>
    <t>하반기를 넘어 2026년까지</t>
  </si>
  <si>
    <t>84253</t>
  </si>
  <si>
    <t>진단제 3상 성공으로 유효성 논란 종결</t>
  </si>
  <si>
    <t>84252</t>
  </si>
  <si>
    <t>2Q25 Preview: 높은 가동률, 강한 수요</t>
  </si>
  <si>
    <t>84251</t>
  </si>
  <si>
    <t>배당 수익률 5.7% 예상되는 고배당주</t>
  </si>
  <si>
    <t>84250</t>
  </si>
  <si>
    <t>예상보다 강한 업황</t>
  </si>
  <si>
    <t>84249</t>
  </si>
  <si>
    <t>84248</t>
  </si>
  <si>
    <t>연기처럼 퍼지는 K-담배</t>
  </si>
  <si>
    <t>84247</t>
  </si>
  <si>
    <t>예상보다 힘에 부치는 시황</t>
  </si>
  <si>
    <t>84246</t>
  </si>
  <si>
    <t>위기와 전환의 경계선</t>
  </si>
  <si>
    <t>84245</t>
  </si>
  <si>
    <t>2Q25 pre: 향상된 이익 레벨 재확인</t>
  </si>
  <si>
    <t>84244</t>
  </si>
  <si>
    <t>관세 시대 개막, 이제 버티기 싸움</t>
  </si>
  <si>
    <t>84243</t>
  </si>
  <si>
    <t>최대실적 개선과 자본비율 상승 기대</t>
  </si>
  <si>
    <t>84242</t>
  </si>
  <si>
    <t>트러플이 만든 글로벌 성장 스토리</t>
  </si>
  <si>
    <t>84241</t>
  </si>
  <si>
    <t>84240</t>
  </si>
  <si>
    <t>2Q25 Preview: 수익성 개선세 진입</t>
  </si>
  <si>
    <t>84239</t>
  </si>
  <si>
    <t>84238</t>
  </si>
  <si>
    <t>멕시코 공장의 약진과 중복상장 우려 해소 기대</t>
  </si>
  <si>
    <t>84237</t>
  </si>
  <si>
    <t>공매도를 이겨내며 우상향 중, 최선호주 유지</t>
  </si>
  <si>
    <t>84236</t>
  </si>
  <si>
    <t>2분기도 부진</t>
  </si>
  <si>
    <t>84235</t>
  </si>
  <si>
    <t>2025-07-09</t>
  </si>
  <si>
    <t>점유율 방어 확인 기대</t>
  </si>
  <si>
    <t>84234</t>
  </si>
  <si>
    <t>멈추지 않는 방산 사업부 성장</t>
  </si>
  <si>
    <t>84233</t>
  </si>
  <si>
    <t>2Q25 Preview: 언제나 매수 적기인 주식</t>
  </si>
  <si>
    <t>84232</t>
  </si>
  <si>
    <t>2Q25 Pre: 아직은 기다림이 필요</t>
  </si>
  <si>
    <t>84231</t>
  </si>
  <si>
    <t>B2C 영역 확장의 기점</t>
  </si>
  <si>
    <t>84230</t>
  </si>
  <si>
    <t>2Q25 Pre: 3분기 모멘텀들을 기대…</t>
  </si>
  <si>
    <t>84229</t>
  </si>
  <si>
    <t>2Q25 Pre; 분할 철회가 남긴 고민, 그래서 아직도 사도 돼요?</t>
  </si>
  <si>
    <t>84228</t>
  </si>
  <si>
    <t>탑라인 성장에 주목할 시점</t>
  </si>
  <si>
    <t>84227</t>
  </si>
  <si>
    <t>2분기 실적 바닥 확인, 하반기 모멘텀에 주목</t>
  </si>
  <si>
    <t>84226</t>
  </si>
  <si>
    <t>AI 도입을 통한 톡비즈 매출 회복이 주가 지속 상승의 키</t>
  </si>
  <si>
    <t>84225</t>
  </si>
  <si>
    <t>좋은 주식이 될 수 있다</t>
  </si>
  <si>
    <t>84224</t>
  </si>
  <si>
    <t>성장축은 해외에 있다</t>
  </si>
  <si>
    <t>84223</t>
  </si>
  <si>
    <t>작품당 이익 증가 전망</t>
  </si>
  <si>
    <t>84222</t>
  </si>
  <si>
    <t>비수기에도 선방, 이익부터 차근차근 좋아지는 중</t>
  </si>
  <si>
    <t>84221</t>
  </si>
  <si>
    <t>확실한 실적 바닥</t>
  </si>
  <si>
    <t>84220</t>
  </si>
  <si>
    <t>2Q25Pre: 변함없는 하반기 방향성</t>
  </si>
  <si>
    <t>84219</t>
  </si>
  <si>
    <t>순수 내수 업체로서 부각</t>
  </si>
  <si>
    <t>84218</t>
  </si>
  <si>
    <t>일본 성장 둔화 vs 글로벌 확장 가속</t>
  </si>
  <si>
    <t>84217</t>
  </si>
  <si>
    <t>좋아질 일만 남았다!</t>
  </si>
  <si>
    <t>84216</t>
  </si>
  <si>
    <t>2Q25 Pre: 해외가 여전히 좋네</t>
  </si>
  <si>
    <t>84215</t>
  </si>
  <si>
    <t>2Q 프리뷰 - 역대급 실적일 듯, 단 DPS 발표가 더 중요</t>
  </si>
  <si>
    <t>84214</t>
  </si>
  <si>
    <t xml:space="preserve">LGES 서프라이즈 제외하면 기대치 하회 </t>
  </si>
  <si>
    <t>84213</t>
  </si>
  <si>
    <t xml:space="preserve">2Q25 잠정실적 리뷰 : 낮았던 기대. 악재 해소에 무게 </t>
  </si>
  <si>
    <t>84212</t>
  </si>
  <si>
    <t>메모리반도체 영업이익 3.1조원</t>
  </si>
  <si>
    <t>84211</t>
  </si>
  <si>
    <t>2Q25 Pre: 컨센 부합, 하반기 R&amp;D 주목</t>
  </si>
  <si>
    <t>84210</t>
  </si>
  <si>
    <t>가장 뜨겁게 준비중</t>
  </si>
  <si>
    <t>84209</t>
  </si>
  <si>
    <t>3Q25 실적은 개선될 전망이나..</t>
  </si>
  <si>
    <t>84208</t>
  </si>
  <si>
    <t>단단하게 다진 내실이 빛을 발할 때</t>
  </si>
  <si>
    <t>84207</t>
  </si>
  <si>
    <t>축제는 이제 시작</t>
  </si>
  <si>
    <t>84206</t>
  </si>
  <si>
    <t>본업 회복 감지</t>
  </si>
  <si>
    <t>84205</t>
  </si>
  <si>
    <t>벨류에이션 상단은 원전 수주와 함께 돌파 기대</t>
  </si>
  <si>
    <t>84204</t>
  </si>
  <si>
    <t>2Q25 Pre: 라이선스 및 API 매출 성장 지속</t>
  </si>
  <si>
    <t>84203</t>
  </si>
  <si>
    <t>IR 後記: 기존 사업의 실적 회복 속에 장비 사업의 본격 성장 기대</t>
  </si>
  <si>
    <t>84202</t>
  </si>
  <si>
    <t>2분기는 예상대로</t>
  </si>
  <si>
    <t>84201</t>
  </si>
  <si>
    <t>Bottom or Breakdown?</t>
  </si>
  <si>
    <t>84200</t>
  </si>
  <si>
    <t>큰 그림을 위한 예열 중</t>
  </si>
  <si>
    <t>84199</t>
  </si>
  <si>
    <t>FLNG의 힘</t>
  </si>
  <si>
    <t>84198</t>
  </si>
  <si>
    <t>반등 전 숨 고르기</t>
  </si>
  <si>
    <t>84197</t>
  </si>
  <si>
    <t>Drowning in 2Q Numbers, Not in Narrative</t>
  </si>
  <si>
    <t>84196</t>
  </si>
  <si>
    <t>관세-수요-믹스가 교체하는 실적 전환기</t>
  </si>
  <si>
    <t>84194</t>
  </si>
  <si>
    <t>065660</t>
  </si>
  <si>
    <t>안트로젠</t>
  </si>
  <si>
    <t>동종 줄기세포 치료제 일본 허가 신청 완료</t>
  </si>
  <si>
    <t>84193</t>
  </si>
  <si>
    <t>분기 최대실적 도전</t>
  </si>
  <si>
    <t>84192</t>
  </si>
  <si>
    <t>지나간 것은 지나간 대로,</t>
  </si>
  <si>
    <t>84191</t>
  </si>
  <si>
    <t>로봇 자율주행 솔루션 분야 강자</t>
  </si>
  <si>
    <t>84190</t>
  </si>
  <si>
    <t>25년 2분기. DS 부진, MX는 기대 이상</t>
  </si>
  <si>
    <t>84189</t>
  </si>
  <si>
    <t>2025-07-08</t>
  </si>
  <si>
    <t>2Q25P: 아쉬운 반도체 vs MX 선방 지속</t>
  </si>
  <si>
    <t>84188</t>
  </si>
  <si>
    <t>에페글레나타이드가 ‘26년부터 실적을 견인할 것</t>
  </si>
  <si>
    <t>84187</t>
  </si>
  <si>
    <t>2Q Pre; 엑스코프리의 정상화</t>
  </si>
  <si>
    <t>84186</t>
  </si>
  <si>
    <t>2Q Pre; 미국 선적 분기 추정치 하향</t>
  </si>
  <si>
    <t>84185</t>
  </si>
  <si>
    <t>완벽했던 상반기</t>
  </si>
  <si>
    <t>84184</t>
  </si>
  <si>
    <t>소비심리 둔화로 예상치 하회</t>
  </si>
  <si>
    <t>84183</t>
  </si>
  <si>
    <t>힘든 시기에도 무너지지 않는 이익 레벨</t>
  </si>
  <si>
    <t>84182</t>
  </si>
  <si>
    <t>올해 배당금은 유지될 전망, 악재 소멸로 봐야</t>
  </si>
  <si>
    <t>84181</t>
  </si>
  <si>
    <t>84180</t>
  </si>
  <si>
    <t>역대 최대 실적 전망</t>
  </si>
  <si>
    <t>84179</t>
  </si>
  <si>
    <t>코스피 이전 가능성과 BS까지 시장 확대 부각</t>
  </si>
  <si>
    <t>84178</t>
  </si>
  <si>
    <t>정책 불확실성은 해소, 펀더멘탈 개선을 기대</t>
  </si>
  <si>
    <t>84177</t>
  </si>
  <si>
    <t>2Q 25 잠정실적 코멘트 - 서프라이즈 기록했으나, 하반기 북미 우려 확대</t>
  </si>
  <si>
    <t>84176</t>
  </si>
  <si>
    <t>유종의 미를 거둘 SM 3.0</t>
  </si>
  <si>
    <t>84175</t>
  </si>
  <si>
    <t>베트남 IR Trip 후기 - 성장 잠재력 확인, 밸류에이션 프리미엄은 정당</t>
  </si>
  <si>
    <t>84174</t>
  </si>
  <si>
    <t xml:space="preserve">울산 LNG발전소 가치가 얹어지다! </t>
  </si>
  <si>
    <t>84173</t>
  </si>
  <si>
    <t>3분기 흑자 가시화, 구조적 리레이팅 시작</t>
  </si>
  <si>
    <t>84172</t>
  </si>
  <si>
    <t xml:space="preserve">견조한 일본과 반등 시작한 중국 </t>
  </si>
  <si>
    <t>84171</t>
  </si>
  <si>
    <t xml:space="preserve"> 베트남 웨스트레이크 하노이에 성공적으로 깃발을 꽂다</t>
  </si>
  <si>
    <t>84170</t>
  </si>
  <si>
    <t>기대감은 유효한 시점</t>
  </si>
  <si>
    <t>84169</t>
  </si>
  <si>
    <t>유가, 환율 하락으로 선방</t>
  </si>
  <si>
    <t>84168</t>
  </si>
  <si>
    <t xml:space="preserve"> 2Q, MS(TV 등)가 부진! </t>
  </si>
  <si>
    <t>84167</t>
  </si>
  <si>
    <t>원전이라는 장밋빛 미래</t>
  </si>
  <si>
    <t>84166</t>
  </si>
  <si>
    <t>실질은 변함없음. 최근 주가 하락은 저가 매수 기회</t>
  </si>
  <si>
    <t>84165</t>
  </si>
  <si>
    <t>중장기 실적 성장 가시성 대비 여전히 저평가</t>
  </si>
  <si>
    <t>84164</t>
  </si>
  <si>
    <t>정석대로 올라가는 실적</t>
  </si>
  <si>
    <t>84163</t>
  </si>
  <si>
    <t>실적 턴어라운드 본격화, 모멘텀 겸비</t>
  </si>
  <si>
    <t>84162</t>
  </si>
  <si>
    <t>철강 부문이 견인하는 실적</t>
  </si>
  <si>
    <t>84161</t>
  </si>
  <si>
    <t>뚜렷해지는 회복 시그널</t>
  </si>
  <si>
    <t>84160</t>
  </si>
  <si>
    <t>2Q25 Preview: 단단한 방어력</t>
  </si>
  <si>
    <t>84159</t>
  </si>
  <si>
    <t>LG전자 실적이 보여준 관세 충격의 단면 (feat. 2분기 잠정실적 결론)</t>
  </si>
  <si>
    <t>84158</t>
  </si>
  <si>
    <t>미국 감세법안 시행으로 인한 불확실성 확대</t>
  </si>
  <si>
    <t>84157</t>
  </si>
  <si>
    <t>궤도 복귀를 위한 인내의 시간</t>
  </si>
  <si>
    <t>84156</t>
  </si>
  <si>
    <t>턴어라운드를 앞둔 AI 인프라+방산 수혜주</t>
  </si>
  <si>
    <t>84155</t>
  </si>
  <si>
    <t>왜 오르나</t>
  </si>
  <si>
    <t>84154</t>
  </si>
  <si>
    <t>LG에너지솔루션 잠정실적 발표</t>
  </si>
  <si>
    <t>84153</t>
  </si>
  <si>
    <t>하반기 실적 기대감 여전히 유효</t>
  </si>
  <si>
    <t>84152</t>
  </si>
  <si>
    <t>2Q25 Preview: 실적은 무난, 모멘텀은 R&amp;D</t>
  </si>
  <si>
    <t>84151</t>
  </si>
  <si>
    <t>2분기 서프, 그러나 하반기 불확실성 잔존 (재고, 관세)</t>
  </si>
  <si>
    <t>84150</t>
  </si>
  <si>
    <t>우려 대비 견조한 실적 기록 예상</t>
  </si>
  <si>
    <t>84148</t>
  </si>
  <si>
    <t>K뷰티 성장 수혜 덕에 국내 법인 성장 기대</t>
  </si>
  <si>
    <t>84147</t>
  </si>
  <si>
    <t>2Q25 잠정 실적 코멘트</t>
  </si>
  <si>
    <t>84146</t>
  </si>
  <si>
    <t>히든천재</t>
  </si>
  <si>
    <t>84145</t>
  </si>
  <si>
    <t>국내/미국 아웃퍼폼 기대</t>
  </si>
  <si>
    <t>84144</t>
  </si>
  <si>
    <t>84143</t>
  </si>
  <si>
    <t>세 가지 IR 메세지</t>
  </si>
  <si>
    <t>84142</t>
  </si>
  <si>
    <t>현재보다 미래가 훨씬 더 기대된다</t>
  </si>
  <si>
    <t>84141</t>
  </si>
  <si>
    <t>국내 부진, 중국 회복 지속</t>
  </si>
  <si>
    <t>84140</t>
  </si>
  <si>
    <t>디스카운트 해소 구간</t>
  </si>
  <si>
    <t>84139</t>
  </si>
  <si>
    <t>툼바 확장은 진행 중</t>
  </si>
  <si>
    <t>84138</t>
  </si>
  <si>
    <t>공작기계가 빠진 자리에 움트는 성장동력</t>
  </si>
  <si>
    <t>84137</t>
  </si>
  <si>
    <t>상반기는 인내, 하반기는 반전</t>
  </si>
  <si>
    <t>84136</t>
  </si>
  <si>
    <t>북미 판매 증가로 믹스 개선</t>
  </si>
  <si>
    <t>84135</t>
  </si>
  <si>
    <t>R&amp;D 투자의 시기</t>
  </si>
  <si>
    <t>84134</t>
  </si>
  <si>
    <t>관세보다 아픈 MS</t>
  </si>
  <si>
    <t>84133</t>
  </si>
  <si>
    <t>2Q25 잠정 실적 리뷰: AMPC 효과, 제품 믹스 개선 등으로 영업이익 컨센서스 상회</t>
  </si>
  <si>
    <t>84132</t>
  </si>
  <si>
    <t>감익 업황에서도 DPS는 유지된다면?</t>
  </si>
  <si>
    <t>84131</t>
  </si>
  <si>
    <t>CareSens Air 이륙  준비 완료, 구조적  성장의 초입</t>
  </si>
  <si>
    <t>84130</t>
  </si>
  <si>
    <t>리얼타임 기술 고도화와 중장기 수익 구조 다변화</t>
  </si>
  <si>
    <t>84129</t>
  </si>
  <si>
    <t>2025-07-07</t>
  </si>
  <si>
    <t>2Q25 Pre: 추정의 영역을 넘어서</t>
  </si>
  <si>
    <t>84128</t>
  </si>
  <si>
    <t>2Q25 Pre: 2분기 저점으로 하반기 반등 기대</t>
  </si>
  <si>
    <t>84127</t>
  </si>
  <si>
    <t>2Q25 Re: K-선크림 고공비행</t>
  </si>
  <si>
    <t>84126</t>
  </si>
  <si>
    <t>2Q25 Pre; 성장속도 유지 중, 핵심은 비용</t>
  </si>
  <si>
    <t>84125</t>
  </si>
  <si>
    <t>잠재 성장 요소가 많은 구간</t>
  </si>
  <si>
    <t>84124</t>
  </si>
  <si>
    <t>2Q25 Preview: 시장예상치 부합 전망</t>
  </si>
  <si>
    <t>84123</t>
  </si>
  <si>
    <t>엑스코프리 처방량 회복 확인, 신제품 도입할 시점</t>
  </si>
  <si>
    <t>84122</t>
  </si>
  <si>
    <t>뚜렷한 우상향 방향성</t>
  </si>
  <si>
    <t>84121</t>
  </si>
  <si>
    <t>하반기를 가늠하며</t>
  </si>
  <si>
    <t>84120</t>
  </si>
  <si>
    <t>단기 주가는 니케 반등이 필요</t>
  </si>
  <si>
    <t>84119</t>
  </si>
  <si>
    <t>2Q25 Pre: 여전히 소재가 캐리</t>
  </si>
  <si>
    <t>84118</t>
  </si>
  <si>
    <t>[2Q25 Preview] 관세 영향보다 큰 미국 현지 비중 증가 효과</t>
  </si>
  <si>
    <t>84117</t>
  </si>
  <si>
    <t>정체된 실적 추정치</t>
  </si>
  <si>
    <t>84116</t>
  </si>
  <si>
    <t>용량 증가에도 G2 부작용은 아직</t>
  </si>
  <si>
    <t>84115</t>
  </si>
  <si>
    <t>자강불식(自强不息)</t>
  </si>
  <si>
    <t>84114</t>
  </si>
  <si>
    <t>#선택과 집중 #선점효과 #디지털교과서</t>
  </si>
  <si>
    <t>84113</t>
  </si>
  <si>
    <t>일시적 비용 증가, 체력은 견고</t>
  </si>
  <si>
    <t>84112</t>
  </si>
  <si>
    <t>미디어계의 듬직한 큰 형</t>
  </si>
  <si>
    <t>84111</t>
  </si>
  <si>
    <t>예상보다 강한 조치</t>
  </si>
  <si>
    <t>84110</t>
  </si>
  <si>
    <t>우호적인 요금정책 지속, 우호적인 요금정책 지속, 해외 원전건설 사업가치 재평가</t>
  </si>
  <si>
    <t>84109</t>
  </si>
  <si>
    <t>2H25부터 현금흐름 개선 본격화되지만, 여전히 요금 인상 필요</t>
  </si>
  <si>
    <t>84108</t>
  </si>
  <si>
    <t>바라보는 시각을 바꿀 때</t>
  </si>
  <si>
    <t>84107</t>
  </si>
  <si>
    <t>2Q25 Preview: 학습 효과 (positive)</t>
  </si>
  <si>
    <t>84106</t>
  </si>
  <si>
    <t>주주환원 계획 없이는 추가 상승 난망</t>
  </si>
  <si>
    <t>84105</t>
  </si>
  <si>
    <t>높은 주주환원율이 경쟁력</t>
  </si>
  <si>
    <t>84104</t>
  </si>
  <si>
    <t>배당소득 분리과세 시 수혜 가능</t>
  </si>
  <si>
    <t>84103</t>
  </si>
  <si>
    <t>증시 추가 상승 필요</t>
  </si>
  <si>
    <t>84102</t>
  </si>
  <si>
    <t>2Q25 Preview: 작년 2분기는 잊자</t>
  </si>
  <si>
    <t>84101</t>
  </si>
  <si>
    <t>2Q25 Preview: 글로벌 경쟁사 대비 상대적 이점</t>
  </si>
  <si>
    <t>84100</t>
  </si>
  <si>
    <t>2Q25 Preview: 변함없는 실적 흐름</t>
  </si>
  <si>
    <t>84099</t>
  </si>
  <si>
    <t>2Q25 Preview: 실적 하회 예상하나 핵심은 관세 협상</t>
  </si>
  <si>
    <t>84098</t>
  </si>
  <si>
    <t>해상풍력 수주 전성기 도래</t>
  </si>
  <si>
    <t>84097</t>
  </si>
  <si>
    <t>초유의 사태</t>
  </si>
  <si>
    <t>84096</t>
  </si>
  <si>
    <t>2Q25 Preview: 예상대로 순항 중</t>
  </si>
  <si>
    <t>84095</t>
  </si>
  <si>
    <t>단기 보수적인 관점 유지, 중장기 접근 필요</t>
  </si>
  <si>
    <t>84094</t>
  </si>
  <si>
    <t>84093</t>
  </si>
  <si>
    <t>정상화된 이익 예상되나 다소 과도한 기대감</t>
  </si>
  <si>
    <t>84092</t>
  </si>
  <si>
    <t>Agentic 의료AI 솔루션 글로벌 확장성 및 소버린 AI 수혜</t>
  </si>
  <si>
    <t>84091</t>
  </si>
  <si>
    <t>웨스트레이크 하노이점의 성공에 주목하는 이유</t>
  </si>
  <si>
    <t>84090</t>
  </si>
  <si>
    <t>하반기부터 경쟁사 공백 메우기 본격화 기대</t>
  </si>
  <si>
    <t>84089</t>
  </si>
  <si>
    <t>아직 끝이 아닙니다</t>
  </si>
  <si>
    <t>84088</t>
  </si>
  <si>
    <t>더할 나위 없었던 상반기가 지나고</t>
  </si>
  <si>
    <t>84087</t>
  </si>
  <si>
    <t>Westlake Hanoi Mall, 롯데의 자부심</t>
  </si>
  <si>
    <t>84086</t>
  </si>
  <si>
    <t>2Q25 Preview: 2분기 부진, 재도약을 기다리며</t>
  </si>
  <si>
    <t>84085</t>
  </si>
  <si>
    <t>2분기 Down, 3분기 Up!</t>
  </si>
  <si>
    <t>84084</t>
  </si>
  <si>
    <t>2025-07-04</t>
  </si>
  <si>
    <t>2Q25 Pre: 약속의 하반기가 다가오는 중</t>
  </si>
  <si>
    <t>84083</t>
  </si>
  <si>
    <t>PKG 수요 회복 감지</t>
  </si>
  <si>
    <t>84082</t>
  </si>
  <si>
    <t>단기 선수요 자극 효과 기대</t>
  </si>
  <si>
    <t>84081</t>
  </si>
  <si>
    <t>Valuation Call이 납득될 수 있는 시기가 온다</t>
  </si>
  <si>
    <t>84080</t>
  </si>
  <si>
    <t>하반기 광고 호조 전망</t>
  </si>
  <si>
    <t>84079</t>
  </si>
  <si>
    <t>부진한 2분기</t>
  </si>
  <si>
    <t>84078</t>
  </si>
  <si>
    <t>예상한대로 2분기 수익성 개선 가능할 것</t>
  </si>
  <si>
    <t>84077</t>
  </si>
  <si>
    <t>3분기부터 본격적인 수익성 개선 기대</t>
  </si>
  <si>
    <t>84076</t>
  </si>
  <si>
    <t>바닥 확인!</t>
  </si>
  <si>
    <t>84075</t>
  </si>
  <si>
    <t>2Q25 Pre: 시장 기대 부합 예상</t>
  </si>
  <si>
    <t>84074</t>
  </si>
  <si>
    <t>2Q25 Preview: 환율 영향 없음, 연간 가이던스 유지</t>
  </si>
  <si>
    <t>84073</t>
  </si>
  <si>
    <t>무소식이 희소식</t>
  </si>
  <si>
    <t>84072</t>
  </si>
  <si>
    <t>주택이 받치고 원전이 올리면</t>
  </si>
  <si>
    <t>84071</t>
  </si>
  <si>
    <t>2Q25 Preview: 견조한 실적, 기대되는 하반기</t>
  </si>
  <si>
    <t>84070</t>
  </si>
  <si>
    <t xml:space="preserve">실적 반등은 하반기부터 </t>
  </si>
  <si>
    <t>84069</t>
  </si>
  <si>
    <t>주가는 흔들려도, 실적은 오른다</t>
  </si>
  <si>
    <t>84068</t>
  </si>
  <si>
    <t>모든 게 사상 최대, 계속 쓰는 기록들</t>
  </si>
  <si>
    <t>84067</t>
  </si>
  <si>
    <t>AI 데이터센터 수주로 레벨업</t>
  </si>
  <si>
    <t>84066</t>
  </si>
  <si>
    <t>구조적 성장이 프리미엄을 만든다</t>
  </si>
  <si>
    <t>84065</t>
  </si>
  <si>
    <t>전력기기 황제주를 향하여</t>
  </si>
  <si>
    <t>84064</t>
  </si>
  <si>
    <t>지분 팔았지만, 판은 안 깨졌다</t>
  </si>
  <si>
    <t>84063</t>
  </si>
  <si>
    <t>[다시봐] 미국 지하철 무임승차? 나한테 맡겨!</t>
  </si>
  <si>
    <t>84062</t>
  </si>
  <si>
    <t>2025년 재무부담 진행 중...</t>
  </si>
  <si>
    <t>84061</t>
  </si>
  <si>
    <t>2Q25Pre: 외형 성장 지속</t>
  </si>
  <si>
    <t>84060</t>
  </si>
  <si>
    <t>차가운 실적, 화끈한 수주</t>
  </si>
  <si>
    <t>84059</t>
  </si>
  <si>
    <t xml:space="preserve">2Q25 컨센 부합, 하반기 수주와 정책에 주목 </t>
  </si>
  <si>
    <t>84058</t>
  </si>
  <si>
    <t>모멘텀 서서히 회복</t>
  </si>
  <si>
    <t>84057</t>
  </si>
  <si>
    <t>모멘텀 재개</t>
  </si>
  <si>
    <t>84056</t>
  </si>
  <si>
    <t>2Q25 Preview: 2분기 부진, 그럼에도 가까워진 반전의 기회</t>
  </si>
  <si>
    <t>84055</t>
  </si>
  <si>
    <t>2Q25 Preview: 조금씩 나아지는 중</t>
  </si>
  <si>
    <t>84054</t>
  </si>
  <si>
    <t>2Q25 Pre: 수출 확대로 컨센 상회</t>
  </si>
  <si>
    <t>84053</t>
  </si>
  <si>
    <t>오른 만큼 고민도 큰 주가</t>
  </si>
  <si>
    <t>84052</t>
  </si>
  <si>
    <t>실적보다 중요한 건 신호</t>
  </si>
  <si>
    <t>84051</t>
  </si>
  <si>
    <t>관세 리스크만 지나면 전동화 레버리지 효과 시작</t>
  </si>
  <si>
    <t>84050</t>
  </si>
  <si>
    <t>지금 좀 더 봐야하는 이유</t>
  </si>
  <si>
    <t>84049</t>
  </si>
  <si>
    <t>썬으로 다시 강화될 성장세</t>
  </si>
  <si>
    <t>84048</t>
  </si>
  <si>
    <t>실적과 가치의 교집합</t>
  </si>
  <si>
    <t>84047</t>
  </si>
  <si>
    <t>기다리던 반등의 시작</t>
  </si>
  <si>
    <t>84046</t>
  </si>
  <si>
    <t>B2B/미국/일본이 이끄는 성장</t>
  </si>
  <si>
    <t>84045</t>
  </si>
  <si>
    <t>우려는 덜어내고, 주식은 담을 때</t>
  </si>
  <si>
    <t>84044</t>
  </si>
  <si>
    <t>어차피 돌파할 주주환원율 50%</t>
  </si>
  <si>
    <t>84043</t>
  </si>
  <si>
    <t>환율 하락에도 양호한 실적 전망</t>
  </si>
  <si>
    <t>84042</t>
  </si>
  <si>
    <t>기다렸던 하반기, 다가올 결과들</t>
  </si>
  <si>
    <t>84041</t>
  </si>
  <si>
    <t>232530</t>
  </si>
  <si>
    <t>이엠티</t>
  </si>
  <si>
    <t>하이니켈 전구체를 제조하는 충주의 향토기업</t>
  </si>
  <si>
    <t>84040</t>
  </si>
  <si>
    <t>터널의 끝, 2025년 메탈파워인덕터가 견인할 턴어라운드</t>
  </si>
  <si>
    <t>84039</t>
  </si>
  <si>
    <t>Cisco를 주력으로 하는 네트워크 통합 업체</t>
  </si>
  <si>
    <t>84038</t>
  </si>
  <si>
    <t>탐방노트: 하반기 실적 개선 기대감 유효</t>
  </si>
  <si>
    <t>84037</t>
  </si>
  <si>
    <t>288980</t>
  </si>
  <si>
    <t>모아데이타</t>
  </si>
  <si>
    <t>AI 기반 IT 인프라 이상 탐지에서 헬스케어 전문기업으로 도약</t>
  </si>
  <si>
    <t>84036</t>
  </si>
  <si>
    <t>452160</t>
  </si>
  <si>
    <t>제이엔비</t>
  </si>
  <si>
    <t>정밀 가공 기술 기반의 반도체 진공펌프 핵심 부품 제조 전문기업</t>
  </si>
  <si>
    <t>84035</t>
  </si>
  <si>
    <t>2025-07-03</t>
  </si>
  <si>
    <t>폴란드 K2 2차 수주 효과: 1) 방산 모멘텀 강화 2) 역성장 우려 완화</t>
  </si>
  <si>
    <t>84034</t>
  </si>
  <si>
    <t>2Q25 Pre: 믿고 보는 나보타</t>
  </si>
  <si>
    <t>84033</t>
  </si>
  <si>
    <t>84032</t>
  </si>
  <si>
    <t>일시적 비용에 의한 감익 예상</t>
  </si>
  <si>
    <t>84031</t>
  </si>
  <si>
    <t>빅사이클 진입 가정 시 여전히 주가 저렴합니다</t>
  </si>
  <si>
    <t>84030</t>
  </si>
  <si>
    <t>탑라인 방향성 전환</t>
  </si>
  <si>
    <t>84029</t>
  </si>
  <si>
    <t>성수기는 봐야지</t>
  </si>
  <si>
    <t>84028</t>
  </si>
  <si>
    <t>본 게임은 지금부터</t>
  </si>
  <si>
    <t>84027</t>
  </si>
  <si>
    <t>2분기 기대 이상, 하반기도 좋다</t>
  </si>
  <si>
    <t>84026</t>
  </si>
  <si>
    <t>나.. 아직 14배</t>
  </si>
  <si>
    <t>84025</t>
  </si>
  <si>
    <t>빠른 속도, 바른 방향</t>
  </si>
  <si>
    <t>84024</t>
  </si>
  <si>
    <t>ODM공장 준공식 후기</t>
  </si>
  <si>
    <t>84023</t>
  </si>
  <si>
    <t>또?! 써프라이즈?! 역주행은 계속된다</t>
  </si>
  <si>
    <t>84022</t>
  </si>
  <si>
    <t>AI 모멘텀과 2026년을 바라보며</t>
  </si>
  <si>
    <t>84021</t>
  </si>
  <si>
    <t>84020</t>
  </si>
  <si>
    <t>NAND 가동률 회복 대기 중</t>
  </si>
  <si>
    <t>84019</t>
  </si>
  <si>
    <t>다양한 산업용 프린터 분야 강소기업</t>
  </si>
  <si>
    <t>84018</t>
  </si>
  <si>
    <t xml:space="preserve">중요한 건 여전히 P와 C </t>
  </si>
  <si>
    <t>84017</t>
  </si>
  <si>
    <t>2025-07-02</t>
  </si>
  <si>
    <t>단가 하락에 더해진 비용 압력</t>
  </si>
  <si>
    <t>84016</t>
  </si>
  <si>
    <t>SMR Boom! 상승 여력 충분</t>
  </si>
  <si>
    <t>84015</t>
  </si>
  <si>
    <t>2Q25 Pre: 2분기 실적 저점 예상</t>
  </si>
  <si>
    <t>84014</t>
  </si>
  <si>
    <t>2Q25 Pre: 변함없는 해외 확대 스토리</t>
  </si>
  <si>
    <t>84013</t>
  </si>
  <si>
    <t>2Q25 Pre: 바닥 통과 ~ing</t>
  </si>
  <si>
    <t>84012</t>
  </si>
  <si>
    <t>파이낸셜과 클라우드</t>
  </si>
  <si>
    <t>84011</t>
  </si>
  <si>
    <t>기대감으로 오른 주가를 이끌어 갈 요인들</t>
  </si>
  <si>
    <t>84010</t>
  </si>
  <si>
    <t>HD현대건설기계-HD현대인프라코어 합병 코멘트</t>
  </si>
  <si>
    <t>84009</t>
  </si>
  <si>
    <t>HD현대인프라코어 흡수 합병 결정, 성장을 위한 강력한 의지</t>
  </si>
  <si>
    <t>84008</t>
  </si>
  <si>
    <t>HD현대인프라코어 합병 코멘트</t>
  </si>
  <si>
    <t>84007</t>
  </si>
  <si>
    <t>잠시 쉬어가는 2분기</t>
  </si>
  <si>
    <t>84006</t>
  </si>
  <si>
    <t>265740</t>
  </si>
  <si>
    <t>엔에프씨</t>
  </si>
  <si>
    <t>화장품 소재 및 제형 혁신 선도 업체</t>
  </si>
  <si>
    <t>84005</t>
  </si>
  <si>
    <t>육성 채널에 대한 마케팅 투자 확대</t>
  </si>
  <si>
    <t>84004</t>
  </si>
  <si>
    <t>2025-07-01</t>
  </si>
  <si>
    <t>단기 실적보다 적용처 다변화에 주목</t>
  </si>
  <si>
    <t>84003</t>
  </si>
  <si>
    <t>이제 시작인 해상풍력 수주 사이클</t>
  </si>
  <si>
    <t>84002</t>
  </si>
  <si>
    <t>하반기 중동 프로젝트와 계열사 물량을 기대</t>
  </si>
  <si>
    <t>84001</t>
  </si>
  <si>
    <t xml:space="preserve"> [2Q25 Preview] 관세 영향 본격화, 25년 관세 영향 2.6조원 추정</t>
  </si>
  <si>
    <t>84000</t>
  </si>
  <si>
    <t>[2Q25 Preview] 관세 영향 본격화, 25년 관세 영향 2.3조원 추정</t>
  </si>
  <si>
    <t>83999</t>
  </si>
  <si>
    <t>급이 다른 안정감</t>
  </si>
  <si>
    <t>83997</t>
  </si>
  <si>
    <t>어려울 때 빛나는 포트폴리오의 힘</t>
  </si>
  <si>
    <t>83996</t>
  </si>
  <si>
    <t>얻은 것이 있으면 잃는 것도 있다</t>
  </si>
  <si>
    <t>83995</t>
  </si>
  <si>
    <t>리레이팅 완료된 방산. 구리 가격도 강세</t>
  </si>
  <si>
    <t>83994</t>
  </si>
  <si>
    <t>본격적인 신사업 확장 수혜 기대</t>
  </si>
  <si>
    <t>83993</t>
  </si>
  <si>
    <t>2025년 예상 매출 성장률 130%</t>
  </si>
  <si>
    <t>83992</t>
  </si>
  <si>
    <t>하반기 실적 개선 기대</t>
  </si>
  <si>
    <t>83990</t>
  </si>
  <si>
    <t>83989</t>
  </si>
  <si>
    <t>레거시로부터 탈피하는 중</t>
  </si>
  <si>
    <t>83988</t>
  </si>
  <si>
    <t>우려 요인을 뒤집어 보면...</t>
  </si>
  <si>
    <t>83987</t>
  </si>
  <si>
    <t>설명회 後記: 신사업은 순항 중</t>
  </si>
  <si>
    <t>83986</t>
  </si>
  <si>
    <t>턴어라운드 지속, 바텀콜 유효</t>
  </si>
  <si>
    <t>83985</t>
  </si>
  <si>
    <t>낮아진 눈높이 vs 신성장 동력</t>
  </si>
  <si>
    <t>83984</t>
  </si>
  <si>
    <t>기저·연결 효과 기반 이익 성장 예상</t>
  </si>
  <si>
    <t>83983</t>
  </si>
  <si>
    <t>세포에서 반도체까지, 3D 광학 계측 시장 선도 기업</t>
  </si>
  <si>
    <t>83982</t>
  </si>
  <si>
    <t>실적 눈높이 하향</t>
  </si>
  <si>
    <t>83981</t>
  </si>
  <si>
    <t xml:space="preserve">PUBG IP 장기화 프로젝트 가동 </t>
  </si>
  <si>
    <t>83980</t>
  </si>
  <si>
    <t>꾸준한 성과, 유의미한 연속성</t>
  </si>
  <si>
    <t>83979</t>
  </si>
  <si>
    <t>꾸준함의 가치</t>
  </si>
  <si>
    <t>83978</t>
  </si>
  <si>
    <t>먼저 상향해도 괜찮은 이유</t>
  </si>
  <si>
    <t>83977</t>
  </si>
  <si>
    <t>터널은 벗어났다, 다음은 실행의 시간</t>
  </si>
  <si>
    <t>83976</t>
  </si>
  <si>
    <t>2025-06-30</t>
  </si>
  <si>
    <t>하반기 이익 개선 강도 유통섹터 내 최고</t>
  </si>
  <si>
    <t>83975</t>
  </si>
  <si>
    <t>주주가치 제고 노력 가장 적극적인 실적 호전 주</t>
  </si>
  <si>
    <t>83974</t>
  </si>
  <si>
    <t>실적 부진에 따른 주가 조정은 매수 기회</t>
  </si>
  <si>
    <t>83973</t>
  </si>
  <si>
    <t>실적 회복 시점도 얼마 안 남았다</t>
  </si>
  <si>
    <t>83972</t>
  </si>
  <si>
    <t>성장성을 감안할 때 Valuation 재평가는 정당하다</t>
  </si>
  <si>
    <t>83971</t>
  </si>
  <si>
    <t>2Q25 Preview: 무난한 실적 기록 전망</t>
  </si>
  <si>
    <t>83970</t>
  </si>
  <si>
    <t xml:space="preserve"> IPO 주관사 업데이트: 품목 다변화와 신산업 확장 중</t>
  </si>
  <si>
    <t>83969</t>
  </si>
  <si>
    <t>IPO 주관사 업데이트: 2Q25부터 수출 회복세 확인</t>
  </si>
  <si>
    <t>83968</t>
  </si>
  <si>
    <t xml:space="preserve"> IPO 주관사 업데이트: 사업 확장으로 매출 성장할 것</t>
  </si>
  <si>
    <t>83967</t>
  </si>
  <si>
    <t>보여줄게 더 많아</t>
  </si>
  <si>
    <t>83966</t>
  </si>
  <si>
    <t>IPO 주관사 업데이트 - AR 글라스 성장 수혜 기대</t>
  </si>
  <si>
    <t>83965</t>
  </si>
  <si>
    <t>펀더멘탈 개선되는 중. 하반기 유지가 관건</t>
  </si>
  <si>
    <t>83964</t>
  </si>
  <si>
    <t>2Q25 Preview: 밸류에이션 우위 지속 전망</t>
  </si>
  <si>
    <t>83963</t>
  </si>
  <si>
    <t>실적 저점, 반등 구간</t>
  </si>
  <si>
    <t>83962</t>
  </si>
  <si>
    <t>업종 내 독보적 실적, 주가 흐름도 견조한 유통주</t>
  </si>
  <si>
    <t>83961</t>
  </si>
  <si>
    <t>신속한 재무구조 개선</t>
  </si>
  <si>
    <t>83960</t>
  </si>
  <si>
    <t>하반기보다 내년에 주목</t>
  </si>
  <si>
    <t>83959</t>
  </si>
  <si>
    <t>가장 자연스러운 복원이 가장 완벽한 솔루션</t>
  </si>
  <si>
    <t>83958</t>
  </si>
  <si>
    <t>GDDR 6,7 그리고 비메모리</t>
  </si>
  <si>
    <t>83957</t>
  </si>
  <si>
    <t>2Q25 견조한 실적 기대, 화물 불확실성 제거 중요</t>
  </si>
  <si>
    <t>83956</t>
  </si>
  <si>
    <t>하반기부터 점차 실적 회복 기대</t>
  </si>
  <si>
    <t>83955</t>
  </si>
  <si>
    <t>2Q25 Preview: 아쉬운 실적, 성장 방향성은 유지</t>
  </si>
  <si>
    <t>83954</t>
  </si>
  <si>
    <t>에이치엔에스하이텍 탐방노트: 성장률 높은 가치주</t>
  </si>
  <si>
    <t>83953</t>
  </si>
  <si>
    <t>소버린 AI 적용된 AX 관련 수주 가속화(ft. 정부정책 수혜)</t>
  </si>
  <si>
    <t>83951</t>
  </si>
  <si>
    <t>내 안에 디지털뱅킹이 있다(ft. 정부정책 수혜)</t>
  </si>
  <si>
    <t>83950</t>
  </si>
  <si>
    <t>증명해 낸 상반기, 성장 가속화할 하반기</t>
  </si>
  <si>
    <t>83949</t>
  </si>
  <si>
    <t>하반기 성장 기대감 유효</t>
  </si>
  <si>
    <t>83948</t>
  </si>
  <si>
    <t>다시 한 번 시험대에 오를 하반기</t>
  </si>
  <si>
    <t>83947</t>
  </si>
  <si>
    <t>변화의 원년 2027년이 얼마 남지 않았다</t>
  </si>
  <si>
    <t>83946</t>
  </si>
  <si>
    <t>변함없는 Top-Pick</t>
  </si>
  <si>
    <t>83945</t>
  </si>
  <si>
    <t>고객사 전환투자 지속되며 자연 감산 영향 반영 불가피</t>
  </si>
  <si>
    <t>83944</t>
  </si>
  <si>
    <t>전방위 디지털 사이니지 전문 기업</t>
  </si>
  <si>
    <t>83943</t>
  </si>
  <si>
    <t>K-방산 성장 궤도를 함께하는 부품사</t>
  </si>
  <si>
    <t>83942</t>
  </si>
  <si>
    <t>2025-06-27</t>
  </si>
  <si>
    <t>관세 해결, 가치평가 정상화의 시작점</t>
  </si>
  <si>
    <t>83941</t>
  </si>
  <si>
    <t>331520</t>
  </si>
  <si>
    <t>밸로프</t>
  </si>
  <si>
    <t>계속될 사업 모델 확장 시도</t>
  </si>
  <si>
    <t>83940</t>
  </si>
  <si>
    <t>수요 위축으로 단기실적 부진, 중장기 성장동력은 유효</t>
  </si>
  <si>
    <t>83939</t>
  </si>
  <si>
    <t>IPO 주관사 업데이트: 면역계를 공략하는 신약 개발사</t>
  </si>
  <si>
    <t>83938</t>
  </si>
  <si>
    <t>83937</t>
  </si>
  <si>
    <t>7월 전략 - 주가 정상화 과정 좀 더 이어질 전망</t>
  </si>
  <si>
    <t>83936</t>
  </si>
  <si>
    <t>7월 전략 - 셀온 나올 수 있지만 추가 상승 여지 있다</t>
  </si>
  <si>
    <t>83935</t>
  </si>
  <si>
    <t>7월 전략 - 2Q 실적 기대감으로 주가 오를 것</t>
  </si>
  <si>
    <t>83934</t>
  </si>
  <si>
    <t>2Q25 Pre: 1분기와 유사한 분위기</t>
  </si>
  <si>
    <t>83933</t>
  </si>
  <si>
    <t>다시 주목할 시점</t>
  </si>
  <si>
    <t>83932</t>
  </si>
  <si>
    <t>지금까지는 멀티플의 정상화. 이젠 내년 성장을 바라볼 때</t>
  </si>
  <si>
    <t>83931</t>
  </si>
  <si>
    <t>시장 우려와 다른 실적 성장세</t>
  </si>
  <si>
    <t>83930</t>
  </si>
  <si>
    <t>대면적 AI 소켓과 함께 크다</t>
  </si>
  <si>
    <t>83929</t>
  </si>
  <si>
    <t>On-Device AI, 의심의 여지없는 직접 수혜</t>
  </si>
  <si>
    <t>83928</t>
  </si>
  <si>
    <t>향후 건전성이 관건</t>
  </si>
  <si>
    <t>83927</t>
  </si>
  <si>
    <t>낮은 배당소득 분리과세 관련 불확실성</t>
  </si>
  <si>
    <t>83926</t>
  </si>
  <si>
    <t>수익기반을 갖춰가는 중</t>
  </si>
  <si>
    <t>83925</t>
  </si>
  <si>
    <t>알루미늄박 실적 개선 조짐</t>
  </si>
  <si>
    <t>83924</t>
  </si>
  <si>
    <t>카드 업황 부진 감안해도 다소 과도한 저평가</t>
  </si>
  <si>
    <t>83923</t>
  </si>
  <si>
    <t>우려 완화 시 부각될 45%의 총 주주환원율</t>
  </si>
  <si>
    <t>83922</t>
  </si>
  <si>
    <t>전년보다는 무조건 나은 상황</t>
  </si>
  <si>
    <t>83921</t>
  </si>
  <si>
    <t>양호한 자본력으로 기대 이상의 주주환원 전망</t>
  </si>
  <si>
    <t>83920</t>
  </si>
  <si>
    <t>최근 환율 방향성은 긍정적</t>
  </si>
  <si>
    <t>83919</t>
  </si>
  <si>
    <t>광통신 장비가 주력, 영업부진 지속</t>
  </si>
  <si>
    <t>83918</t>
  </si>
  <si>
    <t>수익성 개선 필요</t>
  </si>
  <si>
    <t>83917</t>
  </si>
  <si>
    <t>펀더멘탈 대비 과도한 저평가</t>
  </si>
  <si>
    <t>83916</t>
  </si>
  <si>
    <t>495810</t>
  </si>
  <si>
    <t>유비씨</t>
  </si>
  <si>
    <t>디지털 트윈 기반 스마트 팩토리 기술 기업</t>
  </si>
  <si>
    <t>83915</t>
  </si>
  <si>
    <t>온라인 축산물 직거래 플랫폼</t>
  </si>
  <si>
    <t>83914</t>
  </si>
  <si>
    <t>안정적인 기본 체력, 올라오는 신성장동력</t>
  </si>
  <si>
    <t>83913</t>
  </si>
  <si>
    <t>체내 삽입용 의료기기 전문기업</t>
  </si>
  <si>
    <t>83912</t>
  </si>
  <si>
    <t>121850</t>
  </si>
  <si>
    <t>코이즈</t>
  </si>
  <si>
    <t>LCD 백라이트유닛(BLU)에 적용되는 핵심부품 제조 전문기업</t>
  </si>
  <si>
    <t>83911</t>
  </si>
  <si>
    <t>001540</t>
  </si>
  <si>
    <t>안국약품</t>
  </si>
  <si>
    <t>신약개발 및 포트폴리오 다각화에 주력하는 종합 헬스케어 기업</t>
  </si>
  <si>
    <t>83910</t>
  </si>
  <si>
    <t>2025-06-26</t>
  </si>
  <si>
    <t>본격적인 정부 의지로 산업 활성화 기대</t>
  </si>
  <si>
    <t>83909</t>
  </si>
  <si>
    <t>로슈의 LBC 도말 장비 출시로 매출 본격화 예상</t>
  </si>
  <si>
    <t>83908</t>
  </si>
  <si>
    <t>DDR4 수혜주</t>
  </si>
  <si>
    <t>83907</t>
  </si>
  <si>
    <t>애태우는 회복세</t>
  </si>
  <si>
    <t>83906</t>
  </si>
  <si>
    <t>과거보다, 다가올 호재에 주목+인수코멘트</t>
  </si>
  <si>
    <t>83905</t>
  </si>
  <si>
    <t>외형성장은 유효, 관세 불확실성은 부담</t>
  </si>
  <si>
    <t>83904</t>
  </si>
  <si>
    <t>HT, 오가노이드 시험에 필수 장비로 기대</t>
  </si>
  <si>
    <t>83903</t>
  </si>
  <si>
    <t>2Q, 2025년 최고 매출 예상,  新반도체 출시의 수혜~</t>
  </si>
  <si>
    <t>83902</t>
  </si>
  <si>
    <t>단기 변동성 확대돼도, 중장기 우상향 방향성은 유효</t>
  </si>
  <si>
    <t>83901</t>
  </si>
  <si>
    <t>MLB 고객사의 아웃퍼폼 주목</t>
  </si>
  <si>
    <t>83900</t>
  </si>
  <si>
    <t>가장 안정적인 선택지</t>
  </si>
  <si>
    <t>83899</t>
  </si>
  <si>
    <t>외국인 지분율 43% 돌파, 2021년 1월 이후 첫 기록</t>
  </si>
  <si>
    <t>83898</t>
  </si>
  <si>
    <t>IPO Update: 정수기 피팅 1등의 탑라인 성장</t>
  </si>
  <si>
    <t>83897</t>
  </si>
  <si>
    <t>환잉꽝린! 歡迎光臨!</t>
  </si>
  <si>
    <t>83896</t>
  </si>
  <si>
    <t>하반기 수익성 개선을 기대</t>
  </si>
  <si>
    <t>83895</t>
  </si>
  <si>
    <t>83894</t>
  </si>
  <si>
    <t>무더위와 지원금</t>
  </si>
  <si>
    <t>83893</t>
  </si>
  <si>
    <t>333050</t>
  </si>
  <si>
    <t>모코엠시스</t>
  </si>
  <si>
    <t>IPO 업데이트: 다시 연계솔루션 주목</t>
  </si>
  <si>
    <t>83892</t>
  </si>
  <si>
    <t>IPO 업데이트: 진단 영역 확장</t>
  </si>
  <si>
    <t>83891</t>
  </si>
  <si>
    <t>2025-06-25</t>
  </si>
  <si>
    <t>ESL 향 턴어라운드. Auto 향도 성장 지속</t>
  </si>
  <si>
    <t>83890</t>
  </si>
  <si>
    <t>실적도 주가도 이제 상승 초입</t>
  </si>
  <si>
    <t>83889</t>
  </si>
  <si>
    <t>올해 상저하고 실적 전망</t>
  </si>
  <si>
    <t>83888</t>
  </si>
  <si>
    <t>친환경으로 착실히 돈 버는데, 주주환원까지</t>
  </si>
  <si>
    <t>83887</t>
  </si>
  <si>
    <t>방산에서 우주까지 올해부터 그려갈 성장 스토리</t>
  </si>
  <si>
    <t>83886</t>
  </si>
  <si>
    <t>ADK 인수 코멘트</t>
  </si>
  <si>
    <t>83885</t>
  </si>
  <si>
    <t>수익성은 회복세나, 중장기 성장 동력 필요</t>
  </si>
  <si>
    <t>83884</t>
  </si>
  <si>
    <t xml:space="preserve"> 희소금속=씬스틸러</t>
  </si>
  <si>
    <t>83883</t>
  </si>
  <si>
    <t xml:space="preserve">DC는 OK </t>
  </si>
  <si>
    <t>83882</t>
  </si>
  <si>
    <t>아시아 유일 지상국 서비</t>
  </si>
  <si>
    <t>83881</t>
  </si>
  <si>
    <t>되살아나는 유텔샛 원웹의 불씨</t>
  </si>
  <si>
    <t>83880</t>
  </si>
  <si>
    <t>2028년 성장까지도 가시성 있는 장기성장주</t>
  </si>
  <si>
    <t>83879</t>
  </si>
  <si>
    <t>북미로 간다</t>
  </si>
  <si>
    <t>83878</t>
  </si>
  <si>
    <t>Fly with AI, Grounded in Power</t>
  </si>
  <si>
    <t>83877</t>
  </si>
  <si>
    <t>국내 모바일 앱 개발 플랫폼 1위 사업자의 AI 도전</t>
  </si>
  <si>
    <t>83876</t>
  </si>
  <si>
    <t>클린룸 엔지니어링 기술력으로 ESCO 사업 진출</t>
  </si>
  <si>
    <t>83875</t>
  </si>
  <si>
    <t>IoT 확장 기대감 지속</t>
  </si>
  <si>
    <t>83874</t>
  </si>
  <si>
    <t>차세대 장비(연속식, LFP)에 주목 필요</t>
  </si>
  <si>
    <t>83873</t>
  </si>
  <si>
    <t>다가올 결실을 기다리며</t>
  </si>
  <si>
    <t>83872</t>
  </si>
  <si>
    <t>고객사 확장과 차세대 기술 개발 지속</t>
  </si>
  <si>
    <t>83871</t>
  </si>
  <si>
    <t>ACF 비중 확대 및 신사업 확장</t>
  </si>
  <si>
    <t>83870</t>
  </si>
  <si>
    <t>2025-06-24</t>
  </si>
  <si>
    <t>SMR 성장의 핵, 유럽해상풍력 실적의 핵</t>
  </si>
  <si>
    <t>83869</t>
  </si>
  <si>
    <t>이제 시작인가?</t>
  </si>
  <si>
    <t>83868</t>
  </si>
  <si>
    <t>로봇 시장에 우리가 빠질 수 없지</t>
  </si>
  <si>
    <t>83867</t>
  </si>
  <si>
    <t>규모의 경제로 이익 레버리지가 실현되기를</t>
  </si>
  <si>
    <t>83866</t>
  </si>
  <si>
    <t>실적 성장, 수주 모멘텀 폭발</t>
  </si>
  <si>
    <t>83865</t>
  </si>
  <si>
    <t>공공부문 수요 정상화 예상</t>
  </si>
  <si>
    <t>83864</t>
  </si>
  <si>
    <t xml:space="preserve">스페이서 신규 수요 본격화 기대  </t>
  </si>
  <si>
    <t>83863</t>
  </si>
  <si>
    <t>탄탄한 저연차의 이익 레버리지</t>
  </si>
  <si>
    <t>83862</t>
  </si>
  <si>
    <t>BTS 컴백 = 이익률 개선일지도</t>
  </si>
  <si>
    <t>83861</t>
  </si>
  <si>
    <t>제작비 절감과 함께 하는 이익 레버리지</t>
  </si>
  <si>
    <t>83860</t>
  </si>
  <si>
    <t xml:space="preserve"> K-OTT 정책의 유일한 후보자</t>
  </si>
  <si>
    <t>83859</t>
  </si>
  <si>
    <t xml:space="preserve">2Q25 Preview : 좋아지는 것은 분명하지만 강도의 문제 </t>
  </si>
  <si>
    <t>83858</t>
  </si>
  <si>
    <t>IPO 의무 발간: 외형이 성장하는 건강기능식품사</t>
  </si>
  <si>
    <t>83857</t>
  </si>
  <si>
    <t>2025년 5월, 아라미드 가격 반등 시작하다!</t>
  </si>
  <si>
    <t>83856</t>
  </si>
  <si>
    <t>지금이 매수 적기</t>
  </si>
  <si>
    <t>83855</t>
  </si>
  <si>
    <t>83854</t>
  </si>
  <si>
    <t>성장의 핵심은 전방 산업 다각화</t>
  </si>
  <si>
    <t>83853</t>
  </si>
  <si>
    <t>본업을 잘한다는 본보기, 그 이상을 위한 준비</t>
  </si>
  <si>
    <t>83852</t>
  </si>
  <si>
    <t>2Q25 Pre: 확인이 필요한 두 가지</t>
  </si>
  <si>
    <t>83851</t>
  </si>
  <si>
    <t>LIB 소재가격(P) 안정, 물량(Q) 증가로 턴어라운드</t>
  </si>
  <si>
    <t>83850</t>
  </si>
  <si>
    <t>신작 출시 기대</t>
  </si>
  <si>
    <t>83849</t>
  </si>
  <si>
    <t>넥스파우더 임상논문 다시 보기: 이 정도였어?</t>
  </si>
  <si>
    <t>83848</t>
  </si>
  <si>
    <t>IPO 업데이트: 가이던스만 지켜지면 싼 NFC 팹리스</t>
  </si>
  <si>
    <t>83847</t>
  </si>
  <si>
    <t>2025-06-23</t>
  </si>
  <si>
    <t>배당도 주는 로봇주</t>
  </si>
  <si>
    <t>83846</t>
  </si>
  <si>
    <t>스위치 ON</t>
  </si>
  <si>
    <t>83845</t>
  </si>
  <si>
    <t xml:space="preserve">깨어난 이후, 확실히 달라졌다. </t>
  </si>
  <si>
    <t>83844</t>
  </si>
  <si>
    <t>056190</t>
  </si>
  <si>
    <t>에스에프에이</t>
  </si>
  <si>
    <t>수익성 회복과 저평가의 낭중지추</t>
  </si>
  <si>
    <t>83843</t>
  </si>
  <si>
    <t>매력적인 구성의 조선업 종합 세트</t>
  </si>
  <si>
    <t>83842</t>
  </si>
  <si>
    <t>83841</t>
  </si>
  <si>
    <t>83840</t>
  </si>
  <si>
    <t>공공에서 글로벌로 '시선' 집중</t>
  </si>
  <si>
    <t>83839</t>
  </si>
  <si>
    <t>통합보안플랫폼 기업으로 도약</t>
  </si>
  <si>
    <t>83838</t>
  </si>
  <si>
    <t>그래도 매력적인 배당수익률 17%</t>
  </si>
  <si>
    <t>83837</t>
  </si>
  <si>
    <t>기술 수출 기대감 유효</t>
  </si>
  <si>
    <t>83836</t>
  </si>
  <si>
    <t>대체로 부합, 글로벌 확장 모멘텀 유효</t>
  </si>
  <si>
    <t>83835</t>
  </si>
  <si>
    <t>멀티플 회복 국면</t>
  </si>
  <si>
    <t>83834</t>
  </si>
  <si>
    <t>훌륭한 상반기, 하반기도 걱정 없다</t>
  </si>
  <si>
    <t>83833</t>
  </si>
  <si>
    <t>펍지의 일시적 부진, 하반기 반등 가능</t>
  </si>
  <si>
    <t>83832</t>
  </si>
  <si>
    <t>북적북적 드래곤시티 → 프리미엄 매스 지표 호조 기대</t>
  </si>
  <si>
    <t>83831</t>
  </si>
  <si>
    <t>ODM 업종 내 저평가주</t>
  </si>
  <si>
    <t>83830</t>
  </si>
  <si>
    <t>실적도 Good 주가도 Good</t>
  </si>
  <si>
    <t>83829</t>
  </si>
  <si>
    <t>LAZCLUZE, API, Earnings, Allergy Let's go</t>
  </si>
  <si>
    <t>83828</t>
  </si>
  <si>
    <t>팍시게임즈 on</t>
  </si>
  <si>
    <t>83827</t>
  </si>
  <si>
    <t>IR 後記: 우호적인 정책 수혜 기대</t>
  </si>
  <si>
    <t>83826</t>
  </si>
  <si>
    <t>방산·로봇 성장엔진 가동 준비 완료</t>
  </si>
  <si>
    <t>83825</t>
  </si>
  <si>
    <t>하반기 수요 변동성 확인 필요</t>
  </si>
  <si>
    <t>83824</t>
  </si>
  <si>
    <t>제품 다각화 이미 성공</t>
  </si>
  <si>
    <t>83823</t>
  </si>
  <si>
    <t>정체 끝, 다시 찾아온 성장기</t>
  </si>
  <si>
    <t>83822</t>
  </si>
  <si>
    <t>포고핀 소켓 절대 강자</t>
  </si>
  <si>
    <t>83821</t>
  </si>
  <si>
    <t>‘라이넥’으로 중국 뚫고, 톡신&amp;필러로 세계 겨눈다</t>
  </si>
  <si>
    <t>83820</t>
  </si>
  <si>
    <t>382150</t>
  </si>
  <si>
    <t>온코크로스</t>
  </si>
  <si>
    <t>적응증 확장 특화 AI 플랫폼으로 차별화</t>
  </si>
  <si>
    <t>83819</t>
  </si>
  <si>
    <t>매출 다변화 기대감 확대</t>
  </si>
  <si>
    <t>83818</t>
  </si>
  <si>
    <t>글로벌 IP 기반 견조한 성장 지속</t>
  </si>
  <si>
    <t>83817</t>
  </si>
  <si>
    <t>2025-06-20</t>
  </si>
  <si>
    <t>AI Model Tailor</t>
  </si>
  <si>
    <t>83816</t>
  </si>
  <si>
    <t>2Q25 Pre: 속도보다는 방향성</t>
  </si>
  <si>
    <t>83815</t>
  </si>
  <si>
    <t>하반기 고객사 1c 투자 수혜와 신규 고객 확보 기대</t>
  </si>
  <si>
    <t>83814</t>
  </si>
  <si>
    <t xml:space="preserve">고맙다! K-Culture의 확산! </t>
  </si>
  <si>
    <t>83813</t>
  </si>
  <si>
    <t xml:space="preserve">런치플레이션, 나에게는 기회! </t>
  </si>
  <si>
    <t>83812</t>
  </si>
  <si>
    <t>유리기판, 휴머노이드 등 신사업의 추진 / 밸류에이션 재평가</t>
  </si>
  <si>
    <t>83811</t>
  </si>
  <si>
    <t>폴더블폰 시장 개화에서 힌지 중요성 확대 =&gt; 자동차 영역으로 진출</t>
  </si>
  <si>
    <t>83810</t>
  </si>
  <si>
    <t xml:space="preserve">실적 저점 통과, 정책 호재 타고 도약 준비 완료 </t>
  </si>
  <si>
    <t>83809</t>
  </si>
  <si>
    <t>고객사 및 어플리케이션 다각화</t>
  </si>
  <si>
    <t>83808</t>
  </si>
  <si>
    <t>차별화된 마이크로바이옴 분석 역량</t>
  </si>
  <si>
    <t>83807</t>
  </si>
  <si>
    <t>사이버 인텔리전스의 중요성 부각</t>
  </si>
  <si>
    <t>83806</t>
  </si>
  <si>
    <t>유리용기 화장품은 글로벌 트랜드</t>
  </si>
  <si>
    <t>83805</t>
  </si>
  <si>
    <t>피앤에스미캐닉스</t>
  </si>
  <si>
    <t>세계로 걸어나가는 로봇기업</t>
  </si>
  <si>
    <t>83804</t>
  </si>
  <si>
    <t>꾸준한 외형성장, 수익성은 과제</t>
  </si>
  <si>
    <t>83803</t>
  </si>
  <si>
    <t>저점 매수 추천</t>
  </si>
  <si>
    <t>83802</t>
  </si>
  <si>
    <t>모멘텀과 저평가</t>
  </si>
  <si>
    <t>83801</t>
  </si>
  <si>
    <t>390110</t>
  </si>
  <si>
    <t>애니메디솔루션</t>
  </si>
  <si>
    <t>AI로 수술의 정확도와 환자 맞춤형 치료를 실현하는 정밀의료 솔루션 기업</t>
  </si>
  <si>
    <t>83800</t>
  </si>
  <si>
    <t>009620</t>
  </si>
  <si>
    <t>삼보산업</t>
  </si>
  <si>
    <t>50년 업력의 알루미늄 합금 선도기업</t>
  </si>
  <si>
    <t>83799</t>
  </si>
  <si>
    <t>365330</t>
  </si>
  <si>
    <t>에스와이스틸텍</t>
  </si>
  <si>
    <t>고기능 데크플레이트 전문기업</t>
  </si>
  <si>
    <t>83798</t>
  </si>
  <si>
    <t>199820</t>
  </si>
  <si>
    <t>제일일렉트릭</t>
  </si>
  <si>
    <t>배선기구 기술을 기반으로 한 스마트 홈 시스템 전문기업</t>
  </si>
  <si>
    <t>83797</t>
  </si>
  <si>
    <t>138070</t>
  </si>
  <si>
    <t>신진에스엠</t>
  </si>
  <si>
    <t>정밀 가공 설비 개발 기반 표준 플레이트 제조 전문 기업</t>
  </si>
  <si>
    <t>83796</t>
  </si>
  <si>
    <t>048830</t>
  </si>
  <si>
    <t>엔피케이</t>
  </si>
  <si>
    <t>합성수지 및 플라스틱 복합소재 전문기업</t>
  </si>
  <si>
    <t>83795</t>
  </si>
  <si>
    <t>032860</t>
  </si>
  <si>
    <t>더라미</t>
  </si>
  <si>
    <t>화장품 시장에 새롭게 도전하는 철 스크랩 유통기업</t>
  </si>
  <si>
    <t>83794</t>
  </si>
  <si>
    <t>2025-06-19</t>
  </si>
  <si>
    <t>393970</t>
  </si>
  <si>
    <t>대진첨단소재</t>
  </si>
  <si>
    <t>통상적인 2차전지 소재와 차별화된 방향성 기대</t>
  </si>
  <si>
    <t>83793</t>
  </si>
  <si>
    <t xml:space="preserve"> IRA 상원 초안, 탄소포집 혜택 확대</t>
  </si>
  <si>
    <t>83792</t>
  </si>
  <si>
    <t>2Q~3Q 실적 눈높이 상향. 단기 트레이딩 가능 영역</t>
  </si>
  <si>
    <t>83791</t>
  </si>
  <si>
    <t>올해 곧바로 총주주환원율 50% 돌파 기대</t>
  </si>
  <si>
    <t>83790</t>
  </si>
  <si>
    <t>메모리 기판 수요 회복 + 하반기 MLB 수혜 본격화</t>
  </si>
  <si>
    <t>83789</t>
  </si>
  <si>
    <t>계획대로 진행 중</t>
  </si>
  <si>
    <t>83788</t>
  </si>
  <si>
    <t>한중 관계 개선의 가파른 수혜 시작</t>
  </si>
  <si>
    <t>83787</t>
  </si>
  <si>
    <t>모터 중심 펀더멘털 성장과 방산 사업의 밸류에이션 효과</t>
  </si>
  <si>
    <t>83786</t>
  </si>
  <si>
    <t>수년간 기다려온 디지털 트윈 사업 실질 수혜 전망</t>
  </si>
  <si>
    <t>83785</t>
  </si>
  <si>
    <t>쉽지 않았던 전반전, 후반전을 기대</t>
  </si>
  <si>
    <t>83784</t>
  </si>
  <si>
    <t xml:space="preserve">2Q 부진하나 체질 변화,저평가는 매력적! </t>
  </si>
  <si>
    <t>83783</t>
  </si>
  <si>
    <t>296640</t>
  </si>
  <si>
    <t>이노룰스</t>
  </si>
  <si>
    <t>IR 後記: AX/DX 도입 확대 수혜 기대</t>
  </si>
  <si>
    <t>83782</t>
  </si>
  <si>
    <t>AI 솔루션의 글로벌 확대</t>
  </si>
  <si>
    <t>83781</t>
  </si>
  <si>
    <t>디지털 전환이 핵심</t>
  </si>
  <si>
    <t>83780</t>
  </si>
  <si>
    <t>어느새 역사적 신고가 경신 중</t>
  </si>
  <si>
    <t>83779</t>
  </si>
  <si>
    <t>수익성 개선 중</t>
  </si>
  <si>
    <t>83778</t>
  </si>
  <si>
    <t>신제품 준비 중</t>
  </si>
  <si>
    <t>83777</t>
  </si>
  <si>
    <t>200130</t>
  </si>
  <si>
    <t>콜마비앤에이치</t>
  </si>
  <si>
    <t>수출 확대로 증명하고 있는 건기식의 저력</t>
  </si>
  <si>
    <t>83776</t>
  </si>
  <si>
    <t>똑똑한 지능형 로봇 솔루션 기업</t>
  </si>
  <si>
    <t>83775</t>
  </si>
  <si>
    <t>2025-06-18</t>
  </si>
  <si>
    <t>2Q 부진, 길게 보자~</t>
  </si>
  <si>
    <t>83774</t>
  </si>
  <si>
    <t>0.9배는 싸다</t>
  </si>
  <si>
    <t>83773</t>
  </si>
  <si>
    <t>새로운 역사의 시작</t>
  </si>
  <si>
    <t>83772</t>
  </si>
  <si>
    <t>B2B 및 글로벌 에듀테크 확장 추진</t>
  </si>
  <si>
    <t>83771</t>
  </si>
  <si>
    <t>공공 수주와 글로벌 확장 본격화</t>
  </si>
  <si>
    <t>83770</t>
  </si>
  <si>
    <t>AWS 연계 사업 본격화</t>
  </si>
  <si>
    <t>83769</t>
  </si>
  <si>
    <t>비용 부담을 매출 성장으로 상쇄 중</t>
  </si>
  <si>
    <t>83768</t>
  </si>
  <si>
    <t>5월 Re: 중국 경쟁사 할인 영향</t>
  </si>
  <si>
    <t>83767</t>
  </si>
  <si>
    <t>나무가 아닌 숲을 봐야 할 시점</t>
  </si>
  <si>
    <t>83766</t>
  </si>
  <si>
    <t>하반기 실적 회복과 신약 모멘텀 모두 보유</t>
  </si>
  <si>
    <t>83765</t>
  </si>
  <si>
    <t>견조한 일본, 점진적 회복이 예상되는 중국</t>
  </si>
  <si>
    <t>83764</t>
  </si>
  <si>
    <t>유럽의 회복, 견조한 엔진</t>
  </si>
  <si>
    <t>83763</t>
  </si>
  <si>
    <t>5월 잠정 실적 Comment</t>
  </si>
  <si>
    <t>83762</t>
  </si>
  <si>
    <t>재무구조 탄탄, 기대감 쑥쑥</t>
  </si>
  <si>
    <t>83761</t>
  </si>
  <si>
    <t>싸이클과 상관없는 꾸준한 성장세 지속</t>
  </si>
  <si>
    <t>83760</t>
  </si>
  <si>
    <t>성장, 리레이팅, 환원의 삼위일체</t>
  </si>
  <si>
    <t>83759</t>
  </si>
  <si>
    <t>다시 성장 채비 완료</t>
  </si>
  <si>
    <t>83758</t>
  </si>
  <si>
    <t>탈모 완화 제품 포트폴리오 다변화</t>
  </si>
  <si>
    <t>83757</t>
  </si>
  <si>
    <t>여전히 중요한 포인트는 중국</t>
  </si>
  <si>
    <t>83756</t>
  </si>
  <si>
    <t>전고점 돌파 초읽기</t>
  </si>
  <si>
    <t>83755</t>
  </si>
  <si>
    <t>하노이에서 불어오는 변화의 바람</t>
  </si>
  <si>
    <t>83754</t>
  </si>
  <si>
    <t>B2C와 B2B의 완벽한 콜라보</t>
  </si>
  <si>
    <t>83753</t>
  </si>
  <si>
    <t>국내는 증설, 해외는 동남아가 이끄는 성장</t>
  </si>
  <si>
    <t>83752</t>
  </si>
  <si>
    <t>파킨슨병치료제 임상 1/2a상 1년 데이터 확보</t>
  </si>
  <si>
    <t>83751</t>
  </si>
  <si>
    <t>가장 깔끔한 선택</t>
  </si>
  <si>
    <t>83750</t>
  </si>
  <si>
    <t>기다려지는 성수기</t>
  </si>
  <si>
    <t>83749</t>
  </si>
  <si>
    <t>2025-06-17</t>
  </si>
  <si>
    <t>2Q 실적 부진하나 글로벌 경쟁력은 확대 중~</t>
  </si>
  <si>
    <t>83748</t>
  </si>
  <si>
    <t>AI 정부 정책의 핵심은 중소기업, 소상공인 활성화</t>
  </si>
  <si>
    <t>83747</t>
  </si>
  <si>
    <t>2025년 실적 고비를 넘겨야...</t>
  </si>
  <si>
    <t>83746</t>
  </si>
  <si>
    <t>폼 찾는 중</t>
  </si>
  <si>
    <t>83745</t>
  </si>
  <si>
    <t>하반기 지원금 지급, 주류 소비 개선 기대</t>
  </si>
  <si>
    <t>83744</t>
  </si>
  <si>
    <t>K푸드 시장의 떠오르는 인디브랜드</t>
  </si>
  <si>
    <t>83743</t>
  </si>
  <si>
    <t>탐방 노트</t>
  </si>
  <si>
    <t>83742</t>
  </si>
  <si>
    <t>&lt;귀멸의 칼날: 무한성편&gt; 흥행을 기대한다면</t>
  </si>
  <si>
    <t>83741</t>
  </si>
  <si>
    <t>신사업 성과가 방향성 결정</t>
  </si>
  <si>
    <t>83740</t>
  </si>
  <si>
    <t>반등의 주인공</t>
  </si>
  <si>
    <t>83739</t>
  </si>
  <si>
    <t>빛으로 측정하고, 항법으로 연결하다</t>
  </si>
  <si>
    <t>83738</t>
  </si>
  <si>
    <t>소비 훈풍이 오고 있다</t>
  </si>
  <si>
    <t>83737</t>
  </si>
  <si>
    <t>2025-06-16</t>
  </si>
  <si>
    <t>동남아로 뻗어 나가는 K-ODM (인도네시아 탐방 후기)</t>
  </si>
  <si>
    <t>83736</t>
  </si>
  <si>
    <t>모멘텀은 지나갔고, 퀄리티를 보자</t>
  </si>
  <si>
    <t>83735</t>
  </si>
  <si>
    <t>단기 노이즈는 호실적이 깨부순다</t>
  </si>
  <si>
    <t>83734</t>
  </si>
  <si>
    <t>[NDR 후기] 이어지는 매력!</t>
  </si>
  <si>
    <t>83733</t>
  </si>
  <si>
    <t>코스맥스 동남아 중심 글로벌 ODM 성장 가속</t>
  </si>
  <si>
    <t>83732</t>
  </si>
  <si>
    <t>기대되는 하반기</t>
  </si>
  <si>
    <t>83731</t>
  </si>
  <si>
    <t>인적분할 대응의 정석: 지배주주의 눈높이로 보라</t>
  </si>
  <si>
    <t>83730</t>
  </si>
  <si>
    <t>중국 출점 Boost-up</t>
  </si>
  <si>
    <t>83729</t>
  </si>
  <si>
    <t>높은 배당수익률 지속 기대</t>
  </si>
  <si>
    <t>83728</t>
  </si>
  <si>
    <t>차가운 이성이 필요한 때</t>
  </si>
  <si>
    <t>83727</t>
  </si>
  <si>
    <t>SMR 성장의 핵, 유럽해상풍력 실적향상의 핵</t>
  </si>
  <si>
    <t>83726</t>
  </si>
  <si>
    <t>비상식적 우려에는 매수로 대응</t>
  </si>
  <si>
    <t>83725</t>
  </si>
  <si>
    <t>글로벌 SMR 확장성 및 해외원전 수주 지속성</t>
  </si>
  <si>
    <t>83724</t>
  </si>
  <si>
    <t>148780</t>
  </si>
  <si>
    <t>비큐AI</t>
  </si>
  <si>
    <t>소버린 AI 개발 기대감 부각</t>
  </si>
  <si>
    <t>83723</t>
  </si>
  <si>
    <t>아오 파마리시치</t>
  </si>
  <si>
    <t>83722</t>
  </si>
  <si>
    <t>이제는 황금알을 낳는 거위</t>
  </si>
  <si>
    <t>83721</t>
  </si>
  <si>
    <t>탄탄한 수익성에 주주 친화 정책 더해진다</t>
  </si>
  <si>
    <t>83720</t>
  </si>
  <si>
    <t>ADC 판도 바뀐다. 엔허투SC 임상 개시</t>
  </si>
  <si>
    <t>83719</t>
  </si>
  <si>
    <t>하반기는 더 기대됩니다</t>
  </si>
  <si>
    <t>83718</t>
  </si>
  <si>
    <t>삼박자 갖춘 유일한 기업</t>
  </si>
  <si>
    <t>83717</t>
  </si>
  <si>
    <t>올인원 사업 역량을 갖춘 실감미디어 전문 기업</t>
  </si>
  <si>
    <t>83716</t>
  </si>
  <si>
    <t>2025-06-13</t>
  </si>
  <si>
    <t>83715</t>
  </si>
  <si>
    <t>83714</t>
  </si>
  <si>
    <t>83713</t>
  </si>
  <si>
    <t>탈 플라스틱 관련 정책 기대감 유효</t>
  </si>
  <si>
    <t>83712</t>
  </si>
  <si>
    <t>하반기 좋아질 부분들에 집중할 때</t>
  </si>
  <si>
    <t>83711</t>
  </si>
  <si>
    <t>많은 것이 우호적인 상황</t>
  </si>
  <si>
    <t>83710</t>
  </si>
  <si>
    <t>동남아 전략 거점으로의 도약과 구조적 성장 기회</t>
  </si>
  <si>
    <t>83709</t>
  </si>
  <si>
    <t>이젠 정책 수혜주입니다.</t>
  </si>
  <si>
    <t>83708</t>
  </si>
  <si>
    <t>환율영향으로 예상대비 저조한 실적 전망</t>
  </si>
  <si>
    <t>83707</t>
  </si>
  <si>
    <t>성장 잠재력과 배당매력 동시 보유</t>
  </si>
  <si>
    <t>83706</t>
  </si>
  <si>
    <t>배당만 빼면 대체로 안정적인 지표</t>
  </si>
  <si>
    <t>83705</t>
  </si>
  <si>
    <t>저점 매수 제안</t>
  </si>
  <si>
    <t>83704</t>
  </si>
  <si>
    <t>가성비 공략 강화</t>
  </si>
  <si>
    <t>83703</t>
  </si>
  <si>
    <t>자회사 인수로 볼륨업 성공</t>
  </si>
  <si>
    <t>83702</t>
  </si>
  <si>
    <t>동남아가 만드는 주가 업사이드</t>
  </si>
  <si>
    <t>83701</t>
  </si>
  <si>
    <t>결제 시장 다변화 수혜주</t>
  </si>
  <si>
    <t>83700</t>
  </si>
  <si>
    <t>417200</t>
  </si>
  <si>
    <t>LS머트리얼즈</t>
  </si>
  <si>
    <t>전력 인프라 수혜주로 발돋움</t>
  </si>
  <si>
    <t>83699</t>
  </si>
  <si>
    <t>바닥 짚고 체력 키우기</t>
  </si>
  <si>
    <t>83698</t>
  </si>
  <si>
    <t>052400</t>
  </si>
  <si>
    <t>코나아이</t>
  </si>
  <si>
    <t>결제 플랫폼을 기반으로 핀테크 시장을 주도하는 기업</t>
  </si>
  <si>
    <t>83697</t>
  </si>
  <si>
    <t>레이저 광학 시스템 기반 이차전지 조립 공정 설비 전문기업</t>
  </si>
  <si>
    <t>83696</t>
  </si>
  <si>
    <t>237750</t>
  </si>
  <si>
    <t>피앤씨테크</t>
  </si>
  <si>
    <t>전력망 자동화에 핵심 제품을 개발 및 사용화하는 전력IT 전문기업</t>
  </si>
  <si>
    <t>83695</t>
  </si>
  <si>
    <t>198940</t>
  </si>
  <si>
    <t>한주라이트메탈</t>
  </si>
  <si>
    <t>자동차 경량화를 위한 알루미늄 토탈 솔루션 프로바이더</t>
  </si>
  <si>
    <t>83694</t>
  </si>
  <si>
    <t>063760</t>
  </si>
  <si>
    <t>이엘피</t>
  </si>
  <si>
    <t>디스플레이 검사장비 제조 업체, Micro LED 등 첨단 디스플레이 검사장비로의 확장</t>
  </si>
  <si>
    <t>83693</t>
  </si>
  <si>
    <t>045390</t>
  </si>
  <si>
    <t>대아티아이</t>
  </si>
  <si>
    <t>철도신호 혁신을 선도하는 스마트 열차제어 전문기업</t>
  </si>
  <si>
    <t>83692</t>
  </si>
  <si>
    <t>332290</t>
  </si>
  <si>
    <t>누보</t>
  </si>
  <si>
    <t>용출 제어 완효성 코팅비료(CRF) 기술을 중심으로 한 친환경·고기능 농자재 전문기업</t>
  </si>
  <si>
    <t>83691</t>
  </si>
  <si>
    <t>184230</t>
  </si>
  <si>
    <t>SGA솔루션즈</t>
  </si>
  <si>
    <t>정책 대응력과 기술 경쟁력을 겸비한 차세대 통합보안 선도기업</t>
  </si>
  <si>
    <t>83690</t>
  </si>
  <si>
    <t>2025-06-12</t>
  </si>
  <si>
    <t>2Q도 굿! 실적의 차별화 확대~</t>
  </si>
  <si>
    <t>83689</t>
  </si>
  <si>
    <t>차려져 있는 밥상은 많다</t>
  </si>
  <si>
    <t>83688</t>
  </si>
  <si>
    <t>038390</t>
  </si>
  <si>
    <t>레드캡투어</t>
  </si>
  <si>
    <t>영업환경 개선 중</t>
  </si>
  <si>
    <t>83687</t>
  </si>
  <si>
    <t>2Q25 Pre: 흥분을 가라앉히고…</t>
  </si>
  <si>
    <t>83686</t>
  </si>
  <si>
    <t>괄목상대(刮目相對)</t>
  </si>
  <si>
    <t>83685</t>
  </si>
  <si>
    <t>K-방산을 통한 해외 진출 가능성</t>
  </si>
  <si>
    <t>83684</t>
  </si>
  <si>
    <t>이제는 빛 볼 시기</t>
  </si>
  <si>
    <t>83683</t>
  </si>
  <si>
    <t>실적 전망치 상향</t>
  </si>
  <si>
    <t>83682</t>
  </si>
  <si>
    <t>높아지는 실적 턴어라운드 기대감</t>
  </si>
  <si>
    <t>83681</t>
  </si>
  <si>
    <t>외형 성장 + R&amp;D 모멘텀, ‘두 마리 토끼’ 모두 노린다</t>
  </si>
  <si>
    <t>83680</t>
  </si>
  <si>
    <t>반도체향 매출 비중 증가는 현재형</t>
  </si>
  <si>
    <t>83679</t>
  </si>
  <si>
    <t>안티드론 솔루션 연내 상용화 전망</t>
  </si>
  <si>
    <t>83678</t>
  </si>
  <si>
    <t>2025-06-11</t>
  </si>
  <si>
    <t>아직 시작도 안했습니다.</t>
  </si>
  <si>
    <t>83677</t>
  </si>
  <si>
    <t>대왕새우</t>
  </si>
  <si>
    <t>83676</t>
  </si>
  <si>
    <t>전기요금 인하 우려는 과도. 오히려 저가 매수 기회</t>
  </si>
  <si>
    <t>83675</t>
  </si>
  <si>
    <t>티빙-웨이브 합병 조건부 승인</t>
  </si>
  <si>
    <t>83674</t>
  </si>
  <si>
    <t>배당 확대 기대감은 유효</t>
  </si>
  <si>
    <t>83673</t>
  </si>
  <si>
    <t>환율 하락을 넘어서는 본질적 기업가치</t>
  </si>
  <si>
    <t>83672</t>
  </si>
  <si>
    <t>미국 LNG 밸류체인에 올라타는 또 하나의 옵션</t>
  </si>
  <si>
    <t>83671</t>
  </si>
  <si>
    <t>다시 한 번?</t>
  </si>
  <si>
    <t>83670</t>
  </si>
  <si>
    <t>WE ARE BACK</t>
  </si>
  <si>
    <t>83669</t>
  </si>
  <si>
    <t>진격의 전차</t>
  </si>
  <si>
    <t>83668</t>
  </si>
  <si>
    <t>2Q25 실적 기대치 상회 예상</t>
  </si>
  <si>
    <t>83667</t>
  </si>
  <si>
    <t>실적 개선 기대</t>
  </si>
  <si>
    <t>83666</t>
  </si>
  <si>
    <t>002100</t>
  </si>
  <si>
    <t>경농</t>
  </si>
  <si>
    <t>농업 전문기업</t>
  </si>
  <si>
    <t>83665</t>
  </si>
  <si>
    <t>밀양 2공장 가동 임박</t>
  </si>
  <si>
    <t>83664</t>
  </si>
  <si>
    <t>유통법 규제가 펀더멘탈을 훼손? No!!</t>
  </si>
  <si>
    <t>83663</t>
  </si>
  <si>
    <t>2025-06-10</t>
  </si>
  <si>
    <t>LMR 테크 세미나 후기</t>
  </si>
  <si>
    <t>83662</t>
  </si>
  <si>
    <t>1분기 부진을 떨쳐내고, 2~3분기 큰폭의 이익 증가 예상</t>
  </si>
  <si>
    <t>83661</t>
  </si>
  <si>
    <t>2~3분기 극대화될 모멘텀</t>
  </si>
  <si>
    <t>83660</t>
  </si>
  <si>
    <t>화재로 인한 생산 차질을 재점검</t>
  </si>
  <si>
    <t>83659</t>
  </si>
  <si>
    <t>시총보다 많은 현금, 자기주식 소각, 그리고 감액 배당</t>
  </si>
  <si>
    <t>83658</t>
  </si>
  <si>
    <t>실적은 이상 없다. 재료는 넘쳐난다</t>
  </si>
  <si>
    <t>83657</t>
  </si>
  <si>
    <t>선택이 아닌 필수가 될 현지화 전략</t>
  </si>
  <si>
    <t>83656</t>
  </si>
  <si>
    <t>이제 케이블도 좋다</t>
  </si>
  <si>
    <t>83655</t>
  </si>
  <si>
    <t>릴리와 로레알, 글로벌 1위 기업과 간다</t>
  </si>
  <si>
    <t>83654</t>
  </si>
  <si>
    <t>반도체 기술 변곡점 수혜주</t>
  </si>
  <si>
    <t>83653</t>
  </si>
  <si>
    <t>양·음극재 밸류체인 내재화 및 Volume 시장용 제품 개발로 미국 시장 대응 강화</t>
  </si>
  <si>
    <t>83652</t>
  </si>
  <si>
    <t>자동차 투자에 임하는 우월전략, 최선호주 유지</t>
  </si>
  <si>
    <t>83651</t>
  </si>
  <si>
    <t>우주·항공·방산 첨단금속 전문 제조기업</t>
  </si>
  <si>
    <t>83650</t>
  </si>
  <si>
    <t>기술력 높은 SDV 솔루션 및 서비스 전문기업</t>
  </si>
  <si>
    <t>83649</t>
  </si>
  <si>
    <t>풍력타워 Pure Player로서 국내 및 북미 특수 기대</t>
  </si>
  <si>
    <t>83648</t>
  </si>
  <si>
    <t>수요 정점은 아직 멀었다</t>
  </si>
  <si>
    <t>83647</t>
  </si>
  <si>
    <t>하반기가 기대되는 이유</t>
  </si>
  <si>
    <t>83646</t>
  </si>
  <si>
    <t>하반기 가장 매력적인 게임사</t>
  </si>
  <si>
    <t>83645</t>
  </si>
  <si>
    <t>하반기 다시 되살아날 모멘텀</t>
  </si>
  <si>
    <t>83644</t>
  </si>
  <si>
    <t>대규모 업데이트 효과 기대</t>
  </si>
  <si>
    <t>83643</t>
  </si>
  <si>
    <t>과도한 저평가는 기회다</t>
  </si>
  <si>
    <t>83642</t>
  </si>
  <si>
    <t>하반기에도 성장 지속</t>
  </si>
  <si>
    <t>83641</t>
  </si>
  <si>
    <t>2025-06-09</t>
  </si>
  <si>
    <t>FDA, 보퀘즈나 Citizen Petition 승인</t>
  </si>
  <si>
    <t>83640</t>
  </si>
  <si>
    <t>전방위적 수주 확대 시동</t>
  </si>
  <si>
    <t>83639</t>
  </si>
  <si>
    <t>업황과는 무관하게 견조할 실적 흐름</t>
  </si>
  <si>
    <t>83638</t>
  </si>
  <si>
    <t>시가총액 1조원은 거뜬한 조선의 ‘저PER’ 주</t>
  </si>
  <si>
    <t>83637</t>
  </si>
  <si>
    <t>헌터, 어그 잡으러 온 올웨더 브랜드</t>
  </si>
  <si>
    <t>83636</t>
  </si>
  <si>
    <t>통신, 방산 모두 좋아지는 그림</t>
  </si>
  <si>
    <t>83635</t>
  </si>
  <si>
    <t>유럽, 북미향 배터리 출하 부진으로 2Q25 실적 시장 기대치 하회할 전망</t>
  </si>
  <si>
    <t>83634</t>
  </si>
  <si>
    <t>북미 전기차 수요 둔화 가능성 Vs. 북미 ESS 시장 내 점유율 확대 가능성</t>
  </si>
  <si>
    <t>83633</t>
  </si>
  <si>
    <t>AI 및 정부정책의 큰 손인 동사 제대로 물 만났다</t>
  </si>
  <si>
    <t>83632</t>
  </si>
  <si>
    <t>카무루스 대비 우위 기술의 이유</t>
  </si>
  <si>
    <t>83631</t>
  </si>
  <si>
    <t>AI,로보틱스로 무장한 스마트 물류 강자</t>
  </si>
  <si>
    <t>83630</t>
  </si>
  <si>
    <t>캐시카우를 기반으로 기회를 확장하다</t>
  </si>
  <si>
    <t>83629</t>
  </si>
  <si>
    <t>들어올 돈 10조원인데 지금 시총 24조원</t>
  </si>
  <si>
    <t>83628</t>
  </si>
  <si>
    <t>2025-06-05</t>
  </si>
  <si>
    <t>APB-A1 TED Phase 1b 발표 임박</t>
  </si>
  <si>
    <t>83627</t>
  </si>
  <si>
    <t>기분좋은 시작</t>
  </si>
  <si>
    <t>83626</t>
  </si>
  <si>
    <t>컨콜 後記: 미국, 중국 매출 회복 기대</t>
  </si>
  <si>
    <t>83625</t>
  </si>
  <si>
    <t>본격적인 수출 성장 지속될 전망</t>
  </si>
  <si>
    <t>83624</t>
  </si>
  <si>
    <t>060370</t>
  </si>
  <si>
    <t>LS마린솔루션</t>
  </si>
  <si>
    <t>CLV 투자를 통한 중장기 성장 확보</t>
  </si>
  <si>
    <t>83623</t>
  </si>
  <si>
    <t>83622</t>
  </si>
  <si>
    <t>2025-06-04</t>
  </si>
  <si>
    <t>PGR 심리개시결정, 호재 이벤트 기대</t>
  </si>
  <si>
    <t>83619</t>
  </si>
  <si>
    <t>곧 Multiple 정상화 국면으로 진입한다</t>
  </si>
  <si>
    <t>83618</t>
  </si>
  <si>
    <t>하반기 신제품 판매 효과가 관건</t>
  </si>
  <si>
    <t>83617</t>
  </si>
  <si>
    <t>멈출 이유가 없다</t>
  </si>
  <si>
    <t>83616</t>
  </si>
  <si>
    <t>믿어볼 타이밍</t>
  </si>
  <si>
    <t>83615</t>
  </si>
  <si>
    <t>해외, 방어주 프리미엄</t>
  </si>
  <si>
    <t>83614</t>
  </si>
  <si>
    <t xml:space="preserve">매운맛은 시작도 안 했다 </t>
  </si>
  <si>
    <t>83613</t>
  </si>
  <si>
    <t>Spot 컨테이너운임 폭등</t>
  </si>
  <si>
    <t>83612</t>
  </si>
  <si>
    <t>실적은 별로지만 주가는 모르는 것</t>
  </si>
  <si>
    <t>83611</t>
  </si>
  <si>
    <t>반도체 장비 중심의 성장 지속</t>
  </si>
  <si>
    <t>83610</t>
  </si>
  <si>
    <t>수직계열화의 신(神)</t>
  </si>
  <si>
    <t>83609</t>
  </si>
  <si>
    <t>올리브영과 푸드빌의 중장기 방향성은 견고</t>
  </si>
  <si>
    <t>83608</t>
  </si>
  <si>
    <t>긍정적 영업환경 기대</t>
  </si>
  <si>
    <t>83607</t>
  </si>
  <si>
    <t>무주공산 시대</t>
  </si>
  <si>
    <t>83606</t>
  </si>
  <si>
    <t>PGR 개시, 키트루다SC 출시 및 L/O 기대</t>
  </si>
  <si>
    <t>83605</t>
  </si>
  <si>
    <t>아쉬운 실적에도 확실한 모멘텀</t>
  </si>
  <si>
    <t>83604</t>
  </si>
  <si>
    <t>Long &amp; Strong Growth</t>
  </si>
  <si>
    <t>83603</t>
  </si>
  <si>
    <t>더 강해지는 성장</t>
  </si>
  <si>
    <t>83602</t>
  </si>
  <si>
    <t>중장기 성장의 방향성 유지</t>
  </si>
  <si>
    <t>83601</t>
  </si>
  <si>
    <t>의료 기기 부문 성과가 결정할 반등 시점</t>
  </si>
  <si>
    <t>83600</t>
  </si>
  <si>
    <t>2025-06-02</t>
  </si>
  <si>
    <t>지금쯤이면 볼 만하다</t>
  </si>
  <si>
    <t>83599</t>
  </si>
  <si>
    <t>더욱 커져가는 기대감</t>
  </si>
  <si>
    <t>83598</t>
  </si>
  <si>
    <t xml:space="preserve">한화손해보험 NDR 후기:  제도 개선 여부와 관계없이 양질의 이익체력 확보 중 </t>
  </si>
  <si>
    <t>83597</t>
  </si>
  <si>
    <t>비용 최적화, 광고 회복, 콘텐츠 강화 3박자</t>
  </si>
  <si>
    <t>83596</t>
  </si>
  <si>
    <t>24년 매출 턴어라운드, 25년 이익 턴어라운드</t>
  </si>
  <si>
    <t>83595</t>
  </si>
  <si>
    <t>내수 의류 모멘텀 기대</t>
  </si>
  <si>
    <t>83594</t>
  </si>
  <si>
    <t>192400</t>
  </si>
  <si>
    <t>쿠쿠홀딩스</t>
  </si>
  <si>
    <t>배당확대로 밸류에이션 리레이팅 될 듯</t>
  </si>
  <si>
    <t>83593</t>
  </si>
  <si>
    <t>AI 시대, 데이터 전문 기업의 가치</t>
  </si>
  <si>
    <t>83592</t>
  </si>
  <si>
    <t>늦었지만, 가장 커질 수도 있는 기업</t>
  </si>
  <si>
    <t>83591</t>
  </si>
  <si>
    <t>AI 국가대표가 되기 위해 걸어온 길</t>
  </si>
  <si>
    <t>83590</t>
  </si>
  <si>
    <t>304100</t>
  </si>
  <si>
    <t>솔트룩스</t>
  </si>
  <si>
    <t>내가 AI 국가대표가 될 상인가?</t>
  </si>
  <si>
    <t>83589</t>
  </si>
  <si>
    <t>이번 대선 공약 실현시 동사 최대 수혜</t>
  </si>
  <si>
    <t>83588</t>
  </si>
  <si>
    <t>GTG 투자로 자가발전 비율 40% 돌파 전망</t>
  </si>
  <si>
    <t>83587</t>
  </si>
  <si>
    <t>향후 높은 성장성 대비 여전히 싼 주가</t>
  </si>
  <si>
    <t>83586</t>
  </si>
  <si>
    <t>036830</t>
  </si>
  <si>
    <t>솔브레인홀딩스</t>
  </si>
  <si>
    <t>전해액과 바이오헬스케어로 균형잡힌 포트폴리오</t>
  </si>
  <si>
    <t>83585</t>
  </si>
  <si>
    <t>014820</t>
  </si>
  <si>
    <t>동원시스템즈</t>
  </si>
  <si>
    <t>배터리 부문 부진하나 PBR 1배 불과</t>
  </si>
  <si>
    <t>83584</t>
  </si>
  <si>
    <t>2025-05-30</t>
  </si>
  <si>
    <t>카니발이 끌고, EV3가 더하고, 러시아는 회복되고</t>
  </si>
  <si>
    <t>83582</t>
  </si>
  <si>
    <t>미국 시장 곧 개화, 큰 수혜 입을 것</t>
  </si>
  <si>
    <t>83581</t>
  </si>
  <si>
    <t>하반기 북미 생산 비중 확대, 내년 대규모 수주 물량의 매출 전환 시작</t>
  </si>
  <si>
    <t>83580</t>
  </si>
  <si>
    <t>보수적인 접근이 필요한 구간</t>
  </si>
  <si>
    <t>83579</t>
  </si>
  <si>
    <t>시황 약세 속에서 돋보이는 방어력</t>
  </si>
  <si>
    <t>83578</t>
  </si>
  <si>
    <t>하반기 수익성 개선에 주목</t>
  </si>
  <si>
    <t>83577</t>
  </si>
  <si>
    <t>올라갈 일만 남았다</t>
  </si>
  <si>
    <t>83576</t>
  </si>
  <si>
    <t>또 하나의 글로벌 IP를 향하여</t>
  </si>
  <si>
    <t>83575</t>
  </si>
  <si>
    <t>믿을 건 IP뿐이고</t>
  </si>
  <si>
    <t>83574</t>
  </si>
  <si>
    <t>굳세어라 NAVER</t>
  </si>
  <si>
    <t>83573</t>
  </si>
  <si>
    <t>방어주 그 이상: 해외 성장과 주주환원</t>
  </si>
  <si>
    <t>83572</t>
  </si>
  <si>
    <t>[NDR후기] 3가지의 만약...라면 기대</t>
  </si>
  <si>
    <t>83571</t>
  </si>
  <si>
    <t xml:space="preserve">NDR 후기: 기업가치는 Rock bottom, 성장에 대한 확신은 Sky High </t>
  </si>
  <si>
    <t>83570</t>
  </si>
  <si>
    <t>061970</t>
  </si>
  <si>
    <t>LB세미콘</t>
  </si>
  <si>
    <t>체질 개선에 주목</t>
  </si>
  <si>
    <t>83569</t>
  </si>
  <si>
    <t>단체로 몰려온다면</t>
  </si>
  <si>
    <t>83568</t>
  </si>
  <si>
    <t>더 놀다 가세요</t>
  </si>
  <si>
    <t>83567</t>
  </si>
  <si>
    <t>199430</t>
  </si>
  <si>
    <t>케이엔알시스템</t>
  </si>
  <si>
    <t>Heavy-Duty 전문가에요</t>
  </si>
  <si>
    <t>83566</t>
  </si>
  <si>
    <t>천국보다 아름다운 굿보이</t>
  </si>
  <si>
    <t>83565</t>
  </si>
  <si>
    <t>자율주행 OEM 해보려고요</t>
  </si>
  <si>
    <t>83564</t>
  </si>
  <si>
    <t>레벨업된 영업이익, 멀티플 리레이팅 기대</t>
  </si>
  <si>
    <t>83563</t>
  </si>
  <si>
    <t>어디까지 알아보고 오셨어요</t>
  </si>
  <si>
    <t>83562</t>
  </si>
  <si>
    <t>455900</t>
  </si>
  <si>
    <t>엔젤로보틱스</t>
  </si>
  <si>
    <t>천사의 마음은 어디로 향할까</t>
  </si>
  <si>
    <t>83561</t>
  </si>
  <si>
    <t>올해 실적 좋아요</t>
  </si>
  <si>
    <t>83560</t>
  </si>
  <si>
    <t>어떤 정책이 나와도 괜찮을 것 같아요</t>
  </si>
  <si>
    <t>83559</t>
  </si>
  <si>
    <t>058610</t>
  </si>
  <si>
    <t>에스피지</t>
  </si>
  <si>
    <t>정밀한 건 저한테 맡겨 주세요</t>
  </si>
  <si>
    <t>83558</t>
  </si>
  <si>
    <t>저희가 제일 잘 옮겨드려요</t>
  </si>
  <si>
    <t>83557</t>
  </si>
  <si>
    <t>철강/조선/F&amp;B, 로봇과 함께 가자</t>
  </si>
  <si>
    <t>83556</t>
  </si>
  <si>
    <t>차세대 모터를 책임지겠습니다</t>
  </si>
  <si>
    <t>83555</t>
  </si>
  <si>
    <t>We Make You Move</t>
  </si>
  <si>
    <t>83554</t>
  </si>
  <si>
    <t>2026년 미-중 상계관세 부과 가능성 부각</t>
  </si>
  <si>
    <t>83553</t>
  </si>
  <si>
    <t>388720</t>
  </si>
  <si>
    <t>유일로보틱스</t>
  </si>
  <si>
    <t>제가 생산성 올려드릴게요</t>
  </si>
  <si>
    <t>83552</t>
  </si>
  <si>
    <t>공항에 사람이 부족해요</t>
  </si>
  <si>
    <t>83551</t>
  </si>
  <si>
    <t>강력한 전략적 파트너 확보</t>
  </si>
  <si>
    <t>83550</t>
  </si>
  <si>
    <t>운항편수 감소에 따른 실적 악화</t>
  </si>
  <si>
    <t>83549</t>
  </si>
  <si>
    <t>277810</t>
  </si>
  <si>
    <t>레인보우로보틱스</t>
  </si>
  <si>
    <t>K-Humanoid, 제가 해보겠습니다</t>
  </si>
  <si>
    <t>83548</t>
  </si>
  <si>
    <t>이제 Data Factory</t>
  </si>
  <si>
    <t>83547</t>
  </si>
  <si>
    <t>최혜국 정책은 시밀러 수혜, 관세 우려 완화</t>
  </si>
  <si>
    <t>83546</t>
  </si>
  <si>
    <t>위에서 더 살 거예요</t>
  </si>
  <si>
    <t>83544</t>
  </si>
  <si>
    <t>076340</t>
  </si>
  <si>
    <t>지에이이노더스</t>
  </si>
  <si>
    <t>수중공사 경험을 바탕으로 사업 다각화 중인 기업</t>
  </si>
  <si>
    <t>83543</t>
  </si>
  <si>
    <t>072130</t>
  </si>
  <si>
    <t>유엔젤</t>
  </si>
  <si>
    <t>통신 및 데이터 서비스 솔루션</t>
  </si>
  <si>
    <t>83542</t>
  </si>
  <si>
    <t>003780</t>
  </si>
  <si>
    <t>진양산업</t>
  </si>
  <si>
    <t>60년 전통의 플라스틱 발포 성형 전문기업</t>
  </si>
  <si>
    <t>83541</t>
  </si>
  <si>
    <t>033790</t>
  </si>
  <si>
    <t>피노</t>
  </si>
  <si>
    <t>통신장비, 게임 관련 사업에서 글로벌 신재생에너지 소재 과학 기업으로의 사업 재편</t>
  </si>
  <si>
    <t>83540</t>
  </si>
  <si>
    <t>225430</t>
  </si>
  <si>
    <t>케이엠제약</t>
  </si>
  <si>
    <t>유아용 오랄케어 제품 전문기업</t>
  </si>
  <si>
    <t>83539</t>
  </si>
  <si>
    <t>336040</t>
  </si>
  <si>
    <t>타스컴</t>
  </si>
  <si>
    <t>국내 만성질환 현장진담검사(POCT)분야의 선두기업</t>
  </si>
  <si>
    <t>83538</t>
  </si>
  <si>
    <t>222670</t>
  </si>
  <si>
    <t>플럼라인생명과학</t>
  </si>
  <si>
    <t>DNA의약품으로 동물의 건강한 삶을 그리는 기업</t>
  </si>
  <si>
    <t>83537</t>
  </si>
  <si>
    <t>여성용 의류 제조 및 판매 업체</t>
  </si>
  <si>
    <t>83536</t>
  </si>
  <si>
    <t>2025-05-29</t>
  </si>
  <si>
    <t>하반기 성장 기대</t>
  </si>
  <si>
    <t>83535</t>
  </si>
  <si>
    <t>실적 턴어라운드, 비교 우위의 원전 모멘텀</t>
  </si>
  <si>
    <t>83534</t>
  </si>
  <si>
    <t>인적분할 이후 첫 이익 증가 시현</t>
  </si>
  <si>
    <t>83533</t>
  </si>
  <si>
    <t>해외 수주 공백 만회, 할인 요인 축소 전망</t>
  </si>
  <si>
    <t>83532</t>
  </si>
  <si>
    <t>1Q25 Re: 진정한 화장품 브랜드 기업으로 진화 중</t>
  </si>
  <si>
    <t>83531</t>
  </si>
  <si>
    <t>펀딩 우려보단 매출 확대 기대감이 더 크다</t>
  </si>
  <si>
    <t>83530</t>
  </si>
  <si>
    <t xml:space="preserve">하반기 북미 생산 비중 확대, 내년 대규모 수주 물량의 매출 전환 시작 </t>
  </si>
  <si>
    <t>83529</t>
  </si>
  <si>
    <t>높은 실적개선 기대감에도 낮은 밸류에이션</t>
  </si>
  <si>
    <t>83528</t>
  </si>
  <si>
    <t>높은 수익성에도 불구하고 저평가</t>
  </si>
  <si>
    <t>83527</t>
  </si>
  <si>
    <t>1Q25 Review: 레저 부문, 성수기 진입</t>
  </si>
  <si>
    <t>83526</t>
  </si>
  <si>
    <t>북미 중심 수주잔고 확대</t>
  </si>
  <si>
    <t>83525</t>
  </si>
  <si>
    <t>딛고 일어설 때</t>
  </si>
  <si>
    <t>83524</t>
  </si>
  <si>
    <t>우려는 이미 반영, 이익률 개선을 주목하자</t>
  </si>
  <si>
    <t>83523</t>
  </si>
  <si>
    <t>열배 확대되는 시장에 올라타자</t>
  </si>
  <si>
    <t>83522</t>
  </si>
  <si>
    <t>반도체는 견조한 실적 예상</t>
  </si>
  <si>
    <t>83521</t>
  </si>
  <si>
    <t>올해의 키워드는 AI, 글로벌 성과, 클라우드 전환</t>
  </si>
  <si>
    <t>83520</t>
  </si>
  <si>
    <t>2025-05-28</t>
  </si>
  <si>
    <t xml:space="preserve">2025년, 2026년 최고 매출을 예상! </t>
  </si>
  <si>
    <t>83519</t>
  </si>
  <si>
    <t>GDDR7 성장이 높다, 비메모리 믹스 효과도 확대</t>
  </si>
  <si>
    <t>83518</t>
  </si>
  <si>
    <t>실적 회복 예상되나 속도는 다소 더딜 전망</t>
  </si>
  <si>
    <t>83517</t>
  </si>
  <si>
    <t>예전의 YG가 아닙니다</t>
  </si>
  <si>
    <t>83516</t>
  </si>
  <si>
    <t>텐센트 뮤직 2대주주 등극</t>
  </si>
  <si>
    <t>83515</t>
  </si>
  <si>
    <t>산업 트렌드가 유리한 방향으로 진행</t>
  </si>
  <si>
    <t>83514</t>
  </si>
  <si>
    <t>6월 전략 - 잠깐만 쉬다 갈게요</t>
  </si>
  <si>
    <t>83513</t>
  </si>
  <si>
    <t>6월 전략 - 이젠 매수해도 됩니다</t>
  </si>
  <si>
    <t>83512</t>
  </si>
  <si>
    <t>6월 전략 - 단기 오버 슈팅 나올 수 있다</t>
  </si>
  <si>
    <t>83511</t>
  </si>
  <si>
    <t>업황 무관 중장기 고속 성장 - 길게 봐야 한다</t>
  </si>
  <si>
    <t>83510</t>
  </si>
  <si>
    <t>하던 일 잘 하는 중입니다</t>
  </si>
  <si>
    <t>83509</t>
  </si>
  <si>
    <t>다 가진 회사 - 이유 있는 대장주</t>
  </si>
  <si>
    <t>83508</t>
  </si>
  <si>
    <t>FLNG야 부탁해 - pure value pick</t>
  </si>
  <si>
    <t>83507</t>
  </si>
  <si>
    <t>방산의 한화 - 안 비쌉니다</t>
  </si>
  <si>
    <t>83506</t>
  </si>
  <si>
    <t>시장 입지 축소</t>
  </si>
  <si>
    <t>83505</t>
  </si>
  <si>
    <t>제한적인 리스크, 열려있는 상방</t>
  </si>
  <si>
    <t>83504</t>
  </si>
  <si>
    <t>극복도 해본 자가 더 잘한다</t>
  </si>
  <si>
    <t>83503</t>
  </si>
  <si>
    <t>정상화 그리고 집중</t>
  </si>
  <si>
    <t>83502</t>
  </si>
  <si>
    <t>자회사 실적 개선 지속</t>
  </si>
  <si>
    <t>83501</t>
  </si>
  <si>
    <t>믿을맨, 올리브영</t>
  </si>
  <si>
    <t>83500</t>
  </si>
  <si>
    <t>리밸런싱 진행 중</t>
  </si>
  <si>
    <t>83499</t>
  </si>
  <si>
    <t>CEO NDR 후기: 기대 이상으로 순항</t>
  </si>
  <si>
    <t>83498</t>
  </si>
  <si>
    <t>1Q25 Review: 4분기 신사업 양산 기대</t>
  </si>
  <si>
    <t>83497</t>
  </si>
  <si>
    <t>315640</t>
  </si>
  <si>
    <t>딥노이드</t>
  </si>
  <si>
    <t>사업 순항 중</t>
  </si>
  <si>
    <t>83496</t>
  </si>
  <si>
    <t>드래곤시티호텔 Q 증가가 P 상승을 이끈다</t>
  </si>
  <si>
    <t>83495</t>
  </si>
  <si>
    <t>004980</t>
  </si>
  <si>
    <t>성신양회</t>
  </si>
  <si>
    <t>천마표 시멘트 제조사</t>
  </si>
  <si>
    <t>83494</t>
  </si>
  <si>
    <t>적극적인 해외 진출과 종합결제서비스사로의 도약</t>
  </si>
  <si>
    <t>83493</t>
  </si>
  <si>
    <t>반도체로 천천히 이동 중</t>
  </si>
  <si>
    <t>83492</t>
  </si>
  <si>
    <t>2025-05-27</t>
  </si>
  <si>
    <t>다운사이드보다는 업사이드 리스크 구간으로 Buy</t>
  </si>
  <si>
    <t>83491</t>
  </si>
  <si>
    <t>수익성 개선으로 체질 개선 증명</t>
  </si>
  <si>
    <t>83490</t>
  </si>
  <si>
    <t>225570</t>
  </si>
  <si>
    <t>넥슨게임즈</t>
  </si>
  <si>
    <t>83489</t>
  </si>
  <si>
    <t>5년 주기로 바닥이 왔다. Conviction BUY</t>
  </si>
  <si>
    <t>83488</t>
  </si>
  <si>
    <t xml:space="preserve">압도적 성장: 해외 +138%, 전 방위적 확장 본격화 </t>
  </si>
  <si>
    <t>83487</t>
  </si>
  <si>
    <t xml:space="preserve">여전히 매력적 </t>
  </si>
  <si>
    <t>83486</t>
  </si>
  <si>
    <t>451800</t>
  </si>
  <si>
    <t>한화리츠</t>
  </si>
  <si>
    <t>배당 목표는 불변</t>
  </si>
  <si>
    <t>83485</t>
  </si>
  <si>
    <t>일거양득의 선택</t>
  </si>
  <si>
    <t>83484</t>
  </si>
  <si>
    <t>아메리칸 드림을 향해</t>
  </si>
  <si>
    <t>83483</t>
  </si>
  <si>
    <t>원전 확대와 발 맞출 CASK 시장</t>
  </si>
  <si>
    <t>83482</t>
  </si>
  <si>
    <t>엔진부품의 힘센성장</t>
  </si>
  <si>
    <t>83481</t>
  </si>
  <si>
    <t>유상증자&amp;신규투자 → 주가희석보다 신성장 동력에 주목할 시점</t>
  </si>
  <si>
    <t>83480</t>
  </si>
  <si>
    <t>IRA 약가 인하, 특허 이슈 종합 분석</t>
  </si>
  <si>
    <t>83479</t>
  </si>
  <si>
    <t>스위치2 출시로 관심 환기 기대</t>
  </si>
  <si>
    <t>83478</t>
  </si>
  <si>
    <t>1Q25 Review: 바닥을 벗어나는 단계</t>
  </si>
  <si>
    <t>83477</t>
  </si>
  <si>
    <t>전방 시장 둔화 속 견조한 성장 기반 확보</t>
  </si>
  <si>
    <t>83476</t>
  </si>
  <si>
    <t>419050</t>
  </si>
  <si>
    <t>삼기에너지솔루션즈</t>
  </si>
  <si>
    <t>북미 투자의 결실이 돌아오다</t>
  </si>
  <si>
    <t>83475</t>
  </si>
  <si>
    <t>서비스 로봇 업체도 주목!</t>
  </si>
  <si>
    <t>83474</t>
  </si>
  <si>
    <t>로봇도 붙는다</t>
  </si>
  <si>
    <t>83473</t>
  </si>
  <si>
    <t>이차전지 악재에서 바닥 탈피</t>
  </si>
  <si>
    <t>83472</t>
  </si>
  <si>
    <t>2025-05-26</t>
  </si>
  <si>
    <t xml:space="preserve">저점은 지났다 </t>
  </si>
  <si>
    <t>83471</t>
  </si>
  <si>
    <t>확인한 바닥</t>
  </si>
  <si>
    <t>83470</t>
  </si>
  <si>
    <t>속도는 태양광, 스케일은 풍력</t>
  </si>
  <si>
    <t>83469</t>
  </si>
  <si>
    <t>Binary event 임박; 경쟁사 특허 연장</t>
  </si>
  <si>
    <t>83468</t>
  </si>
  <si>
    <t>압도적 성장: 해외 +138%, 전 방위적 확장 본격화</t>
  </si>
  <si>
    <t>83467</t>
  </si>
  <si>
    <t>1분기 이익률 하락은 일시적 인건비 증가가 큰 원인</t>
  </si>
  <si>
    <t>83466</t>
  </si>
  <si>
    <t xml:space="preserve">느리지만 확실하게, 시중은행 압박하는 동사만의 경쟁력 </t>
  </si>
  <si>
    <t>83465</t>
  </si>
  <si>
    <t xml:space="preserve">어디 통신사 써요? 엘지유 </t>
  </si>
  <si>
    <t>83464</t>
  </si>
  <si>
    <t>자회사 성장에 가려진 본업 성장세</t>
  </si>
  <si>
    <t>83463</t>
  </si>
  <si>
    <t>유상증자·구주 매각 통해 최대주주 변경</t>
  </si>
  <si>
    <t>83462</t>
  </si>
  <si>
    <t xml:space="preserve">NDR 후기: 판을 바꾸는 유통사 </t>
  </si>
  <si>
    <t>83461</t>
  </si>
  <si>
    <t>로컬 및 PC 플랫폼 성과 기대 이상</t>
  </si>
  <si>
    <t>83460</t>
  </si>
  <si>
    <t>1Q25 Review: 사이버보안 공격 확대 수혜 기대</t>
  </si>
  <si>
    <t>83459</t>
  </si>
  <si>
    <t>오래 보는 이유</t>
  </si>
  <si>
    <t>83458</t>
  </si>
  <si>
    <t>어센트EP, 최대주주 등극</t>
  </si>
  <si>
    <t>83457</t>
  </si>
  <si>
    <t>슈퍼사이클 기업의 매수 찬스</t>
  </si>
  <si>
    <t>83456</t>
  </si>
  <si>
    <t>삼성그룹 지배구조 혁신 수혜 및 SMR 사업 확대</t>
  </si>
  <si>
    <t>83455</t>
  </si>
  <si>
    <t>변화를 모색하는 시스템 반도체 테스트 전문기업</t>
  </si>
  <si>
    <t>83454</t>
  </si>
  <si>
    <t>2025-05-23</t>
  </si>
  <si>
    <t>2개사 합산 적정 기업가치 약 97.2조원</t>
  </si>
  <si>
    <t>83453</t>
  </si>
  <si>
    <t>라면으로 화끈하게 밸류업</t>
  </si>
  <si>
    <t>83452</t>
  </si>
  <si>
    <t>북미 중심의 편안한 성장세</t>
  </si>
  <si>
    <t>83451</t>
  </si>
  <si>
    <t>실적 좋은 소재주</t>
  </si>
  <si>
    <t>83450</t>
  </si>
  <si>
    <t>IRA 세액공제 수정안 하원 통과</t>
  </si>
  <si>
    <t>83449</t>
  </si>
  <si>
    <t>P의 거짓 DLC 가격 공개. 추정치 상향</t>
  </si>
  <si>
    <t>83448</t>
  </si>
  <si>
    <t>오래 기다렸던, 초격차를 위한 큰 결정</t>
  </si>
  <si>
    <t>83447</t>
  </si>
  <si>
    <t>시간이 필요한 구간</t>
  </si>
  <si>
    <t>83446</t>
  </si>
  <si>
    <t>NDR 후기: 하반기 미국 성장의 확신</t>
  </si>
  <si>
    <t>83445</t>
  </si>
  <si>
    <t xml:space="preserve">본격적인 中 MASS 비중 확대 전망 </t>
  </si>
  <si>
    <t>83444</t>
  </si>
  <si>
    <t>중국도 좋아진다</t>
  </si>
  <si>
    <t>83443</t>
  </si>
  <si>
    <t>83442</t>
  </si>
  <si>
    <t>CDMO는 수주를 쌓고, 홀딩스는 미래를 그린다</t>
  </si>
  <si>
    <t>83440</t>
  </si>
  <si>
    <t>P, Q, C 완벽한 삼각형</t>
  </si>
  <si>
    <t>83439</t>
  </si>
  <si>
    <t>돋보이는 ADC 기업</t>
  </si>
  <si>
    <t>83438</t>
  </si>
  <si>
    <t>집중의 로직스, 진화의 에피스</t>
  </si>
  <si>
    <t>83437</t>
  </si>
  <si>
    <t>바이오 사업 가치의 재발견</t>
  </si>
  <si>
    <t>83436</t>
  </si>
  <si>
    <t>1Q25 Review: 수익성 개선 지속</t>
  </si>
  <si>
    <t>83435</t>
  </si>
  <si>
    <t>구조적인 업황 호조 지속</t>
  </si>
  <si>
    <t>83434</t>
  </si>
  <si>
    <t>‘자체사업 확대’로 실적 반등 기대</t>
  </si>
  <si>
    <t>83433</t>
  </si>
  <si>
    <t>인적 분할 코멘트</t>
  </si>
  <si>
    <t>83432</t>
  </si>
  <si>
    <t>플랫폼 기반 수익모델 준비 중</t>
  </si>
  <si>
    <t>83431</t>
  </si>
  <si>
    <t>오일 머니는 마르지 않는다</t>
  </si>
  <si>
    <t>83430</t>
  </si>
  <si>
    <t xml:space="preserve">이제 서브노티카2에 깊게 빠질 시간 </t>
  </si>
  <si>
    <t>83429</t>
  </si>
  <si>
    <t>005610</t>
  </si>
  <si>
    <t>SPC삼립</t>
  </si>
  <si>
    <t>반복되는 안전사고, 투심 회복 요원</t>
  </si>
  <si>
    <t>83428</t>
  </si>
  <si>
    <t>인바디는 의료기기라는 사실을 잊지말자</t>
  </si>
  <si>
    <t>83427</t>
  </si>
  <si>
    <t>하반기 개선 가능성</t>
  </si>
  <si>
    <t>83426</t>
  </si>
  <si>
    <t>236340</t>
  </si>
  <si>
    <t>메디젠휴먼케어</t>
  </si>
  <si>
    <t>유전체 분석 기반의 정밀의료 전문기업</t>
  </si>
  <si>
    <t>83425</t>
  </si>
  <si>
    <t>072950</t>
  </si>
  <si>
    <t>빛샘전자</t>
  </si>
  <si>
    <t>전자, 통신 부품 전문기업</t>
  </si>
  <si>
    <t>83424</t>
  </si>
  <si>
    <t>정형외과 중심의 글로벌 척추 및 흉곽 임플란트 전문기업</t>
  </si>
  <si>
    <t>83423</t>
  </si>
  <si>
    <t>188260</t>
  </si>
  <si>
    <t>세니젠</t>
  </si>
  <si>
    <t>식품 안전 관련 분자 진단·미생물 검사 장비 및 서비스 전문 기업</t>
  </si>
  <si>
    <t>83422</t>
  </si>
  <si>
    <t>2025-05-22</t>
  </si>
  <si>
    <t>K-원전 확산 수혜의 초입</t>
  </si>
  <si>
    <t>83421</t>
  </si>
  <si>
    <t>자동차 관세 약풍지대</t>
  </si>
  <si>
    <t>83420</t>
  </si>
  <si>
    <t>우려에는 동감. 그래도 사자</t>
  </si>
  <si>
    <t>83419</t>
  </si>
  <si>
    <t>안정적 이익 기조 지속 기대</t>
  </si>
  <si>
    <t>83418</t>
  </si>
  <si>
    <t>pH 감응 항체, 안전성 개선 확인이 중요</t>
  </si>
  <si>
    <t>83417</t>
  </si>
  <si>
    <t>페이로드 강자로 도약중</t>
  </si>
  <si>
    <t>83416</t>
  </si>
  <si>
    <t>주마가편</t>
  </si>
  <si>
    <t>83415</t>
  </si>
  <si>
    <t>안정적인 이익체력에 비해 다소 저평가</t>
  </si>
  <si>
    <t>83414</t>
  </si>
  <si>
    <t>높은 레버리지에 기반한 실적 개선 기대감</t>
  </si>
  <si>
    <t>83413</t>
  </si>
  <si>
    <t>털고 일어나 달리면 된다</t>
  </si>
  <si>
    <t>83412</t>
  </si>
  <si>
    <t>1Q25 Review: 글로벌 시장 진출 중</t>
  </si>
  <si>
    <t>83411</t>
  </si>
  <si>
    <t>1Q25 Review: 해외 수출 확대 기대</t>
  </si>
  <si>
    <t>83410</t>
  </si>
  <si>
    <t>변함없는 신성장 엔진: AI와 디지털 뱅킹</t>
  </si>
  <si>
    <t>83409</t>
  </si>
  <si>
    <t>NDR 후기: 역대 두 번째 최대 실적</t>
  </si>
  <si>
    <t>83408</t>
  </si>
  <si>
    <t>K-미용의료기기 대표선수</t>
  </si>
  <si>
    <t>83407</t>
  </si>
  <si>
    <t>촉매사업에서 전구체사업으로 담보된 성장성</t>
  </si>
  <si>
    <t>83406</t>
  </si>
  <si>
    <t>2025-05-21</t>
  </si>
  <si>
    <t>1Q25 리뷰:  업황은 봄인데 주가는 아직 겨울</t>
  </si>
  <si>
    <t>83405</t>
  </si>
  <si>
    <t>IRA 세액공제 2028년 일몰 보도 관련 코멘트</t>
  </si>
  <si>
    <t>83404</t>
  </si>
  <si>
    <t>애널리스트 데이 후기</t>
  </si>
  <si>
    <t>83403</t>
  </si>
  <si>
    <t>안정적인 선택지</t>
  </si>
  <si>
    <t>83402</t>
  </si>
  <si>
    <t xml:space="preserve">제조 연간 흑전을 위해! </t>
  </si>
  <si>
    <t>83401</t>
  </si>
  <si>
    <t xml:space="preserve">더 큰 도약의 기회 </t>
  </si>
  <si>
    <t>83400</t>
  </si>
  <si>
    <t xml:space="preserve">변화를 위한 거인의 발걸음 </t>
  </si>
  <si>
    <t>83399</t>
  </si>
  <si>
    <t>83398</t>
  </si>
  <si>
    <t>NDR 후기: 실적과 환원으로 초격차 굳히기</t>
  </si>
  <si>
    <t>83397</t>
  </si>
  <si>
    <t>조선 밸류체인 상장사 중‘가장 높은’수익성 기록</t>
  </si>
  <si>
    <t>83396</t>
  </si>
  <si>
    <t>고객사의 부진이 아쉽다</t>
  </si>
  <si>
    <t>83395</t>
  </si>
  <si>
    <t>업황의 구조적 회복 절실</t>
  </si>
  <si>
    <t>83394</t>
  </si>
  <si>
    <t>다시! 하이마트로 가요~</t>
  </si>
  <si>
    <t>83393</t>
  </si>
  <si>
    <t>지주사의 품격!</t>
  </si>
  <si>
    <t>83392</t>
  </si>
  <si>
    <t>국내, 해외 모두 좋아지는 실적</t>
  </si>
  <si>
    <t>83391</t>
  </si>
  <si>
    <t>브레이크가 고장나버린 리쥬란 트럭</t>
  </si>
  <si>
    <t>83390</t>
  </si>
  <si>
    <t>국내 최대 미용기기 기업으로 우뚝 설 2025년</t>
  </si>
  <si>
    <t>83389</t>
  </si>
  <si>
    <t>단가 압박 지속</t>
  </si>
  <si>
    <t>83388</t>
  </si>
  <si>
    <t>2025-05-20</t>
  </si>
  <si>
    <t>NDR 후기: 2H25 가스터빈/원자력 수주 분출</t>
  </si>
  <si>
    <t>83387</t>
  </si>
  <si>
    <t>하반기 해상풍력 수주 확대 기대</t>
  </si>
  <si>
    <t>83386</t>
  </si>
  <si>
    <t>실적보다 ALM이 지상과제</t>
  </si>
  <si>
    <t>83385</t>
  </si>
  <si>
    <t>광주 공장 화재에 따른 매출 및 손익 추정치 하향</t>
  </si>
  <si>
    <t>83384</t>
  </si>
  <si>
    <t>미국발 관세로 인한 전방 수요 부진</t>
  </si>
  <si>
    <t>83383</t>
  </si>
  <si>
    <t>예고 없던 호황, 수요가 몰려온다</t>
  </si>
  <si>
    <t>83382</t>
  </si>
  <si>
    <t>운영 매출 증가로 이어질 분양 성장</t>
  </si>
  <si>
    <t>83381</t>
  </si>
  <si>
    <t>007210</t>
  </si>
  <si>
    <t>벽산</t>
  </si>
  <si>
    <t>가장 힘든 시기를 보내는 중</t>
  </si>
  <si>
    <t>83380</t>
  </si>
  <si>
    <t>1Q25 Review: K-Food 수혜는 여전하다</t>
  </si>
  <si>
    <t>83379</t>
  </si>
  <si>
    <t>1Q25 Review: 수익성 개선 지속 기대</t>
  </si>
  <si>
    <t>83378</t>
  </si>
  <si>
    <t>1Q25 Review: IoT솔루션 매출 성장 견인</t>
  </si>
  <si>
    <t>83377</t>
  </si>
  <si>
    <t>83376</t>
  </si>
  <si>
    <t>AI사업이 기업 성장을 확실히 견인</t>
  </si>
  <si>
    <t>83375</t>
  </si>
  <si>
    <t>실적 부진은 단기적 이슈, 주주환원이 중요</t>
  </si>
  <si>
    <t>83374</t>
  </si>
  <si>
    <t>2025-05-19</t>
  </si>
  <si>
    <t xml:space="preserve">1Q25 review: 대규모 CSM 경험조정 환입 </t>
  </si>
  <si>
    <t>83373</t>
  </si>
  <si>
    <t xml:space="preserve">변화를 위한 한 걸음 </t>
  </si>
  <si>
    <t>83372</t>
  </si>
  <si>
    <t>불확실성 속 선방</t>
  </si>
  <si>
    <t>83371</t>
  </si>
  <si>
    <t>신작을 기다릴 수 있는 이유</t>
  </si>
  <si>
    <t>83370</t>
  </si>
  <si>
    <t>전환점에 다 왔다</t>
  </si>
  <si>
    <t>83369</t>
  </si>
  <si>
    <t>`25년은 외형 성장에 집중</t>
  </si>
  <si>
    <t>83368</t>
  </si>
  <si>
    <t>일단 전열을 가다듬는 중</t>
  </si>
  <si>
    <t>83367</t>
  </si>
  <si>
    <t>드디어 이익 성장으로 돌아섰다</t>
  </si>
  <si>
    <t>83366</t>
  </si>
  <si>
    <t xml:space="preserve">반등의 신호탄 </t>
  </si>
  <si>
    <t>83365</t>
  </si>
  <si>
    <t>실망스러운 출발, 그래도 반등의 여지는 있다</t>
  </si>
  <si>
    <t>83364</t>
  </si>
  <si>
    <t>달라진 분위기, 쌓여갈 호재</t>
  </si>
  <si>
    <t>83363</t>
  </si>
  <si>
    <t>실적은 안정화. 멀티플은 개선 국면</t>
  </si>
  <si>
    <t>83362</t>
  </si>
  <si>
    <t>실적 밋밋했지만 하방리스크보다 상승포텐셜 더 크다</t>
  </si>
  <si>
    <t>83361</t>
  </si>
  <si>
    <t>고객사의 신차가 잘 되길 바라고 있어요</t>
  </si>
  <si>
    <t>83360</t>
  </si>
  <si>
    <t>200880</t>
  </si>
  <si>
    <t>서연이화</t>
  </si>
  <si>
    <t>미국 내 3개의 신규 공장이 돌아간다</t>
  </si>
  <si>
    <t>83359</t>
  </si>
  <si>
    <t>010690</t>
  </si>
  <si>
    <t>화신</t>
  </si>
  <si>
    <t>신공장 효과의 시작</t>
  </si>
  <si>
    <t>83358</t>
  </si>
  <si>
    <t>수요가 많아 증설을 진행</t>
  </si>
  <si>
    <t>83357</t>
  </si>
  <si>
    <t>금리 하락기에는 불리한 구조</t>
  </si>
  <si>
    <t>83356</t>
  </si>
  <si>
    <t>속도는 더디지만 방향성은 확실히 좋다</t>
  </si>
  <si>
    <t>83355</t>
  </si>
  <si>
    <t>084370</t>
  </si>
  <si>
    <t>유진테크</t>
  </si>
  <si>
    <t xml:space="preserve">올해 눈높이 하향 </t>
  </si>
  <si>
    <t>83354</t>
  </si>
  <si>
    <t>실적 대비 과도한 조정, 브랜드·지역 성장 본격화</t>
  </si>
  <si>
    <t>83353</t>
  </si>
  <si>
    <t>성수기 앞두고 실적이 먼저 왔다</t>
  </si>
  <si>
    <t>83352</t>
  </si>
  <si>
    <t xml:space="preserve">NDR 후기: Big2 가자! </t>
  </si>
  <si>
    <t>83351</t>
  </si>
  <si>
    <t>기대되는 통신사 해킹이 유발할 나비효과</t>
  </si>
  <si>
    <t>83350</t>
  </si>
  <si>
    <t>[NDR] 적극적인 유리기판 시장 확대 준비 행보</t>
  </si>
  <si>
    <t>83349</t>
  </si>
  <si>
    <t>7개 분기만에 영업이익 흑자전환</t>
  </si>
  <si>
    <t>83348</t>
  </si>
  <si>
    <t>해외수수료, WM, 해외법인 삼박자</t>
  </si>
  <si>
    <t>83347</t>
  </si>
  <si>
    <t>양호한 시작, 배당정책만 수립되면 주가 회복 전망</t>
  </si>
  <si>
    <t>83346</t>
  </si>
  <si>
    <t>광주공장 화재 영향 체크</t>
  </si>
  <si>
    <t>83345</t>
  </si>
  <si>
    <t>상장 자회사 부진, 비상장 견조</t>
  </si>
  <si>
    <t>83344</t>
  </si>
  <si>
    <t>모든 아웃도어 브랜드는 여기로 통한다</t>
  </si>
  <si>
    <t>83343</t>
  </si>
  <si>
    <t>NDR 후기: 지금이 제일 싸다</t>
  </si>
  <si>
    <t>83342</t>
  </si>
  <si>
    <t>002790</t>
  </si>
  <si>
    <t>아모레퍼시픽홀딩스</t>
  </si>
  <si>
    <t>밸류에이션 매력 부각</t>
  </si>
  <si>
    <t>83341</t>
  </si>
  <si>
    <t>Q의 확장을 기대하며</t>
  </si>
  <si>
    <t>83340</t>
  </si>
  <si>
    <t>해상풍력에 미국 MRO 시장까지</t>
  </si>
  <si>
    <t>83339</t>
  </si>
  <si>
    <t>착실하게 준비 중</t>
  </si>
  <si>
    <t>83338</t>
  </si>
  <si>
    <t>고액 사고에도 양호한 실적 기록</t>
  </si>
  <si>
    <t>83337</t>
  </si>
  <si>
    <t>1Q25 Review: ‘금융 AI 에이전트 기업’으로 도약 중</t>
  </si>
  <si>
    <t>83336</t>
  </si>
  <si>
    <t>실적 및 DPS 증가 가시성 가장 높음</t>
  </si>
  <si>
    <t>83335</t>
  </si>
  <si>
    <t>1Q25 Review: 하반기 LFP 양극재 공장 가동 예정</t>
  </si>
  <si>
    <t>83334</t>
  </si>
  <si>
    <t>앞으로 기대할 이벤트가 많다</t>
  </si>
  <si>
    <t>83333</t>
  </si>
  <si>
    <t>트럼프 2.0 시대 방산수출 및 시추수요 확대로 성장세 가속화</t>
  </si>
  <si>
    <t>83332</t>
  </si>
  <si>
    <t>초기 서프라이즈를 기대하는 근거</t>
  </si>
  <si>
    <t>83331</t>
  </si>
  <si>
    <t>미수금 감소로 배당성향 상향되면서 밸류 리레이팅</t>
  </si>
  <si>
    <t>83330</t>
  </si>
  <si>
    <t>실력으로 업황을 극복 중</t>
  </si>
  <si>
    <t>83329</t>
  </si>
  <si>
    <t>한진과 도원결의, 그 이후 시나리오 분석</t>
  </si>
  <si>
    <t>83328</t>
  </si>
  <si>
    <t>배당성향 상향으로 밸류에이션 리레이팅 될 듯</t>
  </si>
  <si>
    <t>83327</t>
  </si>
  <si>
    <t xml:space="preserve">같이 더 큰 세상을 경험해볼까 츄? </t>
  </si>
  <si>
    <t>83326</t>
  </si>
  <si>
    <t>견조한 성장세 지속, 남은 것은 신규 수주</t>
  </si>
  <si>
    <t>83325</t>
  </si>
  <si>
    <t>1Q25 Re 탄탄대로, 수주도 걱정 마시라</t>
  </si>
  <si>
    <t>83324</t>
  </si>
  <si>
    <t>재무구조 개선 통한 디스카운트 해소</t>
  </si>
  <si>
    <t>83323</t>
  </si>
  <si>
    <t>약간 더 밀릴 것 같은 느낌</t>
  </si>
  <si>
    <t>83322</t>
  </si>
  <si>
    <t>전반적으로 안정적인 펀더멘털</t>
  </si>
  <si>
    <t>83321</t>
  </si>
  <si>
    <t>망연계 보안 절대 강자 휴네시온, 이제는 다계층이다</t>
  </si>
  <si>
    <t>83320</t>
  </si>
  <si>
    <t>2025-05-16</t>
  </si>
  <si>
    <t>예열 마친 1분기, 가속 붙는 2분기</t>
  </si>
  <si>
    <t>83319</t>
  </si>
  <si>
    <t>389260</t>
  </si>
  <si>
    <t>대명에너지</t>
  </si>
  <si>
    <t xml:space="preserve">태양광/풍력+ESS+VPP: 신재생 풀세트 기업 </t>
  </si>
  <si>
    <t>83318</t>
  </si>
  <si>
    <t>소재는 견조하나 장비가 부진</t>
  </si>
  <si>
    <t>83317</t>
  </si>
  <si>
    <t xml:space="preserve">치매 진단용 방사성의약품, 2Q부터 본격화 기대 </t>
  </si>
  <si>
    <t>83316</t>
  </si>
  <si>
    <t>1Q25 Re: 소재 영업이익 232억원(YoY 156%) 달성!</t>
  </si>
  <si>
    <t>83315</t>
  </si>
  <si>
    <t>1Q25 Re: OPM 25%, 식품업의 새로운 역사를 쓰다</t>
  </si>
  <si>
    <t>83314</t>
  </si>
  <si>
    <t>1Q25 Re: 바닥을 지나 정상궤도로</t>
  </si>
  <si>
    <t>83313</t>
  </si>
  <si>
    <t>미국 공장이 완공되었어요</t>
  </si>
  <si>
    <t>83312</t>
  </si>
  <si>
    <t>1Q25 Re: 또 한 번 Level-up된 분기 실적</t>
  </si>
  <si>
    <t>83311</t>
  </si>
  <si>
    <t>1Q25 Re: 손익 기대 소폭 상회, 2Q 해외 성과 기대</t>
  </si>
  <si>
    <t>83310</t>
  </si>
  <si>
    <t>다이소 + 기타해외 + ODM 호조</t>
  </si>
  <si>
    <t>83309</t>
  </si>
  <si>
    <t>1분기는 아쉬웠지만 하반기가 기대된다!</t>
  </si>
  <si>
    <t>83308</t>
  </si>
  <si>
    <t>아쉬운 실적이지만 글로벌 진출 시작</t>
  </si>
  <si>
    <t>83307</t>
  </si>
  <si>
    <t>조금 아쉬운 산업환경 속 전장 부품과 타OE 수주 지속</t>
  </si>
  <si>
    <t>83306</t>
  </si>
  <si>
    <t>특별한 이슈가 없었던 1분기</t>
  </si>
  <si>
    <t>83305</t>
  </si>
  <si>
    <t xml:space="preserve">관세 우려 정점 통과한다면, 업종 내 아웃퍼폼 예상 </t>
  </si>
  <si>
    <t>83304</t>
  </si>
  <si>
    <t xml:space="preserve">매출 성장 재개를 기다리며 </t>
  </si>
  <si>
    <t>83303</t>
  </si>
  <si>
    <t xml:space="preserve">1Q 흑자전환(별도)! </t>
  </si>
  <si>
    <t>83302</t>
  </si>
  <si>
    <t>2Q에 힌지 매출 본격화, 53.2%(qoq) 성장 전망</t>
  </si>
  <si>
    <t>83301</t>
  </si>
  <si>
    <t>1Q 부진, 정체 구간</t>
  </si>
  <si>
    <t>83300</t>
  </si>
  <si>
    <t>적정 가치를 향해 순항 중</t>
  </si>
  <si>
    <t>83299</t>
  </si>
  <si>
    <t>1Q25 Review : 중국으로 향하는 고객사들</t>
  </si>
  <si>
    <t>83298</t>
  </si>
  <si>
    <t>두 마리 토끼를 모두 잡을 수는 없지</t>
  </si>
  <si>
    <t>83297</t>
  </si>
  <si>
    <t>CONVICTION BUY라 했습니다</t>
  </si>
  <si>
    <t>83296</t>
  </si>
  <si>
    <t>1Q25 Review : FILA의 저변이 확대되고 있다</t>
  </si>
  <si>
    <t>83295</t>
  </si>
  <si>
    <t>본질 체력은 개선</t>
  </si>
  <si>
    <t>83294</t>
  </si>
  <si>
    <t>1Q25 Re: 다음 가격 인상 효과를 기대하며</t>
  </si>
  <si>
    <t>83293</t>
  </si>
  <si>
    <t>1Q25 Re: 못 산 당신을 위해, 목표가 131만원</t>
  </si>
  <si>
    <t>83292</t>
  </si>
  <si>
    <t>금리 내리면 더 좋아진다</t>
  </si>
  <si>
    <t>83291</t>
  </si>
  <si>
    <t>수익성 개선 주춤</t>
  </si>
  <si>
    <t>83290</t>
  </si>
  <si>
    <t>1Q25 Review 무난한 호실적, 수출 확대는 시간 문제</t>
  </si>
  <si>
    <t>83289</t>
  </si>
  <si>
    <t>7개 분기 만에 증익 전환</t>
  </si>
  <si>
    <t>83288</t>
  </si>
  <si>
    <t>약점 보완 및 제도 개선 필요한 상황</t>
  </si>
  <si>
    <t>83287</t>
  </si>
  <si>
    <t>우려했던 1분기 이후 모멘텀 구간 임박</t>
  </si>
  <si>
    <t>83286</t>
  </si>
  <si>
    <t>COE 대세화에 주목</t>
  </si>
  <si>
    <t>83285</t>
  </si>
  <si>
    <t>모멘텀을 기다리자</t>
  </si>
  <si>
    <t>83284</t>
  </si>
  <si>
    <t>수주도 실적도 모두 서프라이즈</t>
  </si>
  <si>
    <t>83283</t>
  </si>
  <si>
    <t>‘황제주’ 의 탄생</t>
  </si>
  <si>
    <t>83282</t>
  </si>
  <si>
    <t>밸류업 안 해도 밸류업</t>
  </si>
  <si>
    <t>83281</t>
  </si>
  <si>
    <t>밥 먹듯이 하는 것, 견조한 실적</t>
  </si>
  <si>
    <t>83280</t>
  </si>
  <si>
    <t>83279</t>
  </si>
  <si>
    <t xml:space="preserve">미안하다. 과소평가했다 </t>
  </si>
  <si>
    <t>83278</t>
  </si>
  <si>
    <t>2025년 실적 우려 해소</t>
  </si>
  <si>
    <t>83277</t>
  </si>
  <si>
    <t>실적 흐름, 뚜렷한 상저하고</t>
  </si>
  <si>
    <t>83276</t>
  </si>
  <si>
    <t>Acushnet으로 말하는 주가</t>
  </si>
  <si>
    <t>83275</t>
  </si>
  <si>
    <t>해 뜨기 전 잠깐의 어두움</t>
  </si>
  <si>
    <t>83274</t>
  </si>
  <si>
    <t>본격적인 실적 성장기 진입!</t>
  </si>
  <si>
    <t>83273</t>
  </si>
  <si>
    <t xml:space="preserve"> 1H25 인건비와 관세, 2H25 반등</t>
  </si>
  <si>
    <t>83272</t>
  </si>
  <si>
    <t>신라면 툼바, Game Changer가 될까</t>
  </si>
  <si>
    <t>83271</t>
  </si>
  <si>
    <t>눈물의 MLCC</t>
  </si>
  <si>
    <t>83270</t>
  </si>
  <si>
    <t>수주와 실적 모두 장밋빛</t>
  </si>
  <si>
    <t>83268</t>
  </si>
  <si>
    <t>단기 실적 부진 vs 성장 동력 유효</t>
  </si>
  <si>
    <t>83267</t>
  </si>
  <si>
    <t>가격이 방향성 결정</t>
  </si>
  <si>
    <t>83266</t>
  </si>
  <si>
    <t>아쉬운 실적에도 방향성 유지</t>
  </si>
  <si>
    <t>83265</t>
  </si>
  <si>
    <t>모바일, 전장의 조화</t>
  </si>
  <si>
    <t>83264</t>
  </si>
  <si>
    <t>연중 바닥 지났다</t>
  </si>
  <si>
    <t>83263</t>
  </si>
  <si>
    <t>쿼츠 성장이 좋습니다</t>
  </si>
  <si>
    <t>83262</t>
  </si>
  <si>
    <t>비용만 줄여도 이 정도인데</t>
  </si>
  <si>
    <t>83261</t>
  </si>
  <si>
    <t xml:space="preserve">해가 지지 않는 공장 </t>
  </si>
  <si>
    <t>83260</t>
  </si>
  <si>
    <t>실적과 별개로 남아있는 과제가 많다</t>
  </si>
  <si>
    <t>83259</t>
  </si>
  <si>
    <t>2분기 성수기 진입에 주목할 시점</t>
  </si>
  <si>
    <t>83258</t>
  </si>
  <si>
    <t xml:space="preserve">으라차차차! 호실적!! </t>
  </si>
  <si>
    <t>83257</t>
  </si>
  <si>
    <t>032190</t>
  </si>
  <si>
    <t>다우데이타</t>
  </si>
  <si>
    <t>신사업과 밸류업을 통한 주주가치 증대 기대</t>
  </si>
  <si>
    <t>83256</t>
  </si>
  <si>
    <t>첨단 어닐링(Annealing)으로 반도체 공정 혁신 주도</t>
  </si>
  <si>
    <t>83255</t>
  </si>
  <si>
    <t>이번 분기는 워밍업, 다음 분기부터 풀파워</t>
  </si>
  <si>
    <t>83254</t>
  </si>
  <si>
    <t>거침없는 질주</t>
  </si>
  <si>
    <t>83253</t>
  </si>
  <si>
    <t>성수기 날씨가 관건</t>
  </si>
  <si>
    <t>83252</t>
  </si>
  <si>
    <t>침묵은 끝났다. 이제 신작의 시간</t>
  </si>
  <si>
    <t>83251</t>
  </si>
  <si>
    <t>9분기만의 두 자릿수 영업이익률 달성</t>
  </si>
  <si>
    <t>83250</t>
  </si>
  <si>
    <t>구조조정 전략 순조롭게 실행 중</t>
  </si>
  <si>
    <t>83249</t>
  </si>
  <si>
    <t>199150</t>
  </si>
  <si>
    <t>데이터스트림즈</t>
  </si>
  <si>
    <t>데이터 패브릭 선도 기업</t>
  </si>
  <si>
    <t>83248</t>
  </si>
  <si>
    <t>여성건강/ 여성청결제 제조 전문기업</t>
  </si>
  <si>
    <t>83247</t>
  </si>
  <si>
    <t>이차전지 부품 경쟁력 기반 배터리 전문기업으로 성장</t>
  </si>
  <si>
    <t>83246</t>
  </si>
  <si>
    <t>016250</t>
  </si>
  <si>
    <t>SGC E&amp;C</t>
  </si>
  <si>
    <t>플랜트, 건설 분야 종합 엔지니어링 전문기업</t>
  </si>
  <si>
    <t>83245</t>
  </si>
  <si>
    <t>054090</t>
  </si>
  <si>
    <t>삼진엘앤디</t>
  </si>
  <si>
    <t>정밀 금형 및 수출 기술 기반의 부품 제조기업</t>
  </si>
  <si>
    <t>83244</t>
  </si>
  <si>
    <t>086670</t>
  </si>
  <si>
    <t>비엠티</t>
  </si>
  <si>
    <t>산업용 피팅 및 밸브 전문기업</t>
  </si>
  <si>
    <t>83243</t>
  </si>
  <si>
    <t>2025-05-15</t>
  </si>
  <si>
    <t>K-건기식 ODM도 서프라이즈!</t>
  </si>
  <si>
    <t>83242</t>
  </si>
  <si>
    <t>공격적인 26년 매출 가이던스 제시</t>
  </si>
  <si>
    <t>83241</t>
  </si>
  <si>
    <t xml:space="preserve">예상치 못한 본업 미스 </t>
  </si>
  <si>
    <t>83240</t>
  </si>
  <si>
    <t>모든 관심은 아이온2에 집중</t>
  </si>
  <si>
    <t>83239</t>
  </si>
  <si>
    <t>준공 호기 감소로 인한 일시적 부진</t>
  </si>
  <si>
    <t>83238</t>
  </si>
  <si>
    <t>국내 최고의 양자암호주, 멀티플 급등할 테니 지금 사세요</t>
  </si>
  <si>
    <t>83237</t>
  </si>
  <si>
    <t>사이클 턴어라운드에 더해진 정책 모멘텀</t>
  </si>
  <si>
    <t>83236</t>
  </si>
  <si>
    <t>목표주가 상향의 근거</t>
  </si>
  <si>
    <t>83235</t>
  </si>
  <si>
    <t>2025년 영업이익 전망치 15% 상향</t>
  </si>
  <si>
    <t>83234</t>
  </si>
  <si>
    <t>실적으로 확인된 넷플릭스 효과</t>
  </si>
  <si>
    <t>83233</t>
  </si>
  <si>
    <t>2분기부터 재차 사상 최대 실적 전망</t>
  </si>
  <si>
    <t>83232</t>
  </si>
  <si>
    <t>1Q25 Re: 불확실성이 오히려 주가의 하방을 지지한다</t>
  </si>
  <si>
    <t>83231</t>
  </si>
  <si>
    <t xml:space="preserve">매출 성장이 급선무 </t>
  </si>
  <si>
    <t>83230</t>
  </si>
  <si>
    <t>최고의 수익성, 건전한 자본비율, 평균 DY 10%</t>
  </si>
  <si>
    <t>83229</t>
  </si>
  <si>
    <t>최악의 구간을 통과</t>
  </si>
  <si>
    <t>83228</t>
  </si>
  <si>
    <t>경기 방어 업종의 방어주</t>
  </si>
  <si>
    <t>83227</t>
  </si>
  <si>
    <t>일단은 출시 된다는 것이 중요하다</t>
  </si>
  <si>
    <t>83226</t>
  </si>
  <si>
    <t xml:space="preserve">4분기 금방 온다 </t>
  </si>
  <si>
    <t>83225</t>
  </si>
  <si>
    <t>NDR 후기: Big2 가자!</t>
  </si>
  <si>
    <t>83224</t>
  </si>
  <si>
    <t>1Q25 Re: 서프라이즈, 이익 레벨업 시작</t>
  </si>
  <si>
    <t>83223</t>
  </si>
  <si>
    <t>인상적인 국내 이익률 기록</t>
  </si>
  <si>
    <t>83222</t>
  </si>
  <si>
    <t>AI서버향 전력 반도체 수요로 턴어라운드 기대</t>
  </si>
  <si>
    <t>83221</t>
  </si>
  <si>
    <t>신작 기대감으로는 부족, 흥행 성과 증명 필요</t>
  </si>
  <si>
    <t>83220</t>
  </si>
  <si>
    <t>지긋지긋했던 영구채 전환 종료 자사주 취득으로 주가 상승 전망</t>
  </si>
  <si>
    <t>83219</t>
  </si>
  <si>
    <t>놀라운 실적, 목표주가 상향!</t>
  </si>
  <si>
    <t>83218</t>
  </si>
  <si>
    <t>스브스 is Everywhere</t>
  </si>
  <si>
    <t>83217</t>
  </si>
  <si>
    <t xml:space="preserve">  NDR 후기: 실적은 탄탄, 신약은 보너스</t>
  </si>
  <si>
    <t>83216</t>
  </si>
  <si>
    <t>다 좋았다</t>
  </si>
  <si>
    <t>83215</t>
  </si>
  <si>
    <t>이익에서 일본향이 느껴진거야</t>
  </si>
  <si>
    <t>83214</t>
  </si>
  <si>
    <t>하반기 회복 기대</t>
  </si>
  <si>
    <t>83213</t>
  </si>
  <si>
    <t>화장품 모멘텀을 기다리며</t>
  </si>
  <si>
    <t>83212</t>
  </si>
  <si>
    <t>운용손익의 로켓점프</t>
  </si>
  <si>
    <t>83211</t>
  </si>
  <si>
    <t>뇌수술 의료로봇으로 영역 확대</t>
  </si>
  <si>
    <t>83210</t>
  </si>
  <si>
    <t>아이게이밍, 캐주얼로 성장성 확보</t>
  </si>
  <si>
    <t>83209</t>
  </si>
  <si>
    <t>Quality 기업 그 자체</t>
  </si>
  <si>
    <t>83208</t>
  </si>
  <si>
    <t>CSM 확대 긍정적이나 여전히 제도 개선 필요</t>
  </si>
  <si>
    <t>83207</t>
  </si>
  <si>
    <t>살아나는 자신감: 이연 수요 기대</t>
  </si>
  <si>
    <t>83206</t>
  </si>
  <si>
    <t>우려보다 안정적인 실적 방어는 긍정적</t>
  </si>
  <si>
    <t>83205</t>
  </si>
  <si>
    <t>하반기보고 질주</t>
  </si>
  <si>
    <t>83204</t>
  </si>
  <si>
    <t>1Q25 Review: Seeds have been sown</t>
  </si>
  <si>
    <t>83203</t>
  </si>
  <si>
    <t>게임쇼 거치며 기대감 증폭될 것</t>
  </si>
  <si>
    <t>83202</t>
  </si>
  <si>
    <t>1Q25 Review: Strong and solid</t>
  </si>
  <si>
    <t>83201</t>
  </si>
  <si>
    <t>삼성증권 1Q25 Review: 예상 수준에 부합하는 무난한 실적 시현</t>
  </si>
  <si>
    <t>83200</t>
  </si>
  <si>
    <t>차원이 다른 이익 체력</t>
  </si>
  <si>
    <t>83199</t>
  </si>
  <si>
    <t>업종 내에서는 가장 무난한 선택지</t>
  </si>
  <si>
    <t>83198</t>
  </si>
  <si>
    <t>1Q25 Review: 직영체제 전환 효과 기대</t>
  </si>
  <si>
    <t>83197</t>
  </si>
  <si>
    <t>1Q25 Re: 보수적 시황에도 주가 방어는 가능</t>
  </si>
  <si>
    <t>83196</t>
  </si>
  <si>
    <t>든든한 효율적 자본 활용 관점의 매력</t>
  </si>
  <si>
    <t>83195</t>
  </si>
  <si>
    <t>제주도 가기 딱 좋은 계절이잖아</t>
  </si>
  <si>
    <t>83194</t>
  </si>
  <si>
    <t>공사 수행 시점의 문제일 뿐</t>
  </si>
  <si>
    <t>83193</t>
  </si>
  <si>
    <t>높아진 경쟁력과 낮아진 불확실성</t>
  </si>
  <si>
    <t>83192</t>
  </si>
  <si>
    <t>성장은 계속된다</t>
  </si>
  <si>
    <t>83191</t>
  </si>
  <si>
    <t xml:space="preserve">볕 들 날이 온다 </t>
  </si>
  <si>
    <t>83190</t>
  </si>
  <si>
    <t>담고 싶었다면 지금 담으세요</t>
  </si>
  <si>
    <t>83189</t>
  </si>
  <si>
    <t>2분기부터 확인될 실적 개선 흐름</t>
  </si>
  <si>
    <t>83188</t>
  </si>
  <si>
    <t>하반기에도 ASP상승</t>
  </si>
  <si>
    <t>83187</t>
  </si>
  <si>
    <t xml:space="preserve">1Q25 Re: 2분기부터 개선될 실적 </t>
  </si>
  <si>
    <t>83186</t>
  </si>
  <si>
    <t>안정적인 이익 체력 입증</t>
  </si>
  <si>
    <t>83185</t>
  </si>
  <si>
    <t>조용히 단단해지는 시간</t>
  </si>
  <si>
    <t>83184</t>
  </si>
  <si>
    <t>붉은사막의 기대감을 올리는 것이 숙제</t>
  </si>
  <si>
    <t>83183</t>
  </si>
  <si>
    <t>가이던스에 미치지 못할지언정</t>
  </si>
  <si>
    <t>83182</t>
  </si>
  <si>
    <t>신사업 고성장 시작, 중형주 Top Pick</t>
  </si>
  <si>
    <t>83181</t>
  </si>
  <si>
    <t>자본의 복리 효과 가시화</t>
  </si>
  <si>
    <t>83180</t>
  </si>
  <si>
    <t>우려는 뒤로 하고 다시 나아간다</t>
  </si>
  <si>
    <t>83179</t>
  </si>
  <si>
    <t>1Q25 Review: 성수기 효과로 호실적</t>
  </si>
  <si>
    <t>83178</t>
  </si>
  <si>
    <t>1Q25 Re: 실적은 좋고 주가는 싸다</t>
  </si>
  <si>
    <t>83177</t>
  </si>
  <si>
    <t>MLB 공급 부족, 단기에 끝날 이슈가 아니다</t>
  </si>
  <si>
    <t>83176</t>
  </si>
  <si>
    <t>2분기부터 본게임</t>
  </si>
  <si>
    <t>83175</t>
  </si>
  <si>
    <t>시계열의 문제</t>
  </si>
  <si>
    <t>83174</t>
  </si>
  <si>
    <t>일시적인 마진 하락, 점진적 회복 기대</t>
  </si>
  <si>
    <t>83173</t>
  </si>
  <si>
    <t>돋보이는 펀더멘털, 최선호주 제시</t>
  </si>
  <si>
    <t>83172</t>
  </si>
  <si>
    <t>338220</t>
  </si>
  <si>
    <t>뷰노</t>
  </si>
  <si>
    <t>오랜 기다림</t>
  </si>
  <si>
    <t>83171</t>
  </si>
  <si>
    <t>수비 후 공격 위한 미드필더들의 부단한 노력</t>
  </si>
  <si>
    <t>83170</t>
  </si>
  <si>
    <t>CSM 회복으로 미래 기틀 마련</t>
  </si>
  <si>
    <t>83169</t>
  </si>
  <si>
    <t>좋았지만 높았던 기저</t>
  </si>
  <si>
    <t>83168</t>
  </si>
  <si>
    <t>북미는 선방 중이나 유럽지역 회복이 필요하다</t>
  </si>
  <si>
    <t>83167</t>
  </si>
  <si>
    <t>이제 밑바닥부터 다시 시작해야 한다</t>
  </si>
  <si>
    <t>83166</t>
  </si>
  <si>
    <t>이미르 눈높이 하향 불가피</t>
  </si>
  <si>
    <t>83165</t>
  </si>
  <si>
    <t>PC는 선방, 모바일은 부진</t>
  </si>
  <si>
    <t>83164</t>
  </si>
  <si>
    <t>공격적인 26년 가이던스 제시</t>
  </si>
  <si>
    <t>83163</t>
  </si>
  <si>
    <t>2025-05-14</t>
  </si>
  <si>
    <t>가벼워진 만큼 높이 난다</t>
  </si>
  <si>
    <t>83162</t>
  </si>
  <si>
    <t>유상증자 1.1조원 규모 발표</t>
  </si>
  <si>
    <t>83161</t>
  </si>
  <si>
    <t>숫자로 보여준 자산 최적화 효과</t>
  </si>
  <si>
    <t>83160</t>
  </si>
  <si>
    <t>인바운드와 브랜드 파워, 환상의 선순환</t>
  </si>
  <si>
    <t>83159</t>
  </si>
  <si>
    <t>1Q25 Re: 식품 및 바이오 기저 부담 영향</t>
  </si>
  <si>
    <t>83158</t>
  </si>
  <si>
    <t>적정 전략을 찾아가는 중</t>
  </si>
  <si>
    <t>83157</t>
  </si>
  <si>
    <t>1Q25 Re: 좋았던 1분기, 더 기대되는 2분기</t>
  </si>
  <si>
    <t>83156</t>
  </si>
  <si>
    <t>하반기 실적 회복 전망</t>
  </si>
  <si>
    <t>83155</t>
  </si>
  <si>
    <t>컨센서스 상회, 모멘텀 확대 전망</t>
  </si>
  <si>
    <t>83154</t>
  </si>
  <si>
    <t>역대 최대 실적 달성, 모멘텀 점증 전망</t>
  </si>
  <si>
    <t>83153</t>
  </si>
  <si>
    <t>역대 1분기 최대 실적이긴 하지만</t>
  </si>
  <si>
    <t>83152</t>
  </si>
  <si>
    <t>일회성이 사라진 실적</t>
  </si>
  <si>
    <t>83151</t>
  </si>
  <si>
    <t xml:space="preserve">미수금 회수를 넘어선 본질적 성장 </t>
  </si>
  <si>
    <t>83150</t>
  </si>
  <si>
    <t>낮아진 시장 눈높이에 부합</t>
  </si>
  <si>
    <t>83149</t>
  </si>
  <si>
    <t>광물 적격 요건 강화 대비한 투자</t>
  </si>
  <si>
    <t>83148</t>
  </si>
  <si>
    <t>1Q25 Re: 시장 기대 하회</t>
  </si>
  <si>
    <t>83147</t>
  </si>
  <si>
    <t>2Q25 정기보수 반영. 3Q25 흑자전환 기대</t>
  </si>
  <si>
    <t>83146</t>
  </si>
  <si>
    <t xml:space="preserve">분기 이익 안정성 확인 중 </t>
  </si>
  <si>
    <t>83145</t>
  </si>
  <si>
    <t>유상증자 Comment: 필요했던 자금조달, 그러나 가동률 회복 필요</t>
  </si>
  <si>
    <t>83144</t>
  </si>
  <si>
    <t>[1Q25 Review] 2분기 주춤, 하반기 반등 기대</t>
  </si>
  <si>
    <t>83143</t>
  </si>
  <si>
    <t xml:space="preserve">별도 나이스 </t>
  </si>
  <si>
    <t>83142</t>
  </si>
  <si>
    <t>1Q25 Review : 아쉬운 실적 속 긍정 포인트 부각</t>
  </si>
  <si>
    <t>83141</t>
  </si>
  <si>
    <t xml:space="preserve">1Q25 Review : 백화점과 면세점이 함께 좋아진다면? </t>
  </si>
  <si>
    <t>83140</t>
  </si>
  <si>
    <t>K-Beauty 흥행의 든든한 지원군</t>
  </si>
  <si>
    <t>83139</t>
  </si>
  <si>
    <t>상저하고 예상</t>
  </si>
  <si>
    <t>83138</t>
  </si>
  <si>
    <t>1Q25 Re: 실적 반등은 하반기부터</t>
  </si>
  <si>
    <t>83137</t>
  </si>
  <si>
    <t>비상하기 위한 움직임</t>
  </si>
  <si>
    <t>83136</t>
  </si>
  <si>
    <t>이제는 안 믿으면 손해</t>
  </si>
  <si>
    <t>83135</t>
  </si>
  <si>
    <t xml:space="preserve">바닥은 확인, 회복 시점이 관건 </t>
  </si>
  <si>
    <t>83134</t>
  </si>
  <si>
    <t>더 나은 투자 대안이 될 것</t>
  </si>
  <si>
    <t>83133</t>
  </si>
  <si>
    <t>2분기 성수기 진입, 하반기 신작 기대감 유효</t>
  </si>
  <si>
    <t>83132</t>
  </si>
  <si>
    <t>많이 먹었지만, 여전히 목마름</t>
  </si>
  <si>
    <t>83131</t>
  </si>
  <si>
    <t>부진했던 식품</t>
  </si>
  <si>
    <t>83130</t>
  </si>
  <si>
    <t>회복하는 중국</t>
  </si>
  <si>
    <t>83129</t>
  </si>
  <si>
    <t>멈추지 않는 실적 성장, 다만 주가는 트레이딩 영역</t>
  </si>
  <si>
    <t>83128</t>
  </si>
  <si>
    <t>백화점 및 면세점 선전 속에 하반기 실적 강한 회복세 전망</t>
  </si>
  <si>
    <t>83127</t>
  </si>
  <si>
    <t>4분기 붉은사막 출시 목표 재확인</t>
  </si>
  <si>
    <t>83126</t>
  </si>
  <si>
    <t>중국 회복 재증명. 2분기는 국내도 개선 전망</t>
  </si>
  <si>
    <t>83125</t>
  </si>
  <si>
    <t>83124</t>
  </si>
  <si>
    <t>1Q25 Review: 成長痛</t>
  </si>
  <si>
    <t>83123</t>
  </si>
  <si>
    <t>저평가 해소 국면 지속</t>
  </si>
  <si>
    <t>83122</t>
  </si>
  <si>
    <t>회복 중</t>
  </si>
  <si>
    <t>83121</t>
  </si>
  <si>
    <t xml:space="preserve">1Q25 Re: 실적 눈높이 낮출 필요 </t>
  </si>
  <si>
    <t>83120</t>
  </si>
  <si>
    <t>발전 = 비규제 = 멀티플 확장</t>
  </si>
  <si>
    <t>83119</t>
  </si>
  <si>
    <t>179290</t>
  </si>
  <si>
    <t>엠아이텍</t>
  </si>
  <si>
    <t>1Q25 Review: 좋아지는 기초체력</t>
  </si>
  <si>
    <t>83118</t>
  </si>
  <si>
    <t>비용 통제 확인, DLC 기대감 유지</t>
  </si>
  <si>
    <t>83117</t>
  </si>
  <si>
    <t>눈높이에 부합한 실적</t>
  </si>
  <si>
    <t>83116</t>
  </si>
  <si>
    <t xml:space="preserve">1Q25 Review: 펀더멘털 이상 없음 </t>
  </si>
  <si>
    <t>83115</t>
  </si>
  <si>
    <t xml:space="preserve"> 1Q25 Re: 하반기가 기대되는 실적 </t>
  </si>
  <si>
    <t>83114</t>
  </si>
  <si>
    <t>멀리서 보기</t>
  </si>
  <si>
    <t>83113</t>
  </si>
  <si>
    <t>1Q25 Review: 컨센서스 부합</t>
  </si>
  <si>
    <t>83112</t>
  </si>
  <si>
    <t>AI가속기용 MLB와 자율주행용 FCBGA</t>
  </si>
  <si>
    <t>83111</t>
  </si>
  <si>
    <t>대외변수 악화 반영 축소에 대한 기대</t>
  </si>
  <si>
    <t>83110</t>
  </si>
  <si>
    <t>하반기 개선 방향성은 유효</t>
  </si>
  <si>
    <t>83109</t>
  </si>
  <si>
    <t>1Q25 Re: 무난한 실적, 미수금에 주목</t>
  </si>
  <si>
    <t>83108</t>
  </si>
  <si>
    <t>모멘텀을 기다리며</t>
  </si>
  <si>
    <t>83107</t>
  </si>
  <si>
    <t>아쉬운 상반기, 기대되는 하반기</t>
  </si>
  <si>
    <t>83106</t>
  </si>
  <si>
    <t>서서히 살아나는 실적</t>
  </si>
  <si>
    <t>83105</t>
  </si>
  <si>
    <t>한국과 태국 더 높게, 더 크게</t>
  </si>
  <si>
    <t>83104</t>
  </si>
  <si>
    <t>정책 불확실성 속, 단기 조정기</t>
  </si>
  <si>
    <t>83103</t>
  </si>
  <si>
    <t>Tesla 향 출하 본격화로 실적 회복 구간 진입</t>
  </si>
  <si>
    <t>83102</t>
  </si>
  <si>
    <t>식품 부진 vs 바이오 회복</t>
  </si>
  <si>
    <t>83101</t>
  </si>
  <si>
    <t>늦었다고 생각할 때가 진짜 늦었다, 그러니 지금 시작해라</t>
  </si>
  <si>
    <t>83100</t>
  </si>
  <si>
    <t>서서히 높아지는 체급, 모멘텀이 필요하다</t>
  </si>
  <si>
    <t>83099</t>
  </si>
  <si>
    <t>1Q는 law risk &amp; low return, 2Q를 기다려보자</t>
  </si>
  <si>
    <t>83098</t>
  </si>
  <si>
    <t>1Q25 Review: AI의료 매출 발생 본격화</t>
  </si>
  <si>
    <t>83097</t>
  </si>
  <si>
    <t xml:space="preserve">1Q25 Review: 전방 시장 회복 기대 </t>
  </si>
  <si>
    <t>83096</t>
  </si>
  <si>
    <t>1Q25 Review: 해외 지역 모두 매출 증가</t>
  </si>
  <si>
    <t>83095</t>
  </si>
  <si>
    <t xml:space="preserve">4주년 생일상 차리더니 영업이익 급증 </t>
  </si>
  <si>
    <t>83094</t>
  </si>
  <si>
    <t>3분기부터 이익 회복 기대</t>
  </si>
  <si>
    <t>83093</t>
  </si>
  <si>
    <t>비용 축소, 이익률 회복세 지속</t>
  </si>
  <si>
    <t>83092</t>
  </si>
  <si>
    <t>기대보다 더 좋은</t>
  </si>
  <si>
    <t>83091</t>
  </si>
  <si>
    <t>경기 둔화와 비용 증가</t>
  </si>
  <si>
    <t>83090</t>
  </si>
  <si>
    <t>택배 물동량 감소, 하반기 완화 기대</t>
  </si>
  <si>
    <t>83089</t>
  </si>
  <si>
    <t>기대되는 구간</t>
  </si>
  <si>
    <t>83088</t>
  </si>
  <si>
    <t>2025-05-13</t>
  </si>
  <si>
    <t>본 게임은 2분기부터</t>
  </si>
  <si>
    <t>83087</t>
  </si>
  <si>
    <t>봐야할 곳을 보자</t>
  </si>
  <si>
    <t>83086</t>
  </si>
  <si>
    <t xml:space="preserve">‘새로운 희망’과 Steam으로 쏠린 시선 </t>
  </si>
  <si>
    <t>83085</t>
  </si>
  <si>
    <t>1Q25 Re: 지역 다변화의 초입 구간</t>
  </si>
  <si>
    <t>83084</t>
  </si>
  <si>
    <t>‘쿠키런: 킹덤’ 재성장으로 증명한 IP 파워</t>
  </si>
  <si>
    <t>83083</t>
  </si>
  <si>
    <t>000240</t>
  </si>
  <si>
    <t>한국앤컴퍼니</t>
  </si>
  <si>
    <t>AGM 배터리 증설 중</t>
  </si>
  <si>
    <t>83082</t>
  </si>
  <si>
    <t>2025년 1분기 컨퍼런스콜 요약</t>
  </si>
  <si>
    <t>83081</t>
  </si>
  <si>
    <t>1Q 리뷰 - 배당 감소 가능성은 희박합니다</t>
  </si>
  <si>
    <t>83080</t>
  </si>
  <si>
    <t>1Q25Re: 본업 경쟁력 제고 관건</t>
  </si>
  <si>
    <t>83079</t>
  </si>
  <si>
    <t>저점 통과 중</t>
  </si>
  <si>
    <t>83078</t>
  </si>
  <si>
    <t>사상 최대 실적 기록</t>
  </si>
  <si>
    <t>83077</t>
  </si>
  <si>
    <t>결국은 늘어나게 될 On-Shore</t>
  </si>
  <si>
    <t>83076</t>
  </si>
  <si>
    <t>하반기를 기다리며</t>
  </si>
  <si>
    <t>83075</t>
  </si>
  <si>
    <t>LPG 부진에도 LNG 발전소가 받쳐준 실적</t>
  </si>
  <si>
    <t>83074</t>
  </si>
  <si>
    <t>1Q25 Review : 확인된 것과 이제 확인해야할 것</t>
  </si>
  <si>
    <t>83073</t>
  </si>
  <si>
    <t>3가지의 증가 요인</t>
  </si>
  <si>
    <t>83072</t>
  </si>
  <si>
    <t xml:space="preserve">글로벌 MDI 증설 국면에 진입하다! </t>
  </si>
  <si>
    <t>83071</t>
  </si>
  <si>
    <t>NDR 후기: 뜯어볼수록 좋다</t>
  </si>
  <si>
    <t>83070</t>
  </si>
  <si>
    <t>000210</t>
  </si>
  <si>
    <t>DL</t>
  </si>
  <si>
    <t>공급과잉 산업 내 모범답안</t>
  </si>
  <si>
    <t>83069</t>
  </si>
  <si>
    <t xml:space="preserve">니케 중국 기대감 선반영, 신작 흥행 확인 필요 </t>
  </si>
  <si>
    <t>83068</t>
  </si>
  <si>
    <t>무너진 신뢰를 배당으로 만회</t>
  </si>
  <si>
    <t>83067</t>
  </si>
  <si>
    <t xml:space="preserve">주가가 빠질 실적은 아닌데.. </t>
  </si>
  <si>
    <t>83066</t>
  </si>
  <si>
    <t xml:space="preserve"> 항암제 내성 시장의 떠오르는 다크호스</t>
  </si>
  <si>
    <t>83065</t>
  </si>
  <si>
    <t>할인점 비용 절감, 자회사 실적 개선으로 서프라이즈 기록</t>
  </si>
  <si>
    <t>83064</t>
  </si>
  <si>
    <t>저점을 지나는 중</t>
  </si>
  <si>
    <t>83063</t>
  </si>
  <si>
    <t>일단은 지켜봐야 할 때</t>
  </si>
  <si>
    <t>83062</t>
  </si>
  <si>
    <t>낸드 전환 가속화와 신규 장비</t>
  </si>
  <si>
    <t>83061</t>
  </si>
  <si>
    <t>생산공장 현지화로 차별화</t>
  </si>
  <si>
    <t>83060</t>
  </si>
  <si>
    <t>기대 이상의 IP 부문 고성장</t>
  </si>
  <si>
    <t>83059</t>
  </si>
  <si>
    <t>83058</t>
  </si>
  <si>
    <t>1Q25 Review: ‘AI 중심 기업’으로 전환 중</t>
  </si>
  <si>
    <t>83057</t>
  </si>
  <si>
    <t>불확실한 센티와 양호한 실적사이</t>
  </si>
  <si>
    <t>83056</t>
  </si>
  <si>
    <t>불확실성이 해소되는 때를 기다리며</t>
  </si>
  <si>
    <t>83055</t>
  </si>
  <si>
    <t>안개가 걷힐 때까지는</t>
  </si>
  <si>
    <t>83054</t>
  </si>
  <si>
    <t xml:space="preserve">1Q25 Review: 사업 순항 중 </t>
  </si>
  <si>
    <t>83053</t>
  </si>
  <si>
    <t>다시 위대하지는 이마트</t>
  </si>
  <si>
    <t>83052</t>
  </si>
  <si>
    <t>1Q25 Re: 본업이 일냈다</t>
  </si>
  <si>
    <t>83051</t>
  </si>
  <si>
    <t>할인점 기존점 성장률 상승 기대 여전히 유효</t>
  </si>
  <si>
    <t>83050</t>
  </si>
  <si>
    <t>재고는 바닥이나… 전방산업은?</t>
  </si>
  <si>
    <t>83049</t>
  </si>
  <si>
    <t>원텍 그는 누구인가</t>
  </si>
  <si>
    <t>83048</t>
  </si>
  <si>
    <t>진격의 클래시스</t>
  </si>
  <si>
    <t>83047</t>
  </si>
  <si>
    <t>2026년 도약이 기대되는 루미르</t>
  </si>
  <si>
    <t>83046</t>
  </si>
  <si>
    <t>발전소 계측제어설비 정비 전문기업</t>
  </si>
  <si>
    <t>83045</t>
  </si>
  <si>
    <t>빠른 신규 가입 재개 여부가 관건</t>
  </si>
  <si>
    <t>83044</t>
  </si>
  <si>
    <t>2025-05-12</t>
  </si>
  <si>
    <t>원가는 피크 아웃, 주가는 바텀 아웃</t>
  </si>
  <si>
    <t>83043</t>
  </si>
  <si>
    <t xml:space="preserve">무난한 실적, 하반기 커머스 성장 기대  </t>
  </si>
  <si>
    <t>83042</t>
  </si>
  <si>
    <t>재고 걱정은 이제 끝</t>
  </si>
  <si>
    <t>83041</t>
  </si>
  <si>
    <t xml:space="preserve">1Q25 Re: 견조한 실적, 용역수익 영향 축소될 것 </t>
  </si>
  <si>
    <t>83040</t>
  </si>
  <si>
    <t xml:space="preserve">1Q25 Re: 관망 </t>
  </si>
  <si>
    <t>83039</t>
  </si>
  <si>
    <t>1Q25 Re: Top line 성장 및 원가율 개선 확인 필요</t>
  </si>
  <si>
    <t>83038</t>
  </si>
  <si>
    <t xml:space="preserve">1Q25 Re: 상반기까지는 원가 부담 지속 전망  </t>
  </si>
  <si>
    <t>83037</t>
  </si>
  <si>
    <t>1Q25 Re: 한/중/미 모두 호실적 (QnA 포함)</t>
  </si>
  <si>
    <t>83036</t>
  </si>
  <si>
    <t>‘내 머릿속 지우개’를 지우는 첫걸음</t>
  </si>
  <si>
    <t>83035</t>
  </si>
  <si>
    <t>시장 부진을 이겨내는 자체 경쟁력</t>
  </si>
  <si>
    <t>83034</t>
  </si>
  <si>
    <t>채널 확장 기반 안정적 성장 지속</t>
  </si>
  <si>
    <t>83033</t>
  </si>
  <si>
    <t>실적 저점은 지나</t>
  </si>
  <si>
    <t>83032</t>
  </si>
  <si>
    <t>국내 호조 + 미국 강세 + 중국 회복</t>
  </si>
  <si>
    <t>83031</t>
  </si>
  <si>
    <t>펀더멘털 개선 예상. 밸류업 관련 단기 모멘텀은 낮은 편</t>
  </si>
  <si>
    <t>83030</t>
  </si>
  <si>
    <t>1Q25 Re: 주가 모멘텀은 하반기부터</t>
  </si>
  <si>
    <t>83029</t>
  </si>
  <si>
    <t>편안한 실적</t>
  </si>
  <si>
    <t>83028</t>
  </si>
  <si>
    <t>발전 부문의 높은 수익성</t>
  </si>
  <si>
    <t>83027</t>
  </si>
  <si>
    <t>NB Latex 마저 돌아선다면</t>
  </si>
  <si>
    <t>83026</t>
  </si>
  <si>
    <t>블랙핑크 월드투어보다 MD 매출이 높다고?</t>
  </si>
  <si>
    <t>83025</t>
  </si>
  <si>
    <t>1Q25 Re: 하반기는 YoY 증익 가능할 듯</t>
  </si>
  <si>
    <t>83024</t>
  </si>
  <si>
    <t xml:space="preserve">1Q 리뷰 - 8월까지는 주가 상승 지속될 듯합니다 </t>
  </si>
  <si>
    <t>83023</t>
  </si>
  <si>
    <t>펀더멘털은 좋은데, 외풍과 아픈 손가락이 문제</t>
  </si>
  <si>
    <t>83022</t>
  </si>
  <si>
    <t>1Q25 Review : 자이언츠도 쇼핑도 잘해요</t>
  </si>
  <si>
    <t>83021</t>
  </si>
  <si>
    <t>1Q25 Review : 포트폴리오 재정비의 시간이 필요</t>
  </si>
  <si>
    <t>83020</t>
  </si>
  <si>
    <t>1Q25 Review : 밸류업에 진심</t>
  </si>
  <si>
    <t>83019</t>
  </si>
  <si>
    <t>1Q25 Review : 성장률(17% YoY)에 걸맞는 밸류에이션 필요</t>
  </si>
  <si>
    <t>83018</t>
  </si>
  <si>
    <t>너무 어려웠던 업황</t>
  </si>
  <si>
    <t>83017</t>
  </si>
  <si>
    <t>카카오를 넘는 구조적 문제</t>
  </si>
  <si>
    <t>83016</t>
  </si>
  <si>
    <t>아직 여름은 오지도 않았어요</t>
  </si>
  <si>
    <t>83015</t>
  </si>
  <si>
    <t>산이 높으면 골도 깊다</t>
  </si>
  <si>
    <t>83014</t>
  </si>
  <si>
    <t>커머스가 추가 밸류 확보의 키</t>
  </si>
  <si>
    <t>83013</t>
  </si>
  <si>
    <t>경기침체에도 두자릿수 성장 지속</t>
  </si>
  <si>
    <t>83012</t>
  </si>
  <si>
    <t>저평가 탈피 신호! 해외 성장 + 실적 모멘텀</t>
  </si>
  <si>
    <t>83011</t>
  </si>
  <si>
    <t>미국 법인 흑자 전환! 2공장 가동 임박</t>
  </si>
  <si>
    <t>83010</t>
  </si>
  <si>
    <t>1Q25 Re: 카카오 부담 지속, 저점 확인 구간</t>
  </si>
  <si>
    <t>83009</t>
  </si>
  <si>
    <t>1Q25Re: 아쉬운 성장</t>
  </si>
  <si>
    <t>83008</t>
  </si>
  <si>
    <t>분기 최대 기록 부문이 많음</t>
  </si>
  <si>
    <t>83007</t>
  </si>
  <si>
    <t>자동차, 게임 뭐든지 팔아줄께</t>
  </si>
  <si>
    <t>83006</t>
  </si>
  <si>
    <t xml:space="preserve">공장도 실적도 램프업 중 </t>
  </si>
  <si>
    <t>83005</t>
  </si>
  <si>
    <t>달라진 두산, 달라질 주가</t>
  </si>
  <si>
    <t>83004</t>
  </si>
  <si>
    <t xml:space="preserve"> 뭐든지 잘하는 모범생 </t>
  </si>
  <si>
    <t>83003</t>
  </si>
  <si>
    <t>늦어지고 있지만 방향은 맞다</t>
  </si>
  <si>
    <t>83002</t>
  </si>
  <si>
    <t>4DX로 승부수</t>
  </si>
  <si>
    <t>83001</t>
  </si>
  <si>
    <t>2025년, 커머스의 시간</t>
  </si>
  <si>
    <t>83000</t>
  </si>
  <si>
    <t>기대되는 성수기</t>
  </si>
  <si>
    <t>82999</t>
  </si>
  <si>
    <t>회복ing...</t>
  </si>
  <si>
    <t>82998</t>
  </si>
  <si>
    <t>1Q25 어닝 서프라이즈, 블랙핑크 MD 기대 Up</t>
  </si>
  <si>
    <t>82997</t>
  </si>
  <si>
    <t>실적 서프라이즈 기록, 현저히 낮은 PBR 지표의 re-rating 가능성 확대</t>
  </si>
  <si>
    <t>82996</t>
  </si>
  <si>
    <t>편의점 점포 본격 구조조정 시작되며 손익 부진</t>
  </si>
  <si>
    <t>82995</t>
  </si>
  <si>
    <t xml:space="preserve">실적 개선과 주주환원 위한 노력, valuation 향상으로 이어질 것  </t>
  </si>
  <si>
    <t>82994</t>
  </si>
  <si>
    <t>답답한 상황</t>
  </si>
  <si>
    <t>82993</t>
  </si>
  <si>
    <t>성수기가 기다려지는 어닝 서프라이즈</t>
  </si>
  <si>
    <t>82992</t>
  </si>
  <si>
    <t>1Q25 Review: 국내 ODM 최대 OPM</t>
  </si>
  <si>
    <t>82991</t>
  </si>
  <si>
    <t>미 재생에너지 보조금 차단 반대 확산</t>
  </si>
  <si>
    <t>82990</t>
  </si>
  <si>
    <t>든든한 육각형 기업</t>
  </si>
  <si>
    <t>82989</t>
  </si>
  <si>
    <t>1분기까지 강한 재고조정 진행</t>
  </si>
  <si>
    <t>82988</t>
  </si>
  <si>
    <t>이익 먼저 잡고, 성장은 곧 따라올 것</t>
  </si>
  <si>
    <t>82987</t>
  </si>
  <si>
    <t>1Q25 Review: 글로벌 전 지역 확대 중</t>
  </si>
  <si>
    <t>82986</t>
  </si>
  <si>
    <t>램시마IV 감소와 CMO 비중 증가로 시장 기대치 하회</t>
  </si>
  <si>
    <t>82985</t>
  </si>
  <si>
    <t>1Q25 Review: 전 사업에서 실적 성장</t>
  </si>
  <si>
    <t>82984</t>
  </si>
  <si>
    <t>OP 서프라이즈, 핵심은 굿즈</t>
  </si>
  <si>
    <t>82983</t>
  </si>
  <si>
    <t>82982</t>
  </si>
  <si>
    <t>일회성 제외해도 좋은 실적</t>
  </si>
  <si>
    <t>82981</t>
  </si>
  <si>
    <t>과도한 우려</t>
  </si>
  <si>
    <t>82980</t>
  </si>
  <si>
    <t>기대 수준이 낮았음에도</t>
  </si>
  <si>
    <t>82979</t>
  </si>
  <si>
    <t>1Q25 Re: 본업 실적 성장 지속</t>
  </si>
  <si>
    <t>82978</t>
  </si>
  <si>
    <t>1Q25P Review: 확인이 필요한 시기</t>
  </si>
  <si>
    <t>82977</t>
  </si>
  <si>
    <t>남은 분기도 맘 편하게</t>
  </si>
  <si>
    <t>82976</t>
  </si>
  <si>
    <t>2분기부터 탑라인 성장 예상</t>
  </si>
  <si>
    <t>82975</t>
  </si>
  <si>
    <t>아직 부족한 성장률</t>
  </si>
  <si>
    <t>82974</t>
  </si>
  <si>
    <t>베몬 붐이 왔다</t>
  </si>
  <si>
    <t>82973</t>
  </si>
  <si>
    <t>그럼에도 든든한 울타리가 있으니까</t>
  </si>
  <si>
    <t>82972</t>
  </si>
  <si>
    <t>플러스스토어의 안착 확인</t>
  </si>
  <si>
    <t>82971</t>
  </si>
  <si>
    <t>변하지 않은 큰 그림</t>
  </si>
  <si>
    <t>82970</t>
  </si>
  <si>
    <t>계획대로 가고 있다</t>
  </si>
  <si>
    <t>82969</t>
  </si>
  <si>
    <t>특별한 리스크 없이 든든</t>
  </si>
  <si>
    <t>82968</t>
  </si>
  <si>
    <t>하반기 가시화 될 이익 성장</t>
  </si>
  <si>
    <t>82967</t>
  </si>
  <si>
    <t>Greatest Of All Time</t>
  </si>
  <si>
    <t>82966</t>
  </si>
  <si>
    <t>비용 구조 효율화 노력의 결실</t>
  </si>
  <si>
    <t>82965</t>
  </si>
  <si>
    <t>주력 사업 개선 기대감 본격화</t>
  </si>
  <si>
    <t>82964</t>
  </si>
  <si>
    <t>출점 가이던스 하향 속 질적 성장에 집중</t>
  </si>
  <si>
    <t>82963</t>
  </si>
  <si>
    <t>최악의 구간 통과</t>
  </si>
  <si>
    <t>82962</t>
  </si>
  <si>
    <t>구조적 성장의 서막</t>
  </si>
  <si>
    <t>82961</t>
  </si>
  <si>
    <t>어닝 서프라이즈에도 웃지 못한 주가</t>
  </si>
  <si>
    <t>82960</t>
  </si>
  <si>
    <t>인도 외형 성장에 걸어보는 기대</t>
  </si>
  <si>
    <t>82959</t>
  </si>
  <si>
    <t>임플란트 건보 적용 확대정책 수혜 및 성장성 가속화</t>
  </si>
  <si>
    <t>82958</t>
  </si>
  <si>
    <t>Nothing New...</t>
  </si>
  <si>
    <t>82957</t>
  </si>
  <si>
    <t>관세 우려 속 높아진 기대치를 하회</t>
  </si>
  <si>
    <t>82956</t>
  </si>
  <si>
    <t>기업구조개편 가시화로 동사 기업가치 제고 될 듯</t>
  </si>
  <si>
    <t>82955</t>
  </si>
  <si>
    <t>아연/연 부진에도 호실적 달성</t>
  </si>
  <si>
    <t>82954</t>
  </si>
  <si>
    <t>전 사업부 실적 회복 기대</t>
  </si>
  <si>
    <t>82953</t>
  </si>
  <si>
    <t>미국 등 판매증가로 뇌수술용 로봇 강자로 거듭날 듯</t>
  </si>
  <si>
    <t>82952</t>
  </si>
  <si>
    <t>썬이 만드는 극강의 레버리지</t>
  </si>
  <si>
    <t>82951</t>
  </si>
  <si>
    <t>원전 관련 매년 4조원 이상 수주 가시화</t>
  </si>
  <si>
    <t>82950</t>
  </si>
  <si>
    <t>1Q25 Review: 성장은 지속, 눈높이엔 부족</t>
  </si>
  <si>
    <t>82949</t>
  </si>
  <si>
    <t>실적개선과 주주환원 모두 만족</t>
  </si>
  <si>
    <t>82948</t>
  </si>
  <si>
    <t>BLACK PINK 컴백과 신규 아티스트의 성장</t>
  </si>
  <si>
    <t>82947</t>
  </si>
  <si>
    <t>올해 지속될 고민</t>
  </si>
  <si>
    <t>82946</t>
  </si>
  <si>
    <t>2분기 부탁해</t>
  </si>
  <si>
    <t>82945</t>
  </si>
  <si>
    <t>1분기 Review: 뚜렷한 실적 개선</t>
  </si>
  <si>
    <t>82944</t>
  </si>
  <si>
    <t>실적, AI기술 경쟁력 모두 견고하다</t>
  </si>
  <si>
    <t>82943</t>
  </si>
  <si>
    <t>AI 및 디지털 금융 기업으로 전환</t>
  </si>
  <si>
    <t>82942</t>
  </si>
  <si>
    <t>관세 불확실성에 가려진 서프라이즈</t>
  </si>
  <si>
    <t>82941</t>
  </si>
  <si>
    <t>이번 서프라이즈에 좀 과도했던 셀온</t>
  </si>
  <si>
    <t>82940</t>
  </si>
  <si>
    <t>뼈아픈 중국 시장의 부진</t>
  </si>
  <si>
    <t>82939</t>
  </si>
  <si>
    <t>긍정적인 커머스 분위기</t>
  </si>
  <si>
    <t>82938</t>
  </si>
  <si>
    <t>2025-05-09</t>
  </si>
  <si>
    <t>성수기인 4분기를 넘는 놀라운 실적</t>
  </si>
  <si>
    <t>82937</t>
  </si>
  <si>
    <t xml:space="preserve">일감 6년치 보유하며 장기 성장 국면 진입 </t>
  </si>
  <si>
    <t>82936</t>
  </si>
  <si>
    <t>예상치를 크게 뛰어 넘는 마진율</t>
  </si>
  <si>
    <t>82935</t>
  </si>
  <si>
    <t>편안해진 실적과 주가</t>
  </si>
  <si>
    <t>82934</t>
  </si>
  <si>
    <t xml:space="preserve">이제 진짜 볼 시점 </t>
  </si>
  <si>
    <t>82933</t>
  </si>
  <si>
    <t>AI는 속도전, 속도와 방향은 맞다</t>
  </si>
  <si>
    <t>82932</t>
  </si>
  <si>
    <t>길어지는 인고의 시간</t>
  </si>
  <si>
    <t>82931</t>
  </si>
  <si>
    <t>재고조정과 감산 영향 지속</t>
  </si>
  <si>
    <t>82930</t>
  </si>
  <si>
    <t>1Q25 Re: 바람 한 점 없이 순항 중</t>
  </si>
  <si>
    <t>82929</t>
  </si>
  <si>
    <t>든든해진 이익 베이스</t>
  </si>
  <si>
    <t>82928</t>
  </si>
  <si>
    <t>하반기의 성장을 향해</t>
  </si>
  <si>
    <t>82927</t>
  </si>
  <si>
    <t xml:space="preserve">1Q25 Re: 메디큐브야, 나 지금 되게 신나 (Q&amp;A 포함) </t>
  </si>
  <si>
    <t>82926</t>
  </si>
  <si>
    <t>1Q25 Re: 해외궐련 매출 YoY 54%?! (Q&amp;A 포함)</t>
  </si>
  <si>
    <t>82925</t>
  </si>
  <si>
    <t>언제나 매수 적기인 주식</t>
  </si>
  <si>
    <t>82924</t>
  </si>
  <si>
    <t>분기 최대 실적 경신</t>
  </si>
  <si>
    <t>82923</t>
  </si>
  <si>
    <t>메가박스와 롯데컬쳐웍스 합병 MOU 체결</t>
  </si>
  <si>
    <t>82922</t>
  </si>
  <si>
    <t xml:space="preserve"> 영업이익보다 많은 이자비용</t>
  </si>
  <si>
    <t>82921</t>
  </si>
  <si>
    <t>1Q 리뷰 - 아직 팔 때 아닙니다</t>
  </si>
  <si>
    <t>82920</t>
  </si>
  <si>
    <t>82919</t>
  </si>
  <si>
    <t>해외 판로 확대 긍정적</t>
  </si>
  <si>
    <t>82918</t>
  </si>
  <si>
    <t>해외 매출 약 3배 성장, 비중 70% 돌파</t>
  </si>
  <si>
    <t>82917</t>
  </si>
  <si>
    <t>하반기 황금연휴를 기대하며</t>
  </si>
  <si>
    <t>82916</t>
  </si>
  <si>
    <t>한한령 완화 기대감 지속 반영 중</t>
  </si>
  <si>
    <t>82915</t>
  </si>
  <si>
    <t>눈 앞에 다가온 중국향 엔터 모멘텀</t>
  </si>
  <si>
    <t>82914</t>
  </si>
  <si>
    <t>첫 타석 안타</t>
  </si>
  <si>
    <t>82913</t>
  </si>
  <si>
    <t xml:space="preserve">조금씩 구체화되어가는 중 </t>
  </si>
  <si>
    <t>82912</t>
  </si>
  <si>
    <t>1Q25 Re: 환율이 돌아서다</t>
  </si>
  <si>
    <t>82911</t>
  </si>
  <si>
    <t>외형 감소에 따른 손익 둔화</t>
  </si>
  <si>
    <t>82910</t>
  </si>
  <si>
    <t>시장 눈높이를 상회한 호실적</t>
  </si>
  <si>
    <t>82909</t>
  </si>
  <si>
    <t>여러 포인트가 흐려진 상황</t>
  </si>
  <si>
    <t>82908</t>
  </si>
  <si>
    <t>본업으로 증명한 서프라이즈</t>
  </si>
  <si>
    <t>82907</t>
  </si>
  <si>
    <t xml:space="preserve">제품 경쟁력의 문제는 아니지만 </t>
  </si>
  <si>
    <t>82906</t>
  </si>
  <si>
    <t xml:space="preserve">괜히 Top Pick이 아니지 </t>
  </si>
  <si>
    <t>82905</t>
  </si>
  <si>
    <t xml:space="preserve">재평가 구간 진입 </t>
  </si>
  <si>
    <t>82904</t>
  </si>
  <si>
    <t>[1Q25 Review] 국내 양산의 볼륨 증가로 서프라이즈</t>
  </si>
  <si>
    <t>82903</t>
  </si>
  <si>
    <t xml:space="preserve">1Q25 Review : 1분기 실적에 과도한 매몰은 금물 </t>
  </si>
  <si>
    <t>82902</t>
  </si>
  <si>
    <t>하반기 YoY 매출 성장 가능, 폭이 중요할 뿐</t>
  </si>
  <si>
    <t>82901</t>
  </si>
  <si>
    <t xml:space="preserve">선진·신흥시장 동반 성장 통한 글로벌 경쟁력 강화 </t>
  </si>
  <si>
    <t>82900</t>
  </si>
  <si>
    <t>대손비용률 하락 배당수익률 상승 기대</t>
  </si>
  <si>
    <t>82899</t>
  </si>
  <si>
    <t>실적 개선은 가능. 성장성 회복은 지켜보자</t>
  </si>
  <si>
    <t>82898</t>
  </si>
  <si>
    <t>1Q25 영업이익 컨센서스 75.4% 상회</t>
  </si>
  <si>
    <t>82897</t>
  </si>
  <si>
    <t xml:space="preserve">거래액 성장률이 아쉬워 </t>
  </si>
  <si>
    <t>82896</t>
  </si>
  <si>
    <t>당장의 실적보다 경쟁력 강화에 주목</t>
  </si>
  <si>
    <t>82895</t>
  </si>
  <si>
    <t>82894</t>
  </si>
  <si>
    <t>높아진 기대치를 훌쩍 뛰어넘은 서프라이즈</t>
  </si>
  <si>
    <t>82893</t>
  </si>
  <si>
    <t>판매 매출에 거는 기대</t>
  </si>
  <si>
    <t>82892</t>
  </si>
  <si>
    <t>신인, 실적, 모멘텀 모두 우수</t>
  </si>
  <si>
    <t>82891</t>
  </si>
  <si>
    <t>객수 회복이 관건</t>
  </si>
  <si>
    <t>82890</t>
  </si>
  <si>
    <t>실적의 저점(1Q)은 통과, 개선 방향은 맞고 속도가 중요</t>
  </si>
  <si>
    <t>82889</t>
  </si>
  <si>
    <t xml:space="preserve">1Q부터 제대로 보여드렸습니다 </t>
  </si>
  <si>
    <t>82888</t>
  </si>
  <si>
    <t>중첩된 불확실성</t>
  </si>
  <si>
    <t>82887</t>
  </si>
  <si>
    <t>하반기 카카오톡 지표 반등이 핵심</t>
  </si>
  <si>
    <t>82886</t>
  </si>
  <si>
    <t xml:space="preserve">본업 이익 성장의 가시성 확대 </t>
  </si>
  <si>
    <t>82885</t>
  </si>
  <si>
    <t>드래곤 길들이기 과정</t>
  </si>
  <si>
    <t>82884</t>
  </si>
  <si>
    <t>Mega IP, Mega Box</t>
  </si>
  <si>
    <t>82883</t>
  </si>
  <si>
    <t xml:space="preserve">무난한 실적, 2분기가 중요 </t>
  </si>
  <si>
    <t>82882</t>
  </si>
  <si>
    <t>아쉬운 성수기 실적</t>
  </si>
  <si>
    <t>82881</t>
  </si>
  <si>
    <t>해외 궐련이 이끈 서프라이즈</t>
  </si>
  <si>
    <t>82880</t>
  </si>
  <si>
    <t xml:space="preserve">성장을 향해 닻을 올리다 </t>
  </si>
  <si>
    <t>82879</t>
  </si>
  <si>
    <t>82878</t>
  </si>
  <si>
    <t>이익 턴어라운드 이제 시작</t>
  </si>
  <si>
    <t>82877</t>
  </si>
  <si>
    <t>Netmarble: ReBirth</t>
  </si>
  <si>
    <t>82876</t>
  </si>
  <si>
    <t>길어지는 역성장</t>
  </si>
  <si>
    <t>82875</t>
  </si>
  <si>
    <t>마일스톤 부재로 예상 하회, 그러나 API 성장 부각</t>
  </si>
  <si>
    <t>82874</t>
  </si>
  <si>
    <t>바닥 찍고 U턴</t>
  </si>
  <si>
    <t>82873</t>
  </si>
  <si>
    <t>1Q25P Review: 경영효율화, 아직은 미미</t>
  </si>
  <si>
    <t>82872</t>
  </si>
  <si>
    <t>드디어 증명한 하부구조물 수익성</t>
  </si>
  <si>
    <t>82871</t>
  </si>
  <si>
    <t>큰 변화의 앞에서</t>
  </si>
  <si>
    <t>82870</t>
  </si>
  <si>
    <t>놀랍게도 1분기가 바닥</t>
  </si>
  <si>
    <t>82869</t>
  </si>
  <si>
    <t>이해는 하지만, 숨길 수 없는 실망감</t>
  </si>
  <si>
    <t>82868</t>
  </si>
  <si>
    <t>해치웠나?</t>
  </si>
  <si>
    <t>82867</t>
  </si>
  <si>
    <t>82866</t>
  </si>
  <si>
    <t>1Q25 Review: 영업이익 성장 전환</t>
  </si>
  <si>
    <t>82865</t>
  </si>
  <si>
    <t>1Q25 Review: 락바텀 확인</t>
  </si>
  <si>
    <t>82864</t>
  </si>
  <si>
    <t>여름아 부탁해</t>
  </si>
  <si>
    <t>82863</t>
  </si>
  <si>
    <t>1Q25 Review: 힘찬 스타트</t>
  </si>
  <si>
    <t>82862</t>
  </si>
  <si>
    <t>조정(align)이 필요할지도</t>
  </si>
  <si>
    <t>82861</t>
  </si>
  <si>
    <t>누군가 실적을 묻거든 고개를 들어 2분기를 보게 하라</t>
  </si>
  <si>
    <t>82860</t>
  </si>
  <si>
    <t>다수의 수주 모멘텀 보유</t>
  </si>
  <si>
    <t>82859</t>
  </si>
  <si>
    <t>끊임없는 체질 개선 효과</t>
  </si>
  <si>
    <t>82858</t>
  </si>
  <si>
    <t>탄탄한 내수 기반에 더해지는 수출 사업</t>
  </si>
  <si>
    <t>82857</t>
  </si>
  <si>
    <t>날아오르다</t>
  </si>
  <si>
    <t>82856</t>
  </si>
  <si>
    <t>18년의 장기 하락 추세 끝. 이제 상승 추세 초입일 뿐</t>
  </si>
  <si>
    <t>82855</t>
  </si>
  <si>
    <t>복합적 변수 반영</t>
  </si>
  <si>
    <t>82854</t>
  </si>
  <si>
    <t>중장기 밸류에 주목</t>
  </si>
  <si>
    <t>82853</t>
  </si>
  <si>
    <t>예상대로 순조로운 출발</t>
  </si>
  <si>
    <t>82852</t>
  </si>
  <si>
    <t>지속되는 해외 영토 확장</t>
  </si>
  <si>
    <t>82851</t>
  </si>
  <si>
    <t>1Q25 Review: 신제품 공급 확대 중</t>
  </si>
  <si>
    <t>82850</t>
  </si>
  <si>
    <t>기대 이상의 해외 실적</t>
  </si>
  <si>
    <t>82849</t>
  </si>
  <si>
    <t>It's Showtime</t>
  </si>
  <si>
    <t>82848</t>
  </si>
  <si>
    <t xml:space="preserve">&lt;쿠키런:킹덤&gt; 서프라이즈 </t>
  </si>
  <si>
    <t>82847</t>
  </si>
  <si>
    <t>호실적 2분기와 하반기도 지속</t>
  </si>
  <si>
    <t>82846</t>
  </si>
  <si>
    <t>1Q25 매출 9,076억원, 영업이익 1,136억원</t>
  </si>
  <si>
    <t>82845</t>
  </si>
  <si>
    <t>1Q25 Review: 일회성 반영에도 담배사업 호조에 따라 시장기대치 상회</t>
  </si>
  <si>
    <t>82844</t>
  </si>
  <si>
    <t>1Q25 Review: 4분기 연속 최대 매출 갱신</t>
  </si>
  <si>
    <t>82843</t>
  </si>
  <si>
    <t>재평가 확신</t>
  </si>
  <si>
    <t>82842</t>
  </si>
  <si>
    <t xml:space="preserve">추가 상승 여력 남아있어 </t>
  </si>
  <si>
    <t>82841</t>
  </si>
  <si>
    <t>저평가 우량주의 2026년 성장동력</t>
  </si>
  <si>
    <t>82840</t>
  </si>
  <si>
    <t>1Q25 Review: 분기 최대 매출액 갱신</t>
  </si>
  <si>
    <t>82839</t>
  </si>
  <si>
    <t>성수기 시즌 객수 회복에 걸어보는 희망</t>
  </si>
  <si>
    <t>82838</t>
  </si>
  <si>
    <t>성장성 폭발, 주가 폭발</t>
  </si>
  <si>
    <t>82837</t>
  </si>
  <si>
    <t>1Q25 Re 익숙한 상고하저, 핵심은 질적 성장</t>
  </si>
  <si>
    <t>82836</t>
  </si>
  <si>
    <t>지분법손익 개선효과</t>
  </si>
  <si>
    <t>82835</t>
  </si>
  <si>
    <t>턴어라운드 성공, 목표주가 상향</t>
  </si>
  <si>
    <t>82834</t>
  </si>
  <si>
    <t xml:space="preserve">체질 개선의 효과 </t>
  </si>
  <si>
    <t>82833</t>
  </si>
  <si>
    <t>기대치 부합</t>
  </si>
  <si>
    <t>82832</t>
  </si>
  <si>
    <t>생각보다 높은 비용 부담</t>
  </si>
  <si>
    <t>82831</t>
  </si>
  <si>
    <t>조용한 1분기, 그러나 하반기는 다르다</t>
  </si>
  <si>
    <t>82830</t>
  </si>
  <si>
    <t>신작 러시와 수익성 개선으로 다음 스테이지 입성</t>
  </si>
  <si>
    <t>82829</t>
  </si>
  <si>
    <t xml:space="preserve">과도한 주가 하락과 어닝스 서프라이즈 </t>
  </si>
  <si>
    <t>82828</t>
  </si>
  <si>
    <t>관세 이슈 전후, 고객사 확장 지속</t>
  </si>
  <si>
    <t>82827</t>
  </si>
  <si>
    <t>2025-05-08</t>
  </si>
  <si>
    <t>하반기를 기다려볼 시기</t>
  </si>
  <si>
    <t>82826</t>
  </si>
  <si>
    <t>초도 물량 독점적 지위. LFP 모멘텀에 주목</t>
  </si>
  <si>
    <t>82825</t>
  </si>
  <si>
    <t>아쉬운 내수와 기대되는 해외</t>
  </si>
  <si>
    <t>82824</t>
  </si>
  <si>
    <t xml:space="preserve">1Q25 Re: 예상보다 더 부진했던 내수 (Q&amp;A 포함) </t>
  </si>
  <si>
    <t>82823</t>
  </si>
  <si>
    <t>흑자전환 성공, 다음은 AI 수익화</t>
  </si>
  <si>
    <t>82822</t>
  </si>
  <si>
    <t>2분기부터 가파른 이익 성장</t>
  </si>
  <si>
    <t>82821</t>
  </si>
  <si>
    <t>고성장을 뒷받침할 수 있는 확고한 수신 기반</t>
  </si>
  <si>
    <t>82820</t>
  </si>
  <si>
    <t>건자재 감익 선반영. 이제는 실리콘 개선에 주목</t>
  </si>
  <si>
    <t>82819</t>
  </si>
  <si>
    <t>잘 되는 집</t>
  </si>
  <si>
    <t>82818</t>
  </si>
  <si>
    <t>1Q25 Review : 하반기 반등 기대</t>
  </si>
  <si>
    <t>82817</t>
  </si>
  <si>
    <t>1Q25 Review : 주가의 키는 결국 홈쇼핑이 쥐고 있다</t>
  </si>
  <si>
    <t>82816</t>
  </si>
  <si>
    <t>내수 약세와 비용 부담의 이중고</t>
  </si>
  <si>
    <t>82815</t>
  </si>
  <si>
    <t>당분간 실적은 운용 성과와 대손비용에 민감할 것</t>
  </si>
  <si>
    <t>82814</t>
  </si>
  <si>
    <t>이대로만 가자</t>
  </si>
  <si>
    <t>82813</t>
  </si>
  <si>
    <t xml:space="preserve">현주가 NAV 대비 할인율 80% </t>
  </si>
  <si>
    <t>82812</t>
  </si>
  <si>
    <t>예대율 하락을 고수하는 속내</t>
  </si>
  <si>
    <t>82811</t>
  </si>
  <si>
    <t>1Q 호실적, 삼성전자내 점유율 확대</t>
  </si>
  <si>
    <t>82810</t>
  </si>
  <si>
    <t xml:space="preserve">비용과 재고 충분히 감소 매출 회복만 기다리면 되는 상황 </t>
  </si>
  <si>
    <t>82809</t>
  </si>
  <si>
    <t xml:space="preserve">1Q 실적은 예상을 상회! </t>
  </si>
  <si>
    <t>82808</t>
  </si>
  <si>
    <t>조금 더 필요한 시간</t>
  </si>
  <si>
    <t>82807</t>
  </si>
  <si>
    <t xml:space="preserve"> 화학만 정상화되면 좋은데… </t>
  </si>
  <si>
    <t>82806</t>
  </si>
  <si>
    <t xml:space="preserve">내수 부진의 그늘 </t>
  </si>
  <si>
    <t>82805</t>
  </si>
  <si>
    <t>CDMO 자회사 조기 턴어라운드 진입</t>
  </si>
  <si>
    <t>82804</t>
  </si>
  <si>
    <t>일회성 빼도 잘했다</t>
  </si>
  <si>
    <t>82803</t>
  </si>
  <si>
    <t>기업가치 제고 기대감 리부트</t>
  </si>
  <si>
    <t>82802</t>
  </si>
  <si>
    <t>살아남는 자가 강자</t>
  </si>
  <si>
    <t>82801</t>
  </si>
  <si>
    <t>하반기 신작에 대한 보수적인 접근</t>
  </si>
  <si>
    <t>82800</t>
  </si>
  <si>
    <t>부진 KB 곤곤래</t>
  </si>
  <si>
    <t>82799</t>
  </si>
  <si>
    <t>호실적은 계속된다</t>
  </si>
  <si>
    <t>82798</t>
  </si>
  <si>
    <t>복잡할수록 간단하게 생각하자</t>
  </si>
  <si>
    <t>82797</t>
  </si>
  <si>
    <t>해외 외형 성장 회복이 반등의 열쇠</t>
  </si>
  <si>
    <t>82796</t>
  </si>
  <si>
    <t>2분기부터 뚜렷한 마진 개선 효과</t>
  </si>
  <si>
    <t>82795</t>
  </si>
  <si>
    <t>성수기 영업 레버리지 효과에 대한 기대</t>
  </si>
  <si>
    <t>82794</t>
  </si>
  <si>
    <t>방향은 잡혔다. 속도만 올리자</t>
  </si>
  <si>
    <t>82793</t>
  </si>
  <si>
    <t>226590</t>
  </si>
  <si>
    <t>엠디바이스</t>
  </si>
  <si>
    <t>숫자로 증명할 구조적 성장</t>
  </si>
  <si>
    <t>82792</t>
  </si>
  <si>
    <t>상장 이래 첫 연결 영업흑자 달성</t>
  </si>
  <si>
    <t>82791</t>
  </si>
  <si>
    <t>연간 자체 현금흐름 개선 전망</t>
  </si>
  <si>
    <t>82790</t>
  </si>
  <si>
    <t>압도적인 수신 경쟁력 재입</t>
  </si>
  <si>
    <t>82789</t>
  </si>
  <si>
    <t>112290</t>
  </si>
  <si>
    <t>와이씨켐</t>
  </si>
  <si>
    <t xml:space="preserve">변곡점 임박! </t>
  </si>
  <si>
    <t>82788</t>
  </si>
  <si>
    <t>2~3분기 국내 수요 회복 강도가 중요</t>
  </si>
  <si>
    <t>82787</t>
  </si>
  <si>
    <t>222080</t>
  </si>
  <si>
    <t>씨아이에스</t>
  </si>
  <si>
    <t>전극 장비 시장의 강자, 차세대 성장 모멘텀 확보 중</t>
  </si>
  <si>
    <t>82786</t>
  </si>
  <si>
    <t>전자결제 부가통신사업자</t>
  </si>
  <si>
    <t>82785</t>
  </si>
  <si>
    <t>2분기 전략의 효과 기대</t>
  </si>
  <si>
    <t>82784</t>
  </si>
  <si>
    <t>펀더멘탈 부활의 시그널 발견</t>
  </si>
  <si>
    <t>82783</t>
  </si>
  <si>
    <t>해외 자회사마저도</t>
  </si>
  <si>
    <t>82782</t>
  </si>
  <si>
    <t>아직은 쿨타임 중, 신작의 시간은 온다</t>
  </si>
  <si>
    <t>82781</t>
  </si>
  <si>
    <t>2025-05-07</t>
  </si>
  <si>
    <t>다가오는 신작 출시 구간</t>
  </si>
  <si>
    <t>82780</t>
  </si>
  <si>
    <t xml:space="preserve">NDR 후기 - 목표주가 상향 </t>
  </si>
  <si>
    <t>82779</t>
  </si>
  <si>
    <t>ESG report, 탄소중립 바탕으로 수주 경쟁력 확보</t>
  </si>
  <si>
    <t>82778</t>
  </si>
  <si>
    <t>역기저를 지나면 이익 턴어라운드와 밸류업</t>
  </si>
  <si>
    <t>82777</t>
  </si>
  <si>
    <t>금융위 우리금융지주의 동양생명 및 ABL 생명보험 자회사 편입 승인, 향후 비은행 부문 강화 기대</t>
  </si>
  <si>
    <t>82776</t>
  </si>
  <si>
    <t>보험사 인수로 주주환원 여력은 확대될 전망</t>
  </si>
  <si>
    <t>82774</t>
  </si>
  <si>
    <t>관세 우려로 인한 아쉬운 판매환경</t>
  </si>
  <si>
    <t>82773</t>
  </si>
  <si>
    <t>1Q25 Review: 본게임은 하반기부터</t>
  </si>
  <si>
    <t>82772</t>
  </si>
  <si>
    <t>실적 선방은 긍정, 북미 리스크는 숙제</t>
  </si>
  <si>
    <t>82771</t>
  </si>
  <si>
    <t>아모레, 제2 전성기 예고</t>
  </si>
  <si>
    <t>82770</t>
  </si>
  <si>
    <t>저점 통과 기대감 상승</t>
  </si>
  <si>
    <t>82769</t>
  </si>
  <si>
    <t xml:space="preserve">1Q 부진, 시간이 필요 </t>
  </si>
  <si>
    <t>82768</t>
  </si>
  <si>
    <t>2Q 흑자전환 예상</t>
  </si>
  <si>
    <t>82767</t>
  </si>
  <si>
    <t>1분기 부진하나 2분기부터 본게임</t>
  </si>
  <si>
    <t>82766</t>
  </si>
  <si>
    <t>LCB39: Cold to Hot</t>
  </si>
  <si>
    <t>82765</t>
  </si>
  <si>
    <t>펀더멘털은 인정하자</t>
  </si>
  <si>
    <t>82764</t>
  </si>
  <si>
    <t>어려운 영업환경</t>
  </si>
  <si>
    <t>82763</t>
  </si>
  <si>
    <t>북미 主流市場 진출 및 로봇팔로 성장 훈풍이 분다</t>
  </si>
  <si>
    <t>82762</t>
  </si>
  <si>
    <t>1Q25 Re: 고마진 품목 성장으로 흑전 성공</t>
  </si>
  <si>
    <t>82761</t>
  </si>
  <si>
    <t>적자지만 괜찮아</t>
  </si>
  <si>
    <t>82760</t>
  </si>
  <si>
    <t>1Q25 Review: 실적 턴어라운드 기대</t>
  </si>
  <si>
    <t>82759</t>
  </si>
  <si>
    <t>1Q25 Review: 하반기 신제품 효과 기대</t>
  </si>
  <si>
    <t>82758</t>
  </si>
  <si>
    <t>골리앗 이기는 다윗의 등장</t>
  </si>
  <si>
    <t>82757</t>
  </si>
  <si>
    <t>096350</t>
  </si>
  <si>
    <t>대창솔루션</t>
  </si>
  <si>
    <t>숨겨진 선박엔진 강자, 친환경까지 잡다</t>
  </si>
  <si>
    <t>82756</t>
  </si>
  <si>
    <t>점차 가시화될 신규 수주 모멘텀</t>
  </si>
  <si>
    <t>82755</t>
  </si>
  <si>
    <t>속도감은 아쉽지만 개선되는 세이프티</t>
  </si>
  <si>
    <t>82754</t>
  </si>
  <si>
    <t>게임 업종 최선호주</t>
  </si>
  <si>
    <t>82753</t>
  </si>
  <si>
    <t>고수익 제품 매출 증가로 이익 개선</t>
  </si>
  <si>
    <t>82752</t>
  </si>
  <si>
    <t>080520</t>
  </si>
  <si>
    <t>오디텍</t>
  </si>
  <si>
    <t>광학 센서 및 반도체 칩 제조 전문기업</t>
  </si>
  <si>
    <t>82751</t>
  </si>
  <si>
    <t>217320</t>
  </si>
  <si>
    <t>썬테크</t>
  </si>
  <si>
    <t>디젤엔진 기반 비상발전기 제조 전문기업</t>
  </si>
  <si>
    <t>82750</t>
  </si>
  <si>
    <t>122830</t>
  </si>
  <si>
    <t>원포유</t>
  </si>
  <si>
    <t>AI기반 비대면 서비스 고도화 및 포트폴리오 확장</t>
  </si>
  <si>
    <t>82749</t>
  </si>
  <si>
    <t>039020</t>
  </si>
  <si>
    <t>이건홀딩스</t>
  </si>
  <si>
    <t>목재 가공, 창호, 재활용까지 종합 건축자재 전문그룹</t>
  </si>
  <si>
    <t>82748</t>
  </si>
  <si>
    <t>047560</t>
  </si>
  <si>
    <t>이스트소프트</t>
  </si>
  <si>
    <t>AI 휴먼 기술을 기반으로 한 AI SW 전문기업</t>
  </si>
  <si>
    <t>82747</t>
  </si>
  <si>
    <t>458650</t>
  </si>
  <si>
    <t>성우</t>
  </si>
  <si>
    <t>이차전지 부품 기술력 기반의 탑캡 어셈블리 개발 및 제조</t>
  </si>
  <si>
    <t>82746</t>
  </si>
  <si>
    <t>2025-05-02</t>
  </si>
  <si>
    <t>돋보이는 LNG</t>
  </si>
  <si>
    <t>82745</t>
  </si>
  <si>
    <t>자회사 손익 개선세 확인 필요</t>
  </si>
  <si>
    <t>82744</t>
  </si>
  <si>
    <t>계속되는 분기 최대 실적 경신</t>
  </si>
  <si>
    <t>82743</t>
  </si>
  <si>
    <t>올해는 외형과 이익 모두 성장</t>
  </si>
  <si>
    <t>82742</t>
  </si>
  <si>
    <t>점진적 실적 개선 기대</t>
  </si>
  <si>
    <t>82741</t>
  </si>
  <si>
    <t>하반기 실적 개선 기조 확인</t>
  </si>
  <si>
    <t>82740</t>
  </si>
  <si>
    <t>쉽지 않은 업황이지만</t>
  </si>
  <si>
    <t>82739</t>
  </si>
  <si>
    <t>1Q25 Re: 기대치 부합</t>
  </si>
  <si>
    <t>82738</t>
  </si>
  <si>
    <t>관세 부담이 생겼지만, 대형 유통망과의 거래 재개 중</t>
  </si>
  <si>
    <t>82737</t>
  </si>
  <si>
    <t>시총 70조원대 지지 전망</t>
  </si>
  <si>
    <t>82736</t>
  </si>
  <si>
    <t>방산이 역시 효자다!</t>
  </si>
  <si>
    <t>82735</t>
  </si>
  <si>
    <t>2Q25 감익 예상</t>
  </si>
  <si>
    <t>82734</t>
  </si>
  <si>
    <t>석유화학 개선 가능성 vs. 양극재 판매량 감소</t>
  </si>
  <si>
    <t>82733</t>
  </si>
  <si>
    <t>1Q25 Review: 백점 만점의 백점</t>
  </si>
  <si>
    <t>82732</t>
  </si>
  <si>
    <t>메모리 우상향에 집중한 투자 전략 필요</t>
  </si>
  <si>
    <t>82731</t>
  </si>
  <si>
    <t>1회성 특이사항이 많았던 1분기 실적</t>
  </si>
  <si>
    <t>82730</t>
  </si>
  <si>
    <t>0.3배의 낮은 P/B를 끌어올릴 성장 모멘텀이 필요</t>
  </si>
  <si>
    <t>82729</t>
  </si>
  <si>
    <t>성장할 회사는 성장한다</t>
  </si>
  <si>
    <t>82728</t>
  </si>
  <si>
    <t>1Q25 Re: 본업 해외 확장 스토리!</t>
  </si>
  <si>
    <t>82727</t>
  </si>
  <si>
    <t>1Q25 Review: 수출부문 고수익성 재확인</t>
  </si>
  <si>
    <t>82726</t>
  </si>
  <si>
    <t>1Q25 Review: 호실적, 설비투자 vs 블록딜</t>
  </si>
  <si>
    <t>82725</t>
  </si>
  <si>
    <t>낭만의 방산주, 낭만의 KF-21</t>
  </si>
  <si>
    <t>82724</t>
  </si>
  <si>
    <t>1Q 호실적과 유상증자 구조 변경으로 TP 상향</t>
  </si>
  <si>
    <t>82723</t>
  </si>
  <si>
    <t>안정적 실적 기반 유지</t>
  </si>
  <si>
    <t>82722</t>
  </si>
  <si>
    <t>신사업은 성장의 필요조건</t>
  </si>
  <si>
    <t>82721</t>
  </si>
  <si>
    <t>Ni95 나가신다 길을 비켜라</t>
  </si>
  <si>
    <t>82720</t>
  </si>
  <si>
    <t>82719</t>
  </si>
  <si>
    <t>Next Level에 들어서다</t>
  </si>
  <si>
    <t>82718</t>
  </si>
  <si>
    <t>1Q25 Re: 하반기가 변수</t>
  </si>
  <si>
    <t>82717</t>
  </si>
  <si>
    <t>[1Q25 Review] 앞으로의 실적과 수출 모멘텀에 주목</t>
  </si>
  <si>
    <t>82716</t>
  </si>
  <si>
    <t>[1Q25 Review] 하반기에 실적 개선 가시성 확인될 것</t>
  </si>
  <si>
    <t>82715</t>
  </si>
  <si>
    <t>[1Q25 Review] 예상 대비 빠른 북미 시장 회복</t>
  </si>
  <si>
    <t>82714</t>
  </si>
  <si>
    <t>하반기 반등을 기대하나, 낮아진 가시성</t>
  </si>
  <si>
    <t>82713</t>
  </si>
  <si>
    <t>ESS 시장 성장, 그보다 뼈아픈 EV의 둔화</t>
  </si>
  <si>
    <t>82712</t>
  </si>
  <si>
    <t>관세로 인해 실적 회복 불확실성 확대</t>
  </si>
  <si>
    <t>82711</t>
  </si>
  <si>
    <t>가이던스 상향 조정, 그러나 실수요 확인 필요</t>
  </si>
  <si>
    <t>82710</t>
  </si>
  <si>
    <t>[1Q25 Review] 폴란드향 무기체계 인도 순항 중</t>
  </si>
  <si>
    <t>82709</t>
  </si>
  <si>
    <t>2Q25부터 TC본더 벤더 재편 수혜 본격화</t>
  </si>
  <si>
    <t>82708</t>
  </si>
  <si>
    <t>[1Q25 Review] 바이오가 다했다</t>
  </si>
  <si>
    <t>82707</t>
  </si>
  <si>
    <t>1분기 선방했으나, 2분기 감익 불가피</t>
  </si>
  <si>
    <t>82706</t>
  </si>
  <si>
    <t>Good Sales, Good Profit</t>
  </si>
  <si>
    <t>82705</t>
  </si>
  <si>
    <t>1Q25 Review : 중국 모멘텀 확대 전망</t>
  </si>
  <si>
    <t>82704</t>
  </si>
  <si>
    <t>[1Q25 Review] 부정을 이기는 긍정</t>
  </si>
  <si>
    <t>82703</t>
  </si>
  <si>
    <t>1Q25 Re: 압도적 이익률, 업사이드 유효</t>
  </si>
  <si>
    <t>82702</t>
  </si>
  <si>
    <t>구조적 원가 정상화는 순항 중</t>
  </si>
  <si>
    <t>82701</t>
  </si>
  <si>
    <t>잃지 않는 포트폴리오</t>
  </si>
  <si>
    <t>82700</t>
  </si>
  <si>
    <t>선명해진 상저하고의 실적 경로</t>
  </si>
  <si>
    <t>82699</t>
  </si>
  <si>
    <t>펍지만으로도 성장 확신</t>
  </si>
  <si>
    <t>82698</t>
  </si>
  <si>
    <t>흑자전환은 언제쯤?</t>
  </si>
  <si>
    <t>82697</t>
  </si>
  <si>
    <t>방산, 이제는 부품까지</t>
  </si>
  <si>
    <t>82696</t>
  </si>
  <si>
    <t>1H25 예상 영업이익 13조원 vs. 반도체 사업 안정화 가능성</t>
  </si>
  <si>
    <t>82695</t>
  </si>
  <si>
    <t>아직은 우려가 해소되지 않은 상반기</t>
  </si>
  <si>
    <t>82694</t>
  </si>
  <si>
    <t>1Q25 영업이익률 38% 기록</t>
  </si>
  <si>
    <t>82693</t>
  </si>
  <si>
    <t>2026년을 바라보며</t>
  </si>
  <si>
    <t>82692</t>
  </si>
  <si>
    <t>업황 부진 속 실적 선방 기대</t>
  </si>
  <si>
    <t>82691</t>
  </si>
  <si>
    <t>정책 불확실성 속 견조한 주요 고객</t>
  </si>
  <si>
    <t>82690</t>
  </si>
  <si>
    <t>이익 사이클 저점 통과하며 턴어라운드 본격 시작</t>
  </si>
  <si>
    <t>82689</t>
  </si>
  <si>
    <t>못하는게 없네</t>
  </si>
  <si>
    <t>82688</t>
  </si>
  <si>
    <t>DC Inside</t>
  </si>
  <si>
    <t>82687</t>
  </si>
  <si>
    <t>확장되는 반도체 장비 포트폴리오</t>
  </si>
  <si>
    <t>82686</t>
  </si>
  <si>
    <t>2026년에 봐야 할 종목</t>
  </si>
  <si>
    <t>82685</t>
  </si>
  <si>
    <t>오버행과 관세에 매몰된 펀더멘털 개선</t>
  </si>
  <si>
    <t>82684</t>
  </si>
  <si>
    <t>유럽 풀가동이 현실이 된다</t>
  </si>
  <si>
    <t>82683</t>
  </si>
  <si>
    <t>글로벌 리밸런싱과 중국의 콜라보</t>
  </si>
  <si>
    <t>82682</t>
  </si>
  <si>
    <t>관세, 입항세 규제 영향에도 안정적 실적 이어질 전망</t>
  </si>
  <si>
    <t>82681</t>
  </si>
  <si>
    <t>LNG부문이 깜짝 실적에 기여</t>
  </si>
  <si>
    <t>82680</t>
  </si>
  <si>
    <t>실적은 컨센서스 부합, 하반기가 기대된다</t>
  </si>
  <si>
    <t>82679</t>
  </si>
  <si>
    <t>2Q25 이후 수익성 개선, K-원전/가스터빈/SMR 주기기 수주 본격화</t>
  </si>
  <si>
    <t>82678</t>
  </si>
  <si>
    <t>첨단소재부문 기대치 상회</t>
  </si>
  <si>
    <t>82677</t>
  </si>
  <si>
    <t>ECH 적자 축소, 시장기대치 상회</t>
  </si>
  <si>
    <t>82676</t>
  </si>
  <si>
    <t>마데카솔의 확장성은 어디까지</t>
  </si>
  <si>
    <t>82675</t>
  </si>
  <si>
    <t>1Q25 Review - 긍정적 시그널: 판매량 반등</t>
  </si>
  <si>
    <t>82674</t>
  </si>
  <si>
    <t>1Q25 Review: 저평가 or 저성과?</t>
  </si>
  <si>
    <t>82673</t>
  </si>
  <si>
    <t>긍정적, 부정적 요인 혼재</t>
  </si>
  <si>
    <t>82672</t>
  </si>
  <si>
    <t>비수기에도 방산 수출 OPM 37.4%</t>
  </si>
  <si>
    <t>82671</t>
  </si>
  <si>
    <t>미국 관세 여파로 전지 소재 약세 전망</t>
  </si>
  <si>
    <t>82670</t>
  </si>
  <si>
    <t>안정적인 트레이딩 성과 시현</t>
  </si>
  <si>
    <t>82669</t>
  </si>
  <si>
    <t>남들과는 다른 분위기</t>
  </si>
  <si>
    <t>82668</t>
  </si>
  <si>
    <t>1Q25 Review: The Queen is back</t>
  </si>
  <si>
    <t>82667</t>
  </si>
  <si>
    <t>82666</t>
  </si>
  <si>
    <t>1Q25 Review - 2분기는 증익하지만..</t>
  </si>
  <si>
    <t>82665</t>
  </si>
  <si>
    <t>하나하나 찬찬히 다시 생각해보았습니다</t>
  </si>
  <si>
    <t>82664</t>
  </si>
  <si>
    <t>좋지만 좋지 않은 실적</t>
  </si>
  <si>
    <t>82663</t>
  </si>
  <si>
    <t>차기 정부 수소 정책이 중요</t>
  </si>
  <si>
    <t>82662</t>
  </si>
  <si>
    <t>82661</t>
  </si>
  <si>
    <t>안정성과 성장성을 겸비한 회사</t>
  </si>
  <si>
    <t>82660</t>
  </si>
  <si>
    <t>1Q25 Review: 기대했지만 더 좋은 실적</t>
  </si>
  <si>
    <t>82659</t>
  </si>
  <si>
    <t>기존 강점 유지+사업 영역 확대</t>
  </si>
  <si>
    <t>82658</t>
  </si>
  <si>
    <t>바이오 호조로 실적 악화 방어</t>
  </si>
  <si>
    <t>82657</t>
  </si>
  <si>
    <t>단기 실적 부진 불구 고객 증가 긍정</t>
  </si>
  <si>
    <t>82656</t>
  </si>
  <si>
    <t>당분간 불확실성 지속</t>
  </si>
  <si>
    <t>82655</t>
  </si>
  <si>
    <t>잠시 숨 고르기</t>
  </si>
  <si>
    <t>82654</t>
  </si>
  <si>
    <t>2분기 반등과 볼트온 전략 가동</t>
  </si>
  <si>
    <t>82653</t>
  </si>
  <si>
    <t>1Q25 Review: 높아진 이익 증익의 가시성</t>
  </si>
  <si>
    <t>82652</t>
  </si>
  <si>
    <t>1Q25 Re 실적 모범생, 더 큰 성장을 위한 과도기</t>
  </si>
  <si>
    <t>82651</t>
  </si>
  <si>
    <t>1Q25 Review: Slow Starter</t>
  </si>
  <si>
    <t>82650</t>
  </si>
  <si>
    <t>1Q25 Review: 뇌수술용 로봇 미국행</t>
  </si>
  <si>
    <t>82649</t>
  </si>
  <si>
    <t>1Q25 Review: 리드프레임 성장 지속</t>
  </si>
  <si>
    <t>82648</t>
  </si>
  <si>
    <t>낮은 가동률로 당분간 적자 기조 지속</t>
  </si>
  <si>
    <t>82647</t>
  </si>
  <si>
    <t>반가운 어닝 서프라이즈</t>
  </si>
  <si>
    <t>82646</t>
  </si>
  <si>
    <t>82645</t>
  </si>
  <si>
    <t>정유 부진 vs. 배터리 개선</t>
  </si>
  <si>
    <t>82644</t>
  </si>
  <si>
    <t>올해도 가이던스 초과 달성 전망</t>
  </si>
  <si>
    <t>82643</t>
  </si>
  <si>
    <t>긴 터널의 끝을 향해</t>
  </si>
  <si>
    <t>82642</t>
  </si>
  <si>
    <t>글로벌 경쟁력 강화 중</t>
  </si>
  <si>
    <t>82641</t>
  </si>
  <si>
    <t>1Q25: 실적은 거들 뿐, 투자로 더 앞서 나갈</t>
  </si>
  <si>
    <t>82640</t>
  </si>
  <si>
    <t>E&amp;S 합병효과가 무색했던 실적</t>
  </si>
  <si>
    <t>82639</t>
  </si>
  <si>
    <t>높은 파도에도 균형을 잃지 않은 실적</t>
  </si>
  <si>
    <t>82638</t>
  </si>
  <si>
    <t>2Q25 실적 부진 이후 하반기 회복세 전망</t>
  </si>
  <si>
    <t>82637</t>
  </si>
  <si>
    <t>할 수 있다. 환골탈태</t>
  </si>
  <si>
    <t>82636</t>
  </si>
  <si>
    <t>Tesla 신차 출시 효과에 따른 물량 증가 예상</t>
  </si>
  <si>
    <t>82635</t>
  </si>
  <si>
    <t>당분간은 지켜볼 수 밖에…</t>
  </si>
  <si>
    <t>82634</t>
  </si>
  <si>
    <t>여전히 업종 내 최선호주</t>
  </si>
  <si>
    <t>82633</t>
  </si>
  <si>
    <t>체질 개선 가능성을 엿볼 수 있었던 1Q 실적</t>
  </si>
  <si>
    <t>82632</t>
  </si>
  <si>
    <t>하반기 체질 개선 기대</t>
  </si>
  <si>
    <t>82631</t>
  </si>
  <si>
    <t>1Q25 Re: 다음 정류장은 ‘4만원’입니다.</t>
  </si>
  <si>
    <t>82630</t>
  </si>
  <si>
    <t>1Q25 Re: 원가율 높은 재고 소진 완료</t>
  </si>
  <si>
    <t>82629</t>
  </si>
  <si>
    <t>방산에 대한 괜한 걱정을 지우는 호실적</t>
  </si>
  <si>
    <t>82628</t>
  </si>
  <si>
    <t>2분기 밋밋한 실적. 개선세는 지속될 것</t>
  </si>
  <si>
    <t>82627</t>
  </si>
  <si>
    <t>콘솔 중심 IP화 필요</t>
  </si>
  <si>
    <t>82626</t>
  </si>
  <si>
    <t>다시 나타난 수익성 악화</t>
  </si>
  <si>
    <t>82625</t>
  </si>
  <si>
    <t>코스알엑스만 보지 말자</t>
  </si>
  <si>
    <t>82624</t>
  </si>
  <si>
    <t>견고한 펀더멘털</t>
  </si>
  <si>
    <t>82623</t>
  </si>
  <si>
    <t>HBM 실적 바닥 통과</t>
  </si>
  <si>
    <t>82622</t>
  </si>
  <si>
    <t>1Q25 Review_예상과 다른 주택 부문 마진 호조 긍정적</t>
  </si>
  <si>
    <t>82621</t>
  </si>
  <si>
    <t>신규 공장 관련 실적 증가 내년부터</t>
  </si>
  <si>
    <t>82620</t>
  </si>
  <si>
    <t>유럽 매출 회복 조짐</t>
  </si>
  <si>
    <t>82619</t>
  </si>
  <si>
    <t>반도체 특수 가스 사업 확장</t>
  </si>
  <si>
    <t>82618</t>
  </si>
  <si>
    <t>148150</t>
  </si>
  <si>
    <t>세경하이테크</t>
  </si>
  <si>
    <t>1Q25 Preview: 쉬어 가요</t>
  </si>
  <si>
    <t>82617</t>
  </si>
  <si>
    <t>고성장 모멘텀 지속</t>
  </si>
  <si>
    <t>82616</t>
  </si>
  <si>
    <t>쌓여가는 CDMO 수주</t>
  </si>
  <si>
    <t>82615</t>
  </si>
  <si>
    <t>안정적이고 평이한 실적 구간</t>
  </si>
  <si>
    <t>82614</t>
  </si>
  <si>
    <t>신규 모멘텀이 절실한 시기</t>
  </si>
  <si>
    <t>82613</t>
  </si>
  <si>
    <t>본업은 견조하나 부담스러운 밸류에이션</t>
  </si>
  <si>
    <t>82612</t>
  </si>
  <si>
    <t>2025-04-30</t>
  </si>
  <si>
    <t>나트륨 배터리 없어도 저평가</t>
  </si>
  <si>
    <t>82611</t>
  </si>
  <si>
    <t>수출 비중 증가로 한번 더 레벨 업</t>
  </si>
  <si>
    <t>82610</t>
  </si>
  <si>
    <t>계획대로 진행 중인 체질과 실적 개선</t>
  </si>
  <si>
    <t>82609</t>
  </si>
  <si>
    <t>올해 내내 서프라이즈 예상,Top-pick 유지</t>
  </si>
  <si>
    <t>82608</t>
  </si>
  <si>
    <t xml:space="preserve">약속된 흑전, 연중기조 유지 </t>
  </si>
  <si>
    <t>82607</t>
  </si>
  <si>
    <t>아는 맛은 정말 무섭다</t>
  </si>
  <si>
    <t>82606</t>
  </si>
  <si>
    <t>1Q25 Review: 시장 예상치 상회</t>
  </si>
  <si>
    <t>82605</t>
  </si>
  <si>
    <t>1Q25Re: 중국 성장 모멘텀</t>
  </si>
  <si>
    <t>82604</t>
  </si>
  <si>
    <t>아라미드 흑자전환. 2Q25도 증익 예상</t>
  </si>
  <si>
    <t>82603</t>
  </si>
  <si>
    <t xml:space="preserve">컨센 14% 상회. 하반기 높은 실적 가시성 </t>
  </si>
  <si>
    <t>82602</t>
  </si>
  <si>
    <t xml:space="preserve">시가총액 15조원까지 컨빅션 최선호주 </t>
  </si>
  <si>
    <t>82601</t>
  </si>
  <si>
    <t>중장기 경쟁력은 강화되는 중</t>
  </si>
  <si>
    <t>82600</t>
  </si>
  <si>
    <t>미국 관세는 생산 최적화와 가격 인상 등으로 대응</t>
  </si>
  <si>
    <t>82599</t>
  </si>
  <si>
    <t>흑자 구조 안착</t>
  </si>
  <si>
    <t>82598</t>
  </si>
  <si>
    <t>무난하게 증명한 실적</t>
  </si>
  <si>
    <t>82597</t>
  </si>
  <si>
    <t>좋았던 주택마진 = 영업외비용</t>
  </si>
  <si>
    <t>82596</t>
  </si>
  <si>
    <t>1분기는 예상대로 무난하게</t>
  </si>
  <si>
    <t>82595</t>
  </si>
  <si>
    <t>삼성전자 1Q25 컨퍼런스 콜</t>
  </si>
  <si>
    <t>82594</t>
  </si>
  <si>
    <t>영업실적 바닥 확인!</t>
  </si>
  <si>
    <t>82593</t>
  </si>
  <si>
    <t>달라진 체력을 실적으로 입증</t>
  </si>
  <si>
    <t>82592</t>
  </si>
  <si>
    <t>5월 전략 - 실적과 밸류업 기대감 높아질 시점</t>
  </si>
  <si>
    <t>82591</t>
  </si>
  <si>
    <t>5월 전략 - 2분기 이익/DPS는 더 높을 수 있어요</t>
  </si>
  <si>
    <t>82590</t>
  </si>
  <si>
    <t>EVERGLOW</t>
  </si>
  <si>
    <t>82589</t>
  </si>
  <si>
    <t>분명히 바닥</t>
  </si>
  <si>
    <t>82588</t>
  </si>
  <si>
    <t>신작 성과보다는 펍지 성장에 맞춰질 멀티플</t>
  </si>
  <si>
    <t>82587</t>
  </si>
  <si>
    <t>[1Q25 Review] 당분간 편안한 증익</t>
  </si>
  <si>
    <t>82586</t>
  </si>
  <si>
    <t>[1Q25 Review] 1위는 다르다</t>
  </si>
  <si>
    <t>82585</t>
  </si>
  <si>
    <t>밋밋해 보이지만 퍼즐은 하나씩 맞춰지는 중</t>
  </si>
  <si>
    <t>82584</t>
  </si>
  <si>
    <t>본격 규모의 경제를 향하여</t>
  </si>
  <si>
    <t>82583</t>
  </si>
  <si>
    <t>[1Q25 Review] 방산과 필리 실적 모두 기대 이상</t>
  </si>
  <si>
    <t>82582</t>
  </si>
  <si>
    <t>신규 거래선 없으면 가동률 회복 어려워</t>
  </si>
  <si>
    <t>82581</t>
  </si>
  <si>
    <t>018250</t>
  </si>
  <si>
    <t>애경산업</t>
  </si>
  <si>
    <t>돌파구가 필요해</t>
  </si>
  <si>
    <t>82580</t>
  </si>
  <si>
    <t xml:space="preserve">[1Q25 Review] 양질의 수주 이어갈 필요 </t>
  </si>
  <si>
    <t>82579</t>
  </si>
  <si>
    <t>2개 분기 연속 서프라이즈</t>
  </si>
  <si>
    <t>82578</t>
  </si>
  <si>
    <t xml:space="preserve">1Q25 Review: 컨센 대비 소폭 상회 실적 기록 </t>
  </si>
  <si>
    <t>82577</t>
  </si>
  <si>
    <t>맏형의 회복을 기다리며</t>
  </si>
  <si>
    <t>82576</t>
  </si>
  <si>
    <t>기다림이 필요한 시점</t>
  </si>
  <si>
    <t>82575</t>
  </si>
  <si>
    <t>1Q25Re: ETC, 해외 사업 동반 성장</t>
  </si>
  <si>
    <t>82574</t>
  </si>
  <si>
    <t>실적은 바닥 통과. 추가 고객 확장 필요</t>
  </si>
  <si>
    <t>82573</t>
  </si>
  <si>
    <t>어닝 개선 방향성 확인</t>
  </si>
  <si>
    <t>82572</t>
  </si>
  <si>
    <t>자회사 실적 호조, 연중 실적 저점 확인</t>
  </si>
  <si>
    <t>82571</t>
  </si>
  <si>
    <t>매출 둔화에도 어닝 서프라이즈</t>
  </si>
  <si>
    <t>82570</t>
  </si>
  <si>
    <t>전통의 드라마 강국</t>
  </si>
  <si>
    <t>82569</t>
  </si>
  <si>
    <t>점진적인 턴어라운드, 2Q 흑자전환 예상</t>
  </si>
  <si>
    <t>82568</t>
  </si>
  <si>
    <t>1Q 호조, 체질 변화에 주력</t>
  </si>
  <si>
    <t>82567</t>
  </si>
  <si>
    <t>펍지 저력 재확인, 기대 이상의 신작들</t>
  </si>
  <si>
    <t>82566</t>
  </si>
  <si>
    <t>공연&amp;MD 매출 호조세 지속</t>
  </si>
  <si>
    <t>82565</t>
  </si>
  <si>
    <t xml:space="preserve">견조한 탑라인 성장세 기대치 부합 </t>
  </si>
  <si>
    <t>82564</t>
  </si>
  <si>
    <t xml:space="preserve">실적은 매 분기 성장, 하반기 모멘텀도 보유 </t>
  </si>
  <si>
    <t>82563</t>
  </si>
  <si>
    <t>중국 자신감 재확인</t>
  </si>
  <si>
    <t>82562</t>
  </si>
  <si>
    <t>구조적 개선의 결실</t>
  </si>
  <si>
    <t>82561</t>
  </si>
  <si>
    <t>유의미한 앨범/공연 매출 상회</t>
  </si>
  <si>
    <t>82560</t>
  </si>
  <si>
    <t>반전이 묘연한 상황</t>
  </si>
  <si>
    <t>82559</t>
  </si>
  <si>
    <t>물음표가 짙어진 실적 발표</t>
  </si>
  <si>
    <t>82558</t>
  </si>
  <si>
    <t>1Q25 Review: 사업 전반 호실적 발표</t>
  </si>
  <si>
    <t>82557</t>
  </si>
  <si>
    <t>1Q25 Review: 드디어 성장 회복</t>
  </si>
  <si>
    <t>82556</t>
  </si>
  <si>
    <t>1Q25P Review: 안정적 영업흐름</t>
  </si>
  <si>
    <t>82555</t>
  </si>
  <si>
    <t>수익성 방어를 기대</t>
  </si>
  <si>
    <t>82554</t>
  </si>
  <si>
    <t>1Q25 Review: 산뜻한 출발</t>
  </si>
  <si>
    <t>82553</t>
  </si>
  <si>
    <t>불황을 버티는 힘: 현금흐름, 부채비율, 보유부지</t>
  </si>
  <si>
    <t>82552</t>
  </si>
  <si>
    <t>판매량 증가 시작</t>
  </si>
  <si>
    <t>82551</t>
  </si>
  <si>
    <t>1Q25 Review: 벨류에이션 확장 가능</t>
  </si>
  <si>
    <t>82550</t>
  </si>
  <si>
    <t>1Q25 Re 편안한 성장, 계열사 변수</t>
  </si>
  <si>
    <t>82549</t>
  </si>
  <si>
    <t>이게 비수기가 맞나?</t>
  </si>
  <si>
    <t>82548</t>
  </si>
  <si>
    <t>그저 놀라울 뿐</t>
  </si>
  <si>
    <t>82547</t>
  </si>
  <si>
    <t>이제부터 시작</t>
  </si>
  <si>
    <t>82546</t>
  </si>
  <si>
    <t>미국/유럽의 에폭시 반덤핑 반사수혜 누릴 ECH</t>
  </si>
  <si>
    <t>82545</t>
  </si>
  <si>
    <t>1Q25 Review: 여전히 중국 대표 실적주</t>
  </si>
  <si>
    <t>82544</t>
  </si>
  <si>
    <t>MLCC, 완만한 회복세 지속</t>
  </si>
  <si>
    <t>82543</t>
  </si>
  <si>
    <t>82542</t>
  </si>
  <si>
    <t>끝나지 않는 호재</t>
  </si>
  <si>
    <t>82541</t>
  </si>
  <si>
    <t xml:space="preserve">새벽이 가고 아침이 왔다 </t>
  </si>
  <si>
    <t>82540</t>
  </si>
  <si>
    <t>시장의 두 가지 오해</t>
  </si>
  <si>
    <t>82539</t>
  </si>
  <si>
    <t>실적 회복세 불구, 밸류에이션 정당화 어렵다</t>
  </si>
  <si>
    <t>82538</t>
  </si>
  <si>
    <t>펀더멘털과 주가의 괴리</t>
  </si>
  <si>
    <t>82537</t>
  </si>
  <si>
    <t>쉽지 않은 상황이나…</t>
  </si>
  <si>
    <t>82536</t>
  </si>
  <si>
    <t xml:space="preserve">1Q25: 필리 날개 장착 </t>
  </si>
  <si>
    <t>82535</t>
  </si>
  <si>
    <t>묵묵히 갈 길을 가다 보면 언젠가</t>
  </si>
  <si>
    <t>82534</t>
  </si>
  <si>
    <t>양호한 본업과 탄력 받는 신사업</t>
  </si>
  <si>
    <t>82533</t>
  </si>
  <si>
    <t>중국 성장 양호</t>
  </si>
  <si>
    <t>82532</t>
  </si>
  <si>
    <t>예상 대비 양호한 실적</t>
  </si>
  <si>
    <t>82531</t>
  </si>
  <si>
    <t>주가가 이미 올랐다고? 실적을 서프내면 되잖아</t>
  </si>
  <si>
    <t>82530</t>
  </si>
  <si>
    <t xml:space="preserve">뚜렷한 상저하고 기대 </t>
  </si>
  <si>
    <t>82529</t>
  </si>
  <si>
    <t>실적으로 답한 성장 스토리</t>
  </si>
  <si>
    <t>82528</t>
  </si>
  <si>
    <t>다시 주목해야 할 본업 가치</t>
  </si>
  <si>
    <t>82527</t>
  </si>
  <si>
    <t>국내 부진, 중국 회복</t>
  </si>
  <si>
    <t>82526</t>
  </si>
  <si>
    <t>광고 서프라이즈, 주가 재평가 임박</t>
  </si>
  <si>
    <t>82525</t>
  </si>
  <si>
    <t>1Q25 Review: 뚜렷하게 보이는 회복세</t>
  </si>
  <si>
    <t>82524</t>
  </si>
  <si>
    <t>관세 리스크에 대한 대응력이 돋보일 전망</t>
  </si>
  <si>
    <t>82523</t>
  </si>
  <si>
    <t xml:space="preserve"> 중국 성과 긍정적, 투자 매력은 부정</t>
  </si>
  <si>
    <t>82522</t>
  </si>
  <si>
    <t>`25년 실적 개선의 원년</t>
  </si>
  <si>
    <t>82521</t>
  </si>
  <si>
    <t>폭풍전야 느낌</t>
  </si>
  <si>
    <t>82520</t>
  </si>
  <si>
    <t>MLCC 호조 지속. 2H25 신규 모멘텀 주목</t>
  </si>
  <si>
    <t>82519</t>
  </si>
  <si>
    <t>1Q25 Review: 2분기부터 진짜 시작</t>
  </si>
  <si>
    <t>82518</t>
  </si>
  <si>
    <t>실적은 1분기가 바닥</t>
  </si>
  <si>
    <t>82517</t>
  </si>
  <si>
    <t>무난히 상회한 1분기 실적, 강한 원전사업 의지</t>
  </si>
  <si>
    <t>82516</t>
  </si>
  <si>
    <t>연간 증익 가능성 VS 해외 수주 가시성</t>
  </si>
  <si>
    <t>82515</t>
  </si>
  <si>
    <t>정책과 유럽 판매량이 하반기 주가 반등의 변수</t>
  </si>
  <si>
    <t>82514</t>
  </si>
  <si>
    <t>카지노 IR 개발 특수, PID 부문 수익 개선에 주목</t>
  </si>
  <si>
    <t>82513</t>
  </si>
  <si>
    <t>1Q25 Review: 수익성 회복과 원전 수주 원년</t>
  </si>
  <si>
    <t>82512</t>
  </si>
  <si>
    <t>1Q25 Review: 과속방지턱 통과</t>
  </si>
  <si>
    <t>82511</t>
  </si>
  <si>
    <t>1Q25 Review: 일회성 이익으로 기대 상회</t>
  </si>
  <si>
    <t>82510</t>
  </si>
  <si>
    <t>센서 사업, 조선 호황을 뛰어넘는 성장 축</t>
  </si>
  <si>
    <t>82509</t>
  </si>
  <si>
    <t>예상대로 진행되는 실적 개선</t>
  </si>
  <si>
    <t>82508</t>
  </si>
  <si>
    <t>무보정 CGM 없이도 잘해냈다</t>
  </si>
  <si>
    <t>82507</t>
  </si>
  <si>
    <t>1분기 Preview: 모멘텀은 잠시 늦추어 졌을 뿐</t>
  </si>
  <si>
    <t>82506</t>
  </si>
  <si>
    <t>1분기 호실적. 더 좋을 2분기</t>
  </si>
  <si>
    <t>82505</t>
  </si>
  <si>
    <t>1Q 실적: 주주 환원 강화의 속도 제고가 향후 관건 전망</t>
  </si>
  <si>
    <t>82504</t>
  </si>
  <si>
    <t>전주곡 이후, 본 무대가 시작된다</t>
  </si>
  <si>
    <t>82503</t>
  </si>
  <si>
    <t xml:space="preserve">안정적 실적 흐름은 강력한 무기 </t>
  </si>
  <si>
    <t>82502</t>
  </si>
  <si>
    <t>1Q 실적: 경상적 이익 창출 역량의 제고 확인 긍정적</t>
  </si>
  <si>
    <t>82501</t>
  </si>
  <si>
    <t>지속 가능한 성장에 힘입어 컨센서스 부합 전망</t>
  </si>
  <si>
    <t>82500</t>
  </si>
  <si>
    <t>실적 바닥과 46시리즈 모멘텀</t>
  </si>
  <si>
    <t>82499</t>
  </si>
  <si>
    <t>2025-04-25</t>
  </si>
  <si>
    <t>456190</t>
  </si>
  <si>
    <t>큐라켐</t>
  </si>
  <si>
    <t>국내 유일의 임상시험용 방사성동위원소 표지화합물 합성 전문기업</t>
  </si>
  <si>
    <t>82498</t>
  </si>
  <si>
    <t>2025-04-29</t>
  </si>
  <si>
    <t>2분기로 매출 이연</t>
  </si>
  <si>
    <t>82497</t>
  </si>
  <si>
    <t>좋은 실적에 모멘텀도 더해진다</t>
  </si>
  <si>
    <t>82496</t>
  </si>
  <si>
    <t>1Q25 Re: LG 브랜드 해외 강세, But 작년 2분기 높은 기저가 부담</t>
  </si>
  <si>
    <t>82495</t>
  </si>
  <si>
    <t>부정적 기저 해소 후 꽃피울 신사업</t>
  </si>
  <si>
    <t>82494</t>
  </si>
  <si>
    <t>1Q25 Review: 컨센서스 상회</t>
  </si>
  <si>
    <t>82493</t>
  </si>
  <si>
    <t>거침없는 개선 추세. 목표가 상향</t>
  </si>
  <si>
    <t>82492</t>
  </si>
  <si>
    <t>매출이 감소해도 견조한 마진</t>
  </si>
  <si>
    <t>82491</t>
  </si>
  <si>
    <t>SMP가 낮아서 아쉬운 1분기</t>
  </si>
  <si>
    <t>82490</t>
  </si>
  <si>
    <t>신규 매출원의 가세로 성장 구간 진입</t>
  </si>
  <si>
    <t>82489</t>
  </si>
  <si>
    <t>단기 실적 모멘텀보다 중장기 성장에 초점</t>
  </si>
  <si>
    <t>82488</t>
  </si>
  <si>
    <t>[1Q25 Review] EIT 성장은 견조, 차량SW 성장 동력은 약화</t>
  </si>
  <si>
    <t>82487</t>
  </si>
  <si>
    <t>상저하고 예상되나, 높아진 불확실성</t>
  </si>
  <si>
    <t>82486</t>
  </si>
  <si>
    <t>중장기 회복 가능성에 주목</t>
  </si>
  <si>
    <t>82485</t>
  </si>
  <si>
    <t>손익과 자본여력 모두 기대 이상</t>
  </si>
  <si>
    <t>82484</t>
  </si>
  <si>
    <t>[1Q25 Review] 하반기 불확실성 해소 여부가 중요</t>
  </si>
  <si>
    <t>82483</t>
  </si>
  <si>
    <t>[1Q25 Review] 불확실성 속에서 상대적으로 유리</t>
  </si>
  <si>
    <t>82482</t>
  </si>
  <si>
    <t>실적으로 답하다</t>
  </si>
  <si>
    <t>82481</t>
  </si>
  <si>
    <t>양약고구(良藥苦口)</t>
  </si>
  <si>
    <t>82480</t>
  </si>
  <si>
    <t>1Q25 Pre &amp; 대만 NDR: 성장 스토리 현재진행형</t>
  </si>
  <si>
    <t>82479</t>
  </si>
  <si>
    <t>총주주환원수익률 9.1% 기대</t>
  </si>
  <si>
    <t>82478</t>
  </si>
  <si>
    <t>1H25 NAND Migration 수요 회복</t>
  </si>
  <si>
    <t>82477</t>
  </si>
  <si>
    <t xml:space="preserve">[NDR후기] 미국향 수출 반영이 안되었음에도 </t>
  </si>
  <si>
    <t>82476</t>
  </si>
  <si>
    <t>1Q25Re: 전반적으로 고른 성장</t>
  </si>
  <si>
    <t>82475</t>
  </si>
  <si>
    <t xml:space="preserve"> 보릿고개 이후 상저하고 기대</t>
  </si>
  <si>
    <t>82474</t>
  </si>
  <si>
    <t>리밸런싱, 재무구조 개선 주력</t>
  </si>
  <si>
    <t>82473</t>
  </si>
  <si>
    <t>기분 좋은 출발</t>
  </si>
  <si>
    <t>82472</t>
  </si>
  <si>
    <t xml:space="preserve">준비된 용 </t>
  </si>
  <si>
    <t>82471</t>
  </si>
  <si>
    <t>이제는 본업만 잘하면 돼</t>
  </si>
  <si>
    <t>82470</t>
  </si>
  <si>
    <t>분기 실적에 매몰되지 말 것</t>
  </si>
  <si>
    <t>82469</t>
  </si>
  <si>
    <t>안정감이 다르다</t>
  </si>
  <si>
    <t>82468</t>
  </si>
  <si>
    <t>고수익 상선 매출 인식 확대</t>
  </si>
  <si>
    <t>82467</t>
  </si>
  <si>
    <t xml:space="preserve">괜찮은 출발 </t>
  </si>
  <si>
    <t>82466</t>
  </si>
  <si>
    <t>82465</t>
  </si>
  <si>
    <t>숨고르기는 끝났다</t>
  </si>
  <si>
    <t>82464</t>
  </si>
  <si>
    <t>구조 개선 감지, 턴어라운드 가능성 고조</t>
  </si>
  <si>
    <t>82463</t>
  </si>
  <si>
    <t>1Q25P Review: 해외 판매 증가가 긍정적</t>
  </si>
  <si>
    <t>82462</t>
  </si>
  <si>
    <t>클라우드와 AI 경쟁력 확인</t>
  </si>
  <si>
    <t>82461</t>
  </si>
  <si>
    <t>대외 불확실성과 경쟁심화</t>
  </si>
  <si>
    <t>82460</t>
  </si>
  <si>
    <t>분기 실적 순항</t>
  </si>
  <si>
    <t>82459</t>
  </si>
  <si>
    <t>추정치 부합하는 무난한 실적</t>
  </si>
  <si>
    <t>82458</t>
  </si>
  <si>
    <t>기대를 뛰어넘는 턴어라운드</t>
  </si>
  <si>
    <t>82457</t>
  </si>
  <si>
    <t>밸류에이션 최저점, 여전히 유효한 기대감</t>
  </si>
  <si>
    <t>82456</t>
  </si>
  <si>
    <t>기대감보다 우려가 더 큰 구간</t>
  </si>
  <si>
    <t>82455</t>
  </si>
  <si>
    <t>미약하지만, 가능성 확인</t>
  </si>
  <si>
    <t>82454</t>
  </si>
  <si>
    <t>상방/하방 모두 리스크는 제한적일 전망</t>
  </si>
  <si>
    <t>82453</t>
  </si>
  <si>
    <t>차근차근 올라가자</t>
  </si>
  <si>
    <t>82452</t>
  </si>
  <si>
    <t>82451</t>
  </si>
  <si>
    <t>PF 부담 완화되며 높아진 이익 정상화 기대감</t>
  </si>
  <si>
    <t>82450</t>
  </si>
  <si>
    <t>매 분기 큰 폭의 성장세 기대</t>
  </si>
  <si>
    <t>82449</t>
  </si>
  <si>
    <t>2분기까지 부진 지속</t>
  </si>
  <si>
    <t>82448</t>
  </si>
  <si>
    <t>1Q25: 호실적, 설비투자, 블록딜</t>
  </si>
  <si>
    <t>82447</t>
  </si>
  <si>
    <t>무적의 BM이 빛을 발할 시간</t>
  </si>
  <si>
    <t>82446</t>
  </si>
  <si>
    <t>뚜렷한 이익 성장세</t>
  </si>
  <si>
    <t>82445</t>
  </si>
  <si>
    <t>1Q25 Review: 라이선스 매출 성장 중</t>
  </si>
  <si>
    <t>82444</t>
  </si>
  <si>
    <t>1Q25 Review 어닝 서프라이즈, 부유식 도크 투자, 블록딜은 단기 수급 부담</t>
  </si>
  <si>
    <t>82443</t>
  </si>
  <si>
    <t>유심 정보 유출 사고 관련 Comment</t>
  </si>
  <si>
    <t>82442</t>
  </si>
  <si>
    <t>1Q25 Review: 선택과 집중</t>
  </si>
  <si>
    <t>82441</t>
  </si>
  <si>
    <t>1Q25 Review: 개선되는 중</t>
  </si>
  <si>
    <t>82440</t>
  </si>
  <si>
    <t xml:space="preserve">실적 정상화로 내딛는 첫 발 </t>
  </si>
  <si>
    <t>82439</t>
  </si>
  <si>
    <t>점차 성장 동력을 갖춰가는 중</t>
  </si>
  <si>
    <t>82438</t>
  </si>
  <si>
    <t>높아진 기대치를 상회한 호실적</t>
  </si>
  <si>
    <t>82437</t>
  </si>
  <si>
    <t>강화되는 모멘텀 주목</t>
  </si>
  <si>
    <t>82436</t>
  </si>
  <si>
    <t>양호한 실적, 예상 주주환원수익률 8% 후반</t>
  </si>
  <si>
    <t>82435</t>
  </si>
  <si>
    <t>001500</t>
  </si>
  <si>
    <t>중장기적으로 그룹 시너지 효과 기대</t>
  </si>
  <si>
    <t>82434</t>
  </si>
  <si>
    <t>122310</t>
  </si>
  <si>
    <t>제노레이</t>
  </si>
  <si>
    <t>신제품과 수출이 견인하는 매출 성장</t>
  </si>
  <si>
    <t>82433</t>
  </si>
  <si>
    <t>자체 위성 SpaceEye-T, 수익모델 전환의 신호탄</t>
  </si>
  <si>
    <t>82432</t>
  </si>
  <si>
    <t>통신장비, 방위산업용 질화갈륨 반도체 공급사</t>
  </si>
  <si>
    <t>82431</t>
  </si>
  <si>
    <t>2025-04-28</t>
  </si>
  <si>
    <t>고객사 다변화가 부각될 때</t>
  </si>
  <si>
    <t>82430</t>
  </si>
  <si>
    <t>이젠 정말 반등해야 할 때</t>
  </si>
  <si>
    <t>82429</t>
  </si>
  <si>
    <t>든든한 AS가 견인한(할) 실적</t>
  </si>
  <si>
    <t>82428</t>
  </si>
  <si>
    <t>착실한 준비, 비협조적인 업황</t>
  </si>
  <si>
    <t>82427</t>
  </si>
  <si>
    <t xml:space="preserve">오르막길 초입이기를 </t>
  </si>
  <si>
    <t>82426</t>
  </si>
  <si>
    <t>재조명될 음극재 가치</t>
  </si>
  <si>
    <t>82425</t>
  </si>
  <si>
    <t>1분기 흑자전환, 2분기도 개선된 영업실적 전망</t>
  </si>
  <si>
    <t>82424</t>
  </si>
  <si>
    <t>수익성 악화됐으나 매출은 우려 대비 선방</t>
  </si>
  <si>
    <t>82423</t>
  </si>
  <si>
    <t>2022년 이후 최대 수준으로 상승한 CET 1 비율</t>
  </si>
  <si>
    <t>82422</t>
  </si>
  <si>
    <t>1Q25 Preview: 호실적 지속 예상</t>
  </si>
  <si>
    <t>82421</t>
  </si>
  <si>
    <t>비용 관리가 아쉬웠던 실적. 자본비율 개선은 긍정적</t>
  </si>
  <si>
    <t>82420</t>
  </si>
  <si>
    <t>컨센서스 상회한 호실적. NIM과 CET 1 비율도 추가 상승</t>
  </si>
  <si>
    <t>82419</t>
  </si>
  <si>
    <t>경쟁사 대비 낮은 대손비용률. 영업기조 변화에도 주목</t>
  </si>
  <si>
    <t>82418</t>
  </si>
  <si>
    <t>밸류업 기대감 지속을 위해서는 건전성 안정화 신뢰 필요</t>
  </si>
  <si>
    <t>82417</t>
  </si>
  <si>
    <t>좋았던 자체부문, 나빴던 외주부문</t>
  </si>
  <si>
    <t>82416</t>
  </si>
  <si>
    <t>컨셉에 맞춰지는 사업 환경</t>
  </si>
  <si>
    <t>82415</t>
  </si>
  <si>
    <t>실적도 수주도 서프라이즈</t>
  </si>
  <si>
    <t>82414</t>
  </si>
  <si>
    <t>북미 전동화 공장의 가동률 상승을 기대</t>
  </si>
  <si>
    <t>82413</t>
  </si>
  <si>
    <t>Worst를 가정한 주가. P/E 4배 이하. 배당수익률 7.4%</t>
  </si>
  <si>
    <t>82412</t>
  </si>
  <si>
    <t>3년 간 영업이익 2배 이상 증가 vs. 주가는 반토막</t>
  </si>
  <si>
    <t>82411</t>
  </si>
  <si>
    <t>저는 고객이 많아요</t>
  </si>
  <si>
    <t>82410</t>
  </si>
  <si>
    <t>결국 무산된 셀렉타 매각</t>
  </si>
  <si>
    <t>82409</t>
  </si>
  <si>
    <t>[1Q25 Review] 제품믹스 감소는 제품/지역 세그먼트 다양화의 과정</t>
  </si>
  <si>
    <t>82408</t>
  </si>
  <si>
    <t>[1Q25 Review] 미국 현지화가 전동화 실적 개선으로 연결</t>
  </si>
  <si>
    <t>82407</t>
  </si>
  <si>
    <t>[1Q25 Review] 주요 고객사 물량 회복 시 상저하고 기대</t>
  </si>
  <si>
    <t>82406</t>
  </si>
  <si>
    <t>[1Q25 Review] 두려울 것이 없다</t>
  </si>
  <si>
    <t>82405</t>
  </si>
  <si>
    <t>Q 회복에 대한 가시성 부족</t>
  </si>
  <si>
    <t>82404</t>
  </si>
  <si>
    <t>꾸준히 성장</t>
  </si>
  <si>
    <t>82403</t>
  </si>
  <si>
    <t>최대로 벌어진 PBR 격차</t>
  </si>
  <si>
    <t>82402</t>
  </si>
  <si>
    <t>어닝 쇼크지만 투자 포인트는 유효</t>
  </si>
  <si>
    <t>82401</t>
  </si>
  <si>
    <t>1Q25 Review : 수익성은 반등, 업황 회복은 아직</t>
  </si>
  <si>
    <t>82400</t>
  </si>
  <si>
    <t>많아지는 국가, 올라가는 실적하단</t>
  </si>
  <si>
    <t>82399</t>
  </si>
  <si>
    <t>예상보다 더욱 강력했던 자체사업의 힘</t>
  </si>
  <si>
    <t>82398</t>
  </si>
  <si>
    <t>임상으로 재확인한 전임상 결과</t>
  </si>
  <si>
    <t>82397</t>
  </si>
  <si>
    <t>기대 이하의 매출, 기대 이상의 수익성</t>
  </si>
  <si>
    <t>82396</t>
  </si>
  <si>
    <t>미국에서 유럽으로, 중심 이동의 투자 의미</t>
  </si>
  <si>
    <t>82395</t>
  </si>
  <si>
    <t>전사 실적 부진에 가려진 ESS와 원통형</t>
  </si>
  <si>
    <t>82394</t>
  </si>
  <si>
    <t>B2B 건자재 둔화 여파 지속</t>
  </si>
  <si>
    <t>82393</t>
  </si>
  <si>
    <t>앞으로 더 좋아집니다</t>
  </si>
  <si>
    <t>82392</t>
  </si>
  <si>
    <t>적자 축소</t>
  </si>
  <si>
    <t>82391</t>
  </si>
  <si>
    <t>삼호의 놀라운 실적과 매력적인 배당까지</t>
  </si>
  <si>
    <t>82390</t>
  </si>
  <si>
    <t>KB는 참지 않지</t>
  </si>
  <si>
    <t>82389</t>
  </si>
  <si>
    <t>기대치를 상회하는 실적</t>
  </si>
  <si>
    <t>82388</t>
  </si>
  <si>
    <t>높은 기대를 상회하는 호실적</t>
  </si>
  <si>
    <t>82387</t>
  </si>
  <si>
    <t>10점 만점에 685점</t>
  </si>
  <si>
    <t>82386</t>
  </si>
  <si>
    <t xml:space="preserve">변동성 구간이나 저평가! </t>
  </si>
  <si>
    <t>82385</t>
  </si>
  <si>
    <t>아직 힘을 보여주긴 이르다</t>
  </si>
  <si>
    <t>82384</t>
  </si>
  <si>
    <t>무엇을 망설이나</t>
  </si>
  <si>
    <t>82383</t>
  </si>
  <si>
    <t>결국 고객이 힘이다</t>
  </si>
  <si>
    <t>82382</t>
  </si>
  <si>
    <t>그럼에도 불구하고, 하방 우려는 제한적</t>
  </si>
  <si>
    <t>82381</t>
  </si>
  <si>
    <t>본업을 받쳐주는 AS와 모멘텀</t>
  </si>
  <si>
    <t>82380</t>
  </si>
  <si>
    <t xml:space="preserve">편안한 탑승 기회 </t>
  </si>
  <si>
    <t>82379</t>
  </si>
  <si>
    <t>시내점 수익성 개선, 면세점 업황 최악 상황 지나…</t>
  </si>
  <si>
    <t>82378</t>
  </si>
  <si>
    <t>북미 매출/수주 확대, 증설 가속화로 저평가 요소 축소</t>
  </si>
  <si>
    <t>82377</t>
  </si>
  <si>
    <t>본 게임은 하반기부터</t>
  </si>
  <si>
    <t>82376</t>
  </si>
  <si>
    <t>1Q25 리뷰: 실적 개선세와 신사업 주목</t>
  </si>
  <si>
    <t>82375</t>
  </si>
  <si>
    <t>1Q25 Review: 비용 감축 지속</t>
  </si>
  <si>
    <t>82374</t>
  </si>
  <si>
    <t>요원한 자본비율 개선</t>
  </si>
  <si>
    <t>82373</t>
  </si>
  <si>
    <t>양호한 자산건전성으로 호실적 달성</t>
  </si>
  <si>
    <t>82372</t>
  </si>
  <si>
    <t>봄의 제주도, 재밌지?</t>
  </si>
  <si>
    <t>82371</t>
  </si>
  <si>
    <t>더욱 구체적이고 가시적인 방향성</t>
  </si>
  <si>
    <t>82370</t>
  </si>
  <si>
    <t>사이클은 살아있다</t>
  </si>
  <si>
    <t>82369</t>
  </si>
  <si>
    <t>업황은 안 좋은데 내가 잘했지</t>
  </si>
  <si>
    <t>82368</t>
  </si>
  <si>
    <t>1Q25 Review: 수익성 개선세 긍정적</t>
  </si>
  <si>
    <t>82367</t>
  </si>
  <si>
    <t>기대보다 더 좋습니다</t>
  </si>
  <si>
    <t>82366</t>
  </si>
  <si>
    <t>앞서가는 AS, 따라가는 모듈/핵심부품</t>
  </si>
  <si>
    <t>82365</t>
  </si>
  <si>
    <t>미국법인 고성장 확인</t>
  </si>
  <si>
    <t>82364</t>
  </si>
  <si>
    <t>004090</t>
  </si>
  <si>
    <t>한국석유</t>
  </si>
  <si>
    <t>성장과 내실경영을 추구하는 석유공업제품 전문회사</t>
  </si>
  <si>
    <t>82363</t>
  </si>
  <si>
    <t>재기를 준비하는 시간</t>
  </si>
  <si>
    <t>82362</t>
  </si>
  <si>
    <t>&lt;킹덤&gt; 역주행과 신작 &lt;오븐스매시&gt;</t>
  </si>
  <si>
    <t>82361</t>
  </si>
  <si>
    <t>1Q25 Review: 계획대로 가는 중</t>
  </si>
  <si>
    <t>82360</t>
  </si>
  <si>
    <t>Worst 시나리오를 대비한 예방 주사</t>
  </si>
  <si>
    <t>82359</t>
  </si>
  <si>
    <t>완만한 회복 및 신사업 순항</t>
  </si>
  <si>
    <t>82358</t>
  </si>
  <si>
    <t>안정적인 이익체력 유지</t>
  </si>
  <si>
    <t>82357</t>
  </si>
  <si>
    <t>1Q252 Review: 1분기 부진을 만회할 2분기</t>
  </si>
  <si>
    <t>82356</t>
  </si>
  <si>
    <t>1Q25 Review: 부품. A/S 부문의 추세적 개선세 입증</t>
  </si>
  <si>
    <t>82355</t>
  </si>
  <si>
    <t>1Q25 Re 호실적 수주 성장까지</t>
  </si>
  <si>
    <t>82354</t>
  </si>
  <si>
    <t>지역 경기 부진의 여파</t>
  </si>
  <si>
    <t>82353</t>
  </si>
  <si>
    <t>1Q25 리뷰: 핵심 고객사와 중국에 주목</t>
  </si>
  <si>
    <t>82352</t>
  </si>
  <si>
    <t>82351</t>
  </si>
  <si>
    <t>1Q25 Review: 수익성 둔화, 관세 리스크 해소 필요</t>
  </si>
  <si>
    <t>82350</t>
  </si>
  <si>
    <t>1분기 저점 확인</t>
  </si>
  <si>
    <t>82349</t>
  </si>
  <si>
    <t>바닥을 지나가는 구간, 단기 저점 매수 유효</t>
  </si>
  <si>
    <t>82348</t>
  </si>
  <si>
    <t>NDR 후기: 기대해도 좋을 2분기</t>
  </si>
  <si>
    <t>82347</t>
  </si>
  <si>
    <t>부품에 대한 미 관세는 조금더 긍정적으로 봐야</t>
  </si>
  <si>
    <t>82346</t>
  </si>
  <si>
    <t>시내점 경쟁 완화 고무적</t>
  </si>
  <si>
    <t>82345</t>
  </si>
  <si>
    <t>1Q25 Pre: 올해가 진짜 중요하다</t>
  </si>
  <si>
    <t>82344</t>
  </si>
  <si>
    <t>관세 영향권, 불확실성 증대 구간</t>
  </si>
  <si>
    <t>82343</t>
  </si>
  <si>
    <t>불황에도 강한 글로벌 1위</t>
  </si>
  <si>
    <t>82342</t>
  </si>
  <si>
    <t>예견됐던 흔들림. 하반기 이후가 중요</t>
  </si>
  <si>
    <t>82341</t>
  </si>
  <si>
    <t>관세와 EV전환에 따른 수익성 하락을 극복해야</t>
  </si>
  <si>
    <t>82340</t>
  </si>
  <si>
    <t>업황 개선은 언제쯤?</t>
  </si>
  <si>
    <t>82339</t>
  </si>
  <si>
    <t>82338</t>
  </si>
  <si>
    <t>건전성 관리 능력 증명</t>
  </si>
  <si>
    <t>82337</t>
  </si>
  <si>
    <t>2Q25 영업이익 9.1조원 전망</t>
  </si>
  <si>
    <t>82336</t>
  </si>
  <si>
    <t>다다익선 수주가 동사 실적개선 가속화로 연결</t>
  </si>
  <si>
    <t>82335</t>
  </si>
  <si>
    <t>자사주 소각 의무화로 가는 길목에서</t>
  </si>
  <si>
    <t>82334</t>
  </si>
  <si>
    <t>충당금비용 증가로 실적 부진, 분기배당 실행</t>
  </si>
  <si>
    <t>82333</t>
  </si>
  <si>
    <t>안정적이고 꾸준한 이익증가세</t>
  </si>
  <si>
    <t>82332</t>
  </si>
  <si>
    <t>대규모 일회성 비용, 지본비율은 크게 상승</t>
  </si>
  <si>
    <t>82331</t>
  </si>
  <si>
    <t>필러수출 고성장→성장성 및 수익성 개선 가속화</t>
  </si>
  <si>
    <t>82330</t>
  </si>
  <si>
    <t>적극적인 주주환원으로 높아진 밸류에이션 매력</t>
  </si>
  <si>
    <t>82329</t>
  </si>
  <si>
    <t>1Q25 바닥으로 점진적인 실적 회복세 전망</t>
  </si>
  <si>
    <t>82328</t>
  </si>
  <si>
    <t>어려운 환경이지만 안정적으로 관리 중</t>
  </si>
  <si>
    <t>82327</t>
  </si>
  <si>
    <t>파종의 시기</t>
  </si>
  <si>
    <t>82326</t>
  </si>
  <si>
    <t>비용관리로 높은 이익증가율, 주주환원율 상승 중</t>
  </si>
  <si>
    <t>82325</t>
  </si>
  <si>
    <t>높은 이익증가율, 주주환원 강화 중</t>
  </si>
  <si>
    <t>82324</t>
  </si>
  <si>
    <t>이익증가와 자본비율 상승, 추가 주주환원 기대</t>
  </si>
  <si>
    <t>82323</t>
  </si>
  <si>
    <t>비용증가로 일시적 실적 부진</t>
  </si>
  <si>
    <t>82322</t>
  </si>
  <si>
    <t>깔끔한 대손비용 관리</t>
  </si>
  <si>
    <t>82321</t>
  </si>
  <si>
    <t>급격한 건전성 악화</t>
  </si>
  <si>
    <t>82320</t>
  </si>
  <si>
    <t>양호한 실적. 공공성이 요구되는 국면은 부담</t>
  </si>
  <si>
    <t>82319</t>
  </si>
  <si>
    <t>재개되는 월드투어와 실적 개선 기대</t>
  </si>
  <si>
    <t>82318</t>
  </si>
  <si>
    <t>1Q25 Review: 저수익 사업장 준공, 고수익 자체사업 시작</t>
  </si>
  <si>
    <t>82317</t>
  </si>
  <si>
    <t>1Q25 프리뷰: 컨센서스 소폭 하회</t>
  </si>
  <si>
    <t>82316</t>
  </si>
  <si>
    <t>1Q25 Review: 컨센 상회하는 실적 기록</t>
  </si>
  <si>
    <t>82315</t>
  </si>
  <si>
    <t>태양전지 공급과잉에 시간이 더 필요해!</t>
  </si>
  <si>
    <t>82314</t>
  </si>
  <si>
    <t>현실화된 우려</t>
  </si>
  <si>
    <t>82313</t>
  </si>
  <si>
    <t>바닥 확인은 끝났다</t>
  </si>
  <si>
    <t>82312</t>
  </si>
  <si>
    <t>1H25 예상 영업이익 16조원 vs. 트럼프</t>
  </si>
  <si>
    <t>82311</t>
  </si>
  <si>
    <t>악재에는 둔감해지고, 긍정적 변화는 다가오는 중</t>
  </si>
  <si>
    <t>82310</t>
  </si>
  <si>
    <t>[1Q25 Review] 현재 시총 48조원, 향후 3년간 자사주 매입 4조원</t>
  </si>
  <si>
    <t>82309</t>
  </si>
  <si>
    <t>태양광 사업부 본격 턴어라운드</t>
  </si>
  <si>
    <t>82308</t>
  </si>
  <si>
    <t>차근차근 개선되는 중</t>
  </si>
  <si>
    <t>82307</t>
  </si>
  <si>
    <t>연간 환원율 45%에 근접할 전망</t>
  </si>
  <si>
    <t>82306</t>
  </si>
  <si>
    <t>클라우드 성장성 회복</t>
  </si>
  <si>
    <t>82305</t>
  </si>
  <si>
    <t>만회를 넘어 자신감을 드러낸 의사결정</t>
  </si>
  <si>
    <t>82304</t>
  </si>
  <si>
    <t>[1Q25 Review] 엔진으로 지켜낸 수익성</t>
  </si>
  <si>
    <t>82303</t>
  </si>
  <si>
    <t>1Q25 Review : HBM이 만들어낸 격차</t>
  </si>
  <si>
    <t>82302</t>
  </si>
  <si>
    <t>[1Q25 Review] 아래보단 위를 볼 때</t>
  </si>
  <si>
    <t>82301</t>
  </si>
  <si>
    <t>멀티플 상향조건 충족하여 목표주가 20만원으로 상향</t>
  </si>
  <si>
    <t>82300</t>
  </si>
  <si>
    <t>관세 대응 능력이 관건</t>
  </si>
  <si>
    <t>82299</t>
  </si>
  <si>
    <t>미포 4Q24 실적 후처럼 설마 파시는 건 아니죠?</t>
  </si>
  <si>
    <t>82298</t>
  </si>
  <si>
    <t>1분기 최대 이익 그러나 안개주의보</t>
  </si>
  <si>
    <t>82297</t>
  </si>
  <si>
    <t>1Q25 Re: 역시 전교 1등</t>
  </si>
  <si>
    <t>82296</t>
  </si>
  <si>
    <t>시간이 소요될 구조적 변화</t>
  </si>
  <si>
    <t>82295</t>
  </si>
  <si>
    <t>상저하고, 진짜로</t>
  </si>
  <si>
    <t>82294</t>
  </si>
  <si>
    <t>1Q니까</t>
  </si>
  <si>
    <t>82293</t>
  </si>
  <si>
    <t>불확실성에도 안정적인 실적</t>
  </si>
  <si>
    <t>82292</t>
  </si>
  <si>
    <t>두 가지 호재. 약 2년 만에 투자의견 상향</t>
  </si>
  <si>
    <t>82291</t>
  </si>
  <si>
    <t>관세 영향 선반영</t>
  </si>
  <si>
    <t>82290</t>
  </si>
  <si>
    <t>1Q25 Pre: 성장성 업그레이드</t>
  </si>
  <si>
    <t>82289</t>
  </si>
  <si>
    <t>양극재 출하 QoQ 증가 전환, 주가 하방 압력 제한적</t>
  </si>
  <si>
    <t>82288</t>
  </si>
  <si>
    <t>확실하게 달라진 DRAM 경쟁력</t>
  </si>
  <si>
    <t>82287</t>
  </si>
  <si>
    <t>감소하는 비화공, 새로운 화공 입찰 프로젝트</t>
  </si>
  <si>
    <t>82286</t>
  </si>
  <si>
    <t>다소 부진한 실적. 전 계열사에서 건전성이 악화</t>
  </si>
  <si>
    <t>82285</t>
  </si>
  <si>
    <t>자회사 상장과 본업의 성장성</t>
  </si>
  <si>
    <t>82284</t>
  </si>
  <si>
    <t>하이브리드차 시작</t>
  </si>
  <si>
    <t>82283</t>
  </si>
  <si>
    <t>관세 영향을 선반영. 위험-수익 기준에서 상방이 크다</t>
  </si>
  <si>
    <t>82282</t>
  </si>
  <si>
    <t>1Q25 예상했던 수준의 영업실적 달성</t>
  </si>
  <si>
    <t>82281</t>
  </si>
  <si>
    <t>2분기부터 점진적인 영업실적 개선 전망</t>
  </si>
  <si>
    <t>82280</t>
  </si>
  <si>
    <t>82279</t>
  </si>
  <si>
    <t>관세 영향. 실적으로 증명할 구간</t>
  </si>
  <si>
    <t>82278</t>
  </si>
  <si>
    <t>1분기 실적 저점 확인, 업황 개선 전망</t>
  </si>
  <si>
    <t>82277</t>
  </si>
  <si>
    <t>철강 부문은 긍정적, 시간이 필요한 리튬 손익</t>
  </si>
  <si>
    <t>82276</t>
  </si>
  <si>
    <t>비화공, 매출도 수주도 실망</t>
  </si>
  <si>
    <t>82275</t>
  </si>
  <si>
    <t>절대적으로 싸지만 유연한 대응이 필요한 구간</t>
  </si>
  <si>
    <t>82274</t>
  </si>
  <si>
    <t>1Q25 Review - 예상 수준의 실적</t>
  </si>
  <si>
    <t>82273</t>
  </si>
  <si>
    <t>이익 서프라이즈, 클라우드 호조</t>
  </si>
  <si>
    <t>82272</t>
  </si>
  <si>
    <t>1Q25 Review: 차별화된 실적과 불확실한 현실 사이</t>
  </si>
  <si>
    <t>82271</t>
  </si>
  <si>
    <t>1Q25 리뷰: 양호한 실적, 관세/미국 주목</t>
  </si>
  <si>
    <t>82270</t>
  </si>
  <si>
    <t>글로벌 세 번째 계약 성사</t>
  </si>
  <si>
    <t>82269</t>
  </si>
  <si>
    <t>악재보다 호재에 예민할 주가</t>
  </si>
  <si>
    <t>82268</t>
  </si>
  <si>
    <t>82267</t>
  </si>
  <si>
    <t>82266</t>
  </si>
  <si>
    <t>82265</t>
  </si>
  <si>
    <t>82264</t>
  </si>
  <si>
    <t>변동성 구간이나 저평가!</t>
  </si>
  <si>
    <t>82263</t>
  </si>
  <si>
    <t>82262</t>
  </si>
  <si>
    <t>1Q25 Review: 하반기 반등 기대</t>
  </si>
  <si>
    <t>82261</t>
  </si>
  <si>
    <t>1Q25 Preview: 선제품, 동남아 기대</t>
  </si>
  <si>
    <t>82260</t>
  </si>
  <si>
    <t>모듈 P &amp; Q 전망치 모두 상향</t>
  </si>
  <si>
    <t>82259</t>
  </si>
  <si>
    <t>1Q25 Preview: 국내, 미국 투트랙</t>
  </si>
  <si>
    <t>82258</t>
  </si>
  <si>
    <t>자사주 공백 기간 축소 긍정적</t>
  </si>
  <si>
    <t>82257</t>
  </si>
  <si>
    <t>1Q25 Review: 또 한단계 레벨업</t>
  </si>
  <si>
    <t>82256</t>
  </si>
  <si>
    <t>1Q25 Review - 턴어라운드 시작</t>
  </si>
  <si>
    <t>82255</t>
  </si>
  <si>
    <t>1분기는 예상 수준, 2분기는 둔화된 계절성</t>
  </si>
  <si>
    <t>82254</t>
  </si>
  <si>
    <t>1Q25 Review - 커져가는 기대감</t>
  </si>
  <si>
    <t>82253</t>
  </si>
  <si>
    <t>1Q25 Re: 정상적인 길을 묵묵히 가는 중</t>
  </si>
  <si>
    <t>82252</t>
  </si>
  <si>
    <t>수직계열화의 빈 칸, 웨이퍼</t>
  </si>
  <si>
    <t>82251</t>
  </si>
  <si>
    <t>배당주로 재평가</t>
  </si>
  <si>
    <t>82250</t>
  </si>
  <si>
    <t>1Q25 Review - 더 나빠질 건 없다</t>
  </si>
  <si>
    <t>82249</t>
  </si>
  <si>
    <t>잠시 물러서서 지켜보자</t>
  </si>
  <si>
    <t>82248</t>
  </si>
  <si>
    <t>1Q25 Review - (방금 가동한 이차전지 빼고) 점진적 개선세 확인 중</t>
  </si>
  <si>
    <t>82247</t>
  </si>
  <si>
    <t>1Q25: 항상 기대보다 빠른 개선</t>
  </si>
  <si>
    <t>82246</t>
  </si>
  <si>
    <t>외형 감소 불확실성 vs. 선반영된 주가</t>
  </si>
  <si>
    <t>82245</t>
  </si>
  <si>
    <t>1Q25: 전인미답의 길</t>
  </si>
  <si>
    <t>82244</t>
  </si>
  <si>
    <t>주가 반등 시점은 하반기</t>
  </si>
  <si>
    <t>82243</t>
  </si>
  <si>
    <t>드디어 양극재가 돌아섰다. 해치웠나?</t>
  </si>
  <si>
    <t>82242</t>
  </si>
  <si>
    <t>바닥은 확인, 불확실성은 여전</t>
  </si>
  <si>
    <t>82241</t>
  </si>
  <si>
    <t>예상보다 빠른 실적 개선 속도</t>
  </si>
  <si>
    <t>82240</t>
  </si>
  <si>
    <t>우려는 호실적으로 해소될 전망</t>
  </si>
  <si>
    <t>82239</t>
  </si>
  <si>
    <t>건전성 악화 우려 재차 확대</t>
  </si>
  <si>
    <t>82238</t>
  </si>
  <si>
    <t>우보만리(牛步萬里)</t>
  </si>
  <si>
    <t>82237</t>
  </si>
  <si>
    <t>1Q 양호한 실적 달성에도 웃을 수 없는 상황</t>
  </si>
  <si>
    <t>82236</t>
  </si>
  <si>
    <t>확실한 성장 동력 확인</t>
  </si>
  <si>
    <t>82235</t>
  </si>
  <si>
    <t>은행업종에 온기를 전하는 1분기 실적</t>
  </si>
  <si>
    <t>82234</t>
  </si>
  <si>
    <t>저점 통과 국면</t>
  </si>
  <si>
    <t>82233</t>
  </si>
  <si>
    <t>놀라운 생산성 향상으로 어닝 서프!</t>
  </si>
  <si>
    <t>82232</t>
  </si>
  <si>
    <t>&lt;붉은사막&gt; 기대감 반영 시작</t>
  </si>
  <si>
    <t>82231</t>
  </si>
  <si>
    <t>신사업과 주주환원으로 주가 우상향 전망</t>
  </si>
  <si>
    <t>82230</t>
  </si>
  <si>
    <t>1Q25 Review: 기대치 상회, 2분기가 관세 부담 가장 클 듯</t>
  </si>
  <si>
    <t>82229</t>
  </si>
  <si>
    <t>차질 없이 계획대로 순항 중</t>
  </si>
  <si>
    <t>82228</t>
  </si>
  <si>
    <t>바텀업 개선과 탑다운 우려</t>
  </si>
  <si>
    <t>82227</t>
  </si>
  <si>
    <t>연간 영업이익 추정치 9,810억원으로 상향</t>
  </si>
  <si>
    <t>82226</t>
  </si>
  <si>
    <t>적극적인 매매 결정이 어려운 시기</t>
  </si>
  <si>
    <t>82225</t>
  </si>
  <si>
    <t>반신반의한 것과 그래도 확실한 것의 공존</t>
  </si>
  <si>
    <t>82224</t>
  </si>
  <si>
    <t>시장의 기대를 계속 넘어설 것</t>
  </si>
  <si>
    <t>82223</t>
  </si>
  <si>
    <t>관세 영향은 온통 불확실</t>
  </si>
  <si>
    <t>82222</t>
  </si>
  <si>
    <t>경쟁력 강화와 가속화될 성장</t>
  </si>
  <si>
    <t>82221</t>
  </si>
  <si>
    <t>2H25 강력한 턴어라운드 기대</t>
  </si>
  <si>
    <t>82220</t>
  </si>
  <si>
    <t>서프라이즈로 답하다</t>
  </si>
  <si>
    <t>82219</t>
  </si>
  <si>
    <t>밸류에이션 하단에서는 매수</t>
  </si>
  <si>
    <t>82218</t>
  </si>
  <si>
    <t>82217</t>
  </si>
  <si>
    <t>유효한 상승 모멘텀</t>
  </si>
  <si>
    <t>82216</t>
  </si>
  <si>
    <t>양극재 판매량 증가 유효하나, 다소 높은 연간 기대치</t>
  </si>
  <si>
    <t>82215</t>
  </si>
  <si>
    <t>1분기 빅 서프라이즈 기록</t>
  </si>
  <si>
    <t>82214</t>
  </si>
  <si>
    <t>다시 한번 눈이 가는 건전성</t>
  </si>
  <si>
    <t>82213</t>
  </si>
  <si>
    <t>1Q25 Review_아직은 고진감래(苦盡甘來)의 고(苦)</t>
  </si>
  <si>
    <t>82212</t>
  </si>
  <si>
    <t>긍정적인 선제적 주주환원 시행</t>
  </si>
  <si>
    <t>82211</t>
  </si>
  <si>
    <t>모멘텀 대기 구간. 시선은 관세로</t>
  </si>
  <si>
    <t>82210</t>
  </si>
  <si>
    <t>올해는 보여준다고 했지</t>
  </si>
  <si>
    <t>82209</t>
  </si>
  <si>
    <t>DRAM 시장으로 본격 확대</t>
  </si>
  <si>
    <t>82208</t>
  </si>
  <si>
    <t>이제 시선은 오늘 밤 한-미 통상협의로</t>
  </si>
  <si>
    <t>82207</t>
  </si>
  <si>
    <t>북미 LNG 사업, 가시적 성과 기대</t>
  </si>
  <si>
    <t>82206</t>
  </si>
  <si>
    <t>차별화된 수익성</t>
  </si>
  <si>
    <t>82205</t>
  </si>
  <si>
    <t>250030</t>
  </si>
  <si>
    <t>진코스텍</t>
  </si>
  <si>
    <t>마스크팩 ODM/OEM전문기업</t>
  </si>
  <si>
    <t>82204</t>
  </si>
  <si>
    <t>102950</t>
  </si>
  <si>
    <t>아하</t>
  </si>
  <si>
    <t>에듀테크 선도 기업, 전기차 충전기 분야 사업 확장</t>
  </si>
  <si>
    <t>82203</t>
  </si>
  <si>
    <t>179530</t>
  </si>
  <si>
    <t>애드바이오텍</t>
  </si>
  <si>
    <t>산업 및 반려동물용 글로벌 면역항체 전문기업</t>
  </si>
  <si>
    <t>82202</t>
  </si>
  <si>
    <t>1Q25 Review: 불확실성은 매수 기회를 준다</t>
  </si>
  <si>
    <t>82201</t>
  </si>
  <si>
    <t>25년 내실, 26년 도약</t>
  </si>
  <si>
    <t>82200</t>
  </si>
  <si>
    <t>2025-04-24</t>
  </si>
  <si>
    <t>SK하이닉스 1Q25 컨퍼런스 콜</t>
  </si>
  <si>
    <t>82199</t>
  </si>
  <si>
    <t>모멘텀에 탄력적일 주가 레벨</t>
  </si>
  <si>
    <t>82198</t>
  </si>
  <si>
    <t>1Q25 Re: 기대를 넘는 서프라이즈</t>
  </si>
  <si>
    <t>82197</t>
  </si>
  <si>
    <t>수출 증가와 필리조선소의 콜라보</t>
  </si>
  <si>
    <t>82196</t>
  </si>
  <si>
    <t>2025년 실적의 버팀목은 기판소재와 전장부품</t>
  </si>
  <si>
    <t>82195</t>
  </si>
  <si>
    <t>분기 실적 변동성 축소 예상</t>
  </si>
  <si>
    <t>82194</t>
  </si>
  <si>
    <t>1Q25 서프라이즈. 연간 추정치 상향</t>
  </si>
  <si>
    <t>82193</t>
  </si>
  <si>
    <t>제비가 물고 올 박씨들</t>
  </si>
  <si>
    <t>82192</t>
  </si>
  <si>
    <t>건설기계 포트폴리오 내 방어주</t>
  </si>
  <si>
    <t>82191</t>
  </si>
  <si>
    <t>해외! 해외! 해외!</t>
  </si>
  <si>
    <t>82190</t>
  </si>
  <si>
    <t>1Q25Re: 이번 분기도 분기 최대 실적</t>
  </si>
  <si>
    <t>82189</t>
  </si>
  <si>
    <t>고환율 최대 수혜주</t>
  </si>
  <si>
    <t>82188</t>
  </si>
  <si>
    <t>1Q 호조, 저평가 초점 &gt; 2H 실적 개선</t>
  </si>
  <si>
    <t>82187</t>
  </si>
  <si>
    <t xml:space="preserve"> 시장 기대치 상회</t>
  </si>
  <si>
    <t>82186</t>
  </si>
  <si>
    <t>높아진 기대치를 대폭 상회하는 호실적</t>
  </si>
  <si>
    <t>82185</t>
  </si>
  <si>
    <t>관세도 날 막지 못 해</t>
  </si>
  <si>
    <t>82184</t>
  </si>
  <si>
    <t>2분기부터 보여줄 것이 많다</t>
  </si>
  <si>
    <t>82183</t>
  </si>
  <si>
    <t>밸류에이션 콜</t>
  </si>
  <si>
    <t>82182</t>
  </si>
  <si>
    <t>눈에 보이는 것, 보이지 않는 것</t>
  </si>
  <si>
    <t>82181</t>
  </si>
  <si>
    <t>1Q25 Re: 역대 최대 실적, 컨센 36% 상회</t>
  </si>
  <si>
    <t>82180</t>
  </si>
  <si>
    <t>태풍의 눈</t>
  </si>
  <si>
    <t>82179</t>
  </si>
  <si>
    <t>신규 매출 기대감과 공백 우려 공존</t>
  </si>
  <si>
    <t>82178</t>
  </si>
  <si>
    <t>1Q25P Review: 돋보이는 성장세</t>
  </si>
  <si>
    <t>82177</t>
  </si>
  <si>
    <t>1Q25 Review: 기대 이상의 실적</t>
  </si>
  <si>
    <t>82176</t>
  </si>
  <si>
    <t>단기보다 중장기 체력 확보 필요</t>
  </si>
  <si>
    <t>82175</t>
  </si>
  <si>
    <t>개발 및 IP 확보 역량 여전히 의문</t>
  </si>
  <si>
    <t>82174</t>
  </si>
  <si>
    <t>&lt;P의거짓&gt; DLC 기대감 반영 시작</t>
  </si>
  <si>
    <t>82173</t>
  </si>
  <si>
    <t>2026년을 기대하며</t>
  </si>
  <si>
    <t>82172</t>
  </si>
  <si>
    <t>실적, 주가 모두 저점 통과</t>
  </si>
  <si>
    <t>82171</t>
  </si>
  <si>
    <t>1Q25 실적 서프라이즈, 전년비 +40% 성장</t>
  </si>
  <si>
    <t>82170</t>
  </si>
  <si>
    <t>플러스스토어 실적 기여 시점 주목</t>
  </si>
  <si>
    <t>82169</t>
  </si>
  <si>
    <t>아이폰 패닉바잉과 LG이노텍 패닉셀링</t>
  </si>
  <si>
    <t>82168</t>
  </si>
  <si>
    <t>달아요! 실적 달아요~</t>
  </si>
  <si>
    <t>82167</t>
  </si>
  <si>
    <t>기대 이상의 1분기, 하반기 불확실성은 여전</t>
  </si>
  <si>
    <t>82166</t>
  </si>
  <si>
    <t>매력적인 구간</t>
  </si>
  <si>
    <t>82165</t>
  </si>
  <si>
    <t>1분기 승리 요인은 수출</t>
  </si>
  <si>
    <t>82164</t>
  </si>
  <si>
    <t>캐즘 딛고 다시 성장</t>
  </si>
  <si>
    <t>82163</t>
  </si>
  <si>
    <t>1Q 부진, 2Q부터 반등 기대</t>
  </si>
  <si>
    <t>82162</t>
  </si>
  <si>
    <t>25년 최상의 시나리오: Q 증가, P 상승, (일회성) C 축소</t>
  </si>
  <si>
    <t>82161</t>
  </si>
  <si>
    <t>2025-04-23</t>
  </si>
  <si>
    <t>1분기 실적, 건설 부진에도 컨센서스 부합 추정</t>
  </si>
  <si>
    <t>82160</t>
  </si>
  <si>
    <t>448280</t>
  </si>
  <si>
    <t>에코아이</t>
  </si>
  <si>
    <t>탄소배출권 정책 변화에 따른 최대 수혜</t>
  </si>
  <si>
    <t>82159</t>
  </si>
  <si>
    <t>예상보다 컸던 원가 상승</t>
  </si>
  <si>
    <t>82158</t>
  </si>
  <si>
    <t>단단한 실적</t>
  </si>
  <si>
    <t>82157</t>
  </si>
  <si>
    <t>외국인 지분율이 상향되는 이유</t>
  </si>
  <si>
    <t>82156</t>
  </si>
  <si>
    <t>저평가는 심화, 2Q 흑자전환 전망</t>
  </si>
  <si>
    <t>82155</t>
  </si>
  <si>
    <t>1Q 부진하나 2Q 회복 예상</t>
  </si>
  <si>
    <t>82154</t>
  </si>
  <si>
    <t>올리브영 역성장 우려 과도</t>
  </si>
  <si>
    <t>82153</t>
  </si>
  <si>
    <t>서프라이즈는 없었지만, 과도 한 주가 하락</t>
  </si>
  <si>
    <t>82152</t>
  </si>
  <si>
    <t>가파른 성장 후 점진적인 탄력</t>
  </si>
  <si>
    <t>82151</t>
  </si>
  <si>
    <t>1Q25 Preview: 물동량 감소로 이익 감소 예상</t>
  </si>
  <si>
    <t>82150</t>
  </si>
  <si>
    <t>분기 매출액 1조원 달성</t>
  </si>
  <si>
    <t>82149</t>
  </si>
  <si>
    <t>관세 우려 속 실적 개선 진행 중</t>
  </si>
  <si>
    <t>82148</t>
  </si>
  <si>
    <t>NC is starving</t>
  </si>
  <si>
    <t>82147</t>
  </si>
  <si>
    <t>키맞추기 국면, de-rating 부담 가중</t>
  </si>
  <si>
    <t>82146</t>
  </si>
  <si>
    <t>관세 영향 및 희토류 신사업이 관전 포인트</t>
  </si>
  <si>
    <t>82145</t>
  </si>
  <si>
    <t>실적은 기대치를 상회, 수주는 하회</t>
  </si>
  <si>
    <t>82144</t>
  </si>
  <si>
    <t>1Q25 Pre: 원전 때문에 빠지면 사세요</t>
  </si>
  <si>
    <t>82143</t>
  </si>
  <si>
    <t>다시 불어오는 순풍</t>
  </si>
  <si>
    <t>82142</t>
  </si>
  <si>
    <t>우호적인 사업환경 지속</t>
  </si>
  <si>
    <t>82141</t>
  </si>
  <si>
    <t>1Q25 Re 호황과 우려 사이 시험대, 긍정에 무게</t>
  </si>
  <si>
    <t>82140</t>
  </si>
  <si>
    <t>코넥스 시장에 상장된 Wiring Harness Assembly 전문 업</t>
  </si>
  <si>
    <t>82139</t>
  </si>
  <si>
    <t>레인지 후드 1위 업체</t>
  </si>
  <si>
    <t>82138</t>
  </si>
  <si>
    <t>2025-04-22</t>
  </si>
  <si>
    <t>실적은 성장, 주가 상승 위한 트리거 필요</t>
  </si>
  <si>
    <t>82137</t>
  </si>
  <si>
    <t>도약을 위한 한 걸음</t>
  </si>
  <si>
    <t>82136</t>
  </si>
  <si>
    <t>결전이 벌어질 2분기</t>
  </si>
  <si>
    <t>82135</t>
  </si>
  <si>
    <t>다시 시작될 성장</t>
  </si>
  <si>
    <t>82134</t>
  </si>
  <si>
    <t>이제 다시 실적 성장 구간</t>
  </si>
  <si>
    <t>82133</t>
  </si>
  <si>
    <t>2분기부터 체질 개선 기대</t>
  </si>
  <si>
    <t>82132</t>
  </si>
  <si>
    <t>[1Q25 Preview] 판가 인상 효과 vs. 관세/원자재가 불확실성</t>
  </si>
  <si>
    <t>82131</t>
  </si>
  <si>
    <t>[1Q25 Preview] 유럽/북미 물량 개선 vs. 관세/원자재가 불확실성</t>
  </si>
  <si>
    <t>82130</t>
  </si>
  <si>
    <t>[1Q25 Preview] 현지 생산 확대 vs. 관세/원자재가 불확실성</t>
  </si>
  <si>
    <t>82129</t>
  </si>
  <si>
    <t>아쉬움 속 성장 기조 유지</t>
  </si>
  <si>
    <t>82128</t>
  </si>
  <si>
    <t>다가오는 증설의 시기</t>
  </si>
  <si>
    <t>82127</t>
  </si>
  <si>
    <t>2Q25부터 진짜 게임 시작</t>
  </si>
  <si>
    <t>82126</t>
  </si>
  <si>
    <t xml:space="preserve">  락바텀 측면에서 접근유효</t>
  </si>
  <si>
    <t>82125</t>
  </si>
  <si>
    <t>3년 만의 수주 반등</t>
  </si>
  <si>
    <t>82124</t>
  </si>
  <si>
    <t>규제 개선을 기다리며</t>
  </si>
  <si>
    <t>82123</t>
  </si>
  <si>
    <t>꾸준한 실적 성장에 더해지는 수주 기대감</t>
  </si>
  <si>
    <t>82122</t>
  </si>
  <si>
    <t>One-off 영향에도 펀더멘털 우려는 제한적</t>
  </si>
  <si>
    <t>82121</t>
  </si>
  <si>
    <t>1Q25: 엔진 가동은 이제 시작</t>
  </si>
  <si>
    <t>82120</t>
  </si>
  <si>
    <t>불확실성에도 북미 지역 성장 지속</t>
  </si>
  <si>
    <t>82119</t>
  </si>
  <si>
    <t>올해는 1분기가 저점</t>
  </si>
  <si>
    <t>82118</t>
  </si>
  <si>
    <t>[1Q25 Pre] 1H25 신규 수주가 매우 중요</t>
  </si>
  <si>
    <t>82117</t>
  </si>
  <si>
    <t>1Q25 Re 1분기가 바닥, 구조적 성장 시작</t>
  </si>
  <si>
    <t>82116</t>
  </si>
  <si>
    <t>소재 업종 Top-pick</t>
  </si>
  <si>
    <t>82115</t>
  </si>
  <si>
    <t>ASP 상승효과 및 AM 성장 확인</t>
  </si>
  <si>
    <t>82114</t>
  </si>
  <si>
    <t>반도체 장비 포트폴리오 다변화 전개</t>
  </si>
  <si>
    <t>82113</t>
  </si>
  <si>
    <t>2025-04-21</t>
  </si>
  <si>
    <t>제주은행 지분 인수, 인터넷 뱅킹 계속된다</t>
  </si>
  <si>
    <t>82112</t>
  </si>
  <si>
    <t>컬리 제휴 시나리오 및 영향 점검</t>
  </si>
  <si>
    <t>82111</t>
  </si>
  <si>
    <t>불확실성과 변동성을 줄이는 최선의 지름길</t>
  </si>
  <si>
    <t>82110</t>
  </si>
  <si>
    <t>컬리 제휴 발표, 커머스의 빈 퍼즐 조각을 매우는 결정</t>
  </si>
  <si>
    <t>82109</t>
  </si>
  <si>
    <t>네이버가 찾은 신선식품 퍼즐 조각 ‘컬리’</t>
  </si>
  <si>
    <t>82108</t>
  </si>
  <si>
    <t xml:space="preserve">USTR, 중국 해운 조선 규제 발표 - 원안 대비 규제 완화 </t>
  </si>
  <si>
    <t>82107</t>
  </si>
  <si>
    <t>1Q 양호한 홀드율로 기대치 상회 전망</t>
  </si>
  <si>
    <t>82106</t>
  </si>
  <si>
    <t>올해는 홀드율이 좋네요</t>
  </si>
  <si>
    <t>82105</t>
  </si>
  <si>
    <t>개선의 여지가 많아? 오히려 좋아</t>
  </si>
  <si>
    <t>82104</t>
  </si>
  <si>
    <t>하반기를 바라보자</t>
  </si>
  <si>
    <t>82103</t>
  </si>
  <si>
    <t>가랑비에 옷 젖듯 다가온 성장</t>
  </si>
  <si>
    <t>82102</t>
  </si>
  <si>
    <t>원전 및 HRSG 수주 확대로 성장성 가속화</t>
  </si>
  <si>
    <t>82101</t>
  </si>
  <si>
    <t>보여줄 게 많은데 시간이 필요할 뿐</t>
  </si>
  <si>
    <t>82100</t>
  </si>
  <si>
    <t>82099</t>
  </si>
  <si>
    <t>해외원전 수주 대폭 확대 및 SMR 성장성 가시화</t>
  </si>
  <si>
    <t>82098</t>
  </si>
  <si>
    <t>통영에코파워 히든밸류 레벨업 → 동사 주가 상승 모멘텀</t>
  </si>
  <si>
    <t>82097</t>
  </si>
  <si>
    <t>업황 부진은 없다</t>
  </si>
  <si>
    <t>82096</t>
  </si>
  <si>
    <t>1Q25 Pre: 수주로 믿음을 줘야 한다</t>
  </si>
  <si>
    <t>82095</t>
  </si>
  <si>
    <t>1Q25 Pre: 바위처럼 단단하게</t>
  </si>
  <si>
    <t>82094</t>
  </si>
  <si>
    <t>K-에스테틱의 다크호스</t>
  </si>
  <si>
    <t>82093</t>
  </si>
  <si>
    <t>황제주 등극 초읽기</t>
  </si>
  <si>
    <t>82092</t>
  </si>
  <si>
    <t>단기 실적 부진 지속되나, 신규 고객 확보는 긍정적</t>
  </si>
  <si>
    <t>82091</t>
  </si>
  <si>
    <t>게임 업종 대안주</t>
  </si>
  <si>
    <t>82090</t>
  </si>
  <si>
    <t>네이버와 컬리, 어쨌든 윈-윈</t>
  </si>
  <si>
    <t>82089</t>
  </si>
  <si>
    <t>오리온그룹 레벨업!</t>
  </si>
  <si>
    <t>82088</t>
  </si>
  <si>
    <t>2025-04-18</t>
  </si>
  <si>
    <t>1Q25 Pre: 업황과 무관하게 힘내는 중</t>
  </si>
  <si>
    <t>82087</t>
  </si>
  <si>
    <t>수익성 개선과 포트폴리오 다각화 동시 진행</t>
  </si>
  <si>
    <t>82086</t>
  </si>
  <si>
    <t>나스미디어</t>
  </si>
  <si>
    <t>결실이 기대되는 2025년</t>
  </si>
  <si>
    <t>82085</t>
  </si>
  <si>
    <t>4년만에 NB라텍스 업황 턴어라운드 시작된다!</t>
  </si>
  <si>
    <t>82084</t>
  </si>
  <si>
    <t xml:space="preserve">고부가 수주 확대, 실적 레벨업의 전조 </t>
  </si>
  <si>
    <t>82083</t>
  </si>
  <si>
    <t>1Q25 Preview: 무풍을 넘어선 훈풍</t>
  </si>
  <si>
    <t>82082</t>
  </si>
  <si>
    <t>클라우드와 AI를 무장한 확실한 강자</t>
  </si>
  <si>
    <t>82081</t>
  </si>
  <si>
    <t>저평가 심화 속에 신성장(FC BGA) 확대 추진</t>
  </si>
  <si>
    <t>82080</t>
  </si>
  <si>
    <t>MLB는 미중분쟁 환경에서 쇼티지 심화</t>
  </si>
  <si>
    <t>82079</t>
  </si>
  <si>
    <t>분기 실적은 이상 무</t>
  </si>
  <si>
    <t>82078</t>
  </si>
  <si>
    <t>반환점을 앞둔 1분기</t>
  </si>
  <si>
    <t>82077</t>
  </si>
  <si>
    <t>1분기 컨센서스 상회 전망</t>
  </si>
  <si>
    <t>82076</t>
  </si>
  <si>
    <t>NDR 요약: 내부 목표 명확하다</t>
  </si>
  <si>
    <t>82075</t>
  </si>
  <si>
    <t xml:space="preserve">고민이 깊어지는 시점 </t>
  </si>
  <si>
    <t>82074</t>
  </si>
  <si>
    <t>060380</t>
  </si>
  <si>
    <t>동양에스텍</t>
  </si>
  <si>
    <t>철강재 가공 및 고성능 건설 자재 제조 전문기업</t>
  </si>
  <si>
    <t>82073</t>
  </si>
  <si>
    <t>기업 ICT 인프라 전문기업</t>
  </si>
  <si>
    <t>82072</t>
  </si>
  <si>
    <t>비균일 선형 안테나 배치 기술 기반의 4D 이미징 레이더 전문 기업</t>
  </si>
  <si>
    <t>82071</t>
  </si>
  <si>
    <t>2025-04-17</t>
  </si>
  <si>
    <t>전장 엎고 튀어</t>
  </si>
  <si>
    <t>82070</t>
  </si>
  <si>
    <t>지금 가격에서는 해볼만</t>
  </si>
  <si>
    <t>82069</t>
  </si>
  <si>
    <t>선순환 진행 중</t>
  </si>
  <si>
    <t>82068</t>
  </si>
  <si>
    <t>1Q24와 유사하게 시작할 1Q25</t>
  </si>
  <si>
    <t>82067</t>
  </si>
  <si>
    <t>나혼렙을 이을 신작 필요</t>
  </si>
  <si>
    <t>82066</t>
  </si>
  <si>
    <t>컨센서스 상회 추정, 다가오는 붉은사막</t>
  </si>
  <si>
    <t>82065</t>
  </si>
  <si>
    <t>2가지 신규 사업 기여를 기대</t>
  </si>
  <si>
    <t>82064</t>
  </si>
  <si>
    <t>82063</t>
  </si>
  <si>
    <t>1Q25 Preview: 시장기대치 부합 예상</t>
  </si>
  <si>
    <t>82062</t>
  </si>
  <si>
    <t>마진 좋은 제품 성장으로 흑자전환 예상</t>
  </si>
  <si>
    <t>82061</t>
  </si>
  <si>
    <t>락바텀 측면에서 접근유효</t>
  </si>
  <si>
    <t>82060</t>
  </si>
  <si>
    <t>자동화와 공급망 변화의 구조적 성장</t>
  </si>
  <si>
    <t>82059</t>
  </si>
  <si>
    <t>전차 강국, 우리가 만들어준다</t>
  </si>
  <si>
    <t>82058</t>
  </si>
  <si>
    <t>서진시스템, 관세를 크게 걱정하지 않는 이유 (미국 공장 이미 준비되어 있습니다)</t>
  </si>
  <si>
    <t>82057</t>
  </si>
  <si>
    <t>본사 중심 성과 높일 필요</t>
  </si>
  <si>
    <t>82056</t>
  </si>
  <si>
    <t>자회사 밸류에 대한 고찰</t>
  </si>
  <si>
    <t>82055</t>
  </si>
  <si>
    <t>실적 하회 예상되나, 기반영. 향후 회복 기대</t>
  </si>
  <si>
    <t>82054</t>
  </si>
  <si>
    <t>B2C 프리미엄을 정당화하기 어려운 시기</t>
  </si>
  <si>
    <t>82053</t>
  </si>
  <si>
    <t>2025-04-16</t>
  </si>
  <si>
    <t>실망보다는 다가오는 성장에 기대</t>
  </si>
  <si>
    <t>82052</t>
  </si>
  <si>
    <t>1Q25 Preview: 시장예상치 상회 전망</t>
  </si>
  <si>
    <t>82051</t>
  </si>
  <si>
    <t>3월 Re: 매출 성장률 반등 #성공적</t>
  </si>
  <si>
    <t>82050</t>
  </si>
  <si>
    <t>서서히 이익 개선 구간으로 돌입!</t>
  </si>
  <si>
    <t>82049</t>
  </si>
  <si>
    <t>바닥 찍었다, 이젠 오를 일만 남았다</t>
  </si>
  <si>
    <t>82048</t>
  </si>
  <si>
    <t>본격 실적 개선 궤도에 올라탄 듯</t>
  </si>
  <si>
    <t>82047</t>
  </si>
  <si>
    <t>분기 배당금 상향, 이젠 가뿐히 6만원 돌파 시도 예상</t>
  </si>
  <si>
    <t>82046</t>
  </si>
  <si>
    <t>방산과 조선, 투 트랙</t>
  </si>
  <si>
    <t>82045</t>
  </si>
  <si>
    <t>[1Q25 Preview] 사업 규모 축소 영향 지속</t>
  </si>
  <si>
    <t>82044</t>
  </si>
  <si>
    <t>진천 통합센터 투자 및 3월 실적 코멘트</t>
  </si>
  <si>
    <t>82043</t>
  </si>
  <si>
    <t>[NDR후기] 암중모색(暗中摸索)</t>
  </si>
  <si>
    <t>82042</t>
  </si>
  <si>
    <t>중국이 업사이드 리스크</t>
  </si>
  <si>
    <t>82041</t>
  </si>
  <si>
    <t>늦은 스타트, 성장 기대감 유효</t>
  </si>
  <si>
    <t>82040</t>
  </si>
  <si>
    <t>시총이 현금보다는 커야지</t>
  </si>
  <si>
    <t>82039</t>
  </si>
  <si>
    <t>모든 지표가 정배열</t>
  </si>
  <si>
    <t>82038</t>
  </si>
  <si>
    <t>2분기 성수기 회복 예상</t>
  </si>
  <si>
    <t>82037</t>
  </si>
  <si>
    <t xml:space="preserve">진정한 경기방어주의 매력  발산! </t>
  </si>
  <si>
    <t>82036</t>
  </si>
  <si>
    <t>점진적 실적 정상화 기대</t>
  </si>
  <si>
    <t>82035</t>
  </si>
  <si>
    <t>3월 잠정 실적 Comment</t>
  </si>
  <si>
    <t>82034</t>
  </si>
  <si>
    <t>노이즈, 우려 섞인 주가</t>
  </si>
  <si>
    <t>82033</t>
  </si>
  <si>
    <t>별들에게 그만 물어봐!</t>
  </si>
  <si>
    <t>82032</t>
  </si>
  <si>
    <t>모든 걱정은 1분기에 묻어두고</t>
  </si>
  <si>
    <t>82031</t>
  </si>
  <si>
    <t>성장률, 걱정이 없다</t>
  </si>
  <si>
    <t>82030</t>
  </si>
  <si>
    <t>다이어트 성공: 체지방 뺐고 근육 붙이는 중</t>
  </si>
  <si>
    <t>82029</t>
  </si>
  <si>
    <t>시대주의적 종목에 반하지 말자</t>
  </si>
  <si>
    <t>82028</t>
  </si>
  <si>
    <t>상반기는 조금 보수적으로</t>
  </si>
  <si>
    <t>82027</t>
  </si>
  <si>
    <t>LA 산불 등 영향 예상되나 안정적 실적 전망</t>
  </si>
  <si>
    <t>82026</t>
  </si>
  <si>
    <t>1분기 아쉬운 실적 전망</t>
  </si>
  <si>
    <t>82025</t>
  </si>
  <si>
    <t>2025-04-15</t>
  </si>
  <si>
    <t>아직은 움츠려야할 때</t>
  </si>
  <si>
    <t>82024</t>
  </si>
  <si>
    <t>AD/CVD 관세 부과 최대 수혜주</t>
  </si>
  <si>
    <t>82023</t>
  </si>
  <si>
    <t>1Q25 Pre: 고성능 포트폴리오가 더욱 부각될 것</t>
  </si>
  <si>
    <t>82022</t>
  </si>
  <si>
    <t>049770</t>
  </si>
  <si>
    <t>동원F&amp;B</t>
  </si>
  <si>
    <t>동원산업 100% 자회사 편입 및 상장폐지 공시</t>
  </si>
  <si>
    <t>82021</t>
  </si>
  <si>
    <t>82020</t>
  </si>
  <si>
    <t>단기적으로 부담 없는 선택지</t>
  </si>
  <si>
    <t>82019</t>
  </si>
  <si>
    <t>1Q25 Pre: 국내 담배 총수요 부진을 해외가 상쇄</t>
  </si>
  <si>
    <t>82018</t>
  </si>
  <si>
    <t>[1Q25 Preview] 미국 현지화 수혜 확대와 상저하고 기대</t>
  </si>
  <si>
    <t>82017</t>
  </si>
  <si>
    <t>기대와 아쉬움이 공존하는 동원산업, 동원F&amp;B 주식교환 결정</t>
  </si>
  <si>
    <t>82016</t>
  </si>
  <si>
    <t>[1Q25 Preview] 주요 고객사 물량 감소 영향은 점진적 해소</t>
  </si>
  <si>
    <t>82015</t>
  </si>
  <si>
    <t>삼성전자가 돌아온다면</t>
  </si>
  <si>
    <t>82014</t>
  </si>
  <si>
    <t>포트폴리오의 힘</t>
  </si>
  <si>
    <t>82013</t>
  </si>
  <si>
    <t xml:space="preserve">정적 시그널 </t>
  </si>
  <si>
    <t>82012</t>
  </si>
  <si>
    <t>관심을 가져야 할 시기</t>
  </si>
  <si>
    <t>82011</t>
  </si>
  <si>
    <t>눈높이 조절</t>
  </si>
  <si>
    <t>82010</t>
  </si>
  <si>
    <t>주가 조정 시 매수 대응 제시</t>
  </si>
  <si>
    <t>82009</t>
  </si>
  <si>
    <t>On track</t>
  </si>
  <si>
    <t>82008</t>
  </si>
  <si>
    <t>미국 조정은 끝, 구조적 성장은 계속된다</t>
  </si>
  <si>
    <t>82007</t>
  </si>
  <si>
    <t>1Q25 Preview: 무난한 출발</t>
  </si>
  <si>
    <t>82006</t>
  </si>
  <si>
    <t>1Q25 Preview: 실적 방향성 회복에 주목</t>
  </si>
  <si>
    <t>82005</t>
  </si>
  <si>
    <t>1Q25 Preview: 아직은 기다림의 영역</t>
  </si>
  <si>
    <t>82004</t>
  </si>
  <si>
    <t>1Q25 Preview: 코코아 가격 부담 지속</t>
  </si>
  <si>
    <t>82003</t>
  </si>
  <si>
    <t>1Q25 Preview: 전 지역 고른 성장세</t>
  </si>
  <si>
    <t>82002</t>
  </si>
  <si>
    <t>1Q25 Preview: 가격인상과 신제품 효과는 아직</t>
  </si>
  <si>
    <t>82001</t>
  </si>
  <si>
    <t xml:space="preserve">1Q25 Preview: 수출이 이끈 독보적 성장 </t>
  </si>
  <si>
    <t>82000</t>
  </si>
  <si>
    <t>1Q25 Pre: 아쉬운 실적, 하반기 기대</t>
  </si>
  <si>
    <t>81999</t>
  </si>
  <si>
    <t>실적 조정기를 지나는 중</t>
  </si>
  <si>
    <t>81998</t>
  </si>
  <si>
    <t>데이터 없이는 AI도 없다</t>
  </si>
  <si>
    <t>81996</t>
  </si>
  <si>
    <t>변화의 초입</t>
  </si>
  <si>
    <t>81995</t>
  </si>
  <si>
    <t>훌륭한 손익비</t>
  </si>
  <si>
    <t>81994</t>
  </si>
  <si>
    <t>관세 우려가 만든 비중 확대 기회</t>
  </si>
  <si>
    <t>81993</t>
  </si>
  <si>
    <t>신작 흥행 갈증</t>
  </si>
  <si>
    <t>81992</t>
  </si>
  <si>
    <t>이가 없으면 잇몸으로</t>
  </si>
  <si>
    <t>81991</t>
  </si>
  <si>
    <t>AI 수혜 지속</t>
  </si>
  <si>
    <t>81990</t>
  </si>
  <si>
    <t>1Q25 Pre: 올해도 실적은 상저하고 예상</t>
  </si>
  <si>
    <t>81989</t>
  </si>
  <si>
    <t>1분기 저점 확인 구간</t>
  </si>
  <si>
    <t>81988</t>
  </si>
  <si>
    <t>수주와 실적 모두 순항 중</t>
  </si>
  <si>
    <t>81987</t>
  </si>
  <si>
    <t>점진적 철강 이익 회복세 기대</t>
  </si>
  <si>
    <t>81986</t>
  </si>
  <si>
    <t>1Q25 Preview: 무난할 1분기</t>
  </si>
  <si>
    <t>81985</t>
  </si>
  <si>
    <t>4분기 흑자전환?</t>
  </si>
  <si>
    <t>81984</t>
  </si>
  <si>
    <t>관세와 외부 CMO 공급 영향으로 하회 전망</t>
  </si>
  <si>
    <t>81983</t>
  </si>
  <si>
    <t>무난한 1분기, 벌써 기대되는 2분기</t>
  </si>
  <si>
    <t>81982</t>
  </si>
  <si>
    <t>1Q25 우수한 실적, 시간 지나도 좋을 것</t>
  </si>
  <si>
    <t>81981</t>
  </si>
  <si>
    <t>변함없는 호황</t>
  </si>
  <si>
    <t>81980</t>
  </si>
  <si>
    <t>국내는 안정적, 미국은 반등 본격화</t>
  </si>
  <si>
    <t>81979</t>
  </si>
  <si>
    <t>HDC그룹의 스마트 홈 솔루션 업체</t>
  </si>
  <si>
    <t>81978</t>
  </si>
  <si>
    <t>종속기업의 가파른 외형 성장세 지속</t>
  </si>
  <si>
    <t>81977</t>
  </si>
  <si>
    <t>2025-04-14</t>
  </si>
  <si>
    <t>반등을 위한 Next를 찾아서</t>
  </si>
  <si>
    <t>81976</t>
  </si>
  <si>
    <t>현대엘리베이</t>
  </si>
  <si>
    <t>내리실 분 안 계시면, 계속 올라가겠습니다</t>
  </si>
  <si>
    <t>81975</t>
  </si>
  <si>
    <t>1Q25 Preview: 예상치 큰 폭 상회 전망</t>
  </si>
  <si>
    <t>81974</t>
  </si>
  <si>
    <t>탄탄해지는 성장 기반</t>
  </si>
  <si>
    <t>81973</t>
  </si>
  <si>
    <t>한화오션 연결, 유상증자 계획 수정 등 반영</t>
  </si>
  <si>
    <t>81972</t>
  </si>
  <si>
    <t>1Q25 Re: 운임 상승보다 일찍 찾아온 비용 증가</t>
  </si>
  <si>
    <t>81971</t>
  </si>
  <si>
    <t>1분기 그래도 개선된 영업실적 예상</t>
  </si>
  <si>
    <t>81970</t>
  </si>
  <si>
    <t>81969</t>
  </si>
  <si>
    <t>기존 사업계획만으로도 충분히 매력적</t>
  </si>
  <si>
    <t>81968</t>
  </si>
  <si>
    <t>성장성 대비 저평가 국면</t>
  </si>
  <si>
    <t>81967</t>
  </si>
  <si>
    <t>Narrative and Numbers</t>
  </si>
  <si>
    <t>81966</t>
  </si>
  <si>
    <t>국내 호조 + 북미 강세 + 중국 회복</t>
  </si>
  <si>
    <t>81965</t>
  </si>
  <si>
    <t>북미 진출 과정에서 만난 불확실성</t>
  </si>
  <si>
    <t>81964</t>
  </si>
  <si>
    <t>1Q25 Pre: Uncertainty</t>
  </si>
  <si>
    <t>81963</t>
  </si>
  <si>
    <t>올해 이익 추정치 상향에 따른 목표주가 상향</t>
  </si>
  <si>
    <t>81962</t>
  </si>
  <si>
    <t>본격 멀티 IP</t>
  </si>
  <si>
    <t>81961</t>
  </si>
  <si>
    <t>1Q25 Preview : 이제는 성장주로 불러주세요</t>
  </si>
  <si>
    <t>81960</t>
  </si>
  <si>
    <t>매출액 추정치 상향</t>
  </si>
  <si>
    <t>81959</t>
  </si>
  <si>
    <t>1Q 무난, 2Q 본게임 시작! 성장 본격화</t>
  </si>
  <si>
    <t>81958</t>
  </si>
  <si>
    <t>한국 안정, 미국 확장, 실적·주가 모멘텀 확보!</t>
  </si>
  <si>
    <t>81957</t>
  </si>
  <si>
    <t>하단은 확인, 상단은 국내와 동남아가 이끈다</t>
  </si>
  <si>
    <t>81956</t>
  </si>
  <si>
    <t>실적 U턴 신호, 성장 ON</t>
  </si>
  <si>
    <t>81955</t>
  </si>
  <si>
    <t>삼위일체, 이익, 주주환원 그리고 AI</t>
  </si>
  <si>
    <t>81954</t>
  </si>
  <si>
    <t>탄탄한 본업, 가까워진 AI 수익화</t>
  </si>
  <si>
    <t>81953</t>
  </si>
  <si>
    <t>1Q25Pre: 북경 한미 회복이 필요</t>
  </si>
  <si>
    <t>81952</t>
  </si>
  <si>
    <t>1Q25Pre: 좋은 실적으로 25년 시작</t>
  </si>
  <si>
    <t>81951</t>
  </si>
  <si>
    <t>본격적인 턴어라운드 가시화 기대</t>
  </si>
  <si>
    <t>81950</t>
  </si>
  <si>
    <t>안정적인 호실적 전망</t>
  </si>
  <si>
    <t>81949</t>
  </si>
  <si>
    <t>1Q 일회성 비용 발생</t>
  </si>
  <si>
    <t>81948</t>
  </si>
  <si>
    <t>2분기부터 레이저티닙 관련 수익 반영 본격화</t>
  </si>
  <si>
    <t>81947</t>
  </si>
  <si>
    <t xml:space="preserve">장기 도약을 위한 준비 단계 </t>
  </si>
  <si>
    <t>81946</t>
  </si>
  <si>
    <t>81945</t>
  </si>
  <si>
    <t>시장기대치 부합 전망</t>
  </si>
  <si>
    <t>81944</t>
  </si>
  <si>
    <t xml:space="preserve"> 놓쳐서는 안될 매수 기회</t>
  </si>
  <si>
    <t>81943</t>
  </si>
  <si>
    <t>조달 수단 추가는 동사에게 무조건 유리</t>
  </si>
  <si>
    <t>81942</t>
  </si>
  <si>
    <t xml:space="preserve">2조원대 이익 스타트 </t>
  </si>
  <si>
    <t>81941</t>
  </si>
  <si>
    <t xml:space="preserve">투자 천재 스크트 </t>
  </si>
  <si>
    <t>81940</t>
  </si>
  <si>
    <t>커머스 사업 재평가 필요</t>
  </si>
  <si>
    <t>81939</t>
  </si>
  <si>
    <t>하반기 카카오톡 트래픽 개선이 관건</t>
  </si>
  <si>
    <t>81938</t>
  </si>
  <si>
    <t>녹록치 않은 영업환경</t>
  </si>
  <si>
    <t>81937</t>
  </si>
  <si>
    <t>1Q25 Preview: MLB 중국 여전해</t>
  </si>
  <si>
    <t>81936</t>
  </si>
  <si>
    <t>목표주가 하향하나 긍정적 시각 유지</t>
  </si>
  <si>
    <t>81935</t>
  </si>
  <si>
    <t>게임 추정치 하향 조정</t>
  </si>
  <si>
    <t>81934</t>
  </si>
  <si>
    <t>인내의 구간</t>
  </si>
  <si>
    <t>81933</t>
  </si>
  <si>
    <t>81932</t>
  </si>
  <si>
    <t>해외가 견인하는 기업가치</t>
  </si>
  <si>
    <t>81931</t>
  </si>
  <si>
    <t>상업생산 본격화 되면서 수익성 개선 및 수주 확대 인한 매출확대로 수익성 개선 가속화 될 듯</t>
  </si>
  <si>
    <t>81930</t>
  </si>
  <si>
    <t>결국은 또 사게 될 걸</t>
  </si>
  <si>
    <t>81929</t>
  </si>
  <si>
    <t>동사 변속기 첨병 역할로 K2ME 중동수출 탄력 받을 듯</t>
  </si>
  <si>
    <t>81928</t>
  </si>
  <si>
    <t>LNG 프로젝트 본격화→에어쿨러 수요 급증으로 동사 수혜</t>
  </si>
  <si>
    <t>81927</t>
  </si>
  <si>
    <t>단기 실적 부진 우려를 비중 확대 기회로</t>
  </si>
  <si>
    <t>81926</t>
  </si>
  <si>
    <t>1Q25 실적 서프라이즈 예상</t>
  </si>
  <si>
    <t>81925</t>
  </si>
  <si>
    <t>NDR 후기: 부채비율 봉인 해제</t>
  </si>
  <si>
    <t>81924</t>
  </si>
  <si>
    <t>지니뮤직</t>
  </si>
  <si>
    <t>영역을 넓혀가는 똘똘한 콘텐츠 플랫폼 전문기업</t>
  </si>
  <si>
    <t>81923</t>
  </si>
  <si>
    <t>빅파마가 선택한 Hybrozyme 기술</t>
  </si>
  <si>
    <t>81922</t>
  </si>
  <si>
    <t>성장통과 함께 찾아온 밸류에이션 매력</t>
  </si>
  <si>
    <t>81921</t>
  </si>
  <si>
    <t>수주 부진에 따른 매출 둔화</t>
  </si>
  <si>
    <t>81920</t>
  </si>
  <si>
    <t>1분기 실적 모멘텀 부재</t>
  </si>
  <si>
    <t>81919</t>
  </si>
  <si>
    <t>실적보다는 신사업 상품군 확대에 주목</t>
  </si>
  <si>
    <t>81918</t>
  </si>
  <si>
    <t>1분기, 연중 실적 저점을 확인할 전망</t>
  </si>
  <si>
    <t>81917</t>
  </si>
  <si>
    <t>어닝 개선 방향성은 바뀌지 않는다</t>
  </si>
  <si>
    <t>81916</t>
  </si>
  <si>
    <t>2025-04-11</t>
  </si>
  <si>
    <t>퀀텀점프를 위한 마중물</t>
  </si>
  <si>
    <t>81915</t>
  </si>
  <si>
    <t>81914</t>
  </si>
  <si>
    <t>81913</t>
  </si>
  <si>
    <t>81912</t>
  </si>
  <si>
    <t>차곡차곡</t>
  </si>
  <si>
    <t>81911</t>
  </si>
  <si>
    <t>CL, 글로벌 호조, 택배 부진</t>
  </si>
  <si>
    <t>81910</t>
  </si>
  <si>
    <t>원점에서 다시 시작</t>
  </si>
  <si>
    <t>81909</t>
  </si>
  <si>
    <t>1Q 실적 호조, 2Q 힌지 / 4Q 전장에 주목</t>
  </si>
  <si>
    <t>81908</t>
  </si>
  <si>
    <t>상반기는 몸풀기</t>
  </si>
  <si>
    <t>81907</t>
  </si>
  <si>
    <t>화장품 시장의 숨겨진 라이징 스타</t>
  </si>
  <si>
    <t>81906</t>
  </si>
  <si>
    <t>1Q25 Preview: 업황 둔화</t>
  </si>
  <si>
    <t>81905</t>
  </si>
  <si>
    <t>1Q25 Pre: 기분 좋은 시작, 컨센 상회</t>
  </si>
  <si>
    <t>81904</t>
  </si>
  <si>
    <t>대장님의 편안한 운항 실력</t>
  </si>
  <si>
    <t>81903</t>
  </si>
  <si>
    <t>81902</t>
  </si>
  <si>
    <t>썬이 만드는 안정적 성장</t>
  </si>
  <si>
    <t>81901</t>
  </si>
  <si>
    <t>개선되지만, 심심한 실적</t>
  </si>
  <si>
    <t>81900</t>
  </si>
  <si>
    <t>2분기부터 서서히 나타날 관세 충격</t>
  </si>
  <si>
    <t>81899</t>
  </si>
  <si>
    <t>생각보다 높을 과속방지턱</t>
  </si>
  <si>
    <t>81898</t>
  </si>
  <si>
    <t>선속을 다시 높혀라</t>
  </si>
  <si>
    <t>81897</t>
  </si>
  <si>
    <t>우리 조선사 5개에 엔진사 2개나 있다~</t>
  </si>
  <si>
    <t>81893</t>
  </si>
  <si>
    <t>인공지능 기반 공급망 관리 소프트웨어 공급사로 변신</t>
  </si>
  <si>
    <t>81892</t>
  </si>
  <si>
    <t>영업이익 1조 원을 향하는 시작!</t>
  </si>
  <si>
    <t>81891</t>
  </si>
  <si>
    <t>065530</t>
  </si>
  <si>
    <t>와이어블</t>
  </si>
  <si>
    <t>무선 통신 기지국 인프라 건설 및 유지보수 전문 업체</t>
  </si>
  <si>
    <t>81890</t>
  </si>
  <si>
    <t>037440</t>
  </si>
  <si>
    <t>희림</t>
  </si>
  <si>
    <t>건축설계 및 관련 서비스 전문기업</t>
  </si>
  <si>
    <t>81889</t>
  </si>
  <si>
    <t>조직 이식재 및 미용의료기기 전문기업</t>
  </si>
  <si>
    <t>81888</t>
  </si>
  <si>
    <t>303530</t>
  </si>
  <si>
    <t>이노뎁</t>
  </si>
  <si>
    <t>객체 인식 기반 영상데이터 처리 솔루션 전문기업</t>
  </si>
  <si>
    <t>81887</t>
  </si>
  <si>
    <t>단기 실적보다 확실한 모멘텀에 주목할 시점</t>
  </si>
  <si>
    <t>81886</t>
  </si>
  <si>
    <t>상반기 고개를 넘으면 길이 보인다</t>
  </si>
  <si>
    <t>81885</t>
  </si>
  <si>
    <t>1Q25 preview - 유가 및 마진 동반 약세 영향</t>
  </si>
  <si>
    <t>81884</t>
  </si>
  <si>
    <t>1Q25 preview - 주요 사업 동반 부진</t>
  </si>
  <si>
    <t>81883</t>
  </si>
  <si>
    <t xml:space="preserve">안정적 1Q 이익 시현, 관세 불확실성 해소가 과제 </t>
  </si>
  <si>
    <t>81882</t>
  </si>
  <si>
    <t>2025-04-10</t>
  </si>
  <si>
    <t>트럼프 영향권 낮고, 이익 레벨 안정적</t>
  </si>
  <si>
    <t>81881</t>
  </si>
  <si>
    <t>트럼프가 촉발시킨 운임 변동성</t>
  </si>
  <si>
    <t>81880</t>
  </si>
  <si>
    <t>LG 향 공급 재개. 위기에서 뭉치는 K-Battery</t>
  </si>
  <si>
    <t>81879</t>
  </si>
  <si>
    <t>지난 25년 동안 있었던 3번의 저점</t>
  </si>
  <si>
    <t>81878</t>
  </si>
  <si>
    <t>CJ올리브영이 견인하는 주가</t>
  </si>
  <si>
    <t>81877</t>
  </si>
  <si>
    <t>주주환원 확대 가능성도 증가</t>
  </si>
  <si>
    <t>81876</t>
  </si>
  <si>
    <t>신속한 자사주 소각이 필요한 시점</t>
  </si>
  <si>
    <t>81875</t>
  </si>
  <si>
    <t>주주친화적인 자사주 매입 즉시 소각</t>
  </si>
  <si>
    <t>81874</t>
  </si>
  <si>
    <t>2025 CEO Investor Day: EV와 PBV</t>
  </si>
  <si>
    <t>81873</t>
  </si>
  <si>
    <t>81872</t>
  </si>
  <si>
    <t>단기 과락으로 비중확대 기회 도래</t>
  </si>
  <si>
    <t>81871</t>
  </si>
  <si>
    <t>펀더멘털은 굳건. 환율 우려가 센티멘트 제약 요인이지만..</t>
  </si>
  <si>
    <t>81870</t>
  </si>
  <si>
    <t>글로벌 관세 전쟁, 단기 실적에 부정적 전망</t>
  </si>
  <si>
    <t>81869</t>
  </si>
  <si>
    <t>휠라홀딩스</t>
  </si>
  <si>
    <t>휠라에서 미스토로 새 출발</t>
  </si>
  <si>
    <t>81868</t>
  </si>
  <si>
    <t>1Q25Pre: 두드러지는 시내점 수익성 개선</t>
  </si>
  <si>
    <t>81867</t>
  </si>
  <si>
    <t>1Q25Pre: 가장 안정적/합리적 투자 대안</t>
  </si>
  <si>
    <t>81866</t>
  </si>
  <si>
    <t>2025년 CID: 관세에 파묻힌 이슈들(feat. QnA 전체 요약)</t>
  </si>
  <si>
    <t>81865</t>
  </si>
  <si>
    <t>아직 1회초, 컴투스 야구는 지금부터 시작</t>
  </si>
  <si>
    <t>81864</t>
  </si>
  <si>
    <t>2025 CEO Investor Day 후기: 전동화와 신시장을 통한 성장 의지</t>
  </si>
  <si>
    <t>81863</t>
  </si>
  <si>
    <t>분기 실적 변동성은 벚꽃 같은 것</t>
  </si>
  <si>
    <t>81862</t>
  </si>
  <si>
    <t>변치 않는 그림</t>
  </si>
  <si>
    <t>81861</t>
  </si>
  <si>
    <t xml:space="preserve"> 확실한 부스터 장착</t>
  </si>
  <si>
    <t>81860</t>
  </si>
  <si>
    <t>올해 신작에 대한 정보 공개 필요</t>
  </si>
  <si>
    <t>81859</t>
  </si>
  <si>
    <t>보수적 투자 기조 속 해외 확판</t>
  </si>
  <si>
    <t>81857</t>
  </si>
  <si>
    <t>모멘텀 약세 구간을 지나는 중</t>
  </si>
  <si>
    <t>81856</t>
  </si>
  <si>
    <t>차세대 CNS 치료의 패러다임 전환</t>
  </si>
  <si>
    <t>81855</t>
  </si>
  <si>
    <t>감산 아래 모멘텀 찾기</t>
  </si>
  <si>
    <t>81854</t>
  </si>
  <si>
    <t>why not?</t>
  </si>
  <si>
    <t>81853</t>
  </si>
  <si>
    <t>인정받기 시작한 Grabody-B 가치</t>
  </si>
  <si>
    <t>81852</t>
  </si>
  <si>
    <t>저유가 시대, 과도한 우려는 경계</t>
  </si>
  <si>
    <t>81851</t>
  </si>
  <si>
    <t>RNA 간을 넘어서 뇌로! 글로벌 넘버원 바이오텍</t>
  </si>
  <si>
    <t>81850</t>
  </si>
  <si>
    <t>1Q25 Preview: 개선의 시작점</t>
  </si>
  <si>
    <t>81849</t>
  </si>
  <si>
    <t>장비를 넘어 셀·소재까지, 롤투롤 기술로 확장하는 밸류체인</t>
  </si>
  <si>
    <t>81848</t>
  </si>
  <si>
    <t>국내 신재생에너지 디벨로퍼</t>
  </si>
  <si>
    <t>81847</t>
  </si>
  <si>
    <t>안정적인 실적 전망</t>
  </si>
  <si>
    <t>81846</t>
  </si>
  <si>
    <t>2025-04-09</t>
  </si>
  <si>
    <t>여전히 좋은 실적</t>
  </si>
  <si>
    <t>81845</t>
  </si>
  <si>
    <t>1Q25 Preview: 다시 충족될 주가 상승 요건</t>
  </si>
  <si>
    <t>81844</t>
  </si>
  <si>
    <t>해외 매출 사상 최대</t>
  </si>
  <si>
    <t>81843</t>
  </si>
  <si>
    <t>한한령 완화를 기다리며</t>
  </si>
  <si>
    <t>81842</t>
  </si>
  <si>
    <t>전사 실적 방향보다 메모리 업황이 중요</t>
  </si>
  <si>
    <t>81841</t>
  </si>
  <si>
    <t>우려보다 나쁘지 않은 상황</t>
  </si>
  <si>
    <t>81840</t>
  </si>
  <si>
    <t>빠질만큼 빠졌다. 비중확대 기회로 판단</t>
  </si>
  <si>
    <t>81839</t>
  </si>
  <si>
    <t xml:space="preserve">빅배쓰 후 첫 실적, 궁금한 자회사 성적표 일시 </t>
  </si>
  <si>
    <t>81838</t>
  </si>
  <si>
    <t>상위 업체 우위 구간 지속</t>
  </si>
  <si>
    <t>81837</t>
  </si>
  <si>
    <t>방산 Paradigm Shift의 시작, 도약의 기회</t>
  </si>
  <si>
    <t>81836</t>
  </si>
  <si>
    <t>1Q25 잠정실적 리뷰</t>
  </si>
  <si>
    <t>81835</t>
  </si>
  <si>
    <t>규제에서 찾는 기회</t>
  </si>
  <si>
    <t>81834</t>
  </si>
  <si>
    <t>경기 둔화? 경제 위기?</t>
  </si>
  <si>
    <t>81833</t>
  </si>
  <si>
    <t>25년 1분기. DS, MX 기대 이상</t>
  </si>
  <si>
    <t>81832</t>
  </si>
  <si>
    <t>2025년 절대 저평가 구간, 중장기 성장 스토리의 저가 매수 전략</t>
  </si>
  <si>
    <t>81831</t>
  </si>
  <si>
    <t>미국 이외 유럽향 초고압 변압기 수주 확대로 저평가 요소 축소</t>
  </si>
  <si>
    <t>81830</t>
  </si>
  <si>
    <t>끝나지 않는 미국 초고압 변압기 숏티지의 최대 수혜 지속</t>
  </si>
  <si>
    <t>81829</t>
  </si>
  <si>
    <t>000500</t>
  </si>
  <si>
    <t>가온전선</t>
  </si>
  <si>
    <t>국내 1위 배전/통신 케이블 기업. 북미 배전 케이블 수요 확대에 따른 수혜</t>
  </si>
  <si>
    <t>81828</t>
  </si>
  <si>
    <t>2025년 새로운 역사의 시작: 글로벌 종합 전력기기업체로 발돋움</t>
  </si>
  <si>
    <t>81827</t>
  </si>
  <si>
    <t>상저하고 기대</t>
  </si>
  <si>
    <t>81826</t>
  </si>
  <si>
    <t>81825</t>
  </si>
  <si>
    <t>성장에 진심, 돌직구 의문 해소</t>
  </si>
  <si>
    <t>81824</t>
  </si>
  <si>
    <t>플루빅토 대비 우위인 이유</t>
  </si>
  <si>
    <t>81823</t>
  </si>
  <si>
    <t>긍정적인 증자 구조 변경</t>
  </si>
  <si>
    <t>81822</t>
  </si>
  <si>
    <t>1Q25 Preview: 시장기대치 하회</t>
  </si>
  <si>
    <t>81821</t>
  </si>
  <si>
    <t>탐방 리포트: 글로벌 의료 AI 시대의 플랫폼 강자 부상</t>
  </si>
  <si>
    <t>81820</t>
  </si>
  <si>
    <t>메모리반도체 Rush order와 강달러 영향</t>
  </si>
  <si>
    <t>81819</t>
  </si>
  <si>
    <t>1Q25 Preview: 이익 개선세는 아쉽지만</t>
  </si>
  <si>
    <t>81818</t>
  </si>
  <si>
    <t>81817</t>
  </si>
  <si>
    <t>지분법이익 축소 감안해도 EPS는 성장</t>
  </si>
  <si>
    <t>81816</t>
  </si>
  <si>
    <t>1분기 체질개선 효과 기대</t>
  </si>
  <si>
    <t>81815</t>
  </si>
  <si>
    <t>하반기로 갈수록 모멘텀 회복 기대</t>
  </si>
  <si>
    <t>81814</t>
  </si>
  <si>
    <t>2025-04-08</t>
  </si>
  <si>
    <t>1Q25 Pre: 견조한 성장세 유지</t>
  </si>
  <si>
    <t>81813</t>
  </si>
  <si>
    <t>1분기는 양호. 2분기가 본무대</t>
  </si>
  <si>
    <t>81812</t>
  </si>
  <si>
    <t>1Q 프리뷰 - 본사/연결 모두 우수한 실적 발표할 듯</t>
  </si>
  <si>
    <t>81811</t>
  </si>
  <si>
    <t>1Q 프리뷰 - 이번엔 실적이 좋을 듯합니다</t>
  </si>
  <si>
    <t>81810</t>
  </si>
  <si>
    <t>1Q 프리뷰 - 안정적 이익 성장 추세는 지속될 전망</t>
  </si>
  <si>
    <t>81809</t>
  </si>
  <si>
    <t>안정적인 걸 찾는다면</t>
  </si>
  <si>
    <t>81808</t>
  </si>
  <si>
    <t>첫 해, 첫 분기 통과</t>
  </si>
  <si>
    <t>81807</t>
  </si>
  <si>
    <t>안정성을 넘는 매력포인트를 기대</t>
  </si>
  <si>
    <t>81806</t>
  </si>
  <si>
    <t>[NDR 후기] 흔들리지 않는 편안함</t>
  </si>
  <si>
    <t>81805</t>
  </si>
  <si>
    <t>[NDR후기] 난 달라졌어~</t>
  </si>
  <si>
    <t>81804</t>
  </si>
  <si>
    <t xml:space="preserve">2025년 상반기, ABS와 자산매각에 주목! </t>
  </si>
  <si>
    <t>81803</t>
  </si>
  <si>
    <t>중국 내 태양광 소재 공급부족 발생</t>
  </si>
  <si>
    <t>81802</t>
  </si>
  <si>
    <t>1분기 정말 폭삭 속았수다</t>
  </si>
  <si>
    <t>81801</t>
  </si>
  <si>
    <t>1Q 실적 양호!</t>
  </si>
  <si>
    <t>81800</t>
  </si>
  <si>
    <t>방어적 주가 흐름 예상</t>
  </si>
  <si>
    <t>81799</t>
  </si>
  <si>
    <t>일회성 요인으로 어닝 서프라이즈</t>
  </si>
  <si>
    <t>81798</t>
  </si>
  <si>
    <t>주가 하락은 기회</t>
  </si>
  <si>
    <t>81797</t>
  </si>
  <si>
    <t>새로운 성장동력, B2C 제로이드</t>
  </si>
  <si>
    <t>81796</t>
  </si>
  <si>
    <t>MC본부 만성 적자, 코로나19 당시의 밸류에이션</t>
  </si>
  <si>
    <t>81795</t>
  </si>
  <si>
    <t>미국 관세 정책으로 인한 불확실성 확대</t>
  </si>
  <si>
    <t>81794</t>
  </si>
  <si>
    <t>구리 가격 약세 속에서 빛나는 방산</t>
  </si>
  <si>
    <t>81793</t>
  </si>
  <si>
    <t>GSK와 뇌투과 플랫폼 4조원 규모 기술이전</t>
  </si>
  <si>
    <t>81792</t>
  </si>
  <si>
    <t>안정적 실적 vs 수요 우려</t>
  </si>
  <si>
    <t>81791</t>
  </si>
  <si>
    <t>관세 영향 반영해도 PER 4배...</t>
  </si>
  <si>
    <t>81790</t>
  </si>
  <si>
    <t>관세 영향 반영해도 PER 4 배...</t>
  </si>
  <si>
    <t>81789</t>
  </si>
  <si>
    <t>1Q25 잠정 실적 리뷰: 환율 영향, 일회성 보상금 및 AMPC 효과로 컨센서스 상회</t>
  </si>
  <si>
    <t>81788</t>
  </si>
  <si>
    <t>단기 매수 기회로 판단</t>
  </si>
  <si>
    <t>81787</t>
  </si>
  <si>
    <t>주요 고객사의 물량 부진이 반영된 주가</t>
  </si>
  <si>
    <t>81786</t>
  </si>
  <si>
    <t>가전과 전장이 이끈 실적. 시선은 2Q25로</t>
  </si>
  <si>
    <t>81785</t>
  </si>
  <si>
    <t>159580</t>
  </si>
  <si>
    <t>제로투세븐</t>
  </si>
  <si>
    <t>주목이 필요한 25년</t>
  </si>
  <si>
    <t>81784</t>
  </si>
  <si>
    <t>우호적 환율과 해외 판매 호조</t>
  </si>
  <si>
    <t>81783</t>
  </si>
  <si>
    <t>1Q 비수기지만, 안정적인 실적 전망</t>
  </si>
  <si>
    <t>81782</t>
  </si>
  <si>
    <t>2025-04-07</t>
  </si>
  <si>
    <t>단기 실적보다 모멘텀 확보가 중요</t>
  </si>
  <si>
    <t>81781</t>
  </si>
  <si>
    <t>비중국 확대 지속</t>
  </si>
  <si>
    <t>81780</t>
  </si>
  <si>
    <t xml:space="preserve">견조한 국내와 동남아, 기다림의 중국과 미국 </t>
  </si>
  <si>
    <t>81779</t>
  </si>
  <si>
    <t>미국 &lt; 유럽 + 중동</t>
  </si>
  <si>
    <t>81778</t>
  </si>
  <si>
    <t>최악을 지나는 중….</t>
  </si>
  <si>
    <t>81777</t>
  </si>
  <si>
    <t>1분기는 부진하지만 이제는 좋아질 일만 남았다</t>
  </si>
  <si>
    <t>81776</t>
  </si>
  <si>
    <t>컨센서스에 부합하는 양호한 순익 시현 예상</t>
  </si>
  <si>
    <t>81775</t>
  </si>
  <si>
    <t>중국에 쏠린 눈</t>
  </si>
  <si>
    <t>81774</t>
  </si>
  <si>
    <t>시간이 약</t>
  </si>
  <si>
    <t>81773</t>
  </si>
  <si>
    <t>美 베스트 아이템 우리가 만든다</t>
  </si>
  <si>
    <t>81772</t>
  </si>
  <si>
    <t>1Q 25: On Track</t>
  </si>
  <si>
    <t>81771</t>
  </si>
  <si>
    <t>1Q25 Preview: 고객사 &amp; 지역 리스크</t>
  </si>
  <si>
    <t>81770</t>
  </si>
  <si>
    <t>경쟁력 증명한 기호식품</t>
  </si>
  <si>
    <t>81769</t>
  </si>
  <si>
    <t>1Q25 Preview: 기대치는 낮아졌다</t>
  </si>
  <si>
    <t>81768</t>
  </si>
  <si>
    <t>1Q25 Preview: AS는 분발, 아쉬운 모듈</t>
  </si>
  <si>
    <t>81767</t>
  </si>
  <si>
    <t>1Q25 Preview: 일회성 인건비 부담 영향</t>
  </si>
  <si>
    <t>81766</t>
  </si>
  <si>
    <t>1Q25 Preview: 관세 영향 점검</t>
  </si>
  <si>
    <t>81765</t>
  </si>
  <si>
    <t>1Q25 Pre_아쉽지만 실적은 정상화되는 중</t>
  </si>
  <si>
    <t>81764</t>
  </si>
  <si>
    <t>수도권 데이터센터 수요 급증→계약률 상승으로 레벨업</t>
  </si>
  <si>
    <t>81763</t>
  </si>
  <si>
    <t>초소형 위성 발사 수요 급증→시장 진입으로 성장성 가속화</t>
  </si>
  <si>
    <t>81762</t>
  </si>
  <si>
    <t>신작 흥행도 중요하지만,</t>
  </si>
  <si>
    <t>81761</t>
  </si>
  <si>
    <t>1Q25 Pre: 다시 한번 찾아온 탑승 기회</t>
  </si>
  <si>
    <t>81760</t>
  </si>
  <si>
    <t>1Q25 Pre: 펀더멘털 개선이 필요한 상황</t>
  </si>
  <si>
    <t>81759</t>
  </si>
  <si>
    <t>이젠 내가 주목받을 차례</t>
  </si>
  <si>
    <t>81758</t>
  </si>
  <si>
    <t>관세율 보다 북미 성장률 주목</t>
  </si>
  <si>
    <t>81757</t>
  </si>
  <si>
    <t>장비 다변화의 길목</t>
  </si>
  <si>
    <t>81756</t>
  </si>
  <si>
    <t>실적은 최고, 주가는 반등 모색</t>
  </si>
  <si>
    <t>81755</t>
  </si>
  <si>
    <t>2025-04-04</t>
  </si>
  <si>
    <t>1Q25 프리뷰: 시장 컨센서스 하회 전망</t>
  </si>
  <si>
    <t>81754</t>
  </si>
  <si>
    <t>업황을 이기는 전략이 필요</t>
  </si>
  <si>
    <t>81753</t>
  </si>
  <si>
    <t>밸류체인 전반에 대한 재평가 구간</t>
  </si>
  <si>
    <t>81752</t>
  </si>
  <si>
    <t>2025년 연간 이익 상향 조정</t>
  </si>
  <si>
    <t>81751</t>
  </si>
  <si>
    <t>난 좀 달라</t>
  </si>
  <si>
    <t>81750</t>
  </si>
  <si>
    <t>시황 개선 기대감 점증</t>
  </si>
  <si>
    <t>81749</t>
  </si>
  <si>
    <t>실적 시즌 편안한 선택지</t>
  </si>
  <si>
    <t>81748</t>
  </si>
  <si>
    <t>시장 기대치 상회 예상. 썬/미국 기대감 고조</t>
  </si>
  <si>
    <t>81747</t>
  </si>
  <si>
    <t>1Q25 Pre_고환율 지속, 호실적 기대</t>
  </si>
  <si>
    <t>81746</t>
  </si>
  <si>
    <t>2026년 제 2 올리고동 가동</t>
  </si>
  <si>
    <t>81745</t>
  </si>
  <si>
    <t>전일 주가 급락 comment: 제한적인 대미 수출 비중 vs. 과도한 주가 하락</t>
  </si>
  <si>
    <t>81744</t>
  </si>
  <si>
    <t>1Q25 Pre_수익성 개선 지속, 컨센 부합 전망</t>
  </si>
  <si>
    <t>81743</t>
  </si>
  <si>
    <t>블랙핑크와 베이비몬스터 추정치 상향</t>
  </si>
  <si>
    <t>81742</t>
  </si>
  <si>
    <t>1Q25 Pre: 분기가 지날수록 개선될 실적</t>
  </si>
  <si>
    <t>81741</t>
  </si>
  <si>
    <t>2025-04-03</t>
  </si>
  <si>
    <t>실적 시즌에 찾게 되는 실적 우수생</t>
  </si>
  <si>
    <t>81740</t>
  </si>
  <si>
    <t>1Q25 Pre: 우호적 환율 효과 기대</t>
  </si>
  <si>
    <t>81739</t>
  </si>
  <si>
    <t>사실상 중국 내수주</t>
  </si>
  <si>
    <t>81738</t>
  </si>
  <si>
    <t>바닥콜, 턴어라운드 시점입니다</t>
  </si>
  <si>
    <t>81737</t>
  </si>
  <si>
    <t>분기 거듭할수록 모멘텀 강해질 것</t>
  </si>
  <si>
    <t>81736</t>
  </si>
  <si>
    <t>매수 기회</t>
  </si>
  <si>
    <t>81735</t>
  </si>
  <si>
    <t>신규장비 레이저본더 양산을 기다리며</t>
  </si>
  <si>
    <t>81734</t>
  </si>
  <si>
    <t>힌지 변화는 진화! 2025년 최고 실적 전망</t>
  </si>
  <si>
    <t>81733</t>
  </si>
  <si>
    <t>실적 저점 통과 국면</t>
  </si>
  <si>
    <t>81732</t>
  </si>
  <si>
    <t>1Q25 Pre: 이제 시선은 이익 개선으로</t>
  </si>
  <si>
    <t>81731</t>
  </si>
  <si>
    <t>81730</t>
  </si>
  <si>
    <t>우호적인 환율로 25년 시작</t>
  </si>
  <si>
    <t>81729</t>
  </si>
  <si>
    <t>우려 속에서 찾는 기회</t>
  </si>
  <si>
    <t>81728</t>
  </si>
  <si>
    <t>차별화된 실적 흐름 지속 전망</t>
  </si>
  <si>
    <t>81727</t>
  </si>
  <si>
    <t>글로벌 ADC 바이오텍으로 레벨업</t>
  </si>
  <si>
    <t>81726</t>
  </si>
  <si>
    <t>2025-04-02</t>
  </si>
  <si>
    <t>[다시봐] 금석위개(金石爲開)</t>
  </si>
  <si>
    <t>81725</t>
  </si>
  <si>
    <t>1Q25 Preview: 변신이 필요해</t>
  </si>
  <si>
    <t>81724</t>
  </si>
  <si>
    <t>현명한 선택</t>
  </si>
  <si>
    <t>81723</t>
  </si>
  <si>
    <t>주택 마진 개선의 근거</t>
  </si>
  <si>
    <t>81722</t>
  </si>
  <si>
    <t>CONVICTION BUY</t>
  </si>
  <si>
    <t>81721</t>
  </si>
  <si>
    <t>가속승인은 4Q25 추가 데이터 확인 필요할 것</t>
  </si>
  <si>
    <t>81720</t>
  </si>
  <si>
    <t>가능성을 보자</t>
  </si>
  <si>
    <t>81719</t>
  </si>
  <si>
    <t>영업이익률 두 자릿수 안착</t>
  </si>
  <si>
    <t>81718</t>
  </si>
  <si>
    <t>철강 시황 개선, 리튬 양산 가동</t>
  </si>
  <si>
    <t>81717</t>
  </si>
  <si>
    <t>저점 시그널을 외면하기 어렵다</t>
  </si>
  <si>
    <t>81716</t>
  </si>
  <si>
    <t>상반기 눈높이 상향 조정</t>
  </si>
  <si>
    <t>81715</t>
  </si>
  <si>
    <t>동대문 면세점 철수 결정</t>
  </si>
  <si>
    <t>81714</t>
  </si>
  <si>
    <t>비수기에도 역대 최대 드롭액 경신</t>
  </si>
  <si>
    <t>81713</t>
  </si>
  <si>
    <t>시내면세 축소 결정, 속도 붙는 효율개선 작업</t>
  </si>
  <si>
    <t>81712</t>
  </si>
  <si>
    <t>중국 최대 전기차향 MLCC 공급 순항중</t>
  </si>
  <si>
    <t>81711</t>
  </si>
  <si>
    <t>저점을 모색할 시점</t>
  </si>
  <si>
    <t>81710</t>
  </si>
  <si>
    <t>여전히 높은 밸류에이션 부담</t>
  </si>
  <si>
    <t>81709</t>
  </si>
  <si>
    <t>자율주행 시대의 주인공</t>
  </si>
  <si>
    <t>81708</t>
  </si>
  <si>
    <t>유럽 EV 수요 반등에도 1Q25 실적 부진 예상</t>
  </si>
  <si>
    <t>81707</t>
  </si>
  <si>
    <t>탄탄한 고객 포트폴리오 기반 성장세 전망</t>
  </si>
  <si>
    <t>81706</t>
  </si>
  <si>
    <t>하반기 주력 고객사 로보택시 상용화 모멘텀</t>
  </si>
  <si>
    <t>81705</t>
  </si>
  <si>
    <t>알고 보니 든든한 뒷배, 판이 달라졌다!</t>
  </si>
  <si>
    <t>81704</t>
  </si>
  <si>
    <t>담도암 임상 2/3상 긍정적 임상결과 발표</t>
  </si>
  <si>
    <t>81703</t>
  </si>
  <si>
    <t>면세점 사업부 점포 효율화</t>
  </si>
  <si>
    <t>81702</t>
  </si>
  <si>
    <t>P의거짓 DLC는 성장의 서곡</t>
  </si>
  <si>
    <t>81701</t>
  </si>
  <si>
    <t>높은 이익증가율, 추가 주주환원 기대감 제고</t>
  </si>
  <si>
    <t>81700</t>
  </si>
  <si>
    <t>단기 실적 회복이라는 마지막 퍼즐</t>
  </si>
  <si>
    <t>81699</t>
  </si>
  <si>
    <t>시내면세점 운영 효율화 결정</t>
  </si>
  <si>
    <t>81698</t>
  </si>
  <si>
    <t>높아진 회복 기대감</t>
  </si>
  <si>
    <t>81697</t>
  </si>
  <si>
    <t>Make E-mart Great Again</t>
  </si>
  <si>
    <t>81696</t>
  </si>
  <si>
    <t>합리적인 의사 결정</t>
  </si>
  <si>
    <t>81695</t>
  </si>
  <si>
    <t>성장 모멘텀은 여전</t>
  </si>
  <si>
    <t>81694</t>
  </si>
  <si>
    <t>강력한 해외 성장 모멘텀</t>
  </si>
  <si>
    <t>81693</t>
  </si>
  <si>
    <t>1분기 방어주</t>
  </si>
  <si>
    <t>81692</t>
  </si>
  <si>
    <t>2025-04-01</t>
  </si>
  <si>
    <t>4Q24 Review: 배당 정상화, 밸류에이션 정상화</t>
  </si>
  <si>
    <t>81691</t>
  </si>
  <si>
    <t>봄은 온다</t>
  </si>
  <si>
    <t>81690</t>
  </si>
  <si>
    <t>1Q25 Pre: 야구인이 캐리 중</t>
  </si>
  <si>
    <t>81689</t>
  </si>
  <si>
    <t>제가 알던 SPC삼립 맞나요?</t>
  </si>
  <si>
    <t>81688</t>
  </si>
  <si>
    <t>1분기 호실적에도 다소 아쉬운 inZOI 초반 성과</t>
  </si>
  <si>
    <t>81687</t>
  </si>
  <si>
    <t>지분 증여로 정면 돌파</t>
  </si>
  <si>
    <t>81686</t>
  </si>
  <si>
    <t>관세에 대한 우려 과도</t>
  </si>
  <si>
    <t>81685</t>
  </si>
  <si>
    <t>역사적 저점 밸류에이션을 벗어날 좋은 마중물</t>
  </si>
  <si>
    <t>81684</t>
  </si>
  <si>
    <t>㈜한화 지분 증여, 유상증자 논란 정면돌파</t>
  </si>
  <si>
    <t>81683</t>
  </si>
  <si>
    <t xml:space="preserve">Deep Value 구간 </t>
  </si>
  <si>
    <t>81682</t>
  </si>
  <si>
    <t>실적 회복 과정</t>
  </si>
  <si>
    <t>81681</t>
  </si>
  <si>
    <t>영 앤 트랜디 에코붐</t>
  </si>
  <si>
    <t>81680</t>
  </si>
  <si>
    <t>철강/인프라는 개선 예상. 에너지소재는 아직…</t>
  </si>
  <si>
    <t>81679</t>
  </si>
  <si>
    <t>DGB금융지주</t>
  </si>
  <si>
    <t>실적 정상화의 원년</t>
  </si>
  <si>
    <t>81678</t>
  </si>
  <si>
    <t>지분증여로 승계 관련 주가 불확실성 해소</t>
  </si>
  <si>
    <t>81677</t>
  </si>
  <si>
    <t>전방 수요 확인 먼저</t>
  </si>
  <si>
    <t>81676</t>
  </si>
  <si>
    <t>밀리의서재</t>
  </si>
  <si>
    <t>다각화된 판매 채널 통한 성장 기대</t>
  </si>
  <si>
    <t>81675</t>
  </si>
  <si>
    <t>001390</t>
  </si>
  <si>
    <t>KG케미칼</t>
  </si>
  <si>
    <t>KG그룹을 대표하는 비료회사</t>
  </si>
  <si>
    <t>81674</t>
  </si>
  <si>
    <t>숨 고르기는 끝났다</t>
  </si>
  <si>
    <t>81673</t>
  </si>
  <si>
    <t>높아진 경쟁 강도를 반영 중</t>
  </si>
  <si>
    <t>81672</t>
  </si>
  <si>
    <t>충전속도 경쟁. LiFSI 채택률 증가에 주목</t>
  </si>
  <si>
    <t>81671</t>
  </si>
  <si>
    <t>2025-03-31</t>
  </si>
  <si>
    <t>25년 영업이익 35% 증가 전망</t>
  </si>
  <si>
    <t>81669</t>
  </si>
  <si>
    <t>글로벌 TOP에 도전, INZOI는 거들뿐</t>
  </si>
  <si>
    <t>81668</t>
  </si>
  <si>
    <t>체질 개선 중</t>
  </si>
  <si>
    <t>81667</t>
  </si>
  <si>
    <t>1Q25 Pre: 운임 하락, but 비용 증가도 제한적</t>
  </si>
  <si>
    <t>81666</t>
  </si>
  <si>
    <t>조용한 1분기</t>
  </si>
  <si>
    <t>81665</t>
  </si>
  <si>
    <t>[CEO Investor Day] 이미 시작된 변화, 이젠 보여줄 차례</t>
  </si>
  <si>
    <t>81664</t>
  </si>
  <si>
    <t>1Q25 Preview: 시장기대치 상회 전망</t>
  </si>
  <si>
    <t>81663</t>
  </si>
  <si>
    <t>배그 역대 최대 실적 전망, 그리고 인조이의 작은 불씨</t>
  </si>
  <si>
    <t>81662</t>
  </si>
  <si>
    <t>시장 기대치 부합 예상</t>
  </si>
  <si>
    <t>81661</t>
  </si>
  <si>
    <t>110790</t>
  </si>
  <si>
    <t>크리스에프앤씨</t>
  </si>
  <si>
    <t>4Q24 Review: 신규 브랜드 런칭 구간</t>
  </si>
  <si>
    <t>81660</t>
  </si>
  <si>
    <t>Ceo Investor Day: 원전은 긍적, 모호한 이익 레벨 제시는 아쉬운 점</t>
  </si>
  <si>
    <t>81659</t>
  </si>
  <si>
    <t>1Q25 Preview: 쉬어가는 중</t>
  </si>
  <si>
    <t>81658</t>
  </si>
  <si>
    <t>키트루다SC 런칭 카운트 다운</t>
  </si>
  <si>
    <t>81657</t>
  </si>
  <si>
    <t>불확실성 속 최선의 대안</t>
  </si>
  <si>
    <t>81656</t>
  </si>
  <si>
    <t>멀어지는 업황 회복, 가까워지는 신사업 기대감</t>
  </si>
  <si>
    <t>81654</t>
  </si>
  <si>
    <t>CID Review: 소문난 잔치에 먹을게 많았다</t>
  </si>
  <si>
    <t>81653</t>
  </si>
  <si>
    <t>글로벌 LNG 개발 및 물량 퍼스트 콜 수혜</t>
  </si>
  <si>
    <t>81652</t>
  </si>
  <si>
    <t>연속성이 수반된 수주증가로 밸류 레벨업</t>
  </si>
  <si>
    <t>81651</t>
  </si>
  <si>
    <t>20년 이상 업력의 비디오 IP 기술 선도 기업</t>
  </si>
  <si>
    <t>81650</t>
  </si>
  <si>
    <t>유럽과 전기차 조합의 정답</t>
  </si>
  <si>
    <t>81649</t>
  </si>
  <si>
    <t>수익성 강화에 나서다</t>
  </si>
  <si>
    <t>81648</t>
  </si>
  <si>
    <t>묵묵히 진행 중인 이익 턴어라운드</t>
  </si>
  <si>
    <t>81647</t>
  </si>
  <si>
    <t xml:space="preserve">의약품 관세에 대한 대비 완료 </t>
  </si>
  <si>
    <t>81646</t>
  </si>
  <si>
    <t xml:space="preserve">Physical AI 시대의 모터업체로 성장 </t>
  </si>
  <si>
    <t>81645</t>
  </si>
  <si>
    <t>어려움 속에도 기대는 있다</t>
  </si>
  <si>
    <t>81644</t>
  </si>
  <si>
    <t>2025-03-28</t>
  </si>
  <si>
    <t>경영진 교체에 따른 영향은 제한적</t>
  </si>
  <si>
    <t>81643</t>
  </si>
  <si>
    <t>Steady &amp; Slow</t>
  </si>
  <si>
    <t>81642</t>
  </si>
  <si>
    <t>주주환원은 24/7</t>
  </si>
  <si>
    <t>81641</t>
  </si>
  <si>
    <t>전자BG 실적 기대 이상</t>
  </si>
  <si>
    <t>81640</t>
  </si>
  <si>
    <t>1Q25 Pre: 메모리 시장의 빠른 회복</t>
  </si>
  <si>
    <t>81639</t>
  </si>
  <si>
    <t>2분기, 반등의 시작</t>
  </si>
  <si>
    <t>81638</t>
  </si>
  <si>
    <t>2분기부터는 실적주</t>
  </si>
  <si>
    <t>81637</t>
  </si>
  <si>
    <t>1Q25 Pre 우려를 극복할 성장 기대</t>
  </si>
  <si>
    <t>81636</t>
  </si>
  <si>
    <t>조금씩 풀리는 실타래</t>
  </si>
  <si>
    <t>81635</t>
  </si>
  <si>
    <t>반등의 원년이 될 2025년</t>
  </si>
  <si>
    <t>81634</t>
  </si>
  <si>
    <t>2025-03-27</t>
  </si>
  <si>
    <t>038870</t>
  </si>
  <si>
    <t>에코바이오</t>
  </si>
  <si>
    <t xml:space="preserve">바이오가스 기반의 신재생에너지 전문기업 </t>
  </si>
  <si>
    <t>81633</t>
  </si>
  <si>
    <t>이에이트</t>
  </si>
  <si>
    <t>시뮬레이션 기술 기반의 디지털 트윈 전문 기업</t>
  </si>
  <si>
    <t>81632</t>
  </si>
  <si>
    <t>008970</t>
  </si>
  <si>
    <t>동양철관</t>
  </si>
  <si>
    <t>SCI평가정보</t>
  </si>
  <si>
    <t>업력 50년의 대구경 강관 종합전문 기업</t>
  </si>
  <si>
    <t>81630</t>
  </si>
  <si>
    <t>유뿔도 가자</t>
  </si>
  <si>
    <t>81629</t>
  </si>
  <si>
    <t>한화 방산의 소금 같은 존재</t>
  </si>
  <si>
    <t>81628</t>
  </si>
  <si>
    <t>흑표 전차 나가신다</t>
  </si>
  <si>
    <t>81627</t>
  </si>
  <si>
    <t>이제는 고고도까지 방어</t>
  </si>
  <si>
    <t>81626</t>
  </si>
  <si>
    <t>이번 유상증자는 추진력을 얻기 위함</t>
  </si>
  <si>
    <t>81625</t>
  </si>
  <si>
    <t>커지는 필리핀 기대감</t>
  </si>
  <si>
    <t>81624</t>
  </si>
  <si>
    <t>베트남이 Phoint</t>
  </si>
  <si>
    <t>81623</t>
  </si>
  <si>
    <t>고진감래</t>
  </si>
  <si>
    <t>81622</t>
  </si>
  <si>
    <t>팔방미인</t>
  </si>
  <si>
    <t>81621</t>
  </si>
  <si>
    <t>조선 터줏대감</t>
  </si>
  <si>
    <t>81620</t>
  </si>
  <si>
    <t>실적 서프라이즈 &amp; LNG선 수주 증가 전 매수</t>
  </si>
  <si>
    <t>81619</t>
  </si>
  <si>
    <t>81618</t>
  </si>
  <si>
    <t>4월 전략 - 55,000원이 바닥, 완만한 반등 예상</t>
  </si>
  <si>
    <t>81617</t>
  </si>
  <si>
    <t>4월 전략 - 투자 전략상 매수 적기입니다</t>
  </si>
  <si>
    <t>81616</t>
  </si>
  <si>
    <t>4월 전략 - 역대급 실적/배당 발표 가능성에 주목</t>
  </si>
  <si>
    <t>81615</t>
  </si>
  <si>
    <t>만약 시장이 변하는 거라면요?</t>
  </si>
  <si>
    <t>81614</t>
  </si>
  <si>
    <t>[1Q25 Preview] 정면 돌파</t>
  </si>
  <si>
    <t>81613</t>
  </si>
  <si>
    <t>[1Q25 Preview] 신차 효과로 펀더멘털 개선</t>
  </si>
  <si>
    <t>81612</t>
  </si>
  <si>
    <t>1Q25 Preview: 1분기 예상보다 더 강하다</t>
  </si>
  <si>
    <t>81611</t>
  </si>
  <si>
    <t>한국 1등 OSAT</t>
  </si>
  <si>
    <t>81610</t>
  </si>
  <si>
    <t>상반기보다 하반기에 집중</t>
  </si>
  <si>
    <t>81609</t>
  </si>
  <si>
    <t>밸류에이션을 좌우할 신성장 필요</t>
  </si>
  <si>
    <t>81608</t>
  </si>
  <si>
    <t>매력적인 투자처로의 변화 주목</t>
  </si>
  <si>
    <t>81607</t>
  </si>
  <si>
    <t>2025-03-26</t>
  </si>
  <si>
    <t>도래하는 개화기</t>
  </si>
  <si>
    <t>81606</t>
  </si>
  <si>
    <t>대규모 미국 투자 의사 결정, 외형성장에 긍정적</t>
  </si>
  <si>
    <t>81605</t>
  </si>
  <si>
    <t>1Q25 Pre: 시장 기대 부합 전망</t>
  </si>
  <si>
    <t>81604</t>
  </si>
  <si>
    <t>꾸준한 실적 개선, 시장기대치 부합 전망</t>
  </si>
  <si>
    <t>81603</t>
  </si>
  <si>
    <t>만약 온라인이, 화장품이 시작일 뿐이라면요?</t>
  </si>
  <si>
    <t>81602</t>
  </si>
  <si>
    <t>위기 속 기회 찾기</t>
  </si>
  <si>
    <t>81601</t>
  </si>
  <si>
    <t>철강, 긍정적 요인 감지 vs 에너지소재, 시간 필요</t>
  </si>
  <si>
    <t>81600</t>
  </si>
  <si>
    <t>[NDR후기] 성장을 위한 준비는 이미 마련!</t>
  </si>
  <si>
    <t>81599</t>
  </si>
  <si>
    <t>4Q24 Review: 어려울 때 강자가 가려진다</t>
  </si>
  <si>
    <t>81598</t>
  </si>
  <si>
    <t>저울질에는 "숫자"가 필요</t>
  </si>
  <si>
    <t>81597</t>
  </si>
  <si>
    <t>숫자로 말해요</t>
  </si>
  <si>
    <t>81596</t>
  </si>
  <si>
    <t>캔서디텍트, 혁신의료기술 평가 승인 확보</t>
  </si>
  <si>
    <t>81595</t>
  </si>
  <si>
    <t>지상 안테나 매출의 성장</t>
  </si>
  <si>
    <t>81594</t>
  </si>
  <si>
    <t>LG 엑사원AI의 파트너가 된 아테나AI</t>
  </si>
  <si>
    <t>81593</t>
  </si>
  <si>
    <t>북미 AFC시장 다크호스로 부상한 토종기업</t>
  </si>
  <si>
    <t>81592</t>
  </si>
  <si>
    <t>일차전지, 방산·에너지·전력 인프라의 필수재</t>
  </si>
  <si>
    <t>81591</t>
  </si>
  <si>
    <t>성장에 투자하자</t>
  </si>
  <si>
    <t>81590</t>
  </si>
  <si>
    <t>81589</t>
  </si>
  <si>
    <t>2025-03-25</t>
  </si>
  <si>
    <t>넥스트 스텝을 위한 성실한 준비</t>
  </si>
  <si>
    <t>81588</t>
  </si>
  <si>
    <t>반가운 턴어라운드</t>
  </si>
  <si>
    <t>81587</t>
  </si>
  <si>
    <t>태양광 PPA 확대 + 신안우이 해상풍력 재개</t>
  </si>
  <si>
    <t>81586</t>
  </si>
  <si>
    <t>비과세 배당으로 하방 지지</t>
  </si>
  <si>
    <t>81585</t>
  </si>
  <si>
    <t>기존 매출의 2배 수준 증설 결정</t>
  </si>
  <si>
    <t>81584</t>
  </si>
  <si>
    <t>봄 성수기 진입과 하반기 중국 모멘텀</t>
  </si>
  <si>
    <t>81583</t>
  </si>
  <si>
    <t>이제는 걱정 안해도 됩니다</t>
  </si>
  <si>
    <t>81582</t>
  </si>
  <si>
    <t>KBO도 개막, 일본 야구도 출시 임박</t>
  </si>
  <si>
    <t>81581</t>
  </si>
  <si>
    <t>001630</t>
  </si>
  <si>
    <t>종근당홀딩스</t>
  </si>
  <si>
    <t>종근당건강의 모멘텀이 필요하다</t>
  </si>
  <si>
    <t>81580</t>
  </si>
  <si>
    <t>1Q25 부터 YoY 10%대 이익 성장 시작</t>
  </si>
  <si>
    <t>81579</t>
  </si>
  <si>
    <t>[Corp. Day] 다작과 비용구조 변화</t>
  </si>
  <si>
    <t>81578</t>
  </si>
  <si>
    <t>NAND 가격이 가장 중요한 지표</t>
  </si>
  <si>
    <t>81577</t>
  </si>
  <si>
    <t>[Corp. Day] 실적 성장에 주주환원 동반</t>
  </si>
  <si>
    <t>81576</t>
  </si>
  <si>
    <t>휴머노이드를 선언한 기업</t>
  </si>
  <si>
    <t>81575</t>
  </si>
  <si>
    <t>전고체 등 차세대 배터리 장비 시장 선점</t>
  </si>
  <si>
    <t>81574</t>
  </si>
  <si>
    <t>HD현대의 두번째 심장</t>
  </si>
  <si>
    <t>81573</t>
  </si>
  <si>
    <t>턴어라운드라는 목적지로 순항 중</t>
  </si>
  <si>
    <t>81572</t>
  </si>
  <si>
    <t>공격적인 수주와 캐파 확장</t>
  </si>
  <si>
    <t>81571</t>
  </si>
  <si>
    <t>삼신기</t>
  </si>
  <si>
    <t>81570</t>
  </si>
  <si>
    <t>해상 안테나 강자에서 글로벌 LEO 인프라 핵심 공급자로</t>
  </si>
  <si>
    <t>81569</t>
  </si>
  <si>
    <t>크보빵, 제2의 포켓몬빵 되나</t>
  </si>
  <si>
    <t>81568</t>
  </si>
  <si>
    <t>2025-03-24</t>
  </si>
  <si>
    <t>레거시 하면 피에스케이</t>
  </si>
  <si>
    <t>81567</t>
  </si>
  <si>
    <t>1Q25 Pre: 통합 대한항공 구경하기</t>
  </si>
  <si>
    <t>81566</t>
  </si>
  <si>
    <t>1Q25 Pre: 올해는 상저하고</t>
  </si>
  <si>
    <t>81565</t>
  </si>
  <si>
    <t>4Q24 Review : 기대가 현실이 될 25년</t>
  </si>
  <si>
    <t>81564</t>
  </si>
  <si>
    <t>실적, 수주, 리레이팅의 3박자</t>
  </si>
  <si>
    <t>81563</t>
  </si>
  <si>
    <t>세미텍 가치를 적극 반영할 시기</t>
  </si>
  <si>
    <t>81562</t>
  </si>
  <si>
    <t>여전히 저평가된 엔터사</t>
  </si>
  <si>
    <t>81561</t>
  </si>
  <si>
    <t>다양한 브랜드 포트폴리오 사업  의미 담은 사명 변경</t>
  </si>
  <si>
    <t>81560</t>
  </si>
  <si>
    <t>잠재 성장성은 점점 확대</t>
  </si>
  <si>
    <t>81559</t>
  </si>
  <si>
    <t>4Q24 Review: Misto holdings begins</t>
  </si>
  <si>
    <t>81558</t>
  </si>
  <si>
    <t>탐방 리포트: 개화(開花)의 시기 도래</t>
  </si>
  <si>
    <t>81557</t>
  </si>
  <si>
    <t>변한 것은 없다. 점진적 입증 중</t>
  </si>
  <si>
    <t>81556</t>
  </si>
  <si>
    <t>이제는 미스토(MISTO) 라고 불러주세요</t>
  </si>
  <si>
    <t>81555</t>
  </si>
  <si>
    <t>달, 6G, 천리안 등 수주증가 레벨업 본격화</t>
  </si>
  <si>
    <t>81554</t>
  </si>
  <si>
    <t>금호석유</t>
  </si>
  <si>
    <t>어닝 서프라이즈로 돋보일 경쟁우위</t>
  </si>
  <si>
    <t>81553</t>
  </si>
  <si>
    <t>Turning Point</t>
  </si>
  <si>
    <t>81552</t>
  </si>
  <si>
    <t>앞서가는 성장률 그리고 숨은 의도</t>
  </si>
  <si>
    <t>81551</t>
  </si>
  <si>
    <t>성장 동력 확보를 위한 R&amp;D 파이프라인 확장</t>
  </si>
  <si>
    <t>81550</t>
  </si>
  <si>
    <t>2025 ELCC(유럽폐암학회) Preview</t>
  </si>
  <si>
    <t>81549</t>
  </si>
  <si>
    <t>2025-03-21</t>
  </si>
  <si>
    <t>PUBG는 여전히 성장 중</t>
  </si>
  <si>
    <t>81548</t>
  </si>
  <si>
    <t>지난 분기는 아쉽지만 큰 그림은 변하지 않았다</t>
  </si>
  <si>
    <t>81547</t>
  </si>
  <si>
    <t>실적과 유럽, 그리고 러시아</t>
  </si>
  <si>
    <t>81546</t>
  </si>
  <si>
    <t>미래 성장을 준비하는 시기</t>
  </si>
  <si>
    <t>81545</t>
  </si>
  <si>
    <t>너무 늦지는 말아야.</t>
  </si>
  <si>
    <t>81544</t>
  </si>
  <si>
    <t>저점은 이미 벗어났다</t>
  </si>
  <si>
    <t>81543</t>
  </si>
  <si>
    <t>머리로는 이해 되는데, 마음은 아프네</t>
  </si>
  <si>
    <t>81542</t>
  </si>
  <si>
    <t>계속되는 성장 스토리</t>
  </si>
  <si>
    <t>81541</t>
  </si>
  <si>
    <t>한화에어로스페이스 3.6조원 유상증자 발표</t>
  </si>
  <si>
    <t>81540</t>
  </si>
  <si>
    <t>3.6조원 유상증자 관련 코멘트</t>
  </si>
  <si>
    <t>81539</t>
  </si>
  <si>
    <t>상반기 실적에 주목하자</t>
  </si>
  <si>
    <t>81538</t>
  </si>
  <si>
    <t>중심 성장이 주목되는 AIoT 플랫폼 업체</t>
  </si>
  <si>
    <t>81537</t>
  </si>
  <si>
    <t>저평가된 주가, 높아질 회복 기대감</t>
  </si>
  <si>
    <t>81536</t>
  </si>
  <si>
    <t>반도체 시장 침투는 진행형</t>
  </si>
  <si>
    <t>81535</t>
  </si>
  <si>
    <t>084850</t>
  </si>
  <si>
    <t>아이티엠반도체</t>
  </si>
  <si>
    <t>점진적인 실적 개선 기대</t>
  </si>
  <si>
    <t>81534</t>
  </si>
  <si>
    <t>꾸준한 주주환원 정책의지</t>
  </si>
  <si>
    <t>81533</t>
  </si>
  <si>
    <t>2025-03-20</t>
  </si>
  <si>
    <t>어려운 시장에 비용 절감 지속</t>
  </si>
  <si>
    <t>81532</t>
  </si>
  <si>
    <t>기업가치 제고 의지는 확인. 실적도 점차 회복 예상</t>
  </si>
  <si>
    <t>81531</t>
  </si>
  <si>
    <t>하방리스크 제한적. 올리브영 가치는 계속 반영될 듯</t>
  </si>
  <si>
    <t>81530</t>
  </si>
  <si>
    <t>바토클리맙 중증근무력증 임상 3상 결과 발표</t>
  </si>
  <si>
    <t>81529</t>
  </si>
  <si>
    <t>닌텐도 스위치2 같이 하실 분</t>
  </si>
  <si>
    <t>81528</t>
  </si>
  <si>
    <t>25년에도 계속될 북미향 LNG</t>
  </si>
  <si>
    <t>81527</t>
  </si>
  <si>
    <t>ATH</t>
  </si>
  <si>
    <t>81526</t>
  </si>
  <si>
    <t>수주 기대치를 높일 때</t>
  </si>
  <si>
    <t>81525</t>
  </si>
  <si>
    <t>256940</t>
  </si>
  <si>
    <t>케이피에스</t>
  </si>
  <si>
    <t>5년만에 완성된 성장의 큰 그림</t>
  </si>
  <si>
    <t>81524</t>
  </si>
  <si>
    <t>4Q24 Re: 앞으로가 더 기대된다</t>
  </si>
  <si>
    <t>81523</t>
  </si>
  <si>
    <t>비상장사 CJ올리브영이라면...</t>
  </si>
  <si>
    <t>81522</t>
  </si>
  <si>
    <t>1분기 이익 성장</t>
  </si>
  <si>
    <t>81521</t>
  </si>
  <si>
    <t>분노보다는 앞으로의 행보와 밸류에이션에 주목</t>
  </si>
  <si>
    <t>81520</t>
  </si>
  <si>
    <t>2025-03-19</t>
  </si>
  <si>
    <t>미국 데이터센터 수주, 이제 시작</t>
  </si>
  <si>
    <t>81519</t>
  </si>
  <si>
    <t>2월 Re: 불어오는 훈풍</t>
  </si>
  <si>
    <t>81518</t>
  </si>
  <si>
    <t>PUBG, 잘해왔고 계속 잘할 것</t>
  </si>
  <si>
    <t>81517</t>
  </si>
  <si>
    <t>사업 다각화와 배당 정책 기대감</t>
  </si>
  <si>
    <t>81516</t>
  </si>
  <si>
    <t>또 어닝 서프라이즈인데 재료도 많고 주가도 싸네요</t>
  </si>
  <si>
    <t>81515</t>
  </si>
  <si>
    <t>이렇게 좋아도 되나?</t>
  </si>
  <si>
    <t>81514</t>
  </si>
  <si>
    <t xml:space="preserve">이익 추정치 하향조정 </t>
  </si>
  <si>
    <t>81513</t>
  </si>
  <si>
    <t>초개인화 커머스가</t>
  </si>
  <si>
    <t>81512</t>
  </si>
  <si>
    <t>초개인화 플랫폼의 경쟁력 증명 시 플랫폼 가치 재평가 가능</t>
  </si>
  <si>
    <t>81511</t>
  </si>
  <si>
    <t>변화는 천천히, 효과는 강렬히</t>
  </si>
  <si>
    <t>81510</t>
  </si>
  <si>
    <t>쇼크는 과거고, 에스엘은 미래다</t>
  </si>
  <si>
    <t>81509</t>
  </si>
  <si>
    <t>예상되는 저점을 통과한다면</t>
  </si>
  <si>
    <t>81508</t>
  </si>
  <si>
    <t xml:space="preserve">기계사업부, 3,400억원에 매각 결정 </t>
  </si>
  <si>
    <t>81507</t>
  </si>
  <si>
    <t>명절 효과 부재에도 양호한 실적</t>
  </si>
  <si>
    <t>81506</t>
  </si>
  <si>
    <t xml:space="preserve">올해 1분기 실적, 시장 기대치 크게 상회 전망 </t>
  </si>
  <si>
    <t>81505</t>
  </si>
  <si>
    <t>전략적 비중 확대 시점</t>
  </si>
  <si>
    <t>81504</t>
  </si>
  <si>
    <t>81503</t>
  </si>
  <si>
    <t>2월 잠정 실적 Comment</t>
  </si>
  <si>
    <t>81502</t>
  </si>
  <si>
    <t>하반기에 반전을 모색</t>
  </si>
  <si>
    <t>81501</t>
  </si>
  <si>
    <t>한 번쯤은 걸어볼 만한 자리</t>
  </si>
  <si>
    <t>81500</t>
  </si>
  <si>
    <t>상반기에 가장 편안한 선택지</t>
  </si>
  <si>
    <t>81499</t>
  </si>
  <si>
    <t>리밸런싱 효과 기대</t>
  </si>
  <si>
    <t>81498</t>
  </si>
  <si>
    <t>미국 빅테크 데이터센터향 수주 공시; 50년 역사의 변곡점</t>
  </si>
  <si>
    <t>81497</t>
  </si>
  <si>
    <t>81496</t>
  </si>
  <si>
    <t>의심할 여지가 없는 성장구간</t>
  </si>
  <si>
    <t>81495</t>
  </si>
  <si>
    <t>탐방노트</t>
  </si>
  <si>
    <t>81494</t>
  </si>
  <si>
    <t>중국 매출 성장률 반등 긍정적</t>
  </si>
  <si>
    <t>81493</t>
  </si>
  <si>
    <t>2025-03-18</t>
  </si>
  <si>
    <t>하반기부터 본격화될 마진 개선</t>
  </si>
  <si>
    <t>81492</t>
  </si>
  <si>
    <t>순차적으로 회복 중</t>
  </si>
  <si>
    <t>81491</t>
  </si>
  <si>
    <t>아쉬운 4분기지만 북미 모멘텀은 확인할 필요</t>
  </si>
  <si>
    <t>81490</t>
  </si>
  <si>
    <t>JYP스러움이 필요한 때</t>
  </si>
  <si>
    <t>81489</t>
  </si>
  <si>
    <t>글로벌 방산 성장 스토리의 동반자</t>
  </si>
  <si>
    <t>81488</t>
  </si>
  <si>
    <t>장기 성장성 확보를 위한 집중 투자 구간</t>
  </si>
  <si>
    <t>81487</t>
  </si>
  <si>
    <t>국내 1위 보안관제. AI·OT 보안으로 사업영역 확장</t>
  </si>
  <si>
    <t>81486</t>
  </si>
  <si>
    <t>아이티센</t>
  </si>
  <si>
    <t>과천 사옥 이전 계기로 계열사 간 시너지 강화</t>
  </si>
  <si>
    <t>81485</t>
  </si>
  <si>
    <t>매출 일시 반영과 일회성 비용의 콜라보</t>
  </si>
  <si>
    <t>81484</t>
  </si>
  <si>
    <t>MD 전략 변화가 필요한 시점</t>
  </si>
  <si>
    <t>81483</t>
  </si>
  <si>
    <t>아휴~ 돈 들 일이 많네</t>
  </si>
  <si>
    <t>81482</t>
  </si>
  <si>
    <t>국산 식각 장비의 자존심</t>
  </si>
  <si>
    <t>81481</t>
  </si>
  <si>
    <t>아스트라제네카로 새로운 국면</t>
  </si>
  <si>
    <t>81480</t>
  </si>
  <si>
    <t>하반기 느좋</t>
  </si>
  <si>
    <t>81479</t>
  </si>
  <si>
    <t>커머스 느좋</t>
  </si>
  <si>
    <t>81478</t>
  </si>
  <si>
    <t>깔끔하게 털고, 이제 게임 ON</t>
  </si>
  <si>
    <t>81477</t>
  </si>
  <si>
    <t>제4인뱅 철회, 더 잘할 수 있는 것에 집중</t>
  </si>
  <si>
    <t>81476</t>
  </si>
  <si>
    <t>2025-03-17</t>
  </si>
  <si>
    <t>올리브영 지배구조 변화 추진</t>
  </si>
  <si>
    <t>81475</t>
  </si>
  <si>
    <t>중요한 것은 꺾이지 않는 수주</t>
  </si>
  <si>
    <t>81474</t>
  </si>
  <si>
    <t>월 수주 신기록 경신</t>
  </si>
  <si>
    <t>81473</t>
  </si>
  <si>
    <t>P/E 7배 수준에 불과</t>
  </si>
  <si>
    <t>81472</t>
  </si>
  <si>
    <t>자기주식 3,500억원 취득 및 소각 예정</t>
  </si>
  <si>
    <t>81471</t>
  </si>
  <si>
    <t>DN솔루션즈의 상장 소식</t>
  </si>
  <si>
    <t>81470</t>
  </si>
  <si>
    <t>브랜드 성장은 확인 완료, 이제는 소비 회복 기다리기</t>
  </si>
  <si>
    <t>81469</t>
  </si>
  <si>
    <t>매력적인 구간. 매수 타이밍</t>
  </si>
  <si>
    <t>81468</t>
  </si>
  <si>
    <t>4가지 성장 축</t>
  </si>
  <si>
    <t>81467</t>
  </si>
  <si>
    <t>자사주 매입 통한 배당락 변동성 축소 기대</t>
  </si>
  <si>
    <t>81466</t>
  </si>
  <si>
    <t>우려보다 반등에 대한 고민이 필요할 때</t>
  </si>
  <si>
    <t>81465</t>
  </si>
  <si>
    <t>펀더멘털 이상無! Easy하게 BUY요</t>
  </si>
  <si>
    <t>81464</t>
  </si>
  <si>
    <t>콥데이 後記: 하반기 2세대 AR 출시 수혜</t>
  </si>
  <si>
    <t>81463</t>
  </si>
  <si>
    <t>4Q24 Review: 신제품 출시 효과 기대</t>
  </si>
  <si>
    <t>81462</t>
  </si>
  <si>
    <t>브로커리지 그 잡채</t>
  </si>
  <si>
    <t>81461</t>
  </si>
  <si>
    <t>양호한 방향성에 축소되는 불확실성</t>
  </si>
  <si>
    <t>81460</t>
  </si>
  <si>
    <t>배터리 투자 확대를 위한 유상증자 발표</t>
  </si>
  <si>
    <t>81459</t>
  </si>
  <si>
    <t>스토리 및 밸류에이션 매력적</t>
  </si>
  <si>
    <t>81458</t>
  </si>
  <si>
    <t>SMR 사업 확대 및 지배구조 수혜</t>
  </si>
  <si>
    <t>81457</t>
  </si>
  <si>
    <t>유럽 재무장 (ReArm) 수혜 기대</t>
  </si>
  <si>
    <t>81456</t>
  </si>
  <si>
    <t>2025-03-14</t>
  </si>
  <si>
    <t>성장으로 복귀 중</t>
  </si>
  <si>
    <t>81455</t>
  </si>
  <si>
    <t>의료 장벽을 허무는 Game Changer</t>
  </si>
  <si>
    <t>81454</t>
  </si>
  <si>
    <t>미용의료 동서양 풀 커버리지</t>
  </si>
  <si>
    <t>81453</t>
  </si>
  <si>
    <t>전립선암 임상 3상 디자인, 진단법 주목</t>
  </si>
  <si>
    <t>81452</t>
  </si>
  <si>
    <t>유전체는 알고 있다</t>
  </si>
  <si>
    <t>81451</t>
  </si>
  <si>
    <t>변화를 향한 ‘진심’</t>
  </si>
  <si>
    <t>81450</t>
  </si>
  <si>
    <t>미국으로 나아가는 국내 1위 톡신 ‘레티보’</t>
  </si>
  <si>
    <t>81449</t>
  </si>
  <si>
    <t>2025-03-13</t>
  </si>
  <si>
    <t>분위기 반전 성공. 턴어라운드는 2분기부터</t>
  </si>
  <si>
    <t>81448</t>
  </si>
  <si>
    <t>가격 인상+신라면 툼바 글로벌 론칭 Vs. 마케팅비 지출 확대</t>
  </si>
  <si>
    <t>81447</t>
  </si>
  <si>
    <t>오버행 우려보다는 주주환원 확대 규모에 더 주목해야</t>
  </si>
  <si>
    <t>81446</t>
  </si>
  <si>
    <t>메탈가 반등이나 정책적 지원이 필요</t>
  </si>
  <si>
    <t>81445</t>
  </si>
  <si>
    <t>4Q24 Re: 실적 부진은 선반영, 2025년을 기대</t>
  </si>
  <si>
    <t>81444</t>
  </si>
  <si>
    <t>[NDR 후기] 작년의 부진을 만회할 카드 준비</t>
  </si>
  <si>
    <t>81443</t>
  </si>
  <si>
    <t>[NDR 후기] 아무리 생각해도...</t>
  </si>
  <si>
    <t>81442</t>
  </si>
  <si>
    <t>Corporate Day 후기: 작은 시장이 맵다</t>
  </si>
  <si>
    <t>81441</t>
  </si>
  <si>
    <t>4Q24 Review: 업황 고민은 그만</t>
  </si>
  <si>
    <t>81440</t>
  </si>
  <si>
    <t>매운 쇼크 뒤에는 반등이</t>
  </si>
  <si>
    <t>81439</t>
  </si>
  <si>
    <t>드러나는 성장성</t>
  </si>
  <si>
    <t>81438</t>
  </si>
  <si>
    <t>콥데이 後記: 신사업에 대한 기대</t>
  </si>
  <si>
    <t>81437</t>
  </si>
  <si>
    <t>81436</t>
  </si>
  <si>
    <t>약속의 2025년에 들어서며</t>
  </si>
  <si>
    <t>81435</t>
  </si>
  <si>
    <t>신제품이 견인하는 수출 성장이 이어진다</t>
  </si>
  <si>
    <t>81434</t>
  </si>
  <si>
    <t>009200</t>
  </si>
  <si>
    <t>무림페이퍼</t>
  </si>
  <si>
    <t>무림P&amp;P를 보유한 인쇄용지 전문기업</t>
  </si>
  <si>
    <t>81433</t>
  </si>
  <si>
    <t>좋은 흐름 이어진다</t>
  </si>
  <si>
    <t>81432</t>
  </si>
  <si>
    <t>위기에서 드러나는 포트폴리오의 힘</t>
  </si>
  <si>
    <t>81431</t>
  </si>
  <si>
    <t>2025-03-12</t>
  </si>
  <si>
    <t>예상보다 빠른 레거시 수요 개선으로 인한 추정치 상향</t>
  </si>
  <si>
    <t>81430</t>
  </si>
  <si>
    <t>003030</t>
  </si>
  <si>
    <t>세아제강지주</t>
  </si>
  <si>
    <t>미국의 철강 수입 규제와 LNG 프로젝트 확대 수혜 기대</t>
  </si>
  <si>
    <t>81429</t>
  </si>
  <si>
    <t>MMORPG의 성과가 중요</t>
  </si>
  <si>
    <t>81428</t>
  </si>
  <si>
    <t>수급으로 봐도 주가 오를 수 밖에 없는 구조</t>
  </si>
  <si>
    <t>81427</t>
  </si>
  <si>
    <t>시동을 걸었을 뿐</t>
  </si>
  <si>
    <t>81426</t>
  </si>
  <si>
    <t>견조한 R&amp;D 수요와 양산 소켓 수요 회복</t>
  </si>
  <si>
    <t>81425</t>
  </si>
  <si>
    <t>Quality 주식 그 이상</t>
  </si>
  <si>
    <t>81424</t>
  </si>
  <si>
    <t>1Q 깜작실적, 다시 보자!</t>
  </si>
  <si>
    <t>81423</t>
  </si>
  <si>
    <t>지금까진 센티멘트, 앞으론 펀더멘탈</t>
  </si>
  <si>
    <t>81422</t>
  </si>
  <si>
    <t>새만금 공장 두둥등장, 기다림의 끝</t>
  </si>
  <si>
    <t>81421</t>
  </si>
  <si>
    <t>기대 이상의 실적, 주가는 과매도 구간</t>
  </si>
  <si>
    <t>81420</t>
  </si>
  <si>
    <t>019680</t>
  </si>
  <si>
    <t>대교</t>
  </si>
  <si>
    <t>수익성 개선 및 시니어 사업에 대한 기대</t>
  </si>
  <si>
    <t>81419</t>
  </si>
  <si>
    <t>하반기 해외 모멘텀 본격화</t>
  </si>
  <si>
    <t>81418</t>
  </si>
  <si>
    <t>2025-03-11</t>
  </si>
  <si>
    <t>Physical play</t>
  </si>
  <si>
    <t>81417</t>
  </si>
  <si>
    <t>[NDR 후기] 광고 견조한데 커머스 상향 가능성 높아</t>
  </si>
  <si>
    <t>81416</t>
  </si>
  <si>
    <t>유텔샛 원웹, 우려가 기회로</t>
  </si>
  <si>
    <t>81415</t>
  </si>
  <si>
    <t>008040</t>
  </si>
  <si>
    <t>사조동아원</t>
  </si>
  <si>
    <t>라면 성장의 숨은 수혜주</t>
  </si>
  <si>
    <t>81414</t>
  </si>
  <si>
    <t>2025년 해외 확장과 이익 턴어라운드</t>
  </si>
  <si>
    <t>81413</t>
  </si>
  <si>
    <t>스리라차, 타바스코, ''불닭'' 레츠고</t>
  </si>
  <si>
    <t>81412</t>
  </si>
  <si>
    <t>메로나로 미국을 녹이다</t>
  </si>
  <si>
    <t>81411</t>
  </si>
  <si>
    <t>81410</t>
  </si>
  <si>
    <t>글로벌 식품 리더로 도약</t>
  </si>
  <si>
    <t>81409</t>
  </si>
  <si>
    <t>인도가 열어줄 성장</t>
  </si>
  <si>
    <t>81408</t>
  </si>
  <si>
    <t>러시아 종전이 가져올 기회</t>
  </si>
  <si>
    <t>81407</t>
  </si>
  <si>
    <t>가격 인상과 글로벌 확장으로 재도약</t>
  </si>
  <si>
    <t>81406</t>
  </si>
  <si>
    <t>불닭의 질주, 황제주로 가는 길</t>
  </si>
  <si>
    <t>81405</t>
  </si>
  <si>
    <t>에어로 지분가치만 10조</t>
  </si>
  <si>
    <t>81404</t>
  </si>
  <si>
    <t xml:space="preserve"> 1Q 실적 호조, AI, 로봇, 유리기판 추진~</t>
  </si>
  <si>
    <t>81403</t>
  </si>
  <si>
    <t>실적 체력 확인, 반등을 기대하며</t>
  </si>
  <si>
    <t>81402</t>
  </si>
  <si>
    <t>실적으로 증명될 가치</t>
  </si>
  <si>
    <t>81401</t>
  </si>
  <si>
    <t>099410</t>
  </si>
  <si>
    <t>동방선기</t>
  </si>
  <si>
    <t>저평가된 조선기자재 업체</t>
  </si>
  <si>
    <t>81400</t>
  </si>
  <si>
    <t>캐즘 이후, 빛을 발할 모멘텀이 많다</t>
  </si>
  <si>
    <t>81399</t>
  </si>
  <si>
    <t>009520</t>
  </si>
  <si>
    <t>포스코엠텍</t>
  </si>
  <si>
    <t>2024~2025 철강원료 사업부문이 매출 성장 견인</t>
  </si>
  <si>
    <t>81398</t>
  </si>
  <si>
    <t>2025-03-10</t>
  </si>
  <si>
    <t>계획대로 이어질 고성장</t>
  </si>
  <si>
    <t>81397</t>
  </si>
  <si>
    <t>여전히 글로벌 진출을 기다리는 중</t>
  </si>
  <si>
    <t>81396</t>
  </si>
  <si>
    <t>증권업 차선호주 제시</t>
  </si>
  <si>
    <t>81395</t>
  </si>
  <si>
    <t>1Q 실적 호조, 최고 위치를 재탈환 전망</t>
  </si>
  <si>
    <t>81394</t>
  </si>
  <si>
    <t>거래대금 증가 수혜에 우량한 환원까지</t>
  </si>
  <si>
    <t>81393</t>
  </si>
  <si>
    <t>재평가가 필요한 시점</t>
  </si>
  <si>
    <t>81392</t>
  </si>
  <si>
    <t>이뮬도사 출시로 CMO 성장 및 동사 로열티 수익 본격화</t>
  </si>
  <si>
    <t>81391</t>
  </si>
  <si>
    <t>실내외용 주차로봇 매출처 확대로 성장성 가속화</t>
  </si>
  <si>
    <t>81390</t>
  </si>
  <si>
    <t>자사주 소각 등 주주환원 확대 기대됨</t>
  </si>
  <si>
    <t>81389</t>
  </si>
  <si>
    <t>털어내고 이륙 준비</t>
  </si>
  <si>
    <t>81388</t>
  </si>
  <si>
    <t>미국과 중동이 이끌 슈퍼사이클</t>
  </si>
  <si>
    <t>81387</t>
  </si>
  <si>
    <t>2025-03-07</t>
  </si>
  <si>
    <t>4Q24 Review 중국 비중 감소와 비용반영</t>
  </si>
  <si>
    <t>81386</t>
  </si>
  <si>
    <t>변화의 서막</t>
  </si>
  <si>
    <t>81385</t>
  </si>
  <si>
    <t>2년 6개월 만의 가격 인상</t>
  </si>
  <si>
    <t>81384</t>
  </si>
  <si>
    <t>아직 밸류에이션을 걱정할 시점이 아니다</t>
  </si>
  <si>
    <t>81383</t>
  </si>
  <si>
    <t>AI로 성장성 회복</t>
  </si>
  <si>
    <t>81382</t>
  </si>
  <si>
    <t>AI로 수익성 개선</t>
  </si>
  <si>
    <t>81381</t>
  </si>
  <si>
    <t>에너지 3법 최대 수혜주</t>
  </si>
  <si>
    <t>81380</t>
  </si>
  <si>
    <t>LS전선의 베트남 전진기지</t>
  </si>
  <si>
    <t>81379</t>
  </si>
  <si>
    <t>아내가 긍정했던 거의 유일한 선물</t>
  </si>
  <si>
    <t>81378</t>
  </si>
  <si>
    <t>170030</t>
  </si>
  <si>
    <t>현대공업</t>
  </si>
  <si>
    <t>미국 공장 본격 가동 + 고객사 다변화 = 관세장벽 극복</t>
  </si>
  <si>
    <t>81377</t>
  </si>
  <si>
    <t>NDR 후기: 변하기 위해 노력하는 금쪽이</t>
  </si>
  <si>
    <t>81376</t>
  </si>
  <si>
    <t>중국이 끌고, 미국이 밀고</t>
  </si>
  <si>
    <t>81375</t>
  </si>
  <si>
    <t>첨단 산업 제조 공정을 더 빠르고 정확하게</t>
  </si>
  <si>
    <t>81374</t>
  </si>
  <si>
    <t>4년만에 봄</t>
  </si>
  <si>
    <t>81373</t>
  </si>
  <si>
    <t>분위기 반전</t>
  </si>
  <si>
    <t>81372</t>
  </si>
  <si>
    <t>국내시장에 드디어 무보정 CGM이 온다</t>
  </si>
  <si>
    <t>81371</t>
  </si>
  <si>
    <t>2025-03-06</t>
  </si>
  <si>
    <t>한국에서는 익숙 VS. 해외에서는 신선</t>
  </si>
  <si>
    <t>81370</t>
  </si>
  <si>
    <t>공무원 사업 철수로 수익성 개선</t>
  </si>
  <si>
    <t>81369</t>
  </si>
  <si>
    <t>화승인더 개별 실적에 대한 재평가 필요</t>
  </si>
  <si>
    <t>81368</t>
  </si>
  <si>
    <t>큰 잠재력을 갖고 있는 기업</t>
  </si>
  <si>
    <t>81367</t>
  </si>
  <si>
    <t>시대적 변화에 발맞춰 가는 중</t>
  </si>
  <si>
    <t>81366</t>
  </si>
  <si>
    <t>여전히 높은 잠재력을 보유</t>
  </si>
  <si>
    <t>81365</t>
  </si>
  <si>
    <t>도파민 시대에 맞는 기업</t>
  </si>
  <si>
    <t>81364</t>
  </si>
  <si>
    <t>미래에 대한 청사진을 그려볼 시기</t>
  </si>
  <si>
    <t>81363</t>
  </si>
  <si>
    <t>디레이팅 불가피. 투자의견 ‘매도’로 하향</t>
  </si>
  <si>
    <t>81362</t>
  </si>
  <si>
    <t>강력한 커머스 모멘텀 임박</t>
  </si>
  <si>
    <t>81361</t>
  </si>
  <si>
    <t>다가오는 반전의 시간</t>
  </si>
  <si>
    <t>81360</t>
  </si>
  <si>
    <t>부진한 업황 앞에 장사 없다</t>
  </si>
  <si>
    <t>81359</t>
  </si>
  <si>
    <t>1Q 깜작실적 예상, 2025년 역성장 우려를 상쇄</t>
  </si>
  <si>
    <t>81358</t>
  </si>
  <si>
    <t>커머스 사업 박차, 앱 출시일 확정과 수수료 인상</t>
  </si>
  <si>
    <t>81357</t>
  </si>
  <si>
    <t>도약을 위한 성장통</t>
  </si>
  <si>
    <t>81356</t>
  </si>
  <si>
    <t>점진적인 확대에 의미</t>
  </si>
  <si>
    <t>81355</t>
  </si>
  <si>
    <t>4Q24 Review: 분기 최대 매출액 달성</t>
  </si>
  <si>
    <t>81354</t>
  </si>
  <si>
    <t>이제는 다시 봐야할 때</t>
  </si>
  <si>
    <t>81353</t>
  </si>
  <si>
    <t>25년 기대 요인</t>
  </si>
  <si>
    <t>81352</t>
  </si>
  <si>
    <t>임상 결과를 앞두고 투자포인트 점검</t>
  </si>
  <si>
    <t>81351</t>
  </si>
  <si>
    <t>중국 반등, 긴가민가 어딘가 아리까리해</t>
  </si>
  <si>
    <t>81350</t>
  </si>
  <si>
    <t>반도체 전구체, 석화촉매, 전고체전지 소재 기업</t>
  </si>
  <si>
    <t>81349</t>
  </si>
  <si>
    <t>009580</t>
  </si>
  <si>
    <t>무림P&amp;P</t>
  </si>
  <si>
    <t>국내 유일의 종합펄프제지 업체</t>
  </si>
  <si>
    <t>81348</t>
  </si>
  <si>
    <t>2025-03-05</t>
  </si>
  <si>
    <t>역대급 4분기 실적. 비수기의 반전</t>
  </si>
  <si>
    <t>81347</t>
  </si>
  <si>
    <t>K-Beauty 글로벌 시장 개척 중!</t>
  </si>
  <si>
    <t>81346</t>
  </si>
  <si>
    <t>올해도 녹록치 않을 업황</t>
  </si>
  <si>
    <t>81345</t>
  </si>
  <si>
    <t>2025년, 2가지 위기에서 탈출 시작하다!</t>
  </si>
  <si>
    <t>81344</t>
  </si>
  <si>
    <t>4Q24 Review: 힘을 숨긴 알짜</t>
  </si>
  <si>
    <t>81343</t>
  </si>
  <si>
    <t>미국 하부구조물 수주계약 해지 코멘트</t>
  </si>
  <si>
    <t>81342</t>
  </si>
  <si>
    <t>시나리오별 중국 매출 추정</t>
  </si>
  <si>
    <t>81341</t>
  </si>
  <si>
    <t>25년 1분기부터 당장 이익 증가세 전환 전망</t>
  </si>
  <si>
    <t>81340</t>
  </si>
  <si>
    <t>재생에너지 투자가 되든 안되든 수혜 전망</t>
  </si>
  <si>
    <t>81339</t>
  </si>
  <si>
    <t>나만 알고 싶던 미용의료 수혜주</t>
  </si>
  <si>
    <t>81338</t>
  </si>
  <si>
    <t>4분기에 영업이익 흑자</t>
  </si>
  <si>
    <t>81337</t>
  </si>
  <si>
    <t>4Q24 Review: 3분기 연속 최대 매출 갱신</t>
  </si>
  <si>
    <t>81336</t>
  </si>
  <si>
    <t>4Q24 Review: 수익성 개선 지속 기대</t>
  </si>
  <si>
    <t>81335</t>
  </si>
  <si>
    <t>DDR5 용 Pkg. Substrate 성공 여부가 관건</t>
  </si>
  <si>
    <t>81334</t>
  </si>
  <si>
    <t>견조한 Parts 수요 예상</t>
  </si>
  <si>
    <t>81333</t>
  </si>
  <si>
    <t>2025-03-04</t>
  </si>
  <si>
    <t>급이 다른 성장 궤도 진입</t>
  </si>
  <si>
    <t>81332</t>
  </si>
  <si>
    <t>올리브영과 K-뷰티로 실적 ‘리프팅’</t>
  </si>
  <si>
    <t>81331</t>
  </si>
  <si>
    <t>시장 기대치 하회. 실적 추정치 상향</t>
  </si>
  <si>
    <t>81330</t>
  </si>
  <si>
    <t>005010</t>
  </si>
  <si>
    <t>휴스틸</t>
  </si>
  <si>
    <t>트럼프의 2가지 정책에 정확히 부합하는 회사!</t>
  </si>
  <si>
    <t>81329</t>
  </si>
  <si>
    <t>[4Q24 Review] 그래도 방향성은 뚜렷</t>
  </si>
  <si>
    <t>81328</t>
  </si>
  <si>
    <t>글로벌 K-Beauty 선두주자로 도약</t>
  </si>
  <si>
    <t>81327</t>
  </si>
  <si>
    <t>코스맥스가 화장품 섹터를 살렸다</t>
  </si>
  <si>
    <t>81325</t>
  </si>
  <si>
    <t>보여줄 것이 많은 25년</t>
  </si>
  <si>
    <t>81324</t>
  </si>
  <si>
    <t xml:space="preserve">HPC용 반도체의 본원적 경쟁력 상승이 필요 </t>
  </si>
  <si>
    <t>81323</t>
  </si>
  <si>
    <t>밸류에이션 정상화에 기대</t>
  </si>
  <si>
    <t>81322</t>
  </si>
  <si>
    <t>높아진 실적 가시성  낮아진 주가</t>
  </si>
  <si>
    <t>81321</t>
  </si>
  <si>
    <t>25년은 상저하고의 흐름 기대</t>
  </si>
  <si>
    <t>81320</t>
  </si>
  <si>
    <t>미국 구리 관세? 오히려 좋아</t>
  </si>
  <si>
    <t>81319</t>
  </si>
  <si>
    <t xml:space="preserve">2025년 정말로 기대됩니다! </t>
  </si>
  <si>
    <t>81318</t>
  </si>
  <si>
    <t>더 이상 모른척할 수 없는 자율주행 기회</t>
  </si>
  <si>
    <t>81317</t>
  </si>
  <si>
    <t>드론 고성장을 어떻게 표현할 방법이 없네</t>
  </si>
  <si>
    <t>81316</t>
  </si>
  <si>
    <t>AAAAI 결과 발표, 알레르기 게임 체인저</t>
  </si>
  <si>
    <t>81315</t>
  </si>
  <si>
    <t>해상풍력특별법 통과 최대 수혜주</t>
  </si>
  <si>
    <t>81314</t>
  </si>
  <si>
    <t>주식 수급과 Valuation Merit는 좋으나 본원 경쟁력 회복은 아직</t>
  </si>
  <si>
    <t>81313</t>
  </si>
  <si>
    <t>당분간 18~24만원의 구간대에서 움직일 듯</t>
  </si>
  <si>
    <t>81312</t>
  </si>
  <si>
    <t>배당, 호수 위 달 그림자</t>
  </si>
  <si>
    <t>81311</t>
  </si>
  <si>
    <t>지나간 4분기, 기대되는 2025</t>
  </si>
  <si>
    <t>81310</t>
  </si>
  <si>
    <t>4Q24 Re: 추가 요금 인상만 있다면…!</t>
  </si>
  <si>
    <t>81309</t>
  </si>
  <si>
    <t>4Q24 Re 더딘 실적 성장보다 확대되는 LNG 기대</t>
  </si>
  <si>
    <t>81308</t>
  </si>
  <si>
    <t>밸류업, 불완전함 속에서 놓칠 수 없는 가치</t>
  </si>
  <si>
    <t>81307</t>
  </si>
  <si>
    <t>지속적인 해외 매출 성장 기대</t>
  </si>
  <si>
    <t>81306</t>
  </si>
  <si>
    <t>주주환원 정책이 주가 하방 지지</t>
  </si>
  <si>
    <t>81305</t>
  </si>
  <si>
    <t>2년만에 재개된 중국 전기차향 MLCC 공급</t>
  </si>
  <si>
    <t>81304</t>
  </si>
  <si>
    <t>2025-02-28</t>
  </si>
  <si>
    <t>올해 전망 맑음</t>
  </si>
  <si>
    <t>81303</t>
  </si>
  <si>
    <t>신사업 성과로 밸류에이션 확장 전망</t>
  </si>
  <si>
    <t>81302</t>
  </si>
  <si>
    <t>수익성 개선과 관세에 높은 관심</t>
  </si>
  <si>
    <t>81301</t>
  </si>
  <si>
    <t>매력적인 신성장 동력 확보</t>
  </si>
  <si>
    <t>81300</t>
  </si>
  <si>
    <t>레벨업이 기대되는 리쥬란</t>
  </si>
  <si>
    <t>81299</t>
  </si>
  <si>
    <t>유리기판의 양산 시점을 주목할 때</t>
  </si>
  <si>
    <t>81298</t>
  </si>
  <si>
    <t>2025-02-27</t>
  </si>
  <si>
    <t>묵은 때를 모두 벗기다</t>
  </si>
  <si>
    <t>81297</t>
  </si>
  <si>
    <t>화장품 역대 최대 실적 기록</t>
  </si>
  <si>
    <t>81296</t>
  </si>
  <si>
    <t>불확실성 감안해도 전년대비 성장</t>
  </si>
  <si>
    <t>81295</t>
  </si>
  <si>
    <t>太光을 기다리며</t>
  </si>
  <si>
    <t>81294</t>
  </si>
  <si>
    <t>북미 성장 둔화 + 경쟁 심화</t>
  </si>
  <si>
    <t>81293</t>
  </si>
  <si>
    <t>3월 전략 - 그래도 주가는 오를 것입니다</t>
  </si>
  <si>
    <t>81292</t>
  </si>
  <si>
    <t>3월 전략 - 신뢰도 높아지면서 주가 오를 것</t>
  </si>
  <si>
    <t>81291</t>
  </si>
  <si>
    <t>3월 전략 - KT가 통신업종 시총 1등이 될 것 같아요</t>
  </si>
  <si>
    <t>81290</t>
  </si>
  <si>
    <t>올해 성장 예상되나, 다소 아쉬운 성장세</t>
  </si>
  <si>
    <t>81289</t>
  </si>
  <si>
    <t>올랐지만 안올랐습니다</t>
  </si>
  <si>
    <t>81288</t>
  </si>
  <si>
    <t>사상 최대 실적</t>
  </si>
  <si>
    <t>81287</t>
  </si>
  <si>
    <t>[다시봐] 사상 최대 실적!</t>
  </si>
  <si>
    <t>81286</t>
  </si>
  <si>
    <t>Contec을 Contact해 볼 시점</t>
  </si>
  <si>
    <t>81285</t>
  </si>
  <si>
    <t>4Q24RE: 올해를 보수적으로 봐도</t>
  </si>
  <si>
    <t>81284</t>
  </si>
  <si>
    <t>축산물 유통시장의 게임 체인저</t>
  </si>
  <si>
    <t>81283</t>
  </si>
  <si>
    <t>유럽과 미국에서 동반 성장 전망</t>
  </si>
  <si>
    <t>81282</t>
  </si>
  <si>
    <t>4분기 공연과 MD의 유의미한 성장세 확인</t>
  </si>
  <si>
    <t>81281</t>
  </si>
  <si>
    <t>25년 준비 완료</t>
  </si>
  <si>
    <t>81280</t>
  </si>
  <si>
    <t>4Q24 Review: 기대해도 좋아</t>
  </si>
  <si>
    <t>81279</t>
  </si>
  <si>
    <t>다시 볼 이유: 싸고, 실적 좋고, 촉매 있고</t>
  </si>
  <si>
    <t>81278</t>
  </si>
  <si>
    <t>1분기까지는 불확실성 잔존</t>
  </si>
  <si>
    <t>81277</t>
  </si>
  <si>
    <t>NDR 후기: 견고한 실적, 필요한 관심</t>
  </si>
  <si>
    <t>81276</t>
  </si>
  <si>
    <t>한올에게 가장 중요할 1분기</t>
  </si>
  <si>
    <t>81275</t>
  </si>
  <si>
    <t>그룹 차원의 해외 사업 시너지 강화</t>
  </si>
  <si>
    <t>81274</t>
  </si>
  <si>
    <t>2025-02-26</t>
  </si>
  <si>
    <t>4Q24 Re: 유럽에서의 성장에 주목</t>
  </si>
  <si>
    <t>81273</t>
  </si>
  <si>
    <t>발행 주식의 6% 소각 결정</t>
  </si>
  <si>
    <t>81272</t>
  </si>
  <si>
    <t>본 게임은 이제부터</t>
  </si>
  <si>
    <t>81271</t>
  </si>
  <si>
    <t>1월 Re: 춘절 시점 차이 영향. 베트남/러시아 순항 중</t>
  </si>
  <si>
    <t>81270</t>
  </si>
  <si>
    <t>4Q24 Re: 이제 미국에서 콜마 매력 보여주기 (QnA 포함)</t>
  </si>
  <si>
    <t>81269</t>
  </si>
  <si>
    <t>국내 호조 + 북미 강세</t>
  </si>
  <si>
    <t>81268</t>
  </si>
  <si>
    <t>BTS 컴백과 4팀의 신인 남자 그룹 데뷔</t>
  </si>
  <si>
    <t>81267</t>
  </si>
  <si>
    <t>꽃시절의 시작(화양연화 again)</t>
  </si>
  <si>
    <t>81266</t>
  </si>
  <si>
    <t>4Q24 리뷰: 매출액 상회, 영업이익 하회</t>
  </si>
  <si>
    <t>81265</t>
  </si>
  <si>
    <t>승리의 여신은 우리에게</t>
  </si>
  <si>
    <t>81264</t>
  </si>
  <si>
    <t>4Q24Re: 비용 증가로 컨센서스 하회</t>
  </si>
  <si>
    <t>81263</t>
  </si>
  <si>
    <t>현대엔지니어링, 세종안성 고속도로 붕괴 사고</t>
  </si>
  <si>
    <t>81262</t>
  </si>
  <si>
    <t>#25년 최대고비 1월 #성공적 #2월부터 기대해도 좋다</t>
  </si>
  <si>
    <t>81261</t>
  </si>
  <si>
    <t>역대 최대 매출, 역대 최저 이익률</t>
  </si>
  <si>
    <t>81260</t>
  </si>
  <si>
    <t>보란 듯이 실적으로 보여줬다!</t>
  </si>
  <si>
    <t>81259</t>
  </si>
  <si>
    <t>4Q24 Review: 압도적 실적</t>
  </si>
  <si>
    <t>81258</t>
  </si>
  <si>
    <t>1월 판매 실적</t>
  </si>
  <si>
    <t>81257</t>
  </si>
  <si>
    <t>4Q24P Review: 예측 범위 이내</t>
  </si>
  <si>
    <t>81256</t>
  </si>
  <si>
    <t>4Q24 Review: 턴어라운드에서 성장으로</t>
  </si>
  <si>
    <t>81255</t>
  </si>
  <si>
    <t>4Q24 Re: 25년 도약을 위한 준비</t>
  </si>
  <si>
    <t>81254</t>
  </si>
  <si>
    <t>4Q24 Review: 출입보안에서 통합보안으로</t>
  </si>
  <si>
    <t>81253</t>
  </si>
  <si>
    <t>4Q24 Review: 로봇 사업 본격화</t>
  </si>
  <si>
    <t>81252</t>
  </si>
  <si>
    <t>수익화 시점이 가장 빠른 AI 헬스케어 업체</t>
  </si>
  <si>
    <t>81251</t>
  </si>
  <si>
    <t>NDR 후기: 1Q25가 저점 전망</t>
  </si>
  <si>
    <t>81250</t>
  </si>
  <si>
    <t>관심도의 증가</t>
  </si>
  <si>
    <t>81249</t>
  </si>
  <si>
    <t>4Q24 Review: 성장은 계속된다</t>
  </si>
  <si>
    <t>81248</t>
  </si>
  <si>
    <t>쇼크 후에 보이는 것들(positive)</t>
  </si>
  <si>
    <t>81247</t>
  </si>
  <si>
    <t>주가 횡보구간엔 매수</t>
  </si>
  <si>
    <t>81246</t>
  </si>
  <si>
    <t>1월 잠정 실적 Comment:  명절 시점차에도 선방</t>
  </si>
  <si>
    <t>81245</t>
  </si>
  <si>
    <t>2025-02-25</t>
  </si>
  <si>
    <t>약세장을 버티는 힘: 정책과 주주환원</t>
  </si>
  <si>
    <t>81244</t>
  </si>
  <si>
    <t>중국 저점 통과</t>
  </si>
  <si>
    <t>81243</t>
  </si>
  <si>
    <t>중국향 실적 호조로 턴어라운드 전망</t>
  </si>
  <si>
    <t>81242</t>
  </si>
  <si>
    <t>4Q24 Re: ODM 왕좌의 위엄 (QnA 포함)</t>
  </si>
  <si>
    <t>81241</t>
  </si>
  <si>
    <t>역대 최대 매출 달성</t>
  </si>
  <si>
    <t>81240</t>
  </si>
  <si>
    <t>최대 실적 경신. 저평가된 멀티플</t>
  </si>
  <si>
    <t>81239</t>
  </si>
  <si>
    <t>염화칼륨이 견인하는 판가 상승 가능성</t>
  </si>
  <si>
    <t>81238</t>
  </si>
  <si>
    <t>원가 상승 구간</t>
  </si>
  <si>
    <t>81237</t>
  </si>
  <si>
    <t>4Q24 Review: 더할 나위 없는</t>
  </si>
  <si>
    <t>81236</t>
  </si>
  <si>
    <t>쇼 앤 프루브 ing</t>
  </si>
  <si>
    <t>81235</t>
  </si>
  <si>
    <t>후퇴는 추진력을 얻기 위함</t>
  </si>
  <si>
    <t>81234</t>
  </si>
  <si>
    <t>4Q 양호, 2025년 갤럭시S25(울트라) 매출 증가 기대</t>
  </si>
  <si>
    <t>81233</t>
  </si>
  <si>
    <t>올해도 기대해보자</t>
  </si>
  <si>
    <t>81232</t>
  </si>
  <si>
    <t>4Q24 Review: AI 사업 물꼬를 트다</t>
  </si>
  <si>
    <t>81231</t>
  </si>
  <si>
    <t>2025년 실적 성장성 제한적</t>
  </si>
  <si>
    <t>81230</t>
  </si>
  <si>
    <t>호실적보다 2025년에 주목</t>
  </si>
  <si>
    <t>81229</t>
  </si>
  <si>
    <t>기대 수준, 주가 하락 과도</t>
  </si>
  <si>
    <t>81228</t>
  </si>
  <si>
    <t>PUF 기반 보안칩과 양자내성암호(PQC) 기술 선도</t>
  </si>
  <si>
    <t>81227</t>
  </si>
  <si>
    <t>과감한 밸류업과 글로벌 확장, 다시 찾은 기회</t>
  </si>
  <si>
    <t>81226</t>
  </si>
  <si>
    <t>올해는 중국 시장 + 뷰티로 성장</t>
  </si>
  <si>
    <t>81225</t>
  </si>
  <si>
    <t>외형보다 실속</t>
  </si>
  <si>
    <t>81224</t>
  </si>
  <si>
    <t>2025-02-24</t>
  </si>
  <si>
    <t>여전히 미수금 감소 여부에 집중해야할 때</t>
  </si>
  <si>
    <t>81223</t>
  </si>
  <si>
    <t>절망 속에서 찾은 작은 희망의 씨앗</t>
  </si>
  <si>
    <t>81222</t>
  </si>
  <si>
    <t>AI 가속기로 고성장 고수익 구간 진입</t>
  </si>
  <si>
    <t>81221</t>
  </si>
  <si>
    <t>어려운 환경에도 성과를 내는 중</t>
  </si>
  <si>
    <t>81220</t>
  </si>
  <si>
    <t>NDR 후기: 명확한 전략 방향성</t>
  </si>
  <si>
    <t>81219</t>
  </si>
  <si>
    <t>4Q24 Re: 25년 상저하고 실적 전망</t>
  </si>
  <si>
    <t>81218</t>
  </si>
  <si>
    <t>81217</t>
  </si>
  <si>
    <t>81216</t>
  </si>
  <si>
    <t>견조한 타이어코드/수지. 아라미드 회복이 관건</t>
  </si>
  <si>
    <t>81215</t>
  </si>
  <si>
    <t>기저효과에 일회성 이익까지</t>
  </si>
  <si>
    <t>81214</t>
  </si>
  <si>
    <t>강화된 주주환원정책</t>
  </si>
  <si>
    <t>81213</t>
  </si>
  <si>
    <t>[4Q24 Review] 배당 재개 이후에도 남은 숙제</t>
  </si>
  <si>
    <t>81212</t>
  </si>
  <si>
    <t>경상 체력이 가장 우수한데, 저평가</t>
  </si>
  <si>
    <t>81211</t>
  </si>
  <si>
    <t>2025년 가이던스 발표: 성장 기회는 있다</t>
  </si>
  <si>
    <t>81210</t>
  </si>
  <si>
    <t>MARIPOSA OS 데이터 공개 주목(초록 3/20)</t>
  </si>
  <si>
    <t>81209</t>
  </si>
  <si>
    <t>해 뜨기 전 어두운 새벽</t>
  </si>
  <si>
    <t>81208</t>
  </si>
  <si>
    <t>안정적인 배당성향 상승 기대</t>
  </si>
  <si>
    <t>81207</t>
  </si>
  <si>
    <t>3분기 연속 서프라이즈</t>
  </si>
  <si>
    <t>81206</t>
  </si>
  <si>
    <t>밸류에이션 회복 국면</t>
  </si>
  <si>
    <t>81205</t>
  </si>
  <si>
    <t>4Q24 Review: 인도 진출은 새로운 기회</t>
  </si>
  <si>
    <t>81204</t>
  </si>
  <si>
    <t>배터리 부품 부진에도 소재 사업 성장으로 흑자 유지</t>
  </si>
  <si>
    <t>81203</t>
  </si>
  <si>
    <t>4Q24 Re: 놀라운 이익, 배당은 물음표</t>
  </si>
  <si>
    <t>81202</t>
  </si>
  <si>
    <t>제도 영향에도 여전히 상위권의 효율 지표 지속</t>
  </si>
  <si>
    <t>81201</t>
  </si>
  <si>
    <t>Restructuring progress</t>
  </si>
  <si>
    <t>81200</t>
  </si>
  <si>
    <t>다시 한번 걸어보는 기대</t>
  </si>
  <si>
    <t>81199</t>
  </si>
  <si>
    <t>밸류업 공시 임박</t>
  </si>
  <si>
    <t>81198</t>
  </si>
  <si>
    <t>검진 사업 기반 새로운 기업으로 거듭나기</t>
  </si>
  <si>
    <t>81197</t>
  </si>
  <si>
    <t>올해 전력 인프라 FC, 내년 전기차 DC-Link 성장성 가속화</t>
  </si>
  <si>
    <t>81196</t>
  </si>
  <si>
    <t>시간이 약이다</t>
  </si>
  <si>
    <t>81195</t>
  </si>
  <si>
    <t>올해 택배 및 미주 역직구 수요 증가로 실적개선</t>
  </si>
  <si>
    <t>81194</t>
  </si>
  <si>
    <t>4Q24 일회성 서프라이즈. 관 건은 배당, 요금 인상</t>
  </si>
  <si>
    <t>81193</t>
  </si>
  <si>
    <t>81192</t>
  </si>
  <si>
    <t>NDR takeaway: 실적, 성장, 주주환원</t>
  </si>
  <si>
    <t>81191</t>
  </si>
  <si>
    <t>밸류에이션 매력 부각 및 주주환원 확대 가속화</t>
  </si>
  <si>
    <t>81190</t>
  </si>
  <si>
    <t>아쉬운 대규모 CSM 조정</t>
  </si>
  <si>
    <t>81189</t>
  </si>
  <si>
    <t>AI 혁명의 진짜 수혜주</t>
  </si>
  <si>
    <t>81188</t>
  </si>
  <si>
    <t>주주환원 계획 발표된다면 큰 폭의 주가 상승 기대</t>
  </si>
  <si>
    <t>81187</t>
  </si>
  <si>
    <t>내실을 다지는 중</t>
  </si>
  <si>
    <t>81186</t>
  </si>
  <si>
    <t>제약, 건기식, 화장품까지 아우르기 시작</t>
  </si>
  <si>
    <t>81185</t>
  </si>
  <si>
    <t>2027년 영업이익 1조원(가이던스) 가능할까?</t>
  </si>
  <si>
    <t>81184</t>
  </si>
  <si>
    <t>넥쏘 후속 모델에 기대</t>
  </si>
  <si>
    <t>81183</t>
  </si>
  <si>
    <t>2025-02-21</t>
  </si>
  <si>
    <t>소문만 무성했던 잔치</t>
  </si>
  <si>
    <t>81182</t>
  </si>
  <si>
    <t>2025년 CXL, LPCAMM 등 새로운 반도체 개화의 수혜~</t>
  </si>
  <si>
    <t>81181</t>
  </si>
  <si>
    <t xml:space="preserve">용 꿈을 꾸었다. 꿈이 아니길 </t>
  </si>
  <si>
    <t>81180</t>
  </si>
  <si>
    <t>IPO 주관사 업데이트 - 하반기 턴어라운드 전망</t>
  </si>
  <si>
    <t>81179</t>
  </si>
  <si>
    <t>2025년 음식료 기업별 전망 #5</t>
  </si>
  <si>
    <t>81178</t>
  </si>
  <si>
    <t>기대 이전의 현실</t>
  </si>
  <si>
    <t>81177</t>
  </si>
  <si>
    <t>기대감의 약화</t>
  </si>
  <si>
    <t>81176</t>
  </si>
  <si>
    <t>CSM 증대와 환급금 제도 변경을 기대</t>
  </si>
  <si>
    <t>81175</t>
  </si>
  <si>
    <t>긍정적 이벤트 발생</t>
  </si>
  <si>
    <t>81174</t>
  </si>
  <si>
    <t>오스템임플란트의 직접영업 전략이 떠오른다</t>
  </si>
  <si>
    <t>81173</t>
  </si>
  <si>
    <t>NDR 후기: LOTTE 개선 포인트 ON</t>
  </si>
  <si>
    <t>81172</t>
  </si>
  <si>
    <t>일시적 기대감 약화일 뿐</t>
  </si>
  <si>
    <t>81171</t>
  </si>
  <si>
    <t>고단화 트렌드는 2025년에도 지속</t>
  </si>
  <si>
    <t>81170</t>
  </si>
  <si>
    <t>단기 실적보다 2H25 회복에 초점</t>
  </si>
  <si>
    <t>81169</t>
  </si>
  <si>
    <t>과도한 기대감보다 펀더멘털 중심 접근 필요</t>
  </si>
  <si>
    <t>81168</t>
  </si>
  <si>
    <t>실적은 양호했으나 여전한 부담 요인들</t>
  </si>
  <si>
    <t>81167</t>
  </si>
  <si>
    <t>실적 변동성은 아쉽지만 여전히 유효한 투자포인트</t>
  </si>
  <si>
    <t>81166</t>
  </si>
  <si>
    <t>전반적으로 무난한 실적과 자본 시현</t>
  </si>
  <si>
    <t>81165</t>
  </si>
  <si>
    <t>모멘텀 산재</t>
  </si>
  <si>
    <t>81164</t>
  </si>
  <si>
    <t>주목되는 HBM 분야 경쟁력</t>
  </si>
  <si>
    <t>81163</t>
  </si>
  <si>
    <t>카카오톡 최강의 AI서비스로 진화한다</t>
  </si>
  <si>
    <t>81162</t>
  </si>
  <si>
    <t>생각보다 빠르게 시작된 고객사 다변화</t>
  </si>
  <si>
    <t>81161</t>
  </si>
  <si>
    <t>2025-02-20</t>
  </si>
  <si>
    <t>전자 BG 어닝 서프라이즈</t>
  </si>
  <si>
    <t>81160</t>
  </si>
  <si>
    <t>NDR 후기 : 올해 반영될 성장 포인트 3가지 주목</t>
  </si>
  <si>
    <t>81159</t>
  </si>
  <si>
    <t>트럼프의 에너지 시대에서 LPG/LNG를 모두 유연하게 다룰 수 있다면?</t>
  </si>
  <si>
    <t>81158</t>
  </si>
  <si>
    <t>돌다리도 두드려 보고 건너라</t>
  </si>
  <si>
    <t>81157</t>
  </si>
  <si>
    <t>해외 투어 가는 신생 엔터테크</t>
  </si>
  <si>
    <t>81156</t>
  </si>
  <si>
    <t>트럼프의 에너지 시대에 기대보는 유가 하락 효과</t>
  </si>
  <si>
    <t>81155</t>
  </si>
  <si>
    <t>롱런 캐릭터로 진화</t>
  </si>
  <si>
    <t>81154</t>
  </si>
  <si>
    <t>중국 진출 임박, 기대감 가져보기 좋은 시점</t>
  </si>
  <si>
    <t>81153</t>
  </si>
  <si>
    <t>큐브 프로버 장비로 레벨업</t>
  </si>
  <si>
    <t>81152</t>
  </si>
  <si>
    <t>버티컬 AI 서비스, AI 휴먼 사업의 본격화</t>
  </si>
  <si>
    <t>81151</t>
  </si>
  <si>
    <t>보수적 가이던스에 실망 말자</t>
  </si>
  <si>
    <t>81150</t>
  </si>
  <si>
    <t>PER 10배보다, 회사가 강조하는 방향성에 집중</t>
  </si>
  <si>
    <t>81149</t>
  </si>
  <si>
    <t>하반기에 돌아올 &lt;귀멸의 칼날&gt; 극장판</t>
  </si>
  <si>
    <t>81148</t>
  </si>
  <si>
    <t>SKI E&amp;S 호주/싱가포르 사이트 투어 후기</t>
  </si>
  <si>
    <t>81147</t>
  </si>
  <si>
    <t>올해는 실적 성장의 가시성 높음</t>
  </si>
  <si>
    <t>81146</t>
  </si>
  <si>
    <t>미래를 원한다면, 증명하세요</t>
  </si>
  <si>
    <t>81145</t>
  </si>
  <si>
    <t>멀리서 길게 보면 희극</t>
  </si>
  <si>
    <t>81144</t>
  </si>
  <si>
    <t>9번째 연속 목표주가 상향</t>
  </si>
  <si>
    <t>81143</t>
  </si>
  <si>
    <t>4Q24 Review: 설립 후 20년 흑자 경영</t>
  </si>
  <si>
    <t>81142</t>
  </si>
  <si>
    <t>향후 이익체력에 대한 뚜렷한 기대감</t>
  </si>
  <si>
    <t>81141</t>
  </si>
  <si>
    <t>자사주 전량 소각으로 피력한 주주환원정책 의지</t>
  </si>
  <si>
    <t>81140</t>
  </si>
  <si>
    <t>밸류에이션 부담 낮아</t>
  </si>
  <si>
    <t>81139</t>
  </si>
  <si>
    <t>2025-02-19</t>
  </si>
  <si>
    <t>[NDR 후기] 기대되는 3가지 모멘텀</t>
  </si>
  <si>
    <t>81138</t>
  </si>
  <si>
    <t>2025년 음식료 기업별 전망 #3</t>
  </si>
  <si>
    <t>81137</t>
  </si>
  <si>
    <t>2025년 음식료 기업별 전망 #4</t>
  </si>
  <si>
    <t>81136</t>
  </si>
  <si>
    <t>관심이 이어지는 이유</t>
  </si>
  <si>
    <t>81135</t>
  </si>
  <si>
    <t>25년에도 이어질 실적개선 vs. 빠지는 주가</t>
  </si>
  <si>
    <t>81134</t>
  </si>
  <si>
    <t>든든한 지상국 헤리티지</t>
  </si>
  <si>
    <t>81133</t>
  </si>
  <si>
    <t xml:space="preserve"> 러시아 종전 수혜주? </t>
  </si>
  <si>
    <t>81132</t>
  </si>
  <si>
    <t>2Q 신차 모멘텀 기대</t>
  </si>
  <si>
    <t>81131</t>
  </si>
  <si>
    <t>PER 5배는 락바텀 구간</t>
  </si>
  <si>
    <t>81130</t>
  </si>
  <si>
    <t>4Q24 Review: 디스플레이 장비 매출 본격화 기대</t>
  </si>
  <si>
    <t>81129</t>
  </si>
  <si>
    <t>4Q24 Review: 신규 서비스 효과 기대</t>
  </si>
  <si>
    <t>81128</t>
  </si>
  <si>
    <t>하향된 눈높이 기준 12MF PER 9배</t>
  </si>
  <si>
    <t>81127</t>
  </si>
  <si>
    <t>095720</t>
  </si>
  <si>
    <t>웅진씽크빅</t>
  </si>
  <si>
    <t>기다림이 필요한 시기</t>
  </si>
  <si>
    <t>81126</t>
  </si>
  <si>
    <t>다소 느려도 확실한 방향성</t>
  </si>
  <si>
    <t>81125</t>
  </si>
  <si>
    <t>인도법인 IPO발 자사주 매입 조기 완료, 변동성 확대에 유의</t>
  </si>
  <si>
    <t>81124</t>
  </si>
  <si>
    <t>한국의 Recursion Pharmaceutical</t>
  </si>
  <si>
    <t>81123</t>
  </si>
  <si>
    <t>2025년 하반기부터 실적 턴어라운드 전망</t>
  </si>
  <si>
    <t>81122</t>
  </si>
  <si>
    <t>우려와 기대감이 공존하는 25년</t>
  </si>
  <si>
    <t>81121</t>
  </si>
  <si>
    <t>치과시장 보릿고개를 넘는 중</t>
  </si>
  <si>
    <t>81120</t>
  </si>
  <si>
    <t>2025-02-18</t>
  </si>
  <si>
    <t>어려운 외부 환경을 내부 전략으로 극복</t>
  </si>
  <si>
    <t>81119</t>
  </si>
  <si>
    <t>양자암호통신 본격 상용화, 5G/6G에서 기회 맞이할 것</t>
  </si>
  <si>
    <t>81118</t>
  </si>
  <si>
    <t>양자암호통신이 5G/6G 투자 이끌 것이라 주목</t>
  </si>
  <si>
    <t>81117</t>
  </si>
  <si>
    <t>81116</t>
  </si>
  <si>
    <t>주주환원 재개, 실적 모멘텀 부재의 아쉬움</t>
  </si>
  <si>
    <t>81115</t>
  </si>
  <si>
    <t>2025년, 뚜렷한 실적 모멘텀</t>
  </si>
  <si>
    <t>81114</t>
  </si>
  <si>
    <t>2025년 음식료 기업별 전망 #2</t>
  </si>
  <si>
    <t>81113</t>
  </si>
  <si>
    <t>2025년 초, 아라미드 회복 시그널 나타나다!</t>
  </si>
  <si>
    <t>81112</t>
  </si>
  <si>
    <t>2025년, 실적 기대감과 모멘텀을 겸비</t>
  </si>
  <si>
    <t>81111</t>
  </si>
  <si>
    <t>저평가에서 시작</t>
  </si>
  <si>
    <t>81110</t>
  </si>
  <si>
    <t>결국에는 담아야 할 종목</t>
  </si>
  <si>
    <t>81109</t>
  </si>
  <si>
    <t>4Q24 실적 이상무! 유럽 불확실성 보다 더 크게, 더 멀리 볼 게 많아요</t>
  </si>
  <si>
    <t>81108</t>
  </si>
  <si>
    <t>2025년에 대한 우려 과도</t>
  </si>
  <si>
    <t>81107</t>
  </si>
  <si>
    <t>4Q24 Review: 북미 지역 성장세 지속</t>
  </si>
  <si>
    <t>81106</t>
  </si>
  <si>
    <t>더욱 높아진 가격 측면의 매력</t>
  </si>
  <si>
    <t>81105</t>
  </si>
  <si>
    <t>4Q24 Re: 가슴이 뜨거워지는 스토리</t>
  </si>
  <si>
    <t>81104</t>
  </si>
  <si>
    <t>성장 동력 변화</t>
  </si>
  <si>
    <t>81103</t>
  </si>
  <si>
    <t>밸류에이션 매력 확인</t>
  </si>
  <si>
    <t>81102</t>
  </si>
  <si>
    <t>안정적인 실적, 올해는 신규 IP 성과 기대</t>
  </si>
  <si>
    <t>81101</t>
  </si>
  <si>
    <t>재평가 시점: 에너지 3 법과 인공지능</t>
  </si>
  <si>
    <t>81100</t>
  </si>
  <si>
    <t>NAND 공정 업그레이드 투자 수혜</t>
  </si>
  <si>
    <t>81099</t>
  </si>
  <si>
    <t>배당가능이익은 걱정하지 마세요</t>
  </si>
  <si>
    <t>81098</t>
  </si>
  <si>
    <t>정부 우주개발 수혜, KAI의 인수로 성장세 가속화</t>
  </si>
  <si>
    <t>81097</t>
  </si>
  <si>
    <t>K-가스센서의 도약. 중국에서의 새로운 기회</t>
  </si>
  <si>
    <t>81096</t>
  </si>
  <si>
    <t>25년에 대한 가능성을 보여준 실적</t>
  </si>
  <si>
    <t>81095</t>
  </si>
  <si>
    <t>주주를 위한 회사</t>
  </si>
  <si>
    <t>81094</t>
  </si>
  <si>
    <t>기대할 것이 많다</t>
  </si>
  <si>
    <t>81093</t>
  </si>
  <si>
    <t>2025-02-17</t>
  </si>
  <si>
    <t>국내외 프랜차이즈 성장이 주주 환원으로 선순환</t>
  </si>
  <si>
    <t>81092</t>
  </si>
  <si>
    <t>지속 가능 기업으로 체질 개선 중</t>
  </si>
  <si>
    <t>81091</t>
  </si>
  <si>
    <t>계획대로 진행 중, 이어질 고성장</t>
  </si>
  <si>
    <t>81090</t>
  </si>
  <si>
    <t>사업부별 강약 조절로 이익 정상화 예상</t>
  </si>
  <si>
    <t>81089</t>
  </si>
  <si>
    <t>NDR 후기: 보수적인 가이던스, 25년이 바닥</t>
  </si>
  <si>
    <t>81088</t>
  </si>
  <si>
    <t>최악의 상황은 지나는 중</t>
  </si>
  <si>
    <t>81087</t>
  </si>
  <si>
    <t>2025년 음식료 기업별 전망 #1</t>
  </si>
  <si>
    <t>81086</t>
  </si>
  <si>
    <t>[4Q24 Review] 걱정할 게 없다</t>
  </si>
  <si>
    <t>81085</t>
  </si>
  <si>
    <t>4Q24 Review : Still Hungry</t>
  </si>
  <si>
    <t>81084</t>
  </si>
  <si>
    <t>호실적 달성한 효자회사들, 안정화되고 있는 자체 사업</t>
  </si>
  <si>
    <t>81083</t>
  </si>
  <si>
    <t>2025년 주목해야 할 기업</t>
  </si>
  <si>
    <t>81082</t>
  </si>
  <si>
    <t>약속된 미래</t>
  </si>
  <si>
    <t>81081</t>
  </si>
  <si>
    <t>하반기가 좋아진다네</t>
  </si>
  <si>
    <t>81080</t>
  </si>
  <si>
    <t>예상보다 강력했다</t>
  </si>
  <si>
    <t>81079</t>
  </si>
  <si>
    <t>여전히 무난한 업황과 개선된 경상 이익체력</t>
  </si>
  <si>
    <t>81078</t>
  </si>
  <si>
    <t>이익 규모 본격 레벨업 시작</t>
  </si>
  <si>
    <t>81077</t>
  </si>
  <si>
    <t>2025년 중국 &gt; 애플 順, 기대</t>
  </si>
  <si>
    <t>81076</t>
  </si>
  <si>
    <t>최악을 지나가는 중</t>
  </si>
  <si>
    <t>81075</t>
  </si>
  <si>
    <t>4Q24 Review: 4개 분기 연속 최대 매출</t>
  </si>
  <si>
    <t>81074</t>
  </si>
  <si>
    <t>4Q24 Review: 최대 매출 갱신 지속</t>
  </si>
  <si>
    <t>81073</t>
  </si>
  <si>
    <t>출시 계획이 이행될 필요</t>
  </si>
  <si>
    <t>81072</t>
  </si>
  <si>
    <t>2025년, 성장 에너지를 가속화하라</t>
  </si>
  <si>
    <t>81071</t>
  </si>
  <si>
    <t>향후 더욱 높아질 주주환원 측면의 매력</t>
  </si>
  <si>
    <t>81070</t>
  </si>
  <si>
    <t>하반기부터 점진적 반등 예상</t>
  </si>
  <si>
    <t>81069</t>
  </si>
  <si>
    <t>4Q24 Review: 자회사 실적 개선 긍정적</t>
  </si>
  <si>
    <t>81068</t>
  </si>
  <si>
    <t>자산건전성 우려 극복</t>
  </si>
  <si>
    <t>81067</t>
  </si>
  <si>
    <t>주당배당금 추정치 부합</t>
  </si>
  <si>
    <t>81066</t>
  </si>
  <si>
    <t>몇 년 기다린 어닝 서프라이즈</t>
  </si>
  <si>
    <t>81065</t>
  </si>
  <si>
    <t>4Q24 Re 일장일단, 나무보다 숲</t>
  </si>
  <si>
    <t>81064</t>
  </si>
  <si>
    <t>트럼프 2.0 시대 미국향 드론 수출 증가할 듯</t>
  </si>
  <si>
    <t>81063</t>
  </si>
  <si>
    <t>AI전환(AX) 수요 확대 시대 수혜 가능할 듯</t>
  </si>
  <si>
    <t>81062</t>
  </si>
  <si>
    <t>실적 정상화, 게임 사업 성과 관찰 필요</t>
  </si>
  <si>
    <t>81061</t>
  </si>
  <si>
    <t>경쟁사 대비 안정적인 이익 체력 입증</t>
  </si>
  <si>
    <t>81060</t>
  </si>
  <si>
    <t>4Q24 Review: VET 부문 성장세 지속</t>
  </si>
  <si>
    <t>81059</t>
  </si>
  <si>
    <t>2025년 롯데렌탈에 기대할 수 있는 3가지</t>
  </si>
  <si>
    <t>81058</t>
  </si>
  <si>
    <t>제2의 전성기 시작</t>
  </si>
  <si>
    <t>81057</t>
  </si>
  <si>
    <t>고무적인 자사주 매입 발표</t>
  </si>
  <si>
    <t>81056</t>
  </si>
  <si>
    <t>3월 &lt;프로야구 라이징&gt;에 주목</t>
  </si>
  <si>
    <t>81055</t>
  </si>
  <si>
    <t>비용 축소 및 이익 개선 시작</t>
  </si>
  <si>
    <t>81054</t>
  </si>
  <si>
    <t>복합적 변수가 존재</t>
  </si>
  <si>
    <t>81053</t>
  </si>
  <si>
    <t>성과로 보여줄 필요</t>
  </si>
  <si>
    <t>81052</t>
  </si>
  <si>
    <t>NDR 후기: 하반기 실적 회복 기대감 + 신사업 모멘텀에 주목</t>
  </si>
  <si>
    <t>81051</t>
  </si>
  <si>
    <t>견조한 펀더멘털에 단기 모멘텀도 기대</t>
  </si>
  <si>
    <t>81050</t>
  </si>
  <si>
    <t>턴어라운드 기대 요인에 주목</t>
  </si>
  <si>
    <t>81049</t>
  </si>
  <si>
    <t>확산되는 원전 모멘텀</t>
  </si>
  <si>
    <t>81048</t>
  </si>
  <si>
    <t>2025-02-14</t>
  </si>
  <si>
    <t>[다시봐] 변화가 없다? NO!</t>
  </si>
  <si>
    <t>81047</t>
  </si>
  <si>
    <t>[다시봐] Only 2차전지? No!</t>
  </si>
  <si>
    <t>81046</t>
  </si>
  <si>
    <t>카톡의 외연 확장 기대</t>
  </si>
  <si>
    <t>81045</t>
  </si>
  <si>
    <t>한화포 사격준비 끝!</t>
  </si>
  <si>
    <t>81044</t>
  </si>
  <si>
    <t>공개된 전략, 실행과 성과가 중요</t>
  </si>
  <si>
    <t>81043</t>
  </si>
  <si>
    <t>[4Q24 Review] 실적 부진 장기화 전망</t>
  </si>
  <si>
    <t>81042</t>
  </si>
  <si>
    <t>종전에 대한 과도한 기대감</t>
  </si>
  <si>
    <t>81041</t>
  </si>
  <si>
    <t>AI 메이트 도입으로 코어 비즈니스 가속 시도</t>
  </si>
  <si>
    <t>81040</t>
  </si>
  <si>
    <t>흑자 전환을 넘어 지속 성장을 향해</t>
  </si>
  <si>
    <t>81039</t>
  </si>
  <si>
    <t>4Q24Re: 설레였던 2027년 가이던스</t>
  </si>
  <si>
    <t>81038</t>
  </si>
  <si>
    <t>개선의 기틀은 마련되었지만, 이자비용 부담은 지속</t>
  </si>
  <si>
    <t>81037</t>
  </si>
  <si>
    <t>미수금 감소 속도 빨라질 것</t>
  </si>
  <si>
    <t>81036</t>
  </si>
  <si>
    <t>올해 좋아지는 방향성은 확실</t>
  </si>
  <si>
    <t>81035</t>
  </si>
  <si>
    <t>카카오톡 2.0, SNS + AI Agent를 추구</t>
  </si>
  <si>
    <t>81034</t>
  </si>
  <si>
    <t>IP 시너지 극대화</t>
  </si>
  <si>
    <t>81033</t>
  </si>
  <si>
    <t>B2B 건축자재의 감소</t>
  </si>
  <si>
    <t>81032</t>
  </si>
  <si>
    <t>2024년 4분기 컨퍼런스콜 요약</t>
  </si>
  <si>
    <t>81031</t>
  </si>
  <si>
    <t>4Q 리뷰 - 이제 통신주 시총 1위에 도전할 것</t>
  </si>
  <si>
    <t>81030</t>
  </si>
  <si>
    <t>예상보다 빠른 이루다 합병 시너지</t>
  </si>
  <si>
    <t>81029</t>
  </si>
  <si>
    <t>우선은 관망 지속</t>
  </si>
  <si>
    <t>81028</t>
  </si>
  <si>
    <t>자사주 매입&amp;소각 공시, 하반기에 또 있습니다</t>
  </si>
  <si>
    <t>81027</t>
  </si>
  <si>
    <t>할 수 있습니다.</t>
  </si>
  <si>
    <t>81026</t>
  </si>
  <si>
    <t>예상보다 빠르고 강하다</t>
  </si>
  <si>
    <t>81025</t>
  </si>
  <si>
    <t>‘프로야구Rising’ 출시 한달 남짓, 드디어 시동 건다</t>
  </si>
  <si>
    <t>81024</t>
  </si>
  <si>
    <t>‘카카오톡+AI’의 청사진, 유저 지표 개선이 관건</t>
  </si>
  <si>
    <t>81023</t>
  </si>
  <si>
    <t>2025년 다시 비상(飛上)! 1Q, 10개 분기만에 흑자전환~</t>
  </si>
  <si>
    <t>81022</t>
  </si>
  <si>
    <t>앞을 보고 나아가자</t>
  </si>
  <si>
    <t>81021</t>
  </si>
  <si>
    <t>본업 아쉽지만, 25년 가이던스로 기대감 확대</t>
  </si>
  <si>
    <t>81020</t>
  </si>
  <si>
    <t>계속 좋아합니다</t>
  </si>
  <si>
    <t>81019</t>
  </si>
  <si>
    <t>건강해진 체력을 확인</t>
  </si>
  <si>
    <t>81018</t>
  </si>
  <si>
    <t>쏘아 올린 밸류업 신호탄</t>
  </si>
  <si>
    <t>81017</t>
  </si>
  <si>
    <t>VMS 레퍼런스 확보 통합보안 업체로 도약</t>
  </si>
  <si>
    <t>81016</t>
  </si>
  <si>
    <t>전기차 수요 둔화, 구조조정 비용으로 적자 전환</t>
  </si>
  <si>
    <t>81015</t>
  </si>
  <si>
    <t>단기 실적 보다는 큰 그림에 관심 필요</t>
  </si>
  <si>
    <t>81014</t>
  </si>
  <si>
    <t>상승세의 초기 국면</t>
  </si>
  <si>
    <t>81013</t>
  </si>
  <si>
    <t>4Q24 Review: Unwinding</t>
  </si>
  <si>
    <t>81011</t>
  </si>
  <si>
    <t>콘텐츠 부진의 무게가 무겁다</t>
  </si>
  <si>
    <t>81010</t>
  </si>
  <si>
    <t>4Q24 Review: 차량용 반도체 공급 확대</t>
  </si>
  <si>
    <t>81009</t>
  </si>
  <si>
    <t>환 영향 큰 폭 발생. 향후 금리 하락 국면 기대</t>
  </si>
  <si>
    <t>81008</t>
  </si>
  <si>
    <t>본업은 양호했지만 일회성 비용 등으로 기대치 하회</t>
  </si>
  <si>
    <t>81007</t>
  </si>
  <si>
    <t>이익 고성장 확신, 업종 최선호주 제시</t>
  </si>
  <si>
    <t>81006</t>
  </si>
  <si>
    <t>N이라면 상상 가능한 톡의 미래</t>
  </si>
  <si>
    <t>81005</t>
  </si>
  <si>
    <t>출시 지연 및 게임성 변수</t>
  </si>
  <si>
    <t>81004</t>
  </si>
  <si>
    <t>이름값 하는 중</t>
  </si>
  <si>
    <t>81003</t>
  </si>
  <si>
    <t>밸류에이션 모래 주머니 푸는 중</t>
  </si>
  <si>
    <t>81002</t>
  </si>
  <si>
    <t>1분기부터 시작합니다</t>
  </si>
  <si>
    <t>81001</t>
  </si>
  <si>
    <t>케이캡, 해외 성과 본격화 기대</t>
  </si>
  <si>
    <t>81000</t>
  </si>
  <si>
    <t>2025년, 기대되는 POND(Power Of New Dream)</t>
  </si>
  <si>
    <t>80999</t>
  </si>
  <si>
    <t>다시 성장 구간으로 진입</t>
  </si>
  <si>
    <t>80998</t>
  </si>
  <si>
    <t>체코 원전 본 계약 체결 기대</t>
  </si>
  <si>
    <t>80997</t>
  </si>
  <si>
    <t>더할나위 없다</t>
  </si>
  <si>
    <t>80996</t>
  </si>
  <si>
    <t>[4Q24 Review] 성장주임을 잊지 말자</t>
  </si>
  <si>
    <t>80995</t>
  </si>
  <si>
    <t>상상력을 열게 해준 실적 발표</t>
  </si>
  <si>
    <t>80994</t>
  </si>
  <si>
    <t>2025-02-13</t>
  </si>
  <si>
    <t>반가운 티빙의 해외 진출. 콘텐츠 레버리지 확대</t>
  </si>
  <si>
    <t>80993</t>
  </si>
  <si>
    <t>1H25 성장 동력 공백 불가피</t>
  </si>
  <si>
    <t>80992</t>
  </si>
  <si>
    <t>글로벌 동시 송출이 확대되는 1H25</t>
  </si>
  <si>
    <t>80991</t>
  </si>
  <si>
    <t>4Q24 Re: 일회성 비용과 판촉 증가 영향</t>
  </si>
  <si>
    <t>80990</t>
  </si>
  <si>
    <t>4Q24 Re: 원가 부담은 아쉽지만, 드디어 푸네 공장 가동!(QnA 포함)</t>
  </si>
  <si>
    <t>80989</t>
  </si>
  <si>
    <t>4Q24 Re: 낭중지추</t>
  </si>
  <si>
    <t>80988</t>
  </si>
  <si>
    <t>편성은 확대되고 제작비는 절감하고</t>
  </si>
  <si>
    <t>80987</t>
  </si>
  <si>
    <t>기대 반 우려 반</t>
  </si>
  <si>
    <t>80986</t>
  </si>
  <si>
    <t>4Q24 Re: 시장 기대 하회</t>
  </si>
  <si>
    <t>80985</t>
  </si>
  <si>
    <t>4Q 리뷰 - 이제 매수하시면 됩니다</t>
  </si>
  <si>
    <t>80984</t>
  </si>
  <si>
    <t>80983</t>
  </si>
  <si>
    <t>아이온2까지 가는 길</t>
  </si>
  <si>
    <t>80982</t>
  </si>
  <si>
    <t>P의 거짓 DLC 외 라인업 확보</t>
  </si>
  <si>
    <t>80981</t>
  </si>
  <si>
    <t>1분기 글로벌 동시 송출 성과를 보자</t>
  </si>
  <si>
    <t>80980</t>
  </si>
  <si>
    <t>분기 최대 실적 기록</t>
  </si>
  <si>
    <t>80979</t>
  </si>
  <si>
    <t>레거시 반등 기대감이 반영될 수 있는 주가</t>
  </si>
  <si>
    <t>80978</t>
  </si>
  <si>
    <t>우선주 접근은 유효할 것</t>
  </si>
  <si>
    <t>80977</t>
  </si>
  <si>
    <t>[NDR 후기] 미국 진출까지 한 걸음 남았다</t>
  </si>
  <si>
    <t>80976</t>
  </si>
  <si>
    <t>해외 성장 기대</t>
  </si>
  <si>
    <t>80975</t>
  </si>
  <si>
    <t>4Q24 Re: 연구개발비 증가로 컨센서스 하회</t>
  </si>
  <si>
    <t>80974</t>
  </si>
  <si>
    <t>과도한 우려는 해소 중</t>
  </si>
  <si>
    <t>80973</t>
  </si>
  <si>
    <t>보수적인 접근이 필요한 시기</t>
  </si>
  <si>
    <t>80972</t>
  </si>
  <si>
    <t>매출 굳 이익</t>
  </si>
  <si>
    <t>80971</t>
  </si>
  <si>
    <t>25년은 통신에서 진짜 AI 기업으로</t>
  </si>
  <si>
    <t>80970</t>
  </si>
  <si>
    <t>일단 코코아 문제부터 해결</t>
  </si>
  <si>
    <t>80969</t>
  </si>
  <si>
    <t>좋은디</t>
  </si>
  <si>
    <t>80968</t>
  </si>
  <si>
    <t>평이한 실적. 신작 출시 구간 돌입</t>
  </si>
  <si>
    <t>80967</t>
  </si>
  <si>
    <t>실적 가시성을 높여 투자자 신뢰 회복이 필요한 시점</t>
  </si>
  <si>
    <t>80965</t>
  </si>
  <si>
    <t>보험손익은 양호</t>
  </si>
  <si>
    <t>80964</t>
  </si>
  <si>
    <t>신작 성공이 절실</t>
  </si>
  <si>
    <t>80963</t>
  </si>
  <si>
    <t>4Q24 Review: 효자 장비가 많은 다복한 기업</t>
  </si>
  <si>
    <t>80962</t>
  </si>
  <si>
    <t>비용 증가 Chill하게 받아 들여</t>
  </si>
  <si>
    <t>80961</t>
  </si>
  <si>
    <t>가격 상승 싸이클 진입</t>
  </si>
  <si>
    <t>80960</t>
  </si>
  <si>
    <t>5공장 증설 가속화. 중장기 실적 눈높이 상향</t>
  </si>
  <si>
    <t>80959</t>
  </si>
  <si>
    <t>2027년까지 성장 아이템 장착</t>
  </si>
  <si>
    <t>80958</t>
  </si>
  <si>
    <t>AI 컴퍼니가 될 때까지 본업은 수익성 위주로</t>
  </si>
  <si>
    <t>80957</t>
  </si>
  <si>
    <t>비우호적 사업환경 이어져</t>
  </si>
  <si>
    <t>80956</t>
  </si>
  <si>
    <t>4Q24 Re: 펀더멘털 변화를 앞두고</t>
  </si>
  <si>
    <t>80955</t>
  </si>
  <si>
    <t>본업은 매우 어렵지만..</t>
  </si>
  <si>
    <t>80954</t>
  </si>
  <si>
    <t>4Q24 Review: 본격적 수익성 개선 기대</t>
  </si>
  <si>
    <t>80953</t>
  </si>
  <si>
    <t>우려는 적고 기대할 건 많다</t>
  </si>
  <si>
    <t>80952</t>
  </si>
  <si>
    <t>활짝 열린 문</t>
  </si>
  <si>
    <t>80951</t>
  </si>
  <si>
    <t>구조조정 및 신작 흥행 실패로 적자 기록</t>
  </si>
  <si>
    <t>80950</t>
  </si>
  <si>
    <t>콜옵션(AI) 대기 중</t>
  </si>
  <si>
    <t>80949</t>
  </si>
  <si>
    <t>[4Q24 Review] 신발부문 호조와 환율효과</t>
  </si>
  <si>
    <t>80948</t>
  </si>
  <si>
    <t>양면적 의사결정</t>
  </si>
  <si>
    <t>80947</t>
  </si>
  <si>
    <t>영업적자보다 뼈 아픈 건</t>
  </si>
  <si>
    <t>80946</t>
  </si>
  <si>
    <t>24년 챙긴 수익성, 25년 챙길 성장성</t>
  </si>
  <si>
    <t>80945</t>
  </si>
  <si>
    <t>신사업 성과 나타나기 시작</t>
  </si>
  <si>
    <t>80944</t>
  </si>
  <si>
    <t>해외 사업 기대감 반영 시작</t>
  </si>
  <si>
    <t>80943</t>
  </si>
  <si>
    <t>브라운더스트2&gt; 역주행 긍정적</t>
  </si>
  <si>
    <t>80942</t>
  </si>
  <si>
    <t>다가온 디스플레이 변화 수혜</t>
  </si>
  <si>
    <t>80941</t>
  </si>
  <si>
    <t>4Q24 Re: 호실적, 밸류에이션 매력 부각</t>
  </si>
  <si>
    <t>80940</t>
  </si>
  <si>
    <t>80939</t>
  </si>
  <si>
    <t>KSGE 2025 후기; 이미 다가온 배전시장의 확장</t>
  </si>
  <si>
    <t>80938</t>
  </si>
  <si>
    <t>향후 4년간 기대수익률 43%</t>
  </si>
  <si>
    <t>80937</t>
  </si>
  <si>
    <t>저는 2026년만을 기다려요</t>
  </si>
  <si>
    <t>80936</t>
  </si>
  <si>
    <t>수익성 회복 전략 본격화</t>
  </si>
  <si>
    <t>80935</t>
  </si>
  <si>
    <t>재평가가 필요한 이익창출 능력</t>
  </si>
  <si>
    <t>80934</t>
  </si>
  <si>
    <t>De-rating에서 Re-rating으로</t>
  </si>
  <si>
    <t>80933</t>
  </si>
  <si>
    <t>4Q24 실적 쇼크지만, 올해 여전히 모멘텀 다수</t>
  </si>
  <si>
    <t>80932</t>
  </si>
  <si>
    <t>1분기만 버티면!!</t>
  </si>
  <si>
    <t>80931</t>
  </si>
  <si>
    <t>성장에 목마른 루닛이 우물 판다</t>
  </si>
  <si>
    <t>80930</t>
  </si>
  <si>
    <t>우호적인 업황 형성</t>
  </si>
  <si>
    <t>80929</t>
  </si>
  <si>
    <t>주가는 올랐지만 더 싸졌다</t>
  </si>
  <si>
    <t>80928</t>
  </si>
  <si>
    <t>4분기 예상치를 상회한 비용</t>
  </si>
  <si>
    <t>80927</t>
  </si>
  <si>
    <t>악몽의 2024년이 지났다</t>
  </si>
  <si>
    <t>80926</t>
  </si>
  <si>
    <t>안정적인 기존작 매출</t>
  </si>
  <si>
    <t>80925</t>
  </si>
  <si>
    <t>4Q24 Review: 구조적 증익 트렌드 유효</t>
  </si>
  <si>
    <t>80924</t>
  </si>
  <si>
    <t>26년을 바라볼 시기</t>
  </si>
  <si>
    <t>80923</t>
  </si>
  <si>
    <t>2025-02-12</t>
  </si>
  <si>
    <t xml:space="preserve">해외 성장, CAPA 확대, 주주 환원의 3박자 </t>
  </si>
  <si>
    <t>80922</t>
  </si>
  <si>
    <t>가장 빠른 흑전 예상, 업황 불확실성에 발목</t>
  </si>
  <si>
    <t>80921</t>
  </si>
  <si>
    <t>4Q24 Re: 무난한 실적 (QnA 포함)</t>
  </si>
  <si>
    <t>80920</t>
  </si>
  <si>
    <t>4Q24 Re: 올해는 다시 신제품/증설에 집중!</t>
  </si>
  <si>
    <t>80919</t>
  </si>
  <si>
    <t xml:space="preserve">공격적인 중기 성장 로드맵 제시 </t>
  </si>
  <si>
    <t>80918</t>
  </si>
  <si>
    <t>모멘텀을 축적해야 할 1H25</t>
  </si>
  <si>
    <t>80917</t>
  </si>
  <si>
    <t>의심을 궤멸하는 실적</t>
  </si>
  <si>
    <t>80916</t>
  </si>
  <si>
    <t>4Q24 Review 환입효과로 영업이익 선방</t>
  </si>
  <si>
    <t>80915</t>
  </si>
  <si>
    <t>4Q24 Re: 주가의 바닥을 잡을 시점</t>
  </si>
  <si>
    <t>80914</t>
  </si>
  <si>
    <t>크래프톤 2.0</t>
  </si>
  <si>
    <t>80913</t>
  </si>
  <si>
    <t>원가율 하락과 이익 개선</t>
  </si>
  <si>
    <t>80912</t>
  </si>
  <si>
    <t>노무비 증가 확인</t>
  </si>
  <si>
    <t>80911</t>
  </si>
  <si>
    <t>올해도 지속될 비용 안정화 흐름</t>
  </si>
  <si>
    <t>80910</t>
  </si>
  <si>
    <t>Show and Prove</t>
  </si>
  <si>
    <t>80909</t>
  </si>
  <si>
    <t>2025년에는 40% 내외 증익 전망</t>
  </si>
  <si>
    <t>80908</t>
  </si>
  <si>
    <t>최악의 상황 통과, 확실한 회복 시그널은 부재</t>
  </si>
  <si>
    <t>80907</t>
  </si>
  <si>
    <t>방산 이익률 하락과 연말 일회성 비용 발생</t>
  </si>
  <si>
    <t>80906</t>
  </si>
  <si>
    <t>4Q24 Re: 악재 모두 반영</t>
  </si>
  <si>
    <t>80905</t>
  </si>
  <si>
    <t>4Q24 Re: 좋은 업황에 주주환원까지</t>
  </si>
  <si>
    <t>80904</t>
  </si>
  <si>
    <t>어려운 영업환경!</t>
  </si>
  <si>
    <t>80903</t>
  </si>
  <si>
    <t>1분기 기대를 상회하는 실적이 중요</t>
  </si>
  <si>
    <t>80902</t>
  </si>
  <si>
    <t>BM 기저효과 기대되나, EM 둔화는 우려</t>
  </si>
  <si>
    <t>80901</t>
  </si>
  <si>
    <t>4Q24 Review : Road to 1조원</t>
  </si>
  <si>
    <t>80900</t>
  </si>
  <si>
    <t>4Q24 Review : 이익 레버리지 구간 진입 재차 확인</t>
  </si>
  <si>
    <t>80899</t>
  </si>
  <si>
    <t>4Q24 Review : 일본 백화점의 바통을 이을 한국 백화점(feat. 루이비통)</t>
  </si>
  <si>
    <t>80898</t>
  </si>
  <si>
    <t>[4Q24 Review] 의심하지 말라</t>
  </si>
  <si>
    <t>80897</t>
  </si>
  <si>
    <t>부진했던 4분기</t>
  </si>
  <si>
    <t>80896</t>
  </si>
  <si>
    <t>110990</t>
  </si>
  <si>
    <t>디아이티</t>
  </si>
  <si>
    <t>방향성과 Valuation 모두 긍정적</t>
  </si>
  <si>
    <t>80895</t>
  </si>
  <si>
    <t>퀀텀 점프를 위한 통 큰 투자 결정</t>
  </si>
  <si>
    <t>80894</t>
  </si>
  <si>
    <t>증명한 이익체력: 주주 환원정책에 기대</t>
  </si>
  <si>
    <t>80893</t>
  </si>
  <si>
    <t>사소취대</t>
  </si>
  <si>
    <t>80892</t>
  </si>
  <si>
    <t>미국에서 브랜드가 되어보자</t>
  </si>
  <si>
    <t>80891</t>
  </si>
  <si>
    <t>서울의 중심에서 실적을 외치다</t>
  </si>
  <si>
    <t>80890</t>
  </si>
  <si>
    <t>4Q24 Review: 점포 효율화</t>
  </si>
  <si>
    <t>80889</t>
  </si>
  <si>
    <t>80888</t>
  </si>
  <si>
    <t>12월 잠정 실적 Comment: Show and Prove</t>
  </si>
  <si>
    <t>80887</t>
  </si>
  <si>
    <t>해외 성과가 2025년 주가 향방을 결정할 것</t>
  </si>
  <si>
    <t>80886</t>
  </si>
  <si>
    <t>세가지 궁금증</t>
  </si>
  <si>
    <t>80885</t>
  </si>
  <si>
    <t>기대되는 미국 시장</t>
  </si>
  <si>
    <t>80884</t>
  </si>
  <si>
    <t>일본 찾는 관광객, 예상을 뛰어넘다</t>
  </si>
  <si>
    <t>80883</t>
  </si>
  <si>
    <t>CL과 글로벌 부문 성장과 이커머스 회복으로 예상에 부합</t>
  </si>
  <si>
    <t>80882</t>
  </si>
  <si>
    <t>자사주 약 2조원 매입 예정</t>
  </si>
  <si>
    <t>80881</t>
  </si>
  <si>
    <t>터프한 시황에도 깜짝 실적</t>
  </si>
  <si>
    <t>80880</t>
  </si>
  <si>
    <t>남은 건 붉은사막 뿐, 하반기 모멘텀 발생 전망</t>
  </si>
  <si>
    <t>80879</t>
  </si>
  <si>
    <t>1분기 배그 호실적과 신작 모두 기대 구간</t>
  </si>
  <si>
    <t>80878</t>
  </si>
  <si>
    <t>차원이 다른 성장 속도</t>
  </si>
  <si>
    <t>80877</t>
  </si>
  <si>
    <t xml:space="preserve">아쉬움이 남는 실적 </t>
  </si>
  <si>
    <t>80876</t>
  </si>
  <si>
    <t>4Q24 일시적 부진. 올해도 안정적 실적, 배당매력</t>
  </si>
  <si>
    <t>80875</t>
  </si>
  <si>
    <t>백화점과 지누스 어려운 업황 불구 매우 선전</t>
  </si>
  <si>
    <t>80874</t>
  </si>
  <si>
    <t>폴란드 2차 물량 대기 중</t>
  </si>
  <si>
    <t>80873</t>
  </si>
  <si>
    <t>어려울 때 뿌린 씨앗, 열매 되어 돌아오다</t>
  </si>
  <si>
    <t>80872</t>
  </si>
  <si>
    <t>4Q24 Re: 택배 물동량 성장 확인 필요</t>
  </si>
  <si>
    <t>80871</t>
  </si>
  <si>
    <t xml:space="preserve">예상 수준의 부합 </t>
  </si>
  <si>
    <t>80870</t>
  </si>
  <si>
    <t>다음 겨울을 기다리며</t>
  </si>
  <si>
    <t>80869</t>
  </si>
  <si>
    <t>신규 IP 확보를 위한 과감한 판단</t>
  </si>
  <si>
    <t>80868</t>
  </si>
  <si>
    <t>25년 출발이 남다르다</t>
  </si>
  <si>
    <t>80867</t>
  </si>
  <si>
    <t>올해 원가 부담 완화 전망</t>
  </si>
  <si>
    <t>80866</t>
  </si>
  <si>
    <t>104620</t>
  </si>
  <si>
    <t>노랑풍선</t>
  </si>
  <si>
    <t>체급이 낮으면, 더 날렵하다</t>
  </si>
  <si>
    <t>80865</t>
  </si>
  <si>
    <t>마지막 퍼즐 조각을 기다리며</t>
  </si>
  <si>
    <t>80864</t>
  </si>
  <si>
    <t>가뭄에 단비</t>
  </si>
  <si>
    <t>80863</t>
  </si>
  <si>
    <t>성장통 구간</t>
  </si>
  <si>
    <t>80862</t>
  </si>
  <si>
    <t>이제는 더 이상 물러날 곳이 없다</t>
  </si>
  <si>
    <t>80861</t>
  </si>
  <si>
    <t>높은 지배력과 우호적인 업황</t>
  </si>
  <si>
    <t>80860</t>
  </si>
  <si>
    <t>시장이 커지면 나눠먹을 파이도 많아진다</t>
  </si>
  <si>
    <t>80859</t>
  </si>
  <si>
    <t>80858</t>
  </si>
  <si>
    <t>80857</t>
  </si>
  <si>
    <t>4Q24 Review: 수익성 개선 기대</t>
  </si>
  <si>
    <t>80856</t>
  </si>
  <si>
    <t>올해도 여행 가실 거잖아요</t>
  </si>
  <si>
    <t>80855</t>
  </si>
  <si>
    <t>4Q24 Re: 노이즈는 노이즈일 뿐</t>
  </si>
  <si>
    <t>80854</t>
  </si>
  <si>
    <t>[NDR 후기] 올해 가장 빛날 의료 AI 업체</t>
  </si>
  <si>
    <t>80853</t>
  </si>
  <si>
    <t>4Q24 Review: 유럽 지역 성장세 지속</t>
  </si>
  <si>
    <t>80852</t>
  </si>
  <si>
    <t>모멘텀 둔화에도 여전히 업종 내 최선호주</t>
  </si>
  <si>
    <t>80851</t>
  </si>
  <si>
    <t>ROE 13%, 주주환원율 30%를 향하여</t>
  </si>
  <si>
    <t>80850</t>
  </si>
  <si>
    <t>기말 구리價 하락과 일회성 비용이 아쉽다…</t>
  </si>
  <si>
    <t>80849</t>
  </si>
  <si>
    <t>기존작 호실적과 신작 기대감 반영 시작</t>
  </si>
  <si>
    <t>80848</t>
  </si>
  <si>
    <t>보다 먼 미래를 내다본다</t>
  </si>
  <si>
    <t>80847</t>
  </si>
  <si>
    <t>AI 훈풍으로 레벨업</t>
  </si>
  <si>
    <t>80846</t>
  </si>
  <si>
    <t>The Pioneer</t>
  </si>
  <si>
    <t>80845</t>
  </si>
  <si>
    <t>4분기 잘했다!</t>
  </si>
  <si>
    <t>80844</t>
  </si>
  <si>
    <t>&lt;모험의탑&gt; 하향 안정화</t>
  </si>
  <si>
    <t>80843</t>
  </si>
  <si>
    <t>실적 회복세에도 불구, 주가 상승 여력 제한적</t>
  </si>
  <si>
    <t>80842</t>
  </si>
  <si>
    <t>향후 이벤트에 따라 기대수준 조절 필요</t>
  </si>
  <si>
    <t>80841</t>
  </si>
  <si>
    <t>본격적인 턴 어라운드</t>
  </si>
  <si>
    <t>80840</t>
  </si>
  <si>
    <t>개선 기대감은 존재하나 수요는 여전히 불확실</t>
  </si>
  <si>
    <t>80839</t>
  </si>
  <si>
    <t>안정적인 실적과 배당</t>
  </si>
  <si>
    <t>80838</t>
  </si>
  <si>
    <t>최악의 상황에서는 일단 탈출</t>
  </si>
  <si>
    <t>80837</t>
  </si>
  <si>
    <t>실적 CHECK ! 컨디션 회복 후 케이캡 확장</t>
  </si>
  <si>
    <t>80836</t>
  </si>
  <si>
    <t>고성장 어려울 전망, 투자의견 하향</t>
  </si>
  <si>
    <t>80835</t>
  </si>
  <si>
    <t>그가 돌아왔다</t>
  </si>
  <si>
    <t>80834</t>
  </si>
  <si>
    <t>압도적인 방산의 화력</t>
  </si>
  <si>
    <t>80833</t>
  </si>
  <si>
    <t>온디바이스 AI 수혜주</t>
  </si>
  <si>
    <t>80832</t>
  </si>
  <si>
    <t>자주포 화망 아래로 피난오세요</t>
  </si>
  <si>
    <t>80831</t>
  </si>
  <si>
    <t>터프한 영업 환경을 견디는 중</t>
  </si>
  <si>
    <t>80830</t>
  </si>
  <si>
    <t>아쉬운 일회성 비용</t>
  </si>
  <si>
    <t>80829</t>
  </si>
  <si>
    <t>신사업을 준비하는 똑똑한 IT소재 전문기업</t>
  </si>
  <si>
    <t>80828</t>
  </si>
  <si>
    <t>수익성 개선 및 주주환원정책에 대한 기대</t>
  </si>
  <si>
    <t>80827</t>
  </si>
  <si>
    <t>I'm on fire !</t>
  </si>
  <si>
    <t>80826</t>
  </si>
  <si>
    <t>지속되는 CL혁신</t>
  </si>
  <si>
    <t>80825</t>
  </si>
  <si>
    <t>80824</t>
  </si>
  <si>
    <t>2025-02-11</t>
  </si>
  <si>
    <t>4Q24 Re 빅 서프라이즈, 한화오션 지분 확대</t>
  </si>
  <si>
    <t>80823</t>
  </si>
  <si>
    <t>외국인 피부미용/ 성형 소비 증가의 직접적 수혜</t>
  </si>
  <si>
    <t>80822</t>
  </si>
  <si>
    <t>4Q24 Re: R&amp;D 가치도 눈 여겨 볼 순간</t>
  </si>
  <si>
    <t>80821</t>
  </si>
  <si>
    <t>잘못된 컨센서스, 사실상 기대치 상회</t>
  </si>
  <si>
    <t>80820</t>
  </si>
  <si>
    <t>4Q24 Re: 순항 중인 해외+낮아지는 국내 기저(QnA 포함)</t>
  </si>
  <si>
    <t>80819</t>
  </si>
  <si>
    <t>2025년 성장을 이끌 지역 및 플랫폼 확장</t>
  </si>
  <si>
    <t>80818</t>
  </si>
  <si>
    <t>아쉽지만 투자의 일환</t>
  </si>
  <si>
    <t>80817</t>
  </si>
  <si>
    <t>보수적으로 가정해도 매력적인</t>
  </si>
  <si>
    <t>80816</t>
  </si>
  <si>
    <t>구체적인 회복 시점은 아직 불확실하지만</t>
  </si>
  <si>
    <t>80815</t>
  </si>
  <si>
    <t>RE100 수요가 태양광 PPA 실적으로</t>
  </si>
  <si>
    <t>80814</t>
  </si>
  <si>
    <t>본업 성장에 더해지는 필리조선소 기대감</t>
  </si>
  <si>
    <t>80813</t>
  </si>
  <si>
    <t>예상 기말배당수익률 7.3%. 배당투자 매력 기대</t>
  </si>
  <si>
    <t>80812</t>
  </si>
  <si>
    <t>기다려왔던 시간이야</t>
  </si>
  <si>
    <t>80811</t>
  </si>
  <si>
    <t>오랜만의 실적 서프라이즈</t>
  </si>
  <si>
    <t>80810</t>
  </si>
  <si>
    <t>기대 이상의 실적. 그러나 여전한 불확실성</t>
  </si>
  <si>
    <t>80809</t>
  </si>
  <si>
    <t>모멘텀 누릴 구간</t>
  </si>
  <si>
    <t>80808</t>
  </si>
  <si>
    <t>이제 겨우 시작일 뿐</t>
  </si>
  <si>
    <t>80807</t>
  </si>
  <si>
    <t>4Q24 Review : 고군분투</t>
  </si>
  <si>
    <t>80806</t>
  </si>
  <si>
    <t>예열 완료</t>
  </si>
  <si>
    <t>80805</t>
  </si>
  <si>
    <t>TSR 격차는 좁아졌다</t>
  </si>
  <si>
    <t>80804</t>
  </si>
  <si>
    <t>4Q24Re: 올리고 매출 비중은 증가</t>
  </si>
  <si>
    <t>80803</t>
  </si>
  <si>
    <t>4Q24 실적 서프라이즈 달성</t>
  </si>
  <si>
    <t>80802</t>
  </si>
  <si>
    <t>기저효과와 기대효과</t>
  </si>
  <si>
    <t>80801</t>
  </si>
  <si>
    <t>2025년 이익증가율 100% 이상 전망</t>
  </si>
  <si>
    <t>80800</t>
  </si>
  <si>
    <t>2025년 배당수익률 8.0% 비과세 시 8.8%</t>
  </si>
  <si>
    <t>80799</t>
  </si>
  <si>
    <t>4Q24 Review: 영업이익 시장 기대치 상회</t>
  </si>
  <si>
    <t>80798</t>
  </si>
  <si>
    <t>압도적 성장</t>
  </si>
  <si>
    <t>80797</t>
  </si>
  <si>
    <t>글로벌 1위 스킨부스터에 올라서다</t>
  </si>
  <si>
    <t>80796</t>
  </si>
  <si>
    <t>우주의 기운이</t>
  </si>
  <si>
    <t>80795</t>
  </si>
  <si>
    <t>4Q24 빅 서프라이즈, 한화오션 지분매입 공시</t>
  </si>
  <si>
    <t>80794</t>
  </si>
  <si>
    <t>마진 개선 우등생</t>
  </si>
  <si>
    <t>80793</t>
  </si>
  <si>
    <t>점차 뚜렷해지는 미국 진출 계획</t>
  </si>
  <si>
    <t>80792</t>
  </si>
  <si>
    <t>거의 한국의 팔란티어</t>
  </si>
  <si>
    <t>80791</t>
  </si>
  <si>
    <t>다가오는 지역, 플랫폼 확장 모멘텀</t>
  </si>
  <si>
    <t>80790</t>
  </si>
  <si>
    <t>4Q24 Review: 이젠 로열티 성장 기대</t>
  </si>
  <si>
    <t>80789</t>
  </si>
  <si>
    <t>해외 자회사만 믿는다</t>
  </si>
  <si>
    <t>80788</t>
  </si>
  <si>
    <t>4Q24 Review: 뇌수술용 로봇은 신호탄</t>
  </si>
  <si>
    <t>80787</t>
  </si>
  <si>
    <t>서서히 드러나는 AI의 면모</t>
  </si>
  <si>
    <t>80786</t>
  </si>
  <si>
    <t>관심 없다고? 나 지금 서프 났는데?</t>
  </si>
  <si>
    <t>80785</t>
  </si>
  <si>
    <t>NDR 후기: 우려는 해소되고 기대는 커진다</t>
  </si>
  <si>
    <t>80784</t>
  </si>
  <si>
    <t>보다 확실한 매력이 필요할 전망</t>
  </si>
  <si>
    <t>80783</t>
  </si>
  <si>
    <t>애니메이션은 화제성 1위인데</t>
  </si>
  <si>
    <t>80782</t>
  </si>
  <si>
    <t>이익 성장 궤도 진입</t>
  </si>
  <si>
    <t>80781</t>
  </si>
  <si>
    <t>북미 시장에서 강한 경쟁력 보유</t>
  </si>
  <si>
    <t>80780</t>
  </si>
  <si>
    <t>80779</t>
  </si>
  <si>
    <t>장비 투자의 신호탄</t>
  </si>
  <si>
    <t>80778</t>
  </si>
  <si>
    <t>역성장한 24년, 순성장할 25년</t>
  </si>
  <si>
    <t>80777</t>
  </si>
  <si>
    <t>80776</t>
  </si>
  <si>
    <t>향후 관건은 주주환원과 성장의 균형이 될 전망</t>
  </si>
  <si>
    <t>80775</t>
  </si>
  <si>
    <t>4Q24 Re 아직은 부진, 그래도 밥캣은 밥캣</t>
  </si>
  <si>
    <t>80774</t>
  </si>
  <si>
    <t>아직 실적을 논하기 이른 시점</t>
  </si>
  <si>
    <t>80773</t>
  </si>
  <si>
    <t>최악은 지나가는 중</t>
  </si>
  <si>
    <t>80772</t>
  </si>
  <si>
    <t>본업이 더 악화되기는 어려울 것</t>
  </si>
  <si>
    <t>80771</t>
  </si>
  <si>
    <t>4Q24 Re: 25년에도 지속될 호실적</t>
  </si>
  <si>
    <t>80770</t>
  </si>
  <si>
    <t>무난하게 마무리한 2024년</t>
  </si>
  <si>
    <t>80769</t>
  </si>
  <si>
    <t>디레이팅 멈추고, Re성장주로 볼 때</t>
  </si>
  <si>
    <t>80768</t>
  </si>
  <si>
    <t>80767</t>
  </si>
  <si>
    <t>25년 매출 목표치 1조원 제시</t>
  </si>
  <si>
    <t>80766</t>
  </si>
  <si>
    <t>버스가 안 멈췄는데 내릴 필요가 있을까</t>
  </si>
  <si>
    <t>80765</t>
  </si>
  <si>
    <t>아픈 손가락 확인 완료, 앞으로는 괜찮다</t>
  </si>
  <si>
    <t>80764</t>
  </si>
  <si>
    <t>실적 견조. 신고가 랠리 이어갈 것으로 전망</t>
  </si>
  <si>
    <t>80763</t>
  </si>
  <si>
    <t>4분기 서프라이즈, 2025년에도 이어간다</t>
  </si>
  <si>
    <t>80762</t>
  </si>
  <si>
    <t>안정적 실적과 현금배당금 증가 전망</t>
  </si>
  <si>
    <t>80761</t>
  </si>
  <si>
    <t>메모리 반도체 전환 투자로 실적 개선 및 성장 예상</t>
  </si>
  <si>
    <t>80760</t>
  </si>
  <si>
    <t>중동과 북미의 LNG PJ 확대로 수혜 장기화 전망</t>
  </si>
  <si>
    <t>80759</t>
  </si>
  <si>
    <t>특수 인쇄용지 전문기업</t>
  </si>
  <si>
    <t>80758</t>
  </si>
  <si>
    <t xml:space="preserve">묻고 더블로 가! </t>
  </si>
  <si>
    <t>80757</t>
  </si>
  <si>
    <t>2025-02-10</t>
  </si>
  <si>
    <t>선주의 중국 조선소 기피 시작되면 가장 큰 수혜</t>
  </si>
  <si>
    <t>80756</t>
  </si>
  <si>
    <t>AI를 통한 코어 비즈니스 성장 가속 기대</t>
  </si>
  <si>
    <t>80755</t>
  </si>
  <si>
    <t>26년(12M Fwd 기준)실적 비중이 높아지는 6월 전 적극매수 추천</t>
  </si>
  <si>
    <t>80754</t>
  </si>
  <si>
    <t>26년(12M Fwd 기준)실적 비중이 높아지는 6월 전이 매수기회</t>
  </si>
  <si>
    <t>80753</t>
  </si>
  <si>
    <t>4Q24 Re: 2025년 연결 실적이 관건</t>
  </si>
  <si>
    <t>80752</t>
  </si>
  <si>
    <t>광고 매출 5조원 시대. Top Pick 유지</t>
  </si>
  <si>
    <t>80751</t>
  </si>
  <si>
    <t>4Q24 Review: 컨센서스 부합</t>
  </si>
  <si>
    <t>80750</t>
  </si>
  <si>
    <t>80749</t>
  </si>
  <si>
    <t>배당가능이익 논란 있지만 주주환원 확대는 굳건할 전망</t>
  </si>
  <si>
    <t>80748</t>
  </si>
  <si>
    <t>어두웠던 터널에서 벗어날 전망. 턴어라운드 스토리 기대</t>
  </si>
  <si>
    <t>80747</t>
  </si>
  <si>
    <t>수주가 많아질 것</t>
  </si>
  <si>
    <t>80746</t>
  </si>
  <si>
    <t>깜짝 배당 증가</t>
  </si>
  <si>
    <t>80745</t>
  </si>
  <si>
    <t>24~25년 사상 최대 실적 vs. 역사적 하단의 밸류에이션</t>
  </si>
  <si>
    <t>80744</t>
  </si>
  <si>
    <t>축소되는 적자폭. 트럼프의 외교 정책이 중요</t>
  </si>
  <si>
    <t>80743</t>
  </si>
  <si>
    <t>[4Q24 Review] 지분법손익 악화로 인한 아쉬운 4분기 성적표</t>
  </si>
  <si>
    <t>80741</t>
  </si>
  <si>
    <t>4Q24 Review : 긍정적 가이던스로 모멘텀 확대 전망</t>
  </si>
  <si>
    <t>80740</t>
  </si>
  <si>
    <t>4Q24 Review : 부진함 속에서 확인한 긍정적 성과</t>
  </si>
  <si>
    <t>80739</t>
  </si>
  <si>
    <t>시총 35조에 아직 반영되지 않은 것</t>
  </si>
  <si>
    <t>80738</t>
  </si>
  <si>
    <t>[4Q24 Review] 언제나 그랬듯 호실적</t>
  </si>
  <si>
    <t>80737</t>
  </si>
  <si>
    <t>[4Q24 Review] 결국 완제기 수출 수주가 관건</t>
  </si>
  <si>
    <t>80736</t>
  </si>
  <si>
    <t>[4Q24 Review] 필리조선소 잠재 가치 반영은 합리적</t>
  </si>
  <si>
    <t>80735</t>
  </si>
  <si>
    <t>비과세 배당, 이건 크다</t>
  </si>
  <si>
    <t>80734</t>
  </si>
  <si>
    <t>중국 감소 우려보다 SK하이닉스향 확대 주목</t>
  </si>
  <si>
    <t>80733</t>
  </si>
  <si>
    <t>상차손 영향 제한적, 2025년 전망 긍정적</t>
  </si>
  <si>
    <t>80732</t>
  </si>
  <si>
    <t>과거의 영광을 보여주세요</t>
  </si>
  <si>
    <t>80731</t>
  </si>
  <si>
    <t>가장 큰 폭의 주주환원율 상승 기대</t>
  </si>
  <si>
    <t>80730</t>
  </si>
  <si>
    <t>2025년 ROE 개선 기대</t>
  </si>
  <si>
    <t>80729</t>
  </si>
  <si>
    <t>일회적 요인에 의한 서프라이즈</t>
  </si>
  <si>
    <t>80728</t>
  </si>
  <si>
    <t>4Q24 Review: 배당 서프라이즈</t>
  </si>
  <si>
    <t>80727</t>
  </si>
  <si>
    <t>이륙 시작의 원년</t>
  </si>
  <si>
    <t>80726</t>
  </si>
  <si>
    <t>4Q24 Re 일시적 쇼크, 우상향 궤도 유지</t>
  </si>
  <si>
    <t>80725</t>
  </si>
  <si>
    <t>4Q24 Review: MLB 중국 매장 효율화</t>
  </si>
  <si>
    <t>80724</t>
  </si>
  <si>
    <t>타의 추종을 불허하는</t>
  </si>
  <si>
    <t>80723</t>
  </si>
  <si>
    <t>바닥 통과, 모멘텀 추가</t>
  </si>
  <si>
    <t>80722</t>
  </si>
  <si>
    <t>일라이 릴리와 기술 이전 계약 체결</t>
  </si>
  <si>
    <t>80721</t>
  </si>
  <si>
    <t>본격화될 통합 시너지</t>
  </si>
  <si>
    <t>80720</t>
  </si>
  <si>
    <t>탑라인 성장 가능성 확인</t>
  </si>
  <si>
    <t>80719</t>
  </si>
  <si>
    <t>우수한 자본비율에 비과세 배당까지</t>
  </si>
  <si>
    <t>80718</t>
  </si>
  <si>
    <t>80717</t>
  </si>
  <si>
    <t>거의 다 왔습니다.</t>
  </si>
  <si>
    <t>80716</t>
  </si>
  <si>
    <t>가시권에 들어온 수익성 회복</t>
  </si>
  <si>
    <t>80715</t>
  </si>
  <si>
    <t>밸류에이션 저평가 지속</t>
  </si>
  <si>
    <t>80714</t>
  </si>
  <si>
    <t>화물운임 강세와 인수 축하금 미지급으로 예상을 상회</t>
  </si>
  <si>
    <t>80713</t>
  </si>
  <si>
    <t>커머스 긍정적 시그널 확인</t>
  </si>
  <si>
    <t>80712</t>
  </si>
  <si>
    <t>2025년 연중 개선 예상</t>
  </si>
  <si>
    <t>80711</t>
  </si>
  <si>
    <t>늦더위와 소비 경기 침체 영향 지속</t>
  </si>
  <si>
    <t>80710</t>
  </si>
  <si>
    <t>실적 하향 조정 멈추고 해외 확장성 다시 부각</t>
  </si>
  <si>
    <t>80709</t>
  </si>
  <si>
    <t>상업용 부동산 관련 우려에서 벗어나는 중</t>
  </si>
  <si>
    <t>80708</t>
  </si>
  <si>
    <t>4Q24 Re: 견조한 실적 지속</t>
  </si>
  <si>
    <t>80707</t>
  </si>
  <si>
    <t>4Q review- 견조한 실적, 보수적인 전망</t>
  </si>
  <si>
    <t>80706</t>
  </si>
  <si>
    <t>4Q24 review - 일회성 이익에 힘입어 서프라이즈</t>
  </si>
  <si>
    <t>80705</t>
  </si>
  <si>
    <t>4Q Review: 자본 비율 및 수익성의 안정적 관리에 초점</t>
  </si>
  <si>
    <t>80704</t>
  </si>
  <si>
    <t>한 템포 쉬어가는 실적</t>
  </si>
  <si>
    <t>80703</t>
  </si>
  <si>
    <t>수익성 중심 전략이 이어질 것</t>
  </si>
  <si>
    <t>80702</t>
  </si>
  <si>
    <t>4Q24 review - 일회성 영향이지만, 1Q 눈높이도 하향 필요</t>
  </si>
  <si>
    <t>80701</t>
  </si>
  <si>
    <t xml:space="preserve">수익성 개선 전략의 가시적 효과 창출 필요 </t>
  </si>
  <si>
    <t>80700</t>
  </si>
  <si>
    <t>4Q24 review - 일회성 요인으로 부진 vs 1Q 실적 이상 무</t>
  </si>
  <si>
    <t>80699</t>
  </si>
  <si>
    <t>본격적인 수익성 챙기기 돌입</t>
  </si>
  <si>
    <t>80698</t>
  </si>
  <si>
    <t>4Q24 Review: 2025년 가이던스 - 영업이익 전년 대비 2배</t>
  </si>
  <si>
    <t>80697</t>
  </si>
  <si>
    <t>어려운 업황에서 살아남기</t>
  </si>
  <si>
    <t>80696</t>
  </si>
  <si>
    <t>예열, 또 예열</t>
  </si>
  <si>
    <t>80695</t>
  </si>
  <si>
    <t>트리플 에이스</t>
  </si>
  <si>
    <t>80694</t>
  </si>
  <si>
    <t>주주가치 제고를 위한 최선의 노력 중</t>
  </si>
  <si>
    <t>80693</t>
  </si>
  <si>
    <t>4Q24 Re: 외형 성장 우려는 덜어냈다</t>
  </si>
  <si>
    <t>80692</t>
  </si>
  <si>
    <t>예상됐던 4Q 부진. 수익성 회복이 절실한 `25년</t>
  </si>
  <si>
    <t>80691</t>
  </si>
  <si>
    <t>기존 사업 개선만으로는 부족</t>
  </si>
  <si>
    <t>80690</t>
  </si>
  <si>
    <t>4Q24 Re 일회성 쇼크, 길어지는 회복</t>
  </si>
  <si>
    <t>80689</t>
  </si>
  <si>
    <t>자본비율 제고 의지 확인</t>
  </si>
  <si>
    <t>80688</t>
  </si>
  <si>
    <t>분기 실적보다 중요한 것</t>
  </si>
  <si>
    <t>80687</t>
  </si>
  <si>
    <t>80686</t>
  </si>
  <si>
    <t>글로벌 MASH 모두 제치고 릴리 계약</t>
  </si>
  <si>
    <t>80685</t>
  </si>
  <si>
    <t>80684</t>
  </si>
  <si>
    <t>실적 기저효과에 주목할 시점</t>
  </si>
  <si>
    <t>80683</t>
  </si>
  <si>
    <t>HBM 진입 시 달라질 시각</t>
  </si>
  <si>
    <t>80682</t>
  </si>
  <si>
    <t>밸류에이션 레벨이 관건</t>
  </si>
  <si>
    <t>80681</t>
  </si>
  <si>
    <t>예상된 실적 부진, 예상을 넘어선 주주환원</t>
  </si>
  <si>
    <t>80680</t>
  </si>
  <si>
    <t>재무구조 개선 노력 지속 중</t>
  </si>
  <si>
    <t>80679</t>
  </si>
  <si>
    <t>4Q24 Review: 최고 매출액 달성</t>
  </si>
  <si>
    <t>80678</t>
  </si>
  <si>
    <t>적자의 점진적 축소, 25년 개선될 여건</t>
  </si>
  <si>
    <t>80677</t>
  </si>
  <si>
    <t>24년은 광고, 25년은 커머스</t>
  </si>
  <si>
    <t>80676</t>
  </si>
  <si>
    <t>ROE 정상화, ROE 대비 낮은 PBR</t>
  </si>
  <si>
    <t>80675</t>
  </si>
  <si>
    <t>4분기 기대치 하회 전망. 신제품 성장 지속</t>
  </si>
  <si>
    <t>80674</t>
  </si>
  <si>
    <t>본업 성장세 지속, 필리조선소의 회복이 관건</t>
  </si>
  <si>
    <t>80673</t>
  </si>
  <si>
    <t>AI와 로보틱스 스마트 물류 이끌면서 실적 개선 가속화</t>
  </si>
  <si>
    <t>80672</t>
  </si>
  <si>
    <t>본업은 좋지만, 여전히 아쉬운 SKBS</t>
  </si>
  <si>
    <t>80671</t>
  </si>
  <si>
    <t>가장 중요한 빅파마와의 첫 물꼬! 터졌다</t>
  </si>
  <si>
    <t>80670</t>
  </si>
  <si>
    <t>국내 역 성장, 중국 견조</t>
  </si>
  <si>
    <t>80669</t>
  </si>
  <si>
    <t>수주잔고는 꾸준히 우상향 중</t>
  </si>
  <si>
    <t>80668</t>
  </si>
  <si>
    <t>턴어라운드 기대감을 가져볼 만한 시점</t>
  </si>
  <si>
    <t>80667</t>
  </si>
  <si>
    <t>수주 확대, 외형 성장 가속화</t>
  </si>
  <si>
    <t>80666</t>
  </si>
  <si>
    <t>중국은 양호했지만, 아쉬웠던 내수</t>
  </si>
  <si>
    <t>80665</t>
  </si>
  <si>
    <t>4분기 부진? No, 1회성 영향</t>
  </si>
  <si>
    <t>80664</t>
  </si>
  <si>
    <t>이익 부진하나 미국 시장 진입 긍정적</t>
  </si>
  <si>
    <t>80663</t>
  </si>
  <si>
    <t>배당주로 주목 기대</t>
  </si>
  <si>
    <t>80662</t>
  </si>
  <si>
    <t>독보적인 AI기술력이 미래 가치를 밝힌다</t>
  </si>
  <si>
    <t>80661</t>
  </si>
  <si>
    <t>평이한 실적. 기대되는 커머스</t>
  </si>
  <si>
    <t>80660</t>
  </si>
  <si>
    <t>4Q24 Review: 수출성장 지속 기대</t>
  </si>
  <si>
    <t>80659</t>
  </si>
  <si>
    <t>2025-02-07</t>
  </si>
  <si>
    <t>4Q24 Re: ‘25년은 영업 레버리지 극대화의 해</t>
  </si>
  <si>
    <t>80658</t>
  </si>
  <si>
    <t>하반기를 기다리며 쉬어갑니다</t>
  </si>
  <si>
    <t>80657</t>
  </si>
  <si>
    <t>기대와 우려가 공존하는 해</t>
  </si>
  <si>
    <t>80656</t>
  </si>
  <si>
    <t>25년을 기점으로 업황 턴어라운드 기대</t>
  </si>
  <si>
    <t>80655</t>
  </si>
  <si>
    <t>4Q24 Re: 담배 매출 YoY 13% 성장</t>
  </si>
  <si>
    <t>80654</t>
  </si>
  <si>
    <t>4Q24 Re: 본업과 COSRX, 희비 공존</t>
  </si>
  <si>
    <t>80653</t>
  </si>
  <si>
    <t>Conviction Buy: K2 전차, 단순하지만 강력한 투자포인트</t>
  </si>
  <si>
    <t>80652</t>
  </si>
  <si>
    <t>코스메카코리아, 잉글우드랩 공개매수 결정</t>
  </si>
  <si>
    <t>80651</t>
  </si>
  <si>
    <t>해외 이익이 국내 이익을 상회</t>
  </si>
  <si>
    <t>80650</t>
  </si>
  <si>
    <t>실적은 기대치 밑돌았지만 주주환원은 예정대로 순항</t>
  </si>
  <si>
    <t>80649</t>
  </si>
  <si>
    <t>흠 잡을 데가 없다. 목표가 상향</t>
  </si>
  <si>
    <t>80648</t>
  </si>
  <si>
    <t>Unbelievable</t>
  </si>
  <si>
    <t>80647</t>
  </si>
  <si>
    <t>4Q24 Re: 일회성 비용 + 원가 부담 가중</t>
  </si>
  <si>
    <t>80646</t>
  </si>
  <si>
    <t>80645</t>
  </si>
  <si>
    <t>4Q 리뷰 - 1분기로 시각 옮겨야 할 시점</t>
  </si>
  <si>
    <t>80644</t>
  </si>
  <si>
    <t>조건은 갖춰졌고, 모듈 가격 상승만 남았다</t>
  </si>
  <si>
    <t>80643</t>
  </si>
  <si>
    <t>정유 개선 vs. 배터리 부진</t>
  </si>
  <si>
    <t>80642</t>
  </si>
  <si>
    <t>1회성 이익과 1회성 비용, 변동성이 큰 구간</t>
  </si>
  <si>
    <t>80641</t>
  </si>
  <si>
    <t>가이던스 달성 여부가 중요(25년 7월말)</t>
  </si>
  <si>
    <t>80640</t>
  </si>
  <si>
    <t>업황 둔화 국면에서 상대적으로 선방</t>
  </si>
  <si>
    <t>80639</t>
  </si>
  <si>
    <t>역대 최대 매출 기록에도 저조한 수익성</t>
  </si>
  <si>
    <t>80638</t>
  </si>
  <si>
    <t>Captive 고객 회복도 필요</t>
  </si>
  <si>
    <t>80637</t>
  </si>
  <si>
    <t>[4Q24 Review] 견조한 xEV/SDV 전환 수요에 따른 수혜는 지속될 것</t>
  </si>
  <si>
    <t>80636</t>
  </si>
  <si>
    <t>Valuation gap 축소 기대하며 최선호주 제시</t>
  </si>
  <si>
    <t>80635</t>
  </si>
  <si>
    <t>다소 공격적인 가이던스</t>
  </si>
  <si>
    <t>80634</t>
  </si>
  <si>
    <t>[4Q24 Review] 일회성 요인에 가려진 실로 엄청난 실적</t>
  </si>
  <si>
    <t>80633</t>
  </si>
  <si>
    <t>4Q24 Review : P/B 0.09배</t>
  </si>
  <si>
    <t>80632</t>
  </si>
  <si>
    <t>[4Q24 Review] 올해도 이어질 매출 감소 여파</t>
  </si>
  <si>
    <t>80631</t>
  </si>
  <si>
    <t>AI SW 대장주 재차 확인</t>
  </si>
  <si>
    <t>80630</t>
  </si>
  <si>
    <t>실적 양호, 주주환원정책 양호</t>
  </si>
  <si>
    <t>80629</t>
  </si>
  <si>
    <t xml:space="preserve">아쉬운 실적이나 주주환원정책은 양호 </t>
  </si>
  <si>
    <t>80628</t>
  </si>
  <si>
    <t>상반기 실적이 관건</t>
  </si>
  <si>
    <t>80627</t>
  </si>
  <si>
    <t>오늘보다 내일</t>
  </si>
  <si>
    <t>80626</t>
  </si>
  <si>
    <t>원가율 88.2%</t>
  </si>
  <si>
    <t>80625</t>
  </si>
  <si>
    <t>일회성 이익에 힘입은 서프라이즈</t>
  </si>
  <si>
    <t>80624</t>
  </si>
  <si>
    <t>24년은 이익 서프! 25년은 AI로 탑라인까지</t>
  </si>
  <si>
    <t>80623</t>
  </si>
  <si>
    <t>일회성 비용으로 실적 예상 하회</t>
  </si>
  <si>
    <t>80622</t>
  </si>
  <si>
    <t>비수기에도 흑자는 유지될 전망</t>
  </si>
  <si>
    <t>80621</t>
  </si>
  <si>
    <t>더 안 좋아질 것도 없음</t>
  </si>
  <si>
    <t>80620</t>
  </si>
  <si>
    <t>단기적 수급 리스크와 3월 반격의 시작</t>
  </si>
  <si>
    <t>80619</t>
  </si>
  <si>
    <t>눈에 띄는 2025년 영업이익 가이던스</t>
  </si>
  <si>
    <t>80618</t>
  </si>
  <si>
    <t>비용을 반영하고도 기록한 어닝 서프라이즈</t>
  </si>
  <si>
    <t>80617</t>
  </si>
  <si>
    <t>신약 비즈니스 모델의 첫 주자</t>
  </si>
  <si>
    <t>80616</t>
  </si>
  <si>
    <t>상승 흐름, 멈출 이유가 없다</t>
  </si>
  <si>
    <t>80615</t>
  </si>
  <si>
    <t>양호한 실적</t>
  </si>
  <si>
    <t>80614</t>
  </si>
  <si>
    <t>4Q24 Review: 해외 열일</t>
  </si>
  <si>
    <t>80613</t>
  </si>
  <si>
    <t>방산 수출마진 40% 달성</t>
  </si>
  <si>
    <t>80612</t>
  </si>
  <si>
    <t>4Q24 리뷰: 비용 최소화 긍정적, 높은 성장성</t>
  </si>
  <si>
    <t>80611</t>
  </si>
  <si>
    <t>전지박, 동박 본격적인 물량 확대 시작</t>
  </si>
  <si>
    <t>80610</t>
  </si>
  <si>
    <t>밸류업의 원년</t>
  </si>
  <si>
    <t>80609</t>
  </si>
  <si>
    <t>4Q24 Review: 컨센 상회, 호실적 지속</t>
  </si>
  <si>
    <t>80608</t>
  </si>
  <si>
    <t>다섯 가지 성장동력 (feat. AI 부품주)</t>
  </si>
  <si>
    <t>80607</t>
  </si>
  <si>
    <t>올라가자 자율주행</t>
  </si>
  <si>
    <t>80606</t>
  </si>
  <si>
    <t>80605</t>
  </si>
  <si>
    <t>가동률 상승 확인</t>
  </si>
  <si>
    <t>80604</t>
  </si>
  <si>
    <t>업황 저점 통과, 고객사 다변화로 돌파구 마련</t>
  </si>
  <si>
    <t>80603</t>
  </si>
  <si>
    <t>서서히 회복 중</t>
  </si>
  <si>
    <t>80602</t>
  </si>
  <si>
    <t>합병 효과로 영업 흑자 지속 전망</t>
  </si>
  <si>
    <t>80601</t>
  </si>
  <si>
    <t>실적 바닥 지나고 있지만 주가 상승 여력 제한적</t>
  </si>
  <si>
    <t>80600</t>
  </si>
  <si>
    <t>80599</t>
  </si>
  <si>
    <t>강한 주주환원 확대 지속</t>
  </si>
  <si>
    <t>80598</t>
  </si>
  <si>
    <t>가이던스 신뢰도 상승, 사지 않을 이유가 없다</t>
  </si>
  <si>
    <t>80597</t>
  </si>
  <si>
    <t>4Q24 Review: 실적에 더해지는 모멘텀</t>
  </si>
  <si>
    <t>80596</t>
  </si>
  <si>
    <t>서서히 걷히는 안개</t>
  </si>
  <si>
    <t>80595</t>
  </si>
  <si>
    <t>진정한 밸류업 선도 은행</t>
  </si>
  <si>
    <t>80594</t>
  </si>
  <si>
    <t>4Q24 Review: 수익성 회복 시작</t>
  </si>
  <si>
    <t>80593</t>
  </si>
  <si>
    <t>눈을 의심한 마진율</t>
  </si>
  <si>
    <t>80592</t>
  </si>
  <si>
    <t>주가는 25년 실적과 주주환원을 반영할 것</t>
  </si>
  <si>
    <t>80591</t>
  </si>
  <si>
    <t>The Queens Are Coming</t>
  </si>
  <si>
    <t>80590</t>
  </si>
  <si>
    <t>글로벌 브랜드로 재도약</t>
  </si>
  <si>
    <t>80589</t>
  </si>
  <si>
    <t>최근 이런 가이던스를</t>
  </si>
  <si>
    <t>80588</t>
  </si>
  <si>
    <t>Kraton 실적 부진,  4Q 적자전환</t>
  </si>
  <si>
    <t>80587</t>
  </si>
  <si>
    <t xml:space="preserve">실적 반등 여건 조성 </t>
  </si>
  <si>
    <t>80586</t>
  </si>
  <si>
    <t>안좋게 볼 것 없음</t>
  </si>
  <si>
    <t>80585</t>
  </si>
  <si>
    <t>Xcopri와 함께 춤을</t>
  </si>
  <si>
    <t>80584</t>
  </si>
  <si>
    <t>AP본업이 이끄는 성장</t>
  </si>
  <si>
    <t>80583</t>
  </si>
  <si>
    <t>2024년은 최악의 부진 올해는 2분기부터 회복 전망</t>
  </si>
  <si>
    <t>80582</t>
  </si>
  <si>
    <t>어려운 업황 속 안정적 회복 지속</t>
  </si>
  <si>
    <t>80581</t>
  </si>
  <si>
    <t>밸류업에 진심인 편. 비은행 실적 회복이 관건</t>
  </si>
  <si>
    <t>80580</t>
  </si>
  <si>
    <t>PBR 보다는 TSR로 접근</t>
  </si>
  <si>
    <t>80579</t>
  </si>
  <si>
    <t>차별화된 전지막 매출 성장</t>
  </si>
  <si>
    <t>80578</t>
  </si>
  <si>
    <t>ROE도 주주환원율도 최고</t>
  </si>
  <si>
    <t>80577</t>
  </si>
  <si>
    <t>25년 잠시 쉬었다 26년 성장 재개</t>
  </si>
  <si>
    <t>80576</t>
  </si>
  <si>
    <t>주택부문 정상화가 눈앞에</t>
  </si>
  <si>
    <t>80575</t>
  </si>
  <si>
    <t>자산재평가가 주가 재평가로</t>
  </si>
  <si>
    <t>80574</t>
  </si>
  <si>
    <t>낮은 가동률, 지속되는 적자</t>
  </si>
  <si>
    <t>80573</t>
  </si>
  <si>
    <t>4Q24 Review: 수출 확대 여부가 중요</t>
  </si>
  <si>
    <t>80572</t>
  </si>
  <si>
    <t>4Q24 Review: 재성장 궤도 진입 성공</t>
  </si>
  <si>
    <t>80571</t>
  </si>
  <si>
    <t>좋은 회사, 비싼 주가</t>
  </si>
  <si>
    <t>80570</t>
  </si>
  <si>
    <t>돈 버는 AI</t>
  </si>
  <si>
    <t>80569</t>
  </si>
  <si>
    <t>멕시코와 홍콩에서의 훈풍을 기다리며</t>
  </si>
  <si>
    <t>80568</t>
  </si>
  <si>
    <t>드라마틱한 변화</t>
  </si>
  <si>
    <t>80567</t>
  </si>
  <si>
    <t>연간 NAV 저점</t>
  </si>
  <si>
    <t>80566</t>
  </si>
  <si>
    <t>미 7함대 MRO가 다가온다</t>
  </si>
  <si>
    <t>80565</t>
  </si>
  <si>
    <t>자회사 실적 회복이 성장Key</t>
  </si>
  <si>
    <t>80564</t>
  </si>
  <si>
    <t>변함없는 주주환원 의지</t>
  </si>
  <si>
    <t>80563</t>
  </si>
  <si>
    <t>점진적 실적개선 기대</t>
  </si>
  <si>
    <t>80562</t>
  </si>
  <si>
    <t>예상을 넘어서는 해외</t>
  </si>
  <si>
    <t>80561</t>
  </si>
  <si>
    <t>소비심리 반등 효과 기대</t>
  </si>
  <si>
    <t>80560</t>
  </si>
  <si>
    <t>곳간에서 인심난다</t>
  </si>
  <si>
    <t>80559</t>
  </si>
  <si>
    <t>80558</t>
  </si>
  <si>
    <t>잠시 줄어든 선속</t>
  </si>
  <si>
    <t>80557</t>
  </si>
  <si>
    <t>큰 폭의 주주환원율 개선 기대</t>
  </si>
  <si>
    <t>80556</t>
  </si>
  <si>
    <t>분기 매출 4조원이 언제였더라</t>
  </si>
  <si>
    <t>80555</t>
  </si>
  <si>
    <t>4Q24 Re 방산 이익 레벨업, 수주 차례</t>
  </si>
  <si>
    <t>80554</t>
  </si>
  <si>
    <t>배터리 부진을 정유 호실적이 상쇄</t>
  </si>
  <si>
    <t>80553</t>
  </si>
  <si>
    <t>4Q24 Re 아쉬운 업황, 무한한 가능성</t>
  </si>
  <si>
    <t>80552</t>
  </si>
  <si>
    <t>25년 들어 포착되고 있는 긍정적인 변화 2가지</t>
  </si>
  <si>
    <t>80551</t>
  </si>
  <si>
    <t>On 부진보다는 정유/E&amp;P/E&amp;S 스토리에 주목하자</t>
  </si>
  <si>
    <t>80550</t>
  </si>
  <si>
    <t>직판의 결실. 美시장 본격 수익화</t>
  </si>
  <si>
    <t>80549</t>
  </si>
  <si>
    <t>4Q24 Review: 9.1조원 매출 가이던스는 너무 보수적</t>
  </si>
  <si>
    <t>80548</t>
  </si>
  <si>
    <t>에너지 개선, E&amp;S 실적 반영</t>
  </si>
  <si>
    <t>80547</t>
  </si>
  <si>
    <t>4Q24 Review: 25년 핵심 키워드는 부분 증설, 단가 인상</t>
  </si>
  <si>
    <t>80546</t>
  </si>
  <si>
    <t>저율 가동으로 인한 단기 수익성 부진 예상</t>
  </si>
  <si>
    <t>80545</t>
  </si>
  <si>
    <t>Beat and Raise</t>
  </si>
  <si>
    <t>80544</t>
  </si>
  <si>
    <t>25년 영업실적+주주환원 모멘텀 모두 유효</t>
  </si>
  <si>
    <t>80543</t>
  </si>
  <si>
    <t>가파른 성장세 증명, 추가 수주 기대감 유효</t>
  </si>
  <si>
    <t>80542</t>
  </si>
  <si>
    <t>업황 침체 감안하면 선방한 실적</t>
  </si>
  <si>
    <t>80541</t>
  </si>
  <si>
    <t>충실한 계획 이행, 저평가 해소 전망</t>
  </si>
  <si>
    <t>80540</t>
  </si>
  <si>
    <t>8년 만에 분기 영업이익 천억 원대 탈환</t>
  </si>
  <si>
    <t>80539</t>
  </si>
  <si>
    <t>양호한 실적과 주주친화정책 강화</t>
  </si>
  <si>
    <t>80538</t>
  </si>
  <si>
    <t>2025년 충분히 기대할 만하다</t>
  </si>
  <si>
    <t>80537</t>
  </si>
  <si>
    <t>4Q24 Review: 수주가 필요한 시점</t>
  </si>
  <si>
    <t>80536</t>
  </si>
  <si>
    <t>실적 개선과 AI의 강력한 모멘텀</t>
  </si>
  <si>
    <t>80535</t>
  </si>
  <si>
    <t>차분히 예열 중</t>
  </si>
  <si>
    <t>80534</t>
  </si>
  <si>
    <t>2025-02-06</t>
  </si>
  <si>
    <t>1분기부터 성장과 수익성 반등</t>
  </si>
  <si>
    <t>80533</t>
  </si>
  <si>
    <t>믿고 가는 실적 + 오버행 소멸</t>
  </si>
  <si>
    <t>80532</t>
  </si>
  <si>
    <t>여전히 견조한 해외 성장</t>
  </si>
  <si>
    <t>80531</t>
  </si>
  <si>
    <t>하이니켈 출하량 반등 시작</t>
  </si>
  <si>
    <t>80530</t>
  </si>
  <si>
    <t>4Q24 Review: 일회성 비용을 감안 시, 견조한 경상이익</t>
  </si>
  <si>
    <t>80529</t>
  </si>
  <si>
    <t>4Q24 Re: 거침없는 입점 확대로 매출 컨센 상회!</t>
  </si>
  <si>
    <t>80528</t>
  </si>
  <si>
    <t>4Q24 Review 컨센서스 하회</t>
  </si>
  <si>
    <t>80527</t>
  </si>
  <si>
    <t>FLNG 반영, 이익 증가</t>
  </si>
  <si>
    <t>80526</t>
  </si>
  <si>
    <t>4분기 수출 마진 개선과 대규모 일회성 이익 발생</t>
  </si>
  <si>
    <t>80525</t>
  </si>
  <si>
    <t>ROE 개선 추세는 향후에도 지속될 전망</t>
  </si>
  <si>
    <t>80524</t>
  </si>
  <si>
    <t>결제 선방, 증권 흑전</t>
  </si>
  <si>
    <t>80523</t>
  </si>
  <si>
    <t>아쉬운 단기 실적 vs. 팜유/천연가스 강세의 수혜</t>
  </si>
  <si>
    <t>80522</t>
  </si>
  <si>
    <t>2025년 주택건축의 감소</t>
  </si>
  <si>
    <t>80521</t>
  </si>
  <si>
    <t>글로벌 전략 변화로 디레이팅 해소</t>
  </si>
  <si>
    <t>80520</t>
  </si>
  <si>
    <t>높아진 기대치에 비해 아쉬움이 컸던 주주환원</t>
  </si>
  <si>
    <t>80519</t>
  </si>
  <si>
    <t>분기 최대 매출 달성</t>
  </si>
  <si>
    <t>80518</t>
  </si>
  <si>
    <t>자본정책 로직을 그대로 이행, 하반기 자사주 기대</t>
  </si>
  <si>
    <t>80517</t>
  </si>
  <si>
    <t>단기 모멘텀 유효하나 고객사 다각화 필요</t>
  </si>
  <si>
    <t>80516</t>
  </si>
  <si>
    <t>4Q24 Review : 비용의 늪</t>
  </si>
  <si>
    <t>80515</t>
  </si>
  <si>
    <t>4Q24 Review : 제조 코스메틱 비중 확대에 주목</t>
  </si>
  <si>
    <t>80514</t>
  </si>
  <si>
    <t>4Q24 Review : 더 이상 후순위가 아니다</t>
  </si>
  <si>
    <t>80513</t>
  </si>
  <si>
    <t>비이자 개선은 긍정적, top line 정체는 불가피</t>
  </si>
  <si>
    <t>80512</t>
  </si>
  <si>
    <t>[4Q24 Review] 추스름의 시간</t>
  </si>
  <si>
    <t>80511</t>
  </si>
  <si>
    <t>FLNG 중심의 이익개선 시작</t>
  </si>
  <si>
    <t>80510</t>
  </si>
  <si>
    <t>업황에도 불구하고 외형 성장은 지속될 전망</t>
  </si>
  <si>
    <t>80509</t>
  </si>
  <si>
    <t>폭발적 성장, 증설로 한 단계 더</t>
  </si>
  <si>
    <t>80508</t>
  </si>
  <si>
    <t>4Q24 Review: 영업이익 기준 컨센 하회 실적</t>
  </si>
  <si>
    <t>80507</t>
  </si>
  <si>
    <t>하반기 더 많은 자사주 매입 기대</t>
  </si>
  <si>
    <t>80506</t>
  </si>
  <si>
    <t>괜찮아 경상이익은 양호하니까</t>
  </si>
  <si>
    <t>80505</t>
  </si>
  <si>
    <t>선명해진 원가율 개선의 방향성</t>
  </si>
  <si>
    <t>80504</t>
  </si>
  <si>
    <t>분위기 반전을 노린다</t>
  </si>
  <si>
    <t>80503</t>
  </si>
  <si>
    <t>여러 비용 요인이 반영된 4분기 실적</t>
  </si>
  <si>
    <t>80502</t>
  </si>
  <si>
    <t>ODM 사업 진출의 원년</t>
  </si>
  <si>
    <t>80501</t>
  </si>
  <si>
    <t>4Q24 Review: 인력과 지점 효율화</t>
  </si>
  <si>
    <t>80500</t>
  </si>
  <si>
    <t>드러나기 시작했고, 달라진 해양</t>
  </si>
  <si>
    <t>80499</t>
  </si>
  <si>
    <t>꾸준한 실적상승 기대, 사라진 FLNG 경쟁</t>
  </si>
  <si>
    <t>80498</t>
  </si>
  <si>
    <t>로봇으로 한 번, 드론으로 또 한 번</t>
  </si>
  <si>
    <t>80497</t>
  </si>
  <si>
    <t>몸이 천냥이면 눈(Lidar)이 구백냥</t>
  </si>
  <si>
    <t>80496</t>
  </si>
  <si>
    <t>실적 턴어라운드 기대 &lt; 보수적 계획</t>
  </si>
  <si>
    <t>80495</t>
  </si>
  <si>
    <t>80494</t>
  </si>
  <si>
    <t>80493</t>
  </si>
  <si>
    <t>위험가중자산 증가율 통제 필요</t>
  </si>
  <si>
    <t>80492</t>
  </si>
  <si>
    <t>준비된 기업의 활약 기대</t>
  </si>
  <si>
    <t>80491</t>
  </si>
  <si>
    <t>증권 펀더멘털은 양호</t>
  </si>
  <si>
    <t>80490</t>
  </si>
  <si>
    <t>80489</t>
  </si>
  <si>
    <t>4Q24 기대치 상회, 다소 보수적인 ’25년 가이던스</t>
  </si>
  <si>
    <t>80488</t>
  </si>
  <si>
    <t>나도 수익성을 찾아서</t>
  </si>
  <si>
    <t>80487</t>
  </si>
  <si>
    <t>핵심은 탄탄한 고객 기반과 폭넓은 시장 대응력</t>
  </si>
  <si>
    <t>80486</t>
  </si>
  <si>
    <t>업황도 이겨낸 실적 행보</t>
  </si>
  <si>
    <t>80485</t>
  </si>
  <si>
    <t>4Q24 Review: 공공기관 도입 수혜 지속</t>
  </si>
  <si>
    <t>80484</t>
  </si>
  <si>
    <t>25년 재도약을 꿈꾸다</t>
  </si>
  <si>
    <t>80483</t>
  </si>
  <si>
    <t>80482</t>
  </si>
  <si>
    <t>상반기 긍정적 변동성 기대</t>
  </si>
  <si>
    <t>80481</t>
  </si>
  <si>
    <t>경기 요인, 일회성 비용 등으로 컨센서스 하회</t>
  </si>
  <si>
    <t>80480</t>
  </si>
  <si>
    <t>우수했으나, 앞으로가 중요하다</t>
  </si>
  <si>
    <t>80479</t>
  </si>
  <si>
    <t>신차 효과와 레버리지 기대</t>
  </si>
  <si>
    <t>80478</t>
  </si>
  <si>
    <t>성장성 재확인</t>
  </si>
  <si>
    <t>80477</t>
  </si>
  <si>
    <t>또 보수적인 가이던스 제시, 초과 달성 전망, 기대</t>
  </si>
  <si>
    <t>80476</t>
  </si>
  <si>
    <t>분위기 급반전</t>
  </si>
  <si>
    <t>80475</t>
  </si>
  <si>
    <t>80474</t>
  </si>
  <si>
    <t>차별화된 강점 유지</t>
  </si>
  <si>
    <t>80473</t>
  </si>
  <si>
    <t>4Q24 Review: K-Food 수혜는 지속된다</t>
  </si>
  <si>
    <t>80472</t>
  </si>
  <si>
    <t>Tesla향 차세대 2170, 4680 배터리의 수혜</t>
  </si>
  <si>
    <t>80471</t>
  </si>
  <si>
    <t>글리세린 구조적 강세의 반사수혜</t>
  </si>
  <si>
    <t>80470</t>
  </si>
  <si>
    <t>국내 증시 부진을 상쇄하는 해외주식 경쟁력</t>
  </si>
  <si>
    <t>80469</t>
  </si>
  <si>
    <t>기대치를 밑돈 자본비율과 자사주 규모</t>
  </si>
  <si>
    <t>80468</t>
  </si>
  <si>
    <t>상선과 해양 모두 순항 중</t>
  </si>
  <si>
    <t>80467</t>
  </si>
  <si>
    <t>펀더멘털 감안 시 주주환원 확대 기대감 유효</t>
  </si>
  <si>
    <t>80466</t>
  </si>
  <si>
    <t>오직 M&amp;A 효과</t>
  </si>
  <si>
    <t>80465</t>
  </si>
  <si>
    <t>악재는 끝, 경기만 반등하면 회복할 듯</t>
  </si>
  <si>
    <t>80464</t>
  </si>
  <si>
    <t>단기 실적 부진보다 아쉬운 저성장</t>
  </si>
  <si>
    <t>80463</t>
  </si>
  <si>
    <t>최악을 지나는 구간</t>
  </si>
  <si>
    <t>80462</t>
  </si>
  <si>
    <t>80461</t>
  </si>
  <si>
    <t>상반기도 실적 부진 지속 전망</t>
  </si>
  <si>
    <t>80460</t>
  </si>
  <si>
    <t>수익성 중심의 경영전략 지속 전망</t>
  </si>
  <si>
    <t>80459</t>
  </si>
  <si>
    <t>최악의 구간을 통과한 것으로 판단</t>
  </si>
  <si>
    <t>80458</t>
  </si>
  <si>
    <t>상반기 실적 맑음, 모멘텀도 대기</t>
  </si>
  <si>
    <t>80457</t>
  </si>
  <si>
    <t>이익전망 맑음, 추가 주주환원 기대</t>
  </si>
  <si>
    <t>80456</t>
  </si>
  <si>
    <t>바닥 다진 후 반등 노리는 주가</t>
  </si>
  <si>
    <t>80455</t>
  </si>
  <si>
    <t>FLNG가 끌어올린&amp;올릴 실적</t>
  </si>
  <si>
    <t>80454</t>
  </si>
  <si>
    <t>좋음, 모든 사업부가!</t>
  </si>
  <si>
    <t>80453</t>
  </si>
  <si>
    <t>고정비 부담은 있겠지만... 체질개선 효과를 기대</t>
  </si>
  <si>
    <t>80452</t>
  </si>
  <si>
    <t>예상치 못한 변수</t>
  </si>
  <si>
    <t>80451</t>
  </si>
  <si>
    <t>4Q24 Review: 자회사에 가려진 주택/건축 마진</t>
  </si>
  <si>
    <t>80450</t>
  </si>
  <si>
    <t>2025-02-05</t>
  </si>
  <si>
    <t>양호한 실적 성장 유지</t>
  </si>
  <si>
    <t>80449</t>
  </si>
  <si>
    <t>4Q24 Re: 일회성 비용으로 시장기대치 하회</t>
  </si>
  <si>
    <t>80448</t>
  </si>
  <si>
    <t>또 한 번의 볼륨업과 2H25 흑자 전환 전망</t>
  </si>
  <si>
    <t>80447</t>
  </si>
  <si>
    <t>4Q24 Re: #중국산라이신 #반덤핑 #수혜 기대주</t>
  </si>
  <si>
    <t>80446</t>
  </si>
  <si>
    <t>25년에는 미국 제조업 CAPEX 증가 등에 따른 회복 기대</t>
  </si>
  <si>
    <t>80445</t>
  </si>
  <si>
    <t>투자의견 상향, 더 나빠지기 어려워</t>
  </si>
  <si>
    <t>80444</t>
  </si>
  <si>
    <t>고무적인 NIM 개선 폭과 우려를 날려버린 주주환원 확대</t>
  </si>
  <si>
    <t>80443</t>
  </si>
  <si>
    <t>탄소섬유/아라미드 업황 바닥권 통과 중</t>
  </si>
  <si>
    <t>80442</t>
  </si>
  <si>
    <t>3년 간의 감익 종료. 1Q25부터 뚜렷한 개선</t>
  </si>
  <si>
    <t>80441</t>
  </si>
  <si>
    <t>일회성 제외 시 컨센 부합</t>
  </si>
  <si>
    <t>80440</t>
  </si>
  <si>
    <t>오픈AI 협업 발표. AI 네이티브 컴퍼니를 향해</t>
  </si>
  <si>
    <t>80439</t>
  </si>
  <si>
    <t>2월 전략 - 너무 쌉니다. 2월 중순 노려야</t>
  </si>
  <si>
    <t>80438</t>
  </si>
  <si>
    <t>2월 전략 - 매도 자제, 본격 반등 시작될 것</t>
  </si>
  <si>
    <t>80437</t>
  </si>
  <si>
    <t>2월 전략 - 대장주로서 통신 3사 주가 상승 이끌 것</t>
  </si>
  <si>
    <t>80436</t>
  </si>
  <si>
    <t>스트라이크 존에 조금씩 가까워지는 중</t>
  </si>
  <si>
    <t>80435</t>
  </si>
  <si>
    <t>안정적 오퍼레이션과 울산GPS 상업운전</t>
  </si>
  <si>
    <t>80434</t>
  </si>
  <si>
    <t>발전 부문의 일시적 수익 둔화</t>
  </si>
  <si>
    <t>80433</t>
  </si>
  <si>
    <t>업황 개선을 기다리고 있는 매력적인 밸류에이션</t>
  </si>
  <si>
    <t>80432</t>
  </si>
  <si>
    <t>[4Q24 Review] 공격적으로 보이는 가이던스, 불가능은 아니다</t>
  </si>
  <si>
    <t>80431</t>
  </si>
  <si>
    <t>[4Q24 Review] 2개 분기 연속 연결흑자 달성</t>
  </si>
  <si>
    <t>80430</t>
  </si>
  <si>
    <t>Value up 선발대</t>
  </si>
  <si>
    <t>80429</t>
  </si>
  <si>
    <t>환율 우려 완화로 할인률 개선 기대</t>
  </si>
  <si>
    <t>80428</t>
  </si>
  <si>
    <t>4Q24Re: 한미답지 않았던 4분기</t>
  </si>
  <si>
    <t>80427</t>
  </si>
  <si>
    <t>분기 실적 회복 여부와 6월 ADA 주목</t>
  </si>
  <si>
    <t>80426</t>
  </si>
  <si>
    <t>4Q24 Review: 인력 조정과 자산손상처리</t>
  </si>
  <si>
    <t>80425</t>
  </si>
  <si>
    <t>4Q24 일시적 기대치 하회, ’25년에도 가시성 높은 20% 성장</t>
  </si>
  <si>
    <t>80424</t>
  </si>
  <si>
    <t>잃어버린 1년, 북경한미 정상화가 중요</t>
  </si>
  <si>
    <t>80423</t>
  </si>
  <si>
    <t>몸소 증명해낸 위험가중자산 관리 능력</t>
  </si>
  <si>
    <t>80422</t>
  </si>
  <si>
    <t>페이증권 첫 흑자 전환! 올해부터 연결 영업이익 흑전 기대</t>
  </si>
  <si>
    <t>80421</t>
  </si>
  <si>
    <t>가려진 성장, 하반기로 갈수록 가시화 기대</t>
  </si>
  <si>
    <t>80420</t>
  </si>
  <si>
    <t>기대되는 비포에프터</t>
  </si>
  <si>
    <t>80419</t>
  </si>
  <si>
    <t>중요한 건 합성고무 증익</t>
  </si>
  <si>
    <t>80418</t>
  </si>
  <si>
    <t>견조한 본업과 안정적 이익개선</t>
  </si>
  <si>
    <t>80417</t>
  </si>
  <si>
    <t>시황 변곡점까지 인내 필요</t>
  </si>
  <si>
    <t>80416</t>
  </si>
  <si>
    <t>선명해진 이익 성장 궤도 진입</t>
  </si>
  <si>
    <t>80415</t>
  </si>
  <si>
    <t>일회성 이익 반영에 따라 깜짝 실적 시현</t>
  </si>
  <si>
    <t>80414</t>
  </si>
  <si>
    <t xml:space="preserve">이제부터는 수익성 개선이다. </t>
  </si>
  <si>
    <t>80413</t>
  </si>
  <si>
    <t xml:space="preserve">아직은 시간이 필요 </t>
  </si>
  <si>
    <t>80412</t>
  </si>
  <si>
    <t>2025년부터는 한온시스템 실적까지 연결</t>
  </si>
  <si>
    <t>80411</t>
  </si>
  <si>
    <t>든든한 캐시카우, 업황은 저점을 통과</t>
  </si>
  <si>
    <t>80410</t>
  </si>
  <si>
    <t>4Q24 Review: 한온시스템 vs 견조한 본업</t>
  </si>
  <si>
    <t>80409</t>
  </si>
  <si>
    <t>4Q24Re: 반등을 위한 조건</t>
  </si>
  <si>
    <t>80408</t>
  </si>
  <si>
    <t>매니지먼트의 전략적 우위</t>
  </si>
  <si>
    <t>80407</t>
  </si>
  <si>
    <t>고래 싸움에 새우가 득 볼 기회</t>
  </si>
  <si>
    <t>80406</t>
  </si>
  <si>
    <t>화공 플랜트 회복 + SMP/유연탄이 변수</t>
  </si>
  <si>
    <t>80405</t>
  </si>
  <si>
    <t>수익성을 찾아서</t>
  </si>
  <si>
    <t>80404</t>
  </si>
  <si>
    <t>25년은 수익성 방어 → ‘개선’으로</t>
  </si>
  <si>
    <t>80403</t>
  </si>
  <si>
    <t>우려 대비 선방한 실적</t>
  </si>
  <si>
    <t>80402</t>
  </si>
  <si>
    <t>유튜브쇼핑 거래액은 얼마나 빨리 올라올까</t>
  </si>
  <si>
    <t>80401</t>
  </si>
  <si>
    <t>우호적 수급, 본업 회복 지속</t>
  </si>
  <si>
    <t>80400</t>
  </si>
  <si>
    <t>환율 영향에도 밸류업 이상 무</t>
  </si>
  <si>
    <t>80399</t>
  </si>
  <si>
    <t>사상최대 순이익과 주주환원율</t>
  </si>
  <si>
    <t>80398</t>
  </si>
  <si>
    <t>돌다리 두들겨 보기</t>
  </si>
  <si>
    <t>80397</t>
  </si>
  <si>
    <t>고환율 부담 극복</t>
  </si>
  <si>
    <t>80396</t>
  </si>
  <si>
    <t>4Q24 Re 실적은 쇼크, ’25년은 회복기</t>
  </si>
  <si>
    <t>80395</t>
  </si>
  <si>
    <t>건기의 반등 시점이 중요</t>
  </si>
  <si>
    <t>80394</t>
  </si>
  <si>
    <t>수주 지속 가능성에 주목</t>
  </si>
  <si>
    <t>80393</t>
  </si>
  <si>
    <t>이번에도 강했다</t>
  </si>
  <si>
    <t>80392</t>
  </si>
  <si>
    <t>하필 정기보수와 겹친 수익성 악화</t>
  </si>
  <si>
    <t>80391</t>
  </si>
  <si>
    <t>2025-02-04</t>
  </si>
  <si>
    <t>재고조정 영향 해소는 3분기로</t>
  </si>
  <si>
    <t>80390</t>
  </si>
  <si>
    <t>가시권에 들어온 수주 모멘텀</t>
  </si>
  <si>
    <t>80389</t>
  </si>
  <si>
    <t>4Q24 Review 업황부진과 일회성 비용 반영</t>
  </si>
  <si>
    <t>80388</t>
  </si>
  <si>
    <t>양극재 Capa 가이던스 하향 &amp; 1Q 판매량 감소 예상</t>
  </si>
  <si>
    <t>80387</t>
  </si>
  <si>
    <t>일시적 비용 반영에도 분기 최대 실적</t>
  </si>
  <si>
    <t>80386</t>
  </si>
  <si>
    <t>배당 재개 여부가 중요</t>
  </si>
  <si>
    <t>80385</t>
  </si>
  <si>
    <t>계절성과 일회성에 의한 일시적 부진</t>
  </si>
  <si>
    <t>80384</t>
  </si>
  <si>
    <t>공격적이지만 이유가 있는 매출 가이던스</t>
  </si>
  <si>
    <t>80383</t>
  </si>
  <si>
    <t>올해부터 가파른 흑자전환 시작</t>
  </si>
  <si>
    <t>80382</t>
  </si>
  <si>
    <t>실적 격차 빠르게 해소 중</t>
  </si>
  <si>
    <t>80381</t>
  </si>
  <si>
    <t>장기 성장 가시성 높지만…</t>
  </si>
  <si>
    <t>80380</t>
  </si>
  <si>
    <t>AI 수혜 임박</t>
  </si>
  <si>
    <t>80379</t>
  </si>
  <si>
    <t>따뜻한 봄이 오고 있다</t>
  </si>
  <si>
    <t>80378</t>
  </si>
  <si>
    <t>4Q24 대규모 일회성 평가손실과 각종 비용 발생</t>
  </si>
  <si>
    <t>80377</t>
  </si>
  <si>
    <t>점진적인 회복, 그러나 높아진 시장 불확실성</t>
  </si>
  <si>
    <t>80376</t>
  </si>
  <si>
    <t>[4Q24 Review] 3년간 담보된 성장</t>
  </si>
  <si>
    <t>80375</t>
  </si>
  <si>
    <t>4Q24 Review: 어닝 쇼크 기록</t>
  </si>
  <si>
    <t>80374</t>
  </si>
  <si>
    <t>경기보다 보안이 더 중요</t>
  </si>
  <si>
    <t>80373</t>
  </si>
  <si>
    <t>어려움을 그대로 보여줬던 실적</t>
  </si>
  <si>
    <t>80372</t>
  </si>
  <si>
    <t>2025년 배터리 소재 회복에 인내가 필요해!</t>
  </si>
  <si>
    <t>80371</t>
  </si>
  <si>
    <t>자체사업이 보여준 ''25년 실적의 방향</t>
  </si>
  <si>
    <t>80370</t>
  </si>
  <si>
    <t>노바티스의 개발 계획 공개에 주목</t>
  </si>
  <si>
    <t>80369</t>
  </si>
  <si>
    <t>주주환원 정책 강화</t>
  </si>
  <si>
    <t>80368</t>
  </si>
  <si>
    <t>4Q24 Preview: 선단 공정 투자 수혜의 대표주자</t>
  </si>
  <si>
    <t>80367</t>
  </si>
  <si>
    <t>실적 예상 상회</t>
  </si>
  <si>
    <t>80366</t>
  </si>
  <si>
    <t>4Q24 실적 기대치 상회</t>
  </si>
  <si>
    <t>80365</t>
  </si>
  <si>
    <t>4Q24P Review: 내수 시장의 현실</t>
  </si>
  <si>
    <t>80364</t>
  </si>
  <si>
    <t>어려운 업황 지속</t>
  </si>
  <si>
    <t>80363</t>
  </si>
  <si>
    <t>구조조정 = 고진감래</t>
  </si>
  <si>
    <t>80362</t>
  </si>
  <si>
    <t>4Q24 Re: 예상보다 높았던 서울원 계약률</t>
  </si>
  <si>
    <t>80361</t>
  </si>
  <si>
    <t>보수적 가이던스와 추가 수주 기대감</t>
  </si>
  <si>
    <t>80360</t>
  </si>
  <si>
    <t>올해 해상풍력 수주 2배 이상 증가</t>
  </si>
  <si>
    <t>80359</t>
  </si>
  <si>
    <t>4Q24 Review: 메모리 부문 회복이 관건</t>
  </si>
  <si>
    <t>80358</t>
  </si>
  <si>
    <t>4Q24 Review 고객사 미국 진출과 디지털 전환 수혜의 이중주</t>
  </si>
  <si>
    <t>80357</t>
  </si>
  <si>
    <t>높아진 주주환원율</t>
  </si>
  <si>
    <t>80356</t>
  </si>
  <si>
    <t>26년 기준 MLB 사업가치가 PKG 사업가치에 근접</t>
  </si>
  <si>
    <t>80355</t>
  </si>
  <si>
    <t>단기 주가 약세 전망</t>
  </si>
  <si>
    <t>80354</t>
  </si>
  <si>
    <t>4Q24 Re 예상치 상회, 기대되는 '25년</t>
  </si>
  <si>
    <t>80353</t>
  </si>
  <si>
    <t>생각보다 컸던 재고평가 손실과 초기 가동비용</t>
  </si>
  <si>
    <t>80352</t>
  </si>
  <si>
    <t>실적, 주가 모두 저점임은 분명</t>
  </si>
  <si>
    <t>80351</t>
  </si>
  <si>
    <t>4Q 실적 부진에 실망하지 말자</t>
  </si>
  <si>
    <t>80350</t>
  </si>
  <si>
    <t>4Q24 Review: 조삼모사</t>
  </si>
  <si>
    <t>80349</t>
  </si>
  <si>
    <t>북미 비중 확대, 수익성 개선으로 귀결</t>
  </si>
  <si>
    <t>80348</t>
  </si>
  <si>
    <t>4분기 실적 서프라이즈 발표. 2025년 성장 지속 전망</t>
  </si>
  <si>
    <t>80347</t>
  </si>
  <si>
    <t>현실화된 Macro 불확실성</t>
  </si>
  <si>
    <t>80346</t>
  </si>
  <si>
    <t>좀처럼 모멘텀을 찾기가 쉽지 않다</t>
  </si>
  <si>
    <t>80345</t>
  </si>
  <si>
    <t>80344</t>
  </si>
  <si>
    <t>2025년에도 쉽지 않을 듯</t>
  </si>
  <si>
    <t>80343</t>
  </si>
  <si>
    <t>정책 불확실성 확대로 단기 실적 부진은 불가피</t>
  </si>
  <si>
    <t>80342</t>
  </si>
  <si>
    <t>생성형 AI 신사업을 통한 신성장동력 확보</t>
  </si>
  <si>
    <t>80341</t>
  </si>
  <si>
    <t>어려운 환경에도 선방한 실적</t>
  </si>
  <si>
    <t>80340</t>
  </si>
  <si>
    <t>80339</t>
  </si>
  <si>
    <t>중요한 건 메탈 가격</t>
  </si>
  <si>
    <t>80338</t>
  </si>
  <si>
    <t>눈높이 하향 지속</t>
  </si>
  <si>
    <t>80337</t>
  </si>
  <si>
    <t>비수기 영향으로 감익, 25년 개선 예상</t>
  </si>
  <si>
    <t>80336</t>
  </si>
  <si>
    <t>아쉬운 제품 믹스로 올해 감익 전망</t>
  </si>
  <si>
    <t>80335</t>
  </si>
  <si>
    <t>임플란트에 풀chill하기 쉽지 않은 중국 업황</t>
  </si>
  <si>
    <t>80334</t>
  </si>
  <si>
    <t>저생산성 국면을 헤쳐 나가기 위해</t>
  </si>
  <si>
    <t>80333</t>
  </si>
  <si>
    <t>기술력 높은 재활로봇 전문기업</t>
  </si>
  <si>
    <t>80332</t>
  </si>
  <si>
    <t>4Q24 Review: 서울원 아이파크 계약률 90% 달성</t>
  </si>
  <si>
    <t>80331</t>
  </si>
  <si>
    <t>033100</t>
  </si>
  <si>
    <t>제룡전기</t>
  </si>
  <si>
    <t xml:space="preserve">예상보다 빠른 숏티지 완화 </t>
  </si>
  <si>
    <t>80330</t>
  </si>
  <si>
    <t>2025-02-03</t>
  </si>
  <si>
    <t>4분기 별도 실적 큰 폭의 어닝 서프라이즈 예상</t>
  </si>
  <si>
    <t>80329</t>
  </si>
  <si>
    <t xml:space="preserve">4Q24 Re: 긴 호흡으로 접근 </t>
  </si>
  <si>
    <t>80328</t>
  </si>
  <si>
    <t>4Q24 Review 전 사업부의 부진</t>
  </si>
  <si>
    <t>80327</t>
  </si>
  <si>
    <t>4Q24 Review: 순항 중</t>
  </si>
  <si>
    <t>80326</t>
  </si>
  <si>
    <t>HBM 확대중. 분기 실적 저점 통과에 주목</t>
  </si>
  <si>
    <t>80325</t>
  </si>
  <si>
    <t>4Q24 일회성 요인 반영. 큰 그림에 집중할 필요</t>
  </si>
  <si>
    <t>80324</t>
  </si>
  <si>
    <t>컨센 12% 상회. 중국 Teapot 가동률 5년 래 최저</t>
  </si>
  <si>
    <t>80323</t>
  </si>
  <si>
    <t>외부 환경 변화에 거는 기대</t>
  </si>
  <si>
    <t>80322</t>
  </si>
  <si>
    <t xml:space="preserve">바닥을 다지는 4분기가 될 것 </t>
  </si>
  <si>
    <t>80321</t>
  </si>
  <si>
    <t xml:space="preserve">자회사 실적 생각보다 부진 지속 </t>
  </si>
  <si>
    <t>80320</t>
  </si>
  <si>
    <t>시나브로 달라진 나</t>
  </si>
  <si>
    <t>80319</t>
  </si>
  <si>
    <t>정치 변동 없음</t>
  </si>
  <si>
    <t>80318</t>
  </si>
  <si>
    <t>전통 수요처 부진 속 더욱 중요해진 HBM 성과</t>
  </si>
  <si>
    <t>80317</t>
  </si>
  <si>
    <t>투자포인트 11가지</t>
  </si>
  <si>
    <t>80316</t>
  </si>
  <si>
    <t>2025년 반도체부문 예상 영업이익 7조원</t>
  </si>
  <si>
    <t>80315</t>
  </si>
  <si>
    <t>경쟁력 및 주가 회복을 확신하기엔 아직도 너무 많은 변수</t>
  </si>
  <si>
    <t>80314</t>
  </si>
  <si>
    <t>25년 마진 추가 개선 기대, 최선호주 유지</t>
  </si>
  <si>
    <t>80313</t>
  </si>
  <si>
    <t>높은 성장 가능성에 주목 필요</t>
  </si>
  <si>
    <t>80312</t>
  </si>
  <si>
    <t>인고의 시간을 지나가며</t>
  </si>
  <si>
    <t>80311</t>
  </si>
  <si>
    <t>도매 비중 축소에도 공항 적자 확대로 부진</t>
  </si>
  <si>
    <t>80310</t>
  </si>
  <si>
    <t>일회성 요인으로 시장기대치 하회</t>
  </si>
  <si>
    <t>80309</t>
  </si>
  <si>
    <t>업황 불확실성에도 주주환원 감안하면 사볼 만한 시점</t>
  </si>
  <si>
    <t>80308</t>
  </si>
  <si>
    <t>할인율 축소 과정</t>
  </si>
  <si>
    <t>80307</t>
  </si>
  <si>
    <t>총 환원율 50%에 대한 공식적인 입장 제시</t>
  </si>
  <si>
    <t>80306</t>
  </si>
  <si>
    <t>4Q24, 일회성 비용 제거시 부합</t>
  </si>
  <si>
    <t>80305</t>
  </si>
  <si>
    <t>기존 내용의 재확인+@, 그리고 불확실성</t>
  </si>
  <si>
    <t>80304</t>
  </si>
  <si>
    <t>4Q24 Preview: 환율이 아쉽다②</t>
  </si>
  <si>
    <t>80303</t>
  </si>
  <si>
    <t>나노 소재 국산화 선두주자</t>
  </si>
  <si>
    <t>80302</t>
  </si>
  <si>
    <t>부서진 외양간과 시련의 계절</t>
  </si>
  <si>
    <t>80301</t>
  </si>
  <si>
    <t>4Q24 Preview: 환율이 아쉽다①</t>
  </si>
  <si>
    <t>80300</t>
  </si>
  <si>
    <t>4Q24 Preview: 배당을 빛나게 할 원전</t>
  </si>
  <si>
    <t>80299</t>
  </si>
  <si>
    <t>일회성 영향, 25 년 이익 정상화 예상</t>
  </si>
  <si>
    <t>80298</t>
  </si>
  <si>
    <t>1분기가 올해 실적의 저점</t>
  </si>
  <si>
    <t>80297</t>
  </si>
  <si>
    <t>이사의 주주 충실의무에 대한 고찰</t>
  </si>
  <si>
    <t>80296</t>
  </si>
  <si>
    <t>AI CCTV 수요 증가 및 AI GOP 본격화 수혜</t>
  </si>
  <si>
    <t>80295</t>
  </si>
  <si>
    <t>25년 1분기 DS 저점일 것</t>
  </si>
  <si>
    <t>80294</t>
  </si>
  <si>
    <t>긴 재고 조정의 터널을 지나는 중</t>
  </si>
  <si>
    <t>80293</t>
  </si>
  <si>
    <t>2025-01-31</t>
  </si>
  <si>
    <t>4Q24 Reveiw: 자회사 적자로 인한 부진</t>
  </si>
  <si>
    <t>80292</t>
  </si>
  <si>
    <t>4Q24 Preview: Scott 부진과 인건비 상승</t>
  </si>
  <si>
    <t>80291</t>
  </si>
  <si>
    <t>질적 성장 모멘텀 기대</t>
  </si>
  <si>
    <t>80290</t>
  </si>
  <si>
    <t>안정감이 주는 편안함</t>
  </si>
  <si>
    <t>80289</t>
  </si>
  <si>
    <t>변수의 변동성 안정이 필요한 국면</t>
  </si>
  <si>
    <t>80288</t>
  </si>
  <si>
    <t>저조한 실적에도 Top Pick인 이유</t>
  </si>
  <si>
    <t>80287</t>
  </si>
  <si>
    <t>둔화될 성장</t>
  </si>
  <si>
    <t>80286</t>
  </si>
  <si>
    <t>눈높이는 낮추되, 하반기 반등 기대</t>
  </si>
  <si>
    <t>80285</t>
  </si>
  <si>
    <t>골은 깊고, 회복은 요원</t>
  </si>
  <si>
    <t>80284</t>
  </si>
  <si>
    <t>4Q24 Review : 질적 개선은 확인되었으나, 수요 회복이 필요</t>
  </si>
  <si>
    <t>80283</t>
  </si>
  <si>
    <t>[4Q24 Review] 펀더멘털 개선에 상향된 주주환원까지</t>
  </si>
  <si>
    <t>80282</t>
  </si>
  <si>
    <t>[4Q24 Review] 물량 확대가 중요한 25년</t>
  </si>
  <si>
    <t>80281</t>
  </si>
  <si>
    <t>재고조정의 긴 밤, 2월 독일 총선에 대한 기대</t>
  </si>
  <si>
    <t>80280</t>
  </si>
  <si>
    <t>최대 이익 시현</t>
  </si>
  <si>
    <t>80279</t>
  </si>
  <si>
    <t>필요했던 CAPEX 가이던스, 조정 완료</t>
  </si>
  <si>
    <t>80278</t>
  </si>
  <si>
    <t>가이던스 상향 여지는 충분</t>
  </si>
  <si>
    <t>80277</t>
  </si>
  <si>
    <t>4Q24 Re: 자회사 영향으로 인한 실적 부진</t>
  </si>
  <si>
    <t>80276</t>
  </si>
  <si>
    <t>4Q24 Review 비수기, 연말 재고 조정</t>
  </si>
  <si>
    <t>80275</t>
  </si>
  <si>
    <t>4Q24 Review 컨센하회, 영업적자</t>
  </si>
  <si>
    <t>80274</t>
  </si>
  <si>
    <t>4Q24 Review 비수기와 일회성 비용</t>
  </si>
  <si>
    <t>80273</t>
  </si>
  <si>
    <t>해외 니들, 브이티 리들샷 써 봤어?</t>
  </si>
  <si>
    <t>80272</t>
  </si>
  <si>
    <t>4Q24Re: 숫자보다 방향성이 중요하다</t>
  </si>
  <si>
    <t>80271</t>
  </si>
  <si>
    <t>4Q24 Review: 비용 부담 확대</t>
  </si>
  <si>
    <t>80270</t>
  </si>
  <si>
    <t>KS인더스트리 제3자 배정 유상증자 참여</t>
  </si>
  <si>
    <t>80269</t>
  </si>
  <si>
    <t>혹한기</t>
  </si>
  <si>
    <t>80268</t>
  </si>
  <si>
    <t>2025년 매출 반등 전망, 가격 부담은 여전</t>
  </si>
  <si>
    <t>80267</t>
  </si>
  <si>
    <t>좋은 실적과 밝은 전망</t>
  </si>
  <si>
    <t>80266</t>
  </si>
  <si>
    <t>LG CNS 상장에 따른 영향은 크지 않을 전망</t>
  </si>
  <si>
    <t>80265</t>
  </si>
  <si>
    <t>4분기도 실적 서프라이즈</t>
  </si>
  <si>
    <t>80264</t>
  </si>
  <si>
    <t>환율 가정만 바뀌면 가이던스는 더 높을 듯</t>
  </si>
  <si>
    <t>80263</t>
  </si>
  <si>
    <t>AI, 전장 확대와 이구환신</t>
  </si>
  <si>
    <t>80262</t>
  </si>
  <si>
    <t>80261</t>
  </si>
  <si>
    <t>3Q24 Review: 지진 여파에도 선방</t>
  </si>
  <si>
    <t>80260</t>
  </si>
  <si>
    <t>성장 초기 과제에 직면</t>
  </si>
  <si>
    <t>80259</t>
  </si>
  <si>
    <t>4Q24 Review - 에너지 지정학 이슈에 따라…</t>
  </si>
  <si>
    <t>80258</t>
  </si>
  <si>
    <t>4Q24 리뷰: 서프라이즈, 주주환원도 긍정적</t>
  </si>
  <si>
    <t>80257</t>
  </si>
  <si>
    <t>4Q24 Preview: 기술을 주도하는 방향으로</t>
  </si>
  <si>
    <t>80256</t>
  </si>
  <si>
    <t>4Q24 리뷰: 기말환율 영향, 25F OPM 11%</t>
  </si>
  <si>
    <t>80255</t>
  </si>
  <si>
    <t>4Q24 Review: 영업 악화와 일회성 비용</t>
  </si>
  <si>
    <t>80254</t>
  </si>
  <si>
    <t>여전히 남은 업사이드</t>
  </si>
  <si>
    <t>80253</t>
  </si>
  <si>
    <t>남다른 수익성 레벨과 타겟</t>
  </si>
  <si>
    <t>80252</t>
  </si>
  <si>
    <t>별주부전을 기억하시나요?</t>
  </si>
  <si>
    <t>80251</t>
  </si>
  <si>
    <t>방향성은 확인!</t>
  </si>
  <si>
    <t>80250</t>
  </si>
  <si>
    <t>091810</t>
  </si>
  <si>
    <t>티웨이항공</t>
  </si>
  <si>
    <t>4Q24 Review: 이어지는 성장통</t>
  </si>
  <si>
    <t>80249</t>
  </si>
  <si>
    <t>가장 저평가된 K-컨텐츠 기업</t>
  </si>
  <si>
    <t>80248</t>
  </si>
  <si>
    <t>예상보다 부진한 실적</t>
  </si>
  <si>
    <t>80247</t>
  </si>
  <si>
    <t>환율이 우리를 굽어살필 것</t>
  </si>
  <si>
    <t>80246</t>
  </si>
  <si>
    <t>4Q24 Review: 물오른 실적, 탄력받을 주가</t>
  </si>
  <si>
    <t>80245</t>
  </si>
  <si>
    <t>25년 산업, 전장 매출 비중 36% 전망</t>
  </si>
  <si>
    <t>80244</t>
  </si>
  <si>
    <t>4Q24 Re 서프라이즈, 큰그림의 현실화</t>
  </si>
  <si>
    <t>80243</t>
  </si>
  <si>
    <t>4Q24 Reivew: 보수적인 스탠스, 주가에는 도움될 것</t>
  </si>
  <si>
    <t>80242</t>
  </si>
  <si>
    <t>1월은 모든 날이 좋았다</t>
  </si>
  <si>
    <t>80241</t>
  </si>
  <si>
    <t>인고의 시기</t>
  </si>
  <si>
    <t>80240</t>
  </si>
  <si>
    <t>2025년 달려보자</t>
  </si>
  <si>
    <t>80239</t>
  </si>
  <si>
    <t>견고한 펀더멘탈 지속</t>
  </si>
  <si>
    <t>80238</t>
  </si>
  <si>
    <t>뚜렷한 상저하고 기대</t>
  </si>
  <si>
    <t>80237</t>
  </si>
  <si>
    <t>본격적인 실적 개선과 긍정적인 수주 전망</t>
  </si>
  <si>
    <t>80236</t>
  </si>
  <si>
    <t>중장기 실적 추정치 하향 조정</t>
  </si>
  <si>
    <t>80235</t>
  </si>
  <si>
    <t>80234</t>
  </si>
  <si>
    <t>예상됐던 4Q 부진. `25년은 변화의 원년</t>
  </si>
  <si>
    <t>80233</t>
  </si>
  <si>
    <t>80232</t>
  </si>
  <si>
    <t>80231</t>
  </si>
  <si>
    <t>특수선은 거들뿐, 드디어 본업 정상화</t>
  </si>
  <si>
    <t>80230</t>
  </si>
  <si>
    <t>4Q24 Review 턴어라운드 중</t>
  </si>
  <si>
    <t>80229</t>
  </si>
  <si>
    <t>80228</t>
  </si>
  <si>
    <t>AI가 끌고, 중국이 밀고</t>
  </si>
  <si>
    <t>80227</t>
  </si>
  <si>
    <t>4Q24 Review 25년부터 시작되는 신차 사이클 기대한다</t>
  </si>
  <si>
    <t>80226</t>
  </si>
  <si>
    <t>단기 실적 및 정책 불확실성 지속은 불가피</t>
  </si>
  <si>
    <t>80225</t>
  </si>
  <si>
    <t>좋은 실적과, 개선되는 마진</t>
  </si>
  <si>
    <t>80224</t>
  </si>
  <si>
    <t>1분기도 실적 부진 전망</t>
  </si>
  <si>
    <t>80223</t>
  </si>
  <si>
    <t>긍적적인 가이던스 제시</t>
  </si>
  <si>
    <t>80222</t>
  </si>
  <si>
    <t>주가는 저평가, 사업은 탄탄대로</t>
  </si>
  <si>
    <t>80221</t>
  </si>
  <si>
    <t>SiC Focus Ring 글로벌 1위 기업</t>
  </si>
  <si>
    <t>80220</t>
  </si>
  <si>
    <t>4분기 Preview: 호텔을 제거해도 부진</t>
  </si>
  <si>
    <t>80219</t>
  </si>
  <si>
    <t>기대보단 낮지만 안정적 성장 지속 전망</t>
  </si>
  <si>
    <t>80218</t>
  </si>
  <si>
    <t>점진적 실적 개선, 나아지는 주가 센티먼트</t>
  </si>
  <si>
    <t>80217</t>
  </si>
  <si>
    <t>25년 AI, 전장이 견인</t>
  </si>
  <si>
    <t>80216</t>
  </si>
  <si>
    <t>중장기 방향성과 경쟁력에 주목할 때</t>
  </si>
  <si>
    <t>80215</t>
  </si>
  <si>
    <t>저성장 지속과 카카오톡 개편 기대</t>
  </si>
  <si>
    <t>80214</t>
  </si>
  <si>
    <t>2025-01-24</t>
  </si>
  <si>
    <t>비용과 악재는 이미 반영</t>
  </si>
  <si>
    <t>80213</t>
  </si>
  <si>
    <t>다음 분기로 이연될 이익</t>
  </si>
  <si>
    <t>80212</t>
  </si>
  <si>
    <t>향후 3년 보면 지금이 제일 싼 가격</t>
  </si>
  <si>
    <t>80211</t>
  </si>
  <si>
    <t>4Q24 Re: 안정적 증익하는 업체로의 체질 개선</t>
  </si>
  <si>
    <t>80210</t>
  </si>
  <si>
    <t>4Q24 Review 혹한기 견디기</t>
  </si>
  <si>
    <t>80209</t>
  </si>
  <si>
    <t>4Q24 Review 또 다시 최대 실적</t>
  </si>
  <si>
    <t>80208</t>
  </si>
  <si>
    <t>4Q24 Review 비수기효과 &amp; 비용증가</t>
  </si>
  <si>
    <t>80207</t>
  </si>
  <si>
    <t>중장기적인 방향성은 확실</t>
  </si>
  <si>
    <t>80206</t>
  </si>
  <si>
    <t>관세 등의 악재는 선반영. 실적으로 차별화 입증 필요</t>
  </si>
  <si>
    <t>80205</t>
  </si>
  <si>
    <t>보수적인 2025년 가이던스</t>
  </si>
  <si>
    <t>80204</t>
  </si>
  <si>
    <t>슬슬 배당 생각할 때</t>
  </si>
  <si>
    <t>80203</t>
  </si>
  <si>
    <t>장기 성장 전략과 추가 주주환원 필요</t>
  </si>
  <si>
    <t>80202</t>
  </si>
  <si>
    <t>정산이익의 힘, 25년에도 계속</t>
  </si>
  <si>
    <t>80201</t>
  </si>
  <si>
    <t>견조한 HBM과 일반 DRAM 조기 안정화</t>
  </si>
  <si>
    <t>80200</t>
  </si>
  <si>
    <t>4Q24 Preview: 컨센서스 하회 예상</t>
  </si>
  <si>
    <t>80199</t>
  </si>
  <si>
    <t>눈에 띄는 미국 자회사 실적</t>
  </si>
  <si>
    <t>80198</t>
  </si>
  <si>
    <t>4Q24 Review: 내년에도 배당에 대한 기대를 확인</t>
  </si>
  <si>
    <t>80197</t>
  </si>
  <si>
    <t>[4Q24 Review] 대외 불확실성과 고비용 구조 해소가 관건</t>
  </si>
  <si>
    <t>80196</t>
  </si>
  <si>
    <t>약해진 투자포인트</t>
  </si>
  <si>
    <t>80195</t>
  </si>
  <si>
    <t>전통 수요처 부진보다 AI 시장 성장세에 집중</t>
  </si>
  <si>
    <t>80194</t>
  </si>
  <si>
    <t>[4Q24 Review] 이제는 바닥, 기다릴게요</t>
  </si>
  <si>
    <t>80193</t>
  </si>
  <si>
    <t>시장의 우려에 대한 답</t>
  </si>
  <si>
    <t>80191</t>
  </si>
  <si>
    <t>질적 성장 뒤엔 양적 성장</t>
  </si>
  <si>
    <t>80190</t>
  </si>
  <si>
    <t>4Q24 Preview: 영업이익 컨센서스 부합 예상</t>
  </si>
  <si>
    <t>80189</t>
  </si>
  <si>
    <t>[다시봐] 확대되는 수주 &amp; 공격적인 투자</t>
  </si>
  <si>
    <t>80188</t>
  </si>
  <si>
    <t>숫자로는 충분히 증명했던 '24년</t>
  </si>
  <si>
    <t>80187</t>
  </si>
  <si>
    <t>실적, 수주, 주주환원</t>
  </si>
  <si>
    <t>80186</t>
  </si>
  <si>
    <t>불확실성 속에서, 수익성 개선의 해법</t>
  </si>
  <si>
    <t>80185</t>
  </si>
  <si>
    <t>내년도 드루와</t>
  </si>
  <si>
    <t>80184</t>
  </si>
  <si>
    <t>일회성 비용 발생</t>
  </si>
  <si>
    <t>80183</t>
  </si>
  <si>
    <t>본업 단기 저점 통과</t>
  </si>
  <si>
    <t>80182</t>
  </si>
  <si>
    <t>12년 만의 주주환원 재개, 시장의 목소리 반영</t>
  </si>
  <si>
    <t>80181</t>
  </si>
  <si>
    <t>4Q24 리뷰: 기말환율 영향, 상승포인트 주목</t>
  </si>
  <si>
    <t>80180</t>
  </si>
  <si>
    <t>변동성 확대 구간 진입</t>
  </si>
  <si>
    <t>80179</t>
  </si>
  <si>
    <t>기다렸던 주주환원 재개</t>
  </si>
  <si>
    <t>80178</t>
  </si>
  <si>
    <t>4Q 실적 부진하나 밸류에이션 저평가 심화!</t>
  </si>
  <si>
    <t>80177</t>
  </si>
  <si>
    <t>1Q, 성수기 진입</t>
  </si>
  <si>
    <t>80176</t>
  </si>
  <si>
    <t>현대모비스 실적&amp;주가 관전 포인트</t>
  </si>
  <si>
    <t>80175</t>
  </si>
  <si>
    <t xml:space="preserve">현대차를 사야하는 이유: 팰리세이드, GM, BuyOn! </t>
  </si>
  <si>
    <t>80174</t>
  </si>
  <si>
    <t xml:space="preserve">4Q24 서프라이즈! 2025년 미국 AI향 전력기기 최대 수혜 업체 </t>
  </si>
  <si>
    <t>80173</t>
  </si>
  <si>
    <t>어려운 업황에서 돋보이는 경쟁력</t>
  </si>
  <si>
    <t>80172</t>
  </si>
  <si>
    <t>4Q24 Review: 환율에 가려진 비용 부담 증가</t>
  </si>
  <si>
    <t>80171</t>
  </si>
  <si>
    <t>가전 홀로 하드캐리 (실적 견인)</t>
  </si>
  <si>
    <t>80170</t>
  </si>
  <si>
    <t>방향성을 보는 투자</t>
  </si>
  <si>
    <t>80169</t>
  </si>
  <si>
    <t>25년은 대외에 집중해 어려움을 극복할 것</t>
  </si>
  <si>
    <t>80168</t>
  </si>
  <si>
    <t>단기 실적 둔화, 하지만 HBM 주도권 및 이익의 질은 개선</t>
  </si>
  <si>
    <t>80167</t>
  </si>
  <si>
    <t>낮아진 톤</t>
  </si>
  <si>
    <t>80166</t>
  </si>
  <si>
    <t>25년 주주환원도 기대</t>
  </si>
  <si>
    <t>80165</t>
  </si>
  <si>
    <t>4분기 AI 수요 수혜. 25년 1분기 수요 부진 영향</t>
  </si>
  <si>
    <t>80164</t>
  </si>
  <si>
    <t>4Q24 Re 갑자기 서프, 가지 많은 나무 먹을 것도 많다</t>
  </si>
  <si>
    <t>80163</t>
  </si>
  <si>
    <t>이제 다시 성수기</t>
  </si>
  <si>
    <t>80162</t>
  </si>
  <si>
    <t>성장의 핵심은 북미 시장</t>
  </si>
  <si>
    <t>80161</t>
  </si>
  <si>
    <t>000490</t>
  </si>
  <si>
    <t>대동</t>
  </si>
  <si>
    <t>미국 인력난의 해결책</t>
  </si>
  <si>
    <t>80160</t>
  </si>
  <si>
    <t>4Q24 Re: 성장 둔화는 없다</t>
  </si>
  <si>
    <t>80159</t>
  </si>
  <si>
    <t>4Q24 Review: 강달러의 역풍</t>
  </si>
  <si>
    <t>80158</t>
  </si>
  <si>
    <t>2024년 복기와 2025년의 관전포인트들</t>
  </si>
  <si>
    <t>80157</t>
  </si>
  <si>
    <t>좀더 여유를 가지고 저점 매수하는 전략 권고</t>
  </si>
  <si>
    <t>80156</t>
  </si>
  <si>
    <t>4Q24 Review: 새로운 시작</t>
  </si>
  <si>
    <t>80155</t>
  </si>
  <si>
    <t>악재만 반영된 주가</t>
  </si>
  <si>
    <t>80154</t>
  </si>
  <si>
    <t>4Q24 Review: 대손 처리 마무리, 실적 회복 지속 기대</t>
  </si>
  <si>
    <t>80153</t>
  </si>
  <si>
    <t>4Q24 Review 관세 한고비 남았다</t>
  </si>
  <si>
    <t>80152</t>
  </si>
  <si>
    <t>상단이 열리는 그런 느낌</t>
  </si>
  <si>
    <t>80151</t>
  </si>
  <si>
    <t>한 템포 쉬어가기</t>
  </si>
  <si>
    <t>80150</t>
  </si>
  <si>
    <t>상대적 우위는 존재</t>
  </si>
  <si>
    <t>80149</t>
  </si>
  <si>
    <t>방향성은 긍정적이나 기다림 필요</t>
  </si>
  <si>
    <t>80148</t>
  </si>
  <si>
    <t>AI기판 대장주가 다시 돌아왔다</t>
  </si>
  <si>
    <t>80147</t>
  </si>
  <si>
    <t>느리지만 회복 방향성은 유효</t>
  </si>
  <si>
    <t>80146</t>
  </si>
  <si>
    <t>부진했던 4Q는 잊고 `25년을 기대하자</t>
  </si>
  <si>
    <t>80145</t>
  </si>
  <si>
    <t>단기 실적 저점 형성 후 반등 재개</t>
  </si>
  <si>
    <t>80144</t>
  </si>
  <si>
    <t>단기 실적보다 산업 스토리에 주목</t>
  </si>
  <si>
    <t>80143</t>
  </si>
  <si>
    <t>신규 비즈니스가 주가 방향성 결정</t>
  </si>
  <si>
    <t>80142</t>
  </si>
  <si>
    <t>견고함이라는 수식어가 어울린다</t>
  </si>
  <si>
    <t>80141</t>
  </si>
  <si>
    <t>글로벌 경쟁 심화 예고, 투자의견 하향</t>
  </si>
  <si>
    <t>80140</t>
  </si>
  <si>
    <t>Not enough to provide spark</t>
  </si>
  <si>
    <t>80139</t>
  </si>
  <si>
    <t>10억분의 1의 과학, 나노소재 글로벌 강소기업</t>
  </si>
  <si>
    <t>80138</t>
  </si>
  <si>
    <t>쉽지 않았던 2024년 하반기, 저점을 지나는 중</t>
  </si>
  <si>
    <t>80137</t>
  </si>
  <si>
    <t>빅파마가 찾는 의료 AI 기업</t>
  </si>
  <si>
    <t>80136</t>
  </si>
  <si>
    <t>4Q24 Review: 올해 포인트는 화공 수주!</t>
  </si>
  <si>
    <t>80135</t>
  </si>
  <si>
    <t>숫자로 증명한 저력</t>
  </si>
  <si>
    <t>80134</t>
  </si>
  <si>
    <t>견조한 실적, 견조한 배당</t>
  </si>
  <si>
    <t>80133</t>
  </si>
  <si>
    <t>2025-01-23</t>
  </si>
  <si>
    <t>[4Q24 Review] 기대를 높여줄 무언가</t>
  </si>
  <si>
    <t>80132</t>
  </si>
  <si>
    <t>4Q24 preview: 영업 적자 지속</t>
  </si>
  <si>
    <t>80131</t>
  </si>
  <si>
    <t>4Q24 Preview: 실적 컨센서스 상회 전망</t>
  </si>
  <si>
    <t>80130</t>
  </si>
  <si>
    <t>터널의 끝자락</t>
  </si>
  <si>
    <t>80129</t>
  </si>
  <si>
    <t>매년 바뀌는 매출액 앞자리</t>
  </si>
  <si>
    <t>80128</t>
  </si>
  <si>
    <t>공백기와 과도기</t>
  </si>
  <si>
    <t>80127</t>
  </si>
  <si>
    <t>해외로 가요</t>
  </si>
  <si>
    <t>80126</t>
  </si>
  <si>
    <t>점점 더 범접할 수 없는 영역으로</t>
  </si>
  <si>
    <t>80125</t>
  </si>
  <si>
    <t>사실은 호실적</t>
  </si>
  <si>
    <t>80124</t>
  </si>
  <si>
    <t>[4Q24 Review] 반등의 서막이 올랐다</t>
  </si>
  <si>
    <t>80123</t>
  </si>
  <si>
    <t>고비가 될 25년</t>
  </si>
  <si>
    <t>80122</t>
  </si>
  <si>
    <t>4Q24 Pre: 맥주는 아쉽지만, 소주가 선방</t>
  </si>
  <si>
    <t>80121</t>
  </si>
  <si>
    <t>4Q24 Pre: 상대적으로 선방</t>
  </si>
  <si>
    <t>80120</t>
  </si>
  <si>
    <t>중국에서의 본격 사업 확장 기대</t>
  </si>
  <si>
    <t>80119</t>
  </si>
  <si>
    <t>어려운 상반기. 만회의 하반기</t>
  </si>
  <si>
    <t>80118</t>
  </si>
  <si>
    <t>예상했던 수준의 4Q24 영업실적, 그래도 길은 보인다</t>
  </si>
  <si>
    <t>80117</t>
  </si>
  <si>
    <t>점유율 확대 가능성과 중장기 폴더블은 유효</t>
  </si>
  <si>
    <t>80116</t>
  </si>
  <si>
    <t>사야한다</t>
  </si>
  <si>
    <t>80115</t>
  </si>
  <si>
    <t>주요 사업부 실적 안정화 기조</t>
  </si>
  <si>
    <t>80114</t>
  </si>
  <si>
    <t>와신상담</t>
  </si>
  <si>
    <t>80113</t>
  </si>
  <si>
    <t>신라면 툼바 기대해도 될까</t>
  </si>
  <si>
    <t>80112</t>
  </si>
  <si>
    <t>25년에도 고공행진 기대</t>
  </si>
  <si>
    <t>80111</t>
  </si>
  <si>
    <t>투자 매력을 갖추어야 할 때</t>
  </si>
  <si>
    <t>80110</t>
  </si>
  <si>
    <t>기대치를 높였다면 곧바로 증명해야</t>
  </si>
  <si>
    <t>80109</t>
  </si>
  <si>
    <t>밸류에이션 매력 높다. 악재는 선반영~</t>
  </si>
  <si>
    <t>80108</t>
  </si>
  <si>
    <t>4Q24 Preview: 정국 혼란으로 아쉬운 실적</t>
  </si>
  <si>
    <t>80107</t>
  </si>
  <si>
    <t>미국 인프라, 우크라이나 재건 수혜 기대</t>
  </si>
  <si>
    <t>80106</t>
  </si>
  <si>
    <t>글로벌 에너지 인프라 성장 수혜주</t>
  </si>
  <si>
    <t>80105</t>
  </si>
  <si>
    <t>밸류업 정책 발표: 2.5조원 이상 주주환원</t>
  </si>
  <si>
    <t>80104</t>
  </si>
  <si>
    <t>Global CDMO No.1 성장률과 마진율</t>
  </si>
  <si>
    <t>80103</t>
  </si>
  <si>
    <t>80102</t>
  </si>
  <si>
    <t>4Q24 Preview: 트럼프 업고 달려!①</t>
  </si>
  <si>
    <t>80101</t>
  </si>
  <si>
    <t>2H25 경쟁 구도 변화가 관건</t>
  </si>
  <si>
    <t>80100</t>
  </si>
  <si>
    <t>불확실성 해소, 기대감 구간</t>
  </si>
  <si>
    <t>80099</t>
  </si>
  <si>
    <t>대규모 비용 반영을 통한 실적 턴어라운드</t>
  </si>
  <si>
    <t>80098</t>
  </si>
  <si>
    <t>이제는 당당히, Top Pick</t>
  </si>
  <si>
    <t>80097</t>
  </si>
  <si>
    <t>차근차근 쌓아온 경쟁력이 빛을 볼 때</t>
  </si>
  <si>
    <t>80096</t>
  </si>
  <si>
    <t>가이던스보다 선명한 주가의 방향성</t>
  </si>
  <si>
    <t>80095</t>
  </si>
  <si>
    <t>4Q24 Re_25년에도 지속될 호실적</t>
  </si>
  <si>
    <t>80094</t>
  </si>
  <si>
    <t>4Q24 Preview: 고마운 상용, 미운 승용</t>
  </si>
  <si>
    <t>80093</t>
  </si>
  <si>
    <t>4Q24 Preview: 트럼프 업고 달려!②</t>
  </si>
  <si>
    <t>80092</t>
  </si>
  <si>
    <t>일회성 이익 제외하면 아쉬운 실적…</t>
  </si>
  <si>
    <t>80091</t>
  </si>
  <si>
    <t>무난한 실적과 안정적인 기존작 운영</t>
  </si>
  <si>
    <t>80090</t>
  </si>
  <si>
    <t>신작 흥행 실패와 구조조정 비용 발생</t>
  </si>
  <si>
    <t>80089</t>
  </si>
  <si>
    <t>쉽지 않은 구간, AI가 핵심</t>
  </si>
  <si>
    <t>80088</t>
  </si>
  <si>
    <t>분기 최대 실적 갱신 전망</t>
  </si>
  <si>
    <t>80087</t>
  </si>
  <si>
    <t>국내 성장세 지속, 해외 사업 성과 기대</t>
  </si>
  <si>
    <t>80086</t>
  </si>
  <si>
    <t>2025년 4년만의 흑자전환 예상</t>
  </si>
  <si>
    <t>80085</t>
  </si>
  <si>
    <t>&lt;모험의탑&gt; 이후 단기 기대감 부재</t>
  </si>
  <si>
    <t>80084</t>
  </si>
  <si>
    <t>4Q24 Pre: 순항과 마일스톤 효과</t>
  </si>
  <si>
    <t>80083</t>
  </si>
  <si>
    <t>내실을 다지는 해</t>
  </si>
  <si>
    <t>80082</t>
  </si>
  <si>
    <t>4Q24 Review: 외형 고성장 지속</t>
  </si>
  <si>
    <t>80081</t>
  </si>
  <si>
    <t>단기 개선 전망. 그러나 지속성은 불투명</t>
  </si>
  <si>
    <t>80080</t>
  </si>
  <si>
    <t>기대감 없는 현재 주가</t>
  </si>
  <si>
    <t>80079</t>
  </si>
  <si>
    <t>밸류에이션 상향에 주목</t>
  </si>
  <si>
    <t>80078</t>
  </si>
  <si>
    <t>매출처 다변화 및 신규 장비 통한 성장 주목</t>
  </si>
  <si>
    <t>80077</t>
  </si>
  <si>
    <t>구조조정 효과 본격화</t>
  </si>
  <si>
    <t>80076</t>
  </si>
  <si>
    <t>환율과 업황 회복 시너지</t>
  </si>
  <si>
    <t>80075</t>
  </si>
  <si>
    <t>확실한 타이밍</t>
  </si>
  <si>
    <t>80074</t>
  </si>
  <si>
    <t>기시감이 느껴지는 시점</t>
  </si>
  <si>
    <t>80073</t>
  </si>
  <si>
    <t>해외 확장 지속</t>
  </si>
  <si>
    <t>80072</t>
  </si>
  <si>
    <t>이제부터 순항 시작</t>
  </si>
  <si>
    <t>80071</t>
  </si>
  <si>
    <t>실적도 ‘25년 가이던스도 예상치 상회!</t>
  </si>
  <si>
    <t>80070</t>
  </si>
  <si>
    <t>4분기 기대 이하. 2025년 흑자 전환</t>
  </si>
  <si>
    <t>80069</t>
  </si>
  <si>
    <t>4분기 계절성은 예년 대비 둔화</t>
  </si>
  <si>
    <t>80068</t>
  </si>
  <si>
    <t>의료사태 영향 지속</t>
  </si>
  <si>
    <t>80067</t>
  </si>
  <si>
    <t>Start with a clean slate</t>
  </si>
  <si>
    <t>80066</t>
  </si>
  <si>
    <t>4Q24 Preview: 의미있는 수주가 필요하다</t>
  </si>
  <si>
    <t>80065</t>
  </si>
  <si>
    <t>2025-01-22</t>
  </si>
  <si>
    <t>여전히 기자재 Top pick</t>
  </si>
  <si>
    <t>80064</t>
  </si>
  <si>
    <t>정책비용 후불결제 서비스</t>
  </si>
  <si>
    <t>80063</t>
  </si>
  <si>
    <t>4Q Preview - 실적은 계속 좋습니다</t>
  </si>
  <si>
    <t>80062</t>
  </si>
  <si>
    <t>4분기 실적 컨센서스 상회 예상. 밸류업 우려도 약화될 것</t>
  </si>
  <si>
    <t>80061</t>
  </si>
  <si>
    <t>4Q24 Preview : 국내에서 해외로 확대될 브랜드력 확장</t>
  </si>
  <si>
    <t>80060</t>
  </si>
  <si>
    <t>4Q24 Preview : 25년 중국법인 가이던스가 중요</t>
  </si>
  <si>
    <t>80059</t>
  </si>
  <si>
    <t xml:space="preserve"> [4Q24 Preview] 미국 유통망 차질 지속</t>
  </si>
  <si>
    <t>80058</t>
  </si>
  <si>
    <t>밸류에이션 매력에도 모멘텀 부족</t>
  </si>
  <si>
    <t>80057</t>
  </si>
  <si>
    <t>우려대비 양호할 2025년</t>
  </si>
  <si>
    <t>80056</t>
  </si>
  <si>
    <t>건자재 B2B 둔화의 여파</t>
  </si>
  <si>
    <t>80055</t>
  </si>
  <si>
    <t>일회성 요인으로 4Q 추정치 하향조정</t>
  </si>
  <si>
    <t>80054</t>
  </si>
  <si>
    <t>4분기 실적을 보면 달라질 센티먼트</t>
  </si>
  <si>
    <t>80053</t>
  </si>
  <si>
    <t>우호적 사업환경 지속</t>
  </si>
  <si>
    <t>80052</t>
  </si>
  <si>
    <t>비트코인만큼 선호</t>
  </si>
  <si>
    <t>80051</t>
  </si>
  <si>
    <t>사상 최대 실적 행진</t>
  </si>
  <si>
    <t>80050</t>
  </si>
  <si>
    <t>신작 경쟁력이 주요 변수</t>
  </si>
  <si>
    <t>80049</t>
  </si>
  <si>
    <t>성장성 회복이 관건</t>
  </si>
  <si>
    <t>80048</t>
  </si>
  <si>
    <t>ESS 산업의 중심으로 거듭나다</t>
  </si>
  <si>
    <t>80047</t>
  </si>
  <si>
    <t>2025-01-21</t>
  </si>
  <si>
    <t>4Q24 Re: 2025년을 걱정하지 않는 이유</t>
  </si>
  <si>
    <t>80046</t>
  </si>
  <si>
    <t>SMP 하락으로 이익률 둔화 예상</t>
  </si>
  <si>
    <t>80045</t>
  </si>
  <si>
    <t>그래도 앞날은 맑음</t>
  </si>
  <si>
    <t>80044</t>
  </si>
  <si>
    <t>단비 같은 수주</t>
  </si>
  <si>
    <t>80043</t>
  </si>
  <si>
    <t>분할 및 지주사 전환 영향 분석</t>
  </si>
  <si>
    <t>80042</t>
  </si>
  <si>
    <t>강함을 증명할 시간</t>
  </si>
  <si>
    <t>80041</t>
  </si>
  <si>
    <t>[4Q24 Preview] 단기 사업 규모 축소 영향</t>
  </si>
  <si>
    <t>80040</t>
  </si>
  <si>
    <t>4Q24 Preview] 분기 매출 1조 달성</t>
  </si>
  <si>
    <t>80039</t>
  </si>
  <si>
    <t>부진의 지평선을 넘어</t>
  </si>
  <si>
    <t>80038</t>
  </si>
  <si>
    <t>4Q 깜작실적, 2025년 출발은 좋다</t>
  </si>
  <si>
    <t>80037</t>
  </si>
  <si>
    <t>수익성, 성장성, 주주환원 모두 나이스!</t>
  </si>
  <si>
    <t>80036</t>
  </si>
  <si>
    <t>악재보다 호재에 민감할 구간</t>
  </si>
  <si>
    <t>80035</t>
  </si>
  <si>
    <t xml:space="preserve">높아지는 기대감 </t>
  </si>
  <si>
    <t>80034</t>
  </si>
  <si>
    <t>하반기를 바라보며</t>
  </si>
  <si>
    <t>80033</t>
  </si>
  <si>
    <t>해외 매출 배증, 최대 실적 전망</t>
  </si>
  <si>
    <t>80032</t>
  </si>
  <si>
    <t>메가 LCC 기대감은 지속</t>
  </si>
  <si>
    <t>80031</t>
  </si>
  <si>
    <t>본격적인 이익 레버리지 구간 진입</t>
  </si>
  <si>
    <t>80030</t>
  </si>
  <si>
    <t>표면 위로 떠오른 경영권 분쟁</t>
  </si>
  <si>
    <t>80029</t>
  </si>
  <si>
    <t>증설 결정으로 실적 아쉬움 달래</t>
  </si>
  <si>
    <t>80028</t>
  </si>
  <si>
    <t>4Q24 Preview: 업황을 타지 않는 견조한 장비 라인업</t>
  </si>
  <si>
    <t>80027</t>
  </si>
  <si>
    <t>4Q24 Preview: 다가오는 신사업 성과</t>
  </si>
  <si>
    <t>80026</t>
  </si>
  <si>
    <t>실적과 모멘텀 모든 걸 갖춘 조선사</t>
  </si>
  <si>
    <t>80025</t>
  </si>
  <si>
    <t>이럴 때 담아 두시죠</t>
  </si>
  <si>
    <t>80024</t>
  </si>
  <si>
    <t>4Q24 Preview: 무난한 실적 전망</t>
  </si>
  <si>
    <t>80023</t>
  </si>
  <si>
    <t>부진은 잠시, 여전히 견고한 이익 체력</t>
  </si>
  <si>
    <t>80022</t>
  </si>
  <si>
    <t>바닥에 근접</t>
  </si>
  <si>
    <t>80021</t>
  </si>
  <si>
    <t>SCOTT 빅베스 예상</t>
  </si>
  <si>
    <t>80020</t>
  </si>
  <si>
    <t>안정적인 성장 행진</t>
  </si>
  <si>
    <t>80019</t>
  </si>
  <si>
    <t>4Q24 Preview: 변함없는 호실적 행진</t>
  </si>
  <si>
    <t>80018</t>
  </si>
  <si>
    <t>가이던스 하회 전망, 투자의견 하향</t>
  </si>
  <si>
    <t>80017</t>
  </si>
  <si>
    <t>우려 속 희망</t>
  </si>
  <si>
    <t>80016</t>
  </si>
  <si>
    <t>탄탄한 모습, 2025년에도 그대로</t>
  </si>
  <si>
    <t>80015</t>
  </si>
  <si>
    <t>새로운 성장 동력을 확보할 2025년</t>
  </si>
  <si>
    <t>80014</t>
  </si>
  <si>
    <t>4Q24 Re 어닝 쇼크, 조삼모사, 매수 기회</t>
  </si>
  <si>
    <t>80013</t>
  </si>
  <si>
    <t>2025-01-20</t>
  </si>
  <si>
    <t xml:space="preserve">지상용 위성통신 안테나 성장을 이끌 듯 </t>
  </si>
  <si>
    <t>80012</t>
  </si>
  <si>
    <t>수주 확대로 실적 개선 가속화</t>
  </si>
  <si>
    <t>80011</t>
  </si>
  <si>
    <t>Upstream 도약 및 미국산 트레이딩 기회 확대로 밸류업</t>
  </si>
  <si>
    <t>80010</t>
  </si>
  <si>
    <t>미국 및 베트남에서 데이터센터/전력 수요 증가 수혜</t>
  </si>
  <si>
    <t>80009</t>
  </si>
  <si>
    <t>4Q24 Preview: 시장예상치 상회 전망</t>
  </si>
  <si>
    <t>80008</t>
  </si>
  <si>
    <t>25~26년 천궁 MFR 양산 오버랩과 필리조선소 26년 이후 흑자전환 기대</t>
  </si>
  <si>
    <t>80007</t>
  </si>
  <si>
    <t>4Q24 Pre: 2025년을 준비하며</t>
  </si>
  <si>
    <t>80006</t>
  </si>
  <si>
    <t>쉽지 않은 업황 개선</t>
  </si>
  <si>
    <t>80005</t>
  </si>
  <si>
    <t>배전의 강자, 해외로!</t>
  </si>
  <si>
    <t>80004</t>
  </si>
  <si>
    <t>이어질 중공업 부문 강세</t>
  </si>
  <si>
    <t>80003</t>
  </si>
  <si>
    <t>기대감이 더해진다</t>
  </si>
  <si>
    <t>80002</t>
  </si>
  <si>
    <t>의심의 여지없는 실적</t>
  </si>
  <si>
    <t>80001</t>
  </si>
  <si>
    <t>다가오는 천궁-ll 인식</t>
  </si>
  <si>
    <t>80000</t>
  </si>
  <si>
    <t>증익 또 증익</t>
  </si>
  <si>
    <t>79999</t>
  </si>
  <si>
    <t>예상보다 빠르게 공개된 4분기 실적 서프라이즈</t>
  </si>
  <si>
    <t>79998</t>
  </si>
  <si>
    <t>자본비율 재차 하락 예상</t>
  </si>
  <si>
    <t>79997</t>
  </si>
  <si>
    <t>25년, 탄소섬유 수익성 회복 기대</t>
  </si>
  <si>
    <t>79996</t>
  </si>
  <si>
    <t>AI, Robot, 원자력 다 가졌다</t>
  </si>
  <si>
    <t>79995</t>
  </si>
  <si>
    <t>SK그룹 제조 공정 자동화 수혜 가능</t>
  </si>
  <si>
    <t>79994</t>
  </si>
  <si>
    <t>어려운 환경에도 무난할 실적</t>
  </si>
  <si>
    <t>79993</t>
  </si>
  <si>
    <t>미국 전력기기 시장을 향해 전진 앞으로!</t>
  </si>
  <si>
    <t>79992</t>
  </si>
  <si>
    <t>공연 성장이 가장 매력적인 엔터사</t>
  </si>
  <si>
    <t>79991</t>
  </si>
  <si>
    <t>임박한 P/E 10배</t>
  </si>
  <si>
    <t>79990</t>
  </si>
  <si>
    <t>Potential</t>
  </si>
  <si>
    <t>79989</t>
  </si>
  <si>
    <t>우호적인 환경 속 최대 실적 전망</t>
  </si>
  <si>
    <t>79988</t>
  </si>
  <si>
    <t>중국의 iPhone 배제 vs. 미국의 BOE 배제?</t>
  </si>
  <si>
    <t>79987</t>
  </si>
  <si>
    <t>부진의 이유와 반전의 계기</t>
  </si>
  <si>
    <t>79986</t>
  </si>
  <si>
    <t>빅테크가 '전력기가 있으라'라고 외치자, 빛이 생겨났다</t>
  </si>
  <si>
    <t>79985</t>
  </si>
  <si>
    <t>기술 경쟁 우위 지속</t>
  </si>
  <si>
    <t>79984</t>
  </si>
  <si>
    <t>실적 및 멀티플 확장 국면 재진입</t>
  </si>
  <si>
    <t>79983</t>
  </si>
  <si>
    <t>비수기 영향, 25년 업황 회복 예상</t>
  </si>
  <si>
    <t>79982</t>
  </si>
  <si>
    <t>M&amp;A 통한 성장 노력 지속</t>
  </si>
  <si>
    <t>79981</t>
  </si>
  <si>
    <t>투자의견 BUY로 상향</t>
  </si>
  <si>
    <t>79980</t>
  </si>
  <si>
    <t>25년 견조한 이익률 예상</t>
  </si>
  <si>
    <t>79979</t>
  </si>
  <si>
    <t>생명 연장 최소 1년+ 무엇을 드시겠습니까?</t>
  </si>
  <si>
    <t>79978</t>
  </si>
  <si>
    <t>4Q 적자 탈출 실패</t>
  </si>
  <si>
    <t>79977</t>
  </si>
  <si>
    <t>반도체 산업 발전의 진정한 공신</t>
  </si>
  <si>
    <t>79976</t>
  </si>
  <si>
    <t>방산+엔진 = 프리미엄</t>
  </si>
  <si>
    <t>79975</t>
  </si>
  <si>
    <t>편안한 밸류에이션</t>
  </si>
  <si>
    <t>79974</t>
  </si>
  <si>
    <t>명확한 실적 성장</t>
  </si>
  <si>
    <t>79973</t>
  </si>
  <si>
    <t>올해는 툼바만 믿는다</t>
  </si>
  <si>
    <t>79972</t>
  </si>
  <si>
    <t>2025-01-17</t>
  </si>
  <si>
    <t>2024년 역대급 실적, 2025년도 ‘증익’</t>
  </si>
  <si>
    <t>79971</t>
  </si>
  <si>
    <t>79970</t>
  </si>
  <si>
    <t>고객사 판매 하향 조정 영향 불가피</t>
  </si>
  <si>
    <t>79969</t>
  </si>
  <si>
    <t>회복에 대한 가시성 부족</t>
  </si>
  <si>
    <t>79968</t>
  </si>
  <si>
    <t>테슬라 효과 기대되나, 성장 모멘텀 확보 필요</t>
  </si>
  <si>
    <t>79967</t>
  </si>
  <si>
    <t>25년 화끈한 이익 기대</t>
  </si>
  <si>
    <t>79966</t>
  </si>
  <si>
    <t>일회성 비용으로 이익 예상 하회</t>
  </si>
  <si>
    <t>79965</t>
  </si>
  <si>
    <t>4Q 비용 털고, 25년 AI로 간다</t>
  </si>
  <si>
    <t>79964</t>
  </si>
  <si>
    <t>B2B 매출 감소 본격화</t>
  </si>
  <si>
    <t>79963</t>
  </si>
  <si>
    <t>PF의 마지막 정리</t>
  </si>
  <si>
    <t>79962</t>
  </si>
  <si>
    <t>모두가 주목하는 MARIPOSA OS 최종 결과</t>
  </si>
  <si>
    <t>79961</t>
  </si>
  <si>
    <t>완화된 건전성 우려 속 부각될 주주환원</t>
  </si>
  <si>
    <t>79960</t>
  </si>
  <si>
    <t>타이어보강재 선방</t>
  </si>
  <si>
    <t>79959</t>
  </si>
  <si>
    <t>적극적인 RWA 관리 노력의 결과</t>
  </si>
  <si>
    <t>79958</t>
  </si>
  <si>
    <t>기대치에 부합할 4분기</t>
  </si>
  <si>
    <t>79957</t>
  </si>
  <si>
    <t>다시 한 번 EV</t>
  </si>
  <si>
    <t>79955</t>
  </si>
  <si>
    <t>북미 태양광   업황 회복 조짐</t>
  </si>
  <si>
    <t>79954</t>
  </si>
  <si>
    <t xml:space="preserve"> 완벽한 체질 개선</t>
  </si>
  <si>
    <t>79953</t>
  </si>
  <si>
    <t>4Q24 Preview: 어드밴스드 후공정 장비 대표주자</t>
  </si>
  <si>
    <t>79952</t>
  </si>
  <si>
    <t>강력하다</t>
  </si>
  <si>
    <t>79951</t>
  </si>
  <si>
    <t>업황 부진에도 본업 증익</t>
  </si>
  <si>
    <t>79950</t>
  </si>
  <si>
    <t>4Q24 Pre:아쉬운 마무리, 올해 필요한 것</t>
  </si>
  <si>
    <t>79949</t>
  </si>
  <si>
    <t>확률 게임에서 유리</t>
  </si>
  <si>
    <t>79948</t>
  </si>
  <si>
    <t>유정관 업황 개선, 주가에 점차 반영될 것</t>
  </si>
  <si>
    <t>79947</t>
  </si>
  <si>
    <t>급격한 펀더멘탈 개선</t>
  </si>
  <si>
    <t>79946</t>
  </si>
  <si>
    <t>4Q24 Preview: 기대치를 낮출 필요</t>
  </si>
  <si>
    <t>79945</t>
  </si>
  <si>
    <t>기대에 부응하는 성장세 지속</t>
  </si>
  <si>
    <t>79944</t>
  </si>
  <si>
    <t>반전의 시기는 온다</t>
  </si>
  <si>
    <t>79943</t>
  </si>
  <si>
    <t>2025-01-16</t>
  </si>
  <si>
    <t>4Q24 Pre: 수익성 악화는 불가피</t>
  </si>
  <si>
    <t>79942</t>
  </si>
  <si>
    <t>롯데칠성에게는 해외 삼성(三星)이 빛난다</t>
  </si>
  <si>
    <t>79941</t>
  </si>
  <si>
    <t>해외로 향하는 눈</t>
  </si>
  <si>
    <t>79940</t>
  </si>
  <si>
    <t>북미, 다시 해보자! 유럽, 확대 해보자!</t>
  </si>
  <si>
    <t>79939</t>
  </si>
  <si>
    <t>식품부문 상대적 선방 바이오 F&amp;C 전년 낮은 기저로 증익 흐름 무난</t>
  </si>
  <si>
    <t>79938</t>
  </si>
  <si>
    <t>음식료 업체 중 빛나는 두 자릿수 탑라인 성장</t>
  </si>
  <si>
    <t>79937</t>
  </si>
  <si>
    <t>K담배의 꿈은 25 년에도 이뤄진다</t>
  </si>
  <si>
    <t>79936</t>
  </si>
  <si>
    <t>이런 실적에도 안 삼양</t>
  </si>
  <si>
    <t>79935</t>
  </si>
  <si>
    <t>중장기적 관점으로 바라 볼 시점</t>
  </si>
  <si>
    <t>79934</t>
  </si>
  <si>
    <t>용기수급 이슈는 4 분기도 존재</t>
  </si>
  <si>
    <t>79933</t>
  </si>
  <si>
    <t>톡비즈 성장 개선 정도가 중요</t>
  </si>
  <si>
    <t>79932</t>
  </si>
  <si>
    <t>이익 성장으로 증명할 AI 역량</t>
  </si>
  <si>
    <t>79931</t>
  </si>
  <si>
    <t>썬, 25 년에도 빛나줘</t>
  </si>
  <si>
    <t>79930</t>
  </si>
  <si>
    <t>쿠키런 IP의 확장은 25년에도 계속</t>
  </si>
  <si>
    <t>79929</t>
  </si>
  <si>
    <t>코스맥스, 나 지금 자신감 MAX</t>
  </si>
  <si>
    <t>79928</t>
  </si>
  <si>
    <t>25년 이익 정상화를 기대</t>
  </si>
  <si>
    <t>79927</t>
  </si>
  <si>
    <t>Live-ops 역량이 IP다</t>
  </si>
  <si>
    <t>79926</t>
  </si>
  <si>
    <t>또 한번의 이익 점프 기대</t>
  </si>
  <si>
    <t>79925</t>
  </si>
  <si>
    <t>9종의 신작 통한 이익 성장 기조 굳히기</t>
  </si>
  <si>
    <t>79924</t>
  </si>
  <si>
    <t>PUBG의 지속 성장과 신작 출시 재개</t>
  </si>
  <si>
    <t>79923</t>
  </si>
  <si>
    <t>4분기 다소 아쉽지만 연간 증익 폭은 22% 상회할 듯</t>
  </si>
  <si>
    <t>79921</t>
  </si>
  <si>
    <t>기다려온 울산GPS 상업운전</t>
  </si>
  <si>
    <t>79920</t>
  </si>
  <si>
    <t>대장은 강하다</t>
  </si>
  <si>
    <t>79919</t>
  </si>
  <si>
    <t>외형 확대에 집중할 때</t>
  </si>
  <si>
    <t>79918</t>
  </si>
  <si>
    <t>작년보다 올해, 올해보다 내년</t>
  </si>
  <si>
    <t>79917</t>
  </si>
  <si>
    <t>당분간 이익 개선 지속</t>
  </si>
  <si>
    <t>79916</t>
  </si>
  <si>
    <t>미국 LA지역 산불로 손실 예상되나 낙폭은 과도</t>
  </si>
  <si>
    <t>79915</t>
  </si>
  <si>
    <t>‘산업의 혈관’에 대한 수요가 급증한다</t>
  </si>
  <si>
    <t>79914</t>
  </si>
  <si>
    <t>신사업도 준비하는 슈퍼 캐패시터 강소기업</t>
  </si>
  <si>
    <t>79913</t>
  </si>
  <si>
    <t>택배 부진하지만, CL성장으로 기대치 부합</t>
  </si>
  <si>
    <t>79912</t>
  </si>
  <si>
    <t xml:space="preserve">  25년에는 더 보여드립니다</t>
  </si>
  <si>
    <t>79911</t>
  </si>
  <si>
    <t>힘들었던 2024년</t>
  </si>
  <si>
    <t>79910</t>
  </si>
  <si>
    <t>2025년부터 아시아나항공 통합 효과 기대</t>
  </si>
  <si>
    <t>79909</t>
  </si>
  <si>
    <t>낮은 기저, 작은 호재에도 상승 여력</t>
  </si>
  <si>
    <t>79908</t>
  </si>
  <si>
    <t>다이어트 중인데 디저트를 먹어버렸다</t>
  </si>
  <si>
    <t>79907</t>
  </si>
  <si>
    <t>지속되는 원가 부담</t>
  </si>
  <si>
    <t>79906</t>
  </si>
  <si>
    <t>443250</t>
  </si>
  <si>
    <t>레뷰코퍼레이션</t>
  </si>
  <si>
    <t>모든 노이즈는 기회</t>
  </si>
  <si>
    <t>79905</t>
  </si>
  <si>
    <t>4Q24 Preview: 사업 다변화가 시급하다</t>
  </si>
  <si>
    <t>79904</t>
  </si>
  <si>
    <t>4Q24 Preview: 신규 수주가 시급하다</t>
  </si>
  <si>
    <t>79903</t>
  </si>
  <si>
    <t>4Q24 Pre 수출 확대로 이익 증가 지속</t>
  </si>
  <si>
    <t>79902</t>
  </si>
  <si>
    <t>탄소섬유 25년 하반기 흑자전환 전망</t>
  </si>
  <si>
    <t>79901</t>
  </si>
  <si>
    <t>민수 및 특수사업 실적 개선 본궤도 진입</t>
  </si>
  <si>
    <t>79900</t>
  </si>
  <si>
    <t>부진한 업황에 둔감해지는 중</t>
  </si>
  <si>
    <t>79899</t>
  </si>
  <si>
    <t>대장주의 자신감</t>
  </si>
  <si>
    <t>79898</t>
  </si>
  <si>
    <t>과도한 우려, 상반기 기대할 게 많다</t>
  </si>
  <si>
    <t>79897</t>
  </si>
  <si>
    <t>수익성 개선 지속, 특수선종 수주 기대</t>
  </si>
  <si>
    <t>79896</t>
  </si>
  <si>
    <t>4Q24 Preveiw: 4분기 실적 바닥 통과</t>
  </si>
  <si>
    <t>79895</t>
  </si>
  <si>
    <t>변화의 소용돌이 속으로</t>
  </si>
  <si>
    <t>79894</t>
  </si>
  <si>
    <t>충분히 반영된 상대적 우위</t>
  </si>
  <si>
    <t>79893</t>
  </si>
  <si>
    <t>톡신 신대륙 상륙 작전</t>
  </si>
  <si>
    <t>79892</t>
  </si>
  <si>
    <t>2025년과 그 이후가 기대된다</t>
  </si>
  <si>
    <t>79891</t>
  </si>
  <si>
    <t>Tesla에 거는 기대. 모델Y 쥬니퍼 출시 수혜 예상</t>
  </si>
  <si>
    <t>79890</t>
  </si>
  <si>
    <t>아쉽지만 본업 성장에 주목</t>
  </si>
  <si>
    <t>79889</t>
  </si>
  <si>
    <t xml:space="preserve">돌파구를 마련하려는 노력도 중요할 것 </t>
  </si>
  <si>
    <t>79888</t>
  </si>
  <si>
    <t>K-POP의 명가</t>
  </si>
  <si>
    <t>79887</t>
  </si>
  <si>
    <t>고객사 OLED 확대로 수익 안정화 기대</t>
  </si>
  <si>
    <t>79886</t>
  </si>
  <si>
    <t>2025-01-15</t>
  </si>
  <si>
    <t>폴란드, 첫 번째 물량(180대)만으로 재무장하기에는 턱없이 부족</t>
  </si>
  <si>
    <t>79885</t>
  </si>
  <si>
    <t>4Q24 Preview 컨센서스 하회</t>
  </si>
  <si>
    <t>79884</t>
  </si>
  <si>
    <t>79883</t>
  </si>
  <si>
    <t>79882</t>
  </si>
  <si>
    <t>많은 것이 반영된 주가 수준</t>
  </si>
  <si>
    <t>79881</t>
  </si>
  <si>
    <t>올해도 내년도 성장</t>
  </si>
  <si>
    <t>79880</t>
  </si>
  <si>
    <t>지분 증여 이슈 종결, 실적 호전으로 주가 오를 것</t>
  </si>
  <si>
    <t>79879</t>
  </si>
  <si>
    <t>글로벌에 진심</t>
  </si>
  <si>
    <t>79878</t>
  </si>
  <si>
    <t>다시 돌아오는 외국인. 리딩뱅크 위상 강화 예상</t>
  </si>
  <si>
    <t>79877</t>
  </si>
  <si>
    <t>믿을 건 오직 실적뿐</t>
  </si>
  <si>
    <t>79876</t>
  </si>
  <si>
    <t>인공지능 메신저에 대한 기대</t>
  </si>
  <si>
    <t>79875</t>
  </si>
  <si>
    <t>4Q24Pre: 아쉬운 실적, 25년 개선 기대</t>
  </si>
  <si>
    <t>79874</t>
  </si>
  <si>
    <t>4Q24Pre: 상품 비중 증가로 수익성 악화</t>
  </si>
  <si>
    <t>79873</t>
  </si>
  <si>
    <t>4Q24Pre: 견고한 케이캡 처방 실적</t>
  </si>
  <si>
    <t>79872</t>
  </si>
  <si>
    <t>그로트로핀은 견조, 해외는 다소 부진</t>
  </si>
  <si>
    <t>79871</t>
  </si>
  <si>
    <t>견조한 실적 아래 고객 및 제품 저변 확대</t>
  </si>
  <si>
    <t>79870</t>
  </si>
  <si>
    <t>이제는 안정화 단계 진입</t>
  </si>
  <si>
    <t>79869</t>
  </si>
  <si>
    <t>큰 그림 이상 무</t>
  </si>
  <si>
    <t>79868</t>
  </si>
  <si>
    <t>케미칼 체력 개선</t>
  </si>
  <si>
    <t>79867</t>
  </si>
  <si>
    <t>일회성 요인 반영</t>
  </si>
  <si>
    <t>79866</t>
  </si>
  <si>
    <t>비우호적 사업환경 지속</t>
  </si>
  <si>
    <t>79865</t>
  </si>
  <si>
    <t>턴어라운드 시작!</t>
  </si>
  <si>
    <t>79864</t>
  </si>
  <si>
    <t>25년 적자폭 축소와 개선될 여건</t>
  </si>
  <si>
    <t>79863</t>
  </si>
  <si>
    <t>4Q24 Preview: 이번엔 다르다</t>
  </si>
  <si>
    <t>79862</t>
  </si>
  <si>
    <t>JP모건-DS는 ADC SC 더 확장, 머크는 연내 출시</t>
  </si>
  <si>
    <t>79861</t>
  </si>
  <si>
    <t>4Q24 Preview: 그럼에도 불구하고</t>
  </si>
  <si>
    <t>79860</t>
  </si>
  <si>
    <t>LA 산불 관련 영향 코멘트</t>
  </si>
  <si>
    <t>79859</t>
  </si>
  <si>
    <t>계절적 성수기에 환율효과까지</t>
  </si>
  <si>
    <t>79858</t>
  </si>
  <si>
    <t>FLNG가 부각될 차례</t>
  </si>
  <si>
    <t>79857</t>
  </si>
  <si>
    <t>가능성은 무궁무진</t>
  </si>
  <si>
    <t>79856</t>
  </si>
  <si>
    <t xml:space="preserve">정제마진 반등에 따른 실적 호조 </t>
  </si>
  <si>
    <t>79855</t>
  </si>
  <si>
    <t>컨센서스 하회 예상되나 적자 계열사 손익 개선은 긍정적</t>
  </si>
  <si>
    <t>79854</t>
  </si>
  <si>
    <t>지누스의 선전이 기업가치 상승 견인</t>
  </si>
  <si>
    <t>79853</t>
  </si>
  <si>
    <t>경기 요인, 일회성 비용 등으로 컨센서스 하회 예상</t>
  </si>
  <si>
    <t>79852</t>
  </si>
  <si>
    <t xml:space="preserve">꾸준한 우상향 </t>
  </si>
  <si>
    <t>79851</t>
  </si>
  <si>
    <t>이익과 주주환원 모두 상승</t>
  </si>
  <si>
    <t>79850</t>
  </si>
  <si>
    <t>광고에 이어 커머스까지 성장 가능성 가시화 중</t>
  </si>
  <si>
    <t>79849</t>
  </si>
  <si>
    <t>2025년 나혼렙을 대체할 신작 필요</t>
  </si>
  <si>
    <t>79848</t>
  </si>
  <si>
    <t>로봇도 잘한다</t>
  </si>
  <si>
    <t>79847</t>
  </si>
  <si>
    <t>실적 하회 전망. 신약은 노바티스에 직접 물었다</t>
  </si>
  <si>
    <t>79846</t>
  </si>
  <si>
    <t>정상궤도 진입 과정</t>
  </si>
  <si>
    <t>79845</t>
  </si>
  <si>
    <t>단기적 업사이드는 충분</t>
  </si>
  <si>
    <t>79844</t>
  </si>
  <si>
    <t>NDR후기: 24년 1,000억원 돌파</t>
  </si>
  <si>
    <t>79843</t>
  </si>
  <si>
    <t>겨울잠 깨는 중인 곰</t>
  </si>
  <si>
    <t>79842</t>
  </si>
  <si>
    <t>전장용 카메라로 활로를 찾는다</t>
  </si>
  <si>
    <t>79841</t>
  </si>
  <si>
    <t>글로벌로 나아가는 건설사업관리(CM) 기업</t>
  </si>
  <si>
    <t>79840</t>
  </si>
  <si>
    <t>4분기 실적 선방</t>
  </si>
  <si>
    <t>79839</t>
  </si>
  <si>
    <t>2025-01-14</t>
  </si>
  <si>
    <t>4Q24 Pre: 소화불량 해소</t>
  </si>
  <si>
    <t>79838</t>
  </si>
  <si>
    <t>4Q24 Pre: 느낌 좋은 4분기</t>
  </si>
  <si>
    <t>79837</t>
  </si>
  <si>
    <t>편안했고 편안하며 편안할 것이다</t>
  </si>
  <si>
    <t>79836</t>
  </si>
  <si>
    <t>쌓이지 않는 곳간</t>
  </si>
  <si>
    <t>79835</t>
  </si>
  <si>
    <t>[4Q24 Preview] 주주환원으로 디스카운트 방어</t>
  </si>
  <si>
    <t>79834</t>
  </si>
  <si>
    <t>[4Q24 Preview] 환율효과의 양면성과 고정비 영향 고려</t>
  </si>
  <si>
    <t>79833</t>
  </si>
  <si>
    <t>해외 수주의 확보 필요</t>
  </si>
  <si>
    <t>79832</t>
  </si>
  <si>
    <t>비주택 노이즈 지속</t>
  </si>
  <si>
    <t>79831</t>
  </si>
  <si>
    <t>아쉬운 비용 반영, 그러나 변함없는 방향성</t>
  </si>
  <si>
    <t>79830</t>
  </si>
  <si>
    <t xml:space="preserve">동트기 전이 가장 어둡다 </t>
  </si>
  <si>
    <t>79829</t>
  </si>
  <si>
    <t>안정적 선택지</t>
  </si>
  <si>
    <t>79828</t>
  </si>
  <si>
    <t>[다시봐] Only 유리기판? No!</t>
  </si>
  <si>
    <t>79827</t>
  </si>
  <si>
    <t xml:space="preserve">기대되는 2025년  </t>
  </si>
  <si>
    <t>79826</t>
  </si>
  <si>
    <t>이익 턴어라운드와 주주환원 강화</t>
  </si>
  <si>
    <t>79825</t>
  </si>
  <si>
    <t>79824</t>
  </si>
  <si>
    <t>긍정적인 효과가 더 큰 일회성</t>
  </si>
  <si>
    <t>79823</t>
  </si>
  <si>
    <t>방산, 큰 폭의 성장 뒤에 이어지는 안정적 흐름</t>
  </si>
  <si>
    <t>79822</t>
  </si>
  <si>
    <t xml:space="preserve">2025년 초, 2가지 온기가 돌기 시작했다! </t>
  </si>
  <si>
    <t>79821</t>
  </si>
  <si>
    <t>085620</t>
  </si>
  <si>
    <t>미래에셋생명</t>
  </si>
  <si>
    <t>의외로 자본 적정성은 양호한 편</t>
  </si>
  <si>
    <t>79820</t>
  </si>
  <si>
    <t>제도 영향에도 실적은 견조</t>
  </si>
  <si>
    <t>79819</t>
  </si>
  <si>
    <t>규모의 경제</t>
  </si>
  <si>
    <t>79818</t>
  </si>
  <si>
    <t>신년 간담회, ’25년도 순항</t>
  </si>
  <si>
    <t>79817</t>
  </si>
  <si>
    <t>신년 간담회, 장기화되는 대내외 성장</t>
  </si>
  <si>
    <t>79816</t>
  </si>
  <si>
    <t>제도 개선에 따른 민감도는 가장 높을 전망</t>
  </si>
  <si>
    <t>79815</t>
  </si>
  <si>
    <t>서울원 아이파크는  이만하면 성공적</t>
  </si>
  <si>
    <t>79814</t>
  </si>
  <si>
    <t>많은 것이 개선되는 25년</t>
  </si>
  <si>
    <t>79813</t>
  </si>
  <si>
    <t>주력 제품 성장 견조</t>
  </si>
  <si>
    <t>79812</t>
  </si>
  <si>
    <t>K-ICS에 대해 과하게 우려할 필요는 없을 것</t>
  </si>
  <si>
    <t>79811</t>
  </si>
  <si>
    <t>체질 개선을 위한 노력 지속 중</t>
  </si>
  <si>
    <t>79810</t>
  </si>
  <si>
    <t>안정적인 지표 대비 높아진 밸류에이션 매력</t>
  </si>
  <si>
    <t>79809</t>
  </si>
  <si>
    <t>Show me the money</t>
  </si>
  <si>
    <t>79808</t>
  </si>
  <si>
    <t>4Q24 Preview: AI Chain 대표주자</t>
  </si>
  <si>
    <t>79807</t>
  </si>
  <si>
    <t>방산 대신 해양, FLNG 2기에 풍력이 더해진다</t>
  </si>
  <si>
    <t>79806</t>
  </si>
  <si>
    <t>4Q24 Preview</t>
  </si>
  <si>
    <t>79805</t>
  </si>
  <si>
    <t>466410</t>
  </si>
  <si>
    <t>사이냅소프트</t>
  </si>
  <si>
    <t>PER 9배, OPM 50%의 성장하는 AI S/W기업</t>
  </si>
  <si>
    <t>79804</t>
  </si>
  <si>
    <t>중국의 변심: 미국 제재 선박 입항 금지</t>
  </si>
  <si>
    <t>79803</t>
  </si>
  <si>
    <t>과도한 우려, 매수기회로 활용</t>
  </si>
  <si>
    <t>79802</t>
  </si>
  <si>
    <t>썬으로 올랐다, 썬으로 내리다</t>
  </si>
  <si>
    <t>79801</t>
  </si>
  <si>
    <t>이익개선 흐름</t>
  </si>
  <si>
    <t>79800</t>
  </si>
  <si>
    <t>점진적인 개선 확인 가능</t>
  </si>
  <si>
    <t>79799</t>
  </si>
  <si>
    <t>길게 보면 결국 다시 Top Pick</t>
  </si>
  <si>
    <t>79798</t>
  </si>
  <si>
    <t>시장 부진 헤쳐 나갈 뾰족한 수 필요</t>
  </si>
  <si>
    <t>79797</t>
  </si>
  <si>
    <t>그린 그림대로 따라가기</t>
  </si>
  <si>
    <t>79796</t>
  </si>
  <si>
    <t>연중 가장 낮은 이익 전망</t>
  </si>
  <si>
    <t>79795</t>
  </si>
  <si>
    <t>이유 있는 상승세</t>
  </si>
  <si>
    <t>79794</t>
  </si>
  <si>
    <t>레티보, 미국 런칭 임박</t>
  </si>
  <si>
    <t>79793</t>
  </si>
  <si>
    <t>2025-01-13</t>
  </si>
  <si>
    <t>4Q24 Pre: 해외사업 부진, 그로트로핀은 견조</t>
  </si>
  <si>
    <t>79792</t>
  </si>
  <si>
    <t>불안정한 업황 속 기저효과를 기대</t>
  </si>
  <si>
    <t>79791</t>
  </si>
  <si>
    <t>4Q24Pre: 2025년 완만한 회복세</t>
  </si>
  <si>
    <t>79790</t>
  </si>
  <si>
    <t>4Q24 Preview: 컨센서스 상회 전망</t>
  </si>
  <si>
    <t>79789</t>
  </si>
  <si>
    <t>79788</t>
  </si>
  <si>
    <t>꽃길만 걷자</t>
  </si>
  <si>
    <t>79787</t>
  </si>
  <si>
    <t>광고로 실적 부스트</t>
  </si>
  <si>
    <t>79786</t>
  </si>
  <si>
    <t>단기적으로는 박스권의 주가 전망</t>
  </si>
  <si>
    <t>79785</t>
  </si>
  <si>
    <t>4Q24 Pre: 시장 기대 부합 전망</t>
  </si>
  <si>
    <t>79784</t>
  </si>
  <si>
    <t>4Q24 Pre: 본업 호조세 지속</t>
  </si>
  <si>
    <t>79783</t>
  </si>
  <si>
    <t>4Q 프리뷰 - 컨센서스 하회 예상, 매수 기회로 삼아야</t>
  </si>
  <si>
    <t>79782</t>
  </si>
  <si>
    <t>게임 수명 장기화 역량 증명 필요</t>
  </si>
  <si>
    <t>79781</t>
  </si>
  <si>
    <t>나무가 아닌 숲을 보자</t>
  </si>
  <si>
    <t>79780</t>
  </si>
  <si>
    <t>순항 중인 본업, 최선호주 유지</t>
  </si>
  <si>
    <t>79779</t>
  </si>
  <si>
    <t>드디어 맞이한 전환점</t>
  </si>
  <si>
    <t>79778</t>
  </si>
  <si>
    <t>증익 사이클의 시작</t>
  </si>
  <si>
    <t>79777</t>
  </si>
  <si>
    <t>성장동력 2개 장착</t>
  </si>
  <si>
    <t>79776</t>
  </si>
  <si>
    <t>국내도 미국도 맑음</t>
  </si>
  <si>
    <t>79775</t>
  </si>
  <si>
    <t>빠른 건전성 개선으로 컨센서스 상회 예상</t>
  </si>
  <si>
    <t>79774</t>
  </si>
  <si>
    <t>위험가중자산 관리로 보통주자본비율 방어 예상</t>
  </si>
  <si>
    <t>79773</t>
  </si>
  <si>
    <t>자산건전성 회복으로 컨센서스 상회 예상</t>
  </si>
  <si>
    <t>79772</t>
  </si>
  <si>
    <t>흔들림 없이 이어나갈 밸류업</t>
  </si>
  <si>
    <t>79771</t>
  </si>
  <si>
    <t>4Q24 Preview: 단기 수익성 부진</t>
  </si>
  <si>
    <t>79769</t>
  </si>
  <si>
    <t>4Q24 Preview: 전장 기반 영업 실적 회복</t>
  </si>
  <si>
    <t>79768</t>
  </si>
  <si>
    <t>은행업 최고 수준 주주환원 지속 예상</t>
  </si>
  <si>
    <t>79767</t>
  </si>
  <si>
    <t>비용 증가로 인한 실적 악화</t>
  </si>
  <si>
    <t>79766</t>
  </si>
  <si>
    <t>미래 전략 공유 필요</t>
  </si>
  <si>
    <t>79765</t>
  </si>
  <si>
    <t>4Q24 Preview: 실적 안정성 회복</t>
  </si>
  <si>
    <t>79764</t>
  </si>
  <si>
    <t>4Q24 Preview: 오히려 좋아</t>
  </si>
  <si>
    <t>79763</t>
  </si>
  <si>
    <t>올해 하반기가 좋아 보인다</t>
  </si>
  <si>
    <t>79762</t>
  </si>
  <si>
    <t>케미칼 부문 실적개선</t>
  </si>
  <si>
    <t>79761</t>
  </si>
  <si>
    <t>악재보다 호재에   민감할 구간</t>
  </si>
  <si>
    <t>79760</t>
  </si>
  <si>
    <t>3월 ‘프로야구Rising 출시’  이상 無</t>
  </si>
  <si>
    <t>79759</t>
  </si>
  <si>
    <t>지분 매입으로 책임경영 의지 표명</t>
  </si>
  <si>
    <t>79758</t>
  </si>
  <si>
    <t xml:space="preserve">새로운 카카오톡에 기대를... </t>
  </si>
  <si>
    <t>79757</t>
  </si>
  <si>
    <t>기존 예상보다 느리지만,  재무구조 개선 본격화</t>
  </si>
  <si>
    <t>79756</t>
  </si>
  <si>
    <t>턴어라운드 + 해외진출 모멘텀에 주목</t>
  </si>
  <si>
    <t>79755</t>
  </si>
  <si>
    <t>4Q24 Preview: 올해 실적 전망치는 상향</t>
  </si>
  <si>
    <t>79754</t>
  </si>
  <si>
    <t>반도체 업황 싸이클과 관계없는 꾸준한 성장</t>
  </si>
  <si>
    <t>79753</t>
  </si>
  <si>
    <t>올라간 신작 기대감, 성과 확인은 필요</t>
  </si>
  <si>
    <t>79752</t>
  </si>
  <si>
    <t>4분기 실적 예상치 하회. DS가 원인</t>
  </si>
  <si>
    <t>79751</t>
  </si>
  <si>
    <t>LNG 관련 프로젝트 확대로 수혜 가능할 듯</t>
  </si>
  <si>
    <t>79750</t>
  </si>
  <si>
    <t>4Q24 Pre: 아쉬운 실적, 25 년 정상화 기대</t>
  </si>
  <si>
    <t>79749</t>
  </si>
  <si>
    <t>스마트폰 다이어트에는 내가 수혜</t>
  </si>
  <si>
    <t>79748</t>
  </si>
  <si>
    <t>이제는 보여줄 때</t>
  </si>
  <si>
    <t>79747</t>
  </si>
  <si>
    <t>4Q24 Preview: 일회성 비용으로 실적 기대 하회</t>
  </si>
  <si>
    <t>79746</t>
  </si>
  <si>
    <t>Value-Up Never Die</t>
  </si>
  <si>
    <t>79745</t>
  </si>
  <si>
    <t>우려와 기회가 공존</t>
  </si>
  <si>
    <t>79744</t>
  </si>
  <si>
    <t xml:space="preserve">바닥이라 보기 무난한 구간 </t>
  </si>
  <si>
    <t>79743</t>
  </si>
  <si>
    <t>최악의 환경에서도 선방</t>
  </si>
  <si>
    <t>79742</t>
  </si>
  <si>
    <t>`25년에도 증익 가능</t>
  </si>
  <si>
    <t>79741</t>
  </si>
  <si>
    <t>4Q24 Preview: 더딘 믹스개선으로 실적 기대 하회</t>
  </si>
  <si>
    <t>79740</t>
  </si>
  <si>
    <t>4Q24 실적 부진 예상. 펀더멘털은 견조</t>
  </si>
  <si>
    <t>79739</t>
  </si>
  <si>
    <t>이유 있는 성장. 기대되는 25년</t>
  </si>
  <si>
    <t>79738</t>
  </si>
  <si>
    <t>실적 기대치 하회 전망. 중순과 연말 임상 발표</t>
  </si>
  <si>
    <t>79737</t>
  </si>
  <si>
    <t>기대치 하회 전망. 로열티는 하반기부터 유입</t>
  </si>
  <si>
    <t>79736</t>
  </si>
  <si>
    <t>가격인상효과가 사라지면</t>
  </si>
  <si>
    <t>79735</t>
  </si>
  <si>
    <t>2025-01-10</t>
  </si>
  <si>
    <t>79734</t>
  </si>
  <si>
    <t>기대보다 우려가 큰 4분기 실적</t>
  </si>
  <si>
    <t>79733</t>
  </si>
  <si>
    <t>고강도 실적 재점검 여파</t>
  </si>
  <si>
    <t>79732</t>
  </si>
  <si>
    <t>삼박자의 마지막 퍼즐, 주주환원 재개</t>
  </si>
  <si>
    <t>79731</t>
  </si>
  <si>
    <t>4Q24 프리뷰: 시장 컨센서스 부합 전망</t>
  </si>
  <si>
    <t>79730</t>
  </si>
  <si>
    <t>프로야구 라이징으로 영업이익 정상화 기대</t>
  </si>
  <si>
    <t>79729</t>
  </si>
  <si>
    <t>4Q24 잠정실적 코멘트 - 컨센서스 하회, 그리고 기대보다 더딜 회복 속도</t>
  </si>
  <si>
    <t>79728</t>
  </si>
  <si>
    <t>4Q24 Pre: 경영권 분쟁으로 인한 일시적 부진</t>
  </si>
  <si>
    <t>79727</t>
  </si>
  <si>
    <t>4Q24 Pre: HBM이 주는 안정감</t>
  </si>
  <si>
    <t>79726</t>
  </si>
  <si>
    <t>글로벌 담배 실적 성장 주목</t>
  </si>
  <si>
    <t>79725</t>
  </si>
  <si>
    <t>25년 FLNG 동시건조 시작</t>
  </si>
  <si>
    <t>79724</t>
  </si>
  <si>
    <t>상상력을 보태면 어디까지 갈지 몰라</t>
  </si>
  <si>
    <t>79723</t>
  </si>
  <si>
    <t>25년에도 잔고 늘고 수익성 개선은 가장 빠르다</t>
  </si>
  <si>
    <t>79722</t>
  </si>
  <si>
    <t>밸류에이션 부담? 나는 엔진이 있잖아</t>
  </si>
  <si>
    <t>79721</t>
  </si>
  <si>
    <t>79720</t>
  </si>
  <si>
    <t>4Q24 Preview 컨센서스 큰 폭 하회</t>
  </si>
  <si>
    <t>79719</t>
  </si>
  <si>
    <t>장기 이익 성장과 주주환원율 확대의 조합</t>
  </si>
  <si>
    <t>79718</t>
  </si>
  <si>
    <t>4Q 프리뷰 - 차라리 잘 되었다고 봅니다</t>
  </si>
  <si>
    <t>79717</t>
  </si>
  <si>
    <t>4분기 계절성을 피하기는 어려울 전망</t>
  </si>
  <si>
    <t>79716</t>
  </si>
  <si>
    <t>업황 불확실성에 대응할 대안</t>
  </si>
  <si>
    <t>79715</t>
  </si>
  <si>
    <t>무난하게 예상치 부합 전망</t>
  </si>
  <si>
    <t>79714</t>
  </si>
  <si>
    <t>이익 가시성 회복</t>
  </si>
  <si>
    <t>79713</t>
  </si>
  <si>
    <t>탄탄한 기반 구축 중</t>
  </si>
  <si>
    <t>79712</t>
  </si>
  <si>
    <t>4분기 호실적과 중국 신작 모멘텀 기대</t>
  </si>
  <si>
    <t>79711</t>
  </si>
  <si>
    <t>‘25년 반전 드라마 기대</t>
  </si>
  <si>
    <t>79710</t>
  </si>
  <si>
    <t>어려웠던 시황</t>
  </si>
  <si>
    <t>79709</t>
  </si>
  <si>
    <t>국내는 부진했으나 중국은 완만히 회복</t>
  </si>
  <si>
    <t>79708</t>
  </si>
  <si>
    <t>4Q24 Review - 4680 양산 대기 중</t>
  </si>
  <si>
    <t>79707</t>
  </si>
  <si>
    <t>4Q24 Preview: 주택원가율 개선에 주목</t>
  </si>
  <si>
    <t>79706</t>
  </si>
  <si>
    <t>4Q24 Preview: 빨라지는 턴어라운드 시점</t>
  </si>
  <si>
    <t>79705</t>
  </si>
  <si>
    <t>4Q24 Pre 일시적 부진, ’25년을 기대</t>
  </si>
  <si>
    <t>79704</t>
  </si>
  <si>
    <t>4Q24 Preview 이 환율이면 25년 감익도 어렵다+엔비디아와 협력</t>
  </si>
  <si>
    <t>79703</t>
  </si>
  <si>
    <t>4Q24 Preview 우려는 충분, 긍정 편향 필요 + 엔비디아와 협력</t>
  </si>
  <si>
    <t>79702</t>
  </si>
  <si>
    <t>Valuation 매력이 부각되는 시점</t>
  </si>
  <si>
    <t>79701</t>
  </si>
  <si>
    <t>CAPA증설, 유럽이 기대되는 25년</t>
  </si>
  <si>
    <t>79700</t>
  </si>
  <si>
    <t>꾸준하게 호실적을 낼 수 있는 이유</t>
  </si>
  <si>
    <t>79699</t>
  </si>
  <si>
    <t>4Q24 잠정 실적 리뷰: 실적 컨센서스 하회, 단기 수요 부진 재확인</t>
  </si>
  <si>
    <t>79698</t>
  </si>
  <si>
    <t>상저하고. 업황, 센티먼트 바닥을 다지는 구간</t>
  </si>
  <si>
    <t>79697</t>
  </si>
  <si>
    <t>올해는 인도만 믿는다</t>
  </si>
  <si>
    <t>79696</t>
  </si>
  <si>
    <t>4Q24 Preview: 3월이 분기점</t>
  </si>
  <si>
    <t>79695</t>
  </si>
  <si>
    <t>보수적인 25년 스타트</t>
  </si>
  <si>
    <t>79694</t>
  </si>
  <si>
    <t>2025-01-09</t>
  </si>
  <si>
    <t>4Q24 preview - 태양광 흑자 전환 예상</t>
  </si>
  <si>
    <t>79693</t>
  </si>
  <si>
    <t>다시 한번 도약</t>
  </si>
  <si>
    <t>79692</t>
  </si>
  <si>
    <t>4Q24 preview - 배터리 업황 부진 지속</t>
  </si>
  <si>
    <t>79691</t>
  </si>
  <si>
    <t>도약의 발판</t>
  </si>
  <si>
    <t>79690</t>
  </si>
  <si>
    <t>AI로 높아진 성장성</t>
  </si>
  <si>
    <t>79689</t>
  </si>
  <si>
    <t>[다시봐] 내수기업에서 수출기업으로 변화</t>
  </si>
  <si>
    <t>79688</t>
  </si>
  <si>
    <t>79687</t>
  </si>
  <si>
    <t>글로벌 코덕 사로잡기</t>
  </si>
  <si>
    <t>79686</t>
  </si>
  <si>
    <t>전차 수출의 위력을 거듭 확인할 것</t>
  </si>
  <si>
    <t>79685</t>
  </si>
  <si>
    <t>4Q24 Pre: 나보타를 필두로 실적 서프라이즈</t>
  </si>
  <si>
    <t>79684</t>
  </si>
  <si>
    <t>4Q24 잠정실적 발표 요약</t>
  </si>
  <si>
    <t>79683</t>
  </si>
  <si>
    <t>4Q24 Preview 컨센서스 하회 전망</t>
  </si>
  <si>
    <t>79682</t>
  </si>
  <si>
    <t>79681</t>
  </si>
  <si>
    <t>4Q24 Preview: 컨센서스 부합 전망</t>
  </si>
  <si>
    <t>79680</t>
  </si>
  <si>
    <t>컨센 상회 예상. 2025~27년 이익 정상화와 성장 기대</t>
  </si>
  <si>
    <t>79679</t>
  </si>
  <si>
    <t>4Q24 Pre: 업황 부진을 이미 반영한 주가 수준</t>
  </si>
  <si>
    <t>79678</t>
  </si>
  <si>
    <t>환율 상승의 긍정적 효과</t>
  </si>
  <si>
    <t>79677</t>
  </si>
  <si>
    <t>분기 최대 실적 기록 전망</t>
  </si>
  <si>
    <t>79676</t>
  </si>
  <si>
    <t>카카오톡의 무거워진 어깨</t>
  </si>
  <si>
    <t>79675</t>
  </si>
  <si>
    <t>상반기 주목</t>
  </si>
  <si>
    <t>79674</t>
  </si>
  <si>
    <t>79673</t>
  </si>
  <si>
    <t>79672</t>
  </si>
  <si>
    <t>24년 최대 매출 달성. 아쉬운 운임 비용</t>
  </si>
  <si>
    <t>79671</t>
  </si>
  <si>
    <t>중요한 건 2025년</t>
  </si>
  <si>
    <t>79670</t>
  </si>
  <si>
    <t>예상보다 부진했던 4Q24</t>
  </si>
  <si>
    <t>79669</t>
  </si>
  <si>
    <t>환율 무풍지대</t>
  </si>
  <si>
    <t>79668</t>
  </si>
  <si>
    <t>수익률 회복은 미진</t>
  </si>
  <si>
    <t>79667</t>
  </si>
  <si>
    <t>2025년 스판덱스 업황은 상저하고 전망</t>
  </si>
  <si>
    <t>79666</t>
  </si>
  <si>
    <t>4Q24 Preview_수익성 개선으로 호실적 기대</t>
  </si>
  <si>
    <t>79665</t>
  </si>
  <si>
    <t>쌀쌀한 업황에도 나아간다</t>
  </si>
  <si>
    <t>79664</t>
  </si>
  <si>
    <t>아쉬운 이차전지 성과</t>
  </si>
  <si>
    <t>79663</t>
  </si>
  <si>
    <t>일회성 요인으로 컨센서스 부합</t>
  </si>
  <si>
    <t>79662</t>
  </si>
  <si>
    <t>지금의 주가가 반영하고 있는 것</t>
  </si>
  <si>
    <t>79661</t>
  </si>
  <si>
    <t>여유를 가지고 저점 매수하는 전략 권고</t>
  </si>
  <si>
    <t>79660</t>
  </si>
  <si>
    <t>79659</t>
  </si>
  <si>
    <t>단기 압박에도 강화된 투자포인트</t>
  </si>
  <si>
    <t>79658</t>
  </si>
  <si>
    <t>중요해진 상반기</t>
  </si>
  <si>
    <t>79657</t>
  </si>
  <si>
    <t>단기 배당 투자자 이탈은 좋은 매수 기회</t>
  </si>
  <si>
    <t>79656</t>
  </si>
  <si>
    <t>2025년 성장 가능성의 검증 무대</t>
  </si>
  <si>
    <t>79655</t>
  </si>
  <si>
    <t>섹터 최선호주 의견 유지</t>
  </si>
  <si>
    <t>79654</t>
  </si>
  <si>
    <t>ASIC향 HBM 판매 확대 및 2nm 고객 확보</t>
  </si>
  <si>
    <t>79653</t>
  </si>
  <si>
    <t>ESS만 좋다</t>
  </si>
  <si>
    <t>79652</t>
  </si>
  <si>
    <t>4Q24 Preview: 해뜨기 전 여명이 가장 어둡다</t>
  </si>
  <si>
    <t>79651</t>
  </si>
  <si>
    <t>4Q24 Preview: 방향성을 기다리며</t>
  </si>
  <si>
    <t>79650</t>
  </si>
  <si>
    <t>지누스와 배당</t>
  </si>
  <si>
    <t>79649</t>
  </si>
  <si>
    <t>4Q24P Review: ... 하지만 가까워진 바닥</t>
  </si>
  <si>
    <t>79648</t>
  </si>
  <si>
    <t>좋은 점 위주로 봐도 좋을 시기</t>
  </si>
  <si>
    <t>79647</t>
  </si>
  <si>
    <t>2025-01-08</t>
  </si>
  <si>
    <t>COSRX/중국 아쉽지만, 라네즈 중심 해외 성과 기대</t>
  </si>
  <si>
    <t>79646</t>
  </si>
  <si>
    <t>79645</t>
  </si>
  <si>
    <t>2025년 탑라인 성장 동력 확보</t>
  </si>
  <si>
    <t>79644</t>
  </si>
  <si>
    <t>4Q 프리뷰 - 지난 4Q 실적 보단 올해 DPS가 중요</t>
  </si>
  <si>
    <t>79643</t>
  </si>
  <si>
    <t>4분기 바닥 논리 가능. 2025년 이익 정상화 기대</t>
  </si>
  <si>
    <t>79642</t>
  </si>
  <si>
    <t>4Q24Pre: 일시적 수익성 하락</t>
  </si>
  <si>
    <t>79641</t>
  </si>
  <si>
    <t>2025년 2가지 허들을 넘어야!</t>
  </si>
  <si>
    <t>79640</t>
  </si>
  <si>
    <t>25년 적자지속 예상에도 매수의견 유지하는 이유</t>
  </si>
  <si>
    <t>79639</t>
  </si>
  <si>
    <t>운임 강세로 깜짝 실적 예상</t>
  </si>
  <si>
    <t>79638</t>
  </si>
  <si>
    <t xml:space="preserve">부진한 시황 영향 불가피  </t>
  </si>
  <si>
    <t>79637</t>
  </si>
  <si>
    <t xml:space="preserve">  아쉬운 고환율 수혜,  25년을 위한 준비</t>
  </si>
  <si>
    <t>79636</t>
  </si>
  <si>
    <t>4Q24Pre: 잠깐의 숨고르기</t>
  </si>
  <si>
    <t>79635</t>
  </si>
  <si>
    <t>25년 반등 기대감과 트럼프의 불확실성</t>
  </si>
  <si>
    <t>79634</t>
  </si>
  <si>
    <t>LAZ/AMI 병용: mOS 개선 1년 초과</t>
  </si>
  <si>
    <t>79633</t>
  </si>
  <si>
    <t>New Year, New Me</t>
  </si>
  <si>
    <t>79632</t>
  </si>
  <si>
    <t>4Q24 Pre 점입가경(漸入佳境)</t>
  </si>
  <si>
    <t>79631</t>
  </si>
  <si>
    <t>2025년 반등의 조건</t>
  </si>
  <si>
    <t>79630</t>
  </si>
  <si>
    <t>눈앞에 다가온 대형 해상풍력 프로젝트</t>
  </si>
  <si>
    <t>79629</t>
  </si>
  <si>
    <t>전체 생존기간 발표로 드러난 J&amp;J의 확신</t>
  </si>
  <si>
    <t>79628</t>
  </si>
  <si>
    <t>예견된 4분기 비용부담. 6공장 착공 소식 기대</t>
  </si>
  <si>
    <t>79627</t>
  </si>
  <si>
    <t>바다 너머로, 바다 속으로</t>
  </si>
  <si>
    <t>79626</t>
  </si>
  <si>
    <t>로봇 부품 산업 루키</t>
  </si>
  <si>
    <t>79625</t>
  </si>
  <si>
    <t>건설 리스크 일단락, 다시 본업에 주목</t>
  </si>
  <si>
    <t>79624</t>
  </si>
  <si>
    <t>예상보다 강한 컨테이너 시황</t>
  </si>
  <si>
    <t>79623</t>
  </si>
  <si>
    <t>2025-01-07</t>
  </si>
  <si>
    <t>3-4월, 중요한 변곡점을 맞이하는 순간</t>
  </si>
  <si>
    <t>79622</t>
  </si>
  <si>
    <t>자꾸만 낮아지는 기울기</t>
  </si>
  <si>
    <t>79621</t>
  </si>
  <si>
    <t>예상보다 더 아쉬운</t>
  </si>
  <si>
    <t>79620</t>
  </si>
  <si>
    <t>코코아 원가 부담 예상보다 장기화</t>
  </si>
  <si>
    <t>79619</t>
  </si>
  <si>
    <t>79618</t>
  </si>
  <si>
    <t>79617</t>
  </si>
  <si>
    <t>4Q24 Pre: YoY 증익 기조는 이어질 전망</t>
  </si>
  <si>
    <t>79616</t>
  </si>
  <si>
    <t>4Q24 Pre: 시장 기대 하회 전망</t>
  </si>
  <si>
    <t>79615</t>
  </si>
  <si>
    <t>4Q24 Pre: 어려운 대외 환경 속에서 선방</t>
  </si>
  <si>
    <t>79614</t>
  </si>
  <si>
    <t>특급 호재가 몰려오고 있다</t>
  </si>
  <si>
    <t>79613</t>
  </si>
  <si>
    <t>동부 항만 파업에 대비할 시점</t>
  </si>
  <si>
    <t>79612</t>
  </si>
  <si>
    <t>일부 비용 반영의 여지</t>
  </si>
  <si>
    <t>79611</t>
  </si>
  <si>
    <t>광고와 커머스 추정치 재차 상향</t>
  </si>
  <si>
    <t>79610</t>
  </si>
  <si>
    <t>1Q25까지도 벌써 좋다</t>
  </si>
  <si>
    <t>79609</t>
  </si>
  <si>
    <t>주주의 기다림에 주주환원으로 화답하다</t>
  </si>
  <si>
    <t>79608</t>
  </si>
  <si>
    <t>성장의 축은 전환되었지만, 확인할 것이 남았다</t>
  </si>
  <si>
    <t>79607</t>
  </si>
  <si>
    <t>비용 감축 포인트만으로는 부족, 개발력 입증 필요</t>
  </si>
  <si>
    <t>79606</t>
  </si>
  <si>
    <t>존재감 키우고 있는 사업들이 있다</t>
  </si>
  <si>
    <t>79605</t>
  </si>
  <si>
    <t xml:space="preserve">관심을 가져볼 이벤트가 있다 </t>
  </si>
  <si>
    <t>79604</t>
  </si>
  <si>
    <t>''24년이 ''15년이라면 ''25년은 ''16년이 될 수 있을까?</t>
  </si>
  <si>
    <t>79603</t>
  </si>
  <si>
    <t>미국 법인 일회성 비용 발생으로 영업이익 컨센서스 하회 전망</t>
  </si>
  <si>
    <t>79602</t>
  </si>
  <si>
    <t xml:space="preserve"> 4Q24부터 이익 규모   한번 더 레벨업</t>
  </si>
  <si>
    <t>79601</t>
  </si>
  <si>
    <t>4Q OP, 기존 추정치   대폭 하회 전망</t>
  </si>
  <si>
    <t>79600</t>
  </si>
  <si>
    <t>환차손 및 기타손실에 따른 어닝쇼크 전망</t>
  </si>
  <si>
    <t>79599</t>
  </si>
  <si>
    <t>4분기 증시 부진에도 실적은 양호</t>
  </si>
  <si>
    <t>79598</t>
  </si>
  <si>
    <t>트레이딩 부진에도 컨센서스 부합 예상</t>
  </si>
  <si>
    <t>79597</t>
  </si>
  <si>
    <t>4Q24 Preview: 주택부문 원가율 개선</t>
  </si>
  <si>
    <t>79596</t>
  </si>
  <si>
    <t>남들과는 다른 환율 민감도</t>
  </si>
  <si>
    <t>79595</t>
  </si>
  <si>
    <t>전일 주가 상승 관련 투자포인트 재점검</t>
  </si>
  <si>
    <t>79594</t>
  </si>
  <si>
    <t>79593</t>
  </si>
  <si>
    <t>새로운 시도가 필요한 이유</t>
  </si>
  <si>
    <t>79592</t>
  </si>
  <si>
    <t>배당 확대 예상되면서 밸류에이션 매력 부각</t>
  </si>
  <si>
    <t>79591</t>
  </si>
  <si>
    <t>낮아진 눈높이 높아진 우려</t>
  </si>
  <si>
    <t>79590</t>
  </si>
  <si>
    <t>펀더멘털 이상 無!</t>
  </si>
  <si>
    <t>79589</t>
  </si>
  <si>
    <t>규제환경 변화에도 지속될 견조한 이익체력</t>
  </si>
  <si>
    <t>79588</t>
  </si>
  <si>
    <t>지속되는 실적 불확실성</t>
  </si>
  <si>
    <t>79587</t>
  </si>
  <si>
    <t>플랫폼과 콘텐츠, 각각의 숙제</t>
  </si>
  <si>
    <t>79586</t>
  </si>
  <si>
    <t>2025년 수익성 개선을 기대하며</t>
  </si>
  <si>
    <t>79585</t>
  </si>
  <si>
    <t>성장과 배당을 동시에</t>
  </si>
  <si>
    <t>79584</t>
  </si>
  <si>
    <t>25년 상저하고 전망, 점진적인 회복세 기대</t>
  </si>
  <si>
    <t>79583</t>
  </si>
  <si>
    <t>1Q25 실적 저점 통과 예상</t>
  </si>
  <si>
    <t>79582</t>
  </si>
  <si>
    <t>고정형 라이다에서 차별화된 경쟁력 보유 기업</t>
  </si>
  <si>
    <t>79581</t>
  </si>
  <si>
    <t>투심 회복 더뎌</t>
  </si>
  <si>
    <t>79580</t>
  </si>
  <si>
    <t>2025-01-06</t>
  </si>
  <si>
    <t>4Q24 Pre: 컨센서스 하회</t>
  </si>
  <si>
    <t>79579</t>
  </si>
  <si>
    <t>살아나는 태양광</t>
  </si>
  <si>
    <t>79578</t>
  </si>
  <si>
    <t>4Q24 Preview 비수기 영향, 컨센 하회 전망</t>
  </si>
  <si>
    <t>79577</t>
  </si>
  <si>
    <t xml:space="preserve">4Q24 Preview: 컨센서스 부합 예상  </t>
  </si>
  <si>
    <t>79576</t>
  </si>
  <si>
    <t>아직은 시간이 더 필요</t>
  </si>
  <si>
    <t>79575</t>
  </si>
  <si>
    <t>바닥 형성 중</t>
  </si>
  <si>
    <t>79574</t>
  </si>
  <si>
    <t>Yes Top Pick, No Peak Out</t>
  </si>
  <si>
    <t>79573</t>
  </si>
  <si>
    <t>79572</t>
  </si>
  <si>
    <t>주가 선반영을 고려할 때</t>
  </si>
  <si>
    <t>79571</t>
  </si>
  <si>
    <t>잠복 근무</t>
  </si>
  <si>
    <t>79570</t>
  </si>
  <si>
    <t>체류시간 확대 전략이 무조건 필요</t>
  </si>
  <si>
    <t>79569</t>
  </si>
  <si>
    <t>클라우드 솔루션 관련 투자로 수익성 부진</t>
  </si>
  <si>
    <t>79568</t>
  </si>
  <si>
    <t>단기 실적 저점을 확인하는 구간</t>
  </si>
  <si>
    <t>79567</t>
  </si>
  <si>
    <t>4Q24 Preview : 우선은 실적 턴어라운드 및 전망치 상향 가능성에 주목</t>
  </si>
  <si>
    <t>79566</t>
  </si>
  <si>
    <t>당신이 망설이는 사이에</t>
  </si>
  <si>
    <t>79565</t>
  </si>
  <si>
    <t>장기적 시장 점유율 확대를 위한 투자 집행</t>
  </si>
  <si>
    <t>79564</t>
  </si>
  <si>
    <t>2025년 미국 시장 성장이 핵심이다</t>
  </si>
  <si>
    <t>79563</t>
  </si>
  <si>
    <t>2025년 성장 동력: 글로벌 수주와 신제품</t>
  </si>
  <si>
    <t>79562</t>
  </si>
  <si>
    <t>화장품 섹터의 턴어라운드는 아모레로부터</t>
  </si>
  <si>
    <t>79561</t>
  </si>
  <si>
    <t>중국 내수 살리기 수혜 기대</t>
  </si>
  <si>
    <t>79560</t>
  </si>
  <si>
    <t>높은 트래픽과 잘 갖춘 BM</t>
  </si>
  <si>
    <t>79559</t>
  </si>
  <si>
    <t>주식소각 기대 및 이사 주주 충실의무 수혜</t>
  </si>
  <si>
    <t>79558</t>
  </si>
  <si>
    <t>79557</t>
  </si>
  <si>
    <t>79556</t>
  </si>
  <si>
    <t>79555</t>
  </si>
  <si>
    <t>불확실성을 건너는 중</t>
  </si>
  <si>
    <t>79554</t>
  </si>
  <si>
    <t>푸드 부문 기저효과</t>
  </si>
  <si>
    <t>79553</t>
  </si>
  <si>
    <t>79552</t>
  </si>
  <si>
    <t>밸류에이션 정상화를 위해서는</t>
  </si>
  <si>
    <t>79551</t>
  </si>
  <si>
    <t>증명할 경기 방어력</t>
  </si>
  <si>
    <t>79550</t>
  </si>
  <si>
    <t>견고해 질 저점</t>
  </si>
  <si>
    <t>79549</t>
  </si>
  <si>
    <t>적극적인 중국 전략 펼치기 위한 초석</t>
  </si>
  <si>
    <t>79548</t>
  </si>
  <si>
    <t>자동차향 매출 비중이 증가하는 모습이 긍정적</t>
  </si>
  <si>
    <t>79547</t>
  </si>
  <si>
    <t>2025-01-03</t>
  </si>
  <si>
    <t>2025년 하반기가 더 기대되는 이유는?</t>
  </si>
  <si>
    <t>79546</t>
  </si>
  <si>
    <t>79545</t>
  </si>
  <si>
    <t>추운 겨울</t>
  </si>
  <si>
    <t>79544</t>
  </si>
  <si>
    <t>해외 비용 털고 가자</t>
  </si>
  <si>
    <t>79543</t>
  </si>
  <si>
    <t>2025년 첫 날부터 기분 좋은 소식으로 출발</t>
  </si>
  <si>
    <t>79542</t>
  </si>
  <si>
    <t>1월 전략 - 이젠 더 이상 이익 감소 업체가 아니다</t>
  </si>
  <si>
    <t>79541</t>
  </si>
  <si>
    <t>1월 전략 - 올해는 제가 주도주입니다</t>
  </si>
  <si>
    <t>79540</t>
  </si>
  <si>
    <t>1월 전략 - 연초 주가 흐름은 양호할 전망</t>
  </si>
  <si>
    <t>79539</t>
  </si>
  <si>
    <t>4Q ASP 감소세로 컨센 하회 전망</t>
  </si>
  <si>
    <t>79538</t>
  </si>
  <si>
    <t>원가율 상승으로 매출 증가 불구 이익 감소 전망</t>
  </si>
  <si>
    <t>79537</t>
  </si>
  <si>
    <t>새해 선물 Big Surprise !</t>
  </si>
  <si>
    <t>79536</t>
  </si>
  <si>
    <t>Valuation Gap 축소 기대</t>
  </si>
  <si>
    <t>79535</t>
  </si>
  <si>
    <t>2025년 실적이 증명해 줄 것</t>
  </si>
  <si>
    <t>79534</t>
  </si>
  <si>
    <t>4Q24 아쉬운 흑자, 2025년에 거는 기대</t>
  </si>
  <si>
    <t>79533</t>
  </si>
  <si>
    <t>상저하고의 전망 아래 회복되는 RE사업</t>
  </si>
  <si>
    <t>79532</t>
  </si>
  <si>
    <t>국내 보안시장 압도적 1등을 넘어 중동, 북미 성과 가시화</t>
  </si>
  <si>
    <t>79531</t>
  </si>
  <si>
    <t>양수겸장의 반도체 증착장비 공급사</t>
  </si>
  <si>
    <t>79530</t>
  </si>
  <si>
    <t>업황 개선 신호를 기다림</t>
  </si>
  <si>
    <t>79529</t>
  </si>
  <si>
    <t>2025-01-02</t>
  </si>
  <si>
    <t>혹독했던 24년 겨울</t>
  </si>
  <si>
    <t>79528</t>
  </si>
  <si>
    <t>뱀값에 거래중인 왕년의 용</t>
  </si>
  <si>
    <t>79527</t>
  </si>
  <si>
    <t>저가 매수 기회</t>
  </si>
  <si>
    <t>79526</t>
  </si>
  <si>
    <t>종목코드/종목명</t>
  </si>
  <si>
    <t>종목명(확인용)</t>
  </si>
  <si>
    <t>다운로드 경로</t>
  </si>
  <si>
    <t>마지막 업데이트</t>
  </si>
  <si>
    <t>리포트 수</t>
  </si>
  <si>
    <t>▼ A열에 종목코드(예: 005930) 또는 종목명(예: 삼성전자) 입력 후 저장하세요</t>
  </si>
  <si>
    <t>D:\OneDrive\1. NA\cluade\research\셀트리온</t>
  </si>
  <si>
    <t>2026-06-11 14:59</t>
  </si>
  <si>
    <t>D:\OneDrive\1. NA\cluade\research\리노공업</t>
  </si>
  <si>
    <t>D:\OneDrive\1. NA\cluade\research\삼성E&amp;A</t>
  </si>
  <si>
    <t>업종명</t>
  </si>
  <si>
    <t>대표종목1</t>
  </si>
  <si>
    <t>대표종목2</t>
  </si>
  <si>
    <t>대표종목3</t>
  </si>
  <si>
    <t>한국추종ETF</t>
  </si>
  <si>
    <t>대응미국섹터</t>
  </si>
  <si>
    <t>음식료·담배</t>
  </si>
  <si>
    <t>-</t>
  </si>
  <si>
    <t>XLP</t>
  </si>
  <si>
    <t>TIGER 음식료&amp;생활용품(157450)</t>
  </si>
  <si>
    <t>섬유·의류</t>
  </si>
  <si>
    <t>LF</t>
  </si>
  <si>
    <t>XLY</t>
  </si>
  <si>
    <t>종이·목재</t>
  </si>
  <si>
    <t>신대양제지</t>
  </si>
  <si>
    <t>아세아제지</t>
  </si>
  <si>
    <t>XLB</t>
  </si>
  <si>
    <t>화학</t>
  </si>
  <si>
    <t>KODEX 에너지화학(117460)</t>
  </si>
  <si>
    <t>제약</t>
  </si>
  <si>
    <t>KODEX 바이오(244580)</t>
  </si>
  <si>
    <t>XLV</t>
  </si>
  <si>
    <t>비금속</t>
  </si>
  <si>
    <t>한일시멘트</t>
  </si>
  <si>
    <t>한일홀딩스</t>
  </si>
  <si>
    <t>금속</t>
  </si>
  <si>
    <t>KODEX 철강(139230)</t>
  </si>
  <si>
    <t>기계·장비</t>
  </si>
  <si>
    <t>XLI</t>
  </si>
  <si>
    <t>전기전자</t>
  </si>
  <si>
    <t>KODEX 반도체(091160)</t>
  </si>
  <si>
    <t>XLK</t>
  </si>
  <si>
    <t>의료·정밀</t>
  </si>
  <si>
    <t>에스디바이오센서</t>
  </si>
  <si>
    <t>TIGER 헬스케어(143850)</t>
  </si>
  <si>
    <t>운송장비</t>
  </si>
  <si>
    <t>KODEX 자동차(091180)</t>
  </si>
  <si>
    <t>유통</t>
  </si>
  <si>
    <t>전기·가스</t>
  </si>
  <si>
    <t>XLU</t>
  </si>
  <si>
    <t>인천도시가스</t>
  </si>
  <si>
    <t>건설</t>
  </si>
  <si>
    <t>KODEX 건설(104520)</t>
  </si>
  <si>
    <t>운송·창고</t>
  </si>
  <si>
    <t>통신</t>
  </si>
  <si>
    <t>XLC</t>
  </si>
  <si>
    <t>금융</t>
  </si>
  <si>
    <t>KODEX 은행(091170)</t>
  </si>
  <si>
    <t>XLF</t>
  </si>
  <si>
    <t>증권</t>
  </si>
  <si>
    <t>TIGER 증권(266410)</t>
  </si>
  <si>
    <t>보험</t>
  </si>
  <si>
    <t>일반서비스</t>
  </si>
  <si>
    <t>제조</t>
  </si>
  <si>
    <t>부동산</t>
  </si>
  <si>
    <t>SK리츠</t>
  </si>
  <si>
    <t>롯데리츠</t>
  </si>
  <si>
    <t>TIGER 부동산인프라(329200)</t>
  </si>
  <si>
    <t>XLRE</t>
  </si>
  <si>
    <t>IT서비스</t>
  </si>
  <si>
    <t>오락·문화</t>
  </si>
  <si>
    <t>KODEX 미디어&amp;엔터(091230)</t>
  </si>
  <si>
    <t>날짜</t>
  </si>
  <si>
    <t>기술(US)</t>
  </si>
  <si>
    <t>금융(US)</t>
  </si>
  <si>
    <t>헬스케어(US)</t>
  </si>
  <si>
    <t>에너지(US)</t>
  </si>
  <si>
    <t>소재(US)</t>
  </si>
  <si>
    <t>산업재(US)</t>
  </si>
  <si>
    <t>경기소비재(US)</t>
  </si>
  <si>
    <t>필수소비재(US)</t>
  </si>
  <si>
    <t>유틸리티(US)</t>
  </si>
  <si>
    <t>통신서비스(US)</t>
  </si>
  <si>
    <t>부동산(US)</t>
  </si>
  <si>
    <t>한국ETF</t>
  </si>
  <si>
    <t>대응미국</t>
  </si>
  <si>
    <t>순금 매입(원/g)</t>
  </si>
  <si>
    <t>순금 매도(원/g)</t>
  </si>
  <si>
    <t>18K 매입(원/g)</t>
  </si>
  <si>
    <t>18K 매도(원/g)</t>
  </si>
  <si>
    <t>14K 매입(원/g)</t>
  </si>
  <si>
    <t>14K 매도(원/g)</t>
  </si>
  <si>
    <t>백금 매입(원/g)</t>
  </si>
  <si>
    <t>백금 매도(원/g)</t>
  </si>
  <si>
    <t>은 매입(원/g)</t>
  </si>
  <si>
    <t>은 매도(원/g)</t>
  </si>
  <si>
    <t>매입-매도 스프레드</t>
  </si>
  <si>
    <t>2026-06-03</t>
  </si>
  <si>
    <t>2026-05-25</t>
  </si>
  <si>
    <t>2026-05-05</t>
  </si>
  <si>
    <t>2026-05-02</t>
  </si>
  <si>
    <t>2026-05-01</t>
  </si>
  <si>
    <t>2026-04-25</t>
  </si>
  <si>
    <t>2026-04-18</t>
  </si>
  <si>
    <t>2026-04-11</t>
  </si>
  <si>
    <t>2026-04-04</t>
  </si>
  <si>
    <t>2026-03-28</t>
  </si>
  <si>
    <t>2026-03-21</t>
  </si>
  <si>
    <t>2026-03-14</t>
  </si>
  <si>
    <t>2026-03-07</t>
  </si>
  <si>
    <t>2026-03-02</t>
  </si>
  <si>
    <t>2026-02-28</t>
  </si>
  <si>
    <t>2026-02-21</t>
  </si>
  <si>
    <t>2026-02-18</t>
  </si>
  <si>
    <t>2026-02-17</t>
  </si>
  <si>
    <t>2026-02-16</t>
  </si>
  <si>
    <t>2026-02-14</t>
  </si>
  <si>
    <t>2026-02-07</t>
  </si>
  <si>
    <t>2026-01-31</t>
  </si>
  <si>
    <t>2026-01-24</t>
  </si>
  <si>
    <t>2026-01-17</t>
  </si>
  <si>
    <t>2026-01-10</t>
  </si>
  <si>
    <t>2026-01-03</t>
  </si>
  <si>
    <t>2026-01-01</t>
  </si>
  <si>
    <t>2025-12-31</t>
  </si>
  <si>
    <t>2025-12-27</t>
  </si>
  <si>
    <t>2025-12-25</t>
  </si>
  <si>
    <t>2025-12-20</t>
  </si>
  <si>
    <t>2025-12-13</t>
  </si>
  <si>
    <t>2025-12-06</t>
  </si>
  <si>
    <t>2025-11-29</t>
  </si>
  <si>
    <t>2025-11-22</t>
  </si>
  <si>
    <t>2025-11-15</t>
  </si>
  <si>
    <t>2025-11-08</t>
  </si>
  <si>
    <t>2025-11-01</t>
  </si>
  <si>
    <t>2025-10-25</t>
  </si>
  <si>
    <t>2025-10-18</t>
  </si>
  <si>
    <t>2025-10-11</t>
  </si>
  <si>
    <t>2025-10-09</t>
  </si>
  <si>
    <t>2025-10-08</t>
  </si>
  <si>
    <t>2025-10-07</t>
  </si>
  <si>
    <t>2025-10-06</t>
  </si>
  <si>
    <t>2025-10-04</t>
  </si>
  <si>
    <t>2025-10-03</t>
  </si>
  <si>
    <t>2025-09-27</t>
  </si>
  <si>
    <t>2025-09-20</t>
  </si>
  <si>
    <t>2025-09-13</t>
  </si>
  <si>
    <t>2025-09-06</t>
  </si>
  <si>
    <t>2025-08-30</t>
  </si>
  <si>
    <t>2025-08-23</t>
  </si>
  <si>
    <t>2025-08-16</t>
  </si>
  <si>
    <t>2025-08-15</t>
  </si>
  <si>
    <t>2025-08-09</t>
  </si>
  <si>
    <t>2025-08-02</t>
  </si>
  <si>
    <t>2025-07-26</t>
  </si>
  <si>
    <t>2025-07-19</t>
  </si>
  <si>
    <t>2025-07-12</t>
  </si>
  <si>
    <t>2025-07-05</t>
  </si>
  <si>
    <t>2025-06-29</t>
  </si>
  <si>
    <t>2025-06-28</t>
  </si>
  <si>
    <t>2025-06-21</t>
  </si>
  <si>
    <t>2025-06-14</t>
  </si>
  <si>
    <t>2025-06-07</t>
  </si>
  <si>
    <t>2025-06-06</t>
  </si>
  <si>
    <t>2025-06-03</t>
  </si>
  <si>
    <t>2025-05-31</t>
  </si>
  <si>
    <t>2025-05-24</t>
  </si>
  <si>
    <t>2025-05-17</t>
  </si>
  <si>
    <t>2025-05-10</t>
  </si>
  <si>
    <t>2025-05-06</t>
  </si>
  <si>
    <t>2025-05-05</t>
  </si>
  <si>
    <t>2025-05-03</t>
  </si>
  <si>
    <t>2025-05-01</t>
  </si>
  <si>
    <t>2025-04-26</t>
  </si>
  <si>
    <t>2025-04-19</t>
  </si>
  <si>
    <t>2025-04-12</t>
  </si>
  <si>
    <t>2025-04-05</t>
  </si>
  <si>
    <t>2025-03-29</t>
  </si>
  <si>
    <t>2025-03-22</t>
  </si>
  <si>
    <t>2025-03-15</t>
  </si>
  <si>
    <t>2025-03-08</t>
  </si>
  <si>
    <t>2025-03-03</t>
  </si>
  <si>
    <t>2025-03-01</t>
  </si>
  <si>
    <t>2025-02-22</t>
  </si>
  <si>
    <t>2025-02-15</t>
  </si>
  <si>
    <t>2025-02-08</t>
  </si>
  <si>
    <t>2025-02-01</t>
  </si>
  <si>
    <t>2025-01-30</t>
  </si>
  <si>
    <t>2025-01-29</t>
  </si>
  <si>
    <t>2025-01-28</t>
  </si>
  <si>
    <t>2025-01-27</t>
  </si>
  <si>
    <t>2025-01-25</t>
  </si>
  <si>
    <t>2025-01-18</t>
  </si>
  <si>
    <t>2025-01-11</t>
  </si>
  <si>
    <t>2025-01-04</t>
  </si>
  <si>
    <t>2025-01-01</t>
  </si>
  <si>
    <t>2024-12-31</t>
  </si>
  <si>
    <t>2024-12-30</t>
  </si>
  <si>
    <t>2024-12-28</t>
  </si>
  <si>
    <t>2024-12-27</t>
  </si>
  <si>
    <t>2024-12-26</t>
  </si>
  <si>
    <t>2024-12-25</t>
  </si>
  <si>
    <t>2024-12-24</t>
  </si>
  <si>
    <t>2024-12-23</t>
  </si>
  <si>
    <t>2024-12-21</t>
  </si>
  <si>
    <t>2024-12-20</t>
  </si>
  <si>
    <t>2024-12-19</t>
  </si>
  <si>
    <t>2024-12-18</t>
  </si>
  <si>
    <t>2024-12-17</t>
  </si>
  <si>
    <t>2024-12-16</t>
  </si>
  <si>
    <t>2024-12-14</t>
  </si>
  <si>
    <t>2024-12-13</t>
  </si>
  <si>
    <t>2024-12-12</t>
  </si>
  <si>
    <t>2024-12-11</t>
  </si>
  <si>
    <t>2024-12-10</t>
  </si>
  <si>
    <t>2024-12-09</t>
  </si>
  <si>
    <t>2024-12-07</t>
  </si>
  <si>
    <t>2024-12-06</t>
  </si>
  <si>
    <t>2024-12-05</t>
  </si>
  <si>
    <t>2024-12-04</t>
  </si>
  <si>
    <t>2024-12-03</t>
  </si>
  <si>
    <t>2024-12-02</t>
  </si>
  <si>
    <t>2024-11-30</t>
  </si>
  <si>
    <t>2024-11-29</t>
  </si>
  <si>
    <t>2024-11-28</t>
  </si>
  <si>
    <t>2024-11-27</t>
  </si>
  <si>
    <t>2024-11-26</t>
  </si>
  <si>
    <t>2024-11-25</t>
  </si>
  <si>
    <t>2024-11-23</t>
  </si>
  <si>
    <t>2024-11-22</t>
  </si>
  <si>
    <t>2024-11-21</t>
  </si>
  <si>
    <t>2024-11-20</t>
  </si>
  <si>
    <t>2024-11-19</t>
  </si>
  <si>
    <t>2024-11-18</t>
  </si>
  <si>
    <t>2024-11-16</t>
  </si>
  <si>
    <t>2024-11-15</t>
  </si>
  <si>
    <t>2024-11-14</t>
  </si>
  <si>
    <t>2024-11-13</t>
  </si>
  <si>
    <t>2024-11-12</t>
  </si>
  <si>
    <t>2024-11-11</t>
  </si>
  <si>
    <t>2024-11-09</t>
  </si>
  <si>
    <t>2024-11-08</t>
  </si>
  <si>
    <t>2024-11-07</t>
  </si>
  <si>
    <t>2024-11-06</t>
  </si>
  <si>
    <t>2024-11-05</t>
  </si>
  <si>
    <t>2024-11-04</t>
  </si>
  <si>
    <t>2024-11-02</t>
  </si>
  <si>
    <t>2024-11-01</t>
  </si>
  <si>
    <t>2024-10-31</t>
  </si>
  <si>
    <t>2024-10-30</t>
  </si>
  <si>
    <t>2024-10-29</t>
  </si>
  <si>
    <t>2024-10-28</t>
  </si>
  <si>
    <t>2024-10-26</t>
  </si>
  <si>
    <t>2024-10-25</t>
  </si>
  <si>
    <t>2024-10-24</t>
  </si>
  <si>
    <t>2024-10-23</t>
  </si>
  <si>
    <t>2024-10-22</t>
  </si>
  <si>
    <t>2024-10-21</t>
  </si>
  <si>
    <t>2024-10-19</t>
  </si>
  <si>
    <t>2024-10-18</t>
  </si>
  <si>
    <t>2024-10-17</t>
  </si>
  <si>
    <t>2024-10-16</t>
  </si>
  <si>
    <t>2024-10-15</t>
  </si>
  <si>
    <t>2024-10-14</t>
  </si>
  <si>
    <t>2024-10-12</t>
  </si>
  <si>
    <t>2024-10-11</t>
  </si>
  <si>
    <t>2024-10-10</t>
  </si>
  <si>
    <t>2024-10-09</t>
  </si>
  <si>
    <t>2024-10-08</t>
  </si>
  <si>
    <t>2024-10-07</t>
  </si>
  <si>
    <t>2024-10-05</t>
  </si>
  <si>
    <t>2024-10-04</t>
  </si>
  <si>
    <t>2024-10-03</t>
  </si>
  <si>
    <t>2024-10-02</t>
  </si>
  <si>
    <t>2024-10-01</t>
  </si>
  <si>
    <t>2024-09-30</t>
  </si>
  <si>
    <t>2024-09-28</t>
  </si>
  <si>
    <t>2024-09-27</t>
  </si>
  <si>
    <t>2024-09-26</t>
  </si>
  <si>
    <t>2024-09-25</t>
  </si>
  <si>
    <t>2024-09-24</t>
  </si>
  <si>
    <t>2024-09-23</t>
  </si>
  <si>
    <t>2024-09-21</t>
  </si>
  <si>
    <t>2024-09-20</t>
  </si>
  <si>
    <t>2024-09-19</t>
  </si>
  <si>
    <t>2024-09-18</t>
  </si>
  <si>
    <t>2024-09-17</t>
  </si>
  <si>
    <t>2024-09-16</t>
  </si>
  <si>
    <t>2024-09-14</t>
  </si>
  <si>
    <t>2024-09-13</t>
  </si>
  <si>
    <t>2024-09-12</t>
  </si>
  <si>
    <t>2024-09-11</t>
  </si>
  <si>
    <t>2024-09-10</t>
  </si>
  <si>
    <t>2024-09-09</t>
  </si>
  <si>
    <t>2024-09-07</t>
  </si>
  <si>
    <t>2024-09-06</t>
  </si>
  <si>
    <t>2024-09-05</t>
  </si>
  <si>
    <t>2024-09-04</t>
  </si>
  <si>
    <t>2024-09-03</t>
  </si>
  <si>
    <t>2024-09-02</t>
  </si>
  <si>
    <t>2024-08-31</t>
  </si>
  <si>
    <t>2024-08-30</t>
  </si>
  <si>
    <t>2024-08-29</t>
  </si>
  <si>
    <t>2024-08-28</t>
  </si>
  <si>
    <t>2024-08-27</t>
  </si>
  <si>
    <t>2024-08-26</t>
  </si>
  <si>
    <t>2024-08-24</t>
  </si>
  <si>
    <t>2024-08-23</t>
  </si>
  <si>
    <t>2024-08-22</t>
  </si>
  <si>
    <t>2024-08-21</t>
  </si>
  <si>
    <t>2024-08-20</t>
  </si>
  <si>
    <t>2024-08-19</t>
  </si>
  <si>
    <t>2024-08-17</t>
  </si>
  <si>
    <t>2024-08-16</t>
  </si>
  <si>
    <t>2024-08-15</t>
  </si>
  <si>
    <t>2024-08-14</t>
  </si>
  <si>
    <t>2024-08-13</t>
  </si>
  <si>
    <t>2024-08-12</t>
  </si>
  <si>
    <t>2024-08-10</t>
  </si>
  <si>
    <t>2024-08-09</t>
  </si>
  <si>
    <t>2024-08-08</t>
  </si>
  <si>
    <t>2024-08-07</t>
  </si>
  <si>
    <t>2024-08-06</t>
  </si>
  <si>
    <t>2024-08-05</t>
  </si>
  <si>
    <t>2024-08-03</t>
  </si>
  <si>
    <t>2024-08-02</t>
  </si>
  <si>
    <t>2024-08-01</t>
  </si>
  <si>
    <t>2024-07-31</t>
  </si>
  <si>
    <t>2024-07-30</t>
  </si>
  <si>
    <t>2024-07-29</t>
  </si>
  <si>
    <t>2024-07-27</t>
  </si>
  <si>
    <t>2024-07-26</t>
  </si>
  <si>
    <t>2024-07-25</t>
  </si>
  <si>
    <t>2024-07-24</t>
  </si>
  <si>
    <t>2024-07-23</t>
  </si>
  <si>
    <t>2024-07-22</t>
  </si>
  <si>
    <t>2024-07-20</t>
  </si>
  <si>
    <t>2024-07-19</t>
  </si>
  <si>
    <t>2024-07-18</t>
  </si>
  <si>
    <t>2024-07-17</t>
  </si>
  <si>
    <t>2024-07-16</t>
  </si>
  <si>
    <t>2024-07-15</t>
  </si>
  <si>
    <t>2024-07-13</t>
  </si>
  <si>
    <t>2024-07-12</t>
  </si>
  <si>
    <t>2024-07-11</t>
  </si>
  <si>
    <t>2024-07-10</t>
  </si>
  <si>
    <t>2024-07-09</t>
  </si>
  <si>
    <t>2024-07-08</t>
  </si>
  <si>
    <t>2024-07-06</t>
  </si>
  <si>
    <t>2024-07-05</t>
  </si>
  <si>
    <t>2024-07-04</t>
  </si>
  <si>
    <t>2024-07-03</t>
  </si>
  <si>
    <t>2024-07-02</t>
  </si>
  <si>
    <t>2024-07-01</t>
  </si>
  <si>
    <t>2024-06-29</t>
  </si>
  <si>
    <t>2024-06-28</t>
  </si>
  <si>
    <t>2024-06-27</t>
  </si>
  <si>
    <t>2024-06-26</t>
  </si>
  <si>
    <t>2024-06-25</t>
  </si>
  <si>
    <t>2024-06-24</t>
  </si>
  <si>
    <t>2024-06-22</t>
  </si>
  <si>
    <t>2024-06-21</t>
  </si>
  <si>
    <t>2024-06-20</t>
  </si>
  <si>
    <t>2024-06-19</t>
  </si>
  <si>
    <t>2024-06-18</t>
  </si>
  <si>
    <t>2024-06-17</t>
  </si>
  <si>
    <t>2024-06-15</t>
  </si>
  <si>
    <t>2024-06-14</t>
  </si>
  <si>
    <t>2024-06-13</t>
  </si>
  <si>
    <t>2024-06-12</t>
  </si>
  <si>
    <t>2024-06-11</t>
  </si>
  <si>
    <t>2024-06-10</t>
  </si>
  <si>
    <t>2024-06-08</t>
  </si>
  <si>
    <t>2024-06-07</t>
  </si>
  <si>
    <t>2024-06-06</t>
  </si>
  <si>
    <t>2024-06-05</t>
  </si>
  <si>
    <t>2024-06-04</t>
  </si>
  <si>
    <t>2024-06-03</t>
  </si>
  <si>
    <t>2024-06-01</t>
  </si>
  <si>
    <t>2024-05-31</t>
  </si>
  <si>
    <t>2024-05-30</t>
  </si>
  <si>
    <t>2024-05-29</t>
  </si>
  <si>
    <t>2024-05-28</t>
  </si>
  <si>
    <t>2024-05-27</t>
  </si>
  <si>
    <t>2024-05-25</t>
  </si>
  <si>
    <t>2024-05-24</t>
  </si>
  <si>
    <t>2024-05-23</t>
  </si>
  <si>
    <t>2024-05-22</t>
  </si>
  <si>
    <t>2024-05-21</t>
  </si>
  <si>
    <t>2024-05-20</t>
  </si>
  <si>
    <t>2024-05-18</t>
  </si>
  <si>
    <t>2024-05-17</t>
  </si>
  <si>
    <t>2024-05-16</t>
  </si>
  <si>
    <t>2024-05-15</t>
  </si>
  <si>
    <t>2024-05-14</t>
  </si>
  <si>
    <t>2024-05-13</t>
  </si>
  <si>
    <t>2024-05-11</t>
  </si>
  <si>
    <t>2024-05-10</t>
  </si>
  <si>
    <t>2024-05-09</t>
  </si>
  <si>
    <t>2024-05-08</t>
  </si>
  <si>
    <t>2024-05-07</t>
  </si>
  <si>
    <t>2024-05-06</t>
  </si>
  <si>
    <t>2024-05-04</t>
  </si>
  <si>
    <t>2024-05-03</t>
  </si>
  <si>
    <t>2024-05-02</t>
  </si>
  <si>
    <t>2024-05-01</t>
  </si>
  <si>
    <t>2024-04-30</t>
  </si>
  <si>
    <t>2024-04-29</t>
  </si>
  <si>
    <t>2024-04-27</t>
  </si>
  <si>
    <t>2024-04-26</t>
  </si>
  <si>
    <t>2024-04-25</t>
  </si>
  <si>
    <t>2024-04-24</t>
  </si>
  <si>
    <t>2024-04-23</t>
  </si>
  <si>
    <t>2024-04-22</t>
  </si>
  <si>
    <t>2024-04-20</t>
  </si>
  <si>
    <t>2024-04-19</t>
  </si>
  <si>
    <t>2024-04-18</t>
  </si>
  <si>
    <t>2024-04-17</t>
  </si>
  <si>
    <t>2024-04-16</t>
  </si>
  <si>
    <t>2024-04-15</t>
  </si>
  <si>
    <t>2024-04-13</t>
  </si>
  <si>
    <t>2024-04-12</t>
  </si>
  <si>
    <t>2024-04-11</t>
  </si>
  <si>
    <t>2024-04-10</t>
  </si>
  <si>
    <t>2024-04-09</t>
  </si>
  <si>
    <t>2024-04-06</t>
  </si>
  <si>
    <t>2024-04-05</t>
  </si>
  <si>
    <t>2024-04-04</t>
  </si>
  <si>
    <t>2024-04-03</t>
  </si>
  <si>
    <t>2024-04-02</t>
  </si>
  <si>
    <t>2024-04-01</t>
  </si>
  <si>
    <t>2024-03-30</t>
  </si>
  <si>
    <t>2024-03-29</t>
  </si>
  <si>
    <t>2024-03-28</t>
  </si>
  <si>
    <t>2024-03-27</t>
  </si>
  <si>
    <t>2024-03-26</t>
  </si>
  <si>
    <t>2024-03-25</t>
  </si>
  <si>
    <t>2024-03-23</t>
  </si>
  <si>
    <t>2024-03-22</t>
  </si>
  <si>
    <t>2024-03-21</t>
  </si>
  <si>
    <t>2024-03-20</t>
  </si>
  <si>
    <t>2024-03-19</t>
  </si>
  <si>
    <t>2024-03-18</t>
  </si>
  <si>
    <t>2024-03-16</t>
  </si>
  <si>
    <t>2024-03-15</t>
  </si>
  <si>
    <t>2024-03-14</t>
  </si>
  <si>
    <t>2024-03-13</t>
  </si>
  <si>
    <t>2024-03-12</t>
  </si>
  <si>
    <t>2024-03-11</t>
  </si>
  <si>
    <t>2024-03-09</t>
  </si>
  <si>
    <t>2024-03-08</t>
  </si>
  <si>
    <t>2024-03-07</t>
  </si>
  <si>
    <t>2024-03-06</t>
  </si>
  <si>
    <t>2024-03-05</t>
  </si>
  <si>
    <t>2024-03-04</t>
  </si>
  <si>
    <t>2024-03-02</t>
  </si>
  <si>
    <t>2024-03-01</t>
  </si>
  <si>
    <t>2024-02-29</t>
  </si>
  <si>
    <t>2024-02-28</t>
  </si>
  <si>
    <t>2024-02-27</t>
  </si>
  <si>
    <t>2024-02-26</t>
  </si>
  <si>
    <t>2024-02-24</t>
  </si>
  <si>
    <t>2024-02-23</t>
  </si>
  <si>
    <t>2024-02-22</t>
  </si>
  <si>
    <t>2024-02-21</t>
  </si>
  <si>
    <t>2024-02-20</t>
  </si>
  <si>
    <t>2024-02-19</t>
  </si>
  <si>
    <t>2024-02-17</t>
  </si>
  <si>
    <t>2024-02-16</t>
  </si>
  <si>
    <t>2024-02-15</t>
  </si>
  <si>
    <t>2024-02-14</t>
  </si>
  <si>
    <t>2024-02-13</t>
  </si>
  <si>
    <t>2024-02-12</t>
  </si>
  <si>
    <t>2024-02-10</t>
  </si>
  <si>
    <t>2024-02-09</t>
  </si>
  <si>
    <t>2024-02-08</t>
  </si>
  <si>
    <t>2024-02-07</t>
  </si>
  <si>
    <t>2024-02-06</t>
  </si>
  <si>
    <t>2024-02-05</t>
  </si>
  <si>
    <t>2024-02-03</t>
  </si>
  <si>
    <t>2024-02-02</t>
  </si>
  <si>
    <t>2024-02-01</t>
  </si>
  <si>
    <t>2024-01-31</t>
  </si>
  <si>
    <t>2024-01-30</t>
  </si>
  <si>
    <t>2024-01-29</t>
  </si>
  <si>
    <t>2024-01-27</t>
  </si>
  <si>
    <t>2024-01-26</t>
  </si>
  <si>
    <t>2024-01-25</t>
  </si>
  <si>
    <t>2024-01-24</t>
  </si>
  <si>
    <t>2024-01-23</t>
  </si>
  <si>
    <t>2024-01-22</t>
  </si>
  <si>
    <t>2024-01-20</t>
  </si>
  <si>
    <t>2024-01-19</t>
  </si>
  <si>
    <t>2024-01-18</t>
  </si>
  <si>
    <t>2024-01-17</t>
  </si>
  <si>
    <t>2024-01-16</t>
  </si>
  <si>
    <t>2024-01-15</t>
  </si>
  <si>
    <t>2024-01-13</t>
  </si>
  <si>
    <t>2024-01-12</t>
  </si>
  <si>
    <t>2024-01-11</t>
  </si>
  <si>
    <t>2024-01-10</t>
  </si>
  <si>
    <t>2024-01-09</t>
  </si>
  <si>
    <t>2024-01-08</t>
  </si>
  <si>
    <t>2024-01-06</t>
  </si>
  <si>
    <t>2024-01-05</t>
  </si>
  <si>
    <t>2024-01-04</t>
  </si>
  <si>
    <t>2024-01-03</t>
  </si>
  <si>
    <t>2024-01-02</t>
  </si>
  <si>
    <t>2023-12-30</t>
  </si>
  <si>
    <t>2023-12-29</t>
  </si>
  <si>
    <t>2023-12-28</t>
  </si>
  <si>
    <t>2023-12-27</t>
  </si>
  <si>
    <t>2023-12-26</t>
  </si>
  <si>
    <t>2023-12-23</t>
  </si>
  <si>
    <t>2023-12-22</t>
  </si>
  <si>
    <t>2023-12-21</t>
  </si>
  <si>
    <t>2023-12-20</t>
  </si>
  <si>
    <t>2023-12-19</t>
  </si>
  <si>
    <t>2023-12-18</t>
  </si>
  <si>
    <t>2023-12-16</t>
  </si>
  <si>
    <t>2023-12-15</t>
  </si>
  <si>
    <t>2023-12-14</t>
  </si>
  <si>
    <t>2023-12-13</t>
  </si>
  <si>
    <t>2023-12-12</t>
  </si>
  <si>
    <t>2023-12-11</t>
  </si>
  <si>
    <t>2023-12-09</t>
  </si>
  <si>
    <t>2023-12-08</t>
  </si>
  <si>
    <t>2023-12-07</t>
  </si>
  <si>
    <t>2023-12-06</t>
  </si>
  <si>
    <t>2023-12-05</t>
  </si>
  <si>
    <t>2023-12-04</t>
  </si>
  <si>
    <t>2023-12-02</t>
  </si>
  <si>
    <t>2023-12-01</t>
  </si>
  <si>
    <t>2023-11-30</t>
  </si>
  <si>
    <t>2023-11-29</t>
  </si>
  <si>
    <t>2023-11-28</t>
  </si>
  <si>
    <t>2023-11-27</t>
  </si>
  <si>
    <t>2023-11-25</t>
  </si>
  <si>
    <t>2023-11-24</t>
  </si>
  <si>
    <t>2023-11-23</t>
  </si>
  <si>
    <t>2023-11-22</t>
  </si>
  <si>
    <t>2023-11-21</t>
  </si>
  <si>
    <t>2023-11-20</t>
  </si>
  <si>
    <t>2023-11-18</t>
  </si>
  <si>
    <t>2023-11-17</t>
  </si>
  <si>
    <t>2023-11-16</t>
  </si>
  <si>
    <t>2023-11-15</t>
  </si>
  <si>
    <t>2023-11-14</t>
  </si>
  <si>
    <t>2023-11-13</t>
  </si>
  <si>
    <t>2023-11-11</t>
  </si>
  <si>
    <t>2023-11-10</t>
  </si>
  <si>
    <t>2023-11-09</t>
  </si>
  <si>
    <t>2023-11-08</t>
  </si>
  <si>
    <t>2023-11-07</t>
  </si>
  <si>
    <t>2023-11-06</t>
  </si>
  <si>
    <t>2023-11-04</t>
  </si>
  <si>
    <t>2023-11-03</t>
  </si>
  <si>
    <t>2023-11-02</t>
  </si>
  <si>
    <t>2023-11-01</t>
  </si>
  <si>
    <t>2023-10-31</t>
  </si>
  <si>
    <t>2023-10-30</t>
  </si>
  <si>
    <t>2023-10-28</t>
  </si>
  <si>
    <t>2023-10-27</t>
  </si>
  <si>
    <t>2023-10-26</t>
  </si>
  <si>
    <t>2023-10-25</t>
  </si>
  <si>
    <t>2023-10-24</t>
  </si>
  <si>
    <t>2023-10-23</t>
  </si>
  <si>
    <t>2023-10-21</t>
  </si>
  <si>
    <t>2023-10-20</t>
  </si>
  <si>
    <t>2023-10-19</t>
  </si>
  <si>
    <t>2023-10-18</t>
  </si>
  <si>
    <t>2023-10-17</t>
  </si>
  <si>
    <t>2023-10-16</t>
  </si>
  <si>
    <t>2023-10-14</t>
  </si>
  <si>
    <t>2023-10-13</t>
  </si>
  <si>
    <t>2023-10-12</t>
  </si>
  <si>
    <t>2023-10-11</t>
  </si>
  <si>
    <t>2023-10-10</t>
  </si>
  <si>
    <t>2023-10-09</t>
  </si>
  <si>
    <t>2023-10-07</t>
  </si>
  <si>
    <t>2023-10-06</t>
  </si>
  <si>
    <t>2023-10-05</t>
  </si>
  <si>
    <t>2023-10-04</t>
  </si>
  <si>
    <t>2023-10-03</t>
  </si>
  <si>
    <t>2023-10-02</t>
  </si>
  <si>
    <t>2023-09-30</t>
  </si>
  <si>
    <t>2023-09-29</t>
  </si>
  <si>
    <t>2023-09-28</t>
  </si>
  <si>
    <t>2023-09-27</t>
  </si>
  <si>
    <t>2023-09-26</t>
  </si>
  <si>
    <t>2023-09-25</t>
  </si>
  <si>
    <t>2023-09-23</t>
  </si>
  <si>
    <t>2023-09-22</t>
  </si>
  <si>
    <t>2023-09-21</t>
  </si>
  <si>
    <t>2023-09-20</t>
  </si>
  <si>
    <t>2023-09-19</t>
  </si>
  <si>
    <t>2023-09-18</t>
  </si>
  <si>
    <t>2023-09-16</t>
  </si>
  <si>
    <t>2023-09-15</t>
  </si>
  <si>
    <t>2023-09-14</t>
  </si>
  <si>
    <t>2023-09-13</t>
  </si>
  <si>
    <t>2023-09-12</t>
  </si>
  <si>
    <t>2023-09-11</t>
  </si>
  <si>
    <t>2023-09-09</t>
  </si>
  <si>
    <t>2023-09-08</t>
  </si>
  <si>
    <t>2023-09-07</t>
  </si>
  <si>
    <t>2023-09-06</t>
  </si>
  <si>
    <t>2023-09-05</t>
  </si>
  <si>
    <t>2023-09-04</t>
  </si>
  <si>
    <t>2023-09-02</t>
  </si>
  <si>
    <t>2023-09-01</t>
  </si>
  <si>
    <t>2023-08-31</t>
  </si>
  <si>
    <t>2023-08-30</t>
  </si>
  <si>
    <t>2023-08-29</t>
  </si>
  <si>
    <t>2023-08-28</t>
  </si>
  <si>
    <t>2023-08-26</t>
  </si>
  <si>
    <t>2023-08-25</t>
  </si>
  <si>
    <t>2023-08-24</t>
  </si>
  <si>
    <t>2023-08-23</t>
  </si>
  <si>
    <t>2023-08-22</t>
  </si>
  <si>
    <t>2023-08-21</t>
  </si>
  <si>
    <t>2023-08-19</t>
  </si>
  <si>
    <t>2023-08-17</t>
  </si>
  <si>
    <t>2023-08-16</t>
  </si>
  <si>
    <t>2023-08-15</t>
  </si>
  <si>
    <t>2023-08-14</t>
  </si>
  <si>
    <t>2023-08-12</t>
  </si>
  <si>
    <t>2023-08-10</t>
  </si>
  <si>
    <t>2023-08-09</t>
  </si>
  <si>
    <t>2023-08-07</t>
  </si>
  <si>
    <t>2023-08-05</t>
  </si>
  <si>
    <t>2023-08-04</t>
  </si>
  <si>
    <t>2023-08-03</t>
  </si>
  <si>
    <t>2023-08-02</t>
  </si>
  <si>
    <t>2023-07-31</t>
  </si>
  <si>
    <t>2023-07-29</t>
  </si>
  <si>
    <t>2023-07-28</t>
  </si>
  <si>
    <t>2023-07-26</t>
  </si>
  <si>
    <t>2023-07-25</t>
  </si>
  <si>
    <t>2023-07-22</t>
  </si>
  <si>
    <t>2023-07-21</t>
  </si>
  <si>
    <t>2023-07-19</t>
  </si>
  <si>
    <t>2023-07-18</t>
  </si>
  <si>
    <t>2023-07-17</t>
  </si>
  <si>
    <t>2023-07-15</t>
  </si>
  <si>
    <t>2023-07-14</t>
  </si>
  <si>
    <t>2023-07-13</t>
  </si>
  <si>
    <t>2023-07-12</t>
  </si>
  <si>
    <t>2023-07-11</t>
  </si>
  <si>
    <t>2023-07-08</t>
  </si>
  <si>
    <t>2023-07-07</t>
  </si>
  <si>
    <t>2023-07-06</t>
  </si>
  <si>
    <t>2023-07-05</t>
  </si>
  <si>
    <t>2023-07-03</t>
  </si>
  <si>
    <t>2023-07-01</t>
  </si>
  <si>
    <t>2023-06-30</t>
  </si>
  <si>
    <t>2023-06-29</t>
  </si>
  <si>
    <t>2023-06-28</t>
  </si>
  <si>
    <t>2023-06-27</t>
  </si>
  <si>
    <t>2023-06-24</t>
  </si>
  <si>
    <t>2023-06-23</t>
  </si>
  <si>
    <t>2023-06-21</t>
  </si>
  <si>
    <t>2023-06-19</t>
  </si>
  <si>
    <t>2023-06-17</t>
  </si>
  <si>
    <t>2023-06-15</t>
  </si>
  <si>
    <t>2023-06-14</t>
  </si>
  <si>
    <t>2023-06-13</t>
  </si>
  <si>
    <t>2023-06-12</t>
  </si>
  <si>
    <t>2023-06-10</t>
  </si>
  <si>
    <t>2023-06-09</t>
  </si>
  <si>
    <t>2023-06-08</t>
  </si>
  <si>
    <t>2023-06-06</t>
  </si>
  <si>
    <t>2023-06-05</t>
  </si>
  <si>
    <t>2023-06-03</t>
  </si>
  <si>
    <t>2023-06-01</t>
  </si>
  <si>
    <t>2023-05-30</t>
  </si>
  <si>
    <t>2023-05-29</t>
  </si>
  <si>
    <t>2023-05-27</t>
  </si>
  <si>
    <t>2023-05-26</t>
  </si>
  <si>
    <t>2023-05-25</t>
  </si>
  <si>
    <t>2023-05-23</t>
  </si>
  <si>
    <t>2023-05-22</t>
  </si>
  <si>
    <t>2023-05-20</t>
  </si>
  <si>
    <t>2023-05-19</t>
  </si>
  <si>
    <t>2023-05-18</t>
  </si>
  <si>
    <t>2023-05-17</t>
  </si>
  <si>
    <t>2023-05-16</t>
  </si>
  <si>
    <t>2023-05-13</t>
  </si>
  <si>
    <t>2023-05-12</t>
  </si>
  <si>
    <t>2023-05-11</t>
  </si>
  <si>
    <t>2023-05-09</t>
  </si>
  <si>
    <t>2023-05-08</t>
  </si>
  <si>
    <t>2023-05-06</t>
  </si>
  <si>
    <t>2023-05-05</t>
  </si>
  <si>
    <t>2023-05-04</t>
  </si>
  <si>
    <t>2023-05-02</t>
  </si>
  <si>
    <t>2023-05-01</t>
  </si>
  <si>
    <t>2023-04-29</t>
  </si>
  <si>
    <t>2023-04-28</t>
  </si>
  <si>
    <t>2023-04-27</t>
  </si>
  <si>
    <t>2023-04-26</t>
  </si>
  <si>
    <t>2023-04-25</t>
  </si>
  <si>
    <t>2023-04-24</t>
  </si>
  <si>
    <t>2023-04-22</t>
  </si>
  <si>
    <t>2023-04-20</t>
  </si>
  <si>
    <t>2023-04-19</t>
  </si>
  <si>
    <t>2023-04-18</t>
  </si>
  <si>
    <t>2023-04-15</t>
  </si>
  <si>
    <t>2023-04-14</t>
  </si>
  <si>
    <t>2023-04-13</t>
  </si>
  <si>
    <t>2023-04-12</t>
  </si>
  <si>
    <t>2023-04-10</t>
  </si>
  <si>
    <t>2023-04-08</t>
  </si>
  <si>
    <t>2023-04-07</t>
  </si>
  <si>
    <t>2023-04-06</t>
  </si>
  <si>
    <t>2023-04-05</t>
  </si>
  <si>
    <t>2023-04-04</t>
  </si>
  <si>
    <t>2023-04-01</t>
  </si>
  <si>
    <t>2023-03-31</t>
  </si>
  <si>
    <t>2023-03-29</t>
  </si>
  <si>
    <t>2023-03-28</t>
  </si>
  <si>
    <t>2023-03-27</t>
  </si>
  <si>
    <t>2023-03-25</t>
  </si>
  <si>
    <t>2023-03-24</t>
  </si>
  <si>
    <t>2023-03-23</t>
  </si>
  <si>
    <t>2023-03-22</t>
  </si>
  <si>
    <t>2023-03-21</t>
  </si>
  <si>
    <t>2023-03-18</t>
  </si>
  <si>
    <t>2023-03-17</t>
  </si>
  <si>
    <t>2023-03-15</t>
  </si>
  <si>
    <t>2023-03-13</t>
  </si>
  <si>
    <t>2023-03-11</t>
  </si>
  <si>
    <t>2023-03-10</t>
  </si>
  <si>
    <t>2023-03-09</t>
  </si>
  <si>
    <t>2023-03-08</t>
  </si>
  <si>
    <t>2023-03-07</t>
  </si>
  <si>
    <t>2023-03-06</t>
  </si>
  <si>
    <t>2023-03-04</t>
  </si>
  <si>
    <t>2023-03-03</t>
  </si>
  <si>
    <t>2023-03-02</t>
  </si>
  <si>
    <t>2023-03-01</t>
  </si>
  <si>
    <t>2023-02-28</t>
  </si>
  <si>
    <t>2023-02-25</t>
  </si>
  <si>
    <t>2023-02-24</t>
  </si>
  <si>
    <t>2023-02-23</t>
  </si>
  <si>
    <t>2023-02-21</t>
  </si>
  <si>
    <t>2023-02-20</t>
  </si>
  <si>
    <t>2023-02-18</t>
  </si>
  <si>
    <t>2023-02-17</t>
  </si>
  <si>
    <t>2023-02-16</t>
  </si>
  <si>
    <t>2023-02-15</t>
  </si>
  <si>
    <t>2023-02-14</t>
  </si>
  <si>
    <t>2023-02-11</t>
  </si>
  <si>
    <t>2023-02-09</t>
  </si>
  <si>
    <t>2023-02-08</t>
  </si>
  <si>
    <t>2023-02-07</t>
  </si>
  <si>
    <t>2023-02-04</t>
  </si>
  <si>
    <t>2023-02-03</t>
  </si>
  <si>
    <t>2023-02-01</t>
  </si>
  <si>
    <t>2023-01-31</t>
  </si>
  <si>
    <t>2023-01-30</t>
  </si>
  <si>
    <t>2023-01-28</t>
  </si>
  <si>
    <t>2023-01-27</t>
  </si>
  <si>
    <t>2023-01-26</t>
  </si>
  <si>
    <t>2023-01-25</t>
  </si>
  <si>
    <t>2023-01-24</t>
  </si>
  <si>
    <t>2023-01-21</t>
  </si>
  <si>
    <t>2023-01-20</t>
  </si>
  <si>
    <t>2023-01-19</t>
  </si>
  <si>
    <t>2023-01-18</t>
  </si>
  <si>
    <t>2023-01-17</t>
  </si>
  <si>
    <t>2023-01-16</t>
  </si>
  <si>
    <t>2023-01-14</t>
  </si>
  <si>
    <t>2023-01-13</t>
  </si>
  <si>
    <t>2023-01-12</t>
  </si>
  <si>
    <t>2023-01-11</t>
  </si>
  <si>
    <t>2023-01-10</t>
  </si>
  <si>
    <t>2023-01-09</t>
  </si>
  <si>
    <t>2023-01-07</t>
  </si>
  <si>
    <t>2023-01-06</t>
  </si>
  <si>
    <t>2023-01-05</t>
  </si>
  <si>
    <t>2023-01-04</t>
  </si>
  <si>
    <t>2023-01-03</t>
  </si>
  <si>
    <t>2022-12-31</t>
  </si>
  <si>
    <t>2022-12-30</t>
  </si>
  <si>
    <t>2022-12-29</t>
  </si>
  <si>
    <t>2022-12-28</t>
  </si>
  <si>
    <t>2022-12-27</t>
  </si>
  <si>
    <t>2022-12-24</t>
  </si>
  <si>
    <t>2022-12-23</t>
  </si>
  <si>
    <t>2022-12-22</t>
  </si>
  <si>
    <t>2022-12-21</t>
  </si>
  <si>
    <t>2022-12-19</t>
  </si>
  <si>
    <t>2022-12-17</t>
  </si>
  <si>
    <t>2022-12-16</t>
  </si>
  <si>
    <t>2022-12-15</t>
  </si>
  <si>
    <t>2022-12-14</t>
  </si>
  <si>
    <t>2022-12-12</t>
  </si>
  <si>
    <t>2022-12-10</t>
  </si>
  <si>
    <t>2022-12-08</t>
  </si>
  <si>
    <t>2022-12-07</t>
  </si>
  <si>
    <t>2022-12-05</t>
  </si>
  <si>
    <t>2022-12-03</t>
  </si>
  <si>
    <t>2022-12-02</t>
  </si>
  <si>
    <t>2022-12-01</t>
  </si>
  <si>
    <t>2022-11-30</t>
  </si>
  <si>
    <t>2022-11-29</t>
  </si>
  <si>
    <t>2022-11-28</t>
  </si>
  <si>
    <t>2022-11-26</t>
  </si>
  <si>
    <t>2022-11-24</t>
  </si>
  <si>
    <t>2022-11-23</t>
  </si>
  <si>
    <t>2022-11-22</t>
  </si>
  <si>
    <t>2022-11-21</t>
  </si>
  <si>
    <t>2022-11-19</t>
  </si>
  <si>
    <t>2022-11-18</t>
  </si>
  <si>
    <t>2022-11-17</t>
  </si>
  <si>
    <t>2022-11-16</t>
  </si>
  <si>
    <t>2022-11-15</t>
  </si>
  <si>
    <t>2022-11-12</t>
  </si>
  <si>
    <t>2022-11-11</t>
  </si>
  <si>
    <t>2022-11-09</t>
  </si>
  <si>
    <t>2022-11-08</t>
  </si>
  <si>
    <t>2022-11-07</t>
  </si>
  <si>
    <t>2022-11-05</t>
  </si>
  <si>
    <t>2022-11-03</t>
  </si>
  <si>
    <t>2022-11-02</t>
  </si>
  <si>
    <t>2022-10-31</t>
  </si>
  <si>
    <t>2022-10-29</t>
  </si>
  <si>
    <t>2022-10-28</t>
  </si>
  <si>
    <t>2022-10-27</t>
  </si>
  <si>
    <t>2022-10-25</t>
  </si>
  <si>
    <t>2022-10-24</t>
  </si>
  <si>
    <t>2022-10-22</t>
  </si>
  <si>
    <t>2022-10-21</t>
  </si>
  <si>
    <t>2022-10-19</t>
  </si>
  <si>
    <t>2022-10-18</t>
  </si>
  <si>
    <t>2022-10-17</t>
  </si>
  <si>
    <t>2022-10-15</t>
  </si>
  <si>
    <t>2022-10-13</t>
  </si>
  <si>
    <t>2022-10-11</t>
  </si>
  <si>
    <t>2022-10-10</t>
  </si>
  <si>
    <t>2022-10-08</t>
  </si>
  <si>
    <t>2022-10-07</t>
  </si>
  <si>
    <t>2022-10-06</t>
  </si>
  <si>
    <t>2022-10-05</t>
  </si>
  <si>
    <t>2022-10-03</t>
  </si>
  <si>
    <t>2022-10-01</t>
  </si>
  <si>
    <t>2022-09-29</t>
  </si>
  <si>
    <t>2022-09-28</t>
  </si>
  <si>
    <t>2022-09-27</t>
  </si>
  <si>
    <t>2022-09-26</t>
  </si>
  <si>
    <t>2022-09-24</t>
  </si>
  <si>
    <t>2022-09-23</t>
  </si>
  <si>
    <t>2022-09-22</t>
  </si>
  <si>
    <t>2022-09-20</t>
  </si>
  <si>
    <t>2022-09-19</t>
  </si>
  <si>
    <t>2022-09-17</t>
  </si>
  <si>
    <t>2022-09-15</t>
  </si>
  <si>
    <t>2022-09-14</t>
  </si>
  <si>
    <t>2022-09-12</t>
  </si>
  <si>
    <t>2022-09-10</t>
  </si>
  <si>
    <t>2022-09-09</t>
  </si>
  <si>
    <t>2022-09-08</t>
  </si>
  <si>
    <t>2022-09-06</t>
  </si>
  <si>
    <t>2022-09-05</t>
  </si>
  <si>
    <t>2022-09-03</t>
  </si>
  <si>
    <t>2022-09-01</t>
  </si>
  <si>
    <t>2022-08-31</t>
  </si>
  <si>
    <t>2022-08-30</t>
  </si>
  <si>
    <t>2022-08-29</t>
  </si>
  <si>
    <t>2022-08-27</t>
  </si>
  <si>
    <t>2022-08-26</t>
  </si>
  <si>
    <t>2022-08-25</t>
  </si>
  <si>
    <t>2022-08-23</t>
  </si>
  <si>
    <t>2022-08-22</t>
  </si>
  <si>
    <t>2022-08-20</t>
  </si>
  <si>
    <t>2022-08-19</t>
  </si>
  <si>
    <t>2022-08-17</t>
  </si>
  <si>
    <t>2022-08-16</t>
  </si>
  <si>
    <t>2022-08-15</t>
  </si>
  <si>
    <t>2022-08-13</t>
  </si>
  <si>
    <t>2022-08-12</t>
  </si>
  <si>
    <t>2022-08-11</t>
  </si>
  <si>
    <t>2022-08-10</t>
  </si>
  <si>
    <t>2022-08-09</t>
  </si>
  <si>
    <t>2022-08-08</t>
  </si>
  <si>
    <t>2022-08-06</t>
  </si>
  <si>
    <t>2022-08-05</t>
  </si>
  <si>
    <t>2022-08-04</t>
  </si>
  <si>
    <t>2022-08-03</t>
  </si>
  <si>
    <t>2022-08-02</t>
  </si>
  <si>
    <t>2022-07-30</t>
  </si>
  <si>
    <t>2022-07-28</t>
  </si>
  <si>
    <t>2022-07-27</t>
  </si>
  <si>
    <t>2022-07-26</t>
  </si>
  <si>
    <t>2022-07-25</t>
  </si>
  <si>
    <t>2022-07-23</t>
  </si>
  <si>
    <t>2022-07-22</t>
  </si>
  <si>
    <t>2022-07-21</t>
  </si>
  <si>
    <t>2022-07-19</t>
  </si>
  <si>
    <t>2022-07-18</t>
  </si>
  <si>
    <t>2022-07-16</t>
  </si>
  <si>
    <t>2022-07-15</t>
  </si>
  <si>
    <t>2022-07-14</t>
  </si>
  <si>
    <t>2022-07-13</t>
  </si>
  <si>
    <t>2022-07-12</t>
  </si>
  <si>
    <t>2022-07-09</t>
  </si>
  <si>
    <t>2022-07-07</t>
  </si>
  <si>
    <t>2022-07-06</t>
  </si>
  <si>
    <t>2022-07-05</t>
  </si>
  <si>
    <t>2022-07-04</t>
  </si>
  <si>
    <t>2022-07-02</t>
  </si>
  <si>
    <t>2022-07-01</t>
  </si>
  <si>
    <t>2022-06-30</t>
  </si>
  <si>
    <t>2022-06-29</t>
  </si>
  <si>
    <t>2022-06-27</t>
  </si>
  <si>
    <t>2022-06-25</t>
  </si>
  <si>
    <t>2022-06-24</t>
  </si>
  <si>
    <t>2022-06-23</t>
  </si>
  <si>
    <t>2022-06-21</t>
  </si>
  <si>
    <t>2022-06-20</t>
  </si>
  <si>
    <t>2022-06-18</t>
  </si>
  <si>
    <t>2022-06-17</t>
  </si>
  <si>
    <t>2022-06-15</t>
  </si>
  <si>
    <t>2022-06-14</t>
  </si>
  <si>
    <t>2022-06-13</t>
  </si>
  <si>
    <t>2022-06-11</t>
  </si>
  <si>
    <t>2022-06-09</t>
  </si>
  <si>
    <t>2022-06-08</t>
  </si>
  <si>
    <t>2022-06-07</t>
  </si>
  <si>
    <t>2022-06-06</t>
  </si>
  <si>
    <t>2022-06-04</t>
  </si>
  <si>
    <t>2022-06-03</t>
  </si>
  <si>
    <t>2022-06-02</t>
  </si>
  <si>
    <t>2022-06-01</t>
  </si>
  <si>
    <t>2022-05-30</t>
  </si>
  <si>
    <t>2022-05-28</t>
  </si>
  <si>
    <t>2022-05-27</t>
  </si>
  <si>
    <t>2022-05-26</t>
  </si>
  <si>
    <t>2022-05-25</t>
  </si>
  <si>
    <t>2022-05-24</t>
  </si>
  <si>
    <t>2022-05-23</t>
  </si>
  <si>
    <t>2022-05-21</t>
  </si>
  <si>
    <t>2022-05-20</t>
  </si>
  <si>
    <t>2022-05-18</t>
  </si>
  <si>
    <t>2022-05-17</t>
  </si>
  <si>
    <t>2022-05-14</t>
  </si>
  <si>
    <t>2022-05-13</t>
  </si>
  <si>
    <t>2022-05-12</t>
  </si>
  <si>
    <t>2022-05-10</t>
  </si>
  <si>
    <t>2022-05-09</t>
  </si>
  <si>
    <t>2022-05-07</t>
  </si>
  <si>
    <t>2022-05-06</t>
  </si>
  <si>
    <t>2022-05-05</t>
  </si>
  <si>
    <t>2022-05-03</t>
  </si>
  <si>
    <t>2022-05-02</t>
  </si>
  <si>
    <t>2022-04-30</t>
  </si>
  <si>
    <t>2022-04-29</t>
  </si>
  <si>
    <t>2022-04-27</t>
  </si>
  <si>
    <t>2022-04-25</t>
  </si>
  <si>
    <t>2022-04-23</t>
  </si>
  <si>
    <t>2022-04-21</t>
  </si>
  <si>
    <t>2022-04-20</t>
  </si>
  <si>
    <t>2022-04-19</t>
  </si>
  <si>
    <t>2022-04-16</t>
  </si>
  <si>
    <t>2022-04-15</t>
  </si>
  <si>
    <t>2022-04-14</t>
  </si>
  <si>
    <t>2022-04-13</t>
  </si>
  <si>
    <t>2022-04-12</t>
  </si>
  <si>
    <t>2022-04-09</t>
  </si>
  <si>
    <t>2022-04-08</t>
  </si>
  <si>
    <t>2022-04-07</t>
  </si>
  <si>
    <t>2022-04-06</t>
  </si>
  <si>
    <t>2022-04-05</t>
  </si>
  <si>
    <t>2022-04-02</t>
  </si>
  <si>
    <t>2022-04-01</t>
  </si>
  <si>
    <t>2022-03-31</t>
  </si>
  <si>
    <t>2022-03-30</t>
  </si>
  <si>
    <t>2022-03-29</t>
  </si>
  <si>
    <t>2022-03-26</t>
  </si>
  <si>
    <t>2022-03-24</t>
  </si>
  <si>
    <t>2022-03-22</t>
  </si>
  <si>
    <t>2022-03-21</t>
  </si>
  <si>
    <t>2022-03-19</t>
  </si>
  <si>
    <t>2022-03-18</t>
  </si>
  <si>
    <t>2022-03-17</t>
  </si>
  <si>
    <t>2022-03-15</t>
  </si>
  <si>
    <t>2022-03-14</t>
  </si>
  <si>
    <t>2022-03-12</t>
  </si>
  <si>
    <t>2022-03-10</t>
  </si>
  <si>
    <t>2022-03-09</t>
  </si>
  <si>
    <t>2022-03-07</t>
  </si>
  <si>
    <t>2022-03-05</t>
  </si>
  <si>
    <t>2022-03-04</t>
  </si>
  <si>
    <t>2022-03-03</t>
  </si>
  <si>
    <t>2022-03-01</t>
  </si>
  <si>
    <t>2022-02-26</t>
  </si>
  <si>
    <t>2022-02-25</t>
  </si>
  <si>
    <t>2022-02-23</t>
  </si>
  <si>
    <t>2022-02-22</t>
  </si>
  <si>
    <t>2022-02-19</t>
  </si>
  <si>
    <t>2022-02-18</t>
  </si>
  <si>
    <t>2022-02-16</t>
  </si>
  <si>
    <t>2022-02-15</t>
  </si>
  <si>
    <t>2022-02-14</t>
  </si>
  <si>
    <t>2022-02-12</t>
  </si>
  <si>
    <t>2022-02-11</t>
  </si>
  <si>
    <t>2022-02-10</t>
  </si>
  <si>
    <t>2022-02-09</t>
  </si>
  <si>
    <t>2022-02-08</t>
  </si>
  <si>
    <t>2022-02-07</t>
  </si>
  <si>
    <t>2022-02-05</t>
  </si>
  <si>
    <t>2022-02-04</t>
  </si>
  <si>
    <t>2022-02-03</t>
  </si>
  <si>
    <t>2022-02-02</t>
  </si>
  <si>
    <t>2022-01-31</t>
  </si>
  <si>
    <t>2022-01-29</t>
  </si>
  <si>
    <t>2022-01-27</t>
  </si>
  <si>
    <t>2022-01-26</t>
  </si>
  <si>
    <t>2022-01-25</t>
  </si>
  <si>
    <t>2022-01-23</t>
  </si>
  <si>
    <t>2022-01-22</t>
  </si>
  <si>
    <t>2022-01-21</t>
  </si>
  <si>
    <t>2022-01-20</t>
  </si>
  <si>
    <t>2022-01-19</t>
  </si>
  <si>
    <t>2022-01-18</t>
  </si>
  <si>
    <t>2022-01-15</t>
  </si>
  <si>
    <t>2022-01-14</t>
  </si>
  <si>
    <t>2022-01-13</t>
  </si>
  <si>
    <t>2022-01-12</t>
  </si>
  <si>
    <t>2022-01-11</t>
  </si>
  <si>
    <t>2022-01-10</t>
  </si>
  <si>
    <t>2022-01-08</t>
  </si>
  <si>
    <t>2022-01-07</t>
  </si>
  <si>
    <t>2022-01-06</t>
  </si>
  <si>
    <t>2022-01-05</t>
  </si>
  <si>
    <t>2022-01-04</t>
  </si>
  <si>
    <t>2022-01-03</t>
  </si>
  <si>
    <t>2022-01-01</t>
  </si>
  <si>
    <t>2021-12-31</t>
  </si>
  <si>
    <t>2021-12-30</t>
  </si>
  <si>
    <t>2021-12-29</t>
  </si>
  <si>
    <t>2021-12-27</t>
  </si>
  <si>
    <t>2021-12-25</t>
  </si>
  <si>
    <t>2021-12-24</t>
  </si>
  <si>
    <t>2021-12-23</t>
  </si>
  <si>
    <t>2021-12-22</t>
  </si>
  <si>
    <t>2021-12-21</t>
  </si>
  <si>
    <t>2021-12-20</t>
  </si>
  <si>
    <t>2021-12-18</t>
  </si>
  <si>
    <t>2021-12-17</t>
  </si>
  <si>
    <t>2021-12-15</t>
  </si>
  <si>
    <t>2021-12-14</t>
  </si>
  <si>
    <t>2021-12-13</t>
  </si>
  <si>
    <t>2021-12-11</t>
  </si>
  <si>
    <t>2021-12-10</t>
  </si>
  <si>
    <t>2021-12-09</t>
  </si>
  <si>
    <t>2021-12-08</t>
  </si>
  <si>
    <t>2021-12-07</t>
  </si>
  <si>
    <t>2021-12-06</t>
  </si>
  <si>
    <t>2021-12-04</t>
  </si>
  <si>
    <t>2021-12-03</t>
  </si>
  <si>
    <t>2021-12-02</t>
  </si>
  <si>
    <t>2021-12-01</t>
  </si>
  <si>
    <t>2021-11-30</t>
  </si>
  <si>
    <t>2021-11-29</t>
  </si>
  <si>
    <t>2021-11-27</t>
  </si>
  <si>
    <t>2021-11-25</t>
  </si>
  <si>
    <t>2021-11-24</t>
  </si>
  <si>
    <t>2021-11-23</t>
  </si>
  <si>
    <t>2021-11-22</t>
  </si>
  <si>
    <t>2021-11-20</t>
  </si>
  <si>
    <t>2021-11-19</t>
  </si>
  <si>
    <t>2021-11-18</t>
  </si>
  <si>
    <t>2021-11-17</t>
  </si>
  <si>
    <t>2021-11-16</t>
  </si>
  <si>
    <t>2021-11-15</t>
  </si>
  <si>
    <t>2021-11-13</t>
  </si>
  <si>
    <t>2021-11-12</t>
  </si>
  <si>
    <t>2021-11-11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</si>
  <si>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</si>
  <si>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</si>
  <si>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</si>
  <si>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</si>
  <si>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</si>
  <si>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</si>
  <si>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</si>
  <si>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</si>
  <si>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</si>
  <si>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2021-10-30</t>
  </si>
  <si>
    <t>2021-10-29</t>
  </si>
  <si>
    <t>2021-10-28</t>
  </si>
  <si>
    <t>2021-10-27</t>
  </si>
  <si>
    <t>2021-10-26</t>
  </si>
  <si>
    <t>2021-10-25</t>
  </si>
  <si>
    <t>2021-10-23</t>
  </si>
  <si>
    <t>2021-10-22</t>
  </si>
  <si>
    <t>2021-10-21</t>
  </si>
  <si>
    <t>2021-10-20</t>
  </si>
  <si>
    <t>2021-10-18</t>
  </si>
  <si>
    <t>2021-10-16</t>
  </si>
  <si>
    <t>2021-10-14</t>
  </si>
  <si>
    <t>2021-10-13</t>
  </si>
  <si>
    <t>2021-10-12</t>
  </si>
  <si>
    <t>2021-10-11</t>
  </si>
  <si>
    <t>2021-10-09</t>
  </si>
  <si>
    <t>2021-10-08</t>
  </si>
  <si>
    <t>2021-10-07</t>
  </si>
  <si>
    <t>2021-10-06</t>
  </si>
  <si>
    <t>2021-10-05</t>
  </si>
  <si>
    <t>2021-10-04</t>
  </si>
  <si>
    <t>2021-10-02</t>
  </si>
  <si>
    <t>2021-10-01</t>
  </si>
  <si>
    <t>2021-09-30</t>
  </si>
  <si>
    <t>2021-09-29</t>
  </si>
  <si>
    <t>2021-09-28</t>
  </si>
  <si>
    <t>2021-09-27</t>
  </si>
  <si>
    <t>2021-09-25</t>
  </si>
  <si>
    <t>2021-09-24</t>
  </si>
  <si>
    <t>2021-09-23</t>
  </si>
  <si>
    <t>2021-09-22</t>
  </si>
  <si>
    <t>2021-09-21</t>
  </si>
  <si>
    <t>2021-09-20</t>
  </si>
  <si>
    <t>2021-09-18</t>
  </si>
  <si>
    <t>2021-09-17</t>
  </si>
  <si>
    <t>2021-09-16</t>
  </si>
  <si>
    <t>2021-09-15</t>
  </si>
  <si>
    <t>2021-09-14</t>
  </si>
  <si>
    <t>2021-09-13</t>
  </si>
  <si>
    <t>2021-09-11</t>
  </si>
  <si>
    <t>2021-09-10</t>
  </si>
  <si>
    <t>2021-09-09</t>
  </si>
  <si>
    <t>2021-09-08</t>
  </si>
  <si>
    <t>2021-09-07</t>
  </si>
  <si>
    <t>2021-09-06</t>
  </si>
  <si>
    <t>2021-09-04</t>
  </si>
  <si>
    <t>2021-09-03</t>
  </si>
  <si>
    <t>2021-09-02</t>
  </si>
  <si>
    <t>2021-09-01</t>
  </si>
  <si>
    <t>2021-08-31</t>
  </si>
  <si>
    <t>2021-08-30</t>
  </si>
  <si>
    <t>2021-08-28</t>
  </si>
  <si>
    <t>2021-08-26</t>
  </si>
  <si>
    <t>2021-08-25</t>
  </si>
  <si>
    <t>2021-08-24</t>
  </si>
  <si>
    <t>2021-08-23</t>
  </si>
  <si>
    <t>2021-08-21</t>
  </si>
  <si>
    <t>2021-08-20</t>
  </si>
  <si>
    <t>2021-08-18</t>
  </si>
  <si>
    <t>2021-08-16</t>
  </si>
  <si>
    <t>2021-08-14</t>
  </si>
  <si>
    <t>2021-08-13</t>
  </si>
  <si>
    <t>2021-08-12</t>
  </si>
  <si>
    <t>2021-08-10</t>
  </si>
  <si>
    <t>2021-08-09</t>
  </si>
  <si>
    <t>2021-08-07</t>
  </si>
  <si>
    <t>2021-08-06</t>
  </si>
  <si>
    <t>2021-08-04</t>
  </si>
  <si>
    <t>2021-08-03</t>
  </si>
  <si>
    <t>2021-08-02</t>
  </si>
  <si>
    <t>2021-07-31</t>
  </si>
  <si>
    <t>2021-07-30</t>
  </si>
  <si>
    <t>2021-07-28</t>
  </si>
  <si>
    <t>2021-07-27</t>
  </si>
  <si>
    <t>2021-07-24</t>
  </si>
  <si>
    <t>2021-07-23</t>
  </si>
  <si>
    <t>2021-07-22</t>
  </si>
  <si>
    <t>2021-07-20</t>
  </si>
  <si>
    <t>2021-07-17</t>
  </si>
  <si>
    <t>2021-07-16</t>
  </si>
  <si>
    <t>2021-07-15</t>
  </si>
  <si>
    <t>2021-07-14</t>
  </si>
  <si>
    <t>2021-07-13</t>
  </si>
  <si>
    <t>2021-07-12</t>
  </si>
  <si>
    <t>2021-07-10</t>
  </si>
  <si>
    <t>2021-07-09</t>
  </si>
  <si>
    <t>2021-07-08</t>
  </si>
  <si>
    <t>2021-07-07</t>
  </si>
  <si>
    <t>2021-07-06</t>
  </si>
  <si>
    <t>2021-07-05</t>
  </si>
  <si>
    <t>2021-07-03</t>
  </si>
  <si>
    <t>2021-07-02</t>
  </si>
  <si>
    <t>2021-07-01</t>
  </si>
  <si>
    <t>2021-06-29</t>
  </si>
  <si>
    <t>2021-06-28</t>
  </si>
  <si>
    <t>2021-06-26</t>
  </si>
  <si>
    <t>2021-06-24</t>
  </si>
  <si>
    <t>2021-06-23</t>
  </si>
  <si>
    <t>2021-06-22</t>
  </si>
  <si>
    <t>2021-06-19</t>
  </si>
  <si>
    <t>2021-06-17</t>
  </si>
  <si>
    <t>2021-06-15</t>
  </si>
  <si>
    <t>2021-06-12</t>
  </si>
  <si>
    <t>2021-06-11</t>
  </si>
  <si>
    <t>2021-06-10</t>
  </si>
  <si>
    <t>2021-06-08</t>
  </si>
  <si>
    <t>2021-06-05</t>
  </si>
  <si>
    <t>2021-06-04</t>
  </si>
  <si>
    <t>2021-06-03</t>
  </si>
  <si>
    <t>2021-06-02</t>
  </si>
  <si>
    <t>2021-06-01</t>
  </si>
  <si>
    <t>2021-05-29</t>
  </si>
  <si>
    <t>2021-05-28</t>
  </si>
  <si>
    <t>2021-05-27</t>
  </si>
  <si>
    <t>2021-05-26</t>
  </si>
  <si>
    <t>2021-05-25</t>
  </si>
  <si>
    <t>2021-05-24</t>
  </si>
  <si>
    <t>2021-05-22</t>
  </si>
  <si>
    <t>2021-05-21</t>
  </si>
  <si>
    <t>2021-05-20</t>
  </si>
  <si>
    <t>2021-05-19</t>
  </si>
  <si>
    <t>2021-05-18</t>
  </si>
  <si>
    <t>2021-05-15</t>
  </si>
  <si>
    <t>2021-05-13</t>
  </si>
  <si>
    <t>2021-05-12</t>
  </si>
  <si>
    <t>2021-05-11</t>
  </si>
  <si>
    <t>2021-05-10</t>
  </si>
  <si>
    <t>2021-05-08</t>
  </si>
  <si>
    <t>2021-05-07</t>
  </si>
  <si>
    <t>2021-05-05</t>
  </si>
  <si>
    <t>2021-05-04</t>
  </si>
  <si>
    <t>2021-05-01</t>
  </si>
  <si>
    <t>2021-04-30</t>
  </si>
  <si>
    <t>2021-04-29</t>
  </si>
  <si>
    <t>2021-04-27</t>
  </si>
  <si>
    <t>2021-04-26</t>
  </si>
  <si>
    <t>2021-04-24</t>
  </si>
  <si>
    <t>2021-04-23</t>
  </si>
  <si>
    <t>2021-04-22</t>
  </si>
  <si>
    <t>2021-04-21</t>
  </si>
  <si>
    <t>2021-04-20</t>
  </si>
  <si>
    <t>2021-04-19</t>
  </si>
  <si>
    <t>2021-04-17</t>
  </si>
  <si>
    <t>2021-04-16</t>
  </si>
  <si>
    <t>2021-04-15</t>
  </si>
  <si>
    <t>2021-04-14</t>
  </si>
  <si>
    <t>2021-04-12</t>
  </si>
  <si>
    <t>2021-04-10</t>
  </si>
  <si>
    <t>2021-04-09</t>
  </si>
  <si>
    <t>2021-04-08</t>
  </si>
  <si>
    <t>2021-04-07</t>
  </si>
  <si>
    <t>2021-04-05</t>
  </si>
  <si>
    <t>2021-04-03</t>
  </si>
  <si>
    <t>2021-04-02</t>
  </si>
  <si>
    <t>2021-04-01</t>
  </si>
  <si>
    <t>2021-03-31</t>
  </si>
  <si>
    <t>2021-03-30</t>
  </si>
  <si>
    <t>2021-03-29</t>
  </si>
  <si>
    <t>2021-03-27</t>
  </si>
  <si>
    <t>2021-03-26</t>
  </si>
  <si>
    <t>2021-03-25</t>
  </si>
  <si>
    <t>2021-03-24</t>
  </si>
  <si>
    <t>2021-03-23</t>
  </si>
  <si>
    <t>2021-03-20</t>
  </si>
  <si>
    <t>2021-03-18</t>
  </si>
  <si>
    <t>2021-03-17</t>
  </si>
  <si>
    <t>2021-03-16</t>
  </si>
  <si>
    <t>2021-03-15</t>
  </si>
  <si>
    <t>2021-03-13</t>
  </si>
  <si>
    <t>2021-03-12</t>
  </si>
  <si>
    <t>2021-03-11</t>
  </si>
  <si>
    <t>2021-03-10</t>
  </si>
  <si>
    <t>2021-03-08</t>
  </si>
  <si>
    <t>2021-03-06</t>
  </si>
  <si>
    <t>2021-03-05</t>
  </si>
  <si>
    <t>2021-03-04</t>
  </si>
  <si>
    <t>2021-03-03</t>
  </si>
  <si>
    <t>2021-03-02</t>
  </si>
  <si>
    <t>2021-03-01</t>
  </si>
  <si>
    <t>2021-02-27</t>
  </si>
  <si>
    <t>2021-02-26</t>
  </si>
  <si>
    <t>2021-02-24</t>
  </si>
  <si>
    <t>2021-02-23</t>
  </si>
  <si>
    <t>2021-02-20</t>
  </si>
  <si>
    <t>2021-02-19</t>
  </si>
  <si>
    <t>2021-02-18</t>
  </si>
  <si>
    <t>2021-02-16</t>
  </si>
  <si>
    <t>2021-02-15</t>
  </si>
  <si>
    <t>2021-02-13</t>
  </si>
  <si>
    <t>2021-02-11</t>
  </si>
  <si>
    <t>2021-02-10</t>
  </si>
  <si>
    <t>2021-02-08</t>
  </si>
  <si>
    <t>2021-02-07</t>
  </si>
  <si>
    <t>2021-02-05</t>
  </si>
  <si>
    <t>2021-02-04</t>
  </si>
  <si>
    <t>2021-02-03</t>
  </si>
  <si>
    <t>2021-02-02</t>
  </si>
  <si>
    <t>2021-01-30</t>
  </si>
  <si>
    <t>2021-01-29</t>
  </si>
  <si>
    <t>2021-01-28</t>
  </si>
  <si>
    <t>2021-01-27</t>
  </si>
  <si>
    <t>2021-01-26</t>
  </si>
  <si>
    <t>2021-01-25</t>
  </si>
  <si>
    <t>2021-01-23</t>
  </si>
  <si>
    <t>2021-01-21</t>
  </si>
  <si>
    <t>2021-01-20</t>
  </si>
  <si>
    <t>2021-01-19</t>
  </si>
  <si>
    <t>2021-01-16</t>
  </si>
  <si>
    <t>2021-01-15</t>
  </si>
  <si>
    <t>2021-01-14</t>
  </si>
  <si>
    <t>2021-01-13</t>
  </si>
  <si>
    <t>2021-01-12</t>
  </si>
  <si>
    <t>2021-01-09</t>
  </si>
  <si>
    <t>2021-01-07</t>
  </si>
  <si>
    <t>2021-01-06</t>
  </si>
  <si>
    <t>2021-01-05</t>
  </si>
  <si>
    <t>2021-01-02</t>
  </si>
  <si>
    <t>2021-01-01</t>
  </si>
  <si>
    <t>2020-12-31</t>
  </si>
  <si>
    <t>2020-12-30</t>
  </si>
  <si>
    <t>2020-12-29</t>
  </si>
  <si>
    <t>2020-12-28</t>
  </si>
  <si>
    <t>2020-12-26</t>
  </si>
  <si>
    <t>2020-12-25</t>
  </si>
  <si>
    <t>2020-12-24</t>
  </si>
  <si>
    <t>2020-12-23</t>
  </si>
  <si>
    <t>2020-12-22</t>
  </si>
  <si>
    <t>2020-12-19</t>
  </si>
  <si>
    <t>2020-12-18</t>
  </si>
  <si>
    <t>2020-12-16</t>
  </si>
  <si>
    <t>2020-12-14</t>
  </si>
  <si>
    <t>2020-12-12</t>
  </si>
  <si>
    <t>2020-12-11</t>
  </si>
  <si>
    <t>2020-12-10</t>
  </si>
  <si>
    <t>2020-12-09</t>
  </si>
  <si>
    <t>2020-12-08</t>
  </si>
  <si>
    <t>2020-12-07</t>
  </si>
  <si>
    <t>2020-12-05</t>
  </si>
  <si>
    <t>2020-12-04</t>
  </si>
  <si>
    <t>2020-12-03</t>
  </si>
  <si>
    <t>2020-12-02</t>
  </si>
  <si>
    <t>2020-12-01</t>
  </si>
  <si>
    <t>2020-11-28</t>
  </si>
  <si>
    <t>2020-11-27</t>
  </si>
  <si>
    <t>2020-11-25</t>
  </si>
  <si>
    <t>2020-11-24</t>
  </si>
  <si>
    <t>2020-11-23</t>
  </si>
  <si>
    <t>2020-11-21</t>
  </si>
  <si>
    <t>2020-11-20</t>
  </si>
  <si>
    <t>2020-11-19</t>
  </si>
  <si>
    <t>2020-11-17</t>
  </si>
  <si>
    <t>2020-11-16</t>
  </si>
  <si>
    <t>2020-11-14</t>
  </si>
  <si>
    <t>2020-11-13</t>
  </si>
  <si>
    <t>2020-11-12</t>
  </si>
  <si>
    <t>2020-11-11</t>
  </si>
  <si>
    <t>2020-11-09</t>
  </si>
  <si>
    <t>2020-11-07</t>
  </si>
  <si>
    <t>2020-11-05</t>
  </si>
  <si>
    <t>2020-11-04</t>
  </si>
  <si>
    <t>2020-11-03</t>
  </si>
  <si>
    <t>2020-11-02</t>
  </si>
  <si>
    <t>2020-10-31</t>
  </si>
  <si>
    <t>2020-10-29</t>
  </si>
  <si>
    <t>2020-10-28</t>
  </si>
  <si>
    <t>2020-10-27</t>
  </si>
  <si>
    <t>2020-10-26</t>
  </si>
  <si>
    <t>2020-10-24</t>
  </si>
  <si>
    <t>2020-10-23</t>
  </si>
  <si>
    <t>2020-10-22</t>
  </si>
  <si>
    <t>2020-10-21</t>
  </si>
  <si>
    <t>2020-10-20</t>
  </si>
  <si>
    <t>2020-10-17</t>
  </si>
  <si>
    <t>2020-10-16</t>
  </si>
  <si>
    <t>2020-10-15</t>
  </si>
  <si>
    <t>2020-10-13</t>
  </si>
  <si>
    <t>2020-10-12</t>
  </si>
  <si>
    <t>2020-10-10</t>
  </si>
  <si>
    <t>2020-10-09</t>
  </si>
  <si>
    <t>2020-10-08</t>
  </si>
  <si>
    <t>2020-10-06</t>
  </si>
  <si>
    <t>2020-10-05</t>
  </si>
  <si>
    <t>2020-10-03</t>
  </si>
  <si>
    <t>2020-10-02</t>
  </si>
  <si>
    <t>2020-10-01</t>
  </si>
  <si>
    <t>2020-09-30</t>
  </si>
  <si>
    <t>2020-09-29</t>
  </si>
  <si>
    <t>2020-09-28</t>
  </si>
  <si>
    <t>2020-09-26</t>
  </si>
  <si>
    <t>2020-09-24</t>
  </si>
  <si>
    <t>2020-09-23</t>
  </si>
  <si>
    <t>2020-09-22</t>
  </si>
  <si>
    <t>2020-09-19</t>
  </si>
  <si>
    <t>2020-09-18</t>
  </si>
  <si>
    <t>2020-09-17</t>
  </si>
  <si>
    <t>2020-09-16</t>
  </si>
  <si>
    <t>2020-09-15</t>
  </si>
  <si>
    <t>2020-09-14</t>
  </si>
  <si>
    <t>2020-09-12</t>
  </si>
  <si>
    <t>2020-09-11</t>
  </si>
  <si>
    <t>2020-09-10</t>
  </si>
  <si>
    <t>2020-09-09</t>
  </si>
  <si>
    <t>2020-09-08</t>
  </si>
  <si>
    <t>2020-09-07</t>
  </si>
  <si>
    <t>2020-09-05</t>
  </si>
  <si>
    <t>2020-09-04</t>
  </si>
  <si>
    <t>2020-09-02</t>
  </si>
  <si>
    <t>2020-09-01</t>
  </si>
  <si>
    <t>2020-08-31</t>
  </si>
  <si>
    <t>2020-08-29</t>
  </si>
  <si>
    <t>2020-08-27</t>
  </si>
  <si>
    <t>2020-08-26</t>
  </si>
  <si>
    <t>2020-08-25</t>
  </si>
  <si>
    <t>2020-08-24</t>
  </si>
  <si>
    <t>2020-08-22</t>
  </si>
  <si>
    <t>2020-08-21</t>
  </si>
  <si>
    <t>2020-08-20</t>
  </si>
  <si>
    <t>2020-08-19</t>
  </si>
  <si>
    <t>2020-08-18</t>
  </si>
  <si>
    <t>2020-08-15</t>
  </si>
  <si>
    <t>2020-08-14</t>
  </si>
  <si>
    <t>2020-08-13</t>
  </si>
  <si>
    <t>2020-08-12</t>
  </si>
  <si>
    <t>2020-08-10</t>
  </si>
  <si>
    <t>2020-08-08</t>
  </si>
  <si>
    <t>2020-08-07</t>
  </si>
  <si>
    <t>2020-08-06</t>
  </si>
  <si>
    <t>2020-08-04</t>
  </si>
  <si>
    <t>2020-08-03</t>
  </si>
  <si>
    <t>2020-08-01</t>
  </si>
  <si>
    <t>2020-07-30</t>
  </si>
  <si>
    <t>2020-07-28</t>
  </si>
  <si>
    <t>2020-07-25</t>
  </si>
  <si>
    <t>2020-07-24</t>
  </si>
  <si>
    <t>2020-07-22</t>
  </si>
  <si>
    <t>2020-07-20</t>
  </si>
  <si>
    <t>2020-07-18</t>
  </si>
  <si>
    <t>2020-07-17</t>
  </si>
  <si>
    <t>2020-07-16</t>
  </si>
  <si>
    <t>2020-07-15</t>
  </si>
  <si>
    <t>2020-07-14</t>
  </si>
  <si>
    <t>2020-07-13</t>
  </si>
  <si>
    <t>2020-07-11</t>
  </si>
  <si>
    <t>2020-07-10</t>
  </si>
  <si>
    <t>2020-07-08</t>
  </si>
  <si>
    <t>2020-07-07</t>
  </si>
  <si>
    <t>2020-07-06</t>
  </si>
  <si>
    <t>2020-07-04</t>
  </si>
  <si>
    <t>2020-07-03</t>
  </si>
  <si>
    <t>2020-07-02</t>
  </si>
  <si>
    <t>2020-07-01</t>
  </si>
  <si>
    <t>2020-06-29</t>
  </si>
  <si>
    <t>2020-06-27</t>
  </si>
  <si>
    <t>2020-06-26</t>
  </si>
  <si>
    <t>2020-06-25</t>
  </si>
  <si>
    <t>2020-06-24</t>
  </si>
  <si>
    <t>2020-06-23</t>
  </si>
  <si>
    <t>2020-06-22</t>
  </si>
  <si>
    <t>2020-06-20</t>
  </si>
  <si>
    <t>2020-06-19</t>
  </si>
  <si>
    <t>2020-06-18</t>
  </si>
  <si>
    <t>2020-06-17</t>
  </si>
  <si>
    <t>2020-06-16</t>
  </si>
  <si>
    <t>2020-06-15</t>
  </si>
  <si>
    <t>2020-06-13</t>
  </si>
  <si>
    <t>2020-06-12</t>
  </si>
  <si>
    <t>2020-06-11</t>
  </si>
  <si>
    <t>2020-06-10</t>
  </si>
  <si>
    <t>2020-06-09</t>
  </si>
  <si>
    <t>2020-06-06</t>
  </si>
  <si>
    <t>2020-06-04</t>
  </si>
  <si>
    <t>2020-06-03</t>
  </si>
  <si>
    <t>2020-06-02</t>
  </si>
  <si>
    <t>2020-05-30</t>
  </si>
  <si>
    <t>2020-05-29</t>
  </si>
  <si>
    <t>2020-05-27</t>
  </si>
  <si>
    <t>2020-05-26</t>
  </si>
  <si>
    <t>2020-05-25</t>
  </si>
  <si>
    <t>2020-05-23</t>
  </si>
  <si>
    <t>2020-05-21</t>
  </si>
  <si>
    <t>2020-05-20</t>
  </si>
  <si>
    <t>2020-05-19</t>
  </si>
  <si>
    <t>2020-05-18</t>
  </si>
  <si>
    <t>2020-05-16</t>
  </si>
  <si>
    <t>2020-05-14</t>
  </si>
  <si>
    <t>2020-05-13</t>
  </si>
  <si>
    <t>2020-05-12</t>
  </si>
  <si>
    <t>2020-05-11</t>
  </si>
  <si>
    <t>2020-05-09</t>
  </si>
  <si>
    <t>2020-05-08</t>
  </si>
  <si>
    <t>2020-05-07</t>
  </si>
  <si>
    <t>2020-05-06</t>
  </si>
  <si>
    <t>2020-05-05</t>
  </si>
  <si>
    <t>2020-05-04</t>
  </si>
  <si>
    <t>2020-05-02</t>
  </si>
  <si>
    <t>2020-05-01</t>
  </si>
  <si>
    <t>2020-04-30</t>
  </si>
  <si>
    <t>2020-04-29</t>
  </si>
  <si>
    <t>2020-04-28</t>
  </si>
  <si>
    <t>2020-04-27</t>
  </si>
  <si>
    <t>2020-04-25</t>
  </si>
  <si>
    <t>2020-04-24</t>
  </si>
  <si>
    <t>2020-04-23</t>
  </si>
  <si>
    <t>2020-04-22</t>
  </si>
  <si>
    <t>2020-04-20</t>
  </si>
  <si>
    <t>2020-04-18</t>
  </si>
  <si>
    <t>2020-04-16</t>
  </si>
  <si>
    <t>2020-04-15</t>
  </si>
  <si>
    <t>2020-04-14</t>
  </si>
  <si>
    <t>2020-04-13</t>
  </si>
  <si>
    <t>2020-04-11</t>
  </si>
  <si>
    <t>2020-04-10</t>
  </si>
  <si>
    <t>2020-04-09</t>
  </si>
  <si>
    <t>2020-04-08</t>
  </si>
  <si>
    <t>2020-04-06</t>
  </si>
  <si>
    <t>2020-04-04</t>
  </si>
  <si>
    <t>2020-04-03</t>
  </si>
  <si>
    <t>2020-04-02</t>
  </si>
  <si>
    <t>2020-03-31</t>
  </si>
  <si>
    <t>2020-03-30</t>
  </si>
  <si>
    <t>2020-03-28</t>
  </si>
  <si>
    <t>2020-03-27</t>
  </si>
  <si>
    <t>2020-03-26</t>
  </si>
  <si>
    <t>2020-03-25</t>
  </si>
  <si>
    <t>2020-03-23</t>
  </si>
  <si>
    <t>2020-03-21</t>
  </si>
  <si>
    <t>2020-03-19</t>
  </si>
  <si>
    <t>2020-03-17</t>
  </si>
  <si>
    <t>2020-03-14</t>
  </si>
  <si>
    <t>2020-03-13</t>
  </si>
  <si>
    <t>2020-03-12</t>
  </si>
  <si>
    <t>2020-03-11</t>
  </si>
  <si>
    <t>2020-03-10</t>
  </si>
  <si>
    <t>2020-03-09</t>
  </si>
  <si>
    <t>2020-03-07</t>
  </si>
  <si>
    <t>2020-03-06</t>
  </si>
  <si>
    <t>2020-03-05</t>
  </si>
  <si>
    <t>2020-03-04</t>
  </si>
  <si>
    <t>2020-03-03</t>
  </si>
  <si>
    <t>2020-03-02</t>
  </si>
  <si>
    <t>2020-03-01</t>
  </si>
  <si>
    <t>2020-02-29</t>
  </si>
  <si>
    <t>2020-02-28</t>
  </si>
  <si>
    <t>2020-02-27</t>
  </si>
  <si>
    <t>2020-02-26</t>
  </si>
  <si>
    <t>2020-02-25</t>
  </si>
  <si>
    <t>2020-02-22</t>
  </si>
  <si>
    <t>2020-02-20</t>
  </si>
  <si>
    <t>2020-02-19</t>
  </si>
  <si>
    <t>2020-02-17</t>
  </si>
  <si>
    <t>2020-02-15</t>
  </si>
  <si>
    <t>2020-02-14</t>
  </si>
  <si>
    <t>2020-02-12</t>
  </si>
  <si>
    <t>2020-02-11</t>
  </si>
  <si>
    <t>2020-02-10</t>
  </si>
  <si>
    <t>2020-02-08</t>
  </si>
  <si>
    <t>2020-02-07</t>
  </si>
  <si>
    <t>2020-02-06</t>
  </si>
  <si>
    <t>2020-02-04</t>
  </si>
  <si>
    <t>2020-02-01</t>
  </si>
  <si>
    <t>2020-01-31</t>
  </si>
  <si>
    <t>2020-01-30</t>
  </si>
  <si>
    <t>2020-01-28</t>
  </si>
  <si>
    <t>2020-01-27</t>
  </si>
  <si>
    <t>2020-01-25</t>
  </si>
  <si>
    <t>2020-01-23</t>
  </si>
  <si>
    <t>2020-01-22</t>
  </si>
  <si>
    <t>2020-01-20</t>
  </si>
  <si>
    <t>2020-01-18</t>
  </si>
  <si>
    <t>2020-01-17</t>
  </si>
  <si>
    <t>2020-01-16</t>
  </si>
  <si>
    <t>2020-01-15</t>
  </si>
  <si>
    <t>2020-01-13</t>
  </si>
  <si>
    <t>2020-01-11</t>
  </si>
  <si>
    <t>2020-01-10</t>
  </si>
  <si>
    <t>2020-01-08</t>
  </si>
  <si>
    <t>2020-01-07</t>
  </si>
  <si>
    <t>2020-01-04</t>
  </si>
  <si>
    <t>2020-01-02</t>
  </si>
  <si>
    <t>2020-01-01</t>
  </si>
  <si>
    <t>2026-06-11</t>
  </si>
  <si>
    <t>경기에 민감한 방어주</t>
  </si>
  <si>
    <t>93495</t>
  </si>
  <si>
    <t>초고압을 넘어 SST까지</t>
  </si>
  <si>
    <t>93494</t>
  </si>
  <si>
    <t>밸류에이션콜: CAPEX 축소 &gt; 재무개선사이클 진입</t>
  </si>
  <si>
    <t>93493</t>
  </si>
  <si>
    <t>학회에서 보여준 표준화 가능성</t>
  </si>
  <si>
    <t>93492</t>
  </si>
  <si>
    <t>큰 거 왔다</t>
  </si>
  <si>
    <t>93491</t>
  </si>
  <si>
    <t>수익 창출형 바이오텍</t>
  </si>
  <si>
    <t>93490</t>
  </si>
  <si>
    <t>체질 개선 속 피어나는 AI·STO 모멘텀</t>
  </si>
  <si>
    <t>93489</t>
  </si>
  <si>
    <t>완연한 흑자 기조 속, '제로베이스'의 질주</t>
  </si>
  <si>
    <t>93488</t>
  </si>
  <si>
    <t>2026-06-10</t>
  </si>
  <si>
    <t>FDC 사업역량 부각 기대</t>
  </si>
  <si>
    <t>93487</t>
  </si>
  <si>
    <t>Fab 투자 &amp; 공정 미세화 수혜</t>
  </si>
  <si>
    <t>93486</t>
  </si>
  <si>
    <t>사업 효율성 제고</t>
  </si>
  <si>
    <t>93485</t>
  </si>
  <si>
    <t>AI의 패러다임에 최대 수혜, 재평가 확대!</t>
  </si>
  <si>
    <t>93484</t>
  </si>
  <si>
    <t>93483</t>
  </si>
  <si>
    <t>493280</t>
  </si>
  <si>
    <t>아이엠바이오로직스</t>
  </si>
  <si>
    <t>아이엠 신뢰에요</t>
  </si>
  <si>
    <t>93482</t>
  </si>
  <si>
    <t>반도체를 더 담고 싶다면</t>
  </si>
  <si>
    <t>93481</t>
  </si>
  <si>
    <t>로봇 SI 업체로 진화 중</t>
  </si>
  <si>
    <t>93480</t>
  </si>
  <si>
    <t>현대건설 전환사채 발행결정 코멘트(26.06.09)</t>
  </si>
  <si>
    <t>93479</t>
  </si>
  <si>
    <t>콥데이 후기: SMR, 그리고 미국</t>
  </si>
  <si>
    <t>93478</t>
  </si>
  <si>
    <t>하방 리스크 제한적, 적극적 비중 확대 구간</t>
  </si>
  <si>
    <t>93477</t>
  </si>
  <si>
    <t>2Q 기존점 +14%, 목표주가 23만원으로 상향</t>
  </si>
  <si>
    <t>93476</t>
  </si>
  <si>
    <t>2Q 기존점 +16%, 목표주가 22만원으로 상향</t>
  </si>
  <si>
    <t>93475</t>
  </si>
  <si>
    <t>사우디, UAE의 에너지 전략 속 기회요인 확인</t>
  </si>
  <si>
    <t>93474</t>
  </si>
  <si>
    <t>2Q 기존점 +25%, 목표주가 85만원으로 상향</t>
  </si>
  <si>
    <t>93473</t>
  </si>
  <si>
    <t>주주환원에 눈을 뜬 통합보안시스템 분야 리더</t>
  </si>
  <si>
    <t>93472</t>
  </si>
  <si>
    <t>339950</t>
  </si>
  <si>
    <t>아이비김영</t>
  </si>
  <si>
    <t>대학편입 1위에서 성인교육 플랫폼으로 확장</t>
  </si>
  <si>
    <t>93471</t>
  </si>
  <si>
    <t>2026년, 레벨업의 원년</t>
  </si>
  <si>
    <t>93470</t>
  </si>
  <si>
    <t>소형가전의 대명사</t>
  </si>
  <si>
    <t>93469</t>
  </si>
  <si>
    <t>보릿고개 끝자락, 수확이 다가오는 시기</t>
  </si>
  <si>
    <t>93468</t>
  </si>
  <si>
    <t>아르노 회장이 한달음에 찾아온 이유가 있다</t>
  </si>
  <si>
    <t>93467</t>
  </si>
  <si>
    <t>0011A0</t>
  </si>
  <si>
    <t>액스비스</t>
  </si>
  <si>
    <t>이차전지 기반 로봇 신사업 진입</t>
  </si>
  <si>
    <t>93466</t>
  </si>
  <si>
    <t>AI 팩토리, 보수적으로 추정해도 현재가치 19조</t>
  </si>
  <si>
    <t>93465</t>
  </si>
  <si>
    <t>AI 팩토리 사업 진출을 통한 신성장 전략 공개</t>
  </si>
  <si>
    <t>93464</t>
  </si>
  <si>
    <t>롯데쇼핑 CEO 간담회 후기</t>
  </si>
  <si>
    <t>93463</t>
  </si>
  <si>
    <t>광 I/O 시대의 정렬자</t>
  </si>
  <si>
    <t>93462</t>
  </si>
  <si>
    <t>내년에도 훌륭한 실적 모멘텀이 대기 중입니다</t>
  </si>
  <si>
    <t>93461</t>
  </si>
  <si>
    <t>시가총액으로 보면 아직도 갈 길이 멉니다</t>
  </si>
  <si>
    <t>93460</t>
  </si>
  <si>
    <t>성장성을 되찾은 성장주, 위를 보자</t>
  </si>
  <si>
    <t>93459</t>
  </si>
  <si>
    <t>(깐부)치킨게임 시작</t>
  </si>
  <si>
    <t>93458</t>
  </si>
  <si>
    <t>코미코</t>
    <phoneticPr fontId="6" type="noConversion"/>
  </si>
  <si>
    <t>미스토홀딩스</t>
    <phoneticPr fontId="6" type="noConversion"/>
  </si>
  <si>
    <t>2026-06-12</t>
  </si>
  <si>
    <t>HBM 후공정 장비 수주 확대가 이끄는 턴어라운드</t>
  </si>
  <si>
    <t>93522</t>
  </si>
  <si>
    <t>망막에서 신장까지, 주목할 업사이드</t>
  </si>
  <si>
    <t>93521</t>
  </si>
  <si>
    <t>레거시 부품계의 다크호스</t>
  </si>
  <si>
    <t>93520</t>
  </si>
  <si>
    <t>B2B 사이버보안 전문 회사</t>
  </si>
  <si>
    <t>93519</t>
  </si>
  <si>
    <t>혈관신생 억제 기반 의약품 및 기능성 식품 개발 전문기업</t>
  </si>
  <si>
    <t>93518</t>
  </si>
  <si>
    <t>신약후보물질 체내동태 평가용 방사성동위원소 표지화합물 합성을 선도하는 전문기업</t>
  </si>
  <si>
    <t>93517</t>
  </si>
  <si>
    <t>데이터의 흐름에서 AI의 미래까지, 25년 국내 No.1 데이터 패브릭 플랫폼</t>
  </si>
  <si>
    <t>93516</t>
  </si>
  <si>
    <t>고신뢰 비상전원 수요에 대응하는 디젤엔진 비상발전기 전문기업</t>
  </si>
  <si>
    <t>93515</t>
  </si>
  <si>
    <t>025890</t>
  </si>
  <si>
    <t>한국주강</t>
  </si>
  <si>
    <t>조선·산업기계·발전 플랜트를 잇는 대형 주강 전문 솔루션 기업</t>
  </si>
  <si>
    <t>93514</t>
  </si>
  <si>
    <t>최애의 아이</t>
  </si>
  <si>
    <t>93513</t>
  </si>
  <si>
    <t>수주 가이던스 상향이 가장 빠르게 확인될 기업</t>
  </si>
  <si>
    <t>93512</t>
  </si>
  <si>
    <t>ACF 기반 확장성, 본업으로 받치는 안정성</t>
  </si>
  <si>
    <t>93511</t>
  </si>
  <si>
    <t>파이프라인 가시성 확대 국면 진입</t>
  </si>
  <si>
    <t>93510</t>
  </si>
  <si>
    <t>임상 데이터 기반 플랫폼 사업화 기대</t>
  </si>
  <si>
    <t>93509</t>
  </si>
  <si>
    <t>임상 진입에 따른 기술 가시화</t>
  </si>
  <si>
    <t>93508</t>
  </si>
  <si>
    <t>근거가 부족한 NAV 할인율의 축소</t>
  </si>
  <si>
    <t>93507</t>
  </si>
  <si>
    <t>유가와는 별개로 견조한 실적 전망</t>
  </si>
  <si>
    <t>93506</t>
  </si>
  <si>
    <t>해외 적자 점진적 축소 기대</t>
  </si>
  <si>
    <t>93505</t>
  </si>
  <si>
    <t>연간 최대 이익 달성 가능성</t>
  </si>
  <si>
    <t>93504</t>
  </si>
  <si>
    <t>우리가 AI RAN 대표주입니다</t>
  </si>
  <si>
    <t>93503</t>
  </si>
  <si>
    <t>기판으로 다시 핀다</t>
  </si>
  <si>
    <t>93502</t>
  </si>
  <si>
    <t>초고압 수주는 확대, 단기 변수는 주가에 반영</t>
  </si>
  <si>
    <t>93501</t>
  </si>
  <si>
    <t>이익 구조는 이미 중전기 중심</t>
  </si>
  <si>
    <t>93500</t>
  </si>
  <si>
    <t>초고압 강자, 밸류 부담은 낮아졌다</t>
  </si>
  <si>
    <t>93499</t>
  </si>
  <si>
    <t>Bloom으로 열린 성장, 밸류에이션은 아직 낮다</t>
  </si>
  <si>
    <t>93498</t>
  </si>
  <si>
    <t>편안한 밸류에이션, 강한 수주 가시성</t>
  </si>
  <si>
    <t>93497</t>
  </si>
  <si>
    <t>NFC 강소기업!</t>
  </si>
  <si>
    <t>93496</t>
  </si>
  <si>
    <t>Step-UP 준비</t>
  </si>
  <si>
    <t>93527</t>
  </si>
  <si>
    <t>Re-rating의 시간</t>
  </si>
  <si>
    <t>93526</t>
  </si>
  <si>
    <t>양자 보안칩 국책 개발 주관업체로 선정됐습니다</t>
  </si>
  <si>
    <t>93525</t>
  </si>
  <si>
    <t>2분기 순익은 컨센서스 대폭 상회하는 2조원 육박 전망</t>
  </si>
  <si>
    <t>93524</t>
  </si>
  <si>
    <t>차세대 면역 항암제 파이프라인 보유</t>
  </si>
  <si>
    <t>93523</t>
  </si>
  <si>
    <t>2026-06-15</t>
  </si>
  <si>
    <t>2Q26 일시적 실적 부진 예상</t>
  </si>
  <si>
    <t>93536</t>
  </si>
  <si>
    <t>글로벌 고가 브랜드 판매 호조로 실적개선 가속화</t>
  </si>
  <si>
    <t>93535</t>
  </si>
  <si>
    <t>올해 사상 최대 매출 가시화 되면서 실적개선 가속화</t>
  </si>
  <si>
    <t>93534</t>
  </si>
  <si>
    <t>우주/휴머노이드/소캠 등 첨단산업 검사 본격화</t>
  </si>
  <si>
    <t>93533</t>
  </si>
  <si>
    <t>Best in Class를 향한 GLP/GCG 황금비율</t>
  </si>
  <si>
    <t>93532</t>
  </si>
  <si>
    <t>실험실 자동 사냥</t>
  </si>
  <si>
    <t>93531</t>
  </si>
  <si>
    <t>93530</t>
  </si>
  <si>
    <t>수요 확대에 대비한 증설 구간</t>
  </si>
  <si>
    <t>93529</t>
  </si>
  <si>
    <t>해외 진출과 B2C 확장이 이끄는 체질 개선</t>
  </si>
  <si>
    <t>93528</t>
  </si>
  <si>
    <t>2026-06-16</t>
  </si>
  <si>
    <t>국내외 솔루션 도입 확대 국면</t>
  </si>
  <si>
    <t>93549</t>
  </si>
  <si>
    <t>원천 사업과 M&amp;A를 통한 외형 확장</t>
  </si>
  <si>
    <t>93548</t>
  </si>
  <si>
    <t>별도 매출의 성장세 확인</t>
  </si>
  <si>
    <t>93547</t>
  </si>
  <si>
    <t>공시 분석: ESS향 대형수주로 사업다각화 확대 중</t>
  </si>
  <si>
    <t>93546</t>
  </si>
  <si>
    <t>이란, 미국 MoU 체결 최대 수혜 건설사</t>
  </si>
  <si>
    <t>93545</t>
  </si>
  <si>
    <t>가파른 성장세, 지속성에 대한 의문 타파</t>
  </si>
  <si>
    <t>93544</t>
  </si>
  <si>
    <t>012210</t>
  </si>
  <si>
    <t>삼미금속</t>
  </si>
  <si>
    <t>황인범급 방향 전환</t>
  </si>
  <si>
    <t>93543</t>
  </si>
  <si>
    <t>Corporate Day 후기: 예상보다 빠른 이익 정상화 구간</t>
  </si>
  <si>
    <t>93542</t>
  </si>
  <si>
    <t>레벨이 달라진다</t>
  </si>
  <si>
    <t>93541</t>
  </si>
  <si>
    <t>CET 1 비율 상승은 RWA 재배분을 통해 ROE와 주주환원율 개선에 기여</t>
  </si>
  <si>
    <t>93540</t>
  </si>
  <si>
    <t>외국인과 내국인 매출 호조의 양 날개로 난다</t>
  </si>
  <si>
    <t>93539</t>
  </si>
  <si>
    <t>풀스텍 내재화의 우위</t>
  </si>
  <si>
    <t>93538</t>
  </si>
  <si>
    <t>달라진 그림</t>
  </si>
  <si>
    <t>93537</t>
  </si>
  <si>
    <t>2026-06-19</t>
  </si>
  <si>
    <t>외국인이 더 좋아하는 K-담배</t>
  </si>
  <si>
    <t>93617</t>
  </si>
  <si>
    <t>명확한 배당 Formula, 1차 시총 타겟 100조원</t>
  </si>
  <si>
    <t>93616</t>
  </si>
  <si>
    <t>사상 최대 실적 전망</t>
  </si>
  <si>
    <t>93615</t>
  </si>
  <si>
    <t>점포 영업레버리지 효과 본격화</t>
  </si>
  <si>
    <t>93614</t>
  </si>
  <si>
    <t>이번 분기는 다를 것</t>
  </si>
  <si>
    <t>93613</t>
  </si>
  <si>
    <t>광고모델 고윤정</t>
  </si>
  <si>
    <t>93612</t>
  </si>
  <si>
    <t>조급할 필요 없는 시기, Sublicense는 이제부터</t>
  </si>
  <si>
    <t>93611</t>
  </si>
  <si>
    <t>명확한 성장 방향성, 기업 가치도 상승할 것</t>
  </si>
  <si>
    <t>93610</t>
  </si>
  <si>
    <t>동남아 데이터센터 수혜 확대 기대</t>
  </si>
  <si>
    <t>93609</t>
  </si>
  <si>
    <t>긴 호흡으로 봐야할 로봇 부품사</t>
  </si>
  <si>
    <t>93608</t>
  </si>
  <si>
    <t>파라택시스이더리움</t>
  </si>
  <si>
    <t>DB 보안으로 번 돈, 이더리움에 쌓는다</t>
  </si>
  <si>
    <t>93607</t>
  </si>
  <si>
    <t>해외 시장 진출 가속화와 신규 제품 모멘텀까지</t>
  </si>
  <si>
    <t>93606</t>
  </si>
  <si>
    <t>본업 성장과 배당 매력을 겸비한 정수기 부품사</t>
  </si>
  <si>
    <t>93605</t>
  </si>
  <si>
    <t>고객사 및 제품 믹스 다각화로 턴어라운드 전망</t>
  </si>
  <si>
    <t>93604</t>
  </si>
  <si>
    <t>데이터센터 보안? 내가 책임져</t>
  </si>
  <si>
    <t>93603</t>
  </si>
  <si>
    <t>새로운 도약을 준비하다</t>
  </si>
  <si>
    <t>93602</t>
  </si>
  <si>
    <t>좋은 논문 발표된거 맞습니다</t>
  </si>
  <si>
    <t>93601</t>
  </si>
  <si>
    <t>친환경 기술, 세제에서 뷰티까지 - K-Clean &amp; K-Beauty의 통합 ODM 제조 플랫폼</t>
  </si>
  <si>
    <t>93600</t>
  </si>
  <si>
    <t>전장과 방산을 연결하는 차세대 PCB 전문기업</t>
  </si>
  <si>
    <t>93599</t>
  </si>
  <si>
    <t>수처리 응집제 제조기술과 품질관리를 기반으로 환경 규제 강화에 대응</t>
  </si>
  <si>
    <t>93598</t>
  </si>
  <si>
    <t>045300</t>
  </si>
  <si>
    <t>성우테크론</t>
  </si>
  <si>
    <t>반도체 후공정을 꿰뚫는 검사 전문 기업</t>
  </si>
  <si>
    <t>93597</t>
  </si>
  <si>
    <t>2026-06-18</t>
  </si>
  <si>
    <t>AI는 똑똑하게, 데이터는 안전하게</t>
  </si>
  <si>
    <t>93586</t>
  </si>
  <si>
    <t>성공적인 글로벌 진출 첫 걸음</t>
  </si>
  <si>
    <t>93585</t>
  </si>
  <si>
    <t>0001A0</t>
  </si>
  <si>
    <t>덕양에너젠</t>
  </si>
  <si>
    <t>수소 업스트림의 최강자</t>
  </si>
  <si>
    <t>93584</t>
  </si>
  <si>
    <t>챕터 2의 서막</t>
  </si>
  <si>
    <t>93583</t>
  </si>
  <si>
    <t>NDR 후기: 세포치료제 포트폴리오 확대</t>
  </si>
  <si>
    <t>93582</t>
  </si>
  <si>
    <t>2026-06-17</t>
  </si>
  <si>
    <t>특별한 협력 · 새로운 가치</t>
  </si>
  <si>
    <t>93581</t>
  </si>
  <si>
    <t>2분기에도 실적 순항 예상</t>
  </si>
  <si>
    <t>93580</t>
  </si>
  <si>
    <t>선점이 곧 프리미엄</t>
  </si>
  <si>
    <t>93579</t>
  </si>
  <si>
    <t>네이버 기관투자자 NDR 후기</t>
  </si>
  <si>
    <t>93578</t>
  </si>
  <si>
    <t>법인별 엇갈린 수익성</t>
  </si>
  <si>
    <t>93577</t>
  </si>
  <si>
    <t>숨은 가치의 재발견: DN솔루션즈, 이제 온전히 담긴다</t>
  </si>
  <si>
    <t>93576</t>
  </si>
  <si>
    <t>2026년 2분기, 실적 서프라이즈 기대된다!</t>
  </si>
  <si>
    <t>93575</t>
  </si>
  <si>
    <t>지분가치 재평가와 배당수익 확대의 교집합</t>
  </si>
  <si>
    <t>93574</t>
  </si>
  <si>
    <t>중국이 달라졌다</t>
  </si>
  <si>
    <t>93573</t>
  </si>
  <si>
    <t>93572</t>
  </si>
  <si>
    <t>SK하이닉스에 웃는다</t>
  </si>
  <si>
    <t>93571</t>
  </si>
  <si>
    <t>K-방공 시스템의 경쟁력 확인, 수주 확대 기대</t>
  </si>
  <si>
    <t>93570</t>
  </si>
  <si>
    <t>001750</t>
  </si>
  <si>
    <t>한양증권</t>
  </si>
  <si>
    <t>사업 다각화에 대한 기대</t>
  </si>
  <si>
    <t>93569</t>
  </si>
  <si>
    <t>파수AI</t>
  </si>
  <si>
    <t>국내 매출 1위의 문서 보안 전문 기업</t>
  </si>
  <si>
    <t>93568</t>
  </si>
  <si>
    <t>반도체 호황에 소재 수요 지속 증가</t>
  </si>
  <si>
    <t>93567</t>
  </si>
  <si>
    <t>스페이스X급 실적 성장</t>
  </si>
  <si>
    <t>93566</t>
  </si>
  <si>
    <t>Corporate Day 후기: 펀더멘털 이상무</t>
  </si>
  <si>
    <t>93565</t>
  </si>
  <si>
    <t>부진한 2Q 보다 3Q 실적 확대가 중요</t>
  </si>
  <si>
    <t>93564</t>
  </si>
  <si>
    <t>2Q 실적 상향 및 호조, 로봇향 매출도 처음 반영</t>
  </si>
  <si>
    <t>93563</t>
  </si>
  <si>
    <t>다시 백조로 전환 소캠2 매출 증가,실적 호조</t>
  </si>
  <si>
    <t>93562</t>
  </si>
  <si>
    <t>NAV의 절반은 전자BG다</t>
  </si>
  <si>
    <t>93561</t>
  </si>
  <si>
    <t>메모리부터 전력까지, AI 풀스택*</t>
  </si>
  <si>
    <t>93560</t>
  </si>
  <si>
    <t>원전으로 한 번 더 도약</t>
  </si>
  <si>
    <t>93559</t>
  </si>
  <si>
    <t>원전으로 여는 다음 챕터</t>
  </si>
  <si>
    <t>93558</t>
  </si>
  <si>
    <t>뭘 고를지 몰라 다 준비해봤어</t>
  </si>
  <si>
    <t>93557</t>
  </si>
  <si>
    <t>증명된 주택 수익성, 선점한 SMR 성장성</t>
  </si>
  <si>
    <t>93556</t>
  </si>
  <si>
    <t>본업에 집중, 해외는 추가 옵션</t>
  </si>
  <si>
    <t>93555</t>
  </si>
  <si>
    <t>임상 1/2a상 최종 결과 - ‘성공’</t>
  </si>
  <si>
    <t>93554</t>
  </si>
  <si>
    <t>미국 전력망용 ESS 배터리 모듈/팩 사업 진출</t>
  </si>
  <si>
    <t>93553</t>
  </si>
  <si>
    <t>지누스만 남았다</t>
  </si>
  <si>
    <t>93552</t>
  </si>
  <si>
    <t>로봇 하드웨어 티어 1 공급자의 길</t>
  </si>
  <si>
    <t>93551</t>
  </si>
  <si>
    <t>속성이 다른 이익에 기반한 밸류에이션 할증</t>
  </si>
  <si>
    <t>93550</t>
  </si>
  <si>
    <t>2026-06-22</t>
  </si>
  <si>
    <t>반도체 낙수효과 및 중복상장 규제 수혜</t>
  </si>
  <si>
    <t>93624</t>
  </si>
  <si>
    <t>전력 인프라 수주확대 및 중복상장 규제 수혜</t>
  </si>
  <si>
    <t>93623</t>
  </si>
  <si>
    <t>중기 주가 상승세 유지 예상</t>
  </si>
  <si>
    <t>93622</t>
  </si>
  <si>
    <t>2Q26 영업이익 63.7 조원 전망</t>
  </si>
  <si>
    <t>93621</t>
  </si>
  <si>
    <t>디바이스 니치마켓 전문기업</t>
  </si>
  <si>
    <t>93620</t>
  </si>
  <si>
    <t>2026년은 새로운 도전을 해요</t>
  </si>
  <si>
    <t>93619</t>
  </si>
  <si>
    <t>신규 장비 개발 성과 주목</t>
  </si>
  <si>
    <t>93618</t>
  </si>
  <si>
    <t>2026-06-23</t>
  </si>
  <si>
    <t>문서 SW에서 Sovereign Agentic OS로</t>
  </si>
  <si>
    <t>93646</t>
  </si>
  <si>
    <t>하반기 호실적 기대</t>
  </si>
  <si>
    <t>93645</t>
  </si>
  <si>
    <t>성장 동력 확보 노력</t>
  </si>
  <si>
    <t>93644</t>
  </si>
  <si>
    <t>지구홀딩스</t>
  </si>
  <si>
    <t>지구력을 보유한 영구 투자 회사</t>
  </si>
  <si>
    <t>93643</t>
  </si>
  <si>
    <t>하반기 기대되는 신성장 스토리</t>
  </si>
  <si>
    <t>93642</t>
  </si>
  <si>
    <t>정상화를 넘어 성장 국면으로</t>
  </si>
  <si>
    <t>93641</t>
  </si>
  <si>
    <t>새로운 시장을 여는 플랫폼 리더로 도약 중</t>
  </si>
  <si>
    <t>93640</t>
  </si>
  <si>
    <t>원통형 이차전지 안전장치 제조업체</t>
  </si>
  <si>
    <t>93639</t>
  </si>
  <si>
    <t>성장하고 있는 AI 보안, 인증 플랫폼 강소기업</t>
  </si>
  <si>
    <t>93638</t>
  </si>
  <si>
    <t>공정 다변화와 고객사 확대가 만드는 신규 수요</t>
  </si>
  <si>
    <t>93637</t>
  </si>
  <si>
    <t>생각보다 더 괜찮은 중국 비만 시장의 기회</t>
  </si>
  <si>
    <t>93636</t>
  </si>
  <si>
    <t>P/E 10배는 테크 주식의 기본 배수다</t>
  </si>
  <si>
    <t>93635</t>
  </si>
  <si>
    <t>Tech Forum 2026: LNG플랜트 확대 기회</t>
  </si>
  <si>
    <t>93634</t>
  </si>
  <si>
    <t>2Q26 Pre: 좋아질 일만 남았다</t>
  </si>
  <si>
    <t>93633</t>
  </si>
  <si>
    <t>NDR 후기: 계획대로 가는 중</t>
  </si>
  <si>
    <t>93632</t>
  </si>
  <si>
    <t>1호 미국 원전 프로젝트 투자는 대형 원전 ? SMR ?</t>
  </si>
  <si>
    <t>93631</t>
  </si>
  <si>
    <t>새로운 가치평가 방식 필요</t>
  </si>
  <si>
    <t>93630</t>
  </si>
  <si>
    <t>반 값 밸류에이션 받을 만한 특별한 이유 없어</t>
  </si>
  <si>
    <t>93629</t>
  </si>
  <si>
    <t>전분기에 이어 2분기에도 실적 성장세 지속 기대</t>
  </si>
  <si>
    <t>93628</t>
  </si>
  <si>
    <t>광케이블+특수 케이블 쌍끌이 수혜</t>
  </si>
  <si>
    <t>93627</t>
  </si>
  <si>
    <t>로봇 충전기 사업 진출</t>
  </si>
  <si>
    <t>93626</t>
  </si>
  <si>
    <t>체력 증명 성공</t>
  </si>
  <si>
    <t>93625</t>
  </si>
  <si>
    <t>2026-06-24</t>
  </si>
  <si>
    <t>양호한 본업, 온라인 사업 걸림돌</t>
  </si>
  <si>
    <t>93669</t>
  </si>
  <si>
    <t>테스트 소켓도 LTA 체결 중</t>
  </si>
  <si>
    <t>93668</t>
  </si>
  <si>
    <t>사우디 과세에 대한 과도한 우려</t>
  </si>
  <si>
    <t>93667</t>
  </si>
  <si>
    <t>014950</t>
  </si>
  <si>
    <t>삼익제약</t>
  </si>
  <si>
    <t>IPO 주관사 업데이트: 5년 내 매출 2배 성장이 목표</t>
  </si>
  <si>
    <t>93666</t>
  </si>
  <si>
    <t>2Q26 Pre: 계절적 비수기 불구하고 견조한 탑라인 지속</t>
  </si>
  <si>
    <t>93665</t>
  </si>
  <si>
    <t>사우디 법인세 과세 이슈 점검</t>
  </si>
  <si>
    <t>93664</t>
  </si>
  <si>
    <t>사우디의 무리한 과세 통보, 현실화 가능성은 낮음</t>
  </si>
  <si>
    <t>93663</t>
  </si>
  <si>
    <t>AI전환에 따른 하반기 실적 개선 기대</t>
  </si>
  <si>
    <t>93662</t>
  </si>
  <si>
    <t>체질개선과 구조적 트래픽 증가!</t>
  </si>
  <si>
    <t>93661</t>
  </si>
  <si>
    <t>해외 생산거점과 신사업으로 성장 기반 강화</t>
  </si>
  <si>
    <t>93660</t>
  </si>
  <si>
    <t>0015N0</t>
  </si>
  <si>
    <t>아로마티카</t>
  </si>
  <si>
    <t>북미 오프라인 채널 확장 본격화</t>
  </si>
  <si>
    <t>93659</t>
  </si>
  <si>
    <t>삼성전자發 호재, 한둘이 아니다</t>
  </si>
  <si>
    <t>93658</t>
  </si>
  <si>
    <t>수주 온기 지속, 계절성 완화 가능성</t>
  </si>
  <si>
    <t>93657</t>
  </si>
  <si>
    <t>날 봐! 달라진 나를 봐!</t>
  </si>
  <si>
    <t>93656</t>
  </si>
  <si>
    <t>2Q26 Pre: 항공화물의 운임탄력성을 확인하다</t>
  </si>
  <si>
    <t>93655</t>
  </si>
  <si>
    <t>사업 구조조정 효과에 업황 개선까지</t>
  </si>
  <si>
    <t>93654</t>
  </si>
  <si>
    <t>7월 전략 - 영업 비용에 대한 신중한 접근 필요한 시점</t>
  </si>
  <si>
    <t>93653</t>
  </si>
  <si>
    <t>7월 전략 - 재료 부상하며 2Q 실적 시즌 주가 오를 것</t>
  </si>
  <si>
    <t>93652</t>
  </si>
  <si>
    <t>7월 전략 - 실적과 AI RAN이 주가 올릴 것</t>
  </si>
  <si>
    <t>93651</t>
  </si>
  <si>
    <t>이제 펀더멘탈 회복만 기다리면 된다</t>
  </si>
  <si>
    <t>93650</t>
  </si>
  <si>
    <t>IR후기: 소재혁신센터 기반 신규사업 본격 추진</t>
  </si>
  <si>
    <t>93649</t>
  </si>
  <si>
    <t>향상된 이익체력에도 평균을 하회하는 멀티플</t>
  </si>
  <si>
    <t>93648</t>
  </si>
  <si>
    <t>릴리가 검증한 플랫폼, 비만과 뷰티로 확장</t>
  </si>
  <si>
    <t>93647</t>
  </si>
  <si>
    <t>2026-06-25</t>
  </si>
  <si>
    <t>NDR 後記: DX에서 AX, RX로 사업 영역 확대 중</t>
  </si>
  <si>
    <t>93685</t>
  </si>
  <si>
    <t>요즘 Hot한 거제에 다녀왔습니다</t>
  </si>
  <si>
    <t>93684</t>
  </si>
  <si>
    <t>턴어라운드 그 이상의 변화</t>
  </si>
  <si>
    <t>93683</t>
  </si>
  <si>
    <t>다들 돈이 많은 것 같다</t>
  </si>
  <si>
    <t>93682</t>
  </si>
  <si>
    <t>구조조정에도 연간 조 단위 영업이익 전망</t>
  </si>
  <si>
    <t>93681</t>
  </si>
  <si>
    <t>실적으로 증명해 가는 유리용기</t>
  </si>
  <si>
    <t>93680</t>
  </si>
  <si>
    <t>돋보이는 성장성</t>
  </si>
  <si>
    <t>93679</t>
  </si>
  <si>
    <t>Developer!</t>
  </si>
  <si>
    <t>93678</t>
  </si>
  <si>
    <t>흔들림 없는 실적 호조! 2Q 좋고, 3Q 더 좋다!</t>
  </si>
  <si>
    <t>93677</t>
  </si>
  <si>
    <t>0013V0</t>
  </si>
  <si>
    <t>삼진식품</t>
  </si>
  <si>
    <t>다음 목적지는 글로벌 K-푸드</t>
  </si>
  <si>
    <t>93676</t>
  </si>
  <si>
    <t>373110</t>
  </si>
  <si>
    <t>엑셀세라퓨틱스</t>
  </si>
  <si>
    <t>세포배양배지의 구조적 성장 기대</t>
  </si>
  <si>
    <t>93675</t>
  </si>
  <si>
    <t>쌓이기 시작하는 레퍼런스, 관건은 수주의 반복성</t>
  </si>
  <si>
    <t>93674</t>
  </si>
  <si>
    <t>핵심은 실적 호조, 광학(카메라)의 경쟁력!</t>
  </si>
  <si>
    <t>93673</t>
  </si>
  <si>
    <t>짙어지는 로보틱스 사업자의 면모</t>
  </si>
  <si>
    <t>93672</t>
  </si>
  <si>
    <t>법인세 부과 관련 코멘트</t>
  </si>
  <si>
    <t>93671</t>
  </si>
  <si>
    <t>탐방 노트: 지금은 초호황</t>
  </si>
  <si>
    <t>93670</t>
  </si>
  <si>
    <t>2026-06-26</t>
  </si>
  <si>
    <t>이익 회복 국면 진입</t>
  </si>
  <si>
    <t>93705</t>
  </si>
  <si>
    <t>475830</t>
  </si>
  <si>
    <t>오름테라퓨틱</t>
  </si>
  <si>
    <t>항체-분해약물 접합체, 임상 데이터가 기폭제</t>
  </si>
  <si>
    <t>93704</t>
  </si>
  <si>
    <t>099440</t>
  </si>
  <si>
    <t>스맥</t>
  </si>
  <si>
    <t>반도체 부문이 이끄는 턴어라운드</t>
  </si>
  <si>
    <t>93703</t>
  </si>
  <si>
    <t>얼리텍-B로 확인하는 상업화의 시간</t>
  </si>
  <si>
    <t>93702</t>
  </si>
  <si>
    <t>모세혈액 한 방울로 20여 종 진단 - 세계를 누비는 POCT 혁신기업</t>
  </si>
  <si>
    <t>93701</t>
  </si>
  <si>
    <t>가상 데스크톱 운영기술을 기반으로 클라우드·AI 업무환경 전환 추진 중</t>
  </si>
  <si>
    <t>93700</t>
  </si>
  <si>
    <t>AI 디지털 트윈 기술로 제조 현장의 자율화와 운영 최적화를 구현하는 기업</t>
  </si>
  <si>
    <t>93699</t>
  </si>
  <si>
    <t>109610</t>
  </si>
  <si>
    <t>에스와이</t>
  </si>
  <si>
    <t>샌드위치패널 기반 단열·내화 기술 경쟁력을 보유한 건축자재 전문기업</t>
  </si>
  <si>
    <t>93698</t>
  </si>
  <si>
    <t>096630</t>
  </si>
  <si>
    <t>에스코넥</t>
  </si>
  <si>
    <t>정밀 금속 구조부품 제조역량 기반으로 고사양 모바일 부품 시장 변화에 대응</t>
  </si>
  <si>
    <t>93697</t>
  </si>
  <si>
    <t>042940</t>
  </si>
  <si>
    <t>상지건설</t>
  </si>
  <si>
    <t>강남 하이엔드 주거의 30년 시공 명가</t>
  </si>
  <si>
    <t>93696</t>
  </si>
  <si>
    <t>098660</t>
  </si>
  <si>
    <t>에스티오</t>
  </si>
  <si>
    <t>복합 브랜드·온라인 채널·주주환원 정책을 강화하며 패션 플랫폼으로 전환 추진 중</t>
  </si>
  <si>
    <t>93695</t>
  </si>
  <si>
    <t>101680</t>
  </si>
  <si>
    <t>한국정밀기계</t>
  </si>
  <si>
    <t>고정밀 대형 부품가공 수요에 대응하며, 해외시장 확대와 사후관리 역량 강화 중</t>
  </si>
  <si>
    <t>93694</t>
  </si>
  <si>
    <t>5G 고도화와 전장·IoT 확산에 대응해 RF 솔루션 적용처 확대 추진 중</t>
  </si>
  <si>
    <t>93693</t>
  </si>
  <si>
    <t>IPO 의무 발간: 약국 채널 중심 사업 구조 유지</t>
  </si>
  <si>
    <t>93692</t>
  </si>
  <si>
    <t>FLNG 글로벌 1등인데 FDC도?</t>
  </si>
  <si>
    <t>93691</t>
  </si>
  <si>
    <t>치고 나가는 수출</t>
  </si>
  <si>
    <t>93690</t>
  </si>
  <si>
    <t>27년에 더욱 부각될 생산능력</t>
  </si>
  <si>
    <t>93689</t>
  </si>
  <si>
    <t>출격 SKHY US</t>
  </si>
  <si>
    <t>93688</t>
  </si>
  <si>
    <t>ADR(American Depositary Receipts) 발행을 위한 유상 증자</t>
  </si>
  <si>
    <t>93687</t>
  </si>
  <si>
    <t>선입견 속에 가려진 진짜 CPO 기업</t>
  </si>
  <si>
    <t>93686</t>
  </si>
  <si>
    <t>보해양조</t>
  </si>
  <si>
    <t>인디에프</t>
  </si>
  <si>
    <t>효성화학</t>
  </si>
  <si>
    <t>현대약품</t>
  </si>
  <si>
    <t>동양</t>
  </si>
  <si>
    <t>다스코</t>
  </si>
  <si>
    <t>일성건설</t>
  </si>
  <si>
    <t>부국증권</t>
  </si>
  <si>
    <t>성창기업지주</t>
  </si>
  <si>
    <t>이리츠코크렙</t>
  </si>
  <si>
    <t>비상교육</t>
  </si>
  <si>
    <t>2026-06-29</t>
  </si>
  <si>
    <t>리가켐바이오 추가 투자 관련 코멘트</t>
  </si>
  <si>
    <t>93720</t>
  </si>
  <si>
    <t>중화권 유통사업 가치 어림잡아보기</t>
  </si>
  <si>
    <t>93719</t>
  </si>
  <si>
    <t>[IPO주관사 업데이트] 본격적 성장 궤도 진입</t>
  </si>
  <si>
    <t>93718</t>
  </si>
  <si>
    <t>실적과 멀티플 둘 다 열려 있다</t>
  </si>
  <si>
    <t>93717</t>
  </si>
  <si>
    <t>93716</t>
  </si>
  <si>
    <t>93715</t>
  </si>
  <si>
    <t>0015G0</t>
  </si>
  <si>
    <t>그린광학</t>
  </si>
  <si>
    <t>방산기업 No! 광학기업 Yes!</t>
  </si>
  <si>
    <t>93714</t>
  </si>
  <si>
    <t>052900</t>
  </si>
  <si>
    <t>KX하이텍</t>
  </si>
  <si>
    <t>SSD 수요 확대 수혜</t>
  </si>
  <si>
    <t>93713</t>
  </si>
  <si>
    <t>두렵지 않다</t>
  </si>
  <si>
    <t>93712</t>
  </si>
  <si>
    <t>한국의 팔란티어가 될 수 있을까</t>
  </si>
  <si>
    <t>93711</t>
  </si>
  <si>
    <t>중장기 성장 전략 드라이브 시작</t>
  </si>
  <si>
    <t>93710</t>
  </si>
  <si>
    <t>[IPO 기업 업데이트] 하반기 모멘텀에 주목</t>
  </si>
  <si>
    <t>93709</t>
  </si>
  <si>
    <t>아직 꺼내지 않은 카드들</t>
  </si>
  <si>
    <t>93708</t>
  </si>
  <si>
    <t>백화점에 웃는다</t>
  </si>
  <si>
    <t>93707</t>
  </si>
  <si>
    <t>265560</t>
  </si>
  <si>
    <t>영화테크</t>
  </si>
  <si>
    <t>펀더멘털을 감안하면 매력적인 자동차 부품사</t>
  </si>
  <si>
    <t>93706</t>
  </si>
  <si>
    <t>2026-06-30</t>
  </si>
  <si>
    <t>2026-07-01</t>
  </si>
  <si>
    <t>MLCC 대규모 수주 공시</t>
  </si>
  <si>
    <t>93800</t>
  </si>
  <si>
    <t>매력적인 사업 모델, 높아지는 투자 매력도</t>
  </si>
  <si>
    <t>93799</t>
  </si>
  <si>
    <t>에스비비테크 SSS급 정밀 감속기 제조사</t>
  </si>
  <si>
    <t>93798</t>
  </si>
  <si>
    <t>영업실적도, 주주환원도 레벨업</t>
  </si>
  <si>
    <t>93797</t>
  </si>
  <si>
    <t>SAP ERP 중심 EAI 컨설팅, 보안에서 EDI까지</t>
  </si>
  <si>
    <t>93796</t>
  </si>
  <si>
    <t>Team SK</t>
  </si>
  <si>
    <t>93795</t>
  </si>
  <si>
    <t>2Q26 Preview : 백화점의 차별적 강세 지속</t>
  </si>
  <si>
    <t>93794</t>
  </si>
  <si>
    <t>2Q26 Preview : 제자리를 찾았다</t>
  </si>
  <si>
    <t>93793</t>
  </si>
  <si>
    <t>2Q26 Preview : 백화점 강세에 더해질 대형마트 모멘텀</t>
  </si>
  <si>
    <t>93792</t>
  </si>
  <si>
    <t>맺어지는 투자의 결실들</t>
  </si>
  <si>
    <t>93791</t>
  </si>
  <si>
    <t>달바글로벌: 멀티 브랜드 대기업을 향해 나아가는 중</t>
  </si>
  <si>
    <t>93790</t>
  </si>
  <si>
    <t>2분기부터 세 자리 수 이익 성장 시작</t>
  </si>
  <si>
    <t>93789</t>
  </si>
  <si>
    <t>니케의 반등 확인, 하반기 스피릿 공개 기대</t>
  </si>
  <si>
    <t>93788</t>
  </si>
  <si>
    <t>매력적인 가격대, 매수 기회</t>
  </si>
  <si>
    <t>93787</t>
  </si>
  <si>
    <t>PC·콘솔 신작 가시성이 중요</t>
  </si>
  <si>
    <t>93786</t>
  </si>
  <si>
    <t>이익 확대 구간 진입</t>
  </si>
  <si>
    <t>93785</t>
  </si>
  <si>
    <t>흥행 이후를 증명할 시간</t>
  </si>
  <si>
    <t>93784</t>
  </si>
  <si>
    <t>공백을 버티는 IP 체력</t>
  </si>
  <si>
    <t>93783</t>
  </si>
  <si>
    <t>낮아진 눈높이, 하반기가 관건</t>
  </si>
  <si>
    <t>93782</t>
  </si>
  <si>
    <t>PUBG는 다시 성장하는 중</t>
  </si>
  <si>
    <t>93781</t>
  </si>
  <si>
    <t>레거시 IP, 다시 실적을 만들다</t>
  </si>
  <si>
    <t>93780</t>
  </si>
  <si>
    <t>실행력 검증이 중장기 수익성의 관건</t>
  </si>
  <si>
    <t>93779</t>
  </si>
  <si>
    <t>앞으로 1년간, 3가지 투자매력이 이어진다!</t>
  </si>
  <si>
    <t>93778</t>
  </si>
  <si>
    <t>2026년 예상 매출 성장률 51%</t>
  </si>
  <si>
    <t>93777</t>
  </si>
  <si>
    <t>하반기 Sensor 부문 성장성 주목</t>
  </si>
  <si>
    <t>93776</t>
  </si>
  <si>
    <t>견조한 펀더멘털, 매력적인 주가</t>
  </si>
  <si>
    <t>93775</t>
  </si>
  <si>
    <t>실적도 배당도 제자리로</t>
  </si>
  <si>
    <t>93774</t>
  </si>
  <si>
    <t>무선의 강자</t>
  </si>
  <si>
    <t>93773</t>
  </si>
  <si>
    <t>이보다 더 좋을 수 있을까</t>
  </si>
  <si>
    <t>93772</t>
  </si>
  <si>
    <t>충당금 반영 후에도 높아질 눈높이</t>
  </si>
  <si>
    <t>93771</t>
  </si>
  <si>
    <t>경쟁사 본진으로 침투하는 주도주</t>
  </si>
  <si>
    <t>93770</t>
  </si>
  <si>
    <t>183190</t>
  </si>
  <si>
    <t>아세아시멘트</t>
  </si>
  <si>
    <t>아세아시멘트; 착공 현장이 늘어난다</t>
  </si>
  <si>
    <t>93769</t>
  </si>
  <si>
    <t>314130</t>
  </si>
  <si>
    <t>지놈앤컴퍼니</t>
  </si>
  <si>
    <t>신규타깃 ADC로 체질 전환, 다음은 후속 L/O</t>
  </si>
  <si>
    <t>93768</t>
  </si>
  <si>
    <t>반도체 투자 사이클 수혜</t>
  </si>
  <si>
    <t>93767</t>
  </si>
  <si>
    <t>HBM 후공정 투자 재개로 2026년 실적 턴어라운드</t>
  </si>
  <si>
    <t>93766</t>
  </si>
  <si>
    <t>실적 개선과 IP확장 전략에 대한 기대</t>
  </si>
  <si>
    <t>93765</t>
  </si>
  <si>
    <t>밸류에이션 부담 완화, 비중 확대 시점</t>
  </si>
  <si>
    <t>93764</t>
  </si>
  <si>
    <t>ESS의 가파른 성장세 본격화</t>
  </si>
  <si>
    <t>93763</t>
  </si>
  <si>
    <t>양호한 실적 흐름 감안하면, 주가 조정은 기회</t>
  </si>
  <si>
    <t>93762</t>
  </si>
  <si>
    <t>반도체 투자 Cycle 수혜주: 중·단기 모멘텀 보유</t>
  </si>
  <si>
    <t>93761</t>
  </si>
  <si>
    <t>난기류 지대에 진입했다고 목적지가 변경되는 것은 아니다</t>
  </si>
  <si>
    <t>93760</t>
  </si>
  <si>
    <t>든든한 수주 파이프라인</t>
  </si>
  <si>
    <t>93759</t>
  </si>
  <si>
    <t>드디어 손에 쥔 FDA 허가증이 불러올 3가지 효과</t>
  </si>
  <si>
    <t>93758</t>
  </si>
  <si>
    <t>친환경 선박과 전력 인프라를 잇는 조선해양 전장 솔루션 기업</t>
  </si>
  <si>
    <t>93757</t>
  </si>
  <si>
    <t>두번째 피봇은 기회가 더 크다</t>
  </si>
  <si>
    <t>93756</t>
  </si>
  <si>
    <t>유럽 시장을 기반으로 Tier-upgrade 진행 중</t>
  </si>
  <si>
    <t>93755</t>
  </si>
  <si>
    <t>쌓아온 시간이 성과로 이어질 때</t>
  </si>
  <si>
    <t>93754</t>
  </si>
  <si>
    <t>2분기 흑자 전환 기대</t>
  </si>
  <si>
    <t>93753</t>
  </si>
  <si>
    <t>코스닥 150 지수 편입과 2차전지의 기회</t>
  </si>
  <si>
    <t>93752</t>
  </si>
  <si>
    <t>실적이 끌고, 현대모비스가 밀고</t>
  </si>
  <si>
    <t>93751</t>
  </si>
  <si>
    <t>하반기에 실적, 모멘텀, 주주 환원 삼박자</t>
  </si>
  <si>
    <t>93750</t>
  </si>
  <si>
    <t>456040</t>
  </si>
  <si>
    <t>OCI</t>
  </si>
  <si>
    <t>NDR takeaways - 예상보다 강한 수익성 확인</t>
  </si>
  <si>
    <t>93749</t>
  </si>
  <si>
    <t>일회성 비용 확대 아쉬움, 하반기 이익 개선 모멘텀 기대</t>
  </si>
  <si>
    <t>93748</t>
  </si>
  <si>
    <t>열 관리를 품은 액추에이터와 전기차 2nd Wave</t>
  </si>
  <si>
    <t>93747</t>
  </si>
  <si>
    <t>서초동 부지 매각 결정</t>
  </si>
  <si>
    <t>93746</t>
  </si>
  <si>
    <t>93745</t>
  </si>
  <si>
    <t>상반기 대비 하반기는 실적 개선세 기대</t>
  </si>
  <si>
    <t>93744</t>
  </si>
  <si>
    <t>정상화의 시작, 온톨로지로 넓어지는 기회</t>
  </si>
  <si>
    <t>93743</t>
  </si>
  <si>
    <t>단점은 극복 중. 장점은 극대화 중</t>
  </si>
  <si>
    <t>93742</t>
  </si>
  <si>
    <t>AI 수요와 필연적인 동행</t>
  </si>
  <si>
    <t>93741</t>
  </si>
  <si>
    <t>방산도 Up-Cycle, 뚜렷한 온기 확산</t>
  </si>
  <si>
    <t>93740</t>
  </si>
  <si>
    <t>유럽 사업 영토 확장 중</t>
  </si>
  <si>
    <t>93739</t>
  </si>
  <si>
    <t>국내 최대 멀티브랜드 화장품 기업의 저력을 드러내는 중</t>
  </si>
  <si>
    <t>93738</t>
  </si>
  <si>
    <t>2Q26 프리뷰: 기대치 부합. 주가는 다시 박스권 하단</t>
  </si>
  <si>
    <t>93737</t>
  </si>
  <si>
    <t>리가켐바이오 1,250억원 추가 투자 공시</t>
  </si>
  <si>
    <t>93736</t>
  </si>
  <si>
    <t>본업 호조, 지누스 정상화 시작</t>
  </si>
  <si>
    <t>93735</t>
  </si>
  <si>
    <t>명품이 끌고, 면세가 밀고 이익 레버리지 본격화</t>
  </si>
  <si>
    <t>93734</t>
  </si>
  <si>
    <t>Everllence 인수에서 드러나는 AM의 가치</t>
  </si>
  <si>
    <t>93733</t>
  </si>
  <si>
    <t>인공 위성 수신기용 필름과 중국발 수소 모멘텀</t>
  </si>
  <si>
    <t>93732</t>
  </si>
  <si>
    <t>하반기 불확실성 해소 기대</t>
  </si>
  <si>
    <t>93731</t>
  </si>
  <si>
    <t>NDR 後記: 하반기 실적 회복 및 의료기기 사업 기대</t>
  </si>
  <si>
    <t>93730</t>
  </si>
  <si>
    <t>저점마저 높다</t>
  </si>
  <si>
    <t>93729</t>
  </si>
  <si>
    <t>기세 오르다!</t>
  </si>
  <si>
    <t>93728</t>
  </si>
  <si>
    <t>올해 실적개선 및 DBO 성장성 가시화 될 듯</t>
  </si>
  <si>
    <t>93727</t>
  </si>
  <si>
    <t>자사주 소각, 중복상장 규제, 합병 공정가액 도입 수혜</t>
  </si>
  <si>
    <t>93726</t>
  </si>
  <si>
    <t>하반기는 실적, 내년 상반기는 모멘텀을 기대</t>
  </si>
  <si>
    <t>93725</t>
  </si>
  <si>
    <t>2Q26 Preview: 수주는 이제 시작이다</t>
  </si>
  <si>
    <t>93724</t>
  </si>
  <si>
    <t>2Q26 영업이익 89조원</t>
  </si>
  <si>
    <t>93723</t>
  </si>
  <si>
    <t>양질의 성장 기반을 다질 2026년</t>
  </si>
  <si>
    <t>93722</t>
  </si>
  <si>
    <t>2Q26, 7개 분기만의 영업흑자 전환 예상</t>
  </si>
  <si>
    <t>93721</t>
  </si>
  <si>
    <t>2026-07-02</t>
  </si>
  <si>
    <t>하반기는 더 크다</t>
  </si>
  <si>
    <t>93835</t>
  </si>
  <si>
    <t>SK하이닉스 야호~</t>
  </si>
  <si>
    <t>93834</t>
  </si>
  <si>
    <t>확실한 레벨업</t>
  </si>
  <si>
    <t>93833</t>
  </si>
  <si>
    <t>주가 재평가를 위한 씨앗 심기</t>
  </si>
  <si>
    <t>93832</t>
  </si>
  <si>
    <t>제조 부문 바닥 통과와 Atlas 옵션의 조합</t>
  </si>
  <si>
    <t>93831</t>
  </si>
  <si>
    <t>Agent AI Ecosystem 중심에 서다</t>
  </si>
  <si>
    <t>93830</t>
  </si>
  <si>
    <t>MENITH로 확장되는 글로벌 조제 자동화</t>
  </si>
  <si>
    <t>93829</t>
  </si>
  <si>
    <t>여러모로 편안한 한 해</t>
  </si>
  <si>
    <t>93828</t>
  </si>
  <si>
    <t>3분기까지 마진 압박 불가피</t>
  </si>
  <si>
    <t>93827</t>
  </si>
  <si>
    <t xml:space="preserve"> 가이던스 반영 시 유상증자 희석 영향 제한적</t>
  </si>
  <si>
    <t>93826</t>
  </si>
  <si>
    <t>시스템 공급, 끝이 아닌 시작</t>
  </si>
  <si>
    <t>93825</t>
  </si>
  <si>
    <t>더 좋아졌는데 더 낮아진 밸류에이션</t>
  </si>
  <si>
    <t>93824</t>
  </si>
  <si>
    <t>2Q26 Preview 컨센서스 부합</t>
  </si>
  <si>
    <t>93823</t>
  </si>
  <si>
    <t>2Q26 Preview 그럼에도 불구하고 믿음의 실적</t>
  </si>
  <si>
    <t>93822</t>
  </si>
  <si>
    <t>이번 성수기 주인공, It’s me</t>
  </si>
  <si>
    <t>93821</t>
  </si>
  <si>
    <t>순항하는 SOCAMM, 차세대품 기대감까지</t>
  </si>
  <si>
    <t>93820</t>
  </si>
  <si>
    <t>수익성 정상화와 함께 수요 강세 감지</t>
  </si>
  <si>
    <t>93819</t>
  </si>
  <si>
    <t>명백한 공급자 우위 시장</t>
  </si>
  <si>
    <t>93818</t>
  </si>
  <si>
    <t>평이한 실적, 결국 트리거는 신사업</t>
  </si>
  <si>
    <t>93817</t>
  </si>
  <si>
    <t>중장기 성장 여력 확보가 관건</t>
  </si>
  <si>
    <t>93816</t>
  </si>
  <si>
    <t>데이터센터로 강력 매수</t>
  </si>
  <si>
    <t>93815</t>
  </si>
  <si>
    <t>단기 변동성 확대 예상</t>
  </si>
  <si>
    <t>93814</t>
  </si>
  <si>
    <t>DAC 기술의 선구자, PoC 입증 단계 진입</t>
  </si>
  <si>
    <t>93813</t>
  </si>
  <si>
    <t>중국 회복 가시화 시 반등 기대</t>
  </si>
  <si>
    <t>93812</t>
  </si>
  <si>
    <t>실적과 CET1비율 모두 향상</t>
  </si>
  <si>
    <t>93811</t>
  </si>
  <si>
    <t>적극 매수 구간</t>
  </si>
  <si>
    <t>93810</t>
  </si>
  <si>
    <t>소캠2 양산 본격화, 2H26에 주도주로 부상!</t>
  </si>
  <si>
    <t>93809</t>
  </si>
  <si>
    <t>ETF 타고 브로커리지 왕좌를 노린다</t>
  </si>
  <si>
    <t>93808</t>
  </si>
  <si>
    <t>니켈 Upstream 내재화를 통한 중장기 경쟁력 강화</t>
  </si>
  <si>
    <t>93807</t>
  </si>
  <si>
    <t>1.2조원 유상증자 관련 코멘트</t>
  </si>
  <si>
    <t>93806</t>
  </si>
  <si>
    <t>Just in time에서 LTA로, 범용에서 스페셜티로 진화</t>
  </si>
  <si>
    <t>93805</t>
  </si>
  <si>
    <t>영구 CB 발행 관련 코멘트</t>
  </si>
  <si>
    <t>93804</t>
  </si>
  <si>
    <t>큰 파도를 지나는 중</t>
  </si>
  <si>
    <t>93803</t>
  </si>
  <si>
    <t>실적 방향성 전환에 주목</t>
  </si>
  <si>
    <t>93802</t>
  </si>
  <si>
    <t>증익 기조 속 밸류에이션 매력 부각</t>
  </si>
  <si>
    <t>93801</t>
  </si>
  <si>
    <t>2026-07-03</t>
  </si>
  <si>
    <t>편안하게 매수하시면 됩니다.</t>
  </si>
  <si>
    <t>93876</t>
  </si>
  <si>
    <t>2Q26 Preview : 16년 이후 최고 기존점성장률</t>
  </si>
  <si>
    <t>93875</t>
  </si>
  <si>
    <t>2Q26 Preview : 조용히 때를 기다리다</t>
  </si>
  <si>
    <t>93874</t>
  </si>
  <si>
    <t>실적 경로는 유효, 관건은 신사업</t>
  </si>
  <si>
    <t>93873</t>
  </si>
  <si>
    <t>119850</t>
  </si>
  <si>
    <t>지엔씨에너지</t>
  </si>
  <si>
    <t>기대 매출 4조 원, 대도약과 함께 재도약</t>
  </si>
  <si>
    <t>93872</t>
  </si>
  <si>
    <t>추정치의 바닥에서 모멘텀 축적 시작</t>
  </si>
  <si>
    <t>93871</t>
  </si>
  <si>
    <t>DDI 완전 자회사화 + 구글 플레이스토어 수수료율 인하 시작</t>
  </si>
  <si>
    <t>93870</t>
  </si>
  <si>
    <t>관세 환급 반영으로 컨센서스 상회</t>
  </si>
  <si>
    <t>93869</t>
  </si>
  <si>
    <t>불확실성 해소 국면</t>
  </si>
  <si>
    <t>93868</t>
  </si>
  <si>
    <t>강한 거래대금 증가의 수혜주</t>
  </si>
  <si>
    <t>93867</t>
  </si>
  <si>
    <t>고배당 매력 재부각</t>
  </si>
  <si>
    <t>93866</t>
  </si>
  <si>
    <t>새로운 정책 수혜주로 발돋움할 전망</t>
  </si>
  <si>
    <t>93865</t>
  </si>
  <si>
    <t>하반기 갈수록 편하다!</t>
  </si>
  <si>
    <t>93864</t>
  </si>
  <si>
    <t>실적 전망치 상향 조정 지속</t>
  </si>
  <si>
    <t>93863</t>
  </si>
  <si>
    <t>93862</t>
  </si>
  <si>
    <t>단단한 본업과 밸류에이션 매력</t>
  </si>
  <si>
    <t>93861</t>
  </si>
  <si>
    <t>1분기와 유사한 실적 흐름 예상</t>
  </si>
  <si>
    <t>93860</t>
  </si>
  <si>
    <t>AI SoC 병목을 푸는 인프라 IP 기업</t>
  </si>
  <si>
    <t>93859</t>
  </si>
  <si>
    <t>매출 및 이익 성장 재개</t>
  </si>
  <si>
    <t>93858</t>
  </si>
  <si>
    <t>279600</t>
  </si>
  <si>
    <t>미디어젠</t>
  </si>
  <si>
    <t>차량용 음성 AI 기반 생성형 AI, 공공·교육·상담, 하드웨어 결합 솔루션으로 확장</t>
  </si>
  <si>
    <t>93857</t>
  </si>
  <si>
    <t>123840</t>
  </si>
  <si>
    <t>뉴온</t>
  </si>
  <si>
    <t>건강기능식품 사업 고도화 및 생활용품·뷰티 브랜드 확장 추진 중</t>
  </si>
  <si>
    <t>93856</t>
  </si>
  <si>
    <t>109860</t>
  </si>
  <si>
    <t>동일금속</t>
  </si>
  <si>
    <t>고중량 건설기계용 주강 부품의 축적된 제조기술과 글로벌 고객사 공급 이력 보유</t>
  </si>
  <si>
    <t>93855</t>
  </si>
  <si>
    <t>088280</t>
  </si>
  <si>
    <t>쏘닉스</t>
  </si>
  <si>
    <t>TF-SAW 기술 기반 RF 필터 파운드리 전문기업</t>
  </si>
  <si>
    <t>93854</t>
  </si>
  <si>
    <t>2026-07-06</t>
  </si>
  <si>
    <t>93884</t>
  </si>
  <si>
    <t>미국 반도체 CapEx 수혜 본격화</t>
  </si>
  <si>
    <t>93883</t>
  </si>
  <si>
    <t>펀더멘털 대비 과한 하락인 것으로 판단</t>
  </si>
  <si>
    <t>93882</t>
  </si>
  <si>
    <t>TF세계에선 내가 점유율 1위?</t>
  </si>
  <si>
    <t>93881</t>
  </si>
  <si>
    <t>지분가치는 상승, 하방은 견조</t>
  </si>
  <si>
    <t>93880</t>
  </si>
  <si>
    <t>하반기 증명될 견고한 펀더멘털</t>
  </si>
  <si>
    <t>93879</t>
  </si>
  <si>
    <t>높아지는 실적 신뢰도</t>
  </si>
  <si>
    <t>93878</t>
  </si>
  <si>
    <t>게임공장으로 변모</t>
  </si>
  <si>
    <t>93877</t>
  </si>
  <si>
    <t>2026-07-07</t>
  </si>
  <si>
    <t>신규 전략 순항 중</t>
  </si>
  <si>
    <t>93924</t>
  </si>
  <si>
    <t>이번에도 기대되는 주주환원</t>
  </si>
  <si>
    <t>93923</t>
  </si>
  <si>
    <t>공장 탐방 後記: 북미 자율주행차향 부품 양산 개시</t>
  </si>
  <si>
    <t>93922</t>
  </si>
  <si>
    <t>탑라인 성장 &amp; 마진 개선 구간</t>
  </si>
  <si>
    <t>93921</t>
  </si>
  <si>
    <t>글로벌 UTG 선도 공급사, 관건은 신규 매출처</t>
  </si>
  <si>
    <t>93920</t>
  </si>
  <si>
    <t>중장기 성장 전략 발표 관련 Comment</t>
  </si>
  <si>
    <t>93919</t>
  </si>
  <si>
    <t>중국 진출 확실히 보여드립니다</t>
  </si>
  <si>
    <t>93918</t>
  </si>
  <si>
    <t>지나간 저점</t>
  </si>
  <si>
    <t>93917</t>
  </si>
  <si>
    <t>달라진 체급</t>
  </si>
  <si>
    <t>93916</t>
  </si>
  <si>
    <t>신차 경쟁력 입증, 이제는 가치 재조명</t>
  </si>
  <si>
    <t>93915</t>
  </si>
  <si>
    <t>둔화에서 회복, 기대에서 현실화</t>
  </si>
  <si>
    <t>93914</t>
  </si>
  <si>
    <t>손에 모든 걸 쥐었다</t>
  </si>
  <si>
    <t>93913</t>
  </si>
  <si>
    <t>공룡의 성장은 성장률보다 폭이다</t>
  </si>
  <si>
    <t>93912</t>
  </si>
  <si>
    <t>2Q26 Preview: 견조한 실적 진행 중</t>
  </si>
  <si>
    <t>93911</t>
  </si>
  <si>
    <t>2Q26 Preview: 영업이익 4,110억원, 컨센서스 상회 전망</t>
  </si>
  <si>
    <t>93910</t>
  </si>
  <si>
    <t>조정은 매수의 기회</t>
  </si>
  <si>
    <t>93909</t>
  </si>
  <si>
    <t>실적 모멘텀 회복과 밸류에이션의 정상화 국면 진입</t>
  </si>
  <si>
    <t>93908</t>
  </si>
  <si>
    <t>2Q26 Pre: 점점 더 지연되는 다운사이클 진입</t>
  </si>
  <si>
    <t>93907</t>
  </si>
  <si>
    <t>조금씩 회복 중!</t>
  </si>
  <si>
    <t>93906</t>
  </si>
  <si>
    <t>하반기를 기대하자!</t>
  </si>
  <si>
    <t>93905</t>
  </si>
  <si>
    <t>FDC까지 사업역량 확대</t>
  </si>
  <si>
    <t>93904</t>
  </si>
  <si>
    <t>하반기 수익성 회복에 주목</t>
  </si>
  <si>
    <t>93903</t>
  </si>
  <si>
    <t>영업이익 시장기대치 부합, 성장 모멘텀은 강화</t>
  </si>
  <si>
    <t>93902</t>
  </si>
  <si>
    <t>서구권 고성장, 영업이익 시장기대치 부합 전망</t>
  </si>
  <si>
    <t>93901</t>
  </si>
  <si>
    <t>하반기, 2분기 성수기를 뛰어넘는 성장</t>
  </si>
  <si>
    <t>93900</t>
  </si>
  <si>
    <t>국내 호조, 미국이 더해질 하반기</t>
  </si>
  <si>
    <t>93899</t>
  </si>
  <si>
    <t>실적으로 증명하는 성장</t>
  </si>
  <si>
    <t>93898</t>
  </si>
  <si>
    <t>2Q26 Pre: 보다 중요한 이벤트, CPSP</t>
  </si>
  <si>
    <t>93897</t>
  </si>
  <si>
    <t>2Q26 Preview: 컨센서스 하회 전망</t>
  </si>
  <si>
    <t>93896</t>
  </si>
  <si>
    <t>럭셔리 소비 포트폴리오 기업</t>
  </si>
  <si>
    <t>93895</t>
  </si>
  <si>
    <t>장사 너무 잘 되고 있습니다</t>
  </si>
  <si>
    <t>93894</t>
  </si>
  <si>
    <t>줄을 서시오</t>
  </si>
  <si>
    <t>93893</t>
  </si>
  <si>
    <t>양호한 실적, 다시금 높아질 수주 눈높이</t>
  </si>
  <si>
    <t>93892</t>
  </si>
  <si>
    <t>2Q 일시적 유류비 부담, PCC 업황 호조는 지속</t>
  </si>
  <si>
    <t>93891</t>
  </si>
  <si>
    <t>082210</t>
  </si>
  <si>
    <t>옵트론텍</t>
  </si>
  <si>
    <t>국내 광학 핵심 부품사의 부활</t>
  </si>
  <si>
    <t>93890</t>
  </si>
  <si>
    <t>신규 바이오시밀러가 증명한 이익 체력</t>
  </si>
  <si>
    <t>93889</t>
  </si>
  <si>
    <t>AI 데이터센터 성장 가속화로 밸류에이션 리레이팅</t>
  </si>
  <si>
    <t>93888</t>
  </si>
  <si>
    <t>변함없는 큰 그림</t>
  </si>
  <si>
    <t>93887</t>
  </si>
  <si>
    <t>NDR 후기: 주기기 퍼즐의 첫 조각</t>
  </si>
  <si>
    <t>93886</t>
  </si>
  <si>
    <t>독보적 위치, AI 데이터센터향 수요 확대 수혜</t>
  </si>
  <si>
    <t>93885</t>
  </si>
  <si>
    <t>2026-07-08</t>
  </si>
  <si>
    <t>2026-07-09</t>
  </si>
  <si>
    <t>극도로 저평가된 턴어라운드주</t>
  </si>
  <si>
    <t>94010</t>
  </si>
  <si>
    <t>흔들리지 않는 편안함</t>
  </si>
  <si>
    <t>94009</t>
  </si>
  <si>
    <t>2Q26 또 역대급 매출?!</t>
  </si>
  <si>
    <t>94008</t>
  </si>
  <si>
    <t>미국 주택 시장의 방향성이 관건</t>
  </si>
  <si>
    <t>94007</t>
  </si>
  <si>
    <t>펀더멘털 개선 속 밸류에이션 매력 부각</t>
  </si>
  <si>
    <t>94006</t>
  </si>
  <si>
    <t>실적은 개선, 주주환원은 확대</t>
  </si>
  <si>
    <t>94005</t>
  </si>
  <si>
    <t>206650</t>
  </si>
  <si>
    <t>유바이오로직스</t>
  </si>
  <si>
    <t>유비콜 이후를 준비하는 백신 전문기업</t>
  </si>
  <si>
    <t>94004</t>
  </si>
  <si>
    <t>여전히 견조한 PUBG 성과</t>
  </si>
  <si>
    <t>94003</t>
  </si>
  <si>
    <t>4행정의 부름에 증설로 화답</t>
  </si>
  <si>
    <t>94002</t>
  </si>
  <si>
    <t>일시적 이벤트에 가려진 펀더멘탈 개선</t>
  </si>
  <si>
    <t>94001</t>
  </si>
  <si>
    <t>추정치 및 목표주가 재차 상향</t>
  </si>
  <si>
    <t>94000</t>
  </si>
  <si>
    <t>마케팅비 증가로 단기 부진하지만 하반기 성과 본격화</t>
  </si>
  <si>
    <t>93999</t>
  </si>
  <si>
    <t>3분기는 비중 확대 구간</t>
  </si>
  <si>
    <t>93998</t>
  </si>
  <si>
    <t>온라인 성장을 위한 투자 진행중</t>
  </si>
  <si>
    <t>93997</t>
  </si>
  <si>
    <t>반전의 시간</t>
  </si>
  <si>
    <t>93996</t>
  </si>
  <si>
    <t>2Q26 Preview; 외형 성장 확대 중</t>
  </si>
  <si>
    <t>93995</t>
  </si>
  <si>
    <t>AI DC 사업 통한 성장 이미 진행중</t>
  </si>
  <si>
    <t>93994</t>
  </si>
  <si>
    <t>선명한 중장기 목표 제시</t>
  </si>
  <si>
    <t>93993</t>
  </si>
  <si>
    <t>하반기 신사업 모멘텀 기대</t>
  </si>
  <si>
    <t>93992</t>
  </si>
  <si>
    <t>메모리 이익 체력 확인. 실적 상향 여력 충분</t>
  </si>
  <si>
    <t>93991</t>
  </si>
  <si>
    <t>하반기 회복세 지속 전망</t>
  </si>
  <si>
    <t>93990</t>
  </si>
  <si>
    <t>확연히 달라지는 실적</t>
  </si>
  <si>
    <t>93989</t>
  </si>
  <si>
    <t>2Q26 Pre: 쌓이는 동력, 가팔라지는 성장 궤적</t>
  </si>
  <si>
    <t>93988</t>
  </si>
  <si>
    <t>2Q26 Pre: 전반에서 확인되는 성장 동력</t>
  </si>
  <si>
    <t>93987</t>
  </si>
  <si>
    <t>2Q26 Pre: 수요가 캐파를 앞서는 중</t>
  </si>
  <si>
    <t>93986</t>
  </si>
  <si>
    <t>2Q26 Pre: 서프라이즈 지속, 모두 한 단계 더</t>
  </si>
  <si>
    <t>93985</t>
  </si>
  <si>
    <t>2Q26 잠정 Review: 칠러와 로봇이 더한 서사</t>
  </si>
  <si>
    <t>93984</t>
  </si>
  <si>
    <t>2Q26 Pre: 가장 완벽한 청사진</t>
  </si>
  <si>
    <t>93983</t>
  </si>
  <si>
    <t>실적 개선 기대 3가지 요인</t>
  </si>
  <si>
    <t>93982</t>
  </si>
  <si>
    <t>국가별 맞춤 매장 확대 전략</t>
  </si>
  <si>
    <t>93981</t>
  </si>
  <si>
    <t>93980</t>
  </si>
  <si>
    <t>2Q26 확신의 실적 개선 구간 진입</t>
  </si>
  <si>
    <t>93979</t>
  </si>
  <si>
    <t>체급의 위력</t>
  </si>
  <si>
    <t>93978</t>
  </si>
  <si>
    <t>영업이익 3조원을 향해</t>
  </si>
  <si>
    <t>93977</t>
  </si>
  <si>
    <t>브로커리지와 평가이익이 견인하는 실적 호조 지속</t>
  </si>
  <si>
    <t>93976</t>
  </si>
  <si>
    <t>2Q도 예상을 상회, 호조! 로봇과 공조 사업 강화</t>
  </si>
  <si>
    <t>93975</t>
  </si>
  <si>
    <t>광반도체 고부가 응용처 확장의 시작</t>
  </si>
  <si>
    <t>93974</t>
  </si>
  <si>
    <t>2Q26 Preview: 태풍이 지나간 후 맑음</t>
  </si>
  <si>
    <t>93973</t>
  </si>
  <si>
    <t>그래도 꿈과 희망이 있다</t>
  </si>
  <si>
    <t>93972</t>
  </si>
  <si>
    <t>걱정의 벽을 타고</t>
  </si>
  <si>
    <t>93971</t>
  </si>
  <si>
    <t>변곡점을 통과했다</t>
  </si>
  <si>
    <t>93970</t>
  </si>
  <si>
    <t>저는 CPSP와 무관합니다</t>
  </si>
  <si>
    <t>93969</t>
  </si>
  <si>
    <t>93968</t>
  </si>
  <si>
    <t>예상보다 빠른 웨스틴 회복, 컨센 상회 전망</t>
  </si>
  <si>
    <t>93967</t>
  </si>
  <si>
    <t>2분기에도 이어지는 실적 모멘텀</t>
  </si>
  <si>
    <t>93966</t>
  </si>
  <si>
    <t>싸워, 높아진 눈높이와 싸워</t>
  </si>
  <si>
    <t>93965</t>
  </si>
  <si>
    <t>주가는 이유없이 오르지 않는다</t>
  </si>
  <si>
    <t>93964</t>
  </si>
  <si>
    <t>LG에너지솔루션 2Q26 잠정실적 발표</t>
  </si>
  <si>
    <t>93963</t>
  </si>
  <si>
    <t>외풍을 극복하고도 남을 실적</t>
  </si>
  <si>
    <t>93962</t>
  </si>
  <si>
    <t>Top-pick으로 제시</t>
  </si>
  <si>
    <t>93961</t>
  </si>
  <si>
    <t>안정적 대안으로의 존재감</t>
  </si>
  <si>
    <t>93960</t>
  </si>
  <si>
    <t>2Q26 잠정 실적 코멘트</t>
  </si>
  <si>
    <t>93959</t>
  </si>
  <si>
    <t>내러티브보다는 펀더멘털 회복 가능성에 주목</t>
  </si>
  <si>
    <t>93958</t>
  </si>
  <si>
    <t>하반기, EPS 성장률 둔화 예상</t>
  </si>
  <si>
    <t>93957</t>
  </si>
  <si>
    <t>전시사업 수직계열화를 기반으로 실적 성장을 지속 중</t>
  </si>
  <si>
    <t>93956</t>
  </si>
  <si>
    <t>전공정 재개, 후공정은 지속</t>
  </si>
  <si>
    <t>93955</t>
  </si>
  <si>
    <t>너무나 강해진 펀더멘탈</t>
  </si>
  <si>
    <t>93954</t>
  </si>
  <si>
    <t>과격한 주가 반응에 뇌동하지 말자</t>
  </si>
  <si>
    <t>93953</t>
  </si>
  <si>
    <t>2026-07-10</t>
  </si>
  <si>
    <t>확실한 투자포인트가 붙었다</t>
  </si>
  <si>
    <t>94082</t>
  </si>
  <si>
    <t>2Q26 Pre: 쉬어가는 구간</t>
  </si>
  <si>
    <t>94081</t>
  </si>
  <si>
    <t>2Q26 Preview: 전 사업부 모두 green green</t>
  </si>
  <si>
    <t>94080</t>
  </si>
  <si>
    <t>2Q26 Preview: 비움의 미학</t>
  </si>
  <si>
    <t>94079</t>
  </si>
  <si>
    <t>2Q26 Preview: 체질 개선 본격화, 외국인 수요는 덤</t>
  </si>
  <si>
    <t>94078</t>
  </si>
  <si>
    <t>하반기 핵심 모멘텀은 SOCAMM</t>
  </si>
  <si>
    <t>94077</t>
  </si>
  <si>
    <t>저점 매수 기회</t>
  </si>
  <si>
    <t>94076</t>
  </si>
  <si>
    <t>내년까지 마련된 이익 성장 스토리</t>
  </si>
  <si>
    <t>94075</t>
  </si>
  <si>
    <t>한국 매출액 YoY 37%과 매력적인 밸류에이션</t>
  </si>
  <si>
    <t>94074</t>
  </si>
  <si>
    <t>전과목 만점은 쉽지 않아 (2Q26 Pre)</t>
  </si>
  <si>
    <t>94073</t>
  </si>
  <si>
    <t>견조한 유럽, 기대되는 중남미</t>
  </si>
  <si>
    <t>94072</t>
  </si>
  <si>
    <t>태양광 모듈 판가 상승세 지속. 컨센 상회 전망</t>
  </si>
  <si>
    <t>94071</t>
  </si>
  <si>
    <t>2Q 프리뷰 - 실적/배당 정상화 확신 갖는 계기될 것</t>
  </si>
  <si>
    <t>94070</t>
  </si>
  <si>
    <t>아쉬운 상반기, 눈높이 조정 시기</t>
  </si>
  <si>
    <t>94069</t>
  </si>
  <si>
    <t>2Q26 Pre: 광판비 반영 VS. 온라인 분기 매출 최대</t>
  </si>
  <si>
    <t>94068</t>
  </si>
  <si>
    <t>수익성 회복의 시작</t>
  </si>
  <si>
    <t>94067</t>
  </si>
  <si>
    <t>파킨슨병 세포치료제, TED-A9의 글로벌 도전 시작</t>
  </si>
  <si>
    <t>94066</t>
  </si>
  <si>
    <t>GS의 동해 AI 데이터센터 투자 발표와 기대감</t>
  </si>
  <si>
    <t>94065</t>
  </si>
  <si>
    <t>2Q26 Preview: 많이 빠졌고, 많이 올라갈</t>
  </si>
  <si>
    <t>94064</t>
  </si>
  <si>
    <t>강화된 펀더멘털, 손상된 건 수급</t>
  </si>
  <si>
    <t>94063</t>
  </si>
  <si>
    <t>높아진 체급과 업황의 턴어라운드</t>
  </si>
  <si>
    <t>94062</t>
  </si>
  <si>
    <t>불황을 극복한 기술 경쟁력</t>
  </si>
  <si>
    <t>94061</t>
  </si>
  <si>
    <t>바이오 회복 국면 진입</t>
  </si>
  <si>
    <t>94060</t>
  </si>
  <si>
    <t>실적 견조하나, AI 수익화 전까지는 공백</t>
  </si>
  <si>
    <t>94059</t>
  </si>
  <si>
    <t>본업 양호하나 AI 수익화 검증 필요</t>
  </si>
  <si>
    <t>94058</t>
  </si>
  <si>
    <t>변동성 국면에서 돋보이는 안정성</t>
  </si>
  <si>
    <t>94057</t>
  </si>
  <si>
    <t>Deep Value, 안정적 매수 구간</t>
  </si>
  <si>
    <t>94056</t>
  </si>
  <si>
    <t>하늘을 짊어진 Atlas, 이제 주가를 들어 올릴 때</t>
  </si>
  <si>
    <t>94055</t>
  </si>
  <si>
    <t>2Q26 Preview: 앞서 가는 실적, 뒤따라갈 주가</t>
  </si>
  <si>
    <t>94054</t>
  </si>
  <si>
    <t>2Q26 Pre: 본업 좀 봐주세요 좋아요</t>
  </si>
  <si>
    <t>94053</t>
  </si>
  <si>
    <t>멀리 보면 보장된 질적 성장이 기다린다</t>
  </si>
  <si>
    <t>94052</t>
  </si>
  <si>
    <t>2Q26 Preview: 공급단가 협상 하반기 이연</t>
  </si>
  <si>
    <t>94051</t>
  </si>
  <si>
    <t>2Q26 Preview: 기대치 부합할 실적, 본격 개선은 하반기로</t>
  </si>
  <si>
    <t>94050</t>
  </si>
  <si>
    <t>AI 데이터센터가 이끌 실적 상승</t>
  </si>
  <si>
    <t>94049</t>
  </si>
  <si>
    <t>2Q26 Preview: 실적 저점 구간의 매수 기회</t>
  </si>
  <si>
    <t>94048</t>
  </si>
  <si>
    <t>단기 부진, 성장 스토리는 유효</t>
  </si>
  <si>
    <t>94047</t>
  </si>
  <si>
    <t>중간배당과 새로운 주주환원정책 발표에 주목</t>
  </si>
  <si>
    <t>94046</t>
  </si>
  <si>
    <t>높아진 BEV Mix가 단기 손익 부담으로</t>
  </si>
  <si>
    <t>94045</t>
  </si>
  <si>
    <t>354390</t>
  </si>
  <si>
    <t>바스칸바이오제약</t>
  </si>
  <si>
    <t>수술의 시작과 끝을 함께하는 외과 특화 의약품·의료기기 전문기업</t>
  </si>
  <si>
    <t>94044</t>
  </si>
  <si>
    <t>소형 정밀 모터 기술 기반으로 치과용 전동기기 시장의 전동화·정밀화 흐름에 대응</t>
  </si>
  <si>
    <t>94043</t>
  </si>
  <si>
    <t>092600</t>
  </si>
  <si>
    <t>앤씨앤</t>
  </si>
  <si>
    <t>AI·커넥티드 기반 고기능 블랙박스와 상용차 안전 솔루션으로 사업 재편 추진 중</t>
  </si>
  <si>
    <t>94042</t>
  </si>
  <si>
    <t>308170</t>
  </si>
  <si>
    <t>씨티알모빌리티</t>
  </si>
  <si>
    <t>전동화 부품 전환을 가속하는 구동·현가 핵심 부품 전문기업</t>
  </si>
  <si>
    <t>94041</t>
  </si>
  <si>
    <t>050860</t>
  </si>
  <si>
    <t>아세아텍</t>
  </si>
  <si>
    <t>다목적관리기 세계 판매 1위를 보유한 반세기 종합 농업기계 전문기업</t>
  </si>
  <si>
    <t>94040</t>
  </si>
  <si>
    <t>016100</t>
  </si>
  <si>
    <t>리더스코스메틱</t>
  </si>
  <si>
    <t>피부과학과 산업 인프라를 두 축으로, 뷰티·패키징·바이오를 잇는 복합 성장 플랫폼</t>
  </si>
  <si>
    <t>94039</t>
  </si>
  <si>
    <t>2026-07-13</t>
  </si>
  <si>
    <t>티빙 손익 개선세 긍정적이지만 분기 이익 안정성 기대</t>
  </si>
  <si>
    <t>94123</t>
  </si>
  <si>
    <t>2Q26 Pre: 해외 모멘텀 가시화 기대</t>
  </si>
  <si>
    <t>94122</t>
  </si>
  <si>
    <t>2Q26 Preveiw; 소네페글루타이드 계약금으로 컨센 상회</t>
  </si>
  <si>
    <t>94121</t>
  </si>
  <si>
    <t>예상 대비 선방 중</t>
  </si>
  <si>
    <t>94120</t>
  </si>
  <si>
    <t>판가 상향과 중장기 성장 방향성 명확. 저가 매수 기회</t>
  </si>
  <si>
    <t>94119</t>
  </si>
  <si>
    <t>기대를 넘어 쭉쭉 올라가는 실적 (2Q26 Pre)</t>
  </si>
  <si>
    <t>94118</t>
  </si>
  <si>
    <t>아쉬울 2분기 실적. 자사주 확대와 외국인 수급은 긍정적</t>
  </si>
  <si>
    <t>94117</t>
  </si>
  <si>
    <t>피지컬 AI 정책 덕분에 하반기 주가 전망은 밝습니다</t>
  </si>
  <si>
    <t>94116</t>
  </si>
  <si>
    <t>SoCAMM의 축복이 끝이 없다. 추정치 추가 상향</t>
  </si>
  <si>
    <t>94115</t>
  </si>
  <si>
    <t>충당금 우려 크지 않다</t>
  </si>
  <si>
    <t>94114</t>
  </si>
  <si>
    <t>3분기에는 좋아진다</t>
  </si>
  <si>
    <t>94113</t>
  </si>
  <si>
    <t>실적과 주주환원 모두 양호</t>
  </si>
  <si>
    <t>94112</t>
  </si>
  <si>
    <t>2Q226 Pre: 보다 중요한 하반기 DC향 수주</t>
  </si>
  <si>
    <t>94111</t>
  </si>
  <si>
    <t>2Q26 Pre: 보다 중요한 하반기 FDC</t>
  </si>
  <si>
    <t>94110</t>
  </si>
  <si>
    <t>세나테크놀로지의 실적은 쎄다</t>
  </si>
  <si>
    <t>94109</t>
  </si>
  <si>
    <t>실적, 모멘텀 반등 기대. 투자의견 '매수' 상향</t>
  </si>
  <si>
    <t>94108</t>
  </si>
  <si>
    <t>실적 개선에 따른 저평가 해소 기대</t>
  </si>
  <si>
    <t>94107</t>
  </si>
  <si>
    <t>내수 양호, 중국은 환율 효과로 성장</t>
  </si>
  <si>
    <t>94106</t>
  </si>
  <si>
    <t>무선에 강점. DC는 다크호스</t>
  </si>
  <si>
    <t>94105</t>
  </si>
  <si>
    <t>빠른 회복에 성공</t>
  </si>
  <si>
    <t>94104</t>
  </si>
  <si>
    <t>프리미엄 확인하면 늦어!</t>
  </si>
  <si>
    <t>94103</t>
  </si>
  <si>
    <t>2Q26 Preview: 선 성수기와 미국 흑전 기대</t>
  </si>
  <si>
    <t>94102</t>
  </si>
  <si>
    <t>2Q26 Preview: 사상 최대 실적 갱신 기대</t>
  </si>
  <si>
    <t>94101</t>
  </si>
  <si>
    <t>장비 사이클의 시작은 수주 증가입니다</t>
  </si>
  <si>
    <t>94100</t>
  </si>
  <si>
    <t>그때 그 가격과 또 한 번의 기회</t>
  </si>
  <si>
    <t>94099</t>
  </si>
  <si>
    <t>전공정의 상징</t>
  </si>
  <si>
    <t>94098</t>
  </si>
  <si>
    <t>높아진 실적 기대감, 높아질 주가</t>
  </si>
  <si>
    <t>94097</t>
  </si>
  <si>
    <t>단기 실적, 중장기 전망 모두 긍정적</t>
  </si>
  <si>
    <t>94096</t>
  </si>
  <si>
    <t>비수기에도 흔들림 없는 성장</t>
  </si>
  <si>
    <t>94095</t>
  </si>
  <si>
    <t>숫자가 증명하는 경쟁력</t>
  </si>
  <si>
    <t>94094</t>
  </si>
  <si>
    <t>수익성은 확보, 이제 외형을 챙길 시점</t>
  </si>
  <si>
    <t>94093</t>
  </si>
  <si>
    <t>실적은 상저하고, 26년 이후 실적은 상향</t>
  </si>
  <si>
    <t>94092</t>
  </si>
  <si>
    <t>유가는 내려도, 정제마진은 강하다</t>
  </si>
  <si>
    <t>94091</t>
  </si>
  <si>
    <t>단기 실적은 감속, 전환 스토리는 가속</t>
  </si>
  <si>
    <t>94090</t>
  </si>
  <si>
    <t>AI 데이터센터 수주증가로 실적 개선 가속화</t>
  </si>
  <si>
    <t>94089</t>
  </si>
  <si>
    <t>잠잠하게 지나가는 시기</t>
  </si>
  <si>
    <t>94088</t>
  </si>
  <si>
    <t>투자손익 중심의 호실적 예상</t>
  </si>
  <si>
    <t>94087</t>
  </si>
  <si>
    <t>아쉬운 실적을 잊게 해줄 FDC</t>
  </si>
  <si>
    <t>94086</t>
  </si>
  <si>
    <t>CPSP는 지난 일, 향후 사업에 집중</t>
  </si>
  <si>
    <t>94085</t>
  </si>
  <si>
    <t>071280</t>
  </si>
  <si>
    <t>로체시스템즈</t>
  </si>
  <si>
    <t>반도체, 디스플레이 업황 수혜가 기대된다</t>
  </si>
  <si>
    <t>94084</t>
  </si>
  <si>
    <t>온라인 생태계 구축 과정</t>
  </si>
  <si>
    <t>94083</t>
  </si>
  <si>
    <t>2026-07-14</t>
  </si>
  <si>
    <t>무너진 실적과 신뢰</t>
  </si>
  <si>
    <t>94137</t>
  </si>
  <si>
    <t>신사업 비중 확대 지속</t>
  </si>
  <si>
    <t>94136</t>
  </si>
  <si>
    <t>후원 매출 반등, 신규 콘텐츠 발굴이 숙제</t>
  </si>
  <si>
    <t>94135</t>
  </si>
  <si>
    <t>기우를 떨쳐내면 보이는 높은 주가 업사이드</t>
  </si>
  <si>
    <t>94134</t>
  </si>
  <si>
    <t>실적 컨센서스 상회 전망, AI 인프라 확대 수혜</t>
  </si>
  <si>
    <t>94133</t>
  </si>
  <si>
    <t>16~18년도 과거의 영광을 다시 마주할 시기</t>
  </si>
  <si>
    <t>94132</t>
  </si>
  <si>
    <t>전자 지분가치 반영에 대한 고민</t>
  </si>
  <si>
    <t>94131</t>
  </si>
  <si>
    <t>본업보다는 전자 지분과 계열사가 핵심</t>
  </si>
  <si>
    <t>94130</t>
  </si>
  <si>
    <t>턴어라운드를 넘어</t>
  </si>
  <si>
    <t>94129</t>
  </si>
  <si>
    <t>신작 공개를 통한 레벨업</t>
  </si>
  <si>
    <t>94128</t>
  </si>
  <si>
    <t>2분기는 기대 이상, 하반기는 리스크 확대 우려</t>
  </si>
  <si>
    <t>94127</t>
  </si>
  <si>
    <t>주주환원에 진심인 게임사</t>
  </si>
  <si>
    <t>94126</t>
  </si>
  <si>
    <t>2Q26 프리뷰: 호실적 이후에는 다시 로봇</t>
  </si>
  <si>
    <t>94125</t>
  </si>
  <si>
    <t>2Q26 프리뷰: 양호한 실적, 뛰어난 xEV 경쟁력</t>
  </si>
  <si>
    <t>94124</t>
  </si>
  <si>
    <t>2026-07-15</t>
  </si>
  <si>
    <t>2Q26 Preview: 예견된 스페이스X 대규모 평가이익</t>
  </si>
  <si>
    <t>94189</t>
  </si>
  <si>
    <t>반도체 특수 본격화</t>
  </si>
  <si>
    <t>94188</t>
  </si>
  <si>
    <t>밸류 하향 안정화 국면, 중립 투자의견 유지</t>
  </si>
  <si>
    <t>94187</t>
  </si>
  <si>
    <t>해외 사업 성과 확인까지 시간이 필요</t>
  </si>
  <si>
    <t>94186</t>
  </si>
  <si>
    <t>여전히 강한 성장 동력을 보유</t>
  </si>
  <si>
    <t>94185</t>
  </si>
  <si>
    <t>2Q26 Preview: 플랜트 수주가 필요</t>
  </si>
  <si>
    <t>94184</t>
  </si>
  <si>
    <t>탄탄한 본업에 더해지는 신성장 모멘텀</t>
  </si>
  <si>
    <t>94183</t>
  </si>
  <si>
    <t>도전하다 보면 성과는 따라올 것</t>
  </si>
  <si>
    <t>94182</t>
  </si>
  <si>
    <t>2Q26 Preview: 예상보다 빠른 주택 마진 개선</t>
  </si>
  <si>
    <t>94181</t>
  </si>
  <si>
    <t>이변없는 실적안정감</t>
  </si>
  <si>
    <t>94180</t>
  </si>
  <si>
    <t>다시 찾아온 기회</t>
  </si>
  <si>
    <t>94179</t>
  </si>
  <si>
    <t>저연차 IP 성장과 MD 수익화 확대</t>
  </si>
  <si>
    <t>94178</t>
  </si>
  <si>
    <t>264660</t>
  </si>
  <si>
    <t>씨앤지하이테크</t>
  </si>
  <si>
    <t>2027년 성장을 준비하는 숨 고르기</t>
  </si>
  <si>
    <t>94177</t>
  </si>
  <si>
    <t>개선된 펀더멘털, 커지는 기대감</t>
  </si>
  <si>
    <t>94176</t>
  </si>
  <si>
    <t>3분기 대형 IP 대기 중</t>
  </si>
  <si>
    <t>94175</t>
  </si>
  <si>
    <t>2Q26 Preview: 기대는 낮추고, 방향은 유지</t>
  </si>
  <si>
    <t>94174</t>
  </si>
  <si>
    <t>2Q26 Preview: 순항중인 건축주택 수주</t>
  </si>
  <si>
    <t>94173</t>
  </si>
  <si>
    <t>엔비디아와의 AI동맹 확대</t>
  </si>
  <si>
    <t>94172</t>
  </si>
  <si>
    <t>카나나 서비스의 가능성 증명 필요</t>
  </si>
  <si>
    <t>94171</t>
  </si>
  <si>
    <t>낮아진 눈높이에서 아직은 제한된 시야</t>
  </si>
  <si>
    <t>94170</t>
  </si>
  <si>
    <t>2026년 이익 증가율 YoY +91% vs. 주가는 제자리</t>
  </si>
  <si>
    <t>94169</t>
  </si>
  <si>
    <t>2Q26 Re: 유류비가 두배인데 영업이익 서프라이즈</t>
  </si>
  <si>
    <t>94168</t>
  </si>
  <si>
    <t>글로벌 모멘텀 본격화</t>
  </si>
  <si>
    <t>94167</t>
  </si>
  <si>
    <t>정책 방향이 바뀐다</t>
  </si>
  <si>
    <t>94166</t>
  </si>
  <si>
    <t>2Q 프리뷰 - 배당 증가 기대감 낮아질 전망</t>
  </si>
  <si>
    <t>94165</t>
  </si>
  <si>
    <t>2분기 프리뷰: 부합 전망. 로봇 부품도 일정대로 진행</t>
  </si>
  <si>
    <t>94164</t>
  </si>
  <si>
    <t>수주 모멘텀 가속, 이익 레벨 상향</t>
  </si>
  <si>
    <t>94163</t>
  </si>
  <si>
    <t>과도한 주가 조정, 확인되는 이익 체력</t>
  </si>
  <si>
    <t>94162</t>
  </si>
  <si>
    <t>성장 축 확장, 실적 가시성 유효</t>
  </si>
  <si>
    <t>94161</t>
  </si>
  <si>
    <t>낮아진 주가, 변하지 않은 성장성</t>
  </si>
  <si>
    <t>94160</t>
  </si>
  <si>
    <t>이익 구조는 견조, 눈높이는 조정</t>
  </si>
  <si>
    <t>94159</t>
  </si>
  <si>
    <t>단기 부담은 완화, 해저·HVDC 레퍼런스 확대</t>
  </si>
  <si>
    <t>94158</t>
  </si>
  <si>
    <t>94157</t>
  </si>
  <si>
    <t>캡티브 부담, 비계열은 양호</t>
  </si>
  <si>
    <t>94156</t>
  </si>
  <si>
    <t>월드컵은 끝, 실적은 시작</t>
  </si>
  <si>
    <t>94155</t>
  </si>
  <si>
    <t>매력적인 포트폴리오,저평가 그래서 관심이 높다!</t>
  </si>
  <si>
    <t>94154</t>
  </si>
  <si>
    <t>상저하고의 실적 흐름, 신수요 가시성 확대 기대</t>
  </si>
  <si>
    <t>94153</t>
  </si>
  <si>
    <t>레이 인수자금 용도로 추정되는 자금조달 결정</t>
  </si>
  <si>
    <t>94152</t>
  </si>
  <si>
    <t>국내 법인 호실적 예상</t>
  </si>
  <si>
    <t>94151</t>
  </si>
  <si>
    <t>팔랑귀 팔랑귀 할 만큼 좋은 실적</t>
  </si>
  <si>
    <t>94150</t>
  </si>
  <si>
    <t>엔진 캐파 증설해 주실 거죠?</t>
  </si>
  <si>
    <t>94149</t>
  </si>
  <si>
    <t>2Q26 Preview: 내수, 외국인, 위안화</t>
  </si>
  <si>
    <t>94148</t>
  </si>
  <si>
    <t>높아지는 중희토류 가치</t>
  </si>
  <si>
    <t>94147</t>
  </si>
  <si>
    <t>2Q26 Preview: A++</t>
  </si>
  <si>
    <t>94146</t>
  </si>
  <si>
    <t>정유/윤활유 호조에 E&amp;S 이익 체력도 레벨업</t>
  </si>
  <si>
    <t>94145</t>
  </si>
  <si>
    <t>2Q26 Preview: 연간 이익 3조원, 너무 저평가 아닌가?</t>
  </si>
  <si>
    <t>94144</t>
  </si>
  <si>
    <t>시선을 약간만 아래로</t>
  </si>
  <si>
    <t>94143</t>
  </si>
  <si>
    <t>2Q26 Preview: 높아진 거래대금, 실적도 레벨업</t>
  </si>
  <si>
    <t>94142</t>
  </si>
  <si>
    <t>가늠할 수 없는 산업 확장성</t>
  </si>
  <si>
    <t>94141</t>
  </si>
  <si>
    <t>미국 데이터센터 전력 공급 업체로 재평가될 것</t>
  </si>
  <si>
    <t>94140</t>
  </si>
  <si>
    <t>비우호적인 영업 환경</t>
  </si>
  <si>
    <t>94139</t>
  </si>
  <si>
    <t>2개분기 연속 기대 이상의 수익성</t>
  </si>
  <si>
    <t>94138</t>
  </si>
  <si>
    <t>2026-07-16</t>
  </si>
  <si>
    <t>이 와중에도 외국인이 계속 사는 이유</t>
  </si>
  <si>
    <t>94224</t>
  </si>
  <si>
    <t>실적보다 중요한 것은 성장동력 확보</t>
  </si>
  <si>
    <t>94223</t>
  </si>
  <si>
    <t>든든한 실적 성장으로 기업가치 재평가 전망</t>
  </si>
  <si>
    <t>94222</t>
  </si>
  <si>
    <t>안녕하세요파마립니다잘부탁드립니다</t>
  </si>
  <si>
    <t>94221</t>
  </si>
  <si>
    <t>신규 대표집행임원 선임, 방학 숙제할 시간</t>
  </si>
  <si>
    <t>94220</t>
  </si>
  <si>
    <t>미국에서 증명한 기술력, 뉴욕 MTA 발주 임박</t>
  </si>
  <si>
    <t>94219</t>
  </si>
  <si>
    <t>주주와의 동행</t>
  </si>
  <si>
    <t>94218</t>
  </si>
  <si>
    <t>단기 기대치는 하향, 증익 기대감은 유지</t>
  </si>
  <si>
    <t>94217</t>
  </si>
  <si>
    <t>2Q26 Preview : 렌탈계정 순증 사상 최대치 경신</t>
  </si>
  <si>
    <t>94216</t>
  </si>
  <si>
    <t>자산 평가익에 의한 상반기 서프라이즈</t>
  </si>
  <si>
    <t>94215</t>
  </si>
  <si>
    <t>2Q26 Preview: 건축주택과 SMR 기대</t>
  </si>
  <si>
    <t>94214</t>
  </si>
  <si>
    <t>실적은 이미 개선 중, 재료도 곧 나올 것</t>
  </si>
  <si>
    <t>94213</t>
  </si>
  <si>
    <t>ICTK가 자타공인 양자산업 주도업체가 되었습니다</t>
  </si>
  <si>
    <t>94212</t>
  </si>
  <si>
    <t>시밀러가 아닌 ALT-B4를 쓴 이유가 있지 않겠습니까</t>
  </si>
  <si>
    <t>94211</t>
  </si>
  <si>
    <t>공작기계 호조로 2분기 기대치 상회 전망</t>
  </si>
  <si>
    <t>94210</t>
  </si>
  <si>
    <t>자동차만으로도 저평가, 로봇 액추에이터는 플러스 알파</t>
  </si>
  <si>
    <t>94209</t>
  </si>
  <si>
    <t>2Q26 영업실적 개선 기대</t>
  </si>
  <si>
    <t>94208</t>
  </si>
  <si>
    <t>2Q26 기대이상의 영업실적 전망</t>
  </si>
  <si>
    <t>94207</t>
  </si>
  <si>
    <t>2Q26 Pre: 담배를 불렀던 증시 변동성</t>
  </si>
  <si>
    <t>94206</t>
  </si>
  <si>
    <t>매크로 불확실성 속에서 확인된 방어력</t>
  </si>
  <si>
    <t>94205</t>
  </si>
  <si>
    <t>컨센서스 상회 전망, 무르익어 가는 SMR</t>
  </si>
  <si>
    <t>94204</t>
  </si>
  <si>
    <t>머크와 추가 ODM 발표하며 플랫폼 경쟁력 입증</t>
  </si>
  <si>
    <t>94203</t>
  </si>
  <si>
    <t>실적 체력 확인 구간</t>
  </si>
  <si>
    <t>94202</t>
  </si>
  <si>
    <t>아직은 노면이 거칠다</t>
  </si>
  <si>
    <t>94201</t>
  </si>
  <si>
    <t>여행은 안 가도 반도체는 날라야지</t>
  </si>
  <si>
    <t>94200</t>
  </si>
  <si>
    <t>Big! Bang!</t>
  </si>
  <si>
    <t>94199</t>
  </si>
  <si>
    <t>순항 중, 미래 대비도 척척</t>
  </si>
  <si>
    <t>94198</t>
  </si>
  <si>
    <t>데이터센터 전주기 경쟁력</t>
  </si>
  <si>
    <t>94197</t>
  </si>
  <si>
    <t>Q 회복, 자산가치, 배당 재개, 증설. What else?</t>
  </si>
  <si>
    <t>94196</t>
  </si>
  <si>
    <t>2Q 실적 서프라이즈, 3Q도 호실적 예고</t>
  </si>
  <si>
    <t>94195</t>
  </si>
  <si>
    <t>HIV 치료제 후보물질 항바이러스 효과 확인</t>
  </si>
  <si>
    <t>94194</t>
  </si>
  <si>
    <t>스테이 화력을 보여줘</t>
  </si>
  <si>
    <t>94193</t>
  </si>
  <si>
    <t>점진적으로 가시화될 수주&amp;해소될 우려</t>
  </si>
  <si>
    <t>94192</t>
  </si>
  <si>
    <t>아시아 프린스에서 북미 프린세스까지</t>
  </si>
  <si>
    <t>94191</t>
  </si>
  <si>
    <t>2Q26 호실적과 엄중한 AIDC 캐파 상향 조정</t>
  </si>
  <si>
    <t>94190</t>
  </si>
  <si>
    <t>너무 싸다고, 이제는 말할 수 있다</t>
  </si>
  <si>
    <t>94250</t>
  </si>
  <si>
    <t>현대건설; 변한 것은 주가 뿐</t>
  </si>
  <si>
    <t>94249</t>
  </si>
  <si>
    <t>변압기와 전선, 그 누구와 비교해도 저평가</t>
  </si>
  <si>
    <t>94248</t>
  </si>
  <si>
    <t>증설을 수익성에 싸서 드셔보세요</t>
  </si>
  <si>
    <t>94247</t>
  </si>
  <si>
    <t>전력 인프라의 최전선</t>
  </si>
  <si>
    <t>94246</t>
  </si>
  <si>
    <t>내가 쉬었던 건 추진력을 얻기 위함이었다</t>
  </si>
  <si>
    <t>94245</t>
  </si>
  <si>
    <t>마진 확대 여력 충분</t>
  </si>
  <si>
    <t>94244</t>
  </si>
  <si>
    <t>Made in USA, Sold in USA</t>
  </si>
  <si>
    <t>94243</t>
  </si>
  <si>
    <t>2Q26 Preview; 저희 잘하고 있어요</t>
  </si>
  <si>
    <t>94242</t>
  </si>
  <si>
    <t>AI RAN이 HFR의 위상을 송두리째 바꿀 것 입니다</t>
  </si>
  <si>
    <t>94241</t>
  </si>
  <si>
    <t>이제는 사야 할 시점(+ TerraPower 탐방기)</t>
  </si>
  <si>
    <t>94240</t>
  </si>
  <si>
    <t>해외 산업 탄력을 받다</t>
  </si>
  <si>
    <t>94239</t>
  </si>
  <si>
    <t>또 서프라이즈인데, 주가는 너무 싸다</t>
  </si>
  <si>
    <t>94238</t>
  </si>
  <si>
    <t>2분기 호실적, 해외 원전의 첫 결실을 기다리며</t>
  </si>
  <si>
    <t>94237</t>
  </si>
  <si>
    <t>대장이 돌아왔다</t>
  </si>
  <si>
    <t>94236</t>
  </si>
  <si>
    <t>440110</t>
  </si>
  <si>
    <t>파두</t>
  </si>
  <si>
    <t>의심을 거둘 때</t>
  </si>
  <si>
    <t>94235</t>
  </si>
  <si>
    <t>역대 최대 실적 갱신</t>
  </si>
  <si>
    <t>94234</t>
  </si>
  <si>
    <t>사상 최대 실적의 초입</t>
  </si>
  <si>
    <t>94233</t>
  </si>
  <si>
    <t>차별적 실적 성장은 시작</t>
  </si>
  <si>
    <t>94232</t>
  </si>
  <si>
    <t>하반기 실적 부담보다 이후 변화에 주목</t>
  </si>
  <si>
    <t>94231</t>
  </si>
  <si>
    <t>수요 부진 vs. 적은 비용 부담</t>
  </si>
  <si>
    <t>94230</t>
  </si>
  <si>
    <t>악재 모두 반영, 시간이 약</t>
  </si>
  <si>
    <t>94229</t>
  </si>
  <si>
    <t>다시 시작하는 마음으로</t>
  </si>
  <si>
    <t>94228</t>
  </si>
  <si>
    <t>수주 불확실성은 점차 해소될 것</t>
  </si>
  <si>
    <t>94227</t>
  </si>
  <si>
    <t>R&amp;D 성과가 이끄는 실적 성장</t>
  </si>
  <si>
    <t>94226</t>
  </si>
  <si>
    <t>미국 현지 생산능력 부각</t>
  </si>
  <si>
    <t>94225</t>
  </si>
  <si>
    <t>2026-07-18</t>
  </si>
  <si>
    <t>2026-07-17</t>
  </si>
  <si>
    <t>2026-07-20</t>
  </si>
  <si>
    <t>국내 유일의 휴머노이드 정밀 감속기 Full Line-Up</t>
  </si>
  <si>
    <t>94256</t>
  </si>
  <si>
    <t>025750</t>
  </si>
  <si>
    <t>한솔홈데코</t>
  </si>
  <si>
    <t>목재 Value Chain 위에서 공간의 감각을 완성하는 인테리어 자재 전문기업</t>
  </si>
  <si>
    <t>94255</t>
  </si>
  <si>
    <t>023790</t>
  </si>
  <si>
    <t>동일스틸럭스</t>
  </si>
  <si>
    <t>반세기 봉강 기술력으로 미래 모빌리티 소재까지 잇는 특수강 소재 전문기업</t>
  </si>
  <si>
    <t>94254</t>
  </si>
  <si>
    <t>058860</t>
  </si>
  <si>
    <t>KTis</t>
  </si>
  <si>
    <t>KT그룹 기반 AICC·고객서비스 DX 전문기업</t>
  </si>
  <si>
    <t>94253</t>
  </si>
  <si>
    <t>094820</t>
  </si>
  <si>
    <t>일진파워</t>
  </si>
  <si>
    <t>발전정비 안정성 기반으로 사업영역을 확장하는 종합 에너지 인프라 기업</t>
  </si>
  <si>
    <t>94252</t>
  </si>
  <si>
    <t>900310</t>
  </si>
  <si>
    <t>컬러레이</t>
  </si>
  <si>
    <t>화장품용 진주광택안료에서 산업용 광택소재로 응용 범위를 확장하는 기능성 소재 기업</t>
  </si>
  <si>
    <t>94251</t>
  </si>
  <si>
    <t>2026-07-21</t>
  </si>
  <si>
    <t>이월되며 하회, 상저하고의 실적 전망.</t>
  </si>
  <si>
    <t>94289</t>
  </si>
  <si>
    <t>글로벌 펩타이드 CDMO 인수로 사업 영역 확장</t>
  </si>
  <si>
    <t>94288</t>
  </si>
  <si>
    <t>반등의 계기가 필요</t>
  </si>
  <si>
    <t>94287</t>
  </si>
  <si>
    <t>시장의 큰 변동성 속 확실한 실적주</t>
  </si>
  <si>
    <t>94286</t>
  </si>
  <si>
    <t>양호한 실적, 불확실성 해소 구간</t>
  </si>
  <si>
    <t>94285</t>
  </si>
  <si>
    <t>메시 통신의 확장, 레저에서 산업·로봇으로</t>
  </si>
  <si>
    <t>94284</t>
  </si>
  <si>
    <t>192410</t>
  </si>
  <si>
    <t>오늘이엔엠</t>
  </si>
  <si>
    <t>AT&amp;T 내 스몰셀 안테나 점유율 1위 업체</t>
  </si>
  <si>
    <t>94283</t>
  </si>
  <si>
    <t>2Q26 프리뷰: 우려를 넘어 로봇 모멘텀 주목</t>
  </si>
  <si>
    <t>94282</t>
  </si>
  <si>
    <t>수요를 만드는 공급자</t>
  </si>
  <si>
    <t>94281</t>
  </si>
  <si>
    <t>연결 자회사의 실적 호조를 기대</t>
  </si>
  <si>
    <t>94280</t>
  </si>
  <si>
    <t>2Q26 Preview: 본업안정 진행중, 원전 기대중</t>
  </si>
  <si>
    <t>94279</t>
  </si>
  <si>
    <t>탄탄한 불닭, 여전한 수요</t>
  </si>
  <si>
    <t>94278</t>
  </si>
  <si>
    <t>수요와 공급 모두 여전히 우호적인 상황</t>
  </si>
  <si>
    <t>94277</t>
  </si>
  <si>
    <t>회복 사이클 진입으로 컨센 24% 상회 전망</t>
  </si>
  <si>
    <t>94276</t>
  </si>
  <si>
    <t>연결 기준 실적 성장세에 주목할 시점</t>
  </si>
  <si>
    <t>94275</t>
  </si>
  <si>
    <t>2Q26 Pre: 비식품 선방</t>
  </si>
  <si>
    <t>94274</t>
  </si>
  <si>
    <t>실적이 투자 포인트</t>
  </si>
  <si>
    <t>94273</t>
  </si>
  <si>
    <t>실적은 기대 이상, 원전 모멘텀은 숨 고르기</t>
  </si>
  <si>
    <t>94272</t>
  </si>
  <si>
    <t>실적 개선 지속, 남은 건 Off-taker</t>
  </si>
  <si>
    <t>94271</t>
  </si>
  <si>
    <t>445090</t>
  </si>
  <si>
    <t>에이직랜드</t>
  </si>
  <si>
    <t>장기 양산 가시성 확보</t>
  </si>
  <si>
    <t>94270</t>
  </si>
  <si>
    <t>흑자전환, 다음은 본업</t>
  </si>
  <si>
    <t>94269</t>
  </si>
  <si>
    <t>지금 주가에서는 업사이드 리스크가 더 커 (2)</t>
  </si>
  <si>
    <t>94268</t>
  </si>
  <si>
    <t>분위기 반전은 4Q26 이후</t>
  </si>
  <si>
    <t>94267</t>
  </si>
  <si>
    <t>배당소득 분리과세 및 개정상법 수혜</t>
  </si>
  <si>
    <t>94266</t>
  </si>
  <si>
    <t>피지컬 AI 밸류체인 성장성 및 개정상법 수혜</t>
  </si>
  <si>
    <t>94265</t>
  </si>
  <si>
    <t>2Q26 Preview: its so good</t>
  </si>
  <si>
    <t>94264</t>
  </si>
  <si>
    <t>빅뱅의 귀환과 차세대 IP의 증명 시간</t>
  </si>
  <si>
    <t>94263</t>
  </si>
  <si>
    <t>2Q 호실적과 하반기 지역 확장 기대</t>
  </si>
  <si>
    <t>94262</t>
  </si>
  <si>
    <t>2분기 BTS와 함께 증명될 역대 최대 실적</t>
  </si>
  <si>
    <t>94261</t>
  </si>
  <si>
    <t>매력적인 사업 포트폴리오 보유</t>
  </si>
  <si>
    <t>94260</t>
  </si>
  <si>
    <t>하반기 실적과 수주 동반 개선 기대</t>
  </si>
  <si>
    <t>94259</t>
  </si>
  <si>
    <t>어서오십시오 V.I.P</t>
  </si>
  <si>
    <t>94258</t>
  </si>
  <si>
    <t>AI 인프라 기업</t>
  </si>
  <si>
    <t>94257</t>
  </si>
  <si>
    <t>2026-07-24</t>
  </si>
  <si>
    <t>AIDC 사업개발 전문회사 SK하이퍼 설립 관련 Comment</t>
  </si>
  <si>
    <t>94484</t>
  </si>
  <si>
    <t>정상화, 개선 그리고 추가 증설</t>
  </si>
  <si>
    <t>94483</t>
  </si>
  <si>
    <t>2Q26 Re: 3분기부터 시작될 성장 랠리</t>
  </si>
  <si>
    <t>94482</t>
  </si>
  <si>
    <t>이익 감소는 일시적, 매출 고성장은 지속</t>
  </si>
  <si>
    <t>94480</t>
  </si>
  <si>
    <t>실적 및 업황 대비 매력적인 밸류에이션 구간</t>
  </si>
  <si>
    <t>94479</t>
  </si>
  <si>
    <t>환원 수익률 7% 내외로 투자매력 확보</t>
  </si>
  <si>
    <t>94478</t>
  </si>
  <si>
    <t>실적은 저점, 시선은 로봇</t>
  </si>
  <si>
    <t>94477</t>
  </si>
  <si>
    <t>의심은 접어두고 매수로 대응할 시점</t>
  </si>
  <si>
    <t>94476</t>
  </si>
  <si>
    <t>2Q26 Reivew: 배당 매력 넘치는 구간</t>
  </si>
  <si>
    <t>94475</t>
  </si>
  <si>
    <t>확장의 구간</t>
  </si>
  <si>
    <t>94474</t>
  </si>
  <si>
    <t>2Q26 Review: LTA, 품절입니다</t>
  </si>
  <si>
    <t>94473</t>
  </si>
  <si>
    <t>기말 배당으로 이연된 하반기 재원</t>
  </si>
  <si>
    <t>94472</t>
  </si>
  <si>
    <t>2Q26 Review: 최선을 다하는 주주환원정책이 돋보임</t>
  </si>
  <si>
    <t>94471</t>
  </si>
  <si>
    <t>상반기 부정적 영향은 해소되는 중</t>
  </si>
  <si>
    <t>94470</t>
  </si>
  <si>
    <t>2Q26 Review: 업계 최고 수준의 자본력이 주는 안정</t>
  </si>
  <si>
    <t>94469</t>
  </si>
  <si>
    <t>믿고 보는 실적</t>
  </si>
  <si>
    <t>94468</t>
  </si>
  <si>
    <t>2Q26 Review: 견조한 실적 바탕으로 목표 ROE 달성 기대</t>
  </si>
  <si>
    <t>94467</t>
  </si>
  <si>
    <t>2Q26 Review: 납기의 속도가 실적을 결정할 때</t>
  </si>
  <si>
    <t>94466</t>
  </si>
  <si>
    <t>2Q26 Review: 바닥을 찍고, 하반기 레벨업</t>
  </si>
  <si>
    <t>94465</t>
  </si>
  <si>
    <t>2Q26 Review: 편안하게 계속 성장하는 실적</t>
  </si>
  <si>
    <t>94464</t>
  </si>
  <si>
    <t>2Q26 Review; 방향성을 믿고 갈 때</t>
  </si>
  <si>
    <t>94463</t>
  </si>
  <si>
    <t>멈추지 않는 실적 성장</t>
  </si>
  <si>
    <t>94462</t>
  </si>
  <si>
    <t>하반기에 더 좋아진다</t>
  </si>
  <si>
    <t>94461</t>
  </si>
  <si>
    <t>체급을 키우기 위한 약간의 성장통 (2Q26 Review)</t>
  </si>
  <si>
    <t>94460</t>
  </si>
  <si>
    <t>전 계열사 고른 손익 개선. 총주주환원율도 57%로 상승</t>
  </si>
  <si>
    <t>94459</t>
  </si>
  <si>
    <t>2Q26 Re - 거래대금 둔화 속 높아지는 배당 매력도</t>
  </si>
  <si>
    <t>94458</t>
  </si>
  <si>
    <t>빨라진 반도체 공사, 일회성 이익에 서프</t>
  </si>
  <si>
    <t>94457</t>
  </si>
  <si>
    <t>향후 3년간 이익 증가가 예상됩니다</t>
  </si>
  <si>
    <t>94456</t>
  </si>
  <si>
    <t>AI RAN에는 엔비디아만 있는 것이 아닙니다</t>
  </si>
  <si>
    <t>94455</t>
  </si>
  <si>
    <t>2027~29년 물량 완판. 대세 상승 사이클 진입</t>
  </si>
  <si>
    <t>94454</t>
  </si>
  <si>
    <t>2Q26 Pre: 기다림의 구간</t>
  </si>
  <si>
    <t>94453</t>
  </si>
  <si>
    <t>매출액이 엄청 늘었어요. 마진은 회복될 거에요</t>
  </si>
  <si>
    <t>94452</t>
  </si>
  <si>
    <t>M&amp;A 이슈가 단기 주가 흐름에 영향을 미칠 전망</t>
  </si>
  <si>
    <t>94451</t>
  </si>
  <si>
    <t>2Q26 Re: 하반기 OPM 회복 발판 마련</t>
  </si>
  <si>
    <t>94450</t>
  </si>
  <si>
    <t>유류비 부담은 일시적, 성장 동력은 여전</t>
  </si>
  <si>
    <t>94449</t>
  </si>
  <si>
    <t>더 커진 수주, 더 빨라진 실적</t>
  </si>
  <si>
    <t>94448</t>
  </si>
  <si>
    <t>기대되는 10월 자사주 매입 발표</t>
  </si>
  <si>
    <t>94447</t>
  </si>
  <si>
    <t>조달비용 상승 우려 선반영</t>
  </si>
  <si>
    <t>94446</t>
  </si>
  <si>
    <t>2026년 총주주환원율은 무조건 50% 달성</t>
  </si>
  <si>
    <t>94445</t>
  </si>
  <si>
    <t>이익과 주주환원 모두 가장 편안한 선택지</t>
  </si>
  <si>
    <t>94444</t>
  </si>
  <si>
    <t>더 좋아질 이익과 높아진 주주환원 매력</t>
  </si>
  <si>
    <t>94443</t>
  </si>
  <si>
    <t>2Q26 Review: Hyperscaler를 의심하지 말자</t>
  </si>
  <si>
    <t>94442</t>
  </si>
  <si>
    <t>가팔라지는 실적과 수주의 상향 기울기</t>
  </si>
  <si>
    <t>94441</t>
  </si>
  <si>
    <t>여전히 명확한 실적 개선 경로</t>
  </si>
  <si>
    <t>94440</t>
  </si>
  <si>
    <t>2Q26 리뷰: 우려 대비 양호, 로봇 모멘텀 주목</t>
  </si>
  <si>
    <t>94439</t>
  </si>
  <si>
    <t>아직 한 발 더 남았다</t>
  </si>
  <si>
    <t>94438</t>
  </si>
  <si>
    <t>아시아 데이터센터 왕이 될 상</t>
  </si>
  <si>
    <t>94437</t>
  </si>
  <si>
    <t>Corp Day: "하반기 캐파 부족" 알박 쇼티지</t>
  </si>
  <si>
    <t>94436</t>
  </si>
  <si>
    <t>압도적 환원 규모</t>
  </si>
  <si>
    <t>94435</t>
  </si>
  <si>
    <t>향상된 실적으로 환원액도 늘어날 전망</t>
  </si>
  <si>
    <t>94434</t>
  </si>
  <si>
    <t>부담은 덜어냈다</t>
  </si>
  <si>
    <t>94433</t>
  </si>
  <si>
    <t>구조적 실적 개선. 이제 시작일 뿐!</t>
  </si>
  <si>
    <t>94432</t>
  </si>
  <si>
    <t>실적도, 수주도 가속화</t>
  </si>
  <si>
    <t>94431</t>
  </si>
  <si>
    <t>분기 최대 실적 달성, 3Q 쉬어가도 성장은 지속</t>
  </si>
  <si>
    <t>94430</t>
  </si>
  <si>
    <t>두 가지 투자 포인트: 효성화학 반사수혜와 고배당</t>
  </si>
  <si>
    <t>94429</t>
  </si>
  <si>
    <t>Corp Day: “쇼티지 지속” 추가 증설 전망</t>
  </si>
  <si>
    <t>94428</t>
  </si>
  <si>
    <t>드디어 당겨진 첫번째 방아쇠, 증설</t>
  </si>
  <si>
    <t>94427</t>
  </si>
  <si>
    <t>연간 영업이익 1조원이 보인다</t>
  </si>
  <si>
    <t>94426</t>
  </si>
  <si>
    <t>수주가 증명한 성장성</t>
  </si>
  <si>
    <t>94425</t>
  </si>
  <si>
    <t>간다, 우주로</t>
  </si>
  <si>
    <t>94424</t>
  </si>
  <si>
    <t>영업레버리지에 멀티플 확장까지</t>
  </si>
  <si>
    <t>94423</t>
  </si>
  <si>
    <t>고유가에도 선방한 자동차 물동량</t>
  </si>
  <si>
    <t>94422</t>
  </si>
  <si>
    <t>성장의 반경 확대</t>
  </si>
  <si>
    <t>94421</t>
  </si>
  <si>
    <t>역대 최대 실적과 수주, 더해지는 증설</t>
  </si>
  <si>
    <t>94420</t>
  </si>
  <si>
    <t>변수는 있으나 성장 방향성 확실</t>
  </si>
  <si>
    <t>94419</t>
  </si>
  <si>
    <t>국내 1위를 넘어 미국으로</t>
  </si>
  <si>
    <t>94418</t>
  </si>
  <si>
    <t>폴리실리콘 증설과 이번 투자에 담긴 3가지 시사점</t>
  </si>
  <si>
    <t>94417</t>
  </si>
  <si>
    <t>본업 실적 회복 위에 올라설 로봇·SDV의 가치</t>
  </si>
  <si>
    <t>94416</t>
  </si>
  <si>
    <t>지금 이 주식을 사기 좋은 이유</t>
  </si>
  <si>
    <t>94415</t>
  </si>
  <si>
    <t>높아진 기대치를 상회</t>
  </si>
  <si>
    <t>94414</t>
  </si>
  <si>
    <t>부진한 센티멘트에도 굳건한 실적</t>
  </si>
  <si>
    <t>94413</t>
  </si>
  <si>
    <t>숫자로 증명하는 발전사업, 내러티브는 데이터센터가 끌고간다</t>
  </si>
  <si>
    <t>94412</t>
  </si>
  <si>
    <t>최대실적, 하반기 추가 주주환원</t>
  </si>
  <si>
    <t>94411</t>
  </si>
  <si>
    <t>미국 생산거점과 5공장, 그리고 펩타이드</t>
  </si>
  <si>
    <t>94410</t>
  </si>
  <si>
    <t>연간 가이던스 달성 가시성 확대</t>
  </si>
  <si>
    <t>94409</t>
  </si>
  <si>
    <t>다변화된 사업 포트폴리오 저력 입증</t>
  </si>
  <si>
    <t>94408</t>
  </si>
  <si>
    <t>이제 비만도 맡겨주세요</t>
  </si>
  <si>
    <t>94407</t>
  </si>
  <si>
    <t>예상된 실적 부진, 그럼에도 밝은 이유</t>
  </si>
  <si>
    <t>94406</t>
  </si>
  <si>
    <t>브로커리지 중심 호실적과 높아진 비용 부담</t>
  </si>
  <si>
    <t>94405</t>
  </si>
  <si>
    <t>MLCC 수주 공시 관련 코멘트: 늦게 오면 지각비 낸다</t>
  </si>
  <si>
    <t>94404</t>
  </si>
  <si>
    <t>첨단 산업 눈높이 상향, 건설업종 Top pick으로 추천</t>
  </si>
  <si>
    <t>94403</t>
  </si>
  <si>
    <t>성장을 이끄는 새로운 스토리가 생겼다</t>
  </si>
  <si>
    <t>94402</t>
  </si>
  <si>
    <t>예상보다 빠른 실적 턴어라운드</t>
  </si>
  <si>
    <t>94401</t>
  </si>
  <si>
    <t>2Q26 Review: 연간 가이던스 유지, 미래 전략은 8월 CID에서</t>
  </si>
  <si>
    <t>94400</t>
  </si>
  <si>
    <t>2Q26 Review: 견조한 탑라인, 커진 비용 부담</t>
  </si>
  <si>
    <t>94399</t>
  </si>
  <si>
    <t>록빌과 5공장으로 이어질 성장. 기대되는 4분기.</t>
  </si>
  <si>
    <t>94398</t>
  </si>
  <si>
    <t>여전히 Top Pick, 슈퍼사이클에 올라타다</t>
  </si>
  <si>
    <t>94397</t>
  </si>
  <si>
    <t>용이 어찌 못 속의 물건이랴</t>
  </si>
  <si>
    <t>94396</t>
  </si>
  <si>
    <t>대규모 관세 환입이 이끈 어닝 서프라이즈</t>
  </si>
  <si>
    <t>94395</t>
  </si>
  <si>
    <t>상반기의 부진을 딛고 수익성 가이던스 유지</t>
  </si>
  <si>
    <t>94394</t>
  </si>
  <si>
    <t>이익증가 추세 회복</t>
  </si>
  <si>
    <t>94393</t>
  </si>
  <si>
    <t>이익증가로 주주환원 확대 기대</t>
  </si>
  <si>
    <t>94392</t>
  </si>
  <si>
    <t>2Q26 Re: 자본 10조원 돌파, 예상 배당수익률 7.7%</t>
  </si>
  <si>
    <t>94391</t>
  </si>
  <si>
    <t>K-CAB의 다음 무대, 미국 딱 기다려!</t>
  </si>
  <si>
    <t>94390</t>
  </si>
  <si>
    <t>HBM Burn-in 테스터가 여는 실적 턴어라운드</t>
  </si>
  <si>
    <t>94389</t>
  </si>
  <si>
    <t>2Q26 Review: 기대치를 넘는 그룹사 수주 상향</t>
  </si>
  <si>
    <t>94388</t>
  </si>
  <si>
    <t>042040</t>
  </si>
  <si>
    <t>케이피엠테크</t>
  </si>
  <si>
    <t>첨단표면처리산업을 선도하는 54년 기술 혁신의 글로벌 파트너</t>
  </si>
  <si>
    <t>94387</t>
  </si>
  <si>
    <t>244880</t>
  </si>
  <si>
    <t>나눔테크</t>
  </si>
  <si>
    <t>인공지능 심전도 분석 기술로 생명을 살리는 국내 자동심장충격기 선도기업</t>
  </si>
  <si>
    <t>94386</t>
  </si>
  <si>
    <t>254160</t>
  </si>
  <si>
    <t>제이엠멀티</t>
  </si>
  <si>
    <t>천연목재 인프라와 첨단 헬스케어 기술을 잇는 토탈 라이프 솔루션 기업</t>
  </si>
  <si>
    <t>94385</t>
  </si>
  <si>
    <t>227420</t>
  </si>
  <si>
    <t>도부</t>
  </si>
  <si>
    <t>산업안전과 재난대피 수요 기반으로 필터·정화·밀폐 기술과 인증 생산체계 내재화</t>
  </si>
  <si>
    <t>94384</t>
  </si>
  <si>
    <t>킵스파마</t>
  </si>
  <si>
    <t>표적항암제와 경구용 펩타이드 플랫폼 기반 제약·바이오 사업 전환</t>
  </si>
  <si>
    <t>94383</t>
  </si>
  <si>
    <t>180400</t>
  </si>
  <si>
    <t>DXVX</t>
  </si>
  <si>
    <t>경구용 비만치료제와 핵산 플랫폼 기반 신약개발 바이오헬스케어 기업</t>
  </si>
  <si>
    <t>94382</t>
  </si>
  <si>
    <t>039610</t>
  </si>
  <si>
    <t>화성밸브</t>
  </si>
  <si>
    <t>정밀 밀폐·완전용접 기술과 폭넓은 공급 기반을 통해 시장을 확장하는 밸브 전문기업</t>
  </si>
  <si>
    <t>94381</t>
  </si>
  <si>
    <t>065500</t>
  </si>
  <si>
    <t>오리엔트정공</t>
  </si>
  <si>
    <t>현대·기아차 1차 협력 알루미늄 정밀부품 전문사, 친환경 미래차 부품으로 전환 선도</t>
  </si>
  <si>
    <t>94380</t>
  </si>
  <si>
    <t>015260</t>
  </si>
  <si>
    <t>에이엔피</t>
  </si>
  <si>
    <t>자동차 전장 PCB 45년 노하우, 로봇·전기차 미래를 설계하다</t>
  </si>
  <si>
    <t>94379</t>
  </si>
  <si>
    <t>036560</t>
  </si>
  <si>
    <t>KZ정밀</t>
  </si>
  <si>
    <t>고사양 플랜트용 펌프·밸브 제조 기반과 주주환원 기조를 바탕으로 기업가치 제고 중</t>
  </si>
  <si>
    <t>94378</t>
  </si>
  <si>
    <t>소셜카지노와 캐주얼 게임 기반 위에 콘텐츠 사업을 결합해 포트폴리오 다변화</t>
  </si>
  <si>
    <t>94377</t>
  </si>
  <si>
    <t>2026-07-23</t>
  </si>
  <si>
    <t>데이터센터와 원전을 품은 AI 인프라 PM</t>
  </si>
  <si>
    <t>94376</t>
  </si>
  <si>
    <t>2Q26 Preview; 눈높이를 살짝 낮추자</t>
  </si>
  <si>
    <t>94375</t>
  </si>
  <si>
    <t>안정적인 본업과 기대되는 데이터 산업</t>
  </si>
  <si>
    <t>94374</t>
  </si>
  <si>
    <t>에피스와 본계약 체결, 잠재된 추가 계약 더 있다</t>
  </si>
  <si>
    <t>94373</t>
  </si>
  <si>
    <t>호재 나올 텐데 주가는 급락, 정답은 매수</t>
  </si>
  <si>
    <t>94372</t>
  </si>
  <si>
    <t>2Q26F Pre: 수익성 개선 방향성 확인 구간</t>
  </si>
  <si>
    <t>94371</t>
  </si>
  <si>
    <t>3Q 턴어라운드 !</t>
  </si>
  <si>
    <t>94370</t>
  </si>
  <si>
    <t>연말로 갈수록 재평가 모멘텀이 기다리고 있다</t>
  </si>
  <si>
    <t>94369</t>
  </si>
  <si>
    <t>출하는 견조, 수익성 방어가 관건</t>
  </si>
  <si>
    <t>94368</t>
  </si>
  <si>
    <t>2Q26 Preview: 견조한 실적, 점유율 하락이 남긴 숙제</t>
  </si>
  <si>
    <t>94367</t>
  </si>
  <si>
    <t>칼륨비료 구조적 호황에도 역사적 최하단의 멀티플</t>
  </si>
  <si>
    <t>94366</t>
  </si>
  <si>
    <t>더디지만 그래도 조금씩 회복되는 첨단소재</t>
  </si>
  <si>
    <t>94365</t>
  </si>
  <si>
    <t>94364</t>
  </si>
  <si>
    <t>주가 조정시 트레이딩 관점에서 비중 확대</t>
  </si>
  <si>
    <t>94363</t>
  </si>
  <si>
    <t>26년 MLCC 소재, 27년 다시 양극재</t>
  </si>
  <si>
    <t>94362</t>
  </si>
  <si>
    <t>누구도 막을 수 없는 성장</t>
  </si>
  <si>
    <t>94361</t>
  </si>
  <si>
    <t>과점 구조 속 빛이 날 수익성</t>
  </si>
  <si>
    <t>94360</t>
  </si>
  <si>
    <t>다 좋은데 관심의 문제</t>
  </si>
  <si>
    <t>94359</t>
  </si>
  <si>
    <t>귀금속이 만드는 이익, 미국이 만드는 가치</t>
  </si>
  <si>
    <t>94358</t>
  </si>
  <si>
    <t>상반기, 일회성 비용에도 5년 만의 흑자전환</t>
  </si>
  <si>
    <t>94357</t>
  </si>
  <si>
    <t>2Q26 Preview: 효자 아쿠시네트와 미국 적자축소</t>
  </si>
  <si>
    <t>94356</t>
  </si>
  <si>
    <t>견조한 본업, 아시아를 넘어 북미로</t>
  </si>
  <si>
    <t>94355</t>
  </si>
  <si>
    <t>하반기 모멘텀 본격화 주목</t>
  </si>
  <si>
    <t>94354</t>
  </si>
  <si>
    <t>내년부터 투자금 회수 사이클 기대</t>
  </si>
  <si>
    <t>94353</t>
  </si>
  <si>
    <t>94352</t>
  </si>
  <si>
    <t>FDA 현대화법 3.0 시대에서 머크 파트너십의 의미</t>
  </si>
  <si>
    <t>94351</t>
  </si>
  <si>
    <t>분기 영업이익 성장률 +25%</t>
  </si>
  <si>
    <t>94350</t>
  </si>
  <si>
    <t>2026-07-22</t>
  </si>
  <si>
    <t>2Q26 Preview: 상저하고 실적 기대</t>
  </si>
  <si>
    <t>94349</t>
  </si>
  <si>
    <t>로보틱스+데이터센터 쿨링 시스템 &gt; 애플카</t>
  </si>
  <si>
    <t>94348</t>
  </si>
  <si>
    <t>예상보다 빠른 수익성 정상화</t>
  </si>
  <si>
    <t>94347</t>
  </si>
  <si>
    <t>2Q26 Preview : 성장 스토리가 있는 회사</t>
  </si>
  <si>
    <t>94346</t>
  </si>
  <si>
    <t>2Q26 Preview : 인바운드 수혜를 보고 있는 브랜드</t>
  </si>
  <si>
    <t>94345</t>
  </si>
  <si>
    <t>4DPLEX와 함께하는 CGV의 Brand New Day</t>
  </si>
  <si>
    <t>94344</t>
  </si>
  <si>
    <t>160550</t>
  </si>
  <si>
    <t>NEW</t>
  </si>
  <si>
    <t>매력적인 콘텐츠 라인업에 주주가치 제고까지</t>
  </si>
  <si>
    <t>94343</t>
  </si>
  <si>
    <t>2Q26 Pre: 시장 기대 부합 전망</t>
  </si>
  <si>
    <t>94342</t>
  </si>
  <si>
    <t>관전 포인트는 여수신 성장</t>
  </si>
  <si>
    <t>94341</t>
  </si>
  <si>
    <t>대만 NDR 후기: 같은 스토리, 다른 렌즈</t>
  </si>
  <si>
    <t>94340</t>
  </si>
  <si>
    <t>광고만 회복되면 좋은데</t>
  </si>
  <si>
    <t>94339</t>
  </si>
  <si>
    <t>드래곤의 작품은 확대 중</t>
  </si>
  <si>
    <t>94338</t>
  </si>
  <si>
    <t>94337</t>
  </si>
  <si>
    <t>2Q26 Pre: 고마진 품목 이연, 컨센 하회</t>
  </si>
  <si>
    <t>94336</t>
  </si>
  <si>
    <t>2Q26 Preview: 성장을 위한 증자, 매력을 더하는 배당</t>
  </si>
  <si>
    <t>94335</t>
  </si>
  <si>
    <t>본격적인 수주 + 실적 사이클 진입</t>
  </si>
  <si>
    <t>94334</t>
  </si>
  <si>
    <t>2Q26P Review: ETF 시장 확대로 최대 실적 달성</t>
  </si>
  <si>
    <t>94333</t>
  </si>
  <si>
    <t>2분기 공백, 하반기에 집중</t>
  </si>
  <si>
    <t>94332</t>
  </si>
  <si>
    <t>장기 목표에 시선 고정</t>
  </si>
  <si>
    <t>94331</t>
  </si>
  <si>
    <t>우려 속 반복되는 단기 호황</t>
  </si>
  <si>
    <t>94330</t>
  </si>
  <si>
    <t>헤지 종목으로서의 역할이 부각되는 국면</t>
  </si>
  <si>
    <t>94329</t>
  </si>
  <si>
    <t>매력적인 소부장</t>
  </si>
  <si>
    <t>94328</t>
  </si>
  <si>
    <t>전 세계가 1차전지를 필요로 한다</t>
  </si>
  <si>
    <t>94327</t>
  </si>
  <si>
    <t>2026-07-25</t>
  </si>
  <si>
    <t>2026-07-27</t>
  </si>
  <si>
    <t>HEV와 BEV의 판매 성장률 역전될 필요</t>
  </si>
  <si>
    <t>94495</t>
  </si>
  <si>
    <t>악조건에도 견조한 이익 시현</t>
  </si>
  <si>
    <t>94494</t>
  </si>
  <si>
    <t>경상적 이익규모 회복, 추가 자기주식 매입</t>
  </si>
  <si>
    <t>94493</t>
  </si>
  <si>
    <t>일회성 비용에도 상반기 누적 최대실적</t>
  </si>
  <si>
    <t>94492</t>
  </si>
  <si>
    <t>타이트한 비용 관리 노력 긍정적</t>
  </si>
  <si>
    <t>94491</t>
  </si>
  <si>
    <t>느리지만 실적 성장 기조는 확실</t>
  </si>
  <si>
    <t>94490</t>
  </si>
  <si>
    <t>저연차 IP의 도약, 공연·MD로 이어지는 성장</t>
  </si>
  <si>
    <t>94489</t>
  </si>
  <si>
    <t>054050</t>
  </si>
  <si>
    <t>NH농우바이오</t>
  </si>
  <si>
    <t>국내 1위 채소종자 기업의 글로벌 확장기</t>
  </si>
  <si>
    <t>94488</t>
  </si>
  <si>
    <t>기술력 높은 베어링 부품 강소기업</t>
  </si>
  <si>
    <t>94487</t>
  </si>
  <si>
    <t>봐도봐도 놀라운 수익성</t>
  </si>
  <si>
    <t>94486</t>
  </si>
  <si>
    <t>주주환원율 50% 돌파 예상</t>
  </si>
  <si>
    <t>94485</t>
  </si>
  <si>
    <t>2026-07-28</t>
  </si>
  <si>
    <t>2026년 실적 역성장 불가피할 전망</t>
  </si>
  <si>
    <t>94582</t>
  </si>
  <si>
    <t>기존 주력 제품의 부활</t>
  </si>
  <si>
    <t>94581</t>
  </si>
  <si>
    <t>탐방노트: 실적 반등 전망</t>
  </si>
  <si>
    <t>94580</t>
  </si>
  <si>
    <t>놀라운 실적 개선 속도, 하반기 수주 확대 기대</t>
  </si>
  <si>
    <t>94579</t>
  </si>
  <si>
    <t>2Q26 Preview: 생각보다 좋음</t>
  </si>
  <si>
    <t>94578</t>
  </si>
  <si>
    <t>저평가된 국내 시장 잠재력에 주목</t>
  </si>
  <si>
    <t>94577</t>
  </si>
  <si>
    <t>기술 패권 경쟁의 수혜</t>
  </si>
  <si>
    <t>94576</t>
  </si>
  <si>
    <t>환율상승으로 순이익 소폭 감소, 중간배당 실시</t>
  </si>
  <si>
    <t>94575</t>
  </si>
  <si>
    <t>이익감소에도 자본비율 상승, 주주환원 강화</t>
  </si>
  <si>
    <t>94574</t>
  </si>
  <si>
    <t>2Q26 Review: 더욱 빨라진 기판 시계열</t>
  </si>
  <si>
    <t>94573</t>
  </si>
  <si>
    <t>2Q26 Review: 두산 사세요, 두산 좋아요</t>
  </si>
  <si>
    <t>94572</t>
  </si>
  <si>
    <t>반도체 수율의 해결사</t>
  </si>
  <si>
    <t>94571</t>
  </si>
  <si>
    <t>실질 배당 매력은 높다</t>
  </si>
  <si>
    <t>94570</t>
  </si>
  <si>
    <t>ROE 상승과 환원 확대의 순환 참조</t>
  </si>
  <si>
    <t>94569</t>
  </si>
  <si>
    <t>핵심이익 증가로 영업이익 15% YoY</t>
  </si>
  <si>
    <t>94568</t>
  </si>
  <si>
    <t>우려 대비 엔진 차질 양호, 증익 기대감 확대</t>
  </si>
  <si>
    <t>94567</t>
  </si>
  <si>
    <t>판매 경쟁력은 견조, 신차 효과는 기대 대비 저조</t>
  </si>
  <si>
    <t>94566</t>
  </si>
  <si>
    <t>불리한 매크로 환경에도 구조적 수익성 개선 중</t>
  </si>
  <si>
    <t>94565</t>
  </si>
  <si>
    <t>역풍을 뚫은 제조 흑자</t>
  </si>
  <si>
    <t>94564</t>
  </si>
  <si>
    <t>외생변수는 지나가고 실적은 남는다</t>
  </si>
  <si>
    <t>94563</t>
  </si>
  <si>
    <t>바닥을 다지는 상반기</t>
  </si>
  <si>
    <t>94562</t>
  </si>
  <si>
    <t>수주를 기다리며</t>
  </si>
  <si>
    <t>94561</t>
  </si>
  <si>
    <t>해외 수주를 기다리며</t>
  </si>
  <si>
    <t>94560</t>
  </si>
  <si>
    <t>성장하는 실적. 눈 앞으로 다가온 FDC</t>
  </si>
  <si>
    <t>94559</t>
  </si>
  <si>
    <t>가장 편안하고 확실한 선택지</t>
  </si>
  <si>
    <t>94558</t>
  </si>
  <si>
    <t>2Q26 Review: 일회성 빼고 봐도 잘했다</t>
  </si>
  <si>
    <t>94557</t>
  </si>
  <si>
    <t>2Q26 Review: 하방 경직성 확보, 올라갈 일만 남아있다</t>
  </si>
  <si>
    <t>94556</t>
  </si>
  <si>
    <t>2Q26 Review: 최고의 안정감</t>
  </si>
  <si>
    <t>94555</t>
  </si>
  <si>
    <t>2Q26 Review: 여전히 잘 하고 있는 것은 사실</t>
  </si>
  <si>
    <t>94554</t>
  </si>
  <si>
    <t>2Q26 Review: 예측가능한 주주환원정책을 통한 매력 지속</t>
  </si>
  <si>
    <t>94553</t>
  </si>
  <si>
    <t>94552</t>
  </si>
  <si>
    <t>에폭시 글로벌 No.1의 성장이 시작된다</t>
  </si>
  <si>
    <t>94551</t>
  </si>
  <si>
    <t>2분기 영업실적 서프라이즈 기록!</t>
  </si>
  <si>
    <t>94550</t>
  </si>
  <si>
    <t>가격 매력이 부각될 수 있는 시점. 업종내 관심종목 제시</t>
  </si>
  <si>
    <t>94549</t>
  </si>
  <si>
    <t>내용상으로는 매우 양호했던 실적. 성장성 확보도 긍정적</t>
  </si>
  <si>
    <t>94548</t>
  </si>
  <si>
    <t>연간 매출은 성장할 것, 이익률 지키는 중(2Q26 Re)</t>
  </si>
  <si>
    <t>94547</t>
  </si>
  <si>
    <t>선택과 집중으로 체질개선에 나섰다</t>
  </si>
  <si>
    <t>94546</t>
  </si>
  <si>
    <t>실적 회복은 조금 더 기다려야</t>
  </si>
  <si>
    <t>94545</t>
  </si>
  <si>
    <t>높은 곳을 향해 차근차근 가는 중</t>
  </si>
  <si>
    <t>94544</t>
  </si>
  <si>
    <t>안정적 실적 기조 유지</t>
  </si>
  <si>
    <t>94543</t>
  </si>
  <si>
    <t>하반기 견조한 수익성. 로봇 부품의 확대 모멘텀</t>
  </si>
  <si>
    <t>94542</t>
  </si>
  <si>
    <t>아쉬운 2분기. 하반기 HEV 생산 확대를 기대</t>
  </si>
  <si>
    <t>94541</t>
  </si>
  <si>
    <t>비과세 효과 반영 시 주주환원율 50% 상회</t>
  </si>
  <si>
    <t>94540</t>
  </si>
  <si>
    <t>초점은 주주환원율 상승에서 ROE 상승으로</t>
  </si>
  <si>
    <t>94539</t>
  </si>
  <si>
    <t>2Q26 Re: 지난한 상황 속 제조부문 흑자</t>
  </si>
  <si>
    <t>94538</t>
  </si>
  <si>
    <t>2Q26 Re: 과도기적 성장의 모순</t>
  </si>
  <si>
    <t>94537</t>
  </si>
  <si>
    <t>수주 우려는 완화, 성장축은 확장</t>
  </si>
  <si>
    <t>94536</t>
  </si>
  <si>
    <t>ROE 개선이 관건</t>
  </si>
  <si>
    <t>94535</t>
  </si>
  <si>
    <t>2Q26 리뷰: 여러 비용에도 호실적, 다시 로봇</t>
  </si>
  <si>
    <t>94534</t>
  </si>
  <si>
    <t>2Q26 리뷰: 높아진 기대치와 전기차 영향</t>
  </si>
  <si>
    <t>94533</t>
  </si>
  <si>
    <t>마진과 수수료 모두 우수</t>
  </si>
  <si>
    <t>94532</t>
  </si>
  <si>
    <t>모든 부문 수익성 개선, 기대되는 배당정책</t>
  </si>
  <si>
    <t>94531</t>
  </si>
  <si>
    <t>94530</t>
  </si>
  <si>
    <t>여전히 Physical AI 대장주</t>
  </si>
  <si>
    <t>94529</t>
  </si>
  <si>
    <t>양호했던 실적, 당혹스런 주가</t>
  </si>
  <si>
    <t>94528</t>
  </si>
  <si>
    <t>저점은 보았다</t>
  </si>
  <si>
    <t>94527</t>
  </si>
  <si>
    <t>2Q26 Review: 지연되는 수주, 아쉬운 실적</t>
  </si>
  <si>
    <t>94526</t>
  </si>
  <si>
    <t>2Q26, 가장 큰 변화는 숫자가 아닌 전략</t>
  </si>
  <si>
    <t>94525</t>
  </si>
  <si>
    <t>2Q26 Review: 로보틱스 사업 확대 기대</t>
  </si>
  <si>
    <t>94524</t>
  </si>
  <si>
    <t>실질 주주환원율 50% 상회 예상</t>
  </si>
  <si>
    <t>94523</t>
  </si>
  <si>
    <t>배터리 전지박 판매 증가 본격화</t>
  </si>
  <si>
    <t>94522</t>
  </si>
  <si>
    <t>장기 경쟁력 증명이 필요</t>
  </si>
  <si>
    <t>94521</t>
  </si>
  <si>
    <t>2Q26 Review: 다소 높았던 기대치</t>
  </si>
  <si>
    <t>94520</t>
  </si>
  <si>
    <t>힘겨운 싸움</t>
  </si>
  <si>
    <t>94519</t>
  </si>
  <si>
    <t>2Q26 Review: 강화된 수익성, 하반기 지속 전망</t>
  </si>
  <si>
    <t>94518</t>
  </si>
  <si>
    <t>수요 반등보다 중요한 공급의 병목</t>
  </si>
  <si>
    <t>94517</t>
  </si>
  <si>
    <t>매출 부진에도 견조한 수익성</t>
  </si>
  <si>
    <t>94516</t>
  </si>
  <si>
    <t>밸류업 프로그램 레벨업</t>
  </si>
  <si>
    <t>94515</t>
  </si>
  <si>
    <t>인적분할 불확실성 해소 및 개정상법 수혜</t>
  </si>
  <si>
    <t>94514</t>
  </si>
  <si>
    <t>본업과 미래 사업에서 모두 기대되는 26.2H</t>
  </si>
  <si>
    <t>94513</t>
  </si>
  <si>
    <t>분기 1조원대의 이익체력 확보</t>
  </si>
  <si>
    <t>94512</t>
  </si>
  <si>
    <t>실적은 시차일 뿐, 가장 풍부한 모멘텀</t>
  </si>
  <si>
    <t>94511</t>
  </si>
  <si>
    <t>잠시 쉬어가도 성장 곡선은 지속</t>
  </si>
  <si>
    <t>94510</t>
  </si>
  <si>
    <t>2Q26 Re: 2027년까지 이익 개선 지속될 것</t>
  </si>
  <si>
    <t>94509</t>
  </si>
  <si>
    <t>2Q26 Review: 주주환원으로 연결되는 영업활동현금흐름</t>
  </si>
  <si>
    <t>94508</t>
  </si>
  <si>
    <t>제조는 Turn, 로봇은 On</t>
  </si>
  <si>
    <t>94507</t>
  </si>
  <si>
    <t>실적은 저점 통과. 주가 재평가를 기다리며…</t>
  </si>
  <si>
    <t>94506</t>
  </si>
  <si>
    <t>판매왕의 고민</t>
  </si>
  <si>
    <t>94505</t>
  </si>
  <si>
    <t>데이터센터향 수주 확대 국면</t>
  </si>
  <si>
    <t>94504</t>
  </si>
  <si>
    <t>꽃가마를 타기 위해 불식시켜야 할 우려</t>
  </si>
  <si>
    <t>94503</t>
  </si>
  <si>
    <t>2010년 이후 첫 A/S 영업이익률 27%대 회복</t>
  </si>
  <si>
    <t>94502</t>
  </si>
  <si>
    <t>2Q26: 안정적 실적, 대기만성 기대</t>
  </si>
  <si>
    <t>94501</t>
  </si>
  <si>
    <t>2Q26: 멀리는 좋지만 가까이는 아쉬운</t>
  </si>
  <si>
    <t>94500</t>
  </si>
  <si>
    <t>강력한 xEV 포트폴리오 보유</t>
  </si>
  <si>
    <t>94499</t>
  </si>
  <si>
    <t>부진한 업황 속 견조한 실적 방어</t>
  </si>
  <si>
    <t>94498</t>
  </si>
  <si>
    <t>189330</t>
  </si>
  <si>
    <t>씨이랩</t>
  </si>
  <si>
    <t>AI 인프라 구축의 수혜주</t>
  </si>
  <si>
    <t>94497</t>
  </si>
  <si>
    <t>아쉬운 실적에도 주주환원에 진심</t>
  </si>
  <si>
    <t>94496</t>
  </si>
  <si>
    <t>2026-07-30</t>
  </si>
  <si>
    <t>테고의 달인</t>
  </si>
  <si>
    <t>94717</t>
  </si>
  <si>
    <t>톡신 서프라이즈 너도? 아 나도!</t>
  </si>
  <si>
    <t>94716</t>
  </si>
  <si>
    <t>변하지 않은 것</t>
  </si>
  <si>
    <t>94715</t>
  </si>
  <si>
    <t>내용은 좋았다</t>
  </si>
  <si>
    <t>94714</t>
  </si>
  <si>
    <t>견고한 실적, 신작 기대감도 상승</t>
  </si>
  <si>
    <t>94713</t>
  </si>
  <si>
    <t>한 걸음씩 넓어지는 무대</t>
  </si>
  <si>
    <t>94712</t>
  </si>
  <si>
    <t>AI가 이끄는 성장</t>
  </si>
  <si>
    <t>94711</t>
  </si>
  <si>
    <t>낮아진 밸류에이션, 흥행률 상승이 열쇠</t>
  </si>
  <si>
    <t>94710</t>
  </si>
  <si>
    <t>2Q26 preview - 예상보다 클 공급 타이트 효과</t>
  </si>
  <si>
    <t>94709</t>
  </si>
  <si>
    <t>AI 인프라의 설계자가 되다</t>
  </si>
  <si>
    <t>94708</t>
  </si>
  <si>
    <t>2Q26 review - 더 빨리, 더 크게 찾아온 장기 공급 계약</t>
  </si>
  <si>
    <t>94707</t>
  </si>
  <si>
    <t>일부 신작 지연에도 모멘텀은 풍부</t>
  </si>
  <si>
    <t>94706</t>
  </si>
  <si>
    <t>성장과 환원이 함께하는 구간</t>
  </si>
  <si>
    <t>94705</t>
  </si>
  <si>
    <t>실적은 숨 고르기, 성장 전략은 전진</t>
  </si>
  <si>
    <t>94704</t>
  </si>
  <si>
    <t>2026-07-29</t>
  </si>
  <si>
    <t>2Q26 Conference call</t>
  </si>
  <si>
    <t>94703</t>
  </si>
  <si>
    <t>이익 추정치 하향에도 높은 환원 수익률</t>
  </si>
  <si>
    <t>94702</t>
  </si>
  <si>
    <t>The Show Must Go On!</t>
  </si>
  <si>
    <t>94701</t>
  </si>
  <si>
    <t>우수한 방산, 안정적인 ICT, 개선되는 필리조선소</t>
  </si>
  <si>
    <t>94700</t>
  </si>
  <si>
    <t>2Q26 Review: 보고 있는 것과 봐야 할 것</t>
  </si>
  <si>
    <t>94699</t>
  </si>
  <si>
    <t>2Q26 Review: 수주는 가이던스 초과를 향해</t>
  </si>
  <si>
    <t>94698</t>
  </si>
  <si>
    <t>2Q26 Review: 아쉬운 실적, 방향성은 유효</t>
  </si>
  <si>
    <t>94697</t>
  </si>
  <si>
    <t>2Q26 Review: 무난함 속에 숨겨진 저력</t>
  </si>
  <si>
    <t>94696</t>
  </si>
  <si>
    <t>2Q26 Review; 에페글레나타이드 출시를 기다리며</t>
  </si>
  <si>
    <t>94695</t>
  </si>
  <si>
    <t>실적 서프라이즈에도 이해할 수 없는 셀온</t>
  </si>
  <si>
    <t>94694</t>
  </si>
  <si>
    <t>주주환원 보다 더 중요한 것은 이익 안정성에 대한 신뢰</t>
  </si>
  <si>
    <t>94693</t>
  </si>
  <si>
    <t>P/B 0.3배대를 극복하기 위한 두 가지 조건</t>
  </si>
  <si>
    <t>94692</t>
  </si>
  <si>
    <t>8월 전략 - 당분간 저점 박스권 트레이딩 추천</t>
  </si>
  <si>
    <t>94691</t>
  </si>
  <si>
    <t>8월 전략 - AI가 배당 올릴 수 있다는 확신 생겨날 것</t>
  </si>
  <si>
    <t>94690</t>
  </si>
  <si>
    <t>8월 전략 - 단기 한 단계 주가 상승은 가능할 것</t>
  </si>
  <si>
    <t>94689</t>
  </si>
  <si>
    <t>이제 배전도 성장 국면 진입</t>
  </si>
  <si>
    <t>94688</t>
  </si>
  <si>
    <t>일시적 영향이지만, 돌다리를 두드리며 (2Q26 Re)</t>
  </si>
  <si>
    <t>94687</t>
  </si>
  <si>
    <t>2Q26 Re: 역대 최고 분기 OP 기록</t>
  </si>
  <si>
    <t>94686</t>
  </si>
  <si>
    <t>떨어져라 환율아</t>
  </si>
  <si>
    <t>94685</t>
  </si>
  <si>
    <t>주가는 빠졌지만, 실적은 흔들리지 않았다</t>
  </si>
  <si>
    <t>94684</t>
  </si>
  <si>
    <t>하반기 실적이 중요하다</t>
  </si>
  <si>
    <t>94683</t>
  </si>
  <si>
    <t>2Q26Re: 원가율 상승은 일시적</t>
  </si>
  <si>
    <t>94682</t>
  </si>
  <si>
    <t>내년까지 든든한 AI 서버 수요</t>
  </si>
  <si>
    <t>94681</t>
  </si>
  <si>
    <t>본업 눈높이는 낮추고, AI 가치는 높이고</t>
  </si>
  <si>
    <t>94680</t>
  </si>
  <si>
    <t>북경한미 회복과 파이프라인 개발 진전에 주목</t>
  </si>
  <si>
    <t>94679</t>
  </si>
  <si>
    <t>놀라운 상선 실적 22.7%</t>
  </si>
  <si>
    <t>94678</t>
  </si>
  <si>
    <t>일시적 원가 부담, 컨센서스 하회</t>
  </si>
  <si>
    <t>94677</t>
  </si>
  <si>
    <t>2Q26 Review: 시작된 턴어라운드</t>
  </si>
  <si>
    <t>94676</t>
  </si>
  <si>
    <t>주가는 하락했지만, 펀더멘털은 강화 중</t>
  </si>
  <si>
    <t>94675</t>
  </si>
  <si>
    <t>2Q26 Review: 데이터센터향 발주 본격화</t>
  </si>
  <si>
    <t>94674</t>
  </si>
  <si>
    <t>연간 주당배당금 감소 예상</t>
  </si>
  <si>
    <t>94673</t>
  </si>
  <si>
    <t>올해 증익은 어려울 것으로 예상</t>
  </si>
  <si>
    <t>94672</t>
  </si>
  <si>
    <t>펀더멘털에 비해 과격한 조정</t>
  </si>
  <si>
    <t>94671</t>
  </si>
  <si>
    <t>Corp Day: "4Q에 집중된다" 성장 재점화</t>
  </si>
  <si>
    <t>94670</t>
  </si>
  <si>
    <t>94669</t>
  </si>
  <si>
    <t>배당 매력도 급등 구간</t>
  </si>
  <si>
    <t>94668</t>
  </si>
  <si>
    <t>수출이 이끈 호조, 미래를 위한 숨고르기</t>
  </si>
  <si>
    <t>94667</t>
  </si>
  <si>
    <t>편안한 실적, 더 길어지는 성장 사이클</t>
  </si>
  <si>
    <t>94666</t>
  </si>
  <si>
    <t>무난한 실적발표</t>
  </si>
  <si>
    <t>94665</t>
  </si>
  <si>
    <t>실적과 반대로 가는 주가</t>
  </si>
  <si>
    <t>94664</t>
  </si>
  <si>
    <t>인적분할 전후 투자전략 점검</t>
  </si>
  <si>
    <t>94663</t>
  </si>
  <si>
    <t>2Q 어닝 서프, 하반기 실적 보다 수주에 집중</t>
  </si>
  <si>
    <t>94662</t>
  </si>
  <si>
    <t>컨센서스 하회, 그렇기에 기대되는 하반기</t>
  </si>
  <si>
    <t>94661</t>
  </si>
  <si>
    <t>2Q26P Review: 어닝서프라이즈 시현, 최대 실적</t>
  </si>
  <si>
    <t>94660</t>
  </si>
  <si>
    <t>두 자릿수 마진 회복</t>
  </si>
  <si>
    <t>94659</t>
  </si>
  <si>
    <t>2Q26P Review: 4분기 연속 로열티 매출 증가</t>
  </si>
  <si>
    <t>94658</t>
  </si>
  <si>
    <t>실적은 BTS, 미래는 차세대 IP</t>
  </si>
  <si>
    <t>94657</t>
  </si>
  <si>
    <t>비용 증가를 압도하는 매출 성장</t>
  </si>
  <si>
    <t>94656</t>
  </si>
  <si>
    <t>BTS 투어 위력 입증, 실적 눈높이 상향 조정</t>
  </si>
  <si>
    <t>94655</t>
  </si>
  <si>
    <t>일회성비용, 비은행 개선, 주주환원 지속</t>
  </si>
  <si>
    <t>94654</t>
  </si>
  <si>
    <t>하반기는 실적보다 수주를 바라보자</t>
  </si>
  <si>
    <t>94653</t>
  </si>
  <si>
    <t>성장성은 변함없다</t>
  </si>
  <si>
    <t>94652</t>
  </si>
  <si>
    <t>2Q26: 방산, 필리, 모두 좋아지는 중</t>
  </si>
  <si>
    <t>94651</t>
  </si>
  <si>
    <t>하반기 이익과 자사주 매입/소각 규모가 관건</t>
  </si>
  <si>
    <t>94650</t>
  </si>
  <si>
    <t>호실적도 있었고, 우려점도 있었다</t>
  </si>
  <si>
    <t>94649</t>
  </si>
  <si>
    <t>조금 더딜 뿐이다</t>
  </si>
  <si>
    <t>94648</t>
  </si>
  <si>
    <t>운기조식(運氣調息)</t>
  </si>
  <si>
    <t>94647</t>
  </si>
  <si>
    <t>어두웠던 과거, 밝아질 수 있는 미래</t>
  </si>
  <si>
    <t>94646</t>
  </si>
  <si>
    <t>주주환원 정책 의지 강한 증권사</t>
  </si>
  <si>
    <t>94645</t>
  </si>
  <si>
    <t>수익성 정상화를 넘어 외형 확장 국면 진입</t>
  </si>
  <si>
    <t>94644</t>
  </si>
  <si>
    <t>2Q26 Review: 예상하지 못한 일회성 요인</t>
  </si>
  <si>
    <t>94643</t>
  </si>
  <si>
    <t>상선 수익성 단숨에 국내 1위 등극</t>
  </si>
  <si>
    <t>94642</t>
  </si>
  <si>
    <t>2Q26 Re: 기대를 뛰어넘는 가파른 성장</t>
  </si>
  <si>
    <t>94641</t>
  </si>
  <si>
    <t>94640</t>
  </si>
  <si>
    <t>아직 불안한 실적</t>
  </si>
  <si>
    <t>94639</t>
  </si>
  <si>
    <t>광모듈 CCL, 새로운 성장 축으로 부상</t>
  </si>
  <si>
    <t>94638</t>
  </si>
  <si>
    <t>4분기 추가 자사주의 가능성도 열려있다</t>
  </si>
  <si>
    <t>94637</t>
  </si>
  <si>
    <t>2Q26 Preview: 우려는 일시적, 개선은 진행형</t>
  </si>
  <si>
    <t>94636</t>
  </si>
  <si>
    <t>더 큰 성장을 위한 발판을 마련중</t>
  </si>
  <si>
    <t>94635</t>
  </si>
  <si>
    <t>낮아진 밸류에이션과 견고한 사업 경쟁력</t>
  </si>
  <si>
    <t>94634</t>
  </si>
  <si>
    <t>2Q26 Review 서프라이즈 실적</t>
  </si>
  <si>
    <t>94633</t>
  </si>
  <si>
    <t>예상대비 가파른 광모듈 수요 증가</t>
  </si>
  <si>
    <t>94632</t>
  </si>
  <si>
    <t>새로운 시장이 열린다</t>
  </si>
  <si>
    <t>94631</t>
  </si>
  <si>
    <t>실적 성장세 감안하면 말도 안되게 낮은 멀티플입니다</t>
  </si>
  <si>
    <t>94630</t>
  </si>
  <si>
    <t>3대 주주 엔비디아, 의심을 확신으로 바꿀 시점</t>
  </si>
  <si>
    <t>94629</t>
  </si>
  <si>
    <t>상선 마진 추가 레벨업</t>
  </si>
  <si>
    <t>94628</t>
  </si>
  <si>
    <t>핵심사업 중심 중장기 마진 개선 유효</t>
  </si>
  <si>
    <t>94627</t>
  </si>
  <si>
    <t>Core 마진 하락에도 최대 실적 달성</t>
  </si>
  <si>
    <t>94626</t>
  </si>
  <si>
    <t>실적은 아쉬웠지만 큰폭의 CET 1 비율 개선은 고무적</t>
  </si>
  <si>
    <t>94625</t>
  </si>
  <si>
    <t>만만치 않은 영업환경. 일부 자사주 활용 방안 검토 필요</t>
  </si>
  <si>
    <t>94624</t>
  </si>
  <si>
    <t>94623</t>
  </si>
  <si>
    <t>지속되는 운은 실력이고, 환차익도 이익이다</t>
  </si>
  <si>
    <t>94622</t>
  </si>
  <si>
    <t>2Q26 Re: 계절성을 뛰어넘은 실적</t>
  </si>
  <si>
    <t>94621</t>
  </si>
  <si>
    <t>사상 최대 매출이 예상되는 2026년</t>
  </si>
  <si>
    <t>94620</t>
  </si>
  <si>
    <t>2Q26Re: 계속되는 신제품 효과</t>
  </si>
  <si>
    <t>94619</t>
  </si>
  <si>
    <t>실적 방어 지속, 다시금 강화된 주주환원</t>
  </si>
  <si>
    <t>94618</t>
  </si>
  <si>
    <t>영업레버리지 효과 발휘 구간 확인</t>
  </si>
  <si>
    <t>94617</t>
  </si>
  <si>
    <t>약점을 딛고 도약</t>
  </si>
  <si>
    <t>94616</t>
  </si>
  <si>
    <t>3Q 성장은 가속화</t>
  </si>
  <si>
    <t>94615</t>
  </si>
  <si>
    <t>견고한 본업, 부각되는 광모듈</t>
  </si>
  <si>
    <t>94614</t>
  </si>
  <si>
    <t>이익 레벨업, 하반기가 더 기대되는 이유</t>
  </si>
  <si>
    <t>94613</t>
  </si>
  <si>
    <t>눈높이는 낮춰도, 자리는 그대로다</t>
  </si>
  <si>
    <t>94612</t>
  </si>
  <si>
    <t>2Q26 Review: 완벽한 청사진</t>
  </si>
  <si>
    <t>94611</t>
  </si>
  <si>
    <t>철저한 RWA 관리 긍정적</t>
  </si>
  <si>
    <t>94610</t>
  </si>
  <si>
    <t>2Q26 Review 다시 쓴 사상 최대, 일시적 비용에 가려진 구조적 성장</t>
  </si>
  <si>
    <t>94609</t>
  </si>
  <si>
    <t>2024년 물량의 힘</t>
  </si>
  <si>
    <t>94608</t>
  </si>
  <si>
    <t>하반기 수주 기대</t>
  </si>
  <si>
    <t>94607</t>
  </si>
  <si>
    <t>2·3분기 실적 견조. 눈높이는 조정</t>
  </si>
  <si>
    <t>94606</t>
  </si>
  <si>
    <t>로직을 넘어 메모리로, HPA 성장축 다변화</t>
  </si>
  <si>
    <t>94605</t>
  </si>
  <si>
    <t>고객사 장기계약이 뒷받침하는 솔더볼 수요</t>
  </si>
  <si>
    <t>94604</t>
  </si>
  <si>
    <t>Top-Tier에 걸맞은 실적. 경쟁사 대비 저평가</t>
  </si>
  <si>
    <t>94603</t>
  </si>
  <si>
    <t>믿기지 않는 상선 마진율, 그러나 관망 필요</t>
  </si>
  <si>
    <t>94602</t>
  </si>
  <si>
    <t>모바일이 막아주는 하방, 기판이 열어주는 상방</t>
  </si>
  <si>
    <t>94601</t>
  </si>
  <si>
    <t>견조한 수주 성장세</t>
  </si>
  <si>
    <t>94600</t>
  </si>
  <si>
    <t>견조한 실적과 하반기 성장에 주목할 시기</t>
  </si>
  <si>
    <t>94599</t>
  </si>
  <si>
    <t>신규 제품이 바꾼 이익 체급</t>
  </si>
  <si>
    <t>94598</t>
  </si>
  <si>
    <t>더 좋은 하반기 그리고 2027</t>
  </si>
  <si>
    <t>94597</t>
  </si>
  <si>
    <t>다시 전고점을 향해</t>
  </si>
  <si>
    <t>94596</t>
  </si>
  <si>
    <t>3년 뒤, 5년 뒤를 보며 움직인다</t>
  </si>
  <si>
    <t>94595</t>
  </si>
  <si>
    <t>기판 성장이 주가 방향성 결정</t>
  </si>
  <si>
    <t>94594</t>
  </si>
  <si>
    <t>하반기로 갈수록 높아질 투자 매력</t>
  </si>
  <si>
    <t>94593</t>
  </si>
  <si>
    <t>변함없는 성장과 방향성</t>
  </si>
  <si>
    <t>94592</t>
  </si>
  <si>
    <t>아쉬움을 덮는 이익 체력</t>
  </si>
  <si>
    <t>94591</t>
  </si>
  <si>
    <t>일회성 원가에 가려진 성장</t>
  </si>
  <si>
    <t>94590</t>
  </si>
  <si>
    <t>2Q26: 상선과 특수선의 희비교차</t>
  </si>
  <si>
    <t>94589</t>
  </si>
  <si>
    <t>업종 내 상대적 약세 완화 기대</t>
  </si>
  <si>
    <t>94588</t>
  </si>
  <si>
    <t>명목 배당수익률 외에는 제한적인 투자매력</t>
  </si>
  <si>
    <t>94587</t>
  </si>
  <si>
    <t>자본력 개선은 긍정적이나 높아진 비용 부담</t>
  </si>
  <si>
    <t>94586</t>
  </si>
  <si>
    <t>광학 계절성 변수는 좋은 변화</t>
  </si>
  <si>
    <t>94585</t>
  </si>
  <si>
    <t>이제는 믿을맨 포지션</t>
  </si>
  <si>
    <t>94584</t>
  </si>
  <si>
    <t>부침은 있어도 방향성은 변하지 않는다</t>
  </si>
  <si>
    <t>94583</t>
  </si>
  <si>
    <t>2026-07-31</t>
  </si>
  <si>
    <t>본격적인 성장 구간 진입</t>
  </si>
  <si>
    <t>94806</t>
  </si>
  <si>
    <t>인내의 시기</t>
  </si>
  <si>
    <t>94805</t>
  </si>
  <si>
    <t>아르헨티나 리튬 첫 분기 흑자!</t>
  </si>
  <si>
    <t>94804</t>
  </si>
  <si>
    <t>3Q26 실적 전망치 상향</t>
  </si>
  <si>
    <t>94803</t>
  </si>
  <si>
    <t>위기에 나타난 서프라이즈</t>
  </si>
  <si>
    <t>94802</t>
  </si>
  <si>
    <t>밸류업으로 이어질 올리브영의 성장성</t>
  </si>
  <si>
    <t>94801</t>
  </si>
  <si>
    <t>전력 슈퍼사이클: 성장을 계량하다</t>
  </si>
  <si>
    <t>94800</t>
  </si>
  <si>
    <t>분할이 여는 경로: 이벤트 이후를 산다</t>
  </si>
  <si>
    <t>94799</t>
  </si>
  <si>
    <t>경로가 열리는 조선 지주: 최상의 환원 여력</t>
  </si>
  <si>
    <t>94798</t>
  </si>
  <si>
    <t>2Q26 실적발표, 분기 최대 매출, 무난함이 강점</t>
  </si>
  <si>
    <t>94797</t>
  </si>
  <si>
    <t>지분법 지주의 정석: 자회사 가치의 거울</t>
  </si>
  <si>
    <t>94796</t>
  </si>
  <si>
    <t>국내 유일 고유종 미니피그로 CRO에서 이종장기까지, 바이오 인프라의 원료를 짓는 기업</t>
  </si>
  <si>
    <t>94795</t>
  </si>
  <si>
    <t>225220</t>
  </si>
  <si>
    <t>제놀루션</t>
  </si>
  <si>
    <t>RNA 기술 하나로 진단과 그린바이오를 잇는 분자생명과학 플랫폼 기업</t>
  </si>
  <si>
    <t>94794</t>
  </si>
  <si>
    <t>095700</t>
  </si>
  <si>
    <t>제넥신</t>
  </si>
  <si>
    <t>후보물질 발굴부터 상업화까지, bioPROTAC이 여는 차세대 표적 신약의 새 지평</t>
  </si>
  <si>
    <t>94793</t>
  </si>
  <si>
    <t>387570</t>
  </si>
  <si>
    <t>파인메딕스</t>
  </si>
  <si>
    <t>소화기 내시경 시술기구 기술 경쟁력을 기반으로 글로벌 의료기기 시장 확대 추진 중</t>
  </si>
  <si>
    <t>94792</t>
  </si>
  <si>
    <t>250930</t>
  </si>
  <si>
    <t>예선테크</t>
  </si>
  <si>
    <t>기능성 점착소재의 설계·정밀가공 역량 기반 자동차 전장과 이차전지 분야로 확장 중</t>
  </si>
  <si>
    <t>94791</t>
  </si>
  <si>
    <t>003100</t>
  </si>
  <si>
    <t>선광</t>
  </si>
  <si>
    <t>컨테이너·양곡 중심 항만 인프라와 자동화 운영역량 기반으로 물류거점 확장 중</t>
  </si>
  <si>
    <t>94790</t>
  </si>
  <si>
    <t>302430</t>
  </si>
  <si>
    <t>이노메트리</t>
  </si>
  <si>
    <t>X-ray·CT와 AI 융합기술을 기반으로 2차전지에서 첨단산업까지 검사영역 확장 중</t>
  </si>
  <si>
    <t>94789</t>
  </si>
  <si>
    <t>숫자로 돌아온 리드프레임</t>
  </si>
  <si>
    <t>94788</t>
  </si>
  <si>
    <t>아쉬운 실적, AI 데이터센터 가시화 여부가 관건</t>
  </si>
  <si>
    <t>94787</t>
  </si>
  <si>
    <t>NDR 후기: 실적 저점 확인과 로보틱스</t>
  </si>
  <si>
    <t>94786</t>
  </si>
  <si>
    <t>2Q26 Review: 믹스 개선</t>
  </si>
  <si>
    <t>94785</t>
  </si>
  <si>
    <t>투자 심리와 상반되는 안정적인 성장성</t>
  </si>
  <si>
    <t>94784</t>
  </si>
  <si>
    <t>압도적인 모멘텀. 전사적인 수익성도 확대 중</t>
  </si>
  <si>
    <t>94783</t>
  </si>
  <si>
    <t>오랜만에 턴어라운드</t>
  </si>
  <si>
    <t>94782</t>
  </si>
  <si>
    <t>2Q26 Re: 귀에 걸면 귀걸이 코에 걸면 코걸이</t>
  </si>
  <si>
    <t>94781</t>
  </si>
  <si>
    <t>8월 게임스컴과 4Q26 모바일 PUBG 매출이 관건</t>
  </si>
  <si>
    <t>94780</t>
  </si>
  <si>
    <t>2Q26 Review; 나보타 조기 선적으로 컨센서스 상회</t>
  </si>
  <si>
    <t>94779</t>
  </si>
  <si>
    <t>2Q26 Review: 본업인 주택에 관심을 갖자</t>
  </si>
  <si>
    <t>94778</t>
  </si>
  <si>
    <t>2Q26 Review: 서프라이즈 이어 8월 CID까지 기대</t>
  </si>
  <si>
    <t>94777</t>
  </si>
  <si>
    <t>2Q26 Review HBM4와 LTA로 이어질 실적 모멘텀</t>
  </si>
  <si>
    <t>94776</t>
  </si>
  <si>
    <t>LTA가 불러올 나비효과</t>
  </si>
  <si>
    <t>94775</t>
  </si>
  <si>
    <t>실적 턴어라운드 구간 본격 진입</t>
  </si>
  <si>
    <t>94774</t>
  </si>
  <si>
    <t>[2Q26 Review] 실망이 아닌, 기대를 가질 때</t>
  </si>
  <si>
    <t>94773</t>
  </si>
  <si>
    <t>일회성을 걷어내면 보인다. 하반기 실적 모멘텀 회복</t>
  </si>
  <si>
    <t>94772</t>
  </si>
  <si>
    <t>웰메이드 모드가 신작이다</t>
  </si>
  <si>
    <t>94771</t>
  </si>
  <si>
    <t>새로운 펀더멘털에도 주가는 과락</t>
  </si>
  <si>
    <t>94770</t>
  </si>
  <si>
    <t>상사와 바이오에 힘입은 실적 서프</t>
  </si>
  <si>
    <t>94769</t>
  </si>
  <si>
    <t>실적은 부진했으나, 데이터센터 방향성은 유효</t>
  </si>
  <si>
    <t>94768</t>
  </si>
  <si>
    <t>태양광 실적 회복 사이클 진입</t>
  </si>
  <si>
    <t>94767</t>
  </si>
  <si>
    <t>2Q26 Re: 가던 길, 마저 갑니다</t>
  </si>
  <si>
    <t>94766</t>
  </si>
  <si>
    <t>PUBG PC와 서브노티카2가 이끈 실적 성장</t>
  </si>
  <si>
    <t>94765</t>
  </si>
  <si>
    <t>하반기 실적 개선이 관건</t>
  </si>
  <si>
    <t>94764</t>
  </si>
  <si>
    <t>새로운 기회를 찾아서</t>
  </si>
  <si>
    <t>94763</t>
  </si>
  <si>
    <t>거친 주가 숨 고르기. 그러나 하반기 구조적 성장의 서막</t>
  </si>
  <si>
    <t>94762</t>
  </si>
  <si>
    <t>2Q26 Review: 아쉬운 실적, 하반기를 기대</t>
  </si>
  <si>
    <t>94761</t>
  </si>
  <si>
    <t>부연 설명</t>
  </si>
  <si>
    <t>94760</t>
  </si>
  <si>
    <t>탄탄한 사업 포트폴리오 기반의 호실적</t>
  </si>
  <si>
    <t>94759</t>
  </si>
  <si>
    <t>2Q26 Review: 지연되는 실적 턴어라운드</t>
  </si>
  <si>
    <t>94758</t>
  </si>
  <si>
    <t>이제는 그냥 조선사가 아니다</t>
  </si>
  <si>
    <t>94757</t>
  </si>
  <si>
    <t>언젠가 봄 날은 온다</t>
  </si>
  <si>
    <t>94756</t>
  </si>
  <si>
    <t>2Q26 Review: 북미 매출이 중국 매출 추월</t>
  </si>
  <si>
    <t>94755</t>
  </si>
  <si>
    <t>높아지는 이익 체력과 기대되는 하반기 실적</t>
  </si>
  <si>
    <t>94754</t>
  </si>
  <si>
    <t>2Q26 Review: 기대치 상회, 신사업 구체화는 아직</t>
  </si>
  <si>
    <t>94753</t>
  </si>
  <si>
    <t>다시 일어선다</t>
  </si>
  <si>
    <t>94752</t>
  </si>
  <si>
    <t>건설, 상사, 패션 선전으로 어닝스 서프라이즈</t>
  </si>
  <si>
    <t>94751</t>
  </si>
  <si>
    <t>아쉬운 실적, 그러나 준비된 경쟁력</t>
  </si>
  <si>
    <t>94750</t>
  </si>
  <si>
    <t>웰메이드 실적</t>
  </si>
  <si>
    <t>94749</t>
  </si>
  <si>
    <t>신약 성과 대비 아쉬운 실적</t>
  </si>
  <si>
    <t>94748</t>
  </si>
  <si>
    <t>2Q26 Review: 비용 반영으로 실적 부진, 주택 회복과 데이터센터는 구체화</t>
  </si>
  <si>
    <t>94747</t>
  </si>
  <si>
    <t>전지역 성장 확대 확인</t>
  </si>
  <si>
    <t>94746</t>
  </si>
  <si>
    <t>숨 고르기 후 반등 기대</t>
  </si>
  <si>
    <t>94745</t>
  </si>
  <si>
    <t>똘똘한 한 채 같은 케이캡</t>
  </si>
  <si>
    <t>94744</t>
  </si>
  <si>
    <t>다채로워지는 성장 동력</t>
  </si>
  <si>
    <t>94743</t>
  </si>
  <si>
    <t>부진한 실적이지만 기대할 수 있는 신성장 동력</t>
  </si>
  <si>
    <t>94742</t>
  </si>
  <si>
    <t>2Q26: 역시 최고의 조선사</t>
  </si>
  <si>
    <t>94741</t>
  </si>
  <si>
    <t>2Q26: KF-21 개발완료, 수출준비 끝</t>
  </si>
  <si>
    <t>94740</t>
  </si>
  <si>
    <t>미국/중국 태양광 업체들 대비 과도한 저평가</t>
  </si>
  <si>
    <t>94739</t>
  </si>
  <si>
    <t>LAH 지연 아쉽지만, 실적 개선&amp;수주 모멘텀 유효</t>
  </si>
  <si>
    <t>94738</t>
  </si>
  <si>
    <t>두 번째 서프라이즈! 투자의견 상향!</t>
  </si>
  <si>
    <t>94737</t>
  </si>
  <si>
    <t>실적과 어긋난 주가, 한번은 거칠 과정</t>
  </si>
  <si>
    <t>94736</t>
  </si>
  <si>
    <t>상선&amp;엔진의 성장이 멈추질 않는다</t>
  </si>
  <si>
    <t>94735</t>
  </si>
  <si>
    <t>국내 AI데이터센터 확대는 기회 요인</t>
  </si>
  <si>
    <t>94734</t>
  </si>
  <si>
    <t>기존작/신작 모두 서프라이즈</t>
  </si>
  <si>
    <t>94733</t>
  </si>
  <si>
    <t>2Q 서프라이즈, 더 기대되는 하반기</t>
  </si>
  <si>
    <t>94732</t>
  </si>
  <si>
    <t>두 축의 반등, 중심은 태양광</t>
  </si>
  <si>
    <t>94731</t>
  </si>
  <si>
    <t>전략적 의사결정의 이슈</t>
  </si>
  <si>
    <t>94730</t>
  </si>
  <si>
    <t>과도한 NAV 할인율 수준</t>
  </si>
  <si>
    <t>94729</t>
  </si>
  <si>
    <t>견고한 본업과 차근차근 준비하는 미래 사업</t>
  </si>
  <si>
    <t>94728</t>
  </si>
  <si>
    <t>상반기는 건기, 하반기는 엔진이 이끈다</t>
  </si>
  <si>
    <t>94727</t>
  </si>
  <si>
    <t>UnderPerform</t>
  </si>
  <si>
    <t>고정비 부담, 신사업 가시성 부재로 약세 의견 유지</t>
  </si>
  <si>
    <t>94726</t>
  </si>
  <si>
    <t>이익은 잠시 지연, 성장 경로는 그대로</t>
  </si>
  <si>
    <t>94725</t>
  </si>
  <si>
    <t>HBM 실적 성장성 감안, 매력적 구간</t>
  </si>
  <si>
    <t>94724</t>
  </si>
  <si>
    <t>반도체 소재 실적 성장에 주목해야 할 시기</t>
  </si>
  <si>
    <t>94723</t>
  </si>
  <si>
    <t>2Q26 서프라이즈보다 더 중요한 것들</t>
  </si>
  <si>
    <t>94722</t>
  </si>
  <si>
    <t>3분기까지만 버텨보자</t>
  </si>
  <si>
    <t>94721</t>
  </si>
  <si>
    <t>화장품 소재와 완제품 모두 견조한 성장세</t>
  </si>
  <si>
    <t>94720</t>
  </si>
  <si>
    <t>지나치긴 아쉬운 실적</t>
  </si>
  <si>
    <t>94719</t>
  </si>
  <si>
    <t>실적 성장 궤도 재확인</t>
  </si>
  <si>
    <t>94718</t>
  </si>
  <si>
    <t>2026-08-01</t>
  </si>
  <si>
    <t>믹스 개선 중심 물량 배분으로 수익성 방어</t>
  </si>
  <si>
    <t>94927</t>
  </si>
  <si>
    <t>LCC의 유일한 선택지</t>
  </si>
  <si>
    <t>94926</t>
  </si>
  <si>
    <t>사업 지주회사로 체질 개선</t>
  </si>
  <si>
    <t>94925</t>
  </si>
  <si>
    <t>2Q26 Review: 분기별 사상 최대 실적, Top picks 유지</t>
  </si>
  <si>
    <t>94924</t>
  </si>
  <si>
    <t>AI 수혜는 이제 시작</t>
  </si>
  <si>
    <t>94923</t>
  </si>
  <si>
    <t>2Q26 Reivew: 자사주 매입소각 확대와 비과세 배당 기대</t>
  </si>
  <si>
    <t>94922</t>
  </si>
  <si>
    <t>2Q26 Review: 회계상 일시적 비용 제외 시, 양호한 실적</t>
  </si>
  <si>
    <t>94921</t>
  </si>
  <si>
    <t>2Q26 Review: 양호한 실적과 분기배당 최초 실시 기대</t>
  </si>
  <si>
    <t>94920</t>
  </si>
  <si>
    <t>원가 부담보다 앞선 믹스 개선</t>
  </si>
  <si>
    <t>94919</t>
  </si>
  <si>
    <t>나, 잘나가는 브랜드 많다?</t>
  </si>
  <si>
    <t>94918</t>
  </si>
  <si>
    <t>하반기에 몰린 물량과 판가</t>
  </si>
  <si>
    <t>94917</t>
  </si>
  <si>
    <t>글로벌 테넌트 유치 가능성 시사 긍정적</t>
  </si>
  <si>
    <t>94916</t>
  </si>
  <si>
    <t>지연된 물량, 채워지는 수주</t>
  </si>
  <si>
    <t>94915</t>
  </si>
  <si>
    <t>2Q26 Review: 주택이 견인한 서프라이즈, 주주환원 본격화</t>
  </si>
  <si>
    <t>94914</t>
  </si>
  <si>
    <t>2Q26 Review: 모난 것이 전혀 없다</t>
  </si>
  <si>
    <t>94913</t>
  </si>
  <si>
    <t>실적도 수주도 하반기에 달려있다</t>
  </si>
  <si>
    <t>94912</t>
  </si>
  <si>
    <t>2Q26 Review 변하지 않은 메모리 호황</t>
  </si>
  <si>
    <t>94911</t>
  </si>
  <si>
    <t>2Q26 Review AI가 이끈 수익성 레벨업</t>
  </si>
  <si>
    <t>94910</t>
  </si>
  <si>
    <t>매수해야 되는 실적</t>
  </si>
  <si>
    <t>94909</t>
  </si>
  <si>
    <t>자동차 섀시에서 로봇 관절로 이어질 시간</t>
  </si>
  <si>
    <t>94908</t>
  </si>
  <si>
    <t>2Q26 Re: 폼은 일시적이지만 클래스는 영원하다</t>
  </si>
  <si>
    <t>94907</t>
  </si>
  <si>
    <t>94906</t>
  </si>
  <si>
    <t>일회성 없이 달성한 최대 실적</t>
  </si>
  <si>
    <t>94905</t>
  </si>
  <si>
    <t>본질적인 성장이 지속되는 중</t>
  </si>
  <si>
    <t>94904</t>
  </si>
  <si>
    <t>K뷰티 최대 멀티 브랜드 대기업으로 Re-rating 시작</t>
  </si>
  <si>
    <t>94903</t>
  </si>
  <si>
    <t>본업 수익성 개선과 로봇 상용화 준비 지속</t>
  </si>
  <si>
    <t>94902</t>
  </si>
  <si>
    <t>컨센 124% 상회. 연간 추정치 상향</t>
  </si>
  <si>
    <t>94901</t>
  </si>
  <si>
    <t>철강과 리튬 사업의 체력 개선 확인!</t>
  </si>
  <si>
    <t>94900</t>
  </si>
  <si>
    <t>2분기 공격적 영업전략 주효!</t>
  </si>
  <si>
    <t>94899</t>
  </si>
  <si>
    <t>이차전지 소재부문 9분기 만에 흑자 전환</t>
  </si>
  <si>
    <t>94898</t>
  </si>
  <si>
    <t>데이터센터 로드맵 공개, 경쟁력 부각 전망</t>
  </si>
  <si>
    <t>94897</t>
  </si>
  <si>
    <t>2Q26 Re - 트레이딩과 해외주식 부문이 예상대비 선방</t>
  </si>
  <si>
    <t>94896</t>
  </si>
  <si>
    <t>강력한 LTA와 주주환원으로 합당한 기업가치 회복 가능</t>
  </si>
  <si>
    <t>94895</t>
  </si>
  <si>
    <t>또 주택 마진 서프라이즈</t>
  </si>
  <si>
    <t>94894</t>
  </si>
  <si>
    <t>원가 걱정은 3분기가 끝, 판가 기대는 4분기가 시작</t>
  </si>
  <si>
    <t>94893</t>
  </si>
  <si>
    <t>[2Q26 Review] 두 개 분기 연속 서프라이즈</t>
  </si>
  <si>
    <t>94892</t>
  </si>
  <si>
    <t>하반기 강한 증익 모멘텀</t>
  </si>
  <si>
    <t>94891</t>
  </si>
  <si>
    <t>강해진 이익 체력과 신사업 가속화</t>
  </si>
  <si>
    <t>94890</t>
  </si>
  <si>
    <t>[2Q26 Review] 모든 것이 탄탄하다</t>
  </si>
  <si>
    <t>94889</t>
  </si>
  <si>
    <t>중요한 건 꺾이지 않는 업황</t>
  </si>
  <si>
    <t>94888</t>
  </si>
  <si>
    <t>메모리 산업의 구조적 변화에 주목</t>
  </si>
  <si>
    <t>94887</t>
  </si>
  <si>
    <t>Strong Buy, 하반기에도 흑자 지속 전망</t>
  </si>
  <si>
    <t>94886</t>
  </si>
  <si>
    <t>2026년 2분기 컨퍼런스 콜 요약</t>
  </si>
  <si>
    <t>94885</t>
  </si>
  <si>
    <t>난세에 더 빛나는 실적</t>
  </si>
  <si>
    <t>94884</t>
  </si>
  <si>
    <t>3개 분기 연속 최대 실적</t>
  </si>
  <si>
    <t>94883</t>
  </si>
  <si>
    <t>2Q26 Re: 아쉬움은 내려놓고 시선은 위로</t>
  </si>
  <si>
    <t>94882</t>
  </si>
  <si>
    <t>2Q26 사상 최대 분기 실적</t>
  </si>
  <si>
    <t>94881</t>
  </si>
  <si>
    <t>자사주, 배당, AIDC</t>
  </si>
  <si>
    <t>94880</t>
  </si>
  <si>
    <t>전 부문 실적 약진함에 따라 어닝 서프라이즈 달성</t>
  </si>
  <si>
    <t>94879</t>
  </si>
  <si>
    <t>3Q는 예상 상회, 최고! FC BGA/MLCC, 공급부족 심화</t>
  </si>
  <si>
    <t>94878</t>
  </si>
  <si>
    <t>3Q 실적도 좋다! AI향 공조, 로봇의 구체화!</t>
  </si>
  <si>
    <t>94877</t>
  </si>
  <si>
    <t>동의할 수 없는 주가</t>
  </si>
  <si>
    <t>94876</t>
  </si>
  <si>
    <t>예상보다 빨라진 흑전</t>
  </si>
  <si>
    <t>94875</t>
  </si>
  <si>
    <t>저점을 다져가는 중</t>
  </si>
  <si>
    <t>94874</t>
  </si>
  <si>
    <t>실적으로만 볼 수는 없는 주식</t>
  </si>
  <si>
    <t>94873</t>
  </si>
  <si>
    <t>마진율 개선에 따른 호실적</t>
  </si>
  <si>
    <t>94872</t>
  </si>
  <si>
    <t>전분기에 이어 높아진 영업이익 시현</t>
  </si>
  <si>
    <t>94871</t>
  </si>
  <si>
    <t>EV도 회복 국면 진입</t>
  </si>
  <si>
    <t>94870</t>
  </si>
  <si>
    <t>라즈클루즈 침투 가속화와 기술수출 기대</t>
  </si>
  <si>
    <t>94869</t>
  </si>
  <si>
    <t>차별화된 AI 인프라 사업자</t>
  </si>
  <si>
    <t>94868</t>
  </si>
  <si>
    <t>바뀐 것이 하나도 없음</t>
  </si>
  <si>
    <t>94867</t>
  </si>
  <si>
    <t>2Q26 Re: 나보타 수출증가, 컨센 상회</t>
  </si>
  <si>
    <t>94866</t>
  </si>
  <si>
    <t>칩플레이션에도 수익성을 증명해야 할 순간</t>
  </si>
  <si>
    <t>94865</t>
  </si>
  <si>
    <t>한컴</t>
  </si>
  <si>
    <t>2Q26P Review: 외형 성장 속에 AI 사업 확대</t>
  </si>
  <si>
    <t>94864</t>
  </si>
  <si>
    <t>2Q26P Review: 분기 최대 매출, 수익성 개선 성공</t>
  </si>
  <si>
    <t>94863</t>
  </si>
  <si>
    <t>2Q26 Re: 견조한 실적</t>
  </si>
  <si>
    <t>94862</t>
  </si>
  <si>
    <t>2Q26 리뷰: 로봇 액추에이터 수주 기대</t>
  </si>
  <si>
    <t>94861</t>
  </si>
  <si>
    <t>2연속 어닝 서프라이즈, Top-Pick 유지</t>
  </si>
  <si>
    <t>94860</t>
  </si>
  <si>
    <t>역시나 듬직한 시큐리티</t>
  </si>
  <si>
    <t>94859</t>
  </si>
  <si>
    <t>균형감 있는 성장 시작</t>
  </si>
  <si>
    <t>94858</t>
  </si>
  <si>
    <t>나보타 조기 선적이 앞당긴 이익</t>
  </si>
  <si>
    <t>94857</t>
  </si>
  <si>
    <t>2분기는 예열, 3분기가 본게임</t>
  </si>
  <si>
    <t>94856</t>
  </si>
  <si>
    <t>유럽 진출로 브랜드 뉴 데이</t>
  </si>
  <si>
    <t>94855</t>
  </si>
  <si>
    <t>실적 체력 확인, 반등 기대 구간</t>
  </si>
  <si>
    <t>94854</t>
  </si>
  <si>
    <t>성장 궤도 진입</t>
  </si>
  <si>
    <t>94853</t>
  </si>
  <si>
    <t>기회의 구간</t>
  </si>
  <si>
    <t>94852</t>
  </si>
  <si>
    <t>무시할 실적이 아니다</t>
  </si>
  <si>
    <t>94851</t>
  </si>
  <si>
    <t>명확한 주주환원 의지</t>
  </si>
  <si>
    <t>94850</t>
  </si>
  <si>
    <t>연초 기대 대비 더딘 성장</t>
  </si>
  <si>
    <t>94849</t>
  </si>
  <si>
    <t>올해 주주환원을 얼마나 할지 감도 안 옴</t>
  </si>
  <si>
    <t>94848</t>
  </si>
  <si>
    <t>품격을 보여줬다</t>
  </si>
  <si>
    <t>94847</t>
  </si>
  <si>
    <t>실적 성장의 방향성은 명확하다</t>
  </si>
  <si>
    <t>94846</t>
  </si>
  <si>
    <t>MLCC 가격 인상! 쉽게 보면 안된다</t>
  </si>
  <si>
    <t>94845</t>
  </si>
  <si>
    <t>2Q26 Re: 인상적인 영업이익, 아쉬운 플랜트 수주</t>
  </si>
  <si>
    <t>94844</t>
  </si>
  <si>
    <t>시간의 문제</t>
  </si>
  <si>
    <t>94843</t>
  </si>
  <si>
    <t>2Q26 Review: 하반기에 빛날 만도</t>
  </si>
  <si>
    <t>94842</t>
  </si>
  <si>
    <t>수익성 개선 효과 지속</t>
  </si>
  <si>
    <t>94841</t>
  </si>
  <si>
    <t>전쟁 수혜 + 배터리 보상금 반영</t>
  </si>
  <si>
    <t>94840</t>
  </si>
  <si>
    <t>네러티브와 실적 겸비</t>
  </si>
  <si>
    <t>94839</t>
  </si>
  <si>
    <t>거점 재편 이후, 남은 것은 수요</t>
  </si>
  <si>
    <t>94838</t>
  </si>
  <si>
    <t>높아진 경쟁력, 신사업으로 한계에서 벗어난다</t>
  </si>
  <si>
    <t>94837</t>
  </si>
  <si>
    <t>ESS가 이끄는 외형 성장</t>
  </si>
  <si>
    <t>94836</t>
  </si>
  <si>
    <t>팜과 에너지의 동반 성장, 분기 최대 이익 경신</t>
  </si>
  <si>
    <t>94835</t>
  </si>
  <si>
    <t>2Q26 Review: 주주환원으로 연결되는 호실적</t>
  </si>
  <si>
    <t>94834</t>
  </si>
  <si>
    <t>높아진 이익 체력</t>
  </si>
  <si>
    <t>94833</t>
  </si>
  <si>
    <t>전 사업부가 연초 우려 대비 선방</t>
  </si>
  <si>
    <t>94832</t>
  </si>
  <si>
    <t>90 - 20 = 70</t>
  </si>
  <si>
    <t>94831</t>
  </si>
  <si>
    <t>SS가 좋은 날</t>
  </si>
  <si>
    <t>94830</t>
  </si>
  <si>
    <t>재고 소진 시기</t>
  </si>
  <si>
    <t>94829</t>
  </si>
  <si>
    <t>"MLCC 개당 5원 시대", 7년 만의 귀환</t>
  </si>
  <si>
    <t>94828</t>
  </si>
  <si>
    <t>잠시 쉬어도 괜찮아</t>
  </si>
  <si>
    <t>94827</t>
  </si>
  <si>
    <t>예상보다 더딘 가동률 회복으로 중장기 접근 필요</t>
  </si>
  <si>
    <t>94826</t>
  </si>
  <si>
    <t>또 다시 어닝 서프라이즈</t>
  </si>
  <si>
    <t>94825</t>
  </si>
  <si>
    <t>양호한 실적과 저평가, 그렇지 못한 환경</t>
  </si>
  <si>
    <t>94824</t>
  </si>
  <si>
    <t>하반기 업종 최선호주</t>
  </si>
  <si>
    <t>94823</t>
  </si>
  <si>
    <t>늦어진 만큼 선명해진 회복</t>
  </si>
  <si>
    <t>94822</t>
  </si>
  <si>
    <t>94821</t>
  </si>
  <si>
    <t>중장기 성장성 확인, 다만 단기 ESS 수익성 우려</t>
  </si>
  <si>
    <t>94820</t>
  </si>
  <si>
    <t>본업보다 강해지고 있는 자회사 체력</t>
  </si>
  <si>
    <t>94819</t>
  </si>
  <si>
    <t>분기 흑자전환 달성, 실적 개선 속도는 점검 필요</t>
  </si>
  <si>
    <t>94818</t>
  </si>
  <si>
    <t>하반기에도 ESS 중심 실적 개선세 지속</t>
  </si>
  <si>
    <t>94817</t>
  </si>
  <si>
    <t>10년 평균치로 회귀한 밸류에이션과, 더 강해진 업황</t>
  </si>
  <si>
    <t>94816</t>
  </si>
  <si>
    <t>ESS로의 사업 전환 가속화 전망</t>
  </si>
  <si>
    <t>94815</t>
  </si>
  <si>
    <t>두 번의 전쟁으로 완전히 꼬여 버린 에너지 수급</t>
  </si>
  <si>
    <t>94814</t>
  </si>
  <si>
    <t>글리세린 강세로 인한 ECH 반사수혜 지속 전망</t>
  </si>
  <si>
    <t>94813</t>
  </si>
  <si>
    <t>상고하고 실적 기대되는 몇 안되는 업체</t>
  </si>
  <si>
    <t>94812</t>
  </si>
  <si>
    <t>회복의 해법은 다변화</t>
  </si>
  <si>
    <t>94811</t>
  </si>
  <si>
    <t>우려를 걷어내고 만개하는 업황에 주목할 때</t>
  </si>
  <si>
    <t>94810</t>
  </si>
  <si>
    <t>2Q26 Review: 기대 이상의 2분기. 관건은 하반기</t>
  </si>
  <si>
    <t>94809</t>
  </si>
  <si>
    <t>한층 더 단단해진 체력</t>
  </si>
  <si>
    <t>94808</t>
  </si>
  <si>
    <t>Top Pick 유지, 북미 중심의 수주 확대 기대</t>
  </si>
  <si>
    <t>94807</t>
  </si>
  <si>
    <t>2026-08-03</t>
  </si>
  <si>
    <t>유럽이 격전지</t>
  </si>
  <si>
    <t>94940</t>
  </si>
  <si>
    <t>실적 날아오르다</t>
  </si>
  <si>
    <t>94939</t>
  </si>
  <si>
    <t>유럽 내 신규 고객사 확보 유무가 중요</t>
  </si>
  <si>
    <t>94938</t>
  </si>
  <si>
    <t>첨단소재 상저하고 방향성 재확인</t>
  </si>
  <si>
    <t>94937</t>
  </si>
  <si>
    <t>2Q26: 방산수요는 오히려 증가 중</t>
  </si>
  <si>
    <t>94936</t>
  </si>
  <si>
    <t>스판덱스 호시황 진입을 증명하는 실적</t>
  </si>
  <si>
    <t>94935</t>
  </si>
  <si>
    <t>더 강해지는 고객들의 요구</t>
  </si>
  <si>
    <t>94934</t>
  </si>
  <si>
    <t>SK 실트론 매각, 재무구조 개선과 미래 성장가치 옵션 확보</t>
  </si>
  <si>
    <t>94933</t>
  </si>
  <si>
    <t>002230</t>
  </si>
  <si>
    <t>피에스텍</t>
  </si>
  <si>
    <t>현금성 금융자산이 시가총액을 상회하는 가치주</t>
  </si>
  <si>
    <t>94932</t>
  </si>
  <si>
    <t>첨단소재, 반등 시작</t>
  </si>
  <si>
    <t>94931</t>
  </si>
  <si>
    <t>모든 것이 좋았다</t>
  </si>
  <si>
    <t>94930</t>
  </si>
  <si>
    <t>미래 먹거리 준비 시기</t>
  </si>
  <si>
    <t>94929</t>
  </si>
  <si>
    <t>줄은 더 길어졌다</t>
  </si>
  <si>
    <t>94928</t>
  </si>
  <si>
    <t>2026-08-05</t>
  </si>
  <si>
    <t>코스닥 기업 성장의 모범답안</t>
  </si>
  <si>
    <t>95053</t>
  </si>
  <si>
    <t>2Q26 Review: 역대 최대 분기 실적. 비용이 남긴 아쉬움</t>
  </si>
  <si>
    <t>95052</t>
  </si>
  <si>
    <t>2Q26 Review: 일회성 이익을 걷어내도 확인되는 이익 체력</t>
  </si>
  <si>
    <t>95051</t>
  </si>
  <si>
    <t>Scalp to Skin, 글로벌 성장의 기반을 다지다</t>
  </si>
  <si>
    <t>95050</t>
  </si>
  <si>
    <t>261520</t>
  </si>
  <si>
    <t>이지스</t>
  </si>
  <si>
    <t>디지털 트윈 플랫폼 기업</t>
  </si>
  <si>
    <t>95049</t>
  </si>
  <si>
    <t>코로나 이후의 씨젠, 비호흡기로 다시 쓰는 성장 공식</t>
  </si>
  <si>
    <t>95048</t>
  </si>
  <si>
    <t>구조적 성장! 저평가 영역 벗어날 때</t>
  </si>
  <si>
    <t>95047</t>
  </si>
  <si>
    <t>실적 성장과 적극적인 주주환원!</t>
  </si>
  <si>
    <t>95046</t>
  </si>
  <si>
    <t>변화된 공급구조에 주목 / Blended는 Premium이 견인</t>
  </si>
  <si>
    <t>95045</t>
  </si>
  <si>
    <t>공급과 수요 모두 변화 / HBM 시장 점유율 확대 예상</t>
  </si>
  <si>
    <t>95044</t>
  </si>
  <si>
    <t>K자형 성장의 최대 수혜주</t>
  </si>
  <si>
    <t>95043</t>
  </si>
  <si>
    <t>2026-08-04</t>
  </si>
  <si>
    <t>2Q26 Review: 본업 회복 지연, 하반기 스프레드 개선 기대</t>
  </si>
  <si>
    <t>95042</t>
  </si>
  <si>
    <t>2Q26 Review : 계속되는 GPM 고민</t>
  </si>
  <si>
    <t>95041</t>
  </si>
  <si>
    <t>안정적인 실적, 4분기 큰 성장 기대</t>
  </si>
  <si>
    <t>95040</t>
  </si>
  <si>
    <t>2Q26 Review; 레이저티닙 유럽 진출 시작</t>
  </si>
  <si>
    <t>95039</t>
  </si>
  <si>
    <t>그래도 조금씩 개선 중</t>
  </si>
  <si>
    <t>95038</t>
  </si>
  <si>
    <t>하반기에도 이어질 증익 기조</t>
  </si>
  <si>
    <t>95037</t>
  </si>
  <si>
    <t>사상 최대 실적과 그렇지 못한 주가</t>
  </si>
  <si>
    <t>95036</t>
  </si>
  <si>
    <t>예상되었던 2Q 호실적</t>
  </si>
  <si>
    <t>95035</t>
  </si>
  <si>
    <t>M&amp;A 통한 성장 &amp; 사업부간 시너지 효과 기대</t>
  </si>
  <si>
    <t>95034</t>
  </si>
  <si>
    <t>부진한 2분기 실적, 저평가 해소 시나리오 기대</t>
  </si>
  <si>
    <t>95033</t>
  </si>
  <si>
    <t>밸류에이션 매력은 충분</t>
  </si>
  <si>
    <t>95032</t>
  </si>
  <si>
    <t>재고 소진에 따른 매출총이익률 하락</t>
  </si>
  <si>
    <t>95031</t>
  </si>
  <si>
    <t>주가만 후퇴. 펀더멘털은 전진 앞으로!</t>
  </si>
  <si>
    <t>95030</t>
  </si>
  <si>
    <t>본업은 강하고, 탄소섬유는 살아난다</t>
  </si>
  <si>
    <t>95029</t>
  </si>
  <si>
    <t>인라인한 실적, 바뀐 것은 시장 환경</t>
  </si>
  <si>
    <t>95028</t>
  </si>
  <si>
    <t>유가에 일희일비하던 과거에서 벗어날 때</t>
  </si>
  <si>
    <t>95027</t>
  </si>
  <si>
    <t>거점 일원화, 선택과 집중</t>
  </si>
  <si>
    <t>95026</t>
  </si>
  <si>
    <t>자원 부문 수익성 둔화 우려</t>
  </si>
  <si>
    <t>95025</t>
  </si>
  <si>
    <t>투자 종료, 늘어날 배당</t>
  </si>
  <si>
    <t>95024</t>
  </si>
  <si>
    <t>호실적을 바탕으로 주주 환원 기대 상승</t>
  </si>
  <si>
    <t>95023</t>
  </si>
  <si>
    <t>너무 빠진 주가</t>
  </si>
  <si>
    <t>95022</t>
  </si>
  <si>
    <t>2Q26P Review: 2분기 연속 어닝서프라이즈 시현</t>
  </si>
  <si>
    <t>95021</t>
  </si>
  <si>
    <t>좋은 흐름은 하반기에도</t>
  </si>
  <si>
    <t>95020</t>
  </si>
  <si>
    <t>하반기 스프레드 회복에 주목</t>
  </si>
  <si>
    <t>95019</t>
  </si>
  <si>
    <t>공급 부족이 지지하는 정제마진</t>
  </si>
  <si>
    <t>95018</t>
  </si>
  <si>
    <t>보수적으로 가정해도 강한 정제마진</t>
  </si>
  <si>
    <t>95017</t>
  </si>
  <si>
    <t>2Q26 Review: 실적 서프라이즈 기록, 예상 외의 강한 메탈게인 지속</t>
  </si>
  <si>
    <t>95016</t>
  </si>
  <si>
    <t>2Q26 Review : 이익 기반 완성, 이제는 성장이 필요한 시점</t>
  </si>
  <si>
    <t>95015</t>
  </si>
  <si>
    <t>2Q26 Review : 테일러메이드 인수 or 주주환원 강화 필요</t>
  </si>
  <si>
    <t>95014</t>
  </si>
  <si>
    <t>유럽 BEV 중심 성장 견조, 북미 회복은 관건</t>
  </si>
  <si>
    <t>95013</t>
  </si>
  <si>
    <t>[2Q26 Review] 남들 1년치 수주를, 한 Q에</t>
  </si>
  <si>
    <t>95012</t>
  </si>
  <si>
    <t>2027년 이익 기여를 기다릴 시점</t>
  </si>
  <si>
    <t>95011</t>
  </si>
  <si>
    <t>모범생의 우수한 성적표</t>
  </si>
  <si>
    <t>95010</t>
  </si>
  <si>
    <t>전장 믹스로 원가 역풍을 흡수</t>
  </si>
  <si>
    <t>95009</t>
  </si>
  <si>
    <t>3분기부터는 본업까지 흑전</t>
  </si>
  <si>
    <t>95008</t>
  </si>
  <si>
    <t>2Q26 Review: 달라진 체질</t>
  </si>
  <si>
    <t>95007</t>
  </si>
  <si>
    <t>2Q26 Review: 분명한 체질 개선</t>
  </si>
  <si>
    <t>95006</t>
  </si>
  <si>
    <t>기대되는 FC-BGA 성장 잠재력</t>
  </si>
  <si>
    <t>95005</t>
  </si>
  <si>
    <t>2H26 이익 성장 회복 전망</t>
  </si>
  <si>
    <t>95004</t>
  </si>
  <si>
    <t>2Q26 Review: 본업 수익성 개선 확인, 하반기는 원전</t>
  </si>
  <si>
    <t>95003</t>
  </si>
  <si>
    <t>2Q26 Review: 길게 보고 간다면, 최고의 선택</t>
  </si>
  <si>
    <t>95002</t>
  </si>
  <si>
    <t>가파른 실적 개선 지속</t>
  </si>
  <si>
    <t>95001</t>
  </si>
  <si>
    <t>컨센 36% 상회. 절대 저평가 국면</t>
  </si>
  <si>
    <t>95000</t>
  </si>
  <si>
    <t>전지 소재의 실적 방향성은 우상향</t>
  </si>
  <si>
    <t>94999</t>
  </si>
  <si>
    <t>2Q26 어닝서프라이즈, 올해 연간 실적 큰 폭 개선 전망</t>
  </si>
  <si>
    <t>94998</t>
  </si>
  <si>
    <t>2Q26 Re: 아직도 쌉니다</t>
  </si>
  <si>
    <t>94997</t>
  </si>
  <si>
    <t>개선된 이익, 정체된 성장, 줄어든 재투자</t>
  </si>
  <si>
    <t>94996</t>
  </si>
  <si>
    <t>성장률이 낮아 보일 때가 기회</t>
  </si>
  <si>
    <t>94995</t>
  </si>
  <si>
    <t>하반기에 집중될 실적 성장</t>
  </si>
  <si>
    <t>94994</t>
  </si>
  <si>
    <t>좋지 않은 업황, 그러나 주가는 다시 매수 기회</t>
  </si>
  <si>
    <t>94993</t>
  </si>
  <si>
    <t>아직 부족한 실적 회복 신호</t>
  </si>
  <si>
    <t>94992</t>
  </si>
  <si>
    <t>좋았던 상반기 B2C, 하반기 지속 여부 확인 필요</t>
  </si>
  <si>
    <t>94991</t>
  </si>
  <si>
    <t>주택에서 서프</t>
  </si>
  <si>
    <t>94990</t>
  </si>
  <si>
    <t>2Q26 Re: 분기 최대 실적 달성</t>
  </si>
  <si>
    <t>94989</t>
  </si>
  <si>
    <t>2Q26 Re: 순풍에 돛을 달기 위해서는</t>
  </si>
  <si>
    <t>94988</t>
  </si>
  <si>
    <t>유상증자, 투자 시점과 규모의 문제</t>
  </si>
  <si>
    <t>94987</t>
  </si>
  <si>
    <t>2Q26 Re: 고객이 채워갈 완전한 성장 그림</t>
  </si>
  <si>
    <t>94986</t>
  </si>
  <si>
    <t>확신을 더한 가이던스 상향</t>
  </si>
  <si>
    <t>94985</t>
  </si>
  <si>
    <t>탱커 확대로 높아지는 이익 체력</t>
  </si>
  <si>
    <t>94984</t>
  </si>
  <si>
    <t>가진자의 여유</t>
  </si>
  <si>
    <t>94983</t>
  </si>
  <si>
    <t>실적이 이끄는 NAV 상승</t>
  </si>
  <si>
    <t>94982</t>
  </si>
  <si>
    <t>단기 실적보다는 본질적인 사업 경쟁력에 주목</t>
  </si>
  <si>
    <t>94981</t>
  </si>
  <si>
    <t>일회성 요인으로 컨센서스 상회</t>
  </si>
  <si>
    <t>94980</t>
  </si>
  <si>
    <t>Good Deal, 아니 Great Deal</t>
  </si>
  <si>
    <t>94979</t>
  </si>
  <si>
    <t>2분기 호실적, 해외 원전 구체적 성과 기대</t>
  </si>
  <si>
    <t>94978</t>
  </si>
  <si>
    <t>2Q26 Re: 유럽 마일스톤 인식, 컨센 상회</t>
  </si>
  <si>
    <t>94977</t>
  </si>
  <si>
    <t>능숙한 시황 파도 타기로 서프라이즈</t>
  </si>
  <si>
    <t>94976</t>
  </si>
  <si>
    <t>NDR 후기: 패키지솔루션의 담보된 성장성</t>
  </si>
  <si>
    <t>94975</t>
  </si>
  <si>
    <t>2Q26 Re: 수익성 개선 본격화</t>
  </si>
  <si>
    <t>94974</t>
  </si>
  <si>
    <t>2Q26 Review: 매출 정체 vs. 수익성 개선</t>
  </si>
  <si>
    <t>94973</t>
  </si>
  <si>
    <t>중공업 가이던스 대폭 상향</t>
  </si>
  <si>
    <t>94972</t>
  </si>
  <si>
    <t>과도한 주가 하락, 업황은 바닥 지나고 있어</t>
  </si>
  <si>
    <t>94971</t>
  </si>
  <si>
    <t>실적 성장에 더해질 주가 모멘텀</t>
  </si>
  <si>
    <t>94970</t>
  </si>
  <si>
    <t>2Q26 Review: 완벽한 턴어라운드</t>
  </si>
  <si>
    <t>94969</t>
  </si>
  <si>
    <t>2Q26 Review: 강한 내수</t>
  </si>
  <si>
    <t>94968</t>
  </si>
  <si>
    <t>대장의 품격</t>
  </si>
  <si>
    <t>94967</t>
  </si>
  <si>
    <t>2Q26P Review: 시장기대치 부합. AX 확대 지속</t>
  </si>
  <si>
    <t>94966</t>
  </si>
  <si>
    <t>어닝 서프, 하반기는 더 좋다</t>
  </si>
  <si>
    <t>94965</t>
  </si>
  <si>
    <t>2Q26P Review: 16분기만에 8%대 OPM 회복</t>
  </si>
  <si>
    <t>94964</t>
  </si>
  <si>
    <t>2Q26 NDR 후기: 오해와 본질</t>
  </si>
  <si>
    <t>94963</t>
  </si>
  <si>
    <t>좋은 실적, 상대적으로 부진한 주가</t>
  </si>
  <si>
    <t>94962</t>
  </si>
  <si>
    <t>실적으로 증명한 성장, 다시 성장의 시간</t>
  </si>
  <si>
    <t>94961</t>
  </si>
  <si>
    <t>미뤄진 이익, 더 커진 수주</t>
  </si>
  <si>
    <t>94960</t>
  </si>
  <si>
    <t>27년이 기대된다</t>
  </si>
  <si>
    <t>94959</t>
  </si>
  <si>
    <t>신동에서 방산으로 바통 터치 기대</t>
  </si>
  <si>
    <t>94958</t>
  </si>
  <si>
    <t>2분기는 예고편. 본 편은 4분기 이후부터</t>
  </si>
  <si>
    <t>94957</t>
  </si>
  <si>
    <t>회복의 무게중심은 유럽으로</t>
  </si>
  <si>
    <t>94956</t>
  </si>
  <si>
    <t>보여줄 게 SST만 있는 건 아니다</t>
  </si>
  <si>
    <t>94955</t>
  </si>
  <si>
    <t>실적증가, 배당확대 ⇒ 사업지주회사 밸류업</t>
  </si>
  <si>
    <t>94954</t>
  </si>
  <si>
    <t>압도적인 수주 성과, 더딘 원전</t>
  </si>
  <si>
    <t>94953</t>
  </si>
  <si>
    <t>Physical AI 솔루션 선순환 효과 가속화</t>
  </si>
  <si>
    <t>94952</t>
  </si>
  <si>
    <t>변한 것은 없다. 주가만 낮아졌을 뿐</t>
  </si>
  <si>
    <t>94951</t>
  </si>
  <si>
    <t>상반기는 화학, 하반기는 첨단소재</t>
  </si>
  <si>
    <t>94950</t>
  </si>
  <si>
    <t>하반기 원전 및 가스터빈 등 수주 모멘텀 가시화</t>
  </si>
  <si>
    <t>94949</t>
  </si>
  <si>
    <t>2Q26 Re: 본업으로 부담없는 벨류에이션</t>
  </si>
  <si>
    <t>94948</t>
  </si>
  <si>
    <t>2Q26 서프라이즈, 하반기도 견조한 실적 예상</t>
  </si>
  <si>
    <t>94947</t>
  </si>
  <si>
    <t>올해 실적이 바닥, 밸류에이션 부담은 여전</t>
  </si>
  <si>
    <t>94946</t>
  </si>
  <si>
    <t>일시적 변수보다 견조한 수주에 주목</t>
  </si>
  <si>
    <t>94945</t>
  </si>
  <si>
    <t>수익성 개선 확인, 사업 경쟁력 제고 필요</t>
  </si>
  <si>
    <t>94944</t>
  </si>
  <si>
    <t>2Q26 NDR 후기: 현금은 돌아오고, 성장은 시작되었다</t>
  </si>
  <si>
    <t>94943</t>
  </si>
  <si>
    <t>AI CapEx 핵심 수혜기업으로 자리매김</t>
  </si>
  <si>
    <t>94942</t>
  </si>
  <si>
    <t>2Q26 Review: 전사 원가율 안정화 중</t>
  </si>
  <si>
    <t>94941</t>
  </si>
  <si>
    <t>2026-08-06</t>
  </si>
  <si>
    <t>2026-08-07</t>
  </si>
  <si>
    <t>깔끔하잖아 숫자로도 기술적으로도</t>
  </si>
  <si>
    <t>95206</t>
  </si>
  <si>
    <t>인비디아</t>
  </si>
  <si>
    <t>95205</t>
  </si>
  <si>
    <t>기대를 뛰어넘는 성장세</t>
  </si>
  <si>
    <t>95204</t>
  </si>
  <si>
    <t>높은 수주 가시성과 증설이 이끌 성장</t>
  </si>
  <si>
    <t>95203</t>
  </si>
  <si>
    <t>298540</t>
  </si>
  <si>
    <t>더네이쳐홀딩스</t>
  </si>
  <si>
    <t>주력 브랜드 경쟁력 제고와 확장되는 포트폴리오</t>
  </si>
  <si>
    <t>95202</t>
  </si>
  <si>
    <t>10여년 만에 족쇄를 풀다</t>
  </si>
  <si>
    <t>95201</t>
  </si>
  <si>
    <t>95200</t>
  </si>
  <si>
    <t>10년만에 찾아온 랠리엔 이유가 있다</t>
  </si>
  <si>
    <t>95199</t>
  </si>
  <si>
    <t>모바일 광학부품 기반 전장·방산·로보틱스용 정밀광학으로 성장영역 확장 추진 중</t>
  </si>
  <si>
    <t>95198</t>
  </si>
  <si>
    <t>078860</t>
  </si>
  <si>
    <t>아이오케이이엔엠</t>
  </si>
  <si>
    <t>아티스트 IP와 영상콘텐츠 사업을 결합한 종합 엔터테인먼트 콘텐츠 기업</t>
  </si>
  <si>
    <t>95197</t>
  </si>
  <si>
    <t>024800</t>
  </si>
  <si>
    <t>유성티엔에스</t>
  </si>
  <si>
    <t>철강 물류의 반세기 노하우, 이제 대한민국 화물운송의 중심으로</t>
  </si>
  <si>
    <t>95196</t>
  </si>
  <si>
    <t>035890</t>
  </si>
  <si>
    <t>서희건설</t>
  </si>
  <si>
    <t>지역주택조합 시장을 선도하는 탁월한 원가경쟁력의 중견 종합건설기업</t>
  </si>
  <si>
    <t>95195</t>
  </si>
  <si>
    <t>051490</t>
  </si>
  <si>
    <t>나라엠앤디</t>
  </si>
  <si>
    <t>금형 기술의 뿌리로, ESS 미래를 성형하다</t>
  </si>
  <si>
    <t>95194</t>
  </si>
  <si>
    <t>035460</t>
  </si>
  <si>
    <t>기산텔레콤</t>
  </si>
  <si>
    <t>통신·방위·항공, 세 개의 날개로 세계 시장을 향해 비상하는 종합 무선통신장비 솔루션 기업</t>
  </si>
  <si>
    <t>95193</t>
  </si>
  <si>
    <t>분기 최대 영업이익 달성</t>
  </si>
  <si>
    <t>95192</t>
  </si>
  <si>
    <t>수요 증가는 기조적, 가격 인상 논의 중</t>
  </si>
  <si>
    <t>95191</t>
  </si>
  <si>
    <t>이제는 AI로 증명할 시기</t>
  </si>
  <si>
    <t>95190</t>
  </si>
  <si>
    <t>컨센서스에 부합하는 견조한 실적</t>
  </si>
  <si>
    <t>95189</t>
  </si>
  <si>
    <t>95188</t>
  </si>
  <si>
    <t>2Q26 Review : 일본 백화점보다 못한 게 뭔데?</t>
  </si>
  <si>
    <t>95187</t>
  </si>
  <si>
    <t>위기 속에서 드러나는 제품 경쟁력</t>
  </si>
  <si>
    <t>95186</t>
  </si>
  <si>
    <t>모범 답안 그 자체</t>
  </si>
  <si>
    <t>95185</t>
  </si>
  <si>
    <t>가장 높은 성장성 Vs. 가장 낮은 밸류에이션</t>
  </si>
  <si>
    <t>95184</t>
  </si>
  <si>
    <t>최악은 지났지만</t>
  </si>
  <si>
    <t>95183</t>
  </si>
  <si>
    <t>아쉬운 비용 부담 요인 증가</t>
  </si>
  <si>
    <t>95182</t>
  </si>
  <si>
    <t>성장에 성장을 더한다</t>
  </si>
  <si>
    <t>95181</t>
  </si>
  <si>
    <t>2Q26 Review: 고객기반 및 플랫폼 비즈니스 확대가 지속 중</t>
  </si>
  <si>
    <t>95180</t>
  </si>
  <si>
    <t>마진 개선과 대출 증가세의 약화</t>
  </si>
  <si>
    <t>95179</t>
  </si>
  <si>
    <t>예상을 뛰어넘는 SOCAMM 효과</t>
  </si>
  <si>
    <t>95178</t>
  </si>
  <si>
    <t>2Q26 Review; 엑스코프리의 독주</t>
  </si>
  <si>
    <t>95177</t>
  </si>
  <si>
    <t>실적과 주가 모두 바닥 수준</t>
  </si>
  <si>
    <t>95176</t>
  </si>
  <si>
    <t>기판 야호!</t>
  </si>
  <si>
    <t>95175</t>
  </si>
  <si>
    <t>2026년 매출 3조원 이상 가능성</t>
  </si>
  <si>
    <t>95174</t>
  </si>
  <si>
    <t>2Q26 Re: 실적 모멘텀 확대기 진입</t>
  </si>
  <si>
    <t>95173</t>
  </si>
  <si>
    <t>조금만 더 기다려 볼까요</t>
  </si>
  <si>
    <t>95172</t>
  </si>
  <si>
    <t>모멘텀만 있으면 되는데</t>
  </si>
  <si>
    <t>95171</t>
  </si>
  <si>
    <t>계약 추가로 ALT-B4의 수요 확인, Qlex 추정 매출 상향</t>
  </si>
  <si>
    <t>95170</t>
  </si>
  <si>
    <t>2Q26 Re: 결국 주가는 매각 기대감의 선반영</t>
  </si>
  <si>
    <t>95169</t>
  </si>
  <si>
    <t>2026년 2분기 컨퍼런스콜 요약</t>
  </si>
  <si>
    <t>95168</t>
  </si>
  <si>
    <t>2Q 리뷰 - 장/단기 실적 기대감 상승 국면</t>
  </si>
  <si>
    <t>95167</t>
  </si>
  <si>
    <t>실리콘 회복과 6조원에 달하는 지분가치</t>
  </si>
  <si>
    <t>95166</t>
  </si>
  <si>
    <t>하반기 신작의 서프라이즈가 필요</t>
  </si>
  <si>
    <t>95165</t>
  </si>
  <si>
    <t>대출성장률은 더뎠지만 이익 성장 잠재력은 확인</t>
  </si>
  <si>
    <t>95164</t>
  </si>
  <si>
    <t>See you in October</t>
  </si>
  <si>
    <t>95163</t>
  </si>
  <si>
    <t>기존작 매출 지속성과 신작 성과 확인 필요</t>
  </si>
  <si>
    <t>95162</t>
  </si>
  <si>
    <t>데이터센터 DBO로 성장성 개선 기대</t>
  </si>
  <si>
    <t>95161</t>
  </si>
  <si>
    <t>일시적이 아닌 구조적 변화에 기인한 실적개선</t>
  </si>
  <si>
    <t>95160</t>
  </si>
  <si>
    <t>2Q26리뷰: 컨센서스 부합</t>
  </si>
  <si>
    <t>95159</t>
  </si>
  <si>
    <t>본업은 제자리로, 성장은 AI로</t>
  </si>
  <si>
    <t>95158</t>
  </si>
  <si>
    <t>우려 넘은 실적, 가이던스 상향에 신사업까지</t>
  </si>
  <si>
    <t>95157</t>
  </si>
  <si>
    <t>폭발적인 성장세</t>
  </si>
  <si>
    <t>95156</t>
  </si>
  <si>
    <t>SMTR25 데뷔와 초기 성과에 주목</t>
  </si>
  <si>
    <t>95155</t>
  </si>
  <si>
    <t>8월 25일, 다시 서는 지주회사</t>
  </si>
  <si>
    <t>95154</t>
  </si>
  <si>
    <t>Next 시밀러와 신약, 구체화되는 성장 스토리</t>
  </si>
  <si>
    <t>95153</t>
  </si>
  <si>
    <t>이제는 하이퍼 텔레콤입니다.</t>
  </si>
  <si>
    <t>95152</t>
  </si>
  <si>
    <t>지누스 우려는 정점 통과, 백화점과 면세점에 집중한 투자 필요</t>
  </si>
  <si>
    <t>95151</t>
  </si>
  <si>
    <t>정상화, 그 이상</t>
  </si>
  <si>
    <t>95150</t>
  </si>
  <si>
    <t>배당주와 성장주 그 갈림길에서</t>
  </si>
  <si>
    <t>95149</t>
  </si>
  <si>
    <t>구리가격 상승으로 두드러진 외형성장</t>
  </si>
  <si>
    <t>95148</t>
  </si>
  <si>
    <t>올해까지는 영업적자 불가피</t>
  </si>
  <si>
    <t>95147</t>
  </si>
  <si>
    <t>부진한 상반기 신작 성과, 부족한 하반기 신작 라인</t>
  </si>
  <si>
    <t>95146</t>
  </si>
  <si>
    <t>088800</t>
  </si>
  <si>
    <t>에이스테크</t>
  </si>
  <si>
    <t>전장부터 방산까지, 수익성 개선 성과 보인다</t>
  </si>
  <si>
    <t>95145</t>
  </si>
  <si>
    <t>미국에서 존재감 드러내는 ESS 수혜주</t>
  </si>
  <si>
    <t>95144</t>
  </si>
  <si>
    <t>벌써 계약 3건, 하반기 몇 발 더 남았다</t>
  </si>
  <si>
    <t>95143</t>
  </si>
  <si>
    <t>주요 신작 공개가 필요한 시점</t>
  </si>
  <si>
    <t>95142</t>
  </si>
  <si>
    <t>영업환경 어렵지만 유연한 공급 조절로 수익성 방어</t>
  </si>
  <si>
    <t>95141</t>
  </si>
  <si>
    <t>미국 시장 공략 속도, 사업 영역도 확장 중</t>
  </si>
  <si>
    <t>95140</t>
  </si>
  <si>
    <t>할 수 있는 모든 영역을 광고하자</t>
  </si>
  <si>
    <t>95139</t>
  </si>
  <si>
    <t>점점 더 커지는 존재감</t>
  </si>
  <si>
    <t>95138</t>
  </si>
  <si>
    <t>쉽지 않은 배당수익률의 벽</t>
  </si>
  <si>
    <t>95137</t>
  </si>
  <si>
    <t>형님들의 저력</t>
  </si>
  <si>
    <t>95136</t>
  </si>
  <si>
    <t>우리나라 AI 배전반 1위 기업</t>
  </si>
  <si>
    <t>95135</t>
  </si>
  <si>
    <t>우주 기술 경쟁력, 선박 엔진 부품까지 확산</t>
  </si>
  <si>
    <t>95134</t>
  </si>
  <si>
    <t>004380</t>
  </si>
  <si>
    <t>삼익THK</t>
  </si>
  <si>
    <t>반도체 장비부터 협동 로봇까지, 실체 있는 기대감</t>
  </si>
  <si>
    <t>95133</t>
  </si>
  <si>
    <t>명실상부 소캠 시장 확대의 최대 수혜주</t>
  </si>
  <si>
    <t>95132</t>
  </si>
  <si>
    <t>이 시국에 대단하다</t>
  </si>
  <si>
    <t>95131</t>
  </si>
  <si>
    <t>핵심이익 성장세 지속</t>
  </si>
  <si>
    <t>95130</t>
  </si>
  <si>
    <t>발전용 선박 엔진 필수품부터 천무까지</t>
  </si>
  <si>
    <t>95129</t>
  </si>
  <si>
    <t>돌파구 찾기</t>
  </si>
  <si>
    <t>95128</t>
  </si>
  <si>
    <t>95127</t>
  </si>
  <si>
    <t>본업 순항 중, 신사업 가시화 기대</t>
  </si>
  <si>
    <t>95126</t>
  </si>
  <si>
    <t>SMP 상한제 도입 가정해도 2H26 47% 증익</t>
  </si>
  <si>
    <t>95125</t>
  </si>
  <si>
    <t>성장에 또 성장, 실적으로 증명하다</t>
  </si>
  <si>
    <t>95124</t>
  </si>
  <si>
    <t>과거 기판 사이클 챔피언의 위엄, 가이던스 대폭 상향</t>
  </si>
  <si>
    <t>95123</t>
  </si>
  <si>
    <t>[NDR 후기] 3개월 만에 EPS 컨센서스 33% 상향</t>
  </si>
  <si>
    <t>95122</t>
  </si>
  <si>
    <t>900140</t>
  </si>
  <si>
    <t>엘브이엠씨홀딩스</t>
  </si>
  <si>
    <t>동남아시아 고성장 최대 수혜주</t>
  </si>
  <si>
    <t>95121</t>
  </si>
  <si>
    <t>눈높이 하향 조정은 필요</t>
  </si>
  <si>
    <t>95120</t>
  </si>
  <si>
    <t>원가 상승 부담 방어 중</t>
  </si>
  <si>
    <t>95119</t>
  </si>
  <si>
    <t>높아지는 배당 매력, 존재감 빛날 것</t>
  </si>
  <si>
    <t>95118</t>
  </si>
  <si>
    <t>2Q26 Review: 연간 가이던스 상향</t>
  </si>
  <si>
    <t>95117</t>
  </si>
  <si>
    <t>밸류에이션은 낮아지는데 GPM은 여전히 94%</t>
  </si>
  <si>
    <t>95116</t>
  </si>
  <si>
    <t>중요한 분기점</t>
  </si>
  <si>
    <t>95115</t>
  </si>
  <si>
    <t>망설일 필요 없는 시점</t>
  </si>
  <si>
    <t>95114</t>
  </si>
  <si>
    <t>얼마나 좋을지 감도 안 옴</t>
  </si>
  <si>
    <t>95113</t>
  </si>
  <si>
    <t>주주환원 GOAT</t>
  </si>
  <si>
    <t>95112</t>
  </si>
  <si>
    <t>락스, 퐁퐁, 포스트잇, 인바디</t>
  </si>
  <si>
    <t>95111</t>
  </si>
  <si>
    <t>둔화된 본업, 증명이 필요한 미국 신사업</t>
  </si>
  <si>
    <t>95110</t>
  </si>
  <si>
    <t>리노베이션 영향 본격화되며 컨센 하회</t>
  </si>
  <si>
    <t>95109</t>
  </si>
  <si>
    <t>레버리지 효과 증명, 하반기 눈높이 상향</t>
  </si>
  <si>
    <t>95108</t>
  </si>
  <si>
    <t>수익성 개선에 하반기 넘쳐나는 수주 기회까지</t>
  </si>
  <si>
    <t>95107</t>
  </si>
  <si>
    <t>체리자동차 전략적 파트너십 체결 및 2Q26 실적 리뷰</t>
  </si>
  <si>
    <t>95106</t>
  </si>
  <si>
    <t>2분기 실적 반등 성공</t>
  </si>
  <si>
    <t>95105</t>
  </si>
  <si>
    <t>저평가에 집중</t>
  </si>
  <si>
    <t>95104</t>
  </si>
  <si>
    <t>002900</t>
  </si>
  <si>
    <t>TYM</t>
  </si>
  <si>
    <t>풍년의 기운이 느껴진다</t>
  </si>
  <si>
    <t>95103</t>
  </si>
  <si>
    <t>HBM 성장성에 다시 주목해야 할 시기</t>
  </si>
  <si>
    <t>95102</t>
  </si>
  <si>
    <t>부진한 실적. 기대치 크게 하회</t>
  </si>
  <si>
    <t>95101</t>
  </si>
  <si>
    <t>SK그룹의 다음 먹거리: SKT 데이터센터</t>
  </si>
  <si>
    <t>95100</t>
  </si>
  <si>
    <t>지역, 채널, 제품 3박자 좋은 실적</t>
  </si>
  <si>
    <t>95099</t>
  </si>
  <si>
    <t>자산은 파트너가, 운영 매출은 NAVER가</t>
  </si>
  <si>
    <t>95098</t>
  </si>
  <si>
    <t>신작으로 증명할 시기</t>
  </si>
  <si>
    <t>95097</t>
  </si>
  <si>
    <t>성장세는 유효하나, 수익성 하락 우려는 부담</t>
  </si>
  <si>
    <t>95096</t>
  </si>
  <si>
    <t>실적은 견고, 남은 것은 수주 성과 확인</t>
  </si>
  <si>
    <t>95095</t>
  </si>
  <si>
    <t>정밀가공 확장을 통한 성장성 확보</t>
  </si>
  <si>
    <t>95094</t>
  </si>
  <si>
    <t>SK실트론 인수 관련 코멘트: 싸게 잘 사왔다. 이제는 리레이팅의 시간</t>
  </si>
  <si>
    <t>95093</t>
  </si>
  <si>
    <t>전 사업부 실적 호황 반영 중, 중장기 로드맵도 주목</t>
  </si>
  <si>
    <t>95092</t>
  </si>
  <si>
    <t>실적 회복세 진입</t>
  </si>
  <si>
    <t>95091</t>
  </si>
  <si>
    <t>2Q26 Re: 브랜드 뉴 데이</t>
  </si>
  <si>
    <t>95090</t>
  </si>
  <si>
    <t>확인되는 전방 수요 부진, 중장기 접근 필요</t>
  </si>
  <si>
    <t>95089</t>
  </si>
  <si>
    <t>신동사업 호조로 서프라이즈</t>
  </si>
  <si>
    <t>95088</t>
  </si>
  <si>
    <t>일시적 부진, 길이 넓어지는 엔진</t>
  </si>
  <si>
    <t>95087</t>
  </si>
  <si>
    <t>높아진 실적 가시성</t>
  </si>
  <si>
    <t>95086</t>
  </si>
  <si>
    <t>해외 확장과 신사업 준비</t>
  </si>
  <si>
    <t>95085</t>
  </si>
  <si>
    <t>단기 실적보단 전방 다변화에 주목</t>
  </si>
  <si>
    <t>95084</t>
  </si>
  <si>
    <t>어둡지만은 않다</t>
  </si>
  <si>
    <t>95083</t>
  </si>
  <si>
    <t>단기 변동성 크겠지만 금융 플랫폼 사업자로서 경쟁력 입증</t>
  </si>
  <si>
    <t>95082</t>
  </si>
  <si>
    <t>2Q26 Review: 돋보이는 전 사업부분의 고른 이익 증가</t>
  </si>
  <si>
    <t>95081</t>
  </si>
  <si>
    <t>탐방노트: 4배 증설 그리고 로봇핵심부품까지</t>
  </si>
  <si>
    <t>95080</t>
  </si>
  <si>
    <t>2Q26 Review: 마진은 확인했고 다음은 외형</t>
  </si>
  <si>
    <t>95079</t>
  </si>
  <si>
    <t>완벽한 서프라이즈</t>
  </si>
  <si>
    <t>95078</t>
  </si>
  <si>
    <t>아쉬운 실적이나 높은 주주 환원 기대</t>
  </si>
  <si>
    <t>95077</t>
  </si>
  <si>
    <t>2Q26 Re - 판관비 증가로 인한 컨센 하회</t>
  </si>
  <si>
    <t>95076</t>
  </si>
  <si>
    <t>95075</t>
  </si>
  <si>
    <t>해 뜨기 전의 어두운 새벽을 지나는 중(NDR 후기)</t>
  </si>
  <si>
    <t>95074</t>
  </si>
  <si>
    <t>건축 실적 서프라이즈</t>
  </si>
  <si>
    <t>95073</t>
  </si>
  <si>
    <t>마진율 회복</t>
  </si>
  <si>
    <t>95072</t>
  </si>
  <si>
    <t>2026년 하반기, 수주 가이던스 20조원 제시</t>
  </si>
  <si>
    <t>95071</t>
  </si>
  <si>
    <t>가이던스 상향에 담긴 자신감</t>
  </si>
  <si>
    <t>95070</t>
  </si>
  <si>
    <t>좋은 시황에 부합하는 호실적</t>
  </si>
  <si>
    <t>95069</t>
  </si>
  <si>
    <t>잘하는만큼 기대도 컸다</t>
  </si>
  <si>
    <t>95068</t>
  </si>
  <si>
    <t>서프라이즈, 그리고 걷히는 할인 요인</t>
  </si>
  <si>
    <t>95067</t>
  </si>
  <si>
    <t>명확한 방향성</t>
  </si>
  <si>
    <t>95066</t>
  </si>
  <si>
    <t>이제 본격 투자 시작합니다</t>
  </si>
  <si>
    <t>95065</t>
  </si>
  <si>
    <t>사상 최대 실적, 다음은 사상 최대 주주환원</t>
  </si>
  <si>
    <t>95064</t>
  </si>
  <si>
    <t>전통 금융의 이익, 핀테크의 멀티플</t>
  </si>
  <si>
    <t>95063</t>
  </si>
  <si>
    <t>역대 최고 수주실적의 1.9배에 달하는 수정 가이던스</t>
  </si>
  <si>
    <t>95062</t>
  </si>
  <si>
    <t>2Q26P Review: 영업이익 어닝서프라이즈 시현</t>
  </si>
  <si>
    <t>95061</t>
  </si>
  <si>
    <t>동박, 가격(ASP)의 시간</t>
  </si>
  <si>
    <t>95060</t>
  </si>
  <si>
    <t>오프라인 사업 확장을 위한 준비</t>
  </si>
  <si>
    <t>95059</t>
  </si>
  <si>
    <t>하반기 강력한 수주 모멘텀 지속</t>
  </si>
  <si>
    <t>95058</t>
  </si>
  <si>
    <t>대내외 불확실성 vs 배당 중심 안정성</t>
  </si>
  <si>
    <t>95057</t>
  </si>
  <si>
    <t>현 주가는 로보틱스 옵션 가치 사실상 제로</t>
  </si>
  <si>
    <t>95056</t>
  </si>
  <si>
    <t>음극재로 양극재를 판다</t>
  </si>
  <si>
    <t>95055</t>
  </si>
  <si>
    <t>팬데믹 저점에 근접한 밸류에이션</t>
  </si>
  <si>
    <t>95054</t>
  </si>
  <si>
    <t>2Q26 Review : 여전히 최선호주이나 9월까지 수급부담 불가피</t>
  </si>
  <si>
    <t>95281</t>
  </si>
  <si>
    <t>공급 주도의 판가 인상 수혜 기대</t>
  </si>
  <si>
    <t>95280</t>
  </si>
  <si>
    <t>아낌없이 주는 담배</t>
  </si>
  <si>
    <t>95279</t>
  </si>
  <si>
    <t>소나기에 연연하지 말고 불어오는 동남풍을 보자</t>
  </si>
  <si>
    <t>95278</t>
  </si>
  <si>
    <t>실적도 좋고, 환원도 좋다</t>
  </si>
  <si>
    <t>95277</t>
  </si>
  <si>
    <t>2Q26 Reivew: 증권 실적 호조 및 계열사 손익 증대</t>
  </si>
  <si>
    <t>95276</t>
  </si>
  <si>
    <t>전 사업 부문 호실적</t>
  </si>
  <si>
    <t>95275</t>
  </si>
  <si>
    <t>2Q26 Review : 비운의 천재</t>
  </si>
  <si>
    <t>95274</t>
  </si>
  <si>
    <t>목표대로 선투자기에도 이익 성장. 낮은 AI 기대감은 극복 필요</t>
  </si>
  <si>
    <t>95273</t>
  </si>
  <si>
    <t>핵심사업 이익 체력 확인</t>
  </si>
  <si>
    <t>95272</t>
  </si>
  <si>
    <t>2Q26 Re - 업황 둔화 우려는 충분히 반영된 주가 수준</t>
  </si>
  <si>
    <t>95271</t>
  </si>
  <si>
    <t>사용자의 마음을 잡아야 한다</t>
  </si>
  <si>
    <t>95270</t>
  </si>
  <si>
    <t>확대되는 외국인 인바운드 효과</t>
  </si>
  <si>
    <t>95269</t>
  </si>
  <si>
    <t>눈 앞에 다가온 TV광고 반등 가능성</t>
  </si>
  <si>
    <t>95268</t>
  </si>
  <si>
    <t>실적도 좋았고 모회사의 반등은 더 좋았고</t>
  </si>
  <si>
    <t>95267</t>
  </si>
  <si>
    <t>95266</t>
  </si>
  <si>
    <t>2Q 리뷰 - 어닝 서프라이즈, 주가 한 단계 높아질 듯</t>
  </si>
  <si>
    <t>95265</t>
  </si>
  <si>
    <t>NDR 후기: VLCC 모멘텀이 머지 않았다</t>
  </si>
  <si>
    <t>95264</t>
  </si>
  <si>
    <t>2Q26 Re: 천궁-II 수요 폭발 중</t>
  </si>
  <si>
    <t>95263</t>
  </si>
  <si>
    <t>성장성 수익성 모두 UP</t>
  </si>
  <si>
    <t>95262</t>
  </si>
  <si>
    <t>가이던스 상향, 주주환원도 한 단계 강화</t>
  </si>
  <si>
    <t>95261</t>
  </si>
  <si>
    <t>분기 최대 이익과 AIDC 성장</t>
  </si>
  <si>
    <t>95260</t>
  </si>
  <si>
    <t>기록적인 Top-line, 그러나 비용으로 상쇄된 이익</t>
  </si>
  <si>
    <t>95259</t>
  </si>
  <si>
    <t>순조로운 성장 중</t>
  </si>
  <si>
    <t>95258</t>
  </si>
  <si>
    <t>극성수기가 길어지고 외국인 매출이 가파르게 증가한다</t>
  </si>
  <si>
    <t>95257</t>
  </si>
  <si>
    <t>중국이 2분기 캐리</t>
  </si>
  <si>
    <t>95256</t>
  </si>
  <si>
    <t>실적에 대한 신뢰 회복</t>
  </si>
  <si>
    <t>95255</t>
  </si>
  <si>
    <t>티빙. 아픈 손가락 아닙니다.</t>
  </si>
  <si>
    <t>95254</t>
  </si>
  <si>
    <t>차분하게 성장하는 기업</t>
  </si>
  <si>
    <t>95253</t>
  </si>
  <si>
    <t>펀더로 압도해버림</t>
  </si>
  <si>
    <t>95252</t>
  </si>
  <si>
    <t>2Q26 Review: 우려를 낮춘 견조한 실적</t>
  </si>
  <si>
    <t>95251</t>
  </si>
  <si>
    <t>실적은 순항, 리레이팅은 2nd Product</t>
  </si>
  <si>
    <t>95250</t>
  </si>
  <si>
    <t>2Q26P Review: 용역 매출 본격화, 실적 성장 지속</t>
  </si>
  <si>
    <t>95249</t>
  </si>
  <si>
    <t>486990</t>
  </si>
  <si>
    <t>노타</t>
  </si>
  <si>
    <t>AI 경량화·최적화 구현 기업</t>
  </si>
  <si>
    <t>95248</t>
  </si>
  <si>
    <t>Large Cap 승급 테스트 시작</t>
  </si>
  <si>
    <t>95247</t>
  </si>
  <si>
    <t>2Q26P Review: 15분기만에 24%대 OPM 회복</t>
  </si>
  <si>
    <t>95246</t>
  </si>
  <si>
    <t>2Q26P Review: 6분기 연속 해외 매출 증가 지속</t>
  </si>
  <si>
    <t>95245</t>
  </si>
  <si>
    <t>시작되는 LFP 공급</t>
  </si>
  <si>
    <t>95244</t>
  </si>
  <si>
    <t>높은 성벽이 쌓아지는 과정</t>
  </si>
  <si>
    <t>95243</t>
  </si>
  <si>
    <t>실적과 수주, 길게 보면 폭발적 성장</t>
  </si>
  <si>
    <t>95242</t>
  </si>
  <si>
    <t>좋다라고 밖에 표현할 수 없는 실적!</t>
  </si>
  <si>
    <t>95241</t>
  </si>
  <si>
    <t>중국 호조가 이끈 어닝서프라이즈</t>
  </si>
  <si>
    <t>95240</t>
  </si>
  <si>
    <t>본업은 견조, 다음은 LFP</t>
  </si>
  <si>
    <t>95239</t>
  </si>
  <si>
    <t>수주가 쌓이기 시작했습니다</t>
  </si>
  <si>
    <t>95238</t>
  </si>
  <si>
    <t>실적 서프라이즈, 주가는 AI 성과가 결정</t>
  </si>
  <si>
    <t>95237</t>
  </si>
  <si>
    <t>대형작 성과 부진과 신작 지연</t>
  </si>
  <si>
    <t>95236</t>
  </si>
  <si>
    <t>시간이 더 필요하다</t>
  </si>
  <si>
    <t>95235</t>
  </si>
  <si>
    <t>수익성 개선에 대한 강한 의지</t>
  </si>
  <si>
    <t>95234</t>
  </si>
  <si>
    <t>Profit is Visible. ‘Crucible’ must be Feasible</t>
  </si>
  <si>
    <t>95233</t>
  </si>
  <si>
    <t>할 수 있다는 자신감 증명</t>
  </si>
  <si>
    <t>95232</t>
  </si>
  <si>
    <t>중국으로 확인한 체력, 미국으로 여는 성장</t>
  </si>
  <si>
    <t>95231</t>
  </si>
  <si>
    <t>종합상사의 경쟁력이 증명되는 구간</t>
  </si>
  <si>
    <t>95230</t>
  </si>
  <si>
    <t>477850</t>
  </si>
  <si>
    <t>마키나락스</t>
  </si>
  <si>
    <t>마키극락스, 피지컬 AI 전환의 선두에 서다</t>
  </si>
  <si>
    <t>95229</t>
  </si>
  <si>
    <t>2Q26 Review: 파주에서 자라는 새로운 Cash Cow</t>
  </si>
  <si>
    <t>95228</t>
  </si>
  <si>
    <t>탐방노트: 숨겨진 데이터센터 수혜주</t>
  </si>
  <si>
    <t>95227</t>
  </si>
  <si>
    <t>편의점으로 바통 터치</t>
  </si>
  <si>
    <t>95226</t>
  </si>
  <si>
    <t>실적보다 수주, 커지는 수요</t>
  </si>
  <si>
    <t>95225</t>
  </si>
  <si>
    <t>새삼 느껴지는 월급의 소중함</t>
  </si>
  <si>
    <t>95224</t>
  </si>
  <si>
    <t>다시 살아나는 전지박</t>
  </si>
  <si>
    <t>95223</t>
  </si>
  <si>
    <t>마음 편한 배당주 투자처</t>
  </si>
  <si>
    <t>95222</t>
  </si>
  <si>
    <t>업황은 같은데 보법이 다르네</t>
  </si>
  <si>
    <t>95221</t>
  </si>
  <si>
    <t>실망할 때가 아닐텐데요</t>
  </si>
  <si>
    <t>95220</t>
  </si>
  <si>
    <t>26~27년 DPS 전망치 상향 조정</t>
  </si>
  <si>
    <t>95219</t>
  </si>
  <si>
    <t>견조한 출하량 속 하반기는 LFP 양극재 검증의 시기</t>
  </si>
  <si>
    <t>95218</t>
  </si>
  <si>
    <t>판권 내용연수 변경에도 컨센 상회</t>
  </si>
  <si>
    <t>95217</t>
  </si>
  <si>
    <t>드디어 티빙 첫 흑자, 다음은 광고 반등</t>
  </si>
  <si>
    <t>95216</t>
  </si>
  <si>
    <t>LFP 양산 본격화로 추가 성장 동력 확보</t>
  </si>
  <si>
    <t>95215</t>
  </si>
  <si>
    <t>과도한 저평가 상황</t>
  </si>
  <si>
    <t>95214</t>
  </si>
  <si>
    <t>식봄 GMV 고성장으로 매출 성장 가속화 전망</t>
  </si>
  <si>
    <t>95213</t>
  </si>
  <si>
    <t>바닥을 통과하는 구간, 2027년 본격 성장 예상</t>
  </si>
  <si>
    <t>95212</t>
  </si>
  <si>
    <t>거래대금은 거들 뿐</t>
  </si>
  <si>
    <t>95211</t>
  </si>
  <si>
    <t>최악의 구간에서 벗어난 귀금속</t>
  </si>
  <si>
    <t>95210</t>
  </si>
  <si>
    <t>2Q26 Review: 1조 야르~</t>
  </si>
  <si>
    <t>95209</t>
  </si>
  <si>
    <t>2분기도 시장 기대치 상회</t>
  </si>
  <si>
    <t>95208</t>
  </si>
  <si>
    <t>실적도 주주환원도 기대이상</t>
  </si>
  <si>
    <t>95207</t>
  </si>
  <si>
    <t>2026-08-11</t>
  </si>
  <si>
    <t>하반기 숨 고르기, 내년 성장 모멘텀 재개</t>
  </si>
  <si>
    <t>95405</t>
  </si>
  <si>
    <t>26년 컨센 및 가이던스 크게 상회할 것으로 예상</t>
  </si>
  <si>
    <t>95404</t>
  </si>
  <si>
    <t>95403</t>
  </si>
  <si>
    <t>NDR 후기: TAM 확대 스토리 지속</t>
  </si>
  <si>
    <t>95402</t>
  </si>
  <si>
    <t>하반기 비용 인상 리스크 확대, 목표주가 하향</t>
  </si>
  <si>
    <t>95401</t>
  </si>
  <si>
    <t>2Q26 Re: 국내 증시 호조에 기반한 실적 서프라이즈</t>
  </si>
  <si>
    <t>95400</t>
  </si>
  <si>
    <t>금융 IT 업체의 사업 확장기</t>
  </si>
  <si>
    <t>95399</t>
  </si>
  <si>
    <t>국내를 넘어 해외가 이끄는 성장</t>
  </si>
  <si>
    <t>95398</t>
  </si>
  <si>
    <t>호텔사업 호조에 더해지는 개발 모멘텀</t>
  </si>
  <si>
    <t>95397</t>
  </si>
  <si>
    <t>2분기 구조적 개선과 업황 회복 시그널</t>
  </si>
  <si>
    <t>95396</t>
  </si>
  <si>
    <t>AI 모멘텀에 강력한 주주환원 정책을 더한다</t>
  </si>
  <si>
    <t>95395</t>
  </si>
  <si>
    <t>전략적 전환: 다작(多作)에서 명작(名作)으로</t>
  </si>
  <si>
    <t>95394</t>
  </si>
  <si>
    <t>2026-08-10</t>
  </si>
  <si>
    <t>2Q26 Review: 미국 타워, 물량도 마진도 개선</t>
  </si>
  <si>
    <t>95393</t>
  </si>
  <si>
    <t>2Q26 Review: 본업 개선에 더해진 Value Up</t>
  </si>
  <si>
    <t>95392</t>
  </si>
  <si>
    <t>2Q26 Review: 일회성을 걷어내면 보이는 긍정적인 모습</t>
  </si>
  <si>
    <t>95391</t>
  </si>
  <si>
    <t>2Q26 Review: 완벽한 실적, 리레이팅을 시작할 때</t>
  </si>
  <si>
    <t>95390</t>
  </si>
  <si>
    <t>2Q26 Review: 견조한 본업, 바닥을 다진 지누스</t>
  </si>
  <si>
    <t>95389</t>
  </si>
  <si>
    <t>2Q26 Review; 가이던스 부담 없고, 밸류 매력도는 높다</t>
  </si>
  <si>
    <t>95388</t>
  </si>
  <si>
    <t>2Q26 Review: 하반기에 집중</t>
  </si>
  <si>
    <t>95387</t>
  </si>
  <si>
    <t>2Q26 Review; 하반기 숫자 확인 필요</t>
  </si>
  <si>
    <t>95386</t>
  </si>
  <si>
    <t>어려운 환경에서 만들어낸 서프라이즈</t>
  </si>
  <si>
    <t>95385</t>
  </si>
  <si>
    <t>구조적 개선, 해외 고성장, 성공적</t>
  </si>
  <si>
    <t>95384</t>
  </si>
  <si>
    <t>파이낸셜 투자 확대에도 중심 성장 스토리 그대로 유지</t>
  </si>
  <si>
    <t>95383</t>
  </si>
  <si>
    <t>기대치 상회한 저연차와 기대되는 빅뱅 컴백</t>
  </si>
  <si>
    <t>95382</t>
  </si>
  <si>
    <t>뚜벅뚜벅</t>
  </si>
  <si>
    <t>95381</t>
  </si>
  <si>
    <t>K-웰니스 트렌드 적극 대응하며 성장</t>
  </si>
  <si>
    <t>95380</t>
  </si>
  <si>
    <t>NDR 후기: 상반기보다 하반기, 3분기보다 4분기가 더 기대된다</t>
  </si>
  <si>
    <t>95379</t>
  </si>
  <si>
    <t>B2C와 B2B 모두 잡는다</t>
  </si>
  <si>
    <t>95378</t>
  </si>
  <si>
    <t>풍력 다운사이클 끝자락, 반등을 준비한다</t>
  </si>
  <si>
    <t>95377</t>
  </si>
  <si>
    <t>좋을 때 모이면 더 좋아지는 친구들</t>
  </si>
  <si>
    <t>95376</t>
  </si>
  <si>
    <t>K웰니스 열풍 최대 수혜</t>
  </si>
  <si>
    <t>95375</t>
  </si>
  <si>
    <t>실적 부진과 세율 인상 우려까지 다 반영된 주가</t>
  </si>
  <si>
    <t>95374</t>
  </si>
  <si>
    <t>하반기 빅뱅 20주년 및 신인 남자 데뷔</t>
  </si>
  <si>
    <t>95373</t>
  </si>
  <si>
    <t>하반기 mPPO와 CPI 필름이 온다</t>
  </si>
  <si>
    <t>95372</t>
  </si>
  <si>
    <t>2Q26 Review : 태국, J커브에 올라탔나?</t>
  </si>
  <si>
    <t>95371</t>
  </si>
  <si>
    <t>실적 변동성 크지만 사이클은 회복 국면</t>
  </si>
  <si>
    <t>95370</t>
  </si>
  <si>
    <t>확신의 턴어라운드</t>
  </si>
  <si>
    <t>95369</t>
  </si>
  <si>
    <t>빠르게 나타난 자원개발 실적 개선</t>
  </si>
  <si>
    <t>95368</t>
  </si>
  <si>
    <t>공급 축소로 인한 경쟁력 강화 국면</t>
  </si>
  <si>
    <t>95367</t>
  </si>
  <si>
    <t>하반기 마진 압박 불가피하지만, AI DC가 열어줄 상방</t>
  </si>
  <si>
    <t>95366</t>
  </si>
  <si>
    <t>매출이 잠시 줄었을 뿐</t>
  </si>
  <si>
    <t>95365</t>
  </si>
  <si>
    <t>2Q26 Re: 국내 체질 개선 및 해외 고성장으로 호실적</t>
  </si>
  <si>
    <t>95364</t>
  </si>
  <si>
    <t>[NDR 후기] 헝가리+니켈 내재화에 주목</t>
  </si>
  <si>
    <t>95363</t>
  </si>
  <si>
    <t>[NDR 후기] 2027년 가동률 회복 본격화</t>
  </si>
  <si>
    <t>95362</t>
  </si>
  <si>
    <t>AI팩토리 신사업을 통한 성장성 제고 기대</t>
  </si>
  <si>
    <t>95361</t>
  </si>
  <si>
    <t>성장은 이어진다. 눈높이만 낮추면</t>
  </si>
  <si>
    <t>95360</t>
  </si>
  <si>
    <t>수주가 실적을 크게 앞서기 시작했다</t>
  </si>
  <si>
    <t>95359</t>
  </si>
  <si>
    <t>이익 체력이 달라졌다</t>
  </si>
  <si>
    <t>95358</t>
  </si>
  <si>
    <t>다시, 2027년까지 인내가 필요하다!</t>
  </si>
  <si>
    <t>95357</t>
  </si>
  <si>
    <t>낭중지추</t>
  </si>
  <si>
    <t>95356</t>
  </si>
  <si>
    <t>[다시봐] 디스플레이에서 반도체 장비회사로</t>
  </si>
  <si>
    <t>95355</t>
  </si>
  <si>
    <t>방향성은 유효</t>
  </si>
  <si>
    <t>95354</t>
  </si>
  <si>
    <t>2Q26 Review: 내실 탄탄</t>
  </si>
  <si>
    <t>95353</t>
  </si>
  <si>
    <t>2Q26 Review: 고성장에 변함은 없습니다</t>
  </si>
  <si>
    <t>95352</t>
  </si>
  <si>
    <t>022100</t>
  </si>
  <si>
    <t>포스코DX</t>
  </si>
  <si>
    <t>수주는 회복됐지만 Physical AI는 아직 옵션</t>
  </si>
  <si>
    <t>95351</t>
  </si>
  <si>
    <t>많이 더우시죠? 들어오세요!</t>
  </si>
  <si>
    <t>95350</t>
  </si>
  <si>
    <t>AIDC 투자 적기, 비축 현금과 확실한 수요</t>
  </si>
  <si>
    <t>95349</t>
  </si>
  <si>
    <t>국민 메신저 카카오톡, 내 손안의 AI 에이전트로</t>
  </si>
  <si>
    <t>95348</t>
  </si>
  <si>
    <t>경쟁력을 갖춘 플랫폼 AI의 파도를 항해 중</t>
  </si>
  <si>
    <t>95347</t>
  </si>
  <si>
    <t>비 캡티브 AX의 강자</t>
  </si>
  <si>
    <t>95346</t>
  </si>
  <si>
    <t>리쥬란은 억울하다</t>
  </si>
  <si>
    <t>95345</t>
  </si>
  <si>
    <t>2Q26 일시적 실적 부진. 지금은 모멘텀을 기다릴 때</t>
  </si>
  <si>
    <t>95344</t>
  </si>
  <si>
    <t>QLEX 순항, 확장되는 플랫폼</t>
  </si>
  <si>
    <t>95343</t>
  </si>
  <si>
    <t>점포 체질 개선, 기후 변화, 외국인 수요 3박자가 중장기 기업 가치 상승 견인할 것</t>
  </si>
  <si>
    <t>95342</t>
  </si>
  <si>
    <t>백화점이 다시 실적 및 주가 하드 캐리할 것</t>
  </si>
  <si>
    <t>95341</t>
  </si>
  <si>
    <t>95340</t>
  </si>
  <si>
    <t xml:space="preserve"> Next 시밀러와 신약, 구체화되는 성장 스토리</t>
  </si>
  <si>
    <t>95339</t>
  </si>
  <si>
    <t>95338</t>
  </si>
  <si>
    <t>2Q26 Review: 일회성 비용 감안 시 컨센 부합</t>
  </si>
  <si>
    <t>95337</t>
  </si>
  <si>
    <t>역래깅과 동시에 시작되는 재무구조 개선</t>
  </si>
  <si>
    <t>95336</t>
  </si>
  <si>
    <t>95335</t>
  </si>
  <si>
    <t>2연속 어닝 서프라이즈</t>
  </si>
  <si>
    <t>95334</t>
  </si>
  <si>
    <t>하반기 관건은 AI Factory 성과</t>
  </si>
  <si>
    <t>95333</t>
  </si>
  <si>
    <t>베이비몬스터 체급 성장과 빅뱅 컴백 기대감</t>
  </si>
  <si>
    <t>95332</t>
  </si>
  <si>
    <t>95331</t>
  </si>
  <si>
    <t>실적과 모멘텀의 하반기</t>
  </si>
  <si>
    <t>95330</t>
  </si>
  <si>
    <t>미국 SMR 시장 진출로 성장성 가속화</t>
  </si>
  <si>
    <t>95329</t>
  </si>
  <si>
    <t>자사주 소각 기대 및 AI GOP 본격화 수혜</t>
  </si>
  <si>
    <t>95328</t>
  </si>
  <si>
    <t>수주 가시성 확대 및 올해 사상 최대 실적 가시화</t>
  </si>
  <si>
    <t>95327</t>
  </si>
  <si>
    <t>메멘토의 메모: 다음 L/O를 찾아라</t>
  </si>
  <si>
    <t>95326</t>
  </si>
  <si>
    <t>유의미한 이익 체질개선, AI성과 가시화에 주목</t>
  </si>
  <si>
    <t>95325</t>
  </si>
  <si>
    <t>예상보다 더 잘되고 있다</t>
  </si>
  <si>
    <t>95324</t>
  </si>
  <si>
    <t>CLT, SSD 테스터 등으로 올해와 내년 사상 최대 실적</t>
  </si>
  <si>
    <t>95323</t>
  </si>
  <si>
    <t>원가 개선까지 더해진다면?</t>
  </si>
  <si>
    <t>95322</t>
  </si>
  <si>
    <t>올해보다 내년</t>
  </si>
  <si>
    <t>95321</t>
  </si>
  <si>
    <t>화학인데, AI와 폴더블까지</t>
  </si>
  <si>
    <t>95320</t>
  </si>
  <si>
    <t>예상된 공백, 바뀌지 않은 방향성</t>
  </si>
  <si>
    <t>95319</t>
  </si>
  <si>
    <t>미국, 수요는 예상보다 강하고 경쟁은 축소</t>
  </si>
  <si>
    <t>95318</t>
  </si>
  <si>
    <t>단기 실적보다 캐파 증설이 함의하는 바에 주목</t>
  </si>
  <si>
    <t>95317</t>
  </si>
  <si>
    <t>95316</t>
  </si>
  <si>
    <t>보여준 주주환원 확대 의지</t>
  </si>
  <si>
    <t>95315</t>
  </si>
  <si>
    <t>2Q 좋고, 2H는 더 좋아요</t>
  </si>
  <si>
    <t>95314</t>
  </si>
  <si>
    <t>견조한 실적에 더해지는 AIDC 모멘텀</t>
  </si>
  <si>
    <t>95313</t>
  </si>
  <si>
    <t>지나친 조정으로 높아진 밸류 매력도</t>
  </si>
  <si>
    <t>95312</t>
  </si>
  <si>
    <t>선방한 실적</t>
  </si>
  <si>
    <t>95311</t>
  </si>
  <si>
    <t>단기 감익보다 방향성에 주목</t>
  </si>
  <si>
    <t>95310</t>
  </si>
  <si>
    <t>해외 사업은 순항, 미수금은 숙제</t>
  </si>
  <si>
    <t>95309</t>
  </si>
  <si>
    <t>백화점에 더해지는 그로서리 회복</t>
  </si>
  <si>
    <t>95308</t>
  </si>
  <si>
    <t>편의점, 다시 성장의 중심으로</t>
  </si>
  <si>
    <t>95307</t>
  </si>
  <si>
    <t>단기 수익성보다 미래 먹거리에 투자</t>
  </si>
  <si>
    <t>95306</t>
  </si>
  <si>
    <t>최대 실적, 밸류에이션을 다시 보다</t>
  </si>
  <si>
    <t>95305</t>
  </si>
  <si>
    <t>아쉬운 피크아웃 우려를 주주환원 강화로 상쇄 기대</t>
  </si>
  <si>
    <t>95304</t>
  </si>
  <si>
    <t>Golden Triangle: 최대 실적·최저 밸류·스테이블코인</t>
  </si>
  <si>
    <t>95303</t>
  </si>
  <si>
    <t>과도한 우려는 기회</t>
  </si>
  <si>
    <t>95302</t>
  </si>
  <si>
    <t>전 사업부 호조 지속</t>
  </si>
  <si>
    <t>95301</t>
  </si>
  <si>
    <t>판매량 증가와 가격 인상으로 원가 부담 극복</t>
  </si>
  <si>
    <t>95300</t>
  </si>
  <si>
    <t>베이비몬스터만으로 역대 최대 MD 매출 달성</t>
  </si>
  <si>
    <t>95299</t>
  </si>
  <si>
    <t>27년 대산/여수 구조조정 효과로 흑자전환 예상</t>
  </si>
  <si>
    <t>95298</t>
  </si>
  <si>
    <t>최근 Glove 업체들 전반의 가동률 상향 움직임</t>
  </si>
  <si>
    <t>95297</t>
  </si>
  <si>
    <t>고연차 IP의 저력과 2027년 성장의 가시성</t>
  </si>
  <si>
    <t>95296</t>
  </si>
  <si>
    <t>변화구에 지친 자들을 위한 묵직한 돌직구</t>
  </si>
  <si>
    <t>95295</t>
  </si>
  <si>
    <t>우호적인 수급 환경 변화</t>
  </si>
  <si>
    <t>95294</t>
  </si>
  <si>
    <t>브랜드 PO\ER</t>
  </si>
  <si>
    <t>95293</t>
  </si>
  <si>
    <t>높은 주주환월과 주주 우호적 지배구조 개편</t>
  </si>
  <si>
    <t>95292</t>
  </si>
  <si>
    <t>2Q26P Review: 3분기 연속 500억원대 매출 달성</t>
  </si>
  <si>
    <t>95291</t>
  </si>
  <si>
    <t>2Q26P Review: 천억원대 매출액 달성, 성장 지속</t>
  </si>
  <si>
    <t>95290</t>
  </si>
  <si>
    <t>2Q26P Review: 해외 사업은 여전히 성장 중</t>
  </si>
  <si>
    <t>95289</t>
  </si>
  <si>
    <t>038500</t>
  </si>
  <si>
    <t>삼표시멘트</t>
  </si>
  <si>
    <t>본업은 회복, 성수동 프리미엄은 경계</t>
  </si>
  <si>
    <t>95288</t>
  </si>
  <si>
    <t>수익성은 되돌아가나, 주주환원은 남는다</t>
  </si>
  <si>
    <t>95287</t>
  </si>
  <si>
    <t>2Q26 Review: 육각형 기업</t>
  </si>
  <si>
    <t>95286</t>
  </si>
  <si>
    <t>정책 개선, 수요 확대, 공급 축소의 3박자</t>
  </si>
  <si>
    <t>95285</t>
  </si>
  <si>
    <t>실적과 수주 모두 견조</t>
  </si>
  <si>
    <t>95284</t>
  </si>
  <si>
    <t>중장기 관점에서 바라볼 때</t>
  </si>
  <si>
    <t>95283</t>
  </si>
  <si>
    <t>실적 개선이 기대되는 IT부품 강소기업</t>
  </si>
  <si>
    <t>95282</t>
  </si>
  <si>
    <t>2026-08-12</t>
  </si>
  <si>
    <t>2026-08-13</t>
  </si>
  <si>
    <t>채널 믹스와 성과급으로 실적 부진</t>
  </si>
  <si>
    <t>95530</t>
  </si>
  <si>
    <t>신사업과 기존 사업 모두 청신호</t>
  </si>
  <si>
    <t>95529</t>
  </si>
  <si>
    <t>기존작으로 기초 체력 유지 중</t>
  </si>
  <si>
    <t>95528</t>
  </si>
  <si>
    <t>어려운 하반기를 앞두고 예상 밖의 부진</t>
  </si>
  <si>
    <t>95527</t>
  </si>
  <si>
    <t>상반기 부담을 뒤로하고</t>
  </si>
  <si>
    <t>95526</t>
  </si>
  <si>
    <t>2Q26 Review: 역대급 실적. 하반기 변동성 관리가 필요</t>
  </si>
  <si>
    <t>95525</t>
  </si>
  <si>
    <t>트와이스 불확실성 반영, 관건은 저연차 IP</t>
  </si>
  <si>
    <t>95524</t>
  </si>
  <si>
    <t>창의적 신작 게임성 요구</t>
  </si>
  <si>
    <t>95523</t>
  </si>
  <si>
    <t>2Q26 Re: 당연해진 실적 서프라이즈</t>
  </si>
  <si>
    <t>95522</t>
  </si>
  <si>
    <t>2Q26 Re: 보험손익 회복 기조 지속</t>
  </si>
  <si>
    <t>95521</t>
  </si>
  <si>
    <t>양호한 실적, 시선은 사업체질 전환으로</t>
  </si>
  <si>
    <t>95520</t>
  </si>
  <si>
    <t>무선서비스 정상화 구간 진입 예상</t>
  </si>
  <si>
    <t>95519</t>
  </si>
  <si>
    <t>가이던스 하향 조정과 함께 먼 길 가는 중</t>
  </si>
  <si>
    <t>95518</t>
  </si>
  <si>
    <t>032620</t>
  </si>
  <si>
    <t>GC메디아이</t>
  </si>
  <si>
    <t>Medical OS를 통한 플랫폼 기업으로의 도약</t>
  </si>
  <si>
    <t>95517</t>
  </si>
  <si>
    <t>낮아진 눈높이에서 다시 시작</t>
  </si>
  <si>
    <t>95516</t>
  </si>
  <si>
    <t>강력한 기초 체력</t>
  </si>
  <si>
    <t>95515</t>
  </si>
  <si>
    <t>달라진 체력, 달라진 실적</t>
  </si>
  <si>
    <t>95514</t>
  </si>
  <si>
    <t>2Q26 Review: 지속되는 성장, 확대되는 수익성</t>
  </si>
  <si>
    <t>95513</t>
  </si>
  <si>
    <t>목전에 둔 상방 변곡점</t>
  </si>
  <si>
    <t>95512</t>
  </si>
  <si>
    <t>분기 최대 실적 기록, 26년은 상저하고!</t>
  </si>
  <si>
    <t>95511</t>
  </si>
  <si>
    <t>확신의 매수 구간: 전 법인 좋고, 3분기 자신감 있고</t>
  </si>
  <si>
    <t>95510</t>
  </si>
  <si>
    <t>이익 개선, 현금 창출 경로 지속</t>
  </si>
  <si>
    <t>95509</t>
  </si>
  <si>
    <t>기대 이상의 캐주얼 사업 체력</t>
  </si>
  <si>
    <t>95508</t>
  </si>
  <si>
    <t>계절을 잊을 하반기</t>
  </si>
  <si>
    <t>95507</t>
  </si>
  <si>
    <t>호쾌한 성장과 함께 다음 스테이지 계획도 발표</t>
  </si>
  <si>
    <t>95506</t>
  </si>
  <si>
    <t>원가 상승 영향은 가격과 믹스 개선으로 상쇄</t>
  </si>
  <si>
    <t>95505</t>
  </si>
  <si>
    <t>2Q26 Review : 길게 보면, 아무 일도 아닐 것</t>
  </si>
  <si>
    <t>95504</t>
  </si>
  <si>
    <t>잠깐 쉬어가는 시기</t>
  </si>
  <si>
    <t>95503</t>
  </si>
  <si>
    <t>2Q26 Review : 우려와 다른 어조</t>
  </si>
  <si>
    <t>95502</t>
  </si>
  <si>
    <t>완전하고, 완벽한 회복</t>
  </si>
  <si>
    <t>95501</t>
  </si>
  <si>
    <t>증명해보인 공룡</t>
  </si>
  <si>
    <t>95500</t>
  </si>
  <si>
    <t>이제 펌텍의 시간</t>
  </si>
  <si>
    <t>95499</t>
  </si>
  <si>
    <t>매년 글로벌 대작 출시 예정</t>
  </si>
  <si>
    <t>95498</t>
  </si>
  <si>
    <t>예상보다 길어질 식품 수익성 부담</t>
  </si>
  <si>
    <t>95497</t>
  </si>
  <si>
    <t>1분기 정도의 판가-원가 시차는 전혀 문제가 아니다</t>
  </si>
  <si>
    <t>95496</t>
  </si>
  <si>
    <t>세율 인상 영향은 상대적으로 제한적일 듯</t>
  </si>
  <si>
    <t>95495</t>
  </si>
  <si>
    <t>완벽한 오해</t>
  </si>
  <si>
    <t>95494</t>
  </si>
  <si>
    <t>2Q26 Re: 사업 구조 재편에 베팅해 볼 만한 주가</t>
  </si>
  <si>
    <t>95493</t>
  </si>
  <si>
    <t>2Q26 Re: 바닥을 지나는 중</t>
  </si>
  <si>
    <t>95492</t>
  </si>
  <si>
    <t>하반기에도 이어질 성장 흐름</t>
  </si>
  <si>
    <t>95491</t>
  </si>
  <si>
    <t>실적 경신은 계속된다</t>
  </si>
  <si>
    <t>95490</t>
  </si>
  <si>
    <t>서프라이즈 실적, 밸류에이션 매력 확대</t>
  </si>
  <si>
    <t>95489</t>
  </si>
  <si>
    <t>어닝 서프라이즈 이어 3분기도 견조한 성장 전망</t>
  </si>
  <si>
    <t>95488</t>
  </si>
  <si>
    <t>회복의 기반을 다지는 중</t>
  </si>
  <si>
    <t>95487</t>
  </si>
  <si>
    <t>식품은 부담, BIO는 회복 국면</t>
  </si>
  <si>
    <t>95486</t>
  </si>
  <si>
    <t>2Q 매출 증가는 긍정적</t>
  </si>
  <si>
    <t>95485</t>
  </si>
  <si>
    <t>2Q 예상을 상회, 신사업 추진도 구체화!</t>
  </si>
  <si>
    <t>95484</t>
  </si>
  <si>
    <t>모든 사업부가 그냥 다 좋다</t>
  </si>
  <si>
    <t>95483</t>
  </si>
  <si>
    <t>미국서 보너스 받고, 유럽으로</t>
  </si>
  <si>
    <t>95482</t>
  </si>
  <si>
    <t>기나긴 터널의 초입</t>
  </si>
  <si>
    <t>95481</t>
  </si>
  <si>
    <t>B2C 실적 방어, 자사주 관련 기대감 유효</t>
  </si>
  <si>
    <t>95480</t>
  </si>
  <si>
    <t>가장 저평가된 전력기기 기업</t>
  </si>
  <si>
    <t>95479</t>
  </si>
  <si>
    <t>2Q26 Review: 창사 이래 첫 미국 흑자</t>
  </si>
  <si>
    <t>95478</t>
  </si>
  <si>
    <t>2Q26 Review: 과도한 하락 vs. 긍정적 하반기</t>
  </si>
  <si>
    <t>95477</t>
  </si>
  <si>
    <t>중장기 관점에서의 접근이 필요</t>
  </si>
  <si>
    <t>95476</t>
  </si>
  <si>
    <t>2Q26 Review: 나쁜건 투자 심리 뿐</t>
  </si>
  <si>
    <t>95475</t>
  </si>
  <si>
    <t>2Q26 Review: 평가이익이 견인한 어닝 서프라이즈</t>
  </si>
  <si>
    <t>95474</t>
  </si>
  <si>
    <t>본격적인 실적 성장 구간에 진입</t>
  </si>
  <si>
    <t>95473</t>
  </si>
  <si>
    <t>실적보다 수주, 나쁘지 않은 업황</t>
  </si>
  <si>
    <t>95472</t>
  </si>
  <si>
    <t>땅, 물, 전력을 다 가진 AIDC 성장주</t>
  </si>
  <si>
    <t>95471</t>
  </si>
  <si>
    <t>역시나 과도한 우려</t>
  </si>
  <si>
    <t>95470</t>
  </si>
  <si>
    <t>판매량은 나쁘지 않았으나,</t>
  </si>
  <si>
    <t>95469</t>
  </si>
  <si>
    <t>실적 가이던스? UP</t>
  </si>
  <si>
    <t>95468</t>
  </si>
  <si>
    <t>다시 투자할 시점</t>
  </si>
  <si>
    <t>95467</t>
  </si>
  <si>
    <t>외풍 속 기반 다지기 집중</t>
  </si>
  <si>
    <t>95466</t>
  </si>
  <si>
    <t>수익성 개선은 언제까지</t>
  </si>
  <si>
    <t>95465</t>
  </si>
  <si>
    <t>물동량 성장 크지만, 이익 반등 시점은 불확실</t>
  </si>
  <si>
    <t>95464</t>
  </si>
  <si>
    <t>2Q26 Review: 유럽 시장 고성장의 힘</t>
  </si>
  <si>
    <t>95463</t>
  </si>
  <si>
    <t>백화점 성장세는 여전히 압도적</t>
  </si>
  <si>
    <t>95462</t>
  </si>
  <si>
    <t>수익성 방어가 필요한 시점</t>
  </si>
  <si>
    <t>95461</t>
  </si>
  <si>
    <t>AI 팩토리로 고성장 진입</t>
  </si>
  <si>
    <t>95460</t>
  </si>
  <si>
    <t>백화점 최후의 보루</t>
  </si>
  <si>
    <t>95459</t>
  </si>
  <si>
    <t>하반기에도 보여줄 견고함과 신선함</t>
  </si>
  <si>
    <t>95458</t>
  </si>
  <si>
    <t>다가오는 바이오의 시간</t>
  </si>
  <si>
    <t>95457</t>
  </si>
  <si>
    <t>2Q26P Review: 3분기 연속 큰 폭 매출 성장 성공</t>
  </si>
  <si>
    <t>95456</t>
  </si>
  <si>
    <t>자신감 충만한 하반기, 눈높이 Up</t>
  </si>
  <si>
    <t>95455</t>
  </si>
  <si>
    <t>2Q26P Review: 14분기만에 OPM 20%대 회복</t>
  </si>
  <si>
    <t>95454</t>
  </si>
  <si>
    <t>실적은 Tier-1, 주가는 원가 우려 선반영</t>
  </si>
  <si>
    <t>95453</t>
  </si>
  <si>
    <t>IP 파워 증명, 그리고 더 보여줄 것들</t>
  </si>
  <si>
    <t>95452</t>
  </si>
  <si>
    <t>줄줄이 이어지는 기술이전, 계속 하락하는 주가, 맞나?</t>
  </si>
  <si>
    <t>95451</t>
  </si>
  <si>
    <t>드디어 가시권에 접어들다</t>
  </si>
  <si>
    <t>95450</t>
  </si>
  <si>
    <t>대주주 변경, 새로운 성장전략의 시작</t>
  </si>
  <si>
    <t>95449</t>
  </si>
  <si>
    <t>다가오는 아이온2 글로벌 출시</t>
  </si>
  <si>
    <t>95448</t>
  </si>
  <si>
    <t>2분기 실적 미스는 없었다.</t>
  </si>
  <si>
    <t>95447</t>
  </si>
  <si>
    <t>반등의 실마리를 찾는다</t>
  </si>
  <si>
    <t>95446</t>
  </si>
  <si>
    <t>2Q review- 우려를 불식시키는 호실적 달성</t>
  </si>
  <si>
    <t>95445</t>
  </si>
  <si>
    <t>Valuation 매력 부각 위해 management risk 완화 필요</t>
  </si>
  <si>
    <t>95444</t>
  </si>
  <si>
    <t>수익성은 높이고, 성장 영역은 넓히고</t>
  </si>
  <si>
    <t>95443</t>
  </si>
  <si>
    <t>견조한 체력, 성장 기반은 단단하다</t>
  </si>
  <si>
    <t>95442</t>
  </si>
  <si>
    <t>성장의 무게 중심은 해외로</t>
  </si>
  <si>
    <t>95441</t>
  </si>
  <si>
    <t>AI 인프라가 기업 가치를 바꾸다</t>
  </si>
  <si>
    <t>95440</t>
  </si>
  <si>
    <t>조용히, 더 강해지는 중</t>
  </si>
  <si>
    <t>95439</t>
  </si>
  <si>
    <t>거의 전 사업부가 실적 개선 경험</t>
  </si>
  <si>
    <t>95438</t>
  </si>
  <si>
    <t>티빙이 바꾼 손익의 무게</t>
  </si>
  <si>
    <t>95437</t>
  </si>
  <si>
    <t>매출 성장과 영업 레버리지 효과 동시 경험 중</t>
  </si>
  <si>
    <t>95436</t>
  </si>
  <si>
    <t>이미 시작된 수요 폭증을 벌써 대응하고 있는 플레이어</t>
  </si>
  <si>
    <t>95435</t>
  </si>
  <si>
    <t>고객 다변화가 만드는 구조적 성장</t>
  </si>
  <si>
    <t>95434</t>
  </si>
  <si>
    <t>NDR 후기: 이익 체력 재차 증명한 분기, 전략광물 프리미엄 지속 확대 전망</t>
  </si>
  <si>
    <t>95433</t>
  </si>
  <si>
    <t>견조한 성장 흐름</t>
  </si>
  <si>
    <t>95432</t>
  </si>
  <si>
    <t>모든 내용이 좋다</t>
  </si>
  <si>
    <t>95431</t>
  </si>
  <si>
    <t>경쟁 심화, 원가 부담은 아쉽지만 러시아는 고성장 중</t>
  </si>
  <si>
    <t>95430</t>
  </si>
  <si>
    <t>[NDR 후기] 수급 불안을 먹고 자라는 중</t>
  </si>
  <si>
    <t>95429</t>
  </si>
  <si>
    <t>선행 지표가 없는 실적</t>
  </si>
  <si>
    <t>95428</t>
  </si>
  <si>
    <t>만약 연간 감익이 아니라면</t>
  </si>
  <si>
    <t>95427</t>
  </si>
  <si>
    <t>아제투칼너가 엑스코프리에 영향을 미칠 수 있을까?</t>
  </si>
  <si>
    <t>95426</t>
  </si>
  <si>
    <t>역사적 고점을 뚫다</t>
  </si>
  <si>
    <t>95425</t>
  </si>
  <si>
    <t>AI 데이터센터가 놓은 성장 카드</t>
  </si>
  <si>
    <t>95424</t>
  </si>
  <si>
    <t>순서대로 열리는 문, 순서대로 쌓이는 이익</t>
  </si>
  <si>
    <t>95423</t>
  </si>
  <si>
    <t>LTA 본격화, 서버가 이끄는 P와 Q</t>
  </si>
  <si>
    <t>95422</t>
  </si>
  <si>
    <t>렌탈 경쟁력은 수익성 확대! 여전히 매력적인 기업~</t>
  </si>
  <si>
    <t>95421</t>
  </si>
  <si>
    <t>3Q&amp;4Q, 소캠2 매출로 이익 모멘텀이 강하다~</t>
  </si>
  <si>
    <t>95420</t>
  </si>
  <si>
    <t>이익 성장은 변화 없다! 삼성의 로봇 사업에 참여!</t>
  </si>
  <si>
    <t>95419</t>
  </si>
  <si>
    <t>지나간 실적보다 앞으로의 회복을 바라볼 때</t>
  </si>
  <si>
    <t>95418</t>
  </si>
  <si>
    <t>&lt;사랑의 하츄핑&gt; 벌써 40만 관객!</t>
  </si>
  <si>
    <t>95417</t>
  </si>
  <si>
    <t>역사적 업적의 연속</t>
  </si>
  <si>
    <t>95416</t>
  </si>
  <si>
    <t>비중확대의 적기</t>
  </si>
  <si>
    <t>95415</t>
  </si>
  <si>
    <t>2Q26 Review: 일회성 비용에도 역대 최대 실적</t>
  </si>
  <si>
    <t>95414</t>
  </si>
  <si>
    <t>노무비 증가로 실적 부진</t>
  </si>
  <si>
    <t>95413</t>
  </si>
  <si>
    <t>연간 가이던스가 머쓱했던 호실적</t>
  </si>
  <si>
    <t>95412</t>
  </si>
  <si>
    <t>미수금 다시 증가 시작</t>
  </si>
  <si>
    <t>95411</t>
  </si>
  <si>
    <t>다음 성장축이 보이기 시작한다</t>
  </si>
  <si>
    <t>95410</t>
  </si>
  <si>
    <t>호실적과 수주 확대가 동시에</t>
  </si>
  <si>
    <t>95409</t>
  </si>
  <si>
    <t>비용 부담은 아쉬웠지만 방향성은 유효</t>
  </si>
  <si>
    <t>95408</t>
  </si>
  <si>
    <t>전 지역 성장으로 증명하다</t>
  </si>
  <si>
    <t>95407</t>
  </si>
  <si>
    <t>NDR 후기: 달라진 사이클</t>
  </si>
  <si>
    <t>95406</t>
  </si>
  <si>
    <t>2026-08-19</t>
  </si>
  <si>
    <t>2026-08-18</t>
  </si>
  <si>
    <t>2026-08-17</t>
  </si>
  <si>
    <t>2026-08-20</t>
  </si>
  <si>
    <t>사업확장을 하려면 지금이 최적의 시점입니다</t>
  </si>
  <si>
    <t>95784</t>
  </si>
  <si>
    <t>Next Step을 기대하며</t>
  </si>
  <si>
    <t>95783</t>
  </si>
  <si>
    <t>NDR 후기: 멀리 가기 위한 재정비의 시간</t>
  </si>
  <si>
    <t>95782</t>
  </si>
  <si>
    <t>실적 부진 끝, 다가오는 반등의 시간</t>
  </si>
  <si>
    <t>95781</t>
  </si>
  <si>
    <t>긍정의 사고, 매출액 방어 성공, 마진은 아쉽다</t>
  </si>
  <si>
    <t>95780</t>
  </si>
  <si>
    <t>013990</t>
  </si>
  <si>
    <t>아가방컴퍼니</t>
  </si>
  <si>
    <t>영업실적 개선과 확대되는 자사주 매입</t>
  </si>
  <si>
    <t>95779</t>
  </si>
  <si>
    <t>긍정적 실적과 유리한 입지</t>
  </si>
  <si>
    <t>95778</t>
  </si>
  <si>
    <t>AI 혁명의 3D Frontier</t>
  </si>
  <si>
    <t>95777</t>
  </si>
  <si>
    <t>양호한 실적과 든든한 수주잔고</t>
  </si>
  <si>
    <t>95776</t>
  </si>
  <si>
    <t>Capa 확대, 판가 인상과 믹스 개선의 콜라보</t>
  </si>
  <si>
    <t>95774</t>
  </si>
  <si>
    <t>실적은 반등, 밸류에이션은 지배구조에 할인</t>
  </si>
  <si>
    <t>95773</t>
  </si>
  <si>
    <t>2Q26 Review: 27년 영익 10배 성장, 27F P/E 7배</t>
  </si>
  <si>
    <t>95772</t>
  </si>
  <si>
    <t>3천억원 유상증자 코멘트</t>
  </si>
  <si>
    <t>95771</t>
  </si>
  <si>
    <t>95770</t>
  </si>
  <si>
    <t>2Q 실적의 내재적 의미</t>
  </si>
  <si>
    <t>95769</t>
  </si>
  <si>
    <t>온탕과 냉탕, 다음은 온탕이다!</t>
  </si>
  <si>
    <t>95768</t>
  </si>
  <si>
    <t>내러티브가 실적으로 증명되기 시작!</t>
  </si>
  <si>
    <t>95767</t>
  </si>
  <si>
    <t>놀라운 변화!</t>
  </si>
  <si>
    <t>95766</t>
  </si>
  <si>
    <t>2분기 예상 밖 서프라이즈</t>
  </si>
  <si>
    <t>95765</t>
  </si>
  <si>
    <t>하반기 호실적, 매력적인 valuation, 높은 배당수익률 3박자</t>
  </si>
  <si>
    <t>95764</t>
  </si>
  <si>
    <t>추세적으로 하락하는 손해율과 기대되는 새로운 밸류업</t>
  </si>
  <si>
    <t>95763</t>
  </si>
  <si>
    <t>해상·지상용 안테나 모두 견조한 성장세</t>
  </si>
  <si>
    <t>95762</t>
  </si>
  <si>
    <t>빠질만큼 빠졌다</t>
  </si>
  <si>
    <t>95761</t>
  </si>
  <si>
    <t>2Q26 Review: 하반기 신차 출시 확대 수혜 기대</t>
  </si>
  <si>
    <t>95760</t>
  </si>
  <si>
    <t>성장 가시성에 수익성까지</t>
  </si>
  <si>
    <t>95759</t>
  </si>
  <si>
    <t>BESS와 데이터센터용 BBU 수요 확대발 성장</t>
  </si>
  <si>
    <t>95758</t>
  </si>
  <si>
    <t>데이터센터용 BBU가 이익 증가 주원인</t>
  </si>
  <si>
    <t>95757</t>
  </si>
  <si>
    <t>084010</t>
  </si>
  <si>
    <t>대한제강</t>
  </si>
  <si>
    <t>업황은 바닥을 확인했으나</t>
  </si>
  <si>
    <t>95756</t>
  </si>
  <si>
    <t>상반기에 씨 뿌렸으니 하반기에 수확하자</t>
  </si>
  <si>
    <t>95755</t>
  </si>
  <si>
    <t>내년이 더 기대되는 이유</t>
  </si>
  <si>
    <t>95754</t>
  </si>
  <si>
    <t>ESS 사업 진출로 체급 업그레이드</t>
  </si>
  <si>
    <t>95753</t>
  </si>
  <si>
    <t>하반기 믹스 개선 확인 필요</t>
  </si>
  <si>
    <t>95752</t>
  </si>
  <si>
    <t>성장의 뿌리는 단단해지고 있다</t>
  </si>
  <si>
    <t>95751</t>
  </si>
  <si>
    <t>자회사 이익 체력의 구조적 상승</t>
  </si>
  <si>
    <t>95750</t>
  </si>
  <si>
    <t>디레이팅 요소 해소, 다시 펴는 날개</t>
  </si>
  <si>
    <t>95749</t>
  </si>
  <si>
    <t>관세 환급 없는데도 마진 상승</t>
  </si>
  <si>
    <t>95748</t>
  </si>
  <si>
    <t>오랜 긴 꿈을 향하여</t>
  </si>
  <si>
    <t>95747</t>
  </si>
  <si>
    <t>메마른 바이오 시장의 OASIS</t>
  </si>
  <si>
    <t>95746</t>
  </si>
  <si>
    <t>케이스를 넘어 로봇을 조립하다</t>
  </si>
  <si>
    <t>95745</t>
  </si>
  <si>
    <t>2차전지 글로벌 밸류체인을 구축한 사업지주회사</t>
  </si>
  <si>
    <t>95744</t>
  </si>
  <si>
    <t>가치의 무게중심, 올리브영으로 한 걸음 더</t>
  </si>
  <si>
    <t>95743</t>
  </si>
  <si>
    <t>확산되는 이익 모멘텀</t>
  </si>
  <si>
    <t>95742</t>
  </si>
  <si>
    <t>2Q26 Review: 호실적과 자원 개발 모멘텀</t>
  </si>
  <si>
    <t>95741</t>
  </si>
  <si>
    <t>2Q26 Review: AI DC로 향하는 SK</t>
  </si>
  <si>
    <t>95740</t>
  </si>
  <si>
    <t>2Q25 Review: 고무적 성장과 아쉬운 수익성</t>
  </si>
  <si>
    <t>95739</t>
  </si>
  <si>
    <t>2Q26 Review: 변화가 나타나기 시작</t>
  </si>
  <si>
    <t>95738</t>
  </si>
  <si>
    <t>2Q26 Review: 전선이 만든 이익의 레벨업</t>
  </si>
  <si>
    <t>95737</t>
  </si>
  <si>
    <t>2Q26 Review : 업황 변곡점?</t>
  </si>
  <si>
    <t>95736</t>
  </si>
  <si>
    <t>2Q26 Review : 주목되는 휠라 반등</t>
  </si>
  <si>
    <t>95735</t>
  </si>
  <si>
    <t>성장 다음, 수익성과 자본 배분</t>
  </si>
  <si>
    <t>95734</t>
  </si>
  <si>
    <t>드러나기 시작한 체질 개선 효과</t>
  </si>
  <si>
    <t>95733</t>
  </si>
  <si>
    <t>EIT 수익성 개선과 그룹 차세대 사업 준비 가시화</t>
  </si>
  <si>
    <t>95732</t>
  </si>
  <si>
    <t>상반기 안정적 수익성, 하반기부터 모터 매출 본격 성장</t>
  </si>
  <si>
    <t>95731</t>
  </si>
  <si>
    <t>시동 거는 해외 성장</t>
  </si>
  <si>
    <t>95730</t>
  </si>
  <si>
    <t>밸류업의 정석</t>
  </si>
  <si>
    <t>95729</t>
  </si>
  <si>
    <t>K-웰니스 트렌드 유효. 장기적 시각이 필요한 때</t>
  </si>
  <si>
    <t>95728</t>
  </si>
  <si>
    <t>성장하는 상선. 다가오는 군함 수출. 저렴한 밸류</t>
  </si>
  <si>
    <t>95727</t>
  </si>
  <si>
    <t>LNG선 호황기 지속과 함께 개화하는 실적</t>
  </si>
  <si>
    <t>95726</t>
  </si>
  <si>
    <t>웰니스와 신성장 투자 구간 통과 중</t>
  </si>
  <si>
    <t>95725</t>
  </si>
  <si>
    <t>슬슬 중국 신공장 모멘텀 반영됩니다</t>
  </si>
  <si>
    <t>95724</t>
  </si>
  <si>
    <t>2Q26 Review: 보험손익 증가에 따른 연간이익 개선 기대도 긍정적</t>
  </si>
  <si>
    <t>95723</t>
  </si>
  <si>
    <t>2Q26 Review: 모두가 혼란스러울 때, 두드러지는 견고함</t>
  </si>
  <si>
    <t>95722</t>
  </si>
  <si>
    <t>AIDC, 10월 2.5조원의 수주 전망</t>
  </si>
  <si>
    <t>95721</t>
  </si>
  <si>
    <t>하이닉스가 끌고 이노베이션이 민다</t>
  </si>
  <si>
    <t>95720</t>
  </si>
  <si>
    <t>그룹 계열사 전반의 수익성 개선 필요</t>
  </si>
  <si>
    <t>95719</t>
  </si>
  <si>
    <t>2Q26 Re - 배당 재개 가능성에 주목</t>
  </si>
  <si>
    <t>95718</t>
  </si>
  <si>
    <t>반가운 내수 강관 수익성 개선</t>
  </si>
  <si>
    <t>95717</t>
  </si>
  <si>
    <t>서프라이즈는 2분기로 끝나지 않는다</t>
  </si>
  <si>
    <t>95716</t>
  </si>
  <si>
    <t>램프가 쉬는 동안, 전동화가 뛰었다</t>
  </si>
  <si>
    <t>95715</t>
  </si>
  <si>
    <t>미국 법인의 고성장에 주목할 때</t>
  </si>
  <si>
    <t>95714</t>
  </si>
  <si>
    <t>4년간 반 토막 난 TV광고의 바닥 가능성</t>
  </si>
  <si>
    <t>95713</t>
  </si>
  <si>
    <t>하반기 OCC는 80%도 넘어설 것</t>
  </si>
  <si>
    <t>95712</t>
  </si>
  <si>
    <t>2Q26 Re: 해외 견조한 성장 + 환율 효과</t>
  </si>
  <si>
    <t>95711</t>
  </si>
  <si>
    <t>독파모 2차 발표에 관심</t>
  </si>
  <si>
    <t>95710</t>
  </si>
  <si>
    <t>[NDR 후기] SOCAMM 확인, 남은 건 속도</t>
  </si>
  <si>
    <t>95709</t>
  </si>
  <si>
    <t>더 이상 할인할 이유가 없다</t>
  </si>
  <si>
    <t>95708</t>
  </si>
  <si>
    <t>해외 성장의 질이 달라졌다</t>
  </si>
  <si>
    <t>95707</t>
  </si>
  <si>
    <t>외형 성장 지속, 수익성은 재정비 국면</t>
  </si>
  <si>
    <t>95706</t>
  </si>
  <si>
    <t>실적 컨센서스 하회, 가이던스 하향 조정</t>
  </si>
  <si>
    <t>95705</t>
  </si>
  <si>
    <t>실적으로 증명한 성장성</t>
  </si>
  <si>
    <t>95704</t>
  </si>
  <si>
    <t>다시 10만원에 도전할 것이다!</t>
  </si>
  <si>
    <t>95703</t>
  </si>
  <si>
    <t>일회성 인기가 아니다!</t>
  </si>
  <si>
    <t>95702</t>
  </si>
  <si>
    <t>조금씩, 그러나 확실히 나아지고 있다</t>
  </si>
  <si>
    <t>95701</t>
  </si>
  <si>
    <t>아시아 견문록: 다각화의 힘은 더 강해질 것</t>
  </si>
  <si>
    <t>95700</t>
  </si>
  <si>
    <t>예상보다 가파르게 증가하는 수주잔고</t>
  </si>
  <si>
    <t>95699</t>
  </si>
  <si>
    <t>2Q26 Review: 로봇 부문 비즈니스 비중 확대 중</t>
  </si>
  <si>
    <t>95698</t>
  </si>
  <si>
    <t>2Q26 Review: 하반기 인도공장 가동 확대 기대</t>
  </si>
  <si>
    <t>95697</t>
  </si>
  <si>
    <t>밸류에이션 리레이팅 테스트가 시작된다</t>
  </si>
  <si>
    <t>95696</t>
  </si>
  <si>
    <t>2Q26 Review: 로봇 사업의 본격적인 시장 확대 중</t>
  </si>
  <si>
    <t>95695</t>
  </si>
  <si>
    <t>2Q26 Review: PER 2.1배, 절대적 저평가주</t>
  </si>
  <si>
    <t>95694</t>
  </si>
  <si>
    <t>2Q26 Review: 원래 효자+돌아온 효자</t>
  </si>
  <si>
    <t>95693</t>
  </si>
  <si>
    <t>2Q26 Review: 금융 AI 사업의 매출 본격화 기대</t>
  </si>
  <si>
    <t>95692</t>
  </si>
  <si>
    <t>Special One</t>
  </si>
  <si>
    <t>95691</t>
  </si>
  <si>
    <t>해외가 답했다, 실적 성장 재개</t>
  </si>
  <si>
    <t>95690</t>
  </si>
  <si>
    <t>긴 터널의 끝</t>
  </si>
  <si>
    <t>95689</t>
  </si>
  <si>
    <t>AI 투자 성과가 이끄는 주가 재평가</t>
  </si>
  <si>
    <t>95688</t>
  </si>
  <si>
    <t>숨겨진 IT 사이클 수혜주</t>
  </si>
  <si>
    <t>95687</t>
  </si>
  <si>
    <t>내 갈 길을 간다</t>
  </si>
  <si>
    <t>95686</t>
  </si>
  <si>
    <t>짜릿한 실적</t>
  </si>
  <si>
    <t>95685</t>
  </si>
  <si>
    <t>달라진 이익 체력</t>
  </si>
  <si>
    <t>95684</t>
  </si>
  <si>
    <t>하반기 실적 쏠림 심화</t>
  </si>
  <si>
    <t>95683</t>
  </si>
  <si>
    <t>생산능력을 대폭 상회한 수주 잔고</t>
  </si>
  <si>
    <t>95682</t>
  </si>
  <si>
    <t>탑픽의 이유</t>
  </si>
  <si>
    <t>95681</t>
  </si>
  <si>
    <t>안녕하세요리센스입니다잘부탁드립니다</t>
  </si>
  <si>
    <t>95680</t>
  </si>
  <si>
    <t>줄 서는 맛집, 메뉴도 많다!</t>
  </si>
  <si>
    <t>95679</t>
  </si>
  <si>
    <t>실적 개선은 반등의 초석</t>
  </si>
  <si>
    <t>95678</t>
  </si>
  <si>
    <t>변액, 성장 엔진이자 배당 제약 요인</t>
  </si>
  <si>
    <t>95677</t>
  </si>
  <si>
    <t>CapEx Pulling 수혜 증명</t>
  </si>
  <si>
    <t>95676</t>
  </si>
  <si>
    <t>BESS, 위성 수신기, 수전해 산업발 이익 증가 시작</t>
  </si>
  <si>
    <t>95675</t>
  </si>
  <si>
    <t>배당률 7%, 은행보다 낫다</t>
  </si>
  <si>
    <t>95674</t>
  </si>
  <si>
    <t>본업에 의한 어닝스 서프라이즈 첫 시현</t>
  </si>
  <si>
    <t>95673</t>
  </si>
  <si>
    <t>뚜렷한 LEO로의 사업구조 전환</t>
  </si>
  <si>
    <t>95672</t>
  </si>
  <si>
    <t>2차 VBP 수혜 및 AX 플랫폼 성장성 가시화</t>
  </si>
  <si>
    <t>95671</t>
  </si>
  <si>
    <t>실적 회복 보다는 자사주 소각 기대 유효</t>
  </si>
  <si>
    <t>95670</t>
  </si>
  <si>
    <t>탈중국화 공급망 수혜 ⇒ 희토류 금속사업 성장성 가속화</t>
  </si>
  <si>
    <t>95669</t>
  </si>
  <si>
    <t>리투오 성장 및 필러 회복으로 사상 최대 실적 가시화</t>
  </si>
  <si>
    <t>95668</t>
  </si>
  <si>
    <t>공급자 우위 업황은 수주잔고로 갈음합니다</t>
  </si>
  <si>
    <t>95667</t>
  </si>
  <si>
    <t>미운 오리새끼는 백조가 될 수 있는가</t>
  </si>
  <si>
    <t>95666</t>
  </si>
  <si>
    <t>호실적이나 구조적 성장이라고 보기는 어려움</t>
  </si>
  <si>
    <t>95665</t>
  </si>
  <si>
    <t>辛 브랜드의 확장</t>
  </si>
  <si>
    <t>95664</t>
  </si>
  <si>
    <t>예상대로 순항 중</t>
  </si>
  <si>
    <t>95663</t>
  </si>
  <si>
    <t>멀티 IP 기반 레벨업</t>
  </si>
  <si>
    <t>95662</t>
  </si>
  <si>
    <t>레드오션 내 기회 요인</t>
  </si>
  <si>
    <t>95661</t>
  </si>
  <si>
    <t>SFA</t>
  </si>
  <si>
    <t>완전 무인화를 선도하는 AI 자율제조 로보틱스 기업</t>
  </si>
  <si>
    <t>95660</t>
  </si>
  <si>
    <t>어닝 서프라이즈, 하반기도 순항</t>
  </si>
  <si>
    <t>95659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</si>
</sst>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1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9"/>
      <color rgb="FF44444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i/>
      <sz val="9"/>
      <color rgb="FF666666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FCCCC"/>
      </patternFill>
    </fill>
    <fill>
      <patternFill patternType="solid">
        <fgColor rgb="FFFFE4B5"/>
      </patternFill>
    </fill>
    <fill>
      <patternFill patternType="solid">
        <fgColor rgb="FFCCFFCC"/>
      </patternFill>
    </fill>
    <fill>
      <patternFill patternType="solid">
        <fgColor rgb="FF7B2C2C"/>
      </patternFill>
    </fill>
    <fill>
      <patternFill patternType="solid">
        <fgColor rgb="FF1F4E79"/>
        <bgColor rgb="FF1F4E79"/>
      </patternFill>
    </fill>
    <fill>
      <patternFill patternType="solid">
        <fgColor rgb="FF7B3F00"/>
        <bgColor rgb="FF7B3F00"/>
      </patternFill>
    </fill>
    <fill>
      <patternFill patternType="solid">
        <fgColor rgb="FF1F4E79"/>
        <bgColor rgb="FF1F4E79"/>
      </patternFill>
    </fill>
    <fill>
      <patternFill patternType="solid">
        <fgColor rgb="FFFFE4B5"/>
      </patternFill>
    </fill>
    <fill>
      <patternFill patternType="solid">
        <fgColor rgb="FFFFCCCC"/>
      </patternFill>
    </fill>
    <fill>
      <patternFill patternType="solid">
        <fgColor rgb="FFFFE4B5"/>
      </patternFill>
    </fill>
    <fill>
      <patternFill patternType="solid">
        <fgColor rgb="FFFFCCCC"/>
      </patternFill>
    </fill>
    <fill>
      <patternFill patternType="solid">
        <fgColor rgb="FF1F4E79"/>
        <bgColor rgb="FF1F4E79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13" fillId="0" borderId="0">
      <alignment vertical="center"/>
    </xf>
  </cellStyleXfs>
  <cellXfs count="4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5" borderId="0" xfId="0" applyNumberFormat="1" applyFont="1" applyFill="1" applyAlignment="1">
      <alignment horizontal="center" vertical="center" wrapText="1"/>
    </xf>
    <xf numFmtId="2" fontId="2" fillId="6" borderId="0" xfId="0" applyNumberFormat="1" applyFont="1" applyFill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left"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wrapText="1"/>
    </xf>
    <xf numFmtId="2" fontId="9" fillId="12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2" fontId="9" fillId="13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left" vertical="center"/>
    </xf>
    <xf numFmtId="176" fontId="10" fillId="0" borderId="0" xfId="0" applyNumberFormat="1" applyFont="1" applyAlignment="1">
      <alignment horizontal="center" vertical="center" wrapText="1"/>
    </xf>
    <xf numFmtId="2" fontId="10" fillId="14" borderId="0" xfId="0" applyNumberFormat="1" applyFont="1" applyFill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2" fontId="10" fillId="15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2" fontId="2" fillId="14" borderId="0" xfId="0" applyNumberFormat="1" applyFont="1" applyFill="1" applyAlignment="1">
      <alignment horizontal="center" vertical="center" wrapText="1"/>
    </xf>
    <xf numFmtId="2" fontId="2" fillId="15" borderId="0" xfId="0" applyNumberFormat="1" applyFont="1" applyFill="1" applyAlignment="1">
      <alignment horizontal="center" vertical="center" wrapText="1"/>
    </xf>
    <xf numFmtId="0" fontId="11" fillId="1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0" fillId="0" borderId="0" xfId="0" applyNumberFormat="1"/>
    <xf numFmtId="177" fontId="0" fillId="0" borderId="0" xfId="1" applyNumberFormat="1" applyFont="1" applyAlignment="1"/>
    <xf numFmtId="0" fontId="14" fillId="17" borderId="1" xfId="0" applyFont="1" applyFill="1" applyBorder="1" applyAlignment="1">
      <alignment horizontal="center" vertical="center"/>
    </xf>
    <xf numFmtId="0" fontId="15" fillId="0" borderId="0" xfId="0" applyFont="1"/>
    <xf numFmtId="0" fontId="0" fillId="0" borderId="0" xfId="0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음식료</a:t>
            </a:r>
            <a:r>
              <a:rPr lang="en-US" altLang="ko-KR"/>
              <a:t>·</a:t>
            </a:r>
            <a:r>
              <a:rPr lang="ko-KR" altLang="en-US"/>
              <a:t>담배  </a:t>
            </a:r>
            <a:r>
              <a:rPr lang="en-US"/>
              <a:t>vs  </a:t>
            </a:r>
            <a:r>
              <a:rPr lang="ko-KR" altLang="en-US"/>
              <a:t>필수소비재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RSI'!$B$7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RSI'!$B$78:$B$3077</c:f>
              <c:numCache>
                <c:formatCode>0.00</c:formatCode>
                <c:ptCount val="3000"/>
                <c:pt idx="1">
                  <c:v>69.069999999999993</c:v>
                </c:pt>
                <c:pt idx="2">
                  <c:v>69.05</c:v>
                </c:pt>
                <c:pt idx="3">
                  <c:v>65.27</c:v>
                </c:pt>
                <c:pt idx="4">
                  <c:v>67.16</c:v>
                </c:pt>
                <c:pt idx="5">
                  <c:v>67.02</c:v>
                </c:pt>
                <c:pt idx="6">
                  <c:v>65.31</c:v>
                </c:pt>
                <c:pt idx="7">
                  <c:v>64.47</c:v>
                </c:pt>
                <c:pt idx="8">
                  <c:v>66.14</c:v>
                </c:pt>
                <c:pt idx="9">
                  <c:v>65.95</c:v>
                </c:pt>
                <c:pt idx="10">
                  <c:v>66.790000000000006</c:v>
                </c:pt>
                <c:pt idx="11">
                  <c:v>66.59</c:v>
                </c:pt>
                <c:pt idx="12">
                  <c:v>63.12</c:v>
                </c:pt>
                <c:pt idx="13">
                  <c:v>59.81</c:v>
                </c:pt>
                <c:pt idx="14">
                  <c:v>59.72</c:v>
                </c:pt>
                <c:pt idx="15">
                  <c:v>57.99</c:v>
                </c:pt>
                <c:pt idx="16">
                  <c:v>53.93</c:v>
                </c:pt>
                <c:pt idx="17">
                  <c:v>50.02</c:v>
                </c:pt>
                <c:pt idx="18">
                  <c:v>47.5</c:v>
                </c:pt>
                <c:pt idx="19">
                  <c:v>50.43</c:v>
                </c:pt>
                <c:pt idx="20">
                  <c:v>50.36</c:v>
                </c:pt>
                <c:pt idx="21">
                  <c:v>49.83</c:v>
                </c:pt>
                <c:pt idx="22">
                  <c:v>56.28</c:v>
                </c:pt>
                <c:pt idx="23">
                  <c:v>49.67</c:v>
                </c:pt>
                <c:pt idx="24">
                  <c:v>47.75</c:v>
                </c:pt>
                <c:pt idx="25">
                  <c:v>51.08</c:v>
                </c:pt>
                <c:pt idx="26">
                  <c:v>49.43</c:v>
                </c:pt>
                <c:pt idx="27">
                  <c:v>51.93</c:v>
                </c:pt>
                <c:pt idx="28">
                  <c:v>51.78</c:v>
                </c:pt>
                <c:pt idx="29">
                  <c:v>44.25</c:v>
                </c:pt>
                <c:pt idx="30">
                  <c:v>51.06</c:v>
                </c:pt>
                <c:pt idx="31">
                  <c:v>45.33</c:v>
                </c:pt>
                <c:pt idx="32">
                  <c:v>48.37</c:v>
                </c:pt>
                <c:pt idx="33">
                  <c:v>44.58</c:v>
                </c:pt>
                <c:pt idx="34">
                  <c:v>39.1</c:v>
                </c:pt>
                <c:pt idx="35">
                  <c:v>41.33</c:v>
                </c:pt>
                <c:pt idx="36">
                  <c:v>42.91</c:v>
                </c:pt>
                <c:pt idx="37">
                  <c:v>43.73</c:v>
                </c:pt>
                <c:pt idx="38">
                  <c:v>38.590000000000003</c:v>
                </c:pt>
                <c:pt idx="39">
                  <c:v>36.11</c:v>
                </c:pt>
                <c:pt idx="40">
                  <c:v>38.700000000000003</c:v>
                </c:pt>
                <c:pt idx="41">
                  <c:v>39.619999999999997</c:v>
                </c:pt>
                <c:pt idx="42">
                  <c:v>32.840000000000003</c:v>
                </c:pt>
                <c:pt idx="43">
                  <c:v>47.24</c:v>
                </c:pt>
                <c:pt idx="45">
                  <c:v>53.12</c:v>
                </c:pt>
                <c:pt idx="46">
                  <c:v>59.93</c:v>
                </c:pt>
                <c:pt idx="47">
                  <c:v>77.28</c:v>
                </c:pt>
                <c:pt idx="48">
                  <c:v>74.23</c:v>
                </c:pt>
                <c:pt idx="49">
                  <c:v>80.95</c:v>
                </c:pt>
                <c:pt idx="50">
                  <c:v>78.400000000000006</c:v>
                </c:pt>
                <c:pt idx="51">
                  <c:v>77.319999999999993</c:v>
                </c:pt>
                <c:pt idx="54">
                  <c:v>78.17</c:v>
                </c:pt>
                <c:pt idx="55">
                  <c:v>79.67</c:v>
                </c:pt>
                <c:pt idx="56">
                  <c:v>75.95</c:v>
                </c:pt>
                <c:pt idx="57">
                  <c:v>75.44</c:v>
                </c:pt>
                <c:pt idx="58">
                  <c:v>70.42</c:v>
                </c:pt>
                <c:pt idx="59">
                  <c:v>63.72</c:v>
                </c:pt>
                <c:pt idx="60">
                  <c:v>65.05</c:v>
                </c:pt>
                <c:pt idx="61">
                  <c:v>65.97</c:v>
                </c:pt>
                <c:pt idx="62">
                  <c:v>59.47</c:v>
                </c:pt>
                <c:pt idx="63">
                  <c:v>53.73</c:v>
                </c:pt>
                <c:pt idx="64">
                  <c:v>61.23</c:v>
                </c:pt>
                <c:pt idx="65">
                  <c:v>55.52</c:v>
                </c:pt>
                <c:pt idx="66">
                  <c:v>50.82</c:v>
                </c:pt>
                <c:pt idx="67">
                  <c:v>50.68</c:v>
                </c:pt>
                <c:pt idx="68">
                  <c:v>48.04</c:v>
                </c:pt>
                <c:pt idx="69">
                  <c:v>56.5</c:v>
                </c:pt>
                <c:pt idx="70">
                  <c:v>53.94</c:v>
                </c:pt>
                <c:pt idx="71">
                  <c:v>49.79</c:v>
                </c:pt>
                <c:pt idx="72">
                  <c:v>55.96</c:v>
                </c:pt>
                <c:pt idx="73">
                  <c:v>47.69</c:v>
                </c:pt>
                <c:pt idx="74">
                  <c:v>43.27</c:v>
                </c:pt>
                <c:pt idx="75">
                  <c:v>45</c:v>
                </c:pt>
                <c:pt idx="76">
                  <c:v>47.55</c:v>
                </c:pt>
                <c:pt idx="77">
                  <c:v>39.61</c:v>
                </c:pt>
                <c:pt idx="78">
                  <c:v>40.28</c:v>
                </c:pt>
                <c:pt idx="79">
                  <c:v>36.06</c:v>
                </c:pt>
                <c:pt idx="80">
                  <c:v>31.86</c:v>
                </c:pt>
                <c:pt idx="81">
                  <c:v>32.44</c:v>
                </c:pt>
                <c:pt idx="82">
                  <c:v>40.590000000000003</c:v>
                </c:pt>
                <c:pt idx="83">
                  <c:v>41.48</c:v>
                </c:pt>
                <c:pt idx="84">
                  <c:v>39.76</c:v>
                </c:pt>
                <c:pt idx="86">
                  <c:v>41.07</c:v>
                </c:pt>
                <c:pt idx="87">
                  <c:v>45.69</c:v>
                </c:pt>
                <c:pt idx="88">
                  <c:v>47.45</c:v>
                </c:pt>
                <c:pt idx="89">
                  <c:v>53.02</c:v>
                </c:pt>
                <c:pt idx="90">
                  <c:v>51.39</c:v>
                </c:pt>
                <c:pt idx="91">
                  <c:v>52.54</c:v>
                </c:pt>
                <c:pt idx="92">
                  <c:v>51.54</c:v>
                </c:pt>
                <c:pt idx="93">
                  <c:v>48.89</c:v>
                </c:pt>
                <c:pt idx="94">
                  <c:v>49.9</c:v>
                </c:pt>
                <c:pt idx="95">
                  <c:v>53.63</c:v>
                </c:pt>
                <c:pt idx="96">
                  <c:v>45.15</c:v>
                </c:pt>
                <c:pt idx="97">
                  <c:v>46.74</c:v>
                </c:pt>
                <c:pt idx="98">
                  <c:v>44.86</c:v>
                </c:pt>
                <c:pt idx="99">
                  <c:v>44.34</c:v>
                </c:pt>
                <c:pt idx="100">
                  <c:v>44.51</c:v>
                </c:pt>
                <c:pt idx="101">
                  <c:v>44.95</c:v>
                </c:pt>
                <c:pt idx="102">
                  <c:v>47.84</c:v>
                </c:pt>
                <c:pt idx="103">
                  <c:v>48.77</c:v>
                </c:pt>
                <c:pt idx="104">
                  <c:v>52.01</c:v>
                </c:pt>
                <c:pt idx="105">
                  <c:v>49.98</c:v>
                </c:pt>
                <c:pt idx="106">
                  <c:v>49.94</c:v>
                </c:pt>
                <c:pt idx="107">
                  <c:v>57.57</c:v>
                </c:pt>
                <c:pt idx="108">
                  <c:v>56.31</c:v>
                </c:pt>
                <c:pt idx="109">
                  <c:v>53.17</c:v>
                </c:pt>
                <c:pt idx="110">
                  <c:v>44.31</c:v>
                </c:pt>
                <c:pt idx="111">
                  <c:v>54.66</c:v>
                </c:pt>
                <c:pt idx="112">
                  <c:v>58.78</c:v>
                </c:pt>
                <c:pt idx="113">
                  <c:v>57.45</c:v>
                </c:pt>
                <c:pt idx="114">
                  <c:v>58.38</c:v>
                </c:pt>
                <c:pt idx="115">
                  <c:v>53.99</c:v>
                </c:pt>
                <c:pt idx="116">
                  <c:v>58</c:v>
                </c:pt>
                <c:pt idx="117">
                  <c:v>53.13</c:v>
                </c:pt>
                <c:pt idx="118">
                  <c:v>56.54</c:v>
                </c:pt>
                <c:pt idx="119">
                  <c:v>51.46</c:v>
                </c:pt>
                <c:pt idx="120">
                  <c:v>43.54</c:v>
                </c:pt>
                <c:pt idx="121">
                  <c:v>49.61</c:v>
                </c:pt>
                <c:pt idx="122">
                  <c:v>41.31</c:v>
                </c:pt>
                <c:pt idx="123">
                  <c:v>45.42</c:v>
                </c:pt>
                <c:pt idx="124">
                  <c:v>42.86</c:v>
                </c:pt>
                <c:pt idx="125">
                  <c:v>48.34</c:v>
                </c:pt>
                <c:pt idx="126">
                  <c:v>37.340000000000003</c:v>
                </c:pt>
                <c:pt idx="127">
                  <c:v>38.74</c:v>
                </c:pt>
                <c:pt idx="128">
                  <c:v>37.28</c:v>
                </c:pt>
                <c:pt idx="129">
                  <c:v>30.49</c:v>
                </c:pt>
                <c:pt idx="130">
                  <c:v>33.799999999999997</c:v>
                </c:pt>
                <c:pt idx="131">
                  <c:v>32.92</c:v>
                </c:pt>
                <c:pt idx="132">
                  <c:v>34.06</c:v>
                </c:pt>
                <c:pt idx="133">
                  <c:v>35.82</c:v>
                </c:pt>
                <c:pt idx="134">
                  <c:v>36.94</c:v>
                </c:pt>
                <c:pt idx="135">
                  <c:v>37.11</c:v>
                </c:pt>
                <c:pt idx="136">
                  <c:v>42.2</c:v>
                </c:pt>
                <c:pt idx="137">
                  <c:v>35.82</c:v>
                </c:pt>
                <c:pt idx="138">
                  <c:v>38.450000000000003</c:v>
                </c:pt>
                <c:pt idx="139">
                  <c:v>39.94</c:v>
                </c:pt>
                <c:pt idx="140">
                  <c:v>39.29</c:v>
                </c:pt>
                <c:pt idx="141">
                  <c:v>37.53</c:v>
                </c:pt>
                <c:pt idx="142">
                  <c:v>41.74</c:v>
                </c:pt>
                <c:pt idx="148">
                  <c:v>44.28</c:v>
                </c:pt>
                <c:pt idx="149">
                  <c:v>48.7</c:v>
                </c:pt>
                <c:pt idx="150">
                  <c:v>43.58</c:v>
                </c:pt>
                <c:pt idx="151">
                  <c:v>45.53</c:v>
                </c:pt>
                <c:pt idx="152">
                  <c:v>43.16</c:v>
                </c:pt>
                <c:pt idx="153">
                  <c:v>40.72</c:v>
                </c:pt>
                <c:pt idx="154">
                  <c:v>49.05</c:v>
                </c:pt>
                <c:pt idx="155">
                  <c:v>55.51</c:v>
                </c:pt>
                <c:pt idx="156">
                  <c:v>59.79</c:v>
                </c:pt>
                <c:pt idx="157">
                  <c:v>59.76</c:v>
                </c:pt>
                <c:pt idx="158">
                  <c:v>63.08</c:v>
                </c:pt>
                <c:pt idx="159">
                  <c:v>59.78</c:v>
                </c:pt>
                <c:pt idx="160">
                  <c:v>59.46</c:v>
                </c:pt>
                <c:pt idx="161">
                  <c:v>66.56</c:v>
                </c:pt>
                <c:pt idx="162">
                  <c:v>64.95</c:v>
                </c:pt>
                <c:pt idx="163">
                  <c:v>61.63</c:v>
                </c:pt>
                <c:pt idx="164">
                  <c:v>48.86</c:v>
                </c:pt>
                <c:pt idx="165">
                  <c:v>47.89</c:v>
                </c:pt>
                <c:pt idx="166">
                  <c:v>51.28</c:v>
                </c:pt>
                <c:pt idx="167">
                  <c:v>53.98</c:v>
                </c:pt>
                <c:pt idx="168">
                  <c:v>55.81</c:v>
                </c:pt>
                <c:pt idx="169">
                  <c:v>54.37</c:v>
                </c:pt>
                <c:pt idx="170">
                  <c:v>54.66</c:v>
                </c:pt>
                <c:pt idx="171">
                  <c:v>57.57</c:v>
                </c:pt>
                <c:pt idx="172">
                  <c:v>54.2</c:v>
                </c:pt>
                <c:pt idx="173">
                  <c:v>58.72</c:v>
                </c:pt>
                <c:pt idx="174">
                  <c:v>53.55</c:v>
                </c:pt>
                <c:pt idx="175">
                  <c:v>52.86</c:v>
                </c:pt>
                <c:pt idx="176">
                  <c:v>48.95</c:v>
                </c:pt>
                <c:pt idx="177">
                  <c:v>47.3</c:v>
                </c:pt>
                <c:pt idx="178">
                  <c:v>44.76</c:v>
                </c:pt>
                <c:pt idx="179">
                  <c:v>42.42</c:v>
                </c:pt>
                <c:pt idx="180">
                  <c:v>40.22</c:v>
                </c:pt>
                <c:pt idx="181">
                  <c:v>40.86</c:v>
                </c:pt>
                <c:pt idx="183">
                  <c:v>43.19</c:v>
                </c:pt>
                <c:pt idx="184">
                  <c:v>46.79</c:v>
                </c:pt>
                <c:pt idx="185">
                  <c:v>54.52</c:v>
                </c:pt>
                <c:pt idx="186">
                  <c:v>58.53</c:v>
                </c:pt>
                <c:pt idx="187">
                  <c:v>65.069999999999993</c:v>
                </c:pt>
                <c:pt idx="188">
                  <c:v>57.87</c:v>
                </c:pt>
                <c:pt idx="189">
                  <c:v>58.95</c:v>
                </c:pt>
                <c:pt idx="190">
                  <c:v>53.69</c:v>
                </c:pt>
                <c:pt idx="191">
                  <c:v>52.03</c:v>
                </c:pt>
                <c:pt idx="192">
                  <c:v>46.7</c:v>
                </c:pt>
                <c:pt idx="193">
                  <c:v>51.45</c:v>
                </c:pt>
                <c:pt idx="194">
                  <c:v>46.76</c:v>
                </c:pt>
                <c:pt idx="195">
                  <c:v>46.23</c:v>
                </c:pt>
                <c:pt idx="196">
                  <c:v>43.96</c:v>
                </c:pt>
                <c:pt idx="197">
                  <c:v>46.48</c:v>
                </c:pt>
                <c:pt idx="198">
                  <c:v>44.97</c:v>
                </c:pt>
                <c:pt idx="199">
                  <c:v>51.75</c:v>
                </c:pt>
                <c:pt idx="200">
                  <c:v>54.23</c:v>
                </c:pt>
                <c:pt idx="201">
                  <c:v>57.74</c:v>
                </c:pt>
                <c:pt idx="202">
                  <c:v>62.26</c:v>
                </c:pt>
                <c:pt idx="203">
                  <c:v>69.7</c:v>
                </c:pt>
                <c:pt idx="204">
                  <c:v>68.459999999999994</c:v>
                </c:pt>
                <c:pt idx="205">
                  <c:v>76.3</c:v>
                </c:pt>
                <c:pt idx="206">
                  <c:v>76.569999999999993</c:v>
                </c:pt>
                <c:pt idx="207">
                  <c:v>74.02</c:v>
                </c:pt>
                <c:pt idx="208">
                  <c:v>75.77</c:v>
                </c:pt>
                <c:pt idx="209">
                  <c:v>75.66</c:v>
                </c:pt>
                <c:pt idx="210">
                  <c:v>72.33</c:v>
                </c:pt>
                <c:pt idx="211">
                  <c:v>70.489999999999995</c:v>
                </c:pt>
                <c:pt idx="212">
                  <c:v>62.12</c:v>
                </c:pt>
                <c:pt idx="213">
                  <c:v>71.7</c:v>
                </c:pt>
                <c:pt idx="214">
                  <c:v>78.17</c:v>
                </c:pt>
                <c:pt idx="215">
                  <c:v>73.290000000000006</c:v>
                </c:pt>
                <c:pt idx="216">
                  <c:v>71.3</c:v>
                </c:pt>
                <c:pt idx="217">
                  <c:v>61.7</c:v>
                </c:pt>
                <c:pt idx="218">
                  <c:v>67.09</c:v>
                </c:pt>
                <c:pt idx="219">
                  <c:v>68.47</c:v>
                </c:pt>
                <c:pt idx="220">
                  <c:v>67.53</c:v>
                </c:pt>
                <c:pt idx="221">
                  <c:v>64.22</c:v>
                </c:pt>
                <c:pt idx="222">
                  <c:v>70.400000000000006</c:v>
                </c:pt>
                <c:pt idx="223">
                  <c:v>67.83</c:v>
                </c:pt>
                <c:pt idx="224">
                  <c:v>67.64</c:v>
                </c:pt>
                <c:pt idx="225">
                  <c:v>68.95</c:v>
                </c:pt>
                <c:pt idx="226">
                  <c:v>68.33</c:v>
                </c:pt>
                <c:pt idx="227">
                  <c:v>63.16</c:v>
                </c:pt>
                <c:pt idx="228">
                  <c:v>67.83</c:v>
                </c:pt>
                <c:pt idx="229">
                  <c:v>67.989999999999995</c:v>
                </c:pt>
                <c:pt idx="230">
                  <c:v>66.239999999999995</c:v>
                </c:pt>
                <c:pt idx="231">
                  <c:v>67.180000000000007</c:v>
                </c:pt>
                <c:pt idx="233">
                  <c:v>64.58</c:v>
                </c:pt>
                <c:pt idx="234">
                  <c:v>65.53</c:v>
                </c:pt>
                <c:pt idx="236">
                  <c:v>55.57</c:v>
                </c:pt>
                <c:pt idx="237">
                  <c:v>60.16</c:v>
                </c:pt>
                <c:pt idx="238">
                  <c:v>60.95</c:v>
                </c:pt>
                <c:pt idx="239">
                  <c:v>59.76</c:v>
                </c:pt>
                <c:pt idx="240">
                  <c:v>61.81</c:v>
                </c:pt>
                <c:pt idx="241">
                  <c:v>62.79</c:v>
                </c:pt>
                <c:pt idx="242">
                  <c:v>59</c:v>
                </c:pt>
                <c:pt idx="243">
                  <c:v>58.11</c:v>
                </c:pt>
                <c:pt idx="244">
                  <c:v>59.16</c:v>
                </c:pt>
                <c:pt idx="245">
                  <c:v>60.17</c:v>
                </c:pt>
                <c:pt idx="246">
                  <c:v>63.2</c:v>
                </c:pt>
                <c:pt idx="247">
                  <c:v>69.55</c:v>
                </c:pt>
                <c:pt idx="248">
                  <c:v>58.73</c:v>
                </c:pt>
                <c:pt idx="249">
                  <c:v>61.99</c:v>
                </c:pt>
                <c:pt idx="250">
                  <c:v>58.17</c:v>
                </c:pt>
                <c:pt idx="251">
                  <c:v>60.57</c:v>
                </c:pt>
                <c:pt idx="252">
                  <c:v>71.400000000000006</c:v>
                </c:pt>
                <c:pt idx="253">
                  <c:v>68.040000000000006</c:v>
                </c:pt>
                <c:pt idx="254">
                  <c:v>64.47</c:v>
                </c:pt>
                <c:pt idx="257">
                  <c:v>70.260000000000005</c:v>
                </c:pt>
                <c:pt idx="259">
                  <c:v>67.69</c:v>
                </c:pt>
                <c:pt idx="260">
                  <c:v>68.08</c:v>
                </c:pt>
                <c:pt idx="261">
                  <c:v>64</c:v>
                </c:pt>
                <c:pt idx="262">
                  <c:v>64.27</c:v>
                </c:pt>
                <c:pt idx="263">
                  <c:v>63.93</c:v>
                </c:pt>
                <c:pt idx="264">
                  <c:v>63.38</c:v>
                </c:pt>
                <c:pt idx="265">
                  <c:v>69.03</c:v>
                </c:pt>
                <c:pt idx="266">
                  <c:v>66.33</c:v>
                </c:pt>
                <c:pt idx="267">
                  <c:v>65.760000000000005</c:v>
                </c:pt>
                <c:pt idx="268">
                  <c:v>65.27</c:v>
                </c:pt>
                <c:pt idx="269">
                  <c:v>64.72</c:v>
                </c:pt>
                <c:pt idx="270">
                  <c:v>59.88</c:v>
                </c:pt>
                <c:pt idx="271">
                  <c:v>56.34</c:v>
                </c:pt>
                <c:pt idx="272">
                  <c:v>53.63</c:v>
                </c:pt>
                <c:pt idx="273">
                  <c:v>52.81</c:v>
                </c:pt>
                <c:pt idx="274">
                  <c:v>36.56</c:v>
                </c:pt>
                <c:pt idx="275">
                  <c:v>44.15</c:v>
                </c:pt>
                <c:pt idx="276">
                  <c:v>37.229999999999997</c:v>
                </c:pt>
                <c:pt idx="277">
                  <c:v>47.87</c:v>
                </c:pt>
                <c:pt idx="278">
                  <c:v>50.06</c:v>
                </c:pt>
                <c:pt idx="279">
                  <c:v>53.78</c:v>
                </c:pt>
                <c:pt idx="280">
                  <c:v>52.34</c:v>
                </c:pt>
                <c:pt idx="281">
                  <c:v>50.16</c:v>
                </c:pt>
                <c:pt idx="282">
                  <c:v>55.12</c:v>
                </c:pt>
                <c:pt idx="283">
                  <c:v>54.44</c:v>
                </c:pt>
                <c:pt idx="284">
                  <c:v>54.28</c:v>
                </c:pt>
                <c:pt idx="285">
                  <c:v>59.63</c:v>
                </c:pt>
                <c:pt idx="286">
                  <c:v>64.52</c:v>
                </c:pt>
                <c:pt idx="287">
                  <c:v>69.84</c:v>
                </c:pt>
                <c:pt idx="288">
                  <c:v>69.03</c:v>
                </c:pt>
                <c:pt idx="289">
                  <c:v>64.02</c:v>
                </c:pt>
                <c:pt idx="290">
                  <c:v>58.63</c:v>
                </c:pt>
                <c:pt idx="291">
                  <c:v>57.26</c:v>
                </c:pt>
                <c:pt idx="292">
                  <c:v>52.34</c:v>
                </c:pt>
                <c:pt idx="293">
                  <c:v>49.81</c:v>
                </c:pt>
                <c:pt idx="294">
                  <c:v>50.76</c:v>
                </c:pt>
                <c:pt idx="295">
                  <c:v>51.02</c:v>
                </c:pt>
                <c:pt idx="296">
                  <c:v>55.48</c:v>
                </c:pt>
                <c:pt idx="297">
                  <c:v>57.37</c:v>
                </c:pt>
                <c:pt idx="298">
                  <c:v>59.43</c:v>
                </c:pt>
                <c:pt idx="299">
                  <c:v>47.29</c:v>
                </c:pt>
                <c:pt idx="300">
                  <c:v>45.35</c:v>
                </c:pt>
                <c:pt idx="302">
                  <c:v>42.32</c:v>
                </c:pt>
                <c:pt idx="303">
                  <c:v>52.02</c:v>
                </c:pt>
                <c:pt idx="304">
                  <c:v>57.77</c:v>
                </c:pt>
                <c:pt idx="305">
                  <c:v>57.2</c:v>
                </c:pt>
                <c:pt idx="306">
                  <c:v>61.43</c:v>
                </c:pt>
                <c:pt idx="307">
                  <c:v>61.04</c:v>
                </c:pt>
                <c:pt idx="308">
                  <c:v>61.54</c:v>
                </c:pt>
                <c:pt idx="309">
                  <c:v>60.33</c:v>
                </c:pt>
                <c:pt idx="310">
                  <c:v>57.09</c:v>
                </c:pt>
                <c:pt idx="311">
                  <c:v>63.14</c:v>
                </c:pt>
                <c:pt idx="312">
                  <c:v>61.21</c:v>
                </c:pt>
                <c:pt idx="313">
                  <c:v>52.12</c:v>
                </c:pt>
                <c:pt idx="314">
                  <c:v>58.29</c:v>
                </c:pt>
                <c:pt idx="315">
                  <c:v>58.14</c:v>
                </c:pt>
                <c:pt idx="316">
                  <c:v>57.52</c:v>
                </c:pt>
                <c:pt idx="317">
                  <c:v>57.3</c:v>
                </c:pt>
                <c:pt idx="318">
                  <c:v>64.8</c:v>
                </c:pt>
                <c:pt idx="319">
                  <c:v>51.01</c:v>
                </c:pt>
                <c:pt idx="320">
                  <c:v>46.6</c:v>
                </c:pt>
                <c:pt idx="321">
                  <c:v>48.25</c:v>
                </c:pt>
                <c:pt idx="322">
                  <c:v>45.09</c:v>
                </c:pt>
                <c:pt idx="327">
                  <c:v>34.270000000000003</c:v>
                </c:pt>
                <c:pt idx="328">
                  <c:v>30.95</c:v>
                </c:pt>
                <c:pt idx="329">
                  <c:v>34.130000000000003</c:v>
                </c:pt>
                <c:pt idx="330">
                  <c:v>36.54</c:v>
                </c:pt>
                <c:pt idx="331">
                  <c:v>35.32</c:v>
                </c:pt>
                <c:pt idx="332">
                  <c:v>38.35</c:v>
                </c:pt>
                <c:pt idx="333">
                  <c:v>39.229999999999997</c:v>
                </c:pt>
                <c:pt idx="334">
                  <c:v>39.89</c:v>
                </c:pt>
                <c:pt idx="335">
                  <c:v>43.23</c:v>
                </c:pt>
                <c:pt idx="336">
                  <c:v>45.98</c:v>
                </c:pt>
                <c:pt idx="337">
                  <c:v>47</c:v>
                </c:pt>
                <c:pt idx="338">
                  <c:v>45.06</c:v>
                </c:pt>
                <c:pt idx="339">
                  <c:v>39.93</c:v>
                </c:pt>
                <c:pt idx="340">
                  <c:v>41.61</c:v>
                </c:pt>
                <c:pt idx="341">
                  <c:v>40.700000000000003</c:v>
                </c:pt>
                <c:pt idx="342">
                  <c:v>42.63</c:v>
                </c:pt>
                <c:pt idx="343">
                  <c:v>42.72</c:v>
                </c:pt>
                <c:pt idx="345">
                  <c:v>45.43</c:v>
                </c:pt>
                <c:pt idx="346">
                  <c:v>46.93</c:v>
                </c:pt>
                <c:pt idx="347">
                  <c:v>52.85</c:v>
                </c:pt>
                <c:pt idx="348">
                  <c:v>56.49</c:v>
                </c:pt>
                <c:pt idx="349">
                  <c:v>55.29</c:v>
                </c:pt>
                <c:pt idx="350">
                  <c:v>49.59</c:v>
                </c:pt>
                <c:pt idx="351">
                  <c:v>57.53</c:v>
                </c:pt>
                <c:pt idx="352">
                  <c:v>53.33</c:v>
                </c:pt>
                <c:pt idx="353">
                  <c:v>52.73</c:v>
                </c:pt>
                <c:pt idx="354">
                  <c:v>57.11</c:v>
                </c:pt>
                <c:pt idx="355">
                  <c:v>57.31</c:v>
                </c:pt>
                <c:pt idx="356">
                  <c:v>56.77</c:v>
                </c:pt>
                <c:pt idx="357">
                  <c:v>55.21</c:v>
                </c:pt>
                <c:pt idx="358">
                  <c:v>53.76</c:v>
                </c:pt>
                <c:pt idx="359">
                  <c:v>44.72</c:v>
                </c:pt>
                <c:pt idx="360">
                  <c:v>49.71</c:v>
                </c:pt>
                <c:pt idx="361">
                  <c:v>53.61</c:v>
                </c:pt>
                <c:pt idx="362">
                  <c:v>57.24</c:v>
                </c:pt>
                <c:pt idx="363">
                  <c:v>56.28</c:v>
                </c:pt>
                <c:pt idx="364">
                  <c:v>48.73</c:v>
                </c:pt>
                <c:pt idx="365">
                  <c:v>47.4</c:v>
                </c:pt>
                <c:pt idx="366">
                  <c:v>52.1</c:v>
                </c:pt>
                <c:pt idx="367">
                  <c:v>50.62</c:v>
                </c:pt>
                <c:pt idx="368">
                  <c:v>48.65</c:v>
                </c:pt>
                <c:pt idx="369">
                  <c:v>45.18</c:v>
                </c:pt>
                <c:pt idx="370">
                  <c:v>49.02</c:v>
                </c:pt>
                <c:pt idx="371">
                  <c:v>48.31</c:v>
                </c:pt>
                <c:pt idx="372">
                  <c:v>53.62</c:v>
                </c:pt>
                <c:pt idx="373">
                  <c:v>44.49</c:v>
                </c:pt>
                <c:pt idx="374">
                  <c:v>41.61</c:v>
                </c:pt>
                <c:pt idx="375">
                  <c:v>32.19</c:v>
                </c:pt>
                <c:pt idx="376">
                  <c:v>30.94</c:v>
                </c:pt>
                <c:pt idx="377">
                  <c:v>31.68</c:v>
                </c:pt>
                <c:pt idx="378">
                  <c:v>34.22</c:v>
                </c:pt>
                <c:pt idx="379">
                  <c:v>38.869999999999997</c:v>
                </c:pt>
                <c:pt idx="380">
                  <c:v>45.7</c:v>
                </c:pt>
                <c:pt idx="381">
                  <c:v>48.79</c:v>
                </c:pt>
                <c:pt idx="382">
                  <c:v>52</c:v>
                </c:pt>
                <c:pt idx="383">
                  <c:v>52.34</c:v>
                </c:pt>
                <c:pt idx="384">
                  <c:v>54.23</c:v>
                </c:pt>
                <c:pt idx="385">
                  <c:v>42.96</c:v>
                </c:pt>
                <c:pt idx="386">
                  <c:v>46.43</c:v>
                </c:pt>
                <c:pt idx="387">
                  <c:v>38.159999999999997</c:v>
                </c:pt>
                <c:pt idx="388">
                  <c:v>40.04</c:v>
                </c:pt>
                <c:pt idx="389">
                  <c:v>40.68</c:v>
                </c:pt>
                <c:pt idx="390">
                  <c:v>37.369999999999997</c:v>
                </c:pt>
                <c:pt idx="391">
                  <c:v>41.16</c:v>
                </c:pt>
                <c:pt idx="392">
                  <c:v>38.96</c:v>
                </c:pt>
                <c:pt idx="393">
                  <c:v>41.45</c:v>
                </c:pt>
                <c:pt idx="394">
                  <c:v>43.03</c:v>
                </c:pt>
                <c:pt idx="395">
                  <c:v>42.88</c:v>
                </c:pt>
                <c:pt idx="396">
                  <c:v>45.13</c:v>
                </c:pt>
                <c:pt idx="397">
                  <c:v>50.55</c:v>
                </c:pt>
                <c:pt idx="398">
                  <c:v>50.83</c:v>
                </c:pt>
                <c:pt idx="399">
                  <c:v>50.49</c:v>
                </c:pt>
                <c:pt idx="400">
                  <c:v>45.64</c:v>
                </c:pt>
                <c:pt idx="401">
                  <c:v>47.64</c:v>
                </c:pt>
                <c:pt idx="403">
                  <c:v>42.29</c:v>
                </c:pt>
                <c:pt idx="404">
                  <c:v>47.28</c:v>
                </c:pt>
                <c:pt idx="405">
                  <c:v>42.51</c:v>
                </c:pt>
                <c:pt idx="407">
                  <c:v>41.17</c:v>
                </c:pt>
                <c:pt idx="409">
                  <c:v>49.91</c:v>
                </c:pt>
                <c:pt idx="410">
                  <c:v>54.06</c:v>
                </c:pt>
                <c:pt idx="411">
                  <c:v>53.66</c:v>
                </c:pt>
                <c:pt idx="412">
                  <c:v>44.79</c:v>
                </c:pt>
                <c:pt idx="413">
                  <c:v>47.79</c:v>
                </c:pt>
                <c:pt idx="414">
                  <c:v>47.8</c:v>
                </c:pt>
                <c:pt idx="415">
                  <c:v>43.31</c:v>
                </c:pt>
                <c:pt idx="416">
                  <c:v>45.23</c:v>
                </c:pt>
                <c:pt idx="420">
                  <c:v>40.31</c:v>
                </c:pt>
                <c:pt idx="421">
                  <c:v>37.44</c:v>
                </c:pt>
                <c:pt idx="422">
                  <c:v>33.049999999999997</c:v>
                </c:pt>
                <c:pt idx="423">
                  <c:v>34.17</c:v>
                </c:pt>
                <c:pt idx="424">
                  <c:v>34.24</c:v>
                </c:pt>
                <c:pt idx="425">
                  <c:v>26.16</c:v>
                </c:pt>
                <c:pt idx="426">
                  <c:v>28.39</c:v>
                </c:pt>
                <c:pt idx="427">
                  <c:v>28.74</c:v>
                </c:pt>
                <c:pt idx="428">
                  <c:v>33.520000000000003</c:v>
                </c:pt>
                <c:pt idx="429">
                  <c:v>32.68</c:v>
                </c:pt>
                <c:pt idx="430">
                  <c:v>33.53</c:v>
                </c:pt>
                <c:pt idx="431">
                  <c:v>29.89</c:v>
                </c:pt>
                <c:pt idx="432">
                  <c:v>34.090000000000003</c:v>
                </c:pt>
                <c:pt idx="433">
                  <c:v>36.020000000000003</c:v>
                </c:pt>
                <c:pt idx="434">
                  <c:v>33.32</c:v>
                </c:pt>
                <c:pt idx="435">
                  <c:v>34.020000000000003</c:v>
                </c:pt>
                <c:pt idx="436">
                  <c:v>36.49</c:v>
                </c:pt>
                <c:pt idx="437">
                  <c:v>38.1</c:v>
                </c:pt>
                <c:pt idx="438">
                  <c:v>39.21</c:v>
                </c:pt>
                <c:pt idx="439">
                  <c:v>37.21</c:v>
                </c:pt>
                <c:pt idx="440">
                  <c:v>39.9</c:v>
                </c:pt>
                <c:pt idx="442">
                  <c:v>45.51</c:v>
                </c:pt>
                <c:pt idx="443">
                  <c:v>44.96</c:v>
                </c:pt>
                <c:pt idx="444">
                  <c:v>42.5</c:v>
                </c:pt>
                <c:pt idx="445">
                  <c:v>42.51</c:v>
                </c:pt>
                <c:pt idx="446">
                  <c:v>41.9</c:v>
                </c:pt>
                <c:pt idx="447">
                  <c:v>42.12</c:v>
                </c:pt>
                <c:pt idx="448">
                  <c:v>35.880000000000003</c:v>
                </c:pt>
                <c:pt idx="449">
                  <c:v>30.25</c:v>
                </c:pt>
                <c:pt idx="450">
                  <c:v>41.49</c:v>
                </c:pt>
                <c:pt idx="451">
                  <c:v>48.54</c:v>
                </c:pt>
                <c:pt idx="452">
                  <c:v>51.05</c:v>
                </c:pt>
                <c:pt idx="453">
                  <c:v>46.61</c:v>
                </c:pt>
                <c:pt idx="454">
                  <c:v>49.45</c:v>
                </c:pt>
                <c:pt idx="455">
                  <c:v>45.8</c:v>
                </c:pt>
                <c:pt idx="456">
                  <c:v>46.57</c:v>
                </c:pt>
                <c:pt idx="457">
                  <c:v>55.67</c:v>
                </c:pt>
                <c:pt idx="458">
                  <c:v>53.91</c:v>
                </c:pt>
                <c:pt idx="459">
                  <c:v>46.32</c:v>
                </c:pt>
                <c:pt idx="460">
                  <c:v>49.13</c:v>
                </c:pt>
                <c:pt idx="461">
                  <c:v>52.21</c:v>
                </c:pt>
                <c:pt idx="462">
                  <c:v>49.28</c:v>
                </c:pt>
                <c:pt idx="463">
                  <c:v>49.18</c:v>
                </c:pt>
                <c:pt idx="464">
                  <c:v>51.07</c:v>
                </c:pt>
                <c:pt idx="465">
                  <c:v>47.18</c:v>
                </c:pt>
                <c:pt idx="466">
                  <c:v>50.9</c:v>
                </c:pt>
                <c:pt idx="467">
                  <c:v>49.58</c:v>
                </c:pt>
                <c:pt idx="468">
                  <c:v>51.99</c:v>
                </c:pt>
                <c:pt idx="469">
                  <c:v>51.1</c:v>
                </c:pt>
                <c:pt idx="470">
                  <c:v>45.09</c:v>
                </c:pt>
                <c:pt idx="471">
                  <c:v>44.79</c:v>
                </c:pt>
                <c:pt idx="472">
                  <c:v>46.27</c:v>
                </c:pt>
                <c:pt idx="473">
                  <c:v>48.65</c:v>
                </c:pt>
                <c:pt idx="474">
                  <c:v>50.07</c:v>
                </c:pt>
                <c:pt idx="475">
                  <c:v>59.4</c:v>
                </c:pt>
                <c:pt idx="476">
                  <c:v>54.54</c:v>
                </c:pt>
                <c:pt idx="477">
                  <c:v>58.17</c:v>
                </c:pt>
                <c:pt idx="478">
                  <c:v>59.95</c:v>
                </c:pt>
                <c:pt idx="479">
                  <c:v>61.27</c:v>
                </c:pt>
                <c:pt idx="480">
                  <c:v>67.88</c:v>
                </c:pt>
                <c:pt idx="481">
                  <c:v>65.790000000000006</c:v>
                </c:pt>
                <c:pt idx="482">
                  <c:v>69.03</c:v>
                </c:pt>
                <c:pt idx="483">
                  <c:v>82.8</c:v>
                </c:pt>
                <c:pt idx="484">
                  <c:v>84.78</c:v>
                </c:pt>
                <c:pt idx="485">
                  <c:v>82.1</c:v>
                </c:pt>
                <c:pt idx="486">
                  <c:v>78.53</c:v>
                </c:pt>
                <c:pt idx="487">
                  <c:v>78.489999999999995</c:v>
                </c:pt>
                <c:pt idx="488">
                  <c:v>75.739999999999995</c:v>
                </c:pt>
                <c:pt idx="489">
                  <c:v>78.28</c:v>
                </c:pt>
                <c:pt idx="490">
                  <c:v>69.56</c:v>
                </c:pt>
                <c:pt idx="492">
                  <c:v>65.97</c:v>
                </c:pt>
                <c:pt idx="493">
                  <c:v>64.510000000000005</c:v>
                </c:pt>
                <c:pt idx="494">
                  <c:v>73.58</c:v>
                </c:pt>
                <c:pt idx="495">
                  <c:v>68.760000000000005</c:v>
                </c:pt>
                <c:pt idx="496">
                  <c:v>69.94</c:v>
                </c:pt>
                <c:pt idx="497">
                  <c:v>76.650000000000006</c:v>
                </c:pt>
                <c:pt idx="498">
                  <c:v>80.290000000000006</c:v>
                </c:pt>
                <c:pt idx="499">
                  <c:v>79.22</c:v>
                </c:pt>
                <c:pt idx="500">
                  <c:v>77.34</c:v>
                </c:pt>
                <c:pt idx="501">
                  <c:v>73.91</c:v>
                </c:pt>
                <c:pt idx="502">
                  <c:v>81.290000000000006</c:v>
                </c:pt>
                <c:pt idx="503">
                  <c:v>78.790000000000006</c:v>
                </c:pt>
                <c:pt idx="504">
                  <c:v>83.11</c:v>
                </c:pt>
                <c:pt idx="505">
                  <c:v>79.12</c:v>
                </c:pt>
                <c:pt idx="506">
                  <c:v>68.98</c:v>
                </c:pt>
                <c:pt idx="508">
                  <c:v>68.55</c:v>
                </c:pt>
                <c:pt idx="509">
                  <c:v>78.739999999999995</c:v>
                </c:pt>
                <c:pt idx="510">
                  <c:v>73.66</c:v>
                </c:pt>
                <c:pt idx="511">
                  <c:v>69.33</c:v>
                </c:pt>
                <c:pt idx="512">
                  <c:v>69.84</c:v>
                </c:pt>
                <c:pt idx="513">
                  <c:v>70.75</c:v>
                </c:pt>
                <c:pt idx="515">
                  <c:v>70.709999999999994</c:v>
                </c:pt>
                <c:pt idx="516">
                  <c:v>74.22</c:v>
                </c:pt>
                <c:pt idx="518">
                  <c:v>71.53</c:v>
                </c:pt>
                <c:pt idx="519">
                  <c:v>71.52</c:v>
                </c:pt>
                <c:pt idx="520">
                  <c:v>68.48</c:v>
                </c:pt>
                <c:pt idx="521">
                  <c:v>71.459999999999994</c:v>
                </c:pt>
                <c:pt idx="522">
                  <c:v>70.08</c:v>
                </c:pt>
                <c:pt idx="523">
                  <c:v>71.12</c:v>
                </c:pt>
                <c:pt idx="524">
                  <c:v>76.91</c:v>
                </c:pt>
                <c:pt idx="525">
                  <c:v>66.650000000000006</c:v>
                </c:pt>
                <c:pt idx="526">
                  <c:v>66.61</c:v>
                </c:pt>
                <c:pt idx="527">
                  <c:v>62.3</c:v>
                </c:pt>
                <c:pt idx="528">
                  <c:v>65.180000000000007</c:v>
                </c:pt>
                <c:pt idx="529">
                  <c:v>64.650000000000006</c:v>
                </c:pt>
                <c:pt idx="530">
                  <c:v>58.36</c:v>
                </c:pt>
                <c:pt idx="531">
                  <c:v>62.46</c:v>
                </c:pt>
                <c:pt idx="533">
                  <c:v>62</c:v>
                </c:pt>
                <c:pt idx="534">
                  <c:v>60.24</c:v>
                </c:pt>
                <c:pt idx="535">
                  <c:v>64.28</c:v>
                </c:pt>
                <c:pt idx="536">
                  <c:v>67.45</c:v>
                </c:pt>
                <c:pt idx="537">
                  <c:v>66.52</c:v>
                </c:pt>
                <c:pt idx="538">
                  <c:v>59.92</c:v>
                </c:pt>
                <c:pt idx="539">
                  <c:v>67.790000000000006</c:v>
                </c:pt>
                <c:pt idx="540">
                  <c:v>52.66</c:v>
                </c:pt>
                <c:pt idx="541">
                  <c:v>56.27</c:v>
                </c:pt>
                <c:pt idx="542">
                  <c:v>55.63</c:v>
                </c:pt>
                <c:pt idx="543">
                  <c:v>55.66</c:v>
                </c:pt>
                <c:pt idx="544">
                  <c:v>50.52</c:v>
                </c:pt>
                <c:pt idx="545">
                  <c:v>46.16</c:v>
                </c:pt>
                <c:pt idx="546">
                  <c:v>40.96</c:v>
                </c:pt>
                <c:pt idx="547">
                  <c:v>40.96</c:v>
                </c:pt>
                <c:pt idx="548">
                  <c:v>41.3</c:v>
                </c:pt>
                <c:pt idx="549">
                  <c:v>45.46</c:v>
                </c:pt>
                <c:pt idx="550">
                  <c:v>43.54</c:v>
                </c:pt>
                <c:pt idx="551">
                  <c:v>38.46</c:v>
                </c:pt>
                <c:pt idx="552">
                  <c:v>35.33</c:v>
                </c:pt>
                <c:pt idx="553">
                  <c:v>38.69</c:v>
                </c:pt>
                <c:pt idx="554">
                  <c:v>38.75</c:v>
                </c:pt>
                <c:pt idx="555">
                  <c:v>40.1</c:v>
                </c:pt>
                <c:pt idx="556">
                  <c:v>34.86</c:v>
                </c:pt>
                <c:pt idx="557">
                  <c:v>40.1</c:v>
                </c:pt>
                <c:pt idx="558">
                  <c:v>39.049999999999997</c:v>
                </c:pt>
                <c:pt idx="559">
                  <c:v>40.51</c:v>
                </c:pt>
                <c:pt idx="561">
                  <c:v>38.03</c:v>
                </c:pt>
                <c:pt idx="562">
                  <c:v>40.76</c:v>
                </c:pt>
                <c:pt idx="563">
                  <c:v>41.87</c:v>
                </c:pt>
                <c:pt idx="564">
                  <c:v>47.14</c:v>
                </c:pt>
                <c:pt idx="565">
                  <c:v>52.61</c:v>
                </c:pt>
                <c:pt idx="566">
                  <c:v>49.16</c:v>
                </c:pt>
                <c:pt idx="567">
                  <c:v>51.59</c:v>
                </c:pt>
                <c:pt idx="568">
                  <c:v>49.42</c:v>
                </c:pt>
                <c:pt idx="569">
                  <c:v>52.24</c:v>
                </c:pt>
                <c:pt idx="570">
                  <c:v>48.28</c:v>
                </c:pt>
                <c:pt idx="571">
                  <c:v>38.630000000000003</c:v>
                </c:pt>
                <c:pt idx="572">
                  <c:v>40.270000000000003</c:v>
                </c:pt>
                <c:pt idx="573">
                  <c:v>43.45</c:v>
                </c:pt>
                <c:pt idx="576">
                  <c:v>41.5</c:v>
                </c:pt>
                <c:pt idx="577">
                  <c:v>44.39</c:v>
                </c:pt>
                <c:pt idx="578">
                  <c:v>40.99</c:v>
                </c:pt>
                <c:pt idx="579">
                  <c:v>47.92</c:v>
                </c:pt>
                <c:pt idx="580">
                  <c:v>49.5</c:v>
                </c:pt>
                <c:pt idx="581">
                  <c:v>37.950000000000003</c:v>
                </c:pt>
                <c:pt idx="582">
                  <c:v>32.47</c:v>
                </c:pt>
                <c:pt idx="583">
                  <c:v>32.46</c:v>
                </c:pt>
                <c:pt idx="584">
                  <c:v>28.42</c:v>
                </c:pt>
                <c:pt idx="585">
                  <c:v>28.93</c:v>
                </c:pt>
                <c:pt idx="586">
                  <c:v>26.78</c:v>
                </c:pt>
                <c:pt idx="587">
                  <c:v>23.28</c:v>
                </c:pt>
                <c:pt idx="588">
                  <c:v>25.01</c:v>
                </c:pt>
                <c:pt idx="589">
                  <c:v>21.36</c:v>
                </c:pt>
                <c:pt idx="590">
                  <c:v>21.78</c:v>
                </c:pt>
                <c:pt idx="591">
                  <c:v>22.09</c:v>
                </c:pt>
                <c:pt idx="592">
                  <c:v>22.3</c:v>
                </c:pt>
                <c:pt idx="593">
                  <c:v>26.57</c:v>
                </c:pt>
                <c:pt idx="594">
                  <c:v>41.43</c:v>
                </c:pt>
                <c:pt idx="595">
                  <c:v>39.01</c:v>
                </c:pt>
                <c:pt idx="596">
                  <c:v>37.200000000000003</c:v>
                </c:pt>
                <c:pt idx="597">
                  <c:v>44.86</c:v>
                </c:pt>
                <c:pt idx="598">
                  <c:v>44.23</c:v>
                </c:pt>
                <c:pt idx="599">
                  <c:v>44.8</c:v>
                </c:pt>
                <c:pt idx="600">
                  <c:v>47.93</c:v>
                </c:pt>
                <c:pt idx="601">
                  <c:v>52.51</c:v>
                </c:pt>
                <c:pt idx="602">
                  <c:v>51.11</c:v>
                </c:pt>
                <c:pt idx="603">
                  <c:v>58.5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E3-4BB2-93AC-A44BD2BD46A6}"/>
            </c:ext>
          </c:extLst>
        </c:ser>
        <c:ser>
          <c:idx val="1"/>
          <c:order val="1"/>
          <c:tx>
            <c:strRef>
              <c:f>'미국 RSI'!$I$1</c:f>
              <c:strCache>
                <c:ptCount val="1"/>
                <c:pt idx="0">
                  <c:v>필수소비재(US)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RSI'!$I$69:$I$3068</c:f>
              <c:numCache>
                <c:formatCode>0.00</c:formatCode>
                <c:ptCount val="3000"/>
                <c:pt idx="0">
                  <c:v>57.44</c:v>
                </c:pt>
                <c:pt idx="1">
                  <c:v>59.35</c:v>
                </c:pt>
                <c:pt idx="2">
                  <c:v>51.43</c:v>
                </c:pt>
                <c:pt idx="3">
                  <c:v>52.43</c:v>
                </c:pt>
                <c:pt idx="4">
                  <c:v>48.13</c:v>
                </c:pt>
                <c:pt idx="5">
                  <c:v>53.53</c:v>
                </c:pt>
                <c:pt idx="6">
                  <c:v>55.14</c:v>
                </c:pt>
                <c:pt idx="7">
                  <c:v>47.02</c:v>
                </c:pt>
                <c:pt idx="8">
                  <c:v>45.2</c:v>
                </c:pt>
                <c:pt idx="9">
                  <c:v>48.33</c:v>
                </c:pt>
                <c:pt idx="10">
                  <c:v>48.73</c:v>
                </c:pt>
                <c:pt idx="11">
                  <c:v>42.21</c:v>
                </c:pt>
                <c:pt idx="12">
                  <c:v>39.65</c:v>
                </c:pt>
                <c:pt idx="13">
                  <c:v>41.54</c:v>
                </c:pt>
                <c:pt idx="14">
                  <c:v>41.9</c:v>
                </c:pt>
                <c:pt idx="15">
                  <c:v>45.71</c:v>
                </c:pt>
                <c:pt idx="16">
                  <c:v>51.41</c:v>
                </c:pt>
                <c:pt idx="17">
                  <c:v>47.65</c:v>
                </c:pt>
                <c:pt idx="18">
                  <c:v>37.44</c:v>
                </c:pt>
                <c:pt idx="19">
                  <c:v>44.93</c:v>
                </c:pt>
                <c:pt idx="21">
                  <c:v>38.659999999999997</c:v>
                </c:pt>
                <c:pt idx="22">
                  <c:v>34.82</c:v>
                </c:pt>
                <c:pt idx="23">
                  <c:v>37.450000000000003</c:v>
                </c:pt>
                <c:pt idx="24">
                  <c:v>36.6</c:v>
                </c:pt>
                <c:pt idx="25">
                  <c:v>35.78</c:v>
                </c:pt>
                <c:pt idx="26">
                  <c:v>30.45</c:v>
                </c:pt>
                <c:pt idx="27">
                  <c:v>31.87</c:v>
                </c:pt>
                <c:pt idx="28">
                  <c:v>28.52</c:v>
                </c:pt>
                <c:pt idx="29">
                  <c:v>28.75</c:v>
                </c:pt>
                <c:pt idx="30">
                  <c:v>29.09</c:v>
                </c:pt>
                <c:pt idx="31">
                  <c:v>31.22</c:v>
                </c:pt>
                <c:pt idx="32">
                  <c:v>33.46</c:v>
                </c:pt>
                <c:pt idx="33">
                  <c:v>42.09</c:v>
                </c:pt>
                <c:pt idx="34">
                  <c:v>43.5</c:v>
                </c:pt>
                <c:pt idx="35">
                  <c:v>41.95</c:v>
                </c:pt>
                <c:pt idx="36">
                  <c:v>38.75</c:v>
                </c:pt>
                <c:pt idx="37">
                  <c:v>40.18</c:v>
                </c:pt>
                <c:pt idx="38">
                  <c:v>45.32</c:v>
                </c:pt>
                <c:pt idx="39">
                  <c:v>46.54</c:v>
                </c:pt>
                <c:pt idx="40">
                  <c:v>45.5</c:v>
                </c:pt>
                <c:pt idx="41">
                  <c:v>43.52</c:v>
                </c:pt>
                <c:pt idx="42">
                  <c:v>51.79</c:v>
                </c:pt>
                <c:pt idx="43">
                  <c:v>55.01</c:v>
                </c:pt>
                <c:pt idx="44">
                  <c:v>60.89</c:v>
                </c:pt>
                <c:pt idx="45">
                  <c:v>70.22</c:v>
                </c:pt>
                <c:pt idx="46">
                  <c:v>65.930000000000007</c:v>
                </c:pt>
                <c:pt idx="47">
                  <c:v>67.099999999999994</c:v>
                </c:pt>
                <c:pt idx="48">
                  <c:v>72.959999999999994</c:v>
                </c:pt>
                <c:pt idx="49">
                  <c:v>70.430000000000007</c:v>
                </c:pt>
                <c:pt idx="50">
                  <c:v>66.33</c:v>
                </c:pt>
                <c:pt idx="51">
                  <c:v>65.430000000000007</c:v>
                </c:pt>
                <c:pt idx="52">
                  <c:v>68.3</c:v>
                </c:pt>
                <c:pt idx="53">
                  <c:v>69.52</c:v>
                </c:pt>
                <c:pt idx="54">
                  <c:v>80.5</c:v>
                </c:pt>
                <c:pt idx="55">
                  <c:v>79.83</c:v>
                </c:pt>
                <c:pt idx="56">
                  <c:v>77.900000000000006</c:v>
                </c:pt>
                <c:pt idx="57">
                  <c:v>74.400000000000006</c:v>
                </c:pt>
                <c:pt idx="58">
                  <c:v>76.930000000000007</c:v>
                </c:pt>
                <c:pt idx="59">
                  <c:v>81.64</c:v>
                </c:pt>
                <c:pt idx="60">
                  <c:v>79.290000000000006</c:v>
                </c:pt>
                <c:pt idx="61">
                  <c:v>79.94</c:v>
                </c:pt>
                <c:pt idx="62">
                  <c:v>77.14</c:v>
                </c:pt>
                <c:pt idx="63">
                  <c:v>72.84</c:v>
                </c:pt>
                <c:pt idx="64">
                  <c:v>68.92</c:v>
                </c:pt>
                <c:pt idx="65">
                  <c:v>61.78</c:v>
                </c:pt>
                <c:pt idx="66">
                  <c:v>63.65</c:v>
                </c:pt>
                <c:pt idx="67">
                  <c:v>72.69</c:v>
                </c:pt>
                <c:pt idx="68">
                  <c:v>70.95</c:v>
                </c:pt>
                <c:pt idx="69">
                  <c:v>72.41</c:v>
                </c:pt>
                <c:pt idx="70">
                  <c:v>69.55</c:v>
                </c:pt>
                <c:pt idx="71">
                  <c:v>71.38</c:v>
                </c:pt>
                <c:pt idx="72">
                  <c:v>71.040000000000006</c:v>
                </c:pt>
                <c:pt idx="74">
                  <c:v>70.040000000000006</c:v>
                </c:pt>
                <c:pt idx="75">
                  <c:v>72.47</c:v>
                </c:pt>
                <c:pt idx="76">
                  <c:v>71.989999999999995</c:v>
                </c:pt>
                <c:pt idx="77">
                  <c:v>67.739999999999995</c:v>
                </c:pt>
                <c:pt idx="78">
                  <c:v>63.47</c:v>
                </c:pt>
                <c:pt idx="79">
                  <c:v>58.35</c:v>
                </c:pt>
                <c:pt idx="80">
                  <c:v>53.02</c:v>
                </c:pt>
                <c:pt idx="81">
                  <c:v>35.93</c:v>
                </c:pt>
                <c:pt idx="82">
                  <c:v>42.66</c:v>
                </c:pt>
                <c:pt idx="83">
                  <c:v>41.21</c:v>
                </c:pt>
                <c:pt idx="84">
                  <c:v>44.14</c:v>
                </c:pt>
                <c:pt idx="85">
                  <c:v>44.03</c:v>
                </c:pt>
                <c:pt idx="86">
                  <c:v>48.1</c:v>
                </c:pt>
                <c:pt idx="87">
                  <c:v>49.28</c:v>
                </c:pt>
                <c:pt idx="88">
                  <c:v>48.83</c:v>
                </c:pt>
                <c:pt idx="89">
                  <c:v>47.9</c:v>
                </c:pt>
                <c:pt idx="90">
                  <c:v>42.49</c:v>
                </c:pt>
                <c:pt idx="91">
                  <c:v>45.13</c:v>
                </c:pt>
                <c:pt idx="92">
                  <c:v>52.49</c:v>
                </c:pt>
                <c:pt idx="93">
                  <c:v>56.37</c:v>
                </c:pt>
                <c:pt idx="94">
                  <c:v>61.09</c:v>
                </c:pt>
                <c:pt idx="95">
                  <c:v>58.49</c:v>
                </c:pt>
                <c:pt idx="96">
                  <c:v>62.24</c:v>
                </c:pt>
                <c:pt idx="97">
                  <c:v>60.82</c:v>
                </c:pt>
                <c:pt idx="98">
                  <c:v>56.53</c:v>
                </c:pt>
                <c:pt idx="99">
                  <c:v>51.96</c:v>
                </c:pt>
                <c:pt idx="100">
                  <c:v>50.02</c:v>
                </c:pt>
                <c:pt idx="101">
                  <c:v>48.52</c:v>
                </c:pt>
                <c:pt idx="102">
                  <c:v>53.97</c:v>
                </c:pt>
                <c:pt idx="103">
                  <c:v>53.9</c:v>
                </c:pt>
                <c:pt idx="104">
                  <c:v>57.14</c:v>
                </c:pt>
                <c:pt idx="105">
                  <c:v>56.76</c:v>
                </c:pt>
                <c:pt idx="106">
                  <c:v>61.14</c:v>
                </c:pt>
                <c:pt idx="107">
                  <c:v>61.82</c:v>
                </c:pt>
                <c:pt idx="109">
                  <c:v>59.4</c:v>
                </c:pt>
                <c:pt idx="110">
                  <c:v>54.46</c:v>
                </c:pt>
                <c:pt idx="111">
                  <c:v>46.98</c:v>
                </c:pt>
                <c:pt idx="112">
                  <c:v>53.97</c:v>
                </c:pt>
                <c:pt idx="113">
                  <c:v>47.16</c:v>
                </c:pt>
                <c:pt idx="114">
                  <c:v>41.94</c:v>
                </c:pt>
                <c:pt idx="115">
                  <c:v>46.52</c:v>
                </c:pt>
                <c:pt idx="116">
                  <c:v>43.3</c:v>
                </c:pt>
                <c:pt idx="117">
                  <c:v>47.21</c:v>
                </c:pt>
                <c:pt idx="118">
                  <c:v>47.7</c:v>
                </c:pt>
                <c:pt idx="119">
                  <c:v>47.7</c:v>
                </c:pt>
                <c:pt idx="120">
                  <c:v>48.5</c:v>
                </c:pt>
                <c:pt idx="121">
                  <c:v>40.06</c:v>
                </c:pt>
                <c:pt idx="122">
                  <c:v>41.84</c:v>
                </c:pt>
                <c:pt idx="123">
                  <c:v>30.44</c:v>
                </c:pt>
                <c:pt idx="124">
                  <c:v>32.24</c:v>
                </c:pt>
                <c:pt idx="125">
                  <c:v>32.5</c:v>
                </c:pt>
                <c:pt idx="126">
                  <c:v>29.18</c:v>
                </c:pt>
                <c:pt idx="127">
                  <c:v>32.01</c:v>
                </c:pt>
                <c:pt idx="128">
                  <c:v>33.1</c:v>
                </c:pt>
                <c:pt idx="129">
                  <c:v>33.479999999999997</c:v>
                </c:pt>
                <c:pt idx="130">
                  <c:v>44.64</c:v>
                </c:pt>
                <c:pt idx="131">
                  <c:v>51.44</c:v>
                </c:pt>
                <c:pt idx="132">
                  <c:v>50.28</c:v>
                </c:pt>
                <c:pt idx="133">
                  <c:v>52.61</c:v>
                </c:pt>
                <c:pt idx="134">
                  <c:v>56.24</c:v>
                </c:pt>
                <c:pt idx="135">
                  <c:v>52.75</c:v>
                </c:pt>
                <c:pt idx="136">
                  <c:v>56.17</c:v>
                </c:pt>
                <c:pt idx="137">
                  <c:v>56.81</c:v>
                </c:pt>
                <c:pt idx="138">
                  <c:v>48.56</c:v>
                </c:pt>
                <c:pt idx="139">
                  <c:v>53.54</c:v>
                </c:pt>
                <c:pt idx="140">
                  <c:v>52.38</c:v>
                </c:pt>
                <c:pt idx="141">
                  <c:v>40.049999999999997</c:v>
                </c:pt>
                <c:pt idx="142">
                  <c:v>42.16</c:v>
                </c:pt>
                <c:pt idx="143">
                  <c:v>41.5</c:v>
                </c:pt>
                <c:pt idx="144">
                  <c:v>38.799999999999997</c:v>
                </c:pt>
                <c:pt idx="145">
                  <c:v>41.58</c:v>
                </c:pt>
                <c:pt idx="146">
                  <c:v>33.39</c:v>
                </c:pt>
                <c:pt idx="147">
                  <c:v>37.22</c:v>
                </c:pt>
                <c:pt idx="148">
                  <c:v>36.15</c:v>
                </c:pt>
                <c:pt idx="149">
                  <c:v>38.24</c:v>
                </c:pt>
                <c:pt idx="150">
                  <c:v>39.06</c:v>
                </c:pt>
                <c:pt idx="151">
                  <c:v>36.33</c:v>
                </c:pt>
                <c:pt idx="152">
                  <c:v>34.770000000000003</c:v>
                </c:pt>
                <c:pt idx="153">
                  <c:v>32.83</c:v>
                </c:pt>
                <c:pt idx="154">
                  <c:v>36.85</c:v>
                </c:pt>
                <c:pt idx="155">
                  <c:v>35.18</c:v>
                </c:pt>
                <c:pt idx="156">
                  <c:v>31.31</c:v>
                </c:pt>
                <c:pt idx="157">
                  <c:v>39.22</c:v>
                </c:pt>
                <c:pt idx="158">
                  <c:v>40.29</c:v>
                </c:pt>
                <c:pt idx="159">
                  <c:v>45.28</c:v>
                </c:pt>
                <c:pt idx="160">
                  <c:v>40.590000000000003</c:v>
                </c:pt>
                <c:pt idx="161">
                  <c:v>36.82</c:v>
                </c:pt>
                <c:pt idx="162">
                  <c:v>43.35</c:v>
                </c:pt>
                <c:pt idx="163">
                  <c:v>45.55</c:v>
                </c:pt>
                <c:pt idx="164">
                  <c:v>38.58</c:v>
                </c:pt>
                <c:pt idx="165">
                  <c:v>45.1</c:v>
                </c:pt>
                <c:pt idx="166">
                  <c:v>43.3</c:v>
                </c:pt>
                <c:pt idx="167">
                  <c:v>45.92</c:v>
                </c:pt>
                <c:pt idx="168">
                  <c:v>43.48</c:v>
                </c:pt>
                <c:pt idx="169">
                  <c:v>42.96</c:v>
                </c:pt>
                <c:pt idx="170">
                  <c:v>43.41</c:v>
                </c:pt>
                <c:pt idx="172">
                  <c:v>44.33</c:v>
                </c:pt>
                <c:pt idx="173">
                  <c:v>39.56</c:v>
                </c:pt>
                <c:pt idx="174">
                  <c:v>42.91</c:v>
                </c:pt>
                <c:pt idx="175">
                  <c:v>40.71</c:v>
                </c:pt>
                <c:pt idx="176">
                  <c:v>44.2</c:v>
                </c:pt>
                <c:pt idx="177">
                  <c:v>56.04</c:v>
                </c:pt>
                <c:pt idx="178">
                  <c:v>56.04</c:v>
                </c:pt>
                <c:pt idx="179">
                  <c:v>63.89</c:v>
                </c:pt>
                <c:pt idx="180">
                  <c:v>60.69</c:v>
                </c:pt>
                <c:pt idx="181">
                  <c:v>53.89</c:v>
                </c:pt>
                <c:pt idx="182">
                  <c:v>55.05</c:v>
                </c:pt>
                <c:pt idx="183">
                  <c:v>53.97</c:v>
                </c:pt>
                <c:pt idx="184">
                  <c:v>61.85</c:v>
                </c:pt>
                <c:pt idx="185">
                  <c:v>61.85</c:v>
                </c:pt>
                <c:pt idx="186">
                  <c:v>60.37</c:v>
                </c:pt>
                <c:pt idx="187">
                  <c:v>61.07</c:v>
                </c:pt>
                <c:pt idx="188">
                  <c:v>59.57</c:v>
                </c:pt>
                <c:pt idx="189">
                  <c:v>55.46</c:v>
                </c:pt>
                <c:pt idx="190">
                  <c:v>46.01</c:v>
                </c:pt>
                <c:pt idx="191">
                  <c:v>46.65</c:v>
                </c:pt>
                <c:pt idx="192">
                  <c:v>43.07</c:v>
                </c:pt>
                <c:pt idx="193">
                  <c:v>39.39</c:v>
                </c:pt>
                <c:pt idx="194">
                  <c:v>44.21</c:v>
                </c:pt>
                <c:pt idx="195">
                  <c:v>50.16</c:v>
                </c:pt>
                <c:pt idx="196">
                  <c:v>45.11</c:v>
                </c:pt>
                <c:pt idx="197">
                  <c:v>53.01</c:v>
                </c:pt>
                <c:pt idx="198">
                  <c:v>51.7</c:v>
                </c:pt>
                <c:pt idx="199">
                  <c:v>54.63</c:v>
                </c:pt>
                <c:pt idx="200">
                  <c:v>54.38</c:v>
                </c:pt>
                <c:pt idx="201">
                  <c:v>47.85</c:v>
                </c:pt>
                <c:pt idx="202">
                  <c:v>47.93</c:v>
                </c:pt>
                <c:pt idx="203">
                  <c:v>49.76</c:v>
                </c:pt>
                <c:pt idx="204">
                  <c:v>42.75</c:v>
                </c:pt>
                <c:pt idx="205">
                  <c:v>39.880000000000003</c:v>
                </c:pt>
                <c:pt idx="206">
                  <c:v>46.09</c:v>
                </c:pt>
                <c:pt idx="207">
                  <c:v>45.4</c:v>
                </c:pt>
                <c:pt idx="208">
                  <c:v>47.81</c:v>
                </c:pt>
                <c:pt idx="209">
                  <c:v>45.2</c:v>
                </c:pt>
                <c:pt idx="210">
                  <c:v>49.39</c:v>
                </c:pt>
                <c:pt idx="211">
                  <c:v>56.35</c:v>
                </c:pt>
                <c:pt idx="213">
                  <c:v>57.03</c:v>
                </c:pt>
                <c:pt idx="214">
                  <c:v>57.4</c:v>
                </c:pt>
                <c:pt idx="215">
                  <c:v>55.8</c:v>
                </c:pt>
                <c:pt idx="216">
                  <c:v>48.18</c:v>
                </c:pt>
                <c:pt idx="217">
                  <c:v>44.49</c:v>
                </c:pt>
                <c:pt idx="218">
                  <c:v>40.950000000000003</c:v>
                </c:pt>
                <c:pt idx="219">
                  <c:v>41.4</c:v>
                </c:pt>
                <c:pt idx="220">
                  <c:v>49.25</c:v>
                </c:pt>
                <c:pt idx="221">
                  <c:v>49.81</c:v>
                </c:pt>
                <c:pt idx="222">
                  <c:v>46.74</c:v>
                </c:pt>
                <c:pt idx="224">
                  <c:v>41.6</c:v>
                </c:pt>
                <c:pt idx="225">
                  <c:v>42.24</c:v>
                </c:pt>
                <c:pt idx="226">
                  <c:v>46.88</c:v>
                </c:pt>
                <c:pt idx="227">
                  <c:v>44.76</c:v>
                </c:pt>
                <c:pt idx="228">
                  <c:v>52.21</c:v>
                </c:pt>
                <c:pt idx="229">
                  <c:v>48.38</c:v>
                </c:pt>
                <c:pt idx="230">
                  <c:v>50.58</c:v>
                </c:pt>
                <c:pt idx="231">
                  <c:v>49.2</c:v>
                </c:pt>
                <c:pt idx="232">
                  <c:v>49.99</c:v>
                </c:pt>
                <c:pt idx="233">
                  <c:v>48.16</c:v>
                </c:pt>
                <c:pt idx="234">
                  <c:v>53.7</c:v>
                </c:pt>
                <c:pt idx="235">
                  <c:v>58.27</c:v>
                </c:pt>
                <c:pt idx="236">
                  <c:v>58.91</c:v>
                </c:pt>
                <c:pt idx="237">
                  <c:v>58.64</c:v>
                </c:pt>
                <c:pt idx="238">
                  <c:v>54.75</c:v>
                </c:pt>
                <c:pt idx="239">
                  <c:v>52.86</c:v>
                </c:pt>
                <c:pt idx="240">
                  <c:v>56.58</c:v>
                </c:pt>
                <c:pt idx="242">
                  <c:v>52.48</c:v>
                </c:pt>
                <c:pt idx="243">
                  <c:v>50.73</c:v>
                </c:pt>
                <c:pt idx="244">
                  <c:v>52.78</c:v>
                </c:pt>
                <c:pt idx="245">
                  <c:v>59.03</c:v>
                </c:pt>
                <c:pt idx="246">
                  <c:v>57.62</c:v>
                </c:pt>
                <c:pt idx="247">
                  <c:v>56.47</c:v>
                </c:pt>
                <c:pt idx="248">
                  <c:v>51.76</c:v>
                </c:pt>
                <c:pt idx="249">
                  <c:v>41.45</c:v>
                </c:pt>
                <c:pt idx="250">
                  <c:v>43.74</c:v>
                </c:pt>
                <c:pt idx="251">
                  <c:v>50.28</c:v>
                </c:pt>
                <c:pt idx="252">
                  <c:v>49.51</c:v>
                </c:pt>
                <c:pt idx="253">
                  <c:v>52.47</c:v>
                </c:pt>
                <c:pt idx="254">
                  <c:v>53.09</c:v>
                </c:pt>
                <c:pt idx="255">
                  <c:v>52.41</c:v>
                </c:pt>
                <c:pt idx="256">
                  <c:v>53.19</c:v>
                </c:pt>
                <c:pt idx="257">
                  <c:v>53.56</c:v>
                </c:pt>
                <c:pt idx="258">
                  <c:v>51.59</c:v>
                </c:pt>
                <c:pt idx="259">
                  <c:v>55.08</c:v>
                </c:pt>
                <c:pt idx="260">
                  <c:v>52.61</c:v>
                </c:pt>
                <c:pt idx="261">
                  <c:v>49.69</c:v>
                </c:pt>
                <c:pt idx="262">
                  <c:v>50.86</c:v>
                </c:pt>
                <c:pt idx="263">
                  <c:v>51.74</c:v>
                </c:pt>
                <c:pt idx="264">
                  <c:v>54.77</c:v>
                </c:pt>
                <c:pt idx="265">
                  <c:v>56.78</c:v>
                </c:pt>
                <c:pt idx="266">
                  <c:v>52.84</c:v>
                </c:pt>
                <c:pt idx="268">
                  <c:v>56.06</c:v>
                </c:pt>
                <c:pt idx="269">
                  <c:v>49.85</c:v>
                </c:pt>
                <c:pt idx="270">
                  <c:v>53.41</c:v>
                </c:pt>
                <c:pt idx="271">
                  <c:v>56.39</c:v>
                </c:pt>
                <c:pt idx="272">
                  <c:v>51.4</c:v>
                </c:pt>
                <c:pt idx="273">
                  <c:v>47.32</c:v>
                </c:pt>
                <c:pt idx="274">
                  <c:v>47.16</c:v>
                </c:pt>
                <c:pt idx="275">
                  <c:v>32.69</c:v>
                </c:pt>
                <c:pt idx="276">
                  <c:v>36.450000000000003</c:v>
                </c:pt>
                <c:pt idx="277">
                  <c:v>39.659999999999997</c:v>
                </c:pt>
                <c:pt idx="278">
                  <c:v>58.3</c:v>
                </c:pt>
                <c:pt idx="279">
                  <c:v>55.75</c:v>
                </c:pt>
                <c:pt idx="280">
                  <c:v>57.41</c:v>
                </c:pt>
                <c:pt idx="281">
                  <c:v>56.82</c:v>
                </c:pt>
                <c:pt idx="282">
                  <c:v>49.95</c:v>
                </c:pt>
                <c:pt idx="283">
                  <c:v>52.41</c:v>
                </c:pt>
                <c:pt idx="284">
                  <c:v>46.9</c:v>
                </c:pt>
                <c:pt idx="285">
                  <c:v>37.950000000000003</c:v>
                </c:pt>
                <c:pt idx="286">
                  <c:v>41.81</c:v>
                </c:pt>
                <c:pt idx="287">
                  <c:v>41.27</c:v>
                </c:pt>
                <c:pt idx="288">
                  <c:v>41.42</c:v>
                </c:pt>
                <c:pt idx="289">
                  <c:v>43.36</c:v>
                </c:pt>
                <c:pt idx="290">
                  <c:v>43.36</c:v>
                </c:pt>
                <c:pt idx="291">
                  <c:v>47.92</c:v>
                </c:pt>
                <c:pt idx="292">
                  <c:v>40.61</c:v>
                </c:pt>
                <c:pt idx="293">
                  <c:v>39.380000000000003</c:v>
                </c:pt>
                <c:pt idx="294">
                  <c:v>41</c:v>
                </c:pt>
                <c:pt idx="295">
                  <c:v>50.14</c:v>
                </c:pt>
                <c:pt idx="296">
                  <c:v>58.4</c:v>
                </c:pt>
                <c:pt idx="297">
                  <c:v>59.76</c:v>
                </c:pt>
                <c:pt idx="298">
                  <c:v>58.41</c:v>
                </c:pt>
                <c:pt idx="299">
                  <c:v>57.68</c:v>
                </c:pt>
                <c:pt idx="300">
                  <c:v>56.05</c:v>
                </c:pt>
                <c:pt idx="301">
                  <c:v>65.88</c:v>
                </c:pt>
                <c:pt idx="302">
                  <c:v>64.06</c:v>
                </c:pt>
                <c:pt idx="303">
                  <c:v>59.06</c:v>
                </c:pt>
                <c:pt idx="304">
                  <c:v>59.13</c:v>
                </c:pt>
                <c:pt idx="305">
                  <c:v>71.8</c:v>
                </c:pt>
                <c:pt idx="306">
                  <c:v>67</c:v>
                </c:pt>
                <c:pt idx="307">
                  <c:v>65.84</c:v>
                </c:pt>
                <c:pt idx="308">
                  <c:v>61.03</c:v>
                </c:pt>
                <c:pt idx="309">
                  <c:v>63.84</c:v>
                </c:pt>
                <c:pt idx="310">
                  <c:v>60.41</c:v>
                </c:pt>
                <c:pt idx="312">
                  <c:v>58.78</c:v>
                </c:pt>
                <c:pt idx="313">
                  <c:v>65.78</c:v>
                </c:pt>
                <c:pt idx="314">
                  <c:v>61.17</c:v>
                </c:pt>
                <c:pt idx="315">
                  <c:v>61.7</c:v>
                </c:pt>
                <c:pt idx="316">
                  <c:v>57.27</c:v>
                </c:pt>
                <c:pt idx="317">
                  <c:v>54.13</c:v>
                </c:pt>
                <c:pt idx="318">
                  <c:v>55.05</c:v>
                </c:pt>
                <c:pt idx="319">
                  <c:v>52.82</c:v>
                </c:pt>
                <c:pt idx="320">
                  <c:v>49.66</c:v>
                </c:pt>
                <c:pt idx="321">
                  <c:v>54.27</c:v>
                </c:pt>
                <c:pt idx="322">
                  <c:v>52.37</c:v>
                </c:pt>
                <c:pt idx="323">
                  <c:v>57.77</c:v>
                </c:pt>
                <c:pt idx="324">
                  <c:v>53.1</c:v>
                </c:pt>
                <c:pt idx="325">
                  <c:v>51.9</c:v>
                </c:pt>
                <c:pt idx="326">
                  <c:v>61.53</c:v>
                </c:pt>
                <c:pt idx="327">
                  <c:v>45.75</c:v>
                </c:pt>
                <c:pt idx="328">
                  <c:v>41.53</c:v>
                </c:pt>
                <c:pt idx="329">
                  <c:v>38.409999999999997</c:v>
                </c:pt>
                <c:pt idx="330">
                  <c:v>41.18</c:v>
                </c:pt>
                <c:pt idx="332">
                  <c:v>37.200000000000003</c:v>
                </c:pt>
                <c:pt idx="333">
                  <c:v>31.98</c:v>
                </c:pt>
                <c:pt idx="334">
                  <c:v>24.43</c:v>
                </c:pt>
                <c:pt idx="335">
                  <c:v>25.63</c:v>
                </c:pt>
                <c:pt idx="336">
                  <c:v>25.37</c:v>
                </c:pt>
                <c:pt idx="337">
                  <c:v>23.74</c:v>
                </c:pt>
                <c:pt idx="339">
                  <c:v>28.34</c:v>
                </c:pt>
                <c:pt idx="340">
                  <c:v>26.56</c:v>
                </c:pt>
                <c:pt idx="341">
                  <c:v>27.79</c:v>
                </c:pt>
                <c:pt idx="342">
                  <c:v>31.98</c:v>
                </c:pt>
                <c:pt idx="343">
                  <c:v>32.200000000000003</c:v>
                </c:pt>
                <c:pt idx="344">
                  <c:v>33.49</c:v>
                </c:pt>
                <c:pt idx="345">
                  <c:v>30.93</c:v>
                </c:pt>
                <c:pt idx="346">
                  <c:v>35.89</c:v>
                </c:pt>
                <c:pt idx="347">
                  <c:v>38.28</c:v>
                </c:pt>
                <c:pt idx="348">
                  <c:v>35.74</c:v>
                </c:pt>
                <c:pt idx="349">
                  <c:v>30.17</c:v>
                </c:pt>
                <c:pt idx="350">
                  <c:v>35.82</c:v>
                </c:pt>
                <c:pt idx="351">
                  <c:v>32.6</c:v>
                </c:pt>
                <c:pt idx="352">
                  <c:v>36.020000000000003</c:v>
                </c:pt>
                <c:pt idx="353">
                  <c:v>45.69</c:v>
                </c:pt>
                <c:pt idx="354">
                  <c:v>47.01</c:v>
                </c:pt>
                <c:pt idx="355">
                  <c:v>51.24</c:v>
                </c:pt>
                <c:pt idx="356">
                  <c:v>53.43</c:v>
                </c:pt>
                <c:pt idx="357">
                  <c:v>51.22</c:v>
                </c:pt>
                <c:pt idx="358">
                  <c:v>57.9</c:v>
                </c:pt>
                <c:pt idx="359">
                  <c:v>54.49</c:v>
                </c:pt>
                <c:pt idx="360">
                  <c:v>55.89</c:v>
                </c:pt>
                <c:pt idx="361">
                  <c:v>60.44</c:v>
                </c:pt>
                <c:pt idx="362">
                  <c:v>57.88</c:v>
                </c:pt>
                <c:pt idx="363">
                  <c:v>60.42</c:v>
                </c:pt>
                <c:pt idx="364">
                  <c:v>65.39</c:v>
                </c:pt>
                <c:pt idx="365">
                  <c:v>66.569999999999993</c:v>
                </c:pt>
                <c:pt idx="367">
                  <c:v>64.03</c:v>
                </c:pt>
                <c:pt idx="368">
                  <c:v>62.98</c:v>
                </c:pt>
                <c:pt idx="369">
                  <c:v>60.84</c:v>
                </c:pt>
                <c:pt idx="370">
                  <c:v>57.85</c:v>
                </c:pt>
                <c:pt idx="371">
                  <c:v>52.21</c:v>
                </c:pt>
                <c:pt idx="372">
                  <c:v>44.15</c:v>
                </c:pt>
                <c:pt idx="373">
                  <c:v>47.67</c:v>
                </c:pt>
                <c:pt idx="374">
                  <c:v>46.61</c:v>
                </c:pt>
                <c:pt idx="375">
                  <c:v>40.96</c:v>
                </c:pt>
                <c:pt idx="376">
                  <c:v>46.78</c:v>
                </c:pt>
                <c:pt idx="377">
                  <c:v>48.59</c:v>
                </c:pt>
                <c:pt idx="378">
                  <c:v>46.28</c:v>
                </c:pt>
                <c:pt idx="379">
                  <c:v>45.42</c:v>
                </c:pt>
                <c:pt idx="380">
                  <c:v>47.61</c:v>
                </c:pt>
                <c:pt idx="381">
                  <c:v>37.99</c:v>
                </c:pt>
                <c:pt idx="382">
                  <c:v>34.659999999999997</c:v>
                </c:pt>
                <c:pt idx="383">
                  <c:v>44.84</c:v>
                </c:pt>
                <c:pt idx="384">
                  <c:v>38.35</c:v>
                </c:pt>
                <c:pt idx="385">
                  <c:v>35.29</c:v>
                </c:pt>
                <c:pt idx="386">
                  <c:v>34.89</c:v>
                </c:pt>
                <c:pt idx="387">
                  <c:v>36.01</c:v>
                </c:pt>
                <c:pt idx="388">
                  <c:v>36.909999999999997</c:v>
                </c:pt>
                <c:pt idx="389">
                  <c:v>43.04</c:v>
                </c:pt>
                <c:pt idx="390">
                  <c:v>41.35</c:v>
                </c:pt>
                <c:pt idx="391">
                  <c:v>47.28</c:v>
                </c:pt>
                <c:pt idx="392">
                  <c:v>48.32</c:v>
                </c:pt>
                <c:pt idx="393">
                  <c:v>49.8</c:v>
                </c:pt>
                <c:pt idx="394">
                  <c:v>45.33</c:v>
                </c:pt>
                <c:pt idx="395">
                  <c:v>51.75</c:v>
                </c:pt>
                <c:pt idx="396">
                  <c:v>50.04</c:v>
                </c:pt>
                <c:pt idx="397">
                  <c:v>53.68</c:v>
                </c:pt>
                <c:pt idx="398">
                  <c:v>54.28</c:v>
                </c:pt>
                <c:pt idx="399">
                  <c:v>49.8</c:v>
                </c:pt>
                <c:pt idx="400">
                  <c:v>46.72</c:v>
                </c:pt>
                <c:pt idx="401">
                  <c:v>42.24</c:v>
                </c:pt>
                <c:pt idx="402">
                  <c:v>45.06</c:v>
                </c:pt>
                <c:pt idx="403">
                  <c:v>40</c:v>
                </c:pt>
                <c:pt idx="404">
                  <c:v>35.5</c:v>
                </c:pt>
                <c:pt idx="405">
                  <c:v>41.33</c:v>
                </c:pt>
                <c:pt idx="406">
                  <c:v>38.19</c:v>
                </c:pt>
                <c:pt idx="407">
                  <c:v>44.98</c:v>
                </c:pt>
                <c:pt idx="408">
                  <c:v>52.35</c:v>
                </c:pt>
                <c:pt idx="409">
                  <c:v>55.75</c:v>
                </c:pt>
                <c:pt idx="410">
                  <c:v>55.99</c:v>
                </c:pt>
                <c:pt idx="411">
                  <c:v>54.62</c:v>
                </c:pt>
                <c:pt idx="412">
                  <c:v>52.9</c:v>
                </c:pt>
                <c:pt idx="413">
                  <c:v>55.04</c:v>
                </c:pt>
                <c:pt idx="414">
                  <c:v>57.08</c:v>
                </c:pt>
                <c:pt idx="415">
                  <c:v>56.79</c:v>
                </c:pt>
                <c:pt idx="416">
                  <c:v>53.81</c:v>
                </c:pt>
                <c:pt idx="417">
                  <c:v>58.38</c:v>
                </c:pt>
                <c:pt idx="418">
                  <c:v>61.55</c:v>
                </c:pt>
                <c:pt idx="419">
                  <c:v>70.430000000000007</c:v>
                </c:pt>
                <c:pt idx="420">
                  <c:v>68.7</c:v>
                </c:pt>
                <c:pt idx="421">
                  <c:v>65.34</c:v>
                </c:pt>
                <c:pt idx="422">
                  <c:v>62.06</c:v>
                </c:pt>
                <c:pt idx="423">
                  <c:v>71.680000000000007</c:v>
                </c:pt>
                <c:pt idx="424">
                  <c:v>71.94</c:v>
                </c:pt>
                <c:pt idx="425">
                  <c:v>68.47</c:v>
                </c:pt>
                <c:pt idx="426">
                  <c:v>70.63</c:v>
                </c:pt>
                <c:pt idx="427">
                  <c:v>74.739999999999995</c:v>
                </c:pt>
                <c:pt idx="428">
                  <c:v>72.959999999999994</c:v>
                </c:pt>
                <c:pt idx="430">
                  <c:v>70.040000000000006</c:v>
                </c:pt>
                <c:pt idx="431">
                  <c:v>66.260000000000005</c:v>
                </c:pt>
                <c:pt idx="432">
                  <c:v>71.55</c:v>
                </c:pt>
                <c:pt idx="433">
                  <c:v>76.39</c:v>
                </c:pt>
                <c:pt idx="434">
                  <c:v>75.510000000000005</c:v>
                </c:pt>
                <c:pt idx="435">
                  <c:v>72.78</c:v>
                </c:pt>
                <c:pt idx="436">
                  <c:v>71.62</c:v>
                </c:pt>
                <c:pt idx="437">
                  <c:v>73.14</c:v>
                </c:pt>
                <c:pt idx="438">
                  <c:v>70.48</c:v>
                </c:pt>
                <c:pt idx="439">
                  <c:v>68.36</c:v>
                </c:pt>
                <c:pt idx="440">
                  <c:v>66.87</c:v>
                </c:pt>
                <c:pt idx="441">
                  <c:v>65.650000000000006</c:v>
                </c:pt>
                <c:pt idx="442">
                  <c:v>60.62</c:v>
                </c:pt>
                <c:pt idx="443">
                  <c:v>58.12</c:v>
                </c:pt>
                <c:pt idx="444">
                  <c:v>55.5</c:v>
                </c:pt>
                <c:pt idx="445">
                  <c:v>59.33</c:v>
                </c:pt>
                <c:pt idx="446">
                  <c:v>58.53</c:v>
                </c:pt>
                <c:pt idx="447">
                  <c:v>53.52</c:v>
                </c:pt>
                <c:pt idx="448">
                  <c:v>52.93</c:v>
                </c:pt>
                <c:pt idx="449">
                  <c:v>48.82</c:v>
                </c:pt>
                <c:pt idx="450">
                  <c:v>63.74</c:v>
                </c:pt>
                <c:pt idx="451">
                  <c:v>58.54</c:v>
                </c:pt>
                <c:pt idx="452">
                  <c:v>51.84</c:v>
                </c:pt>
                <c:pt idx="453">
                  <c:v>53.4</c:v>
                </c:pt>
                <c:pt idx="454">
                  <c:v>59.7</c:v>
                </c:pt>
                <c:pt idx="455">
                  <c:v>59.45</c:v>
                </c:pt>
                <c:pt idx="456">
                  <c:v>52.14</c:v>
                </c:pt>
                <c:pt idx="457">
                  <c:v>53.16</c:v>
                </c:pt>
                <c:pt idx="458">
                  <c:v>53.91</c:v>
                </c:pt>
                <c:pt idx="459">
                  <c:v>56.92</c:v>
                </c:pt>
                <c:pt idx="460">
                  <c:v>56.52</c:v>
                </c:pt>
                <c:pt idx="461">
                  <c:v>59.19</c:v>
                </c:pt>
                <c:pt idx="462">
                  <c:v>63.36</c:v>
                </c:pt>
                <c:pt idx="463">
                  <c:v>55.98</c:v>
                </c:pt>
                <c:pt idx="464">
                  <c:v>48.9</c:v>
                </c:pt>
                <c:pt idx="465">
                  <c:v>53.78</c:v>
                </c:pt>
                <c:pt idx="466">
                  <c:v>50.3</c:v>
                </c:pt>
                <c:pt idx="467">
                  <c:v>53.49</c:v>
                </c:pt>
                <c:pt idx="468">
                  <c:v>50.04</c:v>
                </c:pt>
                <c:pt idx="469">
                  <c:v>52.16</c:v>
                </c:pt>
                <c:pt idx="470">
                  <c:v>53.41</c:v>
                </c:pt>
                <c:pt idx="472">
                  <c:v>43.51</c:v>
                </c:pt>
                <c:pt idx="473">
                  <c:v>44.73</c:v>
                </c:pt>
                <c:pt idx="474">
                  <c:v>38.159999999999997</c:v>
                </c:pt>
                <c:pt idx="475">
                  <c:v>43</c:v>
                </c:pt>
                <c:pt idx="476">
                  <c:v>46.44</c:v>
                </c:pt>
                <c:pt idx="477">
                  <c:v>50.05</c:v>
                </c:pt>
                <c:pt idx="478">
                  <c:v>51.86</c:v>
                </c:pt>
                <c:pt idx="479">
                  <c:v>57.96</c:v>
                </c:pt>
                <c:pt idx="480">
                  <c:v>55.63</c:v>
                </c:pt>
                <c:pt idx="481">
                  <c:v>55.06</c:v>
                </c:pt>
                <c:pt idx="483">
                  <c:v>57.01</c:v>
                </c:pt>
                <c:pt idx="484">
                  <c:v>56.16</c:v>
                </c:pt>
                <c:pt idx="485">
                  <c:v>49.39</c:v>
                </c:pt>
                <c:pt idx="486">
                  <c:v>47.96</c:v>
                </c:pt>
                <c:pt idx="487">
                  <c:v>46.97</c:v>
                </c:pt>
                <c:pt idx="488">
                  <c:v>55.31</c:v>
                </c:pt>
                <c:pt idx="489">
                  <c:v>55.74</c:v>
                </c:pt>
                <c:pt idx="490">
                  <c:v>56.35</c:v>
                </c:pt>
                <c:pt idx="491">
                  <c:v>60.37</c:v>
                </c:pt>
                <c:pt idx="492">
                  <c:v>58.69</c:v>
                </c:pt>
                <c:pt idx="493">
                  <c:v>60.37</c:v>
                </c:pt>
                <c:pt idx="494">
                  <c:v>55.72</c:v>
                </c:pt>
                <c:pt idx="495">
                  <c:v>55.99</c:v>
                </c:pt>
                <c:pt idx="496">
                  <c:v>46.29</c:v>
                </c:pt>
                <c:pt idx="497">
                  <c:v>44.38</c:v>
                </c:pt>
                <c:pt idx="498">
                  <c:v>48.82</c:v>
                </c:pt>
                <c:pt idx="500">
                  <c:v>54.33</c:v>
                </c:pt>
                <c:pt idx="501">
                  <c:v>52.67</c:v>
                </c:pt>
                <c:pt idx="502">
                  <c:v>62.3</c:v>
                </c:pt>
                <c:pt idx="503">
                  <c:v>66.08</c:v>
                </c:pt>
                <c:pt idx="504">
                  <c:v>62.99</c:v>
                </c:pt>
                <c:pt idx="505">
                  <c:v>69.94</c:v>
                </c:pt>
                <c:pt idx="506">
                  <c:v>72.56</c:v>
                </c:pt>
                <c:pt idx="507">
                  <c:v>65.650000000000006</c:v>
                </c:pt>
                <c:pt idx="508">
                  <c:v>65.28</c:v>
                </c:pt>
                <c:pt idx="509">
                  <c:v>67.3</c:v>
                </c:pt>
                <c:pt idx="510">
                  <c:v>70.25</c:v>
                </c:pt>
                <c:pt idx="511">
                  <c:v>67.61</c:v>
                </c:pt>
                <c:pt idx="512">
                  <c:v>63.04</c:v>
                </c:pt>
                <c:pt idx="513">
                  <c:v>66.06</c:v>
                </c:pt>
                <c:pt idx="514">
                  <c:v>59.58</c:v>
                </c:pt>
                <c:pt idx="515">
                  <c:v>59.24</c:v>
                </c:pt>
                <c:pt idx="516">
                  <c:v>57.27</c:v>
                </c:pt>
                <c:pt idx="517">
                  <c:v>51.3</c:v>
                </c:pt>
                <c:pt idx="518">
                  <c:v>56.93</c:v>
                </c:pt>
                <c:pt idx="519">
                  <c:v>61.21</c:v>
                </c:pt>
                <c:pt idx="520">
                  <c:v>59.14</c:v>
                </c:pt>
                <c:pt idx="521">
                  <c:v>61.16</c:v>
                </c:pt>
                <c:pt idx="522">
                  <c:v>63.44</c:v>
                </c:pt>
                <c:pt idx="523">
                  <c:v>58.95</c:v>
                </c:pt>
                <c:pt idx="524">
                  <c:v>57.15</c:v>
                </c:pt>
                <c:pt idx="525">
                  <c:v>50.33</c:v>
                </c:pt>
                <c:pt idx="526">
                  <c:v>41.56</c:v>
                </c:pt>
                <c:pt idx="527">
                  <c:v>36.65</c:v>
                </c:pt>
                <c:pt idx="528">
                  <c:v>32.479999999999997</c:v>
                </c:pt>
                <c:pt idx="529">
                  <c:v>32.01</c:v>
                </c:pt>
                <c:pt idx="530">
                  <c:v>34.19</c:v>
                </c:pt>
                <c:pt idx="531">
                  <c:v>40.590000000000003</c:v>
                </c:pt>
                <c:pt idx="532">
                  <c:v>42.36</c:v>
                </c:pt>
                <c:pt idx="533">
                  <c:v>45.09</c:v>
                </c:pt>
                <c:pt idx="534">
                  <c:v>40.32</c:v>
                </c:pt>
                <c:pt idx="535">
                  <c:v>41.34</c:v>
                </c:pt>
                <c:pt idx="536">
                  <c:v>39.799999999999997</c:v>
                </c:pt>
                <c:pt idx="537">
                  <c:v>42.57</c:v>
                </c:pt>
                <c:pt idx="538">
                  <c:v>51.14</c:v>
                </c:pt>
                <c:pt idx="539">
                  <c:v>56.07</c:v>
                </c:pt>
                <c:pt idx="541">
                  <c:v>65.2</c:v>
                </c:pt>
                <c:pt idx="542">
                  <c:v>64.31</c:v>
                </c:pt>
                <c:pt idx="543">
                  <c:v>56.14</c:v>
                </c:pt>
                <c:pt idx="544">
                  <c:v>55.66</c:v>
                </c:pt>
                <c:pt idx="545">
                  <c:v>58.78</c:v>
                </c:pt>
                <c:pt idx="546">
                  <c:v>64.709999999999994</c:v>
                </c:pt>
                <c:pt idx="547">
                  <c:v>64.349999999999994</c:v>
                </c:pt>
                <c:pt idx="548">
                  <c:v>62.29</c:v>
                </c:pt>
                <c:pt idx="549">
                  <c:v>59.65</c:v>
                </c:pt>
                <c:pt idx="550">
                  <c:v>60.64</c:v>
                </c:pt>
                <c:pt idx="551">
                  <c:v>61.04</c:v>
                </c:pt>
                <c:pt idx="552">
                  <c:v>69.42</c:v>
                </c:pt>
                <c:pt idx="553">
                  <c:v>68.11</c:v>
                </c:pt>
                <c:pt idx="554">
                  <c:v>65.27</c:v>
                </c:pt>
                <c:pt idx="555">
                  <c:v>61.98</c:v>
                </c:pt>
                <c:pt idx="556">
                  <c:v>71.16</c:v>
                </c:pt>
                <c:pt idx="557">
                  <c:v>68</c:v>
                </c:pt>
                <c:pt idx="558">
                  <c:v>62.41</c:v>
                </c:pt>
                <c:pt idx="559">
                  <c:v>60.59</c:v>
                </c:pt>
                <c:pt idx="560">
                  <c:v>59.99</c:v>
                </c:pt>
                <c:pt idx="561">
                  <c:v>59.89</c:v>
                </c:pt>
                <c:pt idx="562">
                  <c:v>61.51</c:v>
                </c:pt>
                <c:pt idx="563">
                  <c:v>60.86</c:v>
                </c:pt>
                <c:pt idx="564">
                  <c:v>60.78</c:v>
                </c:pt>
                <c:pt idx="565">
                  <c:v>64.34</c:v>
                </c:pt>
                <c:pt idx="566">
                  <c:v>62.79</c:v>
                </c:pt>
                <c:pt idx="567">
                  <c:v>61.22</c:v>
                </c:pt>
                <c:pt idx="568">
                  <c:v>59.36</c:v>
                </c:pt>
                <c:pt idx="570">
                  <c:v>53.43</c:v>
                </c:pt>
                <c:pt idx="571">
                  <c:v>52.51</c:v>
                </c:pt>
                <c:pt idx="572">
                  <c:v>48.47</c:v>
                </c:pt>
                <c:pt idx="573">
                  <c:v>49.64</c:v>
                </c:pt>
                <c:pt idx="574">
                  <c:v>56.8</c:v>
                </c:pt>
                <c:pt idx="575">
                  <c:v>52.62</c:v>
                </c:pt>
                <c:pt idx="576">
                  <c:v>59.63</c:v>
                </c:pt>
                <c:pt idx="577">
                  <c:v>59.84</c:v>
                </c:pt>
                <c:pt idx="578">
                  <c:v>60.56</c:v>
                </c:pt>
                <c:pt idx="579">
                  <c:v>59.46</c:v>
                </c:pt>
                <c:pt idx="580">
                  <c:v>63.93</c:v>
                </c:pt>
                <c:pt idx="581">
                  <c:v>66.349999999999994</c:v>
                </c:pt>
                <c:pt idx="582">
                  <c:v>56.98</c:v>
                </c:pt>
                <c:pt idx="583">
                  <c:v>62.87</c:v>
                </c:pt>
                <c:pt idx="584">
                  <c:v>59.95</c:v>
                </c:pt>
                <c:pt idx="585">
                  <c:v>56.71</c:v>
                </c:pt>
                <c:pt idx="586">
                  <c:v>53.82</c:v>
                </c:pt>
                <c:pt idx="587">
                  <c:v>47.4</c:v>
                </c:pt>
                <c:pt idx="588">
                  <c:v>56.88</c:v>
                </c:pt>
                <c:pt idx="589">
                  <c:v>48.5</c:v>
                </c:pt>
                <c:pt idx="590">
                  <c:v>52.77</c:v>
                </c:pt>
                <c:pt idx="591">
                  <c:v>55.49</c:v>
                </c:pt>
                <c:pt idx="592">
                  <c:v>56.66</c:v>
                </c:pt>
                <c:pt idx="593">
                  <c:v>57.28</c:v>
                </c:pt>
                <c:pt idx="595">
                  <c:v>62.34</c:v>
                </c:pt>
                <c:pt idx="596">
                  <c:v>60.48</c:v>
                </c:pt>
                <c:pt idx="597">
                  <c:v>60.6</c:v>
                </c:pt>
                <c:pt idx="598">
                  <c:v>62.34</c:v>
                </c:pt>
                <c:pt idx="599">
                  <c:v>61.02</c:v>
                </c:pt>
                <c:pt idx="600">
                  <c:v>57.14</c:v>
                </c:pt>
                <c:pt idx="601">
                  <c:v>58.78</c:v>
                </c:pt>
                <c:pt idx="602">
                  <c:v>59.78</c:v>
                </c:pt>
                <c:pt idx="603">
                  <c:v>65.67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E3-4BB2-93AC-A44BD2BD4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out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섬유</a:t>
            </a:r>
            <a:r>
              <a:rPr lang="en-US" altLang="ko-KR"/>
              <a:t>·</a:t>
            </a:r>
            <a:r>
              <a:rPr lang="ko-KR" altLang="en-US"/>
              <a:t>의류  </a:t>
            </a:r>
            <a:r>
              <a:rPr lang="en-US"/>
              <a:t>vs  </a:t>
            </a:r>
            <a:r>
              <a:rPr lang="ko-KR" altLang="en-US"/>
              <a:t>경기소비재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RSI'!$C$7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RSI'!$C$78:$C$3077</c:f>
              <c:numCache>
                <c:formatCode>0.00</c:formatCode>
                <c:ptCount val="3000"/>
                <c:pt idx="1">
                  <c:v>58.42</c:v>
                </c:pt>
                <c:pt idx="2">
                  <c:v>63.36</c:v>
                </c:pt>
                <c:pt idx="3">
                  <c:v>60.07</c:v>
                </c:pt>
                <c:pt idx="4">
                  <c:v>59.94</c:v>
                </c:pt>
                <c:pt idx="5">
                  <c:v>57.81</c:v>
                </c:pt>
                <c:pt idx="6">
                  <c:v>56.39</c:v>
                </c:pt>
                <c:pt idx="7">
                  <c:v>56.7</c:v>
                </c:pt>
                <c:pt idx="8">
                  <c:v>59.63</c:v>
                </c:pt>
                <c:pt idx="9">
                  <c:v>58.8</c:v>
                </c:pt>
                <c:pt idx="10">
                  <c:v>57.99</c:v>
                </c:pt>
                <c:pt idx="11">
                  <c:v>57.3</c:v>
                </c:pt>
                <c:pt idx="12">
                  <c:v>53.43</c:v>
                </c:pt>
                <c:pt idx="13">
                  <c:v>52.8</c:v>
                </c:pt>
                <c:pt idx="14">
                  <c:v>48.92</c:v>
                </c:pt>
                <c:pt idx="15">
                  <c:v>54.25</c:v>
                </c:pt>
                <c:pt idx="16">
                  <c:v>49.38</c:v>
                </c:pt>
                <c:pt idx="17">
                  <c:v>47.79</c:v>
                </c:pt>
                <c:pt idx="18">
                  <c:v>43.12</c:v>
                </c:pt>
                <c:pt idx="19">
                  <c:v>42.2</c:v>
                </c:pt>
                <c:pt idx="20">
                  <c:v>43.19</c:v>
                </c:pt>
                <c:pt idx="21">
                  <c:v>43.37</c:v>
                </c:pt>
                <c:pt idx="22">
                  <c:v>48.06</c:v>
                </c:pt>
                <c:pt idx="23">
                  <c:v>41.58</c:v>
                </c:pt>
                <c:pt idx="24">
                  <c:v>46.26</c:v>
                </c:pt>
                <c:pt idx="25">
                  <c:v>50.9</c:v>
                </c:pt>
                <c:pt idx="26">
                  <c:v>47.24</c:v>
                </c:pt>
                <c:pt idx="27">
                  <c:v>48.54</c:v>
                </c:pt>
                <c:pt idx="28">
                  <c:v>46.64</c:v>
                </c:pt>
                <c:pt idx="29">
                  <c:v>43.29</c:v>
                </c:pt>
                <c:pt idx="30">
                  <c:v>49.6</c:v>
                </c:pt>
                <c:pt idx="31">
                  <c:v>42.44</c:v>
                </c:pt>
                <c:pt idx="32">
                  <c:v>44.38</c:v>
                </c:pt>
                <c:pt idx="33">
                  <c:v>44.28</c:v>
                </c:pt>
                <c:pt idx="34">
                  <c:v>42.43</c:v>
                </c:pt>
                <c:pt idx="35">
                  <c:v>44.08</c:v>
                </c:pt>
                <c:pt idx="36">
                  <c:v>47.14</c:v>
                </c:pt>
                <c:pt idx="37">
                  <c:v>45.21</c:v>
                </c:pt>
                <c:pt idx="38">
                  <c:v>38.53</c:v>
                </c:pt>
                <c:pt idx="39">
                  <c:v>35.6</c:v>
                </c:pt>
                <c:pt idx="40">
                  <c:v>40.9</c:v>
                </c:pt>
                <c:pt idx="41">
                  <c:v>41.14</c:v>
                </c:pt>
                <c:pt idx="42">
                  <c:v>33.19</c:v>
                </c:pt>
                <c:pt idx="43">
                  <c:v>49.73</c:v>
                </c:pt>
                <c:pt idx="45">
                  <c:v>59.33</c:v>
                </c:pt>
                <c:pt idx="46">
                  <c:v>60.33</c:v>
                </c:pt>
                <c:pt idx="47">
                  <c:v>66.319999999999993</c:v>
                </c:pt>
                <c:pt idx="48">
                  <c:v>63.38</c:v>
                </c:pt>
                <c:pt idx="49">
                  <c:v>70.02</c:v>
                </c:pt>
                <c:pt idx="50">
                  <c:v>62.77</c:v>
                </c:pt>
                <c:pt idx="51">
                  <c:v>64.02</c:v>
                </c:pt>
                <c:pt idx="54">
                  <c:v>61.19</c:v>
                </c:pt>
                <c:pt idx="55">
                  <c:v>64.14</c:v>
                </c:pt>
                <c:pt idx="56">
                  <c:v>66.45</c:v>
                </c:pt>
                <c:pt idx="57">
                  <c:v>71.78</c:v>
                </c:pt>
                <c:pt idx="58">
                  <c:v>65.59</c:v>
                </c:pt>
                <c:pt idx="59">
                  <c:v>65.709999999999994</c:v>
                </c:pt>
                <c:pt idx="60">
                  <c:v>73.84</c:v>
                </c:pt>
                <c:pt idx="61">
                  <c:v>70.040000000000006</c:v>
                </c:pt>
                <c:pt idx="62">
                  <c:v>64.23</c:v>
                </c:pt>
                <c:pt idx="63">
                  <c:v>59.93</c:v>
                </c:pt>
                <c:pt idx="64">
                  <c:v>65.569999999999993</c:v>
                </c:pt>
                <c:pt idx="65">
                  <c:v>58.81</c:v>
                </c:pt>
                <c:pt idx="66">
                  <c:v>57.59</c:v>
                </c:pt>
                <c:pt idx="67">
                  <c:v>47.39</c:v>
                </c:pt>
                <c:pt idx="68">
                  <c:v>48.03</c:v>
                </c:pt>
                <c:pt idx="69">
                  <c:v>48.5</c:v>
                </c:pt>
                <c:pt idx="70">
                  <c:v>44.46</c:v>
                </c:pt>
                <c:pt idx="71">
                  <c:v>43.94</c:v>
                </c:pt>
                <c:pt idx="72">
                  <c:v>44.84</c:v>
                </c:pt>
                <c:pt idx="73">
                  <c:v>38.08</c:v>
                </c:pt>
                <c:pt idx="74">
                  <c:v>41.62</c:v>
                </c:pt>
                <c:pt idx="75">
                  <c:v>41.25</c:v>
                </c:pt>
                <c:pt idx="76">
                  <c:v>39.56</c:v>
                </c:pt>
                <c:pt idx="77">
                  <c:v>32.29</c:v>
                </c:pt>
                <c:pt idx="78">
                  <c:v>33.590000000000003</c:v>
                </c:pt>
                <c:pt idx="79">
                  <c:v>33.94</c:v>
                </c:pt>
                <c:pt idx="80">
                  <c:v>32.22</c:v>
                </c:pt>
                <c:pt idx="81">
                  <c:v>35.979999999999997</c:v>
                </c:pt>
                <c:pt idx="82">
                  <c:v>32.89</c:v>
                </c:pt>
                <c:pt idx="83">
                  <c:v>35.130000000000003</c:v>
                </c:pt>
                <c:pt idx="84">
                  <c:v>37.19</c:v>
                </c:pt>
                <c:pt idx="86">
                  <c:v>40.67</c:v>
                </c:pt>
                <c:pt idx="87">
                  <c:v>42.43</c:v>
                </c:pt>
                <c:pt idx="88">
                  <c:v>48.67</c:v>
                </c:pt>
                <c:pt idx="89">
                  <c:v>54</c:v>
                </c:pt>
                <c:pt idx="90">
                  <c:v>57.27</c:v>
                </c:pt>
                <c:pt idx="91">
                  <c:v>65.760000000000005</c:v>
                </c:pt>
                <c:pt idx="92">
                  <c:v>68.739999999999995</c:v>
                </c:pt>
                <c:pt idx="93">
                  <c:v>70.349999999999994</c:v>
                </c:pt>
                <c:pt idx="94">
                  <c:v>74.87</c:v>
                </c:pt>
                <c:pt idx="95">
                  <c:v>68.290000000000006</c:v>
                </c:pt>
                <c:pt idx="96">
                  <c:v>66.930000000000007</c:v>
                </c:pt>
                <c:pt idx="97">
                  <c:v>64.39</c:v>
                </c:pt>
                <c:pt idx="98">
                  <c:v>61.45</c:v>
                </c:pt>
                <c:pt idx="99">
                  <c:v>56.98</c:v>
                </c:pt>
                <c:pt idx="100">
                  <c:v>58.01</c:v>
                </c:pt>
                <c:pt idx="101">
                  <c:v>56.97</c:v>
                </c:pt>
                <c:pt idx="102">
                  <c:v>58.23</c:v>
                </c:pt>
                <c:pt idx="103">
                  <c:v>62.53</c:v>
                </c:pt>
                <c:pt idx="104">
                  <c:v>65.040000000000006</c:v>
                </c:pt>
                <c:pt idx="105">
                  <c:v>63.3</c:v>
                </c:pt>
                <c:pt idx="106">
                  <c:v>56.97</c:v>
                </c:pt>
                <c:pt idx="107">
                  <c:v>60.25</c:v>
                </c:pt>
                <c:pt idx="108">
                  <c:v>58.8</c:v>
                </c:pt>
                <c:pt idx="109">
                  <c:v>57.02</c:v>
                </c:pt>
                <c:pt idx="110">
                  <c:v>53.87</c:v>
                </c:pt>
                <c:pt idx="111">
                  <c:v>57.36</c:v>
                </c:pt>
                <c:pt idx="112">
                  <c:v>65.48</c:v>
                </c:pt>
                <c:pt idx="113">
                  <c:v>68.69</c:v>
                </c:pt>
                <c:pt idx="114">
                  <c:v>61.63</c:v>
                </c:pt>
                <c:pt idx="115">
                  <c:v>60.43</c:v>
                </c:pt>
                <c:pt idx="116">
                  <c:v>68.73</c:v>
                </c:pt>
                <c:pt idx="117">
                  <c:v>69.11</c:v>
                </c:pt>
                <c:pt idx="118">
                  <c:v>68.33</c:v>
                </c:pt>
                <c:pt idx="119">
                  <c:v>67.56</c:v>
                </c:pt>
                <c:pt idx="120">
                  <c:v>63.24</c:v>
                </c:pt>
                <c:pt idx="121">
                  <c:v>50.47</c:v>
                </c:pt>
                <c:pt idx="122">
                  <c:v>38.18</c:v>
                </c:pt>
                <c:pt idx="123">
                  <c:v>42.41</c:v>
                </c:pt>
                <c:pt idx="124">
                  <c:v>28.17</c:v>
                </c:pt>
                <c:pt idx="125">
                  <c:v>30.31</c:v>
                </c:pt>
                <c:pt idx="126">
                  <c:v>29.26</c:v>
                </c:pt>
                <c:pt idx="127">
                  <c:v>34.380000000000003</c:v>
                </c:pt>
                <c:pt idx="128">
                  <c:v>35.090000000000003</c:v>
                </c:pt>
                <c:pt idx="129">
                  <c:v>39.76</c:v>
                </c:pt>
                <c:pt idx="130">
                  <c:v>49.08</c:v>
                </c:pt>
                <c:pt idx="131">
                  <c:v>50.67</c:v>
                </c:pt>
                <c:pt idx="132">
                  <c:v>47.52</c:v>
                </c:pt>
                <c:pt idx="133">
                  <c:v>50.06</c:v>
                </c:pt>
                <c:pt idx="134">
                  <c:v>49.8</c:v>
                </c:pt>
                <c:pt idx="135">
                  <c:v>43.27</c:v>
                </c:pt>
                <c:pt idx="136">
                  <c:v>44.08</c:v>
                </c:pt>
                <c:pt idx="137">
                  <c:v>34.93</c:v>
                </c:pt>
                <c:pt idx="138">
                  <c:v>41.71</c:v>
                </c:pt>
                <c:pt idx="139">
                  <c:v>41.22</c:v>
                </c:pt>
                <c:pt idx="140">
                  <c:v>30.02</c:v>
                </c:pt>
                <c:pt idx="141">
                  <c:v>31.12</c:v>
                </c:pt>
                <c:pt idx="142">
                  <c:v>31.47</c:v>
                </c:pt>
                <c:pt idx="148">
                  <c:v>35.630000000000003</c:v>
                </c:pt>
                <c:pt idx="149">
                  <c:v>31.53</c:v>
                </c:pt>
                <c:pt idx="150">
                  <c:v>28.97</c:v>
                </c:pt>
                <c:pt idx="151">
                  <c:v>32.82</c:v>
                </c:pt>
                <c:pt idx="152">
                  <c:v>30.93</c:v>
                </c:pt>
                <c:pt idx="153">
                  <c:v>36.53</c:v>
                </c:pt>
                <c:pt idx="154">
                  <c:v>39.119999999999997</c:v>
                </c:pt>
                <c:pt idx="155">
                  <c:v>42.17</c:v>
                </c:pt>
                <c:pt idx="156">
                  <c:v>45.1</c:v>
                </c:pt>
                <c:pt idx="157">
                  <c:v>46.89</c:v>
                </c:pt>
                <c:pt idx="158">
                  <c:v>54.82</c:v>
                </c:pt>
                <c:pt idx="159">
                  <c:v>52.34</c:v>
                </c:pt>
                <c:pt idx="160">
                  <c:v>51.9</c:v>
                </c:pt>
                <c:pt idx="161">
                  <c:v>56.42</c:v>
                </c:pt>
                <c:pt idx="162">
                  <c:v>56.92</c:v>
                </c:pt>
                <c:pt idx="163">
                  <c:v>55.62</c:v>
                </c:pt>
                <c:pt idx="164">
                  <c:v>52.56</c:v>
                </c:pt>
                <c:pt idx="165">
                  <c:v>53.53</c:v>
                </c:pt>
                <c:pt idx="166">
                  <c:v>48.8</c:v>
                </c:pt>
                <c:pt idx="167">
                  <c:v>48</c:v>
                </c:pt>
                <c:pt idx="168">
                  <c:v>43.11</c:v>
                </c:pt>
                <c:pt idx="169">
                  <c:v>36.53</c:v>
                </c:pt>
                <c:pt idx="170">
                  <c:v>33.18</c:v>
                </c:pt>
                <c:pt idx="171">
                  <c:v>33.57</c:v>
                </c:pt>
                <c:pt idx="172">
                  <c:v>37.97</c:v>
                </c:pt>
                <c:pt idx="173">
                  <c:v>39.15</c:v>
                </c:pt>
                <c:pt idx="174">
                  <c:v>40.25</c:v>
                </c:pt>
                <c:pt idx="175">
                  <c:v>41.69</c:v>
                </c:pt>
                <c:pt idx="176">
                  <c:v>34.979999999999997</c:v>
                </c:pt>
                <c:pt idx="177">
                  <c:v>32.54</c:v>
                </c:pt>
                <c:pt idx="178">
                  <c:v>33.53</c:v>
                </c:pt>
                <c:pt idx="179">
                  <c:v>26.66</c:v>
                </c:pt>
                <c:pt idx="180">
                  <c:v>24.31</c:v>
                </c:pt>
                <c:pt idx="181">
                  <c:v>25.04</c:v>
                </c:pt>
                <c:pt idx="183">
                  <c:v>29.33</c:v>
                </c:pt>
                <c:pt idx="184">
                  <c:v>26</c:v>
                </c:pt>
                <c:pt idx="185">
                  <c:v>26.61</c:v>
                </c:pt>
                <c:pt idx="186">
                  <c:v>28.35</c:v>
                </c:pt>
                <c:pt idx="187">
                  <c:v>30.73</c:v>
                </c:pt>
                <c:pt idx="188">
                  <c:v>30.79</c:v>
                </c:pt>
                <c:pt idx="189">
                  <c:v>31.57</c:v>
                </c:pt>
                <c:pt idx="190">
                  <c:v>27.53</c:v>
                </c:pt>
                <c:pt idx="191">
                  <c:v>28.62</c:v>
                </c:pt>
                <c:pt idx="192">
                  <c:v>27.03</c:v>
                </c:pt>
                <c:pt idx="193">
                  <c:v>34.340000000000003</c:v>
                </c:pt>
                <c:pt idx="194">
                  <c:v>31.58</c:v>
                </c:pt>
                <c:pt idx="195">
                  <c:v>32.07</c:v>
                </c:pt>
                <c:pt idx="196">
                  <c:v>30.23</c:v>
                </c:pt>
                <c:pt idx="197">
                  <c:v>34.950000000000003</c:v>
                </c:pt>
                <c:pt idx="198">
                  <c:v>41.36</c:v>
                </c:pt>
                <c:pt idx="199">
                  <c:v>48.77</c:v>
                </c:pt>
                <c:pt idx="200">
                  <c:v>53.89</c:v>
                </c:pt>
                <c:pt idx="201">
                  <c:v>54.02</c:v>
                </c:pt>
                <c:pt idx="202">
                  <c:v>58.16</c:v>
                </c:pt>
                <c:pt idx="203">
                  <c:v>65</c:v>
                </c:pt>
                <c:pt idx="204">
                  <c:v>65</c:v>
                </c:pt>
                <c:pt idx="205">
                  <c:v>68.64</c:v>
                </c:pt>
                <c:pt idx="206">
                  <c:v>72.7</c:v>
                </c:pt>
                <c:pt idx="207">
                  <c:v>71.56</c:v>
                </c:pt>
                <c:pt idx="208">
                  <c:v>72.650000000000006</c:v>
                </c:pt>
                <c:pt idx="209">
                  <c:v>73.680000000000007</c:v>
                </c:pt>
                <c:pt idx="210">
                  <c:v>68.55</c:v>
                </c:pt>
                <c:pt idx="211">
                  <c:v>67.19</c:v>
                </c:pt>
                <c:pt idx="212">
                  <c:v>63.65</c:v>
                </c:pt>
                <c:pt idx="213">
                  <c:v>72.150000000000006</c:v>
                </c:pt>
                <c:pt idx="214">
                  <c:v>69.739999999999995</c:v>
                </c:pt>
                <c:pt idx="215">
                  <c:v>67.790000000000006</c:v>
                </c:pt>
                <c:pt idx="216">
                  <c:v>61.94</c:v>
                </c:pt>
                <c:pt idx="217">
                  <c:v>60.05</c:v>
                </c:pt>
                <c:pt idx="218">
                  <c:v>64.209999999999994</c:v>
                </c:pt>
                <c:pt idx="219">
                  <c:v>63.48</c:v>
                </c:pt>
                <c:pt idx="220">
                  <c:v>63.29</c:v>
                </c:pt>
                <c:pt idx="221">
                  <c:v>60.59</c:v>
                </c:pt>
                <c:pt idx="222">
                  <c:v>66.58</c:v>
                </c:pt>
                <c:pt idx="223">
                  <c:v>71.16</c:v>
                </c:pt>
                <c:pt idx="224">
                  <c:v>67.040000000000006</c:v>
                </c:pt>
                <c:pt idx="225">
                  <c:v>65.05</c:v>
                </c:pt>
                <c:pt idx="226">
                  <c:v>65.09</c:v>
                </c:pt>
                <c:pt idx="227">
                  <c:v>60.5</c:v>
                </c:pt>
                <c:pt idx="228">
                  <c:v>77.08</c:v>
                </c:pt>
                <c:pt idx="229">
                  <c:v>76.680000000000007</c:v>
                </c:pt>
                <c:pt idx="230">
                  <c:v>76.39</c:v>
                </c:pt>
                <c:pt idx="231">
                  <c:v>75.63</c:v>
                </c:pt>
                <c:pt idx="233">
                  <c:v>73.91</c:v>
                </c:pt>
                <c:pt idx="234">
                  <c:v>72.489999999999995</c:v>
                </c:pt>
                <c:pt idx="236">
                  <c:v>67.84</c:v>
                </c:pt>
                <c:pt idx="237">
                  <c:v>72.56</c:v>
                </c:pt>
                <c:pt idx="238">
                  <c:v>71.52</c:v>
                </c:pt>
                <c:pt idx="239">
                  <c:v>66.12</c:v>
                </c:pt>
                <c:pt idx="240">
                  <c:v>69.37</c:v>
                </c:pt>
                <c:pt idx="241">
                  <c:v>67.81</c:v>
                </c:pt>
                <c:pt idx="242">
                  <c:v>66</c:v>
                </c:pt>
                <c:pt idx="243">
                  <c:v>62.58</c:v>
                </c:pt>
                <c:pt idx="244">
                  <c:v>55.2</c:v>
                </c:pt>
                <c:pt idx="245">
                  <c:v>54.1</c:v>
                </c:pt>
                <c:pt idx="246">
                  <c:v>51.91</c:v>
                </c:pt>
                <c:pt idx="247">
                  <c:v>53.84</c:v>
                </c:pt>
                <c:pt idx="248">
                  <c:v>59.72</c:v>
                </c:pt>
                <c:pt idx="249">
                  <c:v>67.77</c:v>
                </c:pt>
                <c:pt idx="250">
                  <c:v>65.06</c:v>
                </c:pt>
                <c:pt idx="251">
                  <c:v>62.87</c:v>
                </c:pt>
                <c:pt idx="252">
                  <c:v>56</c:v>
                </c:pt>
                <c:pt idx="253">
                  <c:v>56.79</c:v>
                </c:pt>
                <c:pt idx="254">
                  <c:v>59.36</c:v>
                </c:pt>
                <c:pt idx="257">
                  <c:v>62.88</c:v>
                </c:pt>
                <c:pt idx="259">
                  <c:v>62.61</c:v>
                </c:pt>
                <c:pt idx="260">
                  <c:v>61.82</c:v>
                </c:pt>
                <c:pt idx="261">
                  <c:v>58.07</c:v>
                </c:pt>
                <c:pt idx="262">
                  <c:v>59.4</c:v>
                </c:pt>
                <c:pt idx="263">
                  <c:v>59.31</c:v>
                </c:pt>
                <c:pt idx="264">
                  <c:v>59.32</c:v>
                </c:pt>
                <c:pt idx="265">
                  <c:v>53.34</c:v>
                </c:pt>
                <c:pt idx="266">
                  <c:v>58.64</c:v>
                </c:pt>
                <c:pt idx="267">
                  <c:v>56.45</c:v>
                </c:pt>
                <c:pt idx="268">
                  <c:v>50.7</c:v>
                </c:pt>
                <c:pt idx="269">
                  <c:v>44.38</c:v>
                </c:pt>
                <c:pt idx="270">
                  <c:v>48.09</c:v>
                </c:pt>
                <c:pt idx="271">
                  <c:v>44.47</c:v>
                </c:pt>
                <c:pt idx="272">
                  <c:v>37.15</c:v>
                </c:pt>
                <c:pt idx="273">
                  <c:v>37.49</c:v>
                </c:pt>
                <c:pt idx="274">
                  <c:v>19.14</c:v>
                </c:pt>
                <c:pt idx="275">
                  <c:v>22.8</c:v>
                </c:pt>
                <c:pt idx="276">
                  <c:v>23.36</c:v>
                </c:pt>
                <c:pt idx="277">
                  <c:v>28.73</c:v>
                </c:pt>
                <c:pt idx="278">
                  <c:v>23.93</c:v>
                </c:pt>
                <c:pt idx="279">
                  <c:v>30.2</c:v>
                </c:pt>
                <c:pt idx="280">
                  <c:v>31.34</c:v>
                </c:pt>
                <c:pt idx="281">
                  <c:v>27.75</c:v>
                </c:pt>
                <c:pt idx="282">
                  <c:v>30.75</c:v>
                </c:pt>
                <c:pt idx="283">
                  <c:v>36.96</c:v>
                </c:pt>
                <c:pt idx="284">
                  <c:v>34.1</c:v>
                </c:pt>
                <c:pt idx="285">
                  <c:v>35.89</c:v>
                </c:pt>
                <c:pt idx="286">
                  <c:v>37.06</c:v>
                </c:pt>
                <c:pt idx="287">
                  <c:v>39.54</c:v>
                </c:pt>
                <c:pt idx="288">
                  <c:v>40.020000000000003</c:v>
                </c:pt>
                <c:pt idx="289">
                  <c:v>40.799999999999997</c:v>
                </c:pt>
                <c:pt idx="290">
                  <c:v>39.15</c:v>
                </c:pt>
                <c:pt idx="291">
                  <c:v>39.78</c:v>
                </c:pt>
                <c:pt idx="292">
                  <c:v>36.64</c:v>
                </c:pt>
                <c:pt idx="293">
                  <c:v>37.78</c:v>
                </c:pt>
                <c:pt idx="294">
                  <c:v>43.46</c:v>
                </c:pt>
                <c:pt idx="295">
                  <c:v>44.81</c:v>
                </c:pt>
                <c:pt idx="296">
                  <c:v>48.04</c:v>
                </c:pt>
                <c:pt idx="297">
                  <c:v>50.75</c:v>
                </c:pt>
                <c:pt idx="298">
                  <c:v>51.34</c:v>
                </c:pt>
                <c:pt idx="299">
                  <c:v>51.8</c:v>
                </c:pt>
                <c:pt idx="300">
                  <c:v>45.32</c:v>
                </c:pt>
                <c:pt idx="302">
                  <c:v>50.93</c:v>
                </c:pt>
                <c:pt idx="303">
                  <c:v>66.03</c:v>
                </c:pt>
                <c:pt idx="304">
                  <c:v>63.47</c:v>
                </c:pt>
                <c:pt idx="305">
                  <c:v>62.28</c:v>
                </c:pt>
                <c:pt idx="306">
                  <c:v>67.91</c:v>
                </c:pt>
                <c:pt idx="307">
                  <c:v>69.81</c:v>
                </c:pt>
                <c:pt idx="308">
                  <c:v>69.73</c:v>
                </c:pt>
                <c:pt idx="309">
                  <c:v>67.150000000000006</c:v>
                </c:pt>
                <c:pt idx="310">
                  <c:v>73.37</c:v>
                </c:pt>
                <c:pt idx="311">
                  <c:v>72.680000000000007</c:v>
                </c:pt>
                <c:pt idx="312">
                  <c:v>68.73</c:v>
                </c:pt>
                <c:pt idx="313">
                  <c:v>67.510000000000005</c:v>
                </c:pt>
                <c:pt idx="314">
                  <c:v>60.39</c:v>
                </c:pt>
                <c:pt idx="315">
                  <c:v>62.46</c:v>
                </c:pt>
                <c:pt idx="316">
                  <c:v>66.77</c:v>
                </c:pt>
                <c:pt idx="317">
                  <c:v>64.61</c:v>
                </c:pt>
                <c:pt idx="318">
                  <c:v>66.5</c:v>
                </c:pt>
                <c:pt idx="319">
                  <c:v>62.24</c:v>
                </c:pt>
                <c:pt idx="320">
                  <c:v>54.72</c:v>
                </c:pt>
                <c:pt idx="321">
                  <c:v>53.99</c:v>
                </c:pt>
                <c:pt idx="322">
                  <c:v>67.3</c:v>
                </c:pt>
                <c:pt idx="327">
                  <c:v>63.33</c:v>
                </c:pt>
                <c:pt idx="328">
                  <c:v>61.55</c:v>
                </c:pt>
                <c:pt idx="329">
                  <c:v>62.29</c:v>
                </c:pt>
                <c:pt idx="330">
                  <c:v>60.25</c:v>
                </c:pt>
                <c:pt idx="331">
                  <c:v>59.15</c:v>
                </c:pt>
                <c:pt idx="332">
                  <c:v>64.53</c:v>
                </c:pt>
                <c:pt idx="333">
                  <c:v>62.86</c:v>
                </c:pt>
                <c:pt idx="334">
                  <c:v>62.03</c:v>
                </c:pt>
                <c:pt idx="335">
                  <c:v>61.24</c:v>
                </c:pt>
                <c:pt idx="336">
                  <c:v>60.44</c:v>
                </c:pt>
                <c:pt idx="337">
                  <c:v>57.47</c:v>
                </c:pt>
                <c:pt idx="338">
                  <c:v>57.73</c:v>
                </c:pt>
                <c:pt idx="339">
                  <c:v>61.42</c:v>
                </c:pt>
                <c:pt idx="340">
                  <c:v>62.8</c:v>
                </c:pt>
                <c:pt idx="341">
                  <c:v>62.52</c:v>
                </c:pt>
                <c:pt idx="342">
                  <c:v>60.66</c:v>
                </c:pt>
                <c:pt idx="343">
                  <c:v>54.91</c:v>
                </c:pt>
                <c:pt idx="345">
                  <c:v>51</c:v>
                </c:pt>
                <c:pt idx="346">
                  <c:v>49.1</c:v>
                </c:pt>
                <c:pt idx="347">
                  <c:v>53.27</c:v>
                </c:pt>
                <c:pt idx="348">
                  <c:v>52.58</c:v>
                </c:pt>
                <c:pt idx="349">
                  <c:v>55.61</c:v>
                </c:pt>
                <c:pt idx="350">
                  <c:v>52.45</c:v>
                </c:pt>
                <c:pt idx="351">
                  <c:v>54.3</c:v>
                </c:pt>
                <c:pt idx="352">
                  <c:v>55.34</c:v>
                </c:pt>
                <c:pt idx="353">
                  <c:v>52.92</c:v>
                </c:pt>
                <c:pt idx="354">
                  <c:v>51.6</c:v>
                </c:pt>
                <c:pt idx="355">
                  <c:v>57.06</c:v>
                </c:pt>
                <c:pt idx="356">
                  <c:v>53.21</c:v>
                </c:pt>
                <c:pt idx="357">
                  <c:v>53.6</c:v>
                </c:pt>
                <c:pt idx="358">
                  <c:v>50.91</c:v>
                </c:pt>
                <c:pt idx="359">
                  <c:v>35.26</c:v>
                </c:pt>
                <c:pt idx="360">
                  <c:v>43.74</c:v>
                </c:pt>
                <c:pt idx="361">
                  <c:v>41.75</c:v>
                </c:pt>
                <c:pt idx="362">
                  <c:v>44.16</c:v>
                </c:pt>
                <c:pt idx="363">
                  <c:v>45.4</c:v>
                </c:pt>
                <c:pt idx="364">
                  <c:v>38.44</c:v>
                </c:pt>
                <c:pt idx="365">
                  <c:v>46.2</c:v>
                </c:pt>
                <c:pt idx="366">
                  <c:v>45.82</c:v>
                </c:pt>
                <c:pt idx="367">
                  <c:v>44.46</c:v>
                </c:pt>
                <c:pt idx="368">
                  <c:v>38.28</c:v>
                </c:pt>
                <c:pt idx="369">
                  <c:v>35.49</c:v>
                </c:pt>
                <c:pt idx="370">
                  <c:v>34.299999999999997</c:v>
                </c:pt>
                <c:pt idx="371">
                  <c:v>30.03</c:v>
                </c:pt>
                <c:pt idx="372">
                  <c:v>30.99</c:v>
                </c:pt>
                <c:pt idx="373">
                  <c:v>32.01</c:v>
                </c:pt>
                <c:pt idx="374">
                  <c:v>33.020000000000003</c:v>
                </c:pt>
                <c:pt idx="375">
                  <c:v>30.77</c:v>
                </c:pt>
                <c:pt idx="376">
                  <c:v>26.04</c:v>
                </c:pt>
                <c:pt idx="377">
                  <c:v>26.66</c:v>
                </c:pt>
                <c:pt idx="378">
                  <c:v>29.16</c:v>
                </c:pt>
                <c:pt idx="379">
                  <c:v>31.93</c:v>
                </c:pt>
                <c:pt idx="380">
                  <c:v>42.27</c:v>
                </c:pt>
                <c:pt idx="381">
                  <c:v>46.15</c:v>
                </c:pt>
                <c:pt idx="382">
                  <c:v>48.54</c:v>
                </c:pt>
                <c:pt idx="383">
                  <c:v>51.97</c:v>
                </c:pt>
                <c:pt idx="384">
                  <c:v>52.8</c:v>
                </c:pt>
                <c:pt idx="385">
                  <c:v>47.68</c:v>
                </c:pt>
                <c:pt idx="386">
                  <c:v>50.71</c:v>
                </c:pt>
                <c:pt idx="387">
                  <c:v>42.07</c:v>
                </c:pt>
                <c:pt idx="388">
                  <c:v>37.17</c:v>
                </c:pt>
                <c:pt idx="389">
                  <c:v>39.47</c:v>
                </c:pt>
                <c:pt idx="390">
                  <c:v>37.06</c:v>
                </c:pt>
                <c:pt idx="391">
                  <c:v>43.76</c:v>
                </c:pt>
                <c:pt idx="392">
                  <c:v>43.93</c:v>
                </c:pt>
                <c:pt idx="393">
                  <c:v>46.66</c:v>
                </c:pt>
                <c:pt idx="394">
                  <c:v>46.25</c:v>
                </c:pt>
                <c:pt idx="395">
                  <c:v>47.64</c:v>
                </c:pt>
                <c:pt idx="396">
                  <c:v>47.2</c:v>
                </c:pt>
                <c:pt idx="397">
                  <c:v>51.28</c:v>
                </c:pt>
                <c:pt idx="398">
                  <c:v>54.99</c:v>
                </c:pt>
                <c:pt idx="399">
                  <c:v>64.28</c:v>
                </c:pt>
                <c:pt idx="400">
                  <c:v>55.56</c:v>
                </c:pt>
                <c:pt idx="401">
                  <c:v>61.75</c:v>
                </c:pt>
                <c:pt idx="403">
                  <c:v>62.32</c:v>
                </c:pt>
                <c:pt idx="404">
                  <c:v>70.739999999999995</c:v>
                </c:pt>
                <c:pt idx="405">
                  <c:v>69.98</c:v>
                </c:pt>
                <c:pt idx="407">
                  <c:v>69.61</c:v>
                </c:pt>
                <c:pt idx="409">
                  <c:v>68.459999999999994</c:v>
                </c:pt>
                <c:pt idx="410">
                  <c:v>71.489999999999995</c:v>
                </c:pt>
                <c:pt idx="411">
                  <c:v>66.09</c:v>
                </c:pt>
                <c:pt idx="412">
                  <c:v>63.78</c:v>
                </c:pt>
                <c:pt idx="413">
                  <c:v>58.71</c:v>
                </c:pt>
                <c:pt idx="414">
                  <c:v>52.44</c:v>
                </c:pt>
                <c:pt idx="415">
                  <c:v>48.43</c:v>
                </c:pt>
                <c:pt idx="416">
                  <c:v>48.77</c:v>
                </c:pt>
                <c:pt idx="420">
                  <c:v>49.42</c:v>
                </c:pt>
                <c:pt idx="421">
                  <c:v>45.43</c:v>
                </c:pt>
                <c:pt idx="422">
                  <c:v>41.9</c:v>
                </c:pt>
                <c:pt idx="423">
                  <c:v>40.659999999999997</c:v>
                </c:pt>
                <c:pt idx="424">
                  <c:v>43.74</c:v>
                </c:pt>
                <c:pt idx="425">
                  <c:v>39.94</c:v>
                </c:pt>
                <c:pt idx="426">
                  <c:v>46.33</c:v>
                </c:pt>
                <c:pt idx="427">
                  <c:v>42.8</c:v>
                </c:pt>
                <c:pt idx="428">
                  <c:v>51.73</c:v>
                </c:pt>
                <c:pt idx="429">
                  <c:v>49.08</c:v>
                </c:pt>
                <c:pt idx="430">
                  <c:v>50.08</c:v>
                </c:pt>
                <c:pt idx="431">
                  <c:v>49.29</c:v>
                </c:pt>
                <c:pt idx="432">
                  <c:v>49.43</c:v>
                </c:pt>
                <c:pt idx="433">
                  <c:v>53.81</c:v>
                </c:pt>
                <c:pt idx="434">
                  <c:v>51.48</c:v>
                </c:pt>
                <c:pt idx="435">
                  <c:v>52.17</c:v>
                </c:pt>
                <c:pt idx="436">
                  <c:v>50.05</c:v>
                </c:pt>
                <c:pt idx="437">
                  <c:v>48.18</c:v>
                </c:pt>
                <c:pt idx="438">
                  <c:v>43.12</c:v>
                </c:pt>
                <c:pt idx="439">
                  <c:v>41.26</c:v>
                </c:pt>
                <c:pt idx="440">
                  <c:v>42.02</c:v>
                </c:pt>
                <c:pt idx="442">
                  <c:v>40.43</c:v>
                </c:pt>
                <c:pt idx="443">
                  <c:v>36.61</c:v>
                </c:pt>
                <c:pt idx="444">
                  <c:v>37.6</c:v>
                </c:pt>
                <c:pt idx="445">
                  <c:v>33.46</c:v>
                </c:pt>
                <c:pt idx="446">
                  <c:v>32.42</c:v>
                </c:pt>
                <c:pt idx="447">
                  <c:v>33.11</c:v>
                </c:pt>
                <c:pt idx="448">
                  <c:v>31.45</c:v>
                </c:pt>
                <c:pt idx="449">
                  <c:v>24.96</c:v>
                </c:pt>
                <c:pt idx="450">
                  <c:v>36.53</c:v>
                </c:pt>
                <c:pt idx="451">
                  <c:v>41.93</c:v>
                </c:pt>
                <c:pt idx="452">
                  <c:v>40.479999999999997</c:v>
                </c:pt>
                <c:pt idx="453">
                  <c:v>37.6</c:v>
                </c:pt>
                <c:pt idx="454">
                  <c:v>41.03</c:v>
                </c:pt>
                <c:pt idx="455">
                  <c:v>44.66</c:v>
                </c:pt>
                <c:pt idx="456">
                  <c:v>45.69</c:v>
                </c:pt>
                <c:pt idx="457">
                  <c:v>48.51</c:v>
                </c:pt>
                <c:pt idx="458">
                  <c:v>47.11</c:v>
                </c:pt>
                <c:pt idx="459">
                  <c:v>50.45</c:v>
                </c:pt>
                <c:pt idx="460">
                  <c:v>50.31</c:v>
                </c:pt>
                <c:pt idx="461">
                  <c:v>60.04</c:v>
                </c:pt>
                <c:pt idx="462">
                  <c:v>71.13</c:v>
                </c:pt>
                <c:pt idx="463">
                  <c:v>42.1</c:v>
                </c:pt>
                <c:pt idx="464">
                  <c:v>46.95</c:v>
                </c:pt>
                <c:pt idx="465">
                  <c:v>46.16</c:v>
                </c:pt>
                <c:pt idx="466">
                  <c:v>36.270000000000003</c:v>
                </c:pt>
                <c:pt idx="467">
                  <c:v>35.26</c:v>
                </c:pt>
                <c:pt idx="468">
                  <c:v>33.450000000000003</c:v>
                </c:pt>
                <c:pt idx="469">
                  <c:v>32.04</c:v>
                </c:pt>
                <c:pt idx="470">
                  <c:v>33.270000000000003</c:v>
                </c:pt>
                <c:pt idx="471">
                  <c:v>30.16</c:v>
                </c:pt>
                <c:pt idx="472">
                  <c:v>30.62</c:v>
                </c:pt>
                <c:pt idx="473">
                  <c:v>34.94</c:v>
                </c:pt>
                <c:pt idx="474">
                  <c:v>37.31</c:v>
                </c:pt>
                <c:pt idx="475">
                  <c:v>38.47</c:v>
                </c:pt>
                <c:pt idx="476">
                  <c:v>30.21</c:v>
                </c:pt>
                <c:pt idx="477">
                  <c:v>32.299999999999997</c:v>
                </c:pt>
                <c:pt idx="478">
                  <c:v>34.619999999999997</c:v>
                </c:pt>
                <c:pt idx="479">
                  <c:v>34.92</c:v>
                </c:pt>
                <c:pt idx="480">
                  <c:v>38.07</c:v>
                </c:pt>
                <c:pt idx="481">
                  <c:v>41.02</c:v>
                </c:pt>
                <c:pt idx="482">
                  <c:v>42.05</c:v>
                </c:pt>
                <c:pt idx="483">
                  <c:v>44.19</c:v>
                </c:pt>
                <c:pt idx="484">
                  <c:v>46.18</c:v>
                </c:pt>
                <c:pt idx="485">
                  <c:v>44.76</c:v>
                </c:pt>
                <c:pt idx="486">
                  <c:v>46.68</c:v>
                </c:pt>
                <c:pt idx="487">
                  <c:v>52.16</c:v>
                </c:pt>
                <c:pt idx="488">
                  <c:v>50.51</c:v>
                </c:pt>
                <c:pt idx="489">
                  <c:v>48.06</c:v>
                </c:pt>
                <c:pt idx="490">
                  <c:v>52.69</c:v>
                </c:pt>
                <c:pt idx="492">
                  <c:v>49.06</c:v>
                </c:pt>
                <c:pt idx="493">
                  <c:v>43.82</c:v>
                </c:pt>
                <c:pt idx="494">
                  <c:v>48.17</c:v>
                </c:pt>
                <c:pt idx="495">
                  <c:v>53.38</c:v>
                </c:pt>
                <c:pt idx="496">
                  <c:v>35.65</c:v>
                </c:pt>
                <c:pt idx="497">
                  <c:v>37.340000000000003</c:v>
                </c:pt>
                <c:pt idx="498">
                  <c:v>39.950000000000003</c:v>
                </c:pt>
                <c:pt idx="499">
                  <c:v>42.44</c:v>
                </c:pt>
                <c:pt idx="500">
                  <c:v>39.270000000000003</c:v>
                </c:pt>
                <c:pt idx="501">
                  <c:v>41.77</c:v>
                </c:pt>
                <c:pt idx="502">
                  <c:v>42.83</c:v>
                </c:pt>
                <c:pt idx="503">
                  <c:v>45.35</c:v>
                </c:pt>
                <c:pt idx="504">
                  <c:v>48.27</c:v>
                </c:pt>
                <c:pt idx="505">
                  <c:v>52.17</c:v>
                </c:pt>
                <c:pt idx="506">
                  <c:v>52.33</c:v>
                </c:pt>
                <c:pt idx="508">
                  <c:v>50.92</c:v>
                </c:pt>
                <c:pt idx="509">
                  <c:v>49.09</c:v>
                </c:pt>
                <c:pt idx="510">
                  <c:v>55.31</c:v>
                </c:pt>
                <c:pt idx="511">
                  <c:v>54.76</c:v>
                </c:pt>
                <c:pt idx="512">
                  <c:v>59.52</c:v>
                </c:pt>
                <c:pt idx="513">
                  <c:v>58.36</c:v>
                </c:pt>
                <c:pt idx="515">
                  <c:v>62.16</c:v>
                </c:pt>
                <c:pt idx="516">
                  <c:v>57.4</c:v>
                </c:pt>
                <c:pt idx="518">
                  <c:v>49.83</c:v>
                </c:pt>
                <c:pt idx="519">
                  <c:v>49.78</c:v>
                </c:pt>
                <c:pt idx="520">
                  <c:v>41.9</c:v>
                </c:pt>
                <c:pt idx="521">
                  <c:v>42.23</c:v>
                </c:pt>
                <c:pt idx="522">
                  <c:v>43.69</c:v>
                </c:pt>
                <c:pt idx="523">
                  <c:v>44.51</c:v>
                </c:pt>
                <c:pt idx="524">
                  <c:v>45.57</c:v>
                </c:pt>
                <c:pt idx="525">
                  <c:v>36.76</c:v>
                </c:pt>
                <c:pt idx="526">
                  <c:v>40.619999999999997</c:v>
                </c:pt>
                <c:pt idx="527">
                  <c:v>39.42</c:v>
                </c:pt>
                <c:pt idx="528">
                  <c:v>29.63</c:v>
                </c:pt>
                <c:pt idx="529">
                  <c:v>30.2</c:v>
                </c:pt>
                <c:pt idx="530">
                  <c:v>32.36</c:v>
                </c:pt>
                <c:pt idx="531">
                  <c:v>39.380000000000003</c:v>
                </c:pt>
                <c:pt idx="533">
                  <c:v>41.94</c:v>
                </c:pt>
                <c:pt idx="534">
                  <c:v>46.03</c:v>
                </c:pt>
                <c:pt idx="535">
                  <c:v>49.68</c:v>
                </c:pt>
                <c:pt idx="536">
                  <c:v>54.12</c:v>
                </c:pt>
                <c:pt idx="537">
                  <c:v>58.13</c:v>
                </c:pt>
                <c:pt idx="538">
                  <c:v>60.92</c:v>
                </c:pt>
                <c:pt idx="539">
                  <c:v>67.94</c:v>
                </c:pt>
                <c:pt idx="540">
                  <c:v>52.75</c:v>
                </c:pt>
                <c:pt idx="541">
                  <c:v>57.4</c:v>
                </c:pt>
                <c:pt idx="542">
                  <c:v>58.99</c:v>
                </c:pt>
                <c:pt idx="543">
                  <c:v>57.71</c:v>
                </c:pt>
                <c:pt idx="544">
                  <c:v>51.24</c:v>
                </c:pt>
                <c:pt idx="545">
                  <c:v>58.69</c:v>
                </c:pt>
                <c:pt idx="546">
                  <c:v>49.02</c:v>
                </c:pt>
                <c:pt idx="547">
                  <c:v>43.7</c:v>
                </c:pt>
                <c:pt idx="548">
                  <c:v>44.93</c:v>
                </c:pt>
                <c:pt idx="549">
                  <c:v>43.77</c:v>
                </c:pt>
                <c:pt idx="550">
                  <c:v>42.63</c:v>
                </c:pt>
                <c:pt idx="551">
                  <c:v>40.799999999999997</c:v>
                </c:pt>
                <c:pt idx="552">
                  <c:v>39.97</c:v>
                </c:pt>
                <c:pt idx="553">
                  <c:v>40.950000000000003</c:v>
                </c:pt>
                <c:pt idx="554">
                  <c:v>41.19</c:v>
                </c:pt>
                <c:pt idx="555">
                  <c:v>38.47</c:v>
                </c:pt>
                <c:pt idx="556">
                  <c:v>34.04</c:v>
                </c:pt>
                <c:pt idx="557">
                  <c:v>35.79</c:v>
                </c:pt>
                <c:pt idx="558">
                  <c:v>37.32</c:v>
                </c:pt>
                <c:pt idx="559">
                  <c:v>39.46</c:v>
                </c:pt>
                <c:pt idx="561">
                  <c:v>45.46</c:v>
                </c:pt>
                <c:pt idx="562">
                  <c:v>46.46</c:v>
                </c:pt>
                <c:pt idx="563">
                  <c:v>44.53</c:v>
                </c:pt>
                <c:pt idx="564">
                  <c:v>46.83</c:v>
                </c:pt>
                <c:pt idx="565">
                  <c:v>53.28</c:v>
                </c:pt>
                <c:pt idx="566">
                  <c:v>50.43</c:v>
                </c:pt>
                <c:pt idx="567">
                  <c:v>51.61</c:v>
                </c:pt>
                <c:pt idx="568">
                  <c:v>44.07</c:v>
                </c:pt>
                <c:pt idx="569">
                  <c:v>48.25</c:v>
                </c:pt>
                <c:pt idx="570">
                  <c:v>41.61</c:v>
                </c:pt>
                <c:pt idx="571">
                  <c:v>40.619999999999997</c:v>
                </c:pt>
                <c:pt idx="572">
                  <c:v>44.4</c:v>
                </c:pt>
                <c:pt idx="573">
                  <c:v>45.79</c:v>
                </c:pt>
                <c:pt idx="576">
                  <c:v>42.2</c:v>
                </c:pt>
                <c:pt idx="577">
                  <c:v>54.5</c:v>
                </c:pt>
                <c:pt idx="578">
                  <c:v>44.79</c:v>
                </c:pt>
                <c:pt idx="579">
                  <c:v>46</c:v>
                </c:pt>
                <c:pt idx="580">
                  <c:v>46.9</c:v>
                </c:pt>
                <c:pt idx="581">
                  <c:v>31.04</c:v>
                </c:pt>
                <c:pt idx="582">
                  <c:v>30.66</c:v>
                </c:pt>
                <c:pt idx="583">
                  <c:v>28.9</c:v>
                </c:pt>
                <c:pt idx="584">
                  <c:v>27.33</c:v>
                </c:pt>
                <c:pt idx="585">
                  <c:v>27.52</c:v>
                </c:pt>
                <c:pt idx="586">
                  <c:v>22.23</c:v>
                </c:pt>
                <c:pt idx="587">
                  <c:v>21.77</c:v>
                </c:pt>
                <c:pt idx="588">
                  <c:v>21.87</c:v>
                </c:pt>
                <c:pt idx="589">
                  <c:v>21.6</c:v>
                </c:pt>
                <c:pt idx="590">
                  <c:v>22.74</c:v>
                </c:pt>
                <c:pt idx="591">
                  <c:v>20.77</c:v>
                </c:pt>
                <c:pt idx="592">
                  <c:v>21.07</c:v>
                </c:pt>
                <c:pt idx="593">
                  <c:v>24.56</c:v>
                </c:pt>
                <c:pt idx="594">
                  <c:v>27.91</c:v>
                </c:pt>
                <c:pt idx="595">
                  <c:v>32.28</c:v>
                </c:pt>
                <c:pt idx="596">
                  <c:v>34.03</c:v>
                </c:pt>
                <c:pt idx="597">
                  <c:v>34.24</c:v>
                </c:pt>
                <c:pt idx="598">
                  <c:v>37.57</c:v>
                </c:pt>
                <c:pt idx="599">
                  <c:v>35.76</c:v>
                </c:pt>
                <c:pt idx="600">
                  <c:v>34.49</c:v>
                </c:pt>
                <c:pt idx="601">
                  <c:v>38.28</c:v>
                </c:pt>
                <c:pt idx="602">
                  <c:v>39.72</c:v>
                </c:pt>
                <c:pt idx="603">
                  <c:v>45.3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EF-4DC6-94A8-BDBB8E5EA3F7}"/>
            </c:ext>
          </c:extLst>
        </c:ser>
        <c:ser>
          <c:idx val="1"/>
          <c:order val="1"/>
          <c:tx>
            <c:strRef>
              <c:f>'미국 RSI'!$H$1</c:f>
              <c:strCache>
                <c:ptCount val="1"/>
                <c:pt idx="0">
                  <c:v>경기소비재(US)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RSI'!$H$69:$H$3068</c:f>
              <c:numCache>
                <c:formatCode>0.00</c:formatCode>
                <c:ptCount val="3000"/>
                <c:pt idx="0">
                  <c:v>58.33</c:v>
                </c:pt>
                <c:pt idx="1">
                  <c:v>58.64</c:v>
                </c:pt>
                <c:pt idx="2">
                  <c:v>54.89</c:v>
                </c:pt>
                <c:pt idx="3">
                  <c:v>55.48</c:v>
                </c:pt>
                <c:pt idx="4">
                  <c:v>58.33</c:v>
                </c:pt>
                <c:pt idx="5">
                  <c:v>61.32</c:v>
                </c:pt>
                <c:pt idx="6">
                  <c:v>59.14</c:v>
                </c:pt>
                <c:pt idx="7">
                  <c:v>63.29</c:v>
                </c:pt>
                <c:pt idx="8">
                  <c:v>63.43</c:v>
                </c:pt>
                <c:pt idx="9">
                  <c:v>66.47</c:v>
                </c:pt>
                <c:pt idx="10">
                  <c:v>68.3</c:v>
                </c:pt>
                <c:pt idx="11">
                  <c:v>63.51</c:v>
                </c:pt>
                <c:pt idx="12">
                  <c:v>65.319999999999993</c:v>
                </c:pt>
                <c:pt idx="13">
                  <c:v>62.14</c:v>
                </c:pt>
                <c:pt idx="14">
                  <c:v>56.82</c:v>
                </c:pt>
                <c:pt idx="15">
                  <c:v>54.39</c:v>
                </c:pt>
                <c:pt idx="16">
                  <c:v>54.04</c:v>
                </c:pt>
                <c:pt idx="17">
                  <c:v>49.42</c:v>
                </c:pt>
                <c:pt idx="18">
                  <c:v>40.630000000000003</c:v>
                </c:pt>
                <c:pt idx="19">
                  <c:v>43.55</c:v>
                </c:pt>
                <c:pt idx="21">
                  <c:v>40.78</c:v>
                </c:pt>
                <c:pt idx="22">
                  <c:v>44.55</c:v>
                </c:pt>
                <c:pt idx="23">
                  <c:v>42.08</c:v>
                </c:pt>
                <c:pt idx="24">
                  <c:v>30.4</c:v>
                </c:pt>
                <c:pt idx="25">
                  <c:v>30.43</c:v>
                </c:pt>
                <c:pt idx="26">
                  <c:v>36.450000000000003</c:v>
                </c:pt>
                <c:pt idx="27">
                  <c:v>40.99</c:v>
                </c:pt>
                <c:pt idx="28">
                  <c:v>36.96</c:v>
                </c:pt>
                <c:pt idx="29">
                  <c:v>37.97</c:v>
                </c:pt>
                <c:pt idx="30">
                  <c:v>28.11</c:v>
                </c:pt>
                <c:pt idx="31">
                  <c:v>32</c:v>
                </c:pt>
                <c:pt idx="32">
                  <c:v>33.94</c:v>
                </c:pt>
                <c:pt idx="33">
                  <c:v>40.81</c:v>
                </c:pt>
                <c:pt idx="34">
                  <c:v>36.31</c:v>
                </c:pt>
                <c:pt idx="35">
                  <c:v>29.51</c:v>
                </c:pt>
                <c:pt idx="36">
                  <c:v>31.03</c:v>
                </c:pt>
                <c:pt idx="37">
                  <c:v>38.270000000000003</c:v>
                </c:pt>
                <c:pt idx="38">
                  <c:v>39.25</c:v>
                </c:pt>
                <c:pt idx="39">
                  <c:v>39.72</c:v>
                </c:pt>
                <c:pt idx="40">
                  <c:v>39.04</c:v>
                </c:pt>
                <c:pt idx="41">
                  <c:v>45.75</c:v>
                </c:pt>
                <c:pt idx="42">
                  <c:v>45.09</c:v>
                </c:pt>
                <c:pt idx="43">
                  <c:v>35.82</c:v>
                </c:pt>
                <c:pt idx="44">
                  <c:v>39.01</c:v>
                </c:pt>
                <c:pt idx="45">
                  <c:v>43.95</c:v>
                </c:pt>
                <c:pt idx="46">
                  <c:v>44.64</c:v>
                </c:pt>
                <c:pt idx="47">
                  <c:v>44.78</c:v>
                </c:pt>
                <c:pt idx="48">
                  <c:v>43.36</c:v>
                </c:pt>
                <c:pt idx="49">
                  <c:v>35.659999999999997</c:v>
                </c:pt>
                <c:pt idx="50">
                  <c:v>43.35</c:v>
                </c:pt>
                <c:pt idx="51">
                  <c:v>37.17</c:v>
                </c:pt>
                <c:pt idx="52">
                  <c:v>39.770000000000003</c:v>
                </c:pt>
                <c:pt idx="53">
                  <c:v>34.409999999999997</c:v>
                </c:pt>
                <c:pt idx="54">
                  <c:v>34.82</c:v>
                </c:pt>
                <c:pt idx="55">
                  <c:v>34.57</c:v>
                </c:pt>
                <c:pt idx="56">
                  <c:v>39.29</c:v>
                </c:pt>
                <c:pt idx="57">
                  <c:v>41.11</c:v>
                </c:pt>
                <c:pt idx="58">
                  <c:v>37.42</c:v>
                </c:pt>
                <c:pt idx="59">
                  <c:v>38.69</c:v>
                </c:pt>
                <c:pt idx="60">
                  <c:v>36.51</c:v>
                </c:pt>
                <c:pt idx="61">
                  <c:v>44.44</c:v>
                </c:pt>
                <c:pt idx="62">
                  <c:v>47.75</c:v>
                </c:pt>
                <c:pt idx="63">
                  <c:v>51.69</c:v>
                </c:pt>
                <c:pt idx="64">
                  <c:v>48.47</c:v>
                </c:pt>
                <c:pt idx="65">
                  <c:v>48.54</c:v>
                </c:pt>
                <c:pt idx="66">
                  <c:v>50.66</c:v>
                </c:pt>
                <c:pt idx="67">
                  <c:v>54.13</c:v>
                </c:pt>
                <c:pt idx="68">
                  <c:v>52.92</c:v>
                </c:pt>
                <c:pt idx="69">
                  <c:v>55.91</c:v>
                </c:pt>
                <c:pt idx="70">
                  <c:v>54.41</c:v>
                </c:pt>
                <c:pt idx="71">
                  <c:v>50.67</c:v>
                </c:pt>
                <c:pt idx="72">
                  <c:v>42.49</c:v>
                </c:pt>
                <c:pt idx="74">
                  <c:v>54.11</c:v>
                </c:pt>
                <c:pt idx="75">
                  <c:v>55.89</c:v>
                </c:pt>
                <c:pt idx="76">
                  <c:v>54.32</c:v>
                </c:pt>
                <c:pt idx="77">
                  <c:v>63.49</c:v>
                </c:pt>
                <c:pt idx="78">
                  <c:v>65.099999999999994</c:v>
                </c:pt>
                <c:pt idx="79">
                  <c:v>64.81</c:v>
                </c:pt>
                <c:pt idx="80">
                  <c:v>60.63</c:v>
                </c:pt>
                <c:pt idx="81">
                  <c:v>53.69</c:v>
                </c:pt>
                <c:pt idx="82">
                  <c:v>54.44</c:v>
                </c:pt>
                <c:pt idx="83">
                  <c:v>51.6</c:v>
                </c:pt>
                <c:pt idx="84">
                  <c:v>43.29</c:v>
                </c:pt>
                <c:pt idx="85">
                  <c:v>47.4</c:v>
                </c:pt>
                <c:pt idx="86">
                  <c:v>51.47</c:v>
                </c:pt>
                <c:pt idx="87">
                  <c:v>53.67</c:v>
                </c:pt>
                <c:pt idx="88">
                  <c:v>59.46</c:v>
                </c:pt>
                <c:pt idx="89">
                  <c:v>62.27</c:v>
                </c:pt>
                <c:pt idx="90">
                  <c:v>60.94</c:v>
                </c:pt>
                <c:pt idx="91">
                  <c:v>61.76</c:v>
                </c:pt>
                <c:pt idx="92">
                  <c:v>60.33</c:v>
                </c:pt>
                <c:pt idx="93">
                  <c:v>62.5</c:v>
                </c:pt>
                <c:pt idx="94">
                  <c:v>57.2</c:v>
                </c:pt>
                <c:pt idx="95">
                  <c:v>63.67</c:v>
                </c:pt>
                <c:pt idx="96">
                  <c:v>63.12</c:v>
                </c:pt>
                <c:pt idx="97">
                  <c:v>60.24</c:v>
                </c:pt>
                <c:pt idx="98">
                  <c:v>58.73</c:v>
                </c:pt>
                <c:pt idx="99">
                  <c:v>57.37</c:v>
                </c:pt>
                <c:pt idx="100">
                  <c:v>51.97</c:v>
                </c:pt>
                <c:pt idx="101">
                  <c:v>52</c:v>
                </c:pt>
                <c:pt idx="102">
                  <c:v>58.44</c:v>
                </c:pt>
                <c:pt idx="103">
                  <c:v>56.54</c:v>
                </c:pt>
                <c:pt idx="104">
                  <c:v>58.13</c:v>
                </c:pt>
                <c:pt idx="105">
                  <c:v>54.58</c:v>
                </c:pt>
                <c:pt idx="106">
                  <c:v>54.85</c:v>
                </c:pt>
                <c:pt idx="107">
                  <c:v>54.67</c:v>
                </c:pt>
                <c:pt idx="109">
                  <c:v>52.83</c:v>
                </c:pt>
                <c:pt idx="110">
                  <c:v>50.79</c:v>
                </c:pt>
                <c:pt idx="111">
                  <c:v>43.91</c:v>
                </c:pt>
                <c:pt idx="112">
                  <c:v>39.04</c:v>
                </c:pt>
                <c:pt idx="113">
                  <c:v>31.02</c:v>
                </c:pt>
                <c:pt idx="114">
                  <c:v>34.24</c:v>
                </c:pt>
                <c:pt idx="115">
                  <c:v>34.229999999999997</c:v>
                </c:pt>
                <c:pt idx="116">
                  <c:v>38.590000000000003</c:v>
                </c:pt>
                <c:pt idx="117">
                  <c:v>41.09</c:v>
                </c:pt>
                <c:pt idx="118">
                  <c:v>42.4</c:v>
                </c:pt>
                <c:pt idx="119">
                  <c:v>50.35</c:v>
                </c:pt>
                <c:pt idx="120">
                  <c:v>52.85</c:v>
                </c:pt>
                <c:pt idx="121">
                  <c:v>52.04</c:v>
                </c:pt>
                <c:pt idx="122">
                  <c:v>47.66</c:v>
                </c:pt>
                <c:pt idx="123">
                  <c:v>47.13</c:v>
                </c:pt>
                <c:pt idx="124">
                  <c:v>54.98</c:v>
                </c:pt>
                <c:pt idx="125">
                  <c:v>51.04</c:v>
                </c:pt>
                <c:pt idx="126">
                  <c:v>57.53</c:v>
                </c:pt>
                <c:pt idx="127">
                  <c:v>54.52</c:v>
                </c:pt>
                <c:pt idx="128">
                  <c:v>44.5</c:v>
                </c:pt>
                <c:pt idx="129">
                  <c:v>54.19</c:v>
                </c:pt>
                <c:pt idx="130">
                  <c:v>58.55</c:v>
                </c:pt>
                <c:pt idx="131">
                  <c:v>58.46</c:v>
                </c:pt>
                <c:pt idx="132">
                  <c:v>52.82</c:v>
                </c:pt>
                <c:pt idx="133">
                  <c:v>54.24</c:v>
                </c:pt>
                <c:pt idx="134">
                  <c:v>52.45</c:v>
                </c:pt>
                <c:pt idx="135">
                  <c:v>56</c:v>
                </c:pt>
                <c:pt idx="136">
                  <c:v>51.27</c:v>
                </c:pt>
                <c:pt idx="137">
                  <c:v>47.91</c:v>
                </c:pt>
                <c:pt idx="138">
                  <c:v>44.07</c:v>
                </c:pt>
                <c:pt idx="139">
                  <c:v>47.79</c:v>
                </c:pt>
                <c:pt idx="140">
                  <c:v>47.17</c:v>
                </c:pt>
                <c:pt idx="141">
                  <c:v>46.32</c:v>
                </c:pt>
                <c:pt idx="142">
                  <c:v>36.380000000000003</c:v>
                </c:pt>
                <c:pt idx="143">
                  <c:v>46.5</c:v>
                </c:pt>
                <c:pt idx="144">
                  <c:v>48.8</c:v>
                </c:pt>
                <c:pt idx="145">
                  <c:v>47.36</c:v>
                </c:pt>
                <c:pt idx="146">
                  <c:v>56.11</c:v>
                </c:pt>
                <c:pt idx="147">
                  <c:v>52.12</c:v>
                </c:pt>
                <c:pt idx="148">
                  <c:v>55.67</c:v>
                </c:pt>
                <c:pt idx="149">
                  <c:v>59.95</c:v>
                </c:pt>
                <c:pt idx="150">
                  <c:v>57.32</c:v>
                </c:pt>
                <c:pt idx="151">
                  <c:v>60.05</c:v>
                </c:pt>
                <c:pt idx="152">
                  <c:v>58.32</c:v>
                </c:pt>
                <c:pt idx="153">
                  <c:v>51.9</c:v>
                </c:pt>
                <c:pt idx="154">
                  <c:v>60.25</c:v>
                </c:pt>
                <c:pt idx="155">
                  <c:v>57.06</c:v>
                </c:pt>
                <c:pt idx="156">
                  <c:v>63.41</c:v>
                </c:pt>
                <c:pt idx="157">
                  <c:v>67.13</c:v>
                </c:pt>
                <c:pt idx="158">
                  <c:v>65.72</c:v>
                </c:pt>
                <c:pt idx="159">
                  <c:v>69</c:v>
                </c:pt>
                <c:pt idx="160">
                  <c:v>70.83</c:v>
                </c:pt>
                <c:pt idx="161">
                  <c:v>68.97</c:v>
                </c:pt>
                <c:pt idx="162">
                  <c:v>66.180000000000007</c:v>
                </c:pt>
                <c:pt idx="163">
                  <c:v>64.41</c:v>
                </c:pt>
                <c:pt idx="164">
                  <c:v>56.65</c:v>
                </c:pt>
                <c:pt idx="165">
                  <c:v>64.81</c:v>
                </c:pt>
                <c:pt idx="166">
                  <c:v>65.849999999999994</c:v>
                </c:pt>
                <c:pt idx="167">
                  <c:v>64.400000000000006</c:v>
                </c:pt>
                <c:pt idx="168">
                  <c:v>64.540000000000006</c:v>
                </c:pt>
                <c:pt idx="169">
                  <c:v>57.26</c:v>
                </c:pt>
                <c:pt idx="170">
                  <c:v>55.39</c:v>
                </c:pt>
                <c:pt idx="172">
                  <c:v>59.92</c:v>
                </c:pt>
                <c:pt idx="173">
                  <c:v>67.02</c:v>
                </c:pt>
                <c:pt idx="174">
                  <c:v>66.41</c:v>
                </c:pt>
                <c:pt idx="175">
                  <c:v>66.34</c:v>
                </c:pt>
                <c:pt idx="176">
                  <c:v>64.819999999999993</c:v>
                </c:pt>
                <c:pt idx="177">
                  <c:v>66.03</c:v>
                </c:pt>
                <c:pt idx="178">
                  <c:v>54.51</c:v>
                </c:pt>
                <c:pt idx="179">
                  <c:v>58.11</c:v>
                </c:pt>
                <c:pt idx="180">
                  <c:v>64.78</c:v>
                </c:pt>
                <c:pt idx="181">
                  <c:v>65.12</c:v>
                </c:pt>
                <c:pt idx="182">
                  <c:v>63.65</c:v>
                </c:pt>
                <c:pt idx="183">
                  <c:v>65.17</c:v>
                </c:pt>
                <c:pt idx="184">
                  <c:v>65.86</c:v>
                </c:pt>
                <c:pt idx="185">
                  <c:v>61.31</c:v>
                </c:pt>
                <c:pt idx="186">
                  <c:v>57.26</c:v>
                </c:pt>
                <c:pt idx="187">
                  <c:v>56.22</c:v>
                </c:pt>
                <c:pt idx="188">
                  <c:v>55.55</c:v>
                </c:pt>
                <c:pt idx="189">
                  <c:v>55.69</c:v>
                </c:pt>
                <c:pt idx="190">
                  <c:v>47.55</c:v>
                </c:pt>
                <c:pt idx="191">
                  <c:v>46.99</c:v>
                </c:pt>
                <c:pt idx="192">
                  <c:v>41.79</c:v>
                </c:pt>
                <c:pt idx="193">
                  <c:v>51.7</c:v>
                </c:pt>
                <c:pt idx="194">
                  <c:v>55.76</c:v>
                </c:pt>
                <c:pt idx="195">
                  <c:v>59.24</c:v>
                </c:pt>
                <c:pt idx="196">
                  <c:v>63.25</c:v>
                </c:pt>
                <c:pt idx="197">
                  <c:v>61.2</c:v>
                </c:pt>
                <c:pt idx="198">
                  <c:v>57.74</c:v>
                </c:pt>
                <c:pt idx="199">
                  <c:v>67.94</c:v>
                </c:pt>
                <c:pt idx="200">
                  <c:v>66.36</c:v>
                </c:pt>
                <c:pt idx="201">
                  <c:v>62.78</c:v>
                </c:pt>
                <c:pt idx="202">
                  <c:v>60.98</c:v>
                </c:pt>
                <c:pt idx="203">
                  <c:v>57.45</c:v>
                </c:pt>
                <c:pt idx="204">
                  <c:v>56.03</c:v>
                </c:pt>
                <c:pt idx="205">
                  <c:v>55.29</c:v>
                </c:pt>
                <c:pt idx="206">
                  <c:v>63.14</c:v>
                </c:pt>
                <c:pt idx="207">
                  <c:v>61.84</c:v>
                </c:pt>
                <c:pt idx="208">
                  <c:v>61.75</c:v>
                </c:pt>
                <c:pt idx="209">
                  <c:v>57.97</c:v>
                </c:pt>
                <c:pt idx="210">
                  <c:v>55.82</c:v>
                </c:pt>
                <c:pt idx="211">
                  <c:v>57.39</c:v>
                </c:pt>
                <c:pt idx="213">
                  <c:v>63.7</c:v>
                </c:pt>
                <c:pt idx="214">
                  <c:v>62.04</c:v>
                </c:pt>
                <c:pt idx="215">
                  <c:v>59.54</c:v>
                </c:pt>
                <c:pt idx="216">
                  <c:v>58.19</c:v>
                </c:pt>
                <c:pt idx="217">
                  <c:v>60.75</c:v>
                </c:pt>
                <c:pt idx="218">
                  <c:v>55.58</c:v>
                </c:pt>
                <c:pt idx="219">
                  <c:v>52.39</c:v>
                </c:pt>
                <c:pt idx="220">
                  <c:v>57.35</c:v>
                </c:pt>
                <c:pt idx="221">
                  <c:v>55.52</c:v>
                </c:pt>
                <c:pt idx="222">
                  <c:v>49.19</c:v>
                </c:pt>
                <c:pt idx="224">
                  <c:v>48.74</c:v>
                </c:pt>
                <c:pt idx="225">
                  <c:v>48.57</c:v>
                </c:pt>
                <c:pt idx="226">
                  <c:v>54.84</c:v>
                </c:pt>
                <c:pt idx="227">
                  <c:v>51.22</c:v>
                </c:pt>
                <c:pt idx="228">
                  <c:v>54.74</c:v>
                </c:pt>
                <c:pt idx="229">
                  <c:v>56.58</c:v>
                </c:pt>
                <c:pt idx="230">
                  <c:v>59.75</c:v>
                </c:pt>
                <c:pt idx="231">
                  <c:v>56.35</c:v>
                </c:pt>
                <c:pt idx="232">
                  <c:v>53.96</c:v>
                </c:pt>
                <c:pt idx="233">
                  <c:v>49.87</c:v>
                </c:pt>
                <c:pt idx="234">
                  <c:v>59.68</c:v>
                </c:pt>
                <c:pt idx="235">
                  <c:v>60.85</c:v>
                </c:pt>
                <c:pt idx="236">
                  <c:v>59.37</c:v>
                </c:pt>
                <c:pt idx="237">
                  <c:v>58.73</c:v>
                </c:pt>
                <c:pt idx="238">
                  <c:v>60.8</c:v>
                </c:pt>
                <c:pt idx="239">
                  <c:v>60.7</c:v>
                </c:pt>
                <c:pt idx="240">
                  <c:v>64</c:v>
                </c:pt>
                <c:pt idx="242">
                  <c:v>57.25</c:v>
                </c:pt>
                <c:pt idx="243">
                  <c:v>60.48</c:v>
                </c:pt>
                <c:pt idx="244">
                  <c:v>59.47</c:v>
                </c:pt>
                <c:pt idx="245">
                  <c:v>67.180000000000007</c:v>
                </c:pt>
                <c:pt idx="246">
                  <c:v>69.33</c:v>
                </c:pt>
                <c:pt idx="247">
                  <c:v>70.27</c:v>
                </c:pt>
                <c:pt idx="248">
                  <c:v>68.69</c:v>
                </c:pt>
                <c:pt idx="249">
                  <c:v>69.5</c:v>
                </c:pt>
                <c:pt idx="250">
                  <c:v>68.91</c:v>
                </c:pt>
                <c:pt idx="251">
                  <c:v>66.91</c:v>
                </c:pt>
                <c:pt idx="252">
                  <c:v>57.88</c:v>
                </c:pt>
                <c:pt idx="253">
                  <c:v>56.83</c:v>
                </c:pt>
                <c:pt idx="254">
                  <c:v>54.25</c:v>
                </c:pt>
                <c:pt idx="255">
                  <c:v>52.53</c:v>
                </c:pt>
                <c:pt idx="256">
                  <c:v>54.69</c:v>
                </c:pt>
                <c:pt idx="257">
                  <c:v>57.39</c:v>
                </c:pt>
                <c:pt idx="258">
                  <c:v>54.38</c:v>
                </c:pt>
                <c:pt idx="259">
                  <c:v>53.3</c:v>
                </c:pt>
                <c:pt idx="260">
                  <c:v>55.32</c:v>
                </c:pt>
                <c:pt idx="261">
                  <c:v>54.07</c:v>
                </c:pt>
                <c:pt idx="262">
                  <c:v>54.01</c:v>
                </c:pt>
                <c:pt idx="263">
                  <c:v>51.05</c:v>
                </c:pt>
                <c:pt idx="264">
                  <c:v>47.66</c:v>
                </c:pt>
                <c:pt idx="265">
                  <c:v>43.69</c:v>
                </c:pt>
                <c:pt idx="266">
                  <c:v>37.65</c:v>
                </c:pt>
                <c:pt idx="268">
                  <c:v>41.21</c:v>
                </c:pt>
                <c:pt idx="269">
                  <c:v>39.97</c:v>
                </c:pt>
                <c:pt idx="270">
                  <c:v>43.37</c:v>
                </c:pt>
                <c:pt idx="271">
                  <c:v>44.4</c:v>
                </c:pt>
                <c:pt idx="272">
                  <c:v>43.9</c:v>
                </c:pt>
                <c:pt idx="273">
                  <c:v>42.32</c:v>
                </c:pt>
                <c:pt idx="274">
                  <c:v>47.54</c:v>
                </c:pt>
                <c:pt idx="275">
                  <c:v>26.31</c:v>
                </c:pt>
                <c:pt idx="276">
                  <c:v>28.72</c:v>
                </c:pt>
                <c:pt idx="277">
                  <c:v>30</c:v>
                </c:pt>
                <c:pt idx="278">
                  <c:v>35.659999999999997</c:v>
                </c:pt>
                <c:pt idx="279">
                  <c:v>48.26</c:v>
                </c:pt>
                <c:pt idx="280">
                  <c:v>42.44</c:v>
                </c:pt>
                <c:pt idx="281">
                  <c:v>38.97</c:v>
                </c:pt>
                <c:pt idx="282">
                  <c:v>38.26</c:v>
                </c:pt>
                <c:pt idx="283">
                  <c:v>45.62</c:v>
                </c:pt>
                <c:pt idx="284">
                  <c:v>45.42</c:v>
                </c:pt>
                <c:pt idx="285">
                  <c:v>48.88</c:v>
                </c:pt>
                <c:pt idx="286">
                  <c:v>46.59</c:v>
                </c:pt>
                <c:pt idx="287">
                  <c:v>35.29</c:v>
                </c:pt>
                <c:pt idx="288">
                  <c:v>33.94</c:v>
                </c:pt>
                <c:pt idx="289">
                  <c:v>34.380000000000003</c:v>
                </c:pt>
                <c:pt idx="290">
                  <c:v>27.49</c:v>
                </c:pt>
                <c:pt idx="291">
                  <c:v>30.28</c:v>
                </c:pt>
                <c:pt idx="292">
                  <c:v>29.7</c:v>
                </c:pt>
                <c:pt idx="293">
                  <c:v>21.61</c:v>
                </c:pt>
                <c:pt idx="294">
                  <c:v>24.79</c:v>
                </c:pt>
                <c:pt idx="295">
                  <c:v>22.34</c:v>
                </c:pt>
                <c:pt idx="296">
                  <c:v>23.55</c:v>
                </c:pt>
                <c:pt idx="297">
                  <c:v>29.13</c:v>
                </c:pt>
                <c:pt idx="298">
                  <c:v>29.46</c:v>
                </c:pt>
                <c:pt idx="299">
                  <c:v>34.69</c:v>
                </c:pt>
                <c:pt idx="300">
                  <c:v>27.64</c:v>
                </c:pt>
                <c:pt idx="301">
                  <c:v>31.35</c:v>
                </c:pt>
                <c:pt idx="302">
                  <c:v>36.14</c:v>
                </c:pt>
                <c:pt idx="303">
                  <c:v>26.94</c:v>
                </c:pt>
                <c:pt idx="304">
                  <c:v>30.54</c:v>
                </c:pt>
                <c:pt idx="305">
                  <c:v>31.67</c:v>
                </c:pt>
                <c:pt idx="306">
                  <c:v>33.119999999999997</c:v>
                </c:pt>
                <c:pt idx="307">
                  <c:v>34.159999999999997</c:v>
                </c:pt>
                <c:pt idx="308">
                  <c:v>43.28</c:v>
                </c:pt>
                <c:pt idx="309">
                  <c:v>47.15</c:v>
                </c:pt>
                <c:pt idx="310">
                  <c:v>47.41</c:v>
                </c:pt>
                <c:pt idx="312">
                  <c:v>48.63</c:v>
                </c:pt>
                <c:pt idx="313">
                  <c:v>48.81</c:v>
                </c:pt>
                <c:pt idx="314">
                  <c:v>41.94</c:v>
                </c:pt>
                <c:pt idx="315">
                  <c:v>42</c:v>
                </c:pt>
                <c:pt idx="316">
                  <c:v>46.09</c:v>
                </c:pt>
                <c:pt idx="317">
                  <c:v>44.59</c:v>
                </c:pt>
                <c:pt idx="318">
                  <c:v>52.52</c:v>
                </c:pt>
                <c:pt idx="319">
                  <c:v>50.88</c:v>
                </c:pt>
                <c:pt idx="320">
                  <c:v>56.08</c:v>
                </c:pt>
                <c:pt idx="321">
                  <c:v>51.34</c:v>
                </c:pt>
                <c:pt idx="322">
                  <c:v>57.95</c:v>
                </c:pt>
                <c:pt idx="323">
                  <c:v>60.37</c:v>
                </c:pt>
                <c:pt idx="324">
                  <c:v>56.68</c:v>
                </c:pt>
                <c:pt idx="325">
                  <c:v>58.15</c:v>
                </c:pt>
                <c:pt idx="326">
                  <c:v>57.72</c:v>
                </c:pt>
                <c:pt idx="327">
                  <c:v>55.74</c:v>
                </c:pt>
                <c:pt idx="328">
                  <c:v>58.48</c:v>
                </c:pt>
                <c:pt idx="329">
                  <c:v>56.52</c:v>
                </c:pt>
                <c:pt idx="330">
                  <c:v>58.11</c:v>
                </c:pt>
                <c:pt idx="332">
                  <c:v>55.88</c:v>
                </c:pt>
                <c:pt idx="333">
                  <c:v>51.35</c:v>
                </c:pt>
                <c:pt idx="334">
                  <c:v>53.33</c:v>
                </c:pt>
                <c:pt idx="335">
                  <c:v>44.2</c:v>
                </c:pt>
                <c:pt idx="336">
                  <c:v>44.82</c:v>
                </c:pt>
                <c:pt idx="337">
                  <c:v>42.65</c:v>
                </c:pt>
                <c:pt idx="339">
                  <c:v>45.57</c:v>
                </c:pt>
                <c:pt idx="340">
                  <c:v>44.55</c:v>
                </c:pt>
                <c:pt idx="341">
                  <c:v>50.66</c:v>
                </c:pt>
                <c:pt idx="342">
                  <c:v>49.35</c:v>
                </c:pt>
                <c:pt idx="343">
                  <c:v>42.2</c:v>
                </c:pt>
                <c:pt idx="344">
                  <c:v>46.19</c:v>
                </c:pt>
                <c:pt idx="345">
                  <c:v>48.65</c:v>
                </c:pt>
                <c:pt idx="346">
                  <c:v>54.5</c:v>
                </c:pt>
                <c:pt idx="347">
                  <c:v>61.72</c:v>
                </c:pt>
                <c:pt idx="348">
                  <c:v>63.48</c:v>
                </c:pt>
                <c:pt idx="349">
                  <c:v>56.46</c:v>
                </c:pt>
                <c:pt idx="350">
                  <c:v>56.08</c:v>
                </c:pt>
                <c:pt idx="351">
                  <c:v>55.26</c:v>
                </c:pt>
                <c:pt idx="352">
                  <c:v>55.77</c:v>
                </c:pt>
                <c:pt idx="353">
                  <c:v>79.87</c:v>
                </c:pt>
                <c:pt idx="354">
                  <c:v>79.290000000000006</c:v>
                </c:pt>
                <c:pt idx="355">
                  <c:v>76.650000000000006</c:v>
                </c:pt>
                <c:pt idx="356">
                  <c:v>75.81</c:v>
                </c:pt>
                <c:pt idx="357">
                  <c:v>81.53</c:v>
                </c:pt>
                <c:pt idx="358">
                  <c:v>78.38</c:v>
                </c:pt>
                <c:pt idx="359">
                  <c:v>78.05</c:v>
                </c:pt>
                <c:pt idx="360">
                  <c:v>80.23</c:v>
                </c:pt>
                <c:pt idx="361">
                  <c:v>76.239999999999995</c:v>
                </c:pt>
                <c:pt idx="362">
                  <c:v>74.400000000000006</c:v>
                </c:pt>
                <c:pt idx="363">
                  <c:v>72.14</c:v>
                </c:pt>
                <c:pt idx="364">
                  <c:v>72.62</c:v>
                </c:pt>
                <c:pt idx="365">
                  <c:v>70.510000000000005</c:v>
                </c:pt>
                <c:pt idx="367">
                  <c:v>67.84</c:v>
                </c:pt>
                <c:pt idx="368">
                  <c:v>70.709999999999994</c:v>
                </c:pt>
                <c:pt idx="369">
                  <c:v>69.84</c:v>
                </c:pt>
                <c:pt idx="370">
                  <c:v>67.319999999999993</c:v>
                </c:pt>
                <c:pt idx="371">
                  <c:v>63.38</c:v>
                </c:pt>
                <c:pt idx="372">
                  <c:v>62.87</c:v>
                </c:pt>
                <c:pt idx="373">
                  <c:v>64.97</c:v>
                </c:pt>
                <c:pt idx="374">
                  <c:v>64.78</c:v>
                </c:pt>
                <c:pt idx="375">
                  <c:v>62.53</c:v>
                </c:pt>
                <c:pt idx="376">
                  <c:v>66.2</c:v>
                </c:pt>
                <c:pt idx="377">
                  <c:v>72.900000000000006</c:v>
                </c:pt>
                <c:pt idx="378">
                  <c:v>71.290000000000006</c:v>
                </c:pt>
                <c:pt idx="379">
                  <c:v>78.12</c:v>
                </c:pt>
                <c:pt idx="380">
                  <c:v>74.8</c:v>
                </c:pt>
                <c:pt idx="381">
                  <c:v>72.069999999999993</c:v>
                </c:pt>
                <c:pt idx="382">
                  <c:v>69.319999999999993</c:v>
                </c:pt>
                <c:pt idx="383">
                  <c:v>60.62</c:v>
                </c:pt>
                <c:pt idx="384">
                  <c:v>54.03</c:v>
                </c:pt>
                <c:pt idx="385">
                  <c:v>55.72</c:v>
                </c:pt>
                <c:pt idx="386">
                  <c:v>48.82</c:v>
                </c:pt>
                <c:pt idx="387">
                  <c:v>56.66</c:v>
                </c:pt>
                <c:pt idx="388">
                  <c:v>57.44</c:v>
                </c:pt>
                <c:pt idx="389">
                  <c:v>60.35</c:v>
                </c:pt>
                <c:pt idx="390">
                  <c:v>59.5</c:v>
                </c:pt>
                <c:pt idx="391">
                  <c:v>58.39</c:v>
                </c:pt>
                <c:pt idx="392">
                  <c:v>44.68</c:v>
                </c:pt>
                <c:pt idx="393">
                  <c:v>52.87</c:v>
                </c:pt>
                <c:pt idx="394">
                  <c:v>55.3</c:v>
                </c:pt>
                <c:pt idx="395">
                  <c:v>60.28</c:v>
                </c:pt>
                <c:pt idx="396">
                  <c:v>58.54</c:v>
                </c:pt>
                <c:pt idx="397">
                  <c:v>59.09</c:v>
                </c:pt>
                <c:pt idx="398">
                  <c:v>56.9</c:v>
                </c:pt>
                <c:pt idx="399">
                  <c:v>55.99</c:v>
                </c:pt>
                <c:pt idx="400">
                  <c:v>54.2</c:v>
                </c:pt>
                <c:pt idx="401">
                  <c:v>56.27</c:v>
                </c:pt>
                <c:pt idx="402">
                  <c:v>58.71</c:v>
                </c:pt>
                <c:pt idx="403">
                  <c:v>56.18</c:v>
                </c:pt>
                <c:pt idx="404">
                  <c:v>52.52</c:v>
                </c:pt>
                <c:pt idx="405">
                  <c:v>60.06</c:v>
                </c:pt>
                <c:pt idx="406">
                  <c:v>55.02</c:v>
                </c:pt>
                <c:pt idx="407">
                  <c:v>61.38</c:v>
                </c:pt>
                <c:pt idx="408">
                  <c:v>66.650000000000006</c:v>
                </c:pt>
                <c:pt idx="409">
                  <c:v>69.3</c:v>
                </c:pt>
                <c:pt idx="410">
                  <c:v>70.819999999999993</c:v>
                </c:pt>
                <c:pt idx="411">
                  <c:v>70.44</c:v>
                </c:pt>
                <c:pt idx="412">
                  <c:v>69.38</c:v>
                </c:pt>
                <c:pt idx="413">
                  <c:v>71.39</c:v>
                </c:pt>
                <c:pt idx="414">
                  <c:v>69.400000000000006</c:v>
                </c:pt>
                <c:pt idx="415">
                  <c:v>66.97</c:v>
                </c:pt>
                <c:pt idx="416">
                  <c:v>68.11</c:v>
                </c:pt>
                <c:pt idx="417">
                  <c:v>62.28</c:v>
                </c:pt>
                <c:pt idx="418">
                  <c:v>63.21</c:v>
                </c:pt>
                <c:pt idx="419">
                  <c:v>61.85</c:v>
                </c:pt>
                <c:pt idx="420">
                  <c:v>62.57</c:v>
                </c:pt>
                <c:pt idx="421">
                  <c:v>60.9</c:v>
                </c:pt>
                <c:pt idx="422">
                  <c:v>58.04</c:v>
                </c:pt>
                <c:pt idx="423">
                  <c:v>55.39</c:v>
                </c:pt>
                <c:pt idx="424">
                  <c:v>52.2</c:v>
                </c:pt>
                <c:pt idx="425">
                  <c:v>47.86</c:v>
                </c:pt>
                <c:pt idx="426">
                  <c:v>56.3</c:v>
                </c:pt>
                <c:pt idx="427">
                  <c:v>52.88</c:v>
                </c:pt>
                <c:pt idx="428">
                  <c:v>52.08</c:v>
                </c:pt>
                <c:pt idx="430">
                  <c:v>56.86</c:v>
                </c:pt>
                <c:pt idx="431">
                  <c:v>52.48</c:v>
                </c:pt>
                <c:pt idx="432">
                  <c:v>52.12</c:v>
                </c:pt>
                <c:pt idx="433">
                  <c:v>55.28</c:v>
                </c:pt>
                <c:pt idx="434">
                  <c:v>56.14</c:v>
                </c:pt>
                <c:pt idx="435">
                  <c:v>58.67</c:v>
                </c:pt>
                <c:pt idx="436">
                  <c:v>53.98</c:v>
                </c:pt>
                <c:pt idx="437">
                  <c:v>59.7</c:v>
                </c:pt>
                <c:pt idx="438">
                  <c:v>56.62</c:v>
                </c:pt>
                <c:pt idx="439">
                  <c:v>56.91</c:v>
                </c:pt>
                <c:pt idx="440">
                  <c:v>53.97</c:v>
                </c:pt>
                <c:pt idx="441">
                  <c:v>53.41</c:v>
                </c:pt>
                <c:pt idx="442">
                  <c:v>45.24</c:v>
                </c:pt>
                <c:pt idx="443">
                  <c:v>46.51</c:v>
                </c:pt>
                <c:pt idx="444">
                  <c:v>39.24</c:v>
                </c:pt>
                <c:pt idx="445">
                  <c:v>40.04</c:v>
                </c:pt>
                <c:pt idx="446">
                  <c:v>39.07</c:v>
                </c:pt>
                <c:pt idx="447">
                  <c:v>32.57</c:v>
                </c:pt>
                <c:pt idx="448">
                  <c:v>35.42</c:v>
                </c:pt>
                <c:pt idx="449">
                  <c:v>31.96</c:v>
                </c:pt>
                <c:pt idx="450">
                  <c:v>36.79</c:v>
                </c:pt>
                <c:pt idx="451">
                  <c:v>45.4</c:v>
                </c:pt>
                <c:pt idx="452">
                  <c:v>53.32</c:v>
                </c:pt>
                <c:pt idx="453">
                  <c:v>48.09</c:v>
                </c:pt>
                <c:pt idx="454">
                  <c:v>49.96</c:v>
                </c:pt>
                <c:pt idx="455">
                  <c:v>43.97</c:v>
                </c:pt>
                <c:pt idx="456">
                  <c:v>39.51</c:v>
                </c:pt>
                <c:pt idx="457">
                  <c:v>40.56</c:v>
                </c:pt>
                <c:pt idx="458">
                  <c:v>55.53</c:v>
                </c:pt>
                <c:pt idx="459">
                  <c:v>57.7</c:v>
                </c:pt>
                <c:pt idx="460">
                  <c:v>53.59</c:v>
                </c:pt>
                <c:pt idx="461">
                  <c:v>57.85</c:v>
                </c:pt>
                <c:pt idx="462">
                  <c:v>63.24</c:v>
                </c:pt>
                <c:pt idx="463">
                  <c:v>73.88</c:v>
                </c:pt>
                <c:pt idx="464">
                  <c:v>68.72</c:v>
                </c:pt>
                <c:pt idx="465">
                  <c:v>69.540000000000006</c:v>
                </c:pt>
                <c:pt idx="466">
                  <c:v>65.22</c:v>
                </c:pt>
                <c:pt idx="467">
                  <c:v>74.92</c:v>
                </c:pt>
                <c:pt idx="468">
                  <c:v>72.7</c:v>
                </c:pt>
                <c:pt idx="469">
                  <c:v>71.680000000000007</c:v>
                </c:pt>
                <c:pt idx="470">
                  <c:v>71.53</c:v>
                </c:pt>
                <c:pt idx="472">
                  <c:v>69.09</c:v>
                </c:pt>
                <c:pt idx="473">
                  <c:v>67.05</c:v>
                </c:pt>
                <c:pt idx="474">
                  <c:v>59.65</c:v>
                </c:pt>
                <c:pt idx="475">
                  <c:v>58.13</c:v>
                </c:pt>
                <c:pt idx="476">
                  <c:v>65.739999999999995</c:v>
                </c:pt>
                <c:pt idx="477">
                  <c:v>63.3</c:v>
                </c:pt>
                <c:pt idx="478">
                  <c:v>56.6</c:v>
                </c:pt>
                <c:pt idx="479">
                  <c:v>59.41</c:v>
                </c:pt>
                <c:pt idx="480">
                  <c:v>64.14</c:v>
                </c:pt>
                <c:pt idx="481">
                  <c:v>60.3</c:v>
                </c:pt>
                <c:pt idx="483">
                  <c:v>59.7</c:v>
                </c:pt>
                <c:pt idx="484">
                  <c:v>62.02</c:v>
                </c:pt>
                <c:pt idx="485">
                  <c:v>53.39</c:v>
                </c:pt>
                <c:pt idx="486">
                  <c:v>59.04</c:v>
                </c:pt>
                <c:pt idx="487">
                  <c:v>58.64</c:v>
                </c:pt>
                <c:pt idx="488">
                  <c:v>53</c:v>
                </c:pt>
                <c:pt idx="489">
                  <c:v>54.76</c:v>
                </c:pt>
                <c:pt idx="490">
                  <c:v>53</c:v>
                </c:pt>
                <c:pt idx="491">
                  <c:v>55.57</c:v>
                </c:pt>
                <c:pt idx="492">
                  <c:v>51.73</c:v>
                </c:pt>
                <c:pt idx="493">
                  <c:v>48.43</c:v>
                </c:pt>
                <c:pt idx="494">
                  <c:v>47.85</c:v>
                </c:pt>
                <c:pt idx="495">
                  <c:v>48.07</c:v>
                </c:pt>
                <c:pt idx="496">
                  <c:v>45.16</c:v>
                </c:pt>
                <c:pt idx="497">
                  <c:v>42</c:v>
                </c:pt>
                <c:pt idx="498">
                  <c:v>44.67</c:v>
                </c:pt>
                <c:pt idx="500">
                  <c:v>45.68</c:v>
                </c:pt>
                <c:pt idx="501">
                  <c:v>40.6</c:v>
                </c:pt>
                <c:pt idx="502">
                  <c:v>47.32</c:v>
                </c:pt>
                <c:pt idx="503">
                  <c:v>52.57</c:v>
                </c:pt>
                <c:pt idx="504">
                  <c:v>49.37</c:v>
                </c:pt>
                <c:pt idx="505">
                  <c:v>53.26</c:v>
                </c:pt>
                <c:pt idx="506">
                  <c:v>50.8</c:v>
                </c:pt>
                <c:pt idx="507">
                  <c:v>54.17</c:v>
                </c:pt>
                <c:pt idx="508">
                  <c:v>53.5</c:v>
                </c:pt>
                <c:pt idx="509">
                  <c:v>51.54</c:v>
                </c:pt>
                <c:pt idx="510">
                  <c:v>52.12</c:v>
                </c:pt>
                <c:pt idx="511">
                  <c:v>54.5</c:v>
                </c:pt>
                <c:pt idx="512">
                  <c:v>51.93</c:v>
                </c:pt>
                <c:pt idx="513">
                  <c:v>53.48</c:v>
                </c:pt>
                <c:pt idx="514">
                  <c:v>56.51</c:v>
                </c:pt>
                <c:pt idx="515">
                  <c:v>52.86</c:v>
                </c:pt>
                <c:pt idx="516">
                  <c:v>50.44</c:v>
                </c:pt>
                <c:pt idx="517">
                  <c:v>45.66</c:v>
                </c:pt>
                <c:pt idx="518">
                  <c:v>47.8</c:v>
                </c:pt>
                <c:pt idx="519">
                  <c:v>57.84</c:v>
                </c:pt>
                <c:pt idx="520">
                  <c:v>48.45</c:v>
                </c:pt>
                <c:pt idx="521">
                  <c:v>44.01</c:v>
                </c:pt>
                <c:pt idx="522">
                  <c:v>43.58</c:v>
                </c:pt>
                <c:pt idx="523">
                  <c:v>38.76</c:v>
                </c:pt>
                <c:pt idx="524">
                  <c:v>32.130000000000003</c:v>
                </c:pt>
                <c:pt idx="525">
                  <c:v>29.52</c:v>
                </c:pt>
                <c:pt idx="526">
                  <c:v>31.79</c:v>
                </c:pt>
                <c:pt idx="527">
                  <c:v>33.51</c:v>
                </c:pt>
                <c:pt idx="528">
                  <c:v>34.869999999999997</c:v>
                </c:pt>
                <c:pt idx="529">
                  <c:v>36.5</c:v>
                </c:pt>
                <c:pt idx="530">
                  <c:v>41.93</c:v>
                </c:pt>
                <c:pt idx="531">
                  <c:v>48.57</c:v>
                </c:pt>
                <c:pt idx="532">
                  <c:v>44.55</c:v>
                </c:pt>
                <c:pt idx="533">
                  <c:v>51.86</c:v>
                </c:pt>
                <c:pt idx="534">
                  <c:v>49.53</c:v>
                </c:pt>
                <c:pt idx="535">
                  <c:v>44.53</c:v>
                </c:pt>
                <c:pt idx="536">
                  <c:v>41.39</c:v>
                </c:pt>
                <c:pt idx="537">
                  <c:v>46.61</c:v>
                </c:pt>
                <c:pt idx="538">
                  <c:v>46.22</c:v>
                </c:pt>
                <c:pt idx="539">
                  <c:v>53.73</c:v>
                </c:pt>
                <c:pt idx="541">
                  <c:v>58.2</c:v>
                </c:pt>
                <c:pt idx="542">
                  <c:v>60.13</c:v>
                </c:pt>
                <c:pt idx="543">
                  <c:v>54.99</c:v>
                </c:pt>
                <c:pt idx="544">
                  <c:v>54.4</c:v>
                </c:pt>
                <c:pt idx="545">
                  <c:v>56.19</c:v>
                </c:pt>
                <c:pt idx="546">
                  <c:v>61.24</c:v>
                </c:pt>
                <c:pt idx="547">
                  <c:v>58.97</c:v>
                </c:pt>
                <c:pt idx="548">
                  <c:v>52.46</c:v>
                </c:pt>
                <c:pt idx="549">
                  <c:v>48.04</c:v>
                </c:pt>
                <c:pt idx="550">
                  <c:v>45.08</c:v>
                </c:pt>
                <c:pt idx="551">
                  <c:v>49.96</c:v>
                </c:pt>
                <c:pt idx="552">
                  <c:v>53.41</c:v>
                </c:pt>
                <c:pt idx="553">
                  <c:v>54.57</c:v>
                </c:pt>
                <c:pt idx="554">
                  <c:v>50.51</c:v>
                </c:pt>
                <c:pt idx="555">
                  <c:v>51.87</c:v>
                </c:pt>
                <c:pt idx="556">
                  <c:v>53.7</c:v>
                </c:pt>
                <c:pt idx="557">
                  <c:v>50.37</c:v>
                </c:pt>
                <c:pt idx="558">
                  <c:v>52</c:v>
                </c:pt>
                <c:pt idx="559">
                  <c:v>58.17</c:v>
                </c:pt>
                <c:pt idx="560">
                  <c:v>66.22</c:v>
                </c:pt>
                <c:pt idx="561">
                  <c:v>65.12</c:v>
                </c:pt>
                <c:pt idx="562">
                  <c:v>62.86</c:v>
                </c:pt>
                <c:pt idx="563">
                  <c:v>61.51</c:v>
                </c:pt>
                <c:pt idx="564">
                  <c:v>60.39</c:v>
                </c:pt>
                <c:pt idx="565">
                  <c:v>59.37</c:v>
                </c:pt>
                <c:pt idx="566">
                  <c:v>61.53</c:v>
                </c:pt>
                <c:pt idx="567">
                  <c:v>55.14</c:v>
                </c:pt>
                <c:pt idx="568">
                  <c:v>52.37</c:v>
                </c:pt>
                <c:pt idx="570">
                  <c:v>56.55</c:v>
                </c:pt>
                <c:pt idx="571">
                  <c:v>59.34</c:v>
                </c:pt>
                <c:pt idx="572">
                  <c:v>55.41</c:v>
                </c:pt>
                <c:pt idx="573">
                  <c:v>51.48</c:v>
                </c:pt>
                <c:pt idx="574">
                  <c:v>61.11</c:v>
                </c:pt>
                <c:pt idx="575">
                  <c:v>61.56</c:v>
                </c:pt>
                <c:pt idx="576">
                  <c:v>59.21</c:v>
                </c:pt>
                <c:pt idx="577">
                  <c:v>57.73</c:v>
                </c:pt>
                <c:pt idx="578">
                  <c:v>53.81</c:v>
                </c:pt>
                <c:pt idx="579">
                  <c:v>51.57</c:v>
                </c:pt>
                <c:pt idx="580">
                  <c:v>57.71</c:v>
                </c:pt>
                <c:pt idx="581">
                  <c:v>50.97</c:v>
                </c:pt>
                <c:pt idx="582">
                  <c:v>41.87</c:v>
                </c:pt>
                <c:pt idx="583">
                  <c:v>50.21</c:v>
                </c:pt>
                <c:pt idx="584">
                  <c:v>50.5</c:v>
                </c:pt>
                <c:pt idx="585">
                  <c:v>42.66</c:v>
                </c:pt>
                <c:pt idx="586">
                  <c:v>39.909999999999997</c:v>
                </c:pt>
                <c:pt idx="587">
                  <c:v>45.46</c:v>
                </c:pt>
                <c:pt idx="588">
                  <c:v>47.34</c:v>
                </c:pt>
                <c:pt idx="589">
                  <c:v>48.53</c:v>
                </c:pt>
                <c:pt idx="590">
                  <c:v>50.7</c:v>
                </c:pt>
                <c:pt idx="591">
                  <c:v>45.83</c:v>
                </c:pt>
                <c:pt idx="592">
                  <c:v>42.75</c:v>
                </c:pt>
                <c:pt idx="593">
                  <c:v>46.56</c:v>
                </c:pt>
                <c:pt idx="595">
                  <c:v>47.08</c:v>
                </c:pt>
                <c:pt idx="596">
                  <c:v>52.81</c:v>
                </c:pt>
                <c:pt idx="597">
                  <c:v>53.47</c:v>
                </c:pt>
                <c:pt idx="598">
                  <c:v>49.95</c:v>
                </c:pt>
                <c:pt idx="599">
                  <c:v>51.63</c:v>
                </c:pt>
                <c:pt idx="600">
                  <c:v>43.67</c:v>
                </c:pt>
                <c:pt idx="601">
                  <c:v>42.87</c:v>
                </c:pt>
                <c:pt idx="602">
                  <c:v>45.59</c:v>
                </c:pt>
                <c:pt idx="603">
                  <c:v>55.14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EF-4DC6-94A8-BDBB8E5EA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종이</a:t>
            </a:r>
            <a:r>
              <a:rPr lang="en-US" altLang="ko-KR"/>
              <a:t>·</a:t>
            </a:r>
            <a:r>
              <a:rPr lang="ko-KR" altLang="en-US"/>
              <a:t>목재  </a:t>
            </a:r>
            <a:r>
              <a:rPr lang="en-US"/>
              <a:t>vs  </a:t>
            </a:r>
            <a:r>
              <a:rPr lang="ko-KR" altLang="en-US"/>
              <a:t>소재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RSI'!$D$7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RSI'!$D$78:$D$3077</c:f>
              <c:numCache>
                <c:formatCode>0.00</c:formatCode>
                <c:ptCount val="3000"/>
                <c:pt idx="1">
                  <c:v>47.86</c:v>
                </c:pt>
                <c:pt idx="2">
                  <c:v>49.03</c:v>
                </c:pt>
                <c:pt idx="3">
                  <c:v>46.94</c:v>
                </c:pt>
                <c:pt idx="4">
                  <c:v>47.33</c:v>
                </c:pt>
                <c:pt idx="5">
                  <c:v>49.97</c:v>
                </c:pt>
                <c:pt idx="6">
                  <c:v>50.78</c:v>
                </c:pt>
                <c:pt idx="7">
                  <c:v>54.32</c:v>
                </c:pt>
                <c:pt idx="8">
                  <c:v>57.84</c:v>
                </c:pt>
                <c:pt idx="9">
                  <c:v>59.69</c:v>
                </c:pt>
                <c:pt idx="10">
                  <c:v>59.08</c:v>
                </c:pt>
                <c:pt idx="11">
                  <c:v>64.2</c:v>
                </c:pt>
                <c:pt idx="12">
                  <c:v>57.6</c:v>
                </c:pt>
                <c:pt idx="13">
                  <c:v>60.04</c:v>
                </c:pt>
                <c:pt idx="14">
                  <c:v>59.25</c:v>
                </c:pt>
                <c:pt idx="15">
                  <c:v>52.27</c:v>
                </c:pt>
                <c:pt idx="16">
                  <c:v>47.48</c:v>
                </c:pt>
                <c:pt idx="17">
                  <c:v>46.22</c:v>
                </c:pt>
                <c:pt idx="18">
                  <c:v>51.44</c:v>
                </c:pt>
                <c:pt idx="19">
                  <c:v>53.4</c:v>
                </c:pt>
                <c:pt idx="20">
                  <c:v>50.33</c:v>
                </c:pt>
                <c:pt idx="21">
                  <c:v>46.65</c:v>
                </c:pt>
                <c:pt idx="22">
                  <c:v>47.81</c:v>
                </c:pt>
                <c:pt idx="23">
                  <c:v>47.72</c:v>
                </c:pt>
                <c:pt idx="24">
                  <c:v>54.66</c:v>
                </c:pt>
                <c:pt idx="25">
                  <c:v>53.67</c:v>
                </c:pt>
                <c:pt idx="26">
                  <c:v>57.68</c:v>
                </c:pt>
                <c:pt idx="27">
                  <c:v>50.45</c:v>
                </c:pt>
                <c:pt idx="28">
                  <c:v>44.04</c:v>
                </c:pt>
                <c:pt idx="29">
                  <c:v>38.840000000000003</c:v>
                </c:pt>
                <c:pt idx="30">
                  <c:v>44.68</c:v>
                </c:pt>
                <c:pt idx="31">
                  <c:v>41.12</c:v>
                </c:pt>
                <c:pt idx="32">
                  <c:v>43.27</c:v>
                </c:pt>
                <c:pt idx="33">
                  <c:v>44.93</c:v>
                </c:pt>
                <c:pt idx="34">
                  <c:v>44.18</c:v>
                </c:pt>
                <c:pt idx="35">
                  <c:v>46.3</c:v>
                </c:pt>
                <c:pt idx="36">
                  <c:v>47.23</c:v>
                </c:pt>
                <c:pt idx="37">
                  <c:v>46.51</c:v>
                </c:pt>
                <c:pt idx="38">
                  <c:v>44.89</c:v>
                </c:pt>
                <c:pt idx="39">
                  <c:v>41.86</c:v>
                </c:pt>
                <c:pt idx="40">
                  <c:v>47.48</c:v>
                </c:pt>
                <c:pt idx="41">
                  <c:v>45.05</c:v>
                </c:pt>
                <c:pt idx="42">
                  <c:v>38.71</c:v>
                </c:pt>
                <c:pt idx="43">
                  <c:v>54.34</c:v>
                </c:pt>
                <c:pt idx="45">
                  <c:v>63.68</c:v>
                </c:pt>
                <c:pt idx="46">
                  <c:v>62.95</c:v>
                </c:pt>
                <c:pt idx="47">
                  <c:v>72.44</c:v>
                </c:pt>
                <c:pt idx="48">
                  <c:v>69.349999999999994</c:v>
                </c:pt>
                <c:pt idx="49">
                  <c:v>69.760000000000005</c:v>
                </c:pt>
                <c:pt idx="50">
                  <c:v>67.069999999999993</c:v>
                </c:pt>
                <c:pt idx="51">
                  <c:v>71.510000000000005</c:v>
                </c:pt>
                <c:pt idx="54">
                  <c:v>63.57</c:v>
                </c:pt>
                <c:pt idx="55">
                  <c:v>62.14</c:v>
                </c:pt>
                <c:pt idx="56">
                  <c:v>66.430000000000007</c:v>
                </c:pt>
                <c:pt idx="57">
                  <c:v>78.44</c:v>
                </c:pt>
                <c:pt idx="58">
                  <c:v>62.54</c:v>
                </c:pt>
                <c:pt idx="59">
                  <c:v>49.02</c:v>
                </c:pt>
                <c:pt idx="60">
                  <c:v>54.06</c:v>
                </c:pt>
                <c:pt idx="61">
                  <c:v>52.98</c:v>
                </c:pt>
                <c:pt idx="62">
                  <c:v>42.78</c:v>
                </c:pt>
                <c:pt idx="63">
                  <c:v>33.33</c:v>
                </c:pt>
                <c:pt idx="64">
                  <c:v>40.06</c:v>
                </c:pt>
                <c:pt idx="65">
                  <c:v>40.71</c:v>
                </c:pt>
                <c:pt idx="66">
                  <c:v>39.85</c:v>
                </c:pt>
                <c:pt idx="67">
                  <c:v>43.22</c:v>
                </c:pt>
                <c:pt idx="68">
                  <c:v>43.26</c:v>
                </c:pt>
                <c:pt idx="69">
                  <c:v>46.08</c:v>
                </c:pt>
                <c:pt idx="70">
                  <c:v>41.52</c:v>
                </c:pt>
                <c:pt idx="71">
                  <c:v>44.85</c:v>
                </c:pt>
                <c:pt idx="72">
                  <c:v>48.11</c:v>
                </c:pt>
                <c:pt idx="73">
                  <c:v>36.56</c:v>
                </c:pt>
                <c:pt idx="74">
                  <c:v>37.68</c:v>
                </c:pt>
                <c:pt idx="75">
                  <c:v>39.49</c:v>
                </c:pt>
                <c:pt idx="76">
                  <c:v>40.450000000000003</c:v>
                </c:pt>
                <c:pt idx="77">
                  <c:v>36.57</c:v>
                </c:pt>
                <c:pt idx="78">
                  <c:v>37.76</c:v>
                </c:pt>
                <c:pt idx="79">
                  <c:v>31.38</c:v>
                </c:pt>
                <c:pt idx="80">
                  <c:v>32.42</c:v>
                </c:pt>
                <c:pt idx="81">
                  <c:v>34.24</c:v>
                </c:pt>
                <c:pt idx="82">
                  <c:v>36.85</c:v>
                </c:pt>
                <c:pt idx="83">
                  <c:v>37.880000000000003</c:v>
                </c:pt>
                <c:pt idx="84">
                  <c:v>40.590000000000003</c:v>
                </c:pt>
                <c:pt idx="86">
                  <c:v>44.74</c:v>
                </c:pt>
                <c:pt idx="87">
                  <c:v>46.7</c:v>
                </c:pt>
                <c:pt idx="88">
                  <c:v>54.87</c:v>
                </c:pt>
                <c:pt idx="89">
                  <c:v>62.04</c:v>
                </c:pt>
                <c:pt idx="90">
                  <c:v>56.43</c:v>
                </c:pt>
                <c:pt idx="91">
                  <c:v>58.51</c:v>
                </c:pt>
                <c:pt idx="92">
                  <c:v>58</c:v>
                </c:pt>
                <c:pt idx="93">
                  <c:v>53.45</c:v>
                </c:pt>
                <c:pt idx="94">
                  <c:v>58.46</c:v>
                </c:pt>
                <c:pt idx="95">
                  <c:v>57.78</c:v>
                </c:pt>
                <c:pt idx="96">
                  <c:v>67.650000000000006</c:v>
                </c:pt>
                <c:pt idx="97">
                  <c:v>64.44</c:v>
                </c:pt>
                <c:pt idx="98">
                  <c:v>55.44</c:v>
                </c:pt>
                <c:pt idx="99">
                  <c:v>55.75</c:v>
                </c:pt>
                <c:pt idx="100">
                  <c:v>56.39</c:v>
                </c:pt>
                <c:pt idx="101">
                  <c:v>52.66</c:v>
                </c:pt>
                <c:pt idx="102">
                  <c:v>60.11</c:v>
                </c:pt>
                <c:pt idx="103">
                  <c:v>58.87</c:v>
                </c:pt>
                <c:pt idx="104">
                  <c:v>57.72</c:v>
                </c:pt>
                <c:pt idx="105">
                  <c:v>54.64</c:v>
                </c:pt>
                <c:pt idx="106">
                  <c:v>51.24</c:v>
                </c:pt>
                <c:pt idx="107">
                  <c:v>56.44</c:v>
                </c:pt>
                <c:pt idx="108">
                  <c:v>54.4</c:v>
                </c:pt>
                <c:pt idx="109">
                  <c:v>54.52</c:v>
                </c:pt>
                <c:pt idx="110">
                  <c:v>47.51</c:v>
                </c:pt>
                <c:pt idx="111">
                  <c:v>46.64</c:v>
                </c:pt>
                <c:pt idx="112">
                  <c:v>45.2</c:v>
                </c:pt>
                <c:pt idx="113">
                  <c:v>50.03</c:v>
                </c:pt>
                <c:pt idx="114">
                  <c:v>46.14</c:v>
                </c:pt>
                <c:pt idx="115">
                  <c:v>44.63</c:v>
                </c:pt>
                <c:pt idx="116">
                  <c:v>47.05</c:v>
                </c:pt>
                <c:pt idx="117">
                  <c:v>59.82</c:v>
                </c:pt>
                <c:pt idx="118">
                  <c:v>60.32</c:v>
                </c:pt>
                <c:pt idx="119">
                  <c:v>60.7</c:v>
                </c:pt>
                <c:pt idx="120">
                  <c:v>48.69</c:v>
                </c:pt>
                <c:pt idx="121">
                  <c:v>50.14</c:v>
                </c:pt>
                <c:pt idx="122">
                  <c:v>49.58</c:v>
                </c:pt>
                <c:pt idx="123">
                  <c:v>54.5</c:v>
                </c:pt>
                <c:pt idx="124">
                  <c:v>51.84</c:v>
                </c:pt>
                <c:pt idx="125">
                  <c:v>53.18</c:v>
                </c:pt>
                <c:pt idx="126">
                  <c:v>46.14</c:v>
                </c:pt>
                <c:pt idx="127">
                  <c:v>40.33</c:v>
                </c:pt>
                <c:pt idx="128">
                  <c:v>42.55</c:v>
                </c:pt>
                <c:pt idx="129">
                  <c:v>48.85</c:v>
                </c:pt>
                <c:pt idx="130">
                  <c:v>51.68</c:v>
                </c:pt>
                <c:pt idx="131">
                  <c:v>52.17</c:v>
                </c:pt>
                <c:pt idx="132">
                  <c:v>48.93</c:v>
                </c:pt>
                <c:pt idx="133">
                  <c:v>55.61</c:v>
                </c:pt>
                <c:pt idx="134">
                  <c:v>52.13</c:v>
                </c:pt>
                <c:pt idx="135">
                  <c:v>41.6</c:v>
                </c:pt>
                <c:pt idx="136">
                  <c:v>40.159999999999997</c:v>
                </c:pt>
                <c:pt idx="137">
                  <c:v>38.799999999999997</c:v>
                </c:pt>
                <c:pt idx="138">
                  <c:v>48.96</c:v>
                </c:pt>
                <c:pt idx="139">
                  <c:v>49.62</c:v>
                </c:pt>
                <c:pt idx="140">
                  <c:v>33.85</c:v>
                </c:pt>
                <c:pt idx="141">
                  <c:v>34.090000000000003</c:v>
                </c:pt>
                <c:pt idx="142">
                  <c:v>35.51</c:v>
                </c:pt>
                <c:pt idx="148">
                  <c:v>41.44</c:v>
                </c:pt>
                <c:pt idx="149">
                  <c:v>39.31</c:v>
                </c:pt>
                <c:pt idx="150">
                  <c:v>38.43</c:v>
                </c:pt>
                <c:pt idx="151">
                  <c:v>41.33</c:v>
                </c:pt>
                <c:pt idx="152">
                  <c:v>37.090000000000003</c:v>
                </c:pt>
                <c:pt idx="153">
                  <c:v>42.37</c:v>
                </c:pt>
                <c:pt idx="154">
                  <c:v>40.64</c:v>
                </c:pt>
                <c:pt idx="155">
                  <c:v>44.07</c:v>
                </c:pt>
                <c:pt idx="156">
                  <c:v>48.08</c:v>
                </c:pt>
                <c:pt idx="157">
                  <c:v>48.34</c:v>
                </c:pt>
                <c:pt idx="158">
                  <c:v>56.27</c:v>
                </c:pt>
                <c:pt idx="159">
                  <c:v>56.03</c:v>
                </c:pt>
                <c:pt idx="160">
                  <c:v>54.28</c:v>
                </c:pt>
                <c:pt idx="161">
                  <c:v>57.17</c:v>
                </c:pt>
                <c:pt idx="162">
                  <c:v>57.31</c:v>
                </c:pt>
                <c:pt idx="163">
                  <c:v>55.83</c:v>
                </c:pt>
                <c:pt idx="164">
                  <c:v>53.74</c:v>
                </c:pt>
                <c:pt idx="165">
                  <c:v>52.01</c:v>
                </c:pt>
                <c:pt idx="166">
                  <c:v>47.43</c:v>
                </c:pt>
                <c:pt idx="167">
                  <c:v>45.04</c:v>
                </c:pt>
                <c:pt idx="168">
                  <c:v>46.14</c:v>
                </c:pt>
                <c:pt idx="169">
                  <c:v>43.09</c:v>
                </c:pt>
                <c:pt idx="170">
                  <c:v>38.340000000000003</c:v>
                </c:pt>
                <c:pt idx="171">
                  <c:v>39.81</c:v>
                </c:pt>
                <c:pt idx="172">
                  <c:v>37.729999999999997</c:v>
                </c:pt>
                <c:pt idx="173">
                  <c:v>41.44</c:v>
                </c:pt>
                <c:pt idx="174">
                  <c:v>35.15</c:v>
                </c:pt>
                <c:pt idx="175">
                  <c:v>35.78</c:v>
                </c:pt>
                <c:pt idx="176">
                  <c:v>36.56</c:v>
                </c:pt>
                <c:pt idx="177">
                  <c:v>35.83</c:v>
                </c:pt>
                <c:pt idx="178">
                  <c:v>32.57</c:v>
                </c:pt>
                <c:pt idx="179">
                  <c:v>28.01</c:v>
                </c:pt>
                <c:pt idx="180">
                  <c:v>29.96</c:v>
                </c:pt>
                <c:pt idx="181">
                  <c:v>30.83</c:v>
                </c:pt>
                <c:pt idx="183">
                  <c:v>34.159999999999997</c:v>
                </c:pt>
                <c:pt idx="184">
                  <c:v>35.68</c:v>
                </c:pt>
                <c:pt idx="185">
                  <c:v>36.57</c:v>
                </c:pt>
                <c:pt idx="186">
                  <c:v>38.29</c:v>
                </c:pt>
                <c:pt idx="187">
                  <c:v>39.340000000000003</c:v>
                </c:pt>
                <c:pt idx="188">
                  <c:v>38.5</c:v>
                </c:pt>
                <c:pt idx="189">
                  <c:v>37.97</c:v>
                </c:pt>
                <c:pt idx="190">
                  <c:v>37.08</c:v>
                </c:pt>
                <c:pt idx="191">
                  <c:v>36.979999999999997</c:v>
                </c:pt>
                <c:pt idx="192">
                  <c:v>29.8</c:v>
                </c:pt>
                <c:pt idx="193">
                  <c:v>35.81</c:v>
                </c:pt>
                <c:pt idx="194">
                  <c:v>32.44</c:v>
                </c:pt>
                <c:pt idx="195">
                  <c:v>31.98</c:v>
                </c:pt>
                <c:pt idx="196">
                  <c:v>29.46</c:v>
                </c:pt>
                <c:pt idx="197">
                  <c:v>32.07</c:v>
                </c:pt>
                <c:pt idx="198">
                  <c:v>32.35</c:v>
                </c:pt>
                <c:pt idx="199">
                  <c:v>43.38</c:v>
                </c:pt>
                <c:pt idx="200">
                  <c:v>52.37</c:v>
                </c:pt>
                <c:pt idx="201">
                  <c:v>52.63</c:v>
                </c:pt>
                <c:pt idx="202">
                  <c:v>58.55</c:v>
                </c:pt>
                <c:pt idx="203">
                  <c:v>61.29</c:v>
                </c:pt>
                <c:pt idx="204">
                  <c:v>64.98</c:v>
                </c:pt>
                <c:pt idx="205">
                  <c:v>70.14</c:v>
                </c:pt>
                <c:pt idx="206">
                  <c:v>72.27</c:v>
                </c:pt>
                <c:pt idx="207">
                  <c:v>70.17</c:v>
                </c:pt>
                <c:pt idx="208">
                  <c:v>69.61</c:v>
                </c:pt>
                <c:pt idx="209">
                  <c:v>68.819999999999993</c:v>
                </c:pt>
                <c:pt idx="210">
                  <c:v>59.12</c:v>
                </c:pt>
                <c:pt idx="211">
                  <c:v>58.18</c:v>
                </c:pt>
                <c:pt idx="212">
                  <c:v>56.68</c:v>
                </c:pt>
                <c:pt idx="213">
                  <c:v>61.95</c:v>
                </c:pt>
                <c:pt idx="214">
                  <c:v>58.64</c:v>
                </c:pt>
                <c:pt idx="215">
                  <c:v>59.9</c:v>
                </c:pt>
                <c:pt idx="216">
                  <c:v>54.65</c:v>
                </c:pt>
                <c:pt idx="217">
                  <c:v>54.89</c:v>
                </c:pt>
                <c:pt idx="218">
                  <c:v>56.87</c:v>
                </c:pt>
                <c:pt idx="219">
                  <c:v>61.96</c:v>
                </c:pt>
                <c:pt idx="220">
                  <c:v>61.22</c:v>
                </c:pt>
                <c:pt idx="221">
                  <c:v>58.19</c:v>
                </c:pt>
                <c:pt idx="222">
                  <c:v>67.209999999999994</c:v>
                </c:pt>
                <c:pt idx="223">
                  <c:v>69.63</c:v>
                </c:pt>
                <c:pt idx="224">
                  <c:v>64.319999999999993</c:v>
                </c:pt>
                <c:pt idx="225">
                  <c:v>62.87</c:v>
                </c:pt>
                <c:pt idx="226">
                  <c:v>64.06</c:v>
                </c:pt>
                <c:pt idx="227">
                  <c:v>65.790000000000006</c:v>
                </c:pt>
                <c:pt idx="228">
                  <c:v>72.52</c:v>
                </c:pt>
                <c:pt idx="229">
                  <c:v>78.38</c:v>
                </c:pt>
                <c:pt idx="230">
                  <c:v>75.63</c:v>
                </c:pt>
                <c:pt idx="231">
                  <c:v>71.760000000000005</c:v>
                </c:pt>
                <c:pt idx="233">
                  <c:v>63.92</c:v>
                </c:pt>
                <c:pt idx="234">
                  <c:v>62.15</c:v>
                </c:pt>
                <c:pt idx="236">
                  <c:v>55.78</c:v>
                </c:pt>
                <c:pt idx="237">
                  <c:v>55.2</c:v>
                </c:pt>
                <c:pt idx="238">
                  <c:v>54.23</c:v>
                </c:pt>
                <c:pt idx="239">
                  <c:v>49.86</c:v>
                </c:pt>
                <c:pt idx="240">
                  <c:v>48.85</c:v>
                </c:pt>
                <c:pt idx="241">
                  <c:v>50.32</c:v>
                </c:pt>
                <c:pt idx="242">
                  <c:v>50.08</c:v>
                </c:pt>
                <c:pt idx="243">
                  <c:v>50.9</c:v>
                </c:pt>
                <c:pt idx="244">
                  <c:v>52.35</c:v>
                </c:pt>
                <c:pt idx="245">
                  <c:v>52.3</c:v>
                </c:pt>
                <c:pt idx="246">
                  <c:v>45.64</c:v>
                </c:pt>
                <c:pt idx="247">
                  <c:v>47.83</c:v>
                </c:pt>
                <c:pt idx="248">
                  <c:v>52.76</c:v>
                </c:pt>
                <c:pt idx="249">
                  <c:v>57.62</c:v>
                </c:pt>
                <c:pt idx="250">
                  <c:v>55.85</c:v>
                </c:pt>
                <c:pt idx="251">
                  <c:v>61.21</c:v>
                </c:pt>
                <c:pt idx="252">
                  <c:v>45.21</c:v>
                </c:pt>
                <c:pt idx="253">
                  <c:v>45.85</c:v>
                </c:pt>
                <c:pt idx="254">
                  <c:v>46.28</c:v>
                </c:pt>
                <c:pt idx="257">
                  <c:v>46.79</c:v>
                </c:pt>
                <c:pt idx="259">
                  <c:v>52.67</c:v>
                </c:pt>
                <c:pt idx="260">
                  <c:v>53.48</c:v>
                </c:pt>
                <c:pt idx="261">
                  <c:v>49.43</c:v>
                </c:pt>
                <c:pt idx="262">
                  <c:v>53.61</c:v>
                </c:pt>
                <c:pt idx="263">
                  <c:v>53.45</c:v>
                </c:pt>
                <c:pt idx="264">
                  <c:v>54.78</c:v>
                </c:pt>
                <c:pt idx="265">
                  <c:v>56.06</c:v>
                </c:pt>
                <c:pt idx="266">
                  <c:v>64.23</c:v>
                </c:pt>
                <c:pt idx="267">
                  <c:v>59.86</c:v>
                </c:pt>
                <c:pt idx="268">
                  <c:v>58.09</c:v>
                </c:pt>
                <c:pt idx="269">
                  <c:v>56.61</c:v>
                </c:pt>
                <c:pt idx="270">
                  <c:v>61.08</c:v>
                </c:pt>
                <c:pt idx="271">
                  <c:v>59.46</c:v>
                </c:pt>
                <c:pt idx="272">
                  <c:v>57.72</c:v>
                </c:pt>
                <c:pt idx="273">
                  <c:v>58.78</c:v>
                </c:pt>
                <c:pt idx="274">
                  <c:v>53.36</c:v>
                </c:pt>
                <c:pt idx="275">
                  <c:v>69.64</c:v>
                </c:pt>
                <c:pt idx="276">
                  <c:v>56.68</c:v>
                </c:pt>
                <c:pt idx="277">
                  <c:v>61.55</c:v>
                </c:pt>
                <c:pt idx="278">
                  <c:v>43.06</c:v>
                </c:pt>
                <c:pt idx="279">
                  <c:v>44.71</c:v>
                </c:pt>
                <c:pt idx="280">
                  <c:v>47.18</c:v>
                </c:pt>
                <c:pt idx="281">
                  <c:v>30.41</c:v>
                </c:pt>
                <c:pt idx="282">
                  <c:v>39.35</c:v>
                </c:pt>
                <c:pt idx="283">
                  <c:v>44.17</c:v>
                </c:pt>
                <c:pt idx="284">
                  <c:v>45.77</c:v>
                </c:pt>
                <c:pt idx="285">
                  <c:v>44.01</c:v>
                </c:pt>
                <c:pt idx="286">
                  <c:v>47.74</c:v>
                </c:pt>
                <c:pt idx="287">
                  <c:v>46.37</c:v>
                </c:pt>
                <c:pt idx="288">
                  <c:v>52.71</c:v>
                </c:pt>
                <c:pt idx="289">
                  <c:v>52.74</c:v>
                </c:pt>
                <c:pt idx="290">
                  <c:v>51.22</c:v>
                </c:pt>
                <c:pt idx="291">
                  <c:v>53.57</c:v>
                </c:pt>
                <c:pt idx="292">
                  <c:v>48.45</c:v>
                </c:pt>
                <c:pt idx="293">
                  <c:v>42.72</c:v>
                </c:pt>
                <c:pt idx="294">
                  <c:v>43.18</c:v>
                </c:pt>
                <c:pt idx="295">
                  <c:v>42.76</c:v>
                </c:pt>
                <c:pt idx="296">
                  <c:v>46.87</c:v>
                </c:pt>
                <c:pt idx="297">
                  <c:v>45.75</c:v>
                </c:pt>
                <c:pt idx="298">
                  <c:v>52.75</c:v>
                </c:pt>
                <c:pt idx="299">
                  <c:v>49.53</c:v>
                </c:pt>
                <c:pt idx="300">
                  <c:v>44.42</c:v>
                </c:pt>
                <c:pt idx="302">
                  <c:v>49.12</c:v>
                </c:pt>
                <c:pt idx="303">
                  <c:v>53.43</c:v>
                </c:pt>
                <c:pt idx="304">
                  <c:v>53.37</c:v>
                </c:pt>
                <c:pt idx="305">
                  <c:v>57.08</c:v>
                </c:pt>
                <c:pt idx="306">
                  <c:v>57.52</c:v>
                </c:pt>
                <c:pt idx="307">
                  <c:v>52.41</c:v>
                </c:pt>
                <c:pt idx="308">
                  <c:v>56.47</c:v>
                </c:pt>
                <c:pt idx="309">
                  <c:v>55.31</c:v>
                </c:pt>
                <c:pt idx="310">
                  <c:v>47.91</c:v>
                </c:pt>
                <c:pt idx="311">
                  <c:v>47.23</c:v>
                </c:pt>
                <c:pt idx="312">
                  <c:v>47.06</c:v>
                </c:pt>
                <c:pt idx="313">
                  <c:v>46.05</c:v>
                </c:pt>
                <c:pt idx="314">
                  <c:v>46</c:v>
                </c:pt>
                <c:pt idx="315">
                  <c:v>46.07</c:v>
                </c:pt>
                <c:pt idx="316">
                  <c:v>47.5</c:v>
                </c:pt>
                <c:pt idx="317">
                  <c:v>45.03</c:v>
                </c:pt>
                <c:pt idx="318">
                  <c:v>49.82</c:v>
                </c:pt>
                <c:pt idx="319">
                  <c:v>47.16</c:v>
                </c:pt>
                <c:pt idx="320">
                  <c:v>46.44</c:v>
                </c:pt>
                <c:pt idx="321">
                  <c:v>44.43</c:v>
                </c:pt>
                <c:pt idx="322">
                  <c:v>55</c:v>
                </c:pt>
                <c:pt idx="327">
                  <c:v>61.43</c:v>
                </c:pt>
                <c:pt idx="328">
                  <c:v>72.400000000000006</c:v>
                </c:pt>
                <c:pt idx="329">
                  <c:v>64.89</c:v>
                </c:pt>
                <c:pt idx="330">
                  <c:v>72.099999999999994</c:v>
                </c:pt>
                <c:pt idx="331">
                  <c:v>71.709999999999994</c:v>
                </c:pt>
                <c:pt idx="332">
                  <c:v>68.06</c:v>
                </c:pt>
                <c:pt idx="333">
                  <c:v>66.13</c:v>
                </c:pt>
                <c:pt idx="334">
                  <c:v>63.71</c:v>
                </c:pt>
                <c:pt idx="335">
                  <c:v>64.510000000000005</c:v>
                </c:pt>
                <c:pt idx="336">
                  <c:v>66.48</c:v>
                </c:pt>
                <c:pt idx="337">
                  <c:v>58.35</c:v>
                </c:pt>
                <c:pt idx="338">
                  <c:v>52.19</c:v>
                </c:pt>
                <c:pt idx="339">
                  <c:v>56.45</c:v>
                </c:pt>
                <c:pt idx="340">
                  <c:v>55.44</c:v>
                </c:pt>
                <c:pt idx="341">
                  <c:v>56.1</c:v>
                </c:pt>
                <c:pt idx="342">
                  <c:v>51.63</c:v>
                </c:pt>
                <c:pt idx="343">
                  <c:v>50.03</c:v>
                </c:pt>
                <c:pt idx="345">
                  <c:v>45.5</c:v>
                </c:pt>
                <c:pt idx="346">
                  <c:v>42.99</c:v>
                </c:pt>
                <c:pt idx="347">
                  <c:v>44.45</c:v>
                </c:pt>
                <c:pt idx="348">
                  <c:v>47.37</c:v>
                </c:pt>
                <c:pt idx="349">
                  <c:v>49.41</c:v>
                </c:pt>
                <c:pt idx="350">
                  <c:v>45.09</c:v>
                </c:pt>
                <c:pt idx="351">
                  <c:v>49.92</c:v>
                </c:pt>
                <c:pt idx="352">
                  <c:v>52.04</c:v>
                </c:pt>
                <c:pt idx="353">
                  <c:v>51.84</c:v>
                </c:pt>
                <c:pt idx="354">
                  <c:v>54.23</c:v>
                </c:pt>
                <c:pt idx="355">
                  <c:v>53.62</c:v>
                </c:pt>
                <c:pt idx="356">
                  <c:v>49.7</c:v>
                </c:pt>
                <c:pt idx="357">
                  <c:v>51.61</c:v>
                </c:pt>
                <c:pt idx="358">
                  <c:v>37.64</c:v>
                </c:pt>
                <c:pt idx="359">
                  <c:v>26.07</c:v>
                </c:pt>
                <c:pt idx="360">
                  <c:v>30.75</c:v>
                </c:pt>
                <c:pt idx="361">
                  <c:v>30.94</c:v>
                </c:pt>
                <c:pt idx="362">
                  <c:v>33.22</c:v>
                </c:pt>
                <c:pt idx="363">
                  <c:v>36.479999999999997</c:v>
                </c:pt>
                <c:pt idx="364">
                  <c:v>32.06</c:v>
                </c:pt>
                <c:pt idx="365">
                  <c:v>43.46</c:v>
                </c:pt>
                <c:pt idx="366">
                  <c:v>34.299999999999997</c:v>
                </c:pt>
                <c:pt idx="367">
                  <c:v>35.89</c:v>
                </c:pt>
                <c:pt idx="368">
                  <c:v>36.380000000000003</c:v>
                </c:pt>
                <c:pt idx="369">
                  <c:v>37.270000000000003</c:v>
                </c:pt>
                <c:pt idx="370">
                  <c:v>33.78</c:v>
                </c:pt>
                <c:pt idx="371">
                  <c:v>28.13</c:v>
                </c:pt>
                <c:pt idx="372">
                  <c:v>30.13</c:v>
                </c:pt>
                <c:pt idx="373">
                  <c:v>32.270000000000003</c:v>
                </c:pt>
                <c:pt idx="374">
                  <c:v>32.81</c:v>
                </c:pt>
                <c:pt idx="375">
                  <c:v>32.14</c:v>
                </c:pt>
                <c:pt idx="376">
                  <c:v>27.96</c:v>
                </c:pt>
                <c:pt idx="377">
                  <c:v>29.5</c:v>
                </c:pt>
                <c:pt idx="378">
                  <c:v>35.590000000000003</c:v>
                </c:pt>
                <c:pt idx="379">
                  <c:v>37.74</c:v>
                </c:pt>
                <c:pt idx="380">
                  <c:v>44.71</c:v>
                </c:pt>
                <c:pt idx="381">
                  <c:v>50.77</c:v>
                </c:pt>
                <c:pt idx="382">
                  <c:v>47.92</c:v>
                </c:pt>
                <c:pt idx="383">
                  <c:v>48.81</c:v>
                </c:pt>
                <c:pt idx="384">
                  <c:v>46.96</c:v>
                </c:pt>
                <c:pt idx="385">
                  <c:v>44.44</c:v>
                </c:pt>
                <c:pt idx="386">
                  <c:v>47.03</c:v>
                </c:pt>
                <c:pt idx="387">
                  <c:v>46.98</c:v>
                </c:pt>
                <c:pt idx="388">
                  <c:v>45.99</c:v>
                </c:pt>
                <c:pt idx="389">
                  <c:v>43.74</c:v>
                </c:pt>
                <c:pt idx="390">
                  <c:v>37.14</c:v>
                </c:pt>
                <c:pt idx="391">
                  <c:v>42.48</c:v>
                </c:pt>
                <c:pt idx="392">
                  <c:v>42.74</c:v>
                </c:pt>
                <c:pt idx="393">
                  <c:v>42.56</c:v>
                </c:pt>
                <c:pt idx="394">
                  <c:v>45.61</c:v>
                </c:pt>
                <c:pt idx="395">
                  <c:v>46.33</c:v>
                </c:pt>
                <c:pt idx="396">
                  <c:v>47.49</c:v>
                </c:pt>
                <c:pt idx="397">
                  <c:v>49.9</c:v>
                </c:pt>
                <c:pt idx="398">
                  <c:v>52.24</c:v>
                </c:pt>
                <c:pt idx="399">
                  <c:v>65.290000000000006</c:v>
                </c:pt>
                <c:pt idx="400">
                  <c:v>49.19</c:v>
                </c:pt>
                <c:pt idx="401">
                  <c:v>47.95</c:v>
                </c:pt>
                <c:pt idx="403">
                  <c:v>45.76</c:v>
                </c:pt>
                <c:pt idx="404">
                  <c:v>48.09</c:v>
                </c:pt>
                <c:pt idx="405">
                  <c:v>44.21</c:v>
                </c:pt>
                <c:pt idx="407">
                  <c:v>42.72</c:v>
                </c:pt>
                <c:pt idx="409">
                  <c:v>47.16</c:v>
                </c:pt>
                <c:pt idx="410">
                  <c:v>50.51</c:v>
                </c:pt>
                <c:pt idx="411">
                  <c:v>51.95</c:v>
                </c:pt>
                <c:pt idx="412">
                  <c:v>48.14</c:v>
                </c:pt>
                <c:pt idx="413">
                  <c:v>52.43</c:v>
                </c:pt>
                <c:pt idx="414">
                  <c:v>46.27</c:v>
                </c:pt>
                <c:pt idx="415">
                  <c:v>44.97</c:v>
                </c:pt>
                <c:pt idx="416">
                  <c:v>45.53</c:v>
                </c:pt>
                <c:pt idx="420">
                  <c:v>41.27</c:v>
                </c:pt>
                <c:pt idx="421">
                  <c:v>38.4</c:v>
                </c:pt>
                <c:pt idx="422">
                  <c:v>32.39</c:v>
                </c:pt>
                <c:pt idx="423">
                  <c:v>33.090000000000003</c:v>
                </c:pt>
                <c:pt idx="424">
                  <c:v>34.380000000000003</c:v>
                </c:pt>
                <c:pt idx="425">
                  <c:v>33.51</c:v>
                </c:pt>
                <c:pt idx="426">
                  <c:v>38.17</c:v>
                </c:pt>
                <c:pt idx="427">
                  <c:v>38.479999999999997</c:v>
                </c:pt>
                <c:pt idx="428">
                  <c:v>43.34</c:v>
                </c:pt>
                <c:pt idx="429">
                  <c:v>40.58</c:v>
                </c:pt>
                <c:pt idx="430">
                  <c:v>42.8</c:v>
                </c:pt>
                <c:pt idx="431">
                  <c:v>41.38</c:v>
                </c:pt>
                <c:pt idx="432">
                  <c:v>45.52</c:v>
                </c:pt>
                <c:pt idx="433">
                  <c:v>47.65</c:v>
                </c:pt>
                <c:pt idx="434">
                  <c:v>47.13</c:v>
                </c:pt>
                <c:pt idx="435">
                  <c:v>47.6</c:v>
                </c:pt>
                <c:pt idx="436">
                  <c:v>48.69</c:v>
                </c:pt>
                <c:pt idx="437">
                  <c:v>52.72</c:v>
                </c:pt>
                <c:pt idx="438">
                  <c:v>55.4</c:v>
                </c:pt>
                <c:pt idx="439">
                  <c:v>53.49</c:v>
                </c:pt>
                <c:pt idx="440">
                  <c:v>52.79</c:v>
                </c:pt>
                <c:pt idx="442">
                  <c:v>47.1</c:v>
                </c:pt>
                <c:pt idx="443">
                  <c:v>43.53</c:v>
                </c:pt>
                <c:pt idx="444">
                  <c:v>46.29</c:v>
                </c:pt>
                <c:pt idx="445">
                  <c:v>45.04</c:v>
                </c:pt>
                <c:pt idx="446">
                  <c:v>40.6</c:v>
                </c:pt>
                <c:pt idx="447">
                  <c:v>38.68</c:v>
                </c:pt>
                <c:pt idx="448">
                  <c:v>29.13</c:v>
                </c:pt>
                <c:pt idx="449">
                  <c:v>17.36</c:v>
                </c:pt>
                <c:pt idx="450">
                  <c:v>34.53</c:v>
                </c:pt>
                <c:pt idx="451">
                  <c:v>47.36</c:v>
                </c:pt>
                <c:pt idx="452">
                  <c:v>31.95</c:v>
                </c:pt>
                <c:pt idx="453">
                  <c:v>29.91</c:v>
                </c:pt>
                <c:pt idx="454">
                  <c:v>34.32</c:v>
                </c:pt>
                <c:pt idx="455">
                  <c:v>32.130000000000003</c:v>
                </c:pt>
                <c:pt idx="456">
                  <c:v>25.49</c:v>
                </c:pt>
                <c:pt idx="457">
                  <c:v>28.2</c:v>
                </c:pt>
                <c:pt idx="458">
                  <c:v>27.04</c:v>
                </c:pt>
                <c:pt idx="459">
                  <c:v>27.82</c:v>
                </c:pt>
                <c:pt idx="460">
                  <c:v>33.700000000000003</c:v>
                </c:pt>
                <c:pt idx="461">
                  <c:v>37.04</c:v>
                </c:pt>
                <c:pt idx="462">
                  <c:v>39.44</c:v>
                </c:pt>
                <c:pt idx="463">
                  <c:v>40.01</c:v>
                </c:pt>
                <c:pt idx="464">
                  <c:v>38.659999999999997</c:v>
                </c:pt>
                <c:pt idx="465">
                  <c:v>34.39</c:v>
                </c:pt>
                <c:pt idx="466">
                  <c:v>30.64</c:v>
                </c:pt>
                <c:pt idx="467">
                  <c:v>32.19</c:v>
                </c:pt>
                <c:pt idx="468">
                  <c:v>32.39</c:v>
                </c:pt>
                <c:pt idx="469">
                  <c:v>32.229999999999997</c:v>
                </c:pt>
                <c:pt idx="470">
                  <c:v>31.19</c:v>
                </c:pt>
                <c:pt idx="471">
                  <c:v>32.82</c:v>
                </c:pt>
                <c:pt idx="472">
                  <c:v>30.17</c:v>
                </c:pt>
                <c:pt idx="473">
                  <c:v>34.08</c:v>
                </c:pt>
                <c:pt idx="474">
                  <c:v>40.22</c:v>
                </c:pt>
                <c:pt idx="475">
                  <c:v>42.01</c:v>
                </c:pt>
                <c:pt idx="476">
                  <c:v>42.43</c:v>
                </c:pt>
                <c:pt idx="477">
                  <c:v>46.9</c:v>
                </c:pt>
                <c:pt idx="478">
                  <c:v>46.76</c:v>
                </c:pt>
                <c:pt idx="479">
                  <c:v>46.44</c:v>
                </c:pt>
                <c:pt idx="480">
                  <c:v>49.53</c:v>
                </c:pt>
                <c:pt idx="481">
                  <c:v>55.23</c:v>
                </c:pt>
                <c:pt idx="482">
                  <c:v>44.43</c:v>
                </c:pt>
                <c:pt idx="483">
                  <c:v>47.31</c:v>
                </c:pt>
                <c:pt idx="484">
                  <c:v>49.42</c:v>
                </c:pt>
                <c:pt idx="485">
                  <c:v>50.97</c:v>
                </c:pt>
                <c:pt idx="486">
                  <c:v>47.24</c:v>
                </c:pt>
                <c:pt idx="487">
                  <c:v>44.23</c:v>
                </c:pt>
                <c:pt idx="488">
                  <c:v>42.47</c:v>
                </c:pt>
                <c:pt idx="489">
                  <c:v>45.88</c:v>
                </c:pt>
                <c:pt idx="490">
                  <c:v>45.03</c:v>
                </c:pt>
                <c:pt idx="492">
                  <c:v>47.89</c:v>
                </c:pt>
                <c:pt idx="493">
                  <c:v>57.78</c:v>
                </c:pt>
                <c:pt idx="494">
                  <c:v>49.17</c:v>
                </c:pt>
                <c:pt idx="495">
                  <c:v>41.99</c:v>
                </c:pt>
                <c:pt idx="496">
                  <c:v>38.619999999999997</c:v>
                </c:pt>
                <c:pt idx="497">
                  <c:v>42.29</c:v>
                </c:pt>
                <c:pt idx="498">
                  <c:v>48.33</c:v>
                </c:pt>
                <c:pt idx="499">
                  <c:v>42.55</c:v>
                </c:pt>
                <c:pt idx="500">
                  <c:v>43.92</c:v>
                </c:pt>
                <c:pt idx="501">
                  <c:v>48.47</c:v>
                </c:pt>
                <c:pt idx="502">
                  <c:v>48.99</c:v>
                </c:pt>
                <c:pt idx="503">
                  <c:v>51.5</c:v>
                </c:pt>
                <c:pt idx="504">
                  <c:v>54.69</c:v>
                </c:pt>
                <c:pt idx="505">
                  <c:v>52.03</c:v>
                </c:pt>
                <c:pt idx="506">
                  <c:v>56.56</c:v>
                </c:pt>
                <c:pt idx="508">
                  <c:v>56.03</c:v>
                </c:pt>
                <c:pt idx="509">
                  <c:v>53.41</c:v>
                </c:pt>
                <c:pt idx="510">
                  <c:v>57.91</c:v>
                </c:pt>
                <c:pt idx="511">
                  <c:v>57.07</c:v>
                </c:pt>
                <c:pt idx="512">
                  <c:v>56.35</c:v>
                </c:pt>
                <c:pt idx="513">
                  <c:v>55.63</c:v>
                </c:pt>
                <c:pt idx="515">
                  <c:v>54.4</c:v>
                </c:pt>
                <c:pt idx="516">
                  <c:v>53.16</c:v>
                </c:pt>
                <c:pt idx="518">
                  <c:v>45.75</c:v>
                </c:pt>
                <c:pt idx="519">
                  <c:v>45.98</c:v>
                </c:pt>
                <c:pt idx="520">
                  <c:v>38.44</c:v>
                </c:pt>
                <c:pt idx="521">
                  <c:v>39.479999999999997</c:v>
                </c:pt>
                <c:pt idx="522">
                  <c:v>39.54</c:v>
                </c:pt>
                <c:pt idx="523">
                  <c:v>33.4</c:v>
                </c:pt>
                <c:pt idx="524">
                  <c:v>33.92</c:v>
                </c:pt>
                <c:pt idx="525">
                  <c:v>30.31</c:v>
                </c:pt>
                <c:pt idx="526">
                  <c:v>34.69</c:v>
                </c:pt>
                <c:pt idx="527">
                  <c:v>24.33</c:v>
                </c:pt>
                <c:pt idx="528">
                  <c:v>24.69</c:v>
                </c:pt>
                <c:pt idx="529">
                  <c:v>28.23</c:v>
                </c:pt>
                <c:pt idx="530">
                  <c:v>31.56</c:v>
                </c:pt>
                <c:pt idx="531">
                  <c:v>31.37</c:v>
                </c:pt>
                <c:pt idx="533">
                  <c:v>34.1</c:v>
                </c:pt>
                <c:pt idx="534">
                  <c:v>32.630000000000003</c:v>
                </c:pt>
                <c:pt idx="535">
                  <c:v>33.32</c:v>
                </c:pt>
                <c:pt idx="536">
                  <c:v>35.85</c:v>
                </c:pt>
                <c:pt idx="537">
                  <c:v>38.06</c:v>
                </c:pt>
                <c:pt idx="538">
                  <c:v>41.37</c:v>
                </c:pt>
                <c:pt idx="539">
                  <c:v>45.11</c:v>
                </c:pt>
                <c:pt idx="540">
                  <c:v>41.51</c:v>
                </c:pt>
                <c:pt idx="541">
                  <c:v>42.54</c:v>
                </c:pt>
                <c:pt idx="542">
                  <c:v>48.86</c:v>
                </c:pt>
                <c:pt idx="543">
                  <c:v>56</c:v>
                </c:pt>
                <c:pt idx="544">
                  <c:v>58.69</c:v>
                </c:pt>
                <c:pt idx="545">
                  <c:v>60.64</c:v>
                </c:pt>
                <c:pt idx="546">
                  <c:v>62.75</c:v>
                </c:pt>
                <c:pt idx="547">
                  <c:v>57.87</c:v>
                </c:pt>
                <c:pt idx="548">
                  <c:v>44.95</c:v>
                </c:pt>
                <c:pt idx="549">
                  <c:v>48.35</c:v>
                </c:pt>
                <c:pt idx="550">
                  <c:v>40.21</c:v>
                </c:pt>
                <c:pt idx="551">
                  <c:v>41.01</c:v>
                </c:pt>
                <c:pt idx="552">
                  <c:v>40.81</c:v>
                </c:pt>
                <c:pt idx="553">
                  <c:v>37.049999999999997</c:v>
                </c:pt>
                <c:pt idx="554">
                  <c:v>38.1</c:v>
                </c:pt>
                <c:pt idx="555">
                  <c:v>39.03</c:v>
                </c:pt>
                <c:pt idx="556">
                  <c:v>44.16</c:v>
                </c:pt>
                <c:pt idx="557">
                  <c:v>50.71</c:v>
                </c:pt>
                <c:pt idx="558">
                  <c:v>52.24</c:v>
                </c:pt>
                <c:pt idx="559">
                  <c:v>56.06</c:v>
                </c:pt>
                <c:pt idx="561">
                  <c:v>51.7</c:v>
                </c:pt>
                <c:pt idx="562">
                  <c:v>49.32</c:v>
                </c:pt>
                <c:pt idx="563">
                  <c:v>48.96</c:v>
                </c:pt>
                <c:pt idx="564">
                  <c:v>53.69</c:v>
                </c:pt>
                <c:pt idx="565">
                  <c:v>60.77</c:v>
                </c:pt>
                <c:pt idx="566">
                  <c:v>61.25</c:v>
                </c:pt>
                <c:pt idx="567">
                  <c:v>61</c:v>
                </c:pt>
                <c:pt idx="568">
                  <c:v>68.19</c:v>
                </c:pt>
                <c:pt idx="569">
                  <c:v>64.38</c:v>
                </c:pt>
                <c:pt idx="570">
                  <c:v>57.78</c:v>
                </c:pt>
                <c:pt idx="571">
                  <c:v>54.01</c:v>
                </c:pt>
                <c:pt idx="572">
                  <c:v>54.68</c:v>
                </c:pt>
                <c:pt idx="573">
                  <c:v>55.23</c:v>
                </c:pt>
                <c:pt idx="576">
                  <c:v>55.78</c:v>
                </c:pt>
                <c:pt idx="577">
                  <c:v>58.53</c:v>
                </c:pt>
                <c:pt idx="578">
                  <c:v>55.95</c:v>
                </c:pt>
                <c:pt idx="579">
                  <c:v>59.34</c:v>
                </c:pt>
                <c:pt idx="580">
                  <c:v>55.61</c:v>
                </c:pt>
                <c:pt idx="581">
                  <c:v>54.58</c:v>
                </c:pt>
                <c:pt idx="582">
                  <c:v>46.93</c:v>
                </c:pt>
                <c:pt idx="583">
                  <c:v>48.11</c:v>
                </c:pt>
                <c:pt idx="584">
                  <c:v>47.67</c:v>
                </c:pt>
                <c:pt idx="585">
                  <c:v>42.42</c:v>
                </c:pt>
                <c:pt idx="586">
                  <c:v>41.98</c:v>
                </c:pt>
                <c:pt idx="587">
                  <c:v>42.72</c:v>
                </c:pt>
                <c:pt idx="588">
                  <c:v>47.63</c:v>
                </c:pt>
                <c:pt idx="589">
                  <c:v>44.06</c:v>
                </c:pt>
                <c:pt idx="590">
                  <c:v>50.02</c:v>
                </c:pt>
                <c:pt idx="591">
                  <c:v>46.02</c:v>
                </c:pt>
                <c:pt idx="592">
                  <c:v>42.02</c:v>
                </c:pt>
                <c:pt idx="593">
                  <c:v>51.51</c:v>
                </c:pt>
                <c:pt idx="594">
                  <c:v>54.87</c:v>
                </c:pt>
                <c:pt idx="595">
                  <c:v>56.35</c:v>
                </c:pt>
                <c:pt idx="596">
                  <c:v>61.85</c:v>
                </c:pt>
                <c:pt idx="597">
                  <c:v>59.8</c:v>
                </c:pt>
                <c:pt idx="598">
                  <c:v>39.58</c:v>
                </c:pt>
                <c:pt idx="599">
                  <c:v>37.31</c:v>
                </c:pt>
                <c:pt idx="600">
                  <c:v>35.24</c:v>
                </c:pt>
                <c:pt idx="601">
                  <c:v>35.729999999999997</c:v>
                </c:pt>
                <c:pt idx="602">
                  <c:v>37.340000000000003</c:v>
                </c:pt>
                <c:pt idx="603">
                  <c:v>35.69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92-4B80-96D6-582AB839A175}"/>
            </c:ext>
          </c:extLst>
        </c:ser>
        <c:ser>
          <c:idx val="1"/>
          <c:order val="1"/>
          <c:tx>
            <c:strRef>
              <c:f>'미국 RSI'!$F$1</c:f>
              <c:strCache>
                <c:ptCount val="1"/>
                <c:pt idx="0">
                  <c:v>소재(US)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RSI'!$F$69:$F$3068</c:f>
              <c:numCache>
                <c:formatCode>0.00</c:formatCode>
                <c:ptCount val="3000"/>
                <c:pt idx="0">
                  <c:v>49.11</c:v>
                </c:pt>
                <c:pt idx="1">
                  <c:v>54.79</c:v>
                </c:pt>
                <c:pt idx="2">
                  <c:v>47.94</c:v>
                </c:pt>
                <c:pt idx="3">
                  <c:v>52.74</c:v>
                </c:pt>
                <c:pt idx="4">
                  <c:v>57.34</c:v>
                </c:pt>
                <c:pt idx="5">
                  <c:v>59.1</c:v>
                </c:pt>
                <c:pt idx="6">
                  <c:v>58.17</c:v>
                </c:pt>
                <c:pt idx="7">
                  <c:v>58.39</c:v>
                </c:pt>
                <c:pt idx="8">
                  <c:v>57.94</c:v>
                </c:pt>
                <c:pt idx="9">
                  <c:v>62.84</c:v>
                </c:pt>
                <c:pt idx="10">
                  <c:v>60.48</c:v>
                </c:pt>
                <c:pt idx="11">
                  <c:v>59.59</c:v>
                </c:pt>
                <c:pt idx="12">
                  <c:v>57.04</c:v>
                </c:pt>
                <c:pt idx="13">
                  <c:v>63.35</c:v>
                </c:pt>
                <c:pt idx="14">
                  <c:v>65.27</c:v>
                </c:pt>
                <c:pt idx="15">
                  <c:v>63.98</c:v>
                </c:pt>
                <c:pt idx="16">
                  <c:v>62.34</c:v>
                </c:pt>
                <c:pt idx="17">
                  <c:v>63.07</c:v>
                </c:pt>
                <c:pt idx="18">
                  <c:v>52.11</c:v>
                </c:pt>
                <c:pt idx="19">
                  <c:v>53.35</c:v>
                </c:pt>
                <c:pt idx="21">
                  <c:v>54.98</c:v>
                </c:pt>
                <c:pt idx="22">
                  <c:v>55.4</c:v>
                </c:pt>
                <c:pt idx="23">
                  <c:v>52.11</c:v>
                </c:pt>
                <c:pt idx="24">
                  <c:v>45.37</c:v>
                </c:pt>
                <c:pt idx="25">
                  <c:v>43.88</c:v>
                </c:pt>
                <c:pt idx="26">
                  <c:v>45.02</c:v>
                </c:pt>
                <c:pt idx="27">
                  <c:v>47.05</c:v>
                </c:pt>
                <c:pt idx="28">
                  <c:v>39.450000000000003</c:v>
                </c:pt>
                <c:pt idx="29">
                  <c:v>30.8</c:v>
                </c:pt>
                <c:pt idx="30">
                  <c:v>24.45</c:v>
                </c:pt>
                <c:pt idx="31">
                  <c:v>27.58</c:v>
                </c:pt>
                <c:pt idx="32">
                  <c:v>31.19</c:v>
                </c:pt>
                <c:pt idx="33">
                  <c:v>37.630000000000003</c:v>
                </c:pt>
                <c:pt idx="34">
                  <c:v>36.22</c:v>
                </c:pt>
                <c:pt idx="35">
                  <c:v>33.79</c:v>
                </c:pt>
                <c:pt idx="36">
                  <c:v>36.83</c:v>
                </c:pt>
                <c:pt idx="37">
                  <c:v>37.86</c:v>
                </c:pt>
                <c:pt idx="38">
                  <c:v>38.11</c:v>
                </c:pt>
                <c:pt idx="39">
                  <c:v>38.76</c:v>
                </c:pt>
                <c:pt idx="40">
                  <c:v>37.590000000000003</c:v>
                </c:pt>
                <c:pt idx="41">
                  <c:v>43.31</c:v>
                </c:pt>
                <c:pt idx="42">
                  <c:v>51.48</c:v>
                </c:pt>
                <c:pt idx="43">
                  <c:v>51.64</c:v>
                </c:pt>
                <c:pt idx="44">
                  <c:v>64.239999999999995</c:v>
                </c:pt>
                <c:pt idx="45">
                  <c:v>66.06</c:v>
                </c:pt>
                <c:pt idx="46">
                  <c:v>63.6</c:v>
                </c:pt>
                <c:pt idx="47">
                  <c:v>64.23</c:v>
                </c:pt>
                <c:pt idx="48">
                  <c:v>67.349999999999994</c:v>
                </c:pt>
                <c:pt idx="49">
                  <c:v>65.260000000000005</c:v>
                </c:pt>
                <c:pt idx="50">
                  <c:v>65.260000000000005</c:v>
                </c:pt>
                <c:pt idx="51">
                  <c:v>64.63</c:v>
                </c:pt>
                <c:pt idx="52">
                  <c:v>66.27</c:v>
                </c:pt>
                <c:pt idx="53">
                  <c:v>64.87</c:v>
                </c:pt>
                <c:pt idx="54">
                  <c:v>69.989999999999995</c:v>
                </c:pt>
                <c:pt idx="55">
                  <c:v>68.16</c:v>
                </c:pt>
                <c:pt idx="56">
                  <c:v>75.180000000000007</c:v>
                </c:pt>
                <c:pt idx="57">
                  <c:v>72.849999999999994</c:v>
                </c:pt>
                <c:pt idx="58">
                  <c:v>70.17</c:v>
                </c:pt>
                <c:pt idx="59">
                  <c:v>67.42</c:v>
                </c:pt>
                <c:pt idx="60">
                  <c:v>62.61</c:v>
                </c:pt>
                <c:pt idx="61">
                  <c:v>77.17</c:v>
                </c:pt>
                <c:pt idx="62">
                  <c:v>72</c:v>
                </c:pt>
                <c:pt idx="63">
                  <c:v>65.61</c:v>
                </c:pt>
                <c:pt idx="64">
                  <c:v>62.75</c:v>
                </c:pt>
                <c:pt idx="65">
                  <c:v>73.67</c:v>
                </c:pt>
                <c:pt idx="66">
                  <c:v>73.37</c:v>
                </c:pt>
                <c:pt idx="67">
                  <c:v>73.83</c:v>
                </c:pt>
                <c:pt idx="68">
                  <c:v>74.56</c:v>
                </c:pt>
                <c:pt idx="69">
                  <c:v>74.27</c:v>
                </c:pt>
                <c:pt idx="70">
                  <c:v>72.13</c:v>
                </c:pt>
                <c:pt idx="71">
                  <c:v>70.72</c:v>
                </c:pt>
                <c:pt idx="72">
                  <c:v>64.47</c:v>
                </c:pt>
                <c:pt idx="74">
                  <c:v>71.05</c:v>
                </c:pt>
                <c:pt idx="75">
                  <c:v>75.11</c:v>
                </c:pt>
                <c:pt idx="76">
                  <c:v>74.08</c:v>
                </c:pt>
                <c:pt idx="77">
                  <c:v>73.98</c:v>
                </c:pt>
                <c:pt idx="78">
                  <c:v>73.010000000000005</c:v>
                </c:pt>
                <c:pt idx="79">
                  <c:v>71.81</c:v>
                </c:pt>
                <c:pt idx="80">
                  <c:v>67.91</c:v>
                </c:pt>
                <c:pt idx="81">
                  <c:v>62.74</c:v>
                </c:pt>
                <c:pt idx="82">
                  <c:v>73.760000000000005</c:v>
                </c:pt>
                <c:pt idx="83">
                  <c:v>67.88</c:v>
                </c:pt>
                <c:pt idx="84">
                  <c:v>64.16</c:v>
                </c:pt>
                <c:pt idx="85">
                  <c:v>56.27</c:v>
                </c:pt>
                <c:pt idx="86">
                  <c:v>62.58</c:v>
                </c:pt>
                <c:pt idx="87">
                  <c:v>62.75</c:v>
                </c:pt>
                <c:pt idx="88">
                  <c:v>69.3</c:v>
                </c:pt>
                <c:pt idx="89">
                  <c:v>66.959999999999994</c:v>
                </c:pt>
                <c:pt idx="90">
                  <c:v>66.17</c:v>
                </c:pt>
                <c:pt idx="91">
                  <c:v>65.48</c:v>
                </c:pt>
                <c:pt idx="92">
                  <c:v>62.85</c:v>
                </c:pt>
                <c:pt idx="93">
                  <c:v>61.02</c:v>
                </c:pt>
                <c:pt idx="94">
                  <c:v>61.3</c:v>
                </c:pt>
                <c:pt idx="95">
                  <c:v>59.66</c:v>
                </c:pt>
                <c:pt idx="96">
                  <c:v>61.18</c:v>
                </c:pt>
                <c:pt idx="97">
                  <c:v>61.54</c:v>
                </c:pt>
                <c:pt idx="98">
                  <c:v>61.33</c:v>
                </c:pt>
                <c:pt idx="99">
                  <c:v>54.43</c:v>
                </c:pt>
                <c:pt idx="100">
                  <c:v>45.74</c:v>
                </c:pt>
                <c:pt idx="101">
                  <c:v>46.62</c:v>
                </c:pt>
                <c:pt idx="102">
                  <c:v>52.98</c:v>
                </c:pt>
                <c:pt idx="103">
                  <c:v>54.63</c:v>
                </c:pt>
                <c:pt idx="104">
                  <c:v>57.61</c:v>
                </c:pt>
                <c:pt idx="105">
                  <c:v>54.88</c:v>
                </c:pt>
                <c:pt idx="106">
                  <c:v>59.53</c:v>
                </c:pt>
                <c:pt idx="107">
                  <c:v>60.83</c:v>
                </c:pt>
                <c:pt idx="109">
                  <c:v>58.9</c:v>
                </c:pt>
                <c:pt idx="110">
                  <c:v>54.49</c:v>
                </c:pt>
                <c:pt idx="111">
                  <c:v>48.35</c:v>
                </c:pt>
                <c:pt idx="112">
                  <c:v>47.48</c:v>
                </c:pt>
                <c:pt idx="113">
                  <c:v>36.46</c:v>
                </c:pt>
                <c:pt idx="114">
                  <c:v>42</c:v>
                </c:pt>
                <c:pt idx="115">
                  <c:v>40.56</c:v>
                </c:pt>
                <c:pt idx="116">
                  <c:v>40.119999999999997</c:v>
                </c:pt>
                <c:pt idx="117">
                  <c:v>46.09</c:v>
                </c:pt>
                <c:pt idx="118">
                  <c:v>50.31</c:v>
                </c:pt>
                <c:pt idx="119">
                  <c:v>53.6</c:v>
                </c:pt>
                <c:pt idx="120">
                  <c:v>50.37</c:v>
                </c:pt>
                <c:pt idx="121">
                  <c:v>45.23</c:v>
                </c:pt>
                <c:pt idx="122">
                  <c:v>40.04</c:v>
                </c:pt>
                <c:pt idx="123">
                  <c:v>32.57</c:v>
                </c:pt>
                <c:pt idx="124">
                  <c:v>34.200000000000003</c:v>
                </c:pt>
                <c:pt idx="125">
                  <c:v>30.35</c:v>
                </c:pt>
                <c:pt idx="126">
                  <c:v>31.8</c:v>
                </c:pt>
                <c:pt idx="127">
                  <c:v>33.69</c:v>
                </c:pt>
                <c:pt idx="128">
                  <c:v>35.54</c:v>
                </c:pt>
                <c:pt idx="129">
                  <c:v>40.35</c:v>
                </c:pt>
                <c:pt idx="130">
                  <c:v>49.7</c:v>
                </c:pt>
                <c:pt idx="131">
                  <c:v>48.95</c:v>
                </c:pt>
                <c:pt idx="132">
                  <c:v>49.18</c:v>
                </c:pt>
                <c:pt idx="133">
                  <c:v>51.23</c:v>
                </c:pt>
                <c:pt idx="134">
                  <c:v>45.15</c:v>
                </c:pt>
                <c:pt idx="135">
                  <c:v>46.52</c:v>
                </c:pt>
                <c:pt idx="136">
                  <c:v>48.23</c:v>
                </c:pt>
                <c:pt idx="137">
                  <c:v>42.12</c:v>
                </c:pt>
                <c:pt idx="138">
                  <c:v>42.88</c:v>
                </c:pt>
                <c:pt idx="139">
                  <c:v>45.87</c:v>
                </c:pt>
                <c:pt idx="140">
                  <c:v>47.74</c:v>
                </c:pt>
                <c:pt idx="141">
                  <c:v>42.99</c:v>
                </c:pt>
                <c:pt idx="142">
                  <c:v>34.28</c:v>
                </c:pt>
                <c:pt idx="143">
                  <c:v>42.17</c:v>
                </c:pt>
                <c:pt idx="144">
                  <c:v>49.28</c:v>
                </c:pt>
                <c:pt idx="145">
                  <c:v>45.98</c:v>
                </c:pt>
                <c:pt idx="146">
                  <c:v>48.16</c:v>
                </c:pt>
                <c:pt idx="147">
                  <c:v>48.64</c:v>
                </c:pt>
                <c:pt idx="148">
                  <c:v>47.74</c:v>
                </c:pt>
                <c:pt idx="149">
                  <c:v>41.16</c:v>
                </c:pt>
                <c:pt idx="150">
                  <c:v>46.07</c:v>
                </c:pt>
                <c:pt idx="151">
                  <c:v>43.12</c:v>
                </c:pt>
                <c:pt idx="152">
                  <c:v>40.79</c:v>
                </c:pt>
                <c:pt idx="153">
                  <c:v>33.18</c:v>
                </c:pt>
                <c:pt idx="154">
                  <c:v>38.39</c:v>
                </c:pt>
                <c:pt idx="155">
                  <c:v>44.56</c:v>
                </c:pt>
                <c:pt idx="156">
                  <c:v>46.38</c:v>
                </c:pt>
                <c:pt idx="157">
                  <c:v>49.35</c:v>
                </c:pt>
                <c:pt idx="158">
                  <c:v>49.61</c:v>
                </c:pt>
                <c:pt idx="159">
                  <c:v>49.61</c:v>
                </c:pt>
                <c:pt idx="160">
                  <c:v>48.39</c:v>
                </c:pt>
                <c:pt idx="161">
                  <c:v>49.88</c:v>
                </c:pt>
                <c:pt idx="162">
                  <c:v>53.96</c:v>
                </c:pt>
                <c:pt idx="163">
                  <c:v>59.65</c:v>
                </c:pt>
                <c:pt idx="164">
                  <c:v>49.56</c:v>
                </c:pt>
                <c:pt idx="165">
                  <c:v>48.49</c:v>
                </c:pt>
                <c:pt idx="166">
                  <c:v>58.69</c:v>
                </c:pt>
                <c:pt idx="167">
                  <c:v>58.26</c:v>
                </c:pt>
                <c:pt idx="168">
                  <c:v>54.72</c:v>
                </c:pt>
                <c:pt idx="169">
                  <c:v>52.68</c:v>
                </c:pt>
                <c:pt idx="170">
                  <c:v>56.89</c:v>
                </c:pt>
                <c:pt idx="172">
                  <c:v>62.02</c:v>
                </c:pt>
                <c:pt idx="173">
                  <c:v>61.41</c:v>
                </c:pt>
                <c:pt idx="174">
                  <c:v>61.41</c:v>
                </c:pt>
                <c:pt idx="175">
                  <c:v>60.44</c:v>
                </c:pt>
                <c:pt idx="176">
                  <c:v>59.42</c:v>
                </c:pt>
                <c:pt idx="177">
                  <c:v>62.49</c:v>
                </c:pt>
                <c:pt idx="178">
                  <c:v>54.89</c:v>
                </c:pt>
                <c:pt idx="179">
                  <c:v>53.58</c:v>
                </c:pt>
                <c:pt idx="180">
                  <c:v>53.25</c:v>
                </c:pt>
                <c:pt idx="181">
                  <c:v>50.75</c:v>
                </c:pt>
                <c:pt idx="182">
                  <c:v>53.3</c:v>
                </c:pt>
                <c:pt idx="183">
                  <c:v>53.3</c:v>
                </c:pt>
                <c:pt idx="184">
                  <c:v>57.87</c:v>
                </c:pt>
                <c:pt idx="185">
                  <c:v>50.96</c:v>
                </c:pt>
                <c:pt idx="186">
                  <c:v>45.26</c:v>
                </c:pt>
                <c:pt idx="187">
                  <c:v>46.12</c:v>
                </c:pt>
                <c:pt idx="188">
                  <c:v>43.93</c:v>
                </c:pt>
                <c:pt idx="189">
                  <c:v>42.04</c:v>
                </c:pt>
                <c:pt idx="190">
                  <c:v>45.65</c:v>
                </c:pt>
                <c:pt idx="191">
                  <c:v>42.7</c:v>
                </c:pt>
                <c:pt idx="192">
                  <c:v>36.78</c:v>
                </c:pt>
                <c:pt idx="193">
                  <c:v>40.17</c:v>
                </c:pt>
                <c:pt idx="194">
                  <c:v>44.37</c:v>
                </c:pt>
                <c:pt idx="195">
                  <c:v>52.73</c:v>
                </c:pt>
                <c:pt idx="196">
                  <c:v>54.56</c:v>
                </c:pt>
                <c:pt idx="197">
                  <c:v>62.23</c:v>
                </c:pt>
                <c:pt idx="198">
                  <c:v>57.79</c:v>
                </c:pt>
                <c:pt idx="199">
                  <c:v>63.92</c:v>
                </c:pt>
                <c:pt idx="200">
                  <c:v>62.73</c:v>
                </c:pt>
                <c:pt idx="201">
                  <c:v>57.43</c:v>
                </c:pt>
                <c:pt idx="202">
                  <c:v>55.25</c:v>
                </c:pt>
                <c:pt idx="203">
                  <c:v>54.26</c:v>
                </c:pt>
                <c:pt idx="204">
                  <c:v>51.26</c:v>
                </c:pt>
                <c:pt idx="205">
                  <c:v>50.1</c:v>
                </c:pt>
                <c:pt idx="206">
                  <c:v>60.51</c:v>
                </c:pt>
                <c:pt idx="207">
                  <c:v>63.88</c:v>
                </c:pt>
                <c:pt idx="208">
                  <c:v>69.12</c:v>
                </c:pt>
                <c:pt idx="209">
                  <c:v>67.5</c:v>
                </c:pt>
                <c:pt idx="210">
                  <c:v>65.62</c:v>
                </c:pt>
                <c:pt idx="211">
                  <c:v>62.95</c:v>
                </c:pt>
                <c:pt idx="213">
                  <c:v>68.87</c:v>
                </c:pt>
                <c:pt idx="214">
                  <c:v>69.28</c:v>
                </c:pt>
                <c:pt idx="215">
                  <c:v>64.89</c:v>
                </c:pt>
                <c:pt idx="216">
                  <c:v>54.79</c:v>
                </c:pt>
                <c:pt idx="217">
                  <c:v>55.31</c:v>
                </c:pt>
                <c:pt idx="218">
                  <c:v>54.76</c:v>
                </c:pt>
                <c:pt idx="219">
                  <c:v>49.76</c:v>
                </c:pt>
                <c:pt idx="220">
                  <c:v>54.67</c:v>
                </c:pt>
                <c:pt idx="221">
                  <c:v>50.81</c:v>
                </c:pt>
                <c:pt idx="222">
                  <c:v>47.83</c:v>
                </c:pt>
                <c:pt idx="224">
                  <c:v>51.09</c:v>
                </c:pt>
                <c:pt idx="225">
                  <c:v>52.5</c:v>
                </c:pt>
                <c:pt idx="226">
                  <c:v>57.57</c:v>
                </c:pt>
                <c:pt idx="227">
                  <c:v>54.02</c:v>
                </c:pt>
                <c:pt idx="228">
                  <c:v>60.57</c:v>
                </c:pt>
                <c:pt idx="229">
                  <c:v>58.91</c:v>
                </c:pt>
                <c:pt idx="230">
                  <c:v>64.94</c:v>
                </c:pt>
                <c:pt idx="231">
                  <c:v>62.73</c:v>
                </c:pt>
                <c:pt idx="232">
                  <c:v>60.22</c:v>
                </c:pt>
                <c:pt idx="233">
                  <c:v>59.23</c:v>
                </c:pt>
                <c:pt idx="234">
                  <c:v>62.5</c:v>
                </c:pt>
                <c:pt idx="235">
                  <c:v>61.24</c:v>
                </c:pt>
                <c:pt idx="236">
                  <c:v>57.67</c:v>
                </c:pt>
                <c:pt idx="237">
                  <c:v>55.49</c:v>
                </c:pt>
                <c:pt idx="238">
                  <c:v>55.44</c:v>
                </c:pt>
                <c:pt idx="239">
                  <c:v>54.17</c:v>
                </c:pt>
                <c:pt idx="240">
                  <c:v>60.13</c:v>
                </c:pt>
                <c:pt idx="242">
                  <c:v>54.23</c:v>
                </c:pt>
                <c:pt idx="243">
                  <c:v>55.09</c:v>
                </c:pt>
                <c:pt idx="244">
                  <c:v>55.52</c:v>
                </c:pt>
                <c:pt idx="245">
                  <c:v>61.26</c:v>
                </c:pt>
                <c:pt idx="246">
                  <c:v>62.03</c:v>
                </c:pt>
                <c:pt idx="247">
                  <c:v>61.37</c:v>
                </c:pt>
                <c:pt idx="248">
                  <c:v>58.7</c:v>
                </c:pt>
                <c:pt idx="249">
                  <c:v>55.9</c:v>
                </c:pt>
                <c:pt idx="250">
                  <c:v>59.29</c:v>
                </c:pt>
                <c:pt idx="251">
                  <c:v>61.16</c:v>
                </c:pt>
                <c:pt idx="252">
                  <c:v>55.16</c:v>
                </c:pt>
                <c:pt idx="253">
                  <c:v>54.42</c:v>
                </c:pt>
                <c:pt idx="254">
                  <c:v>50.64</c:v>
                </c:pt>
                <c:pt idx="255">
                  <c:v>52.31</c:v>
                </c:pt>
                <c:pt idx="256">
                  <c:v>54.53</c:v>
                </c:pt>
                <c:pt idx="257">
                  <c:v>56.84</c:v>
                </c:pt>
                <c:pt idx="258">
                  <c:v>52.67</c:v>
                </c:pt>
                <c:pt idx="259">
                  <c:v>53.94</c:v>
                </c:pt>
                <c:pt idx="260">
                  <c:v>52.71</c:v>
                </c:pt>
                <c:pt idx="261">
                  <c:v>50.75</c:v>
                </c:pt>
                <c:pt idx="262">
                  <c:v>50.33</c:v>
                </c:pt>
                <c:pt idx="263">
                  <c:v>52.02</c:v>
                </c:pt>
                <c:pt idx="264">
                  <c:v>47.38</c:v>
                </c:pt>
                <c:pt idx="265">
                  <c:v>47.11</c:v>
                </c:pt>
                <c:pt idx="266">
                  <c:v>41.96</c:v>
                </c:pt>
                <c:pt idx="268">
                  <c:v>44.63</c:v>
                </c:pt>
                <c:pt idx="269">
                  <c:v>43.13</c:v>
                </c:pt>
                <c:pt idx="270">
                  <c:v>44.41</c:v>
                </c:pt>
                <c:pt idx="271">
                  <c:v>45.69</c:v>
                </c:pt>
                <c:pt idx="272">
                  <c:v>43.39</c:v>
                </c:pt>
                <c:pt idx="273">
                  <c:v>37.54</c:v>
                </c:pt>
                <c:pt idx="274">
                  <c:v>42.03</c:v>
                </c:pt>
                <c:pt idx="275">
                  <c:v>19.559999999999999</c:v>
                </c:pt>
                <c:pt idx="276">
                  <c:v>22.51</c:v>
                </c:pt>
                <c:pt idx="277">
                  <c:v>24.31</c:v>
                </c:pt>
                <c:pt idx="278">
                  <c:v>35.17</c:v>
                </c:pt>
                <c:pt idx="279">
                  <c:v>51.25</c:v>
                </c:pt>
                <c:pt idx="280">
                  <c:v>47.2</c:v>
                </c:pt>
                <c:pt idx="281">
                  <c:v>45.3</c:v>
                </c:pt>
                <c:pt idx="282">
                  <c:v>39.409999999999997</c:v>
                </c:pt>
                <c:pt idx="283">
                  <c:v>47.53</c:v>
                </c:pt>
                <c:pt idx="284">
                  <c:v>47.76</c:v>
                </c:pt>
                <c:pt idx="285">
                  <c:v>46.81</c:v>
                </c:pt>
                <c:pt idx="286">
                  <c:v>46.91</c:v>
                </c:pt>
                <c:pt idx="287">
                  <c:v>42.66</c:v>
                </c:pt>
                <c:pt idx="288">
                  <c:v>46.63</c:v>
                </c:pt>
                <c:pt idx="289">
                  <c:v>49.36</c:v>
                </c:pt>
                <c:pt idx="290">
                  <c:v>47.87</c:v>
                </c:pt>
                <c:pt idx="291">
                  <c:v>48.56</c:v>
                </c:pt>
                <c:pt idx="292">
                  <c:v>43.08</c:v>
                </c:pt>
                <c:pt idx="293">
                  <c:v>36.65</c:v>
                </c:pt>
                <c:pt idx="294">
                  <c:v>36.86</c:v>
                </c:pt>
                <c:pt idx="295">
                  <c:v>38.21</c:v>
                </c:pt>
                <c:pt idx="296">
                  <c:v>40.479999999999997</c:v>
                </c:pt>
                <c:pt idx="297">
                  <c:v>47.79</c:v>
                </c:pt>
                <c:pt idx="298">
                  <c:v>46.62</c:v>
                </c:pt>
                <c:pt idx="299">
                  <c:v>48.56</c:v>
                </c:pt>
                <c:pt idx="300">
                  <c:v>36.6</c:v>
                </c:pt>
                <c:pt idx="301">
                  <c:v>41.3</c:v>
                </c:pt>
                <c:pt idx="302">
                  <c:v>50.35</c:v>
                </c:pt>
                <c:pt idx="303">
                  <c:v>45.69</c:v>
                </c:pt>
                <c:pt idx="304">
                  <c:v>49.11</c:v>
                </c:pt>
                <c:pt idx="305">
                  <c:v>49.34</c:v>
                </c:pt>
                <c:pt idx="306">
                  <c:v>45.32</c:v>
                </c:pt>
                <c:pt idx="307">
                  <c:v>45.82</c:v>
                </c:pt>
                <c:pt idx="308">
                  <c:v>54.99</c:v>
                </c:pt>
                <c:pt idx="309">
                  <c:v>56.33</c:v>
                </c:pt>
                <c:pt idx="310">
                  <c:v>63.67</c:v>
                </c:pt>
                <c:pt idx="312">
                  <c:v>58.29</c:v>
                </c:pt>
                <c:pt idx="313">
                  <c:v>60.55</c:v>
                </c:pt>
                <c:pt idx="314">
                  <c:v>51.95</c:v>
                </c:pt>
                <c:pt idx="315">
                  <c:v>56.72</c:v>
                </c:pt>
                <c:pt idx="316">
                  <c:v>53.5</c:v>
                </c:pt>
                <c:pt idx="317">
                  <c:v>50.53</c:v>
                </c:pt>
                <c:pt idx="318">
                  <c:v>58.98</c:v>
                </c:pt>
                <c:pt idx="319">
                  <c:v>57.09</c:v>
                </c:pt>
                <c:pt idx="320">
                  <c:v>57.65</c:v>
                </c:pt>
                <c:pt idx="321">
                  <c:v>56.17</c:v>
                </c:pt>
                <c:pt idx="322">
                  <c:v>55.67</c:v>
                </c:pt>
                <c:pt idx="323">
                  <c:v>60.26</c:v>
                </c:pt>
                <c:pt idx="324">
                  <c:v>55.9</c:v>
                </c:pt>
                <c:pt idx="325">
                  <c:v>57</c:v>
                </c:pt>
                <c:pt idx="326">
                  <c:v>58.97</c:v>
                </c:pt>
                <c:pt idx="327">
                  <c:v>58.74</c:v>
                </c:pt>
                <c:pt idx="328">
                  <c:v>60.17</c:v>
                </c:pt>
                <c:pt idx="329">
                  <c:v>58.16</c:v>
                </c:pt>
                <c:pt idx="330">
                  <c:v>62.46</c:v>
                </c:pt>
                <c:pt idx="332">
                  <c:v>57.92</c:v>
                </c:pt>
                <c:pt idx="333">
                  <c:v>55.4</c:v>
                </c:pt>
                <c:pt idx="334">
                  <c:v>52.03</c:v>
                </c:pt>
                <c:pt idx="335">
                  <c:v>47.86</c:v>
                </c:pt>
                <c:pt idx="336">
                  <c:v>41.79</c:v>
                </c:pt>
                <c:pt idx="337">
                  <c:v>28.15</c:v>
                </c:pt>
                <c:pt idx="339">
                  <c:v>31.3</c:v>
                </c:pt>
                <c:pt idx="340">
                  <c:v>27.26</c:v>
                </c:pt>
                <c:pt idx="341">
                  <c:v>27.42</c:v>
                </c:pt>
                <c:pt idx="342">
                  <c:v>22.62</c:v>
                </c:pt>
                <c:pt idx="343">
                  <c:v>22.67</c:v>
                </c:pt>
                <c:pt idx="344">
                  <c:v>25.05</c:v>
                </c:pt>
                <c:pt idx="345">
                  <c:v>22.28</c:v>
                </c:pt>
                <c:pt idx="346">
                  <c:v>25.17</c:v>
                </c:pt>
                <c:pt idx="347">
                  <c:v>26.46</c:v>
                </c:pt>
                <c:pt idx="348">
                  <c:v>26.82</c:v>
                </c:pt>
                <c:pt idx="349">
                  <c:v>23.4</c:v>
                </c:pt>
                <c:pt idx="350">
                  <c:v>24.58</c:v>
                </c:pt>
                <c:pt idx="351">
                  <c:v>16.489999999999998</c:v>
                </c:pt>
                <c:pt idx="352">
                  <c:v>18.07</c:v>
                </c:pt>
                <c:pt idx="353">
                  <c:v>23.81</c:v>
                </c:pt>
                <c:pt idx="354">
                  <c:v>25.28</c:v>
                </c:pt>
                <c:pt idx="355">
                  <c:v>27.84</c:v>
                </c:pt>
                <c:pt idx="356">
                  <c:v>30.65</c:v>
                </c:pt>
                <c:pt idx="357">
                  <c:v>33.19</c:v>
                </c:pt>
                <c:pt idx="358">
                  <c:v>34.549999999999997</c:v>
                </c:pt>
                <c:pt idx="359">
                  <c:v>38.869999999999997</c:v>
                </c:pt>
                <c:pt idx="360">
                  <c:v>38.97</c:v>
                </c:pt>
                <c:pt idx="361">
                  <c:v>40.65</c:v>
                </c:pt>
                <c:pt idx="362">
                  <c:v>47.11</c:v>
                </c:pt>
                <c:pt idx="363">
                  <c:v>52.96</c:v>
                </c:pt>
                <c:pt idx="364">
                  <c:v>55.03</c:v>
                </c:pt>
                <c:pt idx="365">
                  <c:v>55.43</c:v>
                </c:pt>
                <c:pt idx="367">
                  <c:v>52.87</c:v>
                </c:pt>
                <c:pt idx="368">
                  <c:v>53.17</c:v>
                </c:pt>
                <c:pt idx="369">
                  <c:v>57.39</c:v>
                </c:pt>
                <c:pt idx="370">
                  <c:v>52.62</c:v>
                </c:pt>
                <c:pt idx="371">
                  <c:v>49.82</c:v>
                </c:pt>
                <c:pt idx="372">
                  <c:v>43.03</c:v>
                </c:pt>
                <c:pt idx="373">
                  <c:v>37.85</c:v>
                </c:pt>
                <c:pt idx="374">
                  <c:v>39.17</c:v>
                </c:pt>
                <c:pt idx="375">
                  <c:v>34.11</c:v>
                </c:pt>
                <c:pt idx="376">
                  <c:v>36.659999999999997</c:v>
                </c:pt>
                <c:pt idx="377">
                  <c:v>39.96</c:v>
                </c:pt>
                <c:pt idx="378">
                  <c:v>38.47</c:v>
                </c:pt>
                <c:pt idx="379">
                  <c:v>46.21</c:v>
                </c:pt>
                <c:pt idx="380">
                  <c:v>48.53</c:v>
                </c:pt>
                <c:pt idx="381">
                  <c:v>53.87</c:v>
                </c:pt>
                <c:pt idx="382">
                  <c:v>51.78</c:v>
                </c:pt>
                <c:pt idx="383">
                  <c:v>43.47</c:v>
                </c:pt>
                <c:pt idx="384">
                  <c:v>42.47</c:v>
                </c:pt>
                <c:pt idx="385">
                  <c:v>39.57</c:v>
                </c:pt>
                <c:pt idx="386">
                  <c:v>40.78</c:v>
                </c:pt>
                <c:pt idx="387">
                  <c:v>47.24</c:v>
                </c:pt>
                <c:pt idx="388">
                  <c:v>43.87</c:v>
                </c:pt>
                <c:pt idx="389">
                  <c:v>47.22</c:v>
                </c:pt>
                <c:pt idx="390">
                  <c:v>41.96</c:v>
                </c:pt>
                <c:pt idx="391">
                  <c:v>45.17</c:v>
                </c:pt>
                <c:pt idx="392">
                  <c:v>52.45</c:v>
                </c:pt>
                <c:pt idx="393">
                  <c:v>54.25</c:v>
                </c:pt>
                <c:pt idx="394">
                  <c:v>60.91</c:v>
                </c:pt>
                <c:pt idx="395">
                  <c:v>67.38</c:v>
                </c:pt>
                <c:pt idx="396">
                  <c:v>65.62</c:v>
                </c:pt>
                <c:pt idx="397">
                  <c:v>64.94</c:v>
                </c:pt>
                <c:pt idx="398">
                  <c:v>61.41</c:v>
                </c:pt>
                <c:pt idx="399">
                  <c:v>62.19</c:v>
                </c:pt>
                <c:pt idx="400">
                  <c:v>59.58</c:v>
                </c:pt>
                <c:pt idx="401">
                  <c:v>56.45</c:v>
                </c:pt>
                <c:pt idx="402">
                  <c:v>55.3</c:v>
                </c:pt>
                <c:pt idx="403">
                  <c:v>52.12</c:v>
                </c:pt>
                <c:pt idx="404">
                  <c:v>54.78</c:v>
                </c:pt>
                <c:pt idx="405">
                  <c:v>56.48</c:v>
                </c:pt>
                <c:pt idx="406">
                  <c:v>54.31</c:v>
                </c:pt>
                <c:pt idx="407">
                  <c:v>60.78</c:v>
                </c:pt>
                <c:pt idx="408">
                  <c:v>63.22</c:v>
                </c:pt>
                <c:pt idx="409">
                  <c:v>64.790000000000006</c:v>
                </c:pt>
                <c:pt idx="410">
                  <c:v>68.319999999999993</c:v>
                </c:pt>
                <c:pt idx="411">
                  <c:v>69.430000000000007</c:v>
                </c:pt>
                <c:pt idx="412">
                  <c:v>62.97</c:v>
                </c:pt>
                <c:pt idx="413">
                  <c:v>67.260000000000005</c:v>
                </c:pt>
                <c:pt idx="414">
                  <c:v>62.47</c:v>
                </c:pt>
                <c:pt idx="415">
                  <c:v>60.83</c:v>
                </c:pt>
                <c:pt idx="416">
                  <c:v>65.290000000000006</c:v>
                </c:pt>
                <c:pt idx="417">
                  <c:v>59.48</c:v>
                </c:pt>
                <c:pt idx="418">
                  <c:v>62.22</c:v>
                </c:pt>
                <c:pt idx="419">
                  <c:v>61.48</c:v>
                </c:pt>
                <c:pt idx="420">
                  <c:v>57.8</c:v>
                </c:pt>
                <c:pt idx="421">
                  <c:v>53.85</c:v>
                </c:pt>
                <c:pt idx="422">
                  <c:v>49.41</c:v>
                </c:pt>
                <c:pt idx="423">
                  <c:v>48.19</c:v>
                </c:pt>
                <c:pt idx="424">
                  <c:v>47.98</c:v>
                </c:pt>
                <c:pt idx="425">
                  <c:v>43.32</c:v>
                </c:pt>
                <c:pt idx="426">
                  <c:v>48.67</c:v>
                </c:pt>
                <c:pt idx="427">
                  <c:v>52.44</c:v>
                </c:pt>
                <c:pt idx="428">
                  <c:v>54.5</c:v>
                </c:pt>
                <c:pt idx="430">
                  <c:v>68.64</c:v>
                </c:pt>
                <c:pt idx="431">
                  <c:v>64.58</c:v>
                </c:pt>
                <c:pt idx="432">
                  <c:v>62.31</c:v>
                </c:pt>
                <c:pt idx="433">
                  <c:v>65.36</c:v>
                </c:pt>
                <c:pt idx="434">
                  <c:v>65.319999999999993</c:v>
                </c:pt>
                <c:pt idx="435">
                  <c:v>63.75</c:v>
                </c:pt>
                <c:pt idx="436">
                  <c:v>58.61</c:v>
                </c:pt>
                <c:pt idx="437">
                  <c:v>59.85</c:v>
                </c:pt>
                <c:pt idx="438">
                  <c:v>55.02</c:v>
                </c:pt>
                <c:pt idx="439">
                  <c:v>57.04</c:v>
                </c:pt>
                <c:pt idx="440">
                  <c:v>55.05</c:v>
                </c:pt>
                <c:pt idx="441">
                  <c:v>54.54</c:v>
                </c:pt>
                <c:pt idx="442">
                  <c:v>47.58</c:v>
                </c:pt>
                <c:pt idx="443">
                  <c:v>47.58</c:v>
                </c:pt>
                <c:pt idx="444">
                  <c:v>42.88</c:v>
                </c:pt>
                <c:pt idx="445">
                  <c:v>44.52</c:v>
                </c:pt>
                <c:pt idx="446">
                  <c:v>44.81</c:v>
                </c:pt>
                <c:pt idx="447">
                  <c:v>37.619999999999997</c:v>
                </c:pt>
                <c:pt idx="448">
                  <c:v>42.15</c:v>
                </c:pt>
                <c:pt idx="449">
                  <c:v>39.61</c:v>
                </c:pt>
                <c:pt idx="450">
                  <c:v>48.41</c:v>
                </c:pt>
                <c:pt idx="451">
                  <c:v>58.86</c:v>
                </c:pt>
                <c:pt idx="452">
                  <c:v>61.49</c:v>
                </c:pt>
                <c:pt idx="453">
                  <c:v>56.89</c:v>
                </c:pt>
                <c:pt idx="454">
                  <c:v>58.95</c:v>
                </c:pt>
                <c:pt idx="455">
                  <c:v>58.2</c:v>
                </c:pt>
                <c:pt idx="456">
                  <c:v>50.47</c:v>
                </c:pt>
                <c:pt idx="457">
                  <c:v>48.97</c:v>
                </c:pt>
                <c:pt idx="458">
                  <c:v>56.28</c:v>
                </c:pt>
                <c:pt idx="459">
                  <c:v>54.31</c:v>
                </c:pt>
                <c:pt idx="460">
                  <c:v>52.67</c:v>
                </c:pt>
                <c:pt idx="461">
                  <c:v>57.89</c:v>
                </c:pt>
                <c:pt idx="462">
                  <c:v>64.569999999999993</c:v>
                </c:pt>
                <c:pt idx="463">
                  <c:v>66.05</c:v>
                </c:pt>
                <c:pt idx="464">
                  <c:v>57.79</c:v>
                </c:pt>
                <c:pt idx="465">
                  <c:v>59.56</c:v>
                </c:pt>
                <c:pt idx="466">
                  <c:v>54.75</c:v>
                </c:pt>
                <c:pt idx="467">
                  <c:v>46.42</c:v>
                </c:pt>
                <c:pt idx="468">
                  <c:v>35.82</c:v>
                </c:pt>
                <c:pt idx="469">
                  <c:v>41.72</c:v>
                </c:pt>
                <c:pt idx="470">
                  <c:v>39.03</c:v>
                </c:pt>
                <c:pt idx="472">
                  <c:v>37.590000000000003</c:v>
                </c:pt>
                <c:pt idx="473">
                  <c:v>30.5</c:v>
                </c:pt>
                <c:pt idx="474">
                  <c:v>28.65</c:v>
                </c:pt>
                <c:pt idx="475">
                  <c:v>36.28</c:v>
                </c:pt>
                <c:pt idx="476">
                  <c:v>36.479999999999997</c:v>
                </c:pt>
                <c:pt idx="477">
                  <c:v>38.090000000000003</c:v>
                </c:pt>
                <c:pt idx="478">
                  <c:v>38.47</c:v>
                </c:pt>
                <c:pt idx="479">
                  <c:v>46.68</c:v>
                </c:pt>
                <c:pt idx="480">
                  <c:v>45.25</c:v>
                </c:pt>
                <c:pt idx="481">
                  <c:v>45.16</c:v>
                </c:pt>
                <c:pt idx="483">
                  <c:v>44.39</c:v>
                </c:pt>
                <c:pt idx="484">
                  <c:v>45.04</c:v>
                </c:pt>
                <c:pt idx="485">
                  <c:v>39.590000000000003</c:v>
                </c:pt>
                <c:pt idx="486">
                  <c:v>44.78</c:v>
                </c:pt>
                <c:pt idx="487">
                  <c:v>44.98</c:v>
                </c:pt>
                <c:pt idx="488">
                  <c:v>43.67</c:v>
                </c:pt>
                <c:pt idx="489">
                  <c:v>43.84</c:v>
                </c:pt>
                <c:pt idx="490">
                  <c:v>44.32</c:v>
                </c:pt>
                <c:pt idx="491">
                  <c:v>49.44</c:v>
                </c:pt>
                <c:pt idx="492">
                  <c:v>48.84</c:v>
                </c:pt>
                <c:pt idx="493">
                  <c:v>45.07</c:v>
                </c:pt>
                <c:pt idx="494">
                  <c:v>50.72</c:v>
                </c:pt>
                <c:pt idx="495">
                  <c:v>54.09</c:v>
                </c:pt>
                <c:pt idx="496">
                  <c:v>47.56</c:v>
                </c:pt>
                <c:pt idx="497">
                  <c:v>42.47</c:v>
                </c:pt>
                <c:pt idx="498">
                  <c:v>50.59</c:v>
                </c:pt>
                <c:pt idx="500">
                  <c:v>53.13</c:v>
                </c:pt>
                <c:pt idx="501">
                  <c:v>47.62</c:v>
                </c:pt>
                <c:pt idx="502">
                  <c:v>53.62</c:v>
                </c:pt>
                <c:pt idx="503">
                  <c:v>61.63</c:v>
                </c:pt>
                <c:pt idx="504">
                  <c:v>61.63</c:v>
                </c:pt>
                <c:pt idx="505">
                  <c:v>60.91</c:v>
                </c:pt>
                <c:pt idx="506">
                  <c:v>56.29</c:v>
                </c:pt>
                <c:pt idx="507">
                  <c:v>62.05</c:v>
                </c:pt>
                <c:pt idx="508">
                  <c:v>61.15</c:v>
                </c:pt>
                <c:pt idx="509">
                  <c:v>60.67</c:v>
                </c:pt>
                <c:pt idx="510">
                  <c:v>61.14</c:v>
                </c:pt>
                <c:pt idx="511">
                  <c:v>60.62</c:v>
                </c:pt>
                <c:pt idx="512">
                  <c:v>55.53</c:v>
                </c:pt>
                <c:pt idx="513">
                  <c:v>58.45</c:v>
                </c:pt>
                <c:pt idx="514">
                  <c:v>52.55</c:v>
                </c:pt>
                <c:pt idx="515">
                  <c:v>49.17</c:v>
                </c:pt>
                <c:pt idx="516">
                  <c:v>42.88</c:v>
                </c:pt>
                <c:pt idx="517">
                  <c:v>45.55</c:v>
                </c:pt>
                <c:pt idx="518">
                  <c:v>42.2</c:v>
                </c:pt>
                <c:pt idx="519">
                  <c:v>53</c:v>
                </c:pt>
                <c:pt idx="520">
                  <c:v>47.27</c:v>
                </c:pt>
                <c:pt idx="521">
                  <c:v>42.5</c:v>
                </c:pt>
                <c:pt idx="522">
                  <c:v>36.369999999999997</c:v>
                </c:pt>
                <c:pt idx="523">
                  <c:v>35.76</c:v>
                </c:pt>
                <c:pt idx="524">
                  <c:v>40.33</c:v>
                </c:pt>
                <c:pt idx="525">
                  <c:v>39.49</c:v>
                </c:pt>
                <c:pt idx="526">
                  <c:v>39.9</c:v>
                </c:pt>
                <c:pt idx="527">
                  <c:v>39.65</c:v>
                </c:pt>
                <c:pt idx="528">
                  <c:v>38.08</c:v>
                </c:pt>
                <c:pt idx="529">
                  <c:v>41.55</c:v>
                </c:pt>
                <c:pt idx="530">
                  <c:v>43.87</c:v>
                </c:pt>
                <c:pt idx="531">
                  <c:v>54.48</c:v>
                </c:pt>
                <c:pt idx="532">
                  <c:v>55.01</c:v>
                </c:pt>
                <c:pt idx="533">
                  <c:v>67.8</c:v>
                </c:pt>
                <c:pt idx="534">
                  <c:v>66.709999999999994</c:v>
                </c:pt>
                <c:pt idx="535">
                  <c:v>66.37</c:v>
                </c:pt>
                <c:pt idx="536">
                  <c:v>62.16</c:v>
                </c:pt>
                <c:pt idx="537">
                  <c:v>71.58</c:v>
                </c:pt>
                <c:pt idx="538">
                  <c:v>69.03</c:v>
                </c:pt>
                <c:pt idx="539">
                  <c:v>72.78</c:v>
                </c:pt>
                <c:pt idx="541">
                  <c:v>75.239999999999995</c:v>
                </c:pt>
                <c:pt idx="542">
                  <c:v>74.319999999999993</c:v>
                </c:pt>
                <c:pt idx="543">
                  <c:v>68.7</c:v>
                </c:pt>
                <c:pt idx="544">
                  <c:v>69.459999999999994</c:v>
                </c:pt>
                <c:pt idx="545">
                  <c:v>69.319999999999993</c:v>
                </c:pt>
                <c:pt idx="546">
                  <c:v>75.14</c:v>
                </c:pt>
                <c:pt idx="547">
                  <c:v>73.78</c:v>
                </c:pt>
                <c:pt idx="548">
                  <c:v>70.14</c:v>
                </c:pt>
                <c:pt idx="549">
                  <c:v>70.099999999999994</c:v>
                </c:pt>
                <c:pt idx="550">
                  <c:v>71.599999999999994</c:v>
                </c:pt>
                <c:pt idx="551">
                  <c:v>71.459999999999994</c:v>
                </c:pt>
                <c:pt idx="552">
                  <c:v>75.7</c:v>
                </c:pt>
                <c:pt idx="553">
                  <c:v>72.94</c:v>
                </c:pt>
                <c:pt idx="554">
                  <c:v>73.02</c:v>
                </c:pt>
                <c:pt idx="555">
                  <c:v>69.64</c:v>
                </c:pt>
                <c:pt idx="556">
                  <c:v>74.08</c:v>
                </c:pt>
                <c:pt idx="557">
                  <c:v>70.41</c:v>
                </c:pt>
                <c:pt idx="558">
                  <c:v>67.900000000000006</c:v>
                </c:pt>
                <c:pt idx="559">
                  <c:v>72</c:v>
                </c:pt>
                <c:pt idx="560">
                  <c:v>69.680000000000007</c:v>
                </c:pt>
                <c:pt idx="561">
                  <c:v>68.150000000000006</c:v>
                </c:pt>
                <c:pt idx="562">
                  <c:v>65.48</c:v>
                </c:pt>
                <c:pt idx="563">
                  <c:v>64.34</c:v>
                </c:pt>
                <c:pt idx="564">
                  <c:v>63</c:v>
                </c:pt>
                <c:pt idx="565">
                  <c:v>66.790000000000006</c:v>
                </c:pt>
                <c:pt idx="566">
                  <c:v>64.87</c:v>
                </c:pt>
                <c:pt idx="567">
                  <c:v>61.36</c:v>
                </c:pt>
                <c:pt idx="568">
                  <c:v>59.3</c:v>
                </c:pt>
                <c:pt idx="570">
                  <c:v>60.45</c:v>
                </c:pt>
                <c:pt idx="571">
                  <c:v>58.59</c:v>
                </c:pt>
                <c:pt idx="572">
                  <c:v>51.15</c:v>
                </c:pt>
                <c:pt idx="573">
                  <c:v>48.24</c:v>
                </c:pt>
                <c:pt idx="574">
                  <c:v>55.03</c:v>
                </c:pt>
                <c:pt idx="575">
                  <c:v>51.48</c:v>
                </c:pt>
                <c:pt idx="576">
                  <c:v>50.49</c:v>
                </c:pt>
                <c:pt idx="577">
                  <c:v>51.08</c:v>
                </c:pt>
                <c:pt idx="578">
                  <c:v>47.67</c:v>
                </c:pt>
                <c:pt idx="579">
                  <c:v>39.14</c:v>
                </c:pt>
                <c:pt idx="580">
                  <c:v>50.4</c:v>
                </c:pt>
                <c:pt idx="581">
                  <c:v>53.74</c:v>
                </c:pt>
                <c:pt idx="582">
                  <c:v>44.14</c:v>
                </c:pt>
                <c:pt idx="583">
                  <c:v>52.13</c:v>
                </c:pt>
                <c:pt idx="584">
                  <c:v>49.15</c:v>
                </c:pt>
                <c:pt idx="585">
                  <c:v>45.77</c:v>
                </c:pt>
                <c:pt idx="586">
                  <c:v>45.53</c:v>
                </c:pt>
                <c:pt idx="587">
                  <c:v>38.049999999999997</c:v>
                </c:pt>
                <c:pt idx="588">
                  <c:v>45.62</c:v>
                </c:pt>
                <c:pt idx="589">
                  <c:v>43.09</c:v>
                </c:pt>
                <c:pt idx="590">
                  <c:v>40.81</c:v>
                </c:pt>
                <c:pt idx="591">
                  <c:v>40.06</c:v>
                </c:pt>
                <c:pt idx="592">
                  <c:v>37.700000000000003</c:v>
                </c:pt>
                <c:pt idx="593">
                  <c:v>41.18</c:v>
                </c:pt>
                <c:pt idx="595">
                  <c:v>47.71</c:v>
                </c:pt>
                <c:pt idx="596">
                  <c:v>47.06</c:v>
                </c:pt>
                <c:pt idx="597">
                  <c:v>48.82</c:v>
                </c:pt>
                <c:pt idx="598">
                  <c:v>49.58</c:v>
                </c:pt>
                <c:pt idx="599">
                  <c:v>56.8</c:v>
                </c:pt>
                <c:pt idx="600">
                  <c:v>54.52</c:v>
                </c:pt>
                <c:pt idx="601">
                  <c:v>53.63</c:v>
                </c:pt>
                <c:pt idx="602">
                  <c:v>55.57</c:v>
                </c:pt>
                <c:pt idx="603">
                  <c:v>62.73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92-4B80-96D6-582AB839A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화학  </a:t>
            </a:r>
            <a:r>
              <a:rPr lang="en-US"/>
              <a:t>vs  </a:t>
            </a:r>
            <a:r>
              <a:rPr lang="ko-KR" altLang="en-US"/>
              <a:t>소재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RSI'!$E$7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RSI'!$E$78:$E$3077</c:f>
              <c:numCache>
                <c:formatCode>0.00</c:formatCode>
                <c:ptCount val="3000"/>
                <c:pt idx="1">
                  <c:v>67.8</c:v>
                </c:pt>
                <c:pt idx="2">
                  <c:v>76.84</c:v>
                </c:pt>
                <c:pt idx="3">
                  <c:v>71.36</c:v>
                </c:pt>
                <c:pt idx="4">
                  <c:v>69.56</c:v>
                </c:pt>
                <c:pt idx="5">
                  <c:v>71.11</c:v>
                </c:pt>
                <c:pt idx="6">
                  <c:v>69</c:v>
                </c:pt>
                <c:pt idx="7">
                  <c:v>68.63</c:v>
                </c:pt>
                <c:pt idx="8">
                  <c:v>66.5</c:v>
                </c:pt>
                <c:pt idx="9">
                  <c:v>63.36</c:v>
                </c:pt>
                <c:pt idx="10">
                  <c:v>64.12</c:v>
                </c:pt>
                <c:pt idx="11">
                  <c:v>63.58</c:v>
                </c:pt>
                <c:pt idx="12">
                  <c:v>60.52</c:v>
                </c:pt>
                <c:pt idx="13">
                  <c:v>57.98</c:v>
                </c:pt>
                <c:pt idx="14">
                  <c:v>57.55</c:v>
                </c:pt>
                <c:pt idx="15">
                  <c:v>59.69</c:v>
                </c:pt>
                <c:pt idx="16">
                  <c:v>58.18</c:v>
                </c:pt>
                <c:pt idx="17">
                  <c:v>55.04</c:v>
                </c:pt>
                <c:pt idx="18">
                  <c:v>49.18</c:v>
                </c:pt>
                <c:pt idx="19">
                  <c:v>50.4</c:v>
                </c:pt>
                <c:pt idx="20">
                  <c:v>47.31</c:v>
                </c:pt>
                <c:pt idx="21">
                  <c:v>45.77</c:v>
                </c:pt>
                <c:pt idx="22">
                  <c:v>50.23</c:v>
                </c:pt>
                <c:pt idx="23">
                  <c:v>43.8</c:v>
                </c:pt>
                <c:pt idx="24">
                  <c:v>47.4</c:v>
                </c:pt>
                <c:pt idx="25">
                  <c:v>48.38</c:v>
                </c:pt>
                <c:pt idx="26">
                  <c:v>47.04</c:v>
                </c:pt>
                <c:pt idx="27">
                  <c:v>50.21</c:v>
                </c:pt>
                <c:pt idx="28">
                  <c:v>47.85</c:v>
                </c:pt>
                <c:pt idx="29">
                  <c:v>43.79</c:v>
                </c:pt>
                <c:pt idx="30">
                  <c:v>51.66</c:v>
                </c:pt>
                <c:pt idx="31">
                  <c:v>49.1</c:v>
                </c:pt>
                <c:pt idx="32">
                  <c:v>51.87</c:v>
                </c:pt>
                <c:pt idx="33">
                  <c:v>47.13</c:v>
                </c:pt>
                <c:pt idx="34">
                  <c:v>42.78</c:v>
                </c:pt>
                <c:pt idx="35">
                  <c:v>45.41</c:v>
                </c:pt>
                <c:pt idx="36">
                  <c:v>49.44</c:v>
                </c:pt>
                <c:pt idx="37">
                  <c:v>49.45</c:v>
                </c:pt>
                <c:pt idx="38">
                  <c:v>47.45</c:v>
                </c:pt>
                <c:pt idx="39">
                  <c:v>45.46</c:v>
                </c:pt>
                <c:pt idx="40">
                  <c:v>51.09</c:v>
                </c:pt>
                <c:pt idx="41">
                  <c:v>48.87</c:v>
                </c:pt>
                <c:pt idx="42">
                  <c:v>38.17</c:v>
                </c:pt>
                <c:pt idx="43">
                  <c:v>61.46</c:v>
                </c:pt>
                <c:pt idx="45">
                  <c:v>75.569999999999993</c:v>
                </c:pt>
                <c:pt idx="46">
                  <c:v>75.37</c:v>
                </c:pt>
                <c:pt idx="47">
                  <c:v>74.989999999999995</c:v>
                </c:pt>
                <c:pt idx="48">
                  <c:v>72.75</c:v>
                </c:pt>
                <c:pt idx="49">
                  <c:v>69.31</c:v>
                </c:pt>
                <c:pt idx="50">
                  <c:v>71.11</c:v>
                </c:pt>
                <c:pt idx="51">
                  <c:v>69.66</c:v>
                </c:pt>
                <c:pt idx="54">
                  <c:v>64.52</c:v>
                </c:pt>
                <c:pt idx="55">
                  <c:v>69.91</c:v>
                </c:pt>
                <c:pt idx="56">
                  <c:v>67.23</c:v>
                </c:pt>
                <c:pt idx="57">
                  <c:v>65.48</c:v>
                </c:pt>
                <c:pt idx="58">
                  <c:v>63.91</c:v>
                </c:pt>
                <c:pt idx="59">
                  <c:v>55.17</c:v>
                </c:pt>
                <c:pt idx="60">
                  <c:v>60.04</c:v>
                </c:pt>
                <c:pt idx="61">
                  <c:v>64.25</c:v>
                </c:pt>
                <c:pt idx="62">
                  <c:v>58.36</c:v>
                </c:pt>
                <c:pt idx="63">
                  <c:v>51.92</c:v>
                </c:pt>
                <c:pt idx="64">
                  <c:v>62.81</c:v>
                </c:pt>
                <c:pt idx="65">
                  <c:v>71.87</c:v>
                </c:pt>
                <c:pt idx="66">
                  <c:v>69.989999999999995</c:v>
                </c:pt>
                <c:pt idx="67">
                  <c:v>68.8</c:v>
                </c:pt>
                <c:pt idx="68">
                  <c:v>69.58</c:v>
                </c:pt>
                <c:pt idx="69">
                  <c:v>71</c:v>
                </c:pt>
                <c:pt idx="70">
                  <c:v>69.34</c:v>
                </c:pt>
                <c:pt idx="71">
                  <c:v>60.14</c:v>
                </c:pt>
                <c:pt idx="72">
                  <c:v>63</c:v>
                </c:pt>
                <c:pt idx="73">
                  <c:v>59.11</c:v>
                </c:pt>
                <c:pt idx="74">
                  <c:v>57.61</c:v>
                </c:pt>
                <c:pt idx="75">
                  <c:v>61.74</c:v>
                </c:pt>
                <c:pt idx="76">
                  <c:v>55.91</c:v>
                </c:pt>
                <c:pt idx="77">
                  <c:v>52.54</c:v>
                </c:pt>
                <c:pt idx="78">
                  <c:v>43.97</c:v>
                </c:pt>
                <c:pt idx="79">
                  <c:v>36.21</c:v>
                </c:pt>
                <c:pt idx="80">
                  <c:v>34.299999999999997</c:v>
                </c:pt>
                <c:pt idx="81">
                  <c:v>35.78</c:v>
                </c:pt>
                <c:pt idx="82">
                  <c:v>40.53</c:v>
                </c:pt>
                <c:pt idx="83">
                  <c:v>41.54</c:v>
                </c:pt>
                <c:pt idx="84">
                  <c:v>35.07</c:v>
                </c:pt>
                <c:pt idx="86">
                  <c:v>36.979999999999997</c:v>
                </c:pt>
                <c:pt idx="87">
                  <c:v>38.54</c:v>
                </c:pt>
                <c:pt idx="88">
                  <c:v>38.159999999999997</c:v>
                </c:pt>
                <c:pt idx="89">
                  <c:v>42.77</c:v>
                </c:pt>
                <c:pt idx="90">
                  <c:v>44.07</c:v>
                </c:pt>
                <c:pt idx="91">
                  <c:v>45.49</c:v>
                </c:pt>
                <c:pt idx="92">
                  <c:v>41.77</c:v>
                </c:pt>
                <c:pt idx="93">
                  <c:v>38.1</c:v>
                </c:pt>
                <c:pt idx="94">
                  <c:v>49.58</c:v>
                </c:pt>
                <c:pt idx="95">
                  <c:v>46.59</c:v>
                </c:pt>
                <c:pt idx="96">
                  <c:v>51.64</c:v>
                </c:pt>
                <c:pt idx="97">
                  <c:v>51.74</c:v>
                </c:pt>
                <c:pt idx="98">
                  <c:v>48.06</c:v>
                </c:pt>
                <c:pt idx="99">
                  <c:v>52.15</c:v>
                </c:pt>
                <c:pt idx="100">
                  <c:v>55.12</c:v>
                </c:pt>
                <c:pt idx="101">
                  <c:v>55.58</c:v>
                </c:pt>
                <c:pt idx="102">
                  <c:v>52.73</c:v>
                </c:pt>
                <c:pt idx="103">
                  <c:v>50.82</c:v>
                </c:pt>
                <c:pt idx="104">
                  <c:v>53.89</c:v>
                </c:pt>
                <c:pt idx="105">
                  <c:v>50.97</c:v>
                </c:pt>
                <c:pt idx="106">
                  <c:v>48.96</c:v>
                </c:pt>
                <c:pt idx="107">
                  <c:v>49.8</c:v>
                </c:pt>
                <c:pt idx="108">
                  <c:v>53.2</c:v>
                </c:pt>
                <c:pt idx="109">
                  <c:v>53.4</c:v>
                </c:pt>
                <c:pt idx="110">
                  <c:v>44.47</c:v>
                </c:pt>
                <c:pt idx="111">
                  <c:v>44.32</c:v>
                </c:pt>
                <c:pt idx="112">
                  <c:v>48.14</c:v>
                </c:pt>
                <c:pt idx="113">
                  <c:v>55.23</c:v>
                </c:pt>
                <c:pt idx="114">
                  <c:v>51.96</c:v>
                </c:pt>
                <c:pt idx="115">
                  <c:v>49.85</c:v>
                </c:pt>
                <c:pt idx="116">
                  <c:v>60.4</c:v>
                </c:pt>
                <c:pt idx="117">
                  <c:v>60.24</c:v>
                </c:pt>
                <c:pt idx="118">
                  <c:v>67.36</c:v>
                </c:pt>
                <c:pt idx="119">
                  <c:v>64.12</c:v>
                </c:pt>
                <c:pt idx="120">
                  <c:v>59.18</c:v>
                </c:pt>
                <c:pt idx="121">
                  <c:v>59.39</c:v>
                </c:pt>
                <c:pt idx="122">
                  <c:v>49.95</c:v>
                </c:pt>
                <c:pt idx="123">
                  <c:v>54.91</c:v>
                </c:pt>
                <c:pt idx="124">
                  <c:v>56.74</c:v>
                </c:pt>
                <c:pt idx="125">
                  <c:v>72.680000000000007</c:v>
                </c:pt>
                <c:pt idx="126">
                  <c:v>71.760000000000005</c:v>
                </c:pt>
                <c:pt idx="127">
                  <c:v>70.489999999999995</c:v>
                </c:pt>
                <c:pt idx="128">
                  <c:v>75.989999999999995</c:v>
                </c:pt>
                <c:pt idx="129">
                  <c:v>83.77</c:v>
                </c:pt>
                <c:pt idx="130">
                  <c:v>83.53</c:v>
                </c:pt>
                <c:pt idx="131">
                  <c:v>82.68</c:v>
                </c:pt>
                <c:pt idx="132">
                  <c:v>81.93</c:v>
                </c:pt>
                <c:pt idx="133">
                  <c:v>78.39</c:v>
                </c:pt>
                <c:pt idx="134">
                  <c:v>81.96</c:v>
                </c:pt>
                <c:pt idx="135">
                  <c:v>74.790000000000006</c:v>
                </c:pt>
                <c:pt idx="136">
                  <c:v>73.27</c:v>
                </c:pt>
                <c:pt idx="137">
                  <c:v>70.349999999999994</c:v>
                </c:pt>
                <c:pt idx="138">
                  <c:v>67.02</c:v>
                </c:pt>
                <c:pt idx="139">
                  <c:v>56.22</c:v>
                </c:pt>
                <c:pt idx="140">
                  <c:v>51.76</c:v>
                </c:pt>
                <c:pt idx="141">
                  <c:v>50.68</c:v>
                </c:pt>
                <c:pt idx="142">
                  <c:v>48.85</c:v>
                </c:pt>
                <c:pt idx="148">
                  <c:v>49.49</c:v>
                </c:pt>
                <c:pt idx="149">
                  <c:v>46.15</c:v>
                </c:pt>
                <c:pt idx="150">
                  <c:v>44.28</c:v>
                </c:pt>
                <c:pt idx="151">
                  <c:v>46.28</c:v>
                </c:pt>
                <c:pt idx="152">
                  <c:v>40.28</c:v>
                </c:pt>
                <c:pt idx="153">
                  <c:v>47.67</c:v>
                </c:pt>
                <c:pt idx="154">
                  <c:v>44.73</c:v>
                </c:pt>
                <c:pt idx="155">
                  <c:v>51.51</c:v>
                </c:pt>
                <c:pt idx="156">
                  <c:v>54.19</c:v>
                </c:pt>
                <c:pt idx="157">
                  <c:v>53.43</c:v>
                </c:pt>
                <c:pt idx="158">
                  <c:v>60.72</c:v>
                </c:pt>
                <c:pt idx="159">
                  <c:v>54.83</c:v>
                </c:pt>
                <c:pt idx="160">
                  <c:v>53.63</c:v>
                </c:pt>
                <c:pt idx="161">
                  <c:v>58.9</c:v>
                </c:pt>
                <c:pt idx="162">
                  <c:v>55.77</c:v>
                </c:pt>
                <c:pt idx="163">
                  <c:v>56.04</c:v>
                </c:pt>
                <c:pt idx="164">
                  <c:v>52.99</c:v>
                </c:pt>
                <c:pt idx="165">
                  <c:v>53.75</c:v>
                </c:pt>
                <c:pt idx="166">
                  <c:v>46.39</c:v>
                </c:pt>
                <c:pt idx="167">
                  <c:v>44.31</c:v>
                </c:pt>
                <c:pt idx="168">
                  <c:v>44.57</c:v>
                </c:pt>
                <c:pt idx="169">
                  <c:v>35.340000000000003</c:v>
                </c:pt>
                <c:pt idx="170">
                  <c:v>35.700000000000003</c:v>
                </c:pt>
                <c:pt idx="171">
                  <c:v>36.229999999999997</c:v>
                </c:pt>
                <c:pt idx="172">
                  <c:v>40.98</c:v>
                </c:pt>
                <c:pt idx="173">
                  <c:v>43.48</c:v>
                </c:pt>
                <c:pt idx="174">
                  <c:v>44.1</c:v>
                </c:pt>
                <c:pt idx="175">
                  <c:v>46.68</c:v>
                </c:pt>
                <c:pt idx="176">
                  <c:v>48.28</c:v>
                </c:pt>
                <c:pt idx="177">
                  <c:v>43.18</c:v>
                </c:pt>
                <c:pt idx="178">
                  <c:v>44.89</c:v>
                </c:pt>
                <c:pt idx="179">
                  <c:v>39.4</c:v>
                </c:pt>
                <c:pt idx="180">
                  <c:v>40.28</c:v>
                </c:pt>
                <c:pt idx="181">
                  <c:v>40.11</c:v>
                </c:pt>
                <c:pt idx="183">
                  <c:v>44.13</c:v>
                </c:pt>
                <c:pt idx="184">
                  <c:v>41.77</c:v>
                </c:pt>
                <c:pt idx="185">
                  <c:v>41.8</c:v>
                </c:pt>
                <c:pt idx="186">
                  <c:v>45.79</c:v>
                </c:pt>
                <c:pt idx="187">
                  <c:v>50.52</c:v>
                </c:pt>
                <c:pt idx="188">
                  <c:v>54.79</c:v>
                </c:pt>
                <c:pt idx="189">
                  <c:v>55.07</c:v>
                </c:pt>
                <c:pt idx="190">
                  <c:v>49.39</c:v>
                </c:pt>
                <c:pt idx="191">
                  <c:v>42.44</c:v>
                </c:pt>
                <c:pt idx="192">
                  <c:v>40.130000000000003</c:v>
                </c:pt>
                <c:pt idx="193">
                  <c:v>57.21</c:v>
                </c:pt>
                <c:pt idx="194">
                  <c:v>63.91</c:v>
                </c:pt>
                <c:pt idx="195">
                  <c:v>63.8</c:v>
                </c:pt>
                <c:pt idx="196">
                  <c:v>64.569999999999993</c:v>
                </c:pt>
                <c:pt idx="197">
                  <c:v>67.23</c:v>
                </c:pt>
                <c:pt idx="198">
                  <c:v>70.709999999999994</c:v>
                </c:pt>
                <c:pt idx="199">
                  <c:v>69.069999999999993</c:v>
                </c:pt>
                <c:pt idx="200">
                  <c:v>68.19</c:v>
                </c:pt>
                <c:pt idx="201">
                  <c:v>69.25</c:v>
                </c:pt>
                <c:pt idx="202">
                  <c:v>65.75</c:v>
                </c:pt>
                <c:pt idx="203">
                  <c:v>66</c:v>
                </c:pt>
                <c:pt idx="204">
                  <c:v>65.02</c:v>
                </c:pt>
                <c:pt idx="205">
                  <c:v>73.989999999999995</c:v>
                </c:pt>
                <c:pt idx="206">
                  <c:v>73.72</c:v>
                </c:pt>
                <c:pt idx="207">
                  <c:v>72.22</c:v>
                </c:pt>
                <c:pt idx="208">
                  <c:v>74.62</c:v>
                </c:pt>
                <c:pt idx="209">
                  <c:v>71.040000000000006</c:v>
                </c:pt>
                <c:pt idx="210">
                  <c:v>68.510000000000005</c:v>
                </c:pt>
                <c:pt idx="211">
                  <c:v>66.83</c:v>
                </c:pt>
                <c:pt idx="212">
                  <c:v>68.180000000000007</c:v>
                </c:pt>
                <c:pt idx="213">
                  <c:v>75.349999999999994</c:v>
                </c:pt>
                <c:pt idx="214">
                  <c:v>72.5</c:v>
                </c:pt>
                <c:pt idx="215">
                  <c:v>75.260000000000005</c:v>
                </c:pt>
                <c:pt idx="216">
                  <c:v>70.239999999999995</c:v>
                </c:pt>
                <c:pt idx="217">
                  <c:v>61.78</c:v>
                </c:pt>
                <c:pt idx="218">
                  <c:v>67.930000000000007</c:v>
                </c:pt>
                <c:pt idx="219">
                  <c:v>69.37</c:v>
                </c:pt>
                <c:pt idx="220">
                  <c:v>69.89</c:v>
                </c:pt>
                <c:pt idx="221">
                  <c:v>66.75</c:v>
                </c:pt>
                <c:pt idx="222">
                  <c:v>72.81</c:v>
                </c:pt>
                <c:pt idx="223">
                  <c:v>68.599999999999994</c:v>
                </c:pt>
                <c:pt idx="224">
                  <c:v>67.87</c:v>
                </c:pt>
                <c:pt idx="225">
                  <c:v>65.22</c:v>
                </c:pt>
                <c:pt idx="226">
                  <c:v>69.16</c:v>
                </c:pt>
                <c:pt idx="227">
                  <c:v>66.94</c:v>
                </c:pt>
                <c:pt idx="228">
                  <c:v>77.260000000000005</c:v>
                </c:pt>
                <c:pt idx="229">
                  <c:v>77.599999999999994</c:v>
                </c:pt>
                <c:pt idx="230">
                  <c:v>75.12</c:v>
                </c:pt>
                <c:pt idx="231">
                  <c:v>72.7</c:v>
                </c:pt>
                <c:pt idx="233">
                  <c:v>70.83</c:v>
                </c:pt>
                <c:pt idx="234">
                  <c:v>69.42</c:v>
                </c:pt>
                <c:pt idx="236">
                  <c:v>62.19</c:v>
                </c:pt>
                <c:pt idx="237">
                  <c:v>62.09</c:v>
                </c:pt>
                <c:pt idx="238">
                  <c:v>62.06</c:v>
                </c:pt>
                <c:pt idx="239">
                  <c:v>57.46</c:v>
                </c:pt>
                <c:pt idx="240">
                  <c:v>50.43</c:v>
                </c:pt>
                <c:pt idx="241">
                  <c:v>48.74</c:v>
                </c:pt>
                <c:pt idx="242">
                  <c:v>41.32</c:v>
                </c:pt>
                <c:pt idx="243">
                  <c:v>43.06</c:v>
                </c:pt>
                <c:pt idx="244">
                  <c:v>47.81</c:v>
                </c:pt>
                <c:pt idx="245">
                  <c:v>45.42</c:v>
                </c:pt>
                <c:pt idx="246">
                  <c:v>50.86</c:v>
                </c:pt>
                <c:pt idx="247">
                  <c:v>52.26</c:v>
                </c:pt>
                <c:pt idx="248">
                  <c:v>55.4</c:v>
                </c:pt>
                <c:pt idx="249">
                  <c:v>57.68</c:v>
                </c:pt>
                <c:pt idx="250">
                  <c:v>54.44</c:v>
                </c:pt>
                <c:pt idx="251">
                  <c:v>56.66</c:v>
                </c:pt>
                <c:pt idx="252">
                  <c:v>53.69</c:v>
                </c:pt>
                <c:pt idx="253">
                  <c:v>57.77</c:v>
                </c:pt>
                <c:pt idx="254">
                  <c:v>52.09</c:v>
                </c:pt>
                <c:pt idx="257">
                  <c:v>51.88</c:v>
                </c:pt>
                <c:pt idx="259">
                  <c:v>53.32</c:v>
                </c:pt>
                <c:pt idx="260">
                  <c:v>57.45</c:v>
                </c:pt>
                <c:pt idx="261">
                  <c:v>54.33</c:v>
                </c:pt>
                <c:pt idx="262">
                  <c:v>54.99</c:v>
                </c:pt>
                <c:pt idx="263">
                  <c:v>51.38</c:v>
                </c:pt>
                <c:pt idx="264">
                  <c:v>49.35</c:v>
                </c:pt>
                <c:pt idx="265">
                  <c:v>43.45</c:v>
                </c:pt>
                <c:pt idx="266">
                  <c:v>43.72</c:v>
                </c:pt>
                <c:pt idx="267">
                  <c:v>43.38</c:v>
                </c:pt>
                <c:pt idx="268">
                  <c:v>42.68</c:v>
                </c:pt>
                <c:pt idx="269">
                  <c:v>39.630000000000003</c:v>
                </c:pt>
                <c:pt idx="270">
                  <c:v>41.73</c:v>
                </c:pt>
                <c:pt idx="271">
                  <c:v>40.89</c:v>
                </c:pt>
                <c:pt idx="272">
                  <c:v>39.619999999999997</c:v>
                </c:pt>
                <c:pt idx="273">
                  <c:v>39.99</c:v>
                </c:pt>
                <c:pt idx="274">
                  <c:v>22.99</c:v>
                </c:pt>
                <c:pt idx="275">
                  <c:v>25.88</c:v>
                </c:pt>
                <c:pt idx="276">
                  <c:v>26.33</c:v>
                </c:pt>
                <c:pt idx="277">
                  <c:v>34.49</c:v>
                </c:pt>
                <c:pt idx="278">
                  <c:v>30.11</c:v>
                </c:pt>
                <c:pt idx="279">
                  <c:v>33.24</c:v>
                </c:pt>
                <c:pt idx="280">
                  <c:v>36.409999999999997</c:v>
                </c:pt>
                <c:pt idx="281">
                  <c:v>33.090000000000003</c:v>
                </c:pt>
                <c:pt idx="282">
                  <c:v>42.06</c:v>
                </c:pt>
                <c:pt idx="283">
                  <c:v>47.17</c:v>
                </c:pt>
                <c:pt idx="284">
                  <c:v>51.94</c:v>
                </c:pt>
                <c:pt idx="285">
                  <c:v>46.99</c:v>
                </c:pt>
                <c:pt idx="286">
                  <c:v>50.99</c:v>
                </c:pt>
                <c:pt idx="287">
                  <c:v>49.34</c:v>
                </c:pt>
                <c:pt idx="288">
                  <c:v>52.44</c:v>
                </c:pt>
                <c:pt idx="289">
                  <c:v>51.13</c:v>
                </c:pt>
                <c:pt idx="290">
                  <c:v>48.45</c:v>
                </c:pt>
                <c:pt idx="291">
                  <c:v>49.95</c:v>
                </c:pt>
                <c:pt idx="292">
                  <c:v>51.49</c:v>
                </c:pt>
                <c:pt idx="293">
                  <c:v>55.99</c:v>
                </c:pt>
                <c:pt idx="294">
                  <c:v>57.01</c:v>
                </c:pt>
                <c:pt idx="295">
                  <c:v>53.01</c:v>
                </c:pt>
                <c:pt idx="296">
                  <c:v>58.5</c:v>
                </c:pt>
                <c:pt idx="297">
                  <c:v>55.48</c:v>
                </c:pt>
                <c:pt idx="298">
                  <c:v>50.93</c:v>
                </c:pt>
                <c:pt idx="299">
                  <c:v>50.06</c:v>
                </c:pt>
                <c:pt idx="300">
                  <c:v>43.59</c:v>
                </c:pt>
                <c:pt idx="302">
                  <c:v>48.6</c:v>
                </c:pt>
                <c:pt idx="303">
                  <c:v>62.55</c:v>
                </c:pt>
                <c:pt idx="304">
                  <c:v>61.33</c:v>
                </c:pt>
                <c:pt idx="305">
                  <c:v>57.79</c:v>
                </c:pt>
                <c:pt idx="306">
                  <c:v>65.88</c:v>
                </c:pt>
                <c:pt idx="307">
                  <c:v>66.3</c:v>
                </c:pt>
                <c:pt idx="308">
                  <c:v>65.5</c:v>
                </c:pt>
                <c:pt idx="309">
                  <c:v>64.849999999999994</c:v>
                </c:pt>
                <c:pt idx="310">
                  <c:v>62.21</c:v>
                </c:pt>
                <c:pt idx="311">
                  <c:v>61.09</c:v>
                </c:pt>
                <c:pt idx="312">
                  <c:v>54.55</c:v>
                </c:pt>
                <c:pt idx="313">
                  <c:v>56.44</c:v>
                </c:pt>
                <c:pt idx="314">
                  <c:v>48.56</c:v>
                </c:pt>
                <c:pt idx="315">
                  <c:v>47.55</c:v>
                </c:pt>
                <c:pt idx="316">
                  <c:v>47.17</c:v>
                </c:pt>
                <c:pt idx="317">
                  <c:v>45.31</c:v>
                </c:pt>
                <c:pt idx="318">
                  <c:v>49.79</c:v>
                </c:pt>
                <c:pt idx="319">
                  <c:v>46.59</c:v>
                </c:pt>
                <c:pt idx="320">
                  <c:v>41.92</c:v>
                </c:pt>
                <c:pt idx="321">
                  <c:v>40.75</c:v>
                </c:pt>
                <c:pt idx="322">
                  <c:v>52.84</c:v>
                </c:pt>
                <c:pt idx="327">
                  <c:v>52.25</c:v>
                </c:pt>
                <c:pt idx="328">
                  <c:v>51.92</c:v>
                </c:pt>
                <c:pt idx="329">
                  <c:v>57.41</c:v>
                </c:pt>
                <c:pt idx="330">
                  <c:v>54.69</c:v>
                </c:pt>
                <c:pt idx="331">
                  <c:v>61.42</c:v>
                </c:pt>
                <c:pt idx="332">
                  <c:v>60.04</c:v>
                </c:pt>
                <c:pt idx="333">
                  <c:v>57.99</c:v>
                </c:pt>
                <c:pt idx="334">
                  <c:v>52.47</c:v>
                </c:pt>
                <c:pt idx="335">
                  <c:v>55.05</c:v>
                </c:pt>
                <c:pt idx="336">
                  <c:v>52.92</c:v>
                </c:pt>
                <c:pt idx="337">
                  <c:v>54.73</c:v>
                </c:pt>
                <c:pt idx="338">
                  <c:v>57.02</c:v>
                </c:pt>
                <c:pt idx="339">
                  <c:v>54.83</c:v>
                </c:pt>
                <c:pt idx="340">
                  <c:v>52.51</c:v>
                </c:pt>
                <c:pt idx="341">
                  <c:v>51.59</c:v>
                </c:pt>
                <c:pt idx="342">
                  <c:v>48.56</c:v>
                </c:pt>
                <c:pt idx="343">
                  <c:v>35.979999999999997</c:v>
                </c:pt>
                <c:pt idx="345">
                  <c:v>38.090000000000003</c:v>
                </c:pt>
                <c:pt idx="346">
                  <c:v>36.549999999999997</c:v>
                </c:pt>
                <c:pt idx="347">
                  <c:v>39.72</c:v>
                </c:pt>
                <c:pt idx="348">
                  <c:v>41.15</c:v>
                </c:pt>
                <c:pt idx="349">
                  <c:v>43.2</c:v>
                </c:pt>
                <c:pt idx="350">
                  <c:v>40.97</c:v>
                </c:pt>
                <c:pt idx="351">
                  <c:v>43.21</c:v>
                </c:pt>
                <c:pt idx="352">
                  <c:v>46.45</c:v>
                </c:pt>
                <c:pt idx="353">
                  <c:v>44.64</c:v>
                </c:pt>
                <c:pt idx="354">
                  <c:v>48.58</c:v>
                </c:pt>
                <c:pt idx="355">
                  <c:v>47.04</c:v>
                </c:pt>
                <c:pt idx="356">
                  <c:v>46</c:v>
                </c:pt>
                <c:pt idx="357">
                  <c:v>43.63</c:v>
                </c:pt>
                <c:pt idx="358">
                  <c:v>41.99</c:v>
                </c:pt>
                <c:pt idx="359">
                  <c:v>26.11</c:v>
                </c:pt>
                <c:pt idx="360">
                  <c:v>32.479999999999997</c:v>
                </c:pt>
                <c:pt idx="361">
                  <c:v>32.46</c:v>
                </c:pt>
                <c:pt idx="362">
                  <c:v>36.28</c:v>
                </c:pt>
                <c:pt idx="363">
                  <c:v>39.99</c:v>
                </c:pt>
                <c:pt idx="364">
                  <c:v>32.619999999999997</c:v>
                </c:pt>
                <c:pt idx="365">
                  <c:v>33.68</c:v>
                </c:pt>
                <c:pt idx="366">
                  <c:v>41.21</c:v>
                </c:pt>
                <c:pt idx="367">
                  <c:v>35.4</c:v>
                </c:pt>
                <c:pt idx="368">
                  <c:v>38.770000000000003</c:v>
                </c:pt>
                <c:pt idx="369">
                  <c:v>39.340000000000003</c:v>
                </c:pt>
                <c:pt idx="370">
                  <c:v>35.369999999999997</c:v>
                </c:pt>
                <c:pt idx="371">
                  <c:v>33.94</c:v>
                </c:pt>
                <c:pt idx="372">
                  <c:v>31.57</c:v>
                </c:pt>
                <c:pt idx="373">
                  <c:v>31.72</c:v>
                </c:pt>
                <c:pt idx="374">
                  <c:v>28.42</c:v>
                </c:pt>
                <c:pt idx="375">
                  <c:v>20.329999999999998</c:v>
                </c:pt>
                <c:pt idx="376">
                  <c:v>22.41</c:v>
                </c:pt>
                <c:pt idx="377">
                  <c:v>23.61</c:v>
                </c:pt>
                <c:pt idx="378">
                  <c:v>27</c:v>
                </c:pt>
                <c:pt idx="379">
                  <c:v>30.08</c:v>
                </c:pt>
                <c:pt idx="380">
                  <c:v>34.78</c:v>
                </c:pt>
                <c:pt idx="381">
                  <c:v>36.369999999999997</c:v>
                </c:pt>
                <c:pt idx="382">
                  <c:v>38.67</c:v>
                </c:pt>
                <c:pt idx="383">
                  <c:v>47.12</c:v>
                </c:pt>
                <c:pt idx="384">
                  <c:v>45.75</c:v>
                </c:pt>
                <c:pt idx="385">
                  <c:v>41.26</c:v>
                </c:pt>
                <c:pt idx="386">
                  <c:v>41.64</c:v>
                </c:pt>
                <c:pt idx="387">
                  <c:v>41.58</c:v>
                </c:pt>
                <c:pt idx="388">
                  <c:v>43.89</c:v>
                </c:pt>
                <c:pt idx="389">
                  <c:v>48.52</c:v>
                </c:pt>
                <c:pt idx="390">
                  <c:v>35.67</c:v>
                </c:pt>
                <c:pt idx="391">
                  <c:v>38.99</c:v>
                </c:pt>
                <c:pt idx="392">
                  <c:v>39.56</c:v>
                </c:pt>
                <c:pt idx="393">
                  <c:v>35.909999999999997</c:v>
                </c:pt>
                <c:pt idx="394">
                  <c:v>41.45</c:v>
                </c:pt>
                <c:pt idx="395">
                  <c:v>40.479999999999997</c:v>
                </c:pt>
                <c:pt idx="396">
                  <c:v>41.33</c:v>
                </c:pt>
                <c:pt idx="397">
                  <c:v>43.01</c:v>
                </c:pt>
                <c:pt idx="398">
                  <c:v>46.42</c:v>
                </c:pt>
                <c:pt idx="399">
                  <c:v>51.73</c:v>
                </c:pt>
                <c:pt idx="400">
                  <c:v>52.53</c:v>
                </c:pt>
                <c:pt idx="401">
                  <c:v>57.41</c:v>
                </c:pt>
                <c:pt idx="403">
                  <c:v>56.17</c:v>
                </c:pt>
                <c:pt idx="404">
                  <c:v>60.52</c:v>
                </c:pt>
                <c:pt idx="405">
                  <c:v>55.31</c:v>
                </c:pt>
                <c:pt idx="407">
                  <c:v>58.21</c:v>
                </c:pt>
                <c:pt idx="409">
                  <c:v>64.39</c:v>
                </c:pt>
                <c:pt idx="410">
                  <c:v>70.28</c:v>
                </c:pt>
                <c:pt idx="411">
                  <c:v>68.48</c:v>
                </c:pt>
                <c:pt idx="412">
                  <c:v>64.61</c:v>
                </c:pt>
                <c:pt idx="413">
                  <c:v>62.32</c:v>
                </c:pt>
                <c:pt idx="414">
                  <c:v>51.86</c:v>
                </c:pt>
                <c:pt idx="415">
                  <c:v>47.48</c:v>
                </c:pt>
                <c:pt idx="416">
                  <c:v>48.8</c:v>
                </c:pt>
                <c:pt idx="420">
                  <c:v>48.32</c:v>
                </c:pt>
                <c:pt idx="421">
                  <c:v>49.76</c:v>
                </c:pt>
                <c:pt idx="422">
                  <c:v>43.93</c:v>
                </c:pt>
                <c:pt idx="423">
                  <c:v>37.01</c:v>
                </c:pt>
                <c:pt idx="424">
                  <c:v>38.07</c:v>
                </c:pt>
                <c:pt idx="425">
                  <c:v>36.200000000000003</c:v>
                </c:pt>
                <c:pt idx="426">
                  <c:v>41.28</c:v>
                </c:pt>
                <c:pt idx="427">
                  <c:v>41.62</c:v>
                </c:pt>
                <c:pt idx="428">
                  <c:v>50.47</c:v>
                </c:pt>
                <c:pt idx="429">
                  <c:v>49.99</c:v>
                </c:pt>
                <c:pt idx="430">
                  <c:v>45.14</c:v>
                </c:pt>
                <c:pt idx="431">
                  <c:v>43.52</c:v>
                </c:pt>
                <c:pt idx="432">
                  <c:v>42.07</c:v>
                </c:pt>
                <c:pt idx="433">
                  <c:v>44.94</c:v>
                </c:pt>
                <c:pt idx="434">
                  <c:v>42.84</c:v>
                </c:pt>
                <c:pt idx="435">
                  <c:v>42.42</c:v>
                </c:pt>
                <c:pt idx="436">
                  <c:v>43.57</c:v>
                </c:pt>
                <c:pt idx="437">
                  <c:v>39.81</c:v>
                </c:pt>
                <c:pt idx="438">
                  <c:v>39.200000000000003</c:v>
                </c:pt>
                <c:pt idx="439">
                  <c:v>36.770000000000003</c:v>
                </c:pt>
                <c:pt idx="440">
                  <c:v>38.29</c:v>
                </c:pt>
                <c:pt idx="442">
                  <c:v>38.31</c:v>
                </c:pt>
                <c:pt idx="443">
                  <c:v>34.299999999999997</c:v>
                </c:pt>
                <c:pt idx="444">
                  <c:v>35.35</c:v>
                </c:pt>
                <c:pt idx="445">
                  <c:v>32.51</c:v>
                </c:pt>
                <c:pt idx="446">
                  <c:v>27.27</c:v>
                </c:pt>
                <c:pt idx="447">
                  <c:v>28.66</c:v>
                </c:pt>
                <c:pt idx="448">
                  <c:v>31.74</c:v>
                </c:pt>
                <c:pt idx="449">
                  <c:v>17.22</c:v>
                </c:pt>
                <c:pt idx="450">
                  <c:v>31.13</c:v>
                </c:pt>
                <c:pt idx="451">
                  <c:v>38.22</c:v>
                </c:pt>
                <c:pt idx="452">
                  <c:v>29.2</c:v>
                </c:pt>
                <c:pt idx="453">
                  <c:v>28.6</c:v>
                </c:pt>
                <c:pt idx="454">
                  <c:v>31.25</c:v>
                </c:pt>
                <c:pt idx="455">
                  <c:v>23.02</c:v>
                </c:pt>
                <c:pt idx="456">
                  <c:v>25.03</c:v>
                </c:pt>
                <c:pt idx="457">
                  <c:v>25.92</c:v>
                </c:pt>
                <c:pt idx="458">
                  <c:v>26.45</c:v>
                </c:pt>
                <c:pt idx="459">
                  <c:v>28.68</c:v>
                </c:pt>
                <c:pt idx="460">
                  <c:v>32.950000000000003</c:v>
                </c:pt>
                <c:pt idx="461">
                  <c:v>35.35</c:v>
                </c:pt>
                <c:pt idx="462">
                  <c:v>37.9</c:v>
                </c:pt>
                <c:pt idx="463">
                  <c:v>32.909999999999997</c:v>
                </c:pt>
                <c:pt idx="464">
                  <c:v>38.74</c:v>
                </c:pt>
                <c:pt idx="465">
                  <c:v>42.65</c:v>
                </c:pt>
                <c:pt idx="466">
                  <c:v>42.43</c:v>
                </c:pt>
                <c:pt idx="467">
                  <c:v>39.369999999999997</c:v>
                </c:pt>
                <c:pt idx="468">
                  <c:v>42.39</c:v>
                </c:pt>
                <c:pt idx="469">
                  <c:v>41.28</c:v>
                </c:pt>
                <c:pt idx="470">
                  <c:v>39.32</c:v>
                </c:pt>
                <c:pt idx="471">
                  <c:v>41.49</c:v>
                </c:pt>
                <c:pt idx="472">
                  <c:v>37.03</c:v>
                </c:pt>
                <c:pt idx="473">
                  <c:v>37.92</c:v>
                </c:pt>
                <c:pt idx="474">
                  <c:v>44.55</c:v>
                </c:pt>
                <c:pt idx="475">
                  <c:v>43.89</c:v>
                </c:pt>
                <c:pt idx="476">
                  <c:v>39.67</c:v>
                </c:pt>
                <c:pt idx="477">
                  <c:v>43.95</c:v>
                </c:pt>
                <c:pt idx="478">
                  <c:v>43.32</c:v>
                </c:pt>
                <c:pt idx="479">
                  <c:v>43.71</c:v>
                </c:pt>
                <c:pt idx="480">
                  <c:v>47.91</c:v>
                </c:pt>
                <c:pt idx="481">
                  <c:v>52.26</c:v>
                </c:pt>
                <c:pt idx="482">
                  <c:v>49.22</c:v>
                </c:pt>
                <c:pt idx="483">
                  <c:v>46.73</c:v>
                </c:pt>
                <c:pt idx="484">
                  <c:v>51.33</c:v>
                </c:pt>
                <c:pt idx="485">
                  <c:v>56.85</c:v>
                </c:pt>
                <c:pt idx="486">
                  <c:v>59.44</c:v>
                </c:pt>
                <c:pt idx="487">
                  <c:v>61.17</c:v>
                </c:pt>
                <c:pt idx="488">
                  <c:v>56.92</c:v>
                </c:pt>
                <c:pt idx="489">
                  <c:v>50.63</c:v>
                </c:pt>
                <c:pt idx="490">
                  <c:v>53.72</c:v>
                </c:pt>
                <c:pt idx="492">
                  <c:v>50.39</c:v>
                </c:pt>
                <c:pt idx="493">
                  <c:v>46.83</c:v>
                </c:pt>
                <c:pt idx="494">
                  <c:v>51.58</c:v>
                </c:pt>
                <c:pt idx="495">
                  <c:v>49.45</c:v>
                </c:pt>
                <c:pt idx="496">
                  <c:v>44.46</c:v>
                </c:pt>
                <c:pt idx="497">
                  <c:v>47.67</c:v>
                </c:pt>
                <c:pt idx="498">
                  <c:v>54.51</c:v>
                </c:pt>
                <c:pt idx="499">
                  <c:v>58.76</c:v>
                </c:pt>
                <c:pt idx="500">
                  <c:v>51.23</c:v>
                </c:pt>
                <c:pt idx="501">
                  <c:v>57.4</c:v>
                </c:pt>
                <c:pt idx="502">
                  <c:v>55.85</c:v>
                </c:pt>
                <c:pt idx="503">
                  <c:v>53.1</c:v>
                </c:pt>
                <c:pt idx="504">
                  <c:v>58.73</c:v>
                </c:pt>
                <c:pt idx="505">
                  <c:v>57.05</c:v>
                </c:pt>
                <c:pt idx="506">
                  <c:v>60.53</c:v>
                </c:pt>
                <c:pt idx="508">
                  <c:v>58.37</c:v>
                </c:pt>
                <c:pt idx="509">
                  <c:v>54.08</c:v>
                </c:pt>
                <c:pt idx="510">
                  <c:v>57.33</c:v>
                </c:pt>
                <c:pt idx="511">
                  <c:v>56.6</c:v>
                </c:pt>
                <c:pt idx="512">
                  <c:v>58.99</c:v>
                </c:pt>
                <c:pt idx="513">
                  <c:v>57.4</c:v>
                </c:pt>
                <c:pt idx="515">
                  <c:v>57.09</c:v>
                </c:pt>
                <c:pt idx="516">
                  <c:v>56.75</c:v>
                </c:pt>
                <c:pt idx="518">
                  <c:v>58.45</c:v>
                </c:pt>
                <c:pt idx="519">
                  <c:v>55.18</c:v>
                </c:pt>
                <c:pt idx="520">
                  <c:v>40.630000000000003</c:v>
                </c:pt>
                <c:pt idx="521">
                  <c:v>39.96</c:v>
                </c:pt>
                <c:pt idx="522">
                  <c:v>43.44</c:v>
                </c:pt>
                <c:pt idx="523">
                  <c:v>37.04</c:v>
                </c:pt>
                <c:pt idx="524">
                  <c:v>39.6</c:v>
                </c:pt>
                <c:pt idx="525">
                  <c:v>30.46</c:v>
                </c:pt>
                <c:pt idx="526">
                  <c:v>35.25</c:v>
                </c:pt>
                <c:pt idx="527">
                  <c:v>26.02</c:v>
                </c:pt>
                <c:pt idx="528">
                  <c:v>26.3</c:v>
                </c:pt>
                <c:pt idx="529">
                  <c:v>30.73</c:v>
                </c:pt>
                <c:pt idx="530">
                  <c:v>33</c:v>
                </c:pt>
                <c:pt idx="531">
                  <c:v>34.51</c:v>
                </c:pt>
                <c:pt idx="533">
                  <c:v>37.659999999999997</c:v>
                </c:pt>
                <c:pt idx="534">
                  <c:v>40.130000000000003</c:v>
                </c:pt>
                <c:pt idx="535">
                  <c:v>43.74</c:v>
                </c:pt>
                <c:pt idx="536">
                  <c:v>44.73</c:v>
                </c:pt>
                <c:pt idx="537">
                  <c:v>42.73</c:v>
                </c:pt>
                <c:pt idx="538">
                  <c:v>50.17</c:v>
                </c:pt>
                <c:pt idx="539">
                  <c:v>52.71</c:v>
                </c:pt>
                <c:pt idx="540">
                  <c:v>46.44</c:v>
                </c:pt>
                <c:pt idx="541">
                  <c:v>50.34</c:v>
                </c:pt>
                <c:pt idx="542">
                  <c:v>55.57</c:v>
                </c:pt>
                <c:pt idx="543">
                  <c:v>56.59</c:v>
                </c:pt>
                <c:pt idx="544">
                  <c:v>58.32</c:v>
                </c:pt>
                <c:pt idx="545">
                  <c:v>55.83</c:v>
                </c:pt>
                <c:pt idx="546">
                  <c:v>53.77</c:v>
                </c:pt>
                <c:pt idx="547">
                  <c:v>50.03</c:v>
                </c:pt>
                <c:pt idx="548">
                  <c:v>51.81</c:v>
                </c:pt>
                <c:pt idx="549">
                  <c:v>55.81</c:v>
                </c:pt>
                <c:pt idx="550">
                  <c:v>49.63</c:v>
                </c:pt>
                <c:pt idx="551">
                  <c:v>52.39</c:v>
                </c:pt>
                <c:pt idx="552">
                  <c:v>50.14</c:v>
                </c:pt>
                <c:pt idx="553">
                  <c:v>52.12</c:v>
                </c:pt>
                <c:pt idx="554">
                  <c:v>46.89</c:v>
                </c:pt>
                <c:pt idx="555">
                  <c:v>49.59</c:v>
                </c:pt>
                <c:pt idx="556">
                  <c:v>47.18</c:v>
                </c:pt>
                <c:pt idx="557">
                  <c:v>46.17</c:v>
                </c:pt>
                <c:pt idx="558">
                  <c:v>49.49</c:v>
                </c:pt>
                <c:pt idx="559">
                  <c:v>48.33</c:v>
                </c:pt>
                <c:pt idx="561">
                  <c:v>45.56</c:v>
                </c:pt>
                <c:pt idx="562">
                  <c:v>49.65</c:v>
                </c:pt>
                <c:pt idx="563">
                  <c:v>47.17</c:v>
                </c:pt>
                <c:pt idx="564">
                  <c:v>50.94</c:v>
                </c:pt>
                <c:pt idx="565">
                  <c:v>54.86</c:v>
                </c:pt>
                <c:pt idx="566">
                  <c:v>59.46</c:v>
                </c:pt>
                <c:pt idx="567">
                  <c:v>67.150000000000006</c:v>
                </c:pt>
                <c:pt idx="568">
                  <c:v>69.819999999999993</c:v>
                </c:pt>
                <c:pt idx="569">
                  <c:v>70.52</c:v>
                </c:pt>
                <c:pt idx="570">
                  <c:v>69.150000000000006</c:v>
                </c:pt>
                <c:pt idx="571">
                  <c:v>61.76</c:v>
                </c:pt>
                <c:pt idx="572">
                  <c:v>55.53</c:v>
                </c:pt>
                <c:pt idx="573">
                  <c:v>58.82</c:v>
                </c:pt>
                <c:pt idx="576">
                  <c:v>57.73</c:v>
                </c:pt>
                <c:pt idx="577">
                  <c:v>57.09</c:v>
                </c:pt>
                <c:pt idx="578">
                  <c:v>53.43</c:v>
                </c:pt>
                <c:pt idx="579">
                  <c:v>54.99</c:v>
                </c:pt>
                <c:pt idx="580">
                  <c:v>53.51</c:v>
                </c:pt>
                <c:pt idx="581">
                  <c:v>45.51</c:v>
                </c:pt>
                <c:pt idx="582">
                  <c:v>39.42</c:v>
                </c:pt>
                <c:pt idx="583">
                  <c:v>41.62</c:v>
                </c:pt>
                <c:pt idx="584">
                  <c:v>42.33</c:v>
                </c:pt>
                <c:pt idx="585">
                  <c:v>37.49</c:v>
                </c:pt>
                <c:pt idx="586">
                  <c:v>33.14</c:v>
                </c:pt>
                <c:pt idx="587">
                  <c:v>28.97</c:v>
                </c:pt>
                <c:pt idx="588">
                  <c:v>24.78</c:v>
                </c:pt>
                <c:pt idx="589">
                  <c:v>18.850000000000001</c:v>
                </c:pt>
                <c:pt idx="590">
                  <c:v>22.52</c:v>
                </c:pt>
                <c:pt idx="591">
                  <c:v>23</c:v>
                </c:pt>
                <c:pt idx="592">
                  <c:v>20.12</c:v>
                </c:pt>
                <c:pt idx="593">
                  <c:v>25.74</c:v>
                </c:pt>
                <c:pt idx="594">
                  <c:v>27.71</c:v>
                </c:pt>
                <c:pt idx="595">
                  <c:v>30.24</c:v>
                </c:pt>
                <c:pt idx="596">
                  <c:v>33.79</c:v>
                </c:pt>
                <c:pt idx="597">
                  <c:v>37.31</c:v>
                </c:pt>
                <c:pt idx="598">
                  <c:v>39.85</c:v>
                </c:pt>
                <c:pt idx="599">
                  <c:v>39.35</c:v>
                </c:pt>
                <c:pt idx="600">
                  <c:v>41.52</c:v>
                </c:pt>
                <c:pt idx="601">
                  <c:v>41.79</c:v>
                </c:pt>
                <c:pt idx="602">
                  <c:v>43.8</c:v>
                </c:pt>
                <c:pt idx="603">
                  <c:v>52.02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04-44F0-A3D2-5A27E5D7FF86}"/>
            </c:ext>
          </c:extLst>
        </c:ser>
        <c:ser>
          <c:idx val="1"/>
          <c:order val="1"/>
          <c:tx>
            <c:strRef>
              <c:f>'미국 RSI'!$F$1</c:f>
              <c:strCache>
                <c:ptCount val="1"/>
                <c:pt idx="0">
                  <c:v>소재(US)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RSI'!$F$69:$F$3068</c:f>
              <c:numCache>
                <c:formatCode>0.00</c:formatCode>
                <c:ptCount val="3000"/>
                <c:pt idx="0">
                  <c:v>49.11</c:v>
                </c:pt>
                <c:pt idx="1">
                  <c:v>54.79</c:v>
                </c:pt>
                <c:pt idx="2">
                  <c:v>47.94</c:v>
                </c:pt>
                <c:pt idx="3">
                  <c:v>52.74</c:v>
                </c:pt>
                <c:pt idx="4">
                  <c:v>57.34</c:v>
                </c:pt>
                <c:pt idx="5">
                  <c:v>59.1</c:v>
                </c:pt>
                <c:pt idx="6">
                  <c:v>58.17</c:v>
                </c:pt>
                <c:pt idx="7">
                  <c:v>58.39</c:v>
                </c:pt>
                <c:pt idx="8">
                  <c:v>57.94</c:v>
                </c:pt>
                <c:pt idx="9">
                  <c:v>62.84</c:v>
                </c:pt>
                <c:pt idx="10">
                  <c:v>60.48</c:v>
                </c:pt>
                <c:pt idx="11">
                  <c:v>59.59</c:v>
                </c:pt>
                <c:pt idx="12">
                  <c:v>57.04</c:v>
                </c:pt>
                <c:pt idx="13">
                  <c:v>63.35</c:v>
                </c:pt>
                <c:pt idx="14">
                  <c:v>65.27</c:v>
                </c:pt>
                <c:pt idx="15">
                  <c:v>63.98</c:v>
                </c:pt>
                <c:pt idx="16">
                  <c:v>62.34</c:v>
                </c:pt>
                <c:pt idx="17">
                  <c:v>63.07</c:v>
                </c:pt>
                <c:pt idx="18">
                  <c:v>52.11</c:v>
                </c:pt>
                <c:pt idx="19">
                  <c:v>53.35</c:v>
                </c:pt>
                <c:pt idx="21">
                  <c:v>54.98</c:v>
                </c:pt>
                <c:pt idx="22">
                  <c:v>55.4</c:v>
                </c:pt>
                <c:pt idx="23">
                  <c:v>52.11</c:v>
                </c:pt>
                <c:pt idx="24">
                  <c:v>45.37</c:v>
                </c:pt>
                <c:pt idx="25">
                  <c:v>43.88</c:v>
                </c:pt>
                <c:pt idx="26">
                  <c:v>45.02</c:v>
                </c:pt>
                <c:pt idx="27">
                  <c:v>47.05</c:v>
                </c:pt>
                <c:pt idx="28">
                  <c:v>39.450000000000003</c:v>
                </c:pt>
                <c:pt idx="29">
                  <c:v>30.8</c:v>
                </c:pt>
                <c:pt idx="30">
                  <c:v>24.45</c:v>
                </c:pt>
                <c:pt idx="31">
                  <c:v>27.58</c:v>
                </c:pt>
                <c:pt idx="32">
                  <c:v>31.19</c:v>
                </c:pt>
                <c:pt idx="33">
                  <c:v>37.630000000000003</c:v>
                </c:pt>
                <c:pt idx="34">
                  <c:v>36.22</c:v>
                </c:pt>
                <c:pt idx="35">
                  <c:v>33.79</c:v>
                </c:pt>
                <c:pt idx="36">
                  <c:v>36.83</c:v>
                </c:pt>
                <c:pt idx="37">
                  <c:v>37.86</c:v>
                </c:pt>
                <c:pt idx="38">
                  <c:v>38.11</c:v>
                </c:pt>
                <c:pt idx="39">
                  <c:v>38.76</c:v>
                </c:pt>
                <c:pt idx="40">
                  <c:v>37.590000000000003</c:v>
                </c:pt>
                <c:pt idx="41">
                  <c:v>43.31</c:v>
                </c:pt>
                <c:pt idx="42">
                  <c:v>51.48</c:v>
                </c:pt>
                <c:pt idx="43">
                  <c:v>51.64</c:v>
                </c:pt>
                <c:pt idx="44">
                  <c:v>64.239999999999995</c:v>
                </c:pt>
                <c:pt idx="45">
                  <c:v>66.06</c:v>
                </c:pt>
                <c:pt idx="46">
                  <c:v>63.6</c:v>
                </c:pt>
                <c:pt idx="47">
                  <c:v>64.23</c:v>
                </c:pt>
                <c:pt idx="48">
                  <c:v>67.349999999999994</c:v>
                </c:pt>
                <c:pt idx="49">
                  <c:v>65.260000000000005</c:v>
                </c:pt>
                <c:pt idx="50">
                  <c:v>65.260000000000005</c:v>
                </c:pt>
                <c:pt idx="51">
                  <c:v>64.63</c:v>
                </c:pt>
                <c:pt idx="52">
                  <c:v>66.27</c:v>
                </c:pt>
                <c:pt idx="53">
                  <c:v>64.87</c:v>
                </c:pt>
                <c:pt idx="54">
                  <c:v>69.989999999999995</c:v>
                </c:pt>
                <c:pt idx="55">
                  <c:v>68.16</c:v>
                </c:pt>
                <c:pt idx="56">
                  <c:v>75.180000000000007</c:v>
                </c:pt>
                <c:pt idx="57">
                  <c:v>72.849999999999994</c:v>
                </c:pt>
                <c:pt idx="58">
                  <c:v>70.17</c:v>
                </c:pt>
                <c:pt idx="59">
                  <c:v>67.42</c:v>
                </c:pt>
                <c:pt idx="60">
                  <c:v>62.61</c:v>
                </c:pt>
                <c:pt idx="61">
                  <c:v>77.17</c:v>
                </c:pt>
                <c:pt idx="62">
                  <c:v>72</c:v>
                </c:pt>
                <c:pt idx="63">
                  <c:v>65.61</c:v>
                </c:pt>
                <c:pt idx="64">
                  <c:v>62.75</c:v>
                </c:pt>
                <c:pt idx="65">
                  <c:v>73.67</c:v>
                </c:pt>
                <c:pt idx="66">
                  <c:v>73.37</c:v>
                </c:pt>
                <c:pt idx="67">
                  <c:v>73.83</c:v>
                </c:pt>
                <c:pt idx="68">
                  <c:v>74.56</c:v>
                </c:pt>
                <c:pt idx="69">
                  <c:v>74.27</c:v>
                </c:pt>
                <c:pt idx="70">
                  <c:v>72.13</c:v>
                </c:pt>
                <c:pt idx="71">
                  <c:v>70.72</c:v>
                </c:pt>
                <c:pt idx="72">
                  <c:v>64.47</c:v>
                </c:pt>
                <c:pt idx="74">
                  <c:v>71.05</c:v>
                </c:pt>
                <c:pt idx="75">
                  <c:v>75.11</c:v>
                </c:pt>
                <c:pt idx="76">
                  <c:v>74.08</c:v>
                </c:pt>
                <c:pt idx="77">
                  <c:v>73.98</c:v>
                </c:pt>
                <c:pt idx="78">
                  <c:v>73.010000000000005</c:v>
                </c:pt>
                <c:pt idx="79">
                  <c:v>71.81</c:v>
                </c:pt>
                <c:pt idx="80">
                  <c:v>67.91</c:v>
                </c:pt>
                <c:pt idx="81">
                  <c:v>62.74</c:v>
                </c:pt>
                <c:pt idx="82">
                  <c:v>73.760000000000005</c:v>
                </c:pt>
                <c:pt idx="83">
                  <c:v>67.88</c:v>
                </c:pt>
                <c:pt idx="84">
                  <c:v>64.16</c:v>
                </c:pt>
                <c:pt idx="85">
                  <c:v>56.27</c:v>
                </c:pt>
                <c:pt idx="86">
                  <c:v>62.58</c:v>
                </c:pt>
                <c:pt idx="87">
                  <c:v>62.75</c:v>
                </c:pt>
                <c:pt idx="88">
                  <c:v>69.3</c:v>
                </c:pt>
                <c:pt idx="89">
                  <c:v>66.959999999999994</c:v>
                </c:pt>
                <c:pt idx="90">
                  <c:v>66.17</c:v>
                </c:pt>
                <c:pt idx="91">
                  <c:v>65.48</c:v>
                </c:pt>
                <c:pt idx="92">
                  <c:v>62.85</c:v>
                </c:pt>
                <c:pt idx="93">
                  <c:v>61.02</c:v>
                </c:pt>
                <c:pt idx="94">
                  <c:v>61.3</c:v>
                </c:pt>
                <c:pt idx="95">
                  <c:v>59.66</c:v>
                </c:pt>
                <c:pt idx="96">
                  <c:v>61.18</c:v>
                </c:pt>
                <c:pt idx="97">
                  <c:v>61.54</c:v>
                </c:pt>
                <c:pt idx="98">
                  <c:v>61.33</c:v>
                </c:pt>
                <c:pt idx="99">
                  <c:v>54.43</c:v>
                </c:pt>
                <c:pt idx="100">
                  <c:v>45.74</c:v>
                </c:pt>
                <c:pt idx="101">
                  <c:v>46.62</c:v>
                </c:pt>
                <c:pt idx="102">
                  <c:v>52.98</c:v>
                </c:pt>
                <c:pt idx="103">
                  <c:v>54.63</c:v>
                </c:pt>
                <c:pt idx="104">
                  <c:v>57.61</c:v>
                </c:pt>
                <c:pt idx="105">
                  <c:v>54.88</c:v>
                </c:pt>
                <c:pt idx="106">
                  <c:v>59.53</c:v>
                </c:pt>
                <c:pt idx="107">
                  <c:v>60.83</c:v>
                </c:pt>
                <c:pt idx="109">
                  <c:v>58.9</c:v>
                </c:pt>
                <c:pt idx="110">
                  <c:v>54.49</c:v>
                </c:pt>
                <c:pt idx="111">
                  <c:v>48.35</c:v>
                </c:pt>
                <c:pt idx="112">
                  <c:v>47.48</c:v>
                </c:pt>
                <c:pt idx="113">
                  <c:v>36.46</c:v>
                </c:pt>
                <c:pt idx="114">
                  <c:v>42</c:v>
                </c:pt>
                <c:pt idx="115">
                  <c:v>40.56</c:v>
                </c:pt>
                <c:pt idx="116">
                  <c:v>40.119999999999997</c:v>
                </c:pt>
                <c:pt idx="117">
                  <c:v>46.09</c:v>
                </c:pt>
                <c:pt idx="118">
                  <c:v>50.31</c:v>
                </c:pt>
                <c:pt idx="119">
                  <c:v>53.6</c:v>
                </c:pt>
                <c:pt idx="120">
                  <c:v>50.37</c:v>
                </c:pt>
                <c:pt idx="121">
                  <c:v>45.23</c:v>
                </c:pt>
                <c:pt idx="122">
                  <c:v>40.04</c:v>
                </c:pt>
                <c:pt idx="123">
                  <c:v>32.57</c:v>
                </c:pt>
                <c:pt idx="124">
                  <c:v>34.200000000000003</c:v>
                </c:pt>
                <c:pt idx="125">
                  <c:v>30.35</c:v>
                </c:pt>
                <c:pt idx="126">
                  <c:v>31.8</c:v>
                </c:pt>
                <c:pt idx="127">
                  <c:v>33.69</c:v>
                </c:pt>
                <c:pt idx="128">
                  <c:v>35.54</c:v>
                </c:pt>
                <c:pt idx="129">
                  <c:v>40.35</c:v>
                </c:pt>
                <c:pt idx="130">
                  <c:v>49.7</c:v>
                </c:pt>
                <c:pt idx="131">
                  <c:v>48.95</c:v>
                </c:pt>
                <c:pt idx="132">
                  <c:v>49.18</c:v>
                </c:pt>
                <c:pt idx="133">
                  <c:v>51.23</c:v>
                </c:pt>
                <c:pt idx="134">
                  <c:v>45.15</c:v>
                </c:pt>
                <c:pt idx="135">
                  <c:v>46.52</c:v>
                </c:pt>
                <c:pt idx="136">
                  <c:v>48.23</c:v>
                </c:pt>
                <c:pt idx="137">
                  <c:v>42.12</c:v>
                </c:pt>
                <c:pt idx="138">
                  <c:v>42.88</c:v>
                </c:pt>
                <c:pt idx="139">
                  <c:v>45.87</c:v>
                </c:pt>
                <c:pt idx="140">
                  <c:v>47.74</c:v>
                </c:pt>
                <c:pt idx="141">
                  <c:v>42.99</c:v>
                </c:pt>
                <c:pt idx="142">
                  <c:v>34.28</c:v>
                </c:pt>
                <c:pt idx="143">
                  <c:v>42.17</c:v>
                </c:pt>
                <c:pt idx="144">
                  <c:v>49.28</c:v>
                </c:pt>
                <c:pt idx="145">
                  <c:v>45.98</c:v>
                </c:pt>
                <c:pt idx="146">
                  <c:v>48.16</c:v>
                </c:pt>
                <c:pt idx="147">
                  <c:v>48.64</c:v>
                </c:pt>
                <c:pt idx="148">
                  <c:v>47.74</c:v>
                </c:pt>
                <c:pt idx="149">
                  <c:v>41.16</c:v>
                </c:pt>
                <c:pt idx="150">
                  <c:v>46.07</c:v>
                </c:pt>
                <c:pt idx="151">
                  <c:v>43.12</c:v>
                </c:pt>
                <c:pt idx="152">
                  <c:v>40.79</c:v>
                </c:pt>
                <c:pt idx="153">
                  <c:v>33.18</c:v>
                </c:pt>
                <c:pt idx="154">
                  <c:v>38.39</c:v>
                </c:pt>
                <c:pt idx="155">
                  <c:v>44.56</c:v>
                </c:pt>
                <c:pt idx="156">
                  <c:v>46.38</c:v>
                </c:pt>
                <c:pt idx="157">
                  <c:v>49.35</c:v>
                </c:pt>
                <c:pt idx="158">
                  <c:v>49.61</c:v>
                </c:pt>
                <c:pt idx="159">
                  <c:v>49.61</c:v>
                </c:pt>
                <c:pt idx="160">
                  <c:v>48.39</c:v>
                </c:pt>
                <c:pt idx="161">
                  <c:v>49.88</c:v>
                </c:pt>
                <c:pt idx="162">
                  <c:v>53.96</c:v>
                </c:pt>
                <c:pt idx="163">
                  <c:v>59.65</c:v>
                </c:pt>
                <c:pt idx="164">
                  <c:v>49.56</c:v>
                </c:pt>
                <c:pt idx="165">
                  <c:v>48.49</c:v>
                </c:pt>
                <c:pt idx="166">
                  <c:v>58.69</c:v>
                </c:pt>
                <c:pt idx="167">
                  <c:v>58.26</c:v>
                </c:pt>
                <c:pt idx="168">
                  <c:v>54.72</c:v>
                </c:pt>
                <c:pt idx="169">
                  <c:v>52.68</c:v>
                </c:pt>
                <c:pt idx="170">
                  <c:v>56.89</c:v>
                </c:pt>
                <c:pt idx="172">
                  <c:v>62.02</c:v>
                </c:pt>
                <c:pt idx="173">
                  <c:v>61.41</c:v>
                </c:pt>
                <c:pt idx="174">
                  <c:v>61.41</c:v>
                </c:pt>
                <c:pt idx="175">
                  <c:v>60.44</c:v>
                </c:pt>
                <c:pt idx="176">
                  <c:v>59.42</c:v>
                </c:pt>
                <c:pt idx="177">
                  <c:v>62.49</c:v>
                </c:pt>
                <c:pt idx="178">
                  <c:v>54.89</c:v>
                </c:pt>
                <c:pt idx="179">
                  <c:v>53.58</c:v>
                </c:pt>
                <c:pt idx="180">
                  <c:v>53.25</c:v>
                </c:pt>
                <c:pt idx="181">
                  <c:v>50.75</c:v>
                </c:pt>
                <c:pt idx="182">
                  <c:v>53.3</c:v>
                </c:pt>
                <c:pt idx="183">
                  <c:v>53.3</c:v>
                </c:pt>
                <c:pt idx="184">
                  <c:v>57.87</c:v>
                </c:pt>
                <c:pt idx="185">
                  <c:v>50.96</c:v>
                </c:pt>
                <c:pt idx="186">
                  <c:v>45.26</c:v>
                </c:pt>
                <c:pt idx="187">
                  <c:v>46.12</c:v>
                </c:pt>
                <c:pt idx="188">
                  <c:v>43.93</c:v>
                </c:pt>
                <c:pt idx="189">
                  <c:v>42.04</c:v>
                </c:pt>
                <c:pt idx="190">
                  <c:v>45.65</c:v>
                </c:pt>
                <c:pt idx="191">
                  <c:v>42.7</c:v>
                </c:pt>
                <c:pt idx="192">
                  <c:v>36.78</c:v>
                </c:pt>
                <c:pt idx="193">
                  <c:v>40.17</c:v>
                </c:pt>
                <c:pt idx="194">
                  <c:v>44.37</c:v>
                </c:pt>
                <c:pt idx="195">
                  <c:v>52.73</c:v>
                </c:pt>
                <c:pt idx="196">
                  <c:v>54.56</c:v>
                </c:pt>
                <c:pt idx="197">
                  <c:v>62.23</c:v>
                </c:pt>
                <c:pt idx="198">
                  <c:v>57.79</c:v>
                </c:pt>
                <c:pt idx="199">
                  <c:v>63.92</c:v>
                </c:pt>
                <c:pt idx="200">
                  <c:v>62.73</c:v>
                </c:pt>
                <c:pt idx="201">
                  <c:v>57.43</c:v>
                </c:pt>
                <c:pt idx="202">
                  <c:v>55.25</c:v>
                </c:pt>
                <c:pt idx="203">
                  <c:v>54.26</c:v>
                </c:pt>
                <c:pt idx="204">
                  <c:v>51.26</c:v>
                </c:pt>
                <c:pt idx="205">
                  <c:v>50.1</c:v>
                </c:pt>
                <c:pt idx="206">
                  <c:v>60.51</c:v>
                </c:pt>
                <c:pt idx="207">
                  <c:v>63.88</c:v>
                </c:pt>
                <c:pt idx="208">
                  <c:v>69.12</c:v>
                </c:pt>
                <c:pt idx="209">
                  <c:v>67.5</c:v>
                </c:pt>
                <c:pt idx="210">
                  <c:v>65.62</c:v>
                </c:pt>
                <c:pt idx="211">
                  <c:v>62.95</c:v>
                </c:pt>
                <c:pt idx="213">
                  <c:v>68.87</c:v>
                </c:pt>
                <c:pt idx="214">
                  <c:v>69.28</c:v>
                </c:pt>
                <c:pt idx="215">
                  <c:v>64.89</c:v>
                </c:pt>
                <c:pt idx="216">
                  <c:v>54.79</c:v>
                </c:pt>
                <c:pt idx="217">
                  <c:v>55.31</c:v>
                </c:pt>
                <c:pt idx="218">
                  <c:v>54.76</c:v>
                </c:pt>
                <c:pt idx="219">
                  <c:v>49.76</c:v>
                </c:pt>
                <c:pt idx="220">
                  <c:v>54.67</c:v>
                </c:pt>
                <c:pt idx="221">
                  <c:v>50.81</c:v>
                </c:pt>
                <c:pt idx="222">
                  <c:v>47.83</c:v>
                </c:pt>
                <c:pt idx="224">
                  <c:v>51.09</c:v>
                </c:pt>
                <c:pt idx="225">
                  <c:v>52.5</c:v>
                </c:pt>
                <c:pt idx="226">
                  <c:v>57.57</c:v>
                </c:pt>
                <c:pt idx="227">
                  <c:v>54.02</c:v>
                </c:pt>
                <c:pt idx="228">
                  <c:v>60.57</c:v>
                </c:pt>
                <c:pt idx="229">
                  <c:v>58.91</c:v>
                </c:pt>
                <c:pt idx="230">
                  <c:v>64.94</c:v>
                </c:pt>
                <c:pt idx="231">
                  <c:v>62.73</c:v>
                </c:pt>
                <c:pt idx="232">
                  <c:v>60.22</c:v>
                </c:pt>
                <c:pt idx="233">
                  <c:v>59.23</c:v>
                </c:pt>
                <c:pt idx="234">
                  <c:v>62.5</c:v>
                </c:pt>
                <c:pt idx="235">
                  <c:v>61.24</c:v>
                </c:pt>
                <c:pt idx="236">
                  <c:v>57.67</c:v>
                </c:pt>
                <c:pt idx="237">
                  <c:v>55.49</c:v>
                </c:pt>
                <c:pt idx="238">
                  <c:v>55.44</c:v>
                </c:pt>
                <c:pt idx="239">
                  <c:v>54.17</c:v>
                </c:pt>
                <c:pt idx="240">
                  <c:v>60.13</c:v>
                </c:pt>
                <c:pt idx="242">
                  <c:v>54.23</c:v>
                </c:pt>
                <c:pt idx="243">
                  <c:v>55.09</c:v>
                </c:pt>
                <c:pt idx="244">
                  <c:v>55.52</c:v>
                </c:pt>
                <c:pt idx="245">
                  <c:v>61.26</c:v>
                </c:pt>
                <c:pt idx="246">
                  <c:v>62.03</c:v>
                </c:pt>
                <c:pt idx="247">
                  <c:v>61.37</c:v>
                </c:pt>
                <c:pt idx="248">
                  <c:v>58.7</c:v>
                </c:pt>
                <c:pt idx="249">
                  <c:v>55.9</c:v>
                </c:pt>
                <c:pt idx="250">
                  <c:v>59.29</c:v>
                </c:pt>
                <c:pt idx="251">
                  <c:v>61.16</c:v>
                </c:pt>
                <c:pt idx="252">
                  <c:v>55.16</c:v>
                </c:pt>
                <c:pt idx="253">
                  <c:v>54.42</c:v>
                </c:pt>
                <c:pt idx="254">
                  <c:v>50.64</c:v>
                </c:pt>
                <c:pt idx="255">
                  <c:v>52.31</c:v>
                </c:pt>
                <c:pt idx="256">
                  <c:v>54.53</c:v>
                </c:pt>
                <c:pt idx="257">
                  <c:v>56.84</c:v>
                </c:pt>
                <c:pt idx="258">
                  <c:v>52.67</c:v>
                </c:pt>
                <c:pt idx="259">
                  <c:v>53.94</c:v>
                </c:pt>
                <c:pt idx="260">
                  <c:v>52.71</c:v>
                </c:pt>
                <c:pt idx="261">
                  <c:v>50.75</c:v>
                </c:pt>
                <c:pt idx="262">
                  <c:v>50.33</c:v>
                </c:pt>
                <c:pt idx="263">
                  <c:v>52.02</c:v>
                </c:pt>
                <c:pt idx="264">
                  <c:v>47.38</c:v>
                </c:pt>
                <c:pt idx="265">
                  <c:v>47.11</c:v>
                </c:pt>
                <c:pt idx="266">
                  <c:v>41.96</c:v>
                </c:pt>
                <c:pt idx="268">
                  <c:v>44.63</c:v>
                </c:pt>
                <c:pt idx="269">
                  <c:v>43.13</c:v>
                </c:pt>
                <c:pt idx="270">
                  <c:v>44.41</c:v>
                </c:pt>
                <c:pt idx="271">
                  <c:v>45.69</c:v>
                </c:pt>
                <c:pt idx="272">
                  <c:v>43.39</c:v>
                </c:pt>
                <c:pt idx="273">
                  <c:v>37.54</c:v>
                </c:pt>
                <c:pt idx="274">
                  <c:v>42.03</c:v>
                </c:pt>
                <c:pt idx="275">
                  <c:v>19.559999999999999</c:v>
                </c:pt>
                <c:pt idx="276">
                  <c:v>22.51</c:v>
                </c:pt>
                <c:pt idx="277">
                  <c:v>24.31</c:v>
                </c:pt>
                <c:pt idx="278">
                  <c:v>35.17</c:v>
                </c:pt>
                <c:pt idx="279">
                  <c:v>51.25</c:v>
                </c:pt>
                <c:pt idx="280">
                  <c:v>47.2</c:v>
                </c:pt>
                <c:pt idx="281">
                  <c:v>45.3</c:v>
                </c:pt>
                <c:pt idx="282">
                  <c:v>39.409999999999997</c:v>
                </c:pt>
                <c:pt idx="283">
                  <c:v>47.53</c:v>
                </c:pt>
                <c:pt idx="284">
                  <c:v>47.76</c:v>
                </c:pt>
                <c:pt idx="285">
                  <c:v>46.81</c:v>
                </c:pt>
                <c:pt idx="286">
                  <c:v>46.91</c:v>
                </c:pt>
                <c:pt idx="287">
                  <c:v>42.66</c:v>
                </c:pt>
                <c:pt idx="288">
                  <c:v>46.63</c:v>
                </c:pt>
                <c:pt idx="289">
                  <c:v>49.36</c:v>
                </c:pt>
                <c:pt idx="290">
                  <c:v>47.87</c:v>
                </c:pt>
                <c:pt idx="291">
                  <c:v>48.56</c:v>
                </c:pt>
                <c:pt idx="292">
                  <c:v>43.08</c:v>
                </c:pt>
                <c:pt idx="293">
                  <c:v>36.65</c:v>
                </c:pt>
                <c:pt idx="294">
                  <c:v>36.86</c:v>
                </c:pt>
                <c:pt idx="295">
                  <c:v>38.21</c:v>
                </c:pt>
                <c:pt idx="296">
                  <c:v>40.479999999999997</c:v>
                </c:pt>
                <c:pt idx="297">
                  <c:v>47.79</c:v>
                </c:pt>
                <c:pt idx="298">
                  <c:v>46.62</c:v>
                </c:pt>
                <c:pt idx="299">
                  <c:v>48.56</c:v>
                </c:pt>
                <c:pt idx="300">
                  <c:v>36.6</c:v>
                </c:pt>
                <c:pt idx="301">
                  <c:v>41.3</c:v>
                </c:pt>
                <c:pt idx="302">
                  <c:v>50.35</c:v>
                </c:pt>
                <c:pt idx="303">
                  <c:v>45.69</c:v>
                </c:pt>
                <c:pt idx="304">
                  <c:v>49.11</c:v>
                </c:pt>
                <c:pt idx="305">
                  <c:v>49.34</c:v>
                </c:pt>
                <c:pt idx="306">
                  <c:v>45.32</c:v>
                </c:pt>
                <c:pt idx="307">
                  <c:v>45.82</c:v>
                </c:pt>
                <c:pt idx="308">
                  <c:v>54.99</c:v>
                </c:pt>
                <c:pt idx="309">
                  <c:v>56.33</c:v>
                </c:pt>
                <c:pt idx="310">
                  <c:v>63.67</c:v>
                </c:pt>
                <c:pt idx="312">
                  <c:v>58.29</c:v>
                </c:pt>
                <c:pt idx="313">
                  <c:v>60.55</c:v>
                </c:pt>
                <c:pt idx="314">
                  <c:v>51.95</c:v>
                </c:pt>
                <c:pt idx="315">
                  <c:v>56.72</c:v>
                </c:pt>
                <c:pt idx="316">
                  <c:v>53.5</c:v>
                </c:pt>
                <c:pt idx="317">
                  <c:v>50.53</c:v>
                </c:pt>
                <c:pt idx="318">
                  <c:v>58.98</c:v>
                </c:pt>
                <c:pt idx="319">
                  <c:v>57.09</c:v>
                </c:pt>
                <c:pt idx="320">
                  <c:v>57.65</c:v>
                </c:pt>
                <c:pt idx="321">
                  <c:v>56.17</c:v>
                </c:pt>
                <c:pt idx="322">
                  <c:v>55.67</c:v>
                </c:pt>
                <c:pt idx="323">
                  <c:v>60.26</c:v>
                </c:pt>
                <c:pt idx="324">
                  <c:v>55.9</c:v>
                </c:pt>
                <c:pt idx="325">
                  <c:v>57</c:v>
                </c:pt>
                <c:pt idx="326">
                  <c:v>58.97</c:v>
                </c:pt>
                <c:pt idx="327">
                  <c:v>58.74</c:v>
                </c:pt>
                <c:pt idx="328">
                  <c:v>60.17</c:v>
                </c:pt>
                <c:pt idx="329">
                  <c:v>58.16</c:v>
                </c:pt>
                <c:pt idx="330">
                  <c:v>62.46</c:v>
                </c:pt>
                <c:pt idx="332">
                  <c:v>57.92</c:v>
                </c:pt>
                <c:pt idx="333">
                  <c:v>55.4</c:v>
                </c:pt>
                <c:pt idx="334">
                  <c:v>52.03</c:v>
                </c:pt>
                <c:pt idx="335">
                  <c:v>47.86</c:v>
                </c:pt>
                <c:pt idx="336">
                  <c:v>41.79</c:v>
                </c:pt>
                <c:pt idx="337">
                  <c:v>28.15</c:v>
                </c:pt>
                <c:pt idx="339">
                  <c:v>31.3</c:v>
                </c:pt>
                <c:pt idx="340">
                  <c:v>27.26</c:v>
                </c:pt>
                <c:pt idx="341">
                  <c:v>27.42</c:v>
                </c:pt>
                <c:pt idx="342">
                  <c:v>22.62</c:v>
                </c:pt>
                <c:pt idx="343">
                  <c:v>22.67</c:v>
                </c:pt>
                <c:pt idx="344">
                  <c:v>25.05</c:v>
                </c:pt>
                <c:pt idx="345">
                  <c:v>22.28</c:v>
                </c:pt>
                <c:pt idx="346">
                  <c:v>25.17</c:v>
                </c:pt>
                <c:pt idx="347">
                  <c:v>26.46</c:v>
                </c:pt>
                <c:pt idx="348">
                  <c:v>26.82</c:v>
                </c:pt>
                <c:pt idx="349">
                  <c:v>23.4</c:v>
                </c:pt>
                <c:pt idx="350">
                  <c:v>24.58</c:v>
                </c:pt>
                <c:pt idx="351">
                  <c:v>16.489999999999998</c:v>
                </c:pt>
                <c:pt idx="352">
                  <c:v>18.07</c:v>
                </c:pt>
                <c:pt idx="353">
                  <c:v>23.81</c:v>
                </c:pt>
                <c:pt idx="354">
                  <c:v>25.28</c:v>
                </c:pt>
                <c:pt idx="355">
                  <c:v>27.84</c:v>
                </c:pt>
                <c:pt idx="356">
                  <c:v>30.65</c:v>
                </c:pt>
                <c:pt idx="357">
                  <c:v>33.19</c:v>
                </c:pt>
                <c:pt idx="358">
                  <c:v>34.549999999999997</c:v>
                </c:pt>
                <c:pt idx="359">
                  <c:v>38.869999999999997</c:v>
                </c:pt>
                <c:pt idx="360">
                  <c:v>38.97</c:v>
                </c:pt>
                <c:pt idx="361">
                  <c:v>40.65</c:v>
                </c:pt>
                <c:pt idx="362">
                  <c:v>47.11</c:v>
                </c:pt>
                <c:pt idx="363">
                  <c:v>52.96</c:v>
                </c:pt>
                <c:pt idx="364">
                  <c:v>55.03</c:v>
                </c:pt>
                <c:pt idx="365">
                  <c:v>55.43</c:v>
                </c:pt>
                <c:pt idx="367">
                  <c:v>52.87</c:v>
                </c:pt>
                <c:pt idx="368">
                  <c:v>53.17</c:v>
                </c:pt>
                <c:pt idx="369">
                  <c:v>57.39</c:v>
                </c:pt>
                <c:pt idx="370">
                  <c:v>52.62</c:v>
                </c:pt>
                <c:pt idx="371">
                  <c:v>49.82</c:v>
                </c:pt>
                <c:pt idx="372">
                  <c:v>43.03</c:v>
                </c:pt>
                <c:pt idx="373">
                  <c:v>37.85</c:v>
                </c:pt>
                <c:pt idx="374">
                  <c:v>39.17</c:v>
                </c:pt>
                <c:pt idx="375">
                  <c:v>34.11</c:v>
                </c:pt>
                <c:pt idx="376">
                  <c:v>36.659999999999997</c:v>
                </c:pt>
                <c:pt idx="377">
                  <c:v>39.96</c:v>
                </c:pt>
                <c:pt idx="378">
                  <c:v>38.47</c:v>
                </c:pt>
                <c:pt idx="379">
                  <c:v>46.21</c:v>
                </c:pt>
                <c:pt idx="380">
                  <c:v>48.53</c:v>
                </c:pt>
                <c:pt idx="381">
                  <c:v>53.87</c:v>
                </c:pt>
                <c:pt idx="382">
                  <c:v>51.78</c:v>
                </c:pt>
                <c:pt idx="383">
                  <c:v>43.47</c:v>
                </c:pt>
                <c:pt idx="384">
                  <c:v>42.47</c:v>
                </c:pt>
                <c:pt idx="385">
                  <c:v>39.57</c:v>
                </c:pt>
                <c:pt idx="386">
                  <c:v>40.78</c:v>
                </c:pt>
                <c:pt idx="387">
                  <c:v>47.24</c:v>
                </c:pt>
                <c:pt idx="388">
                  <c:v>43.87</c:v>
                </c:pt>
                <c:pt idx="389">
                  <c:v>47.22</c:v>
                </c:pt>
                <c:pt idx="390">
                  <c:v>41.96</c:v>
                </c:pt>
                <c:pt idx="391">
                  <c:v>45.17</c:v>
                </c:pt>
                <c:pt idx="392">
                  <c:v>52.45</c:v>
                </c:pt>
                <c:pt idx="393">
                  <c:v>54.25</c:v>
                </c:pt>
                <c:pt idx="394">
                  <c:v>60.91</c:v>
                </c:pt>
                <c:pt idx="395">
                  <c:v>67.38</c:v>
                </c:pt>
                <c:pt idx="396">
                  <c:v>65.62</c:v>
                </c:pt>
                <c:pt idx="397">
                  <c:v>64.94</c:v>
                </c:pt>
                <c:pt idx="398">
                  <c:v>61.41</c:v>
                </c:pt>
                <c:pt idx="399">
                  <c:v>62.19</c:v>
                </c:pt>
                <c:pt idx="400">
                  <c:v>59.58</c:v>
                </c:pt>
                <c:pt idx="401">
                  <c:v>56.45</c:v>
                </c:pt>
                <c:pt idx="402">
                  <c:v>55.3</c:v>
                </c:pt>
                <c:pt idx="403">
                  <c:v>52.12</c:v>
                </c:pt>
                <c:pt idx="404">
                  <c:v>54.78</c:v>
                </c:pt>
                <c:pt idx="405">
                  <c:v>56.48</c:v>
                </c:pt>
                <c:pt idx="406">
                  <c:v>54.31</c:v>
                </c:pt>
                <c:pt idx="407">
                  <c:v>60.78</c:v>
                </c:pt>
                <c:pt idx="408">
                  <c:v>63.22</c:v>
                </c:pt>
                <c:pt idx="409">
                  <c:v>64.790000000000006</c:v>
                </c:pt>
                <c:pt idx="410">
                  <c:v>68.319999999999993</c:v>
                </c:pt>
                <c:pt idx="411">
                  <c:v>69.430000000000007</c:v>
                </c:pt>
                <c:pt idx="412">
                  <c:v>62.97</c:v>
                </c:pt>
                <c:pt idx="413">
                  <c:v>67.260000000000005</c:v>
                </c:pt>
                <c:pt idx="414">
                  <c:v>62.47</c:v>
                </c:pt>
                <c:pt idx="415">
                  <c:v>60.83</c:v>
                </c:pt>
                <c:pt idx="416">
                  <c:v>65.290000000000006</c:v>
                </c:pt>
                <c:pt idx="417">
                  <c:v>59.48</c:v>
                </c:pt>
                <c:pt idx="418">
                  <c:v>62.22</c:v>
                </c:pt>
                <c:pt idx="419">
                  <c:v>61.48</c:v>
                </c:pt>
                <c:pt idx="420">
                  <c:v>57.8</c:v>
                </c:pt>
                <c:pt idx="421">
                  <c:v>53.85</c:v>
                </c:pt>
                <c:pt idx="422">
                  <c:v>49.41</c:v>
                </c:pt>
                <c:pt idx="423">
                  <c:v>48.19</c:v>
                </c:pt>
                <c:pt idx="424">
                  <c:v>47.98</c:v>
                </c:pt>
                <c:pt idx="425">
                  <c:v>43.32</c:v>
                </c:pt>
                <c:pt idx="426">
                  <c:v>48.67</c:v>
                </c:pt>
                <c:pt idx="427">
                  <c:v>52.44</c:v>
                </c:pt>
                <c:pt idx="428">
                  <c:v>54.5</c:v>
                </c:pt>
                <c:pt idx="430">
                  <c:v>68.64</c:v>
                </c:pt>
                <c:pt idx="431">
                  <c:v>64.58</c:v>
                </c:pt>
                <c:pt idx="432">
                  <c:v>62.31</c:v>
                </c:pt>
                <c:pt idx="433">
                  <c:v>65.36</c:v>
                </c:pt>
                <c:pt idx="434">
                  <c:v>65.319999999999993</c:v>
                </c:pt>
                <c:pt idx="435">
                  <c:v>63.75</c:v>
                </c:pt>
                <c:pt idx="436">
                  <c:v>58.61</c:v>
                </c:pt>
                <c:pt idx="437">
                  <c:v>59.85</c:v>
                </c:pt>
                <c:pt idx="438">
                  <c:v>55.02</c:v>
                </c:pt>
                <c:pt idx="439">
                  <c:v>57.04</c:v>
                </c:pt>
                <c:pt idx="440">
                  <c:v>55.05</c:v>
                </c:pt>
                <c:pt idx="441">
                  <c:v>54.54</c:v>
                </c:pt>
                <c:pt idx="442">
                  <c:v>47.58</c:v>
                </c:pt>
                <c:pt idx="443">
                  <c:v>47.58</c:v>
                </c:pt>
                <c:pt idx="444">
                  <c:v>42.88</c:v>
                </c:pt>
                <c:pt idx="445">
                  <c:v>44.52</c:v>
                </c:pt>
                <c:pt idx="446">
                  <c:v>44.81</c:v>
                </c:pt>
                <c:pt idx="447">
                  <c:v>37.619999999999997</c:v>
                </c:pt>
                <c:pt idx="448">
                  <c:v>42.15</c:v>
                </c:pt>
                <c:pt idx="449">
                  <c:v>39.61</c:v>
                </c:pt>
                <c:pt idx="450">
                  <c:v>48.41</c:v>
                </c:pt>
                <c:pt idx="451">
                  <c:v>58.86</c:v>
                </c:pt>
                <c:pt idx="452">
                  <c:v>61.49</c:v>
                </c:pt>
                <c:pt idx="453">
                  <c:v>56.89</c:v>
                </c:pt>
                <c:pt idx="454">
                  <c:v>58.95</c:v>
                </c:pt>
                <c:pt idx="455">
                  <c:v>58.2</c:v>
                </c:pt>
                <c:pt idx="456">
                  <c:v>50.47</c:v>
                </c:pt>
                <c:pt idx="457">
                  <c:v>48.97</c:v>
                </c:pt>
                <c:pt idx="458">
                  <c:v>56.28</c:v>
                </c:pt>
                <c:pt idx="459">
                  <c:v>54.31</c:v>
                </c:pt>
                <c:pt idx="460">
                  <c:v>52.67</c:v>
                </c:pt>
                <c:pt idx="461">
                  <c:v>57.89</c:v>
                </c:pt>
                <c:pt idx="462">
                  <c:v>64.569999999999993</c:v>
                </c:pt>
                <c:pt idx="463">
                  <c:v>66.05</c:v>
                </c:pt>
                <c:pt idx="464">
                  <c:v>57.79</c:v>
                </c:pt>
                <c:pt idx="465">
                  <c:v>59.56</c:v>
                </c:pt>
                <c:pt idx="466">
                  <c:v>54.75</c:v>
                </c:pt>
                <c:pt idx="467">
                  <c:v>46.42</c:v>
                </c:pt>
                <c:pt idx="468">
                  <c:v>35.82</c:v>
                </c:pt>
                <c:pt idx="469">
                  <c:v>41.72</c:v>
                </c:pt>
                <c:pt idx="470">
                  <c:v>39.03</c:v>
                </c:pt>
                <c:pt idx="472">
                  <c:v>37.590000000000003</c:v>
                </c:pt>
                <c:pt idx="473">
                  <c:v>30.5</c:v>
                </c:pt>
                <c:pt idx="474">
                  <c:v>28.65</c:v>
                </c:pt>
                <c:pt idx="475">
                  <c:v>36.28</c:v>
                </c:pt>
                <c:pt idx="476">
                  <c:v>36.479999999999997</c:v>
                </c:pt>
                <c:pt idx="477">
                  <c:v>38.090000000000003</c:v>
                </c:pt>
                <c:pt idx="478">
                  <c:v>38.47</c:v>
                </c:pt>
                <c:pt idx="479">
                  <c:v>46.68</c:v>
                </c:pt>
                <c:pt idx="480">
                  <c:v>45.25</c:v>
                </c:pt>
                <c:pt idx="481">
                  <c:v>45.16</c:v>
                </c:pt>
                <c:pt idx="483">
                  <c:v>44.39</c:v>
                </c:pt>
                <c:pt idx="484">
                  <c:v>45.04</c:v>
                </c:pt>
                <c:pt idx="485">
                  <c:v>39.590000000000003</c:v>
                </c:pt>
                <c:pt idx="486">
                  <c:v>44.78</c:v>
                </c:pt>
                <c:pt idx="487">
                  <c:v>44.98</c:v>
                </c:pt>
                <c:pt idx="488">
                  <c:v>43.67</c:v>
                </c:pt>
                <c:pt idx="489">
                  <c:v>43.84</c:v>
                </c:pt>
                <c:pt idx="490">
                  <c:v>44.32</c:v>
                </c:pt>
                <c:pt idx="491">
                  <c:v>49.44</c:v>
                </c:pt>
                <c:pt idx="492">
                  <c:v>48.84</c:v>
                </c:pt>
                <c:pt idx="493">
                  <c:v>45.07</c:v>
                </c:pt>
                <c:pt idx="494">
                  <c:v>50.72</c:v>
                </c:pt>
                <c:pt idx="495">
                  <c:v>54.09</c:v>
                </c:pt>
                <c:pt idx="496">
                  <c:v>47.56</c:v>
                </c:pt>
                <c:pt idx="497">
                  <c:v>42.47</c:v>
                </c:pt>
                <c:pt idx="498">
                  <c:v>50.59</c:v>
                </c:pt>
                <c:pt idx="500">
                  <c:v>53.13</c:v>
                </c:pt>
                <c:pt idx="501">
                  <c:v>47.62</c:v>
                </c:pt>
                <c:pt idx="502">
                  <c:v>53.62</c:v>
                </c:pt>
                <c:pt idx="503">
                  <c:v>61.63</c:v>
                </c:pt>
                <c:pt idx="504">
                  <c:v>61.63</c:v>
                </c:pt>
                <c:pt idx="505">
                  <c:v>60.91</c:v>
                </c:pt>
                <c:pt idx="506">
                  <c:v>56.29</c:v>
                </c:pt>
                <c:pt idx="507">
                  <c:v>62.05</c:v>
                </c:pt>
                <c:pt idx="508">
                  <c:v>61.15</c:v>
                </c:pt>
                <c:pt idx="509">
                  <c:v>60.67</c:v>
                </c:pt>
                <c:pt idx="510">
                  <c:v>61.14</c:v>
                </c:pt>
                <c:pt idx="511">
                  <c:v>60.62</c:v>
                </c:pt>
                <c:pt idx="512">
                  <c:v>55.53</c:v>
                </c:pt>
                <c:pt idx="513">
                  <c:v>58.45</c:v>
                </c:pt>
                <c:pt idx="514">
                  <c:v>52.55</c:v>
                </c:pt>
                <c:pt idx="515">
                  <c:v>49.17</c:v>
                </c:pt>
                <c:pt idx="516">
                  <c:v>42.88</c:v>
                </c:pt>
                <c:pt idx="517">
                  <c:v>45.55</c:v>
                </c:pt>
                <c:pt idx="518">
                  <c:v>42.2</c:v>
                </c:pt>
                <c:pt idx="519">
                  <c:v>53</c:v>
                </c:pt>
                <c:pt idx="520">
                  <c:v>47.27</c:v>
                </c:pt>
                <c:pt idx="521">
                  <c:v>42.5</c:v>
                </c:pt>
                <c:pt idx="522">
                  <c:v>36.369999999999997</c:v>
                </c:pt>
                <c:pt idx="523">
                  <c:v>35.76</c:v>
                </c:pt>
                <c:pt idx="524">
                  <c:v>40.33</c:v>
                </c:pt>
                <c:pt idx="525">
                  <c:v>39.49</c:v>
                </c:pt>
                <c:pt idx="526">
                  <c:v>39.9</c:v>
                </c:pt>
                <c:pt idx="527">
                  <c:v>39.65</c:v>
                </c:pt>
                <c:pt idx="528">
                  <c:v>38.08</c:v>
                </c:pt>
                <c:pt idx="529">
                  <c:v>41.55</c:v>
                </c:pt>
                <c:pt idx="530">
                  <c:v>43.87</c:v>
                </c:pt>
                <c:pt idx="531">
                  <c:v>54.48</c:v>
                </c:pt>
                <c:pt idx="532">
                  <c:v>55.01</c:v>
                </c:pt>
                <c:pt idx="533">
                  <c:v>67.8</c:v>
                </c:pt>
                <c:pt idx="534">
                  <c:v>66.709999999999994</c:v>
                </c:pt>
                <c:pt idx="535">
                  <c:v>66.37</c:v>
                </c:pt>
                <c:pt idx="536">
                  <c:v>62.16</c:v>
                </c:pt>
                <c:pt idx="537">
                  <c:v>71.58</c:v>
                </c:pt>
                <c:pt idx="538">
                  <c:v>69.03</c:v>
                </c:pt>
                <c:pt idx="539">
                  <c:v>72.78</c:v>
                </c:pt>
                <c:pt idx="541">
                  <c:v>75.239999999999995</c:v>
                </c:pt>
                <c:pt idx="542">
                  <c:v>74.319999999999993</c:v>
                </c:pt>
                <c:pt idx="543">
                  <c:v>68.7</c:v>
                </c:pt>
                <c:pt idx="544">
                  <c:v>69.459999999999994</c:v>
                </c:pt>
                <c:pt idx="545">
                  <c:v>69.319999999999993</c:v>
                </c:pt>
                <c:pt idx="546">
                  <c:v>75.14</c:v>
                </c:pt>
                <c:pt idx="547">
                  <c:v>73.78</c:v>
                </c:pt>
                <c:pt idx="548">
                  <c:v>70.14</c:v>
                </c:pt>
                <c:pt idx="549">
                  <c:v>70.099999999999994</c:v>
                </c:pt>
                <c:pt idx="550">
                  <c:v>71.599999999999994</c:v>
                </c:pt>
                <c:pt idx="551">
                  <c:v>71.459999999999994</c:v>
                </c:pt>
                <c:pt idx="552">
                  <c:v>75.7</c:v>
                </c:pt>
                <c:pt idx="553">
                  <c:v>72.94</c:v>
                </c:pt>
                <c:pt idx="554">
                  <c:v>73.02</c:v>
                </c:pt>
                <c:pt idx="555">
                  <c:v>69.64</c:v>
                </c:pt>
                <c:pt idx="556">
                  <c:v>74.08</c:v>
                </c:pt>
                <c:pt idx="557">
                  <c:v>70.41</c:v>
                </c:pt>
                <c:pt idx="558">
                  <c:v>67.900000000000006</c:v>
                </c:pt>
                <c:pt idx="559">
                  <c:v>72</c:v>
                </c:pt>
                <c:pt idx="560">
                  <c:v>69.680000000000007</c:v>
                </c:pt>
                <c:pt idx="561">
                  <c:v>68.150000000000006</c:v>
                </c:pt>
                <c:pt idx="562">
                  <c:v>65.48</c:v>
                </c:pt>
                <c:pt idx="563">
                  <c:v>64.34</c:v>
                </c:pt>
                <c:pt idx="564">
                  <c:v>63</c:v>
                </c:pt>
                <c:pt idx="565">
                  <c:v>66.790000000000006</c:v>
                </c:pt>
                <c:pt idx="566">
                  <c:v>64.87</c:v>
                </c:pt>
                <c:pt idx="567">
                  <c:v>61.36</c:v>
                </c:pt>
                <c:pt idx="568">
                  <c:v>59.3</c:v>
                </c:pt>
                <c:pt idx="570">
                  <c:v>60.45</c:v>
                </c:pt>
                <c:pt idx="571">
                  <c:v>58.59</c:v>
                </c:pt>
                <c:pt idx="572">
                  <c:v>51.15</c:v>
                </c:pt>
                <c:pt idx="573">
                  <c:v>48.24</c:v>
                </c:pt>
                <c:pt idx="574">
                  <c:v>55.03</c:v>
                </c:pt>
                <c:pt idx="575">
                  <c:v>51.48</c:v>
                </c:pt>
                <c:pt idx="576">
                  <c:v>50.49</c:v>
                </c:pt>
                <c:pt idx="577">
                  <c:v>51.08</c:v>
                </c:pt>
                <c:pt idx="578">
                  <c:v>47.67</c:v>
                </c:pt>
                <c:pt idx="579">
                  <c:v>39.14</c:v>
                </c:pt>
                <c:pt idx="580">
                  <c:v>50.4</c:v>
                </c:pt>
                <c:pt idx="581">
                  <c:v>53.74</c:v>
                </c:pt>
                <c:pt idx="582">
                  <c:v>44.14</c:v>
                </c:pt>
                <c:pt idx="583">
                  <c:v>52.13</c:v>
                </c:pt>
                <c:pt idx="584">
                  <c:v>49.15</c:v>
                </c:pt>
                <c:pt idx="585">
                  <c:v>45.77</c:v>
                </c:pt>
                <c:pt idx="586">
                  <c:v>45.53</c:v>
                </c:pt>
                <c:pt idx="587">
                  <c:v>38.049999999999997</c:v>
                </c:pt>
                <c:pt idx="588">
                  <c:v>45.62</c:v>
                </c:pt>
                <c:pt idx="589">
                  <c:v>43.09</c:v>
                </c:pt>
                <c:pt idx="590">
                  <c:v>40.81</c:v>
                </c:pt>
                <c:pt idx="591">
                  <c:v>40.06</c:v>
                </c:pt>
                <c:pt idx="592">
                  <c:v>37.700000000000003</c:v>
                </c:pt>
                <c:pt idx="593">
                  <c:v>41.18</c:v>
                </c:pt>
                <c:pt idx="595">
                  <c:v>47.71</c:v>
                </c:pt>
                <c:pt idx="596">
                  <c:v>47.06</c:v>
                </c:pt>
                <c:pt idx="597">
                  <c:v>48.82</c:v>
                </c:pt>
                <c:pt idx="598">
                  <c:v>49.58</c:v>
                </c:pt>
                <c:pt idx="599">
                  <c:v>56.8</c:v>
                </c:pt>
                <c:pt idx="600">
                  <c:v>54.52</c:v>
                </c:pt>
                <c:pt idx="601">
                  <c:v>53.63</c:v>
                </c:pt>
                <c:pt idx="602">
                  <c:v>55.57</c:v>
                </c:pt>
                <c:pt idx="603">
                  <c:v>62.73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04-44F0-A3D2-5A27E5D7F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제약  </a:t>
            </a:r>
            <a:r>
              <a:rPr lang="en-US"/>
              <a:t>vs  </a:t>
            </a:r>
            <a:r>
              <a:rPr lang="ko-KR" altLang="en-US"/>
              <a:t>헬스케어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RSI'!$F$7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RSI'!$F$78:$F$3077</c:f>
              <c:numCache>
                <c:formatCode>0.00</c:formatCode>
                <c:ptCount val="3000"/>
                <c:pt idx="1">
                  <c:v>37.94</c:v>
                </c:pt>
                <c:pt idx="2">
                  <c:v>42.22</c:v>
                </c:pt>
                <c:pt idx="3">
                  <c:v>44.77</c:v>
                </c:pt>
                <c:pt idx="4">
                  <c:v>44.32</c:v>
                </c:pt>
                <c:pt idx="5">
                  <c:v>47.38</c:v>
                </c:pt>
                <c:pt idx="6">
                  <c:v>44.35</c:v>
                </c:pt>
                <c:pt idx="7">
                  <c:v>46.67</c:v>
                </c:pt>
                <c:pt idx="8">
                  <c:v>48.77</c:v>
                </c:pt>
                <c:pt idx="9">
                  <c:v>52</c:v>
                </c:pt>
                <c:pt idx="10">
                  <c:v>52.93</c:v>
                </c:pt>
                <c:pt idx="11">
                  <c:v>53.86</c:v>
                </c:pt>
                <c:pt idx="12">
                  <c:v>50.38</c:v>
                </c:pt>
                <c:pt idx="13">
                  <c:v>43.84</c:v>
                </c:pt>
                <c:pt idx="14">
                  <c:v>43.11</c:v>
                </c:pt>
                <c:pt idx="15">
                  <c:v>45.38</c:v>
                </c:pt>
                <c:pt idx="16">
                  <c:v>46.02</c:v>
                </c:pt>
                <c:pt idx="17">
                  <c:v>47.11</c:v>
                </c:pt>
                <c:pt idx="18">
                  <c:v>43.45</c:v>
                </c:pt>
                <c:pt idx="19">
                  <c:v>42.57</c:v>
                </c:pt>
                <c:pt idx="20">
                  <c:v>42.91</c:v>
                </c:pt>
                <c:pt idx="21">
                  <c:v>44.69</c:v>
                </c:pt>
                <c:pt idx="22">
                  <c:v>48.09</c:v>
                </c:pt>
                <c:pt idx="23">
                  <c:v>40.53</c:v>
                </c:pt>
                <c:pt idx="24">
                  <c:v>43.56</c:v>
                </c:pt>
                <c:pt idx="25">
                  <c:v>49.06</c:v>
                </c:pt>
                <c:pt idx="26">
                  <c:v>46.96</c:v>
                </c:pt>
                <c:pt idx="27">
                  <c:v>46.51</c:v>
                </c:pt>
                <c:pt idx="28">
                  <c:v>41.99</c:v>
                </c:pt>
                <c:pt idx="29">
                  <c:v>36.65</c:v>
                </c:pt>
                <c:pt idx="30">
                  <c:v>44.05</c:v>
                </c:pt>
                <c:pt idx="31">
                  <c:v>41.85</c:v>
                </c:pt>
                <c:pt idx="32">
                  <c:v>45.95</c:v>
                </c:pt>
                <c:pt idx="33">
                  <c:v>42.5</c:v>
                </c:pt>
                <c:pt idx="34">
                  <c:v>38.75</c:v>
                </c:pt>
                <c:pt idx="35">
                  <c:v>41.17</c:v>
                </c:pt>
                <c:pt idx="36">
                  <c:v>42.33</c:v>
                </c:pt>
                <c:pt idx="37">
                  <c:v>44.11</c:v>
                </c:pt>
                <c:pt idx="38">
                  <c:v>39.729999999999997</c:v>
                </c:pt>
                <c:pt idx="39">
                  <c:v>37.18</c:v>
                </c:pt>
                <c:pt idx="40">
                  <c:v>42.22</c:v>
                </c:pt>
                <c:pt idx="41">
                  <c:v>41.98</c:v>
                </c:pt>
                <c:pt idx="42">
                  <c:v>26.71</c:v>
                </c:pt>
                <c:pt idx="43">
                  <c:v>43.81</c:v>
                </c:pt>
                <c:pt idx="45">
                  <c:v>61.12</c:v>
                </c:pt>
                <c:pt idx="46">
                  <c:v>62.42</c:v>
                </c:pt>
                <c:pt idx="47">
                  <c:v>61.63</c:v>
                </c:pt>
                <c:pt idx="48">
                  <c:v>65.08</c:v>
                </c:pt>
                <c:pt idx="49">
                  <c:v>62.85</c:v>
                </c:pt>
                <c:pt idx="50">
                  <c:v>62.22</c:v>
                </c:pt>
                <c:pt idx="51">
                  <c:v>62.57</c:v>
                </c:pt>
                <c:pt idx="54">
                  <c:v>58.34</c:v>
                </c:pt>
                <c:pt idx="55">
                  <c:v>60.21</c:v>
                </c:pt>
                <c:pt idx="56">
                  <c:v>59.83</c:v>
                </c:pt>
                <c:pt idx="57">
                  <c:v>55.6</c:v>
                </c:pt>
                <c:pt idx="58">
                  <c:v>53.96</c:v>
                </c:pt>
                <c:pt idx="59">
                  <c:v>47.48</c:v>
                </c:pt>
                <c:pt idx="60">
                  <c:v>49.79</c:v>
                </c:pt>
                <c:pt idx="61">
                  <c:v>53.5</c:v>
                </c:pt>
                <c:pt idx="62">
                  <c:v>49.46</c:v>
                </c:pt>
                <c:pt idx="63">
                  <c:v>41.64</c:v>
                </c:pt>
                <c:pt idx="64">
                  <c:v>48.49</c:v>
                </c:pt>
                <c:pt idx="65">
                  <c:v>54.62</c:v>
                </c:pt>
                <c:pt idx="66">
                  <c:v>57.94</c:v>
                </c:pt>
                <c:pt idx="67">
                  <c:v>54.02</c:v>
                </c:pt>
                <c:pt idx="68">
                  <c:v>56.94</c:v>
                </c:pt>
                <c:pt idx="69">
                  <c:v>54.49</c:v>
                </c:pt>
                <c:pt idx="70">
                  <c:v>48.25</c:v>
                </c:pt>
                <c:pt idx="71">
                  <c:v>53.28</c:v>
                </c:pt>
                <c:pt idx="72">
                  <c:v>64.14</c:v>
                </c:pt>
                <c:pt idx="73">
                  <c:v>63.03</c:v>
                </c:pt>
                <c:pt idx="74">
                  <c:v>68.47</c:v>
                </c:pt>
                <c:pt idx="75">
                  <c:v>71.23</c:v>
                </c:pt>
                <c:pt idx="76">
                  <c:v>69</c:v>
                </c:pt>
                <c:pt idx="77">
                  <c:v>73.48</c:v>
                </c:pt>
                <c:pt idx="78">
                  <c:v>70.17</c:v>
                </c:pt>
                <c:pt idx="79">
                  <c:v>75.180000000000007</c:v>
                </c:pt>
                <c:pt idx="80">
                  <c:v>74.569999999999993</c:v>
                </c:pt>
                <c:pt idx="81">
                  <c:v>67.39</c:v>
                </c:pt>
                <c:pt idx="82">
                  <c:v>64.900000000000006</c:v>
                </c:pt>
                <c:pt idx="83">
                  <c:v>62.72</c:v>
                </c:pt>
                <c:pt idx="84">
                  <c:v>55.63</c:v>
                </c:pt>
                <c:pt idx="86">
                  <c:v>44.85</c:v>
                </c:pt>
                <c:pt idx="87">
                  <c:v>46.74</c:v>
                </c:pt>
                <c:pt idx="88">
                  <c:v>44.36</c:v>
                </c:pt>
                <c:pt idx="89">
                  <c:v>46.12</c:v>
                </c:pt>
                <c:pt idx="90">
                  <c:v>50.37</c:v>
                </c:pt>
                <c:pt idx="91">
                  <c:v>52.47</c:v>
                </c:pt>
                <c:pt idx="92">
                  <c:v>53.97</c:v>
                </c:pt>
                <c:pt idx="93">
                  <c:v>52.05</c:v>
                </c:pt>
                <c:pt idx="94">
                  <c:v>56.06</c:v>
                </c:pt>
                <c:pt idx="95">
                  <c:v>62.92</c:v>
                </c:pt>
                <c:pt idx="96">
                  <c:v>63.51</c:v>
                </c:pt>
                <c:pt idx="97">
                  <c:v>55.55</c:v>
                </c:pt>
                <c:pt idx="98">
                  <c:v>53.9</c:v>
                </c:pt>
                <c:pt idx="99">
                  <c:v>50.32</c:v>
                </c:pt>
                <c:pt idx="100">
                  <c:v>50.52</c:v>
                </c:pt>
                <c:pt idx="101">
                  <c:v>45.83</c:v>
                </c:pt>
                <c:pt idx="102">
                  <c:v>46.15</c:v>
                </c:pt>
                <c:pt idx="103">
                  <c:v>50.64</c:v>
                </c:pt>
                <c:pt idx="104">
                  <c:v>48.55</c:v>
                </c:pt>
                <c:pt idx="105">
                  <c:v>48.5</c:v>
                </c:pt>
                <c:pt idx="106">
                  <c:v>49.82</c:v>
                </c:pt>
                <c:pt idx="107">
                  <c:v>45.19</c:v>
                </c:pt>
                <c:pt idx="108">
                  <c:v>46.63</c:v>
                </c:pt>
                <c:pt idx="109">
                  <c:v>48.17</c:v>
                </c:pt>
                <c:pt idx="110">
                  <c:v>40</c:v>
                </c:pt>
                <c:pt idx="111">
                  <c:v>56.48</c:v>
                </c:pt>
                <c:pt idx="112">
                  <c:v>61.16</c:v>
                </c:pt>
                <c:pt idx="113">
                  <c:v>63.13</c:v>
                </c:pt>
                <c:pt idx="114">
                  <c:v>60.77</c:v>
                </c:pt>
                <c:pt idx="115">
                  <c:v>62.34</c:v>
                </c:pt>
                <c:pt idx="116">
                  <c:v>69.83</c:v>
                </c:pt>
                <c:pt idx="117">
                  <c:v>74.569999999999993</c:v>
                </c:pt>
                <c:pt idx="118">
                  <c:v>74.09</c:v>
                </c:pt>
                <c:pt idx="119">
                  <c:v>70.02</c:v>
                </c:pt>
                <c:pt idx="120">
                  <c:v>62.95</c:v>
                </c:pt>
                <c:pt idx="121">
                  <c:v>64.819999999999993</c:v>
                </c:pt>
                <c:pt idx="122">
                  <c:v>64.02</c:v>
                </c:pt>
                <c:pt idx="123">
                  <c:v>67.58</c:v>
                </c:pt>
                <c:pt idx="124">
                  <c:v>68.12</c:v>
                </c:pt>
                <c:pt idx="125">
                  <c:v>69.650000000000006</c:v>
                </c:pt>
                <c:pt idx="126">
                  <c:v>67</c:v>
                </c:pt>
                <c:pt idx="127">
                  <c:v>67.650000000000006</c:v>
                </c:pt>
                <c:pt idx="128">
                  <c:v>66.040000000000006</c:v>
                </c:pt>
                <c:pt idx="129">
                  <c:v>68.849999999999994</c:v>
                </c:pt>
                <c:pt idx="130">
                  <c:v>74.540000000000006</c:v>
                </c:pt>
                <c:pt idx="131">
                  <c:v>72.67</c:v>
                </c:pt>
                <c:pt idx="132">
                  <c:v>64.819999999999993</c:v>
                </c:pt>
                <c:pt idx="133">
                  <c:v>63.17</c:v>
                </c:pt>
                <c:pt idx="134">
                  <c:v>71.239999999999995</c:v>
                </c:pt>
                <c:pt idx="135">
                  <c:v>67.95</c:v>
                </c:pt>
                <c:pt idx="136">
                  <c:v>66.510000000000005</c:v>
                </c:pt>
                <c:pt idx="137">
                  <c:v>62.66</c:v>
                </c:pt>
                <c:pt idx="138">
                  <c:v>67.89</c:v>
                </c:pt>
                <c:pt idx="139">
                  <c:v>65.709999999999994</c:v>
                </c:pt>
                <c:pt idx="140">
                  <c:v>46.85</c:v>
                </c:pt>
                <c:pt idx="141">
                  <c:v>45.73</c:v>
                </c:pt>
                <c:pt idx="142">
                  <c:v>48.11</c:v>
                </c:pt>
                <c:pt idx="148">
                  <c:v>49.09</c:v>
                </c:pt>
                <c:pt idx="149">
                  <c:v>48.25</c:v>
                </c:pt>
                <c:pt idx="150">
                  <c:v>45.22</c:v>
                </c:pt>
                <c:pt idx="151">
                  <c:v>50.04</c:v>
                </c:pt>
                <c:pt idx="152">
                  <c:v>47.22</c:v>
                </c:pt>
                <c:pt idx="153">
                  <c:v>53.99</c:v>
                </c:pt>
                <c:pt idx="154">
                  <c:v>61.65</c:v>
                </c:pt>
                <c:pt idx="155">
                  <c:v>68.599999999999994</c:v>
                </c:pt>
                <c:pt idx="156">
                  <c:v>55.91</c:v>
                </c:pt>
                <c:pt idx="157">
                  <c:v>54.83</c:v>
                </c:pt>
                <c:pt idx="158">
                  <c:v>51.29</c:v>
                </c:pt>
                <c:pt idx="159">
                  <c:v>47.17</c:v>
                </c:pt>
                <c:pt idx="160">
                  <c:v>54.31</c:v>
                </c:pt>
                <c:pt idx="161">
                  <c:v>56.67</c:v>
                </c:pt>
                <c:pt idx="162">
                  <c:v>57.34</c:v>
                </c:pt>
                <c:pt idx="163">
                  <c:v>55.59</c:v>
                </c:pt>
                <c:pt idx="164">
                  <c:v>53.52</c:v>
                </c:pt>
                <c:pt idx="165">
                  <c:v>54.99</c:v>
                </c:pt>
                <c:pt idx="166">
                  <c:v>54.2</c:v>
                </c:pt>
                <c:pt idx="167">
                  <c:v>51.93</c:v>
                </c:pt>
                <c:pt idx="168">
                  <c:v>49.35</c:v>
                </c:pt>
                <c:pt idx="169">
                  <c:v>48.36</c:v>
                </c:pt>
                <c:pt idx="170">
                  <c:v>41.62</c:v>
                </c:pt>
                <c:pt idx="171">
                  <c:v>38.96</c:v>
                </c:pt>
                <c:pt idx="172">
                  <c:v>39.64</c:v>
                </c:pt>
                <c:pt idx="173">
                  <c:v>45.29</c:v>
                </c:pt>
                <c:pt idx="174">
                  <c:v>45.67</c:v>
                </c:pt>
                <c:pt idx="175">
                  <c:v>46.71</c:v>
                </c:pt>
                <c:pt idx="176">
                  <c:v>49.41</c:v>
                </c:pt>
                <c:pt idx="177">
                  <c:v>47.99</c:v>
                </c:pt>
                <c:pt idx="178">
                  <c:v>42.89</c:v>
                </c:pt>
                <c:pt idx="179">
                  <c:v>43.62</c:v>
                </c:pt>
                <c:pt idx="180">
                  <c:v>45.33</c:v>
                </c:pt>
                <c:pt idx="181">
                  <c:v>46.35</c:v>
                </c:pt>
                <c:pt idx="183">
                  <c:v>48.23</c:v>
                </c:pt>
                <c:pt idx="184">
                  <c:v>49.46</c:v>
                </c:pt>
                <c:pt idx="185">
                  <c:v>42.96</c:v>
                </c:pt>
                <c:pt idx="186">
                  <c:v>45.35</c:v>
                </c:pt>
                <c:pt idx="187">
                  <c:v>44.5</c:v>
                </c:pt>
                <c:pt idx="188">
                  <c:v>44.76</c:v>
                </c:pt>
                <c:pt idx="189">
                  <c:v>47.92</c:v>
                </c:pt>
                <c:pt idx="190">
                  <c:v>50.4</c:v>
                </c:pt>
                <c:pt idx="191">
                  <c:v>47.02</c:v>
                </c:pt>
                <c:pt idx="192">
                  <c:v>43.14</c:v>
                </c:pt>
                <c:pt idx="193">
                  <c:v>53.91</c:v>
                </c:pt>
                <c:pt idx="194">
                  <c:v>61.15</c:v>
                </c:pt>
                <c:pt idx="195">
                  <c:v>59.88</c:v>
                </c:pt>
                <c:pt idx="196">
                  <c:v>56.09</c:v>
                </c:pt>
                <c:pt idx="197">
                  <c:v>58.18</c:v>
                </c:pt>
                <c:pt idx="198">
                  <c:v>64.88</c:v>
                </c:pt>
                <c:pt idx="199">
                  <c:v>62.11</c:v>
                </c:pt>
                <c:pt idx="200">
                  <c:v>59.81</c:v>
                </c:pt>
                <c:pt idx="201">
                  <c:v>59.87</c:v>
                </c:pt>
                <c:pt idx="202">
                  <c:v>63.76</c:v>
                </c:pt>
                <c:pt idx="203">
                  <c:v>68.53</c:v>
                </c:pt>
                <c:pt idx="204">
                  <c:v>58.18</c:v>
                </c:pt>
                <c:pt idx="205">
                  <c:v>60.13</c:v>
                </c:pt>
                <c:pt idx="206">
                  <c:v>60.36</c:v>
                </c:pt>
                <c:pt idx="207">
                  <c:v>64.48</c:v>
                </c:pt>
                <c:pt idx="208">
                  <c:v>70.03</c:v>
                </c:pt>
                <c:pt idx="209">
                  <c:v>60.37</c:v>
                </c:pt>
                <c:pt idx="210">
                  <c:v>57.58</c:v>
                </c:pt>
                <c:pt idx="211">
                  <c:v>64.45</c:v>
                </c:pt>
                <c:pt idx="212">
                  <c:v>65.31</c:v>
                </c:pt>
                <c:pt idx="213">
                  <c:v>65.2</c:v>
                </c:pt>
                <c:pt idx="214">
                  <c:v>56.71</c:v>
                </c:pt>
                <c:pt idx="215">
                  <c:v>49.52</c:v>
                </c:pt>
                <c:pt idx="216">
                  <c:v>45.14</c:v>
                </c:pt>
                <c:pt idx="217">
                  <c:v>45.79</c:v>
                </c:pt>
                <c:pt idx="218">
                  <c:v>46.95</c:v>
                </c:pt>
                <c:pt idx="219">
                  <c:v>48.63</c:v>
                </c:pt>
                <c:pt idx="220">
                  <c:v>49.53</c:v>
                </c:pt>
                <c:pt idx="221">
                  <c:v>45.14</c:v>
                </c:pt>
                <c:pt idx="222">
                  <c:v>53.39</c:v>
                </c:pt>
                <c:pt idx="223">
                  <c:v>46.14</c:v>
                </c:pt>
                <c:pt idx="224">
                  <c:v>49.12</c:v>
                </c:pt>
                <c:pt idx="225">
                  <c:v>49.76</c:v>
                </c:pt>
                <c:pt idx="226">
                  <c:v>50.7</c:v>
                </c:pt>
                <c:pt idx="227">
                  <c:v>51.46</c:v>
                </c:pt>
                <c:pt idx="228">
                  <c:v>58.62</c:v>
                </c:pt>
                <c:pt idx="229">
                  <c:v>60.29</c:v>
                </c:pt>
                <c:pt idx="230">
                  <c:v>59.63</c:v>
                </c:pt>
                <c:pt idx="231">
                  <c:v>56.91</c:v>
                </c:pt>
                <c:pt idx="233">
                  <c:v>52.06</c:v>
                </c:pt>
                <c:pt idx="234">
                  <c:v>53.34</c:v>
                </c:pt>
                <c:pt idx="236">
                  <c:v>53.46</c:v>
                </c:pt>
                <c:pt idx="237">
                  <c:v>53.5</c:v>
                </c:pt>
                <c:pt idx="238">
                  <c:v>51</c:v>
                </c:pt>
                <c:pt idx="239">
                  <c:v>48.51</c:v>
                </c:pt>
                <c:pt idx="240">
                  <c:v>48.6</c:v>
                </c:pt>
                <c:pt idx="241">
                  <c:v>49.54</c:v>
                </c:pt>
                <c:pt idx="242">
                  <c:v>45.22</c:v>
                </c:pt>
                <c:pt idx="243">
                  <c:v>54.18</c:v>
                </c:pt>
                <c:pt idx="244">
                  <c:v>58.53</c:v>
                </c:pt>
                <c:pt idx="245">
                  <c:v>45.78</c:v>
                </c:pt>
                <c:pt idx="246">
                  <c:v>45.69</c:v>
                </c:pt>
                <c:pt idx="247">
                  <c:v>41.46</c:v>
                </c:pt>
                <c:pt idx="248">
                  <c:v>41.03</c:v>
                </c:pt>
                <c:pt idx="249">
                  <c:v>42.07</c:v>
                </c:pt>
                <c:pt idx="250">
                  <c:v>40.56</c:v>
                </c:pt>
                <c:pt idx="251">
                  <c:v>36.75</c:v>
                </c:pt>
                <c:pt idx="252">
                  <c:v>44.97</c:v>
                </c:pt>
                <c:pt idx="253">
                  <c:v>45.25</c:v>
                </c:pt>
                <c:pt idx="254">
                  <c:v>45.72</c:v>
                </c:pt>
                <c:pt idx="257">
                  <c:v>54.28</c:v>
                </c:pt>
                <c:pt idx="259">
                  <c:v>49.11</c:v>
                </c:pt>
                <c:pt idx="260">
                  <c:v>50.05</c:v>
                </c:pt>
                <c:pt idx="261">
                  <c:v>43.46</c:v>
                </c:pt>
                <c:pt idx="262">
                  <c:v>43.95</c:v>
                </c:pt>
                <c:pt idx="263">
                  <c:v>45.56</c:v>
                </c:pt>
                <c:pt idx="264">
                  <c:v>48.58</c:v>
                </c:pt>
                <c:pt idx="265">
                  <c:v>48.22</c:v>
                </c:pt>
                <c:pt idx="266">
                  <c:v>47.84</c:v>
                </c:pt>
                <c:pt idx="267">
                  <c:v>44.86</c:v>
                </c:pt>
                <c:pt idx="268">
                  <c:v>46.18</c:v>
                </c:pt>
                <c:pt idx="269">
                  <c:v>41.25</c:v>
                </c:pt>
                <c:pt idx="270">
                  <c:v>42.69</c:v>
                </c:pt>
                <c:pt idx="271">
                  <c:v>44.14</c:v>
                </c:pt>
                <c:pt idx="272">
                  <c:v>43.31</c:v>
                </c:pt>
                <c:pt idx="273">
                  <c:v>40.86</c:v>
                </c:pt>
                <c:pt idx="274">
                  <c:v>30.99</c:v>
                </c:pt>
                <c:pt idx="275">
                  <c:v>34.35</c:v>
                </c:pt>
                <c:pt idx="276">
                  <c:v>34.42</c:v>
                </c:pt>
                <c:pt idx="277">
                  <c:v>43.47</c:v>
                </c:pt>
                <c:pt idx="278">
                  <c:v>47.94</c:v>
                </c:pt>
                <c:pt idx="279">
                  <c:v>36.590000000000003</c:v>
                </c:pt>
                <c:pt idx="280">
                  <c:v>39.909999999999997</c:v>
                </c:pt>
                <c:pt idx="281">
                  <c:v>27.22</c:v>
                </c:pt>
                <c:pt idx="282">
                  <c:v>34.409999999999997</c:v>
                </c:pt>
                <c:pt idx="283">
                  <c:v>38.880000000000003</c:v>
                </c:pt>
                <c:pt idx="284">
                  <c:v>44.24</c:v>
                </c:pt>
                <c:pt idx="285">
                  <c:v>45.84</c:v>
                </c:pt>
                <c:pt idx="286">
                  <c:v>44.25</c:v>
                </c:pt>
                <c:pt idx="287">
                  <c:v>48.16</c:v>
                </c:pt>
                <c:pt idx="288">
                  <c:v>46.12</c:v>
                </c:pt>
                <c:pt idx="289">
                  <c:v>48.24</c:v>
                </c:pt>
                <c:pt idx="290">
                  <c:v>48.95</c:v>
                </c:pt>
                <c:pt idx="291">
                  <c:v>46.3</c:v>
                </c:pt>
                <c:pt idx="292">
                  <c:v>41.77</c:v>
                </c:pt>
                <c:pt idx="293">
                  <c:v>40.119999999999997</c:v>
                </c:pt>
                <c:pt idx="294">
                  <c:v>43.86</c:v>
                </c:pt>
                <c:pt idx="295">
                  <c:v>39.97</c:v>
                </c:pt>
                <c:pt idx="296">
                  <c:v>42.3</c:v>
                </c:pt>
                <c:pt idx="297">
                  <c:v>44.54</c:v>
                </c:pt>
                <c:pt idx="298">
                  <c:v>52.71</c:v>
                </c:pt>
                <c:pt idx="299">
                  <c:v>54.14</c:v>
                </c:pt>
                <c:pt idx="300">
                  <c:v>48.99</c:v>
                </c:pt>
                <c:pt idx="302">
                  <c:v>47.62</c:v>
                </c:pt>
                <c:pt idx="303">
                  <c:v>57.29</c:v>
                </c:pt>
                <c:pt idx="304">
                  <c:v>64.010000000000005</c:v>
                </c:pt>
                <c:pt idx="305">
                  <c:v>57.59</c:v>
                </c:pt>
                <c:pt idx="306">
                  <c:v>55.56</c:v>
                </c:pt>
                <c:pt idx="307">
                  <c:v>57.72</c:v>
                </c:pt>
                <c:pt idx="308">
                  <c:v>57.23</c:v>
                </c:pt>
                <c:pt idx="309">
                  <c:v>58.61</c:v>
                </c:pt>
                <c:pt idx="310">
                  <c:v>62.44</c:v>
                </c:pt>
                <c:pt idx="311">
                  <c:v>65.34</c:v>
                </c:pt>
                <c:pt idx="312">
                  <c:v>64.510000000000005</c:v>
                </c:pt>
                <c:pt idx="313">
                  <c:v>63.69</c:v>
                </c:pt>
                <c:pt idx="314">
                  <c:v>61.45</c:v>
                </c:pt>
                <c:pt idx="315">
                  <c:v>67.599999999999994</c:v>
                </c:pt>
                <c:pt idx="316">
                  <c:v>63.59</c:v>
                </c:pt>
                <c:pt idx="317">
                  <c:v>69.28</c:v>
                </c:pt>
                <c:pt idx="318">
                  <c:v>62.95</c:v>
                </c:pt>
                <c:pt idx="319">
                  <c:v>60.09</c:v>
                </c:pt>
                <c:pt idx="320">
                  <c:v>55.75</c:v>
                </c:pt>
                <c:pt idx="321">
                  <c:v>57.26</c:v>
                </c:pt>
                <c:pt idx="322">
                  <c:v>60.31</c:v>
                </c:pt>
                <c:pt idx="327">
                  <c:v>62.33</c:v>
                </c:pt>
                <c:pt idx="328">
                  <c:v>57.35</c:v>
                </c:pt>
                <c:pt idx="329">
                  <c:v>53.56</c:v>
                </c:pt>
                <c:pt idx="330">
                  <c:v>51.34</c:v>
                </c:pt>
                <c:pt idx="331">
                  <c:v>54.14</c:v>
                </c:pt>
                <c:pt idx="332">
                  <c:v>54.03</c:v>
                </c:pt>
                <c:pt idx="333">
                  <c:v>60.69</c:v>
                </c:pt>
                <c:pt idx="334">
                  <c:v>56.25</c:v>
                </c:pt>
                <c:pt idx="335">
                  <c:v>59.99</c:v>
                </c:pt>
                <c:pt idx="336">
                  <c:v>59.78</c:v>
                </c:pt>
                <c:pt idx="337">
                  <c:v>59.12</c:v>
                </c:pt>
                <c:pt idx="338">
                  <c:v>61.27</c:v>
                </c:pt>
                <c:pt idx="339">
                  <c:v>60.68</c:v>
                </c:pt>
                <c:pt idx="340">
                  <c:v>56.73</c:v>
                </c:pt>
                <c:pt idx="341">
                  <c:v>51.9</c:v>
                </c:pt>
                <c:pt idx="342">
                  <c:v>49.26</c:v>
                </c:pt>
                <c:pt idx="343">
                  <c:v>47.47</c:v>
                </c:pt>
                <c:pt idx="345">
                  <c:v>52.64</c:v>
                </c:pt>
                <c:pt idx="346">
                  <c:v>45.19</c:v>
                </c:pt>
                <c:pt idx="347">
                  <c:v>47.33</c:v>
                </c:pt>
                <c:pt idx="348">
                  <c:v>48.92</c:v>
                </c:pt>
                <c:pt idx="349">
                  <c:v>50.36</c:v>
                </c:pt>
                <c:pt idx="350">
                  <c:v>47.37</c:v>
                </c:pt>
                <c:pt idx="351">
                  <c:v>50.06</c:v>
                </c:pt>
                <c:pt idx="352">
                  <c:v>57.38</c:v>
                </c:pt>
                <c:pt idx="353">
                  <c:v>53.66</c:v>
                </c:pt>
                <c:pt idx="354">
                  <c:v>59.28</c:v>
                </c:pt>
                <c:pt idx="355">
                  <c:v>57.05</c:v>
                </c:pt>
                <c:pt idx="356">
                  <c:v>50.02</c:v>
                </c:pt>
                <c:pt idx="357">
                  <c:v>47.86</c:v>
                </c:pt>
                <c:pt idx="358">
                  <c:v>46.52</c:v>
                </c:pt>
                <c:pt idx="359">
                  <c:v>38.32</c:v>
                </c:pt>
                <c:pt idx="360">
                  <c:v>43.51</c:v>
                </c:pt>
                <c:pt idx="361">
                  <c:v>44.92</c:v>
                </c:pt>
                <c:pt idx="362">
                  <c:v>45.95</c:v>
                </c:pt>
                <c:pt idx="363">
                  <c:v>49.5</c:v>
                </c:pt>
                <c:pt idx="364">
                  <c:v>47.51</c:v>
                </c:pt>
                <c:pt idx="365">
                  <c:v>48.83</c:v>
                </c:pt>
                <c:pt idx="366">
                  <c:v>53.3</c:v>
                </c:pt>
                <c:pt idx="367">
                  <c:v>42.44</c:v>
                </c:pt>
                <c:pt idx="368">
                  <c:v>36.64</c:v>
                </c:pt>
                <c:pt idx="369">
                  <c:v>40.96</c:v>
                </c:pt>
                <c:pt idx="370">
                  <c:v>33.130000000000003</c:v>
                </c:pt>
                <c:pt idx="371">
                  <c:v>33.6</c:v>
                </c:pt>
                <c:pt idx="372">
                  <c:v>33.71</c:v>
                </c:pt>
                <c:pt idx="373">
                  <c:v>30.31</c:v>
                </c:pt>
                <c:pt idx="374">
                  <c:v>30.11</c:v>
                </c:pt>
                <c:pt idx="375">
                  <c:v>30.34</c:v>
                </c:pt>
                <c:pt idx="376">
                  <c:v>32.340000000000003</c:v>
                </c:pt>
                <c:pt idx="377">
                  <c:v>31.65</c:v>
                </c:pt>
                <c:pt idx="378">
                  <c:v>35.44</c:v>
                </c:pt>
                <c:pt idx="379">
                  <c:v>41.19</c:v>
                </c:pt>
                <c:pt idx="380">
                  <c:v>43.31</c:v>
                </c:pt>
                <c:pt idx="381">
                  <c:v>41.21</c:v>
                </c:pt>
                <c:pt idx="382">
                  <c:v>47.59</c:v>
                </c:pt>
                <c:pt idx="383">
                  <c:v>44.87</c:v>
                </c:pt>
                <c:pt idx="384">
                  <c:v>47.54</c:v>
                </c:pt>
                <c:pt idx="385">
                  <c:v>39.92</c:v>
                </c:pt>
                <c:pt idx="386">
                  <c:v>42.29</c:v>
                </c:pt>
                <c:pt idx="387">
                  <c:v>47.18</c:v>
                </c:pt>
                <c:pt idx="388">
                  <c:v>49.99</c:v>
                </c:pt>
                <c:pt idx="389">
                  <c:v>51.95</c:v>
                </c:pt>
                <c:pt idx="390">
                  <c:v>51.29</c:v>
                </c:pt>
                <c:pt idx="391">
                  <c:v>50.19</c:v>
                </c:pt>
                <c:pt idx="392">
                  <c:v>51.61</c:v>
                </c:pt>
                <c:pt idx="393">
                  <c:v>53.81</c:v>
                </c:pt>
                <c:pt idx="394">
                  <c:v>60.48</c:v>
                </c:pt>
                <c:pt idx="395">
                  <c:v>56.39</c:v>
                </c:pt>
                <c:pt idx="396">
                  <c:v>52.62</c:v>
                </c:pt>
                <c:pt idx="397">
                  <c:v>58.97</c:v>
                </c:pt>
                <c:pt idx="398">
                  <c:v>65.349999999999994</c:v>
                </c:pt>
                <c:pt idx="399">
                  <c:v>59.17</c:v>
                </c:pt>
                <c:pt idx="400">
                  <c:v>58.72</c:v>
                </c:pt>
                <c:pt idx="401">
                  <c:v>54.1</c:v>
                </c:pt>
                <c:pt idx="403">
                  <c:v>51.77</c:v>
                </c:pt>
                <c:pt idx="404">
                  <c:v>51.69</c:v>
                </c:pt>
                <c:pt idx="405">
                  <c:v>51.35</c:v>
                </c:pt>
                <c:pt idx="407">
                  <c:v>46.92</c:v>
                </c:pt>
                <c:pt idx="409">
                  <c:v>49.47</c:v>
                </c:pt>
                <c:pt idx="410">
                  <c:v>50.62</c:v>
                </c:pt>
                <c:pt idx="411">
                  <c:v>62.26</c:v>
                </c:pt>
                <c:pt idx="412">
                  <c:v>60.55</c:v>
                </c:pt>
                <c:pt idx="413">
                  <c:v>70.45</c:v>
                </c:pt>
                <c:pt idx="414">
                  <c:v>70.02</c:v>
                </c:pt>
                <c:pt idx="415">
                  <c:v>67.239999999999995</c:v>
                </c:pt>
                <c:pt idx="416">
                  <c:v>64.56</c:v>
                </c:pt>
                <c:pt idx="420">
                  <c:v>56.89</c:v>
                </c:pt>
                <c:pt idx="421">
                  <c:v>54.34</c:v>
                </c:pt>
                <c:pt idx="422">
                  <c:v>52.42</c:v>
                </c:pt>
                <c:pt idx="423">
                  <c:v>57.47</c:v>
                </c:pt>
                <c:pt idx="424">
                  <c:v>52.04</c:v>
                </c:pt>
                <c:pt idx="425">
                  <c:v>51.82</c:v>
                </c:pt>
                <c:pt idx="426">
                  <c:v>47.56</c:v>
                </c:pt>
                <c:pt idx="427">
                  <c:v>51.5</c:v>
                </c:pt>
                <c:pt idx="428">
                  <c:v>59.15</c:v>
                </c:pt>
                <c:pt idx="429">
                  <c:v>59.44</c:v>
                </c:pt>
                <c:pt idx="430">
                  <c:v>65.69</c:v>
                </c:pt>
                <c:pt idx="431">
                  <c:v>61.32</c:v>
                </c:pt>
                <c:pt idx="432">
                  <c:v>68.5</c:v>
                </c:pt>
                <c:pt idx="433">
                  <c:v>63.71</c:v>
                </c:pt>
                <c:pt idx="434">
                  <c:v>65.069999999999993</c:v>
                </c:pt>
                <c:pt idx="435">
                  <c:v>63.51</c:v>
                </c:pt>
                <c:pt idx="436">
                  <c:v>61.99</c:v>
                </c:pt>
                <c:pt idx="437">
                  <c:v>60.7</c:v>
                </c:pt>
                <c:pt idx="438">
                  <c:v>55.4</c:v>
                </c:pt>
                <c:pt idx="439">
                  <c:v>60.77</c:v>
                </c:pt>
                <c:pt idx="440">
                  <c:v>59.59</c:v>
                </c:pt>
                <c:pt idx="442">
                  <c:v>57.12</c:v>
                </c:pt>
                <c:pt idx="443">
                  <c:v>56.75</c:v>
                </c:pt>
                <c:pt idx="444">
                  <c:v>62.67</c:v>
                </c:pt>
                <c:pt idx="445">
                  <c:v>61.66</c:v>
                </c:pt>
                <c:pt idx="446">
                  <c:v>63.54</c:v>
                </c:pt>
                <c:pt idx="447">
                  <c:v>62.28</c:v>
                </c:pt>
                <c:pt idx="448">
                  <c:v>53.27</c:v>
                </c:pt>
                <c:pt idx="449">
                  <c:v>45.84</c:v>
                </c:pt>
                <c:pt idx="450">
                  <c:v>60.27</c:v>
                </c:pt>
                <c:pt idx="451">
                  <c:v>69.14</c:v>
                </c:pt>
                <c:pt idx="452">
                  <c:v>74.59</c:v>
                </c:pt>
                <c:pt idx="453">
                  <c:v>79.89</c:v>
                </c:pt>
                <c:pt idx="454">
                  <c:v>80.040000000000006</c:v>
                </c:pt>
                <c:pt idx="455">
                  <c:v>75.91</c:v>
                </c:pt>
                <c:pt idx="456">
                  <c:v>71.510000000000005</c:v>
                </c:pt>
                <c:pt idx="457">
                  <c:v>71.8</c:v>
                </c:pt>
                <c:pt idx="458">
                  <c:v>64.97</c:v>
                </c:pt>
                <c:pt idx="459">
                  <c:v>68.37</c:v>
                </c:pt>
                <c:pt idx="460">
                  <c:v>64.569999999999993</c:v>
                </c:pt>
                <c:pt idx="461">
                  <c:v>70.09</c:v>
                </c:pt>
                <c:pt idx="462">
                  <c:v>74.67</c:v>
                </c:pt>
                <c:pt idx="463">
                  <c:v>69.599999999999994</c:v>
                </c:pt>
                <c:pt idx="464">
                  <c:v>69.2</c:v>
                </c:pt>
                <c:pt idx="465">
                  <c:v>70.59</c:v>
                </c:pt>
                <c:pt idx="466">
                  <c:v>66.3</c:v>
                </c:pt>
                <c:pt idx="467">
                  <c:v>64.900000000000006</c:v>
                </c:pt>
                <c:pt idx="468">
                  <c:v>63.37</c:v>
                </c:pt>
                <c:pt idx="469">
                  <c:v>59.75</c:v>
                </c:pt>
                <c:pt idx="470">
                  <c:v>64.63</c:v>
                </c:pt>
                <c:pt idx="471">
                  <c:v>60.53</c:v>
                </c:pt>
                <c:pt idx="472">
                  <c:v>60.16</c:v>
                </c:pt>
                <c:pt idx="473">
                  <c:v>62.74</c:v>
                </c:pt>
                <c:pt idx="474">
                  <c:v>55.65</c:v>
                </c:pt>
                <c:pt idx="475">
                  <c:v>36.22</c:v>
                </c:pt>
                <c:pt idx="476">
                  <c:v>36.520000000000003</c:v>
                </c:pt>
                <c:pt idx="477">
                  <c:v>37.4</c:v>
                </c:pt>
                <c:pt idx="478">
                  <c:v>40.31</c:v>
                </c:pt>
                <c:pt idx="479">
                  <c:v>38.78</c:v>
                </c:pt>
                <c:pt idx="480">
                  <c:v>41.33</c:v>
                </c:pt>
                <c:pt idx="481">
                  <c:v>43.4</c:v>
                </c:pt>
                <c:pt idx="482">
                  <c:v>46.85</c:v>
                </c:pt>
                <c:pt idx="483">
                  <c:v>39.090000000000003</c:v>
                </c:pt>
                <c:pt idx="484">
                  <c:v>39.299999999999997</c:v>
                </c:pt>
                <c:pt idx="485">
                  <c:v>41.1</c:v>
                </c:pt>
                <c:pt idx="486">
                  <c:v>41.17</c:v>
                </c:pt>
                <c:pt idx="487">
                  <c:v>44.52</c:v>
                </c:pt>
                <c:pt idx="488">
                  <c:v>47.46</c:v>
                </c:pt>
                <c:pt idx="489">
                  <c:v>45.65</c:v>
                </c:pt>
                <c:pt idx="490">
                  <c:v>51.56</c:v>
                </c:pt>
                <c:pt idx="492">
                  <c:v>52.01</c:v>
                </c:pt>
                <c:pt idx="493">
                  <c:v>48.86</c:v>
                </c:pt>
                <c:pt idx="494">
                  <c:v>41.03</c:v>
                </c:pt>
                <c:pt idx="495">
                  <c:v>29.31</c:v>
                </c:pt>
                <c:pt idx="496">
                  <c:v>30.57</c:v>
                </c:pt>
                <c:pt idx="497">
                  <c:v>31.49</c:v>
                </c:pt>
                <c:pt idx="498">
                  <c:v>35.81</c:v>
                </c:pt>
                <c:pt idx="499">
                  <c:v>36.96</c:v>
                </c:pt>
                <c:pt idx="500">
                  <c:v>36.35</c:v>
                </c:pt>
                <c:pt idx="501">
                  <c:v>42.06</c:v>
                </c:pt>
                <c:pt idx="502">
                  <c:v>45.03</c:v>
                </c:pt>
                <c:pt idx="503">
                  <c:v>47.8</c:v>
                </c:pt>
                <c:pt idx="504">
                  <c:v>51.34</c:v>
                </c:pt>
                <c:pt idx="505">
                  <c:v>55.12</c:v>
                </c:pt>
                <c:pt idx="506">
                  <c:v>54.31</c:v>
                </c:pt>
                <c:pt idx="508">
                  <c:v>51.09</c:v>
                </c:pt>
                <c:pt idx="509">
                  <c:v>50.69</c:v>
                </c:pt>
                <c:pt idx="510">
                  <c:v>53.74</c:v>
                </c:pt>
                <c:pt idx="511">
                  <c:v>51.05</c:v>
                </c:pt>
                <c:pt idx="512">
                  <c:v>57.09</c:v>
                </c:pt>
                <c:pt idx="513">
                  <c:v>55.82</c:v>
                </c:pt>
                <c:pt idx="515">
                  <c:v>49.48</c:v>
                </c:pt>
                <c:pt idx="516">
                  <c:v>49.85</c:v>
                </c:pt>
                <c:pt idx="518">
                  <c:v>51.69</c:v>
                </c:pt>
                <c:pt idx="519">
                  <c:v>47.82</c:v>
                </c:pt>
                <c:pt idx="520">
                  <c:v>40.65</c:v>
                </c:pt>
                <c:pt idx="521">
                  <c:v>42.43</c:v>
                </c:pt>
                <c:pt idx="522">
                  <c:v>45.78</c:v>
                </c:pt>
                <c:pt idx="523">
                  <c:v>46.17</c:v>
                </c:pt>
                <c:pt idx="524">
                  <c:v>46.92</c:v>
                </c:pt>
                <c:pt idx="525">
                  <c:v>37.36</c:v>
                </c:pt>
                <c:pt idx="526">
                  <c:v>41.36</c:v>
                </c:pt>
                <c:pt idx="527">
                  <c:v>30.75</c:v>
                </c:pt>
                <c:pt idx="528">
                  <c:v>32.729999999999997</c:v>
                </c:pt>
                <c:pt idx="529">
                  <c:v>37.659999999999997</c:v>
                </c:pt>
                <c:pt idx="530">
                  <c:v>40.46</c:v>
                </c:pt>
                <c:pt idx="531">
                  <c:v>38.22</c:v>
                </c:pt>
                <c:pt idx="533">
                  <c:v>40.98</c:v>
                </c:pt>
                <c:pt idx="534">
                  <c:v>47.07</c:v>
                </c:pt>
                <c:pt idx="535">
                  <c:v>39.340000000000003</c:v>
                </c:pt>
                <c:pt idx="536">
                  <c:v>42.15</c:v>
                </c:pt>
                <c:pt idx="537">
                  <c:v>41.87</c:v>
                </c:pt>
                <c:pt idx="538">
                  <c:v>46.51</c:v>
                </c:pt>
                <c:pt idx="539">
                  <c:v>52.62</c:v>
                </c:pt>
                <c:pt idx="540">
                  <c:v>57.13</c:v>
                </c:pt>
                <c:pt idx="541">
                  <c:v>54.43</c:v>
                </c:pt>
                <c:pt idx="542">
                  <c:v>56.06</c:v>
                </c:pt>
                <c:pt idx="543">
                  <c:v>57.48</c:v>
                </c:pt>
                <c:pt idx="544">
                  <c:v>62.69</c:v>
                </c:pt>
                <c:pt idx="545">
                  <c:v>60.59</c:v>
                </c:pt>
                <c:pt idx="546">
                  <c:v>61.8</c:v>
                </c:pt>
                <c:pt idx="547">
                  <c:v>58.48</c:v>
                </c:pt>
                <c:pt idx="548">
                  <c:v>58.06</c:v>
                </c:pt>
                <c:pt idx="549">
                  <c:v>59.11</c:v>
                </c:pt>
                <c:pt idx="550">
                  <c:v>51.85</c:v>
                </c:pt>
                <c:pt idx="551">
                  <c:v>55.86</c:v>
                </c:pt>
                <c:pt idx="552">
                  <c:v>54.12</c:v>
                </c:pt>
                <c:pt idx="553">
                  <c:v>59.05</c:v>
                </c:pt>
                <c:pt idx="554">
                  <c:v>56.43</c:v>
                </c:pt>
                <c:pt idx="555">
                  <c:v>57.89</c:v>
                </c:pt>
                <c:pt idx="556">
                  <c:v>45.52</c:v>
                </c:pt>
                <c:pt idx="557">
                  <c:v>46.2</c:v>
                </c:pt>
                <c:pt idx="558">
                  <c:v>40.76</c:v>
                </c:pt>
                <c:pt idx="559">
                  <c:v>38.4</c:v>
                </c:pt>
                <c:pt idx="561">
                  <c:v>41.05</c:v>
                </c:pt>
                <c:pt idx="562">
                  <c:v>54.21</c:v>
                </c:pt>
                <c:pt idx="563">
                  <c:v>55.76</c:v>
                </c:pt>
                <c:pt idx="564">
                  <c:v>52.4</c:v>
                </c:pt>
                <c:pt idx="565">
                  <c:v>51.25</c:v>
                </c:pt>
                <c:pt idx="566">
                  <c:v>49.36</c:v>
                </c:pt>
                <c:pt idx="567">
                  <c:v>51.66</c:v>
                </c:pt>
                <c:pt idx="568">
                  <c:v>52.54</c:v>
                </c:pt>
                <c:pt idx="569">
                  <c:v>53.68</c:v>
                </c:pt>
                <c:pt idx="570">
                  <c:v>54.07</c:v>
                </c:pt>
                <c:pt idx="571">
                  <c:v>52.75</c:v>
                </c:pt>
                <c:pt idx="572">
                  <c:v>55.45</c:v>
                </c:pt>
                <c:pt idx="573">
                  <c:v>59.82</c:v>
                </c:pt>
                <c:pt idx="576">
                  <c:v>51.63</c:v>
                </c:pt>
                <c:pt idx="577">
                  <c:v>53.44</c:v>
                </c:pt>
                <c:pt idx="578">
                  <c:v>58.23</c:v>
                </c:pt>
                <c:pt idx="579">
                  <c:v>56.86</c:v>
                </c:pt>
                <c:pt idx="580">
                  <c:v>61.65</c:v>
                </c:pt>
                <c:pt idx="581">
                  <c:v>54.05</c:v>
                </c:pt>
                <c:pt idx="582">
                  <c:v>56.89</c:v>
                </c:pt>
                <c:pt idx="583">
                  <c:v>55.46</c:v>
                </c:pt>
                <c:pt idx="584">
                  <c:v>52.85</c:v>
                </c:pt>
                <c:pt idx="585">
                  <c:v>49.03</c:v>
                </c:pt>
                <c:pt idx="586">
                  <c:v>50.08</c:v>
                </c:pt>
                <c:pt idx="587">
                  <c:v>49.46</c:v>
                </c:pt>
                <c:pt idx="588">
                  <c:v>52.35</c:v>
                </c:pt>
                <c:pt idx="589">
                  <c:v>51.81</c:v>
                </c:pt>
                <c:pt idx="590">
                  <c:v>44.67</c:v>
                </c:pt>
                <c:pt idx="591">
                  <c:v>41.02</c:v>
                </c:pt>
                <c:pt idx="592">
                  <c:v>43.02</c:v>
                </c:pt>
                <c:pt idx="593">
                  <c:v>50.4</c:v>
                </c:pt>
                <c:pt idx="594">
                  <c:v>50.45</c:v>
                </c:pt>
                <c:pt idx="595">
                  <c:v>52.58</c:v>
                </c:pt>
                <c:pt idx="596">
                  <c:v>58.63</c:v>
                </c:pt>
                <c:pt idx="597">
                  <c:v>58.68</c:v>
                </c:pt>
                <c:pt idx="598">
                  <c:v>59.4</c:v>
                </c:pt>
                <c:pt idx="599">
                  <c:v>58.61</c:v>
                </c:pt>
                <c:pt idx="600">
                  <c:v>64.63</c:v>
                </c:pt>
                <c:pt idx="601">
                  <c:v>69.430000000000007</c:v>
                </c:pt>
                <c:pt idx="602">
                  <c:v>84.1</c:v>
                </c:pt>
                <c:pt idx="603">
                  <c:v>84.04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09-4CF7-A3CB-70AA8435EAFC}"/>
            </c:ext>
          </c:extLst>
        </c:ser>
        <c:ser>
          <c:idx val="1"/>
          <c:order val="1"/>
          <c:tx>
            <c:strRef>
              <c:f>'미국 RSI'!$D$1</c:f>
              <c:strCache>
                <c:ptCount val="1"/>
                <c:pt idx="0">
                  <c:v>헬스케어(US)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RSI'!$D$69:$D$3068</c:f>
              <c:numCache>
                <c:formatCode>0.00</c:formatCode>
                <c:ptCount val="3000"/>
                <c:pt idx="0">
                  <c:v>44.53</c:v>
                </c:pt>
                <c:pt idx="1">
                  <c:v>48.37</c:v>
                </c:pt>
                <c:pt idx="2">
                  <c:v>35.89</c:v>
                </c:pt>
                <c:pt idx="3">
                  <c:v>38.369999999999997</c:v>
                </c:pt>
                <c:pt idx="4">
                  <c:v>36.83</c:v>
                </c:pt>
                <c:pt idx="5">
                  <c:v>38.520000000000003</c:v>
                </c:pt>
                <c:pt idx="6">
                  <c:v>43.87</c:v>
                </c:pt>
                <c:pt idx="7">
                  <c:v>44.26</c:v>
                </c:pt>
                <c:pt idx="8">
                  <c:v>42.71</c:v>
                </c:pt>
                <c:pt idx="9">
                  <c:v>46.62</c:v>
                </c:pt>
                <c:pt idx="10">
                  <c:v>50.58</c:v>
                </c:pt>
                <c:pt idx="11">
                  <c:v>43.51</c:v>
                </c:pt>
                <c:pt idx="12">
                  <c:v>46.81</c:v>
                </c:pt>
                <c:pt idx="13">
                  <c:v>50.02</c:v>
                </c:pt>
                <c:pt idx="14">
                  <c:v>47.3</c:v>
                </c:pt>
                <c:pt idx="15">
                  <c:v>45.16</c:v>
                </c:pt>
                <c:pt idx="16">
                  <c:v>51.03</c:v>
                </c:pt>
                <c:pt idx="17">
                  <c:v>52.08</c:v>
                </c:pt>
                <c:pt idx="18">
                  <c:v>41.9</c:v>
                </c:pt>
                <c:pt idx="19">
                  <c:v>40.799999999999997</c:v>
                </c:pt>
                <c:pt idx="21">
                  <c:v>42.15</c:v>
                </c:pt>
                <c:pt idx="22">
                  <c:v>44.52</c:v>
                </c:pt>
                <c:pt idx="23">
                  <c:v>40.76</c:v>
                </c:pt>
                <c:pt idx="24">
                  <c:v>29.74</c:v>
                </c:pt>
                <c:pt idx="25">
                  <c:v>27.22</c:v>
                </c:pt>
                <c:pt idx="26">
                  <c:v>31.93</c:v>
                </c:pt>
                <c:pt idx="27">
                  <c:v>33</c:v>
                </c:pt>
                <c:pt idx="28">
                  <c:v>26.36</c:v>
                </c:pt>
                <c:pt idx="29">
                  <c:v>26.26</c:v>
                </c:pt>
                <c:pt idx="30">
                  <c:v>27.16</c:v>
                </c:pt>
                <c:pt idx="31">
                  <c:v>29.29</c:v>
                </c:pt>
                <c:pt idx="32">
                  <c:v>30.2</c:v>
                </c:pt>
                <c:pt idx="33">
                  <c:v>34.950000000000003</c:v>
                </c:pt>
                <c:pt idx="34">
                  <c:v>37.99</c:v>
                </c:pt>
                <c:pt idx="35">
                  <c:v>33.18</c:v>
                </c:pt>
                <c:pt idx="36">
                  <c:v>33.92</c:v>
                </c:pt>
                <c:pt idx="37">
                  <c:v>39.94</c:v>
                </c:pt>
                <c:pt idx="38">
                  <c:v>40.68</c:v>
                </c:pt>
                <c:pt idx="39">
                  <c:v>43.48</c:v>
                </c:pt>
                <c:pt idx="40">
                  <c:v>37.909999999999997</c:v>
                </c:pt>
                <c:pt idx="41">
                  <c:v>40.81</c:v>
                </c:pt>
                <c:pt idx="42">
                  <c:v>50.01</c:v>
                </c:pt>
                <c:pt idx="43">
                  <c:v>48.95</c:v>
                </c:pt>
                <c:pt idx="44">
                  <c:v>55.2</c:v>
                </c:pt>
                <c:pt idx="45">
                  <c:v>62.07</c:v>
                </c:pt>
                <c:pt idx="46">
                  <c:v>53.04</c:v>
                </c:pt>
                <c:pt idx="47">
                  <c:v>54.83</c:v>
                </c:pt>
                <c:pt idx="48">
                  <c:v>55</c:v>
                </c:pt>
                <c:pt idx="49">
                  <c:v>57.74</c:v>
                </c:pt>
                <c:pt idx="50">
                  <c:v>52.03</c:v>
                </c:pt>
                <c:pt idx="51">
                  <c:v>53.76</c:v>
                </c:pt>
                <c:pt idx="52">
                  <c:v>55.35</c:v>
                </c:pt>
                <c:pt idx="53">
                  <c:v>54.43</c:v>
                </c:pt>
                <c:pt idx="54">
                  <c:v>55.49</c:v>
                </c:pt>
                <c:pt idx="55">
                  <c:v>50.52</c:v>
                </c:pt>
                <c:pt idx="56">
                  <c:v>51.32</c:v>
                </c:pt>
                <c:pt idx="57">
                  <c:v>48.55</c:v>
                </c:pt>
                <c:pt idx="58">
                  <c:v>51.47</c:v>
                </c:pt>
                <c:pt idx="59">
                  <c:v>55.86</c:v>
                </c:pt>
                <c:pt idx="60">
                  <c:v>47.24</c:v>
                </c:pt>
                <c:pt idx="61">
                  <c:v>51.08</c:v>
                </c:pt>
                <c:pt idx="62">
                  <c:v>44.25</c:v>
                </c:pt>
                <c:pt idx="63">
                  <c:v>49.54</c:v>
                </c:pt>
                <c:pt idx="64">
                  <c:v>45.96</c:v>
                </c:pt>
                <c:pt idx="65">
                  <c:v>42.27</c:v>
                </c:pt>
                <c:pt idx="66">
                  <c:v>43.75</c:v>
                </c:pt>
                <c:pt idx="67">
                  <c:v>47.32</c:v>
                </c:pt>
                <c:pt idx="68">
                  <c:v>57.43</c:v>
                </c:pt>
                <c:pt idx="69">
                  <c:v>55.36</c:v>
                </c:pt>
                <c:pt idx="70">
                  <c:v>58.84</c:v>
                </c:pt>
                <c:pt idx="71">
                  <c:v>58.75</c:v>
                </c:pt>
                <c:pt idx="72">
                  <c:v>48.97</c:v>
                </c:pt>
                <c:pt idx="74">
                  <c:v>50.29</c:v>
                </c:pt>
                <c:pt idx="75">
                  <c:v>55.23</c:v>
                </c:pt>
                <c:pt idx="76">
                  <c:v>59.22</c:v>
                </c:pt>
                <c:pt idx="77">
                  <c:v>55.51</c:v>
                </c:pt>
                <c:pt idx="78">
                  <c:v>58.33</c:v>
                </c:pt>
                <c:pt idx="79">
                  <c:v>58.11</c:v>
                </c:pt>
                <c:pt idx="80">
                  <c:v>61.54</c:v>
                </c:pt>
                <c:pt idx="81">
                  <c:v>68.69</c:v>
                </c:pt>
                <c:pt idx="82">
                  <c:v>64.819999999999993</c:v>
                </c:pt>
                <c:pt idx="83">
                  <c:v>54.72</c:v>
                </c:pt>
                <c:pt idx="84">
                  <c:v>57.06</c:v>
                </c:pt>
                <c:pt idx="85">
                  <c:v>54.32</c:v>
                </c:pt>
                <c:pt idx="86">
                  <c:v>58.63</c:v>
                </c:pt>
                <c:pt idx="87">
                  <c:v>59.28</c:v>
                </c:pt>
                <c:pt idx="88">
                  <c:v>60.42</c:v>
                </c:pt>
                <c:pt idx="89">
                  <c:v>59.67</c:v>
                </c:pt>
                <c:pt idx="90">
                  <c:v>57.23</c:v>
                </c:pt>
                <c:pt idx="91">
                  <c:v>58.49</c:v>
                </c:pt>
                <c:pt idx="92">
                  <c:v>57.48</c:v>
                </c:pt>
                <c:pt idx="93">
                  <c:v>54.55</c:v>
                </c:pt>
                <c:pt idx="94">
                  <c:v>54.21</c:v>
                </c:pt>
                <c:pt idx="95">
                  <c:v>55.1</c:v>
                </c:pt>
                <c:pt idx="96">
                  <c:v>62.01</c:v>
                </c:pt>
                <c:pt idx="97">
                  <c:v>56.98</c:v>
                </c:pt>
                <c:pt idx="98">
                  <c:v>55.7</c:v>
                </c:pt>
                <c:pt idx="99">
                  <c:v>51.68</c:v>
                </c:pt>
                <c:pt idx="100">
                  <c:v>44.64</c:v>
                </c:pt>
                <c:pt idx="101">
                  <c:v>49.13</c:v>
                </c:pt>
                <c:pt idx="102">
                  <c:v>55.58</c:v>
                </c:pt>
                <c:pt idx="103">
                  <c:v>58.06</c:v>
                </c:pt>
                <c:pt idx="104">
                  <c:v>62.85</c:v>
                </c:pt>
                <c:pt idx="105">
                  <c:v>61.03</c:v>
                </c:pt>
                <c:pt idx="106">
                  <c:v>64.849999999999994</c:v>
                </c:pt>
                <c:pt idx="107">
                  <c:v>76.069999999999993</c:v>
                </c:pt>
                <c:pt idx="109">
                  <c:v>80.27</c:v>
                </c:pt>
                <c:pt idx="110">
                  <c:v>82.19</c:v>
                </c:pt>
                <c:pt idx="111">
                  <c:v>77.09</c:v>
                </c:pt>
                <c:pt idx="112">
                  <c:v>75.91</c:v>
                </c:pt>
                <c:pt idx="113">
                  <c:v>68.47</c:v>
                </c:pt>
                <c:pt idx="114">
                  <c:v>74.56</c:v>
                </c:pt>
                <c:pt idx="115">
                  <c:v>76.37</c:v>
                </c:pt>
                <c:pt idx="116">
                  <c:v>74.400000000000006</c:v>
                </c:pt>
                <c:pt idx="117">
                  <c:v>75.25</c:v>
                </c:pt>
                <c:pt idx="118">
                  <c:v>81.290000000000006</c:v>
                </c:pt>
                <c:pt idx="119">
                  <c:v>81.83</c:v>
                </c:pt>
                <c:pt idx="120">
                  <c:v>78.27</c:v>
                </c:pt>
                <c:pt idx="121">
                  <c:v>69.430000000000007</c:v>
                </c:pt>
                <c:pt idx="122">
                  <c:v>64.989999999999995</c:v>
                </c:pt>
                <c:pt idx="123">
                  <c:v>64.14</c:v>
                </c:pt>
                <c:pt idx="124">
                  <c:v>62.98</c:v>
                </c:pt>
                <c:pt idx="125">
                  <c:v>60.6</c:v>
                </c:pt>
                <c:pt idx="126">
                  <c:v>57.67</c:v>
                </c:pt>
                <c:pt idx="127">
                  <c:v>56.75</c:v>
                </c:pt>
                <c:pt idx="128">
                  <c:v>57.04</c:v>
                </c:pt>
                <c:pt idx="129">
                  <c:v>55.71</c:v>
                </c:pt>
                <c:pt idx="130">
                  <c:v>64.209999999999994</c:v>
                </c:pt>
                <c:pt idx="131">
                  <c:v>70.45</c:v>
                </c:pt>
                <c:pt idx="132">
                  <c:v>69.430000000000007</c:v>
                </c:pt>
                <c:pt idx="133">
                  <c:v>69.5</c:v>
                </c:pt>
                <c:pt idx="134">
                  <c:v>69.28</c:v>
                </c:pt>
                <c:pt idx="135">
                  <c:v>67.040000000000006</c:v>
                </c:pt>
                <c:pt idx="136">
                  <c:v>66.099999999999994</c:v>
                </c:pt>
                <c:pt idx="137">
                  <c:v>61.54</c:v>
                </c:pt>
                <c:pt idx="138">
                  <c:v>58.28</c:v>
                </c:pt>
                <c:pt idx="139">
                  <c:v>59.46</c:v>
                </c:pt>
                <c:pt idx="140">
                  <c:v>58.75</c:v>
                </c:pt>
                <c:pt idx="141">
                  <c:v>57.52</c:v>
                </c:pt>
                <c:pt idx="142">
                  <c:v>58.18</c:v>
                </c:pt>
                <c:pt idx="143">
                  <c:v>67.53</c:v>
                </c:pt>
                <c:pt idx="144">
                  <c:v>69.11</c:v>
                </c:pt>
                <c:pt idx="145">
                  <c:v>68.510000000000005</c:v>
                </c:pt>
                <c:pt idx="146">
                  <c:v>68.290000000000006</c:v>
                </c:pt>
                <c:pt idx="147">
                  <c:v>71.3</c:v>
                </c:pt>
                <c:pt idx="148">
                  <c:v>68.27</c:v>
                </c:pt>
                <c:pt idx="149">
                  <c:v>69.44</c:v>
                </c:pt>
                <c:pt idx="150">
                  <c:v>59.59</c:v>
                </c:pt>
                <c:pt idx="151">
                  <c:v>47.67</c:v>
                </c:pt>
                <c:pt idx="152">
                  <c:v>45.86</c:v>
                </c:pt>
                <c:pt idx="153">
                  <c:v>39.15</c:v>
                </c:pt>
                <c:pt idx="154">
                  <c:v>48.32</c:v>
                </c:pt>
                <c:pt idx="155">
                  <c:v>51.02</c:v>
                </c:pt>
                <c:pt idx="156">
                  <c:v>49.55</c:v>
                </c:pt>
                <c:pt idx="157">
                  <c:v>52.68</c:v>
                </c:pt>
                <c:pt idx="158">
                  <c:v>53.54</c:v>
                </c:pt>
                <c:pt idx="159">
                  <c:v>52.46</c:v>
                </c:pt>
                <c:pt idx="160">
                  <c:v>51.41</c:v>
                </c:pt>
                <c:pt idx="161">
                  <c:v>51.41</c:v>
                </c:pt>
                <c:pt idx="162">
                  <c:v>56.07</c:v>
                </c:pt>
                <c:pt idx="163">
                  <c:v>63.34</c:v>
                </c:pt>
                <c:pt idx="164">
                  <c:v>55.36</c:v>
                </c:pt>
                <c:pt idx="165">
                  <c:v>61.96</c:v>
                </c:pt>
                <c:pt idx="166">
                  <c:v>59.32</c:v>
                </c:pt>
                <c:pt idx="167">
                  <c:v>59.58</c:v>
                </c:pt>
                <c:pt idx="168">
                  <c:v>57.97</c:v>
                </c:pt>
                <c:pt idx="169">
                  <c:v>56.18</c:v>
                </c:pt>
                <c:pt idx="170">
                  <c:v>59.1</c:v>
                </c:pt>
                <c:pt idx="172">
                  <c:v>58.7</c:v>
                </c:pt>
                <c:pt idx="173">
                  <c:v>55.61</c:v>
                </c:pt>
                <c:pt idx="174">
                  <c:v>57.78</c:v>
                </c:pt>
                <c:pt idx="175">
                  <c:v>58.09</c:v>
                </c:pt>
                <c:pt idx="176">
                  <c:v>55.74</c:v>
                </c:pt>
                <c:pt idx="177">
                  <c:v>63.41</c:v>
                </c:pt>
                <c:pt idx="178">
                  <c:v>60.51</c:v>
                </c:pt>
                <c:pt idx="179">
                  <c:v>62.38</c:v>
                </c:pt>
                <c:pt idx="180">
                  <c:v>60.56</c:v>
                </c:pt>
                <c:pt idx="181">
                  <c:v>58.37</c:v>
                </c:pt>
                <c:pt idx="182">
                  <c:v>59.5</c:v>
                </c:pt>
                <c:pt idx="183">
                  <c:v>53.63</c:v>
                </c:pt>
                <c:pt idx="184">
                  <c:v>51.7</c:v>
                </c:pt>
                <c:pt idx="185">
                  <c:v>45.03</c:v>
                </c:pt>
                <c:pt idx="186">
                  <c:v>41.84</c:v>
                </c:pt>
                <c:pt idx="187">
                  <c:v>41.38</c:v>
                </c:pt>
                <c:pt idx="188">
                  <c:v>37.33</c:v>
                </c:pt>
                <c:pt idx="189">
                  <c:v>40.74</c:v>
                </c:pt>
                <c:pt idx="190">
                  <c:v>45.9</c:v>
                </c:pt>
                <c:pt idx="191">
                  <c:v>47.32</c:v>
                </c:pt>
                <c:pt idx="192">
                  <c:v>41.05</c:v>
                </c:pt>
                <c:pt idx="193">
                  <c:v>38.53</c:v>
                </c:pt>
                <c:pt idx="194">
                  <c:v>49.01</c:v>
                </c:pt>
                <c:pt idx="195">
                  <c:v>49.82</c:v>
                </c:pt>
                <c:pt idx="196">
                  <c:v>52.69</c:v>
                </c:pt>
                <c:pt idx="197">
                  <c:v>56.92</c:v>
                </c:pt>
                <c:pt idx="198">
                  <c:v>54.89</c:v>
                </c:pt>
                <c:pt idx="199">
                  <c:v>56.64</c:v>
                </c:pt>
                <c:pt idx="200">
                  <c:v>48.41</c:v>
                </c:pt>
                <c:pt idx="201">
                  <c:v>38.799999999999997</c:v>
                </c:pt>
                <c:pt idx="202">
                  <c:v>40.97</c:v>
                </c:pt>
                <c:pt idx="203">
                  <c:v>43.64</c:v>
                </c:pt>
                <c:pt idx="204">
                  <c:v>48.78</c:v>
                </c:pt>
                <c:pt idx="205">
                  <c:v>41.94</c:v>
                </c:pt>
                <c:pt idx="206">
                  <c:v>51.31</c:v>
                </c:pt>
                <c:pt idx="207">
                  <c:v>52.02</c:v>
                </c:pt>
                <c:pt idx="208">
                  <c:v>57.21</c:v>
                </c:pt>
                <c:pt idx="209">
                  <c:v>54.08</c:v>
                </c:pt>
                <c:pt idx="210">
                  <c:v>52.04</c:v>
                </c:pt>
                <c:pt idx="211">
                  <c:v>49.61</c:v>
                </c:pt>
                <c:pt idx="213">
                  <c:v>54.4</c:v>
                </c:pt>
                <c:pt idx="214">
                  <c:v>53.89</c:v>
                </c:pt>
                <c:pt idx="215">
                  <c:v>59.87</c:v>
                </c:pt>
                <c:pt idx="216">
                  <c:v>52.99</c:v>
                </c:pt>
                <c:pt idx="217">
                  <c:v>49.37</c:v>
                </c:pt>
                <c:pt idx="218">
                  <c:v>50.59</c:v>
                </c:pt>
                <c:pt idx="219">
                  <c:v>49.31</c:v>
                </c:pt>
                <c:pt idx="220">
                  <c:v>48.85</c:v>
                </c:pt>
                <c:pt idx="221">
                  <c:v>42.25</c:v>
                </c:pt>
                <c:pt idx="222">
                  <c:v>43.67</c:v>
                </c:pt>
                <c:pt idx="224">
                  <c:v>45.75</c:v>
                </c:pt>
                <c:pt idx="225">
                  <c:v>46.49</c:v>
                </c:pt>
                <c:pt idx="226">
                  <c:v>54.42</c:v>
                </c:pt>
                <c:pt idx="227">
                  <c:v>56.09</c:v>
                </c:pt>
                <c:pt idx="228">
                  <c:v>58.8</c:v>
                </c:pt>
                <c:pt idx="229">
                  <c:v>55.7</c:v>
                </c:pt>
                <c:pt idx="230">
                  <c:v>55.5</c:v>
                </c:pt>
                <c:pt idx="231">
                  <c:v>50.88</c:v>
                </c:pt>
                <c:pt idx="232">
                  <c:v>51.63</c:v>
                </c:pt>
                <c:pt idx="233">
                  <c:v>47.69</c:v>
                </c:pt>
                <c:pt idx="234">
                  <c:v>48.21</c:v>
                </c:pt>
                <c:pt idx="235">
                  <c:v>47.44</c:v>
                </c:pt>
                <c:pt idx="236">
                  <c:v>46.57</c:v>
                </c:pt>
                <c:pt idx="237">
                  <c:v>46.36</c:v>
                </c:pt>
                <c:pt idx="238">
                  <c:v>45.65</c:v>
                </c:pt>
                <c:pt idx="239">
                  <c:v>43.49</c:v>
                </c:pt>
                <c:pt idx="240">
                  <c:v>44.77</c:v>
                </c:pt>
                <c:pt idx="242">
                  <c:v>40.4</c:v>
                </c:pt>
                <c:pt idx="243">
                  <c:v>40.75</c:v>
                </c:pt>
                <c:pt idx="244">
                  <c:v>42.4</c:v>
                </c:pt>
                <c:pt idx="245">
                  <c:v>47.84</c:v>
                </c:pt>
                <c:pt idx="246">
                  <c:v>47.17</c:v>
                </c:pt>
                <c:pt idx="247">
                  <c:v>44.63</c:v>
                </c:pt>
                <c:pt idx="248">
                  <c:v>39.01</c:v>
                </c:pt>
                <c:pt idx="249">
                  <c:v>35.090000000000003</c:v>
                </c:pt>
                <c:pt idx="250">
                  <c:v>39.409999999999997</c:v>
                </c:pt>
                <c:pt idx="251">
                  <c:v>46.41</c:v>
                </c:pt>
                <c:pt idx="252">
                  <c:v>38.24</c:v>
                </c:pt>
                <c:pt idx="253">
                  <c:v>40.81</c:v>
                </c:pt>
                <c:pt idx="254">
                  <c:v>43.06</c:v>
                </c:pt>
                <c:pt idx="255">
                  <c:v>40.49</c:v>
                </c:pt>
                <c:pt idx="256">
                  <c:v>47.92</c:v>
                </c:pt>
                <c:pt idx="257">
                  <c:v>48.77</c:v>
                </c:pt>
                <c:pt idx="258">
                  <c:v>44.32</c:v>
                </c:pt>
                <c:pt idx="259">
                  <c:v>52.97</c:v>
                </c:pt>
                <c:pt idx="260">
                  <c:v>50.16</c:v>
                </c:pt>
                <c:pt idx="261">
                  <c:v>48.53</c:v>
                </c:pt>
                <c:pt idx="262">
                  <c:v>47.24</c:v>
                </c:pt>
                <c:pt idx="263">
                  <c:v>45.72</c:v>
                </c:pt>
                <c:pt idx="264">
                  <c:v>41.79</c:v>
                </c:pt>
                <c:pt idx="265">
                  <c:v>40.17</c:v>
                </c:pt>
                <c:pt idx="266">
                  <c:v>33.82</c:v>
                </c:pt>
                <c:pt idx="268">
                  <c:v>38.24</c:v>
                </c:pt>
                <c:pt idx="269">
                  <c:v>39.56</c:v>
                </c:pt>
                <c:pt idx="270">
                  <c:v>41.9</c:v>
                </c:pt>
                <c:pt idx="271">
                  <c:v>43.35</c:v>
                </c:pt>
                <c:pt idx="272">
                  <c:v>39.54</c:v>
                </c:pt>
                <c:pt idx="273">
                  <c:v>34.700000000000003</c:v>
                </c:pt>
                <c:pt idx="274">
                  <c:v>40.6</c:v>
                </c:pt>
                <c:pt idx="275">
                  <c:v>22.27</c:v>
                </c:pt>
                <c:pt idx="276">
                  <c:v>24.04</c:v>
                </c:pt>
                <c:pt idx="277">
                  <c:v>25.05</c:v>
                </c:pt>
                <c:pt idx="278">
                  <c:v>40.24</c:v>
                </c:pt>
                <c:pt idx="279">
                  <c:v>43.93</c:v>
                </c:pt>
                <c:pt idx="280">
                  <c:v>39.72</c:v>
                </c:pt>
                <c:pt idx="281">
                  <c:v>49.27</c:v>
                </c:pt>
                <c:pt idx="282">
                  <c:v>42.05</c:v>
                </c:pt>
                <c:pt idx="283">
                  <c:v>43.8</c:v>
                </c:pt>
                <c:pt idx="284">
                  <c:v>42.67</c:v>
                </c:pt>
                <c:pt idx="285">
                  <c:v>44.59</c:v>
                </c:pt>
                <c:pt idx="286">
                  <c:v>52.34</c:v>
                </c:pt>
                <c:pt idx="287">
                  <c:v>49.98</c:v>
                </c:pt>
                <c:pt idx="288">
                  <c:v>51.76</c:v>
                </c:pt>
                <c:pt idx="289">
                  <c:v>51.4</c:v>
                </c:pt>
                <c:pt idx="290">
                  <c:v>51.11</c:v>
                </c:pt>
                <c:pt idx="291">
                  <c:v>50.87</c:v>
                </c:pt>
                <c:pt idx="292">
                  <c:v>44.12</c:v>
                </c:pt>
                <c:pt idx="293">
                  <c:v>39.5</c:v>
                </c:pt>
                <c:pt idx="294">
                  <c:v>41.74</c:v>
                </c:pt>
                <c:pt idx="295">
                  <c:v>46.37</c:v>
                </c:pt>
                <c:pt idx="296">
                  <c:v>52.32</c:v>
                </c:pt>
                <c:pt idx="297">
                  <c:v>59.39</c:v>
                </c:pt>
                <c:pt idx="298">
                  <c:v>59.35</c:v>
                </c:pt>
                <c:pt idx="299">
                  <c:v>61.17</c:v>
                </c:pt>
                <c:pt idx="300">
                  <c:v>56.7</c:v>
                </c:pt>
                <c:pt idx="301">
                  <c:v>62.98</c:v>
                </c:pt>
                <c:pt idx="302">
                  <c:v>61.11</c:v>
                </c:pt>
                <c:pt idx="303">
                  <c:v>55.63</c:v>
                </c:pt>
                <c:pt idx="304">
                  <c:v>58.31</c:v>
                </c:pt>
                <c:pt idx="305">
                  <c:v>63.36</c:v>
                </c:pt>
                <c:pt idx="306">
                  <c:v>59.49</c:v>
                </c:pt>
                <c:pt idx="307">
                  <c:v>55.4</c:v>
                </c:pt>
                <c:pt idx="308">
                  <c:v>59.08</c:v>
                </c:pt>
                <c:pt idx="309">
                  <c:v>56.28</c:v>
                </c:pt>
                <c:pt idx="310">
                  <c:v>48.83</c:v>
                </c:pt>
                <c:pt idx="312">
                  <c:v>50.01</c:v>
                </c:pt>
                <c:pt idx="313">
                  <c:v>57.3</c:v>
                </c:pt>
                <c:pt idx="314">
                  <c:v>55.12</c:v>
                </c:pt>
                <c:pt idx="315">
                  <c:v>56.1</c:v>
                </c:pt>
                <c:pt idx="316">
                  <c:v>57.31</c:v>
                </c:pt>
                <c:pt idx="317">
                  <c:v>57.88</c:v>
                </c:pt>
                <c:pt idx="318">
                  <c:v>60.81</c:v>
                </c:pt>
                <c:pt idx="319">
                  <c:v>66.87</c:v>
                </c:pt>
                <c:pt idx="320">
                  <c:v>63.26</c:v>
                </c:pt>
                <c:pt idx="321">
                  <c:v>65.13</c:v>
                </c:pt>
                <c:pt idx="322">
                  <c:v>63.71</c:v>
                </c:pt>
                <c:pt idx="323">
                  <c:v>65.760000000000005</c:v>
                </c:pt>
                <c:pt idx="324">
                  <c:v>61.68</c:v>
                </c:pt>
                <c:pt idx="325">
                  <c:v>65.38</c:v>
                </c:pt>
                <c:pt idx="326">
                  <c:v>70.069999999999993</c:v>
                </c:pt>
                <c:pt idx="327">
                  <c:v>62.15</c:v>
                </c:pt>
                <c:pt idx="328">
                  <c:v>61.47</c:v>
                </c:pt>
                <c:pt idx="329">
                  <c:v>55.4</c:v>
                </c:pt>
                <c:pt idx="330">
                  <c:v>56.8</c:v>
                </c:pt>
                <c:pt idx="332">
                  <c:v>47.93</c:v>
                </c:pt>
                <c:pt idx="333">
                  <c:v>51.99</c:v>
                </c:pt>
                <c:pt idx="334">
                  <c:v>49.65</c:v>
                </c:pt>
                <c:pt idx="335">
                  <c:v>47.23</c:v>
                </c:pt>
                <c:pt idx="336">
                  <c:v>53.34</c:v>
                </c:pt>
                <c:pt idx="337">
                  <c:v>45.13</c:v>
                </c:pt>
                <c:pt idx="339">
                  <c:v>48.57</c:v>
                </c:pt>
                <c:pt idx="340">
                  <c:v>45.02</c:v>
                </c:pt>
                <c:pt idx="341">
                  <c:v>41.42</c:v>
                </c:pt>
                <c:pt idx="342">
                  <c:v>41.11</c:v>
                </c:pt>
                <c:pt idx="343">
                  <c:v>33.75</c:v>
                </c:pt>
                <c:pt idx="344">
                  <c:v>33.520000000000003</c:v>
                </c:pt>
                <c:pt idx="345">
                  <c:v>31.72</c:v>
                </c:pt>
                <c:pt idx="346">
                  <c:v>36.479999999999997</c:v>
                </c:pt>
                <c:pt idx="347">
                  <c:v>38.520000000000003</c:v>
                </c:pt>
                <c:pt idx="348">
                  <c:v>37.11</c:v>
                </c:pt>
                <c:pt idx="349">
                  <c:v>34.270000000000003</c:v>
                </c:pt>
                <c:pt idx="350">
                  <c:v>30.42</c:v>
                </c:pt>
                <c:pt idx="351">
                  <c:v>20.51</c:v>
                </c:pt>
                <c:pt idx="352">
                  <c:v>22.29</c:v>
                </c:pt>
                <c:pt idx="353">
                  <c:v>26.12</c:v>
                </c:pt>
                <c:pt idx="354">
                  <c:v>26.35</c:v>
                </c:pt>
                <c:pt idx="355">
                  <c:v>30.38</c:v>
                </c:pt>
                <c:pt idx="356">
                  <c:v>30.43</c:v>
                </c:pt>
                <c:pt idx="357">
                  <c:v>33.409999999999997</c:v>
                </c:pt>
                <c:pt idx="358">
                  <c:v>39.64</c:v>
                </c:pt>
                <c:pt idx="359">
                  <c:v>41.87</c:v>
                </c:pt>
                <c:pt idx="360">
                  <c:v>39.67</c:v>
                </c:pt>
                <c:pt idx="361">
                  <c:v>42.59</c:v>
                </c:pt>
                <c:pt idx="362">
                  <c:v>49.33</c:v>
                </c:pt>
                <c:pt idx="363">
                  <c:v>49.69</c:v>
                </c:pt>
                <c:pt idx="364">
                  <c:v>51.1</c:v>
                </c:pt>
                <c:pt idx="365">
                  <c:v>52.19</c:v>
                </c:pt>
                <c:pt idx="367">
                  <c:v>50.46</c:v>
                </c:pt>
                <c:pt idx="368">
                  <c:v>47.46</c:v>
                </c:pt>
                <c:pt idx="369">
                  <c:v>44.34</c:v>
                </c:pt>
                <c:pt idx="370">
                  <c:v>39.03</c:v>
                </c:pt>
                <c:pt idx="371">
                  <c:v>38.46</c:v>
                </c:pt>
                <c:pt idx="372">
                  <c:v>33.28</c:v>
                </c:pt>
                <c:pt idx="373">
                  <c:v>24.74</c:v>
                </c:pt>
                <c:pt idx="374">
                  <c:v>26.1</c:v>
                </c:pt>
                <c:pt idx="375">
                  <c:v>25.58</c:v>
                </c:pt>
                <c:pt idx="376">
                  <c:v>30.99</c:v>
                </c:pt>
                <c:pt idx="377">
                  <c:v>37.31</c:v>
                </c:pt>
                <c:pt idx="378">
                  <c:v>38.54</c:v>
                </c:pt>
                <c:pt idx="379">
                  <c:v>46.07</c:v>
                </c:pt>
                <c:pt idx="380">
                  <c:v>49.9</c:v>
                </c:pt>
                <c:pt idx="381">
                  <c:v>44.71</c:v>
                </c:pt>
                <c:pt idx="382">
                  <c:v>38.82</c:v>
                </c:pt>
                <c:pt idx="383">
                  <c:v>37.729999999999997</c:v>
                </c:pt>
                <c:pt idx="384">
                  <c:v>31.25</c:v>
                </c:pt>
                <c:pt idx="385">
                  <c:v>34.22</c:v>
                </c:pt>
                <c:pt idx="386">
                  <c:v>28.56</c:v>
                </c:pt>
                <c:pt idx="387">
                  <c:v>32.26</c:v>
                </c:pt>
                <c:pt idx="388">
                  <c:v>33.159999999999997</c:v>
                </c:pt>
                <c:pt idx="389">
                  <c:v>34.450000000000003</c:v>
                </c:pt>
                <c:pt idx="390">
                  <c:v>33.15</c:v>
                </c:pt>
                <c:pt idx="391">
                  <c:v>35.6</c:v>
                </c:pt>
                <c:pt idx="392">
                  <c:v>38.82</c:v>
                </c:pt>
                <c:pt idx="393">
                  <c:v>41.31</c:v>
                </c:pt>
                <c:pt idx="394">
                  <c:v>42.08</c:v>
                </c:pt>
                <c:pt idx="395">
                  <c:v>49.08</c:v>
                </c:pt>
                <c:pt idx="396">
                  <c:v>45.63</c:v>
                </c:pt>
                <c:pt idx="397">
                  <c:v>49.37</c:v>
                </c:pt>
                <c:pt idx="398">
                  <c:v>47.44</c:v>
                </c:pt>
                <c:pt idx="399">
                  <c:v>56.19</c:v>
                </c:pt>
                <c:pt idx="400">
                  <c:v>52.53</c:v>
                </c:pt>
                <c:pt idx="401">
                  <c:v>47.13</c:v>
                </c:pt>
                <c:pt idx="402">
                  <c:v>49.81</c:v>
                </c:pt>
                <c:pt idx="403">
                  <c:v>41.4</c:v>
                </c:pt>
                <c:pt idx="404">
                  <c:v>36.14</c:v>
                </c:pt>
                <c:pt idx="405">
                  <c:v>38.78</c:v>
                </c:pt>
                <c:pt idx="406">
                  <c:v>38.03</c:v>
                </c:pt>
                <c:pt idx="407">
                  <c:v>43.78</c:v>
                </c:pt>
                <c:pt idx="408">
                  <c:v>45.2</c:v>
                </c:pt>
                <c:pt idx="409">
                  <c:v>49.08</c:v>
                </c:pt>
                <c:pt idx="410">
                  <c:v>43.53</c:v>
                </c:pt>
                <c:pt idx="411">
                  <c:v>43.88</c:v>
                </c:pt>
                <c:pt idx="412">
                  <c:v>41.03</c:v>
                </c:pt>
                <c:pt idx="413">
                  <c:v>47.64</c:v>
                </c:pt>
                <c:pt idx="414">
                  <c:v>49.16</c:v>
                </c:pt>
                <c:pt idx="415">
                  <c:v>53.68</c:v>
                </c:pt>
                <c:pt idx="416">
                  <c:v>57.22</c:v>
                </c:pt>
                <c:pt idx="417">
                  <c:v>54.8</c:v>
                </c:pt>
                <c:pt idx="418">
                  <c:v>56.17</c:v>
                </c:pt>
                <c:pt idx="419">
                  <c:v>65.7</c:v>
                </c:pt>
                <c:pt idx="420">
                  <c:v>61.68</c:v>
                </c:pt>
                <c:pt idx="421">
                  <c:v>60.4</c:v>
                </c:pt>
                <c:pt idx="422">
                  <c:v>58.13</c:v>
                </c:pt>
                <c:pt idx="423">
                  <c:v>60.79</c:v>
                </c:pt>
                <c:pt idx="424">
                  <c:v>58.04</c:v>
                </c:pt>
                <c:pt idx="425">
                  <c:v>53.42</c:v>
                </c:pt>
                <c:pt idx="426">
                  <c:v>56.24</c:v>
                </c:pt>
                <c:pt idx="427">
                  <c:v>70.19</c:v>
                </c:pt>
                <c:pt idx="428">
                  <c:v>72.28</c:v>
                </c:pt>
                <c:pt idx="430">
                  <c:v>74.58</c:v>
                </c:pt>
                <c:pt idx="431">
                  <c:v>71.56</c:v>
                </c:pt>
                <c:pt idx="432">
                  <c:v>70.569999999999993</c:v>
                </c:pt>
                <c:pt idx="433">
                  <c:v>70.040000000000006</c:v>
                </c:pt>
                <c:pt idx="434">
                  <c:v>69.36</c:v>
                </c:pt>
                <c:pt idx="435">
                  <c:v>69.849999999999994</c:v>
                </c:pt>
                <c:pt idx="436">
                  <c:v>68.09</c:v>
                </c:pt>
                <c:pt idx="437">
                  <c:v>67.83</c:v>
                </c:pt>
                <c:pt idx="438">
                  <c:v>67.19</c:v>
                </c:pt>
                <c:pt idx="439">
                  <c:v>65.66</c:v>
                </c:pt>
                <c:pt idx="440">
                  <c:v>63.28</c:v>
                </c:pt>
                <c:pt idx="441">
                  <c:v>62.87</c:v>
                </c:pt>
                <c:pt idx="442">
                  <c:v>60.43</c:v>
                </c:pt>
                <c:pt idx="443">
                  <c:v>59.01</c:v>
                </c:pt>
                <c:pt idx="444">
                  <c:v>53.85</c:v>
                </c:pt>
                <c:pt idx="445">
                  <c:v>55.91</c:v>
                </c:pt>
                <c:pt idx="446">
                  <c:v>53.77</c:v>
                </c:pt>
                <c:pt idx="447">
                  <c:v>42.51</c:v>
                </c:pt>
                <c:pt idx="448">
                  <c:v>47.5</c:v>
                </c:pt>
                <c:pt idx="449">
                  <c:v>44.77</c:v>
                </c:pt>
                <c:pt idx="450">
                  <c:v>62.72</c:v>
                </c:pt>
                <c:pt idx="451">
                  <c:v>64.510000000000005</c:v>
                </c:pt>
                <c:pt idx="452">
                  <c:v>58.97</c:v>
                </c:pt>
                <c:pt idx="453">
                  <c:v>62.21</c:v>
                </c:pt>
                <c:pt idx="454">
                  <c:v>61.75</c:v>
                </c:pt>
                <c:pt idx="455">
                  <c:v>61.44</c:v>
                </c:pt>
                <c:pt idx="456">
                  <c:v>58.61</c:v>
                </c:pt>
                <c:pt idx="457">
                  <c:v>62.42</c:v>
                </c:pt>
                <c:pt idx="458">
                  <c:v>58.25</c:v>
                </c:pt>
                <c:pt idx="459">
                  <c:v>58.69</c:v>
                </c:pt>
                <c:pt idx="460">
                  <c:v>55.77</c:v>
                </c:pt>
                <c:pt idx="461">
                  <c:v>53.05</c:v>
                </c:pt>
                <c:pt idx="462">
                  <c:v>71.709999999999994</c:v>
                </c:pt>
                <c:pt idx="463">
                  <c:v>69.739999999999995</c:v>
                </c:pt>
                <c:pt idx="464">
                  <c:v>62.18</c:v>
                </c:pt>
                <c:pt idx="465">
                  <c:v>65.95</c:v>
                </c:pt>
                <c:pt idx="466">
                  <c:v>62.18</c:v>
                </c:pt>
                <c:pt idx="467">
                  <c:v>57.26</c:v>
                </c:pt>
                <c:pt idx="468">
                  <c:v>49.08</c:v>
                </c:pt>
                <c:pt idx="469">
                  <c:v>43.99</c:v>
                </c:pt>
                <c:pt idx="470">
                  <c:v>44.94</c:v>
                </c:pt>
                <c:pt idx="472">
                  <c:v>36.01</c:v>
                </c:pt>
                <c:pt idx="473">
                  <c:v>42.33</c:v>
                </c:pt>
                <c:pt idx="474">
                  <c:v>45.93</c:v>
                </c:pt>
                <c:pt idx="475">
                  <c:v>52.34</c:v>
                </c:pt>
                <c:pt idx="476">
                  <c:v>53.35</c:v>
                </c:pt>
                <c:pt idx="477">
                  <c:v>55.34</c:v>
                </c:pt>
                <c:pt idx="478">
                  <c:v>59.82</c:v>
                </c:pt>
                <c:pt idx="479">
                  <c:v>64.08</c:v>
                </c:pt>
                <c:pt idx="480">
                  <c:v>62.57</c:v>
                </c:pt>
                <c:pt idx="481">
                  <c:v>60.31</c:v>
                </c:pt>
                <c:pt idx="483">
                  <c:v>57.51</c:v>
                </c:pt>
                <c:pt idx="484">
                  <c:v>56.39</c:v>
                </c:pt>
                <c:pt idx="485">
                  <c:v>57.5</c:v>
                </c:pt>
                <c:pt idx="486">
                  <c:v>57.86</c:v>
                </c:pt>
                <c:pt idx="487">
                  <c:v>58.67</c:v>
                </c:pt>
                <c:pt idx="488">
                  <c:v>60.7</c:v>
                </c:pt>
                <c:pt idx="489">
                  <c:v>64.81</c:v>
                </c:pt>
                <c:pt idx="490">
                  <c:v>62.74</c:v>
                </c:pt>
                <c:pt idx="491">
                  <c:v>62.12</c:v>
                </c:pt>
                <c:pt idx="492">
                  <c:v>60.3</c:v>
                </c:pt>
                <c:pt idx="493">
                  <c:v>57.71</c:v>
                </c:pt>
                <c:pt idx="494">
                  <c:v>56.01</c:v>
                </c:pt>
                <c:pt idx="495">
                  <c:v>51.67</c:v>
                </c:pt>
                <c:pt idx="496">
                  <c:v>40.5</c:v>
                </c:pt>
                <c:pt idx="497">
                  <c:v>40.07</c:v>
                </c:pt>
                <c:pt idx="498">
                  <c:v>44.9</c:v>
                </c:pt>
                <c:pt idx="500">
                  <c:v>54.52</c:v>
                </c:pt>
                <c:pt idx="501">
                  <c:v>57.74</c:v>
                </c:pt>
                <c:pt idx="502">
                  <c:v>70.33</c:v>
                </c:pt>
                <c:pt idx="503">
                  <c:v>69.319999999999993</c:v>
                </c:pt>
                <c:pt idx="504">
                  <c:v>68.36</c:v>
                </c:pt>
                <c:pt idx="505">
                  <c:v>70.91</c:v>
                </c:pt>
                <c:pt idx="506">
                  <c:v>69.97</c:v>
                </c:pt>
                <c:pt idx="507">
                  <c:v>71.27</c:v>
                </c:pt>
                <c:pt idx="508">
                  <c:v>63.29</c:v>
                </c:pt>
                <c:pt idx="509">
                  <c:v>60.38</c:v>
                </c:pt>
                <c:pt idx="510">
                  <c:v>61.42</c:v>
                </c:pt>
                <c:pt idx="511">
                  <c:v>60.1</c:v>
                </c:pt>
                <c:pt idx="512">
                  <c:v>53.94</c:v>
                </c:pt>
                <c:pt idx="513">
                  <c:v>57.23</c:v>
                </c:pt>
                <c:pt idx="514">
                  <c:v>50.53</c:v>
                </c:pt>
                <c:pt idx="515">
                  <c:v>46.76</c:v>
                </c:pt>
                <c:pt idx="516">
                  <c:v>44.34</c:v>
                </c:pt>
                <c:pt idx="517">
                  <c:v>44.88</c:v>
                </c:pt>
                <c:pt idx="518">
                  <c:v>43.28</c:v>
                </c:pt>
                <c:pt idx="519">
                  <c:v>43.75</c:v>
                </c:pt>
                <c:pt idx="520">
                  <c:v>40.93</c:v>
                </c:pt>
                <c:pt idx="521">
                  <c:v>40.69</c:v>
                </c:pt>
                <c:pt idx="522">
                  <c:v>44.56</c:v>
                </c:pt>
                <c:pt idx="523">
                  <c:v>46.49</c:v>
                </c:pt>
                <c:pt idx="524">
                  <c:v>35.86</c:v>
                </c:pt>
                <c:pt idx="525">
                  <c:v>32.22</c:v>
                </c:pt>
                <c:pt idx="526">
                  <c:v>28.52</c:v>
                </c:pt>
                <c:pt idx="527">
                  <c:v>28.55</c:v>
                </c:pt>
                <c:pt idx="528">
                  <c:v>29.18</c:v>
                </c:pt>
                <c:pt idx="529">
                  <c:v>28.88</c:v>
                </c:pt>
                <c:pt idx="530">
                  <c:v>29.54</c:v>
                </c:pt>
                <c:pt idx="531">
                  <c:v>35.159999999999997</c:v>
                </c:pt>
                <c:pt idx="532">
                  <c:v>36.96</c:v>
                </c:pt>
                <c:pt idx="533">
                  <c:v>42.88</c:v>
                </c:pt>
                <c:pt idx="534">
                  <c:v>40.18</c:v>
                </c:pt>
                <c:pt idx="535">
                  <c:v>41.83</c:v>
                </c:pt>
                <c:pt idx="536">
                  <c:v>34.96</c:v>
                </c:pt>
                <c:pt idx="537">
                  <c:v>42.62</c:v>
                </c:pt>
                <c:pt idx="538">
                  <c:v>43.3</c:v>
                </c:pt>
                <c:pt idx="539">
                  <c:v>54.82</c:v>
                </c:pt>
                <c:pt idx="541">
                  <c:v>63.49</c:v>
                </c:pt>
                <c:pt idx="542">
                  <c:v>63.4</c:v>
                </c:pt>
                <c:pt idx="543">
                  <c:v>53.65</c:v>
                </c:pt>
                <c:pt idx="544">
                  <c:v>50.28</c:v>
                </c:pt>
                <c:pt idx="545">
                  <c:v>51.6</c:v>
                </c:pt>
                <c:pt idx="546">
                  <c:v>52.88</c:v>
                </c:pt>
                <c:pt idx="547">
                  <c:v>51.82</c:v>
                </c:pt>
                <c:pt idx="548">
                  <c:v>53.76</c:v>
                </c:pt>
                <c:pt idx="549">
                  <c:v>48.56</c:v>
                </c:pt>
                <c:pt idx="550">
                  <c:v>51.59</c:v>
                </c:pt>
                <c:pt idx="551">
                  <c:v>55.02</c:v>
                </c:pt>
                <c:pt idx="552">
                  <c:v>58.24</c:v>
                </c:pt>
                <c:pt idx="553">
                  <c:v>61.93</c:v>
                </c:pt>
                <c:pt idx="554">
                  <c:v>59.06</c:v>
                </c:pt>
                <c:pt idx="555">
                  <c:v>59.55</c:v>
                </c:pt>
                <c:pt idx="556">
                  <c:v>61.14</c:v>
                </c:pt>
                <c:pt idx="557">
                  <c:v>58.55</c:v>
                </c:pt>
                <c:pt idx="558">
                  <c:v>54.44</c:v>
                </c:pt>
                <c:pt idx="559">
                  <c:v>60.58</c:v>
                </c:pt>
                <c:pt idx="560">
                  <c:v>61.89</c:v>
                </c:pt>
                <c:pt idx="561">
                  <c:v>55.75</c:v>
                </c:pt>
                <c:pt idx="562">
                  <c:v>63.14</c:v>
                </c:pt>
                <c:pt idx="563">
                  <c:v>68.3</c:v>
                </c:pt>
                <c:pt idx="564">
                  <c:v>70.95</c:v>
                </c:pt>
                <c:pt idx="565">
                  <c:v>76.8</c:v>
                </c:pt>
                <c:pt idx="566">
                  <c:v>75.040000000000006</c:v>
                </c:pt>
                <c:pt idx="567">
                  <c:v>69.86</c:v>
                </c:pt>
                <c:pt idx="568">
                  <c:v>68.73</c:v>
                </c:pt>
                <c:pt idx="570">
                  <c:v>72.599999999999994</c:v>
                </c:pt>
                <c:pt idx="571">
                  <c:v>71.150000000000006</c:v>
                </c:pt>
                <c:pt idx="572">
                  <c:v>67.599999999999994</c:v>
                </c:pt>
                <c:pt idx="573">
                  <c:v>62.56</c:v>
                </c:pt>
                <c:pt idx="574">
                  <c:v>74.150000000000006</c:v>
                </c:pt>
                <c:pt idx="575">
                  <c:v>73.5</c:v>
                </c:pt>
                <c:pt idx="576">
                  <c:v>74.5</c:v>
                </c:pt>
                <c:pt idx="577">
                  <c:v>76.709999999999994</c:v>
                </c:pt>
                <c:pt idx="578">
                  <c:v>75.67</c:v>
                </c:pt>
                <c:pt idx="579">
                  <c:v>70.84</c:v>
                </c:pt>
                <c:pt idx="580">
                  <c:v>69.239999999999995</c:v>
                </c:pt>
                <c:pt idx="581">
                  <c:v>70.97</c:v>
                </c:pt>
                <c:pt idx="582">
                  <c:v>63.65</c:v>
                </c:pt>
                <c:pt idx="583">
                  <c:v>65.239999999999995</c:v>
                </c:pt>
                <c:pt idx="584">
                  <c:v>63.83</c:v>
                </c:pt>
                <c:pt idx="585">
                  <c:v>59.08</c:v>
                </c:pt>
                <c:pt idx="586">
                  <c:v>54.62</c:v>
                </c:pt>
                <c:pt idx="587">
                  <c:v>56.13</c:v>
                </c:pt>
                <c:pt idx="588">
                  <c:v>66.540000000000006</c:v>
                </c:pt>
                <c:pt idx="589">
                  <c:v>67.44</c:v>
                </c:pt>
                <c:pt idx="590">
                  <c:v>64.72</c:v>
                </c:pt>
                <c:pt idx="591">
                  <c:v>64.36</c:v>
                </c:pt>
                <c:pt idx="592">
                  <c:v>64.510000000000005</c:v>
                </c:pt>
                <c:pt idx="593">
                  <c:v>66.58</c:v>
                </c:pt>
                <c:pt idx="595">
                  <c:v>73.14</c:v>
                </c:pt>
                <c:pt idx="596">
                  <c:v>76.03</c:v>
                </c:pt>
                <c:pt idx="597">
                  <c:v>76.84</c:v>
                </c:pt>
                <c:pt idx="598">
                  <c:v>75.28</c:v>
                </c:pt>
                <c:pt idx="599">
                  <c:v>75.42</c:v>
                </c:pt>
                <c:pt idx="600">
                  <c:v>72.33</c:v>
                </c:pt>
                <c:pt idx="601">
                  <c:v>73.17</c:v>
                </c:pt>
                <c:pt idx="602">
                  <c:v>71.41</c:v>
                </c:pt>
                <c:pt idx="603">
                  <c:v>72.89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09-4CF7-A3CB-70AA8435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비금속  </a:t>
            </a:r>
            <a:r>
              <a:rPr lang="en-US"/>
              <a:t>vs  </a:t>
            </a:r>
            <a:r>
              <a:rPr lang="ko-KR" altLang="en-US"/>
              <a:t>소재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RSI'!$G$7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RSI'!$G$78:$G$3077</c:f>
              <c:numCache>
                <c:formatCode>0.00</c:formatCode>
                <c:ptCount val="3000"/>
                <c:pt idx="1">
                  <c:v>52.79</c:v>
                </c:pt>
                <c:pt idx="2">
                  <c:v>62.62</c:v>
                </c:pt>
                <c:pt idx="3">
                  <c:v>58.61</c:v>
                </c:pt>
                <c:pt idx="4">
                  <c:v>55.92</c:v>
                </c:pt>
                <c:pt idx="5">
                  <c:v>53.56</c:v>
                </c:pt>
                <c:pt idx="6">
                  <c:v>52.53</c:v>
                </c:pt>
                <c:pt idx="7">
                  <c:v>54.69</c:v>
                </c:pt>
                <c:pt idx="8">
                  <c:v>54.82</c:v>
                </c:pt>
                <c:pt idx="9">
                  <c:v>54.09</c:v>
                </c:pt>
                <c:pt idx="10">
                  <c:v>56.71</c:v>
                </c:pt>
                <c:pt idx="11">
                  <c:v>59.4</c:v>
                </c:pt>
                <c:pt idx="12">
                  <c:v>59.11</c:v>
                </c:pt>
                <c:pt idx="13">
                  <c:v>57.23</c:v>
                </c:pt>
                <c:pt idx="14">
                  <c:v>50.74</c:v>
                </c:pt>
                <c:pt idx="15">
                  <c:v>52.83</c:v>
                </c:pt>
                <c:pt idx="16">
                  <c:v>48.41</c:v>
                </c:pt>
                <c:pt idx="17">
                  <c:v>49.76</c:v>
                </c:pt>
                <c:pt idx="18">
                  <c:v>39.85</c:v>
                </c:pt>
                <c:pt idx="19">
                  <c:v>42.76</c:v>
                </c:pt>
                <c:pt idx="20">
                  <c:v>41.96</c:v>
                </c:pt>
                <c:pt idx="21">
                  <c:v>40.15</c:v>
                </c:pt>
                <c:pt idx="22">
                  <c:v>43.92</c:v>
                </c:pt>
                <c:pt idx="23">
                  <c:v>34.43</c:v>
                </c:pt>
                <c:pt idx="24">
                  <c:v>38.36</c:v>
                </c:pt>
                <c:pt idx="25">
                  <c:v>42.8</c:v>
                </c:pt>
                <c:pt idx="26">
                  <c:v>46.24</c:v>
                </c:pt>
                <c:pt idx="27">
                  <c:v>49.5</c:v>
                </c:pt>
                <c:pt idx="28">
                  <c:v>49.81</c:v>
                </c:pt>
                <c:pt idx="29">
                  <c:v>49.59</c:v>
                </c:pt>
                <c:pt idx="30">
                  <c:v>55.3</c:v>
                </c:pt>
                <c:pt idx="31">
                  <c:v>49.18</c:v>
                </c:pt>
                <c:pt idx="32">
                  <c:v>52.36</c:v>
                </c:pt>
                <c:pt idx="33">
                  <c:v>51.86</c:v>
                </c:pt>
                <c:pt idx="34">
                  <c:v>50.15</c:v>
                </c:pt>
                <c:pt idx="35">
                  <c:v>54.15</c:v>
                </c:pt>
                <c:pt idx="36">
                  <c:v>55.13</c:v>
                </c:pt>
                <c:pt idx="37">
                  <c:v>50.23</c:v>
                </c:pt>
                <c:pt idx="38">
                  <c:v>43.83</c:v>
                </c:pt>
                <c:pt idx="39">
                  <c:v>40.57</c:v>
                </c:pt>
                <c:pt idx="40">
                  <c:v>47.33</c:v>
                </c:pt>
                <c:pt idx="41">
                  <c:v>47.33</c:v>
                </c:pt>
                <c:pt idx="42">
                  <c:v>37.24</c:v>
                </c:pt>
                <c:pt idx="43">
                  <c:v>53.39</c:v>
                </c:pt>
                <c:pt idx="45">
                  <c:v>60.32</c:v>
                </c:pt>
                <c:pt idx="46">
                  <c:v>63.04</c:v>
                </c:pt>
                <c:pt idx="47">
                  <c:v>75.47</c:v>
                </c:pt>
                <c:pt idx="48">
                  <c:v>75.16</c:v>
                </c:pt>
                <c:pt idx="49">
                  <c:v>75.92</c:v>
                </c:pt>
                <c:pt idx="50">
                  <c:v>76.709999999999994</c:v>
                </c:pt>
                <c:pt idx="51">
                  <c:v>73.67</c:v>
                </c:pt>
                <c:pt idx="54">
                  <c:v>70.569999999999993</c:v>
                </c:pt>
                <c:pt idx="55">
                  <c:v>72.349999999999994</c:v>
                </c:pt>
                <c:pt idx="56">
                  <c:v>72.08</c:v>
                </c:pt>
                <c:pt idx="57">
                  <c:v>71.180000000000007</c:v>
                </c:pt>
                <c:pt idx="58">
                  <c:v>66.89</c:v>
                </c:pt>
                <c:pt idx="59">
                  <c:v>62.81</c:v>
                </c:pt>
                <c:pt idx="60">
                  <c:v>63.91</c:v>
                </c:pt>
                <c:pt idx="61">
                  <c:v>63.46</c:v>
                </c:pt>
                <c:pt idx="62">
                  <c:v>57.19</c:v>
                </c:pt>
                <c:pt idx="63">
                  <c:v>47.3</c:v>
                </c:pt>
                <c:pt idx="64">
                  <c:v>54.04</c:v>
                </c:pt>
                <c:pt idx="65">
                  <c:v>55.91</c:v>
                </c:pt>
                <c:pt idx="66">
                  <c:v>49.5</c:v>
                </c:pt>
                <c:pt idx="67">
                  <c:v>45.04</c:v>
                </c:pt>
                <c:pt idx="68">
                  <c:v>45.45</c:v>
                </c:pt>
                <c:pt idx="69">
                  <c:v>45.24</c:v>
                </c:pt>
                <c:pt idx="70">
                  <c:v>41.41</c:v>
                </c:pt>
                <c:pt idx="71">
                  <c:v>39.549999999999997</c:v>
                </c:pt>
                <c:pt idx="72">
                  <c:v>46.14</c:v>
                </c:pt>
                <c:pt idx="73">
                  <c:v>41.42</c:v>
                </c:pt>
                <c:pt idx="74">
                  <c:v>42.31</c:v>
                </c:pt>
                <c:pt idx="75">
                  <c:v>44.73</c:v>
                </c:pt>
                <c:pt idx="76">
                  <c:v>45.61</c:v>
                </c:pt>
                <c:pt idx="77">
                  <c:v>42.47</c:v>
                </c:pt>
                <c:pt idx="78">
                  <c:v>48.15</c:v>
                </c:pt>
                <c:pt idx="79">
                  <c:v>37.200000000000003</c:v>
                </c:pt>
                <c:pt idx="80">
                  <c:v>32.21</c:v>
                </c:pt>
                <c:pt idx="81">
                  <c:v>37.950000000000003</c:v>
                </c:pt>
                <c:pt idx="82">
                  <c:v>39.11</c:v>
                </c:pt>
                <c:pt idx="83">
                  <c:v>40.729999999999997</c:v>
                </c:pt>
                <c:pt idx="84">
                  <c:v>40.96</c:v>
                </c:pt>
                <c:pt idx="86">
                  <c:v>45.13</c:v>
                </c:pt>
                <c:pt idx="87">
                  <c:v>46.68</c:v>
                </c:pt>
                <c:pt idx="88">
                  <c:v>63.05</c:v>
                </c:pt>
                <c:pt idx="89">
                  <c:v>64.11</c:v>
                </c:pt>
                <c:pt idx="90">
                  <c:v>65.45</c:v>
                </c:pt>
                <c:pt idx="91">
                  <c:v>64.23</c:v>
                </c:pt>
                <c:pt idx="92">
                  <c:v>64.3</c:v>
                </c:pt>
                <c:pt idx="93">
                  <c:v>64.2</c:v>
                </c:pt>
                <c:pt idx="94">
                  <c:v>68.45</c:v>
                </c:pt>
                <c:pt idx="95">
                  <c:v>64.7</c:v>
                </c:pt>
                <c:pt idx="96">
                  <c:v>67.63</c:v>
                </c:pt>
                <c:pt idx="97">
                  <c:v>70.599999999999994</c:v>
                </c:pt>
                <c:pt idx="98">
                  <c:v>68.42</c:v>
                </c:pt>
                <c:pt idx="99">
                  <c:v>58.49</c:v>
                </c:pt>
                <c:pt idx="100">
                  <c:v>56.64</c:v>
                </c:pt>
                <c:pt idx="101">
                  <c:v>52.99</c:v>
                </c:pt>
                <c:pt idx="102">
                  <c:v>59.16</c:v>
                </c:pt>
                <c:pt idx="103">
                  <c:v>49.22</c:v>
                </c:pt>
                <c:pt idx="104">
                  <c:v>53.13</c:v>
                </c:pt>
                <c:pt idx="105">
                  <c:v>47.23</c:v>
                </c:pt>
                <c:pt idx="106">
                  <c:v>43.93</c:v>
                </c:pt>
                <c:pt idx="107">
                  <c:v>46.73</c:v>
                </c:pt>
                <c:pt idx="108">
                  <c:v>44.64</c:v>
                </c:pt>
                <c:pt idx="109">
                  <c:v>47.11</c:v>
                </c:pt>
                <c:pt idx="110">
                  <c:v>36.880000000000003</c:v>
                </c:pt>
                <c:pt idx="111">
                  <c:v>41.63</c:v>
                </c:pt>
                <c:pt idx="112">
                  <c:v>42.01</c:v>
                </c:pt>
                <c:pt idx="113">
                  <c:v>45.49</c:v>
                </c:pt>
                <c:pt idx="114">
                  <c:v>39.71</c:v>
                </c:pt>
                <c:pt idx="115">
                  <c:v>36.92</c:v>
                </c:pt>
                <c:pt idx="116">
                  <c:v>43.46</c:v>
                </c:pt>
                <c:pt idx="117">
                  <c:v>44.68</c:v>
                </c:pt>
                <c:pt idx="118">
                  <c:v>48.75</c:v>
                </c:pt>
                <c:pt idx="119">
                  <c:v>49.62</c:v>
                </c:pt>
                <c:pt idx="120">
                  <c:v>41.71</c:v>
                </c:pt>
                <c:pt idx="121">
                  <c:v>41.62</c:v>
                </c:pt>
                <c:pt idx="122">
                  <c:v>29.45</c:v>
                </c:pt>
                <c:pt idx="123">
                  <c:v>30.24</c:v>
                </c:pt>
                <c:pt idx="124">
                  <c:v>27.95</c:v>
                </c:pt>
                <c:pt idx="125">
                  <c:v>29.27</c:v>
                </c:pt>
                <c:pt idx="126">
                  <c:v>28.62</c:v>
                </c:pt>
                <c:pt idx="127">
                  <c:v>32.5</c:v>
                </c:pt>
                <c:pt idx="128">
                  <c:v>35.64</c:v>
                </c:pt>
                <c:pt idx="129">
                  <c:v>42.86</c:v>
                </c:pt>
                <c:pt idx="130">
                  <c:v>47.97</c:v>
                </c:pt>
                <c:pt idx="131">
                  <c:v>48.24</c:v>
                </c:pt>
                <c:pt idx="132">
                  <c:v>45.01</c:v>
                </c:pt>
                <c:pt idx="133">
                  <c:v>40.93</c:v>
                </c:pt>
                <c:pt idx="134">
                  <c:v>45.9</c:v>
                </c:pt>
                <c:pt idx="135">
                  <c:v>39.49</c:v>
                </c:pt>
                <c:pt idx="136">
                  <c:v>41.93</c:v>
                </c:pt>
                <c:pt idx="137">
                  <c:v>41.78</c:v>
                </c:pt>
                <c:pt idx="138">
                  <c:v>45.61</c:v>
                </c:pt>
                <c:pt idx="139">
                  <c:v>46.25</c:v>
                </c:pt>
                <c:pt idx="140">
                  <c:v>35.6</c:v>
                </c:pt>
                <c:pt idx="141">
                  <c:v>32.450000000000003</c:v>
                </c:pt>
                <c:pt idx="142">
                  <c:v>33.520000000000003</c:v>
                </c:pt>
                <c:pt idx="148">
                  <c:v>36.299999999999997</c:v>
                </c:pt>
                <c:pt idx="149">
                  <c:v>37.119999999999997</c:v>
                </c:pt>
                <c:pt idx="150">
                  <c:v>38.11</c:v>
                </c:pt>
                <c:pt idx="151">
                  <c:v>40.869999999999997</c:v>
                </c:pt>
                <c:pt idx="152">
                  <c:v>33.840000000000003</c:v>
                </c:pt>
                <c:pt idx="153">
                  <c:v>35.47</c:v>
                </c:pt>
                <c:pt idx="154">
                  <c:v>32.51</c:v>
                </c:pt>
                <c:pt idx="155">
                  <c:v>36.17</c:v>
                </c:pt>
                <c:pt idx="156">
                  <c:v>38.49</c:v>
                </c:pt>
                <c:pt idx="157">
                  <c:v>41.99</c:v>
                </c:pt>
                <c:pt idx="158">
                  <c:v>44.54</c:v>
                </c:pt>
                <c:pt idx="159">
                  <c:v>46.84</c:v>
                </c:pt>
                <c:pt idx="160">
                  <c:v>47.65</c:v>
                </c:pt>
                <c:pt idx="161">
                  <c:v>60.8</c:v>
                </c:pt>
                <c:pt idx="162">
                  <c:v>60.59</c:v>
                </c:pt>
                <c:pt idx="163">
                  <c:v>62.13</c:v>
                </c:pt>
                <c:pt idx="164">
                  <c:v>61.88</c:v>
                </c:pt>
                <c:pt idx="165">
                  <c:v>54.44</c:v>
                </c:pt>
                <c:pt idx="166">
                  <c:v>54.04</c:v>
                </c:pt>
                <c:pt idx="167">
                  <c:v>43.25</c:v>
                </c:pt>
                <c:pt idx="168">
                  <c:v>44.45</c:v>
                </c:pt>
                <c:pt idx="169">
                  <c:v>35.78</c:v>
                </c:pt>
                <c:pt idx="170">
                  <c:v>38.729999999999997</c:v>
                </c:pt>
                <c:pt idx="171">
                  <c:v>38.04</c:v>
                </c:pt>
                <c:pt idx="172">
                  <c:v>42.49</c:v>
                </c:pt>
                <c:pt idx="173">
                  <c:v>43.03</c:v>
                </c:pt>
                <c:pt idx="174">
                  <c:v>39.520000000000003</c:v>
                </c:pt>
                <c:pt idx="175">
                  <c:v>39.61</c:v>
                </c:pt>
                <c:pt idx="176">
                  <c:v>41.7</c:v>
                </c:pt>
                <c:pt idx="177">
                  <c:v>43.59</c:v>
                </c:pt>
                <c:pt idx="178">
                  <c:v>42.78</c:v>
                </c:pt>
                <c:pt idx="179">
                  <c:v>39.020000000000003</c:v>
                </c:pt>
                <c:pt idx="180">
                  <c:v>41.44</c:v>
                </c:pt>
                <c:pt idx="181">
                  <c:v>44.78</c:v>
                </c:pt>
                <c:pt idx="183">
                  <c:v>46.54</c:v>
                </c:pt>
                <c:pt idx="184">
                  <c:v>49.74</c:v>
                </c:pt>
                <c:pt idx="185">
                  <c:v>51.64</c:v>
                </c:pt>
                <c:pt idx="186">
                  <c:v>54.74</c:v>
                </c:pt>
                <c:pt idx="187">
                  <c:v>60.01</c:v>
                </c:pt>
                <c:pt idx="188">
                  <c:v>59.87</c:v>
                </c:pt>
                <c:pt idx="189">
                  <c:v>61.59</c:v>
                </c:pt>
                <c:pt idx="190">
                  <c:v>60.48</c:v>
                </c:pt>
                <c:pt idx="191">
                  <c:v>58.33</c:v>
                </c:pt>
                <c:pt idx="192">
                  <c:v>52.7</c:v>
                </c:pt>
                <c:pt idx="193">
                  <c:v>63.47</c:v>
                </c:pt>
                <c:pt idx="194">
                  <c:v>59.02</c:v>
                </c:pt>
                <c:pt idx="195">
                  <c:v>47.5</c:v>
                </c:pt>
                <c:pt idx="196">
                  <c:v>41.25</c:v>
                </c:pt>
                <c:pt idx="197">
                  <c:v>47.56</c:v>
                </c:pt>
                <c:pt idx="198">
                  <c:v>50.34</c:v>
                </c:pt>
                <c:pt idx="199">
                  <c:v>50.37</c:v>
                </c:pt>
                <c:pt idx="200">
                  <c:v>49.55</c:v>
                </c:pt>
                <c:pt idx="201">
                  <c:v>53.09</c:v>
                </c:pt>
                <c:pt idx="202">
                  <c:v>54.17</c:v>
                </c:pt>
                <c:pt idx="203">
                  <c:v>52.56</c:v>
                </c:pt>
                <c:pt idx="204">
                  <c:v>54.25</c:v>
                </c:pt>
                <c:pt idx="205">
                  <c:v>60.68</c:v>
                </c:pt>
                <c:pt idx="206">
                  <c:v>64.59</c:v>
                </c:pt>
                <c:pt idx="207">
                  <c:v>59.45</c:v>
                </c:pt>
                <c:pt idx="208">
                  <c:v>62.74</c:v>
                </c:pt>
                <c:pt idx="209">
                  <c:v>60.42</c:v>
                </c:pt>
                <c:pt idx="210">
                  <c:v>52.94</c:v>
                </c:pt>
                <c:pt idx="211">
                  <c:v>50.94</c:v>
                </c:pt>
                <c:pt idx="212">
                  <c:v>54.81</c:v>
                </c:pt>
                <c:pt idx="213">
                  <c:v>62.43</c:v>
                </c:pt>
                <c:pt idx="214">
                  <c:v>59.95</c:v>
                </c:pt>
                <c:pt idx="215">
                  <c:v>59.33</c:v>
                </c:pt>
                <c:pt idx="216">
                  <c:v>54.88</c:v>
                </c:pt>
                <c:pt idx="217">
                  <c:v>53.81</c:v>
                </c:pt>
                <c:pt idx="218">
                  <c:v>60.45</c:v>
                </c:pt>
                <c:pt idx="219">
                  <c:v>66.650000000000006</c:v>
                </c:pt>
                <c:pt idx="220">
                  <c:v>65.17</c:v>
                </c:pt>
                <c:pt idx="221">
                  <c:v>57.16</c:v>
                </c:pt>
                <c:pt idx="222">
                  <c:v>59.62</c:v>
                </c:pt>
                <c:pt idx="223">
                  <c:v>64.16</c:v>
                </c:pt>
                <c:pt idx="224">
                  <c:v>67.069999999999993</c:v>
                </c:pt>
                <c:pt idx="225">
                  <c:v>68.849999999999994</c:v>
                </c:pt>
                <c:pt idx="226">
                  <c:v>75.790000000000006</c:v>
                </c:pt>
                <c:pt idx="227">
                  <c:v>72.489999999999995</c:v>
                </c:pt>
                <c:pt idx="228">
                  <c:v>75.16</c:v>
                </c:pt>
                <c:pt idx="229">
                  <c:v>75.069999999999993</c:v>
                </c:pt>
                <c:pt idx="230">
                  <c:v>76.56</c:v>
                </c:pt>
                <c:pt idx="231">
                  <c:v>75.819999999999993</c:v>
                </c:pt>
                <c:pt idx="233">
                  <c:v>74.34</c:v>
                </c:pt>
                <c:pt idx="234">
                  <c:v>72.3</c:v>
                </c:pt>
                <c:pt idx="236">
                  <c:v>62.91</c:v>
                </c:pt>
                <c:pt idx="237">
                  <c:v>62.93</c:v>
                </c:pt>
                <c:pt idx="238">
                  <c:v>65.83</c:v>
                </c:pt>
                <c:pt idx="239">
                  <c:v>60.31</c:v>
                </c:pt>
                <c:pt idx="240">
                  <c:v>60.59</c:v>
                </c:pt>
                <c:pt idx="241">
                  <c:v>59.96</c:v>
                </c:pt>
                <c:pt idx="242">
                  <c:v>54.44</c:v>
                </c:pt>
                <c:pt idx="243">
                  <c:v>45.95</c:v>
                </c:pt>
                <c:pt idx="244">
                  <c:v>49.53</c:v>
                </c:pt>
                <c:pt idx="245">
                  <c:v>47.87</c:v>
                </c:pt>
                <c:pt idx="246">
                  <c:v>45.87</c:v>
                </c:pt>
                <c:pt idx="247">
                  <c:v>48.51</c:v>
                </c:pt>
                <c:pt idx="248">
                  <c:v>60.28</c:v>
                </c:pt>
                <c:pt idx="249">
                  <c:v>65</c:v>
                </c:pt>
                <c:pt idx="250">
                  <c:v>64</c:v>
                </c:pt>
                <c:pt idx="251">
                  <c:v>69.510000000000005</c:v>
                </c:pt>
                <c:pt idx="252">
                  <c:v>63.93</c:v>
                </c:pt>
                <c:pt idx="253">
                  <c:v>69.16</c:v>
                </c:pt>
                <c:pt idx="254">
                  <c:v>66.819999999999993</c:v>
                </c:pt>
                <c:pt idx="257">
                  <c:v>66.45</c:v>
                </c:pt>
                <c:pt idx="259">
                  <c:v>66.19</c:v>
                </c:pt>
                <c:pt idx="260">
                  <c:v>71.260000000000005</c:v>
                </c:pt>
                <c:pt idx="261">
                  <c:v>67.23</c:v>
                </c:pt>
                <c:pt idx="262">
                  <c:v>65.81</c:v>
                </c:pt>
                <c:pt idx="263">
                  <c:v>63.12</c:v>
                </c:pt>
                <c:pt idx="264">
                  <c:v>64.91</c:v>
                </c:pt>
                <c:pt idx="265">
                  <c:v>66.66</c:v>
                </c:pt>
                <c:pt idx="266">
                  <c:v>66.760000000000005</c:v>
                </c:pt>
                <c:pt idx="267">
                  <c:v>59.34</c:v>
                </c:pt>
                <c:pt idx="268">
                  <c:v>53.13</c:v>
                </c:pt>
                <c:pt idx="269">
                  <c:v>51.06</c:v>
                </c:pt>
                <c:pt idx="270">
                  <c:v>52.61</c:v>
                </c:pt>
                <c:pt idx="271">
                  <c:v>50.82</c:v>
                </c:pt>
                <c:pt idx="272">
                  <c:v>49.8</c:v>
                </c:pt>
                <c:pt idx="273">
                  <c:v>48.14</c:v>
                </c:pt>
                <c:pt idx="274">
                  <c:v>34.89</c:v>
                </c:pt>
                <c:pt idx="275">
                  <c:v>41.14</c:v>
                </c:pt>
                <c:pt idx="276">
                  <c:v>28.13</c:v>
                </c:pt>
                <c:pt idx="277">
                  <c:v>37.6</c:v>
                </c:pt>
                <c:pt idx="278">
                  <c:v>27.05</c:v>
                </c:pt>
                <c:pt idx="279">
                  <c:v>28.2</c:v>
                </c:pt>
                <c:pt idx="280">
                  <c:v>30.22</c:v>
                </c:pt>
                <c:pt idx="281">
                  <c:v>24.53</c:v>
                </c:pt>
                <c:pt idx="282">
                  <c:v>33.51</c:v>
                </c:pt>
                <c:pt idx="283">
                  <c:v>35.44</c:v>
                </c:pt>
                <c:pt idx="284">
                  <c:v>36.979999999999997</c:v>
                </c:pt>
                <c:pt idx="285">
                  <c:v>34.53</c:v>
                </c:pt>
                <c:pt idx="286">
                  <c:v>38.39</c:v>
                </c:pt>
                <c:pt idx="287">
                  <c:v>40.93</c:v>
                </c:pt>
                <c:pt idx="288">
                  <c:v>44.16</c:v>
                </c:pt>
                <c:pt idx="289">
                  <c:v>45.09</c:v>
                </c:pt>
                <c:pt idx="290">
                  <c:v>43.14</c:v>
                </c:pt>
                <c:pt idx="291">
                  <c:v>42.59</c:v>
                </c:pt>
                <c:pt idx="292">
                  <c:v>40.4</c:v>
                </c:pt>
                <c:pt idx="293">
                  <c:v>42.41</c:v>
                </c:pt>
                <c:pt idx="294">
                  <c:v>43.63</c:v>
                </c:pt>
                <c:pt idx="295">
                  <c:v>41.67</c:v>
                </c:pt>
                <c:pt idx="296">
                  <c:v>43.37</c:v>
                </c:pt>
                <c:pt idx="297">
                  <c:v>43.31</c:v>
                </c:pt>
                <c:pt idx="298">
                  <c:v>45.8</c:v>
                </c:pt>
                <c:pt idx="299">
                  <c:v>41.9</c:v>
                </c:pt>
                <c:pt idx="300">
                  <c:v>31.8</c:v>
                </c:pt>
                <c:pt idx="302">
                  <c:v>34.53</c:v>
                </c:pt>
                <c:pt idx="303">
                  <c:v>44.71</c:v>
                </c:pt>
                <c:pt idx="304">
                  <c:v>49.56</c:v>
                </c:pt>
                <c:pt idx="305">
                  <c:v>44.63</c:v>
                </c:pt>
                <c:pt idx="306">
                  <c:v>46.63</c:v>
                </c:pt>
                <c:pt idx="307">
                  <c:v>47.07</c:v>
                </c:pt>
                <c:pt idx="308">
                  <c:v>48.18</c:v>
                </c:pt>
                <c:pt idx="309">
                  <c:v>48.67</c:v>
                </c:pt>
                <c:pt idx="310">
                  <c:v>49.78</c:v>
                </c:pt>
                <c:pt idx="311">
                  <c:v>52.67</c:v>
                </c:pt>
                <c:pt idx="312">
                  <c:v>54.32</c:v>
                </c:pt>
                <c:pt idx="313">
                  <c:v>51.34</c:v>
                </c:pt>
                <c:pt idx="314">
                  <c:v>37.75</c:v>
                </c:pt>
                <c:pt idx="315">
                  <c:v>42.8</c:v>
                </c:pt>
                <c:pt idx="316">
                  <c:v>44.81</c:v>
                </c:pt>
                <c:pt idx="317">
                  <c:v>46.57</c:v>
                </c:pt>
                <c:pt idx="318">
                  <c:v>47.92</c:v>
                </c:pt>
                <c:pt idx="319">
                  <c:v>45.43</c:v>
                </c:pt>
                <c:pt idx="320">
                  <c:v>48.31</c:v>
                </c:pt>
                <c:pt idx="321">
                  <c:v>44.58</c:v>
                </c:pt>
                <c:pt idx="322">
                  <c:v>46.21</c:v>
                </c:pt>
                <c:pt idx="327">
                  <c:v>52.75</c:v>
                </c:pt>
                <c:pt idx="328">
                  <c:v>49.87</c:v>
                </c:pt>
                <c:pt idx="329">
                  <c:v>54.34</c:v>
                </c:pt>
                <c:pt idx="330">
                  <c:v>53.44</c:v>
                </c:pt>
                <c:pt idx="331">
                  <c:v>48.11</c:v>
                </c:pt>
                <c:pt idx="332">
                  <c:v>48.57</c:v>
                </c:pt>
                <c:pt idx="333">
                  <c:v>50.06</c:v>
                </c:pt>
                <c:pt idx="334">
                  <c:v>48.07</c:v>
                </c:pt>
                <c:pt idx="335">
                  <c:v>46.7</c:v>
                </c:pt>
                <c:pt idx="336">
                  <c:v>48.44</c:v>
                </c:pt>
                <c:pt idx="337">
                  <c:v>49.27</c:v>
                </c:pt>
                <c:pt idx="338">
                  <c:v>44.27</c:v>
                </c:pt>
                <c:pt idx="339">
                  <c:v>47.34</c:v>
                </c:pt>
                <c:pt idx="340">
                  <c:v>46.19</c:v>
                </c:pt>
                <c:pt idx="341">
                  <c:v>44.91</c:v>
                </c:pt>
                <c:pt idx="342">
                  <c:v>44.86</c:v>
                </c:pt>
                <c:pt idx="343">
                  <c:v>40.82</c:v>
                </c:pt>
                <c:pt idx="345">
                  <c:v>41.82</c:v>
                </c:pt>
                <c:pt idx="346">
                  <c:v>44.33</c:v>
                </c:pt>
                <c:pt idx="347">
                  <c:v>62.44</c:v>
                </c:pt>
                <c:pt idx="348">
                  <c:v>64.599999999999994</c:v>
                </c:pt>
                <c:pt idx="349">
                  <c:v>63.07</c:v>
                </c:pt>
                <c:pt idx="350">
                  <c:v>61.72</c:v>
                </c:pt>
                <c:pt idx="351">
                  <c:v>61.07</c:v>
                </c:pt>
                <c:pt idx="352">
                  <c:v>63.65</c:v>
                </c:pt>
                <c:pt idx="353">
                  <c:v>61.88</c:v>
                </c:pt>
                <c:pt idx="354">
                  <c:v>59.85</c:v>
                </c:pt>
                <c:pt idx="355">
                  <c:v>57.7</c:v>
                </c:pt>
                <c:pt idx="356">
                  <c:v>54.75</c:v>
                </c:pt>
                <c:pt idx="357">
                  <c:v>51.85</c:v>
                </c:pt>
                <c:pt idx="358">
                  <c:v>45.03</c:v>
                </c:pt>
                <c:pt idx="359">
                  <c:v>30.91</c:v>
                </c:pt>
                <c:pt idx="360">
                  <c:v>43.17</c:v>
                </c:pt>
                <c:pt idx="361">
                  <c:v>47.94</c:v>
                </c:pt>
                <c:pt idx="362">
                  <c:v>52.43</c:v>
                </c:pt>
                <c:pt idx="363">
                  <c:v>57.47</c:v>
                </c:pt>
                <c:pt idx="364">
                  <c:v>53.57</c:v>
                </c:pt>
                <c:pt idx="365">
                  <c:v>53.88</c:v>
                </c:pt>
                <c:pt idx="366">
                  <c:v>63.78</c:v>
                </c:pt>
                <c:pt idx="367">
                  <c:v>61.01</c:v>
                </c:pt>
                <c:pt idx="368">
                  <c:v>57.32</c:v>
                </c:pt>
                <c:pt idx="369">
                  <c:v>49.58</c:v>
                </c:pt>
                <c:pt idx="370">
                  <c:v>45.67</c:v>
                </c:pt>
                <c:pt idx="371">
                  <c:v>39.049999999999997</c:v>
                </c:pt>
                <c:pt idx="372">
                  <c:v>38.450000000000003</c:v>
                </c:pt>
                <c:pt idx="373">
                  <c:v>39.67</c:v>
                </c:pt>
                <c:pt idx="374">
                  <c:v>37.36</c:v>
                </c:pt>
                <c:pt idx="375">
                  <c:v>29.58</c:v>
                </c:pt>
                <c:pt idx="376">
                  <c:v>27.69</c:v>
                </c:pt>
                <c:pt idx="377">
                  <c:v>21.69</c:v>
                </c:pt>
                <c:pt idx="378">
                  <c:v>28.46</c:v>
                </c:pt>
                <c:pt idx="379">
                  <c:v>36.520000000000003</c:v>
                </c:pt>
                <c:pt idx="380">
                  <c:v>46.78</c:v>
                </c:pt>
                <c:pt idx="381">
                  <c:v>49.85</c:v>
                </c:pt>
                <c:pt idx="382">
                  <c:v>49.86</c:v>
                </c:pt>
                <c:pt idx="383">
                  <c:v>43.79</c:v>
                </c:pt>
                <c:pt idx="384">
                  <c:v>42.31</c:v>
                </c:pt>
                <c:pt idx="385">
                  <c:v>40.01</c:v>
                </c:pt>
                <c:pt idx="386">
                  <c:v>45.91</c:v>
                </c:pt>
                <c:pt idx="387">
                  <c:v>43.46</c:v>
                </c:pt>
                <c:pt idx="388">
                  <c:v>44.89</c:v>
                </c:pt>
                <c:pt idx="389">
                  <c:v>44.63</c:v>
                </c:pt>
                <c:pt idx="390">
                  <c:v>43.94</c:v>
                </c:pt>
                <c:pt idx="391">
                  <c:v>43.26</c:v>
                </c:pt>
                <c:pt idx="392">
                  <c:v>40.56</c:v>
                </c:pt>
                <c:pt idx="393">
                  <c:v>42</c:v>
                </c:pt>
                <c:pt idx="394">
                  <c:v>45.67</c:v>
                </c:pt>
                <c:pt idx="395">
                  <c:v>44.23</c:v>
                </c:pt>
                <c:pt idx="396">
                  <c:v>45.03</c:v>
                </c:pt>
                <c:pt idx="397">
                  <c:v>48.55</c:v>
                </c:pt>
                <c:pt idx="398">
                  <c:v>45.35</c:v>
                </c:pt>
                <c:pt idx="399">
                  <c:v>46.6</c:v>
                </c:pt>
                <c:pt idx="400">
                  <c:v>49.49</c:v>
                </c:pt>
                <c:pt idx="401">
                  <c:v>45.8</c:v>
                </c:pt>
                <c:pt idx="403">
                  <c:v>45.3</c:v>
                </c:pt>
                <c:pt idx="404">
                  <c:v>46.12</c:v>
                </c:pt>
                <c:pt idx="405">
                  <c:v>42.18</c:v>
                </c:pt>
                <c:pt idx="407">
                  <c:v>39.11</c:v>
                </c:pt>
                <c:pt idx="409">
                  <c:v>43.75</c:v>
                </c:pt>
                <c:pt idx="410">
                  <c:v>45.52</c:v>
                </c:pt>
                <c:pt idx="411">
                  <c:v>44.98</c:v>
                </c:pt>
                <c:pt idx="412">
                  <c:v>42.54</c:v>
                </c:pt>
                <c:pt idx="413">
                  <c:v>46.08</c:v>
                </c:pt>
                <c:pt idx="414">
                  <c:v>41.98</c:v>
                </c:pt>
                <c:pt idx="415">
                  <c:v>46.95</c:v>
                </c:pt>
                <c:pt idx="416">
                  <c:v>47.19</c:v>
                </c:pt>
                <c:pt idx="420">
                  <c:v>45.03</c:v>
                </c:pt>
                <c:pt idx="421">
                  <c:v>40.020000000000003</c:v>
                </c:pt>
                <c:pt idx="422">
                  <c:v>33.97</c:v>
                </c:pt>
                <c:pt idx="423">
                  <c:v>36.25</c:v>
                </c:pt>
                <c:pt idx="424">
                  <c:v>36.46</c:v>
                </c:pt>
                <c:pt idx="425">
                  <c:v>35.369999999999997</c:v>
                </c:pt>
                <c:pt idx="426">
                  <c:v>40.6</c:v>
                </c:pt>
                <c:pt idx="427">
                  <c:v>40.97</c:v>
                </c:pt>
                <c:pt idx="428">
                  <c:v>48.5</c:v>
                </c:pt>
                <c:pt idx="429">
                  <c:v>46.27</c:v>
                </c:pt>
                <c:pt idx="430">
                  <c:v>50.74</c:v>
                </c:pt>
                <c:pt idx="431">
                  <c:v>50.26</c:v>
                </c:pt>
                <c:pt idx="432">
                  <c:v>50.23</c:v>
                </c:pt>
                <c:pt idx="433">
                  <c:v>57.39</c:v>
                </c:pt>
                <c:pt idx="434">
                  <c:v>57.07</c:v>
                </c:pt>
                <c:pt idx="435">
                  <c:v>55.44</c:v>
                </c:pt>
                <c:pt idx="436">
                  <c:v>51.63</c:v>
                </c:pt>
                <c:pt idx="437">
                  <c:v>55.14</c:v>
                </c:pt>
                <c:pt idx="438">
                  <c:v>49.59</c:v>
                </c:pt>
                <c:pt idx="439">
                  <c:v>47.35</c:v>
                </c:pt>
                <c:pt idx="440">
                  <c:v>47.6</c:v>
                </c:pt>
                <c:pt idx="442">
                  <c:v>49.24</c:v>
                </c:pt>
                <c:pt idx="443">
                  <c:v>49.08</c:v>
                </c:pt>
                <c:pt idx="444">
                  <c:v>50.91</c:v>
                </c:pt>
                <c:pt idx="445">
                  <c:v>48.91</c:v>
                </c:pt>
                <c:pt idx="446">
                  <c:v>43.83</c:v>
                </c:pt>
                <c:pt idx="447">
                  <c:v>42.74</c:v>
                </c:pt>
                <c:pt idx="448">
                  <c:v>36.99</c:v>
                </c:pt>
                <c:pt idx="449">
                  <c:v>29.07</c:v>
                </c:pt>
                <c:pt idx="450">
                  <c:v>51.6</c:v>
                </c:pt>
                <c:pt idx="451">
                  <c:v>63.26</c:v>
                </c:pt>
                <c:pt idx="452">
                  <c:v>61.91</c:v>
                </c:pt>
                <c:pt idx="453">
                  <c:v>52.89</c:v>
                </c:pt>
                <c:pt idx="454">
                  <c:v>56.38</c:v>
                </c:pt>
                <c:pt idx="455">
                  <c:v>52.95</c:v>
                </c:pt>
                <c:pt idx="456">
                  <c:v>39.6</c:v>
                </c:pt>
                <c:pt idx="457">
                  <c:v>44.01</c:v>
                </c:pt>
                <c:pt idx="458">
                  <c:v>48.52</c:v>
                </c:pt>
                <c:pt idx="459">
                  <c:v>56.67</c:v>
                </c:pt>
                <c:pt idx="460">
                  <c:v>64.55</c:v>
                </c:pt>
                <c:pt idx="461">
                  <c:v>73.52</c:v>
                </c:pt>
                <c:pt idx="462">
                  <c:v>73.209999999999994</c:v>
                </c:pt>
                <c:pt idx="463">
                  <c:v>66.03</c:v>
                </c:pt>
                <c:pt idx="464">
                  <c:v>61.61</c:v>
                </c:pt>
                <c:pt idx="465">
                  <c:v>48.14</c:v>
                </c:pt>
                <c:pt idx="466">
                  <c:v>45.54</c:v>
                </c:pt>
                <c:pt idx="467">
                  <c:v>49.19</c:v>
                </c:pt>
                <c:pt idx="468">
                  <c:v>41.55</c:v>
                </c:pt>
                <c:pt idx="469">
                  <c:v>36.119999999999997</c:v>
                </c:pt>
                <c:pt idx="470">
                  <c:v>38.21</c:v>
                </c:pt>
                <c:pt idx="471">
                  <c:v>39.479999999999997</c:v>
                </c:pt>
                <c:pt idx="472">
                  <c:v>39.94</c:v>
                </c:pt>
                <c:pt idx="473">
                  <c:v>42.21</c:v>
                </c:pt>
                <c:pt idx="474">
                  <c:v>42.48</c:v>
                </c:pt>
                <c:pt idx="475">
                  <c:v>41.69</c:v>
                </c:pt>
                <c:pt idx="476">
                  <c:v>39.369999999999997</c:v>
                </c:pt>
                <c:pt idx="477">
                  <c:v>43.74</c:v>
                </c:pt>
                <c:pt idx="478">
                  <c:v>49.74</c:v>
                </c:pt>
                <c:pt idx="479">
                  <c:v>48.18</c:v>
                </c:pt>
                <c:pt idx="480">
                  <c:v>45.83</c:v>
                </c:pt>
                <c:pt idx="481">
                  <c:v>47.89</c:v>
                </c:pt>
                <c:pt idx="482">
                  <c:v>47.05</c:v>
                </c:pt>
                <c:pt idx="483">
                  <c:v>50.65</c:v>
                </c:pt>
                <c:pt idx="484">
                  <c:v>48.9</c:v>
                </c:pt>
                <c:pt idx="485">
                  <c:v>49.96</c:v>
                </c:pt>
                <c:pt idx="486">
                  <c:v>52.07</c:v>
                </c:pt>
                <c:pt idx="487">
                  <c:v>48.84</c:v>
                </c:pt>
                <c:pt idx="488">
                  <c:v>52.04</c:v>
                </c:pt>
                <c:pt idx="489">
                  <c:v>55.54</c:v>
                </c:pt>
                <c:pt idx="490">
                  <c:v>55.58</c:v>
                </c:pt>
                <c:pt idx="492">
                  <c:v>61.83</c:v>
                </c:pt>
                <c:pt idx="493">
                  <c:v>56.21</c:v>
                </c:pt>
                <c:pt idx="494">
                  <c:v>53.53</c:v>
                </c:pt>
                <c:pt idx="495">
                  <c:v>47.22</c:v>
                </c:pt>
                <c:pt idx="496">
                  <c:v>36.909999999999997</c:v>
                </c:pt>
                <c:pt idx="497">
                  <c:v>43.72</c:v>
                </c:pt>
                <c:pt idx="498">
                  <c:v>47.11</c:v>
                </c:pt>
                <c:pt idx="499">
                  <c:v>49.26</c:v>
                </c:pt>
                <c:pt idx="500">
                  <c:v>52.82</c:v>
                </c:pt>
                <c:pt idx="501">
                  <c:v>58.25</c:v>
                </c:pt>
                <c:pt idx="502">
                  <c:v>63.06</c:v>
                </c:pt>
                <c:pt idx="503">
                  <c:v>64.349999999999994</c:v>
                </c:pt>
                <c:pt idx="504">
                  <c:v>77.41</c:v>
                </c:pt>
                <c:pt idx="505">
                  <c:v>76.55</c:v>
                </c:pt>
                <c:pt idx="506">
                  <c:v>75.19</c:v>
                </c:pt>
                <c:pt idx="508">
                  <c:v>67.66</c:v>
                </c:pt>
                <c:pt idx="509">
                  <c:v>65.650000000000006</c:v>
                </c:pt>
                <c:pt idx="510">
                  <c:v>70.55</c:v>
                </c:pt>
                <c:pt idx="511">
                  <c:v>68.08</c:v>
                </c:pt>
                <c:pt idx="512">
                  <c:v>66.739999999999995</c:v>
                </c:pt>
                <c:pt idx="513">
                  <c:v>61.72</c:v>
                </c:pt>
                <c:pt idx="515">
                  <c:v>57.43</c:v>
                </c:pt>
                <c:pt idx="516">
                  <c:v>57.45</c:v>
                </c:pt>
                <c:pt idx="518">
                  <c:v>58.88</c:v>
                </c:pt>
                <c:pt idx="519">
                  <c:v>59.75</c:v>
                </c:pt>
                <c:pt idx="520">
                  <c:v>55.6</c:v>
                </c:pt>
                <c:pt idx="521">
                  <c:v>51.8</c:v>
                </c:pt>
                <c:pt idx="522">
                  <c:v>52.65</c:v>
                </c:pt>
                <c:pt idx="523">
                  <c:v>47.68</c:v>
                </c:pt>
                <c:pt idx="524">
                  <c:v>45.68</c:v>
                </c:pt>
                <c:pt idx="525">
                  <c:v>47.27</c:v>
                </c:pt>
                <c:pt idx="526">
                  <c:v>42.48</c:v>
                </c:pt>
                <c:pt idx="527">
                  <c:v>36.409999999999997</c:v>
                </c:pt>
                <c:pt idx="528">
                  <c:v>38.6</c:v>
                </c:pt>
                <c:pt idx="529">
                  <c:v>42.96</c:v>
                </c:pt>
                <c:pt idx="530">
                  <c:v>35.49</c:v>
                </c:pt>
                <c:pt idx="531">
                  <c:v>35.07</c:v>
                </c:pt>
                <c:pt idx="533">
                  <c:v>37.6</c:v>
                </c:pt>
                <c:pt idx="534">
                  <c:v>34.229999999999997</c:v>
                </c:pt>
                <c:pt idx="535">
                  <c:v>39.409999999999997</c:v>
                </c:pt>
                <c:pt idx="536">
                  <c:v>40.369999999999997</c:v>
                </c:pt>
                <c:pt idx="537">
                  <c:v>44.41</c:v>
                </c:pt>
                <c:pt idx="538">
                  <c:v>48.34</c:v>
                </c:pt>
                <c:pt idx="539">
                  <c:v>49.25</c:v>
                </c:pt>
                <c:pt idx="540">
                  <c:v>49.38</c:v>
                </c:pt>
                <c:pt idx="541">
                  <c:v>56.3</c:v>
                </c:pt>
                <c:pt idx="542">
                  <c:v>58.66</c:v>
                </c:pt>
                <c:pt idx="543">
                  <c:v>60.03</c:v>
                </c:pt>
                <c:pt idx="544">
                  <c:v>56.97</c:v>
                </c:pt>
                <c:pt idx="545">
                  <c:v>60.52</c:v>
                </c:pt>
                <c:pt idx="546">
                  <c:v>56.85</c:v>
                </c:pt>
                <c:pt idx="547">
                  <c:v>55.93</c:v>
                </c:pt>
                <c:pt idx="548">
                  <c:v>55.66</c:v>
                </c:pt>
                <c:pt idx="549">
                  <c:v>54.97</c:v>
                </c:pt>
                <c:pt idx="550">
                  <c:v>57.63</c:v>
                </c:pt>
                <c:pt idx="551">
                  <c:v>58.43</c:v>
                </c:pt>
                <c:pt idx="552">
                  <c:v>55.58</c:v>
                </c:pt>
                <c:pt idx="553">
                  <c:v>54.16</c:v>
                </c:pt>
                <c:pt idx="554">
                  <c:v>53.35</c:v>
                </c:pt>
                <c:pt idx="555">
                  <c:v>58.63</c:v>
                </c:pt>
                <c:pt idx="556">
                  <c:v>50.09</c:v>
                </c:pt>
                <c:pt idx="557">
                  <c:v>50.44</c:v>
                </c:pt>
                <c:pt idx="558">
                  <c:v>54.49</c:v>
                </c:pt>
                <c:pt idx="559">
                  <c:v>58.88</c:v>
                </c:pt>
                <c:pt idx="561">
                  <c:v>60.5</c:v>
                </c:pt>
                <c:pt idx="562">
                  <c:v>61.38</c:v>
                </c:pt>
                <c:pt idx="563">
                  <c:v>60.83</c:v>
                </c:pt>
                <c:pt idx="564">
                  <c:v>64.77</c:v>
                </c:pt>
                <c:pt idx="565">
                  <c:v>72.73</c:v>
                </c:pt>
                <c:pt idx="566">
                  <c:v>73.72</c:v>
                </c:pt>
                <c:pt idx="567">
                  <c:v>75.41</c:v>
                </c:pt>
                <c:pt idx="568">
                  <c:v>75.81</c:v>
                </c:pt>
                <c:pt idx="569">
                  <c:v>77.94</c:v>
                </c:pt>
                <c:pt idx="570">
                  <c:v>76.83</c:v>
                </c:pt>
                <c:pt idx="571">
                  <c:v>74.91</c:v>
                </c:pt>
                <c:pt idx="572">
                  <c:v>77.05</c:v>
                </c:pt>
                <c:pt idx="573">
                  <c:v>76.900000000000006</c:v>
                </c:pt>
                <c:pt idx="576">
                  <c:v>76.48</c:v>
                </c:pt>
                <c:pt idx="577">
                  <c:v>75.88</c:v>
                </c:pt>
                <c:pt idx="578">
                  <c:v>74.209999999999994</c:v>
                </c:pt>
                <c:pt idx="579">
                  <c:v>79.41</c:v>
                </c:pt>
                <c:pt idx="580">
                  <c:v>72.010000000000005</c:v>
                </c:pt>
                <c:pt idx="581">
                  <c:v>66.260000000000005</c:v>
                </c:pt>
                <c:pt idx="582">
                  <c:v>57.23</c:v>
                </c:pt>
                <c:pt idx="583">
                  <c:v>56.89</c:v>
                </c:pt>
                <c:pt idx="584">
                  <c:v>47.88</c:v>
                </c:pt>
                <c:pt idx="585">
                  <c:v>40.24</c:v>
                </c:pt>
                <c:pt idx="586">
                  <c:v>37.229999999999997</c:v>
                </c:pt>
                <c:pt idx="587">
                  <c:v>30.33</c:v>
                </c:pt>
                <c:pt idx="588">
                  <c:v>32.549999999999997</c:v>
                </c:pt>
                <c:pt idx="589">
                  <c:v>23.65</c:v>
                </c:pt>
                <c:pt idx="590">
                  <c:v>24.94</c:v>
                </c:pt>
                <c:pt idx="591">
                  <c:v>22.05</c:v>
                </c:pt>
                <c:pt idx="592">
                  <c:v>23.91</c:v>
                </c:pt>
                <c:pt idx="593">
                  <c:v>29.78</c:v>
                </c:pt>
                <c:pt idx="594">
                  <c:v>34.19</c:v>
                </c:pt>
                <c:pt idx="595">
                  <c:v>32.340000000000003</c:v>
                </c:pt>
                <c:pt idx="596">
                  <c:v>32.22</c:v>
                </c:pt>
                <c:pt idx="597">
                  <c:v>32.35</c:v>
                </c:pt>
                <c:pt idx="598">
                  <c:v>31.82</c:v>
                </c:pt>
                <c:pt idx="599">
                  <c:v>30.07</c:v>
                </c:pt>
                <c:pt idx="600">
                  <c:v>31.22</c:v>
                </c:pt>
                <c:pt idx="601">
                  <c:v>34.659999999999997</c:v>
                </c:pt>
                <c:pt idx="602">
                  <c:v>35.450000000000003</c:v>
                </c:pt>
                <c:pt idx="603">
                  <c:v>41.15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5E-40E0-8837-1D2F5FDACEA1}"/>
            </c:ext>
          </c:extLst>
        </c:ser>
        <c:ser>
          <c:idx val="1"/>
          <c:order val="1"/>
          <c:tx>
            <c:strRef>
              <c:f>'미국 RSI'!$F$1</c:f>
              <c:strCache>
                <c:ptCount val="1"/>
                <c:pt idx="0">
                  <c:v>소재(US)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RSI'!$F$69:$F$3068</c:f>
              <c:numCache>
                <c:formatCode>0.00</c:formatCode>
                <c:ptCount val="3000"/>
                <c:pt idx="0">
                  <c:v>49.11</c:v>
                </c:pt>
                <c:pt idx="1">
                  <c:v>54.79</c:v>
                </c:pt>
                <c:pt idx="2">
                  <c:v>47.94</c:v>
                </c:pt>
                <c:pt idx="3">
                  <c:v>52.74</c:v>
                </c:pt>
                <c:pt idx="4">
                  <c:v>57.34</c:v>
                </c:pt>
                <c:pt idx="5">
                  <c:v>59.1</c:v>
                </c:pt>
                <c:pt idx="6">
                  <c:v>58.17</c:v>
                </c:pt>
                <c:pt idx="7">
                  <c:v>58.39</c:v>
                </c:pt>
                <c:pt idx="8">
                  <c:v>57.94</c:v>
                </c:pt>
                <c:pt idx="9">
                  <c:v>62.84</c:v>
                </c:pt>
                <c:pt idx="10">
                  <c:v>60.48</c:v>
                </c:pt>
                <c:pt idx="11">
                  <c:v>59.59</c:v>
                </c:pt>
                <c:pt idx="12">
                  <c:v>57.04</c:v>
                </c:pt>
                <c:pt idx="13">
                  <c:v>63.35</c:v>
                </c:pt>
                <c:pt idx="14">
                  <c:v>65.27</c:v>
                </c:pt>
                <c:pt idx="15">
                  <c:v>63.98</c:v>
                </c:pt>
                <c:pt idx="16">
                  <c:v>62.34</c:v>
                </c:pt>
                <c:pt idx="17">
                  <c:v>63.07</c:v>
                </c:pt>
                <c:pt idx="18">
                  <c:v>52.11</c:v>
                </c:pt>
                <c:pt idx="19">
                  <c:v>53.35</c:v>
                </c:pt>
                <c:pt idx="21">
                  <c:v>54.98</c:v>
                </c:pt>
                <c:pt idx="22">
                  <c:v>55.4</c:v>
                </c:pt>
                <c:pt idx="23">
                  <c:v>52.11</c:v>
                </c:pt>
                <c:pt idx="24">
                  <c:v>45.37</c:v>
                </c:pt>
                <c:pt idx="25">
                  <c:v>43.88</c:v>
                </c:pt>
                <c:pt idx="26">
                  <c:v>45.02</c:v>
                </c:pt>
                <c:pt idx="27">
                  <c:v>47.05</c:v>
                </c:pt>
                <c:pt idx="28">
                  <c:v>39.450000000000003</c:v>
                </c:pt>
                <c:pt idx="29">
                  <c:v>30.8</c:v>
                </c:pt>
                <c:pt idx="30">
                  <c:v>24.45</c:v>
                </c:pt>
                <c:pt idx="31">
                  <c:v>27.58</c:v>
                </c:pt>
                <c:pt idx="32">
                  <c:v>31.19</c:v>
                </c:pt>
                <c:pt idx="33">
                  <c:v>37.630000000000003</c:v>
                </c:pt>
                <c:pt idx="34">
                  <c:v>36.22</c:v>
                </c:pt>
                <c:pt idx="35">
                  <c:v>33.79</c:v>
                </c:pt>
                <c:pt idx="36">
                  <c:v>36.83</c:v>
                </c:pt>
                <c:pt idx="37">
                  <c:v>37.86</c:v>
                </c:pt>
                <c:pt idx="38">
                  <c:v>38.11</c:v>
                </c:pt>
                <c:pt idx="39">
                  <c:v>38.76</c:v>
                </c:pt>
                <c:pt idx="40">
                  <c:v>37.590000000000003</c:v>
                </c:pt>
                <c:pt idx="41">
                  <c:v>43.31</c:v>
                </c:pt>
                <c:pt idx="42">
                  <c:v>51.48</c:v>
                </c:pt>
                <c:pt idx="43">
                  <c:v>51.64</c:v>
                </c:pt>
                <c:pt idx="44">
                  <c:v>64.239999999999995</c:v>
                </c:pt>
                <c:pt idx="45">
                  <c:v>66.06</c:v>
                </c:pt>
                <c:pt idx="46">
                  <c:v>63.6</c:v>
                </c:pt>
                <c:pt idx="47">
                  <c:v>64.23</c:v>
                </c:pt>
                <c:pt idx="48">
                  <c:v>67.349999999999994</c:v>
                </c:pt>
                <c:pt idx="49">
                  <c:v>65.260000000000005</c:v>
                </c:pt>
                <c:pt idx="50">
                  <c:v>65.260000000000005</c:v>
                </c:pt>
                <c:pt idx="51">
                  <c:v>64.63</c:v>
                </c:pt>
                <c:pt idx="52">
                  <c:v>66.27</c:v>
                </c:pt>
                <c:pt idx="53">
                  <c:v>64.87</c:v>
                </c:pt>
                <c:pt idx="54">
                  <c:v>69.989999999999995</c:v>
                </c:pt>
                <c:pt idx="55">
                  <c:v>68.16</c:v>
                </c:pt>
                <c:pt idx="56">
                  <c:v>75.180000000000007</c:v>
                </c:pt>
                <c:pt idx="57">
                  <c:v>72.849999999999994</c:v>
                </c:pt>
                <c:pt idx="58">
                  <c:v>70.17</c:v>
                </c:pt>
                <c:pt idx="59">
                  <c:v>67.42</c:v>
                </c:pt>
                <c:pt idx="60">
                  <c:v>62.61</c:v>
                </c:pt>
                <c:pt idx="61">
                  <c:v>77.17</c:v>
                </c:pt>
                <c:pt idx="62">
                  <c:v>72</c:v>
                </c:pt>
                <c:pt idx="63">
                  <c:v>65.61</c:v>
                </c:pt>
                <c:pt idx="64">
                  <c:v>62.75</c:v>
                </c:pt>
                <c:pt idx="65">
                  <c:v>73.67</c:v>
                </c:pt>
                <c:pt idx="66">
                  <c:v>73.37</c:v>
                </c:pt>
                <c:pt idx="67">
                  <c:v>73.83</c:v>
                </c:pt>
                <c:pt idx="68">
                  <c:v>74.56</c:v>
                </c:pt>
                <c:pt idx="69">
                  <c:v>74.27</c:v>
                </c:pt>
                <c:pt idx="70">
                  <c:v>72.13</c:v>
                </c:pt>
                <c:pt idx="71">
                  <c:v>70.72</c:v>
                </c:pt>
                <c:pt idx="72">
                  <c:v>64.47</c:v>
                </c:pt>
                <c:pt idx="74">
                  <c:v>71.05</c:v>
                </c:pt>
                <c:pt idx="75">
                  <c:v>75.11</c:v>
                </c:pt>
                <c:pt idx="76">
                  <c:v>74.08</c:v>
                </c:pt>
                <c:pt idx="77">
                  <c:v>73.98</c:v>
                </c:pt>
                <c:pt idx="78">
                  <c:v>73.010000000000005</c:v>
                </c:pt>
                <c:pt idx="79">
                  <c:v>71.81</c:v>
                </c:pt>
                <c:pt idx="80">
                  <c:v>67.91</c:v>
                </c:pt>
                <c:pt idx="81">
                  <c:v>62.74</c:v>
                </c:pt>
                <c:pt idx="82">
                  <c:v>73.760000000000005</c:v>
                </c:pt>
                <c:pt idx="83">
                  <c:v>67.88</c:v>
                </c:pt>
                <c:pt idx="84">
                  <c:v>64.16</c:v>
                </c:pt>
                <c:pt idx="85">
                  <c:v>56.27</c:v>
                </c:pt>
                <c:pt idx="86">
                  <c:v>62.58</c:v>
                </c:pt>
                <c:pt idx="87">
                  <c:v>62.75</c:v>
                </c:pt>
                <c:pt idx="88">
                  <c:v>69.3</c:v>
                </c:pt>
                <c:pt idx="89">
                  <c:v>66.959999999999994</c:v>
                </c:pt>
                <c:pt idx="90">
                  <c:v>66.17</c:v>
                </c:pt>
                <c:pt idx="91">
                  <c:v>65.48</c:v>
                </c:pt>
                <c:pt idx="92">
                  <c:v>62.85</c:v>
                </c:pt>
                <c:pt idx="93">
                  <c:v>61.02</c:v>
                </c:pt>
                <c:pt idx="94">
                  <c:v>61.3</c:v>
                </c:pt>
                <c:pt idx="95">
                  <c:v>59.66</c:v>
                </c:pt>
                <c:pt idx="96">
                  <c:v>61.18</c:v>
                </c:pt>
                <c:pt idx="97">
                  <c:v>61.54</c:v>
                </c:pt>
                <c:pt idx="98">
                  <c:v>61.33</c:v>
                </c:pt>
                <c:pt idx="99">
                  <c:v>54.43</c:v>
                </c:pt>
                <c:pt idx="100">
                  <c:v>45.74</c:v>
                </c:pt>
                <c:pt idx="101">
                  <c:v>46.62</c:v>
                </c:pt>
                <c:pt idx="102">
                  <c:v>52.98</c:v>
                </c:pt>
                <c:pt idx="103">
                  <c:v>54.63</c:v>
                </c:pt>
                <c:pt idx="104">
                  <c:v>57.61</c:v>
                </c:pt>
                <c:pt idx="105">
                  <c:v>54.88</c:v>
                </c:pt>
                <c:pt idx="106">
                  <c:v>59.53</c:v>
                </c:pt>
                <c:pt idx="107">
                  <c:v>60.83</c:v>
                </c:pt>
                <c:pt idx="109">
                  <c:v>58.9</c:v>
                </c:pt>
                <c:pt idx="110">
                  <c:v>54.49</c:v>
                </c:pt>
                <c:pt idx="111">
                  <c:v>48.35</c:v>
                </c:pt>
                <c:pt idx="112">
                  <c:v>47.48</c:v>
                </c:pt>
                <c:pt idx="113">
                  <c:v>36.46</c:v>
                </c:pt>
                <c:pt idx="114">
                  <c:v>42</c:v>
                </c:pt>
                <c:pt idx="115">
                  <c:v>40.56</c:v>
                </c:pt>
                <c:pt idx="116">
                  <c:v>40.119999999999997</c:v>
                </c:pt>
                <c:pt idx="117">
                  <c:v>46.09</c:v>
                </c:pt>
                <c:pt idx="118">
                  <c:v>50.31</c:v>
                </c:pt>
                <c:pt idx="119">
                  <c:v>53.6</c:v>
                </c:pt>
                <c:pt idx="120">
                  <c:v>50.37</c:v>
                </c:pt>
                <c:pt idx="121">
                  <c:v>45.23</c:v>
                </c:pt>
                <c:pt idx="122">
                  <c:v>40.04</c:v>
                </c:pt>
                <c:pt idx="123">
                  <c:v>32.57</c:v>
                </c:pt>
                <c:pt idx="124">
                  <c:v>34.200000000000003</c:v>
                </c:pt>
                <c:pt idx="125">
                  <c:v>30.35</c:v>
                </c:pt>
                <c:pt idx="126">
                  <c:v>31.8</c:v>
                </c:pt>
                <c:pt idx="127">
                  <c:v>33.69</c:v>
                </c:pt>
                <c:pt idx="128">
                  <c:v>35.54</c:v>
                </c:pt>
                <c:pt idx="129">
                  <c:v>40.35</c:v>
                </c:pt>
                <c:pt idx="130">
                  <c:v>49.7</c:v>
                </c:pt>
                <c:pt idx="131">
                  <c:v>48.95</c:v>
                </c:pt>
                <c:pt idx="132">
                  <c:v>49.18</c:v>
                </c:pt>
                <c:pt idx="133">
                  <c:v>51.23</c:v>
                </c:pt>
                <c:pt idx="134">
                  <c:v>45.15</c:v>
                </c:pt>
                <c:pt idx="135">
                  <c:v>46.52</c:v>
                </c:pt>
                <c:pt idx="136">
                  <c:v>48.23</c:v>
                </c:pt>
                <c:pt idx="137">
                  <c:v>42.12</c:v>
                </c:pt>
                <c:pt idx="138">
                  <c:v>42.88</c:v>
                </c:pt>
                <c:pt idx="139">
                  <c:v>45.87</c:v>
                </c:pt>
                <c:pt idx="140">
                  <c:v>47.74</c:v>
                </c:pt>
                <c:pt idx="141">
                  <c:v>42.99</c:v>
                </c:pt>
                <c:pt idx="142">
                  <c:v>34.28</c:v>
                </c:pt>
                <c:pt idx="143">
                  <c:v>42.17</c:v>
                </c:pt>
                <c:pt idx="144">
                  <c:v>49.28</c:v>
                </c:pt>
                <c:pt idx="145">
                  <c:v>45.98</c:v>
                </c:pt>
                <c:pt idx="146">
                  <c:v>48.16</c:v>
                </c:pt>
                <c:pt idx="147">
                  <c:v>48.64</c:v>
                </c:pt>
                <c:pt idx="148">
                  <c:v>47.74</c:v>
                </c:pt>
                <c:pt idx="149">
                  <c:v>41.16</c:v>
                </c:pt>
                <c:pt idx="150">
                  <c:v>46.07</c:v>
                </c:pt>
                <c:pt idx="151">
                  <c:v>43.12</c:v>
                </c:pt>
                <c:pt idx="152">
                  <c:v>40.79</c:v>
                </c:pt>
                <c:pt idx="153">
                  <c:v>33.18</c:v>
                </c:pt>
                <c:pt idx="154">
                  <c:v>38.39</c:v>
                </c:pt>
                <c:pt idx="155">
                  <c:v>44.56</c:v>
                </c:pt>
                <c:pt idx="156">
                  <c:v>46.38</c:v>
                </c:pt>
                <c:pt idx="157">
                  <c:v>49.35</c:v>
                </c:pt>
                <c:pt idx="158">
                  <c:v>49.61</c:v>
                </c:pt>
                <c:pt idx="159">
                  <c:v>49.61</c:v>
                </c:pt>
                <c:pt idx="160">
                  <c:v>48.39</c:v>
                </c:pt>
                <c:pt idx="161">
                  <c:v>49.88</c:v>
                </c:pt>
                <c:pt idx="162">
                  <c:v>53.96</c:v>
                </c:pt>
                <c:pt idx="163">
                  <c:v>59.65</c:v>
                </c:pt>
                <c:pt idx="164">
                  <c:v>49.56</c:v>
                </c:pt>
                <c:pt idx="165">
                  <c:v>48.49</c:v>
                </c:pt>
                <c:pt idx="166">
                  <c:v>58.69</c:v>
                </c:pt>
                <c:pt idx="167">
                  <c:v>58.26</c:v>
                </c:pt>
                <c:pt idx="168">
                  <c:v>54.72</c:v>
                </c:pt>
                <c:pt idx="169">
                  <c:v>52.68</c:v>
                </c:pt>
                <c:pt idx="170">
                  <c:v>56.89</c:v>
                </c:pt>
                <c:pt idx="172">
                  <c:v>62.02</c:v>
                </c:pt>
                <c:pt idx="173">
                  <c:v>61.41</c:v>
                </c:pt>
                <c:pt idx="174">
                  <c:v>61.41</c:v>
                </c:pt>
                <c:pt idx="175">
                  <c:v>60.44</c:v>
                </c:pt>
                <c:pt idx="176">
                  <c:v>59.42</c:v>
                </c:pt>
                <c:pt idx="177">
                  <c:v>62.49</c:v>
                </c:pt>
                <c:pt idx="178">
                  <c:v>54.89</c:v>
                </c:pt>
                <c:pt idx="179">
                  <c:v>53.58</c:v>
                </c:pt>
                <c:pt idx="180">
                  <c:v>53.25</c:v>
                </c:pt>
                <c:pt idx="181">
                  <c:v>50.75</c:v>
                </c:pt>
                <c:pt idx="182">
                  <c:v>53.3</c:v>
                </c:pt>
                <c:pt idx="183">
                  <c:v>53.3</c:v>
                </c:pt>
                <c:pt idx="184">
                  <c:v>57.87</c:v>
                </c:pt>
                <c:pt idx="185">
                  <c:v>50.96</c:v>
                </c:pt>
                <c:pt idx="186">
                  <c:v>45.26</c:v>
                </c:pt>
                <c:pt idx="187">
                  <c:v>46.12</c:v>
                </c:pt>
                <c:pt idx="188">
                  <c:v>43.93</c:v>
                </c:pt>
                <c:pt idx="189">
                  <c:v>42.04</c:v>
                </c:pt>
                <c:pt idx="190">
                  <c:v>45.65</c:v>
                </c:pt>
                <c:pt idx="191">
                  <c:v>42.7</c:v>
                </c:pt>
                <c:pt idx="192">
                  <c:v>36.78</c:v>
                </c:pt>
                <c:pt idx="193">
                  <c:v>40.17</c:v>
                </c:pt>
                <c:pt idx="194">
                  <c:v>44.37</c:v>
                </c:pt>
                <c:pt idx="195">
                  <c:v>52.73</c:v>
                </c:pt>
                <c:pt idx="196">
                  <c:v>54.56</c:v>
                </c:pt>
                <c:pt idx="197">
                  <c:v>62.23</c:v>
                </c:pt>
                <c:pt idx="198">
                  <c:v>57.79</c:v>
                </c:pt>
                <c:pt idx="199">
                  <c:v>63.92</c:v>
                </c:pt>
                <c:pt idx="200">
                  <c:v>62.73</c:v>
                </c:pt>
                <c:pt idx="201">
                  <c:v>57.43</c:v>
                </c:pt>
                <c:pt idx="202">
                  <c:v>55.25</c:v>
                </c:pt>
                <c:pt idx="203">
                  <c:v>54.26</c:v>
                </c:pt>
                <c:pt idx="204">
                  <c:v>51.26</c:v>
                </c:pt>
                <c:pt idx="205">
                  <c:v>50.1</c:v>
                </c:pt>
                <c:pt idx="206">
                  <c:v>60.51</c:v>
                </c:pt>
                <c:pt idx="207">
                  <c:v>63.88</c:v>
                </c:pt>
                <c:pt idx="208">
                  <c:v>69.12</c:v>
                </c:pt>
                <c:pt idx="209">
                  <c:v>67.5</c:v>
                </c:pt>
                <c:pt idx="210">
                  <c:v>65.62</c:v>
                </c:pt>
                <c:pt idx="211">
                  <c:v>62.95</c:v>
                </c:pt>
                <c:pt idx="213">
                  <c:v>68.87</c:v>
                </c:pt>
                <c:pt idx="214">
                  <c:v>69.28</c:v>
                </c:pt>
                <c:pt idx="215">
                  <c:v>64.89</c:v>
                </c:pt>
                <c:pt idx="216">
                  <c:v>54.79</c:v>
                </c:pt>
                <c:pt idx="217">
                  <c:v>55.31</c:v>
                </c:pt>
                <c:pt idx="218">
                  <c:v>54.76</c:v>
                </c:pt>
                <c:pt idx="219">
                  <c:v>49.76</c:v>
                </c:pt>
                <c:pt idx="220">
                  <c:v>54.67</c:v>
                </c:pt>
                <c:pt idx="221">
                  <c:v>50.81</c:v>
                </c:pt>
                <c:pt idx="222">
                  <c:v>47.83</c:v>
                </c:pt>
                <c:pt idx="224">
                  <c:v>51.09</c:v>
                </c:pt>
                <c:pt idx="225">
                  <c:v>52.5</c:v>
                </c:pt>
                <c:pt idx="226">
                  <c:v>57.57</c:v>
                </c:pt>
                <c:pt idx="227">
                  <c:v>54.02</c:v>
                </c:pt>
                <c:pt idx="228">
                  <c:v>60.57</c:v>
                </c:pt>
                <c:pt idx="229">
                  <c:v>58.91</c:v>
                </c:pt>
                <c:pt idx="230">
                  <c:v>64.94</c:v>
                </c:pt>
                <c:pt idx="231">
                  <c:v>62.73</c:v>
                </c:pt>
                <c:pt idx="232">
                  <c:v>60.22</c:v>
                </c:pt>
                <c:pt idx="233">
                  <c:v>59.23</c:v>
                </c:pt>
                <c:pt idx="234">
                  <c:v>62.5</c:v>
                </c:pt>
                <c:pt idx="235">
                  <c:v>61.24</c:v>
                </c:pt>
                <c:pt idx="236">
                  <c:v>57.67</c:v>
                </c:pt>
                <c:pt idx="237">
                  <c:v>55.49</c:v>
                </c:pt>
                <c:pt idx="238">
                  <c:v>55.44</c:v>
                </c:pt>
                <c:pt idx="239">
                  <c:v>54.17</c:v>
                </c:pt>
                <c:pt idx="240">
                  <c:v>60.13</c:v>
                </c:pt>
                <c:pt idx="242">
                  <c:v>54.23</c:v>
                </c:pt>
                <c:pt idx="243">
                  <c:v>55.09</c:v>
                </c:pt>
                <c:pt idx="244">
                  <c:v>55.52</c:v>
                </c:pt>
                <c:pt idx="245">
                  <c:v>61.26</c:v>
                </c:pt>
                <c:pt idx="246">
                  <c:v>62.03</c:v>
                </c:pt>
                <c:pt idx="247">
                  <c:v>61.37</c:v>
                </c:pt>
                <c:pt idx="248">
                  <c:v>58.7</c:v>
                </c:pt>
                <c:pt idx="249">
                  <c:v>55.9</c:v>
                </c:pt>
                <c:pt idx="250">
                  <c:v>59.29</c:v>
                </c:pt>
                <c:pt idx="251">
                  <c:v>61.16</c:v>
                </c:pt>
                <c:pt idx="252">
                  <c:v>55.16</c:v>
                </c:pt>
                <c:pt idx="253">
                  <c:v>54.42</c:v>
                </c:pt>
                <c:pt idx="254">
                  <c:v>50.64</c:v>
                </c:pt>
                <c:pt idx="255">
                  <c:v>52.31</c:v>
                </c:pt>
                <c:pt idx="256">
                  <c:v>54.53</c:v>
                </c:pt>
                <c:pt idx="257">
                  <c:v>56.84</c:v>
                </c:pt>
                <c:pt idx="258">
                  <c:v>52.67</c:v>
                </c:pt>
                <c:pt idx="259">
                  <c:v>53.94</c:v>
                </c:pt>
                <c:pt idx="260">
                  <c:v>52.71</c:v>
                </c:pt>
                <c:pt idx="261">
                  <c:v>50.75</c:v>
                </c:pt>
                <c:pt idx="262">
                  <c:v>50.33</c:v>
                </c:pt>
                <c:pt idx="263">
                  <c:v>52.02</c:v>
                </c:pt>
                <c:pt idx="264">
                  <c:v>47.38</c:v>
                </c:pt>
                <c:pt idx="265">
                  <c:v>47.11</c:v>
                </c:pt>
                <c:pt idx="266">
                  <c:v>41.96</c:v>
                </c:pt>
                <c:pt idx="268">
                  <c:v>44.63</c:v>
                </c:pt>
                <c:pt idx="269">
                  <c:v>43.13</c:v>
                </c:pt>
                <c:pt idx="270">
                  <c:v>44.41</c:v>
                </c:pt>
                <c:pt idx="271">
                  <c:v>45.69</c:v>
                </c:pt>
                <c:pt idx="272">
                  <c:v>43.39</c:v>
                </c:pt>
                <c:pt idx="273">
                  <c:v>37.54</c:v>
                </c:pt>
                <c:pt idx="274">
                  <c:v>42.03</c:v>
                </c:pt>
                <c:pt idx="275">
                  <c:v>19.559999999999999</c:v>
                </c:pt>
                <c:pt idx="276">
                  <c:v>22.51</c:v>
                </c:pt>
                <c:pt idx="277">
                  <c:v>24.31</c:v>
                </c:pt>
                <c:pt idx="278">
                  <c:v>35.17</c:v>
                </c:pt>
                <c:pt idx="279">
                  <c:v>51.25</c:v>
                </c:pt>
                <c:pt idx="280">
                  <c:v>47.2</c:v>
                </c:pt>
                <c:pt idx="281">
                  <c:v>45.3</c:v>
                </c:pt>
                <c:pt idx="282">
                  <c:v>39.409999999999997</c:v>
                </c:pt>
                <c:pt idx="283">
                  <c:v>47.53</c:v>
                </c:pt>
                <c:pt idx="284">
                  <c:v>47.76</c:v>
                </c:pt>
                <c:pt idx="285">
                  <c:v>46.81</c:v>
                </c:pt>
                <c:pt idx="286">
                  <c:v>46.91</c:v>
                </c:pt>
                <c:pt idx="287">
                  <c:v>42.66</c:v>
                </c:pt>
                <c:pt idx="288">
                  <c:v>46.63</c:v>
                </c:pt>
                <c:pt idx="289">
                  <c:v>49.36</c:v>
                </c:pt>
                <c:pt idx="290">
                  <c:v>47.87</c:v>
                </c:pt>
                <c:pt idx="291">
                  <c:v>48.56</c:v>
                </c:pt>
                <c:pt idx="292">
                  <c:v>43.08</c:v>
                </c:pt>
                <c:pt idx="293">
                  <c:v>36.65</c:v>
                </c:pt>
                <c:pt idx="294">
                  <c:v>36.86</c:v>
                </c:pt>
                <c:pt idx="295">
                  <c:v>38.21</c:v>
                </c:pt>
                <c:pt idx="296">
                  <c:v>40.479999999999997</c:v>
                </c:pt>
                <c:pt idx="297">
                  <c:v>47.79</c:v>
                </c:pt>
                <c:pt idx="298">
                  <c:v>46.62</c:v>
                </c:pt>
                <c:pt idx="299">
                  <c:v>48.56</c:v>
                </c:pt>
                <c:pt idx="300">
                  <c:v>36.6</c:v>
                </c:pt>
                <c:pt idx="301">
                  <c:v>41.3</c:v>
                </c:pt>
                <c:pt idx="302">
                  <c:v>50.35</c:v>
                </c:pt>
                <c:pt idx="303">
                  <c:v>45.69</c:v>
                </c:pt>
                <c:pt idx="304">
                  <c:v>49.11</c:v>
                </c:pt>
                <c:pt idx="305">
                  <c:v>49.34</c:v>
                </c:pt>
                <c:pt idx="306">
                  <c:v>45.32</c:v>
                </c:pt>
                <c:pt idx="307">
                  <c:v>45.82</c:v>
                </c:pt>
                <c:pt idx="308">
                  <c:v>54.99</c:v>
                </c:pt>
                <c:pt idx="309">
                  <c:v>56.33</c:v>
                </c:pt>
                <c:pt idx="310">
                  <c:v>63.67</c:v>
                </c:pt>
                <c:pt idx="312">
                  <c:v>58.29</c:v>
                </c:pt>
                <c:pt idx="313">
                  <c:v>60.55</c:v>
                </c:pt>
                <c:pt idx="314">
                  <c:v>51.95</c:v>
                </c:pt>
                <c:pt idx="315">
                  <c:v>56.72</c:v>
                </c:pt>
                <c:pt idx="316">
                  <c:v>53.5</c:v>
                </c:pt>
                <c:pt idx="317">
                  <c:v>50.53</c:v>
                </c:pt>
                <c:pt idx="318">
                  <c:v>58.98</c:v>
                </c:pt>
                <c:pt idx="319">
                  <c:v>57.09</c:v>
                </c:pt>
                <c:pt idx="320">
                  <c:v>57.65</c:v>
                </c:pt>
                <c:pt idx="321">
                  <c:v>56.17</c:v>
                </c:pt>
                <c:pt idx="322">
                  <c:v>55.67</c:v>
                </c:pt>
                <c:pt idx="323">
                  <c:v>60.26</c:v>
                </c:pt>
                <c:pt idx="324">
                  <c:v>55.9</c:v>
                </c:pt>
                <c:pt idx="325">
                  <c:v>57</c:v>
                </c:pt>
                <c:pt idx="326">
                  <c:v>58.97</c:v>
                </c:pt>
                <c:pt idx="327">
                  <c:v>58.74</c:v>
                </c:pt>
                <c:pt idx="328">
                  <c:v>60.17</c:v>
                </c:pt>
                <c:pt idx="329">
                  <c:v>58.16</c:v>
                </c:pt>
                <c:pt idx="330">
                  <c:v>62.46</c:v>
                </c:pt>
                <c:pt idx="332">
                  <c:v>57.92</c:v>
                </c:pt>
                <c:pt idx="333">
                  <c:v>55.4</c:v>
                </c:pt>
                <c:pt idx="334">
                  <c:v>52.03</c:v>
                </c:pt>
                <c:pt idx="335">
                  <c:v>47.86</c:v>
                </c:pt>
                <c:pt idx="336">
                  <c:v>41.79</c:v>
                </c:pt>
                <c:pt idx="337">
                  <c:v>28.15</c:v>
                </c:pt>
                <c:pt idx="339">
                  <c:v>31.3</c:v>
                </c:pt>
                <c:pt idx="340">
                  <c:v>27.26</c:v>
                </c:pt>
                <c:pt idx="341">
                  <c:v>27.42</c:v>
                </c:pt>
                <c:pt idx="342">
                  <c:v>22.62</c:v>
                </c:pt>
                <c:pt idx="343">
                  <c:v>22.67</c:v>
                </c:pt>
                <c:pt idx="344">
                  <c:v>25.05</c:v>
                </c:pt>
                <c:pt idx="345">
                  <c:v>22.28</c:v>
                </c:pt>
                <c:pt idx="346">
                  <c:v>25.17</c:v>
                </c:pt>
                <c:pt idx="347">
                  <c:v>26.46</c:v>
                </c:pt>
                <c:pt idx="348">
                  <c:v>26.82</c:v>
                </c:pt>
                <c:pt idx="349">
                  <c:v>23.4</c:v>
                </c:pt>
                <c:pt idx="350">
                  <c:v>24.58</c:v>
                </c:pt>
                <c:pt idx="351">
                  <c:v>16.489999999999998</c:v>
                </c:pt>
                <c:pt idx="352">
                  <c:v>18.07</c:v>
                </c:pt>
                <c:pt idx="353">
                  <c:v>23.81</c:v>
                </c:pt>
                <c:pt idx="354">
                  <c:v>25.28</c:v>
                </c:pt>
                <c:pt idx="355">
                  <c:v>27.84</c:v>
                </c:pt>
                <c:pt idx="356">
                  <c:v>30.65</c:v>
                </c:pt>
                <c:pt idx="357">
                  <c:v>33.19</c:v>
                </c:pt>
                <c:pt idx="358">
                  <c:v>34.549999999999997</c:v>
                </c:pt>
                <c:pt idx="359">
                  <c:v>38.869999999999997</c:v>
                </c:pt>
                <c:pt idx="360">
                  <c:v>38.97</c:v>
                </c:pt>
                <c:pt idx="361">
                  <c:v>40.65</c:v>
                </c:pt>
                <c:pt idx="362">
                  <c:v>47.11</c:v>
                </c:pt>
                <c:pt idx="363">
                  <c:v>52.96</c:v>
                </c:pt>
                <c:pt idx="364">
                  <c:v>55.03</c:v>
                </c:pt>
                <c:pt idx="365">
                  <c:v>55.43</c:v>
                </c:pt>
                <c:pt idx="367">
                  <c:v>52.87</c:v>
                </c:pt>
                <c:pt idx="368">
                  <c:v>53.17</c:v>
                </c:pt>
                <c:pt idx="369">
                  <c:v>57.39</c:v>
                </c:pt>
                <c:pt idx="370">
                  <c:v>52.62</c:v>
                </c:pt>
                <c:pt idx="371">
                  <c:v>49.82</c:v>
                </c:pt>
                <c:pt idx="372">
                  <c:v>43.03</c:v>
                </c:pt>
                <c:pt idx="373">
                  <c:v>37.85</c:v>
                </c:pt>
                <c:pt idx="374">
                  <c:v>39.17</c:v>
                </c:pt>
                <c:pt idx="375">
                  <c:v>34.11</c:v>
                </c:pt>
                <c:pt idx="376">
                  <c:v>36.659999999999997</c:v>
                </c:pt>
                <c:pt idx="377">
                  <c:v>39.96</c:v>
                </c:pt>
                <c:pt idx="378">
                  <c:v>38.47</c:v>
                </c:pt>
                <c:pt idx="379">
                  <c:v>46.21</c:v>
                </c:pt>
                <c:pt idx="380">
                  <c:v>48.53</c:v>
                </c:pt>
                <c:pt idx="381">
                  <c:v>53.87</c:v>
                </c:pt>
                <c:pt idx="382">
                  <c:v>51.78</c:v>
                </c:pt>
                <c:pt idx="383">
                  <c:v>43.47</c:v>
                </c:pt>
                <c:pt idx="384">
                  <c:v>42.47</c:v>
                </c:pt>
                <c:pt idx="385">
                  <c:v>39.57</c:v>
                </c:pt>
                <c:pt idx="386">
                  <c:v>40.78</c:v>
                </c:pt>
                <c:pt idx="387">
                  <c:v>47.24</c:v>
                </c:pt>
                <c:pt idx="388">
                  <c:v>43.87</c:v>
                </c:pt>
                <c:pt idx="389">
                  <c:v>47.22</c:v>
                </c:pt>
                <c:pt idx="390">
                  <c:v>41.96</c:v>
                </c:pt>
                <c:pt idx="391">
                  <c:v>45.17</c:v>
                </c:pt>
                <c:pt idx="392">
                  <c:v>52.45</c:v>
                </c:pt>
                <c:pt idx="393">
                  <c:v>54.25</c:v>
                </c:pt>
                <c:pt idx="394">
                  <c:v>60.91</c:v>
                </c:pt>
                <c:pt idx="395">
                  <c:v>67.38</c:v>
                </c:pt>
                <c:pt idx="396">
                  <c:v>65.62</c:v>
                </c:pt>
                <c:pt idx="397">
                  <c:v>64.94</c:v>
                </c:pt>
                <c:pt idx="398">
                  <c:v>61.41</c:v>
                </c:pt>
                <c:pt idx="399">
                  <c:v>62.19</c:v>
                </c:pt>
                <c:pt idx="400">
                  <c:v>59.58</c:v>
                </c:pt>
                <c:pt idx="401">
                  <c:v>56.45</c:v>
                </c:pt>
                <c:pt idx="402">
                  <c:v>55.3</c:v>
                </c:pt>
                <c:pt idx="403">
                  <c:v>52.12</c:v>
                </c:pt>
                <c:pt idx="404">
                  <c:v>54.78</c:v>
                </c:pt>
                <c:pt idx="405">
                  <c:v>56.48</c:v>
                </c:pt>
                <c:pt idx="406">
                  <c:v>54.31</c:v>
                </c:pt>
                <c:pt idx="407">
                  <c:v>60.78</c:v>
                </c:pt>
                <c:pt idx="408">
                  <c:v>63.22</c:v>
                </c:pt>
                <c:pt idx="409">
                  <c:v>64.790000000000006</c:v>
                </c:pt>
                <c:pt idx="410">
                  <c:v>68.319999999999993</c:v>
                </c:pt>
                <c:pt idx="411">
                  <c:v>69.430000000000007</c:v>
                </c:pt>
                <c:pt idx="412">
                  <c:v>62.97</c:v>
                </c:pt>
                <c:pt idx="413">
                  <c:v>67.260000000000005</c:v>
                </c:pt>
                <c:pt idx="414">
                  <c:v>62.47</c:v>
                </c:pt>
                <c:pt idx="415">
                  <c:v>60.83</c:v>
                </c:pt>
                <c:pt idx="416">
                  <c:v>65.290000000000006</c:v>
                </c:pt>
                <c:pt idx="417">
                  <c:v>59.48</c:v>
                </c:pt>
                <c:pt idx="418">
                  <c:v>62.22</c:v>
                </c:pt>
                <c:pt idx="419">
                  <c:v>61.48</c:v>
                </c:pt>
                <c:pt idx="420">
                  <c:v>57.8</c:v>
                </c:pt>
                <c:pt idx="421">
                  <c:v>53.85</c:v>
                </c:pt>
                <c:pt idx="422">
                  <c:v>49.41</c:v>
                </c:pt>
                <c:pt idx="423">
                  <c:v>48.19</c:v>
                </c:pt>
                <c:pt idx="424">
                  <c:v>47.98</c:v>
                </c:pt>
                <c:pt idx="425">
                  <c:v>43.32</c:v>
                </c:pt>
                <c:pt idx="426">
                  <c:v>48.67</c:v>
                </c:pt>
                <c:pt idx="427">
                  <c:v>52.44</c:v>
                </c:pt>
                <c:pt idx="428">
                  <c:v>54.5</c:v>
                </c:pt>
                <c:pt idx="430">
                  <c:v>68.64</c:v>
                </c:pt>
                <c:pt idx="431">
                  <c:v>64.58</c:v>
                </c:pt>
                <c:pt idx="432">
                  <c:v>62.31</c:v>
                </c:pt>
                <c:pt idx="433">
                  <c:v>65.36</c:v>
                </c:pt>
                <c:pt idx="434">
                  <c:v>65.319999999999993</c:v>
                </c:pt>
                <c:pt idx="435">
                  <c:v>63.75</c:v>
                </c:pt>
                <c:pt idx="436">
                  <c:v>58.61</c:v>
                </c:pt>
                <c:pt idx="437">
                  <c:v>59.85</c:v>
                </c:pt>
                <c:pt idx="438">
                  <c:v>55.02</c:v>
                </c:pt>
                <c:pt idx="439">
                  <c:v>57.04</c:v>
                </c:pt>
                <c:pt idx="440">
                  <c:v>55.05</c:v>
                </c:pt>
                <c:pt idx="441">
                  <c:v>54.54</c:v>
                </c:pt>
                <c:pt idx="442">
                  <c:v>47.58</c:v>
                </c:pt>
                <c:pt idx="443">
                  <c:v>47.58</c:v>
                </c:pt>
                <c:pt idx="444">
                  <c:v>42.88</c:v>
                </c:pt>
                <c:pt idx="445">
                  <c:v>44.52</c:v>
                </c:pt>
                <c:pt idx="446">
                  <c:v>44.81</c:v>
                </c:pt>
                <c:pt idx="447">
                  <c:v>37.619999999999997</c:v>
                </c:pt>
                <c:pt idx="448">
                  <c:v>42.15</c:v>
                </c:pt>
                <c:pt idx="449">
                  <c:v>39.61</c:v>
                </c:pt>
                <c:pt idx="450">
                  <c:v>48.41</c:v>
                </c:pt>
                <c:pt idx="451">
                  <c:v>58.86</c:v>
                </c:pt>
                <c:pt idx="452">
                  <c:v>61.49</c:v>
                </c:pt>
                <c:pt idx="453">
                  <c:v>56.89</c:v>
                </c:pt>
                <c:pt idx="454">
                  <c:v>58.95</c:v>
                </c:pt>
                <c:pt idx="455">
                  <c:v>58.2</c:v>
                </c:pt>
                <c:pt idx="456">
                  <c:v>50.47</c:v>
                </c:pt>
                <c:pt idx="457">
                  <c:v>48.97</c:v>
                </c:pt>
                <c:pt idx="458">
                  <c:v>56.28</c:v>
                </c:pt>
                <c:pt idx="459">
                  <c:v>54.31</c:v>
                </c:pt>
                <c:pt idx="460">
                  <c:v>52.67</c:v>
                </c:pt>
                <c:pt idx="461">
                  <c:v>57.89</c:v>
                </c:pt>
                <c:pt idx="462">
                  <c:v>64.569999999999993</c:v>
                </c:pt>
                <c:pt idx="463">
                  <c:v>66.05</c:v>
                </c:pt>
                <c:pt idx="464">
                  <c:v>57.79</c:v>
                </c:pt>
                <c:pt idx="465">
                  <c:v>59.56</c:v>
                </c:pt>
                <c:pt idx="466">
                  <c:v>54.75</c:v>
                </c:pt>
                <c:pt idx="467">
                  <c:v>46.42</c:v>
                </c:pt>
                <c:pt idx="468">
                  <c:v>35.82</c:v>
                </c:pt>
                <c:pt idx="469">
                  <c:v>41.72</c:v>
                </c:pt>
                <c:pt idx="470">
                  <c:v>39.03</c:v>
                </c:pt>
                <c:pt idx="472">
                  <c:v>37.590000000000003</c:v>
                </c:pt>
                <c:pt idx="473">
                  <c:v>30.5</c:v>
                </c:pt>
                <c:pt idx="474">
                  <c:v>28.65</c:v>
                </c:pt>
                <c:pt idx="475">
                  <c:v>36.28</c:v>
                </c:pt>
                <c:pt idx="476">
                  <c:v>36.479999999999997</c:v>
                </c:pt>
                <c:pt idx="477">
                  <c:v>38.090000000000003</c:v>
                </c:pt>
                <c:pt idx="478">
                  <c:v>38.47</c:v>
                </c:pt>
                <c:pt idx="479">
                  <c:v>46.68</c:v>
                </c:pt>
                <c:pt idx="480">
                  <c:v>45.25</c:v>
                </c:pt>
                <c:pt idx="481">
                  <c:v>45.16</c:v>
                </c:pt>
                <c:pt idx="483">
                  <c:v>44.39</c:v>
                </c:pt>
                <c:pt idx="484">
                  <c:v>45.04</c:v>
                </c:pt>
                <c:pt idx="485">
                  <c:v>39.590000000000003</c:v>
                </c:pt>
                <c:pt idx="486">
                  <c:v>44.78</c:v>
                </c:pt>
                <c:pt idx="487">
                  <c:v>44.98</c:v>
                </c:pt>
                <c:pt idx="488">
                  <c:v>43.67</c:v>
                </c:pt>
                <c:pt idx="489">
                  <c:v>43.84</c:v>
                </c:pt>
                <c:pt idx="490">
                  <c:v>44.32</c:v>
                </c:pt>
                <c:pt idx="491">
                  <c:v>49.44</c:v>
                </c:pt>
                <c:pt idx="492">
                  <c:v>48.84</c:v>
                </c:pt>
                <c:pt idx="493">
                  <c:v>45.07</c:v>
                </c:pt>
                <c:pt idx="494">
                  <c:v>50.72</c:v>
                </c:pt>
                <c:pt idx="495">
                  <c:v>54.09</c:v>
                </c:pt>
                <c:pt idx="496">
                  <c:v>47.56</c:v>
                </c:pt>
                <c:pt idx="497">
                  <c:v>42.47</c:v>
                </c:pt>
                <c:pt idx="498">
                  <c:v>50.59</c:v>
                </c:pt>
                <c:pt idx="500">
                  <c:v>53.13</c:v>
                </c:pt>
                <c:pt idx="501">
                  <c:v>47.62</c:v>
                </c:pt>
                <c:pt idx="502">
                  <c:v>53.62</c:v>
                </c:pt>
                <c:pt idx="503">
                  <c:v>61.63</c:v>
                </c:pt>
                <c:pt idx="504">
                  <c:v>61.63</c:v>
                </c:pt>
                <c:pt idx="505">
                  <c:v>60.91</c:v>
                </c:pt>
                <c:pt idx="506">
                  <c:v>56.29</c:v>
                </c:pt>
                <c:pt idx="507">
                  <c:v>62.05</c:v>
                </c:pt>
                <c:pt idx="508">
                  <c:v>61.15</c:v>
                </c:pt>
                <c:pt idx="509">
                  <c:v>60.67</c:v>
                </c:pt>
                <c:pt idx="510">
                  <c:v>61.14</c:v>
                </c:pt>
                <c:pt idx="511">
                  <c:v>60.62</c:v>
                </c:pt>
                <c:pt idx="512">
                  <c:v>55.53</c:v>
                </c:pt>
                <c:pt idx="513">
                  <c:v>58.45</c:v>
                </c:pt>
                <c:pt idx="514">
                  <c:v>52.55</c:v>
                </c:pt>
                <c:pt idx="515">
                  <c:v>49.17</c:v>
                </c:pt>
                <c:pt idx="516">
                  <c:v>42.88</c:v>
                </c:pt>
                <c:pt idx="517">
                  <c:v>45.55</c:v>
                </c:pt>
                <c:pt idx="518">
                  <c:v>42.2</c:v>
                </c:pt>
                <c:pt idx="519">
                  <c:v>53</c:v>
                </c:pt>
                <c:pt idx="520">
                  <c:v>47.27</c:v>
                </c:pt>
                <c:pt idx="521">
                  <c:v>42.5</c:v>
                </c:pt>
                <c:pt idx="522">
                  <c:v>36.369999999999997</c:v>
                </c:pt>
                <c:pt idx="523">
                  <c:v>35.76</c:v>
                </c:pt>
                <c:pt idx="524">
                  <c:v>40.33</c:v>
                </c:pt>
                <c:pt idx="525">
                  <c:v>39.49</c:v>
                </c:pt>
                <c:pt idx="526">
                  <c:v>39.9</c:v>
                </c:pt>
                <c:pt idx="527">
                  <c:v>39.65</c:v>
                </c:pt>
                <c:pt idx="528">
                  <c:v>38.08</c:v>
                </c:pt>
                <c:pt idx="529">
                  <c:v>41.55</c:v>
                </c:pt>
                <c:pt idx="530">
                  <c:v>43.87</c:v>
                </c:pt>
                <c:pt idx="531">
                  <c:v>54.48</c:v>
                </c:pt>
                <c:pt idx="532">
                  <c:v>55.01</c:v>
                </c:pt>
                <c:pt idx="533">
                  <c:v>67.8</c:v>
                </c:pt>
                <c:pt idx="534">
                  <c:v>66.709999999999994</c:v>
                </c:pt>
                <c:pt idx="535">
                  <c:v>66.37</c:v>
                </c:pt>
                <c:pt idx="536">
                  <c:v>62.16</c:v>
                </c:pt>
                <c:pt idx="537">
                  <c:v>71.58</c:v>
                </c:pt>
                <c:pt idx="538">
                  <c:v>69.03</c:v>
                </c:pt>
                <c:pt idx="539">
                  <c:v>72.78</c:v>
                </c:pt>
                <c:pt idx="541">
                  <c:v>75.239999999999995</c:v>
                </c:pt>
                <c:pt idx="542">
                  <c:v>74.319999999999993</c:v>
                </c:pt>
                <c:pt idx="543">
                  <c:v>68.7</c:v>
                </c:pt>
                <c:pt idx="544">
                  <c:v>69.459999999999994</c:v>
                </c:pt>
                <c:pt idx="545">
                  <c:v>69.319999999999993</c:v>
                </c:pt>
                <c:pt idx="546">
                  <c:v>75.14</c:v>
                </c:pt>
                <c:pt idx="547">
                  <c:v>73.78</c:v>
                </c:pt>
                <c:pt idx="548">
                  <c:v>70.14</c:v>
                </c:pt>
                <c:pt idx="549">
                  <c:v>70.099999999999994</c:v>
                </c:pt>
                <c:pt idx="550">
                  <c:v>71.599999999999994</c:v>
                </c:pt>
                <c:pt idx="551">
                  <c:v>71.459999999999994</c:v>
                </c:pt>
                <c:pt idx="552">
                  <c:v>75.7</c:v>
                </c:pt>
                <c:pt idx="553">
                  <c:v>72.94</c:v>
                </c:pt>
                <c:pt idx="554">
                  <c:v>73.02</c:v>
                </c:pt>
                <c:pt idx="555">
                  <c:v>69.64</c:v>
                </c:pt>
                <c:pt idx="556">
                  <c:v>74.08</c:v>
                </c:pt>
                <c:pt idx="557">
                  <c:v>70.41</c:v>
                </c:pt>
                <c:pt idx="558">
                  <c:v>67.900000000000006</c:v>
                </c:pt>
                <c:pt idx="559">
                  <c:v>72</c:v>
                </c:pt>
                <c:pt idx="560">
                  <c:v>69.680000000000007</c:v>
                </c:pt>
                <c:pt idx="561">
                  <c:v>68.150000000000006</c:v>
                </c:pt>
                <c:pt idx="562">
                  <c:v>65.48</c:v>
                </c:pt>
                <c:pt idx="563">
                  <c:v>64.34</c:v>
                </c:pt>
                <c:pt idx="564">
                  <c:v>63</c:v>
                </c:pt>
                <c:pt idx="565">
                  <c:v>66.790000000000006</c:v>
                </c:pt>
                <c:pt idx="566">
                  <c:v>64.87</c:v>
                </c:pt>
                <c:pt idx="567">
                  <c:v>61.36</c:v>
                </c:pt>
                <c:pt idx="568">
                  <c:v>59.3</c:v>
                </c:pt>
                <c:pt idx="570">
                  <c:v>60.45</c:v>
                </c:pt>
                <c:pt idx="571">
                  <c:v>58.59</c:v>
                </c:pt>
                <c:pt idx="572">
                  <c:v>51.15</c:v>
                </c:pt>
                <c:pt idx="573">
                  <c:v>48.24</c:v>
                </c:pt>
                <c:pt idx="574">
                  <c:v>55.03</c:v>
                </c:pt>
                <c:pt idx="575">
                  <c:v>51.48</c:v>
                </c:pt>
                <c:pt idx="576">
                  <c:v>50.49</c:v>
                </c:pt>
                <c:pt idx="577">
                  <c:v>51.08</c:v>
                </c:pt>
                <c:pt idx="578">
                  <c:v>47.67</c:v>
                </c:pt>
                <c:pt idx="579">
                  <c:v>39.14</c:v>
                </c:pt>
                <c:pt idx="580">
                  <c:v>50.4</c:v>
                </c:pt>
                <c:pt idx="581">
                  <c:v>53.74</c:v>
                </c:pt>
                <c:pt idx="582">
                  <c:v>44.14</c:v>
                </c:pt>
                <c:pt idx="583">
                  <c:v>52.13</c:v>
                </c:pt>
                <c:pt idx="584">
                  <c:v>49.15</c:v>
                </c:pt>
                <c:pt idx="585">
                  <c:v>45.77</c:v>
                </c:pt>
                <c:pt idx="586">
                  <c:v>45.53</c:v>
                </c:pt>
                <c:pt idx="587">
                  <c:v>38.049999999999997</c:v>
                </c:pt>
                <c:pt idx="588">
                  <c:v>45.62</c:v>
                </c:pt>
                <c:pt idx="589">
                  <c:v>43.09</c:v>
                </c:pt>
                <c:pt idx="590">
                  <c:v>40.81</c:v>
                </c:pt>
                <c:pt idx="591">
                  <c:v>40.06</c:v>
                </c:pt>
                <c:pt idx="592">
                  <c:v>37.700000000000003</c:v>
                </c:pt>
                <c:pt idx="593">
                  <c:v>41.18</c:v>
                </c:pt>
                <c:pt idx="595">
                  <c:v>47.71</c:v>
                </c:pt>
                <c:pt idx="596">
                  <c:v>47.06</c:v>
                </c:pt>
                <c:pt idx="597">
                  <c:v>48.82</c:v>
                </c:pt>
                <c:pt idx="598">
                  <c:v>49.58</c:v>
                </c:pt>
                <c:pt idx="599">
                  <c:v>56.8</c:v>
                </c:pt>
                <c:pt idx="600">
                  <c:v>54.52</c:v>
                </c:pt>
                <c:pt idx="601">
                  <c:v>53.63</c:v>
                </c:pt>
                <c:pt idx="602">
                  <c:v>55.57</c:v>
                </c:pt>
                <c:pt idx="603">
                  <c:v>62.73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5E-40E0-8837-1D2F5FDAC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금속  </a:t>
            </a:r>
            <a:r>
              <a:rPr lang="en-US"/>
              <a:t>vs  </a:t>
            </a:r>
            <a:r>
              <a:rPr lang="ko-KR" altLang="en-US"/>
              <a:t>소재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RSI'!$H$7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RSI'!$H$78:$H$3077</c:f>
              <c:numCache>
                <c:formatCode>0.00</c:formatCode>
                <c:ptCount val="3000"/>
                <c:pt idx="1">
                  <c:v>63.74</c:v>
                </c:pt>
                <c:pt idx="2">
                  <c:v>72.930000000000007</c:v>
                </c:pt>
                <c:pt idx="3">
                  <c:v>71.25</c:v>
                </c:pt>
                <c:pt idx="4">
                  <c:v>66.59</c:v>
                </c:pt>
                <c:pt idx="5">
                  <c:v>66.52</c:v>
                </c:pt>
                <c:pt idx="6">
                  <c:v>65.52</c:v>
                </c:pt>
                <c:pt idx="7">
                  <c:v>71.239999999999995</c:v>
                </c:pt>
                <c:pt idx="8">
                  <c:v>67.540000000000006</c:v>
                </c:pt>
                <c:pt idx="9">
                  <c:v>64.489999999999995</c:v>
                </c:pt>
                <c:pt idx="10">
                  <c:v>63.58</c:v>
                </c:pt>
                <c:pt idx="11">
                  <c:v>62.51</c:v>
                </c:pt>
                <c:pt idx="12">
                  <c:v>61.41</c:v>
                </c:pt>
                <c:pt idx="13">
                  <c:v>61.52</c:v>
                </c:pt>
                <c:pt idx="14">
                  <c:v>61.87</c:v>
                </c:pt>
                <c:pt idx="15">
                  <c:v>60.33</c:v>
                </c:pt>
                <c:pt idx="16">
                  <c:v>57.78</c:v>
                </c:pt>
                <c:pt idx="17">
                  <c:v>56.78</c:v>
                </c:pt>
                <c:pt idx="18">
                  <c:v>51.16</c:v>
                </c:pt>
                <c:pt idx="19">
                  <c:v>52.58</c:v>
                </c:pt>
                <c:pt idx="20">
                  <c:v>53.78</c:v>
                </c:pt>
                <c:pt idx="21">
                  <c:v>48.96</c:v>
                </c:pt>
                <c:pt idx="22">
                  <c:v>51.91</c:v>
                </c:pt>
                <c:pt idx="23">
                  <c:v>40.54</c:v>
                </c:pt>
                <c:pt idx="24">
                  <c:v>45.26</c:v>
                </c:pt>
                <c:pt idx="25">
                  <c:v>47.11</c:v>
                </c:pt>
                <c:pt idx="26">
                  <c:v>49.25</c:v>
                </c:pt>
                <c:pt idx="27">
                  <c:v>50.85</c:v>
                </c:pt>
                <c:pt idx="28">
                  <c:v>46.25</c:v>
                </c:pt>
                <c:pt idx="29">
                  <c:v>42.26</c:v>
                </c:pt>
                <c:pt idx="30">
                  <c:v>48.77</c:v>
                </c:pt>
                <c:pt idx="31">
                  <c:v>48.69</c:v>
                </c:pt>
                <c:pt idx="32">
                  <c:v>51.98</c:v>
                </c:pt>
                <c:pt idx="33">
                  <c:v>49.12</c:v>
                </c:pt>
                <c:pt idx="34">
                  <c:v>48.01</c:v>
                </c:pt>
                <c:pt idx="35">
                  <c:v>49.36</c:v>
                </c:pt>
                <c:pt idx="36">
                  <c:v>52.56</c:v>
                </c:pt>
                <c:pt idx="37">
                  <c:v>51.35</c:v>
                </c:pt>
                <c:pt idx="38">
                  <c:v>50.05</c:v>
                </c:pt>
                <c:pt idx="39">
                  <c:v>49.67</c:v>
                </c:pt>
                <c:pt idx="40">
                  <c:v>56.3</c:v>
                </c:pt>
                <c:pt idx="41">
                  <c:v>53.34</c:v>
                </c:pt>
                <c:pt idx="42">
                  <c:v>43.23</c:v>
                </c:pt>
                <c:pt idx="43">
                  <c:v>66.06</c:v>
                </c:pt>
                <c:pt idx="45">
                  <c:v>69.7</c:v>
                </c:pt>
                <c:pt idx="46">
                  <c:v>68.489999999999995</c:v>
                </c:pt>
                <c:pt idx="47">
                  <c:v>71.77</c:v>
                </c:pt>
                <c:pt idx="48">
                  <c:v>66.37</c:v>
                </c:pt>
                <c:pt idx="49">
                  <c:v>60.49</c:v>
                </c:pt>
                <c:pt idx="50">
                  <c:v>59.69</c:v>
                </c:pt>
                <c:pt idx="51">
                  <c:v>57.34</c:v>
                </c:pt>
                <c:pt idx="54">
                  <c:v>54.58</c:v>
                </c:pt>
                <c:pt idx="55">
                  <c:v>58.16</c:v>
                </c:pt>
                <c:pt idx="56">
                  <c:v>55.46</c:v>
                </c:pt>
                <c:pt idx="57">
                  <c:v>56.03</c:v>
                </c:pt>
                <c:pt idx="58">
                  <c:v>55.21</c:v>
                </c:pt>
                <c:pt idx="59">
                  <c:v>51.58</c:v>
                </c:pt>
                <c:pt idx="60">
                  <c:v>55.09</c:v>
                </c:pt>
                <c:pt idx="61">
                  <c:v>61.79</c:v>
                </c:pt>
                <c:pt idx="62">
                  <c:v>57.26</c:v>
                </c:pt>
                <c:pt idx="63">
                  <c:v>51.74</c:v>
                </c:pt>
                <c:pt idx="64">
                  <c:v>66.290000000000006</c:v>
                </c:pt>
                <c:pt idx="65">
                  <c:v>77.14</c:v>
                </c:pt>
                <c:pt idx="66">
                  <c:v>74.72</c:v>
                </c:pt>
                <c:pt idx="67">
                  <c:v>73.3</c:v>
                </c:pt>
                <c:pt idx="68">
                  <c:v>75.25</c:v>
                </c:pt>
                <c:pt idx="69">
                  <c:v>70.430000000000007</c:v>
                </c:pt>
                <c:pt idx="70">
                  <c:v>68.290000000000006</c:v>
                </c:pt>
                <c:pt idx="71">
                  <c:v>72.81</c:v>
                </c:pt>
                <c:pt idx="72">
                  <c:v>73.19</c:v>
                </c:pt>
                <c:pt idx="73">
                  <c:v>71.28</c:v>
                </c:pt>
                <c:pt idx="74">
                  <c:v>68.760000000000005</c:v>
                </c:pt>
                <c:pt idx="75">
                  <c:v>68.11</c:v>
                </c:pt>
                <c:pt idx="76">
                  <c:v>62.73</c:v>
                </c:pt>
                <c:pt idx="77">
                  <c:v>67.92</c:v>
                </c:pt>
                <c:pt idx="78">
                  <c:v>56.77</c:v>
                </c:pt>
                <c:pt idx="79">
                  <c:v>49.69</c:v>
                </c:pt>
                <c:pt idx="80">
                  <c:v>49.44</c:v>
                </c:pt>
                <c:pt idx="81">
                  <c:v>50.59</c:v>
                </c:pt>
                <c:pt idx="82">
                  <c:v>48.64</c:v>
                </c:pt>
                <c:pt idx="83">
                  <c:v>51.55</c:v>
                </c:pt>
                <c:pt idx="84">
                  <c:v>47.98</c:v>
                </c:pt>
                <c:pt idx="86">
                  <c:v>50.06</c:v>
                </c:pt>
                <c:pt idx="87">
                  <c:v>55.78</c:v>
                </c:pt>
                <c:pt idx="88">
                  <c:v>49.09</c:v>
                </c:pt>
                <c:pt idx="89">
                  <c:v>52.65</c:v>
                </c:pt>
                <c:pt idx="90">
                  <c:v>52.71</c:v>
                </c:pt>
                <c:pt idx="91">
                  <c:v>55.35</c:v>
                </c:pt>
                <c:pt idx="92">
                  <c:v>50.81</c:v>
                </c:pt>
                <c:pt idx="93">
                  <c:v>48.26</c:v>
                </c:pt>
                <c:pt idx="94">
                  <c:v>54.44</c:v>
                </c:pt>
                <c:pt idx="95">
                  <c:v>52.15</c:v>
                </c:pt>
                <c:pt idx="96">
                  <c:v>72.099999999999994</c:v>
                </c:pt>
                <c:pt idx="97">
                  <c:v>69.3</c:v>
                </c:pt>
                <c:pt idx="98">
                  <c:v>65.84</c:v>
                </c:pt>
                <c:pt idx="99">
                  <c:v>65.27</c:v>
                </c:pt>
                <c:pt idx="100">
                  <c:v>65.66</c:v>
                </c:pt>
                <c:pt idx="101">
                  <c:v>63.38</c:v>
                </c:pt>
                <c:pt idx="102">
                  <c:v>58.52</c:v>
                </c:pt>
                <c:pt idx="103">
                  <c:v>53.13</c:v>
                </c:pt>
                <c:pt idx="104">
                  <c:v>55.24</c:v>
                </c:pt>
                <c:pt idx="105">
                  <c:v>54.99</c:v>
                </c:pt>
                <c:pt idx="106">
                  <c:v>57.24</c:v>
                </c:pt>
                <c:pt idx="107">
                  <c:v>57.46</c:v>
                </c:pt>
                <c:pt idx="108">
                  <c:v>57.44</c:v>
                </c:pt>
                <c:pt idx="109">
                  <c:v>50.9</c:v>
                </c:pt>
                <c:pt idx="110">
                  <c:v>44.41</c:v>
                </c:pt>
                <c:pt idx="111">
                  <c:v>41.77</c:v>
                </c:pt>
                <c:pt idx="112">
                  <c:v>46.26</c:v>
                </c:pt>
                <c:pt idx="113">
                  <c:v>50.77</c:v>
                </c:pt>
                <c:pt idx="114">
                  <c:v>48.46</c:v>
                </c:pt>
                <c:pt idx="115">
                  <c:v>44.24</c:v>
                </c:pt>
                <c:pt idx="116">
                  <c:v>49.48</c:v>
                </c:pt>
                <c:pt idx="117">
                  <c:v>50.47</c:v>
                </c:pt>
                <c:pt idx="118">
                  <c:v>56.62</c:v>
                </c:pt>
                <c:pt idx="119">
                  <c:v>51.17</c:v>
                </c:pt>
                <c:pt idx="120">
                  <c:v>41.77</c:v>
                </c:pt>
                <c:pt idx="121">
                  <c:v>42.21</c:v>
                </c:pt>
                <c:pt idx="122">
                  <c:v>37.14</c:v>
                </c:pt>
                <c:pt idx="123">
                  <c:v>42.45</c:v>
                </c:pt>
                <c:pt idx="124">
                  <c:v>42.45</c:v>
                </c:pt>
                <c:pt idx="125">
                  <c:v>49.42</c:v>
                </c:pt>
                <c:pt idx="126">
                  <c:v>52.69</c:v>
                </c:pt>
                <c:pt idx="127">
                  <c:v>50.41</c:v>
                </c:pt>
                <c:pt idx="128">
                  <c:v>56.42</c:v>
                </c:pt>
                <c:pt idx="129">
                  <c:v>65.010000000000005</c:v>
                </c:pt>
                <c:pt idx="130">
                  <c:v>60.61</c:v>
                </c:pt>
                <c:pt idx="131">
                  <c:v>63.57</c:v>
                </c:pt>
                <c:pt idx="132">
                  <c:v>67.87</c:v>
                </c:pt>
                <c:pt idx="133">
                  <c:v>62.73</c:v>
                </c:pt>
                <c:pt idx="134">
                  <c:v>62.92</c:v>
                </c:pt>
                <c:pt idx="135">
                  <c:v>60.07</c:v>
                </c:pt>
                <c:pt idx="136">
                  <c:v>60.81</c:v>
                </c:pt>
                <c:pt idx="137">
                  <c:v>59.75</c:v>
                </c:pt>
                <c:pt idx="138">
                  <c:v>64.849999999999994</c:v>
                </c:pt>
                <c:pt idx="139">
                  <c:v>72.37</c:v>
                </c:pt>
                <c:pt idx="140">
                  <c:v>70.790000000000006</c:v>
                </c:pt>
                <c:pt idx="141">
                  <c:v>59.44</c:v>
                </c:pt>
                <c:pt idx="142">
                  <c:v>39.950000000000003</c:v>
                </c:pt>
                <c:pt idx="148">
                  <c:v>44.25</c:v>
                </c:pt>
                <c:pt idx="149">
                  <c:v>45.34</c:v>
                </c:pt>
                <c:pt idx="150">
                  <c:v>45.87</c:v>
                </c:pt>
                <c:pt idx="151">
                  <c:v>45.61</c:v>
                </c:pt>
                <c:pt idx="152">
                  <c:v>42.57</c:v>
                </c:pt>
                <c:pt idx="153">
                  <c:v>49.82</c:v>
                </c:pt>
                <c:pt idx="154">
                  <c:v>47.74</c:v>
                </c:pt>
                <c:pt idx="155">
                  <c:v>48.38</c:v>
                </c:pt>
                <c:pt idx="156">
                  <c:v>49.66</c:v>
                </c:pt>
                <c:pt idx="157">
                  <c:v>53.92</c:v>
                </c:pt>
                <c:pt idx="158">
                  <c:v>57.18</c:v>
                </c:pt>
                <c:pt idx="159">
                  <c:v>63.81</c:v>
                </c:pt>
                <c:pt idx="160">
                  <c:v>68.53</c:v>
                </c:pt>
                <c:pt idx="161">
                  <c:v>67.8</c:v>
                </c:pt>
                <c:pt idx="162">
                  <c:v>67.599999999999994</c:v>
                </c:pt>
                <c:pt idx="163">
                  <c:v>57.74</c:v>
                </c:pt>
                <c:pt idx="164">
                  <c:v>54.69</c:v>
                </c:pt>
                <c:pt idx="165">
                  <c:v>50.74</c:v>
                </c:pt>
                <c:pt idx="166">
                  <c:v>49.91</c:v>
                </c:pt>
                <c:pt idx="167">
                  <c:v>47.34</c:v>
                </c:pt>
                <c:pt idx="168">
                  <c:v>50.34</c:v>
                </c:pt>
                <c:pt idx="169">
                  <c:v>47.93</c:v>
                </c:pt>
                <c:pt idx="170">
                  <c:v>38.24</c:v>
                </c:pt>
                <c:pt idx="171">
                  <c:v>36.94</c:v>
                </c:pt>
                <c:pt idx="172">
                  <c:v>39.46</c:v>
                </c:pt>
                <c:pt idx="173">
                  <c:v>38.99</c:v>
                </c:pt>
                <c:pt idx="174">
                  <c:v>40.700000000000003</c:v>
                </c:pt>
                <c:pt idx="175">
                  <c:v>43.21</c:v>
                </c:pt>
                <c:pt idx="176">
                  <c:v>47.55</c:v>
                </c:pt>
                <c:pt idx="177">
                  <c:v>44.81</c:v>
                </c:pt>
                <c:pt idx="178">
                  <c:v>40.25</c:v>
                </c:pt>
                <c:pt idx="179">
                  <c:v>36.57</c:v>
                </c:pt>
                <c:pt idx="180">
                  <c:v>38.67</c:v>
                </c:pt>
                <c:pt idx="181">
                  <c:v>40.700000000000003</c:v>
                </c:pt>
                <c:pt idx="183">
                  <c:v>44.72</c:v>
                </c:pt>
                <c:pt idx="184">
                  <c:v>44.08</c:v>
                </c:pt>
                <c:pt idx="185">
                  <c:v>41.21</c:v>
                </c:pt>
                <c:pt idx="186">
                  <c:v>43.2</c:v>
                </c:pt>
                <c:pt idx="187">
                  <c:v>40.06</c:v>
                </c:pt>
                <c:pt idx="188">
                  <c:v>49.6</c:v>
                </c:pt>
                <c:pt idx="189">
                  <c:v>46.28</c:v>
                </c:pt>
                <c:pt idx="190">
                  <c:v>46.16</c:v>
                </c:pt>
                <c:pt idx="191">
                  <c:v>41.38</c:v>
                </c:pt>
                <c:pt idx="192">
                  <c:v>40.35</c:v>
                </c:pt>
                <c:pt idx="193">
                  <c:v>57.23</c:v>
                </c:pt>
                <c:pt idx="194">
                  <c:v>62.35</c:v>
                </c:pt>
                <c:pt idx="195">
                  <c:v>64.16</c:v>
                </c:pt>
                <c:pt idx="196">
                  <c:v>64.45</c:v>
                </c:pt>
                <c:pt idx="197">
                  <c:v>68.900000000000006</c:v>
                </c:pt>
                <c:pt idx="198">
                  <c:v>68.14</c:v>
                </c:pt>
                <c:pt idx="199">
                  <c:v>72.91</c:v>
                </c:pt>
                <c:pt idx="200">
                  <c:v>69.84</c:v>
                </c:pt>
                <c:pt idx="201">
                  <c:v>78.89</c:v>
                </c:pt>
                <c:pt idx="202">
                  <c:v>73.760000000000005</c:v>
                </c:pt>
                <c:pt idx="203">
                  <c:v>74.069999999999993</c:v>
                </c:pt>
                <c:pt idx="204">
                  <c:v>72.75</c:v>
                </c:pt>
                <c:pt idx="205">
                  <c:v>82.81</c:v>
                </c:pt>
                <c:pt idx="206">
                  <c:v>81.37</c:v>
                </c:pt>
                <c:pt idx="207">
                  <c:v>80.73</c:v>
                </c:pt>
                <c:pt idx="208">
                  <c:v>79.89</c:v>
                </c:pt>
                <c:pt idx="209">
                  <c:v>78.64</c:v>
                </c:pt>
                <c:pt idx="210">
                  <c:v>77.38</c:v>
                </c:pt>
                <c:pt idx="211">
                  <c:v>74.239999999999995</c:v>
                </c:pt>
                <c:pt idx="212">
                  <c:v>72.44</c:v>
                </c:pt>
                <c:pt idx="213">
                  <c:v>80.39</c:v>
                </c:pt>
                <c:pt idx="214">
                  <c:v>74.2</c:v>
                </c:pt>
                <c:pt idx="215">
                  <c:v>71.56</c:v>
                </c:pt>
                <c:pt idx="216">
                  <c:v>68.180000000000007</c:v>
                </c:pt>
                <c:pt idx="217">
                  <c:v>71.930000000000007</c:v>
                </c:pt>
                <c:pt idx="218">
                  <c:v>69.150000000000006</c:v>
                </c:pt>
                <c:pt idx="219">
                  <c:v>71.06</c:v>
                </c:pt>
                <c:pt idx="220">
                  <c:v>73.37</c:v>
                </c:pt>
                <c:pt idx="221">
                  <c:v>79.8</c:v>
                </c:pt>
                <c:pt idx="222">
                  <c:v>80.760000000000005</c:v>
                </c:pt>
                <c:pt idx="223">
                  <c:v>80.42</c:v>
                </c:pt>
                <c:pt idx="224">
                  <c:v>77.87</c:v>
                </c:pt>
                <c:pt idx="225">
                  <c:v>77.59</c:v>
                </c:pt>
                <c:pt idx="226">
                  <c:v>76.36</c:v>
                </c:pt>
                <c:pt idx="227">
                  <c:v>75.17</c:v>
                </c:pt>
                <c:pt idx="228">
                  <c:v>71.09</c:v>
                </c:pt>
                <c:pt idx="229">
                  <c:v>69.44</c:v>
                </c:pt>
                <c:pt idx="230">
                  <c:v>68.010000000000005</c:v>
                </c:pt>
                <c:pt idx="231">
                  <c:v>63.99</c:v>
                </c:pt>
                <c:pt idx="233">
                  <c:v>62.97</c:v>
                </c:pt>
                <c:pt idx="234">
                  <c:v>60</c:v>
                </c:pt>
                <c:pt idx="236">
                  <c:v>54.09</c:v>
                </c:pt>
                <c:pt idx="237">
                  <c:v>56.46</c:v>
                </c:pt>
                <c:pt idx="238">
                  <c:v>60.27</c:v>
                </c:pt>
                <c:pt idx="239">
                  <c:v>56.23</c:v>
                </c:pt>
                <c:pt idx="240">
                  <c:v>50.94</c:v>
                </c:pt>
                <c:pt idx="241">
                  <c:v>54.61</c:v>
                </c:pt>
                <c:pt idx="242">
                  <c:v>48.75</c:v>
                </c:pt>
                <c:pt idx="243">
                  <c:v>49.8</c:v>
                </c:pt>
                <c:pt idx="244">
                  <c:v>55.9</c:v>
                </c:pt>
                <c:pt idx="245">
                  <c:v>54.85</c:v>
                </c:pt>
                <c:pt idx="246">
                  <c:v>54.57</c:v>
                </c:pt>
                <c:pt idx="247">
                  <c:v>59.3</c:v>
                </c:pt>
                <c:pt idx="248">
                  <c:v>58.84</c:v>
                </c:pt>
                <c:pt idx="249">
                  <c:v>62.22</c:v>
                </c:pt>
                <c:pt idx="250">
                  <c:v>60.29</c:v>
                </c:pt>
                <c:pt idx="251">
                  <c:v>68.53</c:v>
                </c:pt>
                <c:pt idx="252">
                  <c:v>67.56</c:v>
                </c:pt>
                <c:pt idx="253">
                  <c:v>62.75</c:v>
                </c:pt>
                <c:pt idx="254">
                  <c:v>57.15</c:v>
                </c:pt>
                <c:pt idx="257">
                  <c:v>55.2</c:v>
                </c:pt>
                <c:pt idx="259">
                  <c:v>58.25</c:v>
                </c:pt>
                <c:pt idx="260">
                  <c:v>58.18</c:v>
                </c:pt>
                <c:pt idx="261">
                  <c:v>56.7</c:v>
                </c:pt>
                <c:pt idx="262">
                  <c:v>50.64</c:v>
                </c:pt>
                <c:pt idx="263">
                  <c:v>50.03</c:v>
                </c:pt>
                <c:pt idx="264">
                  <c:v>49.96</c:v>
                </c:pt>
                <c:pt idx="265">
                  <c:v>46.21</c:v>
                </c:pt>
                <c:pt idx="266">
                  <c:v>40.46</c:v>
                </c:pt>
                <c:pt idx="267">
                  <c:v>40.520000000000003</c:v>
                </c:pt>
                <c:pt idx="268">
                  <c:v>41.73</c:v>
                </c:pt>
                <c:pt idx="269">
                  <c:v>40.840000000000003</c:v>
                </c:pt>
                <c:pt idx="270">
                  <c:v>41.77</c:v>
                </c:pt>
                <c:pt idx="271">
                  <c:v>39.549999999999997</c:v>
                </c:pt>
                <c:pt idx="272">
                  <c:v>37.94</c:v>
                </c:pt>
                <c:pt idx="273">
                  <c:v>38.93</c:v>
                </c:pt>
                <c:pt idx="274">
                  <c:v>26.48</c:v>
                </c:pt>
                <c:pt idx="275">
                  <c:v>27.8</c:v>
                </c:pt>
                <c:pt idx="276">
                  <c:v>27.98</c:v>
                </c:pt>
                <c:pt idx="277">
                  <c:v>34.85</c:v>
                </c:pt>
                <c:pt idx="278">
                  <c:v>34.93</c:v>
                </c:pt>
                <c:pt idx="279">
                  <c:v>35.76</c:v>
                </c:pt>
                <c:pt idx="280">
                  <c:v>39.270000000000003</c:v>
                </c:pt>
                <c:pt idx="281">
                  <c:v>38</c:v>
                </c:pt>
                <c:pt idx="282">
                  <c:v>40.72</c:v>
                </c:pt>
                <c:pt idx="283">
                  <c:v>47.69</c:v>
                </c:pt>
                <c:pt idx="284">
                  <c:v>51.79</c:v>
                </c:pt>
                <c:pt idx="285">
                  <c:v>50.36</c:v>
                </c:pt>
                <c:pt idx="286">
                  <c:v>52.75</c:v>
                </c:pt>
                <c:pt idx="287">
                  <c:v>58.92</c:v>
                </c:pt>
                <c:pt idx="288">
                  <c:v>61.57</c:v>
                </c:pt>
                <c:pt idx="289">
                  <c:v>57.87</c:v>
                </c:pt>
                <c:pt idx="290">
                  <c:v>59.15</c:v>
                </c:pt>
                <c:pt idx="291">
                  <c:v>60.7</c:v>
                </c:pt>
                <c:pt idx="292">
                  <c:v>60.24</c:v>
                </c:pt>
                <c:pt idx="293">
                  <c:v>65.459999999999994</c:v>
                </c:pt>
                <c:pt idx="294">
                  <c:v>73.209999999999994</c:v>
                </c:pt>
                <c:pt idx="295">
                  <c:v>63.79</c:v>
                </c:pt>
                <c:pt idx="296">
                  <c:v>69.72</c:v>
                </c:pt>
                <c:pt idx="297">
                  <c:v>66.900000000000006</c:v>
                </c:pt>
                <c:pt idx="298">
                  <c:v>60.94</c:v>
                </c:pt>
                <c:pt idx="299">
                  <c:v>54.08</c:v>
                </c:pt>
                <c:pt idx="300">
                  <c:v>49.61</c:v>
                </c:pt>
                <c:pt idx="302">
                  <c:v>49.04</c:v>
                </c:pt>
                <c:pt idx="303">
                  <c:v>57.74</c:v>
                </c:pt>
                <c:pt idx="304">
                  <c:v>59.16</c:v>
                </c:pt>
                <c:pt idx="305">
                  <c:v>56.92</c:v>
                </c:pt>
                <c:pt idx="306">
                  <c:v>64.040000000000006</c:v>
                </c:pt>
                <c:pt idx="307">
                  <c:v>65.349999999999994</c:v>
                </c:pt>
                <c:pt idx="308">
                  <c:v>62.08</c:v>
                </c:pt>
                <c:pt idx="309">
                  <c:v>59.06</c:v>
                </c:pt>
                <c:pt idx="310">
                  <c:v>53.7</c:v>
                </c:pt>
                <c:pt idx="311">
                  <c:v>51.61</c:v>
                </c:pt>
                <c:pt idx="312">
                  <c:v>48.43</c:v>
                </c:pt>
                <c:pt idx="313">
                  <c:v>47.06</c:v>
                </c:pt>
                <c:pt idx="314">
                  <c:v>41.16</c:v>
                </c:pt>
                <c:pt idx="315">
                  <c:v>40.07</c:v>
                </c:pt>
                <c:pt idx="316">
                  <c:v>36.56</c:v>
                </c:pt>
                <c:pt idx="317">
                  <c:v>38.44</c:v>
                </c:pt>
                <c:pt idx="318">
                  <c:v>40.17</c:v>
                </c:pt>
                <c:pt idx="319">
                  <c:v>39.31</c:v>
                </c:pt>
                <c:pt idx="320">
                  <c:v>37.71</c:v>
                </c:pt>
                <c:pt idx="321">
                  <c:v>38.049999999999997</c:v>
                </c:pt>
                <c:pt idx="322">
                  <c:v>43.32</c:v>
                </c:pt>
                <c:pt idx="327">
                  <c:v>45.44</c:v>
                </c:pt>
                <c:pt idx="328">
                  <c:v>36.78</c:v>
                </c:pt>
                <c:pt idx="329">
                  <c:v>38.71</c:v>
                </c:pt>
                <c:pt idx="330">
                  <c:v>36.119999999999997</c:v>
                </c:pt>
                <c:pt idx="331">
                  <c:v>41.82</c:v>
                </c:pt>
                <c:pt idx="332">
                  <c:v>38.81</c:v>
                </c:pt>
                <c:pt idx="333">
                  <c:v>37.72</c:v>
                </c:pt>
                <c:pt idx="334">
                  <c:v>36.85</c:v>
                </c:pt>
                <c:pt idx="335">
                  <c:v>37.74</c:v>
                </c:pt>
                <c:pt idx="336">
                  <c:v>36.630000000000003</c:v>
                </c:pt>
                <c:pt idx="337">
                  <c:v>39.1</c:v>
                </c:pt>
                <c:pt idx="338">
                  <c:v>41.4</c:v>
                </c:pt>
                <c:pt idx="339">
                  <c:v>40.58</c:v>
                </c:pt>
                <c:pt idx="340">
                  <c:v>42.44</c:v>
                </c:pt>
                <c:pt idx="341">
                  <c:v>42.06</c:v>
                </c:pt>
                <c:pt idx="342">
                  <c:v>42.36</c:v>
                </c:pt>
                <c:pt idx="343">
                  <c:v>40.07</c:v>
                </c:pt>
                <c:pt idx="345">
                  <c:v>40.770000000000003</c:v>
                </c:pt>
                <c:pt idx="346">
                  <c:v>40.92</c:v>
                </c:pt>
                <c:pt idx="347">
                  <c:v>48.07</c:v>
                </c:pt>
                <c:pt idx="348">
                  <c:v>45.82</c:v>
                </c:pt>
                <c:pt idx="349">
                  <c:v>44.68</c:v>
                </c:pt>
                <c:pt idx="350">
                  <c:v>38.89</c:v>
                </c:pt>
                <c:pt idx="351">
                  <c:v>41.66</c:v>
                </c:pt>
                <c:pt idx="352">
                  <c:v>42.29</c:v>
                </c:pt>
                <c:pt idx="353">
                  <c:v>43.16</c:v>
                </c:pt>
                <c:pt idx="354">
                  <c:v>45.16</c:v>
                </c:pt>
                <c:pt idx="355">
                  <c:v>46.84</c:v>
                </c:pt>
                <c:pt idx="356">
                  <c:v>51.05</c:v>
                </c:pt>
                <c:pt idx="357">
                  <c:v>51.46</c:v>
                </c:pt>
                <c:pt idx="358">
                  <c:v>54.46</c:v>
                </c:pt>
                <c:pt idx="359">
                  <c:v>51.15</c:v>
                </c:pt>
                <c:pt idx="360">
                  <c:v>64.13</c:v>
                </c:pt>
                <c:pt idx="361">
                  <c:v>73.599999999999994</c:v>
                </c:pt>
                <c:pt idx="362">
                  <c:v>67</c:v>
                </c:pt>
                <c:pt idx="363">
                  <c:v>63.95</c:v>
                </c:pt>
                <c:pt idx="364">
                  <c:v>59.6</c:v>
                </c:pt>
                <c:pt idx="365">
                  <c:v>50.28</c:v>
                </c:pt>
                <c:pt idx="366">
                  <c:v>52.01</c:v>
                </c:pt>
                <c:pt idx="367">
                  <c:v>45.78</c:v>
                </c:pt>
                <c:pt idx="368">
                  <c:v>42.68</c:v>
                </c:pt>
                <c:pt idx="369">
                  <c:v>40.31</c:v>
                </c:pt>
                <c:pt idx="370">
                  <c:v>41.96</c:v>
                </c:pt>
                <c:pt idx="371">
                  <c:v>42.47</c:v>
                </c:pt>
                <c:pt idx="372">
                  <c:v>43.17</c:v>
                </c:pt>
                <c:pt idx="373">
                  <c:v>42.33</c:v>
                </c:pt>
                <c:pt idx="374">
                  <c:v>42.38</c:v>
                </c:pt>
                <c:pt idx="375">
                  <c:v>40.770000000000003</c:v>
                </c:pt>
                <c:pt idx="376">
                  <c:v>44.58</c:v>
                </c:pt>
                <c:pt idx="377">
                  <c:v>39.61</c:v>
                </c:pt>
                <c:pt idx="378">
                  <c:v>47.96</c:v>
                </c:pt>
                <c:pt idx="379">
                  <c:v>49.21</c:v>
                </c:pt>
                <c:pt idx="380">
                  <c:v>51.74</c:v>
                </c:pt>
                <c:pt idx="381">
                  <c:v>56.98</c:v>
                </c:pt>
                <c:pt idx="382">
                  <c:v>55.73</c:v>
                </c:pt>
                <c:pt idx="383">
                  <c:v>60.05</c:v>
                </c:pt>
                <c:pt idx="384">
                  <c:v>55.36</c:v>
                </c:pt>
                <c:pt idx="385">
                  <c:v>50.87</c:v>
                </c:pt>
                <c:pt idx="386">
                  <c:v>50.84</c:v>
                </c:pt>
                <c:pt idx="387">
                  <c:v>54.38</c:v>
                </c:pt>
                <c:pt idx="388">
                  <c:v>82.81</c:v>
                </c:pt>
                <c:pt idx="389">
                  <c:v>77.84</c:v>
                </c:pt>
                <c:pt idx="390">
                  <c:v>74.290000000000006</c:v>
                </c:pt>
                <c:pt idx="391">
                  <c:v>71.06</c:v>
                </c:pt>
                <c:pt idx="392">
                  <c:v>57.09</c:v>
                </c:pt>
                <c:pt idx="393">
                  <c:v>53.27</c:v>
                </c:pt>
                <c:pt idx="394">
                  <c:v>59.81</c:v>
                </c:pt>
                <c:pt idx="395">
                  <c:v>55.25</c:v>
                </c:pt>
                <c:pt idx="396">
                  <c:v>51.98</c:v>
                </c:pt>
                <c:pt idx="397">
                  <c:v>57.02</c:v>
                </c:pt>
                <c:pt idx="398">
                  <c:v>60.54</c:v>
                </c:pt>
                <c:pt idx="399">
                  <c:v>64.48</c:v>
                </c:pt>
                <c:pt idx="400">
                  <c:v>65.72</c:v>
                </c:pt>
                <c:pt idx="401">
                  <c:v>68.650000000000006</c:v>
                </c:pt>
                <c:pt idx="403">
                  <c:v>69.89</c:v>
                </c:pt>
                <c:pt idx="404">
                  <c:v>71.2</c:v>
                </c:pt>
                <c:pt idx="405">
                  <c:v>67.180000000000007</c:v>
                </c:pt>
                <c:pt idx="407">
                  <c:v>65.180000000000007</c:v>
                </c:pt>
                <c:pt idx="409">
                  <c:v>66.72</c:v>
                </c:pt>
                <c:pt idx="410">
                  <c:v>71.150000000000006</c:v>
                </c:pt>
                <c:pt idx="411">
                  <c:v>70.06</c:v>
                </c:pt>
                <c:pt idx="412">
                  <c:v>67.400000000000006</c:v>
                </c:pt>
                <c:pt idx="413">
                  <c:v>70.739999999999995</c:v>
                </c:pt>
                <c:pt idx="414">
                  <c:v>69.77</c:v>
                </c:pt>
                <c:pt idx="415">
                  <c:v>70.75</c:v>
                </c:pt>
                <c:pt idx="416">
                  <c:v>69.14</c:v>
                </c:pt>
                <c:pt idx="420">
                  <c:v>66.069999999999993</c:v>
                </c:pt>
                <c:pt idx="421">
                  <c:v>55.72</c:v>
                </c:pt>
                <c:pt idx="422">
                  <c:v>48.71</c:v>
                </c:pt>
                <c:pt idx="423">
                  <c:v>42.35</c:v>
                </c:pt>
                <c:pt idx="424">
                  <c:v>41.74</c:v>
                </c:pt>
                <c:pt idx="425">
                  <c:v>42.35</c:v>
                </c:pt>
                <c:pt idx="426">
                  <c:v>48.36</c:v>
                </c:pt>
                <c:pt idx="427">
                  <c:v>50.2</c:v>
                </c:pt>
                <c:pt idx="428">
                  <c:v>58.71</c:v>
                </c:pt>
                <c:pt idx="429">
                  <c:v>57.94</c:v>
                </c:pt>
                <c:pt idx="430">
                  <c:v>49.6</c:v>
                </c:pt>
                <c:pt idx="431">
                  <c:v>51.66</c:v>
                </c:pt>
                <c:pt idx="432">
                  <c:v>48.65</c:v>
                </c:pt>
                <c:pt idx="433">
                  <c:v>53.75</c:v>
                </c:pt>
                <c:pt idx="434">
                  <c:v>52.53</c:v>
                </c:pt>
                <c:pt idx="435">
                  <c:v>49.39</c:v>
                </c:pt>
                <c:pt idx="436">
                  <c:v>52.18</c:v>
                </c:pt>
                <c:pt idx="437">
                  <c:v>45.74</c:v>
                </c:pt>
                <c:pt idx="438">
                  <c:v>42.65</c:v>
                </c:pt>
                <c:pt idx="439">
                  <c:v>41.17</c:v>
                </c:pt>
                <c:pt idx="440">
                  <c:v>43.32</c:v>
                </c:pt>
                <c:pt idx="442">
                  <c:v>43.23</c:v>
                </c:pt>
                <c:pt idx="443">
                  <c:v>38.729999999999997</c:v>
                </c:pt>
                <c:pt idx="444">
                  <c:v>40.14</c:v>
                </c:pt>
                <c:pt idx="445">
                  <c:v>38.22</c:v>
                </c:pt>
                <c:pt idx="446">
                  <c:v>34.700000000000003</c:v>
                </c:pt>
                <c:pt idx="447">
                  <c:v>36.03</c:v>
                </c:pt>
                <c:pt idx="448">
                  <c:v>33.4</c:v>
                </c:pt>
                <c:pt idx="449">
                  <c:v>23.1</c:v>
                </c:pt>
                <c:pt idx="450">
                  <c:v>37.33</c:v>
                </c:pt>
                <c:pt idx="451">
                  <c:v>42.47</c:v>
                </c:pt>
                <c:pt idx="452">
                  <c:v>33.92</c:v>
                </c:pt>
                <c:pt idx="453">
                  <c:v>36.21</c:v>
                </c:pt>
                <c:pt idx="454">
                  <c:v>39.49</c:v>
                </c:pt>
                <c:pt idx="455">
                  <c:v>34.69</c:v>
                </c:pt>
                <c:pt idx="456">
                  <c:v>32.21</c:v>
                </c:pt>
                <c:pt idx="457">
                  <c:v>28.65</c:v>
                </c:pt>
                <c:pt idx="458">
                  <c:v>33.130000000000003</c:v>
                </c:pt>
                <c:pt idx="459">
                  <c:v>36.799999999999997</c:v>
                </c:pt>
                <c:pt idx="460">
                  <c:v>42.87</c:v>
                </c:pt>
                <c:pt idx="461">
                  <c:v>40.68</c:v>
                </c:pt>
                <c:pt idx="462">
                  <c:v>43.31</c:v>
                </c:pt>
                <c:pt idx="463">
                  <c:v>47.1</c:v>
                </c:pt>
                <c:pt idx="464">
                  <c:v>55.84</c:v>
                </c:pt>
                <c:pt idx="465">
                  <c:v>60.86</c:v>
                </c:pt>
                <c:pt idx="466">
                  <c:v>60.82</c:v>
                </c:pt>
                <c:pt idx="467">
                  <c:v>45</c:v>
                </c:pt>
                <c:pt idx="468">
                  <c:v>49.25</c:v>
                </c:pt>
                <c:pt idx="469">
                  <c:v>51.96</c:v>
                </c:pt>
                <c:pt idx="470">
                  <c:v>51.46</c:v>
                </c:pt>
                <c:pt idx="471">
                  <c:v>51.78</c:v>
                </c:pt>
                <c:pt idx="472">
                  <c:v>44.25</c:v>
                </c:pt>
                <c:pt idx="473">
                  <c:v>41.57</c:v>
                </c:pt>
                <c:pt idx="474">
                  <c:v>45.8</c:v>
                </c:pt>
                <c:pt idx="475">
                  <c:v>40.11</c:v>
                </c:pt>
                <c:pt idx="476">
                  <c:v>37.42</c:v>
                </c:pt>
                <c:pt idx="477">
                  <c:v>40.99</c:v>
                </c:pt>
                <c:pt idx="478">
                  <c:v>40.74</c:v>
                </c:pt>
                <c:pt idx="479">
                  <c:v>36.94</c:v>
                </c:pt>
                <c:pt idx="480">
                  <c:v>39.47</c:v>
                </c:pt>
                <c:pt idx="481">
                  <c:v>41.26</c:v>
                </c:pt>
                <c:pt idx="482">
                  <c:v>41.95</c:v>
                </c:pt>
                <c:pt idx="483">
                  <c:v>35.57</c:v>
                </c:pt>
                <c:pt idx="484">
                  <c:v>36.79</c:v>
                </c:pt>
                <c:pt idx="485">
                  <c:v>40.85</c:v>
                </c:pt>
                <c:pt idx="486">
                  <c:v>39.979999999999997</c:v>
                </c:pt>
                <c:pt idx="487">
                  <c:v>41.86</c:v>
                </c:pt>
                <c:pt idx="488">
                  <c:v>44.8</c:v>
                </c:pt>
                <c:pt idx="489">
                  <c:v>41.79</c:v>
                </c:pt>
                <c:pt idx="490">
                  <c:v>47.6</c:v>
                </c:pt>
                <c:pt idx="492">
                  <c:v>44.16</c:v>
                </c:pt>
                <c:pt idx="493">
                  <c:v>39.31</c:v>
                </c:pt>
                <c:pt idx="494">
                  <c:v>39.15</c:v>
                </c:pt>
                <c:pt idx="495">
                  <c:v>38.39</c:v>
                </c:pt>
                <c:pt idx="496">
                  <c:v>36.43</c:v>
                </c:pt>
                <c:pt idx="497">
                  <c:v>39.71</c:v>
                </c:pt>
                <c:pt idx="498">
                  <c:v>42.96</c:v>
                </c:pt>
                <c:pt idx="499">
                  <c:v>47.41</c:v>
                </c:pt>
                <c:pt idx="500">
                  <c:v>41.86</c:v>
                </c:pt>
                <c:pt idx="501">
                  <c:v>45</c:v>
                </c:pt>
                <c:pt idx="502">
                  <c:v>48.89</c:v>
                </c:pt>
                <c:pt idx="503">
                  <c:v>52.34</c:v>
                </c:pt>
                <c:pt idx="504">
                  <c:v>57.22</c:v>
                </c:pt>
                <c:pt idx="505">
                  <c:v>52.79</c:v>
                </c:pt>
                <c:pt idx="506">
                  <c:v>58.49</c:v>
                </c:pt>
                <c:pt idx="508">
                  <c:v>54.84</c:v>
                </c:pt>
                <c:pt idx="509">
                  <c:v>52.34</c:v>
                </c:pt>
                <c:pt idx="510">
                  <c:v>53.71</c:v>
                </c:pt>
                <c:pt idx="511">
                  <c:v>51.96</c:v>
                </c:pt>
                <c:pt idx="512">
                  <c:v>55.64</c:v>
                </c:pt>
                <c:pt idx="513">
                  <c:v>54.84</c:v>
                </c:pt>
                <c:pt idx="515">
                  <c:v>52.04</c:v>
                </c:pt>
                <c:pt idx="516">
                  <c:v>49.25</c:v>
                </c:pt>
                <c:pt idx="518">
                  <c:v>52.76</c:v>
                </c:pt>
                <c:pt idx="519">
                  <c:v>54.3</c:v>
                </c:pt>
                <c:pt idx="520">
                  <c:v>44</c:v>
                </c:pt>
                <c:pt idx="521">
                  <c:v>42.39</c:v>
                </c:pt>
                <c:pt idx="522">
                  <c:v>44.92</c:v>
                </c:pt>
                <c:pt idx="523">
                  <c:v>42.76</c:v>
                </c:pt>
                <c:pt idx="524">
                  <c:v>44.96</c:v>
                </c:pt>
                <c:pt idx="525">
                  <c:v>40.43</c:v>
                </c:pt>
                <c:pt idx="526">
                  <c:v>42.22</c:v>
                </c:pt>
                <c:pt idx="527">
                  <c:v>28.12</c:v>
                </c:pt>
                <c:pt idx="528">
                  <c:v>31.31</c:v>
                </c:pt>
                <c:pt idx="529">
                  <c:v>37.01</c:v>
                </c:pt>
                <c:pt idx="530">
                  <c:v>37.65</c:v>
                </c:pt>
                <c:pt idx="531">
                  <c:v>39.96</c:v>
                </c:pt>
                <c:pt idx="533">
                  <c:v>41.33</c:v>
                </c:pt>
                <c:pt idx="534">
                  <c:v>37.85</c:v>
                </c:pt>
                <c:pt idx="535">
                  <c:v>33.4</c:v>
                </c:pt>
                <c:pt idx="536">
                  <c:v>36.43</c:v>
                </c:pt>
                <c:pt idx="537">
                  <c:v>29.53</c:v>
                </c:pt>
                <c:pt idx="538">
                  <c:v>34.450000000000003</c:v>
                </c:pt>
                <c:pt idx="539">
                  <c:v>39.4</c:v>
                </c:pt>
                <c:pt idx="540">
                  <c:v>40.020000000000003</c:v>
                </c:pt>
                <c:pt idx="541">
                  <c:v>40.479999999999997</c:v>
                </c:pt>
                <c:pt idx="542">
                  <c:v>45.68</c:v>
                </c:pt>
                <c:pt idx="543">
                  <c:v>45.43</c:v>
                </c:pt>
                <c:pt idx="544">
                  <c:v>46.98</c:v>
                </c:pt>
                <c:pt idx="545">
                  <c:v>43.78</c:v>
                </c:pt>
                <c:pt idx="546">
                  <c:v>44.44</c:v>
                </c:pt>
                <c:pt idx="547">
                  <c:v>41.54</c:v>
                </c:pt>
                <c:pt idx="548">
                  <c:v>43.98</c:v>
                </c:pt>
                <c:pt idx="549">
                  <c:v>47.74</c:v>
                </c:pt>
                <c:pt idx="550">
                  <c:v>44.88</c:v>
                </c:pt>
                <c:pt idx="551">
                  <c:v>48.53</c:v>
                </c:pt>
                <c:pt idx="552">
                  <c:v>49.67</c:v>
                </c:pt>
                <c:pt idx="553">
                  <c:v>51.84</c:v>
                </c:pt>
                <c:pt idx="554">
                  <c:v>46.1</c:v>
                </c:pt>
                <c:pt idx="555">
                  <c:v>50.16</c:v>
                </c:pt>
                <c:pt idx="556">
                  <c:v>47.89</c:v>
                </c:pt>
                <c:pt idx="557">
                  <c:v>45.7</c:v>
                </c:pt>
                <c:pt idx="558">
                  <c:v>49.47</c:v>
                </c:pt>
                <c:pt idx="559">
                  <c:v>55.14</c:v>
                </c:pt>
                <c:pt idx="561">
                  <c:v>45.94</c:v>
                </c:pt>
                <c:pt idx="562">
                  <c:v>49.73</c:v>
                </c:pt>
                <c:pt idx="563">
                  <c:v>44.43</c:v>
                </c:pt>
                <c:pt idx="564">
                  <c:v>47.69</c:v>
                </c:pt>
                <c:pt idx="565">
                  <c:v>50.67</c:v>
                </c:pt>
                <c:pt idx="566">
                  <c:v>51.13</c:v>
                </c:pt>
                <c:pt idx="567">
                  <c:v>53.51</c:v>
                </c:pt>
                <c:pt idx="568">
                  <c:v>54.53</c:v>
                </c:pt>
                <c:pt idx="569">
                  <c:v>57.38</c:v>
                </c:pt>
                <c:pt idx="570">
                  <c:v>55.24</c:v>
                </c:pt>
                <c:pt idx="571">
                  <c:v>52.08</c:v>
                </c:pt>
                <c:pt idx="572">
                  <c:v>49.47</c:v>
                </c:pt>
                <c:pt idx="573">
                  <c:v>52.44</c:v>
                </c:pt>
                <c:pt idx="576">
                  <c:v>57.1</c:v>
                </c:pt>
                <c:pt idx="577">
                  <c:v>56.47</c:v>
                </c:pt>
                <c:pt idx="578">
                  <c:v>49.26</c:v>
                </c:pt>
                <c:pt idx="579">
                  <c:v>54.81</c:v>
                </c:pt>
                <c:pt idx="580">
                  <c:v>56.51</c:v>
                </c:pt>
                <c:pt idx="581">
                  <c:v>50.9</c:v>
                </c:pt>
                <c:pt idx="582">
                  <c:v>44.28</c:v>
                </c:pt>
                <c:pt idx="583">
                  <c:v>45.53</c:v>
                </c:pt>
                <c:pt idx="584">
                  <c:v>43.26</c:v>
                </c:pt>
                <c:pt idx="585">
                  <c:v>35.18</c:v>
                </c:pt>
                <c:pt idx="586">
                  <c:v>27.76</c:v>
                </c:pt>
                <c:pt idx="587">
                  <c:v>27.24</c:v>
                </c:pt>
                <c:pt idx="588">
                  <c:v>28.24</c:v>
                </c:pt>
                <c:pt idx="589">
                  <c:v>24.75</c:v>
                </c:pt>
                <c:pt idx="590">
                  <c:v>28.01</c:v>
                </c:pt>
                <c:pt idx="591">
                  <c:v>29.04</c:v>
                </c:pt>
                <c:pt idx="592">
                  <c:v>28.26</c:v>
                </c:pt>
                <c:pt idx="593">
                  <c:v>34.18</c:v>
                </c:pt>
                <c:pt idx="594">
                  <c:v>35.770000000000003</c:v>
                </c:pt>
                <c:pt idx="595">
                  <c:v>37.96</c:v>
                </c:pt>
                <c:pt idx="596">
                  <c:v>39.67</c:v>
                </c:pt>
                <c:pt idx="597">
                  <c:v>39.92</c:v>
                </c:pt>
                <c:pt idx="598">
                  <c:v>43.23</c:v>
                </c:pt>
                <c:pt idx="599">
                  <c:v>45.96</c:v>
                </c:pt>
                <c:pt idx="600">
                  <c:v>49.83</c:v>
                </c:pt>
                <c:pt idx="601">
                  <c:v>45.65</c:v>
                </c:pt>
                <c:pt idx="602">
                  <c:v>46.52</c:v>
                </c:pt>
                <c:pt idx="603">
                  <c:v>54.24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3C-4D71-8DBF-DED9F9C18A3C}"/>
            </c:ext>
          </c:extLst>
        </c:ser>
        <c:ser>
          <c:idx val="1"/>
          <c:order val="1"/>
          <c:tx>
            <c:strRef>
              <c:f>'미국 RSI'!$F$1</c:f>
              <c:strCache>
                <c:ptCount val="1"/>
                <c:pt idx="0">
                  <c:v>소재(US)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RSI'!$F$69:$F$3068</c:f>
              <c:numCache>
                <c:formatCode>0.00</c:formatCode>
                <c:ptCount val="3000"/>
                <c:pt idx="0">
                  <c:v>49.11</c:v>
                </c:pt>
                <c:pt idx="1">
                  <c:v>54.79</c:v>
                </c:pt>
                <c:pt idx="2">
                  <c:v>47.94</c:v>
                </c:pt>
                <c:pt idx="3">
                  <c:v>52.74</c:v>
                </c:pt>
                <c:pt idx="4">
                  <c:v>57.34</c:v>
                </c:pt>
                <c:pt idx="5">
                  <c:v>59.1</c:v>
                </c:pt>
                <c:pt idx="6">
                  <c:v>58.17</c:v>
                </c:pt>
                <c:pt idx="7">
                  <c:v>58.39</c:v>
                </c:pt>
                <c:pt idx="8">
                  <c:v>57.94</c:v>
                </c:pt>
                <c:pt idx="9">
                  <c:v>62.84</c:v>
                </c:pt>
                <c:pt idx="10">
                  <c:v>60.48</c:v>
                </c:pt>
                <c:pt idx="11">
                  <c:v>59.59</c:v>
                </c:pt>
                <c:pt idx="12">
                  <c:v>57.04</c:v>
                </c:pt>
                <c:pt idx="13">
                  <c:v>63.35</c:v>
                </c:pt>
                <c:pt idx="14">
                  <c:v>65.27</c:v>
                </c:pt>
                <c:pt idx="15">
                  <c:v>63.98</c:v>
                </c:pt>
                <c:pt idx="16">
                  <c:v>62.34</c:v>
                </c:pt>
                <c:pt idx="17">
                  <c:v>63.07</c:v>
                </c:pt>
                <c:pt idx="18">
                  <c:v>52.11</c:v>
                </c:pt>
                <c:pt idx="19">
                  <c:v>53.35</c:v>
                </c:pt>
                <c:pt idx="21">
                  <c:v>54.98</c:v>
                </c:pt>
                <c:pt idx="22">
                  <c:v>55.4</c:v>
                </c:pt>
                <c:pt idx="23">
                  <c:v>52.11</c:v>
                </c:pt>
                <c:pt idx="24">
                  <c:v>45.37</c:v>
                </c:pt>
                <c:pt idx="25">
                  <c:v>43.88</c:v>
                </c:pt>
                <c:pt idx="26">
                  <c:v>45.02</c:v>
                </c:pt>
                <c:pt idx="27">
                  <c:v>47.05</c:v>
                </c:pt>
                <c:pt idx="28">
                  <c:v>39.450000000000003</c:v>
                </c:pt>
                <c:pt idx="29">
                  <c:v>30.8</c:v>
                </c:pt>
                <c:pt idx="30">
                  <c:v>24.45</c:v>
                </c:pt>
                <c:pt idx="31">
                  <c:v>27.58</c:v>
                </c:pt>
                <c:pt idx="32">
                  <c:v>31.19</c:v>
                </c:pt>
                <c:pt idx="33">
                  <c:v>37.630000000000003</c:v>
                </c:pt>
                <c:pt idx="34">
                  <c:v>36.22</c:v>
                </c:pt>
                <c:pt idx="35">
                  <c:v>33.79</c:v>
                </c:pt>
                <c:pt idx="36">
                  <c:v>36.83</c:v>
                </c:pt>
                <c:pt idx="37">
                  <c:v>37.86</c:v>
                </c:pt>
                <c:pt idx="38">
                  <c:v>38.11</c:v>
                </c:pt>
                <c:pt idx="39">
                  <c:v>38.76</c:v>
                </c:pt>
                <c:pt idx="40">
                  <c:v>37.590000000000003</c:v>
                </c:pt>
                <c:pt idx="41">
                  <c:v>43.31</c:v>
                </c:pt>
                <c:pt idx="42">
                  <c:v>51.48</c:v>
                </c:pt>
                <c:pt idx="43">
                  <c:v>51.64</c:v>
                </c:pt>
                <c:pt idx="44">
                  <c:v>64.239999999999995</c:v>
                </c:pt>
                <c:pt idx="45">
                  <c:v>66.06</c:v>
                </c:pt>
                <c:pt idx="46">
                  <c:v>63.6</c:v>
                </c:pt>
                <c:pt idx="47">
                  <c:v>64.23</c:v>
                </c:pt>
                <c:pt idx="48">
                  <c:v>67.349999999999994</c:v>
                </c:pt>
                <c:pt idx="49">
                  <c:v>65.260000000000005</c:v>
                </c:pt>
                <c:pt idx="50">
                  <c:v>65.260000000000005</c:v>
                </c:pt>
                <c:pt idx="51">
                  <c:v>64.63</c:v>
                </c:pt>
                <c:pt idx="52">
                  <c:v>66.27</c:v>
                </c:pt>
                <c:pt idx="53">
                  <c:v>64.87</c:v>
                </c:pt>
                <c:pt idx="54">
                  <c:v>69.989999999999995</c:v>
                </c:pt>
                <c:pt idx="55">
                  <c:v>68.16</c:v>
                </c:pt>
                <c:pt idx="56">
                  <c:v>75.180000000000007</c:v>
                </c:pt>
                <c:pt idx="57">
                  <c:v>72.849999999999994</c:v>
                </c:pt>
                <c:pt idx="58">
                  <c:v>70.17</c:v>
                </c:pt>
                <c:pt idx="59">
                  <c:v>67.42</c:v>
                </c:pt>
                <c:pt idx="60">
                  <c:v>62.61</c:v>
                </c:pt>
                <c:pt idx="61">
                  <c:v>77.17</c:v>
                </c:pt>
                <c:pt idx="62">
                  <c:v>72</c:v>
                </c:pt>
                <c:pt idx="63">
                  <c:v>65.61</c:v>
                </c:pt>
                <c:pt idx="64">
                  <c:v>62.75</c:v>
                </c:pt>
                <c:pt idx="65">
                  <c:v>73.67</c:v>
                </c:pt>
                <c:pt idx="66">
                  <c:v>73.37</c:v>
                </c:pt>
                <c:pt idx="67">
                  <c:v>73.83</c:v>
                </c:pt>
                <c:pt idx="68">
                  <c:v>74.56</c:v>
                </c:pt>
                <c:pt idx="69">
                  <c:v>74.27</c:v>
                </c:pt>
                <c:pt idx="70">
                  <c:v>72.13</c:v>
                </c:pt>
                <c:pt idx="71">
                  <c:v>70.72</c:v>
                </c:pt>
                <c:pt idx="72">
                  <c:v>64.47</c:v>
                </c:pt>
                <c:pt idx="74">
                  <c:v>71.05</c:v>
                </c:pt>
                <c:pt idx="75">
                  <c:v>75.11</c:v>
                </c:pt>
                <c:pt idx="76">
                  <c:v>74.08</c:v>
                </c:pt>
                <c:pt idx="77">
                  <c:v>73.98</c:v>
                </c:pt>
                <c:pt idx="78">
                  <c:v>73.010000000000005</c:v>
                </c:pt>
                <c:pt idx="79">
                  <c:v>71.81</c:v>
                </c:pt>
                <c:pt idx="80">
                  <c:v>67.91</c:v>
                </c:pt>
                <c:pt idx="81">
                  <c:v>62.74</c:v>
                </c:pt>
                <c:pt idx="82">
                  <c:v>73.760000000000005</c:v>
                </c:pt>
                <c:pt idx="83">
                  <c:v>67.88</c:v>
                </c:pt>
                <c:pt idx="84">
                  <c:v>64.16</c:v>
                </c:pt>
                <c:pt idx="85">
                  <c:v>56.27</c:v>
                </c:pt>
                <c:pt idx="86">
                  <c:v>62.58</c:v>
                </c:pt>
                <c:pt idx="87">
                  <c:v>62.75</c:v>
                </c:pt>
                <c:pt idx="88">
                  <c:v>69.3</c:v>
                </c:pt>
                <c:pt idx="89">
                  <c:v>66.959999999999994</c:v>
                </c:pt>
                <c:pt idx="90">
                  <c:v>66.17</c:v>
                </c:pt>
                <c:pt idx="91">
                  <c:v>65.48</c:v>
                </c:pt>
                <c:pt idx="92">
                  <c:v>62.85</c:v>
                </c:pt>
                <c:pt idx="93">
                  <c:v>61.02</c:v>
                </c:pt>
                <c:pt idx="94">
                  <c:v>61.3</c:v>
                </c:pt>
                <c:pt idx="95">
                  <c:v>59.66</c:v>
                </c:pt>
                <c:pt idx="96">
                  <c:v>61.18</c:v>
                </c:pt>
                <c:pt idx="97">
                  <c:v>61.54</c:v>
                </c:pt>
                <c:pt idx="98">
                  <c:v>61.33</c:v>
                </c:pt>
                <c:pt idx="99">
                  <c:v>54.43</c:v>
                </c:pt>
                <c:pt idx="100">
                  <c:v>45.74</c:v>
                </c:pt>
                <c:pt idx="101">
                  <c:v>46.62</c:v>
                </c:pt>
                <c:pt idx="102">
                  <c:v>52.98</c:v>
                </c:pt>
                <c:pt idx="103">
                  <c:v>54.63</c:v>
                </c:pt>
                <c:pt idx="104">
                  <c:v>57.61</c:v>
                </c:pt>
                <c:pt idx="105">
                  <c:v>54.88</c:v>
                </c:pt>
                <c:pt idx="106">
                  <c:v>59.53</c:v>
                </c:pt>
                <c:pt idx="107">
                  <c:v>60.83</c:v>
                </c:pt>
                <c:pt idx="109">
                  <c:v>58.9</c:v>
                </c:pt>
                <c:pt idx="110">
                  <c:v>54.49</c:v>
                </c:pt>
                <c:pt idx="111">
                  <c:v>48.35</c:v>
                </c:pt>
                <c:pt idx="112">
                  <c:v>47.48</c:v>
                </c:pt>
                <c:pt idx="113">
                  <c:v>36.46</c:v>
                </c:pt>
                <c:pt idx="114">
                  <c:v>42</c:v>
                </c:pt>
                <c:pt idx="115">
                  <c:v>40.56</c:v>
                </c:pt>
                <c:pt idx="116">
                  <c:v>40.119999999999997</c:v>
                </c:pt>
                <c:pt idx="117">
                  <c:v>46.09</c:v>
                </c:pt>
                <c:pt idx="118">
                  <c:v>50.31</c:v>
                </c:pt>
                <c:pt idx="119">
                  <c:v>53.6</c:v>
                </c:pt>
                <c:pt idx="120">
                  <c:v>50.37</c:v>
                </c:pt>
                <c:pt idx="121">
                  <c:v>45.23</c:v>
                </c:pt>
                <c:pt idx="122">
                  <c:v>40.04</c:v>
                </c:pt>
                <c:pt idx="123">
                  <c:v>32.57</c:v>
                </c:pt>
                <c:pt idx="124">
                  <c:v>34.200000000000003</c:v>
                </c:pt>
                <c:pt idx="125">
                  <c:v>30.35</c:v>
                </c:pt>
                <c:pt idx="126">
                  <c:v>31.8</c:v>
                </c:pt>
                <c:pt idx="127">
                  <c:v>33.69</c:v>
                </c:pt>
                <c:pt idx="128">
                  <c:v>35.54</c:v>
                </c:pt>
                <c:pt idx="129">
                  <c:v>40.35</c:v>
                </c:pt>
                <c:pt idx="130">
                  <c:v>49.7</c:v>
                </c:pt>
                <c:pt idx="131">
                  <c:v>48.95</c:v>
                </c:pt>
                <c:pt idx="132">
                  <c:v>49.18</c:v>
                </c:pt>
                <c:pt idx="133">
                  <c:v>51.23</c:v>
                </c:pt>
                <c:pt idx="134">
                  <c:v>45.15</c:v>
                </c:pt>
                <c:pt idx="135">
                  <c:v>46.52</c:v>
                </c:pt>
                <c:pt idx="136">
                  <c:v>48.23</c:v>
                </c:pt>
                <c:pt idx="137">
                  <c:v>42.12</c:v>
                </c:pt>
                <c:pt idx="138">
                  <c:v>42.88</c:v>
                </c:pt>
                <c:pt idx="139">
                  <c:v>45.87</c:v>
                </c:pt>
                <c:pt idx="140">
                  <c:v>47.74</c:v>
                </c:pt>
                <c:pt idx="141">
                  <c:v>42.99</c:v>
                </c:pt>
                <c:pt idx="142">
                  <c:v>34.28</c:v>
                </c:pt>
                <c:pt idx="143">
                  <c:v>42.17</c:v>
                </c:pt>
                <c:pt idx="144">
                  <c:v>49.28</c:v>
                </c:pt>
                <c:pt idx="145">
                  <c:v>45.98</c:v>
                </c:pt>
                <c:pt idx="146">
                  <c:v>48.16</c:v>
                </c:pt>
                <c:pt idx="147">
                  <c:v>48.64</c:v>
                </c:pt>
                <c:pt idx="148">
                  <c:v>47.74</c:v>
                </c:pt>
                <c:pt idx="149">
                  <c:v>41.16</c:v>
                </c:pt>
                <c:pt idx="150">
                  <c:v>46.07</c:v>
                </c:pt>
                <c:pt idx="151">
                  <c:v>43.12</c:v>
                </c:pt>
                <c:pt idx="152">
                  <c:v>40.79</c:v>
                </c:pt>
                <c:pt idx="153">
                  <c:v>33.18</c:v>
                </c:pt>
                <c:pt idx="154">
                  <c:v>38.39</c:v>
                </c:pt>
                <c:pt idx="155">
                  <c:v>44.56</c:v>
                </c:pt>
                <c:pt idx="156">
                  <c:v>46.38</c:v>
                </c:pt>
                <c:pt idx="157">
                  <c:v>49.35</c:v>
                </c:pt>
                <c:pt idx="158">
                  <c:v>49.61</c:v>
                </c:pt>
                <c:pt idx="159">
                  <c:v>49.61</c:v>
                </c:pt>
                <c:pt idx="160">
                  <c:v>48.39</c:v>
                </c:pt>
                <c:pt idx="161">
                  <c:v>49.88</c:v>
                </c:pt>
                <c:pt idx="162">
                  <c:v>53.96</c:v>
                </c:pt>
                <c:pt idx="163">
                  <c:v>59.65</c:v>
                </c:pt>
                <c:pt idx="164">
                  <c:v>49.56</c:v>
                </c:pt>
                <c:pt idx="165">
                  <c:v>48.49</c:v>
                </c:pt>
                <c:pt idx="166">
                  <c:v>58.69</c:v>
                </c:pt>
                <c:pt idx="167">
                  <c:v>58.26</c:v>
                </c:pt>
                <c:pt idx="168">
                  <c:v>54.72</c:v>
                </c:pt>
                <c:pt idx="169">
                  <c:v>52.68</c:v>
                </c:pt>
                <c:pt idx="170">
                  <c:v>56.89</c:v>
                </c:pt>
                <c:pt idx="172">
                  <c:v>62.02</c:v>
                </c:pt>
                <c:pt idx="173">
                  <c:v>61.41</c:v>
                </c:pt>
                <c:pt idx="174">
                  <c:v>61.41</c:v>
                </c:pt>
                <c:pt idx="175">
                  <c:v>60.44</c:v>
                </c:pt>
                <c:pt idx="176">
                  <c:v>59.42</c:v>
                </c:pt>
                <c:pt idx="177">
                  <c:v>62.49</c:v>
                </c:pt>
                <c:pt idx="178">
                  <c:v>54.89</c:v>
                </c:pt>
                <c:pt idx="179">
                  <c:v>53.58</c:v>
                </c:pt>
                <c:pt idx="180">
                  <c:v>53.25</c:v>
                </c:pt>
                <c:pt idx="181">
                  <c:v>50.75</c:v>
                </c:pt>
                <c:pt idx="182">
                  <c:v>53.3</c:v>
                </c:pt>
                <c:pt idx="183">
                  <c:v>53.3</c:v>
                </c:pt>
                <c:pt idx="184">
                  <c:v>57.87</c:v>
                </c:pt>
                <c:pt idx="185">
                  <c:v>50.96</c:v>
                </c:pt>
                <c:pt idx="186">
                  <c:v>45.26</c:v>
                </c:pt>
                <c:pt idx="187">
                  <c:v>46.12</c:v>
                </c:pt>
                <c:pt idx="188">
                  <c:v>43.93</c:v>
                </c:pt>
                <c:pt idx="189">
                  <c:v>42.04</c:v>
                </c:pt>
                <c:pt idx="190">
                  <c:v>45.65</c:v>
                </c:pt>
                <c:pt idx="191">
                  <c:v>42.7</c:v>
                </c:pt>
                <c:pt idx="192">
                  <c:v>36.78</c:v>
                </c:pt>
                <c:pt idx="193">
                  <c:v>40.17</c:v>
                </c:pt>
                <c:pt idx="194">
                  <c:v>44.37</c:v>
                </c:pt>
                <c:pt idx="195">
                  <c:v>52.73</c:v>
                </c:pt>
                <c:pt idx="196">
                  <c:v>54.56</c:v>
                </c:pt>
                <c:pt idx="197">
                  <c:v>62.23</c:v>
                </c:pt>
                <c:pt idx="198">
                  <c:v>57.79</c:v>
                </c:pt>
                <c:pt idx="199">
                  <c:v>63.92</c:v>
                </c:pt>
                <c:pt idx="200">
                  <c:v>62.73</c:v>
                </c:pt>
                <c:pt idx="201">
                  <c:v>57.43</c:v>
                </c:pt>
                <c:pt idx="202">
                  <c:v>55.25</c:v>
                </c:pt>
                <c:pt idx="203">
                  <c:v>54.26</c:v>
                </c:pt>
                <c:pt idx="204">
                  <c:v>51.26</c:v>
                </c:pt>
                <c:pt idx="205">
                  <c:v>50.1</c:v>
                </c:pt>
                <c:pt idx="206">
                  <c:v>60.51</c:v>
                </c:pt>
                <c:pt idx="207">
                  <c:v>63.88</c:v>
                </c:pt>
                <c:pt idx="208">
                  <c:v>69.12</c:v>
                </c:pt>
                <c:pt idx="209">
                  <c:v>67.5</c:v>
                </c:pt>
                <c:pt idx="210">
                  <c:v>65.62</c:v>
                </c:pt>
                <c:pt idx="211">
                  <c:v>62.95</c:v>
                </c:pt>
                <c:pt idx="213">
                  <c:v>68.87</c:v>
                </c:pt>
                <c:pt idx="214">
                  <c:v>69.28</c:v>
                </c:pt>
                <c:pt idx="215">
                  <c:v>64.89</c:v>
                </c:pt>
                <c:pt idx="216">
                  <c:v>54.79</c:v>
                </c:pt>
                <c:pt idx="217">
                  <c:v>55.31</c:v>
                </c:pt>
                <c:pt idx="218">
                  <c:v>54.76</c:v>
                </c:pt>
                <c:pt idx="219">
                  <c:v>49.76</c:v>
                </c:pt>
                <c:pt idx="220">
                  <c:v>54.67</c:v>
                </c:pt>
                <c:pt idx="221">
                  <c:v>50.81</c:v>
                </c:pt>
                <c:pt idx="222">
                  <c:v>47.83</c:v>
                </c:pt>
                <c:pt idx="224">
                  <c:v>51.09</c:v>
                </c:pt>
                <c:pt idx="225">
                  <c:v>52.5</c:v>
                </c:pt>
                <c:pt idx="226">
                  <c:v>57.57</c:v>
                </c:pt>
                <c:pt idx="227">
                  <c:v>54.02</c:v>
                </c:pt>
                <c:pt idx="228">
                  <c:v>60.57</c:v>
                </c:pt>
                <c:pt idx="229">
                  <c:v>58.91</c:v>
                </c:pt>
                <c:pt idx="230">
                  <c:v>64.94</c:v>
                </c:pt>
                <c:pt idx="231">
                  <c:v>62.73</c:v>
                </c:pt>
                <c:pt idx="232">
                  <c:v>60.22</c:v>
                </c:pt>
                <c:pt idx="233">
                  <c:v>59.23</c:v>
                </c:pt>
                <c:pt idx="234">
                  <c:v>62.5</c:v>
                </c:pt>
                <c:pt idx="235">
                  <c:v>61.24</c:v>
                </c:pt>
                <c:pt idx="236">
                  <c:v>57.67</c:v>
                </c:pt>
                <c:pt idx="237">
                  <c:v>55.49</c:v>
                </c:pt>
                <c:pt idx="238">
                  <c:v>55.44</c:v>
                </c:pt>
                <c:pt idx="239">
                  <c:v>54.17</c:v>
                </c:pt>
                <c:pt idx="240">
                  <c:v>60.13</c:v>
                </c:pt>
                <c:pt idx="242">
                  <c:v>54.23</c:v>
                </c:pt>
                <c:pt idx="243">
                  <c:v>55.09</c:v>
                </c:pt>
                <c:pt idx="244">
                  <c:v>55.52</c:v>
                </c:pt>
                <c:pt idx="245">
                  <c:v>61.26</c:v>
                </c:pt>
                <c:pt idx="246">
                  <c:v>62.03</c:v>
                </c:pt>
                <c:pt idx="247">
                  <c:v>61.37</c:v>
                </c:pt>
                <c:pt idx="248">
                  <c:v>58.7</c:v>
                </c:pt>
                <c:pt idx="249">
                  <c:v>55.9</c:v>
                </c:pt>
                <c:pt idx="250">
                  <c:v>59.29</c:v>
                </c:pt>
                <c:pt idx="251">
                  <c:v>61.16</c:v>
                </c:pt>
                <c:pt idx="252">
                  <c:v>55.16</c:v>
                </c:pt>
                <c:pt idx="253">
                  <c:v>54.42</c:v>
                </c:pt>
                <c:pt idx="254">
                  <c:v>50.64</c:v>
                </c:pt>
                <c:pt idx="255">
                  <c:v>52.31</c:v>
                </c:pt>
                <c:pt idx="256">
                  <c:v>54.53</c:v>
                </c:pt>
                <c:pt idx="257">
                  <c:v>56.84</c:v>
                </c:pt>
                <c:pt idx="258">
                  <c:v>52.67</c:v>
                </c:pt>
                <c:pt idx="259">
                  <c:v>53.94</c:v>
                </c:pt>
                <c:pt idx="260">
                  <c:v>52.71</c:v>
                </c:pt>
                <c:pt idx="261">
                  <c:v>50.75</c:v>
                </c:pt>
                <c:pt idx="262">
                  <c:v>50.33</c:v>
                </c:pt>
                <c:pt idx="263">
                  <c:v>52.02</c:v>
                </c:pt>
                <c:pt idx="264">
                  <c:v>47.38</c:v>
                </c:pt>
                <c:pt idx="265">
                  <c:v>47.11</c:v>
                </c:pt>
                <c:pt idx="266">
                  <c:v>41.96</c:v>
                </c:pt>
                <c:pt idx="268">
                  <c:v>44.63</c:v>
                </c:pt>
                <c:pt idx="269">
                  <c:v>43.13</c:v>
                </c:pt>
                <c:pt idx="270">
                  <c:v>44.41</c:v>
                </c:pt>
                <c:pt idx="271">
                  <c:v>45.69</c:v>
                </c:pt>
                <c:pt idx="272">
                  <c:v>43.39</c:v>
                </c:pt>
                <c:pt idx="273">
                  <c:v>37.54</c:v>
                </c:pt>
                <c:pt idx="274">
                  <c:v>42.03</c:v>
                </c:pt>
                <c:pt idx="275">
                  <c:v>19.559999999999999</c:v>
                </c:pt>
                <c:pt idx="276">
                  <c:v>22.51</c:v>
                </c:pt>
                <c:pt idx="277">
                  <c:v>24.31</c:v>
                </c:pt>
                <c:pt idx="278">
                  <c:v>35.17</c:v>
                </c:pt>
                <c:pt idx="279">
                  <c:v>51.25</c:v>
                </c:pt>
                <c:pt idx="280">
                  <c:v>47.2</c:v>
                </c:pt>
                <c:pt idx="281">
                  <c:v>45.3</c:v>
                </c:pt>
                <c:pt idx="282">
                  <c:v>39.409999999999997</c:v>
                </c:pt>
                <c:pt idx="283">
                  <c:v>47.53</c:v>
                </c:pt>
                <c:pt idx="284">
                  <c:v>47.76</c:v>
                </c:pt>
                <c:pt idx="285">
                  <c:v>46.81</c:v>
                </c:pt>
                <c:pt idx="286">
                  <c:v>46.91</c:v>
                </c:pt>
                <c:pt idx="287">
                  <c:v>42.66</c:v>
                </c:pt>
                <c:pt idx="288">
                  <c:v>46.63</c:v>
                </c:pt>
                <c:pt idx="289">
                  <c:v>49.36</c:v>
                </c:pt>
                <c:pt idx="290">
                  <c:v>47.87</c:v>
                </c:pt>
                <c:pt idx="291">
                  <c:v>48.56</c:v>
                </c:pt>
                <c:pt idx="292">
                  <c:v>43.08</c:v>
                </c:pt>
                <c:pt idx="293">
                  <c:v>36.65</c:v>
                </c:pt>
                <c:pt idx="294">
                  <c:v>36.86</c:v>
                </c:pt>
                <c:pt idx="295">
                  <c:v>38.21</c:v>
                </c:pt>
                <c:pt idx="296">
                  <c:v>40.479999999999997</c:v>
                </c:pt>
                <c:pt idx="297">
                  <c:v>47.79</c:v>
                </c:pt>
                <c:pt idx="298">
                  <c:v>46.62</c:v>
                </c:pt>
                <c:pt idx="299">
                  <c:v>48.56</c:v>
                </c:pt>
                <c:pt idx="300">
                  <c:v>36.6</c:v>
                </c:pt>
                <c:pt idx="301">
                  <c:v>41.3</c:v>
                </c:pt>
                <c:pt idx="302">
                  <c:v>50.35</c:v>
                </c:pt>
                <c:pt idx="303">
                  <c:v>45.69</c:v>
                </c:pt>
                <c:pt idx="304">
                  <c:v>49.11</c:v>
                </c:pt>
                <c:pt idx="305">
                  <c:v>49.34</c:v>
                </c:pt>
                <c:pt idx="306">
                  <c:v>45.32</c:v>
                </c:pt>
                <c:pt idx="307">
                  <c:v>45.82</c:v>
                </c:pt>
                <c:pt idx="308">
                  <c:v>54.99</c:v>
                </c:pt>
                <c:pt idx="309">
                  <c:v>56.33</c:v>
                </c:pt>
                <c:pt idx="310">
                  <c:v>63.67</c:v>
                </c:pt>
                <c:pt idx="312">
                  <c:v>58.29</c:v>
                </c:pt>
                <c:pt idx="313">
                  <c:v>60.55</c:v>
                </c:pt>
                <c:pt idx="314">
                  <c:v>51.95</c:v>
                </c:pt>
                <c:pt idx="315">
                  <c:v>56.72</c:v>
                </c:pt>
                <c:pt idx="316">
                  <c:v>53.5</c:v>
                </c:pt>
                <c:pt idx="317">
                  <c:v>50.53</c:v>
                </c:pt>
                <c:pt idx="318">
                  <c:v>58.98</c:v>
                </c:pt>
                <c:pt idx="319">
                  <c:v>57.09</c:v>
                </c:pt>
                <c:pt idx="320">
                  <c:v>57.65</c:v>
                </c:pt>
                <c:pt idx="321">
                  <c:v>56.17</c:v>
                </c:pt>
                <c:pt idx="322">
                  <c:v>55.67</c:v>
                </c:pt>
                <c:pt idx="323">
                  <c:v>60.26</c:v>
                </c:pt>
                <c:pt idx="324">
                  <c:v>55.9</c:v>
                </c:pt>
                <c:pt idx="325">
                  <c:v>57</c:v>
                </c:pt>
                <c:pt idx="326">
                  <c:v>58.97</c:v>
                </c:pt>
                <c:pt idx="327">
                  <c:v>58.74</c:v>
                </c:pt>
                <c:pt idx="328">
                  <c:v>60.17</c:v>
                </c:pt>
                <c:pt idx="329">
                  <c:v>58.16</c:v>
                </c:pt>
                <c:pt idx="330">
                  <c:v>62.46</c:v>
                </c:pt>
                <c:pt idx="332">
                  <c:v>57.92</c:v>
                </c:pt>
                <c:pt idx="333">
                  <c:v>55.4</c:v>
                </c:pt>
                <c:pt idx="334">
                  <c:v>52.03</c:v>
                </c:pt>
                <c:pt idx="335">
                  <c:v>47.86</c:v>
                </c:pt>
                <c:pt idx="336">
                  <c:v>41.79</c:v>
                </c:pt>
                <c:pt idx="337">
                  <c:v>28.15</c:v>
                </c:pt>
                <c:pt idx="339">
                  <c:v>31.3</c:v>
                </c:pt>
                <c:pt idx="340">
                  <c:v>27.26</c:v>
                </c:pt>
                <c:pt idx="341">
                  <c:v>27.42</c:v>
                </c:pt>
                <c:pt idx="342">
                  <c:v>22.62</c:v>
                </c:pt>
                <c:pt idx="343">
                  <c:v>22.67</c:v>
                </c:pt>
                <c:pt idx="344">
                  <c:v>25.05</c:v>
                </c:pt>
                <c:pt idx="345">
                  <c:v>22.28</c:v>
                </c:pt>
                <c:pt idx="346">
                  <c:v>25.17</c:v>
                </c:pt>
                <c:pt idx="347">
                  <c:v>26.46</c:v>
                </c:pt>
                <c:pt idx="348">
                  <c:v>26.82</c:v>
                </c:pt>
                <c:pt idx="349">
                  <c:v>23.4</c:v>
                </c:pt>
                <c:pt idx="350">
                  <c:v>24.58</c:v>
                </c:pt>
                <c:pt idx="351">
                  <c:v>16.489999999999998</c:v>
                </c:pt>
                <c:pt idx="352">
                  <c:v>18.07</c:v>
                </c:pt>
                <c:pt idx="353">
                  <c:v>23.81</c:v>
                </c:pt>
                <c:pt idx="354">
                  <c:v>25.28</c:v>
                </c:pt>
                <c:pt idx="355">
                  <c:v>27.84</c:v>
                </c:pt>
                <c:pt idx="356">
                  <c:v>30.65</c:v>
                </c:pt>
                <c:pt idx="357">
                  <c:v>33.19</c:v>
                </c:pt>
                <c:pt idx="358">
                  <c:v>34.549999999999997</c:v>
                </c:pt>
                <c:pt idx="359">
                  <c:v>38.869999999999997</c:v>
                </c:pt>
                <c:pt idx="360">
                  <c:v>38.97</c:v>
                </c:pt>
                <c:pt idx="361">
                  <c:v>40.65</c:v>
                </c:pt>
                <c:pt idx="362">
                  <c:v>47.11</c:v>
                </c:pt>
                <c:pt idx="363">
                  <c:v>52.96</c:v>
                </c:pt>
                <c:pt idx="364">
                  <c:v>55.03</c:v>
                </c:pt>
                <c:pt idx="365">
                  <c:v>55.43</c:v>
                </c:pt>
                <c:pt idx="367">
                  <c:v>52.87</c:v>
                </c:pt>
                <c:pt idx="368">
                  <c:v>53.17</c:v>
                </c:pt>
                <c:pt idx="369">
                  <c:v>57.39</c:v>
                </c:pt>
                <c:pt idx="370">
                  <c:v>52.62</c:v>
                </c:pt>
                <c:pt idx="371">
                  <c:v>49.82</c:v>
                </c:pt>
                <c:pt idx="372">
                  <c:v>43.03</c:v>
                </c:pt>
                <c:pt idx="373">
                  <c:v>37.85</c:v>
                </c:pt>
                <c:pt idx="374">
                  <c:v>39.17</c:v>
                </c:pt>
                <c:pt idx="375">
                  <c:v>34.11</c:v>
                </c:pt>
                <c:pt idx="376">
                  <c:v>36.659999999999997</c:v>
                </c:pt>
                <c:pt idx="377">
                  <c:v>39.96</c:v>
                </c:pt>
                <c:pt idx="378">
                  <c:v>38.47</c:v>
                </c:pt>
                <c:pt idx="379">
                  <c:v>46.21</c:v>
                </c:pt>
                <c:pt idx="380">
                  <c:v>48.53</c:v>
                </c:pt>
                <c:pt idx="381">
                  <c:v>53.87</c:v>
                </c:pt>
                <c:pt idx="382">
                  <c:v>51.78</c:v>
                </c:pt>
                <c:pt idx="383">
                  <c:v>43.47</c:v>
                </c:pt>
                <c:pt idx="384">
                  <c:v>42.47</c:v>
                </c:pt>
                <c:pt idx="385">
                  <c:v>39.57</c:v>
                </c:pt>
                <c:pt idx="386">
                  <c:v>40.78</c:v>
                </c:pt>
                <c:pt idx="387">
                  <c:v>47.24</c:v>
                </c:pt>
                <c:pt idx="388">
                  <c:v>43.87</c:v>
                </c:pt>
                <c:pt idx="389">
                  <c:v>47.22</c:v>
                </c:pt>
                <c:pt idx="390">
                  <c:v>41.96</c:v>
                </c:pt>
                <c:pt idx="391">
                  <c:v>45.17</c:v>
                </c:pt>
                <c:pt idx="392">
                  <c:v>52.45</c:v>
                </c:pt>
                <c:pt idx="393">
                  <c:v>54.25</c:v>
                </c:pt>
                <c:pt idx="394">
                  <c:v>60.91</c:v>
                </c:pt>
                <c:pt idx="395">
                  <c:v>67.38</c:v>
                </c:pt>
                <c:pt idx="396">
                  <c:v>65.62</c:v>
                </c:pt>
                <c:pt idx="397">
                  <c:v>64.94</c:v>
                </c:pt>
                <c:pt idx="398">
                  <c:v>61.41</c:v>
                </c:pt>
                <c:pt idx="399">
                  <c:v>62.19</c:v>
                </c:pt>
                <c:pt idx="400">
                  <c:v>59.58</c:v>
                </c:pt>
                <c:pt idx="401">
                  <c:v>56.45</c:v>
                </c:pt>
                <c:pt idx="402">
                  <c:v>55.3</c:v>
                </c:pt>
                <c:pt idx="403">
                  <c:v>52.12</c:v>
                </c:pt>
                <c:pt idx="404">
                  <c:v>54.78</c:v>
                </c:pt>
                <c:pt idx="405">
                  <c:v>56.48</c:v>
                </c:pt>
                <c:pt idx="406">
                  <c:v>54.31</c:v>
                </c:pt>
                <c:pt idx="407">
                  <c:v>60.78</c:v>
                </c:pt>
                <c:pt idx="408">
                  <c:v>63.22</c:v>
                </c:pt>
                <c:pt idx="409">
                  <c:v>64.790000000000006</c:v>
                </c:pt>
                <c:pt idx="410">
                  <c:v>68.319999999999993</c:v>
                </c:pt>
                <c:pt idx="411">
                  <c:v>69.430000000000007</c:v>
                </c:pt>
                <c:pt idx="412">
                  <c:v>62.97</c:v>
                </c:pt>
                <c:pt idx="413">
                  <c:v>67.260000000000005</c:v>
                </c:pt>
                <c:pt idx="414">
                  <c:v>62.47</c:v>
                </c:pt>
                <c:pt idx="415">
                  <c:v>60.83</c:v>
                </c:pt>
                <c:pt idx="416">
                  <c:v>65.290000000000006</c:v>
                </c:pt>
                <c:pt idx="417">
                  <c:v>59.48</c:v>
                </c:pt>
                <c:pt idx="418">
                  <c:v>62.22</c:v>
                </c:pt>
                <c:pt idx="419">
                  <c:v>61.48</c:v>
                </c:pt>
                <c:pt idx="420">
                  <c:v>57.8</c:v>
                </c:pt>
                <c:pt idx="421">
                  <c:v>53.85</c:v>
                </c:pt>
                <c:pt idx="422">
                  <c:v>49.41</c:v>
                </c:pt>
                <c:pt idx="423">
                  <c:v>48.19</c:v>
                </c:pt>
                <c:pt idx="424">
                  <c:v>47.98</c:v>
                </c:pt>
                <c:pt idx="425">
                  <c:v>43.32</c:v>
                </c:pt>
                <c:pt idx="426">
                  <c:v>48.67</c:v>
                </c:pt>
                <c:pt idx="427">
                  <c:v>52.44</c:v>
                </c:pt>
                <c:pt idx="428">
                  <c:v>54.5</c:v>
                </c:pt>
                <c:pt idx="430">
                  <c:v>68.64</c:v>
                </c:pt>
                <c:pt idx="431">
                  <c:v>64.58</c:v>
                </c:pt>
                <c:pt idx="432">
                  <c:v>62.31</c:v>
                </c:pt>
                <c:pt idx="433">
                  <c:v>65.36</c:v>
                </c:pt>
                <c:pt idx="434">
                  <c:v>65.319999999999993</c:v>
                </c:pt>
                <c:pt idx="435">
                  <c:v>63.75</c:v>
                </c:pt>
                <c:pt idx="436">
                  <c:v>58.61</c:v>
                </c:pt>
                <c:pt idx="437">
                  <c:v>59.85</c:v>
                </c:pt>
                <c:pt idx="438">
                  <c:v>55.02</c:v>
                </c:pt>
                <c:pt idx="439">
                  <c:v>57.04</c:v>
                </c:pt>
                <c:pt idx="440">
                  <c:v>55.05</c:v>
                </c:pt>
                <c:pt idx="441">
                  <c:v>54.54</c:v>
                </c:pt>
                <c:pt idx="442">
                  <c:v>47.58</c:v>
                </c:pt>
                <c:pt idx="443">
                  <c:v>47.58</c:v>
                </c:pt>
                <c:pt idx="444">
                  <c:v>42.88</c:v>
                </c:pt>
                <c:pt idx="445">
                  <c:v>44.52</c:v>
                </c:pt>
                <c:pt idx="446">
                  <c:v>44.81</c:v>
                </c:pt>
                <c:pt idx="447">
                  <c:v>37.619999999999997</c:v>
                </c:pt>
                <c:pt idx="448">
                  <c:v>42.15</c:v>
                </c:pt>
                <c:pt idx="449">
                  <c:v>39.61</c:v>
                </c:pt>
                <c:pt idx="450">
                  <c:v>48.41</c:v>
                </c:pt>
                <c:pt idx="451">
                  <c:v>58.86</c:v>
                </c:pt>
                <c:pt idx="452">
                  <c:v>61.49</c:v>
                </c:pt>
                <c:pt idx="453">
                  <c:v>56.89</c:v>
                </c:pt>
                <c:pt idx="454">
                  <c:v>58.95</c:v>
                </c:pt>
                <c:pt idx="455">
                  <c:v>58.2</c:v>
                </c:pt>
                <c:pt idx="456">
                  <c:v>50.47</c:v>
                </c:pt>
                <c:pt idx="457">
                  <c:v>48.97</c:v>
                </c:pt>
                <c:pt idx="458">
                  <c:v>56.28</c:v>
                </c:pt>
                <c:pt idx="459">
                  <c:v>54.31</c:v>
                </c:pt>
                <c:pt idx="460">
                  <c:v>52.67</c:v>
                </c:pt>
                <c:pt idx="461">
                  <c:v>57.89</c:v>
                </c:pt>
                <c:pt idx="462">
                  <c:v>64.569999999999993</c:v>
                </c:pt>
                <c:pt idx="463">
                  <c:v>66.05</c:v>
                </c:pt>
                <c:pt idx="464">
                  <c:v>57.79</c:v>
                </c:pt>
                <c:pt idx="465">
                  <c:v>59.56</c:v>
                </c:pt>
                <c:pt idx="466">
                  <c:v>54.75</c:v>
                </c:pt>
                <c:pt idx="467">
                  <c:v>46.42</c:v>
                </c:pt>
                <c:pt idx="468">
                  <c:v>35.82</c:v>
                </c:pt>
                <c:pt idx="469">
                  <c:v>41.72</c:v>
                </c:pt>
                <c:pt idx="470">
                  <c:v>39.03</c:v>
                </c:pt>
                <c:pt idx="472">
                  <c:v>37.590000000000003</c:v>
                </c:pt>
                <c:pt idx="473">
                  <c:v>30.5</c:v>
                </c:pt>
                <c:pt idx="474">
                  <c:v>28.65</c:v>
                </c:pt>
                <c:pt idx="475">
                  <c:v>36.28</c:v>
                </c:pt>
                <c:pt idx="476">
                  <c:v>36.479999999999997</c:v>
                </c:pt>
                <c:pt idx="477">
                  <c:v>38.090000000000003</c:v>
                </c:pt>
                <c:pt idx="478">
                  <c:v>38.47</c:v>
                </c:pt>
                <c:pt idx="479">
                  <c:v>46.68</c:v>
                </c:pt>
                <c:pt idx="480">
                  <c:v>45.25</c:v>
                </c:pt>
                <c:pt idx="481">
                  <c:v>45.16</c:v>
                </c:pt>
                <c:pt idx="483">
                  <c:v>44.39</c:v>
                </c:pt>
                <c:pt idx="484">
                  <c:v>45.04</c:v>
                </c:pt>
                <c:pt idx="485">
                  <c:v>39.590000000000003</c:v>
                </c:pt>
                <c:pt idx="486">
                  <c:v>44.78</c:v>
                </c:pt>
                <c:pt idx="487">
                  <c:v>44.98</c:v>
                </c:pt>
                <c:pt idx="488">
                  <c:v>43.67</c:v>
                </c:pt>
                <c:pt idx="489">
                  <c:v>43.84</c:v>
                </c:pt>
                <c:pt idx="490">
                  <c:v>44.32</c:v>
                </c:pt>
                <c:pt idx="491">
                  <c:v>49.44</c:v>
                </c:pt>
                <c:pt idx="492">
                  <c:v>48.84</c:v>
                </c:pt>
                <c:pt idx="493">
                  <c:v>45.07</c:v>
                </c:pt>
                <c:pt idx="494">
                  <c:v>50.72</c:v>
                </c:pt>
                <c:pt idx="495">
                  <c:v>54.09</c:v>
                </c:pt>
                <c:pt idx="496">
                  <c:v>47.56</c:v>
                </c:pt>
                <c:pt idx="497">
                  <c:v>42.47</c:v>
                </c:pt>
                <c:pt idx="498">
                  <c:v>50.59</c:v>
                </c:pt>
                <c:pt idx="500">
                  <c:v>53.13</c:v>
                </c:pt>
                <c:pt idx="501">
                  <c:v>47.62</c:v>
                </c:pt>
                <c:pt idx="502">
                  <c:v>53.62</c:v>
                </c:pt>
                <c:pt idx="503">
                  <c:v>61.63</c:v>
                </c:pt>
                <c:pt idx="504">
                  <c:v>61.63</c:v>
                </c:pt>
                <c:pt idx="505">
                  <c:v>60.91</c:v>
                </c:pt>
                <c:pt idx="506">
                  <c:v>56.29</c:v>
                </c:pt>
                <c:pt idx="507">
                  <c:v>62.05</c:v>
                </c:pt>
                <c:pt idx="508">
                  <c:v>61.15</c:v>
                </c:pt>
                <c:pt idx="509">
                  <c:v>60.67</c:v>
                </c:pt>
                <c:pt idx="510">
                  <c:v>61.14</c:v>
                </c:pt>
                <c:pt idx="511">
                  <c:v>60.62</c:v>
                </c:pt>
                <c:pt idx="512">
                  <c:v>55.53</c:v>
                </c:pt>
                <c:pt idx="513">
                  <c:v>58.45</c:v>
                </c:pt>
                <c:pt idx="514">
                  <c:v>52.55</c:v>
                </c:pt>
                <c:pt idx="515">
                  <c:v>49.17</c:v>
                </c:pt>
                <c:pt idx="516">
                  <c:v>42.88</c:v>
                </c:pt>
                <c:pt idx="517">
                  <c:v>45.55</c:v>
                </c:pt>
                <c:pt idx="518">
                  <c:v>42.2</c:v>
                </c:pt>
                <c:pt idx="519">
                  <c:v>53</c:v>
                </c:pt>
                <c:pt idx="520">
                  <c:v>47.27</c:v>
                </c:pt>
                <c:pt idx="521">
                  <c:v>42.5</c:v>
                </c:pt>
                <c:pt idx="522">
                  <c:v>36.369999999999997</c:v>
                </c:pt>
                <c:pt idx="523">
                  <c:v>35.76</c:v>
                </c:pt>
                <c:pt idx="524">
                  <c:v>40.33</c:v>
                </c:pt>
                <c:pt idx="525">
                  <c:v>39.49</c:v>
                </c:pt>
                <c:pt idx="526">
                  <c:v>39.9</c:v>
                </c:pt>
                <c:pt idx="527">
                  <c:v>39.65</c:v>
                </c:pt>
                <c:pt idx="528">
                  <c:v>38.08</c:v>
                </c:pt>
                <c:pt idx="529">
                  <c:v>41.55</c:v>
                </c:pt>
                <c:pt idx="530">
                  <c:v>43.87</c:v>
                </c:pt>
                <c:pt idx="531">
                  <c:v>54.48</c:v>
                </c:pt>
                <c:pt idx="532">
                  <c:v>55.01</c:v>
                </c:pt>
                <c:pt idx="533">
                  <c:v>67.8</c:v>
                </c:pt>
                <c:pt idx="534">
                  <c:v>66.709999999999994</c:v>
                </c:pt>
                <c:pt idx="535">
                  <c:v>66.37</c:v>
                </c:pt>
                <c:pt idx="536">
                  <c:v>62.16</c:v>
                </c:pt>
                <c:pt idx="537">
                  <c:v>71.58</c:v>
                </c:pt>
                <c:pt idx="538">
                  <c:v>69.03</c:v>
                </c:pt>
                <c:pt idx="539">
                  <c:v>72.78</c:v>
                </c:pt>
                <c:pt idx="541">
                  <c:v>75.239999999999995</c:v>
                </c:pt>
                <c:pt idx="542">
                  <c:v>74.319999999999993</c:v>
                </c:pt>
                <c:pt idx="543">
                  <c:v>68.7</c:v>
                </c:pt>
                <c:pt idx="544">
                  <c:v>69.459999999999994</c:v>
                </c:pt>
                <c:pt idx="545">
                  <c:v>69.319999999999993</c:v>
                </c:pt>
                <c:pt idx="546">
                  <c:v>75.14</c:v>
                </c:pt>
                <c:pt idx="547">
                  <c:v>73.78</c:v>
                </c:pt>
                <c:pt idx="548">
                  <c:v>70.14</c:v>
                </c:pt>
                <c:pt idx="549">
                  <c:v>70.099999999999994</c:v>
                </c:pt>
                <c:pt idx="550">
                  <c:v>71.599999999999994</c:v>
                </c:pt>
                <c:pt idx="551">
                  <c:v>71.459999999999994</c:v>
                </c:pt>
                <c:pt idx="552">
                  <c:v>75.7</c:v>
                </c:pt>
                <c:pt idx="553">
                  <c:v>72.94</c:v>
                </c:pt>
                <c:pt idx="554">
                  <c:v>73.02</c:v>
                </c:pt>
                <c:pt idx="555">
                  <c:v>69.64</c:v>
                </c:pt>
                <c:pt idx="556">
                  <c:v>74.08</c:v>
                </c:pt>
                <c:pt idx="557">
                  <c:v>70.41</c:v>
                </c:pt>
                <c:pt idx="558">
                  <c:v>67.900000000000006</c:v>
                </c:pt>
                <c:pt idx="559">
                  <c:v>72</c:v>
                </c:pt>
                <c:pt idx="560">
                  <c:v>69.680000000000007</c:v>
                </c:pt>
                <c:pt idx="561">
                  <c:v>68.150000000000006</c:v>
                </c:pt>
                <c:pt idx="562">
                  <c:v>65.48</c:v>
                </c:pt>
                <c:pt idx="563">
                  <c:v>64.34</c:v>
                </c:pt>
                <c:pt idx="564">
                  <c:v>63</c:v>
                </c:pt>
                <c:pt idx="565">
                  <c:v>66.790000000000006</c:v>
                </c:pt>
                <c:pt idx="566">
                  <c:v>64.87</c:v>
                </c:pt>
                <c:pt idx="567">
                  <c:v>61.36</c:v>
                </c:pt>
                <c:pt idx="568">
                  <c:v>59.3</c:v>
                </c:pt>
                <c:pt idx="570">
                  <c:v>60.45</c:v>
                </c:pt>
                <c:pt idx="571">
                  <c:v>58.59</c:v>
                </c:pt>
                <c:pt idx="572">
                  <c:v>51.15</c:v>
                </c:pt>
                <c:pt idx="573">
                  <c:v>48.24</c:v>
                </c:pt>
                <c:pt idx="574">
                  <c:v>55.03</c:v>
                </c:pt>
                <c:pt idx="575">
                  <c:v>51.48</c:v>
                </c:pt>
                <c:pt idx="576">
                  <c:v>50.49</c:v>
                </c:pt>
                <c:pt idx="577">
                  <c:v>51.08</c:v>
                </c:pt>
                <c:pt idx="578">
                  <c:v>47.67</c:v>
                </c:pt>
                <c:pt idx="579">
                  <c:v>39.14</c:v>
                </c:pt>
                <c:pt idx="580">
                  <c:v>50.4</c:v>
                </c:pt>
                <c:pt idx="581">
                  <c:v>53.74</c:v>
                </c:pt>
                <c:pt idx="582">
                  <c:v>44.14</c:v>
                </c:pt>
                <c:pt idx="583">
                  <c:v>52.13</c:v>
                </c:pt>
                <c:pt idx="584">
                  <c:v>49.15</c:v>
                </c:pt>
                <c:pt idx="585">
                  <c:v>45.77</c:v>
                </c:pt>
                <c:pt idx="586">
                  <c:v>45.53</c:v>
                </c:pt>
                <c:pt idx="587">
                  <c:v>38.049999999999997</c:v>
                </c:pt>
                <c:pt idx="588">
                  <c:v>45.62</c:v>
                </c:pt>
                <c:pt idx="589">
                  <c:v>43.09</c:v>
                </c:pt>
                <c:pt idx="590">
                  <c:v>40.81</c:v>
                </c:pt>
                <c:pt idx="591">
                  <c:v>40.06</c:v>
                </c:pt>
                <c:pt idx="592">
                  <c:v>37.700000000000003</c:v>
                </c:pt>
                <c:pt idx="593">
                  <c:v>41.18</c:v>
                </c:pt>
                <c:pt idx="595">
                  <c:v>47.71</c:v>
                </c:pt>
                <c:pt idx="596">
                  <c:v>47.06</c:v>
                </c:pt>
                <c:pt idx="597">
                  <c:v>48.82</c:v>
                </c:pt>
                <c:pt idx="598">
                  <c:v>49.58</c:v>
                </c:pt>
                <c:pt idx="599">
                  <c:v>56.8</c:v>
                </c:pt>
                <c:pt idx="600">
                  <c:v>54.52</c:v>
                </c:pt>
                <c:pt idx="601">
                  <c:v>53.63</c:v>
                </c:pt>
                <c:pt idx="602">
                  <c:v>55.57</c:v>
                </c:pt>
                <c:pt idx="603">
                  <c:v>62.73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3C-4D71-8DBF-DED9F9C18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기계</a:t>
            </a:r>
            <a:r>
              <a:rPr lang="en-US" altLang="ko-KR"/>
              <a:t>·</a:t>
            </a:r>
            <a:r>
              <a:rPr lang="ko-KR" altLang="en-US"/>
              <a:t>장비  </a:t>
            </a:r>
            <a:r>
              <a:rPr lang="en-US"/>
              <a:t>vs  </a:t>
            </a:r>
            <a:r>
              <a:rPr lang="ko-KR" altLang="en-US"/>
              <a:t>산업재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RSI'!$I$7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RSI'!$I$78:$I$3077</c:f>
              <c:numCache>
                <c:formatCode>0.00</c:formatCode>
                <c:ptCount val="3000"/>
                <c:pt idx="1">
                  <c:v>72.400000000000006</c:v>
                </c:pt>
                <c:pt idx="2">
                  <c:v>76.489999999999995</c:v>
                </c:pt>
                <c:pt idx="3">
                  <c:v>75.48</c:v>
                </c:pt>
                <c:pt idx="4">
                  <c:v>79.05</c:v>
                </c:pt>
                <c:pt idx="5">
                  <c:v>74.08</c:v>
                </c:pt>
                <c:pt idx="6">
                  <c:v>70.900000000000006</c:v>
                </c:pt>
                <c:pt idx="7">
                  <c:v>67.55</c:v>
                </c:pt>
                <c:pt idx="8">
                  <c:v>66.94</c:v>
                </c:pt>
                <c:pt idx="9">
                  <c:v>62.76</c:v>
                </c:pt>
                <c:pt idx="10">
                  <c:v>61.49</c:v>
                </c:pt>
                <c:pt idx="11">
                  <c:v>61.96</c:v>
                </c:pt>
                <c:pt idx="12">
                  <c:v>58.5</c:v>
                </c:pt>
                <c:pt idx="13">
                  <c:v>54.67</c:v>
                </c:pt>
                <c:pt idx="14">
                  <c:v>53.15</c:v>
                </c:pt>
                <c:pt idx="15">
                  <c:v>54.9</c:v>
                </c:pt>
                <c:pt idx="16">
                  <c:v>54.17</c:v>
                </c:pt>
                <c:pt idx="17">
                  <c:v>54.4</c:v>
                </c:pt>
                <c:pt idx="18">
                  <c:v>46.15</c:v>
                </c:pt>
                <c:pt idx="19">
                  <c:v>46.64</c:v>
                </c:pt>
                <c:pt idx="20">
                  <c:v>47.74</c:v>
                </c:pt>
                <c:pt idx="21">
                  <c:v>44.59</c:v>
                </c:pt>
                <c:pt idx="22">
                  <c:v>50.06</c:v>
                </c:pt>
                <c:pt idx="23">
                  <c:v>40.22</c:v>
                </c:pt>
                <c:pt idx="24">
                  <c:v>42.73</c:v>
                </c:pt>
                <c:pt idx="25">
                  <c:v>47.16</c:v>
                </c:pt>
                <c:pt idx="26">
                  <c:v>49.43</c:v>
                </c:pt>
                <c:pt idx="27">
                  <c:v>53.49</c:v>
                </c:pt>
                <c:pt idx="28">
                  <c:v>50.72</c:v>
                </c:pt>
                <c:pt idx="29">
                  <c:v>50.46</c:v>
                </c:pt>
                <c:pt idx="30">
                  <c:v>59.56</c:v>
                </c:pt>
                <c:pt idx="31">
                  <c:v>57.09</c:v>
                </c:pt>
                <c:pt idx="32">
                  <c:v>58.7</c:v>
                </c:pt>
                <c:pt idx="33">
                  <c:v>55.96</c:v>
                </c:pt>
                <c:pt idx="34">
                  <c:v>56.31</c:v>
                </c:pt>
                <c:pt idx="35">
                  <c:v>58.23</c:v>
                </c:pt>
                <c:pt idx="36">
                  <c:v>57.98</c:v>
                </c:pt>
                <c:pt idx="37">
                  <c:v>56.33</c:v>
                </c:pt>
                <c:pt idx="38">
                  <c:v>57.58</c:v>
                </c:pt>
                <c:pt idx="39">
                  <c:v>53.31</c:v>
                </c:pt>
                <c:pt idx="40">
                  <c:v>57.08</c:v>
                </c:pt>
                <c:pt idx="41">
                  <c:v>52.57</c:v>
                </c:pt>
                <c:pt idx="42">
                  <c:v>40.549999999999997</c:v>
                </c:pt>
                <c:pt idx="43">
                  <c:v>58.15</c:v>
                </c:pt>
                <c:pt idx="45">
                  <c:v>77.44</c:v>
                </c:pt>
                <c:pt idx="46">
                  <c:v>73.47</c:v>
                </c:pt>
                <c:pt idx="47">
                  <c:v>68.03</c:v>
                </c:pt>
                <c:pt idx="48">
                  <c:v>66.400000000000006</c:v>
                </c:pt>
                <c:pt idx="49">
                  <c:v>66.28</c:v>
                </c:pt>
                <c:pt idx="50">
                  <c:v>68.31</c:v>
                </c:pt>
                <c:pt idx="51">
                  <c:v>64.790000000000006</c:v>
                </c:pt>
                <c:pt idx="54">
                  <c:v>62.23</c:v>
                </c:pt>
                <c:pt idx="55">
                  <c:v>62.68</c:v>
                </c:pt>
                <c:pt idx="56">
                  <c:v>60.46</c:v>
                </c:pt>
                <c:pt idx="57">
                  <c:v>59.29</c:v>
                </c:pt>
                <c:pt idx="58">
                  <c:v>59.02</c:v>
                </c:pt>
                <c:pt idx="59">
                  <c:v>53.45</c:v>
                </c:pt>
                <c:pt idx="60">
                  <c:v>56.48</c:v>
                </c:pt>
                <c:pt idx="61">
                  <c:v>65.69</c:v>
                </c:pt>
                <c:pt idx="62">
                  <c:v>61.62</c:v>
                </c:pt>
                <c:pt idx="63">
                  <c:v>50.94</c:v>
                </c:pt>
                <c:pt idx="64">
                  <c:v>64.010000000000005</c:v>
                </c:pt>
                <c:pt idx="65">
                  <c:v>70.650000000000006</c:v>
                </c:pt>
                <c:pt idx="66">
                  <c:v>66.03</c:v>
                </c:pt>
                <c:pt idx="67">
                  <c:v>67.209999999999994</c:v>
                </c:pt>
                <c:pt idx="68">
                  <c:v>65.2</c:v>
                </c:pt>
                <c:pt idx="69">
                  <c:v>68.09</c:v>
                </c:pt>
                <c:pt idx="70">
                  <c:v>64.42</c:v>
                </c:pt>
                <c:pt idx="71">
                  <c:v>67.930000000000007</c:v>
                </c:pt>
                <c:pt idx="72">
                  <c:v>76.42</c:v>
                </c:pt>
                <c:pt idx="73">
                  <c:v>76.95</c:v>
                </c:pt>
                <c:pt idx="74">
                  <c:v>75.400000000000006</c:v>
                </c:pt>
                <c:pt idx="75">
                  <c:v>72.13</c:v>
                </c:pt>
                <c:pt idx="76">
                  <c:v>71.25</c:v>
                </c:pt>
                <c:pt idx="77">
                  <c:v>69.569999999999993</c:v>
                </c:pt>
                <c:pt idx="78">
                  <c:v>69.680000000000007</c:v>
                </c:pt>
                <c:pt idx="79">
                  <c:v>65.53</c:v>
                </c:pt>
                <c:pt idx="80">
                  <c:v>64.63</c:v>
                </c:pt>
                <c:pt idx="81">
                  <c:v>66.05</c:v>
                </c:pt>
                <c:pt idx="82">
                  <c:v>68.790000000000006</c:v>
                </c:pt>
                <c:pt idx="83">
                  <c:v>63.84</c:v>
                </c:pt>
                <c:pt idx="84">
                  <c:v>50.19</c:v>
                </c:pt>
                <c:pt idx="86">
                  <c:v>47.24</c:v>
                </c:pt>
                <c:pt idx="87">
                  <c:v>50.74</c:v>
                </c:pt>
                <c:pt idx="88">
                  <c:v>44.82</c:v>
                </c:pt>
                <c:pt idx="89">
                  <c:v>47.41</c:v>
                </c:pt>
                <c:pt idx="90">
                  <c:v>51.77</c:v>
                </c:pt>
                <c:pt idx="91">
                  <c:v>52.23</c:v>
                </c:pt>
                <c:pt idx="92">
                  <c:v>48.47</c:v>
                </c:pt>
                <c:pt idx="93">
                  <c:v>42.46</c:v>
                </c:pt>
                <c:pt idx="94">
                  <c:v>46.21</c:v>
                </c:pt>
                <c:pt idx="95">
                  <c:v>49.34</c:v>
                </c:pt>
                <c:pt idx="96">
                  <c:v>51.85</c:v>
                </c:pt>
                <c:pt idx="97">
                  <c:v>57.19</c:v>
                </c:pt>
                <c:pt idx="98">
                  <c:v>52.55</c:v>
                </c:pt>
                <c:pt idx="99">
                  <c:v>51.52</c:v>
                </c:pt>
                <c:pt idx="100">
                  <c:v>51.53</c:v>
                </c:pt>
                <c:pt idx="101">
                  <c:v>50.29</c:v>
                </c:pt>
                <c:pt idx="102">
                  <c:v>54.69</c:v>
                </c:pt>
                <c:pt idx="103">
                  <c:v>52.18</c:v>
                </c:pt>
                <c:pt idx="104">
                  <c:v>51.59</c:v>
                </c:pt>
                <c:pt idx="105">
                  <c:v>46.17</c:v>
                </c:pt>
                <c:pt idx="106">
                  <c:v>45.03</c:v>
                </c:pt>
                <c:pt idx="107">
                  <c:v>47.4</c:v>
                </c:pt>
                <c:pt idx="108">
                  <c:v>48.52</c:v>
                </c:pt>
                <c:pt idx="109">
                  <c:v>49.55</c:v>
                </c:pt>
                <c:pt idx="110">
                  <c:v>41.5</c:v>
                </c:pt>
                <c:pt idx="111">
                  <c:v>41.13</c:v>
                </c:pt>
                <c:pt idx="112">
                  <c:v>40.72</c:v>
                </c:pt>
                <c:pt idx="113">
                  <c:v>46.12</c:v>
                </c:pt>
                <c:pt idx="114">
                  <c:v>41.15</c:v>
                </c:pt>
                <c:pt idx="115">
                  <c:v>41.82</c:v>
                </c:pt>
                <c:pt idx="116">
                  <c:v>47.76</c:v>
                </c:pt>
                <c:pt idx="117">
                  <c:v>46.49</c:v>
                </c:pt>
                <c:pt idx="118">
                  <c:v>54.02</c:v>
                </c:pt>
                <c:pt idx="119">
                  <c:v>47.85</c:v>
                </c:pt>
                <c:pt idx="120">
                  <c:v>47.47</c:v>
                </c:pt>
                <c:pt idx="121">
                  <c:v>49.28</c:v>
                </c:pt>
                <c:pt idx="122">
                  <c:v>45.63</c:v>
                </c:pt>
                <c:pt idx="123">
                  <c:v>48.45</c:v>
                </c:pt>
                <c:pt idx="124">
                  <c:v>54.06</c:v>
                </c:pt>
                <c:pt idx="125">
                  <c:v>65.760000000000005</c:v>
                </c:pt>
                <c:pt idx="126">
                  <c:v>68.63</c:v>
                </c:pt>
                <c:pt idx="127">
                  <c:v>67.09</c:v>
                </c:pt>
                <c:pt idx="128">
                  <c:v>68.19</c:v>
                </c:pt>
                <c:pt idx="129">
                  <c:v>80.25</c:v>
                </c:pt>
                <c:pt idx="130">
                  <c:v>74.58</c:v>
                </c:pt>
                <c:pt idx="131">
                  <c:v>72.95</c:v>
                </c:pt>
                <c:pt idx="132">
                  <c:v>71.73</c:v>
                </c:pt>
                <c:pt idx="133">
                  <c:v>67.650000000000006</c:v>
                </c:pt>
                <c:pt idx="134">
                  <c:v>72.39</c:v>
                </c:pt>
                <c:pt idx="135">
                  <c:v>72.91</c:v>
                </c:pt>
                <c:pt idx="136">
                  <c:v>72.430000000000007</c:v>
                </c:pt>
                <c:pt idx="137">
                  <c:v>71.099999999999994</c:v>
                </c:pt>
                <c:pt idx="138">
                  <c:v>78.900000000000006</c:v>
                </c:pt>
                <c:pt idx="139">
                  <c:v>78.099999999999994</c:v>
                </c:pt>
                <c:pt idx="140">
                  <c:v>70.83</c:v>
                </c:pt>
                <c:pt idx="141">
                  <c:v>76.709999999999994</c:v>
                </c:pt>
                <c:pt idx="142">
                  <c:v>73.989999999999995</c:v>
                </c:pt>
                <c:pt idx="148">
                  <c:v>59.31</c:v>
                </c:pt>
                <c:pt idx="149">
                  <c:v>57.1</c:v>
                </c:pt>
                <c:pt idx="150">
                  <c:v>52.63</c:v>
                </c:pt>
                <c:pt idx="151">
                  <c:v>49.99</c:v>
                </c:pt>
                <c:pt idx="152">
                  <c:v>49.62</c:v>
                </c:pt>
                <c:pt idx="153">
                  <c:v>55.7</c:v>
                </c:pt>
                <c:pt idx="154">
                  <c:v>61.75</c:v>
                </c:pt>
                <c:pt idx="155">
                  <c:v>56.87</c:v>
                </c:pt>
                <c:pt idx="156">
                  <c:v>55.36</c:v>
                </c:pt>
                <c:pt idx="157">
                  <c:v>52.59</c:v>
                </c:pt>
                <c:pt idx="158">
                  <c:v>51.93</c:v>
                </c:pt>
                <c:pt idx="159">
                  <c:v>51.58</c:v>
                </c:pt>
                <c:pt idx="160">
                  <c:v>56.7</c:v>
                </c:pt>
                <c:pt idx="161">
                  <c:v>47.63</c:v>
                </c:pt>
                <c:pt idx="162">
                  <c:v>52.88</c:v>
                </c:pt>
                <c:pt idx="163">
                  <c:v>54.03</c:v>
                </c:pt>
                <c:pt idx="164">
                  <c:v>55.11</c:v>
                </c:pt>
                <c:pt idx="165">
                  <c:v>52.22</c:v>
                </c:pt>
                <c:pt idx="166">
                  <c:v>50.52</c:v>
                </c:pt>
                <c:pt idx="167">
                  <c:v>51.94</c:v>
                </c:pt>
                <c:pt idx="168">
                  <c:v>52.98</c:v>
                </c:pt>
                <c:pt idx="169">
                  <c:v>51.99</c:v>
                </c:pt>
                <c:pt idx="170">
                  <c:v>48.81</c:v>
                </c:pt>
                <c:pt idx="171">
                  <c:v>46.23</c:v>
                </c:pt>
                <c:pt idx="172">
                  <c:v>51.73</c:v>
                </c:pt>
                <c:pt idx="173">
                  <c:v>52.32</c:v>
                </c:pt>
                <c:pt idx="174">
                  <c:v>52.57</c:v>
                </c:pt>
                <c:pt idx="175">
                  <c:v>52.29</c:v>
                </c:pt>
                <c:pt idx="176">
                  <c:v>56.23</c:v>
                </c:pt>
                <c:pt idx="177">
                  <c:v>49.81</c:v>
                </c:pt>
                <c:pt idx="178">
                  <c:v>49.15</c:v>
                </c:pt>
                <c:pt idx="179">
                  <c:v>42.13</c:v>
                </c:pt>
                <c:pt idx="180">
                  <c:v>45.88</c:v>
                </c:pt>
                <c:pt idx="181">
                  <c:v>54.99</c:v>
                </c:pt>
                <c:pt idx="183">
                  <c:v>57.71</c:v>
                </c:pt>
                <c:pt idx="184">
                  <c:v>58.96</c:v>
                </c:pt>
                <c:pt idx="185">
                  <c:v>57.77</c:v>
                </c:pt>
                <c:pt idx="186">
                  <c:v>65.09</c:v>
                </c:pt>
                <c:pt idx="187">
                  <c:v>61.25</c:v>
                </c:pt>
                <c:pt idx="188">
                  <c:v>59.25</c:v>
                </c:pt>
                <c:pt idx="189">
                  <c:v>59.42</c:v>
                </c:pt>
                <c:pt idx="190">
                  <c:v>57.86</c:v>
                </c:pt>
                <c:pt idx="191">
                  <c:v>55.44</c:v>
                </c:pt>
                <c:pt idx="192">
                  <c:v>50.26</c:v>
                </c:pt>
                <c:pt idx="193">
                  <c:v>59.46</c:v>
                </c:pt>
                <c:pt idx="194">
                  <c:v>56.29</c:v>
                </c:pt>
                <c:pt idx="195">
                  <c:v>58.3</c:v>
                </c:pt>
                <c:pt idx="196">
                  <c:v>55.69</c:v>
                </c:pt>
                <c:pt idx="197">
                  <c:v>60.42</c:v>
                </c:pt>
                <c:pt idx="198">
                  <c:v>59</c:v>
                </c:pt>
                <c:pt idx="199">
                  <c:v>55.63</c:v>
                </c:pt>
                <c:pt idx="200">
                  <c:v>53.29</c:v>
                </c:pt>
                <c:pt idx="201">
                  <c:v>63.02</c:v>
                </c:pt>
                <c:pt idx="202">
                  <c:v>57.93</c:v>
                </c:pt>
                <c:pt idx="203">
                  <c:v>56.21</c:v>
                </c:pt>
                <c:pt idx="204">
                  <c:v>57.67</c:v>
                </c:pt>
                <c:pt idx="205">
                  <c:v>61.22</c:v>
                </c:pt>
                <c:pt idx="206">
                  <c:v>53.67</c:v>
                </c:pt>
                <c:pt idx="207">
                  <c:v>55.63</c:v>
                </c:pt>
                <c:pt idx="208">
                  <c:v>61.27</c:v>
                </c:pt>
                <c:pt idx="209">
                  <c:v>61.99</c:v>
                </c:pt>
                <c:pt idx="210">
                  <c:v>64.75</c:v>
                </c:pt>
                <c:pt idx="211">
                  <c:v>60.07</c:v>
                </c:pt>
                <c:pt idx="212">
                  <c:v>56.48</c:v>
                </c:pt>
                <c:pt idx="213">
                  <c:v>63.03</c:v>
                </c:pt>
                <c:pt idx="214">
                  <c:v>63.56</c:v>
                </c:pt>
                <c:pt idx="215">
                  <c:v>66.150000000000006</c:v>
                </c:pt>
                <c:pt idx="216">
                  <c:v>81.08</c:v>
                </c:pt>
                <c:pt idx="217">
                  <c:v>79.5</c:v>
                </c:pt>
                <c:pt idx="218">
                  <c:v>78.87</c:v>
                </c:pt>
                <c:pt idx="219">
                  <c:v>81.78</c:v>
                </c:pt>
                <c:pt idx="220">
                  <c:v>89.36</c:v>
                </c:pt>
                <c:pt idx="221">
                  <c:v>88.47</c:v>
                </c:pt>
                <c:pt idx="222">
                  <c:v>84.29</c:v>
                </c:pt>
                <c:pt idx="223">
                  <c:v>86.11</c:v>
                </c:pt>
                <c:pt idx="224">
                  <c:v>85.51</c:v>
                </c:pt>
                <c:pt idx="225">
                  <c:v>84.76</c:v>
                </c:pt>
                <c:pt idx="226">
                  <c:v>84.27</c:v>
                </c:pt>
                <c:pt idx="227">
                  <c:v>80.599999999999994</c:v>
                </c:pt>
                <c:pt idx="228">
                  <c:v>82.23</c:v>
                </c:pt>
                <c:pt idx="229">
                  <c:v>79.19</c:v>
                </c:pt>
                <c:pt idx="230">
                  <c:v>76.540000000000006</c:v>
                </c:pt>
                <c:pt idx="231">
                  <c:v>74.44</c:v>
                </c:pt>
                <c:pt idx="233">
                  <c:v>73.13</c:v>
                </c:pt>
                <c:pt idx="234">
                  <c:v>69.319999999999993</c:v>
                </c:pt>
                <c:pt idx="236">
                  <c:v>65.23</c:v>
                </c:pt>
                <c:pt idx="237">
                  <c:v>64.239999999999995</c:v>
                </c:pt>
                <c:pt idx="238">
                  <c:v>71.510000000000005</c:v>
                </c:pt>
                <c:pt idx="239">
                  <c:v>67.47</c:v>
                </c:pt>
                <c:pt idx="240">
                  <c:v>75.94</c:v>
                </c:pt>
                <c:pt idx="241">
                  <c:v>75.53</c:v>
                </c:pt>
                <c:pt idx="242">
                  <c:v>73.19</c:v>
                </c:pt>
                <c:pt idx="243">
                  <c:v>69.900000000000006</c:v>
                </c:pt>
                <c:pt idx="244">
                  <c:v>78.87</c:v>
                </c:pt>
                <c:pt idx="245">
                  <c:v>76.5</c:v>
                </c:pt>
                <c:pt idx="246">
                  <c:v>72.75</c:v>
                </c:pt>
                <c:pt idx="247">
                  <c:v>76.209999999999994</c:v>
                </c:pt>
                <c:pt idx="248">
                  <c:v>70.56</c:v>
                </c:pt>
                <c:pt idx="249">
                  <c:v>72.83</c:v>
                </c:pt>
                <c:pt idx="250">
                  <c:v>68.88</c:v>
                </c:pt>
                <c:pt idx="251">
                  <c:v>66.680000000000007</c:v>
                </c:pt>
                <c:pt idx="252">
                  <c:v>62.77</c:v>
                </c:pt>
                <c:pt idx="253">
                  <c:v>62.41</c:v>
                </c:pt>
                <c:pt idx="254">
                  <c:v>61.02</c:v>
                </c:pt>
                <c:pt idx="257">
                  <c:v>60.77</c:v>
                </c:pt>
                <c:pt idx="259">
                  <c:v>64.38</c:v>
                </c:pt>
                <c:pt idx="260">
                  <c:v>65.569999999999993</c:v>
                </c:pt>
                <c:pt idx="261">
                  <c:v>63.07</c:v>
                </c:pt>
                <c:pt idx="262">
                  <c:v>64.260000000000005</c:v>
                </c:pt>
                <c:pt idx="263">
                  <c:v>61.64</c:v>
                </c:pt>
                <c:pt idx="264">
                  <c:v>59.74</c:v>
                </c:pt>
                <c:pt idx="265">
                  <c:v>55.53</c:v>
                </c:pt>
                <c:pt idx="266">
                  <c:v>55.36</c:v>
                </c:pt>
                <c:pt idx="267">
                  <c:v>55.07</c:v>
                </c:pt>
                <c:pt idx="268">
                  <c:v>50.44</c:v>
                </c:pt>
                <c:pt idx="269">
                  <c:v>45.65</c:v>
                </c:pt>
                <c:pt idx="270">
                  <c:v>48.79</c:v>
                </c:pt>
                <c:pt idx="271">
                  <c:v>45.04</c:v>
                </c:pt>
                <c:pt idx="272">
                  <c:v>43.46</c:v>
                </c:pt>
                <c:pt idx="273">
                  <c:v>36.380000000000003</c:v>
                </c:pt>
                <c:pt idx="274">
                  <c:v>19.670000000000002</c:v>
                </c:pt>
                <c:pt idx="275">
                  <c:v>21.26</c:v>
                </c:pt>
                <c:pt idx="276">
                  <c:v>18.2</c:v>
                </c:pt>
                <c:pt idx="277">
                  <c:v>25.33</c:v>
                </c:pt>
                <c:pt idx="278">
                  <c:v>27.62</c:v>
                </c:pt>
                <c:pt idx="279">
                  <c:v>28.14</c:v>
                </c:pt>
                <c:pt idx="280">
                  <c:v>28.94</c:v>
                </c:pt>
                <c:pt idx="281">
                  <c:v>27.25</c:v>
                </c:pt>
                <c:pt idx="282">
                  <c:v>32.01</c:v>
                </c:pt>
                <c:pt idx="283">
                  <c:v>34.869999999999997</c:v>
                </c:pt>
                <c:pt idx="284">
                  <c:v>39.64</c:v>
                </c:pt>
                <c:pt idx="285">
                  <c:v>43.6</c:v>
                </c:pt>
                <c:pt idx="286">
                  <c:v>45.85</c:v>
                </c:pt>
                <c:pt idx="287">
                  <c:v>50.2</c:v>
                </c:pt>
                <c:pt idx="288">
                  <c:v>44.84</c:v>
                </c:pt>
                <c:pt idx="289">
                  <c:v>51.32</c:v>
                </c:pt>
                <c:pt idx="290">
                  <c:v>49.38</c:v>
                </c:pt>
                <c:pt idx="291">
                  <c:v>46.19</c:v>
                </c:pt>
                <c:pt idx="292">
                  <c:v>49.02</c:v>
                </c:pt>
                <c:pt idx="293">
                  <c:v>49.15</c:v>
                </c:pt>
                <c:pt idx="294">
                  <c:v>49.41</c:v>
                </c:pt>
                <c:pt idx="295">
                  <c:v>46.91</c:v>
                </c:pt>
                <c:pt idx="296">
                  <c:v>50.27</c:v>
                </c:pt>
                <c:pt idx="297">
                  <c:v>49.18</c:v>
                </c:pt>
                <c:pt idx="298">
                  <c:v>49.07</c:v>
                </c:pt>
                <c:pt idx="299">
                  <c:v>51.23</c:v>
                </c:pt>
                <c:pt idx="300">
                  <c:v>43.44</c:v>
                </c:pt>
                <c:pt idx="302">
                  <c:v>45.26</c:v>
                </c:pt>
                <c:pt idx="303">
                  <c:v>55.7</c:v>
                </c:pt>
                <c:pt idx="304">
                  <c:v>60.66</c:v>
                </c:pt>
                <c:pt idx="305">
                  <c:v>61.49</c:v>
                </c:pt>
                <c:pt idx="306">
                  <c:v>61.6</c:v>
                </c:pt>
                <c:pt idx="307">
                  <c:v>67.099999999999994</c:v>
                </c:pt>
                <c:pt idx="308">
                  <c:v>67.03</c:v>
                </c:pt>
                <c:pt idx="309">
                  <c:v>74.03</c:v>
                </c:pt>
                <c:pt idx="310">
                  <c:v>73.66</c:v>
                </c:pt>
                <c:pt idx="311">
                  <c:v>69.72</c:v>
                </c:pt>
                <c:pt idx="312">
                  <c:v>68.44</c:v>
                </c:pt>
                <c:pt idx="313">
                  <c:v>63.48</c:v>
                </c:pt>
                <c:pt idx="314">
                  <c:v>59.1</c:v>
                </c:pt>
                <c:pt idx="315">
                  <c:v>56.92</c:v>
                </c:pt>
                <c:pt idx="316">
                  <c:v>55.04</c:v>
                </c:pt>
                <c:pt idx="317">
                  <c:v>59.41</c:v>
                </c:pt>
                <c:pt idx="318">
                  <c:v>61.76</c:v>
                </c:pt>
                <c:pt idx="319">
                  <c:v>60.97</c:v>
                </c:pt>
                <c:pt idx="320">
                  <c:v>62.16</c:v>
                </c:pt>
                <c:pt idx="321">
                  <c:v>57.72</c:v>
                </c:pt>
                <c:pt idx="322">
                  <c:v>65.319999999999993</c:v>
                </c:pt>
                <c:pt idx="327">
                  <c:v>75.56</c:v>
                </c:pt>
                <c:pt idx="328">
                  <c:v>73.06</c:v>
                </c:pt>
                <c:pt idx="329">
                  <c:v>79.63</c:v>
                </c:pt>
                <c:pt idx="330">
                  <c:v>72.709999999999994</c:v>
                </c:pt>
                <c:pt idx="331">
                  <c:v>69.78</c:v>
                </c:pt>
                <c:pt idx="332">
                  <c:v>74.14</c:v>
                </c:pt>
                <c:pt idx="333">
                  <c:v>70.69</c:v>
                </c:pt>
                <c:pt idx="334">
                  <c:v>68.89</c:v>
                </c:pt>
                <c:pt idx="335">
                  <c:v>67.67</c:v>
                </c:pt>
                <c:pt idx="336">
                  <c:v>66.709999999999994</c:v>
                </c:pt>
                <c:pt idx="337">
                  <c:v>69.83</c:v>
                </c:pt>
                <c:pt idx="338">
                  <c:v>66.53</c:v>
                </c:pt>
                <c:pt idx="339">
                  <c:v>68.28</c:v>
                </c:pt>
                <c:pt idx="340">
                  <c:v>63.26</c:v>
                </c:pt>
                <c:pt idx="341">
                  <c:v>61.42</c:v>
                </c:pt>
                <c:pt idx="342">
                  <c:v>57.31</c:v>
                </c:pt>
                <c:pt idx="343">
                  <c:v>54.91</c:v>
                </c:pt>
                <c:pt idx="345">
                  <c:v>43.08</c:v>
                </c:pt>
                <c:pt idx="346">
                  <c:v>44.31</c:v>
                </c:pt>
                <c:pt idx="347">
                  <c:v>48.35</c:v>
                </c:pt>
                <c:pt idx="348">
                  <c:v>51.53</c:v>
                </c:pt>
                <c:pt idx="349">
                  <c:v>52.28</c:v>
                </c:pt>
                <c:pt idx="350">
                  <c:v>44.72</c:v>
                </c:pt>
                <c:pt idx="351">
                  <c:v>49.49</c:v>
                </c:pt>
                <c:pt idx="352">
                  <c:v>49.23</c:v>
                </c:pt>
                <c:pt idx="353">
                  <c:v>44.02</c:v>
                </c:pt>
                <c:pt idx="354">
                  <c:v>43.58</c:v>
                </c:pt>
                <c:pt idx="355">
                  <c:v>41.78</c:v>
                </c:pt>
                <c:pt idx="356">
                  <c:v>42.06</c:v>
                </c:pt>
                <c:pt idx="357">
                  <c:v>37.369999999999997</c:v>
                </c:pt>
                <c:pt idx="358">
                  <c:v>29.06</c:v>
                </c:pt>
                <c:pt idx="359">
                  <c:v>26.98</c:v>
                </c:pt>
                <c:pt idx="360">
                  <c:v>31.69</c:v>
                </c:pt>
                <c:pt idx="361">
                  <c:v>34.26</c:v>
                </c:pt>
                <c:pt idx="362">
                  <c:v>36.49</c:v>
                </c:pt>
                <c:pt idx="363">
                  <c:v>43.73</c:v>
                </c:pt>
                <c:pt idx="364">
                  <c:v>35.44</c:v>
                </c:pt>
                <c:pt idx="365">
                  <c:v>38.1</c:v>
                </c:pt>
                <c:pt idx="366">
                  <c:v>43.97</c:v>
                </c:pt>
                <c:pt idx="367">
                  <c:v>43.48</c:v>
                </c:pt>
                <c:pt idx="368">
                  <c:v>45.93</c:v>
                </c:pt>
                <c:pt idx="369">
                  <c:v>52.26</c:v>
                </c:pt>
                <c:pt idx="370">
                  <c:v>50.08</c:v>
                </c:pt>
                <c:pt idx="371">
                  <c:v>42.23</c:v>
                </c:pt>
                <c:pt idx="372">
                  <c:v>48.24</c:v>
                </c:pt>
                <c:pt idx="373">
                  <c:v>48.61</c:v>
                </c:pt>
                <c:pt idx="374">
                  <c:v>44.15</c:v>
                </c:pt>
                <c:pt idx="375">
                  <c:v>45.41</c:v>
                </c:pt>
                <c:pt idx="376">
                  <c:v>44.91</c:v>
                </c:pt>
                <c:pt idx="377">
                  <c:v>38.57</c:v>
                </c:pt>
                <c:pt idx="378">
                  <c:v>44.57</c:v>
                </c:pt>
                <c:pt idx="379">
                  <c:v>50.26</c:v>
                </c:pt>
                <c:pt idx="380">
                  <c:v>55.11</c:v>
                </c:pt>
                <c:pt idx="381">
                  <c:v>57.27</c:v>
                </c:pt>
                <c:pt idx="382">
                  <c:v>54.16</c:v>
                </c:pt>
                <c:pt idx="383">
                  <c:v>49.26</c:v>
                </c:pt>
                <c:pt idx="384">
                  <c:v>46.96</c:v>
                </c:pt>
                <c:pt idx="385">
                  <c:v>44.15</c:v>
                </c:pt>
                <c:pt idx="386">
                  <c:v>45.57</c:v>
                </c:pt>
                <c:pt idx="387">
                  <c:v>53.35</c:v>
                </c:pt>
                <c:pt idx="388">
                  <c:v>51.74</c:v>
                </c:pt>
                <c:pt idx="389">
                  <c:v>50.88</c:v>
                </c:pt>
                <c:pt idx="390">
                  <c:v>49.04</c:v>
                </c:pt>
                <c:pt idx="391">
                  <c:v>51.95</c:v>
                </c:pt>
                <c:pt idx="392">
                  <c:v>51.71</c:v>
                </c:pt>
                <c:pt idx="393">
                  <c:v>54.81</c:v>
                </c:pt>
                <c:pt idx="394">
                  <c:v>58.57</c:v>
                </c:pt>
                <c:pt idx="395">
                  <c:v>57.18</c:v>
                </c:pt>
                <c:pt idx="396">
                  <c:v>64.989999999999995</c:v>
                </c:pt>
                <c:pt idx="397">
                  <c:v>55.47</c:v>
                </c:pt>
                <c:pt idx="398">
                  <c:v>57.94</c:v>
                </c:pt>
                <c:pt idx="399">
                  <c:v>55.37</c:v>
                </c:pt>
                <c:pt idx="400">
                  <c:v>51.46</c:v>
                </c:pt>
                <c:pt idx="401">
                  <c:v>53.48</c:v>
                </c:pt>
                <c:pt idx="403">
                  <c:v>53.02</c:v>
                </c:pt>
                <c:pt idx="404">
                  <c:v>55.58</c:v>
                </c:pt>
                <c:pt idx="405">
                  <c:v>47.58</c:v>
                </c:pt>
                <c:pt idx="407">
                  <c:v>46.54</c:v>
                </c:pt>
                <c:pt idx="409">
                  <c:v>50.23</c:v>
                </c:pt>
                <c:pt idx="410">
                  <c:v>54.16</c:v>
                </c:pt>
                <c:pt idx="411">
                  <c:v>58.47</c:v>
                </c:pt>
                <c:pt idx="412">
                  <c:v>52.3</c:v>
                </c:pt>
                <c:pt idx="413">
                  <c:v>53.27</c:v>
                </c:pt>
                <c:pt idx="414">
                  <c:v>48.81</c:v>
                </c:pt>
                <c:pt idx="415">
                  <c:v>48.12</c:v>
                </c:pt>
                <c:pt idx="416">
                  <c:v>47.9</c:v>
                </c:pt>
                <c:pt idx="420">
                  <c:v>47.08</c:v>
                </c:pt>
                <c:pt idx="421">
                  <c:v>44.66</c:v>
                </c:pt>
                <c:pt idx="422">
                  <c:v>34.92</c:v>
                </c:pt>
                <c:pt idx="423">
                  <c:v>32.31</c:v>
                </c:pt>
                <c:pt idx="424">
                  <c:v>32.56</c:v>
                </c:pt>
                <c:pt idx="425">
                  <c:v>30.65</c:v>
                </c:pt>
                <c:pt idx="426">
                  <c:v>32.64</c:v>
                </c:pt>
                <c:pt idx="427">
                  <c:v>34.950000000000003</c:v>
                </c:pt>
                <c:pt idx="428">
                  <c:v>40.58</c:v>
                </c:pt>
                <c:pt idx="429">
                  <c:v>41.5</c:v>
                </c:pt>
                <c:pt idx="430">
                  <c:v>44.08</c:v>
                </c:pt>
                <c:pt idx="431">
                  <c:v>41.95</c:v>
                </c:pt>
                <c:pt idx="432">
                  <c:v>48.26</c:v>
                </c:pt>
                <c:pt idx="433">
                  <c:v>44.51</c:v>
                </c:pt>
                <c:pt idx="434">
                  <c:v>41.11</c:v>
                </c:pt>
                <c:pt idx="435">
                  <c:v>42.41</c:v>
                </c:pt>
                <c:pt idx="436">
                  <c:v>43.05</c:v>
                </c:pt>
                <c:pt idx="437">
                  <c:v>46.64</c:v>
                </c:pt>
                <c:pt idx="438">
                  <c:v>46.07</c:v>
                </c:pt>
                <c:pt idx="439">
                  <c:v>46.26</c:v>
                </c:pt>
                <c:pt idx="440">
                  <c:v>49.22</c:v>
                </c:pt>
                <c:pt idx="442">
                  <c:v>43.76</c:v>
                </c:pt>
                <c:pt idx="443">
                  <c:v>38.99</c:v>
                </c:pt>
                <c:pt idx="444">
                  <c:v>40.81</c:v>
                </c:pt>
                <c:pt idx="445">
                  <c:v>35.520000000000003</c:v>
                </c:pt>
                <c:pt idx="446">
                  <c:v>32.9</c:v>
                </c:pt>
                <c:pt idx="447">
                  <c:v>29.71</c:v>
                </c:pt>
                <c:pt idx="448">
                  <c:v>25.96</c:v>
                </c:pt>
                <c:pt idx="449">
                  <c:v>14.76</c:v>
                </c:pt>
                <c:pt idx="450">
                  <c:v>22.1</c:v>
                </c:pt>
                <c:pt idx="451">
                  <c:v>29.03</c:v>
                </c:pt>
                <c:pt idx="452">
                  <c:v>28.94</c:v>
                </c:pt>
                <c:pt idx="453">
                  <c:v>28.23</c:v>
                </c:pt>
                <c:pt idx="454">
                  <c:v>32.29</c:v>
                </c:pt>
                <c:pt idx="455">
                  <c:v>32.67</c:v>
                </c:pt>
                <c:pt idx="456">
                  <c:v>31.83</c:v>
                </c:pt>
                <c:pt idx="457">
                  <c:v>41.18</c:v>
                </c:pt>
                <c:pt idx="458">
                  <c:v>43.95</c:v>
                </c:pt>
                <c:pt idx="459">
                  <c:v>42.15</c:v>
                </c:pt>
                <c:pt idx="460">
                  <c:v>45.86</c:v>
                </c:pt>
                <c:pt idx="461">
                  <c:v>48.63</c:v>
                </c:pt>
                <c:pt idx="462">
                  <c:v>56.36</c:v>
                </c:pt>
                <c:pt idx="463">
                  <c:v>62.14</c:v>
                </c:pt>
                <c:pt idx="464">
                  <c:v>58.96</c:v>
                </c:pt>
                <c:pt idx="465">
                  <c:v>61.51</c:v>
                </c:pt>
                <c:pt idx="466">
                  <c:v>56.46</c:v>
                </c:pt>
                <c:pt idx="467">
                  <c:v>54.44</c:v>
                </c:pt>
                <c:pt idx="468">
                  <c:v>56.83</c:v>
                </c:pt>
                <c:pt idx="469">
                  <c:v>51.35</c:v>
                </c:pt>
                <c:pt idx="470">
                  <c:v>45.38</c:v>
                </c:pt>
                <c:pt idx="471">
                  <c:v>42.55</c:v>
                </c:pt>
                <c:pt idx="472">
                  <c:v>44.12</c:v>
                </c:pt>
                <c:pt idx="473">
                  <c:v>46.23</c:v>
                </c:pt>
                <c:pt idx="474">
                  <c:v>55.21</c:v>
                </c:pt>
                <c:pt idx="475">
                  <c:v>57.43</c:v>
                </c:pt>
                <c:pt idx="476">
                  <c:v>54.64</c:v>
                </c:pt>
                <c:pt idx="477">
                  <c:v>62.88</c:v>
                </c:pt>
                <c:pt idx="478">
                  <c:v>60.86</c:v>
                </c:pt>
                <c:pt idx="479">
                  <c:v>64.45</c:v>
                </c:pt>
                <c:pt idx="480">
                  <c:v>70.260000000000005</c:v>
                </c:pt>
                <c:pt idx="481">
                  <c:v>69.760000000000005</c:v>
                </c:pt>
                <c:pt idx="482">
                  <c:v>69.31</c:v>
                </c:pt>
                <c:pt idx="483">
                  <c:v>67.47</c:v>
                </c:pt>
                <c:pt idx="484">
                  <c:v>67.650000000000006</c:v>
                </c:pt>
                <c:pt idx="485">
                  <c:v>66.790000000000006</c:v>
                </c:pt>
                <c:pt idx="486">
                  <c:v>69.010000000000005</c:v>
                </c:pt>
                <c:pt idx="487">
                  <c:v>65.930000000000007</c:v>
                </c:pt>
                <c:pt idx="488">
                  <c:v>56.22</c:v>
                </c:pt>
                <c:pt idx="489">
                  <c:v>58.11</c:v>
                </c:pt>
                <c:pt idx="490">
                  <c:v>55.54</c:v>
                </c:pt>
                <c:pt idx="492">
                  <c:v>54.29</c:v>
                </c:pt>
                <c:pt idx="493">
                  <c:v>51.56</c:v>
                </c:pt>
                <c:pt idx="494">
                  <c:v>57.15</c:v>
                </c:pt>
                <c:pt idx="495">
                  <c:v>65.290000000000006</c:v>
                </c:pt>
                <c:pt idx="496">
                  <c:v>65.25</c:v>
                </c:pt>
                <c:pt idx="497">
                  <c:v>71.34</c:v>
                </c:pt>
                <c:pt idx="498">
                  <c:v>75.680000000000007</c:v>
                </c:pt>
                <c:pt idx="499">
                  <c:v>72.78</c:v>
                </c:pt>
                <c:pt idx="500">
                  <c:v>60.47</c:v>
                </c:pt>
                <c:pt idx="501">
                  <c:v>58.92</c:v>
                </c:pt>
                <c:pt idx="502">
                  <c:v>59.13</c:v>
                </c:pt>
                <c:pt idx="503">
                  <c:v>54.08</c:v>
                </c:pt>
                <c:pt idx="504">
                  <c:v>56.15</c:v>
                </c:pt>
                <c:pt idx="505">
                  <c:v>55.51</c:v>
                </c:pt>
                <c:pt idx="506">
                  <c:v>65.55</c:v>
                </c:pt>
                <c:pt idx="508">
                  <c:v>61.89</c:v>
                </c:pt>
                <c:pt idx="509">
                  <c:v>61.42</c:v>
                </c:pt>
                <c:pt idx="510">
                  <c:v>58.93</c:v>
                </c:pt>
                <c:pt idx="511">
                  <c:v>61.05</c:v>
                </c:pt>
                <c:pt idx="512">
                  <c:v>60.8</c:v>
                </c:pt>
                <c:pt idx="513">
                  <c:v>58.79</c:v>
                </c:pt>
                <c:pt idx="515">
                  <c:v>54.64</c:v>
                </c:pt>
                <c:pt idx="516">
                  <c:v>55.12</c:v>
                </c:pt>
                <c:pt idx="518">
                  <c:v>54.86</c:v>
                </c:pt>
                <c:pt idx="519">
                  <c:v>57.78</c:v>
                </c:pt>
                <c:pt idx="520">
                  <c:v>53.91</c:v>
                </c:pt>
                <c:pt idx="521">
                  <c:v>52.03</c:v>
                </c:pt>
                <c:pt idx="522">
                  <c:v>57.22</c:v>
                </c:pt>
                <c:pt idx="523">
                  <c:v>49.25</c:v>
                </c:pt>
                <c:pt idx="524">
                  <c:v>46.44</c:v>
                </c:pt>
                <c:pt idx="525">
                  <c:v>45.22</c:v>
                </c:pt>
                <c:pt idx="526">
                  <c:v>49.94</c:v>
                </c:pt>
                <c:pt idx="527">
                  <c:v>41.84</c:v>
                </c:pt>
                <c:pt idx="528">
                  <c:v>47.16</c:v>
                </c:pt>
                <c:pt idx="529">
                  <c:v>57.16</c:v>
                </c:pt>
                <c:pt idx="530">
                  <c:v>58.89</c:v>
                </c:pt>
                <c:pt idx="531">
                  <c:v>55.09</c:v>
                </c:pt>
                <c:pt idx="533">
                  <c:v>57.31</c:v>
                </c:pt>
                <c:pt idx="534">
                  <c:v>56.12</c:v>
                </c:pt>
                <c:pt idx="535">
                  <c:v>60.65</c:v>
                </c:pt>
                <c:pt idx="536">
                  <c:v>65.709999999999994</c:v>
                </c:pt>
                <c:pt idx="537">
                  <c:v>68.77</c:v>
                </c:pt>
                <c:pt idx="538">
                  <c:v>74.540000000000006</c:v>
                </c:pt>
                <c:pt idx="539">
                  <c:v>77.739999999999995</c:v>
                </c:pt>
                <c:pt idx="540">
                  <c:v>75.03</c:v>
                </c:pt>
                <c:pt idx="541">
                  <c:v>78.430000000000007</c:v>
                </c:pt>
                <c:pt idx="542">
                  <c:v>73.849999999999994</c:v>
                </c:pt>
                <c:pt idx="543">
                  <c:v>70.8</c:v>
                </c:pt>
                <c:pt idx="544">
                  <c:v>64.599999999999994</c:v>
                </c:pt>
                <c:pt idx="545">
                  <c:v>68.17</c:v>
                </c:pt>
                <c:pt idx="546">
                  <c:v>69.099999999999994</c:v>
                </c:pt>
                <c:pt idx="547">
                  <c:v>66.989999999999995</c:v>
                </c:pt>
                <c:pt idx="548">
                  <c:v>66.39</c:v>
                </c:pt>
                <c:pt idx="549">
                  <c:v>70.62</c:v>
                </c:pt>
                <c:pt idx="550">
                  <c:v>68.13</c:v>
                </c:pt>
                <c:pt idx="551">
                  <c:v>76.8</c:v>
                </c:pt>
                <c:pt idx="552">
                  <c:v>74.290000000000006</c:v>
                </c:pt>
                <c:pt idx="553">
                  <c:v>70.84</c:v>
                </c:pt>
                <c:pt idx="554">
                  <c:v>72.67</c:v>
                </c:pt>
                <c:pt idx="555">
                  <c:v>70.790000000000006</c:v>
                </c:pt>
                <c:pt idx="556">
                  <c:v>66.930000000000007</c:v>
                </c:pt>
                <c:pt idx="557">
                  <c:v>69.14</c:v>
                </c:pt>
                <c:pt idx="558">
                  <c:v>63.3</c:v>
                </c:pt>
                <c:pt idx="559">
                  <c:v>65.28</c:v>
                </c:pt>
                <c:pt idx="561">
                  <c:v>59.5</c:v>
                </c:pt>
                <c:pt idx="562">
                  <c:v>65.58</c:v>
                </c:pt>
                <c:pt idx="563">
                  <c:v>58.56</c:v>
                </c:pt>
                <c:pt idx="564">
                  <c:v>57.84</c:v>
                </c:pt>
                <c:pt idx="565">
                  <c:v>56.17</c:v>
                </c:pt>
                <c:pt idx="566">
                  <c:v>62.19</c:v>
                </c:pt>
                <c:pt idx="567">
                  <c:v>55.48</c:v>
                </c:pt>
                <c:pt idx="568">
                  <c:v>57.57</c:v>
                </c:pt>
                <c:pt idx="569">
                  <c:v>62.32</c:v>
                </c:pt>
                <c:pt idx="570">
                  <c:v>63.41</c:v>
                </c:pt>
                <c:pt idx="571">
                  <c:v>61.98</c:v>
                </c:pt>
                <c:pt idx="572">
                  <c:v>64.55</c:v>
                </c:pt>
                <c:pt idx="573">
                  <c:v>64.52</c:v>
                </c:pt>
                <c:pt idx="576">
                  <c:v>59.39</c:v>
                </c:pt>
                <c:pt idx="577">
                  <c:v>46.17</c:v>
                </c:pt>
                <c:pt idx="578">
                  <c:v>43.21</c:v>
                </c:pt>
                <c:pt idx="579">
                  <c:v>44.08</c:v>
                </c:pt>
                <c:pt idx="580">
                  <c:v>47.74</c:v>
                </c:pt>
                <c:pt idx="581">
                  <c:v>37.700000000000003</c:v>
                </c:pt>
                <c:pt idx="582">
                  <c:v>38.340000000000003</c:v>
                </c:pt>
                <c:pt idx="583">
                  <c:v>34.549999999999997</c:v>
                </c:pt>
                <c:pt idx="584">
                  <c:v>38.020000000000003</c:v>
                </c:pt>
                <c:pt idx="585">
                  <c:v>38.68</c:v>
                </c:pt>
                <c:pt idx="586">
                  <c:v>35.35</c:v>
                </c:pt>
                <c:pt idx="587">
                  <c:v>36.67</c:v>
                </c:pt>
                <c:pt idx="588">
                  <c:v>37.72</c:v>
                </c:pt>
                <c:pt idx="589">
                  <c:v>36.51</c:v>
                </c:pt>
                <c:pt idx="590">
                  <c:v>38.1</c:v>
                </c:pt>
                <c:pt idx="591">
                  <c:v>35.090000000000003</c:v>
                </c:pt>
                <c:pt idx="592">
                  <c:v>33.380000000000003</c:v>
                </c:pt>
                <c:pt idx="593">
                  <c:v>39.950000000000003</c:v>
                </c:pt>
                <c:pt idx="594">
                  <c:v>46.07</c:v>
                </c:pt>
                <c:pt idx="595">
                  <c:v>46.7</c:v>
                </c:pt>
                <c:pt idx="596">
                  <c:v>47.98</c:v>
                </c:pt>
                <c:pt idx="597">
                  <c:v>49.98</c:v>
                </c:pt>
                <c:pt idx="598">
                  <c:v>50.97</c:v>
                </c:pt>
                <c:pt idx="599">
                  <c:v>50.41</c:v>
                </c:pt>
                <c:pt idx="600">
                  <c:v>50.91</c:v>
                </c:pt>
                <c:pt idx="601">
                  <c:v>55.11</c:v>
                </c:pt>
                <c:pt idx="602">
                  <c:v>56.8</c:v>
                </c:pt>
                <c:pt idx="603">
                  <c:v>66.19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53-4415-9E41-C4965722E935}"/>
            </c:ext>
          </c:extLst>
        </c:ser>
        <c:ser>
          <c:idx val="1"/>
          <c:order val="1"/>
          <c:tx>
            <c:strRef>
              <c:f>'미국 RSI'!$G$1</c:f>
              <c:strCache>
                <c:ptCount val="1"/>
                <c:pt idx="0">
                  <c:v>산업재(US)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RSI'!$G$69:$G$3068</c:f>
              <c:numCache>
                <c:formatCode>0.00</c:formatCode>
                <c:ptCount val="3000"/>
                <c:pt idx="0">
                  <c:v>54.82</c:v>
                </c:pt>
                <c:pt idx="1">
                  <c:v>59.13</c:v>
                </c:pt>
                <c:pt idx="2">
                  <c:v>49.94</c:v>
                </c:pt>
                <c:pt idx="3">
                  <c:v>52.39</c:v>
                </c:pt>
                <c:pt idx="4">
                  <c:v>56.12</c:v>
                </c:pt>
                <c:pt idx="5">
                  <c:v>56.05</c:v>
                </c:pt>
                <c:pt idx="6">
                  <c:v>59.9</c:v>
                </c:pt>
                <c:pt idx="7">
                  <c:v>54.38</c:v>
                </c:pt>
                <c:pt idx="8">
                  <c:v>55.32</c:v>
                </c:pt>
                <c:pt idx="9">
                  <c:v>61.32</c:v>
                </c:pt>
                <c:pt idx="10">
                  <c:v>60.69</c:v>
                </c:pt>
                <c:pt idx="11">
                  <c:v>55.18</c:v>
                </c:pt>
                <c:pt idx="12">
                  <c:v>57.17</c:v>
                </c:pt>
                <c:pt idx="13">
                  <c:v>62.51</c:v>
                </c:pt>
                <c:pt idx="14">
                  <c:v>61.56</c:v>
                </c:pt>
                <c:pt idx="15">
                  <c:v>59.71</c:v>
                </c:pt>
                <c:pt idx="16">
                  <c:v>61.23</c:v>
                </c:pt>
                <c:pt idx="17">
                  <c:v>58.67</c:v>
                </c:pt>
                <c:pt idx="18">
                  <c:v>47.34</c:v>
                </c:pt>
                <c:pt idx="19">
                  <c:v>48</c:v>
                </c:pt>
                <c:pt idx="21">
                  <c:v>46.24</c:v>
                </c:pt>
                <c:pt idx="22">
                  <c:v>47.41</c:v>
                </c:pt>
                <c:pt idx="23">
                  <c:v>41.83</c:v>
                </c:pt>
                <c:pt idx="24">
                  <c:v>28.45</c:v>
                </c:pt>
                <c:pt idx="25">
                  <c:v>31.89</c:v>
                </c:pt>
                <c:pt idx="26">
                  <c:v>35.04</c:v>
                </c:pt>
                <c:pt idx="27">
                  <c:v>42.2</c:v>
                </c:pt>
                <c:pt idx="28">
                  <c:v>38.869999999999997</c:v>
                </c:pt>
                <c:pt idx="29">
                  <c:v>35.909999999999997</c:v>
                </c:pt>
                <c:pt idx="30">
                  <c:v>31.43</c:v>
                </c:pt>
                <c:pt idx="31">
                  <c:v>35.409999999999997</c:v>
                </c:pt>
                <c:pt idx="32">
                  <c:v>37.479999999999997</c:v>
                </c:pt>
                <c:pt idx="33">
                  <c:v>40.04</c:v>
                </c:pt>
                <c:pt idx="34">
                  <c:v>38.74</c:v>
                </c:pt>
                <c:pt idx="35">
                  <c:v>34.54</c:v>
                </c:pt>
                <c:pt idx="36">
                  <c:v>35.49</c:v>
                </c:pt>
                <c:pt idx="37">
                  <c:v>43.44</c:v>
                </c:pt>
                <c:pt idx="38">
                  <c:v>44.6</c:v>
                </c:pt>
                <c:pt idx="39">
                  <c:v>46.6</c:v>
                </c:pt>
                <c:pt idx="40">
                  <c:v>44.07</c:v>
                </c:pt>
                <c:pt idx="41">
                  <c:v>48.61</c:v>
                </c:pt>
                <c:pt idx="42">
                  <c:v>59.04</c:v>
                </c:pt>
                <c:pt idx="43">
                  <c:v>57.9</c:v>
                </c:pt>
                <c:pt idx="44">
                  <c:v>69.599999999999994</c:v>
                </c:pt>
                <c:pt idx="45">
                  <c:v>66.39</c:v>
                </c:pt>
                <c:pt idx="46">
                  <c:v>65.55</c:v>
                </c:pt>
                <c:pt idx="47">
                  <c:v>63.42</c:v>
                </c:pt>
                <c:pt idx="48">
                  <c:v>68.349999999999994</c:v>
                </c:pt>
                <c:pt idx="49">
                  <c:v>64.34</c:v>
                </c:pt>
                <c:pt idx="50">
                  <c:v>74.06</c:v>
                </c:pt>
                <c:pt idx="51">
                  <c:v>72.64</c:v>
                </c:pt>
                <c:pt idx="52">
                  <c:v>70.44</c:v>
                </c:pt>
                <c:pt idx="53">
                  <c:v>70.599999999999994</c:v>
                </c:pt>
                <c:pt idx="54">
                  <c:v>69.09</c:v>
                </c:pt>
                <c:pt idx="55">
                  <c:v>66.62</c:v>
                </c:pt>
                <c:pt idx="56">
                  <c:v>74.81</c:v>
                </c:pt>
                <c:pt idx="57">
                  <c:v>73.459999999999994</c:v>
                </c:pt>
                <c:pt idx="58">
                  <c:v>73.16</c:v>
                </c:pt>
                <c:pt idx="59">
                  <c:v>72.44</c:v>
                </c:pt>
                <c:pt idx="60">
                  <c:v>64.2</c:v>
                </c:pt>
                <c:pt idx="61">
                  <c:v>68.209999999999994</c:v>
                </c:pt>
                <c:pt idx="62">
                  <c:v>67.38</c:v>
                </c:pt>
                <c:pt idx="63">
                  <c:v>64.680000000000007</c:v>
                </c:pt>
                <c:pt idx="64">
                  <c:v>60.13</c:v>
                </c:pt>
                <c:pt idx="65">
                  <c:v>61.61</c:v>
                </c:pt>
                <c:pt idx="66">
                  <c:v>57.64</c:v>
                </c:pt>
                <c:pt idx="67">
                  <c:v>60.76</c:v>
                </c:pt>
                <c:pt idx="68">
                  <c:v>59.25</c:v>
                </c:pt>
                <c:pt idx="69">
                  <c:v>58.9</c:v>
                </c:pt>
                <c:pt idx="70">
                  <c:v>62.87</c:v>
                </c:pt>
                <c:pt idx="71">
                  <c:v>65.62</c:v>
                </c:pt>
                <c:pt idx="72">
                  <c:v>60.31</c:v>
                </c:pt>
                <c:pt idx="74">
                  <c:v>72.75</c:v>
                </c:pt>
                <c:pt idx="75">
                  <c:v>70.89</c:v>
                </c:pt>
                <c:pt idx="76">
                  <c:v>68.19</c:v>
                </c:pt>
                <c:pt idx="77">
                  <c:v>67.709999999999994</c:v>
                </c:pt>
                <c:pt idx="78">
                  <c:v>66.17</c:v>
                </c:pt>
                <c:pt idx="79">
                  <c:v>63.82</c:v>
                </c:pt>
                <c:pt idx="80">
                  <c:v>60.17</c:v>
                </c:pt>
                <c:pt idx="81">
                  <c:v>57.45</c:v>
                </c:pt>
                <c:pt idx="82">
                  <c:v>68.48</c:v>
                </c:pt>
                <c:pt idx="83">
                  <c:v>63.9</c:v>
                </c:pt>
                <c:pt idx="84">
                  <c:v>59.15</c:v>
                </c:pt>
                <c:pt idx="85">
                  <c:v>49.76</c:v>
                </c:pt>
                <c:pt idx="86">
                  <c:v>55.11</c:v>
                </c:pt>
                <c:pt idx="87">
                  <c:v>57.08</c:v>
                </c:pt>
                <c:pt idx="88">
                  <c:v>58.55</c:v>
                </c:pt>
                <c:pt idx="89">
                  <c:v>59.77</c:v>
                </c:pt>
                <c:pt idx="90">
                  <c:v>58.36</c:v>
                </c:pt>
                <c:pt idx="91">
                  <c:v>58.58</c:v>
                </c:pt>
                <c:pt idx="92">
                  <c:v>55.41</c:v>
                </c:pt>
                <c:pt idx="93">
                  <c:v>51.57</c:v>
                </c:pt>
                <c:pt idx="94">
                  <c:v>48.46</c:v>
                </c:pt>
                <c:pt idx="95">
                  <c:v>57.05</c:v>
                </c:pt>
                <c:pt idx="96">
                  <c:v>60.72</c:v>
                </c:pt>
                <c:pt idx="97">
                  <c:v>60.08</c:v>
                </c:pt>
                <c:pt idx="98">
                  <c:v>63.92</c:v>
                </c:pt>
                <c:pt idx="99">
                  <c:v>59.91</c:v>
                </c:pt>
                <c:pt idx="100">
                  <c:v>51.51</c:v>
                </c:pt>
                <c:pt idx="101">
                  <c:v>55.9</c:v>
                </c:pt>
                <c:pt idx="102">
                  <c:v>56.65</c:v>
                </c:pt>
                <c:pt idx="103">
                  <c:v>58.3</c:v>
                </c:pt>
                <c:pt idx="104">
                  <c:v>56.09</c:v>
                </c:pt>
                <c:pt idx="105">
                  <c:v>51.79</c:v>
                </c:pt>
                <c:pt idx="106">
                  <c:v>47.44</c:v>
                </c:pt>
                <c:pt idx="107">
                  <c:v>55.35</c:v>
                </c:pt>
                <c:pt idx="109">
                  <c:v>52.44</c:v>
                </c:pt>
                <c:pt idx="110">
                  <c:v>49.41</c:v>
                </c:pt>
                <c:pt idx="111">
                  <c:v>41.91</c:v>
                </c:pt>
                <c:pt idx="112">
                  <c:v>40.33</c:v>
                </c:pt>
                <c:pt idx="113">
                  <c:v>31.96</c:v>
                </c:pt>
                <c:pt idx="114">
                  <c:v>39.08</c:v>
                </c:pt>
                <c:pt idx="115">
                  <c:v>36.47</c:v>
                </c:pt>
                <c:pt idx="116">
                  <c:v>38.53</c:v>
                </c:pt>
                <c:pt idx="117">
                  <c:v>43.6</c:v>
                </c:pt>
                <c:pt idx="118">
                  <c:v>43.55</c:v>
                </c:pt>
                <c:pt idx="119">
                  <c:v>53.26</c:v>
                </c:pt>
                <c:pt idx="120">
                  <c:v>52.65</c:v>
                </c:pt>
                <c:pt idx="121">
                  <c:v>52.49</c:v>
                </c:pt>
                <c:pt idx="122">
                  <c:v>49.13</c:v>
                </c:pt>
                <c:pt idx="123">
                  <c:v>46.12</c:v>
                </c:pt>
                <c:pt idx="124">
                  <c:v>48.31</c:v>
                </c:pt>
                <c:pt idx="125">
                  <c:v>46.01</c:v>
                </c:pt>
                <c:pt idx="126">
                  <c:v>52.6</c:v>
                </c:pt>
                <c:pt idx="127">
                  <c:v>55.32</c:v>
                </c:pt>
                <c:pt idx="128">
                  <c:v>54.08</c:v>
                </c:pt>
                <c:pt idx="129">
                  <c:v>55.58</c:v>
                </c:pt>
                <c:pt idx="130">
                  <c:v>54.38</c:v>
                </c:pt>
                <c:pt idx="131">
                  <c:v>58.47</c:v>
                </c:pt>
                <c:pt idx="132">
                  <c:v>56.03</c:v>
                </c:pt>
                <c:pt idx="133">
                  <c:v>55.68</c:v>
                </c:pt>
                <c:pt idx="134">
                  <c:v>50.17</c:v>
                </c:pt>
                <c:pt idx="135">
                  <c:v>57.1</c:v>
                </c:pt>
                <c:pt idx="136">
                  <c:v>53.02</c:v>
                </c:pt>
                <c:pt idx="137">
                  <c:v>46.84</c:v>
                </c:pt>
                <c:pt idx="138">
                  <c:v>46.37</c:v>
                </c:pt>
                <c:pt idx="139">
                  <c:v>49.53</c:v>
                </c:pt>
                <c:pt idx="140">
                  <c:v>51.63</c:v>
                </c:pt>
                <c:pt idx="141">
                  <c:v>45.69</c:v>
                </c:pt>
                <c:pt idx="142">
                  <c:v>39.67</c:v>
                </c:pt>
                <c:pt idx="143">
                  <c:v>51.11</c:v>
                </c:pt>
                <c:pt idx="144">
                  <c:v>62.46</c:v>
                </c:pt>
                <c:pt idx="145">
                  <c:v>57.33</c:v>
                </c:pt>
                <c:pt idx="146">
                  <c:v>62.54</c:v>
                </c:pt>
                <c:pt idx="147">
                  <c:v>59.76</c:v>
                </c:pt>
                <c:pt idx="148">
                  <c:v>58.94</c:v>
                </c:pt>
                <c:pt idx="149">
                  <c:v>57.4</c:v>
                </c:pt>
                <c:pt idx="150">
                  <c:v>59.63</c:v>
                </c:pt>
                <c:pt idx="151">
                  <c:v>55.18</c:v>
                </c:pt>
                <c:pt idx="152">
                  <c:v>53.28</c:v>
                </c:pt>
                <c:pt idx="153">
                  <c:v>47.25</c:v>
                </c:pt>
                <c:pt idx="154">
                  <c:v>51.96</c:v>
                </c:pt>
                <c:pt idx="155">
                  <c:v>55.94</c:v>
                </c:pt>
                <c:pt idx="156">
                  <c:v>55.78</c:v>
                </c:pt>
                <c:pt idx="157">
                  <c:v>56.34</c:v>
                </c:pt>
                <c:pt idx="158">
                  <c:v>55.04</c:v>
                </c:pt>
                <c:pt idx="159">
                  <c:v>48.85</c:v>
                </c:pt>
                <c:pt idx="160">
                  <c:v>51.68</c:v>
                </c:pt>
                <c:pt idx="161">
                  <c:v>53.56</c:v>
                </c:pt>
                <c:pt idx="162">
                  <c:v>50.98</c:v>
                </c:pt>
                <c:pt idx="163">
                  <c:v>56.01</c:v>
                </c:pt>
                <c:pt idx="164">
                  <c:v>50.68</c:v>
                </c:pt>
                <c:pt idx="165">
                  <c:v>46</c:v>
                </c:pt>
                <c:pt idx="166">
                  <c:v>50.05</c:v>
                </c:pt>
                <c:pt idx="167">
                  <c:v>48.65</c:v>
                </c:pt>
                <c:pt idx="168">
                  <c:v>50.83</c:v>
                </c:pt>
                <c:pt idx="169">
                  <c:v>43.77</c:v>
                </c:pt>
                <c:pt idx="170">
                  <c:v>46.56</c:v>
                </c:pt>
                <c:pt idx="172">
                  <c:v>52.49</c:v>
                </c:pt>
                <c:pt idx="173">
                  <c:v>59.32</c:v>
                </c:pt>
                <c:pt idx="174">
                  <c:v>58.36</c:v>
                </c:pt>
                <c:pt idx="175">
                  <c:v>58.46</c:v>
                </c:pt>
                <c:pt idx="176">
                  <c:v>52.89</c:v>
                </c:pt>
                <c:pt idx="177">
                  <c:v>60.24</c:v>
                </c:pt>
                <c:pt idx="178">
                  <c:v>49.83</c:v>
                </c:pt>
                <c:pt idx="179">
                  <c:v>52.64</c:v>
                </c:pt>
                <c:pt idx="180">
                  <c:v>53.36</c:v>
                </c:pt>
                <c:pt idx="181">
                  <c:v>51.92</c:v>
                </c:pt>
                <c:pt idx="182">
                  <c:v>49.3</c:v>
                </c:pt>
                <c:pt idx="183">
                  <c:v>52.39</c:v>
                </c:pt>
                <c:pt idx="184">
                  <c:v>59.13</c:v>
                </c:pt>
                <c:pt idx="185">
                  <c:v>56.92</c:v>
                </c:pt>
                <c:pt idx="186">
                  <c:v>50.2</c:v>
                </c:pt>
                <c:pt idx="187">
                  <c:v>52.59</c:v>
                </c:pt>
                <c:pt idx="188">
                  <c:v>52.07</c:v>
                </c:pt>
                <c:pt idx="189">
                  <c:v>53.06</c:v>
                </c:pt>
                <c:pt idx="190">
                  <c:v>52.61</c:v>
                </c:pt>
                <c:pt idx="191">
                  <c:v>53.86</c:v>
                </c:pt>
                <c:pt idx="192">
                  <c:v>48.8</c:v>
                </c:pt>
                <c:pt idx="193">
                  <c:v>58.62</c:v>
                </c:pt>
                <c:pt idx="194">
                  <c:v>58.59</c:v>
                </c:pt>
                <c:pt idx="195">
                  <c:v>62.15</c:v>
                </c:pt>
                <c:pt idx="196">
                  <c:v>71.650000000000006</c:v>
                </c:pt>
                <c:pt idx="197">
                  <c:v>74.540000000000006</c:v>
                </c:pt>
                <c:pt idx="198">
                  <c:v>71.12</c:v>
                </c:pt>
                <c:pt idx="199">
                  <c:v>72.67</c:v>
                </c:pt>
                <c:pt idx="200">
                  <c:v>65.36</c:v>
                </c:pt>
                <c:pt idx="201">
                  <c:v>64.180000000000007</c:v>
                </c:pt>
                <c:pt idx="202">
                  <c:v>69.03</c:v>
                </c:pt>
                <c:pt idx="203">
                  <c:v>71.16</c:v>
                </c:pt>
                <c:pt idx="204">
                  <c:v>67.34</c:v>
                </c:pt>
                <c:pt idx="205">
                  <c:v>65.739999999999995</c:v>
                </c:pt>
                <c:pt idx="206">
                  <c:v>72.83</c:v>
                </c:pt>
                <c:pt idx="207">
                  <c:v>70.72</c:v>
                </c:pt>
                <c:pt idx="208">
                  <c:v>74.28</c:v>
                </c:pt>
                <c:pt idx="209">
                  <c:v>72.27</c:v>
                </c:pt>
                <c:pt idx="210">
                  <c:v>69.52</c:v>
                </c:pt>
                <c:pt idx="211">
                  <c:v>69.77</c:v>
                </c:pt>
                <c:pt idx="213">
                  <c:v>72.89</c:v>
                </c:pt>
                <c:pt idx="214">
                  <c:v>69.86</c:v>
                </c:pt>
                <c:pt idx="215">
                  <c:v>69.48</c:v>
                </c:pt>
                <c:pt idx="216">
                  <c:v>68.27</c:v>
                </c:pt>
                <c:pt idx="217">
                  <c:v>66.44</c:v>
                </c:pt>
                <c:pt idx="218">
                  <c:v>62.44</c:v>
                </c:pt>
                <c:pt idx="219">
                  <c:v>57.35</c:v>
                </c:pt>
                <c:pt idx="220">
                  <c:v>63.95</c:v>
                </c:pt>
                <c:pt idx="221">
                  <c:v>59.94</c:v>
                </c:pt>
                <c:pt idx="222">
                  <c:v>54.05</c:v>
                </c:pt>
                <c:pt idx="224">
                  <c:v>53.36</c:v>
                </c:pt>
                <c:pt idx="225">
                  <c:v>54.98</c:v>
                </c:pt>
                <c:pt idx="226">
                  <c:v>60.36</c:v>
                </c:pt>
                <c:pt idx="227">
                  <c:v>56.8</c:v>
                </c:pt>
                <c:pt idx="228">
                  <c:v>63.33</c:v>
                </c:pt>
                <c:pt idx="229">
                  <c:v>65.53</c:v>
                </c:pt>
                <c:pt idx="230">
                  <c:v>65.319999999999993</c:v>
                </c:pt>
                <c:pt idx="231">
                  <c:v>68.75</c:v>
                </c:pt>
                <c:pt idx="232">
                  <c:v>69.45</c:v>
                </c:pt>
                <c:pt idx="233">
                  <c:v>66.510000000000005</c:v>
                </c:pt>
                <c:pt idx="234">
                  <c:v>67</c:v>
                </c:pt>
                <c:pt idx="235">
                  <c:v>66.819999999999993</c:v>
                </c:pt>
                <c:pt idx="236">
                  <c:v>64.28</c:v>
                </c:pt>
                <c:pt idx="237">
                  <c:v>65.040000000000006</c:v>
                </c:pt>
                <c:pt idx="238">
                  <c:v>64.84</c:v>
                </c:pt>
                <c:pt idx="239">
                  <c:v>64.58</c:v>
                </c:pt>
                <c:pt idx="240">
                  <c:v>67.11</c:v>
                </c:pt>
                <c:pt idx="242">
                  <c:v>62.33</c:v>
                </c:pt>
                <c:pt idx="243">
                  <c:v>63.93</c:v>
                </c:pt>
                <c:pt idx="244">
                  <c:v>64.03</c:v>
                </c:pt>
                <c:pt idx="245">
                  <c:v>72.510000000000005</c:v>
                </c:pt>
                <c:pt idx="246">
                  <c:v>74.47</c:v>
                </c:pt>
                <c:pt idx="247">
                  <c:v>73.849999999999994</c:v>
                </c:pt>
                <c:pt idx="248">
                  <c:v>71.75</c:v>
                </c:pt>
                <c:pt idx="249">
                  <c:v>69.569999999999993</c:v>
                </c:pt>
                <c:pt idx="250">
                  <c:v>71.819999999999993</c:v>
                </c:pt>
                <c:pt idx="251">
                  <c:v>70.540000000000006</c:v>
                </c:pt>
                <c:pt idx="252">
                  <c:v>64.09</c:v>
                </c:pt>
                <c:pt idx="253">
                  <c:v>63.9</c:v>
                </c:pt>
                <c:pt idx="254">
                  <c:v>60.6</c:v>
                </c:pt>
                <c:pt idx="255">
                  <c:v>59.33</c:v>
                </c:pt>
                <c:pt idx="256">
                  <c:v>62.58</c:v>
                </c:pt>
                <c:pt idx="257">
                  <c:v>62.46</c:v>
                </c:pt>
                <c:pt idx="258">
                  <c:v>58.52</c:v>
                </c:pt>
                <c:pt idx="259">
                  <c:v>56.76</c:v>
                </c:pt>
                <c:pt idx="260">
                  <c:v>55.07</c:v>
                </c:pt>
                <c:pt idx="261">
                  <c:v>53.57</c:v>
                </c:pt>
                <c:pt idx="262">
                  <c:v>52.82</c:v>
                </c:pt>
                <c:pt idx="263">
                  <c:v>52.84</c:v>
                </c:pt>
                <c:pt idx="264">
                  <c:v>48.09</c:v>
                </c:pt>
                <c:pt idx="265">
                  <c:v>45.27</c:v>
                </c:pt>
                <c:pt idx="266">
                  <c:v>41.19</c:v>
                </c:pt>
                <c:pt idx="268">
                  <c:v>45.31</c:v>
                </c:pt>
                <c:pt idx="269">
                  <c:v>44.05</c:v>
                </c:pt>
                <c:pt idx="270">
                  <c:v>46.57</c:v>
                </c:pt>
                <c:pt idx="271">
                  <c:v>47.49</c:v>
                </c:pt>
                <c:pt idx="272">
                  <c:v>45.41</c:v>
                </c:pt>
                <c:pt idx="273">
                  <c:v>41.85</c:v>
                </c:pt>
                <c:pt idx="274">
                  <c:v>46.03</c:v>
                </c:pt>
                <c:pt idx="275">
                  <c:v>23.58</c:v>
                </c:pt>
                <c:pt idx="276">
                  <c:v>24.47</c:v>
                </c:pt>
                <c:pt idx="277">
                  <c:v>24.97</c:v>
                </c:pt>
                <c:pt idx="278">
                  <c:v>34.19</c:v>
                </c:pt>
                <c:pt idx="279">
                  <c:v>49.7</c:v>
                </c:pt>
                <c:pt idx="280">
                  <c:v>45.77</c:v>
                </c:pt>
                <c:pt idx="281">
                  <c:v>43.31</c:v>
                </c:pt>
                <c:pt idx="282">
                  <c:v>40.18</c:v>
                </c:pt>
                <c:pt idx="283">
                  <c:v>47.42</c:v>
                </c:pt>
                <c:pt idx="284">
                  <c:v>49.57</c:v>
                </c:pt>
                <c:pt idx="285">
                  <c:v>52.33</c:v>
                </c:pt>
                <c:pt idx="286">
                  <c:v>51.77</c:v>
                </c:pt>
                <c:pt idx="287">
                  <c:v>45.72</c:v>
                </c:pt>
                <c:pt idx="288">
                  <c:v>47.65</c:v>
                </c:pt>
                <c:pt idx="289">
                  <c:v>49.48</c:v>
                </c:pt>
                <c:pt idx="290">
                  <c:v>44.29</c:v>
                </c:pt>
                <c:pt idx="291">
                  <c:v>47.01</c:v>
                </c:pt>
                <c:pt idx="292">
                  <c:v>41.3</c:v>
                </c:pt>
                <c:pt idx="293">
                  <c:v>32.53</c:v>
                </c:pt>
                <c:pt idx="294">
                  <c:v>35.299999999999997</c:v>
                </c:pt>
                <c:pt idx="295">
                  <c:v>35.32</c:v>
                </c:pt>
                <c:pt idx="296">
                  <c:v>39.79</c:v>
                </c:pt>
                <c:pt idx="297">
                  <c:v>45.28</c:v>
                </c:pt>
                <c:pt idx="298">
                  <c:v>39.56</c:v>
                </c:pt>
                <c:pt idx="299">
                  <c:v>42.63</c:v>
                </c:pt>
                <c:pt idx="300">
                  <c:v>34.03</c:v>
                </c:pt>
                <c:pt idx="301">
                  <c:v>41.27</c:v>
                </c:pt>
                <c:pt idx="302">
                  <c:v>48.33</c:v>
                </c:pt>
                <c:pt idx="303">
                  <c:v>39.39</c:v>
                </c:pt>
                <c:pt idx="304">
                  <c:v>41.11</c:v>
                </c:pt>
                <c:pt idx="305">
                  <c:v>40.700000000000003</c:v>
                </c:pt>
                <c:pt idx="306">
                  <c:v>37.200000000000003</c:v>
                </c:pt>
                <c:pt idx="307">
                  <c:v>39.1</c:v>
                </c:pt>
                <c:pt idx="308">
                  <c:v>51.07</c:v>
                </c:pt>
                <c:pt idx="309">
                  <c:v>55.85</c:v>
                </c:pt>
                <c:pt idx="310">
                  <c:v>55.25</c:v>
                </c:pt>
                <c:pt idx="312">
                  <c:v>50.44</c:v>
                </c:pt>
                <c:pt idx="313">
                  <c:v>52.08</c:v>
                </c:pt>
                <c:pt idx="314">
                  <c:v>51.47</c:v>
                </c:pt>
                <c:pt idx="315">
                  <c:v>55.45</c:v>
                </c:pt>
                <c:pt idx="316">
                  <c:v>55.27</c:v>
                </c:pt>
                <c:pt idx="317">
                  <c:v>50.53</c:v>
                </c:pt>
                <c:pt idx="318">
                  <c:v>52.24</c:v>
                </c:pt>
                <c:pt idx="319">
                  <c:v>49.86</c:v>
                </c:pt>
                <c:pt idx="320">
                  <c:v>49.48</c:v>
                </c:pt>
                <c:pt idx="321">
                  <c:v>49.34</c:v>
                </c:pt>
                <c:pt idx="322">
                  <c:v>54.17</c:v>
                </c:pt>
                <c:pt idx="323">
                  <c:v>57.95</c:v>
                </c:pt>
                <c:pt idx="324">
                  <c:v>53.19</c:v>
                </c:pt>
                <c:pt idx="325">
                  <c:v>54.95</c:v>
                </c:pt>
                <c:pt idx="326">
                  <c:v>58.47</c:v>
                </c:pt>
                <c:pt idx="327">
                  <c:v>66.61</c:v>
                </c:pt>
                <c:pt idx="328">
                  <c:v>69.459999999999994</c:v>
                </c:pt>
                <c:pt idx="329">
                  <c:v>66.290000000000006</c:v>
                </c:pt>
                <c:pt idx="330">
                  <c:v>67.81</c:v>
                </c:pt>
                <c:pt idx="332">
                  <c:v>60.63</c:v>
                </c:pt>
                <c:pt idx="333">
                  <c:v>58.11</c:v>
                </c:pt>
                <c:pt idx="334">
                  <c:v>52.47</c:v>
                </c:pt>
                <c:pt idx="335">
                  <c:v>49.18</c:v>
                </c:pt>
                <c:pt idx="336">
                  <c:v>42.32</c:v>
                </c:pt>
                <c:pt idx="337">
                  <c:v>34.25</c:v>
                </c:pt>
                <c:pt idx="339">
                  <c:v>39.18</c:v>
                </c:pt>
                <c:pt idx="340">
                  <c:v>36.200000000000003</c:v>
                </c:pt>
                <c:pt idx="341">
                  <c:v>36.619999999999997</c:v>
                </c:pt>
                <c:pt idx="342">
                  <c:v>37.51</c:v>
                </c:pt>
                <c:pt idx="343">
                  <c:v>29.72</c:v>
                </c:pt>
                <c:pt idx="344">
                  <c:v>30.88</c:v>
                </c:pt>
                <c:pt idx="345">
                  <c:v>31.27</c:v>
                </c:pt>
                <c:pt idx="346">
                  <c:v>34.71</c:v>
                </c:pt>
                <c:pt idx="347">
                  <c:v>37.57</c:v>
                </c:pt>
                <c:pt idx="348">
                  <c:v>37.090000000000003</c:v>
                </c:pt>
                <c:pt idx="349">
                  <c:v>32.020000000000003</c:v>
                </c:pt>
                <c:pt idx="350">
                  <c:v>33.72</c:v>
                </c:pt>
                <c:pt idx="351">
                  <c:v>25.61</c:v>
                </c:pt>
                <c:pt idx="352">
                  <c:v>25.93</c:v>
                </c:pt>
                <c:pt idx="353">
                  <c:v>35.299999999999997</c:v>
                </c:pt>
                <c:pt idx="354">
                  <c:v>39.659999999999997</c:v>
                </c:pt>
                <c:pt idx="355">
                  <c:v>38.99</c:v>
                </c:pt>
                <c:pt idx="356">
                  <c:v>40.229999999999997</c:v>
                </c:pt>
                <c:pt idx="357">
                  <c:v>43.39</c:v>
                </c:pt>
                <c:pt idx="358">
                  <c:v>44.55</c:v>
                </c:pt>
                <c:pt idx="359">
                  <c:v>45.77</c:v>
                </c:pt>
                <c:pt idx="360">
                  <c:v>50.34</c:v>
                </c:pt>
                <c:pt idx="361">
                  <c:v>51.76</c:v>
                </c:pt>
                <c:pt idx="362">
                  <c:v>59.19</c:v>
                </c:pt>
                <c:pt idx="363">
                  <c:v>57.15</c:v>
                </c:pt>
                <c:pt idx="364">
                  <c:v>61.29</c:v>
                </c:pt>
                <c:pt idx="365">
                  <c:v>66.58</c:v>
                </c:pt>
                <c:pt idx="367">
                  <c:v>64.400000000000006</c:v>
                </c:pt>
                <c:pt idx="368">
                  <c:v>67.06</c:v>
                </c:pt>
                <c:pt idx="369">
                  <c:v>66.650000000000006</c:v>
                </c:pt>
                <c:pt idx="370">
                  <c:v>64.5</c:v>
                </c:pt>
                <c:pt idx="371">
                  <c:v>59.12</c:v>
                </c:pt>
                <c:pt idx="372">
                  <c:v>53.29</c:v>
                </c:pt>
                <c:pt idx="373">
                  <c:v>52.75</c:v>
                </c:pt>
                <c:pt idx="374">
                  <c:v>53.21</c:v>
                </c:pt>
                <c:pt idx="375">
                  <c:v>53.89</c:v>
                </c:pt>
                <c:pt idx="376">
                  <c:v>56.57</c:v>
                </c:pt>
                <c:pt idx="377">
                  <c:v>66.349999999999994</c:v>
                </c:pt>
                <c:pt idx="378">
                  <c:v>65.66</c:v>
                </c:pt>
                <c:pt idx="379">
                  <c:v>71.209999999999994</c:v>
                </c:pt>
                <c:pt idx="380">
                  <c:v>69.040000000000006</c:v>
                </c:pt>
                <c:pt idx="381">
                  <c:v>65.739999999999995</c:v>
                </c:pt>
                <c:pt idx="382">
                  <c:v>69.61</c:v>
                </c:pt>
                <c:pt idx="383">
                  <c:v>53.72</c:v>
                </c:pt>
                <c:pt idx="384">
                  <c:v>41.86</c:v>
                </c:pt>
                <c:pt idx="385">
                  <c:v>42.54</c:v>
                </c:pt>
                <c:pt idx="386">
                  <c:v>41.48</c:v>
                </c:pt>
                <c:pt idx="387">
                  <c:v>48.68</c:v>
                </c:pt>
                <c:pt idx="388">
                  <c:v>49.87</c:v>
                </c:pt>
                <c:pt idx="389">
                  <c:v>50.77</c:v>
                </c:pt>
                <c:pt idx="390">
                  <c:v>48.87</c:v>
                </c:pt>
                <c:pt idx="391">
                  <c:v>50.5</c:v>
                </c:pt>
                <c:pt idx="392">
                  <c:v>54.94</c:v>
                </c:pt>
                <c:pt idx="393">
                  <c:v>56.91</c:v>
                </c:pt>
                <c:pt idx="394">
                  <c:v>66.209999999999994</c:v>
                </c:pt>
                <c:pt idx="395">
                  <c:v>69.28</c:v>
                </c:pt>
                <c:pt idx="396">
                  <c:v>68.099999999999994</c:v>
                </c:pt>
                <c:pt idx="397">
                  <c:v>70.48</c:v>
                </c:pt>
                <c:pt idx="398">
                  <c:v>67.67</c:v>
                </c:pt>
                <c:pt idx="399">
                  <c:v>74.239999999999995</c:v>
                </c:pt>
                <c:pt idx="400">
                  <c:v>72.3</c:v>
                </c:pt>
                <c:pt idx="401">
                  <c:v>65.19</c:v>
                </c:pt>
                <c:pt idx="402">
                  <c:v>70</c:v>
                </c:pt>
                <c:pt idx="403">
                  <c:v>65.97</c:v>
                </c:pt>
                <c:pt idx="404">
                  <c:v>64.89</c:v>
                </c:pt>
                <c:pt idx="405">
                  <c:v>67.069999999999993</c:v>
                </c:pt>
                <c:pt idx="406">
                  <c:v>63.85</c:v>
                </c:pt>
                <c:pt idx="407">
                  <c:v>68.41</c:v>
                </c:pt>
                <c:pt idx="408">
                  <c:v>70.099999999999994</c:v>
                </c:pt>
                <c:pt idx="409">
                  <c:v>69.900000000000006</c:v>
                </c:pt>
                <c:pt idx="410">
                  <c:v>68.25</c:v>
                </c:pt>
                <c:pt idx="411">
                  <c:v>67.739999999999995</c:v>
                </c:pt>
                <c:pt idx="412">
                  <c:v>65.930000000000007</c:v>
                </c:pt>
                <c:pt idx="413">
                  <c:v>69.319999999999993</c:v>
                </c:pt>
                <c:pt idx="414">
                  <c:v>66.91</c:v>
                </c:pt>
                <c:pt idx="415">
                  <c:v>65.72</c:v>
                </c:pt>
                <c:pt idx="416">
                  <c:v>70.55</c:v>
                </c:pt>
                <c:pt idx="417">
                  <c:v>64.739999999999995</c:v>
                </c:pt>
                <c:pt idx="418">
                  <c:v>65.319999999999993</c:v>
                </c:pt>
                <c:pt idx="419">
                  <c:v>63.33</c:v>
                </c:pt>
                <c:pt idx="420">
                  <c:v>61.41</c:v>
                </c:pt>
                <c:pt idx="421">
                  <c:v>57.36</c:v>
                </c:pt>
                <c:pt idx="422">
                  <c:v>53.97</c:v>
                </c:pt>
                <c:pt idx="423">
                  <c:v>53.16</c:v>
                </c:pt>
                <c:pt idx="424">
                  <c:v>52.43</c:v>
                </c:pt>
                <c:pt idx="425">
                  <c:v>45.43</c:v>
                </c:pt>
                <c:pt idx="426">
                  <c:v>49.99</c:v>
                </c:pt>
                <c:pt idx="427">
                  <c:v>56.08</c:v>
                </c:pt>
                <c:pt idx="428">
                  <c:v>55.64</c:v>
                </c:pt>
                <c:pt idx="430">
                  <c:v>70.040000000000006</c:v>
                </c:pt>
                <c:pt idx="431">
                  <c:v>66.16</c:v>
                </c:pt>
                <c:pt idx="432">
                  <c:v>63.26</c:v>
                </c:pt>
                <c:pt idx="433">
                  <c:v>63.59</c:v>
                </c:pt>
                <c:pt idx="434">
                  <c:v>63.36</c:v>
                </c:pt>
                <c:pt idx="435">
                  <c:v>64.040000000000006</c:v>
                </c:pt>
                <c:pt idx="436">
                  <c:v>60.42</c:v>
                </c:pt>
                <c:pt idx="437">
                  <c:v>61.13</c:v>
                </c:pt>
                <c:pt idx="438">
                  <c:v>58.96</c:v>
                </c:pt>
                <c:pt idx="439">
                  <c:v>60.38</c:v>
                </c:pt>
                <c:pt idx="440">
                  <c:v>58.33</c:v>
                </c:pt>
                <c:pt idx="441">
                  <c:v>58.99</c:v>
                </c:pt>
                <c:pt idx="442">
                  <c:v>54.47</c:v>
                </c:pt>
                <c:pt idx="443">
                  <c:v>53.02</c:v>
                </c:pt>
                <c:pt idx="444">
                  <c:v>49.19</c:v>
                </c:pt>
                <c:pt idx="445">
                  <c:v>51.07</c:v>
                </c:pt>
                <c:pt idx="446">
                  <c:v>51.01</c:v>
                </c:pt>
                <c:pt idx="447">
                  <c:v>42.63</c:v>
                </c:pt>
                <c:pt idx="448">
                  <c:v>44.1</c:v>
                </c:pt>
                <c:pt idx="449">
                  <c:v>39.299999999999997</c:v>
                </c:pt>
                <c:pt idx="450">
                  <c:v>44.52</c:v>
                </c:pt>
                <c:pt idx="451">
                  <c:v>52.98</c:v>
                </c:pt>
                <c:pt idx="452">
                  <c:v>62.44</c:v>
                </c:pt>
                <c:pt idx="453">
                  <c:v>58.32</c:v>
                </c:pt>
                <c:pt idx="454">
                  <c:v>57.18</c:v>
                </c:pt>
                <c:pt idx="455">
                  <c:v>58.06</c:v>
                </c:pt>
                <c:pt idx="456">
                  <c:v>51.38</c:v>
                </c:pt>
                <c:pt idx="457">
                  <c:v>47.77</c:v>
                </c:pt>
                <c:pt idx="458">
                  <c:v>58.88</c:v>
                </c:pt>
                <c:pt idx="459">
                  <c:v>60.02</c:v>
                </c:pt>
                <c:pt idx="460">
                  <c:v>55.79</c:v>
                </c:pt>
                <c:pt idx="461">
                  <c:v>58.94</c:v>
                </c:pt>
                <c:pt idx="462">
                  <c:v>63.73</c:v>
                </c:pt>
                <c:pt idx="463">
                  <c:v>72.849999999999994</c:v>
                </c:pt>
                <c:pt idx="464">
                  <c:v>63.67</c:v>
                </c:pt>
                <c:pt idx="465">
                  <c:v>60.1</c:v>
                </c:pt>
                <c:pt idx="466">
                  <c:v>56.96</c:v>
                </c:pt>
                <c:pt idx="467">
                  <c:v>48.81</c:v>
                </c:pt>
                <c:pt idx="468">
                  <c:v>41.66</c:v>
                </c:pt>
                <c:pt idx="469">
                  <c:v>44.49</c:v>
                </c:pt>
                <c:pt idx="470">
                  <c:v>43.48</c:v>
                </c:pt>
                <c:pt idx="472">
                  <c:v>45.75</c:v>
                </c:pt>
                <c:pt idx="473">
                  <c:v>42.99</c:v>
                </c:pt>
                <c:pt idx="474">
                  <c:v>38.64</c:v>
                </c:pt>
                <c:pt idx="475">
                  <c:v>44.96</c:v>
                </c:pt>
                <c:pt idx="476">
                  <c:v>44.64</c:v>
                </c:pt>
                <c:pt idx="477">
                  <c:v>43.85</c:v>
                </c:pt>
                <c:pt idx="478">
                  <c:v>45.38</c:v>
                </c:pt>
                <c:pt idx="479">
                  <c:v>50.58</c:v>
                </c:pt>
                <c:pt idx="480">
                  <c:v>50.08</c:v>
                </c:pt>
                <c:pt idx="481">
                  <c:v>51.35</c:v>
                </c:pt>
                <c:pt idx="483">
                  <c:v>50.99</c:v>
                </c:pt>
                <c:pt idx="484">
                  <c:v>48.09</c:v>
                </c:pt>
                <c:pt idx="485">
                  <c:v>41.56</c:v>
                </c:pt>
                <c:pt idx="486">
                  <c:v>46.55</c:v>
                </c:pt>
                <c:pt idx="487">
                  <c:v>50.14</c:v>
                </c:pt>
                <c:pt idx="488">
                  <c:v>44.28</c:v>
                </c:pt>
                <c:pt idx="489">
                  <c:v>47.4</c:v>
                </c:pt>
                <c:pt idx="490">
                  <c:v>45.47</c:v>
                </c:pt>
                <c:pt idx="491">
                  <c:v>44.82</c:v>
                </c:pt>
                <c:pt idx="492">
                  <c:v>47.77</c:v>
                </c:pt>
                <c:pt idx="493">
                  <c:v>41.78</c:v>
                </c:pt>
                <c:pt idx="494">
                  <c:v>42.89</c:v>
                </c:pt>
                <c:pt idx="495">
                  <c:v>49</c:v>
                </c:pt>
                <c:pt idx="496">
                  <c:v>41.41</c:v>
                </c:pt>
                <c:pt idx="497">
                  <c:v>36.49</c:v>
                </c:pt>
                <c:pt idx="498">
                  <c:v>43.62</c:v>
                </c:pt>
                <c:pt idx="500">
                  <c:v>51.84</c:v>
                </c:pt>
                <c:pt idx="501">
                  <c:v>48.07</c:v>
                </c:pt>
                <c:pt idx="502">
                  <c:v>57.96</c:v>
                </c:pt>
                <c:pt idx="503">
                  <c:v>57.13</c:v>
                </c:pt>
                <c:pt idx="504">
                  <c:v>60.14</c:v>
                </c:pt>
                <c:pt idx="505">
                  <c:v>58.97</c:v>
                </c:pt>
                <c:pt idx="506">
                  <c:v>58.3</c:v>
                </c:pt>
                <c:pt idx="507">
                  <c:v>63.43</c:v>
                </c:pt>
                <c:pt idx="508">
                  <c:v>59.84</c:v>
                </c:pt>
                <c:pt idx="509">
                  <c:v>60.04</c:v>
                </c:pt>
                <c:pt idx="510">
                  <c:v>63.52</c:v>
                </c:pt>
                <c:pt idx="511">
                  <c:v>63.19</c:v>
                </c:pt>
                <c:pt idx="512">
                  <c:v>58.26</c:v>
                </c:pt>
                <c:pt idx="513">
                  <c:v>58.26</c:v>
                </c:pt>
                <c:pt idx="514">
                  <c:v>56.89</c:v>
                </c:pt>
                <c:pt idx="515">
                  <c:v>51.53</c:v>
                </c:pt>
                <c:pt idx="516">
                  <c:v>47.36</c:v>
                </c:pt>
                <c:pt idx="517">
                  <c:v>43.66</c:v>
                </c:pt>
                <c:pt idx="518">
                  <c:v>44.92</c:v>
                </c:pt>
                <c:pt idx="519">
                  <c:v>54.43</c:v>
                </c:pt>
                <c:pt idx="520">
                  <c:v>50.35</c:v>
                </c:pt>
                <c:pt idx="521">
                  <c:v>49.32</c:v>
                </c:pt>
                <c:pt idx="522">
                  <c:v>47.44</c:v>
                </c:pt>
                <c:pt idx="523">
                  <c:v>52.19</c:v>
                </c:pt>
                <c:pt idx="524">
                  <c:v>43.07</c:v>
                </c:pt>
                <c:pt idx="525">
                  <c:v>37.08</c:v>
                </c:pt>
                <c:pt idx="526">
                  <c:v>37.979999999999997</c:v>
                </c:pt>
                <c:pt idx="527">
                  <c:v>39.68</c:v>
                </c:pt>
                <c:pt idx="528">
                  <c:v>42.32</c:v>
                </c:pt>
                <c:pt idx="529">
                  <c:v>43.52</c:v>
                </c:pt>
                <c:pt idx="530">
                  <c:v>47.44</c:v>
                </c:pt>
                <c:pt idx="531">
                  <c:v>54.29</c:v>
                </c:pt>
                <c:pt idx="532">
                  <c:v>53.63</c:v>
                </c:pt>
                <c:pt idx="533">
                  <c:v>59.7</c:v>
                </c:pt>
                <c:pt idx="534">
                  <c:v>61.45</c:v>
                </c:pt>
                <c:pt idx="535">
                  <c:v>62.75</c:v>
                </c:pt>
                <c:pt idx="536">
                  <c:v>56.02</c:v>
                </c:pt>
                <c:pt idx="537">
                  <c:v>62.75</c:v>
                </c:pt>
                <c:pt idx="538">
                  <c:v>60.16</c:v>
                </c:pt>
                <c:pt idx="539">
                  <c:v>63.9</c:v>
                </c:pt>
                <c:pt idx="541">
                  <c:v>70.709999999999994</c:v>
                </c:pt>
                <c:pt idx="542">
                  <c:v>70.650000000000006</c:v>
                </c:pt>
                <c:pt idx="543">
                  <c:v>63.81</c:v>
                </c:pt>
                <c:pt idx="544">
                  <c:v>67.099999999999994</c:v>
                </c:pt>
                <c:pt idx="545">
                  <c:v>73.42</c:v>
                </c:pt>
                <c:pt idx="546">
                  <c:v>76.989999999999995</c:v>
                </c:pt>
                <c:pt idx="547">
                  <c:v>73.569999999999993</c:v>
                </c:pt>
                <c:pt idx="548">
                  <c:v>68.31</c:v>
                </c:pt>
                <c:pt idx="549">
                  <c:v>63.53</c:v>
                </c:pt>
                <c:pt idx="550">
                  <c:v>64.92</c:v>
                </c:pt>
                <c:pt idx="551">
                  <c:v>64.83</c:v>
                </c:pt>
                <c:pt idx="552">
                  <c:v>69.06</c:v>
                </c:pt>
                <c:pt idx="553">
                  <c:v>67.83</c:v>
                </c:pt>
                <c:pt idx="554">
                  <c:v>65.739999999999995</c:v>
                </c:pt>
                <c:pt idx="555">
                  <c:v>70.7</c:v>
                </c:pt>
                <c:pt idx="556">
                  <c:v>72.89</c:v>
                </c:pt>
                <c:pt idx="557">
                  <c:v>69.73</c:v>
                </c:pt>
                <c:pt idx="558">
                  <c:v>67.47</c:v>
                </c:pt>
                <c:pt idx="559">
                  <c:v>75.819999999999993</c:v>
                </c:pt>
                <c:pt idx="560">
                  <c:v>74.53</c:v>
                </c:pt>
                <c:pt idx="561">
                  <c:v>72.95</c:v>
                </c:pt>
                <c:pt idx="562">
                  <c:v>71.790000000000006</c:v>
                </c:pt>
                <c:pt idx="563">
                  <c:v>70.5</c:v>
                </c:pt>
                <c:pt idx="564">
                  <c:v>69.930000000000007</c:v>
                </c:pt>
                <c:pt idx="565">
                  <c:v>71.19</c:v>
                </c:pt>
                <c:pt idx="566">
                  <c:v>69.400000000000006</c:v>
                </c:pt>
                <c:pt idx="567">
                  <c:v>64.66</c:v>
                </c:pt>
                <c:pt idx="568">
                  <c:v>62.94</c:v>
                </c:pt>
                <c:pt idx="570">
                  <c:v>65.260000000000005</c:v>
                </c:pt>
                <c:pt idx="571">
                  <c:v>69.84</c:v>
                </c:pt>
                <c:pt idx="572">
                  <c:v>67.19</c:v>
                </c:pt>
                <c:pt idx="573">
                  <c:v>59.99</c:v>
                </c:pt>
                <c:pt idx="574">
                  <c:v>68.64</c:v>
                </c:pt>
                <c:pt idx="575">
                  <c:v>68.03</c:v>
                </c:pt>
                <c:pt idx="576">
                  <c:v>67.41</c:v>
                </c:pt>
                <c:pt idx="577">
                  <c:v>67.349999999999994</c:v>
                </c:pt>
                <c:pt idx="578">
                  <c:v>64.83</c:v>
                </c:pt>
                <c:pt idx="579">
                  <c:v>61.1</c:v>
                </c:pt>
                <c:pt idx="580">
                  <c:v>65.010000000000005</c:v>
                </c:pt>
                <c:pt idx="581">
                  <c:v>62.27</c:v>
                </c:pt>
                <c:pt idx="582">
                  <c:v>53.9</c:v>
                </c:pt>
                <c:pt idx="583">
                  <c:v>62.79</c:v>
                </c:pt>
                <c:pt idx="584">
                  <c:v>62.62</c:v>
                </c:pt>
                <c:pt idx="585">
                  <c:v>59.36</c:v>
                </c:pt>
                <c:pt idx="586">
                  <c:v>60.55</c:v>
                </c:pt>
                <c:pt idx="587">
                  <c:v>55.59</c:v>
                </c:pt>
                <c:pt idx="588">
                  <c:v>60.14</c:v>
                </c:pt>
                <c:pt idx="589">
                  <c:v>60.74</c:v>
                </c:pt>
                <c:pt idx="590">
                  <c:v>56.92</c:v>
                </c:pt>
                <c:pt idx="591">
                  <c:v>53.38</c:v>
                </c:pt>
                <c:pt idx="592">
                  <c:v>44.79</c:v>
                </c:pt>
                <c:pt idx="593">
                  <c:v>49.01</c:v>
                </c:pt>
                <c:pt idx="595">
                  <c:v>56.45</c:v>
                </c:pt>
                <c:pt idx="596">
                  <c:v>56.52</c:v>
                </c:pt>
                <c:pt idx="597">
                  <c:v>58.28</c:v>
                </c:pt>
                <c:pt idx="598">
                  <c:v>55.46</c:v>
                </c:pt>
                <c:pt idx="599">
                  <c:v>57.68</c:v>
                </c:pt>
                <c:pt idx="600">
                  <c:v>54.12</c:v>
                </c:pt>
                <c:pt idx="601">
                  <c:v>53.48</c:v>
                </c:pt>
                <c:pt idx="602">
                  <c:v>52.81</c:v>
                </c:pt>
                <c:pt idx="603">
                  <c:v>62.83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53-4415-9E41-C4965722E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전기전자  </a:t>
            </a:r>
            <a:r>
              <a:rPr lang="en-US"/>
              <a:t>vs  </a:t>
            </a:r>
            <a:r>
              <a:rPr lang="ko-KR" altLang="en-US"/>
              <a:t>기술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RSI'!$J$7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RSI'!$J$78:$J$3077</c:f>
              <c:numCache>
                <c:formatCode>0.00</c:formatCode>
                <c:ptCount val="3000"/>
                <c:pt idx="1">
                  <c:v>66.930000000000007</c:v>
                </c:pt>
                <c:pt idx="2">
                  <c:v>72.75</c:v>
                </c:pt>
                <c:pt idx="3">
                  <c:v>71.78</c:v>
                </c:pt>
                <c:pt idx="4">
                  <c:v>71.75</c:v>
                </c:pt>
                <c:pt idx="5">
                  <c:v>68.680000000000007</c:v>
                </c:pt>
                <c:pt idx="6">
                  <c:v>69.650000000000006</c:v>
                </c:pt>
                <c:pt idx="7">
                  <c:v>68.42</c:v>
                </c:pt>
                <c:pt idx="8">
                  <c:v>68.180000000000007</c:v>
                </c:pt>
                <c:pt idx="9">
                  <c:v>64.739999999999995</c:v>
                </c:pt>
                <c:pt idx="10">
                  <c:v>63.76</c:v>
                </c:pt>
                <c:pt idx="11">
                  <c:v>65.03</c:v>
                </c:pt>
                <c:pt idx="12">
                  <c:v>62.98</c:v>
                </c:pt>
                <c:pt idx="13">
                  <c:v>60.96</c:v>
                </c:pt>
                <c:pt idx="14">
                  <c:v>57.86</c:v>
                </c:pt>
                <c:pt idx="15">
                  <c:v>58.84</c:v>
                </c:pt>
                <c:pt idx="16">
                  <c:v>57.5</c:v>
                </c:pt>
                <c:pt idx="17">
                  <c:v>60.39</c:v>
                </c:pt>
                <c:pt idx="18">
                  <c:v>53.71</c:v>
                </c:pt>
                <c:pt idx="19">
                  <c:v>52.09</c:v>
                </c:pt>
                <c:pt idx="20">
                  <c:v>49.87</c:v>
                </c:pt>
                <c:pt idx="21">
                  <c:v>46.34</c:v>
                </c:pt>
                <c:pt idx="22">
                  <c:v>51.13</c:v>
                </c:pt>
                <c:pt idx="23">
                  <c:v>40.659999999999997</c:v>
                </c:pt>
                <c:pt idx="24">
                  <c:v>45.48</c:v>
                </c:pt>
                <c:pt idx="25">
                  <c:v>48.14</c:v>
                </c:pt>
                <c:pt idx="26">
                  <c:v>48.76</c:v>
                </c:pt>
                <c:pt idx="27">
                  <c:v>53.73</c:v>
                </c:pt>
                <c:pt idx="28">
                  <c:v>53.01</c:v>
                </c:pt>
                <c:pt idx="29">
                  <c:v>49.88</c:v>
                </c:pt>
                <c:pt idx="30">
                  <c:v>57.18</c:v>
                </c:pt>
                <c:pt idx="31">
                  <c:v>57.65</c:v>
                </c:pt>
                <c:pt idx="32">
                  <c:v>61.75</c:v>
                </c:pt>
                <c:pt idx="33">
                  <c:v>55.82</c:v>
                </c:pt>
                <c:pt idx="34">
                  <c:v>54.29</c:v>
                </c:pt>
                <c:pt idx="35">
                  <c:v>51.24</c:v>
                </c:pt>
                <c:pt idx="36">
                  <c:v>53.49</c:v>
                </c:pt>
                <c:pt idx="37">
                  <c:v>54.64</c:v>
                </c:pt>
                <c:pt idx="38">
                  <c:v>53.79</c:v>
                </c:pt>
                <c:pt idx="39">
                  <c:v>47.24</c:v>
                </c:pt>
                <c:pt idx="40">
                  <c:v>54.3</c:v>
                </c:pt>
                <c:pt idx="41">
                  <c:v>55.39</c:v>
                </c:pt>
                <c:pt idx="42">
                  <c:v>46.15</c:v>
                </c:pt>
                <c:pt idx="43">
                  <c:v>59.36</c:v>
                </c:pt>
                <c:pt idx="45">
                  <c:v>79.540000000000006</c:v>
                </c:pt>
                <c:pt idx="46">
                  <c:v>83.87</c:v>
                </c:pt>
                <c:pt idx="47">
                  <c:v>79.88</c:v>
                </c:pt>
                <c:pt idx="48">
                  <c:v>78.69</c:v>
                </c:pt>
                <c:pt idx="49">
                  <c:v>75.37</c:v>
                </c:pt>
                <c:pt idx="50">
                  <c:v>74.3</c:v>
                </c:pt>
                <c:pt idx="51">
                  <c:v>72.319999999999993</c:v>
                </c:pt>
                <c:pt idx="54">
                  <c:v>68.73</c:v>
                </c:pt>
                <c:pt idx="55">
                  <c:v>68.790000000000006</c:v>
                </c:pt>
                <c:pt idx="56">
                  <c:v>63.94</c:v>
                </c:pt>
                <c:pt idx="57">
                  <c:v>63.54</c:v>
                </c:pt>
                <c:pt idx="58">
                  <c:v>64.94</c:v>
                </c:pt>
                <c:pt idx="59">
                  <c:v>59.44</c:v>
                </c:pt>
                <c:pt idx="60">
                  <c:v>61.06</c:v>
                </c:pt>
                <c:pt idx="61">
                  <c:v>72.849999999999994</c:v>
                </c:pt>
                <c:pt idx="62">
                  <c:v>72.19</c:v>
                </c:pt>
                <c:pt idx="63">
                  <c:v>61.82</c:v>
                </c:pt>
                <c:pt idx="64">
                  <c:v>83.71</c:v>
                </c:pt>
                <c:pt idx="65">
                  <c:v>82.45</c:v>
                </c:pt>
                <c:pt idx="66">
                  <c:v>82.59</c:v>
                </c:pt>
                <c:pt idx="67">
                  <c:v>79.89</c:v>
                </c:pt>
                <c:pt idx="68">
                  <c:v>74.2</c:v>
                </c:pt>
                <c:pt idx="69">
                  <c:v>78.84</c:v>
                </c:pt>
                <c:pt idx="70">
                  <c:v>78.599999999999994</c:v>
                </c:pt>
                <c:pt idx="71">
                  <c:v>75.86</c:v>
                </c:pt>
                <c:pt idx="72">
                  <c:v>74.59</c:v>
                </c:pt>
                <c:pt idx="73">
                  <c:v>83.28</c:v>
                </c:pt>
                <c:pt idx="74">
                  <c:v>82.51</c:v>
                </c:pt>
                <c:pt idx="75">
                  <c:v>80.66</c:v>
                </c:pt>
                <c:pt idx="76">
                  <c:v>78.790000000000006</c:v>
                </c:pt>
                <c:pt idx="77">
                  <c:v>77.510000000000005</c:v>
                </c:pt>
                <c:pt idx="78">
                  <c:v>78.27</c:v>
                </c:pt>
                <c:pt idx="79">
                  <c:v>77.48</c:v>
                </c:pt>
                <c:pt idx="80">
                  <c:v>78.959999999999994</c:v>
                </c:pt>
                <c:pt idx="81">
                  <c:v>79.39</c:v>
                </c:pt>
                <c:pt idx="82">
                  <c:v>78.45</c:v>
                </c:pt>
                <c:pt idx="83">
                  <c:v>77.11</c:v>
                </c:pt>
                <c:pt idx="84">
                  <c:v>72.34</c:v>
                </c:pt>
                <c:pt idx="86">
                  <c:v>66.489999999999995</c:v>
                </c:pt>
                <c:pt idx="87">
                  <c:v>66.23</c:v>
                </c:pt>
                <c:pt idx="88">
                  <c:v>61.53</c:v>
                </c:pt>
                <c:pt idx="89">
                  <c:v>57.05</c:v>
                </c:pt>
                <c:pt idx="90">
                  <c:v>57.09</c:v>
                </c:pt>
                <c:pt idx="91">
                  <c:v>56.33</c:v>
                </c:pt>
                <c:pt idx="92">
                  <c:v>49.66</c:v>
                </c:pt>
                <c:pt idx="93">
                  <c:v>50.84</c:v>
                </c:pt>
                <c:pt idx="94">
                  <c:v>53.29</c:v>
                </c:pt>
                <c:pt idx="95">
                  <c:v>47.38</c:v>
                </c:pt>
                <c:pt idx="96">
                  <c:v>52.97</c:v>
                </c:pt>
                <c:pt idx="97">
                  <c:v>59.62</c:v>
                </c:pt>
                <c:pt idx="98">
                  <c:v>57.73</c:v>
                </c:pt>
                <c:pt idx="99">
                  <c:v>60.95</c:v>
                </c:pt>
                <c:pt idx="100">
                  <c:v>59.64</c:v>
                </c:pt>
                <c:pt idx="101">
                  <c:v>62.29</c:v>
                </c:pt>
                <c:pt idx="102">
                  <c:v>58.29</c:v>
                </c:pt>
                <c:pt idx="103">
                  <c:v>54.74</c:v>
                </c:pt>
                <c:pt idx="104">
                  <c:v>55.72</c:v>
                </c:pt>
                <c:pt idx="105">
                  <c:v>54.96</c:v>
                </c:pt>
                <c:pt idx="106">
                  <c:v>51.02</c:v>
                </c:pt>
                <c:pt idx="107">
                  <c:v>50.39</c:v>
                </c:pt>
                <c:pt idx="108">
                  <c:v>54.88</c:v>
                </c:pt>
                <c:pt idx="109">
                  <c:v>52.74</c:v>
                </c:pt>
                <c:pt idx="110">
                  <c:v>48.72</c:v>
                </c:pt>
                <c:pt idx="111">
                  <c:v>46.45</c:v>
                </c:pt>
                <c:pt idx="112">
                  <c:v>45.83</c:v>
                </c:pt>
                <c:pt idx="113">
                  <c:v>55.01</c:v>
                </c:pt>
                <c:pt idx="114">
                  <c:v>51.14</c:v>
                </c:pt>
                <c:pt idx="115">
                  <c:v>52.95</c:v>
                </c:pt>
                <c:pt idx="116">
                  <c:v>60.17</c:v>
                </c:pt>
                <c:pt idx="117">
                  <c:v>54.36</c:v>
                </c:pt>
                <c:pt idx="118">
                  <c:v>68.39</c:v>
                </c:pt>
                <c:pt idx="119">
                  <c:v>68.569999999999993</c:v>
                </c:pt>
                <c:pt idx="120">
                  <c:v>68.98</c:v>
                </c:pt>
                <c:pt idx="121">
                  <c:v>66.459999999999994</c:v>
                </c:pt>
                <c:pt idx="122">
                  <c:v>62.59</c:v>
                </c:pt>
                <c:pt idx="123">
                  <c:v>67.23</c:v>
                </c:pt>
                <c:pt idx="124">
                  <c:v>66.84</c:v>
                </c:pt>
                <c:pt idx="125">
                  <c:v>74.12</c:v>
                </c:pt>
                <c:pt idx="126">
                  <c:v>87.38</c:v>
                </c:pt>
                <c:pt idx="127">
                  <c:v>84.27</c:v>
                </c:pt>
                <c:pt idx="128">
                  <c:v>83.69</c:v>
                </c:pt>
                <c:pt idx="129">
                  <c:v>82.53</c:v>
                </c:pt>
                <c:pt idx="130">
                  <c:v>80.33</c:v>
                </c:pt>
                <c:pt idx="131">
                  <c:v>84.6</c:v>
                </c:pt>
                <c:pt idx="132">
                  <c:v>82.44</c:v>
                </c:pt>
                <c:pt idx="133">
                  <c:v>78.56</c:v>
                </c:pt>
                <c:pt idx="134">
                  <c:v>81.760000000000005</c:v>
                </c:pt>
                <c:pt idx="135">
                  <c:v>80.790000000000006</c:v>
                </c:pt>
                <c:pt idx="136">
                  <c:v>83.01</c:v>
                </c:pt>
                <c:pt idx="137">
                  <c:v>81.81</c:v>
                </c:pt>
                <c:pt idx="138">
                  <c:v>80.86</c:v>
                </c:pt>
                <c:pt idx="139">
                  <c:v>77.14</c:v>
                </c:pt>
                <c:pt idx="140">
                  <c:v>73.989999999999995</c:v>
                </c:pt>
                <c:pt idx="141">
                  <c:v>76.06</c:v>
                </c:pt>
                <c:pt idx="142">
                  <c:v>80.58</c:v>
                </c:pt>
                <c:pt idx="148">
                  <c:v>76.36</c:v>
                </c:pt>
                <c:pt idx="149">
                  <c:v>69.34</c:v>
                </c:pt>
                <c:pt idx="150">
                  <c:v>65.62</c:v>
                </c:pt>
                <c:pt idx="151">
                  <c:v>67.02</c:v>
                </c:pt>
                <c:pt idx="152">
                  <c:v>64.14</c:v>
                </c:pt>
                <c:pt idx="153">
                  <c:v>78.599999999999994</c:v>
                </c:pt>
                <c:pt idx="154">
                  <c:v>77.77</c:v>
                </c:pt>
                <c:pt idx="155">
                  <c:v>78.72</c:v>
                </c:pt>
                <c:pt idx="156">
                  <c:v>76.86</c:v>
                </c:pt>
                <c:pt idx="157">
                  <c:v>74.05</c:v>
                </c:pt>
                <c:pt idx="158">
                  <c:v>76.94</c:v>
                </c:pt>
                <c:pt idx="159">
                  <c:v>72.63</c:v>
                </c:pt>
                <c:pt idx="160">
                  <c:v>80.599999999999994</c:v>
                </c:pt>
                <c:pt idx="161">
                  <c:v>76.72</c:v>
                </c:pt>
                <c:pt idx="162">
                  <c:v>75.42</c:v>
                </c:pt>
                <c:pt idx="163">
                  <c:v>69.59</c:v>
                </c:pt>
                <c:pt idx="164">
                  <c:v>66.83</c:v>
                </c:pt>
                <c:pt idx="165">
                  <c:v>61.14</c:v>
                </c:pt>
                <c:pt idx="166">
                  <c:v>54.52</c:v>
                </c:pt>
                <c:pt idx="167">
                  <c:v>52.17</c:v>
                </c:pt>
                <c:pt idx="168">
                  <c:v>51.75</c:v>
                </c:pt>
                <c:pt idx="169">
                  <c:v>50.04</c:v>
                </c:pt>
                <c:pt idx="170">
                  <c:v>47.43</c:v>
                </c:pt>
                <c:pt idx="171">
                  <c:v>41.43</c:v>
                </c:pt>
                <c:pt idx="172">
                  <c:v>51.26</c:v>
                </c:pt>
                <c:pt idx="173">
                  <c:v>52.84</c:v>
                </c:pt>
                <c:pt idx="174">
                  <c:v>54.45</c:v>
                </c:pt>
                <c:pt idx="175">
                  <c:v>55.07</c:v>
                </c:pt>
                <c:pt idx="176">
                  <c:v>57.51</c:v>
                </c:pt>
                <c:pt idx="177">
                  <c:v>53.09</c:v>
                </c:pt>
                <c:pt idx="178">
                  <c:v>49.03</c:v>
                </c:pt>
                <c:pt idx="179">
                  <c:v>51.89</c:v>
                </c:pt>
                <c:pt idx="180">
                  <c:v>54.86</c:v>
                </c:pt>
                <c:pt idx="181">
                  <c:v>56.83</c:v>
                </c:pt>
                <c:pt idx="183">
                  <c:v>67.8</c:v>
                </c:pt>
                <c:pt idx="184">
                  <c:v>68.58</c:v>
                </c:pt>
                <c:pt idx="185">
                  <c:v>64.8</c:v>
                </c:pt>
                <c:pt idx="186">
                  <c:v>65.239999999999995</c:v>
                </c:pt>
                <c:pt idx="187">
                  <c:v>63.19</c:v>
                </c:pt>
                <c:pt idx="188">
                  <c:v>63.09</c:v>
                </c:pt>
                <c:pt idx="189">
                  <c:v>59.98</c:v>
                </c:pt>
                <c:pt idx="190">
                  <c:v>64.22</c:v>
                </c:pt>
                <c:pt idx="191">
                  <c:v>60.59</c:v>
                </c:pt>
                <c:pt idx="192">
                  <c:v>58.58</c:v>
                </c:pt>
                <c:pt idx="193">
                  <c:v>74.69</c:v>
                </c:pt>
                <c:pt idx="194">
                  <c:v>76.14</c:v>
                </c:pt>
                <c:pt idx="195">
                  <c:v>73.2</c:v>
                </c:pt>
                <c:pt idx="196">
                  <c:v>72.38</c:v>
                </c:pt>
                <c:pt idx="197">
                  <c:v>64.510000000000005</c:v>
                </c:pt>
                <c:pt idx="198">
                  <c:v>66.86</c:v>
                </c:pt>
                <c:pt idx="199">
                  <c:v>64.790000000000006</c:v>
                </c:pt>
                <c:pt idx="200">
                  <c:v>63.19</c:v>
                </c:pt>
                <c:pt idx="201">
                  <c:v>72.569999999999993</c:v>
                </c:pt>
                <c:pt idx="202">
                  <c:v>70.11</c:v>
                </c:pt>
                <c:pt idx="203">
                  <c:v>68.13</c:v>
                </c:pt>
                <c:pt idx="204">
                  <c:v>71.819999999999993</c:v>
                </c:pt>
                <c:pt idx="205">
                  <c:v>71.31</c:v>
                </c:pt>
                <c:pt idx="206">
                  <c:v>69.239999999999995</c:v>
                </c:pt>
                <c:pt idx="207">
                  <c:v>68.63</c:v>
                </c:pt>
                <c:pt idx="208">
                  <c:v>66.48</c:v>
                </c:pt>
                <c:pt idx="209">
                  <c:v>60.56</c:v>
                </c:pt>
                <c:pt idx="210">
                  <c:v>64.03</c:v>
                </c:pt>
                <c:pt idx="211">
                  <c:v>62.29</c:v>
                </c:pt>
                <c:pt idx="212">
                  <c:v>67.010000000000005</c:v>
                </c:pt>
                <c:pt idx="213">
                  <c:v>75.040000000000006</c:v>
                </c:pt>
                <c:pt idx="214">
                  <c:v>69.83</c:v>
                </c:pt>
                <c:pt idx="215">
                  <c:v>70.58</c:v>
                </c:pt>
                <c:pt idx="216">
                  <c:v>71.17</c:v>
                </c:pt>
                <c:pt idx="217">
                  <c:v>70.209999999999994</c:v>
                </c:pt>
                <c:pt idx="218">
                  <c:v>73.84</c:v>
                </c:pt>
                <c:pt idx="219">
                  <c:v>75.62</c:v>
                </c:pt>
                <c:pt idx="220">
                  <c:v>73.97</c:v>
                </c:pt>
                <c:pt idx="221">
                  <c:v>65.89</c:v>
                </c:pt>
                <c:pt idx="222">
                  <c:v>72.459999999999994</c:v>
                </c:pt>
                <c:pt idx="223">
                  <c:v>68.66</c:v>
                </c:pt>
                <c:pt idx="224">
                  <c:v>70.69</c:v>
                </c:pt>
                <c:pt idx="225">
                  <c:v>68.040000000000006</c:v>
                </c:pt>
                <c:pt idx="226">
                  <c:v>65.760000000000005</c:v>
                </c:pt>
                <c:pt idx="227">
                  <c:v>63.95</c:v>
                </c:pt>
                <c:pt idx="228">
                  <c:v>70.88</c:v>
                </c:pt>
                <c:pt idx="229">
                  <c:v>71.62</c:v>
                </c:pt>
                <c:pt idx="230">
                  <c:v>68.14</c:v>
                </c:pt>
                <c:pt idx="231">
                  <c:v>67.67</c:v>
                </c:pt>
                <c:pt idx="233">
                  <c:v>65.95</c:v>
                </c:pt>
                <c:pt idx="234">
                  <c:v>61.19</c:v>
                </c:pt>
                <c:pt idx="236">
                  <c:v>55.37</c:v>
                </c:pt>
                <c:pt idx="237">
                  <c:v>53.3</c:v>
                </c:pt>
                <c:pt idx="238">
                  <c:v>56.47</c:v>
                </c:pt>
                <c:pt idx="239">
                  <c:v>54.48</c:v>
                </c:pt>
                <c:pt idx="240">
                  <c:v>44.02</c:v>
                </c:pt>
                <c:pt idx="241">
                  <c:v>47.48</c:v>
                </c:pt>
                <c:pt idx="242">
                  <c:v>42.28</c:v>
                </c:pt>
                <c:pt idx="243">
                  <c:v>43.43</c:v>
                </c:pt>
                <c:pt idx="244">
                  <c:v>47.9</c:v>
                </c:pt>
                <c:pt idx="245">
                  <c:v>49.05</c:v>
                </c:pt>
                <c:pt idx="246">
                  <c:v>49.11</c:v>
                </c:pt>
                <c:pt idx="247">
                  <c:v>53.99</c:v>
                </c:pt>
                <c:pt idx="248">
                  <c:v>56.1</c:v>
                </c:pt>
                <c:pt idx="249">
                  <c:v>59.37</c:v>
                </c:pt>
                <c:pt idx="250">
                  <c:v>55.84</c:v>
                </c:pt>
                <c:pt idx="251">
                  <c:v>57.72</c:v>
                </c:pt>
                <c:pt idx="252">
                  <c:v>48.22</c:v>
                </c:pt>
                <c:pt idx="253">
                  <c:v>49.24</c:v>
                </c:pt>
                <c:pt idx="254">
                  <c:v>48.28</c:v>
                </c:pt>
                <c:pt idx="257">
                  <c:v>45.3</c:v>
                </c:pt>
                <c:pt idx="259">
                  <c:v>45.38</c:v>
                </c:pt>
                <c:pt idx="260">
                  <c:v>50.09</c:v>
                </c:pt>
                <c:pt idx="261">
                  <c:v>49.46</c:v>
                </c:pt>
                <c:pt idx="262">
                  <c:v>49.7</c:v>
                </c:pt>
                <c:pt idx="263">
                  <c:v>47.4</c:v>
                </c:pt>
                <c:pt idx="264">
                  <c:v>49.01</c:v>
                </c:pt>
                <c:pt idx="265">
                  <c:v>43.01</c:v>
                </c:pt>
                <c:pt idx="266">
                  <c:v>44.9</c:v>
                </c:pt>
                <c:pt idx="267">
                  <c:v>44.85</c:v>
                </c:pt>
                <c:pt idx="268">
                  <c:v>44.66</c:v>
                </c:pt>
                <c:pt idx="269">
                  <c:v>43.14</c:v>
                </c:pt>
                <c:pt idx="270">
                  <c:v>47.75</c:v>
                </c:pt>
                <c:pt idx="271">
                  <c:v>46.38</c:v>
                </c:pt>
                <c:pt idx="272">
                  <c:v>43.9</c:v>
                </c:pt>
                <c:pt idx="273">
                  <c:v>46.7</c:v>
                </c:pt>
                <c:pt idx="274">
                  <c:v>29.32</c:v>
                </c:pt>
                <c:pt idx="275">
                  <c:v>31.12</c:v>
                </c:pt>
                <c:pt idx="276">
                  <c:v>29.28</c:v>
                </c:pt>
                <c:pt idx="277">
                  <c:v>37.520000000000003</c:v>
                </c:pt>
                <c:pt idx="278">
                  <c:v>41.02</c:v>
                </c:pt>
                <c:pt idx="279">
                  <c:v>45.7</c:v>
                </c:pt>
                <c:pt idx="280">
                  <c:v>46.12</c:v>
                </c:pt>
                <c:pt idx="281">
                  <c:v>42.32</c:v>
                </c:pt>
                <c:pt idx="282">
                  <c:v>52.65</c:v>
                </c:pt>
                <c:pt idx="283">
                  <c:v>60.71</c:v>
                </c:pt>
                <c:pt idx="284">
                  <c:v>64.78</c:v>
                </c:pt>
                <c:pt idx="285">
                  <c:v>57.71</c:v>
                </c:pt>
                <c:pt idx="286">
                  <c:v>60.98</c:v>
                </c:pt>
                <c:pt idx="287">
                  <c:v>66.72</c:v>
                </c:pt>
                <c:pt idx="288">
                  <c:v>63.89</c:v>
                </c:pt>
                <c:pt idx="289">
                  <c:v>58.43</c:v>
                </c:pt>
                <c:pt idx="290">
                  <c:v>54.83</c:v>
                </c:pt>
                <c:pt idx="291">
                  <c:v>55.94</c:v>
                </c:pt>
                <c:pt idx="292">
                  <c:v>46</c:v>
                </c:pt>
                <c:pt idx="293">
                  <c:v>46.04</c:v>
                </c:pt>
                <c:pt idx="294">
                  <c:v>48.01</c:v>
                </c:pt>
                <c:pt idx="295">
                  <c:v>37.6</c:v>
                </c:pt>
                <c:pt idx="296">
                  <c:v>39.28</c:v>
                </c:pt>
                <c:pt idx="297">
                  <c:v>39.29</c:v>
                </c:pt>
                <c:pt idx="298">
                  <c:v>40.01</c:v>
                </c:pt>
                <c:pt idx="299">
                  <c:v>40.04</c:v>
                </c:pt>
                <c:pt idx="300">
                  <c:v>37.72</c:v>
                </c:pt>
                <c:pt idx="302">
                  <c:v>40.72</c:v>
                </c:pt>
                <c:pt idx="303">
                  <c:v>52.18</c:v>
                </c:pt>
                <c:pt idx="304">
                  <c:v>55.74</c:v>
                </c:pt>
                <c:pt idx="305">
                  <c:v>55.95</c:v>
                </c:pt>
                <c:pt idx="306">
                  <c:v>61.04</c:v>
                </c:pt>
                <c:pt idx="307">
                  <c:v>64.83</c:v>
                </c:pt>
                <c:pt idx="308">
                  <c:v>65.98</c:v>
                </c:pt>
                <c:pt idx="309">
                  <c:v>68.58</c:v>
                </c:pt>
                <c:pt idx="310">
                  <c:v>61.71</c:v>
                </c:pt>
                <c:pt idx="311">
                  <c:v>59.72</c:v>
                </c:pt>
                <c:pt idx="312">
                  <c:v>58.74</c:v>
                </c:pt>
                <c:pt idx="313">
                  <c:v>58.97</c:v>
                </c:pt>
                <c:pt idx="314">
                  <c:v>53.7</c:v>
                </c:pt>
                <c:pt idx="315">
                  <c:v>53.04</c:v>
                </c:pt>
                <c:pt idx="316">
                  <c:v>52.48</c:v>
                </c:pt>
                <c:pt idx="317">
                  <c:v>48.66</c:v>
                </c:pt>
                <c:pt idx="318">
                  <c:v>50.38</c:v>
                </c:pt>
                <c:pt idx="319">
                  <c:v>46.33</c:v>
                </c:pt>
                <c:pt idx="320">
                  <c:v>41.88</c:v>
                </c:pt>
                <c:pt idx="321">
                  <c:v>37.21</c:v>
                </c:pt>
                <c:pt idx="322">
                  <c:v>44.79</c:v>
                </c:pt>
                <c:pt idx="327">
                  <c:v>56.93</c:v>
                </c:pt>
                <c:pt idx="328">
                  <c:v>55.45</c:v>
                </c:pt>
                <c:pt idx="329">
                  <c:v>61.64</c:v>
                </c:pt>
                <c:pt idx="330">
                  <c:v>55.66</c:v>
                </c:pt>
                <c:pt idx="331">
                  <c:v>56.09</c:v>
                </c:pt>
                <c:pt idx="332">
                  <c:v>55.83</c:v>
                </c:pt>
                <c:pt idx="333">
                  <c:v>55.72</c:v>
                </c:pt>
                <c:pt idx="334">
                  <c:v>50.17</c:v>
                </c:pt>
                <c:pt idx="335">
                  <c:v>50.45</c:v>
                </c:pt>
                <c:pt idx="336">
                  <c:v>48.83</c:v>
                </c:pt>
                <c:pt idx="337">
                  <c:v>55.29</c:v>
                </c:pt>
                <c:pt idx="338">
                  <c:v>60.05</c:v>
                </c:pt>
                <c:pt idx="339">
                  <c:v>61.46</c:v>
                </c:pt>
                <c:pt idx="340">
                  <c:v>56.71</c:v>
                </c:pt>
                <c:pt idx="341">
                  <c:v>59.42</c:v>
                </c:pt>
                <c:pt idx="342">
                  <c:v>49.57</c:v>
                </c:pt>
                <c:pt idx="343">
                  <c:v>39.83</c:v>
                </c:pt>
                <c:pt idx="345">
                  <c:v>40.15</c:v>
                </c:pt>
                <c:pt idx="346">
                  <c:v>41.58</c:v>
                </c:pt>
                <c:pt idx="347">
                  <c:v>39.76</c:v>
                </c:pt>
                <c:pt idx="348">
                  <c:v>42.13</c:v>
                </c:pt>
                <c:pt idx="349">
                  <c:v>41.28</c:v>
                </c:pt>
                <c:pt idx="350">
                  <c:v>37.590000000000003</c:v>
                </c:pt>
                <c:pt idx="351">
                  <c:v>41.24</c:v>
                </c:pt>
                <c:pt idx="352">
                  <c:v>49.56</c:v>
                </c:pt>
                <c:pt idx="353">
                  <c:v>47.29</c:v>
                </c:pt>
                <c:pt idx="354">
                  <c:v>52.39</c:v>
                </c:pt>
                <c:pt idx="355">
                  <c:v>52.13</c:v>
                </c:pt>
                <c:pt idx="356">
                  <c:v>51.89</c:v>
                </c:pt>
                <c:pt idx="357">
                  <c:v>41.51</c:v>
                </c:pt>
                <c:pt idx="358">
                  <c:v>40.65</c:v>
                </c:pt>
                <c:pt idx="359">
                  <c:v>35.82</c:v>
                </c:pt>
                <c:pt idx="360">
                  <c:v>38.5</c:v>
                </c:pt>
                <c:pt idx="361">
                  <c:v>38.79</c:v>
                </c:pt>
                <c:pt idx="362">
                  <c:v>36.799999999999997</c:v>
                </c:pt>
                <c:pt idx="363">
                  <c:v>38.06</c:v>
                </c:pt>
                <c:pt idx="364">
                  <c:v>34.17</c:v>
                </c:pt>
                <c:pt idx="365">
                  <c:v>34.92</c:v>
                </c:pt>
                <c:pt idx="366">
                  <c:v>39.54</c:v>
                </c:pt>
                <c:pt idx="367">
                  <c:v>42.25</c:v>
                </c:pt>
                <c:pt idx="368">
                  <c:v>49.9</c:v>
                </c:pt>
                <c:pt idx="369">
                  <c:v>50.77</c:v>
                </c:pt>
                <c:pt idx="370">
                  <c:v>43.04</c:v>
                </c:pt>
                <c:pt idx="371">
                  <c:v>40.630000000000003</c:v>
                </c:pt>
                <c:pt idx="372">
                  <c:v>38.58</c:v>
                </c:pt>
                <c:pt idx="373">
                  <c:v>39.81</c:v>
                </c:pt>
                <c:pt idx="374">
                  <c:v>39.880000000000003</c:v>
                </c:pt>
                <c:pt idx="375">
                  <c:v>31.61</c:v>
                </c:pt>
                <c:pt idx="376">
                  <c:v>27.83</c:v>
                </c:pt>
                <c:pt idx="377">
                  <c:v>29.3</c:v>
                </c:pt>
                <c:pt idx="378">
                  <c:v>34.909999999999997</c:v>
                </c:pt>
                <c:pt idx="379">
                  <c:v>39.340000000000003</c:v>
                </c:pt>
                <c:pt idx="380">
                  <c:v>44.26</c:v>
                </c:pt>
                <c:pt idx="381">
                  <c:v>42.54</c:v>
                </c:pt>
                <c:pt idx="382">
                  <c:v>42.24</c:v>
                </c:pt>
                <c:pt idx="383">
                  <c:v>45.5</c:v>
                </c:pt>
                <c:pt idx="384">
                  <c:v>49.12</c:v>
                </c:pt>
                <c:pt idx="385">
                  <c:v>41.83</c:v>
                </c:pt>
                <c:pt idx="386">
                  <c:v>44.29</c:v>
                </c:pt>
                <c:pt idx="387">
                  <c:v>47.23</c:v>
                </c:pt>
                <c:pt idx="388">
                  <c:v>47.56</c:v>
                </c:pt>
                <c:pt idx="389">
                  <c:v>46.53</c:v>
                </c:pt>
                <c:pt idx="390">
                  <c:v>40.340000000000003</c:v>
                </c:pt>
                <c:pt idx="391">
                  <c:v>41.46</c:v>
                </c:pt>
                <c:pt idx="392">
                  <c:v>45.75</c:v>
                </c:pt>
                <c:pt idx="393">
                  <c:v>36.28</c:v>
                </c:pt>
                <c:pt idx="394">
                  <c:v>40.590000000000003</c:v>
                </c:pt>
                <c:pt idx="395">
                  <c:v>39.49</c:v>
                </c:pt>
                <c:pt idx="396">
                  <c:v>43.34</c:v>
                </c:pt>
                <c:pt idx="397">
                  <c:v>41.13</c:v>
                </c:pt>
                <c:pt idx="398">
                  <c:v>45.38</c:v>
                </c:pt>
                <c:pt idx="399">
                  <c:v>44.5</c:v>
                </c:pt>
                <c:pt idx="400">
                  <c:v>41.03</c:v>
                </c:pt>
                <c:pt idx="401">
                  <c:v>41.88</c:v>
                </c:pt>
                <c:pt idx="403">
                  <c:v>43.3</c:v>
                </c:pt>
                <c:pt idx="404">
                  <c:v>45.36</c:v>
                </c:pt>
                <c:pt idx="405">
                  <c:v>39.369999999999997</c:v>
                </c:pt>
                <c:pt idx="407">
                  <c:v>39.96</c:v>
                </c:pt>
                <c:pt idx="409">
                  <c:v>42.05</c:v>
                </c:pt>
                <c:pt idx="410">
                  <c:v>48.43</c:v>
                </c:pt>
                <c:pt idx="411">
                  <c:v>49.18</c:v>
                </c:pt>
                <c:pt idx="412">
                  <c:v>38.619999999999997</c:v>
                </c:pt>
                <c:pt idx="413">
                  <c:v>40.380000000000003</c:v>
                </c:pt>
                <c:pt idx="414">
                  <c:v>36.19</c:v>
                </c:pt>
                <c:pt idx="415">
                  <c:v>34.619999999999997</c:v>
                </c:pt>
                <c:pt idx="416">
                  <c:v>32.75</c:v>
                </c:pt>
                <c:pt idx="420">
                  <c:v>35.32</c:v>
                </c:pt>
                <c:pt idx="421">
                  <c:v>39.28</c:v>
                </c:pt>
                <c:pt idx="422">
                  <c:v>29.83</c:v>
                </c:pt>
                <c:pt idx="423">
                  <c:v>28.41</c:v>
                </c:pt>
                <c:pt idx="424">
                  <c:v>31.19</c:v>
                </c:pt>
                <c:pt idx="425">
                  <c:v>32.24</c:v>
                </c:pt>
                <c:pt idx="426">
                  <c:v>34.520000000000003</c:v>
                </c:pt>
                <c:pt idx="427">
                  <c:v>34.659999999999997</c:v>
                </c:pt>
                <c:pt idx="428">
                  <c:v>41.57</c:v>
                </c:pt>
                <c:pt idx="429">
                  <c:v>46.29</c:v>
                </c:pt>
                <c:pt idx="430">
                  <c:v>42.97</c:v>
                </c:pt>
                <c:pt idx="431">
                  <c:v>41.17</c:v>
                </c:pt>
                <c:pt idx="432">
                  <c:v>45.07</c:v>
                </c:pt>
                <c:pt idx="433">
                  <c:v>43.71</c:v>
                </c:pt>
                <c:pt idx="434">
                  <c:v>44.89</c:v>
                </c:pt>
                <c:pt idx="435">
                  <c:v>47.22</c:v>
                </c:pt>
                <c:pt idx="436">
                  <c:v>49.6</c:v>
                </c:pt>
                <c:pt idx="437">
                  <c:v>48.87</c:v>
                </c:pt>
                <c:pt idx="438">
                  <c:v>49.26</c:v>
                </c:pt>
                <c:pt idx="439">
                  <c:v>47.06</c:v>
                </c:pt>
                <c:pt idx="440">
                  <c:v>51.47</c:v>
                </c:pt>
                <c:pt idx="442">
                  <c:v>44.48</c:v>
                </c:pt>
                <c:pt idx="443">
                  <c:v>40.700000000000003</c:v>
                </c:pt>
                <c:pt idx="444">
                  <c:v>39.29</c:v>
                </c:pt>
                <c:pt idx="445">
                  <c:v>35.83</c:v>
                </c:pt>
                <c:pt idx="446">
                  <c:v>31.04</c:v>
                </c:pt>
                <c:pt idx="447">
                  <c:v>33.36</c:v>
                </c:pt>
                <c:pt idx="448">
                  <c:v>28.46</c:v>
                </c:pt>
                <c:pt idx="449">
                  <c:v>21.31</c:v>
                </c:pt>
                <c:pt idx="450">
                  <c:v>31.91</c:v>
                </c:pt>
                <c:pt idx="451">
                  <c:v>42.09</c:v>
                </c:pt>
                <c:pt idx="452">
                  <c:v>42.15</c:v>
                </c:pt>
                <c:pt idx="453">
                  <c:v>33.85</c:v>
                </c:pt>
                <c:pt idx="454">
                  <c:v>35.64</c:v>
                </c:pt>
                <c:pt idx="455">
                  <c:v>33.159999999999997</c:v>
                </c:pt>
                <c:pt idx="456">
                  <c:v>33.39</c:v>
                </c:pt>
                <c:pt idx="457">
                  <c:v>39.700000000000003</c:v>
                </c:pt>
                <c:pt idx="458">
                  <c:v>42.62</c:v>
                </c:pt>
                <c:pt idx="459">
                  <c:v>39.56</c:v>
                </c:pt>
                <c:pt idx="460">
                  <c:v>46.35</c:v>
                </c:pt>
                <c:pt idx="461">
                  <c:v>51.33</c:v>
                </c:pt>
                <c:pt idx="462">
                  <c:v>54.02</c:v>
                </c:pt>
                <c:pt idx="463">
                  <c:v>63.67</c:v>
                </c:pt>
                <c:pt idx="464">
                  <c:v>62.58</c:v>
                </c:pt>
                <c:pt idx="465">
                  <c:v>60.1</c:v>
                </c:pt>
                <c:pt idx="466">
                  <c:v>75.78</c:v>
                </c:pt>
                <c:pt idx="467">
                  <c:v>74.42</c:v>
                </c:pt>
                <c:pt idx="468">
                  <c:v>74.319999999999993</c:v>
                </c:pt>
                <c:pt idx="469">
                  <c:v>72.45</c:v>
                </c:pt>
                <c:pt idx="470">
                  <c:v>72.37</c:v>
                </c:pt>
                <c:pt idx="471">
                  <c:v>67.34</c:v>
                </c:pt>
                <c:pt idx="472">
                  <c:v>63.22</c:v>
                </c:pt>
                <c:pt idx="473">
                  <c:v>60.27</c:v>
                </c:pt>
                <c:pt idx="474">
                  <c:v>63.39</c:v>
                </c:pt>
                <c:pt idx="475">
                  <c:v>61.2</c:v>
                </c:pt>
                <c:pt idx="476">
                  <c:v>61.22</c:v>
                </c:pt>
                <c:pt idx="477">
                  <c:v>61.05</c:v>
                </c:pt>
                <c:pt idx="478">
                  <c:v>57.2</c:v>
                </c:pt>
                <c:pt idx="479">
                  <c:v>56.77</c:v>
                </c:pt>
                <c:pt idx="480">
                  <c:v>59.63</c:v>
                </c:pt>
                <c:pt idx="481">
                  <c:v>65.739999999999995</c:v>
                </c:pt>
                <c:pt idx="482">
                  <c:v>64.75</c:v>
                </c:pt>
                <c:pt idx="483">
                  <c:v>61.23</c:v>
                </c:pt>
                <c:pt idx="484">
                  <c:v>56.29</c:v>
                </c:pt>
                <c:pt idx="485">
                  <c:v>60.97</c:v>
                </c:pt>
                <c:pt idx="486">
                  <c:v>60.95</c:v>
                </c:pt>
                <c:pt idx="487">
                  <c:v>54.79</c:v>
                </c:pt>
                <c:pt idx="488">
                  <c:v>51.72</c:v>
                </c:pt>
                <c:pt idx="489">
                  <c:v>51.4</c:v>
                </c:pt>
                <c:pt idx="490">
                  <c:v>54.87</c:v>
                </c:pt>
                <c:pt idx="492">
                  <c:v>50.48</c:v>
                </c:pt>
                <c:pt idx="493">
                  <c:v>44.02</c:v>
                </c:pt>
                <c:pt idx="494">
                  <c:v>44.77</c:v>
                </c:pt>
                <c:pt idx="495">
                  <c:v>37.659999999999997</c:v>
                </c:pt>
                <c:pt idx="496">
                  <c:v>38.75</c:v>
                </c:pt>
                <c:pt idx="497">
                  <c:v>45.22</c:v>
                </c:pt>
                <c:pt idx="498">
                  <c:v>53.61</c:v>
                </c:pt>
                <c:pt idx="499">
                  <c:v>52.29</c:v>
                </c:pt>
                <c:pt idx="500">
                  <c:v>45.74</c:v>
                </c:pt>
                <c:pt idx="501">
                  <c:v>52.94</c:v>
                </c:pt>
                <c:pt idx="502">
                  <c:v>50.68</c:v>
                </c:pt>
                <c:pt idx="503">
                  <c:v>51.26</c:v>
                </c:pt>
                <c:pt idx="504">
                  <c:v>54.04</c:v>
                </c:pt>
                <c:pt idx="505">
                  <c:v>50.68</c:v>
                </c:pt>
                <c:pt idx="506">
                  <c:v>55.15</c:v>
                </c:pt>
                <c:pt idx="508">
                  <c:v>52.42</c:v>
                </c:pt>
                <c:pt idx="509">
                  <c:v>51.86</c:v>
                </c:pt>
                <c:pt idx="510">
                  <c:v>52.9</c:v>
                </c:pt>
                <c:pt idx="511">
                  <c:v>53.05</c:v>
                </c:pt>
                <c:pt idx="512">
                  <c:v>57.78</c:v>
                </c:pt>
                <c:pt idx="513">
                  <c:v>57.86</c:v>
                </c:pt>
                <c:pt idx="515">
                  <c:v>49.01</c:v>
                </c:pt>
                <c:pt idx="516">
                  <c:v>50.19</c:v>
                </c:pt>
                <c:pt idx="518">
                  <c:v>49.74</c:v>
                </c:pt>
                <c:pt idx="519">
                  <c:v>47.67</c:v>
                </c:pt>
                <c:pt idx="520">
                  <c:v>46.53</c:v>
                </c:pt>
                <c:pt idx="521">
                  <c:v>43.55</c:v>
                </c:pt>
                <c:pt idx="522">
                  <c:v>51.07</c:v>
                </c:pt>
                <c:pt idx="523">
                  <c:v>38.74</c:v>
                </c:pt>
                <c:pt idx="524">
                  <c:v>40.64</c:v>
                </c:pt>
                <c:pt idx="525">
                  <c:v>41.79</c:v>
                </c:pt>
                <c:pt idx="526">
                  <c:v>48.73</c:v>
                </c:pt>
                <c:pt idx="527">
                  <c:v>42.7</c:v>
                </c:pt>
                <c:pt idx="528">
                  <c:v>45.21</c:v>
                </c:pt>
                <c:pt idx="529">
                  <c:v>55.73</c:v>
                </c:pt>
                <c:pt idx="530">
                  <c:v>60.71</c:v>
                </c:pt>
                <c:pt idx="531">
                  <c:v>64.319999999999993</c:v>
                </c:pt>
                <c:pt idx="533">
                  <c:v>61.59</c:v>
                </c:pt>
                <c:pt idx="534">
                  <c:v>63.32</c:v>
                </c:pt>
                <c:pt idx="535">
                  <c:v>63.59</c:v>
                </c:pt>
                <c:pt idx="536">
                  <c:v>69.27</c:v>
                </c:pt>
                <c:pt idx="537">
                  <c:v>64.72</c:v>
                </c:pt>
                <c:pt idx="538">
                  <c:v>76.05</c:v>
                </c:pt>
                <c:pt idx="539">
                  <c:v>72.349999999999994</c:v>
                </c:pt>
                <c:pt idx="540">
                  <c:v>72.69</c:v>
                </c:pt>
                <c:pt idx="541">
                  <c:v>70.09</c:v>
                </c:pt>
                <c:pt idx="542">
                  <c:v>69.98</c:v>
                </c:pt>
                <c:pt idx="543">
                  <c:v>68.790000000000006</c:v>
                </c:pt>
                <c:pt idx="544">
                  <c:v>65.63</c:v>
                </c:pt>
                <c:pt idx="545">
                  <c:v>67.48</c:v>
                </c:pt>
                <c:pt idx="546">
                  <c:v>68.28</c:v>
                </c:pt>
                <c:pt idx="547">
                  <c:v>60.59</c:v>
                </c:pt>
                <c:pt idx="548">
                  <c:v>51.92</c:v>
                </c:pt>
                <c:pt idx="549">
                  <c:v>53.75</c:v>
                </c:pt>
                <c:pt idx="550">
                  <c:v>48.97</c:v>
                </c:pt>
                <c:pt idx="551">
                  <c:v>59.72</c:v>
                </c:pt>
                <c:pt idx="552">
                  <c:v>60.59</c:v>
                </c:pt>
                <c:pt idx="553">
                  <c:v>59.15</c:v>
                </c:pt>
                <c:pt idx="554">
                  <c:v>52.49</c:v>
                </c:pt>
                <c:pt idx="555">
                  <c:v>58.7</c:v>
                </c:pt>
                <c:pt idx="556">
                  <c:v>51.87</c:v>
                </c:pt>
                <c:pt idx="557">
                  <c:v>49.95</c:v>
                </c:pt>
                <c:pt idx="558">
                  <c:v>54.74</c:v>
                </c:pt>
                <c:pt idx="559">
                  <c:v>64.069999999999993</c:v>
                </c:pt>
                <c:pt idx="561">
                  <c:v>54.9</c:v>
                </c:pt>
                <c:pt idx="562">
                  <c:v>54.69</c:v>
                </c:pt>
                <c:pt idx="563">
                  <c:v>51.83</c:v>
                </c:pt>
                <c:pt idx="564">
                  <c:v>58.88</c:v>
                </c:pt>
                <c:pt idx="565">
                  <c:v>58.16</c:v>
                </c:pt>
                <c:pt idx="566">
                  <c:v>57.47</c:v>
                </c:pt>
                <c:pt idx="567">
                  <c:v>53.72</c:v>
                </c:pt>
                <c:pt idx="568">
                  <c:v>54.61</c:v>
                </c:pt>
                <c:pt idx="569">
                  <c:v>55.4</c:v>
                </c:pt>
                <c:pt idx="570">
                  <c:v>52.94</c:v>
                </c:pt>
                <c:pt idx="571">
                  <c:v>51.64</c:v>
                </c:pt>
                <c:pt idx="572">
                  <c:v>53.2</c:v>
                </c:pt>
                <c:pt idx="573">
                  <c:v>58.53</c:v>
                </c:pt>
                <c:pt idx="576">
                  <c:v>51.27</c:v>
                </c:pt>
                <c:pt idx="577">
                  <c:v>50.15</c:v>
                </c:pt>
                <c:pt idx="578">
                  <c:v>45.47</c:v>
                </c:pt>
                <c:pt idx="579">
                  <c:v>45.32</c:v>
                </c:pt>
                <c:pt idx="580">
                  <c:v>50.03</c:v>
                </c:pt>
                <c:pt idx="581">
                  <c:v>41.17</c:v>
                </c:pt>
                <c:pt idx="582">
                  <c:v>36.380000000000003</c:v>
                </c:pt>
                <c:pt idx="583">
                  <c:v>41.17</c:v>
                </c:pt>
                <c:pt idx="584">
                  <c:v>41.74</c:v>
                </c:pt>
                <c:pt idx="585">
                  <c:v>39.96</c:v>
                </c:pt>
                <c:pt idx="586">
                  <c:v>40.14</c:v>
                </c:pt>
                <c:pt idx="587">
                  <c:v>43.53</c:v>
                </c:pt>
                <c:pt idx="588">
                  <c:v>45.93</c:v>
                </c:pt>
                <c:pt idx="589">
                  <c:v>46.54</c:v>
                </c:pt>
                <c:pt idx="590">
                  <c:v>47.96</c:v>
                </c:pt>
                <c:pt idx="591">
                  <c:v>36.450000000000003</c:v>
                </c:pt>
                <c:pt idx="592">
                  <c:v>31.39</c:v>
                </c:pt>
                <c:pt idx="593">
                  <c:v>37.869999999999997</c:v>
                </c:pt>
                <c:pt idx="594">
                  <c:v>42.44</c:v>
                </c:pt>
                <c:pt idx="595">
                  <c:v>42.72</c:v>
                </c:pt>
                <c:pt idx="596">
                  <c:v>44.8</c:v>
                </c:pt>
                <c:pt idx="597">
                  <c:v>44.96</c:v>
                </c:pt>
                <c:pt idx="598">
                  <c:v>50.77</c:v>
                </c:pt>
                <c:pt idx="599">
                  <c:v>56.13</c:v>
                </c:pt>
                <c:pt idx="600">
                  <c:v>57.34</c:v>
                </c:pt>
                <c:pt idx="601">
                  <c:v>57.39</c:v>
                </c:pt>
                <c:pt idx="602">
                  <c:v>58.56</c:v>
                </c:pt>
                <c:pt idx="603">
                  <c:v>75.78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41-46BC-936D-B77EF2353571}"/>
            </c:ext>
          </c:extLst>
        </c:ser>
        <c:ser>
          <c:idx val="1"/>
          <c:order val="1"/>
          <c:tx>
            <c:strRef>
              <c:f>'미국 RSI'!$B$1</c:f>
              <c:strCache>
                <c:ptCount val="1"/>
                <c:pt idx="0">
                  <c:v>기술(US)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RSI'!$B$69:$B$3068</c:f>
              <c:numCache>
                <c:formatCode>0.00</c:formatCode>
                <c:ptCount val="3000"/>
                <c:pt idx="0">
                  <c:v>72.78</c:v>
                </c:pt>
                <c:pt idx="1">
                  <c:v>69.349999999999994</c:v>
                </c:pt>
                <c:pt idx="2">
                  <c:v>70.39</c:v>
                </c:pt>
                <c:pt idx="3">
                  <c:v>68.94</c:v>
                </c:pt>
                <c:pt idx="4">
                  <c:v>76.47</c:v>
                </c:pt>
                <c:pt idx="5">
                  <c:v>76.16</c:v>
                </c:pt>
                <c:pt idx="6">
                  <c:v>71.83</c:v>
                </c:pt>
                <c:pt idx="7">
                  <c:v>78.64</c:v>
                </c:pt>
                <c:pt idx="8">
                  <c:v>75.36</c:v>
                </c:pt>
                <c:pt idx="9">
                  <c:v>75.23</c:v>
                </c:pt>
                <c:pt idx="10">
                  <c:v>75.02</c:v>
                </c:pt>
                <c:pt idx="11">
                  <c:v>72.69</c:v>
                </c:pt>
                <c:pt idx="12">
                  <c:v>70.819999999999993</c:v>
                </c:pt>
                <c:pt idx="13">
                  <c:v>68.040000000000006</c:v>
                </c:pt>
                <c:pt idx="14">
                  <c:v>64.97</c:v>
                </c:pt>
                <c:pt idx="15">
                  <c:v>60.45</c:v>
                </c:pt>
                <c:pt idx="16">
                  <c:v>59.56</c:v>
                </c:pt>
                <c:pt idx="17">
                  <c:v>58.96</c:v>
                </c:pt>
                <c:pt idx="18">
                  <c:v>51.56</c:v>
                </c:pt>
                <c:pt idx="19">
                  <c:v>50.29</c:v>
                </c:pt>
                <c:pt idx="21">
                  <c:v>48.78</c:v>
                </c:pt>
                <c:pt idx="22">
                  <c:v>46.71</c:v>
                </c:pt>
                <c:pt idx="23">
                  <c:v>42.73</c:v>
                </c:pt>
                <c:pt idx="24">
                  <c:v>29.59</c:v>
                </c:pt>
                <c:pt idx="25">
                  <c:v>32.72</c:v>
                </c:pt>
                <c:pt idx="26">
                  <c:v>36.53</c:v>
                </c:pt>
                <c:pt idx="27">
                  <c:v>44.49</c:v>
                </c:pt>
                <c:pt idx="28">
                  <c:v>42.83</c:v>
                </c:pt>
                <c:pt idx="29">
                  <c:v>44.45</c:v>
                </c:pt>
                <c:pt idx="30">
                  <c:v>40.1</c:v>
                </c:pt>
                <c:pt idx="31">
                  <c:v>46.49</c:v>
                </c:pt>
                <c:pt idx="32">
                  <c:v>45.28</c:v>
                </c:pt>
                <c:pt idx="33">
                  <c:v>48.72</c:v>
                </c:pt>
                <c:pt idx="34">
                  <c:v>46.92</c:v>
                </c:pt>
                <c:pt idx="35">
                  <c:v>41.98</c:v>
                </c:pt>
                <c:pt idx="36">
                  <c:v>43.97</c:v>
                </c:pt>
                <c:pt idx="37">
                  <c:v>49.41</c:v>
                </c:pt>
                <c:pt idx="38">
                  <c:v>47.86</c:v>
                </c:pt>
                <c:pt idx="39">
                  <c:v>47.86</c:v>
                </c:pt>
                <c:pt idx="40">
                  <c:v>42.24</c:v>
                </c:pt>
                <c:pt idx="41">
                  <c:v>47.84</c:v>
                </c:pt>
                <c:pt idx="42">
                  <c:v>47.08</c:v>
                </c:pt>
                <c:pt idx="43">
                  <c:v>41.59</c:v>
                </c:pt>
                <c:pt idx="44">
                  <c:v>45.4</c:v>
                </c:pt>
                <c:pt idx="45">
                  <c:v>43.57</c:v>
                </c:pt>
                <c:pt idx="46">
                  <c:v>47.88</c:v>
                </c:pt>
                <c:pt idx="47">
                  <c:v>52.13</c:v>
                </c:pt>
                <c:pt idx="48">
                  <c:v>46.15</c:v>
                </c:pt>
                <c:pt idx="49">
                  <c:v>41.62</c:v>
                </c:pt>
                <c:pt idx="50">
                  <c:v>46.37</c:v>
                </c:pt>
                <c:pt idx="51">
                  <c:v>44.71</c:v>
                </c:pt>
                <c:pt idx="52">
                  <c:v>46.1</c:v>
                </c:pt>
                <c:pt idx="53">
                  <c:v>42.73</c:v>
                </c:pt>
                <c:pt idx="54">
                  <c:v>42.87</c:v>
                </c:pt>
                <c:pt idx="55">
                  <c:v>42.1</c:v>
                </c:pt>
                <c:pt idx="56">
                  <c:v>48.61</c:v>
                </c:pt>
                <c:pt idx="57">
                  <c:v>47.77</c:v>
                </c:pt>
                <c:pt idx="58">
                  <c:v>49.19</c:v>
                </c:pt>
                <c:pt idx="59">
                  <c:v>44.98</c:v>
                </c:pt>
                <c:pt idx="60">
                  <c:v>32.03</c:v>
                </c:pt>
                <c:pt idx="61">
                  <c:v>35.549999999999997</c:v>
                </c:pt>
                <c:pt idx="62">
                  <c:v>42.43</c:v>
                </c:pt>
                <c:pt idx="63">
                  <c:v>49.58</c:v>
                </c:pt>
                <c:pt idx="64">
                  <c:v>45.91</c:v>
                </c:pt>
                <c:pt idx="65">
                  <c:v>53.8</c:v>
                </c:pt>
                <c:pt idx="66">
                  <c:v>61.55</c:v>
                </c:pt>
                <c:pt idx="67">
                  <c:v>58.79</c:v>
                </c:pt>
                <c:pt idx="68">
                  <c:v>53.64</c:v>
                </c:pt>
                <c:pt idx="69">
                  <c:v>50.76</c:v>
                </c:pt>
                <c:pt idx="70">
                  <c:v>50.15</c:v>
                </c:pt>
                <c:pt idx="71">
                  <c:v>47.06</c:v>
                </c:pt>
                <c:pt idx="72">
                  <c:v>40.770000000000003</c:v>
                </c:pt>
                <c:pt idx="74">
                  <c:v>51.72</c:v>
                </c:pt>
                <c:pt idx="75">
                  <c:v>51.2</c:v>
                </c:pt>
                <c:pt idx="76">
                  <c:v>48.79</c:v>
                </c:pt>
                <c:pt idx="77">
                  <c:v>54.66</c:v>
                </c:pt>
                <c:pt idx="78">
                  <c:v>55.74</c:v>
                </c:pt>
                <c:pt idx="79">
                  <c:v>53.99</c:v>
                </c:pt>
                <c:pt idx="80">
                  <c:v>48.34</c:v>
                </c:pt>
                <c:pt idx="81">
                  <c:v>56.01</c:v>
                </c:pt>
                <c:pt idx="82">
                  <c:v>56.44</c:v>
                </c:pt>
                <c:pt idx="83">
                  <c:v>50.38</c:v>
                </c:pt>
                <c:pt idx="84">
                  <c:v>49.34</c:v>
                </c:pt>
                <c:pt idx="85">
                  <c:v>48.31</c:v>
                </c:pt>
                <c:pt idx="86">
                  <c:v>52.65</c:v>
                </c:pt>
                <c:pt idx="87">
                  <c:v>54.09</c:v>
                </c:pt>
                <c:pt idx="88">
                  <c:v>56.14</c:v>
                </c:pt>
                <c:pt idx="89">
                  <c:v>55.59</c:v>
                </c:pt>
                <c:pt idx="90">
                  <c:v>54.8</c:v>
                </c:pt>
                <c:pt idx="91">
                  <c:v>53.05</c:v>
                </c:pt>
                <c:pt idx="92">
                  <c:v>51.82</c:v>
                </c:pt>
                <c:pt idx="93">
                  <c:v>44.43</c:v>
                </c:pt>
                <c:pt idx="94">
                  <c:v>38.25</c:v>
                </c:pt>
                <c:pt idx="95">
                  <c:v>45.11</c:v>
                </c:pt>
                <c:pt idx="96">
                  <c:v>44.35</c:v>
                </c:pt>
                <c:pt idx="97">
                  <c:v>47.63</c:v>
                </c:pt>
                <c:pt idx="98">
                  <c:v>60.4</c:v>
                </c:pt>
                <c:pt idx="99">
                  <c:v>63.19</c:v>
                </c:pt>
                <c:pt idx="100">
                  <c:v>61.66</c:v>
                </c:pt>
                <c:pt idx="101">
                  <c:v>60.82</c:v>
                </c:pt>
                <c:pt idx="102">
                  <c:v>58.61</c:v>
                </c:pt>
                <c:pt idx="103">
                  <c:v>56.24</c:v>
                </c:pt>
                <c:pt idx="104">
                  <c:v>55.03</c:v>
                </c:pt>
                <c:pt idx="105">
                  <c:v>54.27</c:v>
                </c:pt>
                <c:pt idx="106">
                  <c:v>51.02</c:v>
                </c:pt>
                <c:pt idx="107">
                  <c:v>50.88</c:v>
                </c:pt>
                <c:pt idx="109">
                  <c:v>48.25</c:v>
                </c:pt>
                <c:pt idx="110">
                  <c:v>44.49</c:v>
                </c:pt>
                <c:pt idx="111">
                  <c:v>43.63</c:v>
                </c:pt>
                <c:pt idx="112">
                  <c:v>35.61</c:v>
                </c:pt>
                <c:pt idx="113">
                  <c:v>34.200000000000003</c:v>
                </c:pt>
                <c:pt idx="114">
                  <c:v>41.21</c:v>
                </c:pt>
                <c:pt idx="115">
                  <c:v>38.64</c:v>
                </c:pt>
                <c:pt idx="116">
                  <c:v>42.76</c:v>
                </c:pt>
                <c:pt idx="117">
                  <c:v>47.34</c:v>
                </c:pt>
                <c:pt idx="118">
                  <c:v>45.47</c:v>
                </c:pt>
                <c:pt idx="119">
                  <c:v>53.84</c:v>
                </c:pt>
                <c:pt idx="120">
                  <c:v>52.84</c:v>
                </c:pt>
                <c:pt idx="121">
                  <c:v>55.97</c:v>
                </c:pt>
                <c:pt idx="122">
                  <c:v>47.55</c:v>
                </c:pt>
                <c:pt idx="123">
                  <c:v>48.72</c:v>
                </c:pt>
                <c:pt idx="124">
                  <c:v>56.39</c:v>
                </c:pt>
                <c:pt idx="125">
                  <c:v>55.11</c:v>
                </c:pt>
                <c:pt idx="126">
                  <c:v>67.84</c:v>
                </c:pt>
                <c:pt idx="127">
                  <c:v>66.739999999999995</c:v>
                </c:pt>
                <c:pt idx="128">
                  <c:v>66.489999999999995</c:v>
                </c:pt>
                <c:pt idx="129">
                  <c:v>73.099999999999994</c:v>
                </c:pt>
                <c:pt idx="130">
                  <c:v>71.58</c:v>
                </c:pt>
                <c:pt idx="131">
                  <c:v>69.38</c:v>
                </c:pt>
                <c:pt idx="132">
                  <c:v>64.760000000000005</c:v>
                </c:pt>
                <c:pt idx="133">
                  <c:v>60.12</c:v>
                </c:pt>
                <c:pt idx="134">
                  <c:v>55.79</c:v>
                </c:pt>
                <c:pt idx="135">
                  <c:v>60.63</c:v>
                </c:pt>
                <c:pt idx="136">
                  <c:v>60.46</c:v>
                </c:pt>
                <c:pt idx="137">
                  <c:v>56.85</c:v>
                </c:pt>
                <c:pt idx="138">
                  <c:v>56.26</c:v>
                </c:pt>
                <c:pt idx="139">
                  <c:v>56.03</c:v>
                </c:pt>
                <c:pt idx="140">
                  <c:v>52.95</c:v>
                </c:pt>
                <c:pt idx="141">
                  <c:v>57.89</c:v>
                </c:pt>
                <c:pt idx="142">
                  <c:v>49.84</c:v>
                </c:pt>
                <c:pt idx="143">
                  <c:v>72.14</c:v>
                </c:pt>
                <c:pt idx="144">
                  <c:v>73.41</c:v>
                </c:pt>
                <c:pt idx="145">
                  <c:v>68.09</c:v>
                </c:pt>
                <c:pt idx="146">
                  <c:v>73.31</c:v>
                </c:pt>
                <c:pt idx="147">
                  <c:v>70.12</c:v>
                </c:pt>
                <c:pt idx="148">
                  <c:v>74.23</c:v>
                </c:pt>
                <c:pt idx="149">
                  <c:v>72.64</c:v>
                </c:pt>
                <c:pt idx="150">
                  <c:v>69.5</c:v>
                </c:pt>
                <c:pt idx="151">
                  <c:v>67.59</c:v>
                </c:pt>
                <c:pt idx="152">
                  <c:v>65.63</c:v>
                </c:pt>
                <c:pt idx="153">
                  <c:v>64.52</c:v>
                </c:pt>
                <c:pt idx="154">
                  <c:v>65.67</c:v>
                </c:pt>
                <c:pt idx="155">
                  <c:v>69.78</c:v>
                </c:pt>
                <c:pt idx="156">
                  <c:v>76</c:v>
                </c:pt>
                <c:pt idx="157">
                  <c:v>72.510000000000005</c:v>
                </c:pt>
                <c:pt idx="158">
                  <c:v>69.42</c:v>
                </c:pt>
                <c:pt idx="159">
                  <c:v>62.95</c:v>
                </c:pt>
                <c:pt idx="160">
                  <c:v>65.53</c:v>
                </c:pt>
                <c:pt idx="161">
                  <c:v>68.150000000000006</c:v>
                </c:pt>
                <c:pt idx="162">
                  <c:v>64.790000000000006</c:v>
                </c:pt>
                <c:pt idx="163">
                  <c:v>65.260000000000005</c:v>
                </c:pt>
                <c:pt idx="164">
                  <c:v>64.03</c:v>
                </c:pt>
                <c:pt idx="165">
                  <c:v>56.47</c:v>
                </c:pt>
                <c:pt idx="166">
                  <c:v>55.55</c:v>
                </c:pt>
                <c:pt idx="167">
                  <c:v>51.9</c:v>
                </c:pt>
                <c:pt idx="168">
                  <c:v>51.48</c:v>
                </c:pt>
                <c:pt idx="169">
                  <c:v>49.1</c:v>
                </c:pt>
                <c:pt idx="170">
                  <c:v>46.16</c:v>
                </c:pt>
                <c:pt idx="172">
                  <c:v>50.83</c:v>
                </c:pt>
                <c:pt idx="173">
                  <c:v>59.45</c:v>
                </c:pt>
                <c:pt idx="174">
                  <c:v>55.9</c:v>
                </c:pt>
                <c:pt idx="175">
                  <c:v>53.32</c:v>
                </c:pt>
                <c:pt idx="176">
                  <c:v>51.08</c:v>
                </c:pt>
                <c:pt idx="177">
                  <c:v>52.23</c:v>
                </c:pt>
                <c:pt idx="178">
                  <c:v>45.47</c:v>
                </c:pt>
                <c:pt idx="179">
                  <c:v>47.13</c:v>
                </c:pt>
                <c:pt idx="180">
                  <c:v>50.33</c:v>
                </c:pt>
                <c:pt idx="181">
                  <c:v>60.36</c:v>
                </c:pt>
                <c:pt idx="182">
                  <c:v>59.44</c:v>
                </c:pt>
                <c:pt idx="183">
                  <c:v>64.38</c:v>
                </c:pt>
                <c:pt idx="184">
                  <c:v>65.83</c:v>
                </c:pt>
                <c:pt idx="185">
                  <c:v>65.709999999999994</c:v>
                </c:pt>
                <c:pt idx="186">
                  <c:v>60.24</c:v>
                </c:pt>
                <c:pt idx="187">
                  <c:v>64.44</c:v>
                </c:pt>
                <c:pt idx="188">
                  <c:v>60.72</c:v>
                </c:pt>
                <c:pt idx="189">
                  <c:v>60.37</c:v>
                </c:pt>
                <c:pt idx="190">
                  <c:v>55.91</c:v>
                </c:pt>
                <c:pt idx="191">
                  <c:v>60.6</c:v>
                </c:pt>
                <c:pt idx="192">
                  <c:v>51.5</c:v>
                </c:pt>
                <c:pt idx="193">
                  <c:v>67.150000000000006</c:v>
                </c:pt>
                <c:pt idx="194">
                  <c:v>74.319999999999993</c:v>
                </c:pt>
                <c:pt idx="195">
                  <c:v>73.52</c:v>
                </c:pt>
                <c:pt idx="196">
                  <c:v>73.510000000000005</c:v>
                </c:pt>
                <c:pt idx="197">
                  <c:v>70.72</c:v>
                </c:pt>
                <c:pt idx="198">
                  <c:v>69.88</c:v>
                </c:pt>
                <c:pt idx="199">
                  <c:v>68.33</c:v>
                </c:pt>
                <c:pt idx="200">
                  <c:v>66.150000000000006</c:v>
                </c:pt>
                <c:pt idx="201">
                  <c:v>73.87</c:v>
                </c:pt>
                <c:pt idx="202">
                  <c:v>73.47</c:v>
                </c:pt>
                <c:pt idx="203">
                  <c:v>74</c:v>
                </c:pt>
                <c:pt idx="204">
                  <c:v>71.34</c:v>
                </c:pt>
                <c:pt idx="205">
                  <c:v>70.38</c:v>
                </c:pt>
                <c:pt idx="206">
                  <c:v>67.52</c:v>
                </c:pt>
                <c:pt idx="207">
                  <c:v>68.08</c:v>
                </c:pt>
                <c:pt idx="208">
                  <c:v>71.05</c:v>
                </c:pt>
                <c:pt idx="209">
                  <c:v>73.290000000000006</c:v>
                </c:pt>
                <c:pt idx="210">
                  <c:v>71.790000000000006</c:v>
                </c:pt>
                <c:pt idx="211">
                  <c:v>70.430000000000007</c:v>
                </c:pt>
                <c:pt idx="213">
                  <c:v>75.48</c:v>
                </c:pt>
                <c:pt idx="214">
                  <c:v>72.48</c:v>
                </c:pt>
                <c:pt idx="215">
                  <c:v>69.75</c:v>
                </c:pt>
                <c:pt idx="216">
                  <c:v>75.69</c:v>
                </c:pt>
                <c:pt idx="217">
                  <c:v>73.400000000000006</c:v>
                </c:pt>
                <c:pt idx="218">
                  <c:v>74.19</c:v>
                </c:pt>
                <c:pt idx="219">
                  <c:v>72.62</c:v>
                </c:pt>
                <c:pt idx="220">
                  <c:v>70.58</c:v>
                </c:pt>
                <c:pt idx="221">
                  <c:v>65.680000000000007</c:v>
                </c:pt>
                <c:pt idx="222">
                  <c:v>62.58</c:v>
                </c:pt>
                <c:pt idx="224">
                  <c:v>65.08</c:v>
                </c:pt>
                <c:pt idx="225">
                  <c:v>64.72</c:v>
                </c:pt>
                <c:pt idx="226">
                  <c:v>68.56</c:v>
                </c:pt>
                <c:pt idx="227">
                  <c:v>64.12</c:v>
                </c:pt>
                <c:pt idx="228">
                  <c:v>72.48</c:v>
                </c:pt>
                <c:pt idx="229">
                  <c:v>70.099999999999994</c:v>
                </c:pt>
                <c:pt idx="230">
                  <c:v>71.459999999999994</c:v>
                </c:pt>
                <c:pt idx="231">
                  <c:v>70.099999999999994</c:v>
                </c:pt>
                <c:pt idx="232">
                  <c:v>68.900000000000006</c:v>
                </c:pt>
                <c:pt idx="233">
                  <c:v>66.510000000000005</c:v>
                </c:pt>
                <c:pt idx="234">
                  <c:v>67.97</c:v>
                </c:pt>
                <c:pt idx="235">
                  <c:v>67.62</c:v>
                </c:pt>
                <c:pt idx="236">
                  <c:v>64.040000000000006</c:v>
                </c:pt>
                <c:pt idx="237">
                  <c:v>61.75</c:v>
                </c:pt>
                <c:pt idx="238">
                  <c:v>63.07</c:v>
                </c:pt>
                <c:pt idx="239">
                  <c:v>62.67</c:v>
                </c:pt>
                <c:pt idx="240">
                  <c:v>64.260000000000005</c:v>
                </c:pt>
                <c:pt idx="242">
                  <c:v>58.8</c:v>
                </c:pt>
                <c:pt idx="243">
                  <c:v>62.99</c:v>
                </c:pt>
                <c:pt idx="244">
                  <c:v>62.94</c:v>
                </c:pt>
                <c:pt idx="245">
                  <c:v>70.459999999999994</c:v>
                </c:pt>
                <c:pt idx="246">
                  <c:v>72.06</c:v>
                </c:pt>
                <c:pt idx="247">
                  <c:v>72.66</c:v>
                </c:pt>
                <c:pt idx="248">
                  <c:v>72.38</c:v>
                </c:pt>
                <c:pt idx="249">
                  <c:v>72.2</c:v>
                </c:pt>
                <c:pt idx="250">
                  <c:v>71.34</c:v>
                </c:pt>
                <c:pt idx="251">
                  <c:v>68.41</c:v>
                </c:pt>
                <c:pt idx="252">
                  <c:v>60.76</c:v>
                </c:pt>
                <c:pt idx="253">
                  <c:v>61.12</c:v>
                </c:pt>
                <c:pt idx="254">
                  <c:v>59.38</c:v>
                </c:pt>
                <c:pt idx="255">
                  <c:v>57.55</c:v>
                </c:pt>
                <c:pt idx="256">
                  <c:v>59.64</c:v>
                </c:pt>
                <c:pt idx="257">
                  <c:v>60.96</c:v>
                </c:pt>
                <c:pt idx="258">
                  <c:v>58.3</c:v>
                </c:pt>
                <c:pt idx="259">
                  <c:v>55.89</c:v>
                </c:pt>
                <c:pt idx="260">
                  <c:v>55.21</c:v>
                </c:pt>
                <c:pt idx="261">
                  <c:v>54.49</c:v>
                </c:pt>
                <c:pt idx="262">
                  <c:v>54.77</c:v>
                </c:pt>
                <c:pt idx="263">
                  <c:v>52.69</c:v>
                </c:pt>
                <c:pt idx="264">
                  <c:v>47.2</c:v>
                </c:pt>
                <c:pt idx="265">
                  <c:v>42.52</c:v>
                </c:pt>
                <c:pt idx="266">
                  <c:v>38.36</c:v>
                </c:pt>
                <c:pt idx="268">
                  <c:v>41.39</c:v>
                </c:pt>
                <c:pt idx="269">
                  <c:v>42.04</c:v>
                </c:pt>
                <c:pt idx="270">
                  <c:v>46.54</c:v>
                </c:pt>
                <c:pt idx="271">
                  <c:v>45.98</c:v>
                </c:pt>
                <c:pt idx="272">
                  <c:v>44.64</c:v>
                </c:pt>
                <c:pt idx="273">
                  <c:v>41.68</c:v>
                </c:pt>
                <c:pt idx="274">
                  <c:v>47.27</c:v>
                </c:pt>
                <c:pt idx="275">
                  <c:v>22.86</c:v>
                </c:pt>
                <c:pt idx="276">
                  <c:v>24.49</c:v>
                </c:pt>
                <c:pt idx="277">
                  <c:v>23</c:v>
                </c:pt>
                <c:pt idx="278">
                  <c:v>29.33</c:v>
                </c:pt>
                <c:pt idx="279">
                  <c:v>40.97</c:v>
                </c:pt>
                <c:pt idx="280">
                  <c:v>38.53</c:v>
                </c:pt>
                <c:pt idx="281">
                  <c:v>36.130000000000003</c:v>
                </c:pt>
                <c:pt idx="282">
                  <c:v>35.97</c:v>
                </c:pt>
                <c:pt idx="283">
                  <c:v>40.64</c:v>
                </c:pt>
                <c:pt idx="284">
                  <c:v>42.61</c:v>
                </c:pt>
                <c:pt idx="285">
                  <c:v>47.94</c:v>
                </c:pt>
                <c:pt idx="286">
                  <c:v>47.03</c:v>
                </c:pt>
                <c:pt idx="287">
                  <c:v>42.25</c:v>
                </c:pt>
                <c:pt idx="288">
                  <c:v>41.47</c:v>
                </c:pt>
                <c:pt idx="289">
                  <c:v>42.88</c:v>
                </c:pt>
                <c:pt idx="290">
                  <c:v>39.44</c:v>
                </c:pt>
                <c:pt idx="291">
                  <c:v>42.25</c:v>
                </c:pt>
                <c:pt idx="292">
                  <c:v>40.46</c:v>
                </c:pt>
                <c:pt idx="293">
                  <c:v>32.22</c:v>
                </c:pt>
                <c:pt idx="294">
                  <c:v>35.11</c:v>
                </c:pt>
                <c:pt idx="295">
                  <c:v>30.38</c:v>
                </c:pt>
                <c:pt idx="296">
                  <c:v>30.92</c:v>
                </c:pt>
                <c:pt idx="297">
                  <c:v>37.76</c:v>
                </c:pt>
                <c:pt idx="298">
                  <c:v>33.15</c:v>
                </c:pt>
                <c:pt idx="299">
                  <c:v>38.35</c:v>
                </c:pt>
                <c:pt idx="300">
                  <c:v>33.520000000000003</c:v>
                </c:pt>
                <c:pt idx="301">
                  <c:v>33.65</c:v>
                </c:pt>
                <c:pt idx="302">
                  <c:v>39.659999999999997</c:v>
                </c:pt>
                <c:pt idx="303">
                  <c:v>35.049999999999997</c:v>
                </c:pt>
                <c:pt idx="304">
                  <c:v>43.99</c:v>
                </c:pt>
                <c:pt idx="305">
                  <c:v>39.76</c:v>
                </c:pt>
                <c:pt idx="306">
                  <c:v>43.43</c:v>
                </c:pt>
                <c:pt idx="307">
                  <c:v>48.04</c:v>
                </c:pt>
                <c:pt idx="308">
                  <c:v>59.43</c:v>
                </c:pt>
                <c:pt idx="309">
                  <c:v>61.01</c:v>
                </c:pt>
                <c:pt idx="310">
                  <c:v>60.99</c:v>
                </c:pt>
                <c:pt idx="312">
                  <c:v>58.26</c:v>
                </c:pt>
                <c:pt idx="313">
                  <c:v>57.24</c:v>
                </c:pt>
                <c:pt idx="314">
                  <c:v>52.79</c:v>
                </c:pt>
                <c:pt idx="315">
                  <c:v>53.58</c:v>
                </c:pt>
                <c:pt idx="316">
                  <c:v>53.44</c:v>
                </c:pt>
                <c:pt idx="317">
                  <c:v>49.04</c:v>
                </c:pt>
                <c:pt idx="318">
                  <c:v>51.72</c:v>
                </c:pt>
                <c:pt idx="319">
                  <c:v>50.93</c:v>
                </c:pt>
                <c:pt idx="320">
                  <c:v>46.87</c:v>
                </c:pt>
                <c:pt idx="321">
                  <c:v>42.33</c:v>
                </c:pt>
                <c:pt idx="322">
                  <c:v>45.77</c:v>
                </c:pt>
                <c:pt idx="323">
                  <c:v>47.33</c:v>
                </c:pt>
                <c:pt idx="324">
                  <c:v>46.8</c:v>
                </c:pt>
                <c:pt idx="325">
                  <c:v>48.83</c:v>
                </c:pt>
                <c:pt idx="326">
                  <c:v>41.29</c:v>
                </c:pt>
                <c:pt idx="327">
                  <c:v>56.12</c:v>
                </c:pt>
                <c:pt idx="328">
                  <c:v>60.46</c:v>
                </c:pt>
                <c:pt idx="329">
                  <c:v>59.97</c:v>
                </c:pt>
                <c:pt idx="330">
                  <c:v>53.31</c:v>
                </c:pt>
                <c:pt idx="332">
                  <c:v>50.51</c:v>
                </c:pt>
                <c:pt idx="333">
                  <c:v>44.84</c:v>
                </c:pt>
                <c:pt idx="334">
                  <c:v>47.34</c:v>
                </c:pt>
                <c:pt idx="335">
                  <c:v>39.39</c:v>
                </c:pt>
                <c:pt idx="336">
                  <c:v>38.25</c:v>
                </c:pt>
                <c:pt idx="337">
                  <c:v>40.15</c:v>
                </c:pt>
                <c:pt idx="339">
                  <c:v>46.98</c:v>
                </c:pt>
                <c:pt idx="340">
                  <c:v>47.1</c:v>
                </c:pt>
                <c:pt idx="341">
                  <c:v>54.65</c:v>
                </c:pt>
                <c:pt idx="342">
                  <c:v>49.99</c:v>
                </c:pt>
                <c:pt idx="343">
                  <c:v>43.15</c:v>
                </c:pt>
                <c:pt idx="344">
                  <c:v>43.96</c:v>
                </c:pt>
                <c:pt idx="345">
                  <c:v>46.87</c:v>
                </c:pt>
                <c:pt idx="346">
                  <c:v>51.79</c:v>
                </c:pt>
                <c:pt idx="347">
                  <c:v>57.76</c:v>
                </c:pt>
                <c:pt idx="348">
                  <c:v>57.53</c:v>
                </c:pt>
                <c:pt idx="349">
                  <c:v>54</c:v>
                </c:pt>
                <c:pt idx="350">
                  <c:v>50.73</c:v>
                </c:pt>
                <c:pt idx="351">
                  <c:v>44.74</c:v>
                </c:pt>
                <c:pt idx="352">
                  <c:v>44.29</c:v>
                </c:pt>
                <c:pt idx="353">
                  <c:v>57.95</c:v>
                </c:pt>
                <c:pt idx="354">
                  <c:v>61.25</c:v>
                </c:pt>
                <c:pt idx="355">
                  <c:v>57.57</c:v>
                </c:pt>
                <c:pt idx="356">
                  <c:v>55.91</c:v>
                </c:pt>
                <c:pt idx="357">
                  <c:v>58.71</c:v>
                </c:pt>
                <c:pt idx="358">
                  <c:v>53.15</c:v>
                </c:pt>
                <c:pt idx="359">
                  <c:v>60.5</c:v>
                </c:pt>
                <c:pt idx="360">
                  <c:v>64.41</c:v>
                </c:pt>
                <c:pt idx="361">
                  <c:v>63.1</c:v>
                </c:pt>
                <c:pt idx="362">
                  <c:v>66.069999999999993</c:v>
                </c:pt>
                <c:pt idx="363">
                  <c:v>59.84</c:v>
                </c:pt>
                <c:pt idx="364">
                  <c:v>58.45</c:v>
                </c:pt>
                <c:pt idx="365">
                  <c:v>54.65</c:v>
                </c:pt>
                <c:pt idx="367">
                  <c:v>50.58</c:v>
                </c:pt>
                <c:pt idx="368">
                  <c:v>57.69</c:v>
                </c:pt>
                <c:pt idx="369">
                  <c:v>55.55</c:v>
                </c:pt>
                <c:pt idx="370">
                  <c:v>55.58</c:v>
                </c:pt>
                <c:pt idx="371">
                  <c:v>55.38</c:v>
                </c:pt>
                <c:pt idx="372">
                  <c:v>51.41</c:v>
                </c:pt>
                <c:pt idx="373">
                  <c:v>51.78</c:v>
                </c:pt>
                <c:pt idx="374">
                  <c:v>48.6</c:v>
                </c:pt>
                <c:pt idx="375">
                  <c:v>47.34</c:v>
                </c:pt>
                <c:pt idx="376">
                  <c:v>57.72</c:v>
                </c:pt>
                <c:pt idx="377">
                  <c:v>59.38</c:v>
                </c:pt>
                <c:pt idx="378">
                  <c:v>61.06</c:v>
                </c:pt>
                <c:pt idx="379">
                  <c:v>60.68</c:v>
                </c:pt>
                <c:pt idx="380">
                  <c:v>63.16</c:v>
                </c:pt>
                <c:pt idx="381">
                  <c:v>63.63</c:v>
                </c:pt>
                <c:pt idx="382">
                  <c:v>59.13</c:v>
                </c:pt>
                <c:pt idx="383">
                  <c:v>50.02</c:v>
                </c:pt>
                <c:pt idx="384">
                  <c:v>44.4</c:v>
                </c:pt>
                <c:pt idx="385">
                  <c:v>44.66</c:v>
                </c:pt>
                <c:pt idx="386">
                  <c:v>41.64</c:v>
                </c:pt>
                <c:pt idx="387">
                  <c:v>53.6</c:v>
                </c:pt>
                <c:pt idx="388">
                  <c:v>61.92</c:v>
                </c:pt>
                <c:pt idx="389">
                  <c:v>56.71</c:v>
                </c:pt>
                <c:pt idx="390">
                  <c:v>56.87</c:v>
                </c:pt>
                <c:pt idx="391">
                  <c:v>54.82</c:v>
                </c:pt>
                <c:pt idx="392">
                  <c:v>53.67</c:v>
                </c:pt>
                <c:pt idx="393">
                  <c:v>60.8</c:v>
                </c:pt>
                <c:pt idx="394">
                  <c:v>61.35</c:v>
                </c:pt>
                <c:pt idx="395">
                  <c:v>59.84</c:v>
                </c:pt>
                <c:pt idx="396">
                  <c:v>58.7</c:v>
                </c:pt>
                <c:pt idx="397">
                  <c:v>57.75</c:v>
                </c:pt>
                <c:pt idx="398">
                  <c:v>56.81</c:v>
                </c:pt>
                <c:pt idx="399">
                  <c:v>66.739999999999995</c:v>
                </c:pt>
                <c:pt idx="400">
                  <c:v>63.25</c:v>
                </c:pt>
                <c:pt idx="401">
                  <c:v>62.77</c:v>
                </c:pt>
                <c:pt idx="402">
                  <c:v>62.88</c:v>
                </c:pt>
                <c:pt idx="403">
                  <c:v>59.99</c:v>
                </c:pt>
                <c:pt idx="404">
                  <c:v>54.61</c:v>
                </c:pt>
                <c:pt idx="405">
                  <c:v>57.26</c:v>
                </c:pt>
                <c:pt idx="406">
                  <c:v>53.93</c:v>
                </c:pt>
                <c:pt idx="407">
                  <c:v>52.67</c:v>
                </c:pt>
                <c:pt idx="408">
                  <c:v>50.42</c:v>
                </c:pt>
                <c:pt idx="409">
                  <c:v>59.23</c:v>
                </c:pt>
                <c:pt idx="410">
                  <c:v>58.42</c:v>
                </c:pt>
                <c:pt idx="411">
                  <c:v>62.1</c:v>
                </c:pt>
                <c:pt idx="412">
                  <c:v>58.72</c:v>
                </c:pt>
                <c:pt idx="413">
                  <c:v>57.96</c:v>
                </c:pt>
                <c:pt idx="414">
                  <c:v>56.21</c:v>
                </c:pt>
                <c:pt idx="415">
                  <c:v>56.85</c:v>
                </c:pt>
                <c:pt idx="416">
                  <c:v>58.37</c:v>
                </c:pt>
                <c:pt idx="417">
                  <c:v>51.18</c:v>
                </c:pt>
                <c:pt idx="418">
                  <c:v>53.86</c:v>
                </c:pt>
                <c:pt idx="419">
                  <c:v>54.43</c:v>
                </c:pt>
                <c:pt idx="420">
                  <c:v>55.49</c:v>
                </c:pt>
                <c:pt idx="421">
                  <c:v>54.41</c:v>
                </c:pt>
                <c:pt idx="422">
                  <c:v>52.66</c:v>
                </c:pt>
                <c:pt idx="423">
                  <c:v>44.82</c:v>
                </c:pt>
                <c:pt idx="424">
                  <c:v>40.89</c:v>
                </c:pt>
                <c:pt idx="425">
                  <c:v>36.36</c:v>
                </c:pt>
                <c:pt idx="426">
                  <c:v>41.12</c:v>
                </c:pt>
                <c:pt idx="427">
                  <c:v>41.41</c:v>
                </c:pt>
                <c:pt idx="428">
                  <c:v>41.89</c:v>
                </c:pt>
                <c:pt idx="430">
                  <c:v>52.29</c:v>
                </c:pt>
                <c:pt idx="431">
                  <c:v>48.92</c:v>
                </c:pt>
                <c:pt idx="432">
                  <c:v>51.22</c:v>
                </c:pt>
                <c:pt idx="433">
                  <c:v>54.93</c:v>
                </c:pt>
                <c:pt idx="434">
                  <c:v>53.57</c:v>
                </c:pt>
                <c:pt idx="435">
                  <c:v>56.92</c:v>
                </c:pt>
                <c:pt idx="436">
                  <c:v>53.49</c:v>
                </c:pt>
                <c:pt idx="437">
                  <c:v>59.94</c:v>
                </c:pt>
                <c:pt idx="438">
                  <c:v>58.77</c:v>
                </c:pt>
                <c:pt idx="439">
                  <c:v>59.74</c:v>
                </c:pt>
                <c:pt idx="440">
                  <c:v>56.66</c:v>
                </c:pt>
                <c:pt idx="441">
                  <c:v>56.34</c:v>
                </c:pt>
                <c:pt idx="442">
                  <c:v>50.8</c:v>
                </c:pt>
                <c:pt idx="443">
                  <c:v>49.68</c:v>
                </c:pt>
                <c:pt idx="444">
                  <c:v>43.12</c:v>
                </c:pt>
                <c:pt idx="445">
                  <c:v>41.25</c:v>
                </c:pt>
                <c:pt idx="446">
                  <c:v>40.25</c:v>
                </c:pt>
                <c:pt idx="447">
                  <c:v>31.57</c:v>
                </c:pt>
                <c:pt idx="448">
                  <c:v>33.56</c:v>
                </c:pt>
                <c:pt idx="449">
                  <c:v>30.17</c:v>
                </c:pt>
                <c:pt idx="450">
                  <c:v>34.29</c:v>
                </c:pt>
                <c:pt idx="451">
                  <c:v>38.54</c:v>
                </c:pt>
                <c:pt idx="452">
                  <c:v>45.8</c:v>
                </c:pt>
                <c:pt idx="453">
                  <c:v>33.04</c:v>
                </c:pt>
                <c:pt idx="454">
                  <c:v>38.11</c:v>
                </c:pt>
                <c:pt idx="455">
                  <c:v>39.1</c:v>
                </c:pt>
                <c:pt idx="456">
                  <c:v>34.659999999999997</c:v>
                </c:pt>
                <c:pt idx="457">
                  <c:v>36.78</c:v>
                </c:pt>
                <c:pt idx="458">
                  <c:v>47.75</c:v>
                </c:pt>
                <c:pt idx="459">
                  <c:v>49.06</c:v>
                </c:pt>
                <c:pt idx="460">
                  <c:v>40.200000000000003</c:v>
                </c:pt>
                <c:pt idx="461">
                  <c:v>45.09</c:v>
                </c:pt>
                <c:pt idx="462">
                  <c:v>45.05</c:v>
                </c:pt>
                <c:pt idx="463">
                  <c:v>61.84</c:v>
                </c:pt>
                <c:pt idx="464">
                  <c:v>63.73</c:v>
                </c:pt>
                <c:pt idx="465">
                  <c:v>63.17</c:v>
                </c:pt>
                <c:pt idx="466">
                  <c:v>60.35</c:v>
                </c:pt>
                <c:pt idx="467">
                  <c:v>75.87</c:v>
                </c:pt>
                <c:pt idx="468">
                  <c:v>72.06</c:v>
                </c:pt>
                <c:pt idx="469">
                  <c:v>72.650000000000006</c:v>
                </c:pt>
                <c:pt idx="470">
                  <c:v>70.77</c:v>
                </c:pt>
                <c:pt idx="472">
                  <c:v>69.92</c:v>
                </c:pt>
                <c:pt idx="473">
                  <c:v>65.88</c:v>
                </c:pt>
                <c:pt idx="474">
                  <c:v>64.23</c:v>
                </c:pt>
                <c:pt idx="475">
                  <c:v>61.65</c:v>
                </c:pt>
                <c:pt idx="476">
                  <c:v>61.94</c:v>
                </c:pt>
                <c:pt idx="477">
                  <c:v>61.79</c:v>
                </c:pt>
                <c:pt idx="478">
                  <c:v>62.34</c:v>
                </c:pt>
                <c:pt idx="479">
                  <c:v>56.71</c:v>
                </c:pt>
                <c:pt idx="480">
                  <c:v>71.23</c:v>
                </c:pt>
                <c:pt idx="481">
                  <c:v>72.38</c:v>
                </c:pt>
                <c:pt idx="483">
                  <c:v>80.180000000000007</c:v>
                </c:pt>
                <c:pt idx="484">
                  <c:v>79.959999999999994</c:v>
                </c:pt>
                <c:pt idx="485">
                  <c:v>77.099999999999994</c:v>
                </c:pt>
                <c:pt idx="486">
                  <c:v>76.33</c:v>
                </c:pt>
                <c:pt idx="487">
                  <c:v>74.67</c:v>
                </c:pt>
                <c:pt idx="488">
                  <c:v>69.17</c:v>
                </c:pt>
                <c:pt idx="489">
                  <c:v>63.02</c:v>
                </c:pt>
                <c:pt idx="490">
                  <c:v>62.06</c:v>
                </c:pt>
                <c:pt idx="491">
                  <c:v>61.21</c:v>
                </c:pt>
                <c:pt idx="492">
                  <c:v>63.1</c:v>
                </c:pt>
                <c:pt idx="493">
                  <c:v>54.61</c:v>
                </c:pt>
                <c:pt idx="494">
                  <c:v>53.68</c:v>
                </c:pt>
                <c:pt idx="495">
                  <c:v>52.6</c:v>
                </c:pt>
                <c:pt idx="496">
                  <c:v>51.95</c:v>
                </c:pt>
                <c:pt idx="497">
                  <c:v>64.08</c:v>
                </c:pt>
                <c:pt idx="498">
                  <c:v>68.209999999999994</c:v>
                </c:pt>
                <c:pt idx="500">
                  <c:v>66.89</c:v>
                </c:pt>
                <c:pt idx="501">
                  <c:v>64.16</c:v>
                </c:pt>
                <c:pt idx="502">
                  <c:v>69.319999999999993</c:v>
                </c:pt>
                <c:pt idx="503">
                  <c:v>68.680000000000007</c:v>
                </c:pt>
                <c:pt idx="504">
                  <c:v>68.23</c:v>
                </c:pt>
                <c:pt idx="505">
                  <c:v>64.900000000000006</c:v>
                </c:pt>
                <c:pt idx="506">
                  <c:v>66.12</c:v>
                </c:pt>
                <c:pt idx="507">
                  <c:v>67.98</c:v>
                </c:pt>
                <c:pt idx="508">
                  <c:v>61.63</c:v>
                </c:pt>
                <c:pt idx="509">
                  <c:v>58.65</c:v>
                </c:pt>
                <c:pt idx="510">
                  <c:v>57.02</c:v>
                </c:pt>
                <c:pt idx="511">
                  <c:v>55.74</c:v>
                </c:pt>
                <c:pt idx="512">
                  <c:v>55.86</c:v>
                </c:pt>
                <c:pt idx="513">
                  <c:v>54.98</c:v>
                </c:pt>
                <c:pt idx="514">
                  <c:v>56.18</c:v>
                </c:pt>
                <c:pt idx="515">
                  <c:v>52.78</c:v>
                </c:pt>
                <c:pt idx="516">
                  <c:v>43.34</c:v>
                </c:pt>
                <c:pt idx="517">
                  <c:v>37.409999999999997</c:v>
                </c:pt>
                <c:pt idx="518">
                  <c:v>40.21</c:v>
                </c:pt>
                <c:pt idx="519">
                  <c:v>47.48</c:v>
                </c:pt>
                <c:pt idx="520">
                  <c:v>45.71</c:v>
                </c:pt>
                <c:pt idx="521">
                  <c:v>40.909999999999997</c:v>
                </c:pt>
                <c:pt idx="522">
                  <c:v>41.56</c:v>
                </c:pt>
                <c:pt idx="523">
                  <c:v>39.68</c:v>
                </c:pt>
                <c:pt idx="524">
                  <c:v>33.28</c:v>
                </c:pt>
                <c:pt idx="525">
                  <c:v>29.11</c:v>
                </c:pt>
                <c:pt idx="526">
                  <c:v>33.72</c:v>
                </c:pt>
                <c:pt idx="527">
                  <c:v>36.75</c:v>
                </c:pt>
                <c:pt idx="528">
                  <c:v>41.14</c:v>
                </c:pt>
                <c:pt idx="529">
                  <c:v>40.6</c:v>
                </c:pt>
                <c:pt idx="530">
                  <c:v>47.18</c:v>
                </c:pt>
                <c:pt idx="531">
                  <c:v>54.26</c:v>
                </c:pt>
                <c:pt idx="532">
                  <c:v>44.98</c:v>
                </c:pt>
                <c:pt idx="533">
                  <c:v>50.94</c:v>
                </c:pt>
                <c:pt idx="534">
                  <c:v>48.34</c:v>
                </c:pt>
                <c:pt idx="535">
                  <c:v>48.9</c:v>
                </c:pt>
                <c:pt idx="536">
                  <c:v>42.96</c:v>
                </c:pt>
                <c:pt idx="537">
                  <c:v>50.61</c:v>
                </c:pt>
                <c:pt idx="538">
                  <c:v>49.2</c:v>
                </c:pt>
                <c:pt idx="539">
                  <c:v>54.48</c:v>
                </c:pt>
                <c:pt idx="541">
                  <c:v>53.13</c:v>
                </c:pt>
                <c:pt idx="542">
                  <c:v>54.29</c:v>
                </c:pt>
                <c:pt idx="543">
                  <c:v>52</c:v>
                </c:pt>
                <c:pt idx="544">
                  <c:v>54.04</c:v>
                </c:pt>
                <c:pt idx="545">
                  <c:v>57.41</c:v>
                </c:pt>
                <c:pt idx="546">
                  <c:v>57.28</c:v>
                </c:pt>
                <c:pt idx="547">
                  <c:v>57.03</c:v>
                </c:pt>
                <c:pt idx="548">
                  <c:v>53.09</c:v>
                </c:pt>
                <c:pt idx="549">
                  <c:v>51.17</c:v>
                </c:pt>
                <c:pt idx="550">
                  <c:v>49.98</c:v>
                </c:pt>
                <c:pt idx="551">
                  <c:v>55.93</c:v>
                </c:pt>
                <c:pt idx="552">
                  <c:v>55.87</c:v>
                </c:pt>
                <c:pt idx="553">
                  <c:v>60.36</c:v>
                </c:pt>
                <c:pt idx="554">
                  <c:v>53.97</c:v>
                </c:pt>
                <c:pt idx="555">
                  <c:v>55.08</c:v>
                </c:pt>
                <c:pt idx="556">
                  <c:v>61.52</c:v>
                </c:pt>
                <c:pt idx="557">
                  <c:v>56.6</c:v>
                </c:pt>
                <c:pt idx="558">
                  <c:v>53.86</c:v>
                </c:pt>
                <c:pt idx="559">
                  <c:v>66.17</c:v>
                </c:pt>
                <c:pt idx="560">
                  <c:v>66.17</c:v>
                </c:pt>
                <c:pt idx="561">
                  <c:v>60.49</c:v>
                </c:pt>
                <c:pt idx="562">
                  <c:v>56.38</c:v>
                </c:pt>
                <c:pt idx="563">
                  <c:v>58.79</c:v>
                </c:pt>
                <c:pt idx="564">
                  <c:v>58.49</c:v>
                </c:pt>
                <c:pt idx="565">
                  <c:v>58.17</c:v>
                </c:pt>
                <c:pt idx="566">
                  <c:v>59.19</c:v>
                </c:pt>
                <c:pt idx="567">
                  <c:v>47.62</c:v>
                </c:pt>
                <c:pt idx="568">
                  <c:v>50.17</c:v>
                </c:pt>
                <c:pt idx="570">
                  <c:v>54.61</c:v>
                </c:pt>
                <c:pt idx="571">
                  <c:v>59.04</c:v>
                </c:pt>
                <c:pt idx="572">
                  <c:v>60.08</c:v>
                </c:pt>
                <c:pt idx="573">
                  <c:v>56.6</c:v>
                </c:pt>
                <c:pt idx="574">
                  <c:v>65.34</c:v>
                </c:pt>
                <c:pt idx="575">
                  <c:v>69.86</c:v>
                </c:pt>
                <c:pt idx="576">
                  <c:v>66.05</c:v>
                </c:pt>
                <c:pt idx="577">
                  <c:v>65.099999999999994</c:v>
                </c:pt>
                <c:pt idx="578">
                  <c:v>60.85</c:v>
                </c:pt>
                <c:pt idx="579">
                  <c:v>63.34</c:v>
                </c:pt>
                <c:pt idx="580">
                  <c:v>62.64</c:v>
                </c:pt>
                <c:pt idx="581">
                  <c:v>59.39</c:v>
                </c:pt>
                <c:pt idx="582">
                  <c:v>55.01</c:v>
                </c:pt>
                <c:pt idx="583">
                  <c:v>66.31</c:v>
                </c:pt>
                <c:pt idx="584">
                  <c:v>71.739999999999995</c:v>
                </c:pt>
                <c:pt idx="585">
                  <c:v>69.16</c:v>
                </c:pt>
                <c:pt idx="586">
                  <c:v>77.5</c:v>
                </c:pt>
                <c:pt idx="587">
                  <c:v>76.55</c:v>
                </c:pt>
                <c:pt idx="588">
                  <c:v>74.94</c:v>
                </c:pt>
                <c:pt idx="589">
                  <c:v>73.98</c:v>
                </c:pt>
                <c:pt idx="590">
                  <c:v>72.92</c:v>
                </c:pt>
                <c:pt idx="591">
                  <c:v>66.48</c:v>
                </c:pt>
                <c:pt idx="592">
                  <c:v>58.58</c:v>
                </c:pt>
                <c:pt idx="593">
                  <c:v>61.89</c:v>
                </c:pt>
                <c:pt idx="595">
                  <c:v>60.85</c:v>
                </c:pt>
                <c:pt idx="596">
                  <c:v>59.53</c:v>
                </c:pt>
                <c:pt idx="597">
                  <c:v>57.44</c:v>
                </c:pt>
                <c:pt idx="598">
                  <c:v>53.77</c:v>
                </c:pt>
                <c:pt idx="599">
                  <c:v>53.07</c:v>
                </c:pt>
                <c:pt idx="600">
                  <c:v>40.090000000000003</c:v>
                </c:pt>
                <c:pt idx="601">
                  <c:v>40.200000000000003</c:v>
                </c:pt>
                <c:pt idx="602">
                  <c:v>43.25</c:v>
                </c:pt>
                <c:pt idx="603">
                  <c:v>47.99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41-46BC-936D-B77EF2353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의료</a:t>
            </a:r>
            <a:r>
              <a:rPr lang="en-US" altLang="ko-KR"/>
              <a:t>·</a:t>
            </a:r>
            <a:r>
              <a:rPr lang="ko-KR" altLang="en-US"/>
              <a:t>정밀  </a:t>
            </a:r>
            <a:r>
              <a:rPr lang="en-US"/>
              <a:t>vs  </a:t>
            </a:r>
            <a:r>
              <a:rPr lang="ko-KR" altLang="en-US"/>
              <a:t>헬스케어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RSI'!$K$7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RSI'!$K$78:$K$3077</c:f>
              <c:numCache>
                <c:formatCode>0.00</c:formatCode>
                <c:ptCount val="3000"/>
                <c:pt idx="1">
                  <c:v>61.47</c:v>
                </c:pt>
                <c:pt idx="2">
                  <c:v>67.3</c:v>
                </c:pt>
                <c:pt idx="3">
                  <c:v>67.430000000000007</c:v>
                </c:pt>
                <c:pt idx="4">
                  <c:v>66.72</c:v>
                </c:pt>
                <c:pt idx="5">
                  <c:v>66.62</c:v>
                </c:pt>
                <c:pt idx="6">
                  <c:v>62.59</c:v>
                </c:pt>
                <c:pt idx="7">
                  <c:v>62.23</c:v>
                </c:pt>
                <c:pt idx="8">
                  <c:v>60.43</c:v>
                </c:pt>
                <c:pt idx="9">
                  <c:v>60.5</c:v>
                </c:pt>
                <c:pt idx="10">
                  <c:v>62.56</c:v>
                </c:pt>
                <c:pt idx="11">
                  <c:v>60.22</c:v>
                </c:pt>
                <c:pt idx="12">
                  <c:v>57.19</c:v>
                </c:pt>
                <c:pt idx="13">
                  <c:v>56.5</c:v>
                </c:pt>
                <c:pt idx="14">
                  <c:v>53.38</c:v>
                </c:pt>
                <c:pt idx="15">
                  <c:v>52.09</c:v>
                </c:pt>
                <c:pt idx="16">
                  <c:v>47.55</c:v>
                </c:pt>
                <c:pt idx="17">
                  <c:v>47.72</c:v>
                </c:pt>
                <c:pt idx="18">
                  <c:v>41.51</c:v>
                </c:pt>
                <c:pt idx="19">
                  <c:v>41.41</c:v>
                </c:pt>
                <c:pt idx="20">
                  <c:v>42.11</c:v>
                </c:pt>
                <c:pt idx="21">
                  <c:v>40.67</c:v>
                </c:pt>
                <c:pt idx="22">
                  <c:v>47.03</c:v>
                </c:pt>
                <c:pt idx="23">
                  <c:v>40.32</c:v>
                </c:pt>
                <c:pt idx="24">
                  <c:v>45.49</c:v>
                </c:pt>
                <c:pt idx="25">
                  <c:v>50.29</c:v>
                </c:pt>
                <c:pt idx="26">
                  <c:v>51.43</c:v>
                </c:pt>
                <c:pt idx="27">
                  <c:v>54.72</c:v>
                </c:pt>
                <c:pt idx="28">
                  <c:v>48.82</c:v>
                </c:pt>
                <c:pt idx="29">
                  <c:v>47.38</c:v>
                </c:pt>
                <c:pt idx="30">
                  <c:v>58.5</c:v>
                </c:pt>
                <c:pt idx="31">
                  <c:v>56.39</c:v>
                </c:pt>
                <c:pt idx="32">
                  <c:v>57.16</c:v>
                </c:pt>
                <c:pt idx="33">
                  <c:v>52.63</c:v>
                </c:pt>
                <c:pt idx="34">
                  <c:v>51.43</c:v>
                </c:pt>
                <c:pt idx="35">
                  <c:v>50.4</c:v>
                </c:pt>
                <c:pt idx="36">
                  <c:v>51.63</c:v>
                </c:pt>
                <c:pt idx="37">
                  <c:v>51.07</c:v>
                </c:pt>
                <c:pt idx="38">
                  <c:v>50.23</c:v>
                </c:pt>
                <c:pt idx="39">
                  <c:v>42.26</c:v>
                </c:pt>
                <c:pt idx="40">
                  <c:v>49.57</c:v>
                </c:pt>
                <c:pt idx="41">
                  <c:v>47.52</c:v>
                </c:pt>
                <c:pt idx="42">
                  <c:v>28.86</c:v>
                </c:pt>
                <c:pt idx="43">
                  <c:v>44.18</c:v>
                </c:pt>
                <c:pt idx="45">
                  <c:v>57.88</c:v>
                </c:pt>
                <c:pt idx="46">
                  <c:v>63.17</c:v>
                </c:pt>
                <c:pt idx="47">
                  <c:v>61.71</c:v>
                </c:pt>
                <c:pt idx="48">
                  <c:v>65.81</c:v>
                </c:pt>
                <c:pt idx="49">
                  <c:v>65.33</c:v>
                </c:pt>
                <c:pt idx="50">
                  <c:v>64.05</c:v>
                </c:pt>
                <c:pt idx="51">
                  <c:v>64.069999999999993</c:v>
                </c:pt>
                <c:pt idx="54">
                  <c:v>59.99</c:v>
                </c:pt>
                <c:pt idx="55">
                  <c:v>60.1</c:v>
                </c:pt>
                <c:pt idx="56">
                  <c:v>59.71</c:v>
                </c:pt>
                <c:pt idx="57">
                  <c:v>63.71</c:v>
                </c:pt>
                <c:pt idx="58">
                  <c:v>66.16</c:v>
                </c:pt>
                <c:pt idx="59">
                  <c:v>55.32</c:v>
                </c:pt>
                <c:pt idx="60">
                  <c:v>57.84</c:v>
                </c:pt>
                <c:pt idx="61">
                  <c:v>64.91</c:v>
                </c:pt>
                <c:pt idx="62">
                  <c:v>65.040000000000006</c:v>
                </c:pt>
                <c:pt idx="63">
                  <c:v>58.62</c:v>
                </c:pt>
                <c:pt idx="64">
                  <c:v>75.650000000000006</c:v>
                </c:pt>
                <c:pt idx="65">
                  <c:v>77.22</c:v>
                </c:pt>
                <c:pt idx="66">
                  <c:v>75.33</c:v>
                </c:pt>
                <c:pt idx="67">
                  <c:v>71.06</c:v>
                </c:pt>
                <c:pt idx="68">
                  <c:v>65.53</c:v>
                </c:pt>
                <c:pt idx="69">
                  <c:v>57.52</c:v>
                </c:pt>
                <c:pt idx="70">
                  <c:v>55.14</c:v>
                </c:pt>
                <c:pt idx="71">
                  <c:v>55.59</c:v>
                </c:pt>
                <c:pt idx="72">
                  <c:v>57.27</c:v>
                </c:pt>
                <c:pt idx="73">
                  <c:v>54.51</c:v>
                </c:pt>
                <c:pt idx="74">
                  <c:v>57.44</c:v>
                </c:pt>
                <c:pt idx="75">
                  <c:v>59.22</c:v>
                </c:pt>
                <c:pt idx="76">
                  <c:v>61.72</c:v>
                </c:pt>
                <c:pt idx="77">
                  <c:v>58.86</c:v>
                </c:pt>
                <c:pt idx="78">
                  <c:v>59.59</c:v>
                </c:pt>
                <c:pt idx="79">
                  <c:v>56.49</c:v>
                </c:pt>
                <c:pt idx="80">
                  <c:v>59.51</c:v>
                </c:pt>
                <c:pt idx="81">
                  <c:v>62.3</c:v>
                </c:pt>
                <c:pt idx="82">
                  <c:v>70.400000000000006</c:v>
                </c:pt>
                <c:pt idx="83">
                  <c:v>62.52</c:v>
                </c:pt>
                <c:pt idx="84">
                  <c:v>58.71</c:v>
                </c:pt>
                <c:pt idx="86">
                  <c:v>46.79</c:v>
                </c:pt>
                <c:pt idx="87">
                  <c:v>45.01</c:v>
                </c:pt>
                <c:pt idx="88">
                  <c:v>45.57</c:v>
                </c:pt>
                <c:pt idx="89">
                  <c:v>45.94</c:v>
                </c:pt>
                <c:pt idx="90">
                  <c:v>49.35</c:v>
                </c:pt>
                <c:pt idx="91">
                  <c:v>50.72</c:v>
                </c:pt>
                <c:pt idx="92">
                  <c:v>44.07</c:v>
                </c:pt>
                <c:pt idx="93">
                  <c:v>40.200000000000003</c:v>
                </c:pt>
                <c:pt idx="94">
                  <c:v>41.23</c:v>
                </c:pt>
                <c:pt idx="95">
                  <c:v>37.74</c:v>
                </c:pt>
                <c:pt idx="96">
                  <c:v>42.2</c:v>
                </c:pt>
                <c:pt idx="97">
                  <c:v>48.51</c:v>
                </c:pt>
                <c:pt idx="98">
                  <c:v>46.58</c:v>
                </c:pt>
                <c:pt idx="99">
                  <c:v>45.49</c:v>
                </c:pt>
                <c:pt idx="100">
                  <c:v>46.43</c:v>
                </c:pt>
                <c:pt idx="101">
                  <c:v>47.36</c:v>
                </c:pt>
                <c:pt idx="102">
                  <c:v>51.51</c:v>
                </c:pt>
                <c:pt idx="103">
                  <c:v>48.36</c:v>
                </c:pt>
                <c:pt idx="104">
                  <c:v>54.03</c:v>
                </c:pt>
                <c:pt idx="105">
                  <c:v>50.4</c:v>
                </c:pt>
                <c:pt idx="106">
                  <c:v>48.91</c:v>
                </c:pt>
                <c:pt idx="107">
                  <c:v>48.45</c:v>
                </c:pt>
                <c:pt idx="108">
                  <c:v>44.89</c:v>
                </c:pt>
                <c:pt idx="109">
                  <c:v>44.23</c:v>
                </c:pt>
                <c:pt idx="110">
                  <c:v>37.840000000000003</c:v>
                </c:pt>
                <c:pt idx="111">
                  <c:v>37.67</c:v>
                </c:pt>
                <c:pt idx="112">
                  <c:v>39.15</c:v>
                </c:pt>
                <c:pt idx="113">
                  <c:v>48.95</c:v>
                </c:pt>
                <c:pt idx="114">
                  <c:v>48.91</c:v>
                </c:pt>
                <c:pt idx="115">
                  <c:v>49.97</c:v>
                </c:pt>
                <c:pt idx="116">
                  <c:v>57.31</c:v>
                </c:pt>
                <c:pt idx="117">
                  <c:v>52.13</c:v>
                </c:pt>
                <c:pt idx="118">
                  <c:v>63.91</c:v>
                </c:pt>
                <c:pt idx="119">
                  <c:v>58.57</c:v>
                </c:pt>
                <c:pt idx="120">
                  <c:v>56.67</c:v>
                </c:pt>
                <c:pt idx="121">
                  <c:v>52.01</c:v>
                </c:pt>
                <c:pt idx="122">
                  <c:v>46.69</c:v>
                </c:pt>
                <c:pt idx="123">
                  <c:v>52.45</c:v>
                </c:pt>
                <c:pt idx="124">
                  <c:v>46.45</c:v>
                </c:pt>
                <c:pt idx="125">
                  <c:v>55.4</c:v>
                </c:pt>
                <c:pt idx="126">
                  <c:v>54.99</c:v>
                </c:pt>
                <c:pt idx="127">
                  <c:v>54.35</c:v>
                </c:pt>
                <c:pt idx="128">
                  <c:v>53.27</c:v>
                </c:pt>
                <c:pt idx="129">
                  <c:v>61.74</c:v>
                </c:pt>
                <c:pt idx="130">
                  <c:v>59.77</c:v>
                </c:pt>
                <c:pt idx="131">
                  <c:v>62.6</c:v>
                </c:pt>
                <c:pt idx="132">
                  <c:v>61.6</c:v>
                </c:pt>
                <c:pt idx="133">
                  <c:v>58.4</c:v>
                </c:pt>
                <c:pt idx="134">
                  <c:v>63.34</c:v>
                </c:pt>
                <c:pt idx="135">
                  <c:v>58.36</c:v>
                </c:pt>
                <c:pt idx="136">
                  <c:v>61.35</c:v>
                </c:pt>
                <c:pt idx="137">
                  <c:v>56.54</c:v>
                </c:pt>
                <c:pt idx="138">
                  <c:v>65.8</c:v>
                </c:pt>
                <c:pt idx="139">
                  <c:v>65.34</c:v>
                </c:pt>
                <c:pt idx="140">
                  <c:v>58.78</c:v>
                </c:pt>
                <c:pt idx="141">
                  <c:v>69.5</c:v>
                </c:pt>
                <c:pt idx="142">
                  <c:v>69.8</c:v>
                </c:pt>
                <c:pt idx="148">
                  <c:v>68.42</c:v>
                </c:pt>
                <c:pt idx="149">
                  <c:v>63.91</c:v>
                </c:pt>
                <c:pt idx="150">
                  <c:v>56.29</c:v>
                </c:pt>
                <c:pt idx="151">
                  <c:v>57.06</c:v>
                </c:pt>
                <c:pt idx="152">
                  <c:v>55.36</c:v>
                </c:pt>
                <c:pt idx="153">
                  <c:v>66.180000000000007</c:v>
                </c:pt>
                <c:pt idx="154">
                  <c:v>73.900000000000006</c:v>
                </c:pt>
                <c:pt idx="155">
                  <c:v>76.260000000000005</c:v>
                </c:pt>
                <c:pt idx="156">
                  <c:v>74.959999999999994</c:v>
                </c:pt>
                <c:pt idx="157">
                  <c:v>72.459999999999994</c:v>
                </c:pt>
                <c:pt idx="158">
                  <c:v>68.11</c:v>
                </c:pt>
                <c:pt idx="159">
                  <c:v>64.760000000000005</c:v>
                </c:pt>
                <c:pt idx="160">
                  <c:v>65.38</c:v>
                </c:pt>
                <c:pt idx="161">
                  <c:v>67.75</c:v>
                </c:pt>
                <c:pt idx="162">
                  <c:v>61.76</c:v>
                </c:pt>
                <c:pt idx="163">
                  <c:v>58.78</c:v>
                </c:pt>
                <c:pt idx="164">
                  <c:v>59.93</c:v>
                </c:pt>
                <c:pt idx="165">
                  <c:v>57.15</c:v>
                </c:pt>
                <c:pt idx="166">
                  <c:v>54.17</c:v>
                </c:pt>
                <c:pt idx="167">
                  <c:v>46.74</c:v>
                </c:pt>
                <c:pt idx="168">
                  <c:v>47.72</c:v>
                </c:pt>
                <c:pt idx="169">
                  <c:v>38.619999999999997</c:v>
                </c:pt>
                <c:pt idx="170">
                  <c:v>36.85</c:v>
                </c:pt>
                <c:pt idx="171">
                  <c:v>35.64</c:v>
                </c:pt>
                <c:pt idx="172">
                  <c:v>44.59</c:v>
                </c:pt>
                <c:pt idx="173">
                  <c:v>46.76</c:v>
                </c:pt>
                <c:pt idx="174">
                  <c:v>44.86</c:v>
                </c:pt>
                <c:pt idx="175">
                  <c:v>45.19</c:v>
                </c:pt>
                <c:pt idx="176">
                  <c:v>45.6</c:v>
                </c:pt>
                <c:pt idx="177">
                  <c:v>42.93</c:v>
                </c:pt>
                <c:pt idx="178">
                  <c:v>45.98</c:v>
                </c:pt>
                <c:pt idx="179">
                  <c:v>43.94</c:v>
                </c:pt>
                <c:pt idx="180">
                  <c:v>48.21</c:v>
                </c:pt>
                <c:pt idx="181">
                  <c:v>54.8</c:v>
                </c:pt>
                <c:pt idx="183">
                  <c:v>53.78</c:v>
                </c:pt>
                <c:pt idx="184">
                  <c:v>58.35</c:v>
                </c:pt>
                <c:pt idx="185">
                  <c:v>50.11</c:v>
                </c:pt>
                <c:pt idx="186">
                  <c:v>55.67</c:v>
                </c:pt>
                <c:pt idx="187">
                  <c:v>56.14</c:v>
                </c:pt>
                <c:pt idx="188">
                  <c:v>51.25</c:v>
                </c:pt>
                <c:pt idx="189">
                  <c:v>49.4</c:v>
                </c:pt>
                <c:pt idx="190">
                  <c:v>46.3</c:v>
                </c:pt>
                <c:pt idx="191">
                  <c:v>42.49</c:v>
                </c:pt>
                <c:pt idx="192">
                  <c:v>36.51</c:v>
                </c:pt>
                <c:pt idx="193">
                  <c:v>47.39</c:v>
                </c:pt>
                <c:pt idx="194">
                  <c:v>50.67</c:v>
                </c:pt>
                <c:pt idx="195">
                  <c:v>45.46</c:v>
                </c:pt>
                <c:pt idx="196">
                  <c:v>46.77</c:v>
                </c:pt>
                <c:pt idx="197">
                  <c:v>39.65</c:v>
                </c:pt>
                <c:pt idx="198">
                  <c:v>37.93</c:v>
                </c:pt>
                <c:pt idx="199">
                  <c:v>39.229999999999997</c:v>
                </c:pt>
                <c:pt idx="200">
                  <c:v>40.229999999999997</c:v>
                </c:pt>
                <c:pt idx="201">
                  <c:v>43.56</c:v>
                </c:pt>
                <c:pt idx="202">
                  <c:v>47.39</c:v>
                </c:pt>
                <c:pt idx="203">
                  <c:v>49.66</c:v>
                </c:pt>
                <c:pt idx="204">
                  <c:v>48.24</c:v>
                </c:pt>
                <c:pt idx="205">
                  <c:v>53.83</c:v>
                </c:pt>
                <c:pt idx="206">
                  <c:v>52.74</c:v>
                </c:pt>
                <c:pt idx="207">
                  <c:v>52.38</c:v>
                </c:pt>
                <c:pt idx="208">
                  <c:v>53.88</c:v>
                </c:pt>
                <c:pt idx="209">
                  <c:v>52.26</c:v>
                </c:pt>
                <c:pt idx="210">
                  <c:v>44.26</c:v>
                </c:pt>
                <c:pt idx="211">
                  <c:v>42.74</c:v>
                </c:pt>
                <c:pt idx="212">
                  <c:v>45.42</c:v>
                </c:pt>
                <c:pt idx="213">
                  <c:v>51.14</c:v>
                </c:pt>
                <c:pt idx="214">
                  <c:v>41.2</c:v>
                </c:pt>
                <c:pt idx="215">
                  <c:v>42.53</c:v>
                </c:pt>
                <c:pt idx="216">
                  <c:v>43.12</c:v>
                </c:pt>
                <c:pt idx="217">
                  <c:v>47.1</c:v>
                </c:pt>
                <c:pt idx="218">
                  <c:v>51.78</c:v>
                </c:pt>
                <c:pt idx="219">
                  <c:v>55.75</c:v>
                </c:pt>
                <c:pt idx="220">
                  <c:v>55.94</c:v>
                </c:pt>
                <c:pt idx="221">
                  <c:v>50.82</c:v>
                </c:pt>
                <c:pt idx="222">
                  <c:v>58.58</c:v>
                </c:pt>
                <c:pt idx="223">
                  <c:v>63.31</c:v>
                </c:pt>
                <c:pt idx="224">
                  <c:v>63.22</c:v>
                </c:pt>
                <c:pt idx="225">
                  <c:v>60.91</c:v>
                </c:pt>
                <c:pt idx="226">
                  <c:v>61.62</c:v>
                </c:pt>
                <c:pt idx="227">
                  <c:v>62.43</c:v>
                </c:pt>
                <c:pt idx="228">
                  <c:v>73.540000000000006</c:v>
                </c:pt>
                <c:pt idx="229">
                  <c:v>72.44</c:v>
                </c:pt>
                <c:pt idx="230">
                  <c:v>67.39</c:v>
                </c:pt>
                <c:pt idx="231">
                  <c:v>66.42</c:v>
                </c:pt>
                <c:pt idx="233">
                  <c:v>65.25</c:v>
                </c:pt>
                <c:pt idx="234">
                  <c:v>63.06</c:v>
                </c:pt>
                <c:pt idx="236">
                  <c:v>57.17</c:v>
                </c:pt>
                <c:pt idx="237">
                  <c:v>60.59</c:v>
                </c:pt>
                <c:pt idx="238">
                  <c:v>63.45</c:v>
                </c:pt>
                <c:pt idx="239">
                  <c:v>62.67</c:v>
                </c:pt>
                <c:pt idx="240">
                  <c:v>63.32</c:v>
                </c:pt>
                <c:pt idx="241">
                  <c:v>56.08</c:v>
                </c:pt>
                <c:pt idx="242">
                  <c:v>53.5</c:v>
                </c:pt>
                <c:pt idx="243">
                  <c:v>59.18</c:v>
                </c:pt>
                <c:pt idx="244">
                  <c:v>57.9</c:v>
                </c:pt>
                <c:pt idx="245">
                  <c:v>52.89</c:v>
                </c:pt>
                <c:pt idx="246">
                  <c:v>53.14</c:v>
                </c:pt>
                <c:pt idx="247">
                  <c:v>55.65</c:v>
                </c:pt>
                <c:pt idx="248">
                  <c:v>53.37</c:v>
                </c:pt>
                <c:pt idx="249">
                  <c:v>54.18</c:v>
                </c:pt>
                <c:pt idx="250">
                  <c:v>48.16</c:v>
                </c:pt>
                <c:pt idx="251">
                  <c:v>44.17</c:v>
                </c:pt>
                <c:pt idx="252">
                  <c:v>43.06</c:v>
                </c:pt>
                <c:pt idx="253">
                  <c:v>55.09</c:v>
                </c:pt>
                <c:pt idx="254">
                  <c:v>50.77</c:v>
                </c:pt>
                <c:pt idx="257">
                  <c:v>50.5</c:v>
                </c:pt>
                <c:pt idx="259">
                  <c:v>49.91</c:v>
                </c:pt>
                <c:pt idx="260">
                  <c:v>52.43</c:v>
                </c:pt>
                <c:pt idx="261">
                  <c:v>48.79</c:v>
                </c:pt>
                <c:pt idx="262">
                  <c:v>51.24</c:v>
                </c:pt>
                <c:pt idx="263">
                  <c:v>49.52</c:v>
                </c:pt>
                <c:pt idx="264">
                  <c:v>49.25</c:v>
                </c:pt>
                <c:pt idx="265">
                  <c:v>43.62</c:v>
                </c:pt>
                <c:pt idx="266">
                  <c:v>44.04</c:v>
                </c:pt>
                <c:pt idx="267">
                  <c:v>42.76</c:v>
                </c:pt>
                <c:pt idx="268">
                  <c:v>43.26</c:v>
                </c:pt>
                <c:pt idx="269">
                  <c:v>38.51</c:v>
                </c:pt>
                <c:pt idx="270">
                  <c:v>43.36</c:v>
                </c:pt>
                <c:pt idx="271">
                  <c:v>42.38</c:v>
                </c:pt>
                <c:pt idx="272">
                  <c:v>41.55</c:v>
                </c:pt>
                <c:pt idx="273">
                  <c:v>39.71</c:v>
                </c:pt>
                <c:pt idx="274">
                  <c:v>27.49</c:v>
                </c:pt>
                <c:pt idx="275">
                  <c:v>31.18</c:v>
                </c:pt>
                <c:pt idx="276">
                  <c:v>31.2</c:v>
                </c:pt>
                <c:pt idx="277">
                  <c:v>40.51</c:v>
                </c:pt>
                <c:pt idx="278">
                  <c:v>43.41</c:v>
                </c:pt>
                <c:pt idx="279">
                  <c:v>46.43</c:v>
                </c:pt>
                <c:pt idx="280">
                  <c:v>47.74</c:v>
                </c:pt>
                <c:pt idx="281">
                  <c:v>37.729999999999997</c:v>
                </c:pt>
                <c:pt idx="282">
                  <c:v>45.46</c:v>
                </c:pt>
                <c:pt idx="283">
                  <c:v>49.31</c:v>
                </c:pt>
                <c:pt idx="284">
                  <c:v>52.99</c:v>
                </c:pt>
                <c:pt idx="285">
                  <c:v>48.68</c:v>
                </c:pt>
                <c:pt idx="286">
                  <c:v>46.82</c:v>
                </c:pt>
                <c:pt idx="287">
                  <c:v>43.12</c:v>
                </c:pt>
                <c:pt idx="288">
                  <c:v>49.41</c:v>
                </c:pt>
                <c:pt idx="289">
                  <c:v>51.06</c:v>
                </c:pt>
                <c:pt idx="290">
                  <c:v>46.98</c:v>
                </c:pt>
                <c:pt idx="291">
                  <c:v>49.43</c:v>
                </c:pt>
                <c:pt idx="292">
                  <c:v>44.09</c:v>
                </c:pt>
                <c:pt idx="293">
                  <c:v>39.590000000000003</c:v>
                </c:pt>
                <c:pt idx="294">
                  <c:v>36.119999999999997</c:v>
                </c:pt>
                <c:pt idx="295">
                  <c:v>30.94</c:v>
                </c:pt>
                <c:pt idx="296">
                  <c:v>33.270000000000003</c:v>
                </c:pt>
                <c:pt idx="297">
                  <c:v>34.24</c:v>
                </c:pt>
                <c:pt idx="298">
                  <c:v>34.85</c:v>
                </c:pt>
                <c:pt idx="299">
                  <c:v>37.07</c:v>
                </c:pt>
                <c:pt idx="300">
                  <c:v>33.29</c:v>
                </c:pt>
                <c:pt idx="302">
                  <c:v>38.71</c:v>
                </c:pt>
                <c:pt idx="303">
                  <c:v>46.17</c:v>
                </c:pt>
                <c:pt idx="304">
                  <c:v>53.09</c:v>
                </c:pt>
                <c:pt idx="305">
                  <c:v>55.79</c:v>
                </c:pt>
                <c:pt idx="306">
                  <c:v>58.15</c:v>
                </c:pt>
                <c:pt idx="307">
                  <c:v>59.66</c:v>
                </c:pt>
                <c:pt idx="308">
                  <c:v>61.38</c:v>
                </c:pt>
                <c:pt idx="309">
                  <c:v>62.36</c:v>
                </c:pt>
                <c:pt idx="310">
                  <c:v>60.06</c:v>
                </c:pt>
                <c:pt idx="311">
                  <c:v>57.91</c:v>
                </c:pt>
                <c:pt idx="312">
                  <c:v>55.3</c:v>
                </c:pt>
                <c:pt idx="313">
                  <c:v>53.93</c:v>
                </c:pt>
                <c:pt idx="314">
                  <c:v>46.81</c:v>
                </c:pt>
                <c:pt idx="315">
                  <c:v>46.55</c:v>
                </c:pt>
                <c:pt idx="316">
                  <c:v>48.18</c:v>
                </c:pt>
                <c:pt idx="317">
                  <c:v>48.96</c:v>
                </c:pt>
                <c:pt idx="318">
                  <c:v>58.84</c:v>
                </c:pt>
                <c:pt idx="319">
                  <c:v>51.16</c:v>
                </c:pt>
                <c:pt idx="320">
                  <c:v>50</c:v>
                </c:pt>
                <c:pt idx="321">
                  <c:v>49.65</c:v>
                </c:pt>
                <c:pt idx="322">
                  <c:v>50.89</c:v>
                </c:pt>
                <c:pt idx="327">
                  <c:v>62.21</c:v>
                </c:pt>
                <c:pt idx="328">
                  <c:v>58.27</c:v>
                </c:pt>
                <c:pt idx="329">
                  <c:v>62.56</c:v>
                </c:pt>
                <c:pt idx="330">
                  <c:v>64.61</c:v>
                </c:pt>
                <c:pt idx="331">
                  <c:v>64.349999999999994</c:v>
                </c:pt>
                <c:pt idx="332">
                  <c:v>63.75</c:v>
                </c:pt>
                <c:pt idx="333">
                  <c:v>59.96</c:v>
                </c:pt>
                <c:pt idx="334">
                  <c:v>58.44</c:v>
                </c:pt>
                <c:pt idx="335">
                  <c:v>60.82</c:v>
                </c:pt>
                <c:pt idx="336">
                  <c:v>65.349999999999994</c:v>
                </c:pt>
                <c:pt idx="337">
                  <c:v>73.5</c:v>
                </c:pt>
                <c:pt idx="338">
                  <c:v>70.11</c:v>
                </c:pt>
                <c:pt idx="339">
                  <c:v>70.8</c:v>
                </c:pt>
                <c:pt idx="340">
                  <c:v>69.989999999999995</c:v>
                </c:pt>
                <c:pt idx="341">
                  <c:v>70.680000000000007</c:v>
                </c:pt>
                <c:pt idx="342">
                  <c:v>60.49</c:v>
                </c:pt>
                <c:pt idx="343">
                  <c:v>54.57</c:v>
                </c:pt>
                <c:pt idx="345">
                  <c:v>47.34</c:v>
                </c:pt>
                <c:pt idx="346">
                  <c:v>43.75</c:v>
                </c:pt>
                <c:pt idx="347">
                  <c:v>42.34</c:v>
                </c:pt>
                <c:pt idx="348">
                  <c:v>45.62</c:v>
                </c:pt>
                <c:pt idx="349">
                  <c:v>46.2</c:v>
                </c:pt>
                <c:pt idx="350">
                  <c:v>39.47</c:v>
                </c:pt>
                <c:pt idx="351">
                  <c:v>42.69</c:v>
                </c:pt>
                <c:pt idx="352">
                  <c:v>49.74</c:v>
                </c:pt>
                <c:pt idx="353">
                  <c:v>50.92</c:v>
                </c:pt>
                <c:pt idx="354">
                  <c:v>50.62</c:v>
                </c:pt>
                <c:pt idx="355">
                  <c:v>49.67</c:v>
                </c:pt>
                <c:pt idx="356">
                  <c:v>47.14</c:v>
                </c:pt>
                <c:pt idx="357">
                  <c:v>47.36</c:v>
                </c:pt>
                <c:pt idx="358">
                  <c:v>41.33</c:v>
                </c:pt>
                <c:pt idx="359">
                  <c:v>31.79</c:v>
                </c:pt>
                <c:pt idx="360">
                  <c:v>36.74</c:v>
                </c:pt>
                <c:pt idx="361">
                  <c:v>43.21</c:v>
                </c:pt>
                <c:pt idx="362">
                  <c:v>39.770000000000003</c:v>
                </c:pt>
                <c:pt idx="363">
                  <c:v>47.42</c:v>
                </c:pt>
                <c:pt idx="364">
                  <c:v>45.02</c:v>
                </c:pt>
                <c:pt idx="365">
                  <c:v>47.6</c:v>
                </c:pt>
                <c:pt idx="366">
                  <c:v>50.46</c:v>
                </c:pt>
                <c:pt idx="367">
                  <c:v>45.56</c:v>
                </c:pt>
                <c:pt idx="368">
                  <c:v>47.31</c:v>
                </c:pt>
                <c:pt idx="369">
                  <c:v>44.18</c:v>
                </c:pt>
                <c:pt idx="370">
                  <c:v>42.44</c:v>
                </c:pt>
                <c:pt idx="371">
                  <c:v>41.68</c:v>
                </c:pt>
                <c:pt idx="372">
                  <c:v>42.99</c:v>
                </c:pt>
                <c:pt idx="373">
                  <c:v>43.2</c:v>
                </c:pt>
                <c:pt idx="374">
                  <c:v>41.04</c:v>
                </c:pt>
                <c:pt idx="375">
                  <c:v>38.07</c:v>
                </c:pt>
                <c:pt idx="376">
                  <c:v>28.86</c:v>
                </c:pt>
                <c:pt idx="377">
                  <c:v>21.12</c:v>
                </c:pt>
                <c:pt idx="378">
                  <c:v>23.12</c:v>
                </c:pt>
                <c:pt idx="379">
                  <c:v>27.16</c:v>
                </c:pt>
                <c:pt idx="380">
                  <c:v>33.81</c:v>
                </c:pt>
                <c:pt idx="381">
                  <c:v>36.83</c:v>
                </c:pt>
                <c:pt idx="382">
                  <c:v>38.340000000000003</c:v>
                </c:pt>
                <c:pt idx="383">
                  <c:v>42.79</c:v>
                </c:pt>
                <c:pt idx="384">
                  <c:v>42.45</c:v>
                </c:pt>
                <c:pt idx="385">
                  <c:v>40.42</c:v>
                </c:pt>
                <c:pt idx="386">
                  <c:v>51.67</c:v>
                </c:pt>
                <c:pt idx="387">
                  <c:v>47.18</c:v>
                </c:pt>
                <c:pt idx="388">
                  <c:v>46.47</c:v>
                </c:pt>
                <c:pt idx="389">
                  <c:v>49.24</c:v>
                </c:pt>
                <c:pt idx="390">
                  <c:v>47.12</c:v>
                </c:pt>
                <c:pt idx="391">
                  <c:v>44.57</c:v>
                </c:pt>
                <c:pt idx="392">
                  <c:v>47.04</c:v>
                </c:pt>
                <c:pt idx="393">
                  <c:v>44.76</c:v>
                </c:pt>
                <c:pt idx="394">
                  <c:v>51.18</c:v>
                </c:pt>
                <c:pt idx="395">
                  <c:v>50.54</c:v>
                </c:pt>
                <c:pt idx="396">
                  <c:v>57.71</c:v>
                </c:pt>
                <c:pt idx="397">
                  <c:v>57.14</c:v>
                </c:pt>
                <c:pt idx="398">
                  <c:v>59.92</c:v>
                </c:pt>
                <c:pt idx="399">
                  <c:v>56.04</c:v>
                </c:pt>
                <c:pt idx="400">
                  <c:v>53.33</c:v>
                </c:pt>
                <c:pt idx="401">
                  <c:v>52.64</c:v>
                </c:pt>
                <c:pt idx="403">
                  <c:v>47.82</c:v>
                </c:pt>
                <c:pt idx="404">
                  <c:v>48.97</c:v>
                </c:pt>
                <c:pt idx="405">
                  <c:v>46.55</c:v>
                </c:pt>
                <c:pt idx="407">
                  <c:v>44.68</c:v>
                </c:pt>
                <c:pt idx="409">
                  <c:v>47.31</c:v>
                </c:pt>
                <c:pt idx="410">
                  <c:v>51.73</c:v>
                </c:pt>
                <c:pt idx="411">
                  <c:v>51.62</c:v>
                </c:pt>
                <c:pt idx="412">
                  <c:v>43.31</c:v>
                </c:pt>
                <c:pt idx="413">
                  <c:v>43.46</c:v>
                </c:pt>
                <c:pt idx="414">
                  <c:v>38.799999999999997</c:v>
                </c:pt>
                <c:pt idx="415">
                  <c:v>38.28</c:v>
                </c:pt>
                <c:pt idx="416">
                  <c:v>38.85</c:v>
                </c:pt>
                <c:pt idx="420">
                  <c:v>39.729999999999997</c:v>
                </c:pt>
                <c:pt idx="421">
                  <c:v>40.04</c:v>
                </c:pt>
                <c:pt idx="422">
                  <c:v>31.54</c:v>
                </c:pt>
                <c:pt idx="423">
                  <c:v>30.1</c:v>
                </c:pt>
                <c:pt idx="424">
                  <c:v>30.18</c:v>
                </c:pt>
                <c:pt idx="425">
                  <c:v>27.48</c:v>
                </c:pt>
                <c:pt idx="426">
                  <c:v>28.72</c:v>
                </c:pt>
                <c:pt idx="427">
                  <c:v>29.98</c:v>
                </c:pt>
                <c:pt idx="428">
                  <c:v>33.74</c:v>
                </c:pt>
                <c:pt idx="429">
                  <c:v>34.35</c:v>
                </c:pt>
                <c:pt idx="430">
                  <c:v>37.75</c:v>
                </c:pt>
                <c:pt idx="431">
                  <c:v>36.25</c:v>
                </c:pt>
                <c:pt idx="432">
                  <c:v>40.81</c:v>
                </c:pt>
                <c:pt idx="433">
                  <c:v>40.6</c:v>
                </c:pt>
                <c:pt idx="434">
                  <c:v>42.49</c:v>
                </c:pt>
                <c:pt idx="435">
                  <c:v>44.94</c:v>
                </c:pt>
                <c:pt idx="436">
                  <c:v>46.95</c:v>
                </c:pt>
                <c:pt idx="437">
                  <c:v>50.34</c:v>
                </c:pt>
                <c:pt idx="438">
                  <c:v>57.16</c:v>
                </c:pt>
                <c:pt idx="439">
                  <c:v>59.65</c:v>
                </c:pt>
                <c:pt idx="440">
                  <c:v>54.78</c:v>
                </c:pt>
                <c:pt idx="442">
                  <c:v>51.56</c:v>
                </c:pt>
                <c:pt idx="443">
                  <c:v>51.74</c:v>
                </c:pt>
                <c:pt idx="444">
                  <c:v>55.98</c:v>
                </c:pt>
                <c:pt idx="445">
                  <c:v>51.3</c:v>
                </c:pt>
                <c:pt idx="446">
                  <c:v>49.94</c:v>
                </c:pt>
                <c:pt idx="447">
                  <c:v>45.08</c:v>
                </c:pt>
                <c:pt idx="448">
                  <c:v>35.56</c:v>
                </c:pt>
                <c:pt idx="449">
                  <c:v>24.6</c:v>
                </c:pt>
                <c:pt idx="450">
                  <c:v>36.450000000000003</c:v>
                </c:pt>
                <c:pt idx="451">
                  <c:v>41.25</c:v>
                </c:pt>
                <c:pt idx="452">
                  <c:v>42.86</c:v>
                </c:pt>
                <c:pt idx="453">
                  <c:v>32.22</c:v>
                </c:pt>
                <c:pt idx="454">
                  <c:v>34.86</c:v>
                </c:pt>
                <c:pt idx="455">
                  <c:v>32.49</c:v>
                </c:pt>
                <c:pt idx="456">
                  <c:v>28.65</c:v>
                </c:pt>
                <c:pt idx="457">
                  <c:v>31.74</c:v>
                </c:pt>
                <c:pt idx="458">
                  <c:v>27.65</c:v>
                </c:pt>
                <c:pt idx="459">
                  <c:v>29.31</c:v>
                </c:pt>
                <c:pt idx="460">
                  <c:v>31.32</c:v>
                </c:pt>
                <c:pt idx="461">
                  <c:v>34.29</c:v>
                </c:pt>
                <c:pt idx="462">
                  <c:v>36.96</c:v>
                </c:pt>
                <c:pt idx="463">
                  <c:v>45.48</c:v>
                </c:pt>
                <c:pt idx="464">
                  <c:v>46.18</c:v>
                </c:pt>
                <c:pt idx="465">
                  <c:v>46.75</c:v>
                </c:pt>
                <c:pt idx="466">
                  <c:v>52.51</c:v>
                </c:pt>
                <c:pt idx="467">
                  <c:v>47.83</c:v>
                </c:pt>
                <c:pt idx="468">
                  <c:v>51.06</c:v>
                </c:pt>
                <c:pt idx="469">
                  <c:v>47.37</c:v>
                </c:pt>
                <c:pt idx="470">
                  <c:v>42.89</c:v>
                </c:pt>
                <c:pt idx="471">
                  <c:v>46.23</c:v>
                </c:pt>
                <c:pt idx="472">
                  <c:v>40.6</c:v>
                </c:pt>
                <c:pt idx="473">
                  <c:v>45.62</c:v>
                </c:pt>
                <c:pt idx="474">
                  <c:v>50.78</c:v>
                </c:pt>
                <c:pt idx="475">
                  <c:v>59.53</c:v>
                </c:pt>
                <c:pt idx="476">
                  <c:v>60</c:v>
                </c:pt>
                <c:pt idx="477">
                  <c:v>65.790000000000006</c:v>
                </c:pt>
                <c:pt idx="478">
                  <c:v>60.58</c:v>
                </c:pt>
                <c:pt idx="479">
                  <c:v>65.069999999999993</c:v>
                </c:pt>
                <c:pt idx="480">
                  <c:v>65.75</c:v>
                </c:pt>
                <c:pt idx="481">
                  <c:v>61.97</c:v>
                </c:pt>
                <c:pt idx="482">
                  <c:v>59.14</c:v>
                </c:pt>
                <c:pt idx="483">
                  <c:v>55.02</c:v>
                </c:pt>
                <c:pt idx="484">
                  <c:v>56.58</c:v>
                </c:pt>
                <c:pt idx="485">
                  <c:v>56.12</c:v>
                </c:pt>
                <c:pt idx="486">
                  <c:v>57.07</c:v>
                </c:pt>
                <c:pt idx="487">
                  <c:v>45.2</c:v>
                </c:pt>
                <c:pt idx="488">
                  <c:v>47.56</c:v>
                </c:pt>
                <c:pt idx="489">
                  <c:v>51.27</c:v>
                </c:pt>
                <c:pt idx="490">
                  <c:v>53.3</c:v>
                </c:pt>
                <c:pt idx="492">
                  <c:v>49.92</c:v>
                </c:pt>
                <c:pt idx="493">
                  <c:v>43.66</c:v>
                </c:pt>
                <c:pt idx="494">
                  <c:v>45.75</c:v>
                </c:pt>
                <c:pt idx="495">
                  <c:v>45.07</c:v>
                </c:pt>
                <c:pt idx="496">
                  <c:v>38.89</c:v>
                </c:pt>
                <c:pt idx="497">
                  <c:v>39.520000000000003</c:v>
                </c:pt>
                <c:pt idx="498">
                  <c:v>44.33</c:v>
                </c:pt>
                <c:pt idx="499">
                  <c:v>45.95</c:v>
                </c:pt>
                <c:pt idx="500">
                  <c:v>40.450000000000003</c:v>
                </c:pt>
                <c:pt idx="501">
                  <c:v>45.53</c:v>
                </c:pt>
                <c:pt idx="502">
                  <c:v>48.76</c:v>
                </c:pt>
                <c:pt idx="503">
                  <c:v>48.22</c:v>
                </c:pt>
                <c:pt idx="504">
                  <c:v>43.52</c:v>
                </c:pt>
                <c:pt idx="505">
                  <c:v>44.15</c:v>
                </c:pt>
                <c:pt idx="506">
                  <c:v>46.31</c:v>
                </c:pt>
                <c:pt idx="508">
                  <c:v>44.54</c:v>
                </c:pt>
                <c:pt idx="509">
                  <c:v>37.25</c:v>
                </c:pt>
                <c:pt idx="510">
                  <c:v>39.06</c:v>
                </c:pt>
                <c:pt idx="511">
                  <c:v>48.18</c:v>
                </c:pt>
                <c:pt idx="512">
                  <c:v>51.69</c:v>
                </c:pt>
                <c:pt idx="513">
                  <c:v>52.93</c:v>
                </c:pt>
                <c:pt idx="515">
                  <c:v>50.45</c:v>
                </c:pt>
                <c:pt idx="516">
                  <c:v>50.37</c:v>
                </c:pt>
                <c:pt idx="518">
                  <c:v>51.15</c:v>
                </c:pt>
                <c:pt idx="519">
                  <c:v>54.2</c:v>
                </c:pt>
                <c:pt idx="520">
                  <c:v>48.44</c:v>
                </c:pt>
                <c:pt idx="521">
                  <c:v>43.27</c:v>
                </c:pt>
                <c:pt idx="522">
                  <c:v>46.19</c:v>
                </c:pt>
                <c:pt idx="523">
                  <c:v>47</c:v>
                </c:pt>
                <c:pt idx="524">
                  <c:v>47.73</c:v>
                </c:pt>
                <c:pt idx="525">
                  <c:v>48.15</c:v>
                </c:pt>
                <c:pt idx="526">
                  <c:v>54.7</c:v>
                </c:pt>
                <c:pt idx="527">
                  <c:v>49.31</c:v>
                </c:pt>
                <c:pt idx="528">
                  <c:v>48.33</c:v>
                </c:pt>
                <c:pt idx="529">
                  <c:v>58.93</c:v>
                </c:pt>
                <c:pt idx="530">
                  <c:v>54.7</c:v>
                </c:pt>
                <c:pt idx="531">
                  <c:v>49.02</c:v>
                </c:pt>
                <c:pt idx="533">
                  <c:v>45.64</c:v>
                </c:pt>
                <c:pt idx="534">
                  <c:v>46.38</c:v>
                </c:pt>
                <c:pt idx="535">
                  <c:v>50.72</c:v>
                </c:pt>
                <c:pt idx="536">
                  <c:v>59.64</c:v>
                </c:pt>
                <c:pt idx="537">
                  <c:v>56.05</c:v>
                </c:pt>
                <c:pt idx="538">
                  <c:v>57.51</c:v>
                </c:pt>
                <c:pt idx="539">
                  <c:v>63.86</c:v>
                </c:pt>
                <c:pt idx="540">
                  <c:v>64.39</c:v>
                </c:pt>
                <c:pt idx="541">
                  <c:v>59.99</c:v>
                </c:pt>
                <c:pt idx="542">
                  <c:v>59.13</c:v>
                </c:pt>
                <c:pt idx="543">
                  <c:v>54.14</c:v>
                </c:pt>
                <c:pt idx="544">
                  <c:v>54.69</c:v>
                </c:pt>
                <c:pt idx="545">
                  <c:v>60.5</c:v>
                </c:pt>
                <c:pt idx="546">
                  <c:v>55.89</c:v>
                </c:pt>
                <c:pt idx="547">
                  <c:v>52.02</c:v>
                </c:pt>
                <c:pt idx="548">
                  <c:v>48.94</c:v>
                </c:pt>
                <c:pt idx="549">
                  <c:v>54.49</c:v>
                </c:pt>
                <c:pt idx="550">
                  <c:v>55</c:v>
                </c:pt>
                <c:pt idx="551">
                  <c:v>54.67</c:v>
                </c:pt>
                <c:pt idx="552">
                  <c:v>59.83</c:v>
                </c:pt>
                <c:pt idx="553">
                  <c:v>59.4</c:v>
                </c:pt>
                <c:pt idx="554">
                  <c:v>61.34</c:v>
                </c:pt>
                <c:pt idx="555">
                  <c:v>74.19</c:v>
                </c:pt>
                <c:pt idx="556">
                  <c:v>71.84</c:v>
                </c:pt>
                <c:pt idx="557">
                  <c:v>80.22</c:v>
                </c:pt>
                <c:pt idx="558">
                  <c:v>76.989999999999995</c:v>
                </c:pt>
                <c:pt idx="559">
                  <c:v>74.69</c:v>
                </c:pt>
                <c:pt idx="561">
                  <c:v>75.58</c:v>
                </c:pt>
                <c:pt idx="562">
                  <c:v>68.81</c:v>
                </c:pt>
                <c:pt idx="563">
                  <c:v>65.34</c:v>
                </c:pt>
                <c:pt idx="564">
                  <c:v>67.94</c:v>
                </c:pt>
                <c:pt idx="565">
                  <c:v>64.56</c:v>
                </c:pt>
                <c:pt idx="566">
                  <c:v>57.96</c:v>
                </c:pt>
                <c:pt idx="567">
                  <c:v>65.540000000000006</c:v>
                </c:pt>
                <c:pt idx="568">
                  <c:v>65.569999999999993</c:v>
                </c:pt>
                <c:pt idx="569">
                  <c:v>64.400000000000006</c:v>
                </c:pt>
                <c:pt idx="570">
                  <c:v>64.260000000000005</c:v>
                </c:pt>
                <c:pt idx="571">
                  <c:v>59.03</c:v>
                </c:pt>
                <c:pt idx="572">
                  <c:v>55.84</c:v>
                </c:pt>
                <c:pt idx="573">
                  <c:v>55.26</c:v>
                </c:pt>
                <c:pt idx="576">
                  <c:v>53.12</c:v>
                </c:pt>
                <c:pt idx="577">
                  <c:v>51.15</c:v>
                </c:pt>
                <c:pt idx="578">
                  <c:v>51.79</c:v>
                </c:pt>
                <c:pt idx="579">
                  <c:v>44.3</c:v>
                </c:pt>
                <c:pt idx="580">
                  <c:v>43.74</c:v>
                </c:pt>
                <c:pt idx="581">
                  <c:v>38.04</c:v>
                </c:pt>
                <c:pt idx="582">
                  <c:v>37.04</c:v>
                </c:pt>
                <c:pt idx="583">
                  <c:v>44.59</c:v>
                </c:pt>
                <c:pt idx="584">
                  <c:v>40.299999999999997</c:v>
                </c:pt>
                <c:pt idx="585">
                  <c:v>37.880000000000003</c:v>
                </c:pt>
                <c:pt idx="586">
                  <c:v>41.67</c:v>
                </c:pt>
                <c:pt idx="587">
                  <c:v>46.87</c:v>
                </c:pt>
                <c:pt idx="588">
                  <c:v>50.76</c:v>
                </c:pt>
                <c:pt idx="589">
                  <c:v>48.42</c:v>
                </c:pt>
                <c:pt idx="590">
                  <c:v>44.34</c:v>
                </c:pt>
                <c:pt idx="591">
                  <c:v>39.340000000000003</c:v>
                </c:pt>
                <c:pt idx="592">
                  <c:v>39.71</c:v>
                </c:pt>
                <c:pt idx="593">
                  <c:v>46.32</c:v>
                </c:pt>
                <c:pt idx="594">
                  <c:v>50.89</c:v>
                </c:pt>
                <c:pt idx="595">
                  <c:v>53.78</c:v>
                </c:pt>
                <c:pt idx="596">
                  <c:v>59.86</c:v>
                </c:pt>
                <c:pt idx="597">
                  <c:v>59.36</c:v>
                </c:pt>
                <c:pt idx="598">
                  <c:v>63.5</c:v>
                </c:pt>
                <c:pt idx="599">
                  <c:v>57.47</c:v>
                </c:pt>
                <c:pt idx="600">
                  <c:v>61.97</c:v>
                </c:pt>
                <c:pt idx="601">
                  <c:v>61.8</c:v>
                </c:pt>
                <c:pt idx="602">
                  <c:v>67.38</c:v>
                </c:pt>
                <c:pt idx="603">
                  <c:v>65.2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D6-4105-BD96-235EC91F2C07}"/>
            </c:ext>
          </c:extLst>
        </c:ser>
        <c:ser>
          <c:idx val="1"/>
          <c:order val="1"/>
          <c:tx>
            <c:strRef>
              <c:f>'미국 RSI'!$D$1</c:f>
              <c:strCache>
                <c:ptCount val="1"/>
                <c:pt idx="0">
                  <c:v>헬스케어(US)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RSI'!$D$69:$D$3068</c:f>
              <c:numCache>
                <c:formatCode>0.00</c:formatCode>
                <c:ptCount val="3000"/>
                <c:pt idx="0">
                  <c:v>44.53</c:v>
                </c:pt>
                <c:pt idx="1">
                  <c:v>48.37</c:v>
                </c:pt>
                <c:pt idx="2">
                  <c:v>35.89</c:v>
                </c:pt>
                <c:pt idx="3">
                  <c:v>38.369999999999997</c:v>
                </c:pt>
                <c:pt idx="4">
                  <c:v>36.83</c:v>
                </c:pt>
                <c:pt idx="5">
                  <c:v>38.520000000000003</c:v>
                </c:pt>
                <c:pt idx="6">
                  <c:v>43.87</c:v>
                </c:pt>
                <c:pt idx="7">
                  <c:v>44.26</c:v>
                </c:pt>
                <c:pt idx="8">
                  <c:v>42.71</c:v>
                </c:pt>
                <c:pt idx="9">
                  <c:v>46.62</c:v>
                </c:pt>
                <c:pt idx="10">
                  <c:v>50.58</c:v>
                </c:pt>
                <c:pt idx="11">
                  <c:v>43.51</c:v>
                </c:pt>
                <c:pt idx="12">
                  <c:v>46.81</c:v>
                </c:pt>
                <c:pt idx="13">
                  <c:v>50.02</c:v>
                </c:pt>
                <c:pt idx="14">
                  <c:v>47.3</c:v>
                </c:pt>
                <c:pt idx="15">
                  <c:v>45.16</c:v>
                </c:pt>
                <c:pt idx="16">
                  <c:v>51.03</c:v>
                </c:pt>
                <c:pt idx="17">
                  <c:v>52.08</c:v>
                </c:pt>
                <c:pt idx="18">
                  <c:v>41.9</c:v>
                </c:pt>
                <c:pt idx="19">
                  <c:v>40.799999999999997</c:v>
                </c:pt>
                <c:pt idx="21">
                  <c:v>42.15</c:v>
                </c:pt>
                <c:pt idx="22">
                  <c:v>44.52</c:v>
                </c:pt>
                <c:pt idx="23">
                  <c:v>40.76</c:v>
                </c:pt>
                <c:pt idx="24">
                  <c:v>29.74</c:v>
                </c:pt>
                <c:pt idx="25">
                  <c:v>27.22</c:v>
                </c:pt>
                <c:pt idx="26">
                  <c:v>31.93</c:v>
                </c:pt>
                <c:pt idx="27">
                  <c:v>33</c:v>
                </c:pt>
                <c:pt idx="28">
                  <c:v>26.36</c:v>
                </c:pt>
                <c:pt idx="29">
                  <c:v>26.26</c:v>
                </c:pt>
                <c:pt idx="30">
                  <c:v>27.16</c:v>
                </c:pt>
                <c:pt idx="31">
                  <c:v>29.29</c:v>
                </c:pt>
                <c:pt idx="32">
                  <c:v>30.2</c:v>
                </c:pt>
                <c:pt idx="33">
                  <c:v>34.950000000000003</c:v>
                </c:pt>
                <c:pt idx="34">
                  <c:v>37.99</c:v>
                </c:pt>
                <c:pt idx="35">
                  <c:v>33.18</c:v>
                </c:pt>
                <c:pt idx="36">
                  <c:v>33.92</c:v>
                </c:pt>
                <c:pt idx="37">
                  <c:v>39.94</c:v>
                </c:pt>
                <c:pt idx="38">
                  <c:v>40.68</c:v>
                </c:pt>
                <c:pt idx="39">
                  <c:v>43.48</c:v>
                </c:pt>
                <c:pt idx="40">
                  <c:v>37.909999999999997</c:v>
                </c:pt>
                <c:pt idx="41">
                  <c:v>40.81</c:v>
                </c:pt>
                <c:pt idx="42">
                  <c:v>50.01</c:v>
                </c:pt>
                <c:pt idx="43">
                  <c:v>48.95</c:v>
                </c:pt>
                <c:pt idx="44">
                  <c:v>55.2</c:v>
                </c:pt>
                <c:pt idx="45">
                  <c:v>62.07</c:v>
                </c:pt>
                <c:pt idx="46">
                  <c:v>53.04</c:v>
                </c:pt>
                <c:pt idx="47">
                  <c:v>54.83</c:v>
                </c:pt>
                <c:pt idx="48">
                  <c:v>55</c:v>
                </c:pt>
                <c:pt idx="49">
                  <c:v>57.74</c:v>
                </c:pt>
                <c:pt idx="50">
                  <c:v>52.03</c:v>
                </c:pt>
                <c:pt idx="51">
                  <c:v>53.76</c:v>
                </c:pt>
                <c:pt idx="52">
                  <c:v>55.35</c:v>
                </c:pt>
                <c:pt idx="53">
                  <c:v>54.43</c:v>
                </c:pt>
                <c:pt idx="54">
                  <c:v>55.49</c:v>
                </c:pt>
                <c:pt idx="55">
                  <c:v>50.52</c:v>
                </c:pt>
                <c:pt idx="56">
                  <c:v>51.32</c:v>
                </c:pt>
                <c:pt idx="57">
                  <c:v>48.55</c:v>
                </c:pt>
                <c:pt idx="58">
                  <c:v>51.47</c:v>
                </c:pt>
                <c:pt idx="59">
                  <c:v>55.86</c:v>
                </c:pt>
                <c:pt idx="60">
                  <c:v>47.24</c:v>
                </c:pt>
                <c:pt idx="61">
                  <c:v>51.08</c:v>
                </c:pt>
                <c:pt idx="62">
                  <c:v>44.25</c:v>
                </c:pt>
                <c:pt idx="63">
                  <c:v>49.54</c:v>
                </c:pt>
                <c:pt idx="64">
                  <c:v>45.96</c:v>
                </c:pt>
                <c:pt idx="65">
                  <c:v>42.27</c:v>
                </c:pt>
                <c:pt idx="66">
                  <c:v>43.75</c:v>
                </c:pt>
                <c:pt idx="67">
                  <c:v>47.32</c:v>
                </c:pt>
                <c:pt idx="68">
                  <c:v>57.43</c:v>
                </c:pt>
                <c:pt idx="69">
                  <c:v>55.36</c:v>
                </c:pt>
                <c:pt idx="70">
                  <c:v>58.84</c:v>
                </c:pt>
                <c:pt idx="71">
                  <c:v>58.75</c:v>
                </c:pt>
                <c:pt idx="72">
                  <c:v>48.97</c:v>
                </c:pt>
                <c:pt idx="74">
                  <c:v>50.29</c:v>
                </c:pt>
                <c:pt idx="75">
                  <c:v>55.23</c:v>
                </c:pt>
                <c:pt idx="76">
                  <c:v>59.22</c:v>
                </c:pt>
                <c:pt idx="77">
                  <c:v>55.51</c:v>
                </c:pt>
                <c:pt idx="78">
                  <c:v>58.33</c:v>
                </c:pt>
                <c:pt idx="79">
                  <c:v>58.11</c:v>
                </c:pt>
                <c:pt idx="80">
                  <c:v>61.54</c:v>
                </c:pt>
                <c:pt idx="81">
                  <c:v>68.69</c:v>
                </c:pt>
                <c:pt idx="82">
                  <c:v>64.819999999999993</c:v>
                </c:pt>
                <c:pt idx="83">
                  <c:v>54.72</c:v>
                </c:pt>
                <c:pt idx="84">
                  <c:v>57.06</c:v>
                </c:pt>
                <c:pt idx="85">
                  <c:v>54.32</c:v>
                </c:pt>
                <c:pt idx="86">
                  <c:v>58.63</c:v>
                </c:pt>
                <c:pt idx="87">
                  <c:v>59.28</c:v>
                </c:pt>
                <c:pt idx="88">
                  <c:v>60.42</c:v>
                </c:pt>
                <c:pt idx="89">
                  <c:v>59.67</c:v>
                </c:pt>
                <c:pt idx="90">
                  <c:v>57.23</c:v>
                </c:pt>
                <c:pt idx="91">
                  <c:v>58.49</c:v>
                </c:pt>
                <c:pt idx="92">
                  <c:v>57.48</c:v>
                </c:pt>
                <c:pt idx="93">
                  <c:v>54.55</c:v>
                </c:pt>
                <c:pt idx="94">
                  <c:v>54.21</c:v>
                </c:pt>
                <c:pt idx="95">
                  <c:v>55.1</c:v>
                </c:pt>
                <c:pt idx="96">
                  <c:v>62.01</c:v>
                </c:pt>
                <c:pt idx="97">
                  <c:v>56.98</c:v>
                </c:pt>
                <c:pt idx="98">
                  <c:v>55.7</c:v>
                </c:pt>
                <c:pt idx="99">
                  <c:v>51.68</c:v>
                </c:pt>
                <c:pt idx="100">
                  <c:v>44.64</c:v>
                </c:pt>
                <c:pt idx="101">
                  <c:v>49.13</c:v>
                </c:pt>
                <c:pt idx="102">
                  <c:v>55.58</c:v>
                </c:pt>
                <c:pt idx="103">
                  <c:v>58.06</c:v>
                </c:pt>
                <c:pt idx="104">
                  <c:v>62.85</c:v>
                </c:pt>
                <c:pt idx="105">
                  <c:v>61.03</c:v>
                </c:pt>
                <c:pt idx="106">
                  <c:v>64.849999999999994</c:v>
                </c:pt>
                <c:pt idx="107">
                  <c:v>76.069999999999993</c:v>
                </c:pt>
                <c:pt idx="109">
                  <c:v>80.27</c:v>
                </c:pt>
                <c:pt idx="110">
                  <c:v>82.19</c:v>
                </c:pt>
                <c:pt idx="111">
                  <c:v>77.09</c:v>
                </c:pt>
                <c:pt idx="112">
                  <c:v>75.91</c:v>
                </c:pt>
                <c:pt idx="113">
                  <c:v>68.47</c:v>
                </c:pt>
                <c:pt idx="114">
                  <c:v>74.56</c:v>
                </c:pt>
                <c:pt idx="115">
                  <c:v>76.37</c:v>
                </c:pt>
                <c:pt idx="116">
                  <c:v>74.400000000000006</c:v>
                </c:pt>
                <c:pt idx="117">
                  <c:v>75.25</c:v>
                </c:pt>
                <c:pt idx="118">
                  <c:v>81.290000000000006</c:v>
                </c:pt>
                <c:pt idx="119">
                  <c:v>81.83</c:v>
                </c:pt>
                <c:pt idx="120">
                  <c:v>78.27</c:v>
                </c:pt>
                <c:pt idx="121">
                  <c:v>69.430000000000007</c:v>
                </c:pt>
                <c:pt idx="122">
                  <c:v>64.989999999999995</c:v>
                </c:pt>
                <c:pt idx="123">
                  <c:v>64.14</c:v>
                </c:pt>
                <c:pt idx="124">
                  <c:v>62.98</c:v>
                </c:pt>
                <c:pt idx="125">
                  <c:v>60.6</c:v>
                </c:pt>
                <c:pt idx="126">
                  <c:v>57.67</c:v>
                </c:pt>
                <c:pt idx="127">
                  <c:v>56.75</c:v>
                </c:pt>
                <c:pt idx="128">
                  <c:v>57.04</c:v>
                </c:pt>
                <c:pt idx="129">
                  <c:v>55.71</c:v>
                </c:pt>
                <c:pt idx="130">
                  <c:v>64.209999999999994</c:v>
                </c:pt>
                <c:pt idx="131">
                  <c:v>70.45</c:v>
                </c:pt>
                <c:pt idx="132">
                  <c:v>69.430000000000007</c:v>
                </c:pt>
                <c:pt idx="133">
                  <c:v>69.5</c:v>
                </c:pt>
                <c:pt idx="134">
                  <c:v>69.28</c:v>
                </c:pt>
                <c:pt idx="135">
                  <c:v>67.040000000000006</c:v>
                </c:pt>
                <c:pt idx="136">
                  <c:v>66.099999999999994</c:v>
                </c:pt>
                <c:pt idx="137">
                  <c:v>61.54</c:v>
                </c:pt>
                <c:pt idx="138">
                  <c:v>58.28</c:v>
                </c:pt>
                <c:pt idx="139">
                  <c:v>59.46</c:v>
                </c:pt>
                <c:pt idx="140">
                  <c:v>58.75</c:v>
                </c:pt>
                <c:pt idx="141">
                  <c:v>57.52</c:v>
                </c:pt>
                <c:pt idx="142">
                  <c:v>58.18</c:v>
                </c:pt>
                <c:pt idx="143">
                  <c:v>67.53</c:v>
                </c:pt>
                <c:pt idx="144">
                  <c:v>69.11</c:v>
                </c:pt>
                <c:pt idx="145">
                  <c:v>68.510000000000005</c:v>
                </c:pt>
                <c:pt idx="146">
                  <c:v>68.290000000000006</c:v>
                </c:pt>
                <c:pt idx="147">
                  <c:v>71.3</c:v>
                </c:pt>
                <c:pt idx="148">
                  <c:v>68.27</c:v>
                </c:pt>
                <c:pt idx="149">
                  <c:v>69.44</c:v>
                </c:pt>
                <c:pt idx="150">
                  <c:v>59.59</c:v>
                </c:pt>
                <c:pt idx="151">
                  <c:v>47.67</c:v>
                </c:pt>
                <c:pt idx="152">
                  <c:v>45.86</c:v>
                </c:pt>
                <c:pt idx="153">
                  <c:v>39.15</c:v>
                </c:pt>
                <c:pt idx="154">
                  <c:v>48.32</c:v>
                </c:pt>
                <c:pt idx="155">
                  <c:v>51.02</c:v>
                </c:pt>
                <c:pt idx="156">
                  <c:v>49.55</c:v>
                </c:pt>
                <c:pt idx="157">
                  <c:v>52.68</c:v>
                </c:pt>
                <c:pt idx="158">
                  <c:v>53.54</c:v>
                </c:pt>
                <c:pt idx="159">
                  <c:v>52.46</c:v>
                </c:pt>
                <c:pt idx="160">
                  <c:v>51.41</c:v>
                </c:pt>
                <c:pt idx="161">
                  <c:v>51.41</c:v>
                </c:pt>
                <c:pt idx="162">
                  <c:v>56.07</c:v>
                </c:pt>
                <c:pt idx="163">
                  <c:v>63.34</c:v>
                </c:pt>
                <c:pt idx="164">
                  <c:v>55.36</c:v>
                </c:pt>
                <c:pt idx="165">
                  <c:v>61.96</c:v>
                </c:pt>
                <c:pt idx="166">
                  <c:v>59.32</c:v>
                </c:pt>
                <c:pt idx="167">
                  <c:v>59.58</c:v>
                </c:pt>
                <c:pt idx="168">
                  <c:v>57.97</c:v>
                </c:pt>
                <c:pt idx="169">
                  <c:v>56.18</c:v>
                </c:pt>
                <c:pt idx="170">
                  <c:v>59.1</c:v>
                </c:pt>
                <c:pt idx="172">
                  <c:v>58.7</c:v>
                </c:pt>
                <c:pt idx="173">
                  <c:v>55.61</c:v>
                </c:pt>
                <c:pt idx="174">
                  <c:v>57.78</c:v>
                </c:pt>
                <c:pt idx="175">
                  <c:v>58.09</c:v>
                </c:pt>
                <c:pt idx="176">
                  <c:v>55.74</c:v>
                </c:pt>
                <c:pt idx="177">
                  <c:v>63.41</c:v>
                </c:pt>
                <c:pt idx="178">
                  <c:v>60.51</c:v>
                </c:pt>
                <c:pt idx="179">
                  <c:v>62.38</c:v>
                </c:pt>
                <c:pt idx="180">
                  <c:v>60.56</c:v>
                </c:pt>
                <c:pt idx="181">
                  <c:v>58.37</c:v>
                </c:pt>
                <c:pt idx="182">
                  <c:v>59.5</c:v>
                </c:pt>
                <c:pt idx="183">
                  <c:v>53.63</c:v>
                </c:pt>
                <c:pt idx="184">
                  <c:v>51.7</c:v>
                </c:pt>
                <c:pt idx="185">
                  <c:v>45.03</c:v>
                </c:pt>
                <c:pt idx="186">
                  <c:v>41.84</c:v>
                </c:pt>
                <c:pt idx="187">
                  <c:v>41.38</c:v>
                </c:pt>
                <c:pt idx="188">
                  <c:v>37.33</c:v>
                </c:pt>
                <c:pt idx="189">
                  <c:v>40.74</c:v>
                </c:pt>
                <c:pt idx="190">
                  <c:v>45.9</c:v>
                </c:pt>
                <c:pt idx="191">
                  <c:v>47.32</c:v>
                </c:pt>
                <c:pt idx="192">
                  <c:v>41.05</c:v>
                </c:pt>
                <c:pt idx="193">
                  <c:v>38.53</c:v>
                </c:pt>
                <c:pt idx="194">
                  <c:v>49.01</c:v>
                </c:pt>
                <c:pt idx="195">
                  <c:v>49.82</c:v>
                </c:pt>
                <c:pt idx="196">
                  <c:v>52.69</c:v>
                </c:pt>
                <c:pt idx="197">
                  <c:v>56.92</c:v>
                </c:pt>
                <c:pt idx="198">
                  <c:v>54.89</c:v>
                </c:pt>
                <c:pt idx="199">
                  <c:v>56.64</c:v>
                </c:pt>
                <c:pt idx="200">
                  <c:v>48.41</c:v>
                </c:pt>
                <c:pt idx="201">
                  <c:v>38.799999999999997</c:v>
                </c:pt>
                <c:pt idx="202">
                  <c:v>40.97</c:v>
                </c:pt>
                <c:pt idx="203">
                  <c:v>43.64</c:v>
                </c:pt>
                <c:pt idx="204">
                  <c:v>48.78</c:v>
                </c:pt>
                <c:pt idx="205">
                  <c:v>41.94</c:v>
                </c:pt>
                <c:pt idx="206">
                  <c:v>51.31</c:v>
                </c:pt>
                <c:pt idx="207">
                  <c:v>52.02</c:v>
                </c:pt>
                <c:pt idx="208">
                  <c:v>57.21</c:v>
                </c:pt>
                <c:pt idx="209">
                  <c:v>54.08</c:v>
                </c:pt>
                <c:pt idx="210">
                  <c:v>52.04</c:v>
                </c:pt>
                <c:pt idx="211">
                  <c:v>49.61</c:v>
                </c:pt>
                <c:pt idx="213">
                  <c:v>54.4</c:v>
                </c:pt>
                <c:pt idx="214">
                  <c:v>53.89</c:v>
                </c:pt>
                <c:pt idx="215">
                  <c:v>59.87</c:v>
                </c:pt>
                <c:pt idx="216">
                  <c:v>52.99</c:v>
                </c:pt>
                <c:pt idx="217">
                  <c:v>49.37</c:v>
                </c:pt>
                <c:pt idx="218">
                  <c:v>50.59</c:v>
                </c:pt>
                <c:pt idx="219">
                  <c:v>49.31</c:v>
                </c:pt>
                <c:pt idx="220">
                  <c:v>48.85</c:v>
                </c:pt>
                <c:pt idx="221">
                  <c:v>42.25</c:v>
                </c:pt>
                <c:pt idx="222">
                  <c:v>43.67</c:v>
                </c:pt>
                <c:pt idx="224">
                  <c:v>45.75</c:v>
                </c:pt>
                <c:pt idx="225">
                  <c:v>46.49</c:v>
                </c:pt>
                <c:pt idx="226">
                  <c:v>54.42</c:v>
                </c:pt>
                <c:pt idx="227">
                  <c:v>56.09</c:v>
                </c:pt>
                <c:pt idx="228">
                  <c:v>58.8</c:v>
                </c:pt>
                <c:pt idx="229">
                  <c:v>55.7</c:v>
                </c:pt>
                <c:pt idx="230">
                  <c:v>55.5</c:v>
                </c:pt>
                <c:pt idx="231">
                  <c:v>50.88</c:v>
                </c:pt>
                <c:pt idx="232">
                  <c:v>51.63</c:v>
                </c:pt>
                <c:pt idx="233">
                  <c:v>47.69</c:v>
                </c:pt>
                <c:pt idx="234">
                  <c:v>48.21</c:v>
                </c:pt>
                <c:pt idx="235">
                  <c:v>47.44</c:v>
                </c:pt>
                <c:pt idx="236">
                  <c:v>46.57</c:v>
                </c:pt>
                <c:pt idx="237">
                  <c:v>46.36</c:v>
                </c:pt>
                <c:pt idx="238">
                  <c:v>45.65</c:v>
                </c:pt>
                <c:pt idx="239">
                  <c:v>43.49</c:v>
                </c:pt>
                <c:pt idx="240">
                  <c:v>44.77</c:v>
                </c:pt>
                <c:pt idx="242">
                  <c:v>40.4</c:v>
                </c:pt>
                <c:pt idx="243">
                  <c:v>40.75</c:v>
                </c:pt>
                <c:pt idx="244">
                  <c:v>42.4</c:v>
                </c:pt>
                <c:pt idx="245">
                  <c:v>47.84</c:v>
                </c:pt>
                <c:pt idx="246">
                  <c:v>47.17</c:v>
                </c:pt>
                <c:pt idx="247">
                  <c:v>44.63</c:v>
                </c:pt>
                <c:pt idx="248">
                  <c:v>39.01</c:v>
                </c:pt>
                <c:pt idx="249">
                  <c:v>35.090000000000003</c:v>
                </c:pt>
                <c:pt idx="250">
                  <c:v>39.409999999999997</c:v>
                </c:pt>
                <c:pt idx="251">
                  <c:v>46.41</c:v>
                </c:pt>
                <c:pt idx="252">
                  <c:v>38.24</c:v>
                </c:pt>
                <c:pt idx="253">
                  <c:v>40.81</c:v>
                </c:pt>
                <c:pt idx="254">
                  <c:v>43.06</c:v>
                </c:pt>
                <c:pt idx="255">
                  <c:v>40.49</c:v>
                </c:pt>
                <c:pt idx="256">
                  <c:v>47.92</c:v>
                </c:pt>
                <c:pt idx="257">
                  <c:v>48.77</c:v>
                </c:pt>
                <c:pt idx="258">
                  <c:v>44.32</c:v>
                </c:pt>
                <c:pt idx="259">
                  <c:v>52.97</c:v>
                </c:pt>
                <c:pt idx="260">
                  <c:v>50.16</c:v>
                </c:pt>
                <c:pt idx="261">
                  <c:v>48.53</c:v>
                </c:pt>
                <c:pt idx="262">
                  <c:v>47.24</c:v>
                </c:pt>
                <c:pt idx="263">
                  <c:v>45.72</c:v>
                </c:pt>
                <c:pt idx="264">
                  <c:v>41.79</c:v>
                </c:pt>
                <c:pt idx="265">
                  <c:v>40.17</c:v>
                </c:pt>
                <c:pt idx="266">
                  <c:v>33.82</c:v>
                </c:pt>
                <c:pt idx="268">
                  <c:v>38.24</c:v>
                </c:pt>
                <c:pt idx="269">
                  <c:v>39.56</c:v>
                </c:pt>
                <c:pt idx="270">
                  <c:v>41.9</c:v>
                </c:pt>
                <c:pt idx="271">
                  <c:v>43.35</c:v>
                </c:pt>
                <c:pt idx="272">
                  <c:v>39.54</c:v>
                </c:pt>
                <c:pt idx="273">
                  <c:v>34.700000000000003</c:v>
                </c:pt>
                <c:pt idx="274">
                  <c:v>40.6</c:v>
                </c:pt>
                <c:pt idx="275">
                  <c:v>22.27</c:v>
                </c:pt>
                <c:pt idx="276">
                  <c:v>24.04</c:v>
                </c:pt>
                <c:pt idx="277">
                  <c:v>25.05</c:v>
                </c:pt>
                <c:pt idx="278">
                  <c:v>40.24</c:v>
                </c:pt>
                <c:pt idx="279">
                  <c:v>43.93</c:v>
                </c:pt>
                <c:pt idx="280">
                  <c:v>39.72</c:v>
                </c:pt>
                <c:pt idx="281">
                  <c:v>49.27</c:v>
                </c:pt>
                <c:pt idx="282">
                  <c:v>42.05</c:v>
                </c:pt>
                <c:pt idx="283">
                  <c:v>43.8</c:v>
                </c:pt>
                <c:pt idx="284">
                  <c:v>42.67</c:v>
                </c:pt>
                <c:pt idx="285">
                  <c:v>44.59</c:v>
                </c:pt>
                <c:pt idx="286">
                  <c:v>52.34</c:v>
                </c:pt>
                <c:pt idx="287">
                  <c:v>49.98</c:v>
                </c:pt>
                <c:pt idx="288">
                  <c:v>51.76</c:v>
                </c:pt>
                <c:pt idx="289">
                  <c:v>51.4</c:v>
                </c:pt>
                <c:pt idx="290">
                  <c:v>51.11</c:v>
                </c:pt>
                <c:pt idx="291">
                  <c:v>50.87</c:v>
                </c:pt>
                <c:pt idx="292">
                  <c:v>44.12</c:v>
                </c:pt>
                <c:pt idx="293">
                  <c:v>39.5</c:v>
                </c:pt>
                <c:pt idx="294">
                  <c:v>41.74</c:v>
                </c:pt>
                <c:pt idx="295">
                  <c:v>46.37</c:v>
                </c:pt>
                <c:pt idx="296">
                  <c:v>52.32</c:v>
                </c:pt>
                <c:pt idx="297">
                  <c:v>59.39</c:v>
                </c:pt>
                <c:pt idx="298">
                  <c:v>59.35</c:v>
                </c:pt>
                <c:pt idx="299">
                  <c:v>61.17</c:v>
                </c:pt>
                <c:pt idx="300">
                  <c:v>56.7</c:v>
                </c:pt>
                <c:pt idx="301">
                  <c:v>62.98</c:v>
                </c:pt>
                <c:pt idx="302">
                  <c:v>61.11</c:v>
                </c:pt>
                <c:pt idx="303">
                  <c:v>55.63</c:v>
                </c:pt>
                <c:pt idx="304">
                  <c:v>58.31</c:v>
                </c:pt>
                <c:pt idx="305">
                  <c:v>63.36</c:v>
                </c:pt>
                <c:pt idx="306">
                  <c:v>59.49</c:v>
                </c:pt>
                <c:pt idx="307">
                  <c:v>55.4</c:v>
                </c:pt>
                <c:pt idx="308">
                  <c:v>59.08</c:v>
                </c:pt>
                <c:pt idx="309">
                  <c:v>56.28</c:v>
                </c:pt>
                <c:pt idx="310">
                  <c:v>48.83</c:v>
                </c:pt>
                <c:pt idx="312">
                  <c:v>50.01</c:v>
                </c:pt>
                <c:pt idx="313">
                  <c:v>57.3</c:v>
                </c:pt>
                <c:pt idx="314">
                  <c:v>55.12</c:v>
                </c:pt>
                <c:pt idx="315">
                  <c:v>56.1</c:v>
                </c:pt>
                <c:pt idx="316">
                  <c:v>57.31</c:v>
                </c:pt>
                <c:pt idx="317">
                  <c:v>57.88</c:v>
                </c:pt>
                <c:pt idx="318">
                  <c:v>60.81</c:v>
                </c:pt>
                <c:pt idx="319">
                  <c:v>66.87</c:v>
                </c:pt>
                <c:pt idx="320">
                  <c:v>63.26</c:v>
                </c:pt>
                <c:pt idx="321">
                  <c:v>65.13</c:v>
                </c:pt>
                <c:pt idx="322">
                  <c:v>63.71</c:v>
                </c:pt>
                <c:pt idx="323">
                  <c:v>65.760000000000005</c:v>
                </c:pt>
                <c:pt idx="324">
                  <c:v>61.68</c:v>
                </c:pt>
                <c:pt idx="325">
                  <c:v>65.38</c:v>
                </c:pt>
                <c:pt idx="326">
                  <c:v>70.069999999999993</c:v>
                </c:pt>
                <c:pt idx="327">
                  <c:v>62.15</c:v>
                </c:pt>
                <c:pt idx="328">
                  <c:v>61.47</c:v>
                </c:pt>
                <c:pt idx="329">
                  <c:v>55.4</c:v>
                </c:pt>
                <c:pt idx="330">
                  <c:v>56.8</c:v>
                </c:pt>
                <c:pt idx="332">
                  <c:v>47.93</c:v>
                </c:pt>
                <c:pt idx="333">
                  <c:v>51.99</c:v>
                </c:pt>
                <c:pt idx="334">
                  <c:v>49.65</c:v>
                </c:pt>
                <c:pt idx="335">
                  <c:v>47.23</c:v>
                </c:pt>
                <c:pt idx="336">
                  <c:v>53.34</c:v>
                </c:pt>
                <c:pt idx="337">
                  <c:v>45.13</c:v>
                </c:pt>
                <c:pt idx="339">
                  <c:v>48.57</c:v>
                </c:pt>
                <c:pt idx="340">
                  <c:v>45.02</c:v>
                </c:pt>
                <c:pt idx="341">
                  <c:v>41.42</c:v>
                </c:pt>
                <c:pt idx="342">
                  <c:v>41.11</c:v>
                </c:pt>
                <c:pt idx="343">
                  <c:v>33.75</c:v>
                </c:pt>
                <c:pt idx="344">
                  <c:v>33.520000000000003</c:v>
                </c:pt>
                <c:pt idx="345">
                  <c:v>31.72</c:v>
                </c:pt>
                <c:pt idx="346">
                  <c:v>36.479999999999997</c:v>
                </c:pt>
                <c:pt idx="347">
                  <c:v>38.520000000000003</c:v>
                </c:pt>
                <c:pt idx="348">
                  <c:v>37.11</c:v>
                </c:pt>
                <c:pt idx="349">
                  <c:v>34.270000000000003</c:v>
                </c:pt>
                <c:pt idx="350">
                  <c:v>30.42</c:v>
                </c:pt>
                <c:pt idx="351">
                  <c:v>20.51</c:v>
                </c:pt>
                <c:pt idx="352">
                  <c:v>22.29</c:v>
                </c:pt>
                <c:pt idx="353">
                  <c:v>26.12</c:v>
                </c:pt>
                <c:pt idx="354">
                  <c:v>26.35</c:v>
                </c:pt>
                <c:pt idx="355">
                  <c:v>30.38</c:v>
                </c:pt>
                <c:pt idx="356">
                  <c:v>30.43</c:v>
                </c:pt>
                <c:pt idx="357">
                  <c:v>33.409999999999997</c:v>
                </c:pt>
                <c:pt idx="358">
                  <c:v>39.64</c:v>
                </c:pt>
                <c:pt idx="359">
                  <c:v>41.87</c:v>
                </c:pt>
                <c:pt idx="360">
                  <c:v>39.67</c:v>
                </c:pt>
                <c:pt idx="361">
                  <c:v>42.59</c:v>
                </c:pt>
                <c:pt idx="362">
                  <c:v>49.33</c:v>
                </c:pt>
                <c:pt idx="363">
                  <c:v>49.69</c:v>
                </c:pt>
                <c:pt idx="364">
                  <c:v>51.1</c:v>
                </c:pt>
                <c:pt idx="365">
                  <c:v>52.19</c:v>
                </c:pt>
                <c:pt idx="367">
                  <c:v>50.46</c:v>
                </c:pt>
                <c:pt idx="368">
                  <c:v>47.46</c:v>
                </c:pt>
                <c:pt idx="369">
                  <c:v>44.34</c:v>
                </c:pt>
                <c:pt idx="370">
                  <c:v>39.03</c:v>
                </c:pt>
                <c:pt idx="371">
                  <c:v>38.46</c:v>
                </c:pt>
                <c:pt idx="372">
                  <c:v>33.28</c:v>
                </c:pt>
                <c:pt idx="373">
                  <c:v>24.74</c:v>
                </c:pt>
                <c:pt idx="374">
                  <c:v>26.1</c:v>
                </c:pt>
                <c:pt idx="375">
                  <c:v>25.58</c:v>
                </c:pt>
                <c:pt idx="376">
                  <c:v>30.99</c:v>
                </c:pt>
                <c:pt idx="377">
                  <c:v>37.31</c:v>
                </c:pt>
                <c:pt idx="378">
                  <c:v>38.54</c:v>
                </c:pt>
                <c:pt idx="379">
                  <c:v>46.07</c:v>
                </c:pt>
                <c:pt idx="380">
                  <c:v>49.9</c:v>
                </c:pt>
                <c:pt idx="381">
                  <c:v>44.71</c:v>
                </c:pt>
                <c:pt idx="382">
                  <c:v>38.82</c:v>
                </c:pt>
                <c:pt idx="383">
                  <c:v>37.729999999999997</c:v>
                </c:pt>
                <c:pt idx="384">
                  <c:v>31.25</c:v>
                </c:pt>
                <c:pt idx="385">
                  <c:v>34.22</c:v>
                </c:pt>
                <c:pt idx="386">
                  <c:v>28.56</c:v>
                </c:pt>
                <c:pt idx="387">
                  <c:v>32.26</c:v>
                </c:pt>
                <c:pt idx="388">
                  <c:v>33.159999999999997</c:v>
                </c:pt>
                <c:pt idx="389">
                  <c:v>34.450000000000003</c:v>
                </c:pt>
                <c:pt idx="390">
                  <c:v>33.15</c:v>
                </c:pt>
                <c:pt idx="391">
                  <c:v>35.6</c:v>
                </c:pt>
                <c:pt idx="392">
                  <c:v>38.82</c:v>
                </c:pt>
                <c:pt idx="393">
                  <c:v>41.31</c:v>
                </c:pt>
                <c:pt idx="394">
                  <c:v>42.08</c:v>
                </c:pt>
                <c:pt idx="395">
                  <c:v>49.08</c:v>
                </c:pt>
                <c:pt idx="396">
                  <c:v>45.63</c:v>
                </c:pt>
                <c:pt idx="397">
                  <c:v>49.37</c:v>
                </c:pt>
                <c:pt idx="398">
                  <c:v>47.44</c:v>
                </c:pt>
                <c:pt idx="399">
                  <c:v>56.19</c:v>
                </c:pt>
                <c:pt idx="400">
                  <c:v>52.53</c:v>
                </c:pt>
                <c:pt idx="401">
                  <c:v>47.13</c:v>
                </c:pt>
                <c:pt idx="402">
                  <c:v>49.81</c:v>
                </c:pt>
                <c:pt idx="403">
                  <c:v>41.4</c:v>
                </c:pt>
                <c:pt idx="404">
                  <c:v>36.14</c:v>
                </c:pt>
                <c:pt idx="405">
                  <c:v>38.78</c:v>
                </c:pt>
                <c:pt idx="406">
                  <c:v>38.03</c:v>
                </c:pt>
                <c:pt idx="407">
                  <c:v>43.78</c:v>
                </c:pt>
                <c:pt idx="408">
                  <c:v>45.2</c:v>
                </c:pt>
                <c:pt idx="409">
                  <c:v>49.08</c:v>
                </c:pt>
                <c:pt idx="410">
                  <c:v>43.53</c:v>
                </c:pt>
                <c:pt idx="411">
                  <c:v>43.88</c:v>
                </c:pt>
                <c:pt idx="412">
                  <c:v>41.03</c:v>
                </c:pt>
                <c:pt idx="413">
                  <c:v>47.64</c:v>
                </c:pt>
                <c:pt idx="414">
                  <c:v>49.16</c:v>
                </c:pt>
                <c:pt idx="415">
                  <c:v>53.68</c:v>
                </c:pt>
                <c:pt idx="416">
                  <c:v>57.22</c:v>
                </c:pt>
                <c:pt idx="417">
                  <c:v>54.8</c:v>
                </c:pt>
                <c:pt idx="418">
                  <c:v>56.17</c:v>
                </c:pt>
                <c:pt idx="419">
                  <c:v>65.7</c:v>
                </c:pt>
                <c:pt idx="420">
                  <c:v>61.68</c:v>
                </c:pt>
                <c:pt idx="421">
                  <c:v>60.4</c:v>
                </c:pt>
                <c:pt idx="422">
                  <c:v>58.13</c:v>
                </c:pt>
                <c:pt idx="423">
                  <c:v>60.79</c:v>
                </c:pt>
                <c:pt idx="424">
                  <c:v>58.04</c:v>
                </c:pt>
                <c:pt idx="425">
                  <c:v>53.42</c:v>
                </c:pt>
                <c:pt idx="426">
                  <c:v>56.24</c:v>
                </c:pt>
                <c:pt idx="427">
                  <c:v>70.19</c:v>
                </c:pt>
                <c:pt idx="428">
                  <c:v>72.28</c:v>
                </c:pt>
                <c:pt idx="430">
                  <c:v>74.58</c:v>
                </c:pt>
                <c:pt idx="431">
                  <c:v>71.56</c:v>
                </c:pt>
                <c:pt idx="432">
                  <c:v>70.569999999999993</c:v>
                </c:pt>
                <c:pt idx="433">
                  <c:v>70.040000000000006</c:v>
                </c:pt>
                <c:pt idx="434">
                  <c:v>69.36</c:v>
                </c:pt>
                <c:pt idx="435">
                  <c:v>69.849999999999994</c:v>
                </c:pt>
                <c:pt idx="436">
                  <c:v>68.09</c:v>
                </c:pt>
                <c:pt idx="437">
                  <c:v>67.83</c:v>
                </c:pt>
                <c:pt idx="438">
                  <c:v>67.19</c:v>
                </c:pt>
                <c:pt idx="439">
                  <c:v>65.66</c:v>
                </c:pt>
                <c:pt idx="440">
                  <c:v>63.28</c:v>
                </c:pt>
                <c:pt idx="441">
                  <c:v>62.87</c:v>
                </c:pt>
                <c:pt idx="442">
                  <c:v>60.43</c:v>
                </c:pt>
                <c:pt idx="443">
                  <c:v>59.01</c:v>
                </c:pt>
                <c:pt idx="444">
                  <c:v>53.85</c:v>
                </c:pt>
                <c:pt idx="445">
                  <c:v>55.91</c:v>
                </c:pt>
                <c:pt idx="446">
                  <c:v>53.77</c:v>
                </c:pt>
                <c:pt idx="447">
                  <c:v>42.51</c:v>
                </c:pt>
                <c:pt idx="448">
                  <c:v>47.5</c:v>
                </c:pt>
                <c:pt idx="449">
                  <c:v>44.77</c:v>
                </c:pt>
                <c:pt idx="450">
                  <c:v>62.72</c:v>
                </c:pt>
                <c:pt idx="451">
                  <c:v>64.510000000000005</c:v>
                </c:pt>
                <c:pt idx="452">
                  <c:v>58.97</c:v>
                </c:pt>
                <c:pt idx="453">
                  <c:v>62.21</c:v>
                </c:pt>
                <c:pt idx="454">
                  <c:v>61.75</c:v>
                </c:pt>
                <c:pt idx="455">
                  <c:v>61.44</c:v>
                </c:pt>
                <c:pt idx="456">
                  <c:v>58.61</c:v>
                </c:pt>
                <c:pt idx="457">
                  <c:v>62.42</c:v>
                </c:pt>
                <c:pt idx="458">
                  <c:v>58.25</c:v>
                </c:pt>
                <c:pt idx="459">
                  <c:v>58.69</c:v>
                </c:pt>
                <c:pt idx="460">
                  <c:v>55.77</c:v>
                </c:pt>
                <c:pt idx="461">
                  <c:v>53.05</c:v>
                </c:pt>
                <c:pt idx="462">
                  <c:v>71.709999999999994</c:v>
                </c:pt>
                <c:pt idx="463">
                  <c:v>69.739999999999995</c:v>
                </c:pt>
                <c:pt idx="464">
                  <c:v>62.18</c:v>
                </c:pt>
                <c:pt idx="465">
                  <c:v>65.95</c:v>
                </c:pt>
                <c:pt idx="466">
                  <c:v>62.18</c:v>
                </c:pt>
                <c:pt idx="467">
                  <c:v>57.26</c:v>
                </c:pt>
                <c:pt idx="468">
                  <c:v>49.08</c:v>
                </c:pt>
                <c:pt idx="469">
                  <c:v>43.99</c:v>
                </c:pt>
                <c:pt idx="470">
                  <c:v>44.94</c:v>
                </c:pt>
                <c:pt idx="472">
                  <c:v>36.01</c:v>
                </c:pt>
                <c:pt idx="473">
                  <c:v>42.33</c:v>
                </c:pt>
                <c:pt idx="474">
                  <c:v>45.93</c:v>
                </c:pt>
                <c:pt idx="475">
                  <c:v>52.34</c:v>
                </c:pt>
                <c:pt idx="476">
                  <c:v>53.35</c:v>
                </c:pt>
                <c:pt idx="477">
                  <c:v>55.34</c:v>
                </c:pt>
                <c:pt idx="478">
                  <c:v>59.82</c:v>
                </c:pt>
                <c:pt idx="479">
                  <c:v>64.08</c:v>
                </c:pt>
                <c:pt idx="480">
                  <c:v>62.57</c:v>
                </c:pt>
                <c:pt idx="481">
                  <c:v>60.31</c:v>
                </c:pt>
                <c:pt idx="483">
                  <c:v>57.51</c:v>
                </c:pt>
                <c:pt idx="484">
                  <c:v>56.39</c:v>
                </c:pt>
                <c:pt idx="485">
                  <c:v>57.5</c:v>
                </c:pt>
                <c:pt idx="486">
                  <c:v>57.86</c:v>
                </c:pt>
                <c:pt idx="487">
                  <c:v>58.67</c:v>
                </c:pt>
                <c:pt idx="488">
                  <c:v>60.7</c:v>
                </c:pt>
                <c:pt idx="489">
                  <c:v>64.81</c:v>
                </c:pt>
                <c:pt idx="490">
                  <c:v>62.74</c:v>
                </c:pt>
                <c:pt idx="491">
                  <c:v>62.12</c:v>
                </c:pt>
                <c:pt idx="492">
                  <c:v>60.3</c:v>
                </c:pt>
                <c:pt idx="493">
                  <c:v>57.71</c:v>
                </c:pt>
                <c:pt idx="494">
                  <c:v>56.01</c:v>
                </c:pt>
                <c:pt idx="495">
                  <c:v>51.67</c:v>
                </c:pt>
                <c:pt idx="496">
                  <c:v>40.5</c:v>
                </c:pt>
                <c:pt idx="497">
                  <c:v>40.07</c:v>
                </c:pt>
                <c:pt idx="498">
                  <c:v>44.9</c:v>
                </c:pt>
                <c:pt idx="500">
                  <c:v>54.52</c:v>
                </c:pt>
                <c:pt idx="501">
                  <c:v>57.74</c:v>
                </c:pt>
                <c:pt idx="502">
                  <c:v>70.33</c:v>
                </c:pt>
                <c:pt idx="503">
                  <c:v>69.319999999999993</c:v>
                </c:pt>
                <c:pt idx="504">
                  <c:v>68.36</c:v>
                </c:pt>
                <c:pt idx="505">
                  <c:v>70.91</c:v>
                </c:pt>
                <c:pt idx="506">
                  <c:v>69.97</c:v>
                </c:pt>
                <c:pt idx="507">
                  <c:v>71.27</c:v>
                </c:pt>
                <c:pt idx="508">
                  <c:v>63.29</c:v>
                </c:pt>
                <c:pt idx="509">
                  <c:v>60.38</c:v>
                </c:pt>
                <c:pt idx="510">
                  <c:v>61.42</c:v>
                </c:pt>
                <c:pt idx="511">
                  <c:v>60.1</c:v>
                </c:pt>
                <c:pt idx="512">
                  <c:v>53.94</c:v>
                </c:pt>
                <c:pt idx="513">
                  <c:v>57.23</c:v>
                </c:pt>
                <c:pt idx="514">
                  <c:v>50.53</c:v>
                </c:pt>
                <c:pt idx="515">
                  <c:v>46.76</c:v>
                </c:pt>
                <c:pt idx="516">
                  <c:v>44.34</c:v>
                </c:pt>
                <c:pt idx="517">
                  <c:v>44.88</c:v>
                </c:pt>
                <c:pt idx="518">
                  <c:v>43.28</c:v>
                </c:pt>
                <c:pt idx="519">
                  <c:v>43.75</c:v>
                </c:pt>
                <c:pt idx="520">
                  <c:v>40.93</c:v>
                </c:pt>
                <c:pt idx="521">
                  <c:v>40.69</c:v>
                </c:pt>
                <c:pt idx="522">
                  <c:v>44.56</c:v>
                </c:pt>
                <c:pt idx="523">
                  <c:v>46.49</c:v>
                </c:pt>
                <c:pt idx="524">
                  <c:v>35.86</c:v>
                </c:pt>
                <c:pt idx="525">
                  <c:v>32.22</c:v>
                </c:pt>
                <c:pt idx="526">
                  <c:v>28.52</c:v>
                </c:pt>
                <c:pt idx="527">
                  <c:v>28.55</c:v>
                </c:pt>
                <c:pt idx="528">
                  <c:v>29.18</c:v>
                </c:pt>
                <c:pt idx="529">
                  <c:v>28.88</c:v>
                </c:pt>
                <c:pt idx="530">
                  <c:v>29.54</c:v>
                </c:pt>
                <c:pt idx="531">
                  <c:v>35.159999999999997</c:v>
                </c:pt>
                <c:pt idx="532">
                  <c:v>36.96</c:v>
                </c:pt>
                <c:pt idx="533">
                  <c:v>42.88</c:v>
                </c:pt>
                <c:pt idx="534">
                  <c:v>40.18</c:v>
                </c:pt>
                <c:pt idx="535">
                  <c:v>41.83</c:v>
                </c:pt>
                <c:pt idx="536">
                  <c:v>34.96</c:v>
                </c:pt>
                <c:pt idx="537">
                  <c:v>42.62</c:v>
                </c:pt>
                <c:pt idx="538">
                  <c:v>43.3</c:v>
                </c:pt>
                <c:pt idx="539">
                  <c:v>54.82</c:v>
                </c:pt>
                <c:pt idx="541">
                  <c:v>63.49</c:v>
                </c:pt>
                <c:pt idx="542">
                  <c:v>63.4</c:v>
                </c:pt>
                <c:pt idx="543">
                  <c:v>53.65</c:v>
                </c:pt>
                <c:pt idx="544">
                  <c:v>50.28</c:v>
                </c:pt>
                <c:pt idx="545">
                  <c:v>51.6</c:v>
                </c:pt>
                <c:pt idx="546">
                  <c:v>52.88</c:v>
                </c:pt>
                <c:pt idx="547">
                  <c:v>51.82</c:v>
                </c:pt>
                <c:pt idx="548">
                  <c:v>53.76</c:v>
                </c:pt>
                <c:pt idx="549">
                  <c:v>48.56</c:v>
                </c:pt>
                <c:pt idx="550">
                  <c:v>51.59</c:v>
                </c:pt>
                <c:pt idx="551">
                  <c:v>55.02</c:v>
                </c:pt>
                <c:pt idx="552">
                  <c:v>58.24</c:v>
                </c:pt>
                <c:pt idx="553">
                  <c:v>61.93</c:v>
                </c:pt>
                <c:pt idx="554">
                  <c:v>59.06</c:v>
                </c:pt>
                <c:pt idx="555">
                  <c:v>59.55</c:v>
                </c:pt>
                <c:pt idx="556">
                  <c:v>61.14</c:v>
                </c:pt>
                <c:pt idx="557">
                  <c:v>58.55</c:v>
                </c:pt>
                <c:pt idx="558">
                  <c:v>54.44</c:v>
                </c:pt>
                <c:pt idx="559">
                  <c:v>60.58</c:v>
                </c:pt>
                <c:pt idx="560">
                  <c:v>61.89</c:v>
                </c:pt>
                <c:pt idx="561">
                  <c:v>55.75</c:v>
                </c:pt>
                <c:pt idx="562">
                  <c:v>63.14</c:v>
                </c:pt>
                <c:pt idx="563">
                  <c:v>68.3</c:v>
                </c:pt>
                <c:pt idx="564">
                  <c:v>70.95</c:v>
                </c:pt>
                <c:pt idx="565">
                  <c:v>76.8</c:v>
                </c:pt>
                <c:pt idx="566">
                  <c:v>75.040000000000006</c:v>
                </c:pt>
                <c:pt idx="567">
                  <c:v>69.86</c:v>
                </c:pt>
                <c:pt idx="568">
                  <c:v>68.73</c:v>
                </c:pt>
                <c:pt idx="570">
                  <c:v>72.599999999999994</c:v>
                </c:pt>
                <c:pt idx="571">
                  <c:v>71.150000000000006</c:v>
                </c:pt>
                <c:pt idx="572">
                  <c:v>67.599999999999994</c:v>
                </c:pt>
                <c:pt idx="573">
                  <c:v>62.56</c:v>
                </c:pt>
                <c:pt idx="574">
                  <c:v>74.150000000000006</c:v>
                </c:pt>
                <c:pt idx="575">
                  <c:v>73.5</c:v>
                </c:pt>
                <c:pt idx="576">
                  <c:v>74.5</c:v>
                </c:pt>
                <c:pt idx="577">
                  <c:v>76.709999999999994</c:v>
                </c:pt>
                <c:pt idx="578">
                  <c:v>75.67</c:v>
                </c:pt>
                <c:pt idx="579">
                  <c:v>70.84</c:v>
                </c:pt>
                <c:pt idx="580">
                  <c:v>69.239999999999995</c:v>
                </c:pt>
                <c:pt idx="581">
                  <c:v>70.97</c:v>
                </c:pt>
                <c:pt idx="582">
                  <c:v>63.65</c:v>
                </c:pt>
                <c:pt idx="583">
                  <c:v>65.239999999999995</c:v>
                </c:pt>
                <c:pt idx="584">
                  <c:v>63.83</c:v>
                </c:pt>
                <c:pt idx="585">
                  <c:v>59.08</c:v>
                </c:pt>
                <c:pt idx="586">
                  <c:v>54.62</c:v>
                </c:pt>
                <c:pt idx="587">
                  <c:v>56.13</c:v>
                </c:pt>
                <c:pt idx="588">
                  <c:v>66.540000000000006</c:v>
                </c:pt>
                <c:pt idx="589">
                  <c:v>67.44</c:v>
                </c:pt>
                <c:pt idx="590">
                  <c:v>64.72</c:v>
                </c:pt>
                <c:pt idx="591">
                  <c:v>64.36</c:v>
                </c:pt>
                <c:pt idx="592">
                  <c:v>64.510000000000005</c:v>
                </c:pt>
                <c:pt idx="593">
                  <c:v>66.58</c:v>
                </c:pt>
                <c:pt idx="595">
                  <c:v>73.14</c:v>
                </c:pt>
                <c:pt idx="596">
                  <c:v>76.03</c:v>
                </c:pt>
                <c:pt idx="597">
                  <c:v>76.84</c:v>
                </c:pt>
                <c:pt idx="598">
                  <c:v>75.28</c:v>
                </c:pt>
                <c:pt idx="599">
                  <c:v>75.42</c:v>
                </c:pt>
                <c:pt idx="600">
                  <c:v>72.33</c:v>
                </c:pt>
                <c:pt idx="601">
                  <c:v>73.17</c:v>
                </c:pt>
                <c:pt idx="602">
                  <c:v>71.41</c:v>
                </c:pt>
                <c:pt idx="603">
                  <c:v>72.89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D6-4105-BD96-235EC91F2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운송장비  </a:t>
            </a:r>
            <a:r>
              <a:rPr lang="en-US"/>
              <a:t>vs  </a:t>
            </a:r>
            <a:r>
              <a:rPr lang="ko-KR" altLang="en-US"/>
              <a:t>산업재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RSI'!$L$7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RSI'!$L$78:$L$3077</c:f>
              <c:numCache>
                <c:formatCode>0.00</c:formatCode>
                <c:ptCount val="3000"/>
                <c:pt idx="1">
                  <c:v>57.09</c:v>
                </c:pt>
                <c:pt idx="2">
                  <c:v>65.150000000000006</c:v>
                </c:pt>
                <c:pt idx="3">
                  <c:v>62.9</c:v>
                </c:pt>
                <c:pt idx="4">
                  <c:v>60.78</c:v>
                </c:pt>
                <c:pt idx="5">
                  <c:v>60.26</c:v>
                </c:pt>
                <c:pt idx="6">
                  <c:v>61.86</c:v>
                </c:pt>
                <c:pt idx="7">
                  <c:v>62.93</c:v>
                </c:pt>
                <c:pt idx="8">
                  <c:v>59.22</c:v>
                </c:pt>
                <c:pt idx="9">
                  <c:v>54.8</c:v>
                </c:pt>
                <c:pt idx="10">
                  <c:v>56.17</c:v>
                </c:pt>
                <c:pt idx="11">
                  <c:v>56.85</c:v>
                </c:pt>
                <c:pt idx="12">
                  <c:v>52.22</c:v>
                </c:pt>
                <c:pt idx="13">
                  <c:v>50.77</c:v>
                </c:pt>
                <c:pt idx="14">
                  <c:v>47.88</c:v>
                </c:pt>
                <c:pt idx="15">
                  <c:v>50.16</c:v>
                </c:pt>
                <c:pt idx="16">
                  <c:v>48.82</c:v>
                </c:pt>
                <c:pt idx="17">
                  <c:v>52.52</c:v>
                </c:pt>
                <c:pt idx="18">
                  <c:v>47.92</c:v>
                </c:pt>
                <c:pt idx="19">
                  <c:v>46.44</c:v>
                </c:pt>
                <c:pt idx="20">
                  <c:v>47.39</c:v>
                </c:pt>
                <c:pt idx="21">
                  <c:v>43.8</c:v>
                </c:pt>
                <c:pt idx="22">
                  <c:v>45.66</c:v>
                </c:pt>
                <c:pt idx="23">
                  <c:v>36.35</c:v>
                </c:pt>
                <c:pt idx="24">
                  <c:v>39.869999999999997</c:v>
                </c:pt>
                <c:pt idx="25">
                  <c:v>44.04</c:v>
                </c:pt>
                <c:pt idx="26">
                  <c:v>44.75</c:v>
                </c:pt>
                <c:pt idx="27">
                  <c:v>46.57</c:v>
                </c:pt>
                <c:pt idx="28">
                  <c:v>43.35</c:v>
                </c:pt>
                <c:pt idx="29">
                  <c:v>40.6</c:v>
                </c:pt>
                <c:pt idx="30">
                  <c:v>47.55</c:v>
                </c:pt>
                <c:pt idx="31">
                  <c:v>49.77</c:v>
                </c:pt>
                <c:pt idx="32">
                  <c:v>54.02</c:v>
                </c:pt>
                <c:pt idx="33">
                  <c:v>51.66</c:v>
                </c:pt>
                <c:pt idx="34">
                  <c:v>50.44</c:v>
                </c:pt>
                <c:pt idx="35">
                  <c:v>52.89</c:v>
                </c:pt>
                <c:pt idx="36">
                  <c:v>53.76</c:v>
                </c:pt>
                <c:pt idx="37">
                  <c:v>52.07</c:v>
                </c:pt>
                <c:pt idx="38">
                  <c:v>51.31</c:v>
                </c:pt>
                <c:pt idx="39">
                  <c:v>49.38</c:v>
                </c:pt>
                <c:pt idx="40">
                  <c:v>54.32</c:v>
                </c:pt>
                <c:pt idx="41">
                  <c:v>52.29</c:v>
                </c:pt>
                <c:pt idx="42">
                  <c:v>43.33</c:v>
                </c:pt>
                <c:pt idx="43">
                  <c:v>64.95</c:v>
                </c:pt>
                <c:pt idx="45">
                  <c:v>74.290000000000006</c:v>
                </c:pt>
                <c:pt idx="46">
                  <c:v>71.150000000000006</c:v>
                </c:pt>
                <c:pt idx="47">
                  <c:v>67.88</c:v>
                </c:pt>
                <c:pt idx="48">
                  <c:v>62.78</c:v>
                </c:pt>
                <c:pt idx="49">
                  <c:v>62.87</c:v>
                </c:pt>
                <c:pt idx="50">
                  <c:v>62.05</c:v>
                </c:pt>
                <c:pt idx="51">
                  <c:v>58.29</c:v>
                </c:pt>
                <c:pt idx="54">
                  <c:v>52.67</c:v>
                </c:pt>
                <c:pt idx="55">
                  <c:v>54.61</c:v>
                </c:pt>
                <c:pt idx="56">
                  <c:v>53.65</c:v>
                </c:pt>
                <c:pt idx="57">
                  <c:v>50.56</c:v>
                </c:pt>
                <c:pt idx="58">
                  <c:v>51.94</c:v>
                </c:pt>
                <c:pt idx="59">
                  <c:v>49.55</c:v>
                </c:pt>
                <c:pt idx="60">
                  <c:v>54.14</c:v>
                </c:pt>
                <c:pt idx="61">
                  <c:v>62.16</c:v>
                </c:pt>
                <c:pt idx="62">
                  <c:v>59.88</c:v>
                </c:pt>
                <c:pt idx="63">
                  <c:v>54.85</c:v>
                </c:pt>
                <c:pt idx="64">
                  <c:v>63.1</c:v>
                </c:pt>
                <c:pt idx="65">
                  <c:v>68.27</c:v>
                </c:pt>
                <c:pt idx="66">
                  <c:v>65.47</c:v>
                </c:pt>
                <c:pt idx="67">
                  <c:v>64.56</c:v>
                </c:pt>
                <c:pt idx="68">
                  <c:v>67.06</c:v>
                </c:pt>
                <c:pt idx="69">
                  <c:v>69.97</c:v>
                </c:pt>
                <c:pt idx="70">
                  <c:v>72.650000000000006</c:v>
                </c:pt>
                <c:pt idx="71">
                  <c:v>81.099999999999994</c:v>
                </c:pt>
                <c:pt idx="72">
                  <c:v>78.41</c:v>
                </c:pt>
                <c:pt idx="73">
                  <c:v>82.07</c:v>
                </c:pt>
                <c:pt idx="74">
                  <c:v>77.12</c:v>
                </c:pt>
                <c:pt idx="75">
                  <c:v>81.849999999999994</c:v>
                </c:pt>
                <c:pt idx="76">
                  <c:v>79.63</c:v>
                </c:pt>
                <c:pt idx="77">
                  <c:v>82.56</c:v>
                </c:pt>
                <c:pt idx="78">
                  <c:v>77.48</c:v>
                </c:pt>
                <c:pt idx="79">
                  <c:v>77.31</c:v>
                </c:pt>
                <c:pt idx="80">
                  <c:v>70.930000000000007</c:v>
                </c:pt>
                <c:pt idx="81">
                  <c:v>68.290000000000006</c:v>
                </c:pt>
                <c:pt idx="82">
                  <c:v>62.31</c:v>
                </c:pt>
                <c:pt idx="83">
                  <c:v>58.77</c:v>
                </c:pt>
                <c:pt idx="84">
                  <c:v>53.73</c:v>
                </c:pt>
                <c:pt idx="86">
                  <c:v>53.22</c:v>
                </c:pt>
                <c:pt idx="87">
                  <c:v>54.44</c:v>
                </c:pt>
                <c:pt idx="88">
                  <c:v>48.5</c:v>
                </c:pt>
                <c:pt idx="89">
                  <c:v>51.53</c:v>
                </c:pt>
                <c:pt idx="90">
                  <c:v>54.17</c:v>
                </c:pt>
                <c:pt idx="91">
                  <c:v>50.35</c:v>
                </c:pt>
                <c:pt idx="92">
                  <c:v>50.41</c:v>
                </c:pt>
                <c:pt idx="93">
                  <c:v>44.32</c:v>
                </c:pt>
                <c:pt idx="94">
                  <c:v>48.24</c:v>
                </c:pt>
                <c:pt idx="95">
                  <c:v>48.54</c:v>
                </c:pt>
                <c:pt idx="96">
                  <c:v>54.9</c:v>
                </c:pt>
                <c:pt idx="97">
                  <c:v>61.76</c:v>
                </c:pt>
                <c:pt idx="98">
                  <c:v>56.29</c:v>
                </c:pt>
                <c:pt idx="99">
                  <c:v>60.13</c:v>
                </c:pt>
                <c:pt idx="100">
                  <c:v>64.489999999999995</c:v>
                </c:pt>
                <c:pt idx="101">
                  <c:v>63.21</c:v>
                </c:pt>
                <c:pt idx="102">
                  <c:v>59.56</c:v>
                </c:pt>
                <c:pt idx="103">
                  <c:v>51.1</c:v>
                </c:pt>
                <c:pt idx="104">
                  <c:v>47.65</c:v>
                </c:pt>
                <c:pt idx="105">
                  <c:v>42.62</c:v>
                </c:pt>
                <c:pt idx="106">
                  <c:v>36.33</c:v>
                </c:pt>
                <c:pt idx="107">
                  <c:v>41.34</c:v>
                </c:pt>
                <c:pt idx="108">
                  <c:v>43.52</c:v>
                </c:pt>
                <c:pt idx="109">
                  <c:v>43.8</c:v>
                </c:pt>
                <c:pt idx="110">
                  <c:v>39.92</c:v>
                </c:pt>
                <c:pt idx="111">
                  <c:v>40.75</c:v>
                </c:pt>
                <c:pt idx="112">
                  <c:v>43.17</c:v>
                </c:pt>
                <c:pt idx="113">
                  <c:v>48.83</c:v>
                </c:pt>
                <c:pt idx="114">
                  <c:v>46.78</c:v>
                </c:pt>
                <c:pt idx="115">
                  <c:v>50.07</c:v>
                </c:pt>
                <c:pt idx="116">
                  <c:v>56.53</c:v>
                </c:pt>
                <c:pt idx="117">
                  <c:v>54.21</c:v>
                </c:pt>
                <c:pt idx="118">
                  <c:v>54.58</c:v>
                </c:pt>
                <c:pt idx="119">
                  <c:v>51.74</c:v>
                </c:pt>
                <c:pt idx="120">
                  <c:v>49.58</c:v>
                </c:pt>
                <c:pt idx="121">
                  <c:v>51.84</c:v>
                </c:pt>
                <c:pt idx="122">
                  <c:v>45.11</c:v>
                </c:pt>
                <c:pt idx="123">
                  <c:v>48.39</c:v>
                </c:pt>
                <c:pt idx="124">
                  <c:v>48.91</c:v>
                </c:pt>
                <c:pt idx="125">
                  <c:v>60.93</c:v>
                </c:pt>
                <c:pt idx="126">
                  <c:v>73.64</c:v>
                </c:pt>
                <c:pt idx="127">
                  <c:v>72.37</c:v>
                </c:pt>
                <c:pt idx="128">
                  <c:v>70.11</c:v>
                </c:pt>
                <c:pt idx="129">
                  <c:v>68.05</c:v>
                </c:pt>
                <c:pt idx="130">
                  <c:v>67.2</c:v>
                </c:pt>
                <c:pt idx="131">
                  <c:v>75.58</c:v>
                </c:pt>
                <c:pt idx="132">
                  <c:v>71.52</c:v>
                </c:pt>
                <c:pt idx="133">
                  <c:v>71.45</c:v>
                </c:pt>
                <c:pt idx="134">
                  <c:v>72.67</c:v>
                </c:pt>
                <c:pt idx="135">
                  <c:v>67.08</c:v>
                </c:pt>
                <c:pt idx="136">
                  <c:v>59.55</c:v>
                </c:pt>
                <c:pt idx="137">
                  <c:v>53.27</c:v>
                </c:pt>
                <c:pt idx="138">
                  <c:v>55.38</c:v>
                </c:pt>
                <c:pt idx="139">
                  <c:v>48.07</c:v>
                </c:pt>
                <c:pt idx="140">
                  <c:v>41.92</c:v>
                </c:pt>
                <c:pt idx="141">
                  <c:v>48.5</c:v>
                </c:pt>
                <c:pt idx="142">
                  <c:v>53.53</c:v>
                </c:pt>
                <c:pt idx="148">
                  <c:v>63.35</c:v>
                </c:pt>
                <c:pt idx="149">
                  <c:v>60.61</c:v>
                </c:pt>
                <c:pt idx="150">
                  <c:v>59.69</c:v>
                </c:pt>
                <c:pt idx="151">
                  <c:v>52.18</c:v>
                </c:pt>
                <c:pt idx="152">
                  <c:v>49.48</c:v>
                </c:pt>
                <c:pt idx="153">
                  <c:v>58.45</c:v>
                </c:pt>
                <c:pt idx="154">
                  <c:v>62.94</c:v>
                </c:pt>
                <c:pt idx="155">
                  <c:v>58.23</c:v>
                </c:pt>
                <c:pt idx="156">
                  <c:v>58.57</c:v>
                </c:pt>
                <c:pt idx="157">
                  <c:v>59.15</c:v>
                </c:pt>
                <c:pt idx="158">
                  <c:v>59.34</c:v>
                </c:pt>
                <c:pt idx="159">
                  <c:v>60.52</c:v>
                </c:pt>
                <c:pt idx="160">
                  <c:v>59.89</c:v>
                </c:pt>
                <c:pt idx="161">
                  <c:v>55.68</c:v>
                </c:pt>
                <c:pt idx="162">
                  <c:v>66.31</c:v>
                </c:pt>
                <c:pt idx="163">
                  <c:v>68.55</c:v>
                </c:pt>
                <c:pt idx="164">
                  <c:v>63.25</c:v>
                </c:pt>
                <c:pt idx="165">
                  <c:v>60.24</c:v>
                </c:pt>
                <c:pt idx="166">
                  <c:v>63.74</c:v>
                </c:pt>
                <c:pt idx="167">
                  <c:v>62.83</c:v>
                </c:pt>
                <c:pt idx="168">
                  <c:v>66.84</c:v>
                </c:pt>
                <c:pt idx="169">
                  <c:v>67.06</c:v>
                </c:pt>
                <c:pt idx="170">
                  <c:v>68.900000000000006</c:v>
                </c:pt>
                <c:pt idx="171">
                  <c:v>65.239999999999995</c:v>
                </c:pt>
                <c:pt idx="172">
                  <c:v>63.96</c:v>
                </c:pt>
                <c:pt idx="173">
                  <c:v>62.06</c:v>
                </c:pt>
                <c:pt idx="174">
                  <c:v>63</c:v>
                </c:pt>
                <c:pt idx="175">
                  <c:v>56.02</c:v>
                </c:pt>
                <c:pt idx="176">
                  <c:v>61.99</c:v>
                </c:pt>
                <c:pt idx="177">
                  <c:v>60.23</c:v>
                </c:pt>
                <c:pt idx="178">
                  <c:v>53.99</c:v>
                </c:pt>
                <c:pt idx="179">
                  <c:v>47.78</c:v>
                </c:pt>
                <c:pt idx="180">
                  <c:v>47.8</c:v>
                </c:pt>
                <c:pt idx="181">
                  <c:v>55.29</c:v>
                </c:pt>
                <c:pt idx="183">
                  <c:v>55.3</c:v>
                </c:pt>
                <c:pt idx="184">
                  <c:v>53.92</c:v>
                </c:pt>
                <c:pt idx="185">
                  <c:v>48.29</c:v>
                </c:pt>
                <c:pt idx="186">
                  <c:v>52.32</c:v>
                </c:pt>
                <c:pt idx="187">
                  <c:v>58.26</c:v>
                </c:pt>
                <c:pt idx="188">
                  <c:v>65.86</c:v>
                </c:pt>
                <c:pt idx="189">
                  <c:v>64.22</c:v>
                </c:pt>
                <c:pt idx="190">
                  <c:v>66.739999999999995</c:v>
                </c:pt>
                <c:pt idx="191">
                  <c:v>64</c:v>
                </c:pt>
                <c:pt idx="192">
                  <c:v>64.540000000000006</c:v>
                </c:pt>
                <c:pt idx="193">
                  <c:v>76.319999999999993</c:v>
                </c:pt>
                <c:pt idx="194">
                  <c:v>75.849999999999994</c:v>
                </c:pt>
                <c:pt idx="195">
                  <c:v>74.72</c:v>
                </c:pt>
                <c:pt idx="196">
                  <c:v>72.2</c:v>
                </c:pt>
                <c:pt idx="197">
                  <c:v>68.31</c:v>
                </c:pt>
                <c:pt idx="198">
                  <c:v>66.14</c:v>
                </c:pt>
                <c:pt idx="199">
                  <c:v>64.459999999999994</c:v>
                </c:pt>
                <c:pt idx="200">
                  <c:v>59.81</c:v>
                </c:pt>
                <c:pt idx="201">
                  <c:v>63.82</c:v>
                </c:pt>
                <c:pt idx="202">
                  <c:v>59.72</c:v>
                </c:pt>
                <c:pt idx="203">
                  <c:v>60.37</c:v>
                </c:pt>
                <c:pt idx="204">
                  <c:v>54.77</c:v>
                </c:pt>
                <c:pt idx="205">
                  <c:v>54.83</c:v>
                </c:pt>
                <c:pt idx="206">
                  <c:v>53.5</c:v>
                </c:pt>
                <c:pt idx="207">
                  <c:v>49.63</c:v>
                </c:pt>
                <c:pt idx="208">
                  <c:v>56.32</c:v>
                </c:pt>
                <c:pt idx="209">
                  <c:v>55.29</c:v>
                </c:pt>
                <c:pt idx="210">
                  <c:v>49.74</c:v>
                </c:pt>
                <c:pt idx="211">
                  <c:v>43.19</c:v>
                </c:pt>
                <c:pt idx="212">
                  <c:v>39.9</c:v>
                </c:pt>
                <c:pt idx="213">
                  <c:v>51.48</c:v>
                </c:pt>
                <c:pt idx="214">
                  <c:v>54.47</c:v>
                </c:pt>
                <c:pt idx="215">
                  <c:v>56.47</c:v>
                </c:pt>
                <c:pt idx="216">
                  <c:v>54.84</c:v>
                </c:pt>
                <c:pt idx="217">
                  <c:v>57.91</c:v>
                </c:pt>
                <c:pt idx="218">
                  <c:v>60.59</c:v>
                </c:pt>
                <c:pt idx="219">
                  <c:v>64.03</c:v>
                </c:pt>
                <c:pt idx="220">
                  <c:v>68.25</c:v>
                </c:pt>
                <c:pt idx="221">
                  <c:v>66.3</c:v>
                </c:pt>
                <c:pt idx="222">
                  <c:v>77.260000000000005</c:v>
                </c:pt>
                <c:pt idx="223">
                  <c:v>76.61</c:v>
                </c:pt>
                <c:pt idx="224">
                  <c:v>76.41</c:v>
                </c:pt>
                <c:pt idx="225">
                  <c:v>78.09</c:v>
                </c:pt>
                <c:pt idx="226">
                  <c:v>77.56</c:v>
                </c:pt>
                <c:pt idx="227">
                  <c:v>74.34</c:v>
                </c:pt>
                <c:pt idx="228">
                  <c:v>73.98</c:v>
                </c:pt>
                <c:pt idx="229">
                  <c:v>70.59</c:v>
                </c:pt>
                <c:pt idx="230">
                  <c:v>70.03</c:v>
                </c:pt>
                <c:pt idx="231">
                  <c:v>65.650000000000006</c:v>
                </c:pt>
                <c:pt idx="233">
                  <c:v>64.819999999999993</c:v>
                </c:pt>
                <c:pt idx="234">
                  <c:v>60.48</c:v>
                </c:pt>
                <c:pt idx="236">
                  <c:v>58.02</c:v>
                </c:pt>
                <c:pt idx="237">
                  <c:v>55.91</c:v>
                </c:pt>
                <c:pt idx="238">
                  <c:v>62.4</c:v>
                </c:pt>
                <c:pt idx="239">
                  <c:v>55.6</c:v>
                </c:pt>
                <c:pt idx="240">
                  <c:v>60.9</c:v>
                </c:pt>
                <c:pt idx="241">
                  <c:v>56.8</c:v>
                </c:pt>
                <c:pt idx="242">
                  <c:v>49.22</c:v>
                </c:pt>
                <c:pt idx="243">
                  <c:v>51.84</c:v>
                </c:pt>
                <c:pt idx="244">
                  <c:v>57.68</c:v>
                </c:pt>
                <c:pt idx="245">
                  <c:v>52.83</c:v>
                </c:pt>
                <c:pt idx="246">
                  <c:v>59.69</c:v>
                </c:pt>
                <c:pt idx="247">
                  <c:v>64.52</c:v>
                </c:pt>
                <c:pt idx="248">
                  <c:v>62.02</c:v>
                </c:pt>
                <c:pt idx="249">
                  <c:v>64.150000000000006</c:v>
                </c:pt>
                <c:pt idx="250">
                  <c:v>61.69</c:v>
                </c:pt>
                <c:pt idx="251">
                  <c:v>61.38</c:v>
                </c:pt>
                <c:pt idx="252">
                  <c:v>68.95</c:v>
                </c:pt>
                <c:pt idx="253">
                  <c:v>67.91</c:v>
                </c:pt>
                <c:pt idx="254">
                  <c:v>67.94</c:v>
                </c:pt>
                <c:pt idx="257">
                  <c:v>63.89</c:v>
                </c:pt>
                <c:pt idx="259">
                  <c:v>63.57</c:v>
                </c:pt>
                <c:pt idx="260">
                  <c:v>64.05</c:v>
                </c:pt>
                <c:pt idx="261">
                  <c:v>66.87</c:v>
                </c:pt>
                <c:pt idx="262">
                  <c:v>66.81</c:v>
                </c:pt>
                <c:pt idx="263">
                  <c:v>62.92</c:v>
                </c:pt>
                <c:pt idx="264">
                  <c:v>61.33</c:v>
                </c:pt>
                <c:pt idx="265">
                  <c:v>59.15</c:v>
                </c:pt>
                <c:pt idx="266">
                  <c:v>58.21</c:v>
                </c:pt>
                <c:pt idx="267">
                  <c:v>59.57</c:v>
                </c:pt>
                <c:pt idx="268">
                  <c:v>58.01</c:v>
                </c:pt>
                <c:pt idx="269">
                  <c:v>54.67</c:v>
                </c:pt>
                <c:pt idx="270">
                  <c:v>56.32</c:v>
                </c:pt>
                <c:pt idx="271">
                  <c:v>53.94</c:v>
                </c:pt>
                <c:pt idx="272">
                  <c:v>51.5</c:v>
                </c:pt>
                <c:pt idx="273">
                  <c:v>51.04</c:v>
                </c:pt>
                <c:pt idx="274">
                  <c:v>39.47</c:v>
                </c:pt>
                <c:pt idx="275">
                  <c:v>40.4</c:v>
                </c:pt>
                <c:pt idx="276">
                  <c:v>34.630000000000003</c:v>
                </c:pt>
                <c:pt idx="277">
                  <c:v>46.12</c:v>
                </c:pt>
                <c:pt idx="278">
                  <c:v>47.69</c:v>
                </c:pt>
                <c:pt idx="279">
                  <c:v>46.05</c:v>
                </c:pt>
                <c:pt idx="280">
                  <c:v>48.08</c:v>
                </c:pt>
                <c:pt idx="281">
                  <c:v>41.89</c:v>
                </c:pt>
                <c:pt idx="282">
                  <c:v>44.98</c:v>
                </c:pt>
                <c:pt idx="283">
                  <c:v>50.08</c:v>
                </c:pt>
                <c:pt idx="284">
                  <c:v>57.8</c:v>
                </c:pt>
                <c:pt idx="285">
                  <c:v>55.97</c:v>
                </c:pt>
                <c:pt idx="286">
                  <c:v>59.14</c:v>
                </c:pt>
                <c:pt idx="287">
                  <c:v>53.05</c:v>
                </c:pt>
                <c:pt idx="288">
                  <c:v>58.47</c:v>
                </c:pt>
                <c:pt idx="289">
                  <c:v>67.400000000000006</c:v>
                </c:pt>
                <c:pt idx="290">
                  <c:v>66.87</c:v>
                </c:pt>
                <c:pt idx="291">
                  <c:v>65.53</c:v>
                </c:pt>
                <c:pt idx="292">
                  <c:v>60.46</c:v>
                </c:pt>
                <c:pt idx="293">
                  <c:v>62.21</c:v>
                </c:pt>
                <c:pt idx="294">
                  <c:v>55.77</c:v>
                </c:pt>
                <c:pt idx="295">
                  <c:v>58.35</c:v>
                </c:pt>
                <c:pt idx="296">
                  <c:v>64.819999999999993</c:v>
                </c:pt>
                <c:pt idx="297">
                  <c:v>66.150000000000006</c:v>
                </c:pt>
                <c:pt idx="298">
                  <c:v>64.88</c:v>
                </c:pt>
                <c:pt idx="299">
                  <c:v>63.4</c:v>
                </c:pt>
                <c:pt idx="300">
                  <c:v>61.88</c:v>
                </c:pt>
                <c:pt idx="302">
                  <c:v>51.24</c:v>
                </c:pt>
                <c:pt idx="303">
                  <c:v>62.73</c:v>
                </c:pt>
                <c:pt idx="304">
                  <c:v>63.8</c:v>
                </c:pt>
                <c:pt idx="305">
                  <c:v>66.83</c:v>
                </c:pt>
                <c:pt idx="306">
                  <c:v>64.89</c:v>
                </c:pt>
                <c:pt idx="307">
                  <c:v>65</c:v>
                </c:pt>
                <c:pt idx="308">
                  <c:v>63.84</c:v>
                </c:pt>
                <c:pt idx="309">
                  <c:v>73.540000000000006</c:v>
                </c:pt>
                <c:pt idx="310">
                  <c:v>70.459999999999994</c:v>
                </c:pt>
                <c:pt idx="311">
                  <c:v>66.63</c:v>
                </c:pt>
                <c:pt idx="312">
                  <c:v>67.540000000000006</c:v>
                </c:pt>
                <c:pt idx="313">
                  <c:v>70.92</c:v>
                </c:pt>
                <c:pt idx="314">
                  <c:v>66.510000000000005</c:v>
                </c:pt>
                <c:pt idx="315">
                  <c:v>58.74</c:v>
                </c:pt>
                <c:pt idx="316">
                  <c:v>50.96</c:v>
                </c:pt>
                <c:pt idx="317">
                  <c:v>57.71</c:v>
                </c:pt>
                <c:pt idx="318">
                  <c:v>58.76</c:v>
                </c:pt>
                <c:pt idx="319">
                  <c:v>57.4</c:v>
                </c:pt>
                <c:pt idx="320">
                  <c:v>57.44</c:v>
                </c:pt>
                <c:pt idx="321">
                  <c:v>53.33</c:v>
                </c:pt>
                <c:pt idx="322">
                  <c:v>61.84</c:v>
                </c:pt>
                <c:pt idx="327">
                  <c:v>60.83</c:v>
                </c:pt>
                <c:pt idx="328">
                  <c:v>56.1</c:v>
                </c:pt>
                <c:pt idx="329">
                  <c:v>62.88</c:v>
                </c:pt>
                <c:pt idx="330">
                  <c:v>64.73</c:v>
                </c:pt>
                <c:pt idx="331">
                  <c:v>59.93</c:v>
                </c:pt>
                <c:pt idx="332">
                  <c:v>63.37</c:v>
                </c:pt>
                <c:pt idx="333">
                  <c:v>69.84</c:v>
                </c:pt>
                <c:pt idx="334">
                  <c:v>70.63</c:v>
                </c:pt>
                <c:pt idx="335">
                  <c:v>69.91</c:v>
                </c:pt>
                <c:pt idx="336">
                  <c:v>67.849999999999994</c:v>
                </c:pt>
                <c:pt idx="337">
                  <c:v>71.62</c:v>
                </c:pt>
                <c:pt idx="338">
                  <c:v>67.430000000000007</c:v>
                </c:pt>
                <c:pt idx="339">
                  <c:v>66.03</c:v>
                </c:pt>
                <c:pt idx="340">
                  <c:v>62.48</c:v>
                </c:pt>
                <c:pt idx="341">
                  <c:v>59.03</c:v>
                </c:pt>
                <c:pt idx="342">
                  <c:v>58.92</c:v>
                </c:pt>
                <c:pt idx="343">
                  <c:v>60.75</c:v>
                </c:pt>
                <c:pt idx="345">
                  <c:v>56.15</c:v>
                </c:pt>
                <c:pt idx="346">
                  <c:v>56.63</c:v>
                </c:pt>
                <c:pt idx="347">
                  <c:v>62.49</c:v>
                </c:pt>
                <c:pt idx="348">
                  <c:v>58.11</c:v>
                </c:pt>
                <c:pt idx="349">
                  <c:v>58.42</c:v>
                </c:pt>
                <c:pt idx="350">
                  <c:v>53.77</c:v>
                </c:pt>
                <c:pt idx="351">
                  <c:v>54.17</c:v>
                </c:pt>
                <c:pt idx="352">
                  <c:v>54.58</c:v>
                </c:pt>
                <c:pt idx="353">
                  <c:v>47.45</c:v>
                </c:pt>
                <c:pt idx="354">
                  <c:v>49.62</c:v>
                </c:pt>
                <c:pt idx="355">
                  <c:v>53.57</c:v>
                </c:pt>
                <c:pt idx="356">
                  <c:v>50.38</c:v>
                </c:pt>
                <c:pt idx="357">
                  <c:v>48.45</c:v>
                </c:pt>
                <c:pt idx="358">
                  <c:v>43.49</c:v>
                </c:pt>
                <c:pt idx="359">
                  <c:v>32.17</c:v>
                </c:pt>
                <c:pt idx="360">
                  <c:v>36.229999999999997</c:v>
                </c:pt>
                <c:pt idx="361">
                  <c:v>37.729999999999997</c:v>
                </c:pt>
                <c:pt idx="362">
                  <c:v>44.55</c:v>
                </c:pt>
                <c:pt idx="363">
                  <c:v>47.04</c:v>
                </c:pt>
                <c:pt idx="364">
                  <c:v>41.87</c:v>
                </c:pt>
                <c:pt idx="365">
                  <c:v>43.52</c:v>
                </c:pt>
                <c:pt idx="366">
                  <c:v>48.22</c:v>
                </c:pt>
                <c:pt idx="367">
                  <c:v>48.67</c:v>
                </c:pt>
                <c:pt idx="368">
                  <c:v>51.15</c:v>
                </c:pt>
                <c:pt idx="369">
                  <c:v>56.26</c:v>
                </c:pt>
                <c:pt idx="370">
                  <c:v>59.07</c:v>
                </c:pt>
                <c:pt idx="371">
                  <c:v>54.89</c:v>
                </c:pt>
                <c:pt idx="372">
                  <c:v>61.77</c:v>
                </c:pt>
                <c:pt idx="373">
                  <c:v>57.45</c:v>
                </c:pt>
                <c:pt idx="374">
                  <c:v>61.08</c:v>
                </c:pt>
                <c:pt idx="375">
                  <c:v>54.14</c:v>
                </c:pt>
                <c:pt idx="376">
                  <c:v>54.49</c:v>
                </c:pt>
                <c:pt idx="377">
                  <c:v>45.9</c:v>
                </c:pt>
                <c:pt idx="378">
                  <c:v>54.32</c:v>
                </c:pt>
                <c:pt idx="379">
                  <c:v>61.94</c:v>
                </c:pt>
                <c:pt idx="380">
                  <c:v>52.21</c:v>
                </c:pt>
                <c:pt idx="381">
                  <c:v>52.15</c:v>
                </c:pt>
                <c:pt idx="382">
                  <c:v>38.43</c:v>
                </c:pt>
                <c:pt idx="383">
                  <c:v>38.32</c:v>
                </c:pt>
                <c:pt idx="384">
                  <c:v>39.880000000000003</c:v>
                </c:pt>
                <c:pt idx="385">
                  <c:v>35.69</c:v>
                </c:pt>
                <c:pt idx="386">
                  <c:v>36.14</c:v>
                </c:pt>
                <c:pt idx="387">
                  <c:v>41.18</c:v>
                </c:pt>
                <c:pt idx="388">
                  <c:v>42.92</c:v>
                </c:pt>
                <c:pt idx="389">
                  <c:v>46.16</c:v>
                </c:pt>
                <c:pt idx="390">
                  <c:v>47.71</c:v>
                </c:pt>
                <c:pt idx="391">
                  <c:v>45.78</c:v>
                </c:pt>
                <c:pt idx="392">
                  <c:v>52.4</c:v>
                </c:pt>
                <c:pt idx="393">
                  <c:v>49.83</c:v>
                </c:pt>
                <c:pt idx="394">
                  <c:v>51.8</c:v>
                </c:pt>
                <c:pt idx="395">
                  <c:v>50.71</c:v>
                </c:pt>
                <c:pt idx="396">
                  <c:v>53.84</c:v>
                </c:pt>
                <c:pt idx="397">
                  <c:v>57.45</c:v>
                </c:pt>
                <c:pt idx="398">
                  <c:v>55.19</c:v>
                </c:pt>
                <c:pt idx="399">
                  <c:v>53.16</c:v>
                </c:pt>
                <c:pt idx="400">
                  <c:v>53.03</c:v>
                </c:pt>
                <c:pt idx="401">
                  <c:v>53.02</c:v>
                </c:pt>
                <c:pt idx="403">
                  <c:v>50.67</c:v>
                </c:pt>
                <c:pt idx="404">
                  <c:v>50.66</c:v>
                </c:pt>
                <c:pt idx="405">
                  <c:v>46.56</c:v>
                </c:pt>
                <c:pt idx="407">
                  <c:v>42.85</c:v>
                </c:pt>
                <c:pt idx="409">
                  <c:v>44.95</c:v>
                </c:pt>
                <c:pt idx="410">
                  <c:v>52.26</c:v>
                </c:pt>
                <c:pt idx="411">
                  <c:v>58.88</c:v>
                </c:pt>
                <c:pt idx="412">
                  <c:v>55.27</c:v>
                </c:pt>
                <c:pt idx="413">
                  <c:v>57.53</c:v>
                </c:pt>
                <c:pt idx="414">
                  <c:v>55.12</c:v>
                </c:pt>
                <c:pt idx="415">
                  <c:v>56.99</c:v>
                </c:pt>
                <c:pt idx="416">
                  <c:v>53.49</c:v>
                </c:pt>
                <c:pt idx="420">
                  <c:v>47.61</c:v>
                </c:pt>
                <c:pt idx="421">
                  <c:v>40.35</c:v>
                </c:pt>
                <c:pt idx="422">
                  <c:v>31.57</c:v>
                </c:pt>
                <c:pt idx="423">
                  <c:v>36.049999999999997</c:v>
                </c:pt>
                <c:pt idx="424">
                  <c:v>36</c:v>
                </c:pt>
                <c:pt idx="425">
                  <c:v>33.840000000000003</c:v>
                </c:pt>
                <c:pt idx="426">
                  <c:v>35.549999999999997</c:v>
                </c:pt>
                <c:pt idx="427">
                  <c:v>37.130000000000003</c:v>
                </c:pt>
                <c:pt idx="428">
                  <c:v>41.4</c:v>
                </c:pt>
                <c:pt idx="429">
                  <c:v>45.66</c:v>
                </c:pt>
                <c:pt idx="430">
                  <c:v>51.41</c:v>
                </c:pt>
                <c:pt idx="431">
                  <c:v>50.59</c:v>
                </c:pt>
                <c:pt idx="432">
                  <c:v>50.81</c:v>
                </c:pt>
                <c:pt idx="433">
                  <c:v>45.22</c:v>
                </c:pt>
                <c:pt idx="434">
                  <c:v>45.5</c:v>
                </c:pt>
                <c:pt idx="435">
                  <c:v>48.43</c:v>
                </c:pt>
                <c:pt idx="436">
                  <c:v>46.06</c:v>
                </c:pt>
                <c:pt idx="437">
                  <c:v>50.41</c:v>
                </c:pt>
                <c:pt idx="438">
                  <c:v>52.4</c:v>
                </c:pt>
                <c:pt idx="439">
                  <c:v>51.94</c:v>
                </c:pt>
                <c:pt idx="440">
                  <c:v>52.9</c:v>
                </c:pt>
                <c:pt idx="442">
                  <c:v>48.12</c:v>
                </c:pt>
                <c:pt idx="443">
                  <c:v>47.5</c:v>
                </c:pt>
                <c:pt idx="444">
                  <c:v>48.05</c:v>
                </c:pt>
                <c:pt idx="445">
                  <c:v>46.61</c:v>
                </c:pt>
                <c:pt idx="446">
                  <c:v>44.79</c:v>
                </c:pt>
                <c:pt idx="447">
                  <c:v>41.78</c:v>
                </c:pt>
                <c:pt idx="448">
                  <c:v>40.54</c:v>
                </c:pt>
                <c:pt idx="449">
                  <c:v>29.75</c:v>
                </c:pt>
                <c:pt idx="450">
                  <c:v>44.51</c:v>
                </c:pt>
                <c:pt idx="451">
                  <c:v>54.16</c:v>
                </c:pt>
                <c:pt idx="452">
                  <c:v>50.05</c:v>
                </c:pt>
                <c:pt idx="453">
                  <c:v>51.28</c:v>
                </c:pt>
                <c:pt idx="454">
                  <c:v>56.49</c:v>
                </c:pt>
                <c:pt idx="455">
                  <c:v>49</c:v>
                </c:pt>
                <c:pt idx="456">
                  <c:v>44.68</c:v>
                </c:pt>
                <c:pt idx="457">
                  <c:v>51.28</c:v>
                </c:pt>
                <c:pt idx="458">
                  <c:v>53.31</c:v>
                </c:pt>
                <c:pt idx="459">
                  <c:v>42.39</c:v>
                </c:pt>
                <c:pt idx="460">
                  <c:v>43.49</c:v>
                </c:pt>
                <c:pt idx="461">
                  <c:v>47.86</c:v>
                </c:pt>
                <c:pt idx="462">
                  <c:v>54.62</c:v>
                </c:pt>
                <c:pt idx="463">
                  <c:v>56.4</c:v>
                </c:pt>
                <c:pt idx="464">
                  <c:v>49.3</c:v>
                </c:pt>
                <c:pt idx="465">
                  <c:v>49.46</c:v>
                </c:pt>
                <c:pt idx="466">
                  <c:v>53.84</c:v>
                </c:pt>
                <c:pt idx="467">
                  <c:v>51.7</c:v>
                </c:pt>
                <c:pt idx="468">
                  <c:v>50.63</c:v>
                </c:pt>
                <c:pt idx="469">
                  <c:v>56.12</c:v>
                </c:pt>
                <c:pt idx="470">
                  <c:v>55.25</c:v>
                </c:pt>
                <c:pt idx="471">
                  <c:v>54.78</c:v>
                </c:pt>
                <c:pt idx="472">
                  <c:v>51.18</c:v>
                </c:pt>
                <c:pt idx="473">
                  <c:v>51.08</c:v>
                </c:pt>
                <c:pt idx="474">
                  <c:v>64.930000000000007</c:v>
                </c:pt>
                <c:pt idx="475">
                  <c:v>71.05</c:v>
                </c:pt>
                <c:pt idx="476">
                  <c:v>71.790000000000006</c:v>
                </c:pt>
                <c:pt idx="477">
                  <c:v>69.47</c:v>
                </c:pt>
                <c:pt idx="478">
                  <c:v>68.56</c:v>
                </c:pt>
                <c:pt idx="479">
                  <c:v>65.010000000000005</c:v>
                </c:pt>
                <c:pt idx="480">
                  <c:v>63.28</c:v>
                </c:pt>
                <c:pt idx="481">
                  <c:v>70.11</c:v>
                </c:pt>
                <c:pt idx="482">
                  <c:v>74.19</c:v>
                </c:pt>
                <c:pt idx="483">
                  <c:v>70.42</c:v>
                </c:pt>
                <c:pt idx="484">
                  <c:v>69.39</c:v>
                </c:pt>
                <c:pt idx="485">
                  <c:v>61.94</c:v>
                </c:pt>
                <c:pt idx="486">
                  <c:v>57.82</c:v>
                </c:pt>
                <c:pt idx="487">
                  <c:v>58.24</c:v>
                </c:pt>
                <c:pt idx="488">
                  <c:v>56.72</c:v>
                </c:pt>
                <c:pt idx="489">
                  <c:v>55.92</c:v>
                </c:pt>
                <c:pt idx="490">
                  <c:v>54.86</c:v>
                </c:pt>
                <c:pt idx="492">
                  <c:v>52.17</c:v>
                </c:pt>
                <c:pt idx="493">
                  <c:v>50.81</c:v>
                </c:pt>
                <c:pt idx="494">
                  <c:v>56.49</c:v>
                </c:pt>
                <c:pt idx="495">
                  <c:v>45.77</c:v>
                </c:pt>
                <c:pt idx="496">
                  <c:v>48.33</c:v>
                </c:pt>
                <c:pt idx="497">
                  <c:v>56.44</c:v>
                </c:pt>
                <c:pt idx="498">
                  <c:v>61.85</c:v>
                </c:pt>
                <c:pt idx="499">
                  <c:v>60.68</c:v>
                </c:pt>
                <c:pt idx="500">
                  <c:v>59.24</c:v>
                </c:pt>
                <c:pt idx="501">
                  <c:v>61.34</c:v>
                </c:pt>
                <c:pt idx="502">
                  <c:v>61.61</c:v>
                </c:pt>
                <c:pt idx="503">
                  <c:v>52.14</c:v>
                </c:pt>
                <c:pt idx="504">
                  <c:v>52.48</c:v>
                </c:pt>
                <c:pt idx="505">
                  <c:v>48.95</c:v>
                </c:pt>
                <c:pt idx="506">
                  <c:v>55.27</c:v>
                </c:pt>
                <c:pt idx="508">
                  <c:v>54.36</c:v>
                </c:pt>
                <c:pt idx="509">
                  <c:v>55.48</c:v>
                </c:pt>
                <c:pt idx="510">
                  <c:v>51.7</c:v>
                </c:pt>
                <c:pt idx="511">
                  <c:v>48.23</c:v>
                </c:pt>
                <c:pt idx="512">
                  <c:v>54.72</c:v>
                </c:pt>
                <c:pt idx="513">
                  <c:v>54.17</c:v>
                </c:pt>
                <c:pt idx="515">
                  <c:v>49.87</c:v>
                </c:pt>
                <c:pt idx="516">
                  <c:v>59</c:v>
                </c:pt>
                <c:pt idx="518">
                  <c:v>58.55</c:v>
                </c:pt>
                <c:pt idx="519">
                  <c:v>63.62</c:v>
                </c:pt>
                <c:pt idx="520">
                  <c:v>63.57</c:v>
                </c:pt>
                <c:pt idx="521">
                  <c:v>62.29</c:v>
                </c:pt>
                <c:pt idx="522">
                  <c:v>65</c:v>
                </c:pt>
                <c:pt idx="523">
                  <c:v>62.92</c:v>
                </c:pt>
                <c:pt idx="524">
                  <c:v>58.64</c:v>
                </c:pt>
                <c:pt idx="525">
                  <c:v>53.58</c:v>
                </c:pt>
                <c:pt idx="526">
                  <c:v>52.63</c:v>
                </c:pt>
                <c:pt idx="527">
                  <c:v>48.22</c:v>
                </c:pt>
                <c:pt idx="528">
                  <c:v>51.83</c:v>
                </c:pt>
                <c:pt idx="529">
                  <c:v>54.63</c:v>
                </c:pt>
                <c:pt idx="530">
                  <c:v>50.64</c:v>
                </c:pt>
                <c:pt idx="531">
                  <c:v>52.21</c:v>
                </c:pt>
                <c:pt idx="533">
                  <c:v>45.23</c:v>
                </c:pt>
                <c:pt idx="534">
                  <c:v>46.01</c:v>
                </c:pt>
                <c:pt idx="535">
                  <c:v>42.49</c:v>
                </c:pt>
                <c:pt idx="536">
                  <c:v>44.98</c:v>
                </c:pt>
                <c:pt idx="537">
                  <c:v>37.93</c:v>
                </c:pt>
                <c:pt idx="538">
                  <c:v>42.94</c:v>
                </c:pt>
                <c:pt idx="539">
                  <c:v>44.89</c:v>
                </c:pt>
                <c:pt idx="540">
                  <c:v>46.4</c:v>
                </c:pt>
                <c:pt idx="541">
                  <c:v>49.34</c:v>
                </c:pt>
                <c:pt idx="542">
                  <c:v>55.22</c:v>
                </c:pt>
                <c:pt idx="543">
                  <c:v>55.34</c:v>
                </c:pt>
                <c:pt idx="544">
                  <c:v>52.22</c:v>
                </c:pt>
                <c:pt idx="545">
                  <c:v>55.36</c:v>
                </c:pt>
                <c:pt idx="546">
                  <c:v>59.21</c:v>
                </c:pt>
                <c:pt idx="547">
                  <c:v>54.3</c:v>
                </c:pt>
                <c:pt idx="548">
                  <c:v>53.92</c:v>
                </c:pt>
                <c:pt idx="549">
                  <c:v>64.75</c:v>
                </c:pt>
                <c:pt idx="550">
                  <c:v>62.14</c:v>
                </c:pt>
                <c:pt idx="551">
                  <c:v>68.47</c:v>
                </c:pt>
                <c:pt idx="552">
                  <c:v>62.55</c:v>
                </c:pt>
                <c:pt idx="553">
                  <c:v>60.94</c:v>
                </c:pt>
                <c:pt idx="554">
                  <c:v>63.02</c:v>
                </c:pt>
                <c:pt idx="555">
                  <c:v>68.02</c:v>
                </c:pt>
                <c:pt idx="556">
                  <c:v>66.59</c:v>
                </c:pt>
                <c:pt idx="557">
                  <c:v>68.72</c:v>
                </c:pt>
                <c:pt idx="558">
                  <c:v>65.540000000000006</c:v>
                </c:pt>
                <c:pt idx="559">
                  <c:v>71.22</c:v>
                </c:pt>
                <c:pt idx="561">
                  <c:v>70.19</c:v>
                </c:pt>
                <c:pt idx="562">
                  <c:v>68.209999999999994</c:v>
                </c:pt>
                <c:pt idx="563">
                  <c:v>61.2</c:v>
                </c:pt>
                <c:pt idx="564">
                  <c:v>61.64</c:v>
                </c:pt>
                <c:pt idx="565">
                  <c:v>66.180000000000007</c:v>
                </c:pt>
                <c:pt idx="566">
                  <c:v>67.209999999999994</c:v>
                </c:pt>
                <c:pt idx="567">
                  <c:v>64.42</c:v>
                </c:pt>
                <c:pt idx="568">
                  <c:v>64.180000000000007</c:v>
                </c:pt>
                <c:pt idx="569">
                  <c:v>70.75</c:v>
                </c:pt>
                <c:pt idx="570">
                  <c:v>68.34</c:v>
                </c:pt>
                <c:pt idx="571">
                  <c:v>64.72</c:v>
                </c:pt>
                <c:pt idx="572">
                  <c:v>71.45</c:v>
                </c:pt>
                <c:pt idx="573">
                  <c:v>72.61</c:v>
                </c:pt>
                <c:pt idx="576">
                  <c:v>71.2</c:v>
                </c:pt>
                <c:pt idx="577">
                  <c:v>70.67</c:v>
                </c:pt>
                <c:pt idx="578">
                  <c:v>67.09</c:v>
                </c:pt>
                <c:pt idx="579">
                  <c:v>76.540000000000006</c:v>
                </c:pt>
                <c:pt idx="580">
                  <c:v>75.25</c:v>
                </c:pt>
                <c:pt idx="581">
                  <c:v>65.040000000000006</c:v>
                </c:pt>
                <c:pt idx="582">
                  <c:v>58.18</c:v>
                </c:pt>
                <c:pt idx="583">
                  <c:v>51.24</c:v>
                </c:pt>
                <c:pt idx="584">
                  <c:v>57.44</c:v>
                </c:pt>
                <c:pt idx="585">
                  <c:v>51.13</c:v>
                </c:pt>
                <c:pt idx="586">
                  <c:v>51.92</c:v>
                </c:pt>
                <c:pt idx="587">
                  <c:v>42.39</c:v>
                </c:pt>
                <c:pt idx="588">
                  <c:v>43.72</c:v>
                </c:pt>
                <c:pt idx="589">
                  <c:v>39.22</c:v>
                </c:pt>
                <c:pt idx="590">
                  <c:v>40.15</c:v>
                </c:pt>
                <c:pt idx="591">
                  <c:v>34.979999999999997</c:v>
                </c:pt>
                <c:pt idx="592">
                  <c:v>35.56</c:v>
                </c:pt>
                <c:pt idx="593">
                  <c:v>42.78</c:v>
                </c:pt>
                <c:pt idx="594">
                  <c:v>47.83</c:v>
                </c:pt>
                <c:pt idx="595">
                  <c:v>42.4</c:v>
                </c:pt>
                <c:pt idx="596">
                  <c:v>44.42</c:v>
                </c:pt>
                <c:pt idx="597">
                  <c:v>46.77</c:v>
                </c:pt>
                <c:pt idx="598">
                  <c:v>43.2</c:v>
                </c:pt>
                <c:pt idx="599">
                  <c:v>44.4</c:v>
                </c:pt>
                <c:pt idx="600">
                  <c:v>48.33</c:v>
                </c:pt>
                <c:pt idx="601">
                  <c:v>51.6</c:v>
                </c:pt>
                <c:pt idx="602">
                  <c:v>56.69</c:v>
                </c:pt>
                <c:pt idx="603">
                  <c:v>71.73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74-4F3F-97DE-5EEDE5D5BA26}"/>
            </c:ext>
          </c:extLst>
        </c:ser>
        <c:ser>
          <c:idx val="1"/>
          <c:order val="1"/>
          <c:tx>
            <c:strRef>
              <c:f>'미국 RSI'!$G$1</c:f>
              <c:strCache>
                <c:ptCount val="1"/>
                <c:pt idx="0">
                  <c:v>산업재(US)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RSI'!$G$69:$G$3068</c:f>
              <c:numCache>
                <c:formatCode>0.00</c:formatCode>
                <c:ptCount val="3000"/>
                <c:pt idx="0">
                  <c:v>54.82</c:v>
                </c:pt>
                <c:pt idx="1">
                  <c:v>59.13</c:v>
                </c:pt>
                <c:pt idx="2">
                  <c:v>49.94</c:v>
                </c:pt>
                <c:pt idx="3">
                  <c:v>52.39</c:v>
                </c:pt>
                <c:pt idx="4">
                  <c:v>56.12</c:v>
                </c:pt>
                <c:pt idx="5">
                  <c:v>56.05</c:v>
                </c:pt>
                <c:pt idx="6">
                  <c:v>59.9</c:v>
                </c:pt>
                <c:pt idx="7">
                  <c:v>54.38</c:v>
                </c:pt>
                <c:pt idx="8">
                  <c:v>55.32</c:v>
                </c:pt>
                <c:pt idx="9">
                  <c:v>61.32</c:v>
                </c:pt>
                <c:pt idx="10">
                  <c:v>60.69</c:v>
                </c:pt>
                <c:pt idx="11">
                  <c:v>55.18</c:v>
                </c:pt>
                <c:pt idx="12">
                  <c:v>57.17</c:v>
                </c:pt>
                <c:pt idx="13">
                  <c:v>62.51</c:v>
                </c:pt>
                <c:pt idx="14">
                  <c:v>61.56</c:v>
                </c:pt>
                <c:pt idx="15">
                  <c:v>59.71</c:v>
                </c:pt>
                <c:pt idx="16">
                  <c:v>61.23</c:v>
                </c:pt>
                <c:pt idx="17">
                  <c:v>58.67</c:v>
                </c:pt>
                <c:pt idx="18">
                  <c:v>47.34</c:v>
                </c:pt>
                <c:pt idx="19">
                  <c:v>48</c:v>
                </c:pt>
                <c:pt idx="21">
                  <c:v>46.24</c:v>
                </c:pt>
                <c:pt idx="22">
                  <c:v>47.41</c:v>
                </c:pt>
                <c:pt idx="23">
                  <c:v>41.83</c:v>
                </c:pt>
                <c:pt idx="24">
                  <c:v>28.45</c:v>
                </c:pt>
                <c:pt idx="25">
                  <c:v>31.89</c:v>
                </c:pt>
                <c:pt idx="26">
                  <c:v>35.04</c:v>
                </c:pt>
                <c:pt idx="27">
                  <c:v>42.2</c:v>
                </c:pt>
                <c:pt idx="28">
                  <c:v>38.869999999999997</c:v>
                </c:pt>
                <c:pt idx="29">
                  <c:v>35.909999999999997</c:v>
                </c:pt>
                <c:pt idx="30">
                  <c:v>31.43</c:v>
                </c:pt>
                <c:pt idx="31">
                  <c:v>35.409999999999997</c:v>
                </c:pt>
                <c:pt idx="32">
                  <c:v>37.479999999999997</c:v>
                </c:pt>
                <c:pt idx="33">
                  <c:v>40.04</c:v>
                </c:pt>
                <c:pt idx="34">
                  <c:v>38.74</c:v>
                </c:pt>
                <c:pt idx="35">
                  <c:v>34.54</c:v>
                </c:pt>
                <c:pt idx="36">
                  <c:v>35.49</c:v>
                </c:pt>
                <c:pt idx="37">
                  <c:v>43.44</c:v>
                </c:pt>
                <c:pt idx="38">
                  <c:v>44.6</c:v>
                </c:pt>
                <c:pt idx="39">
                  <c:v>46.6</c:v>
                </c:pt>
                <c:pt idx="40">
                  <c:v>44.07</c:v>
                </c:pt>
                <c:pt idx="41">
                  <c:v>48.61</c:v>
                </c:pt>
                <c:pt idx="42">
                  <c:v>59.04</c:v>
                </c:pt>
                <c:pt idx="43">
                  <c:v>57.9</c:v>
                </c:pt>
                <c:pt idx="44">
                  <c:v>69.599999999999994</c:v>
                </c:pt>
                <c:pt idx="45">
                  <c:v>66.39</c:v>
                </c:pt>
                <c:pt idx="46">
                  <c:v>65.55</c:v>
                </c:pt>
                <c:pt idx="47">
                  <c:v>63.42</c:v>
                </c:pt>
                <c:pt idx="48">
                  <c:v>68.349999999999994</c:v>
                </c:pt>
                <c:pt idx="49">
                  <c:v>64.34</c:v>
                </c:pt>
                <c:pt idx="50">
                  <c:v>74.06</c:v>
                </c:pt>
                <c:pt idx="51">
                  <c:v>72.64</c:v>
                </c:pt>
                <c:pt idx="52">
                  <c:v>70.44</c:v>
                </c:pt>
                <c:pt idx="53">
                  <c:v>70.599999999999994</c:v>
                </c:pt>
                <c:pt idx="54">
                  <c:v>69.09</c:v>
                </c:pt>
                <c:pt idx="55">
                  <c:v>66.62</c:v>
                </c:pt>
                <c:pt idx="56">
                  <c:v>74.81</c:v>
                </c:pt>
                <c:pt idx="57">
                  <c:v>73.459999999999994</c:v>
                </c:pt>
                <c:pt idx="58">
                  <c:v>73.16</c:v>
                </c:pt>
                <c:pt idx="59">
                  <c:v>72.44</c:v>
                </c:pt>
                <c:pt idx="60">
                  <c:v>64.2</c:v>
                </c:pt>
                <c:pt idx="61">
                  <c:v>68.209999999999994</c:v>
                </c:pt>
                <c:pt idx="62">
                  <c:v>67.38</c:v>
                </c:pt>
                <c:pt idx="63">
                  <c:v>64.680000000000007</c:v>
                </c:pt>
                <c:pt idx="64">
                  <c:v>60.13</c:v>
                </c:pt>
                <c:pt idx="65">
                  <c:v>61.61</c:v>
                </c:pt>
                <c:pt idx="66">
                  <c:v>57.64</c:v>
                </c:pt>
                <c:pt idx="67">
                  <c:v>60.76</c:v>
                </c:pt>
                <c:pt idx="68">
                  <c:v>59.25</c:v>
                </c:pt>
                <c:pt idx="69">
                  <c:v>58.9</c:v>
                </c:pt>
                <c:pt idx="70">
                  <c:v>62.87</c:v>
                </c:pt>
                <c:pt idx="71">
                  <c:v>65.62</c:v>
                </c:pt>
                <c:pt idx="72">
                  <c:v>60.31</c:v>
                </c:pt>
                <c:pt idx="74">
                  <c:v>72.75</c:v>
                </c:pt>
                <c:pt idx="75">
                  <c:v>70.89</c:v>
                </c:pt>
                <c:pt idx="76">
                  <c:v>68.19</c:v>
                </c:pt>
                <c:pt idx="77">
                  <c:v>67.709999999999994</c:v>
                </c:pt>
                <c:pt idx="78">
                  <c:v>66.17</c:v>
                </c:pt>
                <c:pt idx="79">
                  <c:v>63.82</c:v>
                </c:pt>
                <c:pt idx="80">
                  <c:v>60.17</c:v>
                </c:pt>
                <c:pt idx="81">
                  <c:v>57.45</c:v>
                </c:pt>
                <c:pt idx="82">
                  <c:v>68.48</c:v>
                </c:pt>
                <c:pt idx="83">
                  <c:v>63.9</c:v>
                </c:pt>
                <c:pt idx="84">
                  <c:v>59.15</c:v>
                </c:pt>
                <c:pt idx="85">
                  <c:v>49.76</c:v>
                </c:pt>
                <c:pt idx="86">
                  <c:v>55.11</c:v>
                </c:pt>
                <c:pt idx="87">
                  <c:v>57.08</c:v>
                </c:pt>
                <c:pt idx="88">
                  <c:v>58.55</c:v>
                </c:pt>
                <c:pt idx="89">
                  <c:v>59.77</c:v>
                </c:pt>
                <c:pt idx="90">
                  <c:v>58.36</c:v>
                </c:pt>
                <c:pt idx="91">
                  <c:v>58.58</c:v>
                </c:pt>
                <c:pt idx="92">
                  <c:v>55.41</c:v>
                </c:pt>
                <c:pt idx="93">
                  <c:v>51.57</c:v>
                </c:pt>
                <c:pt idx="94">
                  <c:v>48.46</c:v>
                </c:pt>
                <c:pt idx="95">
                  <c:v>57.05</c:v>
                </c:pt>
                <c:pt idx="96">
                  <c:v>60.72</c:v>
                </c:pt>
                <c:pt idx="97">
                  <c:v>60.08</c:v>
                </c:pt>
                <c:pt idx="98">
                  <c:v>63.92</c:v>
                </c:pt>
                <c:pt idx="99">
                  <c:v>59.91</c:v>
                </c:pt>
                <c:pt idx="100">
                  <c:v>51.51</c:v>
                </c:pt>
                <c:pt idx="101">
                  <c:v>55.9</c:v>
                </c:pt>
                <c:pt idx="102">
                  <c:v>56.65</c:v>
                </c:pt>
                <c:pt idx="103">
                  <c:v>58.3</c:v>
                </c:pt>
                <c:pt idx="104">
                  <c:v>56.09</c:v>
                </c:pt>
                <c:pt idx="105">
                  <c:v>51.79</c:v>
                </c:pt>
                <c:pt idx="106">
                  <c:v>47.44</c:v>
                </c:pt>
                <c:pt idx="107">
                  <c:v>55.35</c:v>
                </c:pt>
                <c:pt idx="109">
                  <c:v>52.44</c:v>
                </c:pt>
                <c:pt idx="110">
                  <c:v>49.41</c:v>
                </c:pt>
                <c:pt idx="111">
                  <c:v>41.91</c:v>
                </c:pt>
                <c:pt idx="112">
                  <c:v>40.33</c:v>
                </c:pt>
                <c:pt idx="113">
                  <c:v>31.96</c:v>
                </c:pt>
                <c:pt idx="114">
                  <c:v>39.08</c:v>
                </c:pt>
                <c:pt idx="115">
                  <c:v>36.47</c:v>
                </c:pt>
                <c:pt idx="116">
                  <c:v>38.53</c:v>
                </c:pt>
                <c:pt idx="117">
                  <c:v>43.6</c:v>
                </c:pt>
                <c:pt idx="118">
                  <c:v>43.55</c:v>
                </c:pt>
                <c:pt idx="119">
                  <c:v>53.26</c:v>
                </c:pt>
                <c:pt idx="120">
                  <c:v>52.65</c:v>
                </c:pt>
                <c:pt idx="121">
                  <c:v>52.49</c:v>
                </c:pt>
                <c:pt idx="122">
                  <c:v>49.13</c:v>
                </c:pt>
                <c:pt idx="123">
                  <c:v>46.12</c:v>
                </c:pt>
                <c:pt idx="124">
                  <c:v>48.31</c:v>
                </c:pt>
                <c:pt idx="125">
                  <c:v>46.01</c:v>
                </c:pt>
                <c:pt idx="126">
                  <c:v>52.6</c:v>
                </c:pt>
                <c:pt idx="127">
                  <c:v>55.32</c:v>
                </c:pt>
                <c:pt idx="128">
                  <c:v>54.08</c:v>
                </c:pt>
                <c:pt idx="129">
                  <c:v>55.58</c:v>
                </c:pt>
                <c:pt idx="130">
                  <c:v>54.38</c:v>
                </c:pt>
                <c:pt idx="131">
                  <c:v>58.47</c:v>
                </c:pt>
                <c:pt idx="132">
                  <c:v>56.03</c:v>
                </c:pt>
                <c:pt idx="133">
                  <c:v>55.68</c:v>
                </c:pt>
                <c:pt idx="134">
                  <c:v>50.17</c:v>
                </c:pt>
                <c:pt idx="135">
                  <c:v>57.1</c:v>
                </c:pt>
                <c:pt idx="136">
                  <c:v>53.02</c:v>
                </c:pt>
                <c:pt idx="137">
                  <c:v>46.84</c:v>
                </c:pt>
                <c:pt idx="138">
                  <c:v>46.37</c:v>
                </c:pt>
                <c:pt idx="139">
                  <c:v>49.53</c:v>
                </c:pt>
                <c:pt idx="140">
                  <c:v>51.63</c:v>
                </c:pt>
                <c:pt idx="141">
                  <c:v>45.69</c:v>
                </c:pt>
                <c:pt idx="142">
                  <c:v>39.67</c:v>
                </c:pt>
                <c:pt idx="143">
                  <c:v>51.11</c:v>
                </c:pt>
                <c:pt idx="144">
                  <c:v>62.46</c:v>
                </c:pt>
                <c:pt idx="145">
                  <c:v>57.33</c:v>
                </c:pt>
                <c:pt idx="146">
                  <c:v>62.54</c:v>
                </c:pt>
                <c:pt idx="147">
                  <c:v>59.76</c:v>
                </c:pt>
                <c:pt idx="148">
                  <c:v>58.94</c:v>
                </c:pt>
                <c:pt idx="149">
                  <c:v>57.4</c:v>
                </c:pt>
                <c:pt idx="150">
                  <c:v>59.63</c:v>
                </c:pt>
                <c:pt idx="151">
                  <c:v>55.18</c:v>
                </c:pt>
                <c:pt idx="152">
                  <c:v>53.28</c:v>
                </c:pt>
                <c:pt idx="153">
                  <c:v>47.25</c:v>
                </c:pt>
                <c:pt idx="154">
                  <c:v>51.96</c:v>
                </c:pt>
                <c:pt idx="155">
                  <c:v>55.94</c:v>
                </c:pt>
                <c:pt idx="156">
                  <c:v>55.78</c:v>
                </c:pt>
                <c:pt idx="157">
                  <c:v>56.34</c:v>
                </c:pt>
                <c:pt idx="158">
                  <c:v>55.04</c:v>
                </c:pt>
                <c:pt idx="159">
                  <c:v>48.85</c:v>
                </c:pt>
                <c:pt idx="160">
                  <c:v>51.68</c:v>
                </c:pt>
                <c:pt idx="161">
                  <c:v>53.56</c:v>
                </c:pt>
                <c:pt idx="162">
                  <c:v>50.98</c:v>
                </c:pt>
                <c:pt idx="163">
                  <c:v>56.01</c:v>
                </c:pt>
                <c:pt idx="164">
                  <c:v>50.68</c:v>
                </c:pt>
                <c:pt idx="165">
                  <c:v>46</c:v>
                </c:pt>
                <c:pt idx="166">
                  <c:v>50.05</c:v>
                </c:pt>
                <c:pt idx="167">
                  <c:v>48.65</c:v>
                </c:pt>
                <c:pt idx="168">
                  <c:v>50.83</c:v>
                </c:pt>
                <c:pt idx="169">
                  <c:v>43.77</c:v>
                </c:pt>
                <c:pt idx="170">
                  <c:v>46.56</c:v>
                </c:pt>
                <c:pt idx="172">
                  <c:v>52.49</c:v>
                </c:pt>
                <c:pt idx="173">
                  <c:v>59.32</c:v>
                </c:pt>
                <c:pt idx="174">
                  <c:v>58.36</c:v>
                </c:pt>
                <c:pt idx="175">
                  <c:v>58.46</c:v>
                </c:pt>
                <c:pt idx="176">
                  <c:v>52.89</c:v>
                </c:pt>
                <c:pt idx="177">
                  <c:v>60.24</c:v>
                </c:pt>
                <c:pt idx="178">
                  <c:v>49.83</c:v>
                </c:pt>
                <c:pt idx="179">
                  <c:v>52.64</c:v>
                </c:pt>
                <c:pt idx="180">
                  <c:v>53.36</c:v>
                </c:pt>
                <c:pt idx="181">
                  <c:v>51.92</c:v>
                </c:pt>
                <c:pt idx="182">
                  <c:v>49.3</c:v>
                </c:pt>
                <c:pt idx="183">
                  <c:v>52.39</c:v>
                </c:pt>
                <c:pt idx="184">
                  <c:v>59.13</c:v>
                </c:pt>
                <c:pt idx="185">
                  <c:v>56.92</c:v>
                </c:pt>
                <c:pt idx="186">
                  <c:v>50.2</c:v>
                </c:pt>
                <c:pt idx="187">
                  <c:v>52.59</c:v>
                </c:pt>
                <c:pt idx="188">
                  <c:v>52.07</c:v>
                </c:pt>
                <c:pt idx="189">
                  <c:v>53.06</c:v>
                </c:pt>
                <c:pt idx="190">
                  <c:v>52.61</c:v>
                </c:pt>
                <c:pt idx="191">
                  <c:v>53.86</c:v>
                </c:pt>
                <c:pt idx="192">
                  <c:v>48.8</c:v>
                </c:pt>
                <c:pt idx="193">
                  <c:v>58.62</c:v>
                </c:pt>
                <c:pt idx="194">
                  <c:v>58.59</c:v>
                </c:pt>
                <c:pt idx="195">
                  <c:v>62.15</c:v>
                </c:pt>
                <c:pt idx="196">
                  <c:v>71.650000000000006</c:v>
                </c:pt>
                <c:pt idx="197">
                  <c:v>74.540000000000006</c:v>
                </c:pt>
                <c:pt idx="198">
                  <c:v>71.12</c:v>
                </c:pt>
                <c:pt idx="199">
                  <c:v>72.67</c:v>
                </c:pt>
                <c:pt idx="200">
                  <c:v>65.36</c:v>
                </c:pt>
                <c:pt idx="201">
                  <c:v>64.180000000000007</c:v>
                </c:pt>
                <c:pt idx="202">
                  <c:v>69.03</c:v>
                </c:pt>
                <c:pt idx="203">
                  <c:v>71.16</c:v>
                </c:pt>
                <c:pt idx="204">
                  <c:v>67.34</c:v>
                </c:pt>
                <c:pt idx="205">
                  <c:v>65.739999999999995</c:v>
                </c:pt>
                <c:pt idx="206">
                  <c:v>72.83</c:v>
                </c:pt>
                <c:pt idx="207">
                  <c:v>70.72</c:v>
                </c:pt>
                <c:pt idx="208">
                  <c:v>74.28</c:v>
                </c:pt>
                <c:pt idx="209">
                  <c:v>72.27</c:v>
                </c:pt>
                <c:pt idx="210">
                  <c:v>69.52</c:v>
                </c:pt>
                <c:pt idx="211">
                  <c:v>69.77</c:v>
                </c:pt>
                <c:pt idx="213">
                  <c:v>72.89</c:v>
                </c:pt>
                <c:pt idx="214">
                  <c:v>69.86</c:v>
                </c:pt>
                <c:pt idx="215">
                  <c:v>69.48</c:v>
                </c:pt>
                <c:pt idx="216">
                  <c:v>68.27</c:v>
                </c:pt>
                <c:pt idx="217">
                  <c:v>66.44</c:v>
                </c:pt>
                <c:pt idx="218">
                  <c:v>62.44</c:v>
                </c:pt>
                <c:pt idx="219">
                  <c:v>57.35</c:v>
                </c:pt>
                <c:pt idx="220">
                  <c:v>63.95</c:v>
                </c:pt>
                <c:pt idx="221">
                  <c:v>59.94</c:v>
                </c:pt>
                <c:pt idx="222">
                  <c:v>54.05</c:v>
                </c:pt>
                <c:pt idx="224">
                  <c:v>53.36</c:v>
                </c:pt>
                <c:pt idx="225">
                  <c:v>54.98</c:v>
                </c:pt>
                <c:pt idx="226">
                  <c:v>60.36</c:v>
                </c:pt>
                <c:pt idx="227">
                  <c:v>56.8</c:v>
                </c:pt>
                <c:pt idx="228">
                  <c:v>63.33</c:v>
                </c:pt>
                <c:pt idx="229">
                  <c:v>65.53</c:v>
                </c:pt>
                <c:pt idx="230">
                  <c:v>65.319999999999993</c:v>
                </c:pt>
                <c:pt idx="231">
                  <c:v>68.75</c:v>
                </c:pt>
                <c:pt idx="232">
                  <c:v>69.45</c:v>
                </c:pt>
                <c:pt idx="233">
                  <c:v>66.510000000000005</c:v>
                </c:pt>
                <c:pt idx="234">
                  <c:v>67</c:v>
                </c:pt>
                <c:pt idx="235">
                  <c:v>66.819999999999993</c:v>
                </c:pt>
                <c:pt idx="236">
                  <c:v>64.28</c:v>
                </c:pt>
                <c:pt idx="237">
                  <c:v>65.040000000000006</c:v>
                </c:pt>
                <c:pt idx="238">
                  <c:v>64.84</c:v>
                </c:pt>
                <c:pt idx="239">
                  <c:v>64.58</c:v>
                </c:pt>
                <c:pt idx="240">
                  <c:v>67.11</c:v>
                </c:pt>
                <c:pt idx="242">
                  <c:v>62.33</c:v>
                </c:pt>
                <c:pt idx="243">
                  <c:v>63.93</c:v>
                </c:pt>
                <c:pt idx="244">
                  <c:v>64.03</c:v>
                </c:pt>
                <c:pt idx="245">
                  <c:v>72.510000000000005</c:v>
                </c:pt>
                <c:pt idx="246">
                  <c:v>74.47</c:v>
                </c:pt>
                <c:pt idx="247">
                  <c:v>73.849999999999994</c:v>
                </c:pt>
                <c:pt idx="248">
                  <c:v>71.75</c:v>
                </c:pt>
                <c:pt idx="249">
                  <c:v>69.569999999999993</c:v>
                </c:pt>
                <c:pt idx="250">
                  <c:v>71.819999999999993</c:v>
                </c:pt>
                <c:pt idx="251">
                  <c:v>70.540000000000006</c:v>
                </c:pt>
                <c:pt idx="252">
                  <c:v>64.09</c:v>
                </c:pt>
                <c:pt idx="253">
                  <c:v>63.9</c:v>
                </c:pt>
                <c:pt idx="254">
                  <c:v>60.6</c:v>
                </c:pt>
                <c:pt idx="255">
                  <c:v>59.33</c:v>
                </c:pt>
                <c:pt idx="256">
                  <c:v>62.58</c:v>
                </c:pt>
                <c:pt idx="257">
                  <c:v>62.46</c:v>
                </c:pt>
                <c:pt idx="258">
                  <c:v>58.52</c:v>
                </c:pt>
                <c:pt idx="259">
                  <c:v>56.76</c:v>
                </c:pt>
                <c:pt idx="260">
                  <c:v>55.07</c:v>
                </c:pt>
                <c:pt idx="261">
                  <c:v>53.57</c:v>
                </c:pt>
                <c:pt idx="262">
                  <c:v>52.82</c:v>
                </c:pt>
                <c:pt idx="263">
                  <c:v>52.84</c:v>
                </c:pt>
                <c:pt idx="264">
                  <c:v>48.09</c:v>
                </c:pt>
                <c:pt idx="265">
                  <c:v>45.27</c:v>
                </c:pt>
                <c:pt idx="266">
                  <c:v>41.19</c:v>
                </c:pt>
                <c:pt idx="268">
                  <c:v>45.31</c:v>
                </c:pt>
                <c:pt idx="269">
                  <c:v>44.05</c:v>
                </c:pt>
                <c:pt idx="270">
                  <c:v>46.57</c:v>
                </c:pt>
                <c:pt idx="271">
                  <c:v>47.49</c:v>
                </c:pt>
                <c:pt idx="272">
                  <c:v>45.41</c:v>
                </c:pt>
                <c:pt idx="273">
                  <c:v>41.85</c:v>
                </c:pt>
                <c:pt idx="274">
                  <c:v>46.03</c:v>
                </c:pt>
                <c:pt idx="275">
                  <c:v>23.58</c:v>
                </c:pt>
                <c:pt idx="276">
                  <c:v>24.47</c:v>
                </c:pt>
                <c:pt idx="277">
                  <c:v>24.97</c:v>
                </c:pt>
                <c:pt idx="278">
                  <c:v>34.19</c:v>
                </c:pt>
                <c:pt idx="279">
                  <c:v>49.7</c:v>
                </c:pt>
                <c:pt idx="280">
                  <c:v>45.77</c:v>
                </c:pt>
                <c:pt idx="281">
                  <c:v>43.31</c:v>
                </c:pt>
                <c:pt idx="282">
                  <c:v>40.18</c:v>
                </c:pt>
                <c:pt idx="283">
                  <c:v>47.42</c:v>
                </c:pt>
                <c:pt idx="284">
                  <c:v>49.57</c:v>
                </c:pt>
                <c:pt idx="285">
                  <c:v>52.33</c:v>
                </c:pt>
                <c:pt idx="286">
                  <c:v>51.77</c:v>
                </c:pt>
                <c:pt idx="287">
                  <c:v>45.72</c:v>
                </c:pt>
                <c:pt idx="288">
                  <c:v>47.65</c:v>
                </c:pt>
                <c:pt idx="289">
                  <c:v>49.48</c:v>
                </c:pt>
                <c:pt idx="290">
                  <c:v>44.29</c:v>
                </c:pt>
                <c:pt idx="291">
                  <c:v>47.01</c:v>
                </c:pt>
                <c:pt idx="292">
                  <c:v>41.3</c:v>
                </c:pt>
                <c:pt idx="293">
                  <c:v>32.53</c:v>
                </c:pt>
                <c:pt idx="294">
                  <c:v>35.299999999999997</c:v>
                </c:pt>
                <c:pt idx="295">
                  <c:v>35.32</c:v>
                </c:pt>
                <c:pt idx="296">
                  <c:v>39.79</c:v>
                </c:pt>
                <c:pt idx="297">
                  <c:v>45.28</c:v>
                </c:pt>
                <c:pt idx="298">
                  <c:v>39.56</c:v>
                </c:pt>
                <c:pt idx="299">
                  <c:v>42.63</c:v>
                </c:pt>
                <c:pt idx="300">
                  <c:v>34.03</c:v>
                </c:pt>
                <c:pt idx="301">
                  <c:v>41.27</c:v>
                </c:pt>
                <c:pt idx="302">
                  <c:v>48.33</c:v>
                </c:pt>
                <c:pt idx="303">
                  <c:v>39.39</c:v>
                </c:pt>
                <c:pt idx="304">
                  <c:v>41.11</c:v>
                </c:pt>
                <c:pt idx="305">
                  <c:v>40.700000000000003</c:v>
                </c:pt>
                <c:pt idx="306">
                  <c:v>37.200000000000003</c:v>
                </c:pt>
                <c:pt idx="307">
                  <c:v>39.1</c:v>
                </c:pt>
                <c:pt idx="308">
                  <c:v>51.07</c:v>
                </c:pt>
                <c:pt idx="309">
                  <c:v>55.85</c:v>
                </c:pt>
                <c:pt idx="310">
                  <c:v>55.25</c:v>
                </c:pt>
                <c:pt idx="312">
                  <c:v>50.44</c:v>
                </c:pt>
                <c:pt idx="313">
                  <c:v>52.08</c:v>
                </c:pt>
                <c:pt idx="314">
                  <c:v>51.47</c:v>
                </c:pt>
                <c:pt idx="315">
                  <c:v>55.45</c:v>
                </c:pt>
                <c:pt idx="316">
                  <c:v>55.27</c:v>
                </c:pt>
                <c:pt idx="317">
                  <c:v>50.53</c:v>
                </c:pt>
                <c:pt idx="318">
                  <c:v>52.24</c:v>
                </c:pt>
                <c:pt idx="319">
                  <c:v>49.86</c:v>
                </c:pt>
                <c:pt idx="320">
                  <c:v>49.48</c:v>
                </c:pt>
                <c:pt idx="321">
                  <c:v>49.34</c:v>
                </c:pt>
                <c:pt idx="322">
                  <c:v>54.17</c:v>
                </c:pt>
                <c:pt idx="323">
                  <c:v>57.95</c:v>
                </c:pt>
                <c:pt idx="324">
                  <c:v>53.19</c:v>
                </c:pt>
                <c:pt idx="325">
                  <c:v>54.95</c:v>
                </c:pt>
                <c:pt idx="326">
                  <c:v>58.47</c:v>
                </c:pt>
                <c:pt idx="327">
                  <c:v>66.61</c:v>
                </c:pt>
                <c:pt idx="328">
                  <c:v>69.459999999999994</c:v>
                </c:pt>
                <c:pt idx="329">
                  <c:v>66.290000000000006</c:v>
                </c:pt>
                <c:pt idx="330">
                  <c:v>67.81</c:v>
                </c:pt>
                <c:pt idx="332">
                  <c:v>60.63</c:v>
                </c:pt>
                <c:pt idx="333">
                  <c:v>58.11</c:v>
                </c:pt>
                <c:pt idx="334">
                  <c:v>52.47</c:v>
                </c:pt>
                <c:pt idx="335">
                  <c:v>49.18</c:v>
                </c:pt>
                <c:pt idx="336">
                  <c:v>42.32</c:v>
                </c:pt>
                <c:pt idx="337">
                  <c:v>34.25</c:v>
                </c:pt>
                <c:pt idx="339">
                  <c:v>39.18</c:v>
                </c:pt>
                <c:pt idx="340">
                  <c:v>36.200000000000003</c:v>
                </c:pt>
                <c:pt idx="341">
                  <c:v>36.619999999999997</c:v>
                </c:pt>
                <c:pt idx="342">
                  <c:v>37.51</c:v>
                </c:pt>
                <c:pt idx="343">
                  <c:v>29.72</c:v>
                </c:pt>
                <c:pt idx="344">
                  <c:v>30.88</c:v>
                </c:pt>
                <c:pt idx="345">
                  <c:v>31.27</c:v>
                </c:pt>
                <c:pt idx="346">
                  <c:v>34.71</c:v>
                </c:pt>
                <c:pt idx="347">
                  <c:v>37.57</c:v>
                </c:pt>
                <c:pt idx="348">
                  <c:v>37.090000000000003</c:v>
                </c:pt>
                <c:pt idx="349">
                  <c:v>32.020000000000003</c:v>
                </c:pt>
                <c:pt idx="350">
                  <c:v>33.72</c:v>
                </c:pt>
                <c:pt idx="351">
                  <c:v>25.61</c:v>
                </c:pt>
                <c:pt idx="352">
                  <c:v>25.93</c:v>
                </c:pt>
                <c:pt idx="353">
                  <c:v>35.299999999999997</c:v>
                </c:pt>
                <c:pt idx="354">
                  <c:v>39.659999999999997</c:v>
                </c:pt>
                <c:pt idx="355">
                  <c:v>38.99</c:v>
                </c:pt>
                <c:pt idx="356">
                  <c:v>40.229999999999997</c:v>
                </c:pt>
                <c:pt idx="357">
                  <c:v>43.39</c:v>
                </c:pt>
                <c:pt idx="358">
                  <c:v>44.55</c:v>
                </c:pt>
                <c:pt idx="359">
                  <c:v>45.77</c:v>
                </c:pt>
                <c:pt idx="360">
                  <c:v>50.34</c:v>
                </c:pt>
                <c:pt idx="361">
                  <c:v>51.76</c:v>
                </c:pt>
                <c:pt idx="362">
                  <c:v>59.19</c:v>
                </c:pt>
                <c:pt idx="363">
                  <c:v>57.15</c:v>
                </c:pt>
                <c:pt idx="364">
                  <c:v>61.29</c:v>
                </c:pt>
                <c:pt idx="365">
                  <c:v>66.58</c:v>
                </c:pt>
                <c:pt idx="367">
                  <c:v>64.400000000000006</c:v>
                </c:pt>
                <c:pt idx="368">
                  <c:v>67.06</c:v>
                </c:pt>
                <c:pt idx="369">
                  <c:v>66.650000000000006</c:v>
                </c:pt>
                <c:pt idx="370">
                  <c:v>64.5</c:v>
                </c:pt>
                <c:pt idx="371">
                  <c:v>59.12</c:v>
                </c:pt>
                <c:pt idx="372">
                  <c:v>53.29</c:v>
                </c:pt>
                <c:pt idx="373">
                  <c:v>52.75</c:v>
                </c:pt>
                <c:pt idx="374">
                  <c:v>53.21</c:v>
                </c:pt>
                <c:pt idx="375">
                  <c:v>53.89</c:v>
                </c:pt>
                <c:pt idx="376">
                  <c:v>56.57</c:v>
                </c:pt>
                <c:pt idx="377">
                  <c:v>66.349999999999994</c:v>
                </c:pt>
                <c:pt idx="378">
                  <c:v>65.66</c:v>
                </c:pt>
                <c:pt idx="379">
                  <c:v>71.209999999999994</c:v>
                </c:pt>
                <c:pt idx="380">
                  <c:v>69.040000000000006</c:v>
                </c:pt>
                <c:pt idx="381">
                  <c:v>65.739999999999995</c:v>
                </c:pt>
                <c:pt idx="382">
                  <c:v>69.61</c:v>
                </c:pt>
                <c:pt idx="383">
                  <c:v>53.72</c:v>
                </c:pt>
                <c:pt idx="384">
                  <c:v>41.86</c:v>
                </c:pt>
                <c:pt idx="385">
                  <c:v>42.54</c:v>
                </c:pt>
                <c:pt idx="386">
                  <c:v>41.48</c:v>
                </c:pt>
                <c:pt idx="387">
                  <c:v>48.68</c:v>
                </c:pt>
                <c:pt idx="388">
                  <c:v>49.87</c:v>
                </c:pt>
                <c:pt idx="389">
                  <c:v>50.77</c:v>
                </c:pt>
                <c:pt idx="390">
                  <c:v>48.87</c:v>
                </c:pt>
                <c:pt idx="391">
                  <c:v>50.5</c:v>
                </c:pt>
                <c:pt idx="392">
                  <c:v>54.94</c:v>
                </c:pt>
                <c:pt idx="393">
                  <c:v>56.91</c:v>
                </c:pt>
                <c:pt idx="394">
                  <c:v>66.209999999999994</c:v>
                </c:pt>
                <c:pt idx="395">
                  <c:v>69.28</c:v>
                </c:pt>
                <c:pt idx="396">
                  <c:v>68.099999999999994</c:v>
                </c:pt>
                <c:pt idx="397">
                  <c:v>70.48</c:v>
                </c:pt>
                <c:pt idx="398">
                  <c:v>67.67</c:v>
                </c:pt>
                <c:pt idx="399">
                  <c:v>74.239999999999995</c:v>
                </c:pt>
                <c:pt idx="400">
                  <c:v>72.3</c:v>
                </c:pt>
                <c:pt idx="401">
                  <c:v>65.19</c:v>
                </c:pt>
                <c:pt idx="402">
                  <c:v>70</c:v>
                </c:pt>
                <c:pt idx="403">
                  <c:v>65.97</c:v>
                </c:pt>
                <c:pt idx="404">
                  <c:v>64.89</c:v>
                </c:pt>
                <c:pt idx="405">
                  <c:v>67.069999999999993</c:v>
                </c:pt>
                <c:pt idx="406">
                  <c:v>63.85</c:v>
                </c:pt>
                <c:pt idx="407">
                  <c:v>68.41</c:v>
                </c:pt>
                <c:pt idx="408">
                  <c:v>70.099999999999994</c:v>
                </c:pt>
                <c:pt idx="409">
                  <c:v>69.900000000000006</c:v>
                </c:pt>
                <c:pt idx="410">
                  <c:v>68.25</c:v>
                </c:pt>
                <c:pt idx="411">
                  <c:v>67.739999999999995</c:v>
                </c:pt>
                <c:pt idx="412">
                  <c:v>65.930000000000007</c:v>
                </c:pt>
                <c:pt idx="413">
                  <c:v>69.319999999999993</c:v>
                </c:pt>
                <c:pt idx="414">
                  <c:v>66.91</c:v>
                </c:pt>
                <c:pt idx="415">
                  <c:v>65.72</c:v>
                </c:pt>
                <c:pt idx="416">
                  <c:v>70.55</c:v>
                </c:pt>
                <c:pt idx="417">
                  <c:v>64.739999999999995</c:v>
                </c:pt>
                <c:pt idx="418">
                  <c:v>65.319999999999993</c:v>
                </c:pt>
                <c:pt idx="419">
                  <c:v>63.33</c:v>
                </c:pt>
                <c:pt idx="420">
                  <c:v>61.41</c:v>
                </c:pt>
                <c:pt idx="421">
                  <c:v>57.36</c:v>
                </c:pt>
                <c:pt idx="422">
                  <c:v>53.97</c:v>
                </c:pt>
                <c:pt idx="423">
                  <c:v>53.16</c:v>
                </c:pt>
                <c:pt idx="424">
                  <c:v>52.43</c:v>
                </c:pt>
                <c:pt idx="425">
                  <c:v>45.43</c:v>
                </c:pt>
                <c:pt idx="426">
                  <c:v>49.99</c:v>
                </c:pt>
                <c:pt idx="427">
                  <c:v>56.08</c:v>
                </c:pt>
                <c:pt idx="428">
                  <c:v>55.64</c:v>
                </c:pt>
                <c:pt idx="430">
                  <c:v>70.040000000000006</c:v>
                </c:pt>
                <c:pt idx="431">
                  <c:v>66.16</c:v>
                </c:pt>
                <c:pt idx="432">
                  <c:v>63.26</c:v>
                </c:pt>
                <c:pt idx="433">
                  <c:v>63.59</c:v>
                </c:pt>
                <c:pt idx="434">
                  <c:v>63.36</c:v>
                </c:pt>
                <c:pt idx="435">
                  <c:v>64.040000000000006</c:v>
                </c:pt>
                <c:pt idx="436">
                  <c:v>60.42</c:v>
                </c:pt>
                <c:pt idx="437">
                  <c:v>61.13</c:v>
                </c:pt>
                <c:pt idx="438">
                  <c:v>58.96</c:v>
                </c:pt>
                <c:pt idx="439">
                  <c:v>60.38</c:v>
                </c:pt>
                <c:pt idx="440">
                  <c:v>58.33</c:v>
                </c:pt>
                <c:pt idx="441">
                  <c:v>58.99</c:v>
                </c:pt>
                <c:pt idx="442">
                  <c:v>54.47</c:v>
                </c:pt>
                <c:pt idx="443">
                  <c:v>53.02</c:v>
                </c:pt>
                <c:pt idx="444">
                  <c:v>49.19</c:v>
                </c:pt>
                <c:pt idx="445">
                  <c:v>51.07</c:v>
                </c:pt>
                <c:pt idx="446">
                  <c:v>51.01</c:v>
                </c:pt>
                <c:pt idx="447">
                  <c:v>42.63</c:v>
                </c:pt>
                <c:pt idx="448">
                  <c:v>44.1</c:v>
                </c:pt>
                <c:pt idx="449">
                  <c:v>39.299999999999997</c:v>
                </c:pt>
                <c:pt idx="450">
                  <c:v>44.52</c:v>
                </c:pt>
                <c:pt idx="451">
                  <c:v>52.98</c:v>
                </c:pt>
                <c:pt idx="452">
                  <c:v>62.44</c:v>
                </c:pt>
                <c:pt idx="453">
                  <c:v>58.32</c:v>
                </c:pt>
                <c:pt idx="454">
                  <c:v>57.18</c:v>
                </c:pt>
                <c:pt idx="455">
                  <c:v>58.06</c:v>
                </c:pt>
                <c:pt idx="456">
                  <c:v>51.38</c:v>
                </c:pt>
                <c:pt idx="457">
                  <c:v>47.77</c:v>
                </c:pt>
                <c:pt idx="458">
                  <c:v>58.88</c:v>
                </c:pt>
                <c:pt idx="459">
                  <c:v>60.02</c:v>
                </c:pt>
                <c:pt idx="460">
                  <c:v>55.79</c:v>
                </c:pt>
                <c:pt idx="461">
                  <c:v>58.94</c:v>
                </c:pt>
                <c:pt idx="462">
                  <c:v>63.73</c:v>
                </c:pt>
                <c:pt idx="463">
                  <c:v>72.849999999999994</c:v>
                </c:pt>
                <c:pt idx="464">
                  <c:v>63.67</c:v>
                </c:pt>
                <c:pt idx="465">
                  <c:v>60.1</c:v>
                </c:pt>
                <c:pt idx="466">
                  <c:v>56.96</c:v>
                </c:pt>
                <c:pt idx="467">
                  <c:v>48.81</c:v>
                </c:pt>
                <c:pt idx="468">
                  <c:v>41.66</c:v>
                </c:pt>
                <c:pt idx="469">
                  <c:v>44.49</c:v>
                </c:pt>
                <c:pt idx="470">
                  <c:v>43.48</c:v>
                </c:pt>
                <c:pt idx="472">
                  <c:v>45.75</c:v>
                </c:pt>
                <c:pt idx="473">
                  <c:v>42.99</c:v>
                </c:pt>
                <c:pt idx="474">
                  <c:v>38.64</c:v>
                </c:pt>
                <c:pt idx="475">
                  <c:v>44.96</c:v>
                </c:pt>
                <c:pt idx="476">
                  <c:v>44.64</c:v>
                </c:pt>
                <c:pt idx="477">
                  <c:v>43.85</c:v>
                </c:pt>
                <c:pt idx="478">
                  <c:v>45.38</c:v>
                </c:pt>
                <c:pt idx="479">
                  <c:v>50.58</c:v>
                </c:pt>
                <c:pt idx="480">
                  <c:v>50.08</c:v>
                </c:pt>
                <c:pt idx="481">
                  <c:v>51.35</c:v>
                </c:pt>
                <c:pt idx="483">
                  <c:v>50.99</c:v>
                </c:pt>
                <c:pt idx="484">
                  <c:v>48.09</c:v>
                </c:pt>
                <c:pt idx="485">
                  <c:v>41.56</c:v>
                </c:pt>
                <c:pt idx="486">
                  <c:v>46.55</c:v>
                </c:pt>
                <c:pt idx="487">
                  <c:v>50.14</c:v>
                </c:pt>
                <c:pt idx="488">
                  <c:v>44.28</c:v>
                </c:pt>
                <c:pt idx="489">
                  <c:v>47.4</c:v>
                </c:pt>
                <c:pt idx="490">
                  <c:v>45.47</c:v>
                </c:pt>
                <c:pt idx="491">
                  <c:v>44.82</c:v>
                </c:pt>
                <c:pt idx="492">
                  <c:v>47.77</c:v>
                </c:pt>
                <c:pt idx="493">
                  <c:v>41.78</c:v>
                </c:pt>
                <c:pt idx="494">
                  <c:v>42.89</c:v>
                </c:pt>
                <c:pt idx="495">
                  <c:v>49</c:v>
                </c:pt>
                <c:pt idx="496">
                  <c:v>41.41</c:v>
                </c:pt>
                <c:pt idx="497">
                  <c:v>36.49</c:v>
                </c:pt>
                <c:pt idx="498">
                  <c:v>43.62</c:v>
                </c:pt>
                <c:pt idx="500">
                  <c:v>51.84</c:v>
                </c:pt>
                <c:pt idx="501">
                  <c:v>48.07</c:v>
                </c:pt>
                <c:pt idx="502">
                  <c:v>57.96</c:v>
                </c:pt>
                <c:pt idx="503">
                  <c:v>57.13</c:v>
                </c:pt>
                <c:pt idx="504">
                  <c:v>60.14</c:v>
                </c:pt>
                <c:pt idx="505">
                  <c:v>58.97</c:v>
                </c:pt>
                <c:pt idx="506">
                  <c:v>58.3</c:v>
                </c:pt>
                <c:pt idx="507">
                  <c:v>63.43</c:v>
                </c:pt>
                <c:pt idx="508">
                  <c:v>59.84</c:v>
                </c:pt>
                <c:pt idx="509">
                  <c:v>60.04</c:v>
                </c:pt>
                <c:pt idx="510">
                  <c:v>63.52</c:v>
                </c:pt>
                <c:pt idx="511">
                  <c:v>63.19</c:v>
                </c:pt>
                <c:pt idx="512">
                  <c:v>58.26</c:v>
                </c:pt>
                <c:pt idx="513">
                  <c:v>58.26</c:v>
                </c:pt>
                <c:pt idx="514">
                  <c:v>56.89</c:v>
                </c:pt>
                <c:pt idx="515">
                  <c:v>51.53</c:v>
                </c:pt>
                <c:pt idx="516">
                  <c:v>47.36</c:v>
                </c:pt>
                <c:pt idx="517">
                  <c:v>43.66</c:v>
                </c:pt>
                <c:pt idx="518">
                  <c:v>44.92</c:v>
                </c:pt>
                <c:pt idx="519">
                  <c:v>54.43</c:v>
                </c:pt>
                <c:pt idx="520">
                  <c:v>50.35</c:v>
                </c:pt>
                <c:pt idx="521">
                  <c:v>49.32</c:v>
                </c:pt>
                <c:pt idx="522">
                  <c:v>47.44</c:v>
                </c:pt>
                <c:pt idx="523">
                  <c:v>52.19</c:v>
                </c:pt>
                <c:pt idx="524">
                  <c:v>43.07</c:v>
                </c:pt>
                <c:pt idx="525">
                  <c:v>37.08</c:v>
                </c:pt>
                <c:pt idx="526">
                  <c:v>37.979999999999997</c:v>
                </c:pt>
                <c:pt idx="527">
                  <c:v>39.68</c:v>
                </c:pt>
                <c:pt idx="528">
                  <c:v>42.32</c:v>
                </c:pt>
                <c:pt idx="529">
                  <c:v>43.52</c:v>
                </c:pt>
                <c:pt idx="530">
                  <c:v>47.44</c:v>
                </c:pt>
                <c:pt idx="531">
                  <c:v>54.29</c:v>
                </c:pt>
                <c:pt idx="532">
                  <c:v>53.63</c:v>
                </c:pt>
                <c:pt idx="533">
                  <c:v>59.7</c:v>
                </c:pt>
                <c:pt idx="534">
                  <c:v>61.45</c:v>
                </c:pt>
                <c:pt idx="535">
                  <c:v>62.75</c:v>
                </c:pt>
                <c:pt idx="536">
                  <c:v>56.02</c:v>
                </c:pt>
                <c:pt idx="537">
                  <c:v>62.75</c:v>
                </c:pt>
                <c:pt idx="538">
                  <c:v>60.16</c:v>
                </c:pt>
                <c:pt idx="539">
                  <c:v>63.9</c:v>
                </c:pt>
                <c:pt idx="541">
                  <c:v>70.709999999999994</c:v>
                </c:pt>
                <c:pt idx="542">
                  <c:v>70.650000000000006</c:v>
                </c:pt>
                <c:pt idx="543">
                  <c:v>63.81</c:v>
                </c:pt>
                <c:pt idx="544">
                  <c:v>67.099999999999994</c:v>
                </c:pt>
                <c:pt idx="545">
                  <c:v>73.42</c:v>
                </c:pt>
                <c:pt idx="546">
                  <c:v>76.989999999999995</c:v>
                </c:pt>
                <c:pt idx="547">
                  <c:v>73.569999999999993</c:v>
                </c:pt>
                <c:pt idx="548">
                  <c:v>68.31</c:v>
                </c:pt>
                <c:pt idx="549">
                  <c:v>63.53</c:v>
                </c:pt>
                <c:pt idx="550">
                  <c:v>64.92</c:v>
                </c:pt>
                <c:pt idx="551">
                  <c:v>64.83</c:v>
                </c:pt>
                <c:pt idx="552">
                  <c:v>69.06</c:v>
                </c:pt>
                <c:pt idx="553">
                  <c:v>67.83</c:v>
                </c:pt>
                <c:pt idx="554">
                  <c:v>65.739999999999995</c:v>
                </c:pt>
                <c:pt idx="555">
                  <c:v>70.7</c:v>
                </c:pt>
                <c:pt idx="556">
                  <c:v>72.89</c:v>
                </c:pt>
                <c:pt idx="557">
                  <c:v>69.73</c:v>
                </c:pt>
                <c:pt idx="558">
                  <c:v>67.47</c:v>
                </c:pt>
                <c:pt idx="559">
                  <c:v>75.819999999999993</c:v>
                </c:pt>
                <c:pt idx="560">
                  <c:v>74.53</c:v>
                </c:pt>
                <c:pt idx="561">
                  <c:v>72.95</c:v>
                </c:pt>
                <c:pt idx="562">
                  <c:v>71.790000000000006</c:v>
                </c:pt>
                <c:pt idx="563">
                  <c:v>70.5</c:v>
                </c:pt>
                <c:pt idx="564">
                  <c:v>69.930000000000007</c:v>
                </c:pt>
                <c:pt idx="565">
                  <c:v>71.19</c:v>
                </c:pt>
                <c:pt idx="566">
                  <c:v>69.400000000000006</c:v>
                </c:pt>
                <c:pt idx="567">
                  <c:v>64.66</c:v>
                </c:pt>
                <c:pt idx="568">
                  <c:v>62.94</c:v>
                </c:pt>
                <c:pt idx="570">
                  <c:v>65.260000000000005</c:v>
                </c:pt>
                <c:pt idx="571">
                  <c:v>69.84</c:v>
                </c:pt>
                <c:pt idx="572">
                  <c:v>67.19</c:v>
                </c:pt>
                <c:pt idx="573">
                  <c:v>59.99</c:v>
                </c:pt>
                <c:pt idx="574">
                  <c:v>68.64</c:v>
                </c:pt>
                <c:pt idx="575">
                  <c:v>68.03</c:v>
                </c:pt>
                <c:pt idx="576">
                  <c:v>67.41</c:v>
                </c:pt>
                <c:pt idx="577">
                  <c:v>67.349999999999994</c:v>
                </c:pt>
                <c:pt idx="578">
                  <c:v>64.83</c:v>
                </c:pt>
                <c:pt idx="579">
                  <c:v>61.1</c:v>
                </c:pt>
                <c:pt idx="580">
                  <c:v>65.010000000000005</c:v>
                </c:pt>
                <c:pt idx="581">
                  <c:v>62.27</c:v>
                </c:pt>
                <c:pt idx="582">
                  <c:v>53.9</c:v>
                </c:pt>
                <c:pt idx="583">
                  <c:v>62.79</c:v>
                </c:pt>
                <c:pt idx="584">
                  <c:v>62.62</c:v>
                </c:pt>
                <c:pt idx="585">
                  <c:v>59.36</c:v>
                </c:pt>
                <c:pt idx="586">
                  <c:v>60.55</c:v>
                </c:pt>
                <c:pt idx="587">
                  <c:v>55.59</c:v>
                </c:pt>
                <c:pt idx="588">
                  <c:v>60.14</c:v>
                </c:pt>
                <c:pt idx="589">
                  <c:v>60.74</c:v>
                </c:pt>
                <c:pt idx="590">
                  <c:v>56.92</c:v>
                </c:pt>
                <c:pt idx="591">
                  <c:v>53.38</c:v>
                </c:pt>
                <c:pt idx="592">
                  <c:v>44.79</c:v>
                </c:pt>
                <c:pt idx="593">
                  <c:v>49.01</c:v>
                </c:pt>
                <c:pt idx="595">
                  <c:v>56.45</c:v>
                </c:pt>
                <c:pt idx="596">
                  <c:v>56.52</c:v>
                </c:pt>
                <c:pt idx="597">
                  <c:v>58.28</c:v>
                </c:pt>
                <c:pt idx="598">
                  <c:v>55.46</c:v>
                </c:pt>
                <c:pt idx="599">
                  <c:v>57.68</c:v>
                </c:pt>
                <c:pt idx="600">
                  <c:v>54.12</c:v>
                </c:pt>
                <c:pt idx="601">
                  <c:v>53.48</c:v>
                </c:pt>
                <c:pt idx="602">
                  <c:v>52.81</c:v>
                </c:pt>
                <c:pt idx="603">
                  <c:v>62.83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74-4F3F-97DE-5EEDE5D5B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유통  </a:t>
            </a:r>
            <a:r>
              <a:rPr lang="en-US"/>
              <a:t>vs  </a:t>
            </a:r>
            <a:r>
              <a:rPr lang="ko-KR" altLang="en-US"/>
              <a:t>경기소비재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RSI'!$M$7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RSI'!$M$78:$M$3077</c:f>
              <c:numCache>
                <c:formatCode>0.00</c:formatCode>
                <c:ptCount val="3000"/>
                <c:pt idx="1">
                  <c:v>60.87</c:v>
                </c:pt>
                <c:pt idx="2">
                  <c:v>68.34</c:v>
                </c:pt>
                <c:pt idx="3">
                  <c:v>67.239999999999995</c:v>
                </c:pt>
                <c:pt idx="4">
                  <c:v>66.709999999999994</c:v>
                </c:pt>
                <c:pt idx="5">
                  <c:v>65.36</c:v>
                </c:pt>
                <c:pt idx="6">
                  <c:v>65.010000000000005</c:v>
                </c:pt>
                <c:pt idx="7">
                  <c:v>59.66</c:v>
                </c:pt>
                <c:pt idx="8">
                  <c:v>59.15</c:v>
                </c:pt>
                <c:pt idx="9">
                  <c:v>57.58</c:v>
                </c:pt>
                <c:pt idx="10">
                  <c:v>57.3</c:v>
                </c:pt>
                <c:pt idx="11">
                  <c:v>58.62</c:v>
                </c:pt>
                <c:pt idx="12">
                  <c:v>56.48</c:v>
                </c:pt>
                <c:pt idx="13">
                  <c:v>53.08</c:v>
                </c:pt>
                <c:pt idx="14">
                  <c:v>50.8</c:v>
                </c:pt>
                <c:pt idx="15">
                  <c:v>55.68</c:v>
                </c:pt>
                <c:pt idx="16">
                  <c:v>54.74</c:v>
                </c:pt>
                <c:pt idx="17">
                  <c:v>56.42</c:v>
                </c:pt>
                <c:pt idx="18">
                  <c:v>47.38</c:v>
                </c:pt>
                <c:pt idx="19">
                  <c:v>47.46</c:v>
                </c:pt>
                <c:pt idx="20">
                  <c:v>46.18</c:v>
                </c:pt>
                <c:pt idx="21">
                  <c:v>45.12</c:v>
                </c:pt>
                <c:pt idx="22">
                  <c:v>47.79</c:v>
                </c:pt>
                <c:pt idx="23">
                  <c:v>39.64</c:v>
                </c:pt>
                <c:pt idx="24">
                  <c:v>42.45</c:v>
                </c:pt>
                <c:pt idx="25">
                  <c:v>45.11</c:v>
                </c:pt>
                <c:pt idx="26">
                  <c:v>47.57</c:v>
                </c:pt>
                <c:pt idx="27">
                  <c:v>49.97</c:v>
                </c:pt>
                <c:pt idx="28">
                  <c:v>46.93</c:v>
                </c:pt>
                <c:pt idx="29">
                  <c:v>44.64</c:v>
                </c:pt>
                <c:pt idx="30">
                  <c:v>53.14</c:v>
                </c:pt>
                <c:pt idx="31">
                  <c:v>48.05</c:v>
                </c:pt>
                <c:pt idx="32">
                  <c:v>51.17</c:v>
                </c:pt>
                <c:pt idx="33">
                  <c:v>45.18</c:v>
                </c:pt>
                <c:pt idx="34">
                  <c:v>44.95</c:v>
                </c:pt>
                <c:pt idx="35">
                  <c:v>44.89</c:v>
                </c:pt>
                <c:pt idx="36">
                  <c:v>46.84</c:v>
                </c:pt>
                <c:pt idx="37">
                  <c:v>46.78</c:v>
                </c:pt>
                <c:pt idx="38">
                  <c:v>42.84</c:v>
                </c:pt>
                <c:pt idx="39">
                  <c:v>41.91</c:v>
                </c:pt>
                <c:pt idx="40">
                  <c:v>44.73</c:v>
                </c:pt>
                <c:pt idx="41">
                  <c:v>45.08</c:v>
                </c:pt>
                <c:pt idx="42">
                  <c:v>36.049999999999997</c:v>
                </c:pt>
                <c:pt idx="43">
                  <c:v>53.29</c:v>
                </c:pt>
                <c:pt idx="45">
                  <c:v>67.97</c:v>
                </c:pt>
                <c:pt idx="46">
                  <c:v>75.09</c:v>
                </c:pt>
                <c:pt idx="47">
                  <c:v>73.92</c:v>
                </c:pt>
                <c:pt idx="48">
                  <c:v>71.64</c:v>
                </c:pt>
                <c:pt idx="49">
                  <c:v>70.75</c:v>
                </c:pt>
                <c:pt idx="50">
                  <c:v>69.97</c:v>
                </c:pt>
                <c:pt idx="51">
                  <c:v>66.14</c:v>
                </c:pt>
                <c:pt idx="54">
                  <c:v>65.239999999999995</c:v>
                </c:pt>
                <c:pt idx="55">
                  <c:v>73.67</c:v>
                </c:pt>
                <c:pt idx="56">
                  <c:v>69.849999999999994</c:v>
                </c:pt>
                <c:pt idx="57">
                  <c:v>69.17</c:v>
                </c:pt>
                <c:pt idx="58">
                  <c:v>65.97</c:v>
                </c:pt>
                <c:pt idx="59">
                  <c:v>58.06</c:v>
                </c:pt>
                <c:pt idx="60">
                  <c:v>69.95</c:v>
                </c:pt>
                <c:pt idx="61">
                  <c:v>75.67</c:v>
                </c:pt>
                <c:pt idx="62">
                  <c:v>73.39</c:v>
                </c:pt>
                <c:pt idx="63">
                  <c:v>61.89</c:v>
                </c:pt>
                <c:pt idx="64">
                  <c:v>76.959999999999994</c:v>
                </c:pt>
                <c:pt idx="65">
                  <c:v>75.5</c:v>
                </c:pt>
                <c:pt idx="66">
                  <c:v>74.510000000000005</c:v>
                </c:pt>
                <c:pt idx="67">
                  <c:v>72.67</c:v>
                </c:pt>
                <c:pt idx="68">
                  <c:v>71.790000000000006</c:v>
                </c:pt>
                <c:pt idx="69">
                  <c:v>83.25</c:v>
                </c:pt>
                <c:pt idx="70">
                  <c:v>80.680000000000007</c:v>
                </c:pt>
                <c:pt idx="71">
                  <c:v>80.56</c:v>
                </c:pt>
                <c:pt idx="72">
                  <c:v>80.36</c:v>
                </c:pt>
                <c:pt idx="73">
                  <c:v>77.34</c:v>
                </c:pt>
                <c:pt idx="74">
                  <c:v>76.8</c:v>
                </c:pt>
                <c:pt idx="75">
                  <c:v>75.36</c:v>
                </c:pt>
                <c:pt idx="76">
                  <c:v>73.56</c:v>
                </c:pt>
                <c:pt idx="77">
                  <c:v>67.650000000000006</c:v>
                </c:pt>
                <c:pt idx="78">
                  <c:v>62.16</c:v>
                </c:pt>
                <c:pt idx="79">
                  <c:v>60.84</c:v>
                </c:pt>
                <c:pt idx="80">
                  <c:v>60.99</c:v>
                </c:pt>
                <c:pt idx="81">
                  <c:v>60.08</c:v>
                </c:pt>
                <c:pt idx="82">
                  <c:v>56.49</c:v>
                </c:pt>
                <c:pt idx="83">
                  <c:v>53.62</c:v>
                </c:pt>
                <c:pt idx="84">
                  <c:v>45.19</c:v>
                </c:pt>
                <c:pt idx="86">
                  <c:v>45.63</c:v>
                </c:pt>
                <c:pt idx="87">
                  <c:v>48.42</c:v>
                </c:pt>
                <c:pt idx="88">
                  <c:v>49.29</c:v>
                </c:pt>
                <c:pt idx="89">
                  <c:v>51.77</c:v>
                </c:pt>
                <c:pt idx="90">
                  <c:v>52.4</c:v>
                </c:pt>
                <c:pt idx="91">
                  <c:v>55.72</c:v>
                </c:pt>
                <c:pt idx="92">
                  <c:v>57.69</c:v>
                </c:pt>
                <c:pt idx="93">
                  <c:v>54.02</c:v>
                </c:pt>
                <c:pt idx="94">
                  <c:v>59.23</c:v>
                </c:pt>
                <c:pt idx="95">
                  <c:v>57.77</c:v>
                </c:pt>
                <c:pt idx="96">
                  <c:v>62.15</c:v>
                </c:pt>
                <c:pt idx="97">
                  <c:v>65.78</c:v>
                </c:pt>
                <c:pt idx="98">
                  <c:v>64.010000000000005</c:v>
                </c:pt>
                <c:pt idx="99">
                  <c:v>61.05</c:v>
                </c:pt>
                <c:pt idx="100">
                  <c:v>66.989999999999995</c:v>
                </c:pt>
                <c:pt idx="101">
                  <c:v>67.22</c:v>
                </c:pt>
                <c:pt idx="102">
                  <c:v>65.11</c:v>
                </c:pt>
                <c:pt idx="103">
                  <c:v>63.39</c:v>
                </c:pt>
                <c:pt idx="104">
                  <c:v>68.52</c:v>
                </c:pt>
                <c:pt idx="105">
                  <c:v>60.62</c:v>
                </c:pt>
                <c:pt idx="106">
                  <c:v>58.31</c:v>
                </c:pt>
                <c:pt idx="107">
                  <c:v>56.46</c:v>
                </c:pt>
                <c:pt idx="108">
                  <c:v>61.82</c:v>
                </c:pt>
                <c:pt idx="109">
                  <c:v>64.2</c:v>
                </c:pt>
                <c:pt idx="110">
                  <c:v>59.39</c:v>
                </c:pt>
                <c:pt idx="111">
                  <c:v>54.49</c:v>
                </c:pt>
                <c:pt idx="112">
                  <c:v>56.45</c:v>
                </c:pt>
                <c:pt idx="113">
                  <c:v>61.82</c:v>
                </c:pt>
                <c:pt idx="114">
                  <c:v>54.42</c:v>
                </c:pt>
                <c:pt idx="115">
                  <c:v>55.01</c:v>
                </c:pt>
                <c:pt idx="116">
                  <c:v>60.41</c:v>
                </c:pt>
                <c:pt idx="117">
                  <c:v>57.74</c:v>
                </c:pt>
                <c:pt idx="118">
                  <c:v>64.03</c:v>
                </c:pt>
                <c:pt idx="119">
                  <c:v>65.63</c:v>
                </c:pt>
                <c:pt idx="120">
                  <c:v>61.94</c:v>
                </c:pt>
                <c:pt idx="121">
                  <c:v>61.46</c:v>
                </c:pt>
                <c:pt idx="122">
                  <c:v>52.44</c:v>
                </c:pt>
                <c:pt idx="123">
                  <c:v>55.79</c:v>
                </c:pt>
                <c:pt idx="124">
                  <c:v>51.89</c:v>
                </c:pt>
                <c:pt idx="125">
                  <c:v>58.21</c:v>
                </c:pt>
                <c:pt idx="126">
                  <c:v>61.36</c:v>
                </c:pt>
                <c:pt idx="127">
                  <c:v>61.51</c:v>
                </c:pt>
                <c:pt idx="128">
                  <c:v>63.79</c:v>
                </c:pt>
                <c:pt idx="129">
                  <c:v>69.73</c:v>
                </c:pt>
                <c:pt idx="130">
                  <c:v>58.95</c:v>
                </c:pt>
                <c:pt idx="131">
                  <c:v>66.27</c:v>
                </c:pt>
                <c:pt idx="132">
                  <c:v>62.55</c:v>
                </c:pt>
                <c:pt idx="133">
                  <c:v>62.07</c:v>
                </c:pt>
                <c:pt idx="134">
                  <c:v>61.16</c:v>
                </c:pt>
                <c:pt idx="135">
                  <c:v>55.7</c:v>
                </c:pt>
                <c:pt idx="136">
                  <c:v>59.85</c:v>
                </c:pt>
                <c:pt idx="137">
                  <c:v>61.43</c:v>
                </c:pt>
                <c:pt idx="138">
                  <c:v>68.66</c:v>
                </c:pt>
                <c:pt idx="139">
                  <c:v>61.43</c:v>
                </c:pt>
                <c:pt idx="140">
                  <c:v>50.22</c:v>
                </c:pt>
                <c:pt idx="141">
                  <c:v>58.13</c:v>
                </c:pt>
                <c:pt idx="142">
                  <c:v>58.89</c:v>
                </c:pt>
                <c:pt idx="148">
                  <c:v>59.34</c:v>
                </c:pt>
                <c:pt idx="149">
                  <c:v>50.27</c:v>
                </c:pt>
                <c:pt idx="150">
                  <c:v>48.95</c:v>
                </c:pt>
                <c:pt idx="151">
                  <c:v>56.46</c:v>
                </c:pt>
                <c:pt idx="152">
                  <c:v>55.38</c:v>
                </c:pt>
                <c:pt idx="153">
                  <c:v>62.35</c:v>
                </c:pt>
                <c:pt idx="154">
                  <c:v>63.69</c:v>
                </c:pt>
                <c:pt idx="155">
                  <c:v>71.59</c:v>
                </c:pt>
                <c:pt idx="156">
                  <c:v>74.25</c:v>
                </c:pt>
                <c:pt idx="157">
                  <c:v>73.73</c:v>
                </c:pt>
                <c:pt idx="158">
                  <c:v>74.91</c:v>
                </c:pt>
                <c:pt idx="159">
                  <c:v>72.739999999999995</c:v>
                </c:pt>
                <c:pt idx="160">
                  <c:v>73.849999999999994</c:v>
                </c:pt>
                <c:pt idx="161">
                  <c:v>73.599999999999994</c:v>
                </c:pt>
                <c:pt idx="162">
                  <c:v>64.790000000000006</c:v>
                </c:pt>
                <c:pt idx="163">
                  <c:v>66.78</c:v>
                </c:pt>
                <c:pt idx="164">
                  <c:v>62.47</c:v>
                </c:pt>
                <c:pt idx="165">
                  <c:v>57.57</c:v>
                </c:pt>
                <c:pt idx="166">
                  <c:v>53.92</c:v>
                </c:pt>
                <c:pt idx="167">
                  <c:v>54.25</c:v>
                </c:pt>
                <c:pt idx="168">
                  <c:v>53.47</c:v>
                </c:pt>
                <c:pt idx="169">
                  <c:v>47.33</c:v>
                </c:pt>
                <c:pt idx="170">
                  <c:v>43.2</c:v>
                </c:pt>
                <c:pt idx="171">
                  <c:v>43.87</c:v>
                </c:pt>
                <c:pt idx="172">
                  <c:v>47.47</c:v>
                </c:pt>
                <c:pt idx="173">
                  <c:v>50.02</c:v>
                </c:pt>
                <c:pt idx="174">
                  <c:v>44.81</c:v>
                </c:pt>
                <c:pt idx="175">
                  <c:v>47.21</c:v>
                </c:pt>
                <c:pt idx="176">
                  <c:v>49.82</c:v>
                </c:pt>
                <c:pt idx="177">
                  <c:v>46.06</c:v>
                </c:pt>
                <c:pt idx="178">
                  <c:v>40.6</c:v>
                </c:pt>
                <c:pt idx="179">
                  <c:v>37.32</c:v>
                </c:pt>
                <c:pt idx="180">
                  <c:v>37.89</c:v>
                </c:pt>
                <c:pt idx="181">
                  <c:v>38.9</c:v>
                </c:pt>
                <c:pt idx="183">
                  <c:v>41.95</c:v>
                </c:pt>
                <c:pt idx="184">
                  <c:v>40.119999999999997</c:v>
                </c:pt>
                <c:pt idx="185">
                  <c:v>39.76</c:v>
                </c:pt>
                <c:pt idx="186">
                  <c:v>43.03</c:v>
                </c:pt>
                <c:pt idx="187">
                  <c:v>44.12</c:v>
                </c:pt>
                <c:pt idx="188">
                  <c:v>45.95</c:v>
                </c:pt>
                <c:pt idx="189">
                  <c:v>44.04</c:v>
                </c:pt>
                <c:pt idx="190">
                  <c:v>40.89</c:v>
                </c:pt>
                <c:pt idx="191">
                  <c:v>38.92</c:v>
                </c:pt>
                <c:pt idx="192">
                  <c:v>37.51</c:v>
                </c:pt>
                <c:pt idx="193">
                  <c:v>44.65</c:v>
                </c:pt>
                <c:pt idx="194">
                  <c:v>51.84</c:v>
                </c:pt>
                <c:pt idx="195">
                  <c:v>49.04</c:v>
                </c:pt>
                <c:pt idx="196">
                  <c:v>44.91</c:v>
                </c:pt>
                <c:pt idx="197">
                  <c:v>50.56</c:v>
                </c:pt>
                <c:pt idx="198">
                  <c:v>51.85</c:v>
                </c:pt>
                <c:pt idx="199">
                  <c:v>55.7</c:v>
                </c:pt>
                <c:pt idx="200">
                  <c:v>53.56</c:v>
                </c:pt>
                <c:pt idx="201">
                  <c:v>58.78</c:v>
                </c:pt>
                <c:pt idx="202">
                  <c:v>58.37</c:v>
                </c:pt>
                <c:pt idx="203">
                  <c:v>67.400000000000006</c:v>
                </c:pt>
                <c:pt idx="204">
                  <c:v>66.599999999999994</c:v>
                </c:pt>
                <c:pt idx="205">
                  <c:v>70.599999999999994</c:v>
                </c:pt>
                <c:pt idx="206">
                  <c:v>73.8</c:v>
                </c:pt>
                <c:pt idx="207">
                  <c:v>66.7</c:v>
                </c:pt>
                <c:pt idx="208">
                  <c:v>72.64</c:v>
                </c:pt>
                <c:pt idx="209">
                  <c:v>69.11</c:v>
                </c:pt>
                <c:pt idx="210">
                  <c:v>64.55</c:v>
                </c:pt>
                <c:pt idx="211">
                  <c:v>60.84</c:v>
                </c:pt>
                <c:pt idx="212">
                  <c:v>61.93</c:v>
                </c:pt>
                <c:pt idx="213">
                  <c:v>65.430000000000007</c:v>
                </c:pt>
                <c:pt idx="214">
                  <c:v>64.150000000000006</c:v>
                </c:pt>
                <c:pt idx="215">
                  <c:v>66.069999999999993</c:v>
                </c:pt>
                <c:pt idx="216">
                  <c:v>60.46</c:v>
                </c:pt>
                <c:pt idx="217">
                  <c:v>57.02</c:v>
                </c:pt>
                <c:pt idx="218">
                  <c:v>60.42</c:v>
                </c:pt>
                <c:pt idx="219">
                  <c:v>65.91</c:v>
                </c:pt>
                <c:pt idx="220">
                  <c:v>63.61</c:v>
                </c:pt>
                <c:pt idx="221">
                  <c:v>61.96</c:v>
                </c:pt>
                <c:pt idx="222">
                  <c:v>62.65</c:v>
                </c:pt>
                <c:pt idx="223">
                  <c:v>62.49</c:v>
                </c:pt>
                <c:pt idx="224">
                  <c:v>61.62</c:v>
                </c:pt>
                <c:pt idx="225">
                  <c:v>66.98</c:v>
                </c:pt>
                <c:pt idx="226">
                  <c:v>71.67</c:v>
                </c:pt>
                <c:pt idx="227">
                  <c:v>66.88</c:v>
                </c:pt>
                <c:pt idx="228">
                  <c:v>75.16</c:v>
                </c:pt>
                <c:pt idx="229">
                  <c:v>80.44</c:v>
                </c:pt>
                <c:pt idx="230">
                  <c:v>78.319999999999993</c:v>
                </c:pt>
                <c:pt idx="231">
                  <c:v>81.96</c:v>
                </c:pt>
                <c:pt idx="233">
                  <c:v>80.37</c:v>
                </c:pt>
                <c:pt idx="234">
                  <c:v>76.260000000000005</c:v>
                </c:pt>
                <c:pt idx="236">
                  <c:v>70.3</c:v>
                </c:pt>
                <c:pt idx="237">
                  <c:v>73.91</c:v>
                </c:pt>
                <c:pt idx="238">
                  <c:v>80.489999999999995</c:v>
                </c:pt>
                <c:pt idx="239">
                  <c:v>77.66</c:v>
                </c:pt>
                <c:pt idx="240">
                  <c:v>76.680000000000007</c:v>
                </c:pt>
                <c:pt idx="241">
                  <c:v>82.21</c:v>
                </c:pt>
                <c:pt idx="242">
                  <c:v>74.52</c:v>
                </c:pt>
                <c:pt idx="243">
                  <c:v>71.87</c:v>
                </c:pt>
                <c:pt idx="244">
                  <c:v>73.16</c:v>
                </c:pt>
                <c:pt idx="245">
                  <c:v>59.66</c:v>
                </c:pt>
                <c:pt idx="246">
                  <c:v>55.17</c:v>
                </c:pt>
                <c:pt idx="247">
                  <c:v>56.29</c:v>
                </c:pt>
                <c:pt idx="248">
                  <c:v>57.64</c:v>
                </c:pt>
                <c:pt idx="249">
                  <c:v>60.76</c:v>
                </c:pt>
                <c:pt idx="250">
                  <c:v>60.2</c:v>
                </c:pt>
                <c:pt idx="251">
                  <c:v>64.7</c:v>
                </c:pt>
                <c:pt idx="252">
                  <c:v>60.2</c:v>
                </c:pt>
                <c:pt idx="253">
                  <c:v>58.91</c:v>
                </c:pt>
                <c:pt idx="254">
                  <c:v>59.65</c:v>
                </c:pt>
                <c:pt idx="257">
                  <c:v>58.85</c:v>
                </c:pt>
                <c:pt idx="259">
                  <c:v>61.02</c:v>
                </c:pt>
                <c:pt idx="260">
                  <c:v>57.1</c:v>
                </c:pt>
                <c:pt idx="261">
                  <c:v>53.98</c:v>
                </c:pt>
                <c:pt idx="262">
                  <c:v>52.13</c:v>
                </c:pt>
                <c:pt idx="263">
                  <c:v>51.81</c:v>
                </c:pt>
                <c:pt idx="264">
                  <c:v>52.06</c:v>
                </c:pt>
                <c:pt idx="265">
                  <c:v>48.42</c:v>
                </c:pt>
                <c:pt idx="266">
                  <c:v>47.94</c:v>
                </c:pt>
                <c:pt idx="267">
                  <c:v>48.24</c:v>
                </c:pt>
                <c:pt idx="268">
                  <c:v>46.72</c:v>
                </c:pt>
                <c:pt idx="269">
                  <c:v>46.93</c:v>
                </c:pt>
                <c:pt idx="270">
                  <c:v>49.52</c:v>
                </c:pt>
                <c:pt idx="271">
                  <c:v>45.24</c:v>
                </c:pt>
                <c:pt idx="272">
                  <c:v>45.95</c:v>
                </c:pt>
                <c:pt idx="273">
                  <c:v>45.11</c:v>
                </c:pt>
                <c:pt idx="274">
                  <c:v>25.87</c:v>
                </c:pt>
                <c:pt idx="275">
                  <c:v>28.14</c:v>
                </c:pt>
                <c:pt idx="276">
                  <c:v>29.14</c:v>
                </c:pt>
                <c:pt idx="277">
                  <c:v>40.07</c:v>
                </c:pt>
                <c:pt idx="278">
                  <c:v>34.380000000000003</c:v>
                </c:pt>
                <c:pt idx="279">
                  <c:v>36.65</c:v>
                </c:pt>
                <c:pt idx="280">
                  <c:v>37.29</c:v>
                </c:pt>
                <c:pt idx="281">
                  <c:v>36.65</c:v>
                </c:pt>
                <c:pt idx="282">
                  <c:v>44.72</c:v>
                </c:pt>
                <c:pt idx="283">
                  <c:v>52.47</c:v>
                </c:pt>
                <c:pt idx="284">
                  <c:v>54.49</c:v>
                </c:pt>
                <c:pt idx="285">
                  <c:v>53.98</c:v>
                </c:pt>
                <c:pt idx="286">
                  <c:v>61.26</c:v>
                </c:pt>
                <c:pt idx="287">
                  <c:v>67.22</c:v>
                </c:pt>
                <c:pt idx="288">
                  <c:v>62.4</c:v>
                </c:pt>
                <c:pt idx="289">
                  <c:v>61.06</c:v>
                </c:pt>
                <c:pt idx="290">
                  <c:v>59.01</c:v>
                </c:pt>
                <c:pt idx="291">
                  <c:v>60.03</c:v>
                </c:pt>
                <c:pt idx="292">
                  <c:v>55.15</c:v>
                </c:pt>
                <c:pt idx="293">
                  <c:v>55.41</c:v>
                </c:pt>
                <c:pt idx="294">
                  <c:v>58.43</c:v>
                </c:pt>
                <c:pt idx="295">
                  <c:v>58.57</c:v>
                </c:pt>
                <c:pt idx="296">
                  <c:v>66.95</c:v>
                </c:pt>
                <c:pt idx="297">
                  <c:v>65.260000000000005</c:v>
                </c:pt>
                <c:pt idx="298">
                  <c:v>65.58</c:v>
                </c:pt>
                <c:pt idx="299">
                  <c:v>65.91</c:v>
                </c:pt>
                <c:pt idx="300">
                  <c:v>56.9</c:v>
                </c:pt>
                <c:pt idx="302">
                  <c:v>55.88</c:v>
                </c:pt>
                <c:pt idx="303">
                  <c:v>68.11</c:v>
                </c:pt>
                <c:pt idx="304">
                  <c:v>66.08</c:v>
                </c:pt>
                <c:pt idx="305">
                  <c:v>71.739999999999995</c:v>
                </c:pt>
                <c:pt idx="306">
                  <c:v>75.650000000000006</c:v>
                </c:pt>
                <c:pt idx="307">
                  <c:v>72.349999999999994</c:v>
                </c:pt>
                <c:pt idx="308">
                  <c:v>71.66</c:v>
                </c:pt>
                <c:pt idx="309">
                  <c:v>71.599999999999994</c:v>
                </c:pt>
                <c:pt idx="310">
                  <c:v>68.2</c:v>
                </c:pt>
                <c:pt idx="311">
                  <c:v>66.569999999999993</c:v>
                </c:pt>
                <c:pt idx="312">
                  <c:v>61.41</c:v>
                </c:pt>
                <c:pt idx="313">
                  <c:v>55.33</c:v>
                </c:pt>
                <c:pt idx="314">
                  <c:v>52.34</c:v>
                </c:pt>
                <c:pt idx="315">
                  <c:v>48.19</c:v>
                </c:pt>
                <c:pt idx="316">
                  <c:v>44.48</c:v>
                </c:pt>
                <c:pt idx="317">
                  <c:v>45.97</c:v>
                </c:pt>
                <c:pt idx="318">
                  <c:v>49.26</c:v>
                </c:pt>
                <c:pt idx="319">
                  <c:v>47.05</c:v>
                </c:pt>
                <c:pt idx="320">
                  <c:v>43.02</c:v>
                </c:pt>
                <c:pt idx="321">
                  <c:v>42.79</c:v>
                </c:pt>
                <c:pt idx="322">
                  <c:v>47.99</c:v>
                </c:pt>
                <c:pt idx="327">
                  <c:v>43.97</c:v>
                </c:pt>
                <c:pt idx="328">
                  <c:v>41.49</c:v>
                </c:pt>
                <c:pt idx="329">
                  <c:v>53.43</c:v>
                </c:pt>
                <c:pt idx="330">
                  <c:v>50.03</c:v>
                </c:pt>
                <c:pt idx="331">
                  <c:v>52.71</c:v>
                </c:pt>
                <c:pt idx="332">
                  <c:v>49.02</c:v>
                </c:pt>
                <c:pt idx="333">
                  <c:v>50.52</c:v>
                </c:pt>
                <c:pt idx="334">
                  <c:v>45.49</c:v>
                </c:pt>
                <c:pt idx="335">
                  <c:v>47.82</c:v>
                </c:pt>
                <c:pt idx="336">
                  <c:v>48.68</c:v>
                </c:pt>
                <c:pt idx="337">
                  <c:v>51.59</c:v>
                </c:pt>
                <c:pt idx="338">
                  <c:v>50.83</c:v>
                </c:pt>
                <c:pt idx="339">
                  <c:v>52.61</c:v>
                </c:pt>
                <c:pt idx="340">
                  <c:v>49.84</c:v>
                </c:pt>
                <c:pt idx="341">
                  <c:v>49.3</c:v>
                </c:pt>
                <c:pt idx="342">
                  <c:v>45.55</c:v>
                </c:pt>
                <c:pt idx="343">
                  <c:v>37.42</c:v>
                </c:pt>
                <c:pt idx="345">
                  <c:v>39.26</c:v>
                </c:pt>
                <c:pt idx="346">
                  <c:v>40.08</c:v>
                </c:pt>
                <c:pt idx="347">
                  <c:v>47.25</c:v>
                </c:pt>
                <c:pt idx="348">
                  <c:v>47.7</c:v>
                </c:pt>
                <c:pt idx="349">
                  <c:v>49.11</c:v>
                </c:pt>
                <c:pt idx="350">
                  <c:v>41.86</c:v>
                </c:pt>
                <c:pt idx="351">
                  <c:v>42.54</c:v>
                </c:pt>
                <c:pt idx="352">
                  <c:v>48.11</c:v>
                </c:pt>
                <c:pt idx="353">
                  <c:v>44.97</c:v>
                </c:pt>
                <c:pt idx="354">
                  <c:v>45.42</c:v>
                </c:pt>
                <c:pt idx="355">
                  <c:v>46.31</c:v>
                </c:pt>
                <c:pt idx="356">
                  <c:v>45.12</c:v>
                </c:pt>
                <c:pt idx="357">
                  <c:v>41.44</c:v>
                </c:pt>
                <c:pt idx="358">
                  <c:v>36.450000000000003</c:v>
                </c:pt>
                <c:pt idx="359">
                  <c:v>30.67</c:v>
                </c:pt>
                <c:pt idx="360">
                  <c:v>37.46</c:v>
                </c:pt>
                <c:pt idx="361">
                  <c:v>38.96</c:v>
                </c:pt>
                <c:pt idx="362">
                  <c:v>41.28</c:v>
                </c:pt>
                <c:pt idx="363">
                  <c:v>50.89</c:v>
                </c:pt>
                <c:pt idx="364">
                  <c:v>41.68</c:v>
                </c:pt>
                <c:pt idx="365">
                  <c:v>42.85</c:v>
                </c:pt>
                <c:pt idx="366">
                  <c:v>52.95</c:v>
                </c:pt>
                <c:pt idx="367">
                  <c:v>52.16</c:v>
                </c:pt>
                <c:pt idx="368">
                  <c:v>50.49</c:v>
                </c:pt>
                <c:pt idx="369">
                  <c:v>49.31</c:v>
                </c:pt>
                <c:pt idx="370">
                  <c:v>44.37</c:v>
                </c:pt>
                <c:pt idx="371">
                  <c:v>40.1</c:v>
                </c:pt>
                <c:pt idx="372">
                  <c:v>38.770000000000003</c:v>
                </c:pt>
                <c:pt idx="373">
                  <c:v>39.74</c:v>
                </c:pt>
                <c:pt idx="374">
                  <c:v>41.08</c:v>
                </c:pt>
                <c:pt idx="375">
                  <c:v>29.37</c:v>
                </c:pt>
                <c:pt idx="376">
                  <c:v>29.8</c:v>
                </c:pt>
                <c:pt idx="377">
                  <c:v>26.87</c:v>
                </c:pt>
                <c:pt idx="378">
                  <c:v>31.09</c:v>
                </c:pt>
                <c:pt idx="379">
                  <c:v>33.979999999999997</c:v>
                </c:pt>
                <c:pt idx="380">
                  <c:v>39.11</c:v>
                </c:pt>
                <c:pt idx="381">
                  <c:v>41.32</c:v>
                </c:pt>
                <c:pt idx="382">
                  <c:v>38.53</c:v>
                </c:pt>
                <c:pt idx="383">
                  <c:v>42.29</c:v>
                </c:pt>
                <c:pt idx="384">
                  <c:v>41.55</c:v>
                </c:pt>
                <c:pt idx="385">
                  <c:v>34.85</c:v>
                </c:pt>
                <c:pt idx="386">
                  <c:v>36.119999999999997</c:v>
                </c:pt>
                <c:pt idx="387">
                  <c:v>46.04</c:v>
                </c:pt>
                <c:pt idx="388">
                  <c:v>47.8</c:v>
                </c:pt>
                <c:pt idx="389">
                  <c:v>43.66</c:v>
                </c:pt>
                <c:pt idx="390">
                  <c:v>34.450000000000003</c:v>
                </c:pt>
                <c:pt idx="391">
                  <c:v>37.82</c:v>
                </c:pt>
                <c:pt idx="392">
                  <c:v>38.76</c:v>
                </c:pt>
                <c:pt idx="393">
                  <c:v>43.42</c:v>
                </c:pt>
                <c:pt idx="394">
                  <c:v>41.09</c:v>
                </c:pt>
                <c:pt idx="395">
                  <c:v>41.93</c:v>
                </c:pt>
                <c:pt idx="396">
                  <c:v>44.09</c:v>
                </c:pt>
                <c:pt idx="397">
                  <c:v>40.29</c:v>
                </c:pt>
                <c:pt idx="398">
                  <c:v>43.22</c:v>
                </c:pt>
                <c:pt idx="399">
                  <c:v>43.73</c:v>
                </c:pt>
                <c:pt idx="400">
                  <c:v>42.03</c:v>
                </c:pt>
                <c:pt idx="401">
                  <c:v>40.450000000000003</c:v>
                </c:pt>
                <c:pt idx="403">
                  <c:v>41.68</c:v>
                </c:pt>
                <c:pt idx="404">
                  <c:v>44.67</c:v>
                </c:pt>
                <c:pt idx="405">
                  <c:v>39.83</c:v>
                </c:pt>
                <c:pt idx="407">
                  <c:v>40.590000000000003</c:v>
                </c:pt>
                <c:pt idx="409">
                  <c:v>45.23</c:v>
                </c:pt>
                <c:pt idx="410">
                  <c:v>51.28</c:v>
                </c:pt>
                <c:pt idx="411">
                  <c:v>51.5</c:v>
                </c:pt>
                <c:pt idx="412">
                  <c:v>45.19</c:v>
                </c:pt>
                <c:pt idx="413">
                  <c:v>55.32</c:v>
                </c:pt>
                <c:pt idx="414">
                  <c:v>51.67</c:v>
                </c:pt>
                <c:pt idx="415">
                  <c:v>55.64</c:v>
                </c:pt>
                <c:pt idx="416">
                  <c:v>55.17</c:v>
                </c:pt>
                <c:pt idx="420">
                  <c:v>54.42</c:v>
                </c:pt>
                <c:pt idx="421">
                  <c:v>52.28</c:v>
                </c:pt>
                <c:pt idx="422">
                  <c:v>47.97</c:v>
                </c:pt>
                <c:pt idx="423">
                  <c:v>48.02</c:v>
                </c:pt>
                <c:pt idx="424">
                  <c:v>44.92</c:v>
                </c:pt>
                <c:pt idx="425">
                  <c:v>45.59</c:v>
                </c:pt>
                <c:pt idx="426">
                  <c:v>53.38</c:v>
                </c:pt>
                <c:pt idx="427">
                  <c:v>55.42</c:v>
                </c:pt>
                <c:pt idx="428">
                  <c:v>63.6</c:v>
                </c:pt>
                <c:pt idx="429">
                  <c:v>54.63</c:v>
                </c:pt>
                <c:pt idx="430">
                  <c:v>57.09</c:v>
                </c:pt>
                <c:pt idx="431">
                  <c:v>57.11</c:v>
                </c:pt>
                <c:pt idx="432">
                  <c:v>55.89</c:v>
                </c:pt>
                <c:pt idx="433">
                  <c:v>61.05</c:v>
                </c:pt>
                <c:pt idx="434">
                  <c:v>60.02</c:v>
                </c:pt>
                <c:pt idx="435">
                  <c:v>56.82</c:v>
                </c:pt>
                <c:pt idx="436">
                  <c:v>54.14</c:v>
                </c:pt>
                <c:pt idx="437">
                  <c:v>51.87</c:v>
                </c:pt>
                <c:pt idx="438">
                  <c:v>49.42</c:v>
                </c:pt>
                <c:pt idx="439">
                  <c:v>49.12</c:v>
                </c:pt>
                <c:pt idx="440">
                  <c:v>50.44</c:v>
                </c:pt>
                <c:pt idx="442">
                  <c:v>44</c:v>
                </c:pt>
                <c:pt idx="443">
                  <c:v>44.14</c:v>
                </c:pt>
                <c:pt idx="444">
                  <c:v>46.32</c:v>
                </c:pt>
                <c:pt idx="445">
                  <c:v>42.65</c:v>
                </c:pt>
                <c:pt idx="446">
                  <c:v>37.74</c:v>
                </c:pt>
                <c:pt idx="447">
                  <c:v>39.32</c:v>
                </c:pt>
                <c:pt idx="448">
                  <c:v>35.29</c:v>
                </c:pt>
                <c:pt idx="449">
                  <c:v>30.52</c:v>
                </c:pt>
                <c:pt idx="450">
                  <c:v>48.9</c:v>
                </c:pt>
                <c:pt idx="451">
                  <c:v>58</c:v>
                </c:pt>
                <c:pt idx="452">
                  <c:v>57.31</c:v>
                </c:pt>
                <c:pt idx="453">
                  <c:v>47.22</c:v>
                </c:pt>
                <c:pt idx="454">
                  <c:v>52.81</c:v>
                </c:pt>
                <c:pt idx="455">
                  <c:v>45.09</c:v>
                </c:pt>
                <c:pt idx="456">
                  <c:v>40.54</c:v>
                </c:pt>
                <c:pt idx="457">
                  <c:v>42.58</c:v>
                </c:pt>
                <c:pt idx="458">
                  <c:v>44.25</c:v>
                </c:pt>
                <c:pt idx="459">
                  <c:v>48.35</c:v>
                </c:pt>
                <c:pt idx="460">
                  <c:v>52.07</c:v>
                </c:pt>
                <c:pt idx="461">
                  <c:v>55.67</c:v>
                </c:pt>
                <c:pt idx="462">
                  <c:v>54.4</c:v>
                </c:pt>
                <c:pt idx="463">
                  <c:v>54.7</c:v>
                </c:pt>
                <c:pt idx="464">
                  <c:v>50.62</c:v>
                </c:pt>
                <c:pt idx="465">
                  <c:v>53.11</c:v>
                </c:pt>
                <c:pt idx="466">
                  <c:v>55.83</c:v>
                </c:pt>
                <c:pt idx="467">
                  <c:v>51.26</c:v>
                </c:pt>
                <c:pt idx="468">
                  <c:v>53.65</c:v>
                </c:pt>
                <c:pt idx="469">
                  <c:v>53.73</c:v>
                </c:pt>
                <c:pt idx="470">
                  <c:v>59.93</c:v>
                </c:pt>
                <c:pt idx="471">
                  <c:v>51.13</c:v>
                </c:pt>
                <c:pt idx="472">
                  <c:v>48.25</c:v>
                </c:pt>
                <c:pt idx="473">
                  <c:v>48.77</c:v>
                </c:pt>
                <c:pt idx="474">
                  <c:v>57.29</c:v>
                </c:pt>
                <c:pt idx="475">
                  <c:v>60.91</c:v>
                </c:pt>
                <c:pt idx="476">
                  <c:v>58.93</c:v>
                </c:pt>
                <c:pt idx="477">
                  <c:v>60.39</c:v>
                </c:pt>
                <c:pt idx="478">
                  <c:v>57.94</c:v>
                </c:pt>
                <c:pt idx="479">
                  <c:v>58.75</c:v>
                </c:pt>
                <c:pt idx="480">
                  <c:v>56.33</c:v>
                </c:pt>
                <c:pt idx="481">
                  <c:v>54.44</c:v>
                </c:pt>
                <c:pt idx="482">
                  <c:v>52.35</c:v>
                </c:pt>
                <c:pt idx="483">
                  <c:v>54.67</c:v>
                </c:pt>
                <c:pt idx="484">
                  <c:v>55.94</c:v>
                </c:pt>
                <c:pt idx="485">
                  <c:v>57.6</c:v>
                </c:pt>
                <c:pt idx="486">
                  <c:v>56.5</c:v>
                </c:pt>
                <c:pt idx="487">
                  <c:v>49.75</c:v>
                </c:pt>
                <c:pt idx="488">
                  <c:v>47.82</c:v>
                </c:pt>
                <c:pt idx="489">
                  <c:v>41.34</c:v>
                </c:pt>
                <c:pt idx="490">
                  <c:v>44.77</c:v>
                </c:pt>
                <c:pt idx="492">
                  <c:v>42.43</c:v>
                </c:pt>
                <c:pt idx="493">
                  <c:v>42</c:v>
                </c:pt>
                <c:pt idx="494">
                  <c:v>50.04</c:v>
                </c:pt>
                <c:pt idx="495">
                  <c:v>34.78</c:v>
                </c:pt>
                <c:pt idx="496">
                  <c:v>32.99</c:v>
                </c:pt>
                <c:pt idx="497">
                  <c:v>33.49</c:v>
                </c:pt>
                <c:pt idx="498">
                  <c:v>38.61</c:v>
                </c:pt>
                <c:pt idx="499">
                  <c:v>41.69</c:v>
                </c:pt>
                <c:pt idx="500">
                  <c:v>36.54</c:v>
                </c:pt>
                <c:pt idx="501">
                  <c:v>40.26</c:v>
                </c:pt>
                <c:pt idx="502">
                  <c:v>46.87</c:v>
                </c:pt>
                <c:pt idx="503">
                  <c:v>48.98</c:v>
                </c:pt>
                <c:pt idx="504">
                  <c:v>53.25</c:v>
                </c:pt>
                <c:pt idx="505">
                  <c:v>50.98</c:v>
                </c:pt>
                <c:pt idx="506">
                  <c:v>54.69</c:v>
                </c:pt>
                <c:pt idx="508">
                  <c:v>52.02</c:v>
                </c:pt>
                <c:pt idx="509">
                  <c:v>51.98</c:v>
                </c:pt>
                <c:pt idx="510">
                  <c:v>54.4</c:v>
                </c:pt>
                <c:pt idx="511">
                  <c:v>51.14</c:v>
                </c:pt>
                <c:pt idx="512">
                  <c:v>55.59</c:v>
                </c:pt>
                <c:pt idx="513">
                  <c:v>52.11</c:v>
                </c:pt>
                <c:pt idx="515">
                  <c:v>46.47</c:v>
                </c:pt>
                <c:pt idx="516">
                  <c:v>46.12</c:v>
                </c:pt>
                <c:pt idx="518">
                  <c:v>51.21</c:v>
                </c:pt>
                <c:pt idx="519">
                  <c:v>52.17</c:v>
                </c:pt>
                <c:pt idx="520">
                  <c:v>48.47</c:v>
                </c:pt>
                <c:pt idx="521">
                  <c:v>46.54</c:v>
                </c:pt>
                <c:pt idx="522">
                  <c:v>47.42</c:v>
                </c:pt>
                <c:pt idx="523">
                  <c:v>46.91</c:v>
                </c:pt>
                <c:pt idx="524">
                  <c:v>43.98</c:v>
                </c:pt>
                <c:pt idx="525">
                  <c:v>29.25</c:v>
                </c:pt>
                <c:pt idx="526">
                  <c:v>31.15</c:v>
                </c:pt>
                <c:pt idx="527">
                  <c:v>24.61</c:v>
                </c:pt>
                <c:pt idx="528">
                  <c:v>27.42</c:v>
                </c:pt>
                <c:pt idx="529">
                  <c:v>29.1</c:v>
                </c:pt>
                <c:pt idx="530">
                  <c:v>26.63</c:v>
                </c:pt>
                <c:pt idx="531">
                  <c:v>32.18</c:v>
                </c:pt>
                <c:pt idx="533">
                  <c:v>34.96</c:v>
                </c:pt>
                <c:pt idx="534">
                  <c:v>36.46</c:v>
                </c:pt>
                <c:pt idx="535">
                  <c:v>36.82</c:v>
                </c:pt>
                <c:pt idx="536">
                  <c:v>38.89</c:v>
                </c:pt>
                <c:pt idx="537">
                  <c:v>38.97</c:v>
                </c:pt>
                <c:pt idx="538">
                  <c:v>44.37</c:v>
                </c:pt>
                <c:pt idx="539">
                  <c:v>47.57</c:v>
                </c:pt>
                <c:pt idx="540">
                  <c:v>44.93</c:v>
                </c:pt>
                <c:pt idx="541">
                  <c:v>47.24</c:v>
                </c:pt>
                <c:pt idx="542">
                  <c:v>46.48</c:v>
                </c:pt>
                <c:pt idx="543">
                  <c:v>48.85</c:v>
                </c:pt>
                <c:pt idx="544">
                  <c:v>47.69</c:v>
                </c:pt>
                <c:pt idx="545">
                  <c:v>49.73</c:v>
                </c:pt>
                <c:pt idx="546">
                  <c:v>53.21</c:v>
                </c:pt>
                <c:pt idx="547">
                  <c:v>45.9</c:v>
                </c:pt>
                <c:pt idx="548">
                  <c:v>42.04</c:v>
                </c:pt>
                <c:pt idx="549">
                  <c:v>43.96</c:v>
                </c:pt>
                <c:pt idx="550">
                  <c:v>45.89</c:v>
                </c:pt>
                <c:pt idx="551">
                  <c:v>62.16</c:v>
                </c:pt>
                <c:pt idx="552">
                  <c:v>59.08</c:v>
                </c:pt>
                <c:pt idx="553">
                  <c:v>57.21</c:v>
                </c:pt>
                <c:pt idx="554">
                  <c:v>56.05</c:v>
                </c:pt>
                <c:pt idx="555">
                  <c:v>57.95</c:v>
                </c:pt>
                <c:pt idx="556">
                  <c:v>54.87</c:v>
                </c:pt>
                <c:pt idx="557">
                  <c:v>55.66</c:v>
                </c:pt>
                <c:pt idx="558">
                  <c:v>57.47</c:v>
                </c:pt>
                <c:pt idx="559">
                  <c:v>57.63</c:v>
                </c:pt>
                <c:pt idx="561">
                  <c:v>53.74</c:v>
                </c:pt>
                <c:pt idx="562">
                  <c:v>54.77</c:v>
                </c:pt>
                <c:pt idx="563">
                  <c:v>48.29</c:v>
                </c:pt>
                <c:pt idx="564">
                  <c:v>53.16</c:v>
                </c:pt>
                <c:pt idx="565">
                  <c:v>63.31</c:v>
                </c:pt>
                <c:pt idx="566">
                  <c:v>67.91</c:v>
                </c:pt>
                <c:pt idx="567">
                  <c:v>66.33</c:v>
                </c:pt>
                <c:pt idx="568">
                  <c:v>67.83</c:v>
                </c:pt>
                <c:pt idx="569">
                  <c:v>77.05</c:v>
                </c:pt>
                <c:pt idx="570">
                  <c:v>73.599999999999994</c:v>
                </c:pt>
                <c:pt idx="571">
                  <c:v>69.42</c:v>
                </c:pt>
                <c:pt idx="572">
                  <c:v>67.47</c:v>
                </c:pt>
                <c:pt idx="573">
                  <c:v>75.91</c:v>
                </c:pt>
                <c:pt idx="576">
                  <c:v>78.180000000000007</c:v>
                </c:pt>
                <c:pt idx="577">
                  <c:v>77.42</c:v>
                </c:pt>
                <c:pt idx="578">
                  <c:v>73.150000000000006</c:v>
                </c:pt>
                <c:pt idx="579">
                  <c:v>79.099999999999994</c:v>
                </c:pt>
                <c:pt idx="580">
                  <c:v>78.77</c:v>
                </c:pt>
                <c:pt idx="581">
                  <c:v>77.56</c:v>
                </c:pt>
                <c:pt idx="582">
                  <c:v>69.53</c:v>
                </c:pt>
                <c:pt idx="583">
                  <c:v>62.2</c:v>
                </c:pt>
                <c:pt idx="584">
                  <c:v>60.14</c:v>
                </c:pt>
                <c:pt idx="585">
                  <c:v>43.23</c:v>
                </c:pt>
                <c:pt idx="586">
                  <c:v>36.42</c:v>
                </c:pt>
                <c:pt idx="587">
                  <c:v>32.340000000000003</c:v>
                </c:pt>
                <c:pt idx="588">
                  <c:v>32.36</c:v>
                </c:pt>
                <c:pt idx="589">
                  <c:v>29.58</c:v>
                </c:pt>
                <c:pt idx="590">
                  <c:v>29.31</c:v>
                </c:pt>
                <c:pt idx="591">
                  <c:v>23.02</c:v>
                </c:pt>
                <c:pt idx="592">
                  <c:v>23.88</c:v>
                </c:pt>
                <c:pt idx="593">
                  <c:v>28.67</c:v>
                </c:pt>
                <c:pt idx="594">
                  <c:v>31.71</c:v>
                </c:pt>
                <c:pt idx="595">
                  <c:v>34.97</c:v>
                </c:pt>
                <c:pt idx="596">
                  <c:v>32.090000000000003</c:v>
                </c:pt>
                <c:pt idx="597">
                  <c:v>34.950000000000003</c:v>
                </c:pt>
                <c:pt idx="598">
                  <c:v>39.57</c:v>
                </c:pt>
                <c:pt idx="599">
                  <c:v>39.76</c:v>
                </c:pt>
                <c:pt idx="600">
                  <c:v>42.88</c:v>
                </c:pt>
                <c:pt idx="601">
                  <c:v>45.17</c:v>
                </c:pt>
                <c:pt idx="602">
                  <c:v>49.61</c:v>
                </c:pt>
                <c:pt idx="603">
                  <c:v>54.61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A3-4DF6-B944-CD8BC12CA1D3}"/>
            </c:ext>
          </c:extLst>
        </c:ser>
        <c:ser>
          <c:idx val="1"/>
          <c:order val="1"/>
          <c:tx>
            <c:strRef>
              <c:f>'미국 RSI'!$H$1</c:f>
              <c:strCache>
                <c:ptCount val="1"/>
                <c:pt idx="0">
                  <c:v>경기소비재(US)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RSI'!$H$69:$H$3068</c:f>
              <c:numCache>
                <c:formatCode>0.00</c:formatCode>
                <c:ptCount val="3000"/>
                <c:pt idx="0">
                  <c:v>58.33</c:v>
                </c:pt>
                <c:pt idx="1">
                  <c:v>58.64</c:v>
                </c:pt>
                <c:pt idx="2">
                  <c:v>54.89</c:v>
                </c:pt>
                <c:pt idx="3">
                  <c:v>55.48</c:v>
                </c:pt>
                <c:pt idx="4">
                  <c:v>58.33</c:v>
                </c:pt>
                <c:pt idx="5">
                  <c:v>61.32</c:v>
                </c:pt>
                <c:pt idx="6">
                  <c:v>59.14</c:v>
                </c:pt>
                <c:pt idx="7">
                  <c:v>63.29</c:v>
                </c:pt>
                <c:pt idx="8">
                  <c:v>63.43</c:v>
                </c:pt>
                <c:pt idx="9">
                  <c:v>66.47</c:v>
                </c:pt>
                <c:pt idx="10">
                  <c:v>68.3</c:v>
                </c:pt>
                <c:pt idx="11">
                  <c:v>63.51</c:v>
                </c:pt>
                <c:pt idx="12">
                  <c:v>65.319999999999993</c:v>
                </c:pt>
                <c:pt idx="13">
                  <c:v>62.14</c:v>
                </c:pt>
                <c:pt idx="14">
                  <c:v>56.82</c:v>
                </c:pt>
                <c:pt idx="15">
                  <c:v>54.39</c:v>
                </c:pt>
                <c:pt idx="16">
                  <c:v>54.04</c:v>
                </c:pt>
                <c:pt idx="17">
                  <c:v>49.42</c:v>
                </c:pt>
                <c:pt idx="18">
                  <c:v>40.630000000000003</c:v>
                </c:pt>
                <c:pt idx="19">
                  <c:v>43.55</c:v>
                </c:pt>
                <c:pt idx="21">
                  <c:v>40.78</c:v>
                </c:pt>
                <c:pt idx="22">
                  <c:v>44.55</c:v>
                </c:pt>
                <c:pt idx="23">
                  <c:v>42.08</c:v>
                </c:pt>
                <c:pt idx="24">
                  <c:v>30.4</c:v>
                </c:pt>
                <c:pt idx="25">
                  <c:v>30.43</c:v>
                </c:pt>
                <c:pt idx="26">
                  <c:v>36.450000000000003</c:v>
                </c:pt>
                <c:pt idx="27">
                  <c:v>40.99</c:v>
                </c:pt>
                <c:pt idx="28">
                  <c:v>36.96</c:v>
                </c:pt>
                <c:pt idx="29">
                  <c:v>37.97</c:v>
                </c:pt>
                <c:pt idx="30">
                  <c:v>28.11</c:v>
                </c:pt>
                <c:pt idx="31">
                  <c:v>32</c:v>
                </c:pt>
                <c:pt idx="32">
                  <c:v>33.94</c:v>
                </c:pt>
                <c:pt idx="33">
                  <c:v>40.81</c:v>
                </c:pt>
                <c:pt idx="34">
                  <c:v>36.31</c:v>
                </c:pt>
                <c:pt idx="35">
                  <c:v>29.51</c:v>
                </c:pt>
                <c:pt idx="36">
                  <c:v>31.03</c:v>
                </c:pt>
                <c:pt idx="37">
                  <c:v>38.270000000000003</c:v>
                </c:pt>
                <c:pt idx="38">
                  <c:v>39.25</c:v>
                </c:pt>
                <c:pt idx="39">
                  <c:v>39.72</c:v>
                </c:pt>
                <c:pt idx="40">
                  <c:v>39.04</c:v>
                </c:pt>
                <c:pt idx="41">
                  <c:v>45.75</c:v>
                </c:pt>
                <c:pt idx="42">
                  <c:v>45.09</c:v>
                </c:pt>
                <c:pt idx="43">
                  <c:v>35.82</c:v>
                </c:pt>
                <c:pt idx="44">
                  <c:v>39.01</c:v>
                </c:pt>
                <c:pt idx="45">
                  <c:v>43.95</c:v>
                </c:pt>
                <c:pt idx="46">
                  <c:v>44.64</c:v>
                </c:pt>
                <c:pt idx="47">
                  <c:v>44.78</c:v>
                </c:pt>
                <c:pt idx="48">
                  <c:v>43.36</c:v>
                </c:pt>
                <c:pt idx="49">
                  <c:v>35.659999999999997</c:v>
                </c:pt>
                <c:pt idx="50">
                  <c:v>43.35</c:v>
                </c:pt>
                <c:pt idx="51">
                  <c:v>37.17</c:v>
                </c:pt>
                <c:pt idx="52">
                  <c:v>39.770000000000003</c:v>
                </c:pt>
                <c:pt idx="53">
                  <c:v>34.409999999999997</c:v>
                </c:pt>
                <c:pt idx="54">
                  <c:v>34.82</c:v>
                </c:pt>
                <c:pt idx="55">
                  <c:v>34.57</c:v>
                </c:pt>
                <c:pt idx="56">
                  <c:v>39.29</c:v>
                </c:pt>
                <c:pt idx="57">
                  <c:v>41.11</c:v>
                </c:pt>
                <c:pt idx="58">
                  <c:v>37.42</c:v>
                </c:pt>
                <c:pt idx="59">
                  <c:v>38.69</c:v>
                </c:pt>
                <c:pt idx="60">
                  <c:v>36.51</c:v>
                </c:pt>
                <c:pt idx="61">
                  <c:v>44.44</c:v>
                </c:pt>
                <c:pt idx="62">
                  <c:v>47.75</c:v>
                </c:pt>
                <c:pt idx="63">
                  <c:v>51.69</c:v>
                </c:pt>
                <c:pt idx="64">
                  <c:v>48.47</c:v>
                </c:pt>
                <c:pt idx="65">
                  <c:v>48.54</c:v>
                </c:pt>
                <c:pt idx="66">
                  <c:v>50.66</c:v>
                </c:pt>
                <c:pt idx="67">
                  <c:v>54.13</c:v>
                </c:pt>
                <c:pt idx="68">
                  <c:v>52.92</c:v>
                </c:pt>
                <c:pt idx="69">
                  <c:v>55.91</c:v>
                </c:pt>
                <c:pt idx="70">
                  <c:v>54.41</c:v>
                </c:pt>
                <c:pt idx="71">
                  <c:v>50.67</c:v>
                </c:pt>
                <c:pt idx="72">
                  <c:v>42.49</c:v>
                </c:pt>
                <c:pt idx="74">
                  <c:v>54.11</c:v>
                </c:pt>
                <c:pt idx="75">
                  <c:v>55.89</c:v>
                </c:pt>
                <c:pt idx="76">
                  <c:v>54.32</c:v>
                </c:pt>
                <c:pt idx="77">
                  <c:v>63.49</c:v>
                </c:pt>
                <c:pt idx="78">
                  <c:v>65.099999999999994</c:v>
                </c:pt>
                <c:pt idx="79">
                  <c:v>64.81</c:v>
                </c:pt>
                <c:pt idx="80">
                  <c:v>60.63</c:v>
                </c:pt>
                <c:pt idx="81">
                  <c:v>53.69</c:v>
                </c:pt>
                <c:pt idx="82">
                  <c:v>54.44</c:v>
                </c:pt>
                <c:pt idx="83">
                  <c:v>51.6</c:v>
                </c:pt>
                <c:pt idx="84">
                  <c:v>43.29</c:v>
                </c:pt>
                <c:pt idx="85">
                  <c:v>47.4</c:v>
                </c:pt>
                <c:pt idx="86">
                  <c:v>51.47</c:v>
                </c:pt>
                <c:pt idx="87">
                  <c:v>53.67</c:v>
                </c:pt>
                <c:pt idx="88">
                  <c:v>59.46</c:v>
                </c:pt>
                <c:pt idx="89">
                  <c:v>62.27</c:v>
                </c:pt>
                <c:pt idx="90">
                  <c:v>60.94</c:v>
                </c:pt>
                <c:pt idx="91">
                  <c:v>61.76</c:v>
                </c:pt>
                <c:pt idx="92">
                  <c:v>60.33</c:v>
                </c:pt>
                <c:pt idx="93">
                  <c:v>62.5</c:v>
                </c:pt>
                <c:pt idx="94">
                  <c:v>57.2</c:v>
                </c:pt>
                <c:pt idx="95">
                  <c:v>63.67</c:v>
                </c:pt>
                <c:pt idx="96">
                  <c:v>63.12</c:v>
                </c:pt>
                <c:pt idx="97">
                  <c:v>60.24</c:v>
                </c:pt>
                <c:pt idx="98">
                  <c:v>58.73</c:v>
                </c:pt>
                <c:pt idx="99">
                  <c:v>57.37</c:v>
                </c:pt>
                <c:pt idx="100">
                  <c:v>51.97</c:v>
                </c:pt>
                <c:pt idx="101">
                  <c:v>52</c:v>
                </c:pt>
                <c:pt idx="102">
                  <c:v>58.44</c:v>
                </c:pt>
                <c:pt idx="103">
                  <c:v>56.54</c:v>
                </c:pt>
                <c:pt idx="104">
                  <c:v>58.13</c:v>
                </c:pt>
                <c:pt idx="105">
                  <c:v>54.58</c:v>
                </c:pt>
                <c:pt idx="106">
                  <c:v>54.85</c:v>
                </c:pt>
                <c:pt idx="107">
                  <c:v>54.67</c:v>
                </c:pt>
                <c:pt idx="109">
                  <c:v>52.83</c:v>
                </c:pt>
                <c:pt idx="110">
                  <c:v>50.79</c:v>
                </c:pt>
                <c:pt idx="111">
                  <c:v>43.91</c:v>
                </c:pt>
                <c:pt idx="112">
                  <c:v>39.04</c:v>
                </c:pt>
                <c:pt idx="113">
                  <c:v>31.02</c:v>
                </c:pt>
                <c:pt idx="114">
                  <c:v>34.24</c:v>
                </c:pt>
                <c:pt idx="115">
                  <c:v>34.229999999999997</c:v>
                </c:pt>
                <c:pt idx="116">
                  <c:v>38.590000000000003</c:v>
                </c:pt>
                <c:pt idx="117">
                  <c:v>41.09</c:v>
                </c:pt>
                <c:pt idx="118">
                  <c:v>42.4</c:v>
                </c:pt>
                <c:pt idx="119">
                  <c:v>50.35</c:v>
                </c:pt>
                <c:pt idx="120">
                  <c:v>52.85</c:v>
                </c:pt>
                <c:pt idx="121">
                  <c:v>52.04</c:v>
                </c:pt>
                <c:pt idx="122">
                  <c:v>47.66</c:v>
                </c:pt>
                <c:pt idx="123">
                  <c:v>47.13</c:v>
                </c:pt>
                <c:pt idx="124">
                  <c:v>54.98</c:v>
                </c:pt>
                <c:pt idx="125">
                  <c:v>51.04</c:v>
                </c:pt>
                <c:pt idx="126">
                  <c:v>57.53</c:v>
                </c:pt>
                <c:pt idx="127">
                  <c:v>54.52</c:v>
                </c:pt>
                <c:pt idx="128">
                  <c:v>44.5</c:v>
                </c:pt>
                <c:pt idx="129">
                  <c:v>54.19</c:v>
                </c:pt>
                <c:pt idx="130">
                  <c:v>58.55</c:v>
                </c:pt>
                <c:pt idx="131">
                  <c:v>58.46</c:v>
                </c:pt>
                <c:pt idx="132">
                  <c:v>52.82</c:v>
                </c:pt>
                <c:pt idx="133">
                  <c:v>54.24</c:v>
                </c:pt>
                <c:pt idx="134">
                  <c:v>52.45</c:v>
                </c:pt>
                <c:pt idx="135">
                  <c:v>56</c:v>
                </c:pt>
                <c:pt idx="136">
                  <c:v>51.27</c:v>
                </c:pt>
                <c:pt idx="137">
                  <c:v>47.91</c:v>
                </c:pt>
                <c:pt idx="138">
                  <c:v>44.07</c:v>
                </c:pt>
                <c:pt idx="139">
                  <c:v>47.79</c:v>
                </c:pt>
                <c:pt idx="140">
                  <c:v>47.17</c:v>
                </c:pt>
                <c:pt idx="141">
                  <c:v>46.32</c:v>
                </c:pt>
                <c:pt idx="142">
                  <c:v>36.380000000000003</c:v>
                </c:pt>
                <c:pt idx="143">
                  <c:v>46.5</c:v>
                </c:pt>
                <c:pt idx="144">
                  <c:v>48.8</c:v>
                </c:pt>
                <c:pt idx="145">
                  <c:v>47.36</c:v>
                </c:pt>
                <c:pt idx="146">
                  <c:v>56.11</c:v>
                </c:pt>
                <c:pt idx="147">
                  <c:v>52.12</c:v>
                </c:pt>
                <c:pt idx="148">
                  <c:v>55.67</c:v>
                </c:pt>
                <c:pt idx="149">
                  <c:v>59.95</c:v>
                </c:pt>
                <c:pt idx="150">
                  <c:v>57.32</c:v>
                </c:pt>
                <c:pt idx="151">
                  <c:v>60.05</c:v>
                </c:pt>
                <c:pt idx="152">
                  <c:v>58.32</c:v>
                </c:pt>
                <c:pt idx="153">
                  <c:v>51.9</c:v>
                </c:pt>
                <c:pt idx="154">
                  <c:v>60.25</c:v>
                </c:pt>
                <c:pt idx="155">
                  <c:v>57.06</c:v>
                </c:pt>
                <c:pt idx="156">
                  <c:v>63.41</c:v>
                </c:pt>
                <c:pt idx="157">
                  <c:v>67.13</c:v>
                </c:pt>
                <c:pt idx="158">
                  <c:v>65.72</c:v>
                </c:pt>
                <c:pt idx="159">
                  <c:v>69</c:v>
                </c:pt>
                <c:pt idx="160">
                  <c:v>70.83</c:v>
                </c:pt>
                <c:pt idx="161">
                  <c:v>68.97</c:v>
                </c:pt>
                <c:pt idx="162">
                  <c:v>66.180000000000007</c:v>
                </c:pt>
                <c:pt idx="163">
                  <c:v>64.41</c:v>
                </c:pt>
                <c:pt idx="164">
                  <c:v>56.65</c:v>
                </c:pt>
                <c:pt idx="165">
                  <c:v>64.81</c:v>
                </c:pt>
                <c:pt idx="166">
                  <c:v>65.849999999999994</c:v>
                </c:pt>
                <c:pt idx="167">
                  <c:v>64.400000000000006</c:v>
                </c:pt>
                <c:pt idx="168">
                  <c:v>64.540000000000006</c:v>
                </c:pt>
                <c:pt idx="169">
                  <c:v>57.26</c:v>
                </c:pt>
                <c:pt idx="170">
                  <c:v>55.39</c:v>
                </c:pt>
                <c:pt idx="172">
                  <c:v>59.92</c:v>
                </c:pt>
                <c:pt idx="173">
                  <c:v>67.02</c:v>
                </c:pt>
                <c:pt idx="174">
                  <c:v>66.41</c:v>
                </c:pt>
                <c:pt idx="175">
                  <c:v>66.34</c:v>
                </c:pt>
                <c:pt idx="176">
                  <c:v>64.819999999999993</c:v>
                </c:pt>
                <c:pt idx="177">
                  <c:v>66.03</c:v>
                </c:pt>
                <c:pt idx="178">
                  <c:v>54.51</c:v>
                </c:pt>
                <c:pt idx="179">
                  <c:v>58.11</c:v>
                </c:pt>
                <c:pt idx="180">
                  <c:v>64.78</c:v>
                </c:pt>
                <c:pt idx="181">
                  <c:v>65.12</c:v>
                </c:pt>
                <c:pt idx="182">
                  <c:v>63.65</c:v>
                </c:pt>
                <c:pt idx="183">
                  <c:v>65.17</c:v>
                </c:pt>
                <c:pt idx="184">
                  <c:v>65.86</c:v>
                </c:pt>
                <c:pt idx="185">
                  <c:v>61.31</c:v>
                </c:pt>
                <c:pt idx="186">
                  <c:v>57.26</c:v>
                </c:pt>
                <c:pt idx="187">
                  <c:v>56.22</c:v>
                </c:pt>
                <c:pt idx="188">
                  <c:v>55.55</c:v>
                </c:pt>
                <c:pt idx="189">
                  <c:v>55.69</c:v>
                </c:pt>
                <c:pt idx="190">
                  <c:v>47.55</c:v>
                </c:pt>
                <c:pt idx="191">
                  <c:v>46.99</c:v>
                </c:pt>
                <c:pt idx="192">
                  <c:v>41.79</c:v>
                </c:pt>
                <c:pt idx="193">
                  <c:v>51.7</c:v>
                </c:pt>
                <c:pt idx="194">
                  <c:v>55.76</c:v>
                </c:pt>
                <c:pt idx="195">
                  <c:v>59.24</c:v>
                </c:pt>
                <c:pt idx="196">
                  <c:v>63.25</c:v>
                </c:pt>
                <c:pt idx="197">
                  <c:v>61.2</c:v>
                </c:pt>
                <c:pt idx="198">
                  <c:v>57.74</c:v>
                </c:pt>
                <c:pt idx="199">
                  <c:v>67.94</c:v>
                </c:pt>
                <c:pt idx="200">
                  <c:v>66.36</c:v>
                </c:pt>
                <c:pt idx="201">
                  <c:v>62.78</c:v>
                </c:pt>
                <c:pt idx="202">
                  <c:v>60.98</c:v>
                </c:pt>
                <c:pt idx="203">
                  <c:v>57.45</c:v>
                </c:pt>
                <c:pt idx="204">
                  <c:v>56.03</c:v>
                </c:pt>
                <c:pt idx="205">
                  <c:v>55.29</c:v>
                </c:pt>
                <c:pt idx="206">
                  <c:v>63.14</c:v>
                </c:pt>
                <c:pt idx="207">
                  <c:v>61.84</c:v>
                </c:pt>
                <c:pt idx="208">
                  <c:v>61.75</c:v>
                </c:pt>
                <c:pt idx="209">
                  <c:v>57.97</c:v>
                </c:pt>
                <c:pt idx="210">
                  <c:v>55.82</c:v>
                </c:pt>
                <c:pt idx="211">
                  <c:v>57.39</c:v>
                </c:pt>
                <c:pt idx="213">
                  <c:v>63.7</c:v>
                </c:pt>
                <c:pt idx="214">
                  <c:v>62.04</c:v>
                </c:pt>
                <c:pt idx="215">
                  <c:v>59.54</c:v>
                </c:pt>
                <c:pt idx="216">
                  <c:v>58.19</c:v>
                </c:pt>
                <c:pt idx="217">
                  <c:v>60.75</c:v>
                </c:pt>
                <c:pt idx="218">
                  <c:v>55.58</c:v>
                </c:pt>
                <c:pt idx="219">
                  <c:v>52.39</c:v>
                </c:pt>
                <c:pt idx="220">
                  <c:v>57.35</c:v>
                </c:pt>
                <c:pt idx="221">
                  <c:v>55.52</c:v>
                </c:pt>
                <c:pt idx="222">
                  <c:v>49.19</c:v>
                </c:pt>
                <c:pt idx="224">
                  <c:v>48.74</c:v>
                </c:pt>
                <c:pt idx="225">
                  <c:v>48.57</c:v>
                </c:pt>
                <c:pt idx="226">
                  <c:v>54.84</c:v>
                </c:pt>
                <c:pt idx="227">
                  <c:v>51.22</c:v>
                </c:pt>
                <c:pt idx="228">
                  <c:v>54.74</c:v>
                </c:pt>
                <c:pt idx="229">
                  <c:v>56.58</c:v>
                </c:pt>
                <c:pt idx="230">
                  <c:v>59.75</c:v>
                </c:pt>
                <c:pt idx="231">
                  <c:v>56.35</c:v>
                </c:pt>
                <c:pt idx="232">
                  <c:v>53.96</c:v>
                </c:pt>
                <c:pt idx="233">
                  <c:v>49.87</c:v>
                </c:pt>
                <c:pt idx="234">
                  <c:v>59.68</c:v>
                </c:pt>
                <c:pt idx="235">
                  <c:v>60.85</c:v>
                </c:pt>
                <c:pt idx="236">
                  <c:v>59.37</c:v>
                </c:pt>
                <c:pt idx="237">
                  <c:v>58.73</c:v>
                </c:pt>
                <c:pt idx="238">
                  <c:v>60.8</c:v>
                </c:pt>
                <c:pt idx="239">
                  <c:v>60.7</c:v>
                </c:pt>
                <c:pt idx="240">
                  <c:v>64</c:v>
                </c:pt>
                <c:pt idx="242">
                  <c:v>57.25</c:v>
                </c:pt>
                <c:pt idx="243">
                  <c:v>60.48</c:v>
                </c:pt>
                <c:pt idx="244">
                  <c:v>59.47</c:v>
                </c:pt>
                <c:pt idx="245">
                  <c:v>67.180000000000007</c:v>
                </c:pt>
                <c:pt idx="246">
                  <c:v>69.33</c:v>
                </c:pt>
                <c:pt idx="247">
                  <c:v>70.27</c:v>
                </c:pt>
                <c:pt idx="248">
                  <c:v>68.69</c:v>
                </c:pt>
                <c:pt idx="249">
                  <c:v>69.5</c:v>
                </c:pt>
                <c:pt idx="250">
                  <c:v>68.91</c:v>
                </c:pt>
                <c:pt idx="251">
                  <c:v>66.91</c:v>
                </c:pt>
                <c:pt idx="252">
                  <c:v>57.88</c:v>
                </c:pt>
                <c:pt idx="253">
                  <c:v>56.83</c:v>
                </c:pt>
                <c:pt idx="254">
                  <c:v>54.25</c:v>
                </c:pt>
                <c:pt idx="255">
                  <c:v>52.53</c:v>
                </c:pt>
                <c:pt idx="256">
                  <c:v>54.69</c:v>
                </c:pt>
                <c:pt idx="257">
                  <c:v>57.39</c:v>
                </c:pt>
                <c:pt idx="258">
                  <c:v>54.38</c:v>
                </c:pt>
                <c:pt idx="259">
                  <c:v>53.3</c:v>
                </c:pt>
                <c:pt idx="260">
                  <c:v>55.32</c:v>
                </c:pt>
                <c:pt idx="261">
                  <c:v>54.07</c:v>
                </c:pt>
                <c:pt idx="262">
                  <c:v>54.01</c:v>
                </c:pt>
                <c:pt idx="263">
                  <c:v>51.05</c:v>
                </c:pt>
                <c:pt idx="264">
                  <c:v>47.66</c:v>
                </c:pt>
                <c:pt idx="265">
                  <c:v>43.69</c:v>
                </c:pt>
                <c:pt idx="266">
                  <c:v>37.65</c:v>
                </c:pt>
                <c:pt idx="268">
                  <c:v>41.21</c:v>
                </c:pt>
                <c:pt idx="269">
                  <c:v>39.97</c:v>
                </c:pt>
                <c:pt idx="270">
                  <c:v>43.37</c:v>
                </c:pt>
                <c:pt idx="271">
                  <c:v>44.4</c:v>
                </c:pt>
                <c:pt idx="272">
                  <c:v>43.9</c:v>
                </c:pt>
                <c:pt idx="273">
                  <c:v>42.32</c:v>
                </c:pt>
                <c:pt idx="274">
                  <c:v>47.54</c:v>
                </c:pt>
                <c:pt idx="275">
                  <c:v>26.31</c:v>
                </c:pt>
                <c:pt idx="276">
                  <c:v>28.72</c:v>
                </c:pt>
                <c:pt idx="277">
                  <c:v>30</c:v>
                </c:pt>
                <c:pt idx="278">
                  <c:v>35.659999999999997</c:v>
                </c:pt>
                <c:pt idx="279">
                  <c:v>48.26</c:v>
                </c:pt>
                <c:pt idx="280">
                  <c:v>42.44</c:v>
                </c:pt>
                <c:pt idx="281">
                  <c:v>38.97</c:v>
                </c:pt>
                <c:pt idx="282">
                  <c:v>38.26</c:v>
                </c:pt>
                <c:pt idx="283">
                  <c:v>45.62</c:v>
                </c:pt>
                <c:pt idx="284">
                  <c:v>45.42</c:v>
                </c:pt>
                <c:pt idx="285">
                  <c:v>48.88</c:v>
                </c:pt>
                <c:pt idx="286">
                  <c:v>46.59</c:v>
                </c:pt>
                <c:pt idx="287">
                  <c:v>35.29</c:v>
                </c:pt>
                <c:pt idx="288">
                  <c:v>33.94</c:v>
                </c:pt>
                <c:pt idx="289">
                  <c:v>34.380000000000003</c:v>
                </c:pt>
                <c:pt idx="290">
                  <c:v>27.49</c:v>
                </c:pt>
                <c:pt idx="291">
                  <c:v>30.28</c:v>
                </c:pt>
                <c:pt idx="292">
                  <c:v>29.7</c:v>
                </c:pt>
                <c:pt idx="293">
                  <c:v>21.61</c:v>
                </c:pt>
                <c:pt idx="294">
                  <c:v>24.79</c:v>
                </c:pt>
                <c:pt idx="295">
                  <c:v>22.34</c:v>
                </c:pt>
                <c:pt idx="296">
                  <c:v>23.55</c:v>
                </c:pt>
                <c:pt idx="297">
                  <c:v>29.13</c:v>
                </c:pt>
                <c:pt idx="298">
                  <c:v>29.46</c:v>
                </c:pt>
                <c:pt idx="299">
                  <c:v>34.69</c:v>
                </c:pt>
                <c:pt idx="300">
                  <c:v>27.64</c:v>
                </c:pt>
                <c:pt idx="301">
                  <c:v>31.35</c:v>
                </c:pt>
                <c:pt idx="302">
                  <c:v>36.14</c:v>
                </c:pt>
                <c:pt idx="303">
                  <c:v>26.94</c:v>
                </c:pt>
                <c:pt idx="304">
                  <c:v>30.54</c:v>
                </c:pt>
                <c:pt idx="305">
                  <c:v>31.67</c:v>
                </c:pt>
                <c:pt idx="306">
                  <c:v>33.119999999999997</c:v>
                </c:pt>
                <c:pt idx="307">
                  <c:v>34.159999999999997</c:v>
                </c:pt>
                <c:pt idx="308">
                  <c:v>43.28</c:v>
                </c:pt>
                <c:pt idx="309">
                  <c:v>47.15</c:v>
                </c:pt>
                <c:pt idx="310">
                  <c:v>47.41</c:v>
                </c:pt>
                <c:pt idx="312">
                  <c:v>48.63</c:v>
                </c:pt>
                <c:pt idx="313">
                  <c:v>48.81</c:v>
                </c:pt>
                <c:pt idx="314">
                  <c:v>41.94</c:v>
                </c:pt>
                <c:pt idx="315">
                  <c:v>42</c:v>
                </c:pt>
                <c:pt idx="316">
                  <c:v>46.09</c:v>
                </c:pt>
                <c:pt idx="317">
                  <c:v>44.59</c:v>
                </c:pt>
                <c:pt idx="318">
                  <c:v>52.52</c:v>
                </c:pt>
                <c:pt idx="319">
                  <c:v>50.88</c:v>
                </c:pt>
                <c:pt idx="320">
                  <c:v>56.08</c:v>
                </c:pt>
                <c:pt idx="321">
                  <c:v>51.34</c:v>
                </c:pt>
                <c:pt idx="322">
                  <c:v>57.95</c:v>
                </c:pt>
                <c:pt idx="323">
                  <c:v>60.37</c:v>
                </c:pt>
                <c:pt idx="324">
                  <c:v>56.68</c:v>
                </c:pt>
                <c:pt idx="325">
                  <c:v>58.15</c:v>
                </c:pt>
                <c:pt idx="326">
                  <c:v>57.72</c:v>
                </c:pt>
                <c:pt idx="327">
                  <c:v>55.74</c:v>
                </c:pt>
                <c:pt idx="328">
                  <c:v>58.48</c:v>
                </c:pt>
                <c:pt idx="329">
                  <c:v>56.52</c:v>
                </c:pt>
                <c:pt idx="330">
                  <c:v>58.11</c:v>
                </c:pt>
                <c:pt idx="332">
                  <c:v>55.88</c:v>
                </c:pt>
                <c:pt idx="333">
                  <c:v>51.35</c:v>
                </c:pt>
                <c:pt idx="334">
                  <c:v>53.33</c:v>
                </c:pt>
                <c:pt idx="335">
                  <c:v>44.2</c:v>
                </c:pt>
                <c:pt idx="336">
                  <c:v>44.82</c:v>
                </c:pt>
                <c:pt idx="337">
                  <c:v>42.65</c:v>
                </c:pt>
                <c:pt idx="339">
                  <c:v>45.57</c:v>
                </c:pt>
                <c:pt idx="340">
                  <c:v>44.55</c:v>
                </c:pt>
                <c:pt idx="341">
                  <c:v>50.66</c:v>
                </c:pt>
                <c:pt idx="342">
                  <c:v>49.35</c:v>
                </c:pt>
                <c:pt idx="343">
                  <c:v>42.2</c:v>
                </c:pt>
                <c:pt idx="344">
                  <c:v>46.19</c:v>
                </c:pt>
                <c:pt idx="345">
                  <c:v>48.65</c:v>
                </c:pt>
                <c:pt idx="346">
                  <c:v>54.5</c:v>
                </c:pt>
                <c:pt idx="347">
                  <c:v>61.72</c:v>
                </c:pt>
                <c:pt idx="348">
                  <c:v>63.48</c:v>
                </c:pt>
                <c:pt idx="349">
                  <c:v>56.46</c:v>
                </c:pt>
                <c:pt idx="350">
                  <c:v>56.08</c:v>
                </c:pt>
                <c:pt idx="351">
                  <c:v>55.26</c:v>
                </c:pt>
                <c:pt idx="352">
                  <c:v>55.77</c:v>
                </c:pt>
                <c:pt idx="353">
                  <c:v>79.87</c:v>
                </c:pt>
                <c:pt idx="354">
                  <c:v>79.290000000000006</c:v>
                </c:pt>
                <c:pt idx="355">
                  <c:v>76.650000000000006</c:v>
                </c:pt>
                <c:pt idx="356">
                  <c:v>75.81</c:v>
                </c:pt>
                <c:pt idx="357">
                  <c:v>81.53</c:v>
                </c:pt>
                <c:pt idx="358">
                  <c:v>78.38</c:v>
                </c:pt>
                <c:pt idx="359">
                  <c:v>78.05</c:v>
                </c:pt>
                <c:pt idx="360">
                  <c:v>80.23</c:v>
                </c:pt>
                <c:pt idx="361">
                  <c:v>76.239999999999995</c:v>
                </c:pt>
                <c:pt idx="362">
                  <c:v>74.400000000000006</c:v>
                </c:pt>
                <c:pt idx="363">
                  <c:v>72.14</c:v>
                </c:pt>
                <c:pt idx="364">
                  <c:v>72.62</c:v>
                </c:pt>
                <c:pt idx="365">
                  <c:v>70.510000000000005</c:v>
                </c:pt>
                <c:pt idx="367">
                  <c:v>67.84</c:v>
                </c:pt>
                <c:pt idx="368">
                  <c:v>70.709999999999994</c:v>
                </c:pt>
                <c:pt idx="369">
                  <c:v>69.84</c:v>
                </c:pt>
                <c:pt idx="370">
                  <c:v>67.319999999999993</c:v>
                </c:pt>
                <c:pt idx="371">
                  <c:v>63.38</c:v>
                </c:pt>
                <c:pt idx="372">
                  <c:v>62.87</c:v>
                </c:pt>
                <c:pt idx="373">
                  <c:v>64.97</c:v>
                </c:pt>
                <c:pt idx="374">
                  <c:v>64.78</c:v>
                </c:pt>
                <c:pt idx="375">
                  <c:v>62.53</c:v>
                </c:pt>
                <c:pt idx="376">
                  <c:v>66.2</c:v>
                </c:pt>
                <c:pt idx="377">
                  <c:v>72.900000000000006</c:v>
                </c:pt>
                <c:pt idx="378">
                  <c:v>71.290000000000006</c:v>
                </c:pt>
                <c:pt idx="379">
                  <c:v>78.12</c:v>
                </c:pt>
                <c:pt idx="380">
                  <c:v>74.8</c:v>
                </c:pt>
                <c:pt idx="381">
                  <c:v>72.069999999999993</c:v>
                </c:pt>
                <c:pt idx="382">
                  <c:v>69.319999999999993</c:v>
                </c:pt>
                <c:pt idx="383">
                  <c:v>60.62</c:v>
                </c:pt>
                <c:pt idx="384">
                  <c:v>54.03</c:v>
                </c:pt>
                <c:pt idx="385">
                  <c:v>55.72</c:v>
                </c:pt>
                <c:pt idx="386">
                  <c:v>48.82</c:v>
                </c:pt>
                <c:pt idx="387">
                  <c:v>56.66</c:v>
                </c:pt>
                <c:pt idx="388">
                  <c:v>57.44</c:v>
                </c:pt>
                <c:pt idx="389">
                  <c:v>60.35</c:v>
                </c:pt>
                <c:pt idx="390">
                  <c:v>59.5</c:v>
                </c:pt>
                <c:pt idx="391">
                  <c:v>58.39</c:v>
                </c:pt>
                <c:pt idx="392">
                  <c:v>44.68</c:v>
                </c:pt>
                <c:pt idx="393">
                  <c:v>52.87</c:v>
                </c:pt>
                <c:pt idx="394">
                  <c:v>55.3</c:v>
                </c:pt>
                <c:pt idx="395">
                  <c:v>60.28</c:v>
                </c:pt>
                <c:pt idx="396">
                  <c:v>58.54</c:v>
                </c:pt>
                <c:pt idx="397">
                  <c:v>59.09</c:v>
                </c:pt>
                <c:pt idx="398">
                  <c:v>56.9</c:v>
                </c:pt>
                <c:pt idx="399">
                  <c:v>55.99</c:v>
                </c:pt>
                <c:pt idx="400">
                  <c:v>54.2</c:v>
                </c:pt>
                <c:pt idx="401">
                  <c:v>56.27</c:v>
                </c:pt>
                <c:pt idx="402">
                  <c:v>58.71</c:v>
                </c:pt>
                <c:pt idx="403">
                  <c:v>56.18</c:v>
                </c:pt>
                <c:pt idx="404">
                  <c:v>52.52</c:v>
                </c:pt>
                <c:pt idx="405">
                  <c:v>60.06</c:v>
                </c:pt>
                <c:pt idx="406">
                  <c:v>55.02</c:v>
                </c:pt>
                <c:pt idx="407">
                  <c:v>61.38</c:v>
                </c:pt>
                <c:pt idx="408">
                  <c:v>66.650000000000006</c:v>
                </c:pt>
                <c:pt idx="409">
                  <c:v>69.3</c:v>
                </c:pt>
                <c:pt idx="410">
                  <c:v>70.819999999999993</c:v>
                </c:pt>
                <c:pt idx="411">
                  <c:v>70.44</c:v>
                </c:pt>
                <c:pt idx="412">
                  <c:v>69.38</c:v>
                </c:pt>
                <c:pt idx="413">
                  <c:v>71.39</c:v>
                </c:pt>
                <c:pt idx="414">
                  <c:v>69.400000000000006</c:v>
                </c:pt>
                <c:pt idx="415">
                  <c:v>66.97</c:v>
                </c:pt>
                <c:pt idx="416">
                  <c:v>68.11</c:v>
                </c:pt>
                <c:pt idx="417">
                  <c:v>62.28</c:v>
                </c:pt>
                <c:pt idx="418">
                  <c:v>63.21</c:v>
                </c:pt>
                <c:pt idx="419">
                  <c:v>61.85</c:v>
                </c:pt>
                <c:pt idx="420">
                  <c:v>62.57</c:v>
                </c:pt>
                <c:pt idx="421">
                  <c:v>60.9</c:v>
                </c:pt>
                <c:pt idx="422">
                  <c:v>58.04</c:v>
                </c:pt>
                <c:pt idx="423">
                  <c:v>55.39</c:v>
                </c:pt>
                <c:pt idx="424">
                  <c:v>52.2</c:v>
                </c:pt>
                <c:pt idx="425">
                  <c:v>47.86</c:v>
                </c:pt>
                <c:pt idx="426">
                  <c:v>56.3</c:v>
                </c:pt>
                <c:pt idx="427">
                  <c:v>52.88</c:v>
                </c:pt>
                <c:pt idx="428">
                  <c:v>52.08</c:v>
                </c:pt>
                <c:pt idx="430">
                  <c:v>56.86</c:v>
                </c:pt>
                <c:pt idx="431">
                  <c:v>52.48</c:v>
                </c:pt>
                <c:pt idx="432">
                  <c:v>52.12</c:v>
                </c:pt>
                <c:pt idx="433">
                  <c:v>55.28</c:v>
                </c:pt>
                <c:pt idx="434">
                  <c:v>56.14</c:v>
                </c:pt>
                <c:pt idx="435">
                  <c:v>58.67</c:v>
                </c:pt>
                <c:pt idx="436">
                  <c:v>53.98</c:v>
                </c:pt>
                <c:pt idx="437">
                  <c:v>59.7</c:v>
                </c:pt>
                <c:pt idx="438">
                  <c:v>56.62</c:v>
                </c:pt>
                <c:pt idx="439">
                  <c:v>56.91</c:v>
                </c:pt>
                <c:pt idx="440">
                  <c:v>53.97</c:v>
                </c:pt>
                <c:pt idx="441">
                  <c:v>53.41</c:v>
                </c:pt>
                <c:pt idx="442">
                  <c:v>45.24</c:v>
                </c:pt>
                <c:pt idx="443">
                  <c:v>46.51</c:v>
                </c:pt>
                <c:pt idx="444">
                  <c:v>39.24</c:v>
                </c:pt>
                <c:pt idx="445">
                  <c:v>40.04</c:v>
                </c:pt>
                <c:pt idx="446">
                  <c:v>39.07</c:v>
                </c:pt>
                <c:pt idx="447">
                  <c:v>32.57</c:v>
                </c:pt>
                <c:pt idx="448">
                  <c:v>35.42</c:v>
                </c:pt>
                <c:pt idx="449">
                  <c:v>31.96</c:v>
                </c:pt>
                <c:pt idx="450">
                  <c:v>36.79</c:v>
                </c:pt>
                <c:pt idx="451">
                  <c:v>45.4</c:v>
                </c:pt>
                <c:pt idx="452">
                  <c:v>53.32</c:v>
                </c:pt>
                <c:pt idx="453">
                  <c:v>48.09</c:v>
                </c:pt>
                <c:pt idx="454">
                  <c:v>49.96</c:v>
                </c:pt>
                <c:pt idx="455">
                  <c:v>43.97</c:v>
                </c:pt>
                <c:pt idx="456">
                  <c:v>39.51</c:v>
                </c:pt>
                <c:pt idx="457">
                  <c:v>40.56</c:v>
                </c:pt>
                <c:pt idx="458">
                  <c:v>55.53</c:v>
                </c:pt>
                <c:pt idx="459">
                  <c:v>57.7</c:v>
                </c:pt>
                <c:pt idx="460">
                  <c:v>53.59</c:v>
                </c:pt>
                <c:pt idx="461">
                  <c:v>57.85</c:v>
                </c:pt>
                <c:pt idx="462">
                  <c:v>63.24</c:v>
                </c:pt>
                <c:pt idx="463">
                  <c:v>73.88</c:v>
                </c:pt>
                <c:pt idx="464">
                  <c:v>68.72</c:v>
                </c:pt>
                <c:pt idx="465">
                  <c:v>69.540000000000006</c:v>
                </c:pt>
                <c:pt idx="466">
                  <c:v>65.22</c:v>
                </c:pt>
                <c:pt idx="467">
                  <c:v>74.92</c:v>
                </c:pt>
                <c:pt idx="468">
                  <c:v>72.7</c:v>
                </c:pt>
                <c:pt idx="469">
                  <c:v>71.680000000000007</c:v>
                </c:pt>
                <c:pt idx="470">
                  <c:v>71.53</c:v>
                </c:pt>
                <c:pt idx="472">
                  <c:v>69.09</c:v>
                </c:pt>
                <c:pt idx="473">
                  <c:v>67.05</c:v>
                </c:pt>
                <c:pt idx="474">
                  <c:v>59.65</c:v>
                </c:pt>
                <c:pt idx="475">
                  <c:v>58.13</c:v>
                </c:pt>
                <c:pt idx="476">
                  <c:v>65.739999999999995</c:v>
                </c:pt>
                <c:pt idx="477">
                  <c:v>63.3</c:v>
                </c:pt>
                <c:pt idx="478">
                  <c:v>56.6</c:v>
                </c:pt>
                <c:pt idx="479">
                  <c:v>59.41</c:v>
                </c:pt>
                <c:pt idx="480">
                  <c:v>64.14</c:v>
                </c:pt>
                <c:pt idx="481">
                  <c:v>60.3</c:v>
                </c:pt>
                <c:pt idx="483">
                  <c:v>59.7</c:v>
                </c:pt>
                <c:pt idx="484">
                  <c:v>62.02</c:v>
                </c:pt>
                <c:pt idx="485">
                  <c:v>53.39</c:v>
                </c:pt>
                <c:pt idx="486">
                  <c:v>59.04</c:v>
                </c:pt>
                <c:pt idx="487">
                  <c:v>58.64</c:v>
                </c:pt>
                <c:pt idx="488">
                  <c:v>53</c:v>
                </c:pt>
                <c:pt idx="489">
                  <c:v>54.76</c:v>
                </c:pt>
                <c:pt idx="490">
                  <c:v>53</c:v>
                </c:pt>
                <c:pt idx="491">
                  <c:v>55.57</c:v>
                </c:pt>
                <c:pt idx="492">
                  <c:v>51.73</c:v>
                </c:pt>
                <c:pt idx="493">
                  <c:v>48.43</c:v>
                </c:pt>
                <c:pt idx="494">
                  <c:v>47.85</c:v>
                </c:pt>
                <c:pt idx="495">
                  <c:v>48.07</c:v>
                </c:pt>
                <c:pt idx="496">
                  <c:v>45.16</c:v>
                </c:pt>
                <c:pt idx="497">
                  <c:v>42</c:v>
                </c:pt>
                <c:pt idx="498">
                  <c:v>44.67</c:v>
                </c:pt>
                <c:pt idx="500">
                  <c:v>45.68</c:v>
                </c:pt>
                <c:pt idx="501">
                  <c:v>40.6</c:v>
                </c:pt>
                <c:pt idx="502">
                  <c:v>47.32</c:v>
                </c:pt>
                <c:pt idx="503">
                  <c:v>52.57</c:v>
                </c:pt>
                <c:pt idx="504">
                  <c:v>49.37</c:v>
                </c:pt>
                <c:pt idx="505">
                  <c:v>53.26</c:v>
                </c:pt>
                <c:pt idx="506">
                  <c:v>50.8</c:v>
                </c:pt>
                <c:pt idx="507">
                  <c:v>54.17</c:v>
                </c:pt>
                <c:pt idx="508">
                  <c:v>53.5</c:v>
                </c:pt>
                <c:pt idx="509">
                  <c:v>51.54</c:v>
                </c:pt>
                <c:pt idx="510">
                  <c:v>52.12</c:v>
                </c:pt>
                <c:pt idx="511">
                  <c:v>54.5</c:v>
                </c:pt>
                <c:pt idx="512">
                  <c:v>51.93</c:v>
                </c:pt>
                <c:pt idx="513">
                  <c:v>53.48</c:v>
                </c:pt>
                <c:pt idx="514">
                  <c:v>56.51</c:v>
                </c:pt>
                <c:pt idx="515">
                  <c:v>52.86</c:v>
                </c:pt>
                <c:pt idx="516">
                  <c:v>50.44</c:v>
                </c:pt>
                <c:pt idx="517">
                  <c:v>45.66</c:v>
                </c:pt>
                <c:pt idx="518">
                  <c:v>47.8</c:v>
                </c:pt>
                <c:pt idx="519">
                  <c:v>57.84</c:v>
                </c:pt>
                <c:pt idx="520">
                  <c:v>48.45</c:v>
                </c:pt>
                <c:pt idx="521">
                  <c:v>44.01</c:v>
                </c:pt>
                <c:pt idx="522">
                  <c:v>43.58</c:v>
                </c:pt>
                <c:pt idx="523">
                  <c:v>38.76</c:v>
                </c:pt>
                <c:pt idx="524">
                  <c:v>32.130000000000003</c:v>
                </c:pt>
                <c:pt idx="525">
                  <c:v>29.52</c:v>
                </c:pt>
                <c:pt idx="526">
                  <c:v>31.79</c:v>
                </c:pt>
                <c:pt idx="527">
                  <c:v>33.51</c:v>
                </c:pt>
                <c:pt idx="528">
                  <c:v>34.869999999999997</c:v>
                </c:pt>
                <c:pt idx="529">
                  <c:v>36.5</c:v>
                </c:pt>
                <c:pt idx="530">
                  <c:v>41.93</c:v>
                </c:pt>
                <c:pt idx="531">
                  <c:v>48.57</c:v>
                </c:pt>
                <c:pt idx="532">
                  <c:v>44.55</c:v>
                </c:pt>
                <c:pt idx="533">
                  <c:v>51.86</c:v>
                </c:pt>
                <c:pt idx="534">
                  <c:v>49.53</c:v>
                </c:pt>
                <c:pt idx="535">
                  <c:v>44.53</c:v>
                </c:pt>
                <c:pt idx="536">
                  <c:v>41.39</c:v>
                </c:pt>
                <c:pt idx="537">
                  <c:v>46.61</c:v>
                </c:pt>
                <c:pt idx="538">
                  <c:v>46.22</c:v>
                </c:pt>
                <c:pt idx="539">
                  <c:v>53.73</c:v>
                </c:pt>
                <c:pt idx="541">
                  <c:v>58.2</c:v>
                </c:pt>
                <c:pt idx="542">
                  <c:v>60.13</c:v>
                </c:pt>
                <c:pt idx="543">
                  <c:v>54.99</c:v>
                </c:pt>
                <c:pt idx="544">
                  <c:v>54.4</c:v>
                </c:pt>
                <c:pt idx="545">
                  <c:v>56.19</c:v>
                </c:pt>
                <c:pt idx="546">
                  <c:v>61.24</c:v>
                </c:pt>
                <c:pt idx="547">
                  <c:v>58.97</c:v>
                </c:pt>
                <c:pt idx="548">
                  <c:v>52.46</c:v>
                </c:pt>
                <c:pt idx="549">
                  <c:v>48.04</c:v>
                </c:pt>
                <c:pt idx="550">
                  <c:v>45.08</c:v>
                </c:pt>
                <c:pt idx="551">
                  <c:v>49.96</c:v>
                </c:pt>
                <c:pt idx="552">
                  <c:v>53.41</c:v>
                </c:pt>
                <c:pt idx="553">
                  <c:v>54.57</c:v>
                </c:pt>
                <c:pt idx="554">
                  <c:v>50.51</c:v>
                </c:pt>
                <c:pt idx="555">
                  <c:v>51.87</c:v>
                </c:pt>
                <c:pt idx="556">
                  <c:v>53.7</c:v>
                </c:pt>
                <c:pt idx="557">
                  <c:v>50.37</c:v>
                </c:pt>
                <c:pt idx="558">
                  <c:v>52</c:v>
                </c:pt>
                <c:pt idx="559">
                  <c:v>58.17</c:v>
                </c:pt>
                <c:pt idx="560">
                  <c:v>66.22</c:v>
                </c:pt>
                <c:pt idx="561">
                  <c:v>65.12</c:v>
                </c:pt>
                <c:pt idx="562">
                  <c:v>62.86</c:v>
                </c:pt>
                <c:pt idx="563">
                  <c:v>61.51</c:v>
                </c:pt>
                <c:pt idx="564">
                  <c:v>60.39</c:v>
                </c:pt>
                <c:pt idx="565">
                  <c:v>59.37</c:v>
                </c:pt>
                <c:pt idx="566">
                  <c:v>61.53</c:v>
                </c:pt>
                <c:pt idx="567">
                  <c:v>55.14</c:v>
                </c:pt>
                <c:pt idx="568">
                  <c:v>52.37</c:v>
                </c:pt>
                <c:pt idx="570">
                  <c:v>56.55</c:v>
                </c:pt>
                <c:pt idx="571">
                  <c:v>59.34</c:v>
                </c:pt>
                <c:pt idx="572">
                  <c:v>55.41</c:v>
                </c:pt>
                <c:pt idx="573">
                  <c:v>51.48</c:v>
                </c:pt>
                <c:pt idx="574">
                  <c:v>61.11</c:v>
                </c:pt>
                <c:pt idx="575">
                  <c:v>61.56</c:v>
                </c:pt>
                <c:pt idx="576">
                  <c:v>59.21</c:v>
                </c:pt>
                <c:pt idx="577">
                  <c:v>57.73</c:v>
                </c:pt>
                <c:pt idx="578">
                  <c:v>53.81</c:v>
                </c:pt>
                <c:pt idx="579">
                  <c:v>51.57</c:v>
                </c:pt>
                <c:pt idx="580">
                  <c:v>57.71</c:v>
                </c:pt>
                <c:pt idx="581">
                  <c:v>50.97</c:v>
                </c:pt>
                <c:pt idx="582">
                  <c:v>41.87</c:v>
                </c:pt>
                <c:pt idx="583">
                  <c:v>50.21</c:v>
                </c:pt>
                <c:pt idx="584">
                  <c:v>50.5</c:v>
                </c:pt>
                <c:pt idx="585">
                  <c:v>42.66</c:v>
                </c:pt>
                <c:pt idx="586">
                  <c:v>39.909999999999997</c:v>
                </c:pt>
                <c:pt idx="587">
                  <c:v>45.46</c:v>
                </c:pt>
                <c:pt idx="588">
                  <c:v>47.34</c:v>
                </c:pt>
                <c:pt idx="589">
                  <c:v>48.53</c:v>
                </c:pt>
                <c:pt idx="590">
                  <c:v>50.7</c:v>
                </c:pt>
                <c:pt idx="591">
                  <c:v>45.83</c:v>
                </c:pt>
                <c:pt idx="592">
                  <c:v>42.75</c:v>
                </c:pt>
                <c:pt idx="593">
                  <c:v>46.56</c:v>
                </c:pt>
                <c:pt idx="595">
                  <c:v>47.08</c:v>
                </c:pt>
                <c:pt idx="596">
                  <c:v>52.81</c:v>
                </c:pt>
                <c:pt idx="597">
                  <c:v>53.47</c:v>
                </c:pt>
                <c:pt idx="598">
                  <c:v>49.95</c:v>
                </c:pt>
                <c:pt idx="599">
                  <c:v>51.63</c:v>
                </c:pt>
                <c:pt idx="600">
                  <c:v>43.67</c:v>
                </c:pt>
                <c:pt idx="601">
                  <c:v>42.87</c:v>
                </c:pt>
                <c:pt idx="602">
                  <c:v>45.59</c:v>
                </c:pt>
                <c:pt idx="603">
                  <c:v>55.14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A3-4DF6-B944-CD8BC12CA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전기</a:t>
            </a:r>
            <a:r>
              <a:rPr lang="en-US" altLang="ko-KR"/>
              <a:t>·</a:t>
            </a:r>
            <a:r>
              <a:rPr lang="ko-KR" altLang="en-US"/>
              <a:t>가스  </a:t>
            </a:r>
            <a:r>
              <a:rPr lang="en-US"/>
              <a:t>vs  </a:t>
            </a:r>
            <a:r>
              <a:rPr lang="ko-KR" altLang="en-US"/>
              <a:t>유틸리티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RSI'!$N$7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RSI'!$N$78:$N$3077</c:f>
              <c:numCache>
                <c:formatCode>0.00</c:formatCode>
                <c:ptCount val="3000"/>
                <c:pt idx="1">
                  <c:v>42.65</c:v>
                </c:pt>
                <c:pt idx="2">
                  <c:v>49.79</c:v>
                </c:pt>
                <c:pt idx="3">
                  <c:v>47.7</c:v>
                </c:pt>
                <c:pt idx="4">
                  <c:v>51.72</c:v>
                </c:pt>
                <c:pt idx="5">
                  <c:v>53.3</c:v>
                </c:pt>
                <c:pt idx="6">
                  <c:v>53.09</c:v>
                </c:pt>
                <c:pt idx="7">
                  <c:v>52.88</c:v>
                </c:pt>
                <c:pt idx="8">
                  <c:v>51.21</c:v>
                </c:pt>
                <c:pt idx="9">
                  <c:v>51.11</c:v>
                </c:pt>
                <c:pt idx="10">
                  <c:v>50.71</c:v>
                </c:pt>
                <c:pt idx="11">
                  <c:v>50.31</c:v>
                </c:pt>
                <c:pt idx="12">
                  <c:v>46.33</c:v>
                </c:pt>
                <c:pt idx="13">
                  <c:v>46.43</c:v>
                </c:pt>
                <c:pt idx="14">
                  <c:v>40.82</c:v>
                </c:pt>
                <c:pt idx="15">
                  <c:v>43.54</c:v>
                </c:pt>
                <c:pt idx="16">
                  <c:v>43.08</c:v>
                </c:pt>
                <c:pt idx="17">
                  <c:v>43.96</c:v>
                </c:pt>
                <c:pt idx="18">
                  <c:v>32.44</c:v>
                </c:pt>
                <c:pt idx="19">
                  <c:v>33.28</c:v>
                </c:pt>
                <c:pt idx="20">
                  <c:v>33.28</c:v>
                </c:pt>
                <c:pt idx="21">
                  <c:v>34.409999999999997</c:v>
                </c:pt>
                <c:pt idx="22">
                  <c:v>38.630000000000003</c:v>
                </c:pt>
                <c:pt idx="23">
                  <c:v>32.39</c:v>
                </c:pt>
                <c:pt idx="24">
                  <c:v>33.46</c:v>
                </c:pt>
                <c:pt idx="25">
                  <c:v>36.22</c:v>
                </c:pt>
                <c:pt idx="26">
                  <c:v>39.869999999999997</c:v>
                </c:pt>
                <c:pt idx="27">
                  <c:v>40.659999999999997</c:v>
                </c:pt>
                <c:pt idx="28">
                  <c:v>41.11</c:v>
                </c:pt>
                <c:pt idx="29">
                  <c:v>38.19</c:v>
                </c:pt>
                <c:pt idx="30">
                  <c:v>44.44</c:v>
                </c:pt>
                <c:pt idx="31">
                  <c:v>41.27</c:v>
                </c:pt>
                <c:pt idx="32">
                  <c:v>43.94</c:v>
                </c:pt>
                <c:pt idx="33">
                  <c:v>39.6</c:v>
                </c:pt>
                <c:pt idx="34">
                  <c:v>36.61</c:v>
                </c:pt>
                <c:pt idx="35">
                  <c:v>38.869999999999997</c:v>
                </c:pt>
                <c:pt idx="36">
                  <c:v>37.64</c:v>
                </c:pt>
                <c:pt idx="37">
                  <c:v>37.9</c:v>
                </c:pt>
                <c:pt idx="38">
                  <c:v>37.22</c:v>
                </c:pt>
                <c:pt idx="39">
                  <c:v>31.53</c:v>
                </c:pt>
                <c:pt idx="40">
                  <c:v>35.76</c:v>
                </c:pt>
                <c:pt idx="41">
                  <c:v>34.44</c:v>
                </c:pt>
                <c:pt idx="42">
                  <c:v>28.18</c:v>
                </c:pt>
                <c:pt idx="43">
                  <c:v>34.72</c:v>
                </c:pt>
                <c:pt idx="45">
                  <c:v>46.97</c:v>
                </c:pt>
                <c:pt idx="46">
                  <c:v>59.94</c:v>
                </c:pt>
                <c:pt idx="47">
                  <c:v>63.42</c:v>
                </c:pt>
                <c:pt idx="48">
                  <c:v>60.58</c:v>
                </c:pt>
                <c:pt idx="49">
                  <c:v>60.43</c:v>
                </c:pt>
                <c:pt idx="50">
                  <c:v>61.78</c:v>
                </c:pt>
                <c:pt idx="51">
                  <c:v>59.35</c:v>
                </c:pt>
                <c:pt idx="54">
                  <c:v>54.21</c:v>
                </c:pt>
                <c:pt idx="55">
                  <c:v>54.87</c:v>
                </c:pt>
                <c:pt idx="56">
                  <c:v>56.61</c:v>
                </c:pt>
                <c:pt idx="57">
                  <c:v>56.57</c:v>
                </c:pt>
                <c:pt idx="58">
                  <c:v>60.64</c:v>
                </c:pt>
                <c:pt idx="59">
                  <c:v>57.22</c:v>
                </c:pt>
                <c:pt idx="60">
                  <c:v>60.39</c:v>
                </c:pt>
                <c:pt idx="61">
                  <c:v>61.83</c:v>
                </c:pt>
                <c:pt idx="62">
                  <c:v>56.39</c:v>
                </c:pt>
                <c:pt idx="63">
                  <c:v>51.99</c:v>
                </c:pt>
                <c:pt idx="64">
                  <c:v>54.51</c:v>
                </c:pt>
                <c:pt idx="65">
                  <c:v>60.82</c:v>
                </c:pt>
                <c:pt idx="66">
                  <c:v>57.89</c:v>
                </c:pt>
                <c:pt idx="67">
                  <c:v>60.79</c:v>
                </c:pt>
                <c:pt idx="68">
                  <c:v>60.67</c:v>
                </c:pt>
                <c:pt idx="69">
                  <c:v>62.66</c:v>
                </c:pt>
                <c:pt idx="70">
                  <c:v>74.92</c:v>
                </c:pt>
                <c:pt idx="71">
                  <c:v>80.069999999999993</c:v>
                </c:pt>
                <c:pt idx="72">
                  <c:v>78.14</c:v>
                </c:pt>
                <c:pt idx="73">
                  <c:v>65.709999999999994</c:v>
                </c:pt>
                <c:pt idx="74">
                  <c:v>62.49</c:v>
                </c:pt>
                <c:pt idx="75">
                  <c:v>60.47</c:v>
                </c:pt>
                <c:pt idx="76">
                  <c:v>59.89</c:v>
                </c:pt>
                <c:pt idx="77">
                  <c:v>67.290000000000006</c:v>
                </c:pt>
                <c:pt idx="78">
                  <c:v>55.76</c:v>
                </c:pt>
                <c:pt idx="79">
                  <c:v>50</c:v>
                </c:pt>
                <c:pt idx="80">
                  <c:v>49.02</c:v>
                </c:pt>
                <c:pt idx="81">
                  <c:v>50.85</c:v>
                </c:pt>
                <c:pt idx="82">
                  <c:v>54.41</c:v>
                </c:pt>
                <c:pt idx="83">
                  <c:v>52.2</c:v>
                </c:pt>
                <c:pt idx="84">
                  <c:v>39.21</c:v>
                </c:pt>
                <c:pt idx="86">
                  <c:v>42.05</c:v>
                </c:pt>
                <c:pt idx="87">
                  <c:v>42.32</c:v>
                </c:pt>
                <c:pt idx="88">
                  <c:v>47.33</c:v>
                </c:pt>
                <c:pt idx="89">
                  <c:v>46.21</c:v>
                </c:pt>
                <c:pt idx="90">
                  <c:v>46.96</c:v>
                </c:pt>
                <c:pt idx="91">
                  <c:v>49.22</c:v>
                </c:pt>
                <c:pt idx="92">
                  <c:v>49.93</c:v>
                </c:pt>
                <c:pt idx="93">
                  <c:v>46.55</c:v>
                </c:pt>
                <c:pt idx="94">
                  <c:v>57.47</c:v>
                </c:pt>
                <c:pt idx="95">
                  <c:v>54.98</c:v>
                </c:pt>
                <c:pt idx="96">
                  <c:v>54.26</c:v>
                </c:pt>
                <c:pt idx="97">
                  <c:v>53.29</c:v>
                </c:pt>
                <c:pt idx="98">
                  <c:v>50.02</c:v>
                </c:pt>
                <c:pt idx="99">
                  <c:v>53.07</c:v>
                </c:pt>
                <c:pt idx="100">
                  <c:v>56.73</c:v>
                </c:pt>
                <c:pt idx="101">
                  <c:v>59.94</c:v>
                </c:pt>
                <c:pt idx="102">
                  <c:v>61.91</c:v>
                </c:pt>
                <c:pt idx="103">
                  <c:v>58.11</c:v>
                </c:pt>
                <c:pt idx="104">
                  <c:v>59.47</c:v>
                </c:pt>
                <c:pt idx="105">
                  <c:v>58.79</c:v>
                </c:pt>
                <c:pt idx="106">
                  <c:v>56.98</c:v>
                </c:pt>
                <c:pt idx="107">
                  <c:v>64.62</c:v>
                </c:pt>
                <c:pt idx="108">
                  <c:v>63.6</c:v>
                </c:pt>
                <c:pt idx="109">
                  <c:v>66</c:v>
                </c:pt>
                <c:pt idx="110">
                  <c:v>63.61</c:v>
                </c:pt>
                <c:pt idx="111">
                  <c:v>56.88</c:v>
                </c:pt>
                <c:pt idx="112">
                  <c:v>57.05</c:v>
                </c:pt>
                <c:pt idx="113">
                  <c:v>59.74</c:v>
                </c:pt>
                <c:pt idx="114">
                  <c:v>56.13</c:v>
                </c:pt>
                <c:pt idx="115">
                  <c:v>62.57</c:v>
                </c:pt>
                <c:pt idx="116">
                  <c:v>62.72</c:v>
                </c:pt>
                <c:pt idx="117">
                  <c:v>59.19</c:v>
                </c:pt>
                <c:pt idx="118">
                  <c:v>65.41</c:v>
                </c:pt>
                <c:pt idx="119">
                  <c:v>62.83</c:v>
                </c:pt>
                <c:pt idx="120">
                  <c:v>68.81</c:v>
                </c:pt>
                <c:pt idx="121">
                  <c:v>62.9</c:v>
                </c:pt>
                <c:pt idx="122">
                  <c:v>57.51</c:v>
                </c:pt>
                <c:pt idx="123">
                  <c:v>64.400000000000006</c:v>
                </c:pt>
                <c:pt idx="124">
                  <c:v>57.3</c:v>
                </c:pt>
                <c:pt idx="125">
                  <c:v>64.22</c:v>
                </c:pt>
                <c:pt idx="126">
                  <c:v>64.8</c:v>
                </c:pt>
                <c:pt idx="127">
                  <c:v>57.98</c:v>
                </c:pt>
                <c:pt idx="128">
                  <c:v>60.05</c:v>
                </c:pt>
                <c:pt idx="129">
                  <c:v>73.31</c:v>
                </c:pt>
                <c:pt idx="130">
                  <c:v>69.92</c:v>
                </c:pt>
                <c:pt idx="131">
                  <c:v>67.17</c:v>
                </c:pt>
                <c:pt idx="132">
                  <c:v>68.69</c:v>
                </c:pt>
                <c:pt idx="133">
                  <c:v>65.56</c:v>
                </c:pt>
                <c:pt idx="134">
                  <c:v>76.510000000000005</c:v>
                </c:pt>
                <c:pt idx="135">
                  <c:v>75.569999999999993</c:v>
                </c:pt>
                <c:pt idx="136">
                  <c:v>71.59</c:v>
                </c:pt>
                <c:pt idx="137">
                  <c:v>74.489999999999995</c:v>
                </c:pt>
                <c:pt idx="138">
                  <c:v>67.5</c:v>
                </c:pt>
                <c:pt idx="139">
                  <c:v>64.42</c:v>
                </c:pt>
                <c:pt idx="140">
                  <c:v>55.63</c:v>
                </c:pt>
                <c:pt idx="141">
                  <c:v>42</c:v>
                </c:pt>
                <c:pt idx="142">
                  <c:v>42.15</c:v>
                </c:pt>
                <c:pt idx="148">
                  <c:v>40.68</c:v>
                </c:pt>
                <c:pt idx="149">
                  <c:v>40.93</c:v>
                </c:pt>
                <c:pt idx="150">
                  <c:v>44.18</c:v>
                </c:pt>
                <c:pt idx="151">
                  <c:v>48.83</c:v>
                </c:pt>
                <c:pt idx="152">
                  <c:v>43.95</c:v>
                </c:pt>
                <c:pt idx="153">
                  <c:v>43.05</c:v>
                </c:pt>
                <c:pt idx="154">
                  <c:v>48.12</c:v>
                </c:pt>
                <c:pt idx="155">
                  <c:v>48.26</c:v>
                </c:pt>
                <c:pt idx="156">
                  <c:v>42.02</c:v>
                </c:pt>
                <c:pt idx="157">
                  <c:v>39.51</c:v>
                </c:pt>
                <c:pt idx="158">
                  <c:v>45.26</c:v>
                </c:pt>
                <c:pt idx="159">
                  <c:v>46.2</c:v>
                </c:pt>
                <c:pt idx="160">
                  <c:v>46.82</c:v>
                </c:pt>
                <c:pt idx="161">
                  <c:v>46.57</c:v>
                </c:pt>
                <c:pt idx="162">
                  <c:v>46.82</c:v>
                </c:pt>
                <c:pt idx="163">
                  <c:v>49.92</c:v>
                </c:pt>
                <c:pt idx="164">
                  <c:v>56.28</c:v>
                </c:pt>
                <c:pt idx="165">
                  <c:v>52.59</c:v>
                </c:pt>
                <c:pt idx="166">
                  <c:v>49.79</c:v>
                </c:pt>
                <c:pt idx="167">
                  <c:v>44.81</c:v>
                </c:pt>
                <c:pt idx="168">
                  <c:v>48.39</c:v>
                </c:pt>
                <c:pt idx="169">
                  <c:v>44.68</c:v>
                </c:pt>
                <c:pt idx="170">
                  <c:v>44.51</c:v>
                </c:pt>
                <c:pt idx="171">
                  <c:v>42.77</c:v>
                </c:pt>
                <c:pt idx="172">
                  <c:v>42.04</c:v>
                </c:pt>
                <c:pt idx="173">
                  <c:v>44.89</c:v>
                </c:pt>
                <c:pt idx="174">
                  <c:v>45.19</c:v>
                </c:pt>
                <c:pt idx="175">
                  <c:v>44.52</c:v>
                </c:pt>
                <c:pt idx="176">
                  <c:v>49.92</c:v>
                </c:pt>
                <c:pt idx="177">
                  <c:v>51.22</c:v>
                </c:pt>
                <c:pt idx="178">
                  <c:v>49.72</c:v>
                </c:pt>
                <c:pt idx="179">
                  <c:v>45.83</c:v>
                </c:pt>
                <c:pt idx="180">
                  <c:v>45.59</c:v>
                </c:pt>
                <c:pt idx="181">
                  <c:v>53.51</c:v>
                </c:pt>
                <c:pt idx="183">
                  <c:v>51.48</c:v>
                </c:pt>
                <c:pt idx="184">
                  <c:v>54.1</c:v>
                </c:pt>
                <c:pt idx="185">
                  <c:v>51</c:v>
                </c:pt>
                <c:pt idx="186">
                  <c:v>52.82</c:v>
                </c:pt>
                <c:pt idx="187">
                  <c:v>55.8</c:v>
                </c:pt>
                <c:pt idx="188">
                  <c:v>65.78</c:v>
                </c:pt>
                <c:pt idx="189">
                  <c:v>64.06</c:v>
                </c:pt>
                <c:pt idx="190">
                  <c:v>54.57</c:v>
                </c:pt>
                <c:pt idx="191">
                  <c:v>50.17</c:v>
                </c:pt>
                <c:pt idx="192">
                  <c:v>45.5</c:v>
                </c:pt>
                <c:pt idx="193">
                  <c:v>58.68</c:v>
                </c:pt>
                <c:pt idx="194">
                  <c:v>62.36</c:v>
                </c:pt>
                <c:pt idx="195">
                  <c:v>66.989999999999995</c:v>
                </c:pt>
                <c:pt idx="196">
                  <c:v>68.19</c:v>
                </c:pt>
                <c:pt idx="197">
                  <c:v>64.540000000000006</c:v>
                </c:pt>
                <c:pt idx="198">
                  <c:v>62.41</c:v>
                </c:pt>
                <c:pt idx="199">
                  <c:v>62.99</c:v>
                </c:pt>
                <c:pt idx="200">
                  <c:v>60.34</c:v>
                </c:pt>
                <c:pt idx="201">
                  <c:v>61.06</c:v>
                </c:pt>
                <c:pt idx="202">
                  <c:v>57.34</c:v>
                </c:pt>
                <c:pt idx="203">
                  <c:v>59.53</c:v>
                </c:pt>
                <c:pt idx="204">
                  <c:v>59.61</c:v>
                </c:pt>
                <c:pt idx="205">
                  <c:v>60.67</c:v>
                </c:pt>
                <c:pt idx="206">
                  <c:v>63.06</c:v>
                </c:pt>
                <c:pt idx="207">
                  <c:v>62.85</c:v>
                </c:pt>
                <c:pt idx="208">
                  <c:v>63.42</c:v>
                </c:pt>
                <c:pt idx="209">
                  <c:v>63.83</c:v>
                </c:pt>
                <c:pt idx="210">
                  <c:v>67.27</c:v>
                </c:pt>
                <c:pt idx="211">
                  <c:v>63.49</c:v>
                </c:pt>
                <c:pt idx="212">
                  <c:v>65.13</c:v>
                </c:pt>
                <c:pt idx="213">
                  <c:v>62.02</c:v>
                </c:pt>
                <c:pt idx="214">
                  <c:v>61.41</c:v>
                </c:pt>
                <c:pt idx="215">
                  <c:v>68.25</c:v>
                </c:pt>
                <c:pt idx="216">
                  <c:v>73.05</c:v>
                </c:pt>
                <c:pt idx="217">
                  <c:v>72.58</c:v>
                </c:pt>
                <c:pt idx="218">
                  <c:v>78.959999999999994</c:v>
                </c:pt>
                <c:pt idx="219">
                  <c:v>75.900000000000006</c:v>
                </c:pt>
                <c:pt idx="220">
                  <c:v>69.25</c:v>
                </c:pt>
                <c:pt idx="221">
                  <c:v>50.13</c:v>
                </c:pt>
                <c:pt idx="222">
                  <c:v>54.51</c:v>
                </c:pt>
                <c:pt idx="223">
                  <c:v>50.8</c:v>
                </c:pt>
                <c:pt idx="224">
                  <c:v>54.21</c:v>
                </c:pt>
                <c:pt idx="225">
                  <c:v>51.61</c:v>
                </c:pt>
                <c:pt idx="226">
                  <c:v>49.09</c:v>
                </c:pt>
                <c:pt idx="227">
                  <c:v>48.3</c:v>
                </c:pt>
                <c:pt idx="228">
                  <c:v>52.29</c:v>
                </c:pt>
                <c:pt idx="229">
                  <c:v>50.34</c:v>
                </c:pt>
                <c:pt idx="230">
                  <c:v>47.13</c:v>
                </c:pt>
                <c:pt idx="231">
                  <c:v>68.2</c:v>
                </c:pt>
                <c:pt idx="233">
                  <c:v>62.19</c:v>
                </c:pt>
                <c:pt idx="234">
                  <c:v>65.180000000000007</c:v>
                </c:pt>
                <c:pt idx="236">
                  <c:v>66.98</c:v>
                </c:pt>
                <c:pt idx="237">
                  <c:v>70.8</c:v>
                </c:pt>
                <c:pt idx="238">
                  <c:v>67.069999999999993</c:v>
                </c:pt>
                <c:pt idx="239">
                  <c:v>73.19</c:v>
                </c:pt>
                <c:pt idx="240">
                  <c:v>76.09</c:v>
                </c:pt>
                <c:pt idx="241">
                  <c:v>87.62</c:v>
                </c:pt>
                <c:pt idx="242">
                  <c:v>85.12</c:v>
                </c:pt>
                <c:pt idx="243">
                  <c:v>82.08</c:v>
                </c:pt>
                <c:pt idx="244">
                  <c:v>81.11</c:v>
                </c:pt>
                <c:pt idx="245">
                  <c:v>80.11</c:v>
                </c:pt>
                <c:pt idx="246">
                  <c:v>76.8</c:v>
                </c:pt>
                <c:pt idx="247">
                  <c:v>75.45</c:v>
                </c:pt>
                <c:pt idx="248">
                  <c:v>66.55</c:v>
                </c:pt>
                <c:pt idx="249">
                  <c:v>63.18</c:v>
                </c:pt>
                <c:pt idx="250">
                  <c:v>62.27</c:v>
                </c:pt>
                <c:pt idx="251">
                  <c:v>78.59</c:v>
                </c:pt>
                <c:pt idx="252">
                  <c:v>78.459999999999994</c:v>
                </c:pt>
                <c:pt idx="253">
                  <c:v>75.64</c:v>
                </c:pt>
                <c:pt idx="254">
                  <c:v>80.510000000000005</c:v>
                </c:pt>
                <c:pt idx="257">
                  <c:v>75.02</c:v>
                </c:pt>
                <c:pt idx="259">
                  <c:v>77.989999999999995</c:v>
                </c:pt>
                <c:pt idx="260">
                  <c:v>79.069999999999993</c:v>
                </c:pt>
                <c:pt idx="261">
                  <c:v>78.209999999999994</c:v>
                </c:pt>
                <c:pt idx="262">
                  <c:v>75.58</c:v>
                </c:pt>
                <c:pt idx="263">
                  <c:v>74.569999999999993</c:v>
                </c:pt>
                <c:pt idx="264">
                  <c:v>78.19</c:v>
                </c:pt>
                <c:pt idx="265">
                  <c:v>79.45</c:v>
                </c:pt>
                <c:pt idx="266">
                  <c:v>78.48</c:v>
                </c:pt>
                <c:pt idx="267">
                  <c:v>72.19</c:v>
                </c:pt>
                <c:pt idx="268">
                  <c:v>70.48</c:v>
                </c:pt>
                <c:pt idx="269">
                  <c:v>71.040000000000006</c:v>
                </c:pt>
                <c:pt idx="270">
                  <c:v>71.81</c:v>
                </c:pt>
                <c:pt idx="271">
                  <c:v>66.31</c:v>
                </c:pt>
                <c:pt idx="272">
                  <c:v>61.84</c:v>
                </c:pt>
                <c:pt idx="273">
                  <c:v>60.09</c:v>
                </c:pt>
                <c:pt idx="274">
                  <c:v>51.23</c:v>
                </c:pt>
                <c:pt idx="275">
                  <c:v>48.75</c:v>
                </c:pt>
                <c:pt idx="276">
                  <c:v>48.8</c:v>
                </c:pt>
                <c:pt idx="277">
                  <c:v>47.11</c:v>
                </c:pt>
                <c:pt idx="278">
                  <c:v>43.95</c:v>
                </c:pt>
                <c:pt idx="279">
                  <c:v>40.68</c:v>
                </c:pt>
                <c:pt idx="280">
                  <c:v>43.41</c:v>
                </c:pt>
                <c:pt idx="281">
                  <c:v>44.37</c:v>
                </c:pt>
                <c:pt idx="282">
                  <c:v>48.85</c:v>
                </c:pt>
                <c:pt idx="283">
                  <c:v>52.29</c:v>
                </c:pt>
                <c:pt idx="284">
                  <c:v>57.03</c:v>
                </c:pt>
                <c:pt idx="285">
                  <c:v>56.88</c:v>
                </c:pt>
                <c:pt idx="286">
                  <c:v>55.31</c:v>
                </c:pt>
                <c:pt idx="287">
                  <c:v>53.83</c:v>
                </c:pt>
                <c:pt idx="288">
                  <c:v>51.47</c:v>
                </c:pt>
                <c:pt idx="289">
                  <c:v>51.63</c:v>
                </c:pt>
                <c:pt idx="290">
                  <c:v>49.42</c:v>
                </c:pt>
                <c:pt idx="291">
                  <c:v>53.31</c:v>
                </c:pt>
                <c:pt idx="292">
                  <c:v>54.07</c:v>
                </c:pt>
                <c:pt idx="293">
                  <c:v>54.85</c:v>
                </c:pt>
                <c:pt idx="294">
                  <c:v>53.36</c:v>
                </c:pt>
                <c:pt idx="295">
                  <c:v>54.62</c:v>
                </c:pt>
                <c:pt idx="296">
                  <c:v>60.47</c:v>
                </c:pt>
                <c:pt idx="297">
                  <c:v>57.6</c:v>
                </c:pt>
                <c:pt idx="298">
                  <c:v>60.47</c:v>
                </c:pt>
                <c:pt idx="299">
                  <c:v>59</c:v>
                </c:pt>
                <c:pt idx="300">
                  <c:v>49.83</c:v>
                </c:pt>
                <c:pt idx="302">
                  <c:v>49.2</c:v>
                </c:pt>
                <c:pt idx="303">
                  <c:v>69.94</c:v>
                </c:pt>
                <c:pt idx="304">
                  <c:v>75.709999999999994</c:v>
                </c:pt>
                <c:pt idx="305">
                  <c:v>73.19</c:v>
                </c:pt>
                <c:pt idx="306">
                  <c:v>65.489999999999995</c:v>
                </c:pt>
                <c:pt idx="307">
                  <c:v>61.91</c:v>
                </c:pt>
                <c:pt idx="308">
                  <c:v>63.39</c:v>
                </c:pt>
                <c:pt idx="309">
                  <c:v>55.88</c:v>
                </c:pt>
                <c:pt idx="310">
                  <c:v>52.85</c:v>
                </c:pt>
                <c:pt idx="311">
                  <c:v>52.63</c:v>
                </c:pt>
                <c:pt idx="312">
                  <c:v>48.35</c:v>
                </c:pt>
                <c:pt idx="313">
                  <c:v>43.73</c:v>
                </c:pt>
                <c:pt idx="314">
                  <c:v>40.64</c:v>
                </c:pt>
                <c:pt idx="315">
                  <c:v>39.5</c:v>
                </c:pt>
                <c:pt idx="316">
                  <c:v>40.130000000000003</c:v>
                </c:pt>
                <c:pt idx="317">
                  <c:v>41.18</c:v>
                </c:pt>
                <c:pt idx="318">
                  <c:v>53.55</c:v>
                </c:pt>
                <c:pt idx="319">
                  <c:v>52.63</c:v>
                </c:pt>
                <c:pt idx="320">
                  <c:v>44.8</c:v>
                </c:pt>
                <c:pt idx="321">
                  <c:v>47.73</c:v>
                </c:pt>
                <c:pt idx="322">
                  <c:v>48.88</c:v>
                </c:pt>
                <c:pt idx="327">
                  <c:v>49.7</c:v>
                </c:pt>
                <c:pt idx="328">
                  <c:v>46.25</c:v>
                </c:pt>
                <c:pt idx="329">
                  <c:v>52.4</c:v>
                </c:pt>
                <c:pt idx="330">
                  <c:v>54.74</c:v>
                </c:pt>
                <c:pt idx="331">
                  <c:v>50.28</c:v>
                </c:pt>
                <c:pt idx="332">
                  <c:v>48.79</c:v>
                </c:pt>
                <c:pt idx="333">
                  <c:v>41.71</c:v>
                </c:pt>
                <c:pt idx="334">
                  <c:v>42.76</c:v>
                </c:pt>
                <c:pt idx="335">
                  <c:v>40.79</c:v>
                </c:pt>
                <c:pt idx="336">
                  <c:v>41.28</c:v>
                </c:pt>
                <c:pt idx="337">
                  <c:v>43.26</c:v>
                </c:pt>
                <c:pt idx="338">
                  <c:v>41.84</c:v>
                </c:pt>
                <c:pt idx="339">
                  <c:v>43.3</c:v>
                </c:pt>
                <c:pt idx="340">
                  <c:v>44.17</c:v>
                </c:pt>
                <c:pt idx="341">
                  <c:v>37.4</c:v>
                </c:pt>
                <c:pt idx="342">
                  <c:v>36.35</c:v>
                </c:pt>
                <c:pt idx="343">
                  <c:v>30.48</c:v>
                </c:pt>
                <c:pt idx="345">
                  <c:v>33.72</c:v>
                </c:pt>
                <c:pt idx="346">
                  <c:v>32.68</c:v>
                </c:pt>
                <c:pt idx="347">
                  <c:v>36.869999999999997</c:v>
                </c:pt>
                <c:pt idx="348">
                  <c:v>38.36</c:v>
                </c:pt>
                <c:pt idx="349">
                  <c:v>39.57</c:v>
                </c:pt>
                <c:pt idx="350">
                  <c:v>32.32</c:v>
                </c:pt>
                <c:pt idx="351">
                  <c:v>33.51</c:v>
                </c:pt>
                <c:pt idx="352">
                  <c:v>38.619999999999997</c:v>
                </c:pt>
                <c:pt idx="353">
                  <c:v>38.33</c:v>
                </c:pt>
                <c:pt idx="354">
                  <c:v>38.93</c:v>
                </c:pt>
                <c:pt idx="355">
                  <c:v>35.340000000000003</c:v>
                </c:pt>
                <c:pt idx="356">
                  <c:v>34.380000000000003</c:v>
                </c:pt>
                <c:pt idx="357">
                  <c:v>35.61</c:v>
                </c:pt>
                <c:pt idx="358">
                  <c:v>35.340000000000003</c:v>
                </c:pt>
                <c:pt idx="359">
                  <c:v>28.24</c:v>
                </c:pt>
                <c:pt idx="360">
                  <c:v>30.35</c:v>
                </c:pt>
                <c:pt idx="361">
                  <c:v>33.61</c:v>
                </c:pt>
                <c:pt idx="362">
                  <c:v>32.56</c:v>
                </c:pt>
                <c:pt idx="363">
                  <c:v>53.08</c:v>
                </c:pt>
                <c:pt idx="364">
                  <c:v>54.05</c:v>
                </c:pt>
                <c:pt idx="365">
                  <c:v>60.17</c:v>
                </c:pt>
                <c:pt idx="366">
                  <c:v>64.709999999999994</c:v>
                </c:pt>
                <c:pt idx="367">
                  <c:v>65.66</c:v>
                </c:pt>
                <c:pt idx="368">
                  <c:v>69.59</c:v>
                </c:pt>
                <c:pt idx="369">
                  <c:v>66.13</c:v>
                </c:pt>
                <c:pt idx="370">
                  <c:v>64.709999999999994</c:v>
                </c:pt>
                <c:pt idx="371">
                  <c:v>64.150000000000006</c:v>
                </c:pt>
                <c:pt idx="372">
                  <c:v>63.43</c:v>
                </c:pt>
                <c:pt idx="373">
                  <c:v>66.86</c:v>
                </c:pt>
                <c:pt idx="374">
                  <c:v>61.82</c:v>
                </c:pt>
                <c:pt idx="375">
                  <c:v>52.73</c:v>
                </c:pt>
                <c:pt idx="376">
                  <c:v>57.99</c:v>
                </c:pt>
                <c:pt idx="377">
                  <c:v>49.08</c:v>
                </c:pt>
                <c:pt idx="378">
                  <c:v>40.590000000000003</c:v>
                </c:pt>
                <c:pt idx="379">
                  <c:v>49.08</c:v>
                </c:pt>
                <c:pt idx="380">
                  <c:v>50.52</c:v>
                </c:pt>
                <c:pt idx="381">
                  <c:v>59.93</c:v>
                </c:pt>
                <c:pt idx="382">
                  <c:v>58.87</c:v>
                </c:pt>
                <c:pt idx="383">
                  <c:v>61.52</c:v>
                </c:pt>
                <c:pt idx="384">
                  <c:v>61.92</c:v>
                </c:pt>
                <c:pt idx="385">
                  <c:v>57.76</c:v>
                </c:pt>
                <c:pt idx="386">
                  <c:v>61.43</c:v>
                </c:pt>
                <c:pt idx="387">
                  <c:v>60.57</c:v>
                </c:pt>
                <c:pt idx="388">
                  <c:v>62.19</c:v>
                </c:pt>
                <c:pt idx="389">
                  <c:v>61.96</c:v>
                </c:pt>
                <c:pt idx="390">
                  <c:v>61.47</c:v>
                </c:pt>
                <c:pt idx="391">
                  <c:v>64.430000000000007</c:v>
                </c:pt>
                <c:pt idx="392">
                  <c:v>57.07</c:v>
                </c:pt>
                <c:pt idx="393">
                  <c:v>55.35</c:v>
                </c:pt>
                <c:pt idx="394">
                  <c:v>50.05</c:v>
                </c:pt>
                <c:pt idx="395">
                  <c:v>48.23</c:v>
                </c:pt>
                <c:pt idx="396">
                  <c:v>44.06</c:v>
                </c:pt>
                <c:pt idx="397">
                  <c:v>45.19</c:v>
                </c:pt>
                <c:pt idx="398">
                  <c:v>46.98</c:v>
                </c:pt>
                <c:pt idx="399">
                  <c:v>46.18</c:v>
                </c:pt>
                <c:pt idx="400">
                  <c:v>39.68</c:v>
                </c:pt>
                <c:pt idx="401">
                  <c:v>39.65</c:v>
                </c:pt>
                <c:pt idx="403">
                  <c:v>40.85</c:v>
                </c:pt>
                <c:pt idx="404">
                  <c:v>41.37</c:v>
                </c:pt>
                <c:pt idx="405">
                  <c:v>42.56</c:v>
                </c:pt>
                <c:pt idx="407">
                  <c:v>39.840000000000003</c:v>
                </c:pt>
                <c:pt idx="409">
                  <c:v>46.12</c:v>
                </c:pt>
                <c:pt idx="410">
                  <c:v>47.74</c:v>
                </c:pt>
                <c:pt idx="411">
                  <c:v>45.4</c:v>
                </c:pt>
                <c:pt idx="412">
                  <c:v>39.78</c:v>
                </c:pt>
                <c:pt idx="413">
                  <c:v>43.82</c:v>
                </c:pt>
                <c:pt idx="414">
                  <c:v>44.85</c:v>
                </c:pt>
                <c:pt idx="415">
                  <c:v>60.46</c:v>
                </c:pt>
                <c:pt idx="416">
                  <c:v>58.15</c:v>
                </c:pt>
                <c:pt idx="420">
                  <c:v>57.6</c:v>
                </c:pt>
                <c:pt idx="421">
                  <c:v>54.25</c:v>
                </c:pt>
                <c:pt idx="422">
                  <c:v>51.96</c:v>
                </c:pt>
                <c:pt idx="423">
                  <c:v>50.94</c:v>
                </c:pt>
                <c:pt idx="424">
                  <c:v>53.28</c:v>
                </c:pt>
                <c:pt idx="425">
                  <c:v>53.69</c:v>
                </c:pt>
                <c:pt idx="426">
                  <c:v>61.22</c:v>
                </c:pt>
                <c:pt idx="427">
                  <c:v>59.9</c:v>
                </c:pt>
                <c:pt idx="428">
                  <c:v>63.98</c:v>
                </c:pt>
                <c:pt idx="429">
                  <c:v>60</c:v>
                </c:pt>
                <c:pt idx="430">
                  <c:v>64.06</c:v>
                </c:pt>
                <c:pt idx="431">
                  <c:v>66.64</c:v>
                </c:pt>
                <c:pt idx="432">
                  <c:v>69.05</c:v>
                </c:pt>
                <c:pt idx="433">
                  <c:v>73.42</c:v>
                </c:pt>
                <c:pt idx="434">
                  <c:v>70.12</c:v>
                </c:pt>
                <c:pt idx="435">
                  <c:v>64.73</c:v>
                </c:pt>
                <c:pt idx="436">
                  <c:v>62.76</c:v>
                </c:pt>
                <c:pt idx="437">
                  <c:v>62.41</c:v>
                </c:pt>
                <c:pt idx="438">
                  <c:v>55.84</c:v>
                </c:pt>
                <c:pt idx="439">
                  <c:v>51.03</c:v>
                </c:pt>
                <c:pt idx="440">
                  <c:v>55.99</c:v>
                </c:pt>
                <c:pt idx="442">
                  <c:v>53.22</c:v>
                </c:pt>
                <c:pt idx="443">
                  <c:v>52.57</c:v>
                </c:pt>
                <c:pt idx="444">
                  <c:v>52.07</c:v>
                </c:pt>
                <c:pt idx="445">
                  <c:v>45.28</c:v>
                </c:pt>
                <c:pt idx="446">
                  <c:v>46.47</c:v>
                </c:pt>
                <c:pt idx="447">
                  <c:v>49.52</c:v>
                </c:pt>
                <c:pt idx="448">
                  <c:v>43.85</c:v>
                </c:pt>
                <c:pt idx="449">
                  <c:v>34.9</c:v>
                </c:pt>
                <c:pt idx="450">
                  <c:v>47.87</c:v>
                </c:pt>
                <c:pt idx="451">
                  <c:v>55.79</c:v>
                </c:pt>
                <c:pt idx="452">
                  <c:v>53.55</c:v>
                </c:pt>
                <c:pt idx="453">
                  <c:v>48.74</c:v>
                </c:pt>
                <c:pt idx="454">
                  <c:v>51.91</c:v>
                </c:pt>
                <c:pt idx="455">
                  <c:v>41.75</c:v>
                </c:pt>
                <c:pt idx="456">
                  <c:v>38.65</c:v>
                </c:pt>
                <c:pt idx="457">
                  <c:v>41.25</c:v>
                </c:pt>
                <c:pt idx="458">
                  <c:v>41.73</c:v>
                </c:pt>
                <c:pt idx="459">
                  <c:v>42.51</c:v>
                </c:pt>
                <c:pt idx="460">
                  <c:v>45.43</c:v>
                </c:pt>
                <c:pt idx="461">
                  <c:v>43.55</c:v>
                </c:pt>
                <c:pt idx="462">
                  <c:v>41.42</c:v>
                </c:pt>
                <c:pt idx="463">
                  <c:v>42.98</c:v>
                </c:pt>
                <c:pt idx="464">
                  <c:v>44.22</c:v>
                </c:pt>
                <c:pt idx="465">
                  <c:v>46</c:v>
                </c:pt>
                <c:pt idx="466">
                  <c:v>50.37</c:v>
                </c:pt>
                <c:pt idx="467">
                  <c:v>46.22</c:v>
                </c:pt>
                <c:pt idx="468">
                  <c:v>49.39</c:v>
                </c:pt>
                <c:pt idx="469">
                  <c:v>51.36</c:v>
                </c:pt>
                <c:pt idx="470">
                  <c:v>48.26</c:v>
                </c:pt>
                <c:pt idx="471">
                  <c:v>44.37</c:v>
                </c:pt>
                <c:pt idx="472">
                  <c:v>43</c:v>
                </c:pt>
                <c:pt idx="473">
                  <c:v>44.52</c:v>
                </c:pt>
                <c:pt idx="474">
                  <c:v>53.25</c:v>
                </c:pt>
                <c:pt idx="475">
                  <c:v>53.62</c:v>
                </c:pt>
                <c:pt idx="476">
                  <c:v>52.53</c:v>
                </c:pt>
                <c:pt idx="477">
                  <c:v>57.11</c:v>
                </c:pt>
                <c:pt idx="478">
                  <c:v>60.26</c:v>
                </c:pt>
                <c:pt idx="479">
                  <c:v>65.55</c:v>
                </c:pt>
                <c:pt idx="480">
                  <c:v>64.08</c:v>
                </c:pt>
                <c:pt idx="481">
                  <c:v>75.02</c:v>
                </c:pt>
                <c:pt idx="482">
                  <c:v>70.03</c:v>
                </c:pt>
                <c:pt idx="483">
                  <c:v>69.33</c:v>
                </c:pt>
                <c:pt idx="484">
                  <c:v>66.45</c:v>
                </c:pt>
                <c:pt idx="485">
                  <c:v>65.040000000000006</c:v>
                </c:pt>
                <c:pt idx="486">
                  <c:v>64.650000000000006</c:v>
                </c:pt>
                <c:pt idx="487">
                  <c:v>60.83</c:v>
                </c:pt>
                <c:pt idx="488">
                  <c:v>59.14</c:v>
                </c:pt>
                <c:pt idx="489">
                  <c:v>56.6</c:v>
                </c:pt>
                <c:pt idx="490">
                  <c:v>55.49</c:v>
                </c:pt>
                <c:pt idx="492">
                  <c:v>64.45</c:v>
                </c:pt>
                <c:pt idx="493">
                  <c:v>60.38</c:v>
                </c:pt>
                <c:pt idx="494">
                  <c:v>61.87</c:v>
                </c:pt>
                <c:pt idx="495">
                  <c:v>43.82</c:v>
                </c:pt>
                <c:pt idx="496">
                  <c:v>37.159999999999997</c:v>
                </c:pt>
                <c:pt idx="497">
                  <c:v>42.15</c:v>
                </c:pt>
                <c:pt idx="498">
                  <c:v>44.3</c:v>
                </c:pt>
                <c:pt idx="499">
                  <c:v>44.75</c:v>
                </c:pt>
                <c:pt idx="500">
                  <c:v>43.56</c:v>
                </c:pt>
                <c:pt idx="501">
                  <c:v>47.02</c:v>
                </c:pt>
                <c:pt idx="502">
                  <c:v>47.8</c:v>
                </c:pt>
                <c:pt idx="503">
                  <c:v>46.45</c:v>
                </c:pt>
                <c:pt idx="504">
                  <c:v>45.99</c:v>
                </c:pt>
                <c:pt idx="505">
                  <c:v>44</c:v>
                </c:pt>
                <c:pt idx="506">
                  <c:v>42.49</c:v>
                </c:pt>
                <c:pt idx="508">
                  <c:v>41.34</c:v>
                </c:pt>
                <c:pt idx="509">
                  <c:v>36.76</c:v>
                </c:pt>
                <c:pt idx="510">
                  <c:v>45.75</c:v>
                </c:pt>
                <c:pt idx="511">
                  <c:v>55.06</c:v>
                </c:pt>
                <c:pt idx="512">
                  <c:v>52.03</c:v>
                </c:pt>
                <c:pt idx="513">
                  <c:v>55.24</c:v>
                </c:pt>
                <c:pt idx="515">
                  <c:v>49.87</c:v>
                </c:pt>
                <c:pt idx="516">
                  <c:v>50.39</c:v>
                </c:pt>
                <c:pt idx="518">
                  <c:v>49.33</c:v>
                </c:pt>
                <c:pt idx="519">
                  <c:v>50.63</c:v>
                </c:pt>
                <c:pt idx="520">
                  <c:v>48.15</c:v>
                </c:pt>
                <c:pt idx="521">
                  <c:v>47.21</c:v>
                </c:pt>
                <c:pt idx="522">
                  <c:v>46.85</c:v>
                </c:pt>
                <c:pt idx="523">
                  <c:v>50.29</c:v>
                </c:pt>
                <c:pt idx="524">
                  <c:v>45.03</c:v>
                </c:pt>
                <c:pt idx="525">
                  <c:v>38.03</c:v>
                </c:pt>
                <c:pt idx="526">
                  <c:v>39.630000000000003</c:v>
                </c:pt>
                <c:pt idx="527">
                  <c:v>33.47</c:v>
                </c:pt>
                <c:pt idx="528">
                  <c:v>37.5</c:v>
                </c:pt>
                <c:pt idx="529">
                  <c:v>40.67</c:v>
                </c:pt>
                <c:pt idx="530">
                  <c:v>31</c:v>
                </c:pt>
                <c:pt idx="531">
                  <c:v>38.44</c:v>
                </c:pt>
                <c:pt idx="533">
                  <c:v>46.77</c:v>
                </c:pt>
                <c:pt idx="534">
                  <c:v>46.74</c:v>
                </c:pt>
                <c:pt idx="535">
                  <c:v>39.6</c:v>
                </c:pt>
                <c:pt idx="536">
                  <c:v>40.549999999999997</c:v>
                </c:pt>
                <c:pt idx="537">
                  <c:v>35.43</c:v>
                </c:pt>
                <c:pt idx="538">
                  <c:v>37.19</c:v>
                </c:pt>
                <c:pt idx="539">
                  <c:v>41.55</c:v>
                </c:pt>
                <c:pt idx="540">
                  <c:v>40.36</c:v>
                </c:pt>
                <c:pt idx="541">
                  <c:v>41.62</c:v>
                </c:pt>
                <c:pt idx="542">
                  <c:v>42.18</c:v>
                </c:pt>
                <c:pt idx="543">
                  <c:v>41.85</c:v>
                </c:pt>
                <c:pt idx="544">
                  <c:v>43.89</c:v>
                </c:pt>
                <c:pt idx="545">
                  <c:v>47.26</c:v>
                </c:pt>
                <c:pt idx="546">
                  <c:v>47.52</c:v>
                </c:pt>
                <c:pt idx="547">
                  <c:v>42.35</c:v>
                </c:pt>
                <c:pt idx="548">
                  <c:v>43</c:v>
                </c:pt>
                <c:pt idx="549">
                  <c:v>58.73</c:v>
                </c:pt>
                <c:pt idx="550">
                  <c:v>65.760000000000005</c:v>
                </c:pt>
                <c:pt idx="551">
                  <c:v>65.75</c:v>
                </c:pt>
                <c:pt idx="552">
                  <c:v>59.69</c:v>
                </c:pt>
                <c:pt idx="553">
                  <c:v>57.99</c:v>
                </c:pt>
                <c:pt idx="554">
                  <c:v>61.77</c:v>
                </c:pt>
                <c:pt idx="555">
                  <c:v>62.65</c:v>
                </c:pt>
                <c:pt idx="556">
                  <c:v>65.599999999999994</c:v>
                </c:pt>
                <c:pt idx="557">
                  <c:v>70.7</c:v>
                </c:pt>
                <c:pt idx="558">
                  <c:v>69.489999999999995</c:v>
                </c:pt>
                <c:pt idx="559">
                  <c:v>72.87</c:v>
                </c:pt>
                <c:pt idx="561">
                  <c:v>73.260000000000005</c:v>
                </c:pt>
                <c:pt idx="562">
                  <c:v>71.599999999999994</c:v>
                </c:pt>
                <c:pt idx="563">
                  <c:v>71.13</c:v>
                </c:pt>
                <c:pt idx="564">
                  <c:v>77.7</c:v>
                </c:pt>
                <c:pt idx="565">
                  <c:v>73.66</c:v>
                </c:pt>
                <c:pt idx="566">
                  <c:v>71.87</c:v>
                </c:pt>
                <c:pt idx="567">
                  <c:v>70.97</c:v>
                </c:pt>
                <c:pt idx="568">
                  <c:v>76.150000000000006</c:v>
                </c:pt>
                <c:pt idx="569">
                  <c:v>76.11</c:v>
                </c:pt>
                <c:pt idx="570">
                  <c:v>63.38</c:v>
                </c:pt>
                <c:pt idx="571">
                  <c:v>59.83</c:v>
                </c:pt>
                <c:pt idx="572">
                  <c:v>65.8</c:v>
                </c:pt>
                <c:pt idx="573">
                  <c:v>69.55</c:v>
                </c:pt>
                <c:pt idx="576">
                  <c:v>64.02</c:v>
                </c:pt>
                <c:pt idx="577">
                  <c:v>70.77</c:v>
                </c:pt>
                <c:pt idx="578">
                  <c:v>66.099999999999994</c:v>
                </c:pt>
                <c:pt idx="579">
                  <c:v>65.61</c:v>
                </c:pt>
                <c:pt idx="580">
                  <c:v>67.91</c:v>
                </c:pt>
                <c:pt idx="581">
                  <c:v>68.540000000000006</c:v>
                </c:pt>
                <c:pt idx="582">
                  <c:v>62.65</c:v>
                </c:pt>
                <c:pt idx="583">
                  <c:v>61.18</c:v>
                </c:pt>
                <c:pt idx="584">
                  <c:v>65.55</c:v>
                </c:pt>
                <c:pt idx="585">
                  <c:v>54.56</c:v>
                </c:pt>
                <c:pt idx="586">
                  <c:v>53.59</c:v>
                </c:pt>
                <c:pt idx="587">
                  <c:v>43.11</c:v>
                </c:pt>
                <c:pt idx="588">
                  <c:v>42.38</c:v>
                </c:pt>
                <c:pt idx="589">
                  <c:v>44.63</c:v>
                </c:pt>
                <c:pt idx="590">
                  <c:v>38.130000000000003</c:v>
                </c:pt>
                <c:pt idx="591">
                  <c:v>46.44</c:v>
                </c:pt>
                <c:pt idx="592">
                  <c:v>50.21</c:v>
                </c:pt>
                <c:pt idx="593">
                  <c:v>56.13</c:v>
                </c:pt>
                <c:pt idx="594">
                  <c:v>48.66</c:v>
                </c:pt>
                <c:pt idx="595">
                  <c:v>46.37</c:v>
                </c:pt>
                <c:pt idx="596">
                  <c:v>46.29</c:v>
                </c:pt>
                <c:pt idx="597">
                  <c:v>51.31</c:v>
                </c:pt>
                <c:pt idx="598">
                  <c:v>55</c:v>
                </c:pt>
                <c:pt idx="599">
                  <c:v>44.59</c:v>
                </c:pt>
                <c:pt idx="600">
                  <c:v>49.93</c:v>
                </c:pt>
                <c:pt idx="601">
                  <c:v>50.72</c:v>
                </c:pt>
                <c:pt idx="602">
                  <c:v>57.82</c:v>
                </c:pt>
                <c:pt idx="603">
                  <c:v>50.88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8C-4DBE-B15A-609290A57226}"/>
            </c:ext>
          </c:extLst>
        </c:ser>
        <c:ser>
          <c:idx val="1"/>
          <c:order val="1"/>
          <c:tx>
            <c:strRef>
              <c:f>'미국 RSI'!$J$1</c:f>
              <c:strCache>
                <c:ptCount val="1"/>
                <c:pt idx="0">
                  <c:v>유틸리티(US)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RSI'!$J$69:$J$3068</c:f>
              <c:numCache>
                <c:formatCode>0.00</c:formatCode>
                <c:ptCount val="3000"/>
                <c:pt idx="0">
                  <c:v>54.38</c:v>
                </c:pt>
                <c:pt idx="1">
                  <c:v>57.21</c:v>
                </c:pt>
                <c:pt idx="2">
                  <c:v>46.27</c:v>
                </c:pt>
                <c:pt idx="3">
                  <c:v>52.5</c:v>
                </c:pt>
                <c:pt idx="4">
                  <c:v>51.87</c:v>
                </c:pt>
                <c:pt idx="5">
                  <c:v>51.77</c:v>
                </c:pt>
                <c:pt idx="6">
                  <c:v>50.92</c:v>
                </c:pt>
                <c:pt idx="7">
                  <c:v>36.96</c:v>
                </c:pt>
                <c:pt idx="8">
                  <c:v>37.61</c:v>
                </c:pt>
                <c:pt idx="9">
                  <c:v>44.97</c:v>
                </c:pt>
                <c:pt idx="10">
                  <c:v>49.59</c:v>
                </c:pt>
                <c:pt idx="11">
                  <c:v>51.88</c:v>
                </c:pt>
                <c:pt idx="12">
                  <c:v>48</c:v>
                </c:pt>
                <c:pt idx="13">
                  <c:v>53.45</c:v>
                </c:pt>
                <c:pt idx="14">
                  <c:v>52.56</c:v>
                </c:pt>
                <c:pt idx="15">
                  <c:v>60.17</c:v>
                </c:pt>
                <c:pt idx="16">
                  <c:v>62.99</c:v>
                </c:pt>
                <c:pt idx="17">
                  <c:v>59.56</c:v>
                </c:pt>
                <c:pt idx="18">
                  <c:v>54.12</c:v>
                </c:pt>
                <c:pt idx="19">
                  <c:v>52.97</c:v>
                </c:pt>
                <c:pt idx="21">
                  <c:v>55.16</c:v>
                </c:pt>
                <c:pt idx="22">
                  <c:v>52.71</c:v>
                </c:pt>
                <c:pt idx="23">
                  <c:v>50.29</c:v>
                </c:pt>
                <c:pt idx="24">
                  <c:v>50.62</c:v>
                </c:pt>
                <c:pt idx="25">
                  <c:v>47.11</c:v>
                </c:pt>
                <c:pt idx="26">
                  <c:v>44.2</c:v>
                </c:pt>
                <c:pt idx="27">
                  <c:v>43.31</c:v>
                </c:pt>
                <c:pt idx="28">
                  <c:v>41.58</c:v>
                </c:pt>
                <c:pt idx="29">
                  <c:v>38.19</c:v>
                </c:pt>
                <c:pt idx="30">
                  <c:v>36.76</c:v>
                </c:pt>
                <c:pt idx="31">
                  <c:v>53.46</c:v>
                </c:pt>
                <c:pt idx="32">
                  <c:v>55.82</c:v>
                </c:pt>
                <c:pt idx="33">
                  <c:v>61.11</c:v>
                </c:pt>
                <c:pt idx="34">
                  <c:v>62.91</c:v>
                </c:pt>
                <c:pt idx="35">
                  <c:v>60.42</c:v>
                </c:pt>
                <c:pt idx="36">
                  <c:v>56.22</c:v>
                </c:pt>
                <c:pt idx="37">
                  <c:v>52.89</c:v>
                </c:pt>
                <c:pt idx="38">
                  <c:v>57.7</c:v>
                </c:pt>
                <c:pt idx="39">
                  <c:v>61.57</c:v>
                </c:pt>
                <c:pt idx="40">
                  <c:v>60.64</c:v>
                </c:pt>
                <c:pt idx="41">
                  <c:v>62.69</c:v>
                </c:pt>
                <c:pt idx="42">
                  <c:v>67.59</c:v>
                </c:pt>
                <c:pt idx="43">
                  <c:v>66.27</c:v>
                </c:pt>
                <c:pt idx="44">
                  <c:v>70.27</c:v>
                </c:pt>
                <c:pt idx="45">
                  <c:v>75.33</c:v>
                </c:pt>
                <c:pt idx="46">
                  <c:v>72.52</c:v>
                </c:pt>
                <c:pt idx="47">
                  <c:v>75.12</c:v>
                </c:pt>
                <c:pt idx="48">
                  <c:v>74.37</c:v>
                </c:pt>
                <c:pt idx="49">
                  <c:v>71.77</c:v>
                </c:pt>
                <c:pt idx="50">
                  <c:v>69.86</c:v>
                </c:pt>
                <c:pt idx="51">
                  <c:v>68.62</c:v>
                </c:pt>
                <c:pt idx="52">
                  <c:v>65.64</c:v>
                </c:pt>
                <c:pt idx="53">
                  <c:v>75.95</c:v>
                </c:pt>
                <c:pt idx="54">
                  <c:v>77.72</c:v>
                </c:pt>
                <c:pt idx="55">
                  <c:v>71.25</c:v>
                </c:pt>
                <c:pt idx="56">
                  <c:v>66.48</c:v>
                </c:pt>
                <c:pt idx="57">
                  <c:v>63.12</c:v>
                </c:pt>
                <c:pt idx="58">
                  <c:v>55.46</c:v>
                </c:pt>
                <c:pt idx="59">
                  <c:v>53.86</c:v>
                </c:pt>
                <c:pt idx="60">
                  <c:v>50.69</c:v>
                </c:pt>
                <c:pt idx="61">
                  <c:v>50.43</c:v>
                </c:pt>
                <c:pt idx="62">
                  <c:v>52.43</c:v>
                </c:pt>
                <c:pt idx="63">
                  <c:v>44.51</c:v>
                </c:pt>
                <c:pt idx="64">
                  <c:v>52.81</c:v>
                </c:pt>
                <c:pt idx="65">
                  <c:v>54</c:v>
                </c:pt>
                <c:pt idx="66">
                  <c:v>54</c:v>
                </c:pt>
                <c:pt idx="67">
                  <c:v>55.34</c:v>
                </c:pt>
                <c:pt idx="68">
                  <c:v>48.72</c:v>
                </c:pt>
                <c:pt idx="69">
                  <c:v>44.49</c:v>
                </c:pt>
                <c:pt idx="70">
                  <c:v>46.2</c:v>
                </c:pt>
                <c:pt idx="71">
                  <c:v>49.88</c:v>
                </c:pt>
                <c:pt idx="72">
                  <c:v>49.15</c:v>
                </c:pt>
                <c:pt idx="74">
                  <c:v>54.42</c:v>
                </c:pt>
                <c:pt idx="75">
                  <c:v>57.34</c:v>
                </c:pt>
                <c:pt idx="76">
                  <c:v>52.62</c:v>
                </c:pt>
                <c:pt idx="77">
                  <c:v>48.8</c:v>
                </c:pt>
                <c:pt idx="78">
                  <c:v>45.34</c:v>
                </c:pt>
                <c:pt idx="79">
                  <c:v>44.44</c:v>
                </c:pt>
                <c:pt idx="80">
                  <c:v>37.29</c:v>
                </c:pt>
                <c:pt idx="81">
                  <c:v>35.520000000000003</c:v>
                </c:pt>
                <c:pt idx="82">
                  <c:v>46.01</c:v>
                </c:pt>
                <c:pt idx="83">
                  <c:v>42.84</c:v>
                </c:pt>
                <c:pt idx="84">
                  <c:v>48.93</c:v>
                </c:pt>
                <c:pt idx="85">
                  <c:v>40.98</c:v>
                </c:pt>
                <c:pt idx="86">
                  <c:v>44.53</c:v>
                </c:pt>
                <c:pt idx="87">
                  <c:v>42.82</c:v>
                </c:pt>
                <c:pt idx="88">
                  <c:v>41.49</c:v>
                </c:pt>
                <c:pt idx="89">
                  <c:v>41.83</c:v>
                </c:pt>
                <c:pt idx="90">
                  <c:v>38.89</c:v>
                </c:pt>
                <c:pt idx="91">
                  <c:v>36.54</c:v>
                </c:pt>
                <c:pt idx="92">
                  <c:v>37.979999999999997</c:v>
                </c:pt>
                <c:pt idx="93">
                  <c:v>43.49</c:v>
                </c:pt>
                <c:pt idx="94">
                  <c:v>37.020000000000003</c:v>
                </c:pt>
                <c:pt idx="95">
                  <c:v>39.840000000000003</c:v>
                </c:pt>
                <c:pt idx="96">
                  <c:v>41.74</c:v>
                </c:pt>
                <c:pt idx="97">
                  <c:v>35.56</c:v>
                </c:pt>
                <c:pt idx="98">
                  <c:v>37.549999999999997</c:v>
                </c:pt>
                <c:pt idx="99">
                  <c:v>32.35</c:v>
                </c:pt>
                <c:pt idx="100">
                  <c:v>32.51</c:v>
                </c:pt>
                <c:pt idx="101">
                  <c:v>32.04</c:v>
                </c:pt>
                <c:pt idx="102">
                  <c:v>36.67</c:v>
                </c:pt>
                <c:pt idx="103">
                  <c:v>40.51</c:v>
                </c:pt>
                <c:pt idx="104">
                  <c:v>41.39</c:v>
                </c:pt>
                <c:pt idx="105">
                  <c:v>42.74</c:v>
                </c:pt>
                <c:pt idx="106">
                  <c:v>45.85</c:v>
                </c:pt>
                <c:pt idx="107">
                  <c:v>59.39</c:v>
                </c:pt>
                <c:pt idx="109">
                  <c:v>55.73</c:v>
                </c:pt>
                <c:pt idx="110">
                  <c:v>47.64</c:v>
                </c:pt>
                <c:pt idx="111">
                  <c:v>50.09</c:v>
                </c:pt>
                <c:pt idx="112">
                  <c:v>41.94</c:v>
                </c:pt>
                <c:pt idx="113">
                  <c:v>40.770000000000003</c:v>
                </c:pt>
                <c:pt idx="114">
                  <c:v>43.59</c:v>
                </c:pt>
                <c:pt idx="115">
                  <c:v>48.81</c:v>
                </c:pt>
                <c:pt idx="116">
                  <c:v>51.4</c:v>
                </c:pt>
                <c:pt idx="117">
                  <c:v>45.02</c:v>
                </c:pt>
                <c:pt idx="118">
                  <c:v>44.35</c:v>
                </c:pt>
                <c:pt idx="119">
                  <c:v>53.91</c:v>
                </c:pt>
                <c:pt idx="120">
                  <c:v>52.29</c:v>
                </c:pt>
                <c:pt idx="121">
                  <c:v>51.92</c:v>
                </c:pt>
                <c:pt idx="122">
                  <c:v>52.14</c:v>
                </c:pt>
                <c:pt idx="123">
                  <c:v>42.58</c:v>
                </c:pt>
                <c:pt idx="124">
                  <c:v>45.24</c:v>
                </c:pt>
                <c:pt idx="125">
                  <c:v>45.08</c:v>
                </c:pt>
                <c:pt idx="126">
                  <c:v>47.17</c:v>
                </c:pt>
                <c:pt idx="127">
                  <c:v>46.81</c:v>
                </c:pt>
                <c:pt idx="128">
                  <c:v>50.78</c:v>
                </c:pt>
                <c:pt idx="129">
                  <c:v>53.35</c:v>
                </c:pt>
                <c:pt idx="130">
                  <c:v>53.55</c:v>
                </c:pt>
                <c:pt idx="131">
                  <c:v>64.849999999999994</c:v>
                </c:pt>
                <c:pt idx="132">
                  <c:v>63.67</c:v>
                </c:pt>
                <c:pt idx="133">
                  <c:v>58.15</c:v>
                </c:pt>
                <c:pt idx="134">
                  <c:v>58.69</c:v>
                </c:pt>
                <c:pt idx="135">
                  <c:v>60.27</c:v>
                </c:pt>
                <c:pt idx="136">
                  <c:v>67.78</c:v>
                </c:pt>
                <c:pt idx="137">
                  <c:v>68.03</c:v>
                </c:pt>
                <c:pt idx="138">
                  <c:v>70.66</c:v>
                </c:pt>
                <c:pt idx="139">
                  <c:v>79.650000000000006</c:v>
                </c:pt>
                <c:pt idx="140">
                  <c:v>76.319999999999993</c:v>
                </c:pt>
                <c:pt idx="141">
                  <c:v>73.62</c:v>
                </c:pt>
                <c:pt idx="142">
                  <c:v>71.010000000000005</c:v>
                </c:pt>
                <c:pt idx="143">
                  <c:v>74.69</c:v>
                </c:pt>
                <c:pt idx="144">
                  <c:v>77</c:v>
                </c:pt>
                <c:pt idx="145">
                  <c:v>75.08</c:v>
                </c:pt>
                <c:pt idx="146">
                  <c:v>73.72</c:v>
                </c:pt>
                <c:pt idx="147">
                  <c:v>70.62</c:v>
                </c:pt>
                <c:pt idx="148">
                  <c:v>66.22</c:v>
                </c:pt>
                <c:pt idx="149">
                  <c:v>67.69</c:v>
                </c:pt>
                <c:pt idx="150">
                  <c:v>63.75</c:v>
                </c:pt>
                <c:pt idx="151">
                  <c:v>63</c:v>
                </c:pt>
                <c:pt idx="152">
                  <c:v>61.78</c:v>
                </c:pt>
                <c:pt idx="153">
                  <c:v>53.94</c:v>
                </c:pt>
                <c:pt idx="154">
                  <c:v>60.87</c:v>
                </c:pt>
                <c:pt idx="155">
                  <c:v>57.11</c:v>
                </c:pt>
                <c:pt idx="156">
                  <c:v>54.16</c:v>
                </c:pt>
                <c:pt idx="157">
                  <c:v>52.43</c:v>
                </c:pt>
                <c:pt idx="158">
                  <c:v>48.55</c:v>
                </c:pt>
                <c:pt idx="159">
                  <c:v>48.11</c:v>
                </c:pt>
                <c:pt idx="160">
                  <c:v>46.63</c:v>
                </c:pt>
                <c:pt idx="161">
                  <c:v>58</c:v>
                </c:pt>
                <c:pt idx="162">
                  <c:v>56.75</c:v>
                </c:pt>
                <c:pt idx="163">
                  <c:v>54</c:v>
                </c:pt>
                <c:pt idx="164">
                  <c:v>50.98</c:v>
                </c:pt>
                <c:pt idx="165">
                  <c:v>39.19</c:v>
                </c:pt>
                <c:pt idx="166">
                  <c:v>33.25</c:v>
                </c:pt>
                <c:pt idx="167">
                  <c:v>38.450000000000003</c:v>
                </c:pt>
                <c:pt idx="168">
                  <c:v>40.24</c:v>
                </c:pt>
                <c:pt idx="169">
                  <c:v>40.92</c:v>
                </c:pt>
                <c:pt idx="170">
                  <c:v>42.31</c:v>
                </c:pt>
                <c:pt idx="172">
                  <c:v>44.18</c:v>
                </c:pt>
                <c:pt idx="173">
                  <c:v>46.27</c:v>
                </c:pt>
                <c:pt idx="174">
                  <c:v>50.97</c:v>
                </c:pt>
                <c:pt idx="175">
                  <c:v>50.83</c:v>
                </c:pt>
                <c:pt idx="176">
                  <c:v>49.53</c:v>
                </c:pt>
                <c:pt idx="177">
                  <c:v>56.62</c:v>
                </c:pt>
                <c:pt idx="178">
                  <c:v>53.7</c:v>
                </c:pt>
                <c:pt idx="179">
                  <c:v>58.37</c:v>
                </c:pt>
                <c:pt idx="180">
                  <c:v>57.85</c:v>
                </c:pt>
                <c:pt idx="181">
                  <c:v>52.81</c:v>
                </c:pt>
                <c:pt idx="182">
                  <c:v>55.56</c:v>
                </c:pt>
                <c:pt idx="183">
                  <c:v>57.44</c:v>
                </c:pt>
                <c:pt idx="184">
                  <c:v>62.11</c:v>
                </c:pt>
                <c:pt idx="185">
                  <c:v>61.19</c:v>
                </c:pt>
                <c:pt idx="186">
                  <c:v>59.38</c:v>
                </c:pt>
                <c:pt idx="187">
                  <c:v>61.31</c:v>
                </c:pt>
                <c:pt idx="188">
                  <c:v>63.95</c:v>
                </c:pt>
                <c:pt idx="189">
                  <c:v>59.92</c:v>
                </c:pt>
                <c:pt idx="190">
                  <c:v>65.56</c:v>
                </c:pt>
                <c:pt idx="191">
                  <c:v>73.290000000000006</c:v>
                </c:pt>
                <c:pt idx="192">
                  <c:v>67.47</c:v>
                </c:pt>
                <c:pt idx="193">
                  <c:v>66.89</c:v>
                </c:pt>
                <c:pt idx="194">
                  <c:v>64.86</c:v>
                </c:pt>
                <c:pt idx="195">
                  <c:v>61.88</c:v>
                </c:pt>
                <c:pt idx="196">
                  <c:v>56.69</c:v>
                </c:pt>
                <c:pt idx="197">
                  <c:v>64.319999999999993</c:v>
                </c:pt>
                <c:pt idx="198">
                  <c:v>63.19</c:v>
                </c:pt>
                <c:pt idx="199">
                  <c:v>64.13</c:v>
                </c:pt>
                <c:pt idx="200">
                  <c:v>69.72</c:v>
                </c:pt>
                <c:pt idx="201">
                  <c:v>65.19</c:v>
                </c:pt>
                <c:pt idx="202">
                  <c:v>63.87</c:v>
                </c:pt>
                <c:pt idx="203">
                  <c:v>55.96</c:v>
                </c:pt>
                <c:pt idx="204">
                  <c:v>53.64</c:v>
                </c:pt>
                <c:pt idx="205">
                  <c:v>53.37</c:v>
                </c:pt>
                <c:pt idx="206">
                  <c:v>59.71</c:v>
                </c:pt>
                <c:pt idx="207">
                  <c:v>57.77</c:v>
                </c:pt>
                <c:pt idx="208">
                  <c:v>58.73</c:v>
                </c:pt>
                <c:pt idx="209">
                  <c:v>54.84</c:v>
                </c:pt>
                <c:pt idx="210">
                  <c:v>49.87</c:v>
                </c:pt>
                <c:pt idx="211">
                  <c:v>56.48</c:v>
                </c:pt>
                <c:pt idx="213">
                  <c:v>55.4</c:v>
                </c:pt>
                <c:pt idx="214">
                  <c:v>51.41</c:v>
                </c:pt>
                <c:pt idx="215">
                  <c:v>56.92</c:v>
                </c:pt>
                <c:pt idx="216">
                  <c:v>55.16</c:v>
                </c:pt>
                <c:pt idx="217">
                  <c:v>53.06</c:v>
                </c:pt>
                <c:pt idx="218">
                  <c:v>52.06</c:v>
                </c:pt>
                <c:pt idx="219">
                  <c:v>47.68</c:v>
                </c:pt>
                <c:pt idx="220">
                  <c:v>55.3</c:v>
                </c:pt>
                <c:pt idx="221">
                  <c:v>53.07</c:v>
                </c:pt>
                <c:pt idx="222">
                  <c:v>50.02</c:v>
                </c:pt>
                <c:pt idx="224">
                  <c:v>48.53</c:v>
                </c:pt>
                <c:pt idx="225">
                  <c:v>47.14</c:v>
                </c:pt>
                <c:pt idx="226">
                  <c:v>51.25</c:v>
                </c:pt>
                <c:pt idx="227">
                  <c:v>53.85</c:v>
                </c:pt>
                <c:pt idx="228">
                  <c:v>57</c:v>
                </c:pt>
                <c:pt idx="229">
                  <c:v>51.5</c:v>
                </c:pt>
                <c:pt idx="230">
                  <c:v>51.2</c:v>
                </c:pt>
                <c:pt idx="231">
                  <c:v>50.13</c:v>
                </c:pt>
                <c:pt idx="232">
                  <c:v>53.1</c:v>
                </c:pt>
                <c:pt idx="233">
                  <c:v>51.24</c:v>
                </c:pt>
                <c:pt idx="234">
                  <c:v>51.93</c:v>
                </c:pt>
                <c:pt idx="235">
                  <c:v>60.27</c:v>
                </c:pt>
                <c:pt idx="236">
                  <c:v>59.35</c:v>
                </c:pt>
                <c:pt idx="237">
                  <c:v>58.28</c:v>
                </c:pt>
                <c:pt idx="238">
                  <c:v>54.76</c:v>
                </c:pt>
                <c:pt idx="239">
                  <c:v>52.23</c:v>
                </c:pt>
                <c:pt idx="240">
                  <c:v>58.39</c:v>
                </c:pt>
                <c:pt idx="242">
                  <c:v>55.8</c:v>
                </c:pt>
                <c:pt idx="243">
                  <c:v>51.37</c:v>
                </c:pt>
                <c:pt idx="244">
                  <c:v>57.88</c:v>
                </c:pt>
                <c:pt idx="245">
                  <c:v>68.34</c:v>
                </c:pt>
                <c:pt idx="246">
                  <c:v>67.47</c:v>
                </c:pt>
                <c:pt idx="247">
                  <c:v>66.22</c:v>
                </c:pt>
                <c:pt idx="248">
                  <c:v>61.54</c:v>
                </c:pt>
                <c:pt idx="249">
                  <c:v>52.94</c:v>
                </c:pt>
                <c:pt idx="250">
                  <c:v>55.32</c:v>
                </c:pt>
                <c:pt idx="251">
                  <c:v>56.06</c:v>
                </c:pt>
                <c:pt idx="252">
                  <c:v>59.24</c:v>
                </c:pt>
                <c:pt idx="253">
                  <c:v>58.61</c:v>
                </c:pt>
                <c:pt idx="254">
                  <c:v>62.85</c:v>
                </c:pt>
                <c:pt idx="255">
                  <c:v>61.94</c:v>
                </c:pt>
                <c:pt idx="256">
                  <c:v>57.93</c:v>
                </c:pt>
                <c:pt idx="257">
                  <c:v>59.12</c:v>
                </c:pt>
                <c:pt idx="258">
                  <c:v>56.55</c:v>
                </c:pt>
                <c:pt idx="259">
                  <c:v>55.58</c:v>
                </c:pt>
                <c:pt idx="260">
                  <c:v>57.65</c:v>
                </c:pt>
                <c:pt idx="261">
                  <c:v>55.3</c:v>
                </c:pt>
                <c:pt idx="262">
                  <c:v>53.4</c:v>
                </c:pt>
                <c:pt idx="263">
                  <c:v>54.47</c:v>
                </c:pt>
                <c:pt idx="264">
                  <c:v>54.05</c:v>
                </c:pt>
                <c:pt idx="265">
                  <c:v>52.92</c:v>
                </c:pt>
                <c:pt idx="266">
                  <c:v>45.05</c:v>
                </c:pt>
                <c:pt idx="268">
                  <c:v>52.26</c:v>
                </c:pt>
                <c:pt idx="269">
                  <c:v>49.01</c:v>
                </c:pt>
                <c:pt idx="270">
                  <c:v>51.91</c:v>
                </c:pt>
                <c:pt idx="271">
                  <c:v>51.96</c:v>
                </c:pt>
                <c:pt idx="272">
                  <c:v>46.6</c:v>
                </c:pt>
                <c:pt idx="273">
                  <c:v>42.62</c:v>
                </c:pt>
                <c:pt idx="274">
                  <c:v>44.53</c:v>
                </c:pt>
                <c:pt idx="275">
                  <c:v>29.73</c:v>
                </c:pt>
                <c:pt idx="276">
                  <c:v>30.52</c:v>
                </c:pt>
                <c:pt idx="277">
                  <c:v>33.67</c:v>
                </c:pt>
                <c:pt idx="278">
                  <c:v>53.32</c:v>
                </c:pt>
                <c:pt idx="279">
                  <c:v>56.83</c:v>
                </c:pt>
                <c:pt idx="280">
                  <c:v>54.78</c:v>
                </c:pt>
                <c:pt idx="281">
                  <c:v>53.68</c:v>
                </c:pt>
                <c:pt idx="282">
                  <c:v>48.63</c:v>
                </c:pt>
                <c:pt idx="283">
                  <c:v>44.98</c:v>
                </c:pt>
                <c:pt idx="284">
                  <c:v>45.09</c:v>
                </c:pt>
                <c:pt idx="285">
                  <c:v>41.89</c:v>
                </c:pt>
                <c:pt idx="286">
                  <c:v>48.28</c:v>
                </c:pt>
                <c:pt idx="287">
                  <c:v>51.68</c:v>
                </c:pt>
                <c:pt idx="288">
                  <c:v>54.83</c:v>
                </c:pt>
                <c:pt idx="289">
                  <c:v>53.16</c:v>
                </c:pt>
                <c:pt idx="290">
                  <c:v>51.67</c:v>
                </c:pt>
                <c:pt idx="291">
                  <c:v>54.75</c:v>
                </c:pt>
                <c:pt idx="292">
                  <c:v>53.19</c:v>
                </c:pt>
                <c:pt idx="293">
                  <c:v>45.19</c:v>
                </c:pt>
                <c:pt idx="294">
                  <c:v>44.07</c:v>
                </c:pt>
                <c:pt idx="295">
                  <c:v>45.15</c:v>
                </c:pt>
                <c:pt idx="296">
                  <c:v>48.51</c:v>
                </c:pt>
                <c:pt idx="297">
                  <c:v>44.01</c:v>
                </c:pt>
                <c:pt idx="298">
                  <c:v>35.29</c:v>
                </c:pt>
                <c:pt idx="299">
                  <c:v>42.26</c:v>
                </c:pt>
                <c:pt idx="300">
                  <c:v>45.09</c:v>
                </c:pt>
                <c:pt idx="301">
                  <c:v>52.78</c:v>
                </c:pt>
                <c:pt idx="302">
                  <c:v>52.13</c:v>
                </c:pt>
                <c:pt idx="303">
                  <c:v>44.5</c:v>
                </c:pt>
                <c:pt idx="304">
                  <c:v>57.07</c:v>
                </c:pt>
                <c:pt idx="305">
                  <c:v>54.86</c:v>
                </c:pt>
                <c:pt idx="306">
                  <c:v>58.23</c:v>
                </c:pt>
                <c:pt idx="307">
                  <c:v>61.75</c:v>
                </c:pt>
                <c:pt idx="308">
                  <c:v>61.64</c:v>
                </c:pt>
                <c:pt idx="309">
                  <c:v>61.72</c:v>
                </c:pt>
                <c:pt idx="310">
                  <c:v>59.66</c:v>
                </c:pt>
                <c:pt idx="312">
                  <c:v>55.77</c:v>
                </c:pt>
                <c:pt idx="313">
                  <c:v>58.09</c:v>
                </c:pt>
                <c:pt idx="314">
                  <c:v>57.19</c:v>
                </c:pt>
                <c:pt idx="315">
                  <c:v>58.1</c:v>
                </c:pt>
                <c:pt idx="316">
                  <c:v>56.26</c:v>
                </c:pt>
                <c:pt idx="317">
                  <c:v>52.13</c:v>
                </c:pt>
                <c:pt idx="318">
                  <c:v>53.01</c:v>
                </c:pt>
                <c:pt idx="319">
                  <c:v>53.48</c:v>
                </c:pt>
                <c:pt idx="320">
                  <c:v>49.91</c:v>
                </c:pt>
                <c:pt idx="321">
                  <c:v>53.26</c:v>
                </c:pt>
                <c:pt idx="322">
                  <c:v>51.42</c:v>
                </c:pt>
                <c:pt idx="323">
                  <c:v>53.57</c:v>
                </c:pt>
                <c:pt idx="324">
                  <c:v>46.32</c:v>
                </c:pt>
                <c:pt idx="325">
                  <c:v>45.53</c:v>
                </c:pt>
                <c:pt idx="326">
                  <c:v>50.11</c:v>
                </c:pt>
                <c:pt idx="327">
                  <c:v>59.69</c:v>
                </c:pt>
                <c:pt idx="328">
                  <c:v>56.32</c:v>
                </c:pt>
                <c:pt idx="329">
                  <c:v>54.69</c:v>
                </c:pt>
                <c:pt idx="330">
                  <c:v>65.25</c:v>
                </c:pt>
                <c:pt idx="332">
                  <c:v>60.27</c:v>
                </c:pt>
                <c:pt idx="333">
                  <c:v>59.78</c:v>
                </c:pt>
                <c:pt idx="334">
                  <c:v>49.69</c:v>
                </c:pt>
                <c:pt idx="335">
                  <c:v>41.94</c:v>
                </c:pt>
                <c:pt idx="336">
                  <c:v>33.56</c:v>
                </c:pt>
                <c:pt idx="337">
                  <c:v>38.15</c:v>
                </c:pt>
                <c:pt idx="339">
                  <c:v>40.68</c:v>
                </c:pt>
                <c:pt idx="340">
                  <c:v>40.799999999999997</c:v>
                </c:pt>
                <c:pt idx="341">
                  <c:v>41.86</c:v>
                </c:pt>
                <c:pt idx="342">
                  <c:v>46.98</c:v>
                </c:pt>
                <c:pt idx="343">
                  <c:v>40.619999999999997</c:v>
                </c:pt>
                <c:pt idx="344">
                  <c:v>35.479999999999997</c:v>
                </c:pt>
                <c:pt idx="345">
                  <c:v>35.82</c:v>
                </c:pt>
                <c:pt idx="346">
                  <c:v>37.380000000000003</c:v>
                </c:pt>
                <c:pt idx="347">
                  <c:v>38.450000000000003</c:v>
                </c:pt>
                <c:pt idx="348">
                  <c:v>39.299999999999997</c:v>
                </c:pt>
                <c:pt idx="349">
                  <c:v>36.24</c:v>
                </c:pt>
                <c:pt idx="350">
                  <c:v>37.799999999999997</c:v>
                </c:pt>
                <c:pt idx="351">
                  <c:v>28.54</c:v>
                </c:pt>
                <c:pt idx="352">
                  <c:v>25.63</c:v>
                </c:pt>
                <c:pt idx="353">
                  <c:v>32.090000000000003</c:v>
                </c:pt>
                <c:pt idx="354">
                  <c:v>33.479999999999997</c:v>
                </c:pt>
                <c:pt idx="355">
                  <c:v>36.299999999999997</c:v>
                </c:pt>
                <c:pt idx="356">
                  <c:v>35.89</c:v>
                </c:pt>
                <c:pt idx="357">
                  <c:v>36.06</c:v>
                </c:pt>
                <c:pt idx="358">
                  <c:v>38.119999999999997</c:v>
                </c:pt>
                <c:pt idx="359">
                  <c:v>40.619999999999997</c:v>
                </c:pt>
                <c:pt idx="360">
                  <c:v>45.48</c:v>
                </c:pt>
                <c:pt idx="361">
                  <c:v>51.16</c:v>
                </c:pt>
                <c:pt idx="362">
                  <c:v>49.7</c:v>
                </c:pt>
                <c:pt idx="363">
                  <c:v>49.76</c:v>
                </c:pt>
                <c:pt idx="364">
                  <c:v>53.63</c:v>
                </c:pt>
                <c:pt idx="365">
                  <c:v>65.7</c:v>
                </c:pt>
                <c:pt idx="367">
                  <c:v>65.58</c:v>
                </c:pt>
                <c:pt idx="368">
                  <c:v>65.58</c:v>
                </c:pt>
                <c:pt idx="369">
                  <c:v>60.34</c:v>
                </c:pt>
                <c:pt idx="370">
                  <c:v>59.68</c:v>
                </c:pt>
                <c:pt idx="371">
                  <c:v>62.5</c:v>
                </c:pt>
                <c:pt idx="372">
                  <c:v>56.41</c:v>
                </c:pt>
                <c:pt idx="373">
                  <c:v>56.23</c:v>
                </c:pt>
                <c:pt idx="374">
                  <c:v>53.86</c:v>
                </c:pt>
                <c:pt idx="375">
                  <c:v>50.5</c:v>
                </c:pt>
                <c:pt idx="376">
                  <c:v>44.1</c:v>
                </c:pt>
                <c:pt idx="377">
                  <c:v>45.36</c:v>
                </c:pt>
                <c:pt idx="378">
                  <c:v>45.99</c:v>
                </c:pt>
                <c:pt idx="379">
                  <c:v>50.21</c:v>
                </c:pt>
                <c:pt idx="380">
                  <c:v>49.16</c:v>
                </c:pt>
                <c:pt idx="381">
                  <c:v>41.41</c:v>
                </c:pt>
                <c:pt idx="382">
                  <c:v>40.619999999999997</c:v>
                </c:pt>
                <c:pt idx="383">
                  <c:v>43.79</c:v>
                </c:pt>
                <c:pt idx="384">
                  <c:v>37.28</c:v>
                </c:pt>
                <c:pt idx="385">
                  <c:v>40.799999999999997</c:v>
                </c:pt>
                <c:pt idx="386">
                  <c:v>49.02</c:v>
                </c:pt>
                <c:pt idx="387">
                  <c:v>44.21</c:v>
                </c:pt>
                <c:pt idx="388">
                  <c:v>45.13</c:v>
                </c:pt>
                <c:pt idx="389">
                  <c:v>54.71</c:v>
                </c:pt>
                <c:pt idx="390">
                  <c:v>51.21</c:v>
                </c:pt>
                <c:pt idx="391">
                  <c:v>59.4</c:v>
                </c:pt>
                <c:pt idx="392">
                  <c:v>63.54</c:v>
                </c:pt>
                <c:pt idx="393">
                  <c:v>59.71</c:v>
                </c:pt>
                <c:pt idx="394">
                  <c:v>61.96</c:v>
                </c:pt>
                <c:pt idx="395">
                  <c:v>64.44</c:v>
                </c:pt>
                <c:pt idx="396">
                  <c:v>62.38</c:v>
                </c:pt>
                <c:pt idx="397">
                  <c:v>68.069999999999993</c:v>
                </c:pt>
                <c:pt idx="398">
                  <c:v>60.8</c:v>
                </c:pt>
                <c:pt idx="399">
                  <c:v>58.84</c:v>
                </c:pt>
                <c:pt idx="400">
                  <c:v>52.75</c:v>
                </c:pt>
                <c:pt idx="401">
                  <c:v>47.8</c:v>
                </c:pt>
                <c:pt idx="402">
                  <c:v>49.47</c:v>
                </c:pt>
                <c:pt idx="403">
                  <c:v>54.49</c:v>
                </c:pt>
                <c:pt idx="404">
                  <c:v>54.24</c:v>
                </c:pt>
                <c:pt idx="405">
                  <c:v>71.55</c:v>
                </c:pt>
                <c:pt idx="406">
                  <c:v>73.05</c:v>
                </c:pt>
                <c:pt idx="407">
                  <c:v>73.39</c:v>
                </c:pt>
                <c:pt idx="408">
                  <c:v>73.239999999999995</c:v>
                </c:pt>
                <c:pt idx="409">
                  <c:v>70.75</c:v>
                </c:pt>
                <c:pt idx="410">
                  <c:v>69.28</c:v>
                </c:pt>
                <c:pt idx="411">
                  <c:v>65.77</c:v>
                </c:pt>
                <c:pt idx="412">
                  <c:v>71.010000000000005</c:v>
                </c:pt>
                <c:pt idx="413">
                  <c:v>69.27</c:v>
                </c:pt>
                <c:pt idx="414">
                  <c:v>74.92</c:v>
                </c:pt>
                <c:pt idx="415">
                  <c:v>74.06</c:v>
                </c:pt>
                <c:pt idx="416">
                  <c:v>64.819999999999993</c:v>
                </c:pt>
                <c:pt idx="417">
                  <c:v>69.989999999999995</c:v>
                </c:pt>
                <c:pt idx="418">
                  <c:v>77.47</c:v>
                </c:pt>
                <c:pt idx="419">
                  <c:v>78.25</c:v>
                </c:pt>
                <c:pt idx="420">
                  <c:v>76.010000000000005</c:v>
                </c:pt>
                <c:pt idx="421">
                  <c:v>70.989999999999995</c:v>
                </c:pt>
                <c:pt idx="422">
                  <c:v>70.08</c:v>
                </c:pt>
                <c:pt idx="423">
                  <c:v>68.8</c:v>
                </c:pt>
                <c:pt idx="424">
                  <c:v>66.83</c:v>
                </c:pt>
                <c:pt idx="425">
                  <c:v>62.05</c:v>
                </c:pt>
                <c:pt idx="426">
                  <c:v>71.05</c:v>
                </c:pt>
                <c:pt idx="427">
                  <c:v>73.64</c:v>
                </c:pt>
                <c:pt idx="428">
                  <c:v>70.2</c:v>
                </c:pt>
                <c:pt idx="430">
                  <c:v>71.67</c:v>
                </c:pt>
                <c:pt idx="431">
                  <c:v>68.489999999999995</c:v>
                </c:pt>
                <c:pt idx="432">
                  <c:v>65.94</c:v>
                </c:pt>
                <c:pt idx="433">
                  <c:v>65.94</c:v>
                </c:pt>
                <c:pt idx="434">
                  <c:v>73.44</c:v>
                </c:pt>
                <c:pt idx="435">
                  <c:v>70.930000000000007</c:v>
                </c:pt>
                <c:pt idx="436">
                  <c:v>69.8</c:v>
                </c:pt>
                <c:pt idx="437">
                  <c:v>70.900000000000006</c:v>
                </c:pt>
                <c:pt idx="438">
                  <c:v>68.150000000000006</c:v>
                </c:pt>
                <c:pt idx="439">
                  <c:v>70.010000000000005</c:v>
                </c:pt>
                <c:pt idx="440">
                  <c:v>67.489999999999995</c:v>
                </c:pt>
                <c:pt idx="441">
                  <c:v>65.7</c:v>
                </c:pt>
                <c:pt idx="442">
                  <c:v>65.8</c:v>
                </c:pt>
                <c:pt idx="443">
                  <c:v>66.28</c:v>
                </c:pt>
                <c:pt idx="444">
                  <c:v>64.2</c:v>
                </c:pt>
                <c:pt idx="445">
                  <c:v>63.57</c:v>
                </c:pt>
                <c:pt idx="446">
                  <c:v>62.38</c:v>
                </c:pt>
                <c:pt idx="447">
                  <c:v>62.01</c:v>
                </c:pt>
                <c:pt idx="448">
                  <c:v>60.17</c:v>
                </c:pt>
                <c:pt idx="449">
                  <c:v>57.29</c:v>
                </c:pt>
                <c:pt idx="450">
                  <c:v>73</c:v>
                </c:pt>
                <c:pt idx="451">
                  <c:v>72.569999999999993</c:v>
                </c:pt>
                <c:pt idx="452">
                  <c:v>67.33</c:v>
                </c:pt>
                <c:pt idx="453">
                  <c:v>62.62</c:v>
                </c:pt>
                <c:pt idx="454">
                  <c:v>60.51</c:v>
                </c:pt>
                <c:pt idx="455">
                  <c:v>58.64</c:v>
                </c:pt>
                <c:pt idx="456">
                  <c:v>54.31</c:v>
                </c:pt>
                <c:pt idx="457">
                  <c:v>59.24</c:v>
                </c:pt>
                <c:pt idx="458">
                  <c:v>54.06</c:v>
                </c:pt>
                <c:pt idx="459">
                  <c:v>57.86</c:v>
                </c:pt>
                <c:pt idx="460">
                  <c:v>53.82</c:v>
                </c:pt>
                <c:pt idx="461">
                  <c:v>53.25</c:v>
                </c:pt>
                <c:pt idx="462">
                  <c:v>53.71</c:v>
                </c:pt>
                <c:pt idx="463">
                  <c:v>53.46</c:v>
                </c:pt>
                <c:pt idx="464">
                  <c:v>50.12</c:v>
                </c:pt>
                <c:pt idx="465">
                  <c:v>63.75</c:v>
                </c:pt>
                <c:pt idx="466">
                  <c:v>60.77</c:v>
                </c:pt>
                <c:pt idx="467">
                  <c:v>51.79</c:v>
                </c:pt>
                <c:pt idx="468">
                  <c:v>45.9</c:v>
                </c:pt>
                <c:pt idx="469">
                  <c:v>43.95</c:v>
                </c:pt>
                <c:pt idx="470">
                  <c:v>43.28</c:v>
                </c:pt>
                <c:pt idx="472">
                  <c:v>42.19</c:v>
                </c:pt>
                <c:pt idx="473">
                  <c:v>38.42</c:v>
                </c:pt>
                <c:pt idx="474">
                  <c:v>35.07</c:v>
                </c:pt>
                <c:pt idx="475">
                  <c:v>37.619999999999997</c:v>
                </c:pt>
                <c:pt idx="476">
                  <c:v>42.31</c:v>
                </c:pt>
                <c:pt idx="477">
                  <c:v>41.25</c:v>
                </c:pt>
                <c:pt idx="478">
                  <c:v>43.03</c:v>
                </c:pt>
                <c:pt idx="479">
                  <c:v>47.33</c:v>
                </c:pt>
                <c:pt idx="480">
                  <c:v>44.6</c:v>
                </c:pt>
                <c:pt idx="481">
                  <c:v>47.26</c:v>
                </c:pt>
                <c:pt idx="483">
                  <c:v>42.61</c:v>
                </c:pt>
                <c:pt idx="484">
                  <c:v>42.37</c:v>
                </c:pt>
                <c:pt idx="485">
                  <c:v>46.98</c:v>
                </c:pt>
                <c:pt idx="486">
                  <c:v>48.05</c:v>
                </c:pt>
                <c:pt idx="487">
                  <c:v>46.99</c:v>
                </c:pt>
                <c:pt idx="488">
                  <c:v>49.69</c:v>
                </c:pt>
                <c:pt idx="489">
                  <c:v>52.29</c:v>
                </c:pt>
                <c:pt idx="490">
                  <c:v>46.88</c:v>
                </c:pt>
                <c:pt idx="491">
                  <c:v>51.52</c:v>
                </c:pt>
                <c:pt idx="492">
                  <c:v>56.52</c:v>
                </c:pt>
                <c:pt idx="493">
                  <c:v>59.48</c:v>
                </c:pt>
                <c:pt idx="494">
                  <c:v>59.7</c:v>
                </c:pt>
                <c:pt idx="495">
                  <c:v>65.739999999999995</c:v>
                </c:pt>
                <c:pt idx="496">
                  <c:v>60.04</c:v>
                </c:pt>
                <c:pt idx="497">
                  <c:v>54.76</c:v>
                </c:pt>
                <c:pt idx="498">
                  <c:v>62.14</c:v>
                </c:pt>
                <c:pt idx="500">
                  <c:v>62.74</c:v>
                </c:pt>
                <c:pt idx="501">
                  <c:v>59.03</c:v>
                </c:pt>
                <c:pt idx="502">
                  <c:v>70.16</c:v>
                </c:pt>
                <c:pt idx="503">
                  <c:v>80.040000000000006</c:v>
                </c:pt>
                <c:pt idx="504">
                  <c:v>77.86</c:v>
                </c:pt>
                <c:pt idx="505">
                  <c:v>79.349999999999994</c:v>
                </c:pt>
                <c:pt idx="506">
                  <c:v>79.16</c:v>
                </c:pt>
                <c:pt idx="507">
                  <c:v>82.01</c:v>
                </c:pt>
                <c:pt idx="508">
                  <c:v>79.010000000000005</c:v>
                </c:pt>
                <c:pt idx="509">
                  <c:v>78.42</c:v>
                </c:pt>
                <c:pt idx="510">
                  <c:v>78.42</c:v>
                </c:pt>
                <c:pt idx="511">
                  <c:v>79.13</c:v>
                </c:pt>
                <c:pt idx="512">
                  <c:v>76.040000000000006</c:v>
                </c:pt>
                <c:pt idx="513">
                  <c:v>73.569999999999993</c:v>
                </c:pt>
                <c:pt idx="514">
                  <c:v>70.55</c:v>
                </c:pt>
                <c:pt idx="515">
                  <c:v>69.08</c:v>
                </c:pt>
                <c:pt idx="516">
                  <c:v>66.7</c:v>
                </c:pt>
                <c:pt idx="517">
                  <c:v>65.03</c:v>
                </c:pt>
                <c:pt idx="518">
                  <c:v>61.16</c:v>
                </c:pt>
                <c:pt idx="519">
                  <c:v>64.16</c:v>
                </c:pt>
                <c:pt idx="520">
                  <c:v>59.41</c:v>
                </c:pt>
                <c:pt idx="521">
                  <c:v>65.989999999999995</c:v>
                </c:pt>
                <c:pt idx="522">
                  <c:v>65.099999999999994</c:v>
                </c:pt>
                <c:pt idx="523">
                  <c:v>63.13</c:v>
                </c:pt>
                <c:pt idx="524">
                  <c:v>61.56</c:v>
                </c:pt>
                <c:pt idx="525">
                  <c:v>58.38</c:v>
                </c:pt>
                <c:pt idx="526">
                  <c:v>52.34</c:v>
                </c:pt>
                <c:pt idx="527">
                  <c:v>49.88</c:v>
                </c:pt>
                <c:pt idx="528">
                  <c:v>39.31</c:v>
                </c:pt>
                <c:pt idx="529">
                  <c:v>44.95</c:v>
                </c:pt>
                <c:pt idx="530">
                  <c:v>49.6</c:v>
                </c:pt>
                <c:pt idx="531">
                  <c:v>53.89</c:v>
                </c:pt>
                <c:pt idx="532">
                  <c:v>55.07</c:v>
                </c:pt>
                <c:pt idx="533">
                  <c:v>66.83</c:v>
                </c:pt>
                <c:pt idx="534">
                  <c:v>64.59</c:v>
                </c:pt>
                <c:pt idx="535">
                  <c:v>61.73</c:v>
                </c:pt>
                <c:pt idx="536">
                  <c:v>60.41</c:v>
                </c:pt>
                <c:pt idx="537">
                  <c:v>61.76</c:v>
                </c:pt>
                <c:pt idx="538">
                  <c:v>64.430000000000007</c:v>
                </c:pt>
                <c:pt idx="539">
                  <c:v>63.81</c:v>
                </c:pt>
                <c:pt idx="541">
                  <c:v>67.760000000000005</c:v>
                </c:pt>
                <c:pt idx="542">
                  <c:v>65.53</c:v>
                </c:pt>
                <c:pt idx="543">
                  <c:v>53.91</c:v>
                </c:pt>
                <c:pt idx="544">
                  <c:v>61.9</c:v>
                </c:pt>
                <c:pt idx="545">
                  <c:v>59.61</c:v>
                </c:pt>
                <c:pt idx="546">
                  <c:v>58.93</c:v>
                </c:pt>
                <c:pt idx="547">
                  <c:v>59.98</c:v>
                </c:pt>
                <c:pt idx="548">
                  <c:v>59.44</c:v>
                </c:pt>
                <c:pt idx="549">
                  <c:v>55.56</c:v>
                </c:pt>
                <c:pt idx="550">
                  <c:v>57.67</c:v>
                </c:pt>
                <c:pt idx="551">
                  <c:v>57.07</c:v>
                </c:pt>
                <c:pt idx="552">
                  <c:v>61.6</c:v>
                </c:pt>
                <c:pt idx="553">
                  <c:v>59.06</c:v>
                </c:pt>
                <c:pt idx="554">
                  <c:v>64.8</c:v>
                </c:pt>
                <c:pt idx="555">
                  <c:v>63.08</c:v>
                </c:pt>
                <c:pt idx="556">
                  <c:v>62.22</c:v>
                </c:pt>
                <c:pt idx="557">
                  <c:v>60.01</c:v>
                </c:pt>
                <c:pt idx="558">
                  <c:v>56.56</c:v>
                </c:pt>
                <c:pt idx="559">
                  <c:v>57.96</c:v>
                </c:pt>
                <c:pt idx="560">
                  <c:v>51.55</c:v>
                </c:pt>
                <c:pt idx="561">
                  <c:v>54.36</c:v>
                </c:pt>
                <c:pt idx="562">
                  <c:v>54.24</c:v>
                </c:pt>
                <c:pt idx="563">
                  <c:v>53.14</c:v>
                </c:pt>
                <c:pt idx="564">
                  <c:v>45.79</c:v>
                </c:pt>
                <c:pt idx="565">
                  <c:v>54.15</c:v>
                </c:pt>
                <c:pt idx="566">
                  <c:v>51.17</c:v>
                </c:pt>
                <c:pt idx="567">
                  <c:v>54.78</c:v>
                </c:pt>
                <c:pt idx="568">
                  <c:v>49.15</c:v>
                </c:pt>
                <c:pt idx="570">
                  <c:v>49.43</c:v>
                </c:pt>
                <c:pt idx="571">
                  <c:v>49.9</c:v>
                </c:pt>
                <c:pt idx="572">
                  <c:v>42.66</c:v>
                </c:pt>
                <c:pt idx="573">
                  <c:v>40.03</c:v>
                </c:pt>
                <c:pt idx="574">
                  <c:v>46.03</c:v>
                </c:pt>
                <c:pt idx="575">
                  <c:v>40.270000000000003</c:v>
                </c:pt>
                <c:pt idx="576">
                  <c:v>38.26</c:v>
                </c:pt>
                <c:pt idx="577">
                  <c:v>40.630000000000003</c:v>
                </c:pt>
                <c:pt idx="578">
                  <c:v>40.31</c:v>
                </c:pt>
                <c:pt idx="579">
                  <c:v>38.619999999999997</c:v>
                </c:pt>
                <c:pt idx="580">
                  <c:v>45.59</c:v>
                </c:pt>
                <c:pt idx="581">
                  <c:v>53.51</c:v>
                </c:pt>
                <c:pt idx="582">
                  <c:v>44.19</c:v>
                </c:pt>
                <c:pt idx="583">
                  <c:v>45.13</c:v>
                </c:pt>
                <c:pt idx="584">
                  <c:v>45.26</c:v>
                </c:pt>
                <c:pt idx="585">
                  <c:v>42.09</c:v>
                </c:pt>
                <c:pt idx="586">
                  <c:v>40.619999999999997</c:v>
                </c:pt>
                <c:pt idx="587">
                  <c:v>30.8</c:v>
                </c:pt>
                <c:pt idx="588">
                  <c:v>34.92</c:v>
                </c:pt>
                <c:pt idx="589">
                  <c:v>33.840000000000003</c:v>
                </c:pt>
                <c:pt idx="590">
                  <c:v>35.380000000000003</c:v>
                </c:pt>
                <c:pt idx="591">
                  <c:v>35.78</c:v>
                </c:pt>
                <c:pt idx="592">
                  <c:v>39.1</c:v>
                </c:pt>
                <c:pt idx="593">
                  <c:v>44.38</c:v>
                </c:pt>
                <c:pt idx="595">
                  <c:v>49.03</c:v>
                </c:pt>
                <c:pt idx="596">
                  <c:v>46.3</c:v>
                </c:pt>
                <c:pt idx="597">
                  <c:v>58.42</c:v>
                </c:pt>
                <c:pt idx="598">
                  <c:v>58.51</c:v>
                </c:pt>
                <c:pt idx="599">
                  <c:v>63.59</c:v>
                </c:pt>
                <c:pt idx="600">
                  <c:v>60.79</c:v>
                </c:pt>
                <c:pt idx="601">
                  <c:v>59.3</c:v>
                </c:pt>
                <c:pt idx="602">
                  <c:v>61.09</c:v>
                </c:pt>
                <c:pt idx="603">
                  <c:v>59.74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8C-4DBE-B15A-609290A57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건설  </a:t>
            </a:r>
            <a:r>
              <a:rPr lang="en-US"/>
              <a:t>vs  </a:t>
            </a:r>
            <a:r>
              <a:rPr lang="ko-KR" altLang="en-US"/>
              <a:t>산업재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RSI'!$O$7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RSI'!$O$78:$O$3077</c:f>
              <c:numCache>
                <c:formatCode>0.00</c:formatCode>
                <c:ptCount val="3000"/>
                <c:pt idx="1">
                  <c:v>61.73</c:v>
                </c:pt>
                <c:pt idx="2">
                  <c:v>71.37</c:v>
                </c:pt>
                <c:pt idx="3">
                  <c:v>70.709999999999994</c:v>
                </c:pt>
                <c:pt idx="4">
                  <c:v>68.319999999999993</c:v>
                </c:pt>
                <c:pt idx="5">
                  <c:v>68.8</c:v>
                </c:pt>
                <c:pt idx="6">
                  <c:v>70.11</c:v>
                </c:pt>
                <c:pt idx="7">
                  <c:v>68.31</c:v>
                </c:pt>
                <c:pt idx="8">
                  <c:v>70.47</c:v>
                </c:pt>
                <c:pt idx="9">
                  <c:v>66.19</c:v>
                </c:pt>
                <c:pt idx="10">
                  <c:v>69.22</c:v>
                </c:pt>
                <c:pt idx="11">
                  <c:v>70.3</c:v>
                </c:pt>
                <c:pt idx="12">
                  <c:v>70.88</c:v>
                </c:pt>
                <c:pt idx="13">
                  <c:v>66.86</c:v>
                </c:pt>
                <c:pt idx="14">
                  <c:v>66.06</c:v>
                </c:pt>
                <c:pt idx="15">
                  <c:v>68.69</c:v>
                </c:pt>
                <c:pt idx="16">
                  <c:v>68.33</c:v>
                </c:pt>
                <c:pt idx="17">
                  <c:v>69.64</c:v>
                </c:pt>
                <c:pt idx="18">
                  <c:v>57.39</c:v>
                </c:pt>
                <c:pt idx="19">
                  <c:v>56.81</c:v>
                </c:pt>
                <c:pt idx="20">
                  <c:v>56.65</c:v>
                </c:pt>
                <c:pt idx="21">
                  <c:v>53.66</c:v>
                </c:pt>
                <c:pt idx="22">
                  <c:v>61.97</c:v>
                </c:pt>
                <c:pt idx="23">
                  <c:v>52.33</c:v>
                </c:pt>
                <c:pt idx="24">
                  <c:v>58.31</c:v>
                </c:pt>
                <c:pt idx="25">
                  <c:v>58.98</c:v>
                </c:pt>
                <c:pt idx="26">
                  <c:v>58.85</c:v>
                </c:pt>
                <c:pt idx="27">
                  <c:v>63.24</c:v>
                </c:pt>
                <c:pt idx="28">
                  <c:v>60.62</c:v>
                </c:pt>
                <c:pt idx="29">
                  <c:v>65.180000000000007</c:v>
                </c:pt>
                <c:pt idx="30">
                  <c:v>74.819999999999993</c:v>
                </c:pt>
                <c:pt idx="31">
                  <c:v>70.92</c:v>
                </c:pt>
                <c:pt idx="32">
                  <c:v>69.38</c:v>
                </c:pt>
                <c:pt idx="33">
                  <c:v>63.69</c:v>
                </c:pt>
                <c:pt idx="34">
                  <c:v>63.31</c:v>
                </c:pt>
                <c:pt idx="35">
                  <c:v>66.930000000000007</c:v>
                </c:pt>
                <c:pt idx="36">
                  <c:v>62.69</c:v>
                </c:pt>
                <c:pt idx="37">
                  <c:v>59.14</c:v>
                </c:pt>
                <c:pt idx="38">
                  <c:v>58.48</c:v>
                </c:pt>
                <c:pt idx="39">
                  <c:v>55.67</c:v>
                </c:pt>
                <c:pt idx="40">
                  <c:v>60.19</c:v>
                </c:pt>
                <c:pt idx="41">
                  <c:v>56.07</c:v>
                </c:pt>
                <c:pt idx="42">
                  <c:v>46.88</c:v>
                </c:pt>
                <c:pt idx="43">
                  <c:v>66.73</c:v>
                </c:pt>
                <c:pt idx="45">
                  <c:v>86.18</c:v>
                </c:pt>
                <c:pt idx="46">
                  <c:v>86.19</c:v>
                </c:pt>
                <c:pt idx="47">
                  <c:v>84.71</c:v>
                </c:pt>
                <c:pt idx="48">
                  <c:v>80.680000000000007</c:v>
                </c:pt>
                <c:pt idx="49">
                  <c:v>79.28</c:v>
                </c:pt>
                <c:pt idx="50">
                  <c:v>77.84</c:v>
                </c:pt>
                <c:pt idx="51">
                  <c:v>75.87</c:v>
                </c:pt>
                <c:pt idx="54">
                  <c:v>70.150000000000006</c:v>
                </c:pt>
                <c:pt idx="55">
                  <c:v>70.55</c:v>
                </c:pt>
                <c:pt idx="56">
                  <c:v>69.94</c:v>
                </c:pt>
                <c:pt idx="57">
                  <c:v>67.849999999999994</c:v>
                </c:pt>
                <c:pt idx="58">
                  <c:v>65.790000000000006</c:v>
                </c:pt>
                <c:pt idx="59">
                  <c:v>59.22</c:v>
                </c:pt>
                <c:pt idx="60">
                  <c:v>63.08</c:v>
                </c:pt>
                <c:pt idx="61">
                  <c:v>67.88</c:v>
                </c:pt>
                <c:pt idx="62">
                  <c:v>63.83</c:v>
                </c:pt>
                <c:pt idx="63">
                  <c:v>54.1</c:v>
                </c:pt>
                <c:pt idx="64">
                  <c:v>61.43</c:v>
                </c:pt>
                <c:pt idx="65">
                  <c:v>73.02</c:v>
                </c:pt>
                <c:pt idx="66">
                  <c:v>71.39</c:v>
                </c:pt>
                <c:pt idx="67">
                  <c:v>70.81</c:v>
                </c:pt>
                <c:pt idx="68">
                  <c:v>69.739999999999995</c:v>
                </c:pt>
                <c:pt idx="69">
                  <c:v>74.94</c:v>
                </c:pt>
                <c:pt idx="70">
                  <c:v>71.239999999999995</c:v>
                </c:pt>
                <c:pt idx="71">
                  <c:v>76.88</c:v>
                </c:pt>
                <c:pt idx="72">
                  <c:v>80.959999999999994</c:v>
                </c:pt>
                <c:pt idx="73">
                  <c:v>80.03</c:v>
                </c:pt>
                <c:pt idx="74">
                  <c:v>78.81</c:v>
                </c:pt>
                <c:pt idx="75">
                  <c:v>75.66</c:v>
                </c:pt>
                <c:pt idx="76">
                  <c:v>72.52</c:v>
                </c:pt>
                <c:pt idx="77">
                  <c:v>70.53</c:v>
                </c:pt>
                <c:pt idx="78">
                  <c:v>70.31</c:v>
                </c:pt>
                <c:pt idx="79">
                  <c:v>57.55</c:v>
                </c:pt>
                <c:pt idx="80">
                  <c:v>53.26</c:v>
                </c:pt>
                <c:pt idx="81">
                  <c:v>54.71</c:v>
                </c:pt>
                <c:pt idx="82">
                  <c:v>56.96</c:v>
                </c:pt>
                <c:pt idx="83">
                  <c:v>53.85</c:v>
                </c:pt>
                <c:pt idx="84">
                  <c:v>46.41</c:v>
                </c:pt>
                <c:pt idx="86">
                  <c:v>50.46</c:v>
                </c:pt>
                <c:pt idx="87">
                  <c:v>49.21</c:v>
                </c:pt>
                <c:pt idx="88">
                  <c:v>48.85</c:v>
                </c:pt>
                <c:pt idx="89">
                  <c:v>52.69</c:v>
                </c:pt>
                <c:pt idx="90">
                  <c:v>53.76</c:v>
                </c:pt>
                <c:pt idx="91">
                  <c:v>54.96</c:v>
                </c:pt>
                <c:pt idx="92">
                  <c:v>53.35</c:v>
                </c:pt>
                <c:pt idx="93">
                  <c:v>52.82</c:v>
                </c:pt>
                <c:pt idx="94">
                  <c:v>54.81</c:v>
                </c:pt>
                <c:pt idx="95">
                  <c:v>52.84</c:v>
                </c:pt>
                <c:pt idx="96">
                  <c:v>58.94</c:v>
                </c:pt>
                <c:pt idx="97">
                  <c:v>68.73</c:v>
                </c:pt>
                <c:pt idx="98">
                  <c:v>62.1</c:v>
                </c:pt>
                <c:pt idx="99">
                  <c:v>58.76</c:v>
                </c:pt>
                <c:pt idx="100">
                  <c:v>61.2</c:v>
                </c:pt>
                <c:pt idx="101">
                  <c:v>62.06</c:v>
                </c:pt>
                <c:pt idx="102">
                  <c:v>66.010000000000005</c:v>
                </c:pt>
                <c:pt idx="103">
                  <c:v>56.79</c:v>
                </c:pt>
                <c:pt idx="104">
                  <c:v>60.08</c:v>
                </c:pt>
                <c:pt idx="105">
                  <c:v>54.55</c:v>
                </c:pt>
                <c:pt idx="106">
                  <c:v>50.24</c:v>
                </c:pt>
                <c:pt idx="107">
                  <c:v>54.9</c:v>
                </c:pt>
                <c:pt idx="108">
                  <c:v>51.94</c:v>
                </c:pt>
                <c:pt idx="109">
                  <c:v>53.03</c:v>
                </c:pt>
                <c:pt idx="110">
                  <c:v>42.96</c:v>
                </c:pt>
                <c:pt idx="111">
                  <c:v>41.97</c:v>
                </c:pt>
                <c:pt idx="112">
                  <c:v>42.08</c:v>
                </c:pt>
                <c:pt idx="113">
                  <c:v>45.77</c:v>
                </c:pt>
                <c:pt idx="114">
                  <c:v>41.47</c:v>
                </c:pt>
                <c:pt idx="115">
                  <c:v>41.78</c:v>
                </c:pt>
                <c:pt idx="116">
                  <c:v>49.5</c:v>
                </c:pt>
                <c:pt idx="117">
                  <c:v>46.02</c:v>
                </c:pt>
                <c:pt idx="118">
                  <c:v>49.28</c:v>
                </c:pt>
                <c:pt idx="119">
                  <c:v>43.68</c:v>
                </c:pt>
                <c:pt idx="120">
                  <c:v>42.39</c:v>
                </c:pt>
                <c:pt idx="121">
                  <c:v>42.91</c:v>
                </c:pt>
                <c:pt idx="122">
                  <c:v>39.14</c:v>
                </c:pt>
                <c:pt idx="123">
                  <c:v>44.3</c:v>
                </c:pt>
                <c:pt idx="124">
                  <c:v>44.26</c:v>
                </c:pt>
                <c:pt idx="125">
                  <c:v>51.55</c:v>
                </c:pt>
                <c:pt idx="126">
                  <c:v>52.24</c:v>
                </c:pt>
                <c:pt idx="127">
                  <c:v>57.83</c:v>
                </c:pt>
                <c:pt idx="128">
                  <c:v>57.53</c:v>
                </c:pt>
                <c:pt idx="129">
                  <c:v>68.989999999999995</c:v>
                </c:pt>
                <c:pt idx="130">
                  <c:v>64.77</c:v>
                </c:pt>
                <c:pt idx="131">
                  <c:v>67.239999999999995</c:v>
                </c:pt>
                <c:pt idx="132">
                  <c:v>62.81</c:v>
                </c:pt>
                <c:pt idx="133">
                  <c:v>48.94</c:v>
                </c:pt>
                <c:pt idx="134">
                  <c:v>51.58</c:v>
                </c:pt>
                <c:pt idx="135">
                  <c:v>50.79</c:v>
                </c:pt>
                <c:pt idx="136">
                  <c:v>45.4</c:v>
                </c:pt>
                <c:pt idx="137">
                  <c:v>43.15</c:v>
                </c:pt>
                <c:pt idx="138">
                  <c:v>55.83</c:v>
                </c:pt>
                <c:pt idx="139">
                  <c:v>54.69</c:v>
                </c:pt>
                <c:pt idx="140">
                  <c:v>41.64</c:v>
                </c:pt>
                <c:pt idx="141">
                  <c:v>44.75</c:v>
                </c:pt>
                <c:pt idx="142">
                  <c:v>42.41</c:v>
                </c:pt>
                <c:pt idx="148">
                  <c:v>40.369999999999997</c:v>
                </c:pt>
                <c:pt idx="149">
                  <c:v>41.75</c:v>
                </c:pt>
                <c:pt idx="150">
                  <c:v>39.14</c:v>
                </c:pt>
                <c:pt idx="151">
                  <c:v>37.299999999999997</c:v>
                </c:pt>
                <c:pt idx="152">
                  <c:v>35.369999999999997</c:v>
                </c:pt>
                <c:pt idx="153">
                  <c:v>41.65</c:v>
                </c:pt>
                <c:pt idx="154">
                  <c:v>45.11</c:v>
                </c:pt>
                <c:pt idx="155">
                  <c:v>43.25</c:v>
                </c:pt>
                <c:pt idx="156">
                  <c:v>44.54</c:v>
                </c:pt>
                <c:pt idx="157">
                  <c:v>46.41</c:v>
                </c:pt>
                <c:pt idx="158">
                  <c:v>48.86</c:v>
                </c:pt>
                <c:pt idx="159">
                  <c:v>51.48</c:v>
                </c:pt>
                <c:pt idx="160">
                  <c:v>62.14</c:v>
                </c:pt>
                <c:pt idx="161">
                  <c:v>59.54</c:v>
                </c:pt>
                <c:pt idx="162">
                  <c:v>57.47</c:v>
                </c:pt>
                <c:pt idx="163">
                  <c:v>60.37</c:v>
                </c:pt>
                <c:pt idx="164">
                  <c:v>60.72</c:v>
                </c:pt>
                <c:pt idx="165">
                  <c:v>54.24</c:v>
                </c:pt>
                <c:pt idx="166">
                  <c:v>58.26</c:v>
                </c:pt>
                <c:pt idx="167">
                  <c:v>54.06</c:v>
                </c:pt>
                <c:pt idx="168">
                  <c:v>51.24</c:v>
                </c:pt>
                <c:pt idx="169">
                  <c:v>45.83</c:v>
                </c:pt>
                <c:pt idx="170">
                  <c:v>43.26</c:v>
                </c:pt>
                <c:pt idx="171">
                  <c:v>43.31</c:v>
                </c:pt>
                <c:pt idx="172">
                  <c:v>44.73</c:v>
                </c:pt>
                <c:pt idx="173">
                  <c:v>42.65</c:v>
                </c:pt>
                <c:pt idx="174">
                  <c:v>41.34</c:v>
                </c:pt>
                <c:pt idx="175">
                  <c:v>40.369999999999997</c:v>
                </c:pt>
                <c:pt idx="176">
                  <c:v>47.28</c:v>
                </c:pt>
                <c:pt idx="177">
                  <c:v>43.72</c:v>
                </c:pt>
                <c:pt idx="178">
                  <c:v>41.49</c:v>
                </c:pt>
                <c:pt idx="179">
                  <c:v>30.77</c:v>
                </c:pt>
                <c:pt idx="180">
                  <c:v>33.99</c:v>
                </c:pt>
                <c:pt idx="181">
                  <c:v>40.479999999999997</c:v>
                </c:pt>
                <c:pt idx="183">
                  <c:v>41.13</c:v>
                </c:pt>
                <c:pt idx="184">
                  <c:v>41.34</c:v>
                </c:pt>
                <c:pt idx="185">
                  <c:v>45.83</c:v>
                </c:pt>
                <c:pt idx="186">
                  <c:v>48.36</c:v>
                </c:pt>
                <c:pt idx="187">
                  <c:v>52.32</c:v>
                </c:pt>
                <c:pt idx="188">
                  <c:v>54.41</c:v>
                </c:pt>
                <c:pt idx="189">
                  <c:v>54.17</c:v>
                </c:pt>
                <c:pt idx="190">
                  <c:v>45.75</c:v>
                </c:pt>
                <c:pt idx="191">
                  <c:v>40.15</c:v>
                </c:pt>
                <c:pt idx="192">
                  <c:v>33.99</c:v>
                </c:pt>
                <c:pt idx="193">
                  <c:v>42.05</c:v>
                </c:pt>
                <c:pt idx="194">
                  <c:v>37.33</c:v>
                </c:pt>
                <c:pt idx="195">
                  <c:v>40.36</c:v>
                </c:pt>
                <c:pt idx="196">
                  <c:v>35.6</c:v>
                </c:pt>
                <c:pt idx="197">
                  <c:v>38.340000000000003</c:v>
                </c:pt>
                <c:pt idx="198">
                  <c:v>37.75</c:v>
                </c:pt>
                <c:pt idx="199">
                  <c:v>37.19</c:v>
                </c:pt>
                <c:pt idx="200">
                  <c:v>38.47</c:v>
                </c:pt>
                <c:pt idx="201">
                  <c:v>45.74</c:v>
                </c:pt>
                <c:pt idx="202">
                  <c:v>46.09</c:v>
                </c:pt>
                <c:pt idx="203">
                  <c:v>45.85</c:v>
                </c:pt>
                <c:pt idx="204">
                  <c:v>46.47</c:v>
                </c:pt>
                <c:pt idx="205">
                  <c:v>51.71</c:v>
                </c:pt>
                <c:pt idx="206">
                  <c:v>48.95</c:v>
                </c:pt>
                <c:pt idx="207">
                  <c:v>49.88</c:v>
                </c:pt>
                <c:pt idx="208">
                  <c:v>51.81</c:v>
                </c:pt>
                <c:pt idx="209">
                  <c:v>53.67</c:v>
                </c:pt>
                <c:pt idx="210">
                  <c:v>52.2</c:v>
                </c:pt>
                <c:pt idx="211">
                  <c:v>48.63</c:v>
                </c:pt>
                <c:pt idx="212">
                  <c:v>49.08</c:v>
                </c:pt>
                <c:pt idx="213">
                  <c:v>55.11</c:v>
                </c:pt>
                <c:pt idx="214">
                  <c:v>56.24</c:v>
                </c:pt>
                <c:pt idx="215">
                  <c:v>60.42</c:v>
                </c:pt>
                <c:pt idx="216">
                  <c:v>61.12</c:v>
                </c:pt>
                <c:pt idx="217">
                  <c:v>65.03</c:v>
                </c:pt>
                <c:pt idx="218">
                  <c:v>69.56</c:v>
                </c:pt>
                <c:pt idx="219">
                  <c:v>73.180000000000007</c:v>
                </c:pt>
                <c:pt idx="220">
                  <c:v>69</c:v>
                </c:pt>
                <c:pt idx="221">
                  <c:v>66.790000000000006</c:v>
                </c:pt>
                <c:pt idx="222">
                  <c:v>65.44</c:v>
                </c:pt>
                <c:pt idx="223">
                  <c:v>72.25</c:v>
                </c:pt>
                <c:pt idx="224">
                  <c:v>70.56</c:v>
                </c:pt>
                <c:pt idx="225">
                  <c:v>74.73</c:v>
                </c:pt>
                <c:pt idx="226">
                  <c:v>78.510000000000005</c:v>
                </c:pt>
                <c:pt idx="227">
                  <c:v>73.7</c:v>
                </c:pt>
                <c:pt idx="228">
                  <c:v>84.24</c:v>
                </c:pt>
                <c:pt idx="229">
                  <c:v>81.64</c:v>
                </c:pt>
                <c:pt idx="230">
                  <c:v>81.239999999999995</c:v>
                </c:pt>
                <c:pt idx="231">
                  <c:v>78.569999999999993</c:v>
                </c:pt>
                <c:pt idx="233">
                  <c:v>77.989999999999995</c:v>
                </c:pt>
                <c:pt idx="234">
                  <c:v>77.3</c:v>
                </c:pt>
                <c:pt idx="236">
                  <c:v>74.45</c:v>
                </c:pt>
                <c:pt idx="237">
                  <c:v>73.53</c:v>
                </c:pt>
                <c:pt idx="238">
                  <c:v>82.66</c:v>
                </c:pt>
                <c:pt idx="239">
                  <c:v>78.8</c:v>
                </c:pt>
                <c:pt idx="240">
                  <c:v>79.900000000000006</c:v>
                </c:pt>
                <c:pt idx="241">
                  <c:v>77.88</c:v>
                </c:pt>
                <c:pt idx="242">
                  <c:v>74.94</c:v>
                </c:pt>
                <c:pt idx="243">
                  <c:v>64.709999999999994</c:v>
                </c:pt>
                <c:pt idx="244">
                  <c:v>70.67</c:v>
                </c:pt>
                <c:pt idx="245">
                  <c:v>67.41</c:v>
                </c:pt>
                <c:pt idx="246">
                  <c:v>63.24</c:v>
                </c:pt>
                <c:pt idx="247">
                  <c:v>63.65</c:v>
                </c:pt>
                <c:pt idx="248">
                  <c:v>59.57</c:v>
                </c:pt>
                <c:pt idx="249">
                  <c:v>67.33</c:v>
                </c:pt>
                <c:pt idx="250">
                  <c:v>65.41</c:v>
                </c:pt>
                <c:pt idx="251">
                  <c:v>69.180000000000007</c:v>
                </c:pt>
                <c:pt idx="252">
                  <c:v>61.47</c:v>
                </c:pt>
                <c:pt idx="253">
                  <c:v>70.52</c:v>
                </c:pt>
                <c:pt idx="254">
                  <c:v>75.73</c:v>
                </c:pt>
                <c:pt idx="257">
                  <c:v>72.53</c:v>
                </c:pt>
                <c:pt idx="259">
                  <c:v>75.38</c:v>
                </c:pt>
                <c:pt idx="260">
                  <c:v>74.77</c:v>
                </c:pt>
                <c:pt idx="261">
                  <c:v>72.61</c:v>
                </c:pt>
                <c:pt idx="262">
                  <c:v>66.31</c:v>
                </c:pt>
                <c:pt idx="263">
                  <c:v>66.12</c:v>
                </c:pt>
                <c:pt idx="264">
                  <c:v>60.78</c:v>
                </c:pt>
                <c:pt idx="265">
                  <c:v>59.86</c:v>
                </c:pt>
                <c:pt idx="266">
                  <c:v>61.94</c:v>
                </c:pt>
                <c:pt idx="267">
                  <c:v>62.27</c:v>
                </c:pt>
                <c:pt idx="268">
                  <c:v>58.13</c:v>
                </c:pt>
                <c:pt idx="269">
                  <c:v>56.03</c:v>
                </c:pt>
                <c:pt idx="270">
                  <c:v>60.28</c:v>
                </c:pt>
                <c:pt idx="271">
                  <c:v>56.77</c:v>
                </c:pt>
                <c:pt idx="272">
                  <c:v>56.41</c:v>
                </c:pt>
                <c:pt idx="273">
                  <c:v>52.51</c:v>
                </c:pt>
                <c:pt idx="274">
                  <c:v>38.159999999999997</c:v>
                </c:pt>
                <c:pt idx="275">
                  <c:v>41.46</c:v>
                </c:pt>
                <c:pt idx="276">
                  <c:v>33.44</c:v>
                </c:pt>
                <c:pt idx="277">
                  <c:v>48.18</c:v>
                </c:pt>
                <c:pt idx="278">
                  <c:v>46.96</c:v>
                </c:pt>
                <c:pt idx="279">
                  <c:v>47.02</c:v>
                </c:pt>
                <c:pt idx="280">
                  <c:v>48.35</c:v>
                </c:pt>
                <c:pt idx="281">
                  <c:v>40.159999999999997</c:v>
                </c:pt>
                <c:pt idx="282">
                  <c:v>42.4</c:v>
                </c:pt>
                <c:pt idx="283">
                  <c:v>47.42</c:v>
                </c:pt>
                <c:pt idx="284">
                  <c:v>45.72</c:v>
                </c:pt>
                <c:pt idx="285">
                  <c:v>46.5</c:v>
                </c:pt>
                <c:pt idx="286">
                  <c:v>44.23</c:v>
                </c:pt>
                <c:pt idx="287">
                  <c:v>49.42</c:v>
                </c:pt>
                <c:pt idx="288">
                  <c:v>49.99</c:v>
                </c:pt>
                <c:pt idx="289">
                  <c:v>49.93</c:v>
                </c:pt>
                <c:pt idx="290">
                  <c:v>53.09</c:v>
                </c:pt>
                <c:pt idx="291">
                  <c:v>51.96</c:v>
                </c:pt>
                <c:pt idx="292">
                  <c:v>50.91</c:v>
                </c:pt>
                <c:pt idx="293">
                  <c:v>51.87</c:v>
                </c:pt>
                <c:pt idx="294">
                  <c:v>54.37</c:v>
                </c:pt>
                <c:pt idx="295">
                  <c:v>54.37</c:v>
                </c:pt>
                <c:pt idx="296">
                  <c:v>64.040000000000006</c:v>
                </c:pt>
                <c:pt idx="297">
                  <c:v>63.83</c:v>
                </c:pt>
                <c:pt idx="298">
                  <c:v>63.55</c:v>
                </c:pt>
                <c:pt idx="299">
                  <c:v>63.41</c:v>
                </c:pt>
                <c:pt idx="300">
                  <c:v>51.73</c:v>
                </c:pt>
                <c:pt idx="302">
                  <c:v>51.09</c:v>
                </c:pt>
                <c:pt idx="303">
                  <c:v>63.18</c:v>
                </c:pt>
                <c:pt idx="304">
                  <c:v>65.569999999999993</c:v>
                </c:pt>
                <c:pt idx="305">
                  <c:v>63.64</c:v>
                </c:pt>
                <c:pt idx="306">
                  <c:v>64.02</c:v>
                </c:pt>
                <c:pt idx="307">
                  <c:v>64.17</c:v>
                </c:pt>
                <c:pt idx="308">
                  <c:v>64.09</c:v>
                </c:pt>
                <c:pt idx="309">
                  <c:v>71.48</c:v>
                </c:pt>
                <c:pt idx="310">
                  <c:v>75.02</c:v>
                </c:pt>
                <c:pt idx="311">
                  <c:v>68.78</c:v>
                </c:pt>
                <c:pt idx="312">
                  <c:v>70.64</c:v>
                </c:pt>
                <c:pt idx="313">
                  <c:v>67.989999999999995</c:v>
                </c:pt>
                <c:pt idx="314">
                  <c:v>61.18</c:v>
                </c:pt>
                <c:pt idx="315">
                  <c:v>63.55</c:v>
                </c:pt>
                <c:pt idx="316">
                  <c:v>60.9</c:v>
                </c:pt>
                <c:pt idx="317">
                  <c:v>60.87</c:v>
                </c:pt>
                <c:pt idx="318">
                  <c:v>59.78</c:v>
                </c:pt>
                <c:pt idx="319">
                  <c:v>52.07</c:v>
                </c:pt>
                <c:pt idx="320">
                  <c:v>53.6</c:v>
                </c:pt>
                <c:pt idx="321">
                  <c:v>50.01</c:v>
                </c:pt>
                <c:pt idx="322">
                  <c:v>56.15</c:v>
                </c:pt>
                <c:pt idx="327">
                  <c:v>62.63</c:v>
                </c:pt>
                <c:pt idx="328">
                  <c:v>55.81</c:v>
                </c:pt>
                <c:pt idx="329">
                  <c:v>54.76</c:v>
                </c:pt>
                <c:pt idx="330">
                  <c:v>45.32</c:v>
                </c:pt>
                <c:pt idx="331">
                  <c:v>44.72</c:v>
                </c:pt>
                <c:pt idx="332">
                  <c:v>45.14</c:v>
                </c:pt>
                <c:pt idx="333">
                  <c:v>46.72</c:v>
                </c:pt>
                <c:pt idx="334">
                  <c:v>42.02</c:v>
                </c:pt>
                <c:pt idx="335">
                  <c:v>45.4</c:v>
                </c:pt>
                <c:pt idx="336">
                  <c:v>46.7</c:v>
                </c:pt>
                <c:pt idx="337">
                  <c:v>50.95</c:v>
                </c:pt>
                <c:pt idx="338">
                  <c:v>44.84</c:v>
                </c:pt>
                <c:pt idx="339">
                  <c:v>47.62</c:v>
                </c:pt>
                <c:pt idx="340">
                  <c:v>51.34</c:v>
                </c:pt>
                <c:pt idx="341">
                  <c:v>46</c:v>
                </c:pt>
                <c:pt idx="342">
                  <c:v>44.9</c:v>
                </c:pt>
                <c:pt idx="343">
                  <c:v>41.47</c:v>
                </c:pt>
                <c:pt idx="345">
                  <c:v>41.47</c:v>
                </c:pt>
                <c:pt idx="346">
                  <c:v>42.14</c:v>
                </c:pt>
                <c:pt idx="347">
                  <c:v>46.63</c:v>
                </c:pt>
                <c:pt idx="348">
                  <c:v>50.36</c:v>
                </c:pt>
                <c:pt idx="349">
                  <c:v>51.73</c:v>
                </c:pt>
                <c:pt idx="350">
                  <c:v>48.13</c:v>
                </c:pt>
                <c:pt idx="351">
                  <c:v>49.48</c:v>
                </c:pt>
                <c:pt idx="352">
                  <c:v>51.22</c:v>
                </c:pt>
                <c:pt idx="353">
                  <c:v>47.87</c:v>
                </c:pt>
                <c:pt idx="354">
                  <c:v>46.79</c:v>
                </c:pt>
                <c:pt idx="355">
                  <c:v>49.32</c:v>
                </c:pt>
                <c:pt idx="356">
                  <c:v>44.54</c:v>
                </c:pt>
                <c:pt idx="357">
                  <c:v>44.91</c:v>
                </c:pt>
                <c:pt idx="358">
                  <c:v>39.99</c:v>
                </c:pt>
                <c:pt idx="359">
                  <c:v>26.27</c:v>
                </c:pt>
                <c:pt idx="360">
                  <c:v>34.28</c:v>
                </c:pt>
                <c:pt idx="361">
                  <c:v>36.46</c:v>
                </c:pt>
                <c:pt idx="362">
                  <c:v>41.05</c:v>
                </c:pt>
                <c:pt idx="363">
                  <c:v>55.03</c:v>
                </c:pt>
                <c:pt idx="364">
                  <c:v>48.83</c:v>
                </c:pt>
                <c:pt idx="365">
                  <c:v>51.29</c:v>
                </c:pt>
                <c:pt idx="366">
                  <c:v>56.21</c:v>
                </c:pt>
                <c:pt idx="367">
                  <c:v>58</c:v>
                </c:pt>
                <c:pt idx="368">
                  <c:v>56.31</c:v>
                </c:pt>
                <c:pt idx="369">
                  <c:v>54.43</c:v>
                </c:pt>
                <c:pt idx="370">
                  <c:v>48.51</c:v>
                </c:pt>
                <c:pt idx="371">
                  <c:v>46.37</c:v>
                </c:pt>
                <c:pt idx="372">
                  <c:v>40.53</c:v>
                </c:pt>
                <c:pt idx="373">
                  <c:v>43.69</c:v>
                </c:pt>
                <c:pt idx="374">
                  <c:v>45.45</c:v>
                </c:pt>
                <c:pt idx="375">
                  <c:v>42</c:v>
                </c:pt>
                <c:pt idx="376">
                  <c:v>43.19</c:v>
                </c:pt>
                <c:pt idx="377">
                  <c:v>32.78</c:v>
                </c:pt>
                <c:pt idx="378">
                  <c:v>40.520000000000003</c:v>
                </c:pt>
                <c:pt idx="379">
                  <c:v>40.11</c:v>
                </c:pt>
                <c:pt idx="380">
                  <c:v>45.56</c:v>
                </c:pt>
                <c:pt idx="381">
                  <c:v>40.61</c:v>
                </c:pt>
                <c:pt idx="382">
                  <c:v>43.59</c:v>
                </c:pt>
                <c:pt idx="383">
                  <c:v>41.46</c:v>
                </c:pt>
                <c:pt idx="384">
                  <c:v>33.86</c:v>
                </c:pt>
                <c:pt idx="385">
                  <c:v>30.59</c:v>
                </c:pt>
                <c:pt idx="386">
                  <c:v>35.06</c:v>
                </c:pt>
                <c:pt idx="387">
                  <c:v>38.71</c:v>
                </c:pt>
                <c:pt idx="388">
                  <c:v>40.590000000000003</c:v>
                </c:pt>
                <c:pt idx="389">
                  <c:v>41.03</c:v>
                </c:pt>
                <c:pt idx="390">
                  <c:v>36.03</c:v>
                </c:pt>
                <c:pt idx="391">
                  <c:v>37.33</c:v>
                </c:pt>
                <c:pt idx="392">
                  <c:v>37.659999999999997</c:v>
                </c:pt>
                <c:pt idx="393">
                  <c:v>41.91</c:v>
                </c:pt>
                <c:pt idx="394">
                  <c:v>48.11</c:v>
                </c:pt>
                <c:pt idx="395">
                  <c:v>48.7</c:v>
                </c:pt>
                <c:pt idx="396">
                  <c:v>51.34</c:v>
                </c:pt>
                <c:pt idx="397">
                  <c:v>44.5</c:v>
                </c:pt>
                <c:pt idx="398">
                  <c:v>44.55</c:v>
                </c:pt>
                <c:pt idx="399">
                  <c:v>44.32</c:v>
                </c:pt>
                <c:pt idx="400">
                  <c:v>43.14</c:v>
                </c:pt>
                <c:pt idx="401">
                  <c:v>43.22</c:v>
                </c:pt>
                <c:pt idx="403">
                  <c:v>45.06</c:v>
                </c:pt>
                <c:pt idx="404">
                  <c:v>41.27</c:v>
                </c:pt>
                <c:pt idx="405">
                  <c:v>41.41</c:v>
                </c:pt>
                <c:pt idx="407">
                  <c:v>41.62</c:v>
                </c:pt>
                <c:pt idx="409">
                  <c:v>44.47</c:v>
                </c:pt>
                <c:pt idx="410">
                  <c:v>45.22</c:v>
                </c:pt>
                <c:pt idx="411">
                  <c:v>48.2</c:v>
                </c:pt>
                <c:pt idx="412">
                  <c:v>44.36</c:v>
                </c:pt>
                <c:pt idx="413">
                  <c:v>48.34</c:v>
                </c:pt>
                <c:pt idx="414">
                  <c:v>43.53</c:v>
                </c:pt>
                <c:pt idx="415">
                  <c:v>48.1</c:v>
                </c:pt>
                <c:pt idx="416">
                  <c:v>51.48</c:v>
                </c:pt>
                <c:pt idx="420">
                  <c:v>53.24</c:v>
                </c:pt>
                <c:pt idx="421">
                  <c:v>49.06</c:v>
                </c:pt>
                <c:pt idx="422">
                  <c:v>40.36</c:v>
                </c:pt>
                <c:pt idx="423">
                  <c:v>38.200000000000003</c:v>
                </c:pt>
                <c:pt idx="424">
                  <c:v>41.68</c:v>
                </c:pt>
                <c:pt idx="425">
                  <c:v>38.479999999999997</c:v>
                </c:pt>
                <c:pt idx="426">
                  <c:v>41.56</c:v>
                </c:pt>
                <c:pt idx="427">
                  <c:v>45.36</c:v>
                </c:pt>
                <c:pt idx="428">
                  <c:v>52.66</c:v>
                </c:pt>
                <c:pt idx="429">
                  <c:v>53.29</c:v>
                </c:pt>
                <c:pt idx="430">
                  <c:v>54.12</c:v>
                </c:pt>
                <c:pt idx="431">
                  <c:v>54.16</c:v>
                </c:pt>
                <c:pt idx="432">
                  <c:v>54.93</c:v>
                </c:pt>
                <c:pt idx="433">
                  <c:v>62.3</c:v>
                </c:pt>
                <c:pt idx="434">
                  <c:v>61.14</c:v>
                </c:pt>
                <c:pt idx="435">
                  <c:v>59.3</c:v>
                </c:pt>
                <c:pt idx="436">
                  <c:v>56.18</c:v>
                </c:pt>
                <c:pt idx="437">
                  <c:v>60.86</c:v>
                </c:pt>
                <c:pt idx="438">
                  <c:v>57.07</c:v>
                </c:pt>
                <c:pt idx="439">
                  <c:v>52.14</c:v>
                </c:pt>
                <c:pt idx="440">
                  <c:v>50.96</c:v>
                </c:pt>
                <c:pt idx="442">
                  <c:v>52.09</c:v>
                </c:pt>
                <c:pt idx="443">
                  <c:v>50.87</c:v>
                </c:pt>
                <c:pt idx="444">
                  <c:v>54.58</c:v>
                </c:pt>
                <c:pt idx="445">
                  <c:v>50.73</c:v>
                </c:pt>
                <c:pt idx="446">
                  <c:v>48.27</c:v>
                </c:pt>
                <c:pt idx="447">
                  <c:v>37.68</c:v>
                </c:pt>
                <c:pt idx="448">
                  <c:v>36.68</c:v>
                </c:pt>
                <c:pt idx="449">
                  <c:v>33.26</c:v>
                </c:pt>
                <c:pt idx="450">
                  <c:v>50.22</c:v>
                </c:pt>
                <c:pt idx="451">
                  <c:v>61.72</c:v>
                </c:pt>
                <c:pt idx="452">
                  <c:v>63.31</c:v>
                </c:pt>
                <c:pt idx="453">
                  <c:v>60.75</c:v>
                </c:pt>
                <c:pt idx="454">
                  <c:v>63.61</c:v>
                </c:pt>
                <c:pt idx="455">
                  <c:v>60.69</c:v>
                </c:pt>
                <c:pt idx="456">
                  <c:v>49.55</c:v>
                </c:pt>
                <c:pt idx="457">
                  <c:v>52.33</c:v>
                </c:pt>
                <c:pt idx="458">
                  <c:v>56.71</c:v>
                </c:pt>
                <c:pt idx="459">
                  <c:v>62.36</c:v>
                </c:pt>
                <c:pt idx="460">
                  <c:v>59.87</c:v>
                </c:pt>
                <c:pt idx="461">
                  <c:v>69.83</c:v>
                </c:pt>
                <c:pt idx="462">
                  <c:v>74.72</c:v>
                </c:pt>
                <c:pt idx="463">
                  <c:v>68.599999999999994</c:v>
                </c:pt>
                <c:pt idx="464">
                  <c:v>68.83</c:v>
                </c:pt>
                <c:pt idx="465">
                  <c:v>57.45</c:v>
                </c:pt>
                <c:pt idx="466">
                  <c:v>51.32</c:v>
                </c:pt>
                <c:pt idx="467">
                  <c:v>47.27</c:v>
                </c:pt>
                <c:pt idx="468">
                  <c:v>47.61</c:v>
                </c:pt>
                <c:pt idx="469">
                  <c:v>41.85</c:v>
                </c:pt>
                <c:pt idx="470">
                  <c:v>38.81</c:v>
                </c:pt>
                <c:pt idx="471">
                  <c:v>38.97</c:v>
                </c:pt>
                <c:pt idx="472">
                  <c:v>40.33</c:v>
                </c:pt>
                <c:pt idx="473">
                  <c:v>41.33</c:v>
                </c:pt>
                <c:pt idx="474">
                  <c:v>50.94</c:v>
                </c:pt>
                <c:pt idx="475">
                  <c:v>48.29</c:v>
                </c:pt>
                <c:pt idx="476">
                  <c:v>43.48</c:v>
                </c:pt>
                <c:pt idx="477">
                  <c:v>47.45</c:v>
                </c:pt>
                <c:pt idx="478">
                  <c:v>47.03</c:v>
                </c:pt>
                <c:pt idx="479">
                  <c:v>45.06</c:v>
                </c:pt>
                <c:pt idx="480">
                  <c:v>50.28</c:v>
                </c:pt>
                <c:pt idx="481">
                  <c:v>53.96</c:v>
                </c:pt>
                <c:pt idx="482">
                  <c:v>46.8</c:v>
                </c:pt>
                <c:pt idx="483">
                  <c:v>39.97</c:v>
                </c:pt>
                <c:pt idx="484">
                  <c:v>41.65</c:v>
                </c:pt>
                <c:pt idx="485">
                  <c:v>45.03</c:v>
                </c:pt>
                <c:pt idx="486">
                  <c:v>46.54</c:v>
                </c:pt>
                <c:pt idx="487">
                  <c:v>45.98</c:v>
                </c:pt>
                <c:pt idx="488">
                  <c:v>41.66</c:v>
                </c:pt>
                <c:pt idx="489">
                  <c:v>45.06</c:v>
                </c:pt>
                <c:pt idx="490">
                  <c:v>44.86</c:v>
                </c:pt>
                <c:pt idx="492">
                  <c:v>44.79</c:v>
                </c:pt>
                <c:pt idx="493">
                  <c:v>47.35</c:v>
                </c:pt>
                <c:pt idx="494">
                  <c:v>52.59</c:v>
                </c:pt>
                <c:pt idx="495">
                  <c:v>49.68</c:v>
                </c:pt>
                <c:pt idx="496">
                  <c:v>47.35</c:v>
                </c:pt>
                <c:pt idx="497">
                  <c:v>56.1</c:v>
                </c:pt>
                <c:pt idx="498">
                  <c:v>59.17</c:v>
                </c:pt>
                <c:pt idx="499">
                  <c:v>59.96</c:v>
                </c:pt>
                <c:pt idx="500">
                  <c:v>51.54</c:v>
                </c:pt>
                <c:pt idx="501">
                  <c:v>55.43</c:v>
                </c:pt>
                <c:pt idx="502">
                  <c:v>55.82</c:v>
                </c:pt>
                <c:pt idx="503">
                  <c:v>48.84</c:v>
                </c:pt>
                <c:pt idx="504">
                  <c:v>52.21</c:v>
                </c:pt>
                <c:pt idx="505">
                  <c:v>52.64</c:v>
                </c:pt>
                <c:pt idx="506">
                  <c:v>62.14</c:v>
                </c:pt>
                <c:pt idx="508">
                  <c:v>60.24</c:v>
                </c:pt>
                <c:pt idx="509">
                  <c:v>54.5</c:v>
                </c:pt>
                <c:pt idx="510">
                  <c:v>53.46</c:v>
                </c:pt>
                <c:pt idx="511">
                  <c:v>55.35</c:v>
                </c:pt>
                <c:pt idx="512">
                  <c:v>59.9</c:v>
                </c:pt>
                <c:pt idx="513">
                  <c:v>58.53</c:v>
                </c:pt>
                <c:pt idx="515">
                  <c:v>54.23</c:v>
                </c:pt>
                <c:pt idx="516">
                  <c:v>60.38</c:v>
                </c:pt>
                <c:pt idx="518">
                  <c:v>63.85</c:v>
                </c:pt>
                <c:pt idx="519">
                  <c:v>61.16</c:v>
                </c:pt>
                <c:pt idx="520">
                  <c:v>53.14</c:v>
                </c:pt>
                <c:pt idx="521">
                  <c:v>52.48</c:v>
                </c:pt>
                <c:pt idx="522">
                  <c:v>53.24</c:v>
                </c:pt>
                <c:pt idx="523">
                  <c:v>51.15</c:v>
                </c:pt>
                <c:pt idx="524">
                  <c:v>50.55</c:v>
                </c:pt>
                <c:pt idx="525">
                  <c:v>40.46</c:v>
                </c:pt>
                <c:pt idx="526">
                  <c:v>37.29</c:v>
                </c:pt>
                <c:pt idx="527">
                  <c:v>26.57</c:v>
                </c:pt>
                <c:pt idx="528">
                  <c:v>29.21</c:v>
                </c:pt>
                <c:pt idx="529">
                  <c:v>33.71</c:v>
                </c:pt>
                <c:pt idx="530">
                  <c:v>34.35</c:v>
                </c:pt>
                <c:pt idx="531">
                  <c:v>40.43</c:v>
                </c:pt>
                <c:pt idx="533">
                  <c:v>41.76</c:v>
                </c:pt>
                <c:pt idx="534">
                  <c:v>41.45</c:v>
                </c:pt>
                <c:pt idx="535">
                  <c:v>48.96</c:v>
                </c:pt>
                <c:pt idx="536">
                  <c:v>47.54</c:v>
                </c:pt>
                <c:pt idx="537">
                  <c:v>47.85</c:v>
                </c:pt>
                <c:pt idx="538">
                  <c:v>45.81</c:v>
                </c:pt>
                <c:pt idx="539">
                  <c:v>46.36</c:v>
                </c:pt>
                <c:pt idx="540">
                  <c:v>38.07</c:v>
                </c:pt>
                <c:pt idx="541">
                  <c:v>43.78</c:v>
                </c:pt>
                <c:pt idx="542">
                  <c:v>42.85</c:v>
                </c:pt>
                <c:pt idx="543">
                  <c:v>40.15</c:v>
                </c:pt>
                <c:pt idx="544">
                  <c:v>42.14</c:v>
                </c:pt>
                <c:pt idx="545">
                  <c:v>48.03</c:v>
                </c:pt>
                <c:pt idx="546">
                  <c:v>49.02</c:v>
                </c:pt>
                <c:pt idx="547">
                  <c:v>42.98</c:v>
                </c:pt>
                <c:pt idx="548">
                  <c:v>42.51</c:v>
                </c:pt>
                <c:pt idx="549">
                  <c:v>46.99</c:v>
                </c:pt>
                <c:pt idx="550">
                  <c:v>49.55</c:v>
                </c:pt>
                <c:pt idx="551">
                  <c:v>45.66</c:v>
                </c:pt>
                <c:pt idx="552">
                  <c:v>38.17</c:v>
                </c:pt>
                <c:pt idx="553">
                  <c:v>38.53</c:v>
                </c:pt>
                <c:pt idx="554">
                  <c:v>41.22</c:v>
                </c:pt>
                <c:pt idx="555">
                  <c:v>44.66</c:v>
                </c:pt>
                <c:pt idx="556">
                  <c:v>41.6</c:v>
                </c:pt>
                <c:pt idx="557">
                  <c:v>45.98</c:v>
                </c:pt>
                <c:pt idx="558">
                  <c:v>47.76</c:v>
                </c:pt>
                <c:pt idx="559">
                  <c:v>50.88</c:v>
                </c:pt>
                <c:pt idx="561">
                  <c:v>55.97</c:v>
                </c:pt>
                <c:pt idx="562">
                  <c:v>59.26</c:v>
                </c:pt>
                <c:pt idx="563">
                  <c:v>51.88</c:v>
                </c:pt>
                <c:pt idx="564">
                  <c:v>55.94</c:v>
                </c:pt>
                <c:pt idx="565">
                  <c:v>56.53</c:v>
                </c:pt>
                <c:pt idx="566">
                  <c:v>58.5</c:v>
                </c:pt>
                <c:pt idx="567">
                  <c:v>58.28</c:v>
                </c:pt>
                <c:pt idx="568">
                  <c:v>58.68</c:v>
                </c:pt>
                <c:pt idx="569">
                  <c:v>64.930000000000007</c:v>
                </c:pt>
                <c:pt idx="570">
                  <c:v>59.31</c:v>
                </c:pt>
                <c:pt idx="571">
                  <c:v>52.08</c:v>
                </c:pt>
                <c:pt idx="572">
                  <c:v>51.82</c:v>
                </c:pt>
                <c:pt idx="573">
                  <c:v>56.58</c:v>
                </c:pt>
                <c:pt idx="576">
                  <c:v>52.91</c:v>
                </c:pt>
                <c:pt idx="577">
                  <c:v>53.98</c:v>
                </c:pt>
                <c:pt idx="578">
                  <c:v>49.9</c:v>
                </c:pt>
                <c:pt idx="579">
                  <c:v>57.06</c:v>
                </c:pt>
                <c:pt idx="580">
                  <c:v>58.11</c:v>
                </c:pt>
                <c:pt idx="581">
                  <c:v>62.93</c:v>
                </c:pt>
                <c:pt idx="582">
                  <c:v>58.28</c:v>
                </c:pt>
                <c:pt idx="583">
                  <c:v>57.38</c:v>
                </c:pt>
                <c:pt idx="584">
                  <c:v>57.12</c:v>
                </c:pt>
                <c:pt idx="585">
                  <c:v>49.49</c:v>
                </c:pt>
                <c:pt idx="586">
                  <c:v>37.5</c:v>
                </c:pt>
                <c:pt idx="587">
                  <c:v>30.26</c:v>
                </c:pt>
                <c:pt idx="588">
                  <c:v>32.659999999999997</c:v>
                </c:pt>
                <c:pt idx="589">
                  <c:v>30.35</c:v>
                </c:pt>
                <c:pt idx="590">
                  <c:v>34.49</c:v>
                </c:pt>
                <c:pt idx="591">
                  <c:v>31.96</c:v>
                </c:pt>
                <c:pt idx="592">
                  <c:v>32.74</c:v>
                </c:pt>
                <c:pt idx="593">
                  <c:v>39.97</c:v>
                </c:pt>
                <c:pt idx="594">
                  <c:v>41.47</c:v>
                </c:pt>
                <c:pt idx="595">
                  <c:v>46.24</c:v>
                </c:pt>
                <c:pt idx="596">
                  <c:v>50.11</c:v>
                </c:pt>
                <c:pt idx="597">
                  <c:v>52.28</c:v>
                </c:pt>
                <c:pt idx="598">
                  <c:v>44.07</c:v>
                </c:pt>
                <c:pt idx="599">
                  <c:v>32</c:v>
                </c:pt>
                <c:pt idx="600">
                  <c:v>31.69</c:v>
                </c:pt>
                <c:pt idx="601">
                  <c:v>32.92</c:v>
                </c:pt>
                <c:pt idx="602">
                  <c:v>34.549999999999997</c:v>
                </c:pt>
                <c:pt idx="603">
                  <c:v>34.83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DF-4962-AA52-020D903BCBEC}"/>
            </c:ext>
          </c:extLst>
        </c:ser>
        <c:ser>
          <c:idx val="1"/>
          <c:order val="1"/>
          <c:tx>
            <c:strRef>
              <c:f>'미국 RSI'!$G$1</c:f>
              <c:strCache>
                <c:ptCount val="1"/>
                <c:pt idx="0">
                  <c:v>산업재(US)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RSI'!$G$69:$G$3068</c:f>
              <c:numCache>
                <c:formatCode>0.00</c:formatCode>
                <c:ptCount val="3000"/>
                <c:pt idx="0">
                  <c:v>54.82</c:v>
                </c:pt>
                <c:pt idx="1">
                  <c:v>59.13</c:v>
                </c:pt>
                <c:pt idx="2">
                  <c:v>49.94</c:v>
                </c:pt>
                <c:pt idx="3">
                  <c:v>52.39</c:v>
                </c:pt>
                <c:pt idx="4">
                  <c:v>56.12</c:v>
                </c:pt>
                <c:pt idx="5">
                  <c:v>56.05</c:v>
                </c:pt>
                <c:pt idx="6">
                  <c:v>59.9</c:v>
                </c:pt>
                <c:pt idx="7">
                  <c:v>54.38</c:v>
                </c:pt>
                <c:pt idx="8">
                  <c:v>55.32</c:v>
                </c:pt>
                <c:pt idx="9">
                  <c:v>61.32</c:v>
                </c:pt>
                <c:pt idx="10">
                  <c:v>60.69</c:v>
                </c:pt>
                <c:pt idx="11">
                  <c:v>55.18</c:v>
                </c:pt>
                <c:pt idx="12">
                  <c:v>57.17</c:v>
                </c:pt>
                <c:pt idx="13">
                  <c:v>62.51</c:v>
                </c:pt>
                <c:pt idx="14">
                  <c:v>61.56</c:v>
                </c:pt>
                <c:pt idx="15">
                  <c:v>59.71</c:v>
                </c:pt>
                <c:pt idx="16">
                  <c:v>61.23</c:v>
                </c:pt>
                <c:pt idx="17">
                  <c:v>58.67</c:v>
                </c:pt>
                <c:pt idx="18">
                  <c:v>47.34</c:v>
                </c:pt>
                <c:pt idx="19">
                  <c:v>48</c:v>
                </c:pt>
                <c:pt idx="21">
                  <c:v>46.24</c:v>
                </c:pt>
                <c:pt idx="22">
                  <c:v>47.41</c:v>
                </c:pt>
                <c:pt idx="23">
                  <c:v>41.83</c:v>
                </c:pt>
                <c:pt idx="24">
                  <c:v>28.45</c:v>
                </c:pt>
                <c:pt idx="25">
                  <c:v>31.89</c:v>
                </c:pt>
                <c:pt idx="26">
                  <c:v>35.04</c:v>
                </c:pt>
                <c:pt idx="27">
                  <c:v>42.2</c:v>
                </c:pt>
                <c:pt idx="28">
                  <c:v>38.869999999999997</c:v>
                </c:pt>
                <c:pt idx="29">
                  <c:v>35.909999999999997</c:v>
                </c:pt>
                <c:pt idx="30">
                  <c:v>31.43</c:v>
                </c:pt>
                <c:pt idx="31">
                  <c:v>35.409999999999997</c:v>
                </c:pt>
                <c:pt idx="32">
                  <c:v>37.479999999999997</c:v>
                </c:pt>
                <c:pt idx="33">
                  <c:v>40.04</c:v>
                </c:pt>
                <c:pt idx="34">
                  <c:v>38.74</c:v>
                </c:pt>
                <c:pt idx="35">
                  <c:v>34.54</c:v>
                </c:pt>
                <c:pt idx="36">
                  <c:v>35.49</c:v>
                </c:pt>
                <c:pt idx="37">
                  <c:v>43.44</c:v>
                </c:pt>
                <c:pt idx="38">
                  <c:v>44.6</c:v>
                </c:pt>
                <c:pt idx="39">
                  <c:v>46.6</c:v>
                </c:pt>
                <c:pt idx="40">
                  <c:v>44.07</c:v>
                </c:pt>
                <c:pt idx="41">
                  <c:v>48.61</c:v>
                </c:pt>
                <c:pt idx="42">
                  <c:v>59.04</c:v>
                </c:pt>
                <c:pt idx="43">
                  <c:v>57.9</c:v>
                </c:pt>
                <c:pt idx="44">
                  <c:v>69.599999999999994</c:v>
                </c:pt>
                <c:pt idx="45">
                  <c:v>66.39</c:v>
                </c:pt>
                <c:pt idx="46">
                  <c:v>65.55</c:v>
                </c:pt>
                <c:pt idx="47">
                  <c:v>63.42</c:v>
                </c:pt>
                <c:pt idx="48">
                  <c:v>68.349999999999994</c:v>
                </c:pt>
                <c:pt idx="49">
                  <c:v>64.34</c:v>
                </c:pt>
                <c:pt idx="50">
                  <c:v>74.06</c:v>
                </c:pt>
                <c:pt idx="51">
                  <c:v>72.64</c:v>
                </c:pt>
                <c:pt idx="52">
                  <c:v>70.44</c:v>
                </c:pt>
                <c:pt idx="53">
                  <c:v>70.599999999999994</c:v>
                </c:pt>
                <c:pt idx="54">
                  <c:v>69.09</c:v>
                </c:pt>
                <c:pt idx="55">
                  <c:v>66.62</c:v>
                </c:pt>
                <c:pt idx="56">
                  <c:v>74.81</c:v>
                </c:pt>
                <c:pt idx="57">
                  <c:v>73.459999999999994</c:v>
                </c:pt>
                <c:pt idx="58">
                  <c:v>73.16</c:v>
                </c:pt>
                <c:pt idx="59">
                  <c:v>72.44</c:v>
                </c:pt>
                <c:pt idx="60">
                  <c:v>64.2</c:v>
                </c:pt>
                <c:pt idx="61">
                  <c:v>68.209999999999994</c:v>
                </c:pt>
                <c:pt idx="62">
                  <c:v>67.38</c:v>
                </c:pt>
                <c:pt idx="63">
                  <c:v>64.680000000000007</c:v>
                </c:pt>
                <c:pt idx="64">
                  <c:v>60.13</c:v>
                </c:pt>
                <c:pt idx="65">
                  <c:v>61.61</c:v>
                </c:pt>
                <c:pt idx="66">
                  <c:v>57.64</c:v>
                </c:pt>
                <c:pt idx="67">
                  <c:v>60.76</c:v>
                </c:pt>
                <c:pt idx="68">
                  <c:v>59.25</c:v>
                </c:pt>
                <c:pt idx="69">
                  <c:v>58.9</c:v>
                </c:pt>
                <c:pt idx="70">
                  <c:v>62.87</c:v>
                </c:pt>
                <c:pt idx="71">
                  <c:v>65.62</c:v>
                </c:pt>
                <c:pt idx="72">
                  <c:v>60.31</c:v>
                </c:pt>
                <c:pt idx="74">
                  <c:v>72.75</c:v>
                </c:pt>
                <c:pt idx="75">
                  <c:v>70.89</c:v>
                </c:pt>
                <c:pt idx="76">
                  <c:v>68.19</c:v>
                </c:pt>
                <c:pt idx="77">
                  <c:v>67.709999999999994</c:v>
                </c:pt>
                <c:pt idx="78">
                  <c:v>66.17</c:v>
                </c:pt>
                <c:pt idx="79">
                  <c:v>63.82</c:v>
                </c:pt>
                <c:pt idx="80">
                  <c:v>60.17</c:v>
                </c:pt>
                <c:pt idx="81">
                  <c:v>57.45</c:v>
                </c:pt>
                <c:pt idx="82">
                  <c:v>68.48</c:v>
                </c:pt>
                <c:pt idx="83">
                  <c:v>63.9</c:v>
                </c:pt>
                <c:pt idx="84">
                  <c:v>59.15</c:v>
                </c:pt>
                <c:pt idx="85">
                  <c:v>49.76</c:v>
                </c:pt>
                <c:pt idx="86">
                  <c:v>55.11</c:v>
                </c:pt>
                <c:pt idx="87">
                  <c:v>57.08</c:v>
                </c:pt>
                <c:pt idx="88">
                  <c:v>58.55</c:v>
                </c:pt>
                <c:pt idx="89">
                  <c:v>59.77</c:v>
                </c:pt>
                <c:pt idx="90">
                  <c:v>58.36</c:v>
                </c:pt>
                <c:pt idx="91">
                  <c:v>58.58</c:v>
                </c:pt>
                <c:pt idx="92">
                  <c:v>55.41</c:v>
                </c:pt>
                <c:pt idx="93">
                  <c:v>51.57</c:v>
                </c:pt>
                <c:pt idx="94">
                  <c:v>48.46</c:v>
                </c:pt>
                <c:pt idx="95">
                  <c:v>57.05</c:v>
                </c:pt>
                <c:pt idx="96">
                  <c:v>60.72</c:v>
                </c:pt>
                <c:pt idx="97">
                  <c:v>60.08</c:v>
                </c:pt>
                <c:pt idx="98">
                  <c:v>63.92</c:v>
                </c:pt>
                <c:pt idx="99">
                  <c:v>59.91</c:v>
                </c:pt>
                <c:pt idx="100">
                  <c:v>51.51</c:v>
                </c:pt>
                <c:pt idx="101">
                  <c:v>55.9</c:v>
                </c:pt>
                <c:pt idx="102">
                  <c:v>56.65</c:v>
                </c:pt>
                <c:pt idx="103">
                  <c:v>58.3</c:v>
                </c:pt>
                <c:pt idx="104">
                  <c:v>56.09</c:v>
                </c:pt>
                <c:pt idx="105">
                  <c:v>51.79</c:v>
                </c:pt>
                <c:pt idx="106">
                  <c:v>47.44</c:v>
                </c:pt>
                <c:pt idx="107">
                  <c:v>55.35</c:v>
                </c:pt>
                <c:pt idx="109">
                  <c:v>52.44</c:v>
                </c:pt>
                <c:pt idx="110">
                  <c:v>49.41</c:v>
                </c:pt>
                <c:pt idx="111">
                  <c:v>41.91</c:v>
                </c:pt>
                <c:pt idx="112">
                  <c:v>40.33</c:v>
                </c:pt>
                <c:pt idx="113">
                  <c:v>31.96</c:v>
                </c:pt>
                <c:pt idx="114">
                  <c:v>39.08</c:v>
                </c:pt>
                <c:pt idx="115">
                  <c:v>36.47</c:v>
                </c:pt>
                <c:pt idx="116">
                  <c:v>38.53</c:v>
                </c:pt>
                <c:pt idx="117">
                  <c:v>43.6</c:v>
                </c:pt>
                <c:pt idx="118">
                  <c:v>43.55</c:v>
                </c:pt>
                <c:pt idx="119">
                  <c:v>53.26</c:v>
                </c:pt>
                <c:pt idx="120">
                  <c:v>52.65</c:v>
                </c:pt>
                <c:pt idx="121">
                  <c:v>52.49</c:v>
                </c:pt>
                <c:pt idx="122">
                  <c:v>49.13</c:v>
                </c:pt>
                <c:pt idx="123">
                  <c:v>46.12</c:v>
                </c:pt>
                <c:pt idx="124">
                  <c:v>48.31</c:v>
                </c:pt>
                <c:pt idx="125">
                  <c:v>46.01</c:v>
                </c:pt>
                <c:pt idx="126">
                  <c:v>52.6</c:v>
                </c:pt>
                <c:pt idx="127">
                  <c:v>55.32</c:v>
                </c:pt>
                <c:pt idx="128">
                  <c:v>54.08</c:v>
                </c:pt>
                <c:pt idx="129">
                  <c:v>55.58</c:v>
                </c:pt>
                <c:pt idx="130">
                  <c:v>54.38</c:v>
                </c:pt>
                <c:pt idx="131">
                  <c:v>58.47</c:v>
                </c:pt>
                <c:pt idx="132">
                  <c:v>56.03</c:v>
                </c:pt>
                <c:pt idx="133">
                  <c:v>55.68</c:v>
                </c:pt>
                <c:pt idx="134">
                  <c:v>50.17</c:v>
                </c:pt>
                <c:pt idx="135">
                  <c:v>57.1</c:v>
                </c:pt>
                <c:pt idx="136">
                  <c:v>53.02</c:v>
                </c:pt>
                <c:pt idx="137">
                  <c:v>46.84</c:v>
                </c:pt>
                <c:pt idx="138">
                  <c:v>46.37</c:v>
                </c:pt>
                <c:pt idx="139">
                  <c:v>49.53</c:v>
                </c:pt>
                <c:pt idx="140">
                  <c:v>51.63</c:v>
                </c:pt>
                <c:pt idx="141">
                  <c:v>45.69</c:v>
                </c:pt>
                <c:pt idx="142">
                  <c:v>39.67</c:v>
                </c:pt>
                <c:pt idx="143">
                  <c:v>51.11</c:v>
                </c:pt>
                <c:pt idx="144">
                  <c:v>62.46</c:v>
                </c:pt>
                <c:pt idx="145">
                  <c:v>57.33</c:v>
                </c:pt>
                <c:pt idx="146">
                  <c:v>62.54</c:v>
                </c:pt>
                <c:pt idx="147">
                  <c:v>59.76</c:v>
                </c:pt>
                <c:pt idx="148">
                  <c:v>58.94</c:v>
                </c:pt>
                <c:pt idx="149">
                  <c:v>57.4</c:v>
                </c:pt>
                <c:pt idx="150">
                  <c:v>59.63</c:v>
                </c:pt>
                <c:pt idx="151">
                  <c:v>55.18</c:v>
                </c:pt>
                <c:pt idx="152">
                  <c:v>53.28</c:v>
                </c:pt>
                <c:pt idx="153">
                  <c:v>47.25</c:v>
                </c:pt>
                <c:pt idx="154">
                  <c:v>51.96</c:v>
                </c:pt>
                <c:pt idx="155">
                  <c:v>55.94</c:v>
                </c:pt>
                <c:pt idx="156">
                  <c:v>55.78</c:v>
                </c:pt>
                <c:pt idx="157">
                  <c:v>56.34</c:v>
                </c:pt>
                <c:pt idx="158">
                  <c:v>55.04</c:v>
                </c:pt>
                <c:pt idx="159">
                  <c:v>48.85</c:v>
                </c:pt>
                <c:pt idx="160">
                  <c:v>51.68</c:v>
                </c:pt>
                <c:pt idx="161">
                  <c:v>53.56</c:v>
                </c:pt>
                <c:pt idx="162">
                  <c:v>50.98</c:v>
                </c:pt>
                <c:pt idx="163">
                  <c:v>56.01</c:v>
                </c:pt>
                <c:pt idx="164">
                  <c:v>50.68</c:v>
                </c:pt>
                <c:pt idx="165">
                  <c:v>46</c:v>
                </c:pt>
                <c:pt idx="166">
                  <c:v>50.05</c:v>
                </c:pt>
                <c:pt idx="167">
                  <c:v>48.65</c:v>
                </c:pt>
                <c:pt idx="168">
                  <c:v>50.83</c:v>
                </c:pt>
                <c:pt idx="169">
                  <c:v>43.77</c:v>
                </c:pt>
                <c:pt idx="170">
                  <c:v>46.56</c:v>
                </c:pt>
                <c:pt idx="172">
                  <c:v>52.49</c:v>
                </c:pt>
                <c:pt idx="173">
                  <c:v>59.32</c:v>
                </c:pt>
                <c:pt idx="174">
                  <c:v>58.36</c:v>
                </c:pt>
                <c:pt idx="175">
                  <c:v>58.46</c:v>
                </c:pt>
                <c:pt idx="176">
                  <c:v>52.89</c:v>
                </c:pt>
                <c:pt idx="177">
                  <c:v>60.24</c:v>
                </c:pt>
                <c:pt idx="178">
                  <c:v>49.83</c:v>
                </c:pt>
                <c:pt idx="179">
                  <c:v>52.64</c:v>
                </c:pt>
                <c:pt idx="180">
                  <c:v>53.36</c:v>
                </c:pt>
                <c:pt idx="181">
                  <c:v>51.92</c:v>
                </c:pt>
                <c:pt idx="182">
                  <c:v>49.3</c:v>
                </c:pt>
                <c:pt idx="183">
                  <c:v>52.39</c:v>
                </c:pt>
                <c:pt idx="184">
                  <c:v>59.13</c:v>
                </c:pt>
                <c:pt idx="185">
                  <c:v>56.92</c:v>
                </c:pt>
                <c:pt idx="186">
                  <c:v>50.2</c:v>
                </c:pt>
                <c:pt idx="187">
                  <c:v>52.59</c:v>
                </c:pt>
                <c:pt idx="188">
                  <c:v>52.07</c:v>
                </c:pt>
                <c:pt idx="189">
                  <c:v>53.06</c:v>
                </c:pt>
                <c:pt idx="190">
                  <c:v>52.61</c:v>
                </c:pt>
                <c:pt idx="191">
                  <c:v>53.86</c:v>
                </c:pt>
                <c:pt idx="192">
                  <c:v>48.8</c:v>
                </c:pt>
                <c:pt idx="193">
                  <c:v>58.62</c:v>
                </c:pt>
                <c:pt idx="194">
                  <c:v>58.59</c:v>
                </c:pt>
                <c:pt idx="195">
                  <c:v>62.15</c:v>
                </c:pt>
                <c:pt idx="196">
                  <c:v>71.650000000000006</c:v>
                </c:pt>
                <c:pt idx="197">
                  <c:v>74.540000000000006</c:v>
                </c:pt>
                <c:pt idx="198">
                  <c:v>71.12</c:v>
                </c:pt>
                <c:pt idx="199">
                  <c:v>72.67</c:v>
                </c:pt>
                <c:pt idx="200">
                  <c:v>65.36</c:v>
                </c:pt>
                <c:pt idx="201">
                  <c:v>64.180000000000007</c:v>
                </c:pt>
                <c:pt idx="202">
                  <c:v>69.03</c:v>
                </c:pt>
                <c:pt idx="203">
                  <c:v>71.16</c:v>
                </c:pt>
                <c:pt idx="204">
                  <c:v>67.34</c:v>
                </c:pt>
                <c:pt idx="205">
                  <c:v>65.739999999999995</c:v>
                </c:pt>
                <c:pt idx="206">
                  <c:v>72.83</c:v>
                </c:pt>
                <c:pt idx="207">
                  <c:v>70.72</c:v>
                </c:pt>
                <c:pt idx="208">
                  <c:v>74.28</c:v>
                </c:pt>
                <c:pt idx="209">
                  <c:v>72.27</c:v>
                </c:pt>
                <c:pt idx="210">
                  <c:v>69.52</c:v>
                </c:pt>
                <c:pt idx="211">
                  <c:v>69.77</c:v>
                </c:pt>
                <c:pt idx="213">
                  <c:v>72.89</c:v>
                </c:pt>
                <c:pt idx="214">
                  <c:v>69.86</c:v>
                </c:pt>
                <c:pt idx="215">
                  <c:v>69.48</c:v>
                </c:pt>
                <c:pt idx="216">
                  <c:v>68.27</c:v>
                </c:pt>
                <c:pt idx="217">
                  <c:v>66.44</c:v>
                </c:pt>
                <c:pt idx="218">
                  <c:v>62.44</c:v>
                </c:pt>
                <c:pt idx="219">
                  <c:v>57.35</c:v>
                </c:pt>
                <c:pt idx="220">
                  <c:v>63.95</c:v>
                </c:pt>
                <c:pt idx="221">
                  <c:v>59.94</c:v>
                </c:pt>
                <c:pt idx="222">
                  <c:v>54.05</c:v>
                </c:pt>
                <c:pt idx="224">
                  <c:v>53.36</c:v>
                </c:pt>
                <c:pt idx="225">
                  <c:v>54.98</c:v>
                </c:pt>
                <c:pt idx="226">
                  <c:v>60.36</c:v>
                </c:pt>
                <c:pt idx="227">
                  <c:v>56.8</c:v>
                </c:pt>
                <c:pt idx="228">
                  <c:v>63.33</c:v>
                </c:pt>
                <c:pt idx="229">
                  <c:v>65.53</c:v>
                </c:pt>
                <c:pt idx="230">
                  <c:v>65.319999999999993</c:v>
                </c:pt>
                <c:pt idx="231">
                  <c:v>68.75</c:v>
                </c:pt>
                <c:pt idx="232">
                  <c:v>69.45</c:v>
                </c:pt>
                <c:pt idx="233">
                  <c:v>66.510000000000005</c:v>
                </c:pt>
                <c:pt idx="234">
                  <c:v>67</c:v>
                </c:pt>
                <c:pt idx="235">
                  <c:v>66.819999999999993</c:v>
                </c:pt>
                <c:pt idx="236">
                  <c:v>64.28</c:v>
                </c:pt>
                <c:pt idx="237">
                  <c:v>65.040000000000006</c:v>
                </c:pt>
                <c:pt idx="238">
                  <c:v>64.84</c:v>
                </c:pt>
                <c:pt idx="239">
                  <c:v>64.58</c:v>
                </c:pt>
                <c:pt idx="240">
                  <c:v>67.11</c:v>
                </c:pt>
                <c:pt idx="242">
                  <c:v>62.33</c:v>
                </c:pt>
                <c:pt idx="243">
                  <c:v>63.93</c:v>
                </c:pt>
                <c:pt idx="244">
                  <c:v>64.03</c:v>
                </c:pt>
                <c:pt idx="245">
                  <c:v>72.510000000000005</c:v>
                </c:pt>
                <c:pt idx="246">
                  <c:v>74.47</c:v>
                </c:pt>
                <c:pt idx="247">
                  <c:v>73.849999999999994</c:v>
                </c:pt>
                <c:pt idx="248">
                  <c:v>71.75</c:v>
                </c:pt>
                <c:pt idx="249">
                  <c:v>69.569999999999993</c:v>
                </c:pt>
                <c:pt idx="250">
                  <c:v>71.819999999999993</c:v>
                </c:pt>
                <c:pt idx="251">
                  <c:v>70.540000000000006</c:v>
                </c:pt>
                <c:pt idx="252">
                  <c:v>64.09</c:v>
                </c:pt>
                <c:pt idx="253">
                  <c:v>63.9</c:v>
                </c:pt>
                <c:pt idx="254">
                  <c:v>60.6</c:v>
                </c:pt>
                <c:pt idx="255">
                  <c:v>59.33</c:v>
                </c:pt>
                <c:pt idx="256">
                  <c:v>62.58</c:v>
                </c:pt>
                <c:pt idx="257">
                  <c:v>62.46</c:v>
                </c:pt>
                <c:pt idx="258">
                  <c:v>58.52</c:v>
                </c:pt>
                <c:pt idx="259">
                  <c:v>56.76</c:v>
                </c:pt>
                <c:pt idx="260">
                  <c:v>55.07</c:v>
                </c:pt>
                <c:pt idx="261">
                  <c:v>53.57</c:v>
                </c:pt>
                <c:pt idx="262">
                  <c:v>52.82</c:v>
                </c:pt>
                <c:pt idx="263">
                  <c:v>52.84</c:v>
                </c:pt>
                <c:pt idx="264">
                  <c:v>48.09</c:v>
                </c:pt>
                <c:pt idx="265">
                  <c:v>45.27</c:v>
                </c:pt>
                <c:pt idx="266">
                  <c:v>41.19</c:v>
                </c:pt>
                <c:pt idx="268">
                  <c:v>45.31</c:v>
                </c:pt>
                <c:pt idx="269">
                  <c:v>44.05</c:v>
                </c:pt>
                <c:pt idx="270">
                  <c:v>46.57</c:v>
                </c:pt>
                <c:pt idx="271">
                  <c:v>47.49</c:v>
                </c:pt>
                <c:pt idx="272">
                  <c:v>45.41</c:v>
                </c:pt>
                <c:pt idx="273">
                  <c:v>41.85</c:v>
                </c:pt>
                <c:pt idx="274">
                  <c:v>46.03</c:v>
                </c:pt>
                <c:pt idx="275">
                  <c:v>23.58</c:v>
                </c:pt>
                <c:pt idx="276">
                  <c:v>24.47</c:v>
                </c:pt>
                <c:pt idx="277">
                  <c:v>24.97</c:v>
                </c:pt>
                <c:pt idx="278">
                  <c:v>34.19</c:v>
                </c:pt>
                <c:pt idx="279">
                  <c:v>49.7</c:v>
                </c:pt>
                <c:pt idx="280">
                  <c:v>45.77</c:v>
                </c:pt>
                <c:pt idx="281">
                  <c:v>43.31</c:v>
                </c:pt>
                <c:pt idx="282">
                  <c:v>40.18</c:v>
                </c:pt>
                <c:pt idx="283">
                  <c:v>47.42</c:v>
                </c:pt>
                <c:pt idx="284">
                  <c:v>49.57</c:v>
                </c:pt>
                <c:pt idx="285">
                  <c:v>52.33</c:v>
                </c:pt>
                <c:pt idx="286">
                  <c:v>51.77</c:v>
                </c:pt>
                <c:pt idx="287">
                  <c:v>45.72</c:v>
                </c:pt>
                <c:pt idx="288">
                  <c:v>47.65</c:v>
                </c:pt>
                <c:pt idx="289">
                  <c:v>49.48</c:v>
                </c:pt>
                <c:pt idx="290">
                  <c:v>44.29</c:v>
                </c:pt>
                <c:pt idx="291">
                  <c:v>47.01</c:v>
                </c:pt>
                <c:pt idx="292">
                  <c:v>41.3</c:v>
                </c:pt>
                <c:pt idx="293">
                  <c:v>32.53</c:v>
                </c:pt>
                <c:pt idx="294">
                  <c:v>35.299999999999997</c:v>
                </c:pt>
                <c:pt idx="295">
                  <c:v>35.32</c:v>
                </c:pt>
                <c:pt idx="296">
                  <c:v>39.79</c:v>
                </c:pt>
                <c:pt idx="297">
                  <c:v>45.28</c:v>
                </c:pt>
                <c:pt idx="298">
                  <c:v>39.56</c:v>
                </c:pt>
                <c:pt idx="299">
                  <c:v>42.63</c:v>
                </c:pt>
                <c:pt idx="300">
                  <c:v>34.03</c:v>
                </c:pt>
                <c:pt idx="301">
                  <c:v>41.27</c:v>
                </c:pt>
                <c:pt idx="302">
                  <c:v>48.33</c:v>
                </c:pt>
                <c:pt idx="303">
                  <c:v>39.39</c:v>
                </c:pt>
                <c:pt idx="304">
                  <c:v>41.11</c:v>
                </c:pt>
                <c:pt idx="305">
                  <c:v>40.700000000000003</c:v>
                </c:pt>
                <c:pt idx="306">
                  <c:v>37.200000000000003</c:v>
                </c:pt>
                <c:pt idx="307">
                  <c:v>39.1</c:v>
                </c:pt>
                <c:pt idx="308">
                  <c:v>51.07</c:v>
                </c:pt>
                <c:pt idx="309">
                  <c:v>55.85</c:v>
                </c:pt>
                <c:pt idx="310">
                  <c:v>55.25</c:v>
                </c:pt>
                <c:pt idx="312">
                  <c:v>50.44</c:v>
                </c:pt>
                <c:pt idx="313">
                  <c:v>52.08</c:v>
                </c:pt>
                <c:pt idx="314">
                  <c:v>51.47</c:v>
                </c:pt>
                <c:pt idx="315">
                  <c:v>55.45</c:v>
                </c:pt>
                <c:pt idx="316">
                  <c:v>55.27</c:v>
                </c:pt>
                <c:pt idx="317">
                  <c:v>50.53</c:v>
                </c:pt>
                <c:pt idx="318">
                  <c:v>52.24</c:v>
                </c:pt>
                <c:pt idx="319">
                  <c:v>49.86</c:v>
                </c:pt>
                <c:pt idx="320">
                  <c:v>49.48</c:v>
                </c:pt>
                <c:pt idx="321">
                  <c:v>49.34</c:v>
                </c:pt>
                <c:pt idx="322">
                  <c:v>54.17</c:v>
                </c:pt>
                <c:pt idx="323">
                  <c:v>57.95</c:v>
                </c:pt>
                <c:pt idx="324">
                  <c:v>53.19</c:v>
                </c:pt>
                <c:pt idx="325">
                  <c:v>54.95</c:v>
                </c:pt>
                <c:pt idx="326">
                  <c:v>58.47</c:v>
                </c:pt>
                <c:pt idx="327">
                  <c:v>66.61</c:v>
                </c:pt>
                <c:pt idx="328">
                  <c:v>69.459999999999994</c:v>
                </c:pt>
                <c:pt idx="329">
                  <c:v>66.290000000000006</c:v>
                </c:pt>
                <c:pt idx="330">
                  <c:v>67.81</c:v>
                </c:pt>
                <c:pt idx="332">
                  <c:v>60.63</c:v>
                </c:pt>
                <c:pt idx="333">
                  <c:v>58.11</c:v>
                </c:pt>
                <c:pt idx="334">
                  <c:v>52.47</c:v>
                </c:pt>
                <c:pt idx="335">
                  <c:v>49.18</c:v>
                </c:pt>
                <c:pt idx="336">
                  <c:v>42.32</c:v>
                </c:pt>
                <c:pt idx="337">
                  <c:v>34.25</c:v>
                </c:pt>
                <c:pt idx="339">
                  <c:v>39.18</c:v>
                </c:pt>
                <c:pt idx="340">
                  <c:v>36.200000000000003</c:v>
                </c:pt>
                <c:pt idx="341">
                  <c:v>36.619999999999997</c:v>
                </c:pt>
                <c:pt idx="342">
                  <c:v>37.51</c:v>
                </c:pt>
                <c:pt idx="343">
                  <c:v>29.72</c:v>
                </c:pt>
                <c:pt idx="344">
                  <c:v>30.88</c:v>
                </c:pt>
                <c:pt idx="345">
                  <c:v>31.27</c:v>
                </c:pt>
                <c:pt idx="346">
                  <c:v>34.71</c:v>
                </c:pt>
                <c:pt idx="347">
                  <c:v>37.57</c:v>
                </c:pt>
                <c:pt idx="348">
                  <c:v>37.090000000000003</c:v>
                </c:pt>
                <c:pt idx="349">
                  <c:v>32.020000000000003</c:v>
                </c:pt>
                <c:pt idx="350">
                  <c:v>33.72</c:v>
                </c:pt>
                <c:pt idx="351">
                  <c:v>25.61</c:v>
                </c:pt>
                <c:pt idx="352">
                  <c:v>25.93</c:v>
                </c:pt>
                <c:pt idx="353">
                  <c:v>35.299999999999997</c:v>
                </c:pt>
                <c:pt idx="354">
                  <c:v>39.659999999999997</c:v>
                </c:pt>
                <c:pt idx="355">
                  <c:v>38.99</c:v>
                </c:pt>
                <c:pt idx="356">
                  <c:v>40.229999999999997</c:v>
                </c:pt>
                <c:pt idx="357">
                  <c:v>43.39</c:v>
                </c:pt>
                <c:pt idx="358">
                  <c:v>44.55</c:v>
                </c:pt>
                <c:pt idx="359">
                  <c:v>45.77</c:v>
                </c:pt>
                <c:pt idx="360">
                  <c:v>50.34</c:v>
                </c:pt>
                <c:pt idx="361">
                  <c:v>51.76</c:v>
                </c:pt>
                <c:pt idx="362">
                  <c:v>59.19</c:v>
                </c:pt>
                <c:pt idx="363">
                  <c:v>57.15</c:v>
                </c:pt>
                <c:pt idx="364">
                  <c:v>61.29</c:v>
                </c:pt>
                <c:pt idx="365">
                  <c:v>66.58</c:v>
                </c:pt>
                <c:pt idx="367">
                  <c:v>64.400000000000006</c:v>
                </c:pt>
                <c:pt idx="368">
                  <c:v>67.06</c:v>
                </c:pt>
                <c:pt idx="369">
                  <c:v>66.650000000000006</c:v>
                </c:pt>
                <c:pt idx="370">
                  <c:v>64.5</c:v>
                </c:pt>
                <c:pt idx="371">
                  <c:v>59.12</c:v>
                </c:pt>
                <c:pt idx="372">
                  <c:v>53.29</c:v>
                </c:pt>
                <c:pt idx="373">
                  <c:v>52.75</c:v>
                </c:pt>
                <c:pt idx="374">
                  <c:v>53.21</c:v>
                </c:pt>
                <c:pt idx="375">
                  <c:v>53.89</c:v>
                </c:pt>
                <c:pt idx="376">
                  <c:v>56.57</c:v>
                </c:pt>
                <c:pt idx="377">
                  <c:v>66.349999999999994</c:v>
                </c:pt>
                <c:pt idx="378">
                  <c:v>65.66</c:v>
                </c:pt>
                <c:pt idx="379">
                  <c:v>71.209999999999994</c:v>
                </c:pt>
                <c:pt idx="380">
                  <c:v>69.040000000000006</c:v>
                </c:pt>
                <c:pt idx="381">
                  <c:v>65.739999999999995</c:v>
                </c:pt>
                <c:pt idx="382">
                  <c:v>69.61</c:v>
                </c:pt>
                <c:pt idx="383">
                  <c:v>53.72</c:v>
                </c:pt>
                <c:pt idx="384">
                  <c:v>41.86</c:v>
                </c:pt>
                <c:pt idx="385">
                  <c:v>42.54</c:v>
                </c:pt>
                <c:pt idx="386">
                  <c:v>41.48</c:v>
                </c:pt>
                <c:pt idx="387">
                  <c:v>48.68</c:v>
                </c:pt>
                <c:pt idx="388">
                  <c:v>49.87</c:v>
                </c:pt>
                <c:pt idx="389">
                  <c:v>50.77</c:v>
                </c:pt>
                <c:pt idx="390">
                  <c:v>48.87</c:v>
                </c:pt>
                <c:pt idx="391">
                  <c:v>50.5</c:v>
                </c:pt>
                <c:pt idx="392">
                  <c:v>54.94</c:v>
                </c:pt>
                <c:pt idx="393">
                  <c:v>56.91</c:v>
                </c:pt>
                <c:pt idx="394">
                  <c:v>66.209999999999994</c:v>
                </c:pt>
                <c:pt idx="395">
                  <c:v>69.28</c:v>
                </c:pt>
                <c:pt idx="396">
                  <c:v>68.099999999999994</c:v>
                </c:pt>
                <c:pt idx="397">
                  <c:v>70.48</c:v>
                </c:pt>
                <c:pt idx="398">
                  <c:v>67.67</c:v>
                </c:pt>
                <c:pt idx="399">
                  <c:v>74.239999999999995</c:v>
                </c:pt>
                <c:pt idx="400">
                  <c:v>72.3</c:v>
                </c:pt>
                <c:pt idx="401">
                  <c:v>65.19</c:v>
                </c:pt>
                <c:pt idx="402">
                  <c:v>70</c:v>
                </c:pt>
                <c:pt idx="403">
                  <c:v>65.97</c:v>
                </c:pt>
                <c:pt idx="404">
                  <c:v>64.89</c:v>
                </c:pt>
                <c:pt idx="405">
                  <c:v>67.069999999999993</c:v>
                </c:pt>
                <c:pt idx="406">
                  <c:v>63.85</c:v>
                </c:pt>
                <c:pt idx="407">
                  <c:v>68.41</c:v>
                </c:pt>
                <c:pt idx="408">
                  <c:v>70.099999999999994</c:v>
                </c:pt>
                <c:pt idx="409">
                  <c:v>69.900000000000006</c:v>
                </c:pt>
                <c:pt idx="410">
                  <c:v>68.25</c:v>
                </c:pt>
                <c:pt idx="411">
                  <c:v>67.739999999999995</c:v>
                </c:pt>
                <c:pt idx="412">
                  <c:v>65.930000000000007</c:v>
                </c:pt>
                <c:pt idx="413">
                  <c:v>69.319999999999993</c:v>
                </c:pt>
                <c:pt idx="414">
                  <c:v>66.91</c:v>
                </c:pt>
                <c:pt idx="415">
                  <c:v>65.72</c:v>
                </c:pt>
                <c:pt idx="416">
                  <c:v>70.55</c:v>
                </c:pt>
                <c:pt idx="417">
                  <c:v>64.739999999999995</c:v>
                </c:pt>
                <c:pt idx="418">
                  <c:v>65.319999999999993</c:v>
                </c:pt>
                <c:pt idx="419">
                  <c:v>63.33</c:v>
                </c:pt>
                <c:pt idx="420">
                  <c:v>61.41</c:v>
                </c:pt>
                <c:pt idx="421">
                  <c:v>57.36</c:v>
                </c:pt>
                <c:pt idx="422">
                  <c:v>53.97</c:v>
                </c:pt>
                <c:pt idx="423">
                  <c:v>53.16</c:v>
                </c:pt>
                <c:pt idx="424">
                  <c:v>52.43</c:v>
                </c:pt>
                <c:pt idx="425">
                  <c:v>45.43</c:v>
                </c:pt>
                <c:pt idx="426">
                  <c:v>49.99</c:v>
                </c:pt>
                <c:pt idx="427">
                  <c:v>56.08</c:v>
                </c:pt>
                <c:pt idx="428">
                  <c:v>55.64</c:v>
                </c:pt>
                <c:pt idx="430">
                  <c:v>70.040000000000006</c:v>
                </c:pt>
                <c:pt idx="431">
                  <c:v>66.16</c:v>
                </c:pt>
                <c:pt idx="432">
                  <c:v>63.26</c:v>
                </c:pt>
                <c:pt idx="433">
                  <c:v>63.59</c:v>
                </c:pt>
                <c:pt idx="434">
                  <c:v>63.36</c:v>
                </c:pt>
                <c:pt idx="435">
                  <c:v>64.040000000000006</c:v>
                </c:pt>
                <c:pt idx="436">
                  <c:v>60.42</c:v>
                </c:pt>
                <c:pt idx="437">
                  <c:v>61.13</c:v>
                </c:pt>
                <c:pt idx="438">
                  <c:v>58.96</c:v>
                </c:pt>
                <c:pt idx="439">
                  <c:v>60.38</c:v>
                </c:pt>
                <c:pt idx="440">
                  <c:v>58.33</c:v>
                </c:pt>
                <c:pt idx="441">
                  <c:v>58.99</c:v>
                </c:pt>
                <c:pt idx="442">
                  <c:v>54.47</c:v>
                </c:pt>
                <c:pt idx="443">
                  <c:v>53.02</c:v>
                </c:pt>
                <c:pt idx="444">
                  <c:v>49.19</c:v>
                </c:pt>
                <c:pt idx="445">
                  <c:v>51.07</c:v>
                </c:pt>
                <c:pt idx="446">
                  <c:v>51.01</c:v>
                </c:pt>
                <c:pt idx="447">
                  <c:v>42.63</c:v>
                </c:pt>
                <c:pt idx="448">
                  <c:v>44.1</c:v>
                </c:pt>
                <c:pt idx="449">
                  <c:v>39.299999999999997</c:v>
                </c:pt>
                <c:pt idx="450">
                  <c:v>44.52</c:v>
                </c:pt>
                <c:pt idx="451">
                  <c:v>52.98</c:v>
                </c:pt>
                <c:pt idx="452">
                  <c:v>62.44</c:v>
                </c:pt>
                <c:pt idx="453">
                  <c:v>58.32</c:v>
                </c:pt>
                <c:pt idx="454">
                  <c:v>57.18</c:v>
                </c:pt>
                <c:pt idx="455">
                  <c:v>58.06</c:v>
                </c:pt>
                <c:pt idx="456">
                  <c:v>51.38</c:v>
                </c:pt>
                <c:pt idx="457">
                  <c:v>47.77</c:v>
                </c:pt>
                <c:pt idx="458">
                  <c:v>58.88</c:v>
                </c:pt>
                <c:pt idx="459">
                  <c:v>60.02</c:v>
                </c:pt>
                <c:pt idx="460">
                  <c:v>55.79</c:v>
                </c:pt>
                <c:pt idx="461">
                  <c:v>58.94</c:v>
                </c:pt>
                <c:pt idx="462">
                  <c:v>63.73</c:v>
                </c:pt>
                <c:pt idx="463">
                  <c:v>72.849999999999994</c:v>
                </c:pt>
                <c:pt idx="464">
                  <c:v>63.67</c:v>
                </c:pt>
                <c:pt idx="465">
                  <c:v>60.1</c:v>
                </c:pt>
                <c:pt idx="466">
                  <c:v>56.96</c:v>
                </c:pt>
                <c:pt idx="467">
                  <c:v>48.81</c:v>
                </c:pt>
                <c:pt idx="468">
                  <c:v>41.66</c:v>
                </c:pt>
                <c:pt idx="469">
                  <c:v>44.49</c:v>
                </c:pt>
                <c:pt idx="470">
                  <c:v>43.48</c:v>
                </c:pt>
                <c:pt idx="472">
                  <c:v>45.75</c:v>
                </c:pt>
                <c:pt idx="473">
                  <c:v>42.99</c:v>
                </c:pt>
                <c:pt idx="474">
                  <c:v>38.64</c:v>
                </c:pt>
                <c:pt idx="475">
                  <c:v>44.96</c:v>
                </c:pt>
                <c:pt idx="476">
                  <c:v>44.64</c:v>
                </c:pt>
                <c:pt idx="477">
                  <c:v>43.85</c:v>
                </c:pt>
                <c:pt idx="478">
                  <c:v>45.38</c:v>
                </c:pt>
                <c:pt idx="479">
                  <c:v>50.58</c:v>
                </c:pt>
                <c:pt idx="480">
                  <c:v>50.08</c:v>
                </c:pt>
                <c:pt idx="481">
                  <c:v>51.35</c:v>
                </c:pt>
                <c:pt idx="483">
                  <c:v>50.99</c:v>
                </c:pt>
                <c:pt idx="484">
                  <c:v>48.09</c:v>
                </c:pt>
                <c:pt idx="485">
                  <c:v>41.56</c:v>
                </c:pt>
                <c:pt idx="486">
                  <c:v>46.55</c:v>
                </c:pt>
                <c:pt idx="487">
                  <c:v>50.14</c:v>
                </c:pt>
                <c:pt idx="488">
                  <c:v>44.28</c:v>
                </c:pt>
                <c:pt idx="489">
                  <c:v>47.4</c:v>
                </c:pt>
                <c:pt idx="490">
                  <c:v>45.47</c:v>
                </c:pt>
                <c:pt idx="491">
                  <c:v>44.82</c:v>
                </c:pt>
                <c:pt idx="492">
                  <c:v>47.77</c:v>
                </c:pt>
                <c:pt idx="493">
                  <c:v>41.78</c:v>
                </c:pt>
                <c:pt idx="494">
                  <c:v>42.89</c:v>
                </c:pt>
                <c:pt idx="495">
                  <c:v>49</c:v>
                </c:pt>
                <c:pt idx="496">
                  <c:v>41.41</c:v>
                </c:pt>
                <c:pt idx="497">
                  <c:v>36.49</c:v>
                </c:pt>
                <c:pt idx="498">
                  <c:v>43.62</c:v>
                </c:pt>
                <c:pt idx="500">
                  <c:v>51.84</c:v>
                </c:pt>
                <c:pt idx="501">
                  <c:v>48.07</c:v>
                </c:pt>
                <c:pt idx="502">
                  <c:v>57.96</c:v>
                </c:pt>
                <c:pt idx="503">
                  <c:v>57.13</c:v>
                </c:pt>
                <c:pt idx="504">
                  <c:v>60.14</c:v>
                </c:pt>
                <c:pt idx="505">
                  <c:v>58.97</c:v>
                </c:pt>
                <c:pt idx="506">
                  <c:v>58.3</c:v>
                </c:pt>
                <c:pt idx="507">
                  <c:v>63.43</c:v>
                </c:pt>
                <c:pt idx="508">
                  <c:v>59.84</c:v>
                </c:pt>
                <c:pt idx="509">
                  <c:v>60.04</c:v>
                </c:pt>
                <c:pt idx="510">
                  <c:v>63.52</c:v>
                </c:pt>
                <c:pt idx="511">
                  <c:v>63.19</c:v>
                </c:pt>
                <c:pt idx="512">
                  <c:v>58.26</c:v>
                </c:pt>
                <c:pt idx="513">
                  <c:v>58.26</c:v>
                </c:pt>
                <c:pt idx="514">
                  <c:v>56.89</c:v>
                </c:pt>
                <c:pt idx="515">
                  <c:v>51.53</c:v>
                </c:pt>
                <c:pt idx="516">
                  <c:v>47.36</c:v>
                </c:pt>
                <c:pt idx="517">
                  <c:v>43.66</c:v>
                </c:pt>
                <c:pt idx="518">
                  <c:v>44.92</c:v>
                </c:pt>
                <c:pt idx="519">
                  <c:v>54.43</c:v>
                </c:pt>
                <c:pt idx="520">
                  <c:v>50.35</c:v>
                </c:pt>
                <c:pt idx="521">
                  <c:v>49.32</c:v>
                </c:pt>
                <c:pt idx="522">
                  <c:v>47.44</c:v>
                </c:pt>
                <c:pt idx="523">
                  <c:v>52.19</c:v>
                </c:pt>
                <c:pt idx="524">
                  <c:v>43.07</c:v>
                </c:pt>
                <c:pt idx="525">
                  <c:v>37.08</c:v>
                </c:pt>
                <c:pt idx="526">
                  <c:v>37.979999999999997</c:v>
                </c:pt>
                <c:pt idx="527">
                  <c:v>39.68</c:v>
                </c:pt>
                <c:pt idx="528">
                  <c:v>42.32</c:v>
                </c:pt>
                <c:pt idx="529">
                  <c:v>43.52</c:v>
                </c:pt>
                <c:pt idx="530">
                  <c:v>47.44</c:v>
                </c:pt>
                <c:pt idx="531">
                  <c:v>54.29</c:v>
                </c:pt>
                <c:pt idx="532">
                  <c:v>53.63</c:v>
                </c:pt>
                <c:pt idx="533">
                  <c:v>59.7</c:v>
                </c:pt>
                <c:pt idx="534">
                  <c:v>61.45</c:v>
                </c:pt>
                <c:pt idx="535">
                  <c:v>62.75</c:v>
                </c:pt>
                <c:pt idx="536">
                  <c:v>56.02</c:v>
                </c:pt>
                <c:pt idx="537">
                  <c:v>62.75</c:v>
                </c:pt>
                <c:pt idx="538">
                  <c:v>60.16</c:v>
                </c:pt>
                <c:pt idx="539">
                  <c:v>63.9</c:v>
                </c:pt>
                <c:pt idx="541">
                  <c:v>70.709999999999994</c:v>
                </c:pt>
                <c:pt idx="542">
                  <c:v>70.650000000000006</c:v>
                </c:pt>
                <c:pt idx="543">
                  <c:v>63.81</c:v>
                </c:pt>
                <c:pt idx="544">
                  <c:v>67.099999999999994</c:v>
                </c:pt>
                <c:pt idx="545">
                  <c:v>73.42</c:v>
                </c:pt>
                <c:pt idx="546">
                  <c:v>76.989999999999995</c:v>
                </c:pt>
                <c:pt idx="547">
                  <c:v>73.569999999999993</c:v>
                </c:pt>
                <c:pt idx="548">
                  <c:v>68.31</c:v>
                </c:pt>
                <c:pt idx="549">
                  <c:v>63.53</c:v>
                </c:pt>
                <c:pt idx="550">
                  <c:v>64.92</c:v>
                </c:pt>
                <c:pt idx="551">
                  <c:v>64.83</c:v>
                </c:pt>
                <c:pt idx="552">
                  <c:v>69.06</c:v>
                </c:pt>
                <c:pt idx="553">
                  <c:v>67.83</c:v>
                </c:pt>
                <c:pt idx="554">
                  <c:v>65.739999999999995</c:v>
                </c:pt>
                <c:pt idx="555">
                  <c:v>70.7</c:v>
                </c:pt>
                <c:pt idx="556">
                  <c:v>72.89</c:v>
                </c:pt>
                <c:pt idx="557">
                  <c:v>69.73</c:v>
                </c:pt>
                <c:pt idx="558">
                  <c:v>67.47</c:v>
                </c:pt>
                <c:pt idx="559">
                  <c:v>75.819999999999993</c:v>
                </c:pt>
                <c:pt idx="560">
                  <c:v>74.53</c:v>
                </c:pt>
                <c:pt idx="561">
                  <c:v>72.95</c:v>
                </c:pt>
                <c:pt idx="562">
                  <c:v>71.790000000000006</c:v>
                </c:pt>
                <c:pt idx="563">
                  <c:v>70.5</c:v>
                </c:pt>
                <c:pt idx="564">
                  <c:v>69.930000000000007</c:v>
                </c:pt>
                <c:pt idx="565">
                  <c:v>71.19</c:v>
                </c:pt>
                <c:pt idx="566">
                  <c:v>69.400000000000006</c:v>
                </c:pt>
                <c:pt idx="567">
                  <c:v>64.66</c:v>
                </c:pt>
                <c:pt idx="568">
                  <c:v>62.94</c:v>
                </c:pt>
                <c:pt idx="570">
                  <c:v>65.260000000000005</c:v>
                </c:pt>
                <c:pt idx="571">
                  <c:v>69.84</c:v>
                </c:pt>
                <c:pt idx="572">
                  <c:v>67.19</c:v>
                </c:pt>
                <c:pt idx="573">
                  <c:v>59.99</c:v>
                </c:pt>
                <c:pt idx="574">
                  <c:v>68.64</c:v>
                </c:pt>
                <c:pt idx="575">
                  <c:v>68.03</c:v>
                </c:pt>
                <c:pt idx="576">
                  <c:v>67.41</c:v>
                </c:pt>
                <c:pt idx="577">
                  <c:v>67.349999999999994</c:v>
                </c:pt>
                <c:pt idx="578">
                  <c:v>64.83</c:v>
                </c:pt>
                <c:pt idx="579">
                  <c:v>61.1</c:v>
                </c:pt>
                <c:pt idx="580">
                  <c:v>65.010000000000005</c:v>
                </c:pt>
                <c:pt idx="581">
                  <c:v>62.27</c:v>
                </c:pt>
                <c:pt idx="582">
                  <c:v>53.9</c:v>
                </c:pt>
                <c:pt idx="583">
                  <c:v>62.79</c:v>
                </c:pt>
                <c:pt idx="584">
                  <c:v>62.62</c:v>
                </c:pt>
                <c:pt idx="585">
                  <c:v>59.36</c:v>
                </c:pt>
                <c:pt idx="586">
                  <c:v>60.55</c:v>
                </c:pt>
                <c:pt idx="587">
                  <c:v>55.59</c:v>
                </c:pt>
                <c:pt idx="588">
                  <c:v>60.14</c:v>
                </c:pt>
                <c:pt idx="589">
                  <c:v>60.74</c:v>
                </c:pt>
                <c:pt idx="590">
                  <c:v>56.92</c:v>
                </c:pt>
                <c:pt idx="591">
                  <c:v>53.38</c:v>
                </c:pt>
                <c:pt idx="592">
                  <c:v>44.79</c:v>
                </c:pt>
                <c:pt idx="593">
                  <c:v>49.01</c:v>
                </c:pt>
                <c:pt idx="595">
                  <c:v>56.45</c:v>
                </c:pt>
                <c:pt idx="596">
                  <c:v>56.52</c:v>
                </c:pt>
                <c:pt idx="597">
                  <c:v>58.28</c:v>
                </c:pt>
                <c:pt idx="598">
                  <c:v>55.46</c:v>
                </c:pt>
                <c:pt idx="599">
                  <c:v>57.68</c:v>
                </c:pt>
                <c:pt idx="600">
                  <c:v>54.12</c:v>
                </c:pt>
                <c:pt idx="601">
                  <c:v>53.48</c:v>
                </c:pt>
                <c:pt idx="602">
                  <c:v>52.81</c:v>
                </c:pt>
                <c:pt idx="603">
                  <c:v>62.83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DF-4962-AA52-020D903BC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운송</a:t>
            </a:r>
            <a:r>
              <a:rPr lang="en-US" altLang="ko-KR"/>
              <a:t>·</a:t>
            </a:r>
            <a:r>
              <a:rPr lang="ko-KR" altLang="en-US"/>
              <a:t>창고  </a:t>
            </a:r>
            <a:r>
              <a:rPr lang="en-US"/>
              <a:t>vs  </a:t>
            </a:r>
            <a:r>
              <a:rPr lang="ko-KR" altLang="en-US"/>
              <a:t>산업재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RSI'!$P$7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RSI'!$P$78:$P$3077</c:f>
              <c:numCache>
                <c:formatCode>0.00</c:formatCode>
                <c:ptCount val="3000"/>
                <c:pt idx="1">
                  <c:v>46.78</c:v>
                </c:pt>
                <c:pt idx="2">
                  <c:v>55.35</c:v>
                </c:pt>
                <c:pt idx="3">
                  <c:v>51.99</c:v>
                </c:pt>
                <c:pt idx="4">
                  <c:v>51.87</c:v>
                </c:pt>
                <c:pt idx="5">
                  <c:v>51</c:v>
                </c:pt>
                <c:pt idx="6">
                  <c:v>51.73</c:v>
                </c:pt>
                <c:pt idx="7">
                  <c:v>55.17</c:v>
                </c:pt>
                <c:pt idx="8">
                  <c:v>56.6</c:v>
                </c:pt>
                <c:pt idx="9">
                  <c:v>53.67</c:v>
                </c:pt>
                <c:pt idx="10">
                  <c:v>53.97</c:v>
                </c:pt>
                <c:pt idx="11">
                  <c:v>55.41</c:v>
                </c:pt>
                <c:pt idx="12">
                  <c:v>51.68</c:v>
                </c:pt>
                <c:pt idx="13">
                  <c:v>50.74</c:v>
                </c:pt>
                <c:pt idx="14">
                  <c:v>48.98</c:v>
                </c:pt>
                <c:pt idx="15">
                  <c:v>53.41</c:v>
                </c:pt>
                <c:pt idx="16">
                  <c:v>47.56</c:v>
                </c:pt>
                <c:pt idx="17">
                  <c:v>49.44</c:v>
                </c:pt>
                <c:pt idx="18">
                  <c:v>41.73</c:v>
                </c:pt>
                <c:pt idx="19">
                  <c:v>42.33</c:v>
                </c:pt>
                <c:pt idx="20">
                  <c:v>42.42</c:v>
                </c:pt>
                <c:pt idx="21">
                  <c:v>42.7</c:v>
                </c:pt>
                <c:pt idx="22">
                  <c:v>46.44</c:v>
                </c:pt>
                <c:pt idx="23">
                  <c:v>38.81</c:v>
                </c:pt>
                <c:pt idx="24">
                  <c:v>40.619999999999997</c:v>
                </c:pt>
                <c:pt idx="25">
                  <c:v>45.08</c:v>
                </c:pt>
                <c:pt idx="26">
                  <c:v>44.55</c:v>
                </c:pt>
                <c:pt idx="27">
                  <c:v>46.34</c:v>
                </c:pt>
                <c:pt idx="28">
                  <c:v>43.84</c:v>
                </c:pt>
                <c:pt idx="29">
                  <c:v>40.67</c:v>
                </c:pt>
                <c:pt idx="30">
                  <c:v>49.77</c:v>
                </c:pt>
                <c:pt idx="31">
                  <c:v>45.54</c:v>
                </c:pt>
                <c:pt idx="32">
                  <c:v>49.22</c:v>
                </c:pt>
                <c:pt idx="33">
                  <c:v>45.98</c:v>
                </c:pt>
                <c:pt idx="34">
                  <c:v>43.04</c:v>
                </c:pt>
                <c:pt idx="35">
                  <c:v>43.11</c:v>
                </c:pt>
                <c:pt idx="36">
                  <c:v>46.25</c:v>
                </c:pt>
                <c:pt idx="37">
                  <c:v>45.76</c:v>
                </c:pt>
                <c:pt idx="38">
                  <c:v>44.8</c:v>
                </c:pt>
                <c:pt idx="39">
                  <c:v>39.71</c:v>
                </c:pt>
                <c:pt idx="40">
                  <c:v>46.54</c:v>
                </c:pt>
                <c:pt idx="41">
                  <c:v>47.85</c:v>
                </c:pt>
                <c:pt idx="42">
                  <c:v>39.49</c:v>
                </c:pt>
                <c:pt idx="43">
                  <c:v>67.290000000000006</c:v>
                </c:pt>
                <c:pt idx="45">
                  <c:v>66.72</c:v>
                </c:pt>
                <c:pt idx="46">
                  <c:v>73.09</c:v>
                </c:pt>
                <c:pt idx="47">
                  <c:v>78.39</c:v>
                </c:pt>
                <c:pt idx="48">
                  <c:v>74.13</c:v>
                </c:pt>
                <c:pt idx="49">
                  <c:v>73.650000000000006</c:v>
                </c:pt>
                <c:pt idx="50">
                  <c:v>73.34</c:v>
                </c:pt>
                <c:pt idx="51">
                  <c:v>71.709999999999994</c:v>
                </c:pt>
                <c:pt idx="54">
                  <c:v>65.8</c:v>
                </c:pt>
                <c:pt idx="55">
                  <c:v>68.61</c:v>
                </c:pt>
                <c:pt idx="56">
                  <c:v>66.790000000000006</c:v>
                </c:pt>
                <c:pt idx="57">
                  <c:v>64.39</c:v>
                </c:pt>
                <c:pt idx="58">
                  <c:v>58.34</c:v>
                </c:pt>
                <c:pt idx="59">
                  <c:v>53.41</c:v>
                </c:pt>
                <c:pt idx="60">
                  <c:v>57.64</c:v>
                </c:pt>
                <c:pt idx="61">
                  <c:v>61.71</c:v>
                </c:pt>
                <c:pt idx="62">
                  <c:v>57.79</c:v>
                </c:pt>
                <c:pt idx="63">
                  <c:v>52.16</c:v>
                </c:pt>
                <c:pt idx="64">
                  <c:v>55.16</c:v>
                </c:pt>
                <c:pt idx="65">
                  <c:v>65.22</c:v>
                </c:pt>
                <c:pt idx="66">
                  <c:v>57.91</c:v>
                </c:pt>
                <c:pt idx="67">
                  <c:v>58.58</c:v>
                </c:pt>
                <c:pt idx="68">
                  <c:v>58.39</c:v>
                </c:pt>
                <c:pt idx="69">
                  <c:v>66</c:v>
                </c:pt>
                <c:pt idx="70">
                  <c:v>73.39</c:v>
                </c:pt>
                <c:pt idx="71">
                  <c:v>71.55</c:v>
                </c:pt>
                <c:pt idx="72">
                  <c:v>79.92</c:v>
                </c:pt>
                <c:pt idx="73">
                  <c:v>79.180000000000007</c:v>
                </c:pt>
                <c:pt idx="74">
                  <c:v>76.37</c:v>
                </c:pt>
                <c:pt idx="75">
                  <c:v>80.97</c:v>
                </c:pt>
                <c:pt idx="76">
                  <c:v>80.59</c:v>
                </c:pt>
                <c:pt idx="77">
                  <c:v>79.5</c:v>
                </c:pt>
                <c:pt idx="78">
                  <c:v>74.98</c:v>
                </c:pt>
                <c:pt idx="79">
                  <c:v>68.709999999999994</c:v>
                </c:pt>
                <c:pt idx="80">
                  <c:v>66.599999999999994</c:v>
                </c:pt>
                <c:pt idx="81">
                  <c:v>66.25</c:v>
                </c:pt>
                <c:pt idx="82">
                  <c:v>52.54</c:v>
                </c:pt>
                <c:pt idx="83">
                  <c:v>46.19</c:v>
                </c:pt>
                <c:pt idx="84">
                  <c:v>50.39</c:v>
                </c:pt>
                <c:pt idx="86">
                  <c:v>54.8</c:v>
                </c:pt>
                <c:pt idx="87">
                  <c:v>55.49</c:v>
                </c:pt>
                <c:pt idx="88">
                  <c:v>53.66</c:v>
                </c:pt>
                <c:pt idx="89">
                  <c:v>59.82</c:v>
                </c:pt>
                <c:pt idx="90">
                  <c:v>56.71</c:v>
                </c:pt>
                <c:pt idx="91">
                  <c:v>59.06</c:v>
                </c:pt>
                <c:pt idx="92">
                  <c:v>57.72</c:v>
                </c:pt>
                <c:pt idx="93">
                  <c:v>57.23</c:v>
                </c:pt>
                <c:pt idx="94">
                  <c:v>63.25</c:v>
                </c:pt>
                <c:pt idx="95">
                  <c:v>62.43</c:v>
                </c:pt>
                <c:pt idx="96">
                  <c:v>64.72</c:v>
                </c:pt>
                <c:pt idx="97">
                  <c:v>65.489999999999995</c:v>
                </c:pt>
                <c:pt idx="98">
                  <c:v>62.89</c:v>
                </c:pt>
                <c:pt idx="99">
                  <c:v>59.77</c:v>
                </c:pt>
                <c:pt idx="100">
                  <c:v>65.02</c:v>
                </c:pt>
                <c:pt idx="101">
                  <c:v>64.989999999999995</c:v>
                </c:pt>
                <c:pt idx="102">
                  <c:v>64.78</c:v>
                </c:pt>
                <c:pt idx="103">
                  <c:v>62.19</c:v>
                </c:pt>
                <c:pt idx="104">
                  <c:v>60.51</c:v>
                </c:pt>
                <c:pt idx="105">
                  <c:v>58.34</c:v>
                </c:pt>
                <c:pt idx="106">
                  <c:v>52.43</c:v>
                </c:pt>
                <c:pt idx="107">
                  <c:v>47.02</c:v>
                </c:pt>
                <c:pt idx="108">
                  <c:v>45.66</c:v>
                </c:pt>
                <c:pt idx="109">
                  <c:v>43.56</c:v>
                </c:pt>
                <c:pt idx="110">
                  <c:v>38.69</c:v>
                </c:pt>
                <c:pt idx="111">
                  <c:v>37.26</c:v>
                </c:pt>
                <c:pt idx="112">
                  <c:v>41.05</c:v>
                </c:pt>
                <c:pt idx="113">
                  <c:v>43.07</c:v>
                </c:pt>
                <c:pt idx="114">
                  <c:v>38.93</c:v>
                </c:pt>
                <c:pt idx="115">
                  <c:v>36.33</c:v>
                </c:pt>
                <c:pt idx="116">
                  <c:v>40.1</c:v>
                </c:pt>
                <c:pt idx="117">
                  <c:v>42.68</c:v>
                </c:pt>
                <c:pt idx="118">
                  <c:v>47.61</c:v>
                </c:pt>
                <c:pt idx="119">
                  <c:v>49.19</c:v>
                </c:pt>
                <c:pt idx="120">
                  <c:v>43.34</c:v>
                </c:pt>
                <c:pt idx="121">
                  <c:v>45.53</c:v>
                </c:pt>
                <c:pt idx="122">
                  <c:v>37.42</c:v>
                </c:pt>
                <c:pt idx="123">
                  <c:v>39.950000000000003</c:v>
                </c:pt>
                <c:pt idx="124">
                  <c:v>36.68</c:v>
                </c:pt>
                <c:pt idx="125">
                  <c:v>40.82</c:v>
                </c:pt>
                <c:pt idx="126">
                  <c:v>44.63</c:v>
                </c:pt>
                <c:pt idx="127">
                  <c:v>53.58</c:v>
                </c:pt>
                <c:pt idx="128">
                  <c:v>46.92</c:v>
                </c:pt>
                <c:pt idx="129">
                  <c:v>44.4</c:v>
                </c:pt>
                <c:pt idx="130">
                  <c:v>47.71</c:v>
                </c:pt>
                <c:pt idx="131">
                  <c:v>48.56</c:v>
                </c:pt>
                <c:pt idx="132">
                  <c:v>43.48</c:v>
                </c:pt>
                <c:pt idx="133">
                  <c:v>45.24</c:v>
                </c:pt>
                <c:pt idx="134">
                  <c:v>49.12</c:v>
                </c:pt>
                <c:pt idx="135">
                  <c:v>37.14</c:v>
                </c:pt>
                <c:pt idx="136">
                  <c:v>39.07</c:v>
                </c:pt>
                <c:pt idx="137">
                  <c:v>39.299999999999997</c:v>
                </c:pt>
                <c:pt idx="138">
                  <c:v>41.98</c:v>
                </c:pt>
                <c:pt idx="139">
                  <c:v>33.19</c:v>
                </c:pt>
                <c:pt idx="140">
                  <c:v>31.39</c:v>
                </c:pt>
                <c:pt idx="141">
                  <c:v>26.6</c:v>
                </c:pt>
                <c:pt idx="142">
                  <c:v>28.23</c:v>
                </c:pt>
                <c:pt idx="148">
                  <c:v>31.8</c:v>
                </c:pt>
                <c:pt idx="149">
                  <c:v>26.25</c:v>
                </c:pt>
                <c:pt idx="150">
                  <c:v>27.25</c:v>
                </c:pt>
                <c:pt idx="151">
                  <c:v>31.23</c:v>
                </c:pt>
                <c:pt idx="152">
                  <c:v>28.04</c:v>
                </c:pt>
                <c:pt idx="153">
                  <c:v>31.17</c:v>
                </c:pt>
                <c:pt idx="154">
                  <c:v>33</c:v>
                </c:pt>
                <c:pt idx="155">
                  <c:v>34.869999999999997</c:v>
                </c:pt>
                <c:pt idx="156">
                  <c:v>39.39</c:v>
                </c:pt>
                <c:pt idx="157">
                  <c:v>43.29</c:v>
                </c:pt>
                <c:pt idx="158">
                  <c:v>54.95</c:v>
                </c:pt>
                <c:pt idx="159">
                  <c:v>57.69</c:v>
                </c:pt>
                <c:pt idx="160">
                  <c:v>58.4</c:v>
                </c:pt>
                <c:pt idx="161">
                  <c:v>57.21</c:v>
                </c:pt>
                <c:pt idx="162">
                  <c:v>70.03</c:v>
                </c:pt>
                <c:pt idx="163">
                  <c:v>66.69</c:v>
                </c:pt>
                <c:pt idx="164">
                  <c:v>66.34</c:v>
                </c:pt>
                <c:pt idx="165">
                  <c:v>59.76</c:v>
                </c:pt>
                <c:pt idx="166">
                  <c:v>59.42</c:v>
                </c:pt>
                <c:pt idx="167">
                  <c:v>58.88</c:v>
                </c:pt>
                <c:pt idx="168">
                  <c:v>54.73</c:v>
                </c:pt>
                <c:pt idx="169">
                  <c:v>53.1</c:v>
                </c:pt>
                <c:pt idx="170">
                  <c:v>55.4</c:v>
                </c:pt>
                <c:pt idx="171">
                  <c:v>54.03</c:v>
                </c:pt>
                <c:pt idx="172">
                  <c:v>52.28</c:v>
                </c:pt>
                <c:pt idx="173">
                  <c:v>46.34</c:v>
                </c:pt>
                <c:pt idx="174">
                  <c:v>45.1</c:v>
                </c:pt>
                <c:pt idx="175">
                  <c:v>45.31</c:v>
                </c:pt>
                <c:pt idx="176">
                  <c:v>53.59</c:v>
                </c:pt>
                <c:pt idx="177">
                  <c:v>50.69</c:v>
                </c:pt>
                <c:pt idx="178">
                  <c:v>52.43</c:v>
                </c:pt>
                <c:pt idx="179">
                  <c:v>55.59</c:v>
                </c:pt>
                <c:pt idx="180">
                  <c:v>57.05</c:v>
                </c:pt>
                <c:pt idx="181">
                  <c:v>59.8</c:v>
                </c:pt>
                <c:pt idx="183">
                  <c:v>54.23</c:v>
                </c:pt>
                <c:pt idx="184">
                  <c:v>56.54</c:v>
                </c:pt>
                <c:pt idx="185">
                  <c:v>51.16</c:v>
                </c:pt>
                <c:pt idx="186">
                  <c:v>49.23</c:v>
                </c:pt>
                <c:pt idx="187">
                  <c:v>56.11</c:v>
                </c:pt>
                <c:pt idx="188">
                  <c:v>57.02</c:v>
                </c:pt>
                <c:pt idx="189">
                  <c:v>52.51</c:v>
                </c:pt>
                <c:pt idx="190">
                  <c:v>44.7</c:v>
                </c:pt>
                <c:pt idx="191">
                  <c:v>42.64</c:v>
                </c:pt>
                <c:pt idx="192">
                  <c:v>41.69</c:v>
                </c:pt>
                <c:pt idx="193">
                  <c:v>47.92</c:v>
                </c:pt>
                <c:pt idx="194">
                  <c:v>50.39</c:v>
                </c:pt>
                <c:pt idx="195">
                  <c:v>48.76</c:v>
                </c:pt>
                <c:pt idx="196">
                  <c:v>51.96</c:v>
                </c:pt>
                <c:pt idx="197">
                  <c:v>58.9</c:v>
                </c:pt>
                <c:pt idx="198">
                  <c:v>57.24</c:v>
                </c:pt>
                <c:pt idx="199">
                  <c:v>60.75</c:v>
                </c:pt>
                <c:pt idx="200">
                  <c:v>57.37</c:v>
                </c:pt>
                <c:pt idx="201">
                  <c:v>59.55</c:v>
                </c:pt>
                <c:pt idx="202">
                  <c:v>67.38</c:v>
                </c:pt>
                <c:pt idx="203">
                  <c:v>71.180000000000007</c:v>
                </c:pt>
                <c:pt idx="204">
                  <c:v>70.39</c:v>
                </c:pt>
                <c:pt idx="205">
                  <c:v>81.400000000000006</c:v>
                </c:pt>
                <c:pt idx="206">
                  <c:v>81.11</c:v>
                </c:pt>
                <c:pt idx="207">
                  <c:v>77.69</c:v>
                </c:pt>
                <c:pt idx="208">
                  <c:v>74.52</c:v>
                </c:pt>
                <c:pt idx="209">
                  <c:v>73.77</c:v>
                </c:pt>
                <c:pt idx="210">
                  <c:v>69.819999999999993</c:v>
                </c:pt>
                <c:pt idx="211">
                  <c:v>66.930000000000007</c:v>
                </c:pt>
                <c:pt idx="212">
                  <c:v>69.48</c:v>
                </c:pt>
                <c:pt idx="213">
                  <c:v>70.400000000000006</c:v>
                </c:pt>
                <c:pt idx="214">
                  <c:v>66.430000000000007</c:v>
                </c:pt>
                <c:pt idx="215">
                  <c:v>64.010000000000005</c:v>
                </c:pt>
                <c:pt idx="216">
                  <c:v>57.85</c:v>
                </c:pt>
                <c:pt idx="217">
                  <c:v>60.12</c:v>
                </c:pt>
                <c:pt idx="218">
                  <c:v>70.64</c:v>
                </c:pt>
                <c:pt idx="219">
                  <c:v>69.67</c:v>
                </c:pt>
                <c:pt idx="220">
                  <c:v>68.489999999999995</c:v>
                </c:pt>
                <c:pt idx="221">
                  <c:v>67.89</c:v>
                </c:pt>
                <c:pt idx="222">
                  <c:v>66.33</c:v>
                </c:pt>
                <c:pt idx="223">
                  <c:v>63.17</c:v>
                </c:pt>
                <c:pt idx="224">
                  <c:v>65.34</c:v>
                </c:pt>
                <c:pt idx="225">
                  <c:v>62.38</c:v>
                </c:pt>
                <c:pt idx="226">
                  <c:v>70.87</c:v>
                </c:pt>
                <c:pt idx="227">
                  <c:v>69.94</c:v>
                </c:pt>
                <c:pt idx="228">
                  <c:v>66.91</c:v>
                </c:pt>
                <c:pt idx="229">
                  <c:v>65.88</c:v>
                </c:pt>
                <c:pt idx="230">
                  <c:v>64.989999999999995</c:v>
                </c:pt>
                <c:pt idx="231">
                  <c:v>64.05</c:v>
                </c:pt>
                <c:pt idx="233">
                  <c:v>58.97</c:v>
                </c:pt>
                <c:pt idx="234">
                  <c:v>64.099999999999994</c:v>
                </c:pt>
                <c:pt idx="236">
                  <c:v>61.06</c:v>
                </c:pt>
                <c:pt idx="237">
                  <c:v>56.13</c:v>
                </c:pt>
                <c:pt idx="238">
                  <c:v>62.67</c:v>
                </c:pt>
                <c:pt idx="239">
                  <c:v>60.05</c:v>
                </c:pt>
                <c:pt idx="240">
                  <c:v>59.42</c:v>
                </c:pt>
                <c:pt idx="241">
                  <c:v>63.41</c:v>
                </c:pt>
                <c:pt idx="242">
                  <c:v>61.36</c:v>
                </c:pt>
                <c:pt idx="243">
                  <c:v>62.48</c:v>
                </c:pt>
                <c:pt idx="244">
                  <c:v>61.99</c:v>
                </c:pt>
                <c:pt idx="245">
                  <c:v>61.1</c:v>
                </c:pt>
                <c:pt idx="246">
                  <c:v>66.010000000000005</c:v>
                </c:pt>
                <c:pt idx="247">
                  <c:v>70.44</c:v>
                </c:pt>
                <c:pt idx="248">
                  <c:v>68.27</c:v>
                </c:pt>
                <c:pt idx="249">
                  <c:v>63.41</c:v>
                </c:pt>
                <c:pt idx="250">
                  <c:v>61.41</c:v>
                </c:pt>
                <c:pt idx="251">
                  <c:v>54.24</c:v>
                </c:pt>
                <c:pt idx="252">
                  <c:v>42.64</c:v>
                </c:pt>
                <c:pt idx="253">
                  <c:v>43.52</c:v>
                </c:pt>
                <c:pt idx="254">
                  <c:v>46.73</c:v>
                </c:pt>
                <c:pt idx="257">
                  <c:v>37.71</c:v>
                </c:pt>
                <c:pt idx="259">
                  <c:v>40.97</c:v>
                </c:pt>
                <c:pt idx="260">
                  <c:v>41.68</c:v>
                </c:pt>
                <c:pt idx="261">
                  <c:v>42.14</c:v>
                </c:pt>
                <c:pt idx="262">
                  <c:v>43.45</c:v>
                </c:pt>
                <c:pt idx="263">
                  <c:v>43.54</c:v>
                </c:pt>
                <c:pt idx="264">
                  <c:v>45.58</c:v>
                </c:pt>
                <c:pt idx="265">
                  <c:v>41.53</c:v>
                </c:pt>
                <c:pt idx="266">
                  <c:v>42.77</c:v>
                </c:pt>
                <c:pt idx="267">
                  <c:v>46.65</c:v>
                </c:pt>
                <c:pt idx="268">
                  <c:v>41.6</c:v>
                </c:pt>
                <c:pt idx="269">
                  <c:v>41.8</c:v>
                </c:pt>
                <c:pt idx="270">
                  <c:v>42.2</c:v>
                </c:pt>
                <c:pt idx="271">
                  <c:v>40.450000000000003</c:v>
                </c:pt>
                <c:pt idx="272">
                  <c:v>40.32</c:v>
                </c:pt>
                <c:pt idx="273">
                  <c:v>41.83</c:v>
                </c:pt>
                <c:pt idx="274">
                  <c:v>25.92</c:v>
                </c:pt>
                <c:pt idx="275">
                  <c:v>27.17</c:v>
                </c:pt>
                <c:pt idx="276">
                  <c:v>29.25</c:v>
                </c:pt>
                <c:pt idx="277">
                  <c:v>38.74</c:v>
                </c:pt>
                <c:pt idx="278">
                  <c:v>37.9</c:v>
                </c:pt>
                <c:pt idx="279">
                  <c:v>43.41</c:v>
                </c:pt>
                <c:pt idx="280">
                  <c:v>43.17</c:v>
                </c:pt>
                <c:pt idx="281">
                  <c:v>32.340000000000003</c:v>
                </c:pt>
                <c:pt idx="282">
                  <c:v>35.270000000000003</c:v>
                </c:pt>
                <c:pt idx="283">
                  <c:v>41.08</c:v>
                </c:pt>
                <c:pt idx="284">
                  <c:v>47.39</c:v>
                </c:pt>
                <c:pt idx="285">
                  <c:v>47.87</c:v>
                </c:pt>
                <c:pt idx="286">
                  <c:v>49.63</c:v>
                </c:pt>
                <c:pt idx="287">
                  <c:v>41.64</c:v>
                </c:pt>
                <c:pt idx="288">
                  <c:v>39.99</c:v>
                </c:pt>
                <c:pt idx="289">
                  <c:v>40.74</c:v>
                </c:pt>
                <c:pt idx="290">
                  <c:v>45.92</c:v>
                </c:pt>
                <c:pt idx="291">
                  <c:v>46.84</c:v>
                </c:pt>
                <c:pt idx="292">
                  <c:v>45.61</c:v>
                </c:pt>
                <c:pt idx="293">
                  <c:v>45.87</c:v>
                </c:pt>
                <c:pt idx="294">
                  <c:v>48.88</c:v>
                </c:pt>
                <c:pt idx="295">
                  <c:v>52.24</c:v>
                </c:pt>
                <c:pt idx="296">
                  <c:v>64.52</c:v>
                </c:pt>
                <c:pt idx="297">
                  <c:v>62.71</c:v>
                </c:pt>
                <c:pt idx="298">
                  <c:v>64.239999999999995</c:v>
                </c:pt>
                <c:pt idx="299">
                  <c:v>62.73</c:v>
                </c:pt>
                <c:pt idx="300">
                  <c:v>56.96</c:v>
                </c:pt>
                <c:pt idx="302">
                  <c:v>51.31</c:v>
                </c:pt>
                <c:pt idx="303">
                  <c:v>66.069999999999993</c:v>
                </c:pt>
                <c:pt idx="304">
                  <c:v>67.239999999999995</c:v>
                </c:pt>
                <c:pt idx="305">
                  <c:v>72.37</c:v>
                </c:pt>
                <c:pt idx="306">
                  <c:v>70.489999999999995</c:v>
                </c:pt>
                <c:pt idx="307">
                  <c:v>59.68</c:v>
                </c:pt>
                <c:pt idx="308">
                  <c:v>57.44</c:v>
                </c:pt>
                <c:pt idx="309">
                  <c:v>51.82</c:v>
                </c:pt>
                <c:pt idx="310">
                  <c:v>48.25</c:v>
                </c:pt>
                <c:pt idx="311">
                  <c:v>46.38</c:v>
                </c:pt>
                <c:pt idx="312">
                  <c:v>48.2</c:v>
                </c:pt>
                <c:pt idx="313">
                  <c:v>46.54</c:v>
                </c:pt>
                <c:pt idx="314">
                  <c:v>48.42</c:v>
                </c:pt>
                <c:pt idx="315">
                  <c:v>49.17</c:v>
                </c:pt>
                <c:pt idx="316">
                  <c:v>48.83</c:v>
                </c:pt>
                <c:pt idx="317">
                  <c:v>49.4</c:v>
                </c:pt>
                <c:pt idx="318">
                  <c:v>53.34</c:v>
                </c:pt>
                <c:pt idx="319">
                  <c:v>54.38</c:v>
                </c:pt>
                <c:pt idx="320">
                  <c:v>53.49</c:v>
                </c:pt>
                <c:pt idx="321">
                  <c:v>53</c:v>
                </c:pt>
                <c:pt idx="322">
                  <c:v>66.510000000000005</c:v>
                </c:pt>
                <c:pt idx="327">
                  <c:v>62.67</c:v>
                </c:pt>
                <c:pt idx="328">
                  <c:v>58.79</c:v>
                </c:pt>
                <c:pt idx="329">
                  <c:v>59.93</c:v>
                </c:pt>
                <c:pt idx="330">
                  <c:v>50.39</c:v>
                </c:pt>
                <c:pt idx="331">
                  <c:v>47.93</c:v>
                </c:pt>
                <c:pt idx="332">
                  <c:v>60.67</c:v>
                </c:pt>
                <c:pt idx="333">
                  <c:v>61.59</c:v>
                </c:pt>
                <c:pt idx="334">
                  <c:v>62.5</c:v>
                </c:pt>
                <c:pt idx="335">
                  <c:v>52.55</c:v>
                </c:pt>
                <c:pt idx="336">
                  <c:v>54.32</c:v>
                </c:pt>
                <c:pt idx="337">
                  <c:v>56.77</c:v>
                </c:pt>
                <c:pt idx="338">
                  <c:v>57.93</c:v>
                </c:pt>
                <c:pt idx="339">
                  <c:v>56.92</c:v>
                </c:pt>
                <c:pt idx="340">
                  <c:v>57.61</c:v>
                </c:pt>
                <c:pt idx="341">
                  <c:v>59.14</c:v>
                </c:pt>
                <c:pt idx="342">
                  <c:v>57.96</c:v>
                </c:pt>
                <c:pt idx="343">
                  <c:v>52.94</c:v>
                </c:pt>
                <c:pt idx="345">
                  <c:v>40.31</c:v>
                </c:pt>
                <c:pt idx="346">
                  <c:v>41.11</c:v>
                </c:pt>
                <c:pt idx="347">
                  <c:v>46.61</c:v>
                </c:pt>
                <c:pt idx="348">
                  <c:v>47.82</c:v>
                </c:pt>
                <c:pt idx="349">
                  <c:v>46.33</c:v>
                </c:pt>
                <c:pt idx="350">
                  <c:v>46.68</c:v>
                </c:pt>
                <c:pt idx="351">
                  <c:v>46.18</c:v>
                </c:pt>
                <c:pt idx="352">
                  <c:v>51.65</c:v>
                </c:pt>
                <c:pt idx="353">
                  <c:v>47.66</c:v>
                </c:pt>
                <c:pt idx="354">
                  <c:v>50.23</c:v>
                </c:pt>
                <c:pt idx="355">
                  <c:v>55.44</c:v>
                </c:pt>
                <c:pt idx="356">
                  <c:v>52.37</c:v>
                </c:pt>
                <c:pt idx="357">
                  <c:v>51.28</c:v>
                </c:pt>
                <c:pt idx="358">
                  <c:v>46.12</c:v>
                </c:pt>
                <c:pt idx="359">
                  <c:v>36.36</c:v>
                </c:pt>
                <c:pt idx="360">
                  <c:v>43.47</c:v>
                </c:pt>
                <c:pt idx="361">
                  <c:v>47.16</c:v>
                </c:pt>
                <c:pt idx="362">
                  <c:v>48.61</c:v>
                </c:pt>
                <c:pt idx="363">
                  <c:v>56.9</c:v>
                </c:pt>
                <c:pt idx="364">
                  <c:v>53.17</c:v>
                </c:pt>
                <c:pt idx="365">
                  <c:v>58.57</c:v>
                </c:pt>
                <c:pt idx="366">
                  <c:v>66.510000000000005</c:v>
                </c:pt>
                <c:pt idx="367">
                  <c:v>65.88</c:v>
                </c:pt>
                <c:pt idx="368">
                  <c:v>64.91</c:v>
                </c:pt>
                <c:pt idx="369">
                  <c:v>63.29</c:v>
                </c:pt>
                <c:pt idx="370">
                  <c:v>59.61</c:v>
                </c:pt>
                <c:pt idx="371">
                  <c:v>61.37</c:v>
                </c:pt>
                <c:pt idx="372">
                  <c:v>61.12</c:v>
                </c:pt>
                <c:pt idx="373">
                  <c:v>60.21</c:v>
                </c:pt>
                <c:pt idx="374">
                  <c:v>56.55</c:v>
                </c:pt>
                <c:pt idx="375">
                  <c:v>53.59</c:v>
                </c:pt>
                <c:pt idx="376">
                  <c:v>46.66</c:v>
                </c:pt>
                <c:pt idx="377">
                  <c:v>42.15</c:v>
                </c:pt>
                <c:pt idx="378">
                  <c:v>34.56</c:v>
                </c:pt>
                <c:pt idx="379">
                  <c:v>36.99</c:v>
                </c:pt>
                <c:pt idx="380">
                  <c:v>47.33</c:v>
                </c:pt>
                <c:pt idx="381">
                  <c:v>48.88</c:v>
                </c:pt>
                <c:pt idx="382">
                  <c:v>49.48</c:v>
                </c:pt>
                <c:pt idx="383">
                  <c:v>60.56</c:v>
                </c:pt>
                <c:pt idx="384">
                  <c:v>61.47</c:v>
                </c:pt>
                <c:pt idx="385">
                  <c:v>51.86</c:v>
                </c:pt>
                <c:pt idx="386">
                  <c:v>55.57</c:v>
                </c:pt>
                <c:pt idx="387">
                  <c:v>56.31</c:v>
                </c:pt>
                <c:pt idx="388">
                  <c:v>60.48</c:v>
                </c:pt>
                <c:pt idx="389">
                  <c:v>56.76</c:v>
                </c:pt>
                <c:pt idx="390">
                  <c:v>51.7</c:v>
                </c:pt>
                <c:pt idx="391">
                  <c:v>53.08</c:v>
                </c:pt>
                <c:pt idx="392">
                  <c:v>52.47</c:v>
                </c:pt>
                <c:pt idx="393">
                  <c:v>52.33</c:v>
                </c:pt>
                <c:pt idx="394">
                  <c:v>56.59</c:v>
                </c:pt>
                <c:pt idx="395">
                  <c:v>52.59</c:v>
                </c:pt>
                <c:pt idx="396">
                  <c:v>53.25</c:v>
                </c:pt>
                <c:pt idx="397">
                  <c:v>53.18</c:v>
                </c:pt>
                <c:pt idx="398">
                  <c:v>45.04</c:v>
                </c:pt>
                <c:pt idx="399">
                  <c:v>46.01</c:v>
                </c:pt>
                <c:pt idx="400">
                  <c:v>41.97</c:v>
                </c:pt>
                <c:pt idx="401">
                  <c:v>43.39</c:v>
                </c:pt>
                <c:pt idx="403">
                  <c:v>42.67</c:v>
                </c:pt>
                <c:pt idx="404">
                  <c:v>43.82</c:v>
                </c:pt>
                <c:pt idx="405">
                  <c:v>45.14</c:v>
                </c:pt>
                <c:pt idx="407">
                  <c:v>54.94</c:v>
                </c:pt>
                <c:pt idx="409">
                  <c:v>63.96</c:v>
                </c:pt>
                <c:pt idx="410">
                  <c:v>72.41</c:v>
                </c:pt>
                <c:pt idx="411">
                  <c:v>70.61</c:v>
                </c:pt>
                <c:pt idx="412">
                  <c:v>65</c:v>
                </c:pt>
                <c:pt idx="413">
                  <c:v>64.58</c:v>
                </c:pt>
                <c:pt idx="414">
                  <c:v>60.46</c:v>
                </c:pt>
                <c:pt idx="415">
                  <c:v>59.87</c:v>
                </c:pt>
                <c:pt idx="416">
                  <c:v>57.63</c:v>
                </c:pt>
                <c:pt idx="420">
                  <c:v>52.88</c:v>
                </c:pt>
                <c:pt idx="421">
                  <c:v>47.33</c:v>
                </c:pt>
                <c:pt idx="422">
                  <c:v>43.13</c:v>
                </c:pt>
                <c:pt idx="423">
                  <c:v>42.73</c:v>
                </c:pt>
                <c:pt idx="424">
                  <c:v>40.9</c:v>
                </c:pt>
                <c:pt idx="425">
                  <c:v>41.18</c:v>
                </c:pt>
                <c:pt idx="426">
                  <c:v>46.1</c:v>
                </c:pt>
                <c:pt idx="427">
                  <c:v>37.299999999999997</c:v>
                </c:pt>
                <c:pt idx="428">
                  <c:v>44.46</c:v>
                </c:pt>
                <c:pt idx="429">
                  <c:v>43.69</c:v>
                </c:pt>
                <c:pt idx="430">
                  <c:v>45.88</c:v>
                </c:pt>
                <c:pt idx="431">
                  <c:v>46.31</c:v>
                </c:pt>
                <c:pt idx="432">
                  <c:v>51.78</c:v>
                </c:pt>
                <c:pt idx="433">
                  <c:v>50.88</c:v>
                </c:pt>
                <c:pt idx="434">
                  <c:v>56.43</c:v>
                </c:pt>
                <c:pt idx="435">
                  <c:v>51.54</c:v>
                </c:pt>
                <c:pt idx="436">
                  <c:v>50.7</c:v>
                </c:pt>
                <c:pt idx="437">
                  <c:v>50.22</c:v>
                </c:pt>
                <c:pt idx="438">
                  <c:v>46.71</c:v>
                </c:pt>
                <c:pt idx="439">
                  <c:v>43.81</c:v>
                </c:pt>
                <c:pt idx="440">
                  <c:v>47.3</c:v>
                </c:pt>
                <c:pt idx="442">
                  <c:v>43.95</c:v>
                </c:pt>
                <c:pt idx="443">
                  <c:v>42.82</c:v>
                </c:pt>
                <c:pt idx="444">
                  <c:v>43.16</c:v>
                </c:pt>
                <c:pt idx="445">
                  <c:v>41</c:v>
                </c:pt>
                <c:pt idx="446">
                  <c:v>40.32</c:v>
                </c:pt>
                <c:pt idx="447">
                  <c:v>40.119999999999997</c:v>
                </c:pt>
                <c:pt idx="448">
                  <c:v>38.880000000000003</c:v>
                </c:pt>
                <c:pt idx="449">
                  <c:v>30.03</c:v>
                </c:pt>
                <c:pt idx="450">
                  <c:v>47.87</c:v>
                </c:pt>
                <c:pt idx="451">
                  <c:v>55.86</c:v>
                </c:pt>
                <c:pt idx="452">
                  <c:v>53.76</c:v>
                </c:pt>
                <c:pt idx="453">
                  <c:v>47.03</c:v>
                </c:pt>
                <c:pt idx="454">
                  <c:v>48.14</c:v>
                </c:pt>
                <c:pt idx="455">
                  <c:v>44.15</c:v>
                </c:pt>
                <c:pt idx="456">
                  <c:v>36.06</c:v>
                </c:pt>
                <c:pt idx="457">
                  <c:v>37.99</c:v>
                </c:pt>
                <c:pt idx="458">
                  <c:v>35.01</c:v>
                </c:pt>
                <c:pt idx="459">
                  <c:v>36.729999999999997</c:v>
                </c:pt>
                <c:pt idx="460">
                  <c:v>39.229999999999997</c:v>
                </c:pt>
                <c:pt idx="461">
                  <c:v>46.99</c:v>
                </c:pt>
                <c:pt idx="462">
                  <c:v>47.14</c:v>
                </c:pt>
                <c:pt idx="463">
                  <c:v>51.44</c:v>
                </c:pt>
                <c:pt idx="464">
                  <c:v>49.75</c:v>
                </c:pt>
                <c:pt idx="465">
                  <c:v>48.1</c:v>
                </c:pt>
                <c:pt idx="466">
                  <c:v>52.62</c:v>
                </c:pt>
                <c:pt idx="467">
                  <c:v>51.88</c:v>
                </c:pt>
                <c:pt idx="468">
                  <c:v>52.19</c:v>
                </c:pt>
                <c:pt idx="469">
                  <c:v>55.24</c:v>
                </c:pt>
                <c:pt idx="470">
                  <c:v>62.57</c:v>
                </c:pt>
                <c:pt idx="471">
                  <c:v>69.599999999999994</c:v>
                </c:pt>
                <c:pt idx="472">
                  <c:v>70.290000000000006</c:v>
                </c:pt>
                <c:pt idx="473">
                  <c:v>69.27</c:v>
                </c:pt>
                <c:pt idx="474">
                  <c:v>72.97</c:v>
                </c:pt>
                <c:pt idx="475">
                  <c:v>68.680000000000007</c:v>
                </c:pt>
                <c:pt idx="476">
                  <c:v>67.290000000000006</c:v>
                </c:pt>
                <c:pt idx="477">
                  <c:v>66.180000000000007</c:v>
                </c:pt>
                <c:pt idx="478">
                  <c:v>65.94</c:v>
                </c:pt>
                <c:pt idx="479">
                  <c:v>60.6</c:v>
                </c:pt>
                <c:pt idx="480">
                  <c:v>61.74</c:v>
                </c:pt>
                <c:pt idx="481">
                  <c:v>62.65</c:v>
                </c:pt>
                <c:pt idx="482">
                  <c:v>59.4</c:v>
                </c:pt>
                <c:pt idx="483">
                  <c:v>54.7</c:v>
                </c:pt>
                <c:pt idx="484">
                  <c:v>50.22</c:v>
                </c:pt>
                <c:pt idx="485">
                  <c:v>54.37</c:v>
                </c:pt>
                <c:pt idx="486">
                  <c:v>45.94</c:v>
                </c:pt>
                <c:pt idx="487">
                  <c:v>46.25</c:v>
                </c:pt>
                <c:pt idx="488">
                  <c:v>49.55</c:v>
                </c:pt>
                <c:pt idx="489">
                  <c:v>54.98</c:v>
                </c:pt>
                <c:pt idx="490">
                  <c:v>64.13</c:v>
                </c:pt>
                <c:pt idx="492">
                  <c:v>60.68</c:v>
                </c:pt>
                <c:pt idx="493">
                  <c:v>60.78</c:v>
                </c:pt>
                <c:pt idx="494">
                  <c:v>63.5</c:v>
                </c:pt>
                <c:pt idx="495">
                  <c:v>52.91</c:v>
                </c:pt>
                <c:pt idx="496">
                  <c:v>50.02</c:v>
                </c:pt>
                <c:pt idx="497">
                  <c:v>53.08</c:v>
                </c:pt>
                <c:pt idx="498">
                  <c:v>54.42</c:v>
                </c:pt>
                <c:pt idx="499">
                  <c:v>52.58</c:v>
                </c:pt>
                <c:pt idx="500">
                  <c:v>47.83</c:v>
                </c:pt>
                <c:pt idx="501">
                  <c:v>48.69</c:v>
                </c:pt>
                <c:pt idx="502">
                  <c:v>50.15</c:v>
                </c:pt>
                <c:pt idx="503">
                  <c:v>52.36</c:v>
                </c:pt>
                <c:pt idx="504">
                  <c:v>57.32</c:v>
                </c:pt>
                <c:pt idx="505">
                  <c:v>51.43</c:v>
                </c:pt>
                <c:pt idx="506">
                  <c:v>54.64</c:v>
                </c:pt>
                <c:pt idx="508">
                  <c:v>65.97</c:v>
                </c:pt>
                <c:pt idx="509">
                  <c:v>70.040000000000006</c:v>
                </c:pt>
                <c:pt idx="510">
                  <c:v>70.3</c:v>
                </c:pt>
                <c:pt idx="511">
                  <c:v>65.39</c:v>
                </c:pt>
                <c:pt idx="512">
                  <c:v>62.09</c:v>
                </c:pt>
                <c:pt idx="513">
                  <c:v>55.65</c:v>
                </c:pt>
                <c:pt idx="515">
                  <c:v>50.9</c:v>
                </c:pt>
                <c:pt idx="516">
                  <c:v>52.37</c:v>
                </c:pt>
                <c:pt idx="518">
                  <c:v>51.78</c:v>
                </c:pt>
                <c:pt idx="519">
                  <c:v>54.41</c:v>
                </c:pt>
                <c:pt idx="520">
                  <c:v>46.21</c:v>
                </c:pt>
                <c:pt idx="521">
                  <c:v>43.58</c:v>
                </c:pt>
                <c:pt idx="522">
                  <c:v>43.84</c:v>
                </c:pt>
                <c:pt idx="523">
                  <c:v>43.33</c:v>
                </c:pt>
                <c:pt idx="524">
                  <c:v>49.7</c:v>
                </c:pt>
                <c:pt idx="525">
                  <c:v>38.229999999999997</c:v>
                </c:pt>
                <c:pt idx="526">
                  <c:v>34.82</c:v>
                </c:pt>
                <c:pt idx="527">
                  <c:v>29.76</c:v>
                </c:pt>
                <c:pt idx="528">
                  <c:v>27.69</c:v>
                </c:pt>
                <c:pt idx="529">
                  <c:v>34.86</c:v>
                </c:pt>
                <c:pt idx="530">
                  <c:v>35.51</c:v>
                </c:pt>
                <c:pt idx="531">
                  <c:v>42.62</c:v>
                </c:pt>
                <c:pt idx="533">
                  <c:v>41.01</c:v>
                </c:pt>
                <c:pt idx="534">
                  <c:v>34.08</c:v>
                </c:pt>
                <c:pt idx="535">
                  <c:v>34.68</c:v>
                </c:pt>
                <c:pt idx="536">
                  <c:v>37.200000000000003</c:v>
                </c:pt>
                <c:pt idx="537">
                  <c:v>39.880000000000003</c:v>
                </c:pt>
                <c:pt idx="538">
                  <c:v>36.58</c:v>
                </c:pt>
                <c:pt idx="539">
                  <c:v>39.89</c:v>
                </c:pt>
                <c:pt idx="540">
                  <c:v>31.26</c:v>
                </c:pt>
                <c:pt idx="541">
                  <c:v>35.049999999999997</c:v>
                </c:pt>
                <c:pt idx="542">
                  <c:v>35.17</c:v>
                </c:pt>
                <c:pt idx="543">
                  <c:v>30.9</c:v>
                </c:pt>
                <c:pt idx="544">
                  <c:v>30.49</c:v>
                </c:pt>
                <c:pt idx="545">
                  <c:v>32.700000000000003</c:v>
                </c:pt>
                <c:pt idx="546">
                  <c:v>33.97</c:v>
                </c:pt>
                <c:pt idx="547">
                  <c:v>30.12</c:v>
                </c:pt>
                <c:pt idx="548">
                  <c:v>30.06</c:v>
                </c:pt>
                <c:pt idx="549">
                  <c:v>32.97</c:v>
                </c:pt>
                <c:pt idx="550">
                  <c:v>33.520000000000003</c:v>
                </c:pt>
                <c:pt idx="551">
                  <c:v>40.69</c:v>
                </c:pt>
                <c:pt idx="552">
                  <c:v>27.09</c:v>
                </c:pt>
                <c:pt idx="553">
                  <c:v>28.59</c:v>
                </c:pt>
                <c:pt idx="554">
                  <c:v>29.56</c:v>
                </c:pt>
                <c:pt idx="555">
                  <c:v>30.88</c:v>
                </c:pt>
                <c:pt idx="556">
                  <c:v>32.15</c:v>
                </c:pt>
                <c:pt idx="557">
                  <c:v>33.17</c:v>
                </c:pt>
                <c:pt idx="558">
                  <c:v>37.72</c:v>
                </c:pt>
                <c:pt idx="559">
                  <c:v>38.659999999999997</c:v>
                </c:pt>
                <c:pt idx="561">
                  <c:v>43.42</c:v>
                </c:pt>
                <c:pt idx="562">
                  <c:v>46.74</c:v>
                </c:pt>
                <c:pt idx="563">
                  <c:v>46.03</c:v>
                </c:pt>
                <c:pt idx="564">
                  <c:v>52.8</c:v>
                </c:pt>
                <c:pt idx="565">
                  <c:v>52.73</c:v>
                </c:pt>
                <c:pt idx="566">
                  <c:v>54.15</c:v>
                </c:pt>
                <c:pt idx="567">
                  <c:v>54.25</c:v>
                </c:pt>
                <c:pt idx="568">
                  <c:v>51.86</c:v>
                </c:pt>
                <c:pt idx="569">
                  <c:v>52.08</c:v>
                </c:pt>
                <c:pt idx="570">
                  <c:v>47.29</c:v>
                </c:pt>
                <c:pt idx="571">
                  <c:v>42.03</c:v>
                </c:pt>
                <c:pt idx="572">
                  <c:v>45.18</c:v>
                </c:pt>
                <c:pt idx="573">
                  <c:v>50.34</c:v>
                </c:pt>
                <c:pt idx="576">
                  <c:v>52.76</c:v>
                </c:pt>
                <c:pt idx="577">
                  <c:v>57.48</c:v>
                </c:pt>
                <c:pt idx="578">
                  <c:v>54.25</c:v>
                </c:pt>
                <c:pt idx="579">
                  <c:v>53.58</c:v>
                </c:pt>
                <c:pt idx="580">
                  <c:v>62.53</c:v>
                </c:pt>
                <c:pt idx="581">
                  <c:v>53.92</c:v>
                </c:pt>
                <c:pt idx="582">
                  <c:v>50.98</c:v>
                </c:pt>
                <c:pt idx="583">
                  <c:v>49.42</c:v>
                </c:pt>
                <c:pt idx="584">
                  <c:v>51.48</c:v>
                </c:pt>
                <c:pt idx="585">
                  <c:v>53.8</c:v>
                </c:pt>
                <c:pt idx="586">
                  <c:v>53.29</c:v>
                </c:pt>
                <c:pt idx="587">
                  <c:v>51.09</c:v>
                </c:pt>
                <c:pt idx="588">
                  <c:v>54.61</c:v>
                </c:pt>
                <c:pt idx="589">
                  <c:v>49.92</c:v>
                </c:pt>
                <c:pt idx="590">
                  <c:v>52.56</c:v>
                </c:pt>
                <c:pt idx="591">
                  <c:v>54.12</c:v>
                </c:pt>
                <c:pt idx="592">
                  <c:v>56.94</c:v>
                </c:pt>
                <c:pt idx="593">
                  <c:v>62.01</c:v>
                </c:pt>
                <c:pt idx="594">
                  <c:v>66.37</c:v>
                </c:pt>
                <c:pt idx="595">
                  <c:v>64.84</c:v>
                </c:pt>
                <c:pt idx="596">
                  <c:v>61.73</c:v>
                </c:pt>
                <c:pt idx="597">
                  <c:v>61.39</c:v>
                </c:pt>
                <c:pt idx="598">
                  <c:v>63.84</c:v>
                </c:pt>
                <c:pt idx="599">
                  <c:v>63.2</c:v>
                </c:pt>
                <c:pt idx="600">
                  <c:v>65.53</c:v>
                </c:pt>
                <c:pt idx="601">
                  <c:v>64.97</c:v>
                </c:pt>
                <c:pt idx="602">
                  <c:v>62.99</c:v>
                </c:pt>
                <c:pt idx="603">
                  <c:v>69.81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44-489C-B121-72AD72E33E78}"/>
            </c:ext>
          </c:extLst>
        </c:ser>
        <c:ser>
          <c:idx val="1"/>
          <c:order val="1"/>
          <c:tx>
            <c:strRef>
              <c:f>'미국 RSI'!$G$1</c:f>
              <c:strCache>
                <c:ptCount val="1"/>
                <c:pt idx="0">
                  <c:v>산업재(US)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RSI'!$G$69:$G$3068</c:f>
              <c:numCache>
                <c:formatCode>0.00</c:formatCode>
                <c:ptCount val="3000"/>
                <c:pt idx="0">
                  <c:v>54.82</c:v>
                </c:pt>
                <c:pt idx="1">
                  <c:v>59.13</c:v>
                </c:pt>
                <c:pt idx="2">
                  <c:v>49.94</c:v>
                </c:pt>
                <c:pt idx="3">
                  <c:v>52.39</c:v>
                </c:pt>
                <c:pt idx="4">
                  <c:v>56.12</c:v>
                </c:pt>
                <c:pt idx="5">
                  <c:v>56.05</c:v>
                </c:pt>
                <c:pt idx="6">
                  <c:v>59.9</c:v>
                </c:pt>
                <c:pt idx="7">
                  <c:v>54.38</c:v>
                </c:pt>
                <c:pt idx="8">
                  <c:v>55.32</c:v>
                </c:pt>
                <c:pt idx="9">
                  <c:v>61.32</c:v>
                </c:pt>
                <c:pt idx="10">
                  <c:v>60.69</c:v>
                </c:pt>
                <c:pt idx="11">
                  <c:v>55.18</c:v>
                </c:pt>
                <c:pt idx="12">
                  <c:v>57.17</c:v>
                </c:pt>
                <c:pt idx="13">
                  <c:v>62.51</c:v>
                </c:pt>
                <c:pt idx="14">
                  <c:v>61.56</c:v>
                </c:pt>
                <c:pt idx="15">
                  <c:v>59.71</c:v>
                </c:pt>
                <c:pt idx="16">
                  <c:v>61.23</c:v>
                </c:pt>
                <c:pt idx="17">
                  <c:v>58.67</c:v>
                </c:pt>
                <c:pt idx="18">
                  <c:v>47.34</c:v>
                </c:pt>
                <c:pt idx="19">
                  <c:v>48</c:v>
                </c:pt>
                <c:pt idx="21">
                  <c:v>46.24</c:v>
                </c:pt>
                <c:pt idx="22">
                  <c:v>47.41</c:v>
                </c:pt>
                <c:pt idx="23">
                  <c:v>41.83</c:v>
                </c:pt>
                <c:pt idx="24">
                  <c:v>28.45</c:v>
                </c:pt>
                <c:pt idx="25">
                  <c:v>31.89</c:v>
                </c:pt>
                <c:pt idx="26">
                  <c:v>35.04</c:v>
                </c:pt>
                <c:pt idx="27">
                  <c:v>42.2</c:v>
                </c:pt>
                <c:pt idx="28">
                  <c:v>38.869999999999997</c:v>
                </c:pt>
                <c:pt idx="29">
                  <c:v>35.909999999999997</c:v>
                </c:pt>
                <c:pt idx="30">
                  <c:v>31.43</c:v>
                </c:pt>
                <c:pt idx="31">
                  <c:v>35.409999999999997</c:v>
                </c:pt>
                <c:pt idx="32">
                  <c:v>37.479999999999997</c:v>
                </c:pt>
                <c:pt idx="33">
                  <c:v>40.04</c:v>
                </c:pt>
                <c:pt idx="34">
                  <c:v>38.74</c:v>
                </c:pt>
                <c:pt idx="35">
                  <c:v>34.54</c:v>
                </c:pt>
                <c:pt idx="36">
                  <c:v>35.49</c:v>
                </c:pt>
                <c:pt idx="37">
                  <c:v>43.44</c:v>
                </c:pt>
                <c:pt idx="38">
                  <c:v>44.6</c:v>
                </c:pt>
                <c:pt idx="39">
                  <c:v>46.6</c:v>
                </c:pt>
                <c:pt idx="40">
                  <c:v>44.07</c:v>
                </c:pt>
                <c:pt idx="41">
                  <c:v>48.61</c:v>
                </c:pt>
                <c:pt idx="42">
                  <c:v>59.04</c:v>
                </c:pt>
                <c:pt idx="43">
                  <c:v>57.9</c:v>
                </c:pt>
                <c:pt idx="44">
                  <c:v>69.599999999999994</c:v>
                </c:pt>
                <c:pt idx="45">
                  <c:v>66.39</c:v>
                </c:pt>
                <c:pt idx="46">
                  <c:v>65.55</c:v>
                </c:pt>
                <c:pt idx="47">
                  <c:v>63.42</c:v>
                </c:pt>
                <c:pt idx="48">
                  <c:v>68.349999999999994</c:v>
                </c:pt>
                <c:pt idx="49">
                  <c:v>64.34</c:v>
                </c:pt>
                <c:pt idx="50">
                  <c:v>74.06</c:v>
                </c:pt>
                <c:pt idx="51">
                  <c:v>72.64</c:v>
                </c:pt>
                <c:pt idx="52">
                  <c:v>70.44</c:v>
                </c:pt>
                <c:pt idx="53">
                  <c:v>70.599999999999994</c:v>
                </c:pt>
                <c:pt idx="54">
                  <c:v>69.09</c:v>
                </c:pt>
                <c:pt idx="55">
                  <c:v>66.62</c:v>
                </c:pt>
                <c:pt idx="56">
                  <c:v>74.81</c:v>
                </c:pt>
                <c:pt idx="57">
                  <c:v>73.459999999999994</c:v>
                </c:pt>
                <c:pt idx="58">
                  <c:v>73.16</c:v>
                </c:pt>
                <c:pt idx="59">
                  <c:v>72.44</c:v>
                </c:pt>
                <c:pt idx="60">
                  <c:v>64.2</c:v>
                </c:pt>
                <c:pt idx="61">
                  <c:v>68.209999999999994</c:v>
                </c:pt>
                <c:pt idx="62">
                  <c:v>67.38</c:v>
                </c:pt>
                <c:pt idx="63">
                  <c:v>64.680000000000007</c:v>
                </c:pt>
                <c:pt idx="64">
                  <c:v>60.13</c:v>
                </c:pt>
                <c:pt idx="65">
                  <c:v>61.61</c:v>
                </c:pt>
                <c:pt idx="66">
                  <c:v>57.64</c:v>
                </c:pt>
                <c:pt idx="67">
                  <c:v>60.76</c:v>
                </c:pt>
                <c:pt idx="68">
                  <c:v>59.25</c:v>
                </c:pt>
                <c:pt idx="69">
                  <c:v>58.9</c:v>
                </c:pt>
                <c:pt idx="70">
                  <c:v>62.87</c:v>
                </c:pt>
                <c:pt idx="71">
                  <c:v>65.62</c:v>
                </c:pt>
                <c:pt idx="72">
                  <c:v>60.31</c:v>
                </c:pt>
                <c:pt idx="74">
                  <c:v>72.75</c:v>
                </c:pt>
                <c:pt idx="75">
                  <c:v>70.89</c:v>
                </c:pt>
                <c:pt idx="76">
                  <c:v>68.19</c:v>
                </c:pt>
                <c:pt idx="77">
                  <c:v>67.709999999999994</c:v>
                </c:pt>
                <c:pt idx="78">
                  <c:v>66.17</c:v>
                </c:pt>
                <c:pt idx="79">
                  <c:v>63.82</c:v>
                </c:pt>
                <c:pt idx="80">
                  <c:v>60.17</c:v>
                </c:pt>
                <c:pt idx="81">
                  <c:v>57.45</c:v>
                </c:pt>
                <c:pt idx="82">
                  <c:v>68.48</c:v>
                </c:pt>
                <c:pt idx="83">
                  <c:v>63.9</c:v>
                </c:pt>
                <c:pt idx="84">
                  <c:v>59.15</c:v>
                </c:pt>
                <c:pt idx="85">
                  <c:v>49.76</c:v>
                </c:pt>
                <c:pt idx="86">
                  <c:v>55.11</c:v>
                </c:pt>
                <c:pt idx="87">
                  <c:v>57.08</c:v>
                </c:pt>
                <c:pt idx="88">
                  <c:v>58.55</c:v>
                </c:pt>
                <c:pt idx="89">
                  <c:v>59.77</c:v>
                </c:pt>
                <c:pt idx="90">
                  <c:v>58.36</c:v>
                </c:pt>
                <c:pt idx="91">
                  <c:v>58.58</c:v>
                </c:pt>
                <c:pt idx="92">
                  <c:v>55.41</c:v>
                </c:pt>
                <c:pt idx="93">
                  <c:v>51.57</c:v>
                </c:pt>
                <c:pt idx="94">
                  <c:v>48.46</c:v>
                </c:pt>
                <c:pt idx="95">
                  <c:v>57.05</c:v>
                </c:pt>
                <c:pt idx="96">
                  <c:v>60.72</c:v>
                </c:pt>
                <c:pt idx="97">
                  <c:v>60.08</c:v>
                </c:pt>
                <c:pt idx="98">
                  <c:v>63.92</c:v>
                </c:pt>
                <c:pt idx="99">
                  <c:v>59.91</c:v>
                </c:pt>
                <c:pt idx="100">
                  <c:v>51.51</c:v>
                </c:pt>
                <c:pt idx="101">
                  <c:v>55.9</c:v>
                </c:pt>
                <c:pt idx="102">
                  <c:v>56.65</c:v>
                </c:pt>
                <c:pt idx="103">
                  <c:v>58.3</c:v>
                </c:pt>
                <c:pt idx="104">
                  <c:v>56.09</c:v>
                </c:pt>
                <c:pt idx="105">
                  <c:v>51.79</c:v>
                </c:pt>
                <c:pt idx="106">
                  <c:v>47.44</c:v>
                </c:pt>
                <c:pt idx="107">
                  <c:v>55.35</c:v>
                </c:pt>
                <c:pt idx="109">
                  <c:v>52.44</c:v>
                </c:pt>
                <c:pt idx="110">
                  <c:v>49.41</c:v>
                </c:pt>
                <c:pt idx="111">
                  <c:v>41.91</c:v>
                </c:pt>
                <c:pt idx="112">
                  <c:v>40.33</c:v>
                </c:pt>
                <c:pt idx="113">
                  <c:v>31.96</c:v>
                </c:pt>
                <c:pt idx="114">
                  <c:v>39.08</c:v>
                </c:pt>
                <c:pt idx="115">
                  <c:v>36.47</c:v>
                </c:pt>
                <c:pt idx="116">
                  <c:v>38.53</c:v>
                </c:pt>
                <c:pt idx="117">
                  <c:v>43.6</c:v>
                </c:pt>
                <c:pt idx="118">
                  <c:v>43.55</c:v>
                </c:pt>
                <c:pt idx="119">
                  <c:v>53.26</c:v>
                </c:pt>
                <c:pt idx="120">
                  <c:v>52.65</c:v>
                </c:pt>
                <c:pt idx="121">
                  <c:v>52.49</c:v>
                </c:pt>
                <c:pt idx="122">
                  <c:v>49.13</c:v>
                </c:pt>
                <c:pt idx="123">
                  <c:v>46.12</c:v>
                </c:pt>
                <c:pt idx="124">
                  <c:v>48.31</c:v>
                </c:pt>
                <c:pt idx="125">
                  <c:v>46.01</c:v>
                </c:pt>
                <c:pt idx="126">
                  <c:v>52.6</c:v>
                </c:pt>
                <c:pt idx="127">
                  <c:v>55.32</c:v>
                </c:pt>
                <c:pt idx="128">
                  <c:v>54.08</c:v>
                </c:pt>
                <c:pt idx="129">
                  <c:v>55.58</c:v>
                </c:pt>
                <c:pt idx="130">
                  <c:v>54.38</c:v>
                </c:pt>
                <c:pt idx="131">
                  <c:v>58.47</c:v>
                </c:pt>
                <c:pt idx="132">
                  <c:v>56.03</c:v>
                </c:pt>
                <c:pt idx="133">
                  <c:v>55.68</c:v>
                </c:pt>
                <c:pt idx="134">
                  <c:v>50.17</c:v>
                </c:pt>
                <c:pt idx="135">
                  <c:v>57.1</c:v>
                </c:pt>
                <c:pt idx="136">
                  <c:v>53.02</c:v>
                </c:pt>
                <c:pt idx="137">
                  <c:v>46.84</c:v>
                </c:pt>
                <c:pt idx="138">
                  <c:v>46.37</c:v>
                </c:pt>
                <c:pt idx="139">
                  <c:v>49.53</c:v>
                </c:pt>
                <c:pt idx="140">
                  <c:v>51.63</c:v>
                </c:pt>
                <c:pt idx="141">
                  <c:v>45.69</c:v>
                </c:pt>
                <c:pt idx="142">
                  <c:v>39.67</c:v>
                </c:pt>
                <c:pt idx="143">
                  <c:v>51.11</c:v>
                </c:pt>
                <c:pt idx="144">
                  <c:v>62.46</c:v>
                </c:pt>
                <c:pt idx="145">
                  <c:v>57.33</c:v>
                </c:pt>
                <c:pt idx="146">
                  <c:v>62.54</c:v>
                </c:pt>
                <c:pt idx="147">
                  <c:v>59.76</c:v>
                </c:pt>
                <c:pt idx="148">
                  <c:v>58.94</c:v>
                </c:pt>
                <c:pt idx="149">
                  <c:v>57.4</c:v>
                </c:pt>
                <c:pt idx="150">
                  <c:v>59.63</c:v>
                </c:pt>
                <c:pt idx="151">
                  <c:v>55.18</c:v>
                </c:pt>
                <c:pt idx="152">
                  <c:v>53.28</c:v>
                </c:pt>
                <c:pt idx="153">
                  <c:v>47.25</c:v>
                </c:pt>
                <c:pt idx="154">
                  <c:v>51.96</c:v>
                </c:pt>
                <c:pt idx="155">
                  <c:v>55.94</c:v>
                </c:pt>
                <c:pt idx="156">
                  <c:v>55.78</c:v>
                </c:pt>
                <c:pt idx="157">
                  <c:v>56.34</c:v>
                </c:pt>
                <c:pt idx="158">
                  <c:v>55.04</c:v>
                </c:pt>
                <c:pt idx="159">
                  <c:v>48.85</c:v>
                </c:pt>
                <c:pt idx="160">
                  <c:v>51.68</c:v>
                </c:pt>
                <c:pt idx="161">
                  <c:v>53.56</c:v>
                </c:pt>
                <c:pt idx="162">
                  <c:v>50.98</c:v>
                </c:pt>
                <c:pt idx="163">
                  <c:v>56.01</c:v>
                </c:pt>
                <c:pt idx="164">
                  <c:v>50.68</c:v>
                </c:pt>
                <c:pt idx="165">
                  <c:v>46</c:v>
                </c:pt>
                <c:pt idx="166">
                  <c:v>50.05</c:v>
                </c:pt>
                <c:pt idx="167">
                  <c:v>48.65</c:v>
                </c:pt>
                <c:pt idx="168">
                  <c:v>50.83</c:v>
                </c:pt>
                <c:pt idx="169">
                  <c:v>43.77</c:v>
                </c:pt>
                <c:pt idx="170">
                  <c:v>46.56</c:v>
                </c:pt>
                <c:pt idx="172">
                  <c:v>52.49</c:v>
                </c:pt>
                <c:pt idx="173">
                  <c:v>59.32</c:v>
                </c:pt>
                <c:pt idx="174">
                  <c:v>58.36</c:v>
                </c:pt>
                <c:pt idx="175">
                  <c:v>58.46</c:v>
                </c:pt>
                <c:pt idx="176">
                  <c:v>52.89</c:v>
                </c:pt>
                <c:pt idx="177">
                  <c:v>60.24</c:v>
                </c:pt>
                <c:pt idx="178">
                  <c:v>49.83</c:v>
                </c:pt>
                <c:pt idx="179">
                  <c:v>52.64</c:v>
                </c:pt>
                <c:pt idx="180">
                  <c:v>53.36</c:v>
                </c:pt>
                <c:pt idx="181">
                  <c:v>51.92</c:v>
                </c:pt>
                <c:pt idx="182">
                  <c:v>49.3</c:v>
                </c:pt>
                <c:pt idx="183">
                  <c:v>52.39</c:v>
                </c:pt>
                <c:pt idx="184">
                  <c:v>59.13</c:v>
                </c:pt>
                <c:pt idx="185">
                  <c:v>56.92</c:v>
                </c:pt>
                <c:pt idx="186">
                  <c:v>50.2</c:v>
                </c:pt>
                <c:pt idx="187">
                  <c:v>52.59</c:v>
                </c:pt>
                <c:pt idx="188">
                  <c:v>52.07</c:v>
                </c:pt>
                <c:pt idx="189">
                  <c:v>53.06</c:v>
                </c:pt>
                <c:pt idx="190">
                  <c:v>52.61</c:v>
                </c:pt>
                <c:pt idx="191">
                  <c:v>53.86</c:v>
                </c:pt>
                <c:pt idx="192">
                  <c:v>48.8</c:v>
                </c:pt>
                <c:pt idx="193">
                  <c:v>58.62</c:v>
                </c:pt>
                <c:pt idx="194">
                  <c:v>58.59</c:v>
                </c:pt>
                <c:pt idx="195">
                  <c:v>62.15</c:v>
                </c:pt>
                <c:pt idx="196">
                  <c:v>71.650000000000006</c:v>
                </c:pt>
                <c:pt idx="197">
                  <c:v>74.540000000000006</c:v>
                </c:pt>
                <c:pt idx="198">
                  <c:v>71.12</c:v>
                </c:pt>
                <c:pt idx="199">
                  <c:v>72.67</c:v>
                </c:pt>
                <c:pt idx="200">
                  <c:v>65.36</c:v>
                </c:pt>
                <c:pt idx="201">
                  <c:v>64.180000000000007</c:v>
                </c:pt>
                <c:pt idx="202">
                  <c:v>69.03</c:v>
                </c:pt>
                <c:pt idx="203">
                  <c:v>71.16</c:v>
                </c:pt>
                <c:pt idx="204">
                  <c:v>67.34</c:v>
                </c:pt>
                <c:pt idx="205">
                  <c:v>65.739999999999995</c:v>
                </c:pt>
                <c:pt idx="206">
                  <c:v>72.83</c:v>
                </c:pt>
                <c:pt idx="207">
                  <c:v>70.72</c:v>
                </c:pt>
                <c:pt idx="208">
                  <c:v>74.28</c:v>
                </c:pt>
                <c:pt idx="209">
                  <c:v>72.27</c:v>
                </c:pt>
                <c:pt idx="210">
                  <c:v>69.52</c:v>
                </c:pt>
                <c:pt idx="211">
                  <c:v>69.77</c:v>
                </c:pt>
                <c:pt idx="213">
                  <c:v>72.89</c:v>
                </c:pt>
                <c:pt idx="214">
                  <c:v>69.86</c:v>
                </c:pt>
                <c:pt idx="215">
                  <c:v>69.48</c:v>
                </c:pt>
                <c:pt idx="216">
                  <c:v>68.27</c:v>
                </c:pt>
                <c:pt idx="217">
                  <c:v>66.44</c:v>
                </c:pt>
                <c:pt idx="218">
                  <c:v>62.44</c:v>
                </c:pt>
                <c:pt idx="219">
                  <c:v>57.35</c:v>
                </c:pt>
                <c:pt idx="220">
                  <c:v>63.95</c:v>
                </c:pt>
                <c:pt idx="221">
                  <c:v>59.94</c:v>
                </c:pt>
                <c:pt idx="222">
                  <c:v>54.05</c:v>
                </c:pt>
                <c:pt idx="224">
                  <c:v>53.36</c:v>
                </c:pt>
                <c:pt idx="225">
                  <c:v>54.98</c:v>
                </c:pt>
                <c:pt idx="226">
                  <c:v>60.36</c:v>
                </c:pt>
                <c:pt idx="227">
                  <c:v>56.8</c:v>
                </c:pt>
                <c:pt idx="228">
                  <c:v>63.33</c:v>
                </c:pt>
                <c:pt idx="229">
                  <c:v>65.53</c:v>
                </c:pt>
                <c:pt idx="230">
                  <c:v>65.319999999999993</c:v>
                </c:pt>
                <c:pt idx="231">
                  <c:v>68.75</c:v>
                </c:pt>
                <c:pt idx="232">
                  <c:v>69.45</c:v>
                </c:pt>
                <c:pt idx="233">
                  <c:v>66.510000000000005</c:v>
                </c:pt>
                <c:pt idx="234">
                  <c:v>67</c:v>
                </c:pt>
                <c:pt idx="235">
                  <c:v>66.819999999999993</c:v>
                </c:pt>
                <c:pt idx="236">
                  <c:v>64.28</c:v>
                </c:pt>
                <c:pt idx="237">
                  <c:v>65.040000000000006</c:v>
                </c:pt>
                <c:pt idx="238">
                  <c:v>64.84</c:v>
                </c:pt>
                <c:pt idx="239">
                  <c:v>64.58</c:v>
                </c:pt>
                <c:pt idx="240">
                  <c:v>67.11</c:v>
                </c:pt>
                <c:pt idx="242">
                  <c:v>62.33</c:v>
                </c:pt>
                <c:pt idx="243">
                  <c:v>63.93</c:v>
                </c:pt>
                <c:pt idx="244">
                  <c:v>64.03</c:v>
                </c:pt>
                <c:pt idx="245">
                  <c:v>72.510000000000005</c:v>
                </c:pt>
                <c:pt idx="246">
                  <c:v>74.47</c:v>
                </c:pt>
                <c:pt idx="247">
                  <c:v>73.849999999999994</c:v>
                </c:pt>
                <c:pt idx="248">
                  <c:v>71.75</c:v>
                </c:pt>
                <c:pt idx="249">
                  <c:v>69.569999999999993</c:v>
                </c:pt>
                <c:pt idx="250">
                  <c:v>71.819999999999993</c:v>
                </c:pt>
                <c:pt idx="251">
                  <c:v>70.540000000000006</c:v>
                </c:pt>
                <c:pt idx="252">
                  <c:v>64.09</c:v>
                </c:pt>
                <c:pt idx="253">
                  <c:v>63.9</c:v>
                </c:pt>
                <c:pt idx="254">
                  <c:v>60.6</c:v>
                </c:pt>
                <c:pt idx="255">
                  <c:v>59.33</c:v>
                </c:pt>
                <c:pt idx="256">
                  <c:v>62.58</c:v>
                </c:pt>
                <c:pt idx="257">
                  <c:v>62.46</c:v>
                </c:pt>
                <c:pt idx="258">
                  <c:v>58.52</c:v>
                </c:pt>
                <c:pt idx="259">
                  <c:v>56.76</c:v>
                </c:pt>
                <c:pt idx="260">
                  <c:v>55.07</c:v>
                </c:pt>
                <c:pt idx="261">
                  <c:v>53.57</c:v>
                </c:pt>
                <c:pt idx="262">
                  <c:v>52.82</c:v>
                </c:pt>
                <c:pt idx="263">
                  <c:v>52.84</c:v>
                </c:pt>
                <c:pt idx="264">
                  <c:v>48.09</c:v>
                </c:pt>
                <c:pt idx="265">
                  <c:v>45.27</c:v>
                </c:pt>
                <c:pt idx="266">
                  <c:v>41.19</c:v>
                </c:pt>
                <c:pt idx="268">
                  <c:v>45.31</c:v>
                </c:pt>
                <c:pt idx="269">
                  <c:v>44.05</c:v>
                </c:pt>
                <c:pt idx="270">
                  <c:v>46.57</c:v>
                </c:pt>
                <c:pt idx="271">
                  <c:v>47.49</c:v>
                </c:pt>
                <c:pt idx="272">
                  <c:v>45.41</c:v>
                </c:pt>
                <c:pt idx="273">
                  <c:v>41.85</c:v>
                </c:pt>
                <c:pt idx="274">
                  <c:v>46.03</c:v>
                </c:pt>
                <c:pt idx="275">
                  <c:v>23.58</c:v>
                </c:pt>
                <c:pt idx="276">
                  <c:v>24.47</c:v>
                </c:pt>
                <c:pt idx="277">
                  <c:v>24.97</c:v>
                </c:pt>
                <c:pt idx="278">
                  <c:v>34.19</c:v>
                </c:pt>
                <c:pt idx="279">
                  <c:v>49.7</c:v>
                </c:pt>
                <c:pt idx="280">
                  <c:v>45.77</c:v>
                </c:pt>
                <c:pt idx="281">
                  <c:v>43.31</c:v>
                </c:pt>
                <c:pt idx="282">
                  <c:v>40.18</c:v>
                </c:pt>
                <c:pt idx="283">
                  <c:v>47.42</c:v>
                </c:pt>
                <c:pt idx="284">
                  <c:v>49.57</c:v>
                </c:pt>
                <c:pt idx="285">
                  <c:v>52.33</c:v>
                </c:pt>
                <c:pt idx="286">
                  <c:v>51.77</c:v>
                </c:pt>
                <c:pt idx="287">
                  <c:v>45.72</c:v>
                </c:pt>
                <c:pt idx="288">
                  <c:v>47.65</c:v>
                </c:pt>
                <c:pt idx="289">
                  <c:v>49.48</c:v>
                </c:pt>
                <c:pt idx="290">
                  <c:v>44.29</c:v>
                </c:pt>
                <c:pt idx="291">
                  <c:v>47.01</c:v>
                </c:pt>
                <c:pt idx="292">
                  <c:v>41.3</c:v>
                </c:pt>
                <c:pt idx="293">
                  <c:v>32.53</c:v>
                </c:pt>
                <c:pt idx="294">
                  <c:v>35.299999999999997</c:v>
                </c:pt>
                <c:pt idx="295">
                  <c:v>35.32</c:v>
                </c:pt>
                <c:pt idx="296">
                  <c:v>39.79</c:v>
                </c:pt>
                <c:pt idx="297">
                  <c:v>45.28</c:v>
                </c:pt>
                <c:pt idx="298">
                  <c:v>39.56</c:v>
                </c:pt>
                <c:pt idx="299">
                  <c:v>42.63</c:v>
                </c:pt>
                <c:pt idx="300">
                  <c:v>34.03</c:v>
                </c:pt>
                <c:pt idx="301">
                  <c:v>41.27</c:v>
                </c:pt>
                <c:pt idx="302">
                  <c:v>48.33</c:v>
                </c:pt>
                <c:pt idx="303">
                  <c:v>39.39</c:v>
                </c:pt>
                <c:pt idx="304">
                  <c:v>41.11</c:v>
                </c:pt>
                <c:pt idx="305">
                  <c:v>40.700000000000003</c:v>
                </c:pt>
                <c:pt idx="306">
                  <c:v>37.200000000000003</c:v>
                </c:pt>
                <c:pt idx="307">
                  <c:v>39.1</c:v>
                </c:pt>
                <c:pt idx="308">
                  <c:v>51.07</c:v>
                </c:pt>
                <c:pt idx="309">
                  <c:v>55.85</c:v>
                </c:pt>
                <c:pt idx="310">
                  <c:v>55.25</c:v>
                </c:pt>
                <c:pt idx="312">
                  <c:v>50.44</c:v>
                </c:pt>
                <c:pt idx="313">
                  <c:v>52.08</c:v>
                </c:pt>
                <c:pt idx="314">
                  <c:v>51.47</c:v>
                </c:pt>
                <c:pt idx="315">
                  <c:v>55.45</c:v>
                </c:pt>
                <c:pt idx="316">
                  <c:v>55.27</c:v>
                </c:pt>
                <c:pt idx="317">
                  <c:v>50.53</c:v>
                </c:pt>
                <c:pt idx="318">
                  <c:v>52.24</c:v>
                </c:pt>
                <c:pt idx="319">
                  <c:v>49.86</c:v>
                </c:pt>
                <c:pt idx="320">
                  <c:v>49.48</c:v>
                </c:pt>
                <c:pt idx="321">
                  <c:v>49.34</c:v>
                </c:pt>
                <c:pt idx="322">
                  <c:v>54.17</c:v>
                </c:pt>
                <c:pt idx="323">
                  <c:v>57.95</c:v>
                </c:pt>
                <c:pt idx="324">
                  <c:v>53.19</c:v>
                </c:pt>
                <c:pt idx="325">
                  <c:v>54.95</c:v>
                </c:pt>
                <c:pt idx="326">
                  <c:v>58.47</c:v>
                </c:pt>
                <c:pt idx="327">
                  <c:v>66.61</c:v>
                </c:pt>
                <c:pt idx="328">
                  <c:v>69.459999999999994</c:v>
                </c:pt>
                <c:pt idx="329">
                  <c:v>66.290000000000006</c:v>
                </c:pt>
                <c:pt idx="330">
                  <c:v>67.81</c:v>
                </c:pt>
                <c:pt idx="332">
                  <c:v>60.63</c:v>
                </c:pt>
                <c:pt idx="333">
                  <c:v>58.11</c:v>
                </c:pt>
                <c:pt idx="334">
                  <c:v>52.47</c:v>
                </c:pt>
                <c:pt idx="335">
                  <c:v>49.18</c:v>
                </c:pt>
                <c:pt idx="336">
                  <c:v>42.32</c:v>
                </c:pt>
                <c:pt idx="337">
                  <c:v>34.25</c:v>
                </c:pt>
                <c:pt idx="339">
                  <c:v>39.18</c:v>
                </c:pt>
                <c:pt idx="340">
                  <c:v>36.200000000000003</c:v>
                </c:pt>
                <c:pt idx="341">
                  <c:v>36.619999999999997</c:v>
                </c:pt>
                <c:pt idx="342">
                  <c:v>37.51</c:v>
                </c:pt>
                <c:pt idx="343">
                  <c:v>29.72</c:v>
                </c:pt>
                <c:pt idx="344">
                  <c:v>30.88</c:v>
                </c:pt>
                <c:pt idx="345">
                  <c:v>31.27</c:v>
                </c:pt>
                <c:pt idx="346">
                  <c:v>34.71</c:v>
                </c:pt>
                <c:pt idx="347">
                  <c:v>37.57</c:v>
                </c:pt>
                <c:pt idx="348">
                  <c:v>37.090000000000003</c:v>
                </c:pt>
                <c:pt idx="349">
                  <c:v>32.020000000000003</c:v>
                </c:pt>
                <c:pt idx="350">
                  <c:v>33.72</c:v>
                </c:pt>
                <c:pt idx="351">
                  <c:v>25.61</c:v>
                </c:pt>
                <c:pt idx="352">
                  <c:v>25.93</c:v>
                </c:pt>
                <c:pt idx="353">
                  <c:v>35.299999999999997</c:v>
                </c:pt>
                <c:pt idx="354">
                  <c:v>39.659999999999997</c:v>
                </c:pt>
                <c:pt idx="355">
                  <c:v>38.99</c:v>
                </c:pt>
                <c:pt idx="356">
                  <c:v>40.229999999999997</c:v>
                </c:pt>
                <c:pt idx="357">
                  <c:v>43.39</c:v>
                </c:pt>
                <c:pt idx="358">
                  <c:v>44.55</c:v>
                </c:pt>
                <c:pt idx="359">
                  <c:v>45.77</c:v>
                </c:pt>
                <c:pt idx="360">
                  <c:v>50.34</c:v>
                </c:pt>
                <c:pt idx="361">
                  <c:v>51.76</c:v>
                </c:pt>
                <c:pt idx="362">
                  <c:v>59.19</c:v>
                </c:pt>
                <c:pt idx="363">
                  <c:v>57.15</c:v>
                </c:pt>
                <c:pt idx="364">
                  <c:v>61.29</c:v>
                </c:pt>
                <c:pt idx="365">
                  <c:v>66.58</c:v>
                </c:pt>
                <c:pt idx="367">
                  <c:v>64.400000000000006</c:v>
                </c:pt>
                <c:pt idx="368">
                  <c:v>67.06</c:v>
                </c:pt>
                <c:pt idx="369">
                  <c:v>66.650000000000006</c:v>
                </c:pt>
                <c:pt idx="370">
                  <c:v>64.5</c:v>
                </c:pt>
                <c:pt idx="371">
                  <c:v>59.12</c:v>
                </c:pt>
                <c:pt idx="372">
                  <c:v>53.29</c:v>
                </c:pt>
                <c:pt idx="373">
                  <c:v>52.75</c:v>
                </c:pt>
                <c:pt idx="374">
                  <c:v>53.21</c:v>
                </c:pt>
                <c:pt idx="375">
                  <c:v>53.89</c:v>
                </c:pt>
                <c:pt idx="376">
                  <c:v>56.57</c:v>
                </c:pt>
                <c:pt idx="377">
                  <c:v>66.349999999999994</c:v>
                </c:pt>
                <c:pt idx="378">
                  <c:v>65.66</c:v>
                </c:pt>
                <c:pt idx="379">
                  <c:v>71.209999999999994</c:v>
                </c:pt>
                <c:pt idx="380">
                  <c:v>69.040000000000006</c:v>
                </c:pt>
                <c:pt idx="381">
                  <c:v>65.739999999999995</c:v>
                </c:pt>
                <c:pt idx="382">
                  <c:v>69.61</c:v>
                </c:pt>
                <c:pt idx="383">
                  <c:v>53.72</c:v>
                </c:pt>
                <c:pt idx="384">
                  <c:v>41.86</c:v>
                </c:pt>
                <c:pt idx="385">
                  <c:v>42.54</c:v>
                </c:pt>
                <c:pt idx="386">
                  <c:v>41.48</c:v>
                </c:pt>
                <c:pt idx="387">
                  <c:v>48.68</c:v>
                </c:pt>
                <c:pt idx="388">
                  <c:v>49.87</c:v>
                </c:pt>
                <c:pt idx="389">
                  <c:v>50.77</c:v>
                </c:pt>
                <c:pt idx="390">
                  <c:v>48.87</c:v>
                </c:pt>
                <c:pt idx="391">
                  <c:v>50.5</c:v>
                </c:pt>
                <c:pt idx="392">
                  <c:v>54.94</c:v>
                </c:pt>
                <c:pt idx="393">
                  <c:v>56.91</c:v>
                </c:pt>
                <c:pt idx="394">
                  <c:v>66.209999999999994</c:v>
                </c:pt>
                <c:pt idx="395">
                  <c:v>69.28</c:v>
                </c:pt>
                <c:pt idx="396">
                  <c:v>68.099999999999994</c:v>
                </c:pt>
                <c:pt idx="397">
                  <c:v>70.48</c:v>
                </c:pt>
                <c:pt idx="398">
                  <c:v>67.67</c:v>
                </c:pt>
                <c:pt idx="399">
                  <c:v>74.239999999999995</c:v>
                </c:pt>
                <c:pt idx="400">
                  <c:v>72.3</c:v>
                </c:pt>
                <c:pt idx="401">
                  <c:v>65.19</c:v>
                </c:pt>
                <c:pt idx="402">
                  <c:v>70</c:v>
                </c:pt>
                <c:pt idx="403">
                  <c:v>65.97</c:v>
                </c:pt>
                <c:pt idx="404">
                  <c:v>64.89</c:v>
                </c:pt>
                <c:pt idx="405">
                  <c:v>67.069999999999993</c:v>
                </c:pt>
                <c:pt idx="406">
                  <c:v>63.85</c:v>
                </c:pt>
                <c:pt idx="407">
                  <c:v>68.41</c:v>
                </c:pt>
                <c:pt idx="408">
                  <c:v>70.099999999999994</c:v>
                </c:pt>
                <c:pt idx="409">
                  <c:v>69.900000000000006</c:v>
                </c:pt>
                <c:pt idx="410">
                  <c:v>68.25</c:v>
                </c:pt>
                <c:pt idx="411">
                  <c:v>67.739999999999995</c:v>
                </c:pt>
                <c:pt idx="412">
                  <c:v>65.930000000000007</c:v>
                </c:pt>
                <c:pt idx="413">
                  <c:v>69.319999999999993</c:v>
                </c:pt>
                <c:pt idx="414">
                  <c:v>66.91</c:v>
                </c:pt>
                <c:pt idx="415">
                  <c:v>65.72</c:v>
                </c:pt>
                <c:pt idx="416">
                  <c:v>70.55</c:v>
                </c:pt>
                <c:pt idx="417">
                  <c:v>64.739999999999995</c:v>
                </c:pt>
                <c:pt idx="418">
                  <c:v>65.319999999999993</c:v>
                </c:pt>
                <c:pt idx="419">
                  <c:v>63.33</c:v>
                </c:pt>
                <c:pt idx="420">
                  <c:v>61.41</c:v>
                </c:pt>
                <c:pt idx="421">
                  <c:v>57.36</c:v>
                </c:pt>
                <c:pt idx="422">
                  <c:v>53.97</c:v>
                </c:pt>
                <c:pt idx="423">
                  <c:v>53.16</c:v>
                </c:pt>
                <c:pt idx="424">
                  <c:v>52.43</c:v>
                </c:pt>
                <c:pt idx="425">
                  <c:v>45.43</c:v>
                </c:pt>
                <c:pt idx="426">
                  <c:v>49.99</c:v>
                </c:pt>
                <c:pt idx="427">
                  <c:v>56.08</c:v>
                </c:pt>
                <c:pt idx="428">
                  <c:v>55.64</c:v>
                </c:pt>
                <c:pt idx="430">
                  <c:v>70.040000000000006</c:v>
                </c:pt>
                <c:pt idx="431">
                  <c:v>66.16</c:v>
                </c:pt>
                <c:pt idx="432">
                  <c:v>63.26</c:v>
                </c:pt>
                <c:pt idx="433">
                  <c:v>63.59</c:v>
                </c:pt>
                <c:pt idx="434">
                  <c:v>63.36</c:v>
                </c:pt>
                <c:pt idx="435">
                  <c:v>64.040000000000006</c:v>
                </c:pt>
                <c:pt idx="436">
                  <c:v>60.42</c:v>
                </c:pt>
                <c:pt idx="437">
                  <c:v>61.13</c:v>
                </c:pt>
                <c:pt idx="438">
                  <c:v>58.96</c:v>
                </c:pt>
                <c:pt idx="439">
                  <c:v>60.38</c:v>
                </c:pt>
                <c:pt idx="440">
                  <c:v>58.33</c:v>
                </c:pt>
                <c:pt idx="441">
                  <c:v>58.99</c:v>
                </c:pt>
                <c:pt idx="442">
                  <c:v>54.47</c:v>
                </c:pt>
                <c:pt idx="443">
                  <c:v>53.02</c:v>
                </c:pt>
                <c:pt idx="444">
                  <c:v>49.19</c:v>
                </c:pt>
                <c:pt idx="445">
                  <c:v>51.07</c:v>
                </c:pt>
                <c:pt idx="446">
                  <c:v>51.01</c:v>
                </c:pt>
                <c:pt idx="447">
                  <c:v>42.63</c:v>
                </c:pt>
                <c:pt idx="448">
                  <c:v>44.1</c:v>
                </c:pt>
                <c:pt idx="449">
                  <c:v>39.299999999999997</c:v>
                </c:pt>
                <c:pt idx="450">
                  <c:v>44.52</c:v>
                </c:pt>
                <c:pt idx="451">
                  <c:v>52.98</c:v>
                </c:pt>
                <c:pt idx="452">
                  <c:v>62.44</c:v>
                </c:pt>
                <c:pt idx="453">
                  <c:v>58.32</c:v>
                </c:pt>
                <c:pt idx="454">
                  <c:v>57.18</c:v>
                </c:pt>
                <c:pt idx="455">
                  <c:v>58.06</c:v>
                </c:pt>
                <c:pt idx="456">
                  <c:v>51.38</c:v>
                </c:pt>
                <c:pt idx="457">
                  <c:v>47.77</c:v>
                </c:pt>
                <c:pt idx="458">
                  <c:v>58.88</c:v>
                </c:pt>
                <c:pt idx="459">
                  <c:v>60.02</c:v>
                </c:pt>
                <c:pt idx="460">
                  <c:v>55.79</c:v>
                </c:pt>
                <c:pt idx="461">
                  <c:v>58.94</c:v>
                </c:pt>
                <c:pt idx="462">
                  <c:v>63.73</c:v>
                </c:pt>
                <c:pt idx="463">
                  <c:v>72.849999999999994</c:v>
                </c:pt>
                <c:pt idx="464">
                  <c:v>63.67</c:v>
                </c:pt>
                <c:pt idx="465">
                  <c:v>60.1</c:v>
                </c:pt>
                <c:pt idx="466">
                  <c:v>56.96</c:v>
                </c:pt>
                <c:pt idx="467">
                  <c:v>48.81</c:v>
                </c:pt>
                <c:pt idx="468">
                  <c:v>41.66</c:v>
                </c:pt>
                <c:pt idx="469">
                  <c:v>44.49</c:v>
                </c:pt>
                <c:pt idx="470">
                  <c:v>43.48</c:v>
                </c:pt>
                <c:pt idx="472">
                  <c:v>45.75</c:v>
                </c:pt>
                <c:pt idx="473">
                  <c:v>42.99</c:v>
                </c:pt>
                <c:pt idx="474">
                  <c:v>38.64</c:v>
                </c:pt>
                <c:pt idx="475">
                  <c:v>44.96</c:v>
                </c:pt>
                <c:pt idx="476">
                  <c:v>44.64</c:v>
                </c:pt>
                <c:pt idx="477">
                  <c:v>43.85</c:v>
                </c:pt>
                <c:pt idx="478">
                  <c:v>45.38</c:v>
                </c:pt>
                <c:pt idx="479">
                  <c:v>50.58</c:v>
                </c:pt>
                <c:pt idx="480">
                  <c:v>50.08</c:v>
                </c:pt>
                <c:pt idx="481">
                  <c:v>51.35</c:v>
                </c:pt>
                <c:pt idx="483">
                  <c:v>50.99</c:v>
                </c:pt>
                <c:pt idx="484">
                  <c:v>48.09</c:v>
                </c:pt>
                <c:pt idx="485">
                  <c:v>41.56</c:v>
                </c:pt>
                <c:pt idx="486">
                  <c:v>46.55</c:v>
                </c:pt>
                <c:pt idx="487">
                  <c:v>50.14</c:v>
                </c:pt>
                <c:pt idx="488">
                  <c:v>44.28</c:v>
                </c:pt>
                <c:pt idx="489">
                  <c:v>47.4</c:v>
                </c:pt>
                <c:pt idx="490">
                  <c:v>45.47</c:v>
                </c:pt>
                <c:pt idx="491">
                  <c:v>44.82</c:v>
                </c:pt>
                <c:pt idx="492">
                  <c:v>47.77</c:v>
                </c:pt>
                <c:pt idx="493">
                  <c:v>41.78</c:v>
                </c:pt>
                <c:pt idx="494">
                  <c:v>42.89</c:v>
                </c:pt>
                <c:pt idx="495">
                  <c:v>49</c:v>
                </c:pt>
                <c:pt idx="496">
                  <c:v>41.41</c:v>
                </c:pt>
                <c:pt idx="497">
                  <c:v>36.49</c:v>
                </c:pt>
                <c:pt idx="498">
                  <c:v>43.62</c:v>
                </c:pt>
                <c:pt idx="500">
                  <c:v>51.84</c:v>
                </c:pt>
                <c:pt idx="501">
                  <c:v>48.07</c:v>
                </c:pt>
                <c:pt idx="502">
                  <c:v>57.96</c:v>
                </c:pt>
                <c:pt idx="503">
                  <c:v>57.13</c:v>
                </c:pt>
                <c:pt idx="504">
                  <c:v>60.14</c:v>
                </c:pt>
                <c:pt idx="505">
                  <c:v>58.97</c:v>
                </c:pt>
                <c:pt idx="506">
                  <c:v>58.3</c:v>
                </c:pt>
                <c:pt idx="507">
                  <c:v>63.43</c:v>
                </c:pt>
                <c:pt idx="508">
                  <c:v>59.84</c:v>
                </c:pt>
                <c:pt idx="509">
                  <c:v>60.04</c:v>
                </c:pt>
                <c:pt idx="510">
                  <c:v>63.52</c:v>
                </c:pt>
                <c:pt idx="511">
                  <c:v>63.19</c:v>
                </c:pt>
                <c:pt idx="512">
                  <c:v>58.26</c:v>
                </c:pt>
                <c:pt idx="513">
                  <c:v>58.26</c:v>
                </c:pt>
                <c:pt idx="514">
                  <c:v>56.89</c:v>
                </c:pt>
                <c:pt idx="515">
                  <c:v>51.53</c:v>
                </c:pt>
                <c:pt idx="516">
                  <c:v>47.36</c:v>
                </c:pt>
                <c:pt idx="517">
                  <c:v>43.66</c:v>
                </c:pt>
                <c:pt idx="518">
                  <c:v>44.92</c:v>
                </c:pt>
                <c:pt idx="519">
                  <c:v>54.43</c:v>
                </c:pt>
                <c:pt idx="520">
                  <c:v>50.35</c:v>
                </c:pt>
                <c:pt idx="521">
                  <c:v>49.32</c:v>
                </c:pt>
                <c:pt idx="522">
                  <c:v>47.44</c:v>
                </c:pt>
                <c:pt idx="523">
                  <c:v>52.19</c:v>
                </c:pt>
                <c:pt idx="524">
                  <c:v>43.07</c:v>
                </c:pt>
                <c:pt idx="525">
                  <c:v>37.08</c:v>
                </c:pt>
                <c:pt idx="526">
                  <c:v>37.979999999999997</c:v>
                </c:pt>
                <c:pt idx="527">
                  <c:v>39.68</c:v>
                </c:pt>
                <c:pt idx="528">
                  <c:v>42.32</c:v>
                </c:pt>
                <c:pt idx="529">
                  <c:v>43.52</c:v>
                </c:pt>
                <c:pt idx="530">
                  <c:v>47.44</c:v>
                </c:pt>
                <c:pt idx="531">
                  <c:v>54.29</c:v>
                </c:pt>
                <c:pt idx="532">
                  <c:v>53.63</c:v>
                </c:pt>
                <c:pt idx="533">
                  <c:v>59.7</c:v>
                </c:pt>
                <c:pt idx="534">
                  <c:v>61.45</c:v>
                </c:pt>
                <c:pt idx="535">
                  <c:v>62.75</c:v>
                </c:pt>
                <c:pt idx="536">
                  <c:v>56.02</c:v>
                </c:pt>
                <c:pt idx="537">
                  <c:v>62.75</c:v>
                </c:pt>
                <c:pt idx="538">
                  <c:v>60.16</c:v>
                </c:pt>
                <c:pt idx="539">
                  <c:v>63.9</c:v>
                </c:pt>
                <c:pt idx="541">
                  <c:v>70.709999999999994</c:v>
                </c:pt>
                <c:pt idx="542">
                  <c:v>70.650000000000006</c:v>
                </c:pt>
                <c:pt idx="543">
                  <c:v>63.81</c:v>
                </c:pt>
                <c:pt idx="544">
                  <c:v>67.099999999999994</c:v>
                </c:pt>
                <c:pt idx="545">
                  <c:v>73.42</c:v>
                </c:pt>
                <c:pt idx="546">
                  <c:v>76.989999999999995</c:v>
                </c:pt>
                <c:pt idx="547">
                  <c:v>73.569999999999993</c:v>
                </c:pt>
                <c:pt idx="548">
                  <c:v>68.31</c:v>
                </c:pt>
                <c:pt idx="549">
                  <c:v>63.53</c:v>
                </c:pt>
                <c:pt idx="550">
                  <c:v>64.92</c:v>
                </c:pt>
                <c:pt idx="551">
                  <c:v>64.83</c:v>
                </c:pt>
                <c:pt idx="552">
                  <c:v>69.06</c:v>
                </c:pt>
                <c:pt idx="553">
                  <c:v>67.83</c:v>
                </c:pt>
                <c:pt idx="554">
                  <c:v>65.739999999999995</c:v>
                </c:pt>
                <c:pt idx="555">
                  <c:v>70.7</c:v>
                </c:pt>
                <c:pt idx="556">
                  <c:v>72.89</c:v>
                </c:pt>
                <c:pt idx="557">
                  <c:v>69.73</c:v>
                </c:pt>
                <c:pt idx="558">
                  <c:v>67.47</c:v>
                </c:pt>
                <c:pt idx="559">
                  <c:v>75.819999999999993</c:v>
                </c:pt>
                <c:pt idx="560">
                  <c:v>74.53</c:v>
                </c:pt>
                <c:pt idx="561">
                  <c:v>72.95</c:v>
                </c:pt>
                <c:pt idx="562">
                  <c:v>71.790000000000006</c:v>
                </c:pt>
                <c:pt idx="563">
                  <c:v>70.5</c:v>
                </c:pt>
                <c:pt idx="564">
                  <c:v>69.930000000000007</c:v>
                </c:pt>
                <c:pt idx="565">
                  <c:v>71.19</c:v>
                </c:pt>
                <c:pt idx="566">
                  <c:v>69.400000000000006</c:v>
                </c:pt>
                <c:pt idx="567">
                  <c:v>64.66</c:v>
                </c:pt>
                <c:pt idx="568">
                  <c:v>62.94</c:v>
                </c:pt>
                <c:pt idx="570">
                  <c:v>65.260000000000005</c:v>
                </c:pt>
                <c:pt idx="571">
                  <c:v>69.84</c:v>
                </c:pt>
                <c:pt idx="572">
                  <c:v>67.19</c:v>
                </c:pt>
                <c:pt idx="573">
                  <c:v>59.99</c:v>
                </c:pt>
                <c:pt idx="574">
                  <c:v>68.64</c:v>
                </c:pt>
                <c:pt idx="575">
                  <c:v>68.03</c:v>
                </c:pt>
                <c:pt idx="576">
                  <c:v>67.41</c:v>
                </c:pt>
                <c:pt idx="577">
                  <c:v>67.349999999999994</c:v>
                </c:pt>
                <c:pt idx="578">
                  <c:v>64.83</c:v>
                </c:pt>
                <c:pt idx="579">
                  <c:v>61.1</c:v>
                </c:pt>
                <c:pt idx="580">
                  <c:v>65.010000000000005</c:v>
                </c:pt>
                <c:pt idx="581">
                  <c:v>62.27</c:v>
                </c:pt>
                <c:pt idx="582">
                  <c:v>53.9</c:v>
                </c:pt>
                <c:pt idx="583">
                  <c:v>62.79</c:v>
                </c:pt>
                <c:pt idx="584">
                  <c:v>62.62</c:v>
                </c:pt>
                <c:pt idx="585">
                  <c:v>59.36</c:v>
                </c:pt>
                <c:pt idx="586">
                  <c:v>60.55</c:v>
                </c:pt>
                <c:pt idx="587">
                  <c:v>55.59</c:v>
                </c:pt>
                <c:pt idx="588">
                  <c:v>60.14</c:v>
                </c:pt>
                <c:pt idx="589">
                  <c:v>60.74</c:v>
                </c:pt>
                <c:pt idx="590">
                  <c:v>56.92</c:v>
                </c:pt>
                <c:pt idx="591">
                  <c:v>53.38</c:v>
                </c:pt>
                <c:pt idx="592">
                  <c:v>44.79</c:v>
                </c:pt>
                <c:pt idx="593">
                  <c:v>49.01</c:v>
                </c:pt>
                <c:pt idx="595">
                  <c:v>56.45</c:v>
                </c:pt>
                <c:pt idx="596">
                  <c:v>56.52</c:v>
                </c:pt>
                <c:pt idx="597">
                  <c:v>58.28</c:v>
                </c:pt>
                <c:pt idx="598">
                  <c:v>55.46</c:v>
                </c:pt>
                <c:pt idx="599">
                  <c:v>57.68</c:v>
                </c:pt>
                <c:pt idx="600">
                  <c:v>54.12</c:v>
                </c:pt>
                <c:pt idx="601">
                  <c:v>53.48</c:v>
                </c:pt>
                <c:pt idx="602">
                  <c:v>52.81</c:v>
                </c:pt>
                <c:pt idx="603">
                  <c:v>62.83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44-489C-B121-72AD72E33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통신  </a:t>
            </a:r>
            <a:r>
              <a:rPr lang="en-US"/>
              <a:t>vs  </a:t>
            </a:r>
            <a:r>
              <a:rPr lang="ko-KR" altLang="en-US"/>
              <a:t>통신서비스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RSI'!$Q$7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RSI'!$Q$78:$Q$3077</c:f>
              <c:numCache>
                <c:formatCode>0.00</c:formatCode>
                <c:ptCount val="3000"/>
                <c:pt idx="1">
                  <c:v>51.51</c:v>
                </c:pt>
                <c:pt idx="2">
                  <c:v>54.31</c:v>
                </c:pt>
                <c:pt idx="3">
                  <c:v>56.83</c:v>
                </c:pt>
                <c:pt idx="4">
                  <c:v>58.78</c:v>
                </c:pt>
                <c:pt idx="5">
                  <c:v>63.24</c:v>
                </c:pt>
                <c:pt idx="6">
                  <c:v>62.73</c:v>
                </c:pt>
                <c:pt idx="7">
                  <c:v>64.459999999999994</c:v>
                </c:pt>
                <c:pt idx="8">
                  <c:v>68.150000000000006</c:v>
                </c:pt>
                <c:pt idx="9">
                  <c:v>65.39</c:v>
                </c:pt>
                <c:pt idx="10">
                  <c:v>70.489999999999995</c:v>
                </c:pt>
                <c:pt idx="11">
                  <c:v>68.069999999999993</c:v>
                </c:pt>
                <c:pt idx="12">
                  <c:v>73.56</c:v>
                </c:pt>
                <c:pt idx="13">
                  <c:v>72.03</c:v>
                </c:pt>
                <c:pt idx="14">
                  <c:v>69.11</c:v>
                </c:pt>
                <c:pt idx="15">
                  <c:v>68.81</c:v>
                </c:pt>
                <c:pt idx="16">
                  <c:v>66.87</c:v>
                </c:pt>
                <c:pt idx="17">
                  <c:v>63.4</c:v>
                </c:pt>
                <c:pt idx="18">
                  <c:v>54.1</c:v>
                </c:pt>
                <c:pt idx="19">
                  <c:v>53.63</c:v>
                </c:pt>
                <c:pt idx="20">
                  <c:v>52.7</c:v>
                </c:pt>
                <c:pt idx="21">
                  <c:v>49.69</c:v>
                </c:pt>
                <c:pt idx="22">
                  <c:v>53.25</c:v>
                </c:pt>
                <c:pt idx="23">
                  <c:v>49.64</c:v>
                </c:pt>
                <c:pt idx="24">
                  <c:v>51.89</c:v>
                </c:pt>
                <c:pt idx="25">
                  <c:v>55.13</c:v>
                </c:pt>
                <c:pt idx="26">
                  <c:v>53.76</c:v>
                </c:pt>
                <c:pt idx="27">
                  <c:v>53.4</c:v>
                </c:pt>
                <c:pt idx="28">
                  <c:v>49.14</c:v>
                </c:pt>
                <c:pt idx="29">
                  <c:v>44.85</c:v>
                </c:pt>
                <c:pt idx="30">
                  <c:v>53.82</c:v>
                </c:pt>
                <c:pt idx="31">
                  <c:v>51.23</c:v>
                </c:pt>
                <c:pt idx="32">
                  <c:v>55.54</c:v>
                </c:pt>
                <c:pt idx="33">
                  <c:v>54.41</c:v>
                </c:pt>
                <c:pt idx="34">
                  <c:v>48.9</c:v>
                </c:pt>
                <c:pt idx="35">
                  <c:v>47.91</c:v>
                </c:pt>
                <c:pt idx="36">
                  <c:v>51.75</c:v>
                </c:pt>
                <c:pt idx="37">
                  <c:v>51.21</c:v>
                </c:pt>
                <c:pt idx="38">
                  <c:v>50.99</c:v>
                </c:pt>
                <c:pt idx="39">
                  <c:v>48.52</c:v>
                </c:pt>
                <c:pt idx="40">
                  <c:v>49.21</c:v>
                </c:pt>
                <c:pt idx="41">
                  <c:v>49.08</c:v>
                </c:pt>
                <c:pt idx="42">
                  <c:v>39.1</c:v>
                </c:pt>
                <c:pt idx="43">
                  <c:v>56.98</c:v>
                </c:pt>
                <c:pt idx="45">
                  <c:v>61.34</c:v>
                </c:pt>
                <c:pt idx="46">
                  <c:v>70.02</c:v>
                </c:pt>
                <c:pt idx="47">
                  <c:v>69.34</c:v>
                </c:pt>
                <c:pt idx="48">
                  <c:v>69.459999999999994</c:v>
                </c:pt>
                <c:pt idx="49">
                  <c:v>71.38</c:v>
                </c:pt>
                <c:pt idx="50">
                  <c:v>74.87</c:v>
                </c:pt>
                <c:pt idx="51">
                  <c:v>73.28</c:v>
                </c:pt>
                <c:pt idx="54">
                  <c:v>77.56</c:v>
                </c:pt>
                <c:pt idx="55">
                  <c:v>73.569999999999993</c:v>
                </c:pt>
                <c:pt idx="56">
                  <c:v>70.36</c:v>
                </c:pt>
                <c:pt idx="57">
                  <c:v>67.010000000000005</c:v>
                </c:pt>
                <c:pt idx="58">
                  <c:v>65.25</c:v>
                </c:pt>
                <c:pt idx="59">
                  <c:v>58.37</c:v>
                </c:pt>
                <c:pt idx="60">
                  <c:v>71.83</c:v>
                </c:pt>
                <c:pt idx="61">
                  <c:v>77.2</c:v>
                </c:pt>
                <c:pt idx="62">
                  <c:v>73.510000000000005</c:v>
                </c:pt>
                <c:pt idx="63">
                  <c:v>67.930000000000007</c:v>
                </c:pt>
                <c:pt idx="64">
                  <c:v>82.14</c:v>
                </c:pt>
                <c:pt idx="65">
                  <c:v>79.540000000000006</c:v>
                </c:pt>
                <c:pt idx="66">
                  <c:v>78.8</c:v>
                </c:pt>
                <c:pt idx="67">
                  <c:v>82.05</c:v>
                </c:pt>
                <c:pt idx="68">
                  <c:v>69.98</c:v>
                </c:pt>
                <c:pt idx="69">
                  <c:v>73.78</c:v>
                </c:pt>
                <c:pt idx="70">
                  <c:v>73.62</c:v>
                </c:pt>
                <c:pt idx="71">
                  <c:v>73.42</c:v>
                </c:pt>
                <c:pt idx="72">
                  <c:v>77.34</c:v>
                </c:pt>
                <c:pt idx="73">
                  <c:v>69.84</c:v>
                </c:pt>
                <c:pt idx="74">
                  <c:v>61.6</c:v>
                </c:pt>
                <c:pt idx="75">
                  <c:v>60.32</c:v>
                </c:pt>
                <c:pt idx="76">
                  <c:v>58.11</c:v>
                </c:pt>
                <c:pt idx="77">
                  <c:v>56.14</c:v>
                </c:pt>
                <c:pt idx="78">
                  <c:v>44.54</c:v>
                </c:pt>
                <c:pt idx="79">
                  <c:v>44.06</c:v>
                </c:pt>
                <c:pt idx="80">
                  <c:v>41.28</c:v>
                </c:pt>
                <c:pt idx="81">
                  <c:v>45.83</c:v>
                </c:pt>
                <c:pt idx="82">
                  <c:v>49.63</c:v>
                </c:pt>
                <c:pt idx="83">
                  <c:v>41.3</c:v>
                </c:pt>
                <c:pt idx="84">
                  <c:v>40.020000000000003</c:v>
                </c:pt>
                <c:pt idx="86">
                  <c:v>47.59</c:v>
                </c:pt>
                <c:pt idx="87">
                  <c:v>49.43</c:v>
                </c:pt>
                <c:pt idx="88">
                  <c:v>52.85</c:v>
                </c:pt>
                <c:pt idx="89">
                  <c:v>57.76</c:v>
                </c:pt>
                <c:pt idx="90">
                  <c:v>56.16</c:v>
                </c:pt>
                <c:pt idx="91">
                  <c:v>54.49</c:v>
                </c:pt>
                <c:pt idx="92">
                  <c:v>57.48</c:v>
                </c:pt>
                <c:pt idx="93">
                  <c:v>52.52</c:v>
                </c:pt>
                <c:pt idx="94">
                  <c:v>58.95</c:v>
                </c:pt>
                <c:pt idx="95">
                  <c:v>59.69</c:v>
                </c:pt>
                <c:pt idx="96">
                  <c:v>55.64</c:v>
                </c:pt>
                <c:pt idx="97">
                  <c:v>56.44</c:v>
                </c:pt>
                <c:pt idx="98">
                  <c:v>48.24</c:v>
                </c:pt>
                <c:pt idx="99">
                  <c:v>52.83</c:v>
                </c:pt>
                <c:pt idx="100">
                  <c:v>54.11</c:v>
                </c:pt>
                <c:pt idx="101">
                  <c:v>53.82</c:v>
                </c:pt>
                <c:pt idx="102">
                  <c:v>63.68</c:v>
                </c:pt>
                <c:pt idx="103">
                  <c:v>62.85</c:v>
                </c:pt>
                <c:pt idx="104">
                  <c:v>61.78</c:v>
                </c:pt>
                <c:pt idx="105">
                  <c:v>50.74</c:v>
                </c:pt>
                <c:pt idx="106">
                  <c:v>50.78</c:v>
                </c:pt>
                <c:pt idx="107">
                  <c:v>49.5</c:v>
                </c:pt>
                <c:pt idx="108">
                  <c:v>50.2</c:v>
                </c:pt>
                <c:pt idx="109">
                  <c:v>52.12</c:v>
                </c:pt>
                <c:pt idx="110">
                  <c:v>48.22</c:v>
                </c:pt>
                <c:pt idx="111">
                  <c:v>56.67</c:v>
                </c:pt>
                <c:pt idx="112">
                  <c:v>51.45</c:v>
                </c:pt>
                <c:pt idx="113">
                  <c:v>50.18</c:v>
                </c:pt>
                <c:pt idx="114">
                  <c:v>50.42</c:v>
                </c:pt>
                <c:pt idx="115">
                  <c:v>42.54</c:v>
                </c:pt>
                <c:pt idx="116">
                  <c:v>52.03</c:v>
                </c:pt>
                <c:pt idx="117">
                  <c:v>54.19</c:v>
                </c:pt>
                <c:pt idx="118">
                  <c:v>56.61</c:v>
                </c:pt>
                <c:pt idx="119">
                  <c:v>52.65</c:v>
                </c:pt>
                <c:pt idx="120">
                  <c:v>53.35</c:v>
                </c:pt>
                <c:pt idx="121">
                  <c:v>53.6</c:v>
                </c:pt>
                <c:pt idx="122">
                  <c:v>46.47</c:v>
                </c:pt>
                <c:pt idx="123">
                  <c:v>48.85</c:v>
                </c:pt>
                <c:pt idx="124">
                  <c:v>37.54</c:v>
                </c:pt>
                <c:pt idx="125">
                  <c:v>31.45</c:v>
                </c:pt>
                <c:pt idx="126">
                  <c:v>33.36</c:v>
                </c:pt>
                <c:pt idx="127">
                  <c:v>37.43</c:v>
                </c:pt>
                <c:pt idx="128">
                  <c:v>36.51</c:v>
                </c:pt>
                <c:pt idx="129">
                  <c:v>45.83</c:v>
                </c:pt>
                <c:pt idx="130">
                  <c:v>44.34</c:v>
                </c:pt>
                <c:pt idx="131">
                  <c:v>44.5</c:v>
                </c:pt>
                <c:pt idx="132">
                  <c:v>43.19</c:v>
                </c:pt>
                <c:pt idx="133">
                  <c:v>44.44</c:v>
                </c:pt>
                <c:pt idx="134">
                  <c:v>48.5</c:v>
                </c:pt>
                <c:pt idx="135">
                  <c:v>46.55</c:v>
                </c:pt>
                <c:pt idx="136">
                  <c:v>48.52</c:v>
                </c:pt>
                <c:pt idx="137">
                  <c:v>44.38</c:v>
                </c:pt>
                <c:pt idx="138">
                  <c:v>47.45</c:v>
                </c:pt>
                <c:pt idx="139">
                  <c:v>41.43</c:v>
                </c:pt>
                <c:pt idx="140">
                  <c:v>30.82</c:v>
                </c:pt>
                <c:pt idx="141">
                  <c:v>38.1</c:v>
                </c:pt>
                <c:pt idx="142">
                  <c:v>40.840000000000003</c:v>
                </c:pt>
                <c:pt idx="148">
                  <c:v>46.64</c:v>
                </c:pt>
                <c:pt idx="149">
                  <c:v>43.64</c:v>
                </c:pt>
                <c:pt idx="150">
                  <c:v>43.35</c:v>
                </c:pt>
                <c:pt idx="151">
                  <c:v>44.34</c:v>
                </c:pt>
                <c:pt idx="152">
                  <c:v>45.5</c:v>
                </c:pt>
                <c:pt idx="153">
                  <c:v>46.77</c:v>
                </c:pt>
                <c:pt idx="154">
                  <c:v>44.75</c:v>
                </c:pt>
                <c:pt idx="155">
                  <c:v>37.590000000000003</c:v>
                </c:pt>
                <c:pt idx="156">
                  <c:v>37.72</c:v>
                </c:pt>
                <c:pt idx="157">
                  <c:v>45.18</c:v>
                </c:pt>
                <c:pt idx="158">
                  <c:v>46.1</c:v>
                </c:pt>
                <c:pt idx="159">
                  <c:v>41.34</c:v>
                </c:pt>
                <c:pt idx="160">
                  <c:v>39.92</c:v>
                </c:pt>
                <c:pt idx="161">
                  <c:v>41.99</c:v>
                </c:pt>
                <c:pt idx="162">
                  <c:v>43.89</c:v>
                </c:pt>
                <c:pt idx="163">
                  <c:v>47.23</c:v>
                </c:pt>
                <c:pt idx="164">
                  <c:v>34.950000000000003</c:v>
                </c:pt>
                <c:pt idx="165">
                  <c:v>34.51</c:v>
                </c:pt>
                <c:pt idx="166">
                  <c:v>38.700000000000003</c:v>
                </c:pt>
                <c:pt idx="167">
                  <c:v>41.76</c:v>
                </c:pt>
                <c:pt idx="168">
                  <c:v>39.700000000000003</c:v>
                </c:pt>
                <c:pt idx="169">
                  <c:v>33.79</c:v>
                </c:pt>
                <c:pt idx="170">
                  <c:v>29.29</c:v>
                </c:pt>
                <c:pt idx="171">
                  <c:v>35.799999999999997</c:v>
                </c:pt>
                <c:pt idx="172">
                  <c:v>39.619999999999997</c:v>
                </c:pt>
                <c:pt idx="173">
                  <c:v>41.53</c:v>
                </c:pt>
                <c:pt idx="174">
                  <c:v>44.53</c:v>
                </c:pt>
                <c:pt idx="175">
                  <c:v>50.34</c:v>
                </c:pt>
                <c:pt idx="176">
                  <c:v>49.4</c:v>
                </c:pt>
                <c:pt idx="177">
                  <c:v>49.26</c:v>
                </c:pt>
                <c:pt idx="178">
                  <c:v>51.03</c:v>
                </c:pt>
                <c:pt idx="179">
                  <c:v>54.21</c:v>
                </c:pt>
                <c:pt idx="180">
                  <c:v>55.4</c:v>
                </c:pt>
                <c:pt idx="181">
                  <c:v>55.07</c:v>
                </c:pt>
                <c:pt idx="183">
                  <c:v>55.11</c:v>
                </c:pt>
                <c:pt idx="184">
                  <c:v>48.17</c:v>
                </c:pt>
                <c:pt idx="185">
                  <c:v>53.34</c:v>
                </c:pt>
                <c:pt idx="186">
                  <c:v>48.4</c:v>
                </c:pt>
                <c:pt idx="187">
                  <c:v>46.07</c:v>
                </c:pt>
                <c:pt idx="188">
                  <c:v>46.18</c:v>
                </c:pt>
                <c:pt idx="189">
                  <c:v>49.59</c:v>
                </c:pt>
                <c:pt idx="190">
                  <c:v>51.98</c:v>
                </c:pt>
                <c:pt idx="191">
                  <c:v>49.34</c:v>
                </c:pt>
                <c:pt idx="192">
                  <c:v>44.31</c:v>
                </c:pt>
                <c:pt idx="193">
                  <c:v>51.38</c:v>
                </c:pt>
                <c:pt idx="194">
                  <c:v>48.86</c:v>
                </c:pt>
                <c:pt idx="195">
                  <c:v>43</c:v>
                </c:pt>
                <c:pt idx="196">
                  <c:v>45.79</c:v>
                </c:pt>
                <c:pt idx="197">
                  <c:v>51.48</c:v>
                </c:pt>
                <c:pt idx="198">
                  <c:v>52.92</c:v>
                </c:pt>
                <c:pt idx="199">
                  <c:v>57.56</c:v>
                </c:pt>
                <c:pt idx="200">
                  <c:v>65.150000000000006</c:v>
                </c:pt>
                <c:pt idx="201">
                  <c:v>60.7</c:v>
                </c:pt>
                <c:pt idx="202">
                  <c:v>64.81</c:v>
                </c:pt>
                <c:pt idx="203">
                  <c:v>70.08</c:v>
                </c:pt>
                <c:pt idx="204">
                  <c:v>68.72</c:v>
                </c:pt>
                <c:pt idx="205">
                  <c:v>73.430000000000007</c:v>
                </c:pt>
                <c:pt idx="206">
                  <c:v>73.33</c:v>
                </c:pt>
                <c:pt idx="207">
                  <c:v>72.47</c:v>
                </c:pt>
                <c:pt idx="208">
                  <c:v>66.819999999999993</c:v>
                </c:pt>
                <c:pt idx="209">
                  <c:v>64.180000000000007</c:v>
                </c:pt>
                <c:pt idx="210">
                  <c:v>63.74</c:v>
                </c:pt>
                <c:pt idx="211">
                  <c:v>62.52</c:v>
                </c:pt>
                <c:pt idx="212">
                  <c:v>70.75</c:v>
                </c:pt>
                <c:pt idx="213">
                  <c:v>80.569999999999993</c:v>
                </c:pt>
                <c:pt idx="214">
                  <c:v>82.13</c:v>
                </c:pt>
                <c:pt idx="215">
                  <c:v>82.42</c:v>
                </c:pt>
                <c:pt idx="216">
                  <c:v>78.930000000000007</c:v>
                </c:pt>
                <c:pt idx="217">
                  <c:v>75.959999999999994</c:v>
                </c:pt>
                <c:pt idx="218">
                  <c:v>72.400000000000006</c:v>
                </c:pt>
                <c:pt idx="219">
                  <c:v>71.099999999999994</c:v>
                </c:pt>
                <c:pt idx="220">
                  <c:v>69.55</c:v>
                </c:pt>
                <c:pt idx="221">
                  <c:v>62.74</c:v>
                </c:pt>
                <c:pt idx="222">
                  <c:v>66.400000000000006</c:v>
                </c:pt>
                <c:pt idx="223">
                  <c:v>64.39</c:v>
                </c:pt>
                <c:pt idx="224">
                  <c:v>66.72</c:v>
                </c:pt>
                <c:pt idx="225">
                  <c:v>68.17</c:v>
                </c:pt>
                <c:pt idx="226">
                  <c:v>69.88</c:v>
                </c:pt>
                <c:pt idx="227">
                  <c:v>63.97</c:v>
                </c:pt>
                <c:pt idx="228">
                  <c:v>64.739999999999995</c:v>
                </c:pt>
                <c:pt idx="229">
                  <c:v>62.09</c:v>
                </c:pt>
                <c:pt idx="230">
                  <c:v>55.5</c:v>
                </c:pt>
                <c:pt idx="231">
                  <c:v>56.06</c:v>
                </c:pt>
                <c:pt idx="233">
                  <c:v>51.71</c:v>
                </c:pt>
                <c:pt idx="234">
                  <c:v>51.79</c:v>
                </c:pt>
                <c:pt idx="236">
                  <c:v>44.2</c:v>
                </c:pt>
                <c:pt idx="237">
                  <c:v>48.71</c:v>
                </c:pt>
                <c:pt idx="238">
                  <c:v>49.31</c:v>
                </c:pt>
                <c:pt idx="239">
                  <c:v>49.45</c:v>
                </c:pt>
                <c:pt idx="240">
                  <c:v>51.81</c:v>
                </c:pt>
                <c:pt idx="241">
                  <c:v>52.69</c:v>
                </c:pt>
                <c:pt idx="242">
                  <c:v>40.98</c:v>
                </c:pt>
                <c:pt idx="243">
                  <c:v>46.12</c:v>
                </c:pt>
                <c:pt idx="244">
                  <c:v>51.89</c:v>
                </c:pt>
                <c:pt idx="245">
                  <c:v>53.38</c:v>
                </c:pt>
                <c:pt idx="246">
                  <c:v>52.3</c:v>
                </c:pt>
                <c:pt idx="247">
                  <c:v>54.35</c:v>
                </c:pt>
                <c:pt idx="248">
                  <c:v>49.67</c:v>
                </c:pt>
                <c:pt idx="249">
                  <c:v>52.29</c:v>
                </c:pt>
                <c:pt idx="250">
                  <c:v>50.1</c:v>
                </c:pt>
                <c:pt idx="251">
                  <c:v>52.82</c:v>
                </c:pt>
                <c:pt idx="252">
                  <c:v>55.85</c:v>
                </c:pt>
                <c:pt idx="253">
                  <c:v>53.19</c:v>
                </c:pt>
                <c:pt idx="254">
                  <c:v>56.79</c:v>
                </c:pt>
                <c:pt idx="257">
                  <c:v>63.99</c:v>
                </c:pt>
                <c:pt idx="259">
                  <c:v>59.48</c:v>
                </c:pt>
                <c:pt idx="260">
                  <c:v>55.89</c:v>
                </c:pt>
                <c:pt idx="261">
                  <c:v>55.4</c:v>
                </c:pt>
                <c:pt idx="262">
                  <c:v>63.16</c:v>
                </c:pt>
                <c:pt idx="263">
                  <c:v>59.94</c:v>
                </c:pt>
                <c:pt idx="264">
                  <c:v>63.82</c:v>
                </c:pt>
                <c:pt idx="265">
                  <c:v>67.150000000000006</c:v>
                </c:pt>
                <c:pt idx="266">
                  <c:v>65.290000000000006</c:v>
                </c:pt>
                <c:pt idx="267">
                  <c:v>62.46</c:v>
                </c:pt>
                <c:pt idx="268">
                  <c:v>61.13</c:v>
                </c:pt>
                <c:pt idx="269">
                  <c:v>59.66</c:v>
                </c:pt>
                <c:pt idx="270">
                  <c:v>49.42</c:v>
                </c:pt>
                <c:pt idx="271">
                  <c:v>47.01</c:v>
                </c:pt>
                <c:pt idx="272">
                  <c:v>48.59</c:v>
                </c:pt>
                <c:pt idx="273">
                  <c:v>48.44</c:v>
                </c:pt>
                <c:pt idx="274">
                  <c:v>36.57</c:v>
                </c:pt>
                <c:pt idx="275">
                  <c:v>38.520000000000003</c:v>
                </c:pt>
                <c:pt idx="276">
                  <c:v>45.76</c:v>
                </c:pt>
                <c:pt idx="277">
                  <c:v>52.5</c:v>
                </c:pt>
                <c:pt idx="278">
                  <c:v>45.32</c:v>
                </c:pt>
                <c:pt idx="279">
                  <c:v>42.79</c:v>
                </c:pt>
                <c:pt idx="280">
                  <c:v>43.54</c:v>
                </c:pt>
                <c:pt idx="281">
                  <c:v>47.77</c:v>
                </c:pt>
                <c:pt idx="282">
                  <c:v>50.33</c:v>
                </c:pt>
                <c:pt idx="283">
                  <c:v>53.3</c:v>
                </c:pt>
                <c:pt idx="284">
                  <c:v>53.82</c:v>
                </c:pt>
                <c:pt idx="285">
                  <c:v>56.32</c:v>
                </c:pt>
                <c:pt idx="286">
                  <c:v>53.26</c:v>
                </c:pt>
                <c:pt idx="287">
                  <c:v>56.28</c:v>
                </c:pt>
                <c:pt idx="288">
                  <c:v>61.75</c:v>
                </c:pt>
                <c:pt idx="289">
                  <c:v>64.180000000000007</c:v>
                </c:pt>
                <c:pt idx="290">
                  <c:v>57.77</c:v>
                </c:pt>
                <c:pt idx="291">
                  <c:v>59.57</c:v>
                </c:pt>
                <c:pt idx="292">
                  <c:v>54.47</c:v>
                </c:pt>
                <c:pt idx="293">
                  <c:v>54.16</c:v>
                </c:pt>
                <c:pt idx="294">
                  <c:v>55.58</c:v>
                </c:pt>
                <c:pt idx="295">
                  <c:v>47.83</c:v>
                </c:pt>
                <c:pt idx="296">
                  <c:v>49.94</c:v>
                </c:pt>
                <c:pt idx="297">
                  <c:v>50.43</c:v>
                </c:pt>
                <c:pt idx="298">
                  <c:v>55.05</c:v>
                </c:pt>
                <c:pt idx="299">
                  <c:v>52.75</c:v>
                </c:pt>
                <c:pt idx="300">
                  <c:v>51.73</c:v>
                </c:pt>
                <c:pt idx="302">
                  <c:v>49.85</c:v>
                </c:pt>
                <c:pt idx="303">
                  <c:v>53.64</c:v>
                </c:pt>
                <c:pt idx="304">
                  <c:v>62.12</c:v>
                </c:pt>
                <c:pt idx="305">
                  <c:v>61.36</c:v>
                </c:pt>
                <c:pt idx="306">
                  <c:v>64.900000000000006</c:v>
                </c:pt>
                <c:pt idx="307">
                  <c:v>61.36</c:v>
                </c:pt>
                <c:pt idx="308">
                  <c:v>68.099999999999994</c:v>
                </c:pt>
                <c:pt idx="309">
                  <c:v>61.4</c:v>
                </c:pt>
                <c:pt idx="310">
                  <c:v>55.28</c:v>
                </c:pt>
                <c:pt idx="311">
                  <c:v>59.21</c:v>
                </c:pt>
                <c:pt idx="312">
                  <c:v>59.11</c:v>
                </c:pt>
                <c:pt idx="313">
                  <c:v>51.26</c:v>
                </c:pt>
                <c:pt idx="314">
                  <c:v>49.84</c:v>
                </c:pt>
                <c:pt idx="315">
                  <c:v>54.29</c:v>
                </c:pt>
                <c:pt idx="316">
                  <c:v>49.8</c:v>
                </c:pt>
                <c:pt idx="317">
                  <c:v>48.35</c:v>
                </c:pt>
                <c:pt idx="318">
                  <c:v>52.97</c:v>
                </c:pt>
                <c:pt idx="319">
                  <c:v>52.88</c:v>
                </c:pt>
                <c:pt idx="320">
                  <c:v>51.09</c:v>
                </c:pt>
                <c:pt idx="321">
                  <c:v>53.06</c:v>
                </c:pt>
                <c:pt idx="322">
                  <c:v>56.19</c:v>
                </c:pt>
                <c:pt idx="327">
                  <c:v>50.48</c:v>
                </c:pt>
                <c:pt idx="328">
                  <c:v>44.51</c:v>
                </c:pt>
                <c:pt idx="329">
                  <c:v>42.72</c:v>
                </c:pt>
                <c:pt idx="330">
                  <c:v>46.11</c:v>
                </c:pt>
                <c:pt idx="331">
                  <c:v>50.02</c:v>
                </c:pt>
                <c:pt idx="332">
                  <c:v>50.6</c:v>
                </c:pt>
                <c:pt idx="333">
                  <c:v>45.04</c:v>
                </c:pt>
                <c:pt idx="334">
                  <c:v>43.04</c:v>
                </c:pt>
                <c:pt idx="335">
                  <c:v>42.64</c:v>
                </c:pt>
                <c:pt idx="336">
                  <c:v>45.73</c:v>
                </c:pt>
                <c:pt idx="337">
                  <c:v>43.62</c:v>
                </c:pt>
                <c:pt idx="338">
                  <c:v>45.21</c:v>
                </c:pt>
                <c:pt idx="339">
                  <c:v>43.84</c:v>
                </c:pt>
                <c:pt idx="340">
                  <c:v>42.79</c:v>
                </c:pt>
                <c:pt idx="341">
                  <c:v>42.87</c:v>
                </c:pt>
                <c:pt idx="342">
                  <c:v>46.26</c:v>
                </c:pt>
                <c:pt idx="343">
                  <c:v>42.76</c:v>
                </c:pt>
                <c:pt idx="345">
                  <c:v>39.86</c:v>
                </c:pt>
                <c:pt idx="346">
                  <c:v>45.86</c:v>
                </c:pt>
                <c:pt idx="347">
                  <c:v>48.59</c:v>
                </c:pt>
                <c:pt idx="348">
                  <c:v>51.82</c:v>
                </c:pt>
                <c:pt idx="349">
                  <c:v>50.56</c:v>
                </c:pt>
                <c:pt idx="350">
                  <c:v>45.83</c:v>
                </c:pt>
                <c:pt idx="351">
                  <c:v>48.82</c:v>
                </c:pt>
                <c:pt idx="352">
                  <c:v>52.49</c:v>
                </c:pt>
                <c:pt idx="353">
                  <c:v>50.67</c:v>
                </c:pt>
                <c:pt idx="354">
                  <c:v>55.27</c:v>
                </c:pt>
                <c:pt idx="355">
                  <c:v>49.52</c:v>
                </c:pt>
                <c:pt idx="356">
                  <c:v>45.52</c:v>
                </c:pt>
                <c:pt idx="357">
                  <c:v>46.39</c:v>
                </c:pt>
                <c:pt idx="358">
                  <c:v>42.94</c:v>
                </c:pt>
                <c:pt idx="359">
                  <c:v>45.52</c:v>
                </c:pt>
                <c:pt idx="360">
                  <c:v>51.58</c:v>
                </c:pt>
                <c:pt idx="361">
                  <c:v>59.16</c:v>
                </c:pt>
                <c:pt idx="362">
                  <c:v>62.48</c:v>
                </c:pt>
                <c:pt idx="363">
                  <c:v>69.290000000000006</c:v>
                </c:pt>
                <c:pt idx="364">
                  <c:v>73.540000000000006</c:v>
                </c:pt>
                <c:pt idx="365">
                  <c:v>75.05</c:v>
                </c:pt>
                <c:pt idx="366">
                  <c:v>77.23</c:v>
                </c:pt>
                <c:pt idx="367">
                  <c:v>75.48</c:v>
                </c:pt>
                <c:pt idx="368">
                  <c:v>68.13</c:v>
                </c:pt>
                <c:pt idx="369">
                  <c:v>62.71</c:v>
                </c:pt>
                <c:pt idx="370">
                  <c:v>61.98</c:v>
                </c:pt>
                <c:pt idx="371">
                  <c:v>57.95</c:v>
                </c:pt>
                <c:pt idx="372">
                  <c:v>55.33</c:v>
                </c:pt>
                <c:pt idx="373">
                  <c:v>44.88</c:v>
                </c:pt>
                <c:pt idx="374">
                  <c:v>44.11</c:v>
                </c:pt>
                <c:pt idx="375">
                  <c:v>44.61</c:v>
                </c:pt>
                <c:pt idx="376">
                  <c:v>44.66</c:v>
                </c:pt>
                <c:pt idx="377">
                  <c:v>48.25</c:v>
                </c:pt>
                <c:pt idx="378">
                  <c:v>52.4</c:v>
                </c:pt>
                <c:pt idx="379">
                  <c:v>54.78</c:v>
                </c:pt>
                <c:pt idx="380">
                  <c:v>43.34</c:v>
                </c:pt>
                <c:pt idx="381">
                  <c:v>54.47</c:v>
                </c:pt>
                <c:pt idx="382">
                  <c:v>59.08</c:v>
                </c:pt>
                <c:pt idx="383">
                  <c:v>52.29</c:v>
                </c:pt>
                <c:pt idx="384">
                  <c:v>58.51</c:v>
                </c:pt>
                <c:pt idx="385">
                  <c:v>59.87</c:v>
                </c:pt>
                <c:pt idx="386">
                  <c:v>59</c:v>
                </c:pt>
                <c:pt idx="387">
                  <c:v>59.49</c:v>
                </c:pt>
                <c:pt idx="388">
                  <c:v>58.3</c:v>
                </c:pt>
                <c:pt idx="389">
                  <c:v>58.71</c:v>
                </c:pt>
                <c:pt idx="390">
                  <c:v>61.25</c:v>
                </c:pt>
                <c:pt idx="391">
                  <c:v>59.84</c:v>
                </c:pt>
                <c:pt idx="392">
                  <c:v>55.49</c:v>
                </c:pt>
                <c:pt idx="393">
                  <c:v>63.9</c:v>
                </c:pt>
                <c:pt idx="394">
                  <c:v>57.86</c:v>
                </c:pt>
                <c:pt idx="395">
                  <c:v>58.23</c:v>
                </c:pt>
                <c:pt idx="396">
                  <c:v>55.12</c:v>
                </c:pt>
                <c:pt idx="397">
                  <c:v>58.9</c:v>
                </c:pt>
                <c:pt idx="398">
                  <c:v>52.09</c:v>
                </c:pt>
                <c:pt idx="399">
                  <c:v>52.28</c:v>
                </c:pt>
                <c:pt idx="400">
                  <c:v>48.2</c:v>
                </c:pt>
                <c:pt idx="401">
                  <c:v>46.74</c:v>
                </c:pt>
                <c:pt idx="403">
                  <c:v>44.17</c:v>
                </c:pt>
                <c:pt idx="404">
                  <c:v>53.68</c:v>
                </c:pt>
                <c:pt idx="405">
                  <c:v>52.07</c:v>
                </c:pt>
                <c:pt idx="407">
                  <c:v>44.28</c:v>
                </c:pt>
                <c:pt idx="409">
                  <c:v>47.29</c:v>
                </c:pt>
                <c:pt idx="410">
                  <c:v>50.12</c:v>
                </c:pt>
                <c:pt idx="411">
                  <c:v>61.1</c:v>
                </c:pt>
                <c:pt idx="412">
                  <c:v>53.36</c:v>
                </c:pt>
                <c:pt idx="413">
                  <c:v>63.37</c:v>
                </c:pt>
                <c:pt idx="414">
                  <c:v>63.09</c:v>
                </c:pt>
                <c:pt idx="415">
                  <c:v>63.02</c:v>
                </c:pt>
                <c:pt idx="416">
                  <c:v>67.58</c:v>
                </c:pt>
                <c:pt idx="420">
                  <c:v>70.34</c:v>
                </c:pt>
                <c:pt idx="421">
                  <c:v>68.08</c:v>
                </c:pt>
                <c:pt idx="422">
                  <c:v>66.12</c:v>
                </c:pt>
                <c:pt idx="423">
                  <c:v>62.96</c:v>
                </c:pt>
                <c:pt idx="424">
                  <c:v>63.64</c:v>
                </c:pt>
                <c:pt idx="425">
                  <c:v>68.239999999999995</c:v>
                </c:pt>
                <c:pt idx="426">
                  <c:v>66.87</c:v>
                </c:pt>
                <c:pt idx="427">
                  <c:v>60.84</c:v>
                </c:pt>
                <c:pt idx="428">
                  <c:v>64.459999999999994</c:v>
                </c:pt>
                <c:pt idx="429">
                  <c:v>55.73</c:v>
                </c:pt>
                <c:pt idx="430">
                  <c:v>52.9</c:v>
                </c:pt>
                <c:pt idx="431">
                  <c:v>56.35</c:v>
                </c:pt>
                <c:pt idx="432">
                  <c:v>60.41</c:v>
                </c:pt>
                <c:pt idx="433">
                  <c:v>66.59</c:v>
                </c:pt>
                <c:pt idx="434">
                  <c:v>65.709999999999994</c:v>
                </c:pt>
                <c:pt idx="435">
                  <c:v>64.72</c:v>
                </c:pt>
                <c:pt idx="436">
                  <c:v>61.15</c:v>
                </c:pt>
                <c:pt idx="437">
                  <c:v>60.39</c:v>
                </c:pt>
                <c:pt idx="438">
                  <c:v>57.39</c:v>
                </c:pt>
                <c:pt idx="439">
                  <c:v>56.49</c:v>
                </c:pt>
                <c:pt idx="440">
                  <c:v>52.93</c:v>
                </c:pt>
                <c:pt idx="442">
                  <c:v>55.96</c:v>
                </c:pt>
                <c:pt idx="443">
                  <c:v>55.94</c:v>
                </c:pt>
                <c:pt idx="444">
                  <c:v>52.59</c:v>
                </c:pt>
                <c:pt idx="445">
                  <c:v>54.65</c:v>
                </c:pt>
                <c:pt idx="446">
                  <c:v>57.96</c:v>
                </c:pt>
                <c:pt idx="447">
                  <c:v>55.29</c:v>
                </c:pt>
                <c:pt idx="448">
                  <c:v>39.76</c:v>
                </c:pt>
                <c:pt idx="449">
                  <c:v>40.950000000000003</c:v>
                </c:pt>
                <c:pt idx="450">
                  <c:v>64.540000000000006</c:v>
                </c:pt>
                <c:pt idx="451">
                  <c:v>62.14</c:v>
                </c:pt>
                <c:pt idx="452">
                  <c:v>74.400000000000006</c:v>
                </c:pt>
                <c:pt idx="453">
                  <c:v>73</c:v>
                </c:pt>
                <c:pt idx="454">
                  <c:v>71.72</c:v>
                </c:pt>
                <c:pt idx="455">
                  <c:v>70.16</c:v>
                </c:pt>
                <c:pt idx="456">
                  <c:v>67.05</c:v>
                </c:pt>
                <c:pt idx="457">
                  <c:v>63.11</c:v>
                </c:pt>
                <c:pt idx="458">
                  <c:v>64.42</c:v>
                </c:pt>
                <c:pt idx="459">
                  <c:v>64.41</c:v>
                </c:pt>
                <c:pt idx="460">
                  <c:v>63.52</c:v>
                </c:pt>
                <c:pt idx="461">
                  <c:v>69.56</c:v>
                </c:pt>
                <c:pt idx="462">
                  <c:v>57.81</c:v>
                </c:pt>
                <c:pt idx="463">
                  <c:v>57.44</c:v>
                </c:pt>
                <c:pt idx="464">
                  <c:v>53.29</c:v>
                </c:pt>
                <c:pt idx="465">
                  <c:v>54.56</c:v>
                </c:pt>
                <c:pt idx="466">
                  <c:v>56.24</c:v>
                </c:pt>
                <c:pt idx="467">
                  <c:v>44.15</c:v>
                </c:pt>
                <c:pt idx="468">
                  <c:v>46.14</c:v>
                </c:pt>
                <c:pt idx="469">
                  <c:v>45.08</c:v>
                </c:pt>
                <c:pt idx="470">
                  <c:v>48.32</c:v>
                </c:pt>
                <c:pt idx="471">
                  <c:v>48.44</c:v>
                </c:pt>
                <c:pt idx="472">
                  <c:v>45.3</c:v>
                </c:pt>
                <c:pt idx="473">
                  <c:v>46.3</c:v>
                </c:pt>
                <c:pt idx="474">
                  <c:v>49.82</c:v>
                </c:pt>
                <c:pt idx="475">
                  <c:v>53.76</c:v>
                </c:pt>
                <c:pt idx="476">
                  <c:v>45.84</c:v>
                </c:pt>
                <c:pt idx="477">
                  <c:v>55.8</c:v>
                </c:pt>
                <c:pt idx="478">
                  <c:v>60</c:v>
                </c:pt>
                <c:pt idx="479">
                  <c:v>58.1</c:v>
                </c:pt>
                <c:pt idx="480">
                  <c:v>57.95</c:v>
                </c:pt>
                <c:pt idx="481">
                  <c:v>49.18</c:v>
                </c:pt>
                <c:pt idx="482">
                  <c:v>47.98</c:v>
                </c:pt>
                <c:pt idx="483">
                  <c:v>50.95</c:v>
                </c:pt>
                <c:pt idx="484">
                  <c:v>44.55</c:v>
                </c:pt>
                <c:pt idx="485">
                  <c:v>45.15</c:v>
                </c:pt>
                <c:pt idx="486">
                  <c:v>45.35</c:v>
                </c:pt>
                <c:pt idx="487">
                  <c:v>49.52</c:v>
                </c:pt>
                <c:pt idx="488">
                  <c:v>48.29</c:v>
                </c:pt>
                <c:pt idx="489">
                  <c:v>50.03</c:v>
                </c:pt>
                <c:pt idx="490">
                  <c:v>55.52</c:v>
                </c:pt>
                <c:pt idx="492">
                  <c:v>50.54</c:v>
                </c:pt>
                <c:pt idx="493">
                  <c:v>46.66</c:v>
                </c:pt>
                <c:pt idx="494">
                  <c:v>55.07</c:v>
                </c:pt>
                <c:pt idx="495">
                  <c:v>45.92</c:v>
                </c:pt>
                <c:pt idx="496">
                  <c:v>47.64</c:v>
                </c:pt>
                <c:pt idx="497">
                  <c:v>48.46</c:v>
                </c:pt>
                <c:pt idx="498">
                  <c:v>48.44</c:v>
                </c:pt>
                <c:pt idx="499">
                  <c:v>53.54</c:v>
                </c:pt>
                <c:pt idx="500">
                  <c:v>50.88</c:v>
                </c:pt>
                <c:pt idx="501">
                  <c:v>51.15</c:v>
                </c:pt>
                <c:pt idx="502">
                  <c:v>58.64</c:v>
                </c:pt>
                <c:pt idx="503">
                  <c:v>55.52</c:v>
                </c:pt>
                <c:pt idx="504">
                  <c:v>59.51</c:v>
                </c:pt>
                <c:pt idx="505">
                  <c:v>59.33</c:v>
                </c:pt>
                <c:pt idx="506">
                  <c:v>64.44</c:v>
                </c:pt>
                <c:pt idx="508">
                  <c:v>62.68</c:v>
                </c:pt>
                <c:pt idx="509">
                  <c:v>57.73</c:v>
                </c:pt>
                <c:pt idx="510">
                  <c:v>57.49</c:v>
                </c:pt>
                <c:pt idx="511">
                  <c:v>55.84</c:v>
                </c:pt>
                <c:pt idx="512">
                  <c:v>53.13</c:v>
                </c:pt>
                <c:pt idx="513">
                  <c:v>52.49</c:v>
                </c:pt>
                <c:pt idx="515">
                  <c:v>44.31</c:v>
                </c:pt>
                <c:pt idx="516">
                  <c:v>44.63</c:v>
                </c:pt>
                <c:pt idx="518">
                  <c:v>46.37</c:v>
                </c:pt>
                <c:pt idx="519">
                  <c:v>46.19</c:v>
                </c:pt>
                <c:pt idx="520">
                  <c:v>44.86</c:v>
                </c:pt>
                <c:pt idx="521">
                  <c:v>41.46</c:v>
                </c:pt>
                <c:pt idx="522">
                  <c:v>44.1</c:v>
                </c:pt>
                <c:pt idx="523">
                  <c:v>42.5</c:v>
                </c:pt>
                <c:pt idx="524">
                  <c:v>41.44</c:v>
                </c:pt>
                <c:pt idx="525">
                  <c:v>30.81</c:v>
                </c:pt>
                <c:pt idx="526">
                  <c:v>32.92</c:v>
                </c:pt>
                <c:pt idx="527">
                  <c:v>29.18</c:v>
                </c:pt>
                <c:pt idx="528">
                  <c:v>31.43</c:v>
                </c:pt>
                <c:pt idx="529">
                  <c:v>32.14</c:v>
                </c:pt>
                <c:pt idx="530">
                  <c:v>32</c:v>
                </c:pt>
                <c:pt idx="531">
                  <c:v>35.79</c:v>
                </c:pt>
                <c:pt idx="533">
                  <c:v>41.05</c:v>
                </c:pt>
                <c:pt idx="534">
                  <c:v>43.22</c:v>
                </c:pt>
                <c:pt idx="535">
                  <c:v>39.56</c:v>
                </c:pt>
                <c:pt idx="536">
                  <c:v>42.31</c:v>
                </c:pt>
                <c:pt idx="537">
                  <c:v>35.090000000000003</c:v>
                </c:pt>
                <c:pt idx="538">
                  <c:v>40.049999999999997</c:v>
                </c:pt>
                <c:pt idx="539">
                  <c:v>45.52</c:v>
                </c:pt>
                <c:pt idx="540">
                  <c:v>46.33</c:v>
                </c:pt>
                <c:pt idx="541">
                  <c:v>50.99</c:v>
                </c:pt>
                <c:pt idx="542">
                  <c:v>58.04</c:v>
                </c:pt>
                <c:pt idx="543">
                  <c:v>59.08</c:v>
                </c:pt>
                <c:pt idx="544">
                  <c:v>51.33</c:v>
                </c:pt>
                <c:pt idx="545">
                  <c:v>55.85</c:v>
                </c:pt>
                <c:pt idx="546">
                  <c:v>53.75</c:v>
                </c:pt>
                <c:pt idx="547">
                  <c:v>46.76</c:v>
                </c:pt>
                <c:pt idx="548">
                  <c:v>47.66</c:v>
                </c:pt>
                <c:pt idx="549">
                  <c:v>51.62</c:v>
                </c:pt>
                <c:pt idx="550">
                  <c:v>53</c:v>
                </c:pt>
                <c:pt idx="551">
                  <c:v>59.08</c:v>
                </c:pt>
                <c:pt idx="552">
                  <c:v>52.7</c:v>
                </c:pt>
                <c:pt idx="553">
                  <c:v>50.92</c:v>
                </c:pt>
                <c:pt idx="554">
                  <c:v>51.36</c:v>
                </c:pt>
                <c:pt idx="555">
                  <c:v>55.72</c:v>
                </c:pt>
                <c:pt idx="556">
                  <c:v>55.85</c:v>
                </c:pt>
                <c:pt idx="557">
                  <c:v>55.69</c:v>
                </c:pt>
                <c:pt idx="558">
                  <c:v>54.76</c:v>
                </c:pt>
                <c:pt idx="559">
                  <c:v>53.86</c:v>
                </c:pt>
                <c:pt idx="561">
                  <c:v>60.02</c:v>
                </c:pt>
                <c:pt idx="562">
                  <c:v>56.84</c:v>
                </c:pt>
                <c:pt idx="563">
                  <c:v>54.62</c:v>
                </c:pt>
                <c:pt idx="564">
                  <c:v>59.94</c:v>
                </c:pt>
                <c:pt idx="565">
                  <c:v>64.3</c:v>
                </c:pt>
                <c:pt idx="566">
                  <c:v>65.33</c:v>
                </c:pt>
                <c:pt idx="567">
                  <c:v>65.849999999999994</c:v>
                </c:pt>
                <c:pt idx="568">
                  <c:v>77.400000000000006</c:v>
                </c:pt>
                <c:pt idx="569">
                  <c:v>78.75</c:v>
                </c:pt>
                <c:pt idx="570">
                  <c:v>71.2</c:v>
                </c:pt>
                <c:pt idx="571">
                  <c:v>66.91</c:v>
                </c:pt>
                <c:pt idx="572">
                  <c:v>64.47</c:v>
                </c:pt>
                <c:pt idx="573">
                  <c:v>71.03</c:v>
                </c:pt>
                <c:pt idx="576">
                  <c:v>66.010000000000005</c:v>
                </c:pt>
                <c:pt idx="577">
                  <c:v>74.569999999999993</c:v>
                </c:pt>
                <c:pt idx="578">
                  <c:v>71.36</c:v>
                </c:pt>
                <c:pt idx="579">
                  <c:v>73.41</c:v>
                </c:pt>
                <c:pt idx="580">
                  <c:v>77.67</c:v>
                </c:pt>
                <c:pt idx="581">
                  <c:v>74.239999999999995</c:v>
                </c:pt>
                <c:pt idx="582">
                  <c:v>64.790000000000006</c:v>
                </c:pt>
                <c:pt idx="583">
                  <c:v>61.77</c:v>
                </c:pt>
                <c:pt idx="584">
                  <c:v>56.27</c:v>
                </c:pt>
                <c:pt idx="585">
                  <c:v>56.87</c:v>
                </c:pt>
                <c:pt idx="586">
                  <c:v>49.95</c:v>
                </c:pt>
                <c:pt idx="587">
                  <c:v>41.51</c:v>
                </c:pt>
                <c:pt idx="588">
                  <c:v>39.520000000000003</c:v>
                </c:pt>
                <c:pt idx="589">
                  <c:v>41.16</c:v>
                </c:pt>
                <c:pt idx="590">
                  <c:v>40.83</c:v>
                </c:pt>
                <c:pt idx="591">
                  <c:v>41.18</c:v>
                </c:pt>
                <c:pt idx="592">
                  <c:v>37.700000000000003</c:v>
                </c:pt>
                <c:pt idx="593">
                  <c:v>36.18</c:v>
                </c:pt>
                <c:pt idx="594">
                  <c:v>40.32</c:v>
                </c:pt>
                <c:pt idx="595">
                  <c:v>40</c:v>
                </c:pt>
                <c:pt idx="596">
                  <c:v>37.92</c:v>
                </c:pt>
                <c:pt idx="597">
                  <c:v>39.03</c:v>
                </c:pt>
                <c:pt idx="598">
                  <c:v>40.020000000000003</c:v>
                </c:pt>
                <c:pt idx="599">
                  <c:v>37.270000000000003</c:v>
                </c:pt>
                <c:pt idx="600">
                  <c:v>38.25</c:v>
                </c:pt>
                <c:pt idx="601">
                  <c:v>39.22</c:v>
                </c:pt>
                <c:pt idx="602">
                  <c:v>39.270000000000003</c:v>
                </c:pt>
                <c:pt idx="603">
                  <c:v>43.64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10-4147-BE51-D1940DA5F549}"/>
            </c:ext>
          </c:extLst>
        </c:ser>
        <c:ser>
          <c:idx val="1"/>
          <c:order val="1"/>
          <c:tx>
            <c:strRef>
              <c:f>'미국 RSI'!$K$1</c:f>
              <c:strCache>
                <c:ptCount val="1"/>
                <c:pt idx="0">
                  <c:v>통신서비스(US)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RSI'!$K$69:$K$3068</c:f>
              <c:numCache>
                <c:formatCode>0.00</c:formatCode>
                <c:ptCount val="3000"/>
                <c:pt idx="0">
                  <c:v>55.16</c:v>
                </c:pt>
                <c:pt idx="1">
                  <c:v>54.01</c:v>
                </c:pt>
                <c:pt idx="2">
                  <c:v>49.47</c:v>
                </c:pt>
                <c:pt idx="3">
                  <c:v>51.55</c:v>
                </c:pt>
                <c:pt idx="4">
                  <c:v>51.81</c:v>
                </c:pt>
                <c:pt idx="5">
                  <c:v>50.76</c:v>
                </c:pt>
                <c:pt idx="6">
                  <c:v>58.97</c:v>
                </c:pt>
                <c:pt idx="7">
                  <c:v>61.42</c:v>
                </c:pt>
                <c:pt idx="8">
                  <c:v>59.11</c:v>
                </c:pt>
                <c:pt idx="9">
                  <c:v>67.39</c:v>
                </c:pt>
                <c:pt idx="10">
                  <c:v>69.38</c:v>
                </c:pt>
                <c:pt idx="11">
                  <c:v>68.72</c:v>
                </c:pt>
                <c:pt idx="12">
                  <c:v>64.89</c:v>
                </c:pt>
                <c:pt idx="13">
                  <c:v>62.57</c:v>
                </c:pt>
                <c:pt idx="14">
                  <c:v>56.81</c:v>
                </c:pt>
                <c:pt idx="15">
                  <c:v>53.49</c:v>
                </c:pt>
                <c:pt idx="16">
                  <c:v>54.93</c:v>
                </c:pt>
                <c:pt idx="17">
                  <c:v>53.25</c:v>
                </c:pt>
                <c:pt idx="18">
                  <c:v>45</c:v>
                </c:pt>
                <c:pt idx="19">
                  <c:v>44.73</c:v>
                </c:pt>
                <c:pt idx="21">
                  <c:v>44.47</c:v>
                </c:pt>
                <c:pt idx="22">
                  <c:v>42.57</c:v>
                </c:pt>
                <c:pt idx="23">
                  <c:v>41.03</c:v>
                </c:pt>
                <c:pt idx="24">
                  <c:v>27.16</c:v>
                </c:pt>
                <c:pt idx="25">
                  <c:v>21.74</c:v>
                </c:pt>
                <c:pt idx="26">
                  <c:v>25.07</c:v>
                </c:pt>
                <c:pt idx="27">
                  <c:v>31.81</c:v>
                </c:pt>
                <c:pt idx="28">
                  <c:v>29.74</c:v>
                </c:pt>
                <c:pt idx="29">
                  <c:v>34.72</c:v>
                </c:pt>
                <c:pt idx="30">
                  <c:v>31.48</c:v>
                </c:pt>
                <c:pt idx="31">
                  <c:v>34.49</c:v>
                </c:pt>
                <c:pt idx="32">
                  <c:v>36.33</c:v>
                </c:pt>
                <c:pt idx="33">
                  <c:v>43.4</c:v>
                </c:pt>
                <c:pt idx="34">
                  <c:v>43.16</c:v>
                </c:pt>
                <c:pt idx="35">
                  <c:v>37.76</c:v>
                </c:pt>
                <c:pt idx="36">
                  <c:v>41.15</c:v>
                </c:pt>
                <c:pt idx="37">
                  <c:v>49.9</c:v>
                </c:pt>
                <c:pt idx="38">
                  <c:v>52.17</c:v>
                </c:pt>
                <c:pt idx="39">
                  <c:v>53.23</c:v>
                </c:pt>
                <c:pt idx="40">
                  <c:v>52.73</c:v>
                </c:pt>
                <c:pt idx="41">
                  <c:v>58.37</c:v>
                </c:pt>
                <c:pt idx="42">
                  <c:v>60.52</c:v>
                </c:pt>
                <c:pt idx="43">
                  <c:v>57.04</c:v>
                </c:pt>
                <c:pt idx="44">
                  <c:v>56.66</c:v>
                </c:pt>
                <c:pt idx="45">
                  <c:v>57.61</c:v>
                </c:pt>
                <c:pt idx="46">
                  <c:v>52.05</c:v>
                </c:pt>
                <c:pt idx="47">
                  <c:v>51.07</c:v>
                </c:pt>
                <c:pt idx="48">
                  <c:v>49.58</c:v>
                </c:pt>
                <c:pt idx="49">
                  <c:v>45.99</c:v>
                </c:pt>
                <c:pt idx="50">
                  <c:v>52.2</c:v>
                </c:pt>
                <c:pt idx="51">
                  <c:v>44.12</c:v>
                </c:pt>
                <c:pt idx="52">
                  <c:v>41.06</c:v>
                </c:pt>
                <c:pt idx="53">
                  <c:v>40</c:v>
                </c:pt>
                <c:pt idx="54">
                  <c:v>40.64</c:v>
                </c:pt>
                <c:pt idx="55">
                  <c:v>40.840000000000003</c:v>
                </c:pt>
                <c:pt idx="56">
                  <c:v>48.73</c:v>
                </c:pt>
                <c:pt idx="57">
                  <c:v>52.49</c:v>
                </c:pt>
                <c:pt idx="58">
                  <c:v>49.47</c:v>
                </c:pt>
                <c:pt idx="59">
                  <c:v>44.2</c:v>
                </c:pt>
                <c:pt idx="60">
                  <c:v>45.99</c:v>
                </c:pt>
                <c:pt idx="61">
                  <c:v>48.38</c:v>
                </c:pt>
                <c:pt idx="62">
                  <c:v>52.39</c:v>
                </c:pt>
                <c:pt idx="63">
                  <c:v>62.25</c:v>
                </c:pt>
                <c:pt idx="64">
                  <c:v>64.650000000000006</c:v>
                </c:pt>
                <c:pt idx="65">
                  <c:v>63.73</c:v>
                </c:pt>
                <c:pt idx="66">
                  <c:v>51.46</c:v>
                </c:pt>
                <c:pt idx="67">
                  <c:v>52.27</c:v>
                </c:pt>
                <c:pt idx="68">
                  <c:v>57.12</c:v>
                </c:pt>
                <c:pt idx="69">
                  <c:v>53.38</c:v>
                </c:pt>
                <c:pt idx="70">
                  <c:v>49.82</c:v>
                </c:pt>
                <c:pt idx="71">
                  <c:v>40.15</c:v>
                </c:pt>
                <c:pt idx="72">
                  <c:v>31.35</c:v>
                </c:pt>
                <c:pt idx="74">
                  <c:v>39.19</c:v>
                </c:pt>
                <c:pt idx="75">
                  <c:v>45.68</c:v>
                </c:pt>
                <c:pt idx="76">
                  <c:v>48.79</c:v>
                </c:pt>
                <c:pt idx="77">
                  <c:v>50.64</c:v>
                </c:pt>
                <c:pt idx="78">
                  <c:v>55.86</c:v>
                </c:pt>
                <c:pt idx="79">
                  <c:v>58.93</c:v>
                </c:pt>
                <c:pt idx="80">
                  <c:v>56.26</c:v>
                </c:pt>
                <c:pt idx="81">
                  <c:v>53.73</c:v>
                </c:pt>
                <c:pt idx="82">
                  <c:v>55.57</c:v>
                </c:pt>
                <c:pt idx="83">
                  <c:v>58.84</c:v>
                </c:pt>
                <c:pt idx="84">
                  <c:v>53.72</c:v>
                </c:pt>
                <c:pt idx="85">
                  <c:v>60.45</c:v>
                </c:pt>
                <c:pt idx="86">
                  <c:v>65.78</c:v>
                </c:pt>
                <c:pt idx="87">
                  <c:v>63.69</c:v>
                </c:pt>
                <c:pt idx="88">
                  <c:v>64.42</c:v>
                </c:pt>
                <c:pt idx="89">
                  <c:v>65.459999999999994</c:v>
                </c:pt>
                <c:pt idx="90">
                  <c:v>62.15</c:v>
                </c:pt>
                <c:pt idx="91">
                  <c:v>58.26</c:v>
                </c:pt>
                <c:pt idx="92">
                  <c:v>57.49</c:v>
                </c:pt>
                <c:pt idx="93">
                  <c:v>57.22</c:v>
                </c:pt>
                <c:pt idx="94">
                  <c:v>53.7</c:v>
                </c:pt>
                <c:pt idx="95">
                  <c:v>59.49</c:v>
                </c:pt>
                <c:pt idx="96">
                  <c:v>59.1</c:v>
                </c:pt>
                <c:pt idx="97">
                  <c:v>59.01</c:v>
                </c:pt>
                <c:pt idx="98">
                  <c:v>60.65</c:v>
                </c:pt>
                <c:pt idx="99">
                  <c:v>62.25</c:v>
                </c:pt>
                <c:pt idx="100">
                  <c:v>59.66</c:v>
                </c:pt>
                <c:pt idx="101">
                  <c:v>59.16</c:v>
                </c:pt>
                <c:pt idx="102">
                  <c:v>64.08</c:v>
                </c:pt>
                <c:pt idx="103">
                  <c:v>59.23</c:v>
                </c:pt>
                <c:pt idx="104">
                  <c:v>56.55</c:v>
                </c:pt>
                <c:pt idx="105">
                  <c:v>57.07</c:v>
                </c:pt>
                <c:pt idx="106">
                  <c:v>55.61</c:v>
                </c:pt>
                <c:pt idx="107">
                  <c:v>58.23</c:v>
                </c:pt>
                <c:pt idx="109">
                  <c:v>54.83</c:v>
                </c:pt>
                <c:pt idx="110">
                  <c:v>54.23</c:v>
                </c:pt>
                <c:pt idx="111">
                  <c:v>49.21</c:v>
                </c:pt>
                <c:pt idx="112">
                  <c:v>44.33</c:v>
                </c:pt>
                <c:pt idx="113">
                  <c:v>34.119999999999997</c:v>
                </c:pt>
                <c:pt idx="114">
                  <c:v>38.24</c:v>
                </c:pt>
                <c:pt idx="115">
                  <c:v>40.549999999999997</c:v>
                </c:pt>
                <c:pt idx="116">
                  <c:v>36.950000000000003</c:v>
                </c:pt>
                <c:pt idx="117">
                  <c:v>37.450000000000003</c:v>
                </c:pt>
                <c:pt idx="118">
                  <c:v>39.44</c:v>
                </c:pt>
                <c:pt idx="119">
                  <c:v>45.43</c:v>
                </c:pt>
                <c:pt idx="120">
                  <c:v>48.22</c:v>
                </c:pt>
                <c:pt idx="121">
                  <c:v>43.75</c:v>
                </c:pt>
                <c:pt idx="122">
                  <c:v>37.36</c:v>
                </c:pt>
                <c:pt idx="123">
                  <c:v>38.36</c:v>
                </c:pt>
                <c:pt idx="124">
                  <c:v>42.05</c:v>
                </c:pt>
                <c:pt idx="125">
                  <c:v>38.78</c:v>
                </c:pt>
                <c:pt idx="126">
                  <c:v>41.57</c:v>
                </c:pt>
                <c:pt idx="127">
                  <c:v>46.4</c:v>
                </c:pt>
                <c:pt idx="128">
                  <c:v>43.97</c:v>
                </c:pt>
                <c:pt idx="129">
                  <c:v>52.94</c:v>
                </c:pt>
                <c:pt idx="130">
                  <c:v>54.45</c:v>
                </c:pt>
                <c:pt idx="131">
                  <c:v>57.51</c:v>
                </c:pt>
                <c:pt idx="132">
                  <c:v>50.31</c:v>
                </c:pt>
                <c:pt idx="133">
                  <c:v>48.81</c:v>
                </c:pt>
                <c:pt idx="134">
                  <c:v>50.66</c:v>
                </c:pt>
                <c:pt idx="135">
                  <c:v>55.73</c:v>
                </c:pt>
                <c:pt idx="136">
                  <c:v>54</c:v>
                </c:pt>
                <c:pt idx="137">
                  <c:v>47.99</c:v>
                </c:pt>
                <c:pt idx="138">
                  <c:v>43.96</c:v>
                </c:pt>
                <c:pt idx="139">
                  <c:v>49.66</c:v>
                </c:pt>
                <c:pt idx="140">
                  <c:v>45.33</c:v>
                </c:pt>
                <c:pt idx="141">
                  <c:v>40.96</c:v>
                </c:pt>
                <c:pt idx="142">
                  <c:v>34.18</c:v>
                </c:pt>
                <c:pt idx="143">
                  <c:v>43.67</c:v>
                </c:pt>
                <c:pt idx="144">
                  <c:v>47.48</c:v>
                </c:pt>
                <c:pt idx="145">
                  <c:v>50.45</c:v>
                </c:pt>
                <c:pt idx="146">
                  <c:v>53.36</c:v>
                </c:pt>
                <c:pt idx="147">
                  <c:v>52.68</c:v>
                </c:pt>
                <c:pt idx="148">
                  <c:v>53.04</c:v>
                </c:pt>
                <c:pt idx="149">
                  <c:v>54.53</c:v>
                </c:pt>
                <c:pt idx="150">
                  <c:v>65.38</c:v>
                </c:pt>
                <c:pt idx="151">
                  <c:v>66.709999999999994</c:v>
                </c:pt>
                <c:pt idx="152">
                  <c:v>65.319999999999993</c:v>
                </c:pt>
                <c:pt idx="153">
                  <c:v>60.76</c:v>
                </c:pt>
                <c:pt idx="154">
                  <c:v>63.48</c:v>
                </c:pt>
                <c:pt idx="155">
                  <c:v>70.69</c:v>
                </c:pt>
                <c:pt idx="156">
                  <c:v>72.010000000000005</c:v>
                </c:pt>
                <c:pt idx="157">
                  <c:v>78.650000000000006</c:v>
                </c:pt>
                <c:pt idx="158">
                  <c:v>77.510000000000005</c:v>
                </c:pt>
                <c:pt idx="159">
                  <c:v>77.31</c:v>
                </c:pt>
                <c:pt idx="160">
                  <c:v>76.62</c:v>
                </c:pt>
                <c:pt idx="161">
                  <c:v>80.099999999999994</c:v>
                </c:pt>
                <c:pt idx="162">
                  <c:v>76.73</c:v>
                </c:pt>
                <c:pt idx="163">
                  <c:v>74.349999999999994</c:v>
                </c:pt>
                <c:pt idx="164">
                  <c:v>69.040000000000006</c:v>
                </c:pt>
                <c:pt idx="165">
                  <c:v>76.12</c:v>
                </c:pt>
                <c:pt idx="166">
                  <c:v>74.239999999999995</c:v>
                </c:pt>
                <c:pt idx="167">
                  <c:v>73.86</c:v>
                </c:pt>
                <c:pt idx="168">
                  <c:v>72.06</c:v>
                </c:pt>
                <c:pt idx="169">
                  <c:v>68.709999999999994</c:v>
                </c:pt>
                <c:pt idx="170">
                  <c:v>60.73</c:v>
                </c:pt>
                <c:pt idx="172">
                  <c:v>62.24</c:v>
                </c:pt>
                <c:pt idx="173">
                  <c:v>63.94</c:v>
                </c:pt>
                <c:pt idx="174">
                  <c:v>62.1</c:v>
                </c:pt>
                <c:pt idx="175">
                  <c:v>61.27</c:v>
                </c:pt>
                <c:pt idx="176">
                  <c:v>64.66</c:v>
                </c:pt>
                <c:pt idx="177">
                  <c:v>63.98</c:v>
                </c:pt>
                <c:pt idx="178">
                  <c:v>57.29</c:v>
                </c:pt>
                <c:pt idx="179">
                  <c:v>58.05</c:v>
                </c:pt>
                <c:pt idx="180">
                  <c:v>60.09</c:v>
                </c:pt>
                <c:pt idx="181">
                  <c:v>64.010000000000005</c:v>
                </c:pt>
                <c:pt idx="182">
                  <c:v>68.56</c:v>
                </c:pt>
                <c:pt idx="183">
                  <c:v>67.680000000000007</c:v>
                </c:pt>
                <c:pt idx="184">
                  <c:v>67.41</c:v>
                </c:pt>
                <c:pt idx="185">
                  <c:v>64.78</c:v>
                </c:pt>
                <c:pt idx="186">
                  <c:v>57.03</c:v>
                </c:pt>
                <c:pt idx="187">
                  <c:v>54.57</c:v>
                </c:pt>
                <c:pt idx="188">
                  <c:v>52.92</c:v>
                </c:pt>
                <c:pt idx="189">
                  <c:v>55.29</c:v>
                </c:pt>
                <c:pt idx="190">
                  <c:v>53.57</c:v>
                </c:pt>
                <c:pt idx="191">
                  <c:v>57.81</c:v>
                </c:pt>
                <c:pt idx="192">
                  <c:v>48.66</c:v>
                </c:pt>
                <c:pt idx="193">
                  <c:v>55.76</c:v>
                </c:pt>
                <c:pt idx="194">
                  <c:v>50.8</c:v>
                </c:pt>
                <c:pt idx="195">
                  <c:v>48.97</c:v>
                </c:pt>
                <c:pt idx="196">
                  <c:v>54.18</c:v>
                </c:pt>
                <c:pt idx="197">
                  <c:v>57.77</c:v>
                </c:pt>
                <c:pt idx="198">
                  <c:v>64.72</c:v>
                </c:pt>
                <c:pt idx="199">
                  <c:v>64</c:v>
                </c:pt>
                <c:pt idx="200">
                  <c:v>61.63</c:v>
                </c:pt>
                <c:pt idx="201">
                  <c:v>60.61</c:v>
                </c:pt>
                <c:pt idx="202">
                  <c:v>54.18</c:v>
                </c:pt>
                <c:pt idx="203">
                  <c:v>57.17</c:v>
                </c:pt>
                <c:pt idx="204">
                  <c:v>55.45</c:v>
                </c:pt>
                <c:pt idx="205">
                  <c:v>53.96</c:v>
                </c:pt>
                <c:pt idx="206">
                  <c:v>60.14</c:v>
                </c:pt>
                <c:pt idx="207">
                  <c:v>55.5</c:v>
                </c:pt>
                <c:pt idx="208">
                  <c:v>59.78</c:v>
                </c:pt>
                <c:pt idx="209">
                  <c:v>62.11</c:v>
                </c:pt>
                <c:pt idx="210">
                  <c:v>61.01</c:v>
                </c:pt>
                <c:pt idx="211">
                  <c:v>62.33</c:v>
                </c:pt>
                <c:pt idx="213">
                  <c:v>68.84</c:v>
                </c:pt>
                <c:pt idx="214">
                  <c:v>67.02</c:v>
                </c:pt>
                <c:pt idx="215">
                  <c:v>68.98</c:v>
                </c:pt>
                <c:pt idx="216">
                  <c:v>73.97</c:v>
                </c:pt>
                <c:pt idx="217">
                  <c:v>71.89</c:v>
                </c:pt>
                <c:pt idx="218">
                  <c:v>68.44</c:v>
                </c:pt>
                <c:pt idx="219">
                  <c:v>64.489999999999995</c:v>
                </c:pt>
                <c:pt idx="220">
                  <c:v>64.61</c:v>
                </c:pt>
                <c:pt idx="221">
                  <c:v>59.84</c:v>
                </c:pt>
                <c:pt idx="222">
                  <c:v>55.48</c:v>
                </c:pt>
                <c:pt idx="224">
                  <c:v>59.05</c:v>
                </c:pt>
                <c:pt idx="225">
                  <c:v>58.86</c:v>
                </c:pt>
                <c:pt idx="226">
                  <c:v>64.08</c:v>
                </c:pt>
                <c:pt idx="227">
                  <c:v>57.36</c:v>
                </c:pt>
                <c:pt idx="228">
                  <c:v>64</c:v>
                </c:pt>
                <c:pt idx="229">
                  <c:v>70.09</c:v>
                </c:pt>
                <c:pt idx="230">
                  <c:v>71.89</c:v>
                </c:pt>
                <c:pt idx="231">
                  <c:v>67.69</c:v>
                </c:pt>
                <c:pt idx="232">
                  <c:v>69.91</c:v>
                </c:pt>
                <c:pt idx="233">
                  <c:v>65.3</c:v>
                </c:pt>
                <c:pt idx="234">
                  <c:v>64.77</c:v>
                </c:pt>
                <c:pt idx="235">
                  <c:v>62.25</c:v>
                </c:pt>
                <c:pt idx="236">
                  <c:v>64.150000000000006</c:v>
                </c:pt>
                <c:pt idx="237">
                  <c:v>62.31</c:v>
                </c:pt>
                <c:pt idx="238">
                  <c:v>60.74</c:v>
                </c:pt>
                <c:pt idx="239">
                  <c:v>65.7</c:v>
                </c:pt>
                <c:pt idx="240">
                  <c:v>65.819999999999993</c:v>
                </c:pt>
                <c:pt idx="242">
                  <c:v>60.25</c:v>
                </c:pt>
                <c:pt idx="243">
                  <c:v>62.94</c:v>
                </c:pt>
                <c:pt idx="244">
                  <c:v>64.209999999999994</c:v>
                </c:pt>
                <c:pt idx="245">
                  <c:v>68.67</c:v>
                </c:pt>
                <c:pt idx="246">
                  <c:v>70.16</c:v>
                </c:pt>
                <c:pt idx="247">
                  <c:v>69.91</c:v>
                </c:pt>
                <c:pt idx="248">
                  <c:v>68.27</c:v>
                </c:pt>
                <c:pt idx="249">
                  <c:v>67.3</c:v>
                </c:pt>
                <c:pt idx="250">
                  <c:v>66.06</c:v>
                </c:pt>
                <c:pt idx="251">
                  <c:v>63.66</c:v>
                </c:pt>
                <c:pt idx="252">
                  <c:v>57.91</c:v>
                </c:pt>
                <c:pt idx="253">
                  <c:v>60.1</c:v>
                </c:pt>
                <c:pt idx="254">
                  <c:v>59.44</c:v>
                </c:pt>
                <c:pt idx="255">
                  <c:v>60.16</c:v>
                </c:pt>
                <c:pt idx="256">
                  <c:v>60.24</c:v>
                </c:pt>
                <c:pt idx="257">
                  <c:v>59.7</c:v>
                </c:pt>
                <c:pt idx="258">
                  <c:v>56.15</c:v>
                </c:pt>
                <c:pt idx="259">
                  <c:v>54.94</c:v>
                </c:pt>
                <c:pt idx="260">
                  <c:v>54.87</c:v>
                </c:pt>
                <c:pt idx="261">
                  <c:v>53.29</c:v>
                </c:pt>
                <c:pt idx="262">
                  <c:v>52.49</c:v>
                </c:pt>
                <c:pt idx="263">
                  <c:v>51.22</c:v>
                </c:pt>
                <c:pt idx="264">
                  <c:v>47.12</c:v>
                </c:pt>
                <c:pt idx="265">
                  <c:v>43.65</c:v>
                </c:pt>
                <c:pt idx="266">
                  <c:v>37.619999999999997</c:v>
                </c:pt>
                <c:pt idx="268">
                  <c:v>41.24</c:v>
                </c:pt>
                <c:pt idx="269">
                  <c:v>39.700000000000003</c:v>
                </c:pt>
                <c:pt idx="270">
                  <c:v>44.3</c:v>
                </c:pt>
                <c:pt idx="271">
                  <c:v>43.74</c:v>
                </c:pt>
                <c:pt idx="272">
                  <c:v>42.31</c:v>
                </c:pt>
                <c:pt idx="273">
                  <c:v>40.53</c:v>
                </c:pt>
                <c:pt idx="274">
                  <c:v>46.07</c:v>
                </c:pt>
                <c:pt idx="275">
                  <c:v>23.19</c:v>
                </c:pt>
                <c:pt idx="276">
                  <c:v>24.75</c:v>
                </c:pt>
                <c:pt idx="277">
                  <c:v>24.29</c:v>
                </c:pt>
                <c:pt idx="278">
                  <c:v>32.56</c:v>
                </c:pt>
                <c:pt idx="279">
                  <c:v>43.87</c:v>
                </c:pt>
                <c:pt idx="280">
                  <c:v>42.41</c:v>
                </c:pt>
                <c:pt idx="281">
                  <c:v>42.16</c:v>
                </c:pt>
                <c:pt idx="282">
                  <c:v>39.299999999999997</c:v>
                </c:pt>
                <c:pt idx="283">
                  <c:v>48.4</c:v>
                </c:pt>
                <c:pt idx="284">
                  <c:v>50.03</c:v>
                </c:pt>
                <c:pt idx="285">
                  <c:v>53.24</c:v>
                </c:pt>
                <c:pt idx="286">
                  <c:v>48.75</c:v>
                </c:pt>
                <c:pt idx="287">
                  <c:v>44.43</c:v>
                </c:pt>
                <c:pt idx="288">
                  <c:v>41.22</c:v>
                </c:pt>
                <c:pt idx="289">
                  <c:v>41.84</c:v>
                </c:pt>
                <c:pt idx="290">
                  <c:v>37.07</c:v>
                </c:pt>
                <c:pt idx="291">
                  <c:v>40.770000000000003</c:v>
                </c:pt>
                <c:pt idx="292">
                  <c:v>37.85</c:v>
                </c:pt>
                <c:pt idx="293">
                  <c:v>29.71</c:v>
                </c:pt>
                <c:pt idx="294">
                  <c:v>34.51</c:v>
                </c:pt>
                <c:pt idx="295">
                  <c:v>32.049999999999997</c:v>
                </c:pt>
                <c:pt idx="296">
                  <c:v>35.79</c:v>
                </c:pt>
                <c:pt idx="297">
                  <c:v>44.08</c:v>
                </c:pt>
                <c:pt idx="298">
                  <c:v>40.82</c:v>
                </c:pt>
                <c:pt idx="299">
                  <c:v>48.25</c:v>
                </c:pt>
                <c:pt idx="300">
                  <c:v>41.21</c:v>
                </c:pt>
                <c:pt idx="301">
                  <c:v>44.72</c:v>
                </c:pt>
                <c:pt idx="302">
                  <c:v>49.72</c:v>
                </c:pt>
                <c:pt idx="303">
                  <c:v>40.86</c:v>
                </c:pt>
                <c:pt idx="304">
                  <c:v>45.87</c:v>
                </c:pt>
                <c:pt idx="305">
                  <c:v>46.84</c:v>
                </c:pt>
                <c:pt idx="306">
                  <c:v>56.33</c:v>
                </c:pt>
                <c:pt idx="307">
                  <c:v>55.23</c:v>
                </c:pt>
                <c:pt idx="308">
                  <c:v>66.31</c:v>
                </c:pt>
                <c:pt idx="309">
                  <c:v>70.84</c:v>
                </c:pt>
                <c:pt idx="310">
                  <c:v>70.38</c:v>
                </c:pt>
                <c:pt idx="312">
                  <c:v>74.849999999999994</c:v>
                </c:pt>
                <c:pt idx="313">
                  <c:v>72.75</c:v>
                </c:pt>
                <c:pt idx="314">
                  <c:v>68.16</c:v>
                </c:pt>
                <c:pt idx="315">
                  <c:v>67.69</c:v>
                </c:pt>
                <c:pt idx="316">
                  <c:v>67</c:v>
                </c:pt>
                <c:pt idx="317">
                  <c:v>65.11</c:v>
                </c:pt>
                <c:pt idx="318">
                  <c:v>66.81</c:v>
                </c:pt>
                <c:pt idx="319">
                  <c:v>65.12</c:v>
                </c:pt>
                <c:pt idx="320">
                  <c:v>72.95</c:v>
                </c:pt>
                <c:pt idx="321">
                  <c:v>69.849999999999994</c:v>
                </c:pt>
                <c:pt idx="322">
                  <c:v>69.069999999999993</c:v>
                </c:pt>
                <c:pt idx="323">
                  <c:v>67.599999999999994</c:v>
                </c:pt>
                <c:pt idx="324">
                  <c:v>67.25</c:v>
                </c:pt>
                <c:pt idx="325">
                  <c:v>65.7</c:v>
                </c:pt>
                <c:pt idx="326">
                  <c:v>63.98</c:v>
                </c:pt>
                <c:pt idx="327">
                  <c:v>62.1</c:v>
                </c:pt>
                <c:pt idx="328">
                  <c:v>58.64</c:v>
                </c:pt>
                <c:pt idx="329">
                  <c:v>57.6</c:v>
                </c:pt>
                <c:pt idx="330">
                  <c:v>53.51</c:v>
                </c:pt>
                <c:pt idx="332">
                  <c:v>49.44</c:v>
                </c:pt>
                <c:pt idx="333">
                  <c:v>45.2</c:v>
                </c:pt>
                <c:pt idx="334">
                  <c:v>47.63</c:v>
                </c:pt>
                <c:pt idx="335">
                  <c:v>38.909999999999997</c:v>
                </c:pt>
                <c:pt idx="336">
                  <c:v>40.18</c:v>
                </c:pt>
                <c:pt idx="337">
                  <c:v>39.950000000000003</c:v>
                </c:pt>
                <c:pt idx="339">
                  <c:v>45.79</c:v>
                </c:pt>
                <c:pt idx="340">
                  <c:v>48.42</c:v>
                </c:pt>
                <c:pt idx="341">
                  <c:v>53.87</c:v>
                </c:pt>
                <c:pt idx="342">
                  <c:v>48.71</c:v>
                </c:pt>
                <c:pt idx="343">
                  <c:v>45.5</c:v>
                </c:pt>
                <c:pt idx="344">
                  <c:v>42.9</c:v>
                </c:pt>
                <c:pt idx="345">
                  <c:v>44.24</c:v>
                </c:pt>
                <c:pt idx="346">
                  <c:v>48.76</c:v>
                </c:pt>
                <c:pt idx="347">
                  <c:v>53.07</c:v>
                </c:pt>
                <c:pt idx="348">
                  <c:v>53.73</c:v>
                </c:pt>
                <c:pt idx="349">
                  <c:v>49.62</c:v>
                </c:pt>
                <c:pt idx="350">
                  <c:v>48.34</c:v>
                </c:pt>
                <c:pt idx="351">
                  <c:v>45.92</c:v>
                </c:pt>
                <c:pt idx="352">
                  <c:v>46.96</c:v>
                </c:pt>
                <c:pt idx="353">
                  <c:v>60.48</c:v>
                </c:pt>
                <c:pt idx="354">
                  <c:v>65.09</c:v>
                </c:pt>
                <c:pt idx="355">
                  <c:v>63.77</c:v>
                </c:pt>
                <c:pt idx="356">
                  <c:v>71.61</c:v>
                </c:pt>
                <c:pt idx="357">
                  <c:v>71.099999999999994</c:v>
                </c:pt>
                <c:pt idx="358">
                  <c:v>66.19</c:v>
                </c:pt>
                <c:pt idx="359">
                  <c:v>60.28</c:v>
                </c:pt>
                <c:pt idx="360">
                  <c:v>77.81</c:v>
                </c:pt>
                <c:pt idx="361">
                  <c:v>74.91</c:v>
                </c:pt>
                <c:pt idx="362">
                  <c:v>77.25</c:v>
                </c:pt>
                <c:pt idx="363">
                  <c:v>76.569999999999993</c:v>
                </c:pt>
                <c:pt idx="364">
                  <c:v>74.069999999999993</c:v>
                </c:pt>
                <c:pt idx="365">
                  <c:v>71.17</c:v>
                </c:pt>
                <c:pt idx="367">
                  <c:v>69.069999999999993</c:v>
                </c:pt>
                <c:pt idx="368">
                  <c:v>68.55</c:v>
                </c:pt>
                <c:pt idx="369">
                  <c:v>67.12</c:v>
                </c:pt>
                <c:pt idx="370">
                  <c:v>65.08</c:v>
                </c:pt>
                <c:pt idx="371">
                  <c:v>66.69</c:v>
                </c:pt>
                <c:pt idx="372">
                  <c:v>68.569999999999993</c:v>
                </c:pt>
                <c:pt idx="373">
                  <c:v>66.39</c:v>
                </c:pt>
                <c:pt idx="374">
                  <c:v>64.03</c:v>
                </c:pt>
                <c:pt idx="375">
                  <c:v>60.15</c:v>
                </c:pt>
                <c:pt idx="376">
                  <c:v>75.81</c:v>
                </c:pt>
                <c:pt idx="377">
                  <c:v>76.86</c:v>
                </c:pt>
                <c:pt idx="378">
                  <c:v>76.75</c:v>
                </c:pt>
                <c:pt idx="379">
                  <c:v>75.58</c:v>
                </c:pt>
                <c:pt idx="380">
                  <c:v>74.08</c:v>
                </c:pt>
                <c:pt idx="381">
                  <c:v>77.930000000000007</c:v>
                </c:pt>
                <c:pt idx="382">
                  <c:v>74.680000000000007</c:v>
                </c:pt>
                <c:pt idx="383">
                  <c:v>66.209999999999994</c:v>
                </c:pt>
                <c:pt idx="384">
                  <c:v>60.79</c:v>
                </c:pt>
                <c:pt idx="385">
                  <c:v>63.68</c:v>
                </c:pt>
                <c:pt idx="386">
                  <c:v>61.72</c:v>
                </c:pt>
                <c:pt idx="387">
                  <c:v>69.55</c:v>
                </c:pt>
                <c:pt idx="388">
                  <c:v>66.849999999999994</c:v>
                </c:pt>
                <c:pt idx="389">
                  <c:v>62.05</c:v>
                </c:pt>
                <c:pt idx="390">
                  <c:v>58.26</c:v>
                </c:pt>
                <c:pt idx="391">
                  <c:v>56.66</c:v>
                </c:pt>
                <c:pt idx="392">
                  <c:v>54.49</c:v>
                </c:pt>
                <c:pt idx="393">
                  <c:v>60.79</c:v>
                </c:pt>
                <c:pt idx="394">
                  <c:v>59.98</c:v>
                </c:pt>
                <c:pt idx="395">
                  <c:v>63.35</c:v>
                </c:pt>
                <c:pt idx="396">
                  <c:v>59.41</c:v>
                </c:pt>
                <c:pt idx="397">
                  <c:v>63.48</c:v>
                </c:pt>
                <c:pt idx="398">
                  <c:v>64.040000000000006</c:v>
                </c:pt>
                <c:pt idx="399">
                  <c:v>63.02</c:v>
                </c:pt>
                <c:pt idx="400">
                  <c:v>60.85</c:v>
                </c:pt>
                <c:pt idx="401">
                  <c:v>57.42</c:v>
                </c:pt>
                <c:pt idx="402">
                  <c:v>62.95</c:v>
                </c:pt>
                <c:pt idx="403">
                  <c:v>62.8</c:v>
                </c:pt>
                <c:pt idx="404">
                  <c:v>58.75</c:v>
                </c:pt>
                <c:pt idx="405">
                  <c:v>69.63</c:v>
                </c:pt>
                <c:pt idx="406">
                  <c:v>64.64</c:v>
                </c:pt>
                <c:pt idx="407">
                  <c:v>67.849999999999994</c:v>
                </c:pt>
                <c:pt idx="408">
                  <c:v>70.8</c:v>
                </c:pt>
                <c:pt idx="409">
                  <c:v>70.5</c:v>
                </c:pt>
                <c:pt idx="410">
                  <c:v>68.86</c:v>
                </c:pt>
                <c:pt idx="411">
                  <c:v>66.459999999999994</c:v>
                </c:pt>
                <c:pt idx="412">
                  <c:v>64.09</c:v>
                </c:pt>
                <c:pt idx="413">
                  <c:v>66.540000000000006</c:v>
                </c:pt>
                <c:pt idx="414">
                  <c:v>64.650000000000006</c:v>
                </c:pt>
                <c:pt idx="415">
                  <c:v>65.22</c:v>
                </c:pt>
                <c:pt idx="416">
                  <c:v>65.22</c:v>
                </c:pt>
                <c:pt idx="417">
                  <c:v>60.08</c:v>
                </c:pt>
                <c:pt idx="418">
                  <c:v>60.57</c:v>
                </c:pt>
                <c:pt idx="419">
                  <c:v>60.57</c:v>
                </c:pt>
                <c:pt idx="420">
                  <c:v>56.61</c:v>
                </c:pt>
                <c:pt idx="421">
                  <c:v>52.58</c:v>
                </c:pt>
                <c:pt idx="422">
                  <c:v>43.25</c:v>
                </c:pt>
                <c:pt idx="423">
                  <c:v>40.86</c:v>
                </c:pt>
                <c:pt idx="424">
                  <c:v>40.950000000000003</c:v>
                </c:pt>
                <c:pt idx="425">
                  <c:v>38.65</c:v>
                </c:pt>
                <c:pt idx="426">
                  <c:v>47.12</c:v>
                </c:pt>
                <c:pt idx="427">
                  <c:v>45.57</c:v>
                </c:pt>
                <c:pt idx="428">
                  <c:v>47.7</c:v>
                </c:pt>
                <c:pt idx="430">
                  <c:v>57.39</c:v>
                </c:pt>
                <c:pt idx="431">
                  <c:v>54.26</c:v>
                </c:pt>
                <c:pt idx="432">
                  <c:v>55.44</c:v>
                </c:pt>
                <c:pt idx="433">
                  <c:v>59.27</c:v>
                </c:pt>
                <c:pt idx="434">
                  <c:v>60.61</c:v>
                </c:pt>
                <c:pt idx="435">
                  <c:v>59.77</c:v>
                </c:pt>
                <c:pt idx="436">
                  <c:v>57.16</c:v>
                </c:pt>
                <c:pt idx="437">
                  <c:v>61.14</c:v>
                </c:pt>
                <c:pt idx="438">
                  <c:v>59.68</c:v>
                </c:pt>
                <c:pt idx="439">
                  <c:v>60.02</c:v>
                </c:pt>
                <c:pt idx="440">
                  <c:v>56.24</c:v>
                </c:pt>
                <c:pt idx="441">
                  <c:v>55.2</c:v>
                </c:pt>
                <c:pt idx="442">
                  <c:v>52.05</c:v>
                </c:pt>
                <c:pt idx="443">
                  <c:v>54.3</c:v>
                </c:pt>
                <c:pt idx="444">
                  <c:v>49.78</c:v>
                </c:pt>
                <c:pt idx="445">
                  <c:v>52.36</c:v>
                </c:pt>
                <c:pt idx="446">
                  <c:v>49.38</c:v>
                </c:pt>
                <c:pt idx="447">
                  <c:v>41.61</c:v>
                </c:pt>
                <c:pt idx="448">
                  <c:v>43.26</c:v>
                </c:pt>
                <c:pt idx="449">
                  <c:v>38.270000000000003</c:v>
                </c:pt>
                <c:pt idx="450">
                  <c:v>48.11</c:v>
                </c:pt>
                <c:pt idx="451">
                  <c:v>55.79</c:v>
                </c:pt>
                <c:pt idx="452">
                  <c:v>54.09</c:v>
                </c:pt>
                <c:pt idx="453">
                  <c:v>48.81</c:v>
                </c:pt>
                <c:pt idx="454">
                  <c:v>46.9</c:v>
                </c:pt>
                <c:pt idx="455">
                  <c:v>42.58</c:v>
                </c:pt>
                <c:pt idx="456">
                  <c:v>31.85</c:v>
                </c:pt>
                <c:pt idx="457">
                  <c:v>35.71</c:v>
                </c:pt>
                <c:pt idx="458">
                  <c:v>48.36</c:v>
                </c:pt>
                <c:pt idx="459">
                  <c:v>49.23</c:v>
                </c:pt>
                <c:pt idx="460">
                  <c:v>46.55</c:v>
                </c:pt>
                <c:pt idx="461">
                  <c:v>49.09</c:v>
                </c:pt>
                <c:pt idx="462">
                  <c:v>49.42</c:v>
                </c:pt>
                <c:pt idx="463">
                  <c:v>59.08</c:v>
                </c:pt>
                <c:pt idx="464">
                  <c:v>57.73</c:v>
                </c:pt>
                <c:pt idx="465">
                  <c:v>55.92</c:v>
                </c:pt>
                <c:pt idx="466">
                  <c:v>58.01</c:v>
                </c:pt>
                <c:pt idx="467">
                  <c:v>68.14</c:v>
                </c:pt>
                <c:pt idx="468">
                  <c:v>65.58</c:v>
                </c:pt>
                <c:pt idx="469">
                  <c:v>64.27</c:v>
                </c:pt>
                <c:pt idx="470">
                  <c:v>71.680000000000007</c:v>
                </c:pt>
                <c:pt idx="472">
                  <c:v>63.4</c:v>
                </c:pt>
                <c:pt idx="473">
                  <c:v>63.22</c:v>
                </c:pt>
                <c:pt idx="474">
                  <c:v>58.44</c:v>
                </c:pt>
                <c:pt idx="475">
                  <c:v>61.99</c:v>
                </c:pt>
                <c:pt idx="476">
                  <c:v>70.739999999999995</c:v>
                </c:pt>
                <c:pt idx="477">
                  <c:v>68.150000000000006</c:v>
                </c:pt>
                <c:pt idx="478">
                  <c:v>68.099999999999994</c:v>
                </c:pt>
                <c:pt idx="479">
                  <c:v>62.54</c:v>
                </c:pt>
                <c:pt idx="480">
                  <c:v>62.16</c:v>
                </c:pt>
                <c:pt idx="481">
                  <c:v>58.52</c:v>
                </c:pt>
                <c:pt idx="483">
                  <c:v>55.94</c:v>
                </c:pt>
                <c:pt idx="484">
                  <c:v>60.81</c:v>
                </c:pt>
                <c:pt idx="485">
                  <c:v>58.1</c:v>
                </c:pt>
                <c:pt idx="486">
                  <c:v>56.2</c:v>
                </c:pt>
                <c:pt idx="487">
                  <c:v>63.42</c:v>
                </c:pt>
                <c:pt idx="488">
                  <c:v>65.34</c:v>
                </c:pt>
                <c:pt idx="489">
                  <c:v>64.45</c:v>
                </c:pt>
                <c:pt idx="490">
                  <c:v>63.3</c:v>
                </c:pt>
                <c:pt idx="491">
                  <c:v>69.010000000000005</c:v>
                </c:pt>
                <c:pt idx="492">
                  <c:v>68.78</c:v>
                </c:pt>
                <c:pt idx="493">
                  <c:v>63.8</c:v>
                </c:pt>
                <c:pt idx="494">
                  <c:v>62.03</c:v>
                </c:pt>
                <c:pt idx="495">
                  <c:v>60.17</c:v>
                </c:pt>
                <c:pt idx="496">
                  <c:v>54.67</c:v>
                </c:pt>
                <c:pt idx="497">
                  <c:v>56.91</c:v>
                </c:pt>
                <c:pt idx="498">
                  <c:v>60.67</c:v>
                </c:pt>
                <c:pt idx="500">
                  <c:v>59.89</c:v>
                </c:pt>
                <c:pt idx="501">
                  <c:v>53.43</c:v>
                </c:pt>
                <c:pt idx="502">
                  <c:v>61.69</c:v>
                </c:pt>
                <c:pt idx="503">
                  <c:v>61.09</c:v>
                </c:pt>
                <c:pt idx="504">
                  <c:v>62.07</c:v>
                </c:pt>
                <c:pt idx="505">
                  <c:v>60.8</c:v>
                </c:pt>
                <c:pt idx="506">
                  <c:v>60.07</c:v>
                </c:pt>
                <c:pt idx="507">
                  <c:v>60.52</c:v>
                </c:pt>
                <c:pt idx="508">
                  <c:v>58</c:v>
                </c:pt>
                <c:pt idx="509">
                  <c:v>56.15</c:v>
                </c:pt>
                <c:pt idx="510">
                  <c:v>57.09</c:v>
                </c:pt>
                <c:pt idx="511">
                  <c:v>56.55</c:v>
                </c:pt>
                <c:pt idx="512">
                  <c:v>54.73</c:v>
                </c:pt>
                <c:pt idx="513">
                  <c:v>55.41</c:v>
                </c:pt>
                <c:pt idx="514">
                  <c:v>55.05</c:v>
                </c:pt>
                <c:pt idx="515">
                  <c:v>50.55</c:v>
                </c:pt>
                <c:pt idx="516">
                  <c:v>46.73</c:v>
                </c:pt>
                <c:pt idx="517">
                  <c:v>42.88</c:v>
                </c:pt>
                <c:pt idx="518">
                  <c:v>39.159999999999997</c:v>
                </c:pt>
                <c:pt idx="519">
                  <c:v>44.05</c:v>
                </c:pt>
                <c:pt idx="520">
                  <c:v>47.96</c:v>
                </c:pt>
                <c:pt idx="521">
                  <c:v>35.69</c:v>
                </c:pt>
                <c:pt idx="522">
                  <c:v>50.5</c:v>
                </c:pt>
                <c:pt idx="523">
                  <c:v>50.17</c:v>
                </c:pt>
                <c:pt idx="524">
                  <c:v>41.28</c:v>
                </c:pt>
                <c:pt idx="525">
                  <c:v>40.39</c:v>
                </c:pt>
                <c:pt idx="526">
                  <c:v>45.56</c:v>
                </c:pt>
                <c:pt idx="527">
                  <c:v>42.53</c:v>
                </c:pt>
                <c:pt idx="528">
                  <c:v>42.93</c:v>
                </c:pt>
                <c:pt idx="529">
                  <c:v>44.42</c:v>
                </c:pt>
                <c:pt idx="530">
                  <c:v>50.64</c:v>
                </c:pt>
                <c:pt idx="531">
                  <c:v>61.15</c:v>
                </c:pt>
                <c:pt idx="532">
                  <c:v>56.73</c:v>
                </c:pt>
                <c:pt idx="533">
                  <c:v>62.7</c:v>
                </c:pt>
                <c:pt idx="534">
                  <c:v>62.19</c:v>
                </c:pt>
                <c:pt idx="535">
                  <c:v>62.14</c:v>
                </c:pt>
                <c:pt idx="536">
                  <c:v>57.5</c:v>
                </c:pt>
                <c:pt idx="537">
                  <c:v>67.930000000000007</c:v>
                </c:pt>
                <c:pt idx="538">
                  <c:v>64.45</c:v>
                </c:pt>
                <c:pt idx="539">
                  <c:v>65.78</c:v>
                </c:pt>
                <c:pt idx="541">
                  <c:v>62.29</c:v>
                </c:pt>
                <c:pt idx="542">
                  <c:v>63.53</c:v>
                </c:pt>
                <c:pt idx="543">
                  <c:v>61.21</c:v>
                </c:pt>
                <c:pt idx="544">
                  <c:v>62.71</c:v>
                </c:pt>
                <c:pt idx="545">
                  <c:v>65.150000000000006</c:v>
                </c:pt>
                <c:pt idx="546">
                  <c:v>64.37</c:v>
                </c:pt>
                <c:pt idx="547">
                  <c:v>64.239999999999995</c:v>
                </c:pt>
                <c:pt idx="548">
                  <c:v>59.89</c:v>
                </c:pt>
                <c:pt idx="549">
                  <c:v>60.11</c:v>
                </c:pt>
                <c:pt idx="550">
                  <c:v>52.73</c:v>
                </c:pt>
                <c:pt idx="551">
                  <c:v>58.42</c:v>
                </c:pt>
                <c:pt idx="552">
                  <c:v>59.85</c:v>
                </c:pt>
                <c:pt idx="553">
                  <c:v>59.16</c:v>
                </c:pt>
                <c:pt idx="554">
                  <c:v>55.68</c:v>
                </c:pt>
                <c:pt idx="555">
                  <c:v>56.64</c:v>
                </c:pt>
                <c:pt idx="556">
                  <c:v>57.38</c:v>
                </c:pt>
                <c:pt idx="557">
                  <c:v>51.12</c:v>
                </c:pt>
                <c:pt idx="558">
                  <c:v>50.54</c:v>
                </c:pt>
                <c:pt idx="559">
                  <c:v>54.03</c:v>
                </c:pt>
                <c:pt idx="560">
                  <c:v>60.36</c:v>
                </c:pt>
                <c:pt idx="561">
                  <c:v>57.45</c:v>
                </c:pt>
                <c:pt idx="562">
                  <c:v>54.13</c:v>
                </c:pt>
                <c:pt idx="563">
                  <c:v>57.33</c:v>
                </c:pt>
                <c:pt idx="564">
                  <c:v>54.36</c:v>
                </c:pt>
                <c:pt idx="565">
                  <c:v>61.59</c:v>
                </c:pt>
                <c:pt idx="566">
                  <c:v>62.93</c:v>
                </c:pt>
                <c:pt idx="567">
                  <c:v>57.91</c:v>
                </c:pt>
                <c:pt idx="568">
                  <c:v>58.47</c:v>
                </c:pt>
                <c:pt idx="570">
                  <c:v>59.18</c:v>
                </c:pt>
                <c:pt idx="571">
                  <c:v>67.040000000000006</c:v>
                </c:pt>
                <c:pt idx="572">
                  <c:v>64.78</c:v>
                </c:pt>
                <c:pt idx="573">
                  <c:v>59.87</c:v>
                </c:pt>
                <c:pt idx="574">
                  <c:v>67.73</c:v>
                </c:pt>
                <c:pt idx="575">
                  <c:v>66.83</c:v>
                </c:pt>
                <c:pt idx="576">
                  <c:v>66.510000000000005</c:v>
                </c:pt>
                <c:pt idx="577">
                  <c:v>65.510000000000005</c:v>
                </c:pt>
                <c:pt idx="578">
                  <c:v>64.17</c:v>
                </c:pt>
                <c:pt idx="579">
                  <c:v>65.59</c:v>
                </c:pt>
                <c:pt idx="580">
                  <c:v>72.510000000000005</c:v>
                </c:pt>
                <c:pt idx="581">
                  <c:v>62.37</c:v>
                </c:pt>
                <c:pt idx="582">
                  <c:v>58.79</c:v>
                </c:pt>
                <c:pt idx="583">
                  <c:v>75.099999999999994</c:v>
                </c:pt>
                <c:pt idx="584">
                  <c:v>80.84</c:v>
                </c:pt>
                <c:pt idx="585">
                  <c:v>79.02</c:v>
                </c:pt>
                <c:pt idx="586">
                  <c:v>78.27</c:v>
                </c:pt>
                <c:pt idx="587">
                  <c:v>74.06</c:v>
                </c:pt>
                <c:pt idx="588">
                  <c:v>72.150000000000006</c:v>
                </c:pt>
                <c:pt idx="589">
                  <c:v>68.81</c:v>
                </c:pt>
                <c:pt idx="590">
                  <c:v>68.09</c:v>
                </c:pt>
                <c:pt idx="591">
                  <c:v>62.75</c:v>
                </c:pt>
                <c:pt idx="592">
                  <c:v>56.78</c:v>
                </c:pt>
                <c:pt idx="593">
                  <c:v>61.4</c:v>
                </c:pt>
                <c:pt idx="595">
                  <c:v>66.06</c:v>
                </c:pt>
                <c:pt idx="596">
                  <c:v>63.88</c:v>
                </c:pt>
                <c:pt idx="597">
                  <c:v>66.53</c:v>
                </c:pt>
                <c:pt idx="598">
                  <c:v>62.43</c:v>
                </c:pt>
                <c:pt idx="599">
                  <c:v>64.040000000000006</c:v>
                </c:pt>
                <c:pt idx="600">
                  <c:v>56.24</c:v>
                </c:pt>
                <c:pt idx="601">
                  <c:v>53.74</c:v>
                </c:pt>
                <c:pt idx="602">
                  <c:v>56.12</c:v>
                </c:pt>
                <c:pt idx="603">
                  <c:v>58.84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10-4147-BE51-D1940DA5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금융  </a:t>
            </a:r>
            <a:r>
              <a:rPr lang="en-US"/>
              <a:t>vs  </a:t>
            </a:r>
            <a:r>
              <a:rPr lang="ko-KR" altLang="en-US"/>
              <a:t>금융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RSI'!$R$7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RSI'!$R$78:$R$3077</c:f>
              <c:numCache>
                <c:formatCode>0.00</c:formatCode>
                <c:ptCount val="3000"/>
                <c:pt idx="1">
                  <c:v>65.959999999999994</c:v>
                </c:pt>
                <c:pt idx="2">
                  <c:v>69.430000000000007</c:v>
                </c:pt>
                <c:pt idx="3">
                  <c:v>67.83</c:v>
                </c:pt>
                <c:pt idx="4">
                  <c:v>66.72</c:v>
                </c:pt>
                <c:pt idx="5">
                  <c:v>64.180000000000007</c:v>
                </c:pt>
                <c:pt idx="6">
                  <c:v>63.69</c:v>
                </c:pt>
                <c:pt idx="7">
                  <c:v>61.97</c:v>
                </c:pt>
                <c:pt idx="8">
                  <c:v>62.79</c:v>
                </c:pt>
                <c:pt idx="9">
                  <c:v>61.75</c:v>
                </c:pt>
                <c:pt idx="10">
                  <c:v>61.56</c:v>
                </c:pt>
                <c:pt idx="11">
                  <c:v>62.7</c:v>
                </c:pt>
                <c:pt idx="12">
                  <c:v>60.94</c:v>
                </c:pt>
                <c:pt idx="13">
                  <c:v>59.02</c:v>
                </c:pt>
                <c:pt idx="14">
                  <c:v>54.69</c:v>
                </c:pt>
                <c:pt idx="15">
                  <c:v>55.44</c:v>
                </c:pt>
                <c:pt idx="16">
                  <c:v>53.3</c:v>
                </c:pt>
                <c:pt idx="17">
                  <c:v>54.52</c:v>
                </c:pt>
                <c:pt idx="18">
                  <c:v>45.02</c:v>
                </c:pt>
                <c:pt idx="19">
                  <c:v>46.03</c:v>
                </c:pt>
                <c:pt idx="20">
                  <c:v>44.89</c:v>
                </c:pt>
                <c:pt idx="21">
                  <c:v>43.41</c:v>
                </c:pt>
                <c:pt idx="22">
                  <c:v>47.98</c:v>
                </c:pt>
                <c:pt idx="23">
                  <c:v>40.36</c:v>
                </c:pt>
                <c:pt idx="24">
                  <c:v>44.04</c:v>
                </c:pt>
                <c:pt idx="25">
                  <c:v>49.26</c:v>
                </c:pt>
                <c:pt idx="26">
                  <c:v>49.26</c:v>
                </c:pt>
                <c:pt idx="27">
                  <c:v>52.15</c:v>
                </c:pt>
                <c:pt idx="28">
                  <c:v>48.37</c:v>
                </c:pt>
                <c:pt idx="29">
                  <c:v>45.63</c:v>
                </c:pt>
                <c:pt idx="30">
                  <c:v>55.76</c:v>
                </c:pt>
                <c:pt idx="31">
                  <c:v>53.89</c:v>
                </c:pt>
                <c:pt idx="32">
                  <c:v>56.73</c:v>
                </c:pt>
                <c:pt idx="33">
                  <c:v>51.55</c:v>
                </c:pt>
                <c:pt idx="34">
                  <c:v>48.95</c:v>
                </c:pt>
                <c:pt idx="35">
                  <c:v>48.69</c:v>
                </c:pt>
                <c:pt idx="36">
                  <c:v>51.4</c:v>
                </c:pt>
                <c:pt idx="37">
                  <c:v>52.69</c:v>
                </c:pt>
                <c:pt idx="38">
                  <c:v>48.89</c:v>
                </c:pt>
                <c:pt idx="39">
                  <c:v>44.8</c:v>
                </c:pt>
                <c:pt idx="40">
                  <c:v>50.12</c:v>
                </c:pt>
                <c:pt idx="41">
                  <c:v>50.77</c:v>
                </c:pt>
                <c:pt idx="42">
                  <c:v>40.33</c:v>
                </c:pt>
                <c:pt idx="43">
                  <c:v>58.75</c:v>
                </c:pt>
                <c:pt idx="45">
                  <c:v>72.010000000000005</c:v>
                </c:pt>
                <c:pt idx="46">
                  <c:v>82.72</c:v>
                </c:pt>
                <c:pt idx="47">
                  <c:v>82.54</c:v>
                </c:pt>
                <c:pt idx="48">
                  <c:v>80.98</c:v>
                </c:pt>
                <c:pt idx="49">
                  <c:v>83.44</c:v>
                </c:pt>
                <c:pt idx="50">
                  <c:v>84.72</c:v>
                </c:pt>
                <c:pt idx="51">
                  <c:v>81.96</c:v>
                </c:pt>
                <c:pt idx="54">
                  <c:v>79.59</c:v>
                </c:pt>
                <c:pt idx="55">
                  <c:v>79.13</c:v>
                </c:pt>
                <c:pt idx="56">
                  <c:v>75.69</c:v>
                </c:pt>
                <c:pt idx="57">
                  <c:v>73.42</c:v>
                </c:pt>
                <c:pt idx="58">
                  <c:v>71.91</c:v>
                </c:pt>
                <c:pt idx="59">
                  <c:v>66.67</c:v>
                </c:pt>
                <c:pt idx="60">
                  <c:v>69.66</c:v>
                </c:pt>
                <c:pt idx="61">
                  <c:v>74.680000000000007</c:v>
                </c:pt>
                <c:pt idx="62">
                  <c:v>71.239999999999995</c:v>
                </c:pt>
                <c:pt idx="63">
                  <c:v>61.59</c:v>
                </c:pt>
                <c:pt idx="64">
                  <c:v>79.8</c:v>
                </c:pt>
                <c:pt idx="65">
                  <c:v>79.209999999999994</c:v>
                </c:pt>
                <c:pt idx="66">
                  <c:v>75.34</c:v>
                </c:pt>
                <c:pt idx="67">
                  <c:v>74.92</c:v>
                </c:pt>
                <c:pt idx="68">
                  <c:v>69.790000000000006</c:v>
                </c:pt>
                <c:pt idx="69">
                  <c:v>75.569999999999993</c:v>
                </c:pt>
                <c:pt idx="70">
                  <c:v>69.91</c:v>
                </c:pt>
                <c:pt idx="71">
                  <c:v>67.319999999999993</c:v>
                </c:pt>
                <c:pt idx="72">
                  <c:v>71.48</c:v>
                </c:pt>
                <c:pt idx="73">
                  <c:v>66.81</c:v>
                </c:pt>
                <c:pt idx="74">
                  <c:v>69.75</c:v>
                </c:pt>
                <c:pt idx="75">
                  <c:v>67.44</c:v>
                </c:pt>
                <c:pt idx="76">
                  <c:v>65.91</c:v>
                </c:pt>
                <c:pt idx="77">
                  <c:v>62.34</c:v>
                </c:pt>
                <c:pt idx="78">
                  <c:v>60.18</c:v>
                </c:pt>
                <c:pt idx="79">
                  <c:v>58.51</c:v>
                </c:pt>
                <c:pt idx="80">
                  <c:v>56.38</c:v>
                </c:pt>
                <c:pt idx="81">
                  <c:v>60.97</c:v>
                </c:pt>
                <c:pt idx="82">
                  <c:v>69.349999999999994</c:v>
                </c:pt>
                <c:pt idx="83">
                  <c:v>64.17</c:v>
                </c:pt>
                <c:pt idx="84">
                  <c:v>58.15</c:v>
                </c:pt>
                <c:pt idx="86">
                  <c:v>58.24</c:v>
                </c:pt>
                <c:pt idx="87">
                  <c:v>57.95</c:v>
                </c:pt>
                <c:pt idx="88">
                  <c:v>53.82</c:v>
                </c:pt>
                <c:pt idx="89">
                  <c:v>57.52</c:v>
                </c:pt>
                <c:pt idx="90">
                  <c:v>56.49</c:v>
                </c:pt>
                <c:pt idx="91">
                  <c:v>56.5</c:v>
                </c:pt>
                <c:pt idx="92">
                  <c:v>51.07</c:v>
                </c:pt>
                <c:pt idx="93">
                  <c:v>46.57</c:v>
                </c:pt>
                <c:pt idx="94">
                  <c:v>49.71</c:v>
                </c:pt>
                <c:pt idx="95">
                  <c:v>49.11</c:v>
                </c:pt>
                <c:pt idx="96">
                  <c:v>53</c:v>
                </c:pt>
                <c:pt idx="97">
                  <c:v>59.28</c:v>
                </c:pt>
                <c:pt idx="98">
                  <c:v>56.08</c:v>
                </c:pt>
                <c:pt idx="99">
                  <c:v>54.4</c:v>
                </c:pt>
                <c:pt idx="100">
                  <c:v>59.48</c:v>
                </c:pt>
                <c:pt idx="101">
                  <c:v>58.23</c:v>
                </c:pt>
                <c:pt idx="102">
                  <c:v>60.67</c:v>
                </c:pt>
                <c:pt idx="103">
                  <c:v>58.89</c:v>
                </c:pt>
                <c:pt idx="104">
                  <c:v>60.74</c:v>
                </c:pt>
                <c:pt idx="105">
                  <c:v>57.67</c:v>
                </c:pt>
                <c:pt idx="106">
                  <c:v>51.9</c:v>
                </c:pt>
                <c:pt idx="107">
                  <c:v>51.72</c:v>
                </c:pt>
                <c:pt idx="108">
                  <c:v>52.6</c:v>
                </c:pt>
                <c:pt idx="109">
                  <c:v>51.44</c:v>
                </c:pt>
                <c:pt idx="110">
                  <c:v>45.59</c:v>
                </c:pt>
                <c:pt idx="111">
                  <c:v>46.39</c:v>
                </c:pt>
                <c:pt idx="112">
                  <c:v>45.76</c:v>
                </c:pt>
                <c:pt idx="113">
                  <c:v>51.26</c:v>
                </c:pt>
                <c:pt idx="114">
                  <c:v>49.1</c:v>
                </c:pt>
                <c:pt idx="115">
                  <c:v>49.1</c:v>
                </c:pt>
                <c:pt idx="116">
                  <c:v>57.37</c:v>
                </c:pt>
                <c:pt idx="117">
                  <c:v>57.71</c:v>
                </c:pt>
                <c:pt idx="118">
                  <c:v>69.349999999999994</c:v>
                </c:pt>
                <c:pt idx="119">
                  <c:v>70.66</c:v>
                </c:pt>
                <c:pt idx="120">
                  <c:v>65.19</c:v>
                </c:pt>
                <c:pt idx="121">
                  <c:v>65.430000000000007</c:v>
                </c:pt>
                <c:pt idx="122">
                  <c:v>57.27</c:v>
                </c:pt>
                <c:pt idx="123">
                  <c:v>63.74</c:v>
                </c:pt>
                <c:pt idx="124">
                  <c:v>54.97</c:v>
                </c:pt>
                <c:pt idx="125">
                  <c:v>63.22</c:v>
                </c:pt>
                <c:pt idx="126">
                  <c:v>65.099999999999994</c:v>
                </c:pt>
                <c:pt idx="127">
                  <c:v>60.91</c:v>
                </c:pt>
                <c:pt idx="128">
                  <c:v>63.94</c:v>
                </c:pt>
                <c:pt idx="129">
                  <c:v>66.03</c:v>
                </c:pt>
                <c:pt idx="130">
                  <c:v>65.62</c:v>
                </c:pt>
                <c:pt idx="131">
                  <c:v>69.88</c:v>
                </c:pt>
                <c:pt idx="132">
                  <c:v>63.37</c:v>
                </c:pt>
                <c:pt idx="133">
                  <c:v>60.5</c:v>
                </c:pt>
                <c:pt idx="134">
                  <c:v>66.2</c:v>
                </c:pt>
                <c:pt idx="135">
                  <c:v>63.24</c:v>
                </c:pt>
                <c:pt idx="136">
                  <c:v>64.45</c:v>
                </c:pt>
                <c:pt idx="137">
                  <c:v>55.39</c:v>
                </c:pt>
                <c:pt idx="138">
                  <c:v>59.09</c:v>
                </c:pt>
                <c:pt idx="139">
                  <c:v>56.7</c:v>
                </c:pt>
                <c:pt idx="140">
                  <c:v>47.72</c:v>
                </c:pt>
                <c:pt idx="141">
                  <c:v>50.86</c:v>
                </c:pt>
                <c:pt idx="142">
                  <c:v>54.27</c:v>
                </c:pt>
                <c:pt idx="148">
                  <c:v>57.72</c:v>
                </c:pt>
                <c:pt idx="149">
                  <c:v>50.37</c:v>
                </c:pt>
                <c:pt idx="150">
                  <c:v>51.29</c:v>
                </c:pt>
                <c:pt idx="151">
                  <c:v>52.19</c:v>
                </c:pt>
                <c:pt idx="152">
                  <c:v>45.97</c:v>
                </c:pt>
                <c:pt idx="153">
                  <c:v>52.36</c:v>
                </c:pt>
                <c:pt idx="154">
                  <c:v>55.86</c:v>
                </c:pt>
                <c:pt idx="155">
                  <c:v>63.09</c:v>
                </c:pt>
                <c:pt idx="156">
                  <c:v>67.150000000000006</c:v>
                </c:pt>
                <c:pt idx="157">
                  <c:v>67.45</c:v>
                </c:pt>
                <c:pt idx="158">
                  <c:v>68.66</c:v>
                </c:pt>
                <c:pt idx="159">
                  <c:v>67.760000000000005</c:v>
                </c:pt>
                <c:pt idx="160">
                  <c:v>75.22</c:v>
                </c:pt>
                <c:pt idx="161">
                  <c:v>76.91</c:v>
                </c:pt>
                <c:pt idx="162">
                  <c:v>73.59</c:v>
                </c:pt>
                <c:pt idx="163">
                  <c:v>71.97</c:v>
                </c:pt>
                <c:pt idx="164">
                  <c:v>71.650000000000006</c:v>
                </c:pt>
                <c:pt idx="165">
                  <c:v>65.010000000000005</c:v>
                </c:pt>
                <c:pt idx="166">
                  <c:v>57.08</c:v>
                </c:pt>
                <c:pt idx="167">
                  <c:v>55.84</c:v>
                </c:pt>
                <c:pt idx="168">
                  <c:v>53.16</c:v>
                </c:pt>
                <c:pt idx="169">
                  <c:v>52.9</c:v>
                </c:pt>
                <c:pt idx="170">
                  <c:v>54.04</c:v>
                </c:pt>
                <c:pt idx="171">
                  <c:v>51.96</c:v>
                </c:pt>
                <c:pt idx="172">
                  <c:v>54.1</c:v>
                </c:pt>
                <c:pt idx="173">
                  <c:v>55.73</c:v>
                </c:pt>
                <c:pt idx="174">
                  <c:v>47.11</c:v>
                </c:pt>
                <c:pt idx="175">
                  <c:v>45.37</c:v>
                </c:pt>
                <c:pt idx="176">
                  <c:v>50.13</c:v>
                </c:pt>
                <c:pt idx="177">
                  <c:v>44.56</c:v>
                </c:pt>
                <c:pt idx="178">
                  <c:v>44.11</c:v>
                </c:pt>
                <c:pt idx="179">
                  <c:v>40.729999999999997</c:v>
                </c:pt>
                <c:pt idx="180">
                  <c:v>42.86</c:v>
                </c:pt>
                <c:pt idx="181">
                  <c:v>43.7</c:v>
                </c:pt>
                <c:pt idx="183">
                  <c:v>49.85</c:v>
                </c:pt>
                <c:pt idx="184">
                  <c:v>49.38</c:v>
                </c:pt>
                <c:pt idx="185">
                  <c:v>47.08</c:v>
                </c:pt>
                <c:pt idx="186">
                  <c:v>47</c:v>
                </c:pt>
                <c:pt idx="187">
                  <c:v>48.66</c:v>
                </c:pt>
                <c:pt idx="188">
                  <c:v>50.4</c:v>
                </c:pt>
                <c:pt idx="189">
                  <c:v>48.74</c:v>
                </c:pt>
                <c:pt idx="190">
                  <c:v>46.28</c:v>
                </c:pt>
                <c:pt idx="191">
                  <c:v>39.82</c:v>
                </c:pt>
                <c:pt idx="192">
                  <c:v>37.08</c:v>
                </c:pt>
                <c:pt idx="193">
                  <c:v>48.51</c:v>
                </c:pt>
                <c:pt idx="194">
                  <c:v>49.38</c:v>
                </c:pt>
                <c:pt idx="195">
                  <c:v>48.23</c:v>
                </c:pt>
                <c:pt idx="196">
                  <c:v>45.91</c:v>
                </c:pt>
                <c:pt idx="197">
                  <c:v>56.93</c:v>
                </c:pt>
                <c:pt idx="198">
                  <c:v>53.77</c:v>
                </c:pt>
                <c:pt idx="199">
                  <c:v>54.55</c:v>
                </c:pt>
                <c:pt idx="200">
                  <c:v>55.96</c:v>
                </c:pt>
                <c:pt idx="201">
                  <c:v>57.72</c:v>
                </c:pt>
                <c:pt idx="202">
                  <c:v>58.69</c:v>
                </c:pt>
                <c:pt idx="203">
                  <c:v>61.77</c:v>
                </c:pt>
                <c:pt idx="204">
                  <c:v>63.45</c:v>
                </c:pt>
                <c:pt idx="205">
                  <c:v>72.650000000000006</c:v>
                </c:pt>
                <c:pt idx="206">
                  <c:v>75.260000000000005</c:v>
                </c:pt>
                <c:pt idx="207">
                  <c:v>71.989999999999995</c:v>
                </c:pt>
                <c:pt idx="208">
                  <c:v>74.989999999999995</c:v>
                </c:pt>
                <c:pt idx="209">
                  <c:v>73.69</c:v>
                </c:pt>
                <c:pt idx="210">
                  <c:v>71.06</c:v>
                </c:pt>
                <c:pt idx="211">
                  <c:v>62.69</c:v>
                </c:pt>
                <c:pt idx="212">
                  <c:v>59.78</c:v>
                </c:pt>
                <c:pt idx="213">
                  <c:v>71.56</c:v>
                </c:pt>
                <c:pt idx="214">
                  <c:v>70.709999999999994</c:v>
                </c:pt>
                <c:pt idx="215">
                  <c:v>77.650000000000006</c:v>
                </c:pt>
                <c:pt idx="216">
                  <c:v>75.319999999999993</c:v>
                </c:pt>
                <c:pt idx="217">
                  <c:v>74.53</c:v>
                </c:pt>
                <c:pt idx="218">
                  <c:v>78.87</c:v>
                </c:pt>
                <c:pt idx="219">
                  <c:v>86.7</c:v>
                </c:pt>
                <c:pt idx="220">
                  <c:v>86.67</c:v>
                </c:pt>
                <c:pt idx="221">
                  <c:v>83.08</c:v>
                </c:pt>
                <c:pt idx="222">
                  <c:v>81.5</c:v>
                </c:pt>
                <c:pt idx="223">
                  <c:v>79.66</c:v>
                </c:pt>
                <c:pt idx="224">
                  <c:v>79.2</c:v>
                </c:pt>
                <c:pt idx="225">
                  <c:v>82.96</c:v>
                </c:pt>
                <c:pt idx="226">
                  <c:v>85.31</c:v>
                </c:pt>
                <c:pt idx="227">
                  <c:v>82.6</c:v>
                </c:pt>
                <c:pt idx="228">
                  <c:v>85.46</c:v>
                </c:pt>
                <c:pt idx="229">
                  <c:v>85.4</c:v>
                </c:pt>
                <c:pt idx="230">
                  <c:v>84.46</c:v>
                </c:pt>
                <c:pt idx="231">
                  <c:v>84.96</c:v>
                </c:pt>
                <c:pt idx="233">
                  <c:v>82.43</c:v>
                </c:pt>
                <c:pt idx="234">
                  <c:v>81.73</c:v>
                </c:pt>
                <c:pt idx="236">
                  <c:v>73.819999999999993</c:v>
                </c:pt>
                <c:pt idx="237">
                  <c:v>82.31</c:v>
                </c:pt>
                <c:pt idx="238">
                  <c:v>84.93</c:v>
                </c:pt>
                <c:pt idx="239">
                  <c:v>79.61</c:v>
                </c:pt>
                <c:pt idx="240">
                  <c:v>77.319999999999993</c:v>
                </c:pt>
                <c:pt idx="241">
                  <c:v>77.91</c:v>
                </c:pt>
                <c:pt idx="242">
                  <c:v>73.12</c:v>
                </c:pt>
                <c:pt idx="243">
                  <c:v>69.81</c:v>
                </c:pt>
                <c:pt idx="244">
                  <c:v>75.209999999999994</c:v>
                </c:pt>
                <c:pt idx="245">
                  <c:v>72.680000000000007</c:v>
                </c:pt>
                <c:pt idx="246">
                  <c:v>71.08</c:v>
                </c:pt>
                <c:pt idx="247">
                  <c:v>72.88</c:v>
                </c:pt>
                <c:pt idx="248">
                  <c:v>72.53</c:v>
                </c:pt>
                <c:pt idx="249">
                  <c:v>79.38</c:v>
                </c:pt>
                <c:pt idx="250">
                  <c:v>76.349999999999994</c:v>
                </c:pt>
                <c:pt idx="251">
                  <c:v>73.91</c:v>
                </c:pt>
                <c:pt idx="252">
                  <c:v>71.040000000000006</c:v>
                </c:pt>
                <c:pt idx="253">
                  <c:v>73.61</c:v>
                </c:pt>
                <c:pt idx="254">
                  <c:v>73.27</c:v>
                </c:pt>
                <c:pt idx="257">
                  <c:v>72.28</c:v>
                </c:pt>
                <c:pt idx="259">
                  <c:v>71.260000000000005</c:v>
                </c:pt>
                <c:pt idx="260">
                  <c:v>67.5</c:v>
                </c:pt>
                <c:pt idx="261">
                  <c:v>63.59</c:v>
                </c:pt>
                <c:pt idx="262">
                  <c:v>64.42</c:v>
                </c:pt>
                <c:pt idx="263">
                  <c:v>60.75</c:v>
                </c:pt>
                <c:pt idx="264">
                  <c:v>59.87</c:v>
                </c:pt>
                <c:pt idx="265">
                  <c:v>55.88</c:v>
                </c:pt>
                <c:pt idx="266">
                  <c:v>54.51</c:v>
                </c:pt>
                <c:pt idx="267">
                  <c:v>51.76</c:v>
                </c:pt>
                <c:pt idx="268">
                  <c:v>48.78</c:v>
                </c:pt>
                <c:pt idx="269">
                  <c:v>47.91</c:v>
                </c:pt>
                <c:pt idx="270">
                  <c:v>47.39</c:v>
                </c:pt>
                <c:pt idx="271">
                  <c:v>43.01</c:v>
                </c:pt>
                <c:pt idx="272">
                  <c:v>40.479999999999997</c:v>
                </c:pt>
                <c:pt idx="273">
                  <c:v>41.35</c:v>
                </c:pt>
                <c:pt idx="274">
                  <c:v>19.37</c:v>
                </c:pt>
                <c:pt idx="275">
                  <c:v>21.62</c:v>
                </c:pt>
                <c:pt idx="276">
                  <c:v>22.7</c:v>
                </c:pt>
                <c:pt idx="277">
                  <c:v>33.57</c:v>
                </c:pt>
                <c:pt idx="278">
                  <c:v>35.32</c:v>
                </c:pt>
                <c:pt idx="279">
                  <c:v>40.04</c:v>
                </c:pt>
                <c:pt idx="280">
                  <c:v>41.28</c:v>
                </c:pt>
                <c:pt idx="281">
                  <c:v>34.85</c:v>
                </c:pt>
                <c:pt idx="282">
                  <c:v>40.44</c:v>
                </c:pt>
                <c:pt idx="283">
                  <c:v>45.16</c:v>
                </c:pt>
                <c:pt idx="284">
                  <c:v>50.17</c:v>
                </c:pt>
                <c:pt idx="285">
                  <c:v>51.7</c:v>
                </c:pt>
                <c:pt idx="286">
                  <c:v>54.32</c:v>
                </c:pt>
                <c:pt idx="287">
                  <c:v>54.21</c:v>
                </c:pt>
                <c:pt idx="288">
                  <c:v>55.82</c:v>
                </c:pt>
                <c:pt idx="289">
                  <c:v>56.22</c:v>
                </c:pt>
                <c:pt idx="290">
                  <c:v>53.01</c:v>
                </c:pt>
                <c:pt idx="291">
                  <c:v>50.97</c:v>
                </c:pt>
                <c:pt idx="292">
                  <c:v>45.54</c:v>
                </c:pt>
                <c:pt idx="293">
                  <c:v>46.24</c:v>
                </c:pt>
                <c:pt idx="294">
                  <c:v>44.4</c:v>
                </c:pt>
                <c:pt idx="295">
                  <c:v>40.33</c:v>
                </c:pt>
                <c:pt idx="296">
                  <c:v>44.98</c:v>
                </c:pt>
                <c:pt idx="297">
                  <c:v>40.39</c:v>
                </c:pt>
                <c:pt idx="298">
                  <c:v>47.62</c:v>
                </c:pt>
                <c:pt idx="299">
                  <c:v>40.97</c:v>
                </c:pt>
                <c:pt idx="300">
                  <c:v>39.25</c:v>
                </c:pt>
                <c:pt idx="302">
                  <c:v>41.85</c:v>
                </c:pt>
                <c:pt idx="303">
                  <c:v>53.52</c:v>
                </c:pt>
                <c:pt idx="304">
                  <c:v>59.18</c:v>
                </c:pt>
                <c:pt idx="305">
                  <c:v>55.05</c:v>
                </c:pt>
                <c:pt idx="306">
                  <c:v>57.74</c:v>
                </c:pt>
                <c:pt idx="307">
                  <c:v>59.42</c:v>
                </c:pt>
                <c:pt idx="308">
                  <c:v>61.59</c:v>
                </c:pt>
                <c:pt idx="309">
                  <c:v>67.819999999999993</c:v>
                </c:pt>
                <c:pt idx="310">
                  <c:v>65.7</c:v>
                </c:pt>
                <c:pt idx="311">
                  <c:v>65.25</c:v>
                </c:pt>
                <c:pt idx="312">
                  <c:v>59.05</c:v>
                </c:pt>
                <c:pt idx="313">
                  <c:v>54.3</c:v>
                </c:pt>
                <c:pt idx="314">
                  <c:v>53.63</c:v>
                </c:pt>
                <c:pt idx="315">
                  <c:v>50.03</c:v>
                </c:pt>
                <c:pt idx="316">
                  <c:v>49.56</c:v>
                </c:pt>
                <c:pt idx="317">
                  <c:v>52.94</c:v>
                </c:pt>
                <c:pt idx="318">
                  <c:v>57.32</c:v>
                </c:pt>
                <c:pt idx="319">
                  <c:v>56.84</c:v>
                </c:pt>
                <c:pt idx="320">
                  <c:v>56.03</c:v>
                </c:pt>
                <c:pt idx="321">
                  <c:v>50.22</c:v>
                </c:pt>
                <c:pt idx="322">
                  <c:v>61.41</c:v>
                </c:pt>
                <c:pt idx="327">
                  <c:v>52.05</c:v>
                </c:pt>
                <c:pt idx="328">
                  <c:v>50.6</c:v>
                </c:pt>
                <c:pt idx="329">
                  <c:v>55.36</c:v>
                </c:pt>
                <c:pt idx="330">
                  <c:v>53.58</c:v>
                </c:pt>
                <c:pt idx="331">
                  <c:v>53.85</c:v>
                </c:pt>
                <c:pt idx="332">
                  <c:v>55.02</c:v>
                </c:pt>
                <c:pt idx="333">
                  <c:v>56.84</c:v>
                </c:pt>
                <c:pt idx="334">
                  <c:v>52.39</c:v>
                </c:pt>
                <c:pt idx="335">
                  <c:v>50.7</c:v>
                </c:pt>
                <c:pt idx="336">
                  <c:v>52.85</c:v>
                </c:pt>
                <c:pt idx="337">
                  <c:v>52.4</c:v>
                </c:pt>
                <c:pt idx="338">
                  <c:v>51.04</c:v>
                </c:pt>
                <c:pt idx="339">
                  <c:v>49.74</c:v>
                </c:pt>
                <c:pt idx="340">
                  <c:v>48.74</c:v>
                </c:pt>
                <c:pt idx="341">
                  <c:v>48.14</c:v>
                </c:pt>
                <c:pt idx="342">
                  <c:v>44.04</c:v>
                </c:pt>
                <c:pt idx="343">
                  <c:v>40.76</c:v>
                </c:pt>
                <c:pt idx="345">
                  <c:v>41.05</c:v>
                </c:pt>
                <c:pt idx="346">
                  <c:v>43.74</c:v>
                </c:pt>
                <c:pt idx="347">
                  <c:v>47.46</c:v>
                </c:pt>
                <c:pt idx="348">
                  <c:v>49.05</c:v>
                </c:pt>
                <c:pt idx="349">
                  <c:v>49.94</c:v>
                </c:pt>
                <c:pt idx="350">
                  <c:v>41.74</c:v>
                </c:pt>
                <c:pt idx="351">
                  <c:v>45.62</c:v>
                </c:pt>
                <c:pt idx="352">
                  <c:v>49.27</c:v>
                </c:pt>
                <c:pt idx="353">
                  <c:v>45</c:v>
                </c:pt>
                <c:pt idx="354">
                  <c:v>46.71</c:v>
                </c:pt>
                <c:pt idx="355">
                  <c:v>48.43</c:v>
                </c:pt>
                <c:pt idx="356">
                  <c:v>48.88</c:v>
                </c:pt>
                <c:pt idx="357">
                  <c:v>46.52</c:v>
                </c:pt>
                <c:pt idx="358">
                  <c:v>41.11</c:v>
                </c:pt>
                <c:pt idx="359">
                  <c:v>36.619999999999997</c:v>
                </c:pt>
                <c:pt idx="360">
                  <c:v>43.05</c:v>
                </c:pt>
                <c:pt idx="361">
                  <c:v>42.08</c:v>
                </c:pt>
                <c:pt idx="362">
                  <c:v>51.61</c:v>
                </c:pt>
                <c:pt idx="363">
                  <c:v>63.36</c:v>
                </c:pt>
                <c:pt idx="364">
                  <c:v>51.8</c:v>
                </c:pt>
                <c:pt idx="365">
                  <c:v>50.18</c:v>
                </c:pt>
                <c:pt idx="366">
                  <c:v>56.19</c:v>
                </c:pt>
                <c:pt idx="367">
                  <c:v>57.05</c:v>
                </c:pt>
                <c:pt idx="368">
                  <c:v>52.16</c:v>
                </c:pt>
                <c:pt idx="369">
                  <c:v>57.88</c:v>
                </c:pt>
                <c:pt idx="370">
                  <c:v>56.62</c:v>
                </c:pt>
                <c:pt idx="371">
                  <c:v>52.45</c:v>
                </c:pt>
                <c:pt idx="372">
                  <c:v>51.95</c:v>
                </c:pt>
                <c:pt idx="373">
                  <c:v>44.81</c:v>
                </c:pt>
                <c:pt idx="374">
                  <c:v>45.02</c:v>
                </c:pt>
                <c:pt idx="375">
                  <c:v>34.01</c:v>
                </c:pt>
                <c:pt idx="376">
                  <c:v>37.020000000000003</c:v>
                </c:pt>
                <c:pt idx="377">
                  <c:v>38.630000000000003</c:v>
                </c:pt>
                <c:pt idx="378">
                  <c:v>43.59</c:v>
                </c:pt>
                <c:pt idx="379">
                  <c:v>50.8</c:v>
                </c:pt>
                <c:pt idx="380">
                  <c:v>54.5</c:v>
                </c:pt>
                <c:pt idx="381">
                  <c:v>54.59</c:v>
                </c:pt>
                <c:pt idx="382">
                  <c:v>55.17</c:v>
                </c:pt>
                <c:pt idx="383">
                  <c:v>49.65</c:v>
                </c:pt>
                <c:pt idx="384">
                  <c:v>48.9</c:v>
                </c:pt>
                <c:pt idx="385">
                  <c:v>46.7</c:v>
                </c:pt>
                <c:pt idx="386">
                  <c:v>44.45</c:v>
                </c:pt>
                <c:pt idx="387">
                  <c:v>52.56</c:v>
                </c:pt>
                <c:pt idx="388">
                  <c:v>57.93</c:v>
                </c:pt>
                <c:pt idx="389">
                  <c:v>57.76</c:v>
                </c:pt>
                <c:pt idx="390">
                  <c:v>64.41</c:v>
                </c:pt>
                <c:pt idx="391">
                  <c:v>56.72</c:v>
                </c:pt>
                <c:pt idx="392">
                  <c:v>59.48</c:v>
                </c:pt>
                <c:pt idx="393">
                  <c:v>59.97</c:v>
                </c:pt>
                <c:pt idx="394">
                  <c:v>59.48</c:v>
                </c:pt>
                <c:pt idx="395">
                  <c:v>61.41</c:v>
                </c:pt>
                <c:pt idx="396">
                  <c:v>60.61</c:v>
                </c:pt>
                <c:pt idx="397">
                  <c:v>61.92</c:v>
                </c:pt>
                <c:pt idx="398">
                  <c:v>62.49</c:v>
                </c:pt>
                <c:pt idx="399">
                  <c:v>62.43</c:v>
                </c:pt>
                <c:pt idx="400">
                  <c:v>56.25</c:v>
                </c:pt>
                <c:pt idx="401">
                  <c:v>54.48</c:v>
                </c:pt>
                <c:pt idx="403">
                  <c:v>51.89</c:v>
                </c:pt>
                <c:pt idx="404">
                  <c:v>52.45</c:v>
                </c:pt>
                <c:pt idx="405">
                  <c:v>48.06</c:v>
                </c:pt>
                <c:pt idx="407">
                  <c:v>45.64</c:v>
                </c:pt>
                <c:pt idx="409">
                  <c:v>47.96</c:v>
                </c:pt>
                <c:pt idx="410">
                  <c:v>53.01</c:v>
                </c:pt>
                <c:pt idx="411">
                  <c:v>55.32</c:v>
                </c:pt>
                <c:pt idx="412">
                  <c:v>45.5</c:v>
                </c:pt>
                <c:pt idx="413">
                  <c:v>55.62</c:v>
                </c:pt>
                <c:pt idx="414">
                  <c:v>54.97</c:v>
                </c:pt>
                <c:pt idx="415">
                  <c:v>55.44</c:v>
                </c:pt>
                <c:pt idx="416">
                  <c:v>54.96</c:v>
                </c:pt>
                <c:pt idx="420">
                  <c:v>51.14</c:v>
                </c:pt>
                <c:pt idx="421">
                  <c:v>43.52</c:v>
                </c:pt>
                <c:pt idx="422">
                  <c:v>37.799999999999997</c:v>
                </c:pt>
                <c:pt idx="423">
                  <c:v>45.39</c:v>
                </c:pt>
                <c:pt idx="424">
                  <c:v>42.58</c:v>
                </c:pt>
                <c:pt idx="425">
                  <c:v>45.7</c:v>
                </c:pt>
                <c:pt idx="426">
                  <c:v>47.97</c:v>
                </c:pt>
                <c:pt idx="427">
                  <c:v>47.82</c:v>
                </c:pt>
                <c:pt idx="428">
                  <c:v>57.62</c:v>
                </c:pt>
                <c:pt idx="429">
                  <c:v>52.57</c:v>
                </c:pt>
                <c:pt idx="430">
                  <c:v>51.41</c:v>
                </c:pt>
                <c:pt idx="431">
                  <c:v>52.23</c:v>
                </c:pt>
                <c:pt idx="432">
                  <c:v>53.3</c:v>
                </c:pt>
                <c:pt idx="433">
                  <c:v>59.37</c:v>
                </c:pt>
                <c:pt idx="434">
                  <c:v>62.57</c:v>
                </c:pt>
                <c:pt idx="435">
                  <c:v>60.46</c:v>
                </c:pt>
                <c:pt idx="436">
                  <c:v>59.41</c:v>
                </c:pt>
                <c:pt idx="437">
                  <c:v>59.56</c:v>
                </c:pt>
                <c:pt idx="438">
                  <c:v>61.07</c:v>
                </c:pt>
                <c:pt idx="439">
                  <c:v>56.82</c:v>
                </c:pt>
                <c:pt idx="440">
                  <c:v>52.51</c:v>
                </c:pt>
                <c:pt idx="442">
                  <c:v>49.62</c:v>
                </c:pt>
                <c:pt idx="443">
                  <c:v>50.61</c:v>
                </c:pt>
                <c:pt idx="444">
                  <c:v>48.23</c:v>
                </c:pt>
                <c:pt idx="445">
                  <c:v>46.55</c:v>
                </c:pt>
                <c:pt idx="446">
                  <c:v>45.41</c:v>
                </c:pt>
                <c:pt idx="447">
                  <c:v>43.01</c:v>
                </c:pt>
                <c:pt idx="448">
                  <c:v>37.56</c:v>
                </c:pt>
                <c:pt idx="449">
                  <c:v>30.64</c:v>
                </c:pt>
                <c:pt idx="450">
                  <c:v>47.13</c:v>
                </c:pt>
                <c:pt idx="451">
                  <c:v>63.24</c:v>
                </c:pt>
                <c:pt idx="452">
                  <c:v>62.97</c:v>
                </c:pt>
                <c:pt idx="453">
                  <c:v>58.91</c:v>
                </c:pt>
                <c:pt idx="454">
                  <c:v>64.150000000000006</c:v>
                </c:pt>
                <c:pt idx="455">
                  <c:v>58.38</c:v>
                </c:pt>
                <c:pt idx="456">
                  <c:v>44.14</c:v>
                </c:pt>
                <c:pt idx="457">
                  <c:v>51.49</c:v>
                </c:pt>
                <c:pt idx="458">
                  <c:v>57.99</c:v>
                </c:pt>
                <c:pt idx="459">
                  <c:v>57.64</c:v>
                </c:pt>
                <c:pt idx="460">
                  <c:v>56.48</c:v>
                </c:pt>
                <c:pt idx="461">
                  <c:v>57.95</c:v>
                </c:pt>
                <c:pt idx="462">
                  <c:v>61.05</c:v>
                </c:pt>
                <c:pt idx="463">
                  <c:v>62.15</c:v>
                </c:pt>
                <c:pt idx="464">
                  <c:v>61.64</c:v>
                </c:pt>
                <c:pt idx="465">
                  <c:v>65.989999999999995</c:v>
                </c:pt>
                <c:pt idx="466">
                  <c:v>66.28</c:v>
                </c:pt>
                <c:pt idx="467">
                  <c:v>61.57</c:v>
                </c:pt>
                <c:pt idx="468">
                  <c:v>60.63</c:v>
                </c:pt>
                <c:pt idx="469">
                  <c:v>62.31</c:v>
                </c:pt>
                <c:pt idx="470">
                  <c:v>70.23</c:v>
                </c:pt>
                <c:pt idx="471">
                  <c:v>67.5</c:v>
                </c:pt>
                <c:pt idx="472">
                  <c:v>62.01</c:v>
                </c:pt>
                <c:pt idx="473">
                  <c:v>58.23</c:v>
                </c:pt>
                <c:pt idx="474">
                  <c:v>55.27</c:v>
                </c:pt>
                <c:pt idx="475">
                  <c:v>60.08</c:v>
                </c:pt>
                <c:pt idx="476">
                  <c:v>53.85</c:v>
                </c:pt>
                <c:pt idx="477">
                  <c:v>55.71</c:v>
                </c:pt>
                <c:pt idx="478">
                  <c:v>54.98</c:v>
                </c:pt>
                <c:pt idx="479">
                  <c:v>52.7</c:v>
                </c:pt>
                <c:pt idx="480">
                  <c:v>58.24</c:v>
                </c:pt>
                <c:pt idx="481">
                  <c:v>57.85</c:v>
                </c:pt>
                <c:pt idx="482">
                  <c:v>53.33</c:v>
                </c:pt>
                <c:pt idx="483">
                  <c:v>47.56</c:v>
                </c:pt>
                <c:pt idx="484">
                  <c:v>47.65</c:v>
                </c:pt>
                <c:pt idx="485">
                  <c:v>49.61</c:v>
                </c:pt>
                <c:pt idx="486">
                  <c:v>51.85</c:v>
                </c:pt>
                <c:pt idx="487">
                  <c:v>52.87</c:v>
                </c:pt>
                <c:pt idx="488">
                  <c:v>49.31</c:v>
                </c:pt>
                <c:pt idx="489">
                  <c:v>51.09</c:v>
                </c:pt>
                <c:pt idx="490">
                  <c:v>53</c:v>
                </c:pt>
                <c:pt idx="492">
                  <c:v>44.77</c:v>
                </c:pt>
                <c:pt idx="493">
                  <c:v>45.97</c:v>
                </c:pt>
                <c:pt idx="494">
                  <c:v>54.65</c:v>
                </c:pt>
                <c:pt idx="495">
                  <c:v>53.12</c:v>
                </c:pt>
                <c:pt idx="496">
                  <c:v>48.65</c:v>
                </c:pt>
                <c:pt idx="497">
                  <c:v>49.41</c:v>
                </c:pt>
                <c:pt idx="498">
                  <c:v>51.2</c:v>
                </c:pt>
                <c:pt idx="499">
                  <c:v>50.76</c:v>
                </c:pt>
                <c:pt idx="500">
                  <c:v>49.96</c:v>
                </c:pt>
                <c:pt idx="501">
                  <c:v>51.81</c:v>
                </c:pt>
                <c:pt idx="502">
                  <c:v>54.19</c:v>
                </c:pt>
                <c:pt idx="503">
                  <c:v>60.01</c:v>
                </c:pt>
                <c:pt idx="504">
                  <c:v>61.98</c:v>
                </c:pt>
                <c:pt idx="505">
                  <c:v>59.84</c:v>
                </c:pt>
                <c:pt idx="506">
                  <c:v>64.36</c:v>
                </c:pt>
                <c:pt idx="508">
                  <c:v>60.69</c:v>
                </c:pt>
                <c:pt idx="509">
                  <c:v>62.66</c:v>
                </c:pt>
                <c:pt idx="510">
                  <c:v>60.17</c:v>
                </c:pt>
                <c:pt idx="511">
                  <c:v>55.3</c:v>
                </c:pt>
                <c:pt idx="512">
                  <c:v>59.3</c:v>
                </c:pt>
                <c:pt idx="513">
                  <c:v>55.61</c:v>
                </c:pt>
                <c:pt idx="515">
                  <c:v>51.47</c:v>
                </c:pt>
                <c:pt idx="516">
                  <c:v>50.78</c:v>
                </c:pt>
                <c:pt idx="518">
                  <c:v>56.71</c:v>
                </c:pt>
                <c:pt idx="519">
                  <c:v>59.02</c:v>
                </c:pt>
                <c:pt idx="520">
                  <c:v>56.56</c:v>
                </c:pt>
                <c:pt idx="521">
                  <c:v>48.55</c:v>
                </c:pt>
                <c:pt idx="522">
                  <c:v>49.28</c:v>
                </c:pt>
                <c:pt idx="523">
                  <c:v>50.37</c:v>
                </c:pt>
                <c:pt idx="524">
                  <c:v>48.61</c:v>
                </c:pt>
                <c:pt idx="525">
                  <c:v>33.619999999999997</c:v>
                </c:pt>
                <c:pt idx="526">
                  <c:v>35.85</c:v>
                </c:pt>
                <c:pt idx="527">
                  <c:v>27.99</c:v>
                </c:pt>
                <c:pt idx="528">
                  <c:v>30.14</c:v>
                </c:pt>
                <c:pt idx="529">
                  <c:v>34.369999999999997</c:v>
                </c:pt>
                <c:pt idx="530">
                  <c:v>32.950000000000003</c:v>
                </c:pt>
                <c:pt idx="531">
                  <c:v>37.65</c:v>
                </c:pt>
                <c:pt idx="533">
                  <c:v>41.52</c:v>
                </c:pt>
                <c:pt idx="534">
                  <c:v>44</c:v>
                </c:pt>
                <c:pt idx="535">
                  <c:v>42.71</c:v>
                </c:pt>
                <c:pt idx="536">
                  <c:v>44.66</c:v>
                </c:pt>
                <c:pt idx="537">
                  <c:v>39.96</c:v>
                </c:pt>
                <c:pt idx="538">
                  <c:v>43.09</c:v>
                </c:pt>
                <c:pt idx="539">
                  <c:v>43.65</c:v>
                </c:pt>
                <c:pt idx="540">
                  <c:v>46.47</c:v>
                </c:pt>
                <c:pt idx="541">
                  <c:v>49.96</c:v>
                </c:pt>
                <c:pt idx="542">
                  <c:v>50.75</c:v>
                </c:pt>
                <c:pt idx="543">
                  <c:v>58.26</c:v>
                </c:pt>
                <c:pt idx="544">
                  <c:v>59.59</c:v>
                </c:pt>
                <c:pt idx="545">
                  <c:v>63.73</c:v>
                </c:pt>
                <c:pt idx="546">
                  <c:v>64.31</c:v>
                </c:pt>
                <c:pt idx="547">
                  <c:v>57.94</c:v>
                </c:pt>
                <c:pt idx="548">
                  <c:v>55.44</c:v>
                </c:pt>
                <c:pt idx="549">
                  <c:v>60.63</c:v>
                </c:pt>
                <c:pt idx="550">
                  <c:v>63.98</c:v>
                </c:pt>
                <c:pt idx="551">
                  <c:v>71.42</c:v>
                </c:pt>
                <c:pt idx="552">
                  <c:v>65.33</c:v>
                </c:pt>
                <c:pt idx="553">
                  <c:v>60.47</c:v>
                </c:pt>
                <c:pt idx="554">
                  <c:v>62.28</c:v>
                </c:pt>
                <c:pt idx="555">
                  <c:v>64.84</c:v>
                </c:pt>
                <c:pt idx="556">
                  <c:v>64.61</c:v>
                </c:pt>
                <c:pt idx="557">
                  <c:v>62.27</c:v>
                </c:pt>
                <c:pt idx="558">
                  <c:v>63.43</c:v>
                </c:pt>
                <c:pt idx="559">
                  <c:v>64.39</c:v>
                </c:pt>
                <c:pt idx="561">
                  <c:v>60.56</c:v>
                </c:pt>
                <c:pt idx="562">
                  <c:v>60.2</c:v>
                </c:pt>
                <c:pt idx="563">
                  <c:v>57.24</c:v>
                </c:pt>
                <c:pt idx="564">
                  <c:v>58.76</c:v>
                </c:pt>
                <c:pt idx="565">
                  <c:v>69.22</c:v>
                </c:pt>
                <c:pt idx="566">
                  <c:v>66.58</c:v>
                </c:pt>
                <c:pt idx="567">
                  <c:v>66.349999999999994</c:v>
                </c:pt>
                <c:pt idx="568">
                  <c:v>66.33</c:v>
                </c:pt>
                <c:pt idx="569">
                  <c:v>74.819999999999993</c:v>
                </c:pt>
                <c:pt idx="570">
                  <c:v>70.81</c:v>
                </c:pt>
                <c:pt idx="571">
                  <c:v>65.59</c:v>
                </c:pt>
                <c:pt idx="572">
                  <c:v>69.040000000000006</c:v>
                </c:pt>
                <c:pt idx="573">
                  <c:v>77.849999999999994</c:v>
                </c:pt>
                <c:pt idx="576">
                  <c:v>77.78</c:v>
                </c:pt>
                <c:pt idx="577">
                  <c:v>76.05</c:v>
                </c:pt>
                <c:pt idx="578">
                  <c:v>72.66</c:v>
                </c:pt>
                <c:pt idx="579">
                  <c:v>76.89</c:v>
                </c:pt>
                <c:pt idx="580">
                  <c:v>83.61</c:v>
                </c:pt>
                <c:pt idx="581">
                  <c:v>79.75</c:v>
                </c:pt>
                <c:pt idx="582">
                  <c:v>71.319999999999993</c:v>
                </c:pt>
                <c:pt idx="583">
                  <c:v>65.39</c:v>
                </c:pt>
                <c:pt idx="584">
                  <c:v>63.39</c:v>
                </c:pt>
                <c:pt idx="585">
                  <c:v>57.05</c:v>
                </c:pt>
                <c:pt idx="586">
                  <c:v>54.92</c:v>
                </c:pt>
                <c:pt idx="587">
                  <c:v>51.55</c:v>
                </c:pt>
                <c:pt idx="588">
                  <c:v>49.66</c:v>
                </c:pt>
                <c:pt idx="589">
                  <c:v>39.33</c:v>
                </c:pt>
                <c:pt idx="590">
                  <c:v>39.299999999999997</c:v>
                </c:pt>
                <c:pt idx="591">
                  <c:v>37.630000000000003</c:v>
                </c:pt>
                <c:pt idx="592">
                  <c:v>40.06</c:v>
                </c:pt>
                <c:pt idx="593">
                  <c:v>48.02</c:v>
                </c:pt>
                <c:pt idx="594">
                  <c:v>51.19</c:v>
                </c:pt>
                <c:pt idx="595">
                  <c:v>44.84</c:v>
                </c:pt>
                <c:pt idx="596">
                  <c:v>45.36</c:v>
                </c:pt>
                <c:pt idx="597">
                  <c:v>41.04</c:v>
                </c:pt>
                <c:pt idx="598">
                  <c:v>43.32</c:v>
                </c:pt>
                <c:pt idx="599">
                  <c:v>39.69</c:v>
                </c:pt>
                <c:pt idx="600">
                  <c:v>40.159999999999997</c:v>
                </c:pt>
                <c:pt idx="601">
                  <c:v>42.03</c:v>
                </c:pt>
                <c:pt idx="602">
                  <c:v>47.46</c:v>
                </c:pt>
                <c:pt idx="603">
                  <c:v>56.24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98-444F-AD9A-E86F7F30F46F}"/>
            </c:ext>
          </c:extLst>
        </c:ser>
        <c:ser>
          <c:idx val="1"/>
          <c:order val="1"/>
          <c:tx>
            <c:strRef>
              <c:f>'미국 RSI'!$C$1</c:f>
              <c:strCache>
                <c:ptCount val="1"/>
                <c:pt idx="0">
                  <c:v>금융(US)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RSI'!$C$69:$C$3068</c:f>
              <c:numCache>
                <c:formatCode>0.00</c:formatCode>
                <c:ptCount val="3000"/>
                <c:pt idx="0">
                  <c:v>55.35</c:v>
                </c:pt>
                <c:pt idx="1">
                  <c:v>60.34</c:v>
                </c:pt>
                <c:pt idx="2">
                  <c:v>57.52</c:v>
                </c:pt>
                <c:pt idx="3">
                  <c:v>56.86</c:v>
                </c:pt>
                <c:pt idx="4">
                  <c:v>56.51</c:v>
                </c:pt>
                <c:pt idx="5">
                  <c:v>53.01</c:v>
                </c:pt>
                <c:pt idx="6">
                  <c:v>57.17</c:v>
                </c:pt>
                <c:pt idx="7">
                  <c:v>62.06</c:v>
                </c:pt>
                <c:pt idx="8">
                  <c:v>63.16</c:v>
                </c:pt>
                <c:pt idx="9">
                  <c:v>67.22</c:v>
                </c:pt>
                <c:pt idx="10">
                  <c:v>65.989999999999995</c:v>
                </c:pt>
                <c:pt idx="11">
                  <c:v>63.44</c:v>
                </c:pt>
                <c:pt idx="12">
                  <c:v>65.03</c:v>
                </c:pt>
                <c:pt idx="13">
                  <c:v>62.61</c:v>
                </c:pt>
                <c:pt idx="14">
                  <c:v>61.86</c:v>
                </c:pt>
                <c:pt idx="15">
                  <c:v>55.73</c:v>
                </c:pt>
                <c:pt idx="16">
                  <c:v>61.51</c:v>
                </c:pt>
                <c:pt idx="17">
                  <c:v>60.63</c:v>
                </c:pt>
                <c:pt idx="18">
                  <c:v>49.81</c:v>
                </c:pt>
                <c:pt idx="19">
                  <c:v>49.81</c:v>
                </c:pt>
                <c:pt idx="21">
                  <c:v>46.45</c:v>
                </c:pt>
                <c:pt idx="22">
                  <c:v>45.58</c:v>
                </c:pt>
                <c:pt idx="23">
                  <c:v>44.93</c:v>
                </c:pt>
                <c:pt idx="24">
                  <c:v>34.5</c:v>
                </c:pt>
                <c:pt idx="25">
                  <c:v>27.56</c:v>
                </c:pt>
                <c:pt idx="26">
                  <c:v>35.409999999999997</c:v>
                </c:pt>
                <c:pt idx="27">
                  <c:v>37.75</c:v>
                </c:pt>
                <c:pt idx="28">
                  <c:v>36.950000000000003</c:v>
                </c:pt>
                <c:pt idx="29">
                  <c:v>36.83</c:v>
                </c:pt>
                <c:pt idx="30">
                  <c:v>34.53</c:v>
                </c:pt>
                <c:pt idx="31">
                  <c:v>33.46</c:v>
                </c:pt>
                <c:pt idx="32">
                  <c:v>33.24</c:v>
                </c:pt>
                <c:pt idx="33">
                  <c:v>36.619999999999997</c:v>
                </c:pt>
                <c:pt idx="34">
                  <c:v>33.869999999999997</c:v>
                </c:pt>
                <c:pt idx="35">
                  <c:v>29.38</c:v>
                </c:pt>
                <c:pt idx="36">
                  <c:v>28.72</c:v>
                </c:pt>
                <c:pt idx="37">
                  <c:v>32.520000000000003</c:v>
                </c:pt>
                <c:pt idx="38">
                  <c:v>34.72</c:v>
                </c:pt>
                <c:pt idx="39">
                  <c:v>36.19</c:v>
                </c:pt>
                <c:pt idx="40">
                  <c:v>37.5</c:v>
                </c:pt>
                <c:pt idx="41">
                  <c:v>41.3</c:v>
                </c:pt>
                <c:pt idx="42">
                  <c:v>42.96</c:v>
                </c:pt>
                <c:pt idx="43">
                  <c:v>40.58</c:v>
                </c:pt>
                <c:pt idx="44">
                  <c:v>41.08</c:v>
                </c:pt>
                <c:pt idx="45">
                  <c:v>41.76</c:v>
                </c:pt>
                <c:pt idx="46">
                  <c:v>47.82</c:v>
                </c:pt>
                <c:pt idx="47">
                  <c:v>43.32</c:v>
                </c:pt>
                <c:pt idx="48">
                  <c:v>36.1</c:v>
                </c:pt>
                <c:pt idx="49">
                  <c:v>33.9</c:v>
                </c:pt>
                <c:pt idx="50">
                  <c:v>43.73</c:v>
                </c:pt>
                <c:pt idx="51">
                  <c:v>40.64</c:v>
                </c:pt>
                <c:pt idx="52">
                  <c:v>43.51</c:v>
                </c:pt>
                <c:pt idx="53">
                  <c:v>40.03</c:v>
                </c:pt>
                <c:pt idx="54">
                  <c:v>34.76</c:v>
                </c:pt>
                <c:pt idx="55">
                  <c:v>34.96</c:v>
                </c:pt>
                <c:pt idx="56">
                  <c:v>40.92</c:v>
                </c:pt>
                <c:pt idx="57">
                  <c:v>46.61</c:v>
                </c:pt>
                <c:pt idx="58">
                  <c:v>49.7</c:v>
                </c:pt>
                <c:pt idx="59">
                  <c:v>52.34</c:v>
                </c:pt>
                <c:pt idx="60">
                  <c:v>43.95</c:v>
                </c:pt>
                <c:pt idx="61">
                  <c:v>49.55</c:v>
                </c:pt>
                <c:pt idx="62">
                  <c:v>45.41</c:v>
                </c:pt>
                <c:pt idx="63">
                  <c:v>49.82</c:v>
                </c:pt>
                <c:pt idx="64">
                  <c:v>43.84</c:v>
                </c:pt>
                <c:pt idx="65">
                  <c:v>44.76</c:v>
                </c:pt>
                <c:pt idx="66">
                  <c:v>38.65</c:v>
                </c:pt>
                <c:pt idx="67">
                  <c:v>38.72</c:v>
                </c:pt>
                <c:pt idx="68">
                  <c:v>41.63</c:v>
                </c:pt>
                <c:pt idx="69">
                  <c:v>38.04</c:v>
                </c:pt>
                <c:pt idx="70">
                  <c:v>43.44</c:v>
                </c:pt>
                <c:pt idx="71">
                  <c:v>39.68</c:v>
                </c:pt>
                <c:pt idx="72">
                  <c:v>36.78</c:v>
                </c:pt>
                <c:pt idx="74">
                  <c:v>46.73</c:v>
                </c:pt>
                <c:pt idx="75">
                  <c:v>45.97</c:v>
                </c:pt>
                <c:pt idx="76">
                  <c:v>43.6</c:v>
                </c:pt>
                <c:pt idx="77">
                  <c:v>44.25</c:v>
                </c:pt>
                <c:pt idx="78">
                  <c:v>54.29</c:v>
                </c:pt>
                <c:pt idx="79">
                  <c:v>59.5</c:v>
                </c:pt>
                <c:pt idx="80">
                  <c:v>61.61</c:v>
                </c:pt>
                <c:pt idx="81">
                  <c:v>59.32</c:v>
                </c:pt>
                <c:pt idx="82">
                  <c:v>69.89</c:v>
                </c:pt>
                <c:pt idx="83">
                  <c:v>68.08</c:v>
                </c:pt>
                <c:pt idx="84">
                  <c:v>57.6</c:v>
                </c:pt>
                <c:pt idx="85">
                  <c:v>55.8</c:v>
                </c:pt>
                <c:pt idx="86">
                  <c:v>62.06</c:v>
                </c:pt>
                <c:pt idx="87">
                  <c:v>64.349999999999994</c:v>
                </c:pt>
                <c:pt idx="88">
                  <c:v>69.45</c:v>
                </c:pt>
                <c:pt idx="89">
                  <c:v>71.37</c:v>
                </c:pt>
                <c:pt idx="90">
                  <c:v>69.209999999999994</c:v>
                </c:pt>
                <c:pt idx="91">
                  <c:v>68.400000000000006</c:v>
                </c:pt>
                <c:pt idx="92">
                  <c:v>64.62</c:v>
                </c:pt>
                <c:pt idx="93">
                  <c:v>61.97</c:v>
                </c:pt>
                <c:pt idx="94">
                  <c:v>63.29</c:v>
                </c:pt>
                <c:pt idx="95">
                  <c:v>63.43</c:v>
                </c:pt>
                <c:pt idx="96">
                  <c:v>68.3</c:v>
                </c:pt>
                <c:pt idx="97">
                  <c:v>68.040000000000006</c:v>
                </c:pt>
                <c:pt idx="98">
                  <c:v>67.55</c:v>
                </c:pt>
                <c:pt idx="99">
                  <c:v>60.6</c:v>
                </c:pt>
                <c:pt idx="100">
                  <c:v>55.03</c:v>
                </c:pt>
                <c:pt idx="101">
                  <c:v>57.5</c:v>
                </c:pt>
                <c:pt idx="102">
                  <c:v>60.01</c:v>
                </c:pt>
                <c:pt idx="103">
                  <c:v>59.85</c:v>
                </c:pt>
                <c:pt idx="104">
                  <c:v>58.99</c:v>
                </c:pt>
                <c:pt idx="105">
                  <c:v>53.03</c:v>
                </c:pt>
                <c:pt idx="106">
                  <c:v>53.54</c:v>
                </c:pt>
                <c:pt idx="107">
                  <c:v>58.1</c:v>
                </c:pt>
                <c:pt idx="109">
                  <c:v>55.03</c:v>
                </c:pt>
                <c:pt idx="110">
                  <c:v>51.47</c:v>
                </c:pt>
                <c:pt idx="111">
                  <c:v>45.06</c:v>
                </c:pt>
                <c:pt idx="112">
                  <c:v>42.68</c:v>
                </c:pt>
                <c:pt idx="113">
                  <c:v>36.15</c:v>
                </c:pt>
                <c:pt idx="114">
                  <c:v>39.51</c:v>
                </c:pt>
                <c:pt idx="115">
                  <c:v>37.22</c:v>
                </c:pt>
                <c:pt idx="116">
                  <c:v>37.78</c:v>
                </c:pt>
                <c:pt idx="117">
                  <c:v>45.75</c:v>
                </c:pt>
                <c:pt idx="118">
                  <c:v>51.05</c:v>
                </c:pt>
                <c:pt idx="119">
                  <c:v>59.36</c:v>
                </c:pt>
                <c:pt idx="120">
                  <c:v>54.81</c:v>
                </c:pt>
                <c:pt idx="121">
                  <c:v>52.21</c:v>
                </c:pt>
                <c:pt idx="122">
                  <c:v>50.1</c:v>
                </c:pt>
                <c:pt idx="123">
                  <c:v>45.78</c:v>
                </c:pt>
                <c:pt idx="124">
                  <c:v>47.75</c:v>
                </c:pt>
                <c:pt idx="125">
                  <c:v>45.7</c:v>
                </c:pt>
                <c:pt idx="126">
                  <c:v>42.54</c:v>
                </c:pt>
                <c:pt idx="127">
                  <c:v>44.5</c:v>
                </c:pt>
                <c:pt idx="128">
                  <c:v>42.95</c:v>
                </c:pt>
                <c:pt idx="129">
                  <c:v>41.43</c:v>
                </c:pt>
                <c:pt idx="130">
                  <c:v>49.25</c:v>
                </c:pt>
                <c:pt idx="131">
                  <c:v>52.75</c:v>
                </c:pt>
                <c:pt idx="132">
                  <c:v>50.64</c:v>
                </c:pt>
                <c:pt idx="133">
                  <c:v>44.72</c:v>
                </c:pt>
                <c:pt idx="134">
                  <c:v>43.51</c:v>
                </c:pt>
                <c:pt idx="135">
                  <c:v>46.07</c:v>
                </c:pt>
                <c:pt idx="136">
                  <c:v>46.58</c:v>
                </c:pt>
                <c:pt idx="137">
                  <c:v>40.35</c:v>
                </c:pt>
                <c:pt idx="138">
                  <c:v>35.549999999999997</c:v>
                </c:pt>
                <c:pt idx="139">
                  <c:v>48.27</c:v>
                </c:pt>
                <c:pt idx="140">
                  <c:v>48.27</c:v>
                </c:pt>
                <c:pt idx="141">
                  <c:v>41.16</c:v>
                </c:pt>
                <c:pt idx="142">
                  <c:v>33.880000000000003</c:v>
                </c:pt>
                <c:pt idx="143">
                  <c:v>46.19</c:v>
                </c:pt>
                <c:pt idx="144">
                  <c:v>48.89</c:v>
                </c:pt>
                <c:pt idx="145">
                  <c:v>52.81</c:v>
                </c:pt>
                <c:pt idx="146">
                  <c:v>51.84</c:v>
                </c:pt>
                <c:pt idx="147">
                  <c:v>52.13</c:v>
                </c:pt>
                <c:pt idx="148">
                  <c:v>47.17</c:v>
                </c:pt>
                <c:pt idx="149">
                  <c:v>47.67</c:v>
                </c:pt>
                <c:pt idx="150">
                  <c:v>53.98</c:v>
                </c:pt>
                <c:pt idx="151">
                  <c:v>57.84</c:v>
                </c:pt>
                <c:pt idx="152">
                  <c:v>54.72</c:v>
                </c:pt>
                <c:pt idx="153">
                  <c:v>49.73</c:v>
                </c:pt>
                <c:pt idx="154">
                  <c:v>51.63</c:v>
                </c:pt>
                <c:pt idx="155">
                  <c:v>53.67</c:v>
                </c:pt>
                <c:pt idx="156">
                  <c:v>57</c:v>
                </c:pt>
                <c:pt idx="157">
                  <c:v>60.66</c:v>
                </c:pt>
                <c:pt idx="158">
                  <c:v>59.5</c:v>
                </c:pt>
                <c:pt idx="159">
                  <c:v>59.03</c:v>
                </c:pt>
                <c:pt idx="160">
                  <c:v>53.92</c:v>
                </c:pt>
                <c:pt idx="161">
                  <c:v>55.4</c:v>
                </c:pt>
                <c:pt idx="162">
                  <c:v>56.85</c:v>
                </c:pt>
                <c:pt idx="163">
                  <c:v>59.63</c:v>
                </c:pt>
                <c:pt idx="164">
                  <c:v>51.25</c:v>
                </c:pt>
                <c:pt idx="165">
                  <c:v>53.38</c:v>
                </c:pt>
                <c:pt idx="166">
                  <c:v>50.97</c:v>
                </c:pt>
                <c:pt idx="167">
                  <c:v>50.55</c:v>
                </c:pt>
                <c:pt idx="168">
                  <c:v>62.72</c:v>
                </c:pt>
                <c:pt idx="169">
                  <c:v>57.33</c:v>
                </c:pt>
                <c:pt idx="170">
                  <c:v>58.59</c:v>
                </c:pt>
                <c:pt idx="172">
                  <c:v>64.459999999999994</c:v>
                </c:pt>
                <c:pt idx="173">
                  <c:v>63.27</c:v>
                </c:pt>
                <c:pt idx="174">
                  <c:v>62.68</c:v>
                </c:pt>
                <c:pt idx="175">
                  <c:v>61.8</c:v>
                </c:pt>
                <c:pt idx="176">
                  <c:v>58.38</c:v>
                </c:pt>
                <c:pt idx="177">
                  <c:v>62.29</c:v>
                </c:pt>
                <c:pt idx="178">
                  <c:v>54.32</c:v>
                </c:pt>
                <c:pt idx="179">
                  <c:v>56.48</c:v>
                </c:pt>
                <c:pt idx="180">
                  <c:v>53.76</c:v>
                </c:pt>
                <c:pt idx="181">
                  <c:v>52.75</c:v>
                </c:pt>
                <c:pt idx="182">
                  <c:v>52.36</c:v>
                </c:pt>
                <c:pt idx="183">
                  <c:v>58.51</c:v>
                </c:pt>
                <c:pt idx="184">
                  <c:v>56.34</c:v>
                </c:pt>
                <c:pt idx="185">
                  <c:v>53.65</c:v>
                </c:pt>
                <c:pt idx="186">
                  <c:v>47.31</c:v>
                </c:pt>
                <c:pt idx="187">
                  <c:v>47.5</c:v>
                </c:pt>
                <c:pt idx="188">
                  <c:v>42.29</c:v>
                </c:pt>
                <c:pt idx="189">
                  <c:v>47.59</c:v>
                </c:pt>
                <c:pt idx="190">
                  <c:v>44.82</c:v>
                </c:pt>
                <c:pt idx="191">
                  <c:v>46.74</c:v>
                </c:pt>
                <c:pt idx="192">
                  <c:v>41.04</c:v>
                </c:pt>
                <c:pt idx="193">
                  <c:v>50.62</c:v>
                </c:pt>
                <c:pt idx="194">
                  <c:v>54.65</c:v>
                </c:pt>
                <c:pt idx="195">
                  <c:v>55.9</c:v>
                </c:pt>
                <c:pt idx="196">
                  <c:v>59.31</c:v>
                </c:pt>
                <c:pt idx="197">
                  <c:v>64.290000000000006</c:v>
                </c:pt>
                <c:pt idx="198">
                  <c:v>61.27</c:v>
                </c:pt>
                <c:pt idx="199">
                  <c:v>61.66</c:v>
                </c:pt>
                <c:pt idx="200">
                  <c:v>58.17</c:v>
                </c:pt>
                <c:pt idx="201">
                  <c:v>55.58</c:v>
                </c:pt>
                <c:pt idx="202">
                  <c:v>57.29</c:v>
                </c:pt>
                <c:pt idx="203">
                  <c:v>57.04</c:v>
                </c:pt>
                <c:pt idx="204">
                  <c:v>52.86</c:v>
                </c:pt>
                <c:pt idx="205">
                  <c:v>49.58</c:v>
                </c:pt>
                <c:pt idx="206">
                  <c:v>59.13</c:v>
                </c:pt>
                <c:pt idx="207">
                  <c:v>55.7</c:v>
                </c:pt>
                <c:pt idx="208">
                  <c:v>62.59</c:v>
                </c:pt>
                <c:pt idx="209">
                  <c:v>60</c:v>
                </c:pt>
                <c:pt idx="210">
                  <c:v>58.36</c:v>
                </c:pt>
                <c:pt idx="211">
                  <c:v>64.430000000000007</c:v>
                </c:pt>
                <c:pt idx="213">
                  <c:v>71.97</c:v>
                </c:pt>
                <c:pt idx="214">
                  <c:v>68.09</c:v>
                </c:pt>
                <c:pt idx="215">
                  <c:v>68.709999999999994</c:v>
                </c:pt>
                <c:pt idx="216">
                  <c:v>66.67</c:v>
                </c:pt>
                <c:pt idx="217">
                  <c:v>63.39</c:v>
                </c:pt>
                <c:pt idx="218">
                  <c:v>62.18</c:v>
                </c:pt>
                <c:pt idx="219">
                  <c:v>59</c:v>
                </c:pt>
                <c:pt idx="220">
                  <c:v>61.13</c:v>
                </c:pt>
                <c:pt idx="221">
                  <c:v>54.25</c:v>
                </c:pt>
                <c:pt idx="222">
                  <c:v>49.2</c:v>
                </c:pt>
                <c:pt idx="224">
                  <c:v>47.56</c:v>
                </c:pt>
                <c:pt idx="225">
                  <c:v>47.77</c:v>
                </c:pt>
                <c:pt idx="226">
                  <c:v>50.7</c:v>
                </c:pt>
                <c:pt idx="227">
                  <c:v>44.48</c:v>
                </c:pt>
                <c:pt idx="228">
                  <c:v>56.56</c:v>
                </c:pt>
                <c:pt idx="229">
                  <c:v>56.56</c:v>
                </c:pt>
                <c:pt idx="230">
                  <c:v>57.34</c:v>
                </c:pt>
                <c:pt idx="231">
                  <c:v>56.79</c:v>
                </c:pt>
                <c:pt idx="232">
                  <c:v>60.15</c:v>
                </c:pt>
                <c:pt idx="233">
                  <c:v>54.53</c:v>
                </c:pt>
                <c:pt idx="234">
                  <c:v>56.16</c:v>
                </c:pt>
                <c:pt idx="235">
                  <c:v>59.6</c:v>
                </c:pt>
                <c:pt idx="236">
                  <c:v>58.79</c:v>
                </c:pt>
                <c:pt idx="237">
                  <c:v>58.64</c:v>
                </c:pt>
                <c:pt idx="238">
                  <c:v>57.84</c:v>
                </c:pt>
                <c:pt idx="239">
                  <c:v>55.96</c:v>
                </c:pt>
                <c:pt idx="240">
                  <c:v>59.15</c:v>
                </c:pt>
                <c:pt idx="242">
                  <c:v>52.67</c:v>
                </c:pt>
                <c:pt idx="243">
                  <c:v>54.31</c:v>
                </c:pt>
                <c:pt idx="244">
                  <c:v>54.83</c:v>
                </c:pt>
                <c:pt idx="245">
                  <c:v>65.12</c:v>
                </c:pt>
                <c:pt idx="246">
                  <c:v>68.290000000000006</c:v>
                </c:pt>
                <c:pt idx="247">
                  <c:v>68.13</c:v>
                </c:pt>
                <c:pt idx="248">
                  <c:v>66.569999999999993</c:v>
                </c:pt>
                <c:pt idx="249">
                  <c:v>64.81</c:v>
                </c:pt>
                <c:pt idx="250">
                  <c:v>66.14</c:v>
                </c:pt>
                <c:pt idx="251">
                  <c:v>65.150000000000006</c:v>
                </c:pt>
                <c:pt idx="252">
                  <c:v>59.88</c:v>
                </c:pt>
                <c:pt idx="253">
                  <c:v>59.88</c:v>
                </c:pt>
                <c:pt idx="254">
                  <c:v>57.65</c:v>
                </c:pt>
                <c:pt idx="255">
                  <c:v>56.03</c:v>
                </c:pt>
                <c:pt idx="256">
                  <c:v>58.01</c:v>
                </c:pt>
                <c:pt idx="257">
                  <c:v>60.27</c:v>
                </c:pt>
                <c:pt idx="258">
                  <c:v>55.15</c:v>
                </c:pt>
                <c:pt idx="259">
                  <c:v>55.22</c:v>
                </c:pt>
                <c:pt idx="260">
                  <c:v>54.77</c:v>
                </c:pt>
                <c:pt idx="261">
                  <c:v>52.31</c:v>
                </c:pt>
                <c:pt idx="262">
                  <c:v>51.57</c:v>
                </c:pt>
                <c:pt idx="263">
                  <c:v>52.73</c:v>
                </c:pt>
                <c:pt idx="264">
                  <c:v>50.35</c:v>
                </c:pt>
                <c:pt idx="265">
                  <c:v>47.76</c:v>
                </c:pt>
                <c:pt idx="266">
                  <c:v>39.94</c:v>
                </c:pt>
                <c:pt idx="268">
                  <c:v>43.99</c:v>
                </c:pt>
                <c:pt idx="269">
                  <c:v>43.35</c:v>
                </c:pt>
                <c:pt idx="270">
                  <c:v>46.39</c:v>
                </c:pt>
                <c:pt idx="271">
                  <c:v>45.82</c:v>
                </c:pt>
                <c:pt idx="272">
                  <c:v>43.59</c:v>
                </c:pt>
                <c:pt idx="273">
                  <c:v>39.950000000000003</c:v>
                </c:pt>
                <c:pt idx="274">
                  <c:v>44.59</c:v>
                </c:pt>
                <c:pt idx="275">
                  <c:v>24.05</c:v>
                </c:pt>
                <c:pt idx="276">
                  <c:v>24.48</c:v>
                </c:pt>
                <c:pt idx="277">
                  <c:v>24.75</c:v>
                </c:pt>
                <c:pt idx="278">
                  <c:v>36.5</c:v>
                </c:pt>
                <c:pt idx="279">
                  <c:v>53.06</c:v>
                </c:pt>
                <c:pt idx="280">
                  <c:v>49.53</c:v>
                </c:pt>
                <c:pt idx="281">
                  <c:v>50.04</c:v>
                </c:pt>
                <c:pt idx="282">
                  <c:v>44.75</c:v>
                </c:pt>
                <c:pt idx="283">
                  <c:v>53.21</c:v>
                </c:pt>
                <c:pt idx="284">
                  <c:v>54.19</c:v>
                </c:pt>
                <c:pt idx="285">
                  <c:v>55.62</c:v>
                </c:pt>
                <c:pt idx="286">
                  <c:v>53.5</c:v>
                </c:pt>
                <c:pt idx="287">
                  <c:v>47.77</c:v>
                </c:pt>
                <c:pt idx="288">
                  <c:v>49.24</c:v>
                </c:pt>
                <c:pt idx="289">
                  <c:v>48.67</c:v>
                </c:pt>
                <c:pt idx="290">
                  <c:v>44.18</c:v>
                </c:pt>
                <c:pt idx="291">
                  <c:v>44.59</c:v>
                </c:pt>
                <c:pt idx="292">
                  <c:v>39.75</c:v>
                </c:pt>
                <c:pt idx="293">
                  <c:v>28.57</c:v>
                </c:pt>
                <c:pt idx="294">
                  <c:v>29.78</c:v>
                </c:pt>
                <c:pt idx="295">
                  <c:v>29.03</c:v>
                </c:pt>
                <c:pt idx="296">
                  <c:v>30.83</c:v>
                </c:pt>
                <c:pt idx="297">
                  <c:v>36.450000000000003</c:v>
                </c:pt>
                <c:pt idx="298">
                  <c:v>37.97</c:v>
                </c:pt>
                <c:pt idx="299">
                  <c:v>43.33</c:v>
                </c:pt>
                <c:pt idx="300">
                  <c:v>40.61</c:v>
                </c:pt>
                <c:pt idx="301">
                  <c:v>56.38</c:v>
                </c:pt>
                <c:pt idx="302">
                  <c:v>61.76</c:v>
                </c:pt>
                <c:pt idx="303">
                  <c:v>51.5</c:v>
                </c:pt>
                <c:pt idx="304">
                  <c:v>48.05</c:v>
                </c:pt>
                <c:pt idx="305">
                  <c:v>49.33</c:v>
                </c:pt>
                <c:pt idx="306">
                  <c:v>49.44</c:v>
                </c:pt>
                <c:pt idx="307">
                  <c:v>47</c:v>
                </c:pt>
                <c:pt idx="308">
                  <c:v>54.05</c:v>
                </c:pt>
                <c:pt idx="309">
                  <c:v>65.45</c:v>
                </c:pt>
                <c:pt idx="310">
                  <c:v>65.28</c:v>
                </c:pt>
                <c:pt idx="312">
                  <c:v>62.07</c:v>
                </c:pt>
                <c:pt idx="313">
                  <c:v>61.17</c:v>
                </c:pt>
                <c:pt idx="314">
                  <c:v>58.03</c:v>
                </c:pt>
                <c:pt idx="315">
                  <c:v>60.43</c:v>
                </c:pt>
                <c:pt idx="316">
                  <c:v>59.3</c:v>
                </c:pt>
                <c:pt idx="317">
                  <c:v>64.72</c:v>
                </c:pt>
                <c:pt idx="318">
                  <c:v>68.849999999999994</c:v>
                </c:pt>
                <c:pt idx="319">
                  <c:v>65.849999999999994</c:v>
                </c:pt>
                <c:pt idx="320">
                  <c:v>61.53</c:v>
                </c:pt>
                <c:pt idx="321">
                  <c:v>63.18</c:v>
                </c:pt>
                <c:pt idx="322">
                  <c:v>66.05</c:v>
                </c:pt>
                <c:pt idx="323">
                  <c:v>70.3</c:v>
                </c:pt>
                <c:pt idx="324">
                  <c:v>67.09</c:v>
                </c:pt>
                <c:pt idx="325">
                  <c:v>67.650000000000006</c:v>
                </c:pt>
                <c:pt idx="326">
                  <c:v>68.83</c:v>
                </c:pt>
                <c:pt idx="327">
                  <c:v>65.31</c:v>
                </c:pt>
                <c:pt idx="328">
                  <c:v>64.31</c:v>
                </c:pt>
                <c:pt idx="329">
                  <c:v>62.36</c:v>
                </c:pt>
                <c:pt idx="330">
                  <c:v>65.099999999999994</c:v>
                </c:pt>
                <c:pt idx="332">
                  <c:v>62.42</c:v>
                </c:pt>
                <c:pt idx="333">
                  <c:v>59.53</c:v>
                </c:pt>
                <c:pt idx="334">
                  <c:v>57.13</c:v>
                </c:pt>
                <c:pt idx="335">
                  <c:v>46.05</c:v>
                </c:pt>
                <c:pt idx="336">
                  <c:v>39.03</c:v>
                </c:pt>
                <c:pt idx="337">
                  <c:v>34.46</c:v>
                </c:pt>
                <c:pt idx="339">
                  <c:v>45.3</c:v>
                </c:pt>
                <c:pt idx="340">
                  <c:v>43.02</c:v>
                </c:pt>
                <c:pt idx="341">
                  <c:v>44.19</c:v>
                </c:pt>
                <c:pt idx="342">
                  <c:v>45.77</c:v>
                </c:pt>
                <c:pt idx="343">
                  <c:v>40.79</c:v>
                </c:pt>
                <c:pt idx="344">
                  <c:v>41.92</c:v>
                </c:pt>
                <c:pt idx="345">
                  <c:v>41.3</c:v>
                </c:pt>
                <c:pt idx="346">
                  <c:v>45.6</c:v>
                </c:pt>
                <c:pt idx="347">
                  <c:v>49.26</c:v>
                </c:pt>
                <c:pt idx="348">
                  <c:v>47.97</c:v>
                </c:pt>
                <c:pt idx="349">
                  <c:v>41.39</c:v>
                </c:pt>
                <c:pt idx="350">
                  <c:v>42.17</c:v>
                </c:pt>
                <c:pt idx="351">
                  <c:v>32.89</c:v>
                </c:pt>
                <c:pt idx="352">
                  <c:v>30.41</c:v>
                </c:pt>
                <c:pt idx="353">
                  <c:v>43.26</c:v>
                </c:pt>
                <c:pt idx="354">
                  <c:v>47.72</c:v>
                </c:pt>
                <c:pt idx="355">
                  <c:v>48.93</c:v>
                </c:pt>
                <c:pt idx="356">
                  <c:v>49.44</c:v>
                </c:pt>
                <c:pt idx="357">
                  <c:v>52.25</c:v>
                </c:pt>
                <c:pt idx="358">
                  <c:v>51.08</c:v>
                </c:pt>
                <c:pt idx="359">
                  <c:v>51.19</c:v>
                </c:pt>
                <c:pt idx="360">
                  <c:v>59.98</c:v>
                </c:pt>
                <c:pt idx="361">
                  <c:v>60.12</c:v>
                </c:pt>
                <c:pt idx="362">
                  <c:v>58.79</c:v>
                </c:pt>
                <c:pt idx="363">
                  <c:v>61.19</c:v>
                </c:pt>
                <c:pt idx="364">
                  <c:v>66.2</c:v>
                </c:pt>
                <c:pt idx="365">
                  <c:v>73.73</c:v>
                </c:pt>
                <c:pt idx="367">
                  <c:v>73.290000000000006</c:v>
                </c:pt>
                <c:pt idx="368">
                  <c:v>72.75</c:v>
                </c:pt>
                <c:pt idx="369">
                  <c:v>72.239999999999995</c:v>
                </c:pt>
                <c:pt idx="370">
                  <c:v>70.540000000000006</c:v>
                </c:pt>
                <c:pt idx="371">
                  <c:v>67.38</c:v>
                </c:pt>
                <c:pt idx="372">
                  <c:v>63.28</c:v>
                </c:pt>
                <c:pt idx="373">
                  <c:v>65.09</c:v>
                </c:pt>
                <c:pt idx="374">
                  <c:v>69.13</c:v>
                </c:pt>
                <c:pt idx="375">
                  <c:v>68.3</c:v>
                </c:pt>
                <c:pt idx="376">
                  <c:v>67.040000000000006</c:v>
                </c:pt>
                <c:pt idx="377">
                  <c:v>68.47</c:v>
                </c:pt>
                <c:pt idx="378">
                  <c:v>68.319999999999993</c:v>
                </c:pt>
                <c:pt idx="379">
                  <c:v>69.819999999999993</c:v>
                </c:pt>
                <c:pt idx="380">
                  <c:v>66.66</c:v>
                </c:pt>
                <c:pt idx="381">
                  <c:v>64.5</c:v>
                </c:pt>
                <c:pt idx="382">
                  <c:v>72.44</c:v>
                </c:pt>
                <c:pt idx="383">
                  <c:v>53.61</c:v>
                </c:pt>
                <c:pt idx="384">
                  <c:v>48.68</c:v>
                </c:pt>
                <c:pt idx="385">
                  <c:v>53.06</c:v>
                </c:pt>
                <c:pt idx="386">
                  <c:v>51.25</c:v>
                </c:pt>
                <c:pt idx="387">
                  <c:v>59.99</c:v>
                </c:pt>
                <c:pt idx="388">
                  <c:v>57.83</c:v>
                </c:pt>
                <c:pt idx="389">
                  <c:v>62.12</c:v>
                </c:pt>
                <c:pt idx="390">
                  <c:v>56.07</c:v>
                </c:pt>
                <c:pt idx="391">
                  <c:v>64.67</c:v>
                </c:pt>
                <c:pt idx="392">
                  <c:v>64.28</c:v>
                </c:pt>
                <c:pt idx="393">
                  <c:v>64.95</c:v>
                </c:pt>
                <c:pt idx="394">
                  <c:v>66.39</c:v>
                </c:pt>
                <c:pt idx="395">
                  <c:v>72.73</c:v>
                </c:pt>
                <c:pt idx="396">
                  <c:v>72.66</c:v>
                </c:pt>
                <c:pt idx="397">
                  <c:v>71.87</c:v>
                </c:pt>
                <c:pt idx="398">
                  <c:v>68.03</c:v>
                </c:pt>
                <c:pt idx="399">
                  <c:v>67.31</c:v>
                </c:pt>
                <c:pt idx="400">
                  <c:v>65.209999999999994</c:v>
                </c:pt>
                <c:pt idx="401">
                  <c:v>57.55</c:v>
                </c:pt>
                <c:pt idx="402">
                  <c:v>59.48</c:v>
                </c:pt>
                <c:pt idx="403">
                  <c:v>55.29</c:v>
                </c:pt>
                <c:pt idx="404">
                  <c:v>52.46</c:v>
                </c:pt>
                <c:pt idx="405">
                  <c:v>60.06</c:v>
                </c:pt>
                <c:pt idx="406">
                  <c:v>51.14</c:v>
                </c:pt>
                <c:pt idx="407">
                  <c:v>54.73</c:v>
                </c:pt>
                <c:pt idx="408">
                  <c:v>54.1</c:v>
                </c:pt>
                <c:pt idx="409">
                  <c:v>57.63</c:v>
                </c:pt>
                <c:pt idx="410">
                  <c:v>55.73</c:v>
                </c:pt>
                <c:pt idx="411">
                  <c:v>54.28</c:v>
                </c:pt>
                <c:pt idx="412">
                  <c:v>51.67</c:v>
                </c:pt>
                <c:pt idx="413">
                  <c:v>55.1</c:v>
                </c:pt>
                <c:pt idx="414">
                  <c:v>60.33</c:v>
                </c:pt>
                <c:pt idx="415">
                  <c:v>63.58</c:v>
                </c:pt>
                <c:pt idx="416">
                  <c:v>64.010000000000005</c:v>
                </c:pt>
                <c:pt idx="417">
                  <c:v>59.74</c:v>
                </c:pt>
                <c:pt idx="418">
                  <c:v>61.64</c:v>
                </c:pt>
                <c:pt idx="419">
                  <c:v>59.59</c:v>
                </c:pt>
                <c:pt idx="420">
                  <c:v>54.09</c:v>
                </c:pt>
                <c:pt idx="421">
                  <c:v>52.75</c:v>
                </c:pt>
                <c:pt idx="422">
                  <c:v>51.74</c:v>
                </c:pt>
                <c:pt idx="423">
                  <c:v>53.98</c:v>
                </c:pt>
                <c:pt idx="424">
                  <c:v>59.2</c:v>
                </c:pt>
                <c:pt idx="425">
                  <c:v>53.17</c:v>
                </c:pt>
                <c:pt idx="426">
                  <c:v>61.62</c:v>
                </c:pt>
                <c:pt idx="427">
                  <c:v>69.38</c:v>
                </c:pt>
                <c:pt idx="428">
                  <c:v>69.010000000000005</c:v>
                </c:pt>
                <c:pt idx="430">
                  <c:v>74.58</c:v>
                </c:pt>
                <c:pt idx="431">
                  <c:v>71.92</c:v>
                </c:pt>
                <c:pt idx="432">
                  <c:v>69.13</c:v>
                </c:pt>
                <c:pt idx="433">
                  <c:v>68.33</c:v>
                </c:pt>
                <c:pt idx="434">
                  <c:v>66.64</c:v>
                </c:pt>
                <c:pt idx="435">
                  <c:v>65.61</c:v>
                </c:pt>
                <c:pt idx="436">
                  <c:v>62.69</c:v>
                </c:pt>
                <c:pt idx="437">
                  <c:v>60.65</c:v>
                </c:pt>
                <c:pt idx="438">
                  <c:v>61.52</c:v>
                </c:pt>
                <c:pt idx="439">
                  <c:v>63.21</c:v>
                </c:pt>
                <c:pt idx="440">
                  <c:v>61.53</c:v>
                </c:pt>
                <c:pt idx="441">
                  <c:v>59.21</c:v>
                </c:pt>
                <c:pt idx="442">
                  <c:v>56.15</c:v>
                </c:pt>
                <c:pt idx="443">
                  <c:v>51.79</c:v>
                </c:pt>
                <c:pt idx="444">
                  <c:v>48.59</c:v>
                </c:pt>
                <c:pt idx="445">
                  <c:v>50.54</c:v>
                </c:pt>
                <c:pt idx="446">
                  <c:v>48.98</c:v>
                </c:pt>
                <c:pt idx="447">
                  <c:v>42.73</c:v>
                </c:pt>
                <c:pt idx="448">
                  <c:v>42.24</c:v>
                </c:pt>
                <c:pt idx="449">
                  <c:v>35.46</c:v>
                </c:pt>
                <c:pt idx="450">
                  <c:v>44.4</c:v>
                </c:pt>
                <c:pt idx="451">
                  <c:v>55.74</c:v>
                </c:pt>
                <c:pt idx="452">
                  <c:v>64.72</c:v>
                </c:pt>
                <c:pt idx="453">
                  <c:v>66.489999999999995</c:v>
                </c:pt>
                <c:pt idx="454">
                  <c:v>62.13</c:v>
                </c:pt>
                <c:pt idx="455">
                  <c:v>63.04</c:v>
                </c:pt>
                <c:pt idx="456">
                  <c:v>56.4</c:v>
                </c:pt>
                <c:pt idx="457">
                  <c:v>54.58</c:v>
                </c:pt>
                <c:pt idx="458">
                  <c:v>63.64</c:v>
                </c:pt>
                <c:pt idx="459">
                  <c:v>62.86</c:v>
                </c:pt>
                <c:pt idx="460">
                  <c:v>60.51</c:v>
                </c:pt>
                <c:pt idx="461">
                  <c:v>67.8</c:v>
                </c:pt>
                <c:pt idx="462">
                  <c:v>78.36</c:v>
                </c:pt>
                <c:pt idx="463">
                  <c:v>76.22</c:v>
                </c:pt>
                <c:pt idx="464">
                  <c:v>72.47</c:v>
                </c:pt>
                <c:pt idx="465">
                  <c:v>66.19</c:v>
                </c:pt>
                <c:pt idx="466">
                  <c:v>64.489999999999995</c:v>
                </c:pt>
                <c:pt idx="467">
                  <c:v>60.11</c:v>
                </c:pt>
                <c:pt idx="468">
                  <c:v>57.77</c:v>
                </c:pt>
                <c:pt idx="469">
                  <c:v>52.59</c:v>
                </c:pt>
                <c:pt idx="470">
                  <c:v>54.73</c:v>
                </c:pt>
                <c:pt idx="472">
                  <c:v>54.92</c:v>
                </c:pt>
                <c:pt idx="473">
                  <c:v>57.31</c:v>
                </c:pt>
                <c:pt idx="474">
                  <c:v>49.83</c:v>
                </c:pt>
                <c:pt idx="475">
                  <c:v>48.25</c:v>
                </c:pt>
                <c:pt idx="476">
                  <c:v>45.79</c:v>
                </c:pt>
                <c:pt idx="477">
                  <c:v>46.52</c:v>
                </c:pt>
                <c:pt idx="478">
                  <c:v>50.42</c:v>
                </c:pt>
                <c:pt idx="479">
                  <c:v>55.59</c:v>
                </c:pt>
                <c:pt idx="480">
                  <c:v>51.74</c:v>
                </c:pt>
                <c:pt idx="481">
                  <c:v>54.44</c:v>
                </c:pt>
                <c:pt idx="483">
                  <c:v>51.19</c:v>
                </c:pt>
                <c:pt idx="484">
                  <c:v>47.04</c:v>
                </c:pt>
                <c:pt idx="485">
                  <c:v>40.56</c:v>
                </c:pt>
                <c:pt idx="486">
                  <c:v>42.29</c:v>
                </c:pt>
                <c:pt idx="487">
                  <c:v>42.69</c:v>
                </c:pt>
                <c:pt idx="488">
                  <c:v>43.18</c:v>
                </c:pt>
                <c:pt idx="489">
                  <c:v>49.44</c:v>
                </c:pt>
                <c:pt idx="490">
                  <c:v>51.82</c:v>
                </c:pt>
                <c:pt idx="491">
                  <c:v>49.12</c:v>
                </c:pt>
                <c:pt idx="492">
                  <c:v>49.39</c:v>
                </c:pt>
                <c:pt idx="493">
                  <c:v>47.79</c:v>
                </c:pt>
                <c:pt idx="494">
                  <c:v>50.12</c:v>
                </c:pt>
                <c:pt idx="495">
                  <c:v>53.43</c:v>
                </c:pt>
                <c:pt idx="496">
                  <c:v>45.76</c:v>
                </c:pt>
                <c:pt idx="497">
                  <c:v>42.54</c:v>
                </c:pt>
                <c:pt idx="498">
                  <c:v>46.37</c:v>
                </c:pt>
                <c:pt idx="500">
                  <c:v>52.5</c:v>
                </c:pt>
                <c:pt idx="501">
                  <c:v>49.11</c:v>
                </c:pt>
                <c:pt idx="502">
                  <c:v>58.05</c:v>
                </c:pt>
                <c:pt idx="503">
                  <c:v>62.41</c:v>
                </c:pt>
                <c:pt idx="504">
                  <c:v>59.21</c:v>
                </c:pt>
                <c:pt idx="505">
                  <c:v>71.33</c:v>
                </c:pt>
                <c:pt idx="506">
                  <c:v>68.09</c:v>
                </c:pt>
                <c:pt idx="507">
                  <c:v>68.09</c:v>
                </c:pt>
                <c:pt idx="508">
                  <c:v>64.64</c:v>
                </c:pt>
                <c:pt idx="509">
                  <c:v>62.06</c:v>
                </c:pt>
                <c:pt idx="510">
                  <c:v>65.66</c:v>
                </c:pt>
                <c:pt idx="511">
                  <c:v>63.83</c:v>
                </c:pt>
                <c:pt idx="512">
                  <c:v>59.98</c:v>
                </c:pt>
                <c:pt idx="513">
                  <c:v>57.97</c:v>
                </c:pt>
                <c:pt idx="514">
                  <c:v>56.06</c:v>
                </c:pt>
                <c:pt idx="515">
                  <c:v>47.89</c:v>
                </c:pt>
                <c:pt idx="516">
                  <c:v>46.28</c:v>
                </c:pt>
                <c:pt idx="517">
                  <c:v>44.52</c:v>
                </c:pt>
                <c:pt idx="518">
                  <c:v>44.52</c:v>
                </c:pt>
                <c:pt idx="519">
                  <c:v>50.2</c:v>
                </c:pt>
                <c:pt idx="520">
                  <c:v>51.11</c:v>
                </c:pt>
                <c:pt idx="521">
                  <c:v>51.98</c:v>
                </c:pt>
                <c:pt idx="522">
                  <c:v>55.51</c:v>
                </c:pt>
                <c:pt idx="523">
                  <c:v>55.66</c:v>
                </c:pt>
                <c:pt idx="524">
                  <c:v>52.65</c:v>
                </c:pt>
                <c:pt idx="525">
                  <c:v>46.27</c:v>
                </c:pt>
                <c:pt idx="526">
                  <c:v>37.49</c:v>
                </c:pt>
                <c:pt idx="527">
                  <c:v>34.979999999999997</c:v>
                </c:pt>
                <c:pt idx="528">
                  <c:v>33.200000000000003</c:v>
                </c:pt>
                <c:pt idx="529">
                  <c:v>35.65</c:v>
                </c:pt>
                <c:pt idx="530">
                  <c:v>37.549999999999997</c:v>
                </c:pt>
                <c:pt idx="531">
                  <c:v>43.35</c:v>
                </c:pt>
                <c:pt idx="532">
                  <c:v>46.97</c:v>
                </c:pt>
                <c:pt idx="533">
                  <c:v>56.3</c:v>
                </c:pt>
                <c:pt idx="534">
                  <c:v>60.63</c:v>
                </c:pt>
                <c:pt idx="535">
                  <c:v>58.4</c:v>
                </c:pt>
                <c:pt idx="536">
                  <c:v>53.06</c:v>
                </c:pt>
                <c:pt idx="537">
                  <c:v>61.97</c:v>
                </c:pt>
                <c:pt idx="538">
                  <c:v>62.38</c:v>
                </c:pt>
                <c:pt idx="539">
                  <c:v>66.95</c:v>
                </c:pt>
                <c:pt idx="541">
                  <c:v>72.069999999999993</c:v>
                </c:pt>
                <c:pt idx="542">
                  <c:v>69.94</c:v>
                </c:pt>
                <c:pt idx="543">
                  <c:v>64.58</c:v>
                </c:pt>
                <c:pt idx="544">
                  <c:v>62.82</c:v>
                </c:pt>
                <c:pt idx="545">
                  <c:v>66.31</c:v>
                </c:pt>
                <c:pt idx="546">
                  <c:v>78.47</c:v>
                </c:pt>
                <c:pt idx="547">
                  <c:v>75.510000000000005</c:v>
                </c:pt>
                <c:pt idx="548">
                  <c:v>70.010000000000005</c:v>
                </c:pt>
                <c:pt idx="549">
                  <c:v>67.22</c:v>
                </c:pt>
                <c:pt idx="550">
                  <c:v>66.05</c:v>
                </c:pt>
                <c:pt idx="551">
                  <c:v>67.17</c:v>
                </c:pt>
                <c:pt idx="552">
                  <c:v>77.16</c:v>
                </c:pt>
                <c:pt idx="553">
                  <c:v>73.88</c:v>
                </c:pt>
                <c:pt idx="554">
                  <c:v>71.739999999999995</c:v>
                </c:pt>
                <c:pt idx="555">
                  <c:v>70.83</c:v>
                </c:pt>
                <c:pt idx="556">
                  <c:v>69.930000000000007</c:v>
                </c:pt>
                <c:pt idx="557">
                  <c:v>71.69</c:v>
                </c:pt>
                <c:pt idx="558">
                  <c:v>69.17</c:v>
                </c:pt>
                <c:pt idx="559">
                  <c:v>69.040000000000006</c:v>
                </c:pt>
                <c:pt idx="560">
                  <c:v>67.86</c:v>
                </c:pt>
                <c:pt idx="561">
                  <c:v>69.09</c:v>
                </c:pt>
                <c:pt idx="562">
                  <c:v>69.55</c:v>
                </c:pt>
                <c:pt idx="563">
                  <c:v>68.05</c:v>
                </c:pt>
                <c:pt idx="564">
                  <c:v>66.94</c:v>
                </c:pt>
                <c:pt idx="565">
                  <c:v>71.11</c:v>
                </c:pt>
                <c:pt idx="566">
                  <c:v>69.34</c:v>
                </c:pt>
                <c:pt idx="567">
                  <c:v>64.709999999999994</c:v>
                </c:pt>
                <c:pt idx="568">
                  <c:v>63.37</c:v>
                </c:pt>
                <c:pt idx="570">
                  <c:v>65.48</c:v>
                </c:pt>
                <c:pt idx="571">
                  <c:v>68.180000000000007</c:v>
                </c:pt>
                <c:pt idx="572">
                  <c:v>61.06</c:v>
                </c:pt>
                <c:pt idx="573">
                  <c:v>56.02</c:v>
                </c:pt>
                <c:pt idx="574">
                  <c:v>67.67</c:v>
                </c:pt>
                <c:pt idx="575">
                  <c:v>65.41</c:v>
                </c:pt>
                <c:pt idx="576">
                  <c:v>63.97</c:v>
                </c:pt>
                <c:pt idx="577">
                  <c:v>67.52</c:v>
                </c:pt>
                <c:pt idx="578">
                  <c:v>63.93</c:v>
                </c:pt>
                <c:pt idx="579">
                  <c:v>62.88</c:v>
                </c:pt>
                <c:pt idx="580">
                  <c:v>68.180000000000007</c:v>
                </c:pt>
                <c:pt idx="581">
                  <c:v>66.349999999999994</c:v>
                </c:pt>
                <c:pt idx="582">
                  <c:v>65.66</c:v>
                </c:pt>
                <c:pt idx="583">
                  <c:v>77.430000000000007</c:v>
                </c:pt>
                <c:pt idx="584">
                  <c:v>72.81</c:v>
                </c:pt>
                <c:pt idx="585">
                  <c:v>71.709999999999994</c:v>
                </c:pt>
                <c:pt idx="586">
                  <c:v>70.14</c:v>
                </c:pt>
                <c:pt idx="587">
                  <c:v>67.900000000000006</c:v>
                </c:pt>
                <c:pt idx="588">
                  <c:v>66.03</c:v>
                </c:pt>
                <c:pt idx="589">
                  <c:v>65.28</c:v>
                </c:pt>
                <c:pt idx="590">
                  <c:v>63</c:v>
                </c:pt>
                <c:pt idx="591">
                  <c:v>53.57</c:v>
                </c:pt>
                <c:pt idx="592">
                  <c:v>52.45</c:v>
                </c:pt>
                <c:pt idx="593">
                  <c:v>53.86</c:v>
                </c:pt>
                <c:pt idx="595">
                  <c:v>59.39</c:v>
                </c:pt>
                <c:pt idx="596">
                  <c:v>60.95</c:v>
                </c:pt>
                <c:pt idx="597">
                  <c:v>64.08</c:v>
                </c:pt>
                <c:pt idx="598">
                  <c:v>63.33</c:v>
                </c:pt>
                <c:pt idx="599">
                  <c:v>68.66</c:v>
                </c:pt>
                <c:pt idx="600">
                  <c:v>66</c:v>
                </c:pt>
                <c:pt idx="601">
                  <c:v>64.12</c:v>
                </c:pt>
                <c:pt idx="602">
                  <c:v>62.31</c:v>
                </c:pt>
                <c:pt idx="603">
                  <c:v>69.239999999999995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98-444F-AD9A-E86F7F30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증권  </a:t>
            </a:r>
            <a:r>
              <a:rPr lang="en-US"/>
              <a:t>vs  </a:t>
            </a:r>
            <a:r>
              <a:rPr lang="ko-KR" altLang="en-US"/>
              <a:t>금융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RSI'!$S$7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RSI'!$S$78:$S$3077</c:f>
              <c:numCache>
                <c:formatCode>0.00</c:formatCode>
                <c:ptCount val="3000"/>
                <c:pt idx="1">
                  <c:v>45.31</c:v>
                </c:pt>
                <c:pt idx="2">
                  <c:v>52.18</c:v>
                </c:pt>
                <c:pt idx="3">
                  <c:v>55.94</c:v>
                </c:pt>
                <c:pt idx="4">
                  <c:v>56.69</c:v>
                </c:pt>
                <c:pt idx="5">
                  <c:v>53.7</c:v>
                </c:pt>
                <c:pt idx="6">
                  <c:v>54.39</c:v>
                </c:pt>
                <c:pt idx="7">
                  <c:v>55.71</c:v>
                </c:pt>
                <c:pt idx="8">
                  <c:v>56.03</c:v>
                </c:pt>
                <c:pt idx="9">
                  <c:v>55.28</c:v>
                </c:pt>
                <c:pt idx="10">
                  <c:v>56.96</c:v>
                </c:pt>
                <c:pt idx="11">
                  <c:v>58.34</c:v>
                </c:pt>
                <c:pt idx="12">
                  <c:v>57.62</c:v>
                </c:pt>
                <c:pt idx="13">
                  <c:v>60.01</c:v>
                </c:pt>
                <c:pt idx="14">
                  <c:v>53.78</c:v>
                </c:pt>
                <c:pt idx="15">
                  <c:v>54.88</c:v>
                </c:pt>
                <c:pt idx="16">
                  <c:v>54.63</c:v>
                </c:pt>
                <c:pt idx="17">
                  <c:v>55.69</c:v>
                </c:pt>
                <c:pt idx="18">
                  <c:v>47.09</c:v>
                </c:pt>
                <c:pt idx="19">
                  <c:v>48.55</c:v>
                </c:pt>
                <c:pt idx="20">
                  <c:v>47.88</c:v>
                </c:pt>
                <c:pt idx="21">
                  <c:v>46.28</c:v>
                </c:pt>
                <c:pt idx="22">
                  <c:v>52.42</c:v>
                </c:pt>
                <c:pt idx="23">
                  <c:v>45.83</c:v>
                </c:pt>
                <c:pt idx="24">
                  <c:v>47.83</c:v>
                </c:pt>
                <c:pt idx="25">
                  <c:v>53.93</c:v>
                </c:pt>
                <c:pt idx="26">
                  <c:v>51.52</c:v>
                </c:pt>
                <c:pt idx="27">
                  <c:v>54.7</c:v>
                </c:pt>
                <c:pt idx="28">
                  <c:v>48.73</c:v>
                </c:pt>
                <c:pt idx="29">
                  <c:v>49.35</c:v>
                </c:pt>
                <c:pt idx="30">
                  <c:v>58.16</c:v>
                </c:pt>
                <c:pt idx="31">
                  <c:v>55.53</c:v>
                </c:pt>
                <c:pt idx="32">
                  <c:v>59.61</c:v>
                </c:pt>
                <c:pt idx="33">
                  <c:v>57.08</c:v>
                </c:pt>
                <c:pt idx="34">
                  <c:v>57.5</c:v>
                </c:pt>
                <c:pt idx="35">
                  <c:v>56.54</c:v>
                </c:pt>
                <c:pt idx="36">
                  <c:v>58.6</c:v>
                </c:pt>
                <c:pt idx="37">
                  <c:v>59.44</c:v>
                </c:pt>
                <c:pt idx="38">
                  <c:v>54.43</c:v>
                </c:pt>
                <c:pt idx="39">
                  <c:v>53.17</c:v>
                </c:pt>
                <c:pt idx="40">
                  <c:v>57.35</c:v>
                </c:pt>
                <c:pt idx="41">
                  <c:v>56.29</c:v>
                </c:pt>
                <c:pt idx="42">
                  <c:v>47.22</c:v>
                </c:pt>
                <c:pt idx="43">
                  <c:v>61.12</c:v>
                </c:pt>
                <c:pt idx="45">
                  <c:v>72.81</c:v>
                </c:pt>
                <c:pt idx="46">
                  <c:v>77.349999999999994</c:v>
                </c:pt>
                <c:pt idx="47">
                  <c:v>76.73</c:v>
                </c:pt>
                <c:pt idx="48">
                  <c:v>74.510000000000005</c:v>
                </c:pt>
                <c:pt idx="49">
                  <c:v>79.099999999999994</c:v>
                </c:pt>
                <c:pt idx="50">
                  <c:v>85.89</c:v>
                </c:pt>
                <c:pt idx="51">
                  <c:v>85.18</c:v>
                </c:pt>
                <c:pt idx="54">
                  <c:v>80.209999999999994</c:v>
                </c:pt>
                <c:pt idx="55">
                  <c:v>74.48</c:v>
                </c:pt>
                <c:pt idx="56">
                  <c:v>72.650000000000006</c:v>
                </c:pt>
                <c:pt idx="57">
                  <c:v>73.430000000000007</c:v>
                </c:pt>
                <c:pt idx="58">
                  <c:v>72.849999999999994</c:v>
                </c:pt>
                <c:pt idx="59">
                  <c:v>67.680000000000007</c:v>
                </c:pt>
                <c:pt idx="60">
                  <c:v>72.989999999999995</c:v>
                </c:pt>
                <c:pt idx="61">
                  <c:v>78.930000000000007</c:v>
                </c:pt>
                <c:pt idx="62">
                  <c:v>78.709999999999994</c:v>
                </c:pt>
                <c:pt idx="63">
                  <c:v>69.73</c:v>
                </c:pt>
                <c:pt idx="64">
                  <c:v>84.68</c:v>
                </c:pt>
                <c:pt idx="65">
                  <c:v>83.23</c:v>
                </c:pt>
                <c:pt idx="66">
                  <c:v>76.540000000000006</c:v>
                </c:pt>
                <c:pt idx="67">
                  <c:v>75.92</c:v>
                </c:pt>
                <c:pt idx="68">
                  <c:v>71.64</c:v>
                </c:pt>
                <c:pt idx="69">
                  <c:v>75.540000000000006</c:v>
                </c:pt>
                <c:pt idx="70">
                  <c:v>64.569999999999993</c:v>
                </c:pt>
                <c:pt idx="71">
                  <c:v>61.65</c:v>
                </c:pt>
                <c:pt idx="72">
                  <c:v>70.55</c:v>
                </c:pt>
                <c:pt idx="73">
                  <c:v>72.45</c:v>
                </c:pt>
                <c:pt idx="74">
                  <c:v>72.599999999999994</c:v>
                </c:pt>
                <c:pt idx="75">
                  <c:v>70.91</c:v>
                </c:pt>
                <c:pt idx="76">
                  <c:v>66.91</c:v>
                </c:pt>
                <c:pt idx="77">
                  <c:v>62.47</c:v>
                </c:pt>
                <c:pt idx="78">
                  <c:v>61.24</c:v>
                </c:pt>
                <c:pt idx="79">
                  <c:v>58.12</c:v>
                </c:pt>
                <c:pt idx="80">
                  <c:v>58.56</c:v>
                </c:pt>
                <c:pt idx="81">
                  <c:v>62.07</c:v>
                </c:pt>
                <c:pt idx="82">
                  <c:v>69.42</c:v>
                </c:pt>
                <c:pt idx="83">
                  <c:v>57.94</c:v>
                </c:pt>
                <c:pt idx="84">
                  <c:v>55.99</c:v>
                </c:pt>
                <c:pt idx="86">
                  <c:v>49.94</c:v>
                </c:pt>
                <c:pt idx="87">
                  <c:v>54.45</c:v>
                </c:pt>
                <c:pt idx="88">
                  <c:v>53.93</c:v>
                </c:pt>
                <c:pt idx="89">
                  <c:v>55.79</c:v>
                </c:pt>
                <c:pt idx="90">
                  <c:v>58.49</c:v>
                </c:pt>
                <c:pt idx="91">
                  <c:v>55.56</c:v>
                </c:pt>
                <c:pt idx="92">
                  <c:v>53.77</c:v>
                </c:pt>
                <c:pt idx="93">
                  <c:v>48.83</c:v>
                </c:pt>
                <c:pt idx="94">
                  <c:v>43.64</c:v>
                </c:pt>
                <c:pt idx="95">
                  <c:v>47.43</c:v>
                </c:pt>
                <c:pt idx="96">
                  <c:v>47.69</c:v>
                </c:pt>
                <c:pt idx="97">
                  <c:v>52.54</c:v>
                </c:pt>
                <c:pt idx="98">
                  <c:v>44.92</c:v>
                </c:pt>
                <c:pt idx="99">
                  <c:v>45.97</c:v>
                </c:pt>
                <c:pt idx="100">
                  <c:v>48.69</c:v>
                </c:pt>
                <c:pt idx="101">
                  <c:v>50.12</c:v>
                </c:pt>
                <c:pt idx="102">
                  <c:v>51.46</c:v>
                </c:pt>
                <c:pt idx="103">
                  <c:v>50.15</c:v>
                </c:pt>
                <c:pt idx="104">
                  <c:v>52.38</c:v>
                </c:pt>
                <c:pt idx="105">
                  <c:v>48.91</c:v>
                </c:pt>
                <c:pt idx="106">
                  <c:v>46.48</c:v>
                </c:pt>
                <c:pt idx="107">
                  <c:v>46.71</c:v>
                </c:pt>
                <c:pt idx="108">
                  <c:v>47.53</c:v>
                </c:pt>
                <c:pt idx="109">
                  <c:v>48.88</c:v>
                </c:pt>
                <c:pt idx="110">
                  <c:v>43.26</c:v>
                </c:pt>
                <c:pt idx="111">
                  <c:v>44.42</c:v>
                </c:pt>
                <c:pt idx="112">
                  <c:v>43.09</c:v>
                </c:pt>
                <c:pt idx="113">
                  <c:v>48.05</c:v>
                </c:pt>
                <c:pt idx="114">
                  <c:v>45.75</c:v>
                </c:pt>
                <c:pt idx="115">
                  <c:v>45.2</c:v>
                </c:pt>
                <c:pt idx="116">
                  <c:v>51.75</c:v>
                </c:pt>
                <c:pt idx="117">
                  <c:v>52.18</c:v>
                </c:pt>
                <c:pt idx="118">
                  <c:v>59.56</c:v>
                </c:pt>
                <c:pt idx="119">
                  <c:v>59.23</c:v>
                </c:pt>
                <c:pt idx="120">
                  <c:v>52.14</c:v>
                </c:pt>
                <c:pt idx="121">
                  <c:v>57.22</c:v>
                </c:pt>
                <c:pt idx="122">
                  <c:v>47.7</c:v>
                </c:pt>
                <c:pt idx="123">
                  <c:v>52.63</c:v>
                </c:pt>
                <c:pt idx="124">
                  <c:v>51.78</c:v>
                </c:pt>
                <c:pt idx="125">
                  <c:v>55.79</c:v>
                </c:pt>
                <c:pt idx="126">
                  <c:v>66.760000000000005</c:v>
                </c:pt>
                <c:pt idx="127">
                  <c:v>62.96</c:v>
                </c:pt>
                <c:pt idx="128">
                  <c:v>61.65</c:v>
                </c:pt>
                <c:pt idx="129">
                  <c:v>62</c:v>
                </c:pt>
                <c:pt idx="130">
                  <c:v>63.08</c:v>
                </c:pt>
                <c:pt idx="131">
                  <c:v>63.41</c:v>
                </c:pt>
                <c:pt idx="132">
                  <c:v>58.62</c:v>
                </c:pt>
                <c:pt idx="133">
                  <c:v>54.31</c:v>
                </c:pt>
                <c:pt idx="134">
                  <c:v>58.23</c:v>
                </c:pt>
                <c:pt idx="135">
                  <c:v>59.35</c:v>
                </c:pt>
                <c:pt idx="136">
                  <c:v>65.87</c:v>
                </c:pt>
                <c:pt idx="137">
                  <c:v>51.47</c:v>
                </c:pt>
                <c:pt idx="138">
                  <c:v>57.17</c:v>
                </c:pt>
                <c:pt idx="139">
                  <c:v>53.24</c:v>
                </c:pt>
                <c:pt idx="140">
                  <c:v>45.63</c:v>
                </c:pt>
                <c:pt idx="141">
                  <c:v>47.98</c:v>
                </c:pt>
                <c:pt idx="142">
                  <c:v>53.2</c:v>
                </c:pt>
                <c:pt idx="148">
                  <c:v>52.92</c:v>
                </c:pt>
                <c:pt idx="149">
                  <c:v>47.72</c:v>
                </c:pt>
                <c:pt idx="150">
                  <c:v>50.36</c:v>
                </c:pt>
                <c:pt idx="151">
                  <c:v>53.78</c:v>
                </c:pt>
                <c:pt idx="152">
                  <c:v>47.51</c:v>
                </c:pt>
                <c:pt idx="153">
                  <c:v>48.88</c:v>
                </c:pt>
                <c:pt idx="154">
                  <c:v>50.97</c:v>
                </c:pt>
                <c:pt idx="155">
                  <c:v>58.41</c:v>
                </c:pt>
                <c:pt idx="156">
                  <c:v>65.36</c:v>
                </c:pt>
                <c:pt idx="157">
                  <c:v>64.790000000000006</c:v>
                </c:pt>
                <c:pt idx="158">
                  <c:v>67.7</c:v>
                </c:pt>
                <c:pt idx="159">
                  <c:v>64.56</c:v>
                </c:pt>
                <c:pt idx="160">
                  <c:v>70.72</c:v>
                </c:pt>
                <c:pt idx="161">
                  <c:v>74.05</c:v>
                </c:pt>
                <c:pt idx="162">
                  <c:v>69.2</c:v>
                </c:pt>
                <c:pt idx="163">
                  <c:v>68.900000000000006</c:v>
                </c:pt>
                <c:pt idx="164">
                  <c:v>74.27</c:v>
                </c:pt>
                <c:pt idx="165">
                  <c:v>69.86</c:v>
                </c:pt>
                <c:pt idx="166">
                  <c:v>57.4</c:v>
                </c:pt>
                <c:pt idx="167">
                  <c:v>50.2</c:v>
                </c:pt>
                <c:pt idx="168">
                  <c:v>50.42</c:v>
                </c:pt>
                <c:pt idx="169">
                  <c:v>47.59</c:v>
                </c:pt>
                <c:pt idx="170">
                  <c:v>48.2</c:v>
                </c:pt>
                <c:pt idx="171">
                  <c:v>49.65</c:v>
                </c:pt>
                <c:pt idx="172">
                  <c:v>53.04</c:v>
                </c:pt>
                <c:pt idx="173">
                  <c:v>53.74</c:v>
                </c:pt>
                <c:pt idx="174">
                  <c:v>44.17</c:v>
                </c:pt>
                <c:pt idx="175">
                  <c:v>43.9</c:v>
                </c:pt>
                <c:pt idx="176">
                  <c:v>46.93</c:v>
                </c:pt>
                <c:pt idx="177">
                  <c:v>39.119999999999997</c:v>
                </c:pt>
                <c:pt idx="178">
                  <c:v>37.96</c:v>
                </c:pt>
                <c:pt idx="179">
                  <c:v>37.29</c:v>
                </c:pt>
                <c:pt idx="180">
                  <c:v>40.590000000000003</c:v>
                </c:pt>
                <c:pt idx="181">
                  <c:v>41.7</c:v>
                </c:pt>
                <c:pt idx="183">
                  <c:v>44.76</c:v>
                </c:pt>
                <c:pt idx="184">
                  <c:v>45.82</c:v>
                </c:pt>
                <c:pt idx="185">
                  <c:v>44.98</c:v>
                </c:pt>
                <c:pt idx="186">
                  <c:v>40.340000000000003</c:v>
                </c:pt>
                <c:pt idx="187">
                  <c:v>43.76</c:v>
                </c:pt>
                <c:pt idx="188">
                  <c:v>45.04</c:v>
                </c:pt>
                <c:pt idx="189">
                  <c:v>44.14</c:v>
                </c:pt>
                <c:pt idx="190">
                  <c:v>41.71</c:v>
                </c:pt>
                <c:pt idx="191">
                  <c:v>37.79</c:v>
                </c:pt>
                <c:pt idx="192">
                  <c:v>34.130000000000003</c:v>
                </c:pt>
                <c:pt idx="193">
                  <c:v>43.38</c:v>
                </c:pt>
                <c:pt idx="194">
                  <c:v>43.27</c:v>
                </c:pt>
                <c:pt idx="195">
                  <c:v>44.46</c:v>
                </c:pt>
                <c:pt idx="196">
                  <c:v>42.61</c:v>
                </c:pt>
                <c:pt idx="197">
                  <c:v>49.98</c:v>
                </c:pt>
                <c:pt idx="198">
                  <c:v>48.01</c:v>
                </c:pt>
                <c:pt idx="199">
                  <c:v>51.6</c:v>
                </c:pt>
                <c:pt idx="200">
                  <c:v>54.07</c:v>
                </c:pt>
                <c:pt idx="201">
                  <c:v>54.89</c:v>
                </c:pt>
                <c:pt idx="202">
                  <c:v>57.12</c:v>
                </c:pt>
                <c:pt idx="203">
                  <c:v>60.57</c:v>
                </c:pt>
                <c:pt idx="204">
                  <c:v>61.41</c:v>
                </c:pt>
                <c:pt idx="205">
                  <c:v>74.25</c:v>
                </c:pt>
                <c:pt idx="206">
                  <c:v>74.47</c:v>
                </c:pt>
                <c:pt idx="207">
                  <c:v>72.77</c:v>
                </c:pt>
                <c:pt idx="208">
                  <c:v>72.510000000000005</c:v>
                </c:pt>
                <c:pt idx="209">
                  <c:v>71.05</c:v>
                </c:pt>
                <c:pt idx="210">
                  <c:v>64.97</c:v>
                </c:pt>
                <c:pt idx="211">
                  <c:v>56.59</c:v>
                </c:pt>
                <c:pt idx="212">
                  <c:v>54.86</c:v>
                </c:pt>
                <c:pt idx="213">
                  <c:v>68.78</c:v>
                </c:pt>
                <c:pt idx="214">
                  <c:v>67.78</c:v>
                </c:pt>
                <c:pt idx="215">
                  <c:v>73.47</c:v>
                </c:pt>
                <c:pt idx="216">
                  <c:v>71.959999999999994</c:v>
                </c:pt>
                <c:pt idx="217">
                  <c:v>71.900000000000006</c:v>
                </c:pt>
                <c:pt idx="218">
                  <c:v>76.900000000000006</c:v>
                </c:pt>
                <c:pt idx="219">
                  <c:v>88.46</c:v>
                </c:pt>
                <c:pt idx="220">
                  <c:v>87.59</c:v>
                </c:pt>
                <c:pt idx="221">
                  <c:v>84.72</c:v>
                </c:pt>
                <c:pt idx="222">
                  <c:v>80.89</c:v>
                </c:pt>
                <c:pt idx="223">
                  <c:v>81.37</c:v>
                </c:pt>
                <c:pt idx="224">
                  <c:v>85.52</c:v>
                </c:pt>
                <c:pt idx="225">
                  <c:v>84.73</c:v>
                </c:pt>
                <c:pt idx="226">
                  <c:v>84.59</c:v>
                </c:pt>
                <c:pt idx="227">
                  <c:v>81.75</c:v>
                </c:pt>
                <c:pt idx="228">
                  <c:v>84.37</c:v>
                </c:pt>
                <c:pt idx="229">
                  <c:v>84.24</c:v>
                </c:pt>
                <c:pt idx="230">
                  <c:v>82.41</c:v>
                </c:pt>
                <c:pt idx="231">
                  <c:v>83.56</c:v>
                </c:pt>
                <c:pt idx="233">
                  <c:v>81.31</c:v>
                </c:pt>
                <c:pt idx="234">
                  <c:v>81.09</c:v>
                </c:pt>
                <c:pt idx="236">
                  <c:v>74.430000000000007</c:v>
                </c:pt>
                <c:pt idx="237">
                  <c:v>77.53</c:v>
                </c:pt>
                <c:pt idx="238">
                  <c:v>83.56</c:v>
                </c:pt>
                <c:pt idx="239">
                  <c:v>72.400000000000006</c:v>
                </c:pt>
                <c:pt idx="240">
                  <c:v>71.069999999999993</c:v>
                </c:pt>
                <c:pt idx="241">
                  <c:v>76.45</c:v>
                </c:pt>
                <c:pt idx="242">
                  <c:v>75.66</c:v>
                </c:pt>
                <c:pt idx="243">
                  <c:v>74.88</c:v>
                </c:pt>
                <c:pt idx="244">
                  <c:v>77.650000000000006</c:v>
                </c:pt>
                <c:pt idx="245">
                  <c:v>73.010000000000005</c:v>
                </c:pt>
                <c:pt idx="246">
                  <c:v>70.45</c:v>
                </c:pt>
                <c:pt idx="247">
                  <c:v>80.739999999999995</c:v>
                </c:pt>
                <c:pt idx="248">
                  <c:v>79.53</c:v>
                </c:pt>
                <c:pt idx="249">
                  <c:v>85.62</c:v>
                </c:pt>
                <c:pt idx="250">
                  <c:v>86.07</c:v>
                </c:pt>
                <c:pt idx="251">
                  <c:v>84.53</c:v>
                </c:pt>
                <c:pt idx="252">
                  <c:v>80.27</c:v>
                </c:pt>
                <c:pt idx="253">
                  <c:v>81.95</c:v>
                </c:pt>
                <c:pt idx="254">
                  <c:v>81.25</c:v>
                </c:pt>
                <c:pt idx="257">
                  <c:v>80.459999999999994</c:v>
                </c:pt>
                <c:pt idx="259">
                  <c:v>79.790000000000006</c:v>
                </c:pt>
                <c:pt idx="260">
                  <c:v>73.83</c:v>
                </c:pt>
                <c:pt idx="261">
                  <c:v>68.47</c:v>
                </c:pt>
                <c:pt idx="262">
                  <c:v>66.92</c:v>
                </c:pt>
                <c:pt idx="263">
                  <c:v>65.53</c:v>
                </c:pt>
                <c:pt idx="264">
                  <c:v>65.430000000000007</c:v>
                </c:pt>
                <c:pt idx="265">
                  <c:v>62.16</c:v>
                </c:pt>
                <c:pt idx="266">
                  <c:v>58.26</c:v>
                </c:pt>
                <c:pt idx="267">
                  <c:v>50.74</c:v>
                </c:pt>
                <c:pt idx="268">
                  <c:v>47.57</c:v>
                </c:pt>
                <c:pt idx="269">
                  <c:v>47.16</c:v>
                </c:pt>
                <c:pt idx="270">
                  <c:v>46.42</c:v>
                </c:pt>
                <c:pt idx="271">
                  <c:v>41.31</c:v>
                </c:pt>
                <c:pt idx="272">
                  <c:v>40.26</c:v>
                </c:pt>
                <c:pt idx="273">
                  <c:v>40.79</c:v>
                </c:pt>
                <c:pt idx="274">
                  <c:v>24</c:v>
                </c:pt>
                <c:pt idx="275">
                  <c:v>26.14</c:v>
                </c:pt>
                <c:pt idx="276">
                  <c:v>25.48</c:v>
                </c:pt>
                <c:pt idx="277">
                  <c:v>36.26</c:v>
                </c:pt>
                <c:pt idx="278">
                  <c:v>37.68</c:v>
                </c:pt>
                <c:pt idx="279">
                  <c:v>42.83</c:v>
                </c:pt>
                <c:pt idx="280">
                  <c:v>41.04</c:v>
                </c:pt>
                <c:pt idx="281">
                  <c:v>39.44</c:v>
                </c:pt>
                <c:pt idx="282">
                  <c:v>47.47</c:v>
                </c:pt>
                <c:pt idx="283">
                  <c:v>58.48</c:v>
                </c:pt>
                <c:pt idx="284">
                  <c:v>65.930000000000007</c:v>
                </c:pt>
                <c:pt idx="285">
                  <c:v>62.77</c:v>
                </c:pt>
                <c:pt idx="286">
                  <c:v>62.09</c:v>
                </c:pt>
                <c:pt idx="287">
                  <c:v>62.59</c:v>
                </c:pt>
                <c:pt idx="288">
                  <c:v>61.67</c:v>
                </c:pt>
                <c:pt idx="289">
                  <c:v>63.64</c:v>
                </c:pt>
                <c:pt idx="290">
                  <c:v>62.34</c:v>
                </c:pt>
                <c:pt idx="291">
                  <c:v>60.82</c:v>
                </c:pt>
                <c:pt idx="292">
                  <c:v>54.65</c:v>
                </c:pt>
                <c:pt idx="293">
                  <c:v>58.26</c:v>
                </c:pt>
                <c:pt idx="294">
                  <c:v>55.4</c:v>
                </c:pt>
                <c:pt idx="295">
                  <c:v>50.39</c:v>
                </c:pt>
                <c:pt idx="296">
                  <c:v>56.16</c:v>
                </c:pt>
                <c:pt idx="297">
                  <c:v>55.24</c:v>
                </c:pt>
                <c:pt idx="298">
                  <c:v>57.23</c:v>
                </c:pt>
                <c:pt idx="299">
                  <c:v>44.93</c:v>
                </c:pt>
                <c:pt idx="300">
                  <c:v>46.99</c:v>
                </c:pt>
                <c:pt idx="302">
                  <c:v>50.03</c:v>
                </c:pt>
                <c:pt idx="303">
                  <c:v>63.12</c:v>
                </c:pt>
                <c:pt idx="304">
                  <c:v>66.739999999999995</c:v>
                </c:pt>
                <c:pt idx="305">
                  <c:v>63.84</c:v>
                </c:pt>
                <c:pt idx="306">
                  <c:v>61.02</c:v>
                </c:pt>
                <c:pt idx="307">
                  <c:v>62.46</c:v>
                </c:pt>
                <c:pt idx="308">
                  <c:v>70.13</c:v>
                </c:pt>
                <c:pt idx="309">
                  <c:v>70.010000000000005</c:v>
                </c:pt>
                <c:pt idx="310">
                  <c:v>66.75</c:v>
                </c:pt>
                <c:pt idx="311">
                  <c:v>68.400000000000006</c:v>
                </c:pt>
                <c:pt idx="312">
                  <c:v>62.42</c:v>
                </c:pt>
                <c:pt idx="313">
                  <c:v>56.07</c:v>
                </c:pt>
                <c:pt idx="314">
                  <c:v>56.82</c:v>
                </c:pt>
                <c:pt idx="315">
                  <c:v>52.56</c:v>
                </c:pt>
                <c:pt idx="316">
                  <c:v>51.93</c:v>
                </c:pt>
                <c:pt idx="317">
                  <c:v>54.11</c:v>
                </c:pt>
                <c:pt idx="318">
                  <c:v>49.85</c:v>
                </c:pt>
                <c:pt idx="319">
                  <c:v>52.21</c:v>
                </c:pt>
                <c:pt idx="320">
                  <c:v>55.93</c:v>
                </c:pt>
                <c:pt idx="321">
                  <c:v>51.35</c:v>
                </c:pt>
                <c:pt idx="322">
                  <c:v>58.61</c:v>
                </c:pt>
                <c:pt idx="327">
                  <c:v>53.26</c:v>
                </c:pt>
                <c:pt idx="328">
                  <c:v>51.66</c:v>
                </c:pt>
                <c:pt idx="329">
                  <c:v>53.91</c:v>
                </c:pt>
                <c:pt idx="330">
                  <c:v>52.07</c:v>
                </c:pt>
                <c:pt idx="331">
                  <c:v>50.57</c:v>
                </c:pt>
                <c:pt idx="332">
                  <c:v>47.07</c:v>
                </c:pt>
                <c:pt idx="333">
                  <c:v>47.35</c:v>
                </c:pt>
                <c:pt idx="334">
                  <c:v>43</c:v>
                </c:pt>
                <c:pt idx="335">
                  <c:v>40.86</c:v>
                </c:pt>
                <c:pt idx="336">
                  <c:v>41.31</c:v>
                </c:pt>
                <c:pt idx="337">
                  <c:v>44.26</c:v>
                </c:pt>
                <c:pt idx="338">
                  <c:v>42.5</c:v>
                </c:pt>
                <c:pt idx="339">
                  <c:v>43.79</c:v>
                </c:pt>
                <c:pt idx="340">
                  <c:v>43.21</c:v>
                </c:pt>
                <c:pt idx="341">
                  <c:v>39.729999999999997</c:v>
                </c:pt>
                <c:pt idx="342">
                  <c:v>39.799999999999997</c:v>
                </c:pt>
                <c:pt idx="343">
                  <c:v>39.49</c:v>
                </c:pt>
                <c:pt idx="345">
                  <c:v>40.200000000000003</c:v>
                </c:pt>
                <c:pt idx="346">
                  <c:v>42.13</c:v>
                </c:pt>
                <c:pt idx="347">
                  <c:v>51.34</c:v>
                </c:pt>
                <c:pt idx="348">
                  <c:v>52.28</c:v>
                </c:pt>
                <c:pt idx="349">
                  <c:v>51.58</c:v>
                </c:pt>
                <c:pt idx="350">
                  <c:v>44.89</c:v>
                </c:pt>
                <c:pt idx="351">
                  <c:v>49.12</c:v>
                </c:pt>
                <c:pt idx="352">
                  <c:v>52.93</c:v>
                </c:pt>
                <c:pt idx="353">
                  <c:v>46.88</c:v>
                </c:pt>
                <c:pt idx="354">
                  <c:v>48.88</c:v>
                </c:pt>
                <c:pt idx="355">
                  <c:v>50.48</c:v>
                </c:pt>
                <c:pt idx="356">
                  <c:v>50.99</c:v>
                </c:pt>
                <c:pt idx="357">
                  <c:v>47.27</c:v>
                </c:pt>
                <c:pt idx="358">
                  <c:v>43.99</c:v>
                </c:pt>
                <c:pt idx="359">
                  <c:v>35.630000000000003</c:v>
                </c:pt>
                <c:pt idx="360">
                  <c:v>45.06</c:v>
                </c:pt>
                <c:pt idx="361">
                  <c:v>47.54</c:v>
                </c:pt>
                <c:pt idx="362">
                  <c:v>54.4</c:v>
                </c:pt>
                <c:pt idx="363">
                  <c:v>65.709999999999994</c:v>
                </c:pt>
                <c:pt idx="364">
                  <c:v>52.24</c:v>
                </c:pt>
                <c:pt idx="365">
                  <c:v>46.76</c:v>
                </c:pt>
                <c:pt idx="366">
                  <c:v>47.21</c:v>
                </c:pt>
                <c:pt idx="367">
                  <c:v>46.42</c:v>
                </c:pt>
                <c:pt idx="368">
                  <c:v>43.07</c:v>
                </c:pt>
                <c:pt idx="369">
                  <c:v>45.36</c:v>
                </c:pt>
                <c:pt idx="370">
                  <c:v>47.13</c:v>
                </c:pt>
                <c:pt idx="371">
                  <c:v>46.11</c:v>
                </c:pt>
                <c:pt idx="372">
                  <c:v>45.7</c:v>
                </c:pt>
                <c:pt idx="373">
                  <c:v>44.42</c:v>
                </c:pt>
                <c:pt idx="374">
                  <c:v>44.71</c:v>
                </c:pt>
                <c:pt idx="375">
                  <c:v>37.75</c:v>
                </c:pt>
                <c:pt idx="376">
                  <c:v>43.29</c:v>
                </c:pt>
                <c:pt idx="377">
                  <c:v>30.12</c:v>
                </c:pt>
                <c:pt idx="378">
                  <c:v>38.35</c:v>
                </c:pt>
                <c:pt idx="379">
                  <c:v>44.73</c:v>
                </c:pt>
                <c:pt idx="380">
                  <c:v>43.02</c:v>
                </c:pt>
                <c:pt idx="381">
                  <c:v>44.68</c:v>
                </c:pt>
                <c:pt idx="382">
                  <c:v>54.27</c:v>
                </c:pt>
                <c:pt idx="383">
                  <c:v>50.58</c:v>
                </c:pt>
                <c:pt idx="384">
                  <c:v>48.68</c:v>
                </c:pt>
                <c:pt idx="385">
                  <c:v>43.95</c:v>
                </c:pt>
                <c:pt idx="386">
                  <c:v>48.94</c:v>
                </c:pt>
                <c:pt idx="387">
                  <c:v>55.01</c:v>
                </c:pt>
                <c:pt idx="388">
                  <c:v>55.34</c:v>
                </c:pt>
                <c:pt idx="389">
                  <c:v>53.91</c:v>
                </c:pt>
                <c:pt idx="390">
                  <c:v>53.94</c:v>
                </c:pt>
                <c:pt idx="391">
                  <c:v>53.49</c:v>
                </c:pt>
                <c:pt idx="392">
                  <c:v>56.41</c:v>
                </c:pt>
                <c:pt idx="393">
                  <c:v>59</c:v>
                </c:pt>
                <c:pt idx="394">
                  <c:v>57.32</c:v>
                </c:pt>
                <c:pt idx="395">
                  <c:v>60.28</c:v>
                </c:pt>
                <c:pt idx="396">
                  <c:v>57.49</c:v>
                </c:pt>
                <c:pt idx="397">
                  <c:v>61.33</c:v>
                </c:pt>
                <c:pt idx="398">
                  <c:v>58.92</c:v>
                </c:pt>
                <c:pt idx="399">
                  <c:v>57.97</c:v>
                </c:pt>
                <c:pt idx="400">
                  <c:v>53.73</c:v>
                </c:pt>
                <c:pt idx="401">
                  <c:v>51.1</c:v>
                </c:pt>
                <c:pt idx="403">
                  <c:v>51.43</c:v>
                </c:pt>
                <c:pt idx="404">
                  <c:v>51.53</c:v>
                </c:pt>
                <c:pt idx="405">
                  <c:v>50.78</c:v>
                </c:pt>
                <c:pt idx="407">
                  <c:v>45.64</c:v>
                </c:pt>
                <c:pt idx="409">
                  <c:v>45.46</c:v>
                </c:pt>
                <c:pt idx="410">
                  <c:v>51.6</c:v>
                </c:pt>
                <c:pt idx="411">
                  <c:v>50.26</c:v>
                </c:pt>
                <c:pt idx="412">
                  <c:v>43.43</c:v>
                </c:pt>
                <c:pt idx="413">
                  <c:v>55.61</c:v>
                </c:pt>
                <c:pt idx="414">
                  <c:v>57.28</c:v>
                </c:pt>
                <c:pt idx="415">
                  <c:v>56.95</c:v>
                </c:pt>
                <c:pt idx="416">
                  <c:v>59.6</c:v>
                </c:pt>
                <c:pt idx="420">
                  <c:v>57.61</c:v>
                </c:pt>
                <c:pt idx="421">
                  <c:v>50.75</c:v>
                </c:pt>
                <c:pt idx="422">
                  <c:v>44.75</c:v>
                </c:pt>
                <c:pt idx="423">
                  <c:v>55.26</c:v>
                </c:pt>
                <c:pt idx="424">
                  <c:v>52.5</c:v>
                </c:pt>
                <c:pt idx="425">
                  <c:v>53.72</c:v>
                </c:pt>
                <c:pt idx="426">
                  <c:v>56.82</c:v>
                </c:pt>
                <c:pt idx="427">
                  <c:v>56.7</c:v>
                </c:pt>
                <c:pt idx="428">
                  <c:v>62.45</c:v>
                </c:pt>
                <c:pt idx="429">
                  <c:v>58.97</c:v>
                </c:pt>
                <c:pt idx="430">
                  <c:v>57.69</c:v>
                </c:pt>
                <c:pt idx="431">
                  <c:v>56.69</c:v>
                </c:pt>
                <c:pt idx="432">
                  <c:v>56.17</c:v>
                </c:pt>
                <c:pt idx="433">
                  <c:v>61.59</c:v>
                </c:pt>
                <c:pt idx="434">
                  <c:v>66.83</c:v>
                </c:pt>
                <c:pt idx="435">
                  <c:v>63.79</c:v>
                </c:pt>
                <c:pt idx="436">
                  <c:v>63.63</c:v>
                </c:pt>
                <c:pt idx="437">
                  <c:v>64.819999999999993</c:v>
                </c:pt>
                <c:pt idx="438">
                  <c:v>63.85</c:v>
                </c:pt>
                <c:pt idx="439">
                  <c:v>59.99</c:v>
                </c:pt>
                <c:pt idx="440">
                  <c:v>57.23</c:v>
                </c:pt>
                <c:pt idx="442">
                  <c:v>53.77</c:v>
                </c:pt>
                <c:pt idx="443">
                  <c:v>52.43</c:v>
                </c:pt>
                <c:pt idx="444">
                  <c:v>52.74</c:v>
                </c:pt>
                <c:pt idx="445">
                  <c:v>51.2</c:v>
                </c:pt>
                <c:pt idx="446">
                  <c:v>49.14</c:v>
                </c:pt>
                <c:pt idx="447">
                  <c:v>45.09</c:v>
                </c:pt>
                <c:pt idx="448">
                  <c:v>40.340000000000003</c:v>
                </c:pt>
                <c:pt idx="449">
                  <c:v>32.94</c:v>
                </c:pt>
                <c:pt idx="450">
                  <c:v>46.74</c:v>
                </c:pt>
                <c:pt idx="451">
                  <c:v>62.45</c:v>
                </c:pt>
                <c:pt idx="452">
                  <c:v>59.43</c:v>
                </c:pt>
                <c:pt idx="453">
                  <c:v>57.47</c:v>
                </c:pt>
                <c:pt idx="454">
                  <c:v>60.59</c:v>
                </c:pt>
                <c:pt idx="455">
                  <c:v>52.81</c:v>
                </c:pt>
                <c:pt idx="456">
                  <c:v>46.11</c:v>
                </c:pt>
                <c:pt idx="457">
                  <c:v>58.35</c:v>
                </c:pt>
                <c:pt idx="458">
                  <c:v>58.41</c:v>
                </c:pt>
                <c:pt idx="459">
                  <c:v>59.69</c:v>
                </c:pt>
                <c:pt idx="460">
                  <c:v>66.44</c:v>
                </c:pt>
                <c:pt idx="461">
                  <c:v>71.099999999999994</c:v>
                </c:pt>
                <c:pt idx="462">
                  <c:v>73.58</c:v>
                </c:pt>
                <c:pt idx="463">
                  <c:v>75.3</c:v>
                </c:pt>
                <c:pt idx="464">
                  <c:v>73.099999999999994</c:v>
                </c:pt>
                <c:pt idx="465">
                  <c:v>71.37</c:v>
                </c:pt>
                <c:pt idx="466">
                  <c:v>74.34</c:v>
                </c:pt>
                <c:pt idx="467">
                  <c:v>68.56</c:v>
                </c:pt>
                <c:pt idx="468">
                  <c:v>68.150000000000006</c:v>
                </c:pt>
                <c:pt idx="469">
                  <c:v>68.62</c:v>
                </c:pt>
                <c:pt idx="470">
                  <c:v>68.02</c:v>
                </c:pt>
                <c:pt idx="471">
                  <c:v>69.98</c:v>
                </c:pt>
                <c:pt idx="472">
                  <c:v>62.31</c:v>
                </c:pt>
                <c:pt idx="473">
                  <c:v>56.57</c:v>
                </c:pt>
                <c:pt idx="474">
                  <c:v>55.1</c:v>
                </c:pt>
                <c:pt idx="475">
                  <c:v>60.1</c:v>
                </c:pt>
                <c:pt idx="476">
                  <c:v>51.76</c:v>
                </c:pt>
                <c:pt idx="477">
                  <c:v>52.43</c:v>
                </c:pt>
                <c:pt idx="478">
                  <c:v>58.03</c:v>
                </c:pt>
                <c:pt idx="479">
                  <c:v>49.65</c:v>
                </c:pt>
                <c:pt idx="480">
                  <c:v>51.24</c:v>
                </c:pt>
                <c:pt idx="481">
                  <c:v>56.82</c:v>
                </c:pt>
                <c:pt idx="482">
                  <c:v>47.76</c:v>
                </c:pt>
                <c:pt idx="483">
                  <c:v>44.76</c:v>
                </c:pt>
                <c:pt idx="484">
                  <c:v>36.340000000000003</c:v>
                </c:pt>
                <c:pt idx="485">
                  <c:v>36.35</c:v>
                </c:pt>
                <c:pt idx="486">
                  <c:v>39.020000000000003</c:v>
                </c:pt>
                <c:pt idx="487">
                  <c:v>40.58</c:v>
                </c:pt>
                <c:pt idx="488">
                  <c:v>39.11</c:v>
                </c:pt>
                <c:pt idx="489">
                  <c:v>42.86</c:v>
                </c:pt>
                <c:pt idx="490">
                  <c:v>45.89</c:v>
                </c:pt>
                <c:pt idx="492">
                  <c:v>41.57</c:v>
                </c:pt>
                <c:pt idx="493">
                  <c:v>38.18</c:v>
                </c:pt>
                <c:pt idx="494">
                  <c:v>45</c:v>
                </c:pt>
                <c:pt idx="495">
                  <c:v>43.07</c:v>
                </c:pt>
                <c:pt idx="496">
                  <c:v>44.07</c:v>
                </c:pt>
                <c:pt idx="497">
                  <c:v>43.28</c:v>
                </c:pt>
                <c:pt idx="498">
                  <c:v>43.04</c:v>
                </c:pt>
                <c:pt idx="499">
                  <c:v>43.87</c:v>
                </c:pt>
                <c:pt idx="500">
                  <c:v>42.87</c:v>
                </c:pt>
                <c:pt idx="501">
                  <c:v>48.14</c:v>
                </c:pt>
                <c:pt idx="502">
                  <c:v>51.56</c:v>
                </c:pt>
                <c:pt idx="503">
                  <c:v>52.73</c:v>
                </c:pt>
                <c:pt idx="504">
                  <c:v>54.59</c:v>
                </c:pt>
                <c:pt idx="505">
                  <c:v>54.69</c:v>
                </c:pt>
                <c:pt idx="506">
                  <c:v>59.12</c:v>
                </c:pt>
                <c:pt idx="508">
                  <c:v>56.77</c:v>
                </c:pt>
                <c:pt idx="509">
                  <c:v>57.6</c:v>
                </c:pt>
                <c:pt idx="510">
                  <c:v>59.49</c:v>
                </c:pt>
                <c:pt idx="511">
                  <c:v>50.39</c:v>
                </c:pt>
                <c:pt idx="512">
                  <c:v>57.56</c:v>
                </c:pt>
                <c:pt idx="513">
                  <c:v>53.99</c:v>
                </c:pt>
                <c:pt idx="515">
                  <c:v>49.51</c:v>
                </c:pt>
                <c:pt idx="516">
                  <c:v>49.98</c:v>
                </c:pt>
                <c:pt idx="518">
                  <c:v>55.25</c:v>
                </c:pt>
                <c:pt idx="519">
                  <c:v>55.96</c:v>
                </c:pt>
                <c:pt idx="520">
                  <c:v>53.69</c:v>
                </c:pt>
                <c:pt idx="521">
                  <c:v>47.11</c:v>
                </c:pt>
                <c:pt idx="522">
                  <c:v>46.47</c:v>
                </c:pt>
                <c:pt idx="523">
                  <c:v>46.67</c:v>
                </c:pt>
                <c:pt idx="524">
                  <c:v>47.23</c:v>
                </c:pt>
                <c:pt idx="525">
                  <c:v>33.590000000000003</c:v>
                </c:pt>
                <c:pt idx="526">
                  <c:v>36.51</c:v>
                </c:pt>
                <c:pt idx="527">
                  <c:v>28.91</c:v>
                </c:pt>
                <c:pt idx="528">
                  <c:v>30.46</c:v>
                </c:pt>
                <c:pt idx="529">
                  <c:v>34.799999999999997</c:v>
                </c:pt>
                <c:pt idx="530">
                  <c:v>32.43</c:v>
                </c:pt>
                <c:pt idx="531">
                  <c:v>35.71</c:v>
                </c:pt>
                <c:pt idx="533">
                  <c:v>42.18</c:v>
                </c:pt>
                <c:pt idx="534">
                  <c:v>41.88</c:v>
                </c:pt>
                <c:pt idx="535">
                  <c:v>39.74</c:v>
                </c:pt>
                <c:pt idx="536">
                  <c:v>39.409999999999997</c:v>
                </c:pt>
                <c:pt idx="537">
                  <c:v>36.76</c:v>
                </c:pt>
                <c:pt idx="538">
                  <c:v>38.29</c:v>
                </c:pt>
                <c:pt idx="539">
                  <c:v>38.03</c:v>
                </c:pt>
                <c:pt idx="540">
                  <c:v>41.58</c:v>
                </c:pt>
                <c:pt idx="541">
                  <c:v>44.35</c:v>
                </c:pt>
                <c:pt idx="542">
                  <c:v>48.05</c:v>
                </c:pt>
                <c:pt idx="543">
                  <c:v>54.78</c:v>
                </c:pt>
                <c:pt idx="544">
                  <c:v>54.75</c:v>
                </c:pt>
                <c:pt idx="545">
                  <c:v>60.25</c:v>
                </c:pt>
                <c:pt idx="546">
                  <c:v>60.1</c:v>
                </c:pt>
                <c:pt idx="547">
                  <c:v>55.78</c:v>
                </c:pt>
                <c:pt idx="548">
                  <c:v>54.39</c:v>
                </c:pt>
                <c:pt idx="549">
                  <c:v>57.18</c:v>
                </c:pt>
                <c:pt idx="550">
                  <c:v>57.44</c:v>
                </c:pt>
                <c:pt idx="551">
                  <c:v>63.1</c:v>
                </c:pt>
                <c:pt idx="552">
                  <c:v>59.94</c:v>
                </c:pt>
                <c:pt idx="553">
                  <c:v>51.5</c:v>
                </c:pt>
                <c:pt idx="554">
                  <c:v>51.17</c:v>
                </c:pt>
                <c:pt idx="555">
                  <c:v>59.75</c:v>
                </c:pt>
                <c:pt idx="556">
                  <c:v>58.69</c:v>
                </c:pt>
                <c:pt idx="557">
                  <c:v>58.36</c:v>
                </c:pt>
                <c:pt idx="558">
                  <c:v>66.069999999999993</c:v>
                </c:pt>
                <c:pt idx="559">
                  <c:v>68.58</c:v>
                </c:pt>
                <c:pt idx="561">
                  <c:v>66.05</c:v>
                </c:pt>
                <c:pt idx="562">
                  <c:v>63.96</c:v>
                </c:pt>
                <c:pt idx="563">
                  <c:v>60.74</c:v>
                </c:pt>
                <c:pt idx="564">
                  <c:v>60.09</c:v>
                </c:pt>
                <c:pt idx="565">
                  <c:v>69.709999999999994</c:v>
                </c:pt>
                <c:pt idx="566">
                  <c:v>67.19</c:v>
                </c:pt>
                <c:pt idx="567">
                  <c:v>70.56</c:v>
                </c:pt>
                <c:pt idx="568">
                  <c:v>68.73</c:v>
                </c:pt>
                <c:pt idx="569">
                  <c:v>77.19</c:v>
                </c:pt>
                <c:pt idx="570">
                  <c:v>75.08</c:v>
                </c:pt>
                <c:pt idx="571">
                  <c:v>68.73</c:v>
                </c:pt>
                <c:pt idx="572">
                  <c:v>67.67</c:v>
                </c:pt>
                <c:pt idx="573">
                  <c:v>75.17</c:v>
                </c:pt>
                <c:pt idx="576">
                  <c:v>72.900000000000006</c:v>
                </c:pt>
                <c:pt idx="577">
                  <c:v>72.94</c:v>
                </c:pt>
                <c:pt idx="578">
                  <c:v>70.05</c:v>
                </c:pt>
                <c:pt idx="579">
                  <c:v>73.56</c:v>
                </c:pt>
                <c:pt idx="580">
                  <c:v>80.66</c:v>
                </c:pt>
                <c:pt idx="581">
                  <c:v>77.77</c:v>
                </c:pt>
                <c:pt idx="582">
                  <c:v>67.66</c:v>
                </c:pt>
                <c:pt idx="583">
                  <c:v>68.08</c:v>
                </c:pt>
                <c:pt idx="584">
                  <c:v>63.98</c:v>
                </c:pt>
                <c:pt idx="585">
                  <c:v>58.79</c:v>
                </c:pt>
                <c:pt idx="586">
                  <c:v>49.21</c:v>
                </c:pt>
                <c:pt idx="587">
                  <c:v>42.05</c:v>
                </c:pt>
                <c:pt idx="588">
                  <c:v>41.29</c:v>
                </c:pt>
                <c:pt idx="589">
                  <c:v>30.91</c:v>
                </c:pt>
                <c:pt idx="590">
                  <c:v>31.9</c:v>
                </c:pt>
                <c:pt idx="591">
                  <c:v>31.52</c:v>
                </c:pt>
                <c:pt idx="592">
                  <c:v>33.64</c:v>
                </c:pt>
                <c:pt idx="593">
                  <c:v>37.29</c:v>
                </c:pt>
                <c:pt idx="594">
                  <c:v>40.99</c:v>
                </c:pt>
                <c:pt idx="595">
                  <c:v>40.22</c:v>
                </c:pt>
                <c:pt idx="596">
                  <c:v>45.47</c:v>
                </c:pt>
                <c:pt idx="597">
                  <c:v>38.450000000000003</c:v>
                </c:pt>
                <c:pt idx="598">
                  <c:v>40.06</c:v>
                </c:pt>
                <c:pt idx="599">
                  <c:v>34.61</c:v>
                </c:pt>
                <c:pt idx="600">
                  <c:v>36.81</c:v>
                </c:pt>
                <c:pt idx="601">
                  <c:v>38.14</c:v>
                </c:pt>
                <c:pt idx="602">
                  <c:v>41.14</c:v>
                </c:pt>
                <c:pt idx="603">
                  <c:v>50.57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05-4464-8669-7CC2C2EDC490}"/>
            </c:ext>
          </c:extLst>
        </c:ser>
        <c:ser>
          <c:idx val="1"/>
          <c:order val="1"/>
          <c:tx>
            <c:strRef>
              <c:f>'미국 RSI'!$C$1</c:f>
              <c:strCache>
                <c:ptCount val="1"/>
                <c:pt idx="0">
                  <c:v>금융(US)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RSI'!$C$69:$C$3068</c:f>
              <c:numCache>
                <c:formatCode>0.00</c:formatCode>
                <c:ptCount val="3000"/>
                <c:pt idx="0">
                  <c:v>55.35</c:v>
                </c:pt>
                <c:pt idx="1">
                  <c:v>60.34</c:v>
                </c:pt>
                <c:pt idx="2">
                  <c:v>57.52</c:v>
                </c:pt>
                <c:pt idx="3">
                  <c:v>56.86</c:v>
                </c:pt>
                <c:pt idx="4">
                  <c:v>56.51</c:v>
                </c:pt>
                <c:pt idx="5">
                  <c:v>53.01</c:v>
                </c:pt>
                <c:pt idx="6">
                  <c:v>57.17</c:v>
                </c:pt>
                <c:pt idx="7">
                  <c:v>62.06</c:v>
                </c:pt>
                <c:pt idx="8">
                  <c:v>63.16</c:v>
                </c:pt>
                <c:pt idx="9">
                  <c:v>67.22</c:v>
                </c:pt>
                <c:pt idx="10">
                  <c:v>65.989999999999995</c:v>
                </c:pt>
                <c:pt idx="11">
                  <c:v>63.44</c:v>
                </c:pt>
                <c:pt idx="12">
                  <c:v>65.03</c:v>
                </c:pt>
                <c:pt idx="13">
                  <c:v>62.61</c:v>
                </c:pt>
                <c:pt idx="14">
                  <c:v>61.86</c:v>
                </c:pt>
                <c:pt idx="15">
                  <c:v>55.73</c:v>
                </c:pt>
                <c:pt idx="16">
                  <c:v>61.51</c:v>
                </c:pt>
                <c:pt idx="17">
                  <c:v>60.63</c:v>
                </c:pt>
                <c:pt idx="18">
                  <c:v>49.81</c:v>
                </c:pt>
                <c:pt idx="19">
                  <c:v>49.81</c:v>
                </c:pt>
                <c:pt idx="21">
                  <c:v>46.45</c:v>
                </c:pt>
                <c:pt idx="22">
                  <c:v>45.58</c:v>
                </c:pt>
                <c:pt idx="23">
                  <c:v>44.93</c:v>
                </c:pt>
                <c:pt idx="24">
                  <c:v>34.5</c:v>
                </c:pt>
                <c:pt idx="25">
                  <c:v>27.56</c:v>
                </c:pt>
                <c:pt idx="26">
                  <c:v>35.409999999999997</c:v>
                </c:pt>
                <c:pt idx="27">
                  <c:v>37.75</c:v>
                </c:pt>
                <c:pt idx="28">
                  <c:v>36.950000000000003</c:v>
                </c:pt>
                <c:pt idx="29">
                  <c:v>36.83</c:v>
                </c:pt>
                <c:pt idx="30">
                  <c:v>34.53</c:v>
                </c:pt>
                <c:pt idx="31">
                  <c:v>33.46</c:v>
                </c:pt>
                <c:pt idx="32">
                  <c:v>33.24</c:v>
                </c:pt>
                <c:pt idx="33">
                  <c:v>36.619999999999997</c:v>
                </c:pt>
                <c:pt idx="34">
                  <c:v>33.869999999999997</c:v>
                </c:pt>
                <c:pt idx="35">
                  <c:v>29.38</c:v>
                </c:pt>
                <c:pt idx="36">
                  <c:v>28.72</c:v>
                </c:pt>
                <c:pt idx="37">
                  <c:v>32.520000000000003</c:v>
                </c:pt>
                <c:pt idx="38">
                  <c:v>34.72</c:v>
                </c:pt>
                <c:pt idx="39">
                  <c:v>36.19</c:v>
                </c:pt>
                <c:pt idx="40">
                  <c:v>37.5</c:v>
                </c:pt>
                <c:pt idx="41">
                  <c:v>41.3</c:v>
                </c:pt>
                <c:pt idx="42">
                  <c:v>42.96</c:v>
                </c:pt>
                <c:pt idx="43">
                  <c:v>40.58</c:v>
                </c:pt>
                <c:pt idx="44">
                  <c:v>41.08</c:v>
                </c:pt>
                <c:pt idx="45">
                  <c:v>41.76</c:v>
                </c:pt>
                <c:pt idx="46">
                  <c:v>47.82</c:v>
                </c:pt>
                <c:pt idx="47">
                  <c:v>43.32</c:v>
                </c:pt>
                <c:pt idx="48">
                  <c:v>36.1</c:v>
                </c:pt>
                <c:pt idx="49">
                  <c:v>33.9</c:v>
                </c:pt>
                <c:pt idx="50">
                  <c:v>43.73</c:v>
                </c:pt>
                <c:pt idx="51">
                  <c:v>40.64</c:v>
                </c:pt>
                <c:pt idx="52">
                  <c:v>43.51</c:v>
                </c:pt>
                <c:pt idx="53">
                  <c:v>40.03</c:v>
                </c:pt>
                <c:pt idx="54">
                  <c:v>34.76</c:v>
                </c:pt>
                <c:pt idx="55">
                  <c:v>34.96</c:v>
                </c:pt>
                <c:pt idx="56">
                  <c:v>40.92</c:v>
                </c:pt>
                <c:pt idx="57">
                  <c:v>46.61</c:v>
                </c:pt>
                <c:pt idx="58">
                  <c:v>49.7</c:v>
                </c:pt>
                <c:pt idx="59">
                  <c:v>52.34</c:v>
                </c:pt>
                <c:pt idx="60">
                  <c:v>43.95</c:v>
                </c:pt>
                <c:pt idx="61">
                  <c:v>49.55</c:v>
                </c:pt>
                <c:pt idx="62">
                  <c:v>45.41</c:v>
                </c:pt>
                <c:pt idx="63">
                  <c:v>49.82</c:v>
                </c:pt>
                <c:pt idx="64">
                  <c:v>43.84</c:v>
                </c:pt>
                <c:pt idx="65">
                  <c:v>44.76</c:v>
                </c:pt>
                <c:pt idx="66">
                  <c:v>38.65</c:v>
                </c:pt>
                <c:pt idx="67">
                  <c:v>38.72</c:v>
                </c:pt>
                <c:pt idx="68">
                  <c:v>41.63</c:v>
                </c:pt>
                <c:pt idx="69">
                  <c:v>38.04</c:v>
                </c:pt>
                <c:pt idx="70">
                  <c:v>43.44</c:v>
                </c:pt>
                <c:pt idx="71">
                  <c:v>39.68</c:v>
                </c:pt>
                <c:pt idx="72">
                  <c:v>36.78</c:v>
                </c:pt>
                <c:pt idx="74">
                  <c:v>46.73</c:v>
                </c:pt>
                <c:pt idx="75">
                  <c:v>45.97</c:v>
                </c:pt>
                <c:pt idx="76">
                  <c:v>43.6</c:v>
                </c:pt>
                <c:pt idx="77">
                  <c:v>44.25</c:v>
                </c:pt>
                <c:pt idx="78">
                  <c:v>54.29</c:v>
                </c:pt>
                <c:pt idx="79">
                  <c:v>59.5</c:v>
                </c:pt>
                <c:pt idx="80">
                  <c:v>61.61</c:v>
                </c:pt>
                <c:pt idx="81">
                  <c:v>59.32</c:v>
                </c:pt>
                <c:pt idx="82">
                  <c:v>69.89</c:v>
                </c:pt>
                <c:pt idx="83">
                  <c:v>68.08</c:v>
                </c:pt>
                <c:pt idx="84">
                  <c:v>57.6</c:v>
                </c:pt>
                <c:pt idx="85">
                  <c:v>55.8</c:v>
                </c:pt>
                <c:pt idx="86">
                  <c:v>62.06</c:v>
                </c:pt>
                <c:pt idx="87">
                  <c:v>64.349999999999994</c:v>
                </c:pt>
                <c:pt idx="88">
                  <c:v>69.45</c:v>
                </c:pt>
                <c:pt idx="89">
                  <c:v>71.37</c:v>
                </c:pt>
                <c:pt idx="90">
                  <c:v>69.209999999999994</c:v>
                </c:pt>
                <c:pt idx="91">
                  <c:v>68.400000000000006</c:v>
                </c:pt>
                <c:pt idx="92">
                  <c:v>64.62</c:v>
                </c:pt>
                <c:pt idx="93">
                  <c:v>61.97</c:v>
                </c:pt>
                <c:pt idx="94">
                  <c:v>63.29</c:v>
                </c:pt>
                <c:pt idx="95">
                  <c:v>63.43</c:v>
                </c:pt>
                <c:pt idx="96">
                  <c:v>68.3</c:v>
                </c:pt>
                <c:pt idx="97">
                  <c:v>68.040000000000006</c:v>
                </c:pt>
                <c:pt idx="98">
                  <c:v>67.55</c:v>
                </c:pt>
                <c:pt idx="99">
                  <c:v>60.6</c:v>
                </c:pt>
                <c:pt idx="100">
                  <c:v>55.03</c:v>
                </c:pt>
                <c:pt idx="101">
                  <c:v>57.5</c:v>
                </c:pt>
                <c:pt idx="102">
                  <c:v>60.01</c:v>
                </c:pt>
                <c:pt idx="103">
                  <c:v>59.85</c:v>
                </c:pt>
                <c:pt idx="104">
                  <c:v>58.99</c:v>
                </c:pt>
                <c:pt idx="105">
                  <c:v>53.03</c:v>
                </c:pt>
                <c:pt idx="106">
                  <c:v>53.54</c:v>
                </c:pt>
                <c:pt idx="107">
                  <c:v>58.1</c:v>
                </c:pt>
                <c:pt idx="109">
                  <c:v>55.03</c:v>
                </c:pt>
                <c:pt idx="110">
                  <c:v>51.47</c:v>
                </c:pt>
                <c:pt idx="111">
                  <c:v>45.06</c:v>
                </c:pt>
                <c:pt idx="112">
                  <c:v>42.68</c:v>
                </c:pt>
                <c:pt idx="113">
                  <c:v>36.15</c:v>
                </c:pt>
                <c:pt idx="114">
                  <c:v>39.51</c:v>
                </c:pt>
                <c:pt idx="115">
                  <c:v>37.22</c:v>
                </c:pt>
                <c:pt idx="116">
                  <c:v>37.78</c:v>
                </c:pt>
                <c:pt idx="117">
                  <c:v>45.75</c:v>
                </c:pt>
                <c:pt idx="118">
                  <c:v>51.05</c:v>
                </c:pt>
                <c:pt idx="119">
                  <c:v>59.36</c:v>
                </c:pt>
                <c:pt idx="120">
                  <c:v>54.81</c:v>
                </c:pt>
                <c:pt idx="121">
                  <c:v>52.21</c:v>
                </c:pt>
                <c:pt idx="122">
                  <c:v>50.1</c:v>
                </c:pt>
                <c:pt idx="123">
                  <c:v>45.78</c:v>
                </c:pt>
                <c:pt idx="124">
                  <c:v>47.75</c:v>
                </c:pt>
                <c:pt idx="125">
                  <c:v>45.7</c:v>
                </c:pt>
                <c:pt idx="126">
                  <c:v>42.54</c:v>
                </c:pt>
                <c:pt idx="127">
                  <c:v>44.5</c:v>
                </c:pt>
                <c:pt idx="128">
                  <c:v>42.95</c:v>
                </c:pt>
                <c:pt idx="129">
                  <c:v>41.43</c:v>
                </c:pt>
                <c:pt idx="130">
                  <c:v>49.25</c:v>
                </c:pt>
                <c:pt idx="131">
                  <c:v>52.75</c:v>
                </c:pt>
                <c:pt idx="132">
                  <c:v>50.64</c:v>
                </c:pt>
                <c:pt idx="133">
                  <c:v>44.72</c:v>
                </c:pt>
                <c:pt idx="134">
                  <c:v>43.51</c:v>
                </c:pt>
                <c:pt idx="135">
                  <c:v>46.07</c:v>
                </c:pt>
                <c:pt idx="136">
                  <c:v>46.58</c:v>
                </c:pt>
                <c:pt idx="137">
                  <c:v>40.35</c:v>
                </c:pt>
                <c:pt idx="138">
                  <c:v>35.549999999999997</c:v>
                </c:pt>
                <c:pt idx="139">
                  <c:v>48.27</c:v>
                </c:pt>
                <c:pt idx="140">
                  <c:v>48.27</c:v>
                </c:pt>
                <c:pt idx="141">
                  <c:v>41.16</c:v>
                </c:pt>
                <c:pt idx="142">
                  <c:v>33.880000000000003</c:v>
                </c:pt>
                <c:pt idx="143">
                  <c:v>46.19</c:v>
                </c:pt>
                <c:pt idx="144">
                  <c:v>48.89</c:v>
                </c:pt>
                <c:pt idx="145">
                  <c:v>52.81</c:v>
                </c:pt>
                <c:pt idx="146">
                  <c:v>51.84</c:v>
                </c:pt>
                <c:pt idx="147">
                  <c:v>52.13</c:v>
                </c:pt>
                <c:pt idx="148">
                  <c:v>47.17</c:v>
                </c:pt>
                <c:pt idx="149">
                  <c:v>47.67</c:v>
                </c:pt>
                <c:pt idx="150">
                  <c:v>53.98</c:v>
                </c:pt>
                <c:pt idx="151">
                  <c:v>57.84</c:v>
                </c:pt>
                <c:pt idx="152">
                  <c:v>54.72</c:v>
                </c:pt>
                <c:pt idx="153">
                  <c:v>49.73</c:v>
                </c:pt>
                <c:pt idx="154">
                  <c:v>51.63</c:v>
                </c:pt>
                <c:pt idx="155">
                  <c:v>53.67</c:v>
                </c:pt>
                <c:pt idx="156">
                  <c:v>57</c:v>
                </c:pt>
                <c:pt idx="157">
                  <c:v>60.66</c:v>
                </c:pt>
                <c:pt idx="158">
                  <c:v>59.5</c:v>
                </c:pt>
                <c:pt idx="159">
                  <c:v>59.03</c:v>
                </c:pt>
                <c:pt idx="160">
                  <c:v>53.92</c:v>
                </c:pt>
                <c:pt idx="161">
                  <c:v>55.4</c:v>
                </c:pt>
                <c:pt idx="162">
                  <c:v>56.85</c:v>
                </c:pt>
                <c:pt idx="163">
                  <c:v>59.63</c:v>
                </c:pt>
                <c:pt idx="164">
                  <c:v>51.25</c:v>
                </c:pt>
                <c:pt idx="165">
                  <c:v>53.38</c:v>
                </c:pt>
                <c:pt idx="166">
                  <c:v>50.97</c:v>
                </c:pt>
                <c:pt idx="167">
                  <c:v>50.55</c:v>
                </c:pt>
                <c:pt idx="168">
                  <c:v>62.72</c:v>
                </c:pt>
                <c:pt idx="169">
                  <c:v>57.33</c:v>
                </c:pt>
                <c:pt idx="170">
                  <c:v>58.59</c:v>
                </c:pt>
                <c:pt idx="172">
                  <c:v>64.459999999999994</c:v>
                </c:pt>
                <c:pt idx="173">
                  <c:v>63.27</c:v>
                </c:pt>
                <c:pt idx="174">
                  <c:v>62.68</c:v>
                </c:pt>
                <c:pt idx="175">
                  <c:v>61.8</c:v>
                </c:pt>
                <c:pt idx="176">
                  <c:v>58.38</c:v>
                </c:pt>
                <c:pt idx="177">
                  <c:v>62.29</c:v>
                </c:pt>
                <c:pt idx="178">
                  <c:v>54.32</c:v>
                </c:pt>
                <c:pt idx="179">
                  <c:v>56.48</c:v>
                </c:pt>
                <c:pt idx="180">
                  <c:v>53.76</c:v>
                </c:pt>
                <c:pt idx="181">
                  <c:v>52.75</c:v>
                </c:pt>
                <c:pt idx="182">
                  <c:v>52.36</c:v>
                </c:pt>
                <c:pt idx="183">
                  <c:v>58.51</c:v>
                </c:pt>
                <c:pt idx="184">
                  <c:v>56.34</c:v>
                </c:pt>
                <c:pt idx="185">
                  <c:v>53.65</c:v>
                </c:pt>
                <c:pt idx="186">
                  <c:v>47.31</c:v>
                </c:pt>
                <c:pt idx="187">
                  <c:v>47.5</c:v>
                </c:pt>
                <c:pt idx="188">
                  <c:v>42.29</c:v>
                </c:pt>
                <c:pt idx="189">
                  <c:v>47.59</c:v>
                </c:pt>
                <c:pt idx="190">
                  <c:v>44.82</c:v>
                </c:pt>
                <c:pt idx="191">
                  <c:v>46.74</c:v>
                </c:pt>
                <c:pt idx="192">
                  <c:v>41.04</c:v>
                </c:pt>
                <c:pt idx="193">
                  <c:v>50.62</c:v>
                </c:pt>
                <c:pt idx="194">
                  <c:v>54.65</c:v>
                </c:pt>
                <c:pt idx="195">
                  <c:v>55.9</c:v>
                </c:pt>
                <c:pt idx="196">
                  <c:v>59.31</c:v>
                </c:pt>
                <c:pt idx="197">
                  <c:v>64.290000000000006</c:v>
                </c:pt>
                <c:pt idx="198">
                  <c:v>61.27</c:v>
                </c:pt>
                <c:pt idx="199">
                  <c:v>61.66</c:v>
                </c:pt>
                <c:pt idx="200">
                  <c:v>58.17</c:v>
                </c:pt>
                <c:pt idx="201">
                  <c:v>55.58</c:v>
                </c:pt>
                <c:pt idx="202">
                  <c:v>57.29</c:v>
                </c:pt>
                <c:pt idx="203">
                  <c:v>57.04</c:v>
                </c:pt>
                <c:pt idx="204">
                  <c:v>52.86</c:v>
                </c:pt>
                <c:pt idx="205">
                  <c:v>49.58</c:v>
                </c:pt>
                <c:pt idx="206">
                  <c:v>59.13</c:v>
                </c:pt>
                <c:pt idx="207">
                  <c:v>55.7</c:v>
                </c:pt>
                <c:pt idx="208">
                  <c:v>62.59</c:v>
                </c:pt>
                <c:pt idx="209">
                  <c:v>60</c:v>
                </c:pt>
                <c:pt idx="210">
                  <c:v>58.36</c:v>
                </c:pt>
                <c:pt idx="211">
                  <c:v>64.430000000000007</c:v>
                </c:pt>
                <c:pt idx="213">
                  <c:v>71.97</c:v>
                </c:pt>
                <c:pt idx="214">
                  <c:v>68.09</c:v>
                </c:pt>
                <c:pt idx="215">
                  <c:v>68.709999999999994</c:v>
                </c:pt>
                <c:pt idx="216">
                  <c:v>66.67</c:v>
                </c:pt>
                <c:pt idx="217">
                  <c:v>63.39</c:v>
                </c:pt>
                <c:pt idx="218">
                  <c:v>62.18</c:v>
                </c:pt>
                <c:pt idx="219">
                  <c:v>59</c:v>
                </c:pt>
                <c:pt idx="220">
                  <c:v>61.13</c:v>
                </c:pt>
                <c:pt idx="221">
                  <c:v>54.25</c:v>
                </c:pt>
                <c:pt idx="222">
                  <c:v>49.2</c:v>
                </c:pt>
                <c:pt idx="224">
                  <c:v>47.56</c:v>
                </c:pt>
                <c:pt idx="225">
                  <c:v>47.77</c:v>
                </c:pt>
                <c:pt idx="226">
                  <c:v>50.7</c:v>
                </c:pt>
                <c:pt idx="227">
                  <c:v>44.48</c:v>
                </c:pt>
                <c:pt idx="228">
                  <c:v>56.56</c:v>
                </c:pt>
                <c:pt idx="229">
                  <c:v>56.56</c:v>
                </c:pt>
                <c:pt idx="230">
                  <c:v>57.34</c:v>
                </c:pt>
                <c:pt idx="231">
                  <c:v>56.79</c:v>
                </c:pt>
                <c:pt idx="232">
                  <c:v>60.15</c:v>
                </c:pt>
                <c:pt idx="233">
                  <c:v>54.53</c:v>
                </c:pt>
                <c:pt idx="234">
                  <c:v>56.16</c:v>
                </c:pt>
                <c:pt idx="235">
                  <c:v>59.6</c:v>
                </c:pt>
                <c:pt idx="236">
                  <c:v>58.79</c:v>
                </c:pt>
                <c:pt idx="237">
                  <c:v>58.64</c:v>
                </c:pt>
                <c:pt idx="238">
                  <c:v>57.84</c:v>
                </c:pt>
                <c:pt idx="239">
                  <c:v>55.96</c:v>
                </c:pt>
                <c:pt idx="240">
                  <c:v>59.15</c:v>
                </c:pt>
                <c:pt idx="242">
                  <c:v>52.67</c:v>
                </c:pt>
                <c:pt idx="243">
                  <c:v>54.31</c:v>
                </c:pt>
                <c:pt idx="244">
                  <c:v>54.83</c:v>
                </c:pt>
                <c:pt idx="245">
                  <c:v>65.12</c:v>
                </c:pt>
                <c:pt idx="246">
                  <c:v>68.290000000000006</c:v>
                </c:pt>
                <c:pt idx="247">
                  <c:v>68.13</c:v>
                </c:pt>
                <c:pt idx="248">
                  <c:v>66.569999999999993</c:v>
                </c:pt>
                <c:pt idx="249">
                  <c:v>64.81</c:v>
                </c:pt>
                <c:pt idx="250">
                  <c:v>66.14</c:v>
                </c:pt>
                <c:pt idx="251">
                  <c:v>65.150000000000006</c:v>
                </c:pt>
                <c:pt idx="252">
                  <c:v>59.88</c:v>
                </c:pt>
                <c:pt idx="253">
                  <c:v>59.88</c:v>
                </c:pt>
                <c:pt idx="254">
                  <c:v>57.65</c:v>
                </c:pt>
                <c:pt idx="255">
                  <c:v>56.03</c:v>
                </c:pt>
                <c:pt idx="256">
                  <c:v>58.01</c:v>
                </c:pt>
                <c:pt idx="257">
                  <c:v>60.27</c:v>
                </c:pt>
                <c:pt idx="258">
                  <c:v>55.15</c:v>
                </c:pt>
                <c:pt idx="259">
                  <c:v>55.22</c:v>
                </c:pt>
                <c:pt idx="260">
                  <c:v>54.77</c:v>
                </c:pt>
                <c:pt idx="261">
                  <c:v>52.31</c:v>
                </c:pt>
                <c:pt idx="262">
                  <c:v>51.57</c:v>
                </c:pt>
                <c:pt idx="263">
                  <c:v>52.73</c:v>
                </c:pt>
                <c:pt idx="264">
                  <c:v>50.35</c:v>
                </c:pt>
                <c:pt idx="265">
                  <c:v>47.76</c:v>
                </c:pt>
                <c:pt idx="266">
                  <c:v>39.94</c:v>
                </c:pt>
                <c:pt idx="268">
                  <c:v>43.99</c:v>
                </c:pt>
                <c:pt idx="269">
                  <c:v>43.35</c:v>
                </c:pt>
                <c:pt idx="270">
                  <c:v>46.39</c:v>
                </c:pt>
                <c:pt idx="271">
                  <c:v>45.82</c:v>
                </c:pt>
                <c:pt idx="272">
                  <c:v>43.59</c:v>
                </c:pt>
                <c:pt idx="273">
                  <c:v>39.950000000000003</c:v>
                </c:pt>
                <c:pt idx="274">
                  <c:v>44.59</c:v>
                </c:pt>
                <c:pt idx="275">
                  <c:v>24.05</c:v>
                </c:pt>
                <c:pt idx="276">
                  <c:v>24.48</c:v>
                </c:pt>
                <c:pt idx="277">
                  <c:v>24.75</c:v>
                </c:pt>
                <c:pt idx="278">
                  <c:v>36.5</c:v>
                </c:pt>
                <c:pt idx="279">
                  <c:v>53.06</c:v>
                </c:pt>
                <c:pt idx="280">
                  <c:v>49.53</c:v>
                </c:pt>
                <c:pt idx="281">
                  <c:v>50.04</c:v>
                </c:pt>
                <c:pt idx="282">
                  <c:v>44.75</c:v>
                </c:pt>
                <c:pt idx="283">
                  <c:v>53.21</c:v>
                </c:pt>
                <c:pt idx="284">
                  <c:v>54.19</c:v>
                </c:pt>
                <c:pt idx="285">
                  <c:v>55.62</c:v>
                </c:pt>
                <c:pt idx="286">
                  <c:v>53.5</c:v>
                </c:pt>
                <c:pt idx="287">
                  <c:v>47.77</c:v>
                </c:pt>
                <c:pt idx="288">
                  <c:v>49.24</c:v>
                </c:pt>
                <c:pt idx="289">
                  <c:v>48.67</c:v>
                </c:pt>
                <c:pt idx="290">
                  <c:v>44.18</c:v>
                </c:pt>
                <c:pt idx="291">
                  <c:v>44.59</c:v>
                </c:pt>
                <c:pt idx="292">
                  <c:v>39.75</c:v>
                </c:pt>
                <c:pt idx="293">
                  <c:v>28.57</c:v>
                </c:pt>
                <c:pt idx="294">
                  <c:v>29.78</c:v>
                </c:pt>
                <c:pt idx="295">
                  <c:v>29.03</c:v>
                </c:pt>
                <c:pt idx="296">
                  <c:v>30.83</c:v>
                </c:pt>
                <c:pt idx="297">
                  <c:v>36.450000000000003</c:v>
                </c:pt>
                <c:pt idx="298">
                  <c:v>37.97</c:v>
                </c:pt>
                <c:pt idx="299">
                  <c:v>43.33</c:v>
                </c:pt>
                <c:pt idx="300">
                  <c:v>40.61</c:v>
                </c:pt>
                <c:pt idx="301">
                  <c:v>56.38</c:v>
                </c:pt>
                <c:pt idx="302">
                  <c:v>61.76</c:v>
                </c:pt>
                <c:pt idx="303">
                  <c:v>51.5</c:v>
                </c:pt>
                <c:pt idx="304">
                  <c:v>48.05</c:v>
                </c:pt>
                <c:pt idx="305">
                  <c:v>49.33</c:v>
                </c:pt>
                <c:pt idx="306">
                  <c:v>49.44</c:v>
                </c:pt>
                <c:pt idx="307">
                  <c:v>47</c:v>
                </c:pt>
                <c:pt idx="308">
                  <c:v>54.05</c:v>
                </c:pt>
                <c:pt idx="309">
                  <c:v>65.45</c:v>
                </c:pt>
                <c:pt idx="310">
                  <c:v>65.28</c:v>
                </c:pt>
                <c:pt idx="312">
                  <c:v>62.07</c:v>
                </c:pt>
                <c:pt idx="313">
                  <c:v>61.17</c:v>
                </c:pt>
                <c:pt idx="314">
                  <c:v>58.03</c:v>
                </c:pt>
                <c:pt idx="315">
                  <c:v>60.43</c:v>
                </c:pt>
                <c:pt idx="316">
                  <c:v>59.3</c:v>
                </c:pt>
                <c:pt idx="317">
                  <c:v>64.72</c:v>
                </c:pt>
                <c:pt idx="318">
                  <c:v>68.849999999999994</c:v>
                </c:pt>
                <c:pt idx="319">
                  <c:v>65.849999999999994</c:v>
                </c:pt>
                <c:pt idx="320">
                  <c:v>61.53</c:v>
                </c:pt>
                <c:pt idx="321">
                  <c:v>63.18</c:v>
                </c:pt>
                <c:pt idx="322">
                  <c:v>66.05</c:v>
                </c:pt>
                <c:pt idx="323">
                  <c:v>70.3</c:v>
                </c:pt>
                <c:pt idx="324">
                  <c:v>67.09</c:v>
                </c:pt>
                <c:pt idx="325">
                  <c:v>67.650000000000006</c:v>
                </c:pt>
                <c:pt idx="326">
                  <c:v>68.83</c:v>
                </c:pt>
                <c:pt idx="327">
                  <c:v>65.31</c:v>
                </c:pt>
                <c:pt idx="328">
                  <c:v>64.31</c:v>
                </c:pt>
                <c:pt idx="329">
                  <c:v>62.36</c:v>
                </c:pt>
                <c:pt idx="330">
                  <c:v>65.099999999999994</c:v>
                </c:pt>
                <c:pt idx="332">
                  <c:v>62.42</c:v>
                </c:pt>
                <c:pt idx="333">
                  <c:v>59.53</c:v>
                </c:pt>
                <c:pt idx="334">
                  <c:v>57.13</c:v>
                </c:pt>
                <c:pt idx="335">
                  <c:v>46.05</c:v>
                </c:pt>
                <c:pt idx="336">
                  <c:v>39.03</c:v>
                </c:pt>
                <c:pt idx="337">
                  <c:v>34.46</c:v>
                </c:pt>
                <c:pt idx="339">
                  <c:v>45.3</c:v>
                </c:pt>
                <c:pt idx="340">
                  <c:v>43.02</c:v>
                </c:pt>
                <c:pt idx="341">
                  <c:v>44.19</c:v>
                </c:pt>
                <c:pt idx="342">
                  <c:v>45.77</c:v>
                </c:pt>
                <c:pt idx="343">
                  <c:v>40.79</c:v>
                </c:pt>
                <c:pt idx="344">
                  <c:v>41.92</c:v>
                </c:pt>
                <c:pt idx="345">
                  <c:v>41.3</c:v>
                </c:pt>
                <c:pt idx="346">
                  <c:v>45.6</c:v>
                </c:pt>
                <c:pt idx="347">
                  <c:v>49.26</c:v>
                </c:pt>
                <c:pt idx="348">
                  <c:v>47.97</c:v>
                </c:pt>
                <c:pt idx="349">
                  <c:v>41.39</c:v>
                </c:pt>
                <c:pt idx="350">
                  <c:v>42.17</c:v>
                </c:pt>
                <c:pt idx="351">
                  <c:v>32.89</c:v>
                </c:pt>
                <c:pt idx="352">
                  <c:v>30.41</c:v>
                </c:pt>
                <c:pt idx="353">
                  <c:v>43.26</c:v>
                </c:pt>
                <c:pt idx="354">
                  <c:v>47.72</c:v>
                </c:pt>
                <c:pt idx="355">
                  <c:v>48.93</c:v>
                </c:pt>
                <c:pt idx="356">
                  <c:v>49.44</c:v>
                </c:pt>
                <c:pt idx="357">
                  <c:v>52.25</c:v>
                </c:pt>
                <c:pt idx="358">
                  <c:v>51.08</c:v>
                </c:pt>
                <c:pt idx="359">
                  <c:v>51.19</c:v>
                </c:pt>
                <c:pt idx="360">
                  <c:v>59.98</c:v>
                </c:pt>
                <c:pt idx="361">
                  <c:v>60.12</c:v>
                </c:pt>
                <c:pt idx="362">
                  <c:v>58.79</c:v>
                </c:pt>
                <c:pt idx="363">
                  <c:v>61.19</c:v>
                </c:pt>
                <c:pt idx="364">
                  <c:v>66.2</c:v>
                </c:pt>
                <c:pt idx="365">
                  <c:v>73.73</c:v>
                </c:pt>
                <c:pt idx="367">
                  <c:v>73.290000000000006</c:v>
                </c:pt>
                <c:pt idx="368">
                  <c:v>72.75</c:v>
                </c:pt>
                <c:pt idx="369">
                  <c:v>72.239999999999995</c:v>
                </c:pt>
                <c:pt idx="370">
                  <c:v>70.540000000000006</c:v>
                </c:pt>
                <c:pt idx="371">
                  <c:v>67.38</c:v>
                </c:pt>
                <c:pt idx="372">
                  <c:v>63.28</c:v>
                </c:pt>
                <c:pt idx="373">
                  <c:v>65.09</c:v>
                </c:pt>
                <c:pt idx="374">
                  <c:v>69.13</c:v>
                </c:pt>
                <c:pt idx="375">
                  <c:v>68.3</c:v>
                </c:pt>
                <c:pt idx="376">
                  <c:v>67.040000000000006</c:v>
                </c:pt>
                <c:pt idx="377">
                  <c:v>68.47</c:v>
                </c:pt>
                <c:pt idx="378">
                  <c:v>68.319999999999993</c:v>
                </c:pt>
                <c:pt idx="379">
                  <c:v>69.819999999999993</c:v>
                </c:pt>
                <c:pt idx="380">
                  <c:v>66.66</c:v>
                </c:pt>
                <c:pt idx="381">
                  <c:v>64.5</c:v>
                </c:pt>
                <c:pt idx="382">
                  <c:v>72.44</c:v>
                </c:pt>
                <c:pt idx="383">
                  <c:v>53.61</c:v>
                </c:pt>
                <c:pt idx="384">
                  <c:v>48.68</c:v>
                </c:pt>
                <c:pt idx="385">
                  <c:v>53.06</c:v>
                </c:pt>
                <c:pt idx="386">
                  <c:v>51.25</c:v>
                </c:pt>
                <c:pt idx="387">
                  <c:v>59.99</c:v>
                </c:pt>
                <c:pt idx="388">
                  <c:v>57.83</c:v>
                </c:pt>
                <c:pt idx="389">
                  <c:v>62.12</c:v>
                </c:pt>
                <c:pt idx="390">
                  <c:v>56.07</c:v>
                </c:pt>
                <c:pt idx="391">
                  <c:v>64.67</c:v>
                </c:pt>
                <c:pt idx="392">
                  <c:v>64.28</c:v>
                </c:pt>
                <c:pt idx="393">
                  <c:v>64.95</c:v>
                </c:pt>
                <c:pt idx="394">
                  <c:v>66.39</c:v>
                </c:pt>
                <c:pt idx="395">
                  <c:v>72.73</c:v>
                </c:pt>
                <c:pt idx="396">
                  <c:v>72.66</c:v>
                </c:pt>
                <c:pt idx="397">
                  <c:v>71.87</c:v>
                </c:pt>
                <c:pt idx="398">
                  <c:v>68.03</c:v>
                </c:pt>
                <c:pt idx="399">
                  <c:v>67.31</c:v>
                </c:pt>
                <c:pt idx="400">
                  <c:v>65.209999999999994</c:v>
                </c:pt>
                <c:pt idx="401">
                  <c:v>57.55</c:v>
                </c:pt>
                <c:pt idx="402">
                  <c:v>59.48</c:v>
                </c:pt>
                <c:pt idx="403">
                  <c:v>55.29</c:v>
                </c:pt>
                <c:pt idx="404">
                  <c:v>52.46</c:v>
                </c:pt>
                <c:pt idx="405">
                  <c:v>60.06</c:v>
                </c:pt>
                <c:pt idx="406">
                  <c:v>51.14</c:v>
                </c:pt>
                <c:pt idx="407">
                  <c:v>54.73</c:v>
                </c:pt>
                <c:pt idx="408">
                  <c:v>54.1</c:v>
                </c:pt>
                <c:pt idx="409">
                  <c:v>57.63</c:v>
                </c:pt>
                <c:pt idx="410">
                  <c:v>55.73</c:v>
                </c:pt>
                <c:pt idx="411">
                  <c:v>54.28</c:v>
                </c:pt>
                <c:pt idx="412">
                  <c:v>51.67</c:v>
                </c:pt>
                <c:pt idx="413">
                  <c:v>55.1</c:v>
                </c:pt>
                <c:pt idx="414">
                  <c:v>60.33</c:v>
                </c:pt>
                <c:pt idx="415">
                  <c:v>63.58</c:v>
                </c:pt>
                <c:pt idx="416">
                  <c:v>64.010000000000005</c:v>
                </c:pt>
                <c:pt idx="417">
                  <c:v>59.74</c:v>
                </c:pt>
                <c:pt idx="418">
                  <c:v>61.64</c:v>
                </c:pt>
                <c:pt idx="419">
                  <c:v>59.59</c:v>
                </c:pt>
                <c:pt idx="420">
                  <c:v>54.09</c:v>
                </c:pt>
                <c:pt idx="421">
                  <c:v>52.75</c:v>
                </c:pt>
                <c:pt idx="422">
                  <c:v>51.74</c:v>
                </c:pt>
                <c:pt idx="423">
                  <c:v>53.98</c:v>
                </c:pt>
                <c:pt idx="424">
                  <c:v>59.2</c:v>
                </c:pt>
                <c:pt idx="425">
                  <c:v>53.17</c:v>
                </c:pt>
                <c:pt idx="426">
                  <c:v>61.62</c:v>
                </c:pt>
                <c:pt idx="427">
                  <c:v>69.38</c:v>
                </c:pt>
                <c:pt idx="428">
                  <c:v>69.010000000000005</c:v>
                </c:pt>
                <c:pt idx="430">
                  <c:v>74.58</c:v>
                </c:pt>
                <c:pt idx="431">
                  <c:v>71.92</c:v>
                </c:pt>
                <c:pt idx="432">
                  <c:v>69.13</c:v>
                </c:pt>
                <c:pt idx="433">
                  <c:v>68.33</c:v>
                </c:pt>
                <c:pt idx="434">
                  <c:v>66.64</c:v>
                </c:pt>
                <c:pt idx="435">
                  <c:v>65.61</c:v>
                </c:pt>
                <c:pt idx="436">
                  <c:v>62.69</c:v>
                </c:pt>
                <c:pt idx="437">
                  <c:v>60.65</c:v>
                </c:pt>
                <c:pt idx="438">
                  <c:v>61.52</c:v>
                </c:pt>
                <c:pt idx="439">
                  <c:v>63.21</c:v>
                </c:pt>
                <c:pt idx="440">
                  <c:v>61.53</c:v>
                </c:pt>
                <c:pt idx="441">
                  <c:v>59.21</c:v>
                </c:pt>
                <c:pt idx="442">
                  <c:v>56.15</c:v>
                </c:pt>
                <c:pt idx="443">
                  <c:v>51.79</c:v>
                </c:pt>
                <c:pt idx="444">
                  <c:v>48.59</c:v>
                </c:pt>
                <c:pt idx="445">
                  <c:v>50.54</c:v>
                </c:pt>
                <c:pt idx="446">
                  <c:v>48.98</c:v>
                </c:pt>
                <c:pt idx="447">
                  <c:v>42.73</c:v>
                </c:pt>
                <c:pt idx="448">
                  <c:v>42.24</c:v>
                </c:pt>
                <c:pt idx="449">
                  <c:v>35.46</c:v>
                </c:pt>
                <c:pt idx="450">
                  <c:v>44.4</c:v>
                </c:pt>
                <c:pt idx="451">
                  <c:v>55.74</c:v>
                </c:pt>
                <c:pt idx="452">
                  <c:v>64.72</c:v>
                </c:pt>
                <c:pt idx="453">
                  <c:v>66.489999999999995</c:v>
                </c:pt>
                <c:pt idx="454">
                  <c:v>62.13</c:v>
                </c:pt>
                <c:pt idx="455">
                  <c:v>63.04</c:v>
                </c:pt>
                <c:pt idx="456">
                  <c:v>56.4</c:v>
                </c:pt>
                <c:pt idx="457">
                  <c:v>54.58</c:v>
                </c:pt>
                <c:pt idx="458">
                  <c:v>63.64</c:v>
                </c:pt>
                <c:pt idx="459">
                  <c:v>62.86</c:v>
                </c:pt>
                <c:pt idx="460">
                  <c:v>60.51</c:v>
                </c:pt>
                <c:pt idx="461">
                  <c:v>67.8</c:v>
                </c:pt>
                <c:pt idx="462">
                  <c:v>78.36</c:v>
                </c:pt>
                <c:pt idx="463">
                  <c:v>76.22</c:v>
                </c:pt>
                <c:pt idx="464">
                  <c:v>72.47</c:v>
                </c:pt>
                <c:pt idx="465">
                  <c:v>66.19</c:v>
                </c:pt>
                <c:pt idx="466">
                  <c:v>64.489999999999995</c:v>
                </c:pt>
                <c:pt idx="467">
                  <c:v>60.11</c:v>
                </c:pt>
                <c:pt idx="468">
                  <c:v>57.77</c:v>
                </c:pt>
                <c:pt idx="469">
                  <c:v>52.59</c:v>
                </c:pt>
                <c:pt idx="470">
                  <c:v>54.73</c:v>
                </c:pt>
                <c:pt idx="472">
                  <c:v>54.92</c:v>
                </c:pt>
                <c:pt idx="473">
                  <c:v>57.31</c:v>
                </c:pt>
                <c:pt idx="474">
                  <c:v>49.83</c:v>
                </c:pt>
                <c:pt idx="475">
                  <c:v>48.25</c:v>
                </c:pt>
                <c:pt idx="476">
                  <c:v>45.79</c:v>
                </c:pt>
                <c:pt idx="477">
                  <c:v>46.52</c:v>
                </c:pt>
                <c:pt idx="478">
                  <c:v>50.42</c:v>
                </c:pt>
                <c:pt idx="479">
                  <c:v>55.59</c:v>
                </c:pt>
                <c:pt idx="480">
                  <c:v>51.74</c:v>
                </c:pt>
                <c:pt idx="481">
                  <c:v>54.44</c:v>
                </c:pt>
                <c:pt idx="483">
                  <c:v>51.19</c:v>
                </c:pt>
                <c:pt idx="484">
                  <c:v>47.04</c:v>
                </c:pt>
                <c:pt idx="485">
                  <c:v>40.56</c:v>
                </c:pt>
                <c:pt idx="486">
                  <c:v>42.29</c:v>
                </c:pt>
                <c:pt idx="487">
                  <c:v>42.69</c:v>
                </c:pt>
                <c:pt idx="488">
                  <c:v>43.18</c:v>
                </c:pt>
                <c:pt idx="489">
                  <c:v>49.44</c:v>
                </c:pt>
                <c:pt idx="490">
                  <c:v>51.82</c:v>
                </c:pt>
                <c:pt idx="491">
                  <c:v>49.12</c:v>
                </c:pt>
                <c:pt idx="492">
                  <c:v>49.39</c:v>
                </c:pt>
                <c:pt idx="493">
                  <c:v>47.79</c:v>
                </c:pt>
                <c:pt idx="494">
                  <c:v>50.12</c:v>
                </c:pt>
                <c:pt idx="495">
                  <c:v>53.43</c:v>
                </c:pt>
                <c:pt idx="496">
                  <c:v>45.76</c:v>
                </c:pt>
                <c:pt idx="497">
                  <c:v>42.54</c:v>
                </c:pt>
                <c:pt idx="498">
                  <c:v>46.37</c:v>
                </c:pt>
                <c:pt idx="500">
                  <c:v>52.5</c:v>
                </c:pt>
                <c:pt idx="501">
                  <c:v>49.11</c:v>
                </c:pt>
                <c:pt idx="502">
                  <c:v>58.05</c:v>
                </c:pt>
                <c:pt idx="503">
                  <c:v>62.41</c:v>
                </c:pt>
                <c:pt idx="504">
                  <c:v>59.21</c:v>
                </c:pt>
                <c:pt idx="505">
                  <c:v>71.33</c:v>
                </c:pt>
                <c:pt idx="506">
                  <c:v>68.09</c:v>
                </c:pt>
                <c:pt idx="507">
                  <c:v>68.09</c:v>
                </c:pt>
                <c:pt idx="508">
                  <c:v>64.64</c:v>
                </c:pt>
                <c:pt idx="509">
                  <c:v>62.06</c:v>
                </c:pt>
                <c:pt idx="510">
                  <c:v>65.66</c:v>
                </c:pt>
                <c:pt idx="511">
                  <c:v>63.83</c:v>
                </c:pt>
                <c:pt idx="512">
                  <c:v>59.98</c:v>
                </c:pt>
                <c:pt idx="513">
                  <c:v>57.97</c:v>
                </c:pt>
                <c:pt idx="514">
                  <c:v>56.06</c:v>
                </c:pt>
                <c:pt idx="515">
                  <c:v>47.89</c:v>
                </c:pt>
                <c:pt idx="516">
                  <c:v>46.28</c:v>
                </c:pt>
                <c:pt idx="517">
                  <c:v>44.52</c:v>
                </c:pt>
                <c:pt idx="518">
                  <c:v>44.52</c:v>
                </c:pt>
                <c:pt idx="519">
                  <c:v>50.2</c:v>
                </c:pt>
                <c:pt idx="520">
                  <c:v>51.11</c:v>
                </c:pt>
                <c:pt idx="521">
                  <c:v>51.98</c:v>
                </c:pt>
                <c:pt idx="522">
                  <c:v>55.51</c:v>
                </c:pt>
                <c:pt idx="523">
                  <c:v>55.66</c:v>
                </c:pt>
                <c:pt idx="524">
                  <c:v>52.65</c:v>
                </c:pt>
                <c:pt idx="525">
                  <c:v>46.27</c:v>
                </c:pt>
                <c:pt idx="526">
                  <c:v>37.49</c:v>
                </c:pt>
                <c:pt idx="527">
                  <c:v>34.979999999999997</c:v>
                </c:pt>
                <c:pt idx="528">
                  <c:v>33.200000000000003</c:v>
                </c:pt>
                <c:pt idx="529">
                  <c:v>35.65</c:v>
                </c:pt>
                <c:pt idx="530">
                  <c:v>37.549999999999997</c:v>
                </c:pt>
                <c:pt idx="531">
                  <c:v>43.35</c:v>
                </c:pt>
                <c:pt idx="532">
                  <c:v>46.97</c:v>
                </c:pt>
                <c:pt idx="533">
                  <c:v>56.3</c:v>
                </c:pt>
                <c:pt idx="534">
                  <c:v>60.63</c:v>
                </c:pt>
                <c:pt idx="535">
                  <c:v>58.4</c:v>
                </c:pt>
                <c:pt idx="536">
                  <c:v>53.06</c:v>
                </c:pt>
                <c:pt idx="537">
                  <c:v>61.97</c:v>
                </c:pt>
                <c:pt idx="538">
                  <c:v>62.38</c:v>
                </c:pt>
                <c:pt idx="539">
                  <c:v>66.95</c:v>
                </c:pt>
                <c:pt idx="541">
                  <c:v>72.069999999999993</c:v>
                </c:pt>
                <c:pt idx="542">
                  <c:v>69.94</c:v>
                </c:pt>
                <c:pt idx="543">
                  <c:v>64.58</c:v>
                </c:pt>
                <c:pt idx="544">
                  <c:v>62.82</c:v>
                </c:pt>
                <c:pt idx="545">
                  <c:v>66.31</c:v>
                </c:pt>
                <c:pt idx="546">
                  <c:v>78.47</c:v>
                </c:pt>
                <c:pt idx="547">
                  <c:v>75.510000000000005</c:v>
                </c:pt>
                <c:pt idx="548">
                  <c:v>70.010000000000005</c:v>
                </c:pt>
                <c:pt idx="549">
                  <c:v>67.22</c:v>
                </c:pt>
                <c:pt idx="550">
                  <c:v>66.05</c:v>
                </c:pt>
                <c:pt idx="551">
                  <c:v>67.17</c:v>
                </c:pt>
                <c:pt idx="552">
                  <c:v>77.16</c:v>
                </c:pt>
                <c:pt idx="553">
                  <c:v>73.88</c:v>
                </c:pt>
                <c:pt idx="554">
                  <c:v>71.739999999999995</c:v>
                </c:pt>
                <c:pt idx="555">
                  <c:v>70.83</c:v>
                </c:pt>
                <c:pt idx="556">
                  <c:v>69.930000000000007</c:v>
                </c:pt>
                <c:pt idx="557">
                  <c:v>71.69</c:v>
                </c:pt>
                <c:pt idx="558">
                  <c:v>69.17</c:v>
                </c:pt>
                <c:pt idx="559">
                  <c:v>69.040000000000006</c:v>
                </c:pt>
                <c:pt idx="560">
                  <c:v>67.86</c:v>
                </c:pt>
                <c:pt idx="561">
                  <c:v>69.09</c:v>
                </c:pt>
                <c:pt idx="562">
                  <c:v>69.55</c:v>
                </c:pt>
                <c:pt idx="563">
                  <c:v>68.05</c:v>
                </c:pt>
                <c:pt idx="564">
                  <c:v>66.94</c:v>
                </c:pt>
                <c:pt idx="565">
                  <c:v>71.11</c:v>
                </c:pt>
                <c:pt idx="566">
                  <c:v>69.34</c:v>
                </c:pt>
                <c:pt idx="567">
                  <c:v>64.709999999999994</c:v>
                </c:pt>
                <c:pt idx="568">
                  <c:v>63.37</c:v>
                </c:pt>
                <c:pt idx="570">
                  <c:v>65.48</c:v>
                </c:pt>
                <c:pt idx="571">
                  <c:v>68.180000000000007</c:v>
                </c:pt>
                <c:pt idx="572">
                  <c:v>61.06</c:v>
                </c:pt>
                <c:pt idx="573">
                  <c:v>56.02</c:v>
                </c:pt>
                <c:pt idx="574">
                  <c:v>67.67</c:v>
                </c:pt>
                <c:pt idx="575">
                  <c:v>65.41</c:v>
                </c:pt>
                <c:pt idx="576">
                  <c:v>63.97</c:v>
                </c:pt>
                <c:pt idx="577">
                  <c:v>67.52</c:v>
                </c:pt>
                <c:pt idx="578">
                  <c:v>63.93</c:v>
                </c:pt>
                <c:pt idx="579">
                  <c:v>62.88</c:v>
                </c:pt>
                <c:pt idx="580">
                  <c:v>68.180000000000007</c:v>
                </c:pt>
                <c:pt idx="581">
                  <c:v>66.349999999999994</c:v>
                </c:pt>
                <c:pt idx="582">
                  <c:v>65.66</c:v>
                </c:pt>
                <c:pt idx="583">
                  <c:v>77.430000000000007</c:v>
                </c:pt>
                <c:pt idx="584">
                  <c:v>72.81</c:v>
                </c:pt>
                <c:pt idx="585">
                  <c:v>71.709999999999994</c:v>
                </c:pt>
                <c:pt idx="586">
                  <c:v>70.14</c:v>
                </c:pt>
                <c:pt idx="587">
                  <c:v>67.900000000000006</c:v>
                </c:pt>
                <c:pt idx="588">
                  <c:v>66.03</c:v>
                </c:pt>
                <c:pt idx="589">
                  <c:v>65.28</c:v>
                </c:pt>
                <c:pt idx="590">
                  <c:v>63</c:v>
                </c:pt>
                <c:pt idx="591">
                  <c:v>53.57</c:v>
                </c:pt>
                <c:pt idx="592">
                  <c:v>52.45</c:v>
                </c:pt>
                <c:pt idx="593">
                  <c:v>53.86</c:v>
                </c:pt>
                <c:pt idx="595">
                  <c:v>59.39</c:v>
                </c:pt>
                <c:pt idx="596">
                  <c:v>60.95</c:v>
                </c:pt>
                <c:pt idx="597">
                  <c:v>64.08</c:v>
                </c:pt>
                <c:pt idx="598">
                  <c:v>63.33</c:v>
                </c:pt>
                <c:pt idx="599">
                  <c:v>68.66</c:v>
                </c:pt>
                <c:pt idx="600">
                  <c:v>66</c:v>
                </c:pt>
                <c:pt idx="601">
                  <c:v>64.12</c:v>
                </c:pt>
                <c:pt idx="602">
                  <c:v>62.31</c:v>
                </c:pt>
                <c:pt idx="603">
                  <c:v>69.239999999999995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05-4464-8669-7CC2C2EDC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보험  </a:t>
            </a:r>
            <a:r>
              <a:rPr lang="en-US"/>
              <a:t>vs  </a:t>
            </a:r>
            <a:r>
              <a:rPr lang="ko-KR" altLang="en-US"/>
              <a:t>금융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RSI'!$T$7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RSI'!$T$78:$T$3077</c:f>
              <c:numCache>
                <c:formatCode>0.00</c:formatCode>
                <c:ptCount val="3000"/>
                <c:pt idx="1">
                  <c:v>51.03</c:v>
                </c:pt>
                <c:pt idx="2">
                  <c:v>56.58</c:v>
                </c:pt>
                <c:pt idx="3">
                  <c:v>56.9</c:v>
                </c:pt>
                <c:pt idx="4">
                  <c:v>54.18</c:v>
                </c:pt>
                <c:pt idx="5">
                  <c:v>52.59</c:v>
                </c:pt>
                <c:pt idx="6">
                  <c:v>57.12</c:v>
                </c:pt>
                <c:pt idx="7">
                  <c:v>54.41</c:v>
                </c:pt>
                <c:pt idx="8">
                  <c:v>58.13</c:v>
                </c:pt>
                <c:pt idx="9">
                  <c:v>58.15</c:v>
                </c:pt>
                <c:pt idx="10">
                  <c:v>58.66</c:v>
                </c:pt>
                <c:pt idx="11">
                  <c:v>60.82</c:v>
                </c:pt>
                <c:pt idx="12">
                  <c:v>59.99</c:v>
                </c:pt>
                <c:pt idx="13">
                  <c:v>57.86</c:v>
                </c:pt>
                <c:pt idx="14">
                  <c:v>53</c:v>
                </c:pt>
                <c:pt idx="15">
                  <c:v>53.28</c:v>
                </c:pt>
                <c:pt idx="16">
                  <c:v>51.18</c:v>
                </c:pt>
                <c:pt idx="17">
                  <c:v>54.32</c:v>
                </c:pt>
                <c:pt idx="18">
                  <c:v>47.09</c:v>
                </c:pt>
                <c:pt idx="19">
                  <c:v>48.69</c:v>
                </c:pt>
                <c:pt idx="20">
                  <c:v>47</c:v>
                </c:pt>
                <c:pt idx="21">
                  <c:v>46.08</c:v>
                </c:pt>
                <c:pt idx="22">
                  <c:v>50.45</c:v>
                </c:pt>
                <c:pt idx="23">
                  <c:v>43.98</c:v>
                </c:pt>
                <c:pt idx="24">
                  <c:v>47.26</c:v>
                </c:pt>
                <c:pt idx="25">
                  <c:v>49.28</c:v>
                </c:pt>
                <c:pt idx="26">
                  <c:v>49.62</c:v>
                </c:pt>
                <c:pt idx="27">
                  <c:v>55.6</c:v>
                </c:pt>
                <c:pt idx="28">
                  <c:v>52.14</c:v>
                </c:pt>
                <c:pt idx="29">
                  <c:v>48.68</c:v>
                </c:pt>
                <c:pt idx="30">
                  <c:v>55.87</c:v>
                </c:pt>
                <c:pt idx="31">
                  <c:v>55.34</c:v>
                </c:pt>
                <c:pt idx="32">
                  <c:v>58.93</c:v>
                </c:pt>
                <c:pt idx="33">
                  <c:v>52.38</c:v>
                </c:pt>
                <c:pt idx="34">
                  <c:v>49.67</c:v>
                </c:pt>
                <c:pt idx="35">
                  <c:v>50.6</c:v>
                </c:pt>
                <c:pt idx="36">
                  <c:v>52.73</c:v>
                </c:pt>
                <c:pt idx="37">
                  <c:v>56.39</c:v>
                </c:pt>
                <c:pt idx="38">
                  <c:v>51.87</c:v>
                </c:pt>
                <c:pt idx="39">
                  <c:v>47.76</c:v>
                </c:pt>
                <c:pt idx="40">
                  <c:v>52.66</c:v>
                </c:pt>
                <c:pt idx="41">
                  <c:v>52.99</c:v>
                </c:pt>
                <c:pt idx="42">
                  <c:v>44.11</c:v>
                </c:pt>
                <c:pt idx="43">
                  <c:v>58.32</c:v>
                </c:pt>
                <c:pt idx="45">
                  <c:v>63.41</c:v>
                </c:pt>
                <c:pt idx="46">
                  <c:v>74.09</c:v>
                </c:pt>
                <c:pt idx="47">
                  <c:v>76.09</c:v>
                </c:pt>
                <c:pt idx="48">
                  <c:v>72.77</c:v>
                </c:pt>
                <c:pt idx="49">
                  <c:v>83.15</c:v>
                </c:pt>
                <c:pt idx="50">
                  <c:v>82.8</c:v>
                </c:pt>
                <c:pt idx="51">
                  <c:v>76.67</c:v>
                </c:pt>
                <c:pt idx="54">
                  <c:v>74.930000000000007</c:v>
                </c:pt>
                <c:pt idx="55">
                  <c:v>76.84</c:v>
                </c:pt>
                <c:pt idx="56">
                  <c:v>73.150000000000006</c:v>
                </c:pt>
                <c:pt idx="57">
                  <c:v>70.66</c:v>
                </c:pt>
                <c:pt idx="58">
                  <c:v>67.849999999999994</c:v>
                </c:pt>
                <c:pt idx="59">
                  <c:v>63.05</c:v>
                </c:pt>
                <c:pt idx="60">
                  <c:v>65.19</c:v>
                </c:pt>
                <c:pt idx="61">
                  <c:v>69.819999999999993</c:v>
                </c:pt>
                <c:pt idx="62">
                  <c:v>61.25</c:v>
                </c:pt>
                <c:pt idx="63">
                  <c:v>55.25</c:v>
                </c:pt>
                <c:pt idx="64">
                  <c:v>67.540000000000006</c:v>
                </c:pt>
                <c:pt idx="65">
                  <c:v>71.069999999999993</c:v>
                </c:pt>
                <c:pt idx="66">
                  <c:v>68.650000000000006</c:v>
                </c:pt>
                <c:pt idx="67">
                  <c:v>67.61</c:v>
                </c:pt>
                <c:pt idx="68">
                  <c:v>63.25</c:v>
                </c:pt>
                <c:pt idx="69">
                  <c:v>66.19</c:v>
                </c:pt>
                <c:pt idx="70">
                  <c:v>61.87</c:v>
                </c:pt>
                <c:pt idx="71">
                  <c:v>60.84</c:v>
                </c:pt>
                <c:pt idx="72">
                  <c:v>61.59</c:v>
                </c:pt>
                <c:pt idx="73">
                  <c:v>52.9</c:v>
                </c:pt>
                <c:pt idx="74">
                  <c:v>56.44</c:v>
                </c:pt>
                <c:pt idx="75">
                  <c:v>47.51</c:v>
                </c:pt>
                <c:pt idx="76">
                  <c:v>48.92</c:v>
                </c:pt>
                <c:pt idx="77">
                  <c:v>44.29</c:v>
                </c:pt>
                <c:pt idx="78">
                  <c:v>44.46</c:v>
                </c:pt>
                <c:pt idx="79">
                  <c:v>44.77</c:v>
                </c:pt>
                <c:pt idx="80">
                  <c:v>44.97</c:v>
                </c:pt>
                <c:pt idx="81">
                  <c:v>50.68</c:v>
                </c:pt>
                <c:pt idx="82">
                  <c:v>56.07</c:v>
                </c:pt>
                <c:pt idx="83">
                  <c:v>54.69</c:v>
                </c:pt>
                <c:pt idx="84">
                  <c:v>50.61</c:v>
                </c:pt>
                <c:pt idx="86">
                  <c:v>52.64</c:v>
                </c:pt>
                <c:pt idx="87">
                  <c:v>51.87</c:v>
                </c:pt>
                <c:pt idx="88">
                  <c:v>54.19</c:v>
                </c:pt>
                <c:pt idx="89">
                  <c:v>57.52</c:v>
                </c:pt>
                <c:pt idx="90">
                  <c:v>56.97</c:v>
                </c:pt>
                <c:pt idx="91">
                  <c:v>54.64</c:v>
                </c:pt>
                <c:pt idx="92">
                  <c:v>50.21</c:v>
                </c:pt>
                <c:pt idx="93">
                  <c:v>47.32</c:v>
                </c:pt>
                <c:pt idx="94">
                  <c:v>50.26</c:v>
                </c:pt>
                <c:pt idx="95">
                  <c:v>47.26</c:v>
                </c:pt>
                <c:pt idx="96">
                  <c:v>48.4</c:v>
                </c:pt>
                <c:pt idx="97">
                  <c:v>49.61</c:v>
                </c:pt>
                <c:pt idx="98">
                  <c:v>65.19</c:v>
                </c:pt>
                <c:pt idx="99">
                  <c:v>48.41</c:v>
                </c:pt>
                <c:pt idx="100">
                  <c:v>53.16</c:v>
                </c:pt>
                <c:pt idx="101">
                  <c:v>51.69</c:v>
                </c:pt>
                <c:pt idx="102">
                  <c:v>60.11</c:v>
                </c:pt>
                <c:pt idx="103">
                  <c:v>55.66</c:v>
                </c:pt>
                <c:pt idx="104">
                  <c:v>55.98</c:v>
                </c:pt>
                <c:pt idx="105">
                  <c:v>55.81</c:v>
                </c:pt>
                <c:pt idx="106">
                  <c:v>54.92</c:v>
                </c:pt>
                <c:pt idx="107">
                  <c:v>50.3</c:v>
                </c:pt>
                <c:pt idx="108">
                  <c:v>51.49</c:v>
                </c:pt>
                <c:pt idx="109">
                  <c:v>49.94</c:v>
                </c:pt>
                <c:pt idx="110">
                  <c:v>41.88</c:v>
                </c:pt>
                <c:pt idx="111">
                  <c:v>40.15</c:v>
                </c:pt>
                <c:pt idx="112">
                  <c:v>40.58</c:v>
                </c:pt>
                <c:pt idx="113">
                  <c:v>41.48</c:v>
                </c:pt>
                <c:pt idx="114">
                  <c:v>41.98</c:v>
                </c:pt>
                <c:pt idx="115">
                  <c:v>41.89</c:v>
                </c:pt>
                <c:pt idx="116">
                  <c:v>47.48</c:v>
                </c:pt>
                <c:pt idx="117">
                  <c:v>51.02</c:v>
                </c:pt>
                <c:pt idx="118">
                  <c:v>65.95</c:v>
                </c:pt>
                <c:pt idx="119">
                  <c:v>69.67</c:v>
                </c:pt>
                <c:pt idx="120">
                  <c:v>62.74</c:v>
                </c:pt>
                <c:pt idx="121">
                  <c:v>64.790000000000006</c:v>
                </c:pt>
                <c:pt idx="122">
                  <c:v>55.49</c:v>
                </c:pt>
                <c:pt idx="123">
                  <c:v>61.38</c:v>
                </c:pt>
                <c:pt idx="124">
                  <c:v>44.99</c:v>
                </c:pt>
                <c:pt idx="125">
                  <c:v>37.76</c:v>
                </c:pt>
                <c:pt idx="126">
                  <c:v>38.04</c:v>
                </c:pt>
                <c:pt idx="127">
                  <c:v>40.79</c:v>
                </c:pt>
                <c:pt idx="128">
                  <c:v>45.57</c:v>
                </c:pt>
                <c:pt idx="129">
                  <c:v>48.55</c:v>
                </c:pt>
                <c:pt idx="130">
                  <c:v>51.84</c:v>
                </c:pt>
                <c:pt idx="131">
                  <c:v>55.66</c:v>
                </c:pt>
                <c:pt idx="132">
                  <c:v>55.99</c:v>
                </c:pt>
                <c:pt idx="133">
                  <c:v>54.96</c:v>
                </c:pt>
                <c:pt idx="134">
                  <c:v>52.96</c:v>
                </c:pt>
                <c:pt idx="135">
                  <c:v>52.15</c:v>
                </c:pt>
                <c:pt idx="136">
                  <c:v>51.04</c:v>
                </c:pt>
                <c:pt idx="137">
                  <c:v>44.94</c:v>
                </c:pt>
                <c:pt idx="138">
                  <c:v>57.84</c:v>
                </c:pt>
                <c:pt idx="139">
                  <c:v>56.54</c:v>
                </c:pt>
                <c:pt idx="140">
                  <c:v>60.04</c:v>
                </c:pt>
                <c:pt idx="141">
                  <c:v>52.48</c:v>
                </c:pt>
                <c:pt idx="142">
                  <c:v>56.45</c:v>
                </c:pt>
                <c:pt idx="148">
                  <c:v>56.68</c:v>
                </c:pt>
                <c:pt idx="149">
                  <c:v>53.86</c:v>
                </c:pt>
                <c:pt idx="150">
                  <c:v>55.77</c:v>
                </c:pt>
                <c:pt idx="151">
                  <c:v>58.88</c:v>
                </c:pt>
                <c:pt idx="152">
                  <c:v>53.27</c:v>
                </c:pt>
                <c:pt idx="153">
                  <c:v>52.55</c:v>
                </c:pt>
                <c:pt idx="154">
                  <c:v>56.5</c:v>
                </c:pt>
                <c:pt idx="155">
                  <c:v>65.12</c:v>
                </c:pt>
                <c:pt idx="156">
                  <c:v>63.48</c:v>
                </c:pt>
                <c:pt idx="157">
                  <c:v>60.89</c:v>
                </c:pt>
                <c:pt idx="158">
                  <c:v>61.37</c:v>
                </c:pt>
                <c:pt idx="159">
                  <c:v>61</c:v>
                </c:pt>
                <c:pt idx="160">
                  <c:v>72.83</c:v>
                </c:pt>
                <c:pt idx="161">
                  <c:v>77.010000000000005</c:v>
                </c:pt>
                <c:pt idx="162">
                  <c:v>75.88</c:v>
                </c:pt>
                <c:pt idx="163">
                  <c:v>76</c:v>
                </c:pt>
                <c:pt idx="164">
                  <c:v>74.83</c:v>
                </c:pt>
                <c:pt idx="165">
                  <c:v>71.989999999999995</c:v>
                </c:pt>
                <c:pt idx="166">
                  <c:v>66.790000000000006</c:v>
                </c:pt>
                <c:pt idx="167">
                  <c:v>66.17</c:v>
                </c:pt>
                <c:pt idx="168">
                  <c:v>64.11</c:v>
                </c:pt>
                <c:pt idx="169">
                  <c:v>64.900000000000006</c:v>
                </c:pt>
                <c:pt idx="170">
                  <c:v>71.02</c:v>
                </c:pt>
                <c:pt idx="171">
                  <c:v>65.14</c:v>
                </c:pt>
                <c:pt idx="172">
                  <c:v>61.56</c:v>
                </c:pt>
                <c:pt idx="173">
                  <c:v>64.2</c:v>
                </c:pt>
                <c:pt idx="174">
                  <c:v>57.2</c:v>
                </c:pt>
                <c:pt idx="175">
                  <c:v>57.05</c:v>
                </c:pt>
                <c:pt idx="176">
                  <c:v>61.06</c:v>
                </c:pt>
                <c:pt idx="177">
                  <c:v>60.19</c:v>
                </c:pt>
                <c:pt idx="178">
                  <c:v>59.73</c:v>
                </c:pt>
                <c:pt idx="179">
                  <c:v>52.3</c:v>
                </c:pt>
                <c:pt idx="180">
                  <c:v>52.1</c:v>
                </c:pt>
                <c:pt idx="181">
                  <c:v>50.72</c:v>
                </c:pt>
                <c:pt idx="183">
                  <c:v>51.6</c:v>
                </c:pt>
                <c:pt idx="184">
                  <c:v>48.5</c:v>
                </c:pt>
                <c:pt idx="185">
                  <c:v>47.91</c:v>
                </c:pt>
                <c:pt idx="186">
                  <c:v>46.62</c:v>
                </c:pt>
                <c:pt idx="187">
                  <c:v>46.88</c:v>
                </c:pt>
                <c:pt idx="188">
                  <c:v>49.44</c:v>
                </c:pt>
                <c:pt idx="189">
                  <c:v>47.77</c:v>
                </c:pt>
                <c:pt idx="190">
                  <c:v>45.44</c:v>
                </c:pt>
                <c:pt idx="191">
                  <c:v>39.32</c:v>
                </c:pt>
                <c:pt idx="192">
                  <c:v>38.69</c:v>
                </c:pt>
                <c:pt idx="193">
                  <c:v>46.71</c:v>
                </c:pt>
                <c:pt idx="194">
                  <c:v>48.47</c:v>
                </c:pt>
                <c:pt idx="195">
                  <c:v>46.92</c:v>
                </c:pt>
                <c:pt idx="196">
                  <c:v>44.59</c:v>
                </c:pt>
                <c:pt idx="197">
                  <c:v>52.3</c:v>
                </c:pt>
                <c:pt idx="198">
                  <c:v>51.49</c:v>
                </c:pt>
                <c:pt idx="199">
                  <c:v>54.07</c:v>
                </c:pt>
                <c:pt idx="200">
                  <c:v>56.35</c:v>
                </c:pt>
                <c:pt idx="201">
                  <c:v>57.44</c:v>
                </c:pt>
                <c:pt idx="202">
                  <c:v>60.35</c:v>
                </c:pt>
                <c:pt idx="203">
                  <c:v>67.03</c:v>
                </c:pt>
                <c:pt idx="204">
                  <c:v>64.64</c:v>
                </c:pt>
                <c:pt idx="205">
                  <c:v>71.08</c:v>
                </c:pt>
                <c:pt idx="206">
                  <c:v>81.62</c:v>
                </c:pt>
                <c:pt idx="207">
                  <c:v>75.099999999999994</c:v>
                </c:pt>
                <c:pt idx="208">
                  <c:v>74.900000000000006</c:v>
                </c:pt>
                <c:pt idx="209">
                  <c:v>73.95</c:v>
                </c:pt>
                <c:pt idx="210">
                  <c:v>69.83</c:v>
                </c:pt>
                <c:pt idx="211">
                  <c:v>63.72</c:v>
                </c:pt>
                <c:pt idx="212">
                  <c:v>59.8</c:v>
                </c:pt>
                <c:pt idx="213">
                  <c:v>66.150000000000006</c:v>
                </c:pt>
                <c:pt idx="214">
                  <c:v>66.45</c:v>
                </c:pt>
                <c:pt idx="215">
                  <c:v>70.86</c:v>
                </c:pt>
                <c:pt idx="216">
                  <c:v>67.98</c:v>
                </c:pt>
                <c:pt idx="217">
                  <c:v>67.33</c:v>
                </c:pt>
                <c:pt idx="218">
                  <c:v>69.13</c:v>
                </c:pt>
                <c:pt idx="219">
                  <c:v>72.73</c:v>
                </c:pt>
                <c:pt idx="220">
                  <c:v>72.36</c:v>
                </c:pt>
                <c:pt idx="221">
                  <c:v>67.989999999999995</c:v>
                </c:pt>
                <c:pt idx="222">
                  <c:v>71.38</c:v>
                </c:pt>
                <c:pt idx="223">
                  <c:v>69.739999999999995</c:v>
                </c:pt>
                <c:pt idx="224">
                  <c:v>68.75</c:v>
                </c:pt>
                <c:pt idx="225">
                  <c:v>77.98</c:v>
                </c:pt>
                <c:pt idx="226">
                  <c:v>79.349999999999994</c:v>
                </c:pt>
                <c:pt idx="227">
                  <c:v>77.44</c:v>
                </c:pt>
                <c:pt idx="228">
                  <c:v>78.36</c:v>
                </c:pt>
                <c:pt idx="229">
                  <c:v>77.16</c:v>
                </c:pt>
                <c:pt idx="230">
                  <c:v>73.959999999999994</c:v>
                </c:pt>
                <c:pt idx="231">
                  <c:v>82.64</c:v>
                </c:pt>
                <c:pt idx="233">
                  <c:v>82.07</c:v>
                </c:pt>
                <c:pt idx="234">
                  <c:v>77.040000000000006</c:v>
                </c:pt>
                <c:pt idx="236">
                  <c:v>66.02</c:v>
                </c:pt>
                <c:pt idx="237">
                  <c:v>71.47</c:v>
                </c:pt>
                <c:pt idx="238">
                  <c:v>72.78</c:v>
                </c:pt>
                <c:pt idx="239">
                  <c:v>67.98</c:v>
                </c:pt>
                <c:pt idx="240">
                  <c:v>68.58</c:v>
                </c:pt>
                <c:pt idx="241">
                  <c:v>74.14</c:v>
                </c:pt>
                <c:pt idx="242">
                  <c:v>65.099999999999994</c:v>
                </c:pt>
                <c:pt idx="243">
                  <c:v>58.08</c:v>
                </c:pt>
                <c:pt idx="244">
                  <c:v>65.94</c:v>
                </c:pt>
                <c:pt idx="245">
                  <c:v>61.2</c:v>
                </c:pt>
                <c:pt idx="246">
                  <c:v>62.57</c:v>
                </c:pt>
                <c:pt idx="247">
                  <c:v>56.58</c:v>
                </c:pt>
                <c:pt idx="248">
                  <c:v>55.94</c:v>
                </c:pt>
                <c:pt idx="249">
                  <c:v>63.75</c:v>
                </c:pt>
                <c:pt idx="250">
                  <c:v>62.46</c:v>
                </c:pt>
                <c:pt idx="251">
                  <c:v>63.55</c:v>
                </c:pt>
                <c:pt idx="252">
                  <c:v>58.17</c:v>
                </c:pt>
                <c:pt idx="253">
                  <c:v>60.3</c:v>
                </c:pt>
                <c:pt idx="254">
                  <c:v>60.29</c:v>
                </c:pt>
                <c:pt idx="257">
                  <c:v>63.14</c:v>
                </c:pt>
                <c:pt idx="259">
                  <c:v>63.18</c:v>
                </c:pt>
                <c:pt idx="260">
                  <c:v>59.68</c:v>
                </c:pt>
                <c:pt idx="261">
                  <c:v>54.18</c:v>
                </c:pt>
                <c:pt idx="262">
                  <c:v>52.7</c:v>
                </c:pt>
                <c:pt idx="263">
                  <c:v>53.33</c:v>
                </c:pt>
                <c:pt idx="264">
                  <c:v>53.13</c:v>
                </c:pt>
                <c:pt idx="265">
                  <c:v>50.56</c:v>
                </c:pt>
                <c:pt idx="266">
                  <c:v>47.72</c:v>
                </c:pt>
                <c:pt idx="267">
                  <c:v>45.71</c:v>
                </c:pt>
                <c:pt idx="268">
                  <c:v>43.97</c:v>
                </c:pt>
                <c:pt idx="269">
                  <c:v>43.7</c:v>
                </c:pt>
                <c:pt idx="270">
                  <c:v>44.18</c:v>
                </c:pt>
                <c:pt idx="271">
                  <c:v>40.99</c:v>
                </c:pt>
                <c:pt idx="272">
                  <c:v>37.82</c:v>
                </c:pt>
                <c:pt idx="273">
                  <c:v>40.450000000000003</c:v>
                </c:pt>
                <c:pt idx="274">
                  <c:v>22.82</c:v>
                </c:pt>
                <c:pt idx="275">
                  <c:v>26.57</c:v>
                </c:pt>
                <c:pt idx="276">
                  <c:v>27.98</c:v>
                </c:pt>
                <c:pt idx="277">
                  <c:v>34.15</c:v>
                </c:pt>
                <c:pt idx="278">
                  <c:v>35.32</c:v>
                </c:pt>
                <c:pt idx="279">
                  <c:v>37.950000000000003</c:v>
                </c:pt>
                <c:pt idx="280">
                  <c:v>39.64</c:v>
                </c:pt>
                <c:pt idx="281">
                  <c:v>37.04</c:v>
                </c:pt>
                <c:pt idx="282">
                  <c:v>39.299999999999997</c:v>
                </c:pt>
                <c:pt idx="283">
                  <c:v>40.44</c:v>
                </c:pt>
                <c:pt idx="284">
                  <c:v>41.9</c:v>
                </c:pt>
                <c:pt idx="285">
                  <c:v>45.51</c:v>
                </c:pt>
                <c:pt idx="286">
                  <c:v>50.19</c:v>
                </c:pt>
                <c:pt idx="287">
                  <c:v>50.1</c:v>
                </c:pt>
                <c:pt idx="288">
                  <c:v>51.52</c:v>
                </c:pt>
                <c:pt idx="289">
                  <c:v>52.66</c:v>
                </c:pt>
                <c:pt idx="290">
                  <c:v>48.73</c:v>
                </c:pt>
                <c:pt idx="291">
                  <c:v>45.48</c:v>
                </c:pt>
                <c:pt idx="292">
                  <c:v>42.37</c:v>
                </c:pt>
                <c:pt idx="293">
                  <c:v>45.87</c:v>
                </c:pt>
                <c:pt idx="294">
                  <c:v>48.67</c:v>
                </c:pt>
                <c:pt idx="295">
                  <c:v>44.17</c:v>
                </c:pt>
                <c:pt idx="296">
                  <c:v>47.06</c:v>
                </c:pt>
                <c:pt idx="297">
                  <c:v>39.07</c:v>
                </c:pt>
                <c:pt idx="298">
                  <c:v>43.47</c:v>
                </c:pt>
                <c:pt idx="299">
                  <c:v>43.21</c:v>
                </c:pt>
                <c:pt idx="300">
                  <c:v>41.69</c:v>
                </c:pt>
                <c:pt idx="302">
                  <c:v>43</c:v>
                </c:pt>
                <c:pt idx="303">
                  <c:v>47.71</c:v>
                </c:pt>
                <c:pt idx="304">
                  <c:v>48.97</c:v>
                </c:pt>
                <c:pt idx="305">
                  <c:v>47.52</c:v>
                </c:pt>
                <c:pt idx="306">
                  <c:v>49.52</c:v>
                </c:pt>
                <c:pt idx="307">
                  <c:v>49.13</c:v>
                </c:pt>
                <c:pt idx="308">
                  <c:v>54.82</c:v>
                </c:pt>
                <c:pt idx="309">
                  <c:v>60.62</c:v>
                </c:pt>
                <c:pt idx="310">
                  <c:v>62.41</c:v>
                </c:pt>
                <c:pt idx="311">
                  <c:v>68.7</c:v>
                </c:pt>
                <c:pt idx="312">
                  <c:v>59.71</c:v>
                </c:pt>
                <c:pt idx="313">
                  <c:v>45.46</c:v>
                </c:pt>
                <c:pt idx="314">
                  <c:v>50.22</c:v>
                </c:pt>
                <c:pt idx="315">
                  <c:v>46.47</c:v>
                </c:pt>
                <c:pt idx="316">
                  <c:v>46.8</c:v>
                </c:pt>
                <c:pt idx="317">
                  <c:v>49.3</c:v>
                </c:pt>
                <c:pt idx="318">
                  <c:v>53.89</c:v>
                </c:pt>
                <c:pt idx="319">
                  <c:v>51.25</c:v>
                </c:pt>
                <c:pt idx="320">
                  <c:v>52.65</c:v>
                </c:pt>
                <c:pt idx="321">
                  <c:v>50.89</c:v>
                </c:pt>
                <c:pt idx="322">
                  <c:v>50.48</c:v>
                </c:pt>
                <c:pt idx="327">
                  <c:v>27.3</c:v>
                </c:pt>
                <c:pt idx="328">
                  <c:v>29.03</c:v>
                </c:pt>
                <c:pt idx="329">
                  <c:v>30.59</c:v>
                </c:pt>
                <c:pt idx="330">
                  <c:v>33.6</c:v>
                </c:pt>
                <c:pt idx="331">
                  <c:v>36.36</c:v>
                </c:pt>
                <c:pt idx="332">
                  <c:v>40.74</c:v>
                </c:pt>
                <c:pt idx="333">
                  <c:v>42.64</c:v>
                </c:pt>
                <c:pt idx="334">
                  <c:v>38.01</c:v>
                </c:pt>
                <c:pt idx="335">
                  <c:v>39.08</c:v>
                </c:pt>
                <c:pt idx="336">
                  <c:v>42.32</c:v>
                </c:pt>
                <c:pt idx="337">
                  <c:v>41.99</c:v>
                </c:pt>
                <c:pt idx="338">
                  <c:v>43.23</c:v>
                </c:pt>
                <c:pt idx="339">
                  <c:v>43.63</c:v>
                </c:pt>
                <c:pt idx="340">
                  <c:v>40.130000000000003</c:v>
                </c:pt>
                <c:pt idx="341">
                  <c:v>41.89</c:v>
                </c:pt>
                <c:pt idx="342">
                  <c:v>40.020000000000003</c:v>
                </c:pt>
                <c:pt idx="343">
                  <c:v>37.65</c:v>
                </c:pt>
                <c:pt idx="345">
                  <c:v>40.229999999999997</c:v>
                </c:pt>
                <c:pt idx="346">
                  <c:v>43.62</c:v>
                </c:pt>
                <c:pt idx="347">
                  <c:v>47.58</c:v>
                </c:pt>
                <c:pt idx="348">
                  <c:v>49.62</c:v>
                </c:pt>
                <c:pt idx="349">
                  <c:v>49.5</c:v>
                </c:pt>
                <c:pt idx="350">
                  <c:v>41.75</c:v>
                </c:pt>
                <c:pt idx="351">
                  <c:v>44.62</c:v>
                </c:pt>
                <c:pt idx="352">
                  <c:v>45.39</c:v>
                </c:pt>
                <c:pt idx="353">
                  <c:v>42.23</c:v>
                </c:pt>
                <c:pt idx="354">
                  <c:v>43.07</c:v>
                </c:pt>
                <c:pt idx="355">
                  <c:v>45.97</c:v>
                </c:pt>
                <c:pt idx="356">
                  <c:v>49.92</c:v>
                </c:pt>
                <c:pt idx="357">
                  <c:v>47.2</c:v>
                </c:pt>
                <c:pt idx="358">
                  <c:v>44.42</c:v>
                </c:pt>
                <c:pt idx="359">
                  <c:v>40.9</c:v>
                </c:pt>
                <c:pt idx="360">
                  <c:v>47.18</c:v>
                </c:pt>
                <c:pt idx="361">
                  <c:v>47.91</c:v>
                </c:pt>
                <c:pt idx="362">
                  <c:v>55.45</c:v>
                </c:pt>
                <c:pt idx="363">
                  <c:v>68.349999999999994</c:v>
                </c:pt>
                <c:pt idx="364">
                  <c:v>59.2</c:v>
                </c:pt>
                <c:pt idx="365">
                  <c:v>58.84</c:v>
                </c:pt>
                <c:pt idx="366">
                  <c:v>58.68</c:v>
                </c:pt>
                <c:pt idx="367">
                  <c:v>59.37</c:v>
                </c:pt>
                <c:pt idx="368">
                  <c:v>51.38</c:v>
                </c:pt>
                <c:pt idx="369">
                  <c:v>56.95</c:v>
                </c:pt>
                <c:pt idx="370">
                  <c:v>58.66</c:v>
                </c:pt>
                <c:pt idx="371">
                  <c:v>55.04</c:v>
                </c:pt>
                <c:pt idx="372">
                  <c:v>56.44</c:v>
                </c:pt>
                <c:pt idx="373">
                  <c:v>54.04</c:v>
                </c:pt>
                <c:pt idx="374">
                  <c:v>58.8</c:v>
                </c:pt>
                <c:pt idx="375">
                  <c:v>36.32</c:v>
                </c:pt>
                <c:pt idx="376">
                  <c:v>36.630000000000003</c:v>
                </c:pt>
                <c:pt idx="377">
                  <c:v>39.18</c:v>
                </c:pt>
                <c:pt idx="378">
                  <c:v>43.47</c:v>
                </c:pt>
                <c:pt idx="379">
                  <c:v>50.53</c:v>
                </c:pt>
                <c:pt idx="380">
                  <c:v>51.83</c:v>
                </c:pt>
                <c:pt idx="381">
                  <c:v>49.82</c:v>
                </c:pt>
                <c:pt idx="382">
                  <c:v>56.54</c:v>
                </c:pt>
                <c:pt idx="383">
                  <c:v>53.31</c:v>
                </c:pt>
                <c:pt idx="384">
                  <c:v>53.48</c:v>
                </c:pt>
                <c:pt idx="385">
                  <c:v>52.32</c:v>
                </c:pt>
                <c:pt idx="386">
                  <c:v>47.92</c:v>
                </c:pt>
                <c:pt idx="387">
                  <c:v>51.06</c:v>
                </c:pt>
                <c:pt idx="388">
                  <c:v>54.94</c:v>
                </c:pt>
                <c:pt idx="389">
                  <c:v>53.17</c:v>
                </c:pt>
                <c:pt idx="390">
                  <c:v>54.17</c:v>
                </c:pt>
                <c:pt idx="391">
                  <c:v>49.07</c:v>
                </c:pt>
                <c:pt idx="392">
                  <c:v>55.15</c:v>
                </c:pt>
                <c:pt idx="393">
                  <c:v>56.39</c:v>
                </c:pt>
                <c:pt idx="394">
                  <c:v>52.78</c:v>
                </c:pt>
                <c:pt idx="395">
                  <c:v>51.93</c:v>
                </c:pt>
                <c:pt idx="396">
                  <c:v>51.57</c:v>
                </c:pt>
                <c:pt idx="397">
                  <c:v>56.53</c:v>
                </c:pt>
                <c:pt idx="398">
                  <c:v>55.13</c:v>
                </c:pt>
                <c:pt idx="399">
                  <c:v>54.29</c:v>
                </c:pt>
                <c:pt idx="400">
                  <c:v>48.52</c:v>
                </c:pt>
                <c:pt idx="401">
                  <c:v>47</c:v>
                </c:pt>
                <c:pt idx="403">
                  <c:v>44.35</c:v>
                </c:pt>
                <c:pt idx="404">
                  <c:v>46.31</c:v>
                </c:pt>
                <c:pt idx="405">
                  <c:v>43.36</c:v>
                </c:pt>
                <c:pt idx="407">
                  <c:v>39.22</c:v>
                </c:pt>
                <c:pt idx="409">
                  <c:v>44.33</c:v>
                </c:pt>
                <c:pt idx="410">
                  <c:v>47.67</c:v>
                </c:pt>
                <c:pt idx="411">
                  <c:v>48.45</c:v>
                </c:pt>
                <c:pt idx="412">
                  <c:v>42.24</c:v>
                </c:pt>
                <c:pt idx="413">
                  <c:v>51.82</c:v>
                </c:pt>
                <c:pt idx="414">
                  <c:v>50.97</c:v>
                </c:pt>
                <c:pt idx="415">
                  <c:v>54.61</c:v>
                </c:pt>
                <c:pt idx="416">
                  <c:v>55.06</c:v>
                </c:pt>
                <c:pt idx="420">
                  <c:v>51.05</c:v>
                </c:pt>
                <c:pt idx="421">
                  <c:v>47.91</c:v>
                </c:pt>
                <c:pt idx="422">
                  <c:v>42.74</c:v>
                </c:pt>
                <c:pt idx="423">
                  <c:v>48.72</c:v>
                </c:pt>
                <c:pt idx="424">
                  <c:v>45.4</c:v>
                </c:pt>
                <c:pt idx="425">
                  <c:v>50.13</c:v>
                </c:pt>
                <c:pt idx="426">
                  <c:v>53.82</c:v>
                </c:pt>
                <c:pt idx="427">
                  <c:v>56.28</c:v>
                </c:pt>
                <c:pt idx="428">
                  <c:v>62.5</c:v>
                </c:pt>
                <c:pt idx="429">
                  <c:v>56.09</c:v>
                </c:pt>
                <c:pt idx="430">
                  <c:v>52.59</c:v>
                </c:pt>
                <c:pt idx="431">
                  <c:v>51.39</c:v>
                </c:pt>
                <c:pt idx="432">
                  <c:v>51.37</c:v>
                </c:pt>
                <c:pt idx="433">
                  <c:v>54.43</c:v>
                </c:pt>
                <c:pt idx="434">
                  <c:v>57.65</c:v>
                </c:pt>
                <c:pt idx="435">
                  <c:v>57.97</c:v>
                </c:pt>
                <c:pt idx="436">
                  <c:v>57.54</c:v>
                </c:pt>
                <c:pt idx="437">
                  <c:v>58.2</c:v>
                </c:pt>
                <c:pt idx="438">
                  <c:v>59.49</c:v>
                </c:pt>
                <c:pt idx="439">
                  <c:v>53.39</c:v>
                </c:pt>
                <c:pt idx="440">
                  <c:v>46.84</c:v>
                </c:pt>
                <c:pt idx="442">
                  <c:v>44.76</c:v>
                </c:pt>
                <c:pt idx="443">
                  <c:v>55.07</c:v>
                </c:pt>
                <c:pt idx="444">
                  <c:v>48.47</c:v>
                </c:pt>
                <c:pt idx="445">
                  <c:v>48.07</c:v>
                </c:pt>
                <c:pt idx="446">
                  <c:v>45.29</c:v>
                </c:pt>
                <c:pt idx="447">
                  <c:v>44.72</c:v>
                </c:pt>
                <c:pt idx="448">
                  <c:v>37.130000000000003</c:v>
                </c:pt>
                <c:pt idx="449">
                  <c:v>33.01</c:v>
                </c:pt>
                <c:pt idx="450">
                  <c:v>47.4</c:v>
                </c:pt>
                <c:pt idx="451">
                  <c:v>58.33</c:v>
                </c:pt>
                <c:pt idx="452">
                  <c:v>61.16</c:v>
                </c:pt>
                <c:pt idx="453">
                  <c:v>55.57</c:v>
                </c:pt>
                <c:pt idx="454">
                  <c:v>54.85</c:v>
                </c:pt>
                <c:pt idx="455">
                  <c:v>52.11</c:v>
                </c:pt>
                <c:pt idx="456">
                  <c:v>44.82</c:v>
                </c:pt>
                <c:pt idx="457">
                  <c:v>51.13</c:v>
                </c:pt>
                <c:pt idx="458">
                  <c:v>52.16</c:v>
                </c:pt>
                <c:pt idx="459">
                  <c:v>53.55</c:v>
                </c:pt>
                <c:pt idx="460">
                  <c:v>52.39</c:v>
                </c:pt>
                <c:pt idx="461">
                  <c:v>53.49</c:v>
                </c:pt>
                <c:pt idx="462">
                  <c:v>53</c:v>
                </c:pt>
                <c:pt idx="463">
                  <c:v>54.08</c:v>
                </c:pt>
                <c:pt idx="464">
                  <c:v>54.61</c:v>
                </c:pt>
                <c:pt idx="465">
                  <c:v>60.08</c:v>
                </c:pt>
                <c:pt idx="466">
                  <c:v>63.52</c:v>
                </c:pt>
                <c:pt idx="467">
                  <c:v>60.36</c:v>
                </c:pt>
                <c:pt idx="468">
                  <c:v>53.84</c:v>
                </c:pt>
                <c:pt idx="469">
                  <c:v>54.72</c:v>
                </c:pt>
                <c:pt idx="470">
                  <c:v>66.95</c:v>
                </c:pt>
                <c:pt idx="471">
                  <c:v>64.239999999999995</c:v>
                </c:pt>
                <c:pt idx="472">
                  <c:v>59.66</c:v>
                </c:pt>
                <c:pt idx="473">
                  <c:v>60.96</c:v>
                </c:pt>
                <c:pt idx="474">
                  <c:v>58.4</c:v>
                </c:pt>
                <c:pt idx="475">
                  <c:v>68.36</c:v>
                </c:pt>
                <c:pt idx="476">
                  <c:v>63.82</c:v>
                </c:pt>
                <c:pt idx="477">
                  <c:v>63.63</c:v>
                </c:pt>
                <c:pt idx="478">
                  <c:v>60.03</c:v>
                </c:pt>
                <c:pt idx="479">
                  <c:v>57.65</c:v>
                </c:pt>
                <c:pt idx="480">
                  <c:v>64.66</c:v>
                </c:pt>
                <c:pt idx="481">
                  <c:v>63.27</c:v>
                </c:pt>
                <c:pt idx="482">
                  <c:v>57.45</c:v>
                </c:pt>
                <c:pt idx="483">
                  <c:v>49.85</c:v>
                </c:pt>
                <c:pt idx="484">
                  <c:v>46.41</c:v>
                </c:pt>
                <c:pt idx="485">
                  <c:v>45.49</c:v>
                </c:pt>
                <c:pt idx="486">
                  <c:v>44.35</c:v>
                </c:pt>
                <c:pt idx="487">
                  <c:v>47.88</c:v>
                </c:pt>
                <c:pt idx="488">
                  <c:v>48.04</c:v>
                </c:pt>
                <c:pt idx="489">
                  <c:v>49.25</c:v>
                </c:pt>
                <c:pt idx="490">
                  <c:v>50.08</c:v>
                </c:pt>
                <c:pt idx="492">
                  <c:v>46.79</c:v>
                </c:pt>
                <c:pt idx="493">
                  <c:v>47.69</c:v>
                </c:pt>
                <c:pt idx="494">
                  <c:v>54.19</c:v>
                </c:pt>
                <c:pt idx="495">
                  <c:v>50.73</c:v>
                </c:pt>
                <c:pt idx="496">
                  <c:v>49.67</c:v>
                </c:pt>
                <c:pt idx="497">
                  <c:v>50.01</c:v>
                </c:pt>
                <c:pt idx="498">
                  <c:v>51.3</c:v>
                </c:pt>
                <c:pt idx="499">
                  <c:v>48.32</c:v>
                </c:pt>
                <c:pt idx="500">
                  <c:v>48.55</c:v>
                </c:pt>
                <c:pt idx="501">
                  <c:v>51.71</c:v>
                </c:pt>
                <c:pt idx="502">
                  <c:v>51.64</c:v>
                </c:pt>
                <c:pt idx="503">
                  <c:v>64.02</c:v>
                </c:pt>
                <c:pt idx="504">
                  <c:v>65.569999999999993</c:v>
                </c:pt>
                <c:pt idx="505">
                  <c:v>63.35</c:v>
                </c:pt>
                <c:pt idx="506">
                  <c:v>71.099999999999994</c:v>
                </c:pt>
                <c:pt idx="508">
                  <c:v>64.34</c:v>
                </c:pt>
                <c:pt idx="509">
                  <c:v>62.21</c:v>
                </c:pt>
                <c:pt idx="510">
                  <c:v>59.64</c:v>
                </c:pt>
                <c:pt idx="511">
                  <c:v>54.39</c:v>
                </c:pt>
                <c:pt idx="512">
                  <c:v>56.25</c:v>
                </c:pt>
                <c:pt idx="513">
                  <c:v>53.52</c:v>
                </c:pt>
                <c:pt idx="515">
                  <c:v>46.46</c:v>
                </c:pt>
                <c:pt idx="516">
                  <c:v>47.66</c:v>
                </c:pt>
                <c:pt idx="518">
                  <c:v>53.88</c:v>
                </c:pt>
                <c:pt idx="519">
                  <c:v>55.88</c:v>
                </c:pt>
                <c:pt idx="520">
                  <c:v>56.26</c:v>
                </c:pt>
                <c:pt idx="521">
                  <c:v>51.57</c:v>
                </c:pt>
                <c:pt idx="522">
                  <c:v>49.41</c:v>
                </c:pt>
                <c:pt idx="523">
                  <c:v>52.12</c:v>
                </c:pt>
                <c:pt idx="524">
                  <c:v>47.7</c:v>
                </c:pt>
                <c:pt idx="525">
                  <c:v>30.57</c:v>
                </c:pt>
                <c:pt idx="526">
                  <c:v>31.19</c:v>
                </c:pt>
                <c:pt idx="527">
                  <c:v>30.27</c:v>
                </c:pt>
                <c:pt idx="528">
                  <c:v>31.77</c:v>
                </c:pt>
                <c:pt idx="529">
                  <c:v>34.369999999999997</c:v>
                </c:pt>
                <c:pt idx="530">
                  <c:v>32.49</c:v>
                </c:pt>
                <c:pt idx="531">
                  <c:v>38.04</c:v>
                </c:pt>
                <c:pt idx="533">
                  <c:v>44.15</c:v>
                </c:pt>
                <c:pt idx="534">
                  <c:v>47.9</c:v>
                </c:pt>
                <c:pt idx="535">
                  <c:v>43.55</c:v>
                </c:pt>
                <c:pt idx="536">
                  <c:v>45.06</c:v>
                </c:pt>
                <c:pt idx="537">
                  <c:v>43.92</c:v>
                </c:pt>
                <c:pt idx="538">
                  <c:v>46.1</c:v>
                </c:pt>
                <c:pt idx="539">
                  <c:v>43.8</c:v>
                </c:pt>
                <c:pt idx="540">
                  <c:v>44.93</c:v>
                </c:pt>
                <c:pt idx="541">
                  <c:v>48.16</c:v>
                </c:pt>
                <c:pt idx="542">
                  <c:v>48.92</c:v>
                </c:pt>
                <c:pt idx="543">
                  <c:v>54.43</c:v>
                </c:pt>
                <c:pt idx="544">
                  <c:v>58.63</c:v>
                </c:pt>
                <c:pt idx="545">
                  <c:v>59.86</c:v>
                </c:pt>
                <c:pt idx="546">
                  <c:v>61.23</c:v>
                </c:pt>
                <c:pt idx="547">
                  <c:v>55.25</c:v>
                </c:pt>
                <c:pt idx="548">
                  <c:v>52.35</c:v>
                </c:pt>
                <c:pt idx="549">
                  <c:v>57.26</c:v>
                </c:pt>
                <c:pt idx="550">
                  <c:v>59.07</c:v>
                </c:pt>
                <c:pt idx="551">
                  <c:v>64.28</c:v>
                </c:pt>
                <c:pt idx="552">
                  <c:v>59.29</c:v>
                </c:pt>
                <c:pt idx="553">
                  <c:v>57.01</c:v>
                </c:pt>
                <c:pt idx="554">
                  <c:v>64.319999999999993</c:v>
                </c:pt>
                <c:pt idx="555">
                  <c:v>65.34</c:v>
                </c:pt>
                <c:pt idx="556">
                  <c:v>65.88</c:v>
                </c:pt>
                <c:pt idx="557">
                  <c:v>63.51</c:v>
                </c:pt>
                <c:pt idx="558">
                  <c:v>65.959999999999994</c:v>
                </c:pt>
                <c:pt idx="559">
                  <c:v>66.45</c:v>
                </c:pt>
                <c:pt idx="561">
                  <c:v>62.03</c:v>
                </c:pt>
                <c:pt idx="562">
                  <c:v>64.28</c:v>
                </c:pt>
                <c:pt idx="563">
                  <c:v>58.11</c:v>
                </c:pt>
                <c:pt idx="564">
                  <c:v>61.3</c:v>
                </c:pt>
                <c:pt idx="565">
                  <c:v>70.06</c:v>
                </c:pt>
                <c:pt idx="566">
                  <c:v>66.81</c:v>
                </c:pt>
                <c:pt idx="567">
                  <c:v>66.209999999999994</c:v>
                </c:pt>
                <c:pt idx="568">
                  <c:v>63.48</c:v>
                </c:pt>
                <c:pt idx="569">
                  <c:v>72.61</c:v>
                </c:pt>
                <c:pt idx="570">
                  <c:v>68.42</c:v>
                </c:pt>
                <c:pt idx="571">
                  <c:v>64.91</c:v>
                </c:pt>
                <c:pt idx="572">
                  <c:v>68.16</c:v>
                </c:pt>
                <c:pt idx="573">
                  <c:v>79.17</c:v>
                </c:pt>
                <c:pt idx="576">
                  <c:v>82.35</c:v>
                </c:pt>
                <c:pt idx="577">
                  <c:v>79.59</c:v>
                </c:pt>
                <c:pt idx="578">
                  <c:v>76.760000000000005</c:v>
                </c:pt>
                <c:pt idx="579">
                  <c:v>81.069999999999993</c:v>
                </c:pt>
                <c:pt idx="580">
                  <c:v>81.790000000000006</c:v>
                </c:pt>
                <c:pt idx="581">
                  <c:v>78.81</c:v>
                </c:pt>
                <c:pt idx="582">
                  <c:v>69.2</c:v>
                </c:pt>
                <c:pt idx="583">
                  <c:v>61.89</c:v>
                </c:pt>
                <c:pt idx="584">
                  <c:v>56.86</c:v>
                </c:pt>
                <c:pt idx="585">
                  <c:v>46.47</c:v>
                </c:pt>
                <c:pt idx="586">
                  <c:v>46.63</c:v>
                </c:pt>
                <c:pt idx="587">
                  <c:v>41.55</c:v>
                </c:pt>
                <c:pt idx="588">
                  <c:v>37.700000000000003</c:v>
                </c:pt>
                <c:pt idx="589">
                  <c:v>31.79</c:v>
                </c:pt>
                <c:pt idx="590">
                  <c:v>28.48</c:v>
                </c:pt>
                <c:pt idx="591">
                  <c:v>30.16</c:v>
                </c:pt>
                <c:pt idx="592">
                  <c:v>33.659999999999997</c:v>
                </c:pt>
                <c:pt idx="593">
                  <c:v>38.19</c:v>
                </c:pt>
                <c:pt idx="594">
                  <c:v>43.41</c:v>
                </c:pt>
                <c:pt idx="595">
                  <c:v>38.01</c:v>
                </c:pt>
                <c:pt idx="596">
                  <c:v>29.96</c:v>
                </c:pt>
                <c:pt idx="597">
                  <c:v>32.409999999999997</c:v>
                </c:pt>
                <c:pt idx="598">
                  <c:v>35.450000000000003</c:v>
                </c:pt>
                <c:pt idx="599">
                  <c:v>33.17</c:v>
                </c:pt>
                <c:pt idx="600">
                  <c:v>33.89</c:v>
                </c:pt>
                <c:pt idx="601">
                  <c:v>35.909999999999997</c:v>
                </c:pt>
                <c:pt idx="602">
                  <c:v>39.39</c:v>
                </c:pt>
                <c:pt idx="603">
                  <c:v>45.06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6F-4923-AE87-E4E24965E3A2}"/>
            </c:ext>
          </c:extLst>
        </c:ser>
        <c:ser>
          <c:idx val="1"/>
          <c:order val="1"/>
          <c:tx>
            <c:strRef>
              <c:f>'미국 RSI'!$C$1</c:f>
              <c:strCache>
                <c:ptCount val="1"/>
                <c:pt idx="0">
                  <c:v>금융(US)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RSI'!$C$69:$C$3068</c:f>
              <c:numCache>
                <c:formatCode>0.00</c:formatCode>
                <c:ptCount val="3000"/>
                <c:pt idx="0">
                  <c:v>55.35</c:v>
                </c:pt>
                <c:pt idx="1">
                  <c:v>60.34</c:v>
                </c:pt>
                <c:pt idx="2">
                  <c:v>57.52</c:v>
                </c:pt>
                <c:pt idx="3">
                  <c:v>56.86</c:v>
                </c:pt>
                <c:pt idx="4">
                  <c:v>56.51</c:v>
                </c:pt>
                <c:pt idx="5">
                  <c:v>53.01</c:v>
                </c:pt>
                <c:pt idx="6">
                  <c:v>57.17</c:v>
                </c:pt>
                <c:pt idx="7">
                  <c:v>62.06</c:v>
                </c:pt>
                <c:pt idx="8">
                  <c:v>63.16</c:v>
                </c:pt>
                <c:pt idx="9">
                  <c:v>67.22</c:v>
                </c:pt>
                <c:pt idx="10">
                  <c:v>65.989999999999995</c:v>
                </c:pt>
                <c:pt idx="11">
                  <c:v>63.44</c:v>
                </c:pt>
                <c:pt idx="12">
                  <c:v>65.03</c:v>
                </c:pt>
                <c:pt idx="13">
                  <c:v>62.61</c:v>
                </c:pt>
                <c:pt idx="14">
                  <c:v>61.86</c:v>
                </c:pt>
                <c:pt idx="15">
                  <c:v>55.73</c:v>
                </c:pt>
                <c:pt idx="16">
                  <c:v>61.51</c:v>
                </c:pt>
                <c:pt idx="17">
                  <c:v>60.63</c:v>
                </c:pt>
                <c:pt idx="18">
                  <c:v>49.81</c:v>
                </c:pt>
                <c:pt idx="19">
                  <c:v>49.81</c:v>
                </c:pt>
                <c:pt idx="21">
                  <c:v>46.45</c:v>
                </c:pt>
                <c:pt idx="22">
                  <c:v>45.58</c:v>
                </c:pt>
                <c:pt idx="23">
                  <c:v>44.93</c:v>
                </c:pt>
                <c:pt idx="24">
                  <c:v>34.5</c:v>
                </c:pt>
                <c:pt idx="25">
                  <c:v>27.56</c:v>
                </c:pt>
                <c:pt idx="26">
                  <c:v>35.409999999999997</c:v>
                </c:pt>
                <c:pt idx="27">
                  <c:v>37.75</c:v>
                </c:pt>
                <c:pt idx="28">
                  <c:v>36.950000000000003</c:v>
                </c:pt>
                <c:pt idx="29">
                  <c:v>36.83</c:v>
                </c:pt>
                <c:pt idx="30">
                  <c:v>34.53</c:v>
                </c:pt>
                <c:pt idx="31">
                  <c:v>33.46</c:v>
                </c:pt>
                <c:pt idx="32">
                  <c:v>33.24</c:v>
                </c:pt>
                <c:pt idx="33">
                  <c:v>36.619999999999997</c:v>
                </c:pt>
                <c:pt idx="34">
                  <c:v>33.869999999999997</c:v>
                </c:pt>
                <c:pt idx="35">
                  <c:v>29.38</c:v>
                </c:pt>
                <c:pt idx="36">
                  <c:v>28.72</c:v>
                </c:pt>
                <c:pt idx="37">
                  <c:v>32.520000000000003</c:v>
                </c:pt>
                <c:pt idx="38">
                  <c:v>34.72</c:v>
                </c:pt>
                <c:pt idx="39">
                  <c:v>36.19</c:v>
                </c:pt>
                <c:pt idx="40">
                  <c:v>37.5</c:v>
                </c:pt>
                <c:pt idx="41">
                  <c:v>41.3</c:v>
                </c:pt>
                <c:pt idx="42">
                  <c:v>42.96</c:v>
                </c:pt>
                <c:pt idx="43">
                  <c:v>40.58</c:v>
                </c:pt>
                <c:pt idx="44">
                  <c:v>41.08</c:v>
                </c:pt>
                <c:pt idx="45">
                  <c:v>41.76</c:v>
                </c:pt>
                <c:pt idx="46">
                  <c:v>47.82</c:v>
                </c:pt>
                <c:pt idx="47">
                  <c:v>43.32</c:v>
                </c:pt>
                <c:pt idx="48">
                  <c:v>36.1</c:v>
                </c:pt>
                <c:pt idx="49">
                  <c:v>33.9</c:v>
                </c:pt>
                <c:pt idx="50">
                  <c:v>43.73</c:v>
                </c:pt>
                <c:pt idx="51">
                  <c:v>40.64</c:v>
                </c:pt>
                <c:pt idx="52">
                  <c:v>43.51</c:v>
                </c:pt>
                <c:pt idx="53">
                  <c:v>40.03</c:v>
                </c:pt>
                <c:pt idx="54">
                  <c:v>34.76</c:v>
                </c:pt>
                <c:pt idx="55">
                  <c:v>34.96</c:v>
                </c:pt>
                <c:pt idx="56">
                  <c:v>40.92</c:v>
                </c:pt>
                <c:pt idx="57">
                  <c:v>46.61</c:v>
                </c:pt>
                <c:pt idx="58">
                  <c:v>49.7</c:v>
                </c:pt>
                <c:pt idx="59">
                  <c:v>52.34</c:v>
                </c:pt>
                <c:pt idx="60">
                  <c:v>43.95</c:v>
                </c:pt>
                <c:pt idx="61">
                  <c:v>49.55</c:v>
                </c:pt>
                <c:pt idx="62">
                  <c:v>45.41</c:v>
                </c:pt>
                <c:pt idx="63">
                  <c:v>49.82</c:v>
                </c:pt>
                <c:pt idx="64">
                  <c:v>43.84</c:v>
                </c:pt>
                <c:pt idx="65">
                  <c:v>44.76</c:v>
                </c:pt>
                <c:pt idx="66">
                  <c:v>38.65</c:v>
                </c:pt>
                <c:pt idx="67">
                  <c:v>38.72</c:v>
                </c:pt>
                <c:pt idx="68">
                  <c:v>41.63</c:v>
                </c:pt>
                <c:pt idx="69">
                  <c:v>38.04</c:v>
                </c:pt>
                <c:pt idx="70">
                  <c:v>43.44</c:v>
                </c:pt>
                <c:pt idx="71">
                  <c:v>39.68</c:v>
                </c:pt>
                <c:pt idx="72">
                  <c:v>36.78</c:v>
                </c:pt>
                <c:pt idx="74">
                  <c:v>46.73</c:v>
                </c:pt>
                <c:pt idx="75">
                  <c:v>45.97</c:v>
                </c:pt>
                <c:pt idx="76">
                  <c:v>43.6</c:v>
                </c:pt>
                <c:pt idx="77">
                  <c:v>44.25</c:v>
                </c:pt>
                <c:pt idx="78">
                  <c:v>54.29</c:v>
                </c:pt>
                <c:pt idx="79">
                  <c:v>59.5</c:v>
                </c:pt>
                <c:pt idx="80">
                  <c:v>61.61</c:v>
                </c:pt>
                <c:pt idx="81">
                  <c:v>59.32</c:v>
                </c:pt>
                <c:pt idx="82">
                  <c:v>69.89</c:v>
                </c:pt>
                <c:pt idx="83">
                  <c:v>68.08</c:v>
                </c:pt>
                <c:pt idx="84">
                  <c:v>57.6</c:v>
                </c:pt>
                <c:pt idx="85">
                  <c:v>55.8</c:v>
                </c:pt>
                <c:pt idx="86">
                  <c:v>62.06</c:v>
                </c:pt>
                <c:pt idx="87">
                  <c:v>64.349999999999994</c:v>
                </c:pt>
                <c:pt idx="88">
                  <c:v>69.45</c:v>
                </c:pt>
                <c:pt idx="89">
                  <c:v>71.37</c:v>
                </c:pt>
                <c:pt idx="90">
                  <c:v>69.209999999999994</c:v>
                </c:pt>
                <c:pt idx="91">
                  <c:v>68.400000000000006</c:v>
                </c:pt>
                <c:pt idx="92">
                  <c:v>64.62</c:v>
                </c:pt>
                <c:pt idx="93">
                  <c:v>61.97</c:v>
                </c:pt>
                <c:pt idx="94">
                  <c:v>63.29</c:v>
                </c:pt>
                <c:pt idx="95">
                  <c:v>63.43</c:v>
                </c:pt>
                <c:pt idx="96">
                  <c:v>68.3</c:v>
                </c:pt>
                <c:pt idx="97">
                  <c:v>68.040000000000006</c:v>
                </c:pt>
                <c:pt idx="98">
                  <c:v>67.55</c:v>
                </c:pt>
                <c:pt idx="99">
                  <c:v>60.6</c:v>
                </c:pt>
                <c:pt idx="100">
                  <c:v>55.03</c:v>
                </c:pt>
                <c:pt idx="101">
                  <c:v>57.5</c:v>
                </c:pt>
                <c:pt idx="102">
                  <c:v>60.01</c:v>
                </c:pt>
                <c:pt idx="103">
                  <c:v>59.85</c:v>
                </c:pt>
                <c:pt idx="104">
                  <c:v>58.99</c:v>
                </c:pt>
                <c:pt idx="105">
                  <c:v>53.03</c:v>
                </c:pt>
                <c:pt idx="106">
                  <c:v>53.54</c:v>
                </c:pt>
                <c:pt idx="107">
                  <c:v>58.1</c:v>
                </c:pt>
                <c:pt idx="109">
                  <c:v>55.03</c:v>
                </c:pt>
                <c:pt idx="110">
                  <c:v>51.47</c:v>
                </c:pt>
                <c:pt idx="111">
                  <c:v>45.06</c:v>
                </c:pt>
                <c:pt idx="112">
                  <c:v>42.68</c:v>
                </c:pt>
                <c:pt idx="113">
                  <c:v>36.15</c:v>
                </c:pt>
                <c:pt idx="114">
                  <c:v>39.51</c:v>
                </c:pt>
                <c:pt idx="115">
                  <c:v>37.22</c:v>
                </c:pt>
                <c:pt idx="116">
                  <c:v>37.78</c:v>
                </c:pt>
                <c:pt idx="117">
                  <c:v>45.75</c:v>
                </c:pt>
                <c:pt idx="118">
                  <c:v>51.05</c:v>
                </c:pt>
                <c:pt idx="119">
                  <c:v>59.36</c:v>
                </c:pt>
                <c:pt idx="120">
                  <c:v>54.81</c:v>
                </c:pt>
                <c:pt idx="121">
                  <c:v>52.21</c:v>
                </c:pt>
                <c:pt idx="122">
                  <c:v>50.1</c:v>
                </c:pt>
                <c:pt idx="123">
                  <c:v>45.78</c:v>
                </c:pt>
                <c:pt idx="124">
                  <c:v>47.75</c:v>
                </c:pt>
                <c:pt idx="125">
                  <c:v>45.7</c:v>
                </c:pt>
                <c:pt idx="126">
                  <c:v>42.54</c:v>
                </c:pt>
                <c:pt idx="127">
                  <c:v>44.5</c:v>
                </c:pt>
                <c:pt idx="128">
                  <c:v>42.95</c:v>
                </c:pt>
                <c:pt idx="129">
                  <c:v>41.43</c:v>
                </c:pt>
                <c:pt idx="130">
                  <c:v>49.25</c:v>
                </c:pt>
                <c:pt idx="131">
                  <c:v>52.75</c:v>
                </c:pt>
                <c:pt idx="132">
                  <c:v>50.64</c:v>
                </c:pt>
                <c:pt idx="133">
                  <c:v>44.72</c:v>
                </c:pt>
                <c:pt idx="134">
                  <c:v>43.51</c:v>
                </c:pt>
                <c:pt idx="135">
                  <c:v>46.07</c:v>
                </c:pt>
                <c:pt idx="136">
                  <c:v>46.58</c:v>
                </c:pt>
                <c:pt idx="137">
                  <c:v>40.35</c:v>
                </c:pt>
                <c:pt idx="138">
                  <c:v>35.549999999999997</c:v>
                </c:pt>
                <c:pt idx="139">
                  <c:v>48.27</c:v>
                </c:pt>
                <c:pt idx="140">
                  <c:v>48.27</c:v>
                </c:pt>
                <c:pt idx="141">
                  <c:v>41.16</c:v>
                </c:pt>
                <c:pt idx="142">
                  <c:v>33.880000000000003</c:v>
                </c:pt>
                <c:pt idx="143">
                  <c:v>46.19</c:v>
                </c:pt>
                <c:pt idx="144">
                  <c:v>48.89</c:v>
                </c:pt>
                <c:pt idx="145">
                  <c:v>52.81</c:v>
                </c:pt>
                <c:pt idx="146">
                  <c:v>51.84</c:v>
                </c:pt>
                <c:pt idx="147">
                  <c:v>52.13</c:v>
                </c:pt>
                <c:pt idx="148">
                  <c:v>47.17</c:v>
                </c:pt>
                <c:pt idx="149">
                  <c:v>47.67</c:v>
                </c:pt>
                <c:pt idx="150">
                  <c:v>53.98</c:v>
                </c:pt>
                <c:pt idx="151">
                  <c:v>57.84</c:v>
                </c:pt>
                <c:pt idx="152">
                  <c:v>54.72</c:v>
                </c:pt>
                <c:pt idx="153">
                  <c:v>49.73</c:v>
                </c:pt>
                <c:pt idx="154">
                  <c:v>51.63</c:v>
                </c:pt>
                <c:pt idx="155">
                  <c:v>53.67</c:v>
                </c:pt>
                <c:pt idx="156">
                  <c:v>57</c:v>
                </c:pt>
                <c:pt idx="157">
                  <c:v>60.66</c:v>
                </c:pt>
                <c:pt idx="158">
                  <c:v>59.5</c:v>
                </c:pt>
                <c:pt idx="159">
                  <c:v>59.03</c:v>
                </c:pt>
                <c:pt idx="160">
                  <c:v>53.92</c:v>
                </c:pt>
                <c:pt idx="161">
                  <c:v>55.4</c:v>
                </c:pt>
                <c:pt idx="162">
                  <c:v>56.85</c:v>
                </c:pt>
                <c:pt idx="163">
                  <c:v>59.63</c:v>
                </c:pt>
                <c:pt idx="164">
                  <c:v>51.25</c:v>
                </c:pt>
                <c:pt idx="165">
                  <c:v>53.38</c:v>
                </c:pt>
                <c:pt idx="166">
                  <c:v>50.97</c:v>
                </c:pt>
                <c:pt idx="167">
                  <c:v>50.55</c:v>
                </c:pt>
                <c:pt idx="168">
                  <c:v>62.72</c:v>
                </c:pt>
                <c:pt idx="169">
                  <c:v>57.33</c:v>
                </c:pt>
                <c:pt idx="170">
                  <c:v>58.59</c:v>
                </c:pt>
                <c:pt idx="172">
                  <c:v>64.459999999999994</c:v>
                </c:pt>
                <c:pt idx="173">
                  <c:v>63.27</c:v>
                </c:pt>
                <c:pt idx="174">
                  <c:v>62.68</c:v>
                </c:pt>
                <c:pt idx="175">
                  <c:v>61.8</c:v>
                </c:pt>
                <c:pt idx="176">
                  <c:v>58.38</c:v>
                </c:pt>
                <c:pt idx="177">
                  <c:v>62.29</c:v>
                </c:pt>
                <c:pt idx="178">
                  <c:v>54.32</c:v>
                </c:pt>
                <c:pt idx="179">
                  <c:v>56.48</c:v>
                </c:pt>
                <c:pt idx="180">
                  <c:v>53.76</c:v>
                </c:pt>
                <c:pt idx="181">
                  <c:v>52.75</c:v>
                </c:pt>
                <c:pt idx="182">
                  <c:v>52.36</c:v>
                </c:pt>
                <c:pt idx="183">
                  <c:v>58.51</c:v>
                </c:pt>
                <c:pt idx="184">
                  <c:v>56.34</c:v>
                </c:pt>
                <c:pt idx="185">
                  <c:v>53.65</c:v>
                </c:pt>
                <c:pt idx="186">
                  <c:v>47.31</c:v>
                </c:pt>
                <c:pt idx="187">
                  <c:v>47.5</c:v>
                </c:pt>
                <c:pt idx="188">
                  <c:v>42.29</c:v>
                </c:pt>
                <c:pt idx="189">
                  <c:v>47.59</c:v>
                </c:pt>
                <c:pt idx="190">
                  <c:v>44.82</c:v>
                </c:pt>
                <c:pt idx="191">
                  <c:v>46.74</c:v>
                </c:pt>
                <c:pt idx="192">
                  <c:v>41.04</c:v>
                </c:pt>
                <c:pt idx="193">
                  <c:v>50.62</c:v>
                </c:pt>
                <c:pt idx="194">
                  <c:v>54.65</c:v>
                </c:pt>
                <c:pt idx="195">
                  <c:v>55.9</c:v>
                </c:pt>
                <c:pt idx="196">
                  <c:v>59.31</c:v>
                </c:pt>
                <c:pt idx="197">
                  <c:v>64.290000000000006</c:v>
                </c:pt>
                <c:pt idx="198">
                  <c:v>61.27</c:v>
                </c:pt>
                <c:pt idx="199">
                  <c:v>61.66</c:v>
                </c:pt>
                <c:pt idx="200">
                  <c:v>58.17</c:v>
                </c:pt>
                <c:pt idx="201">
                  <c:v>55.58</c:v>
                </c:pt>
                <c:pt idx="202">
                  <c:v>57.29</c:v>
                </c:pt>
                <c:pt idx="203">
                  <c:v>57.04</c:v>
                </c:pt>
                <c:pt idx="204">
                  <c:v>52.86</c:v>
                </c:pt>
                <c:pt idx="205">
                  <c:v>49.58</c:v>
                </c:pt>
                <c:pt idx="206">
                  <c:v>59.13</c:v>
                </c:pt>
                <c:pt idx="207">
                  <c:v>55.7</c:v>
                </c:pt>
                <c:pt idx="208">
                  <c:v>62.59</c:v>
                </c:pt>
                <c:pt idx="209">
                  <c:v>60</c:v>
                </c:pt>
                <c:pt idx="210">
                  <c:v>58.36</c:v>
                </c:pt>
                <c:pt idx="211">
                  <c:v>64.430000000000007</c:v>
                </c:pt>
                <c:pt idx="213">
                  <c:v>71.97</c:v>
                </c:pt>
                <c:pt idx="214">
                  <c:v>68.09</c:v>
                </c:pt>
                <c:pt idx="215">
                  <c:v>68.709999999999994</c:v>
                </c:pt>
                <c:pt idx="216">
                  <c:v>66.67</c:v>
                </c:pt>
                <c:pt idx="217">
                  <c:v>63.39</c:v>
                </c:pt>
                <c:pt idx="218">
                  <c:v>62.18</c:v>
                </c:pt>
                <c:pt idx="219">
                  <c:v>59</c:v>
                </c:pt>
                <c:pt idx="220">
                  <c:v>61.13</c:v>
                </c:pt>
                <c:pt idx="221">
                  <c:v>54.25</c:v>
                </c:pt>
                <c:pt idx="222">
                  <c:v>49.2</c:v>
                </c:pt>
                <c:pt idx="224">
                  <c:v>47.56</c:v>
                </c:pt>
                <c:pt idx="225">
                  <c:v>47.77</c:v>
                </c:pt>
                <c:pt idx="226">
                  <c:v>50.7</c:v>
                </c:pt>
                <c:pt idx="227">
                  <c:v>44.48</c:v>
                </c:pt>
                <c:pt idx="228">
                  <c:v>56.56</c:v>
                </c:pt>
                <c:pt idx="229">
                  <c:v>56.56</c:v>
                </c:pt>
                <c:pt idx="230">
                  <c:v>57.34</c:v>
                </c:pt>
                <c:pt idx="231">
                  <c:v>56.79</c:v>
                </c:pt>
                <c:pt idx="232">
                  <c:v>60.15</c:v>
                </c:pt>
                <c:pt idx="233">
                  <c:v>54.53</c:v>
                </c:pt>
                <c:pt idx="234">
                  <c:v>56.16</c:v>
                </c:pt>
                <c:pt idx="235">
                  <c:v>59.6</c:v>
                </c:pt>
                <c:pt idx="236">
                  <c:v>58.79</c:v>
                </c:pt>
                <c:pt idx="237">
                  <c:v>58.64</c:v>
                </c:pt>
                <c:pt idx="238">
                  <c:v>57.84</c:v>
                </c:pt>
                <c:pt idx="239">
                  <c:v>55.96</c:v>
                </c:pt>
                <c:pt idx="240">
                  <c:v>59.15</c:v>
                </c:pt>
                <c:pt idx="242">
                  <c:v>52.67</c:v>
                </c:pt>
                <c:pt idx="243">
                  <c:v>54.31</c:v>
                </c:pt>
                <c:pt idx="244">
                  <c:v>54.83</c:v>
                </c:pt>
                <c:pt idx="245">
                  <c:v>65.12</c:v>
                </c:pt>
                <c:pt idx="246">
                  <c:v>68.290000000000006</c:v>
                </c:pt>
                <c:pt idx="247">
                  <c:v>68.13</c:v>
                </c:pt>
                <c:pt idx="248">
                  <c:v>66.569999999999993</c:v>
                </c:pt>
                <c:pt idx="249">
                  <c:v>64.81</c:v>
                </c:pt>
                <c:pt idx="250">
                  <c:v>66.14</c:v>
                </c:pt>
                <c:pt idx="251">
                  <c:v>65.150000000000006</c:v>
                </c:pt>
                <c:pt idx="252">
                  <c:v>59.88</c:v>
                </c:pt>
                <c:pt idx="253">
                  <c:v>59.88</c:v>
                </c:pt>
                <c:pt idx="254">
                  <c:v>57.65</c:v>
                </c:pt>
                <c:pt idx="255">
                  <c:v>56.03</c:v>
                </c:pt>
                <c:pt idx="256">
                  <c:v>58.01</c:v>
                </c:pt>
                <c:pt idx="257">
                  <c:v>60.27</c:v>
                </c:pt>
                <c:pt idx="258">
                  <c:v>55.15</c:v>
                </c:pt>
                <c:pt idx="259">
                  <c:v>55.22</c:v>
                </c:pt>
                <c:pt idx="260">
                  <c:v>54.77</c:v>
                </c:pt>
                <c:pt idx="261">
                  <c:v>52.31</c:v>
                </c:pt>
                <c:pt idx="262">
                  <c:v>51.57</c:v>
                </c:pt>
                <c:pt idx="263">
                  <c:v>52.73</c:v>
                </c:pt>
                <c:pt idx="264">
                  <c:v>50.35</c:v>
                </c:pt>
                <c:pt idx="265">
                  <c:v>47.76</c:v>
                </c:pt>
                <c:pt idx="266">
                  <c:v>39.94</c:v>
                </c:pt>
                <c:pt idx="268">
                  <c:v>43.99</c:v>
                </c:pt>
                <c:pt idx="269">
                  <c:v>43.35</c:v>
                </c:pt>
                <c:pt idx="270">
                  <c:v>46.39</c:v>
                </c:pt>
                <c:pt idx="271">
                  <c:v>45.82</c:v>
                </c:pt>
                <c:pt idx="272">
                  <c:v>43.59</c:v>
                </c:pt>
                <c:pt idx="273">
                  <c:v>39.950000000000003</c:v>
                </c:pt>
                <c:pt idx="274">
                  <c:v>44.59</c:v>
                </c:pt>
                <c:pt idx="275">
                  <c:v>24.05</c:v>
                </c:pt>
                <c:pt idx="276">
                  <c:v>24.48</c:v>
                </c:pt>
                <c:pt idx="277">
                  <c:v>24.75</c:v>
                </c:pt>
                <c:pt idx="278">
                  <c:v>36.5</c:v>
                </c:pt>
                <c:pt idx="279">
                  <c:v>53.06</c:v>
                </c:pt>
                <c:pt idx="280">
                  <c:v>49.53</c:v>
                </c:pt>
                <c:pt idx="281">
                  <c:v>50.04</c:v>
                </c:pt>
                <c:pt idx="282">
                  <c:v>44.75</c:v>
                </c:pt>
                <c:pt idx="283">
                  <c:v>53.21</c:v>
                </c:pt>
                <c:pt idx="284">
                  <c:v>54.19</c:v>
                </c:pt>
                <c:pt idx="285">
                  <c:v>55.62</c:v>
                </c:pt>
                <c:pt idx="286">
                  <c:v>53.5</c:v>
                </c:pt>
                <c:pt idx="287">
                  <c:v>47.77</c:v>
                </c:pt>
                <c:pt idx="288">
                  <c:v>49.24</c:v>
                </c:pt>
                <c:pt idx="289">
                  <c:v>48.67</c:v>
                </c:pt>
                <c:pt idx="290">
                  <c:v>44.18</c:v>
                </c:pt>
                <c:pt idx="291">
                  <c:v>44.59</c:v>
                </c:pt>
                <c:pt idx="292">
                  <c:v>39.75</c:v>
                </c:pt>
                <c:pt idx="293">
                  <c:v>28.57</c:v>
                </c:pt>
                <c:pt idx="294">
                  <c:v>29.78</c:v>
                </c:pt>
                <c:pt idx="295">
                  <c:v>29.03</c:v>
                </c:pt>
                <c:pt idx="296">
                  <c:v>30.83</c:v>
                </c:pt>
                <c:pt idx="297">
                  <c:v>36.450000000000003</c:v>
                </c:pt>
                <c:pt idx="298">
                  <c:v>37.97</c:v>
                </c:pt>
                <c:pt idx="299">
                  <c:v>43.33</c:v>
                </c:pt>
                <c:pt idx="300">
                  <c:v>40.61</c:v>
                </c:pt>
                <c:pt idx="301">
                  <c:v>56.38</c:v>
                </c:pt>
                <c:pt idx="302">
                  <c:v>61.76</c:v>
                </c:pt>
                <c:pt idx="303">
                  <c:v>51.5</c:v>
                </c:pt>
                <c:pt idx="304">
                  <c:v>48.05</c:v>
                </c:pt>
                <c:pt idx="305">
                  <c:v>49.33</c:v>
                </c:pt>
                <c:pt idx="306">
                  <c:v>49.44</c:v>
                </c:pt>
                <c:pt idx="307">
                  <c:v>47</c:v>
                </c:pt>
                <c:pt idx="308">
                  <c:v>54.05</c:v>
                </c:pt>
                <c:pt idx="309">
                  <c:v>65.45</c:v>
                </c:pt>
                <c:pt idx="310">
                  <c:v>65.28</c:v>
                </c:pt>
                <c:pt idx="312">
                  <c:v>62.07</c:v>
                </c:pt>
                <c:pt idx="313">
                  <c:v>61.17</c:v>
                </c:pt>
                <c:pt idx="314">
                  <c:v>58.03</c:v>
                </c:pt>
                <c:pt idx="315">
                  <c:v>60.43</c:v>
                </c:pt>
                <c:pt idx="316">
                  <c:v>59.3</c:v>
                </c:pt>
                <c:pt idx="317">
                  <c:v>64.72</c:v>
                </c:pt>
                <c:pt idx="318">
                  <c:v>68.849999999999994</c:v>
                </c:pt>
                <c:pt idx="319">
                  <c:v>65.849999999999994</c:v>
                </c:pt>
                <c:pt idx="320">
                  <c:v>61.53</c:v>
                </c:pt>
                <c:pt idx="321">
                  <c:v>63.18</c:v>
                </c:pt>
                <c:pt idx="322">
                  <c:v>66.05</c:v>
                </c:pt>
                <c:pt idx="323">
                  <c:v>70.3</c:v>
                </c:pt>
                <c:pt idx="324">
                  <c:v>67.09</c:v>
                </c:pt>
                <c:pt idx="325">
                  <c:v>67.650000000000006</c:v>
                </c:pt>
                <c:pt idx="326">
                  <c:v>68.83</c:v>
                </c:pt>
                <c:pt idx="327">
                  <c:v>65.31</c:v>
                </c:pt>
                <c:pt idx="328">
                  <c:v>64.31</c:v>
                </c:pt>
                <c:pt idx="329">
                  <c:v>62.36</c:v>
                </c:pt>
                <c:pt idx="330">
                  <c:v>65.099999999999994</c:v>
                </c:pt>
                <c:pt idx="332">
                  <c:v>62.42</c:v>
                </c:pt>
                <c:pt idx="333">
                  <c:v>59.53</c:v>
                </c:pt>
                <c:pt idx="334">
                  <c:v>57.13</c:v>
                </c:pt>
                <c:pt idx="335">
                  <c:v>46.05</c:v>
                </c:pt>
                <c:pt idx="336">
                  <c:v>39.03</c:v>
                </c:pt>
                <c:pt idx="337">
                  <c:v>34.46</c:v>
                </c:pt>
                <c:pt idx="339">
                  <c:v>45.3</c:v>
                </c:pt>
                <c:pt idx="340">
                  <c:v>43.02</c:v>
                </c:pt>
                <c:pt idx="341">
                  <c:v>44.19</c:v>
                </c:pt>
                <c:pt idx="342">
                  <c:v>45.77</c:v>
                </c:pt>
                <c:pt idx="343">
                  <c:v>40.79</c:v>
                </c:pt>
                <c:pt idx="344">
                  <c:v>41.92</c:v>
                </c:pt>
                <c:pt idx="345">
                  <c:v>41.3</c:v>
                </c:pt>
                <c:pt idx="346">
                  <c:v>45.6</c:v>
                </c:pt>
                <c:pt idx="347">
                  <c:v>49.26</c:v>
                </c:pt>
                <c:pt idx="348">
                  <c:v>47.97</c:v>
                </c:pt>
                <c:pt idx="349">
                  <c:v>41.39</c:v>
                </c:pt>
                <c:pt idx="350">
                  <c:v>42.17</c:v>
                </c:pt>
                <c:pt idx="351">
                  <c:v>32.89</c:v>
                </c:pt>
                <c:pt idx="352">
                  <c:v>30.41</c:v>
                </c:pt>
                <c:pt idx="353">
                  <c:v>43.26</c:v>
                </c:pt>
                <c:pt idx="354">
                  <c:v>47.72</c:v>
                </c:pt>
                <c:pt idx="355">
                  <c:v>48.93</c:v>
                </c:pt>
                <c:pt idx="356">
                  <c:v>49.44</c:v>
                </c:pt>
                <c:pt idx="357">
                  <c:v>52.25</c:v>
                </c:pt>
                <c:pt idx="358">
                  <c:v>51.08</c:v>
                </c:pt>
                <c:pt idx="359">
                  <c:v>51.19</c:v>
                </c:pt>
                <c:pt idx="360">
                  <c:v>59.98</c:v>
                </c:pt>
                <c:pt idx="361">
                  <c:v>60.12</c:v>
                </c:pt>
                <c:pt idx="362">
                  <c:v>58.79</c:v>
                </c:pt>
                <c:pt idx="363">
                  <c:v>61.19</c:v>
                </c:pt>
                <c:pt idx="364">
                  <c:v>66.2</c:v>
                </c:pt>
                <c:pt idx="365">
                  <c:v>73.73</c:v>
                </c:pt>
                <c:pt idx="367">
                  <c:v>73.290000000000006</c:v>
                </c:pt>
                <c:pt idx="368">
                  <c:v>72.75</c:v>
                </c:pt>
                <c:pt idx="369">
                  <c:v>72.239999999999995</c:v>
                </c:pt>
                <c:pt idx="370">
                  <c:v>70.540000000000006</c:v>
                </c:pt>
                <c:pt idx="371">
                  <c:v>67.38</c:v>
                </c:pt>
                <c:pt idx="372">
                  <c:v>63.28</c:v>
                </c:pt>
                <c:pt idx="373">
                  <c:v>65.09</c:v>
                </c:pt>
                <c:pt idx="374">
                  <c:v>69.13</c:v>
                </c:pt>
                <c:pt idx="375">
                  <c:v>68.3</c:v>
                </c:pt>
                <c:pt idx="376">
                  <c:v>67.040000000000006</c:v>
                </c:pt>
                <c:pt idx="377">
                  <c:v>68.47</c:v>
                </c:pt>
                <c:pt idx="378">
                  <c:v>68.319999999999993</c:v>
                </c:pt>
                <c:pt idx="379">
                  <c:v>69.819999999999993</c:v>
                </c:pt>
                <c:pt idx="380">
                  <c:v>66.66</c:v>
                </c:pt>
                <c:pt idx="381">
                  <c:v>64.5</c:v>
                </c:pt>
                <c:pt idx="382">
                  <c:v>72.44</c:v>
                </c:pt>
                <c:pt idx="383">
                  <c:v>53.61</c:v>
                </c:pt>
                <c:pt idx="384">
                  <c:v>48.68</c:v>
                </c:pt>
                <c:pt idx="385">
                  <c:v>53.06</c:v>
                </c:pt>
                <c:pt idx="386">
                  <c:v>51.25</c:v>
                </c:pt>
                <c:pt idx="387">
                  <c:v>59.99</c:v>
                </c:pt>
                <c:pt idx="388">
                  <c:v>57.83</c:v>
                </c:pt>
                <c:pt idx="389">
                  <c:v>62.12</c:v>
                </c:pt>
                <c:pt idx="390">
                  <c:v>56.07</c:v>
                </c:pt>
                <c:pt idx="391">
                  <c:v>64.67</c:v>
                </c:pt>
                <c:pt idx="392">
                  <c:v>64.28</c:v>
                </c:pt>
                <c:pt idx="393">
                  <c:v>64.95</c:v>
                </c:pt>
                <c:pt idx="394">
                  <c:v>66.39</c:v>
                </c:pt>
                <c:pt idx="395">
                  <c:v>72.73</c:v>
                </c:pt>
                <c:pt idx="396">
                  <c:v>72.66</c:v>
                </c:pt>
                <c:pt idx="397">
                  <c:v>71.87</c:v>
                </c:pt>
                <c:pt idx="398">
                  <c:v>68.03</c:v>
                </c:pt>
                <c:pt idx="399">
                  <c:v>67.31</c:v>
                </c:pt>
                <c:pt idx="400">
                  <c:v>65.209999999999994</c:v>
                </c:pt>
                <c:pt idx="401">
                  <c:v>57.55</c:v>
                </c:pt>
                <c:pt idx="402">
                  <c:v>59.48</c:v>
                </c:pt>
                <c:pt idx="403">
                  <c:v>55.29</c:v>
                </c:pt>
                <c:pt idx="404">
                  <c:v>52.46</c:v>
                </c:pt>
                <c:pt idx="405">
                  <c:v>60.06</c:v>
                </c:pt>
                <c:pt idx="406">
                  <c:v>51.14</c:v>
                </c:pt>
                <c:pt idx="407">
                  <c:v>54.73</c:v>
                </c:pt>
                <c:pt idx="408">
                  <c:v>54.1</c:v>
                </c:pt>
                <c:pt idx="409">
                  <c:v>57.63</c:v>
                </c:pt>
                <c:pt idx="410">
                  <c:v>55.73</c:v>
                </c:pt>
                <c:pt idx="411">
                  <c:v>54.28</c:v>
                </c:pt>
                <c:pt idx="412">
                  <c:v>51.67</c:v>
                </c:pt>
                <c:pt idx="413">
                  <c:v>55.1</c:v>
                </c:pt>
                <c:pt idx="414">
                  <c:v>60.33</c:v>
                </c:pt>
                <c:pt idx="415">
                  <c:v>63.58</c:v>
                </c:pt>
                <c:pt idx="416">
                  <c:v>64.010000000000005</c:v>
                </c:pt>
                <c:pt idx="417">
                  <c:v>59.74</c:v>
                </c:pt>
                <c:pt idx="418">
                  <c:v>61.64</c:v>
                </c:pt>
                <c:pt idx="419">
                  <c:v>59.59</c:v>
                </c:pt>
                <c:pt idx="420">
                  <c:v>54.09</c:v>
                </c:pt>
                <c:pt idx="421">
                  <c:v>52.75</c:v>
                </c:pt>
                <c:pt idx="422">
                  <c:v>51.74</c:v>
                </c:pt>
                <c:pt idx="423">
                  <c:v>53.98</c:v>
                </c:pt>
                <c:pt idx="424">
                  <c:v>59.2</c:v>
                </c:pt>
                <c:pt idx="425">
                  <c:v>53.17</c:v>
                </c:pt>
                <c:pt idx="426">
                  <c:v>61.62</c:v>
                </c:pt>
                <c:pt idx="427">
                  <c:v>69.38</c:v>
                </c:pt>
                <c:pt idx="428">
                  <c:v>69.010000000000005</c:v>
                </c:pt>
                <c:pt idx="430">
                  <c:v>74.58</c:v>
                </c:pt>
                <c:pt idx="431">
                  <c:v>71.92</c:v>
                </c:pt>
                <c:pt idx="432">
                  <c:v>69.13</c:v>
                </c:pt>
                <c:pt idx="433">
                  <c:v>68.33</c:v>
                </c:pt>
                <c:pt idx="434">
                  <c:v>66.64</c:v>
                </c:pt>
                <c:pt idx="435">
                  <c:v>65.61</c:v>
                </c:pt>
                <c:pt idx="436">
                  <c:v>62.69</c:v>
                </c:pt>
                <c:pt idx="437">
                  <c:v>60.65</c:v>
                </c:pt>
                <c:pt idx="438">
                  <c:v>61.52</c:v>
                </c:pt>
                <c:pt idx="439">
                  <c:v>63.21</c:v>
                </c:pt>
                <c:pt idx="440">
                  <c:v>61.53</c:v>
                </c:pt>
                <c:pt idx="441">
                  <c:v>59.21</c:v>
                </c:pt>
                <c:pt idx="442">
                  <c:v>56.15</c:v>
                </c:pt>
                <c:pt idx="443">
                  <c:v>51.79</c:v>
                </c:pt>
                <c:pt idx="444">
                  <c:v>48.59</c:v>
                </c:pt>
                <c:pt idx="445">
                  <c:v>50.54</c:v>
                </c:pt>
                <c:pt idx="446">
                  <c:v>48.98</c:v>
                </c:pt>
                <c:pt idx="447">
                  <c:v>42.73</c:v>
                </c:pt>
                <c:pt idx="448">
                  <c:v>42.24</c:v>
                </c:pt>
                <c:pt idx="449">
                  <c:v>35.46</c:v>
                </c:pt>
                <c:pt idx="450">
                  <c:v>44.4</c:v>
                </c:pt>
                <c:pt idx="451">
                  <c:v>55.74</c:v>
                </c:pt>
                <c:pt idx="452">
                  <c:v>64.72</c:v>
                </c:pt>
                <c:pt idx="453">
                  <c:v>66.489999999999995</c:v>
                </c:pt>
                <c:pt idx="454">
                  <c:v>62.13</c:v>
                </c:pt>
                <c:pt idx="455">
                  <c:v>63.04</c:v>
                </c:pt>
                <c:pt idx="456">
                  <c:v>56.4</c:v>
                </c:pt>
                <c:pt idx="457">
                  <c:v>54.58</c:v>
                </c:pt>
                <c:pt idx="458">
                  <c:v>63.64</c:v>
                </c:pt>
                <c:pt idx="459">
                  <c:v>62.86</c:v>
                </c:pt>
                <c:pt idx="460">
                  <c:v>60.51</c:v>
                </c:pt>
                <c:pt idx="461">
                  <c:v>67.8</c:v>
                </c:pt>
                <c:pt idx="462">
                  <c:v>78.36</c:v>
                </c:pt>
                <c:pt idx="463">
                  <c:v>76.22</c:v>
                </c:pt>
                <c:pt idx="464">
                  <c:v>72.47</c:v>
                </c:pt>
                <c:pt idx="465">
                  <c:v>66.19</c:v>
                </c:pt>
                <c:pt idx="466">
                  <c:v>64.489999999999995</c:v>
                </c:pt>
                <c:pt idx="467">
                  <c:v>60.11</c:v>
                </c:pt>
                <c:pt idx="468">
                  <c:v>57.77</c:v>
                </c:pt>
                <c:pt idx="469">
                  <c:v>52.59</c:v>
                </c:pt>
                <c:pt idx="470">
                  <c:v>54.73</c:v>
                </c:pt>
                <c:pt idx="472">
                  <c:v>54.92</c:v>
                </c:pt>
                <c:pt idx="473">
                  <c:v>57.31</c:v>
                </c:pt>
                <c:pt idx="474">
                  <c:v>49.83</c:v>
                </c:pt>
                <c:pt idx="475">
                  <c:v>48.25</c:v>
                </c:pt>
                <c:pt idx="476">
                  <c:v>45.79</c:v>
                </c:pt>
                <c:pt idx="477">
                  <c:v>46.52</c:v>
                </c:pt>
                <c:pt idx="478">
                  <c:v>50.42</c:v>
                </c:pt>
                <c:pt idx="479">
                  <c:v>55.59</c:v>
                </c:pt>
                <c:pt idx="480">
                  <c:v>51.74</c:v>
                </c:pt>
                <c:pt idx="481">
                  <c:v>54.44</c:v>
                </c:pt>
                <c:pt idx="483">
                  <c:v>51.19</c:v>
                </c:pt>
                <c:pt idx="484">
                  <c:v>47.04</c:v>
                </c:pt>
                <c:pt idx="485">
                  <c:v>40.56</c:v>
                </c:pt>
                <c:pt idx="486">
                  <c:v>42.29</c:v>
                </c:pt>
                <c:pt idx="487">
                  <c:v>42.69</c:v>
                </c:pt>
                <c:pt idx="488">
                  <c:v>43.18</c:v>
                </c:pt>
                <c:pt idx="489">
                  <c:v>49.44</c:v>
                </c:pt>
                <c:pt idx="490">
                  <c:v>51.82</c:v>
                </c:pt>
                <c:pt idx="491">
                  <c:v>49.12</c:v>
                </c:pt>
                <c:pt idx="492">
                  <c:v>49.39</c:v>
                </c:pt>
                <c:pt idx="493">
                  <c:v>47.79</c:v>
                </c:pt>
                <c:pt idx="494">
                  <c:v>50.12</c:v>
                </c:pt>
                <c:pt idx="495">
                  <c:v>53.43</c:v>
                </c:pt>
                <c:pt idx="496">
                  <c:v>45.76</c:v>
                </c:pt>
                <c:pt idx="497">
                  <c:v>42.54</c:v>
                </c:pt>
                <c:pt idx="498">
                  <c:v>46.37</c:v>
                </c:pt>
                <c:pt idx="500">
                  <c:v>52.5</c:v>
                </c:pt>
                <c:pt idx="501">
                  <c:v>49.11</c:v>
                </c:pt>
                <c:pt idx="502">
                  <c:v>58.05</c:v>
                </c:pt>
                <c:pt idx="503">
                  <c:v>62.41</c:v>
                </c:pt>
                <c:pt idx="504">
                  <c:v>59.21</c:v>
                </c:pt>
                <c:pt idx="505">
                  <c:v>71.33</c:v>
                </c:pt>
                <c:pt idx="506">
                  <c:v>68.09</c:v>
                </c:pt>
                <c:pt idx="507">
                  <c:v>68.09</c:v>
                </c:pt>
                <c:pt idx="508">
                  <c:v>64.64</c:v>
                </c:pt>
                <c:pt idx="509">
                  <c:v>62.06</c:v>
                </c:pt>
                <c:pt idx="510">
                  <c:v>65.66</c:v>
                </c:pt>
                <c:pt idx="511">
                  <c:v>63.83</c:v>
                </c:pt>
                <c:pt idx="512">
                  <c:v>59.98</c:v>
                </c:pt>
                <c:pt idx="513">
                  <c:v>57.97</c:v>
                </c:pt>
                <c:pt idx="514">
                  <c:v>56.06</c:v>
                </c:pt>
                <c:pt idx="515">
                  <c:v>47.89</c:v>
                </c:pt>
                <c:pt idx="516">
                  <c:v>46.28</c:v>
                </c:pt>
                <c:pt idx="517">
                  <c:v>44.52</c:v>
                </c:pt>
                <c:pt idx="518">
                  <c:v>44.52</c:v>
                </c:pt>
                <c:pt idx="519">
                  <c:v>50.2</c:v>
                </c:pt>
                <c:pt idx="520">
                  <c:v>51.11</c:v>
                </c:pt>
                <c:pt idx="521">
                  <c:v>51.98</c:v>
                </c:pt>
                <c:pt idx="522">
                  <c:v>55.51</c:v>
                </c:pt>
                <c:pt idx="523">
                  <c:v>55.66</c:v>
                </c:pt>
                <c:pt idx="524">
                  <c:v>52.65</c:v>
                </c:pt>
                <c:pt idx="525">
                  <c:v>46.27</c:v>
                </c:pt>
                <c:pt idx="526">
                  <c:v>37.49</c:v>
                </c:pt>
                <c:pt idx="527">
                  <c:v>34.979999999999997</c:v>
                </c:pt>
                <c:pt idx="528">
                  <c:v>33.200000000000003</c:v>
                </c:pt>
                <c:pt idx="529">
                  <c:v>35.65</c:v>
                </c:pt>
                <c:pt idx="530">
                  <c:v>37.549999999999997</c:v>
                </c:pt>
                <c:pt idx="531">
                  <c:v>43.35</c:v>
                </c:pt>
                <c:pt idx="532">
                  <c:v>46.97</c:v>
                </c:pt>
                <c:pt idx="533">
                  <c:v>56.3</c:v>
                </c:pt>
                <c:pt idx="534">
                  <c:v>60.63</c:v>
                </c:pt>
                <c:pt idx="535">
                  <c:v>58.4</c:v>
                </c:pt>
                <c:pt idx="536">
                  <c:v>53.06</c:v>
                </c:pt>
                <c:pt idx="537">
                  <c:v>61.97</c:v>
                </c:pt>
                <c:pt idx="538">
                  <c:v>62.38</c:v>
                </c:pt>
                <c:pt idx="539">
                  <c:v>66.95</c:v>
                </c:pt>
                <c:pt idx="541">
                  <c:v>72.069999999999993</c:v>
                </c:pt>
                <c:pt idx="542">
                  <c:v>69.94</c:v>
                </c:pt>
                <c:pt idx="543">
                  <c:v>64.58</c:v>
                </c:pt>
                <c:pt idx="544">
                  <c:v>62.82</c:v>
                </c:pt>
                <c:pt idx="545">
                  <c:v>66.31</c:v>
                </c:pt>
                <c:pt idx="546">
                  <c:v>78.47</c:v>
                </c:pt>
                <c:pt idx="547">
                  <c:v>75.510000000000005</c:v>
                </c:pt>
                <c:pt idx="548">
                  <c:v>70.010000000000005</c:v>
                </c:pt>
                <c:pt idx="549">
                  <c:v>67.22</c:v>
                </c:pt>
                <c:pt idx="550">
                  <c:v>66.05</c:v>
                </c:pt>
                <c:pt idx="551">
                  <c:v>67.17</c:v>
                </c:pt>
                <c:pt idx="552">
                  <c:v>77.16</c:v>
                </c:pt>
                <c:pt idx="553">
                  <c:v>73.88</c:v>
                </c:pt>
                <c:pt idx="554">
                  <c:v>71.739999999999995</c:v>
                </c:pt>
                <c:pt idx="555">
                  <c:v>70.83</c:v>
                </c:pt>
                <c:pt idx="556">
                  <c:v>69.930000000000007</c:v>
                </c:pt>
                <c:pt idx="557">
                  <c:v>71.69</c:v>
                </c:pt>
                <c:pt idx="558">
                  <c:v>69.17</c:v>
                </c:pt>
                <c:pt idx="559">
                  <c:v>69.040000000000006</c:v>
                </c:pt>
                <c:pt idx="560">
                  <c:v>67.86</c:v>
                </c:pt>
                <c:pt idx="561">
                  <c:v>69.09</c:v>
                </c:pt>
                <c:pt idx="562">
                  <c:v>69.55</c:v>
                </c:pt>
                <c:pt idx="563">
                  <c:v>68.05</c:v>
                </c:pt>
                <c:pt idx="564">
                  <c:v>66.94</c:v>
                </c:pt>
                <c:pt idx="565">
                  <c:v>71.11</c:v>
                </c:pt>
                <c:pt idx="566">
                  <c:v>69.34</c:v>
                </c:pt>
                <c:pt idx="567">
                  <c:v>64.709999999999994</c:v>
                </c:pt>
                <c:pt idx="568">
                  <c:v>63.37</c:v>
                </c:pt>
                <c:pt idx="570">
                  <c:v>65.48</c:v>
                </c:pt>
                <c:pt idx="571">
                  <c:v>68.180000000000007</c:v>
                </c:pt>
                <c:pt idx="572">
                  <c:v>61.06</c:v>
                </c:pt>
                <c:pt idx="573">
                  <c:v>56.02</c:v>
                </c:pt>
                <c:pt idx="574">
                  <c:v>67.67</c:v>
                </c:pt>
                <c:pt idx="575">
                  <c:v>65.41</c:v>
                </c:pt>
                <c:pt idx="576">
                  <c:v>63.97</c:v>
                </c:pt>
                <c:pt idx="577">
                  <c:v>67.52</c:v>
                </c:pt>
                <c:pt idx="578">
                  <c:v>63.93</c:v>
                </c:pt>
                <c:pt idx="579">
                  <c:v>62.88</c:v>
                </c:pt>
                <c:pt idx="580">
                  <c:v>68.180000000000007</c:v>
                </c:pt>
                <c:pt idx="581">
                  <c:v>66.349999999999994</c:v>
                </c:pt>
                <c:pt idx="582">
                  <c:v>65.66</c:v>
                </c:pt>
                <c:pt idx="583">
                  <c:v>77.430000000000007</c:v>
                </c:pt>
                <c:pt idx="584">
                  <c:v>72.81</c:v>
                </c:pt>
                <c:pt idx="585">
                  <c:v>71.709999999999994</c:v>
                </c:pt>
                <c:pt idx="586">
                  <c:v>70.14</c:v>
                </c:pt>
                <c:pt idx="587">
                  <c:v>67.900000000000006</c:v>
                </c:pt>
                <c:pt idx="588">
                  <c:v>66.03</c:v>
                </c:pt>
                <c:pt idx="589">
                  <c:v>65.28</c:v>
                </c:pt>
                <c:pt idx="590">
                  <c:v>63</c:v>
                </c:pt>
                <c:pt idx="591">
                  <c:v>53.57</c:v>
                </c:pt>
                <c:pt idx="592">
                  <c:v>52.45</c:v>
                </c:pt>
                <c:pt idx="593">
                  <c:v>53.86</c:v>
                </c:pt>
                <c:pt idx="595">
                  <c:v>59.39</c:v>
                </c:pt>
                <c:pt idx="596">
                  <c:v>60.95</c:v>
                </c:pt>
                <c:pt idx="597">
                  <c:v>64.08</c:v>
                </c:pt>
                <c:pt idx="598">
                  <c:v>63.33</c:v>
                </c:pt>
                <c:pt idx="599">
                  <c:v>68.66</c:v>
                </c:pt>
                <c:pt idx="600">
                  <c:v>66</c:v>
                </c:pt>
                <c:pt idx="601">
                  <c:v>64.12</c:v>
                </c:pt>
                <c:pt idx="602">
                  <c:v>62.31</c:v>
                </c:pt>
                <c:pt idx="603">
                  <c:v>69.239999999999995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6F-4923-AE87-E4E24965E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일반서비스  </a:t>
            </a:r>
            <a:r>
              <a:rPr lang="en-US"/>
              <a:t>vs  </a:t>
            </a:r>
            <a:r>
              <a:rPr lang="ko-KR" altLang="en-US"/>
              <a:t>산업재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RSI'!$U$7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RSI'!$U$78:$U$3077</c:f>
              <c:numCache>
                <c:formatCode>0.00</c:formatCode>
                <c:ptCount val="3000"/>
                <c:pt idx="1">
                  <c:v>67.56</c:v>
                </c:pt>
                <c:pt idx="2">
                  <c:v>74.39</c:v>
                </c:pt>
                <c:pt idx="3">
                  <c:v>77.489999999999995</c:v>
                </c:pt>
                <c:pt idx="4">
                  <c:v>77.010000000000005</c:v>
                </c:pt>
                <c:pt idx="5">
                  <c:v>73.989999999999995</c:v>
                </c:pt>
                <c:pt idx="6">
                  <c:v>68.430000000000007</c:v>
                </c:pt>
                <c:pt idx="7">
                  <c:v>69.599999999999994</c:v>
                </c:pt>
                <c:pt idx="8">
                  <c:v>69.31</c:v>
                </c:pt>
                <c:pt idx="9">
                  <c:v>64.209999999999994</c:v>
                </c:pt>
                <c:pt idx="10">
                  <c:v>65.290000000000006</c:v>
                </c:pt>
                <c:pt idx="11">
                  <c:v>65.430000000000007</c:v>
                </c:pt>
                <c:pt idx="12">
                  <c:v>64.709999999999994</c:v>
                </c:pt>
                <c:pt idx="13">
                  <c:v>62.2</c:v>
                </c:pt>
                <c:pt idx="14">
                  <c:v>58.51</c:v>
                </c:pt>
                <c:pt idx="15">
                  <c:v>59.72</c:v>
                </c:pt>
                <c:pt idx="16">
                  <c:v>59.84</c:v>
                </c:pt>
                <c:pt idx="17">
                  <c:v>59.62</c:v>
                </c:pt>
                <c:pt idx="18">
                  <c:v>53.81</c:v>
                </c:pt>
                <c:pt idx="19">
                  <c:v>52.6</c:v>
                </c:pt>
                <c:pt idx="20">
                  <c:v>49.81</c:v>
                </c:pt>
                <c:pt idx="21">
                  <c:v>43.93</c:v>
                </c:pt>
                <c:pt idx="22">
                  <c:v>52.16</c:v>
                </c:pt>
                <c:pt idx="23">
                  <c:v>43.69</c:v>
                </c:pt>
                <c:pt idx="24">
                  <c:v>44.14</c:v>
                </c:pt>
                <c:pt idx="25">
                  <c:v>47.56</c:v>
                </c:pt>
                <c:pt idx="26">
                  <c:v>45.57</c:v>
                </c:pt>
                <c:pt idx="27">
                  <c:v>48.68</c:v>
                </c:pt>
                <c:pt idx="28">
                  <c:v>45.73</c:v>
                </c:pt>
                <c:pt idx="29">
                  <c:v>43.35</c:v>
                </c:pt>
                <c:pt idx="30">
                  <c:v>52.68</c:v>
                </c:pt>
                <c:pt idx="31">
                  <c:v>46.95</c:v>
                </c:pt>
                <c:pt idx="32">
                  <c:v>50.03</c:v>
                </c:pt>
                <c:pt idx="33">
                  <c:v>46.54</c:v>
                </c:pt>
                <c:pt idx="34">
                  <c:v>42.78</c:v>
                </c:pt>
                <c:pt idx="35">
                  <c:v>45.16</c:v>
                </c:pt>
                <c:pt idx="36">
                  <c:v>44.98</c:v>
                </c:pt>
                <c:pt idx="37">
                  <c:v>43.45</c:v>
                </c:pt>
                <c:pt idx="38">
                  <c:v>41.14</c:v>
                </c:pt>
                <c:pt idx="39">
                  <c:v>38.89</c:v>
                </c:pt>
                <c:pt idx="40">
                  <c:v>42.67</c:v>
                </c:pt>
                <c:pt idx="41">
                  <c:v>42.12</c:v>
                </c:pt>
                <c:pt idx="42">
                  <c:v>29.63</c:v>
                </c:pt>
                <c:pt idx="43">
                  <c:v>48.99</c:v>
                </c:pt>
                <c:pt idx="45">
                  <c:v>66.11</c:v>
                </c:pt>
                <c:pt idx="46">
                  <c:v>69.53</c:v>
                </c:pt>
                <c:pt idx="47">
                  <c:v>70.34</c:v>
                </c:pt>
                <c:pt idx="48">
                  <c:v>68.05</c:v>
                </c:pt>
                <c:pt idx="49">
                  <c:v>69.069999999999993</c:v>
                </c:pt>
                <c:pt idx="50">
                  <c:v>66.52</c:v>
                </c:pt>
                <c:pt idx="51">
                  <c:v>63.76</c:v>
                </c:pt>
                <c:pt idx="54">
                  <c:v>61.52</c:v>
                </c:pt>
                <c:pt idx="55">
                  <c:v>63.9</c:v>
                </c:pt>
                <c:pt idx="56">
                  <c:v>59.67</c:v>
                </c:pt>
                <c:pt idx="57">
                  <c:v>60.45</c:v>
                </c:pt>
                <c:pt idx="58">
                  <c:v>58.92</c:v>
                </c:pt>
                <c:pt idx="59">
                  <c:v>51.96</c:v>
                </c:pt>
                <c:pt idx="60">
                  <c:v>57.65</c:v>
                </c:pt>
                <c:pt idx="61">
                  <c:v>64.540000000000006</c:v>
                </c:pt>
                <c:pt idx="62">
                  <c:v>60.58</c:v>
                </c:pt>
                <c:pt idx="63">
                  <c:v>51.78</c:v>
                </c:pt>
                <c:pt idx="64">
                  <c:v>64.17</c:v>
                </c:pt>
                <c:pt idx="65">
                  <c:v>68.66</c:v>
                </c:pt>
                <c:pt idx="66">
                  <c:v>66.709999999999994</c:v>
                </c:pt>
                <c:pt idx="67">
                  <c:v>62.61</c:v>
                </c:pt>
                <c:pt idx="68">
                  <c:v>60.73</c:v>
                </c:pt>
                <c:pt idx="69">
                  <c:v>61.61</c:v>
                </c:pt>
                <c:pt idx="70">
                  <c:v>57.4</c:v>
                </c:pt>
                <c:pt idx="71">
                  <c:v>59.18</c:v>
                </c:pt>
                <c:pt idx="72">
                  <c:v>66.16</c:v>
                </c:pt>
                <c:pt idx="73">
                  <c:v>59.78</c:v>
                </c:pt>
                <c:pt idx="74">
                  <c:v>61.48</c:v>
                </c:pt>
                <c:pt idx="75">
                  <c:v>58.26</c:v>
                </c:pt>
                <c:pt idx="76">
                  <c:v>49.82</c:v>
                </c:pt>
                <c:pt idx="77">
                  <c:v>49.28</c:v>
                </c:pt>
                <c:pt idx="78">
                  <c:v>42.33</c:v>
                </c:pt>
                <c:pt idx="79">
                  <c:v>38.9</c:v>
                </c:pt>
                <c:pt idx="80">
                  <c:v>32.67</c:v>
                </c:pt>
                <c:pt idx="81">
                  <c:v>36.97</c:v>
                </c:pt>
                <c:pt idx="82">
                  <c:v>40.81</c:v>
                </c:pt>
                <c:pt idx="83">
                  <c:v>37.04</c:v>
                </c:pt>
                <c:pt idx="84">
                  <c:v>36.53</c:v>
                </c:pt>
                <c:pt idx="86">
                  <c:v>40.159999999999997</c:v>
                </c:pt>
                <c:pt idx="87">
                  <c:v>42.77</c:v>
                </c:pt>
                <c:pt idx="88">
                  <c:v>42.98</c:v>
                </c:pt>
                <c:pt idx="89">
                  <c:v>50.32</c:v>
                </c:pt>
                <c:pt idx="90">
                  <c:v>50.92</c:v>
                </c:pt>
                <c:pt idx="91">
                  <c:v>50.03</c:v>
                </c:pt>
                <c:pt idx="92">
                  <c:v>46.02</c:v>
                </c:pt>
                <c:pt idx="93">
                  <c:v>42.88</c:v>
                </c:pt>
                <c:pt idx="94">
                  <c:v>47.51</c:v>
                </c:pt>
                <c:pt idx="95">
                  <c:v>47.82</c:v>
                </c:pt>
                <c:pt idx="96">
                  <c:v>57.15</c:v>
                </c:pt>
                <c:pt idx="97">
                  <c:v>57.68</c:v>
                </c:pt>
                <c:pt idx="98">
                  <c:v>55.36</c:v>
                </c:pt>
                <c:pt idx="99">
                  <c:v>51.65</c:v>
                </c:pt>
                <c:pt idx="100">
                  <c:v>54.09</c:v>
                </c:pt>
                <c:pt idx="101">
                  <c:v>54.79</c:v>
                </c:pt>
                <c:pt idx="102">
                  <c:v>53.84</c:v>
                </c:pt>
                <c:pt idx="103">
                  <c:v>51.58</c:v>
                </c:pt>
                <c:pt idx="104">
                  <c:v>51.41</c:v>
                </c:pt>
                <c:pt idx="105">
                  <c:v>47.51</c:v>
                </c:pt>
                <c:pt idx="106">
                  <c:v>46.18</c:v>
                </c:pt>
                <c:pt idx="107">
                  <c:v>48.03</c:v>
                </c:pt>
                <c:pt idx="108">
                  <c:v>51.68</c:v>
                </c:pt>
                <c:pt idx="109">
                  <c:v>54.35</c:v>
                </c:pt>
                <c:pt idx="110">
                  <c:v>41.39</c:v>
                </c:pt>
                <c:pt idx="111">
                  <c:v>45.32</c:v>
                </c:pt>
                <c:pt idx="112">
                  <c:v>45.72</c:v>
                </c:pt>
                <c:pt idx="113">
                  <c:v>49.12</c:v>
                </c:pt>
                <c:pt idx="114">
                  <c:v>42.67</c:v>
                </c:pt>
                <c:pt idx="115">
                  <c:v>41.92</c:v>
                </c:pt>
                <c:pt idx="116">
                  <c:v>50.48</c:v>
                </c:pt>
                <c:pt idx="117">
                  <c:v>50.83</c:v>
                </c:pt>
                <c:pt idx="118">
                  <c:v>53.84</c:v>
                </c:pt>
                <c:pt idx="119">
                  <c:v>53.03</c:v>
                </c:pt>
                <c:pt idx="120">
                  <c:v>48.41</c:v>
                </c:pt>
                <c:pt idx="121">
                  <c:v>50.5</c:v>
                </c:pt>
                <c:pt idx="122">
                  <c:v>41.17</c:v>
                </c:pt>
                <c:pt idx="123">
                  <c:v>48.65</c:v>
                </c:pt>
                <c:pt idx="124">
                  <c:v>49.54</c:v>
                </c:pt>
                <c:pt idx="125">
                  <c:v>59.64</c:v>
                </c:pt>
                <c:pt idx="126">
                  <c:v>57.88</c:v>
                </c:pt>
                <c:pt idx="127">
                  <c:v>52.25</c:v>
                </c:pt>
                <c:pt idx="128">
                  <c:v>56.34</c:v>
                </c:pt>
                <c:pt idx="129">
                  <c:v>64.97</c:v>
                </c:pt>
                <c:pt idx="130">
                  <c:v>69.739999999999995</c:v>
                </c:pt>
                <c:pt idx="131">
                  <c:v>70.099999999999994</c:v>
                </c:pt>
                <c:pt idx="132">
                  <c:v>64.67</c:v>
                </c:pt>
                <c:pt idx="133">
                  <c:v>62.43</c:v>
                </c:pt>
                <c:pt idx="134">
                  <c:v>66.63</c:v>
                </c:pt>
                <c:pt idx="135">
                  <c:v>63.27</c:v>
                </c:pt>
                <c:pt idx="136">
                  <c:v>52.91</c:v>
                </c:pt>
                <c:pt idx="137">
                  <c:v>51.99</c:v>
                </c:pt>
                <c:pt idx="138">
                  <c:v>54.27</c:v>
                </c:pt>
                <c:pt idx="139">
                  <c:v>51.72</c:v>
                </c:pt>
                <c:pt idx="140">
                  <c:v>45.96</c:v>
                </c:pt>
                <c:pt idx="141">
                  <c:v>49.85</c:v>
                </c:pt>
                <c:pt idx="142">
                  <c:v>44.96</c:v>
                </c:pt>
                <c:pt idx="148">
                  <c:v>48.9</c:v>
                </c:pt>
                <c:pt idx="149">
                  <c:v>45.43</c:v>
                </c:pt>
                <c:pt idx="150">
                  <c:v>38.380000000000003</c:v>
                </c:pt>
                <c:pt idx="151">
                  <c:v>39.380000000000003</c:v>
                </c:pt>
                <c:pt idx="152">
                  <c:v>39.53</c:v>
                </c:pt>
                <c:pt idx="153">
                  <c:v>50.55</c:v>
                </c:pt>
                <c:pt idx="154">
                  <c:v>51.8</c:v>
                </c:pt>
                <c:pt idx="155">
                  <c:v>56.23</c:v>
                </c:pt>
                <c:pt idx="156">
                  <c:v>54.08</c:v>
                </c:pt>
                <c:pt idx="157">
                  <c:v>63.06</c:v>
                </c:pt>
                <c:pt idx="158">
                  <c:v>58.8</c:v>
                </c:pt>
                <c:pt idx="159">
                  <c:v>54.91</c:v>
                </c:pt>
                <c:pt idx="160">
                  <c:v>56.89</c:v>
                </c:pt>
                <c:pt idx="161">
                  <c:v>56.06</c:v>
                </c:pt>
                <c:pt idx="162">
                  <c:v>59.85</c:v>
                </c:pt>
                <c:pt idx="163">
                  <c:v>63.32</c:v>
                </c:pt>
                <c:pt idx="164">
                  <c:v>60.8</c:v>
                </c:pt>
                <c:pt idx="165">
                  <c:v>57.92</c:v>
                </c:pt>
                <c:pt idx="166">
                  <c:v>61</c:v>
                </c:pt>
                <c:pt idx="167">
                  <c:v>60.93</c:v>
                </c:pt>
                <c:pt idx="168">
                  <c:v>54.33</c:v>
                </c:pt>
                <c:pt idx="169">
                  <c:v>51.56</c:v>
                </c:pt>
                <c:pt idx="170">
                  <c:v>48.08</c:v>
                </c:pt>
                <c:pt idx="171">
                  <c:v>49.65</c:v>
                </c:pt>
                <c:pt idx="172">
                  <c:v>55.94</c:v>
                </c:pt>
                <c:pt idx="173">
                  <c:v>57.8</c:v>
                </c:pt>
                <c:pt idx="174">
                  <c:v>60.24</c:v>
                </c:pt>
                <c:pt idx="175">
                  <c:v>57.77</c:v>
                </c:pt>
                <c:pt idx="176">
                  <c:v>58.51</c:v>
                </c:pt>
                <c:pt idx="177">
                  <c:v>51.81</c:v>
                </c:pt>
                <c:pt idx="178">
                  <c:v>49.56</c:v>
                </c:pt>
                <c:pt idx="179">
                  <c:v>44.38</c:v>
                </c:pt>
                <c:pt idx="180">
                  <c:v>47.26</c:v>
                </c:pt>
                <c:pt idx="181">
                  <c:v>53.49</c:v>
                </c:pt>
                <c:pt idx="183">
                  <c:v>58.07</c:v>
                </c:pt>
                <c:pt idx="184">
                  <c:v>54.25</c:v>
                </c:pt>
                <c:pt idx="185">
                  <c:v>53.99</c:v>
                </c:pt>
                <c:pt idx="186">
                  <c:v>57.74</c:v>
                </c:pt>
                <c:pt idx="187">
                  <c:v>57.09</c:v>
                </c:pt>
                <c:pt idx="188">
                  <c:v>60.11</c:v>
                </c:pt>
                <c:pt idx="189">
                  <c:v>60.12</c:v>
                </c:pt>
                <c:pt idx="190">
                  <c:v>61.41</c:v>
                </c:pt>
                <c:pt idx="191">
                  <c:v>48.39</c:v>
                </c:pt>
                <c:pt idx="192">
                  <c:v>41.69</c:v>
                </c:pt>
                <c:pt idx="193">
                  <c:v>66.069999999999993</c:v>
                </c:pt>
                <c:pt idx="194">
                  <c:v>66.08</c:v>
                </c:pt>
                <c:pt idx="195">
                  <c:v>69.540000000000006</c:v>
                </c:pt>
                <c:pt idx="196">
                  <c:v>64.48</c:v>
                </c:pt>
                <c:pt idx="197">
                  <c:v>64.78</c:v>
                </c:pt>
                <c:pt idx="198">
                  <c:v>63.57</c:v>
                </c:pt>
                <c:pt idx="199">
                  <c:v>64.25</c:v>
                </c:pt>
                <c:pt idx="200">
                  <c:v>64.14</c:v>
                </c:pt>
                <c:pt idx="201">
                  <c:v>68.260000000000005</c:v>
                </c:pt>
                <c:pt idx="202">
                  <c:v>65.849999999999994</c:v>
                </c:pt>
                <c:pt idx="203">
                  <c:v>65.69</c:v>
                </c:pt>
                <c:pt idx="204">
                  <c:v>62.12</c:v>
                </c:pt>
                <c:pt idx="205">
                  <c:v>67.67</c:v>
                </c:pt>
                <c:pt idx="206">
                  <c:v>65.790000000000006</c:v>
                </c:pt>
                <c:pt idx="207">
                  <c:v>66.05</c:v>
                </c:pt>
                <c:pt idx="208">
                  <c:v>67.25</c:v>
                </c:pt>
                <c:pt idx="209">
                  <c:v>65.81</c:v>
                </c:pt>
                <c:pt idx="210">
                  <c:v>60.1</c:v>
                </c:pt>
                <c:pt idx="211">
                  <c:v>56.42</c:v>
                </c:pt>
                <c:pt idx="212">
                  <c:v>55.52</c:v>
                </c:pt>
                <c:pt idx="213">
                  <c:v>65.41</c:v>
                </c:pt>
                <c:pt idx="214">
                  <c:v>66.260000000000005</c:v>
                </c:pt>
                <c:pt idx="215">
                  <c:v>67.52</c:v>
                </c:pt>
                <c:pt idx="216">
                  <c:v>65.16</c:v>
                </c:pt>
                <c:pt idx="217">
                  <c:v>63.79</c:v>
                </c:pt>
                <c:pt idx="218">
                  <c:v>69.709999999999994</c:v>
                </c:pt>
                <c:pt idx="219">
                  <c:v>73.55</c:v>
                </c:pt>
                <c:pt idx="220">
                  <c:v>80.45</c:v>
                </c:pt>
                <c:pt idx="221">
                  <c:v>77.16</c:v>
                </c:pt>
                <c:pt idx="222">
                  <c:v>83.24</c:v>
                </c:pt>
                <c:pt idx="223">
                  <c:v>82.17</c:v>
                </c:pt>
                <c:pt idx="224">
                  <c:v>80.3</c:v>
                </c:pt>
                <c:pt idx="225">
                  <c:v>81.11</c:v>
                </c:pt>
                <c:pt idx="226">
                  <c:v>81.459999999999994</c:v>
                </c:pt>
                <c:pt idx="227">
                  <c:v>79.180000000000007</c:v>
                </c:pt>
                <c:pt idx="228">
                  <c:v>79.86</c:v>
                </c:pt>
                <c:pt idx="229">
                  <c:v>75.62</c:v>
                </c:pt>
                <c:pt idx="230">
                  <c:v>71.8</c:v>
                </c:pt>
                <c:pt idx="231">
                  <c:v>68.180000000000007</c:v>
                </c:pt>
                <c:pt idx="233">
                  <c:v>68</c:v>
                </c:pt>
                <c:pt idx="234">
                  <c:v>62.2</c:v>
                </c:pt>
                <c:pt idx="236">
                  <c:v>59.38</c:v>
                </c:pt>
                <c:pt idx="237">
                  <c:v>60.34</c:v>
                </c:pt>
                <c:pt idx="238">
                  <c:v>60.4</c:v>
                </c:pt>
                <c:pt idx="239">
                  <c:v>54.99</c:v>
                </c:pt>
                <c:pt idx="240">
                  <c:v>57.25</c:v>
                </c:pt>
                <c:pt idx="241">
                  <c:v>56.43</c:v>
                </c:pt>
                <c:pt idx="242">
                  <c:v>51.38</c:v>
                </c:pt>
                <c:pt idx="243">
                  <c:v>47.17</c:v>
                </c:pt>
                <c:pt idx="244">
                  <c:v>51.67</c:v>
                </c:pt>
                <c:pt idx="245">
                  <c:v>49.01</c:v>
                </c:pt>
                <c:pt idx="246">
                  <c:v>51.06</c:v>
                </c:pt>
                <c:pt idx="247">
                  <c:v>56.47</c:v>
                </c:pt>
                <c:pt idx="248">
                  <c:v>56.26</c:v>
                </c:pt>
                <c:pt idx="249">
                  <c:v>59.17</c:v>
                </c:pt>
                <c:pt idx="250">
                  <c:v>61.01</c:v>
                </c:pt>
                <c:pt idx="251">
                  <c:v>53.73</c:v>
                </c:pt>
                <c:pt idx="252">
                  <c:v>53.67</c:v>
                </c:pt>
                <c:pt idx="253">
                  <c:v>60.98</c:v>
                </c:pt>
                <c:pt idx="254">
                  <c:v>55.72</c:v>
                </c:pt>
                <c:pt idx="257">
                  <c:v>59.85</c:v>
                </c:pt>
                <c:pt idx="259">
                  <c:v>61.91</c:v>
                </c:pt>
                <c:pt idx="260">
                  <c:v>58.67</c:v>
                </c:pt>
                <c:pt idx="261">
                  <c:v>56.18</c:v>
                </c:pt>
                <c:pt idx="262">
                  <c:v>55.53</c:v>
                </c:pt>
                <c:pt idx="263">
                  <c:v>54.73</c:v>
                </c:pt>
                <c:pt idx="264">
                  <c:v>57.86</c:v>
                </c:pt>
                <c:pt idx="265">
                  <c:v>54.65</c:v>
                </c:pt>
                <c:pt idx="266">
                  <c:v>55.5</c:v>
                </c:pt>
                <c:pt idx="267">
                  <c:v>58.31</c:v>
                </c:pt>
                <c:pt idx="268">
                  <c:v>55.07</c:v>
                </c:pt>
                <c:pt idx="269">
                  <c:v>52.55</c:v>
                </c:pt>
                <c:pt idx="270">
                  <c:v>53.69</c:v>
                </c:pt>
                <c:pt idx="271">
                  <c:v>52.51</c:v>
                </c:pt>
                <c:pt idx="272">
                  <c:v>48.24</c:v>
                </c:pt>
                <c:pt idx="273">
                  <c:v>44.75</c:v>
                </c:pt>
                <c:pt idx="274">
                  <c:v>29.88</c:v>
                </c:pt>
                <c:pt idx="275">
                  <c:v>33.6</c:v>
                </c:pt>
                <c:pt idx="276">
                  <c:v>29.82</c:v>
                </c:pt>
                <c:pt idx="277">
                  <c:v>41.08</c:v>
                </c:pt>
                <c:pt idx="278">
                  <c:v>43.89</c:v>
                </c:pt>
                <c:pt idx="279">
                  <c:v>40.090000000000003</c:v>
                </c:pt>
                <c:pt idx="280">
                  <c:v>40.020000000000003</c:v>
                </c:pt>
                <c:pt idx="281">
                  <c:v>36.450000000000003</c:v>
                </c:pt>
                <c:pt idx="282">
                  <c:v>42.61</c:v>
                </c:pt>
                <c:pt idx="283">
                  <c:v>44.22</c:v>
                </c:pt>
                <c:pt idx="284">
                  <c:v>50.28</c:v>
                </c:pt>
                <c:pt idx="285">
                  <c:v>51.95</c:v>
                </c:pt>
                <c:pt idx="286">
                  <c:v>48.03</c:v>
                </c:pt>
                <c:pt idx="287">
                  <c:v>52.43</c:v>
                </c:pt>
                <c:pt idx="288">
                  <c:v>51.64</c:v>
                </c:pt>
                <c:pt idx="289">
                  <c:v>54.54</c:v>
                </c:pt>
                <c:pt idx="290">
                  <c:v>58.18</c:v>
                </c:pt>
                <c:pt idx="291">
                  <c:v>54.37</c:v>
                </c:pt>
                <c:pt idx="292">
                  <c:v>51.83</c:v>
                </c:pt>
                <c:pt idx="293">
                  <c:v>52.04</c:v>
                </c:pt>
                <c:pt idx="294">
                  <c:v>48.54</c:v>
                </c:pt>
                <c:pt idx="295">
                  <c:v>43.04</c:v>
                </c:pt>
                <c:pt idx="296">
                  <c:v>46.76</c:v>
                </c:pt>
                <c:pt idx="297">
                  <c:v>47.14</c:v>
                </c:pt>
                <c:pt idx="298">
                  <c:v>52.76</c:v>
                </c:pt>
                <c:pt idx="299">
                  <c:v>44.79</c:v>
                </c:pt>
                <c:pt idx="300">
                  <c:v>42.28</c:v>
                </c:pt>
                <c:pt idx="302">
                  <c:v>38.65</c:v>
                </c:pt>
                <c:pt idx="303">
                  <c:v>49.93</c:v>
                </c:pt>
                <c:pt idx="304">
                  <c:v>49.23</c:v>
                </c:pt>
                <c:pt idx="305">
                  <c:v>47.27</c:v>
                </c:pt>
                <c:pt idx="306">
                  <c:v>49.83</c:v>
                </c:pt>
                <c:pt idx="307">
                  <c:v>54.67</c:v>
                </c:pt>
                <c:pt idx="308">
                  <c:v>56.26</c:v>
                </c:pt>
                <c:pt idx="309">
                  <c:v>66.62</c:v>
                </c:pt>
                <c:pt idx="310">
                  <c:v>61.31</c:v>
                </c:pt>
                <c:pt idx="311">
                  <c:v>65</c:v>
                </c:pt>
                <c:pt idx="312">
                  <c:v>61.86</c:v>
                </c:pt>
                <c:pt idx="313">
                  <c:v>60.63</c:v>
                </c:pt>
                <c:pt idx="314">
                  <c:v>60.03</c:v>
                </c:pt>
                <c:pt idx="315">
                  <c:v>59.53</c:v>
                </c:pt>
                <c:pt idx="316">
                  <c:v>56.3</c:v>
                </c:pt>
                <c:pt idx="317">
                  <c:v>62.19</c:v>
                </c:pt>
                <c:pt idx="318">
                  <c:v>62.98</c:v>
                </c:pt>
                <c:pt idx="319">
                  <c:v>54.2</c:v>
                </c:pt>
                <c:pt idx="320">
                  <c:v>53.23</c:v>
                </c:pt>
                <c:pt idx="321">
                  <c:v>45.34</c:v>
                </c:pt>
                <c:pt idx="322">
                  <c:v>55.49</c:v>
                </c:pt>
                <c:pt idx="327">
                  <c:v>56.43</c:v>
                </c:pt>
                <c:pt idx="328">
                  <c:v>57.09</c:v>
                </c:pt>
                <c:pt idx="329">
                  <c:v>75.040000000000006</c:v>
                </c:pt>
                <c:pt idx="330">
                  <c:v>72.260000000000005</c:v>
                </c:pt>
                <c:pt idx="331">
                  <c:v>71.56</c:v>
                </c:pt>
                <c:pt idx="332">
                  <c:v>70.08</c:v>
                </c:pt>
                <c:pt idx="333">
                  <c:v>67.260000000000005</c:v>
                </c:pt>
                <c:pt idx="334">
                  <c:v>64.66</c:v>
                </c:pt>
                <c:pt idx="335">
                  <c:v>65.45</c:v>
                </c:pt>
                <c:pt idx="336">
                  <c:v>63.49</c:v>
                </c:pt>
                <c:pt idx="337">
                  <c:v>63.81</c:v>
                </c:pt>
                <c:pt idx="338">
                  <c:v>65.13</c:v>
                </c:pt>
                <c:pt idx="339">
                  <c:v>63.46</c:v>
                </c:pt>
                <c:pt idx="340">
                  <c:v>62.1</c:v>
                </c:pt>
                <c:pt idx="341">
                  <c:v>51.34</c:v>
                </c:pt>
                <c:pt idx="342">
                  <c:v>50.41</c:v>
                </c:pt>
                <c:pt idx="343">
                  <c:v>49.82</c:v>
                </c:pt>
                <c:pt idx="345">
                  <c:v>54.9</c:v>
                </c:pt>
                <c:pt idx="346">
                  <c:v>50.6</c:v>
                </c:pt>
                <c:pt idx="347">
                  <c:v>56.29</c:v>
                </c:pt>
                <c:pt idx="348">
                  <c:v>60.65</c:v>
                </c:pt>
                <c:pt idx="349">
                  <c:v>59.45</c:v>
                </c:pt>
                <c:pt idx="350">
                  <c:v>57.23</c:v>
                </c:pt>
                <c:pt idx="351">
                  <c:v>56.27</c:v>
                </c:pt>
                <c:pt idx="352">
                  <c:v>63.32</c:v>
                </c:pt>
                <c:pt idx="353">
                  <c:v>59.27</c:v>
                </c:pt>
                <c:pt idx="354">
                  <c:v>59.53</c:v>
                </c:pt>
                <c:pt idx="355">
                  <c:v>59.79</c:v>
                </c:pt>
                <c:pt idx="356">
                  <c:v>57.61</c:v>
                </c:pt>
                <c:pt idx="357">
                  <c:v>52.1</c:v>
                </c:pt>
                <c:pt idx="358">
                  <c:v>47.73</c:v>
                </c:pt>
                <c:pt idx="359">
                  <c:v>38.21</c:v>
                </c:pt>
                <c:pt idx="360">
                  <c:v>52.08</c:v>
                </c:pt>
                <c:pt idx="361">
                  <c:v>53.87</c:v>
                </c:pt>
                <c:pt idx="362">
                  <c:v>65.17</c:v>
                </c:pt>
                <c:pt idx="363">
                  <c:v>68.63</c:v>
                </c:pt>
                <c:pt idx="364">
                  <c:v>65.930000000000007</c:v>
                </c:pt>
                <c:pt idx="365">
                  <c:v>63.25</c:v>
                </c:pt>
                <c:pt idx="366">
                  <c:v>63.35</c:v>
                </c:pt>
                <c:pt idx="367">
                  <c:v>62.85</c:v>
                </c:pt>
                <c:pt idx="368">
                  <c:v>56.85</c:v>
                </c:pt>
                <c:pt idx="369">
                  <c:v>56.38</c:v>
                </c:pt>
                <c:pt idx="370">
                  <c:v>50.58</c:v>
                </c:pt>
                <c:pt idx="371">
                  <c:v>48.73</c:v>
                </c:pt>
                <c:pt idx="372">
                  <c:v>52.7</c:v>
                </c:pt>
                <c:pt idx="373">
                  <c:v>51.73</c:v>
                </c:pt>
                <c:pt idx="374">
                  <c:v>46.35</c:v>
                </c:pt>
                <c:pt idx="375">
                  <c:v>38.64</c:v>
                </c:pt>
                <c:pt idx="376">
                  <c:v>36.43</c:v>
                </c:pt>
                <c:pt idx="377">
                  <c:v>32.24</c:v>
                </c:pt>
                <c:pt idx="378">
                  <c:v>35.54</c:v>
                </c:pt>
                <c:pt idx="379">
                  <c:v>39.69</c:v>
                </c:pt>
                <c:pt idx="380">
                  <c:v>44.37</c:v>
                </c:pt>
                <c:pt idx="381">
                  <c:v>54.07</c:v>
                </c:pt>
                <c:pt idx="382">
                  <c:v>54.3</c:v>
                </c:pt>
                <c:pt idx="383">
                  <c:v>54.22</c:v>
                </c:pt>
                <c:pt idx="384">
                  <c:v>54.87</c:v>
                </c:pt>
                <c:pt idx="385">
                  <c:v>45.58</c:v>
                </c:pt>
                <c:pt idx="386">
                  <c:v>49.06</c:v>
                </c:pt>
                <c:pt idx="387">
                  <c:v>58.21</c:v>
                </c:pt>
                <c:pt idx="388">
                  <c:v>56.42</c:v>
                </c:pt>
                <c:pt idx="389">
                  <c:v>54.73</c:v>
                </c:pt>
                <c:pt idx="390">
                  <c:v>47.61</c:v>
                </c:pt>
                <c:pt idx="391">
                  <c:v>54.27</c:v>
                </c:pt>
                <c:pt idx="392">
                  <c:v>53.42</c:v>
                </c:pt>
                <c:pt idx="393">
                  <c:v>52.43</c:v>
                </c:pt>
                <c:pt idx="394">
                  <c:v>63.03</c:v>
                </c:pt>
                <c:pt idx="395">
                  <c:v>58.79</c:v>
                </c:pt>
                <c:pt idx="396">
                  <c:v>58.46</c:v>
                </c:pt>
                <c:pt idx="397">
                  <c:v>58.32</c:v>
                </c:pt>
                <c:pt idx="398">
                  <c:v>59.37</c:v>
                </c:pt>
                <c:pt idx="399">
                  <c:v>53.18</c:v>
                </c:pt>
                <c:pt idx="400">
                  <c:v>53.21</c:v>
                </c:pt>
                <c:pt idx="401">
                  <c:v>50.85</c:v>
                </c:pt>
                <c:pt idx="403">
                  <c:v>49.87</c:v>
                </c:pt>
                <c:pt idx="404">
                  <c:v>49.33</c:v>
                </c:pt>
                <c:pt idx="405">
                  <c:v>51.13</c:v>
                </c:pt>
                <c:pt idx="407">
                  <c:v>47.61</c:v>
                </c:pt>
                <c:pt idx="409">
                  <c:v>50.99</c:v>
                </c:pt>
                <c:pt idx="410">
                  <c:v>54.9</c:v>
                </c:pt>
                <c:pt idx="411">
                  <c:v>59.51</c:v>
                </c:pt>
                <c:pt idx="412">
                  <c:v>53.03</c:v>
                </c:pt>
                <c:pt idx="413">
                  <c:v>58.06</c:v>
                </c:pt>
                <c:pt idx="414">
                  <c:v>54.79</c:v>
                </c:pt>
                <c:pt idx="415">
                  <c:v>50.3</c:v>
                </c:pt>
                <c:pt idx="416">
                  <c:v>54.85</c:v>
                </c:pt>
                <c:pt idx="420">
                  <c:v>53</c:v>
                </c:pt>
                <c:pt idx="421">
                  <c:v>49.58</c:v>
                </c:pt>
                <c:pt idx="422">
                  <c:v>41.06</c:v>
                </c:pt>
                <c:pt idx="423">
                  <c:v>39.950000000000003</c:v>
                </c:pt>
                <c:pt idx="424">
                  <c:v>39.380000000000003</c:v>
                </c:pt>
                <c:pt idx="425">
                  <c:v>38.49</c:v>
                </c:pt>
                <c:pt idx="426">
                  <c:v>43.99</c:v>
                </c:pt>
                <c:pt idx="427">
                  <c:v>41</c:v>
                </c:pt>
                <c:pt idx="428">
                  <c:v>52.66</c:v>
                </c:pt>
                <c:pt idx="429">
                  <c:v>54.23</c:v>
                </c:pt>
                <c:pt idx="430">
                  <c:v>56.3</c:v>
                </c:pt>
                <c:pt idx="431">
                  <c:v>55.25</c:v>
                </c:pt>
                <c:pt idx="432">
                  <c:v>54.09</c:v>
                </c:pt>
                <c:pt idx="433">
                  <c:v>58.53</c:v>
                </c:pt>
                <c:pt idx="434">
                  <c:v>62.19</c:v>
                </c:pt>
                <c:pt idx="435">
                  <c:v>58.29</c:v>
                </c:pt>
                <c:pt idx="436">
                  <c:v>57.3</c:v>
                </c:pt>
                <c:pt idx="437">
                  <c:v>51.2</c:v>
                </c:pt>
                <c:pt idx="438">
                  <c:v>47.91</c:v>
                </c:pt>
                <c:pt idx="439">
                  <c:v>45.53</c:v>
                </c:pt>
                <c:pt idx="440">
                  <c:v>44.83</c:v>
                </c:pt>
                <c:pt idx="442">
                  <c:v>45.21</c:v>
                </c:pt>
                <c:pt idx="443">
                  <c:v>45.27</c:v>
                </c:pt>
                <c:pt idx="444">
                  <c:v>44.79</c:v>
                </c:pt>
                <c:pt idx="445">
                  <c:v>42.77</c:v>
                </c:pt>
                <c:pt idx="446">
                  <c:v>42.97</c:v>
                </c:pt>
                <c:pt idx="447">
                  <c:v>40.36</c:v>
                </c:pt>
                <c:pt idx="448">
                  <c:v>34.96</c:v>
                </c:pt>
                <c:pt idx="449">
                  <c:v>21.78</c:v>
                </c:pt>
                <c:pt idx="450">
                  <c:v>40.729999999999997</c:v>
                </c:pt>
                <c:pt idx="451">
                  <c:v>50.93</c:v>
                </c:pt>
                <c:pt idx="452">
                  <c:v>47.19</c:v>
                </c:pt>
                <c:pt idx="453">
                  <c:v>42.41</c:v>
                </c:pt>
                <c:pt idx="454">
                  <c:v>50.44</c:v>
                </c:pt>
                <c:pt idx="455">
                  <c:v>46.25</c:v>
                </c:pt>
                <c:pt idx="456">
                  <c:v>45.78</c:v>
                </c:pt>
                <c:pt idx="457">
                  <c:v>41.17</c:v>
                </c:pt>
                <c:pt idx="458">
                  <c:v>40.29</c:v>
                </c:pt>
                <c:pt idx="459">
                  <c:v>46.12</c:v>
                </c:pt>
                <c:pt idx="460">
                  <c:v>47.37</c:v>
                </c:pt>
                <c:pt idx="461">
                  <c:v>50.71</c:v>
                </c:pt>
                <c:pt idx="462">
                  <c:v>51.32</c:v>
                </c:pt>
                <c:pt idx="463">
                  <c:v>48.15</c:v>
                </c:pt>
                <c:pt idx="464">
                  <c:v>55.14</c:v>
                </c:pt>
                <c:pt idx="465">
                  <c:v>56.02</c:v>
                </c:pt>
                <c:pt idx="466">
                  <c:v>55.24</c:v>
                </c:pt>
                <c:pt idx="467">
                  <c:v>55.5</c:v>
                </c:pt>
                <c:pt idx="468">
                  <c:v>52.88</c:v>
                </c:pt>
                <c:pt idx="469">
                  <c:v>50.79</c:v>
                </c:pt>
                <c:pt idx="470">
                  <c:v>47.35</c:v>
                </c:pt>
                <c:pt idx="471">
                  <c:v>37.03</c:v>
                </c:pt>
                <c:pt idx="472">
                  <c:v>35.89</c:v>
                </c:pt>
                <c:pt idx="473">
                  <c:v>33.869999999999997</c:v>
                </c:pt>
                <c:pt idx="474">
                  <c:v>40.29</c:v>
                </c:pt>
                <c:pt idx="475">
                  <c:v>41.64</c:v>
                </c:pt>
                <c:pt idx="476">
                  <c:v>34.090000000000003</c:v>
                </c:pt>
                <c:pt idx="477">
                  <c:v>41</c:v>
                </c:pt>
                <c:pt idx="478">
                  <c:v>39.29</c:v>
                </c:pt>
                <c:pt idx="479">
                  <c:v>36.18</c:v>
                </c:pt>
                <c:pt idx="480">
                  <c:v>42.02</c:v>
                </c:pt>
                <c:pt idx="481">
                  <c:v>40.51</c:v>
                </c:pt>
                <c:pt idx="482">
                  <c:v>40.4</c:v>
                </c:pt>
                <c:pt idx="483">
                  <c:v>36.200000000000003</c:v>
                </c:pt>
                <c:pt idx="484">
                  <c:v>37.18</c:v>
                </c:pt>
                <c:pt idx="485">
                  <c:v>42.93</c:v>
                </c:pt>
                <c:pt idx="486">
                  <c:v>41.63</c:v>
                </c:pt>
                <c:pt idx="487">
                  <c:v>38.47</c:v>
                </c:pt>
                <c:pt idx="488">
                  <c:v>34.93</c:v>
                </c:pt>
                <c:pt idx="489">
                  <c:v>35.47</c:v>
                </c:pt>
                <c:pt idx="490">
                  <c:v>41.75</c:v>
                </c:pt>
                <c:pt idx="492">
                  <c:v>40.25</c:v>
                </c:pt>
                <c:pt idx="493">
                  <c:v>40.520000000000003</c:v>
                </c:pt>
                <c:pt idx="494">
                  <c:v>36.49</c:v>
                </c:pt>
                <c:pt idx="495">
                  <c:v>29.98</c:v>
                </c:pt>
                <c:pt idx="496">
                  <c:v>30.08</c:v>
                </c:pt>
                <c:pt idx="497">
                  <c:v>32.31</c:v>
                </c:pt>
                <c:pt idx="498">
                  <c:v>36.659999999999997</c:v>
                </c:pt>
                <c:pt idx="499">
                  <c:v>43.32</c:v>
                </c:pt>
                <c:pt idx="500">
                  <c:v>40.92</c:v>
                </c:pt>
                <c:pt idx="501">
                  <c:v>44.58</c:v>
                </c:pt>
                <c:pt idx="502">
                  <c:v>45.36</c:v>
                </c:pt>
                <c:pt idx="503">
                  <c:v>47.05</c:v>
                </c:pt>
                <c:pt idx="504">
                  <c:v>46.53</c:v>
                </c:pt>
                <c:pt idx="505">
                  <c:v>54.14</c:v>
                </c:pt>
                <c:pt idx="506">
                  <c:v>56.93</c:v>
                </c:pt>
                <c:pt idx="508">
                  <c:v>55.19</c:v>
                </c:pt>
                <c:pt idx="509">
                  <c:v>53.31</c:v>
                </c:pt>
                <c:pt idx="510">
                  <c:v>56.28</c:v>
                </c:pt>
                <c:pt idx="511">
                  <c:v>52.72</c:v>
                </c:pt>
                <c:pt idx="512">
                  <c:v>57.45</c:v>
                </c:pt>
                <c:pt idx="513">
                  <c:v>57.39</c:v>
                </c:pt>
                <c:pt idx="515">
                  <c:v>53.64</c:v>
                </c:pt>
                <c:pt idx="516">
                  <c:v>49.29</c:v>
                </c:pt>
                <c:pt idx="518">
                  <c:v>47.79</c:v>
                </c:pt>
                <c:pt idx="519">
                  <c:v>48.13</c:v>
                </c:pt>
                <c:pt idx="520">
                  <c:v>40.15</c:v>
                </c:pt>
                <c:pt idx="521">
                  <c:v>38.81</c:v>
                </c:pt>
                <c:pt idx="522">
                  <c:v>42.98</c:v>
                </c:pt>
                <c:pt idx="523">
                  <c:v>36.31</c:v>
                </c:pt>
                <c:pt idx="524">
                  <c:v>40.869999999999997</c:v>
                </c:pt>
                <c:pt idx="525">
                  <c:v>35.729999999999997</c:v>
                </c:pt>
                <c:pt idx="526">
                  <c:v>38.43</c:v>
                </c:pt>
                <c:pt idx="527">
                  <c:v>24.77</c:v>
                </c:pt>
                <c:pt idx="528">
                  <c:v>26.18</c:v>
                </c:pt>
                <c:pt idx="529">
                  <c:v>28.65</c:v>
                </c:pt>
                <c:pt idx="530">
                  <c:v>31</c:v>
                </c:pt>
                <c:pt idx="531">
                  <c:v>32.26</c:v>
                </c:pt>
                <c:pt idx="533">
                  <c:v>37.340000000000003</c:v>
                </c:pt>
                <c:pt idx="534">
                  <c:v>38.450000000000003</c:v>
                </c:pt>
                <c:pt idx="535">
                  <c:v>39.96</c:v>
                </c:pt>
                <c:pt idx="536">
                  <c:v>43.47</c:v>
                </c:pt>
                <c:pt idx="537">
                  <c:v>44.3</c:v>
                </c:pt>
                <c:pt idx="538">
                  <c:v>46.52</c:v>
                </c:pt>
                <c:pt idx="539">
                  <c:v>55.18</c:v>
                </c:pt>
                <c:pt idx="540">
                  <c:v>49.14</c:v>
                </c:pt>
                <c:pt idx="541">
                  <c:v>52.49</c:v>
                </c:pt>
                <c:pt idx="542">
                  <c:v>57.63</c:v>
                </c:pt>
                <c:pt idx="543">
                  <c:v>54.01</c:v>
                </c:pt>
                <c:pt idx="544">
                  <c:v>48.22</c:v>
                </c:pt>
                <c:pt idx="545">
                  <c:v>46.12</c:v>
                </c:pt>
                <c:pt idx="546">
                  <c:v>45.73</c:v>
                </c:pt>
                <c:pt idx="547">
                  <c:v>39.76</c:v>
                </c:pt>
                <c:pt idx="548">
                  <c:v>36.36</c:v>
                </c:pt>
                <c:pt idx="549">
                  <c:v>40.21</c:v>
                </c:pt>
                <c:pt idx="550">
                  <c:v>41.96</c:v>
                </c:pt>
                <c:pt idx="551">
                  <c:v>47.49</c:v>
                </c:pt>
                <c:pt idx="552">
                  <c:v>47.16</c:v>
                </c:pt>
                <c:pt idx="553">
                  <c:v>48.76</c:v>
                </c:pt>
                <c:pt idx="554">
                  <c:v>46.82</c:v>
                </c:pt>
                <c:pt idx="555">
                  <c:v>38.93</c:v>
                </c:pt>
                <c:pt idx="556">
                  <c:v>31.67</c:v>
                </c:pt>
                <c:pt idx="557">
                  <c:v>31.25</c:v>
                </c:pt>
                <c:pt idx="558">
                  <c:v>31.7</c:v>
                </c:pt>
                <c:pt idx="559">
                  <c:v>34.78</c:v>
                </c:pt>
                <c:pt idx="561">
                  <c:v>39.090000000000003</c:v>
                </c:pt>
                <c:pt idx="562">
                  <c:v>46.87</c:v>
                </c:pt>
                <c:pt idx="563">
                  <c:v>46.07</c:v>
                </c:pt>
                <c:pt idx="564">
                  <c:v>50.38</c:v>
                </c:pt>
                <c:pt idx="565">
                  <c:v>52.73</c:v>
                </c:pt>
                <c:pt idx="566">
                  <c:v>55.15</c:v>
                </c:pt>
                <c:pt idx="567">
                  <c:v>53.04</c:v>
                </c:pt>
                <c:pt idx="568">
                  <c:v>54.06</c:v>
                </c:pt>
                <c:pt idx="569">
                  <c:v>56.24</c:v>
                </c:pt>
                <c:pt idx="570">
                  <c:v>55.75</c:v>
                </c:pt>
                <c:pt idx="571">
                  <c:v>53.99</c:v>
                </c:pt>
                <c:pt idx="572">
                  <c:v>49.31</c:v>
                </c:pt>
                <c:pt idx="573">
                  <c:v>48.78</c:v>
                </c:pt>
                <c:pt idx="576">
                  <c:v>46.4</c:v>
                </c:pt>
                <c:pt idx="577">
                  <c:v>44.69</c:v>
                </c:pt>
                <c:pt idx="578">
                  <c:v>44.81</c:v>
                </c:pt>
                <c:pt idx="579">
                  <c:v>47</c:v>
                </c:pt>
                <c:pt idx="580">
                  <c:v>53.67</c:v>
                </c:pt>
                <c:pt idx="581">
                  <c:v>36.03</c:v>
                </c:pt>
                <c:pt idx="582">
                  <c:v>32.840000000000003</c:v>
                </c:pt>
                <c:pt idx="583">
                  <c:v>38.47</c:v>
                </c:pt>
                <c:pt idx="584">
                  <c:v>40.19</c:v>
                </c:pt>
                <c:pt idx="585">
                  <c:v>44.46</c:v>
                </c:pt>
                <c:pt idx="586">
                  <c:v>39.36</c:v>
                </c:pt>
                <c:pt idx="587">
                  <c:v>41.8</c:v>
                </c:pt>
                <c:pt idx="588">
                  <c:v>43.24</c:v>
                </c:pt>
                <c:pt idx="589">
                  <c:v>39.869999999999997</c:v>
                </c:pt>
                <c:pt idx="590">
                  <c:v>40.61</c:v>
                </c:pt>
                <c:pt idx="591">
                  <c:v>38.409999999999997</c:v>
                </c:pt>
                <c:pt idx="592">
                  <c:v>39.94</c:v>
                </c:pt>
                <c:pt idx="593">
                  <c:v>51.01</c:v>
                </c:pt>
                <c:pt idx="594">
                  <c:v>58.78</c:v>
                </c:pt>
                <c:pt idx="595">
                  <c:v>60.24</c:v>
                </c:pt>
                <c:pt idx="596">
                  <c:v>64.709999999999994</c:v>
                </c:pt>
                <c:pt idx="597">
                  <c:v>62.74</c:v>
                </c:pt>
                <c:pt idx="598">
                  <c:v>61.41</c:v>
                </c:pt>
                <c:pt idx="599">
                  <c:v>57.96</c:v>
                </c:pt>
                <c:pt idx="600">
                  <c:v>52.5</c:v>
                </c:pt>
                <c:pt idx="601">
                  <c:v>55.69</c:v>
                </c:pt>
                <c:pt idx="602">
                  <c:v>57.08</c:v>
                </c:pt>
                <c:pt idx="603">
                  <c:v>71.209999999999994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46-4C19-BD70-D3064950C924}"/>
            </c:ext>
          </c:extLst>
        </c:ser>
        <c:ser>
          <c:idx val="1"/>
          <c:order val="1"/>
          <c:tx>
            <c:strRef>
              <c:f>'미국 RSI'!$G$1</c:f>
              <c:strCache>
                <c:ptCount val="1"/>
                <c:pt idx="0">
                  <c:v>산업재(US)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RSI'!$G$69:$G$3068</c:f>
              <c:numCache>
                <c:formatCode>0.00</c:formatCode>
                <c:ptCount val="3000"/>
                <c:pt idx="0">
                  <c:v>54.82</c:v>
                </c:pt>
                <c:pt idx="1">
                  <c:v>59.13</c:v>
                </c:pt>
                <c:pt idx="2">
                  <c:v>49.94</c:v>
                </c:pt>
                <c:pt idx="3">
                  <c:v>52.39</c:v>
                </c:pt>
                <c:pt idx="4">
                  <c:v>56.12</c:v>
                </c:pt>
                <c:pt idx="5">
                  <c:v>56.05</c:v>
                </c:pt>
                <c:pt idx="6">
                  <c:v>59.9</c:v>
                </c:pt>
                <c:pt idx="7">
                  <c:v>54.38</c:v>
                </c:pt>
                <c:pt idx="8">
                  <c:v>55.32</c:v>
                </c:pt>
                <c:pt idx="9">
                  <c:v>61.32</c:v>
                </c:pt>
                <c:pt idx="10">
                  <c:v>60.69</c:v>
                </c:pt>
                <c:pt idx="11">
                  <c:v>55.18</c:v>
                </c:pt>
                <c:pt idx="12">
                  <c:v>57.17</c:v>
                </c:pt>
                <c:pt idx="13">
                  <c:v>62.51</c:v>
                </c:pt>
                <c:pt idx="14">
                  <c:v>61.56</c:v>
                </c:pt>
                <c:pt idx="15">
                  <c:v>59.71</c:v>
                </c:pt>
                <c:pt idx="16">
                  <c:v>61.23</c:v>
                </c:pt>
                <c:pt idx="17">
                  <c:v>58.67</c:v>
                </c:pt>
                <c:pt idx="18">
                  <c:v>47.34</c:v>
                </c:pt>
                <c:pt idx="19">
                  <c:v>48</c:v>
                </c:pt>
                <c:pt idx="21">
                  <c:v>46.24</c:v>
                </c:pt>
                <c:pt idx="22">
                  <c:v>47.41</c:v>
                </c:pt>
                <c:pt idx="23">
                  <c:v>41.83</c:v>
                </c:pt>
                <c:pt idx="24">
                  <c:v>28.45</c:v>
                </c:pt>
                <c:pt idx="25">
                  <c:v>31.89</c:v>
                </c:pt>
                <c:pt idx="26">
                  <c:v>35.04</c:v>
                </c:pt>
                <c:pt idx="27">
                  <c:v>42.2</c:v>
                </c:pt>
                <c:pt idx="28">
                  <c:v>38.869999999999997</c:v>
                </c:pt>
                <c:pt idx="29">
                  <c:v>35.909999999999997</c:v>
                </c:pt>
                <c:pt idx="30">
                  <c:v>31.43</c:v>
                </c:pt>
                <c:pt idx="31">
                  <c:v>35.409999999999997</c:v>
                </c:pt>
                <c:pt idx="32">
                  <c:v>37.479999999999997</c:v>
                </c:pt>
                <c:pt idx="33">
                  <c:v>40.04</c:v>
                </c:pt>
                <c:pt idx="34">
                  <c:v>38.74</c:v>
                </c:pt>
                <c:pt idx="35">
                  <c:v>34.54</c:v>
                </c:pt>
                <c:pt idx="36">
                  <c:v>35.49</c:v>
                </c:pt>
                <c:pt idx="37">
                  <c:v>43.44</c:v>
                </c:pt>
                <c:pt idx="38">
                  <c:v>44.6</c:v>
                </c:pt>
                <c:pt idx="39">
                  <c:v>46.6</c:v>
                </c:pt>
                <c:pt idx="40">
                  <c:v>44.07</c:v>
                </c:pt>
                <c:pt idx="41">
                  <c:v>48.61</c:v>
                </c:pt>
                <c:pt idx="42">
                  <c:v>59.04</c:v>
                </c:pt>
                <c:pt idx="43">
                  <c:v>57.9</c:v>
                </c:pt>
                <c:pt idx="44">
                  <c:v>69.599999999999994</c:v>
                </c:pt>
                <c:pt idx="45">
                  <c:v>66.39</c:v>
                </c:pt>
                <c:pt idx="46">
                  <c:v>65.55</c:v>
                </c:pt>
                <c:pt idx="47">
                  <c:v>63.42</c:v>
                </c:pt>
                <c:pt idx="48">
                  <c:v>68.349999999999994</c:v>
                </c:pt>
                <c:pt idx="49">
                  <c:v>64.34</c:v>
                </c:pt>
                <c:pt idx="50">
                  <c:v>74.06</c:v>
                </c:pt>
                <c:pt idx="51">
                  <c:v>72.64</c:v>
                </c:pt>
                <c:pt idx="52">
                  <c:v>70.44</c:v>
                </c:pt>
                <c:pt idx="53">
                  <c:v>70.599999999999994</c:v>
                </c:pt>
                <c:pt idx="54">
                  <c:v>69.09</c:v>
                </c:pt>
                <c:pt idx="55">
                  <c:v>66.62</c:v>
                </c:pt>
                <c:pt idx="56">
                  <c:v>74.81</c:v>
                </c:pt>
                <c:pt idx="57">
                  <c:v>73.459999999999994</c:v>
                </c:pt>
                <c:pt idx="58">
                  <c:v>73.16</c:v>
                </c:pt>
                <c:pt idx="59">
                  <c:v>72.44</c:v>
                </c:pt>
                <c:pt idx="60">
                  <c:v>64.2</c:v>
                </c:pt>
                <c:pt idx="61">
                  <c:v>68.209999999999994</c:v>
                </c:pt>
                <c:pt idx="62">
                  <c:v>67.38</c:v>
                </c:pt>
                <c:pt idx="63">
                  <c:v>64.680000000000007</c:v>
                </c:pt>
                <c:pt idx="64">
                  <c:v>60.13</c:v>
                </c:pt>
                <c:pt idx="65">
                  <c:v>61.61</c:v>
                </c:pt>
                <c:pt idx="66">
                  <c:v>57.64</c:v>
                </c:pt>
                <c:pt idx="67">
                  <c:v>60.76</c:v>
                </c:pt>
                <c:pt idx="68">
                  <c:v>59.25</c:v>
                </c:pt>
                <c:pt idx="69">
                  <c:v>58.9</c:v>
                </c:pt>
                <c:pt idx="70">
                  <c:v>62.87</c:v>
                </c:pt>
                <c:pt idx="71">
                  <c:v>65.62</c:v>
                </c:pt>
                <c:pt idx="72">
                  <c:v>60.31</c:v>
                </c:pt>
                <c:pt idx="74">
                  <c:v>72.75</c:v>
                </c:pt>
                <c:pt idx="75">
                  <c:v>70.89</c:v>
                </c:pt>
                <c:pt idx="76">
                  <c:v>68.19</c:v>
                </c:pt>
                <c:pt idx="77">
                  <c:v>67.709999999999994</c:v>
                </c:pt>
                <c:pt idx="78">
                  <c:v>66.17</c:v>
                </c:pt>
                <c:pt idx="79">
                  <c:v>63.82</c:v>
                </c:pt>
                <c:pt idx="80">
                  <c:v>60.17</c:v>
                </c:pt>
                <c:pt idx="81">
                  <c:v>57.45</c:v>
                </c:pt>
                <c:pt idx="82">
                  <c:v>68.48</c:v>
                </c:pt>
                <c:pt idx="83">
                  <c:v>63.9</c:v>
                </c:pt>
                <c:pt idx="84">
                  <c:v>59.15</c:v>
                </c:pt>
                <c:pt idx="85">
                  <c:v>49.76</c:v>
                </c:pt>
                <c:pt idx="86">
                  <c:v>55.11</c:v>
                </c:pt>
                <c:pt idx="87">
                  <c:v>57.08</c:v>
                </c:pt>
                <c:pt idx="88">
                  <c:v>58.55</c:v>
                </c:pt>
                <c:pt idx="89">
                  <c:v>59.77</c:v>
                </c:pt>
                <c:pt idx="90">
                  <c:v>58.36</c:v>
                </c:pt>
                <c:pt idx="91">
                  <c:v>58.58</c:v>
                </c:pt>
                <c:pt idx="92">
                  <c:v>55.41</c:v>
                </c:pt>
                <c:pt idx="93">
                  <c:v>51.57</c:v>
                </c:pt>
                <c:pt idx="94">
                  <c:v>48.46</c:v>
                </c:pt>
                <c:pt idx="95">
                  <c:v>57.05</c:v>
                </c:pt>
                <c:pt idx="96">
                  <c:v>60.72</c:v>
                </c:pt>
                <c:pt idx="97">
                  <c:v>60.08</c:v>
                </c:pt>
                <c:pt idx="98">
                  <c:v>63.92</c:v>
                </c:pt>
                <c:pt idx="99">
                  <c:v>59.91</c:v>
                </c:pt>
                <c:pt idx="100">
                  <c:v>51.51</c:v>
                </c:pt>
                <c:pt idx="101">
                  <c:v>55.9</c:v>
                </c:pt>
                <c:pt idx="102">
                  <c:v>56.65</c:v>
                </c:pt>
                <c:pt idx="103">
                  <c:v>58.3</c:v>
                </c:pt>
                <c:pt idx="104">
                  <c:v>56.09</c:v>
                </c:pt>
                <c:pt idx="105">
                  <c:v>51.79</c:v>
                </c:pt>
                <c:pt idx="106">
                  <c:v>47.44</c:v>
                </c:pt>
                <c:pt idx="107">
                  <c:v>55.35</c:v>
                </c:pt>
                <c:pt idx="109">
                  <c:v>52.44</c:v>
                </c:pt>
                <c:pt idx="110">
                  <c:v>49.41</c:v>
                </c:pt>
                <c:pt idx="111">
                  <c:v>41.91</c:v>
                </c:pt>
                <c:pt idx="112">
                  <c:v>40.33</c:v>
                </c:pt>
                <c:pt idx="113">
                  <c:v>31.96</c:v>
                </c:pt>
                <c:pt idx="114">
                  <c:v>39.08</c:v>
                </c:pt>
                <c:pt idx="115">
                  <c:v>36.47</c:v>
                </c:pt>
                <c:pt idx="116">
                  <c:v>38.53</c:v>
                </c:pt>
                <c:pt idx="117">
                  <c:v>43.6</c:v>
                </c:pt>
                <c:pt idx="118">
                  <c:v>43.55</c:v>
                </c:pt>
                <c:pt idx="119">
                  <c:v>53.26</c:v>
                </c:pt>
                <c:pt idx="120">
                  <c:v>52.65</c:v>
                </c:pt>
                <c:pt idx="121">
                  <c:v>52.49</c:v>
                </c:pt>
                <c:pt idx="122">
                  <c:v>49.13</c:v>
                </c:pt>
                <c:pt idx="123">
                  <c:v>46.12</c:v>
                </c:pt>
                <c:pt idx="124">
                  <c:v>48.31</c:v>
                </c:pt>
                <c:pt idx="125">
                  <c:v>46.01</c:v>
                </c:pt>
                <c:pt idx="126">
                  <c:v>52.6</c:v>
                </c:pt>
                <c:pt idx="127">
                  <c:v>55.32</c:v>
                </c:pt>
                <c:pt idx="128">
                  <c:v>54.08</c:v>
                </c:pt>
                <c:pt idx="129">
                  <c:v>55.58</c:v>
                </c:pt>
                <c:pt idx="130">
                  <c:v>54.38</c:v>
                </c:pt>
                <c:pt idx="131">
                  <c:v>58.47</c:v>
                </c:pt>
                <c:pt idx="132">
                  <c:v>56.03</c:v>
                </c:pt>
                <c:pt idx="133">
                  <c:v>55.68</c:v>
                </c:pt>
                <c:pt idx="134">
                  <c:v>50.17</c:v>
                </c:pt>
                <c:pt idx="135">
                  <c:v>57.1</c:v>
                </c:pt>
                <c:pt idx="136">
                  <c:v>53.02</c:v>
                </c:pt>
                <c:pt idx="137">
                  <c:v>46.84</c:v>
                </c:pt>
                <c:pt idx="138">
                  <c:v>46.37</c:v>
                </c:pt>
                <c:pt idx="139">
                  <c:v>49.53</c:v>
                </c:pt>
                <c:pt idx="140">
                  <c:v>51.63</c:v>
                </c:pt>
                <c:pt idx="141">
                  <c:v>45.69</c:v>
                </c:pt>
                <c:pt idx="142">
                  <c:v>39.67</c:v>
                </c:pt>
                <c:pt idx="143">
                  <c:v>51.11</c:v>
                </c:pt>
                <c:pt idx="144">
                  <c:v>62.46</c:v>
                </c:pt>
                <c:pt idx="145">
                  <c:v>57.33</c:v>
                </c:pt>
                <c:pt idx="146">
                  <c:v>62.54</c:v>
                </c:pt>
                <c:pt idx="147">
                  <c:v>59.76</c:v>
                </c:pt>
                <c:pt idx="148">
                  <c:v>58.94</c:v>
                </c:pt>
                <c:pt idx="149">
                  <c:v>57.4</c:v>
                </c:pt>
                <c:pt idx="150">
                  <c:v>59.63</c:v>
                </c:pt>
                <c:pt idx="151">
                  <c:v>55.18</c:v>
                </c:pt>
                <c:pt idx="152">
                  <c:v>53.28</c:v>
                </c:pt>
                <c:pt idx="153">
                  <c:v>47.25</c:v>
                </c:pt>
                <c:pt idx="154">
                  <c:v>51.96</c:v>
                </c:pt>
                <c:pt idx="155">
                  <c:v>55.94</c:v>
                </c:pt>
                <c:pt idx="156">
                  <c:v>55.78</c:v>
                </c:pt>
                <c:pt idx="157">
                  <c:v>56.34</c:v>
                </c:pt>
                <c:pt idx="158">
                  <c:v>55.04</c:v>
                </c:pt>
                <c:pt idx="159">
                  <c:v>48.85</c:v>
                </c:pt>
                <c:pt idx="160">
                  <c:v>51.68</c:v>
                </c:pt>
                <c:pt idx="161">
                  <c:v>53.56</c:v>
                </c:pt>
                <c:pt idx="162">
                  <c:v>50.98</c:v>
                </c:pt>
                <c:pt idx="163">
                  <c:v>56.01</c:v>
                </c:pt>
                <c:pt idx="164">
                  <c:v>50.68</c:v>
                </c:pt>
                <c:pt idx="165">
                  <c:v>46</c:v>
                </c:pt>
                <c:pt idx="166">
                  <c:v>50.05</c:v>
                </c:pt>
                <c:pt idx="167">
                  <c:v>48.65</c:v>
                </c:pt>
                <c:pt idx="168">
                  <c:v>50.83</c:v>
                </c:pt>
                <c:pt idx="169">
                  <c:v>43.77</c:v>
                </c:pt>
                <c:pt idx="170">
                  <c:v>46.56</c:v>
                </c:pt>
                <c:pt idx="172">
                  <c:v>52.49</c:v>
                </c:pt>
                <c:pt idx="173">
                  <c:v>59.32</c:v>
                </c:pt>
                <c:pt idx="174">
                  <c:v>58.36</c:v>
                </c:pt>
                <c:pt idx="175">
                  <c:v>58.46</c:v>
                </c:pt>
                <c:pt idx="176">
                  <c:v>52.89</c:v>
                </c:pt>
                <c:pt idx="177">
                  <c:v>60.24</c:v>
                </c:pt>
                <c:pt idx="178">
                  <c:v>49.83</c:v>
                </c:pt>
                <c:pt idx="179">
                  <c:v>52.64</c:v>
                </c:pt>
                <c:pt idx="180">
                  <c:v>53.36</c:v>
                </c:pt>
                <c:pt idx="181">
                  <c:v>51.92</c:v>
                </c:pt>
                <c:pt idx="182">
                  <c:v>49.3</c:v>
                </c:pt>
                <c:pt idx="183">
                  <c:v>52.39</c:v>
                </c:pt>
                <c:pt idx="184">
                  <c:v>59.13</c:v>
                </c:pt>
                <c:pt idx="185">
                  <c:v>56.92</c:v>
                </c:pt>
                <c:pt idx="186">
                  <c:v>50.2</c:v>
                </c:pt>
                <c:pt idx="187">
                  <c:v>52.59</c:v>
                </c:pt>
                <c:pt idx="188">
                  <c:v>52.07</c:v>
                </c:pt>
                <c:pt idx="189">
                  <c:v>53.06</c:v>
                </c:pt>
                <c:pt idx="190">
                  <c:v>52.61</c:v>
                </c:pt>
                <c:pt idx="191">
                  <c:v>53.86</c:v>
                </c:pt>
                <c:pt idx="192">
                  <c:v>48.8</c:v>
                </c:pt>
                <c:pt idx="193">
                  <c:v>58.62</c:v>
                </c:pt>
                <c:pt idx="194">
                  <c:v>58.59</c:v>
                </c:pt>
                <c:pt idx="195">
                  <c:v>62.15</c:v>
                </c:pt>
                <c:pt idx="196">
                  <c:v>71.650000000000006</c:v>
                </c:pt>
                <c:pt idx="197">
                  <c:v>74.540000000000006</c:v>
                </c:pt>
                <c:pt idx="198">
                  <c:v>71.12</c:v>
                </c:pt>
                <c:pt idx="199">
                  <c:v>72.67</c:v>
                </c:pt>
                <c:pt idx="200">
                  <c:v>65.36</c:v>
                </c:pt>
                <c:pt idx="201">
                  <c:v>64.180000000000007</c:v>
                </c:pt>
                <c:pt idx="202">
                  <c:v>69.03</c:v>
                </c:pt>
                <c:pt idx="203">
                  <c:v>71.16</c:v>
                </c:pt>
                <c:pt idx="204">
                  <c:v>67.34</c:v>
                </c:pt>
                <c:pt idx="205">
                  <c:v>65.739999999999995</c:v>
                </c:pt>
                <c:pt idx="206">
                  <c:v>72.83</c:v>
                </c:pt>
                <c:pt idx="207">
                  <c:v>70.72</c:v>
                </c:pt>
                <c:pt idx="208">
                  <c:v>74.28</c:v>
                </c:pt>
                <c:pt idx="209">
                  <c:v>72.27</c:v>
                </c:pt>
                <c:pt idx="210">
                  <c:v>69.52</c:v>
                </c:pt>
                <c:pt idx="211">
                  <c:v>69.77</c:v>
                </c:pt>
                <c:pt idx="213">
                  <c:v>72.89</c:v>
                </c:pt>
                <c:pt idx="214">
                  <c:v>69.86</c:v>
                </c:pt>
                <c:pt idx="215">
                  <c:v>69.48</c:v>
                </c:pt>
                <c:pt idx="216">
                  <c:v>68.27</c:v>
                </c:pt>
                <c:pt idx="217">
                  <c:v>66.44</c:v>
                </c:pt>
                <c:pt idx="218">
                  <c:v>62.44</c:v>
                </c:pt>
                <c:pt idx="219">
                  <c:v>57.35</c:v>
                </c:pt>
                <c:pt idx="220">
                  <c:v>63.95</c:v>
                </c:pt>
                <c:pt idx="221">
                  <c:v>59.94</c:v>
                </c:pt>
                <c:pt idx="222">
                  <c:v>54.05</c:v>
                </c:pt>
                <c:pt idx="224">
                  <c:v>53.36</c:v>
                </c:pt>
                <c:pt idx="225">
                  <c:v>54.98</c:v>
                </c:pt>
                <c:pt idx="226">
                  <c:v>60.36</c:v>
                </c:pt>
                <c:pt idx="227">
                  <c:v>56.8</c:v>
                </c:pt>
                <c:pt idx="228">
                  <c:v>63.33</c:v>
                </c:pt>
                <c:pt idx="229">
                  <c:v>65.53</c:v>
                </c:pt>
                <c:pt idx="230">
                  <c:v>65.319999999999993</c:v>
                </c:pt>
                <c:pt idx="231">
                  <c:v>68.75</c:v>
                </c:pt>
                <c:pt idx="232">
                  <c:v>69.45</c:v>
                </c:pt>
                <c:pt idx="233">
                  <c:v>66.510000000000005</c:v>
                </c:pt>
                <c:pt idx="234">
                  <c:v>67</c:v>
                </c:pt>
                <c:pt idx="235">
                  <c:v>66.819999999999993</c:v>
                </c:pt>
                <c:pt idx="236">
                  <c:v>64.28</c:v>
                </c:pt>
                <c:pt idx="237">
                  <c:v>65.040000000000006</c:v>
                </c:pt>
                <c:pt idx="238">
                  <c:v>64.84</c:v>
                </c:pt>
                <c:pt idx="239">
                  <c:v>64.58</c:v>
                </c:pt>
                <c:pt idx="240">
                  <c:v>67.11</c:v>
                </c:pt>
                <c:pt idx="242">
                  <c:v>62.33</c:v>
                </c:pt>
                <c:pt idx="243">
                  <c:v>63.93</c:v>
                </c:pt>
                <c:pt idx="244">
                  <c:v>64.03</c:v>
                </c:pt>
                <c:pt idx="245">
                  <c:v>72.510000000000005</c:v>
                </c:pt>
                <c:pt idx="246">
                  <c:v>74.47</c:v>
                </c:pt>
                <c:pt idx="247">
                  <c:v>73.849999999999994</c:v>
                </c:pt>
                <c:pt idx="248">
                  <c:v>71.75</c:v>
                </c:pt>
                <c:pt idx="249">
                  <c:v>69.569999999999993</c:v>
                </c:pt>
                <c:pt idx="250">
                  <c:v>71.819999999999993</c:v>
                </c:pt>
                <c:pt idx="251">
                  <c:v>70.540000000000006</c:v>
                </c:pt>
                <c:pt idx="252">
                  <c:v>64.09</c:v>
                </c:pt>
                <c:pt idx="253">
                  <c:v>63.9</c:v>
                </c:pt>
                <c:pt idx="254">
                  <c:v>60.6</c:v>
                </c:pt>
                <c:pt idx="255">
                  <c:v>59.33</c:v>
                </c:pt>
                <c:pt idx="256">
                  <c:v>62.58</c:v>
                </c:pt>
                <c:pt idx="257">
                  <c:v>62.46</c:v>
                </c:pt>
                <c:pt idx="258">
                  <c:v>58.52</c:v>
                </c:pt>
                <c:pt idx="259">
                  <c:v>56.76</c:v>
                </c:pt>
                <c:pt idx="260">
                  <c:v>55.07</c:v>
                </c:pt>
                <c:pt idx="261">
                  <c:v>53.57</c:v>
                </c:pt>
                <c:pt idx="262">
                  <c:v>52.82</c:v>
                </c:pt>
                <c:pt idx="263">
                  <c:v>52.84</c:v>
                </c:pt>
                <c:pt idx="264">
                  <c:v>48.09</c:v>
                </c:pt>
                <c:pt idx="265">
                  <c:v>45.27</c:v>
                </c:pt>
                <c:pt idx="266">
                  <c:v>41.19</c:v>
                </c:pt>
                <c:pt idx="268">
                  <c:v>45.31</c:v>
                </c:pt>
                <c:pt idx="269">
                  <c:v>44.05</c:v>
                </c:pt>
                <c:pt idx="270">
                  <c:v>46.57</c:v>
                </c:pt>
                <c:pt idx="271">
                  <c:v>47.49</c:v>
                </c:pt>
                <c:pt idx="272">
                  <c:v>45.41</c:v>
                </c:pt>
                <c:pt idx="273">
                  <c:v>41.85</c:v>
                </c:pt>
                <c:pt idx="274">
                  <c:v>46.03</c:v>
                </c:pt>
                <c:pt idx="275">
                  <c:v>23.58</c:v>
                </c:pt>
                <c:pt idx="276">
                  <c:v>24.47</c:v>
                </c:pt>
                <c:pt idx="277">
                  <c:v>24.97</c:v>
                </c:pt>
                <c:pt idx="278">
                  <c:v>34.19</c:v>
                </c:pt>
                <c:pt idx="279">
                  <c:v>49.7</c:v>
                </c:pt>
                <c:pt idx="280">
                  <c:v>45.77</c:v>
                </c:pt>
                <c:pt idx="281">
                  <c:v>43.31</c:v>
                </c:pt>
                <c:pt idx="282">
                  <c:v>40.18</c:v>
                </c:pt>
                <c:pt idx="283">
                  <c:v>47.42</c:v>
                </c:pt>
                <c:pt idx="284">
                  <c:v>49.57</c:v>
                </c:pt>
                <c:pt idx="285">
                  <c:v>52.33</c:v>
                </c:pt>
                <c:pt idx="286">
                  <c:v>51.77</c:v>
                </c:pt>
                <c:pt idx="287">
                  <c:v>45.72</c:v>
                </c:pt>
                <c:pt idx="288">
                  <c:v>47.65</c:v>
                </c:pt>
                <c:pt idx="289">
                  <c:v>49.48</c:v>
                </c:pt>
                <c:pt idx="290">
                  <c:v>44.29</c:v>
                </c:pt>
                <c:pt idx="291">
                  <c:v>47.01</c:v>
                </c:pt>
                <c:pt idx="292">
                  <c:v>41.3</c:v>
                </c:pt>
                <c:pt idx="293">
                  <c:v>32.53</c:v>
                </c:pt>
                <c:pt idx="294">
                  <c:v>35.299999999999997</c:v>
                </c:pt>
                <c:pt idx="295">
                  <c:v>35.32</c:v>
                </c:pt>
                <c:pt idx="296">
                  <c:v>39.79</c:v>
                </c:pt>
                <c:pt idx="297">
                  <c:v>45.28</c:v>
                </c:pt>
                <c:pt idx="298">
                  <c:v>39.56</c:v>
                </c:pt>
                <c:pt idx="299">
                  <c:v>42.63</c:v>
                </c:pt>
                <c:pt idx="300">
                  <c:v>34.03</c:v>
                </c:pt>
                <c:pt idx="301">
                  <c:v>41.27</c:v>
                </c:pt>
                <c:pt idx="302">
                  <c:v>48.33</c:v>
                </c:pt>
                <c:pt idx="303">
                  <c:v>39.39</c:v>
                </c:pt>
                <c:pt idx="304">
                  <c:v>41.11</c:v>
                </c:pt>
                <c:pt idx="305">
                  <c:v>40.700000000000003</c:v>
                </c:pt>
                <c:pt idx="306">
                  <c:v>37.200000000000003</c:v>
                </c:pt>
                <c:pt idx="307">
                  <c:v>39.1</c:v>
                </c:pt>
                <c:pt idx="308">
                  <c:v>51.07</c:v>
                </c:pt>
                <c:pt idx="309">
                  <c:v>55.85</c:v>
                </c:pt>
                <c:pt idx="310">
                  <c:v>55.25</c:v>
                </c:pt>
                <c:pt idx="312">
                  <c:v>50.44</c:v>
                </c:pt>
                <c:pt idx="313">
                  <c:v>52.08</c:v>
                </c:pt>
                <c:pt idx="314">
                  <c:v>51.47</c:v>
                </c:pt>
                <c:pt idx="315">
                  <c:v>55.45</c:v>
                </c:pt>
                <c:pt idx="316">
                  <c:v>55.27</c:v>
                </c:pt>
                <c:pt idx="317">
                  <c:v>50.53</c:v>
                </c:pt>
                <c:pt idx="318">
                  <c:v>52.24</c:v>
                </c:pt>
                <c:pt idx="319">
                  <c:v>49.86</c:v>
                </c:pt>
                <c:pt idx="320">
                  <c:v>49.48</c:v>
                </c:pt>
                <c:pt idx="321">
                  <c:v>49.34</c:v>
                </c:pt>
                <c:pt idx="322">
                  <c:v>54.17</c:v>
                </c:pt>
                <c:pt idx="323">
                  <c:v>57.95</c:v>
                </c:pt>
                <c:pt idx="324">
                  <c:v>53.19</c:v>
                </c:pt>
                <c:pt idx="325">
                  <c:v>54.95</c:v>
                </c:pt>
                <c:pt idx="326">
                  <c:v>58.47</c:v>
                </c:pt>
                <c:pt idx="327">
                  <c:v>66.61</c:v>
                </c:pt>
                <c:pt idx="328">
                  <c:v>69.459999999999994</c:v>
                </c:pt>
                <c:pt idx="329">
                  <c:v>66.290000000000006</c:v>
                </c:pt>
                <c:pt idx="330">
                  <c:v>67.81</c:v>
                </c:pt>
                <c:pt idx="332">
                  <c:v>60.63</c:v>
                </c:pt>
                <c:pt idx="333">
                  <c:v>58.11</c:v>
                </c:pt>
                <c:pt idx="334">
                  <c:v>52.47</c:v>
                </c:pt>
                <c:pt idx="335">
                  <c:v>49.18</c:v>
                </c:pt>
                <c:pt idx="336">
                  <c:v>42.32</c:v>
                </c:pt>
                <c:pt idx="337">
                  <c:v>34.25</c:v>
                </c:pt>
                <c:pt idx="339">
                  <c:v>39.18</c:v>
                </c:pt>
                <c:pt idx="340">
                  <c:v>36.200000000000003</c:v>
                </c:pt>
                <c:pt idx="341">
                  <c:v>36.619999999999997</c:v>
                </c:pt>
                <c:pt idx="342">
                  <c:v>37.51</c:v>
                </c:pt>
                <c:pt idx="343">
                  <c:v>29.72</c:v>
                </c:pt>
                <c:pt idx="344">
                  <c:v>30.88</c:v>
                </c:pt>
                <c:pt idx="345">
                  <c:v>31.27</c:v>
                </c:pt>
                <c:pt idx="346">
                  <c:v>34.71</c:v>
                </c:pt>
                <c:pt idx="347">
                  <c:v>37.57</c:v>
                </c:pt>
                <c:pt idx="348">
                  <c:v>37.090000000000003</c:v>
                </c:pt>
                <c:pt idx="349">
                  <c:v>32.020000000000003</c:v>
                </c:pt>
                <c:pt idx="350">
                  <c:v>33.72</c:v>
                </c:pt>
                <c:pt idx="351">
                  <c:v>25.61</c:v>
                </c:pt>
                <c:pt idx="352">
                  <c:v>25.93</c:v>
                </c:pt>
                <c:pt idx="353">
                  <c:v>35.299999999999997</c:v>
                </c:pt>
                <c:pt idx="354">
                  <c:v>39.659999999999997</c:v>
                </c:pt>
                <c:pt idx="355">
                  <c:v>38.99</c:v>
                </c:pt>
                <c:pt idx="356">
                  <c:v>40.229999999999997</c:v>
                </c:pt>
                <c:pt idx="357">
                  <c:v>43.39</c:v>
                </c:pt>
                <c:pt idx="358">
                  <c:v>44.55</c:v>
                </c:pt>
                <c:pt idx="359">
                  <c:v>45.77</c:v>
                </c:pt>
                <c:pt idx="360">
                  <c:v>50.34</c:v>
                </c:pt>
                <c:pt idx="361">
                  <c:v>51.76</c:v>
                </c:pt>
                <c:pt idx="362">
                  <c:v>59.19</c:v>
                </c:pt>
                <c:pt idx="363">
                  <c:v>57.15</c:v>
                </c:pt>
                <c:pt idx="364">
                  <c:v>61.29</c:v>
                </c:pt>
                <c:pt idx="365">
                  <c:v>66.58</c:v>
                </c:pt>
                <c:pt idx="367">
                  <c:v>64.400000000000006</c:v>
                </c:pt>
                <c:pt idx="368">
                  <c:v>67.06</c:v>
                </c:pt>
                <c:pt idx="369">
                  <c:v>66.650000000000006</c:v>
                </c:pt>
                <c:pt idx="370">
                  <c:v>64.5</c:v>
                </c:pt>
                <c:pt idx="371">
                  <c:v>59.12</c:v>
                </c:pt>
                <c:pt idx="372">
                  <c:v>53.29</c:v>
                </c:pt>
                <c:pt idx="373">
                  <c:v>52.75</c:v>
                </c:pt>
                <c:pt idx="374">
                  <c:v>53.21</c:v>
                </c:pt>
                <c:pt idx="375">
                  <c:v>53.89</c:v>
                </c:pt>
                <c:pt idx="376">
                  <c:v>56.57</c:v>
                </c:pt>
                <c:pt idx="377">
                  <c:v>66.349999999999994</c:v>
                </c:pt>
                <c:pt idx="378">
                  <c:v>65.66</c:v>
                </c:pt>
                <c:pt idx="379">
                  <c:v>71.209999999999994</c:v>
                </c:pt>
                <c:pt idx="380">
                  <c:v>69.040000000000006</c:v>
                </c:pt>
                <c:pt idx="381">
                  <c:v>65.739999999999995</c:v>
                </c:pt>
                <c:pt idx="382">
                  <c:v>69.61</c:v>
                </c:pt>
                <c:pt idx="383">
                  <c:v>53.72</c:v>
                </c:pt>
                <c:pt idx="384">
                  <c:v>41.86</c:v>
                </c:pt>
                <c:pt idx="385">
                  <c:v>42.54</c:v>
                </c:pt>
                <c:pt idx="386">
                  <c:v>41.48</c:v>
                </c:pt>
                <c:pt idx="387">
                  <c:v>48.68</c:v>
                </c:pt>
                <c:pt idx="388">
                  <c:v>49.87</c:v>
                </c:pt>
                <c:pt idx="389">
                  <c:v>50.77</c:v>
                </c:pt>
                <c:pt idx="390">
                  <c:v>48.87</c:v>
                </c:pt>
                <c:pt idx="391">
                  <c:v>50.5</c:v>
                </c:pt>
                <c:pt idx="392">
                  <c:v>54.94</c:v>
                </c:pt>
                <c:pt idx="393">
                  <c:v>56.91</c:v>
                </c:pt>
                <c:pt idx="394">
                  <c:v>66.209999999999994</c:v>
                </c:pt>
                <c:pt idx="395">
                  <c:v>69.28</c:v>
                </c:pt>
                <c:pt idx="396">
                  <c:v>68.099999999999994</c:v>
                </c:pt>
                <c:pt idx="397">
                  <c:v>70.48</c:v>
                </c:pt>
                <c:pt idx="398">
                  <c:v>67.67</c:v>
                </c:pt>
                <c:pt idx="399">
                  <c:v>74.239999999999995</c:v>
                </c:pt>
                <c:pt idx="400">
                  <c:v>72.3</c:v>
                </c:pt>
                <c:pt idx="401">
                  <c:v>65.19</c:v>
                </c:pt>
                <c:pt idx="402">
                  <c:v>70</c:v>
                </c:pt>
                <c:pt idx="403">
                  <c:v>65.97</c:v>
                </c:pt>
                <c:pt idx="404">
                  <c:v>64.89</c:v>
                </c:pt>
                <c:pt idx="405">
                  <c:v>67.069999999999993</c:v>
                </c:pt>
                <c:pt idx="406">
                  <c:v>63.85</c:v>
                </c:pt>
                <c:pt idx="407">
                  <c:v>68.41</c:v>
                </c:pt>
                <c:pt idx="408">
                  <c:v>70.099999999999994</c:v>
                </c:pt>
                <c:pt idx="409">
                  <c:v>69.900000000000006</c:v>
                </c:pt>
                <c:pt idx="410">
                  <c:v>68.25</c:v>
                </c:pt>
                <c:pt idx="411">
                  <c:v>67.739999999999995</c:v>
                </c:pt>
                <c:pt idx="412">
                  <c:v>65.930000000000007</c:v>
                </c:pt>
                <c:pt idx="413">
                  <c:v>69.319999999999993</c:v>
                </c:pt>
                <c:pt idx="414">
                  <c:v>66.91</c:v>
                </c:pt>
                <c:pt idx="415">
                  <c:v>65.72</c:v>
                </c:pt>
                <c:pt idx="416">
                  <c:v>70.55</c:v>
                </c:pt>
                <c:pt idx="417">
                  <c:v>64.739999999999995</c:v>
                </c:pt>
                <c:pt idx="418">
                  <c:v>65.319999999999993</c:v>
                </c:pt>
                <c:pt idx="419">
                  <c:v>63.33</c:v>
                </c:pt>
                <c:pt idx="420">
                  <c:v>61.41</c:v>
                </c:pt>
                <c:pt idx="421">
                  <c:v>57.36</c:v>
                </c:pt>
                <c:pt idx="422">
                  <c:v>53.97</c:v>
                </c:pt>
                <c:pt idx="423">
                  <c:v>53.16</c:v>
                </c:pt>
                <c:pt idx="424">
                  <c:v>52.43</c:v>
                </c:pt>
                <c:pt idx="425">
                  <c:v>45.43</c:v>
                </c:pt>
                <c:pt idx="426">
                  <c:v>49.99</c:v>
                </c:pt>
                <c:pt idx="427">
                  <c:v>56.08</c:v>
                </c:pt>
                <c:pt idx="428">
                  <c:v>55.64</c:v>
                </c:pt>
                <c:pt idx="430">
                  <c:v>70.040000000000006</c:v>
                </c:pt>
                <c:pt idx="431">
                  <c:v>66.16</c:v>
                </c:pt>
                <c:pt idx="432">
                  <c:v>63.26</c:v>
                </c:pt>
                <c:pt idx="433">
                  <c:v>63.59</c:v>
                </c:pt>
                <c:pt idx="434">
                  <c:v>63.36</c:v>
                </c:pt>
                <c:pt idx="435">
                  <c:v>64.040000000000006</c:v>
                </c:pt>
                <c:pt idx="436">
                  <c:v>60.42</c:v>
                </c:pt>
                <c:pt idx="437">
                  <c:v>61.13</c:v>
                </c:pt>
                <c:pt idx="438">
                  <c:v>58.96</c:v>
                </c:pt>
                <c:pt idx="439">
                  <c:v>60.38</c:v>
                </c:pt>
                <c:pt idx="440">
                  <c:v>58.33</c:v>
                </c:pt>
                <c:pt idx="441">
                  <c:v>58.99</c:v>
                </c:pt>
                <c:pt idx="442">
                  <c:v>54.47</c:v>
                </c:pt>
                <c:pt idx="443">
                  <c:v>53.02</c:v>
                </c:pt>
                <c:pt idx="444">
                  <c:v>49.19</c:v>
                </c:pt>
                <c:pt idx="445">
                  <c:v>51.07</c:v>
                </c:pt>
                <c:pt idx="446">
                  <c:v>51.01</c:v>
                </c:pt>
                <c:pt idx="447">
                  <c:v>42.63</c:v>
                </c:pt>
                <c:pt idx="448">
                  <c:v>44.1</c:v>
                </c:pt>
                <c:pt idx="449">
                  <c:v>39.299999999999997</c:v>
                </c:pt>
                <c:pt idx="450">
                  <c:v>44.52</c:v>
                </c:pt>
                <c:pt idx="451">
                  <c:v>52.98</c:v>
                </c:pt>
                <c:pt idx="452">
                  <c:v>62.44</c:v>
                </c:pt>
                <c:pt idx="453">
                  <c:v>58.32</c:v>
                </c:pt>
                <c:pt idx="454">
                  <c:v>57.18</c:v>
                </c:pt>
                <c:pt idx="455">
                  <c:v>58.06</c:v>
                </c:pt>
                <c:pt idx="456">
                  <c:v>51.38</c:v>
                </c:pt>
                <c:pt idx="457">
                  <c:v>47.77</c:v>
                </c:pt>
                <c:pt idx="458">
                  <c:v>58.88</c:v>
                </c:pt>
                <c:pt idx="459">
                  <c:v>60.02</c:v>
                </c:pt>
                <c:pt idx="460">
                  <c:v>55.79</c:v>
                </c:pt>
                <c:pt idx="461">
                  <c:v>58.94</c:v>
                </c:pt>
                <c:pt idx="462">
                  <c:v>63.73</c:v>
                </c:pt>
                <c:pt idx="463">
                  <c:v>72.849999999999994</c:v>
                </c:pt>
                <c:pt idx="464">
                  <c:v>63.67</c:v>
                </c:pt>
                <c:pt idx="465">
                  <c:v>60.1</c:v>
                </c:pt>
                <c:pt idx="466">
                  <c:v>56.96</c:v>
                </c:pt>
                <c:pt idx="467">
                  <c:v>48.81</c:v>
                </c:pt>
                <c:pt idx="468">
                  <c:v>41.66</c:v>
                </c:pt>
                <c:pt idx="469">
                  <c:v>44.49</c:v>
                </c:pt>
                <c:pt idx="470">
                  <c:v>43.48</c:v>
                </c:pt>
                <c:pt idx="472">
                  <c:v>45.75</c:v>
                </c:pt>
                <c:pt idx="473">
                  <c:v>42.99</c:v>
                </c:pt>
                <c:pt idx="474">
                  <c:v>38.64</c:v>
                </c:pt>
                <c:pt idx="475">
                  <c:v>44.96</c:v>
                </c:pt>
                <c:pt idx="476">
                  <c:v>44.64</c:v>
                </c:pt>
                <c:pt idx="477">
                  <c:v>43.85</c:v>
                </c:pt>
                <c:pt idx="478">
                  <c:v>45.38</c:v>
                </c:pt>
                <c:pt idx="479">
                  <c:v>50.58</c:v>
                </c:pt>
                <c:pt idx="480">
                  <c:v>50.08</c:v>
                </c:pt>
                <c:pt idx="481">
                  <c:v>51.35</c:v>
                </c:pt>
                <c:pt idx="483">
                  <c:v>50.99</c:v>
                </c:pt>
                <c:pt idx="484">
                  <c:v>48.09</c:v>
                </c:pt>
                <c:pt idx="485">
                  <c:v>41.56</c:v>
                </c:pt>
                <c:pt idx="486">
                  <c:v>46.55</c:v>
                </c:pt>
                <c:pt idx="487">
                  <c:v>50.14</c:v>
                </c:pt>
                <c:pt idx="488">
                  <c:v>44.28</c:v>
                </c:pt>
                <c:pt idx="489">
                  <c:v>47.4</c:v>
                </c:pt>
                <c:pt idx="490">
                  <c:v>45.47</c:v>
                </c:pt>
                <c:pt idx="491">
                  <c:v>44.82</c:v>
                </c:pt>
                <c:pt idx="492">
                  <c:v>47.77</c:v>
                </c:pt>
                <c:pt idx="493">
                  <c:v>41.78</c:v>
                </c:pt>
                <c:pt idx="494">
                  <c:v>42.89</c:v>
                </c:pt>
                <c:pt idx="495">
                  <c:v>49</c:v>
                </c:pt>
                <c:pt idx="496">
                  <c:v>41.41</c:v>
                </c:pt>
                <c:pt idx="497">
                  <c:v>36.49</c:v>
                </c:pt>
                <c:pt idx="498">
                  <c:v>43.62</c:v>
                </c:pt>
                <c:pt idx="500">
                  <c:v>51.84</c:v>
                </c:pt>
                <c:pt idx="501">
                  <c:v>48.07</c:v>
                </c:pt>
                <c:pt idx="502">
                  <c:v>57.96</c:v>
                </c:pt>
                <c:pt idx="503">
                  <c:v>57.13</c:v>
                </c:pt>
                <c:pt idx="504">
                  <c:v>60.14</c:v>
                </c:pt>
                <c:pt idx="505">
                  <c:v>58.97</c:v>
                </c:pt>
                <c:pt idx="506">
                  <c:v>58.3</c:v>
                </c:pt>
                <c:pt idx="507">
                  <c:v>63.43</c:v>
                </c:pt>
                <c:pt idx="508">
                  <c:v>59.84</c:v>
                </c:pt>
                <c:pt idx="509">
                  <c:v>60.04</c:v>
                </c:pt>
                <c:pt idx="510">
                  <c:v>63.52</c:v>
                </c:pt>
                <c:pt idx="511">
                  <c:v>63.19</c:v>
                </c:pt>
                <c:pt idx="512">
                  <c:v>58.26</c:v>
                </c:pt>
                <c:pt idx="513">
                  <c:v>58.26</c:v>
                </c:pt>
                <c:pt idx="514">
                  <c:v>56.89</c:v>
                </c:pt>
                <c:pt idx="515">
                  <c:v>51.53</c:v>
                </c:pt>
                <c:pt idx="516">
                  <c:v>47.36</c:v>
                </c:pt>
                <c:pt idx="517">
                  <c:v>43.66</c:v>
                </c:pt>
                <c:pt idx="518">
                  <c:v>44.92</c:v>
                </c:pt>
                <c:pt idx="519">
                  <c:v>54.43</c:v>
                </c:pt>
                <c:pt idx="520">
                  <c:v>50.35</c:v>
                </c:pt>
                <c:pt idx="521">
                  <c:v>49.32</c:v>
                </c:pt>
                <c:pt idx="522">
                  <c:v>47.44</c:v>
                </c:pt>
                <c:pt idx="523">
                  <c:v>52.19</c:v>
                </c:pt>
                <c:pt idx="524">
                  <c:v>43.07</c:v>
                </c:pt>
                <c:pt idx="525">
                  <c:v>37.08</c:v>
                </c:pt>
                <c:pt idx="526">
                  <c:v>37.979999999999997</c:v>
                </c:pt>
                <c:pt idx="527">
                  <c:v>39.68</c:v>
                </c:pt>
                <c:pt idx="528">
                  <c:v>42.32</c:v>
                </c:pt>
                <c:pt idx="529">
                  <c:v>43.52</c:v>
                </c:pt>
                <c:pt idx="530">
                  <c:v>47.44</c:v>
                </c:pt>
                <c:pt idx="531">
                  <c:v>54.29</c:v>
                </c:pt>
                <c:pt idx="532">
                  <c:v>53.63</c:v>
                </c:pt>
                <c:pt idx="533">
                  <c:v>59.7</c:v>
                </c:pt>
                <c:pt idx="534">
                  <c:v>61.45</c:v>
                </c:pt>
                <c:pt idx="535">
                  <c:v>62.75</c:v>
                </c:pt>
                <c:pt idx="536">
                  <c:v>56.02</c:v>
                </c:pt>
                <c:pt idx="537">
                  <c:v>62.75</c:v>
                </c:pt>
                <c:pt idx="538">
                  <c:v>60.16</c:v>
                </c:pt>
                <c:pt idx="539">
                  <c:v>63.9</c:v>
                </c:pt>
                <c:pt idx="541">
                  <c:v>70.709999999999994</c:v>
                </c:pt>
                <c:pt idx="542">
                  <c:v>70.650000000000006</c:v>
                </c:pt>
                <c:pt idx="543">
                  <c:v>63.81</c:v>
                </c:pt>
                <c:pt idx="544">
                  <c:v>67.099999999999994</c:v>
                </c:pt>
                <c:pt idx="545">
                  <c:v>73.42</c:v>
                </c:pt>
                <c:pt idx="546">
                  <c:v>76.989999999999995</c:v>
                </c:pt>
                <c:pt idx="547">
                  <c:v>73.569999999999993</c:v>
                </c:pt>
                <c:pt idx="548">
                  <c:v>68.31</c:v>
                </c:pt>
                <c:pt idx="549">
                  <c:v>63.53</c:v>
                </c:pt>
                <c:pt idx="550">
                  <c:v>64.92</c:v>
                </c:pt>
                <c:pt idx="551">
                  <c:v>64.83</c:v>
                </c:pt>
                <c:pt idx="552">
                  <c:v>69.06</c:v>
                </c:pt>
                <c:pt idx="553">
                  <c:v>67.83</c:v>
                </c:pt>
                <c:pt idx="554">
                  <c:v>65.739999999999995</c:v>
                </c:pt>
                <c:pt idx="555">
                  <c:v>70.7</c:v>
                </c:pt>
                <c:pt idx="556">
                  <c:v>72.89</c:v>
                </c:pt>
                <c:pt idx="557">
                  <c:v>69.73</c:v>
                </c:pt>
                <c:pt idx="558">
                  <c:v>67.47</c:v>
                </c:pt>
                <c:pt idx="559">
                  <c:v>75.819999999999993</c:v>
                </c:pt>
                <c:pt idx="560">
                  <c:v>74.53</c:v>
                </c:pt>
                <c:pt idx="561">
                  <c:v>72.95</c:v>
                </c:pt>
                <c:pt idx="562">
                  <c:v>71.790000000000006</c:v>
                </c:pt>
                <c:pt idx="563">
                  <c:v>70.5</c:v>
                </c:pt>
                <c:pt idx="564">
                  <c:v>69.930000000000007</c:v>
                </c:pt>
                <c:pt idx="565">
                  <c:v>71.19</c:v>
                </c:pt>
                <c:pt idx="566">
                  <c:v>69.400000000000006</c:v>
                </c:pt>
                <c:pt idx="567">
                  <c:v>64.66</c:v>
                </c:pt>
                <c:pt idx="568">
                  <c:v>62.94</c:v>
                </c:pt>
                <c:pt idx="570">
                  <c:v>65.260000000000005</c:v>
                </c:pt>
                <c:pt idx="571">
                  <c:v>69.84</c:v>
                </c:pt>
                <c:pt idx="572">
                  <c:v>67.19</c:v>
                </c:pt>
                <c:pt idx="573">
                  <c:v>59.99</c:v>
                </c:pt>
                <c:pt idx="574">
                  <c:v>68.64</c:v>
                </c:pt>
                <c:pt idx="575">
                  <c:v>68.03</c:v>
                </c:pt>
                <c:pt idx="576">
                  <c:v>67.41</c:v>
                </c:pt>
                <c:pt idx="577">
                  <c:v>67.349999999999994</c:v>
                </c:pt>
                <c:pt idx="578">
                  <c:v>64.83</c:v>
                </c:pt>
                <c:pt idx="579">
                  <c:v>61.1</c:v>
                </c:pt>
                <c:pt idx="580">
                  <c:v>65.010000000000005</c:v>
                </c:pt>
                <c:pt idx="581">
                  <c:v>62.27</c:v>
                </c:pt>
                <c:pt idx="582">
                  <c:v>53.9</c:v>
                </c:pt>
                <c:pt idx="583">
                  <c:v>62.79</c:v>
                </c:pt>
                <c:pt idx="584">
                  <c:v>62.62</c:v>
                </c:pt>
                <c:pt idx="585">
                  <c:v>59.36</c:v>
                </c:pt>
                <c:pt idx="586">
                  <c:v>60.55</c:v>
                </c:pt>
                <c:pt idx="587">
                  <c:v>55.59</c:v>
                </c:pt>
                <c:pt idx="588">
                  <c:v>60.14</c:v>
                </c:pt>
                <c:pt idx="589">
                  <c:v>60.74</c:v>
                </c:pt>
                <c:pt idx="590">
                  <c:v>56.92</c:v>
                </c:pt>
                <c:pt idx="591">
                  <c:v>53.38</c:v>
                </c:pt>
                <c:pt idx="592">
                  <c:v>44.79</c:v>
                </c:pt>
                <c:pt idx="593">
                  <c:v>49.01</c:v>
                </c:pt>
                <c:pt idx="595">
                  <c:v>56.45</c:v>
                </c:pt>
                <c:pt idx="596">
                  <c:v>56.52</c:v>
                </c:pt>
                <c:pt idx="597">
                  <c:v>58.28</c:v>
                </c:pt>
                <c:pt idx="598">
                  <c:v>55.46</c:v>
                </c:pt>
                <c:pt idx="599">
                  <c:v>57.68</c:v>
                </c:pt>
                <c:pt idx="600">
                  <c:v>54.12</c:v>
                </c:pt>
                <c:pt idx="601">
                  <c:v>53.48</c:v>
                </c:pt>
                <c:pt idx="602">
                  <c:v>52.81</c:v>
                </c:pt>
                <c:pt idx="603">
                  <c:v>62.83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46-4C19-BD70-D3064950C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제조  </a:t>
            </a:r>
            <a:r>
              <a:rPr lang="en-US"/>
              <a:t>vs  </a:t>
            </a:r>
            <a:r>
              <a:rPr lang="ko-KR" altLang="en-US"/>
              <a:t>산업재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RSI'!$V$7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RSI'!$V$78:$V$3077</c:f>
              <c:numCache>
                <c:formatCode>0.00</c:formatCode>
                <c:ptCount val="3000"/>
                <c:pt idx="1">
                  <c:v>66.41</c:v>
                </c:pt>
                <c:pt idx="2">
                  <c:v>73.2</c:v>
                </c:pt>
                <c:pt idx="3">
                  <c:v>71.91</c:v>
                </c:pt>
                <c:pt idx="4">
                  <c:v>71.59</c:v>
                </c:pt>
                <c:pt idx="5">
                  <c:v>68.819999999999993</c:v>
                </c:pt>
                <c:pt idx="6">
                  <c:v>69.08</c:v>
                </c:pt>
                <c:pt idx="7">
                  <c:v>68.12</c:v>
                </c:pt>
                <c:pt idx="8">
                  <c:v>67.41</c:v>
                </c:pt>
                <c:pt idx="9">
                  <c:v>63.91</c:v>
                </c:pt>
                <c:pt idx="10">
                  <c:v>63.19</c:v>
                </c:pt>
                <c:pt idx="11">
                  <c:v>64.239999999999995</c:v>
                </c:pt>
                <c:pt idx="12">
                  <c:v>61.77</c:v>
                </c:pt>
                <c:pt idx="13">
                  <c:v>59.59</c:v>
                </c:pt>
                <c:pt idx="14">
                  <c:v>56.67</c:v>
                </c:pt>
                <c:pt idx="15">
                  <c:v>57.89</c:v>
                </c:pt>
                <c:pt idx="16">
                  <c:v>56.48</c:v>
                </c:pt>
                <c:pt idx="17">
                  <c:v>59.03</c:v>
                </c:pt>
                <c:pt idx="18">
                  <c:v>52.33</c:v>
                </c:pt>
                <c:pt idx="19">
                  <c:v>50.95</c:v>
                </c:pt>
                <c:pt idx="20">
                  <c:v>49.26</c:v>
                </c:pt>
                <c:pt idx="21">
                  <c:v>45.81</c:v>
                </c:pt>
                <c:pt idx="22">
                  <c:v>50.39</c:v>
                </c:pt>
                <c:pt idx="23">
                  <c:v>39.72</c:v>
                </c:pt>
                <c:pt idx="24">
                  <c:v>44.37</c:v>
                </c:pt>
                <c:pt idx="25">
                  <c:v>47.5</c:v>
                </c:pt>
                <c:pt idx="26">
                  <c:v>48.1</c:v>
                </c:pt>
                <c:pt idx="27">
                  <c:v>52.52</c:v>
                </c:pt>
                <c:pt idx="28">
                  <c:v>51.09</c:v>
                </c:pt>
                <c:pt idx="29">
                  <c:v>47.69</c:v>
                </c:pt>
                <c:pt idx="30">
                  <c:v>55.73</c:v>
                </c:pt>
                <c:pt idx="31">
                  <c:v>56.02</c:v>
                </c:pt>
                <c:pt idx="32">
                  <c:v>60.36</c:v>
                </c:pt>
                <c:pt idx="33">
                  <c:v>54.68</c:v>
                </c:pt>
                <c:pt idx="34">
                  <c:v>52.94</c:v>
                </c:pt>
                <c:pt idx="35">
                  <c:v>51.13</c:v>
                </c:pt>
                <c:pt idx="36">
                  <c:v>53.34</c:v>
                </c:pt>
                <c:pt idx="37">
                  <c:v>53.92</c:v>
                </c:pt>
                <c:pt idx="38">
                  <c:v>52.93</c:v>
                </c:pt>
                <c:pt idx="39">
                  <c:v>47.15</c:v>
                </c:pt>
                <c:pt idx="40">
                  <c:v>54.16</c:v>
                </c:pt>
                <c:pt idx="41">
                  <c:v>54.16</c:v>
                </c:pt>
                <c:pt idx="42">
                  <c:v>43.99</c:v>
                </c:pt>
                <c:pt idx="43">
                  <c:v>60.66</c:v>
                </c:pt>
                <c:pt idx="45">
                  <c:v>81.040000000000006</c:v>
                </c:pt>
                <c:pt idx="46">
                  <c:v>82.59</c:v>
                </c:pt>
                <c:pt idx="47">
                  <c:v>78.930000000000007</c:v>
                </c:pt>
                <c:pt idx="48">
                  <c:v>77.209999999999994</c:v>
                </c:pt>
                <c:pt idx="49">
                  <c:v>74.2</c:v>
                </c:pt>
                <c:pt idx="50">
                  <c:v>73.25</c:v>
                </c:pt>
                <c:pt idx="51">
                  <c:v>71</c:v>
                </c:pt>
                <c:pt idx="54">
                  <c:v>66.91</c:v>
                </c:pt>
                <c:pt idx="55">
                  <c:v>67.89</c:v>
                </c:pt>
                <c:pt idx="56">
                  <c:v>63.58</c:v>
                </c:pt>
                <c:pt idx="57">
                  <c:v>62.57</c:v>
                </c:pt>
                <c:pt idx="58">
                  <c:v>63.52</c:v>
                </c:pt>
                <c:pt idx="59">
                  <c:v>57.72</c:v>
                </c:pt>
                <c:pt idx="60">
                  <c:v>60.61</c:v>
                </c:pt>
                <c:pt idx="61">
                  <c:v>72.87</c:v>
                </c:pt>
                <c:pt idx="62">
                  <c:v>71.400000000000006</c:v>
                </c:pt>
                <c:pt idx="63">
                  <c:v>60.71</c:v>
                </c:pt>
                <c:pt idx="64">
                  <c:v>84.84</c:v>
                </c:pt>
                <c:pt idx="65">
                  <c:v>84.63</c:v>
                </c:pt>
                <c:pt idx="66">
                  <c:v>84.11</c:v>
                </c:pt>
                <c:pt idx="67">
                  <c:v>81.81</c:v>
                </c:pt>
                <c:pt idx="68">
                  <c:v>78.11</c:v>
                </c:pt>
                <c:pt idx="69">
                  <c:v>82.26</c:v>
                </c:pt>
                <c:pt idx="70">
                  <c:v>81.93</c:v>
                </c:pt>
                <c:pt idx="71">
                  <c:v>80.83</c:v>
                </c:pt>
                <c:pt idx="72">
                  <c:v>79.72</c:v>
                </c:pt>
                <c:pt idx="73">
                  <c:v>86.33</c:v>
                </c:pt>
                <c:pt idx="74">
                  <c:v>84.82</c:v>
                </c:pt>
                <c:pt idx="75">
                  <c:v>83.89</c:v>
                </c:pt>
                <c:pt idx="76">
                  <c:v>81.88</c:v>
                </c:pt>
                <c:pt idx="77">
                  <c:v>81.239999999999995</c:v>
                </c:pt>
                <c:pt idx="78">
                  <c:v>79.69</c:v>
                </c:pt>
                <c:pt idx="79">
                  <c:v>78.739999999999995</c:v>
                </c:pt>
                <c:pt idx="80">
                  <c:v>77.88</c:v>
                </c:pt>
                <c:pt idx="81">
                  <c:v>77.489999999999995</c:v>
                </c:pt>
                <c:pt idx="82">
                  <c:v>76.14</c:v>
                </c:pt>
                <c:pt idx="83">
                  <c:v>74.400000000000006</c:v>
                </c:pt>
                <c:pt idx="84">
                  <c:v>68.59</c:v>
                </c:pt>
                <c:pt idx="86">
                  <c:v>62.88</c:v>
                </c:pt>
                <c:pt idx="87">
                  <c:v>63.61</c:v>
                </c:pt>
                <c:pt idx="88">
                  <c:v>58.03</c:v>
                </c:pt>
                <c:pt idx="89">
                  <c:v>55.34</c:v>
                </c:pt>
                <c:pt idx="90">
                  <c:v>56.44</c:v>
                </c:pt>
                <c:pt idx="91">
                  <c:v>55.47</c:v>
                </c:pt>
                <c:pt idx="92">
                  <c:v>49.58</c:v>
                </c:pt>
                <c:pt idx="93">
                  <c:v>48.75</c:v>
                </c:pt>
                <c:pt idx="94">
                  <c:v>52.72</c:v>
                </c:pt>
                <c:pt idx="95">
                  <c:v>48.21</c:v>
                </c:pt>
                <c:pt idx="96">
                  <c:v>55</c:v>
                </c:pt>
                <c:pt idx="97">
                  <c:v>61.42</c:v>
                </c:pt>
                <c:pt idx="98">
                  <c:v>58.31</c:v>
                </c:pt>
                <c:pt idx="99">
                  <c:v>61.59</c:v>
                </c:pt>
                <c:pt idx="100">
                  <c:v>61.14</c:v>
                </c:pt>
                <c:pt idx="101">
                  <c:v>62.48</c:v>
                </c:pt>
                <c:pt idx="102">
                  <c:v>58.66</c:v>
                </c:pt>
                <c:pt idx="103">
                  <c:v>54.29</c:v>
                </c:pt>
                <c:pt idx="104">
                  <c:v>54.69</c:v>
                </c:pt>
                <c:pt idx="105">
                  <c:v>53</c:v>
                </c:pt>
                <c:pt idx="106">
                  <c:v>48.94</c:v>
                </c:pt>
                <c:pt idx="107">
                  <c:v>49.32</c:v>
                </c:pt>
                <c:pt idx="108">
                  <c:v>53.43</c:v>
                </c:pt>
                <c:pt idx="109">
                  <c:v>51.56</c:v>
                </c:pt>
                <c:pt idx="110">
                  <c:v>46.15</c:v>
                </c:pt>
                <c:pt idx="111">
                  <c:v>45.18</c:v>
                </c:pt>
                <c:pt idx="112">
                  <c:v>45.59</c:v>
                </c:pt>
                <c:pt idx="113">
                  <c:v>54.45</c:v>
                </c:pt>
                <c:pt idx="114">
                  <c:v>50.5</c:v>
                </c:pt>
                <c:pt idx="115">
                  <c:v>52.17</c:v>
                </c:pt>
                <c:pt idx="116">
                  <c:v>60.25</c:v>
                </c:pt>
                <c:pt idx="117">
                  <c:v>55.44</c:v>
                </c:pt>
                <c:pt idx="118">
                  <c:v>67.62</c:v>
                </c:pt>
                <c:pt idx="119">
                  <c:v>66.459999999999994</c:v>
                </c:pt>
                <c:pt idx="120">
                  <c:v>65.540000000000006</c:v>
                </c:pt>
                <c:pt idx="121">
                  <c:v>63.79</c:v>
                </c:pt>
                <c:pt idx="122">
                  <c:v>58.82</c:v>
                </c:pt>
                <c:pt idx="123">
                  <c:v>64.08</c:v>
                </c:pt>
                <c:pt idx="124">
                  <c:v>64.11</c:v>
                </c:pt>
                <c:pt idx="125">
                  <c:v>74.48</c:v>
                </c:pt>
                <c:pt idx="126">
                  <c:v>87.7</c:v>
                </c:pt>
                <c:pt idx="127">
                  <c:v>85.06</c:v>
                </c:pt>
                <c:pt idx="128">
                  <c:v>84.51</c:v>
                </c:pt>
                <c:pt idx="129">
                  <c:v>83.86</c:v>
                </c:pt>
                <c:pt idx="130">
                  <c:v>81.94</c:v>
                </c:pt>
                <c:pt idx="131">
                  <c:v>86.29</c:v>
                </c:pt>
                <c:pt idx="132">
                  <c:v>84.11</c:v>
                </c:pt>
                <c:pt idx="133">
                  <c:v>80.87</c:v>
                </c:pt>
                <c:pt idx="134">
                  <c:v>85.08</c:v>
                </c:pt>
                <c:pt idx="135">
                  <c:v>83.37</c:v>
                </c:pt>
                <c:pt idx="136">
                  <c:v>83.08</c:v>
                </c:pt>
                <c:pt idx="137">
                  <c:v>81.33</c:v>
                </c:pt>
                <c:pt idx="138">
                  <c:v>80.88</c:v>
                </c:pt>
                <c:pt idx="139">
                  <c:v>77.010000000000005</c:v>
                </c:pt>
                <c:pt idx="140">
                  <c:v>72.33</c:v>
                </c:pt>
                <c:pt idx="141">
                  <c:v>74.98</c:v>
                </c:pt>
                <c:pt idx="142">
                  <c:v>78.599999999999994</c:v>
                </c:pt>
                <c:pt idx="148">
                  <c:v>74.66</c:v>
                </c:pt>
                <c:pt idx="149">
                  <c:v>67.88</c:v>
                </c:pt>
                <c:pt idx="150">
                  <c:v>63.95</c:v>
                </c:pt>
                <c:pt idx="151">
                  <c:v>63.83</c:v>
                </c:pt>
                <c:pt idx="152">
                  <c:v>60.3</c:v>
                </c:pt>
                <c:pt idx="153">
                  <c:v>76.400000000000006</c:v>
                </c:pt>
                <c:pt idx="154">
                  <c:v>76.33</c:v>
                </c:pt>
                <c:pt idx="155">
                  <c:v>76.61</c:v>
                </c:pt>
                <c:pt idx="156">
                  <c:v>74.59</c:v>
                </c:pt>
                <c:pt idx="157">
                  <c:v>72.08</c:v>
                </c:pt>
                <c:pt idx="158">
                  <c:v>74.95</c:v>
                </c:pt>
                <c:pt idx="159">
                  <c:v>71.11</c:v>
                </c:pt>
                <c:pt idx="160">
                  <c:v>78.17</c:v>
                </c:pt>
                <c:pt idx="161">
                  <c:v>74.22</c:v>
                </c:pt>
                <c:pt idx="162">
                  <c:v>74.150000000000006</c:v>
                </c:pt>
                <c:pt idx="163">
                  <c:v>69.59</c:v>
                </c:pt>
                <c:pt idx="164">
                  <c:v>65.97</c:v>
                </c:pt>
                <c:pt idx="165">
                  <c:v>60.97</c:v>
                </c:pt>
                <c:pt idx="166">
                  <c:v>56.39</c:v>
                </c:pt>
                <c:pt idx="167">
                  <c:v>54.3</c:v>
                </c:pt>
                <c:pt idx="168">
                  <c:v>54.93</c:v>
                </c:pt>
                <c:pt idx="169">
                  <c:v>52.93</c:v>
                </c:pt>
                <c:pt idx="170">
                  <c:v>50.38</c:v>
                </c:pt>
                <c:pt idx="171">
                  <c:v>44.79</c:v>
                </c:pt>
                <c:pt idx="172">
                  <c:v>52.42</c:v>
                </c:pt>
                <c:pt idx="173">
                  <c:v>53.8</c:v>
                </c:pt>
                <c:pt idx="174">
                  <c:v>55.12</c:v>
                </c:pt>
                <c:pt idx="175">
                  <c:v>53.9</c:v>
                </c:pt>
                <c:pt idx="176">
                  <c:v>57.87</c:v>
                </c:pt>
                <c:pt idx="177">
                  <c:v>53.13</c:v>
                </c:pt>
                <c:pt idx="178">
                  <c:v>48.02</c:v>
                </c:pt>
                <c:pt idx="179">
                  <c:v>47.03</c:v>
                </c:pt>
                <c:pt idx="180">
                  <c:v>49.64</c:v>
                </c:pt>
                <c:pt idx="181">
                  <c:v>53.78</c:v>
                </c:pt>
                <c:pt idx="183">
                  <c:v>62.24</c:v>
                </c:pt>
                <c:pt idx="184">
                  <c:v>62.49</c:v>
                </c:pt>
                <c:pt idx="185">
                  <c:v>57.9</c:v>
                </c:pt>
                <c:pt idx="186">
                  <c:v>61.43</c:v>
                </c:pt>
                <c:pt idx="187">
                  <c:v>60.75</c:v>
                </c:pt>
                <c:pt idx="188">
                  <c:v>62.83</c:v>
                </c:pt>
                <c:pt idx="189">
                  <c:v>60.61</c:v>
                </c:pt>
                <c:pt idx="190">
                  <c:v>63</c:v>
                </c:pt>
                <c:pt idx="191">
                  <c:v>58.7</c:v>
                </c:pt>
                <c:pt idx="192">
                  <c:v>56.14</c:v>
                </c:pt>
                <c:pt idx="193">
                  <c:v>76.59</c:v>
                </c:pt>
                <c:pt idx="194">
                  <c:v>78.599999999999994</c:v>
                </c:pt>
                <c:pt idx="195">
                  <c:v>76.510000000000005</c:v>
                </c:pt>
                <c:pt idx="196">
                  <c:v>74.959999999999994</c:v>
                </c:pt>
                <c:pt idx="197">
                  <c:v>70</c:v>
                </c:pt>
                <c:pt idx="198">
                  <c:v>71.44</c:v>
                </c:pt>
                <c:pt idx="199">
                  <c:v>69.489999999999995</c:v>
                </c:pt>
                <c:pt idx="200">
                  <c:v>66.84</c:v>
                </c:pt>
                <c:pt idx="201">
                  <c:v>77.650000000000006</c:v>
                </c:pt>
                <c:pt idx="202">
                  <c:v>74.73</c:v>
                </c:pt>
                <c:pt idx="203">
                  <c:v>73.930000000000007</c:v>
                </c:pt>
                <c:pt idx="204">
                  <c:v>72.86</c:v>
                </c:pt>
                <c:pt idx="205">
                  <c:v>75.069999999999993</c:v>
                </c:pt>
                <c:pt idx="206">
                  <c:v>72.87</c:v>
                </c:pt>
                <c:pt idx="207">
                  <c:v>71.849999999999994</c:v>
                </c:pt>
                <c:pt idx="208">
                  <c:v>72.39</c:v>
                </c:pt>
                <c:pt idx="209">
                  <c:v>67.34</c:v>
                </c:pt>
                <c:pt idx="210">
                  <c:v>66.83</c:v>
                </c:pt>
                <c:pt idx="211">
                  <c:v>63.97</c:v>
                </c:pt>
                <c:pt idx="212">
                  <c:v>65.05</c:v>
                </c:pt>
                <c:pt idx="213">
                  <c:v>76.86</c:v>
                </c:pt>
                <c:pt idx="214">
                  <c:v>72.599999999999994</c:v>
                </c:pt>
                <c:pt idx="215">
                  <c:v>72.56</c:v>
                </c:pt>
                <c:pt idx="216">
                  <c:v>72.08</c:v>
                </c:pt>
                <c:pt idx="217">
                  <c:v>70.680000000000007</c:v>
                </c:pt>
                <c:pt idx="218">
                  <c:v>74.33</c:v>
                </c:pt>
                <c:pt idx="219">
                  <c:v>77.319999999999993</c:v>
                </c:pt>
                <c:pt idx="220">
                  <c:v>76.89</c:v>
                </c:pt>
                <c:pt idx="221">
                  <c:v>71.41</c:v>
                </c:pt>
                <c:pt idx="222">
                  <c:v>78.25</c:v>
                </c:pt>
                <c:pt idx="223">
                  <c:v>75.62</c:v>
                </c:pt>
                <c:pt idx="224">
                  <c:v>76.11</c:v>
                </c:pt>
                <c:pt idx="225">
                  <c:v>74.680000000000007</c:v>
                </c:pt>
                <c:pt idx="226">
                  <c:v>73.53</c:v>
                </c:pt>
                <c:pt idx="227">
                  <c:v>70.849999999999994</c:v>
                </c:pt>
                <c:pt idx="228">
                  <c:v>76.81</c:v>
                </c:pt>
                <c:pt idx="229">
                  <c:v>75.89</c:v>
                </c:pt>
                <c:pt idx="230">
                  <c:v>73.36</c:v>
                </c:pt>
                <c:pt idx="231">
                  <c:v>71.33</c:v>
                </c:pt>
                <c:pt idx="233">
                  <c:v>69.400000000000006</c:v>
                </c:pt>
                <c:pt idx="234">
                  <c:v>65.14</c:v>
                </c:pt>
                <c:pt idx="236">
                  <c:v>59.27</c:v>
                </c:pt>
                <c:pt idx="237">
                  <c:v>57.62</c:v>
                </c:pt>
                <c:pt idx="238">
                  <c:v>62.02</c:v>
                </c:pt>
                <c:pt idx="239">
                  <c:v>57.44</c:v>
                </c:pt>
                <c:pt idx="240">
                  <c:v>51.74</c:v>
                </c:pt>
                <c:pt idx="241">
                  <c:v>52.99</c:v>
                </c:pt>
                <c:pt idx="242">
                  <c:v>45.53</c:v>
                </c:pt>
                <c:pt idx="243">
                  <c:v>48.12</c:v>
                </c:pt>
                <c:pt idx="244">
                  <c:v>55.02</c:v>
                </c:pt>
                <c:pt idx="245">
                  <c:v>51.89</c:v>
                </c:pt>
                <c:pt idx="246">
                  <c:v>53.47</c:v>
                </c:pt>
                <c:pt idx="247">
                  <c:v>58.7</c:v>
                </c:pt>
                <c:pt idx="248">
                  <c:v>58.4</c:v>
                </c:pt>
                <c:pt idx="249">
                  <c:v>62.3</c:v>
                </c:pt>
                <c:pt idx="250">
                  <c:v>58.18</c:v>
                </c:pt>
                <c:pt idx="251">
                  <c:v>59.52</c:v>
                </c:pt>
                <c:pt idx="252">
                  <c:v>55.43</c:v>
                </c:pt>
                <c:pt idx="253">
                  <c:v>55.63</c:v>
                </c:pt>
                <c:pt idx="254">
                  <c:v>53.97</c:v>
                </c:pt>
                <c:pt idx="257">
                  <c:v>52.13</c:v>
                </c:pt>
                <c:pt idx="259">
                  <c:v>51.81</c:v>
                </c:pt>
                <c:pt idx="260">
                  <c:v>55.88</c:v>
                </c:pt>
                <c:pt idx="261">
                  <c:v>54.52</c:v>
                </c:pt>
                <c:pt idx="262">
                  <c:v>54.5</c:v>
                </c:pt>
                <c:pt idx="263">
                  <c:v>51.67</c:v>
                </c:pt>
                <c:pt idx="264">
                  <c:v>52.37</c:v>
                </c:pt>
                <c:pt idx="265">
                  <c:v>47.35</c:v>
                </c:pt>
                <c:pt idx="266">
                  <c:v>48.06</c:v>
                </c:pt>
                <c:pt idx="267">
                  <c:v>47.82</c:v>
                </c:pt>
                <c:pt idx="268">
                  <c:v>47.17</c:v>
                </c:pt>
                <c:pt idx="269">
                  <c:v>44.29</c:v>
                </c:pt>
                <c:pt idx="270">
                  <c:v>48.02</c:v>
                </c:pt>
                <c:pt idx="271">
                  <c:v>46.32</c:v>
                </c:pt>
                <c:pt idx="272">
                  <c:v>43.74</c:v>
                </c:pt>
                <c:pt idx="273">
                  <c:v>44.98</c:v>
                </c:pt>
                <c:pt idx="274">
                  <c:v>26.47</c:v>
                </c:pt>
                <c:pt idx="275">
                  <c:v>28.66</c:v>
                </c:pt>
                <c:pt idx="276">
                  <c:v>25.75</c:v>
                </c:pt>
                <c:pt idx="277">
                  <c:v>35.61</c:v>
                </c:pt>
                <c:pt idx="278">
                  <c:v>38.58</c:v>
                </c:pt>
                <c:pt idx="279">
                  <c:v>40.659999999999997</c:v>
                </c:pt>
                <c:pt idx="280">
                  <c:v>42.52</c:v>
                </c:pt>
                <c:pt idx="281">
                  <c:v>36.11</c:v>
                </c:pt>
                <c:pt idx="282">
                  <c:v>45.89</c:v>
                </c:pt>
                <c:pt idx="283">
                  <c:v>55.07</c:v>
                </c:pt>
                <c:pt idx="284">
                  <c:v>63.12</c:v>
                </c:pt>
                <c:pt idx="285">
                  <c:v>56.84</c:v>
                </c:pt>
                <c:pt idx="286">
                  <c:v>61.57</c:v>
                </c:pt>
                <c:pt idx="287">
                  <c:v>64.87</c:v>
                </c:pt>
                <c:pt idx="288">
                  <c:v>63.86</c:v>
                </c:pt>
                <c:pt idx="289">
                  <c:v>61.66</c:v>
                </c:pt>
                <c:pt idx="290">
                  <c:v>58.97</c:v>
                </c:pt>
                <c:pt idx="291">
                  <c:v>58.84</c:v>
                </c:pt>
                <c:pt idx="292">
                  <c:v>50.83</c:v>
                </c:pt>
                <c:pt idx="293">
                  <c:v>52.17</c:v>
                </c:pt>
                <c:pt idx="294">
                  <c:v>52.9</c:v>
                </c:pt>
                <c:pt idx="295">
                  <c:v>44.81</c:v>
                </c:pt>
                <c:pt idx="296">
                  <c:v>49.42</c:v>
                </c:pt>
                <c:pt idx="297">
                  <c:v>49.19</c:v>
                </c:pt>
                <c:pt idx="298">
                  <c:v>49.19</c:v>
                </c:pt>
                <c:pt idx="299">
                  <c:v>47.88</c:v>
                </c:pt>
                <c:pt idx="300">
                  <c:v>43.35</c:v>
                </c:pt>
                <c:pt idx="302">
                  <c:v>43.36</c:v>
                </c:pt>
                <c:pt idx="303">
                  <c:v>57.86</c:v>
                </c:pt>
                <c:pt idx="304">
                  <c:v>62.03</c:v>
                </c:pt>
                <c:pt idx="305">
                  <c:v>61.29</c:v>
                </c:pt>
                <c:pt idx="306">
                  <c:v>65.28</c:v>
                </c:pt>
                <c:pt idx="307">
                  <c:v>68.78</c:v>
                </c:pt>
                <c:pt idx="308">
                  <c:v>68.56</c:v>
                </c:pt>
                <c:pt idx="309">
                  <c:v>72.81</c:v>
                </c:pt>
                <c:pt idx="310">
                  <c:v>67.930000000000007</c:v>
                </c:pt>
                <c:pt idx="311">
                  <c:v>65.599999999999994</c:v>
                </c:pt>
                <c:pt idx="312">
                  <c:v>64.08</c:v>
                </c:pt>
                <c:pt idx="313">
                  <c:v>63.94</c:v>
                </c:pt>
                <c:pt idx="314">
                  <c:v>57.97</c:v>
                </c:pt>
                <c:pt idx="315">
                  <c:v>55.97</c:v>
                </c:pt>
                <c:pt idx="316">
                  <c:v>53.02</c:v>
                </c:pt>
                <c:pt idx="317">
                  <c:v>52.14</c:v>
                </c:pt>
                <c:pt idx="318">
                  <c:v>53.47</c:v>
                </c:pt>
                <c:pt idx="319">
                  <c:v>49.36</c:v>
                </c:pt>
                <c:pt idx="320">
                  <c:v>45.25</c:v>
                </c:pt>
                <c:pt idx="321">
                  <c:v>40.92</c:v>
                </c:pt>
                <c:pt idx="322">
                  <c:v>50.62</c:v>
                </c:pt>
                <c:pt idx="327">
                  <c:v>60.41</c:v>
                </c:pt>
                <c:pt idx="328">
                  <c:v>56.55</c:v>
                </c:pt>
                <c:pt idx="329">
                  <c:v>63.53</c:v>
                </c:pt>
                <c:pt idx="330">
                  <c:v>58.13</c:v>
                </c:pt>
                <c:pt idx="331">
                  <c:v>58.74</c:v>
                </c:pt>
                <c:pt idx="332">
                  <c:v>58.95</c:v>
                </c:pt>
                <c:pt idx="333">
                  <c:v>60.11</c:v>
                </c:pt>
                <c:pt idx="334">
                  <c:v>55.07</c:v>
                </c:pt>
                <c:pt idx="335">
                  <c:v>56</c:v>
                </c:pt>
                <c:pt idx="336">
                  <c:v>53.97</c:v>
                </c:pt>
                <c:pt idx="337">
                  <c:v>60.59</c:v>
                </c:pt>
                <c:pt idx="338">
                  <c:v>63.11</c:v>
                </c:pt>
                <c:pt idx="339">
                  <c:v>63.02</c:v>
                </c:pt>
                <c:pt idx="340">
                  <c:v>58.16</c:v>
                </c:pt>
                <c:pt idx="341">
                  <c:v>57.84</c:v>
                </c:pt>
                <c:pt idx="342">
                  <c:v>50.32</c:v>
                </c:pt>
                <c:pt idx="343">
                  <c:v>42.12</c:v>
                </c:pt>
                <c:pt idx="345">
                  <c:v>41.93</c:v>
                </c:pt>
                <c:pt idx="346">
                  <c:v>41.91</c:v>
                </c:pt>
                <c:pt idx="347">
                  <c:v>44.27</c:v>
                </c:pt>
                <c:pt idx="348">
                  <c:v>45.21</c:v>
                </c:pt>
                <c:pt idx="349">
                  <c:v>45.18</c:v>
                </c:pt>
                <c:pt idx="350">
                  <c:v>39.82</c:v>
                </c:pt>
                <c:pt idx="351">
                  <c:v>43.58</c:v>
                </c:pt>
                <c:pt idx="352">
                  <c:v>50.13</c:v>
                </c:pt>
                <c:pt idx="353">
                  <c:v>46.15</c:v>
                </c:pt>
                <c:pt idx="354">
                  <c:v>51.38</c:v>
                </c:pt>
                <c:pt idx="355">
                  <c:v>51.74</c:v>
                </c:pt>
                <c:pt idx="356">
                  <c:v>50.46</c:v>
                </c:pt>
                <c:pt idx="357">
                  <c:v>43.02</c:v>
                </c:pt>
                <c:pt idx="358">
                  <c:v>40.99</c:v>
                </c:pt>
                <c:pt idx="359">
                  <c:v>30.09</c:v>
                </c:pt>
                <c:pt idx="360">
                  <c:v>36.36</c:v>
                </c:pt>
                <c:pt idx="361">
                  <c:v>38.42</c:v>
                </c:pt>
                <c:pt idx="362">
                  <c:v>38.54</c:v>
                </c:pt>
                <c:pt idx="363">
                  <c:v>40.89</c:v>
                </c:pt>
                <c:pt idx="364">
                  <c:v>33.65</c:v>
                </c:pt>
                <c:pt idx="365">
                  <c:v>34.119999999999997</c:v>
                </c:pt>
                <c:pt idx="366">
                  <c:v>40.67</c:v>
                </c:pt>
                <c:pt idx="367">
                  <c:v>40.28</c:v>
                </c:pt>
                <c:pt idx="368">
                  <c:v>45.86</c:v>
                </c:pt>
                <c:pt idx="369">
                  <c:v>48.22</c:v>
                </c:pt>
                <c:pt idx="370">
                  <c:v>41.45</c:v>
                </c:pt>
                <c:pt idx="371">
                  <c:v>37.5</c:v>
                </c:pt>
                <c:pt idx="372">
                  <c:v>37.729999999999997</c:v>
                </c:pt>
                <c:pt idx="373">
                  <c:v>37.21</c:v>
                </c:pt>
                <c:pt idx="374">
                  <c:v>37.299999999999997</c:v>
                </c:pt>
                <c:pt idx="375">
                  <c:v>27.71</c:v>
                </c:pt>
                <c:pt idx="376">
                  <c:v>27.43</c:v>
                </c:pt>
                <c:pt idx="377">
                  <c:v>27.32</c:v>
                </c:pt>
                <c:pt idx="378">
                  <c:v>33.89</c:v>
                </c:pt>
                <c:pt idx="379">
                  <c:v>39.75</c:v>
                </c:pt>
                <c:pt idx="380">
                  <c:v>43.84</c:v>
                </c:pt>
                <c:pt idx="381">
                  <c:v>43.11</c:v>
                </c:pt>
                <c:pt idx="382">
                  <c:v>42.69</c:v>
                </c:pt>
                <c:pt idx="383">
                  <c:v>45.86</c:v>
                </c:pt>
                <c:pt idx="384">
                  <c:v>48.19</c:v>
                </c:pt>
                <c:pt idx="385">
                  <c:v>39.61</c:v>
                </c:pt>
                <c:pt idx="386">
                  <c:v>41.92</c:v>
                </c:pt>
                <c:pt idx="387">
                  <c:v>46.08</c:v>
                </c:pt>
                <c:pt idx="388">
                  <c:v>50.02</c:v>
                </c:pt>
                <c:pt idx="389">
                  <c:v>49.35</c:v>
                </c:pt>
                <c:pt idx="390">
                  <c:v>42.63</c:v>
                </c:pt>
                <c:pt idx="391">
                  <c:v>43.31</c:v>
                </c:pt>
                <c:pt idx="392">
                  <c:v>46.55</c:v>
                </c:pt>
                <c:pt idx="393">
                  <c:v>39.299999999999997</c:v>
                </c:pt>
                <c:pt idx="394">
                  <c:v>45.24</c:v>
                </c:pt>
                <c:pt idx="395">
                  <c:v>42.61</c:v>
                </c:pt>
                <c:pt idx="396">
                  <c:v>45.88</c:v>
                </c:pt>
                <c:pt idx="397">
                  <c:v>45.96</c:v>
                </c:pt>
                <c:pt idx="398">
                  <c:v>50.58</c:v>
                </c:pt>
                <c:pt idx="399">
                  <c:v>49.07</c:v>
                </c:pt>
                <c:pt idx="400">
                  <c:v>46.15</c:v>
                </c:pt>
                <c:pt idx="401">
                  <c:v>47.26</c:v>
                </c:pt>
                <c:pt idx="403">
                  <c:v>47.1</c:v>
                </c:pt>
                <c:pt idx="404">
                  <c:v>49.37</c:v>
                </c:pt>
                <c:pt idx="405">
                  <c:v>42.96</c:v>
                </c:pt>
                <c:pt idx="407">
                  <c:v>42.22</c:v>
                </c:pt>
                <c:pt idx="409">
                  <c:v>45.47</c:v>
                </c:pt>
                <c:pt idx="410">
                  <c:v>52.99</c:v>
                </c:pt>
                <c:pt idx="411">
                  <c:v>56.13</c:v>
                </c:pt>
                <c:pt idx="412">
                  <c:v>46.41</c:v>
                </c:pt>
                <c:pt idx="413">
                  <c:v>49.6</c:v>
                </c:pt>
                <c:pt idx="414">
                  <c:v>44.16</c:v>
                </c:pt>
                <c:pt idx="415">
                  <c:v>41.93</c:v>
                </c:pt>
                <c:pt idx="416">
                  <c:v>38.76</c:v>
                </c:pt>
                <c:pt idx="420">
                  <c:v>39.08</c:v>
                </c:pt>
                <c:pt idx="421">
                  <c:v>40.619999999999997</c:v>
                </c:pt>
                <c:pt idx="422">
                  <c:v>29.59</c:v>
                </c:pt>
                <c:pt idx="423">
                  <c:v>29.49</c:v>
                </c:pt>
                <c:pt idx="424">
                  <c:v>31.24</c:v>
                </c:pt>
                <c:pt idx="425">
                  <c:v>31.67</c:v>
                </c:pt>
                <c:pt idx="426">
                  <c:v>33.97</c:v>
                </c:pt>
                <c:pt idx="427">
                  <c:v>34.85</c:v>
                </c:pt>
                <c:pt idx="428">
                  <c:v>43.01</c:v>
                </c:pt>
                <c:pt idx="429">
                  <c:v>47.41</c:v>
                </c:pt>
                <c:pt idx="430">
                  <c:v>46.03</c:v>
                </c:pt>
                <c:pt idx="431">
                  <c:v>43.52</c:v>
                </c:pt>
                <c:pt idx="432">
                  <c:v>47.61</c:v>
                </c:pt>
                <c:pt idx="433">
                  <c:v>45.39</c:v>
                </c:pt>
                <c:pt idx="434">
                  <c:v>46.03</c:v>
                </c:pt>
                <c:pt idx="435">
                  <c:v>47.93</c:v>
                </c:pt>
                <c:pt idx="436">
                  <c:v>49.45</c:v>
                </c:pt>
                <c:pt idx="437">
                  <c:v>49.04</c:v>
                </c:pt>
                <c:pt idx="438">
                  <c:v>48.76</c:v>
                </c:pt>
                <c:pt idx="439">
                  <c:v>47.28</c:v>
                </c:pt>
                <c:pt idx="440">
                  <c:v>50.85</c:v>
                </c:pt>
                <c:pt idx="442">
                  <c:v>44.83</c:v>
                </c:pt>
                <c:pt idx="443">
                  <c:v>41.3</c:v>
                </c:pt>
                <c:pt idx="444">
                  <c:v>41.32</c:v>
                </c:pt>
                <c:pt idx="445">
                  <c:v>38.020000000000003</c:v>
                </c:pt>
                <c:pt idx="446">
                  <c:v>33.81</c:v>
                </c:pt>
                <c:pt idx="447">
                  <c:v>35.17</c:v>
                </c:pt>
                <c:pt idx="448">
                  <c:v>30.59</c:v>
                </c:pt>
                <c:pt idx="449">
                  <c:v>20.37</c:v>
                </c:pt>
                <c:pt idx="450">
                  <c:v>33.01</c:v>
                </c:pt>
                <c:pt idx="451">
                  <c:v>44.6</c:v>
                </c:pt>
                <c:pt idx="452">
                  <c:v>43.34</c:v>
                </c:pt>
                <c:pt idx="453">
                  <c:v>37.93</c:v>
                </c:pt>
                <c:pt idx="454">
                  <c:v>41.07</c:v>
                </c:pt>
                <c:pt idx="455">
                  <c:v>35.21</c:v>
                </c:pt>
                <c:pt idx="456">
                  <c:v>33.71</c:v>
                </c:pt>
                <c:pt idx="457">
                  <c:v>40.69</c:v>
                </c:pt>
                <c:pt idx="458">
                  <c:v>42.86</c:v>
                </c:pt>
                <c:pt idx="459">
                  <c:v>39.06</c:v>
                </c:pt>
                <c:pt idx="460">
                  <c:v>45.26</c:v>
                </c:pt>
                <c:pt idx="461">
                  <c:v>51.13</c:v>
                </c:pt>
                <c:pt idx="462">
                  <c:v>56</c:v>
                </c:pt>
                <c:pt idx="463">
                  <c:v>63.27</c:v>
                </c:pt>
                <c:pt idx="464">
                  <c:v>62.13</c:v>
                </c:pt>
                <c:pt idx="465">
                  <c:v>60.68</c:v>
                </c:pt>
                <c:pt idx="466">
                  <c:v>72.260000000000005</c:v>
                </c:pt>
                <c:pt idx="467">
                  <c:v>69.89</c:v>
                </c:pt>
                <c:pt idx="468">
                  <c:v>70.16</c:v>
                </c:pt>
                <c:pt idx="469">
                  <c:v>68.47</c:v>
                </c:pt>
                <c:pt idx="470">
                  <c:v>68.13</c:v>
                </c:pt>
                <c:pt idx="471">
                  <c:v>63.44</c:v>
                </c:pt>
                <c:pt idx="472">
                  <c:v>58.88</c:v>
                </c:pt>
                <c:pt idx="473">
                  <c:v>57.03</c:v>
                </c:pt>
                <c:pt idx="474">
                  <c:v>63.16</c:v>
                </c:pt>
                <c:pt idx="475">
                  <c:v>61.07</c:v>
                </c:pt>
                <c:pt idx="476">
                  <c:v>60.35</c:v>
                </c:pt>
                <c:pt idx="477">
                  <c:v>60.99</c:v>
                </c:pt>
                <c:pt idx="478">
                  <c:v>57.93</c:v>
                </c:pt>
                <c:pt idx="479">
                  <c:v>56.83</c:v>
                </c:pt>
                <c:pt idx="480">
                  <c:v>60.13</c:v>
                </c:pt>
                <c:pt idx="481">
                  <c:v>66.86</c:v>
                </c:pt>
                <c:pt idx="482">
                  <c:v>66.47</c:v>
                </c:pt>
                <c:pt idx="483">
                  <c:v>62.48</c:v>
                </c:pt>
                <c:pt idx="484">
                  <c:v>59.16</c:v>
                </c:pt>
                <c:pt idx="485">
                  <c:v>61.41</c:v>
                </c:pt>
                <c:pt idx="486">
                  <c:v>60.83</c:v>
                </c:pt>
                <c:pt idx="487">
                  <c:v>56.75</c:v>
                </c:pt>
                <c:pt idx="488">
                  <c:v>53.55</c:v>
                </c:pt>
                <c:pt idx="489">
                  <c:v>52.49</c:v>
                </c:pt>
                <c:pt idx="490">
                  <c:v>55.34</c:v>
                </c:pt>
                <c:pt idx="492">
                  <c:v>51.24</c:v>
                </c:pt>
                <c:pt idx="493">
                  <c:v>45.47</c:v>
                </c:pt>
                <c:pt idx="494">
                  <c:v>47.07</c:v>
                </c:pt>
                <c:pt idx="495">
                  <c:v>39.26</c:v>
                </c:pt>
                <c:pt idx="496">
                  <c:v>40.049999999999997</c:v>
                </c:pt>
                <c:pt idx="497">
                  <c:v>46.72</c:v>
                </c:pt>
                <c:pt idx="498">
                  <c:v>55.42</c:v>
                </c:pt>
                <c:pt idx="499">
                  <c:v>54.66</c:v>
                </c:pt>
                <c:pt idx="500">
                  <c:v>47.75</c:v>
                </c:pt>
                <c:pt idx="501">
                  <c:v>54.78</c:v>
                </c:pt>
                <c:pt idx="502">
                  <c:v>53.85</c:v>
                </c:pt>
                <c:pt idx="503">
                  <c:v>52.22</c:v>
                </c:pt>
                <c:pt idx="504">
                  <c:v>55.65</c:v>
                </c:pt>
                <c:pt idx="505">
                  <c:v>52.49</c:v>
                </c:pt>
                <c:pt idx="506">
                  <c:v>57.52</c:v>
                </c:pt>
                <c:pt idx="508">
                  <c:v>54.49</c:v>
                </c:pt>
                <c:pt idx="509">
                  <c:v>53.7</c:v>
                </c:pt>
                <c:pt idx="510">
                  <c:v>54.19</c:v>
                </c:pt>
                <c:pt idx="511">
                  <c:v>53.49</c:v>
                </c:pt>
                <c:pt idx="512">
                  <c:v>59.04</c:v>
                </c:pt>
                <c:pt idx="513">
                  <c:v>58.66</c:v>
                </c:pt>
                <c:pt idx="515">
                  <c:v>50.69</c:v>
                </c:pt>
                <c:pt idx="516">
                  <c:v>52.71</c:v>
                </c:pt>
                <c:pt idx="518">
                  <c:v>52.63</c:v>
                </c:pt>
                <c:pt idx="519">
                  <c:v>51.21</c:v>
                </c:pt>
                <c:pt idx="520">
                  <c:v>47.72</c:v>
                </c:pt>
                <c:pt idx="521">
                  <c:v>45.2</c:v>
                </c:pt>
                <c:pt idx="522">
                  <c:v>52.48</c:v>
                </c:pt>
                <c:pt idx="523">
                  <c:v>42.07</c:v>
                </c:pt>
                <c:pt idx="524">
                  <c:v>43.2</c:v>
                </c:pt>
                <c:pt idx="525">
                  <c:v>40.93</c:v>
                </c:pt>
                <c:pt idx="526">
                  <c:v>47.09</c:v>
                </c:pt>
                <c:pt idx="527">
                  <c:v>38.61</c:v>
                </c:pt>
                <c:pt idx="528">
                  <c:v>41.6</c:v>
                </c:pt>
                <c:pt idx="529">
                  <c:v>51.91</c:v>
                </c:pt>
                <c:pt idx="530">
                  <c:v>55.17</c:v>
                </c:pt>
                <c:pt idx="531">
                  <c:v>58.11</c:v>
                </c:pt>
                <c:pt idx="533">
                  <c:v>55.4</c:v>
                </c:pt>
                <c:pt idx="534">
                  <c:v>57.66</c:v>
                </c:pt>
                <c:pt idx="535">
                  <c:v>57.16</c:v>
                </c:pt>
                <c:pt idx="536">
                  <c:v>62.86</c:v>
                </c:pt>
                <c:pt idx="537">
                  <c:v>57.39</c:v>
                </c:pt>
                <c:pt idx="538">
                  <c:v>69.489999999999995</c:v>
                </c:pt>
                <c:pt idx="539">
                  <c:v>67.39</c:v>
                </c:pt>
                <c:pt idx="540">
                  <c:v>67.22</c:v>
                </c:pt>
                <c:pt idx="541">
                  <c:v>65.680000000000007</c:v>
                </c:pt>
                <c:pt idx="542">
                  <c:v>67.56</c:v>
                </c:pt>
                <c:pt idx="543">
                  <c:v>66.59</c:v>
                </c:pt>
                <c:pt idx="544">
                  <c:v>63.82</c:v>
                </c:pt>
                <c:pt idx="545">
                  <c:v>65.14</c:v>
                </c:pt>
                <c:pt idx="546">
                  <c:v>66.319999999999993</c:v>
                </c:pt>
                <c:pt idx="547">
                  <c:v>59.12</c:v>
                </c:pt>
                <c:pt idx="548">
                  <c:v>53.59</c:v>
                </c:pt>
                <c:pt idx="549">
                  <c:v>58.21</c:v>
                </c:pt>
                <c:pt idx="550">
                  <c:v>52.73</c:v>
                </c:pt>
                <c:pt idx="551">
                  <c:v>63.42</c:v>
                </c:pt>
                <c:pt idx="552">
                  <c:v>61.73</c:v>
                </c:pt>
                <c:pt idx="553">
                  <c:v>60.93</c:v>
                </c:pt>
                <c:pt idx="554">
                  <c:v>55.87</c:v>
                </c:pt>
                <c:pt idx="555">
                  <c:v>62.23</c:v>
                </c:pt>
                <c:pt idx="556">
                  <c:v>55.22</c:v>
                </c:pt>
                <c:pt idx="557">
                  <c:v>54.51</c:v>
                </c:pt>
                <c:pt idx="558">
                  <c:v>56.07</c:v>
                </c:pt>
                <c:pt idx="559">
                  <c:v>63.12</c:v>
                </c:pt>
                <c:pt idx="561">
                  <c:v>56.68</c:v>
                </c:pt>
                <c:pt idx="562">
                  <c:v>59</c:v>
                </c:pt>
                <c:pt idx="563">
                  <c:v>54.19</c:v>
                </c:pt>
                <c:pt idx="564">
                  <c:v>59.28</c:v>
                </c:pt>
                <c:pt idx="565">
                  <c:v>60.83</c:v>
                </c:pt>
                <c:pt idx="566">
                  <c:v>61.12</c:v>
                </c:pt>
                <c:pt idx="567">
                  <c:v>59.23</c:v>
                </c:pt>
                <c:pt idx="568">
                  <c:v>60.19</c:v>
                </c:pt>
                <c:pt idx="569">
                  <c:v>62.92</c:v>
                </c:pt>
                <c:pt idx="570">
                  <c:v>60.59</c:v>
                </c:pt>
                <c:pt idx="571">
                  <c:v>57.01</c:v>
                </c:pt>
                <c:pt idx="572">
                  <c:v>58.61</c:v>
                </c:pt>
                <c:pt idx="573">
                  <c:v>63.82</c:v>
                </c:pt>
                <c:pt idx="576">
                  <c:v>58.47</c:v>
                </c:pt>
                <c:pt idx="577">
                  <c:v>57.36</c:v>
                </c:pt>
                <c:pt idx="578">
                  <c:v>52.94</c:v>
                </c:pt>
                <c:pt idx="579">
                  <c:v>55.17</c:v>
                </c:pt>
                <c:pt idx="580">
                  <c:v>58.54</c:v>
                </c:pt>
                <c:pt idx="581">
                  <c:v>46.85</c:v>
                </c:pt>
                <c:pt idx="582">
                  <c:v>40.57</c:v>
                </c:pt>
                <c:pt idx="583">
                  <c:v>42.86</c:v>
                </c:pt>
                <c:pt idx="584">
                  <c:v>43.7</c:v>
                </c:pt>
                <c:pt idx="585">
                  <c:v>39.229999999999997</c:v>
                </c:pt>
                <c:pt idx="586">
                  <c:v>38.44</c:v>
                </c:pt>
                <c:pt idx="587">
                  <c:v>39.03</c:v>
                </c:pt>
                <c:pt idx="588">
                  <c:v>40.79</c:v>
                </c:pt>
                <c:pt idx="589">
                  <c:v>39.590000000000003</c:v>
                </c:pt>
                <c:pt idx="590">
                  <c:v>40.96</c:v>
                </c:pt>
                <c:pt idx="591">
                  <c:v>32.14</c:v>
                </c:pt>
                <c:pt idx="592">
                  <c:v>29.3</c:v>
                </c:pt>
                <c:pt idx="593">
                  <c:v>36.42</c:v>
                </c:pt>
                <c:pt idx="594">
                  <c:v>40.78</c:v>
                </c:pt>
                <c:pt idx="595">
                  <c:v>41.37</c:v>
                </c:pt>
                <c:pt idx="596">
                  <c:v>44.51</c:v>
                </c:pt>
                <c:pt idx="597">
                  <c:v>45.63</c:v>
                </c:pt>
                <c:pt idx="598">
                  <c:v>49.49</c:v>
                </c:pt>
                <c:pt idx="599">
                  <c:v>52.58</c:v>
                </c:pt>
                <c:pt idx="600">
                  <c:v>55.51</c:v>
                </c:pt>
                <c:pt idx="601">
                  <c:v>56.84</c:v>
                </c:pt>
                <c:pt idx="602">
                  <c:v>60.52</c:v>
                </c:pt>
                <c:pt idx="603">
                  <c:v>76.34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73-43EF-9B8B-9F93B991919B}"/>
            </c:ext>
          </c:extLst>
        </c:ser>
        <c:ser>
          <c:idx val="1"/>
          <c:order val="1"/>
          <c:tx>
            <c:strRef>
              <c:f>'미국 RSI'!$G$1</c:f>
              <c:strCache>
                <c:ptCount val="1"/>
                <c:pt idx="0">
                  <c:v>산업재(US)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RSI'!$G$69:$G$3068</c:f>
              <c:numCache>
                <c:formatCode>0.00</c:formatCode>
                <c:ptCount val="3000"/>
                <c:pt idx="0">
                  <c:v>54.82</c:v>
                </c:pt>
                <c:pt idx="1">
                  <c:v>59.13</c:v>
                </c:pt>
                <c:pt idx="2">
                  <c:v>49.94</c:v>
                </c:pt>
                <c:pt idx="3">
                  <c:v>52.39</c:v>
                </c:pt>
                <c:pt idx="4">
                  <c:v>56.12</c:v>
                </c:pt>
                <c:pt idx="5">
                  <c:v>56.05</c:v>
                </c:pt>
                <c:pt idx="6">
                  <c:v>59.9</c:v>
                </c:pt>
                <c:pt idx="7">
                  <c:v>54.38</c:v>
                </c:pt>
                <c:pt idx="8">
                  <c:v>55.32</c:v>
                </c:pt>
                <c:pt idx="9">
                  <c:v>61.32</c:v>
                </c:pt>
                <c:pt idx="10">
                  <c:v>60.69</c:v>
                </c:pt>
                <c:pt idx="11">
                  <c:v>55.18</c:v>
                </c:pt>
                <c:pt idx="12">
                  <c:v>57.17</c:v>
                </c:pt>
                <c:pt idx="13">
                  <c:v>62.51</c:v>
                </c:pt>
                <c:pt idx="14">
                  <c:v>61.56</c:v>
                </c:pt>
                <c:pt idx="15">
                  <c:v>59.71</c:v>
                </c:pt>
                <c:pt idx="16">
                  <c:v>61.23</c:v>
                </c:pt>
                <c:pt idx="17">
                  <c:v>58.67</c:v>
                </c:pt>
                <c:pt idx="18">
                  <c:v>47.34</c:v>
                </c:pt>
                <c:pt idx="19">
                  <c:v>48</c:v>
                </c:pt>
                <c:pt idx="21">
                  <c:v>46.24</c:v>
                </c:pt>
                <c:pt idx="22">
                  <c:v>47.41</c:v>
                </c:pt>
                <c:pt idx="23">
                  <c:v>41.83</c:v>
                </c:pt>
                <c:pt idx="24">
                  <c:v>28.45</c:v>
                </c:pt>
                <c:pt idx="25">
                  <c:v>31.89</c:v>
                </c:pt>
                <c:pt idx="26">
                  <c:v>35.04</c:v>
                </c:pt>
                <c:pt idx="27">
                  <c:v>42.2</c:v>
                </c:pt>
                <c:pt idx="28">
                  <c:v>38.869999999999997</c:v>
                </c:pt>
                <c:pt idx="29">
                  <c:v>35.909999999999997</c:v>
                </c:pt>
                <c:pt idx="30">
                  <c:v>31.43</c:v>
                </c:pt>
                <c:pt idx="31">
                  <c:v>35.409999999999997</c:v>
                </c:pt>
                <c:pt idx="32">
                  <c:v>37.479999999999997</c:v>
                </c:pt>
                <c:pt idx="33">
                  <c:v>40.04</c:v>
                </c:pt>
                <c:pt idx="34">
                  <c:v>38.74</c:v>
                </c:pt>
                <c:pt idx="35">
                  <c:v>34.54</c:v>
                </c:pt>
                <c:pt idx="36">
                  <c:v>35.49</c:v>
                </c:pt>
                <c:pt idx="37">
                  <c:v>43.44</c:v>
                </c:pt>
                <c:pt idx="38">
                  <c:v>44.6</c:v>
                </c:pt>
                <c:pt idx="39">
                  <c:v>46.6</c:v>
                </c:pt>
                <c:pt idx="40">
                  <c:v>44.07</c:v>
                </c:pt>
                <c:pt idx="41">
                  <c:v>48.61</c:v>
                </c:pt>
                <c:pt idx="42">
                  <c:v>59.04</c:v>
                </c:pt>
                <c:pt idx="43">
                  <c:v>57.9</c:v>
                </c:pt>
                <c:pt idx="44">
                  <c:v>69.599999999999994</c:v>
                </c:pt>
                <c:pt idx="45">
                  <c:v>66.39</c:v>
                </c:pt>
                <c:pt idx="46">
                  <c:v>65.55</c:v>
                </c:pt>
                <c:pt idx="47">
                  <c:v>63.42</c:v>
                </c:pt>
                <c:pt idx="48">
                  <c:v>68.349999999999994</c:v>
                </c:pt>
                <c:pt idx="49">
                  <c:v>64.34</c:v>
                </c:pt>
                <c:pt idx="50">
                  <c:v>74.06</c:v>
                </c:pt>
                <c:pt idx="51">
                  <c:v>72.64</c:v>
                </c:pt>
                <c:pt idx="52">
                  <c:v>70.44</c:v>
                </c:pt>
                <c:pt idx="53">
                  <c:v>70.599999999999994</c:v>
                </c:pt>
                <c:pt idx="54">
                  <c:v>69.09</c:v>
                </c:pt>
                <c:pt idx="55">
                  <c:v>66.62</c:v>
                </c:pt>
                <c:pt idx="56">
                  <c:v>74.81</c:v>
                </c:pt>
                <c:pt idx="57">
                  <c:v>73.459999999999994</c:v>
                </c:pt>
                <c:pt idx="58">
                  <c:v>73.16</c:v>
                </c:pt>
                <c:pt idx="59">
                  <c:v>72.44</c:v>
                </c:pt>
                <c:pt idx="60">
                  <c:v>64.2</c:v>
                </c:pt>
                <c:pt idx="61">
                  <c:v>68.209999999999994</c:v>
                </c:pt>
                <c:pt idx="62">
                  <c:v>67.38</c:v>
                </c:pt>
                <c:pt idx="63">
                  <c:v>64.680000000000007</c:v>
                </c:pt>
                <c:pt idx="64">
                  <c:v>60.13</c:v>
                </c:pt>
                <c:pt idx="65">
                  <c:v>61.61</c:v>
                </c:pt>
                <c:pt idx="66">
                  <c:v>57.64</c:v>
                </c:pt>
                <c:pt idx="67">
                  <c:v>60.76</c:v>
                </c:pt>
                <c:pt idx="68">
                  <c:v>59.25</c:v>
                </c:pt>
                <c:pt idx="69">
                  <c:v>58.9</c:v>
                </c:pt>
                <c:pt idx="70">
                  <c:v>62.87</c:v>
                </c:pt>
                <c:pt idx="71">
                  <c:v>65.62</c:v>
                </c:pt>
                <c:pt idx="72">
                  <c:v>60.31</c:v>
                </c:pt>
                <c:pt idx="74">
                  <c:v>72.75</c:v>
                </c:pt>
                <c:pt idx="75">
                  <c:v>70.89</c:v>
                </c:pt>
                <c:pt idx="76">
                  <c:v>68.19</c:v>
                </c:pt>
                <c:pt idx="77">
                  <c:v>67.709999999999994</c:v>
                </c:pt>
                <c:pt idx="78">
                  <c:v>66.17</c:v>
                </c:pt>
                <c:pt idx="79">
                  <c:v>63.82</c:v>
                </c:pt>
                <c:pt idx="80">
                  <c:v>60.17</c:v>
                </c:pt>
                <c:pt idx="81">
                  <c:v>57.45</c:v>
                </c:pt>
                <c:pt idx="82">
                  <c:v>68.48</c:v>
                </c:pt>
                <c:pt idx="83">
                  <c:v>63.9</c:v>
                </c:pt>
                <c:pt idx="84">
                  <c:v>59.15</c:v>
                </c:pt>
                <c:pt idx="85">
                  <c:v>49.76</c:v>
                </c:pt>
                <c:pt idx="86">
                  <c:v>55.11</c:v>
                </c:pt>
                <c:pt idx="87">
                  <c:v>57.08</c:v>
                </c:pt>
                <c:pt idx="88">
                  <c:v>58.55</c:v>
                </c:pt>
                <c:pt idx="89">
                  <c:v>59.77</c:v>
                </c:pt>
                <c:pt idx="90">
                  <c:v>58.36</c:v>
                </c:pt>
                <c:pt idx="91">
                  <c:v>58.58</c:v>
                </c:pt>
                <c:pt idx="92">
                  <c:v>55.41</c:v>
                </c:pt>
                <c:pt idx="93">
                  <c:v>51.57</c:v>
                </c:pt>
                <c:pt idx="94">
                  <c:v>48.46</c:v>
                </c:pt>
                <c:pt idx="95">
                  <c:v>57.05</c:v>
                </c:pt>
                <c:pt idx="96">
                  <c:v>60.72</c:v>
                </c:pt>
                <c:pt idx="97">
                  <c:v>60.08</c:v>
                </c:pt>
                <c:pt idx="98">
                  <c:v>63.92</c:v>
                </c:pt>
                <c:pt idx="99">
                  <c:v>59.91</c:v>
                </c:pt>
                <c:pt idx="100">
                  <c:v>51.51</c:v>
                </c:pt>
                <c:pt idx="101">
                  <c:v>55.9</c:v>
                </c:pt>
                <c:pt idx="102">
                  <c:v>56.65</c:v>
                </c:pt>
                <c:pt idx="103">
                  <c:v>58.3</c:v>
                </c:pt>
                <c:pt idx="104">
                  <c:v>56.09</c:v>
                </c:pt>
                <c:pt idx="105">
                  <c:v>51.79</c:v>
                </c:pt>
                <c:pt idx="106">
                  <c:v>47.44</c:v>
                </c:pt>
                <c:pt idx="107">
                  <c:v>55.35</c:v>
                </c:pt>
                <c:pt idx="109">
                  <c:v>52.44</c:v>
                </c:pt>
                <c:pt idx="110">
                  <c:v>49.41</c:v>
                </c:pt>
                <c:pt idx="111">
                  <c:v>41.91</c:v>
                </c:pt>
                <c:pt idx="112">
                  <c:v>40.33</c:v>
                </c:pt>
                <c:pt idx="113">
                  <c:v>31.96</c:v>
                </c:pt>
                <c:pt idx="114">
                  <c:v>39.08</c:v>
                </c:pt>
                <c:pt idx="115">
                  <c:v>36.47</c:v>
                </c:pt>
                <c:pt idx="116">
                  <c:v>38.53</c:v>
                </c:pt>
                <c:pt idx="117">
                  <c:v>43.6</c:v>
                </c:pt>
                <c:pt idx="118">
                  <c:v>43.55</c:v>
                </c:pt>
                <c:pt idx="119">
                  <c:v>53.26</c:v>
                </c:pt>
                <c:pt idx="120">
                  <c:v>52.65</c:v>
                </c:pt>
                <c:pt idx="121">
                  <c:v>52.49</c:v>
                </c:pt>
                <c:pt idx="122">
                  <c:v>49.13</c:v>
                </c:pt>
                <c:pt idx="123">
                  <c:v>46.12</c:v>
                </c:pt>
                <c:pt idx="124">
                  <c:v>48.31</c:v>
                </c:pt>
                <c:pt idx="125">
                  <c:v>46.01</c:v>
                </c:pt>
                <c:pt idx="126">
                  <c:v>52.6</c:v>
                </c:pt>
                <c:pt idx="127">
                  <c:v>55.32</c:v>
                </c:pt>
                <c:pt idx="128">
                  <c:v>54.08</c:v>
                </c:pt>
                <c:pt idx="129">
                  <c:v>55.58</c:v>
                </c:pt>
                <c:pt idx="130">
                  <c:v>54.38</c:v>
                </c:pt>
                <c:pt idx="131">
                  <c:v>58.47</c:v>
                </c:pt>
                <c:pt idx="132">
                  <c:v>56.03</c:v>
                </c:pt>
                <c:pt idx="133">
                  <c:v>55.68</c:v>
                </c:pt>
                <c:pt idx="134">
                  <c:v>50.17</c:v>
                </c:pt>
                <c:pt idx="135">
                  <c:v>57.1</c:v>
                </c:pt>
                <c:pt idx="136">
                  <c:v>53.02</c:v>
                </c:pt>
                <c:pt idx="137">
                  <c:v>46.84</c:v>
                </c:pt>
                <c:pt idx="138">
                  <c:v>46.37</c:v>
                </c:pt>
                <c:pt idx="139">
                  <c:v>49.53</c:v>
                </c:pt>
                <c:pt idx="140">
                  <c:v>51.63</c:v>
                </c:pt>
                <c:pt idx="141">
                  <c:v>45.69</c:v>
                </c:pt>
                <c:pt idx="142">
                  <c:v>39.67</c:v>
                </c:pt>
                <c:pt idx="143">
                  <c:v>51.11</c:v>
                </c:pt>
                <c:pt idx="144">
                  <c:v>62.46</c:v>
                </c:pt>
                <c:pt idx="145">
                  <c:v>57.33</c:v>
                </c:pt>
                <c:pt idx="146">
                  <c:v>62.54</c:v>
                </c:pt>
                <c:pt idx="147">
                  <c:v>59.76</c:v>
                </c:pt>
                <c:pt idx="148">
                  <c:v>58.94</c:v>
                </c:pt>
                <c:pt idx="149">
                  <c:v>57.4</c:v>
                </c:pt>
                <c:pt idx="150">
                  <c:v>59.63</c:v>
                </c:pt>
                <c:pt idx="151">
                  <c:v>55.18</c:v>
                </c:pt>
                <c:pt idx="152">
                  <c:v>53.28</c:v>
                </c:pt>
                <c:pt idx="153">
                  <c:v>47.25</c:v>
                </c:pt>
                <c:pt idx="154">
                  <c:v>51.96</c:v>
                </c:pt>
                <c:pt idx="155">
                  <c:v>55.94</c:v>
                </c:pt>
                <c:pt idx="156">
                  <c:v>55.78</c:v>
                </c:pt>
                <c:pt idx="157">
                  <c:v>56.34</c:v>
                </c:pt>
                <c:pt idx="158">
                  <c:v>55.04</c:v>
                </c:pt>
                <c:pt idx="159">
                  <c:v>48.85</c:v>
                </c:pt>
                <c:pt idx="160">
                  <c:v>51.68</c:v>
                </c:pt>
                <c:pt idx="161">
                  <c:v>53.56</c:v>
                </c:pt>
                <c:pt idx="162">
                  <c:v>50.98</c:v>
                </c:pt>
                <c:pt idx="163">
                  <c:v>56.01</c:v>
                </c:pt>
                <c:pt idx="164">
                  <c:v>50.68</c:v>
                </c:pt>
                <c:pt idx="165">
                  <c:v>46</c:v>
                </c:pt>
                <c:pt idx="166">
                  <c:v>50.05</c:v>
                </c:pt>
                <c:pt idx="167">
                  <c:v>48.65</c:v>
                </c:pt>
                <c:pt idx="168">
                  <c:v>50.83</c:v>
                </c:pt>
                <c:pt idx="169">
                  <c:v>43.77</c:v>
                </c:pt>
                <c:pt idx="170">
                  <c:v>46.56</c:v>
                </c:pt>
                <c:pt idx="172">
                  <c:v>52.49</c:v>
                </c:pt>
                <c:pt idx="173">
                  <c:v>59.32</c:v>
                </c:pt>
                <c:pt idx="174">
                  <c:v>58.36</c:v>
                </c:pt>
                <c:pt idx="175">
                  <c:v>58.46</c:v>
                </c:pt>
                <c:pt idx="176">
                  <c:v>52.89</c:v>
                </c:pt>
                <c:pt idx="177">
                  <c:v>60.24</c:v>
                </c:pt>
                <c:pt idx="178">
                  <c:v>49.83</c:v>
                </c:pt>
                <c:pt idx="179">
                  <c:v>52.64</c:v>
                </c:pt>
                <c:pt idx="180">
                  <c:v>53.36</c:v>
                </c:pt>
                <c:pt idx="181">
                  <c:v>51.92</c:v>
                </c:pt>
                <c:pt idx="182">
                  <c:v>49.3</c:v>
                </c:pt>
                <c:pt idx="183">
                  <c:v>52.39</c:v>
                </c:pt>
                <c:pt idx="184">
                  <c:v>59.13</c:v>
                </c:pt>
                <c:pt idx="185">
                  <c:v>56.92</c:v>
                </c:pt>
                <c:pt idx="186">
                  <c:v>50.2</c:v>
                </c:pt>
                <c:pt idx="187">
                  <c:v>52.59</c:v>
                </c:pt>
                <c:pt idx="188">
                  <c:v>52.07</c:v>
                </c:pt>
                <c:pt idx="189">
                  <c:v>53.06</c:v>
                </c:pt>
                <c:pt idx="190">
                  <c:v>52.61</c:v>
                </c:pt>
                <c:pt idx="191">
                  <c:v>53.86</c:v>
                </c:pt>
                <c:pt idx="192">
                  <c:v>48.8</c:v>
                </c:pt>
                <c:pt idx="193">
                  <c:v>58.62</c:v>
                </c:pt>
                <c:pt idx="194">
                  <c:v>58.59</c:v>
                </c:pt>
                <c:pt idx="195">
                  <c:v>62.15</c:v>
                </c:pt>
                <c:pt idx="196">
                  <c:v>71.650000000000006</c:v>
                </c:pt>
                <c:pt idx="197">
                  <c:v>74.540000000000006</c:v>
                </c:pt>
                <c:pt idx="198">
                  <c:v>71.12</c:v>
                </c:pt>
                <c:pt idx="199">
                  <c:v>72.67</c:v>
                </c:pt>
                <c:pt idx="200">
                  <c:v>65.36</c:v>
                </c:pt>
                <c:pt idx="201">
                  <c:v>64.180000000000007</c:v>
                </c:pt>
                <c:pt idx="202">
                  <c:v>69.03</c:v>
                </c:pt>
                <c:pt idx="203">
                  <c:v>71.16</c:v>
                </c:pt>
                <c:pt idx="204">
                  <c:v>67.34</c:v>
                </c:pt>
                <c:pt idx="205">
                  <c:v>65.739999999999995</c:v>
                </c:pt>
                <c:pt idx="206">
                  <c:v>72.83</c:v>
                </c:pt>
                <c:pt idx="207">
                  <c:v>70.72</c:v>
                </c:pt>
                <c:pt idx="208">
                  <c:v>74.28</c:v>
                </c:pt>
                <c:pt idx="209">
                  <c:v>72.27</c:v>
                </c:pt>
                <c:pt idx="210">
                  <c:v>69.52</c:v>
                </c:pt>
                <c:pt idx="211">
                  <c:v>69.77</c:v>
                </c:pt>
                <c:pt idx="213">
                  <c:v>72.89</c:v>
                </c:pt>
                <c:pt idx="214">
                  <c:v>69.86</c:v>
                </c:pt>
                <c:pt idx="215">
                  <c:v>69.48</c:v>
                </c:pt>
                <c:pt idx="216">
                  <c:v>68.27</c:v>
                </c:pt>
                <c:pt idx="217">
                  <c:v>66.44</c:v>
                </c:pt>
                <c:pt idx="218">
                  <c:v>62.44</c:v>
                </c:pt>
                <c:pt idx="219">
                  <c:v>57.35</c:v>
                </c:pt>
                <c:pt idx="220">
                  <c:v>63.95</c:v>
                </c:pt>
                <c:pt idx="221">
                  <c:v>59.94</c:v>
                </c:pt>
                <c:pt idx="222">
                  <c:v>54.05</c:v>
                </c:pt>
                <c:pt idx="224">
                  <c:v>53.36</c:v>
                </c:pt>
                <c:pt idx="225">
                  <c:v>54.98</c:v>
                </c:pt>
                <c:pt idx="226">
                  <c:v>60.36</c:v>
                </c:pt>
                <c:pt idx="227">
                  <c:v>56.8</c:v>
                </c:pt>
                <c:pt idx="228">
                  <c:v>63.33</c:v>
                </c:pt>
                <c:pt idx="229">
                  <c:v>65.53</c:v>
                </c:pt>
                <c:pt idx="230">
                  <c:v>65.319999999999993</c:v>
                </c:pt>
                <c:pt idx="231">
                  <c:v>68.75</c:v>
                </c:pt>
                <c:pt idx="232">
                  <c:v>69.45</c:v>
                </c:pt>
                <c:pt idx="233">
                  <c:v>66.510000000000005</c:v>
                </c:pt>
                <c:pt idx="234">
                  <c:v>67</c:v>
                </c:pt>
                <c:pt idx="235">
                  <c:v>66.819999999999993</c:v>
                </c:pt>
                <c:pt idx="236">
                  <c:v>64.28</c:v>
                </c:pt>
                <c:pt idx="237">
                  <c:v>65.040000000000006</c:v>
                </c:pt>
                <c:pt idx="238">
                  <c:v>64.84</c:v>
                </c:pt>
                <c:pt idx="239">
                  <c:v>64.58</c:v>
                </c:pt>
                <c:pt idx="240">
                  <c:v>67.11</c:v>
                </c:pt>
                <c:pt idx="242">
                  <c:v>62.33</c:v>
                </c:pt>
                <c:pt idx="243">
                  <c:v>63.93</c:v>
                </c:pt>
                <c:pt idx="244">
                  <c:v>64.03</c:v>
                </c:pt>
                <c:pt idx="245">
                  <c:v>72.510000000000005</c:v>
                </c:pt>
                <c:pt idx="246">
                  <c:v>74.47</c:v>
                </c:pt>
                <c:pt idx="247">
                  <c:v>73.849999999999994</c:v>
                </c:pt>
                <c:pt idx="248">
                  <c:v>71.75</c:v>
                </c:pt>
                <c:pt idx="249">
                  <c:v>69.569999999999993</c:v>
                </c:pt>
                <c:pt idx="250">
                  <c:v>71.819999999999993</c:v>
                </c:pt>
                <c:pt idx="251">
                  <c:v>70.540000000000006</c:v>
                </c:pt>
                <c:pt idx="252">
                  <c:v>64.09</c:v>
                </c:pt>
                <c:pt idx="253">
                  <c:v>63.9</c:v>
                </c:pt>
                <c:pt idx="254">
                  <c:v>60.6</c:v>
                </c:pt>
                <c:pt idx="255">
                  <c:v>59.33</c:v>
                </c:pt>
                <c:pt idx="256">
                  <c:v>62.58</c:v>
                </c:pt>
                <c:pt idx="257">
                  <c:v>62.46</c:v>
                </c:pt>
                <c:pt idx="258">
                  <c:v>58.52</c:v>
                </c:pt>
                <c:pt idx="259">
                  <c:v>56.76</c:v>
                </c:pt>
                <c:pt idx="260">
                  <c:v>55.07</c:v>
                </c:pt>
                <c:pt idx="261">
                  <c:v>53.57</c:v>
                </c:pt>
                <c:pt idx="262">
                  <c:v>52.82</c:v>
                </c:pt>
                <c:pt idx="263">
                  <c:v>52.84</c:v>
                </c:pt>
                <c:pt idx="264">
                  <c:v>48.09</c:v>
                </c:pt>
                <c:pt idx="265">
                  <c:v>45.27</c:v>
                </c:pt>
                <c:pt idx="266">
                  <c:v>41.19</c:v>
                </c:pt>
                <c:pt idx="268">
                  <c:v>45.31</c:v>
                </c:pt>
                <c:pt idx="269">
                  <c:v>44.05</c:v>
                </c:pt>
                <c:pt idx="270">
                  <c:v>46.57</c:v>
                </c:pt>
                <c:pt idx="271">
                  <c:v>47.49</c:v>
                </c:pt>
                <c:pt idx="272">
                  <c:v>45.41</c:v>
                </c:pt>
                <c:pt idx="273">
                  <c:v>41.85</c:v>
                </c:pt>
                <c:pt idx="274">
                  <c:v>46.03</c:v>
                </c:pt>
                <c:pt idx="275">
                  <c:v>23.58</c:v>
                </c:pt>
                <c:pt idx="276">
                  <c:v>24.47</c:v>
                </c:pt>
                <c:pt idx="277">
                  <c:v>24.97</c:v>
                </c:pt>
                <c:pt idx="278">
                  <c:v>34.19</c:v>
                </c:pt>
                <c:pt idx="279">
                  <c:v>49.7</c:v>
                </c:pt>
                <c:pt idx="280">
                  <c:v>45.77</c:v>
                </c:pt>
                <c:pt idx="281">
                  <c:v>43.31</c:v>
                </c:pt>
                <c:pt idx="282">
                  <c:v>40.18</c:v>
                </c:pt>
                <c:pt idx="283">
                  <c:v>47.42</c:v>
                </c:pt>
                <c:pt idx="284">
                  <c:v>49.57</c:v>
                </c:pt>
                <c:pt idx="285">
                  <c:v>52.33</c:v>
                </c:pt>
                <c:pt idx="286">
                  <c:v>51.77</c:v>
                </c:pt>
                <c:pt idx="287">
                  <c:v>45.72</c:v>
                </c:pt>
                <c:pt idx="288">
                  <c:v>47.65</c:v>
                </c:pt>
                <c:pt idx="289">
                  <c:v>49.48</c:v>
                </c:pt>
                <c:pt idx="290">
                  <c:v>44.29</c:v>
                </c:pt>
                <c:pt idx="291">
                  <c:v>47.01</c:v>
                </c:pt>
                <c:pt idx="292">
                  <c:v>41.3</c:v>
                </c:pt>
                <c:pt idx="293">
                  <c:v>32.53</c:v>
                </c:pt>
                <c:pt idx="294">
                  <c:v>35.299999999999997</c:v>
                </c:pt>
                <c:pt idx="295">
                  <c:v>35.32</c:v>
                </c:pt>
                <c:pt idx="296">
                  <c:v>39.79</c:v>
                </c:pt>
                <c:pt idx="297">
                  <c:v>45.28</c:v>
                </c:pt>
                <c:pt idx="298">
                  <c:v>39.56</c:v>
                </c:pt>
                <c:pt idx="299">
                  <c:v>42.63</c:v>
                </c:pt>
                <c:pt idx="300">
                  <c:v>34.03</c:v>
                </c:pt>
                <c:pt idx="301">
                  <c:v>41.27</c:v>
                </c:pt>
                <c:pt idx="302">
                  <c:v>48.33</c:v>
                </c:pt>
                <c:pt idx="303">
                  <c:v>39.39</c:v>
                </c:pt>
                <c:pt idx="304">
                  <c:v>41.11</c:v>
                </c:pt>
                <c:pt idx="305">
                  <c:v>40.700000000000003</c:v>
                </c:pt>
                <c:pt idx="306">
                  <c:v>37.200000000000003</c:v>
                </c:pt>
                <c:pt idx="307">
                  <c:v>39.1</c:v>
                </c:pt>
                <c:pt idx="308">
                  <c:v>51.07</c:v>
                </c:pt>
                <c:pt idx="309">
                  <c:v>55.85</c:v>
                </c:pt>
                <c:pt idx="310">
                  <c:v>55.25</c:v>
                </c:pt>
                <c:pt idx="312">
                  <c:v>50.44</c:v>
                </c:pt>
                <c:pt idx="313">
                  <c:v>52.08</c:v>
                </c:pt>
                <c:pt idx="314">
                  <c:v>51.47</c:v>
                </c:pt>
                <c:pt idx="315">
                  <c:v>55.45</c:v>
                </c:pt>
                <c:pt idx="316">
                  <c:v>55.27</c:v>
                </c:pt>
                <c:pt idx="317">
                  <c:v>50.53</c:v>
                </c:pt>
                <c:pt idx="318">
                  <c:v>52.24</c:v>
                </c:pt>
                <c:pt idx="319">
                  <c:v>49.86</c:v>
                </c:pt>
                <c:pt idx="320">
                  <c:v>49.48</c:v>
                </c:pt>
                <c:pt idx="321">
                  <c:v>49.34</c:v>
                </c:pt>
                <c:pt idx="322">
                  <c:v>54.17</c:v>
                </c:pt>
                <c:pt idx="323">
                  <c:v>57.95</c:v>
                </c:pt>
                <c:pt idx="324">
                  <c:v>53.19</c:v>
                </c:pt>
                <c:pt idx="325">
                  <c:v>54.95</c:v>
                </c:pt>
                <c:pt idx="326">
                  <c:v>58.47</c:v>
                </c:pt>
                <c:pt idx="327">
                  <c:v>66.61</c:v>
                </c:pt>
                <c:pt idx="328">
                  <c:v>69.459999999999994</c:v>
                </c:pt>
                <c:pt idx="329">
                  <c:v>66.290000000000006</c:v>
                </c:pt>
                <c:pt idx="330">
                  <c:v>67.81</c:v>
                </c:pt>
                <c:pt idx="332">
                  <c:v>60.63</c:v>
                </c:pt>
                <c:pt idx="333">
                  <c:v>58.11</c:v>
                </c:pt>
                <c:pt idx="334">
                  <c:v>52.47</c:v>
                </c:pt>
                <c:pt idx="335">
                  <c:v>49.18</c:v>
                </c:pt>
                <c:pt idx="336">
                  <c:v>42.32</c:v>
                </c:pt>
                <c:pt idx="337">
                  <c:v>34.25</c:v>
                </c:pt>
                <c:pt idx="339">
                  <c:v>39.18</c:v>
                </c:pt>
                <c:pt idx="340">
                  <c:v>36.200000000000003</c:v>
                </c:pt>
                <c:pt idx="341">
                  <c:v>36.619999999999997</c:v>
                </c:pt>
                <c:pt idx="342">
                  <c:v>37.51</c:v>
                </c:pt>
                <c:pt idx="343">
                  <c:v>29.72</c:v>
                </c:pt>
                <c:pt idx="344">
                  <c:v>30.88</c:v>
                </c:pt>
                <c:pt idx="345">
                  <c:v>31.27</c:v>
                </c:pt>
                <c:pt idx="346">
                  <c:v>34.71</c:v>
                </c:pt>
                <c:pt idx="347">
                  <c:v>37.57</c:v>
                </c:pt>
                <c:pt idx="348">
                  <c:v>37.090000000000003</c:v>
                </c:pt>
                <c:pt idx="349">
                  <c:v>32.020000000000003</c:v>
                </c:pt>
                <c:pt idx="350">
                  <c:v>33.72</c:v>
                </c:pt>
                <c:pt idx="351">
                  <c:v>25.61</c:v>
                </c:pt>
                <c:pt idx="352">
                  <c:v>25.93</c:v>
                </c:pt>
                <c:pt idx="353">
                  <c:v>35.299999999999997</c:v>
                </c:pt>
                <c:pt idx="354">
                  <c:v>39.659999999999997</c:v>
                </c:pt>
                <c:pt idx="355">
                  <c:v>38.99</c:v>
                </c:pt>
                <c:pt idx="356">
                  <c:v>40.229999999999997</c:v>
                </c:pt>
                <c:pt idx="357">
                  <c:v>43.39</c:v>
                </c:pt>
                <c:pt idx="358">
                  <c:v>44.55</c:v>
                </c:pt>
                <c:pt idx="359">
                  <c:v>45.77</c:v>
                </c:pt>
                <c:pt idx="360">
                  <c:v>50.34</c:v>
                </c:pt>
                <c:pt idx="361">
                  <c:v>51.76</c:v>
                </c:pt>
                <c:pt idx="362">
                  <c:v>59.19</c:v>
                </c:pt>
                <c:pt idx="363">
                  <c:v>57.15</c:v>
                </c:pt>
                <c:pt idx="364">
                  <c:v>61.29</c:v>
                </c:pt>
                <c:pt idx="365">
                  <c:v>66.58</c:v>
                </c:pt>
                <c:pt idx="367">
                  <c:v>64.400000000000006</c:v>
                </c:pt>
                <c:pt idx="368">
                  <c:v>67.06</c:v>
                </c:pt>
                <c:pt idx="369">
                  <c:v>66.650000000000006</c:v>
                </c:pt>
                <c:pt idx="370">
                  <c:v>64.5</c:v>
                </c:pt>
                <c:pt idx="371">
                  <c:v>59.12</c:v>
                </c:pt>
                <c:pt idx="372">
                  <c:v>53.29</c:v>
                </c:pt>
                <c:pt idx="373">
                  <c:v>52.75</c:v>
                </c:pt>
                <c:pt idx="374">
                  <c:v>53.21</c:v>
                </c:pt>
                <c:pt idx="375">
                  <c:v>53.89</c:v>
                </c:pt>
                <c:pt idx="376">
                  <c:v>56.57</c:v>
                </c:pt>
                <c:pt idx="377">
                  <c:v>66.349999999999994</c:v>
                </c:pt>
                <c:pt idx="378">
                  <c:v>65.66</c:v>
                </c:pt>
                <c:pt idx="379">
                  <c:v>71.209999999999994</c:v>
                </c:pt>
                <c:pt idx="380">
                  <c:v>69.040000000000006</c:v>
                </c:pt>
                <c:pt idx="381">
                  <c:v>65.739999999999995</c:v>
                </c:pt>
                <c:pt idx="382">
                  <c:v>69.61</c:v>
                </c:pt>
                <c:pt idx="383">
                  <c:v>53.72</c:v>
                </c:pt>
                <c:pt idx="384">
                  <c:v>41.86</c:v>
                </c:pt>
                <c:pt idx="385">
                  <c:v>42.54</c:v>
                </c:pt>
                <c:pt idx="386">
                  <c:v>41.48</c:v>
                </c:pt>
                <c:pt idx="387">
                  <c:v>48.68</c:v>
                </c:pt>
                <c:pt idx="388">
                  <c:v>49.87</c:v>
                </c:pt>
                <c:pt idx="389">
                  <c:v>50.77</c:v>
                </c:pt>
                <c:pt idx="390">
                  <c:v>48.87</c:v>
                </c:pt>
                <c:pt idx="391">
                  <c:v>50.5</c:v>
                </c:pt>
                <c:pt idx="392">
                  <c:v>54.94</c:v>
                </c:pt>
                <c:pt idx="393">
                  <c:v>56.91</c:v>
                </c:pt>
                <c:pt idx="394">
                  <c:v>66.209999999999994</c:v>
                </c:pt>
                <c:pt idx="395">
                  <c:v>69.28</c:v>
                </c:pt>
                <c:pt idx="396">
                  <c:v>68.099999999999994</c:v>
                </c:pt>
                <c:pt idx="397">
                  <c:v>70.48</c:v>
                </c:pt>
                <c:pt idx="398">
                  <c:v>67.67</c:v>
                </c:pt>
                <c:pt idx="399">
                  <c:v>74.239999999999995</c:v>
                </c:pt>
                <c:pt idx="400">
                  <c:v>72.3</c:v>
                </c:pt>
                <c:pt idx="401">
                  <c:v>65.19</c:v>
                </c:pt>
                <c:pt idx="402">
                  <c:v>70</c:v>
                </c:pt>
                <c:pt idx="403">
                  <c:v>65.97</c:v>
                </c:pt>
                <c:pt idx="404">
                  <c:v>64.89</c:v>
                </c:pt>
                <c:pt idx="405">
                  <c:v>67.069999999999993</c:v>
                </c:pt>
                <c:pt idx="406">
                  <c:v>63.85</c:v>
                </c:pt>
                <c:pt idx="407">
                  <c:v>68.41</c:v>
                </c:pt>
                <c:pt idx="408">
                  <c:v>70.099999999999994</c:v>
                </c:pt>
                <c:pt idx="409">
                  <c:v>69.900000000000006</c:v>
                </c:pt>
                <c:pt idx="410">
                  <c:v>68.25</c:v>
                </c:pt>
                <c:pt idx="411">
                  <c:v>67.739999999999995</c:v>
                </c:pt>
                <c:pt idx="412">
                  <c:v>65.930000000000007</c:v>
                </c:pt>
                <c:pt idx="413">
                  <c:v>69.319999999999993</c:v>
                </c:pt>
                <c:pt idx="414">
                  <c:v>66.91</c:v>
                </c:pt>
                <c:pt idx="415">
                  <c:v>65.72</c:v>
                </c:pt>
                <c:pt idx="416">
                  <c:v>70.55</c:v>
                </c:pt>
                <c:pt idx="417">
                  <c:v>64.739999999999995</c:v>
                </c:pt>
                <c:pt idx="418">
                  <c:v>65.319999999999993</c:v>
                </c:pt>
                <c:pt idx="419">
                  <c:v>63.33</c:v>
                </c:pt>
                <c:pt idx="420">
                  <c:v>61.41</c:v>
                </c:pt>
                <c:pt idx="421">
                  <c:v>57.36</c:v>
                </c:pt>
                <c:pt idx="422">
                  <c:v>53.97</c:v>
                </c:pt>
                <c:pt idx="423">
                  <c:v>53.16</c:v>
                </c:pt>
                <c:pt idx="424">
                  <c:v>52.43</c:v>
                </c:pt>
                <c:pt idx="425">
                  <c:v>45.43</c:v>
                </c:pt>
                <c:pt idx="426">
                  <c:v>49.99</c:v>
                </c:pt>
                <c:pt idx="427">
                  <c:v>56.08</c:v>
                </c:pt>
                <c:pt idx="428">
                  <c:v>55.64</c:v>
                </c:pt>
                <c:pt idx="430">
                  <c:v>70.040000000000006</c:v>
                </c:pt>
                <c:pt idx="431">
                  <c:v>66.16</c:v>
                </c:pt>
                <c:pt idx="432">
                  <c:v>63.26</c:v>
                </c:pt>
                <c:pt idx="433">
                  <c:v>63.59</c:v>
                </c:pt>
                <c:pt idx="434">
                  <c:v>63.36</c:v>
                </c:pt>
                <c:pt idx="435">
                  <c:v>64.040000000000006</c:v>
                </c:pt>
                <c:pt idx="436">
                  <c:v>60.42</c:v>
                </c:pt>
                <c:pt idx="437">
                  <c:v>61.13</c:v>
                </c:pt>
                <c:pt idx="438">
                  <c:v>58.96</c:v>
                </c:pt>
                <c:pt idx="439">
                  <c:v>60.38</c:v>
                </c:pt>
                <c:pt idx="440">
                  <c:v>58.33</c:v>
                </c:pt>
                <c:pt idx="441">
                  <c:v>58.99</c:v>
                </c:pt>
                <c:pt idx="442">
                  <c:v>54.47</c:v>
                </c:pt>
                <c:pt idx="443">
                  <c:v>53.02</c:v>
                </c:pt>
                <c:pt idx="444">
                  <c:v>49.19</c:v>
                </c:pt>
                <c:pt idx="445">
                  <c:v>51.07</c:v>
                </c:pt>
                <c:pt idx="446">
                  <c:v>51.01</c:v>
                </c:pt>
                <c:pt idx="447">
                  <c:v>42.63</c:v>
                </c:pt>
                <c:pt idx="448">
                  <c:v>44.1</c:v>
                </c:pt>
                <c:pt idx="449">
                  <c:v>39.299999999999997</c:v>
                </c:pt>
                <c:pt idx="450">
                  <c:v>44.52</c:v>
                </c:pt>
                <c:pt idx="451">
                  <c:v>52.98</c:v>
                </c:pt>
                <c:pt idx="452">
                  <c:v>62.44</c:v>
                </c:pt>
                <c:pt idx="453">
                  <c:v>58.32</c:v>
                </c:pt>
                <c:pt idx="454">
                  <c:v>57.18</c:v>
                </c:pt>
                <c:pt idx="455">
                  <c:v>58.06</c:v>
                </c:pt>
                <c:pt idx="456">
                  <c:v>51.38</c:v>
                </c:pt>
                <c:pt idx="457">
                  <c:v>47.77</c:v>
                </c:pt>
                <c:pt idx="458">
                  <c:v>58.88</c:v>
                </c:pt>
                <c:pt idx="459">
                  <c:v>60.02</c:v>
                </c:pt>
                <c:pt idx="460">
                  <c:v>55.79</c:v>
                </c:pt>
                <c:pt idx="461">
                  <c:v>58.94</c:v>
                </c:pt>
                <c:pt idx="462">
                  <c:v>63.73</c:v>
                </c:pt>
                <c:pt idx="463">
                  <c:v>72.849999999999994</c:v>
                </c:pt>
                <c:pt idx="464">
                  <c:v>63.67</c:v>
                </c:pt>
                <c:pt idx="465">
                  <c:v>60.1</c:v>
                </c:pt>
                <c:pt idx="466">
                  <c:v>56.96</c:v>
                </c:pt>
                <c:pt idx="467">
                  <c:v>48.81</c:v>
                </c:pt>
                <c:pt idx="468">
                  <c:v>41.66</c:v>
                </c:pt>
                <c:pt idx="469">
                  <c:v>44.49</c:v>
                </c:pt>
                <c:pt idx="470">
                  <c:v>43.48</c:v>
                </c:pt>
                <c:pt idx="472">
                  <c:v>45.75</c:v>
                </c:pt>
                <c:pt idx="473">
                  <c:v>42.99</c:v>
                </c:pt>
                <c:pt idx="474">
                  <c:v>38.64</c:v>
                </c:pt>
                <c:pt idx="475">
                  <c:v>44.96</c:v>
                </c:pt>
                <c:pt idx="476">
                  <c:v>44.64</c:v>
                </c:pt>
                <c:pt idx="477">
                  <c:v>43.85</c:v>
                </c:pt>
                <c:pt idx="478">
                  <c:v>45.38</c:v>
                </c:pt>
                <c:pt idx="479">
                  <c:v>50.58</c:v>
                </c:pt>
                <c:pt idx="480">
                  <c:v>50.08</c:v>
                </c:pt>
                <c:pt idx="481">
                  <c:v>51.35</c:v>
                </c:pt>
                <c:pt idx="483">
                  <c:v>50.99</c:v>
                </c:pt>
                <c:pt idx="484">
                  <c:v>48.09</c:v>
                </c:pt>
                <c:pt idx="485">
                  <c:v>41.56</c:v>
                </c:pt>
                <c:pt idx="486">
                  <c:v>46.55</c:v>
                </c:pt>
                <c:pt idx="487">
                  <c:v>50.14</c:v>
                </c:pt>
                <c:pt idx="488">
                  <c:v>44.28</c:v>
                </c:pt>
                <c:pt idx="489">
                  <c:v>47.4</c:v>
                </c:pt>
                <c:pt idx="490">
                  <c:v>45.47</c:v>
                </c:pt>
                <c:pt idx="491">
                  <c:v>44.82</c:v>
                </c:pt>
                <c:pt idx="492">
                  <c:v>47.77</c:v>
                </c:pt>
                <c:pt idx="493">
                  <c:v>41.78</c:v>
                </c:pt>
                <c:pt idx="494">
                  <c:v>42.89</c:v>
                </c:pt>
                <c:pt idx="495">
                  <c:v>49</c:v>
                </c:pt>
                <c:pt idx="496">
                  <c:v>41.41</c:v>
                </c:pt>
                <c:pt idx="497">
                  <c:v>36.49</c:v>
                </c:pt>
                <c:pt idx="498">
                  <c:v>43.62</c:v>
                </c:pt>
                <c:pt idx="500">
                  <c:v>51.84</c:v>
                </c:pt>
                <c:pt idx="501">
                  <c:v>48.07</c:v>
                </c:pt>
                <c:pt idx="502">
                  <c:v>57.96</c:v>
                </c:pt>
                <c:pt idx="503">
                  <c:v>57.13</c:v>
                </c:pt>
                <c:pt idx="504">
                  <c:v>60.14</c:v>
                </c:pt>
                <c:pt idx="505">
                  <c:v>58.97</c:v>
                </c:pt>
                <c:pt idx="506">
                  <c:v>58.3</c:v>
                </c:pt>
                <c:pt idx="507">
                  <c:v>63.43</c:v>
                </c:pt>
                <c:pt idx="508">
                  <c:v>59.84</c:v>
                </c:pt>
                <c:pt idx="509">
                  <c:v>60.04</c:v>
                </c:pt>
                <c:pt idx="510">
                  <c:v>63.52</c:v>
                </c:pt>
                <c:pt idx="511">
                  <c:v>63.19</c:v>
                </c:pt>
                <c:pt idx="512">
                  <c:v>58.26</c:v>
                </c:pt>
                <c:pt idx="513">
                  <c:v>58.26</c:v>
                </c:pt>
                <c:pt idx="514">
                  <c:v>56.89</c:v>
                </c:pt>
                <c:pt idx="515">
                  <c:v>51.53</c:v>
                </c:pt>
                <c:pt idx="516">
                  <c:v>47.36</c:v>
                </c:pt>
                <c:pt idx="517">
                  <c:v>43.66</c:v>
                </c:pt>
                <c:pt idx="518">
                  <c:v>44.92</c:v>
                </c:pt>
                <c:pt idx="519">
                  <c:v>54.43</c:v>
                </c:pt>
                <c:pt idx="520">
                  <c:v>50.35</c:v>
                </c:pt>
                <c:pt idx="521">
                  <c:v>49.32</c:v>
                </c:pt>
                <c:pt idx="522">
                  <c:v>47.44</c:v>
                </c:pt>
                <c:pt idx="523">
                  <c:v>52.19</c:v>
                </c:pt>
                <c:pt idx="524">
                  <c:v>43.07</c:v>
                </c:pt>
                <c:pt idx="525">
                  <c:v>37.08</c:v>
                </c:pt>
                <c:pt idx="526">
                  <c:v>37.979999999999997</c:v>
                </c:pt>
                <c:pt idx="527">
                  <c:v>39.68</c:v>
                </c:pt>
                <c:pt idx="528">
                  <c:v>42.32</c:v>
                </c:pt>
                <c:pt idx="529">
                  <c:v>43.52</c:v>
                </c:pt>
                <c:pt idx="530">
                  <c:v>47.44</c:v>
                </c:pt>
                <c:pt idx="531">
                  <c:v>54.29</c:v>
                </c:pt>
                <c:pt idx="532">
                  <c:v>53.63</c:v>
                </c:pt>
                <c:pt idx="533">
                  <c:v>59.7</c:v>
                </c:pt>
                <c:pt idx="534">
                  <c:v>61.45</c:v>
                </c:pt>
                <c:pt idx="535">
                  <c:v>62.75</c:v>
                </c:pt>
                <c:pt idx="536">
                  <c:v>56.02</c:v>
                </c:pt>
                <c:pt idx="537">
                  <c:v>62.75</c:v>
                </c:pt>
                <c:pt idx="538">
                  <c:v>60.16</c:v>
                </c:pt>
                <c:pt idx="539">
                  <c:v>63.9</c:v>
                </c:pt>
                <c:pt idx="541">
                  <c:v>70.709999999999994</c:v>
                </c:pt>
                <c:pt idx="542">
                  <c:v>70.650000000000006</c:v>
                </c:pt>
                <c:pt idx="543">
                  <c:v>63.81</c:v>
                </c:pt>
                <c:pt idx="544">
                  <c:v>67.099999999999994</c:v>
                </c:pt>
                <c:pt idx="545">
                  <c:v>73.42</c:v>
                </c:pt>
                <c:pt idx="546">
                  <c:v>76.989999999999995</c:v>
                </c:pt>
                <c:pt idx="547">
                  <c:v>73.569999999999993</c:v>
                </c:pt>
                <c:pt idx="548">
                  <c:v>68.31</c:v>
                </c:pt>
                <c:pt idx="549">
                  <c:v>63.53</c:v>
                </c:pt>
                <c:pt idx="550">
                  <c:v>64.92</c:v>
                </c:pt>
                <c:pt idx="551">
                  <c:v>64.83</c:v>
                </c:pt>
                <c:pt idx="552">
                  <c:v>69.06</c:v>
                </c:pt>
                <c:pt idx="553">
                  <c:v>67.83</c:v>
                </c:pt>
                <c:pt idx="554">
                  <c:v>65.739999999999995</c:v>
                </c:pt>
                <c:pt idx="555">
                  <c:v>70.7</c:v>
                </c:pt>
                <c:pt idx="556">
                  <c:v>72.89</c:v>
                </c:pt>
                <c:pt idx="557">
                  <c:v>69.73</c:v>
                </c:pt>
                <c:pt idx="558">
                  <c:v>67.47</c:v>
                </c:pt>
                <c:pt idx="559">
                  <c:v>75.819999999999993</c:v>
                </c:pt>
                <c:pt idx="560">
                  <c:v>74.53</c:v>
                </c:pt>
                <c:pt idx="561">
                  <c:v>72.95</c:v>
                </c:pt>
                <c:pt idx="562">
                  <c:v>71.790000000000006</c:v>
                </c:pt>
                <c:pt idx="563">
                  <c:v>70.5</c:v>
                </c:pt>
                <c:pt idx="564">
                  <c:v>69.930000000000007</c:v>
                </c:pt>
                <c:pt idx="565">
                  <c:v>71.19</c:v>
                </c:pt>
                <c:pt idx="566">
                  <c:v>69.400000000000006</c:v>
                </c:pt>
                <c:pt idx="567">
                  <c:v>64.66</c:v>
                </c:pt>
                <c:pt idx="568">
                  <c:v>62.94</c:v>
                </c:pt>
                <c:pt idx="570">
                  <c:v>65.260000000000005</c:v>
                </c:pt>
                <c:pt idx="571">
                  <c:v>69.84</c:v>
                </c:pt>
                <c:pt idx="572">
                  <c:v>67.19</c:v>
                </c:pt>
                <c:pt idx="573">
                  <c:v>59.99</c:v>
                </c:pt>
                <c:pt idx="574">
                  <c:v>68.64</c:v>
                </c:pt>
                <c:pt idx="575">
                  <c:v>68.03</c:v>
                </c:pt>
                <c:pt idx="576">
                  <c:v>67.41</c:v>
                </c:pt>
                <c:pt idx="577">
                  <c:v>67.349999999999994</c:v>
                </c:pt>
                <c:pt idx="578">
                  <c:v>64.83</c:v>
                </c:pt>
                <c:pt idx="579">
                  <c:v>61.1</c:v>
                </c:pt>
                <c:pt idx="580">
                  <c:v>65.010000000000005</c:v>
                </c:pt>
                <c:pt idx="581">
                  <c:v>62.27</c:v>
                </c:pt>
                <c:pt idx="582">
                  <c:v>53.9</c:v>
                </c:pt>
                <c:pt idx="583">
                  <c:v>62.79</c:v>
                </c:pt>
                <c:pt idx="584">
                  <c:v>62.62</c:v>
                </c:pt>
                <c:pt idx="585">
                  <c:v>59.36</c:v>
                </c:pt>
                <c:pt idx="586">
                  <c:v>60.55</c:v>
                </c:pt>
                <c:pt idx="587">
                  <c:v>55.59</c:v>
                </c:pt>
                <c:pt idx="588">
                  <c:v>60.14</c:v>
                </c:pt>
                <c:pt idx="589">
                  <c:v>60.74</c:v>
                </c:pt>
                <c:pt idx="590">
                  <c:v>56.92</c:v>
                </c:pt>
                <c:pt idx="591">
                  <c:v>53.38</c:v>
                </c:pt>
                <c:pt idx="592">
                  <c:v>44.79</c:v>
                </c:pt>
                <c:pt idx="593">
                  <c:v>49.01</c:v>
                </c:pt>
                <c:pt idx="595">
                  <c:v>56.45</c:v>
                </c:pt>
                <c:pt idx="596">
                  <c:v>56.52</c:v>
                </c:pt>
                <c:pt idx="597">
                  <c:v>58.28</c:v>
                </c:pt>
                <c:pt idx="598">
                  <c:v>55.46</c:v>
                </c:pt>
                <c:pt idx="599">
                  <c:v>57.68</c:v>
                </c:pt>
                <c:pt idx="600">
                  <c:v>54.12</c:v>
                </c:pt>
                <c:pt idx="601">
                  <c:v>53.48</c:v>
                </c:pt>
                <c:pt idx="602">
                  <c:v>52.81</c:v>
                </c:pt>
                <c:pt idx="603">
                  <c:v>62.83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73-43EF-9B8B-9F93B9919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부동산  </a:t>
            </a:r>
            <a:r>
              <a:rPr lang="en-US"/>
              <a:t>vs  </a:t>
            </a:r>
            <a:r>
              <a:rPr lang="ko-KR" altLang="en-US"/>
              <a:t>부동산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RSI'!$W$7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RSI'!$W$78:$W$3077</c:f>
              <c:numCache>
                <c:formatCode>0.00</c:formatCode>
                <c:ptCount val="3000"/>
                <c:pt idx="1">
                  <c:v>49.05</c:v>
                </c:pt>
                <c:pt idx="2">
                  <c:v>44.41</c:v>
                </c:pt>
                <c:pt idx="3">
                  <c:v>68.3</c:v>
                </c:pt>
                <c:pt idx="4">
                  <c:v>76.44</c:v>
                </c:pt>
                <c:pt idx="5">
                  <c:v>75.849999999999994</c:v>
                </c:pt>
                <c:pt idx="6">
                  <c:v>74.22</c:v>
                </c:pt>
                <c:pt idx="7">
                  <c:v>73.819999999999993</c:v>
                </c:pt>
                <c:pt idx="8">
                  <c:v>71.239999999999995</c:v>
                </c:pt>
                <c:pt idx="9">
                  <c:v>67.78</c:v>
                </c:pt>
                <c:pt idx="10">
                  <c:v>64.61</c:v>
                </c:pt>
                <c:pt idx="11">
                  <c:v>62.41</c:v>
                </c:pt>
                <c:pt idx="12">
                  <c:v>61.68</c:v>
                </c:pt>
                <c:pt idx="13">
                  <c:v>70.55</c:v>
                </c:pt>
                <c:pt idx="14">
                  <c:v>69.069999999999993</c:v>
                </c:pt>
                <c:pt idx="15">
                  <c:v>65.88</c:v>
                </c:pt>
                <c:pt idx="16">
                  <c:v>61.2</c:v>
                </c:pt>
                <c:pt idx="17">
                  <c:v>58.11</c:v>
                </c:pt>
                <c:pt idx="18">
                  <c:v>55.6</c:v>
                </c:pt>
                <c:pt idx="19">
                  <c:v>57.03</c:v>
                </c:pt>
                <c:pt idx="20">
                  <c:v>55.08</c:v>
                </c:pt>
                <c:pt idx="21">
                  <c:v>53.29</c:v>
                </c:pt>
                <c:pt idx="22">
                  <c:v>52.56</c:v>
                </c:pt>
                <c:pt idx="23">
                  <c:v>46.39</c:v>
                </c:pt>
                <c:pt idx="24">
                  <c:v>49.7</c:v>
                </c:pt>
                <c:pt idx="25">
                  <c:v>55.53</c:v>
                </c:pt>
                <c:pt idx="26">
                  <c:v>53.51</c:v>
                </c:pt>
                <c:pt idx="27">
                  <c:v>56.05</c:v>
                </c:pt>
                <c:pt idx="28">
                  <c:v>51.83</c:v>
                </c:pt>
                <c:pt idx="29">
                  <c:v>50.65</c:v>
                </c:pt>
                <c:pt idx="30">
                  <c:v>58.69</c:v>
                </c:pt>
                <c:pt idx="31">
                  <c:v>56.05</c:v>
                </c:pt>
                <c:pt idx="32">
                  <c:v>56.46</c:v>
                </c:pt>
                <c:pt idx="33">
                  <c:v>54.83</c:v>
                </c:pt>
                <c:pt idx="34">
                  <c:v>53.12</c:v>
                </c:pt>
                <c:pt idx="35">
                  <c:v>55.72</c:v>
                </c:pt>
                <c:pt idx="36">
                  <c:v>52.5</c:v>
                </c:pt>
                <c:pt idx="37">
                  <c:v>47.76</c:v>
                </c:pt>
                <c:pt idx="38">
                  <c:v>45.86</c:v>
                </c:pt>
                <c:pt idx="39">
                  <c:v>42.24</c:v>
                </c:pt>
                <c:pt idx="40">
                  <c:v>47.48</c:v>
                </c:pt>
                <c:pt idx="41">
                  <c:v>49.19</c:v>
                </c:pt>
                <c:pt idx="42">
                  <c:v>26.95</c:v>
                </c:pt>
                <c:pt idx="43">
                  <c:v>52.15</c:v>
                </c:pt>
                <c:pt idx="45">
                  <c:v>72.37</c:v>
                </c:pt>
                <c:pt idx="46">
                  <c:v>69.08</c:v>
                </c:pt>
                <c:pt idx="47">
                  <c:v>68.77</c:v>
                </c:pt>
                <c:pt idx="48">
                  <c:v>67.599999999999994</c:v>
                </c:pt>
                <c:pt idx="49">
                  <c:v>65.58</c:v>
                </c:pt>
                <c:pt idx="50">
                  <c:v>61.19</c:v>
                </c:pt>
                <c:pt idx="51">
                  <c:v>65.52</c:v>
                </c:pt>
                <c:pt idx="54">
                  <c:v>65.5</c:v>
                </c:pt>
                <c:pt idx="55">
                  <c:v>65.13</c:v>
                </c:pt>
                <c:pt idx="56">
                  <c:v>60.46</c:v>
                </c:pt>
                <c:pt idx="57">
                  <c:v>57.77</c:v>
                </c:pt>
                <c:pt idx="58">
                  <c:v>56.55</c:v>
                </c:pt>
                <c:pt idx="59">
                  <c:v>56.45</c:v>
                </c:pt>
                <c:pt idx="60">
                  <c:v>57.08</c:v>
                </c:pt>
                <c:pt idx="61">
                  <c:v>54.87</c:v>
                </c:pt>
                <c:pt idx="62">
                  <c:v>50.48</c:v>
                </c:pt>
                <c:pt idx="63">
                  <c:v>45.06</c:v>
                </c:pt>
                <c:pt idx="64">
                  <c:v>52.35</c:v>
                </c:pt>
                <c:pt idx="65">
                  <c:v>59.59</c:v>
                </c:pt>
                <c:pt idx="66">
                  <c:v>54.17</c:v>
                </c:pt>
                <c:pt idx="67">
                  <c:v>62.79</c:v>
                </c:pt>
                <c:pt idx="68">
                  <c:v>57.06</c:v>
                </c:pt>
                <c:pt idx="69">
                  <c:v>56.16</c:v>
                </c:pt>
                <c:pt idx="70">
                  <c:v>54.77</c:v>
                </c:pt>
                <c:pt idx="71">
                  <c:v>57.61</c:v>
                </c:pt>
                <c:pt idx="72">
                  <c:v>62.81</c:v>
                </c:pt>
                <c:pt idx="73">
                  <c:v>60.42</c:v>
                </c:pt>
                <c:pt idx="74">
                  <c:v>56.52</c:v>
                </c:pt>
                <c:pt idx="75">
                  <c:v>54.43</c:v>
                </c:pt>
                <c:pt idx="76">
                  <c:v>51.92</c:v>
                </c:pt>
                <c:pt idx="77">
                  <c:v>51.79</c:v>
                </c:pt>
                <c:pt idx="78">
                  <c:v>54.61</c:v>
                </c:pt>
                <c:pt idx="79">
                  <c:v>59.13</c:v>
                </c:pt>
                <c:pt idx="80">
                  <c:v>59.97</c:v>
                </c:pt>
                <c:pt idx="81">
                  <c:v>64.05</c:v>
                </c:pt>
                <c:pt idx="82">
                  <c:v>64.19</c:v>
                </c:pt>
                <c:pt idx="83">
                  <c:v>59.71</c:v>
                </c:pt>
                <c:pt idx="84">
                  <c:v>58.6</c:v>
                </c:pt>
                <c:pt idx="86">
                  <c:v>50.84</c:v>
                </c:pt>
                <c:pt idx="87">
                  <c:v>45.36</c:v>
                </c:pt>
                <c:pt idx="88">
                  <c:v>51.04</c:v>
                </c:pt>
                <c:pt idx="89">
                  <c:v>49.31</c:v>
                </c:pt>
                <c:pt idx="90">
                  <c:v>46.64</c:v>
                </c:pt>
                <c:pt idx="91">
                  <c:v>45.51</c:v>
                </c:pt>
                <c:pt idx="92">
                  <c:v>47.67</c:v>
                </c:pt>
                <c:pt idx="93">
                  <c:v>37.4</c:v>
                </c:pt>
                <c:pt idx="94">
                  <c:v>47.34</c:v>
                </c:pt>
                <c:pt idx="95">
                  <c:v>47.68</c:v>
                </c:pt>
                <c:pt idx="96">
                  <c:v>51.43</c:v>
                </c:pt>
                <c:pt idx="97">
                  <c:v>59.58</c:v>
                </c:pt>
                <c:pt idx="98">
                  <c:v>73.75</c:v>
                </c:pt>
                <c:pt idx="99">
                  <c:v>78.69</c:v>
                </c:pt>
                <c:pt idx="100">
                  <c:v>77.25</c:v>
                </c:pt>
                <c:pt idx="101">
                  <c:v>82.22</c:v>
                </c:pt>
                <c:pt idx="102">
                  <c:v>81.02</c:v>
                </c:pt>
                <c:pt idx="103">
                  <c:v>79.290000000000006</c:v>
                </c:pt>
                <c:pt idx="104">
                  <c:v>74.81</c:v>
                </c:pt>
                <c:pt idx="105">
                  <c:v>69.819999999999993</c:v>
                </c:pt>
                <c:pt idx="106">
                  <c:v>67.47</c:v>
                </c:pt>
                <c:pt idx="107">
                  <c:v>66.900000000000006</c:v>
                </c:pt>
                <c:pt idx="108">
                  <c:v>69.5</c:v>
                </c:pt>
                <c:pt idx="109">
                  <c:v>68.92</c:v>
                </c:pt>
                <c:pt idx="110">
                  <c:v>64.06</c:v>
                </c:pt>
                <c:pt idx="111">
                  <c:v>63.73</c:v>
                </c:pt>
                <c:pt idx="112">
                  <c:v>59.92</c:v>
                </c:pt>
                <c:pt idx="113">
                  <c:v>65.37</c:v>
                </c:pt>
                <c:pt idx="114">
                  <c:v>61.03</c:v>
                </c:pt>
                <c:pt idx="115">
                  <c:v>56.55</c:v>
                </c:pt>
                <c:pt idx="116">
                  <c:v>59.72</c:v>
                </c:pt>
                <c:pt idx="117">
                  <c:v>56.04</c:v>
                </c:pt>
                <c:pt idx="118">
                  <c:v>60.08</c:v>
                </c:pt>
                <c:pt idx="119">
                  <c:v>58.64</c:v>
                </c:pt>
                <c:pt idx="120">
                  <c:v>55.2</c:v>
                </c:pt>
                <c:pt idx="121">
                  <c:v>49.96</c:v>
                </c:pt>
                <c:pt idx="122">
                  <c:v>51.82</c:v>
                </c:pt>
                <c:pt idx="123">
                  <c:v>49.82</c:v>
                </c:pt>
                <c:pt idx="124">
                  <c:v>40.28</c:v>
                </c:pt>
                <c:pt idx="125">
                  <c:v>44.89</c:v>
                </c:pt>
                <c:pt idx="126">
                  <c:v>47</c:v>
                </c:pt>
                <c:pt idx="127">
                  <c:v>54.02</c:v>
                </c:pt>
                <c:pt idx="128">
                  <c:v>67.13</c:v>
                </c:pt>
                <c:pt idx="129">
                  <c:v>66.959999999999994</c:v>
                </c:pt>
                <c:pt idx="130">
                  <c:v>66.47</c:v>
                </c:pt>
                <c:pt idx="131">
                  <c:v>64.83</c:v>
                </c:pt>
                <c:pt idx="132">
                  <c:v>62.4</c:v>
                </c:pt>
                <c:pt idx="133">
                  <c:v>59.39</c:v>
                </c:pt>
                <c:pt idx="134">
                  <c:v>58.46</c:v>
                </c:pt>
                <c:pt idx="135">
                  <c:v>55.38</c:v>
                </c:pt>
                <c:pt idx="136">
                  <c:v>55.81</c:v>
                </c:pt>
                <c:pt idx="137">
                  <c:v>54.1</c:v>
                </c:pt>
                <c:pt idx="138">
                  <c:v>57.71</c:v>
                </c:pt>
                <c:pt idx="139">
                  <c:v>58.14</c:v>
                </c:pt>
                <c:pt idx="140">
                  <c:v>53.73</c:v>
                </c:pt>
                <c:pt idx="141">
                  <c:v>54.66</c:v>
                </c:pt>
                <c:pt idx="142">
                  <c:v>59.02</c:v>
                </c:pt>
                <c:pt idx="148">
                  <c:v>59.48</c:v>
                </c:pt>
                <c:pt idx="149">
                  <c:v>57.01</c:v>
                </c:pt>
                <c:pt idx="150">
                  <c:v>51.21</c:v>
                </c:pt>
                <c:pt idx="151">
                  <c:v>53.28</c:v>
                </c:pt>
                <c:pt idx="152">
                  <c:v>53.08</c:v>
                </c:pt>
                <c:pt idx="153">
                  <c:v>57.73</c:v>
                </c:pt>
                <c:pt idx="154">
                  <c:v>55.65</c:v>
                </c:pt>
                <c:pt idx="155">
                  <c:v>53.82</c:v>
                </c:pt>
                <c:pt idx="156">
                  <c:v>63.1</c:v>
                </c:pt>
                <c:pt idx="157">
                  <c:v>68.39</c:v>
                </c:pt>
                <c:pt idx="158">
                  <c:v>69.849999999999994</c:v>
                </c:pt>
                <c:pt idx="159">
                  <c:v>69.53</c:v>
                </c:pt>
                <c:pt idx="160">
                  <c:v>66.989999999999995</c:v>
                </c:pt>
                <c:pt idx="161">
                  <c:v>75.66</c:v>
                </c:pt>
                <c:pt idx="162">
                  <c:v>74.34</c:v>
                </c:pt>
                <c:pt idx="163">
                  <c:v>71.92</c:v>
                </c:pt>
                <c:pt idx="164">
                  <c:v>71.010000000000005</c:v>
                </c:pt>
                <c:pt idx="165">
                  <c:v>70.84</c:v>
                </c:pt>
                <c:pt idx="166">
                  <c:v>75.150000000000006</c:v>
                </c:pt>
                <c:pt idx="167">
                  <c:v>67.569999999999993</c:v>
                </c:pt>
                <c:pt idx="168">
                  <c:v>63.24</c:v>
                </c:pt>
                <c:pt idx="169">
                  <c:v>60.77</c:v>
                </c:pt>
                <c:pt idx="170">
                  <c:v>59.74</c:v>
                </c:pt>
                <c:pt idx="171">
                  <c:v>54.85</c:v>
                </c:pt>
                <c:pt idx="172">
                  <c:v>49.98</c:v>
                </c:pt>
                <c:pt idx="173">
                  <c:v>55.19</c:v>
                </c:pt>
                <c:pt idx="174">
                  <c:v>50.64</c:v>
                </c:pt>
                <c:pt idx="175">
                  <c:v>55.24</c:v>
                </c:pt>
                <c:pt idx="176">
                  <c:v>52.66</c:v>
                </c:pt>
                <c:pt idx="177">
                  <c:v>50.18</c:v>
                </c:pt>
                <c:pt idx="178">
                  <c:v>48.47</c:v>
                </c:pt>
                <c:pt idx="179">
                  <c:v>46.19</c:v>
                </c:pt>
                <c:pt idx="180">
                  <c:v>47.22</c:v>
                </c:pt>
                <c:pt idx="181">
                  <c:v>43.48</c:v>
                </c:pt>
                <c:pt idx="183">
                  <c:v>43.86</c:v>
                </c:pt>
                <c:pt idx="184">
                  <c:v>55.72</c:v>
                </c:pt>
                <c:pt idx="185">
                  <c:v>58.19</c:v>
                </c:pt>
                <c:pt idx="186">
                  <c:v>57.69</c:v>
                </c:pt>
                <c:pt idx="187">
                  <c:v>57.46</c:v>
                </c:pt>
                <c:pt idx="188">
                  <c:v>57.92</c:v>
                </c:pt>
                <c:pt idx="189">
                  <c:v>54.35</c:v>
                </c:pt>
                <c:pt idx="190">
                  <c:v>53.44</c:v>
                </c:pt>
                <c:pt idx="191">
                  <c:v>45.26</c:v>
                </c:pt>
                <c:pt idx="192">
                  <c:v>31.66</c:v>
                </c:pt>
                <c:pt idx="193">
                  <c:v>40.18</c:v>
                </c:pt>
                <c:pt idx="194">
                  <c:v>46.3</c:v>
                </c:pt>
                <c:pt idx="195">
                  <c:v>45.04</c:v>
                </c:pt>
                <c:pt idx="196">
                  <c:v>42.63</c:v>
                </c:pt>
                <c:pt idx="197">
                  <c:v>47.06</c:v>
                </c:pt>
                <c:pt idx="198">
                  <c:v>46.3</c:v>
                </c:pt>
                <c:pt idx="199">
                  <c:v>47.15</c:v>
                </c:pt>
                <c:pt idx="200">
                  <c:v>46.71</c:v>
                </c:pt>
                <c:pt idx="201">
                  <c:v>51.83</c:v>
                </c:pt>
                <c:pt idx="202">
                  <c:v>51.52</c:v>
                </c:pt>
                <c:pt idx="203">
                  <c:v>49.29</c:v>
                </c:pt>
                <c:pt idx="204">
                  <c:v>47.04</c:v>
                </c:pt>
                <c:pt idx="205">
                  <c:v>52.05</c:v>
                </c:pt>
                <c:pt idx="206">
                  <c:v>58.15</c:v>
                </c:pt>
                <c:pt idx="207">
                  <c:v>61.87</c:v>
                </c:pt>
                <c:pt idx="208">
                  <c:v>62.58</c:v>
                </c:pt>
                <c:pt idx="209">
                  <c:v>60.94</c:v>
                </c:pt>
                <c:pt idx="210">
                  <c:v>56.95</c:v>
                </c:pt>
                <c:pt idx="211">
                  <c:v>55.23</c:v>
                </c:pt>
                <c:pt idx="212">
                  <c:v>56.85</c:v>
                </c:pt>
                <c:pt idx="213">
                  <c:v>54.26</c:v>
                </c:pt>
                <c:pt idx="214">
                  <c:v>53.55</c:v>
                </c:pt>
                <c:pt idx="215">
                  <c:v>47.8</c:v>
                </c:pt>
                <c:pt idx="216">
                  <c:v>43.95</c:v>
                </c:pt>
                <c:pt idx="217">
                  <c:v>50.02</c:v>
                </c:pt>
                <c:pt idx="218">
                  <c:v>54.63</c:v>
                </c:pt>
                <c:pt idx="219">
                  <c:v>49.75</c:v>
                </c:pt>
                <c:pt idx="220">
                  <c:v>40.97</c:v>
                </c:pt>
                <c:pt idx="221">
                  <c:v>27.43</c:v>
                </c:pt>
                <c:pt idx="222">
                  <c:v>27.73</c:v>
                </c:pt>
                <c:pt idx="223">
                  <c:v>29.28</c:v>
                </c:pt>
                <c:pt idx="224">
                  <c:v>31.66</c:v>
                </c:pt>
                <c:pt idx="225">
                  <c:v>34.22</c:v>
                </c:pt>
                <c:pt idx="226">
                  <c:v>34.42</c:v>
                </c:pt>
                <c:pt idx="227">
                  <c:v>40.229999999999997</c:v>
                </c:pt>
                <c:pt idx="228">
                  <c:v>49.73</c:v>
                </c:pt>
                <c:pt idx="229">
                  <c:v>48.49</c:v>
                </c:pt>
                <c:pt idx="230">
                  <c:v>48.82</c:v>
                </c:pt>
                <c:pt idx="231">
                  <c:v>45.72</c:v>
                </c:pt>
                <c:pt idx="233">
                  <c:v>48.39</c:v>
                </c:pt>
                <c:pt idx="234">
                  <c:v>52.52</c:v>
                </c:pt>
                <c:pt idx="236">
                  <c:v>43.68</c:v>
                </c:pt>
                <c:pt idx="237">
                  <c:v>48.7</c:v>
                </c:pt>
                <c:pt idx="238">
                  <c:v>47.44</c:v>
                </c:pt>
                <c:pt idx="239">
                  <c:v>44.69</c:v>
                </c:pt>
                <c:pt idx="240">
                  <c:v>47.15</c:v>
                </c:pt>
                <c:pt idx="241">
                  <c:v>50.3</c:v>
                </c:pt>
                <c:pt idx="242">
                  <c:v>48.8</c:v>
                </c:pt>
                <c:pt idx="243">
                  <c:v>48.68</c:v>
                </c:pt>
                <c:pt idx="244">
                  <c:v>52.36</c:v>
                </c:pt>
                <c:pt idx="245">
                  <c:v>52.43</c:v>
                </c:pt>
                <c:pt idx="246">
                  <c:v>51.07</c:v>
                </c:pt>
                <c:pt idx="247">
                  <c:v>56.81</c:v>
                </c:pt>
                <c:pt idx="248">
                  <c:v>53.28</c:v>
                </c:pt>
                <c:pt idx="249">
                  <c:v>60</c:v>
                </c:pt>
                <c:pt idx="250">
                  <c:v>63.31</c:v>
                </c:pt>
                <c:pt idx="251">
                  <c:v>62.03</c:v>
                </c:pt>
                <c:pt idx="252">
                  <c:v>61.91</c:v>
                </c:pt>
                <c:pt idx="253">
                  <c:v>64.489999999999995</c:v>
                </c:pt>
                <c:pt idx="254">
                  <c:v>62.1</c:v>
                </c:pt>
                <c:pt idx="257">
                  <c:v>67.650000000000006</c:v>
                </c:pt>
                <c:pt idx="259">
                  <c:v>64.86</c:v>
                </c:pt>
                <c:pt idx="260">
                  <c:v>62.85</c:v>
                </c:pt>
                <c:pt idx="261">
                  <c:v>62.14</c:v>
                </c:pt>
                <c:pt idx="262">
                  <c:v>58.93</c:v>
                </c:pt>
                <c:pt idx="263">
                  <c:v>58.64</c:v>
                </c:pt>
                <c:pt idx="264">
                  <c:v>57.55</c:v>
                </c:pt>
                <c:pt idx="265">
                  <c:v>55.69</c:v>
                </c:pt>
                <c:pt idx="266">
                  <c:v>60.49</c:v>
                </c:pt>
                <c:pt idx="267">
                  <c:v>57.49</c:v>
                </c:pt>
                <c:pt idx="268">
                  <c:v>56.06</c:v>
                </c:pt>
                <c:pt idx="269">
                  <c:v>53.66</c:v>
                </c:pt>
                <c:pt idx="270">
                  <c:v>52.18</c:v>
                </c:pt>
                <c:pt idx="271">
                  <c:v>45.21</c:v>
                </c:pt>
                <c:pt idx="272">
                  <c:v>43.48</c:v>
                </c:pt>
                <c:pt idx="273">
                  <c:v>42.62</c:v>
                </c:pt>
                <c:pt idx="274">
                  <c:v>30.88</c:v>
                </c:pt>
                <c:pt idx="275">
                  <c:v>34.04</c:v>
                </c:pt>
                <c:pt idx="276">
                  <c:v>29.86</c:v>
                </c:pt>
                <c:pt idx="277">
                  <c:v>41.05</c:v>
                </c:pt>
                <c:pt idx="278">
                  <c:v>43.77</c:v>
                </c:pt>
                <c:pt idx="279">
                  <c:v>47.24</c:v>
                </c:pt>
                <c:pt idx="280">
                  <c:v>45.63</c:v>
                </c:pt>
                <c:pt idx="281">
                  <c:v>42.86</c:v>
                </c:pt>
                <c:pt idx="282">
                  <c:v>52.69</c:v>
                </c:pt>
                <c:pt idx="283">
                  <c:v>54.65</c:v>
                </c:pt>
                <c:pt idx="284">
                  <c:v>59.98</c:v>
                </c:pt>
                <c:pt idx="285">
                  <c:v>59.98</c:v>
                </c:pt>
                <c:pt idx="286">
                  <c:v>61.54</c:v>
                </c:pt>
                <c:pt idx="287">
                  <c:v>65.83</c:v>
                </c:pt>
                <c:pt idx="288">
                  <c:v>64.78</c:v>
                </c:pt>
                <c:pt idx="289">
                  <c:v>65.400000000000006</c:v>
                </c:pt>
                <c:pt idx="290">
                  <c:v>61.75</c:v>
                </c:pt>
                <c:pt idx="291">
                  <c:v>57.64</c:v>
                </c:pt>
                <c:pt idx="292">
                  <c:v>53.29</c:v>
                </c:pt>
                <c:pt idx="293">
                  <c:v>52.74</c:v>
                </c:pt>
                <c:pt idx="294">
                  <c:v>53.03</c:v>
                </c:pt>
                <c:pt idx="295">
                  <c:v>59.11</c:v>
                </c:pt>
                <c:pt idx="296">
                  <c:v>68.930000000000007</c:v>
                </c:pt>
                <c:pt idx="297">
                  <c:v>71.83</c:v>
                </c:pt>
                <c:pt idx="298">
                  <c:v>80.84</c:v>
                </c:pt>
                <c:pt idx="299">
                  <c:v>78.41</c:v>
                </c:pt>
                <c:pt idx="300">
                  <c:v>75.72</c:v>
                </c:pt>
                <c:pt idx="302">
                  <c:v>74.47</c:v>
                </c:pt>
                <c:pt idx="303">
                  <c:v>80.17</c:v>
                </c:pt>
                <c:pt idx="304">
                  <c:v>78.45</c:v>
                </c:pt>
                <c:pt idx="305">
                  <c:v>78.569999999999993</c:v>
                </c:pt>
                <c:pt idx="306">
                  <c:v>77.45</c:v>
                </c:pt>
                <c:pt idx="307">
                  <c:v>75.84</c:v>
                </c:pt>
                <c:pt idx="308">
                  <c:v>71.61</c:v>
                </c:pt>
                <c:pt idx="309">
                  <c:v>67.53</c:v>
                </c:pt>
                <c:pt idx="310">
                  <c:v>63.25</c:v>
                </c:pt>
                <c:pt idx="311">
                  <c:v>62.36</c:v>
                </c:pt>
                <c:pt idx="312">
                  <c:v>53.9</c:v>
                </c:pt>
                <c:pt idx="313">
                  <c:v>51.12</c:v>
                </c:pt>
                <c:pt idx="314">
                  <c:v>50.82</c:v>
                </c:pt>
                <c:pt idx="315">
                  <c:v>50.61</c:v>
                </c:pt>
                <c:pt idx="316">
                  <c:v>48.72</c:v>
                </c:pt>
                <c:pt idx="317">
                  <c:v>46.18</c:v>
                </c:pt>
                <c:pt idx="318">
                  <c:v>49.5</c:v>
                </c:pt>
                <c:pt idx="319">
                  <c:v>40.72</c:v>
                </c:pt>
                <c:pt idx="320">
                  <c:v>41.7</c:v>
                </c:pt>
                <c:pt idx="321">
                  <c:v>37.520000000000003</c:v>
                </c:pt>
                <c:pt idx="322">
                  <c:v>43.43</c:v>
                </c:pt>
                <c:pt idx="327">
                  <c:v>43.5</c:v>
                </c:pt>
                <c:pt idx="328">
                  <c:v>42.96</c:v>
                </c:pt>
                <c:pt idx="329">
                  <c:v>43.9</c:v>
                </c:pt>
                <c:pt idx="330">
                  <c:v>44.84</c:v>
                </c:pt>
                <c:pt idx="331">
                  <c:v>40.26</c:v>
                </c:pt>
                <c:pt idx="332">
                  <c:v>43.5</c:v>
                </c:pt>
                <c:pt idx="333">
                  <c:v>44.65</c:v>
                </c:pt>
                <c:pt idx="334">
                  <c:v>43.65</c:v>
                </c:pt>
                <c:pt idx="335">
                  <c:v>45.27</c:v>
                </c:pt>
                <c:pt idx="336">
                  <c:v>46.4</c:v>
                </c:pt>
                <c:pt idx="337">
                  <c:v>48.83</c:v>
                </c:pt>
                <c:pt idx="338">
                  <c:v>47.55</c:v>
                </c:pt>
                <c:pt idx="339">
                  <c:v>51.1</c:v>
                </c:pt>
                <c:pt idx="340">
                  <c:v>51.05</c:v>
                </c:pt>
                <c:pt idx="341">
                  <c:v>49.78</c:v>
                </c:pt>
                <c:pt idx="342">
                  <c:v>50.15</c:v>
                </c:pt>
                <c:pt idx="343">
                  <c:v>46.13</c:v>
                </c:pt>
                <c:pt idx="345">
                  <c:v>39.659999999999997</c:v>
                </c:pt>
                <c:pt idx="346">
                  <c:v>44.13</c:v>
                </c:pt>
                <c:pt idx="347">
                  <c:v>47.36</c:v>
                </c:pt>
                <c:pt idx="348">
                  <c:v>48.29</c:v>
                </c:pt>
                <c:pt idx="349">
                  <c:v>42.43</c:v>
                </c:pt>
                <c:pt idx="350">
                  <c:v>36.68</c:v>
                </c:pt>
                <c:pt idx="351">
                  <c:v>39.76</c:v>
                </c:pt>
                <c:pt idx="352">
                  <c:v>40.21</c:v>
                </c:pt>
                <c:pt idx="353">
                  <c:v>39.659999999999997</c:v>
                </c:pt>
                <c:pt idx="354">
                  <c:v>42.04</c:v>
                </c:pt>
                <c:pt idx="355">
                  <c:v>47.46</c:v>
                </c:pt>
                <c:pt idx="356">
                  <c:v>49.78</c:v>
                </c:pt>
                <c:pt idx="357">
                  <c:v>44.81</c:v>
                </c:pt>
                <c:pt idx="358">
                  <c:v>39.450000000000003</c:v>
                </c:pt>
                <c:pt idx="359">
                  <c:v>22.2</c:v>
                </c:pt>
                <c:pt idx="360">
                  <c:v>28.07</c:v>
                </c:pt>
                <c:pt idx="361">
                  <c:v>26.54</c:v>
                </c:pt>
                <c:pt idx="362">
                  <c:v>29.81</c:v>
                </c:pt>
                <c:pt idx="363">
                  <c:v>31.97</c:v>
                </c:pt>
                <c:pt idx="364">
                  <c:v>35.29</c:v>
                </c:pt>
                <c:pt idx="365">
                  <c:v>36.97</c:v>
                </c:pt>
                <c:pt idx="366">
                  <c:v>43.3</c:v>
                </c:pt>
                <c:pt idx="367">
                  <c:v>46.21</c:v>
                </c:pt>
                <c:pt idx="368">
                  <c:v>46.43</c:v>
                </c:pt>
                <c:pt idx="369">
                  <c:v>48.08</c:v>
                </c:pt>
                <c:pt idx="370">
                  <c:v>48.41</c:v>
                </c:pt>
                <c:pt idx="371">
                  <c:v>45.68</c:v>
                </c:pt>
                <c:pt idx="372">
                  <c:v>43.62</c:v>
                </c:pt>
                <c:pt idx="373">
                  <c:v>36.79</c:v>
                </c:pt>
                <c:pt idx="374">
                  <c:v>30.28</c:v>
                </c:pt>
                <c:pt idx="375">
                  <c:v>21.3</c:v>
                </c:pt>
                <c:pt idx="376">
                  <c:v>21.54</c:v>
                </c:pt>
                <c:pt idx="377">
                  <c:v>21.96</c:v>
                </c:pt>
                <c:pt idx="378">
                  <c:v>11.95</c:v>
                </c:pt>
                <c:pt idx="379">
                  <c:v>14.58</c:v>
                </c:pt>
                <c:pt idx="380">
                  <c:v>17.21</c:v>
                </c:pt>
                <c:pt idx="381">
                  <c:v>18.73</c:v>
                </c:pt>
                <c:pt idx="382">
                  <c:v>20.04</c:v>
                </c:pt>
                <c:pt idx="383">
                  <c:v>21.84</c:v>
                </c:pt>
                <c:pt idx="384">
                  <c:v>20.309999999999999</c:v>
                </c:pt>
                <c:pt idx="385">
                  <c:v>22.17</c:v>
                </c:pt>
                <c:pt idx="386">
                  <c:v>23.43</c:v>
                </c:pt>
                <c:pt idx="387">
                  <c:v>20.86</c:v>
                </c:pt>
                <c:pt idx="388">
                  <c:v>22.72</c:v>
                </c:pt>
                <c:pt idx="389">
                  <c:v>22.83</c:v>
                </c:pt>
                <c:pt idx="390">
                  <c:v>25.67</c:v>
                </c:pt>
                <c:pt idx="391">
                  <c:v>31.25</c:v>
                </c:pt>
                <c:pt idx="392">
                  <c:v>33.28</c:v>
                </c:pt>
                <c:pt idx="393">
                  <c:v>35.65</c:v>
                </c:pt>
                <c:pt idx="394">
                  <c:v>39.159999999999997</c:v>
                </c:pt>
                <c:pt idx="395">
                  <c:v>39.69</c:v>
                </c:pt>
                <c:pt idx="396">
                  <c:v>40.69</c:v>
                </c:pt>
                <c:pt idx="397">
                  <c:v>38.56</c:v>
                </c:pt>
                <c:pt idx="398">
                  <c:v>42.36</c:v>
                </c:pt>
                <c:pt idx="399">
                  <c:v>40</c:v>
                </c:pt>
                <c:pt idx="400">
                  <c:v>34.93</c:v>
                </c:pt>
                <c:pt idx="401">
                  <c:v>32.53</c:v>
                </c:pt>
                <c:pt idx="403">
                  <c:v>20.78</c:v>
                </c:pt>
                <c:pt idx="404">
                  <c:v>24.61</c:v>
                </c:pt>
                <c:pt idx="405">
                  <c:v>23.68</c:v>
                </c:pt>
                <c:pt idx="407">
                  <c:v>25.39</c:v>
                </c:pt>
                <c:pt idx="409">
                  <c:v>31.68</c:v>
                </c:pt>
                <c:pt idx="410">
                  <c:v>38.270000000000003</c:v>
                </c:pt>
                <c:pt idx="411">
                  <c:v>44.06</c:v>
                </c:pt>
                <c:pt idx="412">
                  <c:v>45.7</c:v>
                </c:pt>
                <c:pt idx="413">
                  <c:v>49.9</c:v>
                </c:pt>
                <c:pt idx="414">
                  <c:v>51.55</c:v>
                </c:pt>
                <c:pt idx="415">
                  <c:v>54.88</c:v>
                </c:pt>
                <c:pt idx="416">
                  <c:v>55.68</c:v>
                </c:pt>
                <c:pt idx="420">
                  <c:v>48.77</c:v>
                </c:pt>
                <c:pt idx="421">
                  <c:v>50.09</c:v>
                </c:pt>
                <c:pt idx="422">
                  <c:v>50.49</c:v>
                </c:pt>
                <c:pt idx="423">
                  <c:v>51.27</c:v>
                </c:pt>
                <c:pt idx="424">
                  <c:v>47.36</c:v>
                </c:pt>
                <c:pt idx="425">
                  <c:v>49.11</c:v>
                </c:pt>
                <c:pt idx="426">
                  <c:v>44.78</c:v>
                </c:pt>
                <c:pt idx="427">
                  <c:v>49</c:v>
                </c:pt>
                <c:pt idx="428">
                  <c:v>51.46</c:v>
                </c:pt>
                <c:pt idx="429">
                  <c:v>50.44</c:v>
                </c:pt>
                <c:pt idx="430">
                  <c:v>54.12</c:v>
                </c:pt>
                <c:pt idx="431">
                  <c:v>47.71</c:v>
                </c:pt>
                <c:pt idx="432">
                  <c:v>49.39</c:v>
                </c:pt>
                <c:pt idx="433">
                  <c:v>50.53</c:v>
                </c:pt>
                <c:pt idx="434">
                  <c:v>51.88</c:v>
                </c:pt>
                <c:pt idx="435">
                  <c:v>48.8</c:v>
                </c:pt>
                <c:pt idx="436">
                  <c:v>48.25</c:v>
                </c:pt>
                <c:pt idx="437">
                  <c:v>49.1</c:v>
                </c:pt>
                <c:pt idx="438">
                  <c:v>49.78</c:v>
                </c:pt>
                <c:pt idx="439">
                  <c:v>50.59</c:v>
                </c:pt>
                <c:pt idx="440">
                  <c:v>51.8</c:v>
                </c:pt>
                <c:pt idx="442">
                  <c:v>53.25</c:v>
                </c:pt>
                <c:pt idx="443">
                  <c:v>50.12</c:v>
                </c:pt>
                <c:pt idx="444">
                  <c:v>51.33</c:v>
                </c:pt>
                <c:pt idx="445">
                  <c:v>46.47</c:v>
                </c:pt>
                <c:pt idx="446">
                  <c:v>44.39</c:v>
                </c:pt>
                <c:pt idx="447">
                  <c:v>50.92</c:v>
                </c:pt>
                <c:pt idx="448">
                  <c:v>45.16</c:v>
                </c:pt>
                <c:pt idx="449">
                  <c:v>33.85</c:v>
                </c:pt>
                <c:pt idx="450">
                  <c:v>53.06</c:v>
                </c:pt>
                <c:pt idx="451">
                  <c:v>66.94</c:v>
                </c:pt>
                <c:pt idx="452">
                  <c:v>65.150000000000006</c:v>
                </c:pt>
                <c:pt idx="453">
                  <c:v>61.88</c:v>
                </c:pt>
                <c:pt idx="454">
                  <c:v>58.35</c:v>
                </c:pt>
                <c:pt idx="455">
                  <c:v>52.49</c:v>
                </c:pt>
                <c:pt idx="456">
                  <c:v>48.63</c:v>
                </c:pt>
                <c:pt idx="457">
                  <c:v>50.12</c:v>
                </c:pt>
                <c:pt idx="458">
                  <c:v>45.59</c:v>
                </c:pt>
                <c:pt idx="459">
                  <c:v>45.4</c:v>
                </c:pt>
                <c:pt idx="460">
                  <c:v>46.22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5A-4C47-86B2-B4C0DDC9C2F7}"/>
            </c:ext>
          </c:extLst>
        </c:ser>
        <c:ser>
          <c:idx val="1"/>
          <c:order val="1"/>
          <c:tx>
            <c:strRef>
              <c:f>'미국 RSI'!$L$1</c:f>
              <c:strCache>
                <c:ptCount val="1"/>
                <c:pt idx="0">
                  <c:v>부동산(US)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RSI'!$L$69:$L$3068</c:f>
              <c:numCache>
                <c:formatCode>0.00</c:formatCode>
                <c:ptCount val="3000"/>
                <c:pt idx="0">
                  <c:v>61.83</c:v>
                </c:pt>
                <c:pt idx="1">
                  <c:v>64.180000000000007</c:v>
                </c:pt>
                <c:pt idx="2">
                  <c:v>56.95</c:v>
                </c:pt>
                <c:pt idx="3">
                  <c:v>60.39</c:v>
                </c:pt>
                <c:pt idx="4">
                  <c:v>56.6</c:v>
                </c:pt>
                <c:pt idx="5">
                  <c:v>60.98</c:v>
                </c:pt>
                <c:pt idx="6">
                  <c:v>62.71</c:v>
                </c:pt>
                <c:pt idx="7">
                  <c:v>58.52</c:v>
                </c:pt>
                <c:pt idx="8">
                  <c:v>62.71</c:v>
                </c:pt>
                <c:pt idx="9">
                  <c:v>76.34</c:v>
                </c:pt>
                <c:pt idx="10">
                  <c:v>75.41</c:v>
                </c:pt>
                <c:pt idx="11">
                  <c:v>71.02</c:v>
                </c:pt>
                <c:pt idx="12">
                  <c:v>67.83</c:v>
                </c:pt>
                <c:pt idx="13">
                  <c:v>68.17</c:v>
                </c:pt>
                <c:pt idx="14">
                  <c:v>64.73</c:v>
                </c:pt>
                <c:pt idx="15">
                  <c:v>62.9</c:v>
                </c:pt>
                <c:pt idx="16">
                  <c:v>62.09</c:v>
                </c:pt>
                <c:pt idx="17">
                  <c:v>59.41</c:v>
                </c:pt>
                <c:pt idx="18">
                  <c:v>51.51</c:v>
                </c:pt>
                <c:pt idx="19">
                  <c:v>52.04</c:v>
                </c:pt>
                <c:pt idx="21">
                  <c:v>50.28</c:v>
                </c:pt>
                <c:pt idx="22">
                  <c:v>41.54</c:v>
                </c:pt>
                <c:pt idx="23">
                  <c:v>39.75</c:v>
                </c:pt>
                <c:pt idx="24">
                  <c:v>29.4</c:v>
                </c:pt>
                <c:pt idx="25">
                  <c:v>25.56</c:v>
                </c:pt>
                <c:pt idx="26">
                  <c:v>27.5</c:v>
                </c:pt>
                <c:pt idx="27">
                  <c:v>27.14</c:v>
                </c:pt>
                <c:pt idx="28">
                  <c:v>27.26</c:v>
                </c:pt>
                <c:pt idx="29">
                  <c:v>29.39</c:v>
                </c:pt>
                <c:pt idx="30">
                  <c:v>28.92</c:v>
                </c:pt>
                <c:pt idx="31">
                  <c:v>39.78</c:v>
                </c:pt>
                <c:pt idx="32">
                  <c:v>40.85</c:v>
                </c:pt>
                <c:pt idx="33">
                  <c:v>49.51</c:v>
                </c:pt>
                <c:pt idx="34">
                  <c:v>47.44</c:v>
                </c:pt>
                <c:pt idx="35">
                  <c:v>42.26</c:v>
                </c:pt>
                <c:pt idx="36">
                  <c:v>40.450000000000003</c:v>
                </c:pt>
                <c:pt idx="37">
                  <c:v>43.57</c:v>
                </c:pt>
                <c:pt idx="38">
                  <c:v>50.4</c:v>
                </c:pt>
                <c:pt idx="39">
                  <c:v>51.28</c:v>
                </c:pt>
                <c:pt idx="40">
                  <c:v>50.07</c:v>
                </c:pt>
                <c:pt idx="41">
                  <c:v>56.6</c:v>
                </c:pt>
                <c:pt idx="42">
                  <c:v>63.82</c:v>
                </c:pt>
                <c:pt idx="43">
                  <c:v>63.2</c:v>
                </c:pt>
                <c:pt idx="44">
                  <c:v>67.13</c:v>
                </c:pt>
                <c:pt idx="45">
                  <c:v>66.430000000000007</c:v>
                </c:pt>
                <c:pt idx="46">
                  <c:v>64.569999999999993</c:v>
                </c:pt>
                <c:pt idx="47">
                  <c:v>62.85</c:v>
                </c:pt>
                <c:pt idx="48">
                  <c:v>67.5</c:v>
                </c:pt>
                <c:pt idx="49">
                  <c:v>66.55</c:v>
                </c:pt>
                <c:pt idx="50">
                  <c:v>66.17</c:v>
                </c:pt>
                <c:pt idx="51">
                  <c:v>63.36</c:v>
                </c:pt>
                <c:pt idx="52">
                  <c:v>65.459999999999994</c:v>
                </c:pt>
                <c:pt idx="53">
                  <c:v>74.489999999999995</c:v>
                </c:pt>
                <c:pt idx="54">
                  <c:v>71.8</c:v>
                </c:pt>
                <c:pt idx="55">
                  <c:v>67.19</c:v>
                </c:pt>
                <c:pt idx="56">
                  <c:v>66.63</c:v>
                </c:pt>
                <c:pt idx="57">
                  <c:v>67.239999999999995</c:v>
                </c:pt>
                <c:pt idx="58">
                  <c:v>62.53</c:v>
                </c:pt>
                <c:pt idx="59">
                  <c:v>60.19</c:v>
                </c:pt>
                <c:pt idx="60">
                  <c:v>52.06</c:v>
                </c:pt>
                <c:pt idx="61">
                  <c:v>55.23</c:v>
                </c:pt>
                <c:pt idx="62">
                  <c:v>46.71</c:v>
                </c:pt>
                <c:pt idx="63">
                  <c:v>48.7</c:v>
                </c:pt>
                <c:pt idx="64">
                  <c:v>55.57</c:v>
                </c:pt>
                <c:pt idx="65">
                  <c:v>54.81</c:v>
                </c:pt>
                <c:pt idx="66">
                  <c:v>47.65</c:v>
                </c:pt>
                <c:pt idx="67">
                  <c:v>53.73</c:v>
                </c:pt>
                <c:pt idx="68">
                  <c:v>53.32</c:v>
                </c:pt>
                <c:pt idx="69">
                  <c:v>53.77</c:v>
                </c:pt>
                <c:pt idx="70">
                  <c:v>52.4</c:v>
                </c:pt>
                <c:pt idx="71">
                  <c:v>58.35</c:v>
                </c:pt>
                <c:pt idx="72">
                  <c:v>56.68</c:v>
                </c:pt>
                <c:pt idx="74">
                  <c:v>70.959999999999994</c:v>
                </c:pt>
                <c:pt idx="75">
                  <c:v>65.94</c:v>
                </c:pt>
                <c:pt idx="76">
                  <c:v>62.26</c:v>
                </c:pt>
                <c:pt idx="77">
                  <c:v>55.67</c:v>
                </c:pt>
                <c:pt idx="78">
                  <c:v>50.23</c:v>
                </c:pt>
                <c:pt idx="79">
                  <c:v>47.93</c:v>
                </c:pt>
                <c:pt idx="80">
                  <c:v>46.79</c:v>
                </c:pt>
                <c:pt idx="81">
                  <c:v>40.76</c:v>
                </c:pt>
                <c:pt idx="82">
                  <c:v>50.72</c:v>
                </c:pt>
                <c:pt idx="83">
                  <c:v>44.67</c:v>
                </c:pt>
                <c:pt idx="84">
                  <c:v>43.48</c:v>
                </c:pt>
                <c:pt idx="85">
                  <c:v>42.79</c:v>
                </c:pt>
                <c:pt idx="86">
                  <c:v>49.71</c:v>
                </c:pt>
                <c:pt idx="87">
                  <c:v>47.8</c:v>
                </c:pt>
                <c:pt idx="88">
                  <c:v>45.46</c:v>
                </c:pt>
                <c:pt idx="89">
                  <c:v>43.75</c:v>
                </c:pt>
                <c:pt idx="90">
                  <c:v>37.869999999999997</c:v>
                </c:pt>
                <c:pt idx="91">
                  <c:v>38.020000000000003</c:v>
                </c:pt>
                <c:pt idx="92">
                  <c:v>39.96</c:v>
                </c:pt>
                <c:pt idx="93">
                  <c:v>42.1</c:v>
                </c:pt>
                <c:pt idx="94">
                  <c:v>45.91</c:v>
                </c:pt>
                <c:pt idx="95">
                  <c:v>42.43</c:v>
                </c:pt>
                <c:pt idx="96">
                  <c:v>48.19</c:v>
                </c:pt>
                <c:pt idx="97">
                  <c:v>45.12</c:v>
                </c:pt>
                <c:pt idx="98">
                  <c:v>45.91</c:v>
                </c:pt>
                <c:pt idx="99">
                  <c:v>41.73</c:v>
                </c:pt>
                <c:pt idx="100">
                  <c:v>40.17</c:v>
                </c:pt>
                <c:pt idx="101">
                  <c:v>43.41</c:v>
                </c:pt>
                <c:pt idx="102">
                  <c:v>47.08</c:v>
                </c:pt>
                <c:pt idx="103">
                  <c:v>47.22</c:v>
                </c:pt>
                <c:pt idx="104">
                  <c:v>48.21</c:v>
                </c:pt>
                <c:pt idx="105">
                  <c:v>47.04</c:v>
                </c:pt>
                <c:pt idx="106">
                  <c:v>48.31</c:v>
                </c:pt>
                <c:pt idx="107">
                  <c:v>56.53</c:v>
                </c:pt>
                <c:pt idx="109">
                  <c:v>54.02</c:v>
                </c:pt>
                <c:pt idx="110">
                  <c:v>51.7</c:v>
                </c:pt>
                <c:pt idx="111">
                  <c:v>47.14</c:v>
                </c:pt>
                <c:pt idx="112">
                  <c:v>46.29</c:v>
                </c:pt>
                <c:pt idx="113">
                  <c:v>38.07</c:v>
                </c:pt>
                <c:pt idx="114">
                  <c:v>39.549999999999997</c:v>
                </c:pt>
                <c:pt idx="115">
                  <c:v>43.12</c:v>
                </c:pt>
                <c:pt idx="116">
                  <c:v>40.79</c:v>
                </c:pt>
                <c:pt idx="117">
                  <c:v>43.79</c:v>
                </c:pt>
                <c:pt idx="118">
                  <c:v>42.03</c:v>
                </c:pt>
                <c:pt idx="119">
                  <c:v>48.34</c:v>
                </c:pt>
                <c:pt idx="120">
                  <c:v>52.84</c:v>
                </c:pt>
                <c:pt idx="121">
                  <c:v>46.38</c:v>
                </c:pt>
                <c:pt idx="122">
                  <c:v>46.77</c:v>
                </c:pt>
                <c:pt idx="123">
                  <c:v>38.119999999999997</c:v>
                </c:pt>
                <c:pt idx="124">
                  <c:v>40.369999999999997</c:v>
                </c:pt>
                <c:pt idx="125">
                  <c:v>40.479999999999997</c:v>
                </c:pt>
                <c:pt idx="126">
                  <c:v>38.76</c:v>
                </c:pt>
                <c:pt idx="127">
                  <c:v>39.43</c:v>
                </c:pt>
                <c:pt idx="128">
                  <c:v>39.15</c:v>
                </c:pt>
                <c:pt idx="129">
                  <c:v>35.979999999999997</c:v>
                </c:pt>
                <c:pt idx="130">
                  <c:v>47.34</c:v>
                </c:pt>
                <c:pt idx="131">
                  <c:v>62.65</c:v>
                </c:pt>
                <c:pt idx="132">
                  <c:v>61.55</c:v>
                </c:pt>
                <c:pt idx="133">
                  <c:v>59.73</c:v>
                </c:pt>
                <c:pt idx="134">
                  <c:v>60.44</c:v>
                </c:pt>
                <c:pt idx="135">
                  <c:v>58.25</c:v>
                </c:pt>
                <c:pt idx="136">
                  <c:v>60.37</c:v>
                </c:pt>
                <c:pt idx="137">
                  <c:v>55.24</c:v>
                </c:pt>
                <c:pt idx="138">
                  <c:v>51.68</c:v>
                </c:pt>
                <c:pt idx="139">
                  <c:v>53.59</c:v>
                </c:pt>
                <c:pt idx="140">
                  <c:v>44.88</c:v>
                </c:pt>
                <c:pt idx="141">
                  <c:v>37.83</c:v>
                </c:pt>
                <c:pt idx="142">
                  <c:v>33.15</c:v>
                </c:pt>
                <c:pt idx="143">
                  <c:v>38.4</c:v>
                </c:pt>
                <c:pt idx="144">
                  <c:v>40.94</c:v>
                </c:pt>
                <c:pt idx="145">
                  <c:v>43.93</c:v>
                </c:pt>
                <c:pt idx="146">
                  <c:v>45.85</c:v>
                </c:pt>
                <c:pt idx="147">
                  <c:v>52.78</c:v>
                </c:pt>
                <c:pt idx="148">
                  <c:v>49.93</c:v>
                </c:pt>
                <c:pt idx="149">
                  <c:v>53.83</c:v>
                </c:pt>
                <c:pt idx="150">
                  <c:v>53.83</c:v>
                </c:pt>
                <c:pt idx="151">
                  <c:v>51.3</c:v>
                </c:pt>
                <c:pt idx="152">
                  <c:v>50.1</c:v>
                </c:pt>
                <c:pt idx="153">
                  <c:v>43.51</c:v>
                </c:pt>
                <c:pt idx="154">
                  <c:v>44.85</c:v>
                </c:pt>
                <c:pt idx="155">
                  <c:v>51.15</c:v>
                </c:pt>
                <c:pt idx="156">
                  <c:v>45.72</c:v>
                </c:pt>
                <c:pt idx="157">
                  <c:v>48.45</c:v>
                </c:pt>
                <c:pt idx="158">
                  <c:v>51.8</c:v>
                </c:pt>
                <c:pt idx="159">
                  <c:v>51.35</c:v>
                </c:pt>
                <c:pt idx="160">
                  <c:v>51.65</c:v>
                </c:pt>
                <c:pt idx="161">
                  <c:v>55.36</c:v>
                </c:pt>
                <c:pt idx="162">
                  <c:v>56.1</c:v>
                </c:pt>
                <c:pt idx="163">
                  <c:v>58.91</c:v>
                </c:pt>
                <c:pt idx="164">
                  <c:v>50.71</c:v>
                </c:pt>
                <c:pt idx="165">
                  <c:v>50.99</c:v>
                </c:pt>
                <c:pt idx="166">
                  <c:v>51.25</c:v>
                </c:pt>
                <c:pt idx="167">
                  <c:v>54.9</c:v>
                </c:pt>
                <c:pt idx="168">
                  <c:v>49.94</c:v>
                </c:pt>
                <c:pt idx="169">
                  <c:v>46.28</c:v>
                </c:pt>
                <c:pt idx="170">
                  <c:v>47.54</c:v>
                </c:pt>
                <c:pt idx="172">
                  <c:v>57.05</c:v>
                </c:pt>
                <c:pt idx="173">
                  <c:v>54.34</c:v>
                </c:pt>
                <c:pt idx="174">
                  <c:v>55.91</c:v>
                </c:pt>
                <c:pt idx="175">
                  <c:v>53.89</c:v>
                </c:pt>
                <c:pt idx="176">
                  <c:v>55.46</c:v>
                </c:pt>
                <c:pt idx="177">
                  <c:v>58.22</c:v>
                </c:pt>
                <c:pt idx="178">
                  <c:v>51.12</c:v>
                </c:pt>
                <c:pt idx="179">
                  <c:v>53.02</c:v>
                </c:pt>
                <c:pt idx="180">
                  <c:v>51.23</c:v>
                </c:pt>
                <c:pt idx="181">
                  <c:v>41.81</c:v>
                </c:pt>
                <c:pt idx="182">
                  <c:v>46.24</c:v>
                </c:pt>
                <c:pt idx="183">
                  <c:v>42.31</c:v>
                </c:pt>
                <c:pt idx="184">
                  <c:v>45.63</c:v>
                </c:pt>
                <c:pt idx="185">
                  <c:v>41.67</c:v>
                </c:pt>
                <c:pt idx="186">
                  <c:v>40.619999999999997</c:v>
                </c:pt>
                <c:pt idx="187">
                  <c:v>43.08</c:v>
                </c:pt>
                <c:pt idx="188">
                  <c:v>46.79</c:v>
                </c:pt>
                <c:pt idx="189">
                  <c:v>44.71</c:v>
                </c:pt>
                <c:pt idx="190">
                  <c:v>48.57</c:v>
                </c:pt>
                <c:pt idx="191">
                  <c:v>46.87</c:v>
                </c:pt>
                <c:pt idx="192">
                  <c:v>42.43</c:v>
                </c:pt>
                <c:pt idx="193">
                  <c:v>43.59</c:v>
                </c:pt>
                <c:pt idx="194">
                  <c:v>51.66</c:v>
                </c:pt>
                <c:pt idx="195">
                  <c:v>60.03</c:v>
                </c:pt>
                <c:pt idx="196">
                  <c:v>51.52</c:v>
                </c:pt>
                <c:pt idx="197">
                  <c:v>65.13</c:v>
                </c:pt>
                <c:pt idx="198">
                  <c:v>65.13</c:v>
                </c:pt>
                <c:pt idx="199">
                  <c:v>66.36</c:v>
                </c:pt>
                <c:pt idx="200">
                  <c:v>65.14</c:v>
                </c:pt>
                <c:pt idx="201">
                  <c:v>56.18</c:v>
                </c:pt>
                <c:pt idx="202">
                  <c:v>53.76</c:v>
                </c:pt>
                <c:pt idx="203">
                  <c:v>51.91</c:v>
                </c:pt>
                <c:pt idx="204">
                  <c:v>52.56</c:v>
                </c:pt>
                <c:pt idx="205">
                  <c:v>45.41</c:v>
                </c:pt>
                <c:pt idx="206">
                  <c:v>54.57</c:v>
                </c:pt>
                <c:pt idx="207">
                  <c:v>49.69</c:v>
                </c:pt>
                <c:pt idx="208">
                  <c:v>50.41</c:v>
                </c:pt>
                <c:pt idx="209">
                  <c:v>46.64</c:v>
                </c:pt>
                <c:pt idx="210">
                  <c:v>46.95</c:v>
                </c:pt>
                <c:pt idx="211">
                  <c:v>47.86</c:v>
                </c:pt>
                <c:pt idx="213">
                  <c:v>52.88</c:v>
                </c:pt>
                <c:pt idx="214">
                  <c:v>52.59</c:v>
                </c:pt>
                <c:pt idx="215">
                  <c:v>51.49</c:v>
                </c:pt>
                <c:pt idx="216">
                  <c:v>47.51</c:v>
                </c:pt>
                <c:pt idx="217">
                  <c:v>42.85</c:v>
                </c:pt>
                <c:pt idx="218">
                  <c:v>40.39</c:v>
                </c:pt>
                <c:pt idx="219">
                  <c:v>43.4</c:v>
                </c:pt>
                <c:pt idx="220">
                  <c:v>59.74</c:v>
                </c:pt>
                <c:pt idx="221">
                  <c:v>56.81</c:v>
                </c:pt>
                <c:pt idx="222">
                  <c:v>53.16</c:v>
                </c:pt>
                <c:pt idx="224">
                  <c:v>53.35</c:v>
                </c:pt>
                <c:pt idx="225">
                  <c:v>52.13</c:v>
                </c:pt>
                <c:pt idx="226">
                  <c:v>54.95</c:v>
                </c:pt>
                <c:pt idx="227">
                  <c:v>54.41</c:v>
                </c:pt>
                <c:pt idx="228">
                  <c:v>60.1</c:v>
                </c:pt>
                <c:pt idx="229">
                  <c:v>57.3</c:v>
                </c:pt>
                <c:pt idx="230">
                  <c:v>61.29</c:v>
                </c:pt>
                <c:pt idx="231">
                  <c:v>56.79</c:v>
                </c:pt>
                <c:pt idx="232">
                  <c:v>57.12</c:v>
                </c:pt>
                <c:pt idx="233">
                  <c:v>55.67</c:v>
                </c:pt>
                <c:pt idx="234">
                  <c:v>55.82</c:v>
                </c:pt>
                <c:pt idx="235">
                  <c:v>54.38</c:v>
                </c:pt>
                <c:pt idx="236">
                  <c:v>56.35</c:v>
                </c:pt>
                <c:pt idx="237">
                  <c:v>55.75</c:v>
                </c:pt>
                <c:pt idx="238">
                  <c:v>55.38</c:v>
                </c:pt>
                <c:pt idx="239">
                  <c:v>51.74</c:v>
                </c:pt>
                <c:pt idx="240">
                  <c:v>51.74</c:v>
                </c:pt>
                <c:pt idx="242">
                  <c:v>44.92</c:v>
                </c:pt>
                <c:pt idx="243">
                  <c:v>44.81</c:v>
                </c:pt>
                <c:pt idx="244">
                  <c:v>45.99</c:v>
                </c:pt>
                <c:pt idx="245">
                  <c:v>56.97</c:v>
                </c:pt>
                <c:pt idx="246">
                  <c:v>59.58</c:v>
                </c:pt>
                <c:pt idx="247">
                  <c:v>58.87</c:v>
                </c:pt>
                <c:pt idx="248">
                  <c:v>54.53</c:v>
                </c:pt>
                <c:pt idx="249">
                  <c:v>47.06</c:v>
                </c:pt>
                <c:pt idx="250">
                  <c:v>50.67</c:v>
                </c:pt>
                <c:pt idx="251">
                  <c:v>57.18</c:v>
                </c:pt>
                <c:pt idx="252">
                  <c:v>56.81</c:v>
                </c:pt>
                <c:pt idx="253">
                  <c:v>54.54</c:v>
                </c:pt>
                <c:pt idx="254">
                  <c:v>56.76</c:v>
                </c:pt>
                <c:pt idx="255">
                  <c:v>57.08</c:v>
                </c:pt>
                <c:pt idx="256">
                  <c:v>60.15</c:v>
                </c:pt>
                <c:pt idx="257">
                  <c:v>60.68</c:v>
                </c:pt>
                <c:pt idx="258">
                  <c:v>57.15</c:v>
                </c:pt>
                <c:pt idx="259">
                  <c:v>56.29</c:v>
                </c:pt>
                <c:pt idx="260">
                  <c:v>54.97</c:v>
                </c:pt>
                <c:pt idx="261">
                  <c:v>52.66</c:v>
                </c:pt>
                <c:pt idx="262">
                  <c:v>50.88</c:v>
                </c:pt>
                <c:pt idx="263">
                  <c:v>51.31</c:v>
                </c:pt>
                <c:pt idx="264">
                  <c:v>50.54</c:v>
                </c:pt>
                <c:pt idx="265">
                  <c:v>50.23</c:v>
                </c:pt>
                <c:pt idx="266">
                  <c:v>45.13</c:v>
                </c:pt>
                <c:pt idx="268">
                  <c:v>50.07</c:v>
                </c:pt>
                <c:pt idx="269">
                  <c:v>45.95</c:v>
                </c:pt>
                <c:pt idx="270">
                  <c:v>46.06</c:v>
                </c:pt>
                <c:pt idx="271">
                  <c:v>45.69</c:v>
                </c:pt>
                <c:pt idx="272">
                  <c:v>40.24</c:v>
                </c:pt>
                <c:pt idx="273">
                  <c:v>36.53</c:v>
                </c:pt>
                <c:pt idx="274">
                  <c:v>40.08</c:v>
                </c:pt>
                <c:pt idx="275">
                  <c:v>21.99</c:v>
                </c:pt>
                <c:pt idx="276">
                  <c:v>25.1</c:v>
                </c:pt>
                <c:pt idx="277">
                  <c:v>28.89</c:v>
                </c:pt>
                <c:pt idx="278">
                  <c:v>39.96</c:v>
                </c:pt>
                <c:pt idx="279">
                  <c:v>52.67</c:v>
                </c:pt>
                <c:pt idx="280">
                  <c:v>50.34</c:v>
                </c:pt>
                <c:pt idx="281">
                  <c:v>50</c:v>
                </c:pt>
                <c:pt idx="282">
                  <c:v>44.82</c:v>
                </c:pt>
                <c:pt idx="283">
                  <c:v>45.01</c:v>
                </c:pt>
                <c:pt idx="284">
                  <c:v>45.95</c:v>
                </c:pt>
                <c:pt idx="285">
                  <c:v>43.66</c:v>
                </c:pt>
                <c:pt idx="286">
                  <c:v>48.17</c:v>
                </c:pt>
                <c:pt idx="287">
                  <c:v>44.9</c:v>
                </c:pt>
                <c:pt idx="288">
                  <c:v>48.67</c:v>
                </c:pt>
                <c:pt idx="289">
                  <c:v>49.14</c:v>
                </c:pt>
                <c:pt idx="290">
                  <c:v>48.68</c:v>
                </c:pt>
                <c:pt idx="291">
                  <c:v>50.9</c:v>
                </c:pt>
                <c:pt idx="292">
                  <c:v>44.29</c:v>
                </c:pt>
                <c:pt idx="293">
                  <c:v>35.58</c:v>
                </c:pt>
                <c:pt idx="294">
                  <c:v>41.8</c:v>
                </c:pt>
                <c:pt idx="295">
                  <c:v>43.1</c:v>
                </c:pt>
                <c:pt idx="296">
                  <c:v>47.07</c:v>
                </c:pt>
                <c:pt idx="297">
                  <c:v>51.16</c:v>
                </c:pt>
                <c:pt idx="298">
                  <c:v>48.74</c:v>
                </c:pt>
                <c:pt idx="299">
                  <c:v>63.12</c:v>
                </c:pt>
                <c:pt idx="300">
                  <c:v>59.38</c:v>
                </c:pt>
                <c:pt idx="301">
                  <c:v>67.31</c:v>
                </c:pt>
                <c:pt idx="302">
                  <c:v>64.010000000000005</c:v>
                </c:pt>
                <c:pt idx="303">
                  <c:v>61.05</c:v>
                </c:pt>
                <c:pt idx="304">
                  <c:v>59.07</c:v>
                </c:pt>
                <c:pt idx="305">
                  <c:v>62.32</c:v>
                </c:pt>
                <c:pt idx="306">
                  <c:v>57.68</c:v>
                </c:pt>
                <c:pt idx="307">
                  <c:v>55.54</c:v>
                </c:pt>
                <c:pt idx="308">
                  <c:v>60.81</c:v>
                </c:pt>
                <c:pt idx="309">
                  <c:v>57.72</c:v>
                </c:pt>
                <c:pt idx="310">
                  <c:v>56.85</c:v>
                </c:pt>
                <c:pt idx="312">
                  <c:v>55.25</c:v>
                </c:pt>
                <c:pt idx="313">
                  <c:v>57.5</c:v>
                </c:pt>
                <c:pt idx="314">
                  <c:v>54.13</c:v>
                </c:pt>
                <c:pt idx="315">
                  <c:v>58.85</c:v>
                </c:pt>
                <c:pt idx="316">
                  <c:v>56.6</c:v>
                </c:pt>
                <c:pt idx="317">
                  <c:v>56.02</c:v>
                </c:pt>
                <c:pt idx="318">
                  <c:v>57.82</c:v>
                </c:pt>
                <c:pt idx="319">
                  <c:v>56.79</c:v>
                </c:pt>
                <c:pt idx="320">
                  <c:v>50.74</c:v>
                </c:pt>
                <c:pt idx="321">
                  <c:v>50.74</c:v>
                </c:pt>
                <c:pt idx="322">
                  <c:v>51.4</c:v>
                </c:pt>
                <c:pt idx="323">
                  <c:v>52.23</c:v>
                </c:pt>
                <c:pt idx="324">
                  <c:v>47.55</c:v>
                </c:pt>
                <c:pt idx="325">
                  <c:v>51.73</c:v>
                </c:pt>
                <c:pt idx="326">
                  <c:v>56.64</c:v>
                </c:pt>
                <c:pt idx="327">
                  <c:v>53.33</c:v>
                </c:pt>
                <c:pt idx="328">
                  <c:v>52.35</c:v>
                </c:pt>
                <c:pt idx="329">
                  <c:v>49.62</c:v>
                </c:pt>
                <c:pt idx="330">
                  <c:v>56.22</c:v>
                </c:pt>
                <c:pt idx="332">
                  <c:v>49.86</c:v>
                </c:pt>
                <c:pt idx="333">
                  <c:v>49.95</c:v>
                </c:pt>
                <c:pt idx="334">
                  <c:v>41.09</c:v>
                </c:pt>
                <c:pt idx="335">
                  <c:v>39.200000000000003</c:v>
                </c:pt>
                <c:pt idx="336">
                  <c:v>35.35</c:v>
                </c:pt>
                <c:pt idx="337">
                  <c:v>29.23</c:v>
                </c:pt>
                <c:pt idx="339">
                  <c:v>35.24</c:v>
                </c:pt>
                <c:pt idx="340">
                  <c:v>32.99</c:v>
                </c:pt>
                <c:pt idx="341">
                  <c:v>34.979999999999997</c:v>
                </c:pt>
                <c:pt idx="342">
                  <c:v>39.049999999999997</c:v>
                </c:pt>
                <c:pt idx="343">
                  <c:v>31.81</c:v>
                </c:pt>
                <c:pt idx="344">
                  <c:v>34.43</c:v>
                </c:pt>
                <c:pt idx="345">
                  <c:v>29.92</c:v>
                </c:pt>
                <c:pt idx="346">
                  <c:v>31.1</c:v>
                </c:pt>
                <c:pt idx="347">
                  <c:v>33.21</c:v>
                </c:pt>
                <c:pt idx="348">
                  <c:v>32.44</c:v>
                </c:pt>
                <c:pt idx="349">
                  <c:v>28.99</c:v>
                </c:pt>
                <c:pt idx="350">
                  <c:v>30.32</c:v>
                </c:pt>
                <c:pt idx="351">
                  <c:v>20.420000000000002</c:v>
                </c:pt>
                <c:pt idx="352">
                  <c:v>23.38</c:v>
                </c:pt>
                <c:pt idx="353">
                  <c:v>34.32</c:v>
                </c:pt>
                <c:pt idx="354">
                  <c:v>36.119999999999997</c:v>
                </c:pt>
                <c:pt idx="355">
                  <c:v>38.28</c:v>
                </c:pt>
                <c:pt idx="356">
                  <c:v>40.090000000000003</c:v>
                </c:pt>
                <c:pt idx="357">
                  <c:v>40.39</c:v>
                </c:pt>
                <c:pt idx="358">
                  <c:v>41.44</c:v>
                </c:pt>
                <c:pt idx="359">
                  <c:v>49.03</c:v>
                </c:pt>
                <c:pt idx="360">
                  <c:v>47.91</c:v>
                </c:pt>
                <c:pt idx="361">
                  <c:v>48.57</c:v>
                </c:pt>
                <c:pt idx="362">
                  <c:v>49.75</c:v>
                </c:pt>
                <c:pt idx="363">
                  <c:v>50.99</c:v>
                </c:pt>
                <c:pt idx="364">
                  <c:v>53.7</c:v>
                </c:pt>
                <c:pt idx="365">
                  <c:v>61.66</c:v>
                </c:pt>
                <c:pt idx="367">
                  <c:v>64.39</c:v>
                </c:pt>
                <c:pt idx="368">
                  <c:v>62.09</c:v>
                </c:pt>
                <c:pt idx="369">
                  <c:v>60.4</c:v>
                </c:pt>
                <c:pt idx="370">
                  <c:v>55.45</c:v>
                </c:pt>
                <c:pt idx="371">
                  <c:v>52.36</c:v>
                </c:pt>
                <c:pt idx="372">
                  <c:v>49.51</c:v>
                </c:pt>
                <c:pt idx="373">
                  <c:v>50.18</c:v>
                </c:pt>
                <c:pt idx="374">
                  <c:v>48.51</c:v>
                </c:pt>
                <c:pt idx="375">
                  <c:v>44.87</c:v>
                </c:pt>
                <c:pt idx="376">
                  <c:v>44.4</c:v>
                </c:pt>
                <c:pt idx="377">
                  <c:v>47.38</c:v>
                </c:pt>
                <c:pt idx="378">
                  <c:v>44.35</c:v>
                </c:pt>
                <c:pt idx="379">
                  <c:v>48.55</c:v>
                </c:pt>
                <c:pt idx="380">
                  <c:v>51.68</c:v>
                </c:pt>
                <c:pt idx="381">
                  <c:v>45.29</c:v>
                </c:pt>
                <c:pt idx="382">
                  <c:v>40.01</c:v>
                </c:pt>
                <c:pt idx="383">
                  <c:v>49.88</c:v>
                </c:pt>
                <c:pt idx="384">
                  <c:v>43.34</c:v>
                </c:pt>
                <c:pt idx="385">
                  <c:v>37.14</c:v>
                </c:pt>
                <c:pt idx="386">
                  <c:v>41.15</c:v>
                </c:pt>
                <c:pt idx="387">
                  <c:v>49.43</c:v>
                </c:pt>
                <c:pt idx="388">
                  <c:v>47.39</c:v>
                </c:pt>
                <c:pt idx="389">
                  <c:v>52.29</c:v>
                </c:pt>
                <c:pt idx="390">
                  <c:v>50.63</c:v>
                </c:pt>
                <c:pt idx="391">
                  <c:v>55.08</c:v>
                </c:pt>
                <c:pt idx="392">
                  <c:v>54.01</c:v>
                </c:pt>
                <c:pt idx="393">
                  <c:v>49.16</c:v>
                </c:pt>
                <c:pt idx="394">
                  <c:v>48.34</c:v>
                </c:pt>
                <c:pt idx="395">
                  <c:v>60.25</c:v>
                </c:pt>
                <c:pt idx="396">
                  <c:v>56.93</c:v>
                </c:pt>
                <c:pt idx="397">
                  <c:v>61.38</c:v>
                </c:pt>
                <c:pt idx="398">
                  <c:v>56.6</c:v>
                </c:pt>
                <c:pt idx="399">
                  <c:v>49.31</c:v>
                </c:pt>
                <c:pt idx="400">
                  <c:v>44.59</c:v>
                </c:pt>
                <c:pt idx="401">
                  <c:v>36.56</c:v>
                </c:pt>
                <c:pt idx="402">
                  <c:v>41.08</c:v>
                </c:pt>
                <c:pt idx="403">
                  <c:v>40.71</c:v>
                </c:pt>
                <c:pt idx="404">
                  <c:v>38.31</c:v>
                </c:pt>
                <c:pt idx="405">
                  <c:v>42.21</c:v>
                </c:pt>
                <c:pt idx="406">
                  <c:v>46.15</c:v>
                </c:pt>
                <c:pt idx="407">
                  <c:v>52.97</c:v>
                </c:pt>
                <c:pt idx="408">
                  <c:v>55.82</c:v>
                </c:pt>
                <c:pt idx="409">
                  <c:v>60.96</c:v>
                </c:pt>
                <c:pt idx="410">
                  <c:v>55.62</c:v>
                </c:pt>
                <c:pt idx="411">
                  <c:v>54.71</c:v>
                </c:pt>
                <c:pt idx="412">
                  <c:v>63.58</c:v>
                </c:pt>
                <c:pt idx="413">
                  <c:v>67.989999999999995</c:v>
                </c:pt>
                <c:pt idx="414">
                  <c:v>67.989999999999995</c:v>
                </c:pt>
                <c:pt idx="415">
                  <c:v>66.069999999999993</c:v>
                </c:pt>
                <c:pt idx="416">
                  <c:v>67.75</c:v>
                </c:pt>
                <c:pt idx="417">
                  <c:v>70.02</c:v>
                </c:pt>
                <c:pt idx="418">
                  <c:v>72.7</c:v>
                </c:pt>
                <c:pt idx="419">
                  <c:v>80.64</c:v>
                </c:pt>
                <c:pt idx="420">
                  <c:v>79.78</c:v>
                </c:pt>
                <c:pt idx="421">
                  <c:v>77.849999999999994</c:v>
                </c:pt>
                <c:pt idx="422">
                  <c:v>77.34</c:v>
                </c:pt>
                <c:pt idx="423">
                  <c:v>79.87</c:v>
                </c:pt>
                <c:pt idx="424">
                  <c:v>74.930000000000007</c:v>
                </c:pt>
                <c:pt idx="425">
                  <c:v>70.430000000000007</c:v>
                </c:pt>
                <c:pt idx="426">
                  <c:v>70.430000000000007</c:v>
                </c:pt>
                <c:pt idx="427">
                  <c:v>73.03</c:v>
                </c:pt>
                <c:pt idx="428">
                  <c:v>72.239999999999995</c:v>
                </c:pt>
                <c:pt idx="430">
                  <c:v>71.459999999999994</c:v>
                </c:pt>
                <c:pt idx="431">
                  <c:v>67.94</c:v>
                </c:pt>
                <c:pt idx="432">
                  <c:v>71.239999999999995</c:v>
                </c:pt>
                <c:pt idx="433">
                  <c:v>74.2</c:v>
                </c:pt>
                <c:pt idx="434">
                  <c:v>73.45</c:v>
                </c:pt>
                <c:pt idx="435">
                  <c:v>73.989999999999995</c:v>
                </c:pt>
                <c:pt idx="436">
                  <c:v>67.959999999999994</c:v>
                </c:pt>
                <c:pt idx="437">
                  <c:v>65.61</c:v>
                </c:pt>
                <c:pt idx="438">
                  <c:v>64.3</c:v>
                </c:pt>
                <c:pt idx="439">
                  <c:v>63.94</c:v>
                </c:pt>
                <c:pt idx="440">
                  <c:v>61.67</c:v>
                </c:pt>
                <c:pt idx="441">
                  <c:v>61.96</c:v>
                </c:pt>
                <c:pt idx="442">
                  <c:v>63.63</c:v>
                </c:pt>
                <c:pt idx="443">
                  <c:v>62.46</c:v>
                </c:pt>
                <c:pt idx="444">
                  <c:v>60.16</c:v>
                </c:pt>
                <c:pt idx="445">
                  <c:v>63.26</c:v>
                </c:pt>
                <c:pt idx="446">
                  <c:v>61.72</c:v>
                </c:pt>
                <c:pt idx="447">
                  <c:v>59.06</c:v>
                </c:pt>
                <c:pt idx="448">
                  <c:v>62.52</c:v>
                </c:pt>
                <c:pt idx="449">
                  <c:v>55.23</c:v>
                </c:pt>
                <c:pt idx="450">
                  <c:v>72.930000000000007</c:v>
                </c:pt>
                <c:pt idx="451">
                  <c:v>72.73</c:v>
                </c:pt>
                <c:pt idx="452">
                  <c:v>68.02</c:v>
                </c:pt>
                <c:pt idx="453">
                  <c:v>69.77</c:v>
                </c:pt>
                <c:pt idx="454">
                  <c:v>67.430000000000007</c:v>
                </c:pt>
                <c:pt idx="455">
                  <c:v>65.28</c:v>
                </c:pt>
                <c:pt idx="456">
                  <c:v>58.75</c:v>
                </c:pt>
                <c:pt idx="457">
                  <c:v>62.32</c:v>
                </c:pt>
                <c:pt idx="458">
                  <c:v>72.790000000000006</c:v>
                </c:pt>
                <c:pt idx="459">
                  <c:v>74.239999999999995</c:v>
                </c:pt>
                <c:pt idx="460">
                  <c:v>71.2</c:v>
                </c:pt>
                <c:pt idx="461">
                  <c:v>72.19</c:v>
                </c:pt>
                <c:pt idx="462">
                  <c:v>79.12</c:v>
                </c:pt>
                <c:pt idx="463">
                  <c:v>76.94</c:v>
                </c:pt>
                <c:pt idx="464">
                  <c:v>74.319999999999993</c:v>
                </c:pt>
                <c:pt idx="465">
                  <c:v>73.040000000000006</c:v>
                </c:pt>
                <c:pt idx="466">
                  <c:v>70.739999999999995</c:v>
                </c:pt>
                <c:pt idx="467">
                  <c:v>59.28</c:v>
                </c:pt>
                <c:pt idx="468">
                  <c:v>54.99</c:v>
                </c:pt>
                <c:pt idx="469">
                  <c:v>54.82</c:v>
                </c:pt>
                <c:pt idx="470">
                  <c:v>53.41</c:v>
                </c:pt>
                <c:pt idx="472">
                  <c:v>51.2</c:v>
                </c:pt>
                <c:pt idx="473">
                  <c:v>51.85</c:v>
                </c:pt>
                <c:pt idx="474">
                  <c:v>49.45</c:v>
                </c:pt>
                <c:pt idx="475">
                  <c:v>55.36</c:v>
                </c:pt>
                <c:pt idx="476">
                  <c:v>50.79</c:v>
                </c:pt>
                <c:pt idx="477">
                  <c:v>45.05</c:v>
                </c:pt>
                <c:pt idx="478">
                  <c:v>45.78</c:v>
                </c:pt>
                <c:pt idx="479">
                  <c:v>54.65</c:v>
                </c:pt>
                <c:pt idx="480">
                  <c:v>57.12</c:v>
                </c:pt>
                <c:pt idx="481">
                  <c:v>55.69</c:v>
                </c:pt>
                <c:pt idx="483">
                  <c:v>57.47</c:v>
                </c:pt>
                <c:pt idx="484">
                  <c:v>55.48</c:v>
                </c:pt>
                <c:pt idx="485">
                  <c:v>58.89</c:v>
                </c:pt>
                <c:pt idx="486">
                  <c:v>58.53</c:v>
                </c:pt>
                <c:pt idx="487">
                  <c:v>56.32</c:v>
                </c:pt>
                <c:pt idx="488">
                  <c:v>53.01</c:v>
                </c:pt>
                <c:pt idx="489">
                  <c:v>54.72</c:v>
                </c:pt>
                <c:pt idx="490">
                  <c:v>52.47</c:v>
                </c:pt>
                <c:pt idx="491">
                  <c:v>56.6</c:v>
                </c:pt>
                <c:pt idx="492">
                  <c:v>55.95</c:v>
                </c:pt>
                <c:pt idx="493">
                  <c:v>56.6</c:v>
                </c:pt>
                <c:pt idx="494">
                  <c:v>52.95</c:v>
                </c:pt>
                <c:pt idx="495">
                  <c:v>54.73</c:v>
                </c:pt>
                <c:pt idx="496">
                  <c:v>46.47</c:v>
                </c:pt>
                <c:pt idx="497">
                  <c:v>39.08</c:v>
                </c:pt>
                <c:pt idx="498">
                  <c:v>42.7</c:v>
                </c:pt>
                <c:pt idx="500">
                  <c:v>45.13</c:v>
                </c:pt>
                <c:pt idx="501">
                  <c:v>45.13</c:v>
                </c:pt>
                <c:pt idx="502">
                  <c:v>55.12</c:v>
                </c:pt>
                <c:pt idx="503">
                  <c:v>60.16</c:v>
                </c:pt>
                <c:pt idx="504">
                  <c:v>60.63</c:v>
                </c:pt>
                <c:pt idx="505">
                  <c:v>64.349999999999994</c:v>
                </c:pt>
                <c:pt idx="506">
                  <c:v>64.349999999999994</c:v>
                </c:pt>
                <c:pt idx="507">
                  <c:v>65.349999999999994</c:v>
                </c:pt>
                <c:pt idx="508">
                  <c:v>59.95</c:v>
                </c:pt>
                <c:pt idx="509">
                  <c:v>57.38</c:v>
                </c:pt>
                <c:pt idx="510">
                  <c:v>56.42</c:v>
                </c:pt>
                <c:pt idx="511">
                  <c:v>58.12</c:v>
                </c:pt>
                <c:pt idx="512">
                  <c:v>49.17</c:v>
                </c:pt>
                <c:pt idx="513">
                  <c:v>53.39</c:v>
                </c:pt>
                <c:pt idx="514">
                  <c:v>48.85</c:v>
                </c:pt>
                <c:pt idx="515">
                  <c:v>48.73</c:v>
                </c:pt>
                <c:pt idx="516">
                  <c:v>45.31</c:v>
                </c:pt>
                <c:pt idx="517">
                  <c:v>38.479999999999997</c:v>
                </c:pt>
                <c:pt idx="518">
                  <c:v>38.21</c:v>
                </c:pt>
                <c:pt idx="519">
                  <c:v>44.5</c:v>
                </c:pt>
                <c:pt idx="520">
                  <c:v>38.86</c:v>
                </c:pt>
                <c:pt idx="521">
                  <c:v>38.44</c:v>
                </c:pt>
                <c:pt idx="522">
                  <c:v>40.26</c:v>
                </c:pt>
                <c:pt idx="523">
                  <c:v>38.450000000000003</c:v>
                </c:pt>
                <c:pt idx="524">
                  <c:v>34.1</c:v>
                </c:pt>
                <c:pt idx="525">
                  <c:v>30.06</c:v>
                </c:pt>
                <c:pt idx="526">
                  <c:v>28.09</c:v>
                </c:pt>
                <c:pt idx="527">
                  <c:v>27.95</c:v>
                </c:pt>
                <c:pt idx="528">
                  <c:v>29.49</c:v>
                </c:pt>
                <c:pt idx="529">
                  <c:v>32.61</c:v>
                </c:pt>
                <c:pt idx="530">
                  <c:v>36.81</c:v>
                </c:pt>
                <c:pt idx="531">
                  <c:v>39.65</c:v>
                </c:pt>
                <c:pt idx="532">
                  <c:v>39.200000000000003</c:v>
                </c:pt>
                <c:pt idx="533">
                  <c:v>54.21</c:v>
                </c:pt>
                <c:pt idx="534">
                  <c:v>48.65</c:v>
                </c:pt>
                <c:pt idx="535">
                  <c:v>44.44</c:v>
                </c:pt>
                <c:pt idx="536">
                  <c:v>41.03</c:v>
                </c:pt>
                <c:pt idx="537">
                  <c:v>44.04</c:v>
                </c:pt>
                <c:pt idx="538">
                  <c:v>43.78</c:v>
                </c:pt>
                <c:pt idx="539">
                  <c:v>48.17</c:v>
                </c:pt>
                <c:pt idx="541">
                  <c:v>56.61</c:v>
                </c:pt>
                <c:pt idx="542">
                  <c:v>53.89</c:v>
                </c:pt>
                <c:pt idx="543">
                  <c:v>40.44</c:v>
                </c:pt>
                <c:pt idx="544">
                  <c:v>42.33</c:v>
                </c:pt>
                <c:pt idx="545">
                  <c:v>44.13</c:v>
                </c:pt>
                <c:pt idx="546">
                  <c:v>50.19</c:v>
                </c:pt>
                <c:pt idx="547">
                  <c:v>48.03</c:v>
                </c:pt>
                <c:pt idx="548">
                  <c:v>45.69</c:v>
                </c:pt>
                <c:pt idx="549">
                  <c:v>45.69</c:v>
                </c:pt>
                <c:pt idx="550">
                  <c:v>48.89</c:v>
                </c:pt>
                <c:pt idx="551">
                  <c:v>49.13</c:v>
                </c:pt>
                <c:pt idx="552">
                  <c:v>56.19</c:v>
                </c:pt>
                <c:pt idx="553">
                  <c:v>59.76</c:v>
                </c:pt>
                <c:pt idx="554">
                  <c:v>61.2</c:v>
                </c:pt>
                <c:pt idx="555">
                  <c:v>64.069999999999993</c:v>
                </c:pt>
                <c:pt idx="556">
                  <c:v>59.97</c:v>
                </c:pt>
                <c:pt idx="557">
                  <c:v>59.97</c:v>
                </c:pt>
                <c:pt idx="558">
                  <c:v>58.04</c:v>
                </c:pt>
                <c:pt idx="559">
                  <c:v>64.77</c:v>
                </c:pt>
                <c:pt idx="560">
                  <c:v>61.07</c:v>
                </c:pt>
                <c:pt idx="561">
                  <c:v>57.08</c:v>
                </c:pt>
                <c:pt idx="562">
                  <c:v>53.91</c:v>
                </c:pt>
                <c:pt idx="563">
                  <c:v>48.32</c:v>
                </c:pt>
                <c:pt idx="564">
                  <c:v>47.96</c:v>
                </c:pt>
                <c:pt idx="565">
                  <c:v>52.97</c:v>
                </c:pt>
                <c:pt idx="566">
                  <c:v>52.45</c:v>
                </c:pt>
                <c:pt idx="567">
                  <c:v>51.44</c:v>
                </c:pt>
                <c:pt idx="568">
                  <c:v>48.62</c:v>
                </c:pt>
                <c:pt idx="570">
                  <c:v>49.19</c:v>
                </c:pt>
                <c:pt idx="571">
                  <c:v>53.03</c:v>
                </c:pt>
                <c:pt idx="572">
                  <c:v>43.74</c:v>
                </c:pt>
                <c:pt idx="573">
                  <c:v>40.75</c:v>
                </c:pt>
                <c:pt idx="574">
                  <c:v>47.29</c:v>
                </c:pt>
                <c:pt idx="575">
                  <c:v>48.52</c:v>
                </c:pt>
                <c:pt idx="576">
                  <c:v>47.46</c:v>
                </c:pt>
                <c:pt idx="577">
                  <c:v>45.25</c:v>
                </c:pt>
                <c:pt idx="578">
                  <c:v>45.42</c:v>
                </c:pt>
                <c:pt idx="579">
                  <c:v>39.44</c:v>
                </c:pt>
                <c:pt idx="580">
                  <c:v>45.63</c:v>
                </c:pt>
                <c:pt idx="581">
                  <c:v>50.36</c:v>
                </c:pt>
                <c:pt idx="582">
                  <c:v>42.84</c:v>
                </c:pt>
                <c:pt idx="583">
                  <c:v>45.52</c:v>
                </c:pt>
                <c:pt idx="584">
                  <c:v>49.18</c:v>
                </c:pt>
                <c:pt idx="585">
                  <c:v>46.04</c:v>
                </c:pt>
                <c:pt idx="586">
                  <c:v>47.71</c:v>
                </c:pt>
                <c:pt idx="587">
                  <c:v>41.73</c:v>
                </c:pt>
                <c:pt idx="588">
                  <c:v>46.79</c:v>
                </c:pt>
                <c:pt idx="589">
                  <c:v>48.98</c:v>
                </c:pt>
                <c:pt idx="590">
                  <c:v>47.01</c:v>
                </c:pt>
                <c:pt idx="591">
                  <c:v>42.79</c:v>
                </c:pt>
                <c:pt idx="592">
                  <c:v>45.04</c:v>
                </c:pt>
                <c:pt idx="593">
                  <c:v>52.4</c:v>
                </c:pt>
                <c:pt idx="595">
                  <c:v>55.19</c:v>
                </c:pt>
                <c:pt idx="596">
                  <c:v>52.24</c:v>
                </c:pt>
                <c:pt idx="597">
                  <c:v>56.51</c:v>
                </c:pt>
                <c:pt idx="598">
                  <c:v>55.96</c:v>
                </c:pt>
                <c:pt idx="599">
                  <c:v>59.16</c:v>
                </c:pt>
                <c:pt idx="600">
                  <c:v>54.51</c:v>
                </c:pt>
                <c:pt idx="601">
                  <c:v>55.38</c:v>
                </c:pt>
                <c:pt idx="602">
                  <c:v>56.42</c:v>
                </c:pt>
                <c:pt idx="603">
                  <c:v>67.78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5A-4C47-86B2-B4C0DDC9C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IT</a:t>
            </a:r>
            <a:r>
              <a:rPr lang="ko-KR" altLang="en-US"/>
              <a:t>서비스  </a:t>
            </a:r>
            <a:r>
              <a:rPr lang="en-US"/>
              <a:t>vs  </a:t>
            </a:r>
            <a:r>
              <a:rPr lang="ko-KR" altLang="en-US"/>
              <a:t>기술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RSI'!$X$7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RSI'!$X$78:$X$3077</c:f>
              <c:numCache>
                <c:formatCode>0.00</c:formatCode>
                <c:ptCount val="3000"/>
                <c:pt idx="1">
                  <c:v>49.42</c:v>
                </c:pt>
                <c:pt idx="2">
                  <c:v>59.09</c:v>
                </c:pt>
                <c:pt idx="3">
                  <c:v>60.61</c:v>
                </c:pt>
                <c:pt idx="4">
                  <c:v>56.1</c:v>
                </c:pt>
                <c:pt idx="5">
                  <c:v>55.2</c:v>
                </c:pt>
                <c:pt idx="6">
                  <c:v>57.68</c:v>
                </c:pt>
                <c:pt idx="7">
                  <c:v>57.54</c:v>
                </c:pt>
                <c:pt idx="8">
                  <c:v>56.4</c:v>
                </c:pt>
                <c:pt idx="9">
                  <c:v>56.09</c:v>
                </c:pt>
                <c:pt idx="10">
                  <c:v>58.43</c:v>
                </c:pt>
                <c:pt idx="11">
                  <c:v>60.57</c:v>
                </c:pt>
                <c:pt idx="12">
                  <c:v>55.16</c:v>
                </c:pt>
                <c:pt idx="13">
                  <c:v>47.19</c:v>
                </c:pt>
                <c:pt idx="14">
                  <c:v>43.85</c:v>
                </c:pt>
                <c:pt idx="15">
                  <c:v>45.12</c:v>
                </c:pt>
                <c:pt idx="16">
                  <c:v>44.05</c:v>
                </c:pt>
                <c:pt idx="17">
                  <c:v>45.11</c:v>
                </c:pt>
                <c:pt idx="18">
                  <c:v>38.57</c:v>
                </c:pt>
                <c:pt idx="19">
                  <c:v>38.68</c:v>
                </c:pt>
                <c:pt idx="20">
                  <c:v>39.54</c:v>
                </c:pt>
                <c:pt idx="21">
                  <c:v>39.01</c:v>
                </c:pt>
                <c:pt idx="22">
                  <c:v>45.33</c:v>
                </c:pt>
                <c:pt idx="23">
                  <c:v>37.35</c:v>
                </c:pt>
                <c:pt idx="24">
                  <c:v>39.979999999999997</c:v>
                </c:pt>
                <c:pt idx="25">
                  <c:v>43.87</c:v>
                </c:pt>
                <c:pt idx="26">
                  <c:v>41.6</c:v>
                </c:pt>
                <c:pt idx="27">
                  <c:v>43.63</c:v>
                </c:pt>
                <c:pt idx="28">
                  <c:v>41.61</c:v>
                </c:pt>
                <c:pt idx="29">
                  <c:v>37.520000000000003</c:v>
                </c:pt>
                <c:pt idx="30">
                  <c:v>44.88</c:v>
                </c:pt>
                <c:pt idx="31">
                  <c:v>43.04</c:v>
                </c:pt>
                <c:pt idx="32">
                  <c:v>46.84</c:v>
                </c:pt>
                <c:pt idx="33">
                  <c:v>44.9</c:v>
                </c:pt>
                <c:pt idx="34">
                  <c:v>41.82</c:v>
                </c:pt>
                <c:pt idx="35">
                  <c:v>43.92</c:v>
                </c:pt>
                <c:pt idx="36">
                  <c:v>41.6</c:v>
                </c:pt>
                <c:pt idx="37">
                  <c:v>41.77</c:v>
                </c:pt>
                <c:pt idx="38">
                  <c:v>41.99</c:v>
                </c:pt>
                <c:pt idx="39">
                  <c:v>38.340000000000003</c:v>
                </c:pt>
                <c:pt idx="40">
                  <c:v>41.62</c:v>
                </c:pt>
                <c:pt idx="41">
                  <c:v>38.35</c:v>
                </c:pt>
                <c:pt idx="42">
                  <c:v>28.02</c:v>
                </c:pt>
                <c:pt idx="43">
                  <c:v>42.38</c:v>
                </c:pt>
                <c:pt idx="45">
                  <c:v>61.16</c:v>
                </c:pt>
                <c:pt idx="46">
                  <c:v>63.83</c:v>
                </c:pt>
                <c:pt idx="47">
                  <c:v>58.47</c:v>
                </c:pt>
                <c:pt idx="48">
                  <c:v>55.38</c:v>
                </c:pt>
                <c:pt idx="49">
                  <c:v>56.05</c:v>
                </c:pt>
                <c:pt idx="50">
                  <c:v>53.84</c:v>
                </c:pt>
                <c:pt idx="51">
                  <c:v>52.83</c:v>
                </c:pt>
                <c:pt idx="54">
                  <c:v>50.53</c:v>
                </c:pt>
                <c:pt idx="55">
                  <c:v>53.9</c:v>
                </c:pt>
                <c:pt idx="56">
                  <c:v>53.86</c:v>
                </c:pt>
                <c:pt idx="57">
                  <c:v>49.46</c:v>
                </c:pt>
                <c:pt idx="58">
                  <c:v>45.64</c:v>
                </c:pt>
                <c:pt idx="59">
                  <c:v>42.03</c:v>
                </c:pt>
                <c:pt idx="60">
                  <c:v>46.57</c:v>
                </c:pt>
                <c:pt idx="61">
                  <c:v>52.25</c:v>
                </c:pt>
                <c:pt idx="62">
                  <c:v>53.67</c:v>
                </c:pt>
                <c:pt idx="63">
                  <c:v>51.37</c:v>
                </c:pt>
                <c:pt idx="64">
                  <c:v>61.83</c:v>
                </c:pt>
                <c:pt idx="65">
                  <c:v>70.040000000000006</c:v>
                </c:pt>
                <c:pt idx="66">
                  <c:v>66.27</c:v>
                </c:pt>
                <c:pt idx="67">
                  <c:v>69.239999999999995</c:v>
                </c:pt>
                <c:pt idx="68">
                  <c:v>65.319999999999993</c:v>
                </c:pt>
                <c:pt idx="69">
                  <c:v>63.12</c:v>
                </c:pt>
                <c:pt idx="70">
                  <c:v>53.69</c:v>
                </c:pt>
                <c:pt idx="71">
                  <c:v>51.72</c:v>
                </c:pt>
                <c:pt idx="72">
                  <c:v>57.45</c:v>
                </c:pt>
                <c:pt idx="73">
                  <c:v>54.81</c:v>
                </c:pt>
                <c:pt idx="74">
                  <c:v>55.67</c:v>
                </c:pt>
                <c:pt idx="75">
                  <c:v>58.63</c:v>
                </c:pt>
                <c:pt idx="76">
                  <c:v>64.2</c:v>
                </c:pt>
                <c:pt idx="77">
                  <c:v>67.41</c:v>
                </c:pt>
                <c:pt idx="78">
                  <c:v>60.28</c:v>
                </c:pt>
                <c:pt idx="79">
                  <c:v>59.41</c:v>
                </c:pt>
                <c:pt idx="80">
                  <c:v>54.76</c:v>
                </c:pt>
                <c:pt idx="81">
                  <c:v>57.63</c:v>
                </c:pt>
                <c:pt idx="82">
                  <c:v>64.48</c:v>
                </c:pt>
                <c:pt idx="83">
                  <c:v>59.44</c:v>
                </c:pt>
                <c:pt idx="84">
                  <c:v>59.01</c:v>
                </c:pt>
                <c:pt idx="86">
                  <c:v>53.05</c:v>
                </c:pt>
                <c:pt idx="87">
                  <c:v>52.48</c:v>
                </c:pt>
                <c:pt idx="88">
                  <c:v>42.68</c:v>
                </c:pt>
                <c:pt idx="89">
                  <c:v>47.89</c:v>
                </c:pt>
                <c:pt idx="90">
                  <c:v>47.71</c:v>
                </c:pt>
                <c:pt idx="91">
                  <c:v>48.5</c:v>
                </c:pt>
                <c:pt idx="92">
                  <c:v>46.75</c:v>
                </c:pt>
                <c:pt idx="93">
                  <c:v>38.29</c:v>
                </c:pt>
                <c:pt idx="94">
                  <c:v>40.340000000000003</c:v>
                </c:pt>
                <c:pt idx="95">
                  <c:v>41.59</c:v>
                </c:pt>
                <c:pt idx="96">
                  <c:v>47.63</c:v>
                </c:pt>
                <c:pt idx="97">
                  <c:v>51.85</c:v>
                </c:pt>
                <c:pt idx="98">
                  <c:v>48.25</c:v>
                </c:pt>
                <c:pt idx="99">
                  <c:v>49.1</c:v>
                </c:pt>
                <c:pt idx="100">
                  <c:v>53.7</c:v>
                </c:pt>
                <c:pt idx="101">
                  <c:v>54.77</c:v>
                </c:pt>
                <c:pt idx="102">
                  <c:v>55.47</c:v>
                </c:pt>
                <c:pt idx="103">
                  <c:v>52.72</c:v>
                </c:pt>
                <c:pt idx="104">
                  <c:v>49.24</c:v>
                </c:pt>
                <c:pt idx="105">
                  <c:v>46.8</c:v>
                </c:pt>
                <c:pt idx="106">
                  <c:v>43.5</c:v>
                </c:pt>
                <c:pt idx="107">
                  <c:v>44.03</c:v>
                </c:pt>
                <c:pt idx="108">
                  <c:v>46.12</c:v>
                </c:pt>
                <c:pt idx="109">
                  <c:v>51.14</c:v>
                </c:pt>
                <c:pt idx="110">
                  <c:v>42.48</c:v>
                </c:pt>
                <c:pt idx="111">
                  <c:v>45.03</c:v>
                </c:pt>
                <c:pt idx="112">
                  <c:v>45.47</c:v>
                </c:pt>
                <c:pt idx="113">
                  <c:v>44.68</c:v>
                </c:pt>
                <c:pt idx="114">
                  <c:v>39.67</c:v>
                </c:pt>
                <c:pt idx="115">
                  <c:v>39.51</c:v>
                </c:pt>
                <c:pt idx="116">
                  <c:v>46.15</c:v>
                </c:pt>
                <c:pt idx="117">
                  <c:v>46.19</c:v>
                </c:pt>
                <c:pt idx="118">
                  <c:v>54.03</c:v>
                </c:pt>
                <c:pt idx="119">
                  <c:v>54.13</c:v>
                </c:pt>
                <c:pt idx="120">
                  <c:v>51.81</c:v>
                </c:pt>
                <c:pt idx="121">
                  <c:v>49.66</c:v>
                </c:pt>
                <c:pt idx="122">
                  <c:v>47.06</c:v>
                </c:pt>
                <c:pt idx="123">
                  <c:v>49.12</c:v>
                </c:pt>
                <c:pt idx="124">
                  <c:v>55.78</c:v>
                </c:pt>
                <c:pt idx="125">
                  <c:v>59.59</c:v>
                </c:pt>
                <c:pt idx="126">
                  <c:v>61.84</c:v>
                </c:pt>
                <c:pt idx="127">
                  <c:v>59.07</c:v>
                </c:pt>
                <c:pt idx="128">
                  <c:v>50.99</c:v>
                </c:pt>
                <c:pt idx="129">
                  <c:v>61.9</c:v>
                </c:pt>
                <c:pt idx="130">
                  <c:v>53.3</c:v>
                </c:pt>
                <c:pt idx="131">
                  <c:v>50.4</c:v>
                </c:pt>
                <c:pt idx="132">
                  <c:v>44.98</c:v>
                </c:pt>
                <c:pt idx="133">
                  <c:v>41.13</c:v>
                </c:pt>
                <c:pt idx="134">
                  <c:v>49.83</c:v>
                </c:pt>
                <c:pt idx="135">
                  <c:v>49.76</c:v>
                </c:pt>
                <c:pt idx="136">
                  <c:v>47.81</c:v>
                </c:pt>
                <c:pt idx="137">
                  <c:v>44.18</c:v>
                </c:pt>
                <c:pt idx="138">
                  <c:v>48.49</c:v>
                </c:pt>
                <c:pt idx="139">
                  <c:v>47.86</c:v>
                </c:pt>
                <c:pt idx="140">
                  <c:v>47.3</c:v>
                </c:pt>
                <c:pt idx="141">
                  <c:v>51.9</c:v>
                </c:pt>
                <c:pt idx="142">
                  <c:v>57.78</c:v>
                </c:pt>
                <c:pt idx="148">
                  <c:v>49.89</c:v>
                </c:pt>
                <c:pt idx="149">
                  <c:v>50.75</c:v>
                </c:pt>
                <c:pt idx="150">
                  <c:v>55.15</c:v>
                </c:pt>
                <c:pt idx="151">
                  <c:v>60.64</c:v>
                </c:pt>
                <c:pt idx="152">
                  <c:v>51.4</c:v>
                </c:pt>
                <c:pt idx="153">
                  <c:v>59.36</c:v>
                </c:pt>
                <c:pt idx="154">
                  <c:v>48.08</c:v>
                </c:pt>
                <c:pt idx="155">
                  <c:v>53.4</c:v>
                </c:pt>
                <c:pt idx="156">
                  <c:v>60.41</c:v>
                </c:pt>
                <c:pt idx="157">
                  <c:v>66.42</c:v>
                </c:pt>
                <c:pt idx="158">
                  <c:v>67.2</c:v>
                </c:pt>
                <c:pt idx="159">
                  <c:v>62.11</c:v>
                </c:pt>
                <c:pt idx="160">
                  <c:v>62.65</c:v>
                </c:pt>
                <c:pt idx="161">
                  <c:v>64.290000000000006</c:v>
                </c:pt>
                <c:pt idx="162">
                  <c:v>68.28</c:v>
                </c:pt>
                <c:pt idx="163">
                  <c:v>57.95</c:v>
                </c:pt>
                <c:pt idx="164">
                  <c:v>57.93</c:v>
                </c:pt>
                <c:pt idx="165">
                  <c:v>55.15</c:v>
                </c:pt>
                <c:pt idx="166">
                  <c:v>51.12</c:v>
                </c:pt>
                <c:pt idx="167">
                  <c:v>48.19</c:v>
                </c:pt>
                <c:pt idx="168">
                  <c:v>46.68</c:v>
                </c:pt>
                <c:pt idx="169">
                  <c:v>40.01</c:v>
                </c:pt>
                <c:pt idx="170">
                  <c:v>42.03</c:v>
                </c:pt>
                <c:pt idx="171">
                  <c:v>40.43</c:v>
                </c:pt>
                <c:pt idx="172">
                  <c:v>43.6</c:v>
                </c:pt>
                <c:pt idx="173">
                  <c:v>46.78</c:v>
                </c:pt>
                <c:pt idx="174">
                  <c:v>48.6</c:v>
                </c:pt>
                <c:pt idx="175">
                  <c:v>51.06</c:v>
                </c:pt>
                <c:pt idx="176">
                  <c:v>51.14</c:v>
                </c:pt>
                <c:pt idx="177">
                  <c:v>44.77</c:v>
                </c:pt>
                <c:pt idx="178">
                  <c:v>45.41</c:v>
                </c:pt>
                <c:pt idx="179">
                  <c:v>46.77</c:v>
                </c:pt>
                <c:pt idx="180">
                  <c:v>50.53</c:v>
                </c:pt>
                <c:pt idx="181">
                  <c:v>48.52</c:v>
                </c:pt>
                <c:pt idx="183">
                  <c:v>48.34</c:v>
                </c:pt>
                <c:pt idx="184">
                  <c:v>46.46</c:v>
                </c:pt>
                <c:pt idx="185">
                  <c:v>46.25</c:v>
                </c:pt>
                <c:pt idx="186">
                  <c:v>46.57</c:v>
                </c:pt>
                <c:pt idx="187">
                  <c:v>49.02</c:v>
                </c:pt>
                <c:pt idx="188">
                  <c:v>52.78</c:v>
                </c:pt>
                <c:pt idx="189">
                  <c:v>40</c:v>
                </c:pt>
                <c:pt idx="190">
                  <c:v>39.32</c:v>
                </c:pt>
                <c:pt idx="191">
                  <c:v>39.32</c:v>
                </c:pt>
                <c:pt idx="192">
                  <c:v>34.81</c:v>
                </c:pt>
                <c:pt idx="193">
                  <c:v>43.54</c:v>
                </c:pt>
                <c:pt idx="194">
                  <c:v>41.24</c:v>
                </c:pt>
                <c:pt idx="195">
                  <c:v>41.81</c:v>
                </c:pt>
                <c:pt idx="196">
                  <c:v>41.91</c:v>
                </c:pt>
                <c:pt idx="197">
                  <c:v>42.67</c:v>
                </c:pt>
                <c:pt idx="198">
                  <c:v>37.18</c:v>
                </c:pt>
                <c:pt idx="199">
                  <c:v>42.49</c:v>
                </c:pt>
                <c:pt idx="200">
                  <c:v>47.5</c:v>
                </c:pt>
                <c:pt idx="201">
                  <c:v>51.93</c:v>
                </c:pt>
                <c:pt idx="202">
                  <c:v>52.82</c:v>
                </c:pt>
                <c:pt idx="203">
                  <c:v>53.6</c:v>
                </c:pt>
                <c:pt idx="204">
                  <c:v>55</c:v>
                </c:pt>
                <c:pt idx="205">
                  <c:v>56.27</c:v>
                </c:pt>
                <c:pt idx="206">
                  <c:v>56.91</c:v>
                </c:pt>
                <c:pt idx="207">
                  <c:v>61.76</c:v>
                </c:pt>
                <c:pt idx="208">
                  <c:v>63.19</c:v>
                </c:pt>
                <c:pt idx="209">
                  <c:v>61.22</c:v>
                </c:pt>
                <c:pt idx="210">
                  <c:v>62.18</c:v>
                </c:pt>
                <c:pt idx="211">
                  <c:v>60.65</c:v>
                </c:pt>
                <c:pt idx="212">
                  <c:v>58.22</c:v>
                </c:pt>
                <c:pt idx="213">
                  <c:v>61.42</c:v>
                </c:pt>
                <c:pt idx="214">
                  <c:v>60.42</c:v>
                </c:pt>
                <c:pt idx="215">
                  <c:v>65.23</c:v>
                </c:pt>
                <c:pt idx="216">
                  <c:v>64.790000000000006</c:v>
                </c:pt>
                <c:pt idx="217">
                  <c:v>65.23</c:v>
                </c:pt>
                <c:pt idx="218">
                  <c:v>67.17</c:v>
                </c:pt>
                <c:pt idx="219">
                  <c:v>81.069999999999993</c:v>
                </c:pt>
                <c:pt idx="220">
                  <c:v>91.37</c:v>
                </c:pt>
                <c:pt idx="221">
                  <c:v>90.62</c:v>
                </c:pt>
                <c:pt idx="222">
                  <c:v>89</c:v>
                </c:pt>
                <c:pt idx="223">
                  <c:v>86.39</c:v>
                </c:pt>
                <c:pt idx="224">
                  <c:v>84.54</c:v>
                </c:pt>
                <c:pt idx="225">
                  <c:v>76.08</c:v>
                </c:pt>
                <c:pt idx="226">
                  <c:v>82.44</c:v>
                </c:pt>
                <c:pt idx="227">
                  <c:v>75.86</c:v>
                </c:pt>
                <c:pt idx="228">
                  <c:v>75.599999999999994</c:v>
                </c:pt>
                <c:pt idx="229">
                  <c:v>74.849999999999994</c:v>
                </c:pt>
                <c:pt idx="230">
                  <c:v>73.75</c:v>
                </c:pt>
                <c:pt idx="231">
                  <c:v>73.25</c:v>
                </c:pt>
                <c:pt idx="233">
                  <c:v>63.15</c:v>
                </c:pt>
                <c:pt idx="234">
                  <c:v>55.13</c:v>
                </c:pt>
                <c:pt idx="236">
                  <c:v>56.77</c:v>
                </c:pt>
                <c:pt idx="237">
                  <c:v>54.9</c:v>
                </c:pt>
                <c:pt idx="238">
                  <c:v>62.71</c:v>
                </c:pt>
                <c:pt idx="239">
                  <c:v>58.61</c:v>
                </c:pt>
                <c:pt idx="240">
                  <c:v>55.13</c:v>
                </c:pt>
                <c:pt idx="241">
                  <c:v>55.03</c:v>
                </c:pt>
                <c:pt idx="242">
                  <c:v>46.56</c:v>
                </c:pt>
                <c:pt idx="243">
                  <c:v>49.11</c:v>
                </c:pt>
                <c:pt idx="244">
                  <c:v>51.91</c:v>
                </c:pt>
                <c:pt idx="245">
                  <c:v>47.03</c:v>
                </c:pt>
                <c:pt idx="246">
                  <c:v>47.62</c:v>
                </c:pt>
                <c:pt idx="247">
                  <c:v>53.74</c:v>
                </c:pt>
                <c:pt idx="248">
                  <c:v>52.68</c:v>
                </c:pt>
                <c:pt idx="249">
                  <c:v>55.64</c:v>
                </c:pt>
                <c:pt idx="250">
                  <c:v>51.48</c:v>
                </c:pt>
                <c:pt idx="251">
                  <c:v>55.4</c:v>
                </c:pt>
                <c:pt idx="252">
                  <c:v>53</c:v>
                </c:pt>
                <c:pt idx="253">
                  <c:v>50.07</c:v>
                </c:pt>
                <c:pt idx="254">
                  <c:v>60.47</c:v>
                </c:pt>
                <c:pt idx="257">
                  <c:v>58.11</c:v>
                </c:pt>
                <c:pt idx="259">
                  <c:v>57.23</c:v>
                </c:pt>
                <c:pt idx="260">
                  <c:v>55.93</c:v>
                </c:pt>
                <c:pt idx="261">
                  <c:v>55.44</c:v>
                </c:pt>
                <c:pt idx="262">
                  <c:v>51.46</c:v>
                </c:pt>
                <c:pt idx="263">
                  <c:v>53.19</c:v>
                </c:pt>
                <c:pt idx="264">
                  <c:v>51.72</c:v>
                </c:pt>
                <c:pt idx="265">
                  <c:v>51.69</c:v>
                </c:pt>
                <c:pt idx="266">
                  <c:v>49.25</c:v>
                </c:pt>
                <c:pt idx="267">
                  <c:v>49.64</c:v>
                </c:pt>
                <c:pt idx="268">
                  <c:v>46.09</c:v>
                </c:pt>
                <c:pt idx="269">
                  <c:v>42.95</c:v>
                </c:pt>
                <c:pt idx="270">
                  <c:v>43.58</c:v>
                </c:pt>
                <c:pt idx="271">
                  <c:v>43.16</c:v>
                </c:pt>
                <c:pt idx="272">
                  <c:v>42.42</c:v>
                </c:pt>
                <c:pt idx="273">
                  <c:v>42.54</c:v>
                </c:pt>
                <c:pt idx="274">
                  <c:v>28.96</c:v>
                </c:pt>
                <c:pt idx="275">
                  <c:v>32.409999999999997</c:v>
                </c:pt>
                <c:pt idx="276">
                  <c:v>37.35</c:v>
                </c:pt>
                <c:pt idx="277">
                  <c:v>45.71</c:v>
                </c:pt>
                <c:pt idx="278">
                  <c:v>43.51</c:v>
                </c:pt>
                <c:pt idx="279">
                  <c:v>37.909999999999997</c:v>
                </c:pt>
                <c:pt idx="280">
                  <c:v>39.69</c:v>
                </c:pt>
                <c:pt idx="281">
                  <c:v>28.25</c:v>
                </c:pt>
                <c:pt idx="282">
                  <c:v>36.29</c:v>
                </c:pt>
                <c:pt idx="283">
                  <c:v>37.25</c:v>
                </c:pt>
                <c:pt idx="284">
                  <c:v>42.57</c:v>
                </c:pt>
                <c:pt idx="285">
                  <c:v>42.16</c:v>
                </c:pt>
                <c:pt idx="286">
                  <c:v>41.65</c:v>
                </c:pt>
                <c:pt idx="287">
                  <c:v>44.17</c:v>
                </c:pt>
                <c:pt idx="288">
                  <c:v>42.57</c:v>
                </c:pt>
                <c:pt idx="289">
                  <c:v>46.56</c:v>
                </c:pt>
                <c:pt idx="290">
                  <c:v>47.52</c:v>
                </c:pt>
                <c:pt idx="291">
                  <c:v>49.13</c:v>
                </c:pt>
                <c:pt idx="292">
                  <c:v>47.36</c:v>
                </c:pt>
                <c:pt idx="293">
                  <c:v>49.83</c:v>
                </c:pt>
                <c:pt idx="294">
                  <c:v>48.49</c:v>
                </c:pt>
                <c:pt idx="295">
                  <c:v>46.95</c:v>
                </c:pt>
                <c:pt idx="296">
                  <c:v>51.16</c:v>
                </c:pt>
                <c:pt idx="297">
                  <c:v>49.53</c:v>
                </c:pt>
                <c:pt idx="298">
                  <c:v>53.85</c:v>
                </c:pt>
                <c:pt idx="299">
                  <c:v>44.96</c:v>
                </c:pt>
                <c:pt idx="300">
                  <c:v>39.83</c:v>
                </c:pt>
                <c:pt idx="302">
                  <c:v>44.28</c:v>
                </c:pt>
                <c:pt idx="303">
                  <c:v>55.2</c:v>
                </c:pt>
                <c:pt idx="304">
                  <c:v>59.31</c:v>
                </c:pt>
                <c:pt idx="305">
                  <c:v>51.45</c:v>
                </c:pt>
                <c:pt idx="306">
                  <c:v>52.72</c:v>
                </c:pt>
                <c:pt idx="307">
                  <c:v>53.8</c:v>
                </c:pt>
                <c:pt idx="308">
                  <c:v>52.23</c:v>
                </c:pt>
                <c:pt idx="309">
                  <c:v>52.51</c:v>
                </c:pt>
                <c:pt idx="310">
                  <c:v>49.46</c:v>
                </c:pt>
                <c:pt idx="311">
                  <c:v>50.08</c:v>
                </c:pt>
                <c:pt idx="312">
                  <c:v>48.37</c:v>
                </c:pt>
                <c:pt idx="313">
                  <c:v>49.77</c:v>
                </c:pt>
                <c:pt idx="314">
                  <c:v>54.24</c:v>
                </c:pt>
                <c:pt idx="315">
                  <c:v>66.989999999999995</c:v>
                </c:pt>
                <c:pt idx="316">
                  <c:v>66.430000000000007</c:v>
                </c:pt>
                <c:pt idx="317">
                  <c:v>69.05</c:v>
                </c:pt>
                <c:pt idx="318">
                  <c:v>75.180000000000007</c:v>
                </c:pt>
                <c:pt idx="319">
                  <c:v>71.989999999999995</c:v>
                </c:pt>
                <c:pt idx="320">
                  <c:v>63.51</c:v>
                </c:pt>
                <c:pt idx="321">
                  <c:v>62.46</c:v>
                </c:pt>
                <c:pt idx="322">
                  <c:v>59.03</c:v>
                </c:pt>
                <c:pt idx="327">
                  <c:v>38.74</c:v>
                </c:pt>
                <c:pt idx="328">
                  <c:v>40.75</c:v>
                </c:pt>
                <c:pt idx="329">
                  <c:v>44.32</c:v>
                </c:pt>
                <c:pt idx="330">
                  <c:v>45.51</c:v>
                </c:pt>
                <c:pt idx="331">
                  <c:v>45.51</c:v>
                </c:pt>
                <c:pt idx="332">
                  <c:v>47.98</c:v>
                </c:pt>
                <c:pt idx="333">
                  <c:v>46.33</c:v>
                </c:pt>
                <c:pt idx="334">
                  <c:v>46.13</c:v>
                </c:pt>
                <c:pt idx="335">
                  <c:v>46.04</c:v>
                </c:pt>
                <c:pt idx="336">
                  <c:v>45.12</c:v>
                </c:pt>
                <c:pt idx="337">
                  <c:v>46.29</c:v>
                </c:pt>
                <c:pt idx="338">
                  <c:v>46.37</c:v>
                </c:pt>
                <c:pt idx="339">
                  <c:v>48.19</c:v>
                </c:pt>
                <c:pt idx="340">
                  <c:v>49.92</c:v>
                </c:pt>
                <c:pt idx="341">
                  <c:v>53.67</c:v>
                </c:pt>
                <c:pt idx="342">
                  <c:v>46.59</c:v>
                </c:pt>
                <c:pt idx="343">
                  <c:v>37.729999999999997</c:v>
                </c:pt>
                <c:pt idx="345">
                  <c:v>40.85</c:v>
                </c:pt>
                <c:pt idx="346">
                  <c:v>40.99</c:v>
                </c:pt>
                <c:pt idx="347">
                  <c:v>42.33</c:v>
                </c:pt>
                <c:pt idx="348">
                  <c:v>45.26</c:v>
                </c:pt>
                <c:pt idx="349">
                  <c:v>45.52</c:v>
                </c:pt>
                <c:pt idx="350">
                  <c:v>50.14</c:v>
                </c:pt>
                <c:pt idx="351">
                  <c:v>51.52</c:v>
                </c:pt>
                <c:pt idx="352">
                  <c:v>58.23</c:v>
                </c:pt>
                <c:pt idx="353">
                  <c:v>57.53</c:v>
                </c:pt>
                <c:pt idx="354">
                  <c:v>63.45</c:v>
                </c:pt>
                <c:pt idx="355">
                  <c:v>64.739999999999995</c:v>
                </c:pt>
                <c:pt idx="356">
                  <c:v>59.3</c:v>
                </c:pt>
                <c:pt idx="357">
                  <c:v>63.67</c:v>
                </c:pt>
                <c:pt idx="358">
                  <c:v>56.84</c:v>
                </c:pt>
                <c:pt idx="359">
                  <c:v>49.23</c:v>
                </c:pt>
                <c:pt idx="360">
                  <c:v>60.79</c:v>
                </c:pt>
                <c:pt idx="361">
                  <c:v>62.33</c:v>
                </c:pt>
                <c:pt idx="362">
                  <c:v>74.349999999999994</c:v>
                </c:pt>
                <c:pt idx="363">
                  <c:v>73.7</c:v>
                </c:pt>
                <c:pt idx="364">
                  <c:v>72.88</c:v>
                </c:pt>
                <c:pt idx="365">
                  <c:v>69.83</c:v>
                </c:pt>
                <c:pt idx="366">
                  <c:v>67.95</c:v>
                </c:pt>
                <c:pt idx="367">
                  <c:v>66.42</c:v>
                </c:pt>
                <c:pt idx="368">
                  <c:v>60.12</c:v>
                </c:pt>
                <c:pt idx="369">
                  <c:v>58.16</c:v>
                </c:pt>
                <c:pt idx="370">
                  <c:v>54.22</c:v>
                </c:pt>
                <c:pt idx="371">
                  <c:v>51.69</c:v>
                </c:pt>
                <c:pt idx="372">
                  <c:v>55.95</c:v>
                </c:pt>
                <c:pt idx="373">
                  <c:v>56.54</c:v>
                </c:pt>
                <c:pt idx="374">
                  <c:v>50.12</c:v>
                </c:pt>
                <c:pt idx="375">
                  <c:v>41.93</c:v>
                </c:pt>
                <c:pt idx="376">
                  <c:v>39.42</c:v>
                </c:pt>
                <c:pt idx="377">
                  <c:v>35.03</c:v>
                </c:pt>
                <c:pt idx="378">
                  <c:v>37.409999999999997</c:v>
                </c:pt>
                <c:pt idx="379">
                  <c:v>39.29</c:v>
                </c:pt>
                <c:pt idx="380">
                  <c:v>43.35</c:v>
                </c:pt>
                <c:pt idx="381">
                  <c:v>54.35</c:v>
                </c:pt>
                <c:pt idx="382">
                  <c:v>52.59</c:v>
                </c:pt>
                <c:pt idx="383">
                  <c:v>52.54</c:v>
                </c:pt>
                <c:pt idx="384">
                  <c:v>53.12</c:v>
                </c:pt>
                <c:pt idx="385">
                  <c:v>46.94</c:v>
                </c:pt>
                <c:pt idx="386">
                  <c:v>49.24</c:v>
                </c:pt>
                <c:pt idx="387">
                  <c:v>58.2</c:v>
                </c:pt>
                <c:pt idx="388">
                  <c:v>53.62</c:v>
                </c:pt>
                <c:pt idx="389">
                  <c:v>53.19</c:v>
                </c:pt>
                <c:pt idx="390">
                  <c:v>46.99</c:v>
                </c:pt>
                <c:pt idx="391">
                  <c:v>52.6</c:v>
                </c:pt>
                <c:pt idx="392">
                  <c:v>50.6</c:v>
                </c:pt>
                <c:pt idx="393">
                  <c:v>49.38</c:v>
                </c:pt>
                <c:pt idx="394">
                  <c:v>59.92</c:v>
                </c:pt>
                <c:pt idx="395">
                  <c:v>55.6</c:v>
                </c:pt>
                <c:pt idx="396">
                  <c:v>53.29</c:v>
                </c:pt>
                <c:pt idx="397">
                  <c:v>57.14</c:v>
                </c:pt>
                <c:pt idx="398">
                  <c:v>56.85</c:v>
                </c:pt>
                <c:pt idx="399">
                  <c:v>49.9</c:v>
                </c:pt>
                <c:pt idx="400">
                  <c:v>52.79</c:v>
                </c:pt>
                <c:pt idx="401">
                  <c:v>51.44</c:v>
                </c:pt>
                <c:pt idx="403">
                  <c:v>50.72</c:v>
                </c:pt>
                <c:pt idx="404">
                  <c:v>50.45</c:v>
                </c:pt>
                <c:pt idx="405">
                  <c:v>53.93</c:v>
                </c:pt>
                <c:pt idx="407">
                  <c:v>50.59</c:v>
                </c:pt>
                <c:pt idx="409">
                  <c:v>53.4</c:v>
                </c:pt>
                <c:pt idx="410">
                  <c:v>55.57</c:v>
                </c:pt>
                <c:pt idx="411">
                  <c:v>58.36</c:v>
                </c:pt>
                <c:pt idx="412">
                  <c:v>52.44</c:v>
                </c:pt>
                <c:pt idx="413">
                  <c:v>56.21</c:v>
                </c:pt>
                <c:pt idx="414">
                  <c:v>53.87</c:v>
                </c:pt>
                <c:pt idx="415">
                  <c:v>49.62</c:v>
                </c:pt>
                <c:pt idx="416">
                  <c:v>52.91</c:v>
                </c:pt>
                <c:pt idx="420">
                  <c:v>52.06</c:v>
                </c:pt>
                <c:pt idx="421">
                  <c:v>47.7</c:v>
                </c:pt>
                <c:pt idx="422">
                  <c:v>41.03</c:v>
                </c:pt>
                <c:pt idx="423">
                  <c:v>39.64</c:v>
                </c:pt>
                <c:pt idx="424">
                  <c:v>39.22</c:v>
                </c:pt>
                <c:pt idx="425">
                  <c:v>38.369999999999997</c:v>
                </c:pt>
                <c:pt idx="426">
                  <c:v>42.68</c:v>
                </c:pt>
                <c:pt idx="427">
                  <c:v>36.840000000000003</c:v>
                </c:pt>
                <c:pt idx="428">
                  <c:v>44.95</c:v>
                </c:pt>
                <c:pt idx="429">
                  <c:v>48.06</c:v>
                </c:pt>
                <c:pt idx="430">
                  <c:v>50.63</c:v>
                </c:pt>
                <c:pt idx="431">
                  <c:v>49.35</c:v>
                </c:pt>
                <c:pt idx="432">
                  <c:v>48.85</c:v>
                </c:pt>
                <c:pt idx="433">
                  <c:v>54.65</c:v>
                </c:pt>
                <c:pt idx="434">
                  <c:v>59.22</c:v>
                </c:pt>
                <c:pt idx="435">
                  <c:v>53.28</c:v>
                </c:pt>
                <c:pt idx="436">
                  <c:v>53.35</c:v>
                </c:pt>
                <c:pt idx="437">
                  <c:v>45.08</c:v>
                </c:pt>
                <c:pt idx="438">
                  <c:v>42.48</c:v>
                </c:pt>
                <c:pt idx="439">
                  <c:v>39.26</c:v>
                </c:pt>
                <c:pt idx="440">
                  <c:v>39.229999999999997</c:v>
                </c:pt>
                <c:pt idx="442">
                  <c:v>41.75</c:v>
                </c:pt>
                <c:pt idx="443">
                  <c:v>41.87</c:v>
                </c:pt>
                <c:pt idx="444">
                  <c:v>38.14</c:v>
                </c:pt>
                <c:pt idx="445">
                  <c:v>38.54</c:v>
                </c:pt>
                <c:pt idx="446">
                  <c:v>39.89</c:v>
                </c:pt>
                <c:pt idx="447">
                  <c:v>36.799999999999997</c:v>
                </c:pt>
                <c:pt idx="448">
                  <c:v>32.409999999999997</c:v>
                </c:pt>
                <c:pt idx="449">
                  <c:v>19.71</c:v>
                </c:pt>
                <c:pt idx="450">
                  <c:v>31.83</c:v>
                </c:pt>
                <c:pt idx="451">
                  <c:v>36.72</c:v>
                </c:pt>
                <c:pt idx="452">
                  <c:v>33.74</c:v>
                </c:pt>
                <c:pt idx="453">
                  <c:v>31.34</c:v>
                </c:pt>
                <c:pt idx="454">
                  <c:v>35.229999999999997</c:v>
                </c:pt>
                <c:pt idx="455">
                  <c:v>32.369999999999997</c:v>
                </c:pt>
                <c:pt idx="456">
                  <c:v>34.03</c:v>
                </c:pt>
                <c:pt idx="457">
                  <c:v>24.72</c:v>
                </c:pt>
                <c:pt idx="458">
                  <c:v>23.17</c:v>
                </c:pt>
                <c:pt idx="459">
                  <c:v>26.48</c:v>
                </c:pt>
                <c:pt idx="460">
                  <c:v>26.41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91-413F-A1CF-162470F2B0EB}"/>
            </c:ext>
          </c:extLst>
        </c:ser>
        <c:ser>
          <c:idx val="1"/>
          <c:order val="1"/>
          <c:tx>
            <c:strRef>
              <c:f>'미국 RSI'!$B$1</c:f>
              <c:strCache>
                <c:ptCount val="1"/>
                <c:pt idx="0">
                  <c:v>기술(US)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RSI'!$B$69:$B$3068</c:f>
              <c:numCache>
                <c:formatCode>0.00</c:formatCode>
                <c:ptCount val="3000"/>
                <c:pt idx="0">
                  <c:v>72.78</c:v>
                </c:pt>
                <c:pt idx="1">
                  <c:v>69.349999999999994</c:v>
                </c:pt>
                <c:pt idx="2">
                  <c:v>70.39</c:v>
                </c:pt>
                <c:pt idx="3">
                  <c:v>68.94</c:v>
                </c:pt>
                <c:pt idx="4">
                  <c:v>76.47</c:v>
                </c:pt>
                <c:pt idx="5">
                  <c:v>76.16</c:v>
                </c:pt>
                <c:pt idx="6">
                  <c:v>71.83</c:v>
                </c:pt>
                <c:pt idx="7">
                  <c:v>78.64</c:v>
                </c:pt>
                <c:pt idx="8">
                  <c:v>75.36</c:v>
                </c:pt>
                <c:pt idx="9">
                  <c:v>75.23</c:v>
                </c:pt>
                <c:pt idx="10">
                  <c:v>75.02</c:v>
                </c:pt>
                <c:pt idx="11">
                  <c:v>72.69</c:v>
                </c:pt>
                <c:pt idx="12">
                  <c:v>70.819999999999993</c:v>
                </c:pt>
                <c:pt idx="13">
                  <c:v>68.040000000000006</c:v>
                </c:pt>
                <c:pt idx="14">
                  <c:v>64.97</c:v>
                </c:pt>
                <c:pt idx="15">
                  <c:v>60.45</c:v>
                </c:pt>
                <c:pt idx="16">
                  <c:v>59.56</c:v>
                </c:pt>
                <c:pt idx="17">
                  <c:v>58.96</c:v>
                </c:pt>
                <c:pt idx="18">
                  <c:v>51.56</c:v>
                </c:pt>
                <c:pt idx="19">
                  <c:v>50.29</c:v>
                </c:pt>
                <c:pt idx="21">
                  <c:v>48.78</c:v>
                </c:pt>
                <c:pt idx="22">
                  <c:v>46.71</c:v>
                </c:pt>
                <c:pt idx="23">
                  <c:v>42.73</c:v>
                </c:pt>
                <c:pt idx="24">
                  <c:v>29.59</c:v>
                </c:pt>
                <c:pt idx="25">
                  <c:v>32.72</c:v>
                </c:pt>
                <c:pt idx="26">
                  <c:v>36.53</c:v>
                </c:pt>
                <c:pt idx="27">
                  <c:v>44.49</c:v>
                </c:pt>
                <c:pt idx="28">
                  <c:v>42.83</c:v>
                </c:pt>
                <c:pt idx="29">
                  <c:v>44.45</c:v>
                </c:pt>
                <c:pt idx="30">
                  <c:v>40.1</c:v>
                </c:pt>
                <c:pt idx="31">
                  <c:v>46.49</c:v>
                </c:pt>
                <c:pt idx="32">
                  <c:v>45.28</c:v>
                </c:pt>
                <c:pt idx="33">
                  <c:v>48.72</c:v>
                </c:pt>
                <c:pt idx="34">
                  <c:v>46.92</c:v>
                </c:pt>
                <c:pt idx="35">
                  <c:v>41.98</c:v>
                </c:pt>
                <c:pt idx="36">
                  <c:v>43.97</c:v>
                </c:pt>
                <c:pt idx="37">
                  <c:v>49.41</c:v>
                </c:pt>
                <c:pt idx="38">
                  <c:v>47.86</c:v>
                </c:pt>
                <c:pt idx="39">
                  <c:v>47.86</c:v>
                </c:pt>
                <c:pt idx="40">
                  <c:v>42.24</c:v>
                </c:pt>
                <c:pt idx="41">
                  <c:v>47.84</c:v>
                </c:pt>
                <c:pt idx="42">
                  <c:v>47.08</c:v>
                </c:pt>
                <c:pt idx="43">
                  <c:v>41.59</c:v>
                </c:pt>
                <c:pt idx="44">
                  <c:v>45.4</c:v>
                </c:pt>
                <c:pt idx="45">
                  <c:v>43.57</c:v>
                </c:pt>
                <c:pt idx="46">
                  <c:v>47.88</c:v>
                </c:pt>
                <c:pt idx="47">
                  <c:v>52.13</c:v>
                </c:pt>
                <c:pt idx="48">
                  <c:v>46.15</c:v>
                </c:pt>
                <c:pt idx="49">
                  <c:v>41.62</c:v>
                </c:pt>
                <c:pt idx="50">
                  <c:v>46.37</c:v>
                </c:pt>
                <c:pt idx="51">
                  <c:v>44.71</c:v>
                </c:pt>
                <c:pt idx="52">
                  <c:v>46.1</c:v>
                </c:pt>
                <c:pt idx="53">
                  <c:v>42.73</c:v>
                </c:pt>
                <c:pt idx="54">
                  <c:v>42.87</c:v>
                </c:pt>
                <c:pt idx="55">
                  <c:v>42.1</c:v>
                </c:pt>
                <c:pt idx="56">
                  <c:v>48.61</c:v>
                </c:pt>
                <c:pt idx="57">
                  <c:v>47.77</c:v>
                </c:pt>
                <c:pt idx="58">
                  <c:v>49.19</c:v>
                </c:pt>
                <c:pt idx="59">
                  <c:v>44.98</c:v>
                </c:pt>
                <c:pt idx="60">
                  <c:v>32.03</c:v>
                </c:pt>
                <c:pt idx="61">
                  <c:v>35.549999999999997</c:v>
                </c:pt>
                <c:pt idx="62">
                  <c:v>42.43</c:v>
                </c:pt>
                <c:pt idx="63">
                  <c:v>49.58</c:v>
                </c:pt>
                <c:pt idx="64">
                  <c:v>45.91</c:v>
                </c:pt>
                <c:pt idx="65">
                  <c:v>53.8</c:v>
                </c:pt>
                <c:pt idx="66">
                  <c:v>61.55</c:v>
                </c:pt>
                <c:pt idx="67">
                  <c:v>58.79</c:v>
                </c:pt>
                <c:pt idx="68">
                  <c:v>53.64</c:v>
                </c:pt>
                <c:pt idx="69">
                  <c:v>50.76</c:v>
                </c:pt>
                <c:pt idx="70">
                  <c:v>50.15</c:v>
                </c:pt>
                <c:pt idx="71">
                  <c:v>47.06</c:v>
                </c:pt>
                <c:pt idx="72">
                  <c:v>40.770000000000003</c:v>
                </c:pt>
                <c:pt idx="74">
                  <c:v>51.72</c:v>
                </c:pt>
                <c:pt idx="75">
                  <c:v>51.2</c:v>
                </c:pt>
                <c:pt idx="76">
                  <c:v>48.79</c:v>
                </c:pt>
                <c:pt idx="77">
                  <c:v>54.66</c:v>
                </c:pt>
                <c:pt idx="78">
                  <c:v>55.74</c:v>
                </c:pt>
                <c:pt idx="79">
                  <c:v>53.99</c:v>
                </c:pt>
                <c:pt idx="80">
                  <c:v>48.34</c:v>
                </c:pt>
                <c:pt idx="81">
                  <c:v>56.01</c:v>
                </c:pt>
                <c:pt idx="82">
                  <c:v>56.44</c:v>
                </c:pt>
                <c:pt idx="83">
                  <c:v>50.38</c:v>
                </c:pt>
                <c:pt idx="84">
                  <c:v>49.34</c:v>
                </c:pt>
                <c:pt idx="85">
                  <c:v>48.31</c:v>
                </c:pt>
                <c:pt idx="86">
                  <c:v>52.65</c:v>
                </c:pt>
                <c:pt idx="87">
                  <c:v>54.09</c:v>
                </c:pt>
                <c:pt idx="88">
                  <c:v>56.14</c:v>
                </c:pt>
                <c:pt idx="89">
                  <c:v>55.59</c:v>
                </c:pt>
                <c:pt idx="90">
                  <c:v>54.8</c:v>
                </c:pt>
                <c:pt idx="91">
                  <c:v>53.05</c:v>
                </c:pt>
                <c:pt idx="92">
                  <c:v>51.82</c:v>
                </c:pt>
                <c:pt idx="93">
                  <c:v>44.43</c:v>
                </c:pt>
                <c:pt idx="94">
                  <c:v>38.25</c:v>
                </c:pt>
                <c:pt idx="95">
                  <c:v>45.11</c:v>
                </c:pt>
                <c:pt idx="96">
                  <c:v>44.35</c:v>
                </c:pt>
                <c:pt idx="97">
                  <c:v>47.63</c:v>
                </c:pt>
                <c:pt idx="98">
                  <c:v>60.4</c:v>
                </c:pt>
                <c:pt idx="99">
                  <c:v>63.19</c:v>
                </c:pt>
                <c:pt idx="100">
                  <c:v>61.66</c:v>
                </c:pt>
                <c:pt idx="101">
                  <c:v>60.82</c:v>
                </c:pt>
                <c:pt idx="102">
                  <c:v>58.61</c:v>
                </c:pt>
                <c:pt idx="103">
                  <c:v>56.24</c:v>
                </c:pt>
                <c:pt idx="104">
                  <c:v>55.03</c:v>
                </c:pt>
                <c:pt idx="105">
                  <c:v>54.27</c:v>
                </c:pt>
                <c:pt idx="106">
                  <c:v>51.02</c:v>
                </c:pt>
                <c:pt idx="107">
                  <c:v>50.88</c:v>
                </c:pt>
                <c:pt idx="109">
                  <c:v>48.25</c:v>
                </c:pt>
                <c:pt idx="110">
                  <c:v>44.49</c:v>
                </c:pt>
                <c:pt idx="111">
                  <c:v>43.63</c:v>
                </c:pt>
                <c:pt idx="112">
                  <c:v>35.61</c:v>
                </c:pt>
                <c:pt idx="113">
                  <c:v>34.200000000000003</c:v>
                </c:pt>
                <c:pt idx="114">
                  <c:v>41.21</c:v>
                </c:pt>
                <c:pt idx="115">
                  <c:v>38.64</c:v>
                </c:pt>
                <c:pt idx="116">
                  <c:v>42.76</c:v>
                </c:pt>
                <c:pt idx="117">
                  <c:v>47.34</c:v>
                </c:pt>
                <c:pt idx="118">
                  <c:v>45.47</c:v>
                </c:pt>
                <c:pt idx="119">
                  <c:v>53.84</c:v>
                </c:pt>
                <c:pt idx="120">
                  <c:v>52.84</c:v>
                </c:pt>
                <c:pt idx="121">
                  <c:v>55.97</c:v>
                </c:pt>
                <c:pt idx="122">
                  <c:v>47.55</c:v>
                </c:pt>
                <c:pt idx="123">
                  <c:v>48.72</c:v>
                </c:pt>
                <c:pt idx="124">
                  <c:v>56.39</c:v>
                </c:pt>
                <c:pt idx="125">
                  <c:v>55.11</c:v>
                </c:pt>
                <c:pt idx="126">
                  <c:v>67.84</c:v>
                </c:pt>
                <c:pt idx="127">
                  <c:v>66.739999999999995</c:v>
                </c:pt>
                <c:pt idx="128">
                  <c:v>66.489999999999995</c:v>
                </c:pt>
                <c:pt idx="129">
                  <c:v>73.099999999999994</c:v>
                </c:pt>
                <c:pt idx="130">
                  <c:v>71.58</c:v>
                </c:pt>
                <c:pt idx="131">
                  <c:v>69.38</c:v>
                </c:pt>
                <c:pt idx="132">
                  <c:v>64.760000000000005</c:v>
                </c:pt>
                <c:pt idx="133">
                  <c:v>60.12</c:v>
                </c:pt>
                <c:pt idx="134">
                  <c:v>55.79</c:v>
                </c:pt>
                <c:pt idx="135">
                  <c:v>60.63</c:v>
                </c:pt>
                <c:pt idx="136">
                  <c:v>60.46</c:v>
                </c:pt>
                <c:pt idx="137">
                  <c:v>56.85</c:v>
                </c:pt>
                <c:pt idx="138">
                  <c:v>56.26</c:v>
                </c:pt>
                <c:pt idx="139">
                  <c:v>56.03</c:v>
                </c:pt>
                <c:pt idx="140">
                  <c:v>52.95</c:v>
                </c:pt>
                <c:pt idx="141">
                  <c:v>57.89</c:v>
                </c:pt>
                <c:pt idx="142">
                  <c:v>49.84</c:v>
                </c:pt>
                <c:pt idx="143">
                  <c:v>72.14</c:v>
                </c:pt>
                <c:pt idx="144">
                  <c:v>73.41</c:v>
                </c:pt>
                <c:pt idx="145">
                  <c:v>68.09</c:v>
                </c:pt>
                <c:pt idx="146">
                  <c:v>73.31</c:v>
                </c:pt>
                <c:pt idx="147">
                  <c:v>70.12</c:v>
                </c:pt>
                <c:pt idx="148">
                  <c:v>74.23</c:v>
                </c:pt>
                <c:pt idx="149">
                  <c:v>72.64</c:v>
                </c:pt>
                <c:pt idx="150">
                  <c:v>69.5</c:v>
                </c:pt>
                <c:pt idx="151">
                  <c:v>67.59</c:v>
                </c:pt>
                <c:pt idx="152">
                  <c:v>65.63</c:v>
                </c:pt>
                <c:pt idx="153">
                  <c:v>64.52</c:v>
                </c:pt>
                <c:pt idx="154">
                  <c:v>65.67</c:v>
                </c:pt>
                <c:pt idx="155">
                  <c:v>69.78</c:v>
                </c:pt>
                <c:pt idx="156">
                  <c:v>76</c:v>
                </c:pt>
                <c:pt idx="157">
                  <c:v>72.510000000000005</c:v>
                </c:pt>
                <c:pt idx="158">
                  <c:v>69.42</c:v>
                </c:pt>
                <c:pt idx="159">
                  <c:v>62.95</c:v>
                </c:pt>
                <c:pt idx="160">
                  <c:v>65.53</c:v>
                </c:pt>
                <c:pt idx="161">
                  <c:v>68.150000000000006</c:v>
                </c:pt>
                <c:pt idx="162">
                  <c:v>64.790000000000006</c:v>
                </c:pt>
                <c:pt idx="163">
                  <c:v>65.260000000000005</c:v>
                </c:pt>
                <c:pt idx="164">
                  <c:v>64.03</c:v>
                </c:pt>
                <c:pt idx="165">
                  <c:v>56.47</c:v>
                </c:pt>
                <c:pt idx="166">
                  <c:v>55.55</c:v>
                </c:pt>
                <c:pt idx="167">
                  <c:v>51.9</c:v>
                </c:pt>
                <c:pt idx="168">
                  <c:v>51.48</c:v>
                </c:pt>
                <c:pt idx="169">
                  <c:v>49.1</c:v>
                </c:pt>
                <c:pt idx="170">
                  <c:v>46.16</c:v>
                </c:pt>
                <c:pt idx="172">
                  <c:v>50.83</c:v>
                </c:pt>
                <c:pt idx="173">
                  <c:v>59.45</c:v>
                </c:pt>
                <c:pt idx="174">
                  <c:v>55.9</c:v>
                </c:pt>
                <c:pt idx="175">
                  <c:v>53.32</c:v>
                </c:pt>
                <c:pt idx="176">
                  <c:v>51.08</c:v>
                </c:pt>
                <c:pt idx="177">
                  <c:v>52.23</c:v>
                </c:pt>
                <c:pt idx="178">
                  <c:v>45.47</c:v>
                </c:pt>
                <c:pt idx="179">
                  <c:v>47.13</c:v>
                </c:pt>
                <c:pt idx="180">
                  <c:v>50.33</c:v>
                </c:pt>
                <c:pt idx="181">
                  <c:v>60.36</c:v>
                </c:pt>
                <c:pt idx="182">
                  <c:v>59.44</c:v>
                </c:pt>
                <c:pt idx="183">
                  <c:v>64.38</c:v>
                </c:pt>
                <c:pt idx="184">
                  <c:v>65.83</c:v>
                </c:pt>
                <c:pt idx="185">
                  <c:v>65.709999999999994</c:v>
                </c:pt>
                <c:pt idx="186">
                  <c:v>60.24</c:v>
                </c:pt>
                <c:pt idx="187">
                  <c:v>64.44</c:v>
                </c:pt>
                <c:pt idx="188">
                  <c:v>60.72</c:v>
                </c:pt>
                <c:pt idx="189">
                  <c:v>60.37</c:v>
                </c:pt>
                <c:pt idx="190">
                  <c:v>55.91</c:v>
                </c:pt>
                <c:pt idx="191">
                  <c:v>60.6</c:v>
                </c:pt>
                <c:pt idx="192">
                  <c:v>51.5</c:v>
                </c:pt>
                <c:pt idx="193">
                  <c:v>67.150000000000006</c:v>
                </c:pt>
                <c:pt idx="194">
                  <c:v>74.319999999999993</c:v>
                </c:pt>
                <c:pt idx="195">
                  <c:v>73.52</c:v>
                </c:pt>
                <c:pt idx="196">
                  <c:v>73.510000000000005</c:v>
                </c:pt>
                <c:pt idx="197">
                  <c:v>70.72</c:v>
                </c:pt>
                <c:pt idx="198">
                  <c:v>69.88</c:v>
                </c:pt>
                <c:pt idx="199">
                  <c:v>68.33</c:v>
                </c:pt>
                <c:pt idx="200">
                  <c:v>66.150000000000006</c:v>
                </c:pt>
                <c:pt idx="201">
                  <c:v>73.87</c:v>
                </c:pt>
                <c:pt idx="202">
                  <c:v>73.47</c:v>
                </c:pt>
                <c:pt idx="203">
                  <c:v>74</c:v>
                </c:pt>
                <c:pt idx="204">
                  <c:v>71.34</c:v>
                </c:pt>
                <c:pt idx="205">
                  <c:v>70.38</c:v>
                </c:pt>
                <c:pt idx="206">
                  <c:v>67.52</c:v>
                </c:pt>
                <c:pt idx="207">
                  <c:v>68.08</c:v>
                </c:pt>
                <c:pt idx="208">
                  <c:v>71.05</c:v>
                </c:pt>
                <c:pt idx="209">
                  <c:v>73.290000000000006</c:v>
                </c:pt>
                <c:pt idx="210">
                  <c:v>71.790000000000006</c:v>
                </c:pt>
                <c:pt idx="211">
                  <c:v>70.430000000000007</c:v>
                </c:pt>
                <c:pt idx="213">
                  <c:v>75.48</c:v>
                </c:pt>
                <c:pt idx="214">
                  <c:v>72.48</c:v>
                </c:pt>
                <c:pt idx="215">
                  <c:v>69.75</c:v>
                </c:pt>
                <c:pt idx="216">
                  <c:v>75.69</c:v>
                </c:pt>
                <c:pt idx="217">
                  <c:v>73.400000000000006</c:v>
                </c:pt>
                <c:pt idx="218">
                  <c:v>74.19</c:v>
                </c:pt>
                <c:pt idx="219">
                  <c:v>72.62</c:v>
                </c:pt>
                <c:pt idx="220">
                  <c:v>70.58</c:v>
                </c:pt>
                <c:pt idx="221">
                  <c:v>65.680000000000007</c:v>
                </c:pt>
                <c:pt idx="222">
                  <c:v>62.58</c:v>
                </c:pt>
                <c:pt idx="224">
                  <c:v>65.08</c:v>
                </c:pt>
                <c:pt idx="225">
                  <c:v>64.72</c:v>
                </c:pt>
                <c:pt idx="226">
                  <c:v>68.56</c:v>
                </c:pt>
                <c:pt idx="227">
                  <c:v>64.12</c:v>
                </c:pt>
                <c:pt idx="228">
                  <c:v>72.48</c:v>
                </c:pt>
                <c:pt idx="229">
                  <c:v>70.099999999999994</c:v>
                </c:pt>
                <c:pt idx="230">
                  <c:v>71.459999999999994</c:v>
                </c:pt>
                <c:pt idx="231">
                  <c:v>70.099999999999994</c:v>
                </c:pt>
                <c:pt idx="232">
                  <c:v>68.900000000000006</c:v>
                </c:pt>
                <c:pt idx="233">
                  <c:v>66.510000000000005</c:v>
                </c:pt>
                <c:pt idx="234">
                  <c:v>67.97</c:v>
                </c:pt>
                <c:pt idx="235">
                  <c:v>67.62</c:v>
                </c:pt>
                <c:pt idx="236">
                  <c:v>64.040000000000006</c:v>
                </c:pt>
                <c:pt idx="237">
                  <c:v>61.75</c:v>
                </c:pt>
                <c:pt idx="238">
                  <c:v>63.07</c:v>
                </c:pt>
                <c:pt idx="239">
                  <c:v>62.67</c:v>
                </c:pt>
                <c:pt idx="240">
                  <c:v>64.260000000000005</c:v>
                </c:pt>
                <c:pt idx="242">
                  <c:v>58.8</c:v>
                </c:pt>
                <c:pt idx="243">
                  <c:v>62.99</c:v>
                </c:pt>
                <c:pt idx="244">
                  <c:v>62.94</c:v>
                </c:pt>
                <c:pt idx="245">
                  <c:v>70.459999999999994</c:v>
                </c:pt>
                <c:pt idx="246">
                  <c:v>72.06</c:v>
                </c:pt>
                <c:pt idx="247">
                  <c:v>72.66</c:v>
                </c:pt>
                <c:pt idx="248">
                  <c:v>72.38</c:v>
                </c:pt>
                <c:pt idx="249">
                  <c:v>72.2</c:v>
                </c:pt>
                <c:pt idx="250">
                  <c:v>71.34</c:v>
                </c:pt>
                <c:pt idx="251">
                  <c:v>68.41</c:v>
                </c:pt>
                <c:pt idx="252">
                  <c:v>60.76</c:v>
                </c:pt>
                <c:pt idx="253">
                  <c:v>61.12</c:v>
                </c:pt>
                <c:pt idx="254">
                  <c:v>59.38</c:v>
                </c:pt>
                <c:pt idx="255">
                  <c:v>57.55</c:v>
                </c:pt>
                <c:pt idx="256">
                  <c:v>59.64</c:v>
                </c:pt>
                <c:pt idx="257">
                  <c:v>60.96</c:v>
                </c:pt>
                <c:pt idx="258">
                  <c:v>58.3</c:v>
                </c:pt>
                <c:pt idx="259">
                  <c:v>55.89</c:v>
                </c:pt>
                <c:pt idx="260">
                  <c:v>55.21</c:v>
                </c:pt>
                <c:pt idx="261">
                  <c:v>54.49</c:v>
                </c:pt>
                <c:pt idx="262">
                  <c:v>54.77</c:v>
                </c:pt>
                <c:pt idx="263">
                  <c:v>52.69</c:v>
                </c:pt>
                <c:pt idx="264">
                  <c:v>47.2</c:v>
                </c:pt>
                <c:pt idx="265">
                  <c:v>42.52</c:v>
                </c:pt>
                <c:pt idx="266">
                  <c:v>38.36</c:v>
                </c:pt>
                <c:pt idx="268">
                  <c:v>41.39</c:v>
                </c:pt>
                <c:pt idx="269">
                  <c:v>42.04</c:v>
                </c:pt>
                <c:pt idx="270">
                  <c:v>46.54</c:v>
                </c:pt>
                <c:pt idx="271">
                  <c:v>45.98</c:v>
                </c:pt>
                <c:pt idx="272">
                  <c:v>44.64</c:v>
                </c:pt>
                <c:pt idx="273">
                  <c:v>41.68</c:v>
                </c:pt>
                <c:pt idx="274">
                  <c:v>47.27</c:v>
                </c:pt>
                <c:pt idx="275">
                  <c:v>22.86</c:v>
                </c:pt>
                <c:pt idx="276">
                  <c:v>24.49</c:v>
                </c:pt>
                <c:pt idx="277">
                  <c:v>23</c:v>
                </c:pt>
                <c:pt idx="278">
                  <c:v>29.33</c:v>
                </c:pt>
                <c:pt idx="279">
                  <c:v>40.97</c:v>
                </c:pt>
                <c:pt idx="280">
                  <c:v>38.53</c:v>
                </c:pt>
                <c:pt idx="281">
                  <c:v>36.130000000000003</c:v>
                </c:pt>
                <c:pt idx="282">
                  <c:v>35.97</c:v>
                </c:pt>
                <c:pt idx="283">
                  <c:v>40.64</c:v>
                </c:pt>
                <c:pt idx="284">
                  <c:v>42.61</c:v>
                </c:pt>
                <c:pt idx="285">
                  <c:v>47.94</c:v>
                </c:pt>
                <c:pt idx="286">
                  <c:v>47.03</c:v>
                </c:pt>
                <c:pt idx="287">
                  <c:v>42.25</c:v>
                </c:pt>
                <c:pt idx="288">
                  <c:v>41.47</c:v>
                </c:pt>
                <c:pt idx="289">
                  <c:v>42.88</c:v>
                </c:pt>
                <c:pt idx="290">
                  <c:v>39.44</c:v>
                </c:pt>
                <c:pt idx="291">
                  <c:v>42.25</c:v>
                </c:pt>
                <c:pt idx="292">
                  <c:v>40.46</c:v>
                </c:pt>
                <c:pt idx="293">
                  <c:v>32.22</c:v>
                </c:pt>
                <c:pt idx="294">
                  <c:v>35.11</c:v>
                </c:pt>
                <c:pt idx="295">
                  <c:v>30.38</c:v>
                </c:pt>
                <c:pt idx="296">
                  <c:v>30.92</c:v>
                </c:pt>
                <c:pt idx="297">
                  <c:v>37.76</c:v>
                </c:pt>
                <c:pt idx="298">
                  <c:v>33.15</c:v>
                </c:pt>
                <c:pt idx="299">
                  <c:v>38.35</c:v>
                </c:pt>
                <c:pt idx="300">
                  <c:v>33.520000000000003</c:v>
                </c:pt>
                <c:pt idx="301">
                  <c:v>33.65</c:v>
                </c:pt>
                <c:pt idx="302">
                  <c:v>39.659999999999997</c:v>
                </c:pt>
                <c:pt idx="303">
                  <c:v>35.049999999999997</c:v>
                </c:pt>
                <c:pt idx="304">
                  <c:v>43.99</c:v>
                </c:pt>
                <c:pt idx="305">
                  <c:v>39.76</c:v>
                </c:pt>
                <c:pt idx="306">
                  <c:v>43.43</c:v>
                </c:pt>
                <c:pt idx="307">
                  <c:v>48.04</c:v>
                </c:pt>
                <c:pt idx="308">
                  <c:v>59.43</c:v>
                </c:pt>
                <c:pt idx="309">
                  <c:v>61.01</c:v>
                </c:pt>
                <c:pt idx="310">
                  <c:v>60.99</c:v>
                </c:pt>
                <c:pt idx="312">
                  <c:v>58.26</c:v>
                </c:pt>
                <c:pt idx="313">
                  <c:v>57.24</c:v>
                </c:pt>
                <c:pt idx="314">
                  <c:v>52.79</c:v>
                </c:pt>
                <c:pt idx="315">
                  <c:v>53.58</c:v>
                </c:pt>
                <c:pt idx="316">
                  <c:v>53.44</c:v>
                </c:pt>
                <c:pt idx="317">
                  <c:v>49.04</c:v>
                </c:pt>
                <c:pt idx="318">
                  <c:v>51.72</c:v>
                </c:pt>
                <c:pt idx="319">
                  <c:v>50.93</c:v>
                </c:pt>
                <c:pt idx="320">
                  <c:v>46.87</c:v>
                </c:pt>
                <c:pt idx="321">
                  <c:v>42.33</c:v>
                </c:pt>
                <c:pt idx="322">
                  <c:v>45.77</c:v>
                </c:pt>
                <c:pt idx="323">
                  <c:v>47.33</c:v>
                </c:pt>
                <c:pt idx="324">
                  <c:v>46.8</c:v>
                </c:pt>
                <c:pt idx="325">
                  <c:v>48.83</c:v>
                </c:pt>
                <c:pt idx="326">
                  <c:v>41.29</c:v>
                </c:pt>
                <c:pt idx="327">
                  <c:v>56.12</c:v>
                </c:pt>
                <c:pt idx="328">
                  <c:v>60.46</c:v>
                </c:pt>
                <c:pt idx="329">
                  <c:v>59.97</c:v>
                </c:pt>
                <c:pt idx="330">
                  <c:v>53.31</c:v>
                </c:pt>
                <c:pt idx="332">
                  <c:v>50.51</c:v>
                </c:pt>
                <c:pt idx="333">
                  <c:v>44.84</c:v>
                </c:pt>
                <c:pt idx="334">
                  <c:v>47.34</c:v>
                </c:pt>
                <c:pt idx="335">
                  <c:v>39.39</c:v>
                </c:pt>
                <c:pt idx="336">
                  <c:v>38.25</c:v>
                </c:pt>
                <c:pt idx="337">
                  <c:v>40.15</c:v>
                </c:pt>
                <c:pt idx="339">
                  <c:v>46.98</c:v>
                </c:pt>
                <c:pt idx="340">
                  <c:v>47.1</c:v>
                </c:pt>
                <c:pt idx="341">
                  <c:v>54.65</c:v>
                </c:pt>
                <c:pt idx="342">
                  <c:v>49.99</c:v>
                </c:pt>
                <c:pt idx="343">
                  <c:v>43.15</c:v>
                </c:pt>
                <c:pt idx="344">
                  <c:v>43.96</c:v>
                </c:pt>
                <c:pt idx="345">
                  <c:v>46.87</c:v>
                </c:pt>
                <c:pt idx="346">
                  <c:v>51.79</c:v>
                </c:pt>
                <c:pt idx="347">
                  <c:v>57.76</c:v>
                </c:pt>
                <c:pt idx="348">
                  <c:v>57.53</c:v>
                </c:pt>
                <c:pt idx="349">
                  <c:v>54</c:v>
                </c:pt>
                <c:pt idx="350">
                  <c:v>50.73</c:v>
                </c:pt>
                <c:pt idx="351">
                  <c:v>44.74</c:v>
                </c:pt>
                <c:pt idx="352">
                  <c:v>44.29</c:v>
                </c:pt>
                <c:pt idx="353">
                  <c:v>57.95</c:v>
                </c:pt>
                <c:pt idx="354">
                  <c:v>61.25</c:v>
                </c:pt>
                <c:pt idx="355">
                  <c:v>57.57</c:v>
                </c:pt>
                <c:pt idx="356">
                  <c:v>55.91</c:v>
                </c:pt>
                <c:pt idx="357">
                  <c:v>58.71</c:v>
                </c:pt>
                <c:pt idx="358">
                  <c:v>53.15</c:v>
                </c:pt>
                <c:pt idx="359">
                  <c:v>60.5</c:v>
                </c:pt>
                <c:pt idx="360">
                  <c:v>64.41</c:v>
                </c:pt>
                <c:pt idx="361">
                  <c:v>63.1</c:v>
                </c:pt>
                <c:pt idx="362">
                  <c:v>66.069999999999993</c:v>
                </c:pt>
                <c:pt idx="363">
                  <c:v>59.84</c:v>
                </c:pt>
                <c:pt idx="364">
                  <c:v>58.45</c:v>
                </c:pt>
                <c:pt idx="365">
                  <c:v>54.65</c:v>
                </c:pt>
                <c:pt idx="367">
                  <c:v>50.58</c:v>
                </c:pt>
                <c:pt idx="368">
                  <c:v>57.69</c:v>
                </c:pt>
                <c:pt idx="369">
                  <c:v>55.55</c:v>
                </c:pt>
                <c:pt idx="370">
                  <c:v>55.58</c:v>
                </c:pt>
                <c:pt idx="371">
                  <c:v>55.38</c:v>
                </c:pt>
                <c:pt idx="372">
                  <c:v>51.41</c:v>
                </c:pt>
                <c:pt idx="373">
                  <c:v>51.78</c:v>
                </c:pt>
                <c:pt idx="374">
                  <c:v>48.6</c:v>
                </c:pt>
                <c:pt idx="375">
                  <c:v>47.34</c:v>
                </c:pt>
                <c:pt idx="376">
                  <c:v>57.72</c:v>
                </c:pt>
                <c:pt idx="377">
                  <c:v>59.38</c:v>
                </c:pt>
                <c:pt idx="378">
                  <c:v>61.06</c:v>
                </c:pt>
                <c:pt idx="379">
                  <c:v>60.68</c:v>
                </c:pt>
                <c:pt idx="380">
                  <c:v>63.16</c:v>
                </c:pt>
                <c:pt idx="381">
                  <c:v>63.63</c:v>
                </c:pt>
                <c:pt idx="382">
                  <c:v>59.13</c:v>
                </c:pt>
                <c:pt idx="383">
                  <c:v>50.02</c:v>
                </c:pt>
                <c:pt idx="384">
                  <c:v>44.4</c:v>
                </c:pt>
                <c:pt idx="385">
                  <c:v>44.66</c:v>
                </c:pt>
                <c:pt idx="386">
                  <c:v>41.64</c:v>
                </c:pt>
                <c:pt idx="387">
                  <c:v>53.6</c:v>
                </c:pt>
                <c:pt idx="388">
                  <c:v>61.92</c:v>
                </c:pt>
                <c:pt idx="389">
                  <c:v>56.71</c:v>
                </c:pt>
                <c:pt idx="390">
                  <c:v>56.87</c:v>
                </c:pt>
                <c:pt idx="391">
                  <c:v>54.82</c:v>
                </c:pt>
                <c:pt idx="392">
                  <c:v>53.67</c:v>
                </c:pt>
                <c:pt idx="393">
                  <c:v>60.8</c:v>
                </c:pt>
                <c:pt idx="394">
                  <c:v>61.35</c:v>
                </c:pt>
                <c:pt idx="395">
                  <c:v>59.84</c:v>
                </c:pt>
                <c:pt idx="396">
                  <c:v>58.7</c:v>
                </c:pt>
                <c:pt idx="397">
                  <c:v>57.75</c:v>
                </c:pt>
                <c:pt idx="398">
                  <c:v>56.81</c:v>
                </c:pt>
                <c:pt idx="399">
                  <c:v>66.739999999999995</c:v>
                </c:pt>
                <c:pt idx="400">
                  <c:v>63.25</c:v>
                </c:pt>
                <c:pt idx="401">
                  <c:v>62.77</c:v>
                </c:pt>
                <c:pt idx="402">
                  <c:v>62.88</c:v>
                </c:pt>
                <c:pt idx="403">
                  <c:v>59.99</c:v>
                </c:pt>
                <c:pt idx="404">
                  <c:v>54.61</c:v>
                </c:pt>
                <c:pt idx="405">
                  <c:v>57.26</c:v>
                </c:pt>
                <c:pt idx="406">
                  <c:v>53.93</c:v>
                </c:pt>
                <c:pt idx="407">
                  <c:v>52.67</c:v>
                </c:pt>
                <c:pt idx="408">
                  <c:v>50.42</c:v>
                </c:pt>
                <c:pt idx="409">
                  <c:v>59.23</c:v>
                </c:pt>
                <c:pt idx="410">
                  <c:v>58.42</c:v>
                </c:pt>
                <c:pt idx="411">
                  <c:v>62.1</c:v>
                </c:pt>
                <c:pt idx="412">
                  <c:v>58.72</c:v>
                </c:pt>
                <c:pt idx="413">
                  <c:v>57.96</c:v>
                </c:pt>
                <c:pt idx="414">
                  <c:v>56.21</c:v>
                </c:pt>
                <c:pt idx="415">
                  <c:v>56.85</c:v>
                </c:pt>
                <c:pt idx="416">
                  <c:v>58.37</c:v>
                </c:pt>
                <c:pt idx="417">
                  <c:v>51.18</c:v>
                </c:pt>
                <c:pt idx="418">
                  <c:v>53.86</c:v>
                </c:pt>
                <c:pt idx="419">
                  <c:v>54.43</c:v>
                </c:pt>
                <c:pt idx="420">
                  <c:v>55.49</c:v>
                </c:pt>
                <c:pt idx="421">
                  <c:v>54.41</c:v>
                </c:pt>
                <c:pt idx="422">
                  <c:v>52.66</c:v>
                </c:pt>
                <c:pt idx="423">
                  <c:v>44.82</c:v>
                </c:pt>
                <c:pt idx="424">
                  <c:v>40.89</c:v>
                </c:pt>
                <c:pt idx="425">
                  <c:v>36.36</c:v>
                </c:pt>
                <c:pt idx="426">
                  <c:v>41.12</c:v>
                </c:pt>
                <c:pt idx="427">
                  <c:v>41.41</c:v>
                </c:pt>
                <c:pt idx="428">
                  <c:v>41.89</c:v>
                </c:pt>
                <c:pt idx="430">
                  <c:v>52.29</c:v>
                </c:pt>
                <c:pt idx="431">
                  <c:v>48.92</c:v>
                </c:pt>
                <c:pt idx="432">
                  <c:v>51.22</c:v>
                </c:pt>
                <c:pt idx="433">
                  <c:v>54.93</c:v>
                </c:pt>
                <c:pt idx="434">
                  <c:v>53.57</c:v>
                </c:pt>
                <c:pt idx="435">
                  <c:v>56.92</c:v>
                </c:pt>
                <c:pt idx="436">
                  <c:v>53.49</c:v>
                </c:pt>
                <c:pt idx="437">
                  <c:v>59.94</c:v>
                </c:pt>
                <c:pt idx="438">
                  <c:v>58.77</c:v>
                </c:pt>
                <c:pt idx="439">
                  <c:v>59.74</c:v>
                </c:pt>
                <c:pt idx="440">
                  <c:v>56.66</c:v>
                </c:pt>
                <c:pt idx="441">
                  <c:v>56.34</c:v>
                </c:pt>
                <c:pt idx="442">
                  <c:v>50.8</c:v>
                </c:pt>
                <c:pt idx="443">
                  <c:v>49.68</c:v>
                </c:pt>
                <c:pt idx="444">
                  <c:v>43.12</c:v>
                </c:pt>
                <c:pt idx="445">
                  <c:v>41.25</c:v>
                </c:pt>
                <c:pt idx="446">
                  <c:v>40.25</c:v>
                </c:pt>
                <c:pt idx="447">
                  <c:v>31.57</c:v>
                </c:pt>
                <c:pt idx="448">
                  <c:v>33.56</c:v>
                </c:pt>
                <c:pt idx="449">
                  <c:v>30.17</c:v>
                </c:pt>
                <c:pt idx="450">
                  <c:v>34.29</c:v>
                </c:pt>
                <c:pt idx="451">
                  <c:v>38.54</c:v>
                </c:pt>
                <c:pt idx="452">
                  <c:v>45.8</c:v>
                </c:pt>
                <c:pt idx="453">
                  <c:v>33.04</c:v>
                </c:pt>
                <c:pt idx="454">
                  <c:v>38.11</c:v>
                </c:pt>
                <c:pt idx="455">
                  <c:v>39.1</c:v>
                </c:pt>
                <c:pt idx="456">
                  <c:v>34.659999999999997</c:v>
                </c:pt>
                <c:pt idx="457">
                  <c:v>36.78</c:v>
                </c:pt>
                <c:pt idx="458">
                  <c:v>47.75</c:v>
                </c:pt>
                <c:pt idx="459">
                  <c:v>49.06</c:v>
                </c:pt>
                <c:pt idx="460">
                  <c:v>40.200000000000003</c:v>
                </c:pt>
                <c:pt idx="461">
                  <c:v>45.09</c:v>
                </c:pt>
                <c:pt idx="462">
                  <c:v>45.05</c:v>
                </c:pt>
                <c:pt idx="463">
                  <c:v>61.84</c:v>
                </c:pt>
                <c:pt idx="464">
                  <c:v>63.73</c:v>
                </c:pt>
                <c:pt idx="465">
                  <c:v>63.17</c:v>
                </c:pt>
                <c:pt idx="466">
                  <c:v>60.35</c:v>
                </c:pt>
                <c:pt idx="467">
                  <c:v>75.87</c:v>
                </c:pt>
                <c:pt idx="468">
                  <c:v>72.06</c:v>
                </c:pt>
                <c:pt idx="469">
                  <c:v>72.650000000000006</c:v>
                </c:pt>
                <c:pt idx="470">
                  <c:v>70.77</c:v>
                </c:pt>
                <c:pt idx="472">
                  <c:v>69.92</c:v>
                </c:pt>
                <c:pt idx="473">
                  <c:v>65.88</c:v>
                </c:pt>
                <c:pt idx="474">
                  <c:v>64.23</c:v>
                </c:pt>
                <c:pt idx="475">
                  <c:v>61.65</c:v>
                </c:pt>
                <c:pt idx="476">
                  <c:v>61.94</c:v>
                </c:pt>
                <c:pt idx="477">
                  <c:v>61.79</c:v>
                </c:pt>
                <c:pt idx="478">
                  <c:v>62.34</c:v>
                </c:pt>
                <c:pt idx="479">
                  <c:v>56.71</c:v>
                </c:pt>
                <c:pt idx="480">
                  <c:v>71.23</c:v>
                </c:pt>
                <c:pt idx="481">
                  <c:v>72.38</c:v>
                </c:pt>
                <c:pt idx="483">
                  <c:v>80.180000000000007</c:v>
                </c:pt>
                <c:pt idx="484">
                  <c:v>79.959999999999994</c:v>
                </c:pt>
                <c:pt idx="485">
                  <c:v>77.099999999999994</c:v>
                </c:pt>
                <c:pt idx="486">
                  <c:v>76.33</c:v>
                </c:pt>
                <c:pt idx="487">
                  <c:v>74.67</c:v>
                </c:pt>
                <c:pt idx="488">
                  <c:v>69.17</c:v>
                </c:pt>
                <c:pt idx="489">
                  <c:v>63.02</c:v>
                </c:pt>
                <c:pt idx="490">
                  <c:v>62.06</c:v>
                </c:pt>
                <c:pt idx="491">
                  <c:v>61.21</c:v>
                </c:pt>
                <c:pt idx="492">
                  <c:v>63.1</c:v>
                </c:pt>
                <c:pt idx="493">
                  <c:v>54.61</c:v>
                </c:pt>
                <c:pt idx="494">
                  <c:v>53.68</c:v>
                </c:pt>
                <c:pt idx="495">
                  <c:v>52.6</c:v>
                </c:pt>
                <c:pt idx="496">
                  <c:v>51.95</c:v>
                </c:pt>
                <c:pt idx="497">
                  <c:v>64.08</c:v>
                </c:pt>
                <c:pt idx="498">
                  <c:v>68.209999999999994</c:v>
                </c:pt>
                <c:pt idx="500">
                  <c:v>66.89</c:v>
                </c:pt>
                <c:pt idx="501">
                  <c:v>64.16</c:v>
                </c:pt>
                <c:pt idx="502">
                  <c:v>69.319999999999993</c:v>
                </c:pt>
                <c:pt idx="503">
                  <c:v>68.680000000000007</c:v>
                </c:pt>
                <c:pt idx="504">
                  <c:v>68.23</c:v>
                </c:pt>
                <c:pt idx="505">
                  <c:v>64.900000000000006</c:v>
                </c:pt>
                <c:pt idx="506">
                  <c:v>66.12</c:v>
                </c:pt>
                <c:pt idx="507">
                  <c:v>67.98</c:v>
                </c:pt>
                <c:pt idx="508">
                  <c:v>61.63</c:v>
                </c:pt>
                <c:pt idx="509">
                  <c:v>58.65</c:v>
                </c:pt>
                <c:pt idx="510">
                  <c:v>57.02</c:v>
                </c:pt>
                <c:pt idx="511">
                  <c:v>55.74</c:v>
                </c:pt>
                <c:pt idx="512">
                  <c:v>55.86</c:v>
                </c:pt>
                <c:pt idx="513">
                  <c:v>54.98</c:v>
                </c:pt>
                <c:pt idx="514">
                  <c:v>56.18</c:v>
                </c:pt>
                <c:pt idx="515">
                  <c:v>52.78</c:v>
                </c:pt>
                <c:pt idx="516">
                  <c:v>43.34</c:v>
                </c:pt>
                <c:pt idx="517">
                  <c:v>37.409999999999997</c:v>
                </c:pt>
                <c:pt idx="518">
                  <c:v>40.21</c:v>
                </c:pt>
                <c:pt idx="519">
                  <c:v>47.48</c:v>
                </c:pt>
                <c:pt idx="520">
                  <c:v>45.71</c:v>
                </c:pt>
                <c:pt idx="521">
                  <c:v>40.909999999999997</c:v>
                </c:pt>
                <c:pt idx="522">
                  <c:v>41.56</c:v>
                </c:pt>
                <c:pt idx="523">
                  <c:v>39.68</c:v>
                </c:pt>
                <c:pt idx="524">
                  <c:v>33.28</c:v>
                </c:pt>
                <c:pt idx="525">
                  <c:v>29.11</c:v>
                </c:pt>
                <c:pt idx="526">
                  <c:v>33.72</c:v>
                </c:pt>
                <c:pt idx="527">
                  <c:v>36.75</c:v>
                </c:pt>
                <c:pt idx="528">
                  <c:v>41.14</c:v>
                </c:pt>
                <c:pt idx="529">
                  <c:v>40.6</c:v>
                </c:pt>
                <c:pt idx="530">
                  <c:v>47.18</c:v>
                </c:pt>
                <c:pt idx="531">
                  <c:v>54.26</c:v>
                </c:pt>
                <c:pt idx="532">
                  <c:v>44.98</c:v>
                </c:pt>
                <c:pt idx="533">
                  <c:v>50.94</c:v>
                </c:pt>
                <c:pt idx="534">
                  <c:v>48.34</c:v>
                </c:pt>
                <c:pt idx="535">
                  <c:v>48.9</c:v>
                </c:pt>
                <c:pt idx="536">
                  <c:v>42.96</c:v>
                </c:pt>
                <c:pt idx="537">
                  <c:v>50.61</c:v>
                </c:pt>
                <c:pt idx="538">
                  <c:v>49.2</c:v>
                </c:pt>
                <c:pt idx="539">
                  <c:v>54.48</c:v>
                </c:pt>
                <c:pt idx="541">
                  <c:v>53.13</c:v>
                </c:pt>
                <c:pt idx="542">
                  <c:v>54.29</c:v>
                </c:pt>
                <c:pt idx="543">
                  <c:v>52</c:v>
                </c:pt>
                <c:pt idx="544">
                  <c:v>54.04</c:v>
                </c:pt>
                <c:pt idx="545">
                  <c:v>57.41</c:v>
                </c:pt>
                <c:pt idx="546">
                  <c:v>57.28</c:v>
                </c:pt>
                <c:pt idx="547">
                  <c:v>57.03</c:v>
                </c:pt>
                <c:pt idx="548">
                  <c:v>53.09</c:v>
                </c:pt>
                <c:pt idx="549">
                  <c:v>51.17</c:v>
                </c:pt>
                <c:pt idx="550">
                  <c:v>49.98</c:v>
                </c:pt>
                <c:pt idx="551">
                  <c:v>55.93</c:v>
                </c:pt>
                <c:pt idx="552">
                  <c:v>55.87</c:v>
                </c:pt>
                <c:pt idx="553">
                  <c:v>60.36</c:v>
                </c:pt>
                <c:pt idx="554">
                  <c:v>53.97</c:v>
                </c:pt>
                <c:pt idx="555">
                  <c:v>55.08</c:v>
                </c:pt>
                <c:pt idx="556">
                  <c:v>61.52</c:v>
                </c:pt>
                <c:pt idx="557">
                  <c:v>56.6</c:v>
                </c:pt>
                <c:pt idx="558">
                  <c:v>53.86</c:v>
                </c:pt>
                <c:pt idx="559">
                  <c:v>66.17</c:v>
                </c:pt>
                <c:pt idx="560">
                  <c:v>66.17</c:v>
                </c:pt>
                <c:pt idx="561">
                  <c:v>60.49</c:v>
                </c:pt>
                <c:pt idx="562">
                  <c:v>56.38</c:v>
                </c:pt>
                <c:pt idx="563">
                  <c:v>58.79</c:v>
                </c:pt>
                <c:pt idx="564">
                  <c:v>58.49</c:v>
                </c:pt>
                <c:pt idx="565">
                  <c:v>58.17</c:v>
                </c:pt>
                <c:pt idx="566">
                  <c:v>59.19</c:v>
                </c:pt>
                <c:pt idx="567">
                  <c:v>47.62</c:v>
                </c:pt>
                <c:pt idx="568">
                  <c:v>50.17</c:v>
                </c:pt>
                <c:pt idx="570">
                  <c:v>54.61</c:v>
                </c:pt>
                <c:pt idx="571">
                  <c:v>59.04</c:v>
                </c:pt>
                <c:pt idx="572">
                  <c:v>60.08</c:v>
                </c:pt>
                <c:pt idx="573">
                  <c:v>56.6</c:v>
                </c:pt>
                <c:pt idx="574">
                  <c:v>65.34</c:v>
                </c:pt>
                <c:pt idx="575">
                  <c:v>69.86</c:v>
                </c:pt>
                <c:pt idx="576">
                  <c:v>66.05</c:v>
                </c:pt>
                <c:pt idx="577">
                  <c:v>65.099999999999994</c:v>
                </c:pt>
                <c:pt idx="578">
                  <c:v>60.85</c:v>
                </c:pt>
                <c:pt idx="579">
                  <c:v>63.34</c:v>
                </c:pt>
                <c:pt idx="580">
                  <c:v>62.64</c:v>
                </c:pt>
                <c:pt idx="581">
                  <c:v>59.39</c:v>
                </c:pt>
                <c:pt idx="582">
                  <c:v>55.01</c:v>
                </c:pt>
                <c:pt idx="583">
                  <c:v>66.31</c:v>
                </c:pt>
                <c:pt idx="584">
                  <c:v>71.739999999999995</c:v>
                </c:pt>
                <c:pt idx="585">
                  <c:v>69.16</c:v>
                </c:pt>
                <c:pt idx="586">
                  <c:v>77.5</c:v>
                </c:pt>
                <c:pt idx="587">
                  <c:v>76.55</c:v>
                </c:pt>
                <c:pt idx="588">
                  <c:v>74.94</c:v>
                </c:pt>
                <c:pt idx="589">
                  <c:v>73.98</c:v>
                </c:pt>
                <c:pt idx="590">
                  <c:v>72.92</c:v>
                </c:pt>
                <c:pt idx="591">
                  <c:v>66.48</c:v>
                </c:pt>
                <c:pt idx="592">
                  <c:v>58.58</c:v>
                </c:pt>
                <c:pt idx="593">
                  <c:v>61.89</c:v>
                </c:pt>
                <c:pt idx="595">
                  <c:v>60.85</c:v>
                </c:pt>
                <c:pt idx="596">
                  <c:v>59.53</c:v>
                </c:pt>
                <c:pt idx="597">
                  <c:v>57.44</c:v>
                </c:pt>
                <c:pt idx="598">
                  <c:v>53.77</c:v>
                </c:pt>
                <c:pt idx="599">
                  <c:v>53.07</c:v>
                </c:pt>
                <c:pt idx="600">
                  <c:v>40.090000000000003</c:v>
                </c:pt>
                <c:pt idx="601">
                  <c:v>40.200000000000003</c:v>
                </c:pt>
                <c:pt idx="602">
                  <c:v>43.25</c:v>
                </c:pt>
                <c:pt idx="603">
                  <c:v>47.99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91-413F-A1CF-162470F2B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오락</a:t>
            </a:r>
            <a:r>
              <a:rPr lang="en-US" altLang="ko-KR"/>
              <a:t>·</a:t>
            </a:r>
            <a:r>
              <a:rPr lang="ko-KR" altLang="en-US"/>
              <a:t>문화  </a:t>
            </a:r>
            <a:r>
              <a:rPr lang="en-US"/>
              <a:t>vs  </a:t>
            </a:r>
            <a:r>
              <a:rPr lang="ko-KR" altLang="en-US"/>
              <a:t>통신서비스</a:t>
            </a:r>
            <a:r>
              <a:rPr lang="en-US" altLang="ko-KR"/>
              <a:t>(</a:t>
            </a:r>
            <a:r>
              <a:rPr lang="en-US"/>
              <a:t>US)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'한국 RSI'!$Y$7</c:f>
              <c:strCache>
                <c:ptCount val="1"/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'한국 RSI'!$Y$78:$Y$3077</c:f>
              <c:numCache>
                <c:formatCode>0.00</c:formatCode>
                <c:ptCount val="3000"/>
                <c:pt idx="1">
                  <c:v>45.02</c:v>
                </c:pt>
                <c:pt idx="2">
                  <c:v>39.979999999999997</c:v>
                </c:pt>
                <c:pt idx="3">
                  <c:v>37.15</c:v>
                </c:pt>
                <c:pt idx="4">
                  <c:v>37.33</c:v>
                </c:pt>
                <c:pt idx="5">
                  <c:v>37.54</c:v>
                </c:pt>
                <c:pt idx="6">
                  <c:v>32.75</c:v>
                </c:pt>
                <c:pt idx="7">
                  <c:v>34.090000000000003</c:v>
                </c:pt>
                <c:pt idx="8">
                  <c:v>33.630000000000003</c:v>
                </c:pt>
                <c:pt idx="9">
                  <c:v>35.46</c:v>
                </c:pt>
                <c:pt idx="10">
                  <c:v>38.03</c:v>
                </c:pt>
                <c:pt idx="11">
                  <c:v>40.03</c:v>
                </c:pt>
                <c:pt idx="12">
                  <c:v>32.11</c:v>
                </c:pt>
                <c:pt idx="13">
                  <c:v>26.32</c:v>
                </c:pt>
                <c:pt idx="14">
                  <c:v>26.97</c:v>
                </c:pt>
                <c:pt idx="15">
                  <c:v>27.98</c:v>
                </c:pt>
                <c:pt idx="16">
                  <c:v>27.28</c:v>
                </c:pt>
                <c:pt idx="17">
                  <c:v>28.06</c:v>
                </c:pt>
                <c:pt idx="18">
                  <c:v>24.29</c:v>
                </c:pt>
                <c:pt idx="19">
                  <c:v>27.15</c:v>
                </c:pt>
                <c:pt idx="20">
                  <c:v>27.01</c:v>
                </c:pt>
                <c:pt idx="21">
                  <c:v>27.52</c:v>
                </c:pt>
                <c:pt idx="22">
                  <c:v>32.35</c:v>
                </c:pt>
                <c:pt idx="23">
                  <c:v>33.380000000000003</c:v>
                </c:pt>
                <c:pt idx="24">
                  <c:v>35.46</c:v>
                </c:pt>
                <c:pt idx="25">
                  <c:v>37.82</c:v>
                </c:pt>
                <c:pt idx="26">
                  <c:v>36.04</c:v>
                </c:pt>
                <c:pt idx="27">
                  <c:v>36.18</c:v>
                </c:pt>
                <c:pt idx="28">
                  <c:v>32.86</c:v>
                </c:pt>
                <c:pt idx="29">
                  <c:v>30.04</c:v>
                </c:pt>
                <c:pt idx="30">
                  <c:v>43.17</c:v>
                </c:pt>
                <c:pt idx="31">
                  <c:v>45.92</c:v>
                </c:pt>
                <c:pt idx="32">
                  <c:v>50.3</c:v>
                </c:pt>
                <c:pt idx="33">
                  <c:v>49.54</c:v>
                </c:pt>
                <c:pt idx="34">
                  <c:v>43.05</c:v>
                </c:pt>
                <c:pt idx="35">
                  <c:v>46.5</c:v>
                </c:pt>
                <c:pt idx="36">
                  <c:v>44.61</c:v>
                </c:pt>
                <c:pt idx="37">
                  <c:v>43.34</c:v>
                </c:pt>
                <c:pt idx="38">
                  <c:v>41.34</c:v>
                </c:pt>
                <c:pt idx="39">
                  <c:v>38.950000000000003</c:v>
                </c:pt>
                <c:pt idx="40">
                  <c:v>42.15</c:v>
                </c:pt>
                <c:pt idx="41">
                  <c:v>38.729999999999997</c:v>
                </c:pt>
                <c:pt idx="42">
                  <c:v>29.47</c:v>
                </c:pt>
                <c:pt idx="43">
                  <c:v>41.59</c:v>
                </c:pt>
                <c:pt idx="45">
                  <c:v>56.99</c:v>
                </c:pt>
                <c:pt idx="46">
                  <c:v>60.07</c:v>
                </c:pt>
                <c:pt idx="47">
                  <c:v>64.91</c:v>
                </c:pt>
                <c:pt idx="48">
                  <c:v>66.97</c:v>
                </c:pt>
                <c:pt idx="49">
                  <c:v>69.819999999999993</c:v>
                </c:pt>
                <c:pt idx="50">
                  <c:v>68.64</c:v>
                </c:pt>
                <c:pt idx="51">
                  <c:v>71.42</c:v>
                </c:pt>
                <c:pt idx="54">
                  <c:v>67.17</c:v>
                </c:pt>
                <c:pt idx="55">
                  <c:v>64.87</c:v>
                </c:pt>
                <c:pt idx="56">
                  <c:v>66.069999999999993</c:v>
                </c:pt>
                <c:pt idx="57">
                  <c:v>63.58</c:v>
                </c:pt>
                <c:pt idx="58">
                  <c:v>62.26</c:v>
                </c:pt>
                <c:pt idx="59">
                  <c:v>52.84</c:v>
                </c:pt>
                <c:pt idx="60">
                  <c:v>58.69</c:v>
                </c:pt>
                <c:pt idx="61">
                  <c:v>60.35</c:v>
                </c:pt>
                <c:pt idx="62">
                  <c:v>57.9</c:v>
                </c:pt>
                <c:pt idx="63">
                  <c:v>50.77</c:v>
                </c:pt>
                <c:pt idx="64">
                  <c:v>63.96</c:v>
                </c:pt>
                <c:pt idx="65">
                  <c:v>68.02</c:v>
                </c:pt>
                <c:pt idx="66">
                  <c:v>67.66</c:v>
                </c:pt>
                <c:pt idx="67">
                  <c:v>67.41</c:v>
                </c:pt>
                <c:pt idx="68">
                  <c:v>70.31</c:v>
                </c:pt>
                <c:pt idx="69">
                  <c:v>70.09</c:v>
                </c:pt>
                <c:pt idx="70">
                  <c:v>66.61</c:v>
                </c:pt>
                <c:pt idx="71">
                  <c:v>64.209999999999994</c:v>
                </c:pt>
                <c:pt idx="72">
                  <c:v>70.78</c:v>
                </c:pt>
                <c:pt idx="73">
                  <c:v>68.92</c:v>
                </c:pt>
                <c:pt idx="74">
                  <c:v>56.83</c:v>
                </c:pt>
                <c:pt idx="75">
                  <c:v>59.78</c:v>
                </c:pt>
                <c:pt idx="76">
                  <c:v>55.66</c:v>
                </c:pt>
                <c:pt idx="77">
                  <c:v>56.92</c:v>
                </c:pt>
                <c:pt idx="78">
                  <c:v>55.89</c:v>
                </c:pt>
                <c:pt idx="79">
                  <c:v>55.28</c:v>
                </c:pt>
                <c:pt idx="80">
                  <c:v>57.06</c:v>
                </c:pt>
                <c:pt idx="81">
                  <c:v>54.44</c:v>
                </c:pt>
                <c:pt idx="82">
                  <c:v>59.7</c:v>
                </c:pt>
                <c:pt idx="83">
                  <c:v>62.42</c:v>
                </c:pt>
                <c:pt idx="84">
                  <c:v>69.23</c:v>
                </c:pt>
                <c:pt idx="86">
                  <c:v>64.790000000000006</c:v>
                </c:pt>
                <c:pt idx="87">
                  <c:v>59.23</c:v>
                </c:pt>
                <c:pt idx="88">
                  <c:v>56.53</c:v>
                </c:pt>
                <c:pt idx="89">
                  <c:v>65.28</c:v>
                </c:pt>
                <c:pt idx="90">
                  <c:v>66.400000000000006</c:v>
                </c:pt>
                <c:pt idx="91">
                  <c:v>59.92</c:v>
                </c:pt>
                <c:pt idx="92">
                  <c:v>62.13</c:v>
                </c:pt>
                <c:pt idx="93">
                  <c:v>56.93</c:v>
                </c:pt>
                <c:pt idx="94">
                  <c:v>55.76</c:v>
                </c:pt>
                <c:pt idx="95">
                  <c:v>52.49</c:v>
                </c:pt>
                <c:pt idx="96">
                  <c:v>55.41</c:v>
                </c:pt>
                <c:pt idx="97">
                  <c:v>55.04</c:v>
                </c:pt>
                <c:pt idx="98">
                  <c:v>50.92</c:v>
                </c:pt>
                <c:pt idx="99">
                  <c:v>52.5</c:v>
                </c:pt>
                <c:pt idx="100">
                  <c:v>49.2</c:v>
                </c:pt>
                <c:pt idx="101">
                  <c:v>46.83</c:v>
                </c:pt>
                <c:pt idx="102">
                  <c:v>47.09</c:v>
                </c:pt>
                <c:pt idx="103">
                  <c:v>50.04</c:v>
                </c:pt>
                <c:pt idx="104">
                  <c:v>52.03</c:v>
                </c:pt>
                <c:pt idx="105">
                  <c:v>55.11</c:v>
                </c:pt>
                <c:pt idx="106">
                  <c:v>51</c:v>
                </c:pt>
                <c:pt idx="107">
                  <c:v>52.53</c:v>
                </c:pt>
                <c:pt idx="108">
                  <c:v>50.59</c:v>
                </c:pt>
                <c:pt idx="109">
                  <c:v>44.87</c:v>
                </c:pt>
                <c:pt idx="110">
                  <c:v>40.97</c:v>
                </c:pt>
                <c:pt idx="111">
                  <c:v>46.79</c:v>
                </c:pt>
                <c:pt idx="112">
                  <c:v>48.34</c:v>
                </c:pt>
                <c:pt idx="113">
                  <c:v>50.58</c:v>
                </c:pt>
                <c:pt idx="114">
                  <c:v>42.85</c:v>
                </c:pt>
                <c:pt idx="115">
                  <c:v>45.04</c:v>
                </c:pt>
                <c:pt idx="116">
                  <c:v>45.23</c:v>
                </c:pt>
                <c:pt idx="117">
                  <c:v>45.27</c:v>
                </c:pt>
                <c:pt idx="118">
                  <c:v>47.95</c:v>
                </c:pt>
                <c:pt idx="119">
                  <c:v>42.2</c:v>
                </c:pt>
                <c:pt idx="120">
                  <c:v>37.770000000000003</c:v>
                </c:pt>
                <c:pt idx="121">
                  <c:v>48.53</c:v>
                </c:pt>
                <c:pt idx="122">
                  <c:v>45.95</c:v>
                </c:pt>
                <c:pt idx="123">
                  <c:v>54.29</c:v>
                </c:pt>
                <c:pt idx="124">
                  <c:v>60.45</c:v>
                </c:pt>
                <c:pt idx="125">
                  <c:v>72</c:v>
                </c:pt>
                <c:pt idx="126">
                  <c:v>72.63</c:v>
                </c:pt>
                <c:pt idx="127">
                  <c:v>72.739999999999995</c:v>
                </c:pt>
                <c:pt idx="128">
                  <c:v>67.64</c:v>
                </c:pt>
                <c:pt idx="129">
                  <c:v>61.55</c:v>
                </c:pt>
                <c:pt idx="130">
                  <c:v>66.19</c:v>
                </c:pt>
                <c:pt idx="131">
                  <c:v>64.66</c:v>
                </c:pt>
                <c:pt idx="132">
                  <c:v>51.22</c:v>
                </c:pt>
                <c:pt idx="133">
                  <c:v>51.74</c:v>
                </c:pt>
                <c:pt idx="134">
                  <c:v>48.25</c:v>
                </c:pt>
                <c:pt idx="135">
                  <c:v>48.23</c:v>
                </c:pt>
                <c:pt idx="136">
                  <c:v>46.53</c:v>
                </c:pt>
                <c:pt idx="137">
                  <c:v>40.36</c:v>
                </c:pt>
                <c:pt idx="138">
                  <c:v>42.83</c:v>
                </c:pt>
                <c:pt idx="139">
                  <c:v>45.41</c:v>
                </c:pt>
                <c:pt idx="140">
                  <c:v>37.97</c:v>
                </c:pt>
                <c:pt idx="141">
                  <c:v>47.39</c:v>
                </c:pt>
                <c:pt idx="142">
                  <c:v>36.85</c:v>
                </c:pt>
                <c:pt idx="148">
                  <c:v>36.93</c:v>
                </c:pt>
                <c:pt idx="149">
                  <c:v>36.92</c:v>
                </c:pt>
                <c:pt idx="150">
                  <c:v>37.020000000000003</c:v>
                </c:pt>
                <c:pt idx="151">
                  <c:v>38.32</c:v>
                </c:pt>
                <c:pt idx="152">
                  <c:v>36.53</c:v>
                </c:pt>
                <c:pt idx="153">
                  <c:v>39.630000000000003</c:v>
                </c:pt>
                <c:pt idx="154">
                  <c:v>42.94</c:v>
                </c:pt>
                <c:pt idx="155">
                  <c:v>52.18</c:v>
                </c:pt>
                <c:pt idx="156">
                  <c:v>53.86</c:v>
                </c:pt>
                <c:pt idx="157">
                  <c:v>56.91</c:v>
                </c:pt>
                <c:pt idx="158">
                  <c:v>60.4</c:v>
                </c:pt>
                <c:pt idx="159">
                  <c:v>57.23</c:v>
                </c:pt>
                <c:pt idx="160">
                  <c:v>53.29</c:v>
                </c:pt>
                <c:pt idx="161">
                  <c:v>51.84</c:v>
                </c:pt>
                <c:pt idx="162">
                  <c:v>56.86</c:v>
                </c:pt>
                <c:pt idx="163">
                  <c:v>51.36</c:v>
                </c:pt>
                <c:pt idx="164">
                  <c:v>55.18</c:v>
                </c:pt>
                <c:pt idx="165">
                  <c:v>53.78</c:v>
                </c:pt>
                <c:pt idx="166">
                  <c:v>56.59</c:v>
                </c:pt>
                <c:pt idx="167">
                  <c:v>54.18</c:v>
                </c:pt>
                <c:pt idx="168">
                  <c:v>49.42</c:v>
                </c:pt>
                <c:pt idx="169">
                  <c:v>47.75</c:v>
                </c:pt>
                <c:pt idx="170">
                  <c:v>46.27</c:v>
                </c:pt>
                <c:pt idx="171">
                  <c:v>49.64</c:v>
                </c:pt>
                <c:pt idx="172">
                  <c:v>52.5</c:v>
                </c:pt>
                <c:pt idx="173">
                  <c:v>53.65</c:v>
                </c:pt>
                <c:pt idx="174">
                  <c:v>58.04</c:v>
                </c:pt>
                <c:pt idx="175">
                  <c:v>61.43</c:v>
                </c:pt>
                <c:pt idx="176">
                  <c:v>58.55</c:v>
                </c:pt>
                <c:pt idx="177">
                  <c:v>54.08</c:v>
                </c:pt>
                <c:pt idx="178">
                  <c:v>58.14</c:v>
                </c:pt>
                <c:pt idx="179">
                  <c:v>56.32</c:v>
                </c:pt>
                <c:pt idx="180">
                  <c:v>55.78</c:v>
                </c:pt>
                <c:pt idx="181">
                  <c:v>53.17</c:v>
                </c:pt>
                <c:pt idx="183">
                  <c:v>54.81</c:v>
                </c:pt>
                <c:pt idx="184">
                  <c:v>54.32</c:v>
                </c:pt>
                <c:pt idx="185">
                  <c:v>56.24</c:v>
                </c:pt>
                <c:pt idx="186">
                  <c:v>61.1</c:v>
                </c:pt>
                <c:pt idx="187">
                  <c:v>63.01</c:v>
                </c:pt>
                <c:pt idx="188">
                  <c:v>56.27</c:v>
                </c:pt>
                <c:pt idx="189">
                  <c:v>45.25</c:v>
                </c:pt>
                <c:pt idx="190">
                  <c:v>44.87</c:v>
                </c:pt>
                <c:pt idx="191">
                  <c:v>42.13</c:v>
                </c:pt>
                <c:pt idx="192">
                  <c:v>34.799999999999997</c:v>
                </c:pt>
                <c:pt idx="193">
                  <c:v>40.6</c:v>
                </c:pt>
                <c:pt idx="194">
                  <c:v>31.53</c:v>
                </c:pt>
                <c:pt idx="195">
                  <c:v>34.92</c:v>
                </c:pt>
                <c:pt idx="196">
                  <c:v>34.22</c:v>
                </c:pt>
                <c:pt idx="197">
                  <c:v>37.450000000000003</c:v>
                </c:pt>
                <c:pt idx="198">
                  <c:v>41.02</c:v>
                </c:pt>
                <c:pt idx="199">
                  <c:v>46.3</c:v>
                </c:pt>
                <c:pt idx="200">
                  <c:v>50.88</c:v>
                </c:pt>
                <c:pt idx="201">
                  <c:v>53.16</c:v>
                </c:pt>
                <c:pt idx="202">
                  <c:v>45.86</c:v>
                </c:pt>
                <c:pt idx="203">
                  <c:v>48.76</c:v>
                </c:pt>
                <c:pt idx="204">
                  <c:v>44.57</c:v>
                </c:pt>
                <c:pt idx="205">
                  <c:v>50.61</c:v>
                </c:pt>
                <c:pt idx="206">
                  <c:v>52.24</c:v>
                </c:pt>
                <c:pt idx="207">
                  <c:v>51.28</c:v>
                </c:pt>
                <c:pt idx="208">
                  <c:v>52.92</c:v>
                </c:pt>
                <c:pt idx="209">
                  <c:v>54.03</c:v>
                </c:pt>
                <c:pt idx="210">
                  <c:v>55.2</c:v>
                </c:pt>
                <c:pt idx="211">
                  <c:v>50.08</c:v>
                </c:pt>
                <c:pt idx="212">
                  <c:v>48.44</c:v>
                </c:pt>
                <c:pt idx="213">
                  <c:v>54.33</c:v>
                </c:pt>
                <c:pt idx="214">
                  <c:v>62.27</c:v>
                </c:pt>
                <c:pt idx="215">
                  <c:v>66.36</c:v>
                </c:pt>
                <c:pt idx="216">
                  <c:v>64.709999999999994</c:v>
                </c:pt>
                <c:pt idx="217">
                  <c:v>62.42</c:v>
                </c:pt>
                <c:pt idx="218">
                  <c:v>64.010000000000005</c:v>
                </c:pt>
                <c:pt idx="219">
                  <c:v>70.5</c:v>
                </c:pt>
                <c:pt idx="220">
                  <c:v>70.209999999999994</c:v>
                </c:pt>
                <c:pt idx="221">
                  <c:v>65.39</c:v>
                </c:pt>
                <c:pt idx="222">
                  <c:v>69.73</c:v>
                </c:pt>
                <c:pt idx="223">
                  <c:v>66.27</c:v>
                </c:pt>
                <c:pt idx="224">
                  <c:v>67.36</c:v>
                </c:pt>
                <c:pt idx="225">
                  <c:v>63.64</c:v>
                </c:pt>
                <c:pt idx="226">
                  <c:v>65.16</c:v>
                </c:pt>
                <c:pt idx="227">
                  <c:v>64.13</c:v>
                </c:pt>
                <c:pt idx="228">
                  <c:v>70.97</c:v>
                </c:pt>
                <c:pt idx="229">
                  <c:v>69.959999999999994</c:v>
                </c:pt>
                <c:pt idx="230">
                  <c:v>77.510000000000005</c:v>
                </c:pt>
                <c:pt idx="231">
                  <c:v>75.14</c:v>
                </c:pt>
                <c:pt idx="233">
                  <c:v>67.83</c:v>
                </c:pt>
                <c:pt idx="234">
                  <c:v>65.67</c:v>
                </c:pt>
                <c:pt idx="236">
                  <c:v>59.79</c:v>
                </c:pt>
                <c:pt idx="237">
                  <c:v>54.82</c:v>
                </c:pt>
                <c:pt idx="238">
                  <c:v>60.26</c:v>
                </c:pt>
                <c:pt idx="239">
                  <c:v>66.680000000000007</c:v>
                </c:pt>
                <c:pt idx="240">
                  <c:v>75.05</c:v>
                </c:pt>
                <c:pt idx="241">
                  <c:v>77.81</c:v>
                </c:pt>
                <c:pt idx="242">
                  <c:v>76.38</c:v>
                </c:pt>
                <c:pt idx="243">
                  <c:v>74.88</c:v>
                </c:pt>
                <c:pt idx="244">
                  <c:v>73.69</c:v>
                </c:pt>
                <c:pt idx="245">
                  <c:v>72.900000000000006</c:v>
                </c:pt>
                <c:pt idx="246">
                  <c:v>69.05</c:v>
                </c:pt>
                <c:pt idx="247">
                  <c:v>75.010000000000005</c:v>
                </c:pt>
                <c:pt idx="248">
                  <c:v>74.959999999999994</c:v>
                </c:pt>
                <c:pt idx="249">
                  <c:v>74.260000000000005</c:v>
                </c:pt>
                <c:pt idx="250">
                  <c:v>70.540000000000006</c:v>
                </c:pt>
                <c:pt idx="251">
                  <c:v>69.11</c:v>
                </c:pt>
                <c:pt idx="252">
                  <c:v>73.33</c:v>
                </c:pt>
                <c:pt idx="253">
                  <c:v>71.709999999999994</c:v>
                </c:pt>
                <c:pt idx="254">
                  <c:v>71.63</c:v>
                </c:pt>
                <c:pt idx="257">
                  <c:v>70.41</c:v>
                </c:pt>
                <c:pt idx="259">
                  <c:v>72.739999999999995</c:v>
                </c:pt>
                <c:pt idx="260">
                  <c:v>66.959999999999994</c:v>
                </c:pt>
                <c:pt idx="261">
                  <c:v>64.62</c:v>
                </c:pt>
                <c:pt idx="262">
                  <c:v>53.79</c:v>
                </c:pt>
                <c:pt idx="263">
                  <c:v>49.44</c:v>
                </c:pt>
                <c:pt idx="264">
                  <c:v>51.68</c:v>
                </c:pt>
                <c:pt idx="265">
                  <c:v>50.78</c:v>
                </c:pt>
                <c:pt idx="266">
                  <c:v>50.43</c:v>
                </c:pt>
                <c:pt idx="267">
                  <c:v>50.46</c:v>
                </c:pt>
                <c:pt idx="268">
                  <c:v>47.08</c:v>
                </c:pt>
                <c:pt idx="269">
                  <c:v>46.53</c:v>
                </c:pt>
                <c:pt idx="270">
                  <c:v>44.15</c:v>
                </c:pt>
                <c:pt idx="271">
                  <c:v>42.09</c:v>
                </c:pt>
                <c:pt idx="272">
                  <c:v>43.17</c:v>
                </c:pt>
                <c:pt idx="273">
                  <c:v>44.4</c:v>
                </c:pt>
                <c:pt idx="274">
                  <c:v>32.380000000000003</c:v>
                </c:pt>
                <c:pt idx="275">
                  <c:v>40.47</c:v>
                </c:pt>
                <c:pt idx="276">
                  <c:v>40.58</c:v>
                </c:pt>
                <c:pt idx="277">
                  <c:v>54.12</c:v>
                </c:pt>
                <c:pt idx="278">
                  <c:v>43.04</c:v>
                </c:pt>
                <c:pt idx="279">
                  <c:v>42.82</c:v>
                </c:pt>
                <c:pt idx="280">
                  <c:v>46.55</c:v>
                </c:pt>
                <c:pt idx="281">
                  <c:v>44.48</c:v>
                </c:pt>
                <c:pt idx="282">
                  <c:v>50.69</c:v>
                </c:pt>
                <c:pt idx="283">
                  <c:v>55.26</c:v>
                </c:pt>
                <c:pt idx="284">
                  <c:v>53.48</c:v>
                </c:pt>
                <c:pt idx="285">
                  <c:v>51.55</c:v>
                </c:pt>
                <c:pt idx="286">
                  <c:v>45.31</c:v>
                </c:pt>
                <c:pt idx="287">
                  <c:v>45.32</c:v>
                </c:pt>
                <c:pt idx="288">
                  <c:v>42.24</c:v>
                </c:pt>
                <c:pt idx="289">
                  <c:v>46.19</c:v>
                </c:pt>
                <c:pt idx="290">
                  <c:v>40.93</c:v>
                </c:pt>
                <c:pt idx="291">
                  <c:v>48.8</c:v>
                </c:pt>
                <c:pt idx="292">
                  <c:v>41</c:v>
                </c:pt>
                <c:pt idx="293">
                  <c:v>41.68</c:v>
                </c:pt>
                <c:pt idx="294">
                  <c:v>44.53</c:v>
                </c:pt>
                <c:pt idx="295">
                  <c:v>46.98</c:v>
                </c:pt>
                <c:pt idx="296">
                  <c:v>49.64</c:v>
                </c:pt>
                <c:pt idx="297">
                  <c:v>57.09</c:v>
                </c:pt>
                <c:pt idx="298">
                  <c:v>56.56</c:v>
                </c:pt>
                <c:pt idx="299">
                  <c:v>56.76</c:v>
                </c:pt>
                <c:pt idx="300">
                  <c:v>56.52</c:v>
                </c:pt>
                <c:pt idx="302">
                  <c:v>64.53</c:v>
                </c:pt>
                <c:pt idx="303">
                  <c:v>74.37</c:v>
                </c:pt>
                <c:pt idx="304">
                  <c:v>69.31</c:v>
                </c:pt>
                <c:pt idx="305">
                  <c:v>68.25</c:v>
                </c:pt>
                <c:pt idx="306">
                  <c:v>64.33</c:v>
                </c:pt>
                <c:pt idx="307">
                  <c:v>64.819999999999993</c:v>
                </c:pt>
                <c:pt idx="308">
                  <c:v>67.55</c:v>
                </c:pt>
                <c:pt idx="309">
                  <c:v>63.39</c:v>
                </c:pt>
                <c:pt idx="310">
                  <c:v>61.39</c:v>
                </c:pt>
                <c:pt idx="311">
                  <c:v>60.2</c:v>
                </c:pt>
                <c:pt idx="312">
                  <c:v>68.8</c:v>
                </c:pt>
                <c:pt idx="313">
                  <c:v>67.8</c:v>
                </c:pt>
                <c:pt idx="314">
                  <c:v>71.959999999999994</c:v>
                </c:pt>
                <c:pt idx="315">
                  <c:v>69.13</c:v>
                </c:pt>
                <c:pt idx="316">
                  <c:v>64.66</c:v>
                </c:pt>
                <c:pt idx="317">
                  <c:v>62.52</c:v>
                </c:pt>
                <c:pt idx="318">
                  <c:v>65.77</c:v>
                </c:pt>
                <c:pt idx="319">
                  <c:v>65.92</c:v>
                </c:pt>
                <c:pt idx="320">
                  <c:v>63.54</c:v>
                </c:pt>
                <c:pt idx="321">
                  <c:v>57.5</c:v>
                </c:pt>
                <c:pt idx="322">
                  <c:v>60.71</c:v>
                </c:pt>
                <c:pt idx="327">
                  <c:v>57.84</c:v>
                </c:pt>
                <c:pt idx="328">
                  <c:v>54.07</c:v>
                </c:pt>
                <c:pt idx="329">
                  <c:v>59.35</c:v>
                </c:pt>
                <c:pt idx="330">
                  <c:v>58.95</c:v>
                </c:pt>
                <c:pt idx="331">
                  <c:v>61.67</c:v>
                </c:pt>
                <c:pt idx="332">
                  <c:v>65.650000000000006</c:v>
                </c:pt>
                <c:pt idx="333">
                  <c:v>64.44</c:v>
                </c:pt>
                <c:pt idx="334">
                  <c:v>64.849999999999994</c:v>
                </c:pt>
                <c:pt idx="335">
                  <c:v>63.25</c:v>
                </c:pt>
                <c:pt idx="336">
                  <c:v>59.67</c:v>
                </c:pt>
                <c:pt idx="337">
                  <c:v>62.21</c:v>
                </c:pt>
                <c:pt idx="338">
                  <c:v>51.85</c:v>
                </c:pt>
                <c:pt idx="339">
                  <c:v>55.66</c:v>
                </c:pt>
                <c:pt idx="340">
                  <c:v>55.29</c:v>
                </c:pt>
                <c:pt idx="341">
                  <c:v>53.56</c:v>
                </c:pt>
                <c:pt idx="342">
                  <c:v>50.28</c:v>
                </c:pt>
                <c:pt idx="343">
                  <c:v>46.67</c:v>
                </c:pt>
                <c:pt idx="345">
                  <c:v>42.65</c:v>
                </c:pt>
                <c:pt idx="346">
                  <c:v>42.13</c:v>
                </c:pt>
                <c:pt idx="347">
                  <c:v>48.25</c:v>
                </c:pt>
                <c:pt idx="348">
                  <c:v>48.93</c:v>
                </c:pt>
                <c:pt idx="349">
                  <c:v>51.59</c:v>
                </c:pt>
                <c:pt idx="350">
                  <c:v>46.78</c:v>
                </c:pt>
                <c:pt idx="351">
                  <c:v>51.57</c:v>
                </c:pt>
                <c:pt idx="352">
                  <c:v>53.43</c:v>
                </c:pt>
                <c:pt idx="353">
                  <c:v>51.8</c:v>
                </c:pt>
                <c:pt idx="354">
                  <c:v>54.56</c:v>
                </c:pt>
                <c:pt idx="355">
                  <c:v>54.79</c:v>
                </c:pt>
                <c:pt idx="356">
                  <c:v>49.39</c:v>
                </c:pt>
                <c:pt idx="357">
                  <c:v>46.59</c:v>
                </c:pt>
                <c:pt idx="358">
                  <c:v>46.88</c:v>
                </c:pt>
                <c:pt idx="359">
                  <c:v>34.82</c:v>
                </c:pt>
                <c:pt idx="360">
                  <c:v>40.15</c:v>
                </c:pt>
                <c:pt idx="361">
                  <c:v>41.33</c:v>
                </c:pt>
                <c:pt idx="362">
                  <c:v>46.76</c:v>
                </c:pt>
                <c:pt idx="363">
                  <c:v>54.7</c:v>
                </c:pt>
                <c:pt idx="364">
                  <c:v>43.76</c:v>
                </c:pt>
                <c:pt idx="365">
                  <c:v>48.11</c:v>
                </c:pt>
                <c:pt idx="366">
                  <c:v>56.56</c:v>
                </c:pt>
                <c:pt idx="367">
                  <c:v>66.569999999999993</c:v>
                </c:pt>
                <c:pt idx="368">
                  <c:v>64.39</c:v>
                </c:pt>
                <c:pt idx="369">
                  <c:v>65.25</c:v>
                </c:pt>
                <c:pt idx="370">
                  <c:v>63.71</c:v>
                </c:pt>
                <c:pt idx="371">
                  <c:v>63.25</c:v>
                </c:pt>
                <c:pt idx="372">
                  <c:v>67.03</c:v>
                </c:pt>
                <c:pt idx="373">
                  <c:v>65.53</c:v>
                </c:pt>
                <c:pt idx="374">
                  <c:v>62.03</c:v>
                </c:pt>
                <c:pt idx="375">
                  <c:v>56.74</c:v>
                </c:pt>
                <c:pt idx="376">
                  <c:v>47.96</c:v>
                </c:pt>
                <c:pt idx="377">
                  <c:v>48.31</c:v>
                </c:pt>
                <c:pt idx="378">
                  <c:v>48.33</c:v>
                </c:pt>
                <c:pt idx="379">
                  <c:v>56.07</c:v>
                </c:pt>
                <c:pt idx="380">
                  <c:v>58.18</c:v>
                </c:pt>
                <c:pt idx="381">
                  <c:v>59.12</c:v>
                </c:pt>
                <c:pt idx="382">
                  <c:v>63.42</c:v>
                </c:pt>
                <c:pt idx="383">
                  <c:v>66.27</c:v>
                </c:pt>
                <c:pt idx="384">
                  <c:v>63.08</c:v>
                </c:pt>
                <c:pt idx="385">
                  <c:v>54.24</c:v>
                </c:pt>
                <c:pt idx="386">
                  <c:v>54.8</c:v>
                </c:pt>
                <c:pt idx="387">
                  <c:v>60.04</c:v>
                </c:pt>
                <c:pt idx="388">
                  <c:v>61.42</c:v>
                </c:pt>
                <c:pt idx="389">
                  <c:v>58.86</c:v>
                </c:pt>
                <c:pt idx="390">
                  <c:v>53.98</c:v>
                </c:pt>
                <c:pt idx="391">
                  <c:v>56.78</c:v>
                </c:pt>
                <c:pt idx="392">
                  <c:v>56.62</c:v>
                </c:pt>
                <c:pt idx="393">
                  <c:v>60.04</c:v>
                </c:pt>
                <c:pt idx="394">
                  <c:v>61.01</c:v>
                </c:pt>
                <c:pt idx="395">
                  <c:v>57.85</c:v>
                </c:pt>
                <c:pt idx="396">
                  <c:v>61.38</c:v>
                </c:pt>
                <c:pt idx="397">
                  <c:v>52.2</c:v>
                </c:pt>
                <c:pt idx="398">
                  <c:v>58.34</c:v>
                </c:pt>
                <c:pt idx="399">
                  <c:v>57.87</c:v>
                </c:pt>
                <c:pt idx="400">
                  <c:v>51.26</c:v>
                </c:pt>
                <c:pt idx="401">
                  <c:v>52.53</c:v>
                </c:pt>
                <c:pt idx="403">
                  <c:v>53.48</c:v>
                </c:pt>
                <c:pt idx="404">
                  <c:v>50.9</c:v>
                </c:pt>
                <c:pt idx="405">
                  <c:v>50.58</c:v>
                </c:pt>
                <c:pt idx="407">
                  <c:v>50.23</c:v>
                </c:pt>
                <c:pt idx="409">
                  <c:v>50.46</c:v>
                </c:pt>
                <c:pt idx="410">
                  <c:v>55.91</c:v>
                </c:pt>
                <c:pt idx="411">
                  <c:v>51.81</c:v>
                </c:pt>
                <c:pt idx="412">
                  <c:v>42.84</c:v>
                </c:pt>
                <c:pt idx="413">
                  <c:v>45.62</c:v>
                </c:pt>
                <c:pt idx="414">
                  <c:v>40.03</c:v>
                </c:pt>
                <c:pt idx="415">
                  <c:v>43.26</c:v>
                </c:pt>
                <c:pt idx="416">
                  <c:v>45.08</c:v>
                </c:pt>
                <c:pt idx="420">
                  <c:v>47.27</c:v>
                </c:pt>
                <c:pt idx="421">
                  <c:v>50.89</c:v>
                </c:pt>
                <c:pt idx="422">
                  <c:v>53.19</c:v>
                </c:pt>
                <c:pt idx="423">
                  <c:v>47.81</c:v>
                </c:pt>
                <c:pt idx="424">
                  <c:v>48.76</c:v>
                </c:pt>
                <c:pt idx="425">
                  <c:v>47.04</c:v>
                </c:pt>
                <c:pt idx="426">
                  <c:v>54.86</c:v>
                </c:pt>
                <c:pt idx="427">
                  <c:v>48.59</c:v>
                </c:pt>
                <c:pt idx="428">
                  <c:v>59.95</c:v>
                </c:pt>
                <c:pt idx="429">
                  <c:v>56.32</c:v>
                </c:pt>
                <c:pt idx="430">
                  <c:v>60.68</c:v>
                </c:pt>
                <c:pt idx="431">
                  <c:v>60.38</c:v>
                </c:pt>
                <c:pt idx="432">
                  <c:v>56.01</c:v>
                </c:pt>
                <c:pt idx="433">
                  <c:v>52.88</c:v>
                </c:pt>
                <c:pt idx="434">
                  <c:v>51.6</c:v>
                </c:pt>
                <c:pt idx="435">
                  <c:v>50.57</c:v>
                </c:pt>
                <c:pt idx="436">
                  <c:v>49.16</c:v>
                </c:pt>
                <c:pt idx="437">
                  <c:v>41.48</c:v>
                </c:pt>
                <c:pt idx="438">
                  <c:v>39.82</c:v>
                </c:pt>
                <c:pt idx="439">
                  <c:v>38.020000000000003</c:v>
                </c:pt>
                <c:pt idx="440">
                  <c:v>35.76</c:v>
                </c:pt>
                <c:pt idx="442">
                  <c:v>31.9</c:v>
                </c:pt>
                <c:pt idx="443">
                  <c:v>34.51</c:v>
                </c:pt>
                <c:pt idx="444">
                  <c:v>36.049999999999997</c:v>
                </c:pt>
                <c:pt idx="445">
                  <c:v>35.479999999999997</c:v>
                </c:pt>
                <c:pt idx="446">
                  <c:v>42.01</c:v>
                </c:pt>
                <c:pt idx="447">
                  <c:v>37.630000000000003</c:v>
                </c:pt>
                <c:pt idx="448">
                  <c:v>26.06</c:v>
                </c:pt>
                <c:pt idx="449">
                  <c:v>18.62</c:v>
                </c:pt>
                <c:pt idx="450">
                  <c:v>28.8</c:v>
                </c:pt>
                <c:pt idx="451">
                  <c:v>23.69</c:v>
                </c:pt>
                <c:pt idx="452">
                  <c:v>21.81</c:v>
                </c:pt>
                <c:pt idx="453">
                  <c:v>15.11</c:v>
                </c:pt>
                <c:pt idx="454">
                  <c:v>16.38</c:v>
                </c:pt>
                <c:pt idx="455">
                  <c:v>10.71</c:v>
                </c:pt>
                <c:pt idx="456">
                  <c:v>6.89</c:v>
                </c:pt>
                <c:pt idx="457">
                  <c:v>7.86</c:v>
                </c:pt>
                <c:pt idx="458">
                  <c:v>8.33</c:v>
                </c:pt>
                <c:pt idx="459">
                  <c:v>8.41</c:v>
                </c:pt>
                <c:pt idx="460">
                  <c:v>8.74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09-45AA-A0C3-1DEA71678D6E}"/>
            </c:ext>
          </c:extLst>
        </c:ser>
        <c:ser>
          <c:idx val="1"/>
          <c:order val="1"/>
          <c:tx>
            <c:strRef>
              <c:f>'미국 RSI'!$K$1</c:f>
              <c:strCache>
                <c:ptCount val="1"/>
                <c:pt idx="0">
                  <c:v>통신서비스(US)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'한국 RSI'!$A$78:$A$3077</c:f>
              <c:numCache>
                <c:formatCode>yyyy\-mm\-dd</c:formatCode>
                <c:ptCount val="3000"/>
                <c:pt idx="0">
                  <c:v>46143</c:v>
                </c:pt>
                <c:pt idx="1">
                  <c:v>46142</c:v>
                </c:pt>
                <c:pt idx="2">
                  <c:v>46141</c:v>
                </c:pt>
                <c:pt idx="3">
                  <c:v>46140</c:v>
                </c:pt>
                <c:pt idx="4">
                  <c:v>46139</c:v>
                </c:pt>
                <c:pt idx="5">
                  <c:v>46136</c:v>
                </c:pt>
                <c:pt idx="6">
                  <c:v>46135</c:v>
                </c:pt>
                <c:pt idx="7">
                  <c:v>46134</c:v>
                </c:pt>
                <c:pt idx="8">
                  <c:v>46133</c:v>
                </c:pt>
                <c:pt idx="9">
                  <c:v>46132</c:v>
                </c:pt>
                <c:pt idx="10">
                  <c:v>46129</c:v>
                </c:pt>
                <c:pt idx="11">
                  <c:v>46128</c:v>
                </c:pt>
                <c:pt idx="12">
                  <c:v>46127</c:v>
                </c:pt>
                <c:pt idx="13">
                  <c:v>46126</c:v>
                </c:pt>
                <c:pt idx="14">
                  <c:v>46125</c:v>
                </c:pt>
                <c:pt idx="15">
                  <c:v>46122</c:v>
                </c:pt>
                <c:pt idx="16">
                  <c:v>46121</c:v>
                </c:pt>
                <c:pt idx="17">
                  <c:v>46120</c:v>
                </c:pt>
                <c:pt idx="18">
                  <c:v>46119</c:v>
                </c:pt>
                <c:pt idx="19">
                  <c:v>46118</c:v>
                </c:pt>
                <c:pt idx="20">
                  <c:v>46115</c:v>
                </c:pt>
                <c:pt idx="21">
                  <c:v>46114</c:v>
                </c:pt>
                <c:pt idx="22">
                  <c:v>46113</c:v>
                </c:pt>
                <c:pt idx="23">
                  <c:v>46112</c:v>
                </c:pt>
                <c:pt idx="24">
                  <c:v>46111</c:v>
                </c:pt>
                <c:pt idx="25">
                  <c:v>46108</c:v>
                </c:pt>
                <c:pt idx="26">
                  <c:v>46107</c:v>
                </c:pt>
                <c:pt idx="27">
                  <c:v>46106</c:v>
                </c:pt>
                <c:pt idx="28">
                  <c:v>46105</c:v>
                </c:pt>
                <c:pt idx="29">
                  <c:v>46104</c:v>
                </c:pt>
                <c:pt idx="30">
                  <c:v>46101</c:v>
                </c:pt>
                <c:pt idx="31">
                  <c:v>46100</c:v>
                </c:pt>
                <c:pt idx="32">
                  <c:v>46099</c:v>
                </c:pt>
                <c:pt idx="33">
                  <c:v>46098</c:v>
                </c:pt>
                <c:pt idx="34">
                  <c:v>46097</c:v>
                </c:pt>
                <c:pt idx="35">
                  <c:v>46094</c:v>
                </c:pt>
                <c:pt idx="36">
                  <c:v>46093</c:v>
                </c:pt>
                <c:pt idx="37">
                  <c:v>46092</c:v>
                </c:pt>
                <c:pt idx="38">
                  <c:v>46091</c:v>
                </c:pt>
                <c:pt idx="39">
                  <c:v>46090</c:v>
                </c:pt>
                <c:pt idx="40">
                  <c:v>46087</c:v>
                </c:pt>
                <c:pt idx="41">
                  <c:v>46086</c:v>
                </c:pt>
                <c:pt idx="42">
                  <c:v>46085</c:v>
                </c:pt>
                <c:pt idx="43">
                  <c:v>46084</c:v>
                </c:pt>
                <c:pt idx="44">
                  <c:v>46083</c:v>
                </c:pt>
                <c:pt idx="45">
                  <c:v>46080</c:v>
                </c:pt>
                <c:pt idx="46">
                  <c:v>46079</c:v>
                </c:pt>
                <c:pt idx="47">
                  <c:v>46078</c:v>
                </c:pt>
                <c:pt idx="48">
                  <c:v>46077</c:v>
                </c:pt>
                <c:pt idx="49">
                  <c:v>46076</c:v>
                </c:pt>
                <c:pt idx="50">
                  <c:v>46073</c:v>
                </c:pt>
                <c:pt idx="51">
                  <c:v>46072</c:v>
                </c:pt>
                <c:pt idx="52">
                  <c:v>46071</c:v>
                </c:pt>
                <c:pt idx="53">
                  <c:v>46070</c:v>
                </c:pt>
                <c:pt idx="54">
                  <c:v>46066</c:v>
                </c:pt>
                <c:pt idx="55">
                  <c:v>46065</c:v>
                </c:pt>
                <c:pt idx="56">
                  <c:v>46064</c:v>
                </c:pt>
                <c:pt idx="57">
                  <c:v>46063</c:v>
                </c:pt>
                <c:pt idx="58">
                  <c:v>46062</c:v>
                </c:pt>
                <c:pt idx="59">
                  <c:v>46059</c:v>
                </c:pt>
                <c:pt idx="60">
                  <c:v>46058</c:v>
                </c:pt>
                <c:pt idx="61">
                  <c:v>46057</c:v>
                </c:pt>
                <c:pt idx="62">
                  <c:v>46056</c:v>
                </c:pt>
                <c:pt idx="63">
                  <c:v>46055</c:v>
                </c:pt>
                <c:pt idx="64">
                  <c:v>46052</c:v>
                </c:pt>
                <c:pt idx="65">
                  <c:v>46051</c:v>
                </c:pt>
                <c:pt idx="66">
                  <c:v>46050</c:v>
                </c:pt>
                <c:pt idx="67">
                  <c:v>46049</c:v>
                </c:pt>
                <c:pt idx="68">
                  <c:v>46048</c:v>
                </c:pt>
                <c:pt idx="69">
                  <c:v>46045</c:v>
                </c:pt>
                <c:pt idx="70">
                  <c:v>46044</c:v>
                </c:pt>
                <c:pt idx="71">
                  <c:v>46043</c:v>
                </c:pt>
                <c:pt idx="72">
                  <c:v>46042</c:v>
                </c:pt>
                <c:pt idx="73">
                  <c:v>46041</c:v>
                </c:pt>
                <c:pt idx="74">
                  <c:v>46038</c:v>
                </c:pt>
                <c:pt idx="75">
                  <c:v>46037</c:v>
                </c:pt>
                <c:pt idx="76">
                  <c:v>46036</c:v>
                </c:pt>
                <c:pt idx="77">
                  <c:v>46035</c:v>
                </c:pt>
                <c:pt idx="78">
                  <c:v>46034</c:v>
                </c:pt>
                <c:pt idx="79">
                  <c:v>46031</c:v>
                </c:pt>
                <c:pt idx="80">
                  <c:v>46030</c:v>
                </c:pt>
                <c:pt idx="81">
                  <c:v>46029</c:v>
                </c:pt>
                <c:pt idx="82">
                  <c:v>46028</c:v>
                </c:pt>
                <c:pt idx="83">
                  <c:v>46027</c:v>
                </c:pt>
                <c:pt idx="84">
                  <c:v>46024</c:v>
                </c:pt>
                <c:pt idx="85">
                  <c:v>46022</c:v>
                </c:pt>
                <c:pt idx="86">
                  <c:v>46021</c:v>
                </c:pt>
                <c:pt idx="87">
                  <c:v>46020</c:v>
                </c:pt>
                <c:pt idx="88">
                  <c:v>46017</c:v>
                </c:pt>
                <c:pt idx="89">
                  <c:v>46015</c:v>
                </c:pt>
                <c:pt idx="90">
                  <c:v>46014</c:v>
                </c:pt>
                <c:pt idx="91">
                  <c:v>46013</c:v>
                </c:pt>
                <c:pt idx="92">
                  <c:v>46010</c:v>
                </c:pt>
                <c:pt idx="93">
                  <c:v>46009</c:v>
                </c:pt>
                <c:pt idx="94">
                  <c:v>46008</c:v>
                </c:pt>
                <c:pt idx="95">
                  <c:v>46007</c:v>
                </c:pt>
                <c:pt idx="96">
                  <c:v>46006</c:v>
                </c:pt>
                <c:pt idx="97">
                  <c:v>46003</c:v>
                </c:pt>
                <c:pt idx="98">
                  <c:v>46002</c:v>
                </c:pt>
                <c:pt idx="99">
                  <c:v>46001</c:v>
                </c:pt>
                <c:pt idx="100">
                  <c:v>46000</c:v>
                </c:pt>
                <c:pt idx="101">
                  <c:v>45999</c:v>
                </c:pt>
                <c:pt idx="102">
                  <c:v>45996</c:v>
                </c:pt>
                <c:pt idx="103">
                  <c:v>45995</c:v>
                </c:pt>
                <c:pt idx="104">
                  <c:v>45994</c:v>
                </c:pt>
                <c:pt idx="105">
                  <c:v>45993</c:v>
                </c:pt>
                <c:pt idx="106">
                  <c:v>45992</c:v>
                </c:pt>
                <c:pt idx="107">
                  <c:v>45989</c:v>
                </c:pt>
                <c:pt idx="108">
                  <c:v>45988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45901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45814</c:v>
                </c:pt>
                <c:pt idx="233">
                  <c:v>45813</c:v>
                </c:pt>
                <c:pt idx="234">
                  <c:v>45812</c:v>
                </c:pt>
                <c:pt idx="235">
                  <c:v>45811</c:v>
                </c:pt>
                <c:pt idx="236">
                  <c:v>45810</c:v>
                </c:pt>
                <c:pt idx="237">
                  <c:v>45807</c:v>
                </c:pt>
                <c:pt idx="238">
                  <c:v>45806</c:v>
                </c:pt>
                <c:pt idx="239">
                  <c:v>45805</c:v>
                </c:pt>
                <c:pt idx="240">
                  <c:v>45804</c:v>
                </c:pt>
                <c:pt idx="241">
                  <c:v>45803</c:v>
                </c:pt>
                <c:pt idx="242">
                  <c:v>45800</c:v>
                </c:pt>
                <c:pt idx="243">
                  <c:v>45799</c:v>
                </c:pt>
                <c:pt idx="244">
                  <c:v>45798</c:v>
                </c:pt>
                <c:pt idx="245">
                  <c:v>45797</c:v>
                </c:pt>
                <c:pt idx="246">
                  <c:v>45796</c:v>
                </c:pt>
                <c:pt idx="247">
                  <c:v>45793</c:v>
                </c:pt>
                <c:pt idx="248">
                  <c:v>45792</c:v>
                </c:pt>
                <c:pt idx="249">
                  <c:v>45791</c:v>
                </c:pt>
                <c:pt idx="250">
                  <c:v>45790</c:v>
                </c:pt>
                <c:pt idx="251">
                  <c:v>45789</c:v>
                </c:pt>
                <c:pt idx="252">
                  <c:v>45786</c:v>
                </c:pt>
                <c:pt idx="253">
                  <c:v>45785</c:v>
                </c:pt>
                <c:pt idx="254">
                  <c:v>45784</c:v>
                </c:pt>
                <c:pt idx="255">
                  <c:v>45783</c:v>
                </c:pt>
                <c:pt idx="256">
                  <c:v>45782</c:v>
                </c:pt>
                <c:pt idx="257">
                  <c:v>45779</c:v>
                </c:pt>
                <c:pt idx="258">
                  <c:v>45778</c:v>
                </c:pt>
                <c:pt idx="259">
                  <c:v>45777</c:v>
                </c:pt>
                <c:pt idx="260">
                  <c:v>45776</c:v>
                </c:pt>
                <c:pt idx="261">
                  <c:v>45775</c:v>
                </c:pt>
                <c:pt idx="262">
                  <c:v>45772</c:v>
                </c:pt>
                <c:pt idx="263">
                  <c:v>45771</c:v>
                </c:pt>
                <c:pt idx="264">
                  <c:v>45770</c:v>
                </c:pt>
                <c:pt idx="265">
                  <c:v>45769</c:v>
                </c:pt>
                <c:pt idx="266">
                  <c:v>45768</c:v>
                </c:pt>
                <c:pt idx="267">
                  <c:v>45765</c:v>
                </c:pt>
                <c:pt idx="268">
                  <c:v>45764</c:v>
                </c:pt>
                <c:pt idx="269">
                  <c:v>45763</c:v>
                </c:pt>
                <c:pt idx="270">
                  <c:v>45762</c:v>
                </c:pt>
                <c:pt idx="271">
                  <c:v>45761</c:v>
                </c:pt>
                <c:pt idx="272">
                  <c:v>45758</c:v>
                </c:pt>
                <c:pt idx="273">
                  <c:v>45757</c:v>
                </c:pt>
                <c:pt idx="274">
                  <c:v>45756</c:v>
                </c:pt>
                <c:pt idx="275">
                  <c:v>45755</c:v>
                </c:pt>
                <c:pt idx="276">
                  <c:v>45754</c:v>
                </c:pt>
                <c:pt idx="277">
                  <c:v>45751</c:v>
                </c:pt>
                <c:pt idx="278">
                  <c:v>45750</c:v>
                </c:pt>
                <c:pt idx="279">
                  <c:v>45749</c:v>
                </c:pt>
                <c:pt idx="280">
                  <c:v>45748</c:v>
                </c:pt>
                <c:pt idx="281">
                  <c:v>45747</c:v>
                </c:pt>
                <c:pt idx="282">
                  <c:v>45744</c:v>
                </c:pt>
                <c:pt idx="283">
                  <c:v>45743</c:v>
                </c:pt>
                <c:pt idx="284">
                  <c:v>45742</c:v>
                </c:pt>
                <c:pt idx="285">
                  <c:v>45741</c:v>
                </c:pt>
                <c:pt idx="286">
                  <c:v>45740</c:v>
                </c:pt>
                <c:pt idx="287">
                  <c:v>45737</c:v>
                </c:pt>
                <c:pt idx="288">
                  <c:v>45736</c:v>
                </c:pt>
                <c:pt idx="289">
                  <c:v>45735</c:v>
                </c:pt>
                <c:pt idx="290">
                  <c:v>45734</c:v>
                </c:pt>
                <c:pt idx="291">
                  <c:v>45733</c:v>
                </c:pt>
                <c:pt idx="292">
                  <c:v>45730</c:v>
                </c:pt>
                <c:pt idx="293">
                  <c:v>45729</c:v>
                </c:pt>
                <c:pt idx="294">
                  <c:v>45728</c:v>
                </c:pt>
                <c:pt idx="295">
                  <c:v>45727</c:v>
                </c:pt>
                <c:pt idx="296">
                  <c:v>45726</c:v>
                </c:pt>
                <c:pt idx="297">
                  <c:v>45723</c:v>
                </c:pt>
                <c:pt idx="298">
                  <c:v>45722</c:v>
                </c:pt>
                <c:pt idx="299">
                  <c:v>45721</c:v>
                </c:pt>
                <c:pt idx="300">
                  <c:v>45720</c:v>
                </c:pt>
                <c:pt idx="301">
                  <c:v>45719</c:v>
                </c:pt>
                <c:pt idx="302">
                  <c:v>45716</c:v>
                </c:pt>
                <c:pt idx="303">
                  <c:v>45715</c:v>
                </c:pt>
                <c:pt idx="304">
                  <c:v>45714</c:v>
                </c:pt>
                <c:pt idx="305">
                  <c:v>45713</c:v>
                </c:pt>
                <c:pt idx="306">
                  <c:v>45712</c:v>
                </c:pt>
                <c:pt idx="307">
                  <c:v>45709</c:v>
                </c:pt>
                <c:pt idx="308">
                  <c:v>45708</c:v>
                </c:pt>
                <c:pt idx="309">
                  <c:v>45707</c:v>
                </c:pt>
                <c:pt idx="310">
                  <c:v>45706</c:v>
                </c:pt>
                <c:pt idx="311">
                  <c:v>45705</c:v>
                </c:pt>
                <c:pt idx="312">
                  <c:v>45702</c:v>
                </c:pt>
                <c:pt idx="313">
                  <c:v>45701</c:v>
                </c:pt>
                <c:pt idx="314">
                  <c:v>45700</c:v>
                </c:pt>
                <c:pt idx="315">
                  <c:v>45699</c:v>
                </c:pt>
                <c:pt idx="316">
                  <c:v>45698</c:v>
                </c:pt>
                <c:pt idx="317">
                  <c:v>45695</c:v>
                </c:pt>
                <c:pt idx="318">
                  <c:v>45694</c:v>
                </c:pt>
                <c:pt idx="319">
                  <c:v>45693</c:v>
                </c:pt>
                <c:pt idx="320">
                  <c:v>45692</c:v>
                </c:pt>
                <c:pt idx="321">
                  <c:v>45691</c:v>
                </c:pt>
                <c:pt idx="322">
                  <c:v>45688</c:v>
                </c:pt>
                <c:pt idx="323">
                  <c:v>45687</c:v>
                </c:pt>
                <c:pt idx="324">
                  <c:v>45686</c:v>
                </c:pt>
                <c:pt idx="325">
                  <c:v>45685</c:v>
                </c:pt>
                <c:pt idx="326">
                  <c:v>45684</c:v>
                </c:pt>
                <c:pt idx="327">
                  <c:v>45681</c:v>
                </c:pt>
                <c:pt idx="328">
                  <c:v>45680</c:v>
                </c:pt>
                <c:pt idx="329">
                  <c:v>45679</c:v>
                </c:pt>
                <c:pt idx="330">
                  <c:v>45678</c:v>
                </c:pt>
                <c:pt idx="331">
                  <c:v>45677</c:v>
                </c:pt>
                <c:pt idx="332">
                  <c:v>45674</c:v>
                </c:pt>
                <c:pt idx="333">
                  <c:v>45673</c:v>
                </c:pt>
                <c:pt idx="334">
                  <c:v>45672</c:v>
                </c:pt>
                <c:pt idx="335">
                  <c:v>45671</c:v>
                </c:pt>
                <c:pt idx="336">
                  <c:v>45670</c:v>
                </c:pt>
                <c:pt idx="337">
                  <c:v>45667</c:v>
                </c:pt>
                <c:pt idx="338">
                  <c:v>45666</c:v>
                </c:pt>
                <c:pt idx="339">
                  <c:v>45665</c:v>
                </c:pt>
                <c:pt idx="340">
                  <c:v>45664</c:v>
                </c:pt>
                <c:pt idx="341">
                  <c:v>45663</c:v>
                </c:pt>
                <c:pt idx="342">
                  <c:v>45660</c:v>
                </c:pt>
                <c:pt idx="343">
                  <c:v>45659</c:v>
                </c:pt>
                <c:pt idx="344">
                  <c:v>45657</c:v>
                </c:pt>
                <c:pt idx="345">
                  <c:v>45656</c:v>
                </c:pt>
                <c:pt idx="346">
                  <c:v>45653</c:v>
                </c:pt>
                <c:pt idx="347">
                  <c:v>45652</c:v>
                </c:pt>
                <c:pt idx="348">
                  <c:v>45650</c:v>
                </c:pt>
                <c:pt idx="349">
                  <c:v>45649</c:v>
                </c:pt>
                <c:pt idx="350">
                  <c:v>45646</c:v>
                </c:pt>
                <c:pt idx="351">
                  <c:v>45645</c:v>
                </c:pt>
                <c:pt idx="352">
                  <c:v>45644</c:v>
                </c:pt>
                <c:pt idx="353">
                  <c:v>45643</c:v>
                </c:pt>
                <c:pt idx="354">
                  <c:v>45642</c:v>
                </c:pt>
                <c:pt idx="355">
                  <c:v>45639</c:v>
                </c:pt>
                <c:pt idx="356">
                  <c:v>45638</c:v>
                </c:pt>
                <c:pt idx="357">
                  <c:v>45637</c:v>
                </c:pt>
                <c:pt idx="358">
                  <c:v>45636</c:v>
                </c:pt>
                <c:pt idx="359">
                  <c:v>45635</c:v>
                </c:pt>
                <c:pt idx="360">
                  <c:v>45632</c:v>
                </c:pt>
                <c:pt idx="361">
                  <c:v>45631</c:v>
                </c:pt>
                <c:pt idx="362">
                  <c:v>45630</c:v>
                </c:pt>
                <c:pt idx="363">
                  <c:v>45629</c:v>
                </c:pt>
                <c:pt idx="364">
                  <c:v>45628</c:v>
                </c:pt>
                <c:pt idx="365">
                  <c:v>45625</c:v>
                </c:pt>
                <c:pt idx="366">
                  <c:v>45624</c:v>
                </c:pt>
                <c:pt idx="367">
                  <c:v>45623</c:v>
                </c:pt>
                <c:pt idx="368">
                  <c:v>45622</c:v>
                </c:pt>
                <c:pt idx="369">
                  <c:v>45621</c:v>
                </c:pt>
                <c:pt idx="370">
                  <c:v>45618</c:v>
                </c:pt>
                <c:pt idx="371">
                  <c:v>45617</c:v>
                </c:pt>
                <c:pt idx="372">
                  <c:v>45616</c:v>
                </c:pt>
                <c:pt idx="373">
                  <c:v>45615</c:v>
                </c:pt>
                <c:pt idx="374">
                  <c:v>45614</c:v>
                </c:pt>
                <c:pt idx="375">
                  <c:v>45611</c:v>
                </c:pt>
                <c:pt idx="376">
                  <c:v>45610</c:v>
                </c:pt>
                <c:pt idx="377">
                  <c:v>45609</c:v>
                </c:pt>
                <c:pt idx="378">
                  <c:v>45608</c:v>
                </c:pt>
                <c:pt idx="379">
                  <c:v>45607</c:v>
                </c:pt>
                <c:pt idx="380">
                  <c:v>45604</c:v>
                </c:pt>
                <c:pt idx="381">
                  <c:v>45603</c:v>
                </c:pt>
                <c:pt idx="382">
                  <c:v>45602</c:v>
                </c:pt>
                <c:pt idx="383">
                  <c:v>45601</c:v>
                </c:pt>
                <c:pt idx="384">
                  <c:v>45600</c:v>
                </c:pt>
                <c:pt idx="385">
                  <c:v>45597</c:v>
                </c:pt>
                <c:pt idx="386">
                  <c:v>45596</c:v>
                </c:pt>
                <c:pt idx="387">
                  <c:v>45595</c:v>
                </c:pt>
                <c:pt idx="388">
                  <c:v>45594</c:v>
                </c:pt>
                <c:pt idx="389">
                  <c:v>45593</c:v>
                </c:pt>
                <c:pt idx="390">
                  <c:v>45590</c:v>
                </c:pt>
                <c:pt idx="391">
                  <c:v>45589</c:v>
                </c:pt>
                <c:pt idx="392">
                  <c:v>45588</c:v>
                </c:pt>
                <c:pt idx="393">
                  <c:v>45587</c:v>
                </c:pt>
                <c:pt idx="394">
                  <c:v>45586</c:v>
                </c:pt>
                <c:pt idx="395">
                  <c:v>45583</c:v>
                </c:pt>
                <c:pt idx="396">
                  <c:v>45582</c:v>
                </c:pt>
                <c:pt idx="397">
                  <c:v>45581</c:v>
                </c:pt>
                <c:pt idx="398">
                  <c:v>45580</c:v>
                </c:pt>
                <c:pt idx="399">
                  <c:v>45579</c:v>
                </c:pt>
                <c:pt idx="400">
                  <c:v>45576</c:v>
                </c:pt>
                <c:pt idx="401">
                  <c:v>45575</c:v>
                </c:pt>
                <c:pt idx="402">
                  <c:v>45574</c:v>
                </c:pt>
                <c:pt idx="403">
                  <c:v>45573</c:v>
                </c:pt>
                <c:pt idx="404">
                  <c:v>45572</c:v>
                </c:pt>
                <c:pt idx="405">
                  <c:v>45569</c:v>
                </c:pt>
                <c:pt idx="406">
                  <c:v>45568</c:v>
                </c:pt>
                <c:pt idx="407">
                  <c:v>45567</c:v>
                </c:pt>
                <c:pt idx="408">
                  <c:v>45566</c:v>
                </c:pt>
                <c:pt idx="409">
                  <c:v>45565</c:v>
                </c:pt>
                <c:pt idx="410">
                  <c:v>45562</c:v>
                </c:pt>
                <c:pt idx="411">
                  <c:v>45561</c:v>
                </c:pt>
                <c:pt idx="412">
                  <c:v>45560</c:v>
                </c:pt>
                <c:pt idx="413">
                  <c:v>45559</c:v>
                </c:pt>
                <c:pt idx="414">
                  <c:v>45558</c:v>
                </c:pt>
                <c:pt idx="415">
                  <c:v>45555</c:v>
                </c:pt>
                <c:pt idx="416">
                  <c:v>45554</c:v>
                </c:pt>
                <c:pt idx="417">
                  <c:v>45553</c:v>
                </c:pt>
                <c:pt idx="418">
                  <c:v>45552</c:v>
                </c:pt>
                <c:pt idx="419">
                  <c:v>45551</c:v>
                </c:pt>
                <c:pt idx="420">
                  <c:v>45548</c:v>
                </c:pt>
                <c:pt idx="421">
                  <c:v>45547</c:v>
                </c:pt>
                <c:pt idx="422">
                  <c:v>45546</c:v>
                </c:pt>
                <c:pt idx="423">
                  <c:v>45545</c:v>
                </c:pt>
                <c:pt idx="424">
                  <c:v>45544</c:v>
                </c:pt>
                <c:pt idx="425">
                  <c:v>45541</c:v>
                </c:pt>
                <c:pt idx="426">
                  <c:v>45540</c:v>
                </c:pt>
                <c:pt idx="427">
                  <c:v>45539</c:v>
                </c:pt>
                <c:pt idx="428">
                  <c:v>45538</c:v>
                </c:pt>
                <c:pt idx="429">
                  <c:v>45537</c:v>
                </c:pt>
                <c:pt idx="430">
                  <c:v>45534</c:v>
                </c:pt>
                <c:pt idx="431">
                  <c:v>45533</c:v>
                </c:pt>
                <c:pt idx="432">
                  <c:v>45532</c:v>
                </c:pt>
                <c:pt idx="433">
                  <c:v>45531</c:v>
                </c:pt>
                <c:pt idx="434">
                  <c:v>45530</c:v>
                </c:pt>
                <c:pt idx="435">
                  <c:v>45527</c:v>
                </c:pt>
                <c:pt idx="436">
                  <c:v>45526</c:v>
                </c:pt>
                <c:pt idx="437">
                  <c:v>45525</c:v>
                </c:pt>
                <c:pt idx="438">
                  <c:v>45524</c:v>
                </c:pt>
                <c:pt idx="439">
                  <c:v>45523</c:v>
                </c:pt>
                <c:pt idx="440">
                  <c:v>45520</c:v>
                </c:pt>
                <c:pt idx="441">
                  <c:v>45519</c:v>
                </c:pt>
                <c:pt idx="442">
                  <c:v>45518</c:v>
                </c:pt>
                <c:pt idx="443">
                  <c:v>45517</c:v>
                </c:pt>
                <c:pt idx="444">
                  <c:v>45516</c:v>
                </c:pt>
                <c:pt idx="445">
                  <c:v>45513</c:v>
                </c:pt>
                <c:pt idx="446">
                  <c:v>45512</c:v>
                </c:pt>
                <c:pt idx="447">
                  <c:v>45511</c:v>
                </c:pt>
                <c:pt idx="448">
                  <c:v>45510</c:v>
                </c:pt>
                <c:pt idx="449">
                  <c:v>45509</c:v>
                </c:pt>
                <c:pt idx="450">
                  <c:v>45506</c:v>
                </c:pt>
                <c:pt idx="451">
                  <c:v>45505</c:v>
                </c:pt>
                <c:pt idx="452">
                  <c:v>45504</c:v>
                </c:pt>
                <c:pt idx="453">
                  <c:v>45503</c:v>
                </c:pt>
                <c:pt idx="454">
                  <c:v>45502</c:v>
                </c:pt>
                <c:pt idx="455">
                  <c:v>45499</c:v>
                </c:pt>
                <c:pt idx="456">
                  <c:v>45498</c:v>
                </c:pt>
                <c:pt idx="457">
                  <c:v>45497</c:v>
                </c:pt>
                <c:pt idx="458">
                  <c:v>45496</c:v>
                </c:pt>
                <c:pt idx="459">
                  <c:v>45495</c:v>
                </c:pt>
                <c:pt idx="460">
                  <c:v>45492</c:v>
                </c:pt>
                <c:pt idx="461">
                  <c:v>45491</c:v>
                </c:pt>
                <c:pt idx="462">
                  <c:v>45490</c:v>
                </c:pt>
                <c:pt idx="463">
                  <c:v>45489</c:v>
                </c:pt>
                <c:pt idx="464">
                  <c:v>45488</c:v>
                </c:pt>
                <c:pt idx="465">
                  <c:v>45485</c:v>
                </c:pt>
                <c:pt idx="466">
                  <c:v>45484</c:v>
                </c:pt>
                <c:pt idx="467">
                  <c:v>45483</c:v>
                </c:pt>
                <c:pt idx="468">
                  <c:v>45482</c:v>
                </c:pt>
                <c:pt idx="469">
                  <c:v>45481</c:v>
                </c:pt>
                <c:pt idx="470">
                  <c:v>45478</c:v>
                </c:pt>
                <c:pt idx="471">
                  <c:v>45477</c:v>
                </c:pt>
                <c:pt idx="472">
                  <c:v>45476</c:v>
                </c:pt>
                <c:pt idx="473">
                  <c:v>45475</c:v>
                </c:pt>
                <c:pt idx="474">
                  <c:v>45474</c:v>
                </c:pt>
                <c:pt idx="475">
                  <c:v>45471</c:v>
                </c:pt>
                <c:pt idx="476">
                  <c:v>45470</c:v>
                </c:pt>
                <c:pt idx="477">
                  <c:v>45469</c:v>
                </c:pt>
                <c:pt idx="478">
                  <c:v>45468</c:v>
                </c:pt>
                <c:pt idx="479">
                  <c:v>45467</c:v>
                </c:pt>
                <c:pt idx="480">
                  <c:v>45464</c:v>
                </c:pt>
                <c:pt idx="481">
                  <c:v>45463</c:v>
                </c:pt>
                <c:pt idx="482">
                  <c:v>45462</c:v>
                </c:pt>
                <c:pt idx="483">
                  <c:v>45461</c:v>
                </c:pt>
                <c:pt idx="484">
                  <c:v>45460</c:v>
                </c:pt>
                <c:pt idx="485">
                  <c:v>45457</c:v>
                </c:pt>
                <c:pt idx="486">
                  <c:v>45456</c:v>
                </c:pt>
                <c:pt idx="487">
                  <c:v>45455</c:v>
                </c:pt>
                <c:pt idx="488">
                  <c:v>45454</c:v>
                </c:pt>
                <c:pt idx="489">
                  <c:v>45453</c:v>
                </c:pt>
                <c:pt idx="490">
                  <c:v>45450</c:v>
                </c:pt>
                <c:pt idx="491">
                  <c:v>45449</c:v>
                </c:pt>
                <c:pt idx="492">
                  <c:v>45448</c:v>
                </c:pt>
                <c:pt idx="493">
                  <c:v>45447</c:v>
                </c:pt>
                <c:pt idx="494">
                  <c:v>45446</c:v>
                </c:pt>
                <c:pt idx="495">
                  <c:v>45443</c:v>
                </c:pt>
                <c:pt idx="496">
                  <c:v>45442</c:v>
                </c:pt>
                <c:pt idx="497">
                  <c:v>45441</c:v>
                </c:pt>
                <c:pt idx="498">
                  <c:v>45440</c:v>
                </c:pt>
                <c:pt idx="499">
                  <c:v>45439</c:v>
                </c:pt>
                <c:pt idx="500">
                  <c:v>45436</c:v>
                </c:pt>
                <c:pt idx="501">
                  <c:v>45435</c:v>
                </c:pt>
                <c:pt idx="502">
                  <c:v>45434</c:v>
                </c:pt>
                <c:pt idx="503">
                  <c:v>45433</c:v>
                </c:pt>
                <c:pt idx="504">
                  <c:v>45432</c:v>
                </c:pt>
                <c:pt idx="505">
                  <c:v>45429</c:v>
                </c:pt>
                <c:pt idx="506">
                  <c:v>45428</c:v>
                </c:pt>
                <c:pt idx="507">
                  <c:v>45427</c:v>
                </c:pt>
                <c:pt idx="508">
                  <c:v>45426</c:v>
                </c:pt>
                <c:pt idx="509">
                  <c:v>45425</c:v>
                </c:pt>
                <c:pt idx="510">
                  <c:v>45422</c:v>
                </c:pt>
                <c:pt idx="511">
                  <c:v>45421</c:v>
                </c:pt>
                <c:pt idx="512">
                  <c:v>45420</c:v>
                </c:pt>
                <c:pt idx="513">
                  <c:v>45419</c:v>
                </c:pt>
                <c:pt idx="514">
                  <c:v>45418</c:v>
                </c:pt>
                <c:pt idx="515">
                  <c:v>45415</c:v>
                </c:pt>
                <c:pt idx="516">
                  <c:v>45414</c:v>
                </c:pt>
                <c:pt idx="517">
                  <c:v>45413</c:v>
                </c:pt>
                <c:pt idx="518">
                  <c:v>45412</c:v>
                </c:pt>
                <c:pt idx="519">
                  <c:v>45411</c:v>
                </c:pt>
                <c:pt idx="520">
                  <c:v>45408</c:v>
                </c:pt>
                <c:pt idx="521">
                  <c:v>45407</c:v>
                </c:pt>
                <c:pt idx="522">
                  <c:v>45406</c:v>
                </c:pt>
                <c:pt idx="523">
                  <c:v>45405</c:v>
                </c:pt>
                <c:pt idx="524">
                  <c:v>45404</c:v>
                </c:pt>
                <c:pt idx="525">
                  <c:v>45401</c:v>
                </c:pt>
                <c:pt idx="526">
                  <c:v>45400</c:v>
                </c:pt>
                <c:pt idx="527">
                  <c:v>45399</c:v>
                </c:pt>
                <c:pt idx="528">
                  <c:v>45398</c:v>
                </c:pt>
                <c:pt idx="529">
                  <c:v>45397</c:v>
                </c:pt>
                <c:pt idx="530">
                  <c:v>45394</c:v>
                </c:pt>
                <c:pt idx="531">
                  <c:v>45393</c:v>
                </c:pt>
                <c:pt idx="532">
                  <c:v>45392</c:v>
                </c:pt>
                <c:pt idx="533">
                  <c:v>45391</c:v>
                </c:pt>
                <c:pt idx="534">
                  <c:v>45390</c:v>
                </c:pt>
                <c:pt idx="535">
                  <c:v>45387</c:v>
                </c:pt>
                <c:pt idx="536">
                  <c:v>45386</c:v>
                </c:pt>
                <c:pt idx="537">
                  <c:v>45385</c:v>
                </c:pt>
                <c:pt idx="538">
                  <c:v>45384</c:v>
                </c:pt>
                <c:pt idx="539">
                  <c:v>45383</c:v>
                </c:pt>
                <c:pt idx="540">
                  <c:v>45380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45341</c:v>
                </c:pt>
                <c:pt idx="570">
                  <c:v>45338</c:v>
                </c:pt>
                <c:pt idx="571">
                  <c:v>45337</c:v>
                </c:pt>
                <c:pt idx="572">
                  <c:v>45336</c:v>
                </c:pt>
                <c:pt idx="573">
                  <c:v>45335</c:v>
                </c:pt>
                <c:pt idx="574">
                  <c:v>45334</c:v>
                </c:pt>
                <c:pt idx="575">
                  <c:v>45331</c:v>
                </c:pt>
                <c:pt idx="576">
                  <c:v>45330</c:v>
                </c:pt>
                <c:pt idx="577">
                  <c:v>45329</c:v>
                </c:pt>
                <c:pt idx="578">
                  <c:v>45328</c:v>
                </c:pt>
                <c:pt idx="579">
                  <c:v>45327</c:v>
                </c:pt>
                <c:pt idx="580">
                  <c:v>45324</c:v>
                </c:pt>
                <c:pt idx="581">
                  <c:v>45323</c:v>
                </c:pt>
                <c:pt idx="582">
                  <c:v>45322</c:v>
                </c:pt>
                <c:pt idx="583">
                  <c:v>45321</c:v>
                </c:pt>
                <c:pt idx="584">
                  <c:v>45320</c:v>
                </c:pt>
                <c:pt idx="585">
                  <c:v>45317</c:v>
                </c:pt>
                <c:pt idx="586">
                  <c:v>45316</c:v>
                </c:pt>
                <c:pt idx="587">
                  <c:v>45315</c:v>
                </c:pt>
                <c:pt idx="588">
                  <c:v>45314</c:v>
                </c:pt>
                <c:pt idx="589">
                  <c:v>45313</c:v>
                </c:pt>
                <c:pt idx="590">
                  <c:v>45310</c:v>
                </c:pt>
                <c:pt idx="591">
                  <c:v>45309</c:v>
                </c:pt>
                <c:pt idx="592">
                  <c:v>45308</c:v>
                </c:pt>
                <c:pt idx="593">
                  <c:v>45307</c:v>
                </c:pt>
                <c:pt idx="594">
                  <c:v>45306</c:v>
                </c:pt>
                <c:pt idx="595">
                  <c:v>45303</c:v>
                </c:pt>
                <c:pt idx="596">
                  <c:v>45302</c:v>
                </c:pt>
                <c:pt idx="597">
                  <c:v>45301</c:v>
                </c:pt>
                <c:pt idx="598">
                  <c:v>45300</c:v>
                </c:pt>
                <c:pt idx="599">
                  <c:v>45299</c:v>
                </c:pt>
                <c:pt idx="600">
                  <c:v>45296</c:v>
                </c:pt>
                <c:pt idx="601">
                  <c:v>45295</c:v>
                </c:pt>
                <c:pt idx="602">
                  <c:v>45294</c:v>
                </c:pt>
                <c:pt idx="603">
                  <c:v>45293</c:v>
                </c:pt>
              </c:numCache>
            </c:numRef>
          </c:cat>
          <c:val>
            <c:numRef>
              <c:f>'미국 RSI'!$K$69:$K$3068</c:f>
              <c:numCache>
                <c:formatCode>0.00</c:formatCode>
                <c:ptCount val="3000"/>
                <c:pt idx="0">
                  <c:v>55.16</c:v>
                </c:pt>
                <c:pt idx="1">
                  <c:v>54.01</c:v>
                </c:pt>
                <c:pt idx="2">
                  <c:v>49.47</c:v>
                </c:pt>
                <c:pt idx="3">
                  <c:v>51.55</c:v>
                </c:pt>
                <c:pt idx="4">
                  <c:v>51.81</c:v>
                </c:pt>
                <c:pt idx="5">
                  <c:v>50.76</c:v>
                </c:pt>
                <c:pt idx="6">
                  <c:v>58.97</c:v>
                </c:pt>
                <c:pt idx="7">
                  <c:v>61.42</c:v>
                </c:pt>
                <c:pt idx="8">
                  <c:v>59.11</c:v>
                </c:pt>
                <c:pt idx="9">
                  <c:v>67.39</c:v>
                </c:pt>
                <c:pt idx="10">
                  <c:v>69.38</c:v>
                </c:pt>
                <c:pt idx="11">
                  <c:v>68.72</c:v>
                </c:pt>
                <c:pt idx="12">
                  <c:v>64.89</c:v>
                </c:pt>
                <c:pt idx="13">
                  <c:v>62.57</c:v>
                </c:pt>
                <c:pt idx="14">
                  <c:v>56.81</c:v>
                </c:pt>
                <c:pt idx="15">
                  <c:v>53.49</c:v>
                </c:pt>
                <c:pt idx="16">
                  <c:v>54.93</c:v>
                </c:pt>
                <c:pt idx="17">
                  <c:v>53.25</c:v>
                </c:pt>
                <c:pt idx="18">
                  <c:v>45</c:v>
                </c:pt>
                <c:pt idx="19">
                  <c:v>44.73</c:v>
                </c:pt>
                <c:pt idx="21">
                  <c:v>44.47</c:v>
                </c:pt>
                <c:pt idx="22">
                  <c:v>42.57</c:v>
                </c:pt>
                <c:pt idx="23">
                  <c:v>41.03</c:v>
                </c:pt>
                <c:pt idx="24">
                  <c:v>27.16</c:v>
                </c:pt>
                <c:pt idx="25">
                  <c:v>21.74</c:v>
                </c:pt>
                <c:pt idx="26">
                  <c:v>25.07</c:v>
                </c:pt>
                <c:pt idx="27">
                  <c:v>31.81</c:v>
                </c:pt>
                <c:pt idx="28">
                  <c:v>29.74</c:v>
                </c:pt>
                <c:pt idx="29">
                  <c:v>34.72</c:v>
                </c:pt>
                <c:pt idx="30">
                  <c:v>31.48</c:v>
                </c:pt>
                <c:pt idx="31">
                  <c:v>34.49</c:v>
                </c:pt>
                <c:pt idx="32">
                  <c:v>36.33</c:v>
                </c:pt>
                <c:pt idx="33">
                  <c:v>43.4</c:v>
                </c:pt>
                <c:pt idx="34">
                  <c:v>43.16</c:v>
                </c:pt>
                <c:pt idx="35">
                  <c:v>37.76</c:v>
                </c:pt>
                <c:pt idx="36">
                  <c:v>41.15</c:v>
                </c:pt>
                <c:pt idx="37">
                  <c:v>49.9</c:v>
                </c:pt>
                <c:pt idx="38">
                  <c:v>52.17</c:v>
                </c:pt>
                <c:pt idx="39">
                  <c:v>53.23</c:v>
                </c:pt>
                <c:pt idx="40">
                  <c:v>52.73</c:v>
                </c:pt>
                <c:pt idx="41">
                  <c:v>58.37</c:v>
                </c:pt>
                <c:pt idx="42">
                  <c:v>60.52</c:v>
                </c:pt>
                <c:pt idx="43">
                  <c:v>57.04</c:v>
                </c:pt>
                <c:pt idx="44">
                  <c:v>56.66</c:v>
                </c:pt>
                <c:pt idx="45">
                  <c:v>57.61</c:v>
                </c:pt>
                <c:pt idx="46">
                  <c:v>52.05</c:v>
                </c:pt>
                <c:pt idx="47">
                  <c:v>51.07</c:v>
                </c:pt>
                <c:pt idx="48">
                  <c:v>49.58</c:v>
                </c:pt>
                <c:pt idx="49">
                  <c:v>45.99</c:v>
                </c:pt>
                <c:pt idx="50">
                  <c:v>52.2</c:v>
                </c:pt>
                <c:pt idx="51">
                  <c:v>44.12</c:v>
                </c:pt>
                <c:pt idx="52">
                  <c:v>41.06</c:v>
                </c:pt>
                <c:pt idx="53">
                  <c:v>40</c:v>
                </c:pt>
                <c:pt idx="54">
                  <c:v>40.64</c:v>
                </c:pt>
                <c:pt idx="55">
                  <c:v>40.840000000000003</c:v>
                </c:pt>
                <c:pt idx="56">
                  <c:v>48.73</c:v>
                </c:pt>
                <c:pt idx="57">
                  <c:v>52.49</c:v>
                </c:pt>
                <c:pt idx="58">
                  <c:v>49.47</c:v>
                </c:pt>
                <c:pt idx="59">
                  <c:v>44.2</c:v>
                </c:pt>
                <c:pt idx="60">
                  <c:v>45.99</c:v>
                </c:pt>
                <c:pt idx="61">
                  <c:v>48.38</c:v>
                </c:pt>
                <c:pt idx="62">
                  <c:v>52.39</c:v>
                </c:pt>
                <c:pt idx="63">
                  <c:v>62.25</c:v>
                </c:pt>
                <c:pt idx="64">
                  <c:v>64.650000000000006</c:v>
                </c:pt>
                <c:pt idx="65">
                  <c:v>63.73</c:v>
                </c:pt>
                <c:pt idx="66">
                  <c:v>51.46</c:v>
                </c:pt>
                <c:pt idx="67">
                  <c:v>52.27</c:v>
                </c:pt>
                <c:pt idx="68">
                  <c:v>57.12</c:v>
                </c:pt>
                <c:pt idx="69">
                  <c:v>53.38</c:v>
                </c:pt>
                <c:pt idx="70">
                  <c:v>49.82</c:v>
                </c:pt>
                <c:pt idx="71">
                  <c:v>40.15</c:v>
                </c:pt>
                <c:pt idx="72">
                  <c:v>31.35</c:v>
                </c:pt>
                <c:pt idx="74">
                  <c:v>39.19</c:v>
                </c:pt>
                <c:pt idx="75">
                  <c:v>45.68</c:v>
                </c:pt>
                <c:pt idx="76">
                  <c:v>48.79</c:v>
                </c:pt>
                <c:pt idx="77">
                  <c:v>50.64</c:v>
                </c:pt>
                <c:pt idx="78">
                  <c:v>55.86</c:v>
                </c:pt>
                <c:pt idx="79">
                  <c:v>58.93</c:v>
                </c:pt>
                <c:pt idx="80">
                  <c:v>56.26</c:v>
                </c:pt>
                <c:pt idx="81">
                  <c:v>53.73</c:v>
                </c:pt>
                <c:pt idx="82">
                  <c:v>55.57</c:v>
                </c:pt>
                <c:pt idx="83">
                  <c:v>58.84</c:v>
                </c:pt>
                <c:pt idx="84">
                  <c:v>53.72</c:v>
                </c:pt>
                <c:pt idx="85">
                  <c:v>60.45</c:v>
                </c:pt>
                <c:pt idx="86">
                  <c:v>65.78</c:v>
                </c:pt>
                <c:pt idx="87">
                  <c:v>63.69</c:v>
                </c:pt>
                <c:pt idx="88">
                  <c:v>64.42</c:v>
                </c:pt>
                <c:pt idx="89">
                  <c:v>65.459999999999994</c:v>
                </c:pt>
                <c:pt idx="90">
                  <c:v>62.15</c:v>
                </c:pt>
                <c:pt idx="91">
                  <c:v>58.26</c:v>
                </c:pt>
                <c:pt idx="92">
                  <c:v>57.49</c:v>
                </c:pt>
                <c:pt idx="93">
                  <c:v>57.22</c:v>
                </c:pt>
                <c:pt idx="94">
                  <c:v>53.7</c:v>
                </c:pt>
                <c:pt idx="95">
                  <c:v>59.49</c:v>
                </c:pt>
                <c:pt idx="96">
                  <c:v>59.1</c:v>
                </c:pt>
                <c:pt idx="97">
                  <c:v>59.01</c:v>
                </c:pt>
                <c:pt idx="98">
                  <c:v>60.65</c:v>
                </c:pt>
                <c:pt idx="99">
                  <c:v>62.25</c:v>
                </c:pt>
                <c:pt idx="100">
                  <c:v>59.66</c:v>
                </c:pt>
                <c:pt idx="101">
                  <c:v>59.16</c:v>
                </c:pt>
                <c:pt idx="102">
                  <c:v>64.08</c:v>
                </c:pt>
                <c:pt idx="103">
                  <c:v>59.23</c:v>
                </c:pt>
                <c:pt idx="104">
                  <c:v>56.55</c:v>
                </c:pt>
                <c:pt idx="105">
                  <c:v>57.07</c:v>
                </c:pt>
                <c:pt idx="106">
                  <c:v>55.61</c:v>
                </c:pt>
                <c:pt idx="107">
                  <c:v>58.23</c:v>
                </c:pt>
                <c:pt idx="109">
                  <c:v>54.83</c:v>
                </c:pt>
                <c:pt idx="110">
                  <c:v>54.23</c:v>
                </c:pt>
                <c:pt idx="111">
                  <c:v>49.21</c:v>
                </c:pt>
                <c:pt idx="112">
                  <c:v>44.33</c:v>
                </c:pt>
                <c:pt idx="113">
                  <c:v>34.119999999999997</c:v>
                </c:pt>
                <c:pt idx="114">
                  <c:v>38.24</c:v>
                </c:pt>
                <c:pt idx="115">
                  <c:v>40.549999999999997</c:v>
                </c:pt>
                <c:pt idx="116">
                  <c:v>36.950000000000003</c:v>
                </c:pt>
                <c:pt idx="117">
                  <c:v>37.450000000000003</c:v>
                </c:pt>
                <c:pt idx="118">
                  <c:v>39.44</c:v>
                </c:pt>
                <c:pt idx="119">
                  <c:v>45.43</c:v>
                </c:pt>
                <c:pt idx="120">
                  <c:v>48.22</c:v>
                </c:pt>
                <c:pt idx="121">
                  <c:v>43.75</c:v>
                </c:pt>
                <c:pt idx="122">
                  <c:v>37.36</c:v>
                </c:pt>
                <c:pt idx="123">
                  <c:v>38.36</c:v>
                </c:pt>
                <c:pt idx="124">
                  <c:v>42.05</c:v>
                </c:pt>
                <c:pt idx="125">
                  <c:v>38.78</c:v>
                </c:pt>
                <c:pt idx="126">
                  <c:v>41.57</c:v>
                </c:pt>
                <c:pt idx="127">
                  <c:v>46.4</c:v>
                </c:pt>
                <c:pt idx="128">
                  <c:v>43.97</c:v>
                </c:pt>
                <c:pt idx="129">
                  <c:v>52.94</c:v>
                </c:pt>
                <c:pt idx="130">
                  <c:v>54.45</c:v>
                </c:pt>
                <c:pt idx="131">
                  <c:v>57.51</c:v>
                </c:pt>
                <c:pt idx="132">
                  <c:v>50.31</c:v>
                </c:pt>
                <c:pt idx="133">
                  <c:v>48.81</c:v>
                </c:pt>
                <c:pt idx="134">
                  <c:v>50.66</c:v>
                </c:pt>
                <c:pt idx="135">
                  <c:v>55.73</c:v>
                </c:pt>
                <c:pt idx="136">
                  <c:v>54</c:v>
                </c:pt>
                <c:pt idx="137">
                  <c:v>47.99</c:v>
                </c:pt>
                <c:pt idx="138">
                  <c:v>43.96</c:v>
                </c:pt>
                <c:pt idx="139">
                  <c:v>49.66</c:v>
                </c:pt>
                <c:pt idx="140">
                  <c:v>45.33</c:v>
                </c:pt>
                <c:pt idx="141">
                  <c:v>40.96</c:v>
                </c:pt>
                <c:pt idx="142">
                  <c:v>34.18</c:v>
                </c:pt>
                <c:pt idx="143">
                  <c:v>43.67</c:v>
                </c:pt>
                <c:pt idx="144">
                  <c:v>47.48</c:v>
                </c:pt>
                <c:pt idx="145">
                  <c:v>50.45</c:v>
                </c:pt>
                <c:pt idx="146">
                  <c:v>53.36</c:v>
                </c:pt>
                <c:pt idx="147">
                  <c:v>52.68</c:v>
                </c:pt>
                <c:pt idx="148">
                  <c:v>53.04</c:v>
                </c:pt>
                <c:pt idx="149">
                  <c:v>54.53</c:v>
                </c:pt>
                <c:pt idx="150">
                  <c:v>65.38</c:v>
                </c:pt>
                <c:pt idx="151">
                  <c:v>66.709999999999994</c:v>
                </c:pt>
                <c:pt idx="152">
                  <c:v>65.319999999999993</c:v>
                </c:pt>
                <c:pt idx="153">
                  <c:v>60.76</c:v>
                </c:pt>
                <c:pt idx="154">
                  <c:v>63.48</c:v>
                </c:pt>
                <c:pt idx="155">
                  <c:v>70.69</c:v>
                </c:pt>
                <c:pt idx="156">
                  <c:v>72.010000000000005</c:v>
                </c:pt>
                <c:pt idx="157">
                  <c:v>78.650000000000006</c:v>
                </c:pt>
                <c:pt idx="158">
                  <c:v>77.510000000000005</c:v>
                </c:pt>
                <c:pt idx="159">
                  <c:v>77.31</c:v>
                </c:pt>
                <c:pt idx="160">
                  <c:v>76.62</c:v>
                </c:pt>
                <c:pt idx="161">
                  <c:v>80.099999999999994</c:v>
                </c:pt>
                <c:pt idx="162">
                  <c:v>76.73</c:v>
                </c:pt>
                <c:pt idx="163">
                  <c:v>74.349999999999994</c:v>
                </c:pt>
                <c:pt idx="164">
                  <c:v>69.040000000000006</c:v>
                </c:pt>
                <c:pt idx="165">
                  <c:v>76.12</c:v>
                </c:pt>
                <c:pt idx="166">
                  <c:v>74.239999999999995</c:v>
                </c:pt>
                <c:pt idx="167">
                  <c:v>73.86</c:v>
                </c:pt>
                <c:pt idx="168">
                  <c:v>72.06</c:v>
                </c:pt>
                <c:pt idx="169">
                  <c:v>68.709999999999994</c:v>
                </c:pt>
                <c:pt idx="170">
                  <c:v>60.73</c:v>
                </c:pt>
                <c:pt idx="172">
                  <c:v>62.24</c:v>
                </c:pt>
                <c:pt idx="173">
                  <c:v>63.94</c:v>
                </c:pt>
                <c:pt idx="174">
                  <c:v>62.1</c:v>
                </c:pt>
                <c:pt idx="175">
                  <c:v>61.27</c:v>
                </c:pt>
                <c:pt idx="176">
                  <c:v>64.66</c:v>
                </c:pt>
                <c:pt idx="177">
                  <c:v>63.98</c:v>
                </c:pt>
                <c:pt idx="178">
                  <c:v>57.29</c:v>
                </c:pt>
                <c:pt idx="179">
                  <c:v>58.05</c:v>
                </c:pt>
                <c:pt idx="180">
                  <c:v>60.09</c:v>
                </c:pt>
                <c:pt idx="181">
                  <c:v>64.010000000000005</c:v>
                </c:pt>
                <c:pt idx="182">
                  <c:v>68.56</c:v>
                </c:pt>
                <c:pt idx="183">
                  <c:v>67.680000000000007</c:v>
                </c:pt>
                <c:pt idx="184">
                  <c:v>67.41</c:v>
                </c:pt>
                <c:pt idx="185">
                  <c:v>64.78</c:v>
                </c:pt>
                <c:pt idx="186">
                  <c:v>57.03</c:v>
                </c:pt>
                <c:pt idx="187">
                  <c:v>54.57</c:v>
                </c:pt>
                <c:pt idx="188">
                  <c:v>52.92</c:v>
                </c:pt>
                <c:pt idx="189">
                  <c:v>55.29</c:v>
                </c:pt>
                <c:pt idx="190">
                  <c:v>53.57</c:v>
                </c:pt>
                <c:pt idx="191">
                  <c:v>57.81</c:v>
                </c:pt>
                <c:pt idx="192">
                  <c:v>48.66</c:v>
                </c:pt>
                <c:pt idx="193">
                  <c:v>55.76</c:v>
                </c:pt>
                <c:pt idx="194">
                  <c:v>50.8</c:v>
                </c:pt>
                <c:pt idx="195">
                  <c:v>48.97</c:v>
                </c:pt>
                <c:pt idx="196">
                  <c:v>54.18</c:v>
                </c:pt>
                <c:pt idx="197">
                  <c:v>57.77</c:v>
                </c:pt>
                <c:pt idx="198">
                  <c:v>64.72</c:v>
                </c:pt>
                <c:pt idx="199">
                  <c:v>64</c:v>
                </c:pt>
                <c:pt idx="200">
                  <c:v>61.63</c:v>
                </c:pt>
                <c:pt idx="201">
                  <c:v>60.61</c:v>
                </c:pt>
                <c:pt idx="202">
                  <c:v>54.18</c:v>
                </c:pt>
                <c:pt idx="203">
                  <c:v>57.17</c:v>
                </c:pt>
                <c:pt idx="204">
                  <c:v>55.45</c:v>
                </c:pt>
                <c:pt idx="205">
                  <c:v>53.96</c:v>
                </c:pt>
                <c:pt idx="206">
                  <c:v>60.14</c:v>
                </c:pt>
                <c:pt idx="207">
                  <c:v>55.5</c:v>
                </c:pt>
                <c:pt idx="208">
                  <c:v>59.78</c:v>
                </c:pt>
                <c:pt idx="209">
                  <c:v>62.11</c:v>
                </c:pt>
                <c:pt idx="210">
                  <c:v>61.01</c:v>
                </c:pt>
                <c:pt idx="211">
                  <c:v>62.33</c:v>
                </c:pt>
                <c:pt idx="213">
                  <c:v>68.84</c:v>
                </c:pt>
                <c:pt idx="214">
                  <c:v>67.02</c:v>
                </c:pt>
                <c:pt idx="215">
                  <c:v>68.98</c:v>
                </c:pt>
                <c:pt idx="216">
                  <c:v>73.97</c:v>
                </c:pt>
                <c:pt idx="217">
                  <c:v>71.89</c:v>
                </c:pt>
                <c:pt idx="218">
                  <c:v>68.44</c:v>
                </c:pt>
                <c:pt idx="219">
                  <c:v>64.489999999999995</c:v>
                </c:pt>
                <c:pt idx="220">
                  <c:v>64.61</c:v>
                </c:pt>
                <c:pt idx="221">
                  <c:v>59.84</c:v>
                </c:pt>
                <c:pt idx="222">
                  <c:v>55.48</c:v>
                </c:pt>
                <c:pt idx="224">
                  <c:v>59.05</c:v>
                </c:pt>
                <c:pt idx="225">
                  <c:v>58.86</c:v>
                </c:pt>
                <c:pt idx="226">
                  <c:v>64.08</c:v>
                </c:pt>
                <c:pt idx="227">
                  <c:v>57.36</c:v>
                </c:pt>
                <c:pt idx="228">
                  <c:v>64</c:v>
                </c:pt>
                <c:pt idx="229">
                  <c:v>70.09</c:v>
                </c:pt>
                <c:pt idx="230">
                  <c:v>71.89</c:v>
                </c:pt>
                <c:pt idx="231">
                  <c:v>67.69</c:v>
                </c:pt>
                <c:pt idx="232">
                  <c:v>69.91</c:v>
                </c:pt>
                <c:pt idx="233">
                  <c:v>65.3</c:v>
                </c:pt>
                <c:pt idx="234">
                  <c:v>64.77</c:v>
                </c:pt>
                <c:pt idx="235">
                  <c:v>62.25</c:v>
                </c:pt>
                <c:pt idx="236">
                  <c:v>64.150000000000006</c:v>
                </c:pt>
                <c:pt idx="237">
                  <c:v>62.31</c:v>
                </c:pt>
                <c:pt idx="238">
                  <c:v>60.74</c:v>
                </c:pt>
                <c:pt idx="239">
                  <c:v>65.7</c:v>
                </c:pt>
                <c:pt idx="240">
                  <c:v>65.819999999999993</c:v>
                </c:pt>
                <c:pt idx="242">
                  <c:v>60.25</c:v>
                </c:pt>
                <c:pt idx="243">
                  <c:v>62.94</c:v>
                </c:pt>
                <c:pt idx="244">
                  <c:v>64.209999999999994</c:v>
                </c:pt>
                <c:pt idx="245">
                  <c:v>68.67</c:v>
                </c:pt>
                <c:pt idx="246">
                  <c:v>70.16</c:v>
                </c:pt>
                <c:pt idx="247">
                  <c:v>69.91</c:v>
                </c:pt>
                <c:pt idx="248">
                  <c:v>68.27</c:v>
                </c:pt>
                <c:pt idx="249">
                  <c:v>67.3</c:v>
                </c:pt>
                <c:pt idx="250">
                  <c:v>66.06</c:v>
                </c:pt>
                <c:pt idx="251">
                  <c:v>63.66</c:v>
                </c:pt>
                <c:pt idx="252">
                  <c:v>57.91</c:v>
                </c:pt>
                <c:pt idx="253">
                  <c:v>60.1</c:v>
                </c:pt>
                <c:pt idx="254">
                  <c:v>59.44</c:v>
                </c:pt>
                <c:pt idx="255">
                  <c:v>60.16</c:v>
                </c:pt>
                <c:pt idx="256">
                  <c:v>60.24</c:v>
                </c:pt>
                <c:pt idx="257">
                  <c:v>59.7</c:v>
                </c:pt>
                <c:pt idx="258">
                  <c:v>56.15</c:v>
                </c:pt>
                <c:pt idx="259">
                  <c:v>54.94</c:v>
                </c:pt>
                <c:pt idx="260">
                  <c:v>54.87</c:v>
                </c:pt>
                <c:pt idx="261">
                  <c:v>53.29</c:v>
                </c:pt>
                <c:pt idx="262">
                  <c:v>52.49</c:v>
                </c:pt>
                <c:pt idx="263">
                  <c:v>51.22</c:v>
                </c:pt>
                <c:pt idx="264">
                  <c:v>47.12</c:v>
                </c:pt>
                <c:pt idx="265">
                  <c:v>43.65</c:v>
                </c:pt>
                <c:pt idx="266">
                  <c:v>37.619999999999997</c:v>
                </c:pt>
                <c:pt idx="268">
                  <c:v>41.24</c:v>
                </c:pt>
                <c:pt idx="269">
                  <c:v>39.700000000000003</c:v>
                </c:pt>
                <c:pt idx="270">
                  <c:v>44.3</c:v>
                </c:pt>
                <c:pt idx="271">
                  <c:v>43.74</c:v>
                </c:pt>
                <c:pt idx="272">
                  <c:v>42.31</c:v>
                </c:pt>
                <c:pt idx="273">
                  <c:v>40.53</c:v>
                </c:pt>
                <c:pt idx="274">
                  <c:v>46.07</c:v>
                </c:pt>
                <c:pt idx="275">
                  <c:v>23.19</c:v>
                </c:pt>
                <c:pt idx="276">
                  <c:v>24.75</c:v>
                </c:pt>
                <c:pt idx="277">
                  <c:v>24.29</c:v>
                </c:pt>
                <c:pt idx="278">
                  <c:v>32.56</c:v>
                </c:pt>
                <c:pt idx="279">
                  <c:v>43.87</c:v>
                </c:pt>
                <c:pt idx="280">
                  <c:v>42.41</c:v>
                </c:pt>
                <c:pt idx="281">
                  <c:v>42.16</c:v>
                </c:pt>
                <c:pt idx="282">
                  <c:v>39.299999999999997</c:v>
                </c:pt>
                <c:pt idx="283">
                  <c:v>48.4</c:v>
                </c:pt>
                <c:pt idx="284">
                  <c:v>50.03</c:v>
                </c:pt>
                <c:pt idx="285">
                  <c:v>53.24</c:v>
                </c:pt>
                <c:pt idx="286">
                  <c:v>48.75</c:v>
                </c:pt>
                <c:pt idx="287">
                  <c:v>44.43</c:v>
                </c:pt>
                <c:pt idx="288">
                  <c:v>41.22</c:v>
                </c:pt>
                <c:pt idx="289">
                  <c:v>41.84</c:v>
                </c:pt>
                <c:pt idx="290">
                  <c:v>37.07</c:v>
                </c:pt>
                <c:pt idx="291">
                  <c:v>40.770000000000003</c:v>
                </c:pt>
                <c:pt idx="292">
                  <c:v>37.85</c:v>
                </c:pt>
                <c:pt idx="293">
                  <c:v>29.71</c:v>
                </c:pt>
                <c:pt idx="294">
                  <c:v>34.51</c:v>
                </c:pt>
                <c:pt idx="295">
                  <c:v>32.049999999999997</c:v>
                </c:pt>
                <c:pt idx="296">
                  <c:v>35.79</c:v>
                </c:pt>
                <c:pt idx="297">
                  <c:v>44.08</c:v>
                </c:pt>
                <c:pt idx="298">
                  <c:v>40.82</c:v>
                </c:pt>
                <c:pt idx="299">
                  <c:v>48.25</c:v>
                </c:pt>
                <c:pt idx="300">
                  <c:v>41.21</c:v>
                </c:pt>
                <c:pt idx="301">
                  <c:v>44.72</c:v>
                </c:pt>
                <c:pt idx="302">
                  <c:v>49.72</c:v>
                </c:pt>
                <c:pt idx="303">
                  <c:v>40.86</c:v>
                </c:pt>
                <c:pt idx="304">
                  <c:v>45.87</c:v>
                </c:pt>
                <c:pt idx="305">
                  <c:v>46.84</c:v>
                </c:pt>
                <c:pt idx="306">
                  <c:v>56.33</c:v>
                </c:pt>
                <c:pt idx="307">
                  <c:v>55.23</c:v>
                </c:pt>
                <c:pt idx="308">
                  <c:v>66.31</c:v>
                </c:pt>
                <c:pt idx="309">
                  <c:v>70.84</c:v>
                </c:pt>
                <c:pt idx="310">
                  <c:v>70.38</c:v>
                </c:pt>
                <c:pt idx="312">
                  <c:v>74.849999999999994</c:v>
                </c:pt>
                <c:pt idx="313">
                  <c:v>72.75</c:v>
                </c:pt>
                <c:pt idx="314">
                  <c:v>68.16</c:v>
                </c:pt>
                <c:pt idx="315">
                  <c:v>67.69</c:v>
                </c:pt>
                <c:pt idx="316">
                  <c:v>67</c:v>
                </c:pt>
                <c:pt idx="317">
                  <c:v>65.11</c:v>
                </c:pt>
                <c:pt idx="318">
                  <c:v>66.81</c:v>
                </c:pt>
                <c:pt idx="319">
                  <c:v>65.12</c:v>
                </c:pt>
                <c:pt idx="320">
                  <c:v>72.95</c:v>
                </c:pt>
                <c:pt idx="321">
                  <c:v>69.849999999999994</c:v>
                </c:pt>
                <c:pt idx="322">
                  <c:v>69.069999999999993</c:v>
                </c:pt>
                <c:pt idx="323">
                  <c:v>67.599999999999994</c:v>
                </c:pt>
                <c:pt idx="324">
                  <c:v>67.25</c:v>
                </c:pt>
                <c:pt idx="325">
                  <c:v>65.7</c:v>
                </c:pt>
                <c:pt idx="326">
                  <c:v>63.98</c:v>
                </c:pt>
                <c:pt idx="327">
                  <c:v>62.1</c:v>
                </c:pt>
                <c:pt idx="328">
                  <c:v>58.64</c:v>
                </c:pt>
                <c:pt idx="329">
                  <c:v>57.6</c:v>
                </c:pt>
                <c:pt idx="330">
                  <c:v>53.51</c:v>
                </c:pt>
                <c:pt idx="332">
                  <c:v>49.44</c:v>
                </c:pt>
                <c:pt idx="333">
                  <c:v>45.2</c:v>
                </c:pt>
                <c:pt idx="334">
                  <c:v>47.63</c:v>
                </c:pt>
                <c:pt idx="335">
                  <c:v>38.909999999999997</c:v>
                </c:pt>
                <c:pt idx="336">
                  <c:v>40.18</c:v>
                </c:pt>
                <c:pt idx="337">
                  <c:v>39.950000000000003</c:v>
                </c:pt>
                <c:pt idx="339">
                  <c:v>45.79</c:v>
                </c:pt>
                <c:pt idx="340">
                  <c:v>48.42</c:v>
                </c:pt>
                <c:pt idx="341">
                  <c:v>53.87</c:v>
                </c:pt>
                <c:pt idx="342">
                  <c:v>48.71</c:v>
                </c:pt>
                <c:pt idx="343">
                  <c:v>45.5</c:v>
                </c:pt>
                <c:pt idx="344">
                  <c:v>42.9</c:v>
                </c:pt>
                <c:pt idx="345">
                  <c:v>44.24</c:v>
                </c:pt>
                <c:pt idx="346">
                  <c:v>48.76</c:v>
                </c:pt>
                <c:pt idx="347">
                  <c:v>53.07</c:v>
                </c:pt>
                <c:pt idx="348">
                  <c:v>53.73</c:v>
                </c:pt>
                <c:pt idx="349">
                  <c:v>49.62</c:v>
                </c:pt>
                <c:pt idx="350">
                  <c:v>48.34</c:v>
                </c:pt>
                <c:pt idx="351">
                  <c:v>45.92</c:v>
                </c:pt>
                <c:pt idx="352">
                  <c:v>46.96</c:v>
                </c:pt>
                <c:pt idx="353">
                  <c:v>60.48</c:v>
                </c:pt>
                <c:pt idx="354">
                  <c:v>65.09</c:v>
                </c:pt>
                <c:pt idx="355">
                  <c:v>63.77</c:v>
                </c:pt>
                <c:pt idx="356">
                  <c:v>71.61</c:v>
                </c:pt>
                <c:pt idx="357">
                  <c:v>71.099999999999994</c:v>
                </c:pt>
                <c:pt idx="358">
                  <c:v>66.19</c:v>
                </c:pt>
                <c:pt idx="359">
                  <c:v>60.28</c:v>
                </c:pt>
                <c:pt idx="360">
                  <c:v>77.81</c:v>
                </c:pt>
                <c:pt idx="361">
                  <c:v>74.91</c:v>
                </c:pt>
                <c:pt idx="362">
                  <c:v>77.25</c:v>
                </c:pt>
                <c:pt idx="363">
                  <c:v>76.569999999999993</c:v>
                </c:pt>
                <c:pt idx="364">
                  <c:v>74.069999999999993</c:v>
                </c:pt>
                <c:pt idx="365">
                  <c:v>71.17</c:v>
                </c:pt>
                <c:pt idx="367">
                  <c:v>69.069999999999993</c:v>
                </c:pt>
                <c:pt idx="368">
                  <c:v>68.55</c:v>
                </c:pt>
                <c:pt idx="369">
                  <c:v>67.12</c:v>
                </c:pt>
                <c:pt idx="370">
                  <c:v>65.08</c:v>
                </c:pt>
                <c:pt idx="371">
                  <c:v>66.69</c:v>
                </c:pt>
                <c:pt idx="372">
                  <c:v>68.569999999999993</c:v>
                </c:pt>
                <c:pt idx="373">
                  <c:v>66.39</c:v>
                </c:pt>
                <c:pt idx="374">
                  <c:v>64.03</c:v>
                </c:pt>
                <c:pt idx="375">
                  <c:v>60.15</c:v>
                </c:pt>
                <c:pt idx="376">
                  <c:v>75.81</c:v>
                </c:pt>
                <c:pt idx="377">
                  <c:v>76.86</c:v>
                </c:pt>
                <c:pt idx="378">
                  <c:v>76.75</c:v>
                </c:pt>
                <c:pt idx="379">
                  <c:v>75.58</c:v>
                </c:pt>
                <c:pt idx="380">
                  <c:v>74.08</c:v>
                </c:pt>
                <c:pt idx="381">
                  <c:v>77.930000000000007</c:v>
                </c:pt>
                <c:pt idx="382">
                  <c:v>74.680000000000007</c:v>
                </c:pt>
                <c:pt idx="383">
                  <c:v>66.209999999999994</c:v>
                </c:pt>
                <c:pt idx="384">
                  <c:v>60.79</c:v>
                </c:pt>
                <c:pt idx="385">
                  <c:v>63.68</c:v>
                </c:pt>
                <c:pt idx="386">
                  <c:v>61.72</c:v>
                </c:pt>
                <c:pt idx="387">
                  <c:v>69.55</c:v>
                </c:pt>
                <c:pt idx="388">
                  <c:v>66.849999999999994</c:v>
                </c:pt>
                <c:pt idx="389">
                  <c:v>62.05</c:v>
                </c:pt>
                <c:pt idx="390">
                  <c:v>58.26</c:v>
                </c:pt>
                <c:pt idx="391">
                  <c:v>56.66</c:v>
                </c:pt>
                <c:pt idx="392">
                  <c:v>54.49</c:v>
                </c:pt>
                <c:pt idx="393">
                  <c:v>60.79</c:v>
                </c:pt>
                <c:pt idx="394">
                  <c:v>59.98</c:v>
                </c:pt>
                <c:pt idx="395">
                  <c:v>63.35</c:v>
                </c:pt>
                <c:pt idx="396">
                  <c:v>59.41</c:v>
                </c:pt>
                <c:pt idx="397">
                  <c:v>63.48</c:v>
                </c:pt>
                <c:pt idx="398">
                  <c:v>64.040000000000006</c:v>
                </c:pt>
                <c:pt idx="399">
                  <c:v>63.02</c:v>
                </c:pt>
                <c:pt idx="400">
                  <c:v>60.85</c:v>
                </c:pt>
                <c:pt idx="401">
                  <c:v>57.42</c:v>
                </c:pt>
                <c:pt idx="402">
                  <c:v>62.95</c:v>
                </c:pt>
                <c:pt idx="403">
                  <c:v>62.8</c:v>
                </c:pt>
                <c:pt idx="404">
                  <c:v>58.75</c:v>
                </c:pt>
                <c:pt idx="405">
                  <c:v>69.63</c:v>
                </c:pt>
                <c:pt idx="406">
                  <c:v>64.64</c:v>
                </c:pt>
                <c:pt idx="407">
                  <c:v>67.849999999999994</c:v>
                </c:pt>
                <c:pt idx="408">
                  <c:v>70.8</c:v>
                </c:pt>
                <c:pt idx="409">
                  <c:v>70.5</c:v>
                </c:pt>
                <c:pt idx="410">
                  <c:v>68.86</c:v>
                </c:pt>
                <c:pt idx="411">
                  <c:v>66.459999999999994</c:v>
                </c:pt>
                <c:pt idx="412">
                  <c:v>64.09</c:v>
                </c:pt>
                <c:pt idx="413">
                  <c:v>66.540000000000006</c:v>
                </c:pt>
                <c:pt idx="414">
                  <c:v>64.650000000000006</c:v>
                </c:pt>
                <c:pt idx="415">
                  <c:v>65.22</c:v>
                </c:pt>
                <c:pt idx="416">
                  <c:v>65.22</c:v>
                </c:pt>
                <c:pt idx="417">
                  <c:v>60.08</c:v>
                </c:pt>
                <c:pt idx="418">
                  <c:v>60.57</c:v>
                </c:pt>
                <c:pt idx="419">
                  <c:v>60.57</c:v>
                </c:pt>
                <c:pt idx="420">
                  <c:v>56.61</c:v>
                </c:pt>
                <c:pt idx="421">
                  <c:v>52.58</c:v>
                </c:pt>
                <c:pt idx="422">
                  <c:v>43.25</c:v>
                </c:pt>
                <c:pt idx="423">
                  <c:v>40.86</c:v>
                </c:pt>
                <c:pt idx="424">
                  <c:v>40.950000000000003</c:v>
                </c:pt>
                <c:pt idx="425">
                  <c:v>38.65</c:v>
                </c:pt>
                <c:pt idx="426">
                  <c:v>47.12</c:v>
                </c:pt>
                <c:pt idx="427">
                  <c:v>45.57</c:v>
                </c:pt>
                <c:pt idx="428">
                  <c:v>47.7</c:v>
                </c:pt>
                <c:pt idx="430">
                  <c:v>57.39</c:v>
                </c:pt>
                <c:pt idx="431">
                  <c:v>54.26</c:v>
                </c:pt>
                <c:pt idx="432">
                  <c:v>55.44</c:v>
                </c:pt>
                <c:pt idx="433">
                  <c:v>59.27</c:v>
                </c:pt>
                <c:pt idx="434">
                  <c:v>60.61</c:v>
                </c:pt>
                <c:pt idx="435">
                  <c:v>59.77</c:v>
                </c:pt>
                <c:pt idx="436">
                  <c:v>57.16</c:v>
                </c:pt>
                <c:pt idx="437">
                  <c:v>61.14</c:v>
                </c:pt>
                <c:pt idx="438">
                  <c:v>59.68</c:v>
                </c:pt>
                <c:pt idx="439">
                  <c:v>60.02</c:v>
                </c:pt>
                <c:pt idx="440">
                  <c:v>56.24</c:v>
                </c:pt>
                <c:pt idx="441">
                  <c:v>55.2</c:v>
                </c:pt>
                <c:pt idx="442">
                  <c:v>52.05</c:v>
                </c:pt>
                <c:pt idx="443">
                  <c:v>54.3</c:v>
                </c:pt>
                <c:pt idx="444">
                  <c:v>49.78</c:v>
                </c:pt>
                <c:pt idx="445">
                  <c:v>52.36</c:v>
                </c:pt>
                <c:pt idx="446">
                  <c:v>49.38</c:v>
                </c:pt>
                <c:pt idx="447">
                  <c:v>41.61</c:v>
                </c:pt>
                <c:pt idx="448">
                  <c:v>43.26</c:v>
                </c:pt>
                <c:pt idx="449">
                  <c:v>38.270000000000003</c:v>
                </c:pt>
                <c:pt idx="450">
                  <c:v>48.11</c:v>
                </c:pt>
                <c:pt idx="451">
                  <c:v>55.79</c:v>
                </c:pt>
                <c:pt idx="452">
                  <c:v>54.09</c:v>
                </c:pt>
                <c:pt idx="453">
                  <c:v>48.81</c:v>
                </c:pt>
                <c:pt idx="454">
                  <c:v>46.9</c:v>
                </c:pt>
                <c:pt idx="455">
                  <c:v>42.58</c:v>
                </c:pt>
                <c:pt idx="456">
                  <c:v>31.85</c:v>
                </c:pt>
                <c:pt idx="457">
                  <c:v>35.71</c:v>
                </c:pt>
                <c:pt idx="458">
                  <c:v>48.36</c:v>
                </c:pt>
                <c:pt idx="459">
                  <c:v>49.23</c:v>
                </c:pt>
                <c:pt idx="460">
                  <c:v>46.55</c:v>
                </c:pt>
                <c:pt idx="461">
                  <c:v>49.09</c:v>
                </c:pt>
                <c:pt idx="462">
                  <c:v>49.42</c:v>
                </c:pt>
                <c:pt idx="463">
                  <c:v>59.08</c:v>
                </c:pt>
                <c:pt idx="464">
                  <c:v>57.73</c:v>
                </c:pt>
                <c:pt idx="465">
                  <c:v>55.92</c:v>
                </c:pt>
                <c:pt idx="466">
                  <c:v>58.01</c:v>
                </c:pt>
                <c:pt idx="467">
                  <c:v>68.14</c:v>
                </c:pt>
                <c:pt idx="468">
                  <c:v>65.58</c:v>
                </c:pt>
                <c:pt idx="469">
                  <c:v>64.27</c:v>
                </c:pt>
                <c:pt idx="470">
                  <c:v>71.680000000000007</c:v>
                </c:pt>
                <c:pt idx="472">
                  <c:v>63.4</c:v>
                </c:pt>
                <c:pt idx="473">
                  <c:v>63.22</c:v>
                </c:pt>
                <c:pt idx="474">
                  <c:v>58.44</c:v>
                </c:pt>
                <c:pt idx="475">
                  <c:v>61.99</c:v>
                </c:pt>
                <c:pt idx="476">
                  <c:v>70.739999999999995</c:v>
                </c:pt>
                <c:pt idx="477">
                  <c:v>68.150000000000006</c:v>
                </c:pt>
                <c:pt idx="478">
                  <c:v>68.099999999999994</c:v>
                </c:pt>
                <c:pt idx="479">
                  <c:v>62.54</c:v>
                </c:pt>
                <c:pt idx="480">
                  <c:v>62.16</c:v>
                </c:pt>
                <c:pt idx="481">
                  <c:v>58.52</c:v>
                </c:pt>
                <c:pt idx="483">
                  <c:v>55.94</c:v>
                </c:pt>
                <c:pt idx="484">
                  <c:v>60.81</c:v>
                </c:pt>
                <c:pt idx="485">
                  <c:v>58.1</c:v>
                </c:pt>
                <c:pt idx="486">
                  <c:v>56.2</c:v>
                </c:pt>
                <c:pt idx="487">
                  <c:v>63.42</c:v>
                </c:pt>
                <c:pt idx="488">
                  <c:v>65.34</c:v>
                </c:pt>
                <c:pt idx="489">
                  <c:v>64.45</c:v>
                </c:pt>
                <c:pt idx="490">
                  <c:v>63.3</c:v>
                </c:pt>
                <c:pt idx="491">
                  <c:v>69.010000000000005</c:v>
                </c:pt>
                <c:pt idx="492">
                  <c:v>68.78</c:v>
                </c:pt>
                <c:pt idx="493">
                  <c:v>63.8</c:v>
                </c:pt>
                <c:pt idx="494">
                  <c:v>62.03</c:v>
                </c:pt>
                <c:pt idx="495">
                  <c:v>60.17</c:v>
                </c:pt>
                <c:pt idx="496">
                  <c:v>54.67</c:v>
                </c:pt>
                <c:pt idx="497">
                  <c:v>56.91</c:v>
                </c:pt>
                <c:pt idx="498">
                  <c:v>60.67</c:v>
                </c:pt>
                <c:pt idx="500">
                  <c:v>59.89</c:v>
                </c:pt>
                <c:pt idx="501">
                  <c:v>53.43</c:v>
                </c:pt>
                <c:pt idx="502">
                  <c:v>61.69</c:v>
                </c:pt>
                <c:pt idx="503">
                  <c:v>61.09</c:v>
                </c:pt>
                <c:pt idx="504">
                  <c:v>62.07</c:v>
                </c:pt>
                <c:pt idx="505">
                  <c:v>60.8</c:v>
                </c:pt>
                <c:pt idx="506">
                  <c:v>60.07</c:v>
                </c:pt>
                <c:pt idx="507">
                  <c:v>60.52</c:v>
                </c:pt>
                <c:pt idx="508">
                  <c:v>58</c:v>
                </c:pt>
                <c:pt idx="509">
                  <c:v>56.15</c:v>
                </c:pt>
                <c:pt idx="510">
                  <c:v>57.09</c:v>
                </c:pt>
                <c:pt idx="511">
                  <c:v>56.55</c:v>
                </c:pt>
                <c:pt idx="512">
                  <c:v>54.73</c:v>
                </c:pt>
                <c:pt idx="513">
                  <c:v>55.41</c:v>
                </c:pt>
                <c:pt idx="514">
                  <c:v>55.05</c:v>
                </c:pt>
                <c:pt idx="515">
                  <c:v>50.55</c:v>
                </c:pt>
                <c:pt idx="516">
                  <c:v>46.73</c:v>
                </c:pt>
                <c:pt idx="517">
                  <c:v>42.88</c:v>
                </c:pt>
                <c:pt idx="518">
                  <c:v>39.159999999999997</c:v>
                </c:pt>
                <c:pt idx="519">
                  <c:v>44.05</c:v>
                </c:pt>
                <c:pt idx="520">
                  <c:v>47.96</c:v>
                </c:pt>
                <c:pt idx="521">
                  <c:v>35.69</c:v>
                </c:pt>
                <c:pt idx="522">
                  <c:v>50.5</c:v>
                </c:pt>
                <c:pt idx="523">
                  <c:v>50.17</c:v>
                </c:pt>
                <c:pt idx="524">
                  <c:v>41.28</c:v>
                </c:pt>
                <c:pt idx="525">
                  <c:v>40.39</c:v>
                </c:pt>
                <c:pt idx="526">
                  <c:v>45.56</c:v>
                </c:pt>
                <c:pt idx="527">
                  <c:v>42.53</c:v>
                </c:pt>
                <c:pt idx="528">
                  <c:v>42.93</c:v>
                </c:pt>
                <c:pt idx="529">
                  <c:v>44.42</c:v>
                </c:pt>
                <c:pt idx="530">
                  <c:v>50.64</c:v>
                </c:pt>
                <c:pt idx="531">
                  <c:v>61.15</c:v>
                </c:pt>
                <c:pt idx="532">
                  <c:v>56.73</c:v>
                </c:pt>
                <c:pt idx="533">
                  <c:v>62.7</c:v>
                </c:pt>
                <c:pt idx="534">
                  <c:v>62.19</c:v>
                </c:pt>
                <c:pt idx="535">
                  <c:v>62.14</c:v>
                </c:pt>
                <c:pt idx="536">
                  <c:v>57.5</c:v>
                </c:pt>
                <c:pt idx="537">
                  <c:v>67.930000000000007</c:v>
                </c:pt>
                <c:pt idx="538">
                  <c:v>64.45</c:v>
                </c:pt>
                <c:pt idx="539">
                  <c:v>65.78</c:v>
                </c:pt>
                <c:pt idx="541">
                  <c:v>62.29</c:v>
                </c:pt>
                <c:pt idx="542">
                  <c:v>63.53</c:v>
                </c:pt>
                <c:pt idx="543">
                  <c:v>61.21</c:v>
                </c:pt>
                <c:pt idx="544">
                  <c:v>62.71</c:v>
                </c:pt>
                <c:pt idx="545">
                  <c:v>65.150000000000006</c:v>
                </c:pt>
                <c:pt idx="546">
                  <c:v>64.37</c:v>
                </c:pt>
                <c:pt idx="547">
                  <c:v>64.239999999999995</c:v>
                </c:pt>
                <c:pt idx="548">
                  <c:v>59.89</c:v>
                </c:pt>
                <c:pt idx="549">
                  <c:v>60.11</c:v>
                </c:pt>
                <c:pt idx="550">
                  <c:v>52.73</c:v>
                </c:pt>
                <c:pt idx="551">
                  <c:v>58.42</c:v>
                </c:pt>
                <c:pt idx="552">
                  <c:v>59.85</c:v>
                </c:pt>
                <c:pt idx="553">
                  <c:v>59.16</c:v>
                </c:pt>
                <c:pt idx="554">
                  <c:v>55.68</c:v>
                </c:pt>
                <c:pt idx="555">
                  <c:v>56.64</c:v>
                </c:pt>
                <c:pt idx="556">
                  <c:v>57.38</c:v>
                </c:pt>
                <c:pt idx="557">
                  <c:v>51.12</c:v>
                </c:pt>
                <c:pt idx="558">
                  <c:v>50.54</c:v>
                </c:pt>
                <c:pt idx="559">
                  <c:v>54.03</c:v>
                </c:pt>
                <c:pt idx="560">
                  <c:v>60.36</c:v>
                </c:pt>
                <c:pt idx="561">
                  <c:v>57.45</c:v>
                </c:pt>
                <c:pt idx="562">
                  <c:v>54.13</c:v>
                </c:pt>
                <c:pt idx="563">
                  <c:v>57.33</c:v>
                </c:pt>
                <c:pt idx="564">
                  <c:v>54.36</c:v>
                </c:pt>
                <c:pt idx="565">
                  <c:v>61.59</c:v>
                </c:pt>
                <c:pt idx="566">
                  <c:v>62.93</c:v>
                </c:pt>
                <c:pt idx="567">
                  <c:v>57.91</c:v>
                </c:pt>
                <c:pt idx="568">
                  <c:v>58.47</c:v>
                </c:pt>
                <c:pt idx="570">
                  <c:v>59.18</c:v>
                </c:pt>
                <c:pt idx="571">
                  <c:v>67.040000000000006</c:v>
                </c:pt>
                <c:pt idx="572">
                  <c:v>64.78</c:v>
                </c:pt>
                <c:pt idx="573">
                  <c:v>59.87</c:v>
                </c:pt>
                <c:pt idx="574">
                  <c:v>67.73</c:v>
                </c:pt>
                <c:pt idx="575">
                  <c:v>66.83</c:v>
                </c:pt>
                <c:pt idx="576">
                  <c:v>66.510000000000005</c:v>
                </c:pt>
                <c:pt idx="577">
                  <c:v>65.510000000000005</c:v>
                </c:pt>
                <c:pt idx="578">
                  <c:v>64.17</c:v>
                </c:pt>
                <c:pt idx="579">
                  <c:v>65.59</c:v>
                </c:pt>
                <c:pt idx="580">
                  <c:v>72.510000000000005</c:v>
                </c:pt>
                <c:pt idx="581">
                  <c:v>62.37</c:v>
                </c:pt>
                <c:pt idx="582">
                  <c:v>58.79</c:v>
                </c:pt>
                <c:pt idx="583">
                  <c:v>75.099999999999994</c:v>
                </c:pt>
                <c:pt idx="584">
                  <c:v>80.84</c:v>
                </c:pt>
                <c:pt idx="585">
                  <c:v>79.02</c:v>
                </c:pt>
                <c:pt idx="586">
                  <c:v>78.27</c:v>
                </c:pt>
                <c:pt idx="587">
                  <c:v>74.06</c:v>
                </c:pt>
                <c:pt idx="588">
                  <c:v>72.150000000000006</c:v>
                </c:pt>
                <c:pt idx="589">
                  <c:v>68.81</c:v>
                </c:pt>
                <c:pt idx="590">
                  <c:v>68.09</c:v>
                </c:pt>
                <c:pt idx="591">
                  <c:v>62.75</c:v>
                </c:pt>
                <c:pt idx="592">
                  <c:v>56.78</c:v>
                </c:pt>
                <c:pt idx="593">
                  <c:v>61.4</c:v>
                </c:pt>
                <c:pt idx="595">
                  <c:v>66.06</c:v>
                </c:pt>
                <c:pt idx="596">
                  <c:v>63.88</c:v>
                </c:pt>
                <c:pt idx="597">
                  <c:v>66.53</c:v>
                </c:pt>
                <c:pt idx="598">
                  <c:v>62.43</c:v>
                </c:pt>
                <c:pt idx="599">
                  <c:v>64.040000000000006</c:v>
                </c:pt>
                <c:pt idx="600">
                  <c:v>56.24</c:v>
                </c:pt>
                <c:pt idx="601">
                  <c:v>53.74</c:v>
                </c:pt>
                <c:pt idx="602">
                  <c:v>56.12</c:v>
                </c:pt>
                <c:pt idx="603">
                  <c:v>58.84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09-45AA-A0C3-1DEA71678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날짜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RSI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0</xdr:row>
      <xdr:rowOff>0</xdr:rowOff>
    </xdr:from>
    <xdr:ext cx="504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04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20</xdr:row>
      <xdr:rowOff>0</xdr:rowOff>
    </xdr:from>
    <xdr:ext cx="504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5040000" cy="39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40</xdr:row>
      <xdr:rowOff>0</xdr:rowOff>
    </xdr:from>
    <xdr:ext cx="5040000" cy="39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39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60</xdr:row>
      <xdr:rowOff>0</xdr:rowOff>
    </xdr:from>
    <xdr:ext cx="5040000" cy="39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80</xdr:row>
      <xdr:rowOff>0</xdr:rowOff>
    </xdr:from>
    <xdr:ext cx="5040000" cy="39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80</xdr:row>
      <xdr:rowOff>0</xdr:rowOff>
    </xdr:from>
    <xdr:ext cx="5040000" cy="396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100</xdr:row>
      <xdr:rowOff>0</xdr:rowOff>
    </xdr:from>
    <xdr:ext cx="5040000" cy="396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100</xdr:row>
      <xdr:rowOff>0</xdr:rowOff>
    </xdr:from>
    <xdr:ext cx="5040000" cy="396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396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14</xdr:col>
      <xdr:colOff>0</xdr:colOff>
      <xdr:row>120</xdr:row>
      <xdr:rowOff>0</xdr:rowOff>
    </xdr:from>
    <xdr:ext cx="5040000" cy="396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0</xdr:col>
      <xdr:colOff>0</xdr:colOff>
      <xdr:row>140</xdr:row>
      <xdr:rowOff>0</xdr:rowOff>
    </xdr:from>
    <xdr:ext cx="5040000" cy="396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14</xdr:col>
      <xdr:colOff>0</xdr:colOff>
      <xdr:row>140</xdr:row>
      <xdr:rowOff>0</xdr:rowOff>
    </xdr:from>
    <xdr:ext cx="5040000" cy="396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0</xdr:col>
      <xdr:colOff>0</xdr:colOff>
      <xdr:row>160</xdr:row>
      <xdr:rowOff>0</xdr:rowOff>
    </xdr:from>
    <xdr:ext cx="5040000" cy="396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14</xdr:col>
      <xdr:colOff>0</xdr:colOff>
      <xdr:row>160</xdr:row>
      <xdr:rowOff>0</xdr:rowOff>
    </xdr:from>
    <xdr:ext cx="5040000" cy="396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396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14</xdr:col>
      <xdr:colOff>0</xdr:colOff>
      <xdr:row>180</xdr:row>
      <xdr:rowOff>0</xdr:rowOff>
    </xdr:from>
    <xdr:ext cx="5040000" cy="396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0</xdr:col>
      <xdr:colOff>0</xdr:colOff>
      <xdr:row>200</xdr:row>
      <xdr:rowOff>0</xdr:rowOff>
    </xdr:from>
    <xdr:ext cx="5040000" cy="396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14</xdr:col>
      <xdr:colOff>0</xdr:colOff>
      <xdr:row>200</xdr:row>
      <xdr:rowOff>0</xdr:rowOff>
    </xdr:from>
    <xdr:ext cx="5040000" cy="396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0</xdr:col>
      <xdr:colOff>0</xdr:colOff>
      <xdr:row>220</xdr:row>
      <xdr:rowOff>0</xdr:rowOff>
    </xdr:from>
    <xdr:ext cx="5040000" cy="3960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14</xdr:col>
      <xdr:colOff>0</xdr:colOff>
      <xdr:row>220</xdr:row>
      <xdr:rowOff>0</xdr:rowOff>
    </xdr:from>
    <xdr:ext cx="5040000" cy="396000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m.stock.naver.com/research/company/90069" TargetMode="External"/><Relationship Id="rId4233" Type="http://schemas.openxmlformats.org/officeDocument/2006/relationships/hyperlink" Target="https://m.stock.naver.com/research/company/89009" TargetMode="External"/><Relationship Id="rId8854" Type="http://schemas.openxmlformats.org/officeDocument/2006/relationships/hyperlink" Target="https://m.stock.naver.com/research/company/84383" TargetMode="External"/><Relationship Id="rId9905" Type="http://schemas.openxmlformats.org/officeDocument/2006/relationships/hyperlink" Target="https://m.stock.naver.com/research/company/83317" TargetMode="External"/><Relationship Id="rId7456" Type="http://schemas.openxmlformats.org/officeDocument/2006/relationships/hyperlink" Target="https://m.stock.naver.com/research/company/85783" TargetMode="External"/><Relationship Id="rId8507" Type="http://schemas.openxmlformats.org/officeDocument/2006/relationships/hyperlink" Target="https://m.stock.naver.com/research/company/84730" TargetMode="External"/><Relationship Id="rId10784" Type="http://schemas.openxmlformats.org/officeDocument/2006/relationships/hyperlink" Target="https://m.stock.naver.com/research/company/82436" TargetMode="External"/><Relationship Id="rId11835" Type="http://schemas.openxmlformats.org/officeDocument/2006/relationships/hyperlink" Target="https://m.stock.naver.com/research/company/81377" TargetMode="External"/><Relationship Id="rId6058" Type="http://schemas.openxmlformats.org/officeDocument/2006/relationships/hyperlink" Target="https://m.stock.naver.com/research/company/87182" TargetMode="External"/><Relationship Id="rId7109" Type="http://schemas.openxmlformats.org/officeDocument/2006/relationships/hyperlink" Target="https://m.stock.naver.com/research/company/86130" TargetMode="External"/><Relationship Id="rId10437" Type="http://schemas.openxmlformats.org/officeDocument/2006/relationships/hyperlink" Target="https://m.stock.naver.com/research/company/82784" TargetMode="External"/><Relationship Id="rId987" Type="http://schemas.openxmlformats.org/officeDocument/2006/relationships/hyperlink" Target="https://m.stock.naver.com/research/company/92469" TargetMode="External"/><Relationship Id="rId2668" Type="http://schemas.openxmlformats.org/officeDocument/2006/relationships/hyperlink" Target="https://m.stock.naver.com/research/company/90586" TargetMode="External"/><Relationship Id="rId3719" Type="http://schemas.openxmlformats.org/officeDocument/2006/relationships/hyperlink" Target="https://m.stock.naver.com/research/company/89532" TargetMode="External"/><Relationship Id="rId4090" Type="http://schemas.openxmlformats.org/officeDocument/2006/relationships/hyperlink" Target="https://m.stock.naver.com/research/company/89161" TargetMode="External"/><Relationship Id="rId15082" Type="http://schemas.openxmlformats.org/officeDocument/2006/relationships/hyperlink" Target="https://m.stock.naver.com/research/company/95012" TargetMode="External"/><Relationship Id="rId5141" Type="http://schemas.openxmlformats.org/officeDocument/2006/relationships/hyperlink" Target="https://m.stock.naver.com/research/company/88099" TargetMode="External"/><Relationship Id="rId9762" Type="http://schemas.openxmlformats.org/officeDocument/2006/relationships/hyperlink" Target="https://m.stock.naver.com/research/company/83461" TargetMode="External"/><Relationship Id="rId11692" Type="http://schemas.openxmlformats.org/officeDocument/2006/relationships/hyperlink" Target="https://m.stock.naver.com/research/company/81520" TargetMode="External"/><Relationship Id="rId12743" Type="http://schemas.openxmlformats.org/officeDocument/2006/relationships/hyperlink" Target="https://m.stock.naver.com/research/company/80465" TargetMode="External"/><Relationship Id="rId1751" Type="http://schemas.openxmlformats.org/officeDocument/2006/relationships/hyperlink" Target="https://m.stock.naver.com/research/company/91504" TargetMode="External"/><Relationship Id="rId2802" Type="http://schemas.openxmlformats.org/officeDocument/2006/relationships/hyperlink" Target="https://m.stock.naver.com/research/company/90452" TargetMode="External"/><Relationship Id="rId8364" Type="http://schemas.openxmlformats.org/officeDocument/2006/relationships/hyperlink" Target="https://m.stock.naver.com/research/company/84874" TargetMode="External"/><Relationship Id="rId9415" Type="http://schemas.openxmlformats.org/officeDocument/2006/relationships/hyperlink" Target="https://m.stock.naver.com/research/company/83812" TargetMode="External"/><Relationship Id="rId10294" Type="http://schemas.openxmlformats.org/officeDocument/2006/relationships/hyperlink" Target="https://m.stock.naver.com/research/company/82927" TargetMode="External"/><Relationship Id="rId11345" Type="http://schemas.openxmlformats.org/officeDocument/2006/relationships/hyperlink" Target="https://m.stock.naver.com/research/company/81871" TargetMode="External"/><Relationship Id="rId1404" Type="http://schemas.openxmlformats.org/officeDocument/2006/relationships/hyperlink" Target="https://m.stock.naver.com/research/company/91851" TargetMode="External"/><Relationship Id="rId8017" Type="http://schemas.openxmlformats.org/officeDocument/2006/relationships/hyperlink" Target="https://m.stock.naver.com/research/company/85221" TargetMode="External"/><Relationship Id="rId3576" Type="http://schemas.openxmlformats.org/officeDocument/2006/relationships/hyperlink" Target="https://m.stock.naver.com/research/company/89675" TargetMode="External"/><Relationship Id="rId4627" Type="http://schemas.openxmlformats.org/officeDocument/2006/relationships/hyperlink" Target="https://m.stock.naver.com/research/company/88613" TargetMode="External"/><Relationship Id="rId4974" Type="http://schemas.openxmlformats.org/officeDocument/2006/relationships/hyperlink" Target="https://m.stock.naver.com/research/company/88266" TargetMode="External"/><Relationship Id="rId14568" Type="http://schemas.openxmlformats.org/officeDocument/2006/relationships/hyperlink" Target="https://m.stock.naver.com/research/company/94342" TargetMode="External"/><Relationship Id="rId15619" Type="http://schemas.openxmlformats.org/officeDocument/2006/relationships/hyperlink" Target="https://m.stock.naver.com/research/company/95417" TargetMode="External"/><Relationship Id="rId497" Type="http://schemas.openxmlformats.org/officeDocument/2006/relationships/hyperlink" Target="https://m.stock.naver.com/research/company/92960" TargetMode="External"/><Relationship Id="rId2178" Type="http://schemas.openxmlformats.org/officeDocument/2006/relationships/hyperlink" Target="https://m.stock.naver.com/research/company/91077" TargetMode="External"/><Relationship Id="rId3229" Type="http://schemas.openxmlformats.org/officeDocument/2006/relationships/hyperlink" Target="https://m.stock.naver.com/research/company/90022" TargetMode="External"/><Relationship Id="rId7100" Type="http://schemas.openxmlformats.org/officeDocument/2006/relationships/hyperlink" Target="https://m.stock.naver.com/research/company/86139" TargetMode="External"/><Relationship Id="rId6799" Type="http://schemas.openxmlformats.org/officeDocument/2006/relationships/hyperlink" Target="https://m.stock.naver.com/research/company/86441" TargetMode="External"/><Relationship Id="rId13651" Type="http://schemas.openxmlformats.org/officeDocument/2006/relationships/hyperlink" Target="https://m.stock.naver.com/research/company/79553" TargetMode="External"/><Relationship Id="rId14702" Type="http://schemas.openxmlformats.org/officeDocument/2006/relationships/hyperlink" Target="https://m.stock.naver.com/research/company/94698" TargetMode="External"/><Relationship Id="rId3710" Type="http://schemas.openxmlformats.org/officeDocument/2006/relationships/hyperlink" Target="https://m.stock.naver.com/research/company/89541" TargetMode="External"/><Relationship Id="rId9272" Type="http://schemas.openxmlformats.org/officeDocument/2006/relationships/hyperlink" Target="https://m.stock.naver.com/research/company/83956" TargetMode="External"/><Relationship Id="rId12253" Type="http://schemas.openxmlformats.org/officeDocument/2006/relationships/hyperlink" Target="https://m.stock.naver.com/research/company/80956" TargetMode="External"/><Relationship Id="rId13304" Type="http://schemas.openxmlformats.org/officeDocument/2006/relationships/hyperlink" Target="https://m.stock.naver.com/research/company/79901" TargetMode="External"/><Relationship Id="rId631" Type="http://schemas.openxmlformats.org/officeDocument/2006/relationships/hyperlink" Target="https://m.stock.naver.com/research/company/92825" TargetMode="External"/><Relationship Id="rId1261" Type="http://schemas.openxmlformats.org/officeDocument/2006/relationships/hyperlink" Target="https://m.stock.naver.com/research/company/91994" TargetMode="External"/><Relationship Id="rId2312" Type="http://schemas.openxmlformats.org/officeDocument/2006/relationships/hyperlink" Target="https://m.stock.naver.com/research/company/90943" TargetMode="External"/><Relationship Id="rId5882" Type="http://schemas.openxmlformats.org/officeDocument/2006/relationships/hyperlink" Target="https://m.stock.naver.com/research/company/87358" TargetMode="External"/><Relationship Id="rId6933" Type="http://schemas.openxmlformats.org/officeDocument/2006/relationships/hyperlink" Target="https://m.stock.naver.com/research/company/86306" TargetMode="External"/><Relationship Id="rId15476" Type="http://schemas.openxmlformats.org/officeDocument/2006/relationships/hyperlink" Target="https://m.stock.naver.com/research/company/95311" TargetMode="External"/><Relationship Id="rId4484" Type="http://schemas.openxmlformats.org/officeDocument/2006/relationships/hyperlink" Target="https://m.stock.naver.com/research/company/88756" TargetMode="External"/><Relationship Id="rId5535" Type="http://schemas.openxmlformats.org/officeDocument/2006/relationships/hyperlink" Target="https://m.stock.naver.com/research/company/87705" TargetMode="External"/><Relationship Id="rId14078" Type="http://schemas.openxmlformats.org/officeDocument/2006/relationships/hyperlink" Target="https://m.stock.naver.com/research/company/93924" TargetMode="External"/><Relationship Id="rId15129" Type="http://schemas.openxmlformats.org/officeDocument/2006/relationships/hyperlink" Target="https://m.stock.naver.com/research/company/94965" TargetMode="External"/><Relationship Id="rId3086" Type="http://schemas.openxmlformats.org/officeDocument/2006/relationships/hyperlink" Target="https://m.stock.naver.com/research/company/90165" TargetMode="External"/><Relationship Id="rId4137" Type="http://schemas.openxmlformats.org/officeDocument/2006/relationships/hyperlink" Target="https://m.stock.naver.com/research/company/89114" TargetMode="External"/><Relationship Id="rId8758" Type="http://schemas.openxmlformats.org/officeDocument/2006/relationships/hyperlink" Target="https://m.stock.naver.com/research/company/84479" TargetMode="External"/><Relationship Id="rId9809" Type="http://schemas.openxmlformats.org/officeDocument/2006/relationships/hyperlink" Target="https://m.stock.naver.com/research/company/83413" TargetMode="External"/><Relationship Id="rId10688" Type="http://schemas.openxmlformats.org/officeDocument/2006/relationships/hyperlink" Target="https://m.stock.naver.com/research/company/82532" TargetMode="External"/><Relationship Id="rId11739" Type="http://schemas.openxmlformats.org/officeDocument/2006/relationships/hyperlink" Target="https://m.stock.naver.com/research/company/81473" TargetMode="External"/><Relationship Id="rId15610" Type="http://schemas.openxmlformats.org/officeDocument/2006/relationships/hyperlink" Target="https://m.stock.naver.com/research/company/95426" TargetMode="External"/><Relationship Id="rId13161" Type="http://schemas.openxmlformats.org/officeDocument/2006/relationships/hyperlink" Target="https://m.stock.naver.com/research/company/80046" TargetMode="External"/><Relationship Id="rId14212" Type="http://schemas.openxmlformats.org/officeDocument/2006/relationships/hyperlink" Target="https://m.stock.naver.com/research/company/94046" TargetMode="External"/><Relationship Id="rId141" Type="http://schemas.openxmlformats.org/officeDocument/2006/relationships/hyperlink" Target="https://m.stock.naver.com/research/company/93317" TargetMode="External"/><Relationship Id="rId3220" Type="http://schemas.openxmlformats.org/officeDocument/2006/relationships/hyperlink" Target="https://m.stock.naver.com/research/company/90031" TargetMode="External"/><Relationship Id="rId6790" Type="http://schemas.openxmlformats.org/officeDocument/2006/relationships/hyperlink" Target="https://m.stock.naver.com/research/company/86450" TargetMode="External"/><Relationship Id="rId7841" Type="http://schemas.openxmlformats.org/officeDocument/2006/relationships/hyperlink" Target="https://m.stock.naver.com/research/company/85397" TargetMode="External"/><Relationship Id="rId10822" Type="http://schemas.openxmlformats.org/officeDocument/2006/relationships/hyperlink" Target="https://m.stock.naver.com/research/company/82398" TargetMode="External"/><Relationship Id="rId7" Type="http://schemas.openxmlformats.org/officeDocument/2006/relationships/hyperlink" Target="https://m.stock.naver.com/research/company/93451" TargetMode="External"/><Relationship Id="rId5392" Type="http://schemas.openxmlformats.org/officeDocument/2006/relationships/hyperlink" Target="https://m.stock.naver.com/research/company/87848" TargetMode="External"/><Relationship Id="rId6443" Type="http://schemas.openxmlformats.org/officeDocument/2006/relationships/hyperlink" Target="https://m.stock.naver.com/research/company/86797" TargetMode="External"/><Relationship Id="rId5045" Type="http://schemas.openxmlformats.org/officeDocument/2006/relationships/hyperlink" Target="https://m.stock.naver.com/research/company/88195" TargetMode="External"/><Relationship Id="rId9666" Type="http://schemas.openxmlformats.org/officeDocument/2006/relationships/hyperlink" Target="https://m.stock.naver.com/research/company/83558" TargetMode="External"/><Relationship Id="rId11596" Type="http://schemas.openxmlformats.org/officeDocument/2006/relationships/hyperlink" Target="https://m.stock.naver.com/research/company/81616" TargetMode="External"/><Relationship Id="rId12994" Type="http://schemas.openxmlformats.org/officeDocument/2006/relationships/hyperlink" Target="https://m.stock.naver.com/research/company/80214" TargetMode="External"/><Relationship Id="rId1655" Type="http://schemas.openxmlformats.org/officeDocument/2006/relationships/hyperlink" Target="https://m.stock.naver.com/research/company/91600" TargetMode="External"/><Relationship Id="rId2706" Type="http://schemas.openxmlformats.org/officeDocument/2006/relationships/hyperlink" Target="https://m.stock.naver.com/research/company/90548" TargetMode="External"/><Relationship Id="rId8268" Type="http://schemas.openxmlformats.org/officeDocument/2006/relationships/hyperlink" Target="https://m.stock.naver.com/research/company/84970" TargetMode="External"/><Relationship Id="rId9319" Type="http://schemas.openxmlformats.org/officeDocument/2006/relationships/hyperlink" Target="https://m.stock.naver.com/research/company/83908" TargetMode="External"/><Relationship Id="rId10198" Type="http://schemas.openxmlformats.org/officeDocument/2006/relationships/hyperlink" Target="https://m.stock.naver.com/research/company/83023" TargetMode="External"/><Relationship Id="rId11249" Type="http://schemas.openxmlformats.org/officeDocument/2006/relationships/hyperlink" Target="https://m.stock.naver.com/research/company/81970" TargetMode="External"/><Relationship Id="rId12647" Type="http://schemas.openxmlformats.org/officeDocument/2006/relationships/hyperlink" Target="https://m.stock.naver.com/research/company/80561" TargetMode="External"/><Relationship Id="rId15120" Type="http://schemas.openxmlformats.org/officeDocument/2006/relationships/hyperlink" Target="https://m.stock.naver.com/research/company/94974" TargetMode="External"/><Relationship Id="rId1308" Type="http://schemas.openxmlformats.org/officeDocument/2006/relationships/hyperlink" Target="https://m.stock.naver.com/research/company/91947" TargetMode="External"/><Relationship Id="rId4878" Type="http://schemas.openxmlformats.org/officeDocument/2006/relationships/hyperlink" Target="https://m.stock.naver.com/research/company/88362" TargetMode="External"/><Relationship Id="rId5929" Type="http://schemas.openxmlformats.org/officeDocument/2006/relationships/hyperlink" Target="https://m.stock.naver.com/research/company/87311" TargetMode="External"/><Relationship Id="rId9800" Type="http://schemas.openxmlformats.org/officeDocument/2006/relationships/hyperlink" Target="https://m.stock.naver.com/research/company/83422" TargetMode="External"/><Relationship Id="rId11730" Type="http://schemas.openxmlformats.org/officeDocument/2006/relationships/hyperlink" Target="https://m.stock.naver.com/research/company/81482" TargetMode="External"/><Relationship Id="rId14" Type="http://schemas.openxmlformats.org/officeDocument/2006/relationships/hyperlink" Target="https://m.stock.naver.com/research/company/93444" TargetMode="External"/><Relationship Id="rId7004" Type="http://schemas.openxmlformats.org/officeDocument/2006/relationships/hyperlink" Target="https://m.stock.naver.com/research/company/86235" TargetMode="External"/><Relationship Id="rId7351" Type="http://schemas.openxmlformats.org/officeDocument/2006/relationships/hyperlink" Target="https://m.stock.naver.com/research/company/85888" TargetMode="External"/><Relationship Id="rId8402" Type="http://schemas.openxmlformats.org/officeDocument/2006/relationships/hyperlink" Target="https://m.stock.naver.com/research/company/84836" TargetMode="External"/><Relationship Id="rId10332" Type="http://schemas.openxmlformats.org/officeDocument/2006/relationships/hyperlink" Target="https://m.stock.naver.com/research/company/82889" TargetMode="External"/><Relationship Id="rId14953" Type="http://schemas.openxmlformats.org/officeDocument/2006/relationships/hyperlink" Target="https://m.stock.naver.com/research/company/94881" TargetMode="External"/><Relationship Id="rId3961" Type="http://schemas.openxmlformats.org/officeDocument/2006/relationships/hyperlink" Target="https://m.stock.naver.com/research/company/89290" TargetMode="External"/><Relationship Id="rId13555" Type="http://schemas.openxmlformats.org/officeDocument/2006/relationships/hyperlink" Target="https://m.stock.naver.com/research/company/79649" TargetMode="External"/><Relationship Id="rId14606" Type="http://schemas.openxmlformats.org/officeDocument/2006/relationships/hyperlink" Target="https://m.stock.naver.com/research/company/94571" TargetMode="External"/><Relationship Id="rId882" Type="http://schemas.openxmlformats.org/officeDocument/2006/relationships/hyperlink" Target="https://m.stock.naver.com/research/company/92574" TargetMode="External"/><Relationship Id="rId2563" Type="http://schemas.openxmlformats.org/officeDocument/2006/relationships/hyperlink" Target="https://m.stock.naver.com/research/company/90691" TargetMode="External"/><Relationship Id="rId3614" Type="http://schemas.openxmlformats.org/officeDocument/2006/relationships/hyperlink" Target="https://m.stock.naver.com/research/company/89637" TargetMode="External"/><Relationship Id="rId9176" Type="http://schemas.openxmlformats.org/officeDocument/2006/relationships/hyperlink" Target="https://m.stock.naver.com/research/company/84054" TargetMode="External"/><Relationship Id="rId12157" Type="http://schemas.openxmlformats.org/officeDocument/2006/relationships/hyperlink" Target="https://m.stock.naver.com/research/company/81054" TargetMode="External"/><Relationship Id="rId13208" Type="http://schemas.openxmlformats.org/officeDocument/2006/relationships/hyperlink" Target="https://m.stock.naver.com/research/company/79999" TargetMode="External"/><Relationship Id="rId535" Type="http://schemas.openxmlformats.org/officeDocument/2006/relationships/hyperlink" Target="https://m.stock.naver.com/research/company/92922" TargetMode="External"/><Relationship Id="rId1165" Type="http://schemas.openxmlformats.org/officeDocument/2006/relationships/hyperlink" Target="https://m.stock.naver.com/research/company/92090" TargetMode="External"/><Relationship Id="rId2216" Type="http://schemas.openxmlformats.org/officeDocument/2006/relationships/hyperlink" Target="https://m.stock.naver.com/research/company/91039" TargetMode="External"/><Relationship Id="rId5786" Type="http://schemas.openxmlformats.org/officeDocument/2006/relationships/hyperlink" Target="https://m.stock.naver.com/research/company/87454" TargetMode="External"/><Relationship Id="rId6837" Type="http://schemas.openxmlformats.org/officeDocument/2006/relationships/hyperlink" Target="https://m.stock.naver.com/research/company/86403" TargetMode="External"/><Relationship Id="rId4388" Type="http://schemas.openxmlformats.org/officeDocument/2006/relationships/hyperlink" Target="https://m.stock.naver.com/research/company/88853" TargetMode="External"/><Relationship Id="rId5439" Type="http://schemas.openxmlformats.org/officeDocument/2006/relationships/hyperlink" Target="https://m.stock.naver.com/research/company/87801" TargetMode="External"/><Relationship Id="rId9310" Type="http://schemas.openxmlformats.org/officeDocument/2006/relationships/hyperlink" Target="https://m.stock.naver.com/research/company/83917" TargetMode="External"/><Relationship Id="rId11240" Type="http://schemas.openxmlformats.org/officeDocument/2006/relationships/hyperlink" Target="https://m.stock.naver.com/research/company/81979" TargetMode="External"/><Relationship Id="rId5920" Type="http://schemas.openxmlformats.org/officeDocument/2006/relationships/hyperlink" Target="https://m.stock.naver.com/research/company/87320" TargetMode="External"/><Relationship Id="rId14463" Type="http://schemas.openxmlformats.org/officeDocument/2006/relationships/hyperlink" Target="https://m.stock.naver.com/research/company/94447" TargetMode="External"/><Relationship Id="rId15514" Type="http://schemas.openxmlformats.org/officeDocument/2006/relationships/hyperlink" Target="https://m.stock.naver.com/research/company/95522" TargetMode="External"/><Relationship Id="rId3471" Type="http://schemas.openxmlformats.org/officeDocument/2006/relationships/hyperlink" Target="https://m.stock.naver.com/research/company/89780" TargetMode="External"/><Relationship Id="rId4522" Type="http://schemas.openxmlformats.org/officeDocument/2006/relationships/hyperlink" Target="https://m.stock.naver.com/research/company/88718" TargetMode="External"/><Relationship Id="rId13065" Type="http://schemas.openxmlformats.org/officeDocument/2006/relationships/hyperlink" Target="https://m.stock.naver.com/research/company/80142" TargetMode="External"/><Relationship Id="rId14116" Type="http://schemas.openxmlformats.org/officeDocument/2006/relationships/hyperlink" Target="https://m.stock.naver.com/research/company/93886" TargetMode="External"/><Relationship Id="rId392" Type="http://schemas.openxmlformats.org/officeDocument/2006/relationships/hyperlink" Target="https://m.stock.naver.com/research/company/93066" TargetMode="External"/><Relationship Id="rId2073" Type="http://schemas.openxmlformats.org/officeDocument/2006/relationships/hyperlink" Target="https://m.stock.naver.com/research/company/91182" TargetMode="External"/><Relationship Id="rId3124" Type="http://schemas.openxmlformats.org/officeDocument/2006/relationships/hyperlink" Target="https://m.stock.naver.com/research/company/90127" TargetMode="External"/><Relationship Id="rId6694" Type="http://schemas.openxmlformats.org/officeDocument/2006/relationships/hyperlink" Target="https://m.stock.naver.com/research/company/86546" TargetMode="External"/><Relationship Id="rId7745" Type="http://schemas.openxmlformats.org/officeDocument/2006/relationships/hyperlink" Target="https://m.stock.naver.com/research/company/85494" TargetMode="External"/><Relationship Id="rId5296" Type="http://schemas.openxmlformats.org/officeDocument/2006/relationships/hyperlink" Target="https://m.stock.naver.com/research/company/87944" TargetMode="External"/><Relationship Id="rId6347" Type="http://schemas.openxmlformats.org/officeDocument/2006/relationships/hyperlink" Target="https://m.stock.naver.com/research/company/86893" TargetMode="External"/><Relationship Id="rId10726" Type="http://schemas.openxmlformats.org/officeDocument/2006/relationships/hyperlink" Target="https://m.stock.naver.com/research/company/82494" TargetMode="External"/><Relationship Id="rId12898" Type="http://schemas.openxmlformats.org/officeDocument/2006/relationships/hyperlink" Target="https://m.stock.naver.com/research/company/80310" TargetMode="External"/><Relationship Id="rId13949" Type="http://schemas.openxmlformats.org/officeDocument/2006/relationships/hyperlink" Target="https://m.stock.naver.com/research/company/93783" TargetMode="External"/><Relationship Id="rId2957" Type="http://schemas.openxmlformats.org/officeDocument/2006/relationships/hyperlink" Target="https://m.stock.naver.com/research/company/90296" TargetMode="External"/><Relationship Id="rId15371" Type="http://schemas.openxmlformats.org/officeDocument/2006/relationships/hyperlink" Target="https://m.stock.naver.com/research/company/95217" TargetMode="External"/><Relationship Id="rId929" Type="http://schemas.openxmlformats.org/officeDocument/2006/relationships/hyperlink" Target="https://m.stock.naver.com/research/company/92527" TargetMode="External"/><Relationship Id="rId1559" Type="http://schemas.openxmlformats.org/officeDocument/2006/relationships/hyperlink" Target="https://m.stock.naver.com/research/company/91696" TargetMode="External"/><Relationship Id="rId4032" Type="http://schemas.openxmlformats.org/officeDocument/2006/relationships/hyperlink" Target="https://m.stock.naver.com/research/company/89219" TargetMode="External"/><Relationship Id="rId5430" Type="http://schemas.openxmlformats.org/officeDocument/2006/relationships/hyperlink" Target="https://m.stock.naver.com/research/company/87810" TargetMode="External"/><Relationship Id="rId11981" Type="http://schemas.openxmlformats.org/officeDocument/2006/relationships/hyperlink" Target="https://m.stock.naver.com/research/company/81230" TargetMode="External"/><Relationship Id="rId15024" Type="http://schemas.openxmlformats.org/officeDocument/2006/relationships/hyperlink" Target="https://m.stock.naver.com/research/company/94810" TargetMode="External"/><Relationship Id="rId8653" Type="http://schemas.openxmlformats.org/officeDocument/2006/relationships/hyperlink" Target="https://m.stock.naver.com/research/company/84584" TargetMode="External"/><Relationship Id="rId9704" Type="http://schemas.openxmlformats.org/officeDocument/2006/relationships/hyperlink" Target="https://m.stock.naver.com/research/company/83519" TargetMode="External"/><Relationship Id="rId10583" Type="http://schemas.openxmlformats.org/officeDocument/2006/relationships/hyperlink" Target="https://m.stock.naver.com/research/company/82637" TargetMode="External"/><Relationship Id="rId11634" Type="http://schemas.openxmlformats.org/officeDocument/2006/relationships/hyperlink" Target="https://m.stock.naver.com/research/company/81578" TargetMode="External"/><Relationship Id="rId7255" Type="http://schemas.openxmlformats.org/officeDocument/2006/relationships/hyperlink" Target="https://m.stock.naver.com/research/company/85984" TargetMode="External"/><Relationship Id="rId8306" Type="http://schemas.openxmlformats.org/officeDocument/2006/relationships/hyperlink" Target="https://m.stock.naver.com/research/company/84932" TargetMode="External"/><Relationship Id="rId10236" Type="http://schemas.openxmlformats.org/officeDocument/2006/relationships/hyperlink" Target="https://m.stock.naver.com/research/company/82985" TargetMode="External"/><Relationship Id="rId3865" Type="http://schemas.openxmlformats.org/officeDocument/2006/relationships/hyperlink" Target="https://m.stock.naver.com/research/company/89386" TargetMode="External"/><Relationship Id="rId4916" Type="http://schemas.openxmlformats.org/officeDocument/2006/relationships/hyperlink" Target="https://m.stock.naver.com/research/company/88324" TargetMode="External"/><Relationship Id="rId13459" Type="http://schemas.openxmlformats.org/officeDocument/2006/relationships/hyperlink" Target="https://m.stock.naver.com/research/company/79745" TargetMode="External"/><Relationship Id="rId14857" Type="http://schemas.openxmlformats.org/officeDocument/2006/relationships/hyperlink" Target="https://m.stock.naver.com/research/company/94767" TargetMode="External"/><Relationship Id="rId786" Type="http://schemas.openxmlformats.org/officeDocument/2006/relationships/hyperlink" Target="https://m.stock.naver.com/research/company/92670" TargetMode="External"/><Relationship Id="rId2467" Type="http://schemas.openxmlformats.org/officeDocument/2006/relationships/hyperlink" Target="https://m.stock.naver.com/research/company/90787" TargetMode="External"/><Relationship Id="rId3518" Type="http://schemas.openxmlformats.org/officeDocument/2006/relationships/hyperlink" Target="https://m.stock.naver.com/research/company/89733" TargetMode="External"/><Relationship Id="rId439" Type="http://schemas.openxmlformats.org/officeDocument/2006/relationships/hyperlink" Target="https://m.stock.naver.com/research/company/93018" TargetMode="External"/><Relationship Id="rId1069" Type="http://schemas.openxmlformats.org/officeDocument/2006/relationships/hyperlink" Target="https://m.stock.naver.com/research/company/92187" TargetMode="External"/><Relationship Id="rId13940" Type="http://schemas.openxmlformats.org/officeDocument/2006/relationships/hyperlink" Target="https://m.stock.naver.com/research/company/93792" TargetMode="External"/><Relationship Id="rId8163" Type="http://schemas.openxmlformats.org/officeDocument/2006/relationships/hyperlink" Target="https://m.stock.naver.com/research/company/85075" TargetMode="External"/><Relationship Id="rId9214" Type="http://schemas.openxmlformats.org/officeDocument/2006/relationships/hyperlink" Target="https://m.stock.naver.com/research/company/84016" TargetMode="External"/><Relationship Id="rId9561" Type="http://schemas.openxmlformats.org/officeDocument/2006/relationships/hyperlink" Target="https://m.stock.naver.com/research/company/83666" TargetMode="External"/><Relationship Id="rId11491" Type="http://schemas.openxmlformats.org/officeDocument/2006/relationships/hyperlink" Target="https://m.stock.naver.com/research/company/81724" TargetMode="External"/><Relationship Id="rId12542" Type="http://schemas.openxmlformats.org/officeDocument/2006/relationships/hyperlink" Target="https://m.stock.naver.com/research/company/80666" TargetMode="External"/><Relationship Id="rId920" Type="http://schemas.openxmlformats.org/officeDocument/2006/relationships/hyperlink" Target="https://m.stock.naver.com/research/company/92536" TargetMode="External"/><Relationship Id="rId1550" Type="http://schemas.openxmlformats.org/officeDocument/2006/relationships/hyperlink" Target="https://m.stock.naver.com/research/company/91705" TargetMode="External"/><Relationship Id="rId2601" Type="http://schemas.openxmlformats.org/officeDocument/2006/relationships/hyperlink" Target="https://m.stock.naver.com/research/company/90653" TargetMode="External"/><Relationship Id="rId10093" Type="http://schemas.openxmlformats.org/officeDocument/2006/relationships/hyperlink" Target="https://m.stock.naver.com/research/company/83128" TargetMode="External"/><Relationship Id="rId11144" Type="http://schemas.openxmlformats.org/officeDocument/2006/relationships/hyperlink" Target="https://m.stock.naver.com/research/company/82076" TargetMode="External"/><Relationship Id="rId1203" Type="http://schemas.openxmlformats.org/officeDocument/2006/relationships/hyperlink" Target="https://m.stock.naver.com/research/company/92052" TargetMode="External"/><Relationship Id="rId4773" Type="http://schemas.openxmlformats.org/officeDocument/2006/relationships/hyperlink" Target="https://m.stock.naver.com/research/company/88467" TargetMode="External"/><Relationship Id="rId5824" Type="http://schemas.openxmlformats.org/officeDocument/2006/relationships/hyperlink" Target="https://m.stock.naver.com/research/company/87416" TargetMode="External"/><Relationship Id="rId14367" Type="http://schemas.openxmlformats.org/officeDocument/2006/relationships/hyperlink" Target="https://m.stock.naver.com/research/company/94245" TargetMode="External"/><Relationship Id="rId15418" Type="http://schemas.openxmlformats.org/officeDocument/2006/relationships/hyperlink" Target="https://m.stock.naver.com/research/company/95369" TargetMode="External"/><Relationship Id="rId3375" Type="http://schemas.openxmlformats.org/officeDocument/2006/relationships/hyperlink" Target="https://m.stock.naver.com/research/company/89876" TargetMode="External"/><Relationship Id="rId4426" Type="http://schemas.openxmlformats.org/officeDocument/2006/relationships/hyperlink" Target="https://m.stock.naver.com/research/company/88815" TargetMode="External"/><Relationship Id="rId7996" Type="http://schemas.openxmlformats.org/officeDocument/2006/relationships/hyperlink" Target="https://m.stock.naver.com/research/company/85242" TargetMode="External"/><Relationship Id="rId296" Type="http://schemas.openxmlformats.org/officeDocument/2006/relationships/hyperlink" Target="https://m.stock.naver.com/research/company/93162" TargetMode="External"/><Relationship Id="rId3028" Type="http://schemas.openxmlformats.org/officeDocument/2006/relationships/hyperlink" Target="https://m.stock.naver.com/research/company/90223" TargetMode="External"/><Relationship Id="rId6598" Type="http://schemas.openxmlformats.org/officeDocument/2006/relationships/hyperlink" Target="https://m.stock.naver.com/research/company/86642" TargetMode="External"/><Relationship Id="rId7649" Type="http://schemas.openxmlformats.org/officeDocument/2006/relationships/hyperlink" Target="https://m.stock.naver.com/research/company/85590" TargetMode="External"/><Relationship Id="rId10977" Type="http://schemas.openxmlformats.org/officeDocument/2006/relationships/hyperlink" Target="https://m.stock.naver.com/research/company/82243" TargetMode="External"/><Relationship Id="rId9071" Type="http://schemas.openxmlformats.org/officeDocument/2006/relationships/hyperlink" Target="https://m.stock.naver.com/research/company/84160" TargetMode="External"/><Relationship Id="rId12052" Type="http://schemas.openxmlformats.org/officeDocument/2006/relationships/hyperlink" Target="https://m.stock.naver.com/research/company/81159" TargetMode="External"/><Relationship Id="rId13450" Type="http://schemas.openxmlformats.org/officeDocument/2006/relationships/hyperlink" Target="https://m.stock.naver.com/research/company/79754" TargetMode="External"/><Relationship Id="rId14501" Type="http://schemas.openxmlformats.org/officeDocument/2006/relationships/hyperlink" Target="https://m.stock.naver.com/research/company/94409" TargetMode="External"/><Relationship Id="rId430" Type="http://schemas.openxmlformats.org/officeDocument/2006/relationships/hyperlink" Target="https://m.stock.naver.com/research/company/93027" TargetMode="External"/><Relationship Id="rId1060" Type="http://schemas.openxmlformats.org/officeDocument/2006/relationships/hyperlink" Target="https://m.stock.naver.com/research/company/92291" TargetMode="External"/><Relationship Id="rId2111" Type="http://schemas.openxmlformats.org/officeDocument/2006/relationships/hyperlink" Target="https://m.stock.naver.com/research/company/91144" TargetMode="External"/><Relationship Id="rId13103" Type="http://schemas.openxmlformats.org/officeDocument/2006/relationships/hyperlink" Target="https://m.stock.naver.com/research/company/80104" TargetMode="External"/><Relationship Id="rId5681" Type="http://schemas.openxmlformats.org/officeDocument/2006/relationships/hyperlink" Target="https://m.stock.naver.com/research/company/87559" TargetMode="External"/><Relationship Id="rId6732" Type="http://schemas.openxmlformats.org/officeDocument/2006/relationships/hyperlink" Target="https://m.stock.naver.com/research/company/86508" TargetMode="External"/><Relationship Id="rId15275" Type="http://schemas.openxmlformats.org/officeDocument/2006/relationships/hyperlink" Target="https://m.stock.naver.com/research/company/95085" TargetMode="External"/><Relationship Id="rId4283" Type="http://schemas.openxmlformats.org/officeDocument/2006/relationships/hyperlink" Target="https://m.stock.naver.com/research/company/88958" TargetMode="External"/><Relationship Id="rId5334" Type="http://schemas.openxmlformats.org/officeDocument/2006/relationships/hyperlink" Target="https://m.stock.naver.com/research/company/87906" TargetMode="External"/><Relationship Id="rId9955" Type="http://schemas.openxmlformats.org/officeDocument/2006/relationships/hyperlink" Target="https://m.stock.naver.com/research/company/83266" TargetMode="External"/><Relationship Id="rId11885" Type="http://schemas.openxmlformats.org/officeDocument/2006/relationships/hyperlink" Target="https://m.stock.naver.com/research/company/81327" TargetMode="External"/><Relationship Id="rId1944" Type="http://schemas.openxmlformats.org/officeDocument/2006/relationships/hyperlink" Target="https://m.stock.naver.com/research/company/91311" TargetMode="External"/><Relationship Id="rId8557" Type="http://schemas.openxmlformats.org/officeDocument/2006/relationships/hyperlink" Target="https://m.stock.naver.com/research/company/84680" TargetMode="External"/><Relationship Id="rId9608" Type="http://schemas.openxmlformats.org/officeDocument/2006/relationships/hyperlink" Target="https://m.stock.naver.com/research/company/83617" TargetMode="External"/><Relationship Id="rId10487" Type="http://schemas.openxmlformats.org/officeDocument/2006/relationships/hyperlink" Target="https://m.stock.naver.com/research/company/82733" TargetMode="External"/><Relationship Id="rId11538" Type="http://schemas.openxmlformats.org/officeDocument/2006/relationships/hyperlink" Target="https://m.stock.naver.com/research/company/81677" TargetMode="External"/><Relationship Id="rId12936" Type="http://schemas.openxmlformats.org/officeDocument/2006/relationships/hyperlink" Target="https://m.stock.naver.com/research/company/80272" TargetMode="External"/><Relationship Id="rId7159" Type="http://schemas.openxmlformats.org/officeDocument/2006/relationships/hyperlink" Target="https://m.stock.naver.com/research/company/86080" TargetMode="External"/><Relationship Id="rId14011" Type="http://schemas.openxmlformats.org/officeDocument/2006/relationships/hyperlink" Target="https://m.stock.naver.com/research/company/93721" TargetMode="External"/><Relationship Id="rId3769" Type="http://schemas.openxmlformats.org/officeDocument/2006/relationships/hyperlink" Target="https://m.stock.naver.com/research/company/89482" TargetMode="External"/><Relationship Id="rId5191" Type="http://schemas.openxmlformats.org/officeDocument/2006/relationships/hyperlink" Target="https://m.stock.naver.com/research/company/88049" TargetMode="External"/><Relationship Id="rId6242" Type="http://schemas.openxmlformats.org/officeDocument/2006/relationships/hyperlink" Target="https://m.stock.naver.com/research/company/86998" TargetMode="External"/><Relationship Id="rId7640" Type="http://schemas.openxmlformats.org/officeDocument/2006/relationships/hyperlink" Target="https://m.stock.naver.com/research/company/85599" TargetMode="External"/><Relationship Id="rId10621" Type="http://schemas.openxmlformats.org/officeDocument/2006/relationships/hyperlink" Target="https://m.stock.naver.com/research/company/82599" TargetMode="External"/><Relationship Id="rId12793" Type="http://schemas.openxmlformats.org/officeDocument/2006/relationships/hyperlink" Target="https://m.stock.naver.com/research/company/80415" TargetMode="External"/><Relationship Id="rId13844" Type="http://schemas.openxmlformats.org/officeDocument/2006/relationships/hyperlink" Target="https://m.stock.naver.com/research/company/93638" TargetMode="External"/><Relationship Id="rId2852" Type="http://schemas.openxmlformats.org/officeDocument/2006/relationships/hyperlink" Target="https://m.stock.naver.com/research/company/90401" TargetMode="External"/><Relationship Id="rId3903" Type="http://schemas.openxmlformats.org/officeDocument/2006/relationships/hyperlink" Target="https://m.stock.naver.com/research/company/89348" TargetMode="External"/><Relationship Id="rId9465" Type="http://schemas.openxmlformats.org/officeDocument/2006/relationships/hyperlink" Target="https://m.stock.naver.com/research/company/83762" TargetMode="External"/><Relationship Id="rId11395" Type="http://schemas.openxmlformats.org/officeDocument/2006/relationships/hyperlink" Target="https://m.stock.naver.com/research/company/81820" TargetMode="External"/><Relationship Id="rId12446" Type="http://schemas.openxmlformats.org/officeDocument/2006/relationships/hyperlink" Target="https://m.stock.naver.com/research/company/80763" TargetMode="External"/><Relationship Id="rId824" Type="http://schemas.openxmlformats.org/officeDocument/2006/relationships/hyperlink" Target="https://m.stock.naver.com/research/company/92632" TargetMode="External"/><Relationship Id="rId1454" Type="http://schemas.openxmlformats.org/officeDocument/2006/relationships/hyperlink" Target="https://m.stock.naver.com/research/company/91801" TargetMode="External"/><Relationship Id="rId2505" Type="http://schemas.openxmlformats.org/officeDocument/2006/relationships/hyperlink" Target="https://m.stock.naver.com/research/company/90749" TargetMode="External"/><Relationship Id="rId8067" Type="http://schemas.openxmlformats.org/officeDocument/2006/relationships/hyperlink" Target="https://m.stock.naver.com/research/company/85171" TargetMode="External"/><Relationship Id="rId9118" Type="http://schemas.openxmlformats.org/officeDocument/2006/relationships/hyperlink" Target="https://m.stock.naver.com/research/company/84112" TargetMode="External"/><Relationship Id="rId11048" Type="http://schemas.openxmlformats.org/officeDocument/2006/relationships/hyperlink" Target="https://m.stock.naver.com/research/company/82172" TargetMode="External"/><Relationship Id="rId15669" Type="http://schemas.openxmlformats.org/officeDocument/2006/relationships/hyperlink" Target="https://m.stock.naver.com/research/company/95745" TargetMode="External"/><Relationship Id="rId1107" Type="http://schemas.openxmlformats.org/officeDocument/2006/relationships/hyperlink" Target="https://m.stock.naver.com/research/company/92148" TargetMode="External"/><Relationship Id="rId4677" Type="http://schemas.openxmlformats.org/officeDocument/2006/relationships/hyperlink" Target="https://m.stock.naver.com/research/company/88563" TargetMode="External"/><Relationship Id="rId5728" Type="http://schemas.openxmlformats.org/officeDocument/2006/relationships/hyperlink" Target="https://m.stock.naver.com/research/company/87512" TargetMode="External"/><Relationship Id="rId3279" Type="http://schemas.openxmlformats.org/officeDocument/2006/relationships/hyperlink" Target="https://m.stock.naver.com/research/company/89971" TargetMode="External"/><Relationship Id="rId7150" Type="http://schemas.openxmlformats.org/officeDocument/2006/relationships/hyperlink" Target="https://m.stock.naver.com/research/company/86089" TargetMode="External"/><Relationship Id="rId8201" Type="http://schemas.openxmlformats.org/officeDocument/2006/relationships/hyperlink" Target="https://m.stock.naver.com/research/company/85037" TargetMode="External"/><Relationship Id="rId10131" Type="http://schemas.openxmlformats.org/officeDocument/2006/relationships/hyperlink" Target="https://m.stock.naver.com/research/company/83090" TargetMode="External"/><Relationship Id="rId14752" Type="http://schemas.openxmlformats.org/officeDocument/2006/relationships/hyperlink" Target="https://m.stock.naver.com/research/company/94648" TargetMode="External"/><Relationship Id="rId3760" Type="http://schemas.openxmlformats.org/officeDocument/2006/relationships/hyperlink" Target="https://m.stock.naver.com/research/company/89491" TargetMode="External"/><Relationship Id="rId4811" Type="http://schemas.openxmlformats.org/officeDocument/2006/relationships/hyperlink" Target="https://m.stock.naver.com/research/company/88429" TargetMode="External"/><Relationship Id="rId13354" Type="http://schemas.openxmlformats.org/officeDocument/2006/relationships/hyperlink" Target="https://m.stock.naver.com/research/company/79851" TargetMode="External"/><Relationship Id="rId14405" Type="http://schemas.openxmlformats.org/officeDocument/2006/relationships/hyperlink" Target="https://m.stock.naver.com/research/company/94278" TargetMode="External"/><Relationship Id="rId681" Type="http://schemas.openxmlformats.org/officeDocument/2006/relationships/hyperlink" Target="https://m.stock.naver.com/research/company/92775" TargetMode="External"/><Relationship Id="rId2362" Type="http://schemas.openxmlformats.org/officeDocument/2006/relationships/hyperlink" Target="https://m.stock.naver.com/research/company/90892" TargetMode="External"/><Relationship Id="rId3413" Type="http://schemas.openxmlformats.org/officeDocument/2006/relationships/hyperlink" Target="https://m.stock.naver.com/research/company/89838" TargetMode="External"/><Relationship Id="rId6983" Type="http://schemas.openxmlformats.org/officeDocument/2006/relationships/hyperlink" Target="https://m.stock.naver.com/research/company/86256" TargetMode="External"/><Relationship Id="rId13007" Type="http://schemas.openxmlformats.org/officeDocument/2006/relationships/hyperlink" Target="https://m.stock.naver.com/research/company/80201" TargetMode="External"/><Relationship Id="rId334" Type="http://schemas.openxmlformats.org/officeDocument/2006/relationships/hyperlink" Target="https://m.stock.naver.com/research/company/93124" TargetMode="External"/><Relationship Id="rId2015" Type="http://schemas.openxmlformats.org/officeDocument/2006/relationships/hyperlink" Target="https://m.stock.naver.com/research/company/91240" TargetMode="External"/><Relationship Id="rId5585" Type="http://schemas.openxmlformats.org/officeDocument/2006/relationships/hyperlink" Target="https://m.stock.naver.com/research/company/87655" TargetMode="External"/><Relationship Id="rId6636" Type="http://schemas.openxmlformats.org/officeDocument/2006/relationships/hyperlink" Target="https://m.stock.naver.com/research/company/86604" TargetMode="External"/><Relationship Id="rId15179" Type="http://schemas.openxmlformats.org/officeDocument/2006/relationships/hyperlink" Target="https://m.stock.naver.com/research/company/95181" TargetMode="External"/><Relationship Id="rId4187" Type="http://schemas.openxmlformats.org/officeDocument/2006/relationships/hyperlink" Target="https://m.stock.naver.com/research/company/89055" TargetMode="External"/><Relationship Id="rId5238" Type="http://schemas.openxmlformats.org/officeDocument/2006/relationships/hyperlink" Target="https://m.stock.naver.com/research/company/88002" TargetMode="External"/><Relationship Id="rId9859" Type="http://schemas.openxmlformats.org/officeDocument/2006/relationships/hyperlink" Target="https://m.stock.naver.com/research/company/83363" TargetMode="External"/><Relationship Id="rId11789" Type="http://schemas.openxmlformats.org/officeDocument/2006/relationships/hyperlink" Target="https://m.stock.naver.com/research/company/81423" TargetMode="External"/><Relationship Id="rId14262" Type="http://schemas.openxmlformats.org/officeDocument/2006/relationships/hyperlink" Target="https://m.stock.naver.com/research/company/94136" TargetMode="External"/><Relationship Id="rId15660" Type="http://schemas.openxmlformats.org/officeDocument/2006/relationships/hyperlink" Target="https://m.stock.naver.com/research/company/95754" TargetMode="External"/><Relationship Id="rId1848" Type="http://schemas.openxmlformats.org/officeDocument/2006/relationships/hyperlink" Target="https://m.stock.naver.com/research/company/91407" TargetMode="External"/><Relationship Id="rId3270" Type="http://schemas.openxmlformats.org/officeDocument/2006/relationships/hyperlink" Target="https://m.stock.naver.com/research/company/89980" TargetMode="External"/><Relationship Id="rId4321" Type="http://schemas.openxmlformats.org/officeDocument/2006/relationships/hyperlink" Target="https://m.stock.naver.com/research/company/88920" TargetMode="External"/><Relationship Id="rId15313" Type="http://schemas.openxmlformats.org/officeDocument/2006/relationships/hyperlink" Target="https://m.stock.naver.com/research/company/95275" TargetMode="External"/><Relationship Id="rId191" Type="http://schemas.openxmlformats.org/officeDocument/2006/relationships/hyperlink" Target="https://m.stock.naver.com/research/company/93267" TargetMode="External"/><Relationship Id="rId7891" Type="http://schemas.openxmlformats.org/officeDocument/2006/relationships/hyperlink" Target="https://m.stock.naver.com/research/company/85347" TargetMode="External"/><Relationship Id="rId8942" Type="http://schemas.openxmlformats.org/officeDocument/2006/relationships/hyperlink" Target="https://m.stock.naver.com/research/company/84291" TargetMode="External"/><Relationship Id="rId10872" Type="http://schemas.openxmlformats.org/officeDocument/2006/relationships/hyperlink" Target="https://m.stock.naver.com/research/company/82348" TargetMode="External"/><Relationship Id="rId11923" Type="http://schemas.openxmlformats.org/officeDocument/2006/relationships/hyperlink" Target="https://m.stock.naver.com/research/company/81288" TargetMode="External"/><Relationship Id="rId5095" Type="http://schemas.openxmlformats.org/officeDocument/2006/relationships/hyperlink" Target="https://m.stock.naver.com/research/company/88145" TargetMode="External"/><Relationship Id="rId6493" Type="http://schemas.openxmlformats.org/officeDocument/2006/relationships/hyperlink" Target="https://m.stock.naver.com/research/company/86747" TargetMode="External"/><Relationship Id="rId7544" Type="http://schemas.openxmlformats.org/officeDocument/2006/relationships/hyperlink" Target="https://m.stock.naver.com/research/company/85695" TargetMode="External"/><Relationship Id="rId10525" Type="http://schemas.openxmlformats.org/officeDocument/2006/relationships/hyperlink" Target="https://m.stock.naver.com/research/company/82695" TargetMode="External"/><Relationship Id="rId6146" Type="http://schemas.openxmlformats.org/officeDocument/2006/relationships/hyperlink" Target="https://m.stock.naver.com/research/company/87094" TargetMode="External"/><Relationship Id="rId12697" Type="http://schemas.openxmlformats.org/officeDocument/2006/relationships/hyperlink" Target="https://m.stock.naver.com/research/company/80511" TargetMode="External"/><Relationship Id="rId13748" Type="http://schemas.openxmlformats.org/officeDocument/2006/relationships/hyperlink" Target="https://m.stock.naver.com/research/company/93523" TargetMode="External"/><Relationship Id="rId2756" Type="http://schemas.openxmlformats.org/officeDocument/2006/relationships/hyperlink" Target="https://m.stock.naver.com/research/company/90498" TargetMode="External"/><Relationship Id="rId3807" Type="http://schemas.openxmlformats.org/officeDocument/2006/relationships/hyperlink" Target="https://m.stock.naver.com/research/company/89444" TargetMode="External"/><Relationship Id="rId9369" Type="http://schemas.openxmlformats.org/officeDocument/2006/relationships/hyperlink" Target="https://m.stock.naver.com/research/company/83858" TargetMode="External"/><Relationship Id="rId11299" Type="http://schemas.openxmlformats.org/officeDocument/2006/relationships/hyperlink" Target="https://m.stock.naver.com/research/company/81920" TargetMode="External"/><Relationship Id="rId15170" Type="http://schemas.openxmlformats.org/officeDocument/2006/relationships/hyperlink" Target="https://m.stock.naver.com/research/company/95190" TargetMode="External"/><Relationship Id="rId728" Type="http://schemas.openxmlformats.org/officeDocument/2006/relationships/hyperlink" Target="https://m.stock.naver.com/research/company/92728" TargetMode="External"/><Relationship Id="rId1358" Type="http://schemas.openxmlformats.org/officeDocument/2006/relationships/hyperlink" Target="https://m.stock.naver.com/research/company/91897" TargetMode="External"/><Relationship Id="rId2409" Type="http://schemas.openxmlformats.org/officeDocument/2006/relationships/hyperlink" Target="https://m.stock.naver.com/research/company/90845" TargetMode="External"/><Relationship Id="rId5979" Type="http://schemas.openxmlformats.org/officeDocument/2006/relationships/hyperlink" Target="https://m.stock.naver.com/research/company/87261" TargetMode="External"/><Relationship Id="rId64" Type="http://schemas.openxmlformats.org/officeDocument/2006/relationships/hyperlink" Target="https://m.stock.naver.com/research/company/93394" TargetMode="External"/><Relationship Id="rId8452" Type="http://schemas.openxmlformats.org/officeDocument/2006/relationships/hyperlink" Target="https://m.stock.naver.com/research/company/84785" TargetMode="External"/><Relationship Id="rId9503" Type="http://schemas.openxmlformats.org/officeDocument/2006/relationships/hyperlink" Target="https://m.stock.naver.com/research/company/83724" TargetMode="External"/><Relationship Id="rId9850" Type="http://schemas.openxmlformats.org/officeDocument/2006/relationships/hyperlink" Target="https://m.stock.naver.com/research/company/83372" TargetMode="External"/><Relationship Id="rId11780" Type="http://schemas.openxmlformats.org/officeDocument/2006/relationships/hyperlink" Target="https://m.stock.naver.com/research/company/81432" TargetMode="External"/><Relationship Id="rId12831" Type="http://schemas.openxmlformats.org/officeDocument/2006/relationships/hyperlink" Target="https://m.stock.naver.com/research/company/80377" TargetMode="External"/><Relationship Id="rId7054" Type="http://schemas.openxmlformats.org/officeDocument/2006/relationships/hyperlink" Target="https://m.stock.naver.com/research/company/86185" TargetMode="External"/><Relationship Id="rId8105" Type="http://schemas.openxmlformats.org/officeDocument/2006/relationships/hyperlink" Target="https://m.stock.naver.com/research/company/85133" TargetMode="External"/><Relationship Id="rId10382" Type="http://schemas.openxmlformats.org/officeDocument/2006/relationships/hyperlink" Target="https://m.stock.naver.com/research/company/82839" TargetMode="External"/><Relationship Id="rId11433" Type="http://schemas.openxmlformats.org/officeDocument/2006/relationships/hyperlink" Target="https://m.stock.naver.com/research/company/81782" TargetMode="External"/><Relationship Id="rId10035" Type="http://schemas.openxmlformats.org/officeDocument/2006/relationships/hyperlink" Target="https://m.stock.naver.com/research/company/83186" TargetMode="External"/><Relationship Id="rId14656" Type="http://schemas.openxmlformats.org/officeDocument/2006/relationships/hyperlink" Target="https://m.stock.naver.com/research/company/94522" TargetMode="External"/><Relationship Id="rId15707" Type="http://schemas.openxmlformats.org/officeDocument/2006/relationships/hyperlink" Target="https://m.stock.naver.com/research/company/95707" TargetMode="External"/><Relationship Id="rId3664" Type="http://schemas.openxmlformats.org/officeDocument/2006/relationships/hyperlink" Target="https://m.stock.naver.com/research/company/89587" TargetMode="External"/><Relationship Id="rId4715" Type="http://schemas.openxmlformats.org/officeDocument/2006/relationships/hyperlink" Target="https://m.stock.naver.com/research/company/88525" TargetMode="External"/><Relationship Id="rId13258" Type="http://schemas.openxmlformats.org/officeDocument/2006/relationships/hyperlink" Target="https://m.stock.naver.com/research/company/79948" TargetMode="External"/><Relationship Id="rId14309" Type="http://schemas.openxmlformats.org/officeDocument/2006/relationships/hyperlink" Target="https://m.stock.naver.com/research/company/94155" TargetMode="External"/><Relationship Id="rId585" Type="http://schemas.openxmlformats.org/officeDocument/2006/relationships/hyperlink" Target="https://m.stock.naver.com/research/company/92872" TargetMode="External"/><Relationship Id="rId2266" Type="http://schemas.openxmlformats.org/officeDocument/2006/relationships/hyperlink" Target="https://m.stock.naver.com/research/company/90989" TargetMode="External"/><Relationship Id="rId3317" Type="http://schemas.openxmlformats.org/officeDocument/2006/relationships/hyperlink" Target="https://m.stock.naver.com/research/company/89933" TargetMode="External"/><Relationship Id="rId6887" Type="http://schemas.openxmlformats.org/officeDocument/2006/relationships/hyperlink" Target="https://m.stock.naver.com/research/company/86352" TargetMode="External"/><Relationship Id="rId7938" Type="http://schemas.openxmlformats.org/officeDocument/2006/relationships/hyperlink" Target="https://m.stock.naver.com/research/company/85300" TargetMode="External"/><Relationship Id="rId238" Type="http://schemas.openxmlformats.org/officeDocument/2006/relationships/hyperlink" Target="https://m.stock.naver.com/research/company/93220" TargetMode="External"/><Relationship Id="rId5489" Type="http://schemas.openxmlformats.org/officeDocument/2006/relationships/hyperlink" Target="https://m.stock.naver.com/research/company/87751" TargetMode="External"/><Relationship Id="rId9360" Type="http://schemas.openxmlformats.org/officeDocument/2006/relationships/hyperlink" Target="https://m.stock.naver.com/research/company/83867" TargetMode="External"/><Relationship Id="rId10919" Type="http://schemas.openxmlformats.org/officeDocument/2006/relationships/hyperlink" Target="https://m.stock.naver.com/research/company/82301" TargetMode="External"/><Relationship Id="rId11290" Type="http://schemas.openxmlformats.org/officeDocument/2006/relationships/hyperlink" Target="https://m.stock.naver.com/research/company/81929" TargetMode="External"/><Relationship Id="rId12341" Type="http://schemas.openxmlformats.org/officeDocument/2006/relationships/hyperlink" Target="https://m.stock.naver.com/research/company/80868" TargetMode="External"/><Relationship Id="rId2400" Type="http://schemas.openxmlformats.org/officeDocument/2006/relationships/hyperlink" Target="https://m.stock.naver.com/research/company/90854" TargetMode="External"/><Relationship Id="rId9013" Type="http://schemas.openxmlformats.org/officeDocument/2006/relationships/hyperlink" Target="https://m.stock.naver.com/research/company/84219" TargetMode="External"/><Relationship Id="rId1002" Type="http://schemas.openxmlformats.org/officeDocument/2006/relationships/hyperlink" Target="https://m.stock.naver.com/research/company/92454" TargetMode="External"/><Relationship Id="rId5970" Type="http://schemas.openxmlformats.org/officeDocument/2006/relationships/hyperlink" Target="https://m.stock.naver.com/research/company/87270" TargetMode="External"/><Relationship Id="rId15564" Type="http://schemas.openxmlformats.org/officeDocument/2006/relationships/hyperlink" Target="https://m.stock.naver.com/research/company/95472" TargetMode="External"/><Relationship Id="rId3174" Type="http://schemas.openxmlformats.org/officeDocument/2006/relationships/hyperlink" Target="https://m.stock.naver.com/research/company/90077" TargetMode="External"/><Relationship Id="rId4572" Type="http://schemas.openxmlformats.org/officeDocument/2006/relationships/hyperlink" Target="https://m.stock.naver.com/research/company/88668" TargetMode="External"/><Relationship Id="rId5623" Type="http://schemas.openxmlformats.org/officeDocument/2006/relationships/hyperlink" Target="https://m.stock.naver.com/research/company/87617" TargetMode="External"/><Relationship Id="rId14166" Type="http://schemas.openxmlformats.org/officeDocument/2006/relationships/hyperlink" Target="https://m.stock.naver.com/research/company/93962" TargetMode="External"/><Relationship Id="rId15217" Type="http://schemas.openxmlformats.org/officeDocument/2006/relationships/hyperlink" Target="https://m.stock.naver.com/research/company/95143" TargetMode="External"/><Relationship Id="rId4225" Type="http://schemas.openxmlformats.org/officeDocument/2006/relationships/hyperlink" Target="https://m.stock.naver.com/research/company/89017" TargetMode="External"/><Relationship Id="rId7795" Type="http://schemas.openxmlformats.org/officeDocument/2006/relationships/hyperlink" Target="https://m.stock.naver.com/research/company/85443" TargetMode="External"/><Relationship Id="rId8846" Type="http://schemas.openxmlformats.org/officeDocument/2006/relationships/hyperlink" Target="https://m.stock.naver.com/research/company/84391" TargetMode="External"/><Relationship Id="rId10776" Type="http://schemas.openxmlformats.org/officeDocument/2006/relationships/hyperlink" Target="https://m.stock.naver.com/research/company/82444" TargetMode="External"/><Relationship Id="rId11827" Type="http://schemas.openxmlformats.org/officeDocument/2006/relationships/hyperlink" Target="https://m.stock.naver.com/research/company/81385" TargetMode="External"/><Relationship Id="rId6397" Type="http://schemas.openxmlformats.org/officeDocument/2006/relationships/hyperlink" Target="https://m.stock.naver.com/research/company/86843" TargetMode="External"/><Relationship Id="rId7448" Type="http://schemas.openxmlformats.org/officeDocument/2006/relationships/hyperlink" Target="https://m.stock.naver.com/research/company/85791" TargetMode="External"/><Relationship Id="rId10429" Type="http://schemas.openxmlformats.org/officeDocument/2006/relationships/hyperlink" Target="https://m.stock.naver.com/research/company/82792" TargetMode="External"/><Relationship Id="rId14300" Type="http://schemas.openxmlformats.org/officeDocument/2006/relationships/hyperlink" Target="https://m.stock.naver.com/research/company/94164" TargetMode="External"/><Relationship Id="rId13999" Type="http://schemas.openxmlformats.org/officeDocument/2006/relationships/hyperlink" Target="https://m.stock.naver.com/research/company/93733" TargetMode="External"/><Relationship Id="rId979" Type="http://schemas.openxmlformats.org/officeDocument/2006/relationships/hyperlink" Target="https://m.stock.naver.com/research/company/92477" TargetMode="External"/><Relationship Id="rId5480" Type="http://schemas.openxmlformats.org/officeDocument/2006/relationships/hyperlink" Target="https://m.stock.naver.com/research/company/87760" TargetMode="External"/><Relationship Id="rId6531" Type="http://schemas.openxmlformats.org/officeDocument/2006/relationships/hyperlink" Target="https://m.stock.naver.com/research/company/86709" TargetMode="External"/><Relationship Id="rId10910" Type="http://schemas.openxmlformats.org/officeDocument/2006/relationships/hyperlink" Target="https://m.stock.naver.com/research/company/82310" TargetMode="External"/><Relationship Id="rId15074" Type="http://schemas.openxmlformats.org/officeDocument/2006/relationships/hyperlink" Target="https://m.stock.naver.com/research/company/95020" TargetMode="External"/><Relationship Id="rId4082" Type="http://schemas.openxmlformats.org/officeDocument/2006/relationships/hyperlink" Target="https://m.stock.naver.com/research/company/89169" TargetMode="External"/><Relationship Id="rId5133" Type="http://schemas.openxmlformats.org/officeDocument/2006/relationships/hyperlink" Target="https://m.stock.naver.com/research/company/88107" TargetMode="External"/><Relationship Id="rId9754" Type="http://schemas.openxmlformats.org/officeDocument/2006/relationships/hyperlink" Target="https://m.stock.naver.com/research/company/83469" TargetMode="External"/><Relationship Id="rId11684" Type="http://schemas.openxmlformats.org/officeDocument/2006/relationships/hyperlink" Target="https://m.stock.naver.com/research/company/81528" TargetMode="External"/><Relationship Id="rId12735" Type="http://schemas.openxmlformats.org/officeDocument/2006/relationships/hyperlink" Target="https://m.stock.naver.com/research/company/80473" TargetMode="External"/><Relationship Id="rId1743" Type="http://schemas.openxmlformats.org/officeDocument/2006/relationships/hyperlink" Target="https://m.stock.naver.com/research/company/91512" TargetMode="External"/><Relationship Id="rId8009" Type="http://schemas.openxmlformats.org/officeDocument/2006/relationships/hyperlink" Target="https://m.stock.naver.com/research/company/85229" TargetMode="External"/><Relationship Id="rId8356" Type="http://schemas.openxmlformats.org/officeDocument/2006/relationships/hyperlink" Target="https://m.stock.naver.com/research/company/84882" TargetMode="External"/><Relationship Id="rId9407" Type="http://schemas.openxmlformats.org/officeDocument/2006/relationships/hyperlink" Target="https://m.stock.naver.com/research/company/83820" TargetMode="External"/><Relationship Id="rId10286" Type="http://schemas.openxmlformats.org/officeDocument/2006/relationships/hyperlink" Target="https://m.stock.naver.com/research/company/82935" TargetMode="External"/><Relationship Id="rId11337" Type="http://schemas.openxmlformats.org/officeDocument/2006/relationships/hyperlink" Target="https://m.stock.naver.com/research/company/81879" TargetMode="External"/><Relationship Id="rId4966" Type="http://schemas.openxmlformats.org/officeDocument/2006/relationships/hyperlink" Target="https://m.stock.naver.com/research/company/88274" TargetMode="External"/><Relationship Id="rId3568" Type="http://schemas.openxmlformats.org/officeDocument/2006/relationships/hyperlink" Target="https://m.stock.naver.com/research/company/89683" TargetMode="External"/><Relationship Id="rId4619" Type="http://schemas.openxmlformats.org/officeDocument/2006/relationships/hyperlink" Target="https://m.stock.naver.com/research/company/88621" TargetMode="External"/><Relationship Id="rId10420" Type="http://schemas.openxmlformats.org/officeDocument/2006/relationships/hyperlink" Target="https://m.stock.naver.com/research/company/82801" TargetMode="External"/><Relationship Id="rId489" Type="http://schemas.openxmlformats.org/officeDocument/2006/relationships/hyperlink" Target="https://m.stock.naver.com/research/company/92968" TargetMode="External"/><Relationship Id="rId6041" Type="http://schemas.openxmlformats.org/officeDocument/2006/relationships/hyperlink" Target="https://m.stock.naver.com/research/company/87199" TargetMode="External"/><Relationship Id="rId13990" Type="http://schemas.openxmlformats.org/officeDocument/2006/relationships/hyperlink" Target="https://m.stock.naver.com/research/company/93742" TargetMode="External"/><Relationship Id="rId9264" Type="http://schemas.openxmlformats.org/officeDocument/2006/relationships/hyperlink" Target="https://m.stock.naver.com/research/company/83964" TargetMode="External"/><Relationship Id="rId12592" Type="http://schemas.openxmlformats.org/officeDocument/2006/relationships/hyperlink" Target="https://m.stock.naver.com/research/company/80616" TargetMode="External"/><Relationship Id="rId13643" Type="http://schemas.openxmlformats.org/officeDocument/2006/relationships/hyperlink" Target="https://m.stock.naver.com/research/company/79561" TargetMode="External"/><Relationship Id="rId970" Type="http://schemas.openxmlformats.org/officeDocument/2006/relationships/hyperlink" Target="https://m.stock.naver.com/research/company/92486" TargetMode="External"/><Relationship Id="rId1253" Type="http://schemas.openxmlformats.org/officeDocument/2006/relationships/hyperlink" Target="https://m.stock.naver.com/research/company/92002" TargetMode="External"/><Relationship Id="rId2651" Type="http://schemas.openxmlformats.org/officeDocument/2006/relationships/hyperlink" Target="https://m.stock.naver.com/research/company/90603" TargetMode="External"/><Relationship Id="rId3702" Type="http://schemas.openxmlformats.org/officeDocument/2006/relationships/hyperlink" Target="https://m.stock.naver.com/research/company/89549" TargetMode="External"/><Relationship Id="rId11194" Type="http://schemas.openxmlformats.org/officeDocument/2006/relationships/hyperlink" Target="https://m.stock.naver.com/research/company/82026" TargetMode="External"/><Relationship Id="rId12245" Type="http://schemas.openxmlformats.org/officeDocument/2006/relationships/hyperlink" Target="https://m.stock.naver.com/research/company/80964" TargetMode="External"/><Relationship Id="rId623" Type="http://schemas.openxmlformats.org/officeDocument/2006/relationships/hyperlink" Target="https://m.stock.naver.com/research/company/92833" TargetMode="External"/><Relationship Id="rId2304" Type="http://schemas.openxmlformats.org/officeDocument/2006/relationships/hyperlink" Target="https://m.stock.naver.com/research/company/90951" TargetMode="External"/><Relationship Id="rId5874" Type="http://schemas.openxmlformats.org/officeDocument/2006/relationships/hyperlink" Target="https://m.stock.naver.com/research/company/87366" TargetMode="External"/><Relationship Id="rId6925" Type="http://schemas.openxmlformats.org/officeDocument/2006/relationships/hyperlink" Target="https://m.stock.naver.com/research/company/86314" TargetMode="External"/><Relationship Id="rId15468" Type="http://schemas.openxmlformats.org/officeDocument/2006/relationships/hyperlink" Target="https://m.stock.naver.com/research/company/95319" TargetMode="External"/><Relationship Id="rId4476" Type="http://schemas.openxmlformats.org/officeDocument/2006/relationships/hyperlink" Target="https://m.stock.naver.com/research/company/88764" TargetMode="External"/><Relationship Id="rId5527" Type="http://schemas.openxmlformats.org/officeDocument/2006/relationships/hyperlink" Target="https://m.stock.naver.com/research/company/87713" TargetMode="External"/><Relationship Id="rId3078" Type="http://schemas.openxmlformats.org/officeDocument/2006/relationships/hyperlink" Target="https://m.stock.naver.com/research/company/90173" TargetMode="External"/><Relationship Id="rId4129" Type="http://schemas.openxmlformats.org/officeDocument/2006/relationships/hyperlink" Target="https://m.stock.naver.com/research/company/89122" TargetMode="External"/><Relationship Id="rId7699" Type="http://schemas.openxmlformats.org/officeDocument/2006/relationships/hyperlink" Target="https://m.stock.naver.com/research/company/85540" TargetMode="External"/><Relationship Id="rId8000" Type="http://schemas.openxmlformats.org/officeDocument/2006/relationships/hyperlink" Target="https://m.stock.naver.com/research/company/85238" TargetMode="External"/><Relationship Id="rId14551" Type="http://schemas.openxmlformats.org/officeDocument/2006/relationships/hyperlink" Target="https://m.stock.naver.com/research/company/94359" TargetMode="External"/><Relationship Id="rId4610" Type="http://schemas.openxmlformats.org/officeDocument/2006/relationships/hyperlink" Target="https://m.stock.naver.com/research/company/88630" TargetMode="External"/><Relationship Id="rId13153" Type="http://schemas.openxmlformats.org/officeDocument/2006/relationships/hyperlink" Target="https://m.stock.naver.com/research/company/80054" TargetMode="External"/><Relationship Id="rId14204" Type="http://schemas.openxmlformats.org/officeDocument/2006/relationships/hyperlink" Target="https://m.stock.naver.com/research/company/94054" TargetMode="External"/><Relationship Id="rId15602" Type="http://schemas.openxmlformats.org/officeDocument/2006/relationships/hyperlink" Target="https://m.stock.naver.com/research/company/95434" TargetMode="External"/><Relationship Id="rId480" Type="http://schemas.openxmlformats.org/officeDocument/2006/relationships/hyperlink" Target="https://m.stock.naver.com/research/company/92977" TargetMode="External"/><Relationship Id="rId2161" Type="http://schemas.openxmlformats.org/officeDocument/2006/relationships/hyperlink" Target="https://m.stock.naver.com/research/company/91094" TargetMode="External"/><Relationship Id="rId3212" Type="http://schemas.openxmlformats.org/officeDocument/2006/relationships/hyperlink" Target="https://m.stock.naver.com/research/company/90039" TargetMode="External"/><Relationship Id="rId133" Type="http://schemas.openxmlformats.org/officeDocument/2006/relationships/hyperlink" Target="https://m.stock.naver.com/research/company/93325" TargetMode="External"/><Relationship Id="rId5384" Type="http://schemas.openxmlformats.org/officeDocument/2006/relationships/hyperlink" Target="https://m.stock.naver.com/research/company/87856" TargetMode="External"/><Relationship Id="rId6782" Type="http://schemas.openxmlformats.org/officeDocument/2006/relationships/hyperlink" Target="https://m.stock.naver.com/research/company/86458" TargetMode="External"/><Relationship Id="rId7833" Type="http://schemas.openxmlformats.org/officeDocument/2006/relationships/hyperlink" Target="https://m.stock.naver.com/research/company/85405" TargetMode="External"/><Relationship Id="rId10814" Type="http://schemas.openxmlformats.org/officeDocument/2006/relationships/hyperlink" Target="https://m.stock.naver.com/research/company/82406" TargetMode="External"/><Relationship Id="rId5037" Type="http://schemas.openxmlformats.org/officeDocument/2006/relationships/hyperlink" Target="https://m.stock.naver.com/research/company/88203" TargetMode="External"/><Relationship Id="rId6435" Type="http://schemas.openxmlformats.org/officeDocument/2006/relationships/hyperlink" Target="https://m.stock.naver.com/research/company/86805" TargetMode="External"/><Relationship Id="rId12986" Type="http://schemas.openxmlformats.org/officeDocument/2006/relationships/hyperlink" Target="https://m.stock.naver.com/research/company/80222" TargetMode="External"/><Relationship Id="rId1994" Type="http://schemas.openxmlformats.org/officeDocument/2006/relationships/hyperlink" Target="https://m.stock.naver.com/research/company/91261" TargetMode="External"/><Relationship Id="rId9658" Type="http://schemas.openxmlformats.org/officeDocument/2006/relationships/hyperlink" Target="https://m.stock.naver.com/research/company/83566" TargetMode="External"/><Relationship Id="rId11588" Type="http://schemas.openxmlformats.org/officeDocument/2006/relationships/hyperlink" Target="https://m.stock.naver.com/research/company/81624" TargetMode="External"/><Relationship Id="rId12639" Type="http://schemas.openxmlformats.org/officeDocument/2006/relationships/hyperlink" Target="https://m.stock.naver.com/research/company/80569" TargetMode="External"/><Relationship Id="rId1647" Type="http://schemas.openxmlformats.org/officeDocument/2006/relationships/hyperlink" Target="https://m.stock.naver.com/research/company/91608" TargetMode="External"/><Relationship Id="rId14061" Type="http://schemas.openxmlformats.org/officeDocument/2006/relationships/hyperlink" Target="https://m.stock.naver.com/research/company/93862" TargetMode="External"/><Relationship Id="rId15112" Type="http://schemas.openxmlformats.org/officeDocument/2006/relationships/hyperlink" Target="https://m.stock.naver.com/research/company/94982" TargetMode="External"/><Relationship Id="rId4120" Type="http://schemas.openxmlformats.org/officeDocument/2006/relationships/hyperlink" Target="https://m.stock.naver.com/research/company/89131" TargetMode="External"/><Relationship Id="rId7690" Type="http://schemas.openxmlformats.org/officeDocument/2006/relationships/hyperlink" Target="https://m.stock.naver.com/research/company/85549" TargetMode="External"/><Relationship Id="rId8741" Type="http://schemas.openxmlformats.org/officeDocument/2006/relationships/hyperlink" Target="https://m.stock.naver.com/research/company/84496" TargetMode="External"/><Relationship Id="rId6292" Type="http://schemas.openxmlformats.org/officeDocument/2006/relationships/hyperlink" Target="https://m.stock.naver.com/research/company/86948" TargetMode="External"/><Relationship Id="rId7343" Type="http://schemas.openxmlformats.org/officeDocument/2006/relationships/hyperlink" Target="https://m.stock.naver.com/research/company/85896" TargetMode="External"/><Relationship Id="rId10671" Type="http://schemas.openxmlformats.org/officeDocument/2006/relationships/hyperlink" Target="https://m.stock.naver.com/research/company/82549" TargetMode="External"/><Relationship Id="rId11722" Type="http://schemas.openxmlformats.org/officeDocument/2006/relationships/hyperlink" Target="https://m.stock.naver.com/research/company/81490" TargetMode="External"/><Relationship Id="rId10324" Type="http://schemas.openxmlformats.org/officeDocument/2006/relationships/hyperlink" Target="https://m.stock.naver.com/research/company/82897" TargetMode="External"/><Relationship Id="rId13894" Type="http://schemas.openxmlformats.org/officeDocument/2006/relationships/hyperlink" Target="https://m.stock.naver.com/research/company/93672" TargetMode="External"/><Relationship Id="rId14945" Type="http://schemas.openxmlformats.org/officeDocument/2006/relationships/hyperlink" Target="https://m.stock.naver.com/research/company/94889" TargetMode="External"/><Relationship Id="rId3953" Type="http://schemas.openxmlformats.org/officeDocument/2006/relationships/hyperlink" Target="https://m.stock.naver.com/research/company/89298" TargetMode="External"/><Relationship Id="rId9168" Type="http://schemas.openxmlformats.org/officeDocument/2006/relationships/hyperlink" Target="https://m.stock.naver.com/research/company/84062" TargetMode="External"/><Relationship Id="rId12496" Type="http://schemas.openxmlformats.org/officeDocument/2006/relationships/hyperlink" Target="https://m.stock.naver.com/research/company/80712" TargetMode="External"/><Relationship Id="rId13547" Type="http://schemas.openxmlformats.org/officeDocument/2006/relationships/hyperlink" Target="https://m.stock.naver.com/research/company/79657" TargetMode="External"/><Relationship Id="rId874" Type="http://schemas.openxmlformats.org/officeDocument/2006/relationships/hyperlink" Target="https://m.stock.naver.com/research/company/92582" TargetMode="External"/><Relationship Id="rId2555" Type="http://schemas.openxmlformats.org/officeDocument/2006/relationships/hyperlink" Target="https://m.stock.naver.com/research/company/90699" TargetMode="External"/><Relationship Id="rId3606" Type="http://schemas.openxmlformats.org/officeDocument/2006/relationships/hyperlink" Target="https://m.stock.naver.com/research/company/89645" TargetMode="External"/><Relationship Id="rId11098" Type="http://schemas.openxmlformats.org/officeDocument/2006/relationships/hyperlink" Target="https://m.stock.naver.com/research/company/82122" TargetMode="External"/><Relationship Id="rId12149" Type="http://schemas.openxmlformats.org/officeDocument/2006/relationships/hyperlink" Target="https://m.stock.naver.com/research/company/81062" TargetMode="External"/><Relationship Id="rId527" Type="http://schemas.openxmlformats.org/officeDocument/2006/relationships/hyperlink" Target="https://m.stock.naver.com/research/company/92930" TargetMode="External"/><Relationship Id="rId1157" Type="http://schemas.openxmlformats.org/officeDocument/2006/relationships/hyperlink" Target="https://m.stock.naver.com/research/company/92098" TargetMode="External"/><Relationship Id="rId2208" Type="http://schemas.openxmlformats.org/officeDocument/2006/relationships/hyperlink" Target="https://m.stock.naver.com/research/company/91047" TargetMode="External"/><Relationship Id="rId5778" Type="http://schemas.openxmlformats.org/officeDocument/2006/relationships/hyperlink" Target="https://m.stock.naver.com/research/company/87462" TargetMode="External"/><Relationship Id="rId6829" Type="http://schemas.openxmlformats.org/officeDocument/2006/relationships/hyperlink" Target="https://m.stock.naver.com/research/company/86411" TargetMode="External"/><Relationship Id="rId12630" Type="http://schemas.openxmlformats.org/officeDocument/2006/relationships/hyperlink" Target="https://m.stock.naver.com/research/company/80578" TargetMode="External"/><Relationship Id="rId8251" Type="http://schemas.openxmlformats.org/officeDocument/2006/relationships/hyperlink" Target="https://m.stock.naver.com/research/company/84987" TargetMode="External"/><Relationship Id="rId9302" Type="http://schemas.openxmlformats.org/officeDocument/2006/relationships/hyperlink" Target="https://m.stock.naver.com/research/company/83925" TargetMode="External"/><Relationship Id="rId10181" Type="http://schemas.openxmlformats.org/officeDocument/2006/relationships/hyperlink" Target="https://m.stock.naver.com/research/company/83040" TargetMode="External"/><Relationship Id="rId11232" Type="http://schemas.openxmlformats.org/officeDocument/2006/relationships/hyperlink" Target="https://m.stock.naver.com/research/company/81987" TargetMode="External"/><Relationship Id="rId3463" Type="http://schemas.openxmlformats.org/officeDocument/2006/relationships/hyperlink" Target="https://m.stock.naver.com/research/company/89788" TargetMode="External"/><Relationship Id="rId4861" Type="http://schemas.openxmlformats.org/officeDocument/2006/relationships/hyperlink" Target="https://m.stock.naver.com/research/company/88379" TargetMode="External"/><Relationship Id="rId5912" Type="http://schemas.openxmlformats.org/officeDocument/2006/relationships/hyperlink" Target="https://m.stock.naver.com/research/company/87328" TargetMode="External"/><Relationship Id="rId13057" Type="http://schemas.openxmlformats.org/officeDocument/2006/relationships/hyperlink" Target="https://m.stock.naver.com/research/company/80150" TargetMode="External"/><Relationship Id="rId14455" Type="http://schemas.openxmlformats.org/officeDocument/2006/relationships/hyperlink" Target="https://m.stock.naver.com/research/company/94455" TargetMode="External"/><Relationship Id="rId15506" Type="http://schemas.openxmlformats.org/officeDocument/2006/relationships/hyperlink" Target="https://m.stock.naver.com/research/company/95530" TargetMode="External"/><Relationship Id="rId384" Type="http://schemas.openxmlformats.org/officeDocument/2006/relationships/hyperlink" Target="https://m.stock.naver.com/research/company/93074" TargetMode="External"/><Relationship Id="rId2065" Type="http://schemas.openxmlformats.org/officeDocument/2006/relationships/hyperlink" Target="https://m.stock.naver.com/research/company/91190" TargetMode="External"/><Relationship Id="rId3116" Type="http://schemas.openxmlformats.org/officeDocument/2006/relationships/hyperlink" Target="https://m.stock.naver.com/research/company/90135" TargetMode="External"/><Relationship Id="rId4514" Type="http://schemas.openxmlformats.org/officeDocument/2006/relationships/hyperlink" Target="https://m.stock.naver.com/research/company/88726" TargetMode="External"/><Relationship Id="rId14108" Type="http://schemas.openxmlformats.org/officeDocument/2006/relationships/hyperlink" Target="https://m.stock.naver.com/research/company/93894" TargetMode="External"/><Relationship Id="rId6686" Type="http://schemas.openxmlformats.org/officeDocument/2006/relationships/hyperlink" Target="https://m.stock.naver.com/research/company/86554" TargetMode="External"/><Relationship Id="rId7737" Type="http://schemas.openxmlformats.org/officeDocument/2006/relationships/hyperlink" Target="https://m.stock.naver.com/research/company/85502" TargetMode="External"/><Relationship Id="rId10718" Type="http://schemas.openxmlformats.org/officeDocument/2006/relationships/hyperlink" Target="https://m.stock.naver.com/research/company/82502" TargetMode="External"/><Relationship Id="rId5288" Type="http://schemas.openxmlformats.org/officeDocument/2006/relationships/hyperlink" Target="https://m.stock.naver.com/research/company/87952" TargetMode="External"/><Relationship Id="rId6339" Type="http://schemas.openxmlformats.org/officeDocument/2006/relationships/hyperlink" Target="https://m.stock.naver.com/research/company/86901" TargetMode="External"/><Relationship Id="rId12140" Type="http://schemas.openxmlformats.org/officeDocument/2006/relationships/hyperlink" Target="https://m.stock.naver.com/research/company/81071" TargetMode="External"/><Relationship Id="rId1898" Type="http://schemas.openxmlformats.org/officeDocument/2006/relationships/hyperlink" Target="https://m.stock.naver.com/research/company/91357" TargetMode="External"/><Relationship Id="rId2949" Type="http://schemas.openxmlformats.org/officeDocument/2006/relationships/hyperlink" Target="https://m.stock.naver.com/research/company/90304" TargetMode="External"/><Relationship Id="rId6820" Type="http://schemas.openxmlformats.org/officeDocument/2006/relationships/hyperlink" Target="https://m.stock.naver.com/research/company/86420" TargetMode="External"/><Relationship Id="rId15363" Type="http://schemas.openxmlformats.org/officeDocument/2006/relationships/hyperlink" Target="https://m.stock.naver.com/research/company/95225" TargetMode="External"/><Relationship Id="rId4371" Type="http://schemas.openxmlformats.org/officeDocument/2006/relationships/hyperlink" Target="https://m.stock.naver.com/research/company/88870" TargetMode="External"/><Relationship Id="rId5422" Type="http://schemas.openxmlformats.org/officeDocument/2006/relationships/hyperlink" Target="https://m.stock.naver.com/research/company/87818" TargetMode="External"/><Relationship Id="rId15016" Type="http://schemas.openxmlformats.org/officeDocument/2006/relationships/hyperlink" Target="https://m.stock.naver.com/research/company/94818" TargetMode="External"/><Relationship Id="rId4024" Type="http://schemas.openxmlformats.org/officeDocument/2006/relationships/hyperlink" Target="https://m.stock.naver.com/research/company/89227" TargetMode="External"/><Relationship Id="rId7594" Type="http://schemas.openxmlformats.org/officeDocument/2006/relationships/hyperlink" Target="https://m.stock.naver.com/research/company/85645" TargetMode="External"/><Relationship Id="rId8992" Type="http://schemas.openxmlformats.org/officeDocument/2006/relationships/hyperlink" Target="https://m.stock.naver.com/research/company/84240" TargetMode="External"/><Relationship Id="rId11973" Type="http://schemas.openxmlformats.org/officeDocument/2006/relationships/hyperlink" Target="https://m.stock.naver.com/research/company/81238" TargetMode="External"/><Relationship Id="rId6196" Type="http://schemas.openxmlformats.org/officeDocument/2006/relationships/hyperlink" Target="https://m.stock.naver.com/research/company/87044" TargetMode="External"/><Relationship Id="rId7247" Type="http://schemas.openxmlformats.org/officeDocument/2006/relationships/hyperlink" Target="https://m.stock.naver.com/research/company/85992" TargetMode="External"/><Relationship Id="rId8645" Type="http://schemas.openxmlformats.org/officeDocument/2006/relationships/hyperlink" Target="https://m.stock.naver.com/research/company/84592" TargetMode="External"/><Relationship Id="rId10575" Type="http://schemas.openxmlformats.org/officeDocument/2006/relationships/hyperlink" Target="https://m.stock.naver.com/research/company/82645" TargetMode="External"/><Relationship Id="rId11626" Type="http://schemas.openxmlformats.org/officeDocument/2006/relationships/hyperlink" Target="https://m.stock.naver.com/research/company/81586" TargetMode="External"/><Relationship Id="rId10228" Type="http://schemas.openxmlformats.org/officeDocument/2006/relationships/hyperlink" Target="https://m.stock.naver.com/research/company/82993" TargetMode="External"/><Relationship Id="rId13798" Type="http://schemas.openxmlformats.org/officeDocument/2006/relationships/hyperlink" Target="https://m.stock.naver.com/research/company/93580" TargetMode="External"/><Relationship Id="rId14849" Type="http://schemas.openxmlformats.org/officeDocument/2006/relationships/hyperlink" Target="https://m.stock.naver.com/research/company/94775" TargetMode="External"/><Relationship Id="rId3857" Type="http://schemas.openxmlformats.org/officeDocument/2006/relationships/hyperlink" Target="https://m.stock.naver.com/research/company/89394" TargetMode="External"/><Relationship Id="rId4908" Type="http://schemas.openxmlformats.org/officeDocument/2006/relationships/hyperlink" Target="https://m.stock.naver.com/research/company/88332" TargetMode="External"/><Relationship Id="rId778" Type="http://schemas.openxmlformats.org/officeDocument/2006/relationships/hyperlink" Target="https://m.stock.naver.com/research/company/92678" TargetMode="External"/><Relationship Id="rId2459" Type="http://schemas.openxmlformats.org/officeDocument/2006/relationships/hyperlink" Target="https://m.stock.naver.com/research/company/90795" TargetMode="External"/><Relationship Id="rId6330" Type="http://schemas.openxmlformats.org/officeDocument/2006/relationships/hyperlink" Target="https://m.stock.naver.com/research/company/86910" TargetMode="External"/><Relationship Id="rId9553" Type="http://schemas.openxmlformats.org/officeDocument/2006/relationships/hyperlink" Target="https://m.stock.naver.com/research/company/83674" TargetMode="External"/><Relationship Id="rId12881" Type="http://schemas.openxmlformats.org/officeDocument/2006/relationships/hyperlink" Target="https://m.stock.naver.com/research/company/80327" TargetMode="External"/><Relationship Id="rId13932" Type="http://schemas.openxmlformats.org/officeDocument/2006/relationships/hyperlink" Target="https://m.stock.naver.com/research/company/93800" TargetMode="External"/><Relationship Id="rId1542" Type="http://schemas.openxmlformats.org/officeDocument/2006/relationships/hyperlink" Target="https://m.stock.naver.com/research/company/91713" TargetMode="External"/><Relationship Id="rId2940" Type="http://schemas.openxmlformats.org/officeDocument/2006/relationships/hyperlink" Target="https://m.stock.naver.com/research/company/90313" TargetMode="External"/><Relationship Id="rId8155" Type="http://schemas.openxmlformats.org/officeDocument/2006/relationships/hyperlink" Target="https://m.stock.naver.com/research/company/85083" TargetMode="External"/><Relationship Id="rId9206" Type="http://schemas.openxmlformats.org/officeDocument/2006/relationships/hyperlink" Target="https://m.stock.naver.com/research/company/84024" TargetMode="External"/><Relationship Id="rId10085" Type="http://schemas.openxmlformats.org/officeDocument/2006/relationships/hyperlink" Target="https://m.stock.naver.com/research/company/83136" TargetMode="External"/><Relationship Id="rId11136" Type="http://schemas.openxmlformats.org/officeDocument/2006/relationships/hyperlink" Target="https://m.stock.naver.com/research/company/82084" TargetMode="External"/><Relationship Id="rId11483" Type="http://schemas.openxmlformats.org/officeDocument/2006/relationships/hyperlink" Target="https://m.stock.naver.com/research/company/81732" TargetMode="External"/><Relationship Id="rId12534" Type="http://schemas.openxmlformats.org/officeDocument/2006/relationships/hyperlink" Target="https://m.stock.naver.com/research/company/80674" TargetMode="External"/><Relationship Id="rId912" Type="http://schemas.openxmlformats.org/officeDocument/2006/relationships/hyperlink" Target="https://m.stock.naver.com/research/company/92544" TargetMode="External"/><Relationship Id="rId4765" Type="http://schemas.openxmlformats.org/officeDocument/2006/relationships/hyperlink" Target="https://m.stock.naver.com/research/company/88475" TargetMode="External"/><Relationship Id="rId5816" Type="http://schemas.openxmlformats.org/officeDocument/2006/relationships/hyperlink" Target="https://m.stock.naver.com/research/company/87424" TargetMode="External"/><Relationship Id="rId14359" Type="http://schemas.openxmlformats.org/officeDocument/2006/relationships/hyperlink" Target="https://m.stock.naver.com/research/company/94192" TargetMode="External"/><Relationship Id="rId288" Type="http://schemas.openxmlformats.org/officeDocument/2006/relationships/hyperlink" Target="https://m.stock.naver.com/research/company/93170" TargetMode="External"/><Relationship Id="rId3367" Type="http://schemas.openxmlformats.org/officeDocument/2006/relationships/hyperlink" Target="https://m.stock.naver.com/research/company/89883" TargetMode="External"/><Relationship Id="rId4418" Type="http://schemas.openxmlformats.org/officeDocument/2006/relationships/hyperlink" Target="https://m.stock.naver.com/research/company/88823" TargetMode="External"/><Relationship Id="rId7988" Type="http://schemas.openxmlformats.org/officeDocument/2006/relationships/hyperlink" Target="https://m.stock.naver.com/research/company/85250" TargetMode="External"/><Relationship Id="rId10969" Type="http://schemas.openxmlformats.org/officeDocument/2006/relationships/hyperlink" Target="https://m.stock.naver.com/research/company/82251" TargetMode="External"/><Relationship Id="rId14840" Type="http://schemas.openxmlformats.org/officeDocument/2006/relationships/hyperlink" Target="https://m.stock.naver.com/research/company/94784" TargetMode="External"/><Relationship Id="rId12391" Type="http://schemas.openxmlformats.org/officeDocument/2006/relationships/hyperlink" Target="https://m.stock.naver.com/research/company/80818" TargetMode="External"/><Relationship Id="rId13442" Type="http://schemas.openxmlformats.org/officeDocument/2006/relationships/hyperlink" Target="https://m.stock.naver.com/research/company/79762" TargetMode="External"/><Relationship Id="rId2450" Type="http://schemas.openxmlformats.org/officeDocument/2006/relationships/hyperlink" Target="https://m.stock.naver.com/research/company/90804" TargetMode="External"/><Relationship Id="rId3501" Type="http://schemas.openxmlformats.org/officeDocument/2006/relationships/hyperlink" Target="https://m.stock.naver.com/research/company/89750" TargetMode="External"/><Relationship Id="rId9063" Type="http://schemas.openxmlformats.org/officeDocument/2006/relationships/hyperlink" Target="https://m.stock.naver.com/research/company/84168" TargetMode="External"/><Relationship Id="rId12044" Type="http://schemas.openxmlformats.org/officeDocument/2006/relationships/hyperlink" Target="https://m.stock.naver.com/research/company/81167" TargetMode="External"/><Relationship Id="rId422" Type="http://schemas.openxmlformats.org/officeDocument/2006/relationships/hyperlink" Target="https://m.stock.naver.com/research/company/93035" TargetMode="External"/><Relationship Id="rId1052" Type="http://schemas.openxmlformats.org/officeDocument/2006/relationships/hyperlink" Target="https://m.stock.naver.com/research/company/92299" TargetMode="External"/><Relationship Id="rId2103" Type="http://schemas.openxmlformats.org/officeDocument/2006/relationships/hyperlink" Target="https://m.stock.naver.com/research/company/91152" TargetMode="External"/><Relationship Id="rId5673" Type="http://schemas.openxmlformats.org/officeDocument/2006/relationships/hyperlink" Target="https://m.stock.naver.com/research/company/87567" TargetMode="External"/><Relationship Id="rId15267" Type="http://schemas.openxmlformats.org/officeDocument/2006/relationships/hyperlink" Target="https://m.stock.naver.com/research/company/95093" TargetMode="External"/><Relationship Id="rId4275" Type="http://schemas.openxmlformats.org/officeDocument/2006/relationships/hyperlink" Target="https://m.stock.naver.com/research/company/88966" TargetMode="External"/><Relationship Id="rId5326" Type="http://schemas.openxmlformats.org/officeDocument/2006/relationships/hyperlink" Target="https://m.stock.naver.com/research/company/87914" TargetMode="External"/><Relationship Id="rId6724" Type="http://schemas.openxmlformats.org/officeDocument/2006/relationships/hyperlink" Target="https://m.stock.naver.com/research/company/86516" TargetMode="External"/><Relationship Id="rId8896" Type="http://schemas.openxmlformats.org/officeDocument/2006/relationships/hyperlink" Target="https://m.stock.naver.com/research/company/84340" TargetMode="External"/><Relationship Id="rId9947" Type="http://schemas.openxmlformats.org/officeDocument/2006/relationships/hyperlink" Target="https://m.stock.naver.com/research/company/83275" TargetMode="External"/><Relationship Id="rId11877" Type="http://schemas.openxmlformats.org/officeDocument/2006/relationships/hyperlink" Target="https://m.stock.naver.com/research/company/81335" TargetMode="External"/><Relationship Id="rId12928" Type="http://schemas.openxmlformats.org/officeDocument/2006/relationships/hyperlink" Target="https://m.stock.naver.com/research/company/80280" TargetMode="External"/><Relationship Id="rId1936" Type="http://schemas.openxmlformats.org/officeDocument/2006/relationships/hyperlink" Target="https://m.stock.naver.com/research/company/91319" TargetMode="External"/><Relationship Id="rId7498" Type="http://schemas.openxmlformats.org/officeDocument/2006/relationships/hyperlink" Target="https://m.stock.naver.com/research/company/85741" TargetMode="External"/><Relationship Id="rId8549" Type="http://schemas.openxmlformats.org/officeDocument/2006/relationships/hyperlink" Target="https://m.stock.naver.com/research/company/84688" TargetMode="External"/><Relationship Id="rId10479" Type="http://schemas.openxmlformats.org/officeDocument/2006/relationships/hyperlink" Target="https://m.stock.naver.com/research/company/82741" TargetMode="External"/><Relationship Id="rId14350" Type="http://schemas.openxmlformats.org/officeDocument/2006/relationships/hyperlink" Target="https://m.stock.naver.com/research/company/94201" TargetMode="External"/><Relationship Id="rId15401" Type="http://schemas.openxmlformats.org/officeDocument/2006/relationships/hyperlink" Target="https://m.stock.naver.com/research/company/95386" TargetMode="External"/><Relationship Id="rId14003" Type="http://schemas.openxmlformats.org/officeDocument/2006/relationships/hyperlink" Target="https://m.stock.naver.com/research/company/93729" TargetMode="External"/><Relationship Id="rId3011" Type="http://schemas.openxmlformats.org/officeDocument/2006/relationships/hyperlink" Target="https://m.stock.naver.com/research/company/90240" TargetMode="External"/><Relationship Id="rId6581" Type="http://schemas.openxmlformats.org/officeDocument/2006/relationships/hyperlink" Target="https://m.stock.naver.com/research/company/86659" TargetMode="External"/><Relationship Id="rId7632" Type="http://schemas.openxmlformats.org/officeDocument/2006/relationships/hyperlink" Target="https://m.stock.naver.com/research/company/85607" TargetMode="External"/><Relationship Id="rId10960" Type="http://schemas.openxmlformats.org/officeDocument/2006/relationships/hyperlink" Target="https://m.stock.naver.com/research/company/82260" TargetMode="External"/><Relationship Id="rId5183" Type="http://schemas.openxmlformats.org/officeDocument/2006/relationships/hyperlink" Target="https://m.stock.naver.com/research/company/88057" TargetMode="External"/><Relationship Id="rId6234" Type="http://schemas.openxmlformats.org/officeDocument/2006/relationships/hyperlink" Target="https://m.stock.naver.com/research/company/87006" TargetMode="External"/><Relationship Id="rId10613" Type="http://schemas.openxmlformats.org/officeDocument/2006/relationships/hyperlink" Target="https://m.stock.naver.com/research/company/82607" TargetMode="External"/><Relationship Id="rId9457" Type="http://schemas.openxmlformats.org/officeDocument/2006/relationships/hyperlink" Target="https://m.stock.naver.com/research/company/83770" TargetMode="External"/><Relationship Id="rId12785" Type="http://schemas.openxmlformats.org/officeDocument/2006/relationships/hyperlink" Target="https://m.stock.naver.com/research/company/80423" TargetMode="External"/><Relationship Id="rId13836" Type="http://schemas.openxmlformats.org/officeDocument/2006/relationships/hyperlink" Target="https://m.stock.naver.com/research/company/93646" TargetMode="External"/><Relationship Id="rId1793" Type="http://schemas.openxmlformats.org/officeDocument/2006/relationships/hyperlink" Target="https://m.stock.naver.com/research/company/91462" TargetMode="External"/><Relationship Id="rId2844" Type="http://schemas.openxmlformats.org/officeDocument/2006/relationships/hyperlink" Target="https://m.stock.naver.com/research/company/90409" TargetMode="External"/><Relationship Id="rId8059" Type="http://schemas.openxmlformats.org/officeDocument/2006/relationships/hyperlink" Target="https://m.stock.naver.com/research/company/85179" TargetMode="External"/><Relationship Id="rId11387" Type="http://schemas.openxmlformats.org/officeDocument/2006/relationships/hyperlink" Target="https://m.stock.naver.com/research/company/81828" TargetMode="External"/><Relationship Id="rId12438" Type="http://schemas.openxmlformats.org/officeDocument/2006/relationships/hyperlink" Target="https://m.stock.naver.com/research/company/80771" TargetMode="External"/><Relationship Id="rId816" Type="http://schemas.openxmlformats.org/officeDocument/2006/relationships/hyperlink" Target="https://m.stock.naver.com/research/company/92640" TargetMode="External"/><Relationship Id="rId1446" Type="http://schemas.openxmlformats.org/officeDocument/2006/relationships/hyperlink" Target="https://m.stock.naver.com/research/company/91809" TargetMode="External"/><Relationship Id="rId4669" Type="http://schemas.openxmlformats.org/officeDocument/2006/relationships/hyperlink" Target="https://m.stock.naver.com/research/company/88571" TargetMode="External"/><Relationship Id="rId8540" Type="http://schemas.openxmlformats.org/officeDocument/2006/relationships/hyperlink" Target="https://m.stock.naver.com/research/company/84697" TargetMode="External"/><Relationship Id="rId10470" Type="http://schemas.openxmlformats.org/officeDocument/2006/relationships/hyperlink" Target="https://m.stock.naver.com/research/company/82750" TargetMode="External"/><Relationship Id="rId11521" Type="http://schemas.openxmlformats.org/officeDocument/2006/relationships/hyperlink" Target="https://m.stock.naver.com/research/company/81694" TargetMode="External"/><Relationship Id="rId6091" Type="http://schemas.openxmlformats.org/officeDocument/2006/relationships/hyperlink" Target="https://m.stock.naver.com/research/company/87149" TargetMode="External"/><Relationship Id="rId7142" Type="http://schemas.openxmlformats.org/officeDocument/2006/relationships/hyperlink" Target="https://m.stock.naver.com/research/company/86097" TargetMode="External"/><Relationship Id="rId10123" Type="http://schemas.openxmlformats.org/officeDocument/2006/relationships/hyperlink" Target="https://m.stock.naver.com/research/company/83098" TargetMode="External"/><Relationship Id="rId13693" Type="http://schemas.openxmlformats.org/officeDocument/2006/relationships/hyperlink" Target="https://m.stock.naver.com/research/company/93481" TargetMode="External"/><Relationship Id="rId3752" Type="http://schemas.openxmlformats.org/officeDocument/2006/relationships/hyperlink" Target="https://m.stock.naver.com/research/company/89499" TargetMode="External"/><Relationship Id="rId12295" Type="http://schemas.openxmlformats.org/officeDocument/2006/relationships/hyperlink" Target="https://m.stock.naver.com/research/company/80914" TargetMode="External"/><Relationship Id="rId13346" Type="http://schemas.openxmlformats.org/officeDocument/2006/relationships/hyperlink" Target="https://m.stock.naver.com/research/company/79859" TargetMode="External"/><Relationship Id="rId14744" Type="http://schemas.openxmlformats.org/officeDocument/2006/relationships/hyperlink" Target="https://m.stock.naver.com/research/company/94656" TargetMode="External"/><Relationship Id="rId673" Type="http://schemas.openxmlformats.org/officeDocument/2006/relationships/hyperlink" Target="https://m.stock.naver.com/research/company/92783" TargetMode="External"/><Relationship Id="rId2354" Type="http://schemas.openxmlformats.org/officeDocument/2006/relationships/hyperlink" Target="https://m.stock.naver.com/research/company/90900" TargetMode="External"/><Relationship Id="rId3405" Type="http://schemas.openxmlformats.org/officeDocument/2006/relationships/hyperlink" Target="https://m.stock.naver.com/research/company/89846" TargetMode="External"/><Relationship Id="rId4803" Type="http://schemas.openxmlformats.org/officeDocument/2006/relationships/hyperlink" Target="https://m.stock.naver.com/research/company/88437" TargetMode="External"/><Relationship Id="rId326" Type="http://schemas.openxmlformats.org/officeDocument/2006/relationships/hyperlink" Target="https://m.stock.naver.com/research/company/93132" TargetMode="External"/><Relationship Id="rId2007" Type="http://schemas.openxmlformats.org/officeDocument/2006/relationships/hyperlink" Target="https://m.stock.naver.com/research/company/91248" TargetMode="External"/><Relationship Id="rId6975" Type="http://schemas.openxmlformats.org/officeDocument/2006/relationships/hyperlink" Target="https://m.stock.naver.com/research/company/86264" TargetMode="External"/><Relationship Id="rId4179" Type="http://schemas.openxmlformats.org/officeDocument/2006/relationships/hyperlink" Target="https://m.stock.naver.com/research/company/89070" TargetMode="External"/><Relationship Id="rId5577" Type="http://schemas.openxmlformats.org/officeDocument/2006/relationships/hyperlink" Target="https://m.stock.naver.com/research/company/87663" TargetMode="External"/><Relationship Id="rId6628" Type="http://schemas.openxmlformats.org/officeDocument/2006/relationships/hyperlink" Target="https://m.stock.naver.com/research/company/86612" TargetMode="External"/><Relationship Id="rId8050" Type="http://schemas.openxmlformats.org/officeDocument/2006/relationships/hyperlink" Target="https://m.stock.naver.com/research/company/85188" TargetMode="External"/><Relationship Id="rId9101" Type="http://schemas.openxmlformats.org/officeDocument/2006/relationships/hyperlink" Target="https://m.stock.naver.com/research/company/84129" TargetMode="External"/><Relationship Id="rId11031" Type="http://schemas.openxmlformats.org/officeDocument/2006/relationships/hyperlink" Target="https://m.stock.naver.com/research/company/82189" TargetMode="External"/><Relationship Id="rId15652" Type="http://schemas.openxmlformats.org/officeDocument/2006/relationships/hyperlink" Target="https://m.stock.naver.com/research/company/95762" TargetMode="External"/><Relationship Id="rId4660" Type="http://schemas.openxmlformats.org/officeDocument/2006/relationships/hyperlink" Target="https://m.stock.naver.com/research/company/88580" TargetMode="External"/><Relationship Id="rId5711" Type="http://schemas.openxmlformats.org/officeDocument/2006/relationships/hyperlink" Target="https://m.stock.naver.com/research/company/87529" TargetMode="External"/><Relationship Id="rId14254" Type="http://schemas.openxmlformats.org/officeDocument/2006/relationships/hyperlink" Target="https://m.stock.naver.com/research/company/94089" TargetMode="External"/><Relationship Id="rId15305" Type="http://schemas.openxmlformats.org/officeDocument/2006/relationships/hyperlink" Target="https://m.stock.naver.com/research/company/95055" TargetMode="External"/><Relationship Id="rId3262" Type="http://schemas.openxmlformats.org/officeDocument/2006/relationships/hyperlink" Target="https://m.stock.naver.com/research/company/89988" TargetMode="External"/><Relationship Id="rId4313" Type="http://schemas.openxmlformats.org/officeDocument/2006/relationships/hyperlink" Target="https://m.stock.naver.com/research/company/88928" TargetMode="External"/><Relationship Id="rId7883" Type="http://schemas.openxmlformats.org/officeDocument/2006/relationships/hyperlink" Target="https://m.stock.naver.com/research/company/85355" TargetMode="External"/><Relationship Id="rId183" Type="http://schemas.openxmlformats.org/officeDocument/2006/relationships/hyperlink" Target="https://m.stock.naver.com/research/company/93275" TargetMode="External"/><Relationship Id="rId6485" Type="http://schemas.openxmlformats.org/officeDocument/2006/relationships/hyperlink" Target="https://m.stock.naver.com/research/company/86755" TargetMode="External"/><Relationship Id="rId7536" Type="http://schemas.openxmlformats.org/officeDocument/2006/relationships/hyperlink" Target="https://m.stock.naver.com/research/company/85703" TargetMode="External"/><Relationship Id="rId8934" Type="http://schemas.openxmlformats.org/officeDocument/2006/relationships/hyperlink" Target="https://m.stock.naver.com/research/company/84301" TargetMode="External"/><Relationship Id="rId10864" Type="http://schemas.openxmlformats.org/officeDocument/2006/relationships/hyperlink" Target="https://m.stock.naver.com/research/company/82356" TargetMode="External"/><Relationship Id="rId11915" Type="http://schemas.openxmlformats.org/officeDocument/2006/relationships/hyperlink" Target="https://m.stock.naver.com/research/company/81296" TargetMode="External"/><Relationship Id="rId5087" Type="http://schemas.openxmlformats.org/officeDocument/2006/relationships/hyperlink" Target="https://m.stock.naver.com/research/company/88153" TargetMode="External"/><Relationship Id="rId6138" Type="http://schemas.openxmlformats.org/officeDocument/2006/relationships/hyperlink" Target="https://m.stock.naver.com/research/company/87102" TargetMode="External"/><Relationship Id="rId10517" Type="http://schemas.openxmlformats.org/officeDocument/2006/relationships/hyperlink" Target="https://m.stock.naver.com/research/company/82703" TargetMode="External"/><Relationship Id="rId12689" Type="http://schemas.openxmlformats.org/officeDocument/2006/relationships/hyperlink" Target="https://m.stock.naver.com/research/company/80519" TargetMode="External"/><Relationship Id="rId1697" Type="http://schemas.openxmlformats.org/officeDocument/2006/relationships/hyperlink" Target="https://m.stock.naver.com/research/company/91558" TargetMode="External"/><Relationship Id="rId2748" Type="http://schemas.openxmlformats.org/officeDocument/2006/relationships/hyperlink" Target="https://m.stock.naver.com/research/company/90506" TargetMode="External"/><Relationship Id="rId15162" Type="http://schemas.openxmlformats.org/officeDocument/2006/relationships/hyperlink" Target="https://m.stock.naver.com/research/company/95198" TargetMode="External"/><Relationship Id="rId4170" Type="http://schemas.openxmlformats.org/officeDocument/2006/relationships/hyperlink" Target="https://m.stock.naver.com/research/company/89079" TargetMode="External"/><Relationship Id="rId5221" Type="http://schemas.openxmlformats.org/officeDocument/2006/relationships/hyperlink" Target="https://m.stock.naver.com/research/company/88019" TargetMode="External"/><Relationship Id="rId8791" Type="http://schemas.openxmlformats.org/officeDocument/2006/relationships/hyperlink" Target="https://m.stock.naver.com/research/company/84446" TargetMode="External"/><Relationship Id="rId9842" Type="http://schemas.openxmlformats.org/officeDocument/2006/relationships/hyperlink" Target="https://m.stock.naver.com/research/company/83380" TargetMode="External"/><Relationship Id="rId56" Type="http://schemas.openxmlformats.org/officeDocument/2006/relationships/hyperlink" Target="https://m.stock.naver.com/research/company/93402" TargetMode="External"/><Relationship Id="rId1831" Type="http://schemas.openxmlformats.org/officeDocument/2006/relationships/hyperlink" Target="https://m.stock.naver.com/research/company/91424" TargetMode="External"/><Relationship Id="rId7393" Type="http://schemas.openxmlformats.org/officeDocument/2006/relationships/hyperlink" Target="https://m.stock.naver.com/research/company/85846" TargetMode="External"/><Relationship Id="rId8444" Type="http://schemas.openxmlformats.org/officeDocument/2006/relationships/hyperlink" Target="https://m.stock.naver.com/research/company/84793" TargetMode="External"/><Relationship Id="rId10374" Type="http://schemas.openxmlformats.org/officeDocument/2006/relationships/hyperlink" Target="https://m.stock.naver.com/research/company/82847" TargetMode="External"/><Relationship Id="rId11425" Type="http://schemas.openxmlformats.org/officeDocument/2006/relationships/hyperlink" Target="https://m.stock.naver.com/research/company/81790" TargetMode="External"/><Relationship Id="rId11772" Type="http://schemas.openxmlformats.org/officeDocument/2006/relationships/hyperlink" Target="https://m.stock.naver.com/research/company/81440" TargetMode="External"/><Relationship Id="rId12823" Type="http://schemas.openxmlformats.org/officeDocument/2006/relationships/hyperlink" Target="https://m.stock.naver.com/research/company/80385" TargetMode="External"/><Relationship Id="rId7046" Type="http://schemas.openxmlformats.org/officeDocument/2006/relationships/hyperlink" Target="https://m.stock.naver.com/research/company/86193" TargetMode="External"/><Relationship Id="rId10027" Type="http://schemas.openxmlformats.org/officeDocument/2006/relationships/hyperlink" Target="https://m.stock.naver.com/research/company/83194" TargetMode="External"/><Relationship Id="rId14995" Type="http://schemas.openxmlformats.org/officeDocument/2006/relationships/hyperlink" Target="https://m.stock.naver.com/research/company/94839" TargetMode="External"/><Relationship Id="rId12199" Type="http://schemas.openxmlformats.org/officeDocument/2006/relationships/hyperlink" Target="https://m.stock.naver.com/research/company/81011" TargetMode="External"/><Relationship Id="rId13597" Type="http://schemas.openxmlformats.org/officeDocument/2006/relationships/hyperlink" Target="https://m.stock.naver.com/research/company/79607" TargetMode="External"/><Relationship Id="rId14648" Type="http://schemas.openxmlformats.org/officeDocument/2006/relationships/hyperlink" Target="https://m.stock.naver.com/research/company/94530" TargetMode="External"/><Relationship Id="rId577" Type="http://schemas.openxmlformats.org/officeDocument/2006/relationships/hyperlink" Target="https://m.stock.naver.com/research/company/92880" TargetMode="External"/><Relationship Id="rId2258" Type="http://schemas.openxmlformats.org/officeDocument/2006/relationships/hyperlink" Target="https://m.stock.naver.com/research/company/90997" TargetMode="External"/><Relationship Id="rId3656" Type="http://schemas.openxmlformats.org/officeDocument/2006/relationships/hyperlink" Target="https://m.stock.naver.com/research/company/89595" TargetMode="External"/><Relationship Id="rId4707" Type="http://schemas.openxmlformats.org/officeDocument/2006/relationships/hyperlink" Target="https://m.stock.naver.com/research/company/88533" TargetMode="External"/><Relationship Id="rId3309" Type="http://schemas.openxmlformats.org/officeDocument/2006/relationships/hyperlink" Target="https://m.stock.naver.com/research/company/89941" TargetMode="External"/><Relationship Id="rId6879" Type="http://schemas.openxmlformats.org/officeDocument/2006/relationships/hyperlink" Target="https://m.stock.naver.com/research/company/86360" TargetMode="External"/><Relationship Id="rId12680" Type="http://schemas.openxmlformats.org/officeDocument/2006/relationships/hyperlink" Target="https://m.stock.naver.com/research/company/80528" TargetMode="External"/><Relationship Id="rId13731" Type="http://schemas.openxmlformats.org/officeDocument/2006/relationships/hyperlink" Target="https://m.stock.naver.com/research/company/93508" TargetMode="External"/><Relationship Id="rId9352" Type="http://schemas.openxmlformats.org/officeDocument/2006/relationships/hyperlink" Target="https://m.stock.naver.com/research/company/83875" TargetMode="External"/><Relationship Id="rId11282" Type="http://schemas.openxmlformats.org/officeDocument/2006/relationships/hyperlink" Target="https://m.stock.naver.com/research/company/81937" TargetMode="External"/><Relationship Id="rId12333" Type="http://schemas.openxmlformats.org/officeDocument/2006/relationships/hyperlink" Target="https://m.stock.naver.com/research/company/80876" TargetMode="External"/><Relationship Id="rId711" Type="http://schemas.openxmlformats.org/officeDocument/2006/relationships/hyperlink" Target="https://m.stock.naver.com/research/company/92745" TargetMode="External"/><Relationship Id="rId1341" Type="http://schemas.openxmlformats.org/officeDocument/2006/relationships/hyperlink" Target="https://m.stock.naver.com/research/company/91914" TargetMode="External"/><Relationship Id="rId5962" Type="http://schemas.openxmlformats.org/officeDocument/2006/relationships/hyperlink" Target="https://m.stock.naver.com/research/company/87278" TargetMode="External"/><Relationship Id="rId9005" Type="http://schemas.openxmlformats.org/officeDocument/2006/relationships/hyperlink" Target="https://m.stock.naver.com/research/company/84227" TargetMode="External"/><Relationship Id="rId15556" Type="http://schemas.openxmlformats.org/officeDocument/2006/relationships/hyperlink" Target="https://m.stock.naver.com/research/company/95480" TargetMode="External"/><Relationship Id="rId4564" Type="http://schemas.openxmlformats.org/officeDocument/2006/relationships/hyperlink" Target="https://m.stock.naver.com/research/company/88676" TargetMode="External"/><Relationship Id="rId5615" Type="http://schemas.openxmlformats.org/officeDocument/2006/relationships/hyperlink" Target="https://m.stock.naver.com/research/company/87625" TargetMode="External"/><Relationship Id="rId14158" Type="http://schemas.openxmlformats.org/officeDocument/2006/relationships/hyperlink" Target="https://m.stock.naver.com/research/company/93970" TargetMode="External"/><Relationship Id="rId15209" Type="http://schemas.openxmlformats.org/officeDocument/2006/relationships/hyperlink" Target="https://m.stock.naver.com/research/company/95151" TargetMode="External"/><Relationship Id="rId3166" Type="http://schemas.openxmlformats.org/officeDocument/2006/relationships/hyperlink" Target="https://m.stock.naver.com/research/company/90085" TargetMode="External"/><Relationship Id="rId4217" Type="http://schemas.openxmlformats.org/officeDocument/2006/relationships/hyperlink" Target="https://m.stock.naver.com/research/company/89025" TargetMode="External"/><Relationship Id="rId6389" Type="http://schemas.openxmlformats.org/officeDocument/2006/relationships/hyperlink" Target="https://m.stock.naver.com/research/company/86851" TargetMode="External"/><Relationship Id="rId7787" Type="http://schemas.openxmlformats.org/officeDocument/2006/relationships/hyperlink" Target="https://m.stock.naver.com/research/company/85451" TargetMode="External"/><Relationship Id="rId8838" Type="http://schemas.openxmlformats.org/officeDocument/2006/relationships/hyperlink" Target="https://m.stock.naver.com/research/company/84399" TargetMode="External"/><Relationship Id="rId10768" Type="http://schemas.openxmlformats.org/officeDocument/2006/relationships/hyperlink" Target="https://m.stock.naver.com/research/company/82452" TargetMode="External"/><Relationship Id="rId11819" Type="http://schemas.openxmlformats.org/officeDocument/2006/relationships/hyperlink" Target="https://m.stock.naver.com/research/company/81393" TargetMode="External"/><Relationship Id="rId12190" Type="http://schemas.openxmlformats.org/officeDocument/2006/relationships/hyperlink" Target="https://m.stock.naver.com/research/company/81021" TargetMode="External"/><Relationship Id="rId13241" Type="http://schemas.openxmlformats.org/officeDocument/2006/relationships/hyperlink" Target="https://m.stock.naver.com/research/company/79966" TargetMode="External"/><Relationship Id="rId2999" Type="http://schemas.openxmlformats.org/officeDocument/2006/relationships/hyperlink" Target="https://m.stock.naver.com/research/company/90253" TargetMode="External"/><Relationship Id="rId3300" Type="http://schemas.openxmlformats.org/officeDocument/2006/relationships/hyperlink" Target="https://m.stock.naver.com/research/company/89950" TargetMode="External"/><Relationship Id="rId6870" Type="http://schemas.openxmlformats.org/officeDocument/2006/relationships/hyperlink" Target="https://m.stock.naver.com/research/company/86370" TargetMode="External"/><Relationship Id="rId7921" Type="http://schemas.openxmlformats.org/officeDocument/2006/relationships/hyperlink" Target="https://m.stock.naver.com/research/company/85317" TargetMode="External"/><Relationship Id="rId221" Type="http://schemas.openxmlformats.org/officeDocument/2006/relationships/hyperlink" Target="https://m.stock.naver.com/research/company/93237" TargetMode="External"/><Relationship Id="rId5472" Type="http://schemas.openxmlformats.org/officeDocument/2006/relationships/hyperlink" Target="https://m.stock.naver.com/research/company/87768" TargetMode="External"/><Relationship Id="rId6523" Type="http://schemas.openxmlformats.org/officeDocument/2006/relationships/hyperlink" Target="https://m.stock.naver.com/research/company/86717" TargetMode="External"/><Relationship Id="rId10902" Type="http://schemas.openxmlformats.org/officeDocument/2006/relationships/hyperlink" Target="https://m.stock.naver.com/research/company/82318" TargetMode="External"/><Relationship Id="rId15066" Type="http://schemas.openxmlformats.org/officeDocument/2006/relationships/hyperlink" Target="https://m.stock.naver.com/research/company/95028" TargetMode="External"/><Relationship Id="rId4074" Type="http://schemas.openxmlformats.org/officeDocument/2006/relationships/hyperlink" Target="https://m.stock.naver.com/research/company/89177" TargetMode="External"/><Relationship Id="rId5125" Type="http://schemas.openxmlformats.org/officeDocument/2006/relationships/hyperlink" Target="https://m.stock.naver.com/research/company/88115" TargetMode="External"/><Relationship Id="rId8695" Type="http://schemas.openxmlformats.org/officeDocument/2006/relationships/hyperlink" Target="https://m.stock.naver.com/research/company/84542" TargetMode="External"/><Relationship Id="rId9746" Type="http://schemas.openxmlformats.org/officeDocument/2006/relationships/hyperlink" Target="https://m.stock.naver.com/research/company/83477" TargetMode="External"/><Relationship Id="rId7297" Type="http://schemas.openxmlformats.org/officeDocument/2006/relationships/hyperlink" Target="https://m.stock.naver.com/research/company/85942" TargetMode="External"/><Relationship Id="rId8348" Type="http://schemas.openxmlformats.org/officeDocument/2006/relationships/hyperlink" Target="https://m.stock.naver.com/research/company/84890" TargetMode="External"/><Relationship Id="rId10278" Type="http://schemas.openxmlformats.org/officeDocument/2006/relationships/hyperlink" Target="https://m.stock.naver.com/research/company/82943" TargetMode="External"/><Relationship Id="rId11676" Type="http://schemas.openxmlformats.org/officeDocument/2006/relationships/hyperlink" Target="https://m.stock.naver.com/research/company/81536" TargetMode="External"/><Relationship Id="rId12727" Type="http://schemas.openxmlformats.org/officeDocument/2006/relationships/hyperlink" Target="https://m.stock.naver.com/research/company/80481" TargetMode="External"/><Relationship Id="rId1735" Type="http://schemas.openxmlformats.org/officeDocument/2006/relationships/hyperlink" Target="https://m.stock.naver.com/research/company/91520" TargetMode="External"/><Relationship Id="rId11329" Type="http://schemas.openxmlformats.org/officeDocument/2006/relationships/hyperlink" Target="https://m.stock.naver.com/research/company/81887" TargetMode="External"/><Relationship Id="rId14899" Type="http://schemas.openxmlformats.org/officeDocument/2006/relationships/hyperlink" Target="https://m.stock.naver.com/research/company/94725" TargetMode="External"/><Relationship Id="rId15200" Type="http://schemas.openxmlformats.org/officeDocument/2006/relationships/hyperlink" Target="https://m.stock.naver.com/research/company/95160" TargetMode="External"/><Relationship Id="rId4958" Type="http://schemas.openxmlformats.org/officeDocument/2006/relationships/hyperlink" Target="https://m.stock.naver.com/research/company/88282" TargetMode="External"/><Relationship Id="rId11810" Type="http://schemas.openxmlformats.org/officeDocument/2006/relationships/hyperlink" Target="https://m.stock.naver.com/research/company/81402" TargetMode="External"/><Relationship Id="rId6380" Type="http://schemas.openxmlformats.org/officeDocument/2006/relationships/hyperlink" Target="https://m.stock.naver.com/research/company/86860" TargetMode="External"/><Relationship Id="rId7431" Type="http://schemas.openxmlformats.org/officeDocument/2006/relationships/hyperlink" Target="https://m.stock.naver.com/research/company/85808" TargetMode="External"/><Relationship Id="rId10412" Type="http://schemas.openxmlformats.org/officeDocument/2006/relationships/hyperlink" Target="https://m.stock.naver.com/research/company/82809" TargetMode="External"/><Relationship Id="rId13982" Type="http://schemas.openxmlformats.org/officeDocument/2006/relationships/hyperlink" Target="https://m.stock.naver.com/research/company/93750" TargetMode="External"/><Relationship Id="rId2990" Type="http://schemas.openxmlformats.org/officeDocument/2006/relationships/hyperlink" Target="https://m.stock.naver.com/research/company/90263" TargetMode="External"/><Relationship Id="rId6033" Type="http://schemas.openxmlformats.org/officeDocument/2006/relationships/hyperlink" Target="https://m.stock.naver.com/research/company/87207" TargetMode="External"/><Relationship Id="rId12584" Type="http://schemas.openxmlformats.org/officeDocument/2006/relationships/hyperlink" Target="https://m.stock.naver.com/research/company/80624" TargetMode="External"/><Relationship Id="rId13635" Type="http://schemas.openxmlformats.org/officeDocument/2006/relationships/hyperlink" Target="https://m.stock.naver.com/research/company/79569" TargetMode="External"/><Relationship Id="rId962" Type="http://schemas.openxmlformats.org/officeDocument/2006/relationships/hyperlink" Target="https://m.stock.naver.com/research/company/92494" TargetMode="External"/><Relationship Id="rId1592" Type="http://schemas.openxmlformats.org/officeDocument/2006/relationships/hyperlink" Target="https://m.stock.naver.com/research/company/91663" TargetMode="External"/><Relationship Id="rId2643" Type="http://schemas.openxmlformats.org/officeDocument/2006/relationships/hyperlink" Target="https://m.stock.naver.com/research/company/90611" TargetMode="External"/><Relationship Id="rId9256" Type="http://schemas.openxmlformats.org/officeDocument/2006/relationships/hyperlink" Target="https://m.stock.naver.com/research/company/83972" TargetMode="External"/><Relationship Id="rId11186" Type="http://schemas.openxmlformats.org/officeDocument/2006/relationships/hyperlink" Target="https://m.stock.naver.com/research/company/82034" TargetMode="External"/><Relationship Id="rId12237" Type="http://schemas.openxmlformats.org/officeDocument/2006/relationships/hyperlink" Target="https://m.stock.naver.com/research/company/80973" TargetMode="External"/><Relationship Id="rId615" Type="http://schemas.openxmlformats.org/officeDocument/2006/relationships/hyperlink" Target="https://m.stock.naver.com/research/company/92841" TargetMode="External"/><Relationship Id="rId1245" Type="http://schemas.openxmlformats.org/officeDocument/2006/relationships/hyperlink" Target="https://m.stock.naver.com/research/company/92010" TargetMode="External"/><Relationship Id="rId4468" Type="http://schemas.openxmlformats.org/officeDocument/2006/relationships/hyperlink" Target="https://m.stock.naver.com/research/company/88772" TargetMode="External"/><Relationship Id="rId5866" Type="http://schemas.openxmlformats.org/officeDocument/2006/relationships/hyperlink" Target="https://m.stock.naver.com/research/company/87374" TargetMode="External"/><Relationship Id="rId6917" Type="http://schemas.openxmlformats.org/officeDocument/2006/relationships/hyperlink" Target="https://m.stock.naver.com/research/company/86322" TargetMode="External"/><Relationship Id="rId5519" Type="http://schemas.openxmlformats.org/officeDocument/2006/relationships/hyperlink" Target="https://m.stock.naver.com/research/company/87721" TargetMode="External"/><Relationship Id="rId11320" Type="http://schemas.openxmlformats.org/officeDocument/2006/relationships/hyperlink" Target="https://m.stock.naver.com/research/company/81899" TargetMode="External"/><Relationship Id="rId14890" Type="http://schemas.openxmlformats.org/officeDocument/2006/relationships/hyperlink" Target="https://m.stock.naver.com/research/company/94734" TargetMode="External"/><Relationship Id="rId13492" Type="http://schemas.openxmlformats.org/officeDocument/2006/relationships/hyperlink" Target="https://m.stock.naver.com/research/company/79712" TargetMode="External"/><Relationship Id="rId14543" Type="http://schemas.openxmlformats.org/officeDocument/2006/relationships/hyperlink" Target="https://m.stock.naver.com/research/company/94367" TargetMode="External"/><Relationship Id="rId3551" Type="http://schemas.openxmlformats.org/officeDocument/2006/relationships/hyperlink" Target="https://m.stock.naver.com/research/company/89700" TargetMode="External"/><Relationship Id="rId4602" Type="http://schemas.openxmlformats.org/officeDocument/2006/relationships/hyperlink" Target="https://m.stock.naver.com/research/company/88638" TargetMode="External"/><Relationship Id="rId12094" Type="http://schemas.openxmlformats.org/officeDocument/2006/relationships/hyperlink" Target="https://m.stock.naver.com/research/company/81117" TargetMode="External"/><Relationship Id="rId13145" Type="http://schemas.openxmlformats.org/officeDocument/2006/relationships/hyperlink" Target="https://m.stock.naver.com/research/company/80062" TargetMode="External"/><Relationship Id="rId472" Type="http://schemas.openxmlformats.org/officeDocument/2006/relationships/hyperlink" Target="https://m.stock.naver.com/research/company/92985" TargetMode="External"/><Relationship Id="rId2153" Type="http://schemas.openxmlformats.org/officeDocument/2006/relationships/hyperlink" Target="https://m.stock.naver.com/research/company/91102" TargetMode="External"/><Relationship Id="rId3204" Type="http://schemas.openxmlformats.org/officeDocument/2006/relationships/hyperlink" Target="https://m.stock.naver.com/research/company/90047" TargetMode="External"/><Relationship Id="rId6774" Type="http://schemas.openxmlformats.org/officeDocument/2006/relationships/hyperlink" Target="https://m.stock.naver.com/research/company/86466" TargetMode="External"/><Relationship Id="rId7825" Type="http://schemas.openxmlformats.org/officeDocument/2006/relationships/hyperlink" Target="https://m.stock.naver.com/research/company/85413" TargetMode="External"/><Relationship Id="rId125" Type="http://schemas.openxmlformats.org/officeDocument/2006/relationships/hyperlink" Target="https://m.stock.naver.com/research/company/93333" TargetMode="External"/><Relationship Id="rId5376" Type="http://schemas.openxmlformats.org/officeDocument/2006/relationships/hyperlink" Target="https://m.stock.naver.com/research/company/87864" TargetMode="External"/><Relationship Id="rId6427" Type="http://schemas.openxmlformats.org/officeDocument/2006/relationships/hyperlink" Target="https://m.stock.naver.com/research/company/86813" TargetMode="External"/><Relationship Id="rId10806" Type="http://schemas.openxmlformats.org/officeDocument/2006/relationships/hyperlink" Target="https://m.stock.naver.com/research/company/82414" TargetMode="External"/><Relationship Id="rId5029" Type="http://schemas.openxmlformats.org/officeDocument/2006/relationships/hyperlink" Target="https://m.stock.naver.com/research/company/88211" TargetMode="External"/><Relationship Id="rId8599" Type="http://schemas.openxmlformats.org/officeDocument/2006/relationships/hyperlink" Target="https://m.stock.naver.com/research/company/84638" TargetMode="External"/><Relationship Id="rId9997" Type="http://schemas.openxmlformats.org/officeDocument/2006/relationships/hyperlink" Target="https://m.stock.naver.com/research/company/83224" TargetMode="External"/><Relationship Id="rId12978" Type="http://schemas.openxmlformats.org/officeDocument/2006/relationships/hyperlink" Target="https://m.stock.naver.com/research/company/80230" TargetMode="External"/><Relationship Id="rId1986" Type="http://schemas.openxmlformats.org/officeDocument/2006/relationships/hyperlink" Target="https://m.stock.naver.com/research/company/91269" TargetMode="External"/><Relationship Id="rId15451" Type="http://schemas.openxmlformats.org/officeDocument/2006/relationships/hyperlink" Target="https://m.stock.naver.com/research/company/95336" TargetMode="External"/><Relationship Id="rId1639" Type="http://schemas.openxmlformats.org/officeDocument/2006/relationships/hyperlink" Target="https://m.stock.naver.com/research/company/91616" TargetMode="External"/><Relationship Id="rId3061" Type="http://schemas.openxmlformats.org/officeDocument/2006/relationships/hyperlink" Target="https://m.stock.naver.com/research/company/90190" TargetMode="External"/><Relationship Id="rId5510" Type="http://schemas.openxmlformats.org/officeDocument/2006/relationships/hyperlink" Target="https://m.stock.naver.com/research/company/87730" TargetMode="External"/><Relationship Id="rId14053" Type="http://schemas.openxmlformats.org/officeDocument/2006/relationships/hyperlink" Target="https://m.stock.naver.com/research/company/93870" TargetMode="External"/><Relationship Id="rId15104" Type="http://schemas.openxmlformats.org/officeDocument/2006/relationships/hyperlink" Target="https://m.stock.naver.com/research/company/94990" TargetMode="External"/><Relationship Id="rId4112" Type="http://schemas.openxmlformats.org/officeDocument/2006/relationships/hyperlink" Target="https://m.stock.naver.com/research/company/89139" TargetMode="External"/><Relationship Id="rId7682" Type="http://schemas.openxmlformats.org/officeDocument/2006/relationships/hyperlink" Target="https://m.stock.naver.com/research/company/85557" TargetMode="External"/><Relationship Id="rId8733" Type="http://schemas.openxmlformats.org/officeDocument/2006/relationships/hyperlink" Target="https://m.stock.naver.com/research/company/84504" TargetMode="External"/><Relationship Id="rId10663" Type="http://schemas.openxmlformats.org/officeDocument/2006/relationships/hyperlink" Target="https://m.stock.naver.com/research/company/82557" TargetMode="External"/><Relationship Id="rId11714" Type="http://schemas.openxmlformats.org/officeDocument/2006/relationships/hyperlink" Target="https://m.stock.naver.com/research/company/81498" TargetMode="External"/><Relationship Id="rId6284" Type="http://schemas.openxmlformats.org/officeDocument/2006/relationships/hyperlink" Target="https://m.stock.naver.com/research/company/86956" TargetMode="External"/><Relationship Id="rId7335" Type="http://schemas.openxmlformats.org/officeDocument/2006/relationships/hyperlink" Target="https://m.stock.naver.com/research/company/85904" TargetMode="External"/><Relationship Id="rId10316" Type="http://schemas.openxmlformats.org/officeDocument/2006/relationships/hyperlink" Target="https://m.stock.naver.com/research/company/82905" TargetMode="External"/><Relationship Id="rId2894" Type="http://schemas.openxmlformats.org/officeDocument/2006/relationships/hyperlink" Target="https://m.stock.naver.com/research/company/90359" TargetMode="External"/><Relationship Id="rId12488" Type="http://schemas.openxmlformats.org/officeDocument/2006/relationships/hyperlink" Target="https://m.stock.naver.com/research/company/80720" TargetMode="External"/><Relationship Id="rId13886" Type="http://schemas.openxmlformats.org/officeDocument/2006/relationships/hyperlink" Target="https://m.stock.naver.com/research/company/93680" TargetMode="External"/><Relationship Id="rId14937" Type="http://schemas.openxmlformats.org/officeDocument/2006/relationships/hyperlink" Target="https://m.stock.naver.com/research/company/94897" TargetMode="External"/><Relationship Id="rId866" Type="http://schemas.openxmlformats.org/officeDocument/2006/relationships/hyperlink" Target="https://m.stock.naver.com/research/company/92590" TargetMode="External"/><Relationship Id="rId1496" Type="http://schemas.openxmlformats.org/officeDocument/2006/relationships/hyperlink" Target="https://m.stock.naver.com/research/company/91759" TargetMode="External"/><Relationship Id="rId2547" Type="http://schemas.openxmlformats.org/officeDocument/2006/relationships/hyperlink" Target="https://m.stock.naver.com/research/company/90707" TargetMode="External"/><Relationship Id="rId3945" Type="http://schemas.openxmlformats.org/officeDocument/2006/relationships/hyperlink" Target="https://m.stock.naver.com/research/company/89306" TargetMode="External"/><Relationship Id="rId13539" Type="http://schemas.openxmlformats.org/officeDocument/2006/relationships/hyperlink" Target="https://m.stock.naver.com/research/company/79665" TargetMode="External"/><Relationship Id="rId519" Type="http://schemas.openxmlformats.org/officeDocument/2006/relationships/hyperlink" Target="https://m.stock.naver.com/research/company/92938" TargetMode="External"/><Relationship Id="rId1149" Type="http://schemas.openxmlformats.org/officeDocument/2006/relationships/hyperlink" Target="https://m.stock.naver.com/research/company/92106" TargetMode="External"/><Relationship Id="rId5020" Type="http://schemas.openxmlformats.org/officeDocument/2006/relationships/hyperlink" Target="https://m.stock.naver.com/research/company/88220" TargetMode="External"/><Relationship Id="rId7192" Type="http://schemas.openxmlformats.org/officeDocument/2006/relationships/hyperlink" Target="https://m.stock.naver.com/research/company/86047" TargetMode="External"/><Relationship Id="rId8590" Type="http://schemas.openxmlformats.org/officeDocument/2006/relationships/hyperlink" Target="https://m.stock.naver.com/research/company/84647" TargetMode="External"/><Relationship Id="rId9641" Type="http://schemas.openxmlformats.org/officeDocument/2006/relationships/hyperlink" Target="https://m.stock.naver.com/research/company/83584" TargetMode="External"/><Relationship Id="rId11571" Type="http://schemas.openxmlformats.org/officeDocument/2006/relationships/hyperlink" Target="https://m.stock.naver.com/research/company/81642" TargetMode="External"/><Relationship Id="rId12622" Type="http://schemas.openxmlformats.org/officeDocument/2006/relationships/hyperlink" Target="https://m.stock.naver.com/research/company/80586" TargetMode="External"/><Relationship Id="rId1630" Type="http://schemas.openxmlformats.org/officeDocument/2006/relationships/hyperlink" Target="https://m.stock.naver.com/research/company/91625" TargetMode="External"/><Relationship Id="rId8243" Type="http://schemas.openxmlformats.org/officeDocument/2006/relationships/hyperlink" Target="https://m.stock.naver.com/research/company/84995" TargetMode="External"/><Relationship Id="rId10173" Type="http://schemas.openxmlformats.org/officeDocument/2006/relationships/hyperlink" Target="https://m.stock.naver.com/research/company/83048" TargetMode="External"/><Relationship Id="rId11224" Type="http://schemas.openxmlformats.org/officeDocument/2006/relationships/hyperlink" Target="https://m.stock.naver.com/research/company/81995" TargetMode="External"/><Relationship Id="rId14794" Type="http://schemas.openxmlformats.org/officeDocument/2006/relationships/hyperlink" Target="https://m.stock.naver.com/research/company/94606" TargetMode="External"/><Relationship Id="rId4853" Type="http://schemas.openxmlformats.org/officeDocument/2006/relationships/hyperlink" Target="https://m.stock.naver.com/research/company/88387" TargetMode="External"/><Relationship Id="rId5904" Type="http://schemas.openxmlformats.org/officeDocument/2006/relationships/hyperlink" Target="https://m.stock.naver.com/research/company/87336" TargetMode="External"/><Relationship Id="rId13396" Type="http://schemas.openxmlformats.org/officeDocument/2006/relationships/hyperlink" Target="https://m.stock.naver.com/research/company/79809" TargetMode="External"/><Relationship Id="rId14447" Type="http://schemas.openxmlformats.org/officeDocument/2006/relationships/hyperlink" Target="https://m.stock.naver.com/research/company/94463" TargetMode="External"/><Relationship Id="rId3455" Type="http://schemas.openxmlformats.org/officeDocument/2006/relationships/hyperlink" Target="https://m.stock.naver.com/research/company/89796" TargetMode="External"/><Relationship Id="rId4506" Type="http://schemas.openxmlformats.org/officeDocument/2006/relationships/hyperlink" Target="https://m.stock.naver.com/research/company/88734" TargetMode="External"/><Relationship Id="rId13049" Type="http://schemas.openxmlformats.org/officeDocument/2006/relationships/hyperlink" Target="https://m.stock.naver.com/research/company/80158" TargetMode="External"/><Relationship Id="rId376" Type="http://schemas.openxmlformats.org/officeDocument/2006/relationships/hyperlink" Target="https://m.stock.naver.com/research/company/93082" TargetMode="External"/><Relationship Id="rId2057" Type="http://schemas.openxmlformats.org/officeDocument/2006/relationships/hyperlink" Target="https://m.stock.naver.com/research/company/91198" TargetMode="External"/><Relationship Id="rId3108" Type="http://schemas.openxmlformats.org/officeDocument/2006/relationships/hyperlink" Target="https://m.stock.naver.com/research/company/90143" TargetMode="External"/><Relationship Id="rId6678" Type="http://schemas.openxmlformats.org/officeDocument/2006/relationships/hyperlink" Target="https://m.stock.naver.com/research/company/86562" TargetMode="External"/><Relationship Id="rId7729" Type="http://schemas.openxmlformats.org/officeDocument/2006/relationships/hyperlink" Target="https://m.stock.naver.com/research/company/85510" TargetMode="External"/><Relationship Id="rId9151" Type="http://schemas.openxmlformats.org/officeDocument/2006/relationships/hyperlink" Target="https://m.stock.naver.com/research/company/84079" TargetMode="External"/><Relationship Id="rId13530" Type="http://schemas.openxmlformats.org/officeDocument/2006/relationships/hyperlink" Target="https://m.stock.naver.com/research/company/79674" TargetMode="External"/><Relationship Id="rId1140" Type="http://schemas.openxmlformats.org/officeDocument/2006/relationships/hyperlink" Target="https://m.stock.naver.com/research/company/92115" TargetMode="External"/><Relationship Id="rId11081" Type="http://schemas.openxmlformats.org/officeDocument/2006/relationships/hyperlink" Target="https://m.stock.naver.com/research/company/82139" TargetMode="External"/><Relationship Id="rId12132" Type="http://schemas.openxmlformats.org/officeDocument/2006/relationships/hyperlink" Target="https://m.stock.naver.com/research/company/81079" TargetMode="External"/><Relationship Id="rId510" Type="http://schemas.openxmlformats.org/officeDocument/2006/relationships/hyperlink" Target="https://m.stock.naver.com/research/company/92947" TargetMode="External"/><Relationship Id="rId5761" Type="http://schemas.openxmlformats.org/officeDocument/2006/relationships/hyperlink" Target="https://m.stock.naver.com/research/company/87479" TargetMode="External"/><Relationship Id="rId6812" Type="http://schemas.openxmlformats.org/officeDocument/2006/relationships/hyperlink" Target="https://m.stock.naver.com/research/company/86428" TargetMode="External"/><Relationship Id="rId15355" Type="http://schemas.openxmlformats.org/officeDocument/2006/relationships/hyperlink" Target="https://m.stock.naver.com/research/company/95233" TargetMode="External"/><Relationship Id="rId4363" Type="http://schemas.openxmlformats.org/officeDocument/2006/relationships/hyperlink" Target="https://m.stock.naver.com/research/company/88878" TargetMode="External"/><Relationship Id="rId5414" Type="http://schemas.openxmlformats.org/officeDocument/2006/relationships/hyperlink" Target="https://m.stock.naver.com/research/company/87826" TargetMode="External"/><Relationship Id="rId8984" Type="http://schemas.openxmlformats.org/officeDocument/2006/relationships/hyperlink" Target="https://m.stock.naver.com/research/company/84248" TargetMode="External"/><Relationship Id="rId15008" Type="http://schemas.openxmlformats.org/officeDocument/2006/relationships/hyperlink" Target="https://m.stock.naver.com/research/company/94826" TargetMode="External"/><Relationship Id="rId4016" Type="http://schemas.openxmlformats.org/officeDocument/2006/relationships/hyperlink" Target="https://m.stock.naver.com/research/company/89235" TargetMode="External"/><Relationship Id="rId7586" Type="http://schemas.openxmlformats.org/officeDocument/2006/relationships/hyperlink" Target="https://m.stock.naver.com/research/company/85653" TargetMode="External"/><Relationship Id="rId8637" Type="http://schemas.openxmlformats.org/officeDocument/2006/relationships/hyperlink" Target="https://m.stock.naver.com/research/company/84600" TargetMode="External"/><Relationship Id="rId10567" Type="http://schemas.openxmlformats.org/officeDocument/2006/relationships/hyperlink" Target="https://m.stock.naver.com/research/company/82653" TargetMode="External"/><Relationship Id="rId11965" Type="http://schemas.openxmlformats.org/officeDocument/2006/relationships/hyperlink" Target="https://m.stock.naver.com/research/company/81246" TargetMode="External"/><Relationship Id="rId6188" Type="http://schemas.openxmlformats.org/officeDocument/2006/relationships/hyperlink" Target="https://m.stock.naver.com/research/company/87052" TargetMode="External"/><Relationship Id="rId7239" Type="http://schemas.openxmlformats.org/officeDocument/2006/relationships/hyperlink" Target="https://m.stock.naver.com/research/company/86000" TargetMode="External"/><Relationship Id="rId11618" Type="http://schemas.openxmlformats.org/officeDocument/2006/relationships/hyperlink" Target="https://m.stock.naver.com/research/company/81594" TargetMode="External"/><Relationship Id="rId13040" Type="http://schemas.openxmlformats.org/officeDocument/2006/relationships/hyperlink" Target="https://m.stock.naver.com/research/company/80167" TargetMode="External"/><Relationship Id="rId2798" Type="http://schemas.openxmlformats.org/officeDocument/2006/relationships/hyperlink" Target="https://m.stock.naver.com/research/company/90456" TargetMode="External"/><Relationship Id="rId3849" Type="http://schemas.openxmlformats.org/officeDocument/2006/relationships/hyperlink" Target="https://m.stock.naver.com/research/company/89402" TargetMode="External"/><Relationship Id="rId5271" Type="http://schemas.openxmlformats.org/officeDocument/2006/relationships/hyperlink" Target="https://m.stock.naver.com/research/company/87969" TargetMode="External"/><Relationship Id="rId7720" Type="http://schemas.openxmlformats.org/officeDocument/2006/relationships/hyperlink" Target="https://m.stock.naver.com/research/company/85519" TargetMode="External"/><Relationship Id="rId10701" Type="http://schemas.openxmlformats.org/officeDocument/2006/relationships/hyperlink" Target="https://m.stock.naver.com/research/company/82519" TargetMode="External"/><Relationship Id="rId6322" Type="http://schemas.openxmlformats.org/officeDocument/2006/relationships/hyperlink" Target="https://m.stock.naver.com/research/company/86918" TargetMode="External"/><Relationship Id="rId9892" Type="http://schemas.openxmlformats.org/officeDocument/2006/relationships/hyperlink" Target="https://m.stock.naver.com/research/company/83330" TargetMode="External"/><Relationship Id="rId12873" Type="http://schemas.openxmlformats.org/officeDocument/2006/relationships/hyperlink" Target="https://m.stock.naver.com/research/company/80335" TargetMode="External"/><Relationship Id="rId13924" Type="http://schemas.openxmlformats.org/officeDocument/2006/relationships/hyperlink" Target="https://m.stock.naver.com/research/company/93713" TargetMode="External"/><Relationship Id="rId1881" Type="http://schemas.openxmlformats.org/officeDocument/2006/relationships/hyperlink" Target="https://m.stock.naver.com/research/company/91374" TargetMode="External"/><Relationship Id="rId2932" Type="http://schemas.openxmlformats.org/officeDocument/2006/relationships/hyperlink" Target="https://m.stock.naver.com/research/company/90321" TargetMode="External"/><Relationship Id="rId8494" Type="http://schemas.openxmlformats.org/officeDocument/2006/relationships/hyperlink" Target="https://m.stock.naver.com/research/company/84743" TargetMode="External"/><Relationship Id="rId9545" Type="http://schemas.openxmlformats.org/officeDocument/2006/relationships/hyperlink" Target="https://m.stock.naver.com/research/company/83682" TargetMode="External"/><Relationship Id="rId11475" Type="http://schemas.openxmlformats.org/officeDocument/2006/relationships/hyperlink" Target="https://m.stock.naver.com/research/company/81740" TargetMode="External"/><Relationship Id="rId12526" Type="http://schemas.openxmlformats.org/officeDocument/2006/relationships/hyperlink" Target="https://m.stock.naver.com/research/company/80682" TargetMode="External"/><Relationship Id="rId904" Type="http://schemas.openxmlformats.org/officeDocument/2006/relationships/hyperlink" Target="https://m.stock.naver.com/research/company/92552" TargetMode="External"/><Relationship Id="rId1534" Type="http://schemas.openxmlformats.org/officeDocument/2006/relationships/hyperlink" Target="https://m.stock.naver.com/research/company/91721" TargetMode="External"/><Relationship Id="rId7096" Type="http://schemas.openxmlformats.org/officeDocument/2006/relationships/hyperlink" Target="https://m.stock.naver.com/research/company/86143" TargetMode="External"/><Relationship Id="rId8147" Type="http://schemas.openxmlformats.org/officeDocument/2006/relationships/hyperlink" Target="https://m.stock.naver.com/research/company/85091" TargetMode="External"/><Relationship Id="rId10077" Type="http://schemas.openxmlformats.org/officeDocument/2006/relationships/hyperlink" Target="https://m.stock.naver.com/research/company/83144" TargetMode="External"/><Relationship Id="rId11128" Type="http://schemas.openxmlformats.org/officeDocument/2006/relationships/hyperlink" Target="https://m.stock.naver.com/research/company/82092" TargetMode="External"/><Relationship Id="rId14698" Type="http://schemas.openxmlformats.org/officeDocument/2006/relationships/hyperlink" Target="https://m.stock.naver.com/research/company/94702" TargetMode="External"/><Relationship Id="rId4757" Type="http://schemas.openxmlformats.org/officeDocument/2006/relationships/hyperlink" Target="https://m.stock.naver.com/research/company/88483" TargetMode="External"/><Relationship Id="rId15749" Type="http://schemas.openxmlformats.org/officeDocument/2006/relationships/hyperlink" Target="https://m.stock.naver.com/research/company/95665" TargetMode="External"/><Relationship Id="rId3359" Type="http://schemas.openxmlformats.org/officeDocument/2006/relationships/hyperlink" Target="https://m.stock.naver.com/research/company/89891" TargetMode="External"/><Relationship Id="rId5808" Type="http://schemas.openxmlformats.org/officeDocument/2006/relationships/hyperlink" Target="https://m.stock.naver.com/research/company/87432" TargetMode="External"/><Relationship Id="rId7230" Type="http://schemas.openxmlformats.org/officeDocument/2006/relationships/hyperlink" Target="https://m.stock.naver.com/research/company/86009" TargetMode="External"/><Relationship Id="rId10211" Type="http://schemas.openxmlformats.org/officeDocument/2006/relationships/hyperlink" Target="https://m.stock.naver.com/research/company/83010" TargetMode="External"/><Relationship Id="rId13781" Type="http://schemas.openxmlformats.org/officeDocument/2006/relationships/hyperlink" Target="https://m.stock.naver.com/research/company/93607" TargetMode="External"/><Relationship Id="rId14832" Type="http://schemas.openxmlformats.org/officeDocument/2006/relationships/hyperlink" Target="https://m.stock.naver.com/research/company/94792" TargetMode="External"/><Relationship Id="rId3840" Type="http://schemas.openxmlformats.org/officeDocument/2006/relationships/hyperlink" Target="https://m.stock.naver.com/research/company/89411" TargetMode="External"/><Relationship Id="rId9055" Type="http://schemas.openxmlformats.org/officeDocument/2006/relationships/hyperlink" Target="https://m.stock.naver.com/research/company/84176" TargetMode="External"/><Relationship Id="rId12383" Type="http://schemas.openxmlformats.org/officeDocument/2006/relationships/hyperlink" Target="https://m.stock.naver.com/research/company/80826" TargetMode="External"/><Relationship Id="rId13434" Type="http://schemas.openxmlformats.org/officeDocument/2006/relationships/hyperlink" Target="https://m.stock.naver.com/research/company/79771" TargetMode="External"/><Relationship Id="rId761" Type="http://schemas.openxmlformats.org/officeDocument/2006/relationships/hyperlink" Target="https://m.stock.naver.com/research/company/92695" TargetMode="External"/><Relationship Id="rId1391" Type="http://schemas.openxmlformats.org/officeDocument/2006/relationships/hyperlink" Target="https://m.stock.naver.com/research/company/91864" TargetMode="External"/><Relationship Id="rId2442" Type="http://schemas.openxmlformats.org/officeDocument/2006/relationships/hyperlink" Target="https://m.stock.naver.com/research/company/90812" TargetMode="External"/><Relationship Id="rId12036" Type="http://schemas.openxmlformats.org/officeDocument/2006/relationships/hyperlink" Target="https://m.stock.naver.com/research/company/81175" TargetMode="External"/><Relationship Id="rId414" Type="http://schemas.openxmlformats.org/officeDocument/2006/relationships/hyperlink" Target="https://m.stock.naver.com/research/company/93043" TargetMode="External"/><Relationship Id="rId1044" Type="http://schemas.openxmlformats.org/officeDocument/2006/relationships/hyperlink" Target="https://m.stock.naver.com/research/company/92307" TargetMode="External"/><Relationship Id="rId5665" Type="http://schemas.openxmlformats.org/officeDocument/2006/relationships/hyperlink" Target="https://m.stock.naver.com/research/company/87575" TargetMode="External"/><Relationship Id="rId6716" Type="http://schemas.openxmlformats.org/officeDocument/2006/relationships/hyperlink" Target="https://m.stock.naver.com/research/company/86524" TargetMode="External"/><Relationship Id="rId15259" Type="http://schemas.openxmlformats.org/officeDocument/2006/relationships/hyperlink" Target="https://m.stock.naver.com/research/company/95101" TargetMode="External"/><Relationship Id="rId4267" Type="http://schemas.openxmlformats.org/officeDocument/2006/relationships/hyperlink" Target="https://m.stock.naver.com/research/company/88974" TargetMode="External"/><Relationship Id="rId5318" Type="http://schemas.openxmlformats.org/officeDocument/2006/relationships/hyperlink" Target="https://m.stock.naver.com/research/company/87922" TargetMode="External"/><Relationship Id="rId8888" Type="http://schemas.openxmlformats.org/officeDocument/2006/relationships/hyperlink" Target="https://m.stock.naver.com/research/company/84348" TargetMode="External"/><Relationship Id="rId9939" Type="http://schemas.openxmlformats.org/officeDocument/2006/relationships/hyperlink" Target="https://m.stock.naver.com/research/company/83283" TargetMode="External"/><Relationship Id="rId11869" Type="http://schemas.openxmlformats.org/officeDocument/2006/relationships/hyperlink" Target="https://m.stock.naver.com/research/company/81343" TargetMode="External"/><Relationship Id="rId15740" Type="http://schemas.openxmlformats.org/officeDocument/2006/relationships/hyperlink" Target="https://m.stock.naver.com/research/company/95674" TargetMode="External"/><Relationship Id="rId1928" Type="http://schemas.openxmlformats.org/officeDocument/2006/relationships/hyperlink" Target="https://m.stock.naver.com/research/company/91327" TargetMode="External"/><Relationship Id="rId3350" Type="http://schemas.openxmlformats.org/officeDocument/2006/relationships/hyperlink" Target="https://m.stock.naver.com/research/company/89900" TargetMode="External"/><Relationship Id="rId13291" Type="http://schemas.openxmlformats.org/officeDocument/2006/relationships/hyperlink" Target="https://m.stock.naver.com/research/company/79914" TargetMode="External"/><Relationship Id="rId14342" Type="http://schemas.openxmlformats.org/officeDocument/2006/relationships/hyperlink" Target="https://m.stock.naver.com/research/company/94209" TargetMode="External"/><Relationship Id="rId271" Type="http://schemas.openxmlformats.org/officeDocument/2006/relationships/hyperlink" Target="https://m.stock.naver.com/research/company/93187" TargetMode="External"/><Relationship Id="rId3003" Type="http://schemas.openxmlformats.org/officeDocument/2006/relationships/hyperlink" Target="https://m.stock.naver.com/research/company/90248" TargetMode="External"/><Relationship Id="rId4401" Type="http://schemas.openxmlformats.org/officeDocument/2006/relationships/hyperlink" Target="https://m.stock.naver.com/research/company/88840" TargetMode="External"/><Relationship Id="rId7971" Type="http://schemas.openxmlformats.org/officeDocument/2006/relationships/hyperlink" Target="https://m.stock.naver.com/research/company/85267" TargetMode="External"/><Relationship Id="rId10952" Type="http://schemas.openxmlformats.org/officeDocument/2006/relationships/hyperlink" Target="https://m.stock.naver.com/research/company/82268" TargetMode="External"/><Relationship Id="rId6573" Type="http://schemas.openxmlformats.org/officeDocument/2006/relationships/hyperlink" Target="https://m.stock.naver.com/research/company/86667" TargetMode="External"/><Relationship Id="rId7624" Type="http://schemas.openxmlformats.org/officeDocument/2006/relationships/hyperlink" Target="https://m.stock.naver.com/research/company/85615" TargetMode="External"/><Relationship Id="rId10605" Type="http://schemas.openxmlformats.org/officeDocument/2006/relationships/hyperlink" Target="https://m.stock.naver.com/research/company/82615" TargetMode="External"/><Relationship Id="rId5175" Type="http://schemas.openxmlformats.org/officeDocument/2006/relationships/hyperlink" Target="https://m.stock.naver.com/research/company/88065" TargetMode="External"/><Relationship Id="rId6226" Type="http://schemas.openxmlformats.org/officeDocument/2006/relationships/hyperlink" Target="https://m.stock.naver.com/research/company/87014" TargetMode="External"/><Relationship Id="rId9796" Type="http://schemas.openxmlformats.org/officeDocument/2006/relationships/hyperlink" Target="https://m.stock.naver.com/research/company/83426" TargetMode="External"/><Relationship Id="rId12777" Type="http://schemas.openxmlformats.org/officeDocument/2006/relationships/hyperlink" Target="https://m.stock.naver.com/research/company/80431" TargetMode="External"/><Relationship Id="rId1785" Type="http://schemas.openxmlformats.org/officeDocument/2006/relationships/hyperlink" Target="https://m.stock.naver.com/research/company/91470" TargetMode="External"/><Relationship Id="rId2836" Type="http://schemas.openxmlformats.org/officeDocument/2006/relationships/hyperlink" Target="https://m.stock.naver.com/research/company/90417" TargetMode="External"/><Relationship Id="rId8398" Type="http://schemas.openxmlformats.org/officeDocument/2006/relationships/hyperlink" Target="https://m.stock.naver.com/research/company/84840" TargetMode="External"/><Relationship Id="rId9449" Type="http://schemas.openxmlformats.org/officeDocument/2006/relationships/hyperlink" Target="https://m.stock.naver.com/research/company/83778" TargetMode="External"/><Relationship Id="rId11379" Type="http://schemas.openxmlformats.org/officeDocument/2006/relationships/hyperlink" Target="https://m.stock.naver.com/research/company/81836" TargetMode="External"/><Relationship Id="rId13828" Type="http://schemas.openxmlformats.org/officeDocument/2006/relationships/hyperlink" Target="https://m.stock.naver.com/research/company/93550" TargetMode="External"/><Relationship Id="rId15250" Type="http://schemas.openxmlformats.org/officeDocument/2006/relationships/hyperlink" Target="https://m.stock.naver.com/research/company/95110" TargetMode="External"/><Relationship Id="rId808" Type="http://schemas.openxmlformats.org/officeDocument/2006/relationships/hyperlink" Target="https://m.stock.naver.com/research/company/92648" TargetMode="External"/><Relationship Id="rId1438" Type="http://schemas.openxmlformats.org/officeDocument/2006/relationships/hyperlink" Target="https://m.stock.naver.com/research/company/91817" TargetMode="External"/><Relationship Id="rId7481" Type="http://schemas.openxmlformats.org/officeDocument/2006/relationships/hyperlink" Target="https://m.stock.naver.com/research/company/85758" TargetMode="External"/><Relationship Id="rId9930" Type="http://schemas.openxmlformats.org/officeDocument/2006/relationships/hyperlink" Target="https://m.stock.naver.com/research/company/83292" TargetMode="External"/><Relationship Id="rId11860" Type="http://schemas.openxmlformats.org/officeDocument/2006/relationships/hyperlink" Target="https://m.stock.naver.com/research/company/81352" TargetMode="External"/><Relationship Id="rId12911" Type="http://schemas.openxmlformats.org/officeDocument/2006/relationships/hyperlink" Target="https://m.stock.naver.com/research/company/80297" TargetMode="External"/><Relationship Id="rId6083" Type="http://schemas.openxmlformats.org/officeDocument/2006/relationships/hyperlink" Target="https://m.stock.naver.com/research/company/87157" TargetMode="External"/><Relationship Id="rId7134" Type="http://schemas.openxmlformats.org/officeDocument/2006/relationships/hyperlink" Target="https://m.stock.naver.com/research/company/86105" TargetMode="External"/><Relationship Id="rId8532" Type="http://schemas.openxmlformats.org/officeDocument/2006/relationships/hyperlink" Target="https://m.stock.naver.com/research/company/84705" TargetMode="External"/><Relationship Id="rId10462" Type="http://schemas.openxmlformats.org/officeDocument/2006/relationships/hyperlink" Target="https://m.stock.naver.com/research/company/82758" TargetMode="External"/><Relationship Id="rId11513" Type="http://schemas.openxmlformats.org/officeDocument/2006/relationships/hyperlink" Target="https://m.stock.naver.com/research/company/81702" TargetMode="External"/><Relationship Id="rId10115" Type="http://schemas.openxmlformats.org/officeDocument/2006/relationships/hyperlink" Target="https://m.stock.naver.com/research/company/83106" TargetMode="External"/><Relationship Id="rId13685" Type="http://schemas.openxmlformats.org/officeDocument/2006/relationships/hyperlink" Target="https://m.stock.naver.com/research/company/93489" TargetMode="External"/><Relationship Id="rId14736" Type="http://schemas.openxmlformats.org/officeDocument/2006/relationships/hyperlink" Target="https://m.stock.naver.com/research/company/94664" TargetMode="External"/><Relationship Id="rId2693" Type="http://schemas.openxmlformats.org/officeDocument/2006/relationships/hyperlink" Target="https://m.stock.naver.com/research/company/90561" TargetMode="External"/><Relationship Id="rId3744" Type="http://schemas.openxmlformats.org/officeDocument/2006/relationships/hyperlink" Target="https://m.stock.naver.com/research/company/89507" TargetMode="External"/><Relationship Id="rId12287" Type="http://schemas.openxmlformats.org/officeDocument/2006/relationships/hyperlink" Target="https://m.stock.naver.com/research/company/80922" TargetMode="External"/><Relationship Id="rId13338" Type="http://schemas.openxmlformats.org/officeDocument/2006/relationships/hyperlink" Target="https://m.stock.naver.com/research/company/79867" TargetMode="External"/><Relationship Id="rId665" Type="http://schemas.openxmlformats.org/officeDocument/2006/relationships/hyperlink" Target="https://m.stock.naver.com/research/company/92791" TargetMode="External"/><Relationship Id="rId1295" Type="http://schemas.openxmlformats.org/officeDocument/2006/relationships/hyperlink" Target="https://m.stock.naver.com/research/company/91960" TargetMode="External"/><Relationship Id="rId2346" Type="http://schemas.openxmlformats.org/officeDocument/2006/relationships/hyperlink" Target="https://m.stock.naver.com/research/company/90909" TargetMode="External"/><Relationship Id="rId6967" Type="http://schemas.openxmlformats.org/officeDocument/2006/relationships/hyperlink" Target="https://m.stock.naver.com/research/company/86272" TargetMode="External"/><Relationship Id="rId318" Type="http://schemas.openxmlformats.org/officeDocument/2006/relationships/hyperlink" Target="https://m.stock.naver.com/research/company/93140" TargetMode="External"/><Relationship Id="rId5569" Type="http://schemas.openxmlformats.org/officeDocument/2006/relationships/hyperlink" Target="https://m.stock.naver.com/research/company/87671" TargetMode="External"/><Relationship Id="rId9440" Type="http://schemas.openxmlformats.org/officeDocument/2006/relationships/hyperlink" Target="https://m.stock.naver.com/research/company/83787" TargetMode="External"/><Relationship Id="rId8042" Type="http://schemas.openxmlformats.org/officeDocument/2006/relationships/hyperlink" Target="https://m.stock.naver.com/research/company/85196" TargetMode="External"/><Relationship Id="rId11370" Type="http://schemas.openxmlformats.org/officeDocument/2006/relationships/hyperlink" Target="https://m.stock.naver.com/research/company/81845" TargetMode="External"/><Relationship Id="rId12421" Type="http://schemas.openxmlformats.org/officeDocument/2006/relationships/hyperlink" Target="https://m.stock.naver.com/research/company/80788" TargetMode="External"/><Relationship Id="rId11023" Type="http://schemas.openxmlformats.org/officeDocument/2006/relationships/hyperlink" Target="https://m.stock.naver.com/research/company/82197" TargetMode="External"/><Relationship Id="rId14593" Type="http://schemas.openxmlformats.org/officeDocument/2006/relationships/hyperlink" Target="https://m.stock.naver.com/research/company/94486" TargetMode="External"/><Relationship Id="rId15644" Type="http://schemas.openxmlformats.org/officeDocument/2006/relationships/hyperlink" Target="https://m.stock.naver.com/research/company/95770" TargetMode="External"/><Relationship Id="rId4652" Type="http://schemas.openxmlformats.org/officeDocument/2006/relationships/hyperlink" Target="https://m.stock.naver.com/research/company/88588" TargetMode="External"/><Relationship Id="rId5703" Type="http://schemas.openxmlformats.org/officeDocument/2006/relationships/hyperlink" Target="https://m.stock.naver.com/research/company/87537" TargetMode="External"/><Relationship Id="rId13195" Type="http://schemas.openxmlformats.org/officeDocument/2006/relationships/hyperlink" Target="https://m.stock.naver.com/research/company/80012" TargetMode="External"/><Relationship Id="rId14246" Type="http://schemas.openxmlformats.org/officeDocument/2006/relationships/hyperlink" Target="https://m.stock.naver.com/research/company/94097" TargetMode="External"/><Relationship Id="rId175" Type="http://schemas.openxmlformats.org/officeDocument/2006/relationships/hyperlink" Target="https://m.stock.naver.com/research/company/93283" TargetMode="External"/><Relationship Id="rId3254" Type="http://schemas.openxmlformats.org/officeDocument/2006/relationships/hyperlink" Target="https://m.stock.naver.com/research/company/89996" TargetMode="External"/><Relationship Id="rId4305" Type="http://schemas.openxmlformats.org/officeDocument/2006/relationships/hyperlink" Target="https://m.stock.naver.com/research/company/88936" TargetMode="External"/><Relationship Id="rId7875" Type="http://schemas.openxmlformats.org/officeDocument/2006/relationships/hyperlink" Target="https://m.stock.naver.com/research/company/85363" TargetMode="External"/><Relationship Id="rId8926" Type="http://schemas.openxmlformats.org/officeDocument/2006/relationships/hyperlink" Target="https://m.stock.naver.com/research/company/84309" TargetMode="External"/><Relationship Id="rId10856" Type="http://schemas.openxmlformats.org/officeDocument/2006/relationships/hyperlink" Target="https://m.stock.naver.com/research/company/82364" TargetMode="External"/><Relationship Id="rId6477" Type="http://schemas.openxmlformats.org/officeDocument/2006/relationships/hyperlink" Target="https://m.stock.naver.com/research/company/86763" TargetMode="External"/><Relationship Id="rId7528" Type="http://schemas.openxmlformats.org/officeDocument/2006/relationships/hyperlink" Target="https://m.stock.naver.com/research/company/85711" TargetMode="External"/><Relationship Id="rId10509" Type="http://schemas.openxmlformats.org/officeDocument/2006/relationships/hyperlink" Target="https://m.stock.naver.com/research/company/82711" TargetMode="External"/><Relationship Id="rId11907" Type="http://schemas.openxmlformats.org/officeDocument/2006/relationships/hyperlink" Target="https://m.stock.naver.com/research/company/81304" TargetMode="External"/><Relationship Id="rId5079" Type="http://schemas.openxmlformats.org/officeDocument/2006/relationships/hyperlink" Target="https://m.stock.naver.com/research/company/88161" TargetMode="External"/><Relationship Id="rId1689" Type="http://schemas.openxmlformats.org/officeDocument/2006/relationships/hyperlink" Target="https://m.stock.naver.com/research/company/91566" TargetMode="External"/><Relationship Id="rId5560" Type="http://schemas.openxmlformats.org/officeDocument/2006/relationships/hyperlink" Target="https://m.stock.naver.com/research/company/87680" TargetMode="External"/><Relationship Id="rId15154" Type="http://schemas.openxmlformats.org/officeDocument/2006/relationships/hyperlink" Target="https://m.stock.naver.com/research/company/95206" TargetMode="External"/><Relationship Id="rId4162" Type="http://schemas.openxmlformats.org/officeDocument/2006/relationships/hyperlink" Target="https://m.stock.naver.com/research/company/89087" TargetMode="External"/><Relationship Id="rId5213" Type="http://schemas.openxmlformats.org/officeDocument/2006/relationships/hyperlink" Target="https://m.stock.naver.com/research/company/88027" TargetMode="External"/><Relationship Id="rId6611" Type="http://schemas.openxmlformats.org/officeDocument/2006/relationships/hyperlink" Target="https://m.stock.naver.com/research/company/86629" TargetMode="External"/><Relationship Id="rId8783" Type="http://schemas.openxmlformats.org/officeDocument/2006/relationships/hyperlink" Target="https://m.stock.naver.com/research/company/84454" TargetMode="External"/><Relationship Id="rId9834" Type="http://schemas.openxmlformats.org/officeDocument/2006/relationships/hyperlink" Target="https://m.stock.naver.com/research/company/83388" TargetMode="External"/><Relationship Id="rId11764" Type="http://schemas.openxmlformats.org/officeDocument/2006/relationships/hyperlink" Target="https://m.stock.naver.com/research/company/81448" TargetMode="External"/><Relationship Id="rId12815" Type="http://schemas.openxmlformats.org/officeDocument/2006/relationships/hyperlink" Target="https://m.stock.naver.com/research/company/80393" TargetMode="External"/><Relationship Id="rId48" Type="http://schemas.openxmlformats.org/officeDocument/2006/relationships/hyperlink" Target="https://m.stock.naver.com/research/company/93410" TargetMode="External"/><Relationship Id="rId1823" Type="http://schemas.openxmlformats.org/officeDocument/2006/relationships/hyperlink" Target="https://m.stock.naver.com/research/company/91432" TargetMode="External"/><Relationship Id="rId7385" Type="http://schemas.openxmlformats.org/officeDocument/2006/relationships/hyperlink" Target="https://m.stock.naver.com/research/company/85854" TargetMode="External"/><Relationship Id="rId8436" Type="http://schemas.openxmlformats.org/officeDocument/2006/relationships/hyperlink" Target="https://m.stock.naver.com/research/company/84802" TargetMode="External"/><Relationship Id="rId10366" Type="http://schemas.openxmlformats.org/officeDocument/2006/relationships/hyperlink" Target="https://m.stock.naver.com/research/company/82855" TargetMode="External"/><Relationship Id="rId11417" Type="http://schemas.openxmlformats.org/officeDocument/2006/relationships/hyperlink" Target="https://m.stock.naver.com/research/company/81798" TargetMode="External"/><Relationship Id="rId14987" Type="http://schemas.openxmlformats.org/officeDocument/2006/relationships/hyperlink" Target="https://m.stock.naver.com/research/company/94847" TargetMode="External"/><Relationship Id="rId3995" Type="http://schemas.openxmlformats.org/officeDocument/2006/relationships/hyperlink" Target="https://m.stock.naver.com/research/company/89256" TargetMode="External"/><Relationship Id="rId7038" Type="http://schemas.openxmlformats.org/officeDocument/2006/relationships/hyperlink" Target="https://m.stock.naver.com/research/company/86201" TargetMode="External"/><Relationship Id="rId10019" Type="http://schemas.openxmlformats.org/officeDocument/2006/relationships/hyperlink" Target="https://m.stock.naver.com/research/company/83202" TargetMode="External"/><Relationship Id="rId13589" Type="http://schemas.openxmlformats.org/officeDocument/2006/relationships/hyperlink" Target="https://m.stock.naver.com/research/company/79615" TargetMode="External"/><Relationship Id="rId2597" Type="http://schemas.openxmlformats.org/officeDocument/2006/relationships/hyperlink" Target="https://m.stock.naver.com/research/company/90657" TargetMode="External"/><Relationship Id="rId3648" Type="http://schemas.openxmlformats.org/officeDocument/2006/relationships/hyperlink" Target="https://m.stock.naver.com/research/company/89603" TargetMode="External"/><Relationship Id="rId569" Type="http://schemas.openxmlformats.org/officeDocument/2006/relationships/hyperlink" Target="https://m.stock.naver.com/research/company/92888" TargetMode="External"/><Relationship Id="rId1199" Type="http://schemas.openxmlformats.org/officeDocument/2006/relationships/hyperlink" Target="https://m.stock.naver.com/research/company/92056" TargetMode="External"/><Relationship Id="rId5070" Type="http://schemas.openxmlformats.org/officeDocument/2006/relationships/hyperlink" Target="https://m.stock.naver.com/research/company/88170" TargetMode="External"/><Relationship Id="rId6121" Type="http://schemas.openxmlformats.org/officeDocument/2006/relationships/hyperlink" Target="https://m.stock.naver.com/research/company/87119" TargetMode="External"/><Relationship Id="rId9691" Type="http://schemas.openxmlformats.org/officeDocument/2006/relationships/hyperlink" Target="https://m.stock.naver.com/research/company/83532" TargetMode="External"/><Relationship Id="rId10500" Type="http://schemas.openxmlformats.org/officeDocument/2006/relationships/hyperlink" Target="https://m.stock.naver.com/research/company/82720" TargetMode="External"/><Relationship Id="rId8293" Type="http://schemas.openxmlformats.org/officeDocument/2006/relationships/hyperlink" Target="https://m.stock.naver.com/research/company/84945" TargetMode="External"/><Relationship Id="rId9344" Type="http://schemas.openxmlformats.org/officeDocument/2006/relationships/hyperlink" Target="https://m.stock.naver.com/research/company/83883" TargetMode="External"/><Relationship Id="rId12672" Type="http://schemas.openxmlformats.org/officeDocument/2006/relationships/hyperlink" Target="https://m.stock.naver.com/research/company/80536" TargetMode="External"/><Relationship Id="rId13723" Type="http://schemas.openxmlformats.org/officeDocument/2006/relationships/hyperlink" Target="https://m.stock.naver.com/research/company/93516" TargetMode="External"/><Relationship Id="rId1680" Type="http://schemas.openxmlformats.org/officeDocument/2006/relationships/hyperlink" Target="https://m.stock.naver.com/research/company/91575" TargetMode="External"/><Relationship Id="rId2731" Type="http://schemas.openxmlformats.org/officeDocument/2006/relationships/hyperlink" Target="https://m.stock.naver.com/research/company/90523" TargetMode="External"/><Relationship Id="rId11274" Type="http://schemas.openxmlformats.org/officeDocument/2006/relationships/hyperlink" Target="https://m.stock.naver.com/research/company/81945" TargetMode="External"/><Relationship Id="rId12325" Type="http://schemas.openxmlformats.org/officeDocument/2006/relationships/hyperlink" Target="https://m.stock.naver.com/research/company/80884" TargetMode="External"/><Relationship Id="rId703" Type="http://schemas.openxmlformats.org/officeDocument/2006/relationships/hyperlink" Target="https://m.stock.naver.com/research/company/92753" TargetMode="External"/><Relationship Id="rId1333" Type="http://schemas.openxmlformats.org/officeDocument/2006/relationships/hyperlink" Target="https://m.stock.naver.com/research/company/91922" TargetMode="External"/><Relationship Id="rId5954" Type="http://schemas.openxmlformats.org/officeDocument/2006/relationships/hyperlink" Target="https://m.stock.naver.com/research/company/87286" TargetMode="External"/><Relationship Id="rId14497" Type="http://schemas.openxmlformats.org/officeDocument/2006/relationships/hyperlink" Target="https://m.stock.naver.com/research/company/94413" TargetMode="External"/><Relationship Id="rId15548" Type="http://schemas.openxmlformats.org/officeDocument/2006/relationships/hyperlink" Target="https://m.stock.naver.com/research/company/95488" TargetMode="External"/><Relationship Id="rId4556" Type="http://schemas.openxmlformats.org/officeDocument/2006/relationships/hyperlink" Target="https://m.stock.naver.com/research/company/88684" TargetMode="External"/><Relationship Id="rId5607" Type="http://schemas.openxmlformats.org/officeDocument/2006/relationships/hyperlink" Target="https://m.stock.naver.com/research/company/87633" TargetMode="External"/><Relationship Id="rId13099" Type="http://schemas.openxmlformats.org/officeDocument/2006/relationships/hyperlink" Target="https://m.stock.naver.com/research/company/80108" TargetMode="External"/><Relationship Id="rId3158" Type="http://schemas.openxmlformats.org/officeDocument/2006/relationships/hyperlink" Target="https://m.stock.naver.com/research/company/90093" TargetMode="External"/><Relationship Id="rId4209" Type="http://schemas.openxmlformats.org/officeDocument/2006/relationships/hyperlink" Target="https://m.stock.naver.com/research/company/89033" TargetMode="External"/><Relationship Id="rId7779" Type="http://schemas.openxmlformats.org/officeDocument/2006/relationships/hyperlink" Target="https://m.stock.naver.com/research/company/85460" TargetMode="External"/><Relationship Id="rId10010" Type="http://schemas.openxmlformats.org/officeDocument/2006/relationships/hyperlink" Target="https://m.stock.naver.com/research/company/83211" TargetMode="External"/><Relationship Id="rId12182" Type="http://schemas.openxmlformats.org/officeDocument/2006/relationships/hyperlink" Target="https://m.stock.naver.com/research/company/81029" TargetMode="External"/><Relationship Id="rId13580" Type="http://schemas.openxmlformats.org/officeDocument/2006/relationships/hyperlink" Target="https://m.stock.naver.com/research/company/79624" TargetMode="External"/><Relationship Id="rId14631" Type="http://schemas.openxmlformats.org/officeDocument/2006/relationships/hyperlink" Target="https://m.stock.naver.com/research/company/94546" TargetMode="External"/><Relationship Id="rId560" Type="http://schemas.openxmlformats.org/officeDocument/2006/relationships/hyperlink" Target="https://m.stock.naver.com/research/company/92897" TargetMode="External"/><Relationship Id="rId1190" Type="http://schemas.openxmlformats.org/officeDocument/2006/relationships/hyperlink" Target="https://m.stock.naver.com/research/company/92065" TargetMode="External"/><Relationship Id="rId2241" Type="http://schemas.openxmlformats.org/officeDocument/2006/relationships/hyperlink" Target="https://m.stock.naver.com/research/company/91014" TargetMode="External"/><Relationship Id="rId13233" Type="http://schemas.openxmlformats.org/officeDocument/2006/relationships/hyperlink" Target="https://m.stock.naver.com/research/company/79974" TargetMode="External"/><Relationship Id="rId213" Type="http://schemas.openxmlformats.org/officeDocument/2006/relationships/hyperlink" Target="https://m.stock.naver.com/research/company/93245" TargetMode="External"/><Relationship Id="rId6862" Type="http://schemas.openxmlformats.org/officeDocument/2006/relationships/hyperlink" Target="https://m.stock.naver.com/research/company/86378" TargetMode="External"/><Relationship Id="rId7913" Type="http://schemas.openxmlformats.org/officeDocument/2006/relationships/hyperlink" Target="https://m.stock.naver.com/research/company/85325" TargetMode="External"/><Relationship Id="rId4066" Type="http://schemas.openxmlformats.org/officeDocument/2006/relationships/hyperlink" Target="https://m.stock.naver.com/research/company/89185" TargetMode="External"/><Relationship Id="rId5464" Type="http://schemas.openxmlformats.org/officeDocument/2006/relationships/hyperlink" Target="https://m.stock.naver.com/research/company/87776" TargetMode="External"/><Relationship Id="rId6515" Type="http://schemas.openxmlformats.org/officeDocument/2006/relationships/hyperlink" Target="https://m.stock.naver.com/research/company/86725" TargetMode="External"/><Relationship Id="rId15058" Type="http://schemas.openxmlformats.org/officeDocument/2006/relationships/hyperlink" Target="https://m.stock.naver.com/research/company/95036" TargetMode="External"/><Relationship Id="rId5117" Type="http://schemas.openxmlformats.org/officeDocument/2006/relationships/hyperlink" Target="https://m.stock.naver.com/research/company/88123" TargetMode="External"/><Relationship Id="rId8687" Type="http://schemas.openxmlformats.org/officeDocument/2006/relationships/hyperlink" Target="https://m.stock.naver.com/research/company/84550" TargetMode="External"/><Relationship Id="rId9738" Type="http://schemas.openxmlformats.org/officeDocument/2006/relationships/hyperlink" Target="https://m.stock.naver.com/research/company/83485" TargetMode="External"/><Relationship Id="rId11668" Type="http://schemas.openxmlformats.org/officeDocument/2006/relationships/hyperlink" Target="https://m.stock.naver.com/research/company/81544" TargetMode="External"/><Relationship Id="rId12719" Type="http://schemas.openxmlformats.org/officeDocument/2006/relationships/hyperlink" Target="https://m.stock.naver.com/research/company/80489" TargetMode="External"/><Relationship Id="rId1727" Type="http://schemas.openxmlformats.org/officeDocument/2006/relationships/hyperlink" Target="https://m.stock.naver.com/research/company/91528" TargetMode="External"/><Relationship Id="rId7289" Type="http://schemas.openxmlformats.org/officeDocument/2006/relationships/hyperlink" Target="https://m.stock.naver.com/research/company/85950" TargetMode="External"/><Relationship Id="rId13090" Type="http://schemas.openxmlformats.org/officeDocument/2006/relationships/hyperlink" Target="https://m.stock.naver.com/research/company/80117" TargetMode="External"/><Relationship Id="rId14141" Type="http://schemas.openxmlformats.org/officeDocument/2006/relationships/hyperlink" Target="https://m.stock.naver.com/research/company/93987" TargetMode="External"/><Relationship Id="rId3899" Type="http://schemas.openxmlformats.org/officeDocument/2006/relationships/hyperlink" Target="https://m.stock.naver.com/research/company/89352" TargetMode="External"/><Relationship Id="rId4200" Type="http://schemas.openxmlformats.org/officeDocument/2006/relationships/hyperlink" Target="https://m.stock.naver.com/research/company/89042" TargetMode="External"/><Relationship Id="rId7770" Type="http://schemas.openxmlformats.org/officeDocument/2006/relationships/hyperlink" Target="https://m.stock.naver.com/research/company/85469" TargetMode="External"/><Relationship Id="rId6372" Type="http://schemas.openxmlformats.org/officeDocument/2006/relationships/hyperlink" Target="https://m.stock.naver.com/research/company/86868" TargetMode="External"/><Relationship Id="rId7423" Type="http://schemas.openxmlformats.org/officeDocument/2006/relationships/hyperlink" Target="https://m.stock.naver.com/research/company/85816" TargetMode="External"/><Relationship Id="rId8821" Type="http://schemas.openxmlformats.org/officeDocument/2006/relationships/hyperlink" Target="https://m.stock.naver.com/research/company/84416" TargetMode="External"/><Relationship Id="rId10751" Type="http://schemas.openxmlformats.org/officeDocument/2006/relationships/hyperlink" Target="https://m.stock.naver.com/research/company/82469" TargetMode="External"/><Relationship Id="rId11802" Type="http://schemas.openxmlformats.org/officeDocument/2006/relationships/hyperlink" Target="https://m.stock.naver.com/research/company/81410" TargetMode="External"/><Relationship Id="rId6025" Type="http://schemas.openxmlformats.org/officeDocument/2006/relationships/hyperlink" Target="https://m.stock.naver.com/research/company/87215" TargetMode="External"/><Relationship Id="rId10404" Type="http://schemas.openxmlformats.org/officeDocument/2006/relationships/hyperlink" Target="https://m.stock.naver.com/research/company/82817" TargetMode="External"/><Relationship Id="rId13974" Type="http://schemas.openxmlformats.org/officeDocument/2006/relationships/hyperlink" Target="https://m.stock.naver.com/research/company/93758" TargetMode="External"/><Relationship Id="rId2982" Type="http://schemas.openxmlformats.org/officeDocument/2006/relationships/hyperlink" Target="https://m.stock.naver.com/research/company/90271" TargetMode="External"/><Relationship Id="rId8197" Type="http://schemas.openxmlformats.org/officeDocument/2006/relationships/hyperlink" Target="https://m.stock.naver.com/research/company/85041" TargetMode="External"/><Relationship Id="rId9595" Type="http://schemas.openxmlformats.org/officeDocument/2006/relationships/hyperlink" Target="https://m.stock.naver.com/research/company/83632" TargetMode="External"/><Relationship Id="rId12576" Type="http://schemas.openxmlformats.org/officeDocument/2006/relationships/hyperlink" Target="https://m.stock.naver.com/research/company/80632" TargetMode="External"/><Relationship Id="rId13627" Type="http://schemas.openxmlformats.org/officeDocument/2006/relationships/hyperlink" Target="https://m.stock.naver.com/research/company/79577" TargetMode="External"/><Relationship Id="rId954" Type="http://schemas.openxmlformats.org/officeDocument/2006/relationships/hyperlink" Target="https://m.stock.naver.com/research/company/92502" TargetMode="External"/><Relationship Id="rId1584" Type="http://schemas.openxmlformats.org/officeDocument/2006/relationships/hyperlink" Target="https://m.stock.naver.com/research/company/91671" TargetMode="External"/><Relationship Id="rId2635" Type="http://schemas.openxmlformats.org/officeDocument/2006/relationships/hyperlink" Target="https://m.stock.naver.com/research/company/90619" TargetMode="External"/><Relationship Id="rId9248" Type="http://schemas.openxmlformats.org/officeDocument/2006/relationships/hyperlink" Target="https://m.stock.naver.com/research/company/83980" TargetMode="External"/><Relationship Id="rId11178" Type="http://schemas.openxmlformats.org/officeDocument/2006/relationships/hyperlink" Target="https://m.stock.naver.com/research/company/82042" TargetMode="External"/><Relationship Id="rId12229" Type="http://schemas.openxmlformats.org/officeDocument/2006/relationships/hyperlink" Target="https://m.stock.naver.com/research/company/80981" TargetMode="External"/><Relationship Id="rId607" Type="http://schemas.openxmlformats.org/officeDocument/2006/relationships/hyperlink" Target="https://m.stock.naver.com/research/company/92850" TargetMode="External"/><Relationship Id="rId1237" Type="http://schemas.openxmlformats.org/officeDocument/2006/relationships/hyperlink" Target="https://m.stock.naver.com/research/company/92018" TargetMode="External"/><Relationship Id="rId5858" Type="http://schemas.openxmlformats.org/officeDocument/2006/relationships/hyperlink" Target="https://m.stock.naver.com/research/company/87382" TargetMode="External"/><Relationship Id="rId6909" Type="http://schemas.openxmlformats.org/officeDocument/2006/relationships/hyperlink" Target="https://m.stock.naver.com/research/company/86330" TargetMode="External"/><Relationship Id="rId7280" Type="http://schemas.openxmlformats.org/officeDocument/2006/relationships/hyperlink" Target="https://m.stock.naver.com/research/company/85959" TargetMode="External"/><Relationship Id="rId8331" Type="http://schemas.openxmlformats.org/officeDocument/2006/relationships/hyperlink" Target="https://m.stock.naver.com/research/company/84907" TargetMode="External"/><Relationship Id="rId10261" Type="http://schemas.openxmlformats.org/officeDocument/2006/relationships/hyperlink" Target="https://m.stock.naver.com/research/company/82960" TargetMode="External"/><Relationship Id="rId12710" Type="http://schemas.openxmlformats.org/officeDocument/2006/relationships/hyperlink" Target="https://m.stock.naver.com/research/company/80498" TargetMode="External"/><Relationship Id="rId11312" Type="http://schemas.openxmlformats.org/officeDocument/2006/relationships/hyperlink" Target="https://m.stock.naver.com/research/company/81907" TargetMode="External"/><Relationship Id="rId14882" Type="http://schemas.openxmlformats.org/officeDocument/2006/relationships/hyperlink" Target="https://m.stock.naver.com/research/company/94742" TargetMode="External"/><Relationship Id="rId2492" Type="http://schemas.openxmlformats.org/officeDocument/2006/relationships/hyperlink" Target="https://m.stock.naver.com/research/company/90762" TargetMode="External"/><Relationship Id="rId3890" Type="http://schemas.openxmlformats.org/officeDocument/2006/relationships/hyperlink" Target="https://m.stock.naver.com/research/company/89361" TargetMode="External"/><Relationship Id="rId4941" Type="http://schemas.openxmlformats.org/officeDocument/2006/relationships/hyperlink" Target="https://m.stock.naver.com/research/company/88299" TargetMode="External"/><Relationship Id="rId13484" Type="http://schemas.openxmlformats.org/officeDocument/2006/relationships/hyperlink" Target="https://m.stock.naver.com/research/company/79720" TargetMode="External"/><Relationship Id="rId14535" Type="http://schemas.openxmlformats.org/officeDocument/2006/relationships/hyperlink" Target="https://m.stock.naver.com/research/company/94375" TargetMode="External"/><Relationship Id="rId464" Type="http://schemas.openxmlformats.org/officeDocument/2006/relationships/hyperlink" Target="https://m.stock.naver.com/research/company/92993" TargetMode="External"/><Relationship Id="rId1094" Type="http://schemas.openxmlformats.org/officeDocument/2006/relationships/hyperlink" Target="https://m.stock.naver.com/research/company/92162" TargetMode="External"/><Relationship Id="rId2145" Type="http://schemas.openxmlformats.org/officeDocument/2006/relationships/hyperlink" Target="https://m.stock.naver.com/research/company/91110" TargetMode="External"/><Relationship Id="rId3543" Type="http://schemas.openxmlformats.org/officeDocument/2006/relationships/hyperlink" Target="https://m.stock.naver.com/research/company/89708" TargetMode="External"/><Relationship Id="rId12086" Type="http://schemas.openxmlformats.org/officeDocument/2006/relationships/hyperlink" Target="https://m.stock.naver.com/research/company/81125" TargetMode="External"/><Relationship Id="rId13137" Type="http://schemas.openxmlformats.org/officeDocument/2006/relationships/hyperlink" Target="https://m.stock.naver.com/research/company/80070" TargetMode="External"/><Relationship Id="rId117" Type="http://schemas.openxmlformats.org/officeDocument/2006/relationships/hyperlink" Target="https://m.stock.naver.com/research/company/93341" TargetMode="External"/><Relationship Id="rId6766" Type="http://schemas.openxmlformats.org/officeDocument/2006/relationships/hyperlink" Target="https://m.stock.naver.com/research/company/86474" TargetMode="External"/><Relationship Id="rId7817" Type="http://schemas.openxmlformats.org/officeDocument/2006/relationships/hyperlink" Target="https://m.stock.naver.com/research/company/85421" TargetMode="External"/><Relationship Id="rId5368" Type="http://schemas.openxmlformats.org/officeDocument/2006/relationships/hyperlink" Target="https://m.stock.naver.com/research/company/87872" TargetMode="External"/><Relationship Id="rId6419" Type="http://schemas.openxmlformats.org/officeDocument/2006/relationships/hyperlink" Target="https://m.stock.naver.com/research/company/86821" TargetMode="External"/><Relationship Id="rId9989" Type="http://schemas.openxmlformats.org/officeDocument/2006/relationships/hyperlink" Target="https://m.stock.naver.com/research/company/83232" TargetMode="External"/><Relationship Id="rId12220" Type="http://schemas.openxmlformats.org/officeDocument/2006/relationships/hyperlink" Target="https://m.stock.naver.com/research/company/80990" TargetMode="External"/><Relationship Id="rId1978" Type="http://schemas.openxmlformats.org/officeDocument/2006/relationships/hyperlink" Target="https://m.stock.naver.com/research/company/91277" TargetMode="External"/><Relationship Id="rId14392" Type="http://schemas.openxmlformats.org/officeDocument/2006/relationships/hyperlink" Target="https://m.stock.naver.com/research/company/94252" TargetMode="External"/><Relationship Id="rId4451" Type="http://schemas.openxmlformats.org/officeDocument/2006/relationships/hyperlink" Target="https://m.stock.naver.com/research/company/88789" TargetMode="External"/><Relationship Id="rId5502" Type="http://schemas.openxmlformats.org/officeDocument/2006/relationships/hyperlink" Target="https://m.stock.naver.com/research/company/87738" TargetMode="External"/><Relationship Id="rId6900" Type="http://schemas.openxmlformats.org/officeDocument/2006/relationships/hyperlink" Target="https://m.stock.naver.com/research/company/86339" TargetMode="External"/><Relationship Id="rId14045" Type="http://schemas.openxmlformats.org/officeDocument/2006/relationships/hyperlink" Target="https://m.stock.naver.com/research/company/93802" TargetMode="External"/><Relationship Id="rId15443" Type="http://schemas.openxmlformats.org/officeDocument/2006/relationships/hyperlink" Target="https://m.stock.naver.com/research/company/95344" TargetMode="External"/><Relationship Id="rId3053" Type="http://schemas.openxmlformats.org/officeDocument/2006/relationships/hyperlink" Target="https://m.stock.naver.com/research/company/90198" TargetMode="External"/><Relationship Id="rId4104" Type="http://schemas.openxmlformats.org/officeDocument/2006/relationships/hyperlink" Target="https://m.stock.naver.com/research/company/89147" TargetMode="External"/><Relationship Id="rId6276" Type="http://schemas.openxmlformats.org/officeDocument/2006/relationships/hyperlink" Target="https://m.stock.naver.com/research/company/86964" TargetMode="External"/><Relationship Id="rId7674" Type="http://schemas.openxmlformats.org/officeDocument/2006/relationships/hyperlink" Target="https://m.stock.naver.com/research/company/85565" TargetMode="External"/><Relationship Id="rId8725" Type="http://schemas.openxmlformats.org/officeDocument/2006/relationships/hyperlink" Target="https://m.stock.naver.com/research/company/84512" TargetMode="External"/><Relationship Id="rId10655" Type="http://schemas.openxmlformats.org/officeDocument/2006/relationships/hyperlink" Target="https://m.stock.naver.com/research/company/82565" TargetMode="External"/><Relationship Id="rId11706" Type="http://schemas.openxmlformats.org/officeDocument/2006/relationships/hyperlink" Target="https://m.stock.naver.com/research/company/81506" TargetMode="External"/><Relationship Id="rId7327" Type="http://schemas.openxmlformats.org/officeDocument/2006/relationships/hyperlink" Target="https://m.stock.naver.com/research/company/85912" TargetMode="External"/><Relationship Id="rId10308" Type="http://schemas.openxmlformats.org/officeDocument/2006/relationships/hyperlink" Target="https://m.stock.naver.com/research/company/82913" TargetMode="External"/><Relationship Id="rId13878" Type="http://schemas.openxmlformats.org/officeDocument/2006/relationships/hyperlink" Target="https://m.stock.naver.com/research/company/93649" TargetMode="External"/><Relationship Id="rId14929" Type="http://schemas.openxmlformats.org/officeDocument/2006/relationships/hyperlink" Target="https://m.stock.naver.com/research/company/94905" TargetMode="External"/><Relationship Id="rId2886" Type="http://schemas.openxmlformats.org/officeDocument/2006/relationships/hyperlink" Target="https://m.stock.naver.com/research/company/90367" TargetMode="External"/><Relationship Id="rId3937" Type="http://schemas.openxmlformats.org/officeDocument/2006/relationships/hyperlink" Target="https://m.stock.naver.com/research/company/89314" TargetMode="External"/><Relationship Id="rId9499" Type="http://schemas.openxmlformats.org/officeDocument/2006/relationships/hyperlink" Target="https://m.stock.naver.com/research/company/83728" TargetMode="External"/><Relationship Id="rId858" Type="http://schemas.openxmlformats.org/officeDocument/2006/relationships/hyperlink" Target="https://m.stock.naver.com/research/company/92598" TargetMode="External"/><Relationship Id="rId1488" Type="http://schemas.openxmlformats.org/officeDocument/2006/relationships/hyperlink" Target="https://m.stock.naver.com/research/company/91767" TargetMode="External"/><Relationship Id="rId2539" Type="http://schemas.openxmlformats.org/officeDocument/2006/relationships/hyperlink" Target="https://m.stock.naver.com/research/company/90715" TargetMode="External"/><Relationship Id="rId6410" Type="http://schemas.openxmlformats.org/officeDocument/2006/relationships/hyperlink" Target="https://m.stock.naver.com/research/company/86830" TargetMode="External"/><Relationship Id="rId9980" Type="http://schemas.openxmlformats.org/officeDocument/2006/relationships/hyperlink" Target="https://m.stock.naver.com/research/company/83241" TargetMode="External"/><Relationship Id="rId5012" Type="http://schemas.openxmlformats.org/officeDocument/2006/relationships/hyperlink" Target="https://m.stock.naver.com/research/company/88228" TargetMode="External"/><Relationship Id="rId8582" Type="http://schemas.openxmlformats.org/officeDocument/2006/relationships/hyperlink" Target="https://m.stock.naver.com/research/company/84655" TargetMode="External"/><Relationship Id="rId9633" Type="http://schemas.openxmlformats.org/officeDocument/2006/relationships/hyperlink" Target="https://m.stock.naver.com/research/company/83592" TargetMode="External"/><Relationship Id="rId12961" Type="http://schemas.openxmlformats.org/officeDocument/2006/relationships/hyperlink" Target="https://m.stock.naver.com/research/company/80247" TargetMode="External"/><Relationship Id="rId7184" Type="http://schemas.openxmlformats.org/officeDocument/2006/relationships/hyperlink" Target="https://m.stock.naver.com/research/company/86055" TargetMode="External"/><Relationship Id="rId8235" Type="http://schemas.openxmlformats.org/officeDocument/2006/relationships/hyperlink" Target="https://m.stock.naver.com/research/company/85003" TargetMode="External"/><Relationship Id="rId11563" Type="http://schemas.openxmlformats.org/officeDocument/2006/relationships/hyperlink" Target="https://m.stock.naver.com/research/company/81650" TargetMode="External"/><Relationship Id="rId12614" Type="http://schemas.openxmlformats.org/officeDocument/2006/relationships/hyperlink" Target="https://m.stock.naver.com/research/company/80594" TargetMode="External"/><Relationship Id="rId1622" Type="http://schemas.openxmlformats.org/officeDocument/2006/relationships/hyperlink" Target="https://m.stock.naver.com/research/company/91633" TargetMode="External"/><Relationship Id="rId10165" Type="http://schemas.openxmlformats.org/officeDocument/2006/relationships/hyperlink" Target="https://m.stock.naver.com/research/company/83056" TargetMode="External"/><Relationship Id="rId11216" Type="http://schemas.openxmlformats.org/officeDocument/2006/relationships/hyperlink" Target="https://m.stock.naver.com/research/company/82004" TargetMode="External"/><Relationship Id="rId14786" Type="http://schemas.openxmlformats.org/officeDocument/2006/relationships/hyperlink" Target="https://m.stock.naver.com/research/company/94614" TargetMode="External"/><Relationship Id="rId3794" Type="http://schemas.openxmlformats.org/officeDocument/2006/relationships/hyperlink" Target="https://m.stock.naver.com/research/company/89457" TargetMode="External"/><Relationship Id="rId4845" Type="http://schemas.openxmlformats.org/officeDocument/2006/relationships/hyperlink" Target="https://m.stock.naver.com/research/company/88395" TargetMode="External"/><Relationship Id="rId13388" Type="http://schemas.openxmlformats.org/officeDocument/2006/relationships/hyperlink" Target="https://m.stock.naver.com/research/company/79817" TargetMode="External"/><Relationship Id="rId14439" Type="http://schemas.openxmlformats.org/officeDocument/2006/relationships/hyperlink" Target="https://m.stock.naver.com/research/company/94471" TargetMode="External"/><Relationship Id="rId2396" Type="http://schemas.openxmlformats.org/officeDocument/2006/relationships/hyperlink" Target="https://m.stock.naver.com/research/company/90858" TargetMode="External"/><Relationship Id="rId3447" Type="http://schemas.openxmlformats.org/officeDocument/2006/relationships/hyperlink" Target="https://m.stock.naver.com/research/company/89804" TargetMode="External"/><Relationship Id="rId368" Type="http://schemas.openxmlformats.org/officeDocument/2006/relationships/hyperlink" Target="https://m.stock.naver.com/research/company/93090" TargetMode="External"/><Relationship Id="rId2049" Type="http://schemas.openxmlformats.org/officeDocument/2006/relationships/hyperlink" Target="https://m.stock.naver.com/research/company/91206" TargetMode="External"/><Relationship Id="rId9490" Type="http://schemas.openxmlformats.org/officeDocument/2006/relationships/hyperlink" Target="https://m.stock.naver.com/research/company/83737" TargetMode="External"/><Relationship Id="rId12471" Type="http://schemas.openxmlformats.org/officeDocument/2006/relationships/hyperlink" Target="https://m.stock.naver.com/research/company/80737" TargetMode="External"/><Relationship Id="rId14920" Type="http://schemas.openxmlformats.org/officeDocument/2006/relationships/hyperlink" Target="https://m.stock.naver.com/research/company/94914" TargetMode="External"/><Relationship Id="rId2530" Type="http://schemas.openxmlformats.org/officeDocument/2006/relationships/hyperlink" Target="https://m.stock.naver.com/research/company/90724" TargetMode="External"/><Relationship Id="rId8092" Type="http://schemas.openxmlformats.org/officeDocument/2006/relationships/hyperlink" Target="https://m.stock.naver.com/research/company/85146" TargetMode="External"/><Relationship Id="rId9143" Type="http://schemas.openxmlformats.org/officeDocument/2006/relationships/hyperlink" Target="https://m.stock.naver.com/research/company/84087" TargetMode="External"/><Relationship Id="rId11073" Type="http://schemas.openxmlformats.org/officeDocument/2006/relationships/hyperlink" Target="https://m.stock.naver.com/research/company/82147" TargetMode="External"/><Relationship Id="rId12124" Type="http://schemas.openxmlformats.org/officeDocument/2006/relationships/hyperlink" Target="https://m.stock.naver.com/research/company/81087" TargetMode="External"/><Relationship Id="rId13522" Type="http://schemas.openxmlformats.org/officeDocument/2006/relationships/hyperlink" Target="https://m.stock.naver.com/research/company/79682" TargetMode="External"/><Relationship Id="rId502" Type="http://schemas.openxmlformats.org/officeDocument/2006/relationships/hyperlink" Target="https://m.stock.naver.com/research/company/92955" TargetMode="External"/><Relationship Id="rId1132" Type="http://schemas.openxmlformats.org/officeDocument/2006/relationships/hyperlink" Target="https://m.stock.naver.com/research/company/92123" TargetMode="External"/><Relationship Id="rId15694" Type="http://schemas.openxmlformats.org/officeDocument/2006/relationships/hyperlink" Target="https://m.stock.naver.com/research/company/95720" TargetMode="External"/><Relationship Id="rId4355" Type="http://schemas.openxmlformats.org/officeDocument/2006/relationships/hyperlink" Target="https://m.stock.naver.com/research/company/88886" TargetMode="External"/><Relationship Id="rId5753" Type="http://schemas.openxmlformats.org/officeDocument/2006/relationships/hyperlink" Target="https://m.stock.naver.com/research/company/87487" TargetMode="External"/><Relationship Id="rId6804" Type="http://schemas.openxmlformats.org/officeDocument/2006/relationships/hyperlink" Target="https://m.stock.naver.com/research/company/86436" TargetMode="External"/><Relationship Id="rId14296" Type="http://schemas.openxmlformats.org/officeDocument/2006/relationships/hyperlink" Target="https://m.stock.naver.com/research/company/94168" TargetMode="External"/><Relationship Id="rId15347" Type="http://schemas.openxmlformats.org/officeDocument/2006/relationships/hyperlink" Target="https://m.stock.naver.com/research/company/95241" TargetMode="External"/><Relationship Id="rId4008" Type="http://schemas.openxmlformats.org/officeDocument/2006/relationships/hyperlink" Target="https://m.stock.naver.com/research/company/89243" TargetMode="External"/><Relationship Id="rId5406" Type="http://schemas.openxmlformats.org/officeDocument/2006/relationships/hyperlink" Target="https://m.stock.naver.com/research/company/87834" TargetMode="External"/><Relationship Id="rId8976" Type="http://schemas.openxmlformats.org/officeDocument/2006/relationships/hyperlink" Target="https://m.stock.naver.com/research/company/84256" TargetMode="External"/><Relationship Id="rId11957" Type="http://schemas.openxmlformats.org/officeDocument/2006/relationships/hyperlink" Target="https://m.stock.naver.com/research/company/81254" TargetMode="External"/><Relationship Id="rId7578" Type="http://schemas.openxmlformats.org/officeDocument/2006/relationships/hyperlink" Target="https://m.stock.naver.com/research/company/85661" TargetMode="External"/><Relationship Id="rId8629" Type="http://schemas.openxmlformats.org/officeDocument/2006/relationships/hyperlink" Target="https://m.stock.naver.com/research/company/84608" TargetMode="External"/><Relationship Id="rId10559" Type="http://schemas.openxmlformats.org/officeDocument/2006/relationships/hyperlink" Target="https://m.stock.naver.com/research/company/82661" TargetMode="External"/><Relationship Id="rId14430" Type="http://schemas.openxmlformats.org/officeDocument/2006/relationships/hyperlink" Target="https://m.stock.naver.com/research/company/94480" TargetMode="External"/><Relationship Id="rId13032" Type="http://schemas.openxmlformats.org/officeDocument/2006/relationships/hyperlink" Target="https://m.stock.naver.com/research/company/80175" TargetMode="External"/><Relationship Id="rId2040" Type="http://schemas.openxmlformats.org/officeDocument/2006/relationships/hyperlink" Target="https://m.stock.naver.com/research/company/91215" TargetMode="External"/><Relationship Id="rId6661" Type="http://schemas.openxmlformats.org/officeDocument/2006/relationships/hyperlink" Target="https://m.stock.naver.com/research/company/86579" TargetMode="External"/><Relationship Id="rId7712" Type="http://schemas.openxmlformats.org/officeDocument/2006/relationships/hyperlink" Target="https://m.stock.naver.com/research/company/85527" TargetMode="External"/><Relationship Id="rId5263" Type="http://schemas.openxmlformats.org/officeDocument/2006/relationships/hyperlink" Target="https://m.stock.naver.com/research/company/87977" TargetMode="External"/><Relationship Id="rId6314" Type="http://schemas.openxmlformats.org/officeDocument/2006/relationships/hyperlink" Target="https://m.stock.naver.com/research/company/86926" TargetMode="External"/><Relationship Id="rId8486" Type="http://schemas.openxmlformats.org/officeDocument/2006/relationships/hyperlink" Target="https://m.stock.naver.com/research/company/84751" TargetMode="External"/><Relationship Id="rId9884" Type="http://schemas.openxmlformats.org/officeDocument/2006/relationships/hyperlink" Target="https://m.stock.naver.com/research/company/83338" TargetMode="External"/><Relationship Id="rId12865" Type="http://schemas.openxmlformats.org/officeDocument/2006/relationships/hyperlink" Target="https://m.stock.naver.com/research/company/80343" TargetMode="External"/><Relationship Id="rId13916" Type="http://schemas.openxmlformats.org/officeDocument/2006/relationships/hyperlink" Target="https://m.stock.naver.com/research/company/93686" TargetMode="External"/><Relationship Id="rId98" Type="http://schemas.openxmlformats.org/officeDocument/2006/relationships/hyperlink" Target="https://m.stock.naver.com/research/company/93360" TargetMode="External"/><Relationship Id="rId1873" Type="http://schemas.openxmlformats.org/officeDocument/2006/relationships/hyperlink" Target="https://m.stock.naver.com/research/company/91382" TargetMode="External"/><Relationship Id="rId2924" Type="http://schemas.openxmlformats.org/officeDocument/2006/relationships/hyperlink" Target="https://m.stock.naver.com/research/company/90329" TargetMode="External"/><Relationship Id="rId7088" Type="http://schemas.openxmlformats.org/officeDocument/2006/relationships/hyperlink" Target="https://m.stock.naver.com/research/company/86151" TargetMode="External"/><Relationship Id="rId8139" Type="http://schemas.openxmlformats.org/officeDocument/2006/relationships/hyperlink" Target="https://m.stock.naver.com/research/company/85099" TargetMode="External"/><Relationship Id="rId9537" Type="http://schemas.openxmlformats.org/officeDocument/2006/relationships/hyperlink" Target="https://m.stock.naver.com/research/company/83690" TargetMode="External"/><Relationship Id="rId11467" Type="http://schemas.openxmlformats.org/officeDocument/2006/relationships/hyperlink" Target="https://m.stock.naver.com/research/company/81748" TargetMode="External"/><Relationship Id="rId12518" Type="http://schemas.openxmlformats.org/officeDocument/2006/relationships/hyperlink" Target="https://m.stock.naver.com/research/company/80690" TargetMode="External"/><Relationship Id="rId1526" Type="http://schemas.openxmlformats.org/officeDocument/2006/relationships/hyperlink" Target="https://m.stock.naver.com/research/company/91729" TargetMode="External"/><Relationship Id="rId10069" Type="http://schemas.openxmlformats.org/officeDocument/2006/relationships/hyperlink" Target="https://m.stock.naver.com/research/company/83152" TargetMode="External"/><Relationship Id="rId3698" Type="http://schemas.openxmlformats.org/officeDocument/2006/relationships/hyperlink" Target="https://m.stock.naver.com/research/company/89553" TargetMode="External"/><Relationship Id="rId4749" Type="http://schemas.openxmlformats.org/officeDocument/2006/relationships/hyperlink" Target="https://m.stock.naver.com/research/company/88491" TargetMode="External"/><Relationship Id="rId8620" Type="http://schemas.openxmlformats.org/officeDocument/2006/relationships/hyperlink" Target="https://m.stock.naver.com/research/company/84617" TargetMode="External"/><Relationship Id="rId10550" Type="http://schemas.openxmlformats.org/officeDocument/2006/relationships/hyperlink" Target="https://m.stock.naver.com/research/company/82670" TargetMode="External"/><Relationship Id="rId6171" Type="http://schemas.openxmlformats.org/officeDocument/2006/relationships/hyperlink" Target="https://m.stock.naver.com/research/company/87069" TargetMode="External"/><Relationship Id="rId7222" Type="http://schemas.openxmlformats.org/officeDocument/2006/relationships/hyperlink" Target="https://m.stock.naver.com/research/company/86017" TargetMode="External"/><Relationship Id="rId10203" Type="http://schemas.openxmlformats.org/officeDocument/2006/relationships/hyperlink" Target="https://m.stock.naver.com/research/company/83018" TargetMode="External"/><Relationship Id="rId11601" Type="http://schemas.openxmlformats.org/officeDocument/2006/relationships/hyperlink" Target="https://m.stock.naver.com/research/company/81611" TargetMode="External"/><Relationship Id="rId2781" Type="http://schemas.openxmlformats.org/officeDocument/2006/relationships/hyperlink" Target="https://m.stock.naver.com/research/company/90473" TargetMode="External"/><Relationship Id="rId9394" Type="http://schemas.openxmlformats.org/officeDocument/2006/relationships/hyperlink" Target="https://m.stock.naver.com/research/company/83833" TargetMode="External"/><Relationship Id="rId13773" Type="http://schemas.openxmlformats.org/officeDocument/2006/relationships/hyperlink" Target="https://m.stock.naver.com/research/company/93615" TargetMode="External"/><Relationship Id="rId14824" Type="http://schemas.openxmlformats.org/officeDocument/2006/relationships/hyperlink" Target="https://m.stock.naver.com/research/company/94800" TargetMode="External"/><Relationship Id="rId753" Type="http://schemas.openxmlformats.org/officeDocument/2006/relationships/hyperlink" Target="https://m.stock.naver.com/research/company/92703" TargetMode="External"/><Relationship Id="rId1383" Type="http://schemas.openxmlformats.org/officeDocument/2006/relationships/hyperlink" Target="https://m.stock.naver.com/research/company/91872" TargetMode="External"/><Relationship Id="rId2434" Type="http://schemas.openxmlformats.org/officeDocument/2006/relationships/hyperlink" Target="https://m.stock.naver.com/research/company/90820" TargetMode="External"/><Relationship Id="rId3832" Type="http://schemas.openxmlformats.org/officeDocument/2006/relationships/hyperlink" Target="https://m.stock.naver.com/research/company/89419" TargetMode="External"/><Relationship Id="rId9047" Type="http://schemas.openxmlformats.org/officeDocument/2006/relationships/hyperlink" Target="https://m.stock.naver.com/research/company/84184" TargetMode="External"/><Relationship Id="rId12028" Type="http://schemas.openxmlformats.org/officeDocument/2006/relationships/hyperlink" Target="https://m.stock.naver.com/research/company/81183" TargetMode="External"/><Relationship Id="rId12375" Type="http://schemas.openxmlformats.org/officeDocument/2006/relationships/hyperlink" Target="https://m.stock.naver.com/research/company/80834" TargetMode="External"/><Relationship Id="rId13426" Type="http://schemas.openxmlformats.org/officeDocument/2006/relationships/hyperlink" Target="https://m.stock.naver.com/research/company/79779" TargetMode="External"/><Relationship Id="rId406" Type="http://schemas.openxmlformats.org/officeDocument/2006/relationships/hyperlink" Target="https://m.stock.naver.com/research/company/93052" TargetMode="External"/><Relationship Id="rId1036" Type="http://schemas.openxmlformats.org/officeDocument/2006/relationships/hyperlink" Target="https://m.stock.naver.com/research/company/92315" TargetMode="External"/><Relationship Id="rId15598" Type="http://schemas.openxmlformats.org/officeDocument/2006/relationships/hyperlink" Target="https://m.stock.naver.com/research/company/95438" TargetMode="External"/><Relationship Id="rId5657" Type="http://schemas.openxmlformats.org/officeDocument/2006/relationships/hyperlink" Target="https://m.stock.naver.com/research/company/87583" TargetMode="External"/><Relationship Id="rId6708" Type="http://schemas.openxmlformats.org/officeDocument/2006/relationships/hyperlink" Target="https://m.stock.naver.com/research/company/86532" TargetMode="External"/><Relationship Id="rId4259" Type="http://schemas.openxmlformats.org/officeDocument/2006/relationships/hyperlink" Target="https://m.stock.naver.com/research/company/88983" TargetMode="External"/><Relationship Id="rId8130" Type="http://schemas.openxmlformats.org/officeDocument/2006/relationships/hyperlink" Target="https://m.stock.naver.com/research/company/85108" TargetMode="External"/><Relationship Id="rId10060" Type="http://schemas.openxmlformats.org/officeDocument/2006/relationships/hyperlink" Target="https://m.stock.naver.com/research/company/83161" TargetMode="External"/><Relationship Id="rId11111" Type="http://schemas.openxmlformats.org/officeDocument/2006/relationships/hyperlink" Target="https://m.stock.naver.com/research/company/82109" TargetMode="External"/><Relationship Id="rId14681" Type="http://schemas.openxmlformats.org/officeDocument/2006/relationships/hyperlink" Target="https://m.stock.naver.com/research/company/94497" TargetMode="External"/><Relationship Id="rId4740" Type="http://schemas.openxmlformats.org/officeDocument/2006/relationships/hyperlink" Target="https://m.stock.naver.com/research/company/88500" TargetMode="External"/><Relationship Id="rId13283" Type="http://schemas.openxmlformats.org/officeDocument/2006/relationships/hyperlink" Target="https://m.stock.naver.com/research/company/79923" TargetMode="External"/><Relationship Id="rId14334" Type="http://schemas.openxmlformats.org/officeDocument/2006/relationships/hyperlink" Target="https://m.stock.naver.com/research/company/94217" TargetMode="External"/><Relationship Id="rId15732" Type="http://schemas.openxmlformats.org/officeDocument/2006/relationships/hyperlink" Target="https://m.stock.naver.com/research/company/95682" TargetMode="External"/><Relationship Id="rId2291" Type="http://schemas.openxmlformats.org/officeDocument/2006/relationships/hyperlink" Target="https://m.stock.naver.com/research/company/90964" TargetMode="External"/><Relationship Id="rId3342" Type="http://schemas.openxmlformats.org/officeDocument/2006/relationships/hyperlink" Target="https://m.stock.naver.com/research/company/89908" TargetMode="External"/><Relationship Id="rId263" Type="http://schemas.openxmlformats.org/officeDocument/2006/relationships/hyperlink" Target="https://m.stock.naver.com/research/company/93195" TargetMode="External"/><Relationship Id="rId6565" Type="http://schemas.openxmlformats.org/officeDocument/2006/relationships/hyperlink" Target="https://m.stock.naver.com/research/company/86675" TargetMode="External"/><Relationship Id="rId7963" Type="http://schemas.openxmlformats.org/officeDocument/2006/relationships/hyperlink" Target="https://m.stock.naver.com/research/company/85275" TargetMode="External"/><Relationship Id="rId10944" Type="http://schemas.openxmlformats.org/officeDocument/2006/relationships/hyperlink" Target="https://m.stock.naver.com/research/company/82276" TargetMode="External"/><Relationship Id="rId5167" Type="http://schemas.openxmlformats.org/officeDocument/2006/relationships/hyperlink" Target="https://m.stock.naver.com/research/company/88073" TargetMode="External"/><Relationship Id="rId6218" Type="http://schemas.openxmlformats.org/officeDocument/2006/relationships/hyperlink" Target="https://m.stock.naver.com/research/company/87022" TargetMode="External"/><Relationship Id="rId7616" Type="http://schemas.openxmlformats.org/officeDocument/2006/relationships/hyperlink" Target="https://m.stock.naver.com/research/company/85623" TargetMode="External"/><Relationship Id="rId9788" Type="http://schemas.openxmlformats.org/officeDocument/2006/relationships/hyperlink" Target="https://m.stock.naver.com/research/company/83434" TargetMode="External"/><Relationship Id="rId12769" Type="http://schemas.openxmlformats.org/officeDocument/2006/relationships/hyperlink" Target="https://m.stock.naver.com/research/company/80439" TargetMode="External"/><Relationship Id="rId1777" Type="http://schemas.openxmlformats.org/officeDocument/2006/relationships/hyperlink" Target="https://m.stock.naver.com/research/company/91478" TargetMode="External"/><Relationship Id="rId2828" Type="http://schemas.openxmlformats.org/officeDocument/2006/relationships/hyperlink" Target="https://m.stock.naver.com/research/company/90425" TargetMode="External"/><Relationship Id="rId14191" Type="http://schemas.openxmlformats.org/officeDocument/2006/relationships/hyperlink" Target="https://m.stock.naver.com/research/company/94067" TargetMode="External"/><Relationship Id="rId15242" Type="http://schemas.openxmlformats.org/officeDocument/2006/relationships/hyperlink" Target="https://m.stock.naver.com/research/company/95118" TargetMode="External"/><Relationship Id="rId4250" Type="http://schemas.openxmlformats.org/officeDocument/2006/relationships/hyperlink" Target="https://m.stock.naver.com/research/company/88992" TargetMode="External"/><Relationship Id="rId5301" Type="http://schemas.openxmlformats.org/officeDocument/2006/relationships/hyperlink" Target="https://m.stock.naver.com/research/company/87939" TargetMode="External"/><Relationship Id="rId8871" Type="http://schemas.openxmlformats.org/officeDocument/2006/relationships/hyperlink" Target="https://m.stock.naver.com/research/company/84366" TargetMode="External"/><Relationship Id="rId9922" Type="http://schemas.openxmlformats.org/officeDocument/2006/relationships/hyperlink" Target="https://m.stock.naver.com/research/company/83300" TargetMode="External"/><Relationship Id="rId7473" Type="http://schemas.openxmlformats.org/officeDocument/2006/relationships/hyperlink" Target="https://m.stock.naver.com/research/company/85766" TargetMode="External"/><Relationship Id="rId8524" Type="http://schemas.openxmlformats.org/officeDocument/2006/relationships/hyperlink" Target="https://m.stock.naver.com/research/company/84713" TargetMode="External"/><Relationship Id="rId11852" Type="http://schemas.openxmlformats.org/officeDocument/2006/relationships/hyperlink" Target="https://m.stock.naver.com/research/company/81360" TargetMode="External"/><Relationship Id="rId12903" Type="http://schemas.openxmlformats.org/officeDocument/2006/relationships/hyperlink" Target="https://m.stock.naver.com/research/company/80305" TargetMode="External"/><Relationship Id="rId1911" Type="http://schemas.openxmlformats.org/officeDocument/2006/relationships/hyperlink" Target="https://m.stock.naver.com/research/company/91344" TargetMode="External"/><Relationship Id="rId6075" Type="http://schemas.openxmlformats.org/officeDocument/2006/relationships/hyperlink" Target="https://m.stock.naver.com/research/company/87165" TargetMode="External"/><Relationship Id="rId7126" Type="http://schemas.openxmlformats.org/officeDocument/2006/relationships/hyperlink" Target="https://m.stock.naver.com/research/company/86113" TargetMode="External"/><Relationship Id="rId10454" Type="http://schemas.openxmlformats.org/officeDocument/2006/relationships/hyperlink" Target="https://m.stock.naver.com/research/company/82766" TargetMode="External"/><Relationship Id="rId11505" Type="http://schemas.openxmlformats.org/officeDocument/2006/relationships/hyperlink" Target="https://m.stock.naver.com/research/company/81710" TargetMode="External"/><Relationship Id="rId9298" Type="http://schemas.openxmlformats.org/officeDocument/2006/relationships/hyperlink" Target="https://m.stock.naver.com/research/company/83929" TargetMode="External"/><Relationship Id="rId10107" Type="http://schemas.openxmlformats.org/officeDocument/2006/relationships/hyperlink" Target="https://m.stock.naver.com/research/company/83114" TargetMode="External"/><Relationship Id="rId13677" Type="http://schemas.openxmlformats.org/officeDocument/2006/relationships/hyperlink" Target="https://m.stock.naver.com/research/company/79527" TargetMode="External"/><Relationship Id="rId14728" Type="http://schemas.openxmlformats.org/officeDocument/2006/relationships/hyperlink" Target="https://m.stock.naver.com/research/company/94672" TargetMode="External"/><Relationship Id="rId1287" Type="http://schemas.openxmlformats.org/officeDocument/2006/relationships/hyperlink" Target="https://m.stock.naver.com/research/company/91968" TargetMode="External"/><Relationship Id="rId2685" Type="http://schemas.openxmlformats.org/officeDocument/2006/relationships/hyperlink" Target="https://m.stock.naver.com/research/company/90569" TargetMode="External"/><Relationship Id="rId3736" Type="http://schemas.openxmlformats.org/officeDocument/2006/relationships/hyperlink" Target="https://m.stock.naver.com/research/company/89515" TargetMode="External"/><Relationship Id="rId12279" Type="http://schemas.openxmlformats.org/officeDocument/2006/relationships/hyperlink" Target="https://m.stock.naver.com/research/company/80930" TargetMode="External"/><Relationship Id="rId657" Type="http://schemas.openxmlformats.org/officeDocument/2006/relationships/hyperlink" Target="https://m.stock.naver.com/research/company/92799" TargetMode="External"/><Relationship Id="rId2338" Type="http://schemas.openxmlformats.org/officeDocument/2006/relationships/hyperlink" Target="https://m.stock.naver.com/research/company/90917" TargetMode="External"/><Relationship Id="rId6959" Type="http://schemas.openxmlformats.org/officeDocument/2006/relationships/hyperlink" Target="https://m.stock.naver.com/research/company/86280" TargetMode="External"/><Relationship Id="rId12760" Type="http://schemas.openxmlformats.org/officeDocument/2006/relationships/hyperlink" Target="https://m.stock.naver.com/research/company/80448" TargetMode="External"/><Relationship Id="rId8381" Type="http://schemas.openxmlformats.org/officeDocument/2006/relationships/hyperlink" Target="https://m.stock.naver.com/research/company/84857" TargetMode="External"/><Relationship Id="rId9432" Type="http://schemas.openxmlformats.org/officeDocument/2006/relationships/hyperlink" Target="https://m.stock.naver.com/research/company/83795" TargetMode="External"/><Relationship Id="rId11362" Type="http://schemas.openxmlformats.org/officeDocument/2006/relationships/hyperlink" Target="https://m.stock.naver.com/research/company/81853" TargetMode="External"/><Relationship Id="rId12413" Type="http://schemas.openxmlformats.org/officeDocument/2006/relationships/hyperlink" Target="https://m.stock.naver.com/research/company/80796" TargetMode="External"/><Relationship Id="rId13811" Type="http://schemas.openxmlformats.org/officeDocument/2006/relationships/hyperlink" Target="https://m.stock.naver.com/research/company/93567" TargetMode="External"/><Relationship Id="rId1421" Type="http://schemas.openxmlformats.org/officeDocument/2006/relationships/hyperlink" Target="https://m.stock.naver.com/research/company/91834" TargetMode="External"/><Relationship Id="rId4991" Type="http://schemas.openxmlformats.org/officeDocument/2006/relationships/hyperlink" Target="https://m.stock.naver.com/research/company/88249" TargetMode="External"/><Relationship Id="rId8034" Type="http://schemas.openxmlformats.org/officeDocument/2006/relationships/hyperlink" Target="https://m.stock.naver.com/research/company/85204" TargetMode="External"/><Relationship Id="rId11015" Type="http://schemas.openxmlformats.org/officeDocument/2006/relationships/hyperlink" Target="https://m.stock.naver.com/research/company/82205" TargetMode="External"/><Relationship Id="rId3593" Type="http://schemas.openxmlformats.org/officeDocument/2006/relationships/hyperlink" Target="https://m.stock.naver.com/research/company/89658" TargetMode="External"/><Relationship Id="rId4644" Type="http://schemas.openxmlformats.org/officeDocument/2006/relationships/hyperlink" Target="https://m.stock.naver.com/research/company/88596" TargetMode="External"/><Relationship Id="rId13187" Type="http://schemas.openxmlformats.org/officeDocument/2006/relationships/hyperlink" Target="https://m.stock.naver.com/research/company/80020" TargetMode="External"/><Relationship Id="rId14238" Type="http://schemas.openxmlformats.org/officeDocument/2006/relationships/hyperlink" Target="https://m.stock.naver.com/research/company/94105" TargetMode="External"/><Relationship Id="rId14585" Type="http://schemas.openxmlformats.org/officeDocument/2006/relationships/hyperlink" Target="https://m.stock.naver.com/research/company/94494" TargetMode="External"/><Relationship Id="rId15636" Type="http://schemas.openxmlformats.org/officeDocument/2006/relationships/hyperlink" Target="https://m.stock.naver.com/research/company/95779" TargetMode="External"/><Relationship Id="rId2195" Type="http://schemas.openxmlformats.org/officeDocument/2006/relationships/hyperlink" Target="https://m.stock.naver.com/research/company/91060" TargetMode="External"/><Relationship Id="rId3246" Type="http://schemas.openxmlformats.org/officeDocument/2006/relationships/hyperlink" Target="https://m.stock.naver.com/research/company/90004" TargetMode="External"/><Relationship Id="rId167" Type="http://schemas.openxmlformats.org/officeDocument/2006/relationships/hyperlink" Target="https://m.stock.naver.com/research/company/93291" TargetMode="External"/><Relationship Id="rId7867" Type="http://schemas.openxmlformats.org/officeDocument/2006/relationships/hyperlink" Target="https://m.stock.naver.com/research/company/85371" TargetMode="External"/><Relationship Id="rId8918" Type="http://schemas.openxmlformats.org/officeDocument/2006/relationships/hyperlink" Target="https://m.stock.naver.com/research/company/84318" TargetMode="External"/><Relationship Id="rId10848" Type="http://schemas.openxmlformats.org/officeDocument/2006/relationships/hyperlink" Target="https://m.stock.naver.com/research/company/82372" TargetMode="External"/><Relationship Id="rId6469" Type="http://schemas.openxmlformats.org/officeDocument/2006/relationships/hyperlink" Target="https://m.stock.naver.com/research/company/86771" TargetMode="External"/><Relationship Id="rId12270" Type="http://schemas.openxmlformats.org/officeDocument/2006/relationships/hyperlink" Target="https://m.stock.naver.com/research/company/80939" TargetMode="External"/><Relationship Id="rId13321" Type="http://schemas.openxmlformats.org/officeDocument/2006/relationships/hyperlink" Target="https://m.stock.naver.com/research/company/79884" TargetMode="External"/><Relationship Id="rId6950" Type="http://schemas.openxmlformats.org/officeDocument/2006/relationships/hyperlink" Target="https://m.stock.naver.com/research/company/86289" TargetMode="External"/><Relationship Id="rId15493" Type="http://schemas.openxmlformats.org/officeDocument/2006/relationships/hyperlink" Target="https://m.stock.naver.com/research/company/95294" TargetMode="External"/><Relationship Id="rId301" Type="http://schemas.openxmlformats.org/officeDocument/2006/relationships/hyperlink" Target="https://m.stock.naver.com/research/company/93157" TargetMode="External"/><Relationship Id="rId5552" Type="http://schemas.openxmlformats.org/officeDocument/2006/relationships/hyperlink" Target="https://m.stock.naver.com/research/company/87688" TargetMode="External"/><Relationship Id="rId6603" Type="http://schemas.openxmlformats.org/officeDocument/2006/relationships/hyperlink" Target="https://m.stock.naver.com/research/company/86637" TargetMode="External"/><Relationship Id="rId14095" Type="http://schemas.openxmlformats.org/officeDocument/2006/relationships/hyperlink" Target="https://m.stock.naver.com/research/company/93907" TargetMode="External"/><Relationship Id="rId15146" Type="http://schemas.openxmlformats.org/officeDocument/2006/relationships/hyperlink" Target="https://m.stock.naver.com/research/company/94948" TargetMode="External"/><Relationship Id="rId4154" Type="http://schemas.openxmlformats.org/officeDocument/2006/relationships/hyperlink" Target="https://m.stock.naver.com/research/company/89095" TargetMode="External"/><Relationship Id="rId5205" Type="http://schemas.openxmlformats.org/officeDocument/2006/relationships/hyperlink" Target="https://m.stock.naver.com/research/company/88035" TargetMode="External"/><Relationship Id="rId8775" Type="http://schemas.openxmlformats.org/officeDocument/2006/relationships/hyperlink" Target="https://m.stock.naver.com/research/company/84462" TargetMode="External"/><Relationship Id="rId7377" Type="http://schemas.openxmlformats.org/officeDocument/2006/relationships/hyperlink" Target="https://m.stock.naver.com/research/company/85862" TargetMode="External"/><Relationship Id="rId8428" Type="http://schemas.openxmlformats.org/officeDocument/2006/relationships/hyperlink" Target="https://m.stock.naver.com/research/company/84810" TargetMode="External"/><Relationship Id="rId9826" Type="http://schemas.openxmlformats.org/officeDocument/2006/relationships/hyperlink" Target="https://m.stock.naver.com/research/company/83396" TargetMode="External"/><Relationship Id="rId11756" Type="http://schemas.openxmlformats.org/officeDocument/2006/relationships/hyperlink" Target="https://m.stock.naver.com/research/company/81456" TargetMode="External"/><Relationship Id="rId12807" Type="http://schemas.openxmlformats.org/officeDocument/2006/relationships/hyperlink" Target="https://m.stock.naver.com/research/company/80401" TargetMode="External"/><Relationship Id="rId1815" Type="http://schemas.openxmlformats.org/officeDocument/2006/relationships/hyperlink" Target="https://m.stock.naver.com/research/company/91440" TargetMode="External"/><Relationship Id="rId10358" Type="http://schemas.openxmlformats.org/officeDocument/2006/relationships/hyperlink" Target="https://m.stock.naver.com/research/company/82863" TargetMode="External"/><Relationship Id="rId11409" Type="http://schemas.openxmlformats.org/officeDocument/2006/relationships/hyperlink" Target="https://m.stock.naver.com/research/company/81806" TargetMode="External"/><Relationship Id="rId14979" Type="http://schemas.openxmlformats.org/officeDocument/2006/relationships/hyperlink" Target="https://m.stock.naver.com/research/company/94855" TargetMode="External"/><Relationship Id="rId3987" Type="http://schemas.openxmlformats.org/officeDocument/2006/relationships/hyperlink" Target="https://m.stock.naver.com/research/company/89264" TargetMode="External"/><Relationship Id="rId2589" Type="http://schemas.openxmlformats.org/officeDocument/2006/relationships/hyperlink" Target="https://m.stock.naver.com/research/company/90665" TargetMode="External"/><Relationship Id="rId6460" Type="http://schemas.openxmlformats.org/officeDocument/2006/relationships/hyperlink" Target="https://m.stock.naver.com/research/company/86780" TargetMode="External"/><Relationship Id="rId7511" Type="http://schemas.openxmlformats.org/officeDocument/2006/relationships/hyperlink" Target="https://m.stock.naver.com/research/company/85728" TargetMode="External"/><Relationship Id="rId5062" Type="http://schemas.openxmlformats.org/officeDocument/2006/relationships/hyperlink" Target="https://m.stock.naver.com/research/company/88178" TargetMode="External"/><Relationship Id="rId6113" Type="http://schemas.openxmlformats.org/officeDocument/2006/relationships/hyperlink" Target="https://m.stock.naver.com/research/company/87127" TargetMode="External"/><Relationship Id="rId9683" Type="http://schemas.openxmlformats.org/officeDocument/2006/relationships/hyperlink" Target="https://m.stock.naver.com/research/company/83540" TargetMode="External"/><Relationship Id="rId1672" Type="http://schemas.openxmlformats.org/officeDocument/2006/relationships/hyperlink" Target="https://m.stock.naver.com/research/company/91583" TargetMode="External"/><Relationship Id="rId2723" Type="http://schemas.openxmlformats.org/officeDocument/2006/relationships/hyperlink" Target="https://m.stock.naver.com/research/company/90531" TargetMode="External"/><Relationship Id="rId8285" Type="http://schemas.openxmlformats.org/officeDocument/2006/relationships/hyperlink" Target="https://m.stock.naver.com/research/company/84953" TargetMode="External"/><Relationship Id="rId9336" Type="http://schemas.openxmlformats.org/officeDocument/2006/relationships/hyperlink" Target="https://m.stock.naver.com/research/company/83891" TargetMode="External"/><Relationship Id="rId11266" Type="http://schemas.openxmlformats.org/officeDocument/2006/relationships/hyperlink" Target="https://m.stock.naver.com/research/company/81953" TargetMode="External"/><Relationship Id="rId12317" Type="http://schemas.openxmlformats.org/officeDocument/2006/relationships/hyperlink" Target="https://m.stock.naver.com/research/company/80892" TargetMode="External"/><Relationship Id="rId12664" Type="http://schemas.openxmlformats.org/officeDocument/2006/relationships/hyperlink" Target="https://m.stock.naver.com/research/company/80544" TargetMode="External"/><Relationship Id="rId13715" Type="http://schemas.openxmlformats.org/officeDocument/2006/relationships/hyperlink" Target="https://m.stock.naver.com/research/company/93459" TargetMode="External"/><Relationship Id="rId1325" Type="http://schemas.openxmlformats.org/officeDocument/2006/relationships/hyperlink" Target="https://m.stock.naver.com/research/company/91930" TargetMode="External"/><Relationship Id="rId3497" Type="http://schemas.openxmlformats.org/officeDocument/2006/relationships/hyperlink" Target="https://m.stock.naver.com/research/company/89754" TargetMode="External"/><Relationship Id="rId4895" Type="http://schemas.openxmlformats.org/officeDocument/2006/relationships/hyperlink" Target="https://m.stock.naver.com/research/company/88345" TargetMode="External"/><Relationship Id="rId5946" Type="http://schemas.openxmlformats.org/officeDocument/2006/relationships/hyperlink" Target="https://m.stock.naver.com/research/company/87294" TargetMode="External"/><Relationship Id="rId14489" Type="http://schemas.openxmlformats.org/officeDocument/2006/relationships/hyperlink" Target="https://m.stock.naver.com/research/company/94421" TargetMode="External"/><Relationship Id="rId31" Type="http://schemas.openxmlformats.org/officeDocument/2006/relationships/hyperlink" Target="https://m.stock.naver.com/research/company/93427" TargetMode="External"/><Relationship Id="rId2099" Type="http://schemas.openxmlformats.org/officeDocument/2006/relationships/hyperlink" Target="https://m.stock.naver.com/research/company/91156" TargetMode="External"/><Relationship Id="rId4548" Type="http://schemas.openxmlformats.org/officeDocument/2006/relationships/hyperlink" Target="https://m.stock.naver.com/research/company/88692" TargetMode="External"/><Relationship Id="rId7021" Type="http://schemas.openxmlformats.org/officeDocument/2006/relationships/hyperlink" Target="https://m.stock.naver.com/research/company/86218" TargetMode="External"/><Relationship Id="rId11400" Type="http://schemas.openxmlformats.org/officeDocument/2006/relationships/hyperlink" Target="https://m.stock.naver.com/research/company/81815" TargetMode="External"/><Relationship Id="rId14970" Type="http://schemas.openxmlformats.org/officeDocument/2006/relationships/hyperlink" Target="https://m.stock.naver.com/research/company/94864" TargetMode="External"/><Relationship Id="rId10002" Type="http://schemas.openxmlformats.org/officeDocument/2006/relationships/hyperlink" Target="https://m.stock.naver.com/research/company/83219" TargetMode="External"/><Relationship Id="rId13572" Type="http://schemas.openxmlformats.org/officeDocument/2006/relationships/hyperlink" Target="https://m.stock.naver.com/research/company/79632" TargetMode="External"/><Relationship Id="rId14623" Type="http://schemas.openxmlformats.org/officeDocument/2006/relationships/hyperlink" Target="https://m.stock.naver.com/research/company/94554" TargetMode="External"/><Relationship Id="rId2580" Type="http://schemas.openxmlformats.org/officeDocument/2006/relationships/hyperlink" Target="https://m.stock.naver.com/research/company/90674" TargetMode="External"/><Relationship Id="rId3631" Type="http://schemas.openxmlformats.org/officeDocument/2006/relationships/hyperlink" Target="https://m.stock.naver.com/research/company/89620" TargetMode="External"/><Relationship Id="rId9193" Type="http://schemas.openxmlformats.org/officeDocument/2006/relationships/hyperlink" Target="https://m.stock.naver.com/research/company/84037" TargetMode="External"/><Relationship Id="rId12174" Type="http://schemas.openxmlformats.org/officeDocument/2006/relationships/hyperlink" Target="https://m.stock.naver.com/research/company/81037" TargetMode="External"/><Relationship Id="rId13225" Type="http://schemas.openxmlformats.org/officeDocument/2006/relationships/hyperlink" Target="https://m.stock.naver.com/research/company/79982" TargetMode="External"/><Relationship Id="rId552" Type="http://schemas.openxmlformats.org/officeDocument/2006/relationships/hyperlink" Target="https://m.stock.naver.com/research/company/92905" TargetMode="External"/><Relationship Id="rId1182" Type="http://schemas.openxmlformats.org/officeDocument/2006/relationships/hyperlink" Target="https://m.stock.naver.com/research/company/92073" TargetMode="External"/><Relationship Id="rId2233" Type="http://schemas.openxmlformats.org/officeDocument/2006/relationships/hyperlink" Target="https://m.stock.naver.com/research/company/91022" TargetMode="External"/><Relationship Id="rId6854" Type="http://schemas.openxmlformats.org/officeDocument/2006/relationships/hyperlink" Target="https://m.stock.naver.com/research/company/86386" TargetMode="External"/><Relationship Id="rId15397" Type="http://schemas.openxmlformats.org/officeDocument/2006/relationships/hyperlink" Target="https://m.stock.naver.com/research/company/95390" TargetMode="External"/><Relationship Id="rId205" Type="http://schemas.openxmlformats.org/officeDocument/2006/relationships/hyperlink" Target="https://m.stock.naver.com/research/company/93253" TargetMode="External"/><Relationship Id="rId5456" Type="http://schemas.openxmlformats.org/officeDocument/2006/relationships/hyperlink" Target="https://m.stock.naver.com/research/company/87784" TargetMode="External"/><Relationship Id="rId6507" Type="http://schemas.openxmlformats.org/officeDocument/2006/relationships/hyperlink" Target="https://m.stock.naver.com/research/company/86733" TargetMode="External"/><Relationship Id="rId7905" Type="http://schemas.openxmlformats.org/officeDocument/2006/relationships/hyperlink" Target="https://m.stock.naver.com/research/company/85333" TargetMode="External"/><Relationship Id="rId4058" Type="http://schemas.openxmlformats.org/officeDocument/2006/relationships/hyperlink" Target="https://m.stock.naver.com/research/company/89193" TargetMode="External"/><Relationship Id="rId5109" Type="http://schemas.openxmlformats.org/officeDocument/2006/relationships/hyperlink" Target="https://m.stock.naver.com/research/company/88131" TargetMode="External"/><Relationship Id="rId8679" Type="http://schemas.openxmlformats.org/officeDocument/2006/relationships/hyperlink" Target="https://m.stock.naver.com/research/company/84558" TargetMode="External"/><Relationship Id="rId14480" Type="http://schemas.openxmlformats.org/officeDocument/2006/relationships/hyperlink" Target="https://m.stock.naver.com/research/company/94430" TargetMode="External"/><Relationship Id="rId15531" Type="http://schemas.openxmlformats.org/officeDocument/2006/relationships/hyperlink" Target="https://m.stock.naver.com/research/company/95505" TargetMode="External"/><Relationship Id="rId1719" Type="http://schemas.openxmlformats.org/officeDocument/2006/relationships/hyperlink" Target="https://m.stock.naver.com/research/company/91536" TargetMode="External"/><Relationship Id="rId13082" Type="http://schemas.openxmlformats.org/officeDocument/2006/relationships/hyperlink" Target="https://m.stock.naver.com/research/company/80125" TargetMode="External"/><Relationship Id="rId14133" Type="http://schemas.openxmlformats.org/officeDocument/2006/relationships/hyperlink" Target="https://m.stock.naver.com/research/company/93995" TargetMode="External"/><Relationship Id="rId2090" Type="http://schemas.openxmlformats.org/officeDocument/2006/relationships/hyperlink" Target="https://m.stock.naver.com/research/company/91165" TargetMode="External"/><Relationship Id="rId3141" Type="http://schemas.openxmlformats.org/officeDocument/2006/relationships/hyperlink" Target="https://m.stock.naver.com/research/company/90110" TargetMode="External"/><Relationship Id="rId7762" Type="http://schemas.openxmlformats.org/officeDocument/2006/relationships/hyperlink" Target="https://m.stock.naver.com/research/company/85477" TargetMode="External"/><Relationship Id="rId8813" Type="http://schemas.openxmlformats.org/officeDocument/2006/relationships/hyperlink" Target="https://m.stock.naver.com/research/company/84424" TargetMode="External"/><Relationship Id="rId6364" Type="http://schemas.openxmlformats.org/officeDocument/2006/relationships/hyperlink" Target="https://m.stock.naver.com/research/company/86876" TargetMode="External"/><Relationship Id="rId7415" Type="http://schemas.openxmlformats.org/officeDocument/2006/relationships/hyperlink" Target="https://m.stock.naver.com/research/company/85824" TargetMode="External"/><Relationship Id="rId10743" Type="http://schemas.openxmlformats.org/officeDocument/2006/relationships/hyperlink" Target="https://m.stock.naver.com/research/company/82477" TargetMode="External"/><Relationship Id="rId6017" Type="http://schemas.openxmlformats.org/officeDocument/2006/relationships/hyperlink" Target="https://m.stock.naver.com/research/company/87223" TargetMode="External"/><Relationship Id="rId9587" Type="http://schemas.openxmlformats.org/officeDocument/2006/relationships/hyperlink" Target="https://m.stock.naver.com/research/company/83640" TargetMode="External"/><Relationship Id="rId13966" Type="http://schemas.openxmlformats.org/officeDocument/2006/relationships/hyperlink" Target="https://m.stock.naver.com/research/company/93766" TargetMode="External"/><Relationship Id="rId1576" Type="http://schemas.openxmlformats.org/officeDocument/2006/relationships/hyperlink" Target="https://m.stock.naver.com/research/company/91679" TargetMode="External"/><Relationship Id="rId2974" Type="http://schemas.openxmlformats.org/officeDocument/2006/relationships/hyperlink" Target="https://m.stock.naver.com/research/company/90279" TargetMode="External"/><Relationship Id="rId8189" Type="http://schemas.openxmlformats.org/officeDocument/2006/relationships/hyperlink" Target="https://m.stock.naver.com/research/company/85049" TargetMode="External"/><Relationship Id="rId12568" Type="http://schemas.openxmlformats.org/officeDocument/2006/relationships/hyperlink" Target="https://m.stock.naver.com/research/company/80640" TargetMode="External"/><Relationship Id="rId13619" Type="http://schemas.openxmlformats.org/officeDocument/2006/relationships/hyperlink" Target="https://m.stock.naver.com/research/company/79585" TargetMode="External"/><Relationship Id="rId946" Type="http://schemas.openxmlformats.org/officeDocument/2006/relationships/hyperlink" Target="https://m.stock.naver.com/research/company/92510" TargetMode="External"/><Relationship Id="rId1229" Type="http://schemas.openxmlformats.org/officeDocument/2006/relationships/hyperlink" Target="https://m.stock.naver.com/research/company/92026" TargetMode="External"/><Relationship Id="rId2627" Type="http://schemas.openxmlformats.org/officeDocument/2006/relationships/hyperlink" Target="https://m.stock.naver.com/research/company/90627" TargetMode="External"/><Relationship Id="rId5100" Type="http://schemas.openxmlformats.org/officeDocument/2006/relationships/hyperlink" Target="https://m.stock.naver.com/research/company/88140" TargetMode="External"/><Relationship Id="rId15041" Type="http://schemas.openxmlformats.org/officeDocument/2006/relationships/hyperlink" Target="https://m.stock.naver.com/research/company/95053" TargetMode="External"/><Relationship Id="rId4799" Type="http://schemas.openxmlformats.org/officeDocument/2006/relationships/hyperlink" Target="https://m.stock.naver.com/research/company/88441" TargetMode="External"/><Relationship Id="rId8670" Type="http://schemas.openxmlformats.org/officeDocument/2006/relationships/hyperlink" Target="https://m.stock.naver.com/research/company/84567" TargetMode="External"/><Relationship Id="rId9721" Type="http://schemas.openxmlformats.org/officeDocument/2006/relationships/hyperlink" Target="https://m.stock.naver.com/research/company/83502" TargetMode="External"/><Relationship Id="rId11651" Type="http://schemas.openxmlformats.org/officeDocument/2006/relationships/hyperlink" Target="https://m.stock.naver.com/research/company/81561" TargetMode="External"/><Relationship Id="rId12702" Type="http://schemas.openxmlformats.org/officeDocument/2006/relationships/hyperlink" Target="https://m.stock.naver.com/research/company/80506" TargetMode="External"/><Relationship Id="rId1710" Type="http://schemas.openxmlformats.org/officeDocument/2006/relationships/hyperlink" Target="https://m.stock.naver.com/research/company/91545" TargetMode="External"/><Relationship Id="rId7272" Type="http://schemas.openxmlformats.org/officeDocument/2006/relationships/hyperlink" Target="https://m.stock.naver.com/research/company/85967" TargetMode="External"/><Relationship Id="rId8323" Type="http://schemas.openxmlformats.org/officeDocument/2006/relationships/hyperlink" Target="https://m.stock.naver.com/research/company/84915" TargetMode="External"/><Relationship Id="rId10253" Type="http://schemas.openxmlformats.org/officeDocument/2006/relationships/hyperlink" Target="https://m.stock.naver.com/research/company/82968" TargetMode="External"/><Relationship Id="rId11304" Type="http://schemas.openxmlformats.org/officeDocument/2006/relationships/hyperlink" Target="https://m.stock.naver.com/research/company/81915" TargetMode="External"/><Relationship Id="rId3882" Type="http://schemas.openxmlformats.org/officeDocument/2006/relationships/hyperlink" Target="https://m.stock.naver.com/research/company/89369" TargetMode="External"/><Relationship Id="rId4933" Type="http://schemas.openxmlformats.org/officeDocument/2006/relationships/hyperlink" Target="https://m.stock.naver.com/research/company/88307" TargetMode="External"/><Relationship Id="rId13476" Type="http://schemas.openxmlformats.org/officeDocument/2006/relationships/hyperlink" Target="https://m.stock.naver.com/research/company/79728" TargetMode="External"/><Relationship Id="rId14527" Type="http://schemas.openxmlformats.org/officeDocument/2006/relationships/hyperlink" Target="https://m.stock.naver.com/research/company/94383" TargetMode="External"/><Relationship Id="rId14874" Type="http://schemas.openxmlformats.org/officeDocument/2006/relationships/hyperlink" Target="https://m.stock.naver.com/research/company/94750" TargetMode="External"/><Relationship Id="rId2484" Type="http://schemas.openxmlformats.org/officeDocument/2006/relationships/hyperlink" Target="https://m.stock.naver.com/research/company/90770" TargetMode="External"/><Relationship Id="rId3535" Type="http://schemas.openxmlformats.org/officeDocument/2006/relationships/hyperlink" Target="https://m.stock.naver.com/research/company/89716" TargetMode="External"/><Relationship Id="rId9097" Type="http://schemas.openxmlformats.org/officeDocument/2006/relationships/hyperlink" Target="https://m.stock.naver.com/research/company/84133" TargetMode="External"/><Relationship Id="rId12078" Type="http://schemas.openxmlformats.org/officeDocument/2006/relationships/hyperlink" Target="https://m.stock.naver.com/research/company/81133" TargetMode="External"/><Relationship Id="rId13129" Type="http://schemas.openxmlformats.org/officeDocument/2006/relationships/hyperlink" Target="https://m.stock.naver.com/research/company/80078" TargetMode="External"/><Relationship Id="rId456" Type="http://schemas.openxmlformats.org/officeDocument/2006/relationships/hyperlink" Target="https://m.stock.naver.com/research/company/93001" TargetMode="External"/><Relationship Id="rId1086" Type="http://schemas.openxmlformats.org/officeDocument/2006/relationships/hyperlink" Target="https://m.stock.naver.com/research/company/92170" TargetMode="External"/><Relationship Id="rId2137" Type="http://schemas.openxmlformats.org/officeDocument/2006/relationships/hyperlink" Target="https://m.stock.naver.com/research/company/91118" TargetMode="External"/><Relationship Id="rId109" Type="http://schemas.openxmlformats.org/officeDocument/2006/relationships/hyperlink" Target="https://m.stock.naver.com/research/company/93349" TargetMode="External"/><Relationship Id="rId6758" Type="http://schemas.openxmlformats.org/officeDocument/2006/relationships/hyperlink" Target="https://m.stock.naver.com/research/company/86482" TargetMode="External"/><Relationship Id="rId7809" Type="http://schemas.openxmlformats.org/officeDocument/2006/relationships/hyperlink" Target="https://m.stock.naver.com/research/company/85429" TargetMode="External"/><Relationship Id="rId8180" Type="http://schemas.openxmlformats.org/officeDocument/2006/relationships/hyperlink" Target="https://m.stock.naver.com/research/company/85058" TargetMode="External"/><Relationship Id="rId9231" Type="http://schemas.openxmlformats.org/officeDocument/2006/relationships/hyperlink" Target="https://m.stock.naver.com/research/company/83999" TargetMode="External"/><Relationship Id="rId13610" Type="http://schemas.openxmlformats.org/officeDocument/2006/relationships/hyperlink" Target="https://m.stock.naver.com/research/company/79594" TargetMode="External"/><Relationship Id="rId11161" Type="http://schemas.openxmlformats.org/officeDocument/2006/relationships/hyperlink" Target="https://m.stock.naver.com/research/company/82059" TargetMode="External"/><Relationship Id="rId12212" Type="http://schemas.openxmlformats.org/officeDocument/2006/relationships/hyperlink" Target="https://m.stock.naver.com/research/company/80998" TargetMode="External"/><Relationship Id="rId1220" Type="http://schemas.openxmlformats.org/officeDocument/2006/relationships/hyperlink" Target="https://m.stock.naver.com/research/company/92035" TargetMode="External"/><Relationship Id="rId4790" Type="http://schemas.openxmlformats.org/officeDocument/2006/relationships/hyperlink" Target="https://m.stock.naver.com/research/company/88450" TargetMode="External"/><Relationship Id="rId5841" Type="http://schemas.openxmlformats.org/officeDocument/2006/relationships/hyperlink" Target="https://m.stock.naver.com/research/company/87399" TargetMode="External"/><Relationship Id="rId14384" Type="http://schemas.openxmlformats.org/officeDocument/2006/relationships/hyperlink" Target="https://m.stock.naver.com/research/company/94228" TargetMode="External"/><Relationship Id="rId15435" Type="http://schemas.openxmlformats.org/officeDocument/2006/relationships/hyperlink" Target="https://m.stock.naver.com/research/company/95352" TargetMode="External"/><Relationship Id="rId3392" Type="http://schemas.openxmlformats.org/officeDocument/2006/relationships/hyperlink" Target="https://m.stock.naver.com/research/company/89859" TargetMode="External"/><Relationship Id="rId4443" Type="http://schemas.openxmlformats.org/officeDocument/2006/relationships/hyperlink" Target="https://m.stock.naver.com/research/company/88797" TargetMode="External"/><Relationship Id="rId14037" Type="http://schemas.openxmlformats.org/officeDocument/2006/relationships/hyperlink" Target="https://m.stock.naver.com/research/company/93810" TargetMode="External"/><Relationship Id="rId3045" Type="http://schemas.openxmlformats.org/officeDocument/2006/relationships/hyperlink" Target="https://m.stock.naver.com/research/company/90206" TargetMode="External"/><Relationship Id="rId7666" Type="http://schemas.openxmlformats.org/officeDocument/2006/relationships/hyperlink" Target="https://m.stock.naver.com/research/company/85573" TargetMode="External"/><Relationship Id="rId8717" Type="http://schemas.openxmlformats.org/officeDocument/2006/relationships/hyperlink" Target="https://m.stock.naver.com/research/company/84520" TargetMode="External"/><Relationship Id="rId10994" Type="http://schemas.openxmlformats.org/officeDocument/2006/relationships/hyperlink" Target="https://m.stock.naver.com/research/company/82226" TargetMode="External"/><Relationship Id="rId6268" Type="http://schemas.openxmlformats.org/officeDocument/2006/relationships/hyperlink" Target="https://m.stock.naver.com/research/company/86972" TargetMode="External"/><Relationship Id="rId7319" Type="http://schemas.openxmlformats.org/officeDocument/2006/relationships/hyperlink" Target="https://m.stock.naver.com/research/company/85920" TargetMode="External"/><Relationship Id="rId10647" Type="http://schemas.openxmlformats.org/officeDocument/2006/relationships/hyperlink" Target="https://m.stock.naver.com/research/company/82573" TargetMode="External"/><Relationship Id="rId13120" Type="http://schemas.openxmlformats.org/officeDocument/2006/relationships/hyperlink" Target="https://m.stock.naver.com/research/company/80087" TargetMode="External"/><Relationship Id="rId100" Type="http://schemas.openxmlformats.org/officeDocument/2006/relationships/hyperlink" Target="https://m.stock.naver.com/research/company/93358" TargetMode="External"/><Relationship Id="rId2878" Type="http://schemas.openxmlformats.org/officeDocument/2006/relationships/hyperlink" Target="https://m.stock.naver.com/research/company/90375" TargetMode="External"/><Relationship Id="rId3929" Type="http://schemas.openxmlformats.org/officeDocument/2006/relationships/hyperlink" Target="https://m.stock.naver.com/research/company/89322" TargetMode="External"/><Relationship Id="rId7800" Type="http://schemas.openxmlformats.org/officeDocument/2006/relationships/hyperlink" Target="https://m.stock.naver.com/research/company/85438" TargetMode="External"/><Relationship Id="rId15292" Type="http://schemas.openxmlformats.org/officeDocument/2006/relationships/hyperlink" Target="https://m.stock.naver.com/research/company/95068" TargetMode="External"/><Relationship Id="rId5351" Type="http://schemas.openxmlformats.org/officeDocument/2006/relationships/hyperlink" Target="https://m.stock.naver.com/research/company/87889" TargetMode="External"/><Relationship Id="rId6402" Type="http://schemas.openxmlformats.org/officeDocument/2006/relationships/hyperlink" Target="https://m.stock.naver.com/research/company/86838" TargetMode="External"/><Relationship Id="rId9972" Type="http://schemas.openxmlformats.org/officeDocument/2006/relationships/hyperlink" Target="https://m.stock.naver.com/research/company/83249" TargetMode="External"/><Relationship Id="rId1961" Type="http://schemas.openxmlformats.org/officeDocument/2006/relationships/hyperlink" Target="https://m.stock.naver.com/research/company/91294" TargetMode="External"/><Relationship Id="rId5004" Type="http://schemas.openxmlformats.org/officeDocument/2006/relationships/hyperlink" Target="https://m.stock.naver.com/research/company/88236" TargetMode="External"/><Relationship Id="rId8574" Type="http://schemas.openxmlformats.org/officeDocument/2006/relationships/hyperlink" Target="https://m.stock.naver.com/research/company/84663" TargetMode="External"/><Relationship Id="rId9625" Type="http://schemas.openxmlformats.org/officeDocument/2006/relationships/hyperlink" Target="https://m.stock.naver.com/research/company/83600" TargetMode="External"/><Relationship Id="rId11555" Type="http://schemas.openxmlformats.org/officeDocument/2006/relationships/hyperlink" Target="https://m.stock.naver.com/research/company/81659" TargetMode="External"/><Relationship Id="rId12606" Type="http://schemas.openxmlformats.org/officeDocument/2006/relationships/hyperlink" Target="https://m.stock.naver.com/research/company/80602" TargetMode="External"/><Relationship Id="rId12953" Type="http://schemas.openxmlformats.org/officeDocument/2006/relationships/hyperlink" Target="https://m.stock.naver.com/research/company/80255" TargetMode="External"/><Relationship Id="rId1614" Type="http://schemas.openxmlformats.org/officeDocument/2006/relationships/hyperlink" Target="https://m.stock.naver.com/research/company/91641" TargetMode="External"/><Relationship Id="rId7176" Type="http://schemas.openxmlformats.org/officeDocument/2006/relationships/hyperlink" Target="https://m.stock.naver.com/research/company/86063" TargetMode="External"/><Relationship Id="rId8227" Type="http://schemas.openxmlformats.org/officeDocument/2006/relationships/hyperlink" Target="https://m.stock.naver.com/research/company/85011" TargetMode="External"/><Relationship Id="rId10157" Type="http://schemas.openxmlformats.org/officeDocument/2006/relationships/hyperlink" Target="https://m.stock.naver.com/research/company/83064" TargetMode="External"/><Relationship Id="rId11208" Type="http://schemas.openxmlformats.org/officeDocument/2006/relationships/hyperlink" Target="https://m.stock.naver.com/research/company/82012" TargetMode="External"/><Relationship Id="rId3786" Type="http://schemas.openxmlformats.org/officeDocument/2006/relationships/hyperlink" Target="https://m.stock.naver.com/research/company/89465" TargetMode="External"/><Relationship Id="rId14778" Type="http://schemas.openxmlformats.org/officeDocument/2006/relationships/hyperlink" Target="https://m.stock.naver.com/research/company/94622" TargetMode="External"/><Relationship Id="rId2388" Type="http://schemas.openxmlformats.org/officeDocument/2006/relationships/hyperlink" Target="https://m.stock.naver.com/research/company/90866" TargetMode="External"/><Relationship Id="rId3439" Type="http://schemas.openxmlformats.org/officeDocument/2006/relationships/hyperlink" Target="https://m.stock.naver.com/research/company/89812" TargetMode="External"/><Relationship Id="rId4837" Type="http://schemas.openxmlformats.org/officeDocument/2006/relationships/hyperlink" Target="https://m.stock.naver.com/research/company/88403" TargetMode="External"/><Relationship Id="rId7310" Type="http://schemas.openxmlformats.org/officeDocument/2006/relationships/hyperlink" Target="https://m.stock.naver.com/research/company/85929" TargetMode="External"/><Relationship Id="rId13861" Type="http://schemas.openxmlformats.org/officeDocument/2006/relationships/hyperlink" Target="https://m.stock.naver.com/research/company/93666" TargetMode="External"/><Relationship Id="rId14912" Type="http://schemas.openxmlformats.org/officeDocument/2006/relationships/hyperlink" Target="https://m.stock.naver.com/research/company/94922" TargetMode="External"/><Relationship Id="rId3920" Type="http://schemas.openxmlformats.org/officeDocument/2006/relationships/hyperlink" Target="https://m.stock.naver.com/research/company/89331" TargetMode="External"/><Relationship Id="rId8084" Type="http://schemas.openxmlformats.org/officeDocument/2006/relationships/hyperlink" Target="https://m.stock.naver.com/research/company/85154" TargetMode="External"/><Relationship Id="rId9482" Type="http://schemas.openxmlformats.org/officeDocument/2006/relationships/hyperlink" Target="https://m.stock.naver.com/research/company/83745" TargetMode="External"/><Relationship Id="rId12463" Type="http://schemas.openxmlformats.org/officeDocument/2006/relationships/hyperlink" Target="https://m.stock.naver.com/research/company/80746" TargetMode="External"/><Relationship Id="rId13514" Type="http://schemas.openxmlformats.org/officeDocument/2006/relationships/hyperlink" Target="https://m.stock.naver.com/research/company/79690" TargetMode="External"/><Relationship Id="rId841" Type="http://schemas.openxmlformats.org/officeDocument/2006/relationships/hyperlink" Target="https://m.stock.naver.com/research/company/92615" TargetMode="External"/><Relationship Id="rId1471" Type="http://schemas.openxmlformats.org/officeDocument/2006/relationships/hyperlink" Target="https://m.stock.naver.com/research/company/91784" TargetMode="External"/><Relationship Id="rId2522" Type="http://schemas.openxmlformats.org/officeDocument/2006/relationships/hyperlink" Target="https://m.stock.naver.com/research/company/90732" TargetMode="External"/><Relationship Id="rId9135" Type="http://schemas.openxmlformats.org/officeDocument/2006/relationships/hyperlink" Target="https://m.stock.naver.com/research/company/84095" TargetMode="External"/><Relationship Id="rId11065" Type="http://schemas.openxmlformats.org/officeDocument/2006/relationships/hyperlink" Target="https://m.stock.naver.com/research/company/82155" TargetMode="External"/><Relationship Id="rId12116" Type="http://schemas.openxmlformats.org/officeDocument/2006/relationships/hyperlink" Target="https://m.stock.naver.com/research/company/81095" TargetMode="External"/><Relationship Id="rId15686" Type="http://schemas.openxmlformats.org/officeDocument/2006/relationships/hyperlink" Target="https://m.stock.naver.com/research/company/95728" TargetMode="External"/><Relationship Id="rId1124" Type="http://schemas.openxmlformats.org/officeDocument/2006/relationships/hyperlink" Target="https://m.stock.naver.com/research/company/92131" TargetMode="External"/><Relationship Id="rId4694" Type="http://schemas.openxmlformats.org/officeDocument/2006/relationships/hyperlink" Target="https://m.stock.naver.com/research/company/88546" TargetMode="External"/><Relationship Id="rId5745" Type="http://schemas.openxmlformats.org/officeDocument/2006/relationships/hyperlink" Target="https://m.stock.naver.com/research/company/87495" TargetMode="External"/><Relationship Id="rId14288" Type="http://schemas.openxmlformats.org/officeDocument/2006/relationships/hyperlink" Target="https://m.stock.naver.com/research/company/94176" TargetMode="External"/><Relationship Id="rId15339" Type="http://schemas.openxmlformats.org/officeDocument/2006/relationships/hyperlink" Target="https://m.stock.naver.com/research/company/95249" TargetMode="External"/><Relationship Id="rId3296" Type="http://schemas.openxmlformats.org/officeDocument/2006/relationships/hyperlink" Target="https://m.stock.naver.com/research/company/89954" TargetMode="External"/><Relationship Id="rId4347" Type="http://schemas.openxmlformats.org/officeDocument/2006/relationships/hyperlink" Target="https://m.stock.naver.com/research/company/88894" TargetMode="External"/><Relationship Id="rId8968" Type="http://schemas.openxmlformats.org/officeDocument/2006/relationships/hyperlink" Target="https://m.stock.naver.com/research/company/84264" TargetMode="External"/><Relationship Id="rId10898" Type="http://schemas.openxmlformats.org/officeDocument/2006/relationships/hyperlink" Target="https://m.stock.naver.com/research/company/82322" TargetMode="External"/><Relationship Id="rId11949" Type="http://schemas.openxmlformats.org/officeDocument/2006/relationships/hyperlink" Target="https://m.stock.naver.com/research/company/81262" TargetMode="External"/><Relationship Id="rId13371" Type="http://schemas.openxmlformats.org/officeDocument/2006/relationships/hyperlink" Target="https://m.stock.naver.com/research/company/79834" TargetMode="External"/><Relationship Id="rId14422" Type="http://schemas.openxmlformats.org/officeDocument/2006/relationships/hyperlink" Target="https://m.stock.naver.com/research/company/94261" TargetMode="External"/><Relationship Id="rId3430" Type="http://schemas.openxmlformats.org/officeDocument/2006/relationships/hyperlink" Target="https://m.stock.naver.com/research/company/89821" TargetMode="External"/><Relationship Id="rId13024" Type="http://schemas.openxmlformats.org/officeDocument/2006/relationships/hyperlink" Target="https://m.stock.naver.com/research/company/80183" TargetMode="External"/><Relationship Id="rId351" Type="http://schemas.openxmlformats.org/officeDocument/2006/relationships/hyperlink" Target="https://m.stock.naver.com/research/company/93107" TargetMode="External"/><Relationship Id="rId2032" Type="http://schemas.openxmlformats.org/officeDocument/2006/relationships/hyperlink" Target="https://m.stock.naver.com/research/company/91223" TargetMode="External"/><Relationship Id="rId6653" Type="http://schemas.openxmlformats.org/officeDocument/2006/relationships/hyperlink" Target="https://m.stock.naver.com/research/company/86587" TargetMode="External"/><Relationship Id="rId7704" Type="http://schemas.openxmlformats.org/officeDocument/2006/relationships/hyperlink" Target="https://m.stock.naver.com/research/company/85535" TargetMode="External"/><Relationship Id="rId15196" Type="http://schemas.openxmlformats.org/officeDocument/2006/relationships/hyperlink" Target="https://m.stock.naver.com/research/company/95164" TargetMode="External"/><Relationship Id="rId5255" Type="http://schemas.openxmlformats.org/officeDocument/2006/relationships/hyperlink" Target="https://m.stock.naver.com/research/company/87985" TargetMode="External"/><Relationship Id="rId6306" Type="http://schemas.openxmlformats.org/officeDocument/2006/relationships/hyperlink" Target="https://m.stock.naver.com/research/company/86934" TargetMode="External"/><Relationship Id="rId9876" Type="http://schemas.openxmlformats.org/officeDocument/2006/relationships/hyperlink" Target="https://m.stock.naver.com/research/company/83346" TargetMode="External"/><Relationship Id="rId1865" Type="http://schemas.openxmlformats.org/officeDocument/2006/relationships/hyperlink" Target="https://m.stock.naver.com/research/company/91390" TargetMode="External"/><Relationship Id="rId8478" Type="http://schemas.openxmlformats.org/officeDocument/2006/relationships/hyperlink" Target="https://m.stock.naver.com/research/company/84759" TargetMode="External"/><Relationship Id="rId9529" Type="http://schemas.openxmlformats.org/officeDocument/2006/relationships/hyperlink" Target="https://m.stock.naver.com/research/company/83698" TargetMode="External"/><Relationship Id="rId12857" Type="http://schemas.openxmlformats.org/officeDocument/2006/relationships/hyperlink" Target="https://m.stock.naver.com/research/company/80351" TargetMode="External"/><Relationship Id="rId13908" Type="http://schemas.openxmlformats.org/officeDocument/2006/relationships/hyperlink" Target="https://m.stock.naver.com/research/company/93694" TargetMode="External"/><Relationship Id="rId1518" Type="http://schemas.openxmlformats.org/officeDocument/2006/relationships/hyperlink" Target="https://m.stock.naver.com/research/company/91737" TargetMode="External"/><Relationship Id="rId2916" Type="http://schemas.openxmlformats.org/officeDocument/2006/relationships/hyperlink" Target="https://m.stock.naver.com/research/company/90337" TargetMode="External"/><Relationship Id="rId11459" Type="http://schemas.openxmlformats.org/officeDocument/2006/relationships/hyperlink" Target="https://m.stock.naver.com/research/company/81756" TargetMode="External"/><Relationship Id="rId15330" Type="http://schemas.openxmlformats.org/officeDocument/2006/relationships/hyperlink" Target="https://m.stock.naver.com/research/company/95258" TargetMode="External"/><Relationship Id="rId11940" Type="http://schemas.openxmlformats.org/officeDocument/2006/relationships/hyperlink" Target="https://m.stock.naver.com/research/company/81271" TargetMode="External"/><Relationship Id="rId6163" Type="http://schemas.openxmlformats.org/officeDocument/2006/relationships/hyperlink" Target="https://m.stock.naver.com/research/company/87077" TargetMode="External"/><Relationship Id="rId7561" Type="http://schemas.openxmlformats.org/officeDocument/2006/relationships/hyperlink" Target="https://m.stock.naver.com/research/company/85678" TargetMode="External"/><Relationship Id="rId8612" Type="http://schemas.openxmlformats.org/officeDocument/2006/relationships/hyperlink" Target="https://m.stock.naver.com/research/company/84625" TargetMode="External"/><Relationship Id="rId10542" Type="http://schemas.openxmlformats.org/officeDocument/2006/relationships/hyperlink" Target="https://m.stock.naver.com/research/company/82678" TargetMode="External"/><Relationship Id="rId7214" Type="http://schemas.openxmlformats.org/officeDocument/2006/relationships/hyperlink" Target="https://m.stock.naver.com/research/company/86025" TargetMode="External"/><Relationship Id="rId13765" Type="http://schemas.openxmlformats.org/officeDocument/2006/relationships/hyperlink" Target="https://m.stock.naver.com/research/company/93542" TargetMode="External"/><Relationship Id="rId14816" Type="http://schemas.openxmlformats.org/officeDocument/2006/relationships/hyperlink" Target="https://m.stock.naver.com/research/company/94584" TargetMode="External"/><Relationship Id="rId2773" Type="http://schemas.openxmlformats.org/officeDocument/2006/relationships/hyperlink" Target="https://m.stock.naver.com/research/company/90481" TargetMode="External"/><Relationship Id="rId3824" Type="http://schemas.openxmlformats.org/officeDocument/2006/relationships/hyperlink" Target="https://m.stock.naver.com/research/company/89427" TargetMode="External"/><Relationship Id="rId9386" Type="http://schemas.openxmlformats.org/officeDocument/2006/relationships/hyperlink" Target="https://m.stock.naver.com/research/company/83841" TargetMode="External"/><Relationship Id="rId12367" Type="http://schemas.openxmlformats.org/officeDocument/2006/relationships/hyperlink" Target="https://m.stock.naver.com/research/company/80842" TargetMode="External"/><Relationship Id="rId13418" Type="http://schemas.openxmlformats.org/officeDocument/2006/relationships/hyperlink" Target="https://m.stock.naver.com/research/company/79787" TargetMode="External"/><Relationship Id="rId745" Type="http://schemas.openxmlformats.org/officeDocument/2006/relationships/hyperlink" Target="https://m.stock.naver.com/research/company/92711" TargetMode="External"/><Relationship Id="rId1375" Type="http://schemas.openxmlformats.org/officeDocument/2006/relationships/hyperlink" Target="https://m.stock.naver.com/research/company/91880" TargetMode="External"/><Relationship Id="rId2426" Type="http://schemas.openxmlformats.org/officeDocument/2006/relationships/hyperlink" Target="https://m.stock.naver.com/research/company/90828" TargetMode="External"/><Relationship Id="rId5996" Type="http://schemas.openxmlformats.org/officeDocument/2006/relationships/hyperlink" Target="https://m.stock.naver.com/research/company/87244" TargetMode="External"/><Relationship Id="rId9039" Type="http://schemas.openxmlformats.org/officeDocument/2006/relationships/hyperlink" Target="https://m.stock.naver.com/research/company/84192" TargetMode="External"/><Relationship Id="rId81" Type="http://schemas.openxmlformats.org/officeDocument/2006/relationships/hyperlink" Target="https://m.stock.naver.com/research/company/93377" TargetMode="External"/><Relationship Id="rId1028" Type="http://schemas.openxmlformats.org/officeDocument/2006/relationships/hyperlink" Target="https://m.stock.naver.com/research/company/92323" TargetMode="External"/><Relationship Id="rId4598" Type="http://schemas.openxmlformats.org/officeDocument/2006/relationships/hyperlink" Target="https://m.stock.naver.com/research/company/88642" TargetMode="External"/><Relationship Id="rId5649" Type="http://schemas.openxmlformats.org/officeDocument/2006/relationships/hyperlink" Target="https://m.stock.naver.com/research/company/87591" TargetMode="External"/><Relationship Id="rId9520" Type="http://schemas.openxmlformats.org/officeDocument/2006/relationships/hyperlink" Target="https://m.stock.naver.com/research/company/83707" TargetMode="External"/><Relationship Id="rId7071" Type="http://schemas.openxmlformats.org/officeDocument/2006/relationships/hyperlink" Target="https://m.stock.naver.com/research/company/86168" TargetMode="External"/><Relationship Id="rId8122" Type="http://schemas.openxmlformats.org/officeDocument/2006/relationships/hyperlink" Target="https://m.stock.naver.com/research/company/85116" TargetMode="External"/><Relationship Id="rId11450" Type="http://schemas.openxmlformats.org/officeDocument/2006/relationships/hyperlink" Target="https://m.stock.naver.com/research/company/81765" TargetMode="External"/><Relationship Id="rId12501" Type="http://schemas.openxmlformats.org/officeDocument/2006/relationships/hyperlink" Target="https://m.stock.naver.com/research/company/80707" TargetMode="External"/><Relationship Id="rId10052" Type="http://schemas.openxmlformats.org/officeDocument/2006/relationships/hyperlink" Target="https://m.stock.naver.com/research/company/83169" TargetMode="External"/><Relationship Id="rId11103" Type="http://schemas.openxmlformats.org/officeDocument/2006/relationships/hyperlink" Target="https://m.stock.naver.com/research/company/82117" TargetMode="External"/><Relationship Id="rId14673" Type="http://schemas.openxmlformats.org/officeDocument/2006/relationships/hyperlink" Target="https://m.stock.naver.com/research/company/94505" TargetMode="External"/><Relationship Id="rId15724" Type="http://schemas.openxmlformats.org/officeDocument/2006/relationships/hyperlink" Target="https://m.stock.naver.com/research/company/95690" TargetMode="External"/><Relationship Id="rId3681" Type="http://schemas.openxmlformats.org/officeDocument/2006/relationships/hyperlink" Target="https://m.stock.naver.com/research/company/89570" TargetMode="External"/><Relationship Id="rId4732" Type="http://schemas.openxmlformats.org/officeDocument/2006/relationships/hyperlink" Target="https://m.stock.naver.com/research/company/88508" TargetMode="External"/><Relationship Id="rId13275" Type="http://schemas.openxmlformats.org/officeDocument/2006/relationships/hyperlink" Target="https://m.stock.naver.com/research/company/79931" TargetMode="External"/><Relationship Id="rId14326" Type="http://schemas.openxmlformats.org/officeDocument/2006/relationships/hyperlink" Target="https://m.stock.naver.com/research/company/94138" TargetMode="External"/><Relationship Id="rId2283" Type="http://schemas.openxmlformats.org/officeDocument/2006/relationships/hyperlink" Target="https://m.stock.naver.com/research/company/90972" TargetMode="External"/><Relationship Id="rId3334" Type="http://schemas.openxmlformats.org/officeDocument/2006/relationships/hyperlink" Target="https://m.stock.naver.com/research/company/89916" TargetMode="External"/><Relationship Id="rId7955" Type="http://schemas.openxmlformats.org/officeDocument/2006/relationships/hyperlink" Target="https://m.stock.naver.com/research/company/85283" TargetMode="External"/><Relationship Id="rId255" Type="http://schemas.openxmlformats.org/officeDocument/2006/relationships/hyperlink" Target="https://m.stock.naver.com/research/company/93203" TargetMode="External"/><Relationship Id="rId6557" Type="http://schemas.openxmlformats.org/officeDocument/2006/relationships/hyperlink" Target="https://m.stock.naver.com/research/company/86683" TargetMode="External"/><Relationship Id="rId7608" Type="http://schemas.openxmlformats.org/officeDocument/2006/relationships/hyperlink" Target="https://m.stock.naver.com/research/company/85631" TargetMode="External"/><Relationship Id="rId10936" Type="http://schemas.openxmlformats.org/officeDocument/2006/relationships/hyperlink" Target="https://m.stock.naver.com/research/company/82284" TargetMode="External"/><Relationship Id="rId5159" Type="http://schemas.openxmlformats.org/officeDocument/2006/relationships/hyperlink" Target="https://m.stock.naver.com/research/company/88081" TargetMode="External"/><Relationship Id="rId9030" Type="http://schemas.openxmlformats.org/officeDocument/2006/relationships/hyperlink" Target="https://m.stock.naver.com/research/company/84202" TargetMode="External"/><Relationship Id="rId12011" Type="http://schemas.openxmlformats.org/officeDocument/2006/relationships/hyperlink" Target="https://m.stock.naver.com/research/company/81200" TargetMode="External"/><Relationship Id="rId15581" Type="http://schemas.openxmlformats.org/officeDocument/2006/relationships/hyperlink" Target="https://m.stock.naver.com/research/company/95455" TargetMode="External"/><Relationship Id="rId1769" Type="http://schemas.openxmlformats.org/officeDocument/2006/relationships/hyperlink" Target="https://m.stock.naver.com/research/company/91486" TargetMode="External"/><Relationship Id="rId3191" Type="http://schemas.openxmlformats.org/officeDocument/2006/relationships/hyperlink" Target="https://m.stock.naver.com/research/company/90060" TargetMode="External"/><Relationship Id="rId4242" Type="http://schemas.openxmlformats.org/officeDocument/2006/relationships/hyperlink" Target="https://m.stock.naver.com/research/company/89000" TargetMode="External"/><Relationship Id="rId5640" Type="http://schemas.openxmlformats.org/officeDocument/2006/relationships/hyperlink" Target="https://m.stock.naver.com/research/company/87600" TargetMode="External"/><Relationship Id="rId14183" Type="http://schemas.openxmlformats.org/officeDocument/2006/relationships/hyperlink" Target="https://m.stock.naver.com/research/company/94075" TargetMode="External"/><Relationship Id="rId15234" Type="http://schemas.openxmlformats.org/officeDocument/2006/relationships/hyperlink" Target="https://m.stock.naver.com/research/company/95126" TargetMode="External"/><Relationship Id="rId8863" Type="http://schemas.openxmlformats.org/officeDocument/2006/relationships/hyperlink" Target="https://m.stock.naver.com/research/company/84374" TargetMode="External"/><Relationship Id="rId9914" Type="http://schemas.openxmlformats.org/officeDocument/2006/relationships/hyperlink" Target="https://m.stock.naver.com/research/company/83308" TargetMode="External"/><Relationship Id="rId10793" Type="http://schemas.openxmlformats.org/officeDocument/2006/relationships/hyperlink" Target="https://m.stock.naver.com/research/company/82427" TargetMode="External"/><Relationship Id="rId11844" Type="http://schemas.openxmlformats.org/officeDocument/2006/relationships/hyperlink" Target="https://m.stock.naver.com/research/company/81368" TargetMode="External"/><Relationship Id="rId1903" Type="http://schemas.openxmlformats.org/officeDocument/2006/relationships/hyperlink" Target="https://m.stock.naver.com/research/company/91352" TargetMode="External"/><Relationship Id="rId7465" Type="http://schemas.openxmlformats.org/officeDocument/2006/relationships/hyperlink" Target="https://m.stock.naver.com/research/company/85774" TargetMode="External"/><Relationship Id="rId8516" Type="http://schemas.openxmlformats.org/officeDocument/2006/relationships/hyperlink" Target="https://m.stock.naver.com/research/company/84721" TargetMode="External"/><Relationship Id="rId10446" Type="http://schemas.openxmlformats.org/officeDocument/2006/relationships/hyperlink" Target="https://m.stock.naver.com/research/company/82774" TargetMode="External"/><Relationship Id="rId6067" Type="http://schemas.openxmlformats.org/officeDocument/2006/relationships/hyperlink" Target="https://m.stock.naver.com/research/company/87173" TargetMode="External"/><Relationship Id="rId7118" Type="http://schemas.openxmlformats.org/officeDocument/2006/relationships/hyperlink" Target="https://m.stock.naver.com/research/company/86121" TargetMode="External"/><Relationship Id="rId996" Type="http://schemas.openxmlformats.org/officeDocument/2006/relationships/hyperlink" Target="https://m.stock.naver.com/research/company/92460" TargetMode="External"/><Relationship Id="rId2677" Type="http://schemas.openxmlformats.org/officeDocument/2006/relationships/hyperlink" Target="https://m.stock.naver.com/research/company/90577" TargetMode="External"/><Relationship Id="rId3728" Type="http://schemas.openxmlformats.org/officeDocument/2006/relationships/hyperlink" Target="https://m.stock.naver.com/research/company/89523" TargetMode="External"/><Relationship Id="rId13669" Type="http://schemas.openxmlformats.org/officeDocument/2006/relationships/hyperlink" Target="https://m.stock.naver.com/research/company/79535" TargetMode="External"/><Relationship Id="rId15091" Type="http://schemas.openxmlformats.org/officeDocument/2006/relationships/hyperlink" Target="https://m.stock.naver.com/research/company/95003" TargetMode="External"/><Relationship Id="rId649" Type="http://schemas.openxmlformats.org/officeDocument/2006/relationships/hyperlink" Target="https://m.stock.naver.com/research/company/92807" TargetMode="External"/><Relationship Id="rId1279" Type="http://schemas.openxmlformats.org/officeDocument/2006/relationships/hyperlink" Target="https://m.stock.naver.com/research/company/91976" TargetMode="External"/><Relationship Id="rId5150" Type="http://schemas.openxmlformats.org/officeDocument/2006/relationships/hyperlink" Target="https://m.stock.naver.com/research/company/88090" TargetMode="External"/><Relationship Id="rId6201" Type="http://schemas.openxmlformats.org/officeDocument/2006/relationships/hyperlink" Target="https://m.stock.naver.com/research/company/87039" TargetMode="External"/><Relationship Id="rId8373" Type="http://schemas.openxmlformats.org/officeDocument/2006/relationships/hyperlink" Target="https://m.stock.naver.com/research/company/84865" TargetMode="External"/><Relationship Id="rId9771" Type="http://schemas.openxmlformats.org/officeDocument/2006/relationships/hyperlink" Target="https://m.stock.naver.com/research/company/83452" TargetMode="External"/><Relationship Id="rId12752" Type="http://schemas.openxmlformats.org/officeDocument/2006/relationships/hyperlink" Target="https://m.stock.naver.com/research/company/80456" TargetMode="External"/><Relationship Id="rId13803" Type="http://schemas.openxmlformats.org/officeDocument/2006/relationships/hyperlink" Target="https://m.stock.naver.com/research/company/93575" TargetMode="External"/><Relationship Id="rId1760" Type="http://schemas.openxmlformats.org/officeDocument/2006/relationships/hyperlink" Target="https://m.stock.naver.com/research/company/91495" TargetMode="External"/><Relationship Id="rId2811" Type="http://schemas.openxmlformats.org/officeDocument/2006/relationships/hyperlink" Target="https://m.stock.naver.com/research/company/90443" TargetMode="External"/><Relationship Id="rId8026" Type="http://schemas.openxmlformats.org/officeDocument/2006/relationships/hyperlink" Target="https://m.stock.naver.com/research/company/85212" TargetMode="External"/><Relationship Id="rId9424" Type="http://schemas.openxmlformats.org/officeDocument/2006/relationships/hyperlink" Target="https://m.stock.naver.com/research/company/83803" TargetMode="External"/><Relationship Id="rId11354" Type="http://schemas.openxmlformats.org/officeDocument/2006/relationships/hyperlink" Target="https://m.stock.naver.com/research/company/81862" TargetMode="External"/><Relationship Id="rId12405" Type="http://schemas.openxmlformats.org/officeDocument/2006/relationships/hyperlink" Target="https://m.stock.naver.com/research/company/80804" TargetMode="External"/><Relationship Id="rId1413" Type="http://schemas.openxmlformats.org/officeDocument/2006/relationships/hyperlink" Target="https://m.stock.naver.com/research/company/91842" TargetMode="External"/><Relationship Id="rId4983" Type="http://schemas.openxmlformats.org/officeDocument/2006/relationships/hyperlink" Target="https://m.stock.naver.com/research/company/88257" TargetMode="External"/><Relationship Id="rId11007" Type="http://schemas.openxmlformats.org/officeDocument/2006/relationships/hyperlink" Target="https://m.stock.naver.com/research/company/82213" TargetMode="External"/><Relationship Id="rId14577" Type="http://schemas.openxmlformats.org/officeDocument/2006/relationships/hyperlink" Target="https://m.stock.naver.com/research/company/94333" TargetMode="External"/><Relationship Id="rId15628" Type="http://schemas.openxmlformats.org/officeDocument/2006/relationships/hyperlink" Target="https://m.stock.naver.com/research/company/95408" TargetMode="External"/><Relationship Id="rId3585" Type="http://schemas.openxmlformats.org/officeDocument/2006/relationships/hyperlink" Target="https://m.stock.naver.com/research/company/89666" TargetMode="External"/><Relationship Id="rId4636" Type="http://schemas.openxmlformats.org/officeDocument/2006/relationships/hyperlink" Target="https://m.stock.naver.com/research/company/88604" TargetMode="External"/><Relationship Id="rId13179" Type="http://schemas.openxmlformats.org/officeDocument/2006/relationships/hyperlink" Target="https://m.stock.naver.com/research/company/80028" TargetMode="External"/><Relationship Id="rId2187" Type="http://schemas.openxmlformats.org/officeDocument/2006/relationships/hyperlink" Target="https://m.stock.naver.com/research/company/91068" TargetMode="External"/><Relationship Id="rId3238" Type="http://schemas.openxmlformats.org/officeDocument/2006/relationships/hyperlink" Target="https://m.stock.naver.com/research/company/90012" TargetMode="External"/><Relationship Id="rId7859" Type="http://schemas.openxmlformats.org/officeDocument/2006/relationships/hyperlink" Target="https://m.stock.naver.com/research/company/85379" TargetMode="External"/><Relationship Id="rId159" Type="http://schemas.openxmlformats.org/officeDocument/2006/relationships/hyperlink" Target="https://m.stock.naver.com/research/company/93299" TargetMode="External"/><Relationship Id="rId9281" Type="http://schemas.openxmlformats.org/officeDocument/2006/relationships/hyperlink" Target="https://m.stock.naver.com/research/company/83946" TargetMode="External"/><Relationship Id="rId13660" Type="http://schemas.openxmlformats.org/officeDocument/2006/relationships/hyperlink" Target="https://m.stock.naver.com/research/company/79544" TargetMode="External"/><Relationship Id="rId14711" Type="http://schemas.openxmlformats.org/officeDocument/2006/relationships/hyperlink" Target="https://m.stock.naver.com/research/company/94689" TargetMode="External"/><Relationship Id="rId1270" Type="http://schemas.openxmlformats.org/officeDocument/2006/relationships/hyperlink" Target="https://m.stock.naver.com/research/company/91985" TargetMode="External"/><Relationship Id="rId12262" Type="http://schemas.openxmlformats.org/officeDocument/2006/relationships/hyperlink" Target="https://m.stock.naver.com/research/company/80947" TargetMode="External"/><Relationship Id="rId13313" Type="http://schemas.openxmlformats.org/officeDocument/2006/relationships/hyperlink" Target="https://m.stock.naver.com/research/company/79892" TargetMode="External"/><Relationship Id="rId640" Type="http://schemas.openxmlformats.org/officeDocument/2006/relationships/hyperlink" Target="https://m.stock.naver.com/research/company/92816" TargetMode="External"/><Relationship Id="rId2321" Type="http://schemas.openxmlformats.org/officeDocument/2006/relationships/hyperlink" Target="https://m.stock.naver.com/research/company/90934" TargetMode="External"/><Relationship Id="rId5891" Type="http://schemas.openxmlformats.org/officeDocument/2006/relationships/hyperlink" Target="https://m.stock.naver.com/research/company/87349" TargetMode="External"/><Relationship Id="rId6942" Type="http://schemas.openxmlformats.org/officeDocument/2006/relationships/hyperlink" Target="https://m.stock.naver.com/research/company/86297" TargetMode="External"/><Relationship Id="rId15485" Type="http://schemas.openxmlformats.org/officeDocument/2006/relationships/hyperlink" Target="https://m.stock.naver.com/research/company/95302" TargetMode="External"/><Relationship Id="rId4493" Type="http://schemas.openxmlformats.org/officeDocument/2006/relationships/hyperlink" Target="https://m.stock.naver.com/research/company/88747" TargetMode="External"/><Relationship Id="rId5544" Type="http://schemas.openxmlformats.org/officeDocument/2006/relationships/hyperlink" Target="https://m.stock.naver.com/research/company/87696" TargetMode="External"/><Relationship Id="rId14087" Type="http://schemas.openxmlformats.org/officeDocument/2006/relationships/hyperlink" Target="https://m.stock.naver.com/research/company/93915" TargetMode="External"/><Relationship Id="rId15138" Type="http://schemas.openxmlformats.org/officeDocument/2006/relationships/hyperlink" Target="https://m.stock.naver.com/research/company/94956" TargetMode="External"/><Relationship Id="rId3095" Type="http://schemas.openxmlformats.org/officeDocument/2006/relationships/hyperlink" Target="https://m.stock.naver.com/research/company/90156" TargetMode="External"/><Relationship Id="rId4146" Type="http://schemas.openxmlformats.org/officeDocument/2006/relationships/hyperlink" Target="https://m.stock.naver.com/research/company/89105" TargetMode="External"/><Relationship Id="rId8767" Type="http://schemas.openxmlformats.org/officeDocument/2006/relationships/hyperlink" Target="https://m.stock.naver.com/research/company/84470" TargetMode="External"/><Relationship Id="rId9818" Type="http://schemas.openxmlformats.org/officeDocument/2006/relationships/hyperlink" Target="https://m.stock.naver.com/research/company/83404" TargetMode="External"/><Relationship Id="rId10697" Type="http://schemas.openxmlformats.org/officeDocument/2006/relationships/hyperlink" Target="https://m.stock.naver.com/research/company/82523" TargetMode="External"/><Relationship Id="rId1807" Type="http://schemas.openxmlformats.org/officeDocument/2006/relationships/hyperlink" Target="https://m.stock.naver.com/research/company/91448" TargetMode="External"/><Relationship Id="rId7369" Type="http://schemas.openxmlformats.org/officeDocument/2006/relationships/hyperlink" Target="https://m.stock.naver.com/research/company/85870" TargetMode="External"/><Relationship Id="rId11748" Type="http://schemas.openxmlformats.org/officeDocument/2006/relationships/hyperlink" Target="https://m.stock.naver.com/research/company/81464" TargetMode="External"/><Relationship Id="rId13170" Type="http://schemas.openxmlformats.org/officeDocument/2006/relationships/hyperlink" Target="https://m.stock.naver.com/research/company/80037" TargetMode="External"/><Relationship Id="rId14221" Type="http://schemas.openxmlformats.org/officeDocument/2006/relationships/hyperlink" Target="https://m.stock.naver.com/research/company/94122" TargetMode="External"/><Relationship Id="rId150" Type="http://schemas.openxmlformats.org/officeDocument/2006/relationships/hyperlink" Target="https://m.stock.naver.com/research/company/93308" TargetMode="External"/><Relationship Id="rId3979" Type="http://schemas.openxmlformats.org/officeDocument/2006/relationships/hyperlink" Target="https://m.stock.naver.com/research/company/89272" TargetMode="External"/><Relationship Id="rId6452" Type="http://schemas.openxmlformats.org/officeDocument/2006/relationships/hyperlink" Target="https://m.stock.naver.com/research/company/86788" TargetMode="External"/><Relationship Id="rId7850" Type="http://schemas.openxmlformats.org/officeDocument/2006/relationships/hyperlink" Target="https://m.stock.naver.com/research/company/85388" TargetMode="External"/><Relationship Id="rId8901" Type="http://schemas.openxmlformats.org/officeDocument/2006/relationships/hyperlink" Target="https://m.stock.naver.com/research/company/84335" TargetMode="External"/><Relationship Id="rId10831" Type="http://schemas.openxmlformats.org/officeDocument/2006/relationships/hyperlink" Target="https://m.stock.naver.com/research/company/82389" TargetMode="External"/><Relationship Id="rId5054" Type="http://schemas.openxmlformats.org/officeDocument/2006/relationships/hyperlink" Target="https://m.stock.naver.com/research/company/88186" TargetMode="External"/><Relationship Id="rId6105" Type="http://schemas.openxmlformats.org/officeDocument/2006/relationships/hyperlink" Target="https://m.stock.naver.com/research/company/87135" TargetMode="External"/><Relationship Id="rId7503" Type="http://schemas.openxmlformats.org/officeDocument/2006/relationships/hyperlink" Target="https://m.stock.naver.com/research/company/85736" TargetMode="External"/><Relationship Id="rId9675" Type="http://schemas.openxmlformats.org/officeDocument/2006/relationships/hyperlink" Target="https://m.stock.naver.com/research/company/83549" TargetMode="External"/><Relationship Id="rId12656" Type="http://schemas.openxmlformats.org/officeDocument/2006/relationships/hyperlink" Target="https://m.stock.naver.com/research/company/80552" TargetMode="External"/><Relationship Id="rId13707" Type="http://schemas.openxmlformats.org/officeDocument/2006/relationships/hyperlink" Target="https://m.stock.naver.com/research/company/93467" TargetMode="External"/><Relationship Id="rId1664" Type="http://schemas.openxmlformats.org/officeDocument/2006/relationships/hyperlink" Target="https://m.stock.naver.com/research/company/91591" TargetMode="External"/><Relationship Id="rId2715" Type="http://schemas.openxmlformats.org/officeDocument/2006/relationships/hyperlink" Target="https://m.stock.naver.com/research/company/90539" TargetMode="External"/><Relationship Id="rId8277" Type="http://schemas.openxmlformats.org/officeDocument/2006/relationships/hyperlink" Target="https://m.stock.naver.com/research/company/84961" TargetMode="External"/><Relationship Id="rId9328" Type="http://schemas.openxmlformats.org/officeDocument/2006/relationships/hyperlink" Target="https://m.stock.naver.com/research/company/83899" TargetMode="External"/><Relationship Id="rId11258" Type="http://schemas.openxmlformats.org/officeDocument/2006/relationships/hyperlink" Target="https://m.stock.naver.com/research/company/81961" TargetMode="External"/><Relationship Id="rId12309" Type="http://schemas.openxmlformats.org/officeDocument/2006/relationships/hyperlink" Target="https://m.stock.naver.com/research/company/80900" TargetMode="External"/><Relationship Id="rId1317" Type="http://schemas.openxmlformats.org/officeDocument/2006/relationships/hyperlink" Target="https://m.stock.naver.com/research/company/91938" TargetMode="External"/><Relationship Id="rId4887" Type="http://schemas.openxmlformats.org/officeDocument/2006/relationships/hyperlink" Target="https://m.stock.naver.com/research/company/88353" TargetMode="External"/><Relationship Id="rId5938" Type="http://schemas.openxmlformats.org/officeDocument/2006/relationships/hyperlink" Target="https://m.stock.naver.com/research/company/87302" TargetMode="External"/><Relationship Id="rId23" Type="http://schemas.openxmlformats.org/officeDocument/2006/relationships/hyperlink" Target="https://m.stock.naver.com/research/company/93435" TargetMode="External"/><Relationship Id="rId3489" Type="http://schemas.openxmlformats.org/officeDocument/2006/relationships/hyperlink" Target="https://m.stock.naver.com/research/company/89762" TargetMode="External"/><Relationship Id="rId7360" Type="http://schemas.openxmlformats.org/officeDocument/2006/relationships/hyperlink" Target="https://m.stock.naver.com/research/company/85879" TargetMode="External"/><Relationship Id="rId8411" Type="http://schemas.openxmlformats.org/officeDocument/2006/relationships/hyperlink" Target="https://m.stock.naver.com/research/company/84827" TargetMode="External"/><Relationship Id="rId7013" Type="http://schemas.openxmlformats.org/officeDocument/2006/relationships/hyperlink" Target="https://m.stock.naver.com/research/company/86226" TargetMode="External"/><Relationship Id="rId10341" Type="http://schemas.openxmlformats.org/officeDocument/2006/relationships/hyperlink" Target="https://m.stock.naver.com/research/company/82880" TargetMode="External"/><Relationship Id="rId14962" Type="http://schemas.openxmlformats.org/officeDocument/2006/relationships/hyperlink" Target="https://m.stock.naver.com/research/company/94872" TargetMode="External"/><Relationship Id="rId3970" Type="http://schemas.openxmlformats.org/officeDocument/2006/relationships/hyperlink" Target="https://m.stock.naver.com/research/company/89281" TargetMode="External"/><Relationship Id="rId9185" Type="http://schemas.openxmlformats.org/officeDocument/2006/relationships/hyperlink" Target="https://m.stock.naver.com/research/company/84045" TargetMode="External"/><Relationship Id="rId13564" Type="http://schemas.openxmlformats.org/officeDocument/2006/relationships/hyperlink" Target="https://m.stock.naver.com/research/company/79640" TargetMode="External"/><Relationship Id="rId14615" Type="http://schemas.openxmlformats.org/officeDocument/2006/relationships/hyperlink" Target="https://m.stock.naver.com/research/company/94562" TargetMode="External"/><Relationship Id="rId891" Type="http://schemas.openxmlformats.org/officeDocument/2006/relationships/hyperlink" Target="https://m.stock.naver.com/research/company/92565" TargetMode="External"/><Relationship Id="rId2572" Type="http://schemas.openxmlformats.org/officeDocument/2006/relationships/hyperlink" Target="https://m.stock.naver.com/research/company/90682" TargetMode="External"/><Relationship Id="rId3623" Type="http://schemas.openxmlformats.org/officeDocument/2006/relationships/hyperlink" Target="https://m.stock.naver.com/research/company/89628" TargetMode="External"/><Relationship Id="rId12166" Type="http://schemas.openxmlformats.org/officeDocument/2006/relationships/hyperlink" Target="https://m.stock.naver.com/research/company/81045" TargetMode="External"/><Relationship Id="rId13217" Type="http://schemas.openxmlformats.org/officeDocument/2006/relationships/hyperlink" Target="https://m.stock.naver.com/research/company/79990" TargetMode="External"/><Relationship Id="rId544" Type="http://schemas.openxmlformats.org/officeDocument/2006/relationships/hyperlink" Target="https://m.stock.naver.com/research/company/92913" TargetMode="External"/><Relationship Id="rId1174" Type="http://schemas.openxmlformats.org/officeDocument/2006/relationships/hyperlink" Target="https://m.stock.naver.com/research/company/92081" TargetMode="External"/><Relationship Id="rId2225" Type="http://schemas.openxmlformats.org/officeDocument/2006/relationships/hyperlink" Target="https://m.stock.naver.com/research/company/91030" TargetMode="External"/><Relationship Id="rId5795" Type="http://schemas.openxmlformats.org/officeDocument/2006/relationships/hyperlink" Target="https://m.stock.naver.com/research/company/87445" TargetMode="External"/><Relationship Id="rId6846" Type="http://schemas.openxmlformats.org/officeDocument/2006/relationships/hyperlink" Target="https://m.stock.naver.com/research/company/86394" TargetMode="External"/><Relationship Id="rId15389" Type="http://schemas.openxmlformats.org/officeDocument/2006/relationships/hyperlink" Target="https://m.stock.naver.com/research/company/95398" TargetMode="External"/><Relationship Id="rId4397" Type="http://schemas.openxmlformats.org/officeDocument/2006/relationships/hyperlink" Target="https://m.stock.naver.com/research/company/88844" TargetMode="External"/><Relationship Id="rId5448" Type="http://schemas.openxmlformats.org/officeDocument/2006/relationships/hyperlink" Target="https://m.stock.naver.com/research/company/87792" TargetMode="External"/><Relationship Id="rId12300" Type="http://schemas.openxmlformats.org/officeDocument/2006/relationships/hyperlink" Target="https://m.stock.naver.com/research/company/80909" TargetMode="External"/><Relationship Id="rId11999" Type="http://schemas.openxmlformats.org/officeDocument/2006/relationships/hyperlink" Target="https://m.stock.naver.com/research/company/81212" TargetMode="External"/><Relationship Id="rId3480" Type="http://schemas.openxmlformats.org/officeDocument/2006/relationships/hyperlink" Target="https://m.stock.naver.com/research/company/89771" TargetMode="External"/><Relationship Id="rId4531" Type="http://schemas.openxmlformats.org/officeDocument/2006/relationships/hyperlink" Target="https://m.stock.naver.com/research/company/88709" TargetMode="External"/><Relationship Id="rId13074" Type="http://schemas.openxmlformats.org/officeDocument/2006/relationships/hyperlink" Target="https://m.stock.naver.com/research/company/80133" TargetMode="External"/><Relationship Id="rId14472" Type="http://schemas.openxmlformats.org/officeDocument/2006/relationships/hyperlink" Target="https://m.stock.naver.com/research/company/94438" TargetMode="External"/><Relationship Id="rId15523" Type="http://schemas.openxmlformats.org/officeDocument/2006/relationships/hyperlink" Target="https://m.stock.naver.com/research/company/95513" TargetMode="External"/><Relationship Id="rId2082" Type="http://schemas.openxmlformats.org/officeDocument/2006/relationships/hyperlink" Target="https://m.stock.naver.com/research/company/91173" TargetMode="External"/><Relationship Id="rId3133" Type="http://schemas.openxmlformats.org/officeDocument/2006/relationships/hyperlink" Target="https://m.stock.naver.com/research/company/90118" TargetMode="External"/><Relationship Id="rId14125" Type="http://schemas.openxmlformats.org/officeDocument/2006/relationships/hyperlink" Target="https://m.stock.naver.com/research/company/94003" TargetMode="External"/><Relationship Id="rId7754" Type="http://schemas.openxmlformats.org/officeDocument/2006/relationships/hyperlink" Target="https://m.stock.naver.com/research/company/85485" TargetMode="External"/><Relationship Id="rId8805" Type="http://schemas.openxmlformats.org/officeDocument/2006/relationships/hyperlink" Target="https://m.stock.naver.com/research/company/84432" TargetMode="External"/><Relationship Id="rId10735" Type="http://schemas.openxmlformats.org/officeDocument/2006/relationships/hyperlink" Target="https://m.stock.naver.com/research/company/82485" TargetMode="External"/><Relationship Id="rId6356" Type="http://schemas.openxmlformats.org/officeDocument/2006/relationships/hyperlink" Target="https://m.stock.naver.com/research/company/86884" TargetMode="External"/><Relationship Id="rId7407" Type="http://schemas.openxmlformats.org/officeDocument/2006/relationships/hyperlink" Target="https://m.stock.naver.com/research/company/85832" TargetMode="External"/><Relationship Id="rId2966" Type="http://schemas.openxmlformats.org/officeDocument/2006/relationships/hyperlink" Target="https://m.stock.naver.com/research/company/90287" TargetMode="External"/><Relationship Id="rId6009" Type="http://schemas.openxmlformats.org/officeDocument/2006/relationships/hyperlink" Target="https://m.stock.naver.com/research/company/87231" TargetMode="External"/><Relationship Id="rId9579" Type="http://schemas.openxmlformats.org/officeDocument/2006/relationships/hyperlink" Target="https://m.stock.naver.com/research/company/83648" TargetMode="External"/><Relationship Id="rId13958" Type="http://schemas.openxmlformats.org/officeDocument/2006/relationships/hyperlink" Target="https://m.stock.naver.com/research/company/93774" TargetMode="External"/><Relationship Id="rId15380" Type="http://schemas.openxmlformats.org/officeDocument/2006/relationships/hyperlink" Target="https://m.stock.naver.com/research/company/95208" TargetMode="External"/><Relationship Id="rId938" Type="http://schemas.openxmlformats.org/officeDocument/2006/relationships/hyperlink" Target="https://m.stock.naver.com/research/company/92518" TargetMode="External"/><Relationship Id="rId1568" Type="http://schemas.openxmlformats.org/officeDocument/2006/relationships/hyperlink" Target="https://m.stock.naver.com/research/company/91687" TargetMode="External"/><Relationship Id="rId2619" Type="http://schemas.openxmlformats.org/officeDocument/2006/relationships/hyperlink" Target="https://m.stock.naver.com/research/company/90635" TargetMode="External"/><Relationship Id="rId15033" Type="http://schemas.openxmlformats.org/officeDocument/2006/relationships/hyperlink" Target="https://m.stock.naver.com/research/company/94935" TargetMode="External"/><Relationship Id="rId4041" Type="http://schemas.openxmlformats.org/officeDocument/2006/relationships/hyperlink" Target="https://m.stock.naver.com/research/company/89210" TargetMode="External"/><Relationship Id="rId8662" Type="http://schemas.openxmlformats.org/officeDocument/2006/relationships/hyperlink" Target="https://m.stock.naver.com/research/company/84575" TargetMode="External"/><Relationship Id="rId11990" Type="http://schemas.openxmlformats.org/officeDocument/2006/relationships/hyperlink" Target="https://m.stock.naver.com/research/company/81221" TargetMode="External"/><Relationship Id="rId7264" Type="http://schemas.openxmlformats.org/officeDocument/2006/relationships/hyperlink" Target="https://m.stock.naver.com/research/company/85975" TargetMode="External"/><Relationship Id="rId8315" Type="http://schemas.openxmlformats.org/officeDocument/2006/relationships/hyperlink" Target="https://m.stock.naver.com/research/company/84923" TargetMode="External"/><Relationship Id="rId9713" Type="http://schemas.openxmlformats.org/officeDocument/2006/relationships/hyperlink" Target="https://m.stock.naver.com/research/company/83510" TargetMode="External"/><Relationship Id="rId10592" Type="http://schemas.openxmlformats.org/officeDocument/2006/relationships/hyperlink" Target="https://m.stock.naver.com/research/company/82628" TargetMode="External"/><Relationship Id="rId11643" Type="http://schemas.openxmlformats.org/officeDocument/2006/relationships/hyperlink" Target="https://m.stock.naver.com/research/company/81569" TargetMode="External"/><Relationship Id="rId1702" Type="http://schemas.openxmlformats.org/officeDocument/2006/relationships/hyperlink" Target="https://m.stock.naver.com/research/company/91553" TargetMode="External"/><Relationship Id="rId10245" Type="http://schemas.openxmlformats.org/officeDocument/2006/relationships/hyperlink" Target="https://m.stock.naver.com/research/company/82976" TargetMode="External"/><Relationship Id="rId14866" Type="http://schemas.openxmlformats.org/officeDocument/2006/relationships/hyperlink" Target="https://m.stock.naver.com/research/company/94758" TargetMode="External"/><Relationship Id="rId3874" Type="http://schemas.openxmlformats.org/officeDocument/2006/relationships/hyperlink" Target="https://m.stock.naver.com/research/company/89377" TargetMode="External"/><Relationship Id="rId4925" Type="http://schemas.openxmlformats.org/officeDocument/2006/relationships/hyperlink" Target="https://m.stock.naver.com/research/company/88315" TargetMode="External"/><Relationship Id="rId9089" Type="http://schemas.openxmlformats.org/officeDocument/2006/relationships/hyperlink" Target="https://m.stock.naver.com/research/company/84141" TargetMode="External"/><Relationship Id="rId13468" Type="http://schemas.openxmlformats.org/officeDocument/2006/relationships/hyperlink" Target="https://m.stock.naver.com/research/company/79736" TargetMode="External"/><Relationship Id="rId14519" Type="http://schemas.openxmlformats.org/officeDocument/2006/relationships/hyperlink" Target="https://m.stock.naver.com/research/company/94391" TargetMode="External"/><Relationship Id="rId795" Type="http://schemas.openxmlformats.org/officeDocument/2006/relationships/hyperlink" Target="https://m.stock.naver.com/research/company/92661" TargetMode="External"/><Relationship Id="rId2476" Type="http://schemas.openxmlformats.org/officeDocument/2006/relationships/hyperlink" Target="https://m.stock.naver.com/research/company/90778" TargetMode="External"/><Relationship Id="rId3527" Type="http://schemas.openxmlformats.org/officeDocument/2006/relationships/hyperlink" Target="https://m.stock.naver.com/research/company/89724" TargetMode="External"/><Relationship Id="rId448" Type="http://schemas.openxmlformats.org/officeDocument/2006/relationships/hyperlink" Target="https://m.stock.naver.com/research/company/93009" TargetMode="External"/><Relationship Id="rId1078" Type="http://schemas.openxmlformats.org/officeDocument/2006/relationships/hyperlink" Target="https://m.stock.naver.com/research/company/92178" TargetMode="External"/><Relationship Id="rId2129" Type="http://schemas.openxmlformats.org/officeDocument/2006/relationships/hyperlink" Target="https://m.stock.naver.com/research/company/91126" TargetMode="External"/><Relationship Id="rId5699" Type="http://schemas.openxmlformats.org/officeDocument/2006/relationships/hyperlink" Target="https://m.stock.naver.com/research/company/87541" TargetMode="External"/><Relationship Id="rId6000" Type="http://schemas.openxmlformats.org/officeDocument/2006/relationships/hyperlink" Target="https://m.stock.naver.com/research/company/87240" TargetMode="External"/><Relationship Id="rId9570" Type="http://schemas.openxmlformats.org/officeDocument/2006/relationships/hyperlink" Target="https://m.stock.naver.com/research/company/83657" TargetMode="External"/><Relationship Id="rId8172" Type="http://schemas.openxmlformats.org/officeDocument/2006/relationships/hyperlink" Target="https://m.stock.naver.com/research/company/85066" TargetMode="External"/><Relationship Id="rId9223" Type="http://schemas.openxmlformats.org/officeDocument/2006/relationships/hyperlink" Target="https://m.stock.naver.com/research/company/84007" TargetMode="External"/><Relationship Id="rId11153" Type="http://schemas.openxmlformats.org/officeDocument/2006/relationships/hyperlink" Target="https://m.stock.naver.com/research/company/82067" TargetMode="External"/><Relationship Id="rId12551" Type="http://schemas.openxmlformats.org/officeDocument/2006/relationships/hyperlink" Target="https://m.stock.naver.com/research/company/80657" TargetMode="External"/><Relationship Id="rId13602" Type="http://schemas.openxmlformats.org/officeDocument/2006/relationships/hyperlink" Target="https://m.stock.naver.com/research/company/79602" TargetMode="External"/><Relationship Id="rId1212" Type="http://schemas.openxmlformats.org/officeDocument/2006/relationships/hyperlink" Target="https://m.stock.naver.com/research/company/92043" TargetMode="External"/><Relationship Id="rId2610" Type="http://schemas.openxmlformats.org/officeDocument/2006/relationships/hyperlink" Target="https://m.stock.naver.com/research/company/90644" TargetMode="External"/><Relationship Id="rId12204" Type="http://schemas.openxmlformats.org/officeDocument/2006/relationships/hyperlink" Target="https://m.stock.naver.com/research/company/81006" TargetMode="External"/><Relationship Id="rId4782" Type="http://schemas.openxmlformats.org/officeDocument/2006/relationships/hyperlink" Target="https://m.stock.naver.com/research/company/88458" TargetMode="External"/><Relationship Id="rId5833" Type="http://schemas.openxmlformats.org/officeDocument/2006/relationships/hyperlink" Target="https://m.stock.naver.com/research/company/87407" TargetMode="External"/><Relationship Id="rId14376" Type="http://schemas.openxmlformats.org/officeDocument/2006/relationships/hyperlink" Target="https://m.stock.naver.com/research/company/94236" TargetMode="External"/><Relationship Id="rId15427" Type="http://schemas.openxmlformats.org/officeDocument/2006/relationships/hyperlink" Target="https://m.stock.naver.com/research/company/95360" TargetMode="External"/><Relationship Id="rId3037" Type="http://schemas.openxmlformats.org/officeDocument/2006/relationships/hyperlink" Target="https://m.stock.naver.com/research/company/90214" TargetMode="External"/><Relationship Id="rId3384" Type="http://schemas.openxmlformats.org/officeDocument/2006/relationships/hyperlink" Target="https://m.stock.naver.com/research/company/89867" TargetMode="External"/><Relationship Id="rId4435" Type="http://schemas.openxmlformats.org/officeDocument/2006/relationships/hyperlink" Target="https://m.stock.naver.com/research/company/88806" TargetMode="External"/><Relationship Id="rId10986" Type="http://schemas.openxmlformats.org/officeDocument/2006/relationships/hyperlink" Target="https://m.stock.naver.com/research/company/82234" TargetMode="External"/><Relationship Id="rId14029" Type="http://schemas.openxmlformats.org/officeDocument/2006/relationships/hyperlink" Target="https://m.stock.naver.com/research/company/93818" TargetMode="External"/><Relationship Id="rId7658" Type="http://schemas.openxmlformats.org/officeDocument/2006/relationships/hyperlink" Target="https://m.stock.naver.com/research/company/85581" TargetMode="External"/><Relationship Id="rId8709" Type="http://schemas.openxmlformats.org/officeDocument/2006/relationships/hyperlink" Target="https://m.stock.naver.com/research/company/84528" TargetMode="External"/><Relationship Id="rId10639" Type="http://schemas.openxmlformats.org/officeDocument/2006/relationships/hyperlink" Target="https://m.stock.naver.com/research/company/82581" TargetMode="External"/><Relationship Id="rId14510" Type="http://schemas.openxmlformats.org/officeDocument/2006/relationships/hyperlink" Target="https://m.stock.naver.com/research/company/94400" TargetMode="External"/><Relationship Id="rId9080" Type="http://schemas.openxmlformats.org/officeDocument/2006/relationships/hyperlink" Target="https://m.stock.naver.com/research/company/84151" TargetMode="External"/><Relationship Id="rId12061" Type="http://schemas.openxmlformats.org/officeDocument/2006/relationships/hyperlink" Target="https://m.stock.naver.com/research/company/81150" TargetMode="External"/><Relationship Id="rId13112" Type="http://schemas.openxmlformats.org/officeDocument/2006/relationships/hyperlink" Target="https://m.stock.naver.com/research/company/80095" TargetMode="External"/><Relationship Id="rId2120" Type="http://schemas.openxmlformats.org/officeDocument/2006/relationships/hyperlink" Target="https://m.stock.naver.com/research/company/91135" TargetMode="External"/><Relationship Id="rId5690" Type="http://schemas.openxmlformats.org/officeDocument/2006/relationships/hyperlink" Target="https://m.stock.naver.com/research/company/87550" TargetMode="External"/><Relationship Id="rId6741" Type="http://schemas.openxmlformats.org/officeDocument/2006/relationships/hyperlink" Target="https://m.stock.naver.com/research/company/86499" TargetMode="External"/><Relationship Id="rId15284" Type="http://schemas.openxmlformats.org/officeDocument/2006/relationships/hyperlink" Target="https://m.stock.naver.com/research/company/95076" TargetMode="External"/><Relationship Id="rId4292" Type="http://schemas.openxmlformats.org/officeDocument/2006/relationships/hyperlink" Target="https://m.stock.naver.com/research/company/88949" TargetMode="External"/><Relationship Id="rId5343" Type="http://schemas.openxmlformats.org/officeDocument/2006/relationships/hyperlink" Target="https://m.stock.naver.com/research/company/87897" TargetMode="External"/><Relationship Id="rId9964" Type="http://schemas.openxmlformats.org/officeDocument/2006/relationships/hyperlink" Target="https://m.stock.naver.com/research/company/83257" TargetMode="External"/><Relationship Id="rId11894" Type="http://schemas.openxmlformats.org/officeDocument/2006/relationships/hyperlink" Target="https://m.stock.naver.com/research/company/81317" TargetMode="External"/><Relationship Id="rId12945" Type="http://schemas.openxmlformats.org/officeDocument/2006/relationships/hyperlink" Target="https://m.stock.naver.com/research/company/80263" TargetMode="External"/><Relationship Id="rId1953" Type="http://schemas.openxmlformats.org/officeDocument/2006/relationships/hyperlink" Target="https://m.stock.naver.com/research/company/91302" TargetMode="External"/><Relationship Id="rId7168" Type="http://schemas.openxmlformats.org/officeDocument/2006/relationships/hyperlink" Target="https://m.stock.naver.com/research/company/86071" TargetMode="External"/><Relationship Id="rId8566" Type="http://schemas.openxmlformats.org/officeDocument/2006/relationships/hyperlink" Target="https://m.stock.naver.com/research/company/84671" TargetMode="External"/><Relationship Id="rId9617" Type="http://schemas.openxmlformats.org/officeDocument/2006/relationships/hyperlink" Target="https://m.stock.naver.com/research/company/83608" TargetMode="External"/><Relationship Id="rId10496" Type="http://schemas.openxmlformats.org/officeDocument/2006/relationships/hyperlink" Target="https://m.stock.naver.com/research/company/82724" TargetMode="External"/><Relationship Id="rId11547" Type="http://schemas.openxmlformats.org/officeDocument/2006/relationships/hyperlink" Target="https://m.stock.naver.com/research/company/81667" TargetMode="External"/><Relationship Id="rId1606" Type="http://schemas.openxmlformats.org/officeDocument/2006/relationships/hyperlink" Target="https://m.stock.naver.com/research/company/91649" TargetMode="External"/><Relationship Id="rId8219" Type="http://schemas.openxmlformats.org/officeDocument/2006/relationships/hyperlink" Target="https://m.stock.naver.com/research/company/85019" TargetMode="External"/><Relationship Id="rId10149" Type="http://schemas.openxmlformats.org/officeDocument/2006/relationships/hyperlink" Target="https://m.stock.naver.com/research/company/83072" TargetMode="External"/><Relationship Id="rId14020" Type="http://schemas.openxmlformats.org/officeDocument/2006/relationships/hyperlink" Target="https://m.stock.naver.com/research/company/93827" TargetMode="External"/><Relationship Id="rId3778" Type="http://schemas.openxmlformats.org/officeDocument/2006/relationships/hyperlink" Target="https://m.stock.naver.com/research/company/89473" TargetMode="External"/><Relationship Id="rId4829" Type="http://schemas.openxmlformats.org/officeDocument/2006/relationships/hyperlink" Target="https://m.stock.naver.com/research/company/88411" TargetMode="External"/><Relationship Id="rId8700" Type="http://schemas.openxmlformats.org/officeDocument/2006/relationships/hyperlink" Target="https://m.stock.naver.com/research/company/84537" TargetMode="External"/><Relationship Id="rId699" Type="http://schemas.openxmlformats.org/officeDocument/2006/relationships/hyperlink" Target="https://m.stock.naver.com/research/company/92757" TargetMode="External"/><Relationship Id="rId6251" Type="http://schemas.openxmlformats.org/officeDocument/2006/relationships/hyperlink" Target="https://m.stock.naver.com/research/company/86989" TargetMode="External"/><Relationship Id="rId7302" Type="http://schemas.openxmlformats.org/officeDocument/2006/relationships/hyperlink" Target="https://m.stock.naver.com/research/company/85937" TargetMode="External"/><Relationship Id="rId10630" Type="http://schemas.openxmlformats.org/officeDocument/2006/relationships/hyperlink" Target="https://m.stock.naver.com/research/company/82590" TargetMode="External"/><Relationship Id="rId9474" Type="http://schemas.openxmlformats.org/officeDocument/2006/relationships/hyperlink" Target="https://m.stock.naver.com/research/company/83753" TargetMode="External"/><Relationship Id="rId13853" Type="http://schemas.openxmlformats.org/officeDocument/2006/relationships/hyperlink" Target="https://m.stock.naver.com/research/company/93629" TargetMode="External"/><Relationship Id="rId14904" Type="http://schemas.openxmlformats.org/officeDocument/2006/relationships/hyperlink" Target="https://m.stock.naver.com/research/company/94720" TargetMode="External"/><Relationship Id="rId2861" Type="http://schemas.openxmlformats.org/officeDocument/2006/relationships/hyperlink" Target="https://m.stock.naver.com/research/company/90392" TargetMode="External"/><Relationship Id="rId3912" Type="http://schemas.openxmlformats.org/officeDocument/2006/relationships/hyperlink" Target="https://m.stock.naver.com/research/company/89339" TargetMode="External"/><Relationship Id="rId8076" Type="http://schemas.openxmlformats.org/officeDocument/2006/relationships/hyperlink" Target="https://m.stock.naver.com/research/company/85162" TargetMode="External"/><Relationship Id="rId9127" Type="http://schemas.openxmlformats.org/officeDocument/2006/relationships/hyperlink" Target="https://m.stock.naver.com/research/company/84103" TargetMode="External"/><Relationship Id="rId12455" Type="http://schemas.openxmlformats.org/officeDocument/2006/relationships/hyperlink" Target="https://m.stock.naver.com/research/company/80754" TargetMode="External"/><Relationship Id="rId13506" Type="http://schemas.openxmlformats.org/officeDocument/2006/relationships/hyperlink" Target="https://m.stock.naver.com/research/company/79698" TargetMode="External"/><Relationship Id="rId833" Type="http://schemas.openxmlformats.org/officeDocument/2006/relationships/hyperlink" Target="https://m.stock.naver.com/research/company/92623" TargetMode="External"/><Relationship Id="rId1116" Type="http://schemas.openxmlformats.org/officeDocument/2006/relationships/hyperlink" Target="https://m.stock.naver.com/research/company/92139" TargetMode="External"/><Relationship Id="rId1463" Type="http://schemas.openxmlformats.org/officeDocument/2006/relationships/hyperlink" Target="https://m.stock.naver.com/research/company/91792" TargetMode="External"/><Relationship Id="rId2514" Type="http://schemas.openxmlformats.org/officeDocument/2006/relationships/hyperlink" Target="https://m.stock.naver.com/research/company/90740" TargetMode="External"/><Relationship Id="rId11057" Type="http://schemas.openxmlformats.org/officeDocument/2006/relationships/hyperlink" Target="https://m.stock.naver.com/research/company/82163" TargetMode="External"/><Relationship Id="rId12108" Type="http://schemas.openxmlformats.org/officeDocument/2006/relationships/hyperlink" Target="https://m.stock.naver.com/research/company/81103" TargetMode="External"/><Relationship Id="rId15678" Type="http://schemas.openxmlformats.org/officeDocument/2006/relationships/hyperlink" Target="https://m.stock.naver.com/research/company/95736" TargetMode="External"/><Relationship Id="rId4686" Type="http://schemas.openxmlformats.org/officeDocument/2006/relationships/hyperlink" Target="https://m.stock.naver.com/research/company/88554" TargetMode="External"/><Relationship Id="rId5737" Type="http://schemas.openxmlformats.org/officeDocument/2006/relationships/hyperlink" Target="https://m.stock.naver.com/research/company/87503" TargetMode="External"/><Relationship Id="rId3288" Type="http://schemas.openxmlformats.org/officeDocument/2006/relationships/hyperlink" Target="https://m.stock.naver.com/research/company/89962" TargetMode="External"/><Relationship Id="rId4339" Type="http://schemas.openxmlformats.org/officeDocument/2006/relationships/hyperlink" Target="https://m.stock.naver.com/research/company/88902" TargetMode="External"/><Relationship Id="rId8210" Type="http://schemas.openxmlformats.org/officeDocument/2006/relationships/hyperlink" Target="https://m.stock.naver.com/research/company/85028" TargetMode="External"/><Relationship Id="rId10140" Type="http://schemas.openxmlformats.org/officeDocument/2006/relationships/hyperlink" Target="https://m.stock.naver.com/research/company/83081" TargetMode="External"/><Relationship Id="rId13363" Type="http://schemas.openxmlformats.org/officeDocument/2006/relationships/hyperlink" Target="https://m.stock.naver.com/research/company/79842" TargetMode="External"/><Relationship Id="rId14761" Type="http://schemas.openxmlformats.org/officeDocument/2006/relationships/hyperlink" Target="https://m.stock.naver.com/research/company/94639" TargetMode="External"/><Relationship Id="rId690" Type="http://schemas.openxmlformats.org/officeDocument/2006/relationships/hyperlink" Target="https://m.stock.naver.com/research/company/92766" TargetMode="External"/><Relationship Id="rId2371" Type="http://schemas.openxmlformats.org/officeDocument/2006/relationships/hyperlink" Target="https://m.stock.naver.com/research/company/90883" TargetMode="External"/><Relationship Id="rId3422" Type="http://schemas.openxmlformats.org/officeDocument/2006/relationships/hyperlink" Target="https://m.stock.naver.com/research/company/89829" TargetMode="External"/><Relationship Id="rId4820" Type="http://schemas.openxmlformats.org/officeDocument/2006/relationships/hyperlink" Target="https://m.stock.naver.com/research/company/88420" TargetMode="External"/><Relationship Id="rId13016" Type="http://schemas.openxmlformats.org/officeDocument/2006/relationships/hyperlink" Target="https://m.stock.naver.com/research/company/80191" TargetMode="External"/><Relationship Id="rId14414" Type="http://schemas.openxmlformats.org/officeDocument/2006/relationships/hyperlink" Target="https://m.stock.naver.com/research/company/94269" TargetMode="External"/><Relationship Id="rId343" Type="http://schemas.openxmlformats.org/officeDocument/2006/relationships/hyperlink" Target="https://m.stock.naver.com/research/company/93115" TargetMode="External"/><Relationship Id="rId2024" Type="http://schemas.openxmlformats.org/officeDocument/2006/relationships/hyperlink" Target="https://m.stock.naver.com/research/company/91231" TargetMode="External"/><Relationship Id="rId6992" Type="http://schemas.openxmlformats.org/officeDocument/2006/relationships/hyperlink" Target="https://m.stock.naver.com/research/company/86247" TargetMode="External"/><Relationship Id="rId4196" Type="http://schemas.openxmlformats.org/officeDocument/2006/relationships/hyperlink" Target="https://m.stock.naver.com/research/company/89046" TargetMode="External"/><Relationship Id="rId5247" Type="http://schemas.openxmlformats.org/officeDocument/2006/relationships/hyperlink" Target="https://m.stock.naver.com/research/company/87993" TargetMode="External"/><Relationship Id="rId5594" Type="http://schemas.openxmlformats.org/officeDocument/2006/relationships/hyperlink" Target="https://m.stock.naver.com/research/company/87646" TargetMode="External"/><Relationship Id="rId6645" Type="http://schemas.openxmlformats.org/officeDocument/2006/relationships/hyperlink" Target="https://m.stock.naver.com/research/company/86595" TargetMode="External"/><Relationship Id="rId15188" Type="http://schemas.openxmlformats.org/officeDocument/2006/relationships/hyperlink" Target="https://m.stock.naver.com/research/company/95172" TargetMode="External"/><Relationship Id="rId9868" Type="http://schemas.openxmlformats.org/officeDocument/2006/relationships/hyperlink" Target="https://m.stock.naver.com/research/company/83354" TargetMode="External"/><Relationship Id="rId11798" Type="http://schemas.openxmlformats.org/officeDocument/2006/relationships/hyperlink" Target="https://m.stock.naver.com/research/company/81414" TargetMode="External"/><Relationship Id="rId12849" Type="http://schemas.openxmlformats.org/officeDocument/2006/relationships/hyperlink" Target="https://m.stock.naver.com/research/company/80359" TargetMode="External"/><Relationship Id="rId1857" Type="http://schemas.openxmlformats.org/officeDocument/2006/relationships/hyperlink" Target="https://m.stock.naver.com/research/company/91398" TargetMode="External"/><Relationship Id="rId2908" Type="http://schemas.openxmlformats.org/officeDocument/2006/relationships/hyperlink" Target="https://m.stock.naver.com/research/company/90345" TargetMode="External"/><Relationship Id="rId14271" Type="http://schemas.openxmlformats.org/officeDocument/2006/relationships/hyperlink" Target="https://m.stock.naver.com/research/company/94127" TargetMode="External"/><Relationship Id="rId15322" Type="http://schemas.openxmlformats.org/officeDocument/2006/relationships/hyperlink" Target="https://m.stock.naver.com/research/company/95266" TargetMode="External"/><Relationship Id="rId4330" Type="http://schemas.openxmlformats.org/officeDocument/2006/relationships/hyperlink" Target="https://m.stock.naver.com/research/company/88911" TargetMode="External"/><Relationship Id="rId8951" Type="http://schemas.openxmlformats.org/officeDocument/2006/relationships/hyperlink" Target="https://m.stock.naver.com/research/company/84281" TargetMode="External"/><Relationship Id="rId7553" Type="http://schemas.openxmlformats.org/officeDocument/2006/relationships/hyperlink" Target="https://m.stock.naver.com/research/company/85686" TargetMode="External"/><Relationship Id="rId8604" Type="http://schemas.openxmlformats.org/officeDocument/2006/relationships/hyperlink" Target="https://m.stock.naver.com/research/company/84633" TargetMode="External"/><Relationship Id="rId10881" Type="http://schemas.openxmlformats.org/officeDocument/2006/relationships/hyperlink" Target="https://m.stock.naver.com/research/company/82339" TargetMode="External"/><Relationship Id="rId11932" Type="http://schemas.openxmlformats.org/officeDocument/2006/relationships/hyperlink" Target="https://m.stock.naver.com/research/company/81279" TargetMode="External"/><Relationship Id="rId6155" Type="http://schemas.openxmlformats.org/officeDocument/2006/relationships/hyperlink" Target="https://m.stock.naver.com/research/company/87085" TargetMode="External"/><Relationship Id="rId7206" Type="http://schemas.openxmlformats.org/officeDocument/2006/relationships/hyperlink" Target="https://m.stock.naver.com/research/company/86033" TargetMode="External"/><Relationship Id="rId10534" Type="http://schemas.openxmlformats.org/officeDocument/2006/relationships/hyperlink" Target="https://m.stock.naver.com/research/company/82686" TargetMode="External"/><Relationship Id="rId9378" Type="http://schemas.openxmlformats.org/officeDocument/2006/relationships/hyperlink" Target="https://m.stock.naver.com/research/company/83849" TargetMode="External"/><Relationship Id="rId13757" Type="http://schemas.openxmlformats.org/officeDocument/2006/relationships/hyperlink" Target="https://m.stock.naver.com/research/company/93528" TargetMode="External"/><Relationship Id="rId14808" Type="http://schemas.openxmlformats.org/officeDocument/2006/relationships/hyperlink" Target="https://m.stock.naver.com/research/company/94592" TargetMode="External"/><Relationship Id="rId2765" Type="http://schemas.openxmlformats.org/officeDocument/2006/relationships/hyperlink" Target="https://m.stock.naver.com/research/company/90489" TargetMode="External"/><Relationship Id="rId3816" Type="http://schemas.openxmlformats.org/officeDocument/2006/relationships/hyperlink" Target="https://m.stock.naver.com/research/company/89435" TargetMode="External"/><Relationship Id="rId12359" Type="http://schemas.openxmlformats.org/officeDocument/2006/relationships/hyperlink" Target="https://m.stock.naver.com/research/company/80850" TargetMode="External"/><Relationship Id="rId737" Type="http://schemas.openxmlformats.org/officeDocument/2006/relationships/hyperlink" Target="https://m.stock.naver.com/research/company/92719" TargetMode="External"/><Relationship Id="rId1367" Type="http://schemas.openxmlformats.org/officeDocument/2006/relationships/hyperlink" Target="https://m.stock.naver.com/research/company/91888" TargetMode="External"/><Relationship Id="rId2418" Type="http://schemas.openxmlformats.org/officeDocument/2006/relationships/hyperlink" Target="https://m.stock.naver.com/research/company/90836" TargetMode="External"/><Relationship Id="rId5988" Type="http://schemas.openxmlformats.org/officeDocument/2006/relationships/hyperlink" Target="https://m.stock.naver.com/research/company/87252" TargetMode="External"/><Relationship Id="rId73" Type="http://schemas.openxmlformats.org/officeDocument/2006/relationships/hyperlink" Target="https://m.stock.naver.com/research/company/93385" TargetMode="External"/><Relationship Id="rId8461" Type="http://schemas.openxmlformats.org/officeDocument/2006/relationships/hyperlink" Target="https://m.stock.naver.com/research/company/84776" TargetMode="External"/><Relationship Id="rId9512" Type="http://schemas.openxmlformats.org/officeDocument/2006/relationships/hyperlink" Target="https://m.stock.naver.com/research/company/83715" TargetMode="External"/><Relationship Id="rId10391" Type="http://schemas.openxmlformats.org/officeDocument/2006/relationships/hyperlink" Target="https://m.stock.naver.com/research/company/82830" TargetMode="External"/><Relationship Id="rId11442" Type="http://schemas.openxmlformats.org/officeDocument/2006/relationships/hyperlink" Target="https://m.stock.naver.com/research/company/81773" TargetMode="External"/><Relationship Id="rId12840" Type="http://schemas.openxmlformats.org/officeDocument/2006/relationships/hyperlink" Target="https://m.stock.naver.com/research/company/80368" TargetMode="External"/><Relationship Id="rId1501" Type="http://schemas.openxmlformats.org/officeDocument/2006/relationships/hyperlink" Target="https://m.stock.naver.com/research/company/91754" TargetMode="External"/><Relationship Id="rId7063" Type="http://schemas.openxmlformats.org/officeDocument/2006/relationships/hyperlink" Target="https://m.stock.naver.com/research/company/86176" TargetMode="External"/><Relationship Id="rId8114" Type="http://schemas.openxmlformats.org/officeDocument/2006/relationships/hyperlink" Target="https://m.stock.naver.com/research/company/85124" TargetMode="External"/><Relationship Id="rId10044" Type="http://schemas.openxmlformats.org/officeDocument/2006/relationships/hyperlink" Target="https://m.stock.naver.com/research/company/83177" TargetMode="External"/><Relationship Id="rId14665" Type="http://schemas.openxmlformats.org/officeDocument/2006/relationships/hyperlink" Target="https://m.stock.naver.com/research/company/94513" TargetMode="External"/><Relationship Id="rId15716" Type="http://schemas.openxmlformats.org/officeDocument/2006/relationships/hyperlink" Target="https://m.stock.naver.com/research/company/95698" TargetMode="External"/><Relationship Id="rId594" Type="http://schemas.openxmlformats.org/officeDocument/2006/relationships/hyperlink" Target="https://m.stock.naver.com/research/company/92863" TargetMode="External"/><Relationship Id="rId2275" Type="http://schemas.openxmlformats.org/officeDocument/2006/relationships/hyperlink" Target="https://m.stock.naver.com/research/company/90980" TargetMode="External"/><Relationship Id="rId3326" Type="http://schemas.openxmlformats.org/officeDocument/2006/relationships/hyperlink" Target="https://m.stock.naver.com/research/company/89924" TargetMode="External"/><Relationship Id="rId3673" Type="http://schemas.openxmlformats.org/officeDocument/2006/relationships/hyperlink" Target="https://m.stock.naver.com/research/company/89578" TargetMode="External"/><Relationship Id="rId4724" Type="http://schemas.openxmlformats.org/officeDocument/2006/relationships/hyperlink" Target="https://m.stock.naver.com/research/company/88516" TargetMode="External"/><Relationship Id="rId13267" Type="http://schemas.openxmlformats.org/officeDocument/2006/relationships/hyperlink" Target="https://m.stock.naver.com/research/company/79939" TargetMode="External"/><Relationship Id="rId14318" Type="http://schemas.openxmlformats.org/officeDocument/2006/relationships/hyperlink" Target="https://m.stock.naver.com/research/company/94146" TargetMode="External"/><Relationship Id="rId247" Type="http://schemas.openxmlformats.org/officeDocument/2006/relationships/hyperlink" Target="https://m.stock.naver.com/research/company/93211" TargetMode="External"/><Relationship Id="rId6896" Type="http://schemas.openxmlformats.org/officeDocument/2006/relationships/hyperlink" Target="https://m.stock.naver.com/research/company/86343" TargetMode="External"/><Relationship Id="rId7947" Type="http://schemas.openxmlformats.org/officeDocument/2006/relationships/hyperlink" Target="https://m.stock.naver.com/research/company/85291" TargetMode="External"/><Relationship Id="rId10928" Type="http://schemas.openxmlformats.org/officeDocument/2006/relationships/hyperlink" Target="https://m.stock.naver.com/research/company/82292" TargetMode="External"/><Relationship Id="rId5498" Type="http://schemas.openxmlformats.org/officeDocument/2006/relationships/hyperlink" Target="https://m.stock.naver.com/research/company/87742" TargetMode="External"/><Relationship Id="rId6549" Type="http://schemas.openxmlformats.org/officeDocument/2006/relationships/hyperlink" Target="https://m.stock.naver.com/research/company/86691" TargetMode="External"/><Relationship Id="rId12350" Type="http://schemas.openxmlformats.org/officeDocument/2006/relationships/hyperlink" Target="https://m.stock.naver.com/research/company/80859" TargetMode="External"/><Relationship Id="rId13401" Type="http://schemas.openxmlformats.org/officeDocument/2006/relationships/hyperlink" Target="https://m.stock.naver.com/research/company/79804" TargetMode="External"/><Relationship Id="rId9022" Type="http://schemas.openxmlformats.org/officeDocument/2006/relationships/hyperlink" Target="https://m.stock.naver.com/research/company/84210" TargetMode="External"/><Relationship Id="rId12003" Type="http://schemas.openxmlformats.org/officeDocument/2006/relationships/hyperlink" Target="https://m.stock.naver.com/research/company/81208" TargetMode="External"/><Relationship Id="rId15573" Type="http://schemas.openxmlformats.org/officeDocument/2006/relationships/hyperlink" Target="https://m.stock.naver.com/research/company/95463" TargetMode="External"/><Relationship Id="rId1011" Type="http://schemas.openxmlformats.org/officeDocument/2006/relationships/hyperlink" Target="https://m.stock.naver.com/research/company/92445" TargetMode="External"/><Relationship Id="rId4581" Type="http://schemas.openxmlformats.org/officeDocument/2006/relationships/hyperlink" Target="https://m.stock.naver.com/research/company/88659" TargetMode="External"/><Relationship Id="rId5632" Type="http://schemas.openxmlformats.org/officeDocument/2006/relationships/hyperlink" Target="https://m.stock.naver.com/research/company/87608" TargetMode="External"/><Relationship Id="rId14175" Type="http://schemas.openxmlformats.org/officeDocument/2006/relationships/hyperlink" Target="https://m.stock.naver.com/research/company/93953" TargetMode="External"/><Relationship Id="rId15226" Type="http://schemas.openxmlformats.org/officeDocument/2006/relationships/hyperlink" Target="https://m.stock.naver.com/research/company/95134" TargetMode="External"/><Relationship Id="rId3183" Type="http://schemas.openxmlformats.org/officeDocument/2006/relationships/hyperlink" Target="https://m.stock.naver.com/research/company/90068" TargetMode="External"/><Relationship Id="rId4234" Type="http://schemas.openxmlformats.org/officeDocument/2006/relationships/hyperlink" Target="https://m.stock.naver.com/research/company/89008" TargetMode="External"/><Relationship Id="rId7457" Type="http://schemas.openxmlformats.org/officeDocument/2006/relationships/hyperlink" Target="https://m.stock.naver.com/research/company/85782" TargetMode="External"/><Relationship Id="rId8855" Type="http://schemas.openxmlformats.org/officeDocument/2006/relationships/hyperlink" Target="https://m.stock.naver.com/research/company/84382" TargetMode="External"/><Relationship Id="rId9906" Type="http://schemas.openxmlformats.org/officeDocument/2006/relationships/hyperlink" Target="https://m.stock.naver.com/research/company/83316" TargetMode="External"/><Relationship Id="rId10785" Type="http://schemas.openxmlformats.org/officeDocument/2006/relationships/hyperlink" Target="https://m.stock.naver.com/research/company/82435" TargetMode="External"/><Relationship Id="rId11836" Type="http://schemas.openxmlformats.org/officeDocument/2006/relationships/hyperlink" Target="https://m.stock.naver.com/research/company/81376" TargetMode="External"/><Relationship Id="rId6059" Type="http://schemas.openxmlformats.org/officeDocument/2006/relationships/hyperlink" Target="https://m.stock.naver.com/research/company/87181" TargetMode="External"/><Relationship Id="rId8508" Type="http://schemas.openxmlformats.org/officeDocument/2006/relationships/hyperlink" Target="https://m.stock.naver.com/research/company/84729" TargetMode="External"/><Relationship Id="rId10438" Type="http://schemas.openxmlformats.org/officeDocument/2006/relationships/hyperlink" Target="https://m.stock.naver.com/research/company/82783" TargetMode="External"/><Relationship Id="rId988" Type="http://schemas.openxmlformats.org/officeDocument/2006/relationships/hyperlink" Target="https://m.stock.naver.com/research/company/92468" TargetMode="External"/><Relationship Id="rId2669" Type="http://schemas.openxmlformats.org/officeDocument/2006/relationships/hyperlink" Target="https://m.stock.naver.com/research/company/90585" TargetMode="External"/><Relationship Id="rId6540" Type="http://schemas.openxmlformats.org/officeDocument/2006/relationships/hyperlink" Target="https://m.stock.naver.com/research/company/86700" TargetMode="External"/><Relationship Id="rId15083" Type="http://schemas.openxmlformats.org/officeDocument/2006/relationships/hyperlink" Target="https://m.stock.naver.com/research/company/95011" TargetMode="External"/><Relationship Id="rId4091" Type="http://schemas.openxmlformats.org/officeDocument/2006/relationships/hyperlink" Target="https://m.stock.naver.com/research/company/89160" TargetMode="External"/><Relationship Id="rId5142" Type="http://schemas.openxmlformats.org/officeDocument/2006/relationships/hyperlink" Target="https://m.stock.naver.com/research/company/88098" TargetMode="External"/><Relationship Id="rId9763" Type="http://schemas.openxmlformats.org/officeDocument/2006/relationships/hyperlink" Target="https://m.stock.naver.com/research/company/83460" TargetMode="External"/><Relationship Id="rId8365" Type="http://schemas.openxmlformats.org/officeDocument/2006/relationships/hyperlink" Target="https://m.stock.naver.com/research/company/84873" TargetMode="External"/><Relationship Id="rId9416" Type="http://schemas.openxmlformats.org/officeDocument/2006/relationships/hyperlink" Target="https://m.stock.naver.com/research/company/83811" TargetMode="External"/><Relationship Id="rId10295" Type="http://schemas.openxmlformats.org/officeDocument/2006/relationships/hyperlink" Target="https://m.stock.naver.com/research/company/82926" TargetMode="External"/><Relationship Id="rId11693" Type="http://schemas.openxmlformats.org/officeDocument/2006/relationships/hyperlink" Target="https://m.stock.naver.com/research/company/81519" TargetMode="External"/><Relationship Id="rId12744" Type="http://schemas.openxmlformats.org/officeDocument/2006/relationships/hyperlink" Target="https://m.stock.naver.com/research/company/80464" TargetMode="External"/><Relationship Id="rId1405" Type="http://schemas.openxmlformats.org/officeDocument/2006/relationships/hyperlink" Target="https://m.stock.naver.com/research/company/91850" TargetMode="External"/><Relationship Id="rId1752" Type="http://schemas.openxmlformats.org/officeDocument/2006/relationships/hyperlink" Target="https://m.stock.naver.com/research/company/91503" TargetMode="External"/><Relationship Id="rId2803" Type="http://schemas.openxmlformats.org/officeDocument/2006/relationships/hyperlink" Target="https://m.stock.naver.com/research/company/90451" TargetMode="External"/><Relationship Id="rId8018" Type="http://schemas.openxmlformats.org/officeDocument/2006/relationships/hyperlink" Target="https://m.stock.naver.com/research/company/85220" TargetMode="External"/><Relationship Id="rId11346" Type="http://schemas.openxmlformats.org/officeDocument/2006/relationships/hyperlink" Target="https://m.stock.naver.com/research/company/81870" TargetMode="External"/><Relationship Id="rId4975" Type="http://schemas.openxmlformats.org/officeDocument/2006/relationships/hyperlink" Target="https://m.stock.naver.com/research/company/88265" TargetMode="External"/><Relationship Id="rId14569" Type="http://schemas.openxmlformats.org/officeDocument/2006/relationships/hyperlink" Target="https://m.stock.naver.com/research/company/94341" TargetMode="External"/><Relationship Id="rId498" Type="http://schemas.openxmlformats.org/officeDocument/2006/relationships/hyperlink" Target="https://m.stock.naver.com/research/company/92959" TargetMode="External"/><Relationship Id="rId2179" Type="http://schemas.openxmlformats.org/officeDocument/2006/relationships/hyperlink" Target="https://m.stock.naver.com/research/company/91076" TargetMode="External"/><Relationship Id="rId3577" Type="http://schemas.openxmlformats.org/officeDocument/2006/relationships/hyperlink" Target="https://m.stock.naver.com/research/company/89674" TargetMode="External"/><Relationship Id="rId4628" Type="http://schemas.openxmlformats.org/officeDocument/2006/relationships/hyperlink" Target="https://m.stock.naver.com/research/company/88612" TargetMode="External"/><Relationship Id="rId6050" Type="http://schemas.openxmlformats.org/officeDocument/2006/relationships/hyperlink" Target="https://m.stock.naver.com/research/company/87190" TargetMode="External"/><Relationship Id="rId7101" Type="http://schemas.openxmlformats.org/officeDocument/2006/relationships/hyperlink" Target="https://m.stock.naver.com/research/company/86138" TargetMode="External"/><Relationship Id="rId13652" Type="http://schemas.openxmlformats.org/officeDocument/2006/relationships/hyperlink" Target="https://m.stock.naver.com/research/company/79552" TargetMode="External"/><Relationship Id="rId2660" Type="http://schemas.openxmlformats.org/officeDocument/2006/relationships/hyperlink" Target="https://m.stock.naver.com/research/company/90594" TargetMode="External"/><Relationship Id="rId3711" Type="http://schemas.openxmlformats.org/officeDocument/2006/relationships/hyperlink" Target="https://m.stock.naver.com/research/company/89540" TargetMode="External"/><Relationship Id="rId9273" Type="http://schemas.openxmlformats.org/officeDocument/2006/relationships/hyperlink" Target="https://m.stock.naver.com/research/company/83955" TargetMode="External"/><Relationship Id="rId12254" Type="http://schemas.openxmlformats.org/officeDocument/2006/relationships/hyperlink" Target="https://m.stock.naver.com/research/company/80955" TargetMode="External"/><Relationship Id="rId13305" Type="http://schemas.openxmlformats.org/officeDocument/2006/relationships/hyperlink" Target="https://m.stock.naver.com/research/company/79900" TargetMode="External"/><Relationship Id="rId14703" Type="http://schemas.openxmlformats.org/officeDocument/2006/relationships/hyperlink" Target="https://m.stock.naver.com/research/company/94697" TargetMode="External"/><Relationship Id="rId632" Type="http://schemas.openxmlformats.org/officeDocument/2006/relationships/hyperlink" Target="https://m.stock.naver.com/research/company/92824" TargetMode="External"/><Relationship Id="rId1262" Type="http://schemas.openxmlformats.org/officeDocument/2006/relationships/hyperlink" Target="https://m.stock.naver.com/research/company/91993" TargetMode="External"/><Relationship Id="rId2313" Type="http://schemas.openxmlformats.org/officeDocument/2006/relationships/hyperlink" Target="https://m.stock.naver.com/research/company/90942" TargetMode="External"/><Relationship Id="rId4485" Type="http://schemas.openxmlformats.org/officeDocument/2006/relationships/hyperlink" Target="https://m.stock.naver.com/research/company/88755" TargetMode="External"/><Relationship Id="rId5536" Type="http://schemas.openxmlformats.org/officeDocument/2006/relationships/hyperlink" Target="https://m.stock.naver.com/research/company/87704" TargetMode="External"/><Relationship Id="rId5883" Type="http://schemas.openxmlformats.org/officeDocument/2006/relationships/hyperlink" Target="https://m.stock.naver.com/research/company/87357" TargetMode="External"/><Relationship Id="rId6934" Type="http://schemas.openxmlformats.org/officeDocument/2006/relationships/hyperlink" Target="https://m.stock.naver.com/research/company/86305" TargetMode="External"/><Relationship Id="rId14079" Type="http://schemas.openxmlformats.org/officeDocument/2006/relationships/hyperlink" Target="https://m.stock.naver.com/research/company/93923" TargetMode="External"/><Relationship Id="rId15477" Type="http://schemas.openxmlformats.org/officeDocument/2006/relationships/hyperlink" Target="https://m.stock.naver.com/research/company/95310" TargetMode="External"/><Relationship Id="rId3087" Type="http://schemas.openxmlformats.org/officeDocument/2006/relationships/hyperlink" Target="https://m.stock.naver.com/research/company/90164" TargetMode="External"/><Relationship Id="rId4138" Type="http://schemas.openxmlformats.org/officeDocument/2006/relationships/hyperlink" Target="https://m.stock.naver.com/research/company/89113" TargetMode="External"/><Relationship Id="rId8759" Type="http://schemas.openxmlformats.org/officeDocument/2006/relationships/hyperlink" Target="https://m.stock.naver.com/research/company/84478" TargetMode="External"/><Relationship Id="rId10689" Type="http://schemas.openxmlformats.org/officeDocument/2006/relationships/hyperlink" Target="https://m.stock.naver.com/research/company/82531" TargetMode="External"/><Relationship Id="rId14560" Type="http://schemas.openxmlformats.org/officeDocument/2006/relationships/hyperlink" Target="https://m.stock.naver.com/research/company/94350" TargetMode="External"/><Relationship Id="rId15611" Type="http://schemas.openxmlformats.org/officeDocument/2006/relationships/hyperlink" Target="https://m.stock.naver.com/research/company/95425" TargetMode="External"/><Relationship Id="rId13162" Type="http://schemas.openxmlformats.org/officeDocument/2006/relationships/hyperlink" Target="https://m.stock.naver.com/research/company/80045" TargetMode="External"/><Relationship Id="rId14213" Type="http://schemas.openxmlformats.org/officeDocument/2006/relationships/hyperlink" Target="https://m.stock.naver.com/research/company/94045" TargetMode="External"/><Relationship Id="rId2170" Type="http://schemas.openxmlformats.org/officeDocument/2006/relationships/hyperlink" Target="https://m.stock.naver.com/research/company/91085" TargetMode="External"/><Relationship Id="rId3221" Type="http://schemas.openxmlformats.org/officeDocument/2006/relationships/hyperlink" Target="https://m.stock.naver.com/research/company/90030" TargetMode="External"/><Relationship Id="rId6791" Type="http://schemas.openxmlformats.org/officeDocument/2006/relationships/hyperlink" Target="https://m.stock.naver.com/research/company/86449" TargetMode="External"/><Relationship Id="rId7842" Type="http://schemas.openxmlformats.org/officeDocument/2006/relationships/hyperlink" Target="https://m.stock.naver.com/research/company/85396" TargetMode="External"/><Relationship Id="rId8" Type="http://schemas.openxmlformats.org/officeDocument/2006/relationships/hyperlink" Target="https://m.stock.naver.com/research/company/93450" TargetMode="External"/><Relationship Id="rId142" Type="http://schemas.openxmlformats.org/officeDocument/2006/relationships/hyperlink" Target="https://m.stock.naver.com/research/company/93316" TargetMode="External"/><Relationship Id="rId5393" Type="http://schemas.openxmlformats.org/officeDocument/2006/relationships/hyperlink" Target="https://m.stock.naver.com/research/company/87847" TargetMode="External"/><Relationship Id="rId6444" Type="http://schemas.openxmlformats.org/officeDocument/2006/relationships/hyperlink" Target="https://m.stock.naver.com/research/company/86796" TargetMode="External"/><Relationship Id="rId10823" Type="http://schemas.openxmlformats.org/officeDocument/2006/relationships/hyperlink" Target="https://m.stock.naver.com/research/company/82397" TargetMode="External"/><Relationship Id="rId5046" Type="http://schemas.openxmlformats.org/officeDocument/2006/relationships/hyperlink" Target="https://m.stock.naver.com/research/company/88194" TargetMode="External"/><Relationship Id="rId9667" Type="http://schemas.openxmlformats.org/officeDocument/2006/relationships/hyperlink" Target="https://m.stock.naver.com/research/company/83557" TargetMode="External"/><Relationship Id="rId12995" Type="http://schemas.openxmlformats.org/officeDocument/2006/relationships/hyperlink" Target="https://m.stock.naver.com/research/company/80213" TargetMode="External"/><Relationship Id="rId8269" Type="http://schemas.openxmlformats.org/officeDocument/2006/relationships/hyperlink" Target="https://m.stock.naver.com/research/company/84969" TargetMode="External"/><Relationship Id="rId11597" Type="http://schemas.openxmlformats.org/officeDocument/2006/relationships/hyperlink" Target="https://m.stock.naver.com/research/company/81615" TargetMode="External"/><Relationship Id="rId12648" Type="http://schemas.openxmlformats.org/officeDocument/2006/relationships/hyperlink" Target="https://m.stock.naver.com/research/company/80560" TargetMode="External"/><Relationship Id="rId1656" Type="http://schemas.openxmlformats.org/officeDocument/2006/relationships/hyperlink" Target="https://m.stock.naver.com/research/company/91599" TargetMode="External"/><Relationship Id="rId2707" Type="http://schemas.openxmlformats.org/officeDocument/2006/relationships/hyperlink" Target="https://m.stock.naver.com/research/company/90547" TargetMode="External"/><Relationship Id="rId10199" Type="http://schemas.openxmlformats.org/officeDocument/2006/relationships/hyperlink" Target="https://m.stock.naver.com/research/company/83022" TargetMode="External"/><Relationship Id="rId14070" Type="http://schemas.openxmlformats.org/officeDocument/2006/relationships/hyperlink" Target="https://m.stock.naver.com/research/company/93884" TargetMode="External"/><Relationship Id="rId15121" Type="http://schemas.openxmlformats.org/officeDocument/2006/relationships/hyperlink" Target="https://m.stock.naver.com/research/company/94973" TargetMode="External"/><Relationship Id="rId1309" Type="http://schemas.openxmlformats.org/officeDocument/2006/relationships/hyperlink" Target="https://m.stock.naver.com/research/company/91946" TargetMode="External"/><Relationship Id="rId4879" Type="http://schemas.openxmlformats.org/officeDocument/2006/relationships/hyperlink" Target="https://m.stock.naver.com/research/company/88361" TargetMode="External"/><Relationship Id="rId8750" Type="http://schemas.openxmlformats.org/officeDocument/2006/relationships/hyperlink" Target="https://m.stock.naver.com/research/company/84487" TargetMode="External"/><Relationship Id="rId9801" Type="http://schemas.openxmlformats.org/officeDocument/2006/relationships/hyperlink" Target="https://m.stock.naver.com/research/company/83421" TargetMode="External"/><Relationship Id="rId10680" Type="http://schemas.openxmlformats.org/officeDocument/2006/relationships/hyperlink" Target="https://m.stock.naver.com/research/company/82540" TargetMode="External"/><Relationship Id="rId11731" Type="http://schemas.openxmlformats.org/officeDocument/2006/relationships/hyperlink" Target="https://m.stock.naver.com/research/company/81481" TargetMode="External"/><Relationship Id="rId15" Type="http://schemas.openxmlformats.org/officeDocument/2006/relationships/hyperlink" Target="https://m.stock.naver.com/research/company/93443" TargetMode="External"/><Relationship Id="rId7352" Type="http://schemas.openxmlformats.org/officeDocument/2006/relationships/hyperlink" Target="https://m.stock.naver.com/research/company/85887" TargetMode="External"/><Relationship Id="rId8403" Type="http://schemas.openxmlformats.org/officeDocument/2006/relationships/hyperlink" Target="https://m.stock.naver.com/research/company/84835" TargetMode="External"/><Relationship Id="rId10333" Type="http://schemas.openxmlformats.org/officeDocument/2006/relationships/hyperlink" Target="https://m.stock.naver.com/research/company/82888" TargetMode="External"/><Relationship Id="rId7005" Type="http://schemas.openxmlformats.org/officeDocument/2006/relationships/hyperlink" Target="https://m.stock.naver.com/research/company/86234" TargetMode="External"/><Relationship Id="rId14954" Type="http://schemas.openxmlformats.org/officeDocument/2006/relationships/hyperlink" Target="https://m.stock.naver.com/research/company/94880" TargetMode="External"/><Relationship Id="rId883" Type="http://schemas.openxmlformats.org/officeDocument/2006/relationships/hyperlink" Target="https://m.stock.naver.com/research/company/92573" TargetMode="External"/><Relationship Id="rId2564" Type="http://schemas.openxmlformats.org/officeDocument/2006/relationships/hyperlink" Target="https://m.stock.naver.com/research/company/90690" TargetMode="External"/><Relationship Id="rId3615" Type="http://schemas.openxmlformats.org/officeDocument/2006/relationships/hyperlink" Target="https://m.stock.naver.com/research/company/89636" TargetMode="External"/><Relationship Id="rId3962" Type="http://schemas.openxmlformats.org/officeDocument/2006/relationships/hyperlink" Target="https://m.stock.naver.com/research/company/89289" TargetMode="External"/><Relationship Id="rId9177" Type="http://schemas.openxmlformats.org/officeDocument/2006/relationships/hyperlink" Target="https://m.stock.naver.com/research/company/84053" TargetMode="External"/><Relationship Id="rId12158" Type="http://schemas.openxmlformats.org/officeDocument/2006/relationships/hyperlink" Target="https://m.stock.naver.com/research/company/81053" TargetMode="External"/><Relationship Id="rId13556" Type="http://schemas.openxmlformats.org/officeDocument/2006/relationships/hyperlink" Target="https://m.stock.naver.com/research/company/79648" TargetMode="External"/><Relationship Id="rId14607" Type="http://schemas.openxmlformats.org/officeDocument/2006/relationships/hyperlink" Target="https://m.stock.naver.com/research/company/94570" TargetMode="External"/><Relationship Id="rId536" Type="http://schemas.openxmlformats.org/officeDocument/2006/relationships/hyperlink" Target="https://m.stock.naver.com/research/company/92921" TargetMode="External"/><Relationship Id="rId1166" Type="http://schemas.openxmlformats.org/officeDocument/2006/relationships/hyperlink" Target="https://m.stock.naver.com/research/company/92089" TargetMode="External"/><Relationship Id="rId2217" Type="http://schemas.openxmlformats.org/officeDocument/2006/relationships/hyperlink" Target="https://m.stock.naver.com/research/company/91038" TargetMode="External"/><Relationship Id="rId13209" Type="http://schemas.openxmlformats.org/officeDocument/2006/relationships/hyperlink" Target="https://m.stock.naver.com/research/company/79998" TargetMode="External"/><Relationship Id="rId4389" Type="http://schemas.openxmlformats.org/officeDocument/2006/relationships/hyperlink" Target="https://m.stock.naver.com/research/company/88852" TargetMode="External"/><Relationship Id="rId5787" Type="http://schemas.openxmlformats.org/officeDocument/2006/relationships/hyperlink" Target="https://m.stock.naver.com/research/company/87453" TargetMode="External"/><Relationship Id="rId6838" Type="http://schemas.openxmlformats.org/officeDocument/2006/relationships/hyperlink" Target="https://m.stock.naver.com/research/company/86402" TargetMode="External"/><Relationship Id="rId8260" Type="http://schemas.openxmlformats.org/officeDocument/2006/relationships/hyperlink" Target="https://m.stock.naver.com/research/company/84978" TargetMode="External"/><Relationship Id="rId9311" Type="http://schemas.openxmlformats.org/officeDocument/2006/relationships/hyperlink" Target="https://m.stock.naver.com/research/company/83916" TargetMode="External"/><Relationship Id="rId10190" Type="http://schemas.openxmlformats.org/officeDocument/2006/relationships/hyperlink" Target="https://m.stock.naver.com/research/company/83031" TargetMode="External"/><Relationship Id="rId11241" Type="http://schemas.openxmlformats.org/officeDocument/2006/relationships/hyperlink" Target="https://m.stock.naver.com/research/company/81978" TargetMode="External"/><Relationship Id="rId1300" Type="http://schemas.openxmlformats.org/officeDocument/2006/relationships/hyperlink" Target="https://m.stock.naver.com/research/company/91955" TargetMode="External"/><Relationship Id="rId4870" Type="http://schemas.openxmlformats.org/officeDocument/2006/relationships/hyperlink" Target="https://m.stock.naver.com/research/company/88370" TargetMode="External"/><Relationship Id="rId5921" Type="http://schemas.openxmlformats.org/officeDocument/2006/relationships/hyperlink" Target="https://m.stock.naver.com/research/company/87319" TargetMode="External"/><Relationship Id="rId14464" Type="http://schemas.openxmlformats.org/officeDocument/2006/relationships/hyperlink" Target="https://m.stock.naver.com/research/company/94446" TargetMode="External"/><Relationship Id="rId15515" Type="http://schemas.openxmlformats.org/officeDocument/2006/relationships/hyperlink" Target="https://m.stock.naver.com/research/company/95521" TargetMode="External"/><Relationship Id="rId3472" Type="http://schemas.openxmlformats.org/officeDocument/2006/relationships/hyperlink" Target="https://m.stock.naver.com/research/company/89779" TargetMode="External"/><Relationship Id="rId4523" Type="http://schemas.openxmlformats.org/officeDocument/2006/relationships/hyperlink" Target="https://m.stock.naver.com/research/company/88717" TargetMode="External"/><Relationship Id="rId13066" Type="http://schemas.openxmlformats.org/officeDocument/2006/relationships/hyperlink" Target="https://m.stock.naver.com/research/company/80141" TargetMode="External"/><Relationship Id="rId14117" Type="http://schemas.openxmlformats.org/officeDocument/2006/relationships/hyperlink" Target="https://m.stock.naver.com/research/company/93885" TargetMode="External"/><Relationship Id="rId393" Type="http://schemas.openxmlformats.org/officeDocument/2006/relationships/hyperlink" Target="https://m.stock.naver.com/research/company/93065" TargetMode="External"/><Relationship Id="rId2074" Type="http://schemas.openxmlformats.org/officeDocument/2006/relationships/hyperlink" Target="https://m.stock.naver.com/research/company/91181" TargetMode="External"/><Relationship Id="rId3125" Type="http://schemas.openxmlformats.org/officeDocument/2006/relationships/hyperlink" Target="https://m.stock.naver.com/research/company/90126" TargetMode="External"/><Relationship Id="rId6695" Type="http://schemas.openxmlformats.org/officeDocument/2006/relationships/hyperlink" Target="https://m.stock.naver.com/research/company/86545" TargetMode="External"/><Relationship Id="rId7746" Type="http://schemas.openxmlformats.org/officeDocument/2006/relationships/hyperlink" Target="https://m.stock.naver.com/research/company/85493" TargetMode="External"/><Relationship Id="rId5297" Type="http://schemas.openxmlformats.org/officeDocument/2006/relationships/hyperlink" Target="https://m.stock.naver.com/research/company/87943" TargetMode="External"/><Relationship Id="rId6348" Type="http://schemas.openxmlformats.org/officeDocument/2006/relationships/hyperlink" Target="https://m.stock.naver.com/research/company/86892" TargetMode="External"/><Relationship Id="rId10727" Type="http://schemas.openxmlformats.org/officeDocument/2006/relationships/hyperlink" Target="https://m.stock.naver.com/research/company/82493" TargetMode="External"/><Relationship Id="rId12899" Type="http://schemas.openxmlformats.org/officeDocument/2006/relationships/hyperlink" Target="https://m.stock.naver.com/research/company/80309" TargetMode="External"/><Relationship Id="rId13200" Type="http://schemas.openxmlformats.org/officeDocument/2006/relationships/hyperlink" Target="https://m.stock.naver.com/research/company/80007" TargetMode="External"/><Relationship Id="rId2958" Type="http://schemas.openxmlformats.org/officeDocument/2006/relationships/hyperlink" Target="https://m.stock.naver.com/research/company/90295" TargetMode="External"/><Relationship Id="rId15372" Type="http://schemas.openxmlformats.org/officeDocument/2006/relationships/hyperlink" Target="https://m.stock.naver.com/research/company/95216" TargetMode="External"/><Relationship Id="rId4380" Type="http://schemas.openxmlformats.org/officeDocument/2006/relationships/hyperlink" Target="https://m.stock.naver.com/research/company/88861" TargetMode="External"/><Relationship Id="rId5431" Type="http://schemas.openxmlformats.org/officeDocument/2006/relationships/hyperlink" Target="https://m.stock.naver.com/research/company/87809" TargetMode="External"/><Relationship Id="rId15025" Type="http://schemas.openxmlformats.org/officeDocument/2006/relationships/hyperlink" Target="https://m.stock.naver.com/research/company/94809" TargetMode="External"/><Relationship Id="rId4033" Type="http://schemas.openxmlformats.org/officeDocument/2006/relationships/hyperlink" Target="https://m.stock.naver.com/research/company/89218" TargetMode="External"/><Relationship Id="rId8654" Type="http://schemas.openxmlformats.org/officeDocument/2006/relationships/hyperlink" Target="https://m.stock.naver.com/research/company/84583" TargetMode="External"/><Relationship Id="rId9705" Type="http://schemas.openxmlformats.org/officeDocument/2006/relationships/hyperlink" Target="https://m.stock.naver.com/research/company/83518" TargetMode="External"/><Relationship Id="rId10584" Type="http://schemas.openxmlformats.org/officeDocument/2006/relationships/hyperlink" Target="https://m.stock.naver.com/research/company/82636" TargetMode="External"/><Relationship Id="rId11982" Type="http://schemas.openxmlformats.org/officeDocument/2006/relationships/hyperlink" Target="https://m.stock.naver.com/research/company/81229" TargetMode="External"/><Relationship Id="rId7256" Type="http://schemas.openxmlformats.org/officeDocument/2006/relationships/hyperlink" Target="https://m.stock.naver.com/research/company/85983" TargetMode="External"/><Relationship Id="rId8307" Type="http://schemas.openxmlformats.org/officeDocument/2006/relationships/hyperlink" Target="https://m.stock.naver.com/research/company/84931" TargetMode="External"/><Relationship Id="rId10237" Type="http://schemas.openxmlformats.org/officeDocument/2006/relationships/hyperlink" Target="https://m.stock.naver.com/research/company/82984" TargetMode="External"/><Relationship Id="rId11635" Type="http://schemas.openxmlformats.org/officeDocument/2006/relationships/hyperlink" Target="https://m.stock.naver.com/research/company/81577" TargetMode="External"/><Relationship Id="rId14858" Type="http://schemas.openxmlformats.org/officeDocument/2006/relationships/hyperlink" Target="https://m.stock.naver.com/research/company/94766" TargetMode="External"/><Relationship Id="rId3866" Type="http://schemas.openxmlformats.org/officeDocument/2006/relationships/hyperlink" Target="https://m.stock.naver.com/research/company/89385" TargetMode="External"/><Relationship Id="rId4917" Type="http://schemas.openxmlformats.org/officeDocument/2006/relationships/hyperlink" Target="https://m.stock.naver.com/research/company/88323" TargetMode="External"/><Relationship Id="rId787" Type="http://schemas.openxmlformats.org/officeDocument/2006/relationships/hyperlink" Target="https://m.stock.naver.com/research/company/92669" TargetMode="External"/><Relationship Id="rId2468" Type="http://schemas.openxmlformats.org/officeDocument/2006/relationships/hyperlink" Target="https://m.stock.naver.com/research/company/90786" TargetMode="External"/><Relationship Id="rId3519" Type="http://schemas.openxmlformats.org/officeDocument/2006/relationships/hyperlink" Target="https://m.stock.naver.com/research/company/89732" TargetMode="External"/><Relationship Id="rId12890" Type="http://schemas.openxmlformats.org/officeDocument/2006/relationships/hyperlink" Target="https://m.stock.naver.com/research/company/80318" TargetMode="External"/><Relationship Id="rId13941" Type="http://schemas.openxmlformats.org/officeDocument/2006/relationships/hyperlink" Target="https://m.stock.naver.com/research/company/93791" TargetMode="External"/><Relationship Id="rId9562" Type="http://schemas.openxmlformats.org/officeDocument/2006/relationships/hyperlink" Target="https://m.stock.naver.com/research/company/83665" TargetMode="External"/><Relationship Id="rId11492" Type="http://schemas.openxmlformats.org/officeDocument/2006/relationships/hyperlink" Target="https://m.stock.naver.com/research/company/81723" TargetMode="External"/><Relationship Id="rId12543" Type="http://schemas.openxmlformats.org/officeDocument/2006/relationships/hyperlink" Target="https://m.stock.naver.com/research/company/80665" TargetMode="External"/><Relationship Id="rId921" Type="http://schemas.openxmlformats.org/officeDocument/2006/relationships/hyperlink" Target="https://m.stock.naver.com/research/company/92535" TargetMode="External"/><Relationship Id="rId1551" Type="http://schemas.openxmlformats.org/officeDocument/2006/relationships/hyperlink" Target="https://m.stock.naver.com/research/company/91704" TargetMode="External"/><Relationship Id="rId2602" Type="http://schemas.openxmlformats.org/officeDocument/2006/relationships/hyperlink" Target="https://m.stock.naver.com/research/company/90652" TargetMode="External"/><Relationship Id="rId8164" Type="http://schemas.openxmlformats.org/officeDocument/2006/relationships/hyperlink" Target="https://m.stock.naver.com/research/company/85074" TargetMode="External"/><Relationship Id="rId9215" Type="http://schemas.openxmlformats.org/officeDocument/2006/relationships/hyperlink" Target="https://m.stock.naver.com/research/company/84015" TargetMode="External"/><Relationship Id="rId10094" Type="http://schemas.openxmlformats.org/officeDocument/2006/relationships/hyperlink" Target="https://m.stock.naver.com/research/company/83127" TargetMode="External"/><Relationship Id="rId11145" Type="http://schemas.openxmlformats.org/officeDocument/2006/relationships/hyperlink" Target="https://m.stock.naver.com/research/company/82075" TargetMode="External"/><Relationship Id="rId1204" Type="http://schemas.openxmlformats.org/officeDocument/2006/relationships/hyperlink" Target="https://m.stock.naver.com/research/company/92051" TargetMode="External"/><Relationship Id="rId4774" Type="http://schemas.openxmlformats.org/officeDocument/2006/relationships/hyperlink" Target="https://m.stock.naver.com/research/company/88466" TargetMode="External"/><Relationship Id="rId5825" Type="http://schemas.openxmlformats.org/officeDocument/2006/relationships/hyperlink" Target="https://m.stock.naver.com/research/company/87415" TargetMode="External"/><Relationship Id="rId14368" Type="http://schemas.openxmlformats.org/officeDocument/2006/relationships/hyperlink" Target="https://m.stock.naver.com/research/company/94244" TargetMode="External"/><Relationship Id="rId3376" Type="http://schemas.openxmlformats.org/officeDocument/2006/relationships/hyperlink" Target="https://m.stock.naver.com/research/company/89875" TargetMode="External"/><Relationship Id="rId4427" Type="http://schemas.openxmlformats.org/officeDocument/2006/relationships/hyperlink" Target="https://m.stock.naver.com/research/company/88814" TargetMode="External"/><Relationship Id="rId15419" Type="http://schemas.openxmlformats.org/officeDocument/2006/relationships/hyperlink" Target="https://m.stock.naver.com/research/company/95368" TargetMode="External"/><Relationship Id="rId297" Type="http://schemas.openxmlformats.org/officeDocument/2006/relationships/hyperlink" Target="https://m.stock.naver.com/research/company/93161" TargetMode="External"/><Relationship Id="rId3029" Type="http://schemas.openxmlformats.org/officeDocument/2006/relationships/hyperlink" Target="https://m.stock.naver.com/research/company/90222" TargetMode="External"/><Relationship Id="rId6599" Type="http://schemas.openxmlformats.org/officeDocument/2006/relationships/hyperlink" Target="https://m.stock.naver.com/research/company/86641" TargetMode="External"/><Relationship Id="rId7997" Type="http://schemas.openxmlformats.org/officeDocument/2006/relationships/hyperlink" Target="https://m.stock.naver.com/research/company/85241" TargetMode="External"/><Relationship Id="rId10978" Type="http://schemas.openxmlformats.org/officeDocument/2006/relationships/hyperlink" Target="https://m.stock.naver.com/research/company/82242" TargetMode="External"/><Relationship Id="rId9072" Type="http://schemas.openxmlformats.org/officeDocument/2006/relationships/hyperlink" Target="https://m.stock.naver.com/research/company/84159" TargetMode="External"/><Relationship Id="rId13451" Type="http://schemas.openxmlformats.org/officeDocument/2006/relationships/hyperlink" Target="https://m.stock.naver.com/research/company/79753" TargetMode="External"/><Relationship Id="rId14502" Type="http://schemas.openxmlformats.org/officeDocument/2006/relationships/hyperlink" Target="https://m.stock.naver.com/research/company/94408" TargetMode="External"/><Relationship Id="rId3510" Type="http://schemas.openxmlformats.org/officeDocument/2006/relationships/hyperlink" Target="https://m.stock.naver.com/research/company/89741" TargetMode="External"/><Relationship Id="rId12053" Type="http://schemas.openxmlformats.org/officeDocument/2006/relationships/hyperlink" Target="https://m.stock.naver.com/research/company/81158" TargetMode="External"/><Relationship Id="rId13104" Type="http://schemas.openxmlformats.org/officeDocument/2006/relationships/hyperlink" Target="https://m.stock.naver.com/research/company/80103" TargetMode="External"/><Relationship Id="rId431" Type="http://schemas.openxmlformats.org/officeDocument/2006/relationships/hyperlink" Target="https://m.stock.naver.com/research/company/93026" TargetMode="External"/><Relationship Id="rId1061" Type="http://schemas.openxmlformats.org/officeDocument/2006/relationships/hyperlink" Target="https://m.stock.naver.com/research/company/92290" TargetMode="External"/><Relationship Id="rId2112" Type="http://schemas.openxmlformats.org/officeDocument/2006/relationships/hyperlink" Target="https://m.stock.naver.com/research/company/91143" TargetMode="External"/><Relationship Id="rId5682" Type="http://schemas.openxmlformats.org/officeDocument/2006/relationships/hyperlink" Target="https://m.stock.naver.com/research/company/87558" TargetMode="External"/><Relationship Id="rId6733" Type="http://schemas.openxmlformats.org/officeDocument/2006/relationships/hyperlink" Target="https://m.stock.naver.com/research/company/86507" TargetMode="External"/><Relationship Id="rId15276" Type="http://schemas.openxmlformats.org/officeDocument/2006/relationships/hyperlink" Target="https://m.stock.naver.com/research/company/95084" TargetMode="External"/><Relationship Id="rId4284" Type="http://schemas.openxmlformats.org/officeDocument/2006/relationships/hyperlink" Target="https://m.stock.naver.com/research/company/88957" TargetMode="External"/><Relationship Id="rId5335" Type="http://schemas.openxmlformats.org/officeDocument/2006/relationships/hyperlink" Target="https://m.stock.naver.com/research/company/87905" TargetMode="External"/><Relationship Id="rId9956" Type="http://schemas.openxmlformats.org/officeDocument/2006/relationships/hyperlink" Target="https://m.stock.naver.com/research/company/83265" TargetMode="External"/><Relationship Id="rId8558" Type="http://schemas.openxmlformats.org/officeDocument/2006/relationships/hyperlink" Target="https://m.stock.naver.com/research/company/84679" TargetMode="External"/><Relationship Id="rId9609" Type="http://schemas.openxmlformats.org/officeDocument/2006/relationships/hyperlink" Target="https://m.stock.naver.com/research/company/83616" TargetMode="External"/><Relationship Id="rId11886" Type="http://schemas.openxmlformats.org/officeDocument/2006/relationships/hyperlink" Target="https://m.stock.naver.com/research/company/81325" TargetMode="External"/><Relationship Id="rId12937" Type="http://schemas.openxmlformats.org/officeDocument/2006/relationships/hyperlink" Target="https://m.stock.naver.com/research/company/80271" TargetMode="External"/><Relationship Id="rId1945" Type="http://schemas.openxmlformats.org/officeDocument/2006/relationships/hyperlink" Target="https://m.stock.naver.com/research/company/91310" TargetMode="External"/><Relationship Id="rId10488" Type="http://schemas.openxmlformats.org/officeDocument/2006/relationships/hyperlink" Target="https://m.stock.naver.com/research/company/82732" TargetMode="External"/><Relationship Id="rId11539" Type="http://schemas.openxmlformats.org/officeDocument/2006/relationships/hyperlink" Target="https://m.stock.naver.com/research/company/81676" TargetMode="External"/><Relationship Id="rId15410" Type="http://schemas.openxmlformats.org/officeDocument/2006/relationships/hyperlink" Target="https://m.stock.naver.com/research/company/95377" TargetMode="External"/><Relationship Id="rId3020" Type="http://schemas.openxmlformats.org/officeDocument/2006/relationships/hyperlink" Target="https://m.stock.naver.com/research/company/90231" TargetMode="External"/><Relationship Id="rId14012" Type="http://schemas.openxmlformats.org/officeDocument/2006/relationships/hyperlink" Target="https://m.stock.naver.com/research/company/93835" TargetMode="External"/><Relationship Id="rId6590" Type="http://schemas.openxmlformats.org/officeDocument/2006/relationships/hyperlink" Target="https://m.stock.naver.com/research/company/86650" TargetMode="External"/><Relationship Id="rId7641" Type="http://schemas.openxmlformats.org/officeDocument/2006/relationships/hyperlink" Target="https://m.stock.naver.com/research/company/85598" TargetMode="External"/><Relationship Id="rId10622" Type="http://schemas.openxmlformats.org/officeDocument/2006/relationships/hyperlink" Target="https://m.stock.naver.com/research/company/82598" TargetMode="External"/><Relationship Id="rId5192" Type="http://schemas.openxmlformats.org/officeDocument/2006/relationships/hyperlink" Target="https://m.stock.naver.com/research/company/88048" TargetMode="External"/><Relationship Id="rId6243" Type="http://schemas.openxmlformats.org/officeDocument/2006/relationships/hyperlink" Target="https://m.stock.naver.com/research/company/86997" TargetMode="External"/><Relationship Id="rId12794" Type="http://schemas.openxmlformats.org/officeDocument/2006/relationships/hyperlink" Target="https://m.stock.naver.com/research/company/80414" TargetMode="External"/><Relationship Id="rId2853" Type="http://schemas.openxmlformats.org/officeDocument/2006/relationships/hyperlink" Target="https://m.stock.naver.com/research/company/90400" TargetMode="External"/><Relationship Id="rId3904" Type="http://schemas.openxmlformats.org/officeDocument/2006/relationships/hyperlink" Target="https://m.stock.naver.com/research/company/89347" TargetMode="External"/><Relationship Id="rId9466" Type="http://schemas.openxmlformats.org/officeDocument/2006/relationships/hyperlink" Target="https://m.stock.naver.com/research/company/83761" TargetMode="External"/><Relationship Id="rId11396" Type="http://schemas.openxmlformats.org/officeDocument/2006/relationships/hyperlink" Target="https://m.stock.naver.com/research/company/81819" TargetMode="External"/><Relationship Id="rId12447" Type="http://schemas.openxmlformats.org/officeDocument/2006/relationships/hyperlink" Target="https://m.stock.naver.com/research/company/80762" TargetMode="External"/><Relationship Id="rId13845" Type="http://schemas.openxmlformats.org/officeDocument/2006/relationships/hyperlink" Target="https://m.stock.naver.com/research/company/93637" TargetMode="External"/><Relationship Id="rId825" Type="http://schemas.openxmlformats.org/officeDocument/2006/relationships/hyperlink" Target="https://m.stock.naver.com/research/company/92631" TargetMode="External"/><Relationship Id="rId1455" Type="http://schemas.openxmlformats.org/officeDocument/2006/relationships/hyperlink" Target="https://m.stock.naver.com/research/company/91800" TargetMode="External"/><Relationship Id="rId2506" Type="http://schemas.openxmlformats.org/officeDocument/2006/relationships/hyperlink" Target="https://m.stock.naver.com/research/company/90748" TargetMode="External"/><Relationship Id="rId8068" Type="http://schemas.openxmlformats.org/officeDocument/2006/relationships/hyperlink" Target="https://m.stock.naver.com/research/company/85170" TargetMode="External"/><Relationship Id="rId9119" Type="http://schemas.openxmlformats.org/officeDocument/2006/relationships/hyperlink" Target="https://m.stock.naver.com/research/company/84111" TargetMode="External"/><Relationship Id="rId11049" Type="http://schemas.openxmlformats.org/officeDocument/2006/relationships/hyperlink" Target="https://m.stock.naver.com/research/company/82171" TargetMode="External"/><Relationship Id="rId1108" Type="http://schemas.openxmlformats.org/officeDocument/2006/relationships/hyperlink" Target="https://m.stock.naver.com/research/company/92147" TargetMode="External"/><Relationship Id="rId4678" Type="http://schemas.openxmlformats.org/officeDocument/2006/relationships/hyperlink" Target="https://m.stock.naver.com/research/company/88562" TargetMode="External"/><Relationship Id="rId5729" Type="http://schemas.openxmlformats.org/officeDocument/2006/relationships/hyperlink" Target="https://m.stock.naver.com/research/company/87511" TargetMode="External"/><Relationship Id="rId7151" Type="http://schemas.openxmlformats.org/officeDocument/2006/relationships/hyperlink" Target="https://m.stock.naver.com/research/company/86088" TargetMode="External"/><Relationship Id="rId8202" Type="http://schemas.openxmlformats.org/officeDocument/2006/relationships/hyperlink" Target="https://m.stock.naver.com/research/company/85036" TargetMode="External"/><Relationship Id="rId9600" Type="http://schemas.openxmlformats.org/officeDocument/2006/relationships/hyperlink" Target="https://m.stock.naver.com/research/company/83627" TargetMode="External"/><Relationship Id="rId11530" Type="http://schemas.openxmlformats.org/officeDocument/2006/relationships/hyperlink" Target="https://m.stock.naver.com/research/company/81685" TargetMode="External"/><Relationship Id="rId10132" Type="http://schemas.openxmlformats.org/officeDocument/2006/relationships/hyperlink" Target="https://m.stock.naver.com/research/company/83089" TargetMode="External"/><Relationship Id="rId14753" Type="http://schemas.openxmlformats.org/officeDocument/2006/relationships/hyperlink" Target="https://m.stock.naver.com/research/company/94647" TargetMode="External"/><Relationship Id="rId3761" Type="http://schemas.openxmlformats.org/officeDocument/2006/relationships/hyperlink" Target="https://m.stock.naver.com/research/company/89490" TargetMode="External"/><Relationship Id="rId4812" Type="http://schemas.openxmlformats.org/officeDocument/2006/relationships/hyperlink" Target="https://m.stock.naver.com/research/company/88428" TargetMode="External"/><Relationship Id="rId13355" Type="http://schemas.openxmlformats.org/officeDocument/2006/relationships/hyperlink" Target="https://m.stock.naver.com/research/company/79850" TargetMode="External"/><Relationship Id="rId14406" Type="http://schemas.openxmlformats.org/officeDocument/2006/relationships/hyperlink" Target="https://m.stock.naver.com/research/company/94277" TargetMode="External"/><Relationship Id="rId682" Type="http://schemas.openxmlformats.org/officeDocument/2006/relationships/hyperlink" Target="https://m.stock.naver.com/research/company/92774" TargetMode="External"/><Relationship Id="rId2363" Type="http://schemas.openxmlformats.org/officeDocument/2006/relationships/hyperlink" Target="https://m.stock.naver.com/research/company/90891" TargetMode="External"/><Relationship Id="rId3414" Type="http://schemas.openxmlformats.org/officeDocument/2006/relationships/hyperlink" Target="https://m.stock.naver.com/research/company/89837" TargetMode="External"/><Relationship Id="rId6984" Type="http://schemas.openxmlformats.org/officeDocument/2006/relationships/hyperlink" Target="https://m.stock.naver.com/research/company/86255" TargetMode="External"/><Relationship Id="rId13008" Type="http://schemas.openxmlformats.org/officeDocument/2006/relationships/hyperlink" Target="https://m.stock.naver.com/research/company/80200" TargetMode="External"/><Relationship Id="rId335" Type="http://schemas.openxmlformats.org/officeDocument/2006/relationships/hyperlink" Target="https://m.stock.naver.com/research/company/93123" TargetMode="External"/><Relationship Id="rId2016" Type="http://schemas.openxmlformats.org/officeDocument/2006/relationships/hyperlink" Target="https://m.stock.naver.com/research/company/91239" TargetMode="External"/><Relationship Id="rId5586" Type="http://schemas.openxmlformats.org/officeDocument/2006/relationships/hyperlink" Target="https://m.stock.naver.com/research/company/87654" TargetMode="External"/><Relationship Id="rId6637" Type="http://schemas.openxmlformats.org/officeDocument/2006/relationships/hyperlink" Target="https://m.stock.naver.com/research/company/86603" TargetMode="External"/><Relationship Id="rId4188" Type="http://schemas.openxmlformats.org/officeDocument/2006/relationships/hyperlink" Target="https://m.stock.naver.com/research/company/89054" TargetMode="External"/><Relationship Id="rId5239" Type="http://schemas.openxmlformats.org/officeDocument/2006/relationships/hyperlink" Target="https://m.stock.naver.com/research/company/88001" TargetMode="External"/><Relationship Id="rId9110" Type="http://schemas.openxmlformats.org/officeDocument/2006/relationships/hyperlink" Target="https://m.stock.naver.com/research/company/84120" TargetMode="External"/><Relationship Id="rId11040" Type="http://schemas.openxmlformats.org/officeDocument/2006/relationships/hyperlink" Target="https://m.stock.naver.com/research/company/82180" TargetMode="External"/><Relationship Id="rId15661" Type="http://schemas.openxmlformats.org/officeDocument/2006/relationships/hyperlink" Target="https://m.stock.naver.com/research/company/95753" TargetMode="External"/><Relationship Id="rId1849" Type="http://schemas.openxmlformats.org/officeDocument/2006/relationships/hyperlink" Target="https://m.stock.naver.com/research/company/91406" TargetMode="External"/><Relationship Id="rId5720" Type="http://schemas.openxmlformats.org/officeDocument/2006/relationships/hyperlink" Target="https://m.stock.naver.com/research/company/87520" TargetMode="External"/><Relationship Id="rId14263" Type="http://schemas.openxmlformats.org/officeDocument/2006/relationships/hyperlink" Target="https://m.stock.naver.com/research/company/94135" TargetMode="External"/><Relationship Id="rId15314" Type="http://schemas.openxmlformats.org/officeDocument/2006/relationships/hyperlink" Target="https://m.stock.naver.com/research/company/95274" TargetMode="External"/><Relationship Id="rId192" Type="http://schemas.openxmlformats.org/officeDocument/2006/relationships/hyperlink" Target="https://m.stock.naver.com/research/company/93266" TargetMode="External"/><Relationship Id="rId3271" Type="http://schemas.openxmlformats.org/officeDocument/2006/relationships/hyperlink" Target="https://m.stock.naver.com/research/company/89979" TargetMode="External"/><Relationship Id="rId4322" Type="http://schemas.openxmlformats.org/officeDocument/2006/relationships/hyperlink" Target="https://m.stock.naver.com/research/company/88919" TargetMode="External"/><Relationship Id="rId7892" Type="http://schemas.openxmlformats.org/officeDocument/2006/relationships/hyperlink" Target="https://m.stock.naver.com/research/company/85346" TargetMode="External"/><Relationship Id="rId8943" Type="http://schemas.openxmlformats.org/officeDocument/2006/relationships/hyperlink" Target="https://m.stock.naver.com/research/company/84290" TargetMode="External"/><Relationship Id="rId10873" Type="http://schemas.openxmlformats.org/officeDocument/2006/relationships/hyperlink" Target="https://m.stock.naver.com/research/company/82347" TargetMode="External"/><Relationship Id="rId6494" Type="http://schemas.openxmlformats.org/officeDocument/2006/relationships/hyperlink" Target="https://m.stock.naver.com/research/company/86746" TargetMode="External"/><Relationship Id="rId7545" Type="http://schemas.openxmlformats.org/officeDocument/2006/relationships/hyperlink" Target="https://m.stock.naver.com/research/company/85694" TargetMode="External"/><Relationship Id="rId10526" Type="http://schemas.openxmlformats.org/officeDocument/2006/relationships/hyperlink" Target="https://m.stock.naver.com/research/company/82694" TargetMode="External"/><Relationship Id="rId11924" Type="http://schemas.openxmlformats.org/officeDocument/2006/relationships/hyperlink" Target="https://m.stock.naver.com/research/company/81287" TargetMode="External"/><Relationship Id="rId5096" Type="http://schemas.openxmlformats.org/officeDocument/2006/relationships/hyperlink" Target="https://m.stock.naver.com/research/company/88144" TargetMode="External"/><Relationship Id="rId6147" Type="http://schemas.openxmlformats.org/officeDocument/2006/relationships/hyperlink" Target="https://m.stock.naver.com/research/company/87093" TargetMode="External"/><Relationship Id="rId12698" Type="http://schemas.openxmlformats.org/officeDocument/2006/relationships/hyperlink" Target="https://m.stock.naver.com/research/company/80510" TargetMode="External"/><Relationship Id="rId13749" Type="http://schemas.openxmlformats.org/officeDocument/2006/relationships/hyperlink" Target="https://m.stock.naver.com/research/company/93536" TargetMode="External"/><Relationship Id="rId15171" Type="http://schemas.openxmlformats.org/officeDocument/2006/relationships/hyperlink" Target="https://m.stock.naver.com/research/company/95189" TargetMode="External"/><Relationship Id="rId729" Type="http://schemas.openxmlformats.org/officeDocument/2006/relationships/hyperlink" Target="https://m.stock.naver.com/research/company/92727" TargetMode="External"/><Relationship Id="rId1359" Type="http://schemas.openxmlformats.org/officeDocument/2006/relationships/hyperlink" Target="https://m.stock.naver.com/research/company/91896" TargetMode="External"/><Relationship Id="rId2757" Type="http://schemas.openxmlformats.org/officeDocument/2006/relationships/hyperlink" Target="https://m.stock.naver.com/research/company/90497" TargetMode="External"/><Relationship Id="rId3808" Type="http://schemas.openxmlformats.org/officeDocument/2006/relationships/hyperlink" Target="https://m.stock.naver.com/research/company/89443" TargetMode="External"/><Relationship Id="rId5230" Type="http://schemas.openxmlformats.org/officeDocument/2006/relationships/hyperlink" Target="https://m.stock.naver.com/research/company/88010" TargetMode="External"/><Relationship Id="rId9851" Type="http://schemas.openxmlformats.org/officeDocument/2006/relationships/hyperlink" Target="https://m.stock.naver.com/research/company/83371" TargetMode="External"/><Relationship Id="rId11781" Type="http://schemas.openxmlformats.org/officeDocument/2006/relationships/hyperlink" Target="https://m.stock.naver.com/research/company/81431" TargetMode="External"/><Relationship Id="rId12832" Type="http://schemas.openxmlformats.org/officeDocument/2006/relationships/hyperlink" Target="https://m.stock.naver.com/research/company/80376" TargetMode="External"/><Relationship Id="rId65" Type="http://schemas.openxmlformats.org/officeDocument/2006/relationships/hyperlink" Target="https://m.stock.naver.com/research/company/93393" TargetMode="External"/><Relationship Id="rId1840" Type="http://schemas.openxmlformats.org/officeDocument/2006/relationships/hyperlink" Target="https://m.stock.naver.com/research/company/91415" TargetMode="External"/><Relationship Id="rId8453" Type="http://schemas.openxmlformats.org/officeDocument/2006/relationships/hyperlink" Target="https://m.stock.naver.com/research/company/84784" TargetMode="External"/><Relationship Id="rId9504" Type="http://schemas.openxmlformats.org/officeDocument/2006/relationships/hyperlink" Target="https://m.stock.naver.com/research/company/83723" TargetMode="External"/><Relationship Id="rId10383" Type="http://schemas.openxmlformats.org/officeDocument/2006/relationships/hyperlink" Target="https://m.stock.naver.com/research/company/82838" TargetMode="External"/><Relationship Id="rId11434" Type="http://schemas.openxmlformats.org/officeDocument/2006/relationships/hyperlink" Target="https://m.stock.naver.com/research/company/81781" TargetMode="External"/><Relationship Id="rId7055" Type="http://schemas.openxmlformats.org/officeDocument/2006/relationships/hyperlink" Target="https://m.stock.naver.com/research/company/86184" TargetMode="External"/><Relationship Id="rId8106" Type="http://schemas.openxmlformats.org/officeDocument/2006/relationships/hyperlink" Target="https://m.stock.naver.com/research/company/85132" TargetMode="External"/><Relationship Id="rId10036" Type="http://schemas.openxmlformats.org/officeDocument/2006/relationships/hyperlink" Target="https://m.stock.naver.com/research/company/83185" TargetMode="External"/><Relationship Id="rId14657" Type="http://schemas.openxmlformats.org/officeDocument/2006/relationships/hyperlink" Target="https://m.stock.naver.com/research/company/94521" TargetMode="External"/><Relationship Id="rId3665" Type="http://schemas.openxmlformats.org/officeDocument/2006/relationships/hyperlink" Target="https://m.stock.naver.com/research/company/89586" TargetMode="External"/><Relationship Id="rId4716" Type="http://schemas.openxmlformats.org/officeDocument/2006/relationships/hyperlink" Target="https://m.stock.naver.com/research/company/88524" TargetMode="External"/><Relationship Id="rId13259" Type="http://schemas.openxmlformats.org/officeDocument/2006/relationships/hyperlink" Target="https://m.stock.naver.com/research/company/79947" TargetMode="External"/><Relationship Id="rId15708" Type="http://schemas.openxmlformats.org/officeDocument/2006/relationships/hyperlink" Target="https://m.stock.naver.com/research/company/95706" TargetMode="External"/><Relationship Id="rId586" Type="http://schemas.openxmlformats.org/officeDocument/2006/relationships/hyperlink" Target="https://m.stock.naver.com/research/company/92871" TargetMode="External"/><Relationship Id="rId2267" Type="http://schemas.openxmlformats.org/officeDocument/2006/relationships/hyperlink" Target="https://m.stock.naver.com/research/company/90988" TargetMode="External"/><Relationship Id="rId3318" Type="http://schemas.openxmlformats.org/officeDocument/2006/relationships/hyperlink" Target="https://m.stock.naver.com/research/company/89932" TargetMode="External"/><Relationship Id="rId6888" Type="http://schemas.openxmlformats.org/officeDocument/2006/relationships/hyperlink" Target="https://m.stock.naver.com/research/company/86351" TargetMode="External"/><Relationship Id="rId239" Type="http://schemas.openxmlformats.org/officeDocument/2006/relationships/hyperlink" Target="https://m.stock.naver.com/research/company/93219" TargetMode="External"/><Relationship Id="rId7939" Type="http://schemas.openxmlformats.org/officeDocument/2006/relationships/hyperlink" Target="https://m.stock.naver.com/research/company/85299" TargetMode="External"/><Relationship Id="rId9361" Type="http://schemas.openxmlformats.org/officeDocument/2006/relationships/hyperlink" Target="https://m.stock.naver.com/research/company/83866" TargetMode="External"/><Relationship Id="rId13740" Type="http://schemas.openxmlformats.org/officeDocument/2006/relationships/hyperlink" Target="https://m.stock.naver.com/research/company/93499" TargetMode="External"/><Relationship Id="rId9014" Type="http://schemas.openxmlformats.org/officeDocument/2006/relationships/hyperlink" Target="https://m.stock.naver.com/research/company/84218" TargetMode="External"/><Relationship Id="rId11291" Type="http://schemas.openxmlformats.org/officeDocument/2006/relationships/hyperlink" Target="https://m.stock.naver.com/research/company/81928" TargetMode="External"/><Relationship Id="rId12342" Type="http://schemas.openxmlformats.org/officeDocument/2006/relationships/hyperlink" Target="https://m.stock.naver.com/research/company/80867" TargetMode="External"/><Relationship Id="rId720" Type="http://schemas.openxmlformats.org/officeDocument/2006/relationships/hyperlink" Target="https://m.stock.naver.com/research/company/92736" TargetMode="External"/><Relationship Id="rId1350" Type="http://schemas.openxmlformats.org/officeDocument/2006/relationships/hyperlink" Target="https://m.stock.naver.com/research/company/91905" TargetMode="External"/><Relationship Id="rId2401" Type="http://schemas.openxmlformats.org/officeDocument/2006/relationships/hyperlink" Target="https://m.stock.naver.com/research/company/90853" TargetMode="External"/><Relationship Id="rId5971" Type="http://schemas.openxmlformats.org/officeDocument/2006/relationships/hyperlink" Target="https://m.stock.naver.com/research/company/87269" TargetMode="External"/><Relationship Id="rId15565" Type="http://schemas.openxmlformats.org/officeDocument/2006/relationships/hyperlink" Target="https://m.stock.naver.com/research/company/95471" TargetMode="External"/><Relationship Id="rId1003" Type="http://schemas.openxmlformats.org/officeDocument/2006/relationships/hyperlink" Target="https://m.stock.naver.com/research/company/92453" TargetMode="External"/><Relationship Id="rId4573" Type="http://schemas.openxmlformats.org/officeDocument/2006/relationships/hyperlink" Target="https://m.stock.naver.com/research/company/88667" TargetMode="External"/><Relationship Id="rId5624" Type="http://schemas.openxmlformats.org/officeDocument/2006/relationships/hyperlink" Target="https://m.stock.naver.com/research/company/87616" TargetMode="External"/><Relationship Id="rId14167" Type="http://schemas.openxmlformats.org/officeDocument/2006/relationships/hyperlink" Target="https://m.stock.naver.com/research/company/93961" TargetMode="External"/><Relationship Id="rId15218" Type="http://schemas.openxmlformats.org/officeDocument/2006/relationships/hyperlink" Target="https://m.stock.naver.com/research/company/95142" TargetMode="External"/><Relationship Id="rId3175" Type="http://schemas.openxmlformats.org/officeDocument/2006/relationships/hyperlink" Target="https://m.stock.naver.com/research/company/90076" TargetMode="External"/><Relationship Id="rId4226" Type="http://schemas.openxmlformats.org/officeDocument/2006/relationships/hyperlink" Target="https://m.stock.naver.com/research/company/89016" TargetMode="External"/><Relationship Id="rId7796" Type="http://schemas.openxmlformats.org/officeDocument/2006/relationships/hyperlink" Target="https://m.stock.naver.com/research/company/85442" TargetMode="External"/><Relationship Id="rId8847" Type="http://schemas.openxmlformats.org/officeDocument/2006/relationships/hyperlink" Target="https://m.stock.naver.com/research/company/84390" TargetMode="External"/><Relationship Id="rId6398" Type="http://schemas.openxmlformats.org/officeDocument/2006/relationships/hyperlink" Target="https://m.stock.naver.com/research/company/86842" TargetMode="External"/><Relationship Id="rId7449" Type="http://schemas.openxmlformats.org/officeDocument/2006/relationships/hyperlink" Target="https://m.stock.naver.com/research/company/85790" TargetMode="External"/><Relationship Id="rId10777" Type="http://schemas.openxmlformats.org/officeDocument/2006/relationships/hyperlink" Target="https://m.stock.naver.com/research/company/82443" TargetMode="External"/><Relationship Id="rId11828" Type="http://schemas.openxmlformats.org/officeDocument/2006/relationships/hyperlink" Target="https://m.stock.naver.com/research/company/81384" TargetMode="External"/><Relationship Id="rId13250" Type="http://schemas.openxmlformats.org/officeDocument/2006/relationships/hyperlink" Target="https://m.stock.naver.com/research/company/79957" TargetMode="External"/><Relationship Id="rId14301" Type="http://schemas.openxmlformats.org/officeDocument/2006/relationships/hyperlink" Target="https://m.stock.naver.com/research/company/94163" TargetMode="External"/><Relationship Id="rId230" Type="http://schemas.openxmlformats.org/officeDocument/2006/relationships/hyperlink" Target="https://m.stock.naver.com/research/company/93228" TargetMode="External"/><Relationship Id="rId7930" Type="http://schemas.openxmlformats.org/officeDocument/2006/relationships/hyperlink" Target="https://m.stock.naver.com/research/company/85308" TargetMode="External"/><Relationship Id="rId10911" Type="http://schemas.openxmlformats.org/officeDocument/2006/relationships/hyperlink" Target="https://m.stock.naver.com/research/company/82309" TargetMode="External"/><Relationship Id="rId4083" Type="http://schemas.openxmlformats.org/officeDocument/2006/relationships/hyperlink" Target="https://m.stock.naver.com/research/company/89168" TargetMode="External"/><Relationship Id="rId5481" Type="http://schemas.openxmlformats.org/officeDocument/2006/relationships/hyperlink" Target="https://m.stock.naver.com/research/company/87759" TargetMode="External"/><Relationship Id="rId6532" Type="http://schemas.openxmlformats.org/officeDocument/2006/relationships/hyperlink" Target="https://m.stock.naver.com/research/company/86708" TargetMode="External"/><Relationship Id="rId15075" Type="http://schemas.openxmlformats.org/officeDocument/2006/relationships/hyperlink" Target="https://m.stock.naver.com/research/company/95019" TargetMode="External"/><Relationship Id="rId5134" Type="http://schemas.openxmlformats.org/officeDocument/2006/relationships/hyperlink" Target="https://m.stock.naver.com/research/company/88106" TargetMode="External"/><Relationship Id="rId9755" Type="http://schemas.openxmlformats.org/officeDocument/2006/relationships/hyperlink" Target="https://m.stock.naver.com/research/company/83468" TargetMode="External"/><Relationship Id="rId11685" Type="http://schemas.openxmlformats.org/officeDocument/2006/relationships/hyperlink" Target="https://m.stock.naver.com/research/company/81527" TargetMode="External"/><Relationship Id="rId12736" Type="http://schemas.openxmlformats.org/officeDocument/2006/relationships/hyperlink" Target="https://m.stock.naver.com/research/company/80472" TargetMode="External"/><Relationship Id="rId1744" Type="http://schemas.openxmlformats.org/officeDocument/2006/relationships/hyperlink" Target="https://m.stock.naver.com/research/company/91511" TargetMode="External"/><Relationship Id="rId8357" Type="http://schemas.openxmlformats.org/officeDocument/2006/relationships/hyperlink" Target="https://m.stock.naver.com/research/company/84881" TargetMode="External"/><Relationship Id="rId9408" Type="http://schemas.openxmlformats.org/officeDocument/2006/relationships/hyperlink" Target="https://m.stock.naver.com/research/company/83819" TargetMode="External"/><Relationship Id="rId10287" Type="http://schemas.openxmlformats.org/officeDocument/2006/relationships/hyperlink" Target="https://m.stock.naver.com/research/company/82934" TargetMode="External"/><Relationship Id="rId11338" Type="http://schemas.openxmlformats.org/officeDocument/2006/relationships/hyperlink" Target="https://m.stock.naver.com/research/company/81878" TargetMode="External"/><Relationship Id="rId4967" Type="http://schemas.openxmlformats.org/officeDocument/2006/relationships/hyperlink" Target="https://m.stock.naver.com/research/company/88273" TargetMode="External"/><Relationship Id="rId3569" Type="http://schemas.openxmlformats.org/officeDocument/2006/relationships/hyperlink" Target="https://m.stock.naver.com/research/company/89682" TargetMode="External"/><Relationship Id="rId7440" Type="http://schemas.openxmlformats.org/officeDocument/2006/relationships/hyperlink" Target="https://m.stock.naver.com/research/company/85799" TargetMode="External"/><Relationship Id="rId6042" Type="http://schemas.openxmlformats.org/officeDocument/2006/relationships/hyperlink" Target="https://m.stock.naver.com/research/company/87198" TargetMode="External"/><Relationship Id="rId10421" Type="http://schemas.openxmlformats.org/officeDocument/2006/relationships/hyperlink" Target="https://m.stock.naver.com/research/company/82800" TargetMode="External"/><Relationship Id="rId13991" Type="http://schemas.openxmlformats.org/officeDocument/2006/relationships/hyperlink" Target="https://m.stock.naver.com/research/company/93741" TargetMode="External"/><Relationship Id="rId12593" Type="http://schemas.openxmlformats.org/officeDocument/2006/relationships/hyperlink" Target="https://m.stock.naver.com/research/company/80615" TargetMode="External"/><Relationship Id="rId13644" Type="http://schemas.openxmlformats.org/officeDocument/2006/relationships/hyperlink" Target="https://m.stock.naver.com/research/company/79560" TargetMode="External"/><Relationship Id="rId971" Type="http://schemas.openxmlformats.org/officeDocument/2006/relationships/hyperlink" Target="https://m.stock.naver.com/research/company/92485" TargetMode="External"/><Relationship Id="rId2652" Type="http://schemas.openxmlformats.org/officeDocument/2006/relationships/hyperlink" Target="https://m.stock.naver.com/research/company/90602" TargetMode="External"/><Relationship Id="rId3703" Type="http://schemas.openxmlformats.org/officeDocument/2006/relationships/hyperlink" Target="https://m.stock.naver.com/research/company/89548" TargetMode="External"/><Relationship Id="rId9265" Type="http://schemas.openxmlformats.org/officeDocument/2006/relationships/hyperlink" Target="https://m.stock.naver.com/research/company/83963" TargetMode="External"/><Relationship Id="rId11195" Type="http://schemas.openxmlformats.org/officeDocument/2006/relationships/hyperlink" Target="https://m.stock.naver.com/research/company/82025" TargetMode="External"/><Relationship Id="rId12246" Type="http://schemas.openxmlformats.org/officeDocument/2006/relationships/hyperlink" Target="https://m.stock.naver.com/research/company/80963" TargetMode="External"/><Relationship Id="rId624" Type="http://schemas.openxmlformats.org/officeDocument/2006/relationships/hyperlink" Target="https://m.stock.naver.com/research/company/92832" TargetMode="External"/><Relationship Id="rId1254" Type="http://schemas.openxmlformats.org/officeDocument/2006/relationships/hyperlink" Target="https://m.stock.naver.com/research/company/92001" TargetMode="External"/><Relationship Id="rId2305" Type="http://schemas.openxmlformats.org/officeDocument/2006/relationships/hyperlink" Target="https://m.stock.naver.com/research/company/90950" TargetMode="External"/><Relationship Id="rId5875" Type="http://schemas.openxmlformats.org/officeDocument/2006/relationships/hyperlink" Target="https://m.stock.naver.com/research/company/87365" TargetMode="External"/><Relationship Id="rId6926" Type="http://schemas.openxmlformats.org/officeDocument/2006/relationships/hyperlink" Target="https://m.stock.naver.com/research/company/86313" TargetMode="External"/><Relationship Id="rId15469" Type="http://schemas.openxmlformats.org/officeDocument/2006/relationships/hyperlink" Target="https://m.stock.naver.com/research/company/95318" TargetMode="External"/><Relationship Id="rId4477" Type="http://schemas.openxmlformats.org/officeDocument/2006/relationships/hyperlink" Target="https://m.stock.naver.com/research/company/88763" TargetMode="External"/><Relationship Id="rId5528" Type="http://schemas.openxmlformats.org/officeDocument/2006/relationships/hyperlink" Target="https://m.stock.naver.com/research/company/87712" TargetMode="External"/><Relationship Id="rId3079" Type="http://schemas.openxmlformats.org/officeDocument/2006/relationships/hyperlink" Target="https://m.stock.naver.com/research/company/90172" TargetMode="External"/><Relationship Id="rId8001" Type="http://schemas.openxmlformats.org/officeDocument/2006/relationships/hyperlink" Target="https://m.stock.naver.com/research/company/85237" TargetMode="External"/><Relationship Id="rId14552" Type="http://schemas.openxmlformats.org/officeDocument/2006/relationships/hyperlink" Target="https://m.stock.naver.com/research/company/94358" TargetMode="External"/><Relationship Id="rId15603" Type="http://schemas.openxmlformats.org/officeDocument/2006/relationships/hyperlink" Target="https://m.stock.naver.com/research/company/95433" TargetMode="External"/><Relationship Id="rId481" Type="http://schemas.openxmlformats.org/officeDocument/2006/relationships/hyperlink" Target="https://m.stock.naver.com/research/company/92976" TargetMode="External"/><Relationship Id="rId2162" Type="http://schemas.openxmlformats.org/officeDocument/2006/relationships/hyperlink" Target="https://m.stock.naver.com/research/company/91093" TargetMode="External"/><Relationship Id="rId3560" Type="http://schemas.openxmlformats.org/officeDocument/2006/relationships/hyperlink" Target="https://m.stock.naver.com/research/company/89691" TargetMode="External"/><Relationship Id="rId4611" Type="http://schemas.openxmlformats.org/officeDocument/2006/relationships/hyperlink" Target="https://m.stock.naver.com/research/company/88629" TargetMode="External"/><Relationship Id="rId13154" Type="http://schemas.openxmlformats.org/officeDocument/2006/relationships/hyperlink" Target="https://m.stock.naver.com/research/company/80053" TargetMode="External"/><Relationship Id="rId14205" Type="http://schemas.openxmlformats.org/officeDocument/2006/relationships/hyperlink" Target="https://m.stock.naver.com/research/company/94053" TargetMode="External"/><Relationship Id="rId134" Type="http://schemas.openxmlformats.org/officeDocument/2006/relationships/hyperlink" Target="https://m.stock.naver.com/research/company/93324" TargetMode="External"/><Relationship Id="rId3213" Type="http://schemas.openxmlformats.org/officeDocument/2006/relationships/hyperlink" Target="https://m.stock.naver.com/research/company/90038" TargetMode="External"/><Relationship Id="rId6783" Type="http://schemas.openxmlformats.org/officeDocument/2006/relationships/hyperlink" Target="https://m.stock.naver.com/research/company/86457" TargetMode="External"/><Relationship Id="rId7834" Type="http://schemas.openxmlformats.org/officeDocument/2006/relationships/hyperlink" Target="https://m.stock.naver.com/research/company/85404" TargetMode="External"/><Relationship Id="rId10815" Type="http://schemas.openxmlformats.org/officeDocument/2006/relationships/hyperlink" Target="https://m.stock.naver.com/research/company/82405" TargetMode="External"/><Relationship Id="rId5385" Type="http://schemas.openxmlformats.org/officeDocument/2006/relationships/hyperlink" Target="https://m.stock.naver.com/research/company/87855" TargetMode="External"/><Relationship Id="rId6436" Type="http://schemas.openxmlformats.org/officeDocument/2006/relationships/hyperlink" Target="https://m.stock.naver.com/research/company/86804" TargetMode="External"/><Relationship Id="rId1995" Type="http://schemas.openxmlformats.org/officeDocument/2006/relationships/hyperlink" Target="https://m.stock.naver.com/research/company/91260" TargetMode="External"/><Relationship Id="rId5038" Type="http://schemas.openxmlformats.org/officeDocument/2006/relationships/hyperlink" Target="https://m.stock.naver.com/research/company/88202" TargetMode="External"/><Relationship Id="rId9659" Type="http://schemas.openxmlformats.org/officeDocument/2006/relationships/hyperlink" Target="https://m.stock.naver.com/research/company/83565" TargetMode="External"/><Relationship Id="rId11589" Type="http://schemas.openxmlformats.org/officeDocument/2006/relationships/hyperlink" Target="https://m.stock.naver.com/research/company/81623" TargetMode="External"/><Relationship Id="rId12987" Type="http://schemas.openxmlformats.org/officeDocument/2006/relationships/hyperlink" Target="https://m.stock.naver.com/research/company/80221" TargetMode="External"/><Relationship Id="rId15460" Type="http://schemas.openxmlformats.org/officeDocument/2006/relationships/hyperlink" Target="https://m.stock.naver.com/research/company/95327" TargetMode="External"/><Relationship Id="rId1648" Type="http://schemas.openxmlformats.org/officeDocument/2006/relationships/hyperlink" Target="https://m.stock.naver.com/research/company/91607" TargetMode="External"/><Relationship Id="rId14062" Type="http://schemas.openxmlformats.org/officeDocument/2006/relationships/hyperlink" Target="https://m.stock.naver.com/research/company/93861" TargetMode="External"/><Relationship Id="rId15113" Type="http://schemas.openxmlformats.org/officeDocument/2006/relationships/hyperlink" Target="https://m.stock.naver.com/research/company/94981" TargetMode="External"/><Relationship Id="rId3070" Type="http://schemas.openxmlformats.org/officeDocument/2006/relationships/hyperlink" Target="https://m.stock.naver.com/research/company/90181" TargetMode="External"/><Relationship Id="rId4121" Type="http://schemas.openxmlformats.org/officeDocument/2006/relationships/hyperlink" Target="https://m.stock.naver.com/research/company/89130" TargetMode="External"/><Relationship Id="rId6293" Type="http://schemas.openxmlformats.org/officeDocument/2006/relationships/hyperlink" Target="https://m.stock.naver.com/research/company/86947" TargetMode="External"/><Relationship Id="rId7691" Type="http://schemas.openxmlformats.org/officeDocument/2006/relationships/hyperlink" Target="https://m.stock.naver.com/research/company/85548" TargetMode="External"/><Relationship Id="rId8742" Type="http://schemas.openxmlformats.org/officeDocument/2006/relationships/hyperlink" Target="https://m.stock.naver.com/research/company/84495" TargetMode="External"/><Relationship Id="rId10672" Type="http://schemas.openxmlformats.org/officeDocument/2006/relationships/hyperlink" Target="https://m.stock.naver.com/research/company/82548" TargetMode="External"/><Relationship Id="rId11723" Type="http://schemas.openxmlformats.org/officeDocument/2006/relationships/hyperlink" Target="https://m.stock.naver.com/research/company/81489" TargetMode="External"/><Relationship Id="rId7344" Type="http://schemas.openxmlformats.org/officeDocument/2006/relationships/hyperlink" Target="https://m.stock.naver.com/research/company/85895" TargetMode="External"/><Relationship Id="rId10325" Type="http://schemas.openxmlformats.org/officeDocument/2006/relationships/hyperlink" Target="https://m.stock.naver.com/research/company/82896" TargetMode="External"/><Relationship Id="rId13895" Type="http://schemas.openxmlformats.org/officeDocument/2006/relationships/hyperlink" Target="https://m.stock.naver.com/research/company/93671" TargetMode="External"/><Relationship Id="rId14946" Type="http://schemas.openxmlformats.org/officeDocument/2006/relationships/hyperlink" Target="https://m.stock.naver.com/research/company/94888" TargetMode="External"/><Relationship Id="rId3954" Type="http://schemas.openxmlformats.org/officeDocument/2006/relationships/hyperlink" Target="https://m.stock.naver.com/research/company/89297" TargetMode="External"/><Relationship Id="rId12497" Type="http://schemas.openxmlformats.org/officeDocument/2006/relationships/hyperlink" Target="https://m.stock.naver.com/research/company/80711" TargetMode="External"/><Relationship Id="rId13548" Type="http://schemas.openxmlformats.org/officeDocument/2006/relationships/hyperlink" Target="https://m.stock.naver.com/research/company/79656" TargetMode="External"/><Relationship Id="rId875" Type="http://schemas.openxmlformats.org/officeDocument/2006/relationships/hyperlink" Target="https://m.stock.naver.com/research/company/92581" TargetMode="External"/><Relationship Id="rId2556" Type="http://schemas.openxmlformats.org/officeDocument/2006/relationships/hyperlink" Target="https://m.stock.naver.com/research/company/90698" TargetMode="External"/><Relationship Id="rId3607" Type="http://schemas.openxmlformats.org/officeDocument/2006/relationships/hyperlink" Target="https://m.stock.naver.com/research/company/89644" TargetMode="External"/><Relationship Id="rId9169" Type="http://schemas.openxmlformats.org/officeDocument/2006/relationships/hyperlink" Target="https://m.stock.naver.com/research/company/84061" TargetMode="External"/><Relationship Id="rId11099" Type="http://schemas.openxmlformats.org/officeDocument/2006/relationships/hyperlink" Target="https://m.stock.naver.com/research/company/82121" TargetMode="External"/><Relationship Id="rId528" Type="http://schemas.openxmlformats.org/officeDocument/2006/relationships/hyperlink" Target="https://m.stock.naver.com/research/company/92929" TargetMode="External"/><Relationship Id="rId1158" Type="http://schemas.openxmlformats.org/officeDocument/2006/relationships/hyperlink" Target="https://m.stock.naver.com/research/company/92097" TargetMode="External"/><Relationship Id="rId2209" Type="http://schemas.openxmlformats.org/officeDocument/2006/relationships/hyperlink" Target="https://m.stock.naver.com/research/company/91046" TargetMode="External"/><Relationship Id="rId5779" Type="http://schemas.openxmlformats.org/officeDocument/2006/relationships/hyperlink" Target="https://m.stock.naver.com/research/company/87461" TargetMode="External"/><Relationship Id="rId9650" Type="http://schemas.openxmlformats.org/officeDocument/2006/relationships/hyperlink" Target="https://m.stock.naver.com/research/company/83574" TargetMode="External"/><Relationship Id="rId8252" Type="http://schemas.openxmlformats.org/officeDocument/2006/relationships/hyperlink" Target="https://m.stock.naver.com/research/company/84986" TargetMode="External"/><Relationship Id="rId9303" Type="http://schemas.openxmlformats.org/officeDocument/2006/relationships/hyperlink" Target="https://m.stock.naver.com/research/company/83924" TargetMode="External"/><Relationship Id="rId11580" Type="http://schemas.openxmlformats.org/officeDocument/2006/relationships/hyperlink" Target="https://m.stock.naver.com/research/company/81633" TargetMode="External"/><Relationship Id="rId12631" Type="http://schemas.openxmlformats.org/officeDocument/2006/relationships/hyperlink" Target="https://m.stock.naver.com/research/company/80577" TargetMode="External"/><Relationship Id="rId10182" Type="http://schemas.openxmlformats.org/officeDocument/2006/relationships/hyperlink" Target="https://m.stock.naver.com/research/company/83039" TargetMode="External"/><Relationship Id="rId11233" Type="http://schemas.openxmlformats.org/officeDocument/2006/relationships/hyperlink" Target="https://m.stock.naver.com/research/company/81986" TargetMode="External"/><Relationship Id="rId4862" Type="http://schemas.openxmlformats.org/officeDocument/2006/relationships/hyperlink" Target="https://m.stock.naver.com/research/company/88378" TargetMode="External"/><Relationship Id="rId5913" Type="http://schemas.openxmlformats.org/officeDocument/2006/relationships/hyperlink" Target="https://m.stock.naver.com/research/company/87327" TargetMode="External"/><Relationship Id="rId14456" Type="http://schemas.openxmlformats.org/officeDocument/2006/relationships/hyperlink" Target="https://m.stock.naver.com/research/company/94454" TargetMode="External"/><Relationship Id="rId15507" Type="http://schemas.openxmlformats.org/officeDocument/2006/relationships/hyperlink" Target="https://m.stock.naver.com/research/company/95529" TargetMode="External"/><Relationship Id="rId3464" Type="http://schemas.openxmlformats.org/officeDocument/2006/relationships/hyperlink" Target="https://m.stock.naver.com/research/company/89787" TargetMode="External"/><Relationship Id="rId4515" Type="http://schemas.openxmlformats.org/officeDocument/2006/relationships/hyperlink" Target="https://m.stock.naver.com/research/company/88725" TargetMode="External"/><Relationship Id="rId13058" Type="http://schemas.openxmlformats.org/officeDocument/2006/relationships/hyperlink" Target="https://m.stock.naver.com/research/company/80149" TargetMode="External"/><Relationship Id="rId14109" Type="http://schemas.openxmlformats.org/officeDocument/2006/relationships/hyperlink" Target="https://m.stock.naver.com/research/company/93893" TargetMode="External"/><Relationship Id="rId385" Type="http://schemas.openxmlformats.org/officeDocument/2006/relationships/hyperlink" Target="https://m.stock.naver.com/research/company/93073" TargetMode="External"/><Relationship Id="rId2066" Type="http://schemas.openxmlformats.org/officeDocument/2006/relationships/hyperlink" Target="https://m.stock.naver.com/research/company/91189" TargetMode="External"/><Relationship Id="rId3117" Type="http://schemas.openxmlformats.org/officeDocument/2006/relationships/hyperlink" Target="https://m.stock.naver.com/research/company/90134" TargetMode="External"/><Relationship Id="rId6687" Type="http://schemas.openxmlformats.org/officeDocument/2006/relationships/hyperlink" Target="https://m.stock.naver.com/research/company/86553" TargetMode="External"/><Relationship Id="rId7738" Type="http://schemas.openxmlformats.org/officeDocument/2006/relationships/hyperlink" Target="https://m.stock.naver.com/research/company/85501" TargetMode="External"/><Relationship Id="rId5289" Type="http://schemas.openxmlformats.org/officeDocument/2006/relationships/hyperlink" Target="https://m.stock.naver.com/research/company/87951" TargetMode="External"/><Relationship Id="rId9160" Type="http://schemas.openxmlformats.org/officeDocument/2006/relationships/hyperlink" Target="https://m.stock.naver.com/research/company/84070" TargetMode="External"/><Relationship Id="rId10719" Type="http://schemas.openxmlformats.org/officeDocument/2006/relationships/hyperlink" Target="https://m.stock.naver.com/research/company/82501" TargetMode="External"/><Relationship Id="rId11090" Type="http://schemas.openxmlformats.org/officeDocument/2006/relationships/hyperlink" Target="https://m.stock.naver.com/research/company/82130" TargetMode="External"/><Relationship Id="rId12141" Type="http://schemas.openxmlformats.org/officeDocument/2006/relationships/hyperlink" Target="https://m.stock.naver.com/research/company/81070" TargetMode="External"/><Relationship Id="rId2200" Type="http://schemas.openxmlformats.org/officeDocument/2006/relationships/hyperlink" Target="https://m.stock.naver.com/research/company/91055" TargetMode="External"/><Relationship Id="rId1899" Type="http://schemas.openxmlformats.org/officeDocument/2006/relationships/hyperlink" Target="https://m.stock.naver.com/research/company/91356" TargetMode="External"/><Relationship Id="rId4372" Type="http://schemas.openxmlformats.org/officeDocument/2006/relationships/hyperlink" Target="https://m.stock.naver.com/research/company/88869" TargetMode="External"/><Relationship Id="rId5770" Type="http://schemas.openxmlformats.org/officeDocument/2006/relationships/hyperlink" Target="https://m.stock.naver.com/research/company/87470" TargetMode="External"/><Relationship Id="rId6821" Type="http://schemas.openxmlformats.org/officeDocument/2006/relationships/hyperlink" Target="https://m.stock.naver.com/research/company/86419" TargetMode="External"/><Relationship Id="rId15364" Type="http://schemas.openxmlformats.org/officeDocument/2006/relationships/hyperlink" Target="https://m.stock.naver.com/research/company/95224" TargetMode="External"/><Relationship Id="rId4025" Type="http://schemas.openxmlformats.org/officeDocument/2006/relationships/hyperlink" Target="https://m.stock.naver.com/research/company/89226" TargetMode="External"/><Relationship Id="rId5423" Type="http://schemas.openxmlformats.org/officeDocument/2006/relationships/hyperlink" Target="https://m.stock.naver.com/research/company/87817" TargetMode="External"/><Relationship Id="rId8993" Type="http://schemas.openxmlformats.org/officeDocument/2006/relationships/hyperlink" Target="https://m.stock.naver.com/research/company/84239" TargetMode="External"/><Relationship Id="rId11974" Type="http://schemas.openxmlformats.org/officeDocument/2006/relationships/hyperlink" Target="https://m.stock.naver.com/research/company/81237" TargetMode="External"/><Relationship Id="rId15017" Type="http://schemas.openxmlformats.org/officeDocument/2006/relationships/hyperlink" Target="https://m.stock.naver.com/research/company/94817" TargetMode="External"/><Relationship Id="rId7595" Type="http://schemas.openxmlformats.org/officeDocument/2006/relationships/hyperlink" Target="https://m.stock.naver.com/research/company/85644" TargetMode="External"/><Relationship Id="rId8646" Type="http://schemas.openxmlformats.org/officeDocument/2006/relationships/hyperlink" Target="https://m.stock.naver.com/research/company/84591" TargetMode="External"/><Relationship Id="rId10576" Type="http://schemas.openxmlformats.org/officeDocument/2006/relationships/hyperlink" Target="https://m.stock.naver.com/research/company/82644" TargetMode="External"/><Relationship Id="rId11627" Type="http://schemas.openxmlformats.org/officeDocument/2006/relationships/hyperlink" Target="https://m.stock.naver.com/research/company/81585" TargetMode="External"/><Relationship Id="rId6197" Type="http://schemas.openxmlformats.org/officeDocument/2006/relationships/hyperlink" Target="https://m.stock.naver.com/research/company/87043" TargetMode="External"/><Relationship Id="rId7248" Type="http://schemas.openxmlformats.org/officeDocument/2006/relationships/hyperlink" Target="https://m.stock.naver.com/research/company/85991" TargetMode="External"/><Relationship Id="rId10229" Type="http://schemas.openxmlformats.org/officeDocument/2006/relationships/hyperlink" Target="https://m.stock.naver.com/research/company/82992" TargetMode="External"/><Relationship Id="rId13799" Type="http://schemas.openxmlformats.org/officeDocument/2006/relationships/hyperlink" Target="https://m.stock.naver.com/research/company/93579" TargetMode="External"/><Relationship Id="rId14100" Type="http://schemas.openxmlformats.org/officeDocument/2006/relationships/hyperlink" Target="https://m.stock.naver.com/research/company/93902" TargetMode="External"/><Relationship Id="rId3858" Type="http://schemas.openxmlformats.org/officeDocument/2006/relationships/hyperlink" Target="https://m.stock.naver.com/research/company/89393" TargetMode="External"/><Relationship Id="rId4909" Type="http://schemas.openxmlformats.org/officeDocument/2006/relationships/hyperlink" Target="https://m.stock.naver.com/research/company/88331" TargetMode="External"/><Relationship Id="rId779" Type="http://schemas.openxmlformats.org/officeDocument/2006/relationships/hyperlink" Target="https://m.stock.naver.com/research/company/92677" TargetMode="External"/><Relationship Id="rId5280" Type="http://schemas.openxmlformats.org/officeDocument/2006/relationships/hyperlink" Target="https://m.stock.naver.com/research/company/87960" TargetMode="External"/><Relationship Id="rId6331" Type="http://schemas.openxmlformats.org/officeDocument/2006/relationships/hyperlink" Target="https://m.stock.naver.com/research/company/86909" TargetMode="External"/><Relationship Id="rId10710" Type="http://schemas.openxmlformats.org/officeDocument/2006/relationships/hyperlink" Target="https://m.stock.naver.com/research/company/82510" TargetMode="External"/><Relationship Id="rId12882" Type="http://schemas.openxmlformats.org/officeDocument/2006/relationships/hyperlink" Target="https://m.stock.naver.com/research/company/80326" TargetMode="External"/><Relationship Id="rId13933" Type="http://schemas.openxmlformats.org/officeDocument/2006/relationships/hyperlink" Target="https://m.stock.naver.com/research/company/93799" TargetMode="External"/><Relationship Id="rId1890" Type="http://schemas.openxmlformats.org/officeDocument/2006/relationships/hyperlink" Target="https://m.stock.naver.com/research/company/91365" TargetMode="External"/><Relationship Id="rId2941" Type="http://schemas.openxmlformats.org/officeDocument/2006/relationships/hyperlink" Target="https://m.stock.naver.com/research/company/90312" TargetMode="External"/><Relationship Id="rId8156" Type="http://schemas.openxmlformats.org/officeDocument/2006/relationships/hyperlink" Target="https://m.stock.naver.com/research/company/85082" TargetMode="External"/><Relationship Id="rId9207" Type="http://schemas.openxmlformats.org/officeDocument/2006/relationships/hyperlink" Target="https://m.stock.naver.com/research/company/84023" TargetMode="External"/><Relationship Id="rId9554" Type="http://schemas.openxmlformats.org/officeDocument/2006/relationships/hyperlink" Target="https://m.stock.naver.com/research/company/83673" TargetMode="External"/><Relationship Id="rId11484" Type="http://schemas.openxmlformats.org/officeDocument/2006/relationships/hyperlink" Target="https://m.stock.naver.com/research/company/81731" TargetMode="External"/><Relationship Id="rId12535" Type="http://schemas.openxmlformats.org/officeDocument/2006/relationships/hyperlink" Target="https://m.stock.naver.com/research/company/80673" TargetMode="External"/><Relationship Id="rId913" Type="http://schemas.openxmlformats.org/officeDocument/2006/relationships/hyperlink" Target="https://m.stock.naver.com/research/company/92543" TargetMode="External"/><Relationship Id="rId1543" Type="http://schemas.openxmlformats.org/officeDocument/2006/relationships/hyperlink" Target="https://m.stock.naver.com/research/company/91712" TargetMode="External"/><Relationship Id="rId10086" Type="http://schemas.openxmlformats.org/officeDocument/2006/relationships/hyperlink" Target="https://m.stock.naver.com/research/company/83135" TargetMode="External"/><Relationship Id="rId11137" Type="http://schemas.openxmlformats.org/officeDocument/2006/relationships/hyperlink" Target="https://m.stock.naver.com/research/company/82083" TargetMode="External"/><Relationship Id="rId4766" Type="http://schemas.openxmlformats.org/officeDocument/2006/relationships/hyperlink" Target="https://m.stock.naver.com/research/company/88474" TargetMode="External"/><Relationship Id="rId5817" Type="http://schemas.openxmlformats.org/officeDocument/2006/relationships/hyperlink" Target="https://m.stock.naver.com/research/company/87423" TargetMode="External"/><Relationship Id="rId3368" Type="http://schemas.openxmlformats.org/officeDocument/2006/relationships/hyperlink" Target="https://m.stock.naver.com/research/company/89883" TargetMode="External"/><Relationship Id="rId4419" Type="http://schemas.openxmlformats.org/officeDocument/2006/relationships/hyperlink" Target="https://m.stock.naver.com/research/company/88822" TargetMode="External"/><Relationship Id="rId7989" Type="http://schemas.openxmlformats.org/officeDocument/2006/relationships/hyperlink" Target="https://m.stock.naver.com/research/company/85249" TargetMode="External"/><Relationship Id="rId10220" Type="http://schemas.openxmlformats.org/officeDocument/2006/relationships/hyperlink" Target="https://m.stock.naver.com/research/company/83001" TargetMode="External"/><Relationship Id="rId289" Type="http://schemas.openxmlformats.org/officeDocument/2006/relationships/hyperlink" Target="https://m.stock.naver.com/research/company/93169" TargetMode="External"/><Relationship Id="rId12392" Type="http://schemas.openxmlformats.org/officeDocument/2006/relationships/hyperlink" Target="https://m.stock.naver.com/research/company/80817" TargetMode="External"/><Relationship Id="rId13790" Type="http://schemas.openxmlformats.org/officeDocument/2006/relationships/hyperlink" Target="https://m.stock.naver.com/research/company/93598" TargetMode="External"/><Relationship Id="rId14841" Type="http://schemas.openxmlformats.org/officeDocument/2006/relationships/hyperlink" Target="https://m.stock.naver.com/research/company/94783" TargetMode="External"/><Relationship Id="rId770" Type="http://schemas.openxmlformats.org/officeDocument/2006/relationships/hyperlink" Target="https://m.stock.naver.com/research/company/92686" TargetMode="External"/><Relationship Id="rId2451" Type="http://schemas.openxmlformats.org/officeDocument/2006/relationships/hyperlink" Target="https://m.stock.naver.com/research/company/90803" TargetMode="External"/><Relationship Id="rId4900" Type="http://schemas.openxmlformats.org/officeDocument/2006/relationships/hyperlink" Target="https://m.stock.naver.com/research/company/88340" TargetMode="External"/><Relationship Id="rId9064" Type="http://schemas.openxmlformats.org/officeDocument/2006/relationships/hyperlink" Target="https://m.stock.naver.com/research/company/84167" TargetMode="External"/><Relationship Id="rId12045" Type="http://schemas.openxmlformats.org/officeDocument/2006/relationships/hyperlink" Target="https://m.stock.naver.com/research/company/81166" TargetMode="External"/><Relationship Id="rId13443" Type="http://schemas.openxmlformats.org/officeDocument/2006/relationships/hyperlink" Target="https://m.stock.naver.com/research/company/79761" TargetMode="External"/><Relationship Id="rId423" Type="http://schemas.openxmlformats.org/officeDocument/2006/relationships/hyperlink" Target="https://m.stock.naver.com/research/company/93034" TargetMode="External"/><Relationship Id="rId1053" Type="http://schemas.openxmlformats.org/officeDocument/2006/relationships/hyperlink" Target="https://m.stock.naver.com/research/company/92298" TargetMode="External"/><Relationship Id="rId2104" Type="http://schemas.openxmlformats.org/officeDocument/2006/relationships/hyperlink" Target="https://m.stock.naver.com/research/company/91151" TargetMode="External"/><Relationship Id="rId3502" Type="http://schemas.openxmlformats.org/officeDocument/2006/relationships/hyperlink" Target="https://m.stock.naver.com/research/company/89749" TargetMode="External"/><Relationship Id="rId5674" Type="http://schemas.openxmlformats.org/officeDocument/2006/relationships/hyperlink" Target="https://m.stock.naver.com/research/company/87566" TargetMode="External"/><Relationship Id="rId6725" Type="http://schemas.openxmlformats.org/officeDocument/2006/relationships/hyperlink" Target="https://m.stock.naver.com/research/company/86515" TargetMode="External"/><Relationship Id="rId15268" Type="http://schemas.openxmlformats.org/officeDocument/2006/relationships/hyperlink" Target="https://m.stock.naver.com/research/company/95092" TargetMode="External"/><Relationship Id="rId4276" Type="http://schemas.openxmlformats.org/officeDocument/2006/relationships/hyperlink" Target="https://m.stock.naver.com/research/company/88965" TargetMode="External"/><Relationship Id="rId5327" Type="http://schemas.openxmlformats.org/officeDocument/2006/relationships/hyperlink" Target="https://m.stock.naver.com/research/company/87913" TargetMode="External"/><Relationship Id="rId8897" Type="http://schemas.openxmlformats.org/officeDocument/2006/relationships/hyperlink" Target="https://m.stock.naver.com/research/company/84339" TargetMode="External"/><Relationship Id="rId9948" Type="http://schemas.openxmlformats.org/officeDocument/2006/relationships/hyperlink" Target="https://m.stock.naver.com/research/company/83274" TargetMode="External"/><Relationship Id="rId11878" Type="http://schemas.openxmlformats.org/officeDocument/2006/relationships/hyperlink" Target="https://m.stock.naver.com/research/company/81334" TargetMode="External"/><Relationship Id="rId1937" Type="http://schemas.openxmlformats.org/officeDocument/2006/relationships/hyperlink" Target="https://m.stock.naver.com/research/company/91318" TargetMode="External"/><Relationship Id="rId7499" Type="http://schemas.openxmlformats.org/officeDocument/2006/relationships/hyperlink" Target="https://m.stock.naver.com/research/company/85740" TargetMode="External"/><Relationship Id="rId12929" Type="http://schemas.openxmlformats.org/officeDocument/2006/relationships/hyperlink" Target="https://m.stock.naver.com/research/company/80279" TargetMode="External"/><Relationship Id="rId14351" Type="http://schemas.openxmlformats.org/officeDocument/2006/relationships/hyperlink" Target="https://m.stock.naver.com/research/company/94200" TargetMode="External"/><Relationship Id="rId15402" Type="http://schemas.openxmlformats.org/officeDocument/2006/relationships/hyperlink" Target="https://m.stock.naver.com/research/company/95385" TargetMode="External"/><Relationship Id="rId4410" Type="http://schemas.openxmlformats.org/officeDocument/2006/relationships/hyperlink" Target="https://m.stock.naver.com/research/company/88831" TargetMode="External"/><Relationship Id="rId14004" Type="http://schemas.openxmlformats.org/officeDocument/2006/relationships/hyperlink" Target="https://m.stock.naver.com/research/company/93728" TargetMode="External"/><Relationship Id="rId280" Type="http://schemas.openxmlformats.org/officeDocument/2006/relationships/hyperlink" Target="https://m.stock.naver.com/research/company/93178" TargetMode="External"/><Relationship Id="rId3012" Type="http://schemas.openxmlformats.org/officeDocument/2006/relationships/hyperlink" Target="https://m.stock.naver.com/research/company/90239" TargetMode="External"/><Relationship Id="rId6582" Type="http://schemas.openxmlformats.org/officeDocument/2006/relationships/hyperlink" Target="https://m.stock.naver.com/research/company/86658" TargetMode="External"/><Relationship Id="rId7980" Type="http://schemas.openxmlformats.org/officeDocument/2006/relationships/hyperlink" Target="https://m.stock.naver.com/research/company/85258" TargetMode="External"/><Relationship Id="rId10961" Type="http://schemas.openxmlformats.org/officeDocument/2006/relationships/hyperlink" Target="https://m.stock.naver.com/research/company/82259" TargetMode="External"/><Relationship Id="rId5184" Type="http://schemas.openxmlformats.org/officeDocument/2006/relationships/hyperlink" Target="https://m.stock.naver.com/research/company/88056" TargetMode="External"/><Relationship Id="rId6235" Type="http://schemas.openxmlformats.org/officeDocument/2006/relationships/hyperlink" Target="https://m.stock.naver.com/research/company/87005" TargetMode="External"/><Relationship Id="rId7633" Type="http://schemas.openxmlformats.org/officeDocument/2006/relationships/hyperlink" Target="https://m.stock.naver.com/research/company/85606" TargetMode="External"/><Relationship Id="rId10614" Type="http://schemas.openxmlformats.org/officeDocument/2006/relationships/hyperlink" Target="https://m.stock.naver.com/research/company/82606" TargetMode="External"/><Relationship Id="rId12786" Type="http://schemas.openxmlformats.org/officeDocument/2006/relationships/hyperlink" Target="https://m.stock.naver.com/research/company/80422" TargetMode="External"/><Relationship Id="rId13837" Type="http://schemas.openxmlformats.org/officeDocument/2006/relationships/hyperlink" Target="https://m.stock.naver.com/research/company/93645" TargetMode="External"/><Relationship Id="rId1794" Type="http://schemas.openxmlformats.org/officeDocument/2006/relationships/hyperlink" Target="https://m.stock.naver.com/research/company/91461" TargetMode="External"/><Relationship Id="rId2845" Type="http://schemas.openxmlformats.org/officeDocument/2006/relationships/hyperlink" Target="https://m.stock.naver.com/research/company/90408" TargetMode="External"/><Relationship Id="rId9458" Type="http://schemas.openxmlformats.org/officeDocument/2006/relationships/hyperlink" Target="https://m.stock.naver.com/research/company/83769" TargetMode="External"/><Relationship Id="rId11388" Type="http://schemas.openxmlformats.org/officeDocument/2006/relationships/hyperlink" Target="https://m.stock.naver.com/research/company/81827" TargetMode="External"/><Relationship Id="rId12439" Type="http://schemas.openxmlformats.org/officeDocument/2006/relationships/hyperlink" Target="https://m.stock.naver.com/research/company/80770" TargetMode="External"/><Relationship Id="rId817" Type="http://schemas.openxmlformats.org/officeDocument/2006/relationships/hyperlink" Target="https://m.stock.naver.com/research/company/92639" TargetMode="External"/><Relationship Id="rId1447" Type="http://schemas.openxmlformats.org/officeDocument/2006/relationships/hyperlink" Target="https://m.stock.naver.com/research/company/91808" TargetMode="External"/><Relationship Id="rId7490" Type="http://schemas.openxmlformats.org/officeDocument/2006/relationships/hyperlink" Target="https://m.stock.naver.com/research/company/85749" TargetMode="External"/><Relationship Id="rId8541" Type="http://schemas.openxmlformats.org/officeDocument/2006/relationships/hyperlink" Target="https://m.stock.naver.com/research/company/84696" TargetMode="External"/><Relationship Id="rId12920" Type="http://schemas.openxmlformats.org/officeDocument/2006/relationships/hyperlink" Target="https://m.stock.naver.com/research/company/80288" TargetMode="External"/><Relationship Id="rId6092" Type="http://schemas.openxmlformats.org/officeDocument/2006/relationships/hyperlink" Target="https://m.stock.naver.com/research/company/87148" TargetMode="External"/><Relationship Id="rId7143" Type="http://schemas.openxmlformats.org/officeDocument/2006/relationships/hyperlink" Target="https://m.stock.naver.com/research/company/86096" TargetMode="External"/><Relationship Id="rId10124" Type="http://schemas.openxmlformats.org/officeDocument/2006/relationships/hyperlink" Target="https://m.stock.naver.com/research/company/83097" TargetMode="External"/><Relationship Id="rId10471" Type="http://schemas.openxmlformats.org/officeDocument/2006/relationships/hyperlink" Target="https://m.stock.naver.com/research/company/82749" TargetMode="External"/><Relationship Id="rId11522" Type="http://schemas.openxmlformats.org/officeDocument/2006/relationships/hyperlink" Target="https://m.stock.naver.com/research/company/81693" TargetMode="External"/><Relationship Id="rId13694" Type="http://schemas.openxmlformats.org/officeDocument/2006/relationships/hyperlink" Target="https://m.stock.naver.com/research/company/93480" TargetMode="External"/><Relationship Id="rId14745" Type="http://schemas.openxmlformats.org/officeDocument/2006/relationships/hyperlink" Target="https://m.stock.naver.com/research/company/94655" TargetMode="External"/><Relationship Id="rId3753" Type="http://schemas.openxmlformats.org/officeDocument/2006/relationships/hyperlink" Target="https://m.stock.naver.com/research/company/89498" TargetMode="External"/><Relationship Id="rId4804" Type="http://schemas.openxmlformats.org/officeDocument/2006/relationships/hyperlink" Target="https://m.stock.naver.com/research/company/88436" TargetMode="External"/><Relationship Id="rId12296" Type="http://schemas.openxmlformats.org/officeDocument/2006/relationships/hyperlink" Target="https://m.stock.naver.com/research/company/80913" TargetMode="External"/><Relationship Id="rId13347" Type="http://schemas.openxmlformats.org/officeDocument/2006/relationships/hyperlink" Target="https://m.stock.naver.com/research/company/79858" TargetMode="External"/><Relationship Id="rId674" Type="http://schemas.openxmlformats.org/officeDocument/2006/relationships/hyperlink" Target="https://m.stock.naver.com/research/company/92782" TargetMode="External"/><Relationship Id="rId2355" Type="http://schemas.openxmlformats.org/officeDocument/2006/relationships/hyperlink" Target="https://m.stock.naver.com/research/company/90899" TargetMode="External"/><Relationship Id="rId3406" Type="http://schemas.openxmlformats.org/officeDocument/2006/relationships/hyperlink" Target="https://m.stock.naver.com/research/company/89845" TargetMode="External"/><Relationship Id="rId6976" Type="http://schemas.openxmlformats.org/officeDocument/2006/relationships/hyperlink" Target="https://m.stock.naver.com/research/company/86263" TargetMode="External"/><Relationship Id="rId327" Type="http://schemas.openxmlformats.org/officeDocument/2006/relationships/hyperlink" Target="https://m.stock.naver.com/research/company/93131" TargetMode="External"/><Relationship Id="rId2008" Type="http://schemas.openxmlformats.org/officeDocument/2006/relationships/hyperlink" Target="https://m.stock.naver.com/research/company/91247" TargetMode="External"/><Relationship Id="rId5578" Type="http://schemas.openxmlformats.org/officeDocument/2006/relationships/hyperlink" Target="https://m.stock.naver.com/research/company/87662" TargetMode="External"/><Relationship Id="rId6629" Type="http://schemas.openxmlformats.org/officeDocument/2006/relationships/hyperlink" Target="https://m.stock.naver.com/research/company/86611" TargetMode="External"/><Relationship Id="rId12430" Type="http://schemas.openxmlformats.org/officeDocument/2006/relationships/hyperlink" Target="https://m.stock.naver.com/research/company/80779" TargetMode="External"/><Relationship Id="rId8051" Type="http://schemas.openxmlformats.org/officeDocument/2006/relationships/hyperlink" Target="https://m.stock.naver.com/research/company/85187" TargetMode="External"/><Relationship Id="rId9102" Type="http://schemas.openxmlformats.org/officeDocument/2006/relationships/hyperlink" Target="https://m.stock.naver.com/research/company/84128" TargetMode="External"/><Relationship Id="rId11032" Type="http://schemas.openxmlformats.org/officeDocument/2006/relationships/hyperlink" Target="https://m.stock.naver.com/research/company/82188" TargetMode="External"/><Relationship Id="rId4661" Type="http://schemas.openxmlformats.org/officeDocument/2006/relationships/hyperlink" Target="https://m.stock.naver.com/research/company/88579" TargetMode="External"/><Relationship Id="rId14255" Type="http://schemas.openxmlformats.org/officeDocument/2006/relationships/hyperlink" Target="https://m.stock.naver.com/research/company/94088" TargetMode="External"/><Relationship Id="rId15653" Type="http://schemas.openxmlformats.org/officeDocument/2006/relationships/hyperlink" Target="https://m.stock.naver.com/research/company/95761" TargetMode="External"/><Relationship Id="rId3263" Type="http://schemas.openxmlformats.org/officeDocument/2006/relationships/hyperlink" Target="https://m.stock.naver.com/research/company/89987" TargetMode="External"/><Relationship Id="rId4314" Type="http://schemas.openxmlformats.org/officeDocument/2006/relationships/hyperlink" Target="https://m.stock.naver.com/research/company/88927" TargetMode="External"/><Relationship Id="rId5712" Type="http://schemas.openxmlformats.org/officeDocument/2006/relationships/hyperlink" Target="https://m.stock.naver.com/research/company/87528" TargetMode="External"/><Relationship Id="rId15306" Type="http://schemas.openxmlformats.org/officeDocument/2006/relationships/hyperlink" Target="https://m.stock.naver.com/research/company/95054" TargetMode="External"/><Relationship Id="rId184" Type="http://schemas.openxmlformats.org/officeDocument/2006/relationships/hyperlink" Target="https://m.stock.naver.com/research/company/93274" TargetMode="External"/><Relationship Id="rId7884" Type="http://schemas.openxmlformats.org/officeDocument/2006/relationships/hyperlink" Target="https://m.stock.naver.com/research/company/85354" TargetMode="External"/><Relationship Id="rId8935" Type="http://schemas.openxmlformats.org/officeDocument/2006/relationships/hyperlink" Target="https://m.stock.naver.com/research/company/84300" TargetMode="External"/><Relationship Id="rId10865" Type="http://schemas.openxmlformats.org/officeDocument/2006/relationships/hyperlink" Target="https://m.stock.naver.com/research/company/82355" TargetMode="External"/><Relationship Id="rId11916" Type="http://schemas.openxmlformats.org/officeDocument/2006/relationships/hyperlink" Target="https://m.stock.naver.com/research/company/81295" TargetMode="External"/><Relationship Id="rId5088" Type="http://schemas.openxmlformats.org/officeDocument/2006/relationships/hyperlink" Target="https://m.stock.naver.com/research/company/88152" TargetMode="External"/><Relationship Id="rId6139" Type="http://schemas.openxmlformats.org/officeDocument/2006/relationships/hyperlink" Target="https://m.stock.naver.com/research/company/87101" TargetMode="External"/><Relationship Id="rId6486" Type="http://schemas.openxmlformats.org/officeDocument/2006/relationships/hyperlink" Target="https://m.stock.naver.com/research/company/86754" TargetMode="External"/><Relationship Id="rId7537" Type="http://schemas.openxmlformats.org/officeDocument/2006/relationships/hyperlink" Target="https://m.stock.naver.com/research/company/85702" TargetMode="External"/><Relationship Id="rId10518" Type="http://schemas.openxmlformats.org/officeDocument/2006/relationships/hyperlink" Target="https://m.stock.naver.com/research/company/82702" TargetMode="External"/><Relationship Id="rId1698" Type="http://schemas.openxmlformats.org/officeDocument/2006/relationships/hyperlink" Target="https://m.stock.naver.com/research/company/91557" TargetMode="External"/><Relationship Id="rId2749" Type="http://schemas.openxmlformats.org/officeDocument/2006/relationships/hyperlink" Target="https://m.stock.naver.com/research/company/90505" TargetMode="External"/><Relationship Id="rId6620" Type="http://schemas.openxmlformats.org/officeDocument/2006/relationships/hyperlink" Target="https://m.stock.naver.com/research/company/86620" TargetMode="External"/><Relationship Id="rId15163" Type="http://schemas.openxmlformats.org/officeDocument/2006/relationships/hyperlink" Target="https://m.stock.naver.com/research/company/95197" TargetMode="External"/><Relationship Id="rId4171" Type="http://schemas.openxmlformats.org/officeDocument/2006/relationships/hyperlink" Target="https://m.stock.naver.com/research/company/89078" TargetMode="External"/><Relationship Id="rId5222" Type="http://schemas.openxmlformats.org/officeDocument/2006/relationships/hyperlink" Target="https://m.stock.naver.com/research/company/88018" TargetMode="External"/><Relationship Id="rId8792" Type="http://schemas.openxmlformats.org/officeDocument/2006/relationships/hyperlink" Target="https://m.stock.naver.com/research/company/84445" TargetMode="External"/><Relationship Id="rId57" Type="http://schemas.openxmlformats.org/officeDocument/2006/relationships/hyperlink" Target="https://m.stock.naver.com/research/company/93401" TargetMode="External"/><Relationship Id="rId7394" Type="http://schemas.openxmlformats.org/officeDocument/2006/relationships/hyperlink" Target="https://m.stock.naver.com/research/company/85845" TargetMode="External"/><Relationship Id="rId8445" Type="http://schemas.openxmlformats.org/officeDocument/2006/relationships/hyperlink" Target="https://m.stock.naver.com/research/company/84792" TargetMode="External"/><Relationship Id="rId9843" Type="http://schemas.openxmlformats.org/officeDocument/2006/relationships/hyperlink" Target="https://m.stock.naver.com/research/company/83379" TargetMode="External"/><Relationship Id="rId11773" Type="http://schemas.openxmlformats.org/officeDocument/2006/relationships/hyperlink" Target="https://m.stock.naver.com/research/company/81439" TargetMode="External"/><Relationship Id="rId12824" Type="http://schemas.openxmlformats.org/officeDocument/2006/relationships/hyperlink" Target="https://m.stock.naver.com/research/company/80384" TargetMode="External"/><Relationship Id="rId1832" Type="http://schemas.openxmlformats.org/officeDocument/2006/relationships/hyperlink" Target="https://m.stock.naver.com/research/company/91423" TargetMode="External"/><Relationship Id="rId7047" Type="http://schemas.openxmlformats.org/officeDocument/2006/relationships/hyperlink" Target="https://m.stock.naver.com/research/company/86192" TargetMode="External"/><Relationship Id="rId10375" Type="http://schemas.openxmlformats.org/officeDocument/2006/relationships/hyperlink" Target="https://m.stock.naver.com/research/company/82846" TargetMode="External"/><Relationship Id="rId11426" Type="http://schemas.openxmlformats.org/officeDocument/2006/relationships/hyperlink" Target="https://m.stock.naver.com/research/company/81789" TargetMode="External"/><Relationship Id="rId14996" Type="http://schemas.openxmlformats.org/officeDocument/2006/relationships/hyperlink" Target="https://m.stock.naver.com/research/company/94838" TargetMode="External"/><Relationship Id="rId10028" Type="http://schemas.openxmlformats.org/officeDocument/2006/relationships/hyperlink" Target="https://m.stock.naver.com/research/company/83193" TargetMode="External"/><Relationship Id="rId13598" Type="http://schemas.openxmlformats.org/officeDocument/2006/relationships/hyperlink" Target="https://m.stock.naver.com/research/company/79606" TargetMode="External"/><Relationship Id="rId14649" Type="http://schemas.openxmlformats.org/officeDocument/2006/relationships/hyperlink" Target="https://m.stock.naver.com/research/company/94529" TargetMode="External"/><Relationship Id="rId3657" Type="http://schemas.openxmlformats.org/officeDocument/2006/relationships/hyperlink" Target="https://m.stock.naver.com/research/company/89594" TargetMode="External"/><Relationship Id="rId4708" Type="http://schemas.openxmlformats.org/officeDocument/2006/relationships/hyperlink" Target="https://m.stock.naver.com/research/company/88532" TargetMode="External"/><Relationship Id="rId578" Type="http://schemas.openxmlformats.org/officeDocument/2006/relationships/hyperlink" Target="https://m.stock.naver.com/research/company/92879" TargetMode="External"/><Relationship Id="rId2259" Type="http://schemas.openxmlformats.org/officeDocument/2006/relationships/hyperlink" Target="https://m.stock.naver.com/research/company/90996" TargetMode="External"/><Relationship Id="rId6130" Type="http://schemas.openxmlformats.org/officeDocument/2006/relationships/hyperlink" Target="https://m.stock.naver.com/research/company/87110" TargetMode="External"/><Relationship Id="rId12681" Type="http://schemas.openxmlformats.org/officeDocument/2006/relationships/hyperlink" Target="https://m.stock.naver.com/research/company/80527" TargetMode="External"/><Relationship Id="rId2740" Type="http://schemas.openxmlformats.org/officeDocument/2006/relationships/hyperlink" Target="https://m.stock.naver.com/research/company/90514" TargetMode="External"/><Relationship Id="rId9353" Type="http://schemas.openxmlformats.org/officeDocument/2006/relationships/hyperlink" Target="https://m.stock.naver.com/research/company/83874" TargetMode="External"/><Relationship Id="rId11283" Type="http://schemas.openxmlformats.org/officeDocument/2006/relationships/hyperlink" Target="https://m.stock.naver.com/research/company/81936" TargetMode="External"/><Relationship Id="rId12334" Type="http://schemas.openxmlformats.org/officeDocument/2006/relationships/hyperlink" Target="https://m.stock.naver.com/research/company/80875" TargetMode="External"/><Relationship Id="rId13732" Type="http://schemas.openxmlformats.org/officeDocument/2006/relationships/hyperlink" Target="https://m.stock.naver.com/research/company/93507" TargetMode="External"/><Relationship Id="rId712" Type="http://schemas.openxmlformats.org/officeDocument/2006/relationships/hyperlink" Target="https://m.stock.naver.com/research/company/92744" TargetMode="External"/><Relationship Id="rId1342" Type="http://schemas.openxmlformats.org/officeDocument/2006/relationships/hyperlink" Target="https://m.stock.naver.com/research/company/91913" TargetMode="External"/><Relationship Id="rId9006" Type="http://schemas.openxmlformats.org/officeDocument/2006/relationships/hyperlink" Target="https://m.stock.naver.com/research/company/84226" TargetMode="External"/><Relationship Id="rId5963" Type="http://schemas.openxmlformats.org/officeDocument/2006/relationships/hyperlink" Target="https://m.stock.naver.com/research/company/87277" TargetMode="External"/><Relationship Id="rId15557" Type="http://schemas.openxmlformats.org/officeDocument/2006/relationships/hyperlink" Target="https://m.stock.naver.com/research/company/95479" TargetMode="External"/><Relationship Id="rId3167" Type="http://schemas.openxmlformats.org/officeDocument/2006/relationships/hyperlink" Target="https://m.stock.naver.com/research/company/90084" TargetMode="External"/><Relationship Id="rId4565" Type="http://schemas.openxmlformats.org/officeDocument/2006/relationships/hyperlink" Target="https://m.stock.naver.com/research/company/88675" TargetMode="External"/><Relationship Id="rId5616" Type="http://schemas.openxmlformats.org/officeDocument/2006/relationships/hyperlink" Target="https://m.stock.naver.com/research/company/87624" TargetMode="External"/><Relationship Id="rId14159" Type="http://schemas.openxmlformats.org/officeDocument/2006/relationships/hyperlink" Target="https://m.stock.naver.com/research/company/93969" TargetMode="External"/><Relationship Id="rId4218" Type="http://schemas.openxmlformats.org/officeDocument/2006/relationships/hyperlink" Target="https://m.stock.naver.com/research/company/89024" TargetMode="External"/><Relationship Id="rId7788" Type="http://schemas.openxmlformats.org/officeDocument/2006/relationships/hyperlink" Target="https://m.stock.naver.com/research/company/85450" TargetMode="External"/><Relationship Id="rId8839" Type="http://schemas.openxmlformats.org/officeDocument/2006/relationships/hyperlink" Target="https://m.stock.naver.com/research/company/84398" TargetMode="External"/><Relationship Id="rId10769" Type="http://schemas.openxmlformats.org/officeDocument/2006/relationships/hyperlink" Target="https://m.stock.naver.com/research/company/82451" TargetMode="External"/><Relationship Id="rId14640" Type="http://schemas.openxmlformats.org/officeDocument/2006/relationships/hyperlink" Target="https://m.stock.naver.com/research/company/94537" TargetMode="External"/><Relationship Id="rId12191" Type="http://schemas.openxmlformats.org/officeDocument/2006/relationships/hyperlink" Target="https://m.stock.naver.com/research/company/81020" TargetMode="External"/><Relationship Id="rId13242" Type="http://schemas.openxmlformats.org/officeDocument/2006/relationships/hyperlink" Target="https://m.stock.naver.com/research/company/79965" TargetMode="External"/><Relationship Id="rId2250" Type="http://schemas.openxmlformats.org/officeDocument/2006/relationships/hyperlink" Target="https://m.stock.naver.com/research/company/91005" TargetMode="External"/><Relationship Id="rId3301" Type="http://schemas.openxmlformats.org/officeDocument/2006/relationships/hyperlink" Target="https://m.stock.naver.com/research/company/89949" TargetMode="External"/><Relationship Id="rId6871" Type="http://schemas.openxmlformats.org/officeDocument/2006/relationships/hyperlink" Target="https://m.stock.naver.com/research/company/86369" TargetMode="External"/><Relationship Id="rId222" Type="http://schemas.openxmlformats.org/officeDocument/2006/relationships/hyperlink" Target="https://m.stock.naver.com/research/company/93236" TargetMode="External"/><Relationship Id="rId5473" Type="http://schemas.openxmlformats.org/officeDocument/2006/relationships/hyperlink" Target="https://m.stock.naver.com/research/company/87767" TargetMode="External"/><Relationship Id="rId6524" Type="http://schemas.openxmlformats.org/officeDocument/2006/relationships/hyperlink" Target="https://m.stock.naver.com/research/company/86716" TargetMode="External"/><Relationship Id="rId7922" Type="http://schemas.openxmlformats.org/officeDocument/2006/relationships/hyperlink" Target="https://m.stock.naver.com/research/company/85316" TargetMode="External"/><Relationship Id="rId10903" Type="http://schemas.openxmlformats.org/officeDocument/2006/relationships/hyperlink" Target="https://m.stock.naver.com/research/company/82317" TargetMode="External"/><Relationship Id="rId15067" Type="http://schemas.openxmlformats.org/officeDocument/2006/relationships/hyperlink" Target="https://m.stock.naver.com/research/company/95027" TargetMode="External"/><Relationship Id="rId4075" Type="http://schemas.openxmlformats.org/officeDocument/2006/relationships/hyperlink" Target="https://m.stock.naver.com/research/company/89176" TargetMode="External"/><Relationship Id="rId5126" Type="http://schemas.openxmlformats.org/officeDocument/2006/relationships/hyperlink" Target="https://m.stock.naver.com/research/company/88114" TargetMode="External"/><Relationship Id="rId7298" Type="http://schemas.openxmlformats.org/officeDocument/2006/relationships/hyperlink" Target="https://m.stock.naver.com/research/company/85941" TargetMode="External"/><Relationship Id="rId8349" Type="http://schemas.openxmlformats.org/officeDocument/2006/relationships/hyperlink" Target="https://m.stock.naver.com/research/company/84889" TargetMode="External"/><Relationship Id="rId8696" Type="http://schemas.openxmlformats.org/officeDocument/2006/relationships/hyperlink" Target="https://m.stock.naver.com/research/company/84541" TargetMode="External"/><Relationship Id="rId9747" Type="http://schemas.openxmlformats.org/officeDocument/2006/relationships/hyperlink" Target="https://m.stock.naver.com/research/company/83476" TargetMode="External"/><Relationship Id="rId11677" Type="http://schemas.openxmlformats.org/officeDocument/2006/relationships/hyperlink" Target="https://m.stock.naver.com/research/company/81535" TargetMode="External"/><Relationship Id="rId12728" Type="http://schemas.openxmlformats.org/officeDocument/2006/relationships/hyperlink" Target="https://m.stock.naver.com/research/company/80480" TargetMode="External"/><Relationship Id="rId1736" Type="http://schemas.openxmlformats.org/officeDocument/2006/relationships/hyperlink" Target="https://m.stock.naver.com/research/company/91519" TargetMode="External"/><Relationship Id="rId10279" Type="http://schemas.openxmlformats.org/officeDocument/2006/relationships/hyperlink" Target="https://m.stock.naver.com/research/company/82942" TargetMode="External"/><Relationship Id="rId14150" Type="http://schemas.openxmlformats.org/officeDocument/2006/relationships/hyperlink" Target="https://m.stock.naver.com/research/company/93978" TargetMode="External"/><Relationship Id="rId15201" Type="http://schemas.openxmlformats.org/officeDocument/2006/relationships/hyperlink" Target="https://m.stock.naver.com/research/company/95159" TargetMode="External"/><Relationship Id="rId4959" Type="http://schemas.openxmlformats.org/officeDocument/2006/relationships/hyperlink" Target="https://m.stock.naver.com/research/company/88281" TargetMode="External"/><Relationship Id="rId8830" Type="http://schemas.openxmlformats.org/officeDocument/2006/relationships/hyperlink" Target="https://m.stock.naver.com/research/company/84407" TargetMode="External"/><Relationship Id="rId6381" Type="http://schemas.openxmlformats.org/officeDocument/2006/relationships/hyperlink" Target="https://m.stock.naver.com/research/company/86859" TargetMode="External"/><Relationship Id="rId7432" Type="http://schemas.openxmlformats.org/officeDocument/2006/relationships/hyperlink" Target="https://m.stock.naver.com/research/company/85807" TargetMode="External"/><Relationship Id="rId10413" Type="http://schemas.openxmlformats.org/officeDocument/2006/relationships/hyperlink" Target="https://m.stock.naver.com/research/company/82808" TargetMode="External"/><Relationship Id="rId10760" Type="http://schemas.openxmlformats.org/officeDocument/2006/relationships/hyperlink" Target="https://m.stock.naver.com/research/company/82460" TargetMode="External"/><Relationship Id="rId11811" Type="http://schemas.openxmlformats.org/officeDocument/2006/relationships/hyperlink" Target="https://m.stock.naver.com/research/company/81401" TargetMode="External"/><Relationship Id="rId6034" Type="http://schemas.openxmlformats.org/officeDocument/2006/relationships/hyperlink" Target="https://m.stock.naver.com/research/company/87206" TargetMode="External"/><Relationship Id="rId13983" Type="http://schemas.openxmlformats.org/officeDocument/2006/relationships/hyperlink" Target="https://m.stock.naver.com/research/company/93749" TargetMode="External"/><Relationship Id="rId1593" Type="http://schemas.openxmlformats.org/officeDocument/2006/relationships/hyperlink" Target="https://m.stock.naver.com/research/company/91662" TargetMode="External"/><Relationship Id="rId2991" Type="http://schemas.openxmlformats.org/officeDocument/2006/relationships/hyperlink" Target="https://m.stock.naver.com/research/company/90262" TargetMode="External"/><Relationship Id="rId9257" Type="http://schemas.openxmlformats.org/officeDocument/2006/relationships/hyperlink" Target="https://m.stock.naver.com/research/company/83971" TargetMode="External"/><Relationship Id="rId11187" Type="http://schemas.openxmlformats.org/officeDocument/2006/relationships/hyperlink" Target="https://m.stock.naver.com/research/company/82033" TargetMode="External"/><Relationship Id="rId12585" Type="http://schemas.openxmlformats.org/officeDocument/2006/relationships/hyperlink" Target="https://m.stock.naver.com/research/company/80623" TargetMode="External"/><Relationship Id="rId13636" Type="http://schemas.openxmlformats.org/officeDocument/2006/relationships/hyperlink" Target="https://m.stock.naver.com/research/company/79568" TargetMode="External"/><Relationship Id="rId963" Type="http://schemas.openxmlformats.org/officeDocument/2006/relationships/hyperlink" Target="https://m.stock.naver.com/research/company/92493" TargetMode="External"/><Relationship Id="rId1246" Type="http://schemas.openxmlformats.org/officeDocument/2006/relationships/hyperlink" Target="https://m.stock.naver.com/research/company/92009" TargetMode="External"/><Relationship Id="rId2644" Type="http://schemas.openxmlformats.org/officeDocument/2006/relationships/hyperlink" Target="https://m.stock.naver.com/research/company/90610" TargetMode="External"/><Relationship Id="rId12238" Type="http://schemas.openxmlformats.org/officeDocument/2006/relationships/hyperlink" Target="https://m.stock.naver.com/research/company/80972" TargetMode="External"/><Relationship Id="rId616" Type="http://schemas.openxmlformats.org/officeDocument/2006/relationships/hyperlink" Target="https://m.stock.naver.com/research/company/92840" TargetMode="External"/><Relationship Id="rId5867" Type="http://schemas.openxmlformats.org/officeDocument/2006/relationships/hyperlink" Target="https://m.stock.naver.com/research/company/87373" TargetMode="External"/><Relationship Id="rId6918" Type="http://schemas.openxmlformats.org/officeDocument/2006/relationships/hyperlink" Target="https://m.stock.naver.com/research/company/86321" TargetMode="External"/><Relationship Id="rId4469" Type="http://schemas.openxmlformats.org/officeDocument/2006/relationships/hyperlink" Target="https://m.stock.naver.com/research/company/88771" TargetMode="External"/><Relationship Id="rId8340" Type="http://schemas.openxmlformats.org/officeDocument/2006/relationships/hyperlink" Target="https://m.stock.naver.com/research/company/84898" TargetMode="External"/><Relationship Id="rId10270" Type="http://schemas.openxmlformats.org/officeDocument/2006/relationships/hyperlink" Target="https://m.stock.naver.com/research/company/82951" TargetMode="External"/><Relationship Id="rId11321" Type="http://schemas.openxmlformats.org/officeDocument/2006/relationships/hyperlink" Target="https://m.stock.naver.com/research/company/81898" TargetMode="External"/><Relationship Id="rId14891" Type="http://schemas.openxmlformats.org/officeDocument/2006/relationships/hyperlink" Target="https://m.stock.naver.com/research/company/94733" TargetMode="External"/><Relationship Id="rId4950" Type="http://schemas.openxmlformats.org/officeDocument/2006/relationships/hyperlink" Target="https://m.stock.naver.com/research/company/88290" TargetMode="External"/><Relationship Id="rId13493" Type="http://schemas.openxmlformats.org/officeDocument/2006/relationships/hyperlink" Target="https://m.stock.naver.com/research/company/79711" TargetMode="External"/><Relationship Id="rId14544" Type="http://schemas.openxmlformats.org/officeDocument/2006/relationships/hyperlink" Target="https://m.stock.naver.com/research/company/94366" TargetMode="External"/><Relationship Id="rId3552" Type="http://schemas.openxmlformats.org/officeDocument/2006/relationships/hyperlink" Target="https://m.stock.naver.com/research/company/89699" TargetMode="External"/><Relationship Id="rId4603" Type="http://schemas.openxmlformats.org/officeDocument/2006/relationships/hyperlink" Target="https://m.stock.naver.com/research/company/88637" TargetMode="External"/><Relationship Id="rId12095" Type="http://schemas.openxmlformats.org/officeDocument/2006/relationships/hyperlink" Target="https://m.stock.naver.com/research/company/81116" TargetMode="External"/><Relationship Id="rId13146" Type="http://schemas.openxmlformats.org/officeDocument/2006/relationships/hyperlink" Target="https://m.stock.naver.com/research/company/80061" TargetMode="External"/><Relationship Id="rId473" Type="http://schemas.openxmlformats.org/officeDocument/2006/relationships/hyperlink" Target="https://m.stock.naver.com/research/company/92984" TargetMode="External"/><Relationship Id="rId2154" Type="http://schemas.openxmlformats.org/officeDocument/2006/relationships/hyperlink" Target="https://m.stock.naver.com/research/company/91101" TargetMode="External"/><Relationship Id="rId3205" Type="http://schemas.openxmlformats.org/officeDocument/2006/relationships/hyperlink" Target="https://m.stock.naver.com/research/company/90046" TargetMode="External"/><Relationship Id="rId126" Type="http://schemas.openxmlformats.org/officeDocument/2006/relationships/hyperlink" Target="https://m.stock.naver.com/research/company/93332" TargetMode="External"/><Relationship Id="rId5377" Type="http://schemas.openxmlformats.org/officeDocument/2006/relationships/hyperlink" Target="https://m.stock.naver.com/research/company/87863" TargetMode="External"/><Relationship Id="rId6428" Type="http://schemas.openxmlformats.org/officeDocument/2006/relationships/hyperlink" Target="https://m.stock.naver.com/research/company/86812" TargetMode="External"/><Relationship Id="rId6775" Type="http://schemas.openxmlformats.org/officeDocument/2006/relationships/hyperlink" Target="https://m.stock.naver.com/research/company/86465" TargetMode="External"/><Relationship Id="rId7826" Type="http://schemas.openxmlformats.org/officeDocument/2006/relationships/hyperlink" Target="https://m.stock.naver.com/research/company/85412" TargetMode="External"/><Relationship Id="rId10807" Type="http://schemas.openxmlformats.org/officeDocument/2006/relationships/hyperlink" Target="https://m.stock.naver.com/research/company/82413" TargetMode="External"/><Relationship Id="rId9998" Type="http://schemas.openxmlformats.org/officeDocument/2006/relationships/hyperlink" Target="https://m.stock.naver.com/research/company/83223" TargetMode="External"/><Relationship Id="rId12979" Type="http://schemas.openxmlformats.org/officeDocument/2006/relationships/hyperlink" Target="https://m.stock.naver.com/research/company/80229" TargetMode="External"/><Relationship Id="rId1987" Type="http://schemas.openxmlformats.org/officeDocument/2006/relationships/hyperlink" Target="https://m.stock.naver.com/research/company/91268" TargetMode="External"/><Relationship Id="rId15452" Type="http://schemas.openxmlformats.org/officeDocument/2006/relationships/hyperlink" Target="https://m.stock.naver.com/research/company/95335" TargetMode="External"/><Relationship Id="rId4460" Type="http://schemas.openxmlformats.org/officeDocument/2006/relationships/hyperlink" Target="https://m.stock.naver.com/research/company/88780" TargetMode="External"/><Relationship Id="rId5511" Type="http://schemas.openxmlformats.org/officeDocument/2006/relationships/hyperlink" Target="https://m.stock.naver.com/research/company/87729" TargetMode="External"/><Relationship Id="rId14054" Type="http://schemas.openxmlformats.org/officeDocument/2006/relationships/hyperlink" Target="https://m.stock.naver.com/research/company/93869" TargetMode="External"/><Relationship Id="rId15105" Type="http://schemas.openxmlformats.org/officeDocument/2006/relationships/hyperlink" Target="https://m.stock.naver.com/research/company/94989" TargetMode="External"/><Relationship Id="rId3062" Type="http://schemas.openxmlformats.org/officeDocument/2006/relationships/hyperlink" Target="https://m.stock.naver.com/research/company/90189" TargetMode="External"/><Relationship Id="rId4113" Type="http://schemas.openxmlformats.org/officeDocument/2006/relationships/hyperlink" Target="https://m.stock.naver.com/research/company/89138" TargetMode="External"/><Relationship Id="rId7683" Type="http://schemas.openxmlformats.org/officeDocument/2006/relationships/hyperlink" Target="https://m.stock.naver.com/research/company/85556" TargetMode="External"/><Relationship Id="rId8734" Type="http://schemas.openxmlformats.org/officeDocument/2006/relationships/hyperlink" Target="https://m.stock.naver.com/research/company/84503" TargetMode="External"/><Relationship Id="rId6285" Type="http://schemas.openxmlformats.org/officeDocument/2006/relationships/hyperlink" Target="https://m.stock.naver.com/research/company/86955" TargetMode="External"/><Relationship Id="rId7336" Type="http://schemas.openxmlformats.org/officeDocument/2006/relationships/hyperlink" Target="https://m.stock.naver.com/research/company/85903" TargetMode="External"/><Relationship Id="rId10664" Type="http://schemas.openxmlformats.org/officeDocument/2006/relationships/hyperlink" Target="https://m.stock.naver.com/research/company/82556" TargetMode="External"/><Relationship Id="rId11715" Type="http://schemas.openxmlformats.org/officeDocument/2006/relationships/hyperlink" Target="https://m.stock.naver.com/research/company/81497" TargetMode="External"/><Relationship Id="rId10317" Type="http://schemas.openxmlformats.org/officeDocument/2006/relationships/hyperlink" Target="https://m.stock.naver.com/research/company/82904" TargetMode="External"/><Relationship Id="rId13887" Type="http://schemas.openxmlformats.org/officeDocument/2006/relationships/hyperlink" Target="https://m.stock.naver.com/research/company/93679" TargetMode="External"/><Relationship Id="rId14938" Type="http://schemas.openxmlformats.org/officeDocument/2006/relationships/hyperlink" Target="https://m.stock.naver.com/research/company/94896" TargetMode="External"/><Relationship Id="rId2895" Type="http://schemas.openxmlformats.org/officeDocument/2006/relationships/hyperlink" Target="https://m.stock.naver.com/research/company/90358" TargetMode="External"/><Relationship Id="rId3946" Type="http://schemas.openxmlformats.org/officeDocument/2006/relationships/hyperlink" Target="https://m.stock.naver.com/research/company/89305" TargetMode="External"/><Relationship Id="rId12489" Type="http://schemas.openxmlformats.org/officeDocument/2006/relationships/hyperlink" Target="https://m.stock.naver.com/research/company/80719" TargetMode="External"/><Relationship Id="rId867" Type="http://schemas.openxmlformats.org/officeDocument/2006/relationships/hyperlink" Target="https://m.stock.naver.com/research/company/92589" TargetMode="External"/><Relationship Id="rId1497" Type="http://schemas.openxmlformats.org/officeDocument/2006/relationships/hyperlink" Target="https://m.stock.naver.com/research/company/91758" TargetMode="External"/><Relationship Id="rId2548" Type="http://schemas.openxmlformats.org/officeDocument/2006/relationships/hyperlink" Target="https://m.stock.naver.com/research/company/90706" TargetMode="External"/><Relationship Id="rId5021" Type="http://schemas.openxmlformats.org/officeDocument/2006/relationships/hyperlink" Target="https://m.stock.naver.com/research/company/88219" TargetMode="External"/><Relationship Id="rId8591" Type="http://schemas.openxmlformats.org/officeDocument/2006/relationships/hyperlink" Target="https://m.stock.naver.com/research/company/84646" TargetMode="External"/><Relationship Id="rId9642" Type="http://schemas.openxmlformats.org/officeDocument/2006/relationships/hyperlink" Target="https://m.stock.naver.com/research/company/83582" TargetMode="External"/><Relationship Id="rId11572" Type="http://schemas.openxmlformats.org/officeDocument/2006/relationships/hyperlink" Target="https://m.stock.naver.com/research/company/81641" TargetMode="External"/><Relationship Id="rId12623" Type="http://schemas.openxmlformats.org/officeDocument/2006/relationships/hyperlink" Target="https://m.stock.naver.com/research/company/80585" TargetMode="External"/><Relationship Id="rId12970" Type="http://schemas.openxmlformats.org/officeDocument/2006/relationships/hyperlink" Target="https://m.stock.naver.com/research/company/80238" TargetMode="External"/><Relationship Id="rId1631" Type="http://schemas.openxmlformats.org/officeDocument/2006/relationships/hyperlink" Target="https://m.stock.naver.com/research/company/91624" TargetMode="External"/><Relationship Id="rId7193" Type="http://schemas.openxmlformats.org/officeDocument/2006/relationships/hyperlink" Target="https://m.stock.naver.com/research/company/86046" TargetMode="External"/><Relationship Id="rId8244" Type="http://schemas.openxmlformats.org/officeDocument/2006/relationships/hyperlink" Target="https://m.stock.naver.com/research/company/84994" TargetMode="External"/><Relationship Id="rId10174" Type="http://schemas.openxmlformats.org/officeDocument/2006/relationships/hyperlink" Target="https://m.stock.naver.com/research/company/83047" TargetMode="External"/><Relationship Id="rId11225" Type="http://schemas.openxmlformats.org/officeDocument/2006/relationships/hyperlink" Target="https://m.stock.naver.com/research/company/81994" TargetMode="External"/><Relationship Id="rId13397" Type="http://schemas.openxmlformats.org/officeDocument/2006/relationships/hyperlink" Target="https://m.stock.naver.com/research/company/79808" TargetMode="External"/><Relationship Id="rId14795" Type="http://schemas.openxmlformats.org/officeDocument/2006/relationships/hyperlink" Target="https://m.stock.naver.com/research/company/94605" TargetMode="External"/><Relationship Id="rId3456" Type="http://schemas.openxmlformats.org/officeDocument/2006/relationships/hyperlink" Target="https://m.stock.naver.com/research/company/89795" TargetMode="External"/><Relationship Id="rId4854" Type="http://schemas.openxmlformats.org/officeDocument/2006/relationships/hyperlink" Target="https://m.stock.naver.com/research/company/88386" TargetMode="External"/><Relationship Id="rId5905" Type="http://schemas.openxmlformats.org/officeDocument/2006/relationships/hyperlink" Target="https://m.stock.naver.com/research/company/87335" TargetMode="External"/><Relationship Id="rId14448" Type="http://schemas.openxmlformats.org/officeDocument/2006/relationships/hyperlink" Target="https://m.stock.naver.com/research/company/94462" TargetMode="External"/><Relationship Id="rId377" Type="http://schemas.openxmlformats.org/officeDocument/2006/relationships/hyperlink" Target="https://m.stock.naver.com/research/company/93081" TargetMode="External"/><Relationship Id="rId2058" Type="http://schemas.openxmlformats.org/officeDocument/2006/relationships/hyperlink" Target="https://m.stock.naver.com/research/company/91197" TargetMode="External"/><Relationship Id="rId3109" Type="http://schemas.openxmlformats.org/officeDocument/2006/relationships/hyperlink" Target="https://m.stock.naver.com/research/company/90142" TargetMode="External"/><Relationship Id="rId4507" Type="http://schemas.openxmlformats.org/officeDocument/2006/relationships/hyperlink" Target="https://m.stock.naver.com/research/company/88733" TargetMode="External"/><Relationship Id="rId6679" Type="http://schemas.openxmlformats.org/officeDocument/2006/relationships/hyperlink" Target="https://m.stock.naver.com/research/company/86561" TargetMode="External"/><Relationship Id="rId12480" Type="http://schemas.openxmlformats.org/officeDocument/2006/relationships/hyperlink" Target="https://m.stock.naver.com/research/company/80728" TargetMode="External"/><Relationship Id="rId13531" Type="http://schemas.openxmlformats.org/officeDocument/2006/relationships/hyperlink" Target="https://m.stock.naver.com/research/company/79673" TargetMode="External"/><Relationship Id="rId9152" Type="http://schemas.openxmlformats.org/officeDocument/2006/relationships/hyperlink" Target="https://m.stock.naver.com/research/company/84078" TargetMode="External"/><Relationship Id="rId11082" Type="http://schemas.openxmlformats.org/officeDocument/2006/relationships/hyperlink" Target="https://m.stock.naver.com/research/company/82138" TargetMode="External"/><Relationship Id="rId12133" Type="http://schemas.openxmlformats.org/officeDocument/2006/relationships/hyperlink" Target="https://m.stock.naver.com/research/company/81078" TargetMode="External"/><Relationship Id="rId511" Type="http://schemas.openxmlformats.org/officeDocument/2006/relationships/hyperlink" Target="https://m.stock.naver.com/research/company/92946" TargetMode="External"/><Relationship Id="rId1141" Type="http://schemas.openxmlformats.org/officeDocument/2006/relationships/hyperlink" Target="https://m.stock.naver.com/research/company/92114" TargetMode="External"/><Relationship Id="rId5762" Type="http://schemas.openxmlformats.org/officeDocument/2006/relationships/hyperlink" Target="https://m.stock.naver.com/research/company/87478" TargetMode="External"/><Relationship Id="rId6813" Type="http://schemas.openxmlformats.org/officeDocument/2006/relationships/hyperlink" Target="https://m.stock.naver.com/research/company/86427" TargetMode="External"/><Relationship Id="rId15356" Type="http://schemas.openxmlformats.org/officeDocument/2006/relationships/hyperlink" Target="https://m.stock.naver.com/research/company/95232" TargetMode="External"/><Relationship Id="rId4364" Type="http://schemas.openxmlformats.org/officeDocument/2006/relationships/hyperlink" Target="https://m.stock.naver.com/research/company/88877" TargetMode="External"/><Relationship Id="rId5415" Type="http://schemas.openxmlformats.org/officeDocument/2006/relationships/hyperlink" Target="https://m.stock.naver.com/research/company/87825" TargetMode="External"/><Relationship Id="rId15009" Type="http://schemas.openxmlformats.org/officeDocument/2006/relationships/hyperlink" Target="https://m.stock.naver.com/research/company/94825" TargetMode="External"/><Relationship Id="rId4017" Type="http://schemas.openxmlformats.org/officeDocument/2006/relationships/hyperlink" Target="https://m.stock.naver.com/research/company/89234" TargetMode="External"/><Relationship Id="rId7587" Type="http://schemas.openxmlformats.org/officeDocument/2006/relationships/hyperlink" Target="https://m.stock.naver.com/research/company/85652" TargetMode="External"/><Relationship Id="rId8638" Type="http://schemas.openxmlformats.org/officeDocument/2006/relationships/hyperlink" Target="https://m.stock.naver.com/research/company/84599" TargetMode="External"/><Relationship Id="rId8985" Type="http://schemas.openxmlformats.org/officeDocument/2006/relationships/hyperlink" Target="https://m.stock.naver.com/research/company/84247" TargetMode="External"/><Relationship Id="rId11966" Type="http://schemas.openxmlformats.org/officeDocument/2006/relationships/hyperlink" Target="https://m.stock.naver.com/research/company/81245" TargetMode="External"/><Relationship Id="rId6189" Type="http://schemas.openxmlformats.org/officeDocument/2006/relationships/hyperlink" Target="https://m.stock.naver.com/research/company/87051" TargetMode="External"/><Relationship Id="rId10568" Type="http://schemas.openxmlformats.org/officeDocument/2006/relationships/hyperlink" Target="https://m.stock.naver.com/research/company/82652" TargetMode="External"/><Relationship Id="rId11619" Type="http://schemas.openxmlformats.org/officeDocument/2006/relationships/hyperlink" Target="https://m.stock.naver.com/research/company/81593" TargetMode="External"/><Relationship Id="rId13041" Type="http://schemas.openxmlformats.org/officeDocument/2006/relationships/hyperlink" Target="https://m.stock.naver.com/research/company/80166" TargetMode="External"/><Relationship Id="rId2799" Type="http://schemas.openxmlformats.org/officeDocument/2006/relationships/hyperlink" Target="https://m.stock.naver.com/research/company/90455" TargetMode="External"/><Relationship Id="rId3100" Type="http://schemas.openxmlformats.org/officeDocument/2006/relationships/hyperlink" Target="https://m.stock.naver.com/research/company/90151" TargetMode="External"/><Relationship Id="rId6670" Type="http://schemas.openxmlformats.org/officeDocument/2006/relationships/hyperlink" Target="https://m.stock.naver.com/research/company/86570" TargetMode="External"/><Relationship Id="rId7721" Type="http://schemas.openxmlformats.org/officeDocument/2006/relationships/hyperlink" Target="https://m.stock.naver.com/research/company/85518" TargetMode="External"/><Relationship Id="rId10702" Type="http://schemas.openxmlformats.org/officeDocument/2006/relationships/hyperlink" Target="https://m.stock.naver.com/research/company/82518" TargetMode="External"/><Relationship Id="rId5272" Type="http://schemas.openxmlformats.org/officeDocument/2006/relationships/hyperlink" Target="https://m.stock.naver.com/research/company/87968" TargetMode="External"/><Relationship Id="rId6323" Type="http://schemas.openxmlformats.org/officeDocument/2006/relationships/hyperlink" Target="https://m.stock.naver.com/research/company/86917" TargetMode="External"/><Relationship Id="rId9893" Type="http://schemas.openxmlformats.org/officeDocument/2006/relationships/hyperlink" Target="https://m.stock.naver.com/research/company/83329" TargetMode="External"/><Relationship Id="rId1882" Type="http://schemas.openxmlformats.org/officeDocument/2006/relationships/hyperlink" Target="https://m.stock.naver.com/research/company/91373" TargetMode="External"/><Relationship Id="rId8495" Type="http://schemas.openxmlformats.org/officeDocument/2006/relationships/hyperlink" Target="https://m.stock.naver.com/research/company/84742" TargetMode="External"/><Relationship Id="rId9546" Type="http://schemas.openxmlformats.org/officeDocument/2006/relationships/hyperlink" Target="https://m.stock.naver.com/research/company/83681" TargetMode="External"/><Relationship Id="rId11476" Type="http://schemas.openxmlformats.org/officeDocument/2006/relationships/hyperlink" Target="https://m.stock.naver.com/research/company/81739" TargetMode="External"/><Relationship Id="rId12874" Type="http://schemas.openxmlformats.org/officeDocument/2006/relationships/hyperlink" Target="https://m.stock.naver.com/research/company/80334" TargetMode="External"/><Relationship Id="rId13925" Type="http://schemas.openxmlformats.org/officeDocument/2006/relationships/hyperlink" Target="https://m.stock.naver.com/research/company/93712" TargetMode="External"/><Relationship Id="rId1535" Type="http://schemas.openxmlformats.org/officeDocument/2006/relationships/hyperlink" Target="https://m.stock.naver.com/research/company/91720" TargetMode="External"/><Relationship Id="rId2933" Type="http://schemas.openxmlformats.org/officeDocument/2006/relationships/hyperlink" Target="https://m.stock.naver.com/research/company/90320" TargetMode="External"/><Relationship Id="rId7097" Type="http://schemas.openxmlformats.org/officeDocument/2006/relationships/hyperlink" Target="https://m.stock.naver.com/research/company/86142" TargetMode="External"/><Relationship Id="rId8148" Type="http://schemas.openxmlformats.org/officeDocument/2006/relationships/hyperlink" Target="https://m.stock.naver.com/research/company/85090" TargetMode="External"/><Relationship Id="rId10078" Type="http://schemas.openxmlformats.org/officeDocument/2006/relationships/hyperlink" Target="https://m.stock.naver.com/research/company/83143" TargetMode="External"/><Relationship Id="rId11129" Type="http://schemas.openxmlformats.org/officeDocument/2006/relationships/hyperlink" Target="https://m.stock.naver.com/research/company/82091" TargetMode="External"/><Relationship Id="rId12527" Type="http://schemas.openxmlformats.org/officeDocument/2006/relationships/hyperlink" Target="https://m.stock.naver.com/research/company/80681" TargetMode="External"/><Relationship Id="rId15000" Type="http://schemas.openxmlformats.org/officeDocument/2006/relationships/hyperlink" Target="https://m.stock.naver.com/research/company/94834" TargetMode="External"/><Relationship Id="rId905" Type="http://schemas.openxmlformats.org/officeDocument/2006/relationships/hyperlink" Target="https://m.stock.naver.com/research/company/92551" TargetMode="External"/><Relationship Id="rId14699" Type="http://schemas.openxmlformats.org/officeDocument/2006/relationships/hyperlink" Target="https://m.stock.naver.com/research/company/94701" TargetMode="External"/><Relationship Id="rId4758" Type="http://schemas.openxmlformats.org/officeDocument/2006/relationships/hyperlink" Target="https://m.stock.naver.com/research/company/88482" TargetMode="External"/><Relationship Id="rId5809" Type="http://schemas.openxmlformats.org/officeDocument/2006/relationships/hyperlink" Target="https://m.stock.naver.com/research/company/87431" TargetMode="External"/><Relationship Id="rId6180" Type="http://schemas.openxmlformats.org/officeDocument/2006/relationships/hyperlink" Target="https://m.stock.naver.com/research/company/87060" TargetMode="External"/><Relationship Id="rId11610" Type="http://schemas.openxmlformats.org/officeDocument/2006/relationships/hyperlink" Target="https://m.stock.naver.com/research/company/81602" TargetMode="External"/><Relationship Id="rId7231" Type="http://schemas.openxmlformats.org/officeDocument/2006/relationships/hyperlink" Target="https://m.stock.naver.com/research/company/86008" TargetMode="External"/><Relationship Id="rId10212" Type="http://schemas.openxmlformats.org/officeDocument/2006/relationships/hyperlink" Target="https://m.stock.naver.com/research/company/83009" TargetMode="External"/><Relationship Id="rId13782" Type="http://schemas.openxmlformats.org/officeDocument/2006/relationships/hyperlink" Target="https://m.stock.naver.com/research/company/93606" TargetMode="External"/><Relationship Id="rId14833" Type="http://schemas.openxmlformats.org/officeDocument/2006/relationships/hyperlink" Target="https://m.stock.naver.com/research/company/94791" TargetMode="External"/><Relationship Id="rId2790" Type="http://schemas.openxmlformats.org/officeDocument/2006/relationships/hyperlink" Target="https://m.stock.naver.com/research/company/90464" TargetMode="External"/><Relationship Id="rId3841" Type="http://schemas.openxmlformats.org/officeDocument/2006/relationships/hyperlink" Target="https://m.stock.naver.com/research/company/89410" TargetMode="External"/><Relationship Id="rId12384" Type="http://schemas.openxmlformats.org/officeDocument/2006/relationships/hyperlink" Target="https://m.stock.naver.com/research/company/80825" TargetMode="External"/><Relationship Id="rId13435" Type="http://schemas.openxmlformats.org/officeDocument/2006/relationships/hyperlink" Target="https://m.stock.naver.com/research/company/79769" TargetMode="External"/><Relationship Id="rId762" Type="http://schemas.openxmlformats.org/officeDocument/2006/relationships/hyperlink" Target="https://m.stock.naver.com/research/company/92694" TargetMode="External"/><Relationship Id="rId1392" Type="http://schemas.openxmlformats.org/officeDocument/2006/relationships/hyperlink" Target="https://m.stock.naver.com/research/company/91863" TargetMode="External"/><Relationship Id="rId2443" Type="http://schemas.openxmlformats.org/officeDocument/2006/relationships/hyperlink" Target="https://m.stock.naver.com/research/company/90811" TargetMode="External"/><Relationship Id="rId9056" Type="http://schemas.openxmlformats.org/officeDocument/2006/relationships/hyperlink" Target="https://m.stock.naver.com/research/company/84175" TargetMode="External"/><Relationship Id="rId12037" Type="http://schemas.openxmlformats.org/officeDocument/2006/relationships/hyperlink" Target="https://m.stock.naver.com/research/company/81174" TargetMode="External"/><Relationship Id="rId415" Type="http://schemas.openxmlformats.org/officeDocument/2006/relationships/hyperlink" Target="https://m.stock.naver.com/research/company/93042" TargetMode="External"/><Relationship Id="rId1045" Type="http://schemas.openxmlformats.org/officeDocument/2006/relationships/hyperlink" Target="https://m.stock.naver.com/research/company/92306" TargetMode="External"/><Relationship Id="rId5666" Type="http://schemas.openxmlformats.org/officeDocument/2006/relationships/hyperlink" Target="https://m.stock.naver.com/research/company/87574" TargetMode="External"/><Relationship Id="rId4268" Type="http://schemas.openxmlformats.org/officeDocument/2006/relationships/hyperlink" Target="https://m.stock.naver.com/research/company/88973" TargetMode="External"/><Relationship Id="rId5319" Type="http://schemas.openxmlformats.org/officeDocument/2006/relationships/hyperlink" Target="https://m.stock.naver.com/research/company/87921" TargetMode="External"/><Relationship Id="rId6717" Type="http://schemas.openxmlformats.org/officeDocument/2006/relationships/hyperlink" Target="https://m.stock.naver.com/research/company/86523" TargetMode="External"/><Relationship Id="rId8889" Type="http://schemas.openxmlformats.org/officeDocument/2006/relationships/hyperlink" Target="https://m.stock.naver.com/research/company/84347" TargetMode="External"/><Relationship Id="rId11120" Type="http://schemas.openxmlformats.org/officeDocument/2006/relationships/hyperlink" Target="https://m.stock.naver.com/research/company/82100" TargetMode="External"/><Relationship Id="rId14690" Type="http://schemas.openxmlformats.org/officeDocument/2006/relationships/hyperlink" Target="https://m.stock.naver.com/research/company/94710" TargetMode="External"/><Relationship Id="rId15741" Type="http://schemas.openxmlformats.org/officeDocument/2006/relationships/hyperlink" Target="https://m.stock.naver.com/research/company/95673" TargetMode="External"/><Relationship Id="rId1929" Type="http://schemas.openxmlformats.org/officeDocument/2006/relationships/hyperlink" Target="https://m.stock.naver.com/research/company/91326" TargetMode="External"/><Relationship Id="rId5800" Type="http://schemas.openxmlformats.org/officeDocument/2006/relationships/hyperlink" Target="https://m.stock.naver.com/research/company/87440" TargetMode="External"/><Relationship Id="rId13292" Type="http://schemas.openxmlformats.org/officeDocument/2006/relationships/hyperlink" Target="https://m.stock.naver.com/research/company/79913" TargetMode="External"/><Relationship Id="rId14343" Type="http://schemas.openxmlformats.org/officeDocument/2006/relationships/hyperlink" Target="https://m.stock.naver.com/research/company/94208" TargetMode="External"/><Relationship Id="rId3351" Type="http://schemas.openxmlformats.org/officeDocument/2006/relationships/hyperlink" Target="https://m.stock.naver.com/research/company/89899" TargetMode="External"/><Relationship Id="rId4402" Type="http://schemas.openxmlformats.org/officeDocument/2006/relationships/hyperlink" Target="https://m.stock.naver.com/research/company/88839" TargetMode="External"/><Relationship Id="rId7972" Type="http://schemas.openxmlformats.org/officeDocument/2006/relationships/hyperlink" Target="https://m.stock.naver.com/research/company/85266" TargetMode="External"/><Relationship Id="rId272" Type="http://schemas.openxmlformats.org/officeDocument/2006/relationships/hyperlink" Target="https://m.stock.naver.com/research/company/93186" TargetMode="External"/><Relationship Id="rId3004" Type="http://schemas.openxmlformats.org/officeDocument/2006/relationships/hyperlink" Target="https://m.stock.naver.com/research/company/90247" TargetMode="External"/><Relationship Id="rId6574" Type="http://schemas.openxmlformats.org/officeDocument/2006/relationships/hyperlink" Target="https://m.stock.naver.com/research/company/86666" TargetMode="External"/><Relationship Id="rId7625" Type="http://schemas.openxmlformats.org/officeDocument/2006/relationships/hyperlink" Target="https://m.stock.naver.com/research/company/85614" TargetMode="External"/><Relationship Id="rId10953" Type="http://schemas.openxmlformats.org/officeDocument/2006/relationships/hyperlink" Target="https://m.stock.naver.com/research/company/82267" TargetMode="External"/><Relationship Id="rId5176" Type="http://schemas.openxmlformats.org/officeDocument/2006/relationships/hyperlink" Target="https://m.stock.naver.com/research/company/88064" TargetMode="External"/><Relationship Id="rId6227" Type="http://schemas.openxmlformats.org/officeDocument/2006/relationships/hyperlink" Target="https://m.stock.naver.com/research/company/87013" TargetMode="External"/><Relationship Id="rId9797" Type="http://schemas.openxmlformats.org/officeDocument/2006/relationships/hyperlink" Target="https://m.stock.naver.com/research/company/83425" TargetMode="External"/><Relationship Id="rId10606" Type="http://schemas.openxmlformats.org/officeDocument/2006/relationships/hyperlink" Target="https://m.stock.naver.com/research/company/82614" TargetMode="External"/><Relationship Id="rId8399" Type="http://schemas.openxmlformats.org/officeDocument/2006/relationships/hyperlink" Target="https://m.stock.naver.com/research/company/84839" TargetMode="External"/><Relationship Id="rId12778" Type="http://schemas.openxmlformats.org/officeDocument/2006/relationships/hyperlink" Target="https://m.stock.naver.com/research/company/80430" TargetMode="External"/><Relationship Id="rId13829" Type="http://schemas.openxmlformats.org/officeDocument/2006/relationships/hyperlink" Target="https://m.stock.naver.com/research/company/93624" TargetMode="External"/><Relationship Id="rId1786" Type="http://schemas.openxmlformats.org/officeDocument/2006/relationships/hyperlink" Target="https://m.stock.naver.com/research/company/91469" TargetMode="External"/><Relationship Id="rId2837" Type="http://schemas.openxmlformats.org/officeDocument/2006/relationships/hyperlink" Target="https://m.stock.naver.com/research/company/90416" TargetMode="External"/><Relationship Id="rId15251" Type="http://schemas.openxmlformats.org/officeDocument/2006/relationships/hyperlink" Target="https://m.stock.naver.com/research/company/95109" TargetMode="External"/><Relationship Id="rId809" Type="http://schemas.openxmlformats.org/officeDocument/2006/relationships/hyperlink" Target="https://m.stock.naver.com/research/company/92647" TargetMode="External"/><Relationship Id="rId1439" Type="http://schemas.openxmlformats.org/officeDocument/2006/relationships/hyperlink" Target="https://m.stock.naver.com/research/company/91816" TargetMode="External"/><Relationship Id="rId5310" Type="http://schemas.openxmlformats.org/officeDocument/2006/relationships/hyperlink" Target="https://m.stock.naver.com/research/company/87930" TargetMode="External"/><Relationship Id="rId8880" Type="http://schemas.openxmlformats.org/officeDocument/2006/relationships/hyperlink" Target="https://m.stock.naver.com/research/company/84356" TargetMode="External"/><Relationship Id="rId9931" Type="http://schemas.openxmlformats.org/officeDocument/2006/relationships/hyperlink" Target="https://m.stock.naver.com/research/company/83291" TargetMode="External"/><Relationship Id="rId11861" Type="http://schemas.openxmlformats.org/officeDocument/2006/relationships/hyperlink" Target="https://m.stock.naver.com/research/company/81351" TargetMode="External"/><Relationship Id="rId12912" Type="http://schemas.openxmlformats.org/officeDocument/2006/relationships/hyperlink" Target="https://m.stock.naver.com/research/company/80296" TargetMode="External"/><Relationship Id="rId1920" Type="http://schemas.openxmlformats.org/officeDocument/2006/relationships/hyperlink" Target="https://m.stock.naver.com/research/company/91335" TargetMode="External"/><Relationship Id="rId7482" Type="http://schemas.openxmlformats.org/officeDocument/2006/relationships/hyperlink" Target="https://m.stock.naver.com/research/company/85757" TargetMode="External"/><Relationship Id="rId8533" Type="http://schemas.openxmlformats.org/officeDocument/2006/relationships/hyperlink" Target="https://m.stock.naver.com/research/company/84704" TargetMode="External"/><Relationship Id="rId10463" Type="http://schemas.openxmlformats.org/officeDocument/2006/relationships/hyperlink" Target="https://m.stock.naver.com/research/company/82757" TargetMode="External"/><Relationship Id="rId11514" Type="http://schemas.openxmlformats.org/officeDocument/2006/relationships/hyperlink" Target="https://m.stock.naver.com/research/company/81701" TargetMode="External"/><Relationship Id="rId6084" Type="http://schemas.openxmlformats.org/officeDocument/2006/relationships/hyperlink" Target="https://m.stock.naver.com/research/company/87156" TargetMode="External"/><Relationship Id="rId7135" Type="http://schemas.openxmlformats.org/officeDocument/2006/relationships/hyperlink" Target="https://m.stock.naver.com/research/company/86104" TargetMode="External"/><Relationship Id="rId10116" Type="http://schemas.openxmlformats.org/officeDocument/2006/relationships/hyperlink" Target="https://m.stock.naver.com/research/company/83105" TargetMode="External"/><Relationship Id="rId13686" Type="http://schemas.openxmlformats.org/officeDocument/2006/relationships/hyperlink" Target="https://m.stock.naver.com/research/company/93488" TargetMode="External"/><Relationship Id="rId2694" Type="http://schemas.openxmlformats.org/officeDocument/2006/relationships/hyperlink" Target="https://m.stock.naver.com/research/company/90560" TargetMode="External"/><Relationship Id="rId3745" Type="http://schemas.openxmlformats.org/officeDocument/2006/relationships/hyperlink" Target="https://m.stock.naver.com/research/company/89506" TargetMode="External"/><Relationship Id="rId12288" Type="http://schemas.openxmlformats.org/officeDocument/2006/relationships/hyperlink" Target="https://m.stock.naver.com/research/company/80921" TargetMode="External"/><Relationship Id="rId13339" Type="http://schemas.openxmlformats.org/officeDocument/2006/relationships/hyperlink" Target="https://m.stock.naver.com/research/company/79866" TargetMode="External"/><Relationship Id="rId14737" Type="http://schemas.openxmlformats.org/officeDocument/2006/relationships/hyperlink" Target="https://m.stock.naver.com/research/company/94663" TargetMode="External"/><Relationship Id="rId666" Type="http://schemas.openxmlformats.org/officeDocument/2006/relationships/hyperlink" Target="https://m.stock.naver.com/research/company/92790" TargetMode="External"/><Relationship Id="rId1296" Type="http://schemas.openxmlformats.org/officeDocument/2006/relationships/hyperlink" Target="https://m.stock.naver.com/research/company/91959" TargetMode="External"/><Relationship Id="rId2347" Type="http://schemas.openxmlformats.org/officeDocument/2006/relationships/hyperlink" Target="https://m.stock.naver.com/research/company/90907" TargetMode="External"/><Relationship Id="rId319" Type="http://schemas.openxmlformats.org/officeDocument/2006/relationships/hyperlink" Target="https://m.stock.naver.com/research/company/93139" TargetMode="External"/><Relationship Id="rId6968" Type="http://schemas.openxmlformats.org/officeDocument/2006/relationships/hyperlink" Target="https://m.stock.naver.com/research/company/86271" TargetMode="External"/><Relationship Id="rId8390" Type="http://schemas.openxmlformats.org/officeDocument/2006/relationships/hyperlink" Target="https://m.stock.naver.com/research/company/84848" TargetMode="External"/><Relationship Id="rId13820" Type="http://schemas.openxmlformats.org/officeDocument/2006/relationships/hyperlink" Target="https://m.stock.naver.com/research/company/93558" TargetMode="External"/><Relationship Id="rId8043" Type="http://schemas.openxmlformats.org/officeDocument/2006/relationships/hyperlink" Target="https://m.stock.naver.com/research/company/85195" TargetMode="External"/><Relationship Id="rId9441" Type="http://schemas.openxmlformats.org/officeDocument/2006/relationships/hyperlink" Target="https://m.stock.naver.com/research/company/83786" TargetMode="External"/><Relationship Id="rId11371" Type="http://schemas.openxmlformats.org/officeDocument/2006/relationships/hyperlink" Target="https://m.stock.naver.com/research/company/81844" TargetMode="External"/><Relationship Id="rId12422" Type="http://schemas.openxmlformats.org/officeDocument/2006/relationships/hyperlink" Target="https://m.stock.naver.com/research/company/80787" TargetMode="External"/><Relationship Id="rId800" Type="http://schemas.openxmlformats.org/officeDocument/2006/relationships/hyperlink" Target="https://m.stock.naver.com/research/company/92656" TargetMode="External"/><Relationship Id="rId1430" Type="http://schemas.openxmlformats.org/officeDocument/2006/relationships/hyperlink" Target="https://m.stock.naver.com/research/company/91825" TargetMode="External"/><Relationship Id="rId11024" Type="http://schemas.openxmlformats.org/officeDocument/2006/relationships/hyperlink" Target="https://m.stock.naver.com/research/company/82196" TargetMode="External"/><Relationship Id="rId14594" Type="http://schemas.openxmlformats.org/officeDocument/2006/relationships/hyperlink" Target="https://m.stock.naver.com/research/company/94485" TargetMode="External"/><Relationship Id="rId15645" Type="http://schemas.openxmlformats.org/officeDocument/2006/relationships/hyperlink" Target="https://m.stock.naver.com/research/company/95769" TargetMode="External"/><Relationship Id="rId4653" Type="http://schemas.openxmlformats.org/officeDocument/2006/relationships/hyperlink" Target="https://m.stock.naver.com/research/company/88587" TargetMode="External"/><Relationship Id="rId5704" Type="http://schemas.openxmlformats.org/officeDocument/2006/relationships/hyperlink" Target="https://m.stock.naver.com/research/company/87536" TargetMode="External"/><Relationship Id="rId13196" Type="http://schemas.openxmlformats.org/officeDocument/2006/relationships/hyperlink" Target="https://m.stock.naver.com/research/company/80011" TargetMode="External"/><Relationship Id="rId14247" Type="http://schemas.openxmlformats.org/officeDocument/2006/relationships/hyperlink" Target="https://m.stock.naver.com/research/company/94096" TargetMode="External"/><Relationship Id="rId3255" Type="http://schemas.openxmlformats.org/officeDocument/2006/relationships/hyperlink" Target="https://m.stock.naver.com/research/company/89995" TargetMode="External"/><Relationship Id="rId4306" Type="http://schemas.openxmlformats.org/officeDocument/2006/relationships/hyperlink" Target="https://m.stock.naver.com/research/company/88935" TargetMode="External"/><Relationship Id="rId7876" Type="http://schemas.openxmlformats.org/officeDocument/2006/relationships/hyperlink" Target="https://m.stock.naver.com/research/company/85362" TargetMode="External"/><Relationship Id="rId8927" Type="http://schemas.openxmlformats.org/officeDocument/2006/relationships/hyperlink" Target="https://m.stock.naver.com/research/company/84308" TargetMode="External"/><Relationship Id="rId176" Type="http://schemas.openxmlformats.org/officeDocument/2006/relationships/hyperlink" Target="https://m.stock.naver.com/research/company/93282" TargetMode="External"/><Relationship Id="rId6478" Type="http://schemas.openxmlformats.org/officeDocument/2006/relationships/hyperlink" Target="https://m.stock.naver.com/research/company/86762" TargetMode="External"/><Relationship Id="rId7529" Type="http://schemas.openxmlformats.org/officeDocument/2006/relationships/hyperlink" Target="https://m.stock.naver.com/research/company/85710" TargetMode="External"/><Relationship Id="rId10857" Type="http://schemas.openxmlformats.org/officeDocument/2006/relationships/hyperlink" Target="https://m.stock.naver.com/research/company/82363" TargetMode="External"/><Relationship Id="rId11908" Type="http://schemas.openxmlformats.org/officeDocument/2006/relationships/hyperlink" Target="https://m.stock.naver.com/research/company/81303" TargetMode="External"/><Relationship Id="rId13330" Type="http://schemas.openxmlformats.org/officeDocument/2006/relationships/hyperlink" Target="https://m.stock.naver.com/research/company/79875" TargetMode="External"/><Relationship Id="rId310" Type="http://schemas.openxmlformats.org/officeDocument/2006/relationships/hyperlink" Target="https://m.stock.naver.com/research/company/93148" TargetMode="External"/><Relationship Id="rId5561" Type="http://schemas.openxmlformats.org/officeDocument/2006/relationships/hyperlink" Target="https://m.stock.naver.com/research/company/87679" TargetMode="External"/><Relationship Id="rId6612" Type="http://schemas.openxmlformats.org/officeDocument/2006/relationships/hyperlink" Target="https://m.stock.naver.com/research/company/86628" TargetMode="External"/><Relationship Id="rId15155" Type="http://schemas.openxmlformats.org/officeDocument/2006/relationships/hyperlink" Target="https://m.stock.naver.com/research/company/95205" TargetMode="External"/><Relationship Id="rId4163" Type="http://schemas.openxmlformats.org/officeDocument/2006/relationships/hyperlink" Target="https://m.stock.naver.com/research/company/89086" TargetMode="External"/><Relationship Id="rId5214" Type="http://schemas.openxmlformats.org/officeDocument/2006/relationships/hyperlink" Target="https://m.stock.naver.com/research/company/88026" TargetMode="External"/><Relationship Id="rId8784" Type="http://schemas.openxmlformats.org/officeDocument/2006/relationships/hyperlink" Target="https://m.stock.naver.com/research/company/84453" TargetMode="External"/><Relationship Id="rId9835" Type="http://schemas.openxmlformats.org/officeDocument/2006/relationships/hyperlink" Target="https://m.stock.naver.com/research/company/83387" TargetMode="External"/><Relationship Id="rId11765" Type="http://schemas.openxmlformats.org/officeDocument/2006/relationships/hyperlink" Target="https://m.stock.naver.com/research/company/81447" TargetMode="External"/><Relationship Id="rId49" Type="http://schemas.openxmlformats.org/officeDocument/2006/relationships/hyperlink" Target="https://m.stock.naver.com/research/company/93409" TargetMode="External"/><Relationship Id="rId1824" Type="http://schemas.openxmlformats.org/officeDocument/2006/relationships/hyperlink" Target="https://m.stock.naver.com/research/company/91431" TargetMode="External"/><Relationship Id="rId7386" Type="http://schemas.openxmlformats.org/officeDocument/2006/relationships/hyperlink" Target="https://m.stock.naver.com/research/company/85853" TargetMode="External"/><Relationship Id="rId8437" Type="http://schemas.openxmlformats.org/officeDocument/2006/relationships/hyperlink" Target="https://m.stock.naver.com/research/company/84801" TargetMode="External"/><Relationship Id="rId10367" Type="http://schemas.openxmlformats.org/officeDocument/2006/relationships/hyperlink" Target="https://m.stock.naver.com/research/company/82854" TargetMode="External"/><Relationship Id="rId11418" Type="http://schemas.openxmlformats.org/officeDocument/2006/relationships/hyperlink" Target="https://m.stock.naver.com/research/company/81797" TargetMode="External"/><Relationship Id="rId12816" Type="http://schemas.openxmlformats.org/officeDocument/2006/relationships/hyperlink" Target="https://m.stock.naver.com/research/company/80392" TargetMode="External"/><Relationship Id="rId7039" Type="http://schemas.openxmlformats.org/officeDocument/2006/relationships/hyperlink" Target="https://m.stock.naver.com/research/company/86200" TargetMode="External"/><Relationship Id="rId14988" Type="http://schemas.openxmlformats.org/officeDocument/2006/relationships/hyperlink" Target="https://m.stock.naver.com/research/company/94846" TargetMode="External"/><Relationship Id="rId2598" Type="http://schemas.openxmlformats.org/officeDocument/2006/relationships/hyperlink" Target="https://m.stock.naver.com/research/company/90656" TargetMode="External"/><Relationship Id="rId3996" Type="http://schemas.openxmlformats.org/officeDocument/2006/relationships/hyperlink" Target="https://m.stock.naver.com/research/company/89255" TargetMode="External"/><Relationship Id="rId3649" Type="http://schemas.openxmlformats.org/officeDocument/2006/relationships/hyperlink" Target="https://m.stock.naver.com/research/company/89602" TargetMode="External"/><Relationship Id="rId5071" Type="http://schemas.openxmlformats.org/officeDocument/2006/relationships/hyperlink" Target="https://m.stock.naver.com/research/company/88169" TargetMode="External"/><Relationship Id="rId6122" Type="http://schemas.openxmlformats.org/officeDocument/2006/relationships/hyperlink" Target="https://m.stock.naver.com/research/company/87118" TargetMode="External"/><Relationship Id="rId7520" Type="http://schemas.openxmlformats.org/officeDocument/2006/relationships/hyperlink" Target="https://m.stock.naver.com/research/company/85719" TargetMode="External"/><Relationship Id="rId10501" Type="http://schemas.openxmlformats.org/officeDocument/2006/relationships/hyperlink" Target="https://m.stock.naver.com/research/company/82719" TargetMode="External"/><Relationship Id="rId9692" Type="http://schemas.openxmlformats.org/officeDocument/2006/relationships/hyperlink" Target="https://m.stock.naver.com/research/company/83531" TargetMode="External"/><Relationship Id="rId12673" Type="http://schemas.openxmlformats.org/officeDocument/2006/relationships/hyperlink" Target="https://m.stock.naver.com/research/company/80535" TargetMode="External"/><Relationship Id="rId13724" Type="http://schemas.openxmlformats.org/officeDocument/2006/relationships/hyperlink" Target="https://m.stock.naver.com/research/company/93515" TargetMode="External"/><Relationship Id="rId1681" Type="http://schemas.openxmlformats.org/officeDocument/2006/relationships/hyperlink" Target="https://m.stock.naver.com/research/company/91574" TargetMode="External"/><Relationship Id="rId2732" Type="http://schemas.openxmlformats.org/officeDocument/2006/relationships/hyperlink" Target="https://m.stock.naver.com/research/company/90522" TargetMode="External"/><Relationship Id="rId8294" Type="http://schemas.openxmlformats.org/officeDocument/2006/relationships/hyperlink" Target="https://m.stock.naver.com/research/company/84944" TargetMode="External"/><Relationship Id="rId9345" Type="http://schemas.openxmlformats.org/officeDocument/2006/relationships/hyperlink" Target="https://m.stock.naver.com/research/company/83882" TargetMode="External"/><Relationship Id="rId11275" Type="http://schemas.openxmlformats.org/officeDocument/2006/relationships/hyperlink" Target="https://m.stock.naver.com/research/company/81944" TargetMode="External"/><Relationship Id="rId12326" Type="http://schemas.openxmlformats.org/officeDocument/2006/relationships/hyperlink" Target="https://m.stock.naver.com/research/company/80883" TargetMode="External"/><Relationship Id="rId704" Type="http://schemas.openxmlformats.org/officeDocument/2006/relationships/hyperlink" Target="https://m.stock.naver.com/research/company/92752" TargetMode="External"/><Relationship Id="rId1334" Type="http://schemas.openxmlformats.org/officeDocument/2006/relationships/hyperlink" Target="https://m.stock.naver.com/research/company/91921" TargetMode="External"/><Relationship Id="rId5955" Type="http://schemas.openxmlformats.org/officeDocument/2006/relationships/hyperlink" Target="https://m.stock.naver.com/research/company/87285" TargetMode="External"/><Relationship Id="rId14498" Type="http://schemas.openxmlformats.org/officeDocument/2006/relationships/hyperlink" Target="https://m.stock.naver.com/research/company/94412" TargetMode="External"/><Relationship Id="rId15549" Type="http://schemas.openxmlformats.org/officeDocument/2006/relationships/hyperlink" Target="https://m.stock.naver.com/research/company/95487" TargetMode="External"/><Relationship Id="rId40" Type="http://schemas.openxmlformats.org/officeDocument/2006/relationships/hyperlink" Target="https://m.stock.naver.com/research/company/93418" TargetMode="External"/><Relationship Id="rId4557" Type="http://schemas.openxmlformats.org/officeDocument/2006/relationships/hyperlink" Target="https://m.stock.naver.com/research/company/88683" TargetMode="External"/><Relationship Id="rId5608" Type="http://schemas.openxmlformats.org/officeDocument/2006/relationships/hyperlink" Target="https://m.stock.naver.com/research/company/87632" TargetMode="External"/><Relationship Id="rId3159" Type="http://schemas.openxmlformats.org/officeDocument/2006/relationships/hyperlink" Target="https://m.stock.naver.com/research/company/90092" TargetMode="External"/><Relationship Id="rId7030" Type="http://schemas.openxmlformats.org/officeDocument/2006/relationships/hyperlink" Target="https://m.stock.naver.com/research/company/86209" TargetMode="External"/><Relationship Id="rId10011" Type="http://schemas.openxmlformats.org/officeDocument/2006/relationships/hyperlink" Target="https://m.stock.naver.com/research/company/83210" TargetMode="External"/><Relationship Id="rId13581" Type="http://schemas.openxmlformats.org/officeDocument/2006/relationships/hyperlink" Target="https://m.stock.naver.com/research/company/79623" TargetMode="External"/><Relationship Id="rId14632" Type="http://schemas.openxmlformats.org/officeDocument/2006/relationships/hyperlink" Target="https://m.stock.naver.com/research/company/94545" TargetMode="External"/><Relationship Id="rId1191" Type="http://schemas.openxmlformats.org/officeDocument/2006/relationships/hyperlink" Target="https://m.stock.naver.com/research/company/92064" TargetMode="External"/><Relationship Id="rId3640" Type="http://schemas.openxmlformats.org/officeDocument/2006/relationships/hyperlink" Target="https://m.stock.naver.com/research/company/89611" TargetMode="External"/><Relationship Id="rId12183" Type="http://schemas.openxmlformats.org/officeDocument/2006/relationships/hyperlink" Target="https://m.stock.naver.com/research/company/81028" TargetMode="External"/><Relationship Id="rId13234" Type="http://schemas.openxmlformats.org/officeDocument/2006/relationships/hyperlink" Target="https://m.stock.naver.com/research/company/79973" TargetMode="External"/><Relationship Id="rId561" Type="http://schemas.openxmlformats.org/officeDocument/2006/relationships/hyperlink" Target="https://m.stock.naver.com/research/company/92896" TargetMode="External"/><Relationship Id="rId2242" Type="http://schemas.openxmlformats.org/officeDocument/2006/relationships/hyperlink" Target="https://m.stock.naver.com/research/company/91013" TargetMode="External"/><Relationship Id="rId6863" Type="http://schemas.openxmlformats.org/officeDocument/2006/relationships/hyperlink" Target="https://m.stock.naver.com/research/company/86377" TargetMode="External"/><Relationship Id="rId7914" Type="http://schemas.openxmlformats.org/officeDocument/2006/relationships/hyperlink" Target="https://m.stock.naver.com/research/company/85324" TargetMode="External"/><Relationship Id="rId214" Type="http://schemas.openxmlformats.org/officeDocument/2006/relationships/hyperlink" Target="https://m.stock.naver.com/research/company/93244" TargetMode="External"/><Relationship Id="rId5465" Type="http://schemas.openxmlformats.org/officeDocument/2006/relationships/hyperlink" Target="https://m.stock.naver.com/research/company/87775" TargetMode="External"/><Relationship Id="rId6516" Type="http://schemas.openxmlformats.org/officeDocument/2006/relationships/hyperlink" Target="https://m.stock.naver.com/research/company/86724" TargetMode="External"/><Relationship Id="rId15059" Type="http://schemas.openxmlformats.org/officeDocument/2006/relationships/hyperlink" Target="https://m.stock.naver.com/research/company/95035" TargetMode="External"/><Relationship Id="rId4067" Type="http://schemas.openxmlformats.org/officeDocument/2006/relationships/hyperlink" Target="https://m.stock.naver.com/research/company/89184" TargetMode="External"/><Relationship Id="rId5118" Type="http://schemas.openxmlformats.org/officeDocument/2006/relationships/hyperlink" Target="https://m.stock.naver.com/research/company/88122" TargetMode="External"/><Relationship Id="rId8688" Type="http://schemas.openxmlformats.org/officeDocument/2006/relationships/hyperlink" Target="https://m.stock.naver.com/research/company/84549" TargetMode="External"/><Relationship Id="rId9739" Type="http://schemas.openxmlformats.org/officeDocument/2006/relationships/hyperlink" Target="https://m.stock.naver.com/research/company/83484" TargetMode="External"/><Relationship Id="rId11669" Type="http://schemas.openxmlformats.org/officeDocument/2006/relationships/hyperlink" Target="https://m.stock.naver.com/research/company/81543" TargetMode="External"/><Relationship Id="rId13091" Type="http://schemas.openxmlformats.org/officeDocument/2006/relationships/hyperlink" Target="https://m.stock.naver.com/research/company/80116" TargetMode="External"/><Relationship Id="rId15540" Type="http://schemas.openxmlformats.org/officeDocument/2006/relationships/hyperlink" Target="https://m.stock.naver.com/research/company/95496" TargetMode="External"/><Relationship Id="rId1728" Type="http://schemas.openxmlformats.org/officeDocument/2006/relationships/hyperlink" Target="https://m.stock.naver.com/research/company/91527" TargetMode="External"/><Relationship Id="rId3150" Type="http://schemas.openxmlformats.org/officeDocument/2006/relationships/hyperlink" Target="https://m.stock.naver.com/research/company/90101" TargetMode="External"/><Relationship Id="rId4201" Type="http://schemas.openxmlformats.org/officeDocument/2006/relationships/hyperlink" Target="https://m.stock.naver.com/research/company/89041" TargetMode="External"/><Relationship Id="rId14142" Type="http://schemas.openxmlformats.org/officeDocument/2006/relationships/hyperlink" Target="https://m.stock.naver.com/research/company/93986" TargetMode="External"/><Relationship Id="rId7771" Type="http://schemas.openxmlformats.org/officeDocument/2006/relationships/hyperlink" Target="https://m.stock.naver.com/research/company/85468" TargetMode="External"/><Relationship Id="rId8822" Type="http://schemas.openxmlformats.org/officeDocument/2006/relationships/hyperlink" Target="https://m.stock.naver.com/research/company/84415" TargetMode="External"/><Relationship Id="rId10752" Type="http://schemas.openxmlformats.org/officeDocument/2006/relationships/hyperlink" Target="https://m.stock.naver.com/research/company/82468" TargetMode="External"/><Relationship Id="rId11803" Type="http://schemas.openxmlformats.org/officeDocument/2006/relationships/hyperlink" Target="https://m.stock.naver.com/research/company/81409" TargetMode="External"/><Relationship Id="rId6373" Type="http://schemas.openxmlformats.org/officeDocument/2006/relationships/hyperlink" Target="https://m.stock.naver.com/research/company/86867" TargetMode="External"/><Relationship Id="rId7424" Type="http://schemas.openxmlformats.org/officeDocument/2006/relationships/hyperlink" Target="https://m.stock.naver.com/research/company/85815" TargetMode="External"/><Relationship Id="rId10405" Type="http://schemas.openxmlformats.org/officeDocument/2006/relationships/hyperlink" Target="https://m.stock.naver.com/research/company/82816" TargetMode="External"/><Relationship Id="rId13975" Type="http://schemas.openxmlformats.org/officeDocument/2006/relationships/hyperlink" Target="https://m.stock.naver.com/research/company/93757" TargetMode="External"/><Relationship Id="rId2983" Type="http://schemas.openxmlformats.org/officeDocument/2006/relationships/hyperlink" Target="https://m.stock.naver.com/research/company/90270" TargetMode="External"/><Relationship Id="rId6026" Type="http://schemas.openxmlformats.org/officeDocument/2006/relationships/hyperlink" Target="https://m.stock.naver.com/research/company/87214" TargetMode="External"/><Relationship Id="rId9596" Type="http://schemas.openxmlformats.org/officeDocument/2006/relationships/hyperlink" Target="https://m.stock.naver.com/research/company/83631" TargetMode="External"/><Relationship Id="rId12577" Type="http://schemas.openxmlformats.org/officeDocument/2006/relationships/hyperlink" Target="https://m.stock.naver.com/research/company/80631" TargetMode="External"/><Relationship Id="rId13628" Type="http://schemas.openxmlformats.org/officeDocument/2006/relationships/hyperlink" Target="https://m.stock.naver.com/research/company/79576" TargetMode="External"/><Relationship Id="rId955" Type="http://schemas.openxmlformats.org/officeDocument/2006/relationships/hyperlink" Target="https://m.stock.naver.com/research/company/92501" TargetMode="External"/><Relationship Id="rId1585" Type="http://schemas.openxmlformats.org/officeDocument/2006/relationships/hyperlink" Target="https://m.stock.naver.com/research/company/91670" TargetMode="External"/><Relationship Id="rId2636" Type="http://schemas.openxmlformats.org/officeDocument/2006/relationships/hyperlink" Target="https://m.stock.naver.com/research/company/90618" TargetMode="External"/><Relationship Id="rId8198" Type="http://schemas.openxmlformats.org/officeDocument/2006/relationships/hyperlink" Target="https://m.stock.naver.com/research/company/85040" TargetMode="External"/><Relationship Id="rId9249" Type="http://schemas.openxmlformats.org/officeDocument/2006/relationships/hyperlink" Target="https://m.stock.naver.com/research/company/83979" TargetMode="External"/><Relationship Id="rId11179" Type="http://schemas.openxmlformats.org/officeDocument/2006/relationships/hyperlink" Target="https://m.stock.naver.com/research/company/82041" TargetMode="External"/><Relationship Id="rId15050" Type="http://schemas.openxmlformats.org/officeDocument/2006/relationships/hyperlink" Target="https://m.stock.naver.com/research/company/95044" TargetMode="External"/><Relationship Id="rId608" Type="http://schemas.openxmlformats.org/officeDocument/2006/relationships/hyperlink" Target="https://m.stock.naver.com/research/company/92849" TargetMode="External"/><Relationship Id="rId1238" Type="http://schemas.openxmlformats.org/officeDocument/2006/relationships/hyperlink" Target="https://m.stock.naver.com/research/company/92017" TargetMode="External"/><Relationship Id="rId5859" Type="http://schemas.openxmlformats.org/officeDocument/2006/relationships/hyperlink" Target="https://m.stock.naver.com/research/company/87381" TargetMode="External"/><Relationship Id="rId7281" Type="http://schemas.openxmlformats.org/officeDocument/2006/relationships/hyperlink" Target="https://m.stock.naver.com/research/company/85958" TargetMode="External"/><Relationship Id="rId8332" Type="http://schemas.openxmlformats.org/officeDocument/2006/relationships/hyperlink" Target="https://m.stock.naver.com/research/company/84906" TargetMode="External"/><Relationship Id="rId9730" Type="http://schemas.openxmlformats.org/officeDocument/2006/relationships/hyperlink" Target="https://m.stock.naver.com/research/company/83493" TargetMode="External"/><Relationship Id="rId11660" Type="http://schemas.openxmlformats.org/officeDocument/2006/relationships/hyperlink" Target="https://m.stock.naver.com/research/company/81552" TargetMode="External"/><Relationship Id="rId12711" Type="http://schemas.openxmlformats.org/officeDocument/2006/relationships/hyperlink" Target="https://m.stock.naver.com/research/company/80497" TargetMode="External"/><Relationship Id="rId10262" Type="http://schemas.openxmlformats.org/officeDocument/2006/relationships/hyperlink" Target="https://m.stock.naver.com/research/company/82959" TargetMode="External"/><Relationship Id="rId11313" Type="http://schemas.openxmlformats.org/officeDocument/2006/relationships/hyperlink" Target="https://m.stock.naver.com/research/company/81906" TargetMode="External"/><Relationship Id="rId14883" Type="http://schemas.openxmlformats.org/officeDocument/2006/relationships/hyperlink" Target="https://m.stock.naver.com/research/company/94741" TargetMode="External"/><Relationship Id="rId3891" Type="http://schemas.openxmlformats.org/officeDocument/2006/relationships/hyperlink" Target="https://m.stock.naver.com/research/company/89360" TargetMode="External"/><Relationship Id="rId4942" Type="http://schemas.openxmlformats.org/officeDocument/2006/relationships/hyperlink" Target="https://m.stock.naver.com/research/company/88298" TargetMode="External"/><Relationship Id="rId13485" Type="http://schemas.openxmlformats.org/officeDocument/2006/relationships/hyperlink" Target="https://m.stock.naver.com/research/company/79719" TargetMode="External"/><Relationship Id="rId14536" Type="http://schemas.openxmlformats.org/officeDocument/2006/relationships/hyperlink" Target="https://m.stock.naver.com/research/company/94374" TargetMode="External"/><Relationship Id="rId2493" Type="http://schemas.openxmlformats.org/officeDocument/2006/relationships/hyperlink" Target="https://m.stock.naver.com/research/company/90761" TargetMode="External"/><Relationship Id="rId3544" Type="http://schemas.openxmlformats.org/officeDocument/2006/relationships/hyperlink" Target="https://m.stock.naver.com/research/company/89707" TargetMode="External"/><Relationship Id="rId12087" Type="http://schemas.openxmlformats.org/officeDocument/2006/relationships/hyperlink" Target="https://m.stock.naver.com/research/company/81124" TargetMode="External"/><Relationship Id="rId13138" Type="http://schemas.openxmlformats.org/officeDocument/2006/relationships/hyperlink" Target="https://m.stock.naver.com/research/company/80069" TargetMode="External"/><Relationship Id="rId465" Type="http://schemas.openxmlformats.org/officeDocument/2006/relationships/hyperlink" Target="https://m.stock.naver.com/research/company/92992" TargetMode="External"/><Relationship Id="rId1095" Type="http://schemas.openxmlformats.org/officeDocument/2006/relationships/hyperlink" Target="https://m.stock.naver.com/research/company/92161" TargetMode="External"/><Relationship Id="rId2146" Type="http://schemas.openxmlformats.org/officeDocument/2006/relationships/hyperlink" Target="https://m.stock.naver.com/research/company/91109" TargetMode="External"/><Relationship Id="rId6767" Type="http://schemas.openxmlformats.org/officeDocument/2006/relationships/hyperlink" Target="https://m.stock.naver.com/research/company/86473" TargetMode="External"/><Relationship Id="rId7818" Type="http://schemas.openxmlformats.org/officeDocument/2006/relationships/hyperlink" Target="https://m.stock.naver.com/research/company/85420" TargetMode="External"/><Relationship Id="rId118" Type="http://schemas.openxmlformats.org/officeDocument/2006/relationships/hyperlink" Target="https://m.stock.naver.com/research/company/93340" TargetMode="External"/><Relationship Id="rId5369" Type="http://schemas.openxmlformats.org/officeDocument/2006/relationships/hyperlink" Target="https://m.stock.naver.com/research/company/87871" TargetMode="External"/><Relationship Id="rId9240" Type="http://schemas.openxmlformats.org/officeDocument/2006/relationships/hyperlink" Target="https://m.stock.naver.com/research/company/83988" TargetMode="External"/><Relationship Id="rId11170" Type="http://schemas.openxmlformats.org/officeDocument/2006/relationships/hyperlink" Target="https://m.stock.naver.com/research/company/82050" TargetMode="External"/><Relationship Id="rId12221" Type="http://schemas.openxmlformats.org/officeDocument/2006/relationships/hyperlink" Target="https://m.stock.naver.com/research/company/80989" TargetMode="External"/><Relationship Id="rId1979" Type="http://schemas.openxmlformats.org/officeDocument/2006/relationships/hyperlink" Target="https://m.stock.naver.com/research/company/91276" TargetMode="External"/><Relationship Id="rId5850" Type="http://schemas.openxmlformats.org/officeDocument/2006/relationships/hyperlink" Target="https://m.stock.naver.com/research/company/87390" TargetMode="External"/><Relationship Id="rId6901" Type="http://schemas.openxmlformats.org/officeDocument/2006/relationships/hyperlink" Target="https://m.stock.naver.com/research/company/86338" TargetMode="External"/><Relationship Id="rId14393" Type="http://schemas.openxmlformats.org/officeDocument/2006/relationships/hyperlink" Target="https://m.stock.naver.com/research/company/94251" TargetMode="External"/><Relationship Id="rId15444" Type="http://schemas.openxmlformats.org/officeDocument/2006/relationships/hyperlink" Target="https://m.stock.naver.com/research/company/95343" TargetMode="External"/><Relationship Id="rId3054" Type="http://schemas.openxmlformats.org/officeDocument/2006/relationships/hyperlink" Target="https://m.stock.naver.com/research/company/90197" TargetMode="External"/><Relationship Id="rId4452" Type="http://schemas.openxmlformats.org/officeDocument/2006/relationships/hyperlink" Target="https://m.stock.naver.com/research/company/88788" TargetMode="External"/><Relationship Id="rId5503" Type="http://schemas.openxmlformats.org/officeDocument/2006/relationships/hyperlink" Target="https://m.stock.naver.com/research/company/87737" TargetMode="External"/><Relationship Id="rId14046" Type="http://schemas.openxmlformats.org/officeDocument/2006/relationships/hyperlink" Target="https://m.stock.naver.com/research/company/93801" TargetMode="External"/><Relationship Id="rId4105" Type="http://schemas.openxmlformats.org/officeDocument/2006/relationships/hyperlink" Target="https://m.stock.naver.com/research/company/89146" TargetMode="External"/><Relationship Id="rId7675" Type="http://schemas.openxmlformats.org/officeDocument/2006/relationships/hyperlink" Target="https://m.stock.naver.com/research/company/85564" TargetMode="External"/><Relationship Id="rId8726" Type="http://schemas.openxmlformats.org/officeDocument/2006/relationships/hyperlink" Target="https://m.stock.naver.com/research/company/84511" TargetMode="External"/><Relationship Id="rId10656" Type="http://schemas.openxmlformats.org/officeDocument/2006/relationships/hyperlink" Target="https://m.stock.naver.com/research/company/82564" TargetMode="External"/><Relationship Id="rId11707" Type="http://schemas.openxmlformats.org/officeDocument/2006/relationships/hyperlink" Target="https://m.stock.naver.com/research/company/81505" TargetMode="External"/><Relationship Id="rId6277" Type="http://schemas.openxmlformats.org/officeDocument/2006/relationships/hyperlink" Target="https://m.stock.naver.com/research/company/86963" TargetMode="External"/><Relationship Id="rId7328" Type="http://schemas.openxmlformats.org/officeDocument/2006/relationships/hyperlink" Target="https://m.stock.naver.com/research/company/85911" TargetMode="External"/><Relationship Id="rId10309" Type="http://schemas.openxmlformats.org/officeDocument/2006/relationships/hyperlink" Target="https://m.stock.naver.com/research/company/82912" TargetMode="External"/><Relationship Id="rId2887" Type="http://schemas.openxmlformats.org/officeDocument/2006/relationships/hyperlink" Target="https://m.stock.naver.com/research/company/90366" TargetMode="External"/><Relationship Id="rId13879" Type="http://schemas.openxmlformats.org/officeDocument/2006/relationships/hyperlink" Target="https://m.stock.naver.com/research/company/93648" TargetMode="External"/><Relationship Id="rId859" Type="http://schemas.openxmlformats.org/officeDocument/2006/relationships/hyperlink" Target="https://m.stock.naver.com/research/company/92597" TargetMode="External"/><Relationship Id="rId1489" Type="http://schemas.openxmlformats.org/officeDocument/2006/relationships/hyperlink" Target="https://m.stock.naver.com/research/company/91766" TargetMode="External"/><Relationship Id="rId3938" Type="http://schemas.openxmlformats.org/officeDocument/2006/relationships/hyperlink" Target="https://m.stock.naver.com/research/company/89313" TargetMode="External"/><Relationship Id="rId5360" Type="http://schemas.openxmlformats.org/officeDocument/2006/relationships/hyperlink" Target="https://m.stock.naver.com/research/company/87880" TargetMode="External"/><Relationship Id="rId6411" Type="http://schemas.openxmlformats.org/officeDocument/2006/relationships/hyperlink" Target="https://m.stock.naver.com/research/company/86829" TargetMode="External"/><Relationship Id="rId5013" Type="http://schemas.openxmlformats.org/officeDocument/2006/relationships/hyperlink" Target="https://m.stock.naver.com/research/company/88227" TargetMode="External"/><Relationship Id="rId9981" Type="http://schemas.openxmlformats.org/officeDocument/2006/relationships/hyperlink" Target="https://m.stock.naver.com/research/company/83240" TargetMode="External"/><Relationship Id="rId12962" Type="http://schemas.openxmlformats.org/officeDocument/2006/relationships/hyperlink" Target="https://m.stock.naver.com/research/company/80246" TargetMode="External"/><Relationship Id="rId1970" Type="http://schemas.openxmlformats.org/officeDocument/2006/relationships/hyperlink" Target="https://m.stock.naver.com/research/company/91285" TargetMode="External"/><Relationship Id="rId7185" Type="http://schemas.openxmlformats.org/officeDocument/2006/relationships/hyperlink" Target="https://m.stock.naver.com/research/company/86054" TargetMode="External"/><Relationship Id="rId8583" Type="http://schemas.openxmlformats.org/officeDocument/2006/relationships/hyperlink" Target="https://m.stock.naver.com/research/company/84654" TargetMode="External"/><Relationship Id="rId9634" Type="http://schemas.openxmlformats.org/officeDocument/2006/relationships/hyperlink" Target="https://m.stock.naver.com/research/company/83591" TargetMode="External"/><Relationship Id="rId11564" Type="http://schemas.openxmlformats.org/officeDocument/2006/relationships/hyperlink" Target="https://m.stock.naver.com/research/company/81649" TargetMode="External"/><Relationship Id="rId12615" Type="http://schemas.openxmlformats.org/officeDocument/2006/relationships/hyperlink" Target="https://m.stock.naver.com/research/company/80593" TargetMode="External"/><Relationship Id="rId1623" Type="http://schemas.openxmlformats.org/officeDocument/2006/relationships/hyperlink" Target="https://m.stock.naver.com/research/company/91632" TargetMode="External"/><Relationship Id="rId8236" Type="http://schemas.openxmlformats.org/officeDocument/2006/relationships/hyperlink" Target="https://m.stock.naver.com/research/company/85002" TargetMode="External"/><Relationship Id="rId10166" Type="http://schemas.openxmlformats.org/officeDocument/2006/relationships/hyperlink" Target="https://m.stock.naver.com/research/company/83055" TargetMode="External"/><Relationship Id="rId11217" Type="http://schemas.openxmlformats.org/officeDocument/2006/relationships/hyperlink" Target="https://m.stock.naver.com/research/company/82003" TargetMode="External"/><Relationship Id="rId14787" Type="http://schemas.openxmlformats.org/officeDocument/2006/relationships/hyperlink" Target="https://m.stock.naver.com/research/company/94613" TargetMode="External"/><Relationship Id="rId3795" Type="http://schemas.openxmlformats.org/officeDocument/2006/relationships/hyperlink" Target="https://m.stock.naver.com/research/company/89456" TargetMode="External"/><Relationship Id="rId4846" Type="http://schemas.openxmlformats.org/officeDocument/2006/relationships/hyperlink" Target="https://m.stock.naver.com/research/company/88394" TargetMode="External"/><Relationship Id="rId13389" Type="http://schemas.openxmlformats.org/officeDocument/2006/relationships/hyperlink" Target="https://m.stock.naver.com/research/company/79816" TargetMode="External"/><Relationship Id="rId2397" Type="http://schemas.openxmlformats.org/officeDocument/2006/relationships/hyperlink" Target="https://m.stock.naver.com/research/company/90857" TargetMode="External"/><Relationship Id="rId3448" Type="http://schemas.openxmlformats.org/officeDocument/2006/relationships/hyperlink" Target="https://m.stock.naver.com/research/company/89803" TargetMode="External"/><Relationship Id="rId369" Type="http://schemas.openxmlformats.org/officeDocument/2006/relationships/hyperlink" Target="https://m.stock.naver.com/research/company/93089" TargetMode="External"/><Relationship Id="rId9491" Type="http://schemas.openxmlformats.org/officeDocument/2006/relationships/hyperlink" Target="https://m.stock.naver.com/research/company/83736" TargetMode="External"/><Relationship Id="rId10300" Type="http://schemas.openxmlformats.org/officeDocument/2006/relationships/hyperlink" Target="https://m.stock.naver.com/research/company/82921" TargetMode="External"/><Relationship Id="rId13870" Type="http://schemas.openxmlformats.org/officeDocument/2006/relationships/hyperlink" Target="https://m.stock.naver.com/research/company/93657" TargetMode="External"/><Relationship Id="rId14921" Type="http://schemas.openxmlformats.org/officeDocument/2006/relationships/hyperlink" Target="https://m.stock.naver.com/research/company/94913" TargetMode="External"/><Relationship Id="rId1480" Type="http://schemas.openxmlformats.org/officeDocument/2006/relationships/hyperlink" Target="https://m.stock.naver.com/research/company/91775" TargetMode="External"/><Relationship Id="rId8093" Type="http://schemas.openxmlformats.org/officeDocument/2006/relationships/hyperlink" Target="https://m.stock.naver.com/research/company/85145" TargetMode="External"/><Relationship Id="rId9144" Type="http://schemas.openxmlformats.org/officeDocument/2006/relationships/hyperlink" Target="https://m.stock.naver.com/research/company/84086" TargetMode="External"/><Relationship Id="rId12472" Type="http://schemas.openxmlformats.org/officeDocument/2006/relationships/hyperlink" Target="https://m.stock.naver.com/research/company/80736" TargetMode="External"/><Relationship Id="rId13523" Type="http://schemas.openxmlformats.org/officeDocument/2006/relationships/hyperlink" Target="https://m.stock.naver.com/research/company/79681" TargetMode="External"/><Relationship Id="rId850" Type="http://schemas.openxmlformats.org/officeDocument/2006/relationships/hyperlink" Target="https://m.stock.naver.com/research/company/92606" TargetMode="External"/><Relationship Id="rId1133" Type="http://schemas.openxmlformats.org/officeDocument/2006/relationships/hyperlink" Target="https://m.stock.naver.com/research/company/92122" TargetMode="External"/><Relationship Id="rId2531" Type="http://schemas.openxmlformats.org/officeDocument/2006/relationships/hyperlink" Target="https://m.stock.naver.com/research/company/90723" TargetMode="External"/><Relationship Id="rId11074" Type="http://schemas.openxmlformats.org/officeDocument/2006/relationships/hyperlink" Target="https://m.stock.naver.com/research/company/82146" TargetMode="External"/><Relationship Id="rId12125" Type="http://schemas.openxmlformats.org/officeDocument/2006/relationships/hyperlink" Target="https://m.stock.naver.com/research/company/81086" TargetMode="External"/><Relationship Id="rId15695" Type="http://schemas.openxmlformats.org/officeDocument/2006/relationships/hyperlink" Target="https://m.stock.naver.com/research/company/95719" TargetMode="External"/><Relationship Id="rId503" Type="http://schemas.openxmlformats.org/officeDocument/2006/relationships/hyperlink" Target="https://m.stock.naver.com/research/company/92954" TargetMode="External"/><Relationship Id="rId5754" Type="http://schemas.openxmlformats.org/officeDocument/2006/relationships/hyperlink" Target="https://m.stock.naver.com/research/company/87486" TargetMode="External"/><Relationship Id="rId6805" Type="http://schemas.openxmlformats.org/officeDocument/2006/relationships/hyperlink" Target="https://m.stock.naver.com/research/company/86435" TargetMode="External"/><Relationship Id="rId14297" Type="http://schemas.openxmlformats.org/officeDocument/2006/relationships/hyperlink" Target="https://m.stock.naver.com/research/company/94167" TargetMode="External"/><Relationship Id="rId15348" Type="http://schemas.openxmlformats.org/officeDocument/2006/relationships/hyperlink" Target="https://m.stock.naver.com/research/company/95240" TargetMode="External"/><Relationship Id="rId4356" Type="http://schemas.openxmlformats.org/officeDocument/2006/relationships/hyperlink" Target="https://m.stock.naver.com/research/company/88885" TargetMode="External"/><Relationship Id="rId5407" Type="http://schemas.openxmlformats.org/officeDocument/2006/relationships/hyperlink" Target="https://m.stock.naver.com/research/company/87833" TargetMode="External"/><Relationship Id="rId8977" Type="http://schemas.openxmlformats.org/officeDocument/2006/relationships/hyperlink" Target="https://m.stock.naver.com/research/company/84255" TargetMode="External"/><Relationship Id="rId4009" Type="http://schemas.openxmlformats.org/officeDocument/2006/relationships/hyperlink" Target="https://m.stock.naver.com/research/company/89242" TargetMode="External"/><Relationship Id="rId7579" Type="http://schemas.openxmlformats.org/officeDocument/2006/relationships/hyperlink" Target="https://m.stock.naver.com/research/company/85660" TargetMode="External"/><Relationship Id="rId11958" Type="http://schemas.openxmlformats.org/officeDocument/2006/relationships/hyperlink" Target="https://m.stock.naver.com/research/company/81253" TargetMode="External"/><Relationship Id="rId13380" Type="http://schemas.openxmlformats.org/officeDocument/2006/relationships/hyperlink" Target="https://m.stock.naver.com/research/company/79825" TargetMode="External"/><Relationship Id="rId13033" Type="http://schemas.openxmlformats.org/officeDocument/2006/relationships/hyperlink" Target="https://m.stock.naver.com/research/company/80174" TargetMode="External"/><Relationship Id="rId14431" Type="http://schemas.openxmlformats.org/officeDocument/2006/relationships/hyperlink" Target="https://m.stock.naver.com/research/company/94479" TargetMode="External"/><Relationship Id="rId360" Type="http://schemas.openxmlformats.org/officeDocument/2006/relationships/hyperlink" Target="https://m.stock.naver.com/research/company/93098" TargetMode="External"/><Relationship Id="rId2041" Type="http://schemas.openxmlformats.org/officeDocument/2006/relationships/hyperlink" Target="https://m.stock.naver.com/research/company/91214" TargetMode="External"/><Relationship Id="rId5264" Type="http://schemas.openxmlformats.org/officeDocument/2006/relationships/hyperlink" Target="https://m.stock.naver.com/research/company/87976" TargetMode="External"/><Relationship Id="rId6662" Type="http://schemas.openxmlformats.org/officeDocument/2006/relationships/hyperlink" Target="https://m.stock.naver.com/research/company/86578" TargetMode="External"/><Relationship Id="rId7713" Type="http://schemas.openxmlformats.org/officeDocument/2006/relationships/hyperlink" Target="https://m.stock.naver.com/research/company/85526" TargetMode="External"/><Relationship Id="rId6315" Type="http://schemas.openxmlformats.org/officeDocument/2006/relationships/hyperlink" Target="https://m.stock.naver.com/research/company/86925" TargetMode="External"/><Relationship Id="rId9885" Type="http://schemas.openxmlformats.org/officeDocument/2006/relationships/hyperlink" Target="https://m.stock.naver.com/research/company/83337" TargetMode="External"/><Relationship Id="rId12866" Type="http://schemas.openxmlformats.org/officeDocument/2006/relationships/hyperlink" Target="https://m.stock.naver.com/research/company/80342" TargetMode="External"/><Relationship Id="rId13917" Type="http://schemas.openxmlformats.org/officeDocument/2006/relationships/hyperlink" Target="https://m.stock.naver.com/research/company/93720" TargetMode="External"/><Relationship Id="rId99" Type="http://schemas.openxmlformats.org/officeDocument/2006/relationships/hyperlink" Target="https://m.stock.naver.com/research/company/93359" TargetMode="External"/><Relationship Id="rId1874" Type="http://schemas.openxmlformats.org/officeDocument/2006/relationships/hyperlink" Target="https://m.stock.naver.com/research/company/91381" TargetMode="External"/><Relationship Id="rId2925" Type="http://schemas.openxmlformats.org/officeDocument/2006/relationships/hyperlink" Target="https://m.stock.naver.com/research/company/90328" TargetMode="External"/><Relationship Id="rId8487" Type="http://schemas.openxmlformats.org/officeDocument/2006/relationships/hyperlink" Target="https://m.stock.naver.com/research/company/84750" TargetMode="External"/><Relationship Id="rId9538" Type="http://schemas.openxmlformats.org/officeDocument/2006/relationships/hyperlink" Target="https://m.stock.naver.com/research/company/83689" TargetMode="External"/><Relationship Id="rId11468" Type="http://schemas.openxmlformats.org/officeDocument/2006/relationships/hyperlink" Target="https://m.stock.naver.com/research/company/81747" TargetMode="External"/><Relationship Id="rId12519" Type="http://schemas.openxmlformats.org/officeDocument/2006/relationships/hyperlink" Target="https://m.stock.naver.com/research/company/80689" TargetMode="External"/><Relationship Id="rId1527" Type="http://schemas.openxmlformats.org/officeDocument/2006/relationships/hyperlink" Target="https://m.stock.naver.com/research/company/91728" TargetMode="External"/><Relationship Id="rId7089" Type="http://schemas.openxmlformats.org/officeDocument/2006/relationships/hyperlink" Target="https://m.stock.naver.com/research/company/86150" TargetMode="External"/><Relationship Id="rId3699" Type="http://schemas.openxmlformats.org/officeDocument/2006/relationships/hyperlink" Target="https://m.stock.naver.com/research/company/89552" TargetMode="External"/><Relationship Id="rId4000" Type="http://schemas.openxmlformats.org/officeDocument/2006/relationships/hyperlink" Target="https://m.stock.naver.com/research/company/89251" TargetMode="External"/><Relationship Id="rId7570" Type="http://schemas.openxmlformats.org/officeDocument/2006/relationships/hyperlink" Target="https://m.stock.naver.com/research/company/85669" TargetMode="External"/><Relationship Id="rId8621" Type="http://schemas.openxmlformats.org/officeDocument/2006/relationships/hyperlink" Target="https://m.stock.naver.com/research/company/84616" TargetMode="External"/><Relationship Id="rId6172" Type="http://schemas.openxmlformats.org/officeDocument/2006/relationships/hyperlink" Target="https://m.stock.naver.com/research/company/87068" TargetMode="External"/><Relationship Id="rId7223" Type="http://schemas.openxmlformats.org/officeDocument/2006/relationships/hyperlink" Target="https://m.stock.naver.com/research/company/86016" TargetMode="External"/><Relationship Id="rId10551" Type="http://schemas.openxmlformats.org/officeDocument/2006/relationships/hyperlink" Target="https://m.stock.naver.com/research/company/82669" TargetMode="External"/><Relationship Id="rId11602" Type="http://schemas.openxmlformats.org/officeDocument/2006/relationships/hyperlink" Target="https://m.stock.naver.com/research/company/81610" TargetMode="External"/><Relationship Id="rId9395" Type="http://schemas.openxmlformats.org/officeDocument/2006/relationships/hyperlink" Target="https://m.stock.naver.com/research/company/83832" TargetMode="External"/><Relationship Id="rId10204" Type="http://schemas.openxmlformats.org/officeDocument/2006/relationships/hyperlink" Target="https://m.stock.naver.com/research/company/83017" TargetMode="External"/><Relationship Id="rId13774" Type="http://schemas.openxmlformats.org/officeDocument/2006/relationships/hyperlink" Target="https://m.stock.naver.com/research/company/93614" TargetMode="External"/><Relationship Id="rId14825" Type="http://schemas.openxmlformats.org/officeDocument/2006/relationships/hyperlink" Target="https://m.stock.naver.com/research/company/94799" TargetMode="External"/><Relationship Id="rId2782" Type="http://schemas.openxmlformats.org/officeDocument/2006/relationships/hyperlink" Target="https://m.stock.naver.com/research/company/90472" TargetMode="External"/><Relationship Id="rId3833" Type="http://schemas.openxmlformats.org/officeDocument/2006/relationships/hyperlink" Target="https://m.stock.naver.com/research/company/89418" TargetMode="External"/><Relationship Id="rId9048" Type="http://schemas.openxmlformats.org/officeDocument/2006/relationships/hyperlink" Target="https://m.stock.naver.com/research/company/84183" TargetMode="External"/><Relationship Id="rId12376" Type="http://schemas.openxmlformats.org/officeDocument/2006/relationships/hyperlink" Target="https://m.stock.naver.com/research/company/80833" TargetMode="External"/><Relationship Id="rId13427" Type="http://schemas.openxmlformats.org/officeDocument/2006/relationships/hyperlink" Target="https://m.stock.naver.com/research/company/79778" TargetMode="External"/><Relationship Id="rId754" Type="http://schemas.openxmlformats.org/officeDocument/2006/relationships/hyperlink" Target="https://m.stock.naver.com/research/company/92702" TargetMode="External"/><Relationship Id="rId1384" Type="http://schemas.openxmlformats.org/officeDocument/2006/relationships/hyperlink" Target="https://m.stock.naver.com/research/company/91871" TargetMode="External"/><Relationship Id="rId2435" Type="http://schemas.openxmlformats.org/officeDocument/2006/relationships/hyperlink" Target="https://m.stock.naver.com/research/company/90819" TargetMode="External"/><Relationship Id="rId12029" Type="http://schemas.openxmlformats.org/officeDocument/2006/relationships/hyperlink" Target="https://m.stock.naver.com/research/company/81182" TargetMode="External"/><Relationship Id="rId15599" Type="http://schemas.openxmlformats.org/officeDocument/2006/relationships/hyperlink" Target="https://m.stock.naver.com/research/company/95437" TargetMode="External"/><Relationship Id="rId90" Type="http://schemas.openxmlformats.org/officeDocument/2006/relationships/hyperlink" Target="https://m.stock.naver.com/research/company/93368" TargetMode="External"/><Relationship Id="rId407" Type="http://schemas.openxmlformats.org/officeDocument/2006/relationships/hyperlink" Target="https://m.stock.naver.com/research/company/93051" TargetMode="External"/><Relationship Id="rId1037" Type="http://schemas.openxmlformats.org/officeDocument/2006/relationships/hyperlink" Target="https://m.stock.naver.com/research/company/92314" TargetMode="External"/><Relationship Id="rId5658" Type="http://schemas.openxmlformats.org/officeDocument/2006/relationships/hyperlink" Target="https://m.stock.naver.com/research/company/87582" TargetMode="External"/><Relationship Id="rId6709" Type="http://schemas.openxmlformats.org/officeDocument/2006/relationships/hyperlink" Target="https://m.stock.naver.com/research/company/86531" TargetMode="External"/><Relationship Id="rId7080" Type="http://schemas.openxmlformats.org/officeDocument/2006/relationships/hyperlink" Target="https://m.stock.naver.com/research/company/86159" TargetMode="External"/><Relationship Id="rId8131" Type="http://schemas.openxmlformats.org/officeDocument/2006/relationships/hyperlink" Target="https://m.stock.naver.com/research/company/85107" TargetMode="External"/><Relationship Id="rId10061" Type="http://schemas.openxmlformats.org/officeDocument/2006/relationships/hyperlink" Target="https://m.stock.naver.com/research/company/83160" TargetMode="External"/><Relationship Id="rId11112" Type="http://schemas.openxmlformats.org/officeDocument/2006/relationships/hyperlink" Target="https://m.stock.naver.com/research/company/82108" TargetMode="External"/><Relationship Id="rId12510" Type="http://schemas.openxmlformats.org/officeDocument/2006/relationships/hyperlink" Target="https://m.stock.naver.com/research/company/80698" TargetMode="External"/><Relationship Id="rId3690" Type="http://schemas.openxmlformats.org/officeDocument/2006/relationships/hyperlink" Target="https://m.stock.naver.com/research/company/89561" TargetMode="External"/><Relationship Id="rId14682" Type="http://schemas.openxmlformats.org/officeDocument/2006/relationships/hyperlink" Target="https://m.stock.naver.com/research/company/94496" TargetMode="External"/><Relationship Id="rId15733" Type="http://schemas.openxmlformats.org/officeDocument/2006/relationships/hyperlink" Target="https://m.stock.naver.com/research/company/95681" TargetMode="External"/><Relationship Id="rId2292" Type="http://schemas.openxmlformats.org/officeDocument/2006/relationships/hyperlink" Target="https://m.stock.naver.com/research/company/90963" TargetMode="External"/><Relationship Id="rId3343" Type="http://schemas.openxmlformats.org/officeDocument/2006/relationships/hyperlink" Target="https://m.stock.naver.com/research/company/89907" TargetMode="External"/><Relationship Id="rId4741" Type="http://schemas.openxmlformats.org/officeDocument/2006/relationships/hyperlink" Target="https://m.stock.naver.com/research/company/88499" TargetMode="External"/><Relationship Id="rId13284" Type="http://schemas.openxmlformats.org/officeDocument/2006/relationships/hyperlink" Target="https://m.stock.naver.com/research/company/79921" TargetMode="External"/><Relationship Id="rId14335" Type="http://schemas.openxmlformats.org/officeDocument/2006/relationships/hyperlink" Target="https://m.stock.naver.com/research/company/94216" TargetMode="External"/><Relationship Id="rId264" Type="http://schemas.openxmlformats.org/officeDocument/2006/relationships/hyperlink" Target="https://m.stock.naver.com/research/company/93194" TargetMode="External"/><Relationship Id="rId7964" Type="http://schemas.openxmlformats.org/officeDocument/2006/relationships/hyperlink" Target="https://m.stock.naver.com/research/company/85274" TargetMode="External"/><Relationship Id="rId10945" Type="http://schemas.openxmlformats.org/officeDocument/2006/relationships/hyperlink" Target="https://m.stock.naver.com/research/company/82275" TargetMode="External"/><Relationship Id="rId6566" Type="http://schemas.openxmlformats.org/officeDocument/2006/relationships/hyperlink" Target="https://m.stock.naver.com/research/company/86674" TargetMode="External"/><Relationship Id="rId7617" Type="http://schemas.openxmlformats.org/officeDocument/2006/relationships/hyperlink" Target="https://m.stock.naver.com/research/company/85622" TargetMode="External"/><Relationship Id="rId5168" Type="http://schemas.openxmlformats.org/officeDocument/2006/relationships/hyperlink" Target="https://m.stock.naver.com/research/company/88072" TargetMode="External"/><Relationship Id="rId6219" Type="http://schemas.openxmlformats.org/officeDocument/2006/relationships/hyperlink" Target="https://m.stock.naver.com/research/company/87021" TargetMode="External"/><Relationship Id="rId9789" Type="http://schemas.openxmlformats.org/officeDocument/2006/relationships/hyperlink" Target="https://m.stock.naver.com/research/company/83433" TargetMode="External"/><Relationship Id="rId12020" Type="http://schemas.openxmlformats.org/officeDocument/2006/relationships/hyperlink" Target="https://m.stock.naver.com/research/company/81191" TargetMode="External"/><Relationship Id="rId15590" Type="http://schemas.openxmlformats.org/officeDocument/2006/relationships/hyperlink" Target="https://m.stock.naver.com/research/company/95446" TargetMode="External"/><Relationship Id="rId1778" Type="http://schemas.openxmlformats.org/officeDocument/2006/relationships/hyperlink" Target="https://m.stock.naver.com/research/company/91477" TargetMode="External"/><Relationship Id="rId2829" Type="http://schemas.openxmlformats.org/officeDocument/2006/relationships/hyperlink" Target="https://m.stock.naver.com/research/company/90424" TargetMode="External"/><Relationship Id="rId6700" Type="http://schemas.openxmlformats.org/officeDocument/2006/relationships/hyperlink" Target="https://m.stock.naver.com/research/company/86540" TargetMode="External"/><Relationship Id="rId14192" Type="http://schemas.openxmlformats.org/officeDocument/2006/relationships/hyperlink" Target="https://m.stock.naver.com/research/company/94066" TargetMode="External"/><Relationship Id="rId15243" Type="http://schemas.openxmlformats.org/officeDocument/2006/relationships/hyperlink" Target="https://m.stock.naver.com/research/company/95117" TargetMode="External"/><Relationship Id="rId4251" Type="http://schemas.openxmlformats.org/officeDocument/2006/relationships/hyperlink" Target="https://m.stock.naver.com/research/company/88991" TargetMode="External"/><Relationship Id="rId5302" Type="http://schemas.openxmlformats.org/officeDocument/2006/relationships/hyperlink" Target="https://m.stock.naver.com/research/company/87938" TargetMode="External"/><Relationship Id="rId7474" Type="http://schemas.openxmlformats.org/officeDocument/2006/relationships/hyperlink" Target="https://m.stock.naver.com/research/company/85765" TargetMode="External"/><Relationship Id="rId8872" Type="http://schemas.openxmlformats.org/officeDocument/2006/relationships/hyperlink" Target="https://m.stock.naver.com/research/company/84365" TargetMode="External"/><Relationship Id="rId9923" Type="http://schemas.openxmlformats.org/officeDocument/2006/relationships/hyperlink" Target="https://m.stock.naver.com/research/company/83299" TargetMode="External"/><Relationship Id="rId11853" Type="http://schemas.openxmlformats.org/officeDocument/2006/relationships/hyperlink" Target="https://m.stock.naver.com/research/company/81359" TargetMode="External"/><Relationship Id="rId12904" Type="http://schemas.openxmlformats.org/officeDocument/2006/relationships/hyperlink" Target="https://m.stock.naver.com/research/company/80304" TargetMode="External"/><Relationship Id="rId1912" Type="http://schemas.openxmlformats.org/officeDocument/2006/relationships/hyperlink" Target="https://m.stock.naver.com/research/company/91343" TargetMode="External"/><Relationship Id="rId6076" Type="http://schemas.openxmlformats.org/officeDocument/2006/relationships/hyperlink" Target="https://m.stock.naver.com/research/company/87164" TargetMode="External"/><Relationship Id="rId7127" Type="http://schemas.openxmlformats.org/officeDocument/2006/relationships/hyperlink" Target="https://m.stock.naver.com/research/company/86112" TargetMode="External"/><Relationship Id="rId8525" Type="http://schemas.openxmlformats.org/officeDocument/2006/relationships/hyperlink" Target="https://m.stock.naver.com/research/company/84712" TargetMode="External"/><Relationship Id="rId10455" Type="http://schemas.openxmlformats.org/officeDocument/2006/relationships/hyperlink" Target="https://m.stock.naver.com/research/company/82765" TargetMode="External"/><Relationship Id="rId11506" Type="http://schemas.openxmlformats.org/officeDocument/2006/relationships/hyperlink" Target="https://m.stock.naver.com/research/company/81709" TargetMode="External"/><Relationship Id="rId10108" Type="http://schemas.openxmlformats.org/officeDocument/2006/relationships/hyperlink" Target="https://m.stock.naver.com/research/company/83113" TargetMode="External"/><Relationship Id="rId13678" Type="http://schemas.openxmlformats.org/officeDocument/2006/relationships/hyperlink" Target="https://m.stock.naver.com/research/company/79526" TargetMode="External"/><Relationship Id="rId14729" Type="http://schemas.openxmlformats.org/officeDocument/2006/relationships/hyperlink" Target="https://m.stock.naver.com/research/company/94671" TargetMode="External"/><Relationship Id="rId2686" Type="http://schemas.openxmlformats.org/officeDocument/2006/relationships/hyperlink" Target="https://m.stock.naver.com/research/company/90568" TargetMode="External"/><Relationship Id="rId3737" Type="http://schemas.openxmlformats.org/officeDocument/2006/relationships/hyperlink" Target="https://m.stock.naver.com/research/company/89514" TargetMode="External"/><Relationship Id="rId9299" Type="http://schemas.openxmlformats.org/officeDocument/2006/relationships/hyperlink" Target="https://m.stock.naver.com/research/company/83928" TargetMode="External"/><Relationship Id="rId658" Type="http://schemas.openxmlformats.org/officeDocument/2006/relationships/hyperlink" Target="https://m.stock.naver.com/research/company/92798" TargetMode="External"/><Relationship Id="rId1288" Type="http://schemas.openxmlformats.org/officeDocument/2006/relationships/hyperlink" Target="https://m.stock.naver.com/research/company/91967" TargetMode="External"/><Relationship Id="rId2339" Type="http://schemas.openxmlformats.org/officeDocument/2006/relationships/hyperlink" Target="https://m.stock.naver.com/research/company/90916" TargetMode="External"/><Relationship Id="rId6210" Type="http://schemas.openxmlformats.org/officeDocument/2006/relationships/hyperlink" Target="https://m.stock.naver.com/research/company/87030" TargetMode="External"/><Relationship Id="rId9780" Type="http://schemas.openxmlformats.org/officeDocument/2006/relationships/hyperlink" Target="https://m.stock.naver.com/research/company/83443" TargetMode="External"/><Relationship Id="rId8382" Type="http://schemas.openxmlformats.org/officeDocument/2006/relationships/hyperlink" Target="https://m.stock.naver.com/research/company/84856" TargetMode="External"/><Relationship Id="rId9433" Type="http://schemas.openxmlformats.org/officeDocument/2006/relationships/hyperlink" Target="https://m.stock.naver.com/research/company/83794" TargetMode="External"/><Relationship Id="rId12761" Type="http://schemas.openxmlformats.org/officeDocument/2006/relationships/hyperlink" Target="https://m.stock.naver.com/research/company/80447" TargetMode="External"/><Relationship Id="rId13812" Type="http://schemas.openxmlformats.org/officeDocument/2006/relationships/hyperlink" Target="https://m.stock.naver.com/research/company/93566" TargetMode="External"/><Relationship Id="rId1422" Type="http://schemas.openxmlformats.org/officeDocument/2006/relationships/hyperlink" Target="https://m.stock.naver.com/research/company/91833" TargetMode="External"/><Relationship Id="rId2820" Type="http://schemas.openxmlformats.org/officeDocument/2006/relationships/hyperlink" Target="https://m.stock.naver.com/research/company/90433" TargetMode="External"/><Relationship Id="rId8035" Type="http://schemas.openxmlformats.org/officeDocument/2006/relationships/hyperlink" Target="https://m.stock.naver.com/research/company/85203" TargetMode="External"/><Relationship Id="rId11016" Type="http://schemas.openxmlformats.org/officeDocument/2006/relationships/hyperlink" Target="https://m.stock.naver.com/research/company/82204" TargetMode="External"/><Relationship Id="rId11363" Type="http://schemas.openxmlformats.org/officeDocument/2006/relationships/hyperlink" Target="https://m.stock.naver.com/research/company/81852" TargetMode="External"/><Relationship Id="rId12414" Type="http://schemas.openxmlformats.org/officeDocument/2006/relationships/hyperlink" Target="https://m.stock.naver.com/research/company/80795" TargetMode="External"/><Relationship Id="rId4992" Type="http://schemas.openxmlformats.org/officeDocument/2006/relationships/hyperlink" Target="https://m.stock.naver.com/research/company/88248" TargetMode="External"/><Relationship Id="rId14586" Type="http://schemas.openxmlformats.org/officeDocument/2006/relationships/hyperlink" Target="https://m.stock.naver.com/research/company/94493" TargetMode="External"/><Relationship Id="rId15637" Type="http://schemas.openxmlformats.org/officeDocument/2006/relationships/hyperlink" Target="https://m.stock.naver.com/research/company/95778" TargetMode="External"/><Relationship Id="rId2196" Type="http://schemas.openxmlformats.org/officeDocument/2006/relationships/hyperlink" Target="https://m.stock.naver.com/research/company/91059" TargetMode="External"/><Relationship Id="rId3594" Type="http://schemas.openxmlformats.org/officeDocument/2006/relationships/hyperlink" Target="https://m.stock.naver.com/research/company/89657" TargetMode="External"/><Relationship Id="rId4645" Type="http://schemas.openxmlformats.org/officeDocument/2006/relationships/hyperlink" Target="https://m.stock.naver.com/research/company/88595" TargetMode="External"/><Relationship Id="rId13188" Type="http://schemas.openxmlformats.org/officeDocument/2006/relationships/hyperlink" Target="https://m.stock.naver.com/research/company/80019" TargetMode="External"/><Relationship Id="rId14239" Type="http://schemas.openxmlformats.org/officeDocument/2006/relationships/hyperlink" Target="https://m.stock.naver.com/research/company/94104" TargetMode="External"/><Relationship Id="rId168" Type="http://schemas.openxmlformats.org/officeDocument/2006/relationships/hyperlink" Target="https://m.stock.naver.com/research/company/93290" TargetMode="External"/><Relationship Id="rId3247" Type="http://schemas.openxmlformats.org/officeDocument/2006/relationships/hyperlink" Target="https://m.stock.naver.com/research/company/90003" TargetMode="External"/><Relationship Id="rId7868" Type="http://schemas.openxmlformats.org/officeDocument/2006/relationships/hyperlink" Target="https://m.stock.naver.com/research/company/85370" TargetMode="External"/><Relationship Id="rId8919" Type="http://schemas.openxmlformats.org/officeDocument/2006/relationships/hyperlink" Target="https://m.stock.naver.com/research/company/84316" TargetMode="External"/><Relationship Id="rId10849" Type="http://schemas.openxmlformats.org/officeDocument/2006/relationships/hyperlink" Target="https://m.stock.naver.com/research/company/82371" TargetMode="External"/><Relationship Id="rId9290" Type="http://schemas.openxmlformats.org/officeDocument/2006/relationships/hyperlink" Target="https://m.stock.naver.com/research/company/83937" TargetMode="External"/><Relationship Id="rId12271" Type="http://schemas.openxmlformats.org/officeDocument/2006/relationships/hyperlink" Target="https://m.stock.naver.com/research/company/80938" TargetMode="External"/><Relationship Id="rId13322" Type="http://schemas.openxmlformats.org/officeDocument/2006/relationships/hyperlink" Target="https://m.stock.naver.com/research/company/79883" TargetMode="External"/><Relationship Id="rId14720" Type="http://schemas.openxmlformats.org/officeDocument/2006/relationships/hyperlink" Target="https://m.stock.naver.com/research/company/94680" TargetMode="External"/><Relationship Id="rId2330" Type="http://schemas.openxmlformats.org/officeDocument/2006/relationships/hyperlink" Target="https://m.stock.naver.com/research/company/90925" TargetMode="External"/><Relationship Id="rId302" Type="http://schemas.openxmlformats.org/officeDocument/2006/relationships/hyperlink" Target="https://m.stock.naver.com/research/company/93156" TargetMode="External"/><Relationship Id="rId5553" Type="http://schemas.openxmlformats.org/officeDocument/2006/relationships/hyperlink" Target="https://m.stock.naver.com/research/company/87687" TargetMode="External"/><Relationship Id="rId6951" Type="http://schemas.openxmlformats.org/officeDocument/2006/relationships/hyperlink" Target="https://m.stock.naver.com/research/company/86288" TargetMode="External"/><Relationship Id="rId14096" Type="http://schemas.openxmlformats.org/officeDocument/2006/relationships/hyperlink" Target="https://m.stock.naver.com/research/company/93906" TargetMode="External"/><Relationship Id="rId15147" Type="http://schemas.openxmlformats.org/officeDocument/2006/relationships/hyperlink" Target="https://m.stock.naver.com/research/company/94947" TargetMode="External"/><Relationship Id="rId15494" Type="http://schemas.openxmlformats.org/officeDocument/2006/relationships/hyperlink" Target="https://m.stock.naver.com/research/company/95293" TargetMode="External"/><Relationship Id="rId4155" Type="http://schemas.openxmlformats.org/officeDocument/2006/relationships/hyperlink" Target="https://m.stock.naver.com/research/company/89094" TargetMode="External"/><Relationship Id="rId5206" Type="http://schemas.openxmlformats.org/officeDocument/2006/relationships/hyperlink" Target="https://m.stock.naver.com/research/company/88034" TargetMode="External"/><Relationship Id="rId6604" Type="http://schemas.openxmlformats.org/officeDocument/2006/relationships/hyperlink" Target="https://m.stock.naver.com/research/company/86636" TargetMode="External"/><Relationship Id="rId8776" Type="http://schemas.openxmlformats.org/officeDocument/2006/relationships/hyperlink" Target="https://m.stock.naver.com/research/company/84461" TargetMode="External"/><Relationship Id="rId9827" Type="http://schemas.openxmlformats.org/officeDocument/2006/relationships/hyperlink" Target="https://m.stock.naver.com/research/company/83395" TargetMode="External"/><Relationship Id="rId11757" Type="http://schemas.openxmlformats.org/officeDocument/2006/relationships/hyperlink" Target="https://m.stock.naver.com/research/company/81455" TargetMode="External"/><Relationship Id="rId12808" Type="http://schemas.openxmlformats.org/officeDocument/2006/relationships/hyperlink" Target="https://m.stock.naver.com/research/company/80400" TargetMode="External"/><Relationship Id="rId1816" Type="http://schemas.openxmlformats.org/officeDocument/2006/relationships/hyperlink" Target="https://m.stock.naver.com/research/company/91439" TargetMode="External"/><Relationship Id="rId7378" Type="http://schemas.openxmlformats.org/officeDocument/2006/relationships/hyperlink" Target="https://m.stock.naver.com/research/company/85861" TargetMode="External"/><Relationship Id="rId8429" Type="http://schemas.openxmlformats.org/officeDocument/2006/relationships/hyperlink" Target="https://m.stock.naver.com/research/company/84809" TargetMode="External"/><Relationship Id="rId10359" Type="http://schemas.openxmlformats.org/officeDocument/2006/relationships/hyperlink" Target="https://m.stock.naver.com/research/company/82862" TargetMode="External"/><Relationship Id="rId14230" Type="http://schemas.openxmlformats.org/officeDocument/2006/relationships/hyperlink" Target="https://m.stock.naver.com/research/company/94113" TargetMode="External"/><Relationship Id="rId3988" Type="http://schemas.openxmlformats.org/officeDocument/2006/relationships/hyperlink" Target="https://m.stock.naver.com/research/company/89263" TargetMode="External"/><Relationship Id="rId8910" Type="http://schemas.openxmlformats.org/officeDocument/2006/relationships/hyperlink" Target="https://m.stock.naver.com/research/company/84326" TargetMode="External"/><Relationship Id="rId6461" Type="http://schemas.openxmlformats.org/officeDocument/2006/relationships/hyperlink" Target="https://m.stock.naver.com/research/company/86779" TargetMode="External"/><Relationship Id="rId7512" Type="http://schemas.openxmlformats.org/officeDocument/2006/relationships/hyperlink" Target="https://m.stock.naver.com/research/company/85727" TargetMode="External"/><Relationship Id="rId10840" Type="http://schemas.openxmlformats.org/officeDocument/2006/relationships/hyperlink" Target="https://m.stock.naver.com/research/company/82380" TargetMode="External"/><Relationship Id="rId5063" Type="http://schemas.openxmlformats.org/officeDocument/2006/relationships/hyperlink" Target="https://m.stock.naver.com/research/company/88177" TargetMode="External"/><Relationship Id="rId6114" Type="http://schemas.openxmlformats.org/officeDocument/2006/relationships/hyperlink" Target="https://m.stock.naver.com/research/company/87126" TargetMode="External"/><Relationship Id="rId9684" Type="http://schemas.openxmlformats.org/officeDocument/2006/relationships/hyperlink" Target="https://m.stock.naver.com/research/company/83539" TargetMode="External"/><Relationship Id="rId8286" Type="http://schemas.openxmlformats.org/officeDocument/2006/relationships/hyperlink" Target="https://m.stock.naver.com/research/company/84952" TargetMode="External"/><Relationship Id="rId9337" Type="http://schemas.openxmlformats.org/officeDocument/2006/relationships/hyperlink" Target="https://m.stock.naver.com/research/company/83890" TargetMode="External"/><Relationship Id="rId12665" Type="http://schemas.openxmlformats.org/officeDocument/2006/relationships/hyperlink" Target="https://m.stock.naver.com/research/company/80543" TargetMode="External"/><Relationship Id="rId13716" Type="http://schemas.openxmlformats.org/officeDocument/2006/relationships/hyperlink" Target="https://m.stock.naver.com/research/company/93458" TargetMode="External"/><Relationship Id="rId1673" Type="http://schemas.openxmlformats.org/officeDocument/2006/relationships/hyperlink" Target="https://m.stock.naver.com/research/company/91582" TargetMode="External"/><Relationship Id="rId2724" Type="http://schemas.openxmlformats.org/officeDocument/2006/relationships/hyperlink" Target="https://m.stock.naver.com/research/company/90530" TargetMode="External"/><Relationship Id="rId11267" Type="http://schemas.openxmlformats.org/officeDocument/2006/relationships/hyperlink" Target="https://m.stock.naver.com/research/company/81952" TargetMode="External"/><Relationship Id="rId12318" Type="http://schemas.openxmlformats.org/officeDocument/2006/relationships/hyperlink" Target="https://m.stock.naver.com/research/company/80891" TargetMode="External"/><Relationship Id="rId1326" Type="http://schemas.openxmlformats.org/officeDocument/2006/relationships/hyperlink" Target="https://m.stock.naver.com/research/company/91929" TargetMode="External"/><Relationship Id="rId4896" Type="http://schemas.openxmlformats.org/officeDocument/2006/relationships/hyperlink" Target="https://m.stock.naver.com/research/company/88344" TargetMode="External"/><Relationship Id="rId5947" Type="http://schemas.openxmlformats.org/officeDocument/2006/relationships/hyperlink" Target="https://m.stock.naver.com/research/company/87293" TargetMode="External"/><Relationship Id="rId32" Type="http://schemas.openxmlformats.org/officeDocument/2006/relationships/hyperlink" Target="https://m.stock.naver.com/research/company/93426" TargetMode="External"/><Relationship Id="rId3498" Type="http://schemas.openxmlformats.org/officeDocument/2006/relationships/hyperlink" Target="https://m.stock.naver.com/research/company/89753" TargetMode="External"/><Relationship Id="rId4549" Type="http://schemas.openxmlformats.org/officeDocument/2006/relationships/hyperlink" Target="https://m.stock.naver.com/research/company/88691" TargetMode="External"/><Relationship Id="rId8420" Type="http://schemas.openxmlformats.org/officeDocument/2006/relationships/hyperlink" Target="https://m.stock.naver.com/research/company/84818" TargetMode="External"/><Relationship Id="rId10350" Type="http://schemas.openxmlformats.org/officeDocument/2006/relationships/hyperlink" Target="https://m.stock.naver.com/research/company/82871" TargetMode="External"/><Relationship Id="rId11401" Type="http://schemas.openxmlformats.org/officeDocument/2006/relationships/hyperlink" Target="https://m.stock.naver.com/research/company/81814" TargetMode="External"/><Relationship Id="rId7022" Type="http://schemas.openxmlformats.org/officeDocument/2006/relationships/hyperlink" Target="https://m.stock.naver.com/research/company/86217" TargetMode="External"/><Relationship Id="rId10003" Type="http://schemas.openxmlformats.org/officeDocument/2006/relationships/hyperlink" Target="https://m.stock.naver.com/research/company/83218" TargetMode="External"/><Relationship Id="rId14971" Type="http://schemas.openxmlformats.org/officeDocument/2006/relationships/hyperlink" Target="https://m.stock.naver.com/research/company/94863" TargetMode="External"/><Relationship Id="rId2581" Type="http://schemas.openxmlformats.org/officeDocument/2006/relationships/hyperlink" Target="https://m.stock.naver.com/research/company/90673" TargetMode="External"/><Relationship Id="rId3632" Type="http://schemas.openxmlformats.org/officeDocument/2006/relationships/hyperlink" Target="https://m.stock.naver.com/research/company/89619" TargetMode="External"/><Relationship Id="rId9194" Type="http://schemas.openxmlformats.org/officeDocument/2006/relationships/hyperlink" Target="https://m.stock.naver.com/research/company/84036" TargetMode="External"/><Relationship Id="rId12175" Type="http://schemas.openxmlformats.org/officeDocument/2006/relationships/hyperlink" Target="https://m.stock.naver.com/research/company/81036" TargetMode="External"/><Relationship Id="rId13226" Type="http://schemas.openxmlformats.org/officeDocument/2006/relationships/hyperlink" Target="https://m.stock.naver.com/research/company/79981" TargetMode="External"/><Relationship Id="rId13573" Type="http://schemas.openxmlformats.org/officeDocument/2006/relationships/hyperlink" Target="https://m.stock.naver.com/research/company/79631" TargetMode="External"/><Relationship Id="rId14624" Type="http://schemas.openxmlformats.org/officeDocument/2006/relationships/hyperlink" Target="https://m.stock.naver.com/research/company/94553" TargetMode="External"/><Relationship Id="rId553" Type="http://schemas.openxmlformats.org/officeDocument/2006/relationships/hyperlink" Target="https://m.stock.naver.com/research/company/92904" TargetMode="External"/><Relationship Id="rId1183" Type="http://schemas.openxmlformats.org/officeDocument/2006/relationships/hyperlink" Target="https://m.stock.naver.com/research/company/92072" TargetMode="External"/><Relationship Id="rId2234" Type="http://schemas.openxmlformats.org/officeDocument/2006/relationships/hyperlink" Target="https://m.stock.naver.com/research/company/91021" TargetMode="External"/><Relationship Id="rId206" Type="http://schemas.openxmlformats.org/officeDocument/2006/relationships/hyperlink" Target="https://m.stock.naver.com/research/company/93252" TargetMode="External"/><Relationship Id="rId6855" Type="http://schemas.openxmlformats.org/officeDocument/2006/relationships/hyperlink" Target="https://m.stock.naver.com/research/company/86385" TargetMode="External"/><Relationship Id="rId7906" Type="http://schemas.openxmlformats.org/officeDocument/2006/relationships/hyperlink" Target="https://m.stock.naver.com/research/company/85332" TargetMode="External"/><Relationship Id="rId15398" Type="http://schemas.openxmlformats.org/officeDocument/2006/relationships/hyperlink" Target="https://m.stock.naver.com/research/company/95389" TargetMode="External"/><Relationship Id="rId4059" Type="http://schemas.openxmlformats.org/officeDocument/2006/relationships/hyperlink" Target="https://m.stock.naver.com/research/company/89192" TargetMode="External"/><Relationship Id="rId5457" Type="http://schemas.openxmlformats.org/officeDocument/2006/relationships/hyperlink" Target="https://m.stock.naver.com/research/company/87783" TargetMode="External"/><Relationship Id="rId6508" Type="http://schemas.openxmlformats.org/officeDocument/2006/relationships/hyperlink" Target="https://m.stock.naver.com/research/company/86732" TargetMode="External"/><Relationship Id="rId14481" Type="http://schemas.openxmlformats.org/officeDocument/2006/relationships/hyperlink" Target="https://m.stock.naver.com/research/company/94429" TargetMode="External"/><Relationship Id="rId15532" Type="http://schemas.openxmlformats.org/officeDocument/2006/relationships/hyperlink" Target="https://m.stock.naver.com/research/company/95504" TargetMode="External"/><Relationship Id="rId4540" Type="http://schemas.openxmlformats.org/officeDocument/2006/relationships/hyperlink" Target="https://m.stock.naver.com/research/company/88700" TargetMode="External"/><Relationship Id="rId13083" Type="http://schemas.openxmlformats.org/officeDocument/2006/relationships/hyperlink" Target="https://m.stock.naver.com/research/company/80124" TargetMode="External"/><Relationship Id="rId14134" Type="http://schemas.openxmlformats.org/officeDocument/2006/relationships/hyperlink" Target="https://m.stock.naver.com/research/company/93994" TargetMode="External"/><Relationship Id="rId2091" Type="http://schemas.openxmlformats.org/officeDocument/2006/relationships/hyperlink" Target="https://m.stock.naver.com/research/company/91164" TargetMode="External"/><Relationship Id="rId3142" Type="http://schemas.openxmlformats.org/officeDocument/2006/relationships/hyperlink" Target="https://m.stock.naver.com/research/company/90109" TargetMode="External"/><Relationship Id="rId7763" Type="http://schemas.openxmlformats.org/officeDocument/2006/relationships/hyperlink" Target="https://m.stock.naver.com/research/company/85476" TargetMode="External"/><Relationship Id="rId6365" Type="http://schemas.openxmlformats.org/officeDocument/2006/relationships/hyperlink" Target="https://m.stock.naver.com/research/company/86875" TargetMode="External"/><Relationship Id="rId7416" Type="http://schemas.openxmlformats.org/officeDocument/2006/relationships/hyperlink" Target="https://m.stock.naver.com/research/company/85823" TargetMode="External"/><Relationship Id="rId8814" Type="http://schemas.openxmlformats.org/officeDocument/2006/relationships/hyperlink" Target="https://m.stock.naver.com/research/company/84423" TargetMode="External"/><Relationship Id="rId10744" Type="http://schemas.openxmlformats.org/officeDocument/2006/relationships/hyperlink" Target="https://m.stock.naver.com/research/company/82476" TargetMode="External"/><Relationship Id="rId6018" Type="http://schemas.openxmlformats.org/officeDocument/2006/relationships/hyperlink" Target="https://m.stock.naver.com/research/company/87222" TargetMode="External"/><Relationship Id="rId13967" Type="http://schemas.openxmlformats.org/officeDocument/2006/relationships/hyperlink" Target="https://m.stock.naver.com/research/company/93765" TargetMode="External"/><Relationship Id="rId2975" Type="http://schemas.openxmlformats.org/officeDocument/2006/relationships/hyperlink" Target="https://m.stock.naver.com/research/company/90278" TargetMode="External"/><Relationship Id="rId9588" Type="http://schemas.openxmlformats.org/officeDocument/2006/relationships/hyperlink" Target="https://m.stock.naver.com/research/company/83639" TargetMode="External"/><Relationship Id="rId12569" Type="http://schemas.openxmlformats.org/officeDocument/2006/relationships/hyperlink" Target="https://m.stock.naver.com/research/company/80639" TargetMode="External"/><Relationship Id="rId947" Type="http://schemas.openxmlformats.org/officeDocument/2006/relationships/hyperlink" Target="https://m.stock.naver.com/research/company/92509" TargetMode="External"/><Relationship Id="rId1577" Type="http://schemas.openxmlformats.org/officeDocument/2006/relationships/hyperlink" Target="https://m.stock.naver.com/research/company/91678" TargetMode="External"/><Relationship Id="rId2628" Type="http://schemas.openxmlformats.org/officeDocument/2006/relationships/hyperlink" Target="https://m.stock.naver.com/research/company/90626" TargetMode="External"/><Relationship Id="rId15042" Type="http://schemas.openxmlformats.org/officeDocument/2006/relationships/hyperlink" Target="https://m.stock.naver.com/research/company/95052" TargetMode="External"/><Relationship Id="rId4050" Type="http://schemas.openxmlformats.org/officeDocument/2006/relationships/hyperlink" Target="https://m.stock.naver.com/research/company/89201" TargetMode="External"/><Relationship Id="rId5101" Type="http://schemas.openxmlformats.org/officeDocument/2006/relationships/hyperlink" Target="https://m.stock.naver.com/research/company/88139" TargetMode="External"/><Relationship Id="rId8671" Type="http://schemas.openxmlformats.org/officeDocument/2006/relationships/hyperlink" Target="https://m.stock.naver.com/research/company/84566" TargetMode="External"/><Relationship Id="rId9722" Type="http://schemas.openxmlformats.org/officeDocument/2006/relationships/hyperlink" Target="https://m.stock.naver.com/research/company/83501" TargetMode="External"/><Relationship Id="rId1711" Type="http://schemas.openxmlformats.org/officeDocument/2006/relationships/hyperlink" Target="https://m.stock.naver.com/research/company/91544" TargetMode="External"/><Relationship Id="rId7273" Type="http://schemas.openxmlformats.org/officeDocument/2006/relationships/hyperlink" Target="https://m.stock.naver.com/research/company/85966" TargetMode="External"/><Relationship Id="rId8324" Type="http://schemas.openxmlformats.org/officeDocument/2006/relationships/hyperlink" Target="https://m.stock.naver.com/research/company/84914" TargetMode="External"/><Relationship Id="rId10254" Type="http://schemas.openxmlformats.org/officeDocument/2006/relationships/hyperlink" Target="https://m.stock.naver.com/research/company/82967" TargetMode="External"/><Relationship Id="rId11652" Type="http://schemas.openxmlformats.org/officeDocument/2006/relationships/hyperlink" Target="https://m.stock.naver.com/research/company/81560" TargetMode="External"/><Relationship Id="rId12703" Type="http://schemas.openxmlformats.org/officeDocument/2006/relationships/hyperlink" Target="https://m.stock.naver.com/research/company/80505" TargetMode="External"/><Relationship Id="rId11305" Type="http://schemas.openxmlformats.org/officeDocument/2006/relationships/hyperlink" Target="https://m.stock.naver.com/research/company/81914" TargetMode="External"/><Relationship Id="rId14875" Type="http://schemas.openxmlformats.org/officeDocument/2006/relationships/hyperlink" Target="https://m.stock.naver.com/research/company/94749" TargetMode="External"/><Relationship Id="rId2485" Type="http://schemas.openxmlformats.org/officeDocument/2006/relationships/hyperlink" Target="https://m.stock.naver.com/research/company/90769" TargetMode="External"/><Relationship Id="rId3883" Type="http://schemas.openxmlformats.org/officeDocument/2006/relationships/hyperlink" Target="https://m.stock.naver.com/research/company/89368" TargetMode="External"/><Relationship Id="rId4934" Type="http://schemas.openxmlformats.org/officeDocument/2006/relationships/hyperlink" Target="https://m.stock.naver.com/research/company/88306" TargetMode="External"/><Relationship Id="rId9098" Type="http://schemas.openxmlformats.org/officeDocument/2006/relationships/hyperlink" Target="https://m.stock.naver.com/research/company/84132" TargetMode="External"/><Relationship Id="rId13477" Type="http://schemas.openxmlformats.org/officeDocument/2006/relationships/hyperlink" Target="https://m.stock.naver.com/research/company/79727" TargetMode="External"/><Relationship Id="rId14528" Type="http://schemas.openxmlformats.org/officeDocument/2006/relationships/hyperlink" Target="https://m.stock.naver.com/research/company/94382" TargetMode="External"/><Relationship Id="rId457" Type="http://schemas.openxmlformats.org/officeDocument/2006/relationships/hyperlink" Target="https://m.stock.naver.com/research/company/93000" TargetMode="External"/><Relationship Id="rId1087" Type="http://schemas.openxmlformats.org/officeDocument/2006/relationships/hyperlink" Target="https://m.stock.naver.com/research/company/92169" TargetMode="External"/><Relationship Id="rId2138" Type="http://schemas.openxmlformats.org/officeDocument/2006/relationships/hyperlink" Target="https://m.stock.naver.com/research/company/91117" TargetMode="External"/><Relationship Id="rId3536" Type="http://schemas.openxmlformats.org/officeDocument/2006/relationships/hyperlink" Target="https://m.stock.naver.com/research/company/89715" TargetMode="External"/><Relationship Id="rId12079" Type="http://schemas.openxmlformats.org/officeDocument/2006/relationships/hyperlink" Target="https://m.stock.naver.com/research/company/81132" TargetMode="External"/><Relationship Id="rId6759" Type="http://schemas.openxmlformats.org/officeDocument/2006/relationships/hyperlink" Target="https://m.stock.naver.com/research/company/86481" TargetMode="External"/><Relationship Id="rId12560" Type="http://schemas.openxmlformats.org/officeDocument/2006/relationships/hyperlink" Target="https://m.stock.naver.com/research/company/80648" TargetMode="External"/><Relationship Id="rId13611" Type="http://schemas.openxmlformats.org/officeDocument/2006/relationships/hyperlink" Target="https://m.stock.naver.com/research/company/79593" TargetMode="External"/><Relationship Id="rId8181" Type="http://schemas.openxmlformats.org/officeDocument/2006/relationships/hyperlink" Target="https://m.stock.naver.com/research/company/85057" TargetMode="External"/><Relationship Id="rId9232" Type="http://schemas.openxmlformats.org/officeDocument/2006/relationships/hyperlink" Target="https://m.stock.naver.com/research/company/83997" TargetMode="External"/><Relationship Id="rId11162" Type="http://schemas.openxmlformats.org/officeDocument/2006/relationships/hyperlink" Target="https://m.stock.naver.com/research/company/82058" TargetMode="External"/><Relationship Id="rId12213" Type="http://schemas.openxmlformats.org/officeDocument/2006/relationships/hyperlink" Target="https://m.stock.naver.com/research/company/80997" TargetMode="External"/><Relationship Id="rId1221" Type="http://schemas.openxmlformats.org/officeDocument/2006/relationships/hyperlink" Target="https://m.stock.naver.com/research/company/92034" TargetMode="External"/><Relationship Id="rId4791" Type="http://schemas.openxmlformats.org/officeDocument/2006/relationships/hyperlink" Target="https://m.stock.naver.com/research/company/88449" TargetMode="External"/><Relationship Id="rId5842" Type="http://schemas.openxmlformats.org/officeDocument/2006/relationships/hyperlink" Target="https://m.stock.naver.com/research/company/87398" TargetMode="External"/><Relationship Id="rId14385" Type="http://schemas.openxmlformats.org/officeDocument/2006/relationships/hyperlink" Target="https://m.stock.naver.com/research/company/94227" TargetMode="External"/><Relationship Id="rId15436" Type="http://schemas.openxmlformats.org/officeDocument/2006/relationships/hyperlink" Target="https://m.stock.naver.com/research/company/95351" TargetMode="External"/><Relationship Id="rId3393" Type="http://schemas.openxmlformats.org/officeDocument/2006/relationships/hyperlink" Target="https://m.stock.naver.com/research/company/89858" TargetMode="External"/><Relationship Id="rId4444" Type="http://schemas.openxmlformats.org/officeDocument/2006/relationships/hyperlink" Target="https://m.stock.naver.com/research/company/88796" TargetMode="External"/><Relationship Id="rId14038" Type="http://schemas.openxmlformats.org/officeDocument/2006/relationships/hyperlink" Target="https://m.stock.naver.com/research/company/93809" TargetMode="External"/><Relationship Id="rId3046" Type="http://schemas.openxmlformats.org/officeDocument/2006/relationships/hyperlink" Target="https://m.stock.naver.com/research/company/90205" TargetMode="External"/><Relationship Id="rId10995" Type="http://schemas.openxmlformats.org/officeDocument/2006/relationships/hyperlink" Target="https://m.stock.naver.com/research/company/82225" TargetMode="External"/><Relationship Id="rId6269" Type="http://schemas.openxmlformats.org/officeDocument/2006/relationships/hyperlink" Target="https://m.stock.naver.com/research/company/86971" TargetMode="External"/><Relationship Id="rId7667" Type="http://schemas.openxmlformats.org/officeDocument/2006/relationships/hyperlink" Target="https://m.stock.naver.com/research/company/85572" TargetMode="External"/><Relationship Id="rId8718" Type="http://schemas.openxmlformats.org/officeDocument/2006/relationships/hyperlink" Target="https://m.stock.naver.com/research/company/84519" TargetMode="External"/><Relationship Id="rId10648" Type="http://schemas.openxmlformats.org/officeDocument/2006/relationships/hyperlink" Target="https://m.stock.naver.com/research/company/82572" TargetMode="External"/><Relationship Id="rId12070" Type="http://schemas.openxmlformats.org/officeDocument/2006/relationships/hyperlink" Target="https://m.stock.naver.com/research/company/81141" TargetMode="External"/><Relationship Id="rId13121" Type="http://schemas.openxmlformats.org/officeDocument/2006/relationships/hyperlink" Target="https://m.stock.naver.com/research/company/80086" TargetMode="External"/><Relationship Id="rId2879" Type="http://schemas.openxmlformats.org/officeDocument/2006/relationships/hyperlink" Target="https://m.stock.naver.com/research/company/90374" TargetMode="External"/><Relationship Id="rId6750" Type="http://schemas.openxmlformats.org/officeDocument/2006/relationships/hyperlink" Target="https://m.stock.naver.com/research/company/86490" TargetMode="External"/><Relationship Id="rId7801" Type="http://schemas.openxmlformats.org/officeDocument/2006/relationships/hyperlink" Target="https://m.stock.naver.com/research/company/85437" TargetMode="External"/><Relationship Id="rId15293" Type="http://schemas.openxmlformats.org/officeDocument/2006/relationships/hyperlink" Target="https://m.stock.naver.com/research/company/95067" TargetMode="External"/><Relationship Id="rId101" Type="http://schemas.openxmlformats.org/officeDocument/2006/relationships/hyperlink" Target="https://m.stock.naver.com/research/company/93357" TargetMode="External"/><Relationship Id="rId5352" Type="http://schemas.openxmlformats.org/officeDocument/2006/relationships/hyperlink" Target="https://m.stock.naver.com/research/company/87888" TargetMode="External"/><Relationship Id="rId6403" Type="http://schemas.openxmlformats.org/officeDocument/2006/relationships/hyperlink" Target="https://m.stock.naver.com/research/company/86837" TargetMode="External"/><Relationship Id="rId9973" Type="http://schemas.openxmlformats.org/officeDocument/2006/relationships/hyperlink" Target="https://m.stock.naver.com/research/company/83248" TargetMode="External"/><Relationship Id="rId5005" Type="http://schemas.openxmlformats.org/officeDocument/2006/relationships/hyperlink" Target="https://m.stock.naver.com/research/company/88235" TargetMode="External"/><Relationship Id="rId8575" Type="http://schemas.openxmlformats.org/officeDocument/2006/relationships/hyperlink" Target="https://m.stock.naver.com/research/company/84662" TargetMode="External"/><Relationship Id="rId9626" Type="http://schemas.openxmlformats.org/officeDocument/2006/relationships/hyperlink" Target="https://m.stock.naver.com/research/company/83599" TargetMode="External"/><Relationship Id="rId12954" Type="http://schemas.openxmlformats.org/officeDocument/2006/relationships/hyperlink" Target="https://m.stock.naver.com/research/company/80254" TargetMode="External"/><Relationship Id="rId1962" Type="http://schemas.openxmlformats.org/officeDocument/2006/relationships/hyperlink" Target="https://m.stock.naver.com/research/company/91293" TargetMode="External"/><Relationship Id="rId7177" Type="http://schemas.openxmlformats.org/officeDocument/2006/relationships/hyperlink" Target="https://m.stock.naver.com/research/company/86062" TargetMode="External"/><Relationship Id="rId8228" Type="http://schemas.openxmlformats.org/officeDocument/2006/relationships/hyperlink" Target="https://m.stock.naver.com/research/company/85010" TargetMode="External"/><Relationship Id="rId11556" Type="http://schemas.openxmlformats.org/officeDocument/2006/relationships/hyperlink" Target="https://m.stock.naver.com/research/company/81658" TargetMode="External"/><Relationship Id="rId12607" Type="http://schemas.openxmlformats.org/officeDocument/2006/relationships/hyperlink" Target="https://m.stock.naver.com/research/company/80601" TargetMode="External"/><Relationship Id="rId1615" Type="http://schemas.openxmlformats.org/officeDocument/2006/relationships/hyperlink" Target="https://m.stock.naver.com/research/company/91640" TargetMode="External"/><Relationship Id="rId10158" Type="http://schemas.openxmlformats.org/officeDocument/2006/relationships/hyperlink" Target="https://m.stock.naver.com/research/company/83063" TargetMode="External"/><Relationship Id="rId11209" Type="http://schemas.openxmlformats.org/officeDocument/2006/relationships/hyperlink" Target="https://m.stock.naver.com/research/company/82011" TargetMode="External"/><Relationship Id="rId14779" Type="http://schemas.openxmlformats.org/officeDocument/2006/relationships/hyperlink" Target="https://m.stock.naver.com/research/company/94621" TargetMode="External"/><Relationship Id="rId3787" Type="http://schemas.openxmlformats.org/officeDocument/2006/relationships/hyperlink" Target="https://m.stock.naver.com/research/company/89464" TargetMode="External"/><Relationship Id="rId4838" Type="http://schemas.openxmlformats.org/officeDocument/2006/relationships/hyperlink" Target="https://m.stock.naver.com/research/company/88402" TargetMode="External"/><Relationship Id="rId2389" Type="http://schemas.openxmlformats.org/officeDocument/2006/relationships/hyperlink" Target="https://m.stock.naver.com/research/company/90865" TargetMode="External"/><Relationship Id="rId6260" Type="http://schemas.openxmlformats.org/officeDocument/2006/relationships/hyperlink" Target="https://m.stock.naver.com/research/company/86980" TargetMode="External"/><Relationship Id="rId7311" Type="http://schemas.openxmlformats.org/officeDocument/2006/relationships/hyperlink" Target="https://m.stock.naver.com/research/company/85928" TargetMode="External"/><Relationship Id="rId2870" Type="http://schemas.openxmlformats.org/officeDocument/2006/relationships/hyperlink" Target="https://m.stock.naver.com/research/company/90383" TargetMode="External"/><Relationship Id="rId3921" Type="http://schemas.openxmlformats.org/officeDocument/2006/relationships/hyperlink" Target="https://m.stock.naver.com/research/company/89330" TargetMode="External"/><Relationship Id="rId9483" Type="http://schemas.openxmlformats.org/officeDocument/2006/relationships/hyperlink" Target="https://m.stock.naver.com/research/company/83744" TargetMode="External"/><Relationship Id="rId12464" Type="http://schemas.openxmlformats.org/officeDocument/2006/relationships/hyperlink" Target="https://m.stock.naver.com/research/company/80745" TargetMode="External"/><Relationship Id="rId13515" Type="http://schemas.openxmlformats.org/officeDocument/2006/relationships/hyperlink" Target="https://m.stock.naver.com/research/company/79689" TargetMode="External"/><Relationship Id="rId13862" Type="http://schemas.openxmlformats.org/officeDocument/2006/relationships/hyperlink" Target="https://m.stock.naver.com/research/company/93665" TargetMode="External"/><Relationship Id="rId14913" Type="http://schemas.openxmlformats.org/officeDocument/2006/relationships/hyperlink" Target="https://m.stock.naver.com/research/company/94921" TargetMode="External"/><Relationship Id="rId842" Type="http://schemas.openxmlformats.org/officeDocument/2006/relationships/hyperlink" Target="https://m.stock.naver.com/research/company/92614" TargetMode="External"/><Relationship Id="rId1472" Type="http://schemas.openxmlformats.org/officeDocument/2006/relationships/hyperlink" Target="https://m.stock.naver.com/research/company/91783" TargetMode="External"/><Relationship Id="rId2523" Type="http://schemas.openxmlformats.org/officeDocument/2006/relationships/hyperlink" Target="https://m.stock.naver.com/research/company/90731" TargetMode="External"/><Relationship Id="rId8085" Type="http://schemas.openxmlformats.org/officeDocument/2006/relationships/hyperlink" Target="https://m.stock.naver.com/research/company/85153" TargetMode="External"/><Relationship Id="rId9136" Type="http://schemas.openxmlformats.org/officeDocument/2006/relationships/hyperlink" Target="https://m.stock.naver.com/research/company/84094" TargetMode="External"/><Relationship Id="rId11066" Type="http://schemas.openxmlformats.org/officeDocument/2006/relationships/hyperlink" Target="https://m.stock.naver.com/research/company/82154" TargetMode="External"/><Relationship Id="rId12117" Type="http://schemas.openxmlformats.org/officeDocument/2006/relationships/hyperlink" Target="https://m.stock.naver.com/research/company/81094" TargetMode="External"/><Relationship Id="rId1125" Type="http://schemas.openxmlformats.org/officeDocument/2006/relationships/hyperlink" Target="https://m.stock.naver.com/research/company/92130" TargetMode="External"/><Relationship Id="rId4695" Type="http://schemas.openxmlformats.org/officeDocument/2006/relationships/hyperlink" Target="https://m.stock.naver.com/research/company/88545" TargetMode="External"/><Relationship Id="rId14289" Type="http://schemas.openxmlformats.org/officeDocument/2006/relationships/hyperlink" Target="https://m.stock.naver.com/research/company/94175" TargetMode="External"/><Relationship Id="rId15687" Type="http://schemas.openxmlformats.org/officeDocument/2006/relationships/hyperlink" Target="https://m.stock.naver.com/research/company/95727" TargetMode="External"/><Relationship Id="rId3297" Type="http://schemas.openxmlformats.org/officeDocument/2006/relationships/hyperlink" Target="https://m.stock.naver.com/research/company/89953" TargetMode="External"/><Relationship Id="rId4348" Type="http://schemas.openxmlformats.org/officeDocument/2006/relationships/hyperlink" Target="https://m.stock.naver.com/research/company/88893" TargetMode="External"/><Relationship Id="rId5746" Type="http://schemas.openxmlformats.org/officeDocument/2006/relationships/hyperlink" Target="https://m.stock.naver.com/research/company/87494" TargetMode="External"/><Relationship Id="rId8969" Type="http://schemas.openxmlformats.org/officeDocument/2006/relationships/hyperlink" Target="https://m.stock.naver.com/research/company/84263" TargetMode="External"/><Relationship Id="rId10899" Type="http://schemas.openxmlformats.org/officeDocument/2006/relationships/hyperlink" Target="https://m.stock.naver.com/research/company/82321" TargetMode="External"/><Relationship Id="rId11200" Type="http://schemas.openxmlformats.org/officeDocument/2006/relationships/hyperlink" Target="https://m.stock.naver.com/research/company/82020" TargetMode="External"/><Relationship Id="rId14770" Type="http://schemas.openxmlformats.org/officeDocument/2006/relationships/hyperlink" Target="https://m.stock.naver.com/research/company/94630" TargetMode="External"/><Relationship Id="rId13372" Type="http://schemas.openxmlformats.org/officeDocument/2006/relationships/hyperlink" Target="https://m.stock.naver.com/research/company/79833" TargetMode="External"/><Relationship Id="rId14423" Type="http://schemas.openxmlformats.org/officeDocument/2006/relationships/hyperlink" Target="https://m.stock.naver.com/research/company/94260" TargetMode="External"/><Relationship Id="rId2380" Type="http://schemas.openxmlformats.org/officeDocument/2006/relationships/hyperlink" Target="https://m.stock.naver.com/research/company/90874" TargetMode="External"/><Relationship Id="rId3431" Type="http://schemas.openxmlformats.org/officeDocument/2006/relationships/hyperlink" Target="https://m.stock.naver.com/research/company/89820" TargetMode="External"/><Relationship Id="rId13025" Type="http://schemas.openxmlformats.org/officeDocument/2006/relationships/hyperlink" Target="https://m.stock.naver.com/research/company/80182" TargetMode="External"/><Relationship Id="rId352" Type="http://schemas.openxmlformats.org/officeDocument/2006/relationships/hyperlink" Target="https://m.stock.naver.com/research/company/93106" TargetMode="External"/><Relationship Id="rId2033" Type="http://schemas.openxmlformats.org/officeDocument/2006/relationships/hyperlink" Target="https://m.stock.naver.com/research/company/91222" TargetMode="External"/><Relationship Id="rId6654" Type="http://schemas.openxmlformats.org/officeDocument/2006/relationships/hyperlink" Target="https://m.stock.naver.com/research/company/86586" TargetMode="External"/><Relationship Id="rId7705" Type="http://schemas.openxmlformats.org/officeDocument/2006/relationships/hyperlink" Target="https://m.stock.naver.com/research/company/85534" TargetMode="External"/><Relationship Id="rId15197" Type="http://schemas.openxmlformats.org/officeDocument/2006/relationships/hyperlink" Target="https://m.stock.naver.com/research/company/95163" TargetMode="External"/><Relationship Id="rId5256" Type="http://schemas.openxmlformats.org/officeDocument/2006/relationships/hyperlink" Target="https://m.stock.naver.com/research/company/87984" TargetMode="External"/><Relationship Id="rId6307" Type="http://schemas.openxmlformats.org/officeDocument/2006/relationships/hyperlink" Target="https://m.stock.naver.com/research/company/86933" TargetMode="External"/><Relationship Id="rId8479" Type="http://schemas.openxmlformats.org/officeDocument/2006/relationships/hyperlink" Target="https://m.stock.naver.com/research/company/84758" TargetMode="External"/><Relationship Id="rId9877" Type="http://schemas.openxmlformats.org/officeDocument/2006/relationships/hyperlink" Target="https://m.stock.naver.com/research/company/83345" TargetMode="External"/><Relationship Id="rId12858" Type="http://schemas.openxmlformats.org/officeDocument/2006/relationships/hyperlink" Target="https://m.stock.naver.com/research/company/80350" TargetMode="External"/><Relationship Id="rId13909" Type="http://schemas.openxmlformats.org/officeDocument/2006/relationships/hyperlink" Target="https://m.stock.naver.com/research/company/93693" TargetMode="External"/><Relationship Id="rId1866" Type="http://schemas.openxmlformats.org/officeDocument/2006/relationships/hyperlink" Target="https://m.stock.naver.com/research/company/91389" TargetMode="External"/><Relationship Id="rId2917" Type="http://schemas.openxmlformats.org/officeDocument/2006/relationships/hyperlink" Target="https://m.stock.naver.com/research/company/90336" TargetMode="External"/><Relationship Id="rId14280" Type="http://schemas.openxmlformats.org/officeDocument/2006/relationships/hyperlink" Target="https://m.stock.naver.com/research/company/94184" TargetMode="External"/><Relationship Id="rId15331" Type="http://schemas.openxmlformats.org/officeDocument/2006/relationships/hyperlink" Target="https://m.stock.naver.com/research/company/95257" TargetMode="External"/><Relationship Id="rId1519" Type="http://schemas.openxmlformats.org/officeDocument/2006/relationships/hyperlink" Target="https://m.stock.naver.com/research/company/91736" TargetMode="External"/><Relationship Id="rId8960" Type="http://schemas.openxmlformats.org/officeDocument/2006/relationships/hyperlink" Target="https://m.stock.naver.com/research/company/84272" TargetMode="External"/><Relationship Id="rId10890" Type="http://schemas.openxmlformats.org/officeDocument/2006/relationships/hyperlink" Target="https://m.stock.naver.com/research/company/82330" TargetMode="External"/><Relationship Id="rId7562" Type="http://schemas.openxmlformats.org/officeDocument/2006/relationships/hyperlink" Target="https://m.stock.naver.com/research/company/85677" TargetMode="External"/><Relationship Id="rId8613" Type="http://schemas.openxmlformats.org/officeDocument/2006/relationships/hyperlink" Target="https://m.stock.naver.com/research/company/84624" TargetMode="External"/><Relationship Id="rId10543" Type="http://schemas.openxmlformats.org/officeDocument/2006/relationships/hyperlink" Target="https://m.stock.naver.com/research/company/82677" TargetMode="External"/><Relationship Id="rId11941" Type="http://schemas.openxmlformats.org/officeDocument/2006/relationships/hyperlink" Target="https://m.stock.naver.com/research/company/81270" TargetMode="External"/><Relationship Id="rId6164" Type="http://schemas.openxmlformats.org/officeDocument/2006/relationships/hyperlink" Target="https://m.stock.naver.com/research/company/87076" TargetMode="External"/><Relationship Id="rId7215" Type="http://schemas.openxmlformats.org/officeDocument/2006/relationships/hyperlink" Target="https://m.stock.naver.com/research/company/86024" TargetMode="External"/><Relationship Id="rId2774" Type="http://schemas.openxmlformats.org/officeDocument/2006/relationships/hyperlink" Target="https://m.stock.naver.com/research/company/90480" TargetMode="External"/><Relationship Id="rId9387" Type="http://schemas.openxmlformats.org/officeDocument/2006/relationships/hyperlink" Target="https://m.stock.naver.com/research/company/83840" TargetMode="External"/><Relationship Id="rId13766" Type="http://schemas.openxmlformats.org/officeDocument/2006/relationships/hyperlink" Target="https://m.stock.naver.com/research/company/93541" TargetMode="External"/><Relationship Id="rId14817" Type="http://schemas.openxmlformats.org/officeDocument/2006/relationships/hyperlink" Target="https://m.stock.naver.com/research/company/94583" TargetMode="External"/><Relationship Id="rId746" Type="http://schemas.openxmlformats.org/officeDocument/2006/relationships/hyperlink" Target="https://m.stock.naver.com/research/company/92710" TargetMode="External"/><Relationship Id="rId1376" Type="http://schemas.openxmlformats.org/officeDocument/2006/relationships/hyperlink" Target="https://m.stock.naver.com/research/company/91879" TargetMode="External"/><Relationship Id="rId2427" Type="http://schemas.openxmlformats.org/officeDocument/2006/relationships/hyperlink" Target="https://m.stock.naver.com/research/company/90827" TargetMode="External"/><Relationship Id="rId3825" Type="http://schemas.openxmlformats.org/officeDocument/2006/relationships/hyperlink" Target="https://m.stock.naver.com/research/company/89426" TargetMode="External"/><Relationship Id="rId12368" Type="http://schemas.openxmlformats.org/officeDocument/2006/relationships/hyperlink" Target="https://m.stock.naver.com/research/company/80841" TargetMode="External"/><Relationship Id="rId13419" Type="http://schemas.openxmlformats.org/officeDocument/2006/relationships/hyperlink" Target="https://m.stock.naver.com/research/company/79786" TargetMode="External"/><Relationship Id="rId1029" Type="http://schemas.openxmlformats.org/officeDocument/2006/relationships/hyperlink" Target="https://m.stock.naver.com/research/company/92322" TargetMode="External"/><Relationship Id="rId5997" Type="http://schemas.openxmlformats.org/officeDocument/2006/relationships/hyperlink" Target="https://m.stock.naver.com/research/company/87243" TargetMode="External"/><Relationship Id="rId13900" Type="http://schemas.openxmlformats.org/officeDocument/2006/relationships/hyperlink" Target="https://m.stock.naver.com/research/company/93702" TargetMode="External"/><Relationship Id="rId82" Type="http://schemas.openxmlformats.org/officeDocument/2006/relationships/hyperlink" Target="https://m.stock.naver.com/research/company/93376" TargetMode="External"/><Relationship Id="rId4599" Type="http://schemas.openxmlformats.org/officeDocument/2006/relationships/hyperlink" Target="https://m.stock.naver.com/research/company/88641" TargetMode="External"/><Relationship Id="rId7072" Type="http://schemas.openxmlformats.org/officeDocument/2006/relationships/hyperlink" Target="https://m.stock.naver.com/research/company/86167" TargetMode="External"/><Relationship Id="rId8470" Type="http://schemas.openxmlformats.org/officeDocument/2006/relationships/hyperlink" Target="https://m.stock.naver.com/research/company/84767" TargetMode="External"/><Relationship Id="rId9521" Type="http://schemas.openxmlformats.org/officeDocument/2006/relationships/hyperlink" Target="https://m.stock.naver.com/research/company/83706" TargetMode="External"/><Relationship Id="rId11451" Type="http://schemas.openxmlformats.org/officeDocument/2006/relationships/hyperlink" Target="https://m.stock.naver.com/research/company/81764" TargetMode="External"/><Relationship Id="rId12502" Type="http://schemas.openxmlformats.org/officeDocument/2006/relationships/hyperlink" Target="https://m.stock.naver.com/research/company/80706" TargetMode="External"/><Relationship Id="rId1510" Type="http://schemas.openxmlformats.org/officeDocument/2006/relationships/hyperlink" Target="https://m.stock.naver.com/research/company/91745" TargetMode="External"/><Relationship Id="rId8123" Type="http://schemas.openxmlformats.org/officeDocument/2006/relationships/hyperlink" Target="https://m.stock.naver.com/research/company/85115" TargetMode="External"/><Relationship Id="rId10053" Type="http://schemas.openxmlformats.org/officeDocument/2006/relationships/hyperlink" Target="https://m.stock.naver.com/research/company/83168" TargetMode="External"/><Relationship Id="rId11104" Type="http://schemas.openxmlformats.org/officeDocument/2006/relationships/hyperlink" Target="https://m.stock.naver.com/research/company/82116" TargetMode="External"/><Relationship Id="rId14674" Type="http://schemas.openxmlformats.org/officeDocument/2006/relationships/hyperlink" Target="https://m.stock.naver.com/research/company/94504" TargetMode="External"/><Relationship Id="rId15725" Type="http://schemas.openxmlformats.org/officeDocument/2006/relationships/hyperlink" Target="https://m.stock.naver.com/research/company/95689" TargetMode="External"/><Relationship Id="rId3682" Type="http://schemas.openxmlformats.org/officeDocument/2006/relationships/hyperlink" Target="https://m.stock.naver.com/research/company/89569" TargetMode="External"/><Relationship Id="rId4733" Type="http://schemas.openxmlformats.org/officeDocument/2006/relationships/hyperlink" Target="https://m.stock.naver.com/research/company/88507" TargetMode="External"/><Relationship Id="rId13276" Type="http://schemas.openxmlformats.org/officeDocument/2006/relationships/hyperlink" Target="https://m.stock.naver.com/research/company/79930" TargetMode="External"/><Relationship Id="rId14327" Type="http://schemas.openxmlformats.org/officeDocument/2006/relationships/hyperlink" Target="https://m.stock.naver.com/research/company/94224" TargetMode="External"/><Relationship Id="rId2284" Type="http://schemas.openxmlformats.org/officeDocument/2006/relationships/hyperlink" Target="https://m.stock.naver.com/research/company/90971" TargetMode="External"/><Relationship Id="rId3335" Type="http://schemas.openxmlformats.org/officeDocument/2006/relationships/hyperlink" Target="https://m.stock.naver.com/research/company/89915" TargetMode="External"/><Relationship Id="rId256" Type="http://schemas.openxmlformats.org/officeDocument/2006/relationships/hyperlink" Target="https://m.stock.naver.com/research/company/93202" TargetMode="External"/><Relationship Id="rId6558" Type="http://schemas.openxmlformats.org/officeDocument/2006/relationships/hyperlink" Target="https://m.stock.naver.com/research/company/86682" TargetMode="External"/><Relationship Id="rId7956" Type="http://schemas.openxmlformats.org/officeDocument/2006/relationships/hyperlink" Target="https://m.stock.naver.com/research/company/85282" TargetMode="External"/><Relationship Id="rId10937" Type="http://schemas.openxmlformats.org/officeDocument/2006/relationships/hyperlink" Target="https://m.stock.naver.com/research/company/82283" TargetMode="External"/><Relationship Id="rId7609" Type="http://schemas.openxmlformats.org/officeDocument/2006/relationships/hyperlink" Target="https://m.stock.naver.com/research/company/85630" TargetMode="External"/><Relationship Id="rId9031" Type="http://schemas.openxmlformats.org/officeDocument/2006/relationships/hyperlink" Target="https://m.stock.naver.com/research/company/84201" TargetMode="External"/><Relationship Id="rId13410" Type="http://schemas.openxmlformats.org/officeDocument/2006/relationships/hyperlink" Target="https://m.stock.naver.com/research/company/79795" TargetMode="External"/><Relationship Id="rId12012" Type="http://schemas.openxmlformats.org/officeDocument/2006/relationships/hyperlink" Target="https://m.stock.naver.com/research/company/81199" TargetMode="External"/><Relationship Id="rId15582" Type="http://schemas.openxmlformats.org/officeDocument/2006/relationships/hyperlink" Target="https://m.stock.naver.com/research/company/95454" TargetMode="External"/><Relationship Id="rId1020" Type="http://schemas.openxmlformats.org/officeDocument/2006/relationships/hyperlink" Target="https://m.stock.naver.com/research/company/92331" TargetMode="External"/><Relationship Id="rId4590" Type="http://schemas.openxmlformats.org/officeDocument/2006/relationships/hyperlink" Target="https://m.stock.naver.com/research/company/88650" TargetMode="External"/><Relationship Id="rId5641" Type="http://schemas.openxmlformats.org/officeDocument/2006/relationships/hyperlink" Target="https://m.stock.naver.com/research/company/87599" TargetMode="External"/><Relationship Id="rId14184" Type="http://schemas.openxmlformats.org/officeDocument/2006/relationships/hyperlink" Target="https://m.stock.naver.com/research/company/94074" TargetMode="External"/><Relationship Id="rId15235" Type="http://schemas.openxmlformats.org/officeDocument/2006/relationships/hyperlink" Target="https://m.stock.naver.com/research/company/95125" TargetMode="External"/><Relationship Id="rId3192" Type="http://schemas.openxmlformats.org/officeDocument/2006/relationships/hyperlink" Target="https://m.stock.naver.com/research/company/90059" TargetMode="External"/><Relationship Id="rId4243" Type="http://schemas.openxmlformats.org/officeDocument/2006/relationships/hyperlink" Target="https://m.stock.naver.com/research/company/88999" TargetMode="External"/><Relationship Id="rId8864" Type="http://schemas.openxmlformats.org/officeDocument/2006/relationships/hyperlink" Target="https://m.stock.naver.com/research/company/84373" TargetMode="External"/><Relationship Id="rId9915" Type="http://schemas.openxmlformats.org/officeDocument/2006/relationships/hyperlink" Target="https://m.stock.naver.com/research/company/83307" TargetMode="External"/><Relationship Id="rId7466" Type="http://schemas.openxmlformats.org/officeDocument/2006/relationships/hyperlink" Target="https://m.stock.naver.com/research/company/85773" TargetMode="External"/><Relationship Id="rId8517" Type="http://schemas.openxmlformats.org/officeDocument/2006/relationships/hyperlink" Target="https://m.stock.naver.com/research/company/84720" TargetMode="External"/><Relationship Id="rId10794" Type="http://schemas.openxmlformats.org/officeDocument/2006/relationships/hyperlink" Target="https://m.stock.naver.com/research/company/82426" TargetMode="External"/><Relationship Id="rId11845" Type="http://schemas.openxmlformats.org/officeDocument/2006/relationships/hyperlink" Target="https://m.stock.naver.com/research/company/81367" TargetMode="External"/><Relationship Id="rId1904" Type="http://schemas.openxmlformats.org/officeDocument/2006/relationships/hyperlink" Target="https://m.stock.naver.com/research/company/91351" TargetMode="External"/><Relationship Id="rId6068" Type="http://schemas.openxmlformats.org/officeDocument/2006/relationships/hyperlink" Target="https://m.stock.naver.com/research/company/87172" TargetMode="External"/><Relationship Id="rId7119" Type="http://schemas.openxmlformats.org/officeDocument/2006/relationships/hyperlink" Target="https://m.stock.naver.com/research/company/86120" TargetMode="External"/><Relationship Id="rId10447" Type="http://schemas.openxmlformats.org/officeDocument/2006/relationships/hyperlink" Target="https://m.stock.naver.com/research/company/82773" TargetMode="External"/><Relationship Id="rId997" Type="http://schemas.openxmlformats.org/officeDocument/2006/relationships/hyperlink" Target="https://m.stock.naver.com/research/company/92459" TargetMode="External"/><Relationship Id="rId2678" Type="http://schemas.openxmlformats.org/officeDocument/2006/relationships/hyperlink" Target="https://m.stock.naver.com/research/company/90576" TargetMode="External"/><Relationship Id="rId3729" Type="http://schemas.openxmlformats.org/officeDocument/2006/relationships/hyperlink" Target="https://m.stock.naver.com/research/company/89522" TargetMode="External"/><Relationship Id="rId5151" Type="http://schemas.openxmlformats.org/officeDocument/2006/relationships/hyperlink" Target="https://m.stock.naver.com/research/company/88089" TargetMode="External"/><Relationship Id="rId7600" Type="http://schemas.openxmlformats.org/officeDocument/2006/relationships/hyperlink" Target="https://m.stock.naver.com/research/company/85639" TargetMode="External"/><Relationship Id="rId15092" Type="http://schemas.openxmlformats.org/officeDocument/2006/relationships/hyperlink" Target="https://m.stock.naver.com/research/company/95002" TargetMode="External"/><Relationship Id="rId6202" Type="http://schemas.openxmlformats.org/officeDocument/2006/relationships/hyperlink" Target="https://m.stock.naver.com/research/company/87038" TargetMode="External"/><Relationship Id="rId9772" Type="http://schemas.openxmlformats.org/officeDocument/2006/relationships/hyperlink" Target="https://m.stock.naver.com/research/company/83451" TargetMode="External"/><Relationship Id="rId12753" Type="http://schemas.openxmlformats.org/officeDocument/2006/relationships/hyperlink" Target="https://m.stock.naver.com/research/company/80455" TargetMode="External"/><Relationship Id="rId13804" Type="http://schemas.openxmlformats.org/officeDocument/2006/relationships/hyperlink" Target="https://m.stock.naver.com/research/company/93574" TargetMode="External"/><Relationship Id="rId1761" Type="http://schemas.openxmlformats.org/officeDocument/2006/relationships/hyperlink" Target="https://m.stock.naver.com/research/company/91494" TargetMode="External"/><Relationship Id="rId2812" Type="http://schemas.openxmlformats.org/officeDocument/2006/relationships/hyperlink" Target="https://m.stock.naver.com/research/company/90441" TargetMode="External"/><Relationship Id="rId8374" Type="http://schemas.openxmlformats.org/officeDocument/2006/relationships/hyperlink" Target="https://m.stock.naver.com/research/company/84864" TargetMode="External"/><Relationship Id="rId9425" Type="http://schemas.openxmlformats.org/officeDocument/2006/relationships/hyperlink" Target="https://m.stock.naver.com/research/company/83802" TargetMode="External"/><Relationship Id="rId11355" Type="http://schemas.openxmlformats.org/officeDocument/2006/relationships/hyperlink" Target="https://m.stock.naver.com/research/company/81861" TargetMode="External"/><Relationship Id="rId12406" Type="http://schemas.openxmlformats.org/officeDocument/2006/relationships/hyperlink" Target="https://m.stock.naver.com/research/company/80803" TargetMode="External"/><Relationship Id="rId1414" Type="http://schemas.openxmlformats.org/officeDocument/2006/relationships/hyperlink" Target="https://m.stock.naver.com/research/company/91841" TargetMode="External"/><Relationship Id="rId4984" Type="http://schemas.openxmlformats.org/officeDocument/2006/relationships/hyperlink" Target="https://m.stock.naver.com/research/company/88256" TargetMode="External"/><Relationship Id="rId8027" Type="http://schemas.openxmlformats.org/officeDocument/2006/relationships/hyperlink" Target="https://m.stock.naver.com/research/company/85211" TargetMode="External"/><Relationship Id="rId11008" Type="http://schemas.openxmlformats.org/officeDocument/2006/relationships/hyperlink" Target="https://m.stock.naver.com/research/company/82212" TargetMode="External"/><Relationship Id="rId14578" Type="http://schemas.openxmlformats.org/officeDocument/2006/relationships/hyperlink" Target="https://m.stock.naver.com/research/company/94332" TargetMode="External"/><Relationship Id="rId3586" Type="http://schemas.openxmlformats.org/officeDocument/2006/relationships/hyperlink" Target="https://m.stock.naver.com/research/company/89665" TargetMode="External"/><Relationship Id="rId4637" Type="http://schemas.openxmlformats.org/officeDocument/2006/relationships/hyperlink" Target="https://m.stock.naver.com/research/company/88603" TargetMode="External"/><Relationship Id="rId15629" Type="http://schemas.openxmlformats.org/officeDocument/2006/relationships/hyperlink" Target="https://m.stock.naver.com/research/company/95407" TargetMode="External"/><Relationship Id="rId2188" Type="http://schemas.openxmlformats.org/officeDocument/2006/relationships/hyperlink" Target="https://m.stock.naver.com/research/company/91067" TargetMode="External"/><Relationship Id="rId3239" Type="http://schemas.openxmlformats.org/officeDocument/2006/relationships/hyperlink" Target="https://m.stock.naver.com/research/company/90011" TargetMode="External"/><Relationship Id="rId7110" Type="http://schemas.openxmlformats.org/officeDocument/2006/relationships/hyperlink" Target="https://m.stock.naver.com/research/company/86129" TargetMode="External"/><Relationship Id="rId9282" Type="http://schemas.openxmlformats.org/officeDocument/2006/relationships/hyperlink" Target="https://m.stock.naver.com/research/company/83945" TargetMode="External"/><Relationship Id="rId13661" Type="http://schemas.openxmlformats.org/officeDocument/2006/relationships/hyperlink" Target="https://m.stock.naver.com/research/company/79543" TargetMode="External"/><Relationship Id="rId14712" Type="http://schemas.openxmlformats.org/officeDocument/2006/relationships/hyperlink" Target="https://m.stock.naver.com/research/company/94688" TargetMode="External"/><Relationship Id="rId3720" Type="http://schemas.openxmlformats.org/officeDocument/2006/relationships/hyperlink" Target="https://m.stock.naver.com/research/company/89531" TargetMode="External"/><Relationship Id="rId12263" Type="http://schemas.openxmlformats.org/officeDocument/2006/relationships/hyperlink" Target="https://m.stock.naver.com/research/company/80946" TargetMode="External"/><Relationship Id="rId13314" Type="http://schemas.openxmlformats.org/officeDocument/2006/relationships/hyperlink" Target="https://m.stock.naver.com/research/company/79891" TargetMode="External"/><Relationship Id="rId641" Type="http://schemas.openxmlformats.org/officeDocument/2006/relationships/hyperlink" Target="https://m.stock.naver.com/research/company/92815" TargetMode="External"/><Relationship Id="rId1271" Type="http://schemas.openxmlformats.org/officeDocument/2006/relationships/hyperlink" Target="https://m.stock.naver.com/research/company/91984" TargetMode="External"/><Relationship Id="rId2322" Type="http://schemas.openxmlformats.org/officeDocument/2006/relationships/hyperlink" Target="https://m.stock.naver.com/research/company/90933" TargetMode="External"/><Relationship Id="rId5892" Type="http://schemas.openxmlformats.org/officeDocument/2006/relationships/hyperlink" Target="https://m.stock.naver.com/research/company/87348" TargetMode="External"/><Relationship Id="rId6943" Type="http://schemas.openxmlformats.org/officeDocument/2006/relationships/hyperlink" Target="https://m.stock.naver.com/research/company/86296" TargetMode="External"/><Relationship Id="rId15486" Type="http://schemas.openxmlformats.org/officeDocument/2006/relationships/hyperlink" Target="https://m.stock.naver.com/research/company/95301" TargetMode="External"/><Relationship Id="rId4494" Type="http://schemas.openxmlformats.org/officeDocument/2006/relationships/hyperlink" Target="https://m.stock.naver.com/research/company/88746" TargetMode="External"/><Relationship Id="rId5545" Type="http://schemas.openxmlformats.org/officeDocument/2006/relationships/hyperlink" Target="https://m.stock.naver.com/research/company/87695" TargetMode="External"/><Relationship Id="rId14088" Type="http://schemas.openxmlformats.org/officeDocument/2006/relationships/hyperlink" Target="https://m.stock.naver.com/research/company/93914" TargetMode="External"/><Relationship Id="rId15139" Type="http://schemas.openxmlformats.org/officeDocument/2006/relationships/hyperlink" Target="https://m.stock.naver.com/research/company/94955" TargetMode="External"/><Relationship Id="rId3096" Type="http://schemas.openxmlformats.org/officeDocument/2006/relationships/hyperlink" Target="https://m.stock.naver.com/research/company/90155" TargetMode="External"/><Relationship Id="rId4147" Type="http://schemas.openxmlformats.org/officeDocument/2006/relationships/hyperlink" Target="https://m.stock.naver.com/research/company/89104" TargetMode="External"/><Relationship Id="rId8768" Type="http://schemas.openxmlformats.org/officeDocument/2006/relationships/hyperlink" Target="https://m.stock.naver.com/research/company/84469" TargetMode="External"/><Relationship Id="rId9819" Type="http://schemas.openxmlformats.org/officeDocument/2006/relationships/hyperlink" Target="https://m.stock.naver.com/research/company/83403" TargetMode="External"/><Relationship Id="rId10698" Type="http://schemas.openxmlformats.org/officeDocument/2006/relationships/hyperlink" Target="https://m.stock.naver.com/research/company/82522" TargetMode="External"/><Relationship Id="rId11749" Type="http://schemas.openxmlformats.org/officeDocument/2006/relationships/hyperlink" Target="https://m.stock.naver.com/research/company/81463" TargetMode="External"/><Relationship Id="rId15620" Type="http://schemas.openxmlformats.org/officeDocument/2006/relationships/hyperlink" Target="https://m.stock.naver.com/research/company/95416" TargetMode="External"/><Relationship Id="rId1808" Type="http://schemas.openxmlformats.org/officeDocument/2006/relationships/hyperlink" Target="https://m.stock.naver.com/research/company/91447" TargetMode="External"/><Relationship Id="rId13171" Type="http://schemas.openxmlformats.org/officeDocument/2006/relationships/hyperlink" Target="https://m.stock.naver.com/research/company/80036" TargetMode="External"/><Relationship Id="rId14222" Type="http://schemas.openxmlformats.org/officeDocument/2006/relationships/hyperlink" Target="https://m.stock.naver.com/research/company/94121" TargetMode="External"/><Relationship Id="rId151" Type="http://schemas.openxmlformats.org/officeDocument/2006/relationships/hyperlink" Target="https://m.stock.naver.com/research/company/93307" TargetMode="External"/><Relationship Id="rId3230" Type="http://schemas.openxmlformats.org/officeDocument/2006/relationships/hyperlink" Target="https://m.stock.naver.com/research/company/90021" TargetMode="External"/><Relationship Id="rId7851" Type="http://schemas.openxmlformats.org/officeDocument/2006/relationships/hyperlink" Target="https://m.stock.naver.com/research/company/85387" TargetMode="External"/><Relationship Id="rId8902" Type="http://schemas.openxmlformats.org/officeDocument/2006/relationships/hyperlink" Target="https://m.stock.naver.com/research/company/84334" TargetMode="External"/><Relationship Id="rId10832" Type="http://schemas.openxmlformats.org/officeDocument/2006/relationships/hyperlink" Target="https://m.stock.naver.com/research/company/82388" TargetMode="External"/><Relationship Id="rId6453" Type="http://schemas.openxmlformats.org/officeDocument/2006/relationships/hyperlink" Target="https://m.stock.naver.com/research/company/86787" TargetMode="External"/><Relationship Id="rId7504" Type="http://schemas.openxmlformats.org/officeDocument/2006/relationships/hyperlink" Target="https://m.stock.naver.com/research/company/85735" TargetMode="External"/><Relationship Id="rId5055" Type="http://schemas.openxmlformats.org/officeDocument/2006/relationships/hyperlink" Target="https://m.stock.naver.com/research/company/88185" TargetMode="External"/><Relationship Id="rId6106" Type="http://schemas.openxmlformats.org/officeDocument/2006/relationships/hyperlink" Target="https://m.stock.naver.com/research/company/87134" TargetMode="External"/><Relationship Id="rId9676" Type="http://schemas.openxmlformats.org/officeDocument/2006/relationships/hyperlink" Target="https://m.stock.naver.com/research/company/83548" TargetMode="External"/><Relationship Id="rId1665" Type="http://schemas.openxmlformats.org/officeDocument/2006/relationships/hyperlink" Target="https://m.stock.naver.com/research/company/91590" TargetMode="External"/><Relationship Id="rId2716" Type="http://schemas.openxmlformats.org/officeDocument/2006/relationships/hyperlink" Target="https://m.stock.naver.com/research/company/90538" TargetMode="External"/><Relationship Id="rId8278" Type="http://schemas.openxmlformats.org/officeDocument/2006/relationships/hyperlink" Target="https://m.stock.naver.com/research/company/84960" TargetMode="External"/><Relationship Id="rId9329" Type="http://schemas.openxmlformats.org/officeDocument/2006/relationships/hyperlink" Target="https://m.stock.naver.com/research/company/83898" TargetMode="External"/><Relationship Id="rId11259" Type="http://schemas.openxmlformats.org/officeDocument/2006/relationships/hyperlink" Target="https://m.stock.naver.com/research/company/81960" TargetMode="External"/><Relationship Id="rId12657" Type="http://schemas.openxmlformats.org/officeDocument/2006/relationships/hyperlink" Target="https://m.stock.naver.com/research/company/80551" TargetMode="External"/><Relationship Id="rId13708" Type="http://schemas.openxmlformats.org/officeDocument/2006/relationships/hyperlink" Target="https://m.stock.naver.com/research/company/93466" TargetMode="External"/><Relationship Id="rId15130" Type="http://schemas.openxmlformats.org/officeDocument/2006/relationships/hyperlink" Target="https://m.stock.naver.com/research/company/94964" TargetMode="External"/><Relationship Id="rId1318" Type="http://schemas.openxmlformats.org/officeDocument/2006/relationships/hyperlink" Target="https://m.stock.naver.com/research/company/91937" TargetMode="External"/><Relationship Id="rId4888" Type="http://schemas.openxmlformats.org/officeDocument/2006/relationships/hyperlink" Target="https://m.stock.naver.com/research/company/88352" TargetMode="External"/><Relationship Id="rId5939" Type="http://schemas.openxmlformats.org/officeDocument/2006/relationships/hyperlink" Target="https://m.stock.naver.com/research/company/87301" TargetMode="External"/><Relationship Id="rId7361" Type="http://schemas.openxmlformats.org/officeDocument/2006/relationships/hyperlink" Target="https://m.stock.naver.com/research/company/85878" TargetMode="External"/><Relationship Id="rId9810" Type="http://schemas.openxmlformats.org/officeDocument/2006/relationships/hyperlink" Target="https://m.stock.naver.com/research/company/83412" TargetMode="External"/><Relationship Id="rId11740" Type="http://schemas.openxmlformats.org/officeDocument/2006/relationships/hyperlink" Target="https://m.stock.naver.com/research/company/81472" TargetMode="External"/><Relationship Id="rId24" Type="http://schemas.openxmlformats.org/officeDocument/2006/relationships/hyperlink" Target="https://m.stock.naver.com/research/company/93434" TargetMode="External"/><Relationship Id="rId7014" Type="http://schemas.openxmlformats.org/officeDocument/2006/relationships/hyperlink" Target="https://m.stock.naver.com/research/company/86225" TargetMode="External"/><Relationship Id="rId8412" Type="http://schemas.openxmlformats.org/officeDocument/2006/relationships/hyperlink" Target="https://m.stock.naver.com/research/company/84826" TargetMode="External"/><Relationship Id="rId10342" Type="http://schemas.openxmlformats.org/officeDocument/2006/relationships/hyperlink" Target="https://m.stock.naver.com/research/company/82879" TargetMode="External"/><Relationship Id="rId14963" Type="http://schemas.openxmlformats.org/officeDocument/2006/relationships/hyperlink" Target="https://m.stock.naver.com/research/company/94871" TargetMode="External"/><Relationship Id="rId3971" Type="http://schemas.openxmlformats.org/officeDocument/2006/relationships/hyperlink" Target="https://m.stock.naver.com/research/company/89280" TargetMode="External"/><Relationship Id="rId13565" Type="http://schemas.openxmlformats.org/officeDocument/2006/relationships/hyperlink" Target="https://m.stock.naver.com/research/company/79639" TargetMode="External"/><Relationship Id="rId14616" Type="http://schemas.openxmlformats.org/officeDocument/2006/relationships/hyperlink" Target="https://m.stock.naver.com/research/company/94561" TargetMode="External"/><Relationship Id="rId892" Type="http://schemas.openxmlformats.org/officeDocument/2006/relationships/hyperlink" Target="https://m.stock.naver.com/research/company/92564" TargetMode="External"/><Relationship Id="rId2573" Type="http://schemas.openxmlformats.org/officeDocument/2006/relationships/hyperlink" Target="https://m.stock.naver.com/research/company/90681" TargetMode="External"/><Relationship Id="rId3624" Type="http://schemas.openxmlformats.org/officeDocument/2006/relationships/hyperlink" Target="https://m.stock.naver.com/research/company/89627" TargetMode="External"/><Relationship Id="rId9186" Type="http://schemas.openxmlformats.org/officeDocument/2006/relationships/hyperlink" Target="https://m.stock.naver.com/research/company/84044" TargetMode="External"/><Relationship Id="rId12167" Type="http://schemas.openxmlformats.org/officeDocument/2006/relationships/hyperlink" Target="https://m.stock.naver.com/research/company/81044" TargetMode="External"/><Relationship Id="rId13218" Type="http://schemas.openxmlformats.org/officeDocument/2006/relationships/hyperlink" Target="https://m.stock.naver.com/research/company/79989" TargetMode="External"/><Relationship Id="rId545" Type="http://schemas.openxmlformats.org/officeDocument/2006/relationships/hyperlink" Target="https://m.stock.naver.com/research/company/92912" TargetMode="External"/><Relationship Id="rId1175" Type="http://schemas.openxmlformats.org/officeDocument/2006/relationships/hyperlink" Target="https://m.stock.naver.com/research/company/92080" TargetMode="External"/><Relationship Id="rId2226" Type="http://schemas.openxmlformats.org/officeDocument/2006/relationships/hyperlink" Target="https://m.stock.naver.com/research/company/91029" TargetMode="External"/><Relationship Id="rId5796" Type="http://schemas.openxmlformats.org/officeDocument/2006/relationships/hyperlink" Target="https://m.stock.naver.com/research/company/87444" TargetMode="External"/><Relationship Id="rId6847" Type="http://schemas.openxmlformats.org/officeDocument/2006/relationships/hyperlink" Target="https://m.stock.naver.com/research/company/86393" TargetMode="External"/><Relationship Id="rId4398" Type="http://schemas.openxmlformats.org/officeDocument/2006/relationships/hyperlink" Target="https://m.stock.naver.com/research/company/88843" TargetMode="External"/><Relationship Id="rId5449" Type="http://schemas.openxmlformats.org/officeDocument/2006/relationships/hyperlink" Target="https://m.stock.naver.com/research/company/87791" TargetMode="External"/><Relationship Id="rId9320" Type="http://schemas.openxmlformats.org/officeDocument/2006/relationships/hyperlink" Target="https://m.stock.naver.com/research/company/83907" TargetMode="External"/><Relationship Id="rId11250" Type="http://schemas.openxmlformats.org/officeDocument/2006/relationships/hyperlink" Target="https://m.stock.naver.com/research/company/81969" TargetMode="External"/><Relationship Id="rId12301" Type="http://schemas.openxmlformats.org/officeDocument/2006/relationships/hyperlink" Target="https://m.stock.naver.com/research/company/80908" TargetMode="External"/><Relationship Id="rId5930" Type="http://schemas.openxmlformats.org/officeDocument/2006/relationships/hyperlink" Target="https://m.stock.naver.com/research/company/87310" TargetMode="External"/><Relationship Id="rId14473" Type="http://schemas.openxmlformats.org/officeDocument/2006/relationships/hyperlink" Target="https://m.stock.naver.com/research/company/94437" TargetMode="External"/><Relationship Id="rId15524" Type="http://schemas.openxmlformats.org/officeDocument/2006/relationships/hyperlink" Target="https://m.stock.naver.com/research/company/95512" TargetMode="External"/><Relationship Id="rId3481" Type="http://schemas.openxmlformats.org/officeDocument/2006/relationships/hyperlink" Target="https://m.stock.naver.com/research/company/89770" TargetMode="External"/><Relationship Id="rId4532" Type="http://schemas.openxmlformats.org/officeDocument/2006/relationships/hyperlink" Target="https://m.stock.naver.com/research/company/88708" TargetMode="External"/><Relationship Id="rId13075" Type="http://schemas.openxmlformats.org/officeDocument/2006/relationships/hyperlink" Target="https://m.stock.naver.com/research/company/80132" TargetMode="External"/><Relationship Id="rId14126" Type="http://schemas.openxmlformats.org/officeDocument/2006/relationships/hyperlink" Target="https://m.stock.naver.com/research/company/94002" TargetMode="External"/><Relationship Id="rId2083" Type="http://schemas.openxmlformats.org/officeDocument/2006/relationships/hyperlink" Target="https://m.stock.naver.com/research/company/91172" TargetMode="External"/><Relationship Id="rId3134" Type="http://schemas.openxmlformats.org/officeDocument/2006/relationships/hyperlink" Target="https://m.stock.naver.com/research/company/90117" TargetMode="External"/><Relationship Id="rId7755" Type="http://schemas.openxmlformats.org/officeDocument/2006/relationships/hyperlink" Target="https://m.stock.naver.com/research/company/85484" TargetMode="External"/><Relationship Id="rId8806" Type="http://schemas.openxmlformats.org/officeDocument/2006/relationships/hyperlink" Target="https://m.stock.naver.com/research/company/84431" TargetMode="External"/><Relationship Id="rId6357" Type="http://schemas.openxmlformats.org/officeDocument/2006/relationships/hyperlink" Target="https://m.stock.naver.com/research/company/86883" TargetMode="External"/><Relationship Id="rId7408" Type="http://schemas.openxmlformats.org/officeDocument/2006/relationships/hyperlink" Target="https://m.stock.naver.com/research/company/85831" TargetMode="External"/><Relationship Id="rId10736" Type="http://schemas.openxmlformats.org/officeDocument/2006/relationships/hyperlink" Target="https://m.stock.naver.com/research/company/82484" TargetMode="External"/><Relationship Id="rId13959" Type="http://schemas.openxmlformats.org/officeDocument/2006/relationships/hyperlink" Target="https://m.stock.naver.com/research/company/93773" TargetMode="External"/><Relationship Id="rId1569" Type="http://schemas.openxmlformats.org/officeDocument/2006/relationships/hyperlink" Target="https://m.stock.naver.com/research/company/91686" TargetMode="External"/><Relationship Id="rId2967" Type="http://schemas.openxmlformats.org/officeDocument/2006/relationships/hyperlink" Target="https://m.stock.naver.com/research/company/90286" TargetMode="External"/><Relationship Id="rId5440" Type="http://schemas.openxmlformats.org/officeDocument/2006/relationships/hyperlink" Target="https://m.stock.naver.com/research/company/87800" TargetMode="External"/><Relationship Id="rId15381" Type="http://schemas.openxmlformats.org/officeDocument/2006/relationships/hyperlink" Target="https://m.stock.naver.com/research/company/95207" TargetMode="External"/><Relationship Id="rId939" Type="http://schemas.openxmlformats.org/officeDocument/2006/relationships/hyperlink" Target="https://m.stock.naver.com/research/company/92517" TargetMode="External"/><Relationship Id="rId4042" Type="http://schemas.openxmlformats.org/officeDocument/2006/relationships/hyperlink" Target="https://m.stock.naver.com/research/company/89209" TargetMode="External"/><Relationship Id="rId11991" Type="http://schemas.openxmlformats.org/officeDocument/2006/relationships/hyperlink" Target="https://m.stock.naver.com/research/company/81220" TargetMode="External"/><Relationship Id="rId15034" Type="http://schemas.openxmlformats.org/officeDocument/2006/relationships/hyperlink" Target="https://m.stock.naver.com/research/company/94934" TargetMode="External"/><Relationship Id="rId8663" Type="http://schemas.openxmlformats.org/officeDocument/2006/relationships/hyperlink" Target="https://m.stock.naver.com/research/company/84574" TargetMode="External"/><Relationship Id="rId9714" Type="http://schemas.openxmlformats.org/officeDocument/2006/relationships/hyperlink" Target="https://m.stock.naver.com/research/company/83509" TargetMode="External"/><Relationship Id="rId10593" Type="http://schemas.openxmlformats.org/officeDocument/2006/relationships/hyperlink" Target="https://m.stock.naver.com/research/company/82627" TargetMode="External"/><Relationship Id="rId11644" Type="http://schemas.openxmlformats.org/officeDocument/2006/relationships/hyperlink" Target="https://m.stock.naver.com/research/company/81568" TargetMode="External"/><Relationship Id="rId1703" Type="http://schemas.openxmlformats.org/officeDocument/2006/relationships/hyperlink" Target="https://m.stock.naver.com/research/company/91552" TargetMode="External"/><Relationship Id="rId7265" Type="http://schemas.openxmlformats.org/officeDocument/2006/relationships/hyperlink" Target="https://m.stock.naver.com/research/company/85974" TargetMode="External"/><Relationship Id="rId8316" Type="http://schemas.openxmlformats.org/officeDocument/2006/relationships/hyperlink" Target="https://m.stock.naver.com/research/company/84922" TargetMode="External"/><Relationship Id="rId10246" Type="http://schemas.openxmlformats.org/officeDocument/2006/relationships/hyperlink" Target="https://m.stock.naver.com/research/company/82975" TargetMode="External"/><Relationship Id="rId3875" Type="http://schemas.openxmlformats.org/officeDocument/2006/relationships/hyperlink" Target="https://m.stock.naver.com/research/company/89376" TargetMode="External"/><Relationship Id="rId4926" Type="http://schemas.openxmlformats.org/officeDocument/2006/relationships/hyperlink" Target="https://m.stock.naver.com/research/company/88314" TargetMode="External"/><Relationship Id="rId13469" Type="http://schemas.openxmlformats.org/officeDocument/2006/relationships/hyperlink" Target="https://m.stock.naver.com/research/company/79735" TargetMode="External"/><Relationship Id="rId14867" Type="http://schemas.openxmlformats.org/officeDocument/2006/relationships/hyperlink" Target="https://m.stock.naver.com/research/company/94757" TargetMode="External"/><Relationship Id="rId796" Type="http://schemas.openxmlformats.org/officeDocument/2006/relationships/hyperlink" Target="https://m.stock.naver.com/research/company/92660" TargetMode="External"/><Relationship Id="rId2477" Type="http://schemas.openxmlformats.org/officeDocument/2006/relationships/hyperlink" Target="https://m.stock.naver.com/research/company/90777" TargetMode="External"/><Relationship Id="rId3528" Type="http://schemas.openxmlformats.org/officeDocument/2006/relationships/hyperlink" Target="https://m.stock.naver.com/research/company/89723" TargetMode="External"/><Relationship Id="rId449" Type="http://schemas.openxmlformats.org/officeDocument/2006/relationships/hyperlink" Target="https://m.stock.naver.com/research/company/93008" TargetMode="External"/><Relationship Id="rId1079" Type="http://schemas.openxmlformats.org/officeDocument/2006/relationships/hyperlink" Target="https://m.stock.naver.com/research/company/92177" TargetMode="External"/><Relationship Id="rId6001" Type="http://schemas.openxmlformats.org/officeDocument/2006/relationships/hyperlink" Target="https://m.stock.naver.com/research/company/87239" TargetMode="External"/><Relationship Id="rId9571" Type="http://schemas.openxmlformats.org/officeDocument/2006/relationships/hyperlink" Target="https://m.stock.naver.com/research/company/83656" TargetMode="External"/><Relationship Id="rId13950" Type="http://schemas.openxmlformats.org/officeDocument/2006/relationships/hyperlink" Target="https://m.stock.naver.com/research/company/93782" TargetMode="External"/><Relationship Id="rId8173" Type="http://schemas.openxmlformats.org/officeDocument/2006/relationships/hyperlink" Target="https://m.stock.naver.com/research/company/85065" TargetMode="External"/><Relationship Id="rId9224" Type="http://schemas.openxmlformats.org/officeDocument/2006/relationships/hyperlink" Target="https://m.stock.naver.com/research/company/84006" TargetMode="External"/><Relationship Id="rId12552" Type="http://schemas.openxmlformats.org/officeDocument/2006/relationships/hyperlink" Target="https://m.stock.naver.com/research/company/80656" TargetMode="External"/><Relationship Id="rId13603" Type="http://schemas.openxmlformats.org/officeDocument/2006/relationships/hyperlink" Target="https://m.stock.naver.com/research/company/79601" TargetMode="External"/><Relationship Id="rId930" Type="http://schemas.openxmlformats.org/officeDocument/2006/relationships/hyperlink" Target="https://m.stock.naver.com/research/company/92526" TargetMode="External"/><Relationship Id="rId1560" Type="http://schemas.openxmlformats.org/officeDocument/2006/relationships/hyperlink" Target="https://m.stock.naver.com/research/company/91695" TargetMode="External"/><Relationship Id="rId2611" Type="http://schemas.openxmlformats.org/officeDocument/2006/relationships/hyperlink" Target="https://m.stock.naver.com/research/company/90643" TargetMode="External"/><Relationship Id="rId11154" Type="http://schemas.openxmlformats.org/officeDocument/2006/relationships/hyperlink" Target="https://m.stock.naver.com/research/company/82066" TargetMode="External"/><Relationship Id="rId12205" Type="http://schemas.openxmlformats.org/officeDocument/2006/relationships/hyperlink" Target="https://m.stock.naver.com/research/company/81005" TargetMode="External"/><Relationship Id="rId1213" Type="http://schemas.openxmlformats.org/officeDocument/2006/relationships/hyperlink" Target="https://m.stock.naver.com/research/company/92042" TargetMode="External"/><Relationship Id="rId4783" Type="http://schemas.openxmlformats.org/officeDocument/2006/relationships/hyperlink" Target="https://m.stock.naver.com/research/company/88457" TargetMode="External"/><Relationship Id="rId5834" Type="http://schemas.openxmlformats.org/officeDocument/2006/relationships/hyperlink" Target="https://m.stock.naver.com/research/company/87406" TargetMode="External"/><Relationship Id="rId14377" Type="http://schemas.openxmlformats.org/officeDocument/2006/relationships/hyperlink" Target="https://m.stock.naver.com/research/company/94235" TargetMode="External"/><Relationship Id="rId15428" Type="http://schemas.openxmlformats.org/officeDocument/2006/relationships/hyperlink" Target="https://m.stock.naver.com/research/company/95359" TargetMode="External"/><Relationship Id="rId3385" Type="http://schemas.openxmlformats.org/officeDocument/2006/relationships/hyperlink" Target="https://m.stock.naver.com/research/company/89866" TargetMode="External"/><Relationship Id="rId4436" Type="http://schemas.openxmlformats.org/officeDocument/2006/relationships/hyperlink" Target="https://m.stock.naver.com/research/company/88805" TargetMode="External"/><Relationship Id="rId3038" Type="http://schemas.openxmlformats.org/officeDocument/2006/relationships/hyperlink" Target="https://m.stock.naver.com/research/company/90213" TargetMode="External"/><Relationship Id="rId7659" Type="http://schemas.openxmlformats.org/officeDocument/2006/relationships/hyperlink" Target="https://m.stock.naver.com/research/company/85580" TargetMode="External"/><Relationship Id="rId10987" Type="http://schemas.openxmlformats.org/officeDocument/2006/relationships/hyperlink" Target="https://m.stock.naver.com/research/company/82233" TargetMode="External"/><Relationship Id="rId9081" Type="http://schemas.openxmlformats.org/officeDocument/2006/relationships/hyperlink" Target="https://m.stock.naver.com/research/company/84150" TargetMode="External"/><Relationship Id="rId12062" Type="http://schemas.openxmlformats.org/officeDocument/2006/relationships/hyperlink" Target="https://m.stock.naver.com/research/company/81149" TargetMode="External"/><Relationship Id="rId13460" Type="http://schemas.openxmlformats.org/officeDocument/2006/relationships/hyperlink" Target="https://m.stock.naver.com/research/company/79744" TargetMode="External"/><Relationship Id="rId14511" Type="http://schemas.openxmlformats.org/officeDocument/2006/relationships/hyperlink" Target="https://m.stock.naver.com/research/company/94399" TargetMode="External"/><Relationship Id="rId440" Type="http://schemas.openxmlformats.org/officeDocument/2006/relationships/hyperlink" Target="https://m.stock.naver.com/research/company/93017" TargetMode="External"/><Relationship Id="rId1070" Type="http://schemas.openxmlformats.org/officeDocument/2006/relationships/hyperlink" Target="https://m.stock.naver.com/research/company/92186" TargetMode="External"/><Relationship Id="rId2121" Type="http://schemas.openxmlformats.org/officeDocument/2006/relationships/hyperlink" Target="https://m.stock.naver.com/research/company/91134" TargetMode="External"/><Relationship Id="rId13113" Type="http://schemas.openxmlformats.org/officeDocument/2006/relationships/hyperlink" Target="https://m.stock.naver.com/research/company/80094" TargetMode="External"/><Relationship Id="rId5691" Type="http://schemas.openxmlformats.org/officeDocument/2006/relationships/hyperlink" Target="https://m.stock.naver.com/research/company/87549" TargetMode="External"/><Relationship Id="rId6742" Type="http://schemas.openxmlformats.org/officeDocument/2006/relationships/hyperlink" Target="https://m.stock.naver.com/research/company/86498" TargetMode="External"/><Relationship Id="rId15285" Type="http://schemas.openxmlformats.org/officeDocument/2006/relationships/hyperlink" Target="https://m.stock.naver.com/research/company/95075" TargetMode="External"/><Relationship Id="rId4293" Type="http://schemas.openxmlformats.org/officeDocument/2006/relationships/hyperlink" Target="https://m.stock.naver.com/research/company/88948" TargetMode="External"/><Relationship Id="rId5344" Type="http://schemas.openxmlformats.org/officeDocument/2006/relationships/hyperlink" Target="https://m.stock.naver.com/research/company/87896" TargetMode="External"/><Relationship Id="rId9965" Type="http://schemas.openxmlformats.org/officeDocument/2006/relationships/hyperlink" Target="https://m.stock.naver.com/research/company/83256" TargetMode="External"/><Relationship Id="rId11895" Type="http://schemas.openxmlformats.org/officeDocument/2006/relationships/hyperlink" Target="https://m.stock.naver.com/research/company/81316" TargetMode="External"/><Relationship Id="rId1954" Type="http://schemas.openxmlformats.org/officeDocument/2006/relationships/hyperlink" Target="https://m.stock.naver.com/research/company/91301" TargetMode="External"/><Relationship Id="rId8567" Type="http://schemas.openxmlformats.org/officeDocument/2006/relationships/hyperlink" Target="https://m.stock.naver.com/research/company/84670" TargetMode="External"/><Relationship Id="rId9618" Type="http://schemas.openxmlformats.org/officeDocument/2006/relationships/hyperlink" Target="https://m.stock.naver.com/research/company/83607" TargetMode="External"/><Relationship Id="rId10497" Type="http://schemas.openxmlformats.org/officeDocument/2006/relationships/hyperlink" Target="https://m.stock.naver.com/research/company/82723" TargetMode="External"/><Relationship Id="rId11548" Type="http://schemas.openxmlformats.org/officeDocument/2006/relationships/hyperlink" Target="https://m.stock.naver.com/research/company/81666" TargetMode="External"/><Relationship Id="rId12946" Type="http://schemas.openxmlformats.org/officeDocument/2006/relationships/hyperlink" Target="https://m.stock.naver.com/research/company/80262" TargetMode="External"/><Relationship Id="rId1607" Type="http://schemas.openxmlformats.org/officeDocument/2006/relationships/hyperlink" Target="https://m.stock.naver.com/research/company/91648" TargetMode="External"/><Relationship Id="rId7169" Type="http://schemas.openxmlformats.org/officeDocument/2006/relationships/hyperlink" Target="https://m.stock.naver.com/research/company/86070" TargetMode="External"/><Relationship Id="rId14021" Type="http://schemas.openxmlformats.org/officeDocument/2006/relationships/hyperlink" Target="https://m.stock.naver.com/research/company/93826" TargetMode="External"/><Relationship Id="rId3779" Type="http://schemas.openxmlformats.org/officeDocument/2006/relationships/hyperlink" Target="https://m.stock.naver.com/research/company/89472" TargetMode="External"/><Relationship Id="rId7650" Type="http://schemas.openxmlformats.org/officeDocument/2006/relationships/hyperlink" Target="https://m.stock.naver.com/research/company/85589" TargetMode="External"/><Relationship Id="rId6252" Type="http://schemas.openxmlformats.org/officeDocument/2006/relationships/hyperlink" Target="https://m.stock.naver.com/research/company/86988" TargetMode="External"/><Relationship Id="rId7303" Type="http://schemas.openxmlformats.org/officeDocument/2006/relationships/hyperlink" Target="https://m.stock.naver.com/research/company/85936" TargetMode="External"/><Relationship Id="rId8701" Type="http://schemas.openxmlformats.org/officeDocument/2006/relationships/hyperlink" Target="https://m.stock.naver.com/research/company/84536" TargetMode="External"/><Relationship Id="rId10631" Type="http://schemas.openxmlformats.org/officeDocument/2006/relationships/hyperlink" Target="https://m.stock.naver.com/research/company/82589" TargetMode="External"/><Relationship Id="rId13854" Type="http://schemas.openxmlformats.org/officeDocument/2006/relationships/hyperlink" Target="https://m.stock.naver.com/research/company/93628" TargetMode="External"/><Relationship Id="rId14905" Type="http://schemas.openxmlformats.org/officeDocument/2006/relationships/hyperlink" Target="https://m.stock.naver.com/research/company/94719" TargetMode="External"/><Relationship Id="rId2862" Type="http://schemas.openxmlformats.org/officeDocument/2006/relationships/hyperlink" Target="https://m.stock.naver.com/research/company/90391" TargetMode="External"/><Relationship Id="rId3913" Type="http://schemas.openxmlformats.org/officeDocument/2006/relationships/hyperlink" Target="https://m.stock.naver.com/research/company/89338" TargetMode="External"/><Relationship Id="rId8077" Type="http://schemas.openxmlformats.org/officeDocument/2006/relationships/hyperlink" Target="https://m.stock.naver.com/research/company/85161" TargetMode="External"/><Relationship Id="rId9475" Type="http://schemas.openxmlformats.org/officeDocument/2006/relationships/hyperlink" Target="https://m.stock.naver.com/research/company/83752" TargetMode="External"/><Relationship Id="rId12456" Type="http://schemas.openxmlformats.org/officeDocument/2006/relationships/hyperlink" Target="https://m.stock.naver.com/research/company/80753" TargetMode="External"/><Relationship Id="rId13507" Type="http://schemas.openxmlformats.org/officeDocument/2006/relationships/hyperlink" Target="https://m.stock.naver.com/research/company/79697" TargetMode="External"/><Relationship Id="rId834" Type="http://schemas.openxmlformats.org/officeDocument/2006/relationships/hyperlink" Target="https://m.stock.naver.com/research/company/92622" TargetMode="External"/><Relationship Id="rId1464" Type="http://schemas.openxmlformats.org/officeDocument/2006/relationships/hyperlink" Target="https://m.stock.naver.com/research/company/91791" TargetMode="External"/><Relationship Id="rId2515" Type="http://schemas.openxmlformats.org/officeDocument/2006/relationships/hyperlink" Target="https://m.stock.naver.com/research/company/90739" TargetMode="External"/><Relationship Id="rId9128" Type="http://schemas.openxmlformats.org/officeDocument/2006/relationships/hyperlink" Target="https://m.stock.naver.com/research/company/84102" TargetMode="External"/><Relationship Id="rId11058" Type="http://schemas.openxmlformats.org/officeDocument/2006/relationships/hyperlink" Target="https://m.stock.naver.com/research/company/82162" TargetMode="External"/><Relationship Id="rId12109" Type="http://schemas.openxmlformats.org/officeDocument/2006/relationships/hyperlink" Target="https://m.stock.naver.com/research/company/81102" TargetMode="External"/><Relationship Id="rId15679" Type="http://schemas.openxmlformats.org/officeDocument/2006/relationships/hyperlink" Target="https://m.stock.naver.com/research/company/95735" TargetMode="External"/><Relationship Id="rId1117" Type="http://schemas.openxmlformats.org/officeDocument/2006/relationships/hyperlink" Target="https://m.stock.naver.com/research/company/92138" TargetMode="External"/><Relationship Id="rId4687" Type="http://schemas.openxmlformats.org/officeDocument/2006/relationships/hyperlink" Target="https://m.stock.naver.com/research/company/88553" TargetMode="External"/><Relationship Id="rId5738" Type="http://schemas.openxmlformats.org/officeDocument/2006/relationships/hyperlink" Target="https://m.stock.naver.com/research/company/87502" TargetMode="External"/><Relationship Id="rId3289" Type="http://schemas.openxmlformats.org/officeDocument/2006/relationships/hyperlink" Target="https://m.stock.naver.com/research/company/89961" TargetMode="External"/><Relationship Id="rId7160" Type="http://schemas.openxmlformats.org/officeDocument/2006/relationships/hyperlink" Target="https://m.stock.naver.com/research/company/86079" TargetMode="External"/><Relationship Id="rId8211" Type="http://schemas.openxmlformats.org/officeDocument/2006/relationships/hyperlink" Target="https://m.stock.naver.com/research/company/85027" TargetMode="External"/><Relationship Id="rId10141" Type="http://schemas.openxmlformats.org/officeDocument/2006/relationships/hyperlink" Target="https://m.stock.naver.com/research/company/83080" TargetMode="External"/><Relationship Id="rId14762" Type="http://schemas.openxmlformats.org/officeDocument/2006/relationships/hyperlink" Target="https://m.stock.naver.com/research/company/94638" TargetMode="External"/><Relationship Id="rId3770" Type="http://schemas.openxmlformats.org/officeDocument/2006/relationships/hyperlink" Target="https://m.stock.naver.com/research/company/89481" TargetMode="External"/><Relationship Id="rId4821" Type="http://schemas.openxmlformats.org/officeDocument/2006/relationships/hyperlink" Target="https://m.stock.naver.com/research/company/88419" TargetMode="External"/><Relationship Id="rId13364" Type="http://schemas.openxmlformats.org/officeDocument/2006/relationships/hyperlink" Target="https://m.stock.naver.com/research/company/79841" TargetMode="External"/><Relationship Id="rId14415" Type="http://schemas.openxmlformats.org/officeDocument/2006/relationships/hyperlink" Target="https://m.stock.naver.com/research/company/94268" TargetMode="External"/><Relationship Id="rId344" Type="http://schemas.openxmlformats.org/officeDocument/2006/relationships/hyperlink" Target="https://m.stock.naver.com/research/company/93114" TargetMode="External"/><Relationship Id="rId691" Type="http://schemas.openxmlformats.org/officeDocument/2006/relationships/hyperlink" Target="https://m.stock.naver.com/research/company/92765" TargetMode="External"/><Relationship Id="rId2025" Type="http://schemas.openxmlformats.org/officeDocument/2006/relationships/hyperlink" Target="https://m.stock.naver.com/research/company/91230" TargetMode="External"/><Relationship Id="rId2372" Type="http://schemas.openxmlformats.org/officeDocument/2006/relationships/hyperlink" Target="https://m.stock.naver.com/research/company/90882" TargetMode="External"/><Relationship Id="rId3423" Type="http://schemas.openxmlformats.org/officeDocument/2006/relationships/hyperlink" Target="https://m.stock.naver.com/research/company/89828" TargetMode="External"/><Relationship Id="rId6993" Type="http://schemas.openxmlformats.org/officeDocument/2006/relationships/hyperlink" Target="https://m.stock.naver.com/research/company/86246" TargetMode="External"/><Relationship Id="rId13017" Type="http://schemas.openxmlformats.org/officeDocument/2006/relationships/hyperlink" Target="https://m.stock.naver.com/research/company/80190" TargetMode="External"/><Relationship Id="rId5595" Type="http://schemas.openxmlformats.org/officeDocument/2006/relationships/hyperlink" Target="https://m.stock.naver.com/research/company/87645" TargetMode="External"/><Relationship Id="rId6646" Type="http://schemas.openxmlformats.org/officeDocument/2006/relationships/hyperlink" Target="https://m.stock.naver.com/research/company/86594" TargetMode="External"/><Relationship Id="rId15189" Type="http://schemas.openxmlformats.org/officeDocument/2006/relationships/hyperlink" Target="https://m.stock.naver.com/research/company/95171" TargetMode="External"/><Relationship Id="rId4197" Type="http://schemas.openxmlformats.org/officeDocument/2006/relationships/hyperlink" Target="https://m.stock.naver.com/research/company/89045" TargetMode="External"/><Relationship Id="rId5248" Type="http://schemas.openxmlformats.org/officeDocument/2006/relationships/hyperlink" Target="https://m.stock.naver.com/research/company/87992" TargetMode="External"/><Relationship Id="rId9869" Type="http://schemas.openxmlformats.org/officeDocument/2006/relationships/hyperlink" Target="https://m.stock.naver.com/research/company/83353" TargetMode="External"/><Relationship Id="rId12100" Type="http://schemas.openxmlformats.org/officeDocument/2006/relationships/hyperlink" Target="https://m.stock.naver.com/research/company/81111" TargetMode="External"/><Relationship Id="rId1858" Type="http://schemas.openxmlformats.org/officeDocument/2006/relationships/hyperlink" Target="https://m.stock.naver.com/research/company/91397" TargetMode="External"/><Relationship Id="rId11799" Type="http://schemas.openxmlformats.org/officeDocument/2006/relationships/hyperlink" Target="https://m.stock.naver.com/research/company/81413" TargetMode="External"/><Relationship Id="rId14272" Type="http://schemas.openxmlformats.org/officeDocument/2006/relationships/hyperlink" Target="https://m.stock.naver.com/research/company/94126" TargetMode="External"/><Relationship Id="rId15670" Type="http://schemas.openxmlformats.org/officeDocument/2006/relationships/hyperlink" Target="https://m.stock.naver.com/research/company/95744" TargetMode="External"/><Relationship Id="rId2909" Type="http://schemas.openxmlformats.org/officeDocument/2006/relationships/hyperlink" Target="https://m.stock.naver.com/research/company/90344" TargetMode="External"/><Relationship Id="rId3280" Type="http://schemas.openxmlformats.org/officeDocument/2006/relationships/hyperlink" Target="https://m.stock.naver.com/research/company/89970" TargetMode="External"/><Relationship Id="rId4331" Type="http://schemas.openxmlformats.org/officeDocument/2006/relationships/hyperlink" Target="https://m.stock.naver.com/research/company/88910" TargetMode="External"/><Relationship Id="rId15323" Type="http://schemas.openxmlformats.org/officeDocument/2006/relationships/hyperlink" Target="https://m.stock.naver.com/research/company/95265" TargetMode="External"/><Relationship Id="rId8952" Type="http://schemas.openxmlformats.org/officeDocument/2006/relationships/hyperlink" Target="https://m.stock.naver.com/research/company/84280" TargetMode="External"/><Relationship Id="rId10882" Type="http://schemas.openxmlformats.org/officeDocument/2006/relationships/hyperlink" Target="https://m.stock.naver.com/research/company/82338" TargetMode="External"/><Relationship Id="rId11933" Type="http://schemas.openxmlformats.org/officeDocument/2006/relationships/hyperlink" Target="https://m.stock.naver.com/research/company/81278" TargetMode="External"/><Relationship Id="rId6156" Type="http://schemas.openxmlformats.org/officeDocument/2006/relationships/hyperlink" Target="https://m.stock.naver.com/research/company/87084" TargetMode="External"/><Relationship Id="rId7554" Type="http://schemas.openxmlformats.org/officeDocument/2006/relationships/hyperlink" Target="https://m.stock.naver.com/research/company/85685" TargetMode="External"/><Relationship Id="rId8605" Type="http://schemas.openxmlformats.org/officeDocument/2006/relationships/hyperlink" Target="https://m.stock.naver.com/research/company/84632" TargetMode="External"/><Relationship Id="rId10535" Type="http://schemas.openxmlformats.org/officeDocument/2006/relationships/hyperlink" Target="https://m.stock.naver.com/research/company/82685" TargetMode="External"/><Relationship Id="rId7207" Type="http://schemas.openxmlformats.org/officeDocument/2006/relationships/hyperlink" Target="https://m.stock.naver.com/research/company/86032" TargetMode="External"/><Relationship Id="rId13758" Type="http://schemas.openxmlformats.org/officeDocument/2006/relationships/hyperlink" Target="https://m.stock.naver.com/research/company/93549" TargetMode="External"/><Relationship Id="rId14809" Type="http://schemas.openxmlformats.org/officeDocument/2006/relationships/hyperlink" Target="https://m.stock.naver.com/research/company/94591" TargetMode="External"/><Relationship Id="rId2766" Type="http://schemas.openxmlformats.org/officeDocument/2006/relationships/hyperlink" Target="https://m.stock.naver.com/research/company/90488" TargetMode="External"/><Relationship Id="rId3817" Type="http://schemas.openxmlformats.org/officeDocument/2006/relationships/hyperlink" Target="https://m.stock.naver.com/research/company/89434" TargetMode="External"/><Relationship Id="rId9379" Type="http://schemas.openxmlformats.org/officeDocument/2006/relationships/hyperlink" Target="https://m.stock.naver.com/research/company/83848" TargetMode="External"/><Relationship Id="rId15180" Type="http://schemas.openxmlformats.org/officeDocument/2006/relationships/hyperlink" Target="https://m.stock.naver.com/research/company/95180" TargetMode="External"/><Relationship Id="rId738" Type="http://schemas.openxmlformats.org/officeDocument/2006/relationships/hyperlink" Target="https://m.stock.naver.com/research/company/92718" TargetMode="External"/><Relationship Id="rId1368" Type="http://schemas.openxmlformats.org/officeDocument/2006/relationships/hyperlink" Target="https://m.stock.naver.com/research/company/91887" TargetMode="External"/><Relationship Id="rId2419" Type="http://schemas.openxmlformats.org/officeDocument/2006/relationships/hyperlink" Target="https://m.stock.naver.com/research/company/90835" TargetMode="External"/><Relationship Id="rId5989" Type="http://schemas.openxmlformats.org/officeDocument/2006/relationships/hyperlink" Target="https://m.stock.naver.com/research/company/87251" TargetMode="External"/><Relationship Id="rId9860" Type="http://schemas.openxmlformats.org/officeDocument/2006/relationships/hyperlink" Target="https://m.stock.naver.com/research/company/83362" TargetMode="External"/><Relationship Id="rId74" Type="http://schemas.openxmlformats.org/officeDocument/2006/relationships/hyperlink" Target="https://m.stock.naver.com/research/company/93384" TargetMode="External"/><Relationship Id="rId8462" Type="http://schemas.openxmlformats.org/officeDocument/2006/relationships/hyperlink" Target="https://m.stock.naver.com/research/company/84775" TargetMode="External"/><Relationship Id="rId9513" Type="http://schemas.openxmlformats.org/officeDocument/2006/relationships/hyperlink" Target="https://m.stock.naver.com/research/company/83714" TargetMode="External"/><Relationship Id="rId11790" Type="http://schemas.openxmlformats.org/officeDocument/2006/relationships/hyperlink" Target="https://m.stock.naver.com/research/company/81422" TargetMode="External"/><Relationship Id="rId12841" Type="http://schemas.openxmlformats.org/officeDocument/2006/relationships/hyperlink" Target="https://m.stock.naver.com/research/company/80367" TargetMode="External"/><Relationship Id="rId2900" Type="http://schemas.openxmlformats.org/officeDocument/2006/relationships/hyperlink" Target="https://m.stock.naver.com/research/company/90353" TargetMode="External"/><Relationship Id="rId7064" Type="http://schemas.openxmlformats.org/officeDocument/2006/relationships/hyperlink" Target="https://m.stock.naver.com/research/company/86175" TargetMode="External"/><Relationship Id="rId8115" Type="http://schemas.openxmlformats.org/officeDocument/2006/relationships/hyperlink" Target="https://m.stock.naver.com/research/company/85123" TargetMode="External"/><Relationship Id="rId10392" Type="http://schemas.openxmlformats.org/officeDocument/2006/relationships/hyperlink" Target="https://m.stock.naver.com/research/company/82829" TargetMode="External"/><Relationship Id="rId11443" Type="http://schemas.openxmlformats.org/officeDocument/2006/relationships/hyperlink" Target="https://m.stock.naver.com/research/company/81772" TargetMode="External"/><Relationship Id="rId1502" Type="http://schemas.openxmlformats.org/officeDocument/2006/relationships/hyperlink" Target="https://m.stock.naver.com/research/company/91753" TargetMode="External"/><Relationship Id="rId10045" Type="http://schemas.openxmlformats.org/officeDocument/2006/relationships/hyperlink" Target="https://m.stock.naver.com/research/company/83176" TargetMode="External"/><Relationship Id="rId14666" Type="http://schemas.openxmlformats.org/officeDocument/2006/relationships/hyperlink" Target="https://m.stock.naver.com/research/company/94512" TargetMode="External"/><Relationship Id="rId15717" Type="http://schemas.openxmlformats.org/officeDocument/2006/relationships/hyperlink" Target="https://m.stock.naver.com/research/company/95697" TargetMode="External"/><Relationship Id="rId3674" Type="http://schemas.openxmlformats.org/officeDocument/2006/relationships/hyperlink" Target="https://m.stock.naver.com/research/company/89577" TargetMode="External"/><Relationship Id="rId4725" Type="http://schemas.openxmlformats.org/officeDocument/2006/relationships/hyperlink" Target="https://m.stock.naver.com/research/company/88515" TargetMode="External"/><Relationship Id="rId13268" Type="http://schemas.openxmlformats.org/officeDocument/2006/relationships/hyperlink" Target="https://m.stock.naver.com/research/company/79938" TargetMode="External"/><Relationship Id="rId14319" Type="http://schemas.openxmlformats.org/officeDocument/2006/relationships/hyperlink" Target="https://m.stock.naver.com/research/company/94145" TargetMode="External"/><Relationship Id="rId595" Type="http://schemas.openxmlformats.org/officeDocument/2006/relationships/hyperlink" Target="https://m.stock.naver.com/research/company/92862" TargetMode="External"/><Relationship Id="rId2276" Type="http://schemas.openxmlformats.org/officeDocument/2006/relationships/hyperlink" Target="https://m.stock.naver.com/research/company/90979" TargetMode="External"/><Relationship Id="rId3327" Type="http://schemas.openxmlformats.org/officeDocument/2006/relationships/hyperlink" Target="https://m.stock.naver.com/research/company/89923" TargetMode="External"/><Relationship Id="rId6897" Type="http://schemas.openxmlformats.org/officeDocument/2006/relationships/hyperlink" Target="https://m.stock.naver.com/research/company/86342" TargetMode="External"/><Relationship Id="rId7948" Type="http://schemas.openxmlformats.org/officeDocument/2006/relationships/hyperlink" Target="https://m.stock.naver.com/research/company/85290" TargetMode="External"/><Relationship Id="rId248" Type="http://schemas.openxmlformats.org/officeDocument/2006/relationships/hyperlink" Target="https://m.stock.naver.com/research/company/93210" TargetMode="External"/><Relationship Id="rId5499" Type="http://schemas.openxmlformats.org/officeDocument/2006/relationships/hyperlink" Target="https://m.stock.naver.com/research/company/87741" TargetMode="External"/><Relationship Id="rId9370" Type="http://schemas.openxmlformats.org/officeDocument/2006/relationships/hyperlink" Target="https://m.stock.naver.com/research/company/83857" TargetMode="External"/><Relationship Id="rId10929" Type="http://schemas.openxmlformats.org/officeDocument/2006/relationships/hyperlink" Target="https://m.stock.naver.com/research/company/82291" TargetMode="External"/><Relationship Id="rId12351" Type="http://schemas.openxmlformats.org/officeDocument/2006/relationships/hyperlink" Target="https://m.stock.naver.com/research/company/80858" TargetMode="External"/><Relationship Id="rId14800" Type="http://schemas.openxmlformats.org/officeDocument/2006/relationships/hyperlink" Target="https://m.stock.naver.com/research/company/94600" TargetMode="External"/><Relationship Id="rId2410" Type="http://schemas.openxmlformats.org/officeDocument/2006/relationships/hyperlink" Target="https://m.stock.naver.com/research/company/90844" TargetMode="External"/><Relationship Id="rId9023" Type="http://schemas.openxmlformats.org/officeDocument/2006/relationships/hyperlink" Target="https://m.stock.naver.com/research/company/84209" TargetMode="External"/><Relationship Id="rId12004" Type="http://schemas.openxmlformats.org/officeDocument/2006/relationships/hyperlink" Target="https://m.stock.naver.com/research/company/81207" TargetMode="External"/><Relationship Id="rId13402" Type="http://schemas.openxmlformats.org/officeDocument/2006/relationships/hyperlink" Target="https://m.stock.naver.com/research/company/79803" TargetMode="External"/><Relationship Id="rId1012" Type="http://schemas.openxmlformats.org/officeDocument/2006/relationships/hyperlink" Target="https://m.stock.naver.com/research/company/92339" TargetMode="External"/><Relationship Id="rId5980" Type="http://schemas.openxmlformats.org/officeDocument/2006/relationships/hyperlink" Target="https://m.stock.naver.com/research/company/87260" TargetMode="External"/><Relationship Id="rId15574" Type="http://schemas.openxmlformats.org/officeDocument/2006/relationships/hyperlink" Target="https://m.stock.naver.com/research/company/95462" TargetMode="External"/><Relationship Id="rId3184" Type="http://schemas.openxmlformats.org/officeDocument/2006/relationships/hyperlink" Target="https://m.stock.naver.com/research/company/90067" TargetMode="External"/><Relationship Id="rId4235" Type="http://schemas.openxmlformats.org/officeDocument/2006/relationships/hyperlink" Target="https://m.stock.naver.com/research/company/89007" TargetMode="External"/><Relationship Id="rId4582" Type="http://schemas.openxmlformats.org/officeDocument/2006/relationships/hyperlink" Target="https://m.stock.naver.com/research/company/88658" TargetMode="External"/><Relationship Id="rId5633" Type="http://schemas.openxmlformats.org/officeDocument/2006/relationships/hyperlink" Target="https://m.stock.naver.com/research/company/87607" TargetMode="External"/><Relationship Id="rId14176" Type="http://schemas.openxmlformats.org/officeDocument/2006/relationships/hyperlink" Target="https://m.stock.naver.com/research/company/94082" TargetMode="External"/><Relationship Id="rId15227" Type="http://schemas.openxmlformats.org/officeDocument/2006/relationships/hyperlink" Target="https://m.stock.naver.com/research/company/95133" TargetMode="External"/><Relationship Id="rId8856" Type="http://schemas.openxmlformats.org/officeDocument/2006/relationships/hyperlink" Target="https://m.stock.naver.com/research/company/84381" TargetMode="External"/><Relationship Id="rId9907" Type="http://schemas.openxmlformats.org/officeDocument/2006/relationships/hyperlink" Target="https://m.stock.naver.com/research/company/83315" TargetMode="External"/><Relationship Id="rId10786" Type="http://schemas.openxmlformats.org/officeDocument/2006/relationships/hyperlink" Target="https://m.stock.naver.com/research/company/82434" TargetMode="External"/><Relationship Id="rId11837" Type="http://schemas.openxmlformats.org/officeDocument/2006/relationships/hyperlink" Target="https://m.stock.naver.com/research/company/81375" TargetMode="External"/><Relationship Id="rId7458" Type="http://schemas.openxmlformats.org/officeDocument/2006/relationships/hyperlink" Target="https://m.stock.naver.com/research/company/85781" TargetMode="External"/><Relationship Id="rId8509" Type="http://schemas.openxmlformats.org/officeDocument/2006/relationships/hyperlink" Target="https://m.stock.naver.com/research/company/84728" TargetMode="External"/><Relationship Id="rId10439" Type="http://schemas.openxmlformats.org/officeDocument/2006/relationships/hyperlink" Target="https://m.stock.naver.com/research/company/82782" TargetMode="External"/><Relationship Id="rId14310" Type="http://schemas.openxmlformats.org/officeDocument/2006/relationships/hyperlink" Target="https://m.stock.naver.com/research/company/94154" TargetMode="External"/><Relationship Id="rId989" Type="http://schemas.openxmlformats.org/officeDocument/2006/relationships/hyperlink" Target="https://m.stock.naver.com/research/company/92467" TargetMode="External"/><Relationship Id="rId5490" Type="http://schemas.openxmlformats.org/officeDocument/2006/relationships/hyperlink" Target="https://m.stock.naver.com/research/company/87750" TargetMode="External"/><Relationship Id="rId6541" Type="http://schemas.openxmlformats.org/officeDocument/2006/relationships/hyperlink" Target="https://m.stock.naver.com/research/company/86699" TargetMode="External"/><Relationship Id="rId10920" Type="http://schemas.openxmlformats.org/officeDocument/2006/relationships/hyperlink" Target="https://m.stock.naver.com/research/company/82300" TargetMode="External"/><Relationship Id="rId15084" Type="http://schemas.openxmlformats.org/officeDocument/2006/relationships/hyperlink" Target="https://m.stock.naver.com/research/company/95010" TargetMode="External"/><Relationship Id="rId4092" Type="http://schemas.openxmlformats.org/officeDocument/2006/relationships/hyperlink" Target="https://m.stock.naver.com/research/company/89159" TargetMode="External"/><Relationship Id="rId5143" Type="http://schemas.openxmlformats.org/officeDocument/2006/relationships/hyperlink" Target="https://m.stock.naver.com/research/company/88097" TargetMode="External"/><Relationship Id="rId8366" Type="http://schemas.openxmlformats.org/officeDocument/2006/relationships/hyperlink" Target="https://m.stock.naver.com/research/company/84872" TargetMode="External"/><Relationship Id="rId9764" Type="http://schemas.openxmlformats.org/officeDocument/2006/relationships/hyperlink" Target="https://m.stock.naver.com/research/company/83459" TargetMode="External"/><Relationship Id="rId11694" Type="http://schemas.openxmlformats.org/officeDocument/2006/relationships/hyperlink" Target="https://m.stock.naver.com/research/company/81518" TargetMode="External"/><Relationship Id="rId12745" Type="http://schemas.openxmlformats.org/officeDocument/2006/relationships/hyperlink" Target="https://m.stock.naver.com/research/company/80463" TargetMode="External"/><Relationship Id="rId1753" Type="http://schemas.openxmlformats.org/officeDocument/2006/relationships/hyperlink" Target="https://m.stock.naver.com/research/company/91502" TargetMode="External"/><Relationship Id="rId2804" Type="http://schemas.openxmlformats.org/officeDocument/2006/relationships/hyperlink" Target="https://m.stock.naver.com/research/company/90450" TargetMode="External"/><Relationship Id="rId8019" Type="http://schemas.openxmlformats.org/officeDocument/2006/relationships/hyperlink" Target="https://m.stock.naver.com/research/company/85219" TargetMode="External"/><Relationship Id="rId9417" Type="http://schemas.openxmlformats.org/officeDocument/2006/relationships/hyperlink" Target="https://m.stock.naver.com/research/company/83810" TargetMode="External"/><Relationship Id="rId10296" Type="http://schemas.openxmlformats.org/officeDocument/2006/relationships/hyperlink" Target="https://m.stock.naver.com/research/company/82925" TargetMode="External"/><Relationship Id="rId11347" Type="http://schemas.openxmlformats.org/officeDocument/2006/relationships/hyperlink" Target="https://m.stock.naver.com/research/company/81869" TargetMode="External"/><Relationship Id="rId1406" Type="http://schemas.openxmlformats.org/officeDocument/2006/relationships/hyperlink" Target="https://m.stock.naver.com/research/company/91849" TargetMode="External"/><Relationship Id="rId4976" Type="http://schemas.openxmlformats.org/officeDocument/2006/relationships/hyperlink" Target="https://m.stock.naver.com/research/company/88264" TargetMode="External"/><Relationship Id="rId3578" Type="http://schemas.openxmlformats.org/officeDocument/2006/relationships/hyperlink" Target="https://m.stock.naver.com/research/company/89673" TargetMode="External"/><Relationship Id="rId4629" Type="http://schemas.openxmlformats.org/officeDocument/2006/relationships/hyperlink" Target="https://m.stock.naver.com/research/company/88611" TargetMode="External"/><Relationship Id="rId8500" Type="http://schemas.openxmlformats.org/officeDocument/2006/relationships/hyperlink" Target="https://m.stock.naver.com/research/company/84737" TargetMode="External"/><Relationship Id="rId10430" Type="http://schemas.openxmlformats.org/officeDocument/2006/relationships/hyperlink" Target="https://m.stock.naver.com/research/company/82791" TargetMode="External"/><Relationship Id="rId499" Type="http://schemas.openxmlformats.org/officeDocument/2006/relationships/hyperlink" Target="https://m.stock.naver.com/research/company/92958" TargetMode="External"/><Relationship Id="rId6051" Type="http://schemas.openxmlformats.org/officeDocument/2006/relationships/hyperlink" Target="https://m.stock.naver.com/research/company/87189" TargetMode="External"/><Relationship Id="rId7102" Type="http://schemas.openxmlformats.org/officeDocument/2006/relationships/hyperlink" Target="https://m.stock.naver.com/research/company/86137" TargetMode="External"/><Relationship Id="rId9274" Type="http://schemas.openxmlformats.org/officeDocument/2006/relationships/hyperlink" Target="https://m.stock.naver.com/research/company/83954" TargetMode="External"/><Relationship Id="rId13653" Type="http://schemas.openxmlformats.org/officeDocument/2006/relationships/hyperlink" Target="https://m.stock.naver.com/research/company/79551" TargetMode="External"/><Relationship Id="rId14704" Type="http://schemas.openxmlformats.org/officeDocument/2006/relationships/hyperlink" Target="https://m.stock.naver.com/research/company/94696" TargetMode="External"/><Relationship Id="rId633" Type="http://schemas.openxmlformats.org/officeDocument/2006/relationships/hyperlink" Target="https://m.stock.naver.com/research/company/92823" TargetMode="External"/><Relationship Id="rId980" Type="http://schemas.openxmlformats.org/officeDocument/2006/relationships/hyperlink" Target="https://m.stock.naver.com/research/company/92476" TargetMode="External"/><Relationship Id="rId1263" Type="http://schemas.openxmlformats.org/officeDocument/2006/relationships/hyperlink" Target="https://m.stock.naver.com/research/company/91992" TargetMode="External"/><Relationship Id="rId2314" Type="http://schemas.openxmlformats.org/officeDocument/2006/relationships/hyperlink" Target="https://m.stock.naver.com/research/company/90941" TargetMode="External"/><Relationship Id="rId2661" Type="http://schemas.openxmlformats.org/officeDocument/2006/relationships/hyperlink" Target="https://m.stock.naver.com/research/company/90593" TargetMode="External"/><Relationship Id="rId3712" Type="http://schemas.openxmlformats.org/officeDocument/2006/relationships/hyperlink" Target="https://m.stock.naver.com/research/company/89539" TargetMode="External"/><Relationship Id="rId12255" Type="http://schemas.openxmlformats.org/officeDocument/2006/relationships/hyperlink" Target="https://m.stock.naver.com/research/company/80954" TargetMode="External"/><Relationship Id="rId13306" Type="http://schemas.openxmlformats.org/officeDocument/2006/relationships/hyperlink" Target="https://m.stock.naver.com/research/company/79899" TargetMode="External"/><Relationship Id="rId5884" Type="http://schemas.openxmlformats.org/officeDocument/2006/relationships/hyperlink" Target="https://m.stock.naver.com/research/company/87356" TargetMode="External"/><Relationship Id="rId6935" Type="http://schemas.openxmlformats.org/officeDocument/2006/relationships/hyperlink" Target="https://m.stock.naver.com/research/company/86304" TargetMode="External"/><Relationship Id="rId15478" Type="http://schemas.openxmlformats.org/officeDocument/2006/relationships/hyperlink" Target="https://m.stock.naver.com/research/company/95309" TargetMode="External"/><Relationship Id="rId3088" Type="http://schemas.openxmlformats.org/officeDocument/2006/relationships/hyperlink" Target="https://m.stock.naver.com/research/company/90163" TargetMode="External"/><Relationship Id="rId4486" Type="http://schemas.openxmlformats.org/officeDocument/2006/relationships/hyperlink" Target="https://m.stock.naver.com/research/company/88754" TargetMode="External"/><Relationship Id="rId5537" Type="http://schemas.openxmlformats.org/officeDocument/2006/relationships/hyperlink" Target="https://m.stock.naver.com/research/company/87703" TargetMode="External"/><Relationship Id="rId4139" Type="http://schemas.openxmlformats.org/officeDocument/2006/relationships/hyperlink" Target="https://m.stock.naver.com/research/company/89112" TargetMode="External"/><Relationship Id="rId8010" Type="http://schemas.openxmlformats.org/officeDocument/2006/relationships/hyperlink" Target="https://m.stock.naver.com/research/company/85228" TargetMode="External"/><Relationship Id="rId14561" Type="http://schemas.openxmlformats.org/officeDocument/2006/relationships/hyperlink" Target="https://m.stock.naver.com/research/company/94349" TargetMode="External"/><Relationship Id="rId4620" Type="http://schemas.openxmlformats.org/officeDocument/2006/relationships/hyperlink" Target="https://m.stock.naver.com/research/company/88620" TargetMode="External"/><Relationship Id="rId13163" Type="http://schemas.openxmlformats.org/officeDocument/2006/relationships/hyperlink" Target="https://m.stock.naver.com/research/company/80044" TargetMode="External"/><Relationship Id="rId14214" Type="http://schemas.openxmlformats.org/officeDocument/2006/relationships/hyperlink" Target="https://m.stock.naver.com/research/company/94044" TargetMode="External"/><Relationship Id="rId15612" Type="http://schemas.openxmlformats.org/officeDocument/2006/relationships/hyperlink" Target="https://m.stock.naver.com/research/company/95424" TargetMode="External"/><Relationship Id="rId490" Type="http://schemas.openxmlformats.org/officeDocument/2006/relationships/hyperlink" Target="https://m.stock.naver.com/research/company/92967" TargetMode="External"/><Relationship Id="rId2171" Type="http://schemas.openxmlformats.org/officeDocument/2006/relationships/hyperlink" Target="https://m.stock.naver.com/research/company/91084" TargetMode="External"/><Relationship Id="rId3222" Type="http://schemas.openxmlformats.org/officeDocument/2006/relationships/hyperlink" Target="https://m.stock.naver.com/research/company/90029" TargetMode="External"/><Relationship Id="rId143" Type="http://schemas.openxmlformats.org/officeDocument/2006/relationships/hyperlink" Target="https://m.stock.naver.com/research/company/93315" TargetMode="External"/><Relationship Id="rId5394" Type="http://schemas.openxmlformats.org/officeDocument/2006/relationships/hyperlink" Target="https://m.stock.naver.com/research/company/87846" TargetMode="External"/><Relationship Id="rId6445" Type="http://schemas.openxmlformats.org/officeDocument/2006/relationships/hyperlink" Target="https://m.stock.naver.com/research/company/86795" TargetMode="External"/><Relationship Id="rId6792" Type="http://schemas.openxmlformats.org/officeDocument/2006/relationships/hyperlink" Target="https://m.stock.naver.com/research/company/86448" TargetMode="External"/><Relationship Id="rId7843" Type="http://schemas.openxmlformats.org/officeDocument/2006/relationships/hyperlink" Target="https://m.stock.naver.com/research/company/85395" TargetMode="External"/><Relationship Id="rId10824" Type="http://schemas.openxmlformats.org/officeDocument/2006/relationships/hyperlink" Target="https://m.stock.naver.com/research/company/82396" TargetMode="External"/><Relationship Id="rId9" Type="http://schemas.openxmlformats.org/officeDocument/2006/relationships/hyperlink" Target="https://m.stock.naver.com/research/company/93449" TargetMode="External"/><Relationship Id="rId5047" Type="http://schemas.openxmlformats.org/officeDocument/2006/relationships/hyperlink" Target="https://m.stock.naver.com/research/company/88193" TargetMode="External"/><Relationship Id="rId12996" Type="http://schemas.openxmlformats.org/officeDocument/2006/relationships/hyperlink" Target="https://m.stock.naver.com/research/company/80212" TargetMode="External"/><Relationship Id="rId9668" Type="http://schemas.openxmlformats.org/officeDocument/2006/relationships/hyperlink" Target="https://m.stock.naver.com/research/company/83556" TargetMode="External"/><Relationship Id="rId11598" Type="http://schemas.openxmlformats.org/officeDocument/2006/relationships/hyperlink" Target="https://m.stock.naver.com/research/company/81614" TargetMode="External"/><Relationship Id="rId12649" Type="http://schemas.openxmlformats.org/officeDocument/2006/relationships/hyperlink" Target="https://m.stock.naver.com/research/company/80559" TargetMode="External"/><Relationship Id="rId1657" Type="http://schemas.openxmlformats.org/officeDocument/2006/relationships/hyperlink" Target="https://m.stock.naver.com/research/company/91598" TargetMode="External"/><Relationship Id="rId2708" Type="http://schemas.openxmlformats.org/officeDocument/2006/relationships/hyperlink" Target="https://m.stock.naver.com/research/company/90546" TargetMode="External"/><Relationship Id="rId14071" Type="http://schemas.openxmlformats.org/officeDocument/2006/relationships/hyperlink" Target="https://m.stock.naver.com/research/company/93883" TargetMode="External"/><Relationship Id="rId15122" Type="http://schemas.openxmlformats.org/officeDocument/2006/relationships/hyperlink" Target="https://m.stock.naver.com/research/company/94972" TargetMode="External"/><Relationship Id="rId4130" Type="http://schemas.openxmlformats.org/officeDocument/2006/relationships/hyperlink" Target="https://m.stock.naver.com/research/company/89121" TargetMode="External"/><Relationship Id="rId8751" Type="http://schemas.openxmlformats.org/officeDocument/2006/relationships/hyperlink" Target="https://m.stock.naver.com/research/company/84486" TargetMode="External"/><Relationship Id="rId9802" Type="http://schemas.openxmlformats.org/officeDocument/2006/relationships/hyperlink" Target="https://m.stock.naver.com/research/company/83420" TargetMode="External"/><Relationship Id="rId16" Type="http://schemas.openxmlformats.org/officeDocument/2006/relationships/hyperlink" Target="https://m.stock.naver.com/research/company/93442" TargetMode="External"/><Relationship Id="rId7353" Type="http://schemas.openxmlformats.org/officeDocument/2006/relationships/hyperlink" Target="https://m.stock.naver.com/research/company/85886" TargetMode="External"/><Relationship Id="rId8404" Type="http://schemas.openxmlformats.org/officeDocument/2006/relationships/hyperlink" Target="https://m.stock.naver.com/research/company/84834" TargetMode="External"/><Relationship Id="rId10681" Type="http://schemas.openxmlformats.org/officeDocument/2006/relationships/hyperlink" Target="https://m.stock.naver.com/research/company/82539" TargetMode="External"/><Relationship Id="rId11732" Type="http://schemas.openxmlformats.org/officeDocument/2006/relationships/hyperlink" Target="https://m.stock.naver.com/research/company/81480" TargetMode="External"/><Relationship Id="rId7006" Type="http://schemas.openxmlformats.org/officeDocument/2006/relationships/hyperlink" Target="https://m.stock.naver.com/research/company/86233" TargetMode="External"/><Relationship Id="rId10334" Type="http://schemas.openxmlformats.org/officeDocument/2006/relationships/hyperlink" Target="https://m.stock.naver.com/research/company/82887" TargetMode="External"/><Relationship Id="rId14955" Type="http://schemas.openxmlformats.org/officeDocument/2006/relationships/hyperlink" Target="https://m.stock.naver.com/research/company/94879" TargetMode="External"/><Relationship Id="rId3963" Type="http://schemas.openxmlformats.org/officeDocument/2006/relationships/hyperlink" Target="https://m.stock.naver.com/research/company/89288" TargetMode="External"/><Relationship Id="rId9178" Type="http://schemas.openxmlformats.org/officeDocument/2006/relationships/hyperlink" Target="https://m.stock.naver.com/research/company/84052" TargetMode="External"/><Relationship Id="rId13557" Type="http://schemas.openxmlformats.org/officeDocument/2006/relationships/hyperlink" Target="https://m.stock.naver.com/research/company/79647" TargetMode="External"/><Relationship Id="rId14608" Type="http://schemas.openxmlformats.org/officeDocument/2006/relationships/hyperlink" Target="https://m.stock.naver.com/research/company/94569" TargetMode="External"/><Relationship Id="rId884" Type="http://schemas.openxmlformats.org/officeDocument/2006/relationships/hyperlink" Target="https://m.stock.naver.com/research/company/92572" TargetMode="External"/><Relationship Id="rId2565" Type="http://schemas.openxmlformats.org/officeDocument/2006/relationships/hyperlink" Target="https://m.stock.naver.com/research/company/90689" TargetMode="External"/><Relationship Id="rId3616" Type="http://schemas.openxmlformats.org/officeDocument/2006/relationships/hyperlink" Target="https://m.stock.naver.com/research/company/89635" TargetMode="External"/><Relationship Id="rId12159" Type="http://schemas.openxmlformats.org/officeDocument/2006/relationships/hyperlink" Target="https://m.stock.naver.com/research/company/81052" TargetMode="External"/><Relationship Id="rId537" Type="http://schemas.openxmlformats.org/officeDocument/2006/relationships/hyperlink" Target="https://m.stock.naver.com/research/company/92920" TargetMode="External"/><Relationship Id="rId1167" Type="http://schemas.openxmlformats.org/officeDocument/2006/relationships/hyperlink" Target="https://m.stock.naver.com/research/company/92088" TargetMode="External"/><Relationship Id="rId2218" Type="http://schemas.openxmlformats.org/officeDocument/2006/relationships/hyperlink" Target="https://m.stock.naver.com/research/company/91037" TargetMode="External"/><Relationship Id="rId5788" Type="http://schemas.openxmlformats.org/officeDocument/2006/relationships/hyperlink" Target="https://m.stock.naver.com/research/company/87452" TargetMode="External"/><Relationship Id="rId6839" Type="http://schemas.openxmlformats.org/officeDocument/2006/relationships/hyperlink" Target="https://m.stock.naver.com/research/company/86401" TargetMode="External"/><Relationship Id="rId12640" Type="http://schemas.openxmlformats.org/officeDocument/2006/relationships/hyperlink" Target="https://m.stock.naver.com/research/company/80568" TargetMode="External"/><Relationship Id="rId8261" Type="http://schemas.openxmlformats.org/officeDocument/2006/relationships/hyperlink" Target="https://m.stock.naver.com/research/company/84977" TargetMode="External"/><Relationship Id="rId9312" Type="http://schemas.openxmlformats.org/officeDocument/2006/relationships/hyperlink" Target="https://m.stock.naver.com/research/company/83915" TargetMode="External"/><Relationship Id="rId10191" Type="http://schemas.openxmlformats.org/officeDocument/2006/relationships/hyperlink" Target="https://m.stock.naver.com/research/company/83030" TargetMode="External"/><Relationship Id="rId11242" Type="http://schemas.openxmlformats.org/officeDocument/2006/relationships/hyperlink" Target="https://m.stock.naver.com/research/company/81977" TargetMode="External"/><Relationship Id="rId1301" Type="http://schemas.openxmlformats.org/officeDocument/2006/relationships/hyperlink" Target="https://m.stock.naver.com/research/company/91954" TargetMode="External"/><Relationship Id="rId3473" Type="http://schemas.openxmlformats.org/officeDocument/2006/relationships/hyperlink" Target="https://m.stock.naver.com/research/company/89778" TargetMode="External"/><Relationship Id="rId4524" Type="http://schemas.openxmlformats.org/officeDocument/2006/relationships/hyperlink" Target="https://m.stock.naver.com/research/company/88716" TargetMode="External"/><Relationship Id="rId4871" Type="http://schemas.openxmlformats.org/officeDocument/2006/relationships/hyperlink" Target="https://m.stock.naver.com/research/company/88369" TargetMode="External"/><Relationship Id="rId5922" Type="http://schemas.openxmlformats.org/officeDocument/2006/relationships/hyperlink" Target="https://m.stock.naver.com/research/company/87318" TargetMode="External"/><Relationship Id="rId13067" Type="http://schemas.openxmlformats.org/officeDocument/2006/relationships/hyperlink" Target="https://m.stock.naver.com/research/company/80140" TargetMode="External"/><Relationship Id="rId14465" Type="http://schemas.openxmlformats.org/officeDocument/2006/relationships/hyperlink" Target="https://m.stock.naver.com/research/company/94445" TargetMode="External"/><Relationship Id="rId15516" Type="http://schemas.openxmlformats.org/officeDocument/2006/relationships/hyperlink" Target="https://m.stock.naver.com/research/company/95520" TargetMode="External"/><Relationship Id="rId394" Type="http://schemas.openxmlformats.org/officeDocument/2006/relationships/hyperlink" Target="https://m.stock.naver.com/research/company/93064" TargetMode="External"/><Relationship Id="rId2075" Type="http://schemas.openxmlformats.org/officeDocument/2006/relationships/hyperlink" Target="https://m.stock.naver.com/research/company/91180" TargetMode="External"/><Relationship Id="rId3126" Type="http://schemas.openxmlformats.org/officeDocument/2006/relationships/hyperlink" Target="https://m.stock.naver.com/research/company/90125" TargetMode="External"/><Relationship Id="rId14118" Type="http://schemas.openxmlformats.org/officeDocument/2006/relationships/hyperlink" Target="https://m.stock.naver.com/research/company/94010" TargetMode="External"/><Relationship Id="rId5298" Type="http://schemas.openxmlformats.org/officeDocument/2006/relationships/hyperlink" Target="https://m.stock.naver.com/research/company/87942" TargetMode="External"/><Relationship Id="rId6696" Type="http://schemas.openxmlformats.org/officeDocument/2006/relationships/hyperlink" Target="https://m.stock.naver.com/research/company/86544" TargetMode="External"/><Relationship Id="rId7747" Type="http://schemas.openxmlformats.org/officeDocument/2006/relationships/hyperlink" Target="https://m.stock.naver.com/research/company/85492" TargetMode="External"/><Relationship Id="rId10728" Type="http://schemas.openxmlformats.org/officeDocument/2006/relationships/hyperlink" Target="https://m.stock.naver.com/research/company/82492" TargetMode="External"/><Relationship Id="rId6349" Type="http://schemas.openxmlformats.org/officeDocument/2006/relationships/hyperlink" Target="https://m.stock.naver.com/research/company/86891" TargetMode="External"/><Relationship Id="rId12150" Type="http://schemas.openxmlformats.org/officeDocument/2006/relationships/hyperlink" Target="https://m.stock.naver.com/research/company/81061" TargetMode="External"/><Relationship Id="rId13201" Type="http://schemas.openxmlformats.org/officeDocument/2006/relationships/hyperlink" Target="https://m.stock.naver.com/research/company/80006" TargetMode="External"/><Relationship Id="rId2959" Type="http://schemas.openxmlformats.org/officeDocument/2006/relationships/hyperlink" Target="https://m.stock.naver.com/research/company/90294" TargetMode="External"/><Relationship Id="rId6830" Type="http://schemas.openxmlformats.org/officeDocument/2006/relationships/hyperlink" Target="https://m.stock.naver.com/research/company/86410" TargetMode="External"/><Relationship Id="rId15373" Type="http://schemas.openxmlformats.org/officeDocument/2006/relationships/hyperlink" Target="https://m.stock.naver.com/research/company/95215" TargetMode="External"/><Relationship Id="rId4381" Type="http://schemas.openxmlformats.org/officeDocument/2006/relationships/hyperlink" Target="https://m.stock.naver.com/research/company/88860" TargetMode="External"/><Relationship Id="rId5432" Type="http://schemas.openxmlformats.org/officeDocument/2006/relationships/hyperlink" Target="https://m.stock.naver.com/research/company/87808" TargetMode="External"/><Relationship Id="rId15026" Type="http://schemas.openxmlformats.org/officeDocument/2006/relationships/hyperlink" Target="https://m.stock.naver.com/research/company/94808" TargetMode="External"/><Relationship Id="rId4034" Type="http://schemas.openxmlformats.org/officeDocument/2006/relationships/hyperlink" Target="https://m.stock.naver.com/research/company/89217" TargetMode="External"/><Relationship Id="rId8655" Type="http://schemas.openxmlformats.org/officeDocument/2006/relationships/hyperlink" Target="https://m.stock.naver.com/research/company/84582" TargetMode="External"/><Relationship Id="rId11983" Type="http://schemas.openxmlformats.org/officeDocument/2006/relationships/hyperlink" Target="https://m.stock.naver.com/research/company/81228" TargetMode="External"/><Relationship Id="rId7257" Type="http://schemas.openxmlformats.org/officeDocument/2006/relationships/hyperlink" Target="https://m.stock.naver.com/research/company/85982" TargetMode="External"/><Relationship Id="rId8308" Type="http://schemas.openxmlformats.org/officeDocument/2006/relationships/hyperlink" Target="https://m.stock.naver.com/research/company/84930" TargetMode="External"/><Relationship Id="rId9706" Type="http://schemas.openxmlformats.org/officeDocument/2006/relationships/hyperlink" Target="https://m.stock.naver.com/research/company/83517" TargetMode="External"/><Relationship Id="rId10585" Type="http://schemas.openxmlformats.org/officeDocument/2006/relationships/hyperlink" Target="https://m.stock.naver.com/research/company/82635" TargetMode="External"/><Relationship Id="rId11636" Type="http://schemas.openxmlformats.org/officeDocument/2006/relationships/hyperlink" Target="https://m.stock.naver.com/research/company/81576" TargetMode="External"/><Relationship Id="rId10238" Type="http://schemas.openxmlformats.org/officeDocument/2006/relationships/hyperlink" Target="https://m.stock.naver.com/research/company/82983" TargetMode="External"/><Relationship Id="rId14859" Type="http://schemas.openxmlformats.org/officeDocument/2006/relationships/hyperlink" Target="https://m.stock.naver.com/research/company/94765" TargetMode="External"/><Relationship Id="rId3867" Type="http://schemas.openxmlformats.org/officeDocument/2006/relationships/hyperlink" Target="https://m.stock.naver.com/research/company/89384" TargetMode="External"/><Relationship Id="rId4918" Type="http://schemas.openxmlformats.org/officeDocument/2006/relationships/hyperlink" Target="https://m.stock.naver.com/research/company/88322" TargetMode="External"/><Relationship Id="rId788" Type="http://schemas.openxmlformats.org/officeDocument/2006/relationships/hyperlink" Target="https://m.stock.naver.com/research/company/92668" TargetMode="External"/><Relationship Id="rId2469" Type="http://schemas.openxmlformats.org/officeDocument/2006/relationships/hyperlink" Target="https://m.stock.naver.com/research/company/90785" TargetMode="External"/><Relationship Id="rId6340" Type="http://schemas.openxmlformats.org/officeDocument/2006/relationships/hyperlink" Target="https://m.stock.naver.com/research/company/86900" TargetMode="External"/><Relationship Id="rId9563" Type="http://schemas.openxmlformats.org/officeDocument/2006/relationships/hyperlink" Target="https://m.stock.naver.com/research/company/83664" TargetMode="External"/><Relationship Id="rId11493" Type="http://schemas.openxmlformats.org/officeDocument/2006/relationships/hyperlink" Target="https://m.stock.naver.com/research/company/81722" TargetMode="External"/><Relationship Id="rId12891" Type="http://schemas.openxmlformats.org/officeDocument/2006/relationships/hyperlink" Target="https://m.stock.naver.com/research/company/80317" TargetMode="External"/><Relationship Id="rId13942" Type="http://schemas.openxmlformats.org/officeDocument/2006/relationships/hyperlink" Target="https://m.stock.naver.com/research/company/93790" TargetMode="External"/><Relationship Id="rId922" Type="http://schemas.openxmlformats.org/officeDocument/2006/relationships/hyperlink" Target="https://m.stock.naver.com/research/company/92534" TargetMode="External"/><Relationship Id="rId1552" Type="http://schemas.openxmlformats.org/officeDocument/2006/relationships/hyperlink" Target="https://m.stock.naver.com/research/company/91703" TargetMode="External"/><Relationship Id="rId2603" Type="http://schemas.openxmlformats.org/officeDocument/2006/relationships/hyperlink" Target="https://m.stock.naver.com/research/company/90651" TargetMode="External"/><Relationship Id="rId2950" Type="http://schemas.openxmlformats.org/officeDocument/2006/relationships/hyperlink" Target="https://m.stock.naver.com/research/company/90303" TargetMode="External"/><Relationship Id="rId8165" Type="http://schemas.openxmlformats.org/officeDocument/2006/relationships/hyperlink" Target="https://m.stock.naver.com/research/company/85073" TargetMode="External"/><Relationship Id="rId9216" Type="http://schemas.openxmlformats.org/officeDocument/2006/relationships/hyperlink" Target="https://m.stock.naver.com/research/company/84014" TargetMode="External"/><Relationship Id="rId10095" Type="http://schemas.openxmlformats.org/officeDocument/2006/relationships/hyperlink" Target="https://m.stock.naver.com/research/company/83126" TargetMode="External"/><Relationship Id="rId11146" Type="http://schemas.openxmlformats.org/officeDocument/2006/relationships/hyperlink" Target="https://m.stock.naver.com/research/company/82074" TargetMode="External"/><Relationship Id="rId12544" Type="http://schemas.openxmlformats.org/officeDocument/2006/relationships/hyperlink" Target="https://m.stock.naver.com/research/company/80664" TargetMode="External"/><Relationship Id="rId1205" Type="http://schemas.openxmlformats.org/officeDocument/2006/relationships/hyperlink" Target="https://m.stock.naver.com/research/company/92050" TargetMode="External"/><Relationship Id="rId3377" Type="http://schemas.openxmlformats.org/officeDocument/2006/relationships/hyperlink" Target="https://m.stock.naver.com/research/company/89874" TargetMode="External"/><Relationship Id="rId4775" Type="http://schemas.openxmlformats.org/officeDocument/2006/relationships/hyperlink" Target="https://m.stock.naver.com/research/company/88465" TargetMode="External"/><Relationship Id="rId5826" Type="http://schemas.openxmlformats.org/officeDocument/2006/relationships/hyperlink" Target="https://m.stock.naver.com/research/company/87414" TargetMode="External"/><Relationship Id="rId14369" Type="http://schemas.openxmlformats.org/officeDocument/2006/relationships/hyperlink" Target="https://m.stock.naver.com/research/company/94243" TargetMode="External"/><Relationship Id="rId298" Type="http://schemas.openxmlformats.org/officeDocument/2006/relationships/hyperlink" Target="https://m.stock.naver.com/research/company/93160" TargetMode="External"/><Relationship Id="rId4428" Type="http://schemas.openxmlformats.org/officeDocument/2006/relationships/hyperlink" Target="https://m.stock.naver.com/research/company/88813" TargetMode="External"/><Relationship Id="rId7998" Type="http://schemas.openxmlformats.org/officeDocument/2006/relationships/hyperlink" Target="https://m.stock.naver.com/research/company/85240" TargetMode="External"/><Relationship Id="rId10979" Type="http://schemas.openxmlformats.org/officeDocument/2006/relationships/hyperlink" Target="https://m.stock.naver.com/research/company/82241" TargetMode="External"/><Relationship Id="rId14850" Type="http://schemas.openxmlformats.org/officeDocument/2006/relationships/hyperlink" Target="https://m.stock.naver.com/research/company/94774" TargetMode="External"/><Relationship Id="rId13452" Type="http://schemas.openxmlformats.org/officeDocument/2006/relationships/hyperlink" Target="https://m.stock.naver.com/research/company/79752" TargetMode="External"/><Relationship Id="rId14503" Type="http://schemas.openxmlformats.org/officeDocument/2006/relationships/hyperlink" Target="https://m.stock.naver.com/research/company/94407" TargetMode="External"/><Relationship Id="rId2460" Type="http://schemas.openxmlformats.org/officeDocument/2006/relationships/hyperlink" Target="https://m.stock.naver.com/research/company/90794" TargetMode="External"/><Relationship Id="rId3511" Type="http://schemas.openxmlformats.org/officeDocument/2006/relationships/hyperlink" Target="https://m.stock.naver.com/research/company/89740" TargetMode="External"/><Relationship Id="rId9073" Type="http://schemas.openxmlformats.org/officeDocument/2006/relationships/hyperlink" Target="https://m.stock.naver.com/research/company/84158" TargetMode="External"/><Relationship Id="rId12054" Type="http://schemas.openxmlformats.org/officeDocument/2006/relationships/hyperlink" Target="https://m.stock.naver.com/research/company/81157" TargetMode="External"/><Relationship Id="rId13105" Type="http://schemas.openxmlformats.org/officeDocument/2006/relationships/hyperlink" Target="https://m.stock.naver.com/research/company/80102" TargetMode="External"/><Relationship Id="rId432" Type="http://schemas.openxmlformats.org/officeDocument/2006/relationships/hyperlink" Target="https://m.stock.naver.com/research/company/93025" TargetMode="External"/><Relationship Id="rId1062" Type="http://schemas.openxmlformats.org/officeDocument/2006/relationships/hyperlink" Target="https://m.stock.naver.com/research/company/92289" TargetMode="External"/><Relationship Id="rId2113" Type="http://schemas.openxmlformats.org/officeDocument/2006/relationships/hyperlink" Target="https://m.stock.naver.com/research/company/91142" TargetMode="External"/><Relationship Id="rId5683" Type="http://schemas.openxmlformats.org/officeDocument/2006/relationships/hyperlink" Target="https://m.stock.naver.com/research/company/87557" TargetMode="External"/><Relationship Id="rId6734" Type="http://schemas.openxmlformats.org/officeDocument/2006/relationships/hyperlink" Target="https://m.stock.naver.com/research/company/86506" TargetMode="External"/><Relationship Id="rId15277" Type="http://schemas.openxmlformats.org/officeDocument/2006/relationships/hyperlink" Target="https://m.stock.naver.com/research/company/95083" TargetMode="External"/><Relationship Id="rId4285" Type="http://schemas.openxmlformats.org/officeDocument/2006/relationships/hyperlink" Target="https://m.stock.naver.com/research/company/88956" TargetMode="External"/><Relationship Id="rId5336" Type="http://schemas.openxmlformats.org/officeDocument/2006/relationships/hyperlink" Target="https://m.stock.naver.com/research/company/87904" TargetMode="External"/><Relationship Id="rId9957" Type="http://schemas.openxmlformats.org/officeDocument/2006/relationships/hyperlink" Target="https://m.stock.naver.com/research/company/83264" TargetMode="External"/><Relationship Id="rId11887" Type="http://schemas.openxmlformats.org/officeDocument/2006/relationships/hyperlink" Target="https://m.stock.naver.com/research/company/81324" TargetMode="External"/><Relationship Id="rId12938" Type="http://schemas.openxmlformats.org/officeDocument/2006/relationships/hyperlink" Target="https://m.stock.naver.com/research/company/80270" TargetMode="External"/><Relationship Id="rId1946" Type="http://schemas.openxmlformats.org/officeDocument/2006/relationships/hyperlink" Target="https://m.stock.naver.com/research/company/91309" TargetMode="External"/><Relationship Id="rId8559" Type="http://schemas.openxmlformats.org/officeDocument/2006/relationships/hyperlink" Target="https://m.stock.naver.com/research/company/84678" TargetMode="External"/><Relationship Id="rId10489" Type="http://schemas.openxmlformats.org/officeDocument/2006/relationships/hyperlink" Target="https://m.stock.naver.com/research/company/82731" TargetMode="External"/><Relationship Id="rId14360" Type="http://schemas.openxmlformats.org/officeDocument/2006/relationships/hyperlink" Target="https://m.stock.naver.com/research/company/94191" TargetMode="External"/><Relationship Id="rId15411" Type="http://schemas.openxmlformats.org/officeDocument/2006/relationships/hyperlink" Target="https://m.stock.naver.com/research/company/95376" TargetMode="External"/><Relationship Id="rId14013" Type="http://schemas.openxmlformats.org/officeDocument/2006/relationships/hyperlink" Target="https://m.stock.naver.com/research/company/93834" TargetMode="External"/><Relationship Id="rId3021" Type="http://schemas.openxmlformats.org/officeDocument/2006/relationships/hyperlink" Target="https://m.stock.naver.com/research/company/90230" TargetMode="External"/><Relationship Id="rId6591" Type="http://schemas.openxmlformats.org/officeDocument/2006/relationships/hyperlink" Target="https://m.stock.naver.com/research/company/86649" TargetMode="External"/><Relationship Id="rId7642" Type="http://schemas.openxmlformats.org/officeDocument/2006/relationships/hyperlink" Target="https://m.stock.naver.com/research/company/85597" TargetMode="External"/><Relationship Id="rId10970" Type="http://schemas.openxmlformats.org/officeDocument/2006/relationships/hyperlink" Target="https://m.stock.naver.com/research/company/82250" TargetMode="External"/><Relationship Id="rId5193" Type="http://schemas.openxmlformats.org/officeDocument/2006/relationships/hyperlink" Target="https://m.stock.naver.com/research/company/88047" TargetMode="External"/><Relationship Id="rId6244" Type="http://schemas.openxmlformats.org/officeDocument/2006/relationships/hyperlink" Target="https://m.stock.naver.com/research/company/86996" TargetMode="External"/><Relationship Id="rId10623" Type="http://schemas.openxmlformats.org/officeDocument/2006/relationships/hyperlink" Target="https://m.stock.naver.com/research/company/82597" TargetMode="External"/><Relationship Id="rId9467" Type="http://schemas.openxmlformats.org/officeDocument/2006/relationships/hyperlink" Target="https://m.stock.naver.com/research/company/83760" TargetMode="External"/><Relationship Id="rId12795" Type="http://schemas.openxmlformats.org/officeDocument/2006/relationships/hyperlink" Target="https://m.stock.naver.com/research/company/80413" TargetMode="External"/><Relationship Id="rId13846" Type="http://schemas.openxmlformats.org/officeDocument/2006/relationships/hyperlink" Target="https://m.stock.naver.com/research/company/93636" TargetMode="External"/><Relationship Id="rId2854" Type="http://schemas.openxmlformats.org/officeDocument/2006/relationships/hyperlink" Target="https://m.stock.naver.com/research/company/90399" TargetMode="External"/><Relationship Id="rId3905" Type="http://schemas.openxmlformats.org/officeDocument/2006/relationships/hyperlink" Target="https://m.stock.naver.com/research/company/89346" TargetMode="External"/><Relationship Id="rId8069" Type="http://schemas.openxmlformats.org/officeDocument/2006/relationships/hyperlink" Target="https://m.stock.naver.com/research/company/85169" TargetMode="External"/><Relationship Id="rId11397" Type="http://schemas.openxmlformats.org/officeDocument/2006/relationships/hyperlink" Target="https://m.stock.naver.com/research/company/81818" TargetMode="External"/><Relationship Id="rId12448" Type="http://schemas.openxmlformats.org/officeDocument/2006/relationships/hyperlink" Target="https://m.stock.naver.com/research/company/80761" TargetMode="External"/><Relationship Id="rId826" Type="http://schemas.openxmlformats.org/officeDocument/2006/relationships/hyperlink" Target="https://m.stock.naver.com/research/company/92630" TargetMode="External"/><Relationship Id="rId1109" Type="http://schemas.openxmlformats.org/officeDocument/2006/relationships/hyperlink" Target="https://m.stock.naver.com/research/company/92146" TargetMode="External"/><Relationship Id="rId1456" Type="http://schemas.openxmlformats.org/officeDocument/2006/relationships/hyperlink" Target="https://m.stock.naver.com/research/company/91799" TargetMode="External"/><Relationship Id="rId2507" Type="http://schemas.openxmlformats.org/officeDocument/2006/relationships/hyperlink" Target="https://m.stock.naver.com/research/company/90747" TargetMode="External"/><Relationship Id="rId4679" Type="http://schemas.openxmlformats.org/officeDocument/2006/relationships/hyperlink" Target="https://m.stock.naver.com/research/company/88561" TargetMode="External"/><Relationship Id="rId8550" Type="http://schemas.openxmlformats.org/officeDocument/2006/relationships/hyperlink" Target="https://m.stock.naver.com/research/company/84687" TargetMode="External"/><Relationship Id="rId9601" Type="http://schemas.openxmlformats.org/officeDocument/2006/relationships/hyperlink" Target="https://m.stock.naver.com/research/company/83626" TargetMode="External"/><Relationship Id="rId10480" Type="http://schemas.openxmlformats.org/officeDocument/2006/relationships/hyperlink" Target="https://m.stock.naver.com/research/company/82740" TargetMode="External"/><Relationship Id="rId11531" Type="http://schemas.openxmlformats.org/officeDocument/2006/relationships/hyperlink" Target="https://m.stock.naver.com/research/company/81684" TargetMode="External"/><Relationship Id="rId7152" Type="http://schemas.openxmlformats.org/officeDocument/2006/relationships/hyperlink" Target="https://m.stock.naver.com/research/company/86087" TargetMode="External"/><Relationship Id="rId8203" Type="http://schemas.openxmlformats.org/officeDocument/2006/relationships/hyperlink" Target="https://m.stock.naver.com/research/company/85035" TargetMode="External"/><Relationship Id="rId10133" Type="http://schemas.openxmlformats.org/officeDocument/2006/relationships/hyperlink" Target="https://m.stock.naver.com/research/company/83088" TargetMode="External"/><Relationship Id="rId3762" Type="http://schemas.openxmlformats.org/officeDocument/2006/relationships/hyperlink" Target="https://m.stock.naver.com/research/company/89489" TargetMode="External"/><Relationship Id="rId4813" Type="http://schemas.openxmlformats.org/officeDocument/2006/relationships/hyperlink" Target="https://m.stock.naver.com/research/company/88427" TargetMode="External"/><Relationship Id="rId13356" Type="http://schemas.openxmlformats.org/officeDocument/2006/relationships/hyperlink" Target="https://m.stock.naver.com/research/company/79849" TargetMode="External"/><Relationship Id="rId14754" Type="http://schemas.openxmlformats.org/officeDocument/2006/relationships/hyperlink" Target="https://m.stock.naver.com/research/company/94646" TargetMode="External"/><Relationship Id="rId683" Type="http://schemas.openxmlformats.org/officeDocument/2006/relationships/hyperlink" Target="https://m.stock.naver.com/research/company/92773" TargetMode="External"/><Relationship Id="rId2364" Type="http://schemas.openxmlformats.org/officeDocument/2006/relationships/hyperlink" Target="https://m.stock.naver.com/research/company/90890" TargetMode="External"/><Relationship Id="rId3415" Type="http://schemas.openxmlformats.org/officeDocument/2006/relationships/hyperlink" Target="https://m.stock.naver.com/research/company/89836" TargetMode="External"/><Relationship Id="rId13009" Type="http://schemas.openxmlformats.org/officeDocument/2006/relationships/hyperlink" Target="https://m.stock.naver.com/research/company/80199" TargetMode="External"/><Relationship Id="rId14407" Type="http://schemas.openxmlformats.org/officeDocument/2006/relationships/hyperlink" Target="https://m.stock.naver.com/research/company/94276" TargetMode="External"/><Relationship Id="rId336" Type="http://schemas.openxmlformats.org/officeDocument/2006/relationships/hyperlink" Target="https://m.stock.naver.com/research/company/93122" TargetMode="External"/><Relationship Id="rId2017" Type="http://schemas.openxmlformats.org/officeDocument/2006/relationships/hyperlink" Target="https://m.stock.naver.com/research/company/91238" TargetMode="External"/><Relationship Id="rId5587" Type="http://schemas.openxmlformats.org/officeDocument/2006/relationships/hyperlink" Target="https://m.stock.naver.com/research/company/87653" TargetMode="External"/><Relationship Id="rId6985" Type="http://schemas.openxmlformats.org/officeDocument/2006/relationships/hyperlink" Target="https://m.stock.naver.com/research/company/86254" TargetMode="External"/><Relationship Id="rId4189" Type="http://schemas.openxmlformats.org/officeDocument/2006/relationships/hyperlink" Target="https://m.stock.naver.com/research/company/89053" TargetMode="External"/><Relationship Id="rId6638" Type="http://schemas.openxmlformats.org/officeDocument/2006/relationships/hyperlink" Target="https://m.stock.naver.com/research/company/86602" TargetMode="External"/><Relationship Id="rId8060" Type="http://schemas.openxmlformats.org/officeDocument/2006/relationships/hyperlink" Target="https://m.stock.naver.com/research/company/85178" TargetMode="External"/><Relationship Id="rId9111" Type="http://schemas.openxmlformats.org/officeDocument/2006/relationships/hyperlink" Target="https://m.stock.naver.com/research/company/84119" TargetMode="External"/><Relationship Id="rId11041" Type="http://schemas.openxmlformats.org/officeDocument/2006/relationships/hyperlink" Target="https://m.stock.naver.com/research/company/82179" TargetMode="External"/><Relationship Id="rId15662" Type="http://schemas.openxmlformats.org/officeDocument/2006/relationships/hyperlink" Target="https://m.stock.naver.com/research/company/95752" TargetMode="External"/><Relationship Id="rId1100" Type="http://schemas.openxmlformats.org/officeDocument/2006/relationships/hyperlink" Target="https://m.stock.naver.com/research/company/92156" TargetMode="External"/><Relationship Id="rId4670" Type="http://schemas.openxmlformats.org/officeDocument/2006/relationships/hyperlink" Target="https://m.stock.naver.com/research/company/88570" TargetMode="External"/><Relationship Id="rId5721" Type="http://schemas.openxmlformats.org/officeDocument/2006/relationships/hyperlink" Target="https://m.stock.naver.com/research/company/87519" TargetMode="External"/><Relationship Id="rId14264" Type="http://schemas.openxmlformats.org/officeDocument/2006/relationships/hyperlink" Target="https://m.stock.naver.com/research/company/94134" TargetMode="External"/><Relationship Id="rId15315" Type="http://schemas.openxmlformats.org/officeDocument/2006/relationships/hyperlink" Target="https://m.stock.naver.com/research/company/95273" TargetMode="External"/><Relationship Id="rId3272" Type="http://schemas.openxmlformats.org/officeDocument/2006/relationships/hyperlink" Target="https://m.stock.naver.com/research/company/89978" TargetMode="External"/><Relationship Id="rId4323" Type="http://schemas.openxmlformats.org/officeDocument/2006/relationships/hyperlink" Target="https://m.stock.naver.com/research/company/88918" TargetMode="External"/><Relationship Id="rId7893" Type="http://schemas.openxmlformats.org/officeDocument/2006/relationships/hyperlink" Target="https://m.stock.naver.com/research/company/85345" TargetMode="External"/><Relationship Id="rId8944" Type="http://schemas.openxmlformats.org/officeDocument/2006/relationships/hyperlink" Target="https://m.stock.naver.com/research/company/84288" TargetMode="External"/><Relationship Id="rId193" Type="http://schemas.openxmlformats.org/officeDocument/2006/relationships/hyperlink" Target="https://m.stock.naver.com/research/company/93265" TargetMode="External"/><Relationship Id="rId6495" Type="http://schemas.openxmlformats.org/officeDocument/2006/relationships/hyperlink" Target="https://m.stock.naver.com/research/company/86745" TargetMode="External"/><Relationship Id="rId7546" Type="http://schemas.openxmlformats.org/officeDocument/2006/relationships/hyperlink" Target="https://m.stock.naver.com/research/company/85693" TargetMode="External"/><Relationship Id="rId10874" Type="http://schemas.openxmlformats.org/officeDocument/2006/relationships/hyperlink" Target="https://m.stock.naver.com/research/company/82346" TargetMode="External"/><Relationship Id="rId11925" Type="http://schemas.openxmlformats.org/officeDocument/2006/relationships/hyperlink" Target="https://m.stock.naver.com/research/company/81286" TargetMode="External"/><Relationship Id="rId5097" Type="http://schemas.openxmlformats.org/officeDocument/2006/relationships/hyperlink" Target="https://m.stock.naver.com/research/company/88143" TargetMode="External"/><Relationship Id="rId6148" Type="http://schemas.openxmlformats.org/officeDocument/2006/relationships/hyperlink" Target="https://m.stock.naver.com/research/company/87092" TargetMode="External"/><Relationship Id="rId10527" Type="http://schemas.openxmlformats.org/officeDocument/2006/relationships/hyperlink" Target="https://m.stock.naver.com/research/company/82693" TargetMode="External"/><Relationship Id="rId12699" Type="http://schemas.openxmlformats.org/officeDocument/2006/relationships/hyperlink" Target="https://m.stock.naver.com/research/company/80509" TargetMode="External"/><Relationship Id="rId13000" Type="http://schemas.openxmlformats.org/officeDocument/2006/relationships/hyperlink" Target="https://m.stock.naver.com/research/company/80208" TargetMode="External"/><Relationship Id="rId2758" Type="http://schemas.openxmlformats.org/officeDocument/2006/relationships/hyperlink" Target="https://m.stock.naver.com/research/company/90496" TargetMode="External"/><Relationship Id="rId3809" Type="http://schemas.openxmlformats.org/officeDocument/2006/relationships/hyperlink" Target="https://m.stock.naver.com/research/company/89442" TargetMode="External"/><Relationship Id="rId15172" Type="http://schemas.openxmlformats.org/officeDocument/2006/relationships/hyperlink" Target="https://m.stock.naver.com/research/company/95188" TargetMode="External"/><Relationship Id="rId4180" Type="http://schemas.openxmlformats.org/officeDocument/2006/relationships/hyperlink" Target="https://m.stock.naver.com/research/company/89069" TargetMode="External"/><Relationship Id="rId5231" Type="http://schemas.openxmlformats.org/officeDocument/2006/relationships/hyperlink" Target="https://m.stock.naver.com/research/company/88009" TargetMode="External"/><Relationship Id="rId9852" Type="http://schemas.openxmlformats.org/officeDocument/2006/relationships/hyperlink" Target="https://m.stock.naver.com/research/company/83370" TargetMode="External"/><Relationship Id="rId11782" Type="http://schemas.openxmlformats.org/officeDocument/2006/relationships/hyperlink" Target="https://m.stock.naver.com/research/company/81430" TargetMode="External"/><Relationship Id="rId66" Type="http://schemas.openxmlformats.org/officeDocument/2006/relationships/hyperlink" Target="https://m.stock.naver.com/research/company/93392" TargetMode="External"/><Relationship Id="rId1841" Type="http://schemas.openxmlformats.org/officeDocument/2006/relationships/hyperlink" Target="https://m.stock.naver.com/research/company/91414" TargetMode="External"/><Relationship Id="rId8454" Type="http://schemas.openxmlformats.org/officeDocument/2006/relationships/hyperlink" Target="https://m.stock.naver.com/research/company/84783" TargetMode="External"/><Relationship Id="rId9505" Type="http://schemas.openxmlformats.org/officeDocument/2006/relationships/hyperlink" Target="https://m.stock.naver.com/research/company/83722" TargetMode="External"/><Relationship Id="rId10384" Type="http://schemas.openxmlformats.org/officeDocument/2006/relationships/hyperlink" Target="https://m.stock.naver.com/research/company/82837" TargetMode="External"/><Relationship Id="rId11435" Type="http://schemas.openxmlformats.org/officeDocument/2006/relationships/hyperlink" Target="https://m.stock.naver.com/research/company/81780" TargetMode="External"/><Relationship Id="rId12833" Type="http://schemas.openxmlformats.org/officeDocument/2006/relationships/hyperlink" Target="https://m.stock.naver.com/research/company/80375" TargetMode="External"/><Relationship Id="rId7056" Type="http://schemas.openxmlformats.org/officeDocument/2006/relationships/hyperlink" Target="https://m.stock.naver.com/research/company/86183" TargetMode="External"/><Relationship Id="rId8107" Type="http://schemas.openxmlformats.org/officeDocument/2006/relationships/hyperlink" Target="https://m.stock.naver.com/research/company/85131" TargetMode="External"/><Relationship Id="rId10037" Type="http://schemas.openxmlformats.org/officeDocument/2006/relationships/hyperlink" Target="https://m.stock.naver.com/research/company/83184" TargetMode="External"/><Relationship Id="rId3666" Type="http://schemas.openxmlformats.org/officeDocument/2006/relationships/hyperlink" Target="https://m.stock.naver.com/research/company/89585" TargetMode="External"/><Relationship Id="rId14658" Type="http://schemas.openxmlformats.org/officeDocument/2006/relationships/hyperlink" Target="https://m.stock.naver.com/research/company/94520" TargetMode="External"/><Relationship Id="rId15709" Type="http://schemas.openxmlformats.org/officeDocument/2006/relationships/hyperlink" Target="https://m.stock.naver.com/research/company/95705" TargetMode="External"/><Relationship Id="rId587" Type="http://schemas.openxmlformats.org/officeDocument/2006/relationships/hyperlink" Target="https://m.stock.naver.com/research/company/92870" TargetMode="External"/><Relationship Id="rId2268" Type="http://schemas.openxmlformats.org/officeDocument/2006/relationships/hyperlink" Target="https://m.stock.naver.com/research/company/90987" TargetMode="External"/><Relationship Id="rId3319" Type="http://schemas.openxmlformats.org/officeDocument/2006/relationships/hyperlink" Target="https://m.stock.naver.com/research/company/89931" TargetMode="External"/><Relationship Id="rId4717" Type="http://schemas.openxmlformats.org/officeDocument/2006/relationships/hyperlink" Target="https://m.stock.naver.com/research/company/88523" TargetMode="External"/><Relationship Id="rId6889" Type="http://schemas.openxmlformats.org/officeDocument/2006/relationships/hyperlink" Target="https://m.stock.naver.com/research/company/86350" TargetMode="External"/><Relationship Id="rId12690" Type="http://schemas.openxmlformats.org/officeDocument/2006/relationships/hyperlink" Target="https://m.stock.naver.com/research/company/80518" TargetMode="External"/><Relationship Id="rId13741" Type="http://schemas.openxmlformats.org/officeDocument/2006/relationships/hyperlink" Target="https://m.stock.naver.com/research/company/93498" TargetMode="External"/><Relationship Id="rId3800" Type="http://schemas.openxmlformats.org/officeDocument/2006/relationships/hyperlink" Target="https://m.stock.naver.com/research/company/89451" TargetMode="External"/><Relationship Id="rId9362" Type="http://schemas.openxmlformats.org/officeDocument/2006/relationships/hyperlink" Target="https://m.stock.naver.com/research/company/83865" TargetMode="External"/><Relationship Id="rId11292" Type="http://schemas.openxmlformats.org/officeDocument/2006/relationships/hyperlink" Target="https://m.stock.naver.com/research/company/81927" TargetMode="External"/><Relationship Id="rId12343" Type="http://schemas.openxmlformats.org/officeDocument/2006/relationships/hyperlink" Target="https://m.stock.naver.com/research/company/80866" TargetMode="External"/><Relationship Id="rId721" Type="http://schemas.openxmlformats.org/officeDocument/2006/relationships/hyperlink" Target="https://m.stock.naver.com/research/company/92735" TargetMode="External"/><Relationship Id="rId1351" Type="http://schemas.openxmlformats.org/officeDocument/2006/relationships/hyperlink" Target="https://m.stock.naver.com/research/company/91904" TargetMode="External"/><Relationship Id="rId2402" Type="http://schemas.openxmlformats.org/officeDocument/2006/relationships/hyperlink" Target="https://m.stock.naver.com/research/company/90852" TargetMode="External"/><Relationship Id="rId5972" Type="http://schemas.openxmlformats.org/officeDocument/2006/relationships/hyperlink" Target="https://m.stock.naver.com/research/company/87268" TargetMode="External"/><Relationship Id="rId9015" Type="http://schemas.openxmlformats.org/officeDocument/2006/relationships/hyperlink" Target="https://m.stock.naver.com/research/company/84217" TargetMode="External"/><Relationship Id="rId15566" Type="http://schemas.openxmlformats.org/officeDocument/2006/relationships/hyperlink" Target="https://m.stock.naver.com/research/company/95470" TargetMode="External"/><Relationship Id="rId1004" Type="http://schemas.openxmlformats.org/officeDocument/2006/relationships/hyperlink" Target="https://m.stock.naver.com/research/company/92452" TargetMode="External"/><Relationship Id="rId4574" Type="http://schemas.openxmlformats.org/officeDocument/2006/relationships/hyperlink" Target="https://m.stock.naver.com/research/company/88666" TargetMode="External"/><Relationship Id="rId5625" Type="http://schemas.openxmlformats.org/officeDocument/2006/relationships/hyperlink" Target="https://m.stock.naver.com/research/company/87615" TargetMode="External"/><Relationship Id="rId14168" Type="http://schemas.openxmlformats.org/officeDocument/2006/relationships/hyperlink" Target="https://m.stock.naver.com/research/company/93960" TargetMode="External"/><Relationship Id="rId15219" Type="http://schemas.openxmlformats.org/officeDocument/2006/relationships/hyperlink" Target="https://m.stock.naver.com/research/company/95141" TargetMode="External"/><Relationship Id="rId3176" Type="http://schemas.openxmlformats.org/officeDocument/2006/relationships/hyperlink" Target="https://m.stock.naver.com/research/company/90075" TargetMode="External"/><Relationship Id="rId4227" Type="http://schemas.openxmlformats.org/officeDocument/2006/relationships/hyperlink" Target="https://m.stock.naver.com/research/company/89015" TargetMode="External"/><Relationship Id="rId7797" Type="http://schemas.openxmlformats.org/officeDocument/2006/relationships/hyperlink" Target="https://m.stock.naver.com/research/company/85441" TargetMode="External"/><Relationship Id="rId6399" Type="http://schemas.openxmlformats.org/officeDocument/2006/relationships/hyperlink" Target="https://m.stock.naver.com/research/company/86841" TargetMode="External"/><Relationship Id="rId8848" Type="http://schemas.openxmlformats.org/officeDocument/2006/relationships/hyperlink" Target="https://m.stock.naver.com/research/company/84389" TargetMode="External"/><Relationship Id="rId10778" Type="http://schemas.openxmlformats.org/officeDocument/2006/relationships/hyperlink" Target="https://m.stock.naver.com/research/company/82442" TargetMode="External"/><Relationship Id="rId11829" Type="http://schemas.openxmlformats.org/officeDocument/2006/relationships/hyperlink" Target="https://m.stock.naver.com/research/company/81383" TargetMode="External"/><Relationship Id="rId15700" Type="http://schemas.openxmlformats.org/officeDocument/2006/relationships/hyperlink" Target="https://m.stock.naver.com/research/company/95714" TargetMode="External"/><Relationship Id="rId13251" Type="http://schemas.openxmlformats.org/officeDocument/2006/relationships/hyperlink" Target="https://m.stock.naver.com/research/company/79955" TargetMode="External"/><Relationship Id="rId14302" Type="http://schemas.openxmlformats.org/officeDocument/2006/relationships/hyperlink" Target="https://m.stock.naver.com/research/company/94162" TargetMode="External"/><Relationship Id="rId3310" Type="http://schemas.openxmlformats.org/officeDocument/2006/relationships/hyperlink" Target="https://m.stock.naver.com/research/company/89940" TargetMode="External"/><Relationship Id="rId6880" Type="http://schemas.openxmlformats.org/officeDocument/2006/relationships/hyperlink" Target="https://m.stock.naver.com/research/company/86359" TargetMode="External"/><Relationship Id="rId7931" Type="http://schemas.openxmlformats.org/officeDocument/2006/relationships/hyperlink" Target="https://m.stock.naver.com/research/company/85307" TargetMode="External"/><Relationship Id="rId231" Type="http://schemas.openxmlformats.org/officeDocument/2006/relationships/hyperlink" Target="https://m.stock.naver.com/research/company/93227" TargetMode="External"/><Relationship Id="rId5482" Type="http://schemas.openxmlformats.org/officeDocument/2006/relationships/hyperlink" Target="https://m.stock.naver.com/research/company/87758" TargetMode="External"/><Relationship Id="rId6533" Type="http://schemas.openxmlformats.org/officeDocument/2006/relationships/hyperlink" Target="https://m.stock.naver.com/research/company/86707" TargetMode="External"/><Relationship Id="rId10912" Type="http://schemas.openxmlformats.org/officeDocument/2006/relationships/hyperlink" Target="https://m.stock.naver.com/research/company/82308" TargetMode="External"/><Relationship Id="rId15076" Type="http://schemas.openxmlformats.org/officeDocument/2006/relationships/hyperlink" Target="https://m.stock.naver.com/research/company/95018" TargetMode="External"/><Relationship Id="rId4084" Type="http://schemas.openxmlformats.org/officeDocument/2006/relationships/hyperlink" Target="https://m.stock.naver.com/research/company/89167" TargetMode="External"/><Relationship Id="rId5135" Type="http://schemas.openxmlformats.org/officeDocument/2006/relationships/hyperlink" Target="https://m.stock.naver.com/research/company/88105" TargetMode="External"/><Relationship Id="rId9756" Type="http://schemas.openxmlformats.org/officeDocument/2006/relationships/hyperlink" Target="https://m.stock.naver.com/research/company/83467" TargetMode="External"/><Relationship Id="rId8358" Type="http://schemas.openxmlformats.org/officeDocument/2006/relationships/hyperlink" Target="https://m.stock.naver.com/research/company/84880" TargetMode="External"/><Relationship Id="rId9409" Type="http://schemas.openxmlformats.org/officeDocument/2006/relationships/hyperlink" Target="https://m.stock.naver.com/research/company/83818" TargetMode="External"/><Relationship Id="rId10288" Type="http://schemas.openxmlformats.org/officeDocument/2006/relationships/hyperlink" Target="https://m.stock.naver.com/research/company/82933" TargetMode="External"/><Relationship Id="rId11686" Type="http://schemas.openxmlformats.org/officeDocument/2006/relationships/hyperlink" Target="https://m.stock.naver.com/research/company/81526" TargetMode="External"/><Relationship Id="rId12737" Type="http://schemas.openxmlformats.org/officeDocument/2006/relationships/hyperlink" Target="https://m.stock.naver.com/research/company/80471" TargetMode="External"/><Relationship Id="rId1745" Type="http://schemas.openxmlformats.org/officeDocument/2006/relationships/hyperlink" Target="https://m.stock.naver.com/research/company/91510" TargetMode="External"/><Relationship Id="rId11339" Type="http://schemas.openxmlformats.org/officeDocument/2006/relationships/hyperlink" Target="https://m.stock.naver.com/research/company/81877" TargetMode="External"/><Relationship Id="rId15210" Type="http://schemas.openxmlformats.org/officeDocument/2006/relationships/hyperlink" Target="https://m.stock.naver.com/research/company/95150" TargetMode="External"/><Relationship Id="rId4968" Type="http://schemas.openxmlformats.org/officeDocument/2006/relationships/hyperlink" Target="https://m.stock.naver.com/research/company/88272" TargetMode="External"/><Relationship Id="rId11820" Type="http://schemas.openxmlformats.org/officeDocument/2006/relationships/hyperlink" Target="https://m.stock.naver.com/research/company/81392" TargetMode="External"/><Relationship Id="rId6390" Type="http://schemas.openxmlformats.org/officeDocument/2006/relationships/hyperlink" Target="https://m.stock.naver.com/research/company/86850" TargetMode="External"/><Relationship Id="rId7441" Type="http://schemas.openxmlformats.org/officeDocument/2006/relationships/hyperlink" Target="https://m.stock.naver.com/research/company/85798" TargetMode="External"/><Relationship Id="rId10422" Type="http://schemas.openxmlformats.org/officeDocument/2006/relationships/hyperlink" Target="https://m.stock.naver.com/research/company/82799" TargetMode="External"/><Relationship Id="rId13992" Type="http://schemas.openxmlformats.org/officeDocument/2006/relationships/hyperlink" Target="https://m.stock.naver.com/research/company/93740" TargetMode="External"/><Relationship Id="rId6043" Type="http://schemas.openxmlformats.org/officeDocument/2006/relationships/hyperlink" Target="https://m.stock.naver.com/research/company/87197" TargetMode="External"/><Relationship Id="rId12594" Type="http://schemas.openxmlformats.org/officeDocument/2006/relationships/hyperlink" Target="https://m.stock.naver.com/research/company/80614" TargetMode="External"/><Relationship Id="rId13645" Type="http://schemas.openxmlformats.org/officeDocument/2006/relationships/hyperlink" Target="https://m.stock.naver.com/research/company/79559" TargetMode="External"/><Relationship Id="rId972" Type="http://schemas.openxmlformats.org/officeDocument/2006/relationships/hyperlink" Target="https://m.stock.naver.com/research/company/92484" TargetMode="External"/><Relationship Id="rId2653" Type="http://schemas.openxmlformats.org/officeDocument/2006/relationships/hyperlink" Target="https://m.stock.naver.com/research/company/90601" TargetMode="External"/><Relationship Id="rId3704" Type="http://schemas.openxmlformats.org/officeDocument/2006/relationships/hyperlink" Target="https://m.stock.naver.com/research/company/89547" TargetMode="External"/><Relationship Id="rId9266" Type="http://schemas.openxmlformats.org/officeDocument/2006/relationships/hyperlink" Target="https://m.stock.naver.com/research/company/83962" TargetMode="External"/><Relationship Id="rId11196" Type="http://schemas.openxmlformats.org/officeDocument/2006/relationships/hyperlink" Target="https://m.stock.naver.com/research/company/82024" TargetMode="External"/><Relationship Id="rId12247" Type="http://schemas.openxmlformats.org/officeDocument/2006/relationships/hyperlink" Target="https://m.stock.naver.com/research/company/80962" TargetMode="External"/><Relationship Id="rId625" Type="http://schemas.openxmlformats.org/officeDocument/2006/relationships/hyperlink" Target="https://m.stock.naver.com/research/company/92831" TargetMode="External"/><Relationship Id="rId1255" Type="http://schemas.openxmlformats.org/officeDocument/2006/relationships/hyperlink" Target="https://m.stock.naver.com/research/company/92000" TargetMode="External"/><Relationship Id="rId2306" Type="http://schemas.openxmlformats.org/officeDocument/2006/relationships/hyperlink" Target="https://m.stock.naver.com/research/company/90949" TargetMode="External"/><Relationship Id="rId5876" Type="http://schemas.openxmlformats.org/officeDocument/2006/relationships/hyperlink" Target="https://m.stock.naver.com/research/company/87364" TargetMode="External"/><Relationship Id="rId4478" Type="http://schemas.openxmlformats.org/officeDocument/2006/relationships/hyperlink" Target="https://m.stock.naver.com/research/company/88762" TargetMode="External"/><Relationship Id="rId5529" Type="http://schemas.openxmlformats.org/officeDocument/2006/relationships/hyperlink" Target="https://m.stock.naver.com/research/company/87711" TargetMode="External"/><Relationship Id="rId6927" Type="http://schemas.openxmlformats.org/officeDocument/2006/relationships/hyperlink" Target="https://m.stock.naver.com/research/company/86312" TargetMode="External"/><Relationship Id="rId9400" Type="http://schemas.openxmlformats.org/officeDocument/2006/relationships/hyperlink" Target="https://m.stock.naver.com/research/company/83827" TargetMode="External"/><Relationship Id="rId8002" Type="http://schemas.openxmlformats.org/officeDocument/2006/relationships/hyperlink" Target="https://m.stock.naver.com/research/company/85236" TargetMode="External"/><Relationship Id="rId11330" Type="http://schemas.openxmlformats.org/officeDocument/2006/relationships/hyperlink" Target="https://m.stock.naver.com/research/company/81886" TargetMode="External"/><Relationship Id="rId14553" Type="http://schemas.openxmlformats.org/officeDocument/2006/relationships/hyperlink" Target="https://m.stock.naver.com/research/company/94357" TargetMode="External"/><Relationship Id="rId15604" Type="http://schemas.openxmlformats.org/officeDocument/2006/relationships/hyperlink" Target="https://m.stock.naver.com/research/company/95432" TargetMode="External"/><Relationship Id="rId3561" Type="http://schemas.openxmlformats.org/officeDocument/2006/relationships/hyperlink" Target="https://m.stock.naver.com/research/company/89690" TargetMode="External"/><Relationship Id="rId4612" Type="http://schemas.openxmlformats.org/officeDocument/2006/relationships/hyperlink" Target="https://m.stock.naver.com/research/company/88628" TargetMode="External"/><Relationship Id="rId13155" Type="http://schemas.openxmlformats.org/officeDocument/2006/relationships/hyperlink" Target="https://m.stock.naver.com/research/company/80052" TargetMode="External"/><Relationship Id="rId14206" Type="http://schemas.openxmlformats.org/officeDocument/2006/relationships/hyperlink" Target="https://m.stock.naver.com/research/company/94052" TargetMode="External"/><Relationship Id="rId482" Type="http://schemas.openxmlformats.org/officeDocument/2006/relationships/hyperlink" Target="https://m.stock.naver.com/research/company/92975" TargetMode="External"/><Relationship Id="rId2163" Type="http://schemas.openxmlformats.org/officeDocument/2006/relationships/hyperlink" Target="https://m.stock.naver.com/research/company/91092" TargetMode="External"/><Relationship Id="rId3214" Type="http://schemas.openxmlformats.org/officeDocument/2006/relationships/hyperlink" Target="https://m.stock.naver.com/research/company/90037" TargetMode="External"/><Relationship Id="rId6784" Type="http://schemas.openxmlformats.org/officeDocument/2006/relationships/hyperlink" Target="https://m.stock.naver.com/research/company/86456" TargetMode="External"/><Relationship Id="rId7835" Type="http://schemas.openxmlformats.org/officeDocument/2006/relationships/hyperlink" Target="https://m.stock.naver.com/research/company/85403" TargetMode="External"/><Relationship Id="rId135" Type="http://schemas.openxmlformats.org/officeDocument/2006/relationships/hyperlink" Target="https://m.stock.naver.com/research/company/93323" TargetMode="External"/><Relationship Id="rId5386" Type="http://schemas.openxmlformats.org/officeDocument/2006/relationships/hyperlink" Target="https://m.stock.naver.com/research/company/87854" TargetMode="External"/><Relationship Id="rId6437" Type="http://schemas.openxmlformats.org/officeDocument/2006/relationships/hyperlink" Target="https://m.stock.naver.com/research/company/86803" TargetMode="External"/><Relationship Id="rId10816" Type="http://schemas.openxmlformats.org/officeDocument/2006/relationships/hyperlink" Target="https://m.stock.naver.com/research/company/82404" TargetMode="External"/><Relationship Id="rId5039" Type="http://schemas.openxmlformats.org/officeDocument/2006/relationships/hyperlink" Target="https://m.stock.naver.com/research/company/88201" TargetMode="External"/><Relationship Id="rId12988" Type="http://schemas.openxmlformats.org/officeDocument/2006/relationships/hyperlink" Target="https://m.stock.naver.com/research/company/80220" TargetMode="External"/><Relationship Id="rId1996" Type="http://schemas.openxmlformats.org/officeDocument/2006/relationships/hyperlink" Target="https://m.stock.naver.com/research/company/91259" TargetMode="External"/><Relationship Id="rId15461" Type="http://schemas.openxmlformats.org/officeDocument/2006/relationships/hyperlink" Target="https://m.stock.naver.com/research/company/95326" TargetMode="External"/><Relationship Id="rId1649" Type="http://schemas.openxmlformats.org/officeDocument/2006/relationships/hyperlink" Target="https://m.stock.naver.com/research/company/91606" TargetMode="External"/><Relationship Id="rId3071" Type="http://schemas.openxmlformats.org/officeDocument/2006/relationships/hyperlink" Target="https://m.stock.naver.com/research/company/90180" TargetMode="External"/><Relationship Id="rId5520" Type="http://schemas.openxmlformats.org/officeDocument/2006/relationships/hyperlink" Target="https://m.stock.naver.com/research/company/87720" TargetMode="External"/><Relationship Id="rId14063" Type="http://schemas.openxmlformats.org/officeDocument/2006/relationships/hyperlink" Target="https://m.stock.naver.com/research/company/93860" TargetMode="External"/><Relationship Id="rId15114" Type="http://schemas.openxmlformats.org/officeDocument/2006/relationships/hyperlink" Target="https://m.stock.naver.com/research/company/94980" TargetMode="External"/><Relationship Id="rId4122" Type="http://schemas.openxmlformats.org/officeDocument/2006/relationships/hyperlink" Target="https://m.stock.naver.com/research/company/89129" TargetMode="External"/><Relationship Id="rId7692" Type="http://schemas.openxmlformats.org/officeDocument/2006/relationships/hyperlink" Target="https://m.stock.naver.com/research/company/85547" TargetMode="External"/><Relationship Id="rId8743" Type="http://schemas.openxmlformats.org/officeDocument/2006/relationships/hyperlink" Target="https://m.stock.naver.com/research/company/84494" TargetMode="External"/><Relationship Id="rId10673" Type="http://schemas.openxmlformats.org/officeDocument/2006/relationships/hyperlink" Target="https://m.stock.naver.com/research/company/82547" TargetMode="External"/><Relationship Id="rId11724" Type="http://schemas.openxmlformats.org/officeDocument/2006/relationships/hyperlink" Target="https://m.stock.naver.com/research/company/81488" TargetMode="External"/><Relationship Id="rId6294" Type="http://schemas.openxmlformats.org/officeDocument/2006/relationships/hyperlink" Target="https://m.stock.naver.com/research/company/86946" TargetMode="External"/><Relationship Id="rId7345" Type="http://schemas.openxmlformats.org/officeDocument/2006/relationships/hyperlink" Target="https://m.stock.naver.com/research/company/85894" TargetMode="External"/><Relationship Id="rId10326" Type="http://schemas.openxmlformats.org/officeDocument/2006/relationships/hyperlink" Target="https://m.stock.naver.com/research/company/82895" TargetMode="External"/><Relationship Id="rId12498" Type="http://schemas.openxmlformats.org/officeDocument/2006/relationships/hyperlink" Target="https://m.stock.naver.com/research/company/80710" TargetMode="External"/><Relationship Id="rId13896" Type="http://schemas.openxmlformats.org/officeDocument/2006/relationships/hyperlink" Target="https://m.stock.naver.com/research/company/93670" TargetMode="External"/><Relationship Id="rId14947" Type="http://schemas.openxmlformats.org/officeDocument/2006/relationships/hyperlink" Target="https://m.stock.naver.com/research/company/94887" TargetMode="External"/><Relationship Id="rId876" Type="http://schemas.openxmlformats.org/officeDocument/2006/relationships/hyperlink" Target="https://m.stock.naver.com/research/company/92580" TargetMode="External"/><Relationship Id="rId2557" Type="http://schemas.openxmlformats.org/officeDocument/2006/relationships/hyperlink" Target="https://m.stock.naver.com/research/company/90697" TargetMode="External"/><Relationship Id="rId3608" Type="http://schemas.openxmlformats.org/officeDocument/2006/relationships/hyperlink" Target="https://m.stock.naver.com/research/company/89643" TargetMode="External"/><Relationship Id="rId3955" Type="http://schemas.openxmlformats.org/officeDocument/2006/relationships/hyperlink" Target="https://m.stock.naver.com/research/company/89296" TargetMode="External"/><Relationship Id="rId13549" Type="http://schemas.openxmlformats.org/officeDocument/2006/relationships/hyperlink" Target="https://m.stock.naver.com/research/company/79655" TargetMode="External"/><Relationship Id="rId529" Type="http://schemas.openxmlformats.org/officeDocument/2006/relationships/hyperlink" Target="https://m.stock.naver.com/research/company/92928" TargetMode="External"/><Relationship Id="rId1159" Type="http://schemas.openxmlformats.org/officeDocument/2006/relationships/hyperlink" Target="https://m.stock.naver.com/research/company/92096" TargetMode="External"/><Relationship Id="rId5030" Type="http://schemas.openxmlformats.org/officeDocument/2006/relationships/hyperlink" Target="https://m.stock.naver.com/research/company/88210" TargetMode="External"/><Relationship Id="rId9651" Type="http://schemas.openxmlformats.org/officeDocument/2006/relationships/hyperlink" Target="https://m.stock.naver.com/research/company/83573" TargetMode="External"/><Relationship Id="rId11581" Type="http://schemas.openxmlformats.org/officeDocument/2006/relationships/hyperlink" Target="https://m.stock.naver.com/research/company/81632" TargetMode="External"/><Relationship Id="rId12632" Type="http://schemas.openxmlformats.org/officeDocument/2006/relationships/hyperlink" Target="https://m.stock.naver.com/research/company/80576" TargetMode="External"/><Relationship Id="rId1640" Type="http://schemas.openxmlformats.org/officeDocument/2006/relationships/hyperlink" Target="https://m.stock.naver.com/research/company/91615" TargetMode="External"/><Relationship Id="rId8253" Type="http://schemas.openxmlformats.org/officeDocument/2006/relationships/hyperlink" Target="https://m.stock.naver.com/research/company/84985" TargetMode="External"/><Relationship Id="rId9304" Type="http://schemas.openxmlformats.org/officeDocument/2006/relationships/hyperlink" Target="https://m.stock.naver.com/research/company/83923" TargetMode="External"/><Relationship Id="rId10183" Type="http://schemas.openxmlformats.org/officeDocument/2006/relationships/hyperlink" Target="https://m.stock.naver.com/research/company/83038" TargetMode="External"/><Relationship Id="rId11234" Type="http://schemas.openxmlformats.org/officeDocument/2006/relationships/hyperlink" Target="https://m.stock.naver.com/research/company/81985" TargetMode="External"/><Relationship Id="rId4863" Type="http://schemas.openxmlformats.org/officeDocument/2006/relationships/hyperlink" Target="https://m.stock.naver.com/research/company/88377" TargetMode="External"/><Relationship Id="rId5914" Type="http://schemas.openxmlformats.org/officeDocument/2006/relationships/hyperlink" Target="https://m.stock.naver.com/research/company/87326" TargetMode="External"/><Relationship Id="rId14457" Type="http://schemas.openxmlformats.org/officeDocument/2006/relationships/hyperlink" Target="https://m.stock.naver.com/research/company/94453" TargetMode="External"/><Relationship Id="rId15508" Type="http://schemas.openxmlformats.org/officeDocument/2006/relationships/hyperlink" Target="https://m.stock.naver.com/research/company/95528" TargetMode="External"/><Relationship Id="rId3465" Type="http://schemas.openxmlformats.org/officeDocument/2006/relationships/hyperlink" Target="https://m.stock.naver.com/research/company/89786" TargetMode="External"/><Relationship Id="rId4516" Type="http://schemas.openxmlformats.org/officeDocument/2006/relationships/hyperlink" Target="https://m.stock.naver.com/research/company/88724" TargetMode="External"/><Relationship Id="rId13059" Type="http://schemas.openxmlformats.org/officeDocument/2006/relationships/hyperlink" Target="https://m.stock.naver.com/research/company/80148" TargetMode="External"/><Relationship Id="rId386" Type="http://schemas.openxmlformats.org/officeDocument/2006/relationships/hyperlink" Target="https://m.stock.naver.com/research/company/93072" TargetMode="External"/><Relationship Id="rId2067" Type="http://schemas.openxmlformats.org/officeDocument/2006/relationships/hyperlink" Target="https://m.stock.naver.com/research/company/91188" TargetMode="External"/><Relationship Id="rId3118" Type="http://schemas.openxmlformats.org/officeDocument/2006/relationships/hyperlink" Target="https://m.stock.naver.com/research/company/90133" TargetMode="External"/><Relationship Id="rId6688" Type="http://schemas.openxmlformats.org/officeDocument/2006/relationships/hyperlink" Target="https://m.stock.naver.com/research/company/86552" TargetMode="External"/><Relationship Id="rId7739" Type="http://schemas.openxmlformats.org/officeDocument/2006/relationships/hyperlink" Target="https://m.stock.naver.com/research/company/85500" TargetMode="External"/><Relationship Id="rId9161" Type="http://schemas.openxmlformats.org/officeDocument/2006/relationships/hyperlink" Target="https://m.stock.naver.com/research/company/84069" TargetMode="External"/><Relationship Id="rId11091" Type="http://schemas.openxmlformats.org/officeDocument/2006/relationships/hyperlink" Target="https://m.stock.naver.com/research/company/82129" TargetMode="External"/><Relationship Id="rId13540" Type="http://schemas.openxmlformats.org/officeDocument/2006/relationships/hyperlink" Target="https://m.stock.naver.com/research/company/79664" TargetMode="External"/><Relationship Id="rId1150" Type="http://schemas.openxmlformats.org/officeDocument/2006/relationships/hyperlink" Target="https://m.stock.naver.com/research/company/92105" TargetMode="External"/><Relationship Id="rId12142" Type="http://schemas.openxmlformats.org/officeDocument/2006/relationships/hyperlink" Target="https://m.stock.naver.com/research/company/81069" TargetMode="External"/><Relationship Id="rId520" Type="http://schemas.openxmlformats.org/officeDocument/2006/relationships/hyperlink" Target="https://m.stock.naver.com/research/company/92937" TargetMode="External"/><Relationship Id="rId2201" Type="http://schemas.openxmlformats.org/officeDocument/2006/relationships/hyperlink" Target="https://m.stock.naver.com/research/company/91054" TargetMode="External"/><Relationship Id="rId5771" Type="http://schemas.openxmlformats.org/officeDocument/2006/relationships/hyperlink" Target="https://m.stock.naver.com/research/company/87469" TargetMode="External"/><Relationship Id="rId6822" Type="http://schemas.openxmlformats.org/officeDocument/2006/relationships/hyperlink" Target="https://m.stock.naver.com/research/company/86418" TargetMode="External"/><Relationship Id="rId15365" Type="http://schemas.openxmlformats.org/officeDocument/2006/relationships/hyperlink" Target="https://m.stock.naver.com/research/company/95223" TargetMode="External"/><Relationship Id="rId4373" Type="http://schemas.openxmlformats.org/officeDocument/2006/relationships/hyperlink" Target="https://m.stock.naver.com/research/company/88868" TargetMode="External"/><Relationship Id="rId5424" Type="http://schemas.openxmlformats.org/officeDocument/2006/relationships/hyperlink" Target="https://m.stock.naver.com/research/company/87816" TargetMode="External"/><Relationship Id="rId8994" Type="http://schemas.openxmlformats.org/officeDocument/2006/relationships/hyperlink" Target="https://m.stock.naver.com/research/company/84238" TargetMode="External"/><Relationship Id="rId15018" Type="http://schemas.openxmlformats.org/officeDocument/2006/relationships/hyperlink" Target="https://m.stock.naver.com/research/company/94816" TargetMode="External"/><Relationship Id="rId4026" Type="http://schemas.openxmlformats.org/officeDocument/2006/relationships/hyperlink" Target="https://m.stock.naver.com/research/company/89225" TargetMode="External"/><Relationship Id="rId7596" Type="http://schemas.openxmlformats.org/officeDocument/2006/relationships/hyperlink" Target="https://m.stock.naver.com/research/company/85643" TargetMode="External"/><Relationship Id="rId8647" Type="http://schemas.openxmlformats.org/officeDocument/2006/relationships/hyperlink" Target="https://m.stock.naver.com/research/company/84590" TargetMode="External"/><Relationship Id="rId10577" Type="http://schemas.openxmlformats.org/officeDocument/2006/relationships/hyperlink" Target="https://m.stock.naver.com/research/company/82643" TargetMode="External"/><Relationship Id="rId11975" Type="http://schemas.openxmlformats.org/officeDocument/2006/relationships/hyperlink" Target="https://m.stock.naver.com/research/company/81236" TargetMode="External"/><Relationship Id="rId6198" Type="http://schemas.openxmlformats.org/officeDocument/2006/relationships/hyperlink" Target="https://m.stock.naver.com/research/company/87042" TargetMode="External"/><Relationship Id="rId7249" Type="http://schemas.openxmlformats.org/officeDocument/2006/relationships/hyperlink" Target="https://m.stock.naver.com/research/company/85990" TargetMode="External"/><Relationship Id="rId11628" Type="http://schemas.openxmlformats.org/officeDocument/2006/relationships/hyperlink" Target="https://m.stock.naver.com/research/company/81584" TargetMode="External"/><Relationship Id="rId13050" Type="http://schemas.openxmlformats.org/officeDocument/2006/relationships/hyperlink" Target="https://m.stock.naver.com/research/company/80157" TargetMode="External"/><Relationship Id="rId14101" Type="http://schemas.openxmlformats.org/officeDocument/2006/relationships/hyperlink" Target="https://m.stock.naver.com/research/company/93901" TargetMode="External"/><Relationship Id="rId3859" Type="http://schemas.openxmlformats.org/officeDocument/2006/relationships/hyperlink" Target="https://m.stock.naver.com/research/company/89392" TargetMode="External"/><Relationship Id="rId5281" Type="http://schemas.openxmlformats.org/officeDocument/2006/relationships/hyperlink" Target="https://m.stock.naver.com/research/company/87959" TargetMode="External"/><Relationship Id="rId7730" Type="http://schemas.openxmlformats.org/officeDocument/2006/relationships/hyperlink" Target="https://m.stock.naver.com/research/company/85509" TargetMode="External"/><Relationship Id="rId10711" Type="http://schemas.openxmlformats.org/officeDocument/2006/relationships/hyperlink" Target="https://m.stock.naver.com/research/company/82509" TargetMode="External"/><Relationship Id="rId6332" Type="http://schemas.openxmlformats.org/officeDocument/2006/relationships/hyperlink" Target="https://m.stock.naver.com/research/company/86908" TargetMode="External"/><Relationship Id="rId12883" Type="http://schemas.openxmlformats.org/officeDocument/2006/relationships/hyperlink" Target="https://m.stock.naver.com/research/company/80325" TargetMode="External"/><Relationship Id="rId13934" Type="http://schemas.openxmlformats.org/officeDocument/2006/relationships/hyperlink" Target="https://m.stock.naver.com/research/company/93798" TargetMode="External"/><Relationship Id="rId1891" Type="http://schemas.openxmlformats.org/officeDocument/2006/relationships/hyperlink" Target="https://m.stock.naver.com/research/company/91364" TargetMode="External"/><Relationship Id="rId2942" Type="http://schemas.openxmlformats.org/officeDocument/2006/relationships/hyperlink" Target="https://m.stock.naver.com/research/company/90311" TargetMode="External"/><Relationship Id="rId9555" Type="http://schemas.openxmlformats.org/officeDocument/2006/relationships/hyperlink" Target="https://m.stock.naver.com/research/company/83672" TargetMode="External"/><Relationship Id="rId11485" Type="http://schemas.openxmlformats.org/officeDocument/2006/relationships/hyperlink" Target="https://m.stock.naver.com/research/company/81730" TargetMode="External"/><Relationship Id="rId12536" Type="http://schemas.openxmlformats.org/officeDocument/2006/relationships/hyperlink" Target="https://m.stock.naver.com/research/company/80672" TargetMode="External"/><Relationship Id="rId914" Type="http://schemas.openxmlformats.org/officeDocument/2006/relationships/hyperlink" Target="https://m.stock.naver.com/research/company/92542" TargetMode="External"/><Relationship Id="rId1544" Type="http://schemas.openxmlformats.org/officeDocument/2006/relationships/hyperlink" Target="https://m.stock.naver.com/research/company/91711" TargetMode="External"/><Relationship Id="rId8157" Type="http://schemas.openxmlformats.org/officeDocument/2006/relationships/hyperlink" Target="https://m.stock.naver.com/research/company/85081" TargetMode="External"/><Relationship Id="rId9208" Type="http://schemas.openxmlformats.org/officeDocument/2006/relationships/hyperlink" Target="https://m.stock.naver.com/research/company/84022" TargetMode="External"/><Relationship Id="rId10087" Type="http://schemas.openxmlformats.org/officeDocument/2006/relationships/hyperlink" Target="https://m.stock.naver.com/research/company/83134" TargetMode="External"/><Relationship Id="rId11138" Type="http://schemas.openxmlformats.org/officeDocument/2006/relationships/hyperlink" Target="https://m.stock.naver.com/research/company/82082" TargetMode="External"/><Relationship Id="rId4767" Type="http://schemas.openxmlformats.org/officeDocument/2006/relationships/hyperlink" Target="https://m.stock.naver.com/research/company/88473" TargetMode="External"/><Relationship Id="rId5818" Type="http://schemas.openxmlformats.org/officeDocument/2006/relationships/hyperlink" Target="https://m.stock.naver.com/research/company/87422" TargetMode="External"/><Relationship Id="rId3369" Type="http://schemas.openxmlformats.org/officeDocument/2006/relationships/hyperlink" Target="https://m.stock.naver.com/research/company/89882" TargetMode="External"/><Relationship Id="rId7240" Type="http://schemas.openxmlformats.org/officeDocument/2006/relationships/hyperlink" Target="https://m.stock.naver.com/research/company/85999" TargetMode="External"/><Relationship Id="rId10221" Type="http://schemas.openxmlformats.org/officeDocument/2006/relationships/hyperlink" Target="https://m.stock.naver.com/research/company/83000" TargetMode="External"/><Relationship Id="rId13791" Type="http://schemas.openxmlformats.org/officeDocument/2006/relationships/hyperlink" Target="https://m.stock.naver.com/research/company/93597" TargetMode="External"/><Relationship Id="rId14842" Type="http://schemas.openxmlformats.org/officeDocument/2006/relationships/hyperlink" Target="https://m.stock.naver.com/research/company/94782" TargetMode="External"/><Relationship Id="rId3850" Type="http://schemas.openxmlformats.org/officeDocument/2006/relationships/hyperlink" Target="https://m.stock.naver.com/research/company/89401" TargetMode="External"/><Relationship Id="rId4901" Type="http://schemas.openxmlformats.org/officeDocument/2006/relationships/hyperlink" Target="https://m.stock.naver.com/research/company/88339" TargetMode="External"/><Relationship Id="rId9065" Type="http://schemas.openxmlformats.org/officeDocument/2006/relationships/hyperlink" Target="https://m.stock.naver.com/research/company/84166" TargetMode="External"/><Relationship Id="rId12393" Type="http://schemas.openxmlformats.org/officeDocument/2006/relationships/hyperlink" Target="https://m.stock.naver.com/research/company/80816" TargetMode="External"/><Relationship Id="rId13444" Type="http://schemas.openxmlformats.org/officeDocument/2006/relationships/hyperlink" Target="https://m.stock.naver.com/research/company/79760" TargetMode="External"/><Relationship Id="rId771" Type="http://schemas.openxmlformats.org/officeDocument/2006/relationships/hyperlink" Target="https://m.stock.naver.com/research/company/92685" TargetMode="External"/><Relationship Id="rId2452" Type="http://schemas.openxmlformats.org/officeDocument/2006/relationships/hyperlink" Target="https://m.stock.naver.com/research/company/90802" TargetMode="External"/><Relationship Id="rId3503" Type="http://schemas.openxmlformats.org/officeDocument/2006/relationships/hyperlink" Target="https://m.stock.naver.com/research/company/89748" TargetMode="External"/><Relationship Id="rId12046" Type="http://schemas.openxmlformats.org/officeDocument/2006/relationships/hyperlink" Target="https://m.stock.naver.com/research/company/81165" TargetMode="External"/><Relationship Id="rId424" Type="http://schemas.openxmlformats.org/officeDocument/2006/relationships/hyperlink" Target="https://m.stock.naver.com/research/company/93033" TargetMode="External"/><Relationship Id="rId1054" Type="http://schemas.openxmlformats.org/officeDocument/2006/relationships/hyperlink" Target="https://m.stock.naver.com/research/company/92297" TargetMode="External"/><Relationship Id="rId2105" Type="http://schemas.openxmlformats.org/officeDocument/2006/relationships/hyperlink" Target="https://m.stock.naver.com/research/company/91150" TargetMode="External"/><Relationship Id="rId5675" Type="http://schemas.openxmlformats.org/officeDocument/2006/relationships/hyperlink" Target="https://m.stock.naver.com/research/company/87565" TargetMode="External"/><Relationship Id="rId6726" Type="http://schemas.openxmlformats.org/officeDocument/2006/relationships/hyperlink" Target="https://m.stock.naver.com/research/company/86514" TargetMode="External"/><Relationship Id="rId15269" Type="http://schemas.openxmlformats.org/officeDocument/2006/relationships/hyperlink" Target="https://m.stock.naver.com/research/company/95091" TargetMode="External"/><Relationship Id="rId4277" Type="http://schemas.openxmlformats.org/officeDocument/2006/relationships/hyperlink" Target="https://m.stock.naver.com/research/company/88964" TargetMode="External"/><Relationship Id="rId5328" Type="http://schemas.openxmlformats.org/officeDocument/2006/relationships/hyperlink" Target="https://m.stock.naver.com/research/company/87912" TargetMode="External"/><Relationship Id="rId8898" Type="http://schemas.openxmlformats.org/officeDocument/2006/relationships/hyperlink" Target="https://m.stock.naver.com/research/company/84338" TargetMode="External"/><Relationship Id="rId9949" Type="http://schemas.openxmlformats.org/officeDocument/2006/relationships/hyperlink" Target="https://m.stock.naver.com/research/company/83273" TargetMode="External"/><Relationship Id="rId11879" Type="http://schemas.openxmlformats.org/officeDocument/2006/relationships/hyperlink" Target="https://m.stock.naver.com/research/company/81333" TargetMode="External"/><Relationship Id="rId15750" Type="http://schemas.openxmlformats.org/officeDocument/2006/relationships/hyperlink" Target="https://m.stock.naver.com/research/company/95664" TargetMode="External"/><Relationship Id="rId1938" Type="http://schemas.openxmlformats.org/officeDocument/2006/relationships/hyperlink" Target="https://m.stock.naver.com/research/company/91317" TargetMode="External"/><Relationship Id="rId3360" Type="http://schemas.openxmlformats.org/officeDocument/2006/relationships/hyperlink" Target="https://m.stock.naver.com/research/company/89890" TargetMode="External"/><Relationship Id="rId14352" Type="http://schemas.openxmlformats.org/officeDocument/2006/relationships/hyperlink" Target="https://m.stock.naver.com/research/company/94199" TargetMode="External"/><Relationship Id="rId15403" Type="http://schemas.openxmlformats.org/officeDocument/2006/relationships/hyperlink" Target="https://m.stock.naver.com/research/company/95384" TargetMode="External"/><Relationship Id="rId281" Type="http://schemas.openxmlformats.org/officeDocument/2006/relationships/hyperlink" Target="https://m.stock.naver.com/research/company/93177" TargetMode="External"/><Relationship Id="rId3013" Type="http://schemas.openxmlformats.org/officeDocument/2006/relationships/hyperlink" Target="https://m.stock.naver.com/research/company/90238" TargetMode="External"/><Relationship Id="rId4411" Type="http://schemas.openxmlformats.org/officeDocument/2006/relationships/hyperlink" Target="https://m.stock.naver.com/research/company/88830" TargetMode="External"/><Relationship Id="rId7981" Type="http://schemas.openxmlformats.org/officeDocument/2006/relationships/hyperlink" Target="https://m.stock.naver.com/research/company/85257" TargetMode="External"/><Relationship Id="rId10962" Type="http://schemas.openxmlformats.org/officeDocument/2006/relationships/hyperlink" Target="https://m.stock.naver.com/research/company/82258" TargetMode="External"/><Relationship Id="rId14005" Type="http://schemas.openxmlformats.org/officeDocument/2006/relationships/hyperlink" Target="https://m.stock.naver.com/research/company/93727" TargetMode="External"/><Relationship Id="rId6583" Type="http://schemas.openxmlformats.org/officeDocument/2006/relationships/hyperlink" Target="https://m.stock.naver.com/research/company/86657" TargetMode="External"/><Relationship Id="rId7634" Type="http://schemas.openxmlformats.org/officeDocument/2006/relationships/hyperlink" Target="https://m.stock.naver.com/research/company/85605" TargetMode="External"/><Relationship Id="rId10615" Type="http://schemas.openxmlformats.org/officeDocument/2006/relationships/hyperlink" Target="https://m.stock.naver.com/research/company/82605" TargetMode="External"/><Relationship Id="rId5185" Type="http://schemas.openxmlformats.org/officeDocument/2006/relationships/hyperlink" Target="https://m.stock.naver.com/research/company/88055" TargetMode="External"/><Relationship Id="rId6236" Type="http://schemas.openxmlformats.org/officeDocument/2006/relationships/hyperlink" Target="https://m.stock.naver.com/research/company/87004" TargetMode="External"/><Relationship Id="rId12787" Type="http://schemas.openxmlformats.org/officeDocument/2006/relationships/hyperlink" Target="https://m.stock.naver.com/research/company/80421" TargetMode="External"/><Relationship Id="rId1795" Type="http://schemas.openxmlformats.org/officeDocument/2006/relationships/hyperlink" Target="https://m.stock.naver.com/research/company/91460" TargetMode="External"/><Relationship Id="rId2846" Type="http://schemas.openxmlformats.org/officeDocument/2006/relationships/hyperlink" Target="https://m.stock.naver.com/research/company/90407" TargetMode="External"/><Relationship Id="rId9459" Type="http://schemas.openxmlformats.org/officeDocument/2006/relationships/hyperlink" Target="https://m.stock.naver.com/research/company/83768" TargetMode="External"/><Relationship Id="rId11389" Type="http://schemas.openxmlformats.org/officeDocument/2006/relationships/hyperlink" Target="https://m.stock.naver.com/research/company/81826" TargetMode="External"/><Relationship Id="rId13838" Type="http://schemas.openxmlformats.org/officeDocument/2006/relationships/hyperlink" Target="https://m.stock.naver.com/research/company/93644" TargetMode="External"/><Relationship Id="rId15260" Type="http://schemas.openxmlformats.org/officeDocument/2006/relationships/hyperlink" Target="https://m.stock.naver.com/research/company/95100" TargetMode="External"/><Relationship Id="rId818" Type="http://schemas.openxmlformats.org/officeDocument/2006/relationships/hyperlink" Target="https://m.stock.naver.com/research/company/92638" TargetMode="External"/><Relationship Id="rId1448" Type="http://schemas.openxmlformats.org/officeDocument/2006/relationships/hyperlink" Target="https://m.stock.naver.com/research/company/91807" TargetMode="External"/><Relationship Id="rId7491" Type="http://schemas.openxmlformats.org/officeDocument/2006/relationships/hyperlink" Target="https://m.stock.naver.com/research/company/85748" TargetMode="External"/><Relationship Id="rId9940" Type="http://schemas.openxmlformats.org/officeDocument/2006/relationships/hyperlink" Target="https://m.stock.naver.com/research/company/83282" TargetMode="External"/><Relationship Id="rId11870" Type="http://schemas.openxmlformats.org/officeDocument/2006/relationships/hyperlink" Target="https://m.stock.naver.com/research/company/81342" TargetMode="External"/><Relationship Id="rId12921" Type="http://schemas.openxmlformats.org/officeDocument/2006/relationships/hyperlink" Target="https://m.stock.naver.com/research/company/80287" TargetMode="External"/><Relationship Id="rId6093" Type="http://schemas.openxmlformats.org/officeDocument/2006/relationships/hyperlink" Target="https://m.stock.naver.com/research/company/87147" TargetMode="External"/><Relationship Id="rId7144" Type="http://schemas.openxmlformats.org/officeDocument/2006/relationships/hyperlink" Target="https://m.stock.naver.com/research/company/86095" TargetMode="External"/><Relationship Id="rId8542" Type="http://schemas.openxmlformats.org/officeDocument/2006/relationships/hyperlink" Target="https://m.stock.naver.com/research/company/84695" TargetMode="External"/><Relationship Id="rId10472" Type="http://schemas.openxmlformats.org/officeDocument/2006/relationships/hyperlink" Target="https://m.stock.naver.com/research/company/82748" TargetMode="External"/><Relationship Id="rId11523" Type="http://schemas.openxmlformats.org/officeDocument/2006/relationships/hyperlink" Target="https://m.stock.naver.com/research/company/81692" TargetMode="External"/><Relationship Id="rId10125" Type="http://schemas.openxmlformats.org/officeDocument/2006/relationships/hyperlink" Target="https://m.stock.naver.com/research/company/83096" TargetMode="External"/><Relationship Id="rId13695" Type="http://schemas.openxmlformats.org/officeDocument/2006/relationships/hyperlink" Target="https://m.stock.naver.com/research/company/93479" TargetMode="External"/><Relationship Id="rId14746" Type="http://schemas.openxmlformats.org/officeDocument/2006/relationships/hyperlink" Target="https://m.stock.naver.com/research/company/94654" TargetMode="External"/><Relationship Id="rId3754" Type="http://schemas.openxmlformats.org/officeDocument/2006/relationships/hyperlink" Target="https://m.stock.naver.com/research/company/89497" TargetMode="External"/><Relationship Id="rId4805" Type="http://schemas.openxmlformats.org/officeDocument/2006/relationships/hyperlink" Target="https://m.stock.naver.com/research/company/88435" TargetMode="External"/><Relationship Id="rId12297" Type="http://schemas.openxmlformats.org/officeDocument/2006/relationships/hyperlink" Target="https://m.stock.naver.com/research/company/80912" TargetMode="External"/><Relationship Id="rId13348" Type="http://schemas.openxmlformats.org/officeDocument/2006/relationships/hyperlink" Target="https://m.stock.naver.com/research/company/79857" TargetMode="External"/><Relationship Id="rId675" Type="http://schemas.openxmlformats.org/officeDocument/2006/relationships/hyperlink" Target="https://m.stock.naver.com/research/company/92781" TargetMode="External"/><Relationship Id="rId2356" Type="http://schemas.openxmlformats.org/officeDocument/2006/relationships/hyperlink" Target="https://m.stock.naver.com/research/company/90898" TargetMode="External"/><Relationship Id="rId3407" Type="http://schemas.openxmlformats.org/officeDocument/2006/relationships/hyperlink" Target="https://m.stock.naver.com/research/company/89844" TargetMode="External"/><Relationship Id="rId6977" Type="http://schemas.openxmlformats.org/officeDocument/2006/relationships/hyperlink" Target="https://m.stock.naver.com/research/company/86262" TargetMode="External"/><Relationship Id="rId328" Type="http://schemas.openxmlformats.org/officeDocument/2006/relationships/hyperlink" Target="https://m.stock.naver.com/research/company/93130" TargetMode="External"/><Relationship Id="rId2009" Type="http://schemas.openxmlformats.org/officeDocument/2006/relationships/hyperlink" Target="https://m.stock.naver.com/research/company/91246" TargetMode="External"/><Relationship Id="rId5579" Type="http://schemas.openxmlformats.org/officeDocument/2006/relationships/hyperlink" Target="https://m.stock.naver.com/research/company/87661" TargetMode="External"/><Relationship Id="rId9450" Type="http://schemas.openxmlformats.org/officeDocument/2006/relationships/hyperlink" Target="https://m.stock.naver.com/research/company/83777" TargetMode="External"/><Relationship Id="rId8052" Type="http://schemas.openxmlformats.org/officeDocument/2006/relationships/hyperlink" Target="https://m.stock.naver.com/research/company/85186" TargetMode="External"/><Relationship Id="rId9103" Type="http://schemas.openxmlformats.org/officeDocument/2006/relationships/hyperlink" Target="https://m.stock.naver.com/research/company/84127" TargetMode="External"/><Relationship Id="rId11033" Type="http://schemas.openxmlformats.org/officeDocument/2006/relationships/hyperlink" Target="https://m.stock.naver.com/research/company/82187" TargetMode="External"/><Relationship Id="rId11380" Type="http://schemas.openxmlformats.org/officeDocument/2006/relationships/hyperlink" Target="https://m.stock.naver.com/research/company/81835" TargetMode="External"/><Relationship Id="rId12431" Type="http://schemas.openxmlformats.org/officeDocument/2006/relationships/hyperlink" Target="https://m.stock.naver.com/research/company/80778" TargetMode="External"/><Relationship Id="rId15654" Type="http://schemas.openxmlformats.org/officeDocument/2006/relationships/hyperlink" Target="https://m.stock.naver.com/research/company/95760" TargetMode="External"/><Relationship Id="rId4662" Type="http://schemas.openxmlformats.org/officeDocument/2006/relationships/hyperlink" Target="https://m.stock.naver.com/research/company/88578" TargetMode="External"/><Relationship Id="rId5713" Type="http://schemas.openxmlformats.org/officeDocument/2006/relationships/hyperlink" Target="https://m.stock.naver.com/research/company/87527" TargetMode="External"/><Relationship Id="rId14256" Type="http://schemas.openxmlformats.org/officeDocument/2006/relationships/hyperlink" Target="https://m.stock.naver.com/research/company/94087" TargetMode="External"/><Relationship Id="rId15307" Type="http://schemas.openxmlformats.org/officeDocument/2006/relationships/hyperlink" Target="https://m.stock.naver.com/research/company/95281" TargetMode="External"/><Relationship Id="rId185" Type="http://schemas.openxmlformats.org/officeDocument/2006/relationships/hyperlink" Target="https://m.stock.naver.com/research/company/93273" TargetMode="External"/><Relationship Id="rId3264" Type="http://schemas.openxmlformats.org/officeDocument/2006/relationships/hyperlink" Target="https://m.stock.naver.com/research/company/89986" TargetMode="External"/><Relationship Id="rId4315" Type="http://schemas.openxmlformats.org/officeDocument/2006/relationships/hyperlink" Target="https://m.stock.naver.com/research/company/88926" TargetMode="External"/><Relationship Id="rId7885" Type="http://schemas.openxmlformats.org/officeDocument/2006/relationships/hyperlink" Target="https://m.stock.naver.com/research/company/85353" TargetMode="External"/><Relationship Id="rId8936" Type="http://schemas.openxmlformats.org/officeDocument/2006/relationships/hyperlink" Target="https://m.stock.naver.com/research/company/84299" TargetMode="External"/><Relationship Id="rId10866" Type="http://schemas.openxmlformats.org/officeDocument/2006/relationships/hyperlink" Target="https://m.stock.naver.com/research/company/82354" TargetMode="External"/><Relationship Id="rId6487" Type="http://schemas.openxmlformats.org/officeDocument/2006/relationships/hyperlink" Target="https://m.stock.naver.com/research/company/86753" TargetMode="External"/><Relationship Id="rId7538" Type="http://schemas.openxmlformats.org/officeDocument/2006/relationships/hyperlink" Target="https://m.stock.naver.com/research/company/85701" TargetMode="External"/><Relationship Id="rId10519" Type="http://schemas.openxmlformats.org/officeDocument/2006/relationships/hyperlink" Target="https://m.stock.naver.com/research/company/82701" TargetMode="External"/><Relationship Id="rId11917" Type="http://schemas.openxmlformats.org/officeDocument/2006/relationships/hyperlink" Target="https://m.stock.naver.com/research/company/81294" TargetMode="External"/><Relationship Id="rId5089" Type="http://schemas.openxmlformats.org/officeDocument/2006/relationships/hyperlink" Target="https://m.stock.naver.com/research/company/88151" TargetMode="External"/><Relationship Id="rId1699" Type="http://schemas.openxmlformats.org/officeDocument/2006/relationships/hyperlink" Target="https://m.stock.naver.com/research/company/91556" TargetMode="External"/><Relationship Id="rId2000" Type="http://schemas.openxmlformats.org/officeDocument/2006/relationships/hyperlink" Target="https://m.stock.naver.com/research/company/91255" TargetMode="External"/><Relationship Id="rId5570" Type="http://schemas.openxmlformats.org/officeDocument/2006/relationships/hyperlink" Target="https://m.stock.naver.com/research/company/87670" TargetMode="External"/><Relationship Id="rId15164" Type="http://schemas.openxmlformats.org/officeDocument/2006/relationships/hyperlink" Target="https://m.stock.naver.com/research/company/95196" TargetMode="External"/><Relationship Id="rId4172" Type="http://schemas.openxmlformats.org/officeDocument/2006/relationships/hyperlink" Target="https://m.stock.naver.com/research/company/89077" TargetMode="External"/><Relationship Id="rId5223" Type="http://schemas.openxmlformats.org/officeDocument/2006/relationships/hyperlink" Target="https://m.stock.naver.com/research/company/88017" TargetMode="External"/><Relationship Id="rId6621" Type="http://schemas.openxmlformats.org/officeDocument/2006/relationships/hyperlink" Target="https://m.stock.naver.com/research/company/86619" TargetMode="External"/><Relationship Id="rId8793" Type="http://schemas.openxmlformats.org/officeDocument/2006/relationships/hyperlink" Target="https://m.stock.naver.com/research/company/84444" TargetMode="External"/><Relationship Id="rId9844" Type="http://schemas.openxmlformats.org/officeDocument/2006/relationships/hyperlink" Target="https://m.stock.naver.com/research/company/83378" TargetMode="External"/><Relationship Id="rId11774" Type="http://schemas.openxmlformats.org/officeDocument/2006/relationships/hyperlink" Target="https://m.stock.naver.com/research/company/81438" TargetMode="External"/><Relationship Id="rId12825" Type="http://schemas.openxmlformats.org/officeDocument/2006/relationships/hyperlink" Target="https://m.stock.naver.com/research/company/80383" TargetMode="External"/><Relationship Id="rId58" Type="http://schemas.openxmlformats.org/officeDocument/2006/relationships/hyperlink" Target="https://m.stock.naver.com/research/company/93400" TargetMode="External"/><Relationship Id="rId1833" Type="http://schemas.openxmlformats.org/officeDocument/2006/relationships/hyperlink" Target="https://m.stock.naver.com/research/company/91422" TargetMode="External"/><Relationship Id="rId7048" Type="http://schemas.openxmlformats.org/officeDocument/2006/relationships/hyperlink" Target="https://m.stock.naver.com/research/company/86191" TargetMode="External"/><Relationship Id="rId7395" Type="http://schemas.openxmlformats.org/officeDocument/2006/relationships/hyperlink" Target="https://m.stock.naver.com/research/company/85844" TargetMode="External"/><Relationship Id="rId8446" Type="http://schemas.openxmlformats.org/officeDocument/2006/relationships/hyperlink" Target="https://m.stock.naver.com/research/company/84791" TargetMode="External"/><Relationship Id="rId10376" Type="http://schemas.openxmlformats.org/officeDocument/2006/relationships/hyperlink" Target="https://m.stock.naver.com/research/company/82845" TargetMode="External"/><Relationship Id="rId11427" Type="http://schemas.openxmlformats.org/officeDocument/2006/relationships/hyperlink" Target="https://m.stock.naver.com/research/company/81788" TargetMode="External"/><Relationship Id="rId14997" Type="http://schemas.openxmlformats.org/officeDocument/2006/relationships/hyperlink" Target="https://m.stock.naver.com/research/company/94837" TargetMode="External"/><Relationship Id="rId10029" Type="http://schemas.openxmlformats.org/officeDocument/2006/relationships/hyperlink" Target="https://m.stock.naver.com/research/company/83192" TargetMode="External"/><Relationship Id="rId13599" Type="http://schemas.openxmlformats.org/officeDocument/2006/relationships/hyperlink" Target="https://m.stock.naver.com/research/company/79605" TargetMode="External"/><Relationship Id="rId3658" Type="http://schemas.openxmlformats.org/officeDocument/2006/relationships/hyperlink" Target="https://m.stock.naver.com/research/company/89593" TargetMode="External"/><Relationship Id="rId4709" Type="http://schemas.openxmlformats.org/officeDocument/2006/relationships/hyperlink" Target="https://m.stock.naver.com/research/company/88531" TargetMode="External"/><Relationship Id="rId579" Type="http://schemas.openxmlformats.org/officeDocument/2006/relationships/hyperlink" Target="https://m.stock.naver.com/research/company/92878" TargetMode="External"/><Relationship Id="rId5080" Type="http://schemas.openxmlformats.org/officeDocument/2006/relationships/hyperlink" Target="https://m.stock.naver.com/research/company/88160" TargetMode="External"/><Relationship Id="rId6131" Type="http://schemas.openxmlformats.org/officeDocument/2006/relationships/hyperlink" Target="https://m.stock.naver.com/research/company/87109" TargetMode="External"/><Relationship Id="rId10510" Type="http://schemas.openxmlformats.org/officeDocument/2006/relationships/hyperlink" Target="https://m.stock.naver.com/research/company/82710" TargetMode="External"/><Relationship Id="rId9354" Type="http://schemas.openxmlformats.org/officeDocument/2006/relationships/hyperlink" Target="https://m.stock.naver.com/research/company/83873" TargetMode="External"/><Relationship Id="rId12682" Type="http://schemas.openxmlformats.org/officeDocument/2006/relationships/hyperlink" Target="https://m.stock.naver.com/research/company/80526" TargetMode="External"/><Relationship Id="rId13733" Type="http://schemas.openxmlformats.org/officeDocument/2006/relationships/hyperlink" Target="https://m.stock.naver.com/research/company/93506" TargetMode="External"/><Relationship Id="rId1690" Type="http://schemas.openxmlformats.org/officeDocument/2006/relationships/hyperlink" Target="https://m.stock.naver.com/research/company/91565" TargetMode="External"/><Relationship Id="rId2741" Type="http://schemas.openxmlformats.org/officeDocument/2006/relationships/hyperlink" Target="https://m.stock.naver.com/research/company/90513" TargetMode="External"/><Relationship Id="rId9007" Type="http://schemas.openxmlformats.org/officeDocument/2006/relationships/hyperlink" Target="https://m.stock.naver.com/research/company/84225" TargetMode="External"/><Relationship Id="rId11284" Type="http://schemas.openxmlformats.org/officeDocument/2006/relationships/hyperlink" Target="https://m.stock.naver.com/research/company/81935" TargetMode="External"/><Relationship Id="rId12335" Type="http://schemas.openxmlformats.org/officeDocument/2006/relationships/hyperlink" Target="https://m.stock.naver.com/research/company/80874" TargetMode="External"/><Relationship Id="rId713" Type="http://schemas.openxmlformats.org/officeDocument/2006/relationships/hyperlink" Target="https://m.stock.naver.com/research/company/92743" TargetMode="External"/><Relationship Id="rId1343" Type="http://schemas.openxmlformats.org/officeDocument/2006/relationships/hyperlink" Target="https://m.stock.naver.com/research/company/91912" TargetMode="External"/><Relationship Id="rId5964" Type="http://schemas.openxmlformats.org/officeDocument/2006/relationships/hyperlink" Target="https://m.stock.naver.com/research/company/87276" TargetMode="External"/><Relationship Id="rId15558" Type="http://schemas.openxmlformats.org/officeDocument/2006/relationships/hyperlink" Target="https://m.stock.naver.com/research/company/95478" TargetMode="External"/><Relationship Id="rId4566" Type="http://schemas.openxmlformats.org/officeDocument/2006/relationships/hyperlink" Target="https://m.stock.naver.com/research/company/88674" TargetMode="External"/><Relationship Id="rId5617" Type="http://schemas.openxmlformats.org/officeDocument/2006/relationships/hyperlink" Target="https://m.stock.naver.com/research/company/87623" TargetMode="External"/><Relationship Id="rId3168" Type="http://schemas.openxmlformats.org/officeDocument/2006/relationships/hyperlink" Target="https://m.stock.naver.com/research/company/90083" TargetMode="External"/><Relationship Id="rId4219" Type="http://schemas.openxmlformats.org/officeDocument/2006/relationships/hyperlink" Target="https://m.stock.naver.com/research/company/89023" TargetMode="External"/><Relationship Id="rId7789" Type="http://schemas.openxmlformats.org/officeDocument/2006/relationships/hyperlink" Target="https://m.stock.naver.com/research/company/85449" TargetMode="External"/><Relationship Id="rId10020" Type="http://schemas.openxmlformats.org/officeDocument/2006/relationships/hyperlink" Target="https://m.stock.naver.com/research/company/83201" TargetMode="External"/><Relationship Id="rId13590" Type="http://schemas.openxmlformats.org/officeDocument/2006/relationships/hyperlink" Target="https://m.stock.naver.com/research/company/79614" TargetMode="External"/><Relationship Id="rId12192" Type="http://schemas.openxmlformats.org/officeDocument/2006/relationships/hyperlink" Target="https://m.stock.naver.com/research/company/81019" TargetMode="External"/><Relationship Id="rId13243" Type="http://schemas.openxmlformats.org/officeDocument/2006/relationships/hyperlink" Target="https://m.stock.naver.com/research/company/79964" TargetMode="External"/><Relationship Id="rId14641" Type="http://schemas.openxmlformats.org/officeDocument/2006/relationships/hyperlink" Target="https://m.stock.naver.com/research/company/94536" TargetMode="External"/><Relationship Id="rId570" Type="http://schemas.openxmlformats.org/officeDocument/2006/relationships/hyperlink" Target="https://m.stock.naver.com/research/company/92887" TargetMode="External"/><Relationship Id="rId2251" Type="http://schemas.openxmlformats.org/officeDocument/2006/relationships/hyperlink" Target="https://m.stock.naver.com/research/company/91004" TargetMode="External"/><Relationship Id="rId3302" Type="http://schemas.openxmlformats.org/officeDocument/2006/relationships/hyperlink" Target="https://m.stock.naver.com/research/company/89948" TargetMode="External"/><Relationship Id="rId4700" Type="http://schemas.openxmlformats.org/officeDocument/2006/relationships/hyperlink" Target="https://m.stock.naver.com/research/company/88540" TargetMode="External"/><Relationship Id="rId223" Type="http://schemas.openxmlformats.org/officeDocument/2006/relationships/hyperlink" Target="https://m.stock.naver.com/research/company/93235" TargetMode="External"/><Relationship Id="rId6872" Type="http://schemas.openxmlformats.org/officeDocument/2006/relationships/hyperlink" Target="https://m.stock.naver.com/research/company/86368" TargetMode="External"/><Relationship Id="rId7923" Type="http://schemas.openxmlformats.org/officeDocument/2006/relationships/hyperlink" Target="https://m.stock.naver.com/research/company/85315" TargetMode="External"/><Relationship Id="rId10904" Type="http://schemas.openxmlformats.org/officeDocument/2006/relationships/hyperlink" Target="https://m.stock.naver.com/research/company/82316" TargetMode="External"/><Relationship Id="rId4076" Type="http://schemas.openxmlformats.org/officeDocument/2006/relationships/hyperlink" Target="https://m.stock.naver.com/research/company/89175" TargetMode="External"/><Relationship Id="rId5474" Type="http://schemas.openxmlformats.org/officeDocument/2006/relationships/hyperlink" Target="https://m.stock.naver.com/research/company/87766" TargetMode="External"/><Relationship Id="rId6525" Type="http://schemas.openxmlformats.org/officeDocument/2006/relationships/hyperlink" Target="https://m.stock.naver.com/research/company/86715" TargetMode="External"/><Relationship Id="rId15068" Type="http://schemas.openxmlformats.org/officeDocument/2006/relationships/hyperlink" Target="https://m.stock.naver.com/research/company/95026" TargetMode="External"/><Relationship Id="rId5127" Type="http://schemas.openxmlformats.org/officeDocument/2006/relationships/hyperlink" Target="https://m.stock.naver.com/research/company/88113" TargetMode="External"/><Relationship Id="rId8697" Type="http://schemas.openxmlformats.org/officeDocument/2006/relationships/hyperlink" Target="https://m.stock.naver.com/research/company/84540" TargetMode="External"/><Relationship Id="rId9748" Type="http://schemas.openxmlformats.org/officeDocument/2006/relationships/hyperlink" Target="https://m.stock.naver.com/research/company/83475" TargetMode="External"/><Relationship Id="rId11678" Type="http://schemas.openxmlformats.org/officeDocument/2006/relationships/hyperlink" Target="https://m.stock.naver.com/research/company/81534" TargetMode="External"/><Relationship Id="rId12729" Type="http://schemas.openxmlformats.org/officeDocument/2006/relationships/hyperlink" Target="https://m.stock.naver.com/research/company/80479" TargetMode="External"/><Relationship Id="rId1737" Type="http://schemas.openxmlformats.org/officeDocument/2006/relationships/hyperlink" Target="https://m.stock.naver.com/research/company/91518" TargetMode="External"/><Relationship Id="rId7299" Type="http://schemas.openxmlformats.org/officeDocument/2006/relationships/hyperlink" Target="https://m.stock.naver.com/research/company/85940" TargetMode="External"/><Relationship Id="rId14151" Type="http://schemas.openxmlformats.org/officeDocument/2006/relationships/hyperlink" Target="https://m.stock.naver.com/research/company/93977" TargetMode="External"/><Relationship Id="rId15202" Type="http://schemas.openxmlformats.org/officeDocument/2006/relationships/hyperlink" Target="https://m.stock.naver.com/research/company/95158" TargetMode="External"/><Relationship Id="rId4210" Type="http://schemas.openxmlformats.org/officeDocument/2006/relationships/hyperlink" Target="https://m.stock.naver.com/research/company/89032" TargetMode="External"/><Relationship Id="rId7780" Type="http://schemas.openxmlformats.org/officeDocument/2006/relationships/hyperlink" Target="https://m.stock.naver.com/research/company/85458" TargetMode="External"/><Relationship Id="rId6382" Type="http://schemas.openxmlformats.org/officeDocument/2006/relationships/hyperlink" Target="https://m.stock.naver.com/research/company/86858" TargetMode="External"/><Relationship Id="rId7433" Type="http://schemas.openxmlformats.org/officeDocument/2006/relationships/hyperlink" Target="https://m.stock.naver.com/research/company/85806" TargetMode="External"/><Relationship Id="rId8831" Type="http://schemas.openxmlformats.org/officeDocument/2006/relationships/hyperlink" Target="https://m.stock.naver.com/research/company/84406" TargetMode="External"/><Relationship Id="rId10761" Type="http://schemas.openxmlformats.org/officeDocument/2006/relationships/hyperlink" Target="https://m.stock.naver.com/research/company/82459" TargetMode="External"/><Relationship Id="rId11812" Type="http://schemas.openxmlformats.org/officeDocument/2006/relationships/hyperlink" Target="https://m.stock.naver.com/research/company/81400" TargetMode="External"/><Relationship Id="rId6035" Type="http://schemas.openxmlformats.org/officeDocument/2006/relationships/hyperlink" Target="https://m.stock.naver.com/research/company/87205" TargetMode="External"/><Relationship Id="rId10414" Type="http://schemas.openxmlformats.org/officeDocument/2006/relationships/hyperlink" Target="https://m.stock.naver.com/research/company/82807" TargetMode="External"/><Relationship Id="rId13984" Type="http://schemas.openxmlformats.org/officeDocument/2006/relationships/hyperlink" Target="https://m.stock.naver.com/research/company/93748" TargetMode="External"/><Relationship Id="rId2992" Type="http://schemas.openxmlformats.org/officeDocument/2006/relationships/hyperlink" Target="https://m.stock.naver.com/research/company/90261" TargetMode="External"/><Relationship Id="rId9258" Type="http://schemas.openxmlformats.org/officeDocument/2006/relationships/hyperlink" Target="https://m.stock.naver.com/research/company/83970" TargetMode="External"/><Relationship Id="rId12586" Type="http://schemas.openxmlformats.org/officeDocument/2006/relationships/hyperlink" Target="https://m.stock.naver.com/research/company/80622" TargetMode="External"/><Relationship Id="rId13637" Type="http://schemas.openxmlformats.org/officeDocument/2006/relationships/hyperlink" Target="https://m.stock.naver.com/research/company/79567" TargetMode="External"/><Relationship Id="rId964" Type="http://schemas.openxmlformats.org/officeDocument/2006/relationships/hyperlink" Target="https://m.stock.naver.com/research/company/92492" TargetMode="External"/><Relationship Id="rId1594" Type="http://schemas.openxmlformats.org/officeDocument/2006/relationships/hyperlink" Target="https://m.stock.naver.com/research/company/91661" TargetMode="External"/><Relationship Id="rId2645" Type="http://schemas.openxmlformats.org/officeDocument/2006/relationships/hyperlink" Target="https://m.stock.naver.com/research/company/90609" TargetMode="External"/><Relationship Id="rId11188" Type="http://schemas.openxmlformats.org/officeDocument/2006/relationships/hyperlink" Target="https://m.stock.naver.com/research/company/82032" TargetMode="External"/><Relationship Id="rId12239" Type="http://schemas.openxmlformats.org/officeDocument/2006/relationships/hyperlink" Target="https://m.stock.naver.com/research/company/80971" TargetMode="External"/><Relationship Id="rId617" Type="http://schemas.openxmlformats.org/officeDocument/2006/relationships/hyperlink" Target="https://m.stock.naver.com/research/company/92839" TargetMode="External"/><Relationship Id="rId1247" Type="http://schemas.openxmlformats.org/officeDocument/2006/relationships/hyperlink" Target="https://m.stock.naver.com/research/company/92008" TargetMode="External"/><Relationship Id="rId5868" Type="http://schemas.openxmlformats.org/officeDocument/2006/relationships/hyperlink" Target="https://m.stock.naver.com/research/company/87372" TargetMode="External"/><Relationship Id="rId6919" Type="http://schemas.openxmlformats.org/officeDocument/2006/relationships/hyperlink" Target="https://m.stock.naver.com/research/company/86320" TargetMode="External"/><Relationship Id="rId7290" Type="http://schemas.openxmlformats.org/officeDocument/2006/relationships/hyperlink" Target="https://m.stock.naver.com/research/company/85949" TargetMode="External"/><Relationship Id="rId8341" Type="http://schemas.openxmlformats.org/officeDocument/2006/relationships/hyperlink" Target="https://m.stock.naver.com/research/company/84897" TargetMode="External"/><Relationship Id="rId10271" Type="http://schemas.openxmlformats.org/officeDocument/2006/relationships/hyperlink" Target="https://m.stock.naver.com/research/company/82950" TargetMode="External"/><Relationship Id="rId11322" Type="http://schemas.openxmlformats.org/officeDocument/2006/relationships/hyperlink" Target="https://m.stock.naver.com/research/company/81897" TargetMode="External"/><Relationship Id="rId12720" Type="http://schemas.openxmlformats.org/officeDocument/2006/relationships/hyperlink" Target="https://m.stock.naver.com/research/company/80488" TargetMode="External"/><Relationship Id="rId14892" Type="http://schemas.openxmlformats.org/officeDocument/2006/relationships/hyperlink" Target="https://m.stock.naver.com/research/company/94732" TargetMode="External"/><Relationship Id="rId4951" Type="http://schemas.openxmlformats.org/officeDocument/2006/relationships/hyperlink" Target="https://m.stock.naver.com/research/company/88289" TargetMode="External"/><Relationship Id="rId12096" Type="http://schemas.openxmlformats.org/officeDocument/2006/relationships/hyperlink" Target="https://m.stock.naver.com/research/company/81115" TargetMode="External"/><Relationship Id="rId13494" Type="http://schemas.openxmlformats.org/officeDocument/2006/relationships/hyperlink" Target="https://m.stock.naver.com/research/company/79710" TargetMode="External"/><Relationship Id="rId14545" Type="http://schemas.openxmlformats.org/officeDocument/2006/relationships/hyperlink" Target="https://m.stock.naver.com/research/company/94365" TargetMode="External"/><Relationship Id="rId474" Type="http://schemas.openxmlformats.org/officeDocument/2006/relationships/hyperlink" Target="https://m.stock.naver.com/research/company/92983" TargetMode="External"/><Relationship Id="rId2155" Type="http://schemas.openxmlformats.org/officeDocument/2006/relationships/hyperlink" Target="https://m.stock.naver.com/research/company/91100" TargetMode="External"/><Relationship Id="rId3553" Type="http://schemas.openxmlformats.org/officeDocument/2006/relationships/hyperlink" Target="https://m.stock.naver.com/research/company/89698" TargetMode="External"/><Relationship Id="rId4604" Type="http://schemas.openxmlformats.org/officeDocument/2006/relationships/hyperlink" Target="https://m.stock.naver.com/research/company/88636" TargetMode="External"/><Relationship Id="rId13147" Type="http://schemas.openxmlformats.org/officeDocument/2006/relationships/hyperlink" Target="https://m.stock.naver.com/research/company/80060" TargetMode="External"/><Relationship Id="rId127" Type="http://schemas.openxmlformats.org/officeDocument/2006/relationships/hyperlink" Target="https://m.stock.naver.com/research/company/93331" TargetMode="External"/><Relationship Id="rId3206" Type="http://schemas.openxmlformats.org/officeDocument/2006/relationships/hyperlink" Target="https://m.stock.naver.com/research/company/90045" TargetMode="External"/><Relationship Id="rId6776" Type="http://schemas.openxmlformats.org/officeDocument/2006/relationships/hyperlink" Target="https://m.stock.naver.com/research/company/86464" TargetMode="External"/><Relationship Id="rId7827" Type="http://schemas.openxmlformats.org/officeDocument/2006/relationships/hyperlink" Target="https://m.stock.naver.com/research/company/85411" TargetMode="External"/><Relationship Id="rId10808" Type="http://schemas.openxmlformats.org/officeDocument/2006/relationships/hyperlink" Target="https://m.stock.naver.com/research/company/82412" TargetMode="External"/><Relationship Id="rId5378" Type="http://schemas.openxmlformats.org/officeDocument/2006/relationships/hyperlink" Target="https://m.stock.naver.com/research/company/87862" TargetMode="External"/><Relationship Id="rId6429" Type="http://schemas.openxmlformats.org/officeDocument/2006/relationships/hyperlink" Target="https://m.stock.naver.com/research/company/86811" TargetMode="External"/><Relationship Id="rId9999" Type="http://schemas.openxmlformats.org/officeDocument/2006/relationships/hyperlink" Target="https://m.stock.naver.com/research/company/83222" TargetMode="External"/><Relationship Id="rId12230" Type="http://schemas.openxmlformats.org/officeDocument/2006/relationships/hyperlink" Target="https://m.stock.naver.com/research/company/80980" TargetMode="External"/><Relationship Id="rId1988" Type="http://schemas.openxmlformats.org/officeDocument/2006/relationships/hyperlink" Target="https://m.stock.naver.com/research/company/91267" TargetMode="External"/><Relationship Id="rId15453" Type="http://schemas.openxmlformats.org/officeDocument/2006/relationships/hyperlink" Target="https://m.stock.naver.com/research/company/95334" TargetMode="External"/><Relationship Id="rId4461" Type="http://schemas.openxmlformats.org/officeDocument/2006/relationships/hyperlink" Target="https://m.stock.naver.com/research/company/88779" TargetMode="External"/><Relationship Id="rId5512" Type="http://schemas.openxmlformats.org/officeDocument/2006/relationships/hyperlink" Target="https://m.stock.naver.com/research/company/87728" TargetMode="External"/><Relationship Id="rId6910" Type="http://schemas.openxmlformats.org/officeDocument/2006/relationships/hyperlink" Target="https://m.stock.naver.com/research/company/86329" TargetMode="External"/><Relationship Id="rId14055" Type="http://schemas.openxmlformats.org/officeDocument/2006/relationships/hyperlink" Target="https://m.stock.naver.com/research/company/93868" TargetMode="External"/><Relationship Id="rId15106" Type="http://schemas.openxmlformats.org/officeDocument/2006/relationships/hyperlink" Target="https://m.stock.naver.com/research/company/94988" TargetMode="External"/><Relationship Id="rId3063" Type="http://schemas.openxmlformats.org/officeDocument/2006/relationships/hyperlink" Target="https://m.stock.naver.com/research/company/90188" TargetMode="External"/><Relationship Id="rId4114" Type="http://schemas.openxmlformats.org/officeDocument/2006/relationships/hyperlink" Target="https://m.stock.naver.com/research/company/89137" TargetMode="External"/><Relationship Id="rId6286" Type="http://schemas.openxmlformats.org/officeDocument/2006/relationships/hyperlink" Target="https://m.stock.naver.com/research/company/86954" TargetMode="External"/><Relationship Id="rId7337" Type="http://schemas.openxmlformats.org/officeDocument/2006/relationships/hyperlink" Target="https://m.stock.naver.com/research/company/85902" TargetMode="External"/><Relationship Id="rId7684" Type="http://schemas.openxmlformats.org/officeDocument/2006/relationships/hyperlink" Target="https://m.stock.naver.com/research/company/85555" TargetMode="External"/><Relationship Id="rId8735" Type="http://schemas.openxmlformats.org/officeDocument/2006/relationships/hyperlink" Target="https://m.stock.naver.com/research/company/84502" TargetMode="External"/><Relationship Id="rId10665" Type="http://schemas.openxmlformats.org/officeDocument/2006/relationships/hyperlink" Target="https://m.stock.naver.com/research/company/82555" TargetMode="External"/><Relationship Id="rId11716" Type="http://schemas.openxmlformats.org/officeDocument/2006/relationships/hyperlink" Target="https://m.stock.naver.com/research/company/81496" TargetMode="External"/><Relationship Id="rId10318" Type="http://schemas.openxmlformats.org/officeDocument/2006/relationships/hyperlink" Target="https://m.stock.naver.com/research/company/82903" TargetMode="External"/><Relationship Id="rId13888" Type="http://schemas.openxmlformats.org/officeDocument/2006/relationships/hyperlink" Target="https://m.stock.naver.com/research/company/93678" TargetMode="External"/><Relationship Id="rId14939" Type="http://schemas.openxmlformats.org/officeDocument/2006/relationships/hyperlink" Target="https://m.stock.naver.com/research/company/94895" TargetMode="External"/><Relationship Id="rId2896" Type="http://schemas.openxmlformats.org/officeDocument/2006/relationships/hyperlink" Target="https://m.stock.naver.com/research/company/90357" TargetMode="External"/><Relationship Id="rId3947" Type="http://schemas.openxmlformats.org/officeDocument/2006/relationships/hyperlink" Target="https://m.stock.naver.com/research/company/89304" TargetMode="External"/><Relationship Id="rId868" Type="http://schemas.openxmlformats.org/officeDocument/2006/relationships/hyperlink" Target="https://m.stock.naver.com/research/company/92588" TargetMode="External"/><Relationship Id="rId1498" Type="http://schemas.openxmlformats.org/officeDocument/2006/relationships/hyperlink" Target="https://m.stock.naver.com/research/company/91757" TargetMode="External"/><Relationship Id="rId2549" Type="http://schemas.openxmlformats.org/officeDocument/2006/relationships/hyperlink" Target="https://m.stock.naver.com/research/company/90705" TargetMode="External"/><Relationship Id="rId6420" Type="http://schemas.openxmlformats.org/officeDocument/2006/relationships/hyperlink" Target="https://m.stock.naver.com/research/company/86820" TargetMode="External"/><Relationship Id="rId9990" Type="http://schemas.openxmlformats.org/officeDocument/2006/relationships/hyperlink" Target="https://m.stock.naver.com/research/company/83231" TargetMode="External"/><Relationship Id="rId5022" Type="http://schemas.openxmlformats.org/officeDocument/2006/relationships/hyperlink" Target="https://m.stock.naver.com/research/company/88218" TargetMode="External"/><Relationship Id="rId8592" Type="http://schemas.openxmlformats.org/officeDocument/2006/relationships/hyperlink" Target="https://m.stock.naver.com/research/company/84645" TargetMode="External"/><Relationship Id="rId9643" Type="http://schemas.openxmlformats.org/officeDocument/2006/relationships/hyperlink" Target="https://m.stock.naver.com/research/company/83581" TargetMode="External"/><Relationship Id="rId12971" Type="http://schemas.openxmlformats.org/officeDocument/2006/relationships/hyperlink" Target="https://m.stock.naver.com/research/company/80237" TargetMode="External"/><Relationship Id="rId7194" Type="http://schemas.openxmlformats.org/officeDocument/2006/relationships/hyperlink" Target="https://m.stock.naver.com/research/company/86045" TargetMode="External"/><Relationship Id="rId8245" Type="http://schemas.openxmlformats.org/officeDocument/2006/relationships/hyperlink" Target="https://m.stock.naver.com/research/company/84993" TargetMode="External"/><Relationship Id="rId10175" Type="http://schemas.openxmlformats.org/officeDocument/2006/relationships/hyperlink" Target="https://m.stock.naver.com/research/company/83046" TargetMode="External"/><Relationship Id="rId11573" Type="http://schemas.openxmlformats.org/officeDocument/2006/relationships/hyperlink" Target="https://m.stock.naver.com/research/company/81640" TargetMode="External"/><Relationship Id="rId12624" Type="http://schemas.openxmlformats.org/officeDocument/2006/relationships/hyperlink" Target="https://m.stock.naver.com/research/company/80584" TargetMode="External"/><Relationship Id="rId1632" Type="http://schemas.openxmlformats.org/officeDocument/2006/relationships/hyperlink" Target="https://m.stock.naver.com/research/company/91623" TargetMode="External"/><Relationship Id="rId11226" Type="http://schemas.openxmlformats.org/officeDocument/2006/relationships/hyperlink" Target="https://m.stock.naver.com/research/company/81993" TargetMode="External"/><Relationship Id="rId14796" Type="http://schemas.openxmlformats.org/officeDocument/2006/relationships/hyperlink" Target="https://m.stock.naver.com/research/company/94604" TargetMode="External"/><Relationship Id="rId4855" Type="http://schemas.openxmlformats.org/officeDocument/2006/relationships/hyperlink" Target="https://m.stock.naver.com/research/company/88385" TargetMode="External"/><Relationship Id="rId5906" Type="http://schemas.openxmlformats.org/officeDocument/2006/relationships/hyperlink" Target="https://m.stock.naver.com/research/company/87334" TargetMode="External"/><Relationship Id="rId13398" Type="http://schemas.openxmlformats.org/officeDocument/2006/relationships/hyperlink" Target="https://m.stock.naver.com/research/company/79807" TargetMode="External"/><Relationship Id="rId14449" Type="http://schemas.openxmlformats.org/officeDocument/2006/relationships/hyperlink" Target="https://m.stock.naver.com/research/company/94461" TargetMode="External"/><Relationship Id="rId3457" Type="http://schemas.openxmlformats.org/officeDocument/2006/relationships/hyperlink" Target="https://m.stock.naver.com/research/company/89794" TargetMode="External"/><Relationship Id="rId4508" Type="http://schemas.openxmlformats.org/officeDocument/2006/relationships/hyperlink" Target="https://m.stock.naver.com/research/company/88732" TargetMode="External"/><Relationship Id="rId378" Type="http://schemas.openxmlformats.org/officeDocument/2006/relationships/hyperlink" Target="https://m.stock.naver.com/research/company/93080" TargetMode="External"/><Relationship Id="rId2059" Type="http://schemas.openxmlformats.org/officeDocument/2006/relationships/hyperlink" Target="https://m.stock.naver.com/research/company/91196" TargetMode="External"/><Relationship Id="rId12481" Type="http://schemas.openxmlformats.org/officeDocument/2006/relationships/hyperlink" Target="https://m.stock.naver.com/research/company/80727" TargetMode="External"/><Relationship Id="rId13532" Type="http://schemas.openxmlformats.org/officeDocument/2006/relationships/hyperlink" Target="https://m.stock.naver.com/research/company/79672" TargetMode="External"/><Relationship Id="rId14930" Type="http://schemas.openxmlformats.org/officeDocument/2006/relationships/hyperlink" Target="https://m.stock.naver.com/research/company/94904" TargetMode="External"/><Relationship Id="rId2540" Type="http://schemas.openxmlformats.org/officeDocument/2006/relationships/hyperlink" Target="https://m.stock.naver.com/research/company/90714" TargetMode="External"/><Relationship Id="rId9153" Type="http://schemas.openxmlformats.org/officeDocument/2006/relationships/hyperlink" Target="https://m.stock.naver.com/research/company/84077" TargetMode="External"/><Relationship Id="rId11083" Type="http://schemas.openxmlformats.org/officeDocument/2006/relationships/hyperlink" Target="https://m.stock.naver.com/research/company/82137" TargetMode="External"/><Relationship Id="rId12134" Type="http://schemas.openxmlformats.org/officeDocument/2006/relationships/hyperlink" Target="https://m.stock.naver.com/research/company/81077" TargetMode="External"/><Relationship Id="rId512" Type="http://schemas.openxmlformats.org/officeDocument/2006/relationships/hyperlink" Target="https://m.stock.naver.com/research/company/92945" TargetMode="External"/><Relationship Id="rId1142" Type="http://schemas.openxmlformats.org/officeDocument/2006/relationships/hyperlink" Target="https://m.stock.naver.com/research/company/92113" TargetMode="External"/><Relationship Id="rId4365" Type="http://schemas.openxmlformats.org/officeDocument/2006/relationships/hyperlink" Target="https://m.stock.naver.com/research/company/88876" TargetMode="External"/><Relationship Id="rId5763" Type="http://schemas.openxmlformats.org/officeDocument/2006/relationships/hyperlink" Target="https://m.stock.naver.com/research/company/87477" TargetMode="External"/><Relationship Id="rId6814" Type="http://schemas.openxmlformats.org/officeDocument/2006/relationships/hyperlink" Target="https://m.stock.naver.com/research/company/86426" TargetMode="External"/><Relationship Id="rId15357" Type="http://schemas.openxmlformats.org/officeDocument/2006/relationships/hyperlink" Target="https://m.stock.naver.com/research/company/95231" TargetMode="External"/><Relationship Id="rId4018" Type="http://schemas.openxmlformats.org/officeDocument/2006/relationships/hyperlink" Target="https://m.stock.naver.com/research/company/89233" TargetMode="External"/><Relationship Id="rId5416" Type="http://schemas.openxmlformats.org/officeDocument/2006/relationships/hyperlink" Target="https://m.stock.naver.com/research/company/87824" TargetMode="External"/><Relationship Id="rId8986" Type="http://schemas.openxmlformats.org/officeDocument/2006/relationships/hyperlink" Target="https://m.stock.naver.com/research/company/84246" TargetMode="External"/><Relationship Id="rId11967" Type="http://schemas.openxmlformats.org/officeDocument/2006/relationships/hyperlink" Target="https://m.stock.naver.com/research/company/81244" TargetMode="External"/><Relationship Id="rId7588" Type="http://schemas.openxmlformats.org/officeDocument/2006/relationships/hyperlink" Target="https://m.stock.naver.com/research/company/85651" TargetMode="External"/><Relationship Id="rId8639" Type="http://schemas.openxmlformats.org/officeDocument/2006/relationships/hyperlink" Target="https://m.stock.naver.com/research/company/84598" TargetMode="External"/><Relationship Id="rId10569" Type="http://schemas.openxmlformats.org/officeDocument/2006/relationships/hyperlink" Target="https://m.stock.naver.com/research/company/82651" TargetMode="External"/><Relationship Id="rId14440" Type="http://schemas.openxmlformats.org/officeDocument/2006/relationships/hyperlink" Target="https://m.stock.naver.com/research/company/94470" TargetMode="External"/><Relationship Id="rId13042" Type="http://schemas.openxmlformats.org/officeDocument/2006/relationships/hyperlink" Target="https://m.stock.naver.com/research/company/80165" TargetMode="External"/><Relationship Id="rId2050" Type="http://schemas.openxmlformats.org/officeDocument/2006/relationships/hyperlink" Target="https://m.stock.naver.com/research/company/91205" TargetMode="External"/><Relationship Id="rId3101" Type="http://schemas.openxmlformats.org/officeDocument/2006/relationships/hyperlink" Target="https://m.stock.naver.com/research/company/90150" TargetMode="External"/><Relationship Id="rId6671" Type="http://schemas.openxmlformats.org/officeDocument/2006/relationships/hyperlink" Target="https://m.stock.naver.com/research/company/86569" TargetMode="External"/><Relationship Id="rId7722" Type="http://schemas.openxmlformats.org/officeDocument/2006/relationships/hyperlink" Target="https://m.stock.naver.com/research/company/85517" TargetMode="External"/><Relationship Id="rId5273" Type="http://schemas.openxmlformats.org/officeDocument/2006/relationships/hyperlink" Target="https://m.stock.naver.com/research/company/87967" TargetMode="External"/><Relationship Id="rId6324" Type="http://schemas.openxmlformats.org/officeDocument/2006/relationships/hyperlink" Target="https://m.stock.naver.com/research/company/86916" TargetMode="External"/><Relationship Id="rId10703" Type="http://schemas.openxmlformats.org/officeDocument/2006/relationships/hyperlink" Target="https://m.stock.naver.com/research/company/82517" TargetMode="External"/><Relationship Id="rId8496" Type="http://schemas.openxmlformats.org/officeDocument/2006/relationships/hyperlink" Target="https://m.stock.naver.com/research/company/84741" TargetMode="External"/><Relationship Id="rId9547" Type="http://schemas.openxmlformats.org/officeDocument/2006/relationships/hyperlink" Target="https://m.stock.naver.com/research/company/83680" TargetMode="External"/><Relationship Id="rId9894" Type="http://schemas.openxmlformats.org/officeDocument/2006/relationships/hyperlink" Target="https://m.stock.naver.com/research/company/83328" TargetMode="External"/><Relationship Id="rId12875" Type="http://schemas.openxmlformats.org/officeDocument/2006/relationships/hyperlink" Target="https://m.stock.naver.com/research/company/80333" TargetMode="External"/><Relationship Id="rId13926" Type="http://schemas.openxmlformats.org/officeDocument/2006/relationships/hyperlink" Target="https://m.stock.naver.com/research/company/93711" TargetMode="External"/><Relationship Id="rId1883" Type="http://schemas.openxmlformats.org/officeDocument/2006/relationships/hyperlink" Target="https://m.stock.naver.com/research/company/91372" TargetMode="External"/><Relationship Id="rId2934" Type="http://schemas.openxmlformats.org/officeDocument/2006/relationships/hyperlink" Target="https://m.stock.naver.com/research/company/90319" TargetMode="External"/><Relationship Id="rId7098" Type="http://schemas.openxmlformats.org/officeDocument/2006/relationships/hyperlink" Target="https://m.stock.naver.com/research/company/86141" TargetMode="External"/><Relationship Id="rId8149" Type="http://schemas.openxmlformats.org/officeDocument/2006/relationships/hyperlink" Target="https://m.stock.naver.com/research/company/85089" TargetMode="External"/><Relationship Id="rId11477" Type="http://schemas.openxmlformats.org/officeDocument/2006/relationships/hyperlink" Target="https://m.stock.naver.com/research/company/81738" TargetMode="External"/><Relationship Id="rId12528" Type="http://schemas.openxmlformats.org/officeDocument/2006/relationships/hyperlink" Target="https://m.stock.naver.com/research/company/80680" TargetMode="External"/><Relationship Id="rId906" Type="http://schemas.openxmlformats.org/officeDocument/2006/relationships/hyperlink" Target="https://m.stock.naver.com/research/company/92550" TargetMode="External"/><Relationship Id="rId1536" Type="http://schemas.openxmlformats.org/officeDocument/2006/relationships/hyperlink" Target="https://m.stock.naver.com/research/company/91719" TargetMode="External"/><Relationship Id="rId10079" Type="http://schemas.openxmlformats.org/officeDocument/2006/relationships/hyperlink" Target="https://m.stock.naver.com/research/company/83142" TargetMode="External"/><Relationship Id="rId15001" Type="http://schemas.openxmlformats.org/officeDocument/2006/relationships/hyperlink" Target="https://m.stock.naver.com/research/company/94833" TargetMode="External"/><Relationship Id="rId4759" Type="http://schemas.openxmlformats.org/officeDocument/2006/relationships/hyperlink" Target="https://m.stock.naver.com/research/company/88481" TargetMode="External"/><Relationship Id="rId8630" Type="http://schemas.openxmlformats.org/officeDocument/2006/relationships/hyperlink" Target="https://m.stock.naver.com/research/company/84607" TargetMode="External"/><Relationship Id="rId10560" Type="http://schemas.openxmlformats.org/officeDocument/2006/relationships/hyperlink" Target="https://m.stock.naver.com/research/company/82660" TargetMode="External"/><Relationship Id="rId11611" Type="http://schemas.openxmlformats.org/officeDocument/2006/relationships/hyperlink" Target="https://m.stock.naver.com/research/company/81601" TargetMode="External"/><Relationship Id="rId6181" Type="http://schemas.openxmlformats.org/officeDocument/2006/relationships/hyperlink" Target="https://m.stock.naver.com/research/company/87059" TargetMode="External"/><Relationship Id="rId7232" Type="http://schemas.openxmlformats.org/officeDocument/2006/relationships/hyperlink" Target="https://m.stock.naver.com/research/company/86007" TargetMode="External"/><Relationship Id="rId10213" Type="http://schemas.openxmlformats.org/officeDocument/2006/relationships/hyperlink" Target="https://m.stock.naver.com/research/company/83008" TargetMode="External"/><Relationship Id="rId2791" Type="http://schemas.openxmlformats.org/officeDocument/2006/relationships/hyperlink" Target="https://m.stock.naver.com/research/company/90463" TargetMode="External"/><Relationship Id="rId12385" Type="http://schemas.openxmlformats.org/officeDocument/2006/relationships/hyperlink" Target="https://m.stock.naver.com/research/company/80824" TargetMode="External"/><Relationship Id="rId13783" Type="http://schemas.openxmlformats.org/officeDocument/2006/relationships/hyperlink" Target="https://m.stock.naver.com/research/company/93605" TargetMode="External"/><Relationship Id="rId14834" Type="http://schemas.openxmlformats.org/officeDocument/2006/relationships/hyperlink" Target="https://m.stock.naver.com/research/company/94790" TargetMode="External"/><Relationship Id="rId763" Type="http://schemas.openxmlformats.org/officeDocument/2006/relationships/hyperlink" Target="https://m.stock.naver.com/research/company/92693" TargetMode="External"/><Relationship Id="rId1393" Type="http://schemas.openxmlformats.org/officeDocument/2006/relationships/hyperlink" Target="https://m.stock.naver.com/research/company/91862" TargetMode="External"/><Relationship Id="rId2444" Type="http://schemas.openxmlformats.org/officeDocument/2006/relationships/hyperlink" Target="https://m.stock.naver.com/research/company/90810" TargetMode="External"/><Relationship Id="rId3842" Type="http://schemas.openxmlformats.org/officeDocument/2006/relationships/hyperlink" Target="https://m.stock.naver.com/research/company/89409" TargetMode="External"/><Relationship Id="rId9057" Type="http://schemas.openxmlformats.org/officeDocument/2006/relationships/hyperlink" Target="https://m.stock.naver.com/research/company/84174" TargetMode="External"/><Relationship Id="rId12038" Type="http://schemas.openxmlformats.org/officeDocument/2006/relationships/hyperlink" Target="https://m.stock.naver.com/research/company/81173" TargetMode="External"/><Relationship Id="rId13436" Type="http://schemas.openxmlformats.org/officeDocument/2006/relationships/hyperlink" Target="https://m.stock.naver.com/research/company/79768" TargetMode="External"/><Relationship Id="rId416" Type="http://schemas.openxmlformats.org/officeDocument/2006/relationships/hyperlink" Target="https://m.stock.naver.com/research/company/93041" TargetMode="External"/><Relationship Id="rId1046" Type="http://schemas.openxmlformats.org/officeDocument/2006/relationships/hyperlink" Target="https://m.stock.naver.com/research/company/92305" TargetMode="External"/><Relationship Id="rId5667" Type="http://schemas.openxmlformats.org/officeDocument/2006/relationships/hyperlink" Target="https://m.stock.naver.com/research/company/87573" TargetMode="External"/><Relationship Id="rId6718" Type="http://schemas.openxmlformats.org/officeDocument/2006/relationships/hyperlink" Target="https://m.stock.naver.com/research/company/86522" TargetMode="External"/><Relationship Id="rId4269" Type="http://schemas.openxmlformats.org/officeDocument/2006/relationships/hyperlink" Target="https://m.stock.naver.com/research/company/88972" TargetMode="External"/><Relationship Id="rId8140" Type="http://schemas.openxmlformats.org/officeDocument/2006/relationships/hyperlink" Target="https://m.stock.naver.com/research/company/85098" TargetMode="External"/><Relationship Id="rId10070" Type="http://schemas.openxmlformats.org/officeDocument/2006/relationships/hyperlink" Target="https://m.stock.naver.com/research/company/83151" TargetMode="External"/><Relationship Id="rId11121" Type="http://schemas.openxmlformats.org/officeDocument/2006/relationships/hyperlink" Target="https://m.stock.naver.com/research/company/82099" TargetMode="External"/><Relationship Id="rId14691" Type="http://schemas.openxmlformats.org/officeDocument/2006/relationships/hyperlink" Target="https://m.stock.naver.com/research/company/94709" TargetMode="External"/><Relationship Id="rId15742" Type="http://schemas.openxmlformats.org/officeDocument/2006/relationships/hyperlink" Target="https://m.stock.naver.com/research/company/95672" TargetMode="External"/><Relationship Id="rId4750" Type="http://schemas.openxmlformats.org/officeDocument/2006/relationships/hyperlink" Target="https://m.stock.naver.com/research/company/88490" TargetMode="External"/><Relationship Id="rId5801" Type="http://schemas.openxmlformats.org/officeDocument/2006/relationships/hyperlink" Target="https://m.stock.naver.com/research/company/87439" TargetMode="External"/><Relationship Id="rId13293" Type="http://schemas.openxmlformats.org/officeDocument/2006/relationships/hyperlink" Target="https://m.stock.naver.com/research/company/79912" TargetMode="External"/><Relationship Id="rId14344" Type="http://schemas.openxmlformats.org/officeDocument/2006/relationships/hyperlink" Target="https://m.stock.naver.com/research/company/94207" TargetMode="External"/><Relationship Id="rId3352" Type="http://schemas.openxmlformats.org/officeDocument/2006/relationships/hyperlink" Target="https://m.stock.naver.com/research/company/89898" TargetMode="External"/><Relationship Id="rId4403" Type="http://schemas.openxmlformats.org/officeDocument/2006/relationships/hyperlink" Target="https://m.stock.naver.com/research/company/88838" TargetMode="External"/><Relationship Id="rId273" Type="http://schemas.openxmlformats.org/officeDocument/2006/relationships/hyperlink" Target="https://m.stock.naver.com/research/company/93185" TargetMode="External"/><Relationship Id="rId3005" Type="http://schemas.openxmlformats.org/officeDocument/2006/relationships/hyperlink" Target="https://m.stock.naver.com/research/company/90246" TargetMode="External"/><Relationship Id="rId6575" Type="http://schemas.openxmlformats.org/officeDocument/2006/relationships/hyperlink" Target="https://m.stock.naver.com/research/company/86665" TargetMode="External"/><Relationship Id="rId7626" Type="http://schemas.openxmlformats.org/officeDocument/2006/relationships/hyperlink" Target="https://m.stock.naver.com/research/company/85613" TargetMode="External"/><Relationship Id="rId7973" Type="http://schemas.openxmlformats.org/officeDocument/2006/relationships/hyperlink" Target="https://m.stock.naver.com/research/company/85265" TargetMode="External"/><Relationship Id="rId10954" Type="http://schemas.openxmlformats.org/officeDocument/2006/relationships/hyperlink" Target="https://m.stock.naver.com/research/company/82266" TargetMode="External"/><Relationship Id="rId5177" Type="http://schemas.openxmlformats.org/officeDocument/2006/relationships/hyperlink" Target="https://m.stock.naver.com/research/company/88063" TargetMode="External"/><Relationship Id="rId6228" Type="http://schemas.openxmlformats.org/officeDocument/2006/relationships/hyperlink" Target="https://m.stock.naver.com/research/company/87012" TargetMode="External"/><Relationship Id="rId10607" Type="http://schemas.openxmlformats.org/officeDocument/2006/relationships/hyperlink" Target="https://m.stock.naver.com/research/company/82613" TargetMode="External"/><Relationship Id="rId9798" Type="http://schemas.openxmlformats.org/officeDocument/2006/relationships/hyperlink" Target="https://m.stock.naver.com/research/company/83424" TargetMode="External"/><Relationship Id="rId12779" Type="http://schemas.openxmlformats.org/officeDocument/2006/relationships/hyperlink" Target="https://m.stock.naver.com/research/company/80429" TargetMode="External"/><Relationship Id="rId1787" Type="http://schemas.openxmlformats.org/officeDocument/2006/relationships/hyperlink" Target="https://m.stock.naver.com/research/company/91468" TargetMode="External"/><Relationship Id="rId2838" Type="http://schemas.openxmlformats.org/officeDocument/2006/relationships/hyperlink" Target="https://m.stock.naver.com/research/company/90415" TargetMode="External"/><Relationship Id="rId15252" Type="http://schemas.openxmlformats.org/officeDocument/2006/relationships/hyperlink" Target="https://m.stock.naver.com/research/company/95108" TargetMode="External"/><Relationship Id="rId4260" Type="http://schemas.openxmlformats.org/officeDocument/2006/relationships/hyperlink" Target="https://m.stock.naver.com/research/company/88982" TargetMode="External"/><Relationship Id="rId5311" Type="http://schemas.openxmlformats.org/officeDocument/2006/relationships/hyperlink" Target="https://m.stock.naver.com/research/company/87929" TargetMode="External"/><Relationship Id="rId8881" Type="http://schemas.openxmlformats.org/officeDocument/2006/relationships/hyperlink" Target="https://m.stock.naver.com/research/company/84355" TargetMode="External"/><Relationship Id="rId9932" Type="http://schemas.openxmlformats.org/officeDocument/2006/relationships/hyperlink" Target="https://m.stock.naver.com/research/company/83290" TargetMode="External"/><Relationship Id="rId7483" Type="http://schemas.openxmlformats.org/officeDocument/2006/relationships/hyperlink" Target="https://m.stock.naver.com/research/company/85756" TargetMode="External"/><Relationship Id="rId8534" Type="http://schemas.openxmlformats.org/officeDocument/2006/relationships/hyperlink" Target="https://m.stock.naver.com/research/company/84703" TargetMode="External"/><Relationship Id="rId10464" Type="http://schemas.openxmlformats.org/officeDocument/2006/relationships/hyperlink" Target="https://m.stock.naver.com/research/company/82756" TargetMode="External"/><Relationship Id="rId11862" Type="http://schemas.openxmlformats.org/officeDocument/2006/relationships/hyperlink" Target="https://m.stock.naver.com/research/company/81350" TargetMode="External"/><Relationship Id="rId12913" Type="http://schemas.openxmlformats.org/officeDocument/2006/relationships/hyperlink" Target="https://m.stock.naver.com/research/company/80295" TargetMode="External"/><Relationship Id="rId1921" Type="http://schemas.openxmlformats.org/officeDocument/2006/relationships/hyperlink" Target="https://m.stock.naver.com/research/company/91334" TargetMode="External"/><Relationship Id="rId6085" Type="http://schemas.openxmlformats.org/officeDocument/2006/relationships/hyperlink" Target="https://m.stock.naver.com/research/company/87155" TargetMode="External"/><Relationship Id="rId7136" Type="http://schemas.openxmlformats.org/officeDocument/2006/relationships/hyperlink" Target="https://m.stock.naver.com/research/company/86103" TargetMode="External"/><Relationship Id="rId10117" Type="http://schemas.openxmlformats.org/officeDocument/2006/relationships/hyperlink" Target="https://m.stock.naver.com/research/company/83104" TargetMode="External"/><Relationship Id="rId11515" Type="http://schemas.openxmlformats.org/officeDocument/2006/relationships/hyperlink" Target="https://m.stock.naver.com/research/company/81700" TargetMode="External"/><Relationship Id="rId13687" Type="http://schemas.openxmlformats.org/officeDocument/2006/relationships/hyperlink" Target="https://m.stock.naver.com/research/company/93487" TargetMode="External"/><Relationship Id="rId14738" Type="http://schemas.openxmlformats.org/officeDocument/2006/relationships/hyperlink" Target="https://m.stock.naver.com/research/company/94662" TargetMode="External"/><Relationship Id="rId1297" Type="http://schemas.openxmlformats.org/officeDocument/2006/relationships/hyperlink" Target="https://m.stock.naver.com/research/company/91958" TargetMode="External"/><Relationship Id="rId2695" Type="http://schemas.openxmlformats.org/officeDocument/2006/relationships/hyperlink" Target="https://m.stock.naver.com/research/company/90559" TargetMode="External"/><Relationship Id="rId3746" Type="http://schemas.openxmlformats.org/officeDocument/2006/relationships/hyperlink" Target="https://m.stock.naver.com/research/company/89505" TargetMode="External"/><Relationship Id="rId12289" Type="http://schemas.openxmlformats.org/officeDocument/2006/relationships/hyperlink" Target="https://m.stock.naver.com/research/company/80920" TargetMode="External"/><Relationship Id="rId667" Type="http://schemas.openxmlformats.org/officeDocument/2006/relationships/hyperlink" Target="https://m.stock.naver.com/research/company/92789" TargetMode="External"/><Relationship Id="rId2348" Type="http://schemas.openxmlformats.org/officeDocument/2006/relationships/hyperlink" Target="https://m.stock.naver.com/research/company/90906" TargetMode="External"/><Relationship Id="rId6969" Type="http://schemas.openxmlformats.org/officeDocument/2006/relationships/hyperlink" Target="https://m.stock.naver.com/research/company/86270" TargetMode="External"/><Relationship Id="rId12770" Type="http://schemas.openxmlformats.org/officeDocument/2006/relationships/hyperlink" Target="https://m.stock.naver.com/research/company/80438" TargetMode="External"/><Relationship Id="rId13821" Type="http://schemas.openxmlformats.org/officeDocument/2006/relationships/hyperlink" Target="https://m.stock.naver.com/research/company/93557" TargetMode="External"/><Relationship Id="rId8391" Type="http://schemas.openxmlformats.org/officeDocument/2006/relationships/hyperlink" Target="https://m.stock.naver.com/research/company/84847" TargetMode="External"/><Relationship Id="rId9442" Type="http://schemas.openxmlformats.org/officeDocument/2006/relationships/hyperlink" Target="https://m.stock.naver.com/research/company/83785" TargetMode="External"/><Relationship Id="rId11372" Type="http://schemas.openxmlformats.org/officeDocument/2006/relationships/hyperlink" Target="https://m.stock.naver.com/research/company/81843" TargetMode="External"/><Relationship Id="rId12423" Type="http://schemas.openxmlformats.org/officeDocument/2006/relationships/hyperlink" Target="https://m.stock.naver.com/research/company/80786" TargetMode="External"/><Relationship Id="rId801" Type="http://schemas.openxmlformats.org/officeDocument/2006/relationships/hyperlink" Target="https://m.stock.naver.com/research/company/92655" TargetMode="External"/><Relationship Id="rId1431" Type="http://schemas.openxmlformats.org/officeDocument/2006/relationships/hyperlink" Target="https://m.stock.naver.com/research/company/91824" TargetMode="External"/><Relationship Id="rId8044" Type="http://schemas.openxmlformats.org/officeDocument/2006/relationships/hyperlink" Target="https://m.stock.naver.com/research/company/85194" TargetMode="External"/><Relationship Id="rId11025" Type="http://schemas.openxmlformats.org/officeDocument/2006/relationships/hyperlink" Target="https://m.stock.naver.com/research/company/82195" TargetMode="External"/><Relationship Id="rId14595" Type="http://schemas.openxmlformats.org/officeDocument/2006/relationships/hyperlink" Target="https://m.stock.naver.com/research/company/94582" TargetMode="External"/><Relationship Id="rId4654" Type="http://schemas.openxmlformats.org/officeDocument/2006/relationships/hyperlink" Target="https://m.stock.naver.com/research/company/88586" TargetMode="External"/><Relationship Id="rId13197" Type="http://schemas.openxmlformats.org/officeDocument/2006/relationships/hyperlink" Target="https://m.stock.naver.com/research/company/80010" TargetMode="External"/><Relationship Id="rId14248" Type="http://schemas.openxmlformats.org/officeDocument/2006/relationships/hyperlink" Target="https://m.stock.naver.com/research/company/94095" TargetMode="External"/><Relationship Id="rId15646" Type="http://schemas.openxmlformats.org/officeDocument/2006/relationships/hyperlink" Target="https://m.stock.naver.com/research/company/95768" TargetMode="External"/><Relationship Id="rId3256" Type="http://schemas.openxmlformats.org/officeDocument/2006/relationships/hyperlink" Target="https://m.stock.naver.com/research/company/89994" TargetMode="External"/><Relationship Id="rId4307" Type="http://schemas.openxmlformats.org/officeDocument/2006/relationships/hyperlink" Target="https://m.stock.naver.com/research/company/88934" TargetMode="External"/><Relationship Id="rId5705" Type="http://schemas.openxmlformats.org/officeDocument/2006/relationships/hyperlink" Target="https://m.stock.naver.com/research/company/87535" TargetMode="External"/><Relationship Id="rId177" Type="http://schemas.openxmlformats.org/officeDocument/2006/relationships/hyperlink" Target="https://m.stock.naver.com/research/company/93281" TargetMode="External"/><Relationship Id="rId7877" Type="http://schemas.openxmlformats.org/officeDocument/2006/relationships/hyperlink" Target="https://m.stock.naver.com/research/company/85361" TargetMode="External"/><Relationship Id="rId8928" Type="http://schemas.openxmlformats.org/officeDocument/2006/relationships/hyperlink" Target="https://m.stock.naver.com/research/company/84307" TargetMode="External"/><Relationship Id="rId10858" Type="http://schemas.openxmlformats.org/officeDocument/2006/relationships/hyperlink" Target="https://m.stock.naver.com/research/company/82362" TargetMode="External"/><Relationship Id="rId11909" Type="http://schemas.openxmlformats.org/officeDocument/2006/relationships/hyperlink" Target="https://m.stock.naver.com/research/company/81302" TargetMode="External"/><Relationship Id="rId6479" Type="http://schemas.openxmlformats.org/officeDocument/2006/relationships/hyperlink" Target="https://m.stock.naver.com/research/company/86761" TargetMode="External"/><Relationship Id="rId12280" Type="http://schemas.openxmlformats.org/officeDocument/2006/relationships/hyperlink" Target="https://m.stock.naver.com/research/company/80929" TargetMode="External"/><Relationship Id="rId13331" Type="http://schemas.openxmlformats.org/officeDocument/2006/relationships/hyperlink" Target="https://m.stock.naver.com/research/company/79874" TargetMode="External"/><Relationship Id="rId6960" Type="http://schemas.openxmlformats.org/officeDocument/2006/relationships/hyperlink" Target="https://m.stock.naver.com/research/company/86279" TargetMode="External"/><Relationship Id="rId311" Type="http://schemas.openxmlformats.org/officeDocument/2006/relationships/hyperlink" Target="https://m.stock.naver.com/research/company/93147" TargetMode="External"/><Relationship Id="rId5562" Type="http://schemas.openxmlformats.org/officeDocument/2006/relationships/hyperlink" Target="https://m.stock.naver.com/research/company/87678" TargetMode="External"/><Relationship Id="rId6613" Type="http://schemas.openxmlformats.org/officeDocument/2006/relationships/hyperlink" Target="https://m.stock.naver.com/research/company/86627" TargetMode="External"/><Relationship Id="rId15156" Type="http://schemas.openxmlformats.org/officeDocument/2006/relationships/hyperlink" Target="https://m.stock.naver.com/research/company/95204" TargetMode="External"/><Relationship Id="rId4164" Type="http://schemas.openxmlformats.org/officeDocument/2006/relationships/hyperlink" Target="https://m.stock.naver.com/research/company/89085" TargetMode="External"/><Relationship Id="rId5215" Type="http://schemas.openxmlformats.org/officeDocument/2006/relationships/hyperlink" Target="https://m.stock.naver.com/research/company/88025" TargetMode="External"/><Relationship Id="rId8785" Type="http://schemas.openxmlformats.org/officeDocument/2006/relationships/hyperlink" Target="https://m.stock.naver.com/research/company/84452" TargetMode="External"/><Relationship Id="rId9836" Type="http://schemas.openxmlformats.org/officeDocument/2006/relationships/hyperlink" Target="https://m.stock.naver.com/research/company/83386" TargetMode="External"/><Relationship Id="rId7387" Type="http://schemas.openxmlformats.org/officeDocument/2006/relationships/hyperlink" Target="https://m.stock.naver.com/research/company/85852" TargetMode="External"/><Relationship Id="rId8438" Type="http://schemas.openxmlformats.org/officeDocument/2006/relationships/hyperlink" Target="https://m.stock.naver.com/research/company/84800" TargetMode="External"/><Relationship Id="rId11766" Type="http://schemas.openxmlformats.org/officeDocument/2006/relationships/hyperlink" Target="https://m.stock.naver.com/research/company/81446" TargetMode="External"/><Relationship Id="rId12817" Type="http://schemas.openxmlformats.org/officeDocument/2006/relationships/hyperlink" Target="https://m.stock.naver.com/research/company/80391" TargetMode="External"/><Relationship Id="rId1825" Type="http://schemas.openxmlformats.org/officeDocument/2006/relationships/hyperlink" Target="https://m.stock.naver.com/research/company/91430" TargetMode="External"/><Relationship Id="rId10368" Type="http://schemas.openxmlformats.org/officeDocument/2006/relationships/hyperlink" Target="https://m.stock.naver.com/research/company/82853" TargetMode="External"/><Relationship Id="rId11419" Type="http://schemas.openxmlformats.org/officeDocument/2006/relationships/hyperlink" Target="https://m.stock.naver.com/research/company/81796" TargetMode="External"/><Relationship Id="rId14989" Type="http://schemas.openxmlformats.org/officeDocument/2006/relationships/hyperlink" Target="https://m.stock.naver.com/research/company/94845" TargetMode="External"/><Relationship Id="rId3997" Type="http://schemas.openxmlformats.org/officeDocument/2006/relationships/hyperlink" Target="https://m.stock.naver.com/research/company/89254" TargetMode="External"/><Relationship Id="rId11900" Type="http://schemas.openxmlformats.org/officeDocument/2006/relationships/hyperlink" Target="https://m.stock.naver.com/research/company/81311" TargetMode="External"/><Relationship Id="rId2599" Type="http://schemas.openxmlformats.org/officeDocument/2006/relationships/hyperlink" Target="https://m.stock.naver.com/research/company/90655" TargetMode="External"/><Relationship Id="rId6470" Type="http://schemas.openxmlformats.org/officeDocument/2006/relationships/hyperlink" Target="https://m.stock.naver.com/research/company/86770" TargetMode="External"/><Relationship Id="rId7521" Type="http://schemas.openxmlformats.org/officeDocument/2006/relationships/hyperlink" Target="https://m.stock.naver.com/research/company/85718" TargetMode="External"/><Relationship Id="rId10502" Type="http://schemas.openxmlformats.org/officeDocument/2006/relationships/hyperlink" Target="https://m.stock.naver.com/research/company/82718" TargetMode="External"/><Relationship Id="rId5072" Type="http://schemas.openxmlformats.org/officeDocument/2006/relationships/hyperlink" Target="https://m.stock.naver.com/research/company/88168" TargetMode="External"/><Relationship Id="rId6123" Type="http://schemas.openxmlformats.org/officeDocument/2006/relationships/hyperlink" Target="https://m.stock.naver.com/research/company/87117" TargetMode="External"/><Relationship Id="rId9693" Type="http://schemas.openxmlformats.org/officeDocument/2006/relationships/hyperlink" Target="https://m.stock.naver.com/research/company/83530" TargetMode="External"/><Relationship Id="rId12674" Type="http://schemas.openxmlformats.org/officeDocument/2006/relationships/hyperlink" Target="https://m.stock.naver.com/research/company/80534" TargetMode="External"/><Relationship Id="rId1682" Type="http://schemas.openxmlformats.org/officeDocument/2006/relationships/hyperlink" Target="https://m.stock.naver.com/research/company/91573" TargetMode="External"/><Relationship Id="rId2733" Type="http://schemas.openxmlformats.org/officeDocument/2006/relationships/hyperlink" Target="https://m.stock.naver.com/research/company/90521" TargetMode="External"/><Relationship Id="rId8295" Type="http://schemas.openxmlformats.org/officeDocument/2006/relationships/hyperlink" Target="https://m.stock.naver.com/research/company/84943" TargetMode="External"/><Relationship Id="rId9346" Type="http://schemas.openxmlformats.org/officeDocument/2006/relationships/hyperlink" Target="https://m.stock.naver.com/research/company/83881" TargetMode="External"/><Relationship Id="rId11276" Type="http://schemas.openxmlformats.org/officeDocument/2006/relationships/hyperlink" Target="https://m.stock.naver.com/research/company/81943" TargetMode="External"/><Relationship Id="rId12327" Type="http://schemas.openxmlformats.org/officeDocument/2006/relationships/hyperlink" Target="https://m.stock.naver.com/research/company/80882" TargetMode="External"/><Relationship Id="rId13725" Type="http://schemas.openxmlformats.org/officeDocument/2006/relationships/hyperlink" Target="https://m.stock.naver.com/research/company/93514" TargetMode="External"/><Relationship Id="rId705" Type="http://schemas.openxmlformats.org/officeDocument/2006/relationships/hyperlink" Target="https://m.stock.naver.com/research/company/92751" TargetMode="External"/><Relationship Id="rId1335" Type="http://schemas.openxmlformats.org/officeDocument/2006/relationships/hyperlink" Target="https://m.stock.naver.com/research/company/91920" TargetMode="External"/><Relationship Id="rId5956" Type="http://schemas.openxmlformats.org/officeDocument/2006/relationships/hyperlink" Target="https://m.stock.naver.com/research/company/87284" TargetMode="External"/><Relationship Id="rId14499" Type="http://schemas.openxmlformats.org/officeDocument/2006/relationships/hyperlink" Target="https://m.stock.naver.com/research/company/94411" TargetMode="External"/><Relationship Id="rId41" Type="http://schemas.openxmlformats.org/officeDocument/2006/relationships/hyperlink" Target="https://m.stock.naver.com/research/company/93417" TargetMode="External"/><Relationship Id="rId4558" Type="http://schemas.openxmlformats.org/officeDocument/2006/relationships/hyperlink" Target="https://m.stock.naver.com/research/company/88682" TargetMode="External"/><Relationship Id="rId5609" Type="http://schemas.openxmlformats.org/officeDocument/2006/relationships/hyperlink" Target="https://m.stock.naver.com/research/company/87631" TargetMode="External"/><Relationship Id="rId7031" Type="http://schemas.openxmlformats.org/officeDocument/2006/relationships/hyperlink" Target="https://m.stock.naver.com/research/company/86208" TargetMode="External"/><Relationship Id="rId11410" Type="http://schemas.openxmlformats.org/officeDocument/2006/relationships/hyperlink" Target="https://m.stock.naver.com/research/company/81805" TargetMode="External"/><Relationship Id="rId14980" Type="http://schemas.openxmlformats.org/officeDocument/2006/relationships/hyperlink" Target="https://m.stock.naver.com/research/company/94854" TargetMode="External"/><Relationship Id="rId10012" Type="http://schemas.openxmlformats.org/officeDocument/2006/relationships/hyperlink" Target="https://m.stock.naver.com/research/company/83209" TargetMode="External"/><Relationship Id="rId13582" Type="http://schemas.openxmlformats.org/officeDocument/2006/relationships/hyperlink" Target="https://m.stock.naver.com/research/company/79622" TargetMode="External"/><Relationship Id="rId14633" Type="http://schemas.openxmlformats.org/officeDocument/2006/relationships/hyperlink" Target="https://m.stock.naver.com/research/company/94544" TargetMode="External"/><Relationship Id="rId2590" Type="http://schemas.openxmlformats.org/officeDocument/2006/relationships/hyperlink" Target="https://m.stock.naver.com/research/company/90664" TargetMode="External"/><Relationship Id="rId3641" Type="http://schemas.openxmlformats.org/officeDocument/2006/relationships/hyperlink" Target="https://m.stock.naver.com/research/company/89610" TargetMode="External"/><Relationship Id="rId12184" Type="http://schemas.openxmlformats.org/officeDocument/2006/relationships/hyperlink" Target="https://m.stock.naver.com/research/company/81027" TargetMode="External"/><Relationship Id="rId13235" Type="http://schemas.openxmlformats.org/officeDocument/2006/relationships/hyperlink" Target="https://m.stock.naver.com/research/company/79972" TargetMode="External"/><Relationship Id="rId562" Type="http://schemas.openxmlformats.org/officeDocument/2006/relationships/hyperlink" Target="https://m.stock.naver.com/research/company/92895" TargetMode="External"/><Relationship Id="rId1192" Type="http://schemas.openxmlformats.org/officeDocument/2006/relationships/hyperlink" Target="https://m.stock.naver.com/research/company/92063" TargetMode="External"/><Relationship Id="rId2243" Type="http://schemas.openxmlformats.org/officeDocument/2006/relationships/hyperlink" Target="https://m.stock.naver.com/research/company/91012" TargetMode="External"/><Relationship Id="rId6864" Type="http://schemas.openxmlformats.org/officeDocument/2006/relationships/hyperlink" Target="https://m.stock.naver.com/research/company/86376" TargetMode="External"/><Relationship Id="rId7915" Type="http://schemas.openxmlformats.org/officeDocument/2006/relationships/hyperlink" Target="https://m.stock.naver.com/research/company/85323" TargetMode="External"/><Relationship Id="rId215" Type="http://schemas.openxmlformats.org/officeDocument/2006/relationships/hyperlink" Target="https://m.stock.naver.com/research/company/93243" TargetMode="External"/><Relationship Id="rId5466" Type="http://schemas.openxmlformats.org/officeDocument/2006/relationships/hyperlink" Target="https://m.stock.naver.com/research/company/87774" TargetMode="External"/><Relationship Id="rId6517" Type="http://schemas.openxmlformats.org/officeDocument/2006/relationships/hyperlink" Target="https://m.stock.naver.com/research/company/86723" TargetMode="External"/><Relationship Id="rId4068" Type="http://schemas.openxmlformats.org/officeDocument/2006/relationships/hyperlink" Target="https://m.stock.naver.com/research/company/89183" TargetMode="External"/><Relationship Id="rId5119" Type="http://schemas.openxmlformats.org/officeDocument/2006/relationships/hyperlink" Target="https://m.stock.naver.com/research/company/88121" TargetMode="External"/><Relationship Id="rId8689" Type="http://schemas.openxmlformats.org/officeDocument/2006/relationships/hyperlink" Target="https://m.stock.naver.com/research/company/84548" TargetMode="External"/><Relationship Id="rId14490" Type="http://schemas.openxmlformats.org/officeDocument/2006/relationships/hyperlink" Target="https://m.stock.naver.com/research/company/94420" TargetMode="External"/><Relationship Id="rId15541" Type="http://schemas.openxmlformats.org/officeDocument/2006/relationships/hyperlink" Target="https://m.stock.naver.com/research/company/95495" TargetMode="External"/><Relationship Id="rId1729" Type="http://schemas.openxmlformats.org/officeDocument/2006/relationships/hyperlink" Target="https://m.stock.naver.com/research/company/91526" TargetMode="External"/><Relationship Id="rId5600" Type="http://schemas.openxmlformats.org/officeDocument/2006/relationships/hyperlink" Target="https://m.stock.naver.com/research/company/87640" TargetMode="External"/><Relationship Id="rId13092" Type="http://schemas.openxmlformats.org/officeDocument/2006/relationships/hyperlink" Target="https://m.stock.naver.com/research/company/80115" TargetMode="External"/><Relationship Id="rId14143" Type="http://schemas.openxmlformats.org/officeDocument/2006/relationships/hyperlink" Target="https://m.stock.naver.com/research/company/93985" TargetMode="External"/><Relationship Id="rId3151" Type="http://schemas.openxmlformats.org/officeDocument/2006/relationships/hyperlink" Target="https://m.stock.naver.com/research/company/90100" TargetMode="External"/><Relationship Id="rId4202" Type="http://schemas.openxmlformats.org/officeDocument/2006/relationships/hyperlink" Target="https://m.stock.naver.com/research/company/89040" TargetMode="External"/><Relationship Id="rId7772" Type="http://schemas.openxmlformats.org/officeDocument/2006/relationships/hyperlink" Target="https://m.stock.naver.com/research/company/85467" TargetMode="External"/><Relationship Id="rId8823" Type="http://schemas.openxmlformats.org/officeDocument/2006/relationships/hyperlink" Target="https://m.stock.naver.com/research/company/84414" TargetMode="External"/><Relationship Id="rId10753" Type="http://schemas.openxmlformats.org/officeDocument/2006/relationships/hyperlink" Target="https://m.stock.naver.com/research/company/82467" TargetMode="External"/><Relationship Id="rId6374" Type="http://schemas.openxmlformats.org/officeDocument/2006/relationships/hyperlink" Target="https://m.stock.naver.com/research/company/86866" TargetMode="External"/><Relationship Id="rId7425" Type="http://schemas.openxmlformats.org/officeDocument/2006/relationships/hyperlink" Target="https://m.stock.naver.com/research/company/85814" TargetMode="External"/><Relationship Id="rId10406" Type="http://schemas.openxmlformats.org/officeDocument/2006/relationships/hyperlink" Target="https://m.stock.naver.com/research/company/82815" TargetMode="External"/><Relationship Id="rId11804" Type="http://schemas.openxmlformats.org/officeDocument/2006/relationships/hyperlink" Target="https://m.stock.naver.com/research/company/81408" TargetMode="External"/><Relationship Id="rId6027" Type="http://schemas.openxmlformats.org/officeDocument/2006/relationships/hyperlink" Target="https://m.stock.naver.com/research/company/87213" TargetMode="External"/><Relationship Id="rId9597" Type="http://schemas.openxmlformats.org/officeDocument/2006/relationships/hyperlink" Target="https://m.stock.naver.com/research/company/83630" TargetMode="External"/><Relationship Id="rId13976" Type="http://schemas.openxmlformats.org/officeDocument/2006/relationships/hyperlink" Target="https://m.stock.naver.com/research/company/93756" TargetMode="External"/><Relationship Id="rId1586" Type="http://schemas.openxmlformats.org/officeDocument/2006/relationships/hyperlink" Target="https://m.stock.naver.com/research/company/91669" TargetMode="External"/><Relationship Id="rId2984" Type="http://schemas.openxmlformats.org/officeDocument/2006/relationships/hyperlink" Target="https://m.stock.naver.com/research/company/90269" TargetMode="External"/><Relationship Id="rId8199" Type="http://schemas.openxmlformats.org/officeDocument/2006/relationships/hyperlink" Target="https://m.stock.naver.com/research/company/85039" TargetMode="External"/><Relationship Id="rId12578" Type="http://schemas.openxmlformats.org/officeDocument/2006/relationships/hyperlink" Target="https://m.stock.naver.com/research/company/80630" TargetMode="External"/><Relationship Id="rId13629" Type="http://schemas.openxmlformats.org/officeDocument/2006/relationships/hyperlink" Target="https://m.stock.naver.com/research/company/79575" TargetMode="External"/><Relationship Id="rId15051" Type="http://schemas.openxmlformats.org/officeDocument/2006/relationships/hyperlink" Target="https://m.stock.naver.com/research/company/95043" TargetMode="External"/><Relationship Id="rId609" Type="http://schemas.openxmlformats.org/officeDocument/2006/relationships/hyperlink" Target="https://m.stock.naver.com/research/company/92848" TargetMode="External"/><Relationship Id="rId956" Type="http://schemas.openxmlformats.org/officeDocument/2006/relationships/hyperlink" Target="https://m.stock.naver.com/research/company/92500" TargetMode="External"/><Relationship Id="rId1239" Type="http://schemas.openxmlformats.org/officeDocument/2006/relationships/hyperlink" Target="https://m.stock.naver.com/research/company/92016" TargetMode="External"/><Relationship Id="rId2637" Type="http://schemas.openxmlformats.org/officeDocument/2006/relationships/hyperlink" Target="https://m.stock.naver.com/research/company/90617" TargetMode="External"/><Relationship Id="rId5110" Type="http://schemas.openxmlformats.org/officeDocument/2006/relationships/hyperlink" Target="https://m.stock.naver.com/research/company/88130" TargetMode="External"/><Relationship Id="rId8680" Type="http://schemas.openxmlformats.org/officeDocument/2006/relationships/hyperlink" Target="https://m.stock.naver.com/research/company/84557" TargetMode="External"/><Relationship Id="rId9731" Type="http://schemas.openxmlformats.org/officeDocument/2006/relationships/hyperlink" Target="https://m.stock.naver.com/research/company/83492" TargetMode="External"/><Relationship Id="rId11661" Type="http://schemas.openxmlformats.org/officeDocument/2006/relationships/hyperlink" Target="https://m.stock.naver.com/research/company/81551" TargetMode="External"/><Relationship Id="rId12712" Type="http://schemas.openxmlformats.org/officeDocument/2006/relationships/hyperlink" Target="https://m.stock.naver.com/research/company/80496" TargetMode="External"/><Relationship Id="rId1720" Type="http://schemas.openxmlformats.org/officeDocument/2006/relationships/hyperlink" Target="https://m.stock.naver.com/research/company/91535" TargetMode="External"/><Relationship Id="rId7282" Type="http://schemas.openxmlformats.org/officeDocument/2006/relationships/hyperlink" Target="https://m.stock.naver.com/research/company/85957" TargetMode="External"/><Relationship Id="rId8333" Type="http://schemas.openxmlformats.org/officeDocument/2006/relationships/hyperlink" Target="https://m.stock.naver.com/research/company/84905" TargetMode="External"/><Relationship Id="rId10263" Type="http://schemas.openxmlformats.org/officeDocument/2006/relationships/hyperlink" Target="https://m.stock.naver.com/research/company/82958" TargetMode="External"/><Relationship Id="rId11314" Type="http://schemas.openxmlformats.org/officeDocument/2006/relationships/hyperlink" Target="https://m.stock.naver.com/research/company/81905" TargetMode="External"/><Relationship Id="rId14884" Type="http://schemas.openxmlformats.org/officeDocument/2006/relationships/hyperlink" Target="https://m.stock.naver.com/research/company/94740" TargetMode="External"/><Relationship Id="rId3892" Type="http://schemas.openxmlformats.org/officeDocument/2006/relationships/hyperlink" Target="https://m.stock.naver.com/research/company/89359" TargetMode="External"/><Relationship Id="rId4943" Type="http://schemas.openxmlformats.org/officeDocument/2006/relationships/hyperlink" Target="https://m.stock.naver.com/research/company/88297" TargetMode="External"/><Relationship Id="rId13486" Type="http://schemas.openxmlformats.org/officeDocument/2006/relationships/hyperlink" Target="https://m.stock.naver.com/research/company/79718" TargetMode="External"/><Relationship Id="rId14537" Type="http://schemas.openxmlformats.org/officeDocument/2006/relationships/hyperlink" Target="https://m.stock.naver.com/research/company/94373" TargetMode="External"/><Relationship Id="rId2494" Type="http://schemas.openxmlformats.org/officeDocument/2006/relationships/hyperlink" Target="https://m.stock.naver.com/research/company/90760" TargetMode="External"/><Relationship Id="rId3545" Type="http://schemas.openxmlformats.org/officeDocument/2006/relationships/hyperlink" Target="https://m.stock.naver.com/research/company/89706" TargetMode="External"/><Relationship Id="rId12088" Type="http://schemas.openxmlformats.org/officeDocument/2006/relationships/hyperlink" Target="https://m.stock.naver.com/research/company/81123" TargetMode="External"/><Relationship Id="rId13139" Type="http://schemas.openxmlformats.org/officeDocument/2006/relationships/hyperlink" Target="https://m.stock.naver.com/research/company/80068" TargetMode="External"/><Relationship Id="rId466" Type="http://schemas.openxmlformats.org/officeDocument/2006/relationships/hyperlink" Target="https://m.stock.naver.com/research/company/92991" TargetMode="External"/><Relationship Id="rId1096" Type="http://schemas.openxmlformats.org/officeDocument/2006/relationships/hyperlink" Target="https://m.stock.naver.com/research/company/92160" TargetMode="External"/><Relationship Id="rId2147" Type="http://schemas.openxmlformats.org/officeDocument/2006/relationships/hyperlink" Target="https://m.stock.naver.com/research/company/91108" TargetMode="External"/><Relationship Id="rId119" Type="http://schemas.openxmlformats.org/officeDocument/2006/relationships/hyperlink" Target="https://m.stock.naver.com/research/company/93339" TargetMode="External"/><Relationship Id="rId6768" Type="http://schemas.openxmlformats.org/officeDocument/2006/relationships/hyperlink" Target="https://m.stock.naver.com/research/company/86472" TargetMode="External"/><Relationship Id="rId7819" Type="http://schemas.openxmlformats.org/officeDocument/2006/relationships/hyperlink" Target="https://m.stock.naver.com/research/company/85419" TargetMode="External"/><Relationship Id="rId8190" Type="http://schemas.openxmlformats.org/officeDocument/2006/relationships/hyperlink" Target="https://m.stock.naver.com/research/company/85048" TargetMode="External"/><Relationship Id="rId9241" Type="http://schemas.openxmlformats.org/officeDocument/2006/relationships/hyperlink" Target="https://m.stock.naver.com/research/company/83987" TargetMode="External"/><Relationship Id="rId13620" Type="http://schemas.openxmlformats.org/officeDocument/2006/relationships/hyperlink" Target="https://m.stock.naver.com/research/company/79584" TargetMode="External"/><Relationship Id="rId11171" Type="http://schemas.openxmlformats.org/officeDocument/2006/relationships/hyperlink" Target="https://m.stock.naver.com/research/company/82049" TargetMode="External"/><Relationship Id="rId12222" Type="http://schemas.openxmlformats.org/officeDocument/2006/relationships/hyperlink" Target="https://m.stock.naver.com/research/company/80988" TargetMode="External"/><Relationship Id="rId600" Type="http://schemas.openxmlformats.org/officeDocument/2006/relationships/hyperlink" Target="https://m.stock.naver.com/research/company/92857" TargetMode="External"/><Relationship Id="rId1230" Type="http://schemas.openxmlformats.org/officeDocument/2006/relationships/hyperlink" Target="https://m.stock.naver.com/research/company/92025" TargetMode="External"/><Relationship Id="rId5851" Type="http://schemas.openxmlformats.org/officeDocument/2006/relationships/hyperlink" Target="https://m.stock.naver.com/research/company/87389" TargetMode="External"/><Relationship Id="rId6902" Type="http://schemas.openxmlformats.org/officeDocument/2006/relationships/hyperlink" Target="https://m.stock.naver.com/research/company/86337" TargetMode="External"/><Relationship Id="rId14394" Type="http://schemas.openxmlformats.org/officeDocument/2006/relationships/hyperlink" Target="https://m.stock.naver.com/research/company/94289" TargetMode="External"/><Relationship Id="rId15445" Type="http://schemas.openxmlformats.org/officeDocument/2006/relationships/hyperlink" Target="https://m.stock.naver.com/research/company/95342" TargetMode="External"/><Relationship Id="rId4453" Type="http://schemas.openxmlformats.org/officeDocument/2006/relationships/hyperlink" Target="https://m.stock.naver.com/research/company/88787" TargetMode="External"/><Relationship Id="rId5504" Type="http://schemas.openxmlformats.org/officeDocument/2006/relationships/hyperlink" Target="https://m.stock.naver.com/research/company/87736" TargetMode="External"/><Relationship Id="rId14047" Type="http://schemas.openxmlformats.org/officeDocument/2006/relationships/hyperlink" Target="https://m.stock.naver.com/research/company/93876" TargetMode="External"/><Relationship Id="rId3055" Type="http://schemas.openxmlformats.org/officeDocument/2006/relationships/hyperlink" Target="https://m.stock.naver.com/research/company/90196" TargetMode="External"/><Relationship Id="rId4106" Type="http://schemas.openxmlformats.org/officeDocument/2006/relationships/hyperlink" Target="https://m.stock.naver.com/research/company/89145" TargetMode="External"/><Relationship Id="rId7676" Type="http://schemas.openxmlformats.org/officeDocument/2006/relationships/hyperlink" Target="https://m.stock.naver.com/research/company/85563" TargetMode="External"/><Relationship Id="rId8727" Type="http://schemas.openxmlformats.org/officeDocument/2006/relationships/hyperlink" Target="https://m.stock.naver.com/research/company/84510" TargetMode="External"/><Relationship Id="rId6278" Type="http://schemas.openxmlformats.org/officeDocument/2006/relationships/hyperlink" Target="https://m.stock.naver.com/research/company/86962" TargetMode="External"/><Relationship Id="rId7329" Type="http://schemas.openxmlformats.org/officeDocument/2006/relationships/hyperlink" Target="https://m.stock.naver.com/research/company/85910" TargetMode="External"/><Relationship Id="rId10657" Type="http://schemas.openxmlformats.org/officeDocument/2006/relationships/hyperlink" Target="https://m.stock.naver.com/research/company/82563" TargetMode="External"/><Relationship Id="rId11708" Type="http://schemas.openxmlformats.org/officeDocument/2006/relationships/hyperlink" Target="https://m.stock.naver.com/research/company/81504" TargetMode="External"/><Relationship Id="rId13130" Type="http://schemas.openxmlformats.org/officeDocument/2006/relationships/hyperlink" Target="https://m.stock.naver.com/research/company/80077" TargetMode="External"/><Relationship Id="rId110" Type="http://schemas.openxmlformats.org/officeDocument/2006/relationships/hyperlink" Target="https://m.stock.naver.com/research/company/93348" TargetMode="External"/><Relationship Id="rId2888" Type="http://schemas.openxmlformats.org/officeDocument/2006/relationships/hyperlink" Target="https://m.stock.naver.com/research/company/90365" TargetMode="External"/><Relationship Id="rId3939" Type="http://schemas.openxmlformats.org/officeDocument/2006/relationships/hyperlink" Target="https://m.stock.naver.com/research/company/89312" TargetMode="External"/><Relationship Id="rId7810" Type="http://schemas.openxmlformats.org/officeDocument/2006/relationships/hyperlink" Target="https://m.stock.naver.com/research/company/85428" TargetMode="External"/><Relationship Id="rId5361" Type="http://schemas.openxmlformats.org/officeDocument/2006/relationships/hyperlink" Target="https://m.stock.naver.com/research/company/87879" TargetMode="External"/><Relationship Id="rId6412" Type="http://schemas.openxmlformats.org/officeDocument/2006/relationships/hyperlink" Target="https://m.stock.naver.com/research/company/86828" TargetMode="External"/><Relationship Id="rId9982" Type="http://schemas.openxmlformats.org/officeDocument/2006/relationships/hyperlink" Target="https://m.stock.naver.com/research/company/83239" TargetMode="External"/><Relationship Id="rId12963" Type="http://schemas.openxmlformats.org/officeDocument/2006/relationships/hyperlink" Target="https://m.stock.naver.com/research/company/80245" TargetMode="External"/><Relationship Id="rId1971" Type="http://schemas.openxmlformats.org/officeDocument/2006/relationships/hyperlink" Target="https://m.stock.naver.com/research/company/91284" TargetMode="External"/><Relationship Id="rId5014" Type="http://schemas.openxmlformats.org/officeDocument/2006/relationships/hyperlink" Target="https://m.stock.naver.com/research/company/88226" TargetMode="External"/><Relationship Id="rId8584" Type="http://schemas.openxmlformats.org/officeDocument/2006/relationships/hyperlink" Target="https://m.stock.naver.com/research/company/84653" TargetMode="External"/><Relationship Id="rId9635" Type="http://schemas.openxmlformats.org/officeDocument/2006/relationships/hyperlink" Target="https://m.stock.naver.com/research/company/83590" TargetMode="External"/><Relationship Id="rId11565" Type="http://schemas.openxmlformats.org/officeDocument/2006/relationships/hyperlink" Target="https://m.stock.naver.com/research/company/81648" TargetMode="External"/><Relationship Id="rId12616" Type="http://schemas.openxmlformats.org/officeDocument/2006/relationships/hyperlink" Target="https://m.stock.naver.com/research/company/80592" TargetMode="External"/><Relationship Id="rId1624" Type="http://schemas.openxmlformats.org/officeDocument/2006/relationships/hyperlink" Target="https://m.stock.naver.com/research/company/91631" TargetMode="External"/><Relationship Id="rId7186" Type="http://schemas.openxmlformats.org/officeDocument/2006/relationships/hyperlink" Target="https://m.stock.naver.com/research/company/86053" TargetMode="External"/><Relationship Id="rId8237" Type="http://schemas.openxmlformats.org/officeDocument/2006/relationships/hyperlink" Target="https://m.stock.naver.com/research/company/85001" TargetMode="External"/><Relationship Id="rId10167" Type="http://schemas.openxmlformats.org/officeDocument/2006/relationships/hyperlink" Target="https://m.stock.naver.com/research/company/83054" TargetMode="External"/><Relationship Id="rId11218" Type="http://schemas.openxmlformats.org/officeDocument/2006/relationships/hyperlink" Target="https://m.stock.naver.com/research/company/82002" TargetMode="External"/><Relationship Id="rId3796" Type="http://schemas.openxmlformats.org/officeDocument/2006/relationships/hyperlink" Target="https://m.stock.naver.com/research/company/89455" TargetMode="External"/><Relationship Id="rId14788" Type="http://schemas.openxmlformats.org/officeDocument/2006/relationships/hyperlink" Target="https://m.stock.naver.com/research/company/94612" TargetMode="External"/><Relationship Id="rId2398" Type="http://schemas.openxmlformats.org/officeDocument/2006/relationships/hyperlink" Target="https://m.stock.naver.com/research/company/90856" TargetMode="External"/><Relationship Id="rId3449" Type="http://schemas.openxmlformats.org/officeDocument/2006/relationships/hyperlink" Target="https://m.stock.naver.com/research/company/89802" TargetMode="External"/><Relationship Id="rId4847" Type="http://schemas.openxmlformats.org/officeDocument/2006/relationships/hyperlink" Target="https://m.stock.naver.com/research/company/88393" TargetMode="External"/><Relationship Id="rId7320" Type="http://schemas.openxmlformats.org/officeDocument/2006/relationships/hyperlink" Target="https://m.stock.naver.com/research/company/85919" TargetMode="External"/><Relationship Id="rId10301" Type="http://schemas.openxmlformats.org/officeDocument/2006/relationships/hyperlink" Target="https://m.stock.naver.com/research/company/82920" TargetMode="External"/><Relationship Id="rId13871" Type="http://schemas.openxmlformats.org/officeDocument/2006/relationships/hyperlink" Target="https://m.stock.naver.com/research/company/93656" TargetMode="External"/><Relationship Id="rId14922" Type="http://schemas.openxmlformats.org/officeDocument/2006/relationships/hyperlink" Target="https://m.stock.naver.com/research/company/94912" TargetMode="External"/><Relationship Id="rId3930" Type="http://schemas.openxmlformats.org/officeDocument/2006/relationships/hyperlink" Target="https://m.stock.naver.com/research/company/89321" TargetMode="External"/><Relationship Id="rId8094" Type="http://schemas.openxmlformats.org/officeDocument/2006/relationships/hyperlink" Target="https://m.stock.naver.com/research/company/85144" TargetMode="External"/><Relationship Id="rId9492" Type="http://schemas.openxmlformats.org/officeDocument/2006/relationships/hyperlink" Target="https://m.stock.naver.com/research/company/83735" TargetMode="External"/><Relationship Id="rId12473" Type="http://schemas.openxmlformats.org/officeDocument/2006/relationships/hyperlink" Target="https://m.stock.naver.com/research/company/80735" TargetMode="External"/><Relationship Id="rId13524" Type="http://schemas.openxmlformats.org/officeDocument/2006/relationships/hyperlink" Target="https://m.stock.naver.com/research/company/79680" TargetMode="External"/><Relationship Id="rId851" Type="http://schemas.openxmlformats.org/officeDocument/2006/relationships/hyperlink" Target="https://m.stock.naver.com/research/company/92605" TargetMode="External"/><Relationship Id="rId1481" Type="http://schemas.openxmlformats.org/officeDocument/2006/relationships/hyperlink" Target="https://m.stock.naver.com/research/company/91774" TargetMode="External"/><Relationship Id="rId2532" Type="http://schemas.openxmlformats.org/officeDocument/2006/relationships/hyperlink" Target="https://m.stock.naver.com/research/company/90722" TargetMode="External"/><Relationship Id="rId9145" Type="http://schemas.openxmlformats.org/officeDocument/2006/relationships/hyperlink" Target="https://m.stock.naver.com/research/company/84085" TargetMode="External"/><Relationship Id="rId11075" Type="http://schemas.openxmlformats.org/officeDocument/2006/relationships/hyperlink" Target="https://m.stock.naver.com/research/company/82145" TargetMode="External"/><Relationship Id="rId12126" Type="http://schemas.openxmlformats.org/officeDocument/2006/relationships/hyperlink" Target="https://m.stock.naver.com/research/company/81085" TargetMode="External"/><Relationship Id="rId15696" Type="http://schemas.openxmlformats.org/officeDocument/2006/relationships/hyperlink" Target="https://m.stock.naver.com/research/company/95718" TargetMode="External"/><Relationship Id="rId504" Type="http://schemas.openxmlformats.org/officeDocument/2006/relationships/hyperlink" Target="https://m.stock.naver.com/research/company/92953" TargetMode="External"/><Relationship Id="rId1134" Type="http://schemas.openxmlformats.org/officeDocument/2006/relationships/hyperlink" Target="https://m.stock.naver.com/research/company/92121" TargetMode="External"/><Relationship Id="rId5755" Type="http://schemas.openxmlformats.org/officeDocument/2006/relationships/hyperlink" Target="https://m.stock.naver.com/research/company/87485" TargetMode="External"/><Relationship Id="rId6806" Type="http://schemas.openxmlformats.org/officeDocument/2006/relationships/hyperlink" Target="https://m.stock.naver.com/research/company/86434" TargetMode="External"/><Relationship Id="rId14298" Type="http://schemas.openxmlformats.org/officeDocument/2006/relationships/hyperlink" Target="https://m.stock.naver.com/research/company/94166" TargetMode="External"/><Relationship Id="rId15349" Type="http://schemas.openxmlformats.org/officeDocument/2006/relationships/hyperlink" Target="https://m.stock.naver.com/research/company/95239" TargetMode="External"/><Relationship Id="rId4357" Type="http://schemas.openxmlformats.org/officeDocument/2006/relationships/hyperlink" Target="https://m.stock.naver.com/research/company/88884" TargetMode="External"/><Relationship Id="rId5408" Type="http://schemas.openxmlformats.org/officeDocument/2006/relationships/hyperlink" Target="https://m.stock.naver.com/research/company/87832" TargetMode="External"/><Relationship Id="rId8978" Type="http://schemas.openxmlformats.org/officeDocument/2006/relationships/hyperlink" Target="https://m.stock.naver.com/research/company/84254" TargetMode="External"/><Relationship Id="rId11959" Type="http://schemas.openxmlformats.org/officeDocument/2006/relationships/hyperlink" Target="https://m.stock.naver.com/research/company/81252" TargetMode="External"/><Relationship Id="rId13381" Type="http://schemas.openxmlformats.org/officeDocument/2006/relationships/hyperlink" Target="https://m.stock.naver.com/research/company/79824" TargetMode="External"/><Relationship Id="rId14432" Type="http://schemas.openxmlformats.org/officeDocument/2006/relationships/hyperlink" Target="https://m.stock.naver.com/research/company/94478" TargetMode="External"/><Relationship Id="rId361" Type="http://schemas.openxmlformats.org/officeDocument/2006/relationships/hyperlink" Target="https://m.stock.naver.com/research/company/93097" TargetMode="External"/><Relationship Id="rId2042" Type="http://schemas.openxmlformats.org/officeDocument/2006/relationships/hyperlink" Target="https://m.stock.naver.com/research/company/91213" TargetMode="External"/><Relationship Id="rId3440" Type="http://schemas.openxmlformats.org/officeDocument/2006/relationships/hyperlink" Target="https://m.stock.naver.com/research/company/89811" TargetMode="External"/><Relationship Id="rId13034" Type="http://schemas.openxmlformats.org/officeDocument/2006/relationships/hyperlink" Target="https://m.stock.naver.com/research/company/80173" TargetMode="External"/><Relationship Id="rId6663" Type="http://schemas.openxmlformats.org/officeDocument/2006/relationships/hyperlink" Target="https://m.stock.naver.com/research/company/86577" TargetMode="External"/><Relationship Id="rId7714" Type="http://schemas.openxmlformats.org/officeDocument/2006/relationships/hyperlink" Target="https://m.stock.naver.com/research/company/85525" TargetMode="External"/><Relationship Id="rId5265" Type="http://schemas.openxmlformats.org/officeDocument/2006/relationships/hyperlink" Target="https://m.stock.naver.com/research/company/87975" TargetMode="External"/><Relationship Id="rId6316" Type="http://schemas.openxmlformats.org/officeDocument/2006/relationships/hyperlink" Target="https://m.stock.naver.com/research/company/86924" TargetMode="External"/><Relationship Id="rId9886" Type="http://schemas.openxmlformats.org/officeDocument/2006/relationships/hyperlink" Target="https://m.stock.naver.com/research/company/83336" TargetMode="External"/><Relationship Id="rId1875" Type="http://schemas.openxmlformats.org/officeDocument/2006/relationships/hyperlink" Target="https://m.stock.naver.com/research/company/91380" TargetMode="External"/><Relationship Id="rId8488" Type="http://schemas.openxmlformats.org/officeDocument/2006/relationships/hyperlink" Target="https://m.stock.naver.com/research/company/84749" TargetMode="External"/><Relationship Id="rId9539" Type="http://schemas.openxmlformats.org/officeDocument/2006/relationships/hyperlink" Target="https://m.stock.naver.com/research/company/83688" TargetMode="External"/><Relationship Id="rId11469" Type="http://schemas.openxmlformats.org/officeDocument/2006/relationships/hyperlink" Target="https://m.stock.naver.com/research/company/81746" TargetMode="External"/><Relationship Id="rId12867" Type="http://schemas.openxmlformats.org/officeDocument/2006/relationships/hyperlink" Target="https://m.stock.naver.com/research/company/80341" TargetMode="External"/><Relationship Id="rId13918" Type="http://schemas.openxmlformats.org/officeDocument/2006/relationships/hyperlink" Target="https://m.stock.naver.com/research/company/93719" TargetMode="External"/><Relationship Id="rId15340" Type="http://schemas.openxmlformats.org/officeDocument/2006/relationships/hyperlink" Target="https://m.stock.naver.com/research/company/95248" TargetMode="External"/><Relationship Id="rId1528" Type="http://schemas.openxmlformats.org/officeDocument/2006/relationships/hyperlink" Target="https://m.stock.naver.com/research/company/91727" TargetMode="External"/><Relationship Id="rId2926" Type="http://schemas.openxmlformats.org/officeDocument/2006/relationships/hyperlink" Target="https://m.stock.naver.com/research/company/90327" TargetMode="External"/><Relationship Id="rId4001" Type="http://schemas.openxmlformats.org/officeDocument/2006/relationships/hyperlink" Target="https://m.stock.naver.com/research/company/89250" TargetMode="External"/><Relationship Id="rId11950" Type="http://schemas.openxmlformats.org/officeDocument/2006/relationships/hyperlink" Target="https://m.stock.naver.com/research/company/81261" TargetMode="External"/><Relationship Id="rId6173" Type="http://schemas.openxmlformats.org/officeDocument/2006/relationships/hyperlink" Target="https://m.stock.naver.com/research/company/87067" TargetMode="External"/><Relationship Id="rId7571" Type="http://schemas.openxmlformats.org/officeDocument/2006/relationships/hyperlink" Target="https://m.stock.naver.com/research/company/85668" TargetMode="External"/><Relationship Id="rId8622" Type="http://schemas.openxmlformats.org/officeDocument/2006/relationships/hyperlink" Target="https://m.stock.naver.com/research/company/84615" TargetMode="External"/><Relationship Id="rId10552" Type="http://schemas.openxmlformats.org/officeDocument/2006/relationships/hyperlink" Target="https://m.stock.naver.com/research/company/82668" TargetMode="External"/><Relationship Id="rId11603" Type="http://schemas.openxmlformats.org/officeDocument/2006/relationships/hyperlink" Target="https://m.stock.naver.com/research/company/81609" TargetMode="External"/><Relationship Id="rId7224" Type="http://schemas.openxmlformats.org/officeDocument/2006/relationships/hyperlink" Target="https://m.stock.naver.com/research/company/86015" TargetMode="External"/><Relationship Id="rId10205" Type="http://schemas.openxmlformats.org/officeDocument/2006/relationships/hyperlink" Target="https://m.stock.naver.com/research/company/83016" TargetMode="External"/><Relationship Id="rId13775" Type="http://schemas.openxmlformats.org/officeDocument/2006/relationships/hyperlink" Target="https://m.stock.naver.com/research/company/93613" TargetMode="External"/><Relationship Id="rId14826" Type="http://schemas.openxmlformats.org/officeDocument/2006/relationships/hyperlink" Target="https://m.stock.naver.com/research/company/94798" TargetMode="External"/><Relationship Id="rId2783" Type="http://schemas.openxmlformats.org/officeDocument/2006/relationships/hyperlink" Target="https://m.stock.naver.com/research/company/90471" TargetMode="External"/><Relationship Id="rId3834" Type="http://schemas.openxmlformats.org/officeDocument/2006/relationships/hyperlink" Target="https://m.stock.naver.com/research/company/89417" TargetMode="External"/><Relationship Id="rId9396" Type="http://schemas.openxmlformats.org/officeDocument/2006/relationships/hyperlink" Target="https://m.stock.naver.com/research/company/83831" TargetMode="External"/><Relationship Id="rId12377" Type="http://schemas.openxmlformats.org/officeDocument/2006/relationships/hyperlink" Target="https://m.stock.naver.com/research/company/80832" TargetMode="External"/><Relationship Id="rId13428" Type="http://schemas.openxmlformats.org/officeDocument/2006/relationships/hyperlink" Target="https://m.stock.naver.com/research/company/79777" TargetMode="External"/><Relationship Id="rId755" Type="http://schemas.openxmlformats.org/officeDocument/2006/relationships/hyperlink" Target="https://m.stock.naver.com/research/company/92701" TargetMode="External"/><Relationship Id="rId1385" Type="http://schemas.openxmlformats.org/officeDocument/2006/relationships/hyperlink" Target="https://m.stock.naver.com/research/company/91870" TargetMode="External"/><Relationship Id="rId2436" Type="http://schemas.openxmlformats.org/officeDocument/2006/relationships/hyperlink" Target="https://m.stock.naver.com/research/company/90818" TargetMode="External"/><Relationship Id="rId9049" Type="http://schemas.openxmlformats.org/officeDocument/2006/relationships/hyperlink" Target="https://m.stock.naver.com/research/company/84182" TargetMode="External"/><Relationship Id="rId91" Type="http://schemas.openxmlformats.org/officeDocument/2006/relationships/hyperlink" Target="https://m.stock.naver.com/research/company/93367" TargetMode="External"/><Relationship Id="rId408" Type="http://schemas.openxmlformats.org/officeDocument/2006/relationships/hyperlink" Target="https://m.stock.naver.com/research/company/93050" TargetMode="External"/><Relationship Id="rId1038" Type="http://schemas.openxmlformats.org/officeDocument/2006/relationships/hyperlink" Target="https://m.stock.naver.com/research/company/92313" TargetMode="External"/><Relationship Id="rId5659" Type="http://schemas.openxmlformats.org/officeDocument/2006/relationships/hyperlink" Target="https://m.stock.naver.com/research/company/87581" TargetMode="External"/><Relationship Id="rId9530" Type="http://schemas.openxmlformats.org/officeDocument/2006/relationships/hyperlink" Target="https://m.stock.naver.com/research/company/83697" TargetMode="External"/><Relationship Id="rId7081" Type="http://schemas.openxmlformats.org/officeDocument/2006/relationships/hyperlink" Target="https://m.stock.naver.com/research/company/86158" TargetMode="External"/><Relationship Id="rId8132" Type="http://schemas.openxmlformats.org/officeDocument/2006/relationships/hyperlink" Target="https://m.stock.naver.com/research/company/85106" TargetMode="External"/><Relationship Id="rId11460" Type="http://schemas.openxmlformats.org/officeDocument/2006/relationships/hyperlink" Target="https://m.stock.naver.com/research/company/81755" TargetMode="External"/><Relationship Id="rId12511" Type="http://schemas.openxmlformats.org/officeDocument/2006/relationships/hyperlink" Target="https://m.stock.naver.com/research/company/80697" TargetMode="External"/><Relationship Id="rId10062" Type="http://schemas.openxmlformats.org/officeDocument/2006/relationships/hyperlink" Target="https://m.stock.naver.com/research/company/83159" TargetMode="External"/><Relationship Id="rId11113" Type="http://schemas.openxmlformats.org/officeDocument/2006/relationships/hyperlink" Target="https://m.stock.naver.com/research/company/82107" TargetMode="External"/><Relationship Id="rId14683" Type="http://schemas.openxmlformats.org/officeDocument/2006/relationships/hyperlink" Target="https://m.stock.naver.com/research/company/94717" TargetMode="External"/><Relationship Id="rId15734" Type="http://schemas.openxmlformats.org/officeDocument/2006/relationships/hyperlink" Target="https://m.stock.naver.com/research/company/95680" TargetMode="External"/><Relationship Id="rId3691" Type="http://schemas.openxmlformats.org/officeDocument/2006/relationships/hyperlink" Target="https://m.stock.naver.com/research/company/89560" TargetMode="External"/><Relationship Id="rId4742" Type="http://schemas.openxmlformats.org/officeDocument/2006/relationships/hyperlink" Target="https://m.stock.naver.com/research/company/88498" TargetMode="External"/><Relationship Id="rId13285" Type="http://schemas.openxmlformats.org/officeDocument/2006/relationships/hyperlink" Target="https://m.stock.naver.com/research/company/79920" TargetMode="External"/><Relationship Id="rId14336" Type="http://schemas.openxmlformats.org/officeDocument/2006/relationships/hyperlink" Target="https://m.stock.naver.com/research/company/94215" TargetMode="External"/><Relationship Id="rId2293" Type="http://schemas.openxmlformats.org/officeDocument/2006/relationships/hyperlink" Target="https://m.stock.naver.com/research/company/90962" TargetMode="External"/><Relationship Id="rId3344" Type="http://schemas.openxmlformats.org/officeDocument/2006/relationships/hyperlink" Target="https://m.stock.naver.com/research/company/89906" TargetMode="External"/><Relationship Id="rId7965" Type="http://schemas.openxmlformats.org/officeDocument/2006/relationships/hyperlink" Target="https://m.stock.naver.com/research/company/85273" TargetMode="External"/><Relationship Id="rId265" Type="http://schemas.openxmlformats.org/officeDocument/2006/relationships/hyperlink" Target="https://m.stock.naver.com/research/company/93193" TargetMode="External"/><Relationship Id="rId6567" Type="http://schemas.openxmlformats.org/officeDocument/2006/relationships/hyperlink" Target="https://m.stock.naver.com/research/company/86673" TargetMode="External"/><Relationship Id="rId7618" Type="http://schemas.openxmlformats.org/officeDocument/2006/relationships/hyperlink" Target="https://m.stock.naver.com/research/company/85621" TargetMode="External"/><Relationship Id="rId10946" Type="http://schemas.openxmlformats.org/officeDocument/2006/relationships/hyperlink" Target="https://m.stock.naver.com/research/company/82274" TargetMode="External"/><Relationship Id="rId5169" Type="http://schemas.openxmlformats.org/officeDocument/2006/relationships/hyperlink" Target="https://m.stock.naver.com/research/company/88071" TargetMode="External"/><Relationship Id="rId9040" Type="http://schemas.openxmlformats.org/officeDocument/2006/relationships/hyperlink" Target="https://m.stock.naver.com/research/company/84191" TargetMode="External"/><Relationship Id="rId12021" Type="http://schemas.openxmlformats.org/officeDocument/2006/relationships/hyperlink" Target="https://m.stock.naver.com/research/company/81190" TargetMode="External"/><Relationship Id="rId15591" Type="http://schemas.openxmlformats.org/officeDocument/2006/relationships/hyperlink" Target="https://m.stock.naver.com/research/company/95445" TargetMode="External"/><Relationship Id="rId1779" Type="http://schemas.openxmlformats.org/officeDocument/2006/relationships/hyperlink" Target="https://m.stock.naver.com/research/company/91476" TargetMode="External"/><Relationship Id="rId4252" Type="http://schemas.openxmlformats.org/officeDocument/2006/relationships/hyperlink" Target="https://m.stock.naver.com/research/company/88990" TargetMode="External"/><Relationship Id="rId5650" Type="http://schemas.openxmlformats.org/officeDocument/2006/relationships/hyperlink" Target="https://m.stock.naver.com/research/company/87590" TargetMode="External"/><Relationship Id="rId6701" Type="http://schemas.openxmlformats.org/officeDocument/2006/relationships/hyperlink" Target="https://m.stock.naver.com/research/company/86539" TargetMode="External"/><Relationship Id="rId14193" Type="http://schemas.openxmlformats.org/officeDocument/2006/relationships/hyperlink" Target="https://m.stock.naver.com/research/company/94065" TargetMode="External"/><Relationship Id="rId15244" Type="http://schemas.openxmlformats.org/officeDocument/2006/relationships/hyperlink" Target="https://m.stock.naver.com/research/company/95116" TargetMode="External"/><Relationship Id="rId5303" Type="http://schemas.openxmlformats.org/officeDocument/2006/relationships/hyperlink" Target="https://m.stock.naver.com/research/company/87937" TargetMode="External"/><Relationship Id="rId8873" Type="http://schemas.openxmlformats.org/officeDocument/2006/relationships/hyperlink" Target="https://m.stock.naver.com/research/company/84364" TargetMode="External"/><Relationship Id="rId9924" Type="http://schemas.openxmlformats.org/officeDocument/2006/relationships/hyperlink" Target="https://m.stock.naver.com/research/company/83298" TargetMode="External"/><Relationship Id="rId11854" Type="http://schemas.openxmlformats.org/officeDocument/2006/relationships/hyperlink" Target="https://m.stock.naver.com/research/company/81358" TargetMode="External"/><Relationship Id="rId12905" Type="http://schemas.openxmlformats.org/officeDocument/2006/relationships/hyperlink" Target="https://m.stock.naver.com/research/company/80303" TargetMode="External"/><Relationship Id="rId1913" Type="http://schemas.openxmlformats.org/officeDocument/2006/relationships/hyperlink" Target="https://m.stock.naver.com/research/company/91342" TargetMode="External"/><Relationship Id="rId7475" Type="http://schemas.openxmlformats.org/officeDocument/2006/relationships/hyperlink" Target="https://m.stock.naver.com/research/company/85764" TargetMode="External"/><Relationship Id="rId8526" Type="http://schemas.openxmlformats.org/officeDocument/2006/relationships/hyperlink" Target="https://m.stock.naver.com/research/company/84711" TargetMode="External"/><Relationship Id="rId10456" Type="http://schemas.openxmlformats.org/officeDocument/2006/relationships/hyperlink" Target="https://m.stock.naver.com/research/company/82764" TargetMode="External"/><Relationship Id="rId11507" Type="http://schemas.openxmlformats.org/officeDocument/2006/relationships/hyperlink" Target="https://m.stock.naver.com/research/company/81708" TargetMode="External"/><Relationship Id="rId6077" Type="http://schemas.openxmlformats.org/officeDocument/2006/relationships/hyperlink" Target="https://m.stock.naver.com/research/company/87163" TargetMode="External"/><Relationship Id="rId7128" Type="http://schemas.openxmlformats.org/officeDocument/2006/relationships/hyperlink" Target="https://m.stock.naver.com/research/company/86111" TargetMode="External"/><Relationship Id="rId10109" Type="http://schemas.openxmlformats.org/officeDocument/2006/relationships/hyperlink" Target="https://m.stock.naver.com/research/company/83112" TargetMode="External"/><Relationship Id="rId13679" Type="http://schemas.openxmlformats.org/officeDocument/2006/relationships/hyperlink" Target="https://m.stock.naver.com/research/company/93495" TargetMode="External"/><Relationship Id="rId2687" Type="http://schemas.openxmlformats.org/officeDocument/2006/relationships/hyperlink" Target="https://m.stock.naver.com/research/company/90567" TargetMode="External"/><Relationship Id="rId3738" Type="http://schemas.openxmlformats.org/officeDocument/2006/relationships/hyperlink" Target="https://m.stock.naver.com/research/company/89513" TargetMode="External"/><Relationship Id="rId659" Type="http://schemas.openxmlformats.org/officeDocument/2006/relationships/hyperlink" Target="https://m.stock.naver.com/research/company/92797" TargetMode="External"/><Relationship Id="rId1289" Type="http://schemas.openxmlformats.org/officeDocument/2006/relationships/hyperlink" Target="https://m.stock.naver.com/research/company/91966" TargetMode="External"/><Relationship Id="rId5160" Type="http://schemas.openxmlformats.org/officeDocument/2006/relationships/hyperlink" Target="https://m.stock.naver.com/research/company/88080" TargetMode="External"/><Relationship Id="rId6211" Type="http://schemas.openxmlformats.org/officeDocument/2006/relationships/hyperlink" Target="https://m.stock.naver.com/research/company/87029" TargetMode="External"/><Relationship Id="rId8383" Type="http://schemas.openxmlformats.org/officeDocument/2006/relationships/hyperlink" Target="https://m.stock.naver.com/research/company/84855" TargetMode="External"/><Relationship Id="rId9781" Type="http://schemas.openxmlformats.org/officeDocument/2006/relationships/hyperlink" Target="https://m.stock.naver.com/research/company/83442" TargetMode="External"/><Relationship Id="rId12762" Type="http://schemas.openxmlformats.org/officeDocument/2006/relationships/hyperlink" Target="https://m.stock.naver.com/research/company/80446" TargetMode="External"/><Relationship Id="rId13813" Type="http://schemas.openxmlformats.org/officeDocument/2006/relationships/hyperlink" Target="https://m.stock.naver.com/research/company/93565" TargetMode="External"/><Relationship Id="rId1770" Type="http://schemas.openxmlformats.org/officeDocument/2006/relationships/hyperlink" Target="https://m.stock.naver.com/research/company/91485" TargetMode="External"/><Relationship Id="rId2821" Type="http://schemas.openxmlformats.org/officeDocument/2006/relationships/hyperlink" Target="https://m.stock.naver.com/research/company/90432" TargetMode="External"/><Relationship Id="rId8036" Type="http://schemas.openxmlformats.org/officeDocument/2006/relationships/hyperlink" Target="https://m.stock.naver.com/research/company/85202" TargetMode="External"/><Relationship Id="rId9434" Type="http://schemas.openxmlformats.org/officeDocument/2006/relationships/hyperlink" Target="https://m.stock.naver.com/research/company/83793" TargetMode="External"/><Relationship Id="rId11364" Type="http://schemas.openxmlformats.org/officeDocument/2006/relationships/hyperlink" Target="https://m.stock.naver.com/research/company/81851" TargetMode="External"/><Relationship Id="rId12415" Type="http://schemas.openxmlformats.org/officeDocument/2006/relationships/hyperlink" Target="https://m.stock.naver.com/research/company/80794" TargetMode="External"/><Relationship Id="rId1423" Type="http://schemas.openxmlformats.org/officeDocument/2006/relationships/hyperlink" Target="https://m.stock.naver.com/research/company/91832" TargetMode="External"/><Relationship Id="rId4993" Type="http://schemas.openxmlformats.org/officeDocument/2006/relationships/hyperlink" Target="https://m.stock.naver.com/research/company/88247" TargetMode="External"/><Relationship Id="rId11017" Type="http://schemas.openxmlformats.org/officeDocument/2006/relationships/hyperlink" Target="https://m.stock.naver.com/research/company/82203" TargetMode="External"/><Relationship Id="rId14587" Type="http://schemas.openxmlformats.org/officeDocument/2006/relationships/hyperlink" Target="https://m.stock.naver.com/research/company/94492" TargetMode="External"/><Relationship Id="rId15638" Type="http://schemas.openxmlformats.org/officeDocument/2006/relationships/hyperlink" Target="https://m.stock.naver.com/research/company/95777" TargetMode="External"/><Relationship Id="rId3595" Type="http://schemas.openxmlformats.org/officeDocument/2006/relationships/hyperlink" Target="https://m.stock.naver.com/research/company/89656" TargetMode="External"/><Relationship Id="rId4646" Type="http://schemas.openxmlformats.org/officeDocument/2006/relationships/hyperlink" Target="https://m.stock.naver.com/research/company/88594" TargetMode="External"/><Relationship Id="rId13189" Type="http://schemas.openxmlformats.org/officeDocument/2006/relationships/hyperlink" Target="https://m.stock.naver.com/research/company/80018" TargetMode="External"/><Relationship Id="rId2197" Type="http://schemas.openxmlformats.org/officeDocument/2006/relationships/hyperlink" Target="https://m.stock.naver.com/research/company/91058" TargetMode="External"/><Relationship Id="rId3248" Type="http://schemas.openxmlformats.org/officeDocument/2006/relationships/hyperlink" Target="https://m.stock.naver.com/research/company/90002" TargetMode="External"/><Relationship Id="rId7869" Type="http://schemas.openxmlformats.org/officeDocument/2006/relationships/hyperlink" Target="https://m.stock.naver.com/research/company/85369" TargetMode="External"/><Relationship Id="rId10100" Type="http://schemas.openxmlformats.org/officeDocument/2006/relationships/hyperlink" Target="https://m.stock.naver.com/research/company/83121" TargetMode="External"/><Relationship Id="rId169" Type="http://schemas.openxmlformats.org/officeDocument/2006/relationships/hyperlink" Target="https://m.stock.naver.com/research/company/93289" TargetMode="External"/><Relationship Id="rId9291" Type="http://schemas.openxmlformats.org/officeDocument/2006/relationships/hyperlink" Target="https://m.stock.naver.com/research/company/83936" TargetMode="External"/><Relationship Id="rId13670" Type="http://schemas.openxmlformats.org/officeDocument/2006/relationships/hyperlink" Target="https://m.stock.naver.com/research/company/79534" TargetMode="External"/><Relationship Id="rId14721" Type="http://schemas.openxmlformats.org/officeDocument/2006/relationships/hyperlink" Target="https://m.stock.naver.com/research/company/94679" TargetMode="External"/><Relationship Id="rId650" Type="http://schemas.openxmlformats.org/officeDocument/2006/relationships/hyperlink" Target="https://m.stock.naver.com/research/company/92806" TargetMode="External"/><Relationship Id="rId1280" Type="http://schemas.openxmlformats.org/officeDocument/2006/relationships/hyperlink" Target="https://m.stock.naver.com/research/company/91975" TargetMode="External"/><Relationship Id="rId2331" Type="http://schemas.openxmlformats.org/officeDocument/2006/relationships/hyperlink" Target="https://m.stock.naver.com/research/company/90924" TargetMode="External"/><Relationship Id="rId12272" Type="http://schemas.openxmlformats.org/officeDocument/2006/relationships/hyperlink" Target="https://m.stock.naver.com/research/company/80937" TargetMode="External"/><Relationship Id="rId13323" Type="http://schemas.openxmlformats.org/officeDocument/2006/relationships/hyperlink" Target="https://m.stock.naver.com/research/company/79882" TargetMode="External"/><Relationship Id="rId303" Type="http://schemas.openxmlformats.org/officeDocument/2006/relationships/hyperlink" Target="https://m.stock.naver.com/research/company/93155" TargetMode="External"/><Relationship Id="rId6952" Type="http://schemas.openxmlformats.org/officeDocument/2006/relationships/hyperlink" Target="https://m.stock.naver.com/research/company/86287" TargetMode="External"/><Relationship Id="rId15495" Type="http://schemas.openxmlformats.org/officeDocument/2006/relationships/hyperlink" Target="https://m.stock.naver.com/research/company/95292" TargetMode="External"/><Relationship Id="rId5554" Type="http://schemas.openxmlformats.org/officeDocument/2006/relationships/hyperlink" Target="https://m.stock.naver.com/research/company/87686" TargetMode="External"/><Relationship Id="rId6605" Type="http://schemas.openxmlformats.org/officeDocument/2006/relationships/hyperlink" Target="https://m.stock.naver.com/research/company/86635" TargetMode="External"/><Relationship Id="rId14097" Type="http://schemas.openxmlformats.org/officeDocument/2006/relationships/hyperlink" Target="https://m.stock.naver.com/research/company/93905" TargetMode="External"/><Relationship Id="rId15148" Type="http://schemas.openxmlformats.org/officeDocument/2006/relationships/hyperlink" Target="https://m.stock.naver.com/research/company/94946" TargetMode="External"/><Relationship Id="rId4156" Type="http://schemas.openxmlformats.org/officeDocument/2006/relationships/hyperlink" Target="https://m.stock.naver.com/research/company/89093" TargetMode="External"/><Relationship Id="rId5207" Type="http://schemas.openxmlformats.org/officeDocument/2006/relationships/hyperlink" Target="https://m.stock.naver.com/research/company/88033" TargetMode="External"/><Relationship Id="rId8777" Type="http://schemas.openxmlformats.org/officeDocument/2006/relationships/hyperlink" Target="https://m.stock.naver.com/research/company/84460" TargetMode="External"/><Relationship Id="rId9828" Type="http://schemas.openxmlformats.org/officeDocument/2006/relationships/hyperlink" Target="https://m.stock.naver.com/research/company/83394" TargetMode="External"/><Relationship Id="rId11758" Type="http://schemas.openxmlformats.org/officeDocument/2006/relationships/hyperlink" Target="https://m.stock.naver.com/research/company/81454" TargetMode="External"/><Relationship Id="rId1817" Type="http://schemas.openxmlformats.org/officeDocument/2006/relationships/hyperlink" Target="https://m.stock.naver.com/research/company/91438" TargetMode="External"/><Relationship Id="rId7379" Type="http://schemas.openxmlformats.org/officeDocument/2006/relationships/hyperlink" Target="https://m.stock.naver.com/research/company/85860" TargetMode="External"/><Relationship Id="rId12809" Type="http://schemas.openxmlformats.org/officeDocument/2006/relationships/hyperlink" Target="https://m.stock.naver.com/research/company/80399" TargetMode="External"/><Relationship Id="rId13180" Type="http://schemas.openxmlformats.org/officeDocument/2006/relationships/hyperlink" Target="https://m.stock.naver.com/research/company/80027" TargetMode="External"/><Relationship Id="rId14231" Type="http://schemas.openxmlformats.org/officeDocument/2006/relationships/hyperlink" Target="https://m.stock.naver.com/research/company/94112" TargetMode="External"/><Relationship Id="rId160" Type="http://schemas.openxmlformats.org/officeDocument/2006/relationships/hyperlink" Target="https://m.stock.naver.com/research/company/93298" TargetMode="External"/><Relationship Id="rId3989" Type="http://schemas.openxmlformats.org/officeDocument/2006/relationships/hyperlink" Target="https://m.stock.naver.com/research/company/89262" TargetMode="External"/><Relationship Id="rId6462" Type="http://schemas.openxmlformats.org/officeDocument/2006/relationships/hyperlink" Target="https://m.stock.naver.com/research/company/86778" TargetMode="External"/><Relationship Id="rId7860" Type="http://schemas.openxmlformats.org/officeDocument/2006/relationships/hyperlink" Target="https://m.stock.naver.com/research/company/85378" TargetMode="External"/><Relationship Id="rId8911" Type="http://schemas.openxmlformats.org/officeDocument/2006/relationships/hyperlink" Target="https://m.stock.naver.com/research/company/84325" TargetMode="External"/><Relationship Id="rId10841" Type="http://schemas.openxmlformats.org/officeDocument/2006/relationships/hyperlink" Target="https://m.stock.naver.com/research/company/82379" TargetMode="External"/><Relationship Id="rId5064" Type="http://schemas.openxmlformats.org/officeDocument/2006/relationships/hyperlink" Target="https://m.stock.naver.com/research/company/88176" TargetMode="External"/><Relationship Id="rId6115" Type="http://schemas.openxmlformats.org/officeDocument/2006/relationships/hyperlink" Target="https://m.stock.naver.com/research/company/87125" TargetMode="External"/><Relationship Id="rId7513" Type="http://schemas.openxmlformats.org/officeDocument/2006/relationships/hyperlink" Target="https://m.stock.naver.com/research/company/85726" TargetMode="External"/><Relationship Id="rId9685" Type="http://schemas.openxmlformats.org/officeDocument/2006/relationships/hyperlink" Target="https://m.stock.naver.com/research/company/83538" TargetMode="External"/><Relationship Id="rId12666" Type="http://schemas.openxmlformats.org/officeDocument/2006/relationships/hyperlink" Target="https://m.stock.naver.com/research/company/80542" TargetMode="External"/><Relationship Id="rId13717" Type="http://schemas.openxmlformats.org/officeDocument/2006/relationships/hyperlink" Target="https://m.stock.naver.com/research/company/93522" TargetMode="External"/><Relationship Id="rId1674" Type="http://schemas.openxmlformats.org/officeDocument/2006/relationships/hyperlink" Target="https://m.stock.naver.com/research/company/91581" TargetMode="External"/><Relationship Id="rId2725" Type="http://schemas.openxmlformats.org/officeDocument/2006/relationships/hyperlink" Target="https://m.stock.naver.com/research/company/90529" TargetMode="External"/><Relationship Id="rId8287" Type="http://schemas.openxmlformats.org/officeDocument/2006/relationships/hyperlink" Target="https://m.stock.naver.com/research/company/84951" TargetMode="External"/><Relationship Id="rId9338" Type="http://schemas.openxmlformats.org/officeDocument/2006/relationships/hyperlink" Target="https://m.stock.naver.com/research/company/83889" TargetMode="External"/><Relationship Id="rId11268" Type="http://schemas.openxmlformats.org/officeDocument/2006/relationships/hyperlink" Target="https://m.stock.naver.com/research/company/81951" TargetMode="External"/><Relationship Id="rId12319" Type="http://schemas.openxmlformats.org/officeDocument/2006/relationships/hyperlink" Target="https://m.stock.naver.com/research/company/80890" TargetMode="External"/><Relationship Id="rId1327" Type="http://schemas.openxmlformats.org/officeDocument/2006/relationships/hyperlink" Target="https://m.stock.naver.com/research/company/91928" TargetMode="External"/><Relationship Id="rId4897" Type="http://schemas.openxmlformats.org/officeDocument/2006/relationships/hyperlink" Target="https://m.stock.naver.com/research/company/88343" TargetMode="External"/><Relationship Id="rId5948" Type="http://schemas.openxmlformats.org/officeDocument/2006/relationships/hyperlink" Target="https://m.stock.naver.com/research/company/87292" TargetMode="External"/><Relationship Id="rId33" Type="http://schemas.openxmlformats.org/officeDocument/2006/relationships/hyperlink" Target="https://m.stock.naver.com/research/company/93425" TargetMode="External"/><Relationship Id="rId3499" Type="http://schemas.openxmlformats.org/officeDocument/2006/relationships/hyperlink" Target="https://m.stock.naver.com/research/company/89752" TargetMode="External"/><Relationship Id="rId7370" Type="http://schemas.openxmlformats.org/officeDocument/2006/relationships/hyperlink" Target="https://m.stock.naver.com/research/company/85869" TargetMode="External"/><Relationship Id="rId8421" Type="http://schemas.openxmlformats.org/officeDocument/2006/relationships/hyperlink" Target="https://m.stock.naver.com/research/company/84817" TargetMode="External"/><Relationship Id="rId12800" Type="http://schemas.openxmlformats.org/officeDocument/2006/relationships/hyperlink" Target="https://m.stock.naver.com/research/company/80408" TargetMode="External"/><Relationship Id="rId7023" Type="http://schemas.openxmlformats.org/officeDocument/2006/relationships/hyperlink" Target="https://m.stock.naver.com/research/company/86216" TargetMode="External"/><Relationship Id="rId10351" Type="http://schemas.openxmlformats.org/officeDocument/2006/relationships/hyperlink" Target="https://m.stock.naver.com/research/company/82870" TargetMode="External"/><Relationship Id="rId11402" Type="http://schemas.openxmlformats.org/officeDocument/2006/relationships/hyperlink" Target="https://m.stock.naver.com/research/company/81813" TargetMode="External"/><Relationship Id="rId14972" Type="http://schemas.openxmlformats.org/officeDocument/2006/relationships/hyperlink" Target="https://m.stock.naver.com/research/company/94862" TargetMode="External"/><Relationship Id="rId3980" Type="http://schemas.openxmlformats.org/officeDocument/2006/relationships/hyperlink" Target="https://m.stock.naver.com/research/company/89271" TargetMode="External"/><Relationship Id="rId9195" Type="http://schemas.openxmlformats.org/officeDocument/2006/relationships/hyperlink" Target="https://m.stock.naver.com/research/company/84035" TargetMode="External"/><Relationship Id="rId10004" Type="http://schemas.openxmlformats.org/officeDocument/2006/relationships/hyperlink" Target="https://m.stock.naver.com/research/company/83217" TargetMode="External"/><Relationship Id="rId13574" Type="http://schemas.openxmlformats.org/officeDocument/2006/relationships/hyperlink" Target="https://m.stock.naver.com/research/company/79630" TargetMode="External"/><Relationship Id="rId14625" Type="http://schemas.openxmlformats.org/officeDocument/2006/relationships/hyperlink" Target="https://m.stock.naver.com/research/company/94552" TargetMode="External"/><Relationship Id="rId1184" Type="http://schemas.openxmlformats.org/officeDocument/2006/relationships/hyperlink" Target="https://m.stock.naver.com/research/company/92071" TargetMode="External"/><Relationship Id="rId2582" Type="http://schemas.openxmlformats.org/officeDocument/2006/relationships/hyperlink" Target="https://m.stock.naver.com/research/company/90672" TargetMode="External"/><Relationship Id="rId3633" Type="http://schemas.openxmlformats.org/officeDocument/2006/relationships/hyperlink" Target="https://m.stock.naver.com/research/company/89618" TargetMode="External"/><Relationship Id="rId12176" Type="http://schemas.openxmlformats.org/officeDocument/2006/relationships/hyperlink" Target="https://m.stock.naver.com/research/company/81035" TargetMode="External"/><Relationship Id="rId13227" Type="http://schemas.openxmlformats.org/officeDocument/2006/relationships/hyperlink" Target="https://m.stock.naver.com/research/company/79980" TargetMode="External"/><Relationship Id="rId554" Type="http://schemas.openxmlformats.org/officeDocument/2006/relationships/hyperlink" Target="https://m.stock.naver.com/research/company/92903" TargetMode="External"/><Relationship Id="rId2235" Type="http://schemas.openxmlformats.org/officeDocument/2006/relationships/hyperlink" Target="https://m.stock.naver.com/research/company/91020" TargetMode="External"/><Relationship Id="rId6856" Type="http://schemas.openxmlformats.org/officeDocument/2006/relationships/hyperlink" Target="https://m.stock.naver.com/research/company/86384" TargetMode="External"/><Relationship Id="rId7907" Type="http://schemas.openxmlformats.org/officeDocument/2006/relationships/hyperlink" Target="https://m.stock.naver.com/research/company/85331" TargetMode="External"/><Relationship Id="rId15399" Type="http://schemas.openxmlformats.org/officeDocument/2006/relationships/hyperlink" Target="https://m.stock.naver.com/research/company/95388" TargetMode="External"/><Relationship Id="rId207" Type="http://schemas.openxmlformats.org/officeDocument/2006/relationships/hyperlink" Target="https://m.stock.naver.com/research/company/93251" TargetMode="External"/><Relationship Id="rId5458" Type="http://schemas.openxmlformats.org/officeDocument/2006/relationships/hyperlink" Target="https://m.stock.naver.com/research/company/87782" TargetMode="External"/><Relationship Id="rId6509" Type="http://schemas.openxmlformats.org/officeDocument/2006/relationships/hyperlink" Target="https://m.stock.naver.com/research/company/86731" TargetMode="External"/><Relationship Id="rId12310" Type="http://schemas.openxmlformats.org/officeDocument/2006/relationships/hyperlink" Target="https://m.stock.naver.com/research/company/80899" TargetMode="External"/><Relationship Id="rId3490" Type="http://schemas.openxmlformats.org/officeDocument/2006/relationships/hyperlink" Target="https://m.stock.naver.com/research/company/89761" TargetMode="External"/><Relationship Id="rId4541" Type="http://schemas.openxmlformats.org/officeDocument/2006/relationships/hyperlink" Target="https://m.stock.naver.com/research/company/88699" TargetMode="External"/><Relationship Id="rId13084" Type="http://schemas.openxmlformats.org/officeDocument/2006/relationships/hyperlink" Target="https://m.stock.naver.com/research/company/80123" TargetMode="External"/><Relationship Id="rId14135" Type="http://schemas.openxmlformats.org/officeDocument/2006/relationships/hyperlink" Target="https://m.stock.naver.com/research/company/93993" TargetMode="External"/><Relationship Id="rId14482" Type="http://schemas.openxmlformats.org/officeDocument/2006/relationships/hyperlink" Target="https://m.stock.naver.com/research/company/94428" TargetMode="External"/><Relationship Id="rId15533" Type="http://schemas.openxmlformats.org/officeDocument/2006/relationships/hyperlink" Target="https://m.stock.naver.com/research/company/95503" TargetMode="External"/><Relationship Id="rId2092" Type="http://schemas.openxmlformats.org/officeDocument/2006/relationships/hyperlink" Target="https://m.stock.naver.com/research/company/91163" TargetMode="External"/><Relationship Id="rId3143" Type="http://schemas.openxmlformats.org/officeDocument/2006/relationships/hyperlink" Target="https://m.stock.naver.com/research/company/90108" TargetMode="External"/><Relationship Id="rId7764" Type="http://schemas.openxmlformats.org/officeDocument/2006/relationships/hyperlink" Target="https://m.stock.naver.com/research/company/85475" TargetMode="External"/><Relationship Id="rId8815" Type="http://schemas.openxmlformats.org/officeDocument/2006/relationships/hyperlink" Target="https://m.stock.naver.com/research/company/84422" TargetMode="External"/><Relationship Id="rId10745" Type="http://schemas.openxmlformats.org/officeDocument/2006/relationships/hyperlink" Target="https://m.stock.naver.com/research/company/82475" TargetMode="External"/><Relationship Id="rId6366" Type="http://schemas.openxmlformats.org/officeDocument/2006/relationships/hyperlink" Target="https://m.stock.naver.com/research/company/86874" TargetMode="External"/><Relationship Id="rId7417" Type="http://schemas.openxmlformats.org/officeDocument/2006/relationships/hyperlink" Target="https://m.stock.naver.com/research/company/85822" TargetMode="External"/><Relationship Id="rId13968" Type="http://schemas.openxmlformats.org/officeDocument/2006/relationships/hyperlink" Target="https://m.stock.naver.com/research/company/93764" TargetMode="External"/><Relationship Id="rId2976" Type="http://schemas.openxmlformats.org/officeDocument/2006/relationships/hyperlink" Target="https://m.stock.naver.com/research/company/90277" TargetMode="External"/><Relationship Id="rId6019" Type="http://schemas.openxmlformats.org/officeDocument/2006/relationships/hyperlink" Target="https://m.stock.naver.com/research/company/87221" TargetMode="External"/><Relationship Id="rId9589" Type="http://schemas.openxmlformats.org/officeDocument/2006/relationships/hyperlink" Target="https://m.stock.naver.com/research/company/83638" TargetMode="External"/><Relationship Id="rId15390" Type="http://schemas.openxmlformats.org/officeDocument/2006/relationships/hyperlink" Target="https://m.stock.naver.com/research/company/95397" TargetMode="External"/><Relationship Id="rId948" Type="http://schemas.openxmlformats.org/officeDocument/2006/relationships/hyperlink" Target="https://m.stock.naver.com/research/company/92508" TargetMode="External"/><Relationship Id="rId1578" Type="http://schemas.openxmlformats.org/officeDocument/2006/relationships/hyperlink" Target="https://m.stock.naver.com/research/company/91677" TargetMode="External"/><Relationship Id="rId2629" Type="http://schemas.openxmlformats.org/officeDocument/2006/relationships/hyperlink" Target="https://m.stock.naver.com/research/company/90625" TargetMode="External"/><Relationship Id="rId6500" Type="http://schemas.openxmlformats.org/officeDocument/2006/relationships/hyperlink" Target="https://m.stock.naver.com/research/company/86740" TargetMode="External"/><Relationship Id="rId15043" Type="http://schemas.openxmlformats.org/officeDocument/2006/relationships/hyperlink" Target="https://m.stock.naver.com/research/company/95051" TargetMode="External"/><Relationship Id="rId4051" Type="http://schemas.openxmlformats.org/officeDocument/2006/relationships/hyperlink" Target="https://m.stock.naver.com/research/company/89200" TargetMode="External"/><Relationship Id="rId5102" Type="http://schemas.openxmlformats.org/officeDocument/2006/relationships/hyperlink" Target="https://m.stock.naver.com/research/company/88138" TargetMode="External"/><Relationship Id="rId8672" Type="http://schemas.openxmlformats.org/officeDocument/2006/relationships/hyperlink" Target="https://m.stock.naver.com/research/company/84565" TargetMode="External"/><Relationship Id="rId7274" Type="http://schemas.openxmlformats.org/officeDocument/2006/relationships/hyperlink" Target="https://m.stock.naver.com/research/company/85965" TargetMode="External"/><Relationship Id="rId8325" Type="http://schemas.openxmlformats.org/officeDocument/2006/relationships/hyperlink" Target="https://m.stock.naver.com/research/company/84913" TargetMode="External"/><Relationship Id="rId9723" Type="http://schemas.openxmlformats.org/officeDocument/2006/relationships/hyperlink" Target="https://m.stock.naver.com/research/company/83500" TargetMode="External"/><Relationship Id="rId11653" Type="http://schemas.openxmlformats.org/officeDocument/2006/relationships/hyperlink" Target="https://m.stock.naver.com/research/company/81559" TargetMode="External"/><Relationship Id="rId12704" Type="http://schemas.openxmlformats.org/officeDocument/2006/relationships/hyperlink" Target="https://m.stock.naver.com/research/company/80504" TargetMode="External"/><Relationship Id="rId1712" Type="http://schemas.openxmlformats.org/officeDocument/2006/relationships/hyperlink" Target="https://m.stock.naver.com/research/company/91543" TargetMode="External"/><Relationship Id="rId10255" Type="http://schemas.openxmlformats.org/officeDocument/2006/relationships/hyperlink" Target="https://m.stock.naver.com/research/company/82966" TargetMode="External"/><Relationship Id="rId11306" Type="http://schemas.openxmlformats.org/officeDocument/2006/relationships/hyperlink" Target="https://m.stock.naver.com/research/company/81913" TargetMode="External"/><Relationship Id="rId14876" Type="http://schemas.openxmlformats.org/officeDocument/2006/relationships/hyperlink" Target="https://m.stock.naver.com/research/company/94748" TargetMode="External"/><Relationship Id="rId3884" Type="http://schemas.openxmlformats.org/officeDocument/2006/relationships/hyperlink" Target="https://m.stock.naver.com/research/company/89367" TargetMode="External"/><Relationship Id="rId4935" Type="http://schemas.openxmlformats.org/officeDocument/2006/relationships/hyperlink" Target="https://m.stock.naver.com/research/company/88305" TargetMode="External"/><Relationship Id="rId9099" Type="http://schemas.openxmlformats.org/officeDocument/2006/relationships/hyperlink" Target="https://m.stock.naver.com/research/company/84131" TargetMode="External"/><Relationship Id="rId13478" Type="http://schemas.openxmlformats.org/officeDocument/2006/relationships/hyperlink" Target="https://m.stock.naver.com/research/company/79726" TargetMode="External"/><Relationship Id="rId14529" Type="http://schemas.openxmlformats.org/officeDocument/2006/relationships/hyperlink" Target="https://m.stock.naver.com/research/company/94381" TargetMode="External"/><Relationship Id="rId2486" Type="http://schemas.openxmlformats.org/officeDocument/2006/relationships/hyperlink" Target="https://m.stock.naver.com/research/company/90768" TargetMode="External"/><Relationship Id="rId3537" Type="http://schemas.openxmlformats.org/officeDocument/2006/relationships/hyperlink" Target="https://m.stock.naver.com/research/company/89714" TargetMode="External"/><Relationship Id="rId458" Type="http://schemas.openxmlformats.org/officeDocument/2006/relationships/hyperlink" Target="https://m.stock.naver.com/research/company/92999" TargetMode="External"/><Relationship Id="rId1088" Type="http://schemas.openxmlformats.org/officeDocument/2006/relationships/hyperlink" Target="https://m.stock.naver.com/research/company/92168" TargetMode="External"/><Relationship Id="rId2139" Type="http://schemas.openxmlformats.org/officeDocument/2006/relationships/hyperlink" Target="https://m.stock.naver.com/research/company/91116" TargetMode="External"/><Relationship Id="rId6010" Type="http://schemas.openxmlformats.org/officeDocument/2006/relationships/hyperlink" Target="https://m.stock.naver.com/research/company/87230" TargetMode="External"/><Relationship Id="rId9580" Type="http://schemas.openxmlformats.org/officeDocument/2006/relationships/hyperlink" Target="https://m.stock.naver.com/research/company/83647" TargetMode="External"/><Relationship Id="rId2620" Type="http://schemas.openxmlformats.org/officeDocument/2006/relationships/hyperlink" Target="https://m.stock.naver.com/research/company/90634" TargetMode="External"/><Relationship Id="rId8182" Type="http://schemas.openxmlformats.org/officeDocument/2006/relationships/hyperlink" Target="https://m.stock.naver.com/research/company/85056" TargetMode="External"/><Relationship Id="rId9233" Type="http://schemas.openxmlformats.org/officeDocument/2006/relationships/hyperlink" Target="https://m.stock.naver.com/research/company/83996" TargetMode="External"/><Relationship Id="rId11163" Type="http://schemas.openxmlformats.org/officeDocument/2006/relationships/hyperlink" Target="https://m.stock.naver.com/research/company/82057" TargetMode="External"/><Relationship Id="rId12214" Type="http://schemas.openxmlformats.org/officeDocument/2006/relationships/hyperlink" Target="https://m.stock.naver.com/research/company/80996" TargetMode="External"/><Relationship Id="rId12561" Type="http://schemas.openxmlformats.org/officeDocument/2006/relationships/hyperlink" Target="https://m.stock.naver.com/research/company/80647" TargetMode="External"/><Relationship Id="rId13612" Type="http://schemas.openxmlformats.org/officeDocument/2006/relationships/hyperlink" Target="https://m.stock.naver.com/research/company/79592" TargetMode="External"/><Relationship Id="rId1222" Type="http://schemas.openxmlformats.org/officeDocument/2006/relationships/hyperlink" Target="https://m.stock.naver.com/research/company/92033" TargetMode="External"/><Relationship Id="rId3394" Type="http://schemas.openxmlformats.org/officeDocument/2006/relationships/hyperlink" Target="https://m.stock.naver.com/research/company/89857" TargetMode="External"/><Relationship Id="rId4792" Type="http://schemas.openxmlformats.org/officeDocument/2006/relationships/hyperlink" Target="https://m.stock.naver.com/research/company/88448" TargetMode="External"/><Relationship Id="rId5843" Type="http://schemas.openxmlformats.org/officeDocument/2006/relationships/hyperlink" Target="https://m.stock.naver.com/research/company/87397" TargetMode="External"/><Relationship Id="rId14386" Type="http://schemas.openxmlformats.org/officeDocument/2006/relationships/hyperlink" Target="https://m.stock.naver.com/research/company/94226" TargetMode="External"/><Relationship Id="rId15437" Type="http://schemas.openxmlformats.org/officeDocument/2006/relationships/hyperlink" Target="https://m.stock.naver.com/research/company/95350" TargetMode="External"/><Relationship Id="rId3047" Type="http://schemas.openxmlformats.org/officeDocument/2006/relationships/hyperlink" Target="https://m.stock.naver.com/research/company/90204" TargetMode="External"/><Relationship Id="rId4445" Type="http://schemas.openxmlformats.org/officeDocument/2006/relationships/hyperlink" Target="https://m.stock.naver.com/research/company/88795" TargetMode="External"/><Relationship Id="rId10996" Type="http://schemas.openxmlformats.org/officeDocument/2006/relationships/hyperlink" Target="https://m.stock.naver.com/research/company/82224" TargetMode="External"/><Relationship Id="rId14039" Type="http://schemas.openxmlformats.org/officeDocument/2006/relationships/hyperlink" Target="https://m.stock.naver.com/research/company/93808" TargetMode="External"/><Relationship Id="rId7668" Type="http://schemas.openxmlformats.org/officeDocument/2006/relationships/hyperlink" Target="https://m.stock.naver.com/research/company/85571" TargetMode="External"/><Relationship Id="rId8719" Type="http://schemas.openxmlformats.org/officeDocument/2006/relationships/hyperlink" Target="https://m.stock.naver.com/research/company/84518" TargetMode="External"/><Relationship Id="rId10649" Type="http://schemas.openxmlformats.org/officeDocument/2006/relationships/hyperlink" Target="https://m.stock.naver.com/research/company/82571" TargetMode="External"/><Relationship Id="rId14520" Type="http://schemas.openxmlformats.org/officeDocument/2006/relationships/hyperlink" Target="https://m.stock.naver.com/research/company/94390" TargetMode="External"/><Relationship Id="rId9090" Type="http://schemas.openxmlformats.org/officeDocument/2006/relationships/hyperlink" Target="https://m.stock.naver.com/research/company/84140" TargetMode="External"/><Relationship Id="rId12071" Type="http://schemas.openxmlformats.org/officeDocument/2006/relationships/hyperlink" Target="https://m.stock.naver.com/research/company/81140" TargetMode="External"/><Relationship Id="rId13122" Type="http://schemas.openxmlformats.org/officeDocument/2006/relationships/hyperlink" Target="https://m.stock.naver.com/research/company/80085" TargetMode="External"/><Relationship Id="rId2130" Type="http://schemas.openxmlformats.org/officeDocument/2006/relationships/hyperlink" Target="https://m.stock.naver.com/research/company/91125" TargetMode="External"/><Relationship Id="rId6751" Type="http://schemas.openxmlformats.org/officeDocument/2006/relationships/hyperlink" Target="https://m.stock.naver.com/research/company/86489" TargetMode="External"/><Relationship Id="rId15294" Type="http://schemas.openxmlformats.org/officeDocument/2006/relationships/hyperlink" Target="https://m.stock.naver.com/research/company/95066" TargetMode="External"/><Relationship Id="rId102" Type="http://schemas.openxmlformats.org/officeDocument/2006/relationships/hyperlink" Target="https://m.stock.naver.com/research/company/93356" TargetMode="External"/><Relationship Id="rId5353" Type="http://schemas.openxmlformats.org/officeDocument/2006/relationships/hyperlink" Target="https://m.stock.naver.com/research/company/87887" TargetMode="External"/><Relationship Id="rId6404" Type="http://schemas.openxmlformats.org/officeDocument/2006/relationships/hyperlink" Target="https://m.stock.naver.com/research/company/86836" TargetMode="External"/><Relationship Id="rId7802" Type="http://schemas.openxmlformats.org/officeDocument/2006/relationships/hyperlink" Target="https://m.stock.naver.com/research/company/85436" TargetMode="External"/><Relationship Id="rId5006" Type="http://schemas.openxmlformats.org/officeDocument/2006/relationships/hyperlink" Target="https://m.stock.naver.com/research/company/88234" TargetMode="External"/><Relationship Id="rId9974" Type="http://schemas.openxmlformats.org/officeDocument/2006/relationships/hyperlink" Target="https://m.stock.naver.com/research/company/83247" TargetMode="External"/><Relationship Id="rId12955" Type="http://schemas.openxmlformats.org/officeDocument/2006/relationships/hyperlink" Target="https://m.stock.naver.com/research/company/80253" TargetMode="External"/><Relationship Id="rId1963" Type="http://schemas.openxmlformats.org/officeDocument/2006/relationships/hyperlink" Target="https://m.stock.naver.com/research/company/91292" TargetMode="External"/><Relationship Id="rId7178" Type="http://schemas.openxmlformats.org/officeDocument/2006/relationships/hyperlink" Target="https://m.stock.naver.com/research/company/86061" TargetMode="External"/><Relationship Id="rId8576" Type="http://schemas.openxmlformats.org/officeDocument/2006/relationships/hyperlink" Target="https://m.stock.naver.com/research/company/84661" TargetMode="External"/><Relationship Id="rId9627" Type="http://schemas.openxmlformats.org/officeDocument/2006/relationships/hyperlink" Target="https://m.stock.naver.com/research/company/83598" TargetMode="External"/><Relationship Id="rId11557" Type="http://schemas.openxmlformats.org/officeDocument/2006/relationships/hyperlink" Target="https://m.stock.naver.com/research/company/81657" TargetMode="External"/><Relationship Id="rId12608" Type="http://schemas.openxmlformats.org/officeDocument/2006/relationships/hyperlink" Target="https://m.stock.naver.com/research/company/80600" TargetMode="External"/><Relationship Id="rId1616" Type="http://schemas.openxmlformats.org/officeDocument/2006/relationships/hyperlink" Target="https://m.stock.naver.com/research/company/91639" TargetMode="External"/><Relationship Id="rId8229" Type="http://schemas.openxmlformats.org/officeDocument/2006/relationships/hyperlink" Target="https://m.stock.naver.com/research/company/85009" TargetMode="External"/><Relationship Id="rId10159" Type="http://schemas.openxmlformats.org/officeDocument/2006/relationships/hyperlink" Target="https://m.stock.naver.com/research/company/83062" TargetMode="External"/><Relationship Id="rId14030" Type="http://schemas.openxmlformats.org/officeDocument/2006/relationships/hyperlink" Target="https://m.stock.naver.com/research/company/93817" TargetMode="External"/><Relationship Id="rId3788" Type="http://schemas.openxmlformats.org/officeDocument/2006/relationships/hyperlink" Target="https://m.stock.naver.com/research/company/89463" TargetMode="External"/><Relationship Id="rId4839" Type="http://schemas.openxmlformats.org/officeDocument/2006/relationships/hyperlink" Target="https://m.stock.naver.com/research/company/88401" TargetMode="External"/><Relationship Id="rId8710" Type="http://schemas.openxmlformats.org/officeDocument/2006/relationships/hyperlink" Target="https://m.stock.naver.com/research/company/84527" TargetMode="External"/><Relationship Id="rId6261" Type="http://schemas.openxmlformats.org/officeDocument/2006/relationships/hyperlink" Target="https://m.stock.naver.com/research/company/86979" TargetMode="External"/><Relationship Id="rId7312" Type="http://schemas.openxmlformats.org/officeDocument/2006/relationships/hyperlink" Target="https://m.stock.naver.com/research/company/85927" TargetMode="External"/><Relationship Id="rId10640" Type="http://schemas.openxmlformats.org/officeDocument/2006/relationships/hyperlink" Target="https://m.stock.naver.com/research/company/82580" TargetMode="External"/><Relationship Id="rId9484" Type="http://schemas.openxmlformats.org/officeDocument/2006/relationships/hyperlink" Target="https://m.stock.naver.com/research/company/83743" TargetMode="External"/><Relationship Id="rId13863" Type="http://schemas.openxmlformats.org/officeDocument/2006/relationships/hyperlink" Target="https://m.stock.naver.com/research/company/93664" TargetMode="External"/><Relationship Id="rId14914" Type="http://schemas.openxmlformats.org/officeDocument/2006/relationships/hyperlink" Target="https://m.stock.naver.com/research/company/94920" TargetMode="External"/><Relationship Id="rId1473" Type="http://schemas.openxmlformats.org/officeDocument/2006/relationships/hyperlink" Target="https://m.stock.naver.com/research/company/91782" TargetMode="External"/><Relationship Id="rId2871" Type="http://schemas.openxmlformats.org/officeDocument/2006/relationships/hyperlink" Target="https://m.stock.naver.com/research/company/90382" TargetMode="External"/><Relationship Id="rId3922" Type="http://schemas.openxmlformats.org/officeDocument/2006/relationships/hyperlink" Target="https://m.stock.naver.com/research/company/89329" TargetMode="External"/><Relationship Id="rId8086" Type="http://schemas.openxmlformats.org/officeDocument/2006/relationships/hyperlink" Target="https://m.stock.naver.com/research/company/85152" TargetMode="External"/><Relationship Id="rId9137" Type="http://schemas.openxmlformats.org/officeDocument/2006/relationships/hyperlink" Target="https://m.stock.naver.com/research/company/84093" TargetMode="External"/><Relationship Id="rId12465" Type="http://schemas.openxmlformats.org/officeDocument/2006/relationships/hyperlink" Target="https://m.stock.naver.com/research/company/80744" TargetMode="External"/><Relationship Id="rId13516" Type="http://schemas.openxmlformats.org/officeDocument/2006/relationships/hyperlink" Target="https://m.stock.naver.com/research/company/79688" TargetMode="External"/><Relationship Id="rId843" Type="http://schemas.openxmlformats.org/officeDocument/2006/relationships/hyperlink" Target="https://m.stock.naver.com/research/company/92613" TargetMode="External"/><Relationship Id="rId1126" Type="http://schemas.openxmlformats.org/officeDocument/2006/relationships/hyperlink" Target="https://m.stock.naver.com/research/company/92129" TargetMode="External"/><Relationship Id="rId2524" Type="http://schemas.openxmlformats.org/officeDocument/2006/relationships/hyperlink" Target="https://m.stock.naver.com/research/company/90730" TargetMode="External"/><Relationship Id="rId11067" Type="http://schemas.openxmlformats.org/officeDocument/2006/relationships/hyperlink" Target="https://m.stock.naver.com/research/company/82153" TargetMode="External"/><Relationship Id="rId12118" Type="http://schemas.openxmlformats.org/officeDocument/2006/relationships/hyperlink" Target="https://m.stock.naver.com/research/company/81093" TargetMode="External"/><Relationship Id="rId15688" Type="http://schemas.openxmlformats.org/officeDocument/2006/relationships/hyperlink" Target="https://m.stock.naver.com/research/company/95726" TargetMode="External"/><Relationship Id="rId4696" Type="http://schemas.openxmlformats.org/officeDocument/2006/relationships/hyperlink" Target="https://m.stock.naver.com/research/company/88544" TargetMode="External"/><Relationship Id="rId5747" Type="http://schemas.openxmlformats.org/officeDocument/2006/relationships/hyperlink" Target="https://m.stock.naver.com/research/company/87493" TargetMode="External"/><Relationship Id="rId3298" Type="http://schemas.openxmlformats.org/officeDocument/2006/relationships/hyperlink" Target="https://m.stock.naver.com/research/company/89952" TargetMode="External"/><Relationship Id="rId4349" Type="http://schemas.openxmlformats.org/officeDocument/2006/relationships/hyperlink" Target="https://m.stock.naver.com/research/company/88892" TargetMode="External"/><Relationship Id="rId8220" Type="http://schemas.openxmlformats.org/officeDocument/2006/relationships/hyperlink" Target="https://m.stock.naver.com/research/company/85018" TargetMode="External"/><Relationship Id="rId10150" Type="http://schemas.openxmlformats.org/officeDocument/2006/relationships/hyperlink" Target="https://m.stock.naver.com/research/company/83071" TargetMode="External"/><Relationship Id="rId11201" Type="http://schemas.openxmlformats.org/officeDocument/2006/relationships/hyperlink" Target="https://m.stock.naver.com/research/company/82019" TargetMode="External"/><Relationship Id="rId4830" Type="http://schemas.openxmlformats.org/officeDocument/2006/relationships/hyperlink" Target="https://m.stock.naver.com/research/company/88410" TargetMode="External"/><Relationship Id="rId13373" Type="http://schemas.openxmlformats.org/officeDocument/2006/relationships/hyperlink" Target="https://m.stock.naver.com/research/company/79832" TargetMode="External"/><Relationship Id="rId14424" Type="http://schemas.openxmlformats.org/officeDocument/2006/relationships/hyperlink" Target="https://m.stock.naver.com/research/company/94259" TargetMode="External"/><Relationship Id="rId14771" Type="http://schemas.openxmlformats.org/officeDocument/2006/relationships/hyperlink" Target="https://m.stock.naver.com/research/company/94629" TargetMode="External"/><Relationship Id="rId2381" Type="http://schemas.openxmlformats.org/officeDocument/2006/relationships/hyperlink" Target="https://m.stock.naver.com/research/company/90873" TargetMode="External"/><Relationship Id="rId3432" Type="http://schemas.openxmlformats.org/officeDocument/2006/relationships/hyperlink" Target="https://m.stock.naver.com/research/company/89819" TargetMode="External"/><Relationship Id="rId13026" Type="http://schemas.openxmlformats.org/officeDocument/2006/relationships/hyperlink" Target="https://m.stock.naver.com/research/company/80181" TargetMode="External"/><Relationship Id="rId353" Type="http://schemas.openxmlformats.org/officeDocument/2006/relationships/hyperlink" Target="https://m.stock.naver.com/research/company/93105" TargetMode="External"/><Relationship Id="rId2034" Type="http://schemas.openxmlformats.org/officeDocument/2006/relationships/hyperlink" Target="https://m.stock.naver.com/research/company/91221" TargetMode="External"/><Relationship Id="rId15198" Type="http://schemas.openxmlformats.org/officeDocument/2006/relationships/hyperlink" Target="https://m.stock.naver.com/research/company/95162" TargetMode="External"/><Relationship Id="rId5257" Type="http://schemas.openxmlformats.org/officeDocument/2006/relationships/hyperlink" Target="https://m.stock.naver.com/research/company/87983" TargetMode="External"/><Relationship Id="rId6655" Type="http://schemas.openxmlformats.org/officeDocument/2006/relationships/hyperlink" Target="https://m.stock.naver.com/research/company/86585" TargetMode="External"/><Relationship Id="rId7706" Type="http://schemas.openxmlformats.org/officeDocument/2006/relationships/hyperlink" Target="https://m.stock.naver.com/research/company/85533" TargetMode="External"/><Relationship Id="rId6308" Type="http://schemas.openxmlformats.org/officeDocument/2006/relationships/hyperlink" Target="https://m.stock.naver.com/research/company/86932" TargetMode="External"/><Relationship Id="rId9878" Type="http://schemas.openxmlformats.org/officeDocument/2006/relationships/hyperlink" Target="https://m.stock.naver.com/research/company/83344" TargetMode="External"/><Relationship Id="rId12859" Type="http://schemas.openxmlformats.org/officeDocument/2006/relationships/hyperlink" Target="https://m.stock.naver.com/research/company/80349" TargetMode="External"/><Relationship Id="rId1867" Type="http://schemas.openxmlformats.org/officeDocument/2006/relationships/hyperlink" Target="https://m.stock.naver.com/research/company/91388" TargetMode="External"/><Relationship Id="rId2918" Type="http://schemas.openxmlformats.org/officeDocument/2006/relationships/hyperlink" Target="https://m.stock.naver.com/research/company/90335" TargetMode="External"/><Relationship Id="rId14281" Type="http://schemas.openxmlformats.org/officeDocument/2006/relationships/hyperlink" Target="https://m.stock.naver.com/research/company/94183" TargetMode="External"/><Relationship Id="rId15332" Type="http://schemas.openxmlformats.org/officeDocument/2006/relationships/hyperlink" Target="https://m.stock.naver.com/research/company/95256" TargetMode="External"/><Relationship Id="rId4340" Type="http://schemas.openxmlformats.org/officeDocument/2006/relationships/hyperlink" Target="https://m.stock.naver.com/research/company/88901" TargetMode="External"/><Relationship Id="rId8961" Type="http://schemas.openxmlformats.org/officeDocument/2006/relationships/hyperlink" Target="https://m.stock.naver.com/research/company/84271" TargetMode="External"/><Relationship Id="rId7563" Type="http://schemas.openxmlformats.org/officeDocument/2006/relationships/hyperlink" Target="https://m.stock.naver.com/research/company/85676" TargetMode="External"/><Relationship Id="rId8614" Type="http://schemas.openxmlformats.org/officeDocument/2006/relationships/hyperlink" Target="https://m.stock.naver.com/research/company/84623" TargetMode="External"/><Relationship Id="rId10891" Type="http://schemas.openxmlformats.org/officeDocument/2006/relationships/hyperlink" Target="https://m.stock.naver.com/research/company/82329" TargetMode="External"/><Relationship Id="rId11942" Type="http://schemas.openxmlformats.org/officeDocument/2006/relationships/hyperlink" Target="https://m.stock.naver.com/research/company/81269" TargetMode="External"/><Relationship Id="rId6165" Type="http://schemas.openxmlformats.org/officeDocument/2006/relationships/hyperlink" Target="https://m.stock.naver.com/research/company/87075" TargetMode="External"/><Relationship Id="rId7216" Type="http://schemas.openxmlformats.org/officeDocument/2006/relationships/hyperlink" Target="https://m.stock.naver.com/research/company/86023" TargetMode="External"/><Relationship Id="rId10544" Type="http://schemas.openxmlformats.org/officeDocument/2006/relationships/hyperlink" Target="https://m.stock.naver.com/research/company/82676" TargetMode="External"/><Relationship Id="rId9388" Type="http://schemas.openxmlformats.org/officeDocument/2006/relationships/hyperlink" Target="https://m.stock.naver.com/research/company/83839" TargetMode="External"/><Relationship Id="rId13767" Type="http://schemas.openxmlformats.org/officeDocument/2006/relationships/hyperlink" Target="https://m.stock.naver.com/research/company/93540" TargetMode="External"/><Relationship Id="rId14818" Type="http://schemas.openxmlformats.org/officeDocument/2006/relationships/hyperlink" Target="https://m.stock.naver.com/research/company/94806" TargetMode="External"/><Relationship Id="rId2775" Type="http://schemas.openxmlformats.org/officeDocument/2006/relationships/hyperlink" Target="https://m.stock.naver.com/research/company/90479" TargetMode="External"/><Relationship Id="rId3826" Type="http://schemas.openxmlformats.org/officeDocument/2006/relationships/hyperlink" Target="https://m.stock.naver.com/research/company/89425" TargetMode="External"/><Relationship Id="rId12369" Type="http://schemas.openxmlformats.org/officeDocument/2006/relationships/hyperlink" Target="https://m.stock.naver.com/research/company/80840" TargetMode="External"/><Relationship Id="rId747" Type="http://schemas.openxmlformats.org/officeDocument/2006/relationships/hyperlink" Target="https://m.stock.naver.com/research/company/92709" TargetMode="External"/><Relationship Id="rId1377" Type="http://schemas.openxmlformats.org/officeDocument/2006/relationships/hyperlink" Target="https://m.stock.naver.com/research/company/91878" TargetMode="External"/><Relationship Id="rId2428" Type="http://schemas.openxmlformats.org/officeDocument/2006/relationships/hyperlink" Target="https://m.stock.naver.com/research/company/90826" TargetMode="External"/><Relationship Id="rId5998" Type="http://schemas.openxmlformats.org/officeDocument/2006/relationships/hyperlink" Target="https://m.stock.naver.com/research/company/87242" TargetMode="External"/><Relationship Id="rId83" Type="http://schemas.openxmlformats.org/officeDocument/2006/relationships/hyperlink" Target="https://m.stock.naver.com/research/company/93375" TargetMode="External"/><Relationship Id="rId8471" Type="http://schemas.openxmlformats.org/officeDocument/2006/relationships/hyperlink" Target="https://m.stock.naver.com/research/company/84766" TargetMode="External"/><Relationship Id="rId9522" Type="http://schemas.openxmlformats.org/officeDocument/2006/relationships/hyperlink" Target="https://m.stock.naver.com/research/company/83705" TargetMode="External"/><Relationship Id="rId11452" Type="http://schemas.openxmlformats.org/officeDocument/2006/relationships/hyperlink" Target="https://m.stock.naver.com/research/company/81763" TargetMode="External"/><Relationship Id="rId12503" Type="http://schemas.openxmlformats.org/officeDocument/2006/relationships/hyperlink" Target="https://m.stock.naver.com/research/company/80705" TargetMode="External"/><Relationship Id="rId12850" Type="http://schemas.openxmlformats.org/officeDocument/2006/relationships/hyperlink" Target="https://m.stock.naver.com/research/company/80358" TargetMode="External"/><Relationship Id="rId13901" Type="http://schemas.openxmlformats.org/officeDocument/2006/relationships/hyperlink" Target="https://m.stock.naver.com/research/company/93701" TargetMode="External"/><Relationship Id="rId1511" Type="http://schemas.openxmlformats.org/officeDocument/2006/relationships/hyperlink" Target="https://m.stock.naver.com/research/company/91744" TargetMode="External"/><Relationship Id="rId7073" Type="http://schemas.openxmlformats.org/officeDocument/2006/relationships/hyperlink" Target="https://m.stock.naver.com/research/company/86166" TargetMode="External"/><Relationship Id="rId8124" Type="http://schemas.openxmlformats.org/officeDocument/2006/relationships/hyperlink" Target="https://m.stock.naver.com/research/company/85114" TargetMode="External"/><Relationship Id="rId10054" Type="http://schemas.openxmlformats.org/officeDocument/2006/relationships/hyperlink" Target="https://m.stock.naver.com/research/company/83167" TargetMode="External"/><Relationship Id="rId11105" Type="http://schemas.openxmlformats.org/officeDocument/2006/relationships/hyperlink" Target="https://m.stock.naver.com/research/company/82115" TargetMode="External"/><Relationship Id="rId3683" Type="http://schemas.openxmlformats.org/officeDocument/2006/relationships/hyperlink" Target="https://m.stock.naver.com/research/company/89568" TargetMode="External"/><Relationship Id="rId14675" Type="http://schemas.openxmlformats.org/officeDocument/2006/relationships/hyperlink" Target="https://m.stock.naver.com/research/company/94503" TargetMode="External"/><Relationship Id="rId15726" Type="http://schemas.openxmlformats.org/officeDocument/2006/relationships/hyperlink" Target="https://m.stock.naver.com/research/company/95688" TargetMode="External"/><Relationship Id="rId2285" Type="http://schemas.openxmlformats.org/officeDocument/2006/relationships/hyperlink" Target="https://m.stock.naver.com/research/company/90970" TargetMode="External"/><Relationship Id="rId3336" Type="http://schemas.openxmlformats.org/officeDocument/2006/relationships/hyperlink" Target="https://m.stock.naver.com/research/company/89914" TargetMode="External"/><Relationship Id="rId4734" Type="http://schemas.openxmlformats.org/officeDocument/2006/relationships/hyperlink" Target="https://m.stock.naver.com/research/company/88506" TargetMode="External"/><Relationship Id="rId13277" Type="http://schemas.openxmlformats.org/officeDocument/2006/relationships/hyperlink" Target="https://m.stock.naver.com/research/company/79929" TargetMode="External"/><Relationship Id="rId14328" Type="http://schemas.openxmlformats.org/officeDocument/2006/relationships/hyperlink" Target="https://m.stock.naver.com/research/company/94223" TargetMode="External"/><Relationship Id="rId257" Type="http://schemas.openxmlformats.org/officeDocument/2006/relationships/hyperlink" Target="https://m.stock.naver.com/research/company/93201" TargetMode="External"/><Relationship Id="rId7957" Type="http://schemas.openxmlformats.org/officeDocument/2006/relationships/hyperlink" Target="https://m.stock.naver.com/research/company/85281" TargetMode="External"/><Relationship Id="rId10938" Type="http://schemas.openxmlformats.org/officeDocument/2006/relationships/hyperlink" Target="https://m.stock.naver.com/research/company/82282" TargetMode="External"/><Relationship Id="rId6559" Type="http://schemas.openxmlformats.org/officeDocument/2006/relationships/hyperlink" Target="https://m.stock.naver.com/research/company/86681" TargetMode="External"/><Relationship Id="rId12360" Type="http://schemas.openxmlformats.org/officeDocument/2006/relationships/hyperlink" Target="https://m.stock.naver.com/research/company/80849" TargetMode="External"/><Relationship Id="rId13411" Type="http://schemas.openxmlformats.org/officeDocument/2006/relationships/hyperlink" Target="https://m.stock.naver.com/research/company/79794" TargetMode="External"/><Relationship Id="rId9032" Type="http://schemas.openxmlformats.org/officeDocument/2006/relationships/hyperlink" Target="https://m.stock.naver.com/research/company/84200" TargetMode="External"/><Relationship Id="rId12013" Type="http://schemas.openxmlformats.org/officeDocument/2006/relationships/hyperlink" Target="https://m.stock.naver.com/research/company/81198" TargetMode="External"/><Relationship Id="rId15583" Type="http://schemas.openxmlformats.org/officeDocument/2006/relationships/hyperlink" Target="https://m.stock.naver.com/research/company/95453" TargetMode="External"/><Relationship Id="rId1021" Type="http://schemas.openxmlformats.org/officeDocument/2006/relationships/hyperlink" Target="https://m.stock.naver.com/research/company/92330" TargetMode="External"/><Relationship Id="rId4591" Type="http://schemas.openxmlformats.org/officeDocument/2006/relationships/hyperlink" Target="https://m.stock.naver.com/research/company/88649" TargetMode="External"/><Relationship Id="rId5642" Type="http://schemas.openxmlformats.org/officeDocument/2006/relationships/hyperlink" Target="https://m.stock.naver.com/research/company/87598" TargetMode="External"/><Relationship Id="rId14185" Type="http://schemas.openxmlformats.org/officeDocument/2006/relationships/hyperlink" Target="https://m.stock.naver.com/research/company/94073" TargetMode="External"/><Relationship Id="rId15236" Type="http://schemas.openxmlformats.org/officeDocument/2006/relationships/hyperlink" Target="https://m.stock.naver.com/research/company/95124" TargetMode="External"/><Relationship Id="rId3193" Type="http://schemas.openxmlformats.org/officeDocument/2006/relationships/hyperlink" Target="https://m.stock.naver.com/research/company/90058" TargetMode="External"/><Relationship Id="rId4244" Type="http://schemas.openxmlformats.org/officeDocument/2006/relationships/hyperlink" Target="https://m.stock.naver.com/research/company/88998" TargetMode="External"/><Relationship Id="rId7467" Type="http://schemas.openxmlformats.org/officeDocument/2006/relationships/hyperlink" Target="https://m.stock.naver.com/research/company/85772" TargetMode="External"/><Relationship Id="rId8865" Type="http://schemas.openxmlformats.org/officeDocument/2006/relationships/hyperlink" Target="https://m.stock.naver.com/research/company/84372" TargetMode="External"/><Relationship Id="rId9916" Type="http://schemas.openxmlformats.org/officeDocument/2006/relationships/hyperlink" Target="https://m.stock.naver.com/research/company/83306" TargetMode="External"/><Relationship Id="rId10795" Type="http://schemas.openxmlformats.org/officeDocument/2006/relationships/hyperlink" Target="https://m.stock.naver.com/research/company/82425" TargetMode="External"/><Relationship Id="rId11846" Type="http://schemas.openxmlformats.org/officeDocument/2006/relationships/hyperlink" Target="https://m.stock.naver.com/research/company/81366" TargetMode="External"/><Relationship Id="rId1905" Type="http://schemas.openxmlformats.org/officeDocument/2006/relationships/hyperlink" Target="https://m.stock.naver.com/research/company/91350" TargetMode="External"/><Relationship Id="rId6069" Type="http://schemas.openxmlformats.org/officeDocument/2006/relationships/hyperlink" Target="https://m.stock.naver.com/research/company/87171" TargetMode="External"/><Relationship Id="rId8518" Type="http://schemas.openxmlformats.org/officeDocument/2006/relationships/hyperlink" Target="https://m.stock.naver.com/research/company/84719" TargetMode="External"/><Relationship Id="rId10448" Type="http://schemas.openxmlformats.org/officeDocument/2006/relationships/hyperlink" Target="https://m.stock.naver.com/research/company/82772" TargetMode="External"/><Relationship Id="rId998" Type="http://schemas.openxmlformats.org/officeDocument/2006/relationships/hyperlink" Target="https://m.stock.naver.com/research/company/92458" TargetMode="External"/><Relationship Id="rId2679" Type="http://schemas.openxmlformats.org/officeDocument/2006/relationships/hyperlink" Target="https://m.stock.naver.com/research/company/90575" TargetMode="External"/><Relationship Id="rId6550" Type="http://schemas.openxmlformats.org/officeDocument/2006/relationships/hyperlink" Target="https://m.stock.naver.com/research/company/86690" TargetMode="External"/><Relationship Id="rId7601" Type="http://schemas.openxmlformats.org/officeDocument/2006/relationships/hyperlink" Target="https://m.stock.naver.com/research/company/85638" TargetMode="External"/><Relationship Id="rId15093" Type="http://schemas.openxmlformats.org/officeDocument/2006/relationships/hyperlink" Target="https://m.stock.naver.com/research/company/95001" TargetMode="External"/><Relationship Id="rId5152" Type="http://schemas.openxmlformats.org/officeDocument/2006/relationships/hyperlink" Target="https://m.stock.naver.com/research/company/88088" TargetMode="External"/><Relationship Id="rId6203" Type="http://schemas.openxmlformats.org/officeDocument/2006/relationships/hyperlink" Target="https://m.stock.naver.com/research/company/87037" TargetMode="External"/><Relationship Id="rId9773" Type="http://schemas.openxmlformats.org/officeDocument/2006/relationships/hyperlink" Target="https://m.stock.naver.com/research/company/83450" TargetMode="External"/><Relationship Id="rId1762" Type="http://schemas.openxmlformats.org/officeDocument/2006/relationships/hyperlink" Target="https://m.stock.naver.com/research/company/91493" TargetMode="External"/><Relationship Id="rId8375" Type="http://schemas.openxmlformats.org/officeDocument/2006/relationships/hyperlink" Target="https://m.stock.naver.com/research/company/84863" TargetMode="External"/><Relationship Id="rId9426" Type="http://schemas.openxmlformats.org/officeDocument/2006/relationships/hyperlink" Target="https://m.stock.naver.com/research/company/83801" TargetMode="External"/><Relationship Id="rId12754" Type="http://schemas.openxmlformats.org/officeDocument/2006/relationships/hyperlink" Target="https://m.stock.naver.com/research/company/80454" TargetMode="External"/><Relationship Id="rId13805" Type="http://schemas.openxmlformats.org/officeDocument/2006/relationships/hyperlink" Target="https://m.stock.naver.com/research/company/93573" TargetMode="External"/><Relationship Id="rId1415" Type="http://schemas.openxmlformats.org/officeDocument/2006/relationships/hyperlink" Target="https://m.stock.naver.com/research/company/91840" TargetMode="External"/><Relationship Id="rId2813" Type="http://schemas.openxmlformats.org/officeDocument/2006/relationships/hyperlink" Target="https://m.stock.naver.com/research/company/90440" TargetMode="External"/><Relationship Id="rId8028" Type="http://schemas.openxmlformats.org/officeDocument/2006/relationships/hyperlink" Target="https://m.stock.naver.com/research/company/85210" TargetMode="External"/><Relationship Id="rId11009" Type="http://schemas.openxmlformats.org/officeDocument/2006/relationships/hyperlink" Target="https://m.stock.naver.com/research/company/82211" TargetMode="External"/><Relationship Id="rId11356" Type="http://schemas.openxmlformats.org/officeDocument/2006/relationships/hyperlink" Target="https://m.stock.naver.com/research/company/81860" TargetMode="External"/><Relationship Id="rId12407" Type="http://schemas.openxmlformats.org/officeDocument/2006/relationships/hyperlink" Target="https://m.stock.naver.com/research/company/80802" TargetMode="External"/><Relationship Id="rId4985" Type="http://schemas.openxmlformats.org/officeDocument/2006/relationships/hyperlink" Target="https://m.stock.naver.com/research/company/88255" TargetMode="External"/><Relationship Id="rId14579" Type="http://schemas.openxmlformats.org/officeDocument/2006/relationships/hyperlink" Target="https://m.stock.naver.com/research/company/94331" TargetMode="External"/><Relationship Id="rId2189" Type="http://schemas.openxmlformats.org/officeDocument/2006/relationships/hyperlink" Target="https://m.stock.naver.com/research/company/91066" TargetMode="External"/><Relationship Id="rId3587" Type="http://schemas.openxmlformats.org/officeDocument/2006/relationships/hyperlink" Target="https://m.stock.naver.com/research/company/89664" TargetMode="External"/><Relationship Id="rId4638" Type="http://schemas.openxmlformats.org/officeDocument/2006/relationships/hyperlink" Target="https://m.stock.naver.com/research/company/88602" TargetMode="External"/><Relationship Id="rId6060" Type="http://schemas.openxmlformats.org/officeDocument/2006/relationships/hyperlink" Target="https://m.stock.naver.com/research/company/87180" TargetMode="External"/><Relationship Id="rId7111" Type="http://schemas.openxmlformats.org/officeDocument/2006/relationships/hyperlink" Target="https://m.stock.naver.com/research/company/86128" TargetMode="External"/><Relationship Id="rId13662" Type="http://schemas.openxmlformats.org/officeDocument/2006/relationships/hyperlink" Target="https://m.stock.naver.com/research/company/79542" TargetMode="External"/><Relationship Id="rId14713" Type="http://schemas.openxmlformats.org/officeDocument/2006/relationships/hyperlink" Target="https://m.stock.naver.com/research/company/94687" TargetMode="External"/><Relationship Id="rId2670" Type="http://schemas.openxmlformats.org/officeDocument/2006/relationships/hyperlink" Target="https://m.stock.naver.com/research/company/90584" TargetMode="External"/><Relationship Id="rId3721" Type="http://schemas.openxmlformats.org/officeDocument/2006/relationships/hyperlink" Target="https://m.stock.naver.com/research/company/89530" TargetMode="External"/><Relationship Id="rId9283" Type="http://schemas.openxmlformats.org/officeDocument/2006/relationships/hyperlink" Target="https://m.stock.naver.com/research/company/83944" TargetMode="External"/><Relationship Id="rId12264" Type="http://schemas.openxmlformats.org/officeDocument/2006/relationships/hyperlink" Target="https://m.stock.naver.com/research/company/80945" TargetMode="External"/><Relationship Id="rId13315" Type="http://schemas.openxmlformats.org/officeDocument/2006/relationships/hyperlink" Target="https://m.stock.naver.com/research/company/79890" TargetMode="External"/><Relationship Id="rId642" Type="http://schemas.openxmlformats.org/officeDocument/2006/relationships/hyperlink" Target="https://m.stock.naver.com/research/company/92814" TargetMode="External"/><Relationship Id="rId1272" Type="http://schemas.openxmlformats.org/officeDocument/2006/relationships/hyperlink" Target="https://m.stock.naver.com/research/company/91983" TargetMode="External"/><Relationship Id="rId2323" Type="http://schemas.openxmlformats.org/officeDocument/2006/relationships/hyperlink" Target="https://m.stock.naver.com/research/company/90932" TargetMode="External"/><Relationship Id="rId5893" Type="http://schemas.openxmlformats.org/officeDocument/2006/relationships/hyperlink" Target="https://m.stock.naver.com/research/company/87347" TargetMode="External"/><Relationship Id="rId15487" Type="http://schemas.openxmlformats.org/officeDocument/2006/relationships/hyperlink" Target="https://m.stock.naver.com/research/company/95300" TargetMode="External"/><Relationship Id="rId4495" Type="http://schemas.openxmlformats.org/officeDocument/2006/relationships/hyperlink" Target="https://m.stock.naver.com/research/company/88745" TargetMode="External"/><Relationship Id="rId5546" Type="http://schemas.openxmlformats.org/officeDocument/2006/relationships/hyperlink" Target="https://m.stock.naver.com/research/company/87694" TargetMode="External"/><Relationship Id="rId6944" Type="http://schemas.openxmlformats.org/officeDocument/2006/relationships/hyperlink" Target="https://m.stock.naver.com/research/company/86295" TargetMode="External"/><Relationship Id="rId14089" Type="http://schemas.openxmlformats.org/officeDocument/2006/relationships/hyperlink" Target="https://m.stock.naver.com/research/company/93913" TargetMode="External"/><Relationship Id="rId3097" Type="http://schemas.openxmlformats.org/officeDocument/2006/relationships/hyperlink" Target="https://m.stock.naver.com/research/company/90154" TargetMode="External"/><Relationship Id="rId4148" Type="http://schemas.openxmlformats.org/officeDocument/2006/relationships/hyperlink" Target="https://m.stock.naver.com/research/company/89103" TargetMode="External"/><Relationship Id="rId8769" Type="http://schemas.openxmlformats.org/officeDocument/2006/relationships/hyperlink" Target="https://m.stock.naver.com/research/company/84468" TargetMode="External"/><Relationship Id="rId10699" Type="http://schemas.openxmlformats.org/officeDocument/2006/relationships/hyperlink" Target="https://m.stock.naver.com/research/company/82521" TargetMode="External"/><Relationship Id="rId11000" Type="http://schemas.openxmlformats.org/officeDocument/2006/relationships/hyperlink" Target="https://m.stock.naver.com/research/company/82220" TargetMode="External"/><Relationship Id="rId14570" Type="http://schemas.openxmlformats.org/officeDocument/2006/relationships/hyperlink" Target="https://m.stock.naver.com/research/company/94340" TargetMode="External"/><Relationship Id="rId15621" Type="http://schemas.openxmlformats.org/officeDocument/2006/relationships/hyperlink" Target="https://m.stock.naver.com/research/company/95415" TargetMode="External"/><Relationship Id="rId1809" Type="http://schemas.openxmlformats.org/officeDocument/2006/relationships/hyperlink" Target="https://m.stock.naver.com/research/company/91446" TargetMode="External"/><Relationship Id="rId13172" Type="http://schemas.openxmlformats.org/officeDocument/2006/relationships/hyperlink" Target="https://m.stock.naver.com/research/company/80035" TargetMode="External"/><Relationship Id="rId14223" Type="http://schemas.openxmlformats.org/officeDocument/2006/relationships/hyperlink" Target="https://m.stock.naver.com/research/company/94120" TargetMode="External"/><Relationship Id="rId2180" Type="http://schemas.openxmlformats.org/officeDocument/2006/relationships/hyperlink" Target="https://m.stock.naver.com/research/company/91075" TargetMode="External"/><Relationship Id="rId3231" Type="http://schemas.openxmlformats.org/officeDocument/2006/relationships/hyperlink" Target="https://m.stock.naver.com/research/company/90020" TargetMode="External"/><Relationship Id="rId7852" Type="http://schemas.openxmlformats.org/officeDocument/2006/relationships/hyperlink" Target="https://m.stock.naver.com/research/company/85386" TargetMode="External"/><Relationship Id="rId8903" Type="http://schemas.openxmlformats.org/officeDocument/2006/relationships/hyperlink" Target="https://m.stock.naver.com/research/company/84333" TargetMode="External"/><Relationship Id="rId152" Type="http://schemas.openxmlformats.org/officeDocument/2006/relationships/hyperlink" Target="https://m.stock.naver.com/research/company/93306" TargetMode="External"/><Relationship Id="rId6454" Type="http://schemas.openxmlformats.org/officeDocument/2006/relationships/hyperlink" Target="https://m.stock.naver.com/research/company/86786" TargetMode="External"/><Relationship Id="rId7505" Type="http://schemas.openxmlformats.org/officeDocument/2006/relationships/hyperlink" Target="https://m.stock.naver.com/research/company/85734" TargetMode="External"/><Relationship Id="rId10833" Type="http://schemas.openxmlformats.org/officeDocument/2006/relationships/hyperlink" Target="https://m.stock.naver.com/research/company/82387" TargetMode="External"/><Relationship Id="rId5056" Type="http://schemas.openxmlformats.org/officeDocument/2006/relationships/hyperlink" Target="https://m.stock.naver.com/research/company/88184" TargetMode="External"/><Relationship Id="rId6107" Type="http://schemas.openxmlformats.org/officeDocument/2006/relationships/hyperlink" Target="https://m.stock.naver.com/research/company/87133" TargetMode="External"/><Relationship Id="rId9677" Type="http://schemas.openxmlformats.org/officeDocument/2006/relationships/hyperlink" Target="https://m.stock.naver.com/research/company/83547" TargetMode="External"/><Relationship Id="rId8279" Type="http://schemas.openxmlformats.org/officeDocument/2006/relationships/hyperlink" Target="https://m.stock.naver.com/research/company/84959" TargetMode="External"/><Relationship Id="rId12658" Type="http://schemas.openxmlformats.org/officeDocument/2006/relationships/hyperlink" Target="https://m.stock.naver.com/research/company/80550" TargetMode="External"/><Relationship Id="rId13709" Type="http://schemas.openxmlformats.org/officeDocument/2006/relationships/hyperlink" Target="https://m.stock.naver.com/research/company/93465" TargetMode="External"/><Relationship Id="rId1666" Type="http://schemas.openxmlformats.org/officeDocument/2006/relationships/hyperlink" Target="https://m.stock.naver.com/research/company/91589" TargetMode="External"/><Relationship Id="rId2717" Type="http://schemas.openxmlformats.org/officeDocument/2006/relationships/hyperlink" Target="https://m.stock.naver.com/research/company/90537" TargetMode="External"/><Relationship Id="rId14080" Type="http://schemas.openxmlformats.org/officeDocument/2006/relationships/hyperlink" Target="https://m.stock.naver.com/research/company/93922" TargetMode="External"/><Relationship Id="rId15131" Type="http://schemas.openxmlformats.org/officeDocument/2006/relationships/hyperlink" Target="https://m.stock.naver.com/research/company/94963" TargetMode="External"/><Relationship Id="rId1319" Type="http://schemas.openxmlformats.org/officeDocument/2006/relationships/hyperlink" Target="https://m.stock.naver.com/research/company/91936" TargetMode="External"/><Relationship Id="rId4889" Type="http://schemas.openxmlformats.org/officeDocument/2006/relationships/hyperlink" Target="https://m.stock.naver.com/research/company/88351" TargetMode="External"/><Relationship Id="rId8760" Type="http://schemas.openxmlformats.org/officeDocument/2006/relationships/hyperlink" Target="https://m.stock.naver.com/research/company/84477" TargetMode="External"/><Relationship Id="rId9811" Type="http://schemas.openxmlformats.org/officeDocument/2006/relationships/hyperlink" Target="https://m.stock.naver.com/research/company/83411" TargetMode="External"/><Relationship Id="rId10690" Type="http://schemas.openxmlformats.org/officeDocument/2006/relationships/hyperlink" Target="https://m.stock.naver.com/research/company/82530" TargetMode="External"/><Relationship Id="rId11741" Type="http://schemas.openxmlformats.org/officeDocument/2006/relationships/hyperlink" Target="https://m.stock.naver.com/research/company/81471" TargetMode="External"/><Relationship Id="rId25" Type="http://schemas.openxmlformats.org/officeDocument/2006/relationships/hyperlink" Target="https://m.stock.naver.com/research/company/93433" TargetMode="External"/><Relationship Id="rId1800" Type="http://schemas.openxmlformats.org/officeDocument/2006/relationships/hyperlink" Target="https://m.stock.naver.com/research/company/91455" TargetMode="External"/><Relationship Id="rId7362" Type="http://schemas.openxmlformats.org/officeDocument/2006/relationships/hyperlink" Target="https://m.stock.naver.com/research/company/85877" TargetMode="External"/><Relationship Id="rId8413" Type="http://schemas.openxmlformats.org/officeDocument/2006/relationships/hyperlink" Target="https://m.stock.naver.com/research/company/84825" TargetMode="External"/><Relationship Id="rId10343" Type="http://schemas.openxmlformats.org/officeDocument/2006/relationships/hyperlink" Target="https://m.stock.naver.com/research/company/82878" TargetMode="External"/><Relationship Id="rId3972" Type="http://schemas.openxmlformats.org/officeDocument/2006/relationships/hyperlink" Target="https://m.stock.naver.com/research/company/89279" TargetMode="External"/><Relationship Id="rId7015" Type="http://schemas.openxmlformats.org/officeDocument/2006/relationships/hyperlink" Target="https://m.stock.naver.com/research/company/86224" TargetMode="External"/><Relationship Id="rId14964" Type="http://schemas.openxmlformats.org/officeDocument/2006/relationships/hyperlink" Target="https://m.stock.naver.com/research/company/94870" TargetMode="External"/><Relationship Id="rId893" Type="http://schemas.openxmlformats.org/officeDocument/2006/relationships/hyperlink" Target="https://m.stock.naver.com/research/company/92563" TargetMode="External"/><Relationship Id="rId2574" Type="http://schemas.openxmlformats.org/officeDocument/2006/relationships/hyperlink" Target="https://m.stock.naver.com/research/company/90680" TargetMode="External"/><Relationship Id="rId3625" Type="http://schemas.openxmlformats.org/officeDocument/2006/relationships/hyperlink" Target="https://m.stock.naver.com/research/company/89626" TargetMode="External"/><Relationship Id="rId9187" Type="http://schemas.openxmlformats.org/officeDocument/2006/relationships/hyperlink" Target="https://m.stock.naver.com/research/company/84043" TargetMode="External"/><Relationship Id="rId12168" Type="http://schemas.openxmlformats.org/officeDocument/2006/relationships/hyperlink" Target="https://m.stock.naver.com/research/company/81043" TargetMode="External"/><Relationship Id="rId13219" Type="http://schemas.openxmlformats.org/officeDocument/2006/relationships/hyperlink" Target="https://m.stock.naver.com/research/company/79988" TargetMode="External"/><Relationship Id="rId13566" Type="http://schemas.openxmlformats.org/officeDocument/2006/relationships/hyperlink" Target="https://m.stock.naver.com/research/company/79638" TargetMode="External"/><Relationship Id="rId14617" Type="http://schemas.openxmlformats.org/officeDocument/2006/relationships/hyperlink" Target="https://m.stock.naver.com/research/company/94560" TargetMode="External"/><Relationship Id="rId546" Type="http://schemas.openxmlformats.org/officeDocument/2006/relationships/hyperlink" Target="https://m.stock.naver.com/research/company/92911" TargetMode="External"/><Relationship Id="rId1176" Type="http://schemas.openxmlformats.org/officeDocument/2006/relationships/hyperlink" Target="https://m.stock.naver.com/research/company/92079" TargetMode="External"/><Relationship Id="rId2227" Type="http://schemas.openxmlformats.org/officeDocument/2006/relationships/hyperlink" Target="https://m.stock.naver.com/research/company/91028" TargetMode="External"/><Relationship Id="rId4399" Type="http://schemas.openxmlformats.org/officeDocument/2006/relationships/hyperlink" Target="https://m.stock.naver.com/research/company/88842" TargetMode="External"/><Relationship Id="rId5797" Type="http://schemas.openxmlformats.org/officeDocument/2006/relationships/hyperlink" Target="https://m.stock.naver.com/research/company/87443" TargetMode="External"/><Relationship Id="rId6848" Type="http://schemas.openxmlformats.org/officeDocument/2006/relationships/hyperlink" Target="https://m.stock.naver.com/research/company/86392" TargetMode="External"/><Relationship Id="rId8270" Type="http://schemas.openxmlformats.org/officeDocument/2006/relationships/hyperlink" Target="https://m.stock.naver.com/research/company/84968" TargetMode="External"/><Relationship Id="rId13700" Type="http://schemas.openxmlformats.org/officeDocument/2006/relationships/hyperlink" Target="https://m.stock.naver.com/research/company/93474" TargetMode="External"/><Relationship Id="rId9321" Type="http://schemas.openxmlformats.org/officeDocument/2006/relationships/hyperlink" Target="https://m.stock.naver.com/research/company/83906" TargetMode="External"/><Relationship Id="rId11251" Type="http://schemas.openxmlformats.org/officeDocument/2006/relationships/hyperlink" Target="https://m.stock.naver.com/research/company/81968" TargetMode="External"/><Relationship Id="rId12302" Type="http://schemas.openxmlformats.org/officeDocument/2006/relationships/hyperlink" Target="https://m.stock.naver.com/research/company/80907" TargetMode="External"/><Relationship Id="rId1310" Type="http://schemas.openxmlformats.org/officeDocument/2006/relationships/hyperlink" Target="https://m.stock.naver.com/research/company/91945" TargetMode="External"/><Relationship Id="rId4880" Type="http://schemas.openxmlformats.org/officeDocument/2006/relationships/hyperlink" Target="https://m.stock.naver.com/research/company/88360" TargetMode="External"/><Relationship Id="rId5931" Type="http://schemas.openxmlformats.org/officeDocument/2006/relationships/hyperlink" Target="https://m.stock.naver.com/research/company/87309" TargetMode="External"/><Relationship Id="rId14474" Type="http://schemas.openxmlformats.org/officeDocument/2006/relationships/hyperlink" Target="https://m.stock.naver.com/research/company/94436" TargetMode="External"/><Relationship Id="rId15525" Type="http://schemas.openxmlformats.org/officeDocument/2006/relationships/hyperlink" Target="https://m.stock.naver.com/research/company/95511" TargetMode="External"/><Relationship Id="rId3482" Type="http://schemas.openxmlformats.org/officeDocument/2006/relationships/hyperlink" Target="https://m.stock.naver.com/research/company/89769" TargetMode="External"/><Relationship Id="rId4533" Type="http://schemas.openxmlformats.org/officeDocument/2006/relationships/hyperlink" Target="https://m.stock.naver.com/research/company/88707" TargetMode="External"/><Relationship Id="rId13076" Type="http://schemas.openxmlformats.org/officeDocument/2006/relationships/hyperlink" Target="https://m.stock.naver.com/research/company/80131" TargetMode="External"/><Relationship Id="rId14127" Type="http://schemas.openxmlformats.org/officeDocument/2006/relationships/hyperlink" Target="https://m.stock.naver.com/research/company/94001" TargetMode="External"/><Relationship Id="rId2084" Type="http://schemas.openxmlformats.org/officeDocument/2006/relationships/hyperlink" Target="https://m.stock.naver.com/research/company/91171" TargetMode="External"/><Relationship Id="rId3135" Type="http://schemas.openxmlformats.org/officeDocument/2006/relationships/hyperlink" Target="https://m.stock.naver.com/research/company/90116" TargetMode="External"/><Relationship Id="rId7756" Type="http://schemas.openxmlformats.org/officeDocument/2006/relationships/hyperlink" Target="https://m.stock.naver.com/research/company/85483" TargetMode="External"/><Relationship Id="rId6358" Type="http://schemas.openxmlformats.org/officeDocument/2006/relationships/hyperlink" Target="https://m.stock.naver.com/research/company/86882" TargetMode="External"/><Relationship Id="rId7409" Type="http://schemas.openxmlformats.org/officeDocument/2006/relationships/hyperlink" Target="https://m.stock.naver.com/research/company/85830" TargetMode="External"/><Relationship Id="rId8807" Type="http://schemas.openxmlformats.org/officeDocument/2006/relationships/hyperlink" Target="https://m.stock.naver.com/research/company/84430" TargetMode="External"/><Relationship Id="rId10737" Type="http://schemas.openxmlformats.org/officeDocument/2006/relationships/hyperlink" Target="https://m.stock.naver.com/research/company/82483" TargetMode="External"/><Relationship Id="rId13210" Type="http://schemas.openxmlformats.org/officeDocument/2006/relationships/hyperlink" Target="https://m.stock.naver.com/research/company/79997" TargetMode="External"/><Relationship Id="rId2968" Type="http://schemas.openxmlformats.org/officeDocument/2006/relationships/hyperlink" Target="https://m.stock.naver.com/research/company/90285" TargetMode="External"/><Relationship Id="rId15382" Type="http://schemas.openxmlformats.org/officeDocument/2006/relationships/hyperlink" Target="https://m.stock.naver.com/research/company/95405" TargetMode="External"/><Relationship Id="rId4390" Type="http://schemas.openxmlformats.org/officeDocument/2006/relationships/hyperlink" Target="https://m.stock.naver.com/research/company/88851" TargetMode="External"/><Relationship Id="rId5441" Type="http://schemas.openxmlformats.org/officeDocument/2006/relationships/hyperlink" Target="https://m.stock.naver.com/research/company/87799" TargetMode="External"/><Relationship Id="rId15035" Type="http://schemas.openxmlformats.org/officeDocument/2006/relationships/hyperlink" Target="https://m.stock.naver.com/research/company/94933" TargetMode="External"/><Relationship Id="rId4043" Type="http://schemas.openxmlformats.org/officeDocument/2006/relationships/hyperlink" Target="https://m.stock.naver.com/research/company/89208" TargetMode="External"/><Relationship Id="rId8664" Type="http://schemas.openxmlformats.org/officeDocument/2006/relationships/hyperlink" Target="https://m.stock.naver.com/research/company/84573" TargetMode="External"/><Relationship Id="rId9715" Type="http://schemas.openxmlformats.org/officeDocument/2006/relationships/hyperlink" Target="https://m.stock.naver.com/research/company/83508" TargetMode="External"/><Relationship Id="rId10594" Type="http://schemas.openxmlformats.org/officeDocument/2006/relationships/hyperlink" Target="https://m.stock.naver.com/research/company/82626" TargetMode="External"/><Relationship Id="rId11992" Type="http://schemas.openxmlformats.org/officeDocument/2006/relationships/hyperlink" Target="https://m.stock.naver.com/research/company/81219" TargetMode="External"/><Relationship Id="rId1704" Type="http://schemas.openxmlformats.org/officeDocument/2006/relationships/hyperlink" Target="https://m.stock.naver.com/research/company/91551" TargetMode="External"/><Relationship Id="rId7266" Type="http://schemas.openxmlformats.org/officeDocument/2006/relationships/hyperlink" Target="https://m.stock.naver.com/research/company/85973" TargetMode="External"/><Relationship Id="rId8317" Type="http://schemas.openxmlformats.org/officeDocument/2006/relationships/hyperlink" Target="https://m.stock.naver.com/research/company/84921" TargetMode="External"/><Relationship Id="rId10247" Type="http://schemas.openxmlformats.org/officeDocument/2006/relationships/hyperlink" Target="https://m.stock.naver.com/research/company/82974" TargetMode="External"/><Relationship Id="rId11645" Type="http://schemas.openxmlformats.org/officeDocument/2006/relationships/hyperlink" Target="https://m.stock.naver.com/research/company/81567" TargetMode="External"/><Relationship Id="rId14868" Type="http://schemas.openxmlformats.org/officeDocument/2006/relationships/hyperlink" Target="https://m.stock.naver.com/research/company/94756" TargetMode="External"/><Relationship Id="rId797" Type="http://schemas.openxmlformats.org/officeDocument/2006/relationships/hyperlink" Target="https://m.stock.naver.com/research/company/92659" TargetMode="External"/><Relationship Id="rId2478" Type="http://schemas.openxmlformats.org/officeDocument/2006/relationships/hyperlink" Target="https://m.stock.naver.com/research/company/90776" TargetMode="External"/><Relationship Id="rId3876" Type="http://schemas.openxmlformats.org/officeDocument/2006/relationships/hyperlink" Target="https://m.stock.naver.com/research/company/89375" TargetMode="External"/><Relationship Id="rId4927" Type="http://schemas.openxmlformats.org/officeDocument/2006/relationships/hyperlink" Target="https://m.stock.naver.com/research/company/88313" TargetMode="External"/><Relationship Id="rId3529" Type="http://schemas.openxmlformats.org/officeDocument/2006/relationships/hyperlink" Target="https://m.stock.naver.com/research/company/89722" TargetMode="External"/><Relationship Id="rId6002" Type="http://schemas.openxmlformats.org/officeDocument/2006/relationships/hyperlink" Target="https://m.stock.naver.com/research/company/87238" TargetMode="External"/><Relationship Id="rId7400" Type="http://schemas.openxmlformats.org/officeDocument/2006/relationships/hyperlink" Target="https://m.stock.naver.com/research/company/85839" TargetMode="External"/><Relationship Id="rId13951" Type="http://schemas.openxmlformats.org/officeDocument/2006/relationships/hyperlink" Target="https://m.stock.naver.com/research/company/93781" TargetMode="External"/><Relationship Id="rId9572" Type="http://schemas.openxmlformats.org/officeDocument/2006/relationships/hyperlink" Target="https://m.stock.naver.com/research/company/83655" TargetMode="External"/><Relationship Id="rId12553" Type="http://schemas.openxmlformats.org/officeDocument/2006/relationships/hyperlink" Target="https://m.stock.naver.com/research/company/80655" TargetMode="External"/><Relationship Id="rId13604" Type="http://schemas.openxmlformats.org/officeDocument/2006/relationships/hyperlink" Target="https://m.stock.naver.com/research/company/79600" TargetMode="External"/><Relationship Id="rId931" Type="http://schemas.openxmlformats.org/officeDocument/2006/relationships/hyperlink" Target="https://m.stock.naver.com/research/company/92525" TargetMode="External"/><Relationship Id="rId1561" Type="http://schemas.openxmlformats.org/officeDocument/2006/relationships/hyperlink" Target="https://m.stock.naver.com/research/company/91694" TargetMode="External"/><Relationship Id="rId2612" Type="http://schemas.openxmlformats.org/officeDocument/2006/relationships/hyperlink" Target="https://m.stock.naver.com/research/company/90642" TargetMode="External"/><Relationship Id="rId8174" Type="http://schemas.openxmlformats.org/officeDocument/2006/relationships/hyperlink" Target="https://m.stock.naver.com/research/company/85064" TargetMode="External"/><Relationship Id="rId9225" Type="http://schemas.openxmlformats.org/officeDocument/2006/relationships/hyperlink" Target="https://m.stock.naver.com/research/company/84005" TargetMode="External"/><Relationship Id="rId11155" Type="http://schemas.openxmlformats.org/officeDocument/2006/relationships/hyperlink" Target="https://m.stock.naver.com/research/company/82065" TargetMode="External"/><Relationship Id="rId12206" Type="http://schemas.openxmlformats.org/officeDocument/2006/relationships/hyperlink" Target="https://m.stock.naver.com/research/company/81004" TargetMode="External"/><Relationship Id="rId1214" Type="http://schemas.openxmlformats.org/officeDocument/2006/relationships/hyperlink" Target="https://m.stock.naver.com/research/company/92041" TargetMode="External"/><Relationship Id="rId4784" Type="http://schemas.openxmlformats.org/officeDocument/2006/relationships/hyperlink" Target="https://m.stock.naver.com/research/company/88456" TargetMode="External"/><Relationship Id="rId5835" Type="http://schemas.openxmlformats.org/officeDocument/2006/relationships/hyperlink" Target="https://m.stock.naver.com/research/company/87405" TargetMode="External"/><Relationship Id="rId14378" Type="http://schemas.openxmlformats.org/officeDocument/2006/relationships/hyperlink" Target="https://m.stock.naver.com/research/company/94234" TargetMode="External"/><Relationship Id="rId15429" Type="http://schemas.openxmlformats.org/officeDocument/2006/relationships/hyperlink" Target="https://m.stock.naver.com/research/company/95358" TargetMode="External"/><Relationship Id="rId3386" Type="http://schemas.openxmlformats.org/officeDocument/2006/relationships/hyperlink" Target="https://m.stock.naver.com/research/company/89865" TargetMode="External"/><Relationship Id="rId4437" Type="http://schemas.openxmlformats.org/officeDocument/2006/relationships/hyperlink" Target="https://m.stock.naver.com/research/company/88804" TargetMode="External"/><Relationship Id="rId3039" Type="http://schemas.openxmlformats.org/officeDocument/2006/relationships/hyperlink" Target="https://m.stock.naver.com/research/company/90212" TargetMode="External"/><Relationship Id="rId10988" Type="http://schemas.openxmlformats.org/officeDocument/2006/relationships/hyperlink" Target="https://m.stock.naver.com/research/company/82232" TargetMode="External"/><Relationship Id="rId9082" Type="http://schemas.openxmlformats.org/officeDocument/2006/relationships/hyperlink" Target="https://m.stock.naver.com/research/company/84148" TargetMode="External"/><Relationship Id="rId13461" Type="http://schemas.openxmlformats.org/officeDocument/2006/relationships/hyperlink" Target="https://m.stock.naver.com/research/company/79743" TargetMode="External"/><Relationship Id="rId14512" Type="http://schemas.openxmlformats.org/officeDocument/2006/relationships/hyperlink" Target="https://m.stock.naver.com/research/company/94398" TargetMode="External"/><Relationship Id="rId3520" Type="http://schemas.openxmlformats.org/officeDocument/2006/relationships/hyperlink" Target="https://m.stock.naver.com/research/company/89731" TargetMode="External"/><Relationship Id="rId12063" Type="http://schemas.openxmlformats.org/officeDocument/2006/relationships/hyperlink" Target="https://m.stock.naver.com/research/company/81148" TargetMode="External"/><Relationship Id="rId13114" Type="http://schemas.openxmlformats.org/officeDocument/2006/relationships/hyperlink" Target="https://m.stock.naver.com/research/company/80093" TargetMode="External"/><Relationship Id="rId441" Type="http://schemas.openxmlformats.org/officeDocument/2006/relationships/hyperlink" Target="https://m.stock.naver.com/research/company/93016" TargetMode="External"/><Relationship Id="rId1071" Type="http://schemas.openxmlformats.org/officeDocument/2006/relationships/hyperlink" Target="https://m.stock.naver.com/research/company/92185" TargetMode="External"/><Relationship Id="rId2122" Type="http://schemas.openxmlformats.org/officeDocument/2006/relationships/hyperlink" Target="https://m.stock.naver.com/research/company/91133" TargetMode="External"/><Relationship Id="rId5692" Type="http://schemas.openxmlformats.org/officeDocument/2006/relationships/hyperlink" Target="https://m.stock.naver.com/research/company/87548" TargetMode="External"/><Relationship Id="rId6743" Type="http://schemas.openxmlformats.org/officeDocument/2006/relationships/hyperlink" Target="https://m.stock.naver.com/research/company/86497" TargetMode="External"/><Relationship Id="rId15286" Type="http://schemas.openxmlformats.org/officeDocument/2006/relationships/hyperlink" Target="https://m.stock.naver.com/research/company/95074" TargetMode="External"/><Relationship Id="rId4294" Type="http://schemas.openxmlformats.org/officeDocument/2006/relationships/hyperlink" Target="https://m.stock.naver.com/research/company/88947" TargetMode="External"/><Relationship Id="rId5345" Type="http://schemas.openxmlformats.org/officeDocument/2006/relationships/hyperlink" Target="https://m.stock.naver.com/research/company/87895" TargetMode="External"/><Relationship Id="rId9966" Type="http://schemas.openxmlformats.org/officeDocument/2006/relationships/hyperlink" Target="https://m.stock.naver.com/research/company/83255" TargetMode="External"/><Relationship Id="rId8568" Type="http://schemas.openxmlformats.org/officeDocument/2006/relationships/hyperlink" Target="https://m.stock.naver.com/research/company/84669" TargetMode="External"/><Relationship Id="rId9619" Type="http://schemas.openxmlformats.org/officeDocument/2006/relationships/hyperlink" Target="https://m.stock.naver.com/research/company/83606" TargetMode="External"/><Relationship Id="rId11896" Type="http://schemas.openxmlformats.org/officeDocument/2006/relationships/hyperlink" Target="https://m.stock.naver.com/research/company/81315" TargetMode="External"/><Relationship Id="rId12947" Type="http://schemas.openxmlformats.org/officeDocument/2006/relationships/hyperlink" Target="https://m.stock.naver.com/research/company/80261" TargetMode="External"/><Relationship Id="rId1955" Type="http://schemas.openxmlformats.org/officeDocument/2006/relationships/hyperlink" Target="https://m.stock.naver.com/research/company/91300" TargetMode="External"/><Relationship Id="rId10498" Type="http://schemas.openxmlformats.org/officeDocument/2006/relationships/hyperlink" Target="https://m.stock.naver.com/research/company/82722" TargetMode="External"/><Relationship Id="rId11549" Type="http://schemas.openxmlformats.org/officeDocument/2006/relationships/hyperlink" Target="https://m.stock.naver.com/research/company/81665" TargetMode="External"/><Relationship Id="rId15420" Type="http://schemas.openxmlformats.org/officeDocument/2006/relationships/hyperlink" Target="https://m.stock.naver.com/research/company/95367" TargetMode="External"/><Relationship Id="rId1608" Type="http://schemas.openxmlformats.org/officeDocument/2006/relationships/hyperlink" Target="https://m.stock.naver.com/research/company/91647" TargetMode="External"/><Relationship Id="rId3030" Type="http://schemas.openxmlformats.org/officeDocument/2006/relationships/hyperlink" Target="https://m.stock.naver.com/research/company/90221" TargetMode="External"/><Relationship Id="rId14022" Type="http://schemas.openxmlformats.org/officeDocument/2006/relationships/hyperlink" Target="https://m.stock.naver.com/research/company/93825" TargetMode="External"/><Relationship Id="rId7651" Type="http://schemas.openxmlformats.org/officeDocument/2006/relationships/hyperlink" Target="https://m.stock.naver.com/research/company/85588" TargetMode="External"/><Relationship Id="rId8702" Type="http://schemas.openxmlformats.org/officeDocument/2006/relationships/hyperlink" Target="https://m.stock.naver.com/research/company/84535" TargetMode="External"/><Relationship Id="rId10632" Type="http://schemas.openxmlformats.org/officeDocument/2006/relationships/hyperlink" Target="https://m.stock.naver.com/research/company/82588" TargetMode="External"/><Relationship Id="rId6253" Type="http://schemas.openxmlformats.org/officeDocument/2006/relationships/hyperlink" Target="https://m.stock.naver.com/research/company/86987" TargetMode="External"/><Relationship Id="rId7304" Type="http://schemas.openxmlformats.org/officeDocument/2006/relationships/hyperlink" Target="https://m.stock.naver.com/research/company/85935" TargetMode="External"/><Relationship Id="rId2863" Type="http://schemas.openxmlformats.org/officeDocument/2006/relationships/hyperlink" Target="https://m.stock.naver.com/research/company/90390" TargetMode="External"/><Relationship Id="rId3914" Type="http://schemas.openxmlformats.org/officeDocument/2006/relationships/hyperlink" Target="https://m.stock.naver.com/research/company/89337" TargetMode="External"/><Relationship Id="rId9476" Type="http://schemas.openxmlformats.org/officeDocument/2006/relationships/hyperlink" Target="https://m.stock.naver.com/research/company/83751" TargetMode="External"/><Relationship Id="rId12457" Type="http://schemas.openxmlformats.org/officeDocument/2006/relationships/hyperlink" Target="https://m.stock.naver.com/research/company/80752" TargetMode="External"/><Relationship Id="rId13508" Type="http://schemas.openxmlformats.org/officeDocument/2006/relationships/hyperlink" Target="https://m.stock.naver.com/research/company/79696" TargetMode="External"/><Relationship Id="rId13855" Type="http://schemas.openxmlformats.org/officeDocument/2006/relationships/hyperlink" Target="https://m.stock.naver.com/research/company/93627" TargetMode="External"/><Relationship Id="rId14906" Type="http://schemas.openxmlformats.org/officeDocument/2006/relationships/hyperlink" Target="https://m.stock.naver.com/research/company/94718" TargetMode="External"/><Relationship Id="rId835" Type="http://schemas.openxmlformats.org/officeDocument/2006/relationships/hyperlink" Target="https://m.stock.naver.com/research/company/92621" TargetMode="External"/><Relationship Id="rId1465" Type="http://schemas.openxmlformats.org/officeDocument/2006/relationships/hyperlink" Target="https://m.stock.naver.com/research/company/91790" TargetMode="External"/><Relationship Id="rId2516" Type="http://schemas.openxmlformats.org/officeDocument/2006/relationships/hyperlink" Target="https://m.stock.naver.com/research/company/90738" TargetMode="External"/><Relationship Id="rId8078" Type="http://schemas.openxmlformats.org/officeDocument/2006/relationships/hyperlink" Target="https://m.stock.naver.com/research/company/85160" TargetMode="External"/><Relationship Id="rId9129" Type="http://schemas.openxmlformats.org/officeDocument/2006/relationships/hyperlink" Target="https://m.stock.naver.com/research/company/84101" TargetMode="External"/><Relationship Id="rId11059" Type="http://schemas.openxmlformats.org/officeDocument/2006/relationships/hyperlink" Target="https://m.stock.naver.com/research/company/82161" TargetMode="External"/><Relationship Id="rId1118" Type="http://schemas.openxmlformats.org/officeDocument/2006/relationships/hyperlink" Target="https://m.stock.naver.com/research/company/92137" TargetMode="External"/><Relationship Id="rId4688" Type="http://schemas.openxmlformats.org/officeDocument/2006/relationships/hyperlink" Target="https://m.stock.naver.com/research/company/88552" TargetMode="External"/><Relationship Id="rId5739" Type="http://schemas.openxmlformats.org/officeDocument/2006/relationships/hyperlink" Target="https://m.stock.naver.com/research/company/87501" TargetMode="External"/><Relationship Id="rId7161" Type="http://schemas.openxmlformats.org/officeDocument/2006/relationships/hyperlink" Target="https://m.stock.naver.com/research/company/86078" TargetMode="External"/><Relationship Id="rId8212" Type="http://schemas.openxmlformats.org/officeDocument/2006/relationships/hyperlink" Target="https://m.stock.naver.com/research/company/85026" TargetMode="External"/><Relationship Id="rId9610" Type="http://schemas.openxmlformats.org/officeDocument/2006/relationships/hyperlink" Target="https://m.stock.naver.com/research/company/83615" TargetMode="External"/><Relationship Id="rId11540" Type="http://schemas.openxmlformats.org/officeDocument/2006/relationships/hyperlink" Target="https://m.stock.naver.com/research/company/81675" TargetMode="External"/><Relationship Id="rId10142" Type="http://schemas.openxmlformats.org/officeDocument/2006/relationships/hyperlink" Target="https://m.stock.naver.com/research/company/83079" TargetMode="External"/><Relationship Id="rId14763" Type="http://schemas.openxmlformats.org/officeDocument/2006/relationships/hyperlink" Target="https://m.stock.naver.com/research/company/94637" TargetMode="External"/><Relationship Id="rId3771" Type="http://schemas.openxmlformats.org/officeDocument/2006/relationships/hyperlink" Target="https://m.stock.naver.com/research/company/89480" TargetMode="External"/><Relationship Id="rId4822" Type="http://schemas.openxmlformats.org/officeDocument/2006/relationships/hyperlink" Target="https://m.stock.naver.com/research/company/88418" TargetMode="External"/><Relationship Id="rId13365" Type="http://schemas.openxmlformats.org/officeDocument/2006/relationships/hyperlink" Target="https://m.stock.naver.com/research/company/79840" TargetMode="External"/><Relationship Id="rId14416" Type="http://schemas.openxmlformats.org/officeDocument/2006/relationships/hyperlink" Target="https://m.stock.naver.com/research/company/94267" TargetMode="External"/><Relationship Id="rId692" Type="http://schemas.openxmlformats.org/officeDocument/2006/relationships/hyperlink" Target="https://m.stock.naver.com/research/company/92764" TargetMode="External"/><Relationship Id="rId2373" Type="http://schemas.openxmlformats.org/officeDocument/2006/relationships/hyperlink" Target="https://m.stock.naver.com/research/company/90881" TargetMode="External"/><Relationship Id="rId3424" Type="http://schemas.openxmlformats.org/officeDocument/2006/relationships/hyperlink" Target="https://m.stock.naver.com/research/company/89827" TargetMode="External"/><Relationship Id="rId6994" Type="http://schemas.openxmlformats.org/officeDocument/2006/relationships/hyperlink" Target="https://m.stock.naver.com/research/company/86245" TargetMode="External"/><Relationship Id="rId13018" Type="http://schemas.openxmlformats.org/officeDocument/2006/relationships/hyperlink" Target="https://m.stock.naver.com/research/company/80189" TargetMode="External"/><Relationship Id="rId345" Type="http://schemas.openxmlformats.org/officeDocument/2006/relationships/hyperlink" Target="https://m.stock.naver.com/research/company/93113" TargetMode="External"/><Relationship Id="rId2026" Type="http://schemas.openxmlformats.org/officeDocument/2006/relationships/hyperlink" Target="https://m.stock.naver.com/research/company/91229" TargetMode="External"/><Relationship Id="rId5596" Type="http://schemas.openxmlformats.org/officeDocument/2006/relationships/hyperlink" Target="https://m.stock.naver.com/research/company/87644" TargetMode="External"/><Relationship Id="rId6647" Type="http://schemas.openxmlformats.org/officeDocument/2006/relationships/hyperlink" Target="https://m.stock.naver.com/research/company/86593" TargetMode="External"/><Relationship Id="rId4198" Type="http://schemas.openxmlformats.org/officeDocument/2006/relationships/hyperlink" Target="https://m.stock.naver.com/research/company/89044" TargetMode="External"/><Relationship Id="rId5249" Type="http://schemas.openxmlformats.org/officeDocument/2006/relationships/hyperlink" Target="https://m.stock.naver.com/research/company/87991" TargetMode="External"/><Relationship Id="rId9120" Type="http://schemas.openxmlformats.org/officeDocument/2006/relationships/hyperlink" Target="https://m.stock.naver.com/research/company/84110" TargetMode="External"/><Relationship Id="rId11050" Type="http://schemas.openxmlformats.org/officeDocument/2006/relationships/hyperlink" Target="https://m.stock.naver.com/research/company/82170" TargetMode="External"/><Relationship Id="rId12101" Type="http://schemas.openxmlformats.org/officeDocument/2006/relationships/hyperlink" Target="https://m.stock.naver.com/research/company/81110" TargetMode="External"/><Relationship Id="rId15671" Type="http://schemas.openxmlformats.org/officeDocument/2006/relationships/hyperlink" Target="https://m.stock.naver.com/research/company/95743" TargetMode="External"/><Relationship Id="rId1859" Type="http://schemas.openxmlformats.org/officeDocument/2006/relationships/hyperlink" Target="https://m.stock.naver.com/research/company/91396" TargetMode="External"/><Relationship Id="rId5730" Type="http://schemas.openxmlformats.org/officeDocument/2006/relationships/hyperlink" Target="https://m.stock.naver.com/research/company/87510" TargetMode="External"/><Relationship Id="rId14273" Type="http://schemas.openxmlformats.org/officeDocument/2006/relationships/hyperlink" Target="https://m.stock.naver.com/research/company/94125" TargetMode="External"/><Relationship Id="rId15324" Type="http://schemas.openxmlformats.org/officeDocument/2006/relationships/hyperlink" Target="https://m.stock.naver.com/research/company/95264" TargetMode="External"/><Relationship Id="rId3281" Type="http://schemas.openxmlformats.org/officeDocument/2006/relationships/hyperlink" Target="https://m.stock.naver.com/research/company/89969" TargetMode="External"/><Relationship Id="rId4332" Type="http://schemas.openxmlformats.org/officeDocument/2006/relationships/hyperlink" Target="https://m.stock.naver.com/research/company/88909" TargetMode="External"/><Relationship Id="rId8953" Type="http://schemas.openxmlformats.org/officeDocument/2006/relationships/hyperlink" Target="https://m.stock.naver.com/research/company/84279" TargetMode="External"/><Relationship Id="rId10883" Type="http://schemas.openxmlformats.org/officeDocument/2006/relationships/hyperlink" Target="https://m.stock.naver.com/research/company/82337" TargetMode="External"/><Relationship Id="rId7555" Type="http://schemas.openxmlformats.org/officeDocument/2006/relationships/hyperlink" Target="https://m.stock.naver.com/research/company/85684" TargetMode="External"/><Relationship Id="rId8606" Type="http://schemas.openxmlformats.org/officeDocument/2006/relationships/hyperlink" Target="https://m.stock.naver.com/research/company/84631" TargetMode="External"/><Relationship Id="rId10536" Type="http://schemas.openxmlformats.org/officeDocument/2006/relationships/hyperlink" Target="https://m.stock.naver.com/research/company/82684" TargetMode="External"/><Relationship Id="rId11934" Type="http://schemas.openxmlformats.org/officeDocument/2006/relationships/hyperlink" Target="https://m.stock.naver.com/research/company/81277" TargetMode="External"/><Relationship Id="rId6157" Type="http://schemas.openxmlformats.org/officeDocument/2006/relationships/hyperlink" Target="https://m.stock.naver.com/research/company/87083" TargetMode="External"/><Relationship Id="rId7208" Type="http://schemas.openxmlformats.org/officeDocument/2006/relationships/hyperlink" Target="https://m.stock.naver.com/research/company/86031" TargetMode="External"/><Relationship Id="rId2767" Type="http://schemas.openxmlformats.org/officeDocument/2006/relationships/hyperlink" Target="https://m.stock.naver.com/research/company/90487" TargetMode="External"/><Relationship Id="rId13759" Type="http://schemas.openxmlformats.org/officeDocument/2006/relationships/hyperlink" Target="https://m.stock.naver.com/research/company/93548" TargetMode="External"/><Relationship Id="rId15181" Type="http://schemas.openxmlformats.org/officeDocument/2006/relationships/hyperlink" Target="https://m.stock.naver.com/research/company/95179" TargetMode="External"/><Relationship Id="rId739" Type="http://schemas.openxmlformats.org/officeDocument/2006/relationships/hyperlink" Target="https://m.stock.naver.com/research/company/92717" TargetMode="External"/><Relationship Id="rId1369" Type="http://schemas.openxmlformats.org/officeDocument/2006/relationships/hyperlink" Target="https://m.stock.naver.com/research/company/91886" TargetMode="External"/><Relationship Id="rId3818" Type="http://schemas.openxmlformats.org/officeDocument/2006/relationships/hyperlink" Target="https://m.stock.naver.com/research/company/89433" TargetMode="External"/><Relationship Id="rId5240" Type="http://schemas.openxmlformats.org/officeDocument/2006/relationships/hyperlink" Target="https://m.stock.naver.com/research/company/88000" TargetMode="External"/><Relationship Id="rId9861" Type="http://schemas.openxmlformats.org/officeDocument/2006/relationships/hyperlink" Target="https://m.stock.naver.com/research/company/83361" TargetMode="External"/><Relationship Id="rId11791" Type="http://schemas.openxmlformats.org/officeDocument/2006/relationships/hyperlink" Target="https://m.stock.naver.com/research/company/81421" TargetMode="External"/><Relationship Id="rId12842" Type="http://schemas.openxmlformats.org/officeDocument/2006/relationships/hyperlink" Target="https://m.stock.naver.com/research/company/80366" TargetMode="External"/><Relationship Id="rId75" Type="http://schemas.openxmlformats.org/officeDocument/2006/relationships/hyperlink" Target="https://m.stock.naver.com/research/company/93383" TargetMode="External"/><Relationship Id="rId1850" Type="http://schemas.openxmlformats.org/officeDocument/2006/relationships/hyperlink" Target="https://m.stock.naver.com/research/company/91405" TargetMode="External"/><Relationship Id="rId2901" Type="http://schemas.openxmlformats.org/officeDocument/2006/relationships/hyperlink" Target="https://m.stock.naver.com/research/company/90352" TargetMode="External"/><Relationship Id="rId7065" Type="http://schemas.openxmlformats.org/officeDocument/2006/relationships/hyperlink" Target="https://m.stock.naver.com/research/company/86174" TargetMode="External"/><Relationship Id="rId8463" Type="http://schemas.openxmlformats.org/officeDocument/2006/relationships/hyperlink" Target="https://m.stock.naver.com/research/company/84774" TargetMode="External"/><Relationship Id="rId9514" Type="http://schemas.openxmlformats.org/officeDocument/2006/relationships/hyperlink" Target="https://m.stock.naver.com/research/company/83713" TargetMode="External"/><Relationship Id="rId10393" Type="http://schemas.openxmlformats.org/officeDocument/2006/relationships/hyperlink" Target="https://m.stock.naver.com/research/company/82828" TargetMode="External"/><Relationship Id="rId11444" Type="http://schemas.openxmlformats.org/officeDocument/2006/relationships/hyperlink" Target="https://m.stock.naver.com/research/company/81771" TargetMode="External"/><Relationship Id="rId1503" Type="http://schemas.openxmlformats.org/officeDocument/2006/relationships/hyperlink" Target="https://m.stock.naver.com/research/company/91752" TargetMode="External"/><Relationship Id="rId8116" Type="http://schemas.openxmlformats.org/officeDocument/2006/relationships/hyperlink" Target="https://m.stock.naver.com/research/company/85122" TargetMode="External"/><Relationship Id="rId10046" Type="http://schemas.openxmlformats.org/officeDocument/2006/relationships/hyperlink" Target="https://m.stock.naver.com/research/company/83175" TargetMode="External"/><Relationship Id="rId14667" Type="http://schemas.openxmlformats.org/officeDocument/2006/relationships/hyperlink" Target="https://m.stock.naver.com/research/company/94511" TargetMode="External"/><Relationship Id="rId15718" Type="http://schemas.openxmlformats.org/officeDocument/2006/relationships/hyperlink" Target="https://m.stock.naver.com/research/company/95696" TargetMode="External"/><Relationship Id="rId3675" Type="http://schemas.openxmlformats.org/officeDocument/2006/relationships/hyperlink" Target="https://m.stock.naver.com/research/company/89576" TargetMode="External"/><Relationship Id="rId4726" Type="http://schemas.openxmlformats.org/officeDocument/2006/relationships/hyperlink" Target="https://m.stock.naver.com/research/company/88514" TargetMode="External"/><Relationship Id="rId13269" Type="http://schemas.openxmlformats.org/officeDocument/2006/relationships/hyperlink" Target="https://m.stock.naver.com/research/company/79937" TargetMode="External"/><Relationship Id="rId596" Type="http://schemas.openxmlformats.org/officeDocument/2006/relationships/hyperlink" Target="https://m.stock.naver.com/research/company/92861" TargetMode="External"/><Relationship Id="rId2277" Type="http://schemas.openxmlformats.org/officeDocument/2006/relationships/hyperlink" Target="https://m.stock.naver.com/research/company/90978" TargetMode="External"/><Relationship Id="rId3328" Type="http://schemas.openxmlformats.org/officeDocument/2006/relationships/hyperlink" Target="https://m.stock.naver.com/research/company/89922" TargetMode="External"/><Relationship Id="rId6898" Type="http://schemas.openxmlformats.org/officeDocument/2006/relationships/hyperlink" Target="https://m.stock.naver.com/research/company/86341" TargetMode="External"/><Relationship Id="rId249" Type="http://schemas.openxmlformats.org/officeDocument/2006/relationships/hyperlink" Target="https://m.stock.naver.com/research/company/93209" TargetMode="External"/><Relationship Id="rId7949" Type="http://schemas.openxmlformats.org/officeDocument/2006/relationships/hyperlink" Target="https://m.stock.naver.com/research/company/85289" TargetMode="External"/><Relationship Id="rId9371" Type="http://schemas.openxmlformats.org/officeDocument/2006/relationships/hyperlink" Target="https://m.stock.naver.com/research/company/83856" TargetMode="External"/><Relationship Id="rId13750" Type="http://schemas.openxmlformats.org/officeDocument/2006/relationships/hyperlink" Target="https://m.stock.naver.com/research/company/93535" TargetMode="External"/><Relationship Id="rId14801" Type="http://schemas.openxmlformats.org/officeDocument/2006/relationships/hyperlink" Target="https://m.stock.naver.com/research/company/94599" TargetMode="External"/><Relationship Id="rId9024" Type="http://schemas.openxmlformats.org/officeDocument/2006/relationships/hyperlink" Target="https://m.stock.naver.com/research/company/84208" TargetMode="External"/><Relationship Id="rId12352" Type="http://schemas.openxmlformats.org/officeDocument/2006/relationships/hyperlink" Target="https://m.stock.naver.com/research/company/80857" TargetMode="External"/><Relationship Id="rId13403" Type="http://schemas.openxmlformats.org/officeDocument/2006/relationships/hyperlink" Target="https://m.stock.naver.com/research/company/79802" TargetMode="External"/><Relationship Id="rId730" Type="http://schemas.openxmlformats.org/officeDocument/2006/relationships/hyperlink" Target="https://m.stock.naver.com/research/company/92726" TargetMode="External"/><Relationship Id="rId1013" Type="http://schemas.openxmlformats.org/officeDocument/2006/relationships/hyperlink" Target="https://m.stock.naver.com/research/company/92338" TargetMode="External"/><Relationship Id="rId1360" Type="http://schemas.openxmlformats.org/officeDocument/2006/relationships/hyperlink" Target="https://m.stock.naver.com/research/company/91895" TargetMode="External"/><Relationship Id="rId2411" Type="http://schemas.openxmlformats.org/officeDocument/2006/relationships/hyperlink" Target="https://m.stock.naver.com/research/company/90843" TargetMode="External"/><Relationship Id="rId5981" Type="http://schemas.openxmlformats.org/officeDocument/2006/relationships/hyperlink" Target="https://m.stock.naver.com/research/company/87259" TargetMode="External"/><Relationship Id="rId12005" Type="http://schemas.openxmlformats.org/officeDocument/2006/relationships/hyperlink" Target="https://m.stock.naver.com/research/company/81206" TargetMode="External"/><Relationship Id="rId15575" Type="http://schemas.openxmlformats.org/officeDocument/2006/relationships/hyperlink" Target="https://m.stock.naver.com/research/company/95461" TargetMode="External"/><Relationship Id="rId4583" Type="http://schemas.openxmlformats.org/officeDocument/2006/relationships/hyperlink" Target="https://m.stock.naver.com/research/company/88657" TargetMode="External"/><Relationship Id="rId5634" Type="http://schemas.openxmlformats.org/officeDocument/2006/relationships/hyperlink" Target="https://m.stock.naver.com/research/company/87606" TargetMode="External"/><Relationship Id="rId14177" Type="http://schemas.openxmlformats.org/officeDocument/2006/relationships/hyperlink" Target="https://m.stock.naver.com/research/company/94081" TargetMode="External"/><Relationship Id="rId15228" Type="http://schemas.openxmlformats.org/officeDocument/2006/relationships/hyperlink" Target="https://m.stock.naver.com/research/company/95132" TargetMode="External"/><Relationship Id="rId3185" Type="http://schemas.openxmlformats.org/officeDocument/2006/relationships/hyperlink" Target="https://m.stock.naver.com/research/company/90066" TargetMode="External"/><Relationship Id="rId4236" Type="http://schemas.openxmlformats.org/officeDocument/2006/relationships/hyperlink" Target="https://m.stock.naver.com/research/company/89006" TargetMode="External"/><Relationship Id="rId8857" Type="http://schemas.openxmlformats.org/officeDocument/2006/relationships/hyperlink" Target="https://m.stock.naver.com/research/company/84380" TargetMode="External"/><Relationship Id="rId9908" Type="http://schemas.openxmlformats.org/officeDocument/2006/relationships/hyperlink" Target="https://m.stock.naver.com/research/company/83314" TargetMode="External"/><Relationship Id="rId7459" Type="http://schemas.openxmlformats.org/officeDocument/2006/relationships/hyperlink" Target="https://m.stock.naver.com/research/company/85780" TargetMode="External"/><Relationship Id="rId10787" Type="http://schemas.openxmlformats.org/officeDocument/2006/relationships/hyperlink" Target="https://m.stock.naver.com/research/company/82433" TargetMode="External"/><Relationship Id="rId11838" Type="http://schemas.openxmlformats.org/officeDocument/2006/relationships/hyperlink" Target="https://m.stock.naver.com/research/company/81374" TargetMode="External"/><Relationship Id="rId13260" Type="http://schemas.openxmlformats.org/officeDocument/2006/relationships/hyperlink" Target="https://m.stock.naver.com/research/company/79946" TargetMode="External"/><Relationship Id="rId14311" Type="http://schemas.openxmlformats.org/officeDocument/2006/relationships/hyperlink" Target="https://m.stock.naver.com/research/company/94153" TargetMode="External"/><Relationship Id="rId240" Type="http://schemas.openxmlformats.org/officeDocument/2006/relationships/hyperlink" Target="https://m.stock.naver.com/research/company/93218" TargetMode="External"/><Relationship Id="rId7940" Type="http://schemas.openxmlformats.org/officeDocument/2006/relationships/hyperlink" Target="https://m.stock.naver.com/research/company/85298" TargetMode="External"/><Relationship Id="rId10921" Type="http://schemas.openxmlformats.org/officeDocument/2006/relationships/hyperlink" Target="https://m.stock.naver.com/research/company/82299" TargetMode="External"/><Relationship Id="rId4093" Type="http://schemas.openxmlformats.org/officeDocument/2006/relationships/hyperlink" Target="https://m.stock.naver.com/research/company/89158" TargetMode="External"/><Relationship Id="rId5144" Type="http://schemas.openxmlformats.org/officeDocument/2006/relationships/hyperlink" Target="https://m.stock.naver.com/research/company/88096" TargetMode="External"/><Relationship Id="rId5491" Type="http://schemas.openxmlformats.org/officeDocument/2006/relationships/hyperlink" Target="https://m.stock.naver.com/research/company/87749" TargetMode="External"/><Relationship Id="rId6542" Type="http://schemas.openxmlformats.org/officeDocument/2006/relationships/hyperlink" Target="https://m.stock.naver.com/research/company/86698" TargetMode="External"/><Relationship Id="rId15085" Type="http://schemas.openxmlformats.org/officeDocument/2006/relationships/hyperlink" Target="https://m.stock.naver.com/research/company/95009" TargetMode="External"/><Relationship Id="rId9765" Type="http://schemas.openxmlformats.org/officeDocument/2006/relationships/hyperlink" Target="https://m.stock.naver.com/research/company/83458" TargetMode="External"/><Relationship Id="rId11695" Type="http://schemas.openxmlformats.org/officeDocument/2006/relationships/hyperlink" Target="https://m.stock.naver.com/research/company/81517" TargetMode="External"/><Relationship Id="rId12746" Type="http://schemas.openxmlformats.org/officeDocument/2006/relationships/hyperlink" Target="https://m.stock.naver.com/research/company/80462" TargetMode="External"/><Relationship Id="rId1754" Type="http://schemas.openxmlformats.org/officeDocument/2006/relationships/hyperlink" Target="https://m.stock.naver.com/research/company/91501" TargetMode="External"/><Relationship Id="rId2805" Type="http://schemas.openxmlformats.org/officeDocument/2006/relationships/hyperlink" Target="https://m.stock.naver.com/research/company/90449" TargetMode="External"/><Relationship Id="rId8367" Type="http://schemas.openxmlformats.org/officeDocument/2006/relationships/hyperlink" Target="https://m.stock.naver.com/research/company/84871" TargetMode="External"/><Relationship Id="rId9418" Type="http://schemas.openxmlformats.org/officeDocument/2006/relationships/hyperlink" Target="https://m.stock.naver.com/research/company/83809" TargetMode="External"/><Relationship Id="rId10297" Type="http://schemas.openxmlformats.org/officeDocument/2006/relationships/hyperlink" Target="https://m.stock.naver.com/research/company/82924" TargetMode="External"/><Relationship Id="rId11348" Type="http://schemas.openxmlformats.org/officeDocument/2006/relationships/hyperlink" Target="https://m.stock.naver.com/research/company/81868" TargetMode="External"/><Relationship Id="rId1407" Type="http://schemas.openxmlformats.org/officeDocument/2006/relationships/hyperlink" Target="https://m.stock.naver.com/research/company/91848" TargetMode="External"/><Relationship Id="rId4977" Type="http://schemas.openxmlformats.org/officeDocument/2006/relationships/hyperlink" Target="https://m.stock.naver.com/research/company/88263" TargetMode="External"/><Relationship Id="rId3579" Type="http://schemas.openxmlformats.org/officeDocument/2006/relationships/hyperlink" Target="https://m.stock.naver.com/research/company/89672" TargetMode="External"/><Relationship Id="rId7450" Type="http://schemas.openxmlformats.org/officeDocument/2006/relationships/hyperlink" Target="https://m.stock.naver.com/research/company/85789" TargetMode="External"/><Relationship Id="rId8501" Type="http://schemas.openxmlformats.org/officeDocument/2006/relationships/hyperlink" Target="https://m.stock.naver.com/research/company/84736" TargetMode="External"/><Relationship Id="rId6052" Type="http://schemas.openxmlformats.org/officeDocument/2006/relationships/hyperlink" Target="https://m.stock.naver.com/research/company/87188" TargetMode="External"/><Relationship Id="rId7103" Type="http://schemas.openxmlformats.org/officeDocument/2006/relationships/hyperlink" Target="https://m.stock.naver.com/research/company/86136" TargetMode="External"/><Relationship Id="rId10431" Type="http://schemas.openxmlformats.org/officeDocument/2006/relationships/hyperlink" Target="https://m.stock.naver.com/research/company/82790" TargetMode="External"/><Relationship Id="rId9275" Type="http://schemas.openxmlformats.org/officeDocument/2006/relationships/hyperlink" Target="https://m.stock.naver.com/research/company/83953" TargetMode="External"/><Relationship Id="rId13654" Type="http://schemas.openxmlformats.org/officeDocument/2006/relationships/hyperlink" Target="https://m.stock.naver.com/research/company/79550" TargetMode="External"/><Relationship Id="rId14705" Type="http://schemas.openxmlformats.org/officeDocument/2006/relationships/hyperlink" Target="https://m.stock.naver.com/research/company/94695" TargetMode="External"/><Relationship Id="rId981" Type="http://schemas.openxmlformats.org/officeDocument/2006/relationships/hyperlink" Target="https://m.stock.naver.com/research/company/92475" TargetMode="External"/><Relationship Id="rId2662" Type="http://schemas.openxmlformats.org/officeDocument/2006/relationships/hyperlink" Target="https://m.stock.naver.com/research/company/90592" TargetMode="External"/><Relationship Id="rId3713" Type="http://schemas.openxmlformats.org/officeDocument/2006/relationships/hyperlink" Target="https://m.stock.naver.com/research/company/89538" TargetMode="External"/><Relationship Id="rId12256" Type="http://schemas.openxmlformats.org/officeDocument/2006/relationships/hyperlink" Target="https://m.stock.naver.com/research/company/80953" TargetMode="External"/><Relationship Id="rId13307" Type="http://schemas.openxmlformats.org/officeDocument/2006/relationships/hyperlink" Target="https://m.stock.naver.com/research/company/79898" TargetMode="External"/><Relationship Id="rId634" Type="http://schemas.openxmlformats.org/officeDocument/2006/relationships/hyperlink" Target="https://m.stock.naver.com/research/company/92822" TargetMode="External"/><Relationship Id="rId1264" Type="http://schemas.openxmlformats.org/officeDocument/2006/relationships/hyperlink" Target="https://m.stock.naver.com/research/company/91991" TargetMode="External"/><Relationship Id="rId2315" Type="http://schemas.openxmlformats.org/officeDocument/2006/relationships/hyperlink" Target="https://m.stock.naver.com/research/company/90940" TargetMode="External"/><Relationship Id="rId5885" Type="http://schemas.openxmlformats.org/officeDocument/2006/relationships/hyperlink" Target="https://m.stock.naver.com/research/company/87355" TargetMode="External"/><Relationship Id="rId6936" Type="http://schemas.openxmlformats.org/officeDocument/2006/relationships/hyperlink" Target="https://m.stock.naver.com/research/company/86303" TargetMode="External"/><Relationship Id="rId15479" Type="http://schemas.openxmlformats.org/officeDocument/2006/relationships/hyperlink" Target="https://m.stock.naver.com/research/company/95308" TargetMode="External"/><Relationship Id="rId4487" Type="http://schemas.openxmlformats.org/officeDocument/2006/relationships/hyperlink" Target="https://m.stock.naver.com/research/company/88753" TargetMode="External"/><Relationship Id="rId5538" Type="http://schemas.openxmlformats.org/officeDocument/2006/relationships/hyperlink" Target="https://m.stock.naver.com/research/company/87702" TargetMode="External"/><Relationship Id="rId3089" Type="http://schemas.openxmlformats.org/officeDocument/2006/relationships/hyperlink" Target="https://m.stock.naver.com/research/company/90162" TargetMode="External"/><Relationship Id="rId8011" Type="http://schemas.openxmlformats.org/officeDocument/2006/relationships/hyperlink" Target="https://m.stock.naver.com/research/company/85227" TargetMode="External"/><Relationship Id="rId14562" Type="http://schemas.openxmlformats.org/officeDocument/2006/relationships/hyperlink" Target="https://m.stock.naver.com/research/company/94348" TargetMode="External"/><Relationship Id="rId15613" Type="http://schemas.openxmlformats.org/officeDocument/2006/relationships/hyperlink" Target="https://m.stock.naver.com/research/company/95423" TargetMode="External"/><Relationship Id="rId491" Type="http://schemas.openxmlformats.org/officeDocument/2006/relationships/hyperlink" Target="https://m.stock.naver.com/research/company/92966" TargetMode="External"/><Relationship Id="rId2172" Type="http://schemas.openxmlformats.org/officeDocument/2006/relationships/hyperlink" Target="https://m.stock.naver.com/research/company/91083" TargetMode="External"/><Relationship Id="rId3223" Type="http://schemas.openxmlformats.org/officeDocument/2006/relationships/hyperlink" Target="https://m.stock.naver.com/research/company/90028" TargetMode="External"/><Relationship Id="rId3570" Type="http://schemas.openxmlformats.org/officeDocument/2006/relationships/hyperlink" Target="https://m.stock.naver.com/research/company/89681" TargetMode="External"/><Relationship Id="rId4621" Type="http://schemas.openxmlformats.org/officeDocument/2006/relationships/hyperlink" Target="https://m.stock.naver.com/research/company/88619" TargetMode="External"/><Relationship Id="rId13164" Type="http://schemas.openxmlformats.org/officeDocument/2006/relationships/hyperlink" Target="https://m.stock.naver.com/research/company/80043" TargetMode="External"/><Relationship Id="rId14215" Type="http://schemas.openxmlformats.org/officeDocument/2006/relationships/hyperlink" Target="https://m.stock.naver.com/research/company/94043" TargetMode="External"/><Relationship Id="rId144" Type="http://schemas.openxmlformats.org/officeDocument/2006/relationships/hyperlink" Target="https://m.stock.naver.com/research/company/93314" TargetMode="External"/><Relationship Id="rId6793" Type="http://schemas.openxmlformats.org/officeDocument/2006/relationships/hyperlink" Target="https://m.stock.naver.com/research/company/86447" TargetMode="External"/><Relationship Id="rId7844" Type="http://schemas.openxmlformats.org/officeDocument/2006/relationships/hyperlink" Target="https://m.stock.naver.com/research/company/85394" TargetMode="External"/><Relationship Id="rId10825" Type="http://schemas.openxmlformats.org/officeDocument/2006/relationships/hyperlink" Target="https://m.stock.naver.com/research/company/82395" TargetMode="External"/><Relationship Id="rId5395" Type="http://schemas.openxmlformats.org/officeDocument/2006/relationships/hyperlink" Target="https://m.stock.naver.com/research/company/87845" TargetMode="External"/><Relationship Id="rId6446" Type="http://schemas.openxmlformats.org/officeDocument/2006/relationships/hyperlink" Target="https://m.stock.naver.com/research/company/86794" TargetMode="External"/><Relationship Id="rId5048" Type="http://schemas.openxmlformats.org/officeDocument/2006/relationships/hyperlink" Target="https://m.stock.naver.com/research/company/88192" TargetMode="External"/><Relationship Id="rId9669" Type="http://schemas.openxmlformats.org/officeDocument/2006/relationships/hyperlink" Target="https://m.stock.naver.com/research/company/83555" TargetMode="External"/><Relationship Id="rId11599" Type="http://schemas.openxmlformats.org/officeDocument/2006/relationships/hyperlink" Target="https://m.stock.naver.com/research/company/81613" TargetMode="External"/><Relationship Id="rId12997" Type="http://schemas.openxmlformats.org/officeDocument/2006/relationships/hyperlink" Target="https://m.stock.naver.com/research/company/80211" TargetMode="External"/><Relationship Id="rId15470" Type="http://schemas.openxmlformats.org/officeDocument/2006/relationships/hyperlink" Target="https://m.stock.naver.com/research/company/95317" TargetMode="External"/><Relationship Id="rId1658" Type="http://schemas.openxmlformats.org/officeDocument/2006/relationships/hyperlink" Target="https://m.stock.naver.com/research/company/91597" TargetMode="External"/><Relationship Id="rId2709" Type="http://schemas.openxmlformats.org/officeDocument/2006/relationships/hyperlink" Target="https://m.stock.naver.com/research/company/90545" TargetMode="External"/><Relationship Id="rId14072" Type="http://schemas.openxmlformats.org/officeDocument/2006/relationships/hyperlink" Target="https://m.stock.naver.com/research/company/93882" TargetMode="External"/><Relationship Id="rId15123" Type="http://schemas.openxmlformats.org/officeDocument/2006/relationships/hyperlink" Target="https://m.stock.naver.com/research/company/94971" TargetMode="External"/><Relationship Id="rId3080" Type="http://schemas.openxmlformats.org/officeDocument/2006/relationships/hyperlink" Target="https://m.stock.naver.com/research/company/90171" TargetMode="External"/><Relationship Id="rId4131" Type="http://schemas.openxmlformats.org/officeDocument/2006/relationships/hyperlink" Target="https://m.stock.naver.com/research/company/89120" TargetMode="External"/><Relationship Id="rId7354" Type="http://schemas.openxmlformats.org/officeDocument/2006/relationships/hyperlink" Target="https://m.stock.naver.com/research/company/85885" TargetMode="External"/><Relationship Id="rId8752" Type="http://schemas.openxmlformats.org/officeDocument/2006/relationships/hyperlink" Target="https://m.stock.naver.com/research/company/84485" TargetMode="External"/><Relationship Id="rId9803" Type="http://schemas.openxmlformats.org/officeDocument/2006/relationships/hyperlink" Target="https://m.stock.naver.com/research/company/83419" TargetMode="External"/><Relationship Id="rId10682" Type="http://schemas.openxmlformats.org/officeDocument/2006/relationships/hyperlink" Target="https://m.stock.naver.com/research/company/82538" TargetMode="External"/><Relationship Id="rId11733" Type="http://schemas.openxmlformats.org/officeDocument/2006/relationships/hyperlink" Target="https://m.stock.naver.com/research/company/81479" TargetMode="External"/><Relationship Id="rId17" Type="http://schemas.openxmlformats.org/officeDocument/2006/relationships/hyperlink" Target="https://m.stock.naver.com/research/company/93441" TargetMode="External"/><Relationship Id="rId7007" Type="http://schemas.openxmlformats.org/officeDocument/2006/relationships/hyperlink" Target="https://m.stock.naver.com/research/company/86232" TargetMode="External"/><Relationship Id="rId8405" Type="http://schemas.openxmlformats.org/officeDocument/2006/relationships/hyperlink" Target="https://m.stock.naver.com/research/company/84833" TargetMode="External"/><Relationship Id="rId10335" Type="http://schemas.openxmlformats.org/officeDocument/2006/relationships/hyperlink" Target="https://m.stock.naver.com/research/company/82886" TargetMode="External"/><Relationship Id="rId14956" Type="http://schemas.openxmlformats.org/officeDocument/2006/relationships/hyperlink" Target="https://m.stock.naver.com/research/company/94878" TargetMode="External"/><Relationship Id="rId3964" Type="http://schemas.openxmlformats.org/officeDocument/2006/relationships/hyperlink" Target="https://m.stock.naver.com/research/company/89287" TargetMode="External"/><Relationship Id="rId13558" Type="http://schemas.openxmlformats.org/officeDocument/2006/relationships/hyperlink" Target="https://m.stock.naver.com/research/company/79646" TargetMode="External"/><Relationship Id="rId14609" Type="http://schemas.openxmlformats.org/officeDocument/2006/relationships/hyperlink" Target="https://m.stock.naver.com/research/company/94568" TargetMode="External"/><Relationship Id="rId1" Type="http://schemas.openxmlformats.org/officeDocument/2006/relationships/hyperlink" Target="https://m.stock.naver.com/research/company/93457" TargetMode="External"/><Relationship Id="rId885" Type="http://schemas.openxmlformats.org/officeDocument/2006/relationships/hyperlink" Target="https://m.stock.naver.com/research/company/92571" TargetMode="External"/><Relationship Id="rId2566" Type="http://schemas.openxmlformats.org/officeDocument/2006/relationships/hyperlink" Target="https://m.stock.naver.com/research/company/90688" TargetMode="External"/><Relationship Id="rId3617" Type="http://schemas.openxmlformats.org/officeDocument/2006/relationships/hyperlink" Target="https://m.stock.naver.com/research/company/89634" TargetMode="External"/><Relationship Id="rId9179" Type="http://schemas.openxmlformats.org/officeDocument/2006/relationships/hyperlink" Target="https://m.stock.naver.com/research/company/84051" TargetMode="External"/><Relationship Id="rId538" Type="http://schemas.openxmlformats.org/officeDocument/2006/relationships/hyperlink" Target="https://m.stock.naver.com/research/company/92919" TargetMode="External"/><Relationship Id="rId1168" Type="http://schemas.openxmlformats.org/officeDocument/2006/relationships/hyperlink" Target="https://m.stock.naver.com/research/company/92087" TargetMode="External"/><Relationship Id="rId2219" Type="http://schemas.openxmlformats.org/officeDocument/2006/relationships/hyperlink" Target="https://m.stock.naver.com/research/company/91036" TargetMode="External"/><Relationship Id="rId5789" Type="http://schemas.openxmlformats.org/officeDocument/2006/relationships/hyperlink" Target="https://m.stock.naver.com/research/company/87451" TargetMode="External"/><Relationship Id="rId9660" Type="http://schemas.openxmlformats.org/officeDocument/2006/relationships/hyperlink" Target="https://m.stock.naver.com/research/company/83564" TargetMode="External"/><Relationship Id="rId8262" Type="http://schemas.openxmlformats.org/officeDocument/2006/relationships/hyperlink" Target="https://m.stock.naver.com/research/company/84976" TargetMode="External"/><Relationship Id="rId9313" Type="http://schemas.openxmlformats.org/officeDocument/2006/relationships/hyperlink" Target="https://m.stock.naver.com/research/company/83914" TargetMode="External"/><Relationship Id="rId10192" Type="http://schemas.openxmlformats.org/officeDocument/2006/relationships/hyperlink" Target="https://m.stock.naver.com/research/company/83029" TargetMode="External"/><Relationship Id="rId11590" Type="http://schemas.openxmlformats.org/officeDocument/2006/relationships/hyperlink" Target="https://m.stock.naver.com/research/company/81622" TargetMode="External"/><Relationship Id="rId12641" Type="http://schemas.openxmlformats.org/officeDocument/2006/relationships/hyperlink" Target="https://m.stock.naver.com/research/company/80567" TargetMode="External"/><Relationship Id="rId1302" Type="http://schemas.openxmlformats.org/officeDocument/2006/relationships/hyperlink" Target="https://m.stock.naver.com/research/company/91953" TargetMode="External"/><Relationship Id="rId2700" Type="http://schemas.openxmlformats.org/officeDocument/2006/relationships/hyperlink" Target="https://m.stock.naver.com/research/company/90554" TargetMode="External"/><Relationship Id="rId11243" Type="http://schemas.openxmlformats.org/officeDocument/2006/relationships/hyperlink" Target="https://m.stock.naver.com/research/company/81976" TargetMode="External"/><Relationship Id="rId4872" Type="http://schemas.openxmlformats.org/officeDocument/2006/relationships/hyperlink" Target="https://m.stock.naver.com/research/company/88368" TargetMode="External"/><Relationship Id="rId5923" Type="http://schemas.openxmlformats.org/officeDocument/2006/relationships/hyperlink" Target="https://m.stock.naver.com/research/company/87317" TargetMode="External"/><Relationship Id="rId14466" Type="http://schemas.openxmlformats.org/officeDocument/2006/relationships/hyperlink" Target="https://m.stock.naver.com/research/company/94444" TargetMode="External"/><Relationship Id="rId15517" Type="http://schemas.openxmlformats.org/officeDocument/2006/relationships/hyperlink" Target="https://m.stock.naver.com/research/company/95519" TargetMode="External"/><Relationship Id="rId395" Type="http://schemas.openxmlformats.org/officeDocument/2006/relationships/hyperlink" Target="https://m.stock.naver.com/research/company/93063" TargetMode="External"/><Relationship Id="rId2076" Type="http://schemas.openxmlformats.org/officeDocument/2006/relationships/hyperlink" Target="https://m.stock.naver.com/research/company/91179" TargetMode="External"/><Relationship Id="rId3474" Type="http://schemas.openxmlformats.org/officeDocument/2006/relationships/hyperlink" Target="https://m.stock.naver.com/research/company/89777" TargetMode="External"/><Relationship Id="rId4525" Type="http://schemas.openxmlformats.org/officeDocument/2006/relationships/hyperlink" Target="https://m.stock.naver.com/research/company/88715" TargetMode="External"/><Relationship Id="rId13068" Type="http://schemas.openxmlformats.org/officeDocument/2006/relationships/hyperlink" Target="https://m.stock.naver.com/research/company/80139" TargetMode="External"/><Relationship Id="rId14119" Type="http://schemas.openxmlformats.org/officeDocument/2006/relationships/hyperlink" Target="https://m.stock.naver.com/research/company/94009" TargetMode="External"/><Relationship Id="rId3127" Type="http://schemas.openxmlformats.org/officeDocument/2006/relationships/hyperlink" Target="https://m.stock.naver.com/research/company/90124" TargetMode="External"/><Relationship Id="rId6697" Type="http://schemas.openxmlformats.org/officeDocument/2006/relationships/hyperlink" Target="https://m.stock.naver.com/research/company/86543" TargetMode="External"/><Relationship Id="rId7748" Type="http://schemas.openxmlformats.org/officeDocument/2006/relationships/hyperlink" Target="https://m.stock.naver.com/research/company/85491" TargetMode="External"/><Relationship Id="rId5299" Type="http://schemas.openxmlformats.org/officeDocument/2006/relationships/hyperlink" Target="https://m.stock.naver.com/research/company/87941" TargetMode="External"/><Relationship Id="rId9170" Type="http://schemas.openxmlformats.org/officeDocument/2006/relationships/hyperlink" Target="https://m.stock.naver.com/research/company/84060" TargetMode="External"/><Relationship Id="rId10729" Type="http://schemas.openxmlformats.org/officeDocument/2006/relationships/hyperlink" Target="https://m.stock.naver.com/research/company/82491" TargetMode="External"/><Relationship Id="rId12151" Type="http://schemas.openxmlformats.org/officeDocument/2006/relationships/hyperlink" Target="https://m.stock.naver.com/research/company/81060" TargetMode="External"/><Relationship Id="rId13202" Type="http://schemas.openxmlformats.org/officeDocument/2006/relationships/hyperlink" Target="https://m.stock.naver.com/research/company/80005" TargetMode="External"/><Relationship Id="rId14600" Type="http://schemas.openxmlformats.org/officeDocument/2006/relationships/hyperlink" Target="https://m.stock.naver.com/research/company/94577" TargetMode="External"/><Relationship Id="rId2210" Type="http://schemas.openxmlformats.org/officeDocument/2006/relationships/hyperlink" Target="https://m.stock.naver.com/research/company/91045" TargetMode="External"/><Relationship Id="rId4382" Type="http://schemas.openxmlformats.org/officeDocument/2006/relationships/hyperlink" Target="https://m.stock.naver.com/research/company/88859" TargetMode="External"/><Relationship Id="rId5433" Type="http://schemas.openxmlformats.org/officeDocument/2006/relationships/hyperlink" Target="https://m.stock.naver.com/research/company/87807" TargetMode="External"/><Relationship Id="rId5780" Type="http://schemas.openxmlformats.org/officeDocument/2006/relationships/hyperlink" Target="https://m.stock.naver.com/research/company/87460" TargetMode="External"/><Relationship Id="rId6831" Type="http://schemas.openxmlformats.org/officeDocument/2006/relationships/hyperlink" Target="https://m.stock.naver.com/research/company/86409" TargetMode="External"/><Relationship Id="rId15374" Type="http://schemas.openxmlformats.org/officeDocument/2006/relationships/hyperlink" Target="https://m.stock.naver.com/research/company/95214" TargetMode="External"/><Relationship Id="rId4035" Type="http://schemas.openxmlformats.org/officeDocument/2006/relationships/hyperlink" Target="https://m.stock.naver.com/research/company/89216" TargetMode="External"/><Relationship Id="rId11984" Type="http://schemas.openxmlformats.org/officeDocument/2006/relationships/hyperlink" Target="https://m.stock.naver.com/research/company/81227" TargetMode="External"/><Relationship Id="rId15027" Type="http://schemas.openxmlformats.org/officeDocument/2006/relationships/hyperlink" Target="https://m.stock.naver.com/research/company/94807" TargetMode="External"/><Relationship Id="rId8656" Type="http://schemas.openxmlformats.org/officeDocument/2006/relationships/hyperlink" Target="https://m.stock.naver.com/research/company/84581" TargetMode="External"/><Relationship Id="rId9707" Type="http://schemas.openxmlformats.org/officeDocument/2006/relationships/hyperlink" Target="https://m.stock.naver.com/research/company/83516" TargetMode="External"/><Relationship Id="rId10586" Type="http://schemas.openxmlformats.org/officeDocument/2006/relationships/hyperlink" Target="https://m.stock.naver.com/research/company/82634" TargetMode="External"/><Relationship Id="rId11637" Type="http://schemas.openxmlformats.org/officeDocument/2006/relationships/hyperlink" Target="https://m.stock.naver.com/research/company/81575" TargetMode="External"/><Relationship Id="rId7258" Type="http://schemas.openxmlformats.org/officeDocument/2006/relationships/hyperlink" Target="https://m.stock.naver.com/research/company/85981" TargetMode="External"/><Relationship Id="rId8309" Type="http://schemas.openxmlformats.org/officeDocument/2006/relationships/hyperlink" Target="https://m.stock.naver.com/research/company/84929" TargetMode="External"/><Relationship Id="rId10239" Type="http://schemas.openxmlformats.org/officeDocument/2006/relationships/hyperlink" Target="https://m.stock.naver.com/research/company/82982" TargetMode="External"/><Relationship Id="rId14110" Type="http://schemas.openxmlformats.org/officeDocument/2006/relationships/hyperlink" Target="https://m.stock.naver.com/research/company/93892" TargetMode="External"/><Relationship Id="rId3868" Type="http://schemas.openxmlformats.org/officeDocument/2006/relationships/hyperlink" Target="https://m.stock.naver.com/research/company/89383" TargetMode="External"/><Relationship Id="rId4919" Type="http://schemas.openxmlformats.org/officeDocument/2006/relationships/hyperlink" Target="https://m.stock.naver.com/research/company/88321" TargetMode="External"/><Relationship Id="rId789" Type="http://schemas.openxmlformats.org/officeDocument/2006/relationships/hyperlink" Target="https://m.stock.naver.com/research/company/92667" TargetMode="External"/><Relationship Id="rId5290" Type="http://schemas.openxmlformats.org/officeDocument/2006/relationships/hyperlink" Target="https://m.stock.naver.com/research/company/87950" TargetMode="External"/><Relationship Id="rId6341" Type="http://schemas.openxmlformats.org/officeDocument/2006/relationships/hyperlink" Target="https://m.stock.naver.com/research/company/86899" TargetMode="External"/><Relationship Id="rId10720" Type="http://schemas.openxmlformats.org/officeDocument/2006/relationships/hyperlink" Target="https://m.stock.naver.com/research/company/82500" TargetMode="External"/><Relationship Id="rId9564" Type="http://schemas.openxmlformats.org/officeDocument/2006/relationships/hyperlink" Target="https://m.stock.naver.com/research/company/83663" TargetMode="External"/><Relationship Id="rId12892" Type="http://schemas.openxmlformats.org/officeDocument/2006/relationships/hyperlink" Target="https://m.stock.naver.com/research/company/80316" TargetMode="External"/><Relationship Id="rId13943" Type="http://schemas.openxmlformats.org/officeDocument/2006/relationships/hyperlink" Target="https://m.stock.naver.com/research/company/93789" TargetMode="External"/><Relationship Id="rId2951" Type="http://schemas.openxmlformats.org/officeDocument/2006/relationships/hyperlink" Target="https://m.stock.naver.com/research/company/90302" TargetMode="External"/><Relationship Id="rId8166" Type="http://schemas.openxmlformats.org/officeDocument/2006/relationships/hyperlink" Target="https://m.stock.naver.com/research/company/85072" TargetMode="External"/><Relationship Id="rId9217" Type="http://schemas.openxmlformats.org/officeDocument/2006/relationships/hyperlink" Target="https://m.stock.naver.com/research/company/84013" TargetMode="External"/><Relationship Id="rId11494" Type="http://schemas.openxmlformats.org/officeDocument/2006/relationships/hyperlink" Target="https://m.stock.naver.com/research/company/81721" TargetMode="External"/><Relationship Id="rId12545" Type="http://schemas.openxmlformats.org/officeDocument/2006/relationships/hyperlink" Target="https://m.stock.naver.com/research/company/80663" TargetMode="External"/><Relationship Id="rId923" Type="http://schemas.openxmlformats.org/officeDocument/2006/relationships/hyperlink" Target="https://m.stock.naver.com/research/company/92533" TargetMode="External"/><Relationship Id="rId1553" Type="http://schemas.openxmlformats.org/officeDocument/2006/relationships/hyperlink" Target="https://m.stock.naver.com/research/company/91702" TargetMode="External"/><Relationship Id="rId2604" Type="http://schemas.openxmlformats.org/officeDocument/2006/relationships/hyperlink" Target="https://m.stock.naver.com/research/company/90650" TargetMode="External"/><Relationship Id="rId10096" Type="http://schemas.openxmlformats.org/officeDocument/2006/relationships/hyperlink" Target="https://m.stock.naver.com/research/company/83125" TargetMode="External"/><Relationship Id="rId11147" Type="http://schemas.openxmlformats.org/officeDocument/2006/relationships/hyperlink" Target="https://m.stock.naver.com/research/company/82073" TargetMode="External"/><Relationship Id="rId1206" Type="http://schemas.openxmlformats.org/officeDocument/2006/relationships/hyperlink" Target="https://m.stock.naver.com/research/company/92049" TargetMode="External"/><Relationship Id="rId4776" Type="http://schemas.openxmlformats.org/officeDocument/2006/relationships/hyperlink" Target="https://m.stock.naver.com/research/company/88464" TargetMode="External"/><Relationship Id="rId5827" Type="http://schemas.openxmlformats.org/officeDocument/2006/relationships/hyperlink" Target="https://m.stock.naver.com/research/company/87413" TargetMode="External"/><Relationship Id="rId3378" Type="http://schemas.openxmlformats.org/officeDocument/2006/relationships/hyperlink" Target="https://m.stock.naver.com/research/company/89873" TargetMode="External"/><Relationship Id="rId4429" Type="http://schemas.openxmlformats.org/officeDocument/2006/relationships/hyperlink" Target="https://m.stock.naver.com/research/company/88812" TargetMode="External"/><Relationship Id="rId7999" Type="http://schemas.openxmlformats.org/officeDocument/2006/relationships/hyperlink" Target="https://m.stock.naver.com/research/company/85239" TargetMode="External"/><Relationship Id="rId8300" Type="http://schemas.openxmlformats.org/officeDocument/2006/relationships/hyperlink" Target="https://m.stock.naver.com/research/company/84938" TargetMode="External"/><Relationship Id="rId10230" Type="http://schemas.openxmlformats.org/officeDocument/2006/relationships/hyperlink" Target="https://m.stock.naver.com/research/company/82991" TargetMode="External"/><Relationship Id="rId299" Type="http://schemas.openxmlformats.org/officeDocument/2006/relationships/hyperlink" Target="https://m.stock.naver.com/research/company/93159" TargetMode="External"/><Relationship Id="rId14851" Type="http://schemas.openxmlformats.org/officeDocument/2006/relationships/hyperlink" Target="https://m.stock.naver.com/research/company/94773" TargetMode="External"/><Relationship Id="rId780" Type="http://schemas.openxmlformats.org/officeDocument/2006/relationships/hyperlink" Target="https://m.stock.naver.com/research/company/92676" TargetMode="External"/><Relationship Id="rId2461" Type="http://schemas.openxmlformats.org/officeDocument/2006/relationships/hyperlink" Target="https://m.stock.naver.com/research/company/90793" TargetMode="External"/><Relationship Id="rId3512" Type="http://schemas.openxmlformats.org/officeDocument/2006/relationships/hyperlink" Target="https://m.stock.naver.com/research/company/89739" TargetMode="External"/><Relationship Id="rId4910" Type="http://schemas.openxmlformats.org/officeDocument/2006/relationships/hyperlink" Target="https://m.stock.naver.com/research/company/88330" TargetMode="External"/><Relationship Id="rId9074" Type="http://schemas.openxmlformats.org/officeDocument/2006/relationships/hyperlink" Target="https://m.stock.naver.com/research/company/84157" TargetMode="External"/><Relationship Id="rId12055" Type="http://schemas.openxmlformats.org/officeDocument/2006/relationships/hyperlink" Target="https://m.stock.naver.com/research/company/81156" TargetMode="External"/><Relationship Id="rId13453" Type="http://schemas.openxmlformats.org/officeDocument/2006/relationships/hyperlink" Target="https://m.stock.naver.com/research/company/79751" TargetMode="External"/><Relationship Id="rId14504" Type="http://schemas.openxmlformats.org/officeDocument/2006/relationships/hyperlink" Target="https://m.stock.naver.com/research/company/94406" TargetMode="External"/><Relationship Id="rId433" Type="http://schemas.openxmlformats.org/officeDocument/2006/relationships/hyperlink" Target="https://m.stock.naver.com/research/company/93024" TargetMode="External"/><Relationship Id="rId1063" Type="http://schemas.openxmlformats.org/officeDocument/2006/relationships/hyperlink" Target="https://m.stock.naver.com/research/company/92288" TargetMode="External"/><Relationship Id="rId2114" Type="http://schemas.openxmlformats.org/officeDocument/2006/relationships/hyperlink" Target="https://m.stock.naver.com/research/company/91141" TargetMode="External"/><Relationship Id="rId13106" Type="http://schemas.openxmlformats.org/officeDocument/2006/relationships/hyperlink" Target="https://m.stock.naver.com/research/company/80101" TargetMode="External"/><Relationship Id="rId4286" Type="http://schemas.openxmlformats.org/officeDocument/2006/relationships/hyperlink" Target="https://m.stock.naver.com/research/company/88955" TargetMode="External"/><Relationship Id="rId5684" Type="http://schemas.openxmlformats.org/officeDocument/2006/relationships/hyperlink" Target="https://m.stock.naver.com/research/company/87556" TargetMode="External"/><Relationship Id="rId6735" Type="http://schemas.openxmlformats.org/officeDocument/2006/relationships/hyperlink" Target="https://m.stock.naver.com/research/company/86505" TargetMode="External"/><Relationship Id="rId15278" Type="http://schemas.openxmlformats.org/officeDocument/2006/relationships/hyperlink" Target="https://m.stock.naver.com/research/company/95082" TargetMode="External"/><Relationship Id="rId5337" Type="http://schemas.openxmlformats.org/officeDocument/2006/relationships/hyperlink" Target="https://m.stock.naver.com/research/company/87903" TargetMode="External"/><Relationship Id="rId9958" Type="http://schemas.openxmlformats.org/officeDocument/2006/relationships/hyperlink" Target="https://m.stock.naver.com/research/company/83263" TargetMode="External"/><Relationship Id="rId11888" Type="http://schemas.openxmlformats.org/officeDocument/2006/relationships/hyperlink" Target="https://m.stock.naver.com/research/company/81323" TargetMode="External"/><Relationship Id="rId12939" Type="http://schemas.openxmlformats.org/officeDocument/2006/relationships/hyperlink" Target="https://m.stock.naver.com/research/company/80269" TargetMode="External"/><Relationship Id="rId1947" Type="http://schemas.openxmlformats.org/officeDocument/2006/relationships/hyperlink" Target="https://m.stock.naver.com/research/company/91308" TargetMode="External"/><Relationship Id="rId14361" Type="http://schemas.openxmlformats.org/officeDocument/2006/relationships/hyperlink" Target="https://m.stock.naver.com/research/company/94190" TargetMode="External"/><Relationship Id="rId15412" Type="http://schemas.openxmlformats.org/officeDocument/2006/relationships/hyperlink" Target="https://m.stock.naver.com/research/company/95375" TargetMode="External"/><Relationship Id="rId4420" Type="http://schemas.openxmlformats.org/officeDocument/2006/relationships/hyperlink" Target="https://m.stock.naver.com/research/company/88821" TargetMode="External"/><Relationship Id="rId7990" Type="http://schemas.openxmlformats.org/officeDocument/2006/relationships/hyperlink" Target="https://m.stock.naver.com/research/company/85248" TargetMode="External"/><Relationship Id="rId14014" Type="http://schemas.openxmlformats.org/officeDocument/2006/relationships/hyperlink" Target="https://m.stock.naver.com/research/company/93833" TargetMode="External"/><Relationship Id="rId290" Type="http://schemas.openxmlformats.org/officeDocument/2006/relationships/hyperlink" Target="https://m.stock.naver.com/research/company/93168" TargetMode="External"/><Relationship Id="rId3022" Type="http://schemas.openxmlformats.org/officeDocument/2006/relationships/hyperlink" Target="https://m.stock.naver.com/research/company/90229" TargetMode="External"/><Relationship Id="rId6592" Type="http://schemas.openxmlformats.org/officeDocument/2006/relationships/hyperlink" Target="https://m.stock.naver.com/research/company/86648" TargetMode="External"/><Relationship Id="rId7643" Type="http://schemas.openxmlformats.org/officeDocument/2006/relationships/hyperlink" Target="https://m.stock.naver.com/research/company/85596" TargetMode="External"/><Relationship Id="rId10971" Type="http://schemas.openxmlformats.org/officeDocument/2006/relationships/hyperlink" Target="https://m.stock.naver.com/research/company/82249" TargetMode="External"/><Relationship Id="rId5194" Type="http://schemas.openxmlformats.org/officeDocument/2006/relationships/hyperlink" Target="https://m.stock.naver.com/research/company/88046" TargetMode="External"/><Relationship Id="rId6245" Type="http://schemas.openxmlformats.org/officeDocument/2006/relationships/hyperlink" Target="https://m.stock.naver.com/research/company/86995" TargetMode="External"/><Relationship Id="rId10624" Type="http://schemas.openxmlformats.org/officeDocument/2006/relationships/hyperlink" Target="https://m.stock.naver.com/research/company/82596" TargetMode="External"/><Relationship Id="rId12796" Type="http://schemas.openxmlformats.org/officeDocument/2006/relationships/hyperlink" Target="https://m.stock.naver.com/research/company/80412" TargetMode="External"/><Relationship Id="rId13847" Type="http://schemas.openxmlformats.org/officeDocument/2006/relationships/hyperlink" Target="https://m.stock.naver.com/research/company/93635" TargetMode="External"/><Relationship Id="rId2855" Type="http://schemas.openxmlformats.org/officeDocument/2006/relationships/hyperlink" Target="https://m.stock.naver.com/research/company/90398" TargetMode="External"/><Relationship Id="rId3906" Type="http://schemas.openxmlformats.org/officeDocument/2006/relationships/hyperlink" Target="https://m.stock.naver.com/research/company/89345" TargetMode="External"/><Relationship Id="rId9468" Type="http://schemas.openxmlformats.org/officeDocument/2006/relationships/hyperlink" Target="https://m.stock.naver.com/research/company/83759" TargetMode="External"/><Relationship Id="rId11398" Type="http://schemas.openxmlformats.org/officeDocument/2006/relationships/hyperlink" Target="https://m.stock.naver.com/research/company/81817" TargetMode="External"/><Relationship Id="rId12449" Type="http://schemas.openxmlformats.org/officeDocument/2006/relationships/hyperlink" Target="https://m.stock.naver.com/research/company/80760" TargetMode="External"/><Relationship Id="rId827" Type="http://schemas.openxmlformats.org/officeDocument/2006/relationships/hyperlink" Target="https://m.stock.naver.com/research/company/92629" TargetMode="External"/><Relationship Id="rId1457" Type="http://schemas.openxmlformats.org/officeDocument/2006/relationships/hyperlink" Target="https://m.stock.naver.com/research/company/91798" TargetMode="External"/><Relationship Id="rId2508" Type="http://schemas.openxmlformats.org/officeDocument/2006/relationships/hyperlink" Target="https://m.stock.naver.com/research/company/90746" TargetMode="External"/><Relationship Id="rId8551" Type="http://schemas.openxmlformats.org/officeDocument/2006/relationships/hyperlink" Target="https://m.stock.naver.com/research/company/84686" TargetMode="External"/><Relationship Id="rId9602" Type="http://schemas.openxmlformats.org/officeDocument/2006/relationships/hyperlink" Target="https://m.stock.naver.com/research/company/83625" TargetMode="External"/><Relationship Id="rId10481" Type="http://schemas.openxmlformats.org/officeDocument/2006/relationships/hyperlink" Target="https://m.stock.naver.com/research/company/82739" TargetMode="External"/><Relationship Id="rId12930" Type="http://schemas.openxmlformats.org/officeDocument/2006/relationships/hyperlink" Target="https://m.stock.naver.com/research/company/80278" TargetMode="External"/><Relationship Id="rId7153" Type="http://schemas.openxmlformats.org/officeDocument/2006/relationships/hyperlink" Target="https://m.stock.naver.com/research/company/86086" TargetMode="External"/><Relationship Id="rId8204" Type="http://schemas.openxmlformats.org/officeDocument/2006/relationships/hyperlink" Target="https://m.stock.naver.com/research/company/85034" TargetMode="External"/><Relationship Id="rId10134" Type="http://schemas.openxmlformats.org/officeDocument/2006/relationships/hyperlink" Target="https://m.stock.naver.com/research/company/83087" TargetMode="External"/><Relationship Id="rId11532" Type="http://schemas.openxmlformats.org/officeDocument/2006/relationships/hyperlink" Target="https://m.stock.naver.com/research/company/81683" TargetMode="External"/><Relationship Id="rId14755" Type="http://schemas.openxmlformats.org/officeDocument/2006/relationships/hyperlink" Target="https://m.stock.naver.com/research/company/94645" TargetMode="External"/><Relationship Id="rId684" Type="http://schemas.openxmlformats.org/officeDocument/2006/relationships/hyperlink" Target="https://m.stock.naver.com/research/company/92772" TargetMode="External"/><Relationship Id="rId2365" Type="http://schemas.openxmlformats.org/officeDocument/2006/relationships/hyperlink" Target="https://m.stock.naver.com/research/company/90889" TargetMode="External"/><Relationship Id="rId3763" Type="http://schemas.openxmlformats.org/officeDocument/2006/relationships/hyperlink" Target="https://m.stock.naver.com/research/company/89488" TargetMode="External"/><Relationship Id="rId4814" Type="http://schemas.openxmlformats.org/officeDocument/2006/relationships/hyperlink" Target="https://m.stock.naver.com/research/company/88426" TargetMode="External"/><Relationship Id="rId13357" Type="http://schemas.openxmlformats.org/officeDocument/2006/relationships/hyperlink" Target="https://m.stock.naver.com/research/company/79848" TargetMode="External"/><Relationship Id="rId14408" Type="http://schemas.openxmlformats.org/officeDocument/2006/relationships/hyperlink" Target="https://m.stock.naver.com/research/company/94275" TargetMode="External"/><Relationship Id="rId337" Type="http://schemas.openxmlformats.org/officeDocument/2006/relationships/hyperlink" Target="https://m.stock.naver.com/research/company/93121" TargetMode="External"/><Relationship Id="rId2018" Type="http://schemas.openxmlformats.org/officeDocument/2006/relationships/hyperlink" Target="https://m.stock.naver.com/research/company/91237" TargetMode="External"/><Relationship Id="rId3416" Type="http://schemas.openxmlformats.org/officeDocument/2006/relationships/hyperlink" Target="https://m.stock.naver.com/research/company/89835" TargetMode="External"/><Relationship Id="rId6986" Type="http://schemas.openxmlformats.org/officeDocument/2006/relationships/hyperlink" Target="https://m.stock.naver.com/research/company/86253" TargetMode="External"/><Relationship Id="rId5588" Type="http://schemas.openxmlformats.org/officeDocument/2006/relationships/hyperlink" Target="https://m.stock.naver.com/research/company/87652" TargetMode="External"/><Relationship Id="rId6639" Type="http://schemas.openxmlformats.org/officeDocument/2006/relationships/hyperlink" Target="https://m.stock.naver.com/research/company/86601" TargetMode="External"/><Relationship Id="rId12440" Type="http://schemas.openxmlformats.org/officeDocument/2006/relationships/hyperlink" Target="https://m.stock.naver.com/research/company/80769" TargetMode="External"/><Relationship Id="rId8061" Type="http://schemas.openxmlformats.org/officeDocument/2006/relationships/hyperlink" Target="https://m.stock.naver.com/research/company/85177" TargetMode="External"/><Relationship Id="rId9112" Type="http://schemas.openxmlformats.org/officeDocument/2006/relationships/hyperlink" Target="https://m.stock.naver.com/research/company/84118" TargetMode="External"/><Relationship Id="rId11042" Type="http://schemas.openxmlformats.org/officeDocument/2006/relationships/hyperlink" Target="https://m.stock.naver.com/research/company/82178" TargetMode="External"/><Relationship Id="rId1101" Type="http://schemas.openxmlformats.org/officeDocument/2006/relationships/hyperlink" Target="https://m.stock.naver.com/research/company/92155" TargetMode="External"/><Relationship Id="rId4671" Type="http://schemas.openxmlformats.org/officeDocument/2006/relationships/hyperlink" Target="https://m.stock.naver.com/research/company/88569" TargetMode="External"/><Relationship Id="rId5722" Type="http://schemas.openxmlformats.org/officeDocument/2006/relationships/hyperlink" Target="https://m.stock.naver.com/research/company/87518" TargetMode="External"/><Relationship Id="rId14265" Type="http://schemas.openxmlformats.org/officeDocument/2006/relationships/hyperlink" Target="https://m.stock.naver.com/research/company/94133" TargetMode="External"/><Relationship Id="rId15663" Type="http://schemas.openxmlformats.org/officeDocument/2006/relationships/hyperlink" Target="https://m.stock.naver.com/research/company/95751" TargetMode="External"/><Relationship Id="rId3273" Type="http://schemas.openxmlformats.org/officeDocument/2006/relationships/hyperlink" Target="https://m.stock.naver.com/research/company/89977" TargetMode="External"/><Relationship Id="rId4324" Type="http://schemas.openxmlformats.org/officeDocument/2006/relationships/hyperlink" Target="https://m.stock.naver.com/research/company/88917" TargetMode="External"/><Relationship Id="rId15316" Type="http://schemas.openxmlformats.org/officeDocument/2006/relationships/hyperlink" Target="https://m.stock.naver.com/research/company/95272" TargetMode="External"/><Relationship Id="rId194" Type="http://schemas.openxmlformats.org/officeDocument/2006/relationships/hyperlink" Target="https://m.stock.naver.com/research/company/93264" TargetMode="External"/><Relationship Id="rId6496" Type="http://schemas.openxmlformats.org/officeDocument/2006/relationships/hyperlink" Target="https://m.stock.naver.com/research/company/86744" TargetMode="External"/><Relationship Id="rId7894" Type="http://schemas.openxmlformats.org/officeDocument/2006/relationships/hyperlink" Target="https://m.stock.naver.com/research/company/85344" TargetMode="External"/><Relationship Id="rId8945" Type="http://schemas.openxmlformats.org/officeDocument/2006/relationships/hyperlink" Target="https://m.stock.naver.com/research/company/84287" TargetMode="External"/><Relationship Id="rId10875" Type="http://schemas.openxmlformats.org/officeDocument/2006/relationships/hyperlink" Target="https://m.stock.naver.com/research/company/82345" TargetMode="External"/><Relationship Id="rId11926" Type="http://schemas.openxmlformats.org/officeDocument/2006/relationships/hyperlink" Target="https://m.stock.naver.com/research/company/81285" TargetMode="External"/><Relationship Id="rId5098" Type="http://schemas.openxmlformats.org/officeDocument/2006/relationships/hyperlink" Target="https://m.stock.naver.com/research/company/88142" TargetMode="External"/><Relationship Id="rId6149" Type="http://schemas.openxmlformats.org/officeDocument/2006/relationships/hyperlink" Target="https://m.stock.naver.com/research/company/87091" TargetMode="External"/><Relationship Id="rId7547" Type="http://schemas.openxmlformats.org/officeDocument/2006/relationships/hyperlink" Target="https://m.stock.naver.com/research/company/85692" TargetMode="External"/><Relationship Id="rId10528" Type="http://schemas.openxmlformats.org/officeDocument/2006/relationships/hyperlink" Target="https://m.stock.naver.com/research/company/82692" TargetMode="External"/><Relationship Id="rId13001" Type="http://schemas.openxmlformats.org/officeDocument/2006/relationships/hyperlink" Target="https://m.stock.naver.com/research/company/80207" TargetMode="External"/><Relationship Id="rId2759" Type="http://schemas.openxmlformats.org/officeDocument/2006/relationships/hyperlink" Target="https://m.stock.naver.com/research/company/90495" TargetMode="External"/><Relationship Id="rId6630" Type="http://schemas.openxmlformats.org/officeDocument/2006/relationships/hyperlink" Target="https://m.stock.naver.com/research/company/86610" TargetMode="External"/><Relationship Id="rId15173" Type="http://schemas.openxmlformats.org/officeDocument/2006/relationships/hyperlink" Target="https://m.stock.naver.com/research/company/95187" TargetMode="External"/><Relationship Id="rId4181" Type="http://schemas.openxmlformats.org/officeDocument/2006/relationships/hyperlink" Target="https://m.stock.naver.com/research/company/89068" TargetMode="External"/><Relationship Id="rId5232" Type="http://schemas.openxmlformats.org/officeDocument/2006/relationships/hyperlink" Target="https://m.stock.naver.com/research/company/88008" TargetMode="External"/><Relationship Id="rId9853" Type="http://schemas.openxmlformats.org/officeDocument/2006/relationships/hyperlink" Target="https://m.stock.naver.com/research/company/83369" TargetMode="External"/><Relationship Id="rId67" Type="http://schemas.openxmlformats.org/officeDocument/2006/relationships/hyperlink" Target="https://m.stock.naver.com/research/company/93391" TargetMode="External"/><Relationship Id="rId8455" Type="http://schemas.openxmlformats.org/officeDocument/2006/relationships/hyperlink" Target="https://m.stock.naver.com/research/company/84782" TargetMode="External"/><Relationship Id="rId9506" Type="http://schemas.openxmlformats.org/officeDocument/2006/relationships/hyperlink" Target="https://m.stock.naver.com/research/company/83721" TargetMode="External"/><Relationship Id="rId11783" Type="http://schemas.openxmlformats.org/officeDocument/2006/relationships/hyperlink" Target="https://m.stock.naver.com/research/company/81429" TargetMode="External"/><Relationship Id="rId12834" Type="http://schemas.openxmlformats.org/officeDocument/2006/relationships/hyperlink" Target="https://m.stock.naver.com/research/company/80374" TargetMode="External"/><Relationship Id="rId1842" Type="http://schemas.openxmlformats.org/officeDocument/2006/relationships/hyperlink" Target="https://m.stock.naver.com/research/company/91413" TargetMode="External"/><Relationship Id="rId7057" Type="http://schemas.openxmlformats.org/officeDocument/2006/relationships/hyperlink" Target="https://m.stock.naver.com/research/company/86182" TargetMode="External"/><Relationship Id="rId8108" Type="http://schemas.openxmlformats.org/officeDocument/2006/relationships/hyperlink" Target="https://m.stock.naver.com/research/company/85130" TargetMode="External"/><Relationship Id="rId10385" Type="http://schemas.openxmlformats.org/officeDocument/2006/relationships/hyperlink" Target="https://m.stock.naver.com/research/company/82836" TargetMode="External"/><Relationship Id="rId11436" Type="http://schemas.openxmlformats.org/officeDocument/2006/relationships/hyperlink" Target="https://m.stock.naver.com/research/company/81779" TargetMode="External"/><Relationship Id="rId10038" Type="http://schemas.openxmlformats.org/officeDocument/2006/relationships/hyperlink" Target="https://m.stock.naver.com/research/company/83183" TargetMode="External"/><Relationship Id="rId14659" Type="http://schemas.openxmlformats.org/officeDocument/2006/relationships/hyperlink" Target="https://m.stock.naver.com/research/company/94519" TargetMode="External"/><Relationship Id="rId3667" Type="http://schemas.openxmlformats.org/officeDocument/2006/relationships/hyperlink" Target="https://m.stock.naver.com/research/company/89584" TargetMode="External"/><Relationship Id="rId4718" Type="http://schemas.openxmlformats.org/officeDocument/2006/relationships/hyperlink" Target="https://m.stock.naver.com/research/company/88522" TargetMode="External"/><Relationship Id="rId588" Type="http://schemas.openxmlformats.org/officeDocument/2006/relationships/hyperlink" Target="https://m.stock.naver.com/research/company/92869" TargetMode="External"/><Relationship Id="rId2269" Type="http://schemas.openxmlformats.org/officeDocument/2006/relationships/hyperlink" Target="https://m.stock.naver.com/research/company/90986" TargetMode="External"/><Relationship Id="rId6140" Type="http://schemas.openxmlformats.org/officeDocument/2006/relationships/hyperlink" Target="https://m.stock.naver.com/research/company/87100" TargetMode="External"/><Relationship Id="rId12691" Type="http://schemas.openxmlformats.org/officeDocument/2006/relationships/hyperlink" Target="https://m.stock.naver.com/research/company/80517" TargetMode="External"/><Relationship Id="rId2750" Type="http://schemas.openxmlformats.org/officeDocument/2006/relationships/hyperlink" Target="https://m.stock.naver.com/research/company/90504" TargetMode="External"/><Relationship Id="rId3801" Type="http://schemas.openxmlformats.org/officeDocument/2006/relationships/hyperlink" Target="https://m.stock.naver.com/research/company/89450" TargetMode="External"/><Relationship Id="rId9363" Type="http://schemas.openxmlformats.org/officeDocument/2006/relationships/hyperlink" Target="https://m.stock.naver.com/research/company/83864" TargetMode="External"/><Relationship Id="rId11293" Type="http://schemas.openxmlformats.org/officeDocument/2006/relationships/hyperlink" Target="https://m.stock.naver.com/research/company/81926" TargetMode="External"/><Relationship Id="rId12344" Type="http://schemas.openxmlformats.org/officeDocument/2006/relationships/hyperlink" Target="https://m.stock.naver.com/research/company/80865" TargetMode="External"/><Relationship Id="rId13742" Type="http://schemas.openxmlformats.org/officeDocument/2006/relationships/hyperlink" Target="https://m.stock.naver.com/research/company/93497" TargetMode="External"/><Relationship Id="rId722" Type="http://schemas.openxmlformats.org/officeDocument/2006/relationships/hyperlink" Target="https://m.stock.naver.com/research/company/92734" TargetMode="External"/><Relationship Id="rId1352" Type="http://schemas.openxmlformats.org/officeDocument/2006/relationships/hyperlink" Target="https://m.stock.naver.com/research/company/91903" TargetMode="External"/><Relationship Id="rId2403" Type="http://schemas.openxmlformats.org/officeDocument/2006/relationships/hyperlink" Target="https://m.stock.naver.com/research/company/90851" TargetMode="External"/><Relationship Id="rId9016" Type="http://schemas.openxmlformats.org/officeDocument/2006/relationships/hyperlink" Target="https://m.stock.naver.com/research/company/84216" TargetMode="External"/><Relationship Id="rId1005" Type="http://schemas.openxmlformats.org/officeDocument/2006/relationships/hyperlink" Target="https://m.stock.naver.com/research/company/92451" TargetMode="External"/><Relationship Id="rId4575" Type="http://schemas.openxmlformats.org/officeDocument/2006/relationships/hyperlink" Target="https://m.stock.naver.com/research/company/88665" TargetMode="External"/><Relationship Id="rId5973" Type="http://schemas.openxmlformats.org/officeDocument/2006/relationships/hyperlink" Target="https://m.stock.naver.com/research/company/87267" TargetMode="External"/><Relationship Id="rId15567" Type="http://schemas.openxmlformats.org/officeDocument/2006/relationships/hyperlink" Target="https://m.stock.naver.com/research/company/95469" TargetMode="External"/><Relationship Id="rId3177" Type="http://schemas.openxmlformats.org/officeDocument/2006/relationships/hyperlink" Target="https://m.stock.naver.com/research/company/90074" TargetMode="External"/><Relationship Id="rId4228" Type="http://schemas.openxmlformats.org/officeDocument/2006/relationships/hyperlink" Target="https://m.stock.naver.com/research/company/89014" TargetMode="External"/><Relationship Id="rId5626" Type="http://schemas.openxmlformats.org/officeDocument/2006/relationships/hyperlink" Target="https://m.stock.naver.com/research/company/87614" TargetMode="External"/><Relationship Id="rId14169" Type="http://schemas.openxmlformats.org/officeDocument/2006/relationships/hyperlink" Target="https://m.stock.naver.com/research/company/93959" TargetMode="External"/><Relationship Id="rId7798" Type="http://schemas.openxmlformats.org/officeDocument/2006/relationships/hyperlink" Target="https://m.stock.naver.com/research/company/85440" TargetMode="External"/><Relationship Id="rId8849" Type="http://schemas.openxmlformats.org/officeDocument/2006/relationships/hyperlink" Target="https://m.stock.naver.com/research/company/84388" TargetMode="External"/><Relationship Id="rId10779" Type="http://schemas.openxmlformats.org/officeDocument/2006/relationships/hyperlink" Target="https://m.stock.naver.com/research/company/82441" TargetMode="External"/><Relationship Id="rId14650" Type="http://schemas.openxmlformats.org/officeDocument/2006/relationships/hyperlink" Target="https://m.stock.naver.com/research/company/94528" TargetMode="External"/><Relationship Id="rId15701" Type="http://schemas.openxmlformats.org/officeDocument/2006/relationships/hyperlink" Target="https://m.stock.naver.com/research/company/95713" TargetMode="External"/><Relationship Id="rId13252" Type="http://schemas.openxmlformats.org/officeDocument/2006/relationships/hyperlink" Target="https://m.stock.naver.com/research/company/79954" TargetMode="External"/><Relationship Id="rId14303" Type="http://schemas.openxmlformats.org/officeDocument/2006/relationships/hyperlink" Target="https://m.stock.naver.com/research/company/94161" TargetMode="External"/><Relationship Id="rId2260" Type="http://schemas.openxmlformats.org/officeDocument/2006/relationships/hyperlink" Target="https://m.stock.naver.com/research/company/90995" TargetMode="External"/><Relationship Id="rId3311" Type="http://schemas.openxmlformats.org/officeDocument/2006/relationships/hyperlink" Target="https://m.stock.naver.com/research/company/89939" TargetMode="External"/><Relationship Id="rId6881" Type="http://schemas.openxmlformats.org/officeDocument/2006/relationships/hyperlink" Target="https://m.stock.naver.com/research/company/86358" TargetMode="External"/><Relationship Id="rId7932" Type="http://schemas.openxmlformats.org/officeDocument/2006/relationships/hyperlink" Target="https://m.stock.naver.com/research/company/85306" TargetMode="External"/><Relationship Id="rId232" Type="http://schemas.openxmlformats.org/officeDocument/2006/relationships/hyperlink" Target="https://m.stock.naver.com/research/company/93226" TargetMode="External"/><Relationship Id="rId5483" Type="http://schemas.openxmlformats.org/officeDocument/2006/relationships/hyperlink" Target="https://m.stock.naver.com/research/company/87757" TargetMode="External"/><Relationship Id="rId6534" Type="http://schemas.openxmlformats.org/officeDocument/2006/relationships/hyperlink" Target="https://m.stock.naver.com/research/company/86706" TargetMode="External"/><Relationship Id="rId10913" Type="http://schemas.openxmlformats.org/officeDocument/2006/relationships/hyperlink" Target="https://m.stock.naver.com/research/company/82307" TargetMode="External"/><Relationship Id="rId15077" Type="http://schemas.openxmlformats.org/officeDocument/2006/relationships/hyperlink" Target="https://m.stock.naver.com/research/company/95017" TargetMode="External"/><Relationship Id="rId4085" Type="http://schemas.openxmlformats.org/officeDocument/2006/relationships/hyperlink" Target="https://m.stock.naver.com/research/company/89166" TargetMode="External"/><Relationship Id="rId5136" Type="http://schemas.openxmlformats.org/officeDocument/2006/relationships/hyperlink" Target="https://m.stock.naver.com/research/company/88104" TargetMode="External"/><Relationship Id="rId8359" Type="http://schemas.openxmlformats.org/officeDocument/2006/relationships/hyperlink" Target="https://m.stock.naver.com/research/company/84879" TargetMode="External"/><Relationship Id="rId9757" Type="http://schemas.openxmlformats.org/officeDocument/2006/relationships/hyperlink" Target="https://m.stock.naver.com/research/company/83466" TargetMode="External"/><Relationship Id="rId11687" Type="http://schemas.openxmlformats.org/officeDocument/2006/relationships/hyperlink" Target="https://m.stock.naver.com/research/company/81525" TargetMode="External"/><Relationship Id="rId12738" Type="http://schemas.openxmlformats.org/officeDocument/2006/relationships/hyperlink" Target="https://m.stock.naver.com/research/company/80470" TargetMode="External"/><Relationship Id="rId1746" Type="http://schemas.openxmlformats.org/officeDocument/2006/relationships/hyperlink" Target="https://m.stock.naver.com/research/company/91509" TargetMode="External"/><Relationship Id="rId10289" Type="http://schemas.openxmlformats.org/officeDocument/2006/relationships/hyperlink" Target="https://m.stock.naver.com/research/company/82932" TargetMode="External"/><Relationship Id="rId14160" Type="http://schemas.openxmlformats.org/officeDocument/2006/relationships/hyperlink" Target="https://m.stock.naver.com/research/company/93968" TargetMode="External"/><Relationship Id="rId15211" Type="http://schemas.openxmlformats.org/officeDocument/2006/relationships/hyperlink" Target="https://m.stock.naver.com/research/company/95149" TargetMode="External"/><Relationship Id="rId4969" Type="http://schemas.openxmlformats.org/officeDocument/2006/relationships/hyperlink" Target="https://m.stock.naver.com/research/company/88271" TargetMode="External"/><Relationship Id="rId8840" Type="http://schemas.openxmlformats.org/officeDocument/2006/relationships/hyperlink" Target="https://m.stock.naver.com/research/company/84397" TargetMode="External"/><Relationship Id="rId10770" Type="http://schemas.openxmlformats.org/officeDocument/2006/relationships/hyperlink" Target="https://m.stock.naver.com/research/company/82450" TargetMode="External"/><Relationship Id="rId6391" Type="http://schemas.openxmlformats.org/officeDocument/2006/relationships/hyperlink" Target="https://m.stock.naver.com/research/company/86849" TargetMode="External"/><Relationship Id="rId7442" Type="http://schemas.openxmlformats.org/officeDocument/2006/relationships/hyperlink" Target="https://m.stock.naver.com/research/company/85797" TargetMode="External"/><Relationship Id="rId10423" Type="http://schemas.openxmlformats.org/officeDocument/2006/relationships/hyperlink" Target="https://m.stock.naver.com/research/company/82798" TargetMode="External"/><Relationship Id="rId11821" Type="http://schemas.openxmlformats.org/officeDocument/2006/relationships/hyperlink" Target="https://m.stock.naver.com/research/company/81391" TargetMode="External"/><Relationship Id="rId6044" Type="http://schemas.openxmlformats.org/officeDocument/2006/relationships/hyperlink" Target="https://m.stock.naver.com/research/company/87196" TargetMode="External"/><Relationship Id="rId13993" Type="http://schemas.openxmlformats.org/officeDocument/2006/relationships/hyperlink" Target="https://m.stock.naver.com/research/company/93739" TargetMode="External"/><Relationship Id="rId9267" Type="http://schemas.openxmlformats.org/officeDocument/2006/relationships/hyperlink" Target="https://m.stock.naver.com/research/company/83961" TargetMode="External"/><Relationship Id="rId11197" Type="http://schemas.openxmlformats.org/officeDocument/2006/relationships/hyperlink" Target="https://m.stock.naver.com/research/company/82023" TargetMode="External"/><Relationship Id="rId12595" Type="http://schemas.openxmlformats.org/officeDocument/2006/relationships/hyperlink" Target="https://m.stock.naver.com/research/company/80613" TargetMode="External"/><Relationship Id="rId13646" Type="http://schemas.openxmlformats.org/officeDocument/2006/relationships/hyperlink" Target="https://m.stock.naver.com/research/company/79558" TargetMode="External"/><Relationship Id="rId626" Type="http://schemas.openxmlformats.org/officeDocument/2006/relationships/hyperlink" Target="https://m.stock.naver.com/research/company/92830" TargetMode="External"/><Relationship Id="rId973" Type="http://schemas.openxmlformats.org/officeDocument/2006/relationships/hyperlink" Target="https://m.stock.naver.com/research/company/92483" TargetMode="External"/><Relationship Id="rId1256" Type="http://schemas.openxmlformats.org/officeDocument/2006/relationships/hyperlink" Target="https://m.stock.naver.com/research/company/91999" TargetMode="External"/><Relationship Id="rId2307" Type="http://schemas.openxmlformats.org/officeDocument/2006/relationships/hyperlink" Target="https://m.stock.naver.com/research/company/90948" TargetMode="External"/><Relationship Id="rId2654" Type="http://schemas.openxmlformats.org/officeDocument/2006/relationships/hyperlink" Target="https://m.stock.naver.com/research/company/90600" TargetMode="External"/><Relationship Id="rId3705" Type="http://schemas.openxmlformats.org/officeDocument/2006/relationships/hyperlink" Target="https://m.stock.naver.com/research/company/89546" TargetMode="External"/><Relationship Id="rId12248" Type="http://schemas.openxmlformats.org/officeDocument/2006/relationships/hyperlink" Target="https://m.stock.naver.com/research/company/80961" TargetMode="External"/><Relationship Id="rId5877" Type="http://schemas.openxmlformats.org/officeDocument/2006/relationships/hyperlink" Target="https://m.stock.naver.com/research/company/87363" TargetMode="External"/><Relationship Id="rId6928" Type="http://schemas.openxmlformats.org/officeDocument/2006/relationships/hyperlink" Target="https://m.stock.naver.com/research/company/86311" TargetMode="External"/><Relationship Id="rId4479" Type="http://schemas.openxmlformats.org/officeDocument/2006/relationships/hyperlink" Target="https://m.stock.naver.com/research/company/88761" TargetMode="External"/><Relationship Id="rId8350" Type="http://schemas.openxmlformats.org/officeDocument/2006/relationships/hyperlink" Target="https://m.stock.naver.com/research/company/84888" TargetMode="External"/><Relationship Id="rId9401" Type="http://schemas.openxmlformats.org/officeDocument/2006/relationships/hyperlink" Target="https://m.stock.naver.com/research/company/83826" TargetMode="External"/><Relationship Id="rId10280" Type="http://schemas.openxmlformats.org/officeDocument/2006/relationships/hyperlink" Target="https://m.stock.naver.com/research/company/82941" TargetMode="External"/><Relationship Id="rId11331" Type="http://schemas.openxmlformats.org/officeDocument/2006/relationships/hyperlink" Target="https://m.stock.naver.com/research/company/81885" TargetMode="External"/><Relationship Id="rId4960" Type="http://schemas.openxmlformats.org/officeDocument/2006/relationships/hyperlink" Target="https://m.stock.naver.com/research/company/88280" TargetMode="External"/><Relationship Id="rId8003" Type="http://schemas.openxmlformats.org/officeDocument/2006/relationships/hyperlink" Target="https://m.stock.naver.com/research/company/85235" TargetMode="External"/><Relationship Id="rId14554" Type="http://schemas.openxmlformats.org/officeDocument/2006/relationships/hyperlink" Target="https://m.stock.naver.com/research/company/94356" TargetMode="External"/><Relationship Id="rId3562" Type="http://schemas.openxmlformats.org/officeDocument/2006/relationships/hyperlink" Target="https://m.stock.naver.com/research/company/89689" TargetMode="External"/><Relationship Id="rId4613" Type="http://schemas.openxmlformats.org/officeDocument/2006/relationships/hyperlink" Target="https://m.stock.naver.com/research/company/88627" TargetMode="External"/><Relationship Id="rId13156" Type="http://schemas.openxmlformats.org/officeDocument/2006/relationships/hyperlink" Target="https://m.stock.naver.com/research/company/80051" TargetMode="External"/><Relationship Id="rId14207" Type="http://schemas.openxmlformats.org/officeDocument/2006/relationships/hyperlink" Target="https://m.stock.naver.com/research/company/94051" TargetMode="External"/><Relationship Id="rId15605" Type="http://schemas.openxmlformats.org/officeDocument/2006/relationships/hyperlink" Target="https://m.stock.naver.com/research/company/95431" TargetMode="External"/><Relationship Id="rId483" Type="http://schemas.openxmlformats.org/officeDocument/2006/relationships/hyperlink" Target="https://m.stock.naver.com/research/company/92974" TargetMode="External"/><Relationship Id="rId2164" Type="http://schemas.openxmlformats.org/officeDocument/2006/relationships/hyperlink" Target="https://m.stock.naver.com/research/company/91091" TargetMode="External"/><Relationship Id="rId3215" Type="http://schemas.openxmlformats.org/officeDocument/2006/relationships/hyperlink" Target="https://m.stock.naver.com/research/company/90036" TargetMode="External"/><Relationship Id="rId6785" Type="http://schemas.openxmlformats.org/officeDocument/2006/relationships/hyperlink" Target="https://m.stock.naver.com/research/company/86455" TargetMode="External"/><Relationship Id="rId136" Type="http://schemas.openxmlformats.org/officeDocument/2006/relationships/hyperlink" Target="https://m.stock.naver.com/research/company/93322" TargetMode="External"/><Relationship Id="rId5387" Type="http://schemas.openxmlformats.org/officeDocument/2006/relationships/hyperlink" Target="https://m.stock.naver.com/research/company/87853" TargetMode="External"/><Relationship Id="rId6438" Type="http://schemas.openxmlformats.org/officeDocument/2006/relationships/hyperlink" Target="https://m.stock.naver.com/research/company/86802" TargetMode="External"/><Relationship Id="rId7836" Type="http://schemas.openxmlformats.org/officeDocument/2006/relationships/hyperlink" Target="https://m.stock.naver.com/research/company/85402" TargetMode="External"/><Relationship Id="rId10817" Type="http://schemas.openxmlformats.org/officeDocument/2006/relationships/hyperlink" Target="https://m.stock.naver.com/research/company/82403" TargetMode="External"/><Relationship Id="rId12989" Type="http://schemas.openxmlformats.org/officeDocument/2006/relationships/hyperlink" Target="https://m.stock.naver.com/research/company/80219" TargetMode="External"/><Relationship Id="rId1997" Type="http://schemas.openxmlformats.org/officeDocument/2006/relationships/hyperlink" Target="https://m.stock.naver.com/research/company/91258" TargetMode="External"/><Relationship Id="rId15462" Type="http://schemas.openxmlformats.org/officeDocument/2006/relationships/hyperlink" Target="https://m.stock.naver.com/research/company/95325" TargetMode="External"/><Relationship Id="rId4470" Type="http://schemas.openxmlformats.org/officeDocument/2006/relationships/hyperlink" Target="https://m.stock.naver.com/research/company/88770" TargetMode="External"/><Relationship Id="rId5521" Type="http://schemas.openxmlformats.org/officeDocument/2006/relationships/hyperlink" Target="https://m.stock.naver.com/research/company/87719" TargetMode="External"/><Relationship Id="rId14064" Type="http://schemas.openxmlformats.org/officeDocument/2006/relationships/hyperlink" Target="https://m.stock.naver.com/research/company/93859" TargetMode="External"/><Relationship Id="rId15115" Type="http://schemas.openxmlformats.org/officeDocument/2006/relationships/hyperlink" Target="https://m.stock.naver.com/research/company/94979" TargetMode="External"/><Relationship Id="rId3072" Type="http://schemas.openxmlformats.org/officeDocument/2006/relationships/hyperlink" Target="https://m.stock.naver.com/research/company/90179" TargetMode="External"/><Relationship Id="rId4123" Type="http://schemas.openxmlformats.org/officeDocument/2006/relationships/hyperlink" Target="https://m.stock.naver.com/research/company/89128" TargetMode="External"/><Relationship Id="rId7693" Type="http://schemas.openxmlformats.org/officeDocument/2006/relationships/hyperlink" Target="https://m.stock.naver.com/research/company/85546" TargetMode="External"/><Relationship Id="rId8744" Type="http://schemas.openxmlformats.org/officeDocument/2006/relationships/hyperlink" Target="https://m.stock.naver.com/research/company/84493" TargetMode="External"/><Relationship Id="rId6295" Type="http://schemas.openxmlformats.org/officeDocument/2006/relationships/hyperlink" Target="https://m.stock.naver.com/research/company/86945" TargetMode="External"/><Relationship Id="rId7346" Type="http://schemas.openxmlformats.org/officeDocument/2006/relationships/hyperlink" Target="https://m.stock.naver.com/research/company/85893" TargetMode="External"/><Relationship Id="rId10674" Type="http://schemas.openxmlformats.org/officeDocument/2006/relationships/hyperlink" Target="https://m.stock.naver.com/research/company/82546" TargetMode="External"/><Relationship Id="rId11725" Type="http://schemas.openxmlformats.org/officeDocument/2006/relationships/hyperlink" Target="https://m.stock.naver.com/research/company/81487" TargetMode="External"/><Relationship Id="rId10327" Type="http://schemas.openxmlformats.org/officeDocument/2006/relationships/hyperlink" Target="https://m.stock.naver.com/research/company/82894" TargetMode="External"/><Relationship Id="rId13897" Type="http://schemas.openxmlformats.org/officeDocument/2006/relationships/hyperlink" Target="https://m.stock.naver.com/research/company/93705" TargetMode="External"/><Relationship Id="rId14948" Type="http://schemas.openxmlformats.org/officeDocument/2006/relationships/hyperlink" Target="https://m.stock.naver.com/research/company/94886" TargetMode="External"/><Relationship Id="rId3956" Type="http://schemas.openxmlformats.org/officeDocument/2006/relationships/hyperlink" Target="https://m.stock.naver.com/research/company/89295" TargetMode="External"/><Relationship Id="rId12499" Type="http://schemas.openxmlformats.org/officeDocument/2006/relationships/hyperlink" Target="https://m.stock.naver.com/research/company/80709" TargetMode="External"/><Relationship Id="rId877" Type="http://schemas.openxmlformats.org/officeDocument/2006/relationships/hyperlink" Target="https://m.stock.naver.com/research/company/92579" TargetMode="External"/><Relationship Id="rId2558" Type="http://schemas.openxmlformats.org/officeDocument/2006/relationships/hyperlink" Target="https://m.stock.naver.com/research/company/90696" TargetMode="External"/><Relationship Id="rId3609" Type="http://schemas.openxmlformats.org/officeDocument/2006/relationships/hyperlink" Target="https://m.stock.naver.com/research/company/89642" TargetMode="External"/><Relationship Id="rId12980" Type="http://schemas.openxmlformats.org/officeDocument/2006/relationships/hyperlink" Target="https://m.stock.naver.com/research/company/80228" TargetMode="External"/><Relationship Id="rId5031" Type="http://schemas.openxmlformats.org/officeDocument/2006/relationships/hyperlink" Target="https://m.stock.naver.com/research/company/88209" TargetMode="External"/><Relationship Id="rId9652" Type="http://schemas.openxmlformats.org/officeDocument/2006/relationships/hyperlink" Target="https://m.stock.naver.com/research/company/83572" TargetMode="External"/><Relationship Id="rId11582" Type="http://schemas.openxmlformats.org/officeDocument/2006/relationships/hyperlink" Target="https://m.stock.naver.com/research/company/81630" TargetMode="External"/><Relationship Id="rId12633" Type="http://schemas.openxmlformats.org/officeDocument/2006/relationships/hyperlink" Target="https://m.stock.naver.com/research/company/80575" TargetMode="External"/><Relationship Id="rId1641" Type="http://schemas.openxmlformats.org/officeDocument/2006/relationships/hyperlink" Target="https://m.stock.naver.com/research/company/91614" TargetMode="External"/><Relationship Id="rId8254" Type="http://schemas.openxmlformats.org/officeDocument/2006/relationships/hyperlink" Target="https://m.stock.naver.com/research/company/84984" TargetMode="External"/><Relationship Id="rId9305" Type="http://schemas.openxmlformats.org/officeDocument/2006/relationships/hyperlink" Target="https://m.stock.naver.com/research/company/83922" TargetMode="External"/><Relationship Id="rId10184" Type="http://schemas.openxmlformats.org/officeDocument/2006/relationships/hyperlink" Target="https://m.stock.naver.com/research/company/83037" TargetMode="External"/><Relationship Id="rId11235" Type="http://schemas.openxmlformats.org/officeDocument/2006/relationships/hyperlink" Target="https://m.stock.naver.com/research/company/81984" TargetMode="External"/><Relationship Id="rId4864" Type="http://schemas.openxmlformats.org/officeDocument/2006/relationships/hyperlink" Target="https://m.stock.naver.com/research/company/88376" TargetMode="External"/><Relationship Id="rId3466" Type="http://schemas.openxmlformats.org/officeDocument/2006/relationships/hyperlink" Target="https://m.stock.naver.com/research/company/89785" TargetMode="External"/><Relationship Id="rId4517" Type="http://schemas.openxmlformats.org/officeDocument/2006/relationships/hyperlink" Target="https://m.stock.naver.com/research/company/88723" TargetMode="External"/><Relationship Id="rId5915" Type="http://schemas.openxmlformats.org/officeDocument/2006/relationships/hyperlink" Target="https://m.stock.naver.com/research/company/87325" TargetMode="External"/><Relationship Id="rId14458" Type="http://schemas.openxmlformats.org/officeDocument/2006/relationships/hyperlink" Target="https://m.stock.naver.com/research/company/94452" TargetMode="External"/><Relationship Id="rId15509" Type="http://schemas.openxmlformats.org/officeDocument/2006/relationships/hyperlink" Target="https://m.stock.naver.com/research/company/95527" TargetMode="External"/><Relationship Id="rId387" Type="http://schemas.openxmlformats.org/officeDocument/2006/relationships/hyperlink" Target="https://m.stock.naver.com/research/company/93071" TargetMode="External"/><Relationship Id="rId2068" Type="http://schemas.openxmlformats.org/officeDocument/2006/relationships/hyperlink" Target="https://m.stock.naver.com/research/company/91187" TargetMode="External"/><Relationship Id="rId3119" Type="http://schemas.openxmlformats.org/officeDocument/2006/relationships/hyperlink" Target="https://m.stock.naver.com/research/company/90132" TargetMode="External"/><Relationship Id="rId6689" Type="http://schemas.openxmlformats.org/officeDocument/2006/relationships/hyperlink" Target="https://m.stock.naver.com/research/company/86551" TargetMode="External"/><Relationship Id="rId9162" Type="http://schemas.openxmlformats.org/officeDocument/2006/relationships/hyperlink" Target="https://m.stock.naver.com/research/company/84068" TargetMode="External"/><Relationship Id="rId12490" Type="http://schemas.openxmlformats.org/officeDocument/2006/relationships/hyperlink" Target="https://m.stock.naver.com/research/company/80718" TargetMode="External"/><Relationship Id="rId13541" Type="http://schemas.openxmlformats.org/officeDocument/2006/relationships/hyperlink" Target="https://m.stock.naver.com/research/company/79663" TargetMode="External"/><Relationship Id="rId3600" Type="http://schemas.openxmlformats.org/officeDocument/2006/relationships/hyperlink" Target="https://m.stock.naver.com/research/company/89651" TargetMode="External"/><Relationship Id="rId11092" Type="http://schemas.openxmlformats.org/officeDocument/2006/relationships/hyperlink" Target="https://m.stock.naver.com/research/company/82128" TargetMode="External"/><Relationship Id="rId12143" Type="http://schemas.openxmlformats.org/officeDocument/2006/relationships/hyperlink" Target="https://m.stock.naver.com/research/company/81068" TargetMode="External"/><Relationship Id="rId521" Type="http://schemas.openxmlformats.org/officeDocument/2006/relationships/hyperlink" Target="https://m.stock.naver.com/research/company/92936" TargetMode="External"/><Relationship Id="rId1151" Type="http://schemas.openxmlformats.org/officeDocument/2006/relationships/hyperlink" Target="https://m.stock.naver.com/research/company/92104" TargetMode="External"/><Relationship Id="rId2202" Type="http://schemas.openxmlformats.org/officeDocument/2006/relationships/hyperlink" Target="https://m.stock.naver.com/research/company/91053" TargetMode="External"/><Relationship Id="rId5772" Type="http://schemas.openxmlformats.org/officeDocument/2006/relationships/hyperlink" Target="https://m.stock.naver.com/research/company/87468" TargetMode="External"/><Relationship Id="rId6823" Type="http://schemas.openxmlformats.org/officeDocument/2006/relationships/hyperlink" Target="https://m.stock.naver.com/research/company/86417" TargetMode="External"/><Relationship Id="rId15366" Type="http://schemas.openxmlformats.org/officeDocument/2006/relationships/hyperlink" Target="https://m.stock.naver.com/research/company/95222" TargetMode="External"/><Relationship Id="rId4374" Type="http://schemas.openxmlformats.org/officeDocument/2006/relationships/hyperlink" Target="https://m.stock.naver.com/research/company/88867" TargetMode="External"/><Relationship Id="rId5425" Type="http://schemas.openxmlformats.org/officeDocument/2006/relationships/hyperlink" Target="https://m.stock.naver.com/research/company/87815" TargetMode="External"/><Relationship Id="rId8995" Type="http://schemas.openxmlformats.org/officeDocument/2006/relationships/hyperlink" Target="https://m.stock.naver.com/research/company/84237" TargetMode="External"/><Relationship Id="rId15019" Type="http://schemas.openxmlformats.org/officeDocument/2006/relationships/hyperlink" Target="https://m.stock.naver.com/research/company/94815" TargetMode="External"/><Relationship Id="rId4027" Type="http://schemas.openxmlformats.org/officeDocument/2006/relationships/hyperlink" Target="https://m.stock.naver.com/research/company/89224" TargetMode="External"/><Relationship Id="rId7597" Type="http://schemas.openxmlformats.org/officeDocument/2006/relationships/hyperlink" Target="https://m.stock.naver.com/research/company/85642" TargetMode="External"/><Relationship Id="rId8648" Type="http://schemas.openxmlformats.org/officeDocument/2006/relationships/hyperlink" Target="https://m.stock.naver.com/research/company/84589" TargetMode="External"/><Relationship Id="rId11976" Type="http://schemas.openxmlformats.org/officeDocument/2006/relationships/hyperlink" Target="https://m.stock.naver.com/research/company/81235" TargetMode="External"/><Relationship Id="rId6199" Type="http://schemas.openxmlformats.org/officeDocument/2006/relationships/hyperlink" Target="https://m.stock.naver.com/research/company/87041" TargetMode="External"/><Relationship Id="rId10578" Type="http://schemas.openxmlformats.org/officeDocument/2006/relationships/hyperlink" Target="https://m.stock.naver.com/research/company/82642" TargetMode="External"/><Relationship Id="rId11629" Type="http://schemas.openxmlformats.org/officeDocument/2006/relationships/hyperlink" Target="https://m.stock.naver.com/research/company/81583" TargetMode="External"/><Relationship Id="rId15500" Type="http://schemas.openxmlformats.org/officeDocument/2006/relationships/hyperlink" Target="https://m.stock.naver.com/research/company/95287" TargetMode="External"/><Relationship Id="rId13051" Type="http://schemas.openxmlformats.org/officeDocument/2006/relationships/hyperlink" Target="https://m.stock.naver.com/research/company/80156" TargetMode="External"/><Relationship Id="rId14102" Type="http://schemas.openxmlformats.org/officeDocument/2006/relationships/hyperlink" Target="https://m.stock.naver.com/research/company/93900" TargetMode="External"/><Relationship Id="rId3110" Type="http://schemas.openxmlformats.org/officeDocument/2006/relationships/hyperlink" Target="https://m.stock.naver.com/research/company/90141" TargetMode="External"/><Relationship Id="rId6680" Type="http://schemas.openxmlformats.org/officeDocument/2006/relationships/hyperlink" Target="https://m.stock.naver.com/research/company/86560" TargetMode="External"/><Relationship Id="rId7731" Type="http://schemas.openxmlformats.org/officeDocument/2006/relationships/hyperlink" Target="https://m.stock.naver.com/research/company/85508" TargetMode="External"/><Relationship Id="rId10712" Type="http://schemas.openxmlformats.org/officeDocument/2006/relationships/hyperlink" Target="https://m.stock.naver.com/research/company/82508" TargetMode="External"/><Relationship Id="rId5282" Type="http://schemas.openxmlformats.org/officeDocument/2006/relationships/hyperlink" Target="https://m.stock.naver.com/research/company/87958" TargetMode="External"/><Relationship Id="rId6333" Type="http://schemas.openxmlformats.org/officeDocument/2006/relationships/hyperlink" Target="https://m.stock.naver.com/research/company/86907" TargetMode="External"/><Relationship Id="rId1892" Type="http://schemas.openxmlformats.org/officeDocument/2006/relationships/hyperlink" Target="https://m.stock.naver.com/research/company/91363" TargetMode="External"/><Relationship Id="rId9556" Type="http://schemas.openxmlformats.org/officeDocument/2006/relationships/hyperlink" Target="https://m.stock.naver.com/research/company/83671" TargetMode="External"/><Relationship Id="rId11486" Type="http://schemas.openxmlformats.org/officeDocument/2006/relationships/hyperlink" Target="https://m.stock.naver.com/research/company/81729" TargetMode="External"/><Relationship Id="rId12884" Type="http://schemas.openxmlformats.org/officeDocument/2006/relationships/hyperlink" Target="https://m.stock.naver.com/research/company/80324" TargetMode="External"/><Relationship Id="rId13935" Type="http://schemas.openxmlformats.org/officeDocument/2006/relationships/hyperlink" Target="https://m.stock.naver.com/research/company/93797" TargetMode="External"/><Relationship Id="rId915" Type="http://schemas.openxmlformats.org/officeDocument/2006/relationships/hyperlink" Target="https://m.stock.naver.com/research/company/92541" TargetMode="External"/><Relationship Id="rId1545" Type="http://schemas.openxmlformats.org/officeDocument/2006/relationships/hyperlink" Target="https://m.stock.naver.com/research/company/91710" TargetMode="External"/><Relationship Id="rId2943" Type="http://schemas.openxmlformats.org/officeDocument/2006/relationships/hyperlink" Target="https://m.stock.naver.com/research/company/90310" TargetMode="External"/><Relationship Id="rId8158" Type="http://schemas.openxmlformats.org/officeDocument/2006/relationships/hyperlink" Target="https://m.stock.naver.com/research/company/85080" TargetMode="External"/><Relationship Id="rId9209" Type="http://schemas.openxmlformats.org/officeDocument/2006/relationships/hyperlink" Target="https://m.stock.naver.com/research/company/84021" TargetMode="External"/><Relationship Id="rId10088" Type="http://schemas.openxmlformats.org/officeDocument/2006/relationships/hyperlink" Target="https://m.stock.naver.com/research/company/83133" TargetMode="External"/><Relationship Id="rId11139" Type="http://schemas.openxmlformats.org/officeDocument/2006/relationships/hyperlink" Target="https://m.stock.naver.com/research/company/82081" TargetMode="External"/><Relationship Id="rId12537" Type="http://schemas.openxmlformats.org/officeDocument/2006/relationships/hyperlink" Target="https://m.stock.naver.com/research/company/80671" TargetMode="External"/><Relationship Id="rId15010" Type="http://schemas.openxmlformats.org/officeDocument/2006/relationships/hyperlink" Target="https://m.stock.naver.com/research/company/94824" TargetMode="External"/><Relationship Id="rId4768" Type="http://schemas.openxmlformats.org/officeDocument/2006/relationships/hyperlink" Target="https://m.stock.naver.com/research/company/88472" TargetMode="External"/><Relationship Id="rId5819" Type="http://schemas.openxmlformats.org/officeDocument/2006/relationships/hyperlink" Target="https://m.stock.naver.com/research/company/87421" TargetMode="External"/><Relationship Id="rId6190" Type="http://schemas.openxmlformats.org/officeDocument/2006/relationships/hyperlink" Target="https://m.stock.naver.com/research/company/87050" TargetMode="External"/><Relationship Id="rId11620" Type="http://schemas.openxmlformats.org/officeDocument/2006/relationships/hyperlink" Target="https://m.stock.naver.com/research/company/81592" TargetMode="External"/><Relationship Id="rId7241" Type="http://schemas.openxmlformats.org/officeDocument/2006/relationships/hyperlink" Target="https://m.stock.naver.com/research/company/85998" TargetMode="External"/><Relationship Id="rId10222" Type="http://schemas.openxmlformats.org/officeDocument/2006/relationships/hyperlink" Target="https://m.stock.naver.com/research/company/82999" TargetMode="External"/><Relationship Id="rId13792" Type="http://schemas.openxmlformats.org/officeDocument/2006/relationships/hyperlink" Target="https://m.stock.naver.com/research/company/93586" TargetMode="External"/><Relationship Id="rId14843" Type="http://schemas.openxmlformats.org/officeDocument/2006/relationships/hyperlink" Target="https://m.stock.naver.com/research/company/94781" TargetMode="External"/><Relationship Id="rId3851" Type="http://schemas.openxmlformats.org/officeDocument/2006/relationships/hyperlink" Target="https://m.stock.naver.com/research/company/89400" TargetMode="External"/><Relationship Id="rId4902" Type="http://schemas.openxmlformats.org/officeDocument/2006/relationships/hyperlink" Target="https://m.stock.naver.com/research/company/88338" TargetMode="External"/><Relationship Id="rId12394" Type="http://schemas.openxmlformats.org/officeDocument/2006/relationships/hyperlink" Target="https://m.stock.naver.com/research/company/80815" TargetMode="External"/><Relationship Id="rId13445" Type="http://schemas.openxmlformats.org/officeDocument/2006/relationships/hyperlink" Target="https://m.stock.naver.com/research/company/79759" TargetMode="External"/><Relationship Id="rId772" Type="http://schemas.openxmlformats.org/officeDocument/2006/relationships/hyperlink" Target="https://m.stock.naver.com/research/company/92684" TargetMode="External"/><Relationship Id="rId2453" Type="http://schemas.openxmlformats.org/officeDocument/2006/relationships/hyperlink" Target="https://m.stock.naver.com/research/company/90801" TargetMode="External"/><Relationship Id="rId3504" Type="http://schemas.openxmlformats.org/officeDocument/2006/relationships/hyperlink" Target="https://m.stock.naver.com/research/company/89747" TargetMode="External"/><Relationship Id="rId9066" Type="http://schemas.openxmlformats.org/officeDocument/2006/relationships/hyperlink" Target="https://m.stock.naver.com/research/company/84165" TargetMode="External"/><Relationship Id="rId12047" Type="http://schemas.openxmlformats.org/officeDocument/2006/relationships/hyperlink" Target="https://m.stock.naver.com/research/company/81164" TargetMode="External"/><Relationship Id="rId425" Type="http://schemas.openxmlformats.org/officeDocument/2006/relationships/hyperlink" Target="https://m.stock.naver.com/research/company/93032" TargetMode="External"/><Relationship Id="rId1055" Type="http://schemas.openxmlformats.org/officeDocument/2006/relationships/hyperlink" Target="https://m.stock.naver.com/research/company/92296" TargetMode="External"/><Relationship Id="rId2106" Type="http://schemas.openxmlformats.org/officeDocument/2006/relationships/hyperlink" Target="https://m.stock.naver.com/research/company/91149" TargetMode="External"/><Relationship Id="rId5676" Type="http://schemas.openxmlformats.org/officeDocument/2006/relationships/hyperlink" Target="https://m.stock.naver.com/research/company/87564" TargetMode="External"/><Relationship Id="rId6727" Type="http://schemas.openxmlformats.org/officeDocument/2006/relationships/hyperlink" Target="https://m.stock.naver.com/research/company/86513" TargetMode="External"/><Relationship Id="rId4278" Type="http://schemas.openxmlformats.org/officeDocument/2006/relationships/hyperlink" Target="https://m.stock.naver.com/research/company/88963" TargetMode="External"/><Relationship Id="rId5329" Type="http://schemas.openxmlformats.org/officeDocument/2006/relationships/hyperlink" Target="https://m.stock.naver.com/research/company/87911" TargetMode="External"/><Relationship Id="rId9200" Type="http://schemas.openxmlformats.org/officeDocument/2006/relationships/hyperlink" Target="https://m.stock.naver.com/research/company/84030" TargetMode="External"/><Relationship Id="rId8899" Type="http://schemas.openxmlformats.org/officeDocument/2006/relationships/hyperlink" Target="https://m.stock.naver.com/research/company/84337" TargetMode="External"/><Relationship Id="rId11130" Type="http://schemas.openxmlformats.org/officeDocument/2006/relationships/hyperlink" Target="https://m.stock.naver.com/research/company/82090" TargetMode="External"/><Relationship Id="rId15751" Type="http://schemas.openxmlformats.org/officeDocument/2006/relationships/hyperlink" Target="https://m.stock.naver.com/research/company/95663" TargetMode="External"/><Relationship Id="rId1939" Type="http://schemas.openxmlformats.org/officeDocument/2006/relationships/hyperlink" Target="https://m.stock.naver.com/research/company/91316" TargetMode="External"/><Relationship Id="rId5810" Type="http://schemas.openxmlformats.org/officeDocument/2006/relationships/hyperlink" Target="https://m.stock.naver.com/research/company/87430" TargetMode="External"/><Relationship Id="rId14353" Type="http://schemas.openxmlformats.org/officeDocument/2006/relationships/hyperlink" Target="https://m.stock.naver.com/research/company/94198" TargetMode="External"/><Relationship Id="rId15404" Type="http://schemas.openxmlformats.org/officeDocument/2006/relationships/hyperlink" Target="https://m.stock.naver.com/research/company/95383" TargetMode="External"/><Relationship Id="rId3361" Type="http://schemas.openxmlformats.org/officeDocument/2006/relationships/hyperlink" Target="https://m.stock.naver.com/research/company/89889" TargetMode="External"/><Relationship Id="rId4412" Type="http://schemas.openxmlformats.org/officeDocument/2006/relationships/hyperlink" Target="https://m.stock.naver.com/research/company/88829" TargetMode="External"/><Relationship Id="rId7982" Type="http://schemas.openxmlformats.org/officeDocument/2006/relationships/hyperlink" Target="https://m.stock.naver.com/research/company/85256" TargetMode="External"/><Relationship Id="rId14006" Type="http://schemas.openxmlformats.org/officeDocument/2006/relationships/hyperlink" Target="https://m.stock.naver.com/research/company/93726" TargetMode="External"/><Relationship Id="rId282" Type="http://schemas.openxmlformats.org/officeDocument/2006/relationships/hyperlink" Target="https://m.stock.naver.com/research/company/93176" TargetMode="External"/><Relationship Id="rId3014" Type="http://schemas.openxmlformats.org/officeDocument/2006/relationships/hyperlink" Target="https://m.stock.naver.com/research/company/90237" TargetMode="External"/><Relationship Id="rId6584" Type="http://schemas.openxmlformats.org/officeDocument/2006/relationships/hyperlink" Target="https://m.stock.naver.com/research/company/86656" TargetMode="External"/><Relationship Id="rId7635" Type="http://schemas.openxmlformats.org/officeDocument/2006/relationships/hyperlink" Target="https://m.stock.naver.com/research/company/85604" TargetMode="External"/><Relationship Id="rId10963" Type="http://schemas.openxmlformats.org/officeDocument/2006/relationships/hyperlink" Target="https://m.stock.naver.com/research/company/82257" TargetMode="External"/><Relationship Id="rId5186" Type="http://schemas.openxmlformats.org/officeDocument/2006/relationships/hyperlink" Target="https://m.stock.naver.com/research/company/88054" TargetMode="External"/><Relationship Id="rId6237" Type="http://schemas.openxmlformats.org/officeDocument/2006/relationships/hyperlink" Target="https://m.stock.naver.com/research/company/87003" TargetMode="External"/><Relationship Id="rId10616" Type="http://schemas.openxmlformats.org/officeDocument/2006/relationships/hyperlink" Target="https://m.stock.naver.com/research/company/82604" TargetMode="External"/><Relationship Id="rId12788" Type="http://schemas.openxmlformats.org/officeDocument/2006/relationships/hyperlink" Target="https://m.stock.naver.com/research/company/80420" TargetMode="External"/><Relationship Id="rId13839" Type="http://schemas.openxmlformats.org/officeDocument/2006/relationships/hyperlink" Target="https://m.stock.naver.com/research/company/93643" TargetMode="External"/><Relationship Id="rId1449" Type="http://schemas.openxmlformats.org/officeDocument/2006/relationships/hyperlink" Target="https://m.stock.naver.com/research/company/91806" TargetMode="External"/><Relationship Id="rId1796" Type="http://schemas.openxmlformats.org/officeDocument/2006/relationships/hyperlink" Target="https://m.stock.naver.com/research/company/91459" TargetMode="External"/><Relationship Id="rId2847" Type="http://schemas.openxmlformats.org/officeDocument/2006/relationships/hyperlink" Target="https://m.stock.naver.com/research/company/90406" TargetMode="External"/><Relationship Id="rId15261" Type="http://schemas.openxmlformats.org/officeDocument/2006/relationships/hyperlink" Target="https://m.stock.naver.com/research/company/95099" TargetMode="External"/><Relationship Id="rId819" Type="http://schemas.openxmlformats.org/officeDocument/2006/relationships/hyperlink" Target="https://m.stock.naver.com/research/company/92637" TargetMode="External"/><Relationship Id="rId5320" Type="http://schemas.openxmlformats.org/officeDocument/2006/relationships/hyperlink" Target="https://m.stock.naver.com/research/company/87920" TargetMode="External"/><Relationship Id="rId8890" Type="http://schemas.openxmlformats.org/officeDocument/2006/relationships/hyperlink" Target="https://m.stock.naver.com/research/company/84346" TargetMode="External"/><Relationship Id="rId9941" Type="http://schemas.openxmlformats.org/officeDocument/2006/relationships/hyperlink" Target="https://m.stock.naver.com/research/company/83281" TargetMode="External"/><Relationship Id="rId11871" Type="http://schemas.openxmlformats.org/officeDocument/2006/relationships/hyperlink" Target="https://m.stock.naver.com/research/company/81341" TargetMode="External"/><Relationship Id="rId12922" Type="http://schemas.openxmlformats.org/officeDocument/2006/relationships/hyperlink" Target="https://m.stock.naver.com/research/company/80286" TargetMode="External"/><Relationship Id="rId1930" Type="http://schemas.openxmlformats.org/officeDocument/2006/relationships/hyperlink" Target="https://m.stock.naver.com/research/company/91325" TargetMode="External"/><Relationship Id="rId7492" Type="http://schemas.openxmlformats.org/officeDocument/2006/relationships/hyperlink" Target="https://m.stock.naver.com/research/company/85747" TargetMode="External"/><Relationship Id="rId8543" Type="http://schemas.openxmlformats.org/officeDocument/2006/relationships/hyperlink" Target="https://m.stock.naver.com/research/company/84694" TargetMode="External"/><Relationship Id="rId10473" Type="http://schemas.openxmlformats.org/officeDocument/2006/relationships/hyperlink" Target="https://m.stock.naver.com/research/company/82747" TargetMode="External"/><Relationship Id="rId11524" Type="http://schemas.openxmlformats.org/officeDocument/2006/relationships/hyperlink" Target="https://m.stock.naver.com/research/company/81691" TargetMode="External"/><Relationship Id="rId6094" Type="http://schemas.openxmlformats.org/officeDocument/2006/relationships/hyperlink" Target="https://m.stock.naver.com/research/company/87146" TargetMode="External"/><Relationship Id="rId7145" Type="http://schemas.openxmlformats.org/officeDocument/2006/relationships/hyperlink" Target="https://m.stock.naver.com/research/company/86094" TargetMode="External"/><Relationship Id="rId10126" Type="http://schemas.openxmlformats.org/officeDocument/2006/relationships/hyperlink" Target="https://m.stock.naver.com/research/company/83095" TargetMode="External"/><Relationship Id="rId13696" Type="http://schemas.openxmlformats.org/officeDocument/2006/relationships/hyperlink" Target="https://m.stock.naver.com/research/company/93478" TargetMode="External"/><Relationship Id="rId3755" Type="http://schemas.openxmlformats.org/officeDocument/2006/relationships/hyperlink" Target="https://m.stock.naver.com/research/company/89496" TargetMode="External"/><Relationship Id="rId4806" Type="http://schemas.openxmlformats.org/officeDocument/2006/relationships/hyperlink" Target="https://m.stock.naver.com/research/company/88434" TargetMode="External"/><Relationship Id="rId12298" Type="http://schemas.openxmlformats.org/officeDocument/2006/relationships/hyperlink" Target="https://m.stock.naver.com/research/company/80911" TargetMode="External"/><Relationship Id="rId13349" Type="http://schemas.openxmlformats.org/officeDocument/2006/relationships/hyperlink" Target="https://m.stock.naver.com/research/company/79856" TargetMode="External"/><Relationship Id="rId14747" Type="http://schemas.openxmlformats.org/officeDocument/2006/relationships/hyperlink" Target="https://m.stock.naver.com/research/company/94653" TargetMode="External"/><Relationship Id="rId676" Type="http://schemas.openxmlformats.org/officeDocument/2006/relationships/hyperlink" Target="https://m.stock.naver.com/research/company/92780" TargetMode="External"/><Relationship Id="rId2357" Type="http://schemas.openxmlformats.org/officeDocument/2006/relationships/hyperlink" Target="https://m.stock.naver.com/research/company/90897" TargetMode="External"/><Relationship Id="rId3408" Type="http://schemas.openxmlformats.org/officeDocument/2006/relationships/hyperlink" Target="https://m.stock.naver.com/research/company/89843" TargetMode="External"/><Relationship Id="rId329" Type="http://schemas.openxmlformats.org/officeDocument/2006/relationships/hyperlink" Target="https://m.stock.naver.com/research/company/93129" TargetMode="External"/><Relationship Id="rId6978" Type="http://schemas.openxmlformats.org/officeDocument/2006/relationships/hyperlink" Target="https://m.stock.naver.com/research/company/86261" TargetMode="External"/><Relationship Id="rId13830" Type="http://schemas.openxmlformats.org/officeDocument/2006/relationships/hyperlink" Target="https://m.stock.naver.com/research/company/93623" TargetMode="External"/><Relationship Id="rId8053" Type="http://schemas.openxmlformats.org/officeDocument/2006/relationships/hyperlink" Target="https://m.stock.naver.com/research/company/85185" TargetMode="External"/><Relationship Id="rId9104" Type="http://schemas.openxmlformats.org/officeDocument/2006/relationships/hyperlink" Target="https://m.stock.naver.com/research/company/84126" TargetMode="External"/><Relationship Id="rId9451" Type="http://schemas.openxmlformats.org/officeDocument/2006/relationships/hyperlink" Target="https://m.stock.naver.com/research/company/83776" TargetMode="External"/><Relationship Id="rId11381" Type="http://schemas.openxmlformats.org/officeDocument/2006/relationships/hyperlink" Target="https://m.stock.naver.com/research/company/81834" TargetMode="External"/><Relationship Id="rId12432" Type="http://schemas.openxmlformats.org/officeDocument/2006/relationships/hyperlink" Target="https://m.stock.naver.com/research/company/80777" TargetMode="External"/><Relationship Id="rId810" Type="http://schemas.openxmlformats.org/officeDocument/2006/relationships/hyperlink" Target="https://m.stock.naver.com/research/company/92646" TargetMode="External"/><Relationship Id="rId1440" Type="http://schemas.openxmlformats.org/officeDocument/2006/relationships/hyperlink" Target="https://m.stock.naver.com/research/company/91815" TargetMode="External"/><Relationship Id="rId11034" Type="http://schemas.openxmlformats.org/officeDocument/2006/relationships/hyperlink" Target="https://m.stock.naver.com/research/company/82186" TargetMode="External"/><Relationship Id="rId15655" Type="http://schemas.openxmlformats.org/officeDocument/2006/relationships/hyperlink" Target="https://m.stock.naver.com/research/company/95759" TargetMode="External"/><Relationship Id="rId4663" Type="http://schemas.openxmlformats.org/officeDocument/2006/relationships/hyperlink" Target="https://m.stock.naver.com/research/company/88577" TargetMode="External"/><Relationship Id="rId5714" Type="http://schemas.openxmlformats.org/officeDocument/2006/relationships/hyperlink" Target="https://m.stock.naver.com/research/company/87526" TargetMode="External"/><Relationship Id="rId14257" Type="http://schemas.openxmlformats.org/officeDocument/2006/relationships/hyperlink" Target="https://m.stock.naver.com/research/company/94086" TargetMode="External"/><Relationship Id="rId15308" Type="http://schemas.openxmlformats.org/officeDocument/2006/relationships/hyperlink" Target="https://m.stock.naver.com/research/company/95280" TargetMode="External"/><Relationship Id="rId3265" Type="http://schemas.openxmlformats.org/officeDocument/2006/relationships/hyperlink" Target="https://m.stock.naver.com/research/company/89985" TargetMode="External"/><Relationship Id="rId4316" Type="http://schemas.openxmlformats.org/officeDocument/2006/relationships/hyperlink" Target="https://m.stock.naver.com/research/company/88925" TargetMode="External"/><Relationship Id="rId7886" Type="http://schemas.openxmlformats.org/officeDocument/2006/relationships/hyperlink" Target="https://m.stock.naver.com/research/company/85352" TargetMode="External"/><Relationship Id="rId8937" Type="http://schemas.openxmlformats.org/officeDocument/2006/relationships/hyperlink" Target="https://m.stock.naver.com/research/company/84296" TargetMode="External"/><Relationship Id="rId186" Type="http://schemas.openxmlformats.org/officeDocument/2006/relationships/hyperlink" Target="https://m.stock.naver.com/research/company/93272" TargetMode="External"/><Relationship Id="rId6488" Type="http://schemas.openxmlformats.org/officeDocument/2006/relationships/hyperlink" Target="https://m.stock.naver.com/research/company/86752" TargetMode="External"/><Relationship Id="rId7539" Type="http://schemas.openxmlformats.org/officeDocument/2006/relationships/hyperlink" Target="https://m.stock.naver.com/research/company/85700" TargetMode="External"/><Relationship Id="rId10867" Type="http://schemas.openxmlformats.org/officeDocument/2006/relationships/hyperlink" Target="https://m.stock.naver.com/research/company/82353" TargetMode="External"/><Relationship Id="rId11918" Type="http://schemas.openxmlformats.org/officeDocument/2006/relationships/hyperlink" Target="https://m.stock.naver.com/research/company/81293" TargetMode="External"/><Relationship Id="rId13340" Type="http://schemas.openxmlformats.org/officeDocument/2006/relationships/hyperlink" Target="https://m.stock.naver.com/research/company/79865" TargetMode="External"/><Relationship Id="rId320" Type="http://schemas.openxmlformats.org/officeDocument/2006/relationships/hyperlink" Target="https://m.stock.naver.com/research/company/93138" TargetMode="External"/><Relationship Id="rId2001" Type="http://schemas.openxmlformats.org/officeDocument/2006/relationships/hyperlink" Target="https://m.stock.naver.com/research/company/91254" TargetMode="External"/><Relationship Id="rId5571" Type="http://schemas.openxmlformats.org/officeDocument/2006/relationships/hyperlink" Target="https://m.stock.naver.com/research/company/87669" TargetMode="External"/><Relationship Id="rId6622" Type="http://schemas.openxmlformats.org/officeDocument/2006/relationships/hyperlink" Target="https://m.stock.naver.com/research/company/86618" TargetMode="External"/><Relationship Id="rId15165" Type="http://schemas.openxmlformats.org/officeDocument/2006/relationships/hyperlink" Target="https://m.stock.naver.com/research/company/95195" TargetMode="External"/><Relationship Id="rId4173" Type="http://schemas.openxmlformats.org/officeDocument/2006/relationships/hyperlink" Target="https://m.stock.naver.com/research/company/89076" TargetMode="External"/><Relationship Id="rId5224" Type="http://schemas.openxmlformats.org/officeDocument/2006/relationships/hyperlink" Target="https://m.stock.naver.com/research/company/88016" TargetMode="External"/><Relationship Id="rId8794" Type="http://schemas.openxmlformats.org/officeDocument/2006/relationships/hyperlink" Target="https://m.stock.naver.com/research/company/84443" TargetMode="External"/><Relationship Id="rId9845" Type="http://schemas.openxmlformats.org/officeDocument/2006/relationships/hyperlink" Target="https://m.stock.naver.com/research/company/83377" TargetMode="External"/><Relationship Id="rId11775" Type="http://schemas.openxmlformats.org/officeDocument/2006/relationships/hyperlink" Target="https://m.stock.naver.com/research/company/81437" TargetMode="External"/><Relationship Id="rId59" Type="http://schemas.openxmlformats.org/officeDocument/2006/relationships/hyperlink" Target="https://m.stock.naver.com/research/company/93399" TargetMode="External"/><Relationship Id="rId1834" Type="http://schemas.openxmlformats.org/officeDocument/2006/relationships/hyperlink" Target="https://m.stock.naver.com/research/company/91421" TargetMode="External"/><Relationship Id="rId7396" Type="http://schemas.openxmlformats.org/officeDocument/2006/relationships/hyperlink" Target="https://m.stock.naver.com/research/company/85843" TargetMode="External"/><Relationship Id="rId8447" Type="http://schemas.openxmlformats.org/officeDocument/2006/relationships/hyperlink" Target="https://m.stock.naver.com/research/company/84790" TargetMode="External"/><Relationship Id="rId10377" Type="http://schemas.openxmlformats.org/officeDocument/2006/relationships/hyperlink" Target="https://m.stock.naver.com/research/company/82844" TargetMode="External"/><Relationship Id="rId11428" Type="http://schemas.openxmlformats.org/officeDocument/2006/relationships/hyperlink" Target="https://m.stock.naver.com/research/company/81787" TargetMode="External"/><Relationship Id="rId12826" Type="http://schemas.openxmlformats.org/officeDocument/2006/relationships/hyperlink" Target="https://m.stock.naver.com/research/company/80382" TargetMode="External"/><Relationship Id="rId7049" Type="http://schemas.openxmlformats.org/officeDocument/2006/relationships/hyperlink" Target="https://m.stock.naver.com/research/company/86190" TargetMode="External"/><Relationship Id="rId14998" Type="http://schemas.openxmlformats.org/officeDocument/2006/relationships/hyperlink" Target="https://m.stock.naver.com/research/company/94836" TargetMode="External"/><Relationship Id="rId3659" Type="http://schemas.openxmlformats.org/officeDocument/2006/relationships/hyperlink" Target="https://m.stock.naver.com/research/company/89592" TargetMode="External"/><Relationship Id="rId5081" Type="http://schemas.openxmlformats.org/officeDocument/2006/relationships/hyperlink" Target="https://m.stock.naver.com/research/company/88159" TargetMode="External"/><Relationship Id="rId6132" Type="http://schemas.openxmlformats.org/officeDocument/2006/relationships/hyperlink" Target="https://m.stock.naver.com/research/company/87108" TargetMode="External"/><Relationship Id="rId7530" Type="http://schemas.openxmlformats.org/officeDocument/2006/relationships/hyperlink" Target="https://m.stock.naver.com/research/company/85709" TargetMode="External"/><Relationship Id="rId10511" Type="http://schemas.openxmlformats.org/officeDocument/2006/relationships/hyperlink" Target="https://m.stock.naver.com/research/company/82709" TargetMode="External"/><Relationship Id="rId12683" Type="http://schemas.openxmlformats.org/officeDocument/2006/relationships/hyperlink" Target="https://m.stock.naver.com/research/company/80525" TargetMode="External"/><Relationship Id="rId13734" Type="http://schemas.openxmlformats.org/officeDocument/2006/relationships/hyperlink" Target="https://m.stock.naver.com/research/company/93505" TargetMode="External"/><Relationship Id="rId1691" Type="http://schemas.openxmlformats.org/officeDocument/2006/relationships/hyperlink" Target="https://m.stock.naver.com/research/company/91564" TargetMode="External"/><Relationship Id="rId2742" Type="http://schemas.openxmlformats.org/officeDocument/2006/relationships/hyperlink" Target="https://m.stock.naver.com/research/company/90512" TargetMode="External"/><Relationship Id="rId9355" Type="http://schemas.openxmlformats.org/officeDocument/2006/relationships/hyperlink" Target="https://m.stock.naver.com/research/company/83872" TargetMode="External"/><Relationship Id="rId11285" Type="http://schemas.openxmlformats.org/officeDocument/2006/relationships/hyperlink" Target="https://m.stock.naver.com/research/company/81934" TargetMode="External"/><Relationship Id="rId12336" Type="http://schemas.openxmlformats.org/officeDocument/2006/relationships/hyperlink" Target="https://m.stock.naver.com/research/company/80873" TargetMode="External"/><Relationship Id="rId714" Type="http://schemas.openxmlformats.org/officeDocument/2006/relationships/hyperlink" Target="https://m.stock.naver.com/research/company/92742" TargetMode="External"/><Relationship Id="rId1344" Type="http://schemas.openxmlformats.org/officeDocument/2006/relationships/hyperlink" Target="https://m.stock.naver.com/research/company/91911" TargetMode="External"/><Relationship Id="rId5965" Type="http://schemas.openxmlformats.org/officeDocument/2006/relationships/hyperlink" Target="https://m.stock.naver.com/research/company/87275" TargetMode="External"/><Relationship Id="rId9008" Type="http://schemas.openxmlformats.org/officeDocument/2006/relationships/hyperlink" Target="https://m.stock.naver.com/research/company/84224" TargetMode="External"/><Relationship Id="rId15559" Type="http://schemas.openxmlformats.org/officeDocument/2006/relationships/hyperlink" Target="https://m.stock.naver.com/research/company/95477" TargetMode="External"/><Relationship Id="rId50" Type="http://schemas.openxmlformats.org/officeDocument/2006/relationships/hyperlink" Target="https://m.stock.naver.com/research/company/93408" TargetMode="External"/><Relationship Id="rId4567" Type="http://schemas.openxmlformats.org/officeDocument/2006/relationships/hyperlink" Target="https://m.stock.naver.com/research/company/88673" TargetMode="External"/><Relationship Id="rId5618" Type="http://schemas.openxmlformats.org/officeDocument/2006/relationships/hyperlink" Target="https://m.stock.naver.com/research/company/87622" TargetMode="External"/><Relationship Id="rId3169" Type="http://schemas.openxmlformats.org/officeDocument/2006/relationships/hyperlink" Target="https://m.stock.naver.com/research/company/90082" TargetMode="External"/><Relationship Id="rId7040" Type="http://schemas.openxmlformats.org/officeDocument/2006/relationships/hyperlink" Target="https://m.stock.naver.com/research/company/86199" TargetMode="External"/><Relationship Id="rId10021" Type="http://schemas.openxmlformats.org/officeDocument/2006/relationships/hyperlink" Target="https://m.stock.naver.com/research/company/83200" TargetMode="External"/><Relationship Id="rId13591" Type="http://schemas.openxmlformats.org/officeDocument/2006/relationships/hyperlink" Target="https://m.stock.naver.com/research/company/79613" TargetMode="External"/><Relationship Id="rId14642" Type="http://schemas.openxmlformats.org/officeDocument/2006/relationships/hyperlink" Target="https://m.stock.naver.com/research/company/94535" TargetMode="External"/><Relationship Id="rId3650" Type="http://schemas.openxmlformats.org/officeDocument/2006/relationships/hyperlink" Target="https://m.stock.naver.com/research/company/89601" TargetMode="External"/><Relationship Id="rId4701" Type="http://schemas.openxmlformats.org/officeDocument/2006/relationships/hyperlink" Target="https://m.stock.naver.com/research/company/88539" TargetMode="External"/><Relationship Id="rId12193" Type="http://schemas.openxmlformats.org/officeDocument/2006/relationships/hyperlink" Target="https://m.stock.naver.com/research/company/81018" TargetMode="External"/><Relationship Id="rId13244" Type="http://schemas.openxmlformats.org/officeDocument/2006/relationships/hyperlink" Target="https://m.stock.naver.com/research/company/79963" TargetMode="External"/><Relationship Id="rId571" Type="http://schemas.openxmlformats.org/officeDocument/2006/relationships/hyperlink" Target="https://m.stock.naver.com/research/company/92886" TargetMode="External"/><Relationship Id="rId2252" Type="http://schemas.openxmlformats.org/officeDocument/2006/relationships/hyperlink" Target="https://m.stock.naver.com/research/company/91003" TargetMode="External"/><Relationship Id="rId3303" Type="http://schemas.openxmlformats.org/officeDocument/2006/relationships/hyperlink" Target="https://m.stock.naver.com/research/company/89947" TargetMode="External"/><Relationship Id="rId6873" Type="http://schemas.openxmlformats.org/officeDocument/2006/relationships/hyperlink" Target="https://m.stock.naver.com/research/company/86366" TargetMode="External"/><Relationship Id="rId7924" Type="http://schemas.openxmlformats.org/officeDocument/2006/relationships/hyperlink" Target="https://m.stock.naver.com/research/company/85314" TargetMode="External"/><Relationship Id="rId224" Type="http://schemas.openxmlformats.org/officeDocument/2006/relationships/hyperlink" Target="https://m.stock.naver.com/research/company/93234" TargetMode="External"/><Relationship Id="rId5475" Type="http://schemas.openxmlformats.org/officeDocument/2006/relationships/hyperlink" Target="https://m.stock.naver.com/research/company/87765" TargetMode="External"/><Relationship Id="rId6526" Type="http://schemas.openxmlformats.org/officeDocument/2006/relationships/hyperlink" Target="https://m.stock.naver.com/research/company/86714" TargetMode="External"/><Relationship Id="rId10905" Type="http://schemas.openxmlformats.org/officeDocument/2006/relationships/hyperlink" Target="https://m.stock.naver.com/research/company/82315" TargetMode="External"/><Relationship Id="rId15069" Type="http://schemas.openxmlformats.org/officeDocument/2006/relationships/hyperlink" Target="https://m.stock.naver.com/research/company/95025" TargetMode="External"/><Relationship Id="rId4077" Type="http://schemas.openxmlformats.org/officeDocument/2006/relationships/hyperlink" Target="https://m.stock.naver.com/research/company/89174" TargetMode="External"/><Relationship Id="rId5128" Type="http://schemas.openxmlformats.org/officeDocument/2006/relationships/hyperlink" Target="https://m.stock.naver.com/research/company/88112" TargetMode="External"/><Relationship Id="rId8698" Type="http://schemas.openxmlformats.org/officeDocument/2006/relationships/hyperlink" Target="https://m.stock.naver.com/research/company/84539" TargetMode="External"/><Relationship Id="rId9749" Type="http://schemas.openxmlformats.org/officeDocument/2006/relationships/hyperlink" Target="https://m.stock.naver.com/research/company/83474" TargetMode="External"/><Relationship Id="rId1738" Type="http://schemas.openxmlformats.org/officeDocument/2006/relationships/hyperlink" Target="https://m.stock.naver.com/research/company/91517" TargetMode="External"/><Relationship Id="rId11679" Type="http://schemas.openxmlformats.org/officeDocument/2006/relationships/hyperlink" Target="https://m.stock.naver.com/research/company/81533" TargetMode="External"/><Relationship Id="rId14152" Type="http://schemas.openxmlformats.org/officeDocument/2006/relationships/hyperlink" Target="https://m.stock.naver.com/research/company/93976" TargetMode="External"/><Relationship Id="rId15550" Type="http://schemas.openxmlformats.org/officeDocument/2006/relationships/hyperlink" Target="https://m.stock.naver.com/research/company/95486" TargetMode="External"/><Relationship Id="rId3160" Type="http://schemas.openxmlformats.org/officeDocument/2006/relationships/hyperlink" Target="https://m.stock.naver.com/research/company/90091" TargetMode="External"/><Relationship Id="rId4211" Type="http://schemas.openxmlformats.org/officeDocument/2006/relationships/hyperlink" Target="https://m.stock.naver.com/research/company/89031" TargetMode="External"/><Relationship Id="rId15203" Type="http://schemas.openxmlformats.org/officeDocument/2006/relationships/hyperlink" Target="https://m.stock.naver.com/research/company/95157" TargetMode="External"/><Relationship Id="rId7781" Type="http://schemas.openxmlformats.org/officeDocument/2006/relationships/hyperlink" Target="https://m.stock.naver.com/research/company/85457" TargetMode="External"/><Relationship Id="rId8832" Type="http://schemas.openxmlformats.org/officeDocument/2006/relationships/hyperlink" Target="https://m.stock.naver.com/research/company/84405" TargetMode="External"/><Relationship Id="rId10762" Type="http://schemas.openxmlformats.org/officeDocument/2006/relationships/hyperlink" Target="https://m.stock.naver.com/research/company/82458" TargetMode="External"/><Relationship Id="rId11813" Type="http://schemas.openxmlformats.org/officeDocument/2006/relationships/hyperlink" Target="https://m.stock.naver.com/research/company/81399" TargetMode="External"/><Relationship Id="rId6036" Type="http://schemas.openxmlformats.org/officeDocument/2006/relationships/hyperlink" Target="https://m.stock.naver.com/research/company/87204" TargetMode="External"/><Relationship Id="rId6383" Type="http://schemas.openxmlformats.org/officeDocument/2006/relationships/hyperlink" Target="https://m.stock.naver.com/research/company/86857" TargetMode="External"/><Relationship Id="rId7434" Type="http://schemas.openxmlformats.org/officeDocument/2006/relationships/hyperlink" Target="https://m.stock.naver.com/research/company/85805" TargetMode="External"/><Relationship Id="rId10415" Type="http://schemas.openxmlformats.org/officeDocument/2006/relationships/hyperlink" Target="https://m.stock.naver.com/research/company/82806" TargetMode="External"/><Relationship Id="rId13985" Type="http://schemas.openxmlformats.org/officeDocument/2006/relationships/hyperlink" Target="https://m.stock.naver.com/research/company/93747" TargetMode="External"/><Relationship Id="rId2993" Type="http://schemas.openxmlformats.org/officeDocument/2006/relationships/hyperlink" Target="https://m.stock.naver.com/research/company/90259" TargetMode="External"/><Relationship Id="rId12587" Type="http://schemas.openxmlformats.org/officeDocument/2006/relationships/hyperlink" Target="https://m.stock.naver.com/research/company/80621" TargetMode="External"/><Relationship Id="rId13638" Type="http://schemas.openxmlformats.org/officeDocument/2006/relationships/hyperlink" Target="https://m.stock.naver.com/research/company/79566" TargetMode="External"/><Relationship Id="rId965" Type="http://schemas.openxmlformats.org/officeDocument/2006/relationships/hyperlink" Target="https://m.stock.naver.com/research/company/92491" TargetMode="External"/><Relationship Id="rId1595" Type="http://schemas.openxmlformats.org/officeDocument/2006/relationships/hyperlink" Target="https://m.stock.naver.com/research/company/91660" TargetMode="External"/><Relationship Id="rId2646" Type="http://schemas.openxmlformats.org/officeDocument/2006/relationships/hyperlink" Target="https://m.stock.naver.com/research/company/90608" TargetMode="External"/><Relationship Id="rId9259" Type="http://schemas.openxmlformats.org/officeDocument/2006/relationships/hyperlink" Target="https://m.stock.naver.com/research/company/83969" TargetMode="External"/><Relationship Id="rId11189" Type="http://schemas.openxmlformats.org/officeDocument/2006/relationships/hyperlink" Target="https://m.stock.naver.com/research/company/82031" TargetMode="External"/><Relationship Id="rId15060" Type="http://schemas.openxmlformats.org/officeDocument/2006/relationships/hyperlink" Target="https://m.stock.naver.com/research/company/95034" TargetMode="External"/><Relationship Id="rId618" Type="http://schemas.openxmlformats.org/officeDocument/2006/relationships/hyperlink" Target="https://m.stock.naver.com/research/company/92838" TargetMode="External"/><Relationship Id="rId1248" Type="http://schemas.openxmlformats.org/officeDocument/2006/relationships/hyperlink" Target="https://m.stock.naver.com/research/company/92007" TargetMode="External"/><Relationship Id="rId5869" Type="http://schemas.openxmlformats.org/officeDocument/2006/relationships/hyperlink" Target="https://m.stock.naver.com/research/company/87371" TargetMode="External"/><Relationship Id="rId7291" Type="http://schemas.openxmlformats.org/officeDocument/2006/relationships/hyperlink" Target="https://m.stock.naver.com/research/company/85948" TargetMode="External"/><Relationship Id="rId8342" Type="http://schemas.openxmlformats.org/officeDocument/2006/relationships/hyperlink" Target="https://m.stock.naver.com/research/company/84896" TargetMode="External"/><Relationship Id="rId9740" Type="http://schemas.openxmlformats.org/officeDocument/2006/relationships/hyperlink" Target="https://m.stock.naver.com/research/company/83483" TargetMode="External"/><Relationship Id="rId11670" Type="http://schemas.openxmlformats.org/officeDocument/2006/relationships/hyperlink" Target="https://m.stock.naver.com/research/company/81542" TargetMode="External"/><Relationship Id="rId12721" Type="http://schemas.openxmlformats.org/officeDocument/2006/relationships/hyperlink" Target="https://m.stock.naver.com/research/company/80487" TargetMode="External"/><Relationship Id="rId10272" Type="http://schemas.openxmlformats.org/officeDocument/2006/relationships/hyperlink" Target="https://m.stock.naver.com/research/company/82949" TargetMode="External"/><Relationship Id="rId11323" Type="http://schemas.openxmlformats.org/officeDocument/2006/relationships/hyperlink" Target="https://m.stock.naver.com/research/company/81893" TargetMode="External"/><Relationship Id="rId14893" Type="http://schemas.openxmlformats.org/officeDocument/2006/relationships/hyperlink" Target="https://m.stock.naver.com/research/company/94731" TargetMode="External"/><Relationship Id="rId4952" Type="http://schemas.openxmlformats.org/officeDocument/2006/relationships/hyperlink" Target="https://m.stock.naver.com/research/company/88288" TargetMode="External"/><Relationship Id="rId13495" Type="http://schemas.openxmlformats.org/officeDocument/2006/relationships/hyperlink" Target="https://m.stock.naver.com/research/company/79709" TargetMode="External"/><Relationship Id="rId14546" Type="http://schemas.openxmlformats.org/officeDocument/2006/relationships/hyperlink" Target="https://m.stock.naver.com/research/company/94364" TargetMode="External"/><Relationship Id="rId3554" Type="http://schemas.openxmlformats.org/officeDocument/2006/relationships/hyperlink" Target="https://m.stock.naver.com/research/company/89697" TargetMode="External"/><Relationship Id="rId4605" Type="http://schemas.openxmlformats.org/officeDocument/2006/relationships/hyperlink" Target="https://m.stock.naver.com/research/company/88635" TargetMode="External"/><Relationship Id="rId12097" Type="http://schemas.openxmlformats.org/officeDocument/2006/relationships/hyperlink" Target="https://m.stock.naver.com/research/company/81114" TargetMode="External"/><Relationship Id="rId13148" Type="http://schemas.openxmlformats.org/officeDocument/2006/relationships/hyperlink" Target="https://m.stock.naver.com/research/company/80059" TargetMode="External"/><Relationship Id="rId475" Type="http://schemas.openxmlformats.org/officeDocument/2006/relationships/hyperlink" Target="https://m.stock.naver.com/research/company/92982" TargetMode="External"/><Relationship Id="rId2156" Type="http://schemas.openxmlformats.org/officeDocument/2006/relationships/hyperlink" Target="https://m.stock.naver.com/research/company/91099" TargetMode="External"/><Relationship Id="rId3207" Type="http://schemas.openxmlformats.org/officeDocument/2006/relationships/hyperlink" Target="https://m.stock.naver.com/research/company/90044" TargetMode="External"/><Relationship Id="rId6777" Type="http://schemas.openxmlformats.org/officeDocument/2006/relationships/hyperlink" Target="https://m.stock.naver.com/research/company/86463" TargetMode="External"/><Relationship Id="rId7828" Type="http://schemas.openxmlformats.org/officeDocument/2006/relationships/hyperlink" Target="https://m.stock.naver.com/research/company/85410" TargetMode="External"/><Relationship Id="rId128" Type="http://schemas.openxmlformats.org/officeDocument/2006/relationships/hyperlink" Target="https://m.stock.naver.com/research/company/93330" TargetMode="External"/><Relationship Id="rId5379" Type="http://schemas.openxmlformats.org/officeDocument/2006/relationships/hyperlink" Target="https://m.stock.naver.com/research/company/87861" TargetMode="External"/><Relationship Id="rId9250" Type="http://schemas.openxmlformats.org/officeDocument/2006/relationships/hyperlink" Target="https://m.stock.naver.com/research/company/83978" TargetMode="External"/><Relationship Id="rId10809" Type="http://schemas.openxmlformats.org/officeDocument/2006/relationships/hyperlink" Target="https://m.stock.naver.com/research/company/82411" TargetMode="External"/><Relationship Id="rId11180" Type="http://schemas.openxmlformats.org/officeDocument/2006/relationships/hyperlink" Target="https://m.stock.naver.com/research/company/82040" TargetMode="External"/><Relationship Id="rId12231" Type="http://schemas.openxmlformats.org/officeDocument/2006/relationships/hyperlink" Target="https://m.stock.naver.com/research/company/80979" TargetMode="External"/><Relationship Id="rId1989" Type="http://schemas.openxmlformats.org/officeDocument/2006/relationships/hyperlink" Target="https://m.stock.naver.com/research/company/91266" TargetMode="External"/><Relationship Id="rId5860" Type="http://schemas.openxmlformats.org/officeDocument/2006/relationships/hyperlink" Target="https://m.stock.naver.com/research/company/87380" TargetMode="External"/><Relationship Id="rId6911" Type="http://schemas.openxmlformats.org/officeDocument/2006/relationships/hyperlink" Target="https://m.stock.naver.com/research/company/86328" TargetMode="External"/><Relationship Id="rId15454" Type="http://schemas.openxmlformats.org/officeDocument/2006/relationships/hyperlink" Target="https://m.stock.naver.com/research/company/95333" TargetMode="External"/><Relationship Id="rId3064" Type="http://schemas.openxmlformats.org/officeDocument/2006/relationships/hyperlink" Target="https://m.stock.naver.com/research/company/90187" TargetMode="External"/><Relationship Id="rId4462" Type="http://schemas.openxmlformats.org/officeDocument/2006/relationships/hyperlink" Target="https://m.stock.naver.com/research/company/88778" TargetMode="External"/><Relationship Id="rId5513" Type="http://schemas.openxmlformats.org/officeDocument/2006/relationships/hyperlink" Target="https://m.stock.naver.com/research/company/87727" TargetMode="External"/><Relationship Id="rId14056" Type="http://schemas.openxmlformats.org/officeDocument/2006/relationships/hyperlink" Target="https://m.stock.naver.com/research/company/93867" TargetMode="External"/><Relationship Id="rId15107" Type="http://schemas.openxmlformats.org/officeDocument/2006/relationships/hyperlink" Target="https://m.stock.naver.com/research/company/94987" TargetMode="External"/><Relationship Id="rId4115" Type="http://schemas.openxmlformats.org/officeDocument/2006/relationships/hyperlink" Target="https://m.stock.naver.com/research/company/89136" TargetMode="External"/><Relationship Id="rId7685" Type="http://schemas.openxmlformats.org/officeDocument/2006/relationships/hyperlink" Target="https://m.stock.naver.com/research/company/85554" TargetMode="External"/><Relationship Id="rId8736" Type="http://schemas.openxmlformats.org/officeDocument/2006/relationships/hyperlink" Target="https://m.stock.naver.com/research/company/84501" TargetMode="External"/><Relationship Id="rId10666" Type="http://schemas.openxmlformats.org/officeDocument/2006/relationships/hyperlink" Target="https://m.stock.naver.com/research/company/82554" TargetMode="External"/><Relationship Id="rId11717" Type="http://schemas.openxmlformats.org/officeDocument/2006/relationships/hyperlink" Target="https://m.stock.naver.com/research/company/81495" TargetMode="External"/><Relationship Id="rId6287" Type="http://schemas.openxmlformats.org/officeDocument/2006/relationships/hyperlink" Target="https://m.stock.naver.com/research/company/86953" TargetMode="External"/><Relationship Id="rId7338" Type="http://schemas.openxmlformats.org/officeDocument/2006/relationships/hyperlink" Target="https://m.stock.naver.com/research/company/85901" TargetMode="External"/><Relationship Id="rId10319" Type="http://schemas.openxmlformats.org/officeDocument/2006/relationships/hyperlink" Target="https://m.stock.naver.com/research/company/82902" TargetMode="External"/><Relationship Id="rId2897" Type="http://schemas.openxmlformats.org/officeDocument/2006/relationships/hyperlink" Target="https://m.stock.naver.com/research/company/90356" TargetMode="External"/><Relationship Id="rId3948" Type="http://schemas.openxmlformats.org/officeDocument/2006/relationships/hyperlink" Target="https://m.stock.naver.com/research/company/89303" TargetMode="External"/><Relationship Id="rId13889" Type="http://schemas.openxmlformats.org/officeDocument/2006/relationships/hyperlink" Target="https://m.stock.naver.com/research/company/93677" TargetMode="External"/><Relationship Id="rId869" Type="http://schemas.openxmlformats.org/officeDocument/2006/relationships/hyperlink" Target="https://m.stock.naver.com/research/company/92587" TargetMode="External"/><Relationship Id="rId1499" Type="http://schemas.openxmlformats.org/officeDocument/2006/relationships/hyperlink" Target="https://m.stock.naver.com/research/company/91756" TargetMode="External"/><Relationship Id="rId5370" Type="http://schemas.openxmlformats.org/officeDocument/2006/relationships/hyperlink" Target="https://m.stock.naver.com/research/company/87870" TargetMode="External"/><Relationship Id="rId6421" Type="http://schemas.openxmlformats.org/officeDocument/2006/relationships/hyperlink" Target="https://m.stock.naver.com/research/company/86819" TargetMode="External"/><Relationship Id="rId10800" Type="http://schemas.openxmlformats.org/officeDocument/2006/relationships/hyperlink" Target="https://m.stock.naver.com/research/company/82420" TargetMode="External"/><Relationship Id="rId5023" Type="http://schemas.openxmlformats.org/officeDocument/2006/relationships/hyperlink" Target="https://m.stock.naver.com/research/company/88217" TargetMode="External"/><Relationship Id="rId9991" Type="http://schemas.openxmlformats.org/officeDocument/2006/relationships/hyperlink" Target="https://m.stock.naver.com/research/company/83230" TargetMode="External"/><Relationship Id="rId12972" Type="http://schemas.openxmlformats.org/officeDocument/2006/relationships/hyperlink" Target="https://m.stock.naver.com/research/company/80236" TargetMode="External"/><Relationship Id="rId1980" Type="http://schemas.openxmlformats.org/officeDocument/2006/relationships/hyperlink" Target="https://m.stock.naver.com/research/company/91275" TargetMode="External"/><Relationship Id="rId7195" Type="http://schemas.openxmlformats.org/officeDocument/2006/relationships/hyperlink" Target="https://m.stock.naver.com/research/company/86044" TargetMode="External"/><Relationship Id="rId8246" Type="http://schemas.openxmlformats.org/officeDocument/2006/relationships/hyperlink" Target="https://m.stock.naver.com/research/company/84992" TargetMode="External"/><Relationship Id="rId8593" Type="http://schemas.openxmlformats.org/officeDocument/2006/relationships/hyperlink" Target="https://m.stock.naver.com/research/company/84644" TargetMode="External"/><Relationship Id="rId9644" Type="http://schemas.openxmlformats.org/officeDocument/2006/relationships/hyperlink" Target="https://m.stock.naver.com/research/company/83580" TargetMode="External"/><Relationship Id="rId11574" Type="http://schemas.openxmlformats.org/officeDocument/2006/relationships/hyperlink" Target="https://m.stock.naver.com/research/company/81639" TargetMode="External"/><Relationship Id="rId12625" Type="http://schemas.openxmlformats.org/officeDocument/2006/relationships/hyperlink" Target="https://m.stock.naver.com/research/company/80583" TargetMode="External"/><Relationship Id="rId1633" Type="http://schemas.openxmlformats.org/officeDocument/2006/relationships/hyperlink" Target="https://m.stock.naver.com/research/company/91622" TargetMode="External"/><Relationship Id="rId10176" Type="http://schemas.openxmlformats.org/officeDocument/2006/relationships/hyperlink" Target="https://m.stock.naver.com/research/company/83045" TargetMode="External"/><Relationship Id="rId11227" Type="http://schemas.openxmlformats.org/officeDocument/2006/relationships/hyperlink" Target="https://m.stock.naver.com/research/company/81992" TargetMode="External"/><Relationship Id="rId14797" Type="http://schemas.openxmlformats.org/officeDocument/2006/relationships/hyperlink" Target="https://m.stock.naver.com/research/company/94603" TargetMode="External"/><Relationship Id="rId4856" Type="http://schemas.openxmlformats.org/officeDocument/2006/relationships/hyperlink" Target="https://m.stock.naver.com/research/company/88384" TargetMode="External"/><Relationship Id="rId5907" Type="http://schemas.openxmlformats.org/officeDocument/2006/relationships/hyperlink" Target="https://m.stock.naver.com/research/company/87333" TargetMode="External"/><Relationship Id="rId13399" Type="http://schemas.openxmlformats.org/officeDocument/2006/relationships/hyperlink" Target="https://m.stock.naver.com/research/company/79806" TargetMode="External"/><Relationship Id="rId3458" Type="http://schemas.openxmlformats.org/officeDocument/2006/relationships/hyperlink" Target="https://m.stock.naver.com/research/company/89793" TargetMode="External"/><Relationship Id="rId4509" Type="http://schemas.openxmlformats.org/officeDocument/2006/relationships/hyperlink" Target="https://m.stock.naver.com/research/company/88731" TargetMode="External"/><Relationship Id="rId10310" Type="http://schemas.openxmlformats.org/officeDocument/2006/relationships/hyperlink" Target="https://m.stock.naver.com/research/company/82911" TargetMode="External"/><Relationship Id="rId379" Type="http://schemas.openxmlformats.org/officeDocument/2006/relationships/hyperlink" Target="https://m.stock.naver.com/research/company/93079" TargetMode="External"/><Relationship Id="rId13880" Type="http://schemas.openxmlformats.org/officeDocument/2006/relationships/hyperlink" Target="https://m.stock.naver.com/research/company/93647" TargetMode="External"/><Relationship Id="rId14931" Type="http://schemas.openxmlformats.org/officeDocument/2006/relationships/hyperlink" Target="https://m.stock.naver.com/research/company/94903" TargetMode="External"/><Relationship Id="rId1490" Type="http://schemas.openxmlformats.org/officeDocument/2006/relationships/hyperlink" Target="https://m.stock.naver.com/research/company/91765" TargetMode="External"/><Relationship Id="rId9154" Type="http://schemas.openxmlformats.org/officeDocument/2006/relationships/hyperlink" Target="https://m.stock.naver.com/research/company/84076" TargetMode="External"/><Relationship Id="rId11084" Type="http://schemas.openxmlformats.org/officeDocument/2006/relationships/hyperlink" Target="https://m.stock.naver.com/research/company/82136" TargetMode="External"/><Relationship Id="rId12482" Type="http://schemas.openxmlformats.org/officeDocument/2006/relationships/hyperlink" Target="https://m.stock.naver.com/research/company/80726" TargetMode="External"/><Relationship Id="rId13533" Type="http://schemas.openxmlformats.org/officeDocument/2006/relationships/hyperlink" Target="https://m.stock.naver.com/research/company/79671" TargetMode="External"/><Relationship Id="rId860" Type="http://schemas.openxmlformats.org/officeDocument/2006/relationships/hyperlink" Target="https://m.stock.naver.com/research/company/92596" TargetMode="External"/><Relationship Id="rId1143" Type="http://schemas.openxmlformats.org/officeDocument/2006/relationships/hyperlink" Target="https://m.stock.naver.com/research/company/92112" TargetMode="External"/><Relationship Id="rId2541" Type="http://schemas.openxmlformats.org/officeDocument/2006/relationships/hyperlink" Target="https://m.stock.naver.com/research/company/90713" TargetMode="External"/><Relationship Id="rId12135" Type="http://schemas.openxmlformats.org/officeDocument/2006/relationships/hyperlink" Target="https://m.stock.naver.com/research/company/81076" TargetMode="External"/><Relationship Id="rId513" Type="http://schemas.openxmlformats.org/officeDocument/2006/relationships/hyperlink" Target="https://m.stock.naver.com/research/company/92944" TargetMode="External"/><Relationship Id="rId5764" Type="http://schemas.openxmlformats.org/officeDocument/2006/relationships/hyperlink" Target="https://m.stock.naver.com/research/company/87476" TargetMode="External"/><Relationship Id="rId6815" Type="http://schemas.openxmlformats.org/officeDocument/2006/relationships/hyperlink" Target="https://m.stock.naver.com/research/company/86425" TargetMode="External"/><Relationship Id="rId15358" Type="http://schemas.openxmlformats.org/officeDocument/2006/relationships/hyperlink" Target="https://m.stock.naver.com/research/company/95230" TargetMode="External"/><Relationship Id="rId4366" Type="http://schemas.openxmlformats.org/officeDocument/2006/relationships/hyperlink" Target="https://m.stock.naver.com/research/company/88875" TargetMode="External"/><Relationship Id="rId5417" Type="http://schemas.openxmlformats.org/officeDocument/2006/relationships/hyperlink" Target="https://m.stock.naver.com/research/company/87823" TargetMode="External"/><Relationship Id="rId8987" Type="http://schemas.openxmlformats.org/officeDocument/2006/relationships/hyperlink" Target="https://m.stock.naver.com/research/company/84245" TargetMode="External"/><Relationship Id="rId4019" Type="http://schemas.openxmlformats.org/officeDocument/2006/relationships/hyperlink" Target="https://m.stock.naver.com/research/company/89232" TargetMode="External"/><Relationship Id="rId7589" Type="http://schemas.openxmlformats.org/officeDocument/2006/relationships/hyperlink" Target="https://m.stock.naver.com/research/company/85650" TargetMode="External"/><Relationship Id="rId11968" Type="http://schemas.openxmlformats.org/officeDocument/2006/relationships/hyperlink" Target="https://m.stock.naver.com/research/company/81243" TargetMode="External"/><Relationship Id="rId13390" Type="http://schemas.openxmlformats.org/officeDocument/2006/relationships/hyperlink" Target="https://m.stock.naver.com/research/company/79815" TargetMode="External"/><Relationship Id="rId14441" Type="http://schemas.openxmlformats.org/officeDocument/2006/relationships/hyperlink" Target="https://m.stock.naver.com/research/company/94469" TargetMode="External"/><Relationship Id="rId4500" Type="http://schemas.openxmlformats.org/officeDocument/2006/relationships/hyperlink" Target="https://m.stock.naver.com/research/company/88740" TargetMode="External"/><Relationship Id="rId13043" Type="http://schemas.openxmlformats.org/officeDocument/2006/relationships/hyperlink" Target="https://m.stock.naver.com/research/company/80164" TargetMode="External"/><Relationship Id="rId370" Type="http://schemas.openxmlformats.org/officeDocument/2006/relationships/hyperlink" Target="https://m.stock.naver.com/research/company/93088" TargetMode="External"/><Relationship Id="rId2051" Type="http://schemas.openxmlformats.org/officeDocument/2006/relationships/hyperlink" Target="https://m.stock.naver.com/research/company/91204" TargetMode="External"/><Relationship Id="rId3102" Type="http://schemas.openxmlformats.org/officeDocument/2006/relationships/hyperlink" Target="https://m.stock.naver.com/research/company/90149" TargetMode="External"/><Relationship Id="rId5274" Type="http://schemas.openxmlformats.org/officeDocument/2006/relationships/hyperlink" Target="https://m.stock.naver.com/research/company/87966" TargetMode="External"/><Relationship Id="rId6325" Type="http://schemas.openxmlformats.org/officeDocument/2006/relationships/hyperlink" Target="https://m.stock.naver.com/research/company/86915" TargetMode="External"/><Relationship Id="rId6672" Type="http://schemas.openxmlformats.org/officeDocument/2006/relationships/hyperlink" Target="https://m.stock.naver.com/research/company/86568" TargetMode="External"/><Relationship Id="rId7723" Type="http://schemas.openxmlformats.org/officeDocument/2006/relationships/hyperlink" Target="https://m.stock.naver.com/research/company/85516" TargetMode="External"/><Relationship Id="rId10704" Type="http://schemas.openxmlformats.org/officeDocument/2006/relationships/hyperlink" Target="https://m.stock.naver.com/research/company/82516" TargetMode="External"/><Relationship Id="rId9895" Type="http://schemas.openxmlformats.org/officeDocument/2006/relationships/hyperlink" Target="https://m.stock.naver.com/research/company/83327" TargetMode="External"/><Relationship Id="rId12876" Type="http://schemas.openxmlformats.org/officeDocument/2006/relationships/hyperlink" Target="https://m.stock.naver.com/research/company/80332" TargetMode="External"/><Relationship Id="rId13927" Type="http://schemas.openxmlformats.org/officeDocument/2006/relationships/hyperlink" Target="https://m.stock.naver.com/research/company/93710" TargetMode="External"/><Relationship Id="rId1884" Type="http://schemas.openxmlformats.org/officeDocument/2006/relationships/hyperlink" Target="https://m.stock.naver.com/research/company/91371" TargetMode="External"/><Relationship Id="rId2935" Type="http://schemas.openxmlformats.org/officeDocument/2006/relationships/hyperlink" Target="https://m.stock.naver.com/research/company/90318" TargetMode="External"/><Relationship Id="rId8497" Type="http://schemas.openxmlformats.org/officeDocument/2006/relationships/hyperlink" Target="https://m.stock.naver.com/research/company/84740" TargetMode="External"/><Relationship Id="rId9548" Type="http://schemas.openxmlformats.org/officeDocument/2006/relationships/hyperlink" Target="https://m.stock.naver.com/research/company/83679" TargetMode="External"/><Relationship Id="rId11478" Type="http://schemas.openxmlformats.org/officeDocument/2006/relationships/hyperlink" Target="https://m.stock.naver.com/research/company/81737" TargetMode="External"/><Relationship Id="rId12529" Type="http://schemas.openxmlformats.org/officeDocument/2006/relationships/hyperlink" Target="https://m.stock.naver.com/research/company/80679" TargetMode="External"/><Relationship Id="rId907" Type="http://schemas.openxmlformats.org/officeDocument/2006/relationships/hyperlink" Target="https://m.stock.naver.com/research/company/92549" TargetMode="External"/><Relationship Id="rId1537" Type="http://schemas.openxmlformats.org/officeDocument/2006/relationships/hyperlink" Target="https://m.stock.naver.com/research/company/91718" TargetMode="External"/><Relationship Id="rId7099" Type="http://schemas.openxmlformats.org/officeDocument/2006/relationships/hyperlink" Target="https://m.stock.naver.com/research/company/86140" TargetMode="External"/><Relationship Id="rId15002" Type="http://schemas.openxmlformats.org/officeDocument/2006/relationships/hyperlink" Target="https://m.stock.naver.com/research/company/94832" TargetMode="External"/><Relationship Id="rId4010" Type="http://schemas.openxmlformats.org/officeDocument/2006/relationships/hyperlink" Target="https://m.stock.naver.com/research/company/89241" TargetMode="External"/><Relationship Id="rId7580" Type="http://schemas.openxmlformats.org/officeDocument/2006/relationships/hyperlink" Target="https://m.stock.naver.com/research/company/85659" TargetMode="External"/><Relationship Id="rId8631" Type="http://schemas.openxmlformats.org/officeDocument/2006/relationships/hyperlink" Target="https://m.stock.naver.com/research/company/84606" TargetMode="External"/><Relationship Id="rId6182" Type="http://schemas.openxmlformats.org/officeDocument/2006/relationships/hyperlink" Target="https://m.stock.naver.com/research/company/87058" TargetMode="External"/><Relationship Id="rId7233" Type="http://schemas.openxmlformats.org/officeDocument/2006/relationships/hyperlink" Target="https://m.stock.naver.com/research/company/86006" TargetMode="External"/><Relationship Id="rId10561" Type="http://schemas.openxmlformats.org/officeDocument/2006/relationships/hyperlink" Target="https://m.stock.naver.com/research/company/82659" TargetMode="External"/><Relationship Id="rId11612" Type="http://schemas.openxmlformats.org/officeDocument/2006/relationships/hyperlink" Target="https://m.stock.naver.com/research/company/81600" TargetMode="External"/><Relationship Id="rId10214" Type="http://schemas.openxmlformats.org/officeDocument/2006/relationships/hyperlink" Target="https://m.stock.naver.com/research/company/83007" TargetMode="External"/><Relationship Id="rId13784" Type="http://schemas.openxmlformats.org/officeDocument/2006/relationships/hyperlink" Target="https://m.stock.naver.com/research/company/93604" TargetMode="External"/><Relationship Id="rId14835" Type="http://schemas.openxmlformats.org/officeDocument/2006/relationships/hyperlink" Target="https://m.stock.naver.com/research/company/94789" TargetMode="External"/><Relationship Id="rId2792" Type="http://schemas.openxmlformats.org/officeDocument/2006/relationships/hyperlink" Target="https://m.stock.naver.com/research/company/90462" TargetMode="External"/><Relationship Id="rId3843" Type="http://schemas.openxmlformats.org/officeDocument/2006/relationships/hyperlink" Target="https://m.stock.naver.com/research/company/89408" TargetMode="External"/><Relationship Id="rId9058" Type="http://schemas.openxmlformats.org/officeDocument/2006/relationships/hyperlink" Target="https://m.stock.naver.com/research/company/84173" TargetMode="External"/><Relationship Id="rId12386" Type="http://schemas.openxmlformats.org/officeDocument/2006/relationships/hyperlink" Target="https://m.stock.naver.com/research/company/80823" TargetMode="External"/><Relationship Id="rId13437" Type="http://schemas.openxmlformats.org/officeDocument/2006/relationships/hyperlink" Target="https://m.stock.naver.com/research/company/79767" TargetMode="External"/><Relationship Id="rId764" Type="http://schemas.openxmlformats.org/officeDocument/2006/relationships/hyperlink" Target="https://m.stock.naver.com/research/company/92692" TargetMode="External"/><Relationship Id="rId1394" Type="http://schemas.openxmlformats.org/officeDocument/2006/relationships/hyperlink" Target="https://m.stock.naver.com/research/company/91861" TargetMode="External"/><Relationship Id="rId2445" Type="http://schemas.openxmlformats.org/officeDocument/2006/relationships/hyperlink" Target="https://m.stock.naver.com/research/company/90809" TargetMode="External"/><Relationship Id="rId12039" Type="http://schemas.openxmlformats.org/officeDocument/2006/relationships/hyperlink" Target="https://m.stock.naver.com/research/company/81172" TargetMode="External"/><Relationship Id="rId417" Type="http://schemas.openxmlformats.org/officeDocument/2006/relationships/hyperlink" Target="https://m.stock.naver.com/research/company/93040" TargetMode="External"/><Relationship Id="rId1047" Type="http://schemas.openxmlformats.org/officeDocument/2006/relationships/hyperlink" Target="https://m.stock.naver.com/research/company/92304" TargetMode="External"/><Relationship Id="rId5668" Type="http://schemas.openxmlformats.org/officeDocument/2006/relationships/hyperlink" Target="https://m.stock.naver.com/research/company/87572" TargetMode="External"/><Relationship Id="rId6719" Type="http://schemas.openxmlformats.org/officeDocument/2006/relationships/hyperlink" Target="https://m.stock.naver.com/research/company/86521" TargetMode="External"/><Relationship Id="rId12520" Type="http://schemas.openxmlformats.org/officeDocument/2006/relationships/hyperlink" Target="https://m.stock.naver.com/research/company/80688" TargetMode="External"/><Relationship Id="rId7090" Type="http://schemas.openxmlformats.org/officeDocument/2006/relationships/hyperlink" Target="https://m.stock.naver.com/research/company/86149" TargetMode="External"/><Relationship Id="rId8141" Type="http://schemas.openxmlformats.org/officeDocument/2006/relationships/hyperlink" Target="https://m.stock.naver.com/research/company/85097" TargetMode="External"/><Relationship Id="rId10071" Type="http://schemas.openxmlformats.org/officeDocument/2006/relationships/hyperlink" Target="https://m.stock.naver.com/research/company/83150" TargetMode="External"/><Relationship Id="rId11122" Type="http://schemas.openxmlformats.org/officeDocument/2006/relationships/hyperlink" Target="https://m.stock.naver.com/research/company/82098" TargetMode="External"/><Relationship Id="rId13294" Type="http://schemas.openxmlformats.org/officeDocument/2006/relationships/hyperlink" Target="https://m.stock.naver.com/research/company/79911" TargetMode="External"/><Relationship Id="rId14692" Type="http://schemas.openxmlformats.org/officeDocument/2006/relationships/hyperlink" Target="https://m.stock.naver.com/research/company/94708" TargetMode="External"/><Relationship Id="rId15743" Type="http://schemas.openxmlformats.org/officeDocument/2006/relationships/hyperlink" Target="https://m.stock.naver.com/research/company/95671" TargetMode="External"/><Relationship Id="rId3353" Type="http://schemas.openxmlformats.org/officeDocument/2006/relationships/hyperlink" Target="https://m.stock.naver.com/research/company/89897" TargetMode="External"/><Relationship Id="rId4751" Type="http://schemas.openxmlformats.org/officeDocument/2006/relationships/hyperlink" Target="https://m.stock.naver.com/research/company/88489" TargetMode="External"/><Relationship Id="rId5802" Type="http://schemas.openxmlformats.org/officeDocument/2006/relationships/hyperlink" Target="https://m.stock.naver.com/research/company/87438" TargetMode="External"/><Relationship Id="rId14345" Type="http://schemas.openxmlformats.org/officeDocument/2006/relationships/hyperlink" Target="https://m.stock.naver.com/research/company/94206" TargetMode="External"/><Relationship Id="rId274" Type="http://schemas.openxmlformats.org/officeDocument/2006/relationships/hyperlink" Target="https://m.stock.naver.com/research/company/93184" TargetMode="External"/><Relationship Id="rId3006" Type="http://schemas.openxmlformats.org/officeDocument/2006/relationships/hyperlink" Target="https://m.stock.naver.com/research/company/90245" TargetMode="External"/><Relationship Id="rId4404" Type="http://schemas.openxmlformats.org/officeDocument/2006/relationships/hyperlink" Target="https://m.stock.naver.com/research/company/88837" TargetMode="External"/><Relationship Id="rId7974" Type="http://schemas.openxmlformats.org/officeDocument/2006/relationships/hyperlink" Target="https://m.stock.naver.com/research/company/85264" TargetMode="External"/><Relationship Id="rId10955" Type="http://schemas.openxmlformats.org/officeDocument/2006/relationships/hyperlink" Target="https://m.stock.naver.com/research/company/82265" TargetMode="External"/><Relationship Id="rId6576" Type="http://schemas.openxmlformats.org/officeDocument/2006/relationships/hyperlink" Target="https://m.stock.naver.com/research/company/86664" TargetMode="External"/><Relationship Id="rId7627" Type="http://schemas.openxmlformats.org/officeDocument/2006/relationships/hyperlink" Target="https://m.stock.naver.com/research/company/85612" TargetMode="External"/><Relationship Id="rId10608" Type="http://schemas.openxmlformats.org/officeDocument/2006/relationships/hyperlink" Target="https://m.stock.naver.com/research/company/82612" TargetMode="External"/><Relationship Id="rId5178" Type="http://schemas.openxmlformats.org/officeDocument/2006/relationships/hyperlink" Target="https://m.stock.naver.com/research/company/88062" TargetMode="External"/><Relationship Id="rId6229" Type="http://schemas.openxmlformats.org/officeDocument/2006/relationships/hyperlink" Target="https://m.stock.naver.com/research/company/87011" TargetMode="External"/><Relationship Id="rId9799" Type="http://schemas.openxmlformats.org/officeDocument/2006/relationships/hyperlink" Target="https://m.stock.naver.com/research/company/83423" TargetMode="External"/><Relationship Id="rId12030" Type="http://schemas.openxmlformats.org/officeDocument/2006/relationships/hyperlink" Target="https://m.stock.naver.com/research/company/81181" TargetMode="External"/><Relationship Id="rId1788" Type="http://schemas.openxmlformats.org/officeDocument/2006/relationships/hyperlink" Target="https://m.stock.naver.com/research/company/91467" TargetMode="External"/><Relationship Id="rId2839" Type="http://schemas.openxmlformats.org/officeDocument/2006/relationships/hyperlink" Target="https://m.stock.naver.com/research/company/90414" TargetMode="External"/><Relationship Id="rId6710" Type="http://schemas.openxmlformats.org/officeDocument/2006/relationships/hyperlink" Target="https://m.stock.naver.com/research/company/86530" TargetMode="External"/><Relationship Id="rId15253" Type="http://schemas.openxmlformats.org/officeDocument/2006/relationships/hyperlink" Target="https://m.stock.naver.com/research/company/95107" TargetMode="External"/><Relationship Id="rId4261" Type="http://schemas.openxmlformats.org/officeDocument/2006/relationships/hyperlink" Target="https://m.stock.naver.com/research/company/88980" TargetMode="External"/><Relationship Id="rId5312" Type="http://schemas.openxmlformats.org/officeDocument/2006/relationships/hyperlink" Target="https://m.stock.naver.com/research/company/87928" TargetMode="External"/><Relationship Id="rId7484" Type="http://schemas.openxmlformats.org/officeDocument/2006/relationships/hyperlink" Target="https://m.stock.naver.com/research/company/85755" TargetMode="External"/><Relationship Id="rId8535" Type="http://schemas.openxmlformats.org/officeDocument/2006/relationships/hyperlink" Target="https://m.stock.naver.com/research/company/84702" TargetMode="External"/><Relationship Id="rId8882" Type="http://schemas.openxmlformats.org/officeDocument/2006/relationships/hyperlink" Target="https://m.stock.naver.com/research/company/84354" TargetMode="External"/><Relationship Id="rId9933" Type="http://schemas.openxmlformats.org/officeDocument/2006/relationships/hyperlink" Target="https://m.stock.naver.com/research/company/83289" TargetMode="External"/><Relationship Id="rId11863" Type="http://schemas.openxmlformats.org/officeDocument/2006/relationships/hyperlink" Target="https://m.stock.naver.com/research/company/81349" TargetMode="External"/><Relationship Id="rId12914" Type="http://schemas.openxmlformats.org/officeDocument/2006/relationships/hyperlink" Target="https://m.stock.naver.com/research/company/80294" TargetMode="External"/><Relationship Id="rId1922" Type="http://schemas.openxmlformats.org/officeDocument/2006/relationships/hyperlink" Target="https://m.stock.naver.com/research/company/91333" TargetMode="External"/><Relationship Id="rId6086" Type="http://schemas.openxmlformats.org/officeDocument/2006/relationships/hyperlink" Target="https://m.stock.naver.com/research/company/87154" TargetMode="External"/><Relationship Id="rId7137" Type="http://schemas.openxmlformats.org/officeDocument/2006/relationships/hyperlink" Target="https://m.stock.naver.com/research/company/86102" TargetMode="External"/><Relationship Id="rId10465" Type="http://schemas.openxmlformats.org/officeDocument/2006/relationships/hyperlink" Target="https://m.stock.naver.com/research/company/82755" TargetMode="External"/><Relationship Id="rId11516" Type="http://schemas.openxmlformats.org/officeDocument/2006/relationships/hyperlink" Target="https://m.stock.naver.com/research/company/81699" TargetMode="External"/><Relationship Id="rId10118" Type="http://schemas.openxmlformats.org/officeDocument/2006/relationships/hyperlink" Target="https://m.stock.naver.com/research/company/83103" TargetMode="External"/><Relationship Id="rId13688" Type="http://schemas.openxmlformats.org/officeDocument/2006/relationships/hyperlink" Target="https://m.stock.naver.com/research/company/93486" TargetMode="External"/><Relationship Id="rId14739" Type="http://schemas.openxmlformats.org/officeDocument/2006/relationships/hyperlink" Target="https://m.stock.naver.com/research/company/94661" TargetMode="External"/><Relationship Id="rId2696" Type="http://schemas.openxmlformats.org/officeDocument/2006/relationships/hyperlink" Target="https://m.stock.naver.com/research/company/90558" TargetMode="External"/><Relationship Id="rId3747" Type="http://schemas.openxmlformats.org/officeDocument/2006/relationships/hyperlink" Target="https://m.stock.naver.com/research/company/89504" TargetMode="External"/><Relationship Id="rId668" Type="http://schemas.openxmlformats.org/officeDocument/2006/relationships/hyperlink" Target="https://m.stock.naver.com/research/company/92788" TargetMode="External"/><Relationship Id="rId1298" Type="http://schemas.openxmlformats.org/officeDocument/2006/relationships/hyperlink" Target="https://m.stock.naver.com/research/company/91957" TargetMode="External"/><Relationship Id="rId2349" Type="http://schemas.openxmlformats.org/officeDocument/2006/relationships/hyperlink" Target="https://m.stock.naver.com/research/company/90905" TargetMode="External"/><Relationship Id="rId6220" Type="http://schemas.openxmlformats.org/officeDocument/2006/relationships/hyperlink" Target="https://m.stock.naver.com/research/company/87020" TargetMode="External"/><Relationship Id="rId9790" Type="http://schemas.openxmlformats.org/officeDocument/2006/relationships/hyperlink" Target="https://m.stock.naver.com/research/company/83432" TargetMode="External"/><Relationship Id="rId8392" Type="http://schemas.openxmlformats.org/officeDocument/2006/relationships/hyperlink" Target="https://m.stock.naver.com/research/company/84846" TargetMode="External"/><Relationship Id="rId9443" Type="http://schemas.openxmlformats.org/officeDocument/2006/relationships/hyperlink" Target="https://m.stock.naver.com/research/company/83784" TargetMode="External"/><Relationship Id="rId11373" Type="http://schemas.openxmlformats.org/officeDocument/2006/relationships/hyperlink" Target="https://m.stock.naver.com/research/company/81842" TargetMode="External"/><Relationship Id="rId12771" Type="http://schemas.openxmlformats.org/officeDocument/2006/relationships/hyperlink" Target="https://m.stock.naver.com/research/company/80437" TargetMode="External"/><Relationship Id="rId13822" Type="http://schemas.openxmlformats.org/officeDocument/2006/relationships/hyperlink" Target="https://m.stock.naver.com/research/company/93556" TargetMode="External"/><Relationship Id="rId1432" Type="http://schemas.openxmlformats.org/officeDocument/2006/relationships/hyperlink" Target="https://m.stock.naver.com/research/company/91823" TargetMode="External"/><Relationship Id="rId2830" Type="http://schemas.openxmlformats.org/officeDocument/2006/relationships/hyperlink" Target="https://m.stock.naver.com/research/company/90423" TargetMode="External"/><Relationship Id="rId8045" Type="http://schemas.openxmlformats.org/officeDocument/2006/relationships/hyperlink" Target="https://m.stock.naver.com/research/company/85193" TargetMode="External"/><Relationship Id="rId11026" Type="http://schemas.openxmlformats.org/officeDocument/2006/relationships/hyperlink" Target="https://m.stock.naver.com/research/company/82194" TargetMode="External"/><Relationship Id="rId12424" Type="http://schemas.openxmlformats.org/officeDocument/2006/relationships/hyperlink" Target="https://m.stock.naver.com/research/company/80785" TargetMode="External"/><Relationship Id="rId802" Type="http://schemas.openxmlformats.org/officeDocument/2006/relationships/hyperlink" Target="https://m.stock.naver.com/research/company/92654" TargetMode="External"/><Relationship Id="rId14596" Type="http://schemas.openxmlformats.org/officeDocument/2006/relationships/hyperlink" Target="https://m.stock.naver.com/research/company/94581" TargetMode="External"/><Relationship Id="rId15647" Type="http://schemas.openxmlformats.org/officeDocument/2006/relationships/hyperlink" Target="https://m.stock.naver.com/research/company/95767" TargetMode="External"/><Relationship Id="rId4655" Type="http://schemas.openxmlformats.org/officeDocument/2006/relationships/hyperlink" Target="https://m.stock.naver.com/research/company/88585" TargetMode="External"/><Relationship Id="rId5706" Type="http://schemas.openxmlformats.org/officeDocument/2006/relationships/hyperlink" Target="https://m.stock.naver.com/research/company/87534" TargetMode="External"/><Relationship Id="rId13198" Type="http://schemas.openxmlformats.org/officeDocument/2006/relationships/hyperlink" Target="https://m.stock.naver.com/research/company/80009" TargetMode="External"/><Relationship Id="rId14249" Type="http://schemas.openxmlformats.org/officeDocument/2006/relationships/hyperlink" Target="https://m.stock.naver.com/research/company/94094" TargetMode="External"/><Relationship Id="rId178" Type="http://schemas.openxmlformats.org/officeDocument/2006/relationships/hyperlink" Target="https://m.stock.naver.com/research/company/93280" TargetMode="External"/><Relationship Id="rId3257" Type="http://schemas.openxmlformats.org/officeDocument/2006/relationships/hyperlink" Target="https://m.stock.naver.com/research/company/89993" TargetMode="External"/><Relationship Id="rId4308" Type="http://schemas.openxmlformats.org/officeDocument/2006/relationships/hyperlink" Target="https://m.stock.naver.com/research/company/88933" TargetMode="External"/><Relationship Id="rId7878" Type="http://schemas.openxmlformats.org/officeDocument/2006/relationships/hyperlink" Target="https://m.stock.naver.com/research/company/85360" TargetMode="External"/><Relationship Id="rId8929" Type="http://schemas.openxmlformats.org/officeDocument/2006/relationships/hyperlink" Target="https://m.stock.naver.com/research/company/84306" TargetMode="External"/><Relationship Id="rId10859" Type="http://schemas.openxmlformats.org/officeDocument/2006/relationships/hyperlink" Target="https://m.stock.naver.com/research/company/82361" TargetMode="External"/><Relationship Id="rId14730" Type="http://schemas.openxmlformats.org/officeDocument/2006/relationships/hyperlink" Target="https://m.stock.naver.com/research/company/94670" TargetMode="External"/><Relationship Id="rId12281" Type="http://schemas.openxmlformats.org/officeDocument/2006/relationships/hyperlink" Target="https://m.stock.naver.com/research/company/80928" TargetMode="External"/><Relationship Id="rId13332" Type="http://schemas.openxmlformats.org/officeDocument/2006/relationships/hyperlink" Target="https://m.stock.naver.com/research/company/79873" TargetMode="External"/><Relationship Id="rId2340" Type="http://schemas.openxmlformats.org/officeDocument/2006/relationships/hyperlink" Target="https://m.stock.naver.com/research/company/90915" TargetMode="External"/><Relationship Id="rId312" Type="http://schemas.openxmlformats.org/officeDocument/2006/relationships/hyperlink" Target="https://m.stock.naver.com/research/company/93146" TargetMode="External"/><Relationship Id="rId5563" Type="http://schemas.openxmlformats.org/officeDocument/2006/relationships/hyperlink" Target="https://m.stock.naver.com/research/company/87677" TargetMode="External"/><Relationship Id="rId6961" Type="http://schemas.openxmlformats.org/officeDocument/2006/relationships/hyperlink" Target="https://m.stock.naver.com/research/company/86278" TargetMode="External"/><Relationship Id="rId15157" Type="http://schemas.openxmlformats.org/officeDocument/2006/relationships/hyperlink" Target="https://m.stock.naver.com/research/company/95203" TargetMode="External"/><Relationship Id="rId4165" Type="http://schemas.openxmlformats.org/officeDocument/2006/relationships/hyperlink" Target="https://m.stock.naver.com/research/company/89084" TargetMode="External"/><Relationship Id="rId5216" Type="http://schemas.openxmlformats.org/officeDocument/2006/relationships/hyperlink" Target="https://m.stock.naver.com/research/company/88024" TargetMode="External"/><Relationship Id="rId6614" Type="http://schemas.openxmlformats.org/officeDocument/2006/relationships/hyperlink" Target="https://m.stock.naver.com/research/company/86626" TargetMode="External"/><Relationship Id="rId8786" Type="http://schemas.openxmlformats.org/officeDocument/2006/relationships/hyperlink" Target="https://m.stock.naver.com/research/company/84451" TargetMode="External"/><Relationship Id="rId9837" Type="http://schemas.openxmlformats.org/officeDocument/2006/relationships/hyperlink" Target="https://m.stock.naver.com/research/company/83385" TargetMode="External"/><Relationship Id="rId11767" Type="http://schemas.openxmlformats.org/officeDocument/2006/relationships/hyperlink" Target="https://m.stock.naver.com/research/company/81445" TargetMode="External"/><Relationship Id="rId12818" Type="http://schemas.openxmlformats.org/officeDocument/2006/relationships/hyperlink" Target="https://m.stock.naver.com/research/company/80390" TargetMode="External"/><Relationship Id="rId1826" Type="http://schemas.openxmlformats.org/officeDocument/2006/relationships/hyperlink" Target="https://m.stock.naver.com/research/company/91429" TargetMode="External"/><Relationship Id="rId7388" Type="http://schemas.openxmlformats.org/officeDocument/2006/relationships/hyperlink" Target="https://m.stock.naver.com/research/company/85851" TargetMode="External"/><Relationship Id="rId8439" Type="http://schemas.openxmlformats.org/officeDocument/2006/relationships/hyperlink" Target="https://m.stock.naver.com/research/company/84799" TargetMode="External"/><Relationship Id="rId10369" Type="http://schemas.openxmlformats.org/officeDocument/2006/relationships/hyperlink" Target="https://m.stock.naver.com/research/company/82852" TargetMode="External"/><Relationship Id="rId14240" Type="http://schemas.openxmlformats.org/officeDocument/2006/relationships/hyperlink" Target="https://m.stock.naver.com/research/company/94103" TargetMode="External"/><Relationship Id="rId3998" Type="http://schemas.openxmlformats.org/officeDocument/2006/relationships/hyperlink" Target="https://m.stock.naver.com/research/company/89253" TargetMode="External"/><Relationship Id="rId8920" Type="http://schemas.openxmlformats.org/officeDocument/2006/relationships/hyperlink" Target="https://m.stock.naver.com/research/company/84315" TargetMode="External"/><Relationship Id="rId6471" Type="http://schemas.openxmlformats.org/officeDocument/2006/relationships/hyperlink" Target="https://m.stock.naver.com/research/company/86769" TargetMode="External"/><Relationship Id="rId7522" Type="http://schemas.openxmlformats.org/officeDocument/2006/relationships/hyperlink" Target="https://m.stock.naver.com/research/company/85717" TargetMode="External"/><Relationship Id="rId10850" Type="http://schemas.openxmlformats.org/officeDocument/2006/relationships/hyperlink" Target="https://m.stock.naver.com/research/company/82370" TargetMode="External"/><Relationship Id="rId11901" Type="http://schemas.openxmlformats.org/officeDocument/2006/relationships/hyperlink" Target="https://m.stock.naver.com/research/company/81310" TargetMode="External"/><Relationship Id="rId5073" Type="http://schemas.openxmlformats.org/officeDocument/2006/relationships/hyperlink" Target="https://m.stock.naver.com/research/company/88167" TargetMode="External"/><Relationship Id="rId6124" Type="http://schemas.openxmlformats.org/officeDocument/2006/relationships/hyperlink" Target="https://m.stock.naver.com/research/company/87116" TargetMode="External"/><Relationship Id="rId9694" Type="http://schemas.openxmlformats.org/officeDocument/2006/relationships/hyperlink" Target="https://m.stock.naver.com/research/company/83529" TargetMode="External"/><Relationship Id="rId10503" Type="http://schemas.openxmlformats.org/officeDocument/2006/relationships/hyperlink" Target="https://m.stock.naver.com/research/company/82717" TargetMode="External"/><Relationship Id="rId8296" Type="http://schemas.openxmlformats.org/officeDocument/2006/relationships/hyperlink" Target="https://m.stock.naver.com/research/company/84942" TargetMode="External"/><Relationship Id="rId9347" Type="http://schemas.openxmlformats.org/officeDocument/2006/relationships/hyperlink" Target="https://m.stock.naver.com/research/company/83880" TargetMode="External"/><Relationship Id="rId12675" Type="http://schemas.openxmlformats.org/officeDocument/2006/relationships/hyperlink" Target="https://m.stock.naver.com/research/company/80533" TargetMode="External"/><Relationship Id="rId13726" Type="http://schemas.openxmlformats.org/officeDocument/2006/relationships/hyperlink" Target="https://m.stock.naver.com/research/company/93513" TargetMode="External"/><Relationship Id="rId1683" Type="http://schemas.openxmlformats.org/officeDocument/2006/relationships/hyperlink" Target="https://m.stock.naver.com/research/company/91572" TargetMode="External"/><Relationship Id="rId2734" Type="http://schemas.openxmlformats.org/officeDocument/2006/relationships/hyperlink" Target="https://m.stock.naver.com/research/company/90520" TargetMode="External"/><Relationship Id="rId11277" Type="http://schemas.openxmlformats.org/officeDocument/2006/relationships/hyperlink" Target="https://m.stock.naver.com/research/company/81942" TargetMode="External"/><Relationship Id="rId12328" Type="http://schemas.openxmlformats.org/officeDocument/2006/relationships/hyperlink" Target="https://m.stock.naver.com/research/company/80881" TargetMode="External"/><Relationship Id="rId706" Type="http://schemas.openxmlformats.org/officeDocument/2006/relationships/hyperlink" Target="https://m.stock.naver.com/research/company/92750" TargetMode="External"/><Relationship Id="rId1336" Type="http://schemas.openxmlformats.org/officeDocument/2006/relationships/hyperlink" Target="https://m.stock.naver.com/research/company/91919" TargetMode="External"/><Relationship Id="rId5957" Type="http://schemas.openxmlformats.org/officeDocument/2006/relationships/hyperlink" Target="https://m.stock.naver.com/research/company/87283" TargetMode="External"/><Relationship Id="rId42" Type="http://schemas.openxmlformats.org/officeDocument/2006/relationships/hyperlink" Target="https://m.stock.naver.com/research/company/93416" TargetMode="External"/><Relationship Id="rId4559" Type="http://schemas.openxmlformats.org/officeDocument/2006/relationships/hyperlink" Target="https://m.stock.naver.com/research/company/88681" TargetMode="External"/><Relationship Id="rId8430" Type="http://schemas.openxmlformats.org/officeDocument/2006/relationships/hyperlink" Target="https://m.stock.naver.com/research/company/84808" TargetMode="External"/><Relationship Id="rId10360" Type="http://schemas.openxmlformats.org/officeDocument/2006/relationships/hyperlink" Target="https://m.stock.naver.com/research/company/82861" TargetMode="External"/><Relationship Id="rId11411" Type="http://schemas.openxmlformats.org/officeDocument/2006/relationships/hyperlink" Target="https://m.stock.naver.com/research/company/81804" TargetMode="External"/><Relationship Id="rId7032" Type="http://schemas.openxmlformats.org/officeDocument/2006/relationships/hyperlink" Target="https://m.stock.naver.com/research/company/86207" TargetMode="External"/><Relationship Id="rId10013" Type="http://schemas.openxmlformats.org/officeDocument/2006/relationships/hyperlink" Target="https://m.stock.naver.com/research/company/83208" TargetMode="External"/><Relationship Id="rId13583" Type="http://schemas.openxmlformats.org/officeDocument/2006/relationships/hyperlink" Target="https://m.stock.naver.com/research/company/79621" TargetMode="External"/><Relationship Id="rId14981" Type="http://schemas.openxmlformats.org/officeDocument/2006/relationships/hyperlink" Target="https://m.stock.naver.com/research/company/94853" TargetMode="External"/><Relationship Id="rId2591" Type="http://schemas.openxmlformats.org/officeDocument/2006/relationships/hyperlink" Target="https://m.stock.naver.com/research/company/90663" TargetMode="External"/><Relationship Id="rId3642" Type="http://schemas.openxmlformats.org/officeDocument/2006/relationships/hyperlink" Target="https://m.stock.naver.com/research/company/89609" TargetMode="External"/><Relationship Id="rId12185" Type="http://schemas.openxmlformats.org/officeDocument/2006/relationships/hyperlink" Target="https://m.stock.naver.com/research/company/81026" TargetMode="External"/><Relationship Id="rId13236" Type="http://schemas.openxmlformats.org/officeDocument/2006/relationships/hyperlink" Target="https://m.stock.naver.com/research/company/79971" TargetMode="External"/><Relationship Id="rId14634" Type="http://schemas.openxmlformats.org/officeDocument/2006/relationships/hyperlink" Target="https://m.stock.naver.com/research/company/94543" TargetMode="External"/><Relationship Id="rId563" Type="http://schemas.openxmlformats.org/officeDocument/2006/relationships/hyperlink" Target="https://m.stock.naver.com/research/company/92894" TargetMode="External"/><Relationship Id="rId1193" Type="http://schemas.openxmlformats.org/officeDocument/2006/relationships/hyperlink" Target="https://m.stock.naver.com/research/company/92062" TargetMode="External"/><Relationship Id="rId2244" Type="http://schemas.openxmlformats.org/officeDocument/2006/relationships/hyperlink" Target="https://m.stock.naver.com/research/company/91011" TargetMode="External"/><Relationship Id="rId216" Type="http://schemas.openxmlformats.org/officeDocument/2006/relationships/hyperlink" Target="https://m.stock.naver.com/research/company/93242" TargetMode="External"/><Relationship Id="rId6865" Type="http://schemas.openxmlformats.org/officeDocument/2006/relationships/hyperlink" Target="https://m.stock.naver.com/research/company/86375" TargetMode="External"/><Relationship Id="rId7916" Type="http://schemas.openxmlformats.org/officeDocument/2006/relationships/hyperlink" Target="https://m.stock.naver.com/research/company/85322" TargetMode="External"/><Relationship Id="rId4069" Type="http://schemas.openxmlformats.org/officeDocument/2006/relationships/hyperlink" Target="https://m.stock.naver.com/research/company/89182" TargetMode="External"/><Relationship Id="rId5467" Type="http://schemas.openxmlformats.org/officeDocument/2006/relationships/hyperlink" Target="https://m.stock.naver.com/research/company/87773" TargetMode="External"/><Relationship Id="rId6518" Type="http://schemas.openxmlformats.org/officeDocument/2006/relationships/hyperlink" Target="https://m.stock.naver.com/research/company/86722" TargetMode="External"/><Relationship Id="rId14491" Type="http://schemas.openxmlformats.org/officeDocument/2006/relationships/hyperlink" Target="https://m.stock.naver.com/research/company/94419" TargetMode="External"/><Relationship Id="rId15542" Type="http://schemas.openxmlformats.org/officeDocument/2006/relationships/hyperlink" Target="https://m.stock.naver.com/research/company/95494" TargetMode="External"/><Relationship Id="rId4550" Type="http://schemas.openxmlformats.org/officeDocument/2006/relationships/hyperlink" Target="https://m.stock.naver.com/research/company/88690" TargetMode="External"/><Relationship Id="rId5601" Type="http://schemas.openxmlformats.org/officeDocument/2006/relationships/hyperlink" Target="https://m.stock.naver.com/research/company/87639" TargetMode="External"/><Relationship Id="rId13093" Type="http://schemas.openxmlformats.org/officeDocument/2006/relationships/hyperlink" Target="https://m.stock.naver.com/research/company/80114" TargetMode="External"/><Relationship Id="rId14144" Type="http://schemas.openxmlformats.org/officeDocument/2006/relationships/hyperlink" Target="https://m.stock.naver.com/research/company/93984" TargetMode="External"/><Relationship Id="rId3152" Type="http://schemas.openxmlformats.org/officeDocument/2006/relationships/hyperlink" Target="https://m.stock.naver.com/research/company/90099" TargetMode="External"/><Relationship Id="rId4203" Type="http://schemas.openxmlformats.org/officeDocument/2006/relationships/hyperlink" Target="https://m.stock.naver.com/research/company/89039" TargetMode="External"/><Relationship Id="rId7773" Type="http://schemas.openxmlformats.org/officeDocument/2006/relationships/hyperlink" Target="https://m.stock.naver.com/research/company/85466" TargetMode="External"/><Relationship Id="rId8824" Type="http://schemas.openxmlformats.org/officeDocument/2006/relationships/hyperlink" Target="https://m.stock.naver.com/research/company/84413" TargetMode="External"/><Relationship Id="rId6375" Type="http://schemas.openxmlformats.org/officeDocument/2006/relationships/hyperlink" Target="https://m.stock.naver.com/research/company/86865" TargetMode="External"/><Relationship Id="rId7426" Type="http://schemas.openxmlformats.org/officeDocument/2006/relationships/hyperlink" Target="https://m.stock.naver.com/research/company/85813" TargetMode="External"/><Relationship Id="rId10754" Type="http://schemas.openxmlformats.org/officeDocument/2006/relationships/hyperlink" Target="https://m.stock.naver.com/research/company/82466" TargetMode="External"/><Relationship Id="rId11805" Type="http://schemas.openxmlformats.org/officeDocument/2006/relationships/hyperlink" Target="https://m.stock.naver.com/research/company/81407" TargetMode="External"/><Relationship Id="rId6028" Type="http://schemas.openxmlformats.org/officeDocument/2006/relationships/hyperlink" Target="https://m.stock.naver.com/research/company/87212" TargetMode="External"/><Relationship Id="rId9598" Type="http://schemas.openxmlformats.org/officeDocument/2006/relationships/hyperlink" Target="https://m.stock.naver.com/research/company/83629" TargetMode="External"/><Relationship Id="rId10407" Type="http://schemas.openxmlformats.org/officeDocument/2006/relationships/hyperlink" Target="https://m.stock.naver.com/research/company/82814" TargetMode="External"/><Relationship Id="rId13977" Type="http://schemas.openxmlformats.org/officeDocument/2006/relationships/hyperlink" Target="https://m.stock.naver.com/research/company/93755" TargetMode="External"/><Relationship Id="rId2985" Type="http://schemas.openxmlformats.org/officeDocument/2006/relationships/hyperlink" Target="https://m.stock.naver.com/research/company/90268" TargetMode="External"/><Relationship Id="rId12579" Type="http://schemas.openxmlformats.org/officeDocument/2006/relationships/hyperlink" Target="https://m.stock.naver.com/research/company/80629" TargetMode="External"/><Relationship Id="rId957" Type="http://schemas.openxmlformats.org/officeDocument/2006/relationships/hyperlink" Target="https://m.stock.naver.com/research/company/92499" TargetMode="External"/><Relationship Id="rId1587" Type="http://schemas.openxmlformats.org/officeDocument/2006/relationships/hyperlink" Target="https://m.stock.naver.com/research/company/91668" TargetMode="External"/><Relationship Id="rId2638" Type="http://schemas.openxmlformats.org/officeDocument/2006/relationships/hyperlink" Target="https://m.stock.naver.com/research/company/90616" TargetMode="External"/><Relationship Id="rId15052" Type="http://schemas.openxmlformats.org/officeDocument/2006/relationships/hyperlink" Target="https://m.stock.naver.com/research/company/95042" TargetMode="External"/><Relationship Id="rId4060" Type="http://schemas.openxmlformats.org/officeDocument/2006/relationships/hyperlink" Target="https://m.stock.naver.com/research/company/89191" TargetMode="External"/><Relationship Id="rId5111" Type="http://schemas.openxmlformats.org/officeDocument/2006/relationships/hyperlink" Target="https://m.stock.naver.com/research/company/88129" TargetMode="External"/><Relationship Id="rId8681" Type="http://schemas.openxmlformats.org/officeDocument/2006/relationships/hyperlink" Target="https://m.stock.naver.com/research/company/84556" TargetMode="External"/><Relationship Id="rId9732" Type="http://schemas.openxmlformats.org/officeDocument/2006/relationships/hyperlink" Target="https://m.stock.naver.com/research/company/83491" TargetMode="External"/><Relationship Id="rId11662" Type="http://schemas.openxmlformats.org/officeDocument/2006/relationships/hyperlink" Target="https://m.stock.naver.com/research/company/81550" TargetMode="External"/><Relationship Id="rId1721" Type="http://schemas.openxmlformats.org/officeDocument/2006/relationships/hyperlink" Target="https://m.stock.naver.com/research/company/91534" TargetMode="External"/><Relationship Id="rId7283" Type="http://schemas.openxmlformats.org/officeDocument/2006/relationships/hyperlink" Target="https://m.stock.naver.com/research/company/85956" TargetMode="External"/><Relationship Id="rId8334" Type="http://schemas.openxmlformats.org/officeDocument/2006/relationships/hyperlink" Target="https://m.stock.naver.com/research/company/84904" TargetMode="External"/><Relationship Id="rId10264" Type="http://schemas.openxmlformats.org/officeDocument/2006/relationships/hyperlink" Target="https://m.stock.naver.com/research/company/82957" TargetMode="External"/><Relationship Id="rId11315" Type="http://schemas.openxmlformats.org/officeDocument/2006/relationships/hyperlink" Target="https://m.stock.naver.com/research/company/81904" TargetMode="External"/><Relationship Id="rId12713" Type="http://schemas.openxmlformats.org/officeDocument/2006/relationships/hyperlink" Target="https://m.stock.naver.com/research/company/80495" TargetMode="External"/><Relationship Id="rId14885" Type="http://schemas.openxmlformats.org/officeDocument/2006/relationships/hyperlink" Target="https://m.stock.naver.com/research/company/94739" TargetMode="External"/><Relationship Id="rId2495" Type="http://schemas.openxmlformats.org/officeDocument/2006/relationships/hyperlink" Target="https://m.stock.naver.com/research/company/90759" TargetMode="External"/><Relationship Id="rId3893" Type="http://schemas.openxmlformats.org/officeDocument/2006/relationships/hyperlink" Target="https://m.stock.naver.com/research/company/89358" TargetMode="External"/><Relationship Id="rId4944" Type="http://schemas.openxmlformats.org/officeDocument/2006/relationships/hyperlink" Target="https://m.stock.naver.com/research/company/88296" TargetMode="External"/><Relationship Id="rId12089" Type="http://schemas.openxmlformats.org/officeDocument/2006/relationships/hyperlink" Target="https://m.stock.naver.com/research/company/81122" TargetMode="External"/><Relationship Id="rId13487" Type="http://schemas.openxmlformats.org/officeDocument/2006/relationships/hyperlink" Target="https://m.stock.naver.com/research/company/79717" TargetMode="External"/><Relationship Id="rId14538" Type="http://schemas.openxmlformats.org/officeDocument/2006/relationships/hyperlink" Target="https://m.stock.naver.com/research/company/94372" TargetMode="External"/><Relationship Id="rId467" Type="http://schemas.openxmlformats.org/officeDocument/2006/relationships/hyperlink" Target="https://m.stock.naver.com/research/company/92990" TargetMode="External"/><Relationship Id="rId1097" Type="http://schemas.openxmlformats.org/officeDocument/2006/relationships/hyperlink" Target="https://m.stock.naver.com/research/company/92159" TargetMode="External"/><Relationship Id="rId2148" Type="http://schemas.openxmlformats.org/officeDocument/2006/relationships/hyperlink" Target="https://m.stock.naver.com/research/company/91107" TargetMode="External"/><Relationship Id="rId3546" Type="http://schemas.openxmlformats.org/officeDocument/2006/relationships/hyperlink" Target="https://m.stock.naver.com/research/company/89705" TargetMode="External"/><Relationship Id="rId6769" Type="http://schemas.openxmlformats.org/officeDocument/2006/relationships/hyperlink" Target="https://m.stock.naver.com/research/company/86471" TargetMode="External"/><Relationship Id="rId12570" Type="http://schemas.openxmlformats.org/officeDocument/2006/relationships/hyperlink" Target="https://m.stock.naver.com/research/company/80638" TargetMode="External"/><Relationship Id="rId13621" Type="http://schemas.openxmlformats.org/officeDocument/2006/relationships/hyperlink" Target="https://m.stock.naver.com/research/company/79583" TargetMode="External"/><Relationship Id="rId8191" Type="http://schemas.openxmlformats.org/officeDocument/2006/relationships/hyperlink" Target="https://m.stock.naver.com/research/company/85047" TargetMode="External"/><Relationship Id="rId9242" Type="http://schemas.openxmlformats.org/officeDocument/2006/relationships/hyperlink" Target="https://m.stock.naver.com/research/company/83986" TargetMode="External"/><Relationship Id="rId11172" Type="http://schemas.openxmlformats.org/officeDocument/2006/relationships/hyperlink" Target="https://m.stock.naver.com/research/company/82048" TargetMode="External"/><Relationship Id="rId12223" Type="http://schemas.openxmlformats.org/officeDocument/2006/relationships/hyperlink" Target="https://m.stock.naver.com/research/company/80987" TargetMode="External"/><Relationship Id="rId601" Type="http://schemas.openxmlformats.org/officeDocument/2006/relationships/hyperlink" Target="https://m.stock.naver.com/research/company/92856" TargetMode="External"/><Relationship Id="rId1231" Type="http://schemas.openxmlformats.org/officeDocument/2006/relationships/hyperlink" Target="https://m.stock.naver.com/research/company/92024" TargetMode="External"/><Relationship Id="rId5852" Type="http://schemas.openxmlformats.org/officeDocument/2006/relationships/hyperlink" Target="https://m.stock.naver.com/research/company/87388" TargetMode="External"/><Relationship Id="rId14395" Type="http://schemas.openxmlformats.org/officeDocument/2006/relationships/hyperlink" Target="https://m.stock.naver.com/research/company/94288" TargetMode="External"/><Relationship Id="rId15446" Type="http://schemas.openxmlformats.org/officeDocument/2006/relationships/hyperlink" Target="https://m.stock.naver.com/research/company/95341" TargetMode="External"/><Relationship Id="rId4454" Type="http://schemas.openxmlformats.org/officeDocument/2006/relationships/hyperlink" Target="https://m.stock.naver.com/research/company/88786" TargetMode="External"/><Relationship Id="rId5505" Type="http://schemas.openxmlformats.org/officeDocument/2006/relationships/hyperlink" Target="https://m.stock.naver.com/research/company/87735" TargetMode="External"/><Relationship Id="rId6903" Type="http://schemas.openxmlformats.org/officeDocument/2006/relationships/hyperlink" Target="https://m.stock.naver.com/research/company/86336" TargetMode="External"/><Relationship Id="rId14048" Type="http://schemas.openxmlformats.org/officeDocument/2006/relationships/hyperlink" Target="https://m.stock.naver.com/research/company/93875" TargetMode="External"/><Relationship Id="rId3056" Type="http://schemas.openxmlformats.org/officeDocument/2006/relationships/hyperlink" Target="https://m.stock.naver.com/research/company/90195" TargetMode="External"/><Relationship Id="rId4107" Type="http://schemas.openxmlformats.org/officeDocument/2006/relationships/hyperlink" Target="https://m.stock.naver.com/research/company/89144" TargetMode="External"/><Relationship Id="rId6279" Type="http://schemas.openxmlformats.org/officeDocument/2006/relationships/hyperlink" Target="https://m.stock.naver.com/research/company/86961" TargetMode="External"/><Relationship Id="rId7677" Type="http://schemas.openxmlformats.org/officeDocument/2006/relationships/hyperlink" Target="https://m.stock.naver.com/research/company/85562" TargetMode="External"/><Relationship Id="rId8728" Type="http://schemas.openxmlformats.org/officeDocument/2006/relationships/hyperlink" Target="https://m.stock.naver.com/research/company/84509" TargetMode="External"/><Relationship Id="rId10658" Type="http://schemas.openxmlformats.org/officeDocument/2006/relationships/hyperlink" Target="https://m.stock.naver.com/research/company/82562" TargetMode="External"/><Relationship Id="rId11709" Type="http://schemas.openxmlformats.org/officeDocument/2006/relationships/hyperlink" Target="https://m.stock.naver.com/research/company/81503" TargetMode="External"/><Relationship Id="rId12080" Type="http://schemas.openxmlformats.org/officeDocument/2006/relationships/hyperlink" Target="https://m.stock.naver.com/research/company/81131" TargetMode="External"/><Relationship Id="rId13131" Type="http://schemas.openxmlformats.org/officeDocument/2006/relationships/hyperlink" Target="https://m.stock.naver.com/research/company/80076" TargetMode="External"/><Relationship Id="rId2889" Type="http://schemas.openxmlformats.org/officeDocument/2006/relationships/hyperlink" Target="https://m.stock.naver.com/research/company/90364" TargetMode="External"/><Relationship Id="rId6760" Type="http://schemas.openxmlformats.org/officeDocument/2006/relationships/hyperlink" Target="https://m.stock.naver.com/research/company/86480" TargetMode="External"/><Relationship Id="rId7811" Type="http://schemas.openxmlformats.org/officeDocument/2006/relationships/hyperlink" Target="https://m.stock.naver.com/research/company/85427" TargetMode="External"/><Relationship Id="rId111" Type="http://schemas.openxmlformats.org/officeDocument/2006/relationships/hyperlink" Target="https://m.stock.naver.com/research/company/93347" TargetMode="External"/><Relationship Id="rId5362" Type="http://schemas.openxmlformats.org/officeDocument/2006/relationships/hyperlink" Target="https://m.stock.naver.com/research/company/87878" TargetMode="External"/><Relationship Id="rId6413" Type="http://schemas.openxmlformats.org/officeDocument/2006/relationships/hyperlink" Target="https://m.stock.naver.com/research/company/86827" TargetMode="External"/><Relationship Id="rId9983" Type="http://schemas.openxmlformats.org/officeDocument/2006/relationships/hyperlink" Target="https://m.stock.naver.com/research/company/83238" TargetMode="External"/><Relationship Id="rId5015" Type="http://schemas.openxmlformats.org/officeDocument/2006/relationships/hyperlink" Target="https://m.stock.naver.com/research/company/88225" TargetMode="External"/><Relationship Id="rId8585" Type="http://schemas.openxmlformats.org/officeDocument/2006/relationships/hyperlink" Target="https://m.stock.naver.com/research/company/84652" TargetMode="External"/><Relationship Id="rId9636" Type="http://schemas.openxmlformats.org/officeDocument/2006/relationships/hyperlink" Target="https://m.stock.naver.com/research/company/83589" TargetMode="External"/><Relationship Id="rId12964" Type="http://schemas.openxmlformats.org/officeDocument/2006/relationships/hyperlink" Target="https://m.stock.naver.com/research/company/80244" TargetMode="External"/><Relationship Id="rId1972" Type="http://schemas.openxmlformats.org/officeDocument/2006/relationships/hyperlink" Target="https://m.stock.naver.com/research/company/91283" TargetMode="External"/><Relationship Id="rId7187" Type="http://schemas.openxmlformats.org/officeDocument/2006/relationships/hyperlink" Target="https://m.stock.naver.com/research/company/86052" TargetMode="External"/><Relationship Id="rId8238" Type="http://schemas.openxmlformats.org/officeDocument/2006/relationships/hyperlink" Target="https://m.stock.naver.com/research/company/85000" TargetMode="External"/><Relationship Id="rId10168" Type="http://schemas.openxmlformats.org/officeDocument/2006/relationships/hyperlink" Target="https://m.stock.naver.com/research/company/83053" TargetMode="External"/><Relationship Id="rId11566" Type="http://schemas.openxmlformats.org/officeDocument/2006/relationships/hyperlink" Target="https://m.stock.naver.com/research/company/81647" TargetMode="External"/><Relationship Id="rId12617" Type="http://schemas.openxmlformats.org/officeDocument/2006/relationships/hyperlink" Target="https://m.stock.naver.com/research/company/80591" TargetMode="External"/><Relationship Id="rId1625" Type="http://schemas.openxmlformats.org/officeDocument/2006/relationships/hyperlink" Target="https://m.stock.naver.com/research/company/91630" TargetMode="External"/><Relationship Id="rId11219" Type="http://schemas.openxmlformats.org/officeDocument/2006/relationships/hyperlink" Target="https://m.stock.naver.com/research/company/82001" TargetMode="External"/><Relationship Id="rId14789" Type="http://schemas.openxmlformats.org/officeDocument/2006/relationships/hyperlink" Target="https://m.stock.naver.com/research/company/94611" TargetMode="External"/><Relationship Id="rId3797" Type="http://schemas.openxmlformats.org/officeDocument/2006/relationships/hyperlink" Target="https://m.stock.naver.com/research/company/89454" TargetMode="External"/><Relationship Id="rId4848" Type="http://schemas.openxmlformats.org/officeDocument/2006/relationships/hyperlink" Target="https://m.stock.naver.com/research/company/88392" TargetMode="External"/><Relationship Id="rId11700" Type="http://schemas.openxmlformats.org/officeDocument/2006/relationships/hyperlink" Target="https://m.stock.naver.com/research/company/81512" TargetMode="External"/><Relationship Id="rId2399" Type="http://schemas.openxmlformats.org/officeDocument/2006/relationships/hyperlink" Target="https://m.stock.naver.com/research/company/90855" TargetMode="External"/><Relationship Id="rId6270" Type="http://schemas.openxmlformats.org/officeDocument/2006/relationships/hyperlink" Target="https://m.stock.naver.com/research/company/86970" TargetMode="External"/><Relationship Id="rId7321" Type="http://schemas.openxmlformats.org/officeDocument/2006/relationships/hyperlink" Target="https://m.stock.naver.com/research/company/85918" TargetMode="External"/><Relationship Id="rId10302" Type="http://schemas.openxmlformats.org/officeDocument/2006/relationships/hyperlink" Target="https://m.stock.naver.com/research/company/82919" TargetMode="External"/><Relationship Id="rId13872" Type="http://schemas.openxmlformats.org/officeDocument/2006/relationships/hyperlink" Target="https://m.stock.naver.com/research/company/93655" TargetMode="External"/><Relationship Id="rId2880" Type="http://schemas.openxmlformats.org/officeDocument/2006/relationships/hyperlink" Target="https://m.stock.naver.com/research/company/90373" TargetMode="External"/><Relationship Id="rId3931" Type="http://schemas.openxmlformats.org/officeDocument/2006/relationships/hyperlink" Target="https://m.stock.naver.com/research/company/89320" TargetMode="External"/><Relationship Id="rId9493" Type="http://schemas.openxmlformats.org/officeDocument/2006/relationships/hyperlink" Target="https://m.stock.naver.com/research/company/83734" TargetMode="External"/><Relationship Id="rId12474" Type="http://schemas.openxmlformats.org/officeDocument/2006/relationships/hyperlink" Target="https://m.stock.naver.com/research/company/80734" TargetMode="External"/><Relationship Id="rId13525" Type="http://schemas.openxmlformats.org/officeDocument/2006/relationships/hyperlink" Target="https://m.stock.naver.com/research/company/79679" TargetMode="External"/><Relationship Id="rId14923" Type="http://schemas.openxmlformats.org/officeDocument/2006/relationships/hyperlink" Target="https://m.stock.naver.com/research/company/94911" TargetMode="External"/><Relationship Id="rId852" Type="http://schemas.openxmlformats.org/officeDocument/2006/relationships/hyperlink" Target="https://m.stock.naver.com/research/company/92604" TargetMode="External"/><Relationship Id="rId1482" Type="http://schemas.openxmlformats.org/officeDocument/2006/relationships/hyperlink" Target="https://m.stock.naver.com/research/company/91773" TargetMode="External"/><Relationship Id="rId2533" Type="http://schemas.openxmlformats.org/officeDocument/2006/relationships/hyperlink" Target="https://m.stock.naver.com/research/company/90721" TargetMode="External"/><Relationship Id="rId8095" Type="http://schemas.openxmlformats.org/officeDocument/2006/relationships/hyperlink" Target="https://m.stock.naver.com/research/company/85143" TargetMode="External"/><Relationship Id="rId9146" Type="http://schemas.openxmlformats.org/officeDocument/2006/relationships/hyperlink" Target="https://m.stock.naver.com/research/company/84084" TargetMode="External"/><Relationship Id="rId11076" Type="http://schemas.openxmlformats.org/officeDocument/2006/relationships/hyperlink" Target="https://m.stock.naver.com/research/company/82144" TargetMode="External"/><Relationship Id="rId12127" Type="http://schemas.openxmlformats.org/officeDocument/2006/relationships/hyperlink" Target="https://m.stock.naver.com/research/company/81084" TargetMode="External"/><Relationship Id="rId505" Type="http://schemas.openxmlformats.org/officeDocument/2006/relationships/hyperlink" Target="https://m.stock.naver.com/research/company/92952" TargetMode="External"/><Relationship Id="rId1135" Type="http://schemas.openxmlformats.org/officeDocument/2006/relationships/hyperlink" Target="https://m.stock.naver.com/research/company/92120" TargetMode="External"/><Relationship Id="rId14299" Type="http://schemas.openxmlformats.org/officeDocument/2006/relationships/hyperlink" Target="https://m.stock.naver.com/research/company/94165" TargetMode="External"/><Relationship Id="rId15697" Type="http://schemas.openxmlformats.org/officeDocument/2006/relationships/hyperlink" Target="https://m.stock.naver.com/research/company/95717" TargetMode="External"/><Relationship Id="rId4358" Type="http://schemas.openxmlformats.org/officeDocument/2006/relationships/hyperlink" Target="https://m.stock.naver.com/research/company/88883" TargetMode="External"/><Relationship Id="rId5409" Type="http://schemas.openxmlformats.org/officeDocument/2006/relationships/hyperlink" Target="https://m.stock.naver.com/research/company/87831" TargetMode="External"/><Relationship Id="rId5756" Type="http://schemas.openxmlformats.org/officeDocument/2006/relationships/hyperlink" Target="https://m.stock.naver.com/research/company/87484" TargetMode="External"/><Relationship Id="rId6807" Type="http://schemas.openxmlformats.org/officeDocument/2006/relationships/hyperlink" Target="https://m.stock.naver.com/research/company/86433" TargetMode="External"/><Relationship Id="rId8979" Type="http://schemas.openxmlformats.org/officeDocument/2006/relationships/hyperlink" Target="https://m.stock.naver.com/research/company/84253" TargetMode="External"/><Relationship Id="rId11210" Type="http://schemas.openxmlformats.org/officeDocument/2006/relationships/hyperlink" Target="https://m.stock.naver.com/research/company/82010" TargetMode="External"/><Relationship Id="rId14780" Type="http://schemas.openxmlformats.org/officeDocument/2006/relationships/hyperlink" Target="https://m.stock.naver.com/research/company/94620" TargetMode="External"/><Relationship Id="rId13382" Type="http://schemas.openxmlformats.org/officeDocument/2006/relationships/hyperlink" Target="https://m.stock.naver.com/research/company/79823" TargetMode="External"/><Relationship Id="rId14433" Type="http://schemas.openxmlformats.org/officeDocument/2006/relationships/hyperlink" Target="https://m.stock.naver.com/research/company/94477" TargetMode="External"/><Relationship Id="rId2390" Type="http://schemas.openxmlformats.org/officeDocument/2006/relationships/hyperlink" Target="https://m.stock.naver.com/research/company/90864" TargetMode="External"/><Relationship Id="rId3441" Type="http://schemas.openxmlformats.org/officeDocument/2006/relationships/hyperlink" Target="https://m.stock.naver.com/research/company/89810" TargetMode="External"/><Relationship Id="rId13035" Type="http://schemas.openxmlformats.org/officeDocument/2006/relationships/hyperlink" Target="https://m.stock.naver.com/research/company/80172" TargetMode="External"/><Relationship Id="rId362" Type="http://schemas.openxmlformats.org/officeDocument/2006/relationships/hyperlink" Target="https://m.stock.naver.com/research/company/93096" TargetMode="External"/><Relationship Id="rId2043" Type="http://schemas.openxmlformats.org/officeDocument/2006/relationships/hyperlink" Target="https://m.stock.naver.com/research/company/91212" TargetMode="External"/><Relationship Id="rId6664" Type="http://schemas.openxmlformats.org/officeDocument/2006/relationships/hyperlink" Target="https://m.stock.naver.com/research/company/86576" TargetMode="External"/><Relationship Id="rId7715" Type="http://schemas.openxmlformats.org/officeDocument/2006/relationships/hyperlink" Target="https://m.stock.naver.com/research/company/85524" TargetMode="External"/><Relationship Id="rId5266" Type="http://schemas.openxmlformats.org/officeDocument/2006/relationships/hyperlink" Target="https://m.stock.naver.com/research/company/87974" TargetMode="External"/><Relationship Id="rId6317" Type="http://schemas.openxmlformats.org/officeDocument/2006/relationships/hyperlink" Target="https://m.stock.naver.com/research/company/86923" TargetMode="External"/><Relationship Id="rId9887" Type="http://schemas.openxmlformats.org/officeDocument/2006/relationships/hyperlink" Target="https://m.stock.naver.com/research/company/83335" TargetMode="External"/><Relationship Id="rId8489" Type="http://schemas.openxmlformats.org/officeDocument/2006/relationships/hyperlink" Target="https://m.stock.naver.com/research/company/84748" TargetMode="External"/><Relationship Id="rId12868" Type="http://schemas.openxmlformats.org/officeDocument/2006/relationships/hyperlink" Target="https://m.stock.naver.com/research/company/80340" TargetMode="External"/><Relationship Id="rId13919" Type="http://schemas.openxmlformats.org/officeDocument/2006/relationships/hyperlink" Target="https://m.stock.naver.com/research/company/93718" TargetMode="External"/><Relationship Id="rId1876" Type="http://schemas.openxmlformats.org/officeDocument/2006/relationships/hyperlink" Target="https://m.stock.naver.com/research/company/91379" TargetMode="External"/><Relationship Id="rId2927" Type="http://schemas.openxmlformats.org/officeDocument/2006/relationships/hyperlink" Target="https://m.stock.naver.com/research/company/90326" TargetMode="External"/><Relationship Id="rId14290" Type="http://schemas.openxmlformats.org/officeDocument/2006/relationships/hyperlink" Target="https://m.stock.naver.com/research/company/94174" TargetMode="External"/><Relationship Id="rId15341" Type="http://schemas.openxmlformats.org/officeDocument/2006/relationships/hyperlink" Target="https://m.stock.naver.com/research/company/95247" TargetMode="External"/><Relationship Id="rId1529" Type="http://schemas.openxmlformats.org/officeDocument/2006/relationships/hyperlink" Target="https://m.stock.naver.com/research/company/91726" TargetMode="External"/><Relationship Id="rId5400" Type="http://schemas.openxmlformats.org/officeDocument/2006/relationships/hyperlink" Target="https://m.stock.naver.com/research/company/87840" TargetMode="External"/><Relationship Id="rId8970" Type="http://schemas.openxmlformats.org/officeDocument/2006/relationships/hyperlink" Target="https://m.stock.naver.com/research/company/84262" TargetMode="External"/><Relationship Id="rId11951" Type="http://schemas.openxmlformats.org/officeDocument/2006/relationships/hyperlink" Target="https://m.stock.naver.com/research/company/81260" TargetMode="External"/><Relationship Id="rId4002" Type="http://schemas.openxmlformats.org/officeDocument/2006/relationships/hyperlink" Target="https://m.stock.naver.com/research/company/89249" TargetMode="External"/><Relationship Id="rId7572" Type="http://schemas.openxmlformats.org/officeDocument/2006/relationships/hyperlink" Target="https://m.stock.naver.com/research/company/85667" TargetMode="External"/><Relationship Id="rId8623" Type="http://schemas.openxmlformats.org/officeDocument/2006/relationships/hyperlink" Target="https://m.stock.naver.com/research/company/84614" TargetMode="External"/><Relationship Id="rId10553" Type="http://schemas.openxmlformats.org/officeDocument/2006/relationships/hyperlink" Target="https://m.stock.naver.com/research/company/82667" TargetMode="External"/><Relationship Id="rId11604" Type="http://schemas.openxmlformats.org/officeDocument/2006/relationships/hyperlink" Target="https://m.stock.naver.com/research/company/81608" TargetMode="External"/><Relationship Id="rId6174" Type="http://schemas.openxmlformats.org/officeDocument/2006/relationships/hyperlink" Target="https://m.stock.naver.com/research/company/87066" TargetMode="External"/><Relationship Id="rId7225" Type="http://schemas.openxmlformats.org/officeDocument/2006/relationships/hyperlink" Target="https://m.stock.naver.com/research/company/86014" TargetMode="External"/><Relationship Id="rId10206" Type="http://schemas.openxmlformats.org/officeDocument/2006/relationships/hyperlink" Target="https://m.stock.naver.com/research/company/83015" TargetMode="External"/><Relationship Id="rId2784" Type="http://schemas.openxmlformats.org/officeDocument/2006/relationships/hyperlink" Target="https://m.stock.naver.com/research/company/90470" TargetMode="External"/><Relationship Id="rId9397" Type="http://schemas.openxmlformats.org/officeDocument/2006/relationships/hyperlink" Target="https://m.stock.naver.com/research/company/83830" TargetMode="External"/><Relationship Id="rId12378" Type="http://schemas.openxmlformats.org/officeDocument/2006/relationships/hyperlink" Target="https://m.stock.naver.com/research/company/80831" TargetMode="External"/><Relationship Id="rId13776" Type="http://schemas.openxmlformats.org/officeDocument/2006/relationships/hyperlink" Target="https://m.stock.naver.com/research/company/93612" TargetMode="External"/><Relationship Id="rId14827" Type="http://schemas.openxmlformats.org/officeDocument/2006/relationships/hyperlink" Target="https://m.stock.naver.com/research/company/94797" TargetMode="External"/><Relationship Id="rId756" Type="http://schemas.openxmlformats.org/officeDocument/2006/relationships/hyperlink" Target="https://m.stock.naver.com/research/company/92700" TargetMode="External"/><Relationship Id="rId1386" Type="http://schemas.openxmlformats.org/officeDocument/2006/relationships/hyperlink" Target="https://m.stock.naver.com/research/company/91869" TargetMode="External"/><Relationship Id="rId2437" Type="http://schemas.openxmlformats.org/officeDocument/2006/relationships/hyperlink" Target="https://m.stock.naver.com/research/company/90817" TargetMode="External"/><Relationship Id="rId3835" Type="http://schemas.openxmlformats.org/officeDocument/2006/relationships/hyperlink" Target="https://m.stock.naver.com/research/company/89416" TargetMode="External"/><Relationship Id="rId13429" Type="http://schemas.openxmlformats.org/officeDocument/2006/relationships/hyperlink" Target="https://m.stock.naver.com/research/company/79776" TargetMode="External"/><Relationship Id="rId409" Type="http://schemas.openxmlformats.org/officeDocument/2006/relationships/hyperlink" Target="https://m.stock.naver.com/research/company/93049" TargetMode="External"/><Relationship Id="rId1039" Type="http://schemas.openxmlformats.org/officeDocument/2006/relationships/hyperlink" Target="https://m.stock.naver.com/research/company/92312" TargetMode="External"/><Relationship Id="rId13910" Type="http://schemas.openxmlformats.org/officeDocument/2006/relationships/hyperlink" Target="https://m.stock.naver.com/research/company/93692" TargetMode="External"/><Relationship Id="rId92" Type="http://schemas.openxmlformats.org/officeDocument/2006/relationships/hyperlink" Target="https://m.stock.naver.com/research/company/93366" TargetMode="External"/><Relationship Id="rId7082" Type="http://schemas.openxmlformats.org/officeDocument/2006/relationships/hyperlink" Target="https://m.stock.naver.com/research/company/86157" TargetMode="External"/><Relationship Id="rId8480" Type="http://schemas.openxmlformats.org/officeDocument/2006/relationships/hyperlink" Target="https://m.stock.naver.com/research/company/84757" TargetMode="External"/><Relationship Id="rId9531" Type="http://schemas.openxmlformats.org/officeDocument/2006/relationships/hyperlink" Target="https://m.stock.naver.com/research/company/83696" TargetMode="External"/><Relationship Id="rId11461" Type="http://schemas.openxmlformats.org/officeDocument/2006/relationships/hyperlink" Target="https://m.stock.naver.com/research/company/81754" TargetMode="External"/><Relationship Id="rId12512" Type="http://schemas.openxmlformats.org/officeDocument/2006/relationships/hyperlink" Target="https://m.stock.naver.com/research/company/80696" TargetMode="External"/><Relationship Id="rId1520" Type="http://schemas.openxmlformats.org/officeDocument/2006/relationships/hyperlink" Target="https://m.stock.naver.com/research/company/91735" TargetMode="External"/><Relationship Id="rId8133" Type="http://schemas.openxmlformats.org/officeDocument/2006/relationships/hyperlink" Target="https://m.stock.naver.com/research/company/85105" TargetMode="External"/><Relationship Id="rId10063" Type="http://schemas.openxmlformats.org/officeDocument/2006/relationships/hyperlink" Target="https://m.stock.naver.com/research/company/83158" TargetMode="External"/><Relationship Id="rId11114" Type="http://schemas.openxmlformats.org/officeDocument/2006/relationships/hyperlink" Target="https://m.stock.naver.com/research/company/82106" TargetMode="External"/><Relationship Id="rId14684" Type="http://schemas.openxmlformats.org/officeDocument/2006/relationships/hyperlink" Target="https://m.stock.naver.com/research/company/94716" TargetMode="External"/><Relationship Id="rId15735" Type="http://schemas.openxmlformats.org/officeDocument/2006/relationships/hyperlink" Target="https://m.stock.naver.com/research/company/95679" TargetMode="External"/><Relationship Id="rId3692" Type="http://schemas.openxmlformats.org/officeDocument/2006/relationships/hyperlink" Target="https://m.stock.naver.com/research/company/89559" TargetMode="External"/><Relationship Id="rId4743" Type="http://schemas.openxmlformats.org/officeDocument/2006/relationships/hyperlink" Target="https://m.stock.naver.com/research/company/88497" TargetMode="External"/><Relationship Id="rId13286" Type="http://schemas.openxmlformats.org/officeDocument/2006/relationships/hyperlink" Target="https://m.stock.naver.com/research/company/79919" TargetMode="External"/><Relationship Id="rId14337" Type="http://schemas.openxmlformats.org/officeDocument/2006/relationships/hyperlink" Target="https://m.stock.naver.com/research/company/94214" TargetMode="External"/><Relationship Id="rId2294" Type="http://schemas.openxmlformats.org/officeDocument/2006/relationships/hyperlink" Target="https://m.stock.naver.com/research/company/90961" TargetMode="External"/><Relationship Id="rId3345" Type="http://schemas.openxmlformats.org/officeDocument/2006/relationships/hyperlink" Target="https://m.stock.naver.com/research/company/89905" TargetMode="External"/><Relationship Id="rId266" Type="http://schemas.openxmlformats.org/officeDocument/2006/relationships/hyperlink" Target="https://m.stock.naver.com/research/company/93192" TargetMode="External"/><Relationship Id="rId6568" Type="http://schemas.openxmlformats.org/officeDocument/2006/relationships/hyperlink" Target="https://m.stock.naver.com/research/company/86672" TargetMode="External"/><Relationship Id="rId7619" Type="http://schemas.openxmlformats.org/officeDocument/2006/relationships/hyperlink" Target="https://m.stock.naver.com/research/company/85620" TargetMode="External"/><Relationship Id="rId7966" Type="http://schemas.openxmlformats.org/officeDocument/2006/relationships/hyperlink" Target="https://m.stock.naver.com/research/company/85272" TargetMode="External"/><Relationship Id="rId10947" Type="http://schemas.openxmlformats.org/officeDocument/2006/relationships/hyperlink" Target="https://m.stock.naver.com/research/company/82273" TargetMode="External"/><Relationship Id="rId9041" Type="http://schemas.openxmlformats.org/officeDocument/2006/relationships/hyperlink" Target="https://m.stock.naver.com/research/company/84190" TargetMode="External"/><Relationship Id="rId13420" Type="http://schemas.openxmlformats.org/officeDocument/2006/relationships/hyperlink" Target="https://m.stock.naver.com/research/company/79785" TargetMode="External"/><Relationship Id="rId1030" Type="http://schemas.openxmlformats.org/officeDocument/2006/relationships/hyperlink" Target="https://m.stock.naver.com/research/company/92321" TargetMode="External"/><Relationship Id="rId12022" Type="http://schemas.openxmlformats.org/officeDocument/2006/relationships/hyperlink" Target="https://m.stock.naver.com/research/company/81189" TargetMode="External"/><Relationship Id="rId15592" Type="http://schemas.openxmlformats.org/officeDocument/2006/relationships/hyperlink" Target="https://m.stock.naver.com/research/company/95444" TargetMode="External"/><Relationship Id="rId400" Type="http://schemas.openxmlformats.org/officeDocument/2006/relationships/hyperlink" Target="https://m.stock.naver.com/research/company/93058" TargetMode="External"/><Relationship Id="rId5651" Type="http://schemas.openxmlformats.org/officeDocument/2006/relationships/hyperlink" Target="https://m.stock.naver.com/research/company/87589" TargetMode="External"/><Relationship Id="rId6702" Type="http://schemas.openxmlformats.org/officeDocument/2006/relationships/hyperlink" Target="https://m.stock.naver.com/research/company/86538" TargetMode="External"/><Relationship Id="rId14194" Type="http://schemas.openxmlformats.org/officeDocument/2006/relationships/hyperlink" Target="https://m.stock.naver.com/research/company/94064" TargetMode="External"/><Relationship Id="rId15245" Type="http://schemas.openxmlformats.org/officeDocument/2006/relationships/hyperlink" Target="https://m.stock.naver.com/research/company/95115" TargetMode="External"/><Relationship Id="rId4253" Type="http://schemas.openxmlformats.org/officeDocument/2006/relationships/hyperlink" Target="https://m.stock.naver.com/research/company/88989" TargetMode="External"/><Relationship Id="rId5304" Type="http://schemas.openxmlformats.org/officeDocument/2006/relationships/hyperlink" Target="https://m.stock.naver.com/research/company/87936" TargetMode="External"/><Relationship Id="rId8874" Type="http://schemas.openxmlformats.org/officeDocument/2006/relationships/hyperlink" Target="https://m.stock.naver.com/research/company/84363" TargetMode="External"/><Relationship Id="rId9925" Type="http://schemas.openxmlformats.org/officeDocument/2006/relationships/hyperlink" Target="https://m.stock.naver.com/research/company/83297" TargetMode="External"/><Relationship Id="rId7476" Type="http://schemas.openxmlformats.org/officeDocument/2006/relationships/hyperlink" Target="https://m.stock.naver.com/research/company/85763" TargetMode="External"/><Relationship Id="rId8527" Type="http://schemas.openxmlformats.org/officeDocument/2006/relationships/hyperlink" Target="https://m.stock.naver.com/research/company/84710" TargetMode="External"/><Relationship Id="rId10457" Type="http://schemas.openxmlformats.org/officeDocument/2006/relationships/hyperlink" Target="https://m.stock.naver.com/research/company/82763" TargetMode="External"/><Relationship Id="rId11855" Type="http://schemas.openxmlformats.org/officeDocument/2006/relationships/hyperlink" Target="https://m.stock.naver.com/research/company/81357" TargetMode="External"/><Relationship Id="rId12906" Type="http://schemas.openxmlformats.org/officeDocument/2006/relationships/hyperlink" Target="https://m.stock.naver.com/research/company/80302" TargetMode="External"/><Relationship Id="rId1914" Type="http://schemas.openxmlformats.org/officeDocument/2006/relationships/hyperlink" Target="https://m.stock.naver.com/research/company/91341" TargetMode="External"/><Relationship Id="rId6078" Type="http://schemas.openxmlformats.org/officeDocument/2006/relationships/hyperlink" Target="https://m.stock.naver.com/research/company/87162" TargetMode="External"/><Relationship Id="rId7129" Type="http://schemas.openxmlformats.org/officeDocument/2006/relationships/hyperlink" Target="https://m.stock.naver.com/research/company/86110" TargetMode="External"/><Relationship Id="rId11508" Type="http://schemas.openxmlformats.org/officeDocument/2006/relationships/hyperlink" Target="https://m.stock.naver.com/research/company/81707" TargetMode="External"/><Relationship Id="rId2688" Type="http://schemas.openxmlformats.org/officeDocument/2006/relationships/hyperlink" Target="https://m.stock.naver.com/research/company/90566" TargetMode="External"/><Relationship Id="rId3739" Type="http://schemas.openxmlformats.org/officeDocument/2006/relationships/hyperlink" Target="https://m.stock.naver.com/research/company/89512" TargetMode="External"/><Relationship Id="rId5161" Type="http://schemas.openxmlformats.org/officeDocument/2006/relationships/hyperlink" Target="https://m.stock.naver.com/research/company/88079" TargetMode="External"/><Relationship Id="rId7610" Type="http://schemas.openxmlformats.org/officeDocument/2006/relationships/hyperlink" Target="https://m.stock.naver.com/research/company/85629" TargetMode="External"/><Relationship Id="rId6212" Type="http://schemas.openxmlformats.org/officeDocument/2006/relationships/hyperlink" Target="https://m.stock.naver.com/research/company/87028" TargetMode="External"/><Relationship Id="rId9782" Type="http://schemas.openxmlformats.org/officeDocument/2006/relationships/hyperlink" Target="https://m.stock.naver.com/research/company/83440" TargetMode="External"/><Relationship Id="rId12763" Type="http://schemas.openxmlformats.org/officeDocument/2006/relationships/hyperlink" Target="https://m.stock.naver.com/research/company/80445" TargetMode="External"/><Relationship Id="rId13814" Type="http://schemas.openxmlformats.org/officeDocument/2006/relationships/hyperlink" Target="https://m.stock.naver.com/research/company/93564" TargetMode="External"/><Relationship Id="rId1771" Type="http://schemas.openxmlformats.org/officeDocument/2006/relationships/hyperlink" Target="https://m.stock.naver.com/research/company/91484" TargetMode="External"/><Relationship Id="rId2822" Type="http://schemas.openxmlformats.org/officeDocument/2006/relationships/hyperlink" Target="https://m.stock.naver.com/research/company/90431" TargetMode="External"/><Relationship Id="rId8384" Type="http://schemas.openxmlformats.org/officeDocument/2006/relationships/hyperlink" Target="https://m.stock.naver.com/research/company/84854" TargetMode="External"/><Relationship Id="rId9435" Type="http://schemas.openxmlformats.org/officeDocument/2006/relationships/hyperlink" Target="https://m.stock.naver.com/research/company/83792" TargetMode="External"/><Relationship Id="rId11365" Type="http://schemas.openxmlformats.org/officeDocument/2006/relationships/hyperlink" Target="https://m.stock.naver.com/research/company/81850" TargetMode="External"/><Relationship Id="rId12416" Type="http://schemas.openxmlformats.org/officeDocument/2006/relationships/hyperlink" Target="https://m.stock.naver.com/research/company/80793" TargetMode="External"/><Relationship Id="rId1424" Type="http://schemas.openxmlformats.org/officeDocument/2006/relationships/hyperlink" Target="https://m.stock.naver.com/research/company/91831" TargetMode="External"/><Relationship Id="rId4994" Type="http://schemas.openxmlformats.org/officeDocument/2006/relationships/hyperlink" Target="https://m.stock.naver.com/research/company/88246" TargetMode="External"/><Relationship Id="rId8037" Type="http://schemas.openxmlformats.org/officeDocument/2006/relationships/hyperlink" Target="https://m.stock.naver.com/research/company/85201" TargetMode="External"/><Relationship Id="rId11018" Type="http://schemas.openxmlformats.org/officeDocument/2006/relationships/hyperlink" Target="https://m.stock.naver.com/research/company/82202" TargetMode="External"/><Relationship Id="rId14588" Type="http://schemas.openxmlformats.org/officeDocument/2006/relationships/hyperlink" Target="https://m.stock.naver.com/research/company/94491" TargetMode="External"/><Relationship Id="rId3596" Type="http://schemas.openxmlformats.org/officeDocument/2006/relationships/hyperlink" Target="https://m.stock.naver.com/research/company/89655" TargetMode="External"/><Relationship Id="rId4647" Type="http://schemas.openxmlformats.org/officeDocument/2006/relationships/hyperlink" Target="https://m.stock.naver.com/research/company/88593" TargetMode="External"/><Relationship Id="rId15639" Type="http://schemas.openxmlformats.org/officeDocument/2006/relationships/hyperlink" Target="https://m.stock.naver.com/research/company/95776" TargetMode="External"/><Relationship Id="rId2198" Type="http://schemas.openxmlformats.org/officeDocument/2006/relationships/hyperlink" Target="https://m.stock.naver.com/research/company/91057" TargetMode="External"/><Relationship Id="rId3249" Type="http://schemas.openxmlformats.org/officeDocument/2006/relationships/hyperlink" Target="https://m.stock.naver.com/research/company/90001" TargetMode="External"/><Relationship Id="rId7120" Type="http://schemas.openxmlformats.org/officeDocument/2006/relationships/hyperlink" Target="https://m.stock.naver.com/research/company/86119" TargetMode="External"/><Relationship Id="rId9292" Type="http://schemas.openxmlformats.org/officeDocument/2006/relationships/hyperlink" Target="https://m.stock.naver.com/research/company/83935" TargetMode="External"/><Relationship Id="rId10101" Type="http://schemas.openxmlformats.org/officeDocument/2006/relationships/hyperlink" Target="https://m.stock.naver.com/research/company/83120" TargetMode="External"/><Relationship Id="rId13671" Type="http://schemas.openxmlformats.org/officeDocument/2006/relationships/hyperlink" Target="https://m.stock.naver.com/research/company/79533" TargetMode="External"/><Relationship Id="rId14722" Type="http://schemas.openxmlformats.org/officeDocument/2006/relationships/hyperlink" Target="https://m.stock.naver.com/research/company/94678" TargetMode="External"/><Relationship Id="rId3730" Type="http://schemas.openxmlformats.org/officeDocument/2006/relationships/hyperlink" Target="https://m.stock.naver.com/research/company/89521" TargetMode="External"/><Relationship Id="rId12273" Type="http://schemas.openxmlformats.org/officeDocument/2006/relationships/hyperlink" Target="https://m.stock.naver.com/research/company/80936" TargetMode="External"/><Relationship Id="rId13324" Type="http://schemas.openxmlformats.org/officeDocument/2006/relationships/hyperlink" Target="https://m.stock.naver.com/research/company/79881" TargetMode="External"/><Relationship Id="rId651" Type="http://schemas.openxmlformats.org/officeDocument/2006/relationships/hyperlink" Target="https://m.stock.naver.com/research/company/92805" TargetMode="External"/><Relationship Id="rId1281" Type="http://schemas.openxmlformats.org/officeDocument/2006/relationships/hyperlink" Target="https://m.stock.naver.com/research/company/91974" TargetMode="External"/><Relationship Id="rId2332" Type="http://schemas.openxmlformats.org/officeDocument/2006/relationships/hyperlink" Target="https://m.stock.naver.com/research/company/90923" TargetMode="External"/><Relationship Id="rId6953" Type="http://schemas.openxmlformats.org/officeDocument/2006/relationships/hyperlink" Target="https://m.stock.naver.com/research/company/86286" TargetMode="External"/><Relationship Id="rId15496" Type="http://schemas.openxmlformats.org/officeDocument/2006/relationships/hyperlink" Target="https://m.stock.naver.com/research/company/95291" TargetMode="External"/><Relationship Id="rId304" Type="http://schemas.openxmlformats.org/officeDocument/2006/relationships/hyperlink" Target="https://m.stock.naver.com/research/company/93154" TargetMode="External"/><Relationship Id="rId5555" Type="http://schemas.openxmlformats.org/officeDocument/2006/relationships/hyperlink" Target="https://m.stock.naver.com/research/company/87685" TargetMode="External"/><Relationship Id="rId6606" Type="http://schemas.openxmlformats.org/officeDocument/2006/relationships/hyperlink" Target="https://m.stock.naver.com/research/company/86634" TargetMode="External"/><Relationship Id="rId14098" Type="http://schemas.openxmlformats.org/officeDocument/2006/relationships/hyperlink" Target="https://m.stock.naver.com/research/company/93904" TargetMode="External"/><Relationship Id="rId15149" Type="http://schemas.openxmlformats.org/officeDocument/2006/relationships/hyperlink" Target="https://m.stock.naver.com/research/company/94945" TargetMode="External"/><Relationship Id="rId4157" Type="http://schemas.openxmlformats.org/officeDocument/2006/relationships/hyperlink" Target="https://m.stock.naver.com/research/company/89092" TargetMode="External"/><Relationship Id="rId5208" Type="http://schemas.openxmlformats.org/officeDocument/2006/relationships/hyperlink" Target="https://m.stock.naver.com/research/company/88032" TargetMode="External"/><Relationship Id="rId8778" Type="http://schemas.openxmlformats.org/officeDocument/2006/relationships/hyperlink" Target="https://m.stock.naver.com/research/company/84459" TargetMode="External"/><Relationship Id="rId9829" Type="http://schemas.openxmlformats.org/officeDocument/2006/relationships/hyperlink" Target="https://m.stock.naver.com/research/company/83393" TargetMode="External"/><Relationship Id="rId11759" Type="http://schemas.openxmlformats.org/officeDocument/2006/relationships/hyperlink" Target="https://m.stock.naver.com/research/company/81453" TargetMode="External"/><Relationship Id="rId15630" Type="http://schemas.openxmlformats.org/officeDocument/2006/relationships/hyperlink" Target="https://m.stock.naver.com/research/company/95406" TargetMode="External"/><Relationship Id="rId1818" Type="http://schemas.openxmlformats.org/officeDocument/2006/relationships/hyperlink" Target="https://m.stock.naver.com/research/company/91437" TargetMode="External"/><Relationship Id="rId3240" Type="http://schemas.openxmlformats.org/officeDocument/2006/relationships/hyperlink" Target="https://m.stock.naver.com/research/company/90010" TargetMode="External"/><Relationship Id="rId13181" Type="http://schemas.openxmlformats.org/officeDocument/2006/relationships/hyperlink" Target="https://m.stock.naver.com/research/company/80026" TargetMode="External"/><Relationship Id="rId14232" Type="http://schemas.openxmlformats.org/officeDocument/2006/relationships/hyperlink" Target="https://m.stock.naver.com/research/company/94111" TargetMode="External"/><Relationship Id="rId161" Type="http://schemas.openxmlformats.org/officeDocument/2006/relationships/hyperlink" Target="https://m.stock.naver.com/research/company/93297" TargetMode="External"/><Relationship Id="rId7861" Type="http://schemas.openxmlformats.org/officeDocument/2006/relationships/hyperlink" Target="https://m.stock.naver.com/research/company/85377" TargetMode="External"/><Relationship Id="rId8912" Type="http://schemas.openxmlformats.org/officeDocument/2006/relationships/hyperlink" Target="https://m.stock.naver.com/research/company/84324" TargetMode="External"/><Relationship Id="rId10842" Type="http://schemas.openxmlformats.org/officeDocument/2006/relationships/hyperlink" Target="https://m.stock.naver.com/research/company/82378" TargetMode="External"/><Relationship Id="rId6463" Type="http://schemas.openxmlformats.org/officeDocument/2006/relationships/hyperlink" Target="https://m.stock.naver.com/research/company/86777" TargetMode="External"/><Relationship Id="rId7514" Type="http://schemas.openxmlformats.org/officeDocument/2006/relationships/hyperlink" Target="https://m.stock.naver.com/research/company/85725" TargetMode="External"/><Relationship Id="rId5065" Type="http://schemas.openxmlformats.org/officeDocument/2006/relationships/hyperlink" Target="https://m.stock.naver.com/research/company/88175" TargetMode="External"/><Relationship Id="rId6116" Type="http://schemas.openxmlformats.org/officeDocument/2006/relationships/hyperlink" Target="https://m.stock.naver.com/research/company/87124" TargetMode="External"/><Relationship Id="rId9686" Type="http://schemas.openxmlformats.org/officeDocument/2006/relationships/hyperlink" Target="https://m.stock.naver.com/research/company/83537" TargetMode="External"/><Relationship Id="rId12667" Type="http://schemas.openxmlformats.org/officeDocument/2006/relationships/hyperlink" Target="https://m.stock.naver.com/research/company/80541" TargetMode="External"/><Relationship Id="rId1675" Type="http://schemas.openxmlformats.org/officeDocument/2006/relationships/hyperlink" Target="https://m.stock.naver.com/research/company/91580" TargetMode="External"/><Relationship Id="rId2726" Type="http://schemas.openxmlformats.org/officeDocument/2006/relationships/hyperlink" Target="https://m.stock.naver.com/research/company/90528" TargetMode="External"/><Relationship Id="rId8288" Type="http://schemas.openxmlformats.org/officeDocument/2006/relationships/hyperlink" Target="https://m.stock.naver.com/research/company/84950" TargetMode="External"/><Relationship Id="rId9339" Type="http://schemas.openxmlformats.org/officeDocument/2006/relationships/hyperlink" Target="https://m.stock.naver.com/research/company/83888" TargetMode="External"/><Relationship Id="rId11269" Type="http://schemas.openxmlformats.org/officeDocument/2006/relationships/hyperlink" Target="https://m.stock.naver.com/research/company/81950" TargetMode="External"/><Relationship Id="rId13718" Type="http://schemas.openxmlformats.org/officeDocument/2006/relationships/hyperlink" Target="https://m.stock.naver.com/research/company/93521" TargetMode="External"/><Relationship Id="rId15140" Type="http://schemas.openxmlformats.org/officeDocument/2006/relationships/hyperlink" Target="https://m.stock.naver.com/research/company/94954" TargetMode="External"/><Relationship Id="rId1328" Type="http://schemas.openxmlformats.org/officeDocument/2006/relationships/hyperlink" Target="https://m.stock.naver.com/research/company/91927" TargetMode="External"/><Relationship Id="rId4898" Type="http://schemas.openxmlformats.org/officeDocument/2006/relationships/hyperlink" Target="https://m.stock.naver.com/research/company/88342" TargetMode="External"/><Relationship Id="rId5949" Type="http://schemas.openxmlformats.org/officeDocument/2006/relationships/hyperlink" Target="https://m.stock.naver.com/research/company/87291" TargetMode="External"/><Relationship Id="rId7371" Type="http://schemas.openxmlformats.org/officeDocument/2006/relationships/hyperlink" Target="https://m.stock.naver.com/research/company/85868" TargetMode="External"/><Relationship Id="rId9820" Type="http://schemas.openxmlformats.org/officeDocument/2006/relationships/hyperlink" Target="https://m.stock.naver.com/research/company/83402" TargetMode="External"/><Relationship Id="rId11750" Type="http://schemas.openxmlformats.org/officeDocument/2006/relationships/hyperlink" Target="https://m.stock.naver.com/research/company/81462" TargetMode="External"/><Relationship Id="rId12801" Type="http://schemas.openxmlformats.org/officeDocument/2006/relationships/hyperlink" Target="https://m.stock.naver.com/research/company/80407" TargetMode="External"/><Relationship Id="rId34" Type="http://schemas.openxmlformats.org/officeDocument/2006/relationships/hyperlink" Target="https://m.stock.naver.com/research/company/93424" TargetMode="External"/><Relationship Id="rId7024" Type="http://schemas.openxmlformats.org/officeDocument/2006/relationships/hyperlink" Target="https://m.stock.naver.com/research/company/86215" TargetMode="External"/><Relationship Id="rId8422" Type="http://schemas.openxmlformats.org/officeDocument/2006/relationships/hyperlink" Target="https://m.stock.naver.com/research/company/84816" TargetMode="External"/><Relationship Id="rId10352" Type="http://schemas.openxmlformats.org/officeDocument/2006/relationships/hyperlink" Target="https://m.stock.naver.com/research/company/82869" TargetMode="External"/><Relationship Id="rId11403" Type="http://schemas.openxmlformats.org/officeDocument/2006/relationships/hyperlink" Target="https://m.stock.naver.com/research/company/81812" TargetMode="External"/><Relationship Id="rId14973" Type="http://schemas.openxmlformats.org/officeDocument/2006/relationships/hyperlink" Target="https://m.stock.naver.com/research/company/94861" TargetMode="External"/><Relationship Id="rId3981" Type="http://schemas.openxmlformats.org/officeDocument/2006/relationships/hyperlink" Target="https://m.stock.naver.com/research/company/89270" TargetMode="External"/><Relationship Id="rId10005" Type="http://schemas.openxmlformats.org/officeDocument/2006/relationships/hyperlink" Target="https://m.stock.naver.com/research/company/83216" TargetMode="External"/><Relationship Id="rId13575" Type="http://schemas.openxmlformats.org/officeDocument/2006/relationships/hyperlink" Target="https://m.stock.naver.com/research/company/79629" TargetMode="External"/><Relationship Id="rId14626" Type="http://schemas.openxmlformats.org/officeDocument/2006/relationships/hyperlink" Target="https://m.stock.naver.com/research/company/94551" TargetMode="External"/><Relationship Id="rId2583" Type="http://schemas.openxmlformats.org/officeDocument/2006/relationships/hyperlink" Target="https://m.stock.naver.com/research/company/90671" TargetMode="External"/><Relationship Id="rId3634" Type="http://schemas.openxmlformats.org/officeDocument/2006/relationships/hyperlink" Target="https://m.stock.naver.com/research/company/89617" TargetMode="External"/><Relationship Id="rId9196" Type="http://schemas.openxmlformats.org/officeDocument/2006/relationships/hyperlink" Target="https://m.stock.naver.com/research/company/84034" TargetMode="External"/><Relationship Id="rId12177" Type="http://schemas.openxmlformats.org/officeDocument/2006/relationships/hyperlink" Target="https://m.stock.naver.com/research/company/81034" TargetMode="External"/><Relationship Id="rId13228" Type="http://schemas.openxmlformats.org/officeDocument/2006/relationships/hyperlink" Target="https://m.stock.naver.com/research/company/79979" TargetMode="External"/><Relationship Id="rId555" Type="http://schemas.openxmlformats.org/officeDocument/2006/relationships/hyperlink" Target="https://m.stock.naver.com/research/company/92902" TargetMode="External"/><Relationship Id="rId1185" Type="http://schemas.openxmlformats.org/officeDocument/2006/relationships/hyperlink" Target="https://m.stock.naver.com/research/company/92070" TargetMode="External"/><Relationship Id="rId2236" Type="http://schemas.openxmlformats.org/officeDocument/2006/relationships/hyperlink" Target="https://m.stock.naver.com/research/company/91019" TargetMode="External"/><Relationship Id="rId6857" Type="http://schemas.openxmlformats.org/officeDocument/2006/relationships/hyperlink" Target="https://m.stock.naver.com/research/company/86383" TargetMode="External"/><Relationship Id="rId7908" Type="http://schemas.openxmlformats.org/officeDocument/2006/relationships/hyperlink" Target="https://m.stock.naver.com/research/company/85330" TargetMode="External"/><Relationship Id="rId208" Type="http://schemas.openxmlformats.org/officeDocument/2006/relationships/hyperlink" Target="https://m.stock.naver.com/research/company/93250" TargetMode="External"/><Relationship Id="rId5459" Type="http://schemas.openxmlformats.org/officeDocument/2006/relationships/hyperlink" Target="https://m.stock.naver.com/research/company/87781" TargetMode="External"/><Relationship Id="rId9330" Type="http://schemas.openxmlformats.org/officeDocument/2006/relationships/hyperlink" Target="https://m.stock.naver.com/research/company/83897" TargetMode="External"/><Relationship Id="rId11260" Type="http://schemas.openxmlformats.org/officeDocument/2006/relationships/hyperlink" Target="https://m.stock.naver.com/research/company/81959" TargetMode="External"/><Relationship Id="rId12311" Type="http://schemas.openxmlformats.org/officeDocument/2006/relationships/hyperlink" Target="https://m.stock.naver.com/research/company/80898" TargetMode="External"/><Relationship Id="rId5940" Type="http://schemas.openxmlformats.org/officeDocument/2006/relationships/hyperlink" Target="https://m.stock.naver.com/research/company/87300" TargetMode="External"/><Relationship Id="rId14483" Type="http://schemas.openxmlformats.org/officeDocument/2006/relationships/hyperlink" Target="https://m.stock.naver.com/research/company/94427" TargetMode="External"/><Relationship Id="rId15534" Type="http://schemas.openxmlformats.org/officeDocument/2006/relationships/hyperlink" Target="https://m.stock.naver.com/research/company/95502" TargetMode="External"/><Relationship Id="rId2093" Type="http://schemas.openxmlformats.org/officeDocument/2006/relationships/hyperlink" Target="https://m.stock.naver.com/research/company/91162" TargetMode="External"/><Relationship Id="rId3491" Type="http://schemas.openxmlformats.org/officeDocument/2006/relationships/hyperlink" Target="https://m.stock.naver.com/research/company/89760" TargetMode="External"/><Relationship Id="rId4542" Type="http://schemas.openxmlformats.org/officeDocument/2006/relationships/hyperlink" Target="https://m.stock.naver.com/research/company/88698" TargetMode="External"/><Relationship Id="rId13085" Type="http://schemas.openxmlformats.org/officeDocument/2006/relationships/hyperlink" Target="https://m.stock.naver.com/research/company/80122" TargetMode="External"/><Relationship Id="rId14136" Type="http://schemas.openxmlformats.org/officeDocument/2006/relationships/hyperlink" Target="https://m.stock.naver.com/research/company/93992" TargetMode="External"/><Relationship Id="rId3144" Type="http://schemas.openxmlformats.org/officeDocument/2006/relationships/hyperlink" Target="https://m.stock.naver.com/research/company/90107" TargetMode="External"/><Relationship Id="rId7765" Type="http://schemas.openxmlformats.org/officeDocument/2006/relationships/hyperlink" Target="https://m.stock.naver.com/research/company/85474" TargetMode="External"/><Relationship Id="rId8816" Type="http://schemas.openxmlformats.org/officeDocument/2006/relationships/hyperlink" Target="https://m.stock.naver.com/research/company/84421" TargetMode="External"/><Relationship Id="rId10746" Type="http://schemas.openxmlformats.org/officeDocument/2006/relationships/hyperlink" Target="https://m.stock.naver.com/research/company/82474" TargetMode="External"/><Relationship Id="rId6367" Type="http://schemas.openxmlformats.org/officeDocument/2006/relationships/hyperlink" Target="https://m.stock.naver.com/research/company/86873" TargetMode="External"/><Relationship Id="rId7418" Type="http://schemas.openxmlformats.org/officeDocument/2006/relationships/hyperlink" Target="https://m.stock.naver.com/research/company/85821" TargetMode="External"/><Relationship Id="rId13969" Type="http://schemas.openxmlformats.org/officeDocument/2006/relationships/hyperlink" Target="https://m.stock.naver.com/research/company/93763" TargetMode="External"/><Relationship Id="rId1579" Type="http://schemas.openxmlformats.org/officeDocument/2006/relationships/hyperlink" Target="https://m.stock.naver.com/research/company/91676" TargetMode="External"/><Relationship Id="rId2977" Type="http://schemas.openxmlformats.org/officeDocument/2006/relationships/hyperlink" Target="https://m.stock.naver.com/research/company/90276" TargetMode="External"/><Relationship Id="rId5450" Type="http://schemas.openxmlformats.org/officeDocument/2006/relationships/hyperlink" Target="https://m.stock.naver.com/research/company/87790" TargetMode="External"/><Relationship Id="rId15044" Type="http://schemas.openxmlformats.org/officeDocument/2006/relationships/hyperlink" Target="https://m.stock.naver.com/research/company/95050" TargetMode="External"/><Relationship Id="rId15391" Type="http://schemas.openxmlformats.org/officeDocument/2006/relationships/hyperlink" Target="https://m.stock.naver.com/research/company/95396" TargetMode="External"/><Relationship Id="rId949" Type="http://schemas.openxmlformats.org/officeDocument/2006/relationships/hyperlink" Target="https://m.stock.naver.com/research/company/92507" TargetMode="External"/><Relationship Id="rId4052" Type="http://schemas.openxmlformats.org/officeDocument/2006/relationships/hyperlink" Target="https://m.stock.naver.com/research/company/89199" TargetMode="External"/><Relationship Id="rId5103" Type="http://schemas.openxmlformats.org/officeDocument/2006/relationships/hyperlink" Target="https://m.stock.naver.com/research/company/88137" TargetMode="External"/><Relationship Id="rId6501" Type="http://schemas.openxmlformats.org/officeDocument/2006/relationships/hyperlink" Target="https://m.stock.naver.com/research/company/86739" TargetMode="External"/><Relationship Id="rId8673" Type="http://schemas.openxmlformats.org/officeDocument/2006/relationships/hyperlink" Target="https://m.stock.naver.com/research/company/84564" TargetMode="External"/><Relationship Id="rId9724" Type="http://schemas.openxmlformats.org/officeDocument/2006/relationships/hyperlink" Target="https://m.stock.naver.com/research/company/83499" TargetMode="External"/><Relationship Id="rId11654" Type="http://schemas.openxmlformats.org/officeDocument/2006/relationships/hyperlink" Target="https://m.stock.naver.com/research/company/81558" TargetMode="External"/><Relationship Id="rId12705" Type="http://schemas.openxmlformats.org/officeDocument/2006/relationships/hyperlink" Target="https://m.stock.naver.com/research/company/80503" TargetMode="External"/><Relationship Id="rId1713" Type="http://schemas.openxmlformats.org/officeDocument/2006/relationships/hyperlink" Target="https://m.stock.naver.com/research/company/91542" TargetMode="External"/><Relationship Id="rId7275" Type="http://schemas.openxmlformats.org/officeDocument/2006/relationships/hyperlink" Target="https://m.stock.naver.com/research/company/85964" TargetMode="External"/><Relationship Id="rId8326" Type="http://schemas.openxmlformats.org/officeDocument/2006/relationships/hyperlink" Target="https://m.stock.naver.com/research/company/84912" TargetMode="External"/><Relationship Id="rId10256" Type="http://schemas.openxmlformats.org/officeDocument/2006/relationships/hyperlink" Target="https://m.stock.naver.com/research/company/82965" TargetMode="External"/><Relationship Id="rId11307" Type="http://schemas.openxmlformats.org/officeDocument/2006/relationships/hyperlink" Target="https://m.stock.naver.com/research/company/81912" TargetMode="External"/><Relationship Id="rId14877" Type="http://schemas.openxmlformats.org/officeDocument/2006/relationships/hyperlink" Target="https://m.stock.naver.com/research/company/94747" TargetMode="External"/><Relationship Id="rId3885" Type="http://schemas.openxmlformats.org/officeDocument/2006/relationships/hyperlink" Target="https://m.stock.naver.com/research/company/89366" TargetMode="External"/><Relationship Id="rId4936" Type="http://schemas.openxmlformats.org/officeDocument/2006/relationships/hyperlink" Target="https://m.stock.naver.com/research/company/88304" TargetMode="External"/><Relationship Id="rId13479" Type="http://schemas.openxmlformats.org/officeDocument/2006/relationships/hyperlink" Target="https://m.stock.naver.com/research/company/79725" TargetMode="External"/><Relationship Id="rId2487" Type="http://schemas.openxmlformats.org/officeDocument/2006/relationships/hyperlink" Target="https://m.stock.naver.com/research/company/90767" TargetMode="External"/><Relationship Id="rId3538" Type="http://schemas.openxmlformats.org/officeDocument/2006/relationships/hyperlink" Target="https://m.stock.naver.com/research/company/89713" TargetMode="External"/><Relationship Id="rId459" Type="http://schemas.openxmlformats.org/officeDocument/2006/relationships/hyperlink" Target="https://m.stock.naver.com/research/company/92998" TargetMode="External"/><Relationship Id="rId1089" Type="http://schemas.openxmlformats.org/officeDocument/2006/relationships/hyperlink" Target="https://m.stock.naver.com/research/company/92167" TargetMode="External"/><Relationship Id="rId6011" Type="http://schemas.openxmlformats.org/officeDocument/2006/relationships/hyperlink" Target="https://m.stock.naver.com/research/company/87229" TargetMode="External"/><Relationship Id="rId9581" Type="http://schemas.openxmlformats.org/officeDocument/2006/relationships/hyperlink" Target="https://m.stock.naver.com/research/company/83646" TargetMode="External"/><Relationship Id="rId13960" Type="http://schemas.openxmlformats.org/officeDocument/2006/relationships/hyperlink" Target="https://m.stock.naver.com/research/company/93772" TargetMode="External"/><Relationship Id="rId8183" Type="http://schemas.openxmlformats.org/officeDocument/2006/relationships/hyperlink" Target="https://m.stock.naver.com/research/company/85055" TargetMode="External"/><Relationship Id="rId9234" Type="http://schemas.openxmlformats.org/officeDocument/2006/relationships/hyperlink" Target="https://m.stock.naver.com/research/company/83995" TargetMode="External"/><Relationship Id="rId12562" Type="http://schemas.openxmlformats.org/officeDocument/2006/relationships/hyperlink" Target="https://m.stock.naver.com/research/company/80646" TargetMode="External"/><Relationship Id="rId13613" Type="http://schemas.openxmlformats.org/officeDocument/2006/relationships/hyperlink" Target="https://m.stock.naver.com/research/company/79591" TargetMode="External"/><Relationship Id="rId940" Type="http://schemas.openxmlformats.org/officeDocument/2006/relationships/hyperlink" Target="https://m.stock.naver.com/research/company/92516" TargetMode="External"/><Relationship Id="rId1570" Type="http://schemas.openxmlformats.org/officeDocument/2006/relationships/hyperlink" Target="https://m.stock.naver.com/research/company/91685" TargetMode="External"/><Relationship Id="rId2621" Type="http://schemas.openxmlformats.org/officeDocument/2006/relationships/hyperlink" Target="https://m.stock.naver.com/research/company/90633" TargetMode="External"/><Relationship Id="rId11164" Type="http://schemas.openxmlformats.org/officeDocument/2006/relationships/hyperlink" Target="https://m.stock.naver.com/research/company/82056" TargetMode="External"/><Relationship Id="rId12215" Type="http://schemas.openxmlformats.org/officeDocument/2006/relationships/hyperlink" Target="https://m.stock.naver.com/research/company/80995" TargetMode="External"/><Relationship Id="rId1223" Type="http://schemas.openxmlformats.org/officeDocument/2006/relationships/hyperlink" Target="https://m.stock.naver.com/research/company/92032" TargetMode="External"/><Relationship Id="rId4793" Type="http://schemas.openxmlformats.org/officeDocument/2006/relationships/hyperlink" Target="https://m.stock.naver.com/research/company/88447" TargetMode="External"/><Relationship Id="rId5844" Type="http://schemas.openxmlformats.org/officeDocument/2006/relationships/hyperlink" Target="https://m.stock.naver.com/research/company/87396" TargetMode="External"/><Relationship Id="rId14387" Type="http://schemas.openxmlformats.org/officeDocument/2006/relationships/hyperlink" Target="https://m.stock.naver.com/research/company/94225" TargetMode="External"/><Relationship Id="rId15438" Type="http://schemas.openxmlformats.org/officeDocument/2006/relationships/hyperlink" Target="https://m.stock.naver.com/research/company/95349" TargetMode="External"/><Relationship Id="rId3395" Type="http://schemas.openxmlformats.org/officeDocument/2006/relationships/hyperlink" Target="https://m.stock.naver.com/research/company/89856" TargetMode="External"/><Relationship Id="rId4446" Type="http://schemas.openxmlformats.org/officeDocument/2006/relationships/hyperlink" Target="https://m.stock.naver.com/research/company/88794" TargetMode="External"/><Relationship Id="rId3048" Type="http://schemas.openxmlformats.org/officeDocument/2006/relationships/hyperlink" Target="https://m.stock.naver.com/research/company/90203" TargetMode="External"/><Relationship Id="rId7669" Type="http://schemas.openxmlformats.org/officeDocument/2006/relationships/hyperlink" Target="https://m.stock.naver.com/research/company/85570" TargetMode="External"/><Relationship Id="rId10997" Type="http://schemas.openxmlformats.org/officeDocument/2006/relationships/hyperlink" Target="https://m.stock.naver.com/research/company/82223" TargetMode="External"/><Relationship Id="rId9091" Type="http://schemas.openxmlformats.org/officeDocument/2006/relationships/hyperlink" Target="https://m.stock.naver.com/research/company/84139" TargetMode="External"/><Relationship Id="rId12072" Type="http://schemas.openxmlformats.org/officeDocument/2006/relationships/hyperlink" Target="https://m.stock.naver.com/research/company/81139" TargetMode="External"/><Relationship Id="rId13123" Type="http://schemas.openxmlformats.org/officeDocument/2006/relationships/hyperlink" Target="https://m.stock.naver.com/research/company/80084" TargetMode="External"/><Relationship Id="rId13470" Type="http://schemas.openxmlformats.org/officeDocument/2006/relationships/hyperlink" Target="https://m.stock.naver.com/research/company/79734" TargetMode="External"/><Relationship Id="rId14521" Type="http://schemas.openxmlformats.org/officeDocument/2006/relationships/hyperlink" Target="https://m.stock.naver.com/research/company/94389" TargetMode="External"/><Relationship Id="rId450" Type="http://schemas.openxmlformats.org/officeDocument/2006/relationships/hyperlink" Target="https://m.stock.naver.com/research/company/93007" TargetMode="External"/><Relationship Id="rId1080" Type="http://schemas.openxmlformats.org/officeDocument/2006/relationships/hyperlink" Target="https://m.stock.naver.com/research/company/92176" TargetMode="External"/><Relationship Id="rId2131" Type="http://schemas.openxmlformats.org/officeDocument/2006/relationships/hyperlink" Target="https://m.stock.naver.com/research/company/91124" TargetMode="External"/><Relationship Id="rId103" Type="http://schemas.openxmlformats.org/officeDocument/2006/relationships/hyperlink" Target="https://m.stock.naver.com/research/company/93355" TargetMode="External"/><Relationship Id="rId6752" Type="http://schemas.openxmlformats.org/officeDocument/2006/relationships/hyperlink" Target="https://m.stock.naver.com/research/company/86488" TargetMode="External"/><Relationship Id="rId7803" Type="http://schemas.openxmlformats.org/officeDocument/2006/relationships/hyperlink" Target="https://m.stock.naver.com/research/company/85435" TargetMode="External"/><Relationship Id="rId15295" Type="http://schemas.openxmlformats.org/officeDocument/2006/relationships/hyperlink" Target="https://m.stock.naver.com/research/company/95065" TargetMode="External"/><Relationship Id="rId5354" Type="http://schemas.openxmlformats.org/officeDocument/2006/relationships/hyperlink" Target="https://m.stock.naver.com/research/company/87886" TargetMode="External"/><Relationship Id="rId6405" Type="http://schemas.openxmlformats.org/officeDocument/2006/relationships/hyperlink" Target="https://m.stock.naver.com/research/company/86835" TargetMode="External"/><Relationship Id="rId9975" Type="http://schemas.openxmlformats.org/officeDocument/2006/relationships/hyperlink" Target="https://m.stock.naver.com/research/company/83246" TargetMode="External"/><Relationship Id="rId12956" Type="http://schemas.openxmlformats.org/officeDocument/2006/relationships/hyperlink" Target="https://m.stock.naver.com/research/company/80252" TargetMode="External"/><Relationship Id="rId1964" Type="http://schemas.openxmlformats.org/officeDocument/2006/relationships/hyperlink" Target="https://m.stock.naver.com/research/company/91291" TargetMode="External"/><Relationship Id="rId5007" Type="http://schemas.openxmlformats.org/officeDocument/2006/relationships/hyperlink" Target="https://m.stock.naver.com/research/company/88233" TargetMode="External"/><Relationship Id="rId8577" Type="http://schemas.openxmlformats.org/officeDocument/2006/relationships/hyperlink" Target="https://m.stock.naver.com/research/company/84660" TargetMode="External"/><Relationship Id="rId9628" Type="http://schemas.openxmlformats.org/officeDocument/2006/relationships/hyperlink" Target="https://m.stock.naver.com/research/company/83597" TargetMode="External"/><Relationship Id="rId11558" Type="http://schemas.openxmlformats.org/officeDocument/2006/relationships/hyperlink" Target="https://m.stock.naver.com/research/company/81656" TargetMode="External"/><Relationship Id="rId12609" Type="http://schemas.openxmlformats.org/officeDocument/2006/relationships/hyperlink" Target="https://m.stock.naver.com/research/company/80599" TargetMode="External"/><Relationship Id="rId1617" Type="http://schemas.openxmlformats.org/officeDocument/2006/relationships/hyperlink" Target="https://m.stock.naver.com/research/company/91638" TargetMode="External"/><Relationship Id="rId7179" Type="http://schemas.openxmlformats.org/officeDocument/2006/relationships/hyperlink" Target="https://m.stock.naver.com/research/company/86060" TargetMode="External"/><Relationship Id="rId14031" Type="http://schemas.openxmlformats.org/officeDocument/2006/relationships/hyperlink" Target="https://m.stock.naver.com/research/company/93816" TargetMode="External"/><Relationship Id="rId3789" Type="http://schemas.openxmlformats.org/officeDocument/2006/relationships/hyperlink" Target="https://m.stock.naver.com/research/company/89462" TargetMode="External"/><Relationship Id="rId7660" Type="http://schemas.openxmlformats.org/officeDocument/2006/relationships/hyperlink" Target="https://m.stock.naver.com/research/company/85579" TargetMode="External"/><Relationship Id="rId6262" Type="http://schemas.openxmlformats.org/officeDocument/2006/relationships/hyperlink" Target="https://m.stock.naver.com/research/company/86978" TargetMode="External"/><Relationship Id="rId7313" Type="http://schemas.openxmlformats.org/officeDocument/2006/relationships/hyperlink" Target="https://m.stock.naver.com/research/company/85926" TargetMode="External"/><Relationship Id="rId8711" Type="http://schemas.openxmlformats.org/officeDocument/2006/relationships/hyperlink" Target="https://m.stock.naver.com/research/company/84526" TargetMode="External"/><Relationship Id="rId10641" Type="http://schemas.openxmlformats.org/officeDocument/2006/relationships/hyperlink" Target="https://m.stock.naver.com/research/company/82579" TargetMode="External"/><Relationship Id="rId13864" Type="http://schemas.openxmlformats.org/officeDocument/2006/relationships/hyperlink" Target="https://m.stock.naver.com/research/company/93663" TargetMode="External"/><Relationship Id="rId14915" Type="http://schemas.openxmlformats.org/officeDocument/2006/relationships/hyperlink" Target="https://m.stock.naver.com/research/company/94919" TargetMode="External"/><Relationship Id="rId2872" Type="http://schemas.openxmlformats.org/officeDocument/2006/relationships/hyperlink" Target="https://m.stock.naver.com/research/company/90381" TargetMode="External"/><Relationship Id="rId3923" Type="http://schemas.openxmlformats.org/officeDocument/2006/relationships/hyperlink" Target="https://m.stock.naver.com/research/company/89328" TargetMode="External"/><Relationship Id="rId8087" Type="http://schemas.openxmlformats.org/officeDocument/2006/relationships/hyperlink" Target="https://m.stock.naver.com/research/company/85151" TargetMode="External"/><Relationship Id="rId9485" Type="http://schemas.openxmlformats.org/officeDocument/2006/relationships/hyperlink" Target="https://m.stock.naver.com/research/company/83742" TargetMode="External"/><Relationship Id="rId12466" Type="http://schemas.openxmlformats.org/officeDocument/2006/relationships/hyperlink" Target="https://m.stock.naver.com/research/company/80743" TargetMode="External"/><Relationship Id="rId13517" Type="http://schemas.openxmlformats.org/officeDocument/2006/relationships/hyperlink" Target="https://m.stock.naver.com/research/company/79687" TargetMode="External"/><Relationship Id="rId844" Type="http://schemas.openxmlformats.org/officeDocument/2006/relationships/hyperlink" Target="https://m.stock.naver.com/research/company/92612" TargetMode="External"/><Relationship Id="rId1474" Type="http://schemas.openxmlformats.org/officeDocument/2006/relationships/hyperlink" Target="https://m.stock.naver.com/research/company/91781" TargetMode="External"/><Relationship Id="rId2525" Type="http://schemas.openxmlformats.org/officeDocument/2006/relationships/hyperlink" Target="https://m.stock.naver.com/research/company/90729" TargetMode="External"/><Relationship Id="rId9138" Type="http://schemas.openxmlformats.org/officeDocument/2006/relationships/hyperlink" Target="https://m.stock.naver.com/research/company/84092" TargetMode="External"/><Relationship Id="rId11068" Type="http://schemas.openxmlformats.org/officeDocument/2006/relationships/hyperlink" Target="https://m.stock.naver.com/research/company/82152" TargetMode="External"/><Relationship Id="rId12119" Type="http://schemas.openxmlformats.org/officeDocument/2006/relationships/hyperlink" Target="https://m.stock.naver.com/research/company/81092" TargetMode="External"/><Relationship Id="rId15689" Type="http://schemas.openxmlformats.org/officeDocument/2006/relationships/hyperlink" Target="https://m.stock.naver.com/research/company/95725" TargetMode="External"/><Relationship Id="rId1127" Type="http://schemas.openxmlformats.org/officeDocument/2006/relationships/hyperlink" Target="https://m.stock.naver.com/research/company/92128" TargetMode="External"/><Relationship Id="rId4697" Type="http://schemas.openxmlformats.org/officeDocument/2006/relationships/hyperlink" Target="https://m.stock.naver.com/research/company/88543" TargetMode="External"/><Relationship Id="rId5748" Type="http://schemas.openxmlformats.org/officeDocument/2006/relationships/hyperlink" Target="https://m.stock.naver.com/research/company/87492" TargetMode="External"/><Relationship Id="rId3299" Type="http://schemas.openxmlformats.org/officeDocument/2006/relationships/hyperlink" Target="https://m.stock.naver.com/research/company/89951" TargetMode="External"/><Relationship Id="rId7170" Type="http://schemas.openxmlformats.org/officeDocument/2006/relationships/hyperlink" Target="https://m.stock.naver.com/research/company/86069" TargetMode="External"/><Relationship Id="rId8221" Type="http://schemas.openxmlformats.org/officeDocument/2006/relationships/hyperlink" Target="https://m.stock.naver.com/research/company/85017" TargetMode="External"/><Relationship Id="rId10151" Type="http://schemas.openxmlformats.org/officeDocument/2006/relationships/hyperlink" Target="https://m.stock.naver.com/research/company/83070" TargetMode="External"/><Relationship Id="rId11202" Type="http://schemas.openxmlformats.org/officeDocument/2006/relationships/hyperlink" Target="https://m.stock.naver.com/research/company/82018" TargetMode="External"/><Relationship Id="rId12600" Type="http://schemas.openxmlformats.org/officeDocument/2006/relationships/hyperlink" Target="https://m.stock.naver.com/research/company/80608" TargetMode="External"/><Relationship Id="rId14772" Type="http://schemas.openxmlformats.org/officeDocument/2006/relationships/hyperlink" Target="https://m.stock.naver.com/research/company/94628" TargetMode="External"/><Relationship Id="rId2382" Type="http://schemas.openxmlformats.org/officeDocument/2006/relationships/hyperlink" Target="https://m.stock.naver.com/research/company/90872" TargetMode="External"/><Relationship Id="rId3780" Type="http://schemas.openxmlformats.org/officeDocument/2006/relationships/hyperlink" Target="https://m.stock.naver.com/research/company/89471" TargetMode="External"/><Relationship Id="rId4831" Type="http://schemas.openxmlformats.org/officeDocument/2006/relationships/hyperlink" Target="https://m.stock.naver.com/research/company/88409" TargetMode="External"/><Relationship Id="rId13374" Type="http://schemas.openxmlformats.org/officeDocument/2006/relationships/hyperlink" Target="https://m.stock.naver.com/research/company/79831" TargetMode="External"/><Relationship Id="rId14425" Type="http://schemas.openxmlformats.org/officeDocument/2006/relationships/hyperlink" Target="https://m.stock.naver.com/research/company/94258" TargetMode="External"/><Relationship Id="rId354" Type="http://schemas.openxmlformats.org/officeDocument/2006/relationships/hyperlink" Target="https://m.stock.naver.com/research/company/93104" TargetMode="External"/><Relationship Id="rId2035" Type="http://schemas.openxmlformats.org/officeDocument/2006/relationships/hyperlink" Target="https://m.stock.naver.com/research/company/91220" TargetMode="External"/><Relationship Id="rId3433" Type="http://schemas.openxmlformats.org/officeDocument/2006/relationships/hyperlink" Target="https://m.stock.naver.com/research/company/89818" TargetMode="External"/><Relationship Id="rId13027" Type="http://schemas.openxmlformats.org/officeDocument/2006/relationships/hyperlink" Target="https://m.stock.naver.com/research/company/80180" TargetMode="External"/><Relationship Id="rId6656" Type="http://schemas.openxmlformats.org/officeDocument/2006/relationships/hyperlink" Target="https://m.stock.naver.com/research/company/86584" TargetMode="External"/><Relationship Id="rId7707" Type="http://schemas.openxmlformats.org/officeDocument/2006/relationships/hyperlink" Target="https://m.stock.naver.com/research/company/85532" TargetMode="External"/><Relationship Id="rId15199" Type="http://schemas.openxmlformats.org/officeDocument/2006/relationships/hyperlink" Target="https://m.stock.naver.com/research/company/95161" TargetMode="External"/><Relationship Id="rId5258" Type="http://schemas.openxmlformats.org/officeDocument/2006/relationships/hyperlink" Target="https://m.stock.naver.com/research/company/87982" TargetMode="External"/><Relationship Id="rId6309" Type="http://schemas.openxmlformats.org/officeDocument/2006/relationships/hyperlink" Target="https://m.stock.naver.com/research/company/86931" TargetMode="External"/><Relationship Id="rId9879" Type="http://schemas.openxmlformats.org/officeDocument/2006/relationships/hyperlink" Target="https://m.stock.naver.com/research/company/83343" TargetMode="External"/><Relationship Id="rId12110" Type="http://schemas.openxmlformats.org/officeDocument/2006/relationships/hyperlink" Target="https://m.stock.naver.com/research/company/81101" TargetMode="External"/><Relationship Id="rId1868" Type="http://schemas.openxmlformats.org/officeDocument/2006/relationships/hyperlink" Target="https://m.stock.naver.com/research/company/91387" TargetMode="External"/><Relationship Id="rId14282" Type="http://schemas.openxmlformats.org/officeDocument/2006/relationships/hyperlink" Target="https://m.stock.naver.com/research/company/94182" TargetMode="External"/><Relationship Id="rId15333" Type="http://schemas.openxmlformats.org/officeDocument/2006/relationships/hyperlink" Target="https://m.stock.naver.com/research/company/95255" TargetMode="External"/><Relationship Id="rId15680" Type="http://schemas.openxmlformats.org/officeDocument/2006/relationships/hyperlink" Target="https://m.stock.naver.com/research/company/95734" TargetMode="External"/><Relationship Id="rId2919" Type="http://schemas.openxmlformats.org/officeDocument/2006/relationships/hyperlink" Target="https://m.stock.naver.com/research/company/90334" TargetMode="External"/><Relationship Id="rId3290" Type="http://schemas.openxmlformats.org/officeDocument/2006/relationships/hyperlink" Target="https://m.stock.naver.com/research/company/89960" TargetMode="External"/><Relationship Id="rId4341" Type="http://schemas.openxmlformats.org/officeDocument/2006/relationships/hyperlink" Target="https://m.stock.naver.com/research/company/88900" TargetMode="External"/><Relationship Id="rId8962" Type="http://schemas.openxmlformats.org/officeDocument/2006/relationships/hyperlink" Target="https://m.stock.naver.com/research/company/84270" TargetMode="External"/><Relationship Id="rId10892" Type="http://schemas.openxmlformats.org/officeDocument/2006/relationships/hyperlink" Target="https://m.stock.naver.com/research/company/82328" TargetMode="External"/><Relationship Id="rId11943" Type="http://schemas.openxmlformats.org/officeDocument/2006/relationships/hyperlink" Target="https://m.stock.naver.com/research/company/81268" TargetMode="External"/><Relationship Id="rId6166" Type="http://schemas.openxmlformats.org/officeDocument/2006/relationships/hyperlink" Target="https://m.stock.naver.com/research/company/87074" TargetMode="External"/><Relationship Id="rId7564" Type="http://schemas.openxmlformats.org/officeDocument/2006/relationships/hyperlink" Target="https://m.stock.naver.com/research/company/85675" TargetMode="External"/><Relationship Id="rId8615" Type="http://schemas.openxmlformats.org/officeDocument/2006/relationships/hyperlink" Target="https://m.stock.naver.com/research/company/84622" TargetMode="External"/><Relationship Id="rId10545" Type="http://schemas.openxmlformats.org/officeDocument/2006/relationships/hyperlink" Target="https://m.stock.naver.com/research/company/82675" TargetMode="External"/><Relationship Id="rId7217" Type="http://schemas.openxmlformats.org/officeDocument/2006/relationships/hyperlink" Target="https://m.stock.naver.com/research/company/86022" TargetMode="External"/><Relationship Id="rId13768" Type="http://schemas.openxmlformats.org/officeDocument/2006/relationships/hyperlink" Target="https://m.stock.naver.com/research/company/93539" TargetMode="External"/><Relationship Id="rId14819" Type="http://schemas.openxmlformats.org/officeDocument/2006/relationships/hyperlink" Target="https://m.stock.naver.com/research/company/94805" TargetMode="External"/><Relationship Id="rId2776" Type="http://schemas.openxmlformats.org/officeDocument/2006/relationships/hyperlink" Target="https://m.stock.naver.com/research/company/90478" TargetMode="External"/><Relationship Id="rId3827" Type="http://schemas.openxmlformats.org/officeDocument/2006/relationships/hyperlink" Target="https://m.stock.naver.com/research/company/89424" TargetMode="External"/><Relationship Id="rId9389" Type="http://schemas.openxmlformats.org/officeDocument/2006/relationships/hyperlink" Target="https://m.stock.naver.com/research/company/83838" TargetMode="External"/><Relationship Id="rId15190" Type="http://schemas.openxmlformats.org/officeDocument/2006/relationships/hyperlink" Target="https://m.stock.naver.com/research/company/95170" TargetMode="External"/><Relationship Id="rId748" Type="http://schemas.openxmlformats.org/officeDocument/2006/relationships/hyperlink" Target="https://m.stock.naver.com/research/company/92708" TargetMode="External"/><Relationship Id="rId1378" Type="http://schemas.openxmlformats.org/officeDocument/2006/relationships/hyperlink" Target="https://m.stock.naver.com/research/company/91877" TargetMode="External"/><Relationship Id="rId2429" Type="http://schemas.openxmlformats.org/officeDocument/2006/relationships/hyperlink" Target="https://m.stock.naver.com/research/company/90825" TargetMode="External"/><Relationship Id="rId5999" Type="http://schemas.openxmlformats.org/officeDocument/2006/relationships/hyperlink" Target="https://m.stock.naver.com/research/company/87241" TargetMode="External"/><Relationship Id="rId6300" Type="http://schemas.openxmlformats.org/officeDocument/2006/relationships/hyperlink" Target="https://m.stock.naver.com/research/company/86940" TargetMode="External"/><Relationship Id="rId9870" Type="http://schemas.openxmlformats.org/officeDocument/2006/relationships/hyperlink" Target="https://m.stock.naver.com/research/company/83352" TargetMode="External"/><Relationship Id="rId84" Type="http://schemas.openxmlformats.org/officeDocument/2006/relationships/hyperlink" Target="https://m.stock.naver.com/research/company/93374" TargetMode="External"/><Relationship Id="rId8472" Type="http://schemas.openxmlformats.org/officeDocument/2006/relationships/hyperlink" Target="https://m.stock.naver.com/research/company/84765" TargetMode="External"/><Relationship Id="rId9523" Type="http://schemas.openxmlformats.org/officeDocument/2006/relationships/hyperlink" Target="https://m.stock.naver.com/research/company/83704" TargetMode="External"/><Relationship Id="rId12851" Type="http://schemas.openxmlformats.org/officeDocument/2006/relationships/hyperlink" Target="https://m.stock.naver.com/research/company/80357" TargetMode="External"/><Relationship Id="rId13902" Type="http://schemas.openxmlformats.org/officeDocument/2006/relationships/hyperlink" Target="https://m.stock.naver.com/research/company/93700" TargetMode="External"/><Relationship Id="rId2910" Type="http://schemas.openxmlformats.org/officeDocument/2006/relationships/hyperlink" Target="https://m.stock.naver.com/research/company/90343" TargetMode="External"/><Relationship Id="rId7074" Type="http://schemas.openxmlformats.org/officeDocument/2006/relationships/hyperlink" Target="https://m.stock.naver.com/research/company/86165" TargetMode="External"/><Relationship Id="rId8125" Type="http://schemas.openxmlformats.org/officeDocument/2006/relationships/hyperlink" Target="https://m.stock.naver.com/research/company/85113" TargetMode="External"/><Relationship Id="rId11453" Type="http://schemas.openxmlformats.org/officeDocument/2006/relationships/hyperlink" Target="https://m.stock.naver.com/research/company/81762" TargetMode="External"/><Relationship Id="rId12504" Type="http://schemas.openxmlformats.org/officeDocument/2006/relationships/hyperlink" Target="https://m.stock.naver.com/research/company/80704" TargetMode="External"/><Relationship Id="rId1512" Type="http://schemas.openxmlformats.org/officeDocument/2006/relationships/hyperlink" Target="https://m.stock.naver.com/research/company/91743" TargetMode="External"/><Relationship Id="rId10055" Type="http://schemas.openxmlformats.org/officeDocument/2006/relationships/hyperlink" Target="https://m.stock.naver.com/research/company/83166" TargetMode="External"/><Relationship Id="rId11106" Type="http://schemas.openxmlformats.org/officeDocument/2006/relationships/hyperlink" Target="https://m.stock.naver.com/research/company/82114" TargetMode="External"/><Relationship Id="rId14676" Type="http://schemas.openxmlformats.org/officeDocument/2006/relationships/hyperlink" Target="https://m.stock.naver.com/research/company/94502" TargetMode="External"/><Relationship Id="rId15727" Type="http://schemas.openxmlformats.org/officeDocument/2006/relationships/hyperlink" Target="https://m.stock.naver.com/research/company/95687" TargetMode="External"/><Relationship Id="rId3684" Type="http://schemas.openxmlformats.org/officeDocument/2006/relationships/hyperlink" Target="https://m.stock.naver.com/research/company/89567" TargetMode="External"/><Relationship Id="rId4735" Type="http://schemas.openxmlformats.org/officeDocument/2006/relationships/hyperlink" Target="https://m.stock.naver.com/research/company/88505" TargetMode="External"/><Relationship Id="rId13278" Type="http://schemas.openxmlformats.org/officeDocument/2006/relationships/hyperlink" Target="https://m.stock.naver.com/research/company/79928" TargetMode="External"/><Relationship Id="rId14329" Type="http://schemas.openxmlformats.org/officeDocument/2006/relationships/hyperlink" Target="https://m.stock.naver.com/research/company/94222" TargetMode="External"/><Relationship Id="rId2286" Type="http://schemas.openxmlformats.org/officeDocument/2006/relationships/hyperlink" Target="https://m.stock.naver.com/research/company/90969" TargetMode="External"/><Relationship Id="rId3337" Type="http://schemas.openxmlformats.org/officeDocument/2006/relationships/hyperlink" Target="https://m.stock.naver.com/research/company/89913" TargetMode="External"/><Relationship Id="rId7958" Type="http://schemas.openxmlformats.org/officeDocument/2006/relationships/hyperlink" Target="https://m.stock.naver.com/research/company/85280" TargetMode="External"/><Relationship Id="rId258" Type="http://schemas.openxmlformats.org/officeDocument/2006/relationships/hyperlink" Target="https://m.stock.naver.com/research/company/93200" TargetMode="External"/><Relationship Id="rId9380" Type="http://schemas.openxmlformats.org/officeDocument/2006/relationships/hyperlink" Target="https://m.stock.naver.com/research/company/83847" TargetMode="External"/><Relationship Id="rId10939" Type="http://schemas.openxmlformats.org/officeDocument/2006/relationships/hyperlink" Target="https://m.stock.naver.com/research/company/82281" TargetMode="External"/><Relationship Id="rId12361" Type="http://schemas.openxmlformats.org/officeDocument/2006/relationships/hyperlink" Target="https://m.stock.naver.com/research/company/80848" TargetMode="External"/><Relationship Id="rId13412" Type="http://schemas.openxmlformats.org/officeDocument/2006/relationships/hyperlink" Target="https://m.stock.naver.com/research/company/79793" TargetMode="External"/><Relationship Id="rId14810" Type="http://schemas.openxmlformats.org/officeDocument/2006/relationships/hyperlink" Target="https://m.stock.naver.com/research/company/94590" TargetMode="External"/><Relationship Id="rId2420" Type="http://schemas.openxmlformats.org/officeDocument/2006/relationships/hyperlink" Target="https://m.stock.naver.com/research/company/90834" TargetMode="External"/><Relationship Id="rId9033" Type="http://schemas.openxmlformats.org/officeDocument/2006/relationships/hyperlink" Target="https://m.stock.naver.com/research/company/84199" TargetMode="External"/><Relationship Id="rId12014" Type="http://schemas.openxmlformats.org/officeDocument/2006/relationships/hyperlink" Target="https://m.stock.naver.com/research/company/81197" TargetMode="External"/><Relationship Id="rId1022" Type="http://schemas.openxmlformats.org/officeDocument/2006/relationships/hyperlink" Target="https://m.stock.naver.com/research/company/92329" TargetMode="External"/><Relationship Id="rId4592" Type="http://schemas.openxmlformats.org/officeDocument/2006/relationships/hyperlink" Target="https://m.stock.naver.com/research/company/88648" TargetMode="External"/><Relationship Id="rId5990" Type="http://schemas.openxmlformats.org/officeDocument/2006/relationships/hyperlink" Target="https://m.stock.naver.com/research/company/87250" TargetMode="External"/><Relationship Id="rId14186" Type="http://schemas.openxmlformats.org/officeDocument/2006/relationships/hyperlink" Target="https://m.stock.naver.com/research/company/94072" TargetMode="External"/><Relationship Id="rId15584" Type="http://schemas.openxmlformats.org/officeDocument/2006/relationships/hyperlink" Target="https://m.stock.naver.com/research/company/95452" TargetMode="External"/><Relationship Id="rId3194" Type="http://schemas.openxmlformats.org/officeDocument/2006/relationships/hyperlink" Target="https://m.stock.naver.com/research/company/90057" TargetMode="External"/><Relationship Id="rId4245" Type="http://schemas.openxmlformats.org/officeDocument/2006/relationships/hyperlink" Target="https://m.stock.naver.com/research/company/88997" TargetMode="External"/><Relationship Id="rId5643" Type="http://schemas.openxmlformats.org/officeDocument/2006/relationships/hyperlink" Target="https://m.stock.naver.com/research/company/87597" TargetMode="External"/><Relationship Id="rId15237" Type="http://schemas.openxmlformats.org/officeDocument/2006/relationships/hyperlink" Target="https://m.stock.naver.com/research/company/95123" TargetMode="External"/><Relationship Id="rId8866" Type="http://schemas.openxmlformats.org/officeDocument/2006/relationships/hyperlink" Target="https://m.stock.naver.com/research/company/84371" TargetMode="External"/><Relationship Id="rId9917" Type="http://schemas.openxmlformats.org/officeDocument/2006/relationships/hyperlink" Target="https://m.stock.naver.com/research/company/83305" TargetMode="External"/><Relationship Id="rId10796" Type="http://schemas.openxmlformats.org/officeDocument/2006/relationships/hyperlink" Target="https://m.stock.naver.com/research/company/82424" TargetMode="External"/><Relationship Id="rId11847" Type="http://schemas.openxmlformats.org/officeDocument/2006/relationships/hyperlink" Target="https://m.stock.naver.com/research/company/81365" TargetMode="External"/><Relationship Id="rId1906" Type="http://schemas.openxmlformats.org/officeDocument/2006/relationships/hyperlink" Target="https://m.stock.naver.com/research/company/91349" TargetMode="External"/><Relationship Id="rId7468" Type="http://schemas.openxmlformats.org/officeDocument/2006/relationships/hyperlink" Target="https://m.stock.naver.com/research/company/85771" TargetMode="External"/><Relationship Id="rId8519" Type="http://schemas.openxmlformats.org/officeDocument/2006/relationships/hyperlink" Target="https://m.stock.naver.com/research/company/84718" TargetMode="External"/><Relationship Id="rId10449" Type="http://schemas.openxmlformats.org/officeDocument/2006/relationships/hyperlink" Target="https://m.stock.naver.com/research/company/82771" TargetMode="External"/><Relationship Id="rId14320" Type="http://schemas.openxmlformats.org/officeDocument/2006/relationships/hyperlink" Target="https://m.stock.naver.com/research/company/94144" TargetMode="External"/><Relationship Id="rId999" Type="http://schemas.openxmlformats.org/officeDocument/2006/relationships/hyperlink" Target="https://m.stock.naver.com/research/company/92457" TargetMode="External"/><Relationship Id="rId6551" Type="http://schemas.openxmlformats.org/officeDocument/2006/relationships/hyperlink" Target="https://m.stock.naver.com/research/company/86689" TargetMode="External"/><Relationship Id="rId7602" Type="http://schemas.openxmlformats.org/officeDocument/2006/relationships/hyperlink" Target="https://m.stock.naver.com/research/company/85637" TargetMode="External"/><Relationship Id="rId10930" Type="http://schemas.openxmlformats.org/officeDocument/2006/relationships/hyperlink" Target="https://m.stock.naver.com/research/company/82290" TargetMode="External"/><Relationship Id="rId15094" Type="http://schemas.openxmlformats.org/officeDocument/2006/relationships/hyperlink" Target="https://m.stock.naver.com/research/company/95000" TargetMode="External"/><Relationship Id="rId5153" Type="http://schemas.openxmlformats.org/officeDocument/2006/relationships/hyperlink" Target="https://m.stock.naver.com/research/company/88087" TargetMode="External"/><Relationship Id="rId6204" Type="http://schemas.openxmlformats.org/officeDocument/2006/relationships/hyperlink" Target="https://m.stock.naver.com/research/company/87036" TargetMode="External"/><Relationship Id="rId8376" Type="http://schemas.openxmlformats.org/officeDocument/2006/relationships/hyperlink" Target="https://m.stock.naver.com/research/company/84862" TargetMode="External"/><Relationship Id="rId9774" Type="http://schemas.openxmlformats.org/officeDocument/2006/relationships/hyperlink" Target="https://m.stock.naver.com/research/company/83449" TargetMode="External"/><Relationship Id="rId12755" Type="http://schemas.openxmlformats.org/officeDocument/2006/relationships/hyperlink" Target="https://m.stock.naver.com/research/company/80453" TargetMode="External"/><Relationship Id="rId13806" Type="http://schemas.openxmlformats.org/officeDocument/2006/relationships/hyperlink" Target="https://m.stock.naver.com/research/company/93572" TargetMode="External"/><Relationship Id="rId1763" Type="http://schemas.openxmlformats.org/officeDocument/2006/relationships/hyperlink" Target="https://m.stock.naver.com/research/company/91492" TargetMode="External"/><Relationship Id="rId2814" Type="http://schemas.openxmlformats.org/officeDocument/2006/relationships/hyperlink" Target="https://m.stock.naver.com/research/company/90439" TargetMode="External"/><Relationship Id="rId8029" Type="http://schemas.openxmlformats.org/officeDocument/2006/relationships/hyperlink" Target="https://m.stock.naver.com/research/company/85209" TargetMode="External"/><Relationship Id="rId9427" Type="http://schemas.openxmlformats.org/officeDocument/2006/relationships/hyperlink" Target="https://m.stock.naver.com/research/company/83800" TargetMode="External"/><Relationship Id="rId11357" Type="http://schemas.openxmlformats.org/officeDocument/2006/relationships/hyperlink" Target="https://m.stock.naver.com/research/company/81859" TargetMode="External"/><Relationship Id="rId12408" Type="http://schemas.openxmlformats.org/officeDocument/2006/relationships/hyperlink" Target="https://m.stock.naver.com/research/company/80801" TargetMode="External"/><Relationship Id="rId1416" Type="http://schemas.openxmlformats.org/officeDocument/2006/relationships/hyperlink" Target="https://m.stock.naver.com/research/company/91839" TargetMode="External"/><Relationship Id="rId4986" Type="http://schemas.openxmlformats.org/officeDocument/2006/relationships/hyperlink" Target="https://m.stock.naver.com/research/company/88254" TargetMode="External"/><Relationship Id="rId3588" Type="http://schemas.openxmlformats.org/officeDocument/2006/relationships/hyperlink" Target="https://m.stock.naver.com/research/company/89663" TargetMode="External"/><Relationship Id="rId4639" Type="http://schemas.openxmlformats.org/officeDocument/2006/relationships/hyperlink" Target="https://m.stock.naver.com/research/company/88601" TargetMode="External"/><Relationship Id="rId8510" Type="http://schemas.openxmlformats.org/officeDocument/2006/relationships/hyperlink" Target="https://m.stock.naver.com/research/company/84727" TargetMode="External"/><Relationship Id="rId10440" Type="http://schemas.openxmlformats.org/officeDocument/2006/relationships/hyperlink" Target="https://m.stock.naver.com/research/company/82781" TargetMode="External"/><Relationship Id="rId6061" Type="http://schemas.openxmlformats.org/officeDocument/2006/relationships/hyperlink" Target="https://m.stock.naver.com/research/company/87179" TargetMode="External"/><Relationship Id="rId7112" Type="http://schemas.openxmlformats.org/officeDocument/2006/relationships/hyperlink" Target="https://m.stock.naver.com/research/company/86127" TargetMode="External"/><Relationship Id="rId990" Type="http://schemas.openxmlformats.org/officeDocument/2006/relationships/hyperlink" Target="https://m.stock.naver.com/research/company/92466" TargetMode="External"/><Relationship Id="rId2671" Type="http://schemas.openxmlformats.org/officeDocument/2006/relationships/hyperlink" Target="https://m.stock.naver.com/research/company/90583" TargetMode="External"/><Relationship Id="rId9284" Type="http://schemas.openxmlformats.org/officeDocument/2006/relationships/hyperlink" Target="https://m.stock.naver.com/research/company/83943" TargetMode="External"/><Relationship Id="rId13663" Type="http://schemas.openxmlformats.org/officeDocument/2006/relationships/hyperlink" Target="https://m.stock.naver.com/research/company/79541" TargetMode="External"/><Relationship Id="rId14714" Type="http://schemas.openxmlformats.org/officeDocument/2006/relationships/hyperlink" Target="https://m.stock.naver.com/research/company/94686" TargetMode="External"/><Relationship Id="rId643" Type="http://schemas.openxmlformats.org/officeDocument/2006/relationships/hyperlink" Target="https://m.stock.naver.com/research/company/92813" TargetMode="External"/><Relationship Id="rId1273" Type="http://schemas.openxmlformats.org/officeDocument/2006/relationships/hyperlink" Target="https://m.stock.naver.com/research/company/91982" TargetMode="External"/><Relationship Id="rId2324" Type="http://schemas.openxmlformats.org/officeDocument/2006/relationships/hyperlink" Target="https://m.stock.naver.com/research/company/90931" TargetMode="External"/><Relationship Id="rId3722" Type="http://schemas.openxmlformats.org/officeDocument/2006/relationships/hyperlink" Target="https://m.stock.naver.com/research/company/89529" TargetMode="External"/><Relationship Id="rId12265" Type="http://schemas.openxmlformats.org/officeDocument/2006/relationships/hyperlink" Target="https://m.stock.naver.com/research/company/80944" TargetMode="External"/><Relationship Id="rId13316" Type="http://schemas.openxmlformats.org/officeDocument/2006/relationships/hyperlink" Target="https://m.stock.naver.com/research/company/79889" TargetMode="External"/><Relationship Id="rId5894" Type="http://schemas.openxmlformats.org/officeDocument/2006/relationships/hyperlink" Target="https://m.stock.naver.com/research/company/87346" TargetMode="External"/><Relationship Id="rId6945" Type="http://schemas.openxmlformats.org/officeDocument/2006/relationships/hyperlink" Target="https://m.stock.naver.com/research/company/86294" TargetMode="External"/><Relationship Id="rId15488" Type="http://schemas.openxmlformats.org/officeDocument/2006/relationships/hyperlink" Target="https://m.stock.naver.com/research/company/95299" TargetMode="External"/><Relationship Id="rId3098" Type="http://schemas.openxmlformats.org/officeDocument/2006/relationships/hyperlink" Target="https://m.stock.naver.com/research/company/90153" TargetMode="External"/><Relationship Id="rId4496" Type="http://schemas.openxmlformats.org/officeDocument/2006/relationships/hyperlink" Target="https://m.stock.naver.com/research/company/88744" TargetMode="External"/><Relationship Id="rId5547" Type="http://schemas.openxmlformats.org/officeDocument/2006/relationships/hyperlink" Target="https://m.stock.naver.com/research/company/87693" TargetMode="External"/><Relationship Id="rId4149" Type="http://schemas.openxmlformats.org/officeDocument/2006/relationships/hyperlink" Target="https://m.stock.naver.com/research/company/89102" TargetMode="External"/><Relationship Id="rId8020" Type="http://schemas.openxmlformats.org/officeDocument/2006/relationships/hyperlink" Target="https://m.stock.naver.com/research/company/85218" TargetMode="External"/><Relationship Id="rId11001" Type="http://schemas.openxmlformats.org/officeDocument/2006/relationships/hyperlink" Target="https://m.stock.naver.com/research/company/82219" TargetMode="External"/><Relationship Id="rId14571" Type="http://schemas.openxmlformats.org/officeDocument/2006/relationships/hyperlink" Target="https://m.stock.naver.com/research/company/94339" TargetMode="External"/><Relationship Id="rId15622" Type="http://schemas.openxmlformats.org/officeDocument/2006/relationships/hyperlink" Target="https://m.stock.naver.com/research/company/95414" TargetMode="External"/><Relationship Id="rId4630" Type="http://schemas.openxmlformats.org/officeDocument/2006/relationships/hyperlink" Target="https://m.stock.naver.com/research/company/88610" TargetMode="External"/><Relationship Id="rId13173" Type="http://schemas.openxmlformats.org/officeDocument/2006/relationships/hyperlink" Target="https://m.stock.naver.com/research/company/80034" TargetMode="External"/><Relationship Id="rId14224" Type="http://schemas.openxmlformats.org/officeDocument/2006/relationships/hyperlink" Target="https://m.stock.naver.com/research/company/94119" TargetMode="External"/><Relationship Id="rId2181" Type="http://schemas.openxmlformats.org/officeDocument/2006/relationships/hyperlink" Target="https://m.stock.naver.com/research/company/91074" TargetMode="External"/><Relationship Id="rId3232" Type="http://schemas.openxmlformats.org/officeDocument/2006/relationships/hyperlink" Target="https://m.stock.naver.com/research/company/90019" TargetMode="External"/><Relationship Id="rId153" Type="http://schemas.openxmlformats.org/officeDocument/2006/relationships/hyperlink" Target="https://m.stock.naver.com/research/company/93305" TargetMode="External"/><Relationship Id="rId6455" Type="http://schemas.openxmlformats.org/officeDocument/2006/relationships/hyperlink" Target="https://m.stock.naver.com/research/company/86785" TargetMode="External"/><Relationship Id="rId7853" Type="http://schemas.openxmlformats.org/officeDocument/2006/relationships/hyperlink" Target="https://m.stock.naver.com/research/company/85385" TargetMode="External"/><Relationship Id="rId8904" Type="http://schemas.openxmlformats.org/officeDocument/2006/relationships/hyperlink" Target="https://m.stock.naver.com/research/company/84332" TargetMode="External"/><Relationship Id="rId10834" Type="http://schemas.openxmlformats.org/officeDocument/2006/relationships/hyperlink" Target="https://m.stock.naver.com/research/company/82386" TargetMode="External"/><Relationship Id="rId5057" Type="http://schemas.openxmlformats.org/officeDocument/2006/relationships/hyperlink" Target="https://m.stock.naver.com/research/company/88183" TargetMode="External"/><Relationship Id="rId6108" Type="http://schemas.openxmlformats.org/officeDocument/2006/relationships/hyperlink" Target="https://m.stock.naver.com/research/company/87132" TargetMode="External"/><Relationship Id="rId7506" Type="http://schemas.openxmlformats.org/officeDocument/2006/relationships/hyperlink" Target="https://m.stock.naver.com/research/company/85733" TargetMode="External"/><Relationship Id="rId9678" Type="http://schemas.openxmlformats.org/officeDocument/2006/relationships/hyperlink" Target="https://m.stock.naver.com/research/company/83546" TargetMode="External"/><Relationship Id="rId12659" Type="http://schemas.openxmlformats.org/officeDocument/2006/relationships/hyperlink" Target="https://m.stock.naver.com/research/company/80549" TargetMode="External"/><Relationship Id="rId1667" Type="http://schemas.openxmlformats.org/officeDocument/2006/relationships/hyperlink" Target="https://m.stock.naver.com/research/company/91588" TargetMode="External"/><Relationship Id="rId2718" Type="http://schemas.openxmlformats.org/officeDocument/2006/relationships/hyperlink" Target="https://m.stock.naver.com/research/company/90536" TargetMode="External"/><Relationship Id="rId14081" Type="http://schemas.openxmlformats.org/officeDocument/2006/relationships/hyperlink" Target="https://m.stock.naver.com/research/company/93921" TargetMode="External"/><Relationship Id="rId15132" Type="http://schemas.openxmlformats.org/officeDocument/2006/relationships/hyperlink" Target="https://m.stock.naver.com/research/company/94962" TargetMode="External"/><Relationship Id="rId4140" Type="http://schemas.openxmlformats.org/officeDocument/2006/relationships/hyperlink" Target="https://m.stock.naver.com/research/company/89111" TargetMode="External"/><Relationship Id="rId8761" Type="http://schemas.openxmlformats.org/officeDocument/2006/relationships/hyperlink" Target="https://m.stock.naver.com/research/company/84476" TargetMode="External"/><Relationship Id="rId9812" Type="http://schemas.openxmlformats.org/officeDocument/2006/relationships/hyperlink" Target="https://m.stock.naver.com/research/company/83410" TargetMode="External"/><Relationship Id="rId26" Type="http://schemas.openxmlformats.org/officeDocument/2006/relationships/hyperlink" Target="https://m.stock.naver.com/research/company/93432" TargetMode="External"/><Relationship Id="rId7363" Type="http://schemas.openxmlformats.org/officeDocument/2006/relationships/hyperlink" Target="https://m.stock.naver.com/research/company/85876" TargetMode="External"/><Relationship Id="rId8414" Type="http://schemas.openxmlformats.org/officeDocument/2006/relationships/hyperlink" Target="https://m.stock.naver.com/research/company/84824" TargetMode="External"/><Relationship Id="rId10691" Type="http://schemas.openxmlformats.org/officeDocument/2006/relationships/hyperlink" Target="https://m.stock.naver.com/research/company/82529" TargetMode="External"/><Relationship Id="rId11742" Type="http://schemas.openxmlformats.org/officeDocument/2006/relationships/hyperlink" Target="https://m.stock.naver.com/research/company/81470" TargetMode="External"/><Relationship Id="rId1801" Type="http://schemas.openxmlformats.org/officeDocument/2006/relationships/hyperlink" Target="https://m.stock.naver.com/research/company/91454" TargetMode="External"/><Relationship Id="rId7016" Type="http://schemas.openxmlformats.org/officeDocument/2006/relationships/hyperlink" Target="https://m.stock.naver.com/research/company/86223" TargetMode="External"/><Relationship Id="rId10344" Type="http://schemas.openxmlformats.org/officeDocument/2006/relationships/hyperlink" Target="https://m.stock.naver.com/research/company/82877" TargetMode="External"/><Relationship Id="rId14965" Type="http://schemas.openxmlformats.org/officeDocument/2006/relationships/hyperlink" Target="https://m.stock.naver.com/research/company/94869" TargetMode="External"/><Relationship Id="rId3973" Type="http://schemas.openxmlformats.org/officeDocument/2006/relationships/hyperlink" Target="https://m.stock.naver.com/research/company/89278" TargetMode="External"/><Relationship Id="rId9188" Type="http://schemas.openxmlformats.org/officeDocument/2006/relationships/hyperlink" Target="https://m.stock.naver.com/research/company/84042" TargetMode="External"/><Relationship Id="rId13567" Type="http://schemas.openxmlformats.org/officeDocument/2006/relationships/hyperlink" Target="https://m.stock.naver.com/research/company/79637" TargetMode="External"/><Relationship Id="rId14618" Type="http://schemas.openxmlformats.org/officeDocument/2006/relationships/hyperlink" Target="https://m.stock.naver.com/research/company/94559" TargetMode="External"/><Relationship Id="rId894" Type="http://schemas.openxmlformats.org/officeDocument/2006/relationships/hyperlink" Target="https://m.stock.naver.com/research/company/92562" TargetMode="External"/><Relationship Id="rId1177" Type="http://schemas.openxmlformats.org/officeDocument/2006/relationships/hyperlink" Target="https://m.stock.naver.com/research/company/92078" TargetMode="External"/><Relationship Id="rId2575" Type="http://schemas.openxmlformats.org/officeDocument/2006/relationships/hyperlink" Target="https://m.stock.naver.com/research/company/90679" TargetMode="External"/><Relationship Id="rId3626" Type="http://schemas.openxmlformats.org/officeDocument/2006/relationships/hyperlink" Target="https://m.stock.naver.com/research/company/89625" TargetMode="External"/><Relationship Id="rId12169" Type="http://schemas.openxmlformats.org/officeDocument/2006/relationships/hyperlink" Target="https://m.stock.naver.com/research/company/81042" TargetMode="External"/><Relationship Id="rId547" Type="http://schemas.openxmlformats.org/officeDocument/2006/relationships/hyperlink" Target="https://m.stock.naver.com/research/company/92910" TargetMode="External"/><Relationship Id="rId2228" Type="http://schemas.openxmlformats.org/officeDocument/2006/relationships/hyperlink" Target="https://m.stock.naver.com/research/company/91027" TargetMode="External"/><Relationship Id="rId5798" Type="http://schemas.openxmlformats.org/officeDocument/2006/relationships/hyperlink" Target="https://m.stock.naver.com/research/company/87442" TargetMode="External"/><Relationship Id="rId6849" Type="http://schemas.openxmlformats.org/officeDocument/2006/relationships/hyperlink" Target="https://m.stock.naver.com/research/company/86391" TargetMode="External"/><Relationship Id="rId12650" Type="http://schemas.openxmlformats.org/officeDocument/2006/relationships/hyperlink" Target="https://m.stock.naver.com/research/company/80558" TargetMode="External"/><Relationship Id="rId13701" Type="http://schemas.openxmlformats.org/officeDocument/2006/relationships/hyperlink" Target="https://m.stock.naver.com/research/company/93473" TargetMode="External"/><Relationship Id="rId8271" Type="http://schemas.openxmlformats.org/officeDocument/2006/relationships/hyperlink" Target="https://m.stock.naver.com/research/company/84967" TargetMode="External"/><Relationship Id="rId9322" Type="http://schemas.openxmlformats.org/officeDocument/2006/relationships/hyperlink" Target="https://m.stock.naver.com/research/company/83905" TargetMode="External"/><Relationship Id="rId11252" Type="http://schemas.openxmlformats.org/officeDocument/2006/relationships/hyperlink" Target="https://m.stock.naver.com/research/company/81967" TargetMode="External"/><Relationship Id="rId12303" Type="http://schemas.openxmlformats.org/officeDocument/2006/relationships/hyperlink" Target="https://m.stock.naver.com/research/company/80906" TargetMode="External"/><Relationship Id="rId1311" Type="http://schemas.openxmlformats.org/officeDocument/2006/relationships/hyperlink" Target="https://m.stock.naver.com/research/company/91944" TargetMode="External"/><Relationship Id="rId4881" Type="http://schemas.openxmlformats.org/officeDocument/2006/relationships/hyperlink" Target="https://m.stock.naver.com/research/company/88359" TargetMode="External"/><Relationship Id="rId14475" Type="http://schemas.openxmlformats.org/officeDocument/2006/relationships/hyperlink" Target="https://m.stock.naver.com/research/company/94435" TargetMode="External"/><Relationship Id="rId3483" Type="http://schemas.openxmlformats.org/officeDocument/2006/relationships/hyperlink" Target="https://m.stock.naver.com/research/company/89768" TargetMode="External"/><Relationship Id="rId4534" Type="http://schemas.openxmlformats.org/officeDocument/2006/relationships/hyperlink" Target="https://m.stock.naver.com/research/company/88706" TargetMode="External"/><Relationship Id="rId5932" Type="http://schemas.openxmlformats.org/officeDocument/2006/relationships/hyperlink" Target="https://m.stock.naver.com/research/company/87308" TargetMode="External"/><Relationship Id="rId13077" Type="http://schemas.openxmlformats.org/officeDocument/2006/relationships/hyperlink" Target="https://m.stock.naver.com/research/company/80130" TargetMode="External"/><Relationship Id="rId14128" Type="http://schemas.openxmlformats.org/officeDocument/2006/relationships/hyperlink" Target="https://m.stock.naver.com/research/company/94000" TargetMode="External"/><Relationship Id="rId15526" Type="http://schemas.openxmlformats.org/officeDocument/2006/relationships/hyperlink" Target="https://m.stock.naver.com/research/company/95510" TargetMode="External"/><Relationship Id="rId2085" Type="http://schemas.openxmlformats.org/officeDocument/2006/relationships/hyperlink" Target="https://m.stock.naver.com/research/company/91170" TargetMode="External"/><Relationship Id="rId3136" Type="http://schemas.openxmlformats.org/officeDocument/2006/relationships/hyperlink" Target="https://m.stock.naver.com/research/company/90115" TargetMode="External"/><Relationship Id="rId7757" Type="http://schemas.openxmlformats.org/officeDocument/2006/relationships/hyperlink" Target="https://m.stock.naver.com/research/company/85482" TargetMode="External"/><Relationship Id="rId8808" Type="http://schemas.openxmlformats.org/officeDocument/2006/relationships/hyperlink" Target="https://m.stock.naver.com/research/company/84429" TargetMode="External"/><Relationship Id="rId10738" Type="http://schemas.openxmlformats.org/officeDocument/2006/relationships/hyperlink" Target="https://m.stock.naver.com/research/company/82482" TargetMode="External"/><Relationship Id="rId6359" Type="http://schemas.openxmlformats.org/officeDocument/2006/relationships/hyperlink" Target="https://m.stock.naver.com/research/company/86881" TargetMode="External"/><Relationship Id="rId12160" Type="http://schemas.openxmlformats.org/officeDocument/2006/relationships/hyperlink" Target="https://m.stock.naver.com/research/company/81051" TargetMode="External"/><Relationship Id="rId13211" Type="http://schemas.openxmlformats.org/officeDocument/2006/relationships/hyperlink" Target="https://m.stock.naver.com/research/company/79996" TargetMode="External"/><Relationship Id="rId2969" Type="http://schemas.openxmlformats.org/officeDocument/2006/relationships/hyperlink" Target="https://m.stock.naver.com/research/company/90284" TargetMode="External"/><Relationship Id="rId6840" Type="http://schemas.openxmlformats.org/officeDocument/2006/relationships/hyperlink" Target="https://m.stock.naver.com/research/company/86400" TargetMode="External"/><Relationship Id="rId15383" Type="http://schemas.openxmlformats.org/officeDocument/2006/relationships/hyperlink" Target="https://m.stock.naver.com/research/company/95404" TargetMode="External"/><Relationship Id="rId4391" Type="http://schemas.openxmlformats.org/officeDocument/2006/relationships/hyperlink" Target="https://m.stock.naver.com/research/company/88850" TargetMode="External"/><Relationship Id="rId5442" Type="http://schemas.openxmlformats.org/officeDocument/2006/relationships/hyperlink" Target="https://m.stock.naver.com/research/company/87798" TargetMode="External"/><Relationship Id="rId15036" Type="http://schemas.openxmlformats.org/officeDocument/2006/relationships/hyperlink" Target="https://m.stock.naver.com/research/company/94932" TargetMode="External"/><Relationship Id="rId4044" Type="http://schemas.openxmlformats.org/officeDocument/2006/relationships/hyperlink" Target="https://m.stock.naver.com/research/company/89207" TargetMode="External"/><Relationship Id="rId8665" Type="http://schemas.openxmlformats.org/officeDocument/2006/relationships/hyperlink" Target="https://m.stock.naver.com/research/company/84572" TargetMode="External"/><Relationship Id="rId11993" Type="http://schemas.openxmlformats.org/officeDocument/2006/relationships/hyperlink" Target="https://m.stock.naver.com/research/company/81218" TargetMode="External"/><Relationship Id="rId7267" Type="http://schemas.openxmlformats.org/officeDocument/2006/relationships/hyperlink" Target="https://m.stock.naver.com/research/company/85972" TargetMode="External"/><Relationship Id="rId8318" Type="http://schemas.openxmlformats.org/officeDocument/2006/relationships/hyperlink" Target="https://m.stock.naver.com/research/company/84920" TargetMode="External"/><Relationship Id="rId9716" Type="http://schemas.openxmlformats.org/officeDocument/2006/relationships/hyperlink" Target="https://m.stock.naver.com/research/company/83507" TargetMode="External"/><Relationship Id="rId10595" Type="http://schemas.openxmlformats.org/officeDocument/2006/relationships/hyperlink" Target="https://m.stock.naver.com/research/company/82625" TargetMode="External"/><Relationship Id="rId11646" Type="http://schemas.openxmlformats.org/officeDocument/2006/relationships/hyperlink" Target="https://m.stock.naver.com/research/company/81566" TargetMode="External"/><Relationship Id="rId1705" Type="http://schemas.openxmlformats.org/officeDocument/2006/relationships/hyperlink" Target="https://m.stock.naver.com/research/company/91550" TargetMode="External"/><Relationship Id="rId10248" Type="http://schemas.openxmlformats.org/officeDocument/2006/relationships/hyperlink" Target="https://m.stock.naver.com/research/company/82973" TargetMode="External"/><Relationship Id="rId14869" Type="http://schemas.openxmlformats.org/officeDocument/2006/relationships/hyperlink" Target="https://m.stock.naver.com/research/company/94755" TargetMode="External"/><Relationship Id="rId3877" Type="http://schemas.openxmlformats.org/officeDocument/2006/relationships/hyperlink" Target="https://m.stock.naver.com/research/company/89374" TargetMode="External"/><Relationship Id="rId4928" Type="http://schemas.openxmlformats.org/officeDocument/2006/relationships/hyperlink" Target="https://m.stock.naver.com/research/company/88312" TargetMode="External"/><Relationship Id="rId798" Type="http://schemas.openxmlformats.org/officeDocument/2006/relationships/hyperlink" Target="https://m.stock.naver.com/research/company/92658" TargetMode="External"/><Relationship Id="rId2479" Type="http://schemas.openxmlformats.org/officeDocument/2006/relationships/hyperlink" Target="https://m.stock.naver.com/research/company/90775" TargetMode="External"/><Relationship Id="rId6350" Type="http://schemas.openxmlformats.org/officeDocument/2006/relationships/hyperlink" Target="https://m.stock.naver.com/research/company/86890" TargetMode="External"/><Relationship Id="rId7401" Type="http://schemas.openxmlformats.org/officeDocument/2006/relationships/hyperlink" Target="https://m.stock.naver.com/research/company/85838" TargetMode="External"/><Relationship Id="rId2960" Type="http://schemas.openxmlformats.org/officeDocument/2006/relationships/hyperlink" Target="https://m.stock.naver.com/research/company/90293" TargetMode="External"/><Relationship Id="rId6003" Type="http://schemas.openxmlformats.org/officeDocument/2006/relationships/hyperlink" Target="https://m.stock.naver.com/research/company/87237" TargetMode="External"/><Relationship Id="rId9573" Type="http://schemas.openxmlformats.org/officeDocument/2006/relationships/hyperlink" Target="https://m.stock.naver.com/research/company/83654" TargetMode="External"/><Relationship Id="rId13952" Type="http://schemas.openxmlformats.org/officeDocument/2006/relationships/hyperlink" Target="https://m.stock.naver.com/research/company/93780" TargetMode="External"/><Relationship Id="rId932" Type="http://schemas.openxmlformats.org/officeDocument/2006/relationships/hyperlink" Target="https://m.stock.naver.com/research/company/92524" TargetMode="External"/><Relationship Id="rId1562" Type="http://schemas.openxmlformats.org/officeDocument/2006/relationships/hyperlink" Target="https://m.stock.naver.com/research/company/91693" TargetMode="External"/><Relationship Id="rId2613" Type="http://schemas.openxmlformats.org/officeDocument/2006/relationships/hyperlink" Target="https://m.stock.naver.com/research/company/90641" TargetMode="External"/><Relationship Id="rId8175" Type="http://schemas.openxmlformats.org/officeDocument/2006/relationships/hyperlink" Target="https://m.stock.naver.com/research/company/85063" TargetMode="External"/><Relationship Id="rId9226" Type="http://schemas.openxmlformats.org/officeDocument/2006/relationships/hyperlink" Target="https://m.stock.naver.com/research/company/84004" TargetMode="External"/><Relationship Id="rId11156" Type="http://schemas.openxmlformats.org/officeDocument/2006/relationships/hyperlink" Target="https://m.stock.naver.com/research/company/82064" TargetMode="External"/><Relationship Id="rId12207" Type="http://schemas.openxmlformats.org/officeDocument/2006/relationships/hyperlink" Target="https://m.stock.naver.com/research/company/81003" TargetMode="External"/><Relationship Id="rId12554" Type="http://schemas.openxmlformats.org/officeDocument/2006/relationships/hyperlink" Target="https://m.stock.naver.com/research/company/80654" TargetMode="External"/><Relationship Id="rId13605" Type="http://schemas.openxmlformats.org/officeDocument/2006/relationships/hyperlink" Target="https://m.stock.naver.com/research/company/79599" TargetMode="External"/><Relationship Id="rId1215" Type="http://schemas.openxmlformats.org/officeDocument/2006/relationships/hyperlink" Target="https://m.stock.naver.com/research/company/92040" TargetMode="External"/><Relationship Id="rId3387" Type="http://schemas.openxmlformats.org/officeDocument/2006/relationships/hyperlink" Target="https://m.stock.naver.com/research/company/89864" TargetMode="External"/><Relationship Id="rId4785" Type="http://schemas.openxmlformats.org/officeDocument/2006/relationships/hyperlink" Target="https://m.stock.naver.com/research/company/88455" TargetMode="External"/><Relationship Id="rId5836" Type="http://schemas.openxmlformats.org/officeDocument/2006/relationships/hyperlink" Target="https://m.stock.naver.com/research/company/87404" TargetMode="External"/><Relationship Id="rId14379" Type="http://schemas.openxmlformats.org/officeDocument/2006/relationships/hyperlink" Target="https://m.stock.naver.com/research/company/94233" TargetMode="External"/><Relationship Id="rId4438" Type="http://schemas.openxmlformats.org/officeDocument/2006/relationships/hyperlink" Target="https://m.stock.naver.com/research/company/88803" TargetMode="External"/><Relationship Id="rId10989" Type="http://schemas.openxmlformats.org/officeDocument/2006/relationships/hyperlink" Target="https://m.stock.naver.com/research/company/82231" TargetMode="External"/><Relationship Id="rId14860" Type="http://schemas.openxmlformats.org/officeDocument/2006/relationships/hyperlink" Target="https://m.stock.naver.com/research/company/94764" TargetMode="External"/><Relationship Id="rId13462" Type="http://schemas.openxmlformats.org/officeDocument/2006/relationships/hyperlink" Target="https://m.stock.naver.com/research/company/79742" TargetMode="External"/><Relationship Id="rId14513" Type="http://schemas.openxmlformats.org/officeDocument/2006/relationships/hyperlink" Target="https://m.stock.naver.com/research/company/94397" TargetMode="External"/><Relationship Id="rId2470" Type="http://schemas.openxmlformats.org/officeDocument/2006/relationships/hyperlink" Target="https://m.stock.naver.com/research/company/90784" TargetMode="External"/><Relationship Id="rId3521" Type="http://schemas.openxmlformats.org/officeDocument/2006/relationships/hyperlink" Target="https://m.stock.naver.com/research/company/89730" TargetMode="External"/><Relationship Id="rId9083" Type="http://schemas.openxmlformats.org/officeDocument/2006/relationships/hyperlink" Target="https://m.stock.naver.com/research/company/84147" TargetMode="External"/><Relationship Id="rId12064" Type="http://schemas.openxmlformats.org/officeDocument/2006/relationships/hyperlink" Target="https://m.stock.naver.com/research/company/81147" TargetMode="External"/><Relationship Id="rId13115" Type="http://schemas.openxmlformats.org/officeDocument/2006/relationships/hyperlink" Target="https://m.stock.naver.com/research/company/80092" TargetMode="External"/><Relationship Id="rId442" Type="http://schemas.openxmlformats.org/officeDocument/2006/relationships/hyperlink" Target="https://m.stock.naver.com/research/company/93015" TargetMode="External"/><Relationship Id="rId1072" Type="http://schemas.openxmlformats.org/officeDocument/2006/relationships/hyperlink" Target="https://m.stock.naver.com/research/company/92184" TargetMode="External"/><Relationship Id="rId2123" Type="http://schemas.openxmlformats.org/officeDocument/2006/relationships/hyperlink" Target="https://m.stock.naver.com/research/company/91132" TargetMode="External"/><Relationship Id="rId5693" Type="http://schemas.openxmlformats.org/officeDocument/2006/relationships/hyperlink" Target="https://m.stock.naver.com/research/company/87547" TargetMode="External"/><Relationship Id="rId6744" Type="http://schemas.openxmlformats.org/officeDocument/2006/relationships/hyperlink" Target="https://m.stock.naver.com/research/company/86496" TargetMode="External"/><Relationship Id="rId15287" Type="http://schemas.openxmlformats.org/officeDocument/2006/relationships/hyperlink" Target="https://m.stock.naver.com/research/company/95073" TargetMode="External"/><Relationship Id="rId4295" Type="http://schemas.openxmlformats.org/officeDocument/2006/relationships/hyperlink" Target="https://m.stock.naver.com/research/company/88946" TargetMode="External"/><Relationship Id="rId5346" Type="http://schemas.openxmlformats.org/officeDocument/2006/relationships/hyperlink" Target="https://m.stock.naver.com/research/company/87894" TargetMode="External"/><Relationship Id="rId9967" Type="http://schemas.openxmlformats.org/officeDocument/2006/relationships/hyperlink" Target="https://m.stock.naver.com/research/company/83254" TargetMode="External"/><Relationship Id="rId11897" Type="http://schemas.openxmlformats.org/officeDocument/2006/relationships/hyperlink" Target="https://m.stock.naver.com/research/company/81314" TargetMode="External"/><Relationship Id="rId12948" Type="http://schemas.openxmlformats.org/officeDocument/2006/relationships/hyperlink" Target="https://m.stock.naver.com/research/company/80260" TargetMode="External"/><Relationship Id="rId1956" Type="http://schemas.openxmlformats.org/officeDocument/2006/relationships/hyperlink" Target="https://m.stock.naver.com/research/company/91299" TargetMode="External"/><Relationship Id="rId8569" Type="http://schemas.openxmlformats.org/officeDocument/2006/relationships/hyperlink" Target="https://m.stock.naver.com/research/company/84668" TargetMode="External"/><Relationship Id="rId10499" Type="http://schemas.openxmlformats.org/officeDocument/2006/relationships/hyperlink" Target="https://m.stock.naver.com/research/company/82721" TargetMode="External"/><Relationship Id="rId14370" Type="http://schemas.openxmlformats.org/officeDocument/2006/relationships/hyperlink" Target="https://m.stock.naver.com/research/company/94242" TargetMode="External"/><Relationship Id="rId15421" Type="http://schemas.openxmlformats.org/officeDocument/2006/relationships/hyperlink" Target="https://m.stock.naver.com/research/company/95366" TargetMode="External"/><Relationship Id="rId1609" Type="http://schemas.openxmlformats.org/officeDocument/2006/relationships/hyperlink" Target="https://m.stock.naver.com/research/company/91646" TargetMode="External"/><Relationship Id="rId14023" Type="http://schemas.openxmlformats.org/officeDocument/2006/relationships/hyperlink" Target="https://m.stock.naver.com/research/company/93824" TargetMode="External"/><Relationship Id="rId3031" Type="http://schemas.openxmlformats.org/officeDocument/2006/relationships/hyperlink" Target="https://m.stock.naver.com/research/company/90220" TargetMode="External"/><Relationship Id="rId7652" Type="http://schemas.openxmlformats.org/officeDocument/2006/relationships/hyperlink" Target="https://m.stock.naver.com/research/company/85587" TargetMode="External"/><Relationship Id="rId8703" Type="http://schemas.openxmlformats.org/officeDocument/2006/relationships/hyperlink" Target="https://m.stock.naver.com/research/company/84534" TargetMode="External"/><Relationship Id="rId10980" Type="http://schemas.openxmlformats.org/officeDocument/2006/relationships/hyperlink" Target="https://m.stock.naver.com/research/company/82240" TargetMode="External"/><Relationship Id="rId6254" Type="http://schemas.openxmlformats.org/officeDocument/2006/relationships/hyperlink" Target="https://m.stock.naver.com/research/company/86986" TargetMode="External"/><Relationship Id="rId7305" Type="http://schemas.openxmlformats.org/officeDocument/2006/relationships/hyperlink" Target="https://m.stock.naver.com/research/company/85934" TargetMode="External"/><Relationship Id="rId10633" Type="http://schemas.openxmlformats.org/officeDocument/2006/relationships/hyperlink" Target="https://m.stock.naver.com/research/company/82587" TargetMode="External"/><Relationship Id="rId9477" Type="http://schemas.openxmlformats.org/officeDocument/2006/relationships/hyperlink" Target="https://m.stock.naver.com/research/company/83750" TargetMode="External"/><Relationship Id="rId13856" Type="http://schemas.openxmlformats.org/officeDocument/2006/relationships/hyperlink" Target="https://m.stock.naver.com/research/company/93626" TargetMode="External"/><Relationship Id="rId14907" Type="http://schemas.openxmlformats.org/officeDocument/2006/relationships/hyperlink" Target="https://m.stock.naver.com/research/company/94927" TargetMode="External"/><Relationship Id="rId1466" Type="http://schemas.openxmlformats.org/officeDocument/2006/relationships/hyperlink" Target="https://m.stock.naver.com/research/company/91789" TargetMode="External"/><Relationship Id="rId2864" Type="http://schemas.openxmlformats.org/officeDocument/2006/relationships/hyperlink" Target="https://m.stock.naver.com/research/company/90389" TargetMode="External"/><Relationship Id="rId3915" Type="http://schemas.openxmlformats.org/officeDocument/2006/relationships/hyperlink" Target="https://m.stock.naver.com/research/company/89336" TargetMode="External"/><Relationship Id="rId8079" Type="http://schemas.openxmlformats.org/officeDocument/2006/relationships/hyperlink" Target="https://m.stock.naver.com/research/company/85159" TargetMode="External"/><Relationship Id="rId12458" Type="http://schemas.openxmlformats.org/officeDocument/2006/relationships/hyperlink" Target="https://m.stock.naver.com/research/company/80751" TargetMode="External"/><Relationship Id="rId13509" Type="http://schemas.openxmlformats.org/officeDocument/2006/relationships/hyperlink" Target="https://m.stock.naver.com/research/company/79695" TargetMode="External"/><Relationship Id="rId836" Type="http://schemas.openxmlformats.org/officeDocument/2006/relationships/hyperlink" Target="https://m.stock.naver.com/research/company/92620" TargetMode="External"/><Relationship Id="rId1119" Type="http://schemas.openxmlformats.org/officeDocument/2006/relationships/hyperlink" Target="https://m.stock.naver.com/research/company/92136" TargetMode="External"/><Relationship Id="rId2517" Type="http://schemas.openxmlformats.org/officeDocument/2006/relationships/hyperlink" Target="https://m.stock.naver.com/research/company/90737" TargetMode="External"/><Relationship Id="rId4689" Type="http://schemas.openxmlformats.org/officeDocument/2006/relationships/hyperlink" Target="https://m.stock.naver.com/research/company/88551" TargetMode="External"/><Relationship Id="rId8560" Type="http://schemas.openxmlformats.org/officeDocument/2006/relationships/hyperlink" Target="https://m.stock.naver.com/research/company/84677" TargetMode="External"/><Relationship Id="rId9611" Type="http://schemas.openxmlformats.org/officeDocument/2006/relationships/hyperlink" Target="https://m.stock.naver.com/research/company/83614" TargetMode="External"/><Relationship Id="rId10490" Type="http://schemas.openxmlformats.org/officeDocument/2006/relationships/hyperlink" Target="https://m.stock.naver.com/research/company/82730" TargetMode="External"/><Relationship Id="rId11541" Type="http://schemas.openxmlformats.org/officeDocument/2006/relationships/hyperlink" Target="https://m.stock.naver.com/research/company/81674" TargetMode="External"/><Relationship Id="rId1600" Type="http://schemas.openxmlformats.org/officeDocument/2006/relationships/hyperlink" Target="https://m.stock.naver.com/research/company/91655" TargetMode="External"/><Relationship Id="rId7162" Type="http://schemas.openxmlformats.org/officeDocument/2006/relationships/hyperlink" Target="https://m.stock.naver.com/research/company/86077" TargetMode="External"/><Relationship Id="rId8213" Type="http://schemas.openxmlformats.org/officeDocument/2006/relationships/hyperlink" Target="https://m.stock.naver.com/research/company/85025" TargetMode="External"/><Relationship Id="rId10143" Type="http://schemas.openxmlformats.org/officeDocument/2006/relationships/hyperlink" Target="https://m.stock.naver.com/research/company/83078" TargetMode="External"/><Relationship Id="rId3772" Type="http://schemas.openxmlformats.org/officeDocument/2006/relationships/hyperlink" Target="https://m.stock.naver.com/research/company/89479" TargetMode="External"/><Relationship Id="rId4823" Type="http://schemas.openxmlformats.org/officeDocument/2006/relationships/hyperlink" Target="https://m.stock.naver.com/research/company/88417" TargetMode="External"/><Relationship Id="rId13366" Type="http://schemas.openxmlformats.org/officeDocument/2006/relationships/hyperlink" Target="https://m.stock.naver.com/research/company/79839" TargetMode="External"/><Relationship Id="rId14417" Type="http://schemas.openxmlformats.org/officeDocument/2006/relationships/hyperlink" Target="https://m.stock.naver.com/research/company/94266" TargetMode="External"/><Relationship Id="rId14764" Type="http://schemas.openxmlformats.org/officeDocument/2006/relationships/hyperlink" Target="https://m.stock.naver.com/research/company/94636" TargetMode="External"/><Relationship Id="rId693" Type="http://schemas.openxmlformats.org/officeDocument/2006/relationships/hyperlink" Target="https://m.stock.naver.com/research/company/92763" TargetMode="External"/><Relationship Id="rId2374" Type="http://schemas.openxmlformats.org/officeDocument/2006/relationships/hyperlink" Target="https://m.stock.naver.com/research/company/90880" TargetMode="External"/><Relationship Id="rId3425" Type="http://schemas.openxmlformats.org/officeDocument/2006/relationships/hyperlink" Target="https://m.stock.naver.com/research/company/89826" TargetMode="External"/><Relationship Id="rId13019" Type="http://schemas.openxmlformats.org/officeDocument/2006/relationships/hyperlink" Target="https://m.stock.naver.com/research/company/80188" TargetMode="External"/><Relationship Id="rId346" Type="http://schemas.openxmlformats.org/officeDocument/2006/relationships/hyperlink" Target="https://m.stock.naver.com/research/company/93112" TargetMode="External"/><Relationship Id="rId2027" Type="http://schemas.openxmlformats.org/officeDocument/2006/relationships/hyperlink" Target="https://m.stock.naver.com/research/company/91228" TargetMode="External"/><Relationship Id="rId5597" Type="http://schemas.openxmlformats.org/officeDocument/2006/relationships/hyperlink" Target="https://m.stock.naver.com/research/company/87643" TargetMode="External"/><Relationship Id="rId6995" Type="http://schemas.openxmlformats.org/officeDocument/2006/relationships/hyperlink" Target="https://m.stock.naver.com/research/company/86244" TargetMode="External"/><Relationship Id="rId4199" Type="http://schemas.openxmlformats.org/officeDocument/2006/relationships/hyperlink" Target="https://m.stock.naver.com/research/company/89043" TargetMode="External"/><Relationship Id="rId6648" Type="http://schemas.openxmlformats.org/officeDocument/2006/relationships/hyperlink" Target="https://m.stock.naver.com/research/company/86592" TargetMode="External"/><Relationship Id="rId8070" Type="http://schemas.openxmlformats.org/officeDocument/2006/relationships/hyperlink" Target="https://m.stock.naver.com/research/company/85168" TargetMode="External"/><Relationship Id="rId9121" Type="http://schemas.openxmlformats.org/officeDocument/2006/relationships/hyperlink" Target="https://m.stock.naver.com/research/company/84109" TargetMode="External"/><Relationship Id="rId13500" Type="http://schemas.openxmlformats.org/officeDocument/2006/relationships/hyperlink" Target="https://m.stock.naver.com/research/company/79704" TargetMode="External"/><Relationship Id="rId11051" Type="http://schemas.openxmlformats.org/officeDocument/2006/relationships/hyperlink" Target="https://m.stock.naver.com/research/company/82169" TargetMode="External"/><Relationship Id="rId12102" Type="http://schemas.openxmlformats.org/officeDocument/2006/relationships/hyperlink" Target="https://m.stock.naver.com/research/company/81109" TargetMode="External"/><Relationship Id="rId15672" Type="http://schemas.openxmlformats.org/officeDocument/2006/relationships/hyperlink" Target="https://m.stock.naver.com/research/company/95742" TargetMode="External"/><Relationship Id="rId1110" Type="http://schemas.openxmlformats.org/officeDocument/2006/relationships/hyperlink" Target="https://m.stock.naver.com/research/company/92145" TargetMode="External"/><Relationship Id="rId4680" Type="http://schemas.openxmlformats.org/officeDocument/2006/relationships/hyperlink" Target="https://m.stock.naver.com/research/company/88560" TargetMode="External"/><Relationship Id="rId5731" Type="http://schemas.openxmlformats.org/officeDocument/2006/relationships/hyperlink" Target="https://m.stock.naver.com/research/company/87509" TargetMode="External"/><Relationship Id="rId14274" Type="http://schemas.openxmlformats.org/officeDocument/2006/relationships/hyperlink" Target="https://m.stock.naver.com/research/company/94124" TargetMode="External"/><Relationship Id="rId15325" Type="http://schemas.openxmlformats.org/officeDocument/2006/relationships/hyperlink" Target="https://m.stock.naver.com/research/company/95263" TargetMode="External"/><Relationship Id="rId3282" Type="http://schemas.openxmlformats.org/officeDocument/2006/relationships/hyperlink" Target="https://m.stock.naver.com/research/company/89968" TargetMode="External"/><Relationship Id="rId4333" Type="http://schemas.openxmlformats.org/officeDocument/2006/relationships/hyperlink" Target="https://m.stock.naver.com/research/company/88908" TargetMode="External"/><Relationship Id="rId8954" Type="http://schemas.openxmlformats.org/officeDocument/2006/relationships/hyperlink" Target="https://m.stock.naver.com/research/company/84278" TargetMode="External"/><Relationship Id="rId7556" Type="http://schemas.openxmlformats.org/officeDocument/2006/relationships/hyperlink" Target="https://m.stock.naver.com/research/company/85683" TargetMode="External"/><Relationship Id="rId8607" Type="http://schemas.openxmlformats.org/officeDocument/2006/relationships/hyperlink" Target="https://m.stock.naver.com/research/company/84630" TargetMode="External"/><Relationship Id="rId10884" Type="http://schemas.openxmlformats.org/officeDocument/2006/relationships/hyperlink" Target="https://m.stock.naver.com/research/company/82336" TargetMode="External"/><Relationship Id="rId11935" Type="http://schemas.openxmlformats.org/officeDocument/2006/relationships/hyperlink" Target="https://m.stock.naver.com/research/company/81276" TargetMode="External"/><Relationship Id="rId6158" Type="http://schemas.openxmlformats.org/officeDocument/2006/relationships/hyperlink" Target="https://m.stock.naver.com/research/company/87082" TargetMode="External"/><Relationship Id="rId7209" Type="http://schemas.openxmlformats.org/officeDocument/2006/relationships/hyperlink" Target="https://m.stock.naver.com/research/company/86030" TargetMode="External"/><Relationship Id="rId10537" Type="http://schemas.openxmlformats.org/officeDocument/2006/relationships/hyperlink" Target="https://m.stock.naver.com/research/company/82683" TargetMode="External"/><Relationship Id="rId13010" Type="http://schemas.openxmlformats.org/officeDocument/2006/relationships/hyperlink" Target="https://m.stock.naver.com/research/company/80198" TargetMode="External"/><Relationship Id="rId2768" Type="http://schemas.openxmlformats.org/officeDocument/2006/relationships/hyperlink" Target="https://m.stock.naver.com/research/company/90486" TargetMode="External"/><Relationship Id="rId3819" Type="http://schemas.openxmlformats.org/officeDocument/2006/relationships/hyperlink" Target="https://m.stock.naver.com/research/company/89432" TargetMode="External"/><Relationship Id="rId15182" Type="http://schemas.openxmlformats.org/officeDocument/2006/relationships/hyperlink" Target="https://m.stock.naver.com/research/company/95178" TargetMode="External"/><Relationship Id="rId4190" Type="http://schemas.openxmlformats.org/officeDocument/2006/relationships/hyperlink" Target="https://m.stock.naver.com/research/company/89052" TargetMode="External"/><Relationship Id="rId5241" Type="http://schemas.openxmlformats.org/officeDocument/2006/relationships/hyperlink" Target="https://m.stock.naver.com/research/company/87999" TargetMode="External"/><Relationship Id="rId9862" Type="http://schemas.openxmlformats.org/officeDocument/2006/relationships/hyperlink" Target="https://m.stock.naver.com/research/company/83360" TargetMode="External"/><Relationship Id="rId11792" Type="http://schemas.openxmlformats.org/officeDocument/2006/relationships/hyperlink" Target="https://m.stock.naver.com/research/company/81420" TargetMode="External"/><Relationship Id="rId76" Type="http://schemas.openxmlformats.org/officeDocument/2006/relationships/hyperlink" Target="https://m.stock.naver.com/research/company/93382" TargetMode="External"/><Relationship Id="rId1851" Type="http://schemas.openxmlformats.org/officeDocument/2006/relationships/hyperlink" Target="https://m.stock.naver.com/research/company/91404" TargetMode="External"/><Relationship Id="rId2902" Type="http://schemas.openxmlformats.org/officeDocument/2006/relationships/hyperlink" Target="https://m.stock.naver.com/research/company/90351" TargetMode="External"/><Relationship Id="rId8464" Type="http://schemas.openxmlformats.org/officeDocument/2006/relationships/hyperlink" Target="https://m.stock.naver.com/research/company/84773" TargetMode="External"/><Relationship Id="rId9515" Type="http://schemas.openxmlformats.org/officeDocument/2006/relationships/hyperlink" Target="https://m.stock.naver.com/research/company/83712" TargetMode="External"/><Relationship Id="rId10394" Type="http://schemas.openxmlformats.org/officeDocument/2006/relationships/hyperlink" Target="https://m.stock.naver.com/research/company/82827" TargetMode="External"/><Relationship Id="rId11445" Type="http://schemas.openxmlformats.org/officeDocument/2006/relationships/hyperlink" Target="https://m.stock.naver.com/research/company/81770" TargetMode="External"/><Relationship Id="rId12843" Type="http://schemas.openxmlformats.org/officeDocument/2006/relationships/hyperlink" Target="https://m.stock.naver.com/research/company/80365" TargetMode="External"/><Relationship Id="rId1504" Type="http://schemas.openxmlformats.org/officeDocument/2006/relationships/hyperlink" Target="https://m.stock.naver.com/research/company/91751" TargetMode="External"/><Relationship Id="rId7066" Type="http://schemas.openxmlformats.org/officeDocument/2006/relationships/hyperlink" Target="https://m.stock.naver.com/research/company/86173" TargetMode="External"/><Relationship Id="rId8117" Type="http://schemas.openxmlformats.org/officeDocument/2006/relationships/hyperlink" Target="https://m.stock.naver.com/research/company/85121" TargetMode="External"/><Relationship Id="rId10047" Type="http://schemas.openxmlformats.org/officeDocument/2006/relationships/hyperlink" Target="https://m.stock.naver.com/research/company/83174" TargetMode="External"/><Relationship Id="rId3676" Type="http://schemas.openxmlformats.org/officeDocument/2006/relationships/hyperlink" Target="https://m.stock.naver.com/research/company/89575" TargetMode="External"/><Relationship Id="rId14668" Type="http://schemas.openxmlformats.org/officeDocument/2006/relationships/hyperlink" Target="https://m.stock.naver.com/research/company/94510" TargetMode="External"/><Relationship Id="rId15719" Type="http://schemas.openxmlformats.org/officeDocument/2006/relationships/hyperlink" Target="https://m.stock.naver.com/research/company/95695" TargetMode="External"/><Relationship Id="rId597" Type="http://schemas.openxmlformats.org/officeDocument/2006/relationships/hyperlink" Target="https://m.stock.naver.com/research/company/92860" TargetMode="External"/><Relationship Id="rId2278" Type="http://schemas.openxmlformats.org/officeDocument/2006/relationships/hyperlink" Target="https://m.stock.naver.com/research/company/90977" TargetMode="External"/><Relationship Id="rId3329" Type="http://schemas.openxmlformats.org/officeDocument/2006/relationships/hyperlink" Target="https://m.stock.naver.com/research/company/89921" TargetMode="External"/><Relationship Id="rId4727" Type="http://schemas.openxmlformats.org/officeDocument/2006/relationships/hyperlink" Target="https://m.stock.naver.com/research/company/88513" TargetMode="External"/><Relationship Id="rId7200" Type="http://schemas.openxmlformats.org/officeDocument/2006/relationships/hyperlink" Target="https://m.stock.naver.com/research/company/86039" TargetMode="External"/><Relationship Id="rId6899" Type="http://schemas.openxmlformats.org/officeDocument/2006/relationships/hyperlink" Target="https://m.stock.naver.com/research/company/86340" TargetMode="External"/><Relationship Id="rId13751" Type="http://schemas.openxmlformats.org/officeDocument/2006/relationships/hyperlink" Target="https://m.stock.naver.com/research/company/93534" TargetMode="External"/><Relationship Id="rId14802" Type="http://schemas.openxmlformats.org/officeDocument/2006/relationships/hyperlink" Target="https://m.stock.naver.com/research/company/94598" TargetMode="External"/><Relationship Id="rId3810" Type="http://schemas.openxmlformats.org/officeDocument/2006/relationships/hyperlink" Target="https://m.stock.naver.com/research/company/89441" TargetMode="External"/><Relationship Id="rId9372" Type="http://schemas.openxmlformats.org/officeDocument/2006/relationships/hyperlink" Target="https://m.stock.naver.com/research/company/83855" TargetMode="External"/><Relationship Id="rId12353" Type="http://schemas.openxmlformats.org/officeDocument/2006/relationships/hyperlink" Target="https://m.stock.naver.com/research/company/80856" TargetMode="External"/><Relationship Id="rId13404" Type="http://schemas.openxmlformats.org/officeDocument/2006/relationships/hyperlink" Target="https://m.stock.naver.com/research/company/79801" TargetMode="External"/><Relationship Id="rId731" Type="http://schemas.openxmlformats.org/officeDocument/2006/relationships/hyperlink" Target="https://m.stock.naver.com/research/company/92725" TargetMode="External"/><Relationship Id="rId1361" Type="http://schemas.openxmlformats.org/officeDocument/2006/relationships/hyperlink" Target="https://m.stock.naver.com/research/company/91894" TargetMode="External"/><Relationship Id="rId2412" Type="http://schemas.openxmlformats.org/officeDocument/2006/relationships/hyperlink" Target="https://m.stock.naver.com/research/company/90842" TargetMode="External"/><Relationship Id="rId5982" Type="http://schemas.openxmlformats.org/officeDocument/2006/relationships/hyperlink" Target="https://m.stock.naver.com/research/company/87258" TargetMode="External"/><Relationship Id="rId9025" Type="http://schemas.openxmlformats.org/officeDocument/2006/relationships/hyperlink" Target="https://m.stock.naver.com/research/company/84207" TargetMode="External"/><Relationship Id="rId12006" Type="http://schemas.openxmlformats.org/officeDocument/2006/relationships/hyperlink" Target="https://m.stock.naver.com/research/company/81205" TargetMode="External"/><Relationship Id="rId15576" Type="http://schemas.openxmlformats.org/officeDocument/2006/relationships/hyperlink" Target="https://m.stock.naver.com/research/company/95460" TargetMode="External"/><Relationship Id="rId1014" Type="http://schemas.openxmlformats.org/officeDocument/2006/relationships/hyperlink" Target="https://m.stock.naver.com/research/company/92337" TargetMode="External"/><Relationship Id="rId4584" Type="http://schemas.openxmlformats.org/officeDocument/2006/relationships/hyperlink" Target="https://m.stock.naver.com/research/company/88656" TargetMode="External"/><Relationship Id="rId5635" Type="http://schemas.openxmlformats.org/officeDocument/2006/relationships/hyperlink" Target="https://m.stock.naver.com/research/company/87605" TargetMode="External"/><Relationship Id="rId14178" Type="http://schemas.openxmlformats.org/officeDocument/2006/relationships/hyperlink" Target="https://m.stock.naver.com/research/company/94080" TargetMode="External"/><Relationship Id="rId15229" Type="http://schemas.openxmlformats.org/officeDocument/2006/relationships/hyperlink" Target="https://m.stock.naver.com/research/company/95131" TargetMode="External"/><Relationship Id="rId3186" Type="http://schemas.openxmlformats.org/officeDocument/2006/relationships/hyperlink" Target="https://m.stock.naver.com/research/company/90065" TargetMode="External"/><Relationship Id="rId4237" Type="http://schemas.openxmlformats.org/officeDocument/2006/relationships/hyperlink" Target="https://m.stock.naver.com/research/company/89005" TargetMode="External"/><Relationship Id="rId8858" Type="http://schemas.openxmlformats.org/officeDocument/2006/relationships/hyperlink" Target="https://m.stock.naver.com/research/company/84379" TargetMode="External"/><Relationship Id="rId9909" Type="http://schemas.openxmlformats.org/officeDocument/2006/relationships/hyperlink" Target="https://m.stock.naver.com/research/company/83313" TargetMode="External"/><Relationship Id="rId10788" Type="http://schemas.openxmlformats.org/officeDocument/2006/relationships/hyperlink" Target="https://m.stock.naver.com/research/company/82432" TargetMode="External"/><Relationship Id="rId11839" Type="http://schemas.openxmlformats.org/officeDocument/2006/relationships/hyperlink" Target="https://m.stock.naver.com/research/company/81373" TargetMode="External"/><Relationship Id="rId15710" Type="http://schemas.openxmlformats.org/officeDocument/2006/relationships/hyperlink" Target="https://m.stock.naver.com/research/company/95704" TargetMode="External"/><Relationship Id="rId13261" Type="http://schemas.openxmlformats.org/officeDocument/2006/relationships/hyperlink" Target="https://m.stock.naver.com/research/company/79945" TargetMode="External"/><Relationship Id="rId14312" Type="http://schemas.openxmlformats.org/officeDocument/2006/relationships/hyperlink" Target="https://m.stock.naver.com/research/company/94152" TargetMode="External"/><Relationship Id="rId241" Type="http://schemas.openxmlformats.org/officeDocument/2006/relationships/hyperlink" Target="https://m.stock.naver.com/research/company/93217" TargetMode="External"/><Relationship Id="rId3320" Type="http://schemas.openxmlformats.org/officeDocument/2006/relationships/hyperlink" Target="https://m.stock.naver.com/research/company/89930" TargetMode="External"/><Relationship Id="rId6890" Type="http://schemas.openxmlformats.org/officeDocument/2006/relationships/hyperlink" Target="https://m.stock.naver.com/research/company/86349" TargetMode="External"/><Relationship Id="rId7941" Type="http://schemas.openxmlformats.org/officeDocument/2006/relationships/hyperlink" Target="https://m.stock.naver.com/research/company/85297" TargetMode="External"/><Relationship Id="rId5492" Type="http://schemas.openxmlformats.org/officeDocument/2006/relationships/hyperlink" Target="https://m.stock.naver.com/research/company/87748" TargetMode="External"/><Relationship Id="rId6543" Type="http://schemas.openxmlformats.org/officeDocument/2006/relationships/hyperlink" Target="https://m.stock.naver.com/research/company/86697" TargetMode="External"/><Relationship Id="rId10922" Type="http://schemas.openxmlformats.org/officeDocument/2006/relationships/hyperlink" Target="https://m.stock.naver.com/research/company/82298" TargetMode="External"/><Relationship Id="rId15086" Type="http://schemas.openxmlformats.org/officeDocument/2006/relationships/hyperlink" Target="https://m.stock.naver.com/research/company/95008" TargetMode="External"/><Relationship Id="rId4094" Type="http://schemas.openxmlformats.org/officeDocument/2006/relationships/hyperlink" Target="https://m.stock.naver.com/research/company/89157" TargetMode="External"/><Relationship Id="rId5145" Type="http://schemas.openxmlformats.org/officeDocument/2006/relationships/hyperlink" Target="https://m.stock.naver.com/research/company/88095" TargetMode="External"/><Relationship Id="rId9766" Type="http://schemas.openxmlformats.org/officeDocument/2006/relationships/hyperlink" Target="https://m.stock.naver.com/research/company/83457" TargetMode="External"/><Relationship Id="rId1755" Type="http://schemas.openxmlformats.org/officeDocument/2006/relationships/hyperlink" Target="https://m.stock.naver.com/research/company/91500" TargetMode="External"/><Relationship Id="rId8368" Type="http://schemas.openxmlformats.org/officeDocument/2006/relationships/hyperlink" Target="https://m.stock.naver.com/research/company/84870" TargetMode="External"/><Relationship Id="rId9419" Type="http://schemas.openxmlformats.org/officeDocument/2006/relationships/hyperlink" Target="https://m.stock.naver.com/research/company/83808" TargetMode="External"/><Relationship Id="rId10298" Type="http://schemas.openxmlformats.org/officeDocument/2006/relationships/hyperlink" Target="https://m.stock.naver.com/research/company/82923" TargetMode="External"/><Relationship Id="rId11349" Type="http://schemas.openxmlformats.org/officeDocument/2006/relationships/hyperlink" Target="https://m.stock.naver.com/research/company/81867" TargetMode="External"/><Relationship Id="rId11696" Type="http://schemas.openxmlformats.org/officeDocument/2006/relationships/hyperlink" Target="https://m.stock.naver.com/research/company/81516" TargetMode="External"/><Relationship Id="rId12747" Type="http://schemas.openxmlformats.org/officeDocument/2006/relationships/hyperlink" Target="https://m.stock.naver.com/research/company/80461" TargetMode="External"/><Relationship Id="rId1408" Type="http://schemas.openxmlformats.org/officeDocument/2006/relationships/hyperlink" Target="https://m.stock.naver.com/research/company/91847" TargetMode="External"/><Relationship Id="rId2806" Type="http://schemas.openxmlformats.org/officeDocument/2006/relationships/hyperlink" Target="https://m.stock.naver.com/research/company/90448" TargetMode="External"/><Relationship Id="rId15220" Type="http://schemas.openxmlformats.org/officeDocument/2006/relationships/hyperlink" Target="https://m.stock.naver.com/research/company/95140" TargetMode="External"/><Relationship Id="rId4978" Type="http://schemas.openxmlformats.org/officeDocument/2006/relationships/hyperlink" Target="https://m.stock.naver.com/research/company/88262" TargetMode="External"/><Relationship Id="rId9900" Type="http://schemas.openxmlformats.org/officeDocument/2006/relationships/hyperlink" Target="https://m.stock.naver.com/research/company/83322" TargetMode="External"/><Relationship Id="rId11830" Type="http://schemas.openxmlformats.org/officeDocument/2006/relationships/hyperlink" Target="https://m.stock.naver.com/research/company/81382" TargetMode="External"/><Relationship Id="rId6053" Type="http://schemas.openxmlformats.org/officeDocument/2006/relationships/hyperlink" Target="https://m.stock.naver.com/research/company/87187" TargetMode="External"/><Relationship Id="rId7451" Type="http://schemas.openxmlformats.org/officeDocument/2006/relationships/hyperlink" Target="https://m.stock.naver.com/research/company/85788" TargetMode="External"/><Relationship Id="rId8502" Type="http://schemas.openxmlformats.org/officeDocument/2006/relationships/hyperlink" Target="https://m.stock.naver.com/research/company/84735" TargetMode="External"/><Relationship Id="rId10432" Type="http://schemas.openxmlformats.org/officeDocument/2006/relationships/hyperlink" Target="https://m.stock.naver.com/research/company/82789" TargetMode="External"/><Relationship Id="rId7104" Type="http://schemas.openxmlformats.org/officeDocument/2006/relationships/hyperlink" Target="https://m.stock.naver.com/research/company/86135" TargetMode="External"/><Relationship Id="rId13655" Type="http://schemas.openxmlformats.org/officeDocument/2006/relationships/hyperlink" Target="https://m.stock.naver.com/research/company/79549" TargetMode="External"/><Relationship Id="rId14706" Type="http://schemas.openxmlformats.org/officeDocument/2006/relationships/hyperlink" Target="https://m.stock.naver.com/research/company/94694" TargetMode="External"/><Relationship Id="rId982" Type="http://schemas.openxmlformats.org/officeDocument/2006/relationships/hyperlink" Target="https://m.stock.naver.com/research/company/92474" TargetMode="External"/><Relationship Id="rId2663" Type="http://schemas.openxmlformats.org/officeDocument/2006/relationships/hyperlink" Target="https://m.stock.naver.com/research/company/90591" TargetMode="External"/><Relationship Id="rId3714" Type="http://schemas.openxmlformats.org/officeDocument/2006/relationships/hyperlink" Target="https://m.stock.naver.com/research/company/89537" TargetMode="External"/><Relationship Id="rId9276" Type="http://schemas.openxmlformats.org/officeDocument/2006/relationships/hyperlink" Target="https://m.stock.naver.com/research/company/83951" TargetMode="External"/><Relationship Id="rId12257" Type="http://schemas.openxmlformats.org/officeDocument/2006/relationships/hyperlink" Target="https://m.stock.naver.com/research/company/80952" TargetMode="External"/><Relationship Id="rId13308" Type="http://schemas.openxmlformats.org/officeDocument/2006/relationships/hyperlink" Target="https://m.stock.naver.com/research/company/79897" TargetMode="External"/><Relationship Id="rId635" Type="http://schemas.openxmlformats.org/officeDocument/2006/relationships/hyperlink" Target="https://m.stock.naver.com/research/company/92821" TargetMode="External"/><Relationship Id="rId1265" Type="http://schemas.openxmlformats.org/officeDocument/2006/relationships/hyperlink" Target="https://m.stock.naver.com/research/company/91990" TargetMode="External"/><Relationship Id="rId2316" Type="http://schemas.openxmlformats.org/officeDocument/2006/relationships/hyperlink" Target="https://m.stock.naver.com/research/company/90939" TargetMode="External"/><Relationship Id="rId5886" Type="http://schemas.openxmlformats.org/officeDocument/2006/relationships/hyperlink" Target="https://m.stock.naver.com/research/company/87354" TargetMode="External"/><Relationship Id="rId4488" Type="http://schemas.openxmlformats.org/officeDocument/2006/relationships/hyperlink" Target="https://m.stock.naver.com/research/company/88752" TargetMode="External"/><Relationship Id="rId5539" Type="http://schemas.openxmlformats.org/officeDocument/2006/relationships/hyperlink" Target="https://m.stock.naver.com/research/company/87701" TargetMode="External"/><Relationship Id="rId6937" Type="http://schemas.openxmlformats.org/officeDocument/2006/relationships/hyperlink" Target="https://m.stock.naver.com/research/company/86302" TargetMode="External"/><Relationship Id="rId9410" Type="http://schemas.openxmlformats.org/officeDocument/2006/relationships/hyperlink" Target="https://m.stock.naver.com/research/company/83817" TargetMode="External"/><Relationship Id="rId8012" Type="http://schemas.openxmlformats.org/officeDocument/2006/relationships/hyperlink" Target="https://m.stock.naver.com/research/company/85226" TargetMode="External"/><Relationship Id="rId11340" Type="http://schemas.openxmlformats.org/officeDocument/2006/relationships/hyperlink" Target="https://m.stock.naver.com/research/company/81876" TargetMode="External"/><Relationship Id="rId14563" Type="http://schemas.openxmlformats.org/officeDocument/2006/relationships/hyperlink" Target="https://m.stock.naver.com/research/company/94347" TargetMode="External"/><Relationship Id="rId15614" Type="http://schemas.openxmlformats.org/officeDocument/2006/relationships/hyperlink" Target="https://m.stock.naver.com/research/company/95422" TargetMode="External"/><Relationship Id="rId3571" Type="http://schemas.openxmlformats.org/officeDocument/2006/relationships/hyperlink" Target="https://m.stock.naver.com/research/company/89680" TargetMode="External"/><Relationship Id="rId4622" Type="http://schemas.openxmlformats.org/officeDocument/2006/relationships/hyperlink" Target="https://m.stock.naver.com/research/company/88618" TargetMode="External"/><Relationship Id="rId13165" Type="http://schemas.openxmlformats.org/officeDocument/2006/relationships/hyperlink" Target="https://m.stock.naver.com/research/company/80042" TargetMode="External"/><Relationship Id="rId14216" Type="http://schemas.openxmlformats.org/officeDocument/2006/relationships/hyperlink" Target="https://m.stock.naver.com/research/company/94042" TargetMode="External"/><Relationship Id="rId492" Type="http://schemas.openxmlformats.org/officeDocument/2006/relationships/hyperlink" Target="https://m.stock.naver.com/research/company/92965" TargetMode="External"/><Relationship Id="rId2173" Type="http://schemas.openxmlformats.org/officeDocument/2006/relationships/hyperlink" Target="https://m.stock.naver.com/research/company/91082" TargetMode="External"/><Relationship Id="rId3224" Type="http://schemas.openxmlformats.org/officeDocument/2006/relationships/hyperlink" Target="https://m.stock.naver.com/research/company/90027" TargetMode="External"/><Relationship Id="rId6794" Type="http://schemas.openxmlformats.org/officeDocument/2006/relationships/hyperlink" Target="https://m.stock.naver.com/research/company/86446" TargetMode="External"/><Relationship Id="rId7845" Type="http://schemas.openxmlformats.org/officeDocument/2006/relationships/hyperlink" Target="https://m.stock.naver.com/research/company/85393" TargetMode="External"/><Relationship Id="rId145" Type="http://schemas.openxmlformats.org/officeDocument/2006/relationships/hyperlink" Target="https://m.stock.naver.com/research/company/93313" TargetMode="External"/><Relationship Id="rId5396" Type="http://schemas.openxmlformats.org/officeDocument/2006/relationships/hyperlink" Target="https://m.stock.naver.com/research/company/87844" TargetMode="External"/><Relationship Id="rId6447" Type="http://schemas.openxmlformats.org/officeDocument/2006/relationships/hyperlink" Target="https://m.stock.naver.com/research/company/86793" TargetMode="External"/><Relationship Id="rId10826" Type="http://schemas.openxmlformats.org/officeDocument/2006/relationships/hyperlink" Target="https://m.stock.naver.com/research/company/82394" TargetMode="External"/><Relationship Id="rId5049" Type="http://schemas.openxmlformats.org/officeDocument/2006/relationships/hyperlink" Target="https://m.stock.naver.com/research/company/88191" TargetMode="External"/><Relationship Id="rId12998" Type="http://schemas.openxmlformats.org/officeDocument/2006/relationships/hyperlink" Target="https://m.stock.naver.com/research/company/80210" TargetMode="External"/><Relationship Id="rId15471" Type="http://schemas.openxmlformats.org/officeDocument/2006/relationships/hyperlink" Target="https://m.stock.naver.com/research/company/95316" TargetMode="External"/><Relationship Id="rId1659" Type="http://schemas.openxmlformats.org/officeDocument/2006/relationships/hyperlink" Target="https://m.stock.naver.com/research/company/91596" TargetMode="External"/><Relationship Id="rId3081" Type="http://schemas.openxmlformats.org/officeDocument/2006/relationships/hyperlink" Target="https://m.stock.naver.com/research/company/90170" TargetMode="External"/><Relationship Id="rId4132" Type="http://schemas.openxmlformats.org/officeDocument/2006/relationships/hyperlink" Target="https://m.stock.naver.com/research/company/89119" TargetMode="External"/><Relationship Id="rId5530" Type="http://schemas.openxmlformats.org/officeDocument/2006/relationships/hyperlink" Target="https://m.stock.naver.com/research/company/87710" TargetMode="External"/><Relationship Id="rId14073" Type="http://schemas.openxmlformats.org/officeDocument/2006/relationships/hyperlink" Target="https://m.stock.naver.com/research/company/93881" TargetMode="External"/><Relationship Id="rId15124" Type="http://schemas.openxmlformats.org/officeDocument/2006/relationships/hyperlink" Target="https://m.stock.naver.com/research/company/94970" TargetMode="External"/><Relationship Id="rId8753" Type="http://schemas.openxmlformats.org/officeDocument/2006/relationships/hyperlink" Target="https://m.stock.naver.com/research/company/84484" TargetMode="External"/><Relationship Id="rId9804" Type="http://schemas.openxmlformats.org/officeDocument/2006/relationships/hyperlink" Target="https://m.stock.naver.com/research/company/83418" TargetMode="External"/><Relationship Id="rId10683" Type="http://schemas.openxmlformats.org/officeDocument/2006/relationships/hyperlink" Target="https://m.stock.naver.com/research/company/82537" TargetMode="External"/><Relationship Id="rId11734" Type="http://schemas.openxmlformats.org/officeDocument/2006/relationships/hyperlink" Target="https://m.stock.naver.com/research/company/81478" TargetMode="External"/><Relationship Id="rId18" Type="http://schemas.openxmlformats.org/officeDocument/2006/relationships/hyperlink" Target="https://m.stock.naver.com/research/company/93440" TargetMode="External"/><Relationship Id="rId7355" Type="http://schemas.openxmlformats.org/officeDocument/2006/relationships/hyperlink" Target="https://m.stock.naver.com/research/company/85884" TargetMode="External"/><Relationship Id="rId8406" Type="http://schemas.openxmlformats.org/officeDocument/2006/relationships/hyperlink" Target="https://m.stock.naver.com/research/company/84832" TargetMode="External"/><Relationship Id="rId10336" Type="http://schemas.openxmlformats.org/officeDocument/2006/relationships/hyperlink" Target="https://m.stock.naver.com/research/company/82885" TargetMode="External"/><Relationship Id="rId3965" Type="http://schemas.openxmlformats.org/officeDocument/2006/relationships/hyperlink" Target="https://m.stock.naver.com/research/company/89286" TargetMode="External"/><Relationship Id="rId7008" Type="http://schemas.openxmlformats.org/officeDocument/2006/relationships/hyperlink" Target="https://m.stock.naver.com/research/company/86231" TargetMode="External"/><Relationship Id="rId13559" Type="http://schemas.openxmlformats.org/officeDocument/2006/relationships/hyperlink" Target="https://m.stock.naver.com/research/company/79645" TargetMode="External"/><Relationship Id="rId14957" Type="http://schemas.openxmlformats.org/officeDocument/2006/relationships/hyperlink" Target="https://m.stock.naver.com/research/company/94877" TargetMode="External"/><Relationship Id="rId886" Type="http://schemas.openxmlformats.org/officeDocument/2006/relationships/hyperlink" Target="https://m.stock.naver.com/research/company/92570" TargetMode="External"/><Relationship Id="rId2567" Type="http://schemas.openxmlformats.org/officeDocument/2006/relationships/hyperlink" Target="https://m.stock.naver.com/research/company/90687" TargetMode="External"/><Relationship Id="rId3618" Type="http://schemas.openxmlformats.org/officeDocument/2006/relationships/hyperlink" Target="https://m.stock.naver.com/research/company/89633" TargetMode="External"/><Relationship Id="rId2" Type="http://schemas.openxmlformats.org/officeDocument/2006/relationships/hyperlink" Target="https://m.stock.naver.com/research/company/93456" TargetMode="External"/><Relationship Id="rId539" Type="http://schemas.openxmlformats.org/officeDocument/2006/relationships/hyperlink" Target="https://m.stock.naver.com/research/company/92918" TargetMode="External"/><Relationship Id="rId1169" Type="http://schemas.openxmlformats.org/officeDocument/2006/relationships/hyperlink" Target="https://m.stock.naver.com/research/company/92086" TargetMode="External"/><Relationship Id="rId5040" Type="http://schemas.openxmlformats.org/officeDocument/2006/relationships/hyperlink" Target="https://m.stock.naver.com/research/company/88200" TargetMode="External"/><Relationship Id="rId8263" Type="http://schemas.openxmlformats.org/officeDocument/2006/relationships/hyperlink" Target="https://m.stock.naver.com/research/company/84975" TargetMode="External"/><Relationship Id="rId9661" Type="http://schemas.openxmlformats.org/officeDocument/2006/relationships/hyperlink" Target="https://m.stock.naver.com/research/company/83563" TargetMode="External"/><Relationship Id="rId11591" Type="http://schemas.openxmlformats.org/officeDocument/2006/relationships/hyperlink" Target="https://m.stock.naver.com/research/company/81621" TargetMode="External"/><Relationship Id="rId12642" Type="http://schemas.openxmlformats.org/officeDocument/2006/relationships/hyperlink" Target="https://m.stock.naver.com/research/company/80566" TargetMode="External"/><Relationship Id="rId1650" Type="http://schemas.openxmlformats.org/officeDocument/2006/relationships/hyperlink" Target="https://m.stock.naver.com/research/company/91605" TargetMode="External"/><Relationship Id="rId2701" Type="http://schemas.openxmlformats.org/officeDocument/2006/relationships/hyperlink" Target="https://m.stock.naver.com/research/company/90553" TargetMode="External"/><Relationship Id="rId9314" Type="http://schemas.openxmlformats.org/officeDocument/2006/relationships/hyperlink" Target="https://m.stock.naver.com/research/company/83913" TargetMode="External"/><Relationship Id="rId10193" Type="http://schemas.openxmlformats.org/officeDocument/2006/relationships/hyperlink" Target="https://m.stock.naver.com/research/company/83028" TargetMode="External"/><Relationship Id="rId11244" Type="http://schemas.openxmlformats.org/officeDocument/2006/relationships/hyperlink" Target="https://m.stock.naver.com/research/company/81975" TargetMode="External"/><Relationship Id="rId1303" Type="http://schemas.openxmlformats.org/officeDocument/2006/relationships/hyperlink" Target="https://m.stock.naver.com/research/company/91952" TargetMode="External"/><Relationship Id="rId4873" Type="http://schemas.openxmlformats.org/officeDocument/2006/relationships/hyperlink" Target="https://m.stock.naver.com/research/company/88367" TargetMode="External"/><Relationship Id="rId5924" Type="http://schemas.openxmlformats.org/officeDocument/2006/relationships/hyperlink" Target="https://m.stock.naver.com/research/company/87316" TargetMode="External"/><Relationship Id="rId14467" Type="http://schemas.openxmlformats.org/officeDocument/2006/relationships/hyperlink" Target="https://m.stock.naver.com/research/company/94443" TargetMode="External"/><Relationship Id="rId15518" Type="http://schemas.openxmlformats.org/officeDocument/2006/relationships/hyperlink" Target="https://m.stock.naver.com/research/company/95518" TargetMode="External"/><Relationship Id="rId3475" Type="http://schemas.openxmlformats.org/officeDocument/2006/relationships/hyperlink" Target="https://m.stock.naver.com/research/company/89776" TargetMode="External"/><Relationship Id="rId4526" Type="http://schemas.openxmlformats.org/officeDocument/2006/relationships/hyperlink" Target="https://m.stock.naver.com/research/company/88714" TargetMode="External"/><Relationship Id="rId13069" Type="http://schemas.openxmlformats.org/officeDocument/2006/relationships/hyperlink" Target="https://m.stock.naver.com/research/company/80138" TargetMode="External"/><Relationship Id="rId396" Type="http://schemas.openxmlformats.org/officeDocument/2006/relationships/hyperlink" Target="https://m.stock.naver.com/research/company/93062" TargetMode="External"/><Relationship Id="rId2077" Type="http://schemas.openxmlformats.org/officeDocument/2006/relationships/hyperlink" Target="https://m.stock.naver.com/research/company/91178" TargetMode="External"/><Relationship Id="rId3128" Type="http://schemas.openxmlformats.org/officeDocument/2006/relationships/hyperlink" Target="https://m.stock.naver.com/research/company/90123" TargetMode="External"/><Relationship Id="rId6698" Type="http://schemas.openxmlformats.org/officeDocument/2006/relationships/hyperlink" Target="https://m.stock.naver.com/research/company/86542" TargetMode="External"/><Relationship Id="rId7749" Type="http://schemas.openxmlformats.org/officeDocument/2006/relationships/hyperlink" Target="https://m.stock.naver.com/research/company/85490" TargetMode="External"/><Relationship Id="rId9171" Type="http://schemas.openxmlformats.org/officeDocument/2006/relationships/hyperlink" Target="https://m.stock.naver.com/research/company/84059" TargetMode="External"/><Relationship Id="rId13550" Type="http://schemas.openxmlformats.org/officeDocument/2006/relationships/hyperlink" Target="https://m.stock.naver.com/research/company/79654" TargetMode="External"/><Relationship Id="rId14601" Type="http://schemas.openxmlformats.org/officeDocument/2006/relationships/hyperlink" Target="https://m.stock.naver.com/research/company/94576" TargetMode="External"/><Relationship Id="rId530" Type="http://schemas.openxmlformats.org/officeDocument/2006/relationships/hyperlink" Target="https://m.stock.naver.com/research/company/92927" TargetMode="External"/><Relationship Id="rId1160" Type="http://schemas.openxmlformats.org/officeDocument/2006/relationships/hyperlink" Target="https://m.stock.naver.com/research/company/92095" TargetMode="External"/><Relationship Id="rId2211" Type="http://schemas.openxmlformats.org/officeDocument/2006/relationships/hyperlink" Target="https://m.stock.naver.com/research/company/91044" TargetMode="External"/><Relationship Id="rId12152" Type="http://schemas.openxmlformats.org/officeDocument/2006/relationships/hyperlink" Target="https://m.stock.naver.com/research/company/81059" TargetMode="External"/><Relationship Id="rId13203" Type="http://schemas.openxmlformats.org/officeDocument/2006/relationships/hyperlink" Target="https://m.stock.naver.com/research/company/80004" TargetMode="External"/><Relationship Id="rId5781" Type="http://schemas.openxmlformats.org/officeDocument/2006/relationships/hyperlink" Target="https://m.stock.naver.com/research/company/87459" TargetMode="External"/><Relationship Id="rId6832" Type="http://schemas.openxmlformats.org/officeDocument/2006/relationships/hyperlink" Target="https://m.stock.naver.com/research/company/86408" TargetMode="External"/><Relationship Id="rId15375" Type="http://schemas.openxmlformats.org/officeDocument/2006/relationships/hyperlink" Target="https://m.stock.naver.com/research/company/95213" TargetMode="External"/><Relationship Id="rId4383" Type="http://schemas.openxmlformats.org/officeDocument/2006/relationships/hyperlink" Target="https://m.stock.naver.com/research/company/88858" TargetMode="External"/><Relationship Id="rId5434" Type="http://schemas.openxmlformats.org/officeDocument/2006/relationships/hyperlink" Target="https://m.stock.naver.com/research/company/87806" TargetMode="External"/><Relationship Id="rId15028" Type="http://schemas.openxmlformats.org/officeDocument/2006/relationships/hyperlink" Target="https://m.stock.naver.com/research/company/94940" TargetMode="External"/><Relationship Id="rId4036" Type="http://schemas.openxmlformats.org/officeDocument/2006/relationships/hyperlink" Target="https://m.stock.naver.com/research/company/89215" TargetMode="External"/><Relationship Id="rId8657" Type="http://schemas.openxmlformats.org/officeDocument/2006/relationships/hyperlink" Target="https://m.stock.naver.com/research/company/84580" TargetMode="External"/><Relationship Id="rId9708" Type="http://schemas.openxmlformats.org/officeDocument/2006/relationships/hyperlink" Target="https://m.stock.naver.com/research/company/83515" TargetMode="External"/><Relationship Id="rId10587" Type="http://schemas.openxmlformats.org/officeDocument/2006/relationships/hyperlink" Target="https://m.stock.naver.com/research/company/82633" TargetMode="External"/><Relationship Id="rId11638" Type="http://schemas.openxmlformats.org/officeDocument/2006/relationships/hyperlink" Target="https://m.stock.naver.com/research/company/81574" TargetMode="External"/><Relationship Id="rId11985" Type="http://schemas.openxmlformats.org/officeDocument/2006/relationships/hyperlink" Target="https://m.stock.naver.com/research/company/81226" TargetMode="External"/><Relationship Id="rId7259" Type="http://schemas.openxmlformats.org/officeDocument/2006/relationships/hyperlink" Target="https://m.stock.naver.com/research/company/85980" TargetMode="External"/><Relationship Id="rId13060" Type="http://schemas.openxmlformats.org/officeDocument/2006/relationships/hyperlink" Target="https://m.stock.naver.com/research/company/80147" TargetMode="External"/><Relationship Id="rId14111" Type="http://schemas.openxmlformats.org/officeDocument/2006/relationships/hyperlink" Target="https://m.stock.naver.com/research/company/93891" TargetMode="External"/><Relationship Id="rId3869" Type="http://schemas.openxmlformats.org/officeDocument/2006/relationships/hyperlink" Target="https://m.stock.naver.com/research/company/89382" TargetMode="External"/><Relationship Id="rId5291" Type="http://schemas.openxmlformats.org/officeDocument/2006/relationships/hyperlink" Target="https://m.stock.naver.com/research/company/87949" TargetMode="External"/><Relationship Id="rId6342" Type="http://schemas.openxmlformats.org/officeDocument/2006/relationships/hyperlink" Target="https://m.stock.naver.com/research/company/86898" TargetMode="External"/><Relationship Id="rId7740" Type="http://schemas.openxmlformats.org/officeDocument/2006/relationships/hyperlink" Target="https://m.stock.naver.com/research/company/85499" TargetMode="External"/><Relationship Id="rId10721" Type="http://schemas.openxmlformats.org/officeDocument/2006/relationships/hyperlink" Target="https://m.stock.naver.com/research/company/82499" TargetMode="External"/><Relationship Id="rId12893" Type="http://schemas.openxmlformats.org/officeDocument/2006/relationships/hyperlink" Target="https://m.stock.naver.com/research/company/80315" TargetMode="External"/><Relationship Id="rId13944" Type="http://schemas.openxmlformats.org/officeDocument/2006/relationships/hyperlink" Target="https://m.stock.naver.com/research/company/93788" TargetMode="External"/><Relationship Id="rId2952" Type="http://schemas.openxmlformats.org/officeDocument/2006/relationships/hyperlink" Target="https://m.stock.naver.com/research/company/90301" TargetMode="External"/><Relationship Id="rId9565" Type="http://schemas.openxmlformats.org/officeDocument/2006/relationships/hyperlink" Target="https://m.stock.naver.com/research/company/83662" TargetMode="External"/><Relationship Id="rId11495" Type="http://schemas.openxmlformats.org/officeDocument/2006/relationships/hyperlink" Target="https://m.stock.naver.com/research/company/81720" TargetMode="External"/><Relationship Id="rId12546" Type="http://schemas.openxmlformats.org/officeDocument/2006/relationships/hyperlink" Target="https://m.stock.naver.com/research/company/80662" TargetMode="External"/><Relationship Id="rId924" Type="http://schemas.openxmlformats.org/officeDocument/2006/relationships/hyperlink" Target="https://m.stock.naver.com/research/company/92532" TargetMode="External"/><Relationship Id="rId1554" Type="http://schemas.openxmlformats.org/officeDocument/2006/relationships/hyperlink" Target="https://m.stock.naver.com/research/company/91701" TargetMode="External"/><Relationship Id="rId2605" Type="http://schemas.openxmlformats.org/officeDocument/2006/relationships/hyperlink" Target="https://m.stock.naver.com/research/company/90649" TargetMode="External"/><Relationship Id="rId8167" Type="http://schemas.openxmlformats.org/officeDocument/2006/relationships/hyperlink" Target="https://m.stock.naver.com/research/company/85071" TargetMode="External"/><Relationship Id="rId9218" Type="http://schemas.openxmlformats.org/officeDocument/2006/relationships/hyperlink" Target="https://m.stock.naver.com/research/company/84012" TargetMode="External"/><Relationship Id="rId10097" Type="http://schemas.openxmlformats.org/officeDocument/2006/relationships/hyperlink" Target="https://m.stock.naver.com/research/company/83124" TargetMode="External"/><Relationship Id="rId11148" Type="http://schemas.openxmlformats.org/officeDocument/2006/relationships/hyperlink" Target="https://m.stock.naver.com/research/company/82072" TargetMode="External"/><Relationship Id="rId1207" Type="http://schemas.openxmlformats.org/officeDocument/2006/relationships/hyperlink" Target="https://m.stock.naver.com/research/company/92048" TargetMode="External"/><Relationship Id="rId4777" Type="http://schemas.openxmlformats.org/officeDocument/2006/relationships/hyperlink" Target="https://m.stock.naver.com/research/company/88463" TargetMode="External"/><Relationship Id="rId5828" Type="http://schemas.openxmlformats.org/officeDocument/2006/relationships/hyperlink" Target="https://m.stock.naver.com/research/company/87412" TargetMode="External"/><Relationship Id="rId3379" Type="http://schemas.openxmlformats.org/officeDocument/2006/relationships/hyperlink" Target="https://m.stock.naver.com/research/company/89872" TargetMode="External"/><Relationship Id="rId7250" Type="http://schemas.openxmlformats.org/officeDocument/2006/relationships/hyperlink" Target="https://m.stock.naver.com/research/company/85989" TargetMode="External"/><Relationship Id="rId8301" Type="http://schemas.openxmlformats.org/officeDocument/2006/relationships/hyperlink" Target="https://m.stock.naver.com/research/company/84937" TargetMode="External"/><Relationship Id="rId10231" Type="http://schemas.openxmlformats.org/officeDocument/2006/relationships/hyperlink" Target="https://m.stock.naver.com/research/company/82990" TargetMode="External"/><Relationship Id="rId14852" Type="http://schemas.openxmlformats.org/officeDocument/2006/relationships/hyperlink" Target="https://m.stock.naver.com/research/company/94772" TargetMode="External"/><Relationship Id="rId3860" Type="http://schemas.openxmlformats.org/officeDocument/2006/relationships/hyperlink" Target="https://m.stock.naver.com/research/company/89391" TargetMode="External"/><Relationship Id="rId4911" Type="http://schemas.openxmlformats.org/officeDocument/2006/relationships/hyperlink" Target="https://m.stock.naver.com/research/company/88329" TargetMode="External"/><Relationship Id="rId9075" Type="http://schemas.openxmlformats.org/officeDocument/2006/relationships/hyperlink" Target="https://m.stock.naver.com/research/company/84156" TargetMode="External"/><Relationship Id="rId13454" Type="http://schemas.openxmlformats.org/officeDocument/2006/relationships/hyperlink" Target="https://m.stock.naver.com/research/company/79750" TargetMode="External"/><Relationship Id="rId14505" Type="http://schemas.openxmlformats.org/officeDocument/2006/relationships/hyperlink" Target="https://m.stock.naver.com/research/company/94405" TargetMode="External"/><Relationship Id="rId781" Type="http://schemas.openxmlformats.org/officeDocument/2006/relationships/hyperlink" Target="https://m.stock.naver.com/research/company/92675" TargetMode="External"/><Relationship Id="rId2462" Type="http://schemas.openxmlformats.org/officeDocument/2006/relationships/hyperlink" Target="https://m.stock.naver.com/research/company/90792" TargetMode="External"/><Relationship Id="rId3513" Type="http://schemas.openxmlformats.org/officeDocument/2006/relationships/hyperlink" Target="https://m.stock.naver.com/research/company/89738" TargetMode="External"/><Relationship Id="rId12056" Type="http://schemas.openxmlformats.org/officeDocument/2006/relationships/hyperlink" Target="https://m.stock.naver.com/research/company/81155" TargetMode="External"/><Relationship Id="rId13107" Type="http://schemas.openxmlformats.org/officeDocument/2006/relationships/hyperlink" Target="https://m.stock.naver.com/research/company/80100" TargetMode="External"/><Relationship Id="rId434" Type="http://schemas.openxmlformats.org/officeDocument/2006/relationships/hyperlink" Target="https://m.stock.naver.com/research/company/93023" TargetMode="External"/><Relationship Id="rId1064" Type="http://schemas.openxmlformats.org/officeDocument/2006/relationships/hyperlink" Target="https://m.stock.naver.com/research/company/92287" TargetMode="External"/><Relationship Id="rId2115" Type="http://schemas.openxmlformats.org/officeDocument/2006/relationships/hyperlink" Target="https://m.stock.naver.com/research/company/91140" TargetMode="External"/><Relationship Id="rId5685" Type="http://schemas.openxmlformats.org/officeDocument/2006/relationships/hyperlink" Target="https://m.stock.naver.com/research/company/87555" TargetMode="External"/><Relationship Id="rId6736" Type="http://schemas.openxmlformats.org/officeDocument/2006/relationships/hyperlink" Target="https://m.stock.naver.com/research/company/86504" TargetMode="External"/><Relationship Id="rId15279" Type="http://schemas.openxmlformats.org/officeDocument/2006/relationships/hyperlink" Target="https://m.stock.naver.com/research/company/95081" TargetMode="External"/><Relationship Id="rId4287" Type="http://schemas.openxmlformats.org/officeDocument/2006/relationships/hyperlink" Target="https://m.stock.naver.com/research/company/88954" TargetMode="External"/><Relationship Id="rId5338" Type="http://schemas.openxmlformats.org/officeDocument/2006/relationships/hyperlink" Target="https://m.stock.naver.com/research/company/87902" TargetMode="External"/><Relationship Id="rId9959" Type="http://schemas.openxmlformats.org/officeDocument/2006/relationships/hyperlink" Target="https://m.stock.naver.com/research/company/83262" TargetMode="External"/><Relationship Id="rId11889" Type="http://schemas.openxmlformats.org/officeDocument/2006/relationships/hyperlink" Target="https://m.stock.naver.com/research/company/81322" TargetMode="External"/><Relationship Id="rId1948" Type="http://schemas.openxmlformats.org/officeDocument/2006/relationships/hyperlink" Target="https://m.stock.naver.com/research/company/91307" TargetMode="External"/><Relationship Id="rId3370" Type="http://schemas.openxmlformats.org/officeDocument/2006/relationships/hyperlink" Target="https://m.stock.naver.com/research/company/89881" TargetMode="External"/><Relationship Id="rId4421" Type="http://schemas.openxmlformats.org/officeDocument/2006/relationships/hyperlink" Target="https://m.stock.naver.com/research/company/88820" TargetMode="External"/><Relationship Id="rId14362" Type="http://schemas.openxmlformats.org/officeDocument/2006/relationships/hyperlink" Target="https://m.stock.naver.com/research/company/94250" TargetMode="External"/><Relationship Id="rId15413" Type="http://schemas.openxmlformats.org/officeDocument/2006/relationships/hyperlink" Target="https://m.stock.naver.com/research/company/95374" TargetMode="External"/><Relationship Id="rId291" Type="http://schemas.openxmlformats.org/officeDocument/2006/relationships/hyperlink" Target="https://m.stock.naver.com/research/company/93167" TargetMode="External"/><Relationship Id="rId3023" Type="http://schemas.openxmlformats.org/officeDocument/2006/relationships/hyperlink" Target="https://m.stock.naver.com/research/company/90228" TargetMode="External"/><Relationship Id="rId7991" Type="http://schemas.openxmlformats.org/officeDocument/2006/relationships/hyperlink" Target="https://m.stock.naver.com/research/company/85247" TargetMode="External"/><Relationship Id="rId10972" Type="http://schemas.openxmlformats.org/officeDocument/2006/relationships/hyperlink" Target="https://m.stock.naver.com/research/company/82248" TargetMode="External"/><Relationship Id="rId14015" Type="http://schemas.openxmlformats.org/officeDocument/2006/relationships/hyperlink" Target="https://m.stock.naver.com/research/company/93832" TargetMode="External"/><Relationship Id="rId5195" Type="http://schemas.openxmlformats.org/officeDocument/2006/relationships/hyperlink" Target="https://m.stock.naver.com/research/company/88045" TargetMode="External"/><Relationship Id="rId6593" Type="http://schemas.openxmlformats.org/officeDocument/2006/relationships/hyperlink" Target="https://m.stock.naver.com/research/company/86647" TargetMode="External"/><Relationship Id="rId7644" Type="http://schemas.openxmlformats.org/officeDocument/2006/relationships/hyperlink" Target="https://m.stock.naver.com/research/company/85595" TargetMode="External"/><Relationship Id="rId10625" Type="http://schemas.openxmlformats.org/officeDocument/2006/relationships/hyperlink" Target="https://m.stock.naver.com/research/company/82595" TargetMode="External"/><Relationship Id="rId6246" Type="http://schemas.openxmlformats.org/officeDocument/2006/relationships/hyperlink" Target="https://m.stock.naver.com/research/company/86994" TargetMode="External"/><Relationship Id="rId12797" Type="http://schemas.openxmlformats.org/officeDocument/2006/relationships/hyperlink" Target="https://m.stock.naver.com/research/company/80411" TargetMode="External"/><Relationship Id="rId13848" Type="http://schemas.openxmlformats.org/officeDocument/2006/relationships/hyperlink" Target="https://m.stock.naver.com/research/company/93634" TargetMode="External"/><Relationship Id="rId2856" Type="http://schemas.openxmlformats.org/officeDocument/2006/relationships/hyperlink" Target="https://m.stock.naver.com/research/company/90397" TargetMode="External"/><Relationship Id="rId3907" Type="http://schemas.openxmlformats.org/officeDocument/2006/relationships/hyperlink" Target="https://m.stock.naver.com/research/company/89344" TargetMode="External"/><Relationship Id="rId9469" Type="http://schemas.openxmlformats.org/officeDocument/2006/relationships/hyperlink" Target="https://m.stock.naver.com/research/company/83758" TargetMode="External"/><Relationship Id="rId11399" Type="http://schemas.openxmlformats.org/officeDocument/2006/relationships/hyperlink" Target="https://m.stock.naver.com/research/company/81816" TargetMode="External"/><Relationship Id="rId15270" Type="http://schemas.openxmlformats.org/officeDocument/2006/relationships/hyperlink" Target="https://m.stock.naver.com/research/company/95090" TargetMode="External"/><Relationship Id="rId828" Type="http://schemas.openxmlformats.org/officeDocument/2006/relationships/hyperlink" Target="https://m.stock.naver.com/research/company/92628" TargetMode="External"/><Relationship Id="rId1458" Type="http://schemas.openxmlformats.org/officeDocument/2006/relationships/hyperlink" Target="https://m.stock.naver.com/research/company/91797" TargetMode="External"/><Relationship Id="rId2509" Type="http://schemas.openxmlformats.org/officeDocument/2006/relationships/hyperlink" Target="https://m.stock.naver.com/research/company/90745" TargetMode="External"/><Relationship Id="rId8552" Type="http://schemas.openxmlformats.org/officeDocument/2006/relationships/hyperlink" Target="https://m.stock.naver.com/research/company/84685" TargetMode="External"/><Relationship Id="rId9950" Type="http://schemas.openxmlformats.org/officeDocument/2006/relationships/hyperlink" Target="https://m.stock.naver.com/research/company/83272" TargetMode="External"/><Relationship Id="rId11880" Type="http://schemas.openxmlformats.org/officeDocument/2006/relationships/hyperlink" Target="https://m.stock.naver.com/research/company/81332" TargetMode="External"/><Relationship Id="rId12931" Type="http://schemas.openxmlformats.org/officeDocument/2006/relationships/hyperlink" Target="https://m.stock.naver.com/research/company/80277" TargetMode="External"/><Relationship Id="rId7154" Type="http://schemas.openxmlformats.org/officeDocument/2006/relationships/hyperlink" Target="https://m.stock.naver.com/research/company/86085" TargetMode="External"/><Relationship Id="rId8205" Type="http://schemas.openxmlformats.org/officeDocument/2006/relationships/hyperlink" Target="https://m.stock.naver.com/research/company/85033" TargetMode="External"/><Relationship Id="rId9603" Type="http://schemas.openxmlformats.org/officeDocument/2006/relationships/hyperlink" Target="https://m.stock.naver.com/research/company/83624" TargetMode="External"/><Relationship Id="rId10482" Type="http://schemas.openxmlformats.org/officeDocument/2006/relationships/hyperlink" Target="https://m.stock.naver.com/research/company/82738" TargetMode="External"/><Relationship Id="rId11533" Type="http://schemas.openxmlformats.org/officeDocument/2006/relationships/hyperlink" Target="https://m.stock.naver.com/research/company/81682" TargetMode="External"/><Relationship Id="rId10135" Type="http://schemas.openxmlformats.org/officeDocument/2006/relationships/hyperlink" Target="https://m.stock.naver.com/research/company/83086" TargetMode="External"/><Relationship Id="rId14756" Type="http://schemas.openxmlformats.org/officeDocument/2006/relationships/hyperlink" Target="https://m.stock.naver.com/research/company/94644" TargetMode="External"/><Relationship Id="rId3764" Type="http://schemas.openxmlformats.org/officeDocument/2006/relationships/hyperlink" Target="https://m.stock.naver.com/research/company/89487" TargetMode="External"/><Relationship Id="rId4815" Type="http://schemas.openxmlformats.org/officeDocument/2006/relationships/hyperlink" Target="https://m.stock.naver.com/research/company/88425" TargetMode="External"/><Relationship Id="rId13358" Type="http://schemas.openxmlformats.org/officeDocument/2006/relationships/hyperlink" Target="https://m.stock.naver.com/research/company/79847" TargetMode="External"/><Relationship Id="rId14409" Type="http://schemas.openxmlformats.org/officeDocument/2006/relationships/hyperlink" Target="https://m.stock.naver.com/research/company/94274" TargetMode="External"/><Relationship Id="rId685" Type="http://schemas.openxmlformats.org/officeDocument/2006/relationships/hyperlink" Target="https://m.stock.naver.com/research/company/92771" TargetMode="External"/><Relationship Id="rId2366" Type="http://schemas.openxmlformats.org/officeDocument/2006/relationships/hyperlink" Target="https://m.stock.naver.com/research/company/90888" TargetMode="External"/><Relationship Id="rId3417" Type="http://schemas.openxmlformats.org/officeDocument/2006/relationships/hyperlink" Target="https://m.stock.naver.com/research/company/89834" TargetMode="External"/><Relationship Id="rId6987" Type="http://schemas.openxmlformats.org/officeDocument/2006/relationships/hyperlink" Target="https://m.stock.naver.com/research/company/86252" TargetMode="External"/><Relationship Id="rId338" Type="http://schemas.openxmlformats.org/officeDocument/2006/relationships/hyperlink" Target="https://m.stock.naver.com/research/company/93120" TargetMode="External"/><Relationship Id="rId2019" Type="http://schemas.openxmlformats.org/officeDocument/2006/relationships/hyperlink" Target="https://m.stock.naver.com/research/company/91236" TargetMode="External"/><Relationship Id="rId5589" Type="http://schemas.openxmlformats.org/officeDocument/2006/relationships/hyperlink" Target="https://m.stock.naver.com/research/company/87651" TargetMode="External"/><Relationship Id="rId9460" Type="http://schemas.openxmlformats.org/officeDocument/2006/relationships/hyperlink" Target="https://m.stock.naver.com/research/company/83767" TargetMode="External"/><Relationship Id="rId11390" Type="http://schemas.openxmlformats.org/officeDocument/2006/relationships/hyperlink" Target="https://m.stock.naver.com/research/company/81825" TargetMode="External"/><Relationship Id="rId2500" Type="http://schemas.openxmlformats.org/officeDocument/2006/relationships/hyperlink" Target="https://m.stock.naver.com/research/company/90754" TargetMode="External"/><Relationship Id="rId8062" Type="http://schemas.openxmlformats.org/officeDocument/2006/relationships/hyperlink" Target="https://m.stock.naver.com/research/company/85176" TargetMode="External"/><Relationship Id="rId9113" Type="http://schemas.openxmlformats.org/officeDocument/2006/relationships/hyperlink" Target="https://m.stock.naver.com/research/company/84117" TargetMode="External"/><Relationship Id="rId11043" Type="http://schemas.openxmlformats.org/officeDocument/2006/relationships/hyperlink" Target="https://m.stock.naver.com/research/company/82177" TargetMode="External"/><Relationship Id="rId12441" Type="http://schemas.openxmlformats.org/officeDocument/2006/relationships/hyperlink" Target="https://m.stock.naver.com/research/company/80768" TargetMode="External"/><Relationship Id="rId1102" Type="http://schemas.openxmlformats.org/officeDocument/2006/relationships/hyperlink" Target="https://m.stock.naver.com/research/company/92153" TargetMode="External"/><Relationship Id="rId15664" Type="http://schemas.openxmlformats.org/officeDocument/2006/relationships/hyperlink" Target="https://m.stock.naver.com/research/company/95750" TargetMode="External"/><Relationship Id="rId3274" Type="http://schemas.openxmlformats.org/officeDocument/2006/relationships/hyperlink" Target="https://m.stock.naver.com/research/company/89976" TargetMode="External"/><Relationship Id="rId4672" Type="http://schemas.openxmlformats.org/officeDocument/2006/relationships/hyperlink" Target="https://m.stock.naver.com/research/company/88568" TargetMode="External"/><Relationship Id="rId5723" Type="http://schemas.openxmlformats.org/officeDocument/2006/relationships/hyperlink" Target="https://m.stock.naver.com/research/company/87517" TargetMode="External"/><Relationship Id="rId14266" Type="http://schemas.openxmlformats.org/officeDocument/2006/relationships/hyperlink" Target="https://m.stock.naver.com/research/company/94132" TargetMode="External"/><Relationship Id="rId15317" Type="http://schemas.openxmlformats.org/officeDocument/2006/relationships/hyperlink" Target="https://m.stock.naver.com/research/company/95271" TargetMode="External"/><Relationship Id="rId195" Type="http://schemas.openxmlformats.org/officeDocument/2006/relationships/hyperlink" Target="https://m.stock.naver.com/research/company/93263" TargetMode="External"/><Relationship Id="rId4325" Type="http://schemas.openxmlformats.org/officeDocument/2006/relationships/hyperlink" Target="https://m.stock.naver.com/research/company/88916" TargetMode="External"/><Relationship Id="rId7895" Type="http://schemas.openxmlformats.org/officeDocument/2006/relationships/hyperlink" Target="https://m.stock.naver.com/research/company/85343" TargetMode="External"/><Relationship Id="rId8946" Type="http://schemas.openxmlformats.org/officeDocument/2006/relationships/hyperlink" Target="https://m.stock.naver.com/research/company/84286" TargetMode="External"/><Relationship Id="rId10876" Type="http://schemas.openxmlformats.org/officeDocument/2006/relationships/hyperlink" Target="https://m.stock.naver.com/research/company/82344" TargetMode="External"/><Relationship Id="rId11927" Type="http://schemas.openxmlformats.org/officeDocument/2006/relationships/hyperlink" Target="https://m.stock.naver.com/research/company/81284" TargetMode="External"/><Relationship Id="rId6497" Type="http://schemas.openxmlformats.org/officeDocument/2006/relationships/hyperlink" Target="https://m.stock.naver.com/research/company/86743" TargetMode="External"/><Relationship Id="rId7548" Type="http://schemas.openxmlformats.org/officeDocument/2006/relationships/hyperlink" Target="https://m.stock.naver.com/research/company/85691" TargetMode="External"/><Relationship Id="rId10529" Type="http://schemas.openxmlformats.org/officeDocument/2006/relationships/hyperlink" Target="https://m.stock.naver.com/research/company/82691" TargetMode="External"/><Relationship Id="rId14400" Type="http://schemas.openxmlformats.org/officeDocument/2006/relationships/hyperlink" Target="https://m.stock.naver.com/research/company/94283" TargetMode="External"/><Relationship Id="rId5099" Type="http://schemas.openxmlformats.org/officeDocument/2006/relationships/hyperlink" Target="https://m.stock.naver.com/research/company/88141" TargetMode="External"/><Relationship Id="rId13002" Type="http://schemas.openxmlformats.org/officeDocument/2006/relationships/hyperlink" Target="https://m.stock.naver.com/research/company/80206" TargetMode="External"/><Relationship Id="rId2010" Type="http://schemas.openxmlformats.org/officeDocument/2006/relationships/hyperlink" Target="https://m.stock.naver.com/research/company/91245" TargetMode="External"/><Relationship Id="rId5580" Type="http://schemas.openxmlformats.org/officeDocument/2006/relationships/hyperlink" Target="https://m.stock.naver.com/research/company/87660" TargetMode="External"/><Relationship Id="rId6631" Type="http://schemas.openxmlformats.org/officeDocument/2006/relationships/hyperlink" Target="https://m.stock.naver.com/research/company/86609" TargetMode="External"/><Relationship Id="rId15174" Type="http://schemas.openxmlformats.org/officeDocument/2006/relationships/hyperlink" Target="https://m.stock.naver.com/research/company/95186" TargetMode="External"/><Relationship Id="rId4182" Type="http://schemas.openxmlformats.org/officeDocument/2006/relationships/hyperlink" Target="https://m.stock.naver.com/research/company/89060" TargetMode="External"/><Relationship Id="rId5233" Type="http://schemas.openxmlformats.org/officeDocument/2006/relationships/hyperlink" Target="https://m.stock.naver.com/research/company/88007" TargetMode="External"/><Relationship Id="rId9854" Type="http://schemas.openxmlformats.org/officeDocument/2006/relationships/hyperlink" Target="https://m.stock.naver.com/research/company/83368" TargetMode="External"/><Relationship Id="rId11784" Type="http://schemas.openxmlformats.org/officeDocument/2006/relationships/hyperlink" Target="https://m.stock.naver.com/research/company/81428" TargetMode="External"/><Relationship Id="rId12835" Type="http://schemas.openxmlformats.org/officeDocument/2006/relationships/hyperlink" Target="https://m.stock.naver.com/research/company/80373" TargetMode="External"/><Relationship Id="rId68" Type="http://schemas.openxmlformats.org/officeDocument/2006/relationships/hyperlink" Target="https://m.stock.naver.com/research/company/93390" TargetMode="External"/><Relationship Id="rId1843" Type="http://schemas.openxmlformats.org/officeDocument/2006/relationships/hyperlink" Target="https://m.stock.naver.com/research/company/91412" TargetMode="External"/><Relationship Id="rId7058" Type="http://schemas.openxmlformats.org/officeDocument/2006/relationships/hyperlink" Target="https://m.stock.naver.com/research/company/86181" TargetMode="External"/><Relationship Id="rId8456" Type="http://schemas.openxmlformats.org/officeDocument/2006/relationships/hyperlink" Target="https://m.stock.naver.com/research/company/84781" TargetMode="External"/><Relationship Id="rId9507" Type="http://schemas.openxmlformats.org/officeDocument/2006/relationships/hyperlink" Target="https://m.stock.naver.com/research/company/83720" TargetMode="External"/><Relationship Id="rId10386" Type="http://schemas.openxmlformats.org/officeDocument/2006/relationships/hyperlink" Target="https://m.stock.naver.com/research/company/82835" TargetMode="External"/><Relationship Id="rId11437" Type="http://schemas.openxmlformats.org/officeDocument/2006/relationships/hyperlink" Target="https://m.stock.naver.com/research/company/81778" TargetMode="External"/><Relationship Id="rId8109" Type="http://schemas.openxmlformats.org/officeDocument/2006/relationships/hyperlink" Target="https://m.stock.naver.com/research/company/85129" TargetMode="External"/><Relationship Id="rId10039" Type="http://schemas.openxmlformats.org/officeDocument/2006/relationships/hyperlink" Target="https://m.stock.naver.com/research/company/83182" TargetMode="External"/><Relationship Id="rId3668" Type="http://schemas.openxmlformats.org/officeDocument/2006/relationships/hyperlink" Target="https://m.stock.naver.com/research/company/89583" TargetMode="External"/><Relationship Id="rId4719" Type="http://schemas.openxmlformats.org/officeDocument/2006/relationships/hyperlink" Target="https://m.stock.naver.com/research/company/88521" TargetMode="External"/><Relationship Id="rId6074" Type="http://schemas.openxmlformats.org/officeDocument/2006/relationships/hyperlink" Target="https://m.stock.naver.com/research/company/87166" TargetMode="External"/><Relationship Id="rId7125" Type="http://schemas.openxmlformats.org/officeDocument/2006/relationships/hyperlink" Target="https://m.stock.naver.com/research/company/86114" TargetMode="External"/><Relationship Id="rId10106" Type="http://schemas.openxmlformats.org/officeDocument/2006/relationships/hyperlink" Target="https://m.stock.naver.com/research/company/83115" TargetMode="External"/><Relationship Id="rId589" Type="http://schemas.openxmlformats.org/officeDocument/2006/relationships/hyperlink" Target="https://m.stock.naver.com/research/company/92868" TargetMode="External"/><Relationship Id="rId2684" Type="http://schemas.openxmlformats.org/officeDocument/2006/relationships/hyperlink" Target="https://m.stock.naver.com/research/company/90570" TargetMode="External"/><Relationship Id="rId3735" Type="http://schemas.openxmlformats.org/officeDocument/2006/relationships/hyperlink" Target="https://m.stock.naver.com/research/company/89516" TargetMode="External"/><Relationship Id="rId5090" Type="http://schemas.openxmlformats.org/officeDocument/2006/relationships/hyperlink" Target="https://m.stock.naver.com/research/company/88150" TargetMode="External"/><Relationship Id="rId6141" Type="http://schemas.openxmlformats.org/officeDocument/2006/relationships/hyperlink" Target="https://m.stock.naver.com/research/company/87099" TargetMode="External"/><Relationship Id="rId9297" Type="http://schemas.openxmlformats.org/officeDocument/2006/relationships/hyperlink" Target="https://m.stock.naver.com/research/company/83930" TargetMode="External"/><Relationship Id="rId10520" Type="http://schemas.openxmlformats.org/officeDocument/2006/relationships/hyperlink" Target="https://m.stock.naver.com/research/company/82700" TargetMode="External"/><Relationship Id="rId12278" Type="http://schemas.openxmlformats.org/officeDocument/2006/relationships/hyperlink" Target="https://m.stock.naver.com/research/company/80931" TargetMode="External"/><Relationship Id="rId13329" Type="http://schemas.openxmlformats.org/officeDocument/2006/relationships/hyperlink" Target="https://m.stock.naver.com/research/company/79876" TargetMode="External"/><Relationship Id="rId13676" Type="http://schemas.openxmlformats.org/officeDocument/2006/relationships/hyperlink" Target="https://m.stock.naver.com/research/company/79528" TargetMode="External"/><Relationship Id="rId14727" Type="http://schemas.openxmlformats.org/officeDocument/2006/relationships/hyperlink" Target="https://m.stock.naver.com/research/company/94673" TargetMode="External"/><Relationship Id="rId656" Type="http://schemas.openxmlformats.org/officeDocument/2006/relationships/hyperlink" Target="https://m.stock.naver.com/research/company/92800" TargetMode="External"/><Relationship Id="rId1286" Type="http://schemas.openxmlformats.org/officeDocument/2006/relationships/hyperlink" Target="https://m.stock.naver.com/research/company/91969" TargetMode="External"/><Relationship Id="rId2337" Type="http://schemas.openxmlformats.org/officeDocument/2006/relationships/hyperlink" Target="https://m.stock.naver.com/research/company/90918" TargetMode="External"/><Relationship Id="rId9364" Type="http://schemas.openxmlformats.org/officeDocument/2006/relationships/hyperlink" Target="https://m.stock.naver.com/research/company/83863" TargetMode="External"/><Relationship Id="rId12692" Type="http://schemas.openxmlformats.org/officeDocument/2006/relationships/hyperlink" Target="https://m.stock.naver.com/research/company/80516" TargetMode="External"/><Relationship Id="rId13743" Type="http://schemas.openxmlformats.org/officeDocument/2006/relationships/hyperlink" Target="https://m.stock.naver.com/research/company/93496" TargetMode="External"/><Relationship Id="rId309" Type="http://schemas.openxmlformats.org/officeDocument/2006/relationships/hyperlink" Target="https://m.stock.naver.com/research/company/93149" TargetMode="External"/><Relationship Id="rId2751" Type="http://schemas.openxmlformats.org/officeDocument/2006/relationships/hyperlink" Target="https://m.stock.naver.com/research/company/90503" TargetMode="External"/><Relationship Id="rId3802" Type="http://schemas.openxmlformats.org/officeDocument/2006/relationships/hyperlink" Target="https://m.stock.naver.com/research/company/89449" TargetMode="External"/><Relationship Id="rId6958" Type="http://schemas.openxmlformats.org/officeDocument/2006/relationships/hyperlink" Target="https://m.stock.naver.com/research/company/86281" TargetMode="External"/><Relationship Id="rId8380" Type="http://schemas.openxmlformats.org/officeDocument/2006/relationships/hyperlink" Target="https://m.stock.naver.com/research/company/84858" TargetMode="External"/><Relationship Id="rId9017" Type="http://schemas.openxmlformats.org/officeDocument/2006/relationships/hyperlink" Target="https://m.stock.naver.com/research/company/84215" TargetMode="External"/><Relationship Id="rId11294" Type="http://schemas.openxmlformats.org/officeDocument/2006/relationships/hyperlink" Target="https://m.stock.naver.com/research/company/81925" TargetMode="External"/><Relationship Id="rId12345" Type="http://schemas.openxmlformats.org/officeDocument/2006/relationships/hyperlink" Target="https://m.stock.naver.com/research/company/80864" TargetMode="External"/><Relationship Id="rId13810" Type="http://schemas.openxmlformats.org/officeDocument/2006/relationships/hyperlink" Target="https://m.stock.naver.com/research/company/93568" TargetMode="External"/><Relationship Id="rId723" Type="http://schemas.openxmlformats.org/officeDocument/2006/relationships/hyperlink" Target="https://m.stock.naver.com/research/company/92733" TargetMode="External"/><Relationship Id="rId1006" Type="http://schemas.openxmlformats.org/officeDocument/2006/relationships/hyperlink" Target="https://m.stock.naver.com/research/company/92450" TargetMode="External"/><Relationship Id="rId1353" Type="http://schemas.openxmlformats.org/officeDocument/2006/relationships/hyperlink" Target="https://m.stock.naver.com/research/company/91902" TargetMode="External"/><Relationship Id="rId2404" Type="http://schemas.openxmlformats.org/officeDocument/2006/relationships/hyperlink" Target="https://m.stock.naver.com/research/company/90850" TargetMode="External"/><Relationship Id="rId5974" Type="http://schemas.openxmlformats.org/officeDocument/2006/relationships/hyperlink" Target="https://m.stock.naver.com/research/company/87266" TargetMode="External"/><Relationship Id="rId8033" Type="http://schemas.openxmlformats.org/officeDocument/2006/relationships/hyperlink" Target="https://m.stock.naver.com/research/company/85205" TargetMode="External"/><Relationship Id="rId9431" Type="http://schemas.openxmlformats.org/officeDocument/2006/relationships/hyperlink" Target="https://m.stock.naver.com/research/company/83796" TargetMode="External"/><Relationship Id="rId11361" Type="http://schemas.openxmlformats.org/officeDocument/2006/relationships/hyperlink" Target="https://m.stock.naver.com/research/company/81854" TargetMode="External"/><Relationship Id="rId12412" Type="http://schemas.openxmlformats.org/officeDocument/2006/relationships/hyperlink" Target="https://m.stock.naver.com/research/company/80797" TargetMode="External"/><Relationship Id="rId15568" Type="http://schemas.openxmlformats.org/officeDocument/2006/relationships/hyperlink" Target="https://m.stock.naver.com/research/company/95468" TargetMode="External"/><Relationship Id="rId1420" Type="http://schemas.openxmlformats.org/officeDocument/2006/relationships/hyperlink" Target="https://m.stock.naver.com/research/company/91835" TargetMode="External"/><Relationship Id="rId4576" Type="http://schemas.openxmlformats.org/officeDocument/2006/relationships/hyperlink" Target="https://m.stock.naver.com/research/company/88664" TargetMode="External"/><Relationship Id="rId4990" Type="http://schemas.openxmlformats.org/officeDocument/2006/relationships/hyperlink" Target="https://m.stock.naver.com/research/company/88250" TargetMode="External"/><Relationship Id="rId5627" Type="http://schemas.openxmlformats.org/officeDocument/2006/relationships/hyperlink" Target="https://m.stock.naver.com/research/company/87613" TargetMode="External"/><Relationship Id="rId11014" Type="http://schemas.openxmlformats.org/officeDocument/2006/relationships/hyperlink" Target="https://m.stock.naver.com/research/company/82206" TargetMode="External"/><Relationship Id="rId14584" Type="http://schemas.openxmlformats.org/officeDocument/2006/relationships/hyperlink" Target="https://m.stock.naver.com/research/company/94495" TargetMode="External"/><Relationship Id="rId15635" Type="http://schemas.openxmlformats.org/officeDocument/2006/relationships/hyperlink" Target="https://m.stock.naver.com/research/company/95780" TargetMode="External"/><Relationship Id="rId3178" Type="http://schemas.openxmlformats.org/officeDocument/2006/relationships/hyperlink" Target="https://m.stock.naver.com/research/company/90073" TargetMode="External"/><Relationship Id="rId3592" Type="http://schemas.openxmlformats.org/officeDocument/2006/relationships/hyperlink" Target="https://m.stock.naver.com/research/company/89659" TargetMode="External"/><Relationship Id="rId4229" Type="http://schemas.openxmlformats.org/officeDocument/2006/relationships/hyperlink" Target="https://m.stock.naver.com/research/company/89013" TargetMode="External"/><Relationship Id="rId4643" Type="http://schemas.openxmlformats.org/officeDocument/2006/relationships/hyperlink" Target="https://m.stock.naver.com/research/company/88597" TargetMode="External"/><Relationship Id="rId7799" Type="http://schemas.openxmlformats.org/officeDocument/2006/relationships/hyperlink" Target="https://m.stock.naver.com/research/company/85439" TargetMode="External"/><Relationship Id="rId8100" Type="http://schemas.openxmlformats.org/officeDocument/2006/relationships/hyperlink" Target="https://m.stock.naver.com/research/company/85138" TargetMode="External"/><Relationship Id="rId10030" Type="http://schemas.openxmlformats.org/officeDocument/2006/relationships/hyperlink" Target="https://m.stock.naver.com/research/company/83191" TargetMode="External"/><Relationship Id="rId13186" Type="http://schemas.openxmlformats.org/officeDocument/2006/relationships/hyperlink" Target="https://m.stock.naver.com/research/company/80021" TargetMode="External"/><Relationship Id="rId14237" Type="http://schemas.openxmlformats.org/officeDocument/2006/relationships/hyperlink" Target="https://m.stock.naver.com/research/company/94106" TargetMode="External"/><Relationship Id="rId2194" Type="http://schemas.openxmlformats.org/officeDocument/2006/relationships/hyperlink" Target="https://m.stock.naver.com/research/company/91061" TargetMode="External"/><Relationship Id="rId3245" Type="http://schemas.openxmlformats.org/officeDocument/2006/relationships/hyperlink" Target="https://m.stock.naver.com/research/company/90005" TargetMode="External"/><Relationship Id="rId4710" Type="http://schemas.openxmlformats.org/officeDocument/2006/relationships/hyperlink" Target="https://m.stock.naver.com/research/company/88530" TargetMode="External"/><Relationship Id="rId7866" Type="http://schemas.openxmlformats.org/officeDocument/2006/relationships/hyperlink" Target="https://m.stock.naver.com/research/company/85372" TargetMode="External"/><Relationship Id="rId13253" Type="http://schemas.openxmlformats.org/officeDocument/2006/relationships/hyperlink" Target="https://m.stock.naver.com/research/company/79953" TargetMode="External"/><Relationship Id="rId14651" Type="http://schemas.openxmlformats.org/officeDocument/2006/relationships/hyperlink" Target="https://m.stock.naver.com/research/company/94527" TargetMode="External"/><Relationship Id="rId15702" Type="http://schemas.openxmlformats.org/officeDocument/2006/relationships/hyperlink" Target="https://m.stock.naver.com/research/company/95712" TargetMode="External"/><Relationship Id="rId166" Type="http://schemas.openxmlformats.org/officeDocument/2006/relationships/hyperlink" Target="https://m.stock.naver.com/research/company/93292" TargetMode="External"/><Relationship Id="rId580" Type="http://schemas.openxmlformats.org/officeDocument/2006/relationships/hyperlink" Target="https://m.stock.naver.com/research/company/92877" TargetMode="External"/><Relationship Id="rId2261" Type="http://schemas.openxmlformats.org/officeDocument/2006/relationships/hyperlink" Target="https://m.stock.naver.com/research/company/90994" TargetMode="External"/><Relationship Id="rId3312" Type="http://schemas.openxmlformats.org/officeDocument/2006/relationships/hyperlink" Target="https://m.stock.naver.com/research/company/89938" TargetMode="External"/><Relationship Id="rId6468" Type="http://schemas.openxmlformats.org/officeDocument/2006/relationships/hyperlink" Target="https://m.stock.naver.com/research/company/86772" TargetMode="External"/><Relationship Id="rId7519" Type="http://schemas.openxmlformats.org/officeDocument/2006/relationships/hyperlink" Target="https://m.stock.naver.com/research/company/85720" TargetMode="External"/><Relationship Id="rId8917" Type="http://schemas.openxmlformats.org/officeDocument/2006/relationships/hyperlink" Target="https://m.stock.naver.com/research/company/84319" TargetMode="External"/><Relationship Id="rId10847" Type="http://schemas.openxmlformats.org/officeDocument/2006/relationships/hyperlink" Target="https://m.stock.naver.com/research/company/82373" TargetMode="External"/><Relationship Id="rId14304" Type="http://schemas.openxmlformats.org/officeDocument/2006/relationships/hyperlink" Target="https://m.stock.naver.com/research/company/94160" TargetMode="External"/><Relationship Id="rId233" Type="http://schemas.openxmlformats.org/officeDocument/2006/relationships/hyperlink" Target="https://m.stock.naver.com/research/company/93225" TargetMode="External"/><Relationship Id="rId5484" Type="http://schemas.openxmlformats.org/officeDocument/2006/relationships/hyperlink" Target="https://m.stock.naver.com/research/company/87756" TargetMode="External"/><Relationship Id="rId6882" Type="http://schemas.openxmlformats.org/officeDocument/2006/relationships/hyperlink" Target="https://m.stock.naver.com/research/company/86357" TargetMode="External"/><Relationship Id="rId7933" Type="http://schemas.openxmlformats.org/officeDocument/2006/relationships/hyperlink" Target="https://m.stock.naver.com/research/company/85305" TargetMode="External"/><Relationship Id="rId10914" Type="http://schemas.openxmlformats.org/officeDocument/2006/relationships/hyperlink" Target="https://m.stock.naver.com/research/company/82306" TargetMode="External"/><Relationship Id="rId13320" Type="http://schemas.openxmlformats.org/officeDocument/2006/relationships/hyperlink" Target="https://m.stock.naver.com/research/company/79885" TargetMode="External"/><Relationship Id="rId300" Type="http://schemas.openxmlformats.org/officeDocument/2006/relationships/hyperlink" Target="https://m.stock.naver.com/research/company/93158" TargetMode="External"/><Relationship Id="rId4086" Type="http://schemas.openxmlformats.org/officeDocument/2006/relationships/hyperlink" Target="https://m.stock.naver.com/research/company/89165" TargetMode="External"/><Relationship Id="rId5137" Type="http://schemas.openxmlformats.org/officeDocument/2006/relationships/hyperlink" Target="https://m.stock.naver.com/research/company/88103" TargetMode="External"/><Relationship Id="rId6535" Type="http://schemas.openxmlformats.org/officeDocument/2006/relationships/hyperlink" Target="https://m.stock.naver.com/research/company/86705" TargetMode="External"/><Relationship Id="rId15078" Type="http://schemas.openxmlformats.org/officeDocument/2006/relationships/hyperlink" Target="https://m.stock.naver.com/research/company/95016" TargetMode="External"/><Relationship Id="rId15492" Type="http://schemas.openxmlformats.org/officeDocument/2006/relationships/hyperlink" Target="https://m.stock.naver.com/research/company/95295" TargetMode="External"/><Relationship Id="rId5551" Type="http://schemas.openxmlformats.org/officeDocument/2006/relationships/hyperlink" Target="https://m.stock.naver.com/research/company/87689" TargetMode="External"/><Relationship Id="rId6602" Type="http://schemas.openxmlformats.org/officeDocument/2006/relationships/hyperlink" Target="https://m.stock.naver.com/research/company/86638" TargetMode="External"/><Relationship Id="rId9758" Type="http://schemas.openxmlformats.org/officeDocument/2006/relationships/hyperlink" Target="https://m.stock.naver.com/research/company/83465" TargetMode="External"/><Relationship Id="rId11688" Type="http://schemas.openxmlformats.org/officeDocument/2006/relationships/hyperlink" Target="https://m.stock.naver.com/research/company/81524" TargetMode="External"/><Relationship Id="rId12739" Type="http://schemas.openxmlformats.org/officeDocument/2006/relationships/hyperlink" Target="https://m.stock.naver.com/research/company/80469" TargetMode="External"/><Relationship Id="rId14094" Type="http://schemas.openxmlformats.org/officeDocument/2006/relationships/hyperlink" Target="https://m.stock.naver.com/research/company/93908" TargetMode="External"/><Relationship Id="rId15145" Type="http://schemas.openxmlformats.org/officeDocument/2006/relationships/hyperlink" Target="https://m.stock.naver.com/research/company/94949" TargetMode="External"/><Relationship Id="rId1747" Type="http://schemas.openxmlformats.org/officeDocument/2006/relationships/hyperlink" Target="https://m.stock.naver.com/research/company/91508" TargetMode="External"/><Relationship Id="rId4153" Type="http://schemas.openxmlformats.org/officeDocument/2006/relationships/hyperlink" Target="https://m.stock.naver.com/research/company/89098" TargetMode="External"/><Relationship Id="rId5204" Type="http://schemas.openxmlformats.org/officeDocument/2006/relationships/hyperlink" Target="https://m.stock.naver.com/research/company/88036" TargetMode="External"/><Relationship Id="rId8774" Type="http://schemas.openxmlformats.org/officeDocument/2006/relationships/hyperlink" Target="https://m.stock.naver.com/research/company/84463" TargetMode="External"/><Relationship Id="rId9825" Type="http://schemas.openxmlformats.org/officeDocument/2006/relationships/hyperlink" Target="https://m.stock.naver.com/research/company/83397" TargetMode="External"/><Relationship Id="rId14161" Type="http://schemas.openxmlformats.org/officeDocument/2006/relationships/hyperlink" Target="https://m.stock.naver.com/research/company/93967" TargetMode="External"/><Relationship Id="rId15212" Type="http://schemas.openxmlformats.org/officeDocument/2006/relationships/hyperlink" Target="https://m.stock.naver.com/research/company/95148" TargetMode="External"/><Relationship Id="rId39" Type="http://schemas.openxmlformats.org/officeDocument/2006/relationships/hyperlink" Target="https://m.stock.naver.com/research/company/93419" TargetMode="External"/><Relationship Id="rId1814" Type="http://schemas.openxmlformats.org/officeDocument/2006/relationships/hyperlink" Target="https://m.stock.naver.com/research/company/91441" TargetMode="External"/><Relationship Id="rId4220" Type="http://schemas.openxmlformats.org/officeDocument/2006/relationships/hyperlink" Target="https://m.stock.naver.com/research/company/89022" TargetMode="External"/><Relationship Id="rId7376" Type="http://schemas.openxmlformats.org/officeDocument/2006/relationships/hyperlink" Target="https://m.stock.naver.com/research/company/85863" TargetMode="External"/><Relationship Id="rId7790" Type="http://schemas.openxmlformats.org/officeDocument/2006/relationships/hyperlink" Target="https://m.stock.naver.com/research/company/85448" TargetMode="External"/><Relationship Id="rId8427" Type="http://schemas.openxmlformats.org/officeDocument/2006/relationships/hyperlink" Target="https://m.stock.naver.com/research/company/84811" TargetMode="External"/><Relationship Id="rId8841" Type="http://schemas.openxmlformats.org/officeDocument/2006/relationships/hyperlink" Target="https://m.stock.naver.com/research/company/84396" TargetMode="External"/><Relationship Id="rId10357" Type="http://schemas.openxmlformats.org/officeDocument/2006/relationships/hyperlink" Target="https://m.stock.naver.com/research/company/82864" TargetMode="External"/><Relationship Id="rId11755" Type="http://schemas.openxmlformats.org/officeDocument/2006/relationships/hyperlink" Target="https://m.stock.naver.com/research/company/81457" TargetMode="External"/><Relationship Id="rId12806" Type="http://schemas.openxmlformats.org/officeDocument/2006/relationships/hyperlink" Target="https://m.stock.naver.com/research/company/80402" TargetMode="External"/><Relationship Id="rId6392" Type="http://schemas.openxmlformats.org/officeDocument/2006/relationships/hyperlink" Target="https://m.stock.naver.com/research/company/86848" TargetMode="External"/><Relationship Id="rId7029" Type="http://schemas.openxmlformats.org/officeDocument/2006/relationships/hyperlink" Target="https://m.stock.naver.com/research/company/86210" TargetMode="External"/><Relationship Id="rId7443" Type="http://schemas.openxmlformats.org/officeDocument/2006/relationships/hyperlink" Target="https://m.stock.naver.com/research/company/85796" TargetMode="External"/><Relationship Id="rId10771" Type="http://schemas.openxmlformats.org/officeDocument/2006/relationships/hyperlink" Target="https://m.stock.naver.com/research/company/82449" TargetMode="External"/><Relationship Id="rId11408" Type="http://schemas.openxmlformats.org/officeDocument/2006/relationships/hyperlink" Target="https://m.stock.naver.com/research/company/81807" TargetMode="External"/><Relationship Id="rId11822" Type="http://schemas.openxmlformats.org/officeDocument/2006/relationships/hyperlink" Target="https://m.stock.naver.com/research/company/81390" TargetMode="External"/><Relationship Id="rId14978" Type="http://schemas.openxmlformats.org/officeDocument/2006/relationships/hyperlink" Target="https://m.stock.naver.com/research/company/94856" TargetMode="External"/><Relationship Id="rId2588" Type="http://schemas.openxmlformats.org/officeDocument/2006/relationships/hyperlink" Target="https://m.stock.naver.com/research/company/90666" TargetMode="External"/><Relationship Id="rId3986" Type="http://schemas.openxmlformats.org/officeDocument/2006/relationships/hyperlink" Target="https://m.stock.naver.com/research/company/89265" TargetMode="External"/><Relationship Id="rId6045" Type="http://schemas.openxmlformats.org/officeDocument/2006/relationships/hyperlink" Target="https://m.stock.naver.com/research/company/87195" TargetMode="External"/><Relationship Id="rId10424" Type="http://schemas.openxmlformats.org/officeDocument/2006/relationships/hyperlink" Target="https://m.stock.naver.com/research/company/82797" TargetMode="External"/><Relationship Id="rId13994" Type="http://schemas.openxmlformats.org/officeDocument/2006/relationships/hyperlink" Target="https://m.stock.naver.com/research/company/93738" TargetMode="External"/><Relationship Id="rId3639" Type="http://schemas.openxmlformats.org/officeDocument/2006/relationships/hyperlink" Target="https://m.stock.naver.com/research/company/89612" TargetMode="External"/><Relationship Id="rId5061" Type="http://schemas.openxmlformats.org/officeDocument/2006/relationships/hyperlink" Target="https://m.stock.naver.com/research/company/88179" TargetMode="External"/><Relationship Id="rId6112" Type="http://schemas.openxmlformats.org/officeDocument/2006/relationships/hyperlink" Target="https://m.stock.naver.com/research/company/87128" TargetMode="External"/><Relationship Id="rId7510" Type="http://schemas.openxmlformats.org/officeDocument/2006/relationships/hyperlink" Target="https://m.stock.naver.com/research/company/85729" TargetMode="External"/><Relationship Id="rId9268" Type="http://schemas.openxmlformats.org/officeDocument/2006/relationships/hyperlink" Target="https://m.stock.naver.com/research/company/83960" TargetMode="External"/><Relationship Id="rId12596" Type="http://schemas.openxmlformats.org/officeDocument/2006/relationships/hyperlink" Target="https://m.stock.naver.com/research/company/80612" TargetMode="External"/><Relationship Id="rId13647" Type="http://schemas.openxmlformats.org/officeDocument/2006/relationships/hyperlink" Target="https://m.stock.naver.com/research/company/79557" TargetMode="External"/><Relationship Id="rId974" Type="http://schemas.openxmlformats.org/officeDocument/2006/relationships/hyperlink" Target="https://m.stock.naver.com/research/company/92482" TargetMode="External"/><Relationship Id="rId2655" Type="http://schemas.openxmlformats.org/officeDocument/2006/relationships/hyperlink" Target="https://m.stock.naver.com/research/company/90599" TargetMode="External"/><Relationship Id="rId3706" Type="http://schemas.openxmlformats.org/officeDocument/2006/relationships/hyperlink" Target="https://m.stock.naver.com/research/company/89545" TargetMode="External"/><Relationship Id="rId9682" Type="http://schemas.openxmlformats.org/officeDocument/2006/relationships/hyperlink" Target="https://m.stock.naver.com/research/company/83541" TargetMode="External"/><Relationship Id="rId11198" Type="http://schemas.openxmlformats.org/officeDocument/2006/relationships/hyperlink" Target="https://m.stock.naver.com/research/company/82022" TargetMode="External"/><Relationship Id="rId12249" Type="http://schemas.openxmlformats.org/officeDocument/2006/relationships/hyperlink" Target="https://m.stock.naver.com/research/company/80960" TargetMode="External"/><Relationship Id="rId12663" Type="http://schemas.openxmlformats.org/officeDocument/2006/relationships/hyperlink" Target="https://m.stock.naver.com/research/company/80545" TargetMode="External"/><Relationship Id="rId13714" Type="http://schemas.openxmlformats.org/officeDocument/2006/relationships/hyperlink" Target="https://m.stock.naver.com/research/company/93460" TargetMode="External"/><Relationship Id="rId627" Type="http://schemas.openxmlformats.org/officeDocument/2006/relationships/hyperlink" Target="https://m.stock.naver.com/research/company/92829" TargetMode="External"/><Relationship Id="rId1257" Type="http://schemas.openxmlformats.org/officeDocument/2006/relationships/hyperlink" Target="https://m.stock.naver.com/research/company/91998" TargetMode="External"/><Relationship Id="rId1671" Type="http://schemas.openxmlformats.org/officeDocument/2006/relationships/hyperlink" Target="https://m.stock.naver.com/research/company/91584" TargetMode="External"/><Relationship Id="rId2308" Type="http://schemas.openxmlformats.org/officeDocument/2006/relationships/hyperlink" Target="https://m.stock.naver.com/research/company/90947" TargetMode="External"/><Relationship Id="rId2722" Type="http://schemas.openxmlformats.org/officeDocument/2006/relationships/hyperlink" Target="https://m.stock.naver.com/research/company/90532" TargetMode="External"/><Relationship Id="rId5878" Type="http://schemas.openxmlformats.org/officeDocument/2006/relationships/hyperlink" Target="https://m.stock.naver.com/research/company/87362" TargetMode="External"/><Relationship Id="rId6929" Type="http://schemas.openxmlformats.org/officeDocument/2006/relationships/hyperlink" Target="https://m.stock.naver.com/research/company/86310" TargetMode="External"/><Relationship Id="rId8284" Type="http://schemas.openxmlformats.org/officeDocument/2006/relationships/hyperlink" Target="https://m.stock.naver.com/research/company/84954" TargetMode="External"/><Relationship Id="rId9335" Type="http://schemas.openxmlformats.org/officeDocument/2006/relationships/hyperlink" Target="https://m.stock.naver.com/research/company/83892" TargetMode="External"/><Relationship Id="rId11265" Type="http://schemas.openxmlformats.org/officeDocument/2006/relationships/hyperlink" Target="https://m.stock.naver.com/research/company/81954" TargetMode="External"/><Relationship Id="rId12316" Type="http://schemas.openxmlformats.org/officeDocument/2006/relationships/hyperlink" Target="https://m.stock.naver.com/research/company/80893" TargetMode="External"/><Relationship Id="rId1324" Type="http://schemas.openxmlformats.org/officeDocument/2006/relationships/hyperlink" Target="https://m.stock.naver.com/research/company/91931" TargetMode="External"/><Relationship Id="rId4894" Type="http://schemas.openxmlformats.org/officeDocument/2006/relationships/hyperlink" Target="https://m.stock.naver.com/research/company/88346" TargetMode="External"/><Relationship Id="rId5945" Type="http://schemas.openxmlformats.org/officeDocument/2006/relationships/hyperlink" Target="https://m.stock.naver.com/research/company/87295" TargetMode="External"/><Relationship Id="rId8351" Type="http://schemas.openxmlformats.org/officeDocument/2006/relationships/hyperlink" Target="https://m.stock.naver.com/research/company/84887" TargetMode="External"/><Relationship Id="rId9402" Type="http://schemas.openxmlformats.org/officeDocument/2006/relationships/hyperlink" Target="https://m.stock.naver.com/research/company/83825" TargetMode="External"/><Relationship Id="rId10281" Type="http://schemas.openxmlformats.org/officeDocument/2006/relationships/hyperlink" Target="https://m.stock.naver.com/research/company/82940" TargetMode="External"/><Relationship Id="rId11332" Type="http://schemas.openxmlformats.org/officeDocument/2006/relationships/hyperlink" Target="https://m.stock.naver.com/research/company/81884" TargetMode="External"/><Relationship Id="rId12730" Type="http://schemas.openxmlformats.org/officeDocument/2006/relationships/hyperlink" Target="https://m.stock.naver.com/research/company/80478" TargetMode="External"/><Relationship Id="rId14488" Type="http://schemas.openxmlformats.org/officeDocument/2006/relationships/hyperlink" Target="https://m.stock.naver.com/research/company/94422" TargetMode="External"/><Relationship Id="rId15539" Type="http://schemas.openxmlformats.org/officeDocument/2006/relationships/hyperlink" Target="https://m.stock.naver.com/research/company/95497" TargetMode="External"/><Relationship Id="rId30" Type="http://schemas.openxmlformats.org/officeDocument/2006/relationships/hyperlink" Target="https://m.stock.naver.com/research/company/93428" TargetMode="External"/><Relationship Id="rId3496" Type="http://schemas.openxmlformats.org/officeDocument/2006/relationships/hyperlink" Target="https://m.stock.naver.com/research/company/89755" TargetMode="External"/><Relationship Id="rId4547" Type="http://schemas.openxmlformats.org/officeDocument/2006/relationships/hyperlink" Target="https://m.stock.naver.com/research/company/88693" TargetMode="External"/><Relationship Id="rId8004" Type="http://schemas.openxmlformats.org/officeDocument/2006/relationships/hyperlink" Target="https://m.stock.naver.com/research/company/85234" TargetMode="External"/><Relationship Id="rId2098" Type="http://schemas.openxmlformats.org/officeDocument/2006/relationships/hyperlink" Target="https://m.stock.naver.com/research/company/91157" TargetMode="External"/><Relationship Id="rId3149" Type="http://schemas.openxmlformats.org/officeDocument/2006/relationships/hyperlink" Target="https://m.stock.naver.com/research/company/90102" TargetMode="External"/><Relationship Id="rId3563" Type="http://schemas.openxmlformats.org/officeDocument/2006/relationships/hyperlink" Target="https://m.stock.naver.com/research/company/89688" TargetMode="External"/><Relationship Id="rId4961" Type="http://schemas.openxmlformats.org/officeDocument/2006/relationships/hyperlink" Target="https://m.stock.naver.com/research/company/88279" TargetMode="External"/><Relationship Id="rId7020" Type="http://schemas.openxmlformats.org/officeDocument/2006/relationships/hyperlink" Target="https://m.stock.naver.com/research/company/86219" TargetMode="External"/><Relationship Id="rId14555" Type="http://schemas.openxmlformats.org/officeDocument/2006/relationships/hyperlink" Target="https://m.stock.naver.com/research/company/94355" TargetMode="External"/><Relationship Id="rId15606" Type="http://schemas.openxmlformats.org/officeDocument/2006/relationships/hyperlink" Target="https://m.stock.naver.com/research/company/95430" TargetMode="External"/><Relationship Id="rId484" Type="http://schemas.openxmlformats.org/officeDocument/2006/relationships/hyperlink" Target="https://m.stock.naver.com/research/company/92973" TargetMode="External"/><Relationship Id="rId2165" Type="http://schemas.openxmlformats.org/officeDocument/2006/relationships/hyperlink" Target="https://m.stock.naver.com/research/company/91090" TargetMode="External"/><Relationship Id="rId3216" Type="http://schemas.openxmlformats.org/officeDocument/2006/relationships/hyperlink" Target="https://m.stock.naver.com/research/company/90035" TargetMode="External"/><Relationship Id="rId4614" Type="http://schemas.openxmlformats.org/officeDocument/2006/relationships/hyperlink" Target="https://m.stock.naver.com/research/company/88626" TargetMode="External"/><Relationship Id="rId9192" Type="http://schemas.openxmlformats.org/officeDocument/2006/relationships/hyperlink" Target="https://m.stock.naver.com/research/company/84038" TargetMode="External"/><Relationship Id="rId10001" Type="http://schemas.openxmlformats.org/officeDocument/2006/relationships/hyperlink" Target="https://m.stock.naver.com/research/company/83220" TargetMode="External"/><Relationship Id="rId13157" Type="http://schemas.openxmlformats.org/officeDocument/2006/relationships/hyperlink" Target="https://m.stock.naver.com/research/company/80050" TargetMode="External"/><Relationship Id="rId13571" Type="http://schemas.openxmlformats.org/officeDocument/2006/relationships/hyperlink" Target="https://m.stock.naver.com/research/company/79633" TargetMode="External"/><Relationship Id="rId14208" Type="http://schemas.openxmlformats.org/officeDocument/2006/relationships/hyperlink" Target="https://m.stock.naver.com/research/company/94050" TargetMode="External"/><Relationship Id="rId14622" Type="http://schemas.openxmlformats.org/officeDocument/2006/relationships/hyperlink" Target="https://m.stock.naver.com/research/company/94555" TargetMode="External"/><Relationship Id="rId137" Type="http://schemas.openxmlformats.org/officeDocument/2006/relationships/hyperlink" Target="https://m.stock.naver.com/research/company/93321" TargetMode="External"/><Relationship Id="rId3630" Type="http://schemas.openxmlformats.org/officeDocument/2006/relationships/hyperlink" Target="https://m.stock.naver.com/research/company/89621" TargetMode="External"/><Relationship Id="rId6786" Type="http://schemas.openxmlformats.org/officeDocument/2006/relationships/hyperlink" Target="https://m.stock.naver.com/research/company/86454" TargetMode="External"/><Relationship Id="rId7837" Type="http://schemas.openxmlformats.org/officeDocument/2006/relationships/hyperlink" Target="https://m.stock.naver.com/research/company/85401" TargetMode="External"/><Relationship Id="rId10818" Type="http://schemas.openxmlformats.org/officeDocument/2006/relationships/hyperlink" Target="https://m.stock.naver.com/research/company/82402" TargetMode="External"/><Relationship Id="rId12173" Type="http://schemas.openxmlformats.org/officeDocument/2006/relationships/hyperlink" Target="https://m.stock.naver.com/research/company/81038" TargetMode="External"/><Relationship Id="rId13224" Type="http://schemas.openxmlformats.org/officeDocument/2006/relationships/hyperlink" Target="https://m.stock.naver.com/research/company/79983" TargetMode="External"/><Relationship Id="rId551" Type="http://schemas.openxmlformats.org/officeDocument/2006/relationships/hyperlink" Target="https://m.stock.naver.com/research/company/92906" TargetMode="External"/><Relationship Id="rId1181" Type="http://schemas.openxmlformats.org/officeDocument/2006/relationships/hyperlink" Target="https://m.stock.naver.com/research/company/92074" TargetMode="External"/><Relationship Id="rId2232" Type="http://schemas.openxmlformats.org/officeDocument/2006/relationships/hyperlink" Target="https://m.stock.naver.com/research/company/91023" TargetMode="External"/><Relationship Id="rId5388" Type="http://schemas.openxmlformats.org/officeDocument/2006/relationships/hyperlink" Target="https://m.stock.naver.com/research/company/87852" TargetMode="External"/><Relationship Id="rId6439" Type="http://schemas.openxmlformats.org/officeDocument/2006/relationships/hyperlink" Target="https://m.stock.naver.com/research/company/86801" TargetMode="External"/><Relationship Id="rId6853" Type="http://schemas.openxmlformats.org/officeDocument/2006/relationships/hyperlink" Target="https://m.stock.naver.com/research/company/86387" TargetMode="External"/><Relationship Id="rId7904" Type="http://schemas.openxmlformats.org/officeDocument/2006/relationships/hyperlink" Target="https://m.stock.naver.com/research/company/85334" TargetMode="External"/><Relationship Id="rId12240" Type="http://schemas.openxmlformats.org/officeDocument/2006/relationships/hyperlink" Target="https://m.stock.naver.com/research/company/80970" TargetMode="External"/><Relationship Id="rId15396" Type="http://schemas.openxmlformats.org/officeDocument/2006/relationships/hyperlink" Target="https://m.stock.naver.com/research/company/95391" TargetMode="External"/><Relationship Id="rId204" Type="http://schemas.openxmlformats.org/officeDocument/2006/relationships/hyperlink" Target="https://m.stock.naver.com/research/company/93254" TargetMode="External"/><Relationship Id="rId1998" Type="http://schemas.openxmlformats.org/officeDocument/2006/relationships/hyperlink" Target="https://m.stock.naver.com/research/company/91257" TargetMode="External"/><Relationship Id="rId5455" Type="http://schemas.openxmlformats.org/officeDocument/2006/relationships/hyperlink" Target="https://m.stock.naver.com/research/company/87785" TargetMode="External"/><Relationship Id="rId6506" Type="http://schemas.openxmlformats.org/officeDocument/2006/relationships/hyperlink" Target="https://m.stock.naver.com/research/company/86734" TargetMode="External"/><Relationship Id="rId6920" Type="http://schemas.openxmlformats.org/officeDocument/2006/relationships/hyperlink" Target="https://m.stock.naver.com/research/company/86319" TargetMode="External"/><Relationship Id="rId15049" Type="http://schemas.openxmlformats.org/officeDocument/2006/relationships/hyperlink" Target="https://m.stock.naver.com/research/company/95045" TargetMode="External"/><Relationship Id="rId15463" Type="http://schemas.openxmlformats.org/officeDocument/2006/relationships/hyperlink" Target="https://m.stock.naver.com/research/company/95324" TargetMode="External"/><Relationship Id="rId4057" Type="http://schemas.openxmlformats.org/officeDocument/2006/relationships/hyperlink" Target="https://m.stock.naver.com/research/company/89194" TargetMode="External"/><Relationship Id="rId4471" Type="http://schemas.openxmlformats.org/officeDocument/2006/relationships/hyperlink" Target="https://m.stock.naver.com/research/company/88769" TargetMode="External"/><Relationship Id="rId5108" Type="http://schemas.openxmlformats.org/officeDocument/2006/relationships/hyperlink" Target="https://m.stock.naver.com/research/company/88132" TargetMode="External"/><Relationship Id="rId5522" Type="http://schemas.openxmlformats.org/officeDocument/2006/relationships/hyperlink" Target="https://m.stock.naver.com/research/company/87718" TargetMode="External"/><Relationship Id="rId8678" Type="http://schemas.openxmlformats.org/officeDocument/2006/relationships/hyperlink" Target="https://m.stock.naver.com/research/company/84559" TargetMode="External"/><Relationship Id="rId9729" Type="http://schemas.openxmlformats.org/officeDocument/2006/relationships/hyperlink" Target="https://m.stock.naver.com/research/company/83494" TargetMode="External"/><Relationship Id="rId14065" Type="http://schemas.openxmlformats.org/officeDocument/2006/relationships/hyperlink" Target="https://m.stock.naver.com/research/company/93858" TargetMode="External"/><Relationship Id="rId15116" Type="http://schemas.openxmlformats.org/officeDocument/2006/relationships/hyperlink" Target="https://m.stock.naver.com/research/company/94978" TargetMode="External"/><Relationship Id="rId3073" Type="http://schemas.openxmlformats.org/officeDocument/2006/relationships/hyperlink" Target="https://m.stock.naver.com/research/company/90178" TargetMode="External"/><Relationship Id="rId4124" Type="http://schemas.openxmlformats.org/officeDocument/2006/relationships/hyperlink" Target="https://m.stock.naver.com/research/company/89127" TargetMode="External"/><Relationship Id="rId7694" Type="http://schemas.openxmlformats.org/officeDocument/2006/relationships/hyperlink" Target="https://m.stock.naver.com/research/company/85545" TargetMode="External"/><Relationship Id="rId11659" Type="http://schemas.openxmlformats.org/officeDocument/2006/relationships/hyperlink" Target="https://m.stock.naver.com/research/company/81553" TargetMode="External"/><Relationship Id="rId13081" Type="http://schemas.openxmlformats.org/officeDocument/2006/relationships/hyperlink" Target="https://m.stock.naver.com/research/company/80126" TargetMode="External"/><Relationship Id="rId15530" Type="http://schemas.openxmlformats.org/officeDocument/2006/relationships/hyperlink" Target="https://m.stock.naver.com/research/company/95506" TargetMode="External"/><Relationship Id="rId1718" Type="http://schemas.openxmlformats.org/officeDocument/2006/relationships/hyperlink" Target="https://m.stock.naver.com/research/company/91537" TargetMode="External"/><Relationship Id="rId3140" Type="http://schemas.openxmlformats.org/officeDocument/2006/relationships/hyperlink" Target="https://m.stock.naver.com/research/company/90111" TargetMode="External"/><Relationship Id="rId6296" Type="http://schemas.openxmlformats.org/officeDocument/2006/relationships/hyperlink" Target="https://m.stock.naver.com/research/company/86944" TargetMode="External"/><Relationship Id="rId7347" Type="http://schemas.openxmlformats.org/officeDocument/2006/relationships/hyperlink" Target="https://m.stock.naver.com/research/company/85892" TargetMode="External"/><Relationship Id="rId8745" Type="http://schemas.openxmlformats.org/officeDocument/2006/relationships/hyperlink" Target="https://m.stock.naver.com/research/company/84492" TargetMode="External"/><Relationship Id="rId10675" Type="http://schemas.openxmlformats.org/officeDocument/2006/relationships/hyperlink" Target="https://m.stock.naver.com/research/company/82545" TargetMode="External"/><Relationship Id="rId11726" Type="http://schemas.openxmlformats.org/officeDocument/2006/relationships/hyperlink" Target="https://m.stock.naver.com/research/company/81486" TargetMode="External"/><Relationship Id="rId14132" Type="http://schemas.openxmlformats.org/officeDocument/2006/relationships/hyperlink" Target="https://m.stock.naver.com/research/company/93996" TargetMode="External"/><Relationship Id="rId7761" Type="http://schemas.openxmlformats.org/officeDocument/2006/relationships/hyperlink" Target="https://m.stock.naver.com/research/company/85478" TargetMode="External"/><Relationship Id="rId8812" Type="http://schemas.openxmlformats.org/officeDocument/2006/relationships/hyperlink" Target="https://m.stock.naver.com/research/company/84425" TargetMode="External"/><Relationship Id="rId10328" Type="http://schemas.openxmlformats.org/officeDocument/2006/relationships/hyperlink" Target="https://m.stock.naver.com/research/company/82893" TargetMode="External"/><Relationship Id="rId10742" Type="http://schemas.openxmlformats.org/officeDocument/2006/relationships/hyperlink" Target="https://m.stock.naver.com/research/company/82478" TargetMode="External"/><Relationship Id="rId13898" Type="http://schemas.openxmlformats.org/officeDocument/2006/relationships/hyperlink" Target="https://m.stock.naver.com/research/company/93704" TargetMode="External"/><Relationship Id="rId14949" Type="http://schemas.openxmlformats.org/officeDocument/2006/relationships/hyperlink" Target="https://m.stock.naver.com/research/company/94885" TargetMode="External"/><Relationship Id="rId3957" Type="http://schemas.openxmlformats.org/officeDocument/2006/relationships/hyperlink" Target="https://m.stock.naver.com/research/company/89294" TargetMode="External"/><Relationship Id="rId6363" Type="http://schemas.openxmlformats.org/officeDocument/2006/relationships/hyperlink" Target="https://m.stock.naver.com/research/company/86877" TargetMode="External"/><Relationship Id="rId7414" Type="http://schemas.openxmlformats.org/officeDocument/2006/relationships/hyperlink" Target="https://m.stock.naver.com/research/company/85825" TargetMode="External"/><Relationship Id="rId878" Type="http://schemas.openxmlformats.org/officeDocument/2006/relationships/hyperlink" Target="https://m.stock.naver.com/research/company/92578" TargetMode="External"/><Relationship Id="rId2559" Type="http://schemas.openxmlformats.org/officeDocument/2006/relationships/hyperlink" Target="https://m.stock.naver.com/research/company/90695" TargetMode="External"/><Relationship Id="rId2973" Type="http://schemas.openxmlformats.org/officeDocument/2006/relationships/hyperlink" Target="https://m.stock.naver.com/research/company/90280" TargetMode="External"/><Relationship Id="rId6016" Type="http://schemas.openxmlformats.org/officeDocument/2006/relationships/hyperlink" Target="https://m.stock.naver.com/research/company/87224" TargetMode="External"/><Relationship Id="rId6430" Type="http://schemas.openxmlformats.org/officeDocument/2006/relationships/hyperlink" Target="https://m.stock.naver.com/research/company/86810" TargetMode="External"/><Relationship Id="rId9586" Type="http://schemas.openxmlformats.org/officeDocument/2006/relationships/hyperlink" Target="https://m.stock.naver.com/research/company/83641" TargetMode="External"/><Relationship Id="rId12567" Type="http://schemas.openxmlformats.org/officeDocument/2006/relationships/hyperlink" Target="https://m.stock.naver.com/research/company/80641" TargetMode="External"/><Relationship Id="rId13618" Type="http://schemas.openxmlformats.org/officeDocument/2006/relationships/hyperlink" Target="https://m.stock.naver.com/research/company/79586" TargetMode="External"/><Relationship Id="rId13965" Type="http://schemas.openxmlformats.org/officeDocument/2006/relationships/hyperlink" Target="https://m.stock.naver.com/research/company/93767" TargetMode="External"/><Relationship Id="rId945" Type="http://schemas.openxmlformats.org/officeDocument/2006/relationships/hyperlink" Target="https://m.stock.naver.com/research/company/92511" TargetMode="External"/><Relationship Id="rId1575" Type="http://schemas.openxmlformats.org/officeDocument/2006/relationships/hyperlink" Target="https://m.stock.naver.com/research/company/91680" TargetMode="External"/><Relationship Id="rId2626" Type="http://schemas.openxmlformats.org/officeDocument/2006/relationships/hyperlink" Target="https://m.stock.naver.com/research/company/90628" TargetMode="External"/><Relationship Id="rId5032" Type="http://schemas.openxmlformats.org/officeDocument/2006/relationships/hyperlink" Target="https://m.stock.naver.com/research/company/88208" TargetMode="External"/><Relationship Id="rId8188" Type="http://schemas.openxmlformats.org/officeDocument/2006/relationships/hyperlink" Target="https://m.stock.naver.com/research/company/85050" TargetMode="External"/><Relationship Id="rId9239" Type="http://schemas.openxmlformats.org/officeDocument/2006/relationships/hyperlink" Target="https://m.stock.naver.com/research/company/83989" TargetMode="External"/><Relationship Id="rId9653" Type="http://schemas.openxmlformats.org/officeDocument/2006/relationships/hyperlink" Target="https://m.stock.naver.com/research/company/83571" TargetMode="External"/><Relationship Id="rId11169" Type="http://schemas.openxmlformats.org/officeDocument/2006/relationships/hyperlink" Target="https://m.stock.naver.com/research/company/82051" TargetMode="External"/><Relationship Id="rId12981" Type="http://schemas.openxmlformats.org/officeDocument/2006/relationships/hyperlink" Target="https://m.stock.naver.com/research/company/80227" TargetMode="External"/><Relationship Id="rId15040" Type="http://schemas.openxmlformats.org/officeDocument/2006/relationships/hyperlink" Target="https://m.stock.naver.com/research/company/94928" TargetMode="External"/><Relationship Id="rId1228" Type="http://schemas.openxmlformats.org/officeDocument/2006/relationships/hyperlink" Target="https://m.stock.naver.com/research/company/92027" TargetMode="External"/><Relationship Id="rId4798" Type="http://schemas.openxmlformats.org/officeDocument/2006/relationships/hyperlink" Target="https://m.stock.naver.com/research/company/88442" TargetMode="External"/><Relationship Id="rId8255" Type="http://schemas.openxmlformats.org/officeDocument/2006/relationships/hyperlink" Target="https://m.stock.naver.com/research/company/84983" TargetMode="External"/><Relationship Id="rId9306" Type="http://schemas.openxmlformats.org/officeDocument/2006/relationships/hyperlink" Target="https://m.stock.naver.com/research/company/83921" TargetMode="External"/><Relationship Id="rId10185" Type="http://schemas.openxmlformats.org/officeDocument/2006/relationships/hyperlink" Target="https://m.stock.naver.com/research/company/83036" TargetMode="External"/><Relationship Id="rId11583" Type="http://schemas.openxmlformats.org/officeDocument/2006/relationships/hyperlink" Target="https://m.stock.naver.com/research/company/81629" TargetMode="External"/><Relationship Id="rId12634" Type="http://schemas.openxmlformats.org/officeDocument/2006/relationships/hyperlink" Target="https://m.stock.naver.com/research/company/80574" TargetMode="External"/><Relationship Id="rId1642" Type="http://schemas.openxmlformats.org/officeDocument/2006/relationships/hyperlink" Target="https://m.stock.naver.com/research/company/91613" TargetMode="External"/><Relationship Id="rId5849" Type="http://schemas.openxmlformats.org/officeDocument/2006/relationships/hyperlink" Target="https://m.stock.naver.com/research/company/87391" TargetMode="External"/><Relationship Id="rId7271" Type="http://schemas.openxmlformats.org/officeDocument/2006/relationships/hyperlink" Target="https://m.stock.naver.com/research/company/85968" TargetMode="External"/><Relationship Id="rId8322" Type="http://schemas.openxmlformats.org/officeDocument/2006/relationships/hyperlink" Target="https://m.stock.naver.com/research/company/84916" TargetMode="External"/><Relationship Id="rId9720" Type="http://schemas.openxmlformats.org/officeDocument/2006/relationships/hyperlink" Target="https://m.stock.naver.com/research/company/83503" TargetMode="External"/><Relationship Id="rId11236" Type="http://schemas.openxmlformats.org/officeDocument/2006/relationships/hyperlink" Target="https://m.stock.naver.com/research/company/81983" TargetMode="External"/><Relationship Id="rId11650" Type="http://schemas.openxmlformats.org/officeDocument/2006/relationships/hyperlink" Target="https://m.stock.naver.com/research/company/81562" TargetMode="External"/><Relationship Id="rId12701" Type="http://schemas.openxmlformats.org/officeDocument/2006/relationships/hyperlink" Target="https://m.stock.naver.com/research/company/80507" TargetMode="External"/><Relationship Id="rId4865" Type="http://schemas.openxmlformats.org/officeDocument/2006/relationships/hyperlink" Target="https://m.stock.naver.com/research/company/88375" TargetMode="External"/><Relationship Id="rId5916" Type="http://schemas.openxmlformats.org/officeDocument/2006/relationships/hyperlink" Target="https://m.stock.naver.com/research/company/87324" TargetMode="External"/><Relationship Id="rId10252" Type="http://schemas.openxmlformats.org/officeDocument/2006/relationships/hyperlink" Target="https://m.stock.naver.com/research/company/82969" TargetMode="External"/><Relationship Id="rId11303" Type="http://schemas.openxmlformats.org/officeDocument/2006/relationships/hyperlink" Target="https://m.stock.naver.com/research/company/81916" TargetMode="External"/><Relationship Id="rId14459" Type="http://schemas.openxmlformats.org/officeDocument/2006/relationships/hyperlink" Target="https://m.stock.naver.com/research/company/94451" TargetMode="External"/><Relationship Id="rId14873" Type="http://schemas.openxmlformats.org/officeDocument/2006/relationships/hyperlink" Target="https://m.stock.naver.com/research/company/94751" TargetMode="External"/><Relationship Id="rId388" Type="http://schemas.openxmlformats.org/officeDocument/2006/relationships/hyperlink" Target="https://m.stock.naver.com/research/company/93070" TargetMode="External"/><Relationship Id="rId2069" Type="http://schemas.openxmlformats.org/officeDocument/2006/relationships/hyperlink" Target="https://m.stock.naver.com/research/company/91186" TargetMode="External"/><Relationship Id="rId3467" Type="http://schemas.openxmlformats.org/officeDocument/2006/relationships/hyperlink" Target="https://m.stock.naver.com/research/company/89784" TargetMode="External"/><Relationship Id="rId3881" Type="http://schemas.openxmlformats.org/officeDocument/2006/relationships/hyperlink" Target="https://m.stock.naver.com/research/company/89370" TargetMode="External"/><Relationship Id="rId4518" Type="http://schemas.openxmlformats.org/officeDocument/2006/relationships/hyperlink" Target="https://m.stock.naver.com/research/company/88722" TargetMode="External"/><Relationship Id="rId4932" Type="http://schemas.openxmlformats.org/officeDocument/2006/relationships/hyperlink" Target="https://m.stock.naver.com/research/company/88308" TargetMode="External"/><Relationship Id="rId9096" Type="http://schemas.openxmlformats.org/officeDocument/2006/relationships/hyperlink" Target="https://m.stock.naver.com/research/company/84134" TargetMode="External"/><Relationship Id="rId13475" Type="http://schemas.openxmlformats.org/officeDocument/2006/relationships/hyperlink" Target="https://m.stock.naver.com/research/company/79729" TargetMode="External"/><Relationship Id="rId14526" Type="http://schemas.openxmlformats.org/officeDocument/2006/relationships/hyperlink" Target="https://m.stock.naver.com/research/company/94384" TargetMode="External"/><Relationship Id="rId2483" Type="http://schemas.openxmlformats.org/officeDocument/2006/relationships/hyperlink" Target="https://m.stock.naver.com/research/company/90771" TargetMode="External"/><Relationship Id="rId3534" Type="http://schemas.openxmlformats.org/officeDocument/2006/relationships/hyperlink" Target="https://m.stock.naver.com/research/company/89717" TargetMode="External"/><Relationship Id="rId12077" Type="http://schemas.openxmlformats.org/officeDocument/2006/relationships/hyperlink" Target="https://m.stock.naver.com/research/company/81134" TargetMode="External"/><Relationship Id="rId12491" Type="http://schemas.openxmlformats.org/officeDocument/2006/relationships/hyperlink" Target="https://m.stock.naver.com/research/company/80717" TargetMode="External"/><Relationship Id="rId13128" Type="http://schemas.openxmlformats.org/officeDocument/2006/relationships/hyperlink" Target="https://m.stock.naver.com/research/company/80079" TargetMode="External"/><Relationship Id="rId13542" Type="http://schemas.openxmlformats.org/officeDocument/2006/relationships/hyperlink" Target="https://m.stock.naver.com/research/company/79662" TargetMode="External"/><Relationship Id="rId14940" Type="http://schemas.openxmlformats.org/officeDocument/2006/relationships/hyperlink" Target="https://m.stock.naver.com/research/company/94894" TargetMode="External"/><Relationship Id="rId455" Type="http://schemas.openxmlformats.org/officeDocument/2006/relationships/hyperlink" Target="https://m.stock.naver.com/research/company/93002" TargetMode="External"/><Relationship Id="rId1085" Type="http://schemas.openxmlformats.org/officeDocument/2006/relationships/hyperlink" Target="https://m.stock.naver.com/research/company/92171" TargetMode="External"/><Relationship Id="rId2136" Type="http://schemas.openxmlformats.org/officeDocument/2006/relationships/hyperlink" Target="https://m.stock.naver.com/research/company/91119" TargetMode="External"/><Relationship Id="rId2550" Type="http://schemas.openxmlformats.org/officeDocument/2006/relationships/hyperlink" Target="https://m.stock.naver.com/research/company/90704" TargetMode="External"/><Relationship Id="rId3601" Type="http://schemas.openxmlformats.org/officeDocument/2006/relationships/hyperlink" Target="https://m.stock.naver.com/research/company/89650" TargetMode="External"/><Relationship Id="rId6757" Type="http://schemas.openxmlformats.org/officeDocument/2006/relationships/hyperlink" Target="https://m.stock.naver.com/research/company/86483" TargetMode="External"/><Relationship Id="rId7808" Type="http://schemas.openxmlformats.org/officeDocument/2006/relationships/hyperlink" Target="https://m.stock.naver.com/research/company/85430" TargetMode="External"/><Relationship Id="rId9163" Type="http://schemas.openxmlformats.org/officeDocument/2006/relationships/hyperlink" Target="https://m.stock.naver.com/research/company/84067" TargetMode="External"/><Relationship Id="rId11093" Type="http://schemas.openxmlformats.org/officeDocument/2006/relationships/hyperlink" Target="https://m.stock.naver.com/research/company/82127" TargetMode="External"/><Relationship Id="rId12144" Type="http://schemas.openxmlformats.org/officeDocument/2006/relationships/hyperlink" Target="https://m.stock.naver.com/research/company/81067" TargetMode="External"/><Relationship Id="rId108" Type="http://schemas.openxmlformats.org/officeDocument/2006/relationships/hyperlink" Target="https://m.stock.naver.com/research/company/93350" TargetMode="External"/><Relationship Id="rId522" Type="http://schemas.openxmlformats.org/officeDocument/2006/relationships/hyperlink" Target="https://m.stock.naver.com/research/company/92935" TargetMode="External"/><Relationship Id="rId1152" Type="http://schemas.openxmlformats.org/officeDocument/2006/relationships/hyperlink" Target="https://m.stock.naver.com/research/company/92103" TargetMode="External"/><Relationship Id="rId2203" Type="http://schemas.openxmlformats.org/officeDocument/2006/relationships/hyperlink" Target="https://m.stock.naver.com/research/company/91052" TargetMode="External"/><Relationship Id="rId5359" Type="http://schemas.openxmlformats.org/officeDocument/2006/relationships/hyperlink" Target="https://m.stock.naver.com/research/company/87881" TargetMode="External"/><Relationship Id="rId5773" Type="http://schemas.openxmlformats.org/officeDocument/2006/relationships/hyperlink" Target="https://m.stock.naver.com/research/company/87467" TargetMode="External"/><Relationship Id="rId9230" Type="http://schemas.openxmlformats.org/officeDocument/2006/relationships/hyperlink" Target="https://m.stock.naver.com/research/company/84000" TargetMode="External"/><Relationship Id="rId11160" Type="http://schemas.openxmlformats.org/officeDocument/2006/relationships/hyperlink" Target="https://m.stock.naver.com/research/company/82060" TargetMode="External"/><Relationship Id="rId4375" Type="http://schemas.openxmlformats.org/officeDocument/2006/relationships/hyperlink" Target="https://m.stock.naver.com/research/company/88866" TargetMode="External"/><Relationship Id="rId5426" Type="http://schemas.openxmlformats.org/officeDocument/2006/relationships/hyperlink" Target="https://m.stock.naver.com/research/company/87814" TargetMode="External"/><Relationship Id="rId6824" Type="http://schemas.openxmlformats.org/officeDocument/2006/relationships/hyperlink" Target="https://m.stock.naver.com/research/company/86416" TargetMode="External"/><Relationship Id="rId12211" Type="http://schemas.openxmlformats.org/officeDocument/2006/relationships/hyperlink" Target="https://m.stock.naver.com/research/company/80999" TargetMode="External"/><Relationship Id="rId15367" Type="http://schemas.openxmlformats.org/officeDocument/2006/relationships/hyperlink" Target="https://m.stock.naver.com/research/company/95221" TargetMode="External"/><Relationship Id="rId1969" Type="http://schemas.openxmlformats.org/officeDocument/2006/relationships/hyperlink" Target="https://m.stock.naver.com/research/company/91286" TargetMode="External"/><Relationship Id="rId4028" Type="http://schemas.openxmlformats.org/officeDocument/2006/relationships/hyperlink" Target="https://m.stock.naver.com/research/company/89223" TargetMode="External"/><Relationship Id="rId5840" Type="http://schemas.openxmlformats.org/officeDocument/2006/relationships/hyperlink" Target="https://m.stock.naver.com/research/company/87400" TargetMode="External"/><Relationship Id="rId8996" Type="http://schemas.openxmlformats.org/officeDocument/2006/relationships/hyperlink" Target="https://m.stock.naver.com/research/company/84236" TargetMode="External"/><Relationship Id="rId11977" Type="http://schemas.openxmlformats.org/officeDocument/2006/relationships/hyperlink" Target="https://m.stock.naver.com/research/company/81234" TargetMode="External"/><Relationship Id="rId14383" Type="http://schemas.openxmlformats.org/officeDocument/2006/relationships/hyperlink" Target="https://m.stock.naver.com/research/company/94229" TargetMode="External"/><Relationship Id="rId15434" Type="http://schemas.openxmlformats.org/officeDocument/2006/relationships/hyperlink" Target="https://m.stock.naver.com/research/company/95353" TargetMode="External"/><Relationship Id="rId3391" Type="http://schemas.openxmlformats.org/officeDocument/2006/relationships/hyperlink" Target="https://m.stock.naver.com/research/company/89860" TargetMode="External"/><Relationship Id="rId4442" Type="http://schemas.openxmlformats.org/officeDocument/2006/relationships/hyperlink" Target="https://m.stock.naver.com/research/company/88798" TargetMode="External"/><Relationship Id="rId7598" Type="http://schemas.openxmlformats.org/officeDocument/2006/relationships/hyperlink" Target="https://m.stock.naver.com/research/company/85641" TargetMode="External"/><Relationship Id="rId8649" Type="http://schemas.openxmlformats.org/officeDocument/2006/relationships/hyperlink" Target="https://m.stock.naver.com/research/company/84588" TargetMode="External"/><Relationship Id="rId10579" Type="http://schemas.openxmlformats.org/officeDocument/2006/relationships/hyperlink" Target="https://m.stock.naver.com/research/company/82641" TargetMode="External"/><Relationship Id="rId10993" Type="http://schemas.openxmlformats.org/officeDocument/2006/relationships/hyperlink" Target="https://m.stock.naver.com/research/company/82227" TargetMode="External"/><Relationship Id="rId14036" Type="http://schemas.openxmlformats.org/officeDocument/2006/relationships/hyperlink" Target="https://m.stock.naver.com/research/company/93811" TargetMode="External"/><Relationship Id="rId14450" Type="http://schemas.openxmlformats.org/officeDocument/2006/relationships/hyperlink" Target="https://m.stock.naver.com/research/company/94460" TargetMode="External"/><Relationship Id="rId15501" Type="http://schemas.openxmlformats.org/officeDocument/2006/relationships/hyperlink" Target="https://m.stock.naver.com/research/company/95286" TargetMode="External"/><Relationship Id="rId3044" Type="http://schemas.openxmlformats.org/officeDocument/2006/relationships/hyperlink" Target="https://m.stock.naver.com/research/company/90207" TargetMode="External"/><Relationship Id="rId7665" Type="http://schemas.openxmlformats.org/officeDocument/2006/relationships/hyperlink" Target="https://m.stock.naver.com/research/company/85574" TargetMode="External"/><Relationship Id="rId8716" Type="http://schemas.openxmlformats.org/officeDocument/2006/relationships/hyperlink" Target="https://m.stock.naver.com/research/company/84521" TargetMode="External"/><Relationship Id="rId10646" Type="http://schemas.openxmlformats.org/officeDocument/2006/relationships/hyperlink" Target="https://m.stock.naver.com/research/company/82574" TargetMode="External"/><Relationship Id="rId13052" Type="http://schemas.openxmlformats.org/officeDocument/2006/relationships/hyperlink" Target="https://m.stock.naver.com/research/company/80155" TargetMode="External"/><Relationship Id="rId14103" Type="http://schemas.openxmlformats.org/officeDocument/2006/relationships/hyperlink" Target="https://m.stock.naver.com/research/company/93899" TargetMode="External"/><Relationship Id="rId2060" Type="http://schemas.openxmlformats.org/officeDocument/2006/relationships/hyperlink" Target="https://m.stock.naver.com/research/company/91195" TargetMode="External"/><Relationship Id="rId3111" Type="http://schemas.openxmlformats.org/officeDocument/2006/relationships/hyperlink" Target="https://m.stock.naver.com/research/company/90140" TargetMode="External"/><Relationship Id="rId6267" Type="http://schemas.openxmlformats.org/officeDocument/2006/relationships/hyperlink" Target="https://m.stock.naver.com/research/company/86973" TargetMode="External"/><Relationship Id="rId6681" Type="http://schemas.openxmlformats.org/officeDocument/2006/relationships/hyperlink" Target="https://m.stock.naver.com/research/company/86559" TargetMode="External"/><Relationship Id="rId7318" Type="http://schemas.openxmlformats.org/officeDocument/2006/relationships/hyperlink" Target="https://m.stock.naver.com/research/company/85921" TargetMode="External"/><Relationship Id="rId7732" Type="http://schemas.openxmlformats.org/officeDocument/2006/relationships/hyperlink" Target="https://m.stock.naver.com/research/company/85507" TargetMode="External"/><Relationship Id="rId2877" Type="http://schemas.openxmlformats.org/officeDocument/2006/relationships/hyperlink" Target="https://m.stock.naver.com/research/company/90376" TargetMode="External"/><Relationship Id="rId5283" Type="http://schemas.openxmlformats.org/officeDocument/2006/relationships/hyperlink" Target="https://m.stock.naver.com/research/company/87957" TargetMode="External"/><Relationship Id="rId6334" Type="http://schemas.openxmlformats.org/officeDocument/2006/relationships/hyperlink" Target="https://m.stock.naver.com/research/company/86906" TargetMode="External"/><Relationship Id="rId10713" Type="http://schemas.openxmlformats.org/officeDocument/2006/relationships/hyperlink" Target="https://m.stock.naver.com/research/company/82507" TargetMode="External"/><Relationship Id="rId13869" Type="http://schemas.openxmlformats.org/officeDocument/2006/relationships/hyperlink" Target="https://m.stock.naver.com/research/company/93658" TargetMode="External"/><Relationship Id="rId15291" Type="http://schemas.openxmlformats.org/officeDocument/2006/relationships/hyperlink" Target="https://m.stock.naver.com/research/company/95069" TargetMode="External"/><Relationship Id="rId849" Type="http://schemas.openxmlformats.org/officeDocument/2006/relationships/hyperlink" Target="https://m.stock.naver.com/research/company/92607" TargetMode="External"/><Relationship Id="rId1479" Type="http://schemas.openxmlformats.org/officeDocument/2006/relationships/hyperlink" Target="https://m.stock.naver.com/research/company/91776" TargetMode="External"/><Relationship Id="rId3928" Type="http://schemas.openxmlformats.org/officeDocument/2006/relationships/hyperlink" Target="https://m.stock.naver.com/research/company/89323" TargetMode="External"/><Relationship Id="rId5350" Type="http://schemas.openxmlformats.org/officeDocument/2006/relationships/hyperlink" Target="https://m.stock.naver.com/research/company/87890" TargetMode="External"/><Relationship Id="rId6401" Type="http://schemas.openxmlformats.org/officeDocument/2006/relationships/hyperlink" Target="https://m.stock.naver.com/research/company/86839" TargetMode="External"/><Relationship Id="rId9557" Type="http://schemas.openxmlformats.org/officeDocument/2006/relationships/hyperlink" Target="https://m.stock.naver.com/research/company/83670" TargetMode="External"/><Relationship Id="rId12885" Type="http://schemas.openxmlformats.org/officeDocument/2006/relationships/hyperlink" Target="https://m.stock.naver.com/research/company/80323" TargetMode="External"/><Relationship Id="rId13936" Type="http://schemas.openxmlformats.org/officeDocument/2006/relationships/hyperlink" Target="https://m.stock.naver.com/research/company/93796" TargetMode="External"/><Relationship Id="rId1893" Type="http://schemas.openxmlformats.org/officeDocument/2006/relationships/hyperlink" Target="https://m.stock.naver.com/research/company/91362" TargetMode="External"/><Relationship Id="rId2944" Type="http://schemas.openxmlformats.org/officeDocument/2006/relationships/hyperlink" Target="https://m.stock.naver.com/research/company/90309" TargetMode="External"/><Relationship Id="rId5003" Type="http://schemas.openxmlformats.org/officeDocument/2006/relationships/hyperlink" Target="https://m.stock.naver.com/research/company/88237" TargetMode="External"/><Relationship Id="rId8159" Type="http://schemas.openxmlformats.org/officeDocument/2006/relationships/hyperlink" Target="https://m.stock.naver.com/research/company/85079" TargetMode="External"/><Relationship Id="rId9971" Type="http://schemas.openxmlformats.org/officeDocument/2006/relationships/hyperlink" Target="https://m.stock.naver.com/research/company/83250" TargetMode="External"/><Relationship Id="rId11487" Type="http://schemas.openxmlformats.org/officeDocument/2006/relationships/hyperlink" Target="https://m.stock.naver.com/research/company/81728" TargetMode="External"/><Relationship Id="rId12538" Type="http://schemas.openxmlformats.org/officeDocument/2006/relationships/hyperlink" Target="https://m.stock.naver.com/research/company/80670" TargetMode="External"/><Relationship Id="rId12952" Type="http://schemas.openxmlformats.org/officeDocument/2006/relationships/hyperlink" Target="https://m.stock.naver.com/research/company/80256" TargetMode="External"/><Relationship Id="rId916" Type="http://schemas.openxmlformats.org/officeDocument/2006/relationships/hyperlink" Target="https://m.stock.naver.com/research/company/92540" TargetMode="External"/><Relationship Id="rId1546" Type="http://schemas.openxmlformats.org/officeDocument/2006/relationships/hyperlink" Target="https://m.stock.naver.com/research/company/91709" TargetMode="External"/><Relationship Id="rId1960" Type="http://schemas.openxmlformats.org/officeDocument/2006/relationships/hyperlink" Target="https://m.stock.naver.com/research/company/91295" TargetMode="External"/><Relationship Id="rId7175" Type="http://schemas.openxmlformats.org/officeDocument/2006/relationships/hyperlink" Target="https://m.stock.naver.com/research/company/86064" TargetMode="External"/><Relationship Id="rId8573" Type="http://schemas.openxmlformats.org/officeDocument/2006/relationships/hyperlink" Target="https://m.stock.naver.com/research/company/84664" TargetMode="External"/><Relationship Id="rId9624" Type="http://schemas.openxmlformats.org/officeDocument/2006/relationships/hyperlink" Target="https://m.stock.naver.com/research/company/83601" TargetMode="External"/><Relationship Id="rId10089" Type="http://schemas.openxmlformats.org/officeDocument/2006/relationships/hyperlink" Target="https://m.stock.naver.com/research/company/83132" TargetMode="External"/><Relationship Id="rId11554" Type="http://schemas.openxmlformats.org/officeDocument/2006/relationships/hyperlink" Target="https://m.stock.naver.com/research/company/81660" TargetMode="External"/><Relationship Id="rId12605" Type="http://schemas.openxmlformats.org/officeDocument/2006/relationships/hyperlink" Target="https://m.stock.naver.com/research/company/80603" TargetMode="External"/><Relationship Id="rId15011" Type="http://schemas.openxmlformats.org/officeDocument/2006/relationships/hyperlink" Target="https://m.stock.naver.com/research/company/94823" TargetMode="External"/><Relationship Id="rId1613" Type="http://schemas.openxmlformats.org/officeDocument/2006/relationships/hyperlink" Target="https://m.stock.naver.com/research/company/91642" TargetMode="External"/><Relationship Id="rId4769" Type="http://schemas.openxmlformats.org/officeDocument/2006/relationships/hyperlink" Target="https://m.stock.naver.com/research/company/88471" TargetMode="External"/><Relationship Id="rId8226" Type="http://schemas.openxmlformats.org/officeDocument/2006/relationships/hyperlink" Target="https://m.stock.naver.com/research/company/85012" TargetMode="External"/><Relationship Id="rId8640" Type="http://schemas.openxmlformats.org/officeDocument/2006/relationships/hyperlink" Target="https://m.stock.naver.com/research/company/84597" TargetMode="External"/><Relationship Id="rId10156" Type="http://schemas.openxmlformats.org/officeDocument/2006/relationships/hyperlink" Target="https://m.stock.naver.com/research/company/83065" TargetMode="External"/><Relationship Id="rId10570" Type="http://schemas.openxmlformats.org/officeDocument/2006/relationships/hyperlink" Target="https://m.stock.naver.com/research/company/82650" TargetMode="External"/><Relationship Id="rId11207" Type="http://schemas.openxmlformats.org/officeDocument/2006/relationships/hyperlink" Target="https://m.stock.naver.com/research/company/82013" TargetMode="External"/><Relationship Id="rId11621" Type="http://schemas.openxmlformats.org/officeDocument/2006/relationships/hyperlink" Target="https://m.stock.naver.com/research/company/81591" TargetMode="External"/><Relationship Id="rId14777" Type="http://schemas.openxmlformats.org/officeDocument/2006/relationships/hyperlink" Target="https://m.stock.naver.com/research/company/94623" TargetMode="External"/><Relationship Id="rId3785" Type="http://schemas.openxmlformats.org/officeDocument/2006/relationships/hyperlink" Target="https://m.stock.naver.com/research/company/89466" TargetMode="External"/><Relationship Id="rId4836" Type="http://schemas.openxmlformats.org/officeDocument/2006/relationships/hyperlink" Target="https://m.stock.naver.com/research/company/88404" TargetMode="External"/><Relationship Id="rId6191" Type="http://schemas.openxmlformats.org/officeDocument/2006/relationships/hyperlink" Target="https://m.stock.naver.com/research/company/87049" TargetMode="External"/><Relationship Id="rId7242" Type="http://schemas.openxmlformats.org/officeDocument/2006/relationships/hyperlink" Target="https://m.stock.naver.com/research/company/85997" TargetMode="External"/><Relationship Id="rId10223" Type="http://schemas.openxmlformats.org/officeDocument/2006/relationships/hyperlink" Target="https://m.stock.naver.com/research/company/82998" TargetMode="External"/><Relationship Id="rId13379" Type="http://schemas.openxmlformats.org/officeDocument/2006/relationships/hyperlink" Target="https://m.stock.naver.com/research/company/79826" TargetMode="External"/><Relationship Id="rId2387" Type="http://schemas.openxmlformats.org/officeDocument/2006/relationships/hyperlink" Target="https://m.stock.naver.com/research/company/90867" TargetMode="External"/><Relationship Id="rId3438" Type="http://schemas.openxmlformats.org/officeDocument/2006/relationships/hyperlink" Target="https://m.stock.naver.com/research/company/89813" TargetMode="External"/><Relationship Id="rId3852" Type="http://schemas.openxmlformats.org/officeDocument/2006/relationships/hyperlink" Target="https://m.stock.naver.com/research/company/89399" TargetMode="External"/><Relationship Id="rId12395" Type="http://schemas.openxmlformats.org/officeDocument/2006/relationships/hyperlink" Target="https://m.stock.naver.com/research/company/80814" TargetMode="External"/><Relationship Id="rId13793" Type="http://schemas.openxmlformats.org/officeDocument/2006/relationships/hyperlink" Target="https://m.stock.naver.com/research/company/93585" TargetMode="External"/><Relationship Id="rId14844" Type="http://schemas.openxmlformats.org/officeDocument/2006/relationships/hyperlink" Target="https://m.stock.naver.com/research/company/94780" TargetMode="External"/><Relationship Id="rId359" Type="http://schemas.openxmlformats.org/officeDocument/2006/relationships/hyperlink" Target="https://m.stock.naver.com/research/company/93099" TargetMode="External"/><Relationship Id="rId773" Type="http://schemas.openxmlformats.org/officeDocument/2006/relationships/hyperlink" Target="https://m.stock.naver.com/research/company/92683" TargetMode="External"/><Relationship Id="rId2454" Type="http://schemas.openxmlformats.org/officeDocument/2006/relationships/hyperlink" Target="https://m.stock.naver.com/research/company/90800" TargetMode="External"/><Relationship Id="rId3505" Type="http://schemas.openxmlformats.org/officeDocument/2006/relationships/hyperlink" Target="https://m.stock.naver.com/research/company/89746" TargetMode="External"/><Relationship Id="rId4903" Type="http://schemas.openxmlformats.org/officeDocument/2006/relationships/hyperlink" Target="https://m.stock.naver.com/research/company/88337" TargetMode="External"/><Relationship Id="rId9067" Type="http://schemas.openxmlformats.org/officeDocument/2006/relationships/hyperlink" Target="https://m.stock.naver.com/research/company/84164" TargetMode="External"/><Relationship Id="rId9481" Type="http://schemas.openxmlformats.org/officeDocument/2006/relationships/hyperlink" Target="https://m.stock.naver.com/research/company/83746" TargetMode="External"/><Relationship Id="rId12048" Type="http://schemas.openxmlformats.org/officeDocument/2006/relationships/hyperlink" Target="https://m.stock.naver.com/research/company/81163" TargetMode="External"/><Relationship Id="rId13446" Type="http://schemas.openxmlformats.org/officeDocument/2006/relationships/hyperlink" Target="https://m.stock.naver.com/research/company/79758" TargetMode="External"/><Relationship Id="rId13860" Type="http://schemas.openxmlformats.org/officeDocument/2006/relationships/hyperlink" Target="https://m.stock.naver.com/research/company/93667" TargetMode="External"/><Relationship Id="rId14911" Type="http://schemas.openxmlformats.org/officeDocument/2006/relationships/hyperlink" Target="https://m.stock.naver.com/research/company/94923" TargetMode="External"/><Relationship Id="rId426" Type="http://schemas.openxmlformats.org/officeDocument/2006/relationships/hyperlink" Target="https://m.stock.naver.com/research/company/93031" TargetMode="External"/><Relationship Id="rId1056" Type="http://schemas.openxmlformats.org/officeDocument/2006/relationships/hyperlink" Target="https://m.stock.naver.com/research/company/92295" TargetMode="External"/><Relationship Id="rId2107" Type="http://schemas.openxmlformats.org/officeDocument/2006/relationships/hyperlink" Target="https://m.stock.naver.com/research/company/91148" TargetMode="External"/><Relationship Id="rId8083" Type="http://schemas.openxmlformats.org/officeDocument/2006/relationships/hyperlink" Target="https://m.stock.naver.com/research/company/85155" TargetMode="External"/><Relationship Id="rId9134" Type="http://schemas.openxmlformats.org/officeDocument/2006/relationships/hyperlink" Target="https://m.stock.naver.com/research/company/84096" TargetMode="External"/><Relationship Id="rId12462" Type="http://schemas.openxmlformats.org/officeDocument/2006/relationships/hyperlink" Target="https://m.stock.naver.com/research/company/80747" TargetMode="External"/><Relationship Id="rId13513" Type="http://schemas.openxmlformats.org/officeDocument/2006/relationships/hyperlink" Target="https://m.stock.naver.com/research/company/79691" TargetMode="External"/><Relationship Id="rId840" Type="http://schemas.openxmlformats.org/officeDocument/2006/relationships/hyperlink" Target="https://m.stock.naver.com/research/company/92616" TargetMode="External"/><Relationship Id="rId1470" Type="http://schemas.openxmlformats.org/officeDocument/2006/relationships/hyperlink" Target="https://m.stock.naver.com/research/company/91785" TargetMode="External"/><Relationship Id="rId2521" Type="http://schemas.openxmlformats.org/officeDocument/2006/relationships/hyperlink" Target="https://m.stock.naver.com/research/company/90733" TargetMode="External"/><Relationship Id="rId4279" Type="http://schemas.openxmlformats.org/officeDocument/2006/relationships/hyperlink" Target="https://m.stock.naver.com/research/company/88962" TargetMode="External"/><Relationship Id="rId5677" Type="http://schemas.openxmlformats.org/officeDocument/2006/relationships/hyperlink" Target="https://m.stock.naver.com/research/company/87563" TargetMode="External"/><Relationship Id="rId6728" Type="http://schemas.openxmlformats.org/officeDocument/2006/relationships/hyperlink" Target="https://m.stock.naver.com/research/company/86512" TargetMode="External"/><Relationship Id="rId11064" Type="http://schemas.openxmlformats.org/officeDocument/2006/relationships/hyperlink" Target="https://m.stock.naver.com/research/company/82156" TargetMode="External"/><Relationship Id="rId12115" Type="http://schemas.openxmlformats.org/officeDocument/2006/relationships/hyperlink" Target="https://m.stock.naver.com/research/company/81096" TargetMode="External"/><Relationship Id="rId15685" Type="http://schemas.openxmlformats.org/officeDocument/2006/relationships/hyperlink" Target="https://m.stock.naver.com/research/company/95729" TargetMode="External"/><Relationship Id="rId1123" Type="http://schemas.openxmlformats.org/officeDocument/2006/relationships/hyperlink" Target="https://m.stock.naver.com/research/company/92132" TargetMode="External"/><Relationship Id="rId4693" Type="http://schemas.openxmlformats.org/officeDocument/2006/relationships/hyperlink" Target="https://m.stock.naver.com/research/company/88547" TargetMode="External"/><Relationship Id="rId5744" Type="http://schemas.openxmlformats.org/officeDocument/2006/relationships/hyperlink" Target="https://m.stock.naver.com/research/company/87496" TargetMode="External"/><Relationship Id="rId8150" Type="http://schemas.openxmlformats.org/officeDocument/2006/relationships/hyperlink" Target="https://m.stock.naver.com/research/company/85088" TargetMode="External"/><Relationship Id="rId9201" Type="http://schemas.openxmlformats.org/officeDocument/2006/relationships/hyperlink" Target="https://m.stock.naver.com/research/company/84029" TargetMode="External"/><Relationship Id="rId10080" Type="http://schemas.openxmlformats.org/officeDocument/2006/relationships/hyperlink" Target="https://m.stock.naver.com/research/company/83141" TargetMode="External"/><Relationship Id="rId11131" Type="http://schemas.openxmlformats.org/officeDocument/2006/relationships/hyperlink" Target="https://m.stock.naver.com/research/company/82089" TargetMode="External"/><Relationship Id="rId14287" Type="http://schemas.openxmlformats.org/officeDocument/2006/relationships/hyperlink" Target="https://m.stock.naver.com/research/company/94177" TargetMode="External"/><Relationship Id="rId15338" Type="http://schemas.openxmlformats.org/officeDocument/2006/relationships/hyperlink" Target="https://m.stock.naver.com/research/company/95250" TargetMode="External"/><Relationship Id="rId15752" Type="http://schemas.openxmlformats.org/officeDocument/2006/relationships/hyperlink" Target="https://m.stock.naver.com/research/company/95662" TargetMode="External"/><Relationship Id="rId3295" Type="http://schemas.openxmlformats.org/officeDocument/2006/relationships/hyperlink" Target="https://m.stock.naver.com/research/company/89955" TargetMode="External"/><Relationship Id="rId4346" Type="http://schemas.openxmlformats.org/officeDocument/2006/relationships/hyperlink" Target="https://m.stock.naver.com/research/company/88895" TargetMode="External"/><Relationship Id="rId4760" Type="http://schemas.openxmlformats.org/officeDocument/2006/relationships/hyperlink" Target="https://m.stock.naver.com/research/company/88480" TargetMode="External"/><Relationship Id="rId5811" Type="http://schemas.openxmlformats.org/officeDocument/2006/relationships/hyperlink" Target="https://m.stock.naver.com/research/company/87429" TargetMode="External"/><Relationship Id="rId8967" Type="http://schemas.openxmlformats.org/officeDocument/2006/relationships/hyperlink" Target="https://m.stock.naver.com/research/company/84265" TargetMode="External"/><Relationship Id="rId14354" Type="http://schemas.openxmlformats.org/officeDocument/2006/relationships/hyperlink" Target="https://m.stock.naver.com/research/company/94197" TargetMode="External"/><Relationship Id="rId15405" Type="http://schemas.openxmlformats.org/officeDocument/2006/relationships/hyperlink" Target="https://m.stock.naver.com/research/company/95382" TargetMode="External"/><Relationship Id="rId3362" Type="http://schemas.openxmlformats.org/officeDocument/2006/relationships/hyperlink" Target="https://m.stock.naver.com/research/company/89888" TargetMode="External"/><Relationship Id="rId4413" Type="http://schemas.openxmlformats.org/officeDocument/2006/relationships/hyperlink" Target="https://m.stock.naver.com/research/company/88828" TargetMode="External"/><Relationship Id="rId7569" Type="http://schemas.openxmlformats.org/officeDocument/2006/relationships/hyperlink" Target="https://m.stock.naver.com/research/company/85670" TargetMode="External"/><Relationship Id="rId7983" Type="http://schemas.openxmlformats.org/officeDocument/2006/relationships/hyperlink" Target="https://m.stock.naver.com/research/company/85255" TargetMode="External"/><Relationship Id="rId10897" Type="http://schemas.openxmlformats.org/officeDocument/2006/relationships/hyperlink" Target="https://m.stock.naver.com/research/company/82323" TargetMode="External"/><Relationship Id="rId11948" Type="http://schemas.openxmlformats.org/officeDocument/2006/relationships/hyperlink" Target="https://m.stock.naver.com/research/company/81263" TargetMode="External"/><Relationship Id="rId13370" Type="http://schemas.openxmlformats.org/officeDocument/2006/relationships/hyperlink" Target="https://m.stock.naver.com/research/company/79835" TargetMode="External"/><Relationship Id="rId14007" Type="http://schemas.openxmlformats.org/officeDocument/2006/relationships/hyperlink" Target="https://m.stock.naver.com/research/company/93725" TargetMode="External"/><Relationship Id="rId283" Type="http://schemas.openxmlformats.org/officeDocument/2006/relationships/hyperlink" Target="https://m.stock.naver.com/research/company/93175" TargetMode="External"/><Relationship Id="rId3015" Type="http://schemas.openxmlformats.org/officeDocument/2006/relationships/hyperlink" Target="https://m.stock.naver.com/research/company/90236" TargetMode="External"/><Relationship Id="rId6585" Type="http://schemas.openxmlformats.org/officeDocument/2006/relationships/hyperlink" Target="https://m.stock.naver.com/research/company/86655" TargetMode="External"/><Relationship Id="rId7636" Type="http://schemas.openxmlformats.org/officeDocument/2006/relationships/hyperlink" Target="https://m.stock.naver.com/research/company/85603" TargetMode="External"/><Relationship Id="rId10964" Type="http://schemas.openxmlformats.org/officeDocument/2006/relationships/hyperlink" Target="https://m.stock.naver.com/research/company/82256" TargetMode="External"/><Relationship Id="rId13023" Type="http://schemas.openxmlformats.org/officeDocument/2006/relationships/hyperlink" Target="https://m.stock.naver.com/research/company/80184" TargetMode="External"/><Relationship Id="rId14421" Type="http://schemas.openxmlformats.org/officeDocument/2006/relationships/hyperlink" Target="https://m.stock.naver.com/research/company/94262" TargetMode="External"/><Relationship Id="rId350" Type="http://schemas.openxmlformats.org/officeDocument/2006/relationships/hyperlink" Target="https://m.stock.naver.com/research/company/93108" TargetMode="External"/><Relationship Id="rId2031" Type="http://schemas.openxmlformats.org/officeDocument/2006/relationships/hyperlink" Target="https://m.stock.naver.com/research/company/91224" TargetMode="External"/><Relationship Id="rId5187" Type="http://schemas.openxmlformats.org/officeDocument/2006/relationships/hyperlink" Target="https://m.stock.naver.com/research/company/88053" TargetMode="External"/><Relationship Id="rId6238" Type="http://schemas.openxmlformats.org/officeDocument/2006/relationships/hyperlink" Target="https://m.stock.naver.com/research/company/87002" TargetMode="External"/><Relationship Id="rId10617" Type="http://schemas.openxmlformats.org/officeDocument/2006/relationships/hyperlink" Target="https://m.stock.naver.com/research/company/82603" TargetMode="External"/><Relationship Id="rId5254" Type="http://schemas.openxmlformats.org/officeDocument/2006/relationships/hyperlink" Target="https://m.stock.naver.com/research/company/87986" TargetMode="External"/><Relationship Id="rId6652" Type="http://schemas.openxmlformats.org/officeDocument/2006/relationships/hyperlink" Target="https://m.stock.naver.com/research/company/86588" TargetMode="External"/><Relationship Id="rId7703" Type="http://schemas.openxmlformats.org/officeDocument/2006/relationships/hyperlink" Target="https://m.stock.naver.com/research/company/85536" TargetMode="External"/><Relationship Id="rId12789" Type="http://schemas.openxmlformats.org/officeDocument/2006/relationships/hyperlink" Target="https://m.stock.naver.com/research/company/80419" TargetMode="External"/><Relationship Id="rId15195" Type="http://schemas.openxmlformats.org/officeDocument/2006/relationships/hyperlink" Target="https://m.stock.naver.com/research/company/95165" TargetMode="External"/><Relationship Id="rId1797" Type="http://schemas.openxmlformats.org/officeDocument/2006/relationships/hyperlink" Target="https://m.stock.naver.com/research/company/91458" TargetMode="External"/><Relationship Id="rId2848" Type="http://schemas.openxmlformats.org/officeDocument/2006/relationships/hyperlink" Target="https://m.stock.naver.com/research/company/90405" TargetMode="External"/><Relationship Id="rId6305" Type="http://schemas.openxmlformats.org/officeDocument/2006/relationships/hyperlink" Target="https://m.stock.naver.com/research/company/86935" TargetMode="External"/><Relationship Id="rId9875" Type="http://schemas.openxmlformats.org/officeDocument/2006/relationships/hyperlink" Target="https://m.stock.naver.com/research/company/83347" TargetMode="External"/><Relationship Id="rId12856" Type="http://schemas.openxmlformats.org/officeDocument/2006/relationships/hyperlink" Target="https://m.stock.naver.com/research/company/80352" TargetMode="External"/><Relationship Id="rId13907" Type="http://schemas.openxmlformats.org/officeDocument/2006/relationships/hyperlink" Target="https://m.stock.naver.com/research/company/93695" TargetMode="External"/><Relationship Id="rId15262" Type="http://schemas.openxmlformats.org/officeDocument/2006/relationships/hyperlink" Target="https://m.stock.naver.com/research/company/95098" TargetMode="External"/><Relationship Id="rId89" Type="http://schemas.openxmlformats.org/officeDocument/2006/relationships/hyperlink" Target="https://m.stock.naver.com/research/company/93369" TargetMode="External"/><Relationship Id="rId1864" Type="http://schemas.openxmlformats.org/officeDocument/2006/relationships/hyperlink" Target="https://m.stock.naver.com/research/company/91391" TargetMode="External"/><Relationship Id="rId2915" Type="http://schemas.openxmlformats.org/officeDocument/2006/relationships/hyperlink" Target="https://m.stock.naver.com/research/company/90338" TargetMode="External"/><Relationship Id="rId4270" Type="http://schemas.openxmlformats.org/officeDocument/2006/relationships/hyperlink" Target="https://m.stock.naver.com/research/company/88971" TargetMode="External"/><Relationship Id="rId5321" Type="http://schemas.openxmlformats.org/officeDocument/2006/relationships/hyperlink" Target="https://m.stock.naver.com/research/company/87919" TargetMode="External"/><Relationship Id="rId8477" Type="http://schemas.openxmlformats.org/officeDocument/2006/relationships/hyperlink" Target="https://m.stock.naver.com/research/company/84760" TargetMode="External"/><Relationship Id="rId8891" Type="http://schemas.openxmlformats.org/officeDocument/2006/relationships/hyperlink" Target="https://m.stock.naver.com/research/company/84345" TargetMode="External"/><Relationship Id="rId9528" Type="http://schemas.openxmlformats.org/officeDocument/2006/relationships/hyperlink" Target="https://m.stock.naver.com/research/company/83699" TargetMode="External"/><Relationship Id="rId9942" Type="http://schemas.openxmlformats.org/officeDocument/2006/relationships/hyperlink" Target="https://m.stock.naver.com/research/company/83280" TargetMode="External"/><Relationship Id="rId11458" Type="http://schemas.openxmlformats.org/officeDocument/2006/relationships/hyperlink" Target="https://m.stock.naver.com/research/company/81757" TargetMode="External"/><Relationship Id="rId12509" Type="http://schemas.openxmlformats.org/officeDocument/2006/relationships/hyperlink" Target="https://m.stock.naver.com/research/company/80699" TargetMode="External"/><Relationship Id="rId1517" Type="http://schemas.openxmlformats.org/officeDocument/2006/relationships/hyperlink" Target="https://m.stock.naver.com/research/company/91738" TargetMode="External"/><Relationship Id="rId7079" Type="http://schemas.openxmlformats.org/officeDocument/2006/relationships/hyperlink" Target="https://m.stock.naver.com/research/company/86160" TargetMode="External"/><Relationship Id="rId7493" Type="http://schemas.openxmlformats.org/officeDocument/2006/relationships/hyperlink" Target="https://m.stock.naver.com/research/company/85746" TargetMode="External"/><Relationship Id="rId8544" Type="http://schemas.openxmlformats.org/officeDocument/2006/relationships/hyperlink" Target="https://m.stock.naver.com/research/company/84693" TargetMode="External"/><Relationship Id="rId10474" Type="http://schemas.openxmlformats.org/officeDocument/2006/relationships/hyperlink" Target="https://m.stock.naver.com/research/company/82746" TargetMode="External"/><Relationship Id="rId11872" Type="http://schemas.openxmlformats.org/officeDocument/2006/relationships/hyperlink" Target="https://m.stock.naver.com/research/company/81340" TargetMode="External"/><Relationship Id="rId12923" Type="http://schemas.openxmlformats.org/officeDocument/2006/relationships/hyperlink" Target="https://m.stock.naver.com/research/company/80285" TargetMode="External"/><Relationship Id="rId1931" Type="http://schemas.openxmlformats.org/officeDocument/2006/relationships/hyperlink" Target="https://m.stock.naver.com/research/company/91324" TargetMode="External"/><Relationship Id="rId3689" Type="http://schemas.openxmlformats.org/officeDocument/2006/relationships/hyperlink" Target="https://m.stock.naver.com/research/company/89562" TargetMode="External"/><Relationship Id="rId6095" Type="http://schemas.openxmlformats.org/officeDocument/2006/relationships/hyperlink" Target="https://m.stock.naver.com/research/company/87145" TargetMode="External"/><Relationship Id="rId7146" Type="http://schemas.openxmlformats.org/officeDocument/2006/relationships/hyperlink" Target="https://m.stock.naver.com/research/company/86093" TargetMode="External"/><Relationship Id="rId7560" Type="http://schemas.openxmlformats.org/officeDocument/2006/relationships/hyperlink" Target="https://m.stock.naver.com/research/company/85679" TargetMode="External"/><Relationship Id="rId8611" Type="http://schemas.openxmlformats.org/officeDocument/2006/relationships/hyperlink" Target="https://m.stock.naver.com/research/company/84626" TargetMode="External"/><Relationship Id="rId10127" Type="http://schemas.openxmlformats.org/officeDocument/2006/relationships/hyperlink" Target="https://m.stock.naver.com/research/company/83094" TargetMode="External"/><Relationship Id="rId11525" Type="http://schemas.openxmlformats.org/officeDocument/2006/relationships/hyperlink" Target="https://m.stock.naver.com/research/company/81690" TargetMode="External"/><Relationship Id="rId6162" Type="http://schemas.openxmlformats.org/officeDocument/2006/relationships/hyperlink" Target="https://m.stock.naver.com/research/company/87078" TargetMode="External"/><Relationship Id="rId7213" Type="http://schemas.openxmlformats.org/officeDocument/2006/relationships/hyperlink" Target="https://m.stock.naver.com/research/company/86026" TargetMode="External"/><Relationship Id="rId10541" Type="http://schemas.openxmlformats.org/officeDocument/2006/relationships/hyperlink" Target="https://m.stock.naver.com/research/company/82679" TargetMode="External"/><Relationship Id="rId13697" Type="http://schemas.openxmlformats.org/officeDocument/2006/relationships/hyperlink" Target="https://m.stock.naver.com/research/company/93477" TargetMode="External"/><Relationship Id="rId14748" Type="http://schemas.openxmlformats.org/officeDocument/2006/relationships/hyperlink" Target="https://m.stock.naver.com/research/company/94652" TargetMode="External"/><Relationship Id="rId677" Type="http://schemas.openxmlformats.org/officeDocument/2006/relationships/hyperlink" Target="https://m.stock.naver.com/research/company/92779" TargetMode="External"/><Relationship Id="rId2358" Type="http://schemas.openxmlformats.org/officeDocument/2006/relationships/hyperlink" Target="https://m.stock.naver.com/research/company/90896" TargetMode="External"/><Relationship Id="rId3756" Type="http://schemas.openxmlformats.org/officeDocument/2006/relationships/hyperlink" Target="https://m.stock.naver.com/research/company/89495" TargetMode="External"/><Relationship Id="rId4807" Type="http://schemas.openxmlformats.org/officeDocument/2006/relationships/hyperlink" Target="https://m.stock.naver.com/research/company/88433" TargetMode="External"/><Relationship Id="rId9385" Type="http://schemas.openxmlformats.org/officeDocument/2006/relationships/hyperlink" Target="https://m.stock.naver.com/research/company/83842" TargetMode="External"/><Relationship Id="rId12299" Type="http://schemas.openxmlformats.org/officeDocument/2006/relationships/hyperlink" Target="https://m.stock.naver.com/research/company/80910" TargetMode="External"/><Relationship Id="rId13764" Type="http://schemas.openxmlformats.org/officeDocument/2006/relationships/hyperlink" Target="https://m.stock.naver.com/research/company/93543" TargetMode="External"/><Relationship Id="rId14815" Type="http://schemas.openxmlformats.org/officeDocument/2006/relationships/hyperlink" Target="https://m.stock.naver.com/research/company/94585" TargetMode="External"/><Relationship Id="rId2772" Type="http://schemas.openxmlformats.org/officeDocument/2006/relationships/hyperlink" Target="https://m.stock.naver.com/research/company/90482" TargetMode="External"/><Relationship Id="rId3409" Type="http://schemas.openxmlformats.org/officeDocument/2006/relationships/hyperlink" Target="https://m.stock.naver.com/research/company/89842" TargetMode="External"/><Relationship Id="rId3823" Type="http://schemas.openxmlformats.org/officeDocument/2006/relationships/hyperlink" Target="https://m.stock.naver.com/research/company/89428" TargetMode="External"/><Relationship Id="rId6979" Type="http://schemas.openxmlformats.org/officeDocument/2006/relationships/hyperlink" Target="https://m.stock.naver.com/research/company/86260" TargetMode="External"/><Relationship Id="rId9038" Type="http://schemas.openxmlformats.org/officeDocument/2006/relationships/hyperlink" Target="https://m.stock.naver.com/research/company/84193" TargetMode="External"/><Relationship Id="rId12366" Type="http://schemas.openxmlformats.org/officeDocument/2006/relationships/hyperlink" Target="https://m.stock.naver.com/research/company/80843" TargetMode="External"/><Relationship Id="rId12780" Type="http://schemas.openxmlformats.org/officeDocument/2006/relationships/hyperlink" Target="https://m.stock.naver.com/research/company/80428" TargetMode="External"/><Relationship Id="rId13417" Type="http://schemas.openxmlformats.org/officeDocument/2006/relationships/hyperlink" Target="https://m.stock.naver.com/research/company/79788" TargetMode="External"/><Relationship Id="rId13831" Type="http://schemas.openxmlformats.org/officeDocument/2006/relationships/hyperlink" Target="https://m.stock.naver.com/research/company/93622" TargetMode="External"/><Relationship Id="rId744" Type="http://schemas.openxmlformats.org/officeDocument/2006/relationships/hyperlink" Target="https://m.stock.naver.com/research/company/92712" TargetMode="External"/><Relationship Id="rId1374" Type="http://schemas.openxmlformats.org/officeDocument/2006/relationships/hyperlink" Target="https://m.stock.naver.com/research/company/91881" TargetMode="External"/><Relationship Id="rId2425" Type="http://schemas.openxmlformats.org/officeDocument/2006/relationships/hyperlink" Target="https://m.stock.naver.com/research/company/90829" TargetMode="External"/><Relationship Id="rId5995" Type="http://schemas.openxmlformats.org/officeDocument/2006/relationships/hyperlink" Target="https://m.stock.naver.com/research/company/87245" TargetMode="External"/><Relationship Id="rId9452" Type="http://schemas.openxmlformats.org/officeDocument/2006/relationships/hyperlink" Target="https://m.stock.naver.com/research/company/83775" TargetMode="External"/><Relationship Id="rId11382" Type="http://schemas.openxmlformats.org/officeDocument/2006/relationships/hyperlink" Target="https://m.stock.naver.com/research/company/81833" TargetMode="External"/><Relationship Id="rId12019" Type="http://schemas.openxmlformats.org/officeDocument/2006/relationships/hyperlink" Target="https://m.stock.naver.com/research/company/81192" TargetMode="External"/><Relationship Id="rId12433" Type="http://schemas.openxmlformats.org/officeDocument/2006/relationships/hyperlink" Target="https://m.stock.naver.com/research/company/80776" TargetMode="External"/><Relationship Id="rId15589" Type="http://schemas.openxmlformats.org/officeDocument/2006/relationships/hyperlink" Target="https://m.stock.naver.com/research/company/95447" TargetMode="External"/><Relationship Id="rId80" Type="http://schemas.openxmlformats.org/officeDocument/2006/relationships/hyperlink" Target="https://m.stock.naver.com/research/company/93378" TargetMode="External"/><Relationship Id="rId811" Type="http://schemas.openxmlformats.org/officeDocument/2006/relationships/hyperlink" Target="https://m.stock.naver.com/research/company/92645" TargetMode="External"/><Relationship Id="rId1027" Type="http://schemas.openxmlformats.org/officeDocument/2006/relationships/hyperlink" Target="https://m.stock.naver.com/research/company/92324" TargetMode="External"/><Relationship Id="rId1441" Type="http://schemas.openxmlformats.org/officeDocument/2006/relationships/hyperlink" Target="https://m.stock.naver.com/research/company/91814" TargetMode="External"/><Relationship Id="rId4597" Type="http://schemas.openxmlformats.org/officeDocument/2006/relationships/hyperlink" Target="https://m.stock.naver.com/research/company/88643" TargetMode="External"/><Relationship Id="rId5648" Type="http://schemas.openxmlformats.org/officeDocument/2006/relationships/hyperlink" Target="https://m.stock.naver.com/research/company/87592" TargetMode="External"/><Relationship Id="rId8054" Type="http://schemas.openxmlformats.org/officeDocument/2006/relationships/hyperlink" Target="https://m.stock.naver.com/research/company/85184" TargetMode="External"/><Relationship Id="rId9105" Type="http://schemas.openxmlformats.org/officeDocument/2006/relationships/hyperlink" Target="https://m.stock.naver.com/research/company/84125" TargetMode="External"/><Relationship Id="rId11035" Type="http://schemas.openxmlformats.org/officeDocument/2006/relationships/hyperlink" Target="https://m.stock.naver.com/research/company/82185" TargetMode="External"/><Relationship Id="rId3199" Type="http://schemas.openxmlformats.org/officeDocument/2006/relationships/hyperlink" Target="https://m.stock.naver.com/research/company/90052" TargetMode="External"/><Relationship Id="rId4664" Type="http://schemas.openxmlformats.org/officeDocument/2006/relationships/hyperlink" Target="https://m.stock.naver.com/research/company/88576" TargetMode="External"/><Relationship Id="rId5715" Type="http://schemas.openxmlformats.org/officeDocument/2006/relationships/hyperlink" Target="https://m.stock.naver.com/research/company/87525" TargetMode="External"/><Relationship Id="rId7070" Type="http://schemas.openxmlformats.org/officeDocument/2006/relationships/hyperlink" Target="https://m.stock.naver.com/research/company/86169" TargetMode="External"/><Relationship Id="rId8121" Type="http://schemas.openxmlformats.org/officeDocument/2006/relationships/hyperlink" Target="https://m.stock.naver.com/research/company/85117" TargetMode="External"/><Relationship Id="rId10051" Type="http://schemas.openxmlformats.org/officeDocument/2006/relationships/hyperlink" Target="https://m.stock.naver.com/research/company/83170" TargetMode="External"/><Relationship Id="rId11102" Type="http://schemas.openxmlformats.org/officeDocument/2006/relationships/hyperlink" Target="https://m.stock.naver.com/research/company/82118" TargetMode="External"/><Relationship Id="rId12500" Type="http://schemas.openxmlformats.org/officeDocument/2006/relationships/hyperlink" Target="https://m.stock.naver.com/research/company/80708" TargetMode="External"/><Relationship Id="rId14258" Type="http://schemas.openxmlformats.org/officeDocument/2006/relationships/hyperlink" Target="https://m.stock.naver.com/research/company/94085" TargetMode="External"/><Relationship Id="rId15309" Type="http://schemas.openxmlformats.org/officeDocument/2006/relationships/hyperlink" Target="https://m.stock.naver.com/research/company/95279" TargetMode="External"/><Relationship Id="rId15656" Type="http://schemas.openxmlformats.org/officeDocument/2006/relationships/hyperlink" Target="https://m.stock.naver.com/research/company/95758" TargetMode="External"/><Relationship Id="rId3266" Type="http://schemas.openxmlformats.org/officeDocument/2006/relationships/hyperlink" Target="https://m.stock.naver.com/research/company/89984" TargetMode="External"/><Relationship Id="rId4317" Type="http://schemas.openxmlformats.org/officeDocument/2006/relationships/hyperlink" Target="https://m.stock.naver.com/research/company/88924" TargetMode="External"/><Relationship Id="rId14672" Type="http://schemas.openxmlformats.org/officeDocument/2006/relationships/hyperlink" Target="https://m.stock.naver.com/research/company/94506" TargetMode="External"/><Relationship Id="rId15723" Type="http://schemas.openxmlformats.org/officeDocument/2006/relationships/hyperlink" Target="https://m.stock.naver.com/research/company/95691" TargetMode="External"/><Relationship Id="rId187" Type="http://schemas.openxmlformats.org/officeDocument/2006/relationships/hyperlink" Target="https://m.stock.naver.com/research/company/93271" TargetMode="External"/><Relationship Id="rId2282" Type="http://schemas.openxmlformats.org/officeDocument/2006/relationships/hyperlink" Target="https://m.stock.naver.com/research/company/90973" TargetMode="External"/><Relationship Id="rId3680" Type="http://schemas.openxmlformats.org/officeDocument/2006/relationships/hyperlink" Target="https://m.stock.naver.com/research/company/89571" TargetMode="External"/><Relationship Id="rId4731" Type="http://schemas.openxmlformats.org/officeDocument/2006/relationships/hyperlink" Target="https://m.stock.naver.com/research/company/88509" TargetMode="External"/><Relationship Id="rId6489" Type="http://schemas.openxmlformats.org/officeDocument/2006/relationships/hyperlink" Target="https://m.stock.naver.com/research/company/86751" TargetMode="External"/><Relationship Id="rId7887" Type="http://schemas.openxmlformats.org/officeDocument/2006/relationships/hyperlink" Target="https://m.stock.naver.com/research/company/85351" TargetMode="External"/><Relationship Id="rId8938" Type="http://schemas.openxmlformats.org/officeDocument/2006/relationships/hyperlink" Target="https://m.stock.naver.com/research/company/84295" TargetMode="External"/><Relationship Id="rId10868" Type="http://schemas.openxmlformats.org/officeDocument/2006/relationships/hyperlink" Target="https://m.stock.naver.com/research/company/82352" TargetMode="External"/><Relationship Id="rId11919" Type="http://schemas.openxmlformats.org/officeDocument/2006/relationships/hyperlink" Target="https://m.stock.naver.com/research/company/81292" TargetMode="External"/><Relationship Id="rId13274" Type="http://schemas.openxmlformats.org/officeDocument/2006/relationships/hyperlink" Target="https://m.stock.naver.com/research/company/79932" TargetMode="External"/><Relationship Id="rId14325" Type="http://schemas.openxmlformats.org/officeDocument/2006/relationships/hyperlink" Target="https://m.stock.naver.com/research/company/94139" TargetMode="External"/><Relationship Id="rId254" Type="http://schemas.openxmlformats.org/officeDocument/2006/relationships/hyperlink" Target="https://m.stock.naver.com/research/company/93204" TargetMode="External"/><Relationship Id="rId3333" Type="http://schemas.openxmlformats.org/officeDocument/2006/relationships/hyperlink" Target="https://m.stock.naver.com/research/company/89917" TargetMode="External"/><Relationship Id="rId7954" Type="http://schemas.openxmlformats.org/officeDocument/2006/relationships/hyperlink" Target="https://m.stock.naver.com/research/company/85284" TargetMode="External"/><Relationship Id="rId10935" Type="http://schemas.openxmlformats.org/officeDocument/2006/relationships/hyperlink" Target="https://m.stock.naver.com/research/company/82285" TargetMode="External"/><Relationship Id="rId12290" Type="http://schemas.openxmlformats.org/officeDocument/2006/relationships/hyperlink" Target="https://m.stock.naver.com/research/company/80919" TargetMode="External"/><Relationship Id="rId13341" Type="http://schemas.openxmlformats.org/officeDocument/2006/relationships/hyperlink" Target="https://m.stock.naver.com/research/company/79864" TargetMode="External"/><Relationship Id="rId3400" Type="http://schemas.openxmlformats.org/officeDocument/2006/relationships/hyperlink" Target="https://m.stock.naver.com/research/company/89851" TargetMode="External"/><Relationship Id="rId6556" Type="http://schemas.openxmlformats.org/officeDocument/2006/relationships/hyperlink" Target="https://m.stock.naver.com/research/company/86684" TargetMode="External"/><Relationship Id="rId6970" Type="http://schemas.openxmlformats.org/officeDocument/2006/relationships/hyperlink" Target="https://m.stock.naver.com/research/company/86269" TargetMode="External"/><Relationship Id="rId7607" Type="http://schemas.openxmlformats.org/officeDocument/2006/relationships/hyperlink" Target="https://m.stock.naver.com/research/company/85632" TargetMode="External"/><Relationship Id="rId15099" Type="http://schemas.openxmlformats.org/officeDocument/2006/relationships/hyperlink" Target="https://m.stock.naver.com/research/company/94995" TargetMode="External"/><Relationship Id="rId321" Type="http://schemas.openxmlformats.org/officeDocument/2006/relationships/hyperlink" Target="https://m.stock.naver.com/research/company/93137" TargetMode="External"/><Relationship Id="rId2002" Type="http://schemas.openxmlformats.org/officeDocument/2006/relationships/hyperlink" Target="https://m.stock.naver.com/research/company/91253" TargetMode="External"/><Relationship Id="rId5158" Type="http://schemas.openxmlformats.org/officeDocument/2006/relationships/hyperlink" Target="https://m.stock.naver.com/research/company/88082" TargetMode="External"/><Relationship Id="rId5572" Type="http://schemas.openxmlformats.org/officeDocument/2006/relationships/hyperlink" Target="https://m.stock.naver.com/research/company/87668" TargetMode="External"/><Relationship Id="rId6209" Type="http://schemas.openxmlformats.org/officeDocument/2006/relationships/hyperlink" Target="https://m.stock.naver.com/research/company/87031" TargetMode="External"/><Relationship Id="rId6623" Type="http://schemas.openxmlformats.org/officeDocument/2006/relationships/hyperlink" Target="https://m.stock.naver.com/research/company/86617" TargetMode="External"/><Relationship Id="rId9779" Type="http://schemas.openxmlformats.org/officeDocument/2006/relationships/hyperlink" Target="https://m.stock.naver.com/research/company/83444" TargetMode="External"/><Relationship Id="rId12010" Type="http://schemas.openxmlformats.org/officeDocument/2006/relationships/hyperlink" Target="https://m.stock.naver.com/research/company/81201" TargetMode="External"/><Relationship Id="rId15166" Type="http://schemas.openxmlformats.org/officeDocument/2006/relationships/hyperlink" Target="https://m.stock.naver.com/research/company/95194" TargetMode="External"/><Relationship Id="rId15580" Type="http://schemas.openxmlformats.org/officeDocument/2006/relationships/hyperlink" Target="https://m.stock.naver.com/research/company/95456" TargetMode="External"/><Relationship Id="rId1768" Type="http://schemas.openxmlformats.org/officeDocument/2006/relationships/hyperlink" Target="https://m.stock.naver.com/research/company/91487" TargetMode="External"/><Relationship Id="rId2819" Type="http://schemas.openxmlformats.org/officeDocument/2006/relationships/hyperlink" Target="https://m.stock.naver.com/research/company/90434" TargetMode="External"/><Relationship Id="rId4174" Type="http://schemas.openxmlformats.org/officeDocument/2006/relationships/hyperlink" Target="https://m.stock.naver.com/research/company/89075" TargetMode="External"/><Relationship Id="rId5225" Type="http://schemas.openxmlformats.org/officeDocument/2006/relationships/hyperlink" Target="https://m.stock.naver.com/research/company/88015" TargetMode="External"/><Relationship Id="rId8795" Type="http://schemas.openxmlformats.org/officeDocument/2006/relationships/hyperlink" Target="https://m.stock.naver.com/research/company/84442" TargetMode="External"/><Relationship Id="rId9846" Type="http://schemas.openxmlformats.org/officeDocument/2006/relationships/hyperlink" Target="https://m.stock.naver.com/research/company/83376" TargetMode="External"/><Relationship Id="rId14182" Type="http://schemas.openxmlformats.org/officeDocument/2006/relationships/hyperlink" Target="https://m.stock.naver.com/research/company/94076" TargetMode="External"/><Relationship Id="rId15233" Type="http://schemas.openxmlformats.org/officeDocument/2006/relationships/hyperlink" Target="https://m.stock.naver.com/research/company/95127" TargetMode="External"/><Relationship Id="rId3190" Type="http://schemas.openxmlformats.org/officeDocument/2006/relationships/hyperlink" Target="https://m.stock.naver.com/research/company/90061" TargetMode="External"/><Relationship Id="rId4241" Type="http://schemas.openxmlformats.org/officeDocument/2006/relationships/hyperlink" Target="https://m.stock.naver.com/research/company/89001" TargetMode="External"/><Relationship Id="rId7397" Type="http://schemas.openxmlformats.org/officeDocument/2006/relationships/hyperlink" Target="https://m.stock.naver.com/research/company/85842" TargetMode="External"/><Relationship Id="rId8448" Type="http://schemas.openxmlformats.org/officeDocument/2006/relationships/hyperlink" Target="https://m.stock.naver.com/research/company/84789" TargetMode="External"/><Relationship Id="rId11776" Type="http://schemas.openxmlformats.org/officeDocument/2006/relationships/hyperlink" Target="https://m.stock.naver.com/research/company/81436" TargetMode="External"/><Relationship Id="rId12827" Type="http://schemas.openxmlformats.org/officeDocument/2006/relationships/hyperlink" Target="https://m.stock.naver.com/research/company/80381" TargetMode="External"/><Relationship Id="rId1835" Type="http://schemas.openxmlformats.org/officeDocument/2006/relationships/hyperlink" Target="https://m.stock.naver.com/research/company/91420" TargetMode="External"/><Relationship Id="rId7464" Type="http://schemas.openxmlformats.org/officeDocument/2006/relationships/hyperlink" Target="https://m.stock.naver.com/research/company/85775" TargetMode="External"/><Relationship Id="rId8862" Type="http://schemas.openxmlformats.org/officeDocument/2006/relationships/hyperlink" Target="https://m.stock.naver.com/research/company/84375" TargetMode="External"/><Relationship Id="rId9913" Type="http://schemas.openxmlformats.org/officeDocument/2006/relationships/hyperlink" Target="https://m.stock.naver.com/research/company/83309" TargetMode="External"/><Relationship Id="rId10378" Type="http://schemas.openxmlformats.org/officeDocument/2006/relationships/hyperlink" Target="https://m.stock.naver.com/research/company/82843" TargetMode="External"/><Relationship Id="rId10792" Type="http://schemas.openxmlformats.org/officeDocument/2006/relationships/hyperlink" Target="https://m.stock.naver.com/research/company/82428" TargetMode="External"/><Relationship Id="rId11429" Type="http://schemas.openxmlformats.org/officeDocument/2006/relationships/hyperlink" Target="https://m.stock.naver.com/research/company/81786" TargetMode="External"/><Relationship Id="rId11843" Type="http://schemas.openxmlformats.org/officeDocument/2006/relationships/hyperlink" Target="https://m.stock.naver.com/research/company/81369" TargetMode="External"/><Relationship Id="rId14999" Type="http://schemas.openxmlformats.org/officeDocument/2006/relationships/hyperlink" Target="https://m.stock.naver.com/research/company/94835" TargetMode="External"/><Relationship Id="rId15300" Type="http://schemas.openxmlformats.org/officeDocument/2006/relationships/hyperlink" Target="https://m.stock.naver.com/research/company/95060" TargetMode="External"/><Relationship Id="rId1902" Type="http://schemas.openxmlformats.org/officeDocument/2006/relationships/hyperlink" Target="https://m.stock.naver.com/research/company/91353" TargetMode="External"/><Relationship Id="rId6066" Type="http://schemas.openxmlformats.org/officeDocument/2006/relationships/hyperlink" Target="https://m.stock.naver.com/research/company/87174" TargetMode="External"/><Relationship Id="rId7117" Type="http://schemas.openxmlformats.org/officeDocument/2006/relationships/hyperlink" Target="https://m.stock.naver.com/research/company/86122" TargetMode="External"/><Relationship Id="rId8515" Type="http://schemas.openxmlformats.org/officeDocument/2006/relationships/hyperlink" Target="https://m.stock.naver.com/research/company/84722" TargetMode="External"/><Relationship Id="rId10445" Type="http://schemas.openxmlformats.org/officeDocument/2006/relationships/hyperlink" Target="https://m.stock.naver.com/research/company/82776" TargetMode="External"/><Relationship Id="rId11910" Type="http://schemas.openxmlformats.org/officeDocument/2006/relationships/hyperlink" Target="https://m.stock.naver.com/research/company/81301" TargetMode="External"/><Relationship Id="rId6480" Type="http://schemas.openxmlformats.org/officeDocument/2006/relationships/hyperlink" Target="https://m.stock.naver.com/research/company/86760" TargetMode="External"/><Relationship Id="rId7531" Type="http://schemas.openxmlformats.org/officeDocument/2006/relationships/hyperlink" Target="https://m.stock.naver.com/research/company/85708" TargetMode="External"/><Relationship Id="rId10512" Type="http://schemas.openxmlformats.org/officeDocument/2006/relationships/hyperlink" Target="https://m.stock.naver.com/research/company/82708" TargetMode="External"/><Relationship Id="rId13668" Type="http://schemas.openxmlformats.org/officeDocument/2006/relationships/hyperlink" Target="https://m.stock.naver.com/research/company/79536" TargetMode="External"/><Relationship Id="rId14719" Type="http://schemas.openxmlformats.org/officeDocument/2006/relationships/hyperlink" Target="https://m.stock.naver.com/research/company/94681" TargetMode="External"/><Relationship Id="rId995" Type="http://schemas.openxmlformats.org/officeDocument/2006/relationships/hyperlink" Target="https://m.stock.naver.com/research/company/92461" TargetMode="External"/><Relationship Id="rId2676" Type="http://schemas.openxmlformats.org/officeDocument/2006/relationships/hyperlink" Target="https://m.stock.naver.com/research/company/90578" TargetMode="External"/><Relationship Id="rId3727" Type="http://schemas.openxmlformats.org/officeDocument/2006/relationships/hyperlink" Target="https://m.stock.naver.com/research/company/89524" TargetMode="External"/><Relationship Id="rId5082" Type="http://schemas.openxmlformats.org/officeDocument/2006/relationships/hyperlink" Target="https://m.stock.naver.com/research/company/88158" TargetMode="External"/><Relationship Id="rId6133" Type="http://schemas.openxmlformats.org/officeDocument/2006/relationships/hyperlink" Target="https://m.stock.naver.com/research/company/87107" TargetMode="External"/><Relationship Id="rId9289" Type="http://schemas.openxmlformats.org/officeDocument/2006/relationships/hyperlink" Target="https://m.stock.naver.com/research/company/83938" TargetMode="External"/><Relationship Id="rId12684" Type="http://schemas.openxmlformats.org/officeDocument/2006/relationships/hyperlink" Target="https://m.stock.naver.com/research/company/80524" TargetMode="External"/><Relationship Id="rId15090" Type="http://schemas.openxmlformats.org/officeDocument/2006/relationships/hyperlink" Target="https://m.stock.naver.com/research/company/95004" TargetMode="External"/><Relationship Id="rId648" Type="http://schemas.openxmlformats.org/officeDocument/2006/relationships/hyperlink" Target="https://m.stock.naver.com/research/company/92808" TargetMode="External"/><Relationship Id="rId1278" Type="http://schemas.openxmlformats.org/officeDocument/2006/relationships/hyperlink" Target="https://m.stock.naver.com/research/company/91977" TargetMode="External"/><Relationship Id="rId1692" Type="http://schemas.openxmlformats.org/officeDocument/2006/relationships/hyperlink" Target="https://m.stock.naver.com/research/company/91563" TargetMode="External"/><Relationship Id="rId2329" Type="http://schemas.openxmlformats.org/officeDocument/2006/relationships/hyperlink" Target="https://m.stock.naver.com/research/company/90926" TargetMode="External"/><Relationship Id="rId2743" Type="http://schemas.openxmlformats.org/officeDocument/2006/relationships/hyperlink" Target="https://m.stock.naver.com/research/company/90511" TargetMode="External"/><Relationship Id="rId5899" Type="http://schemas.openxmlformats.org/officeDocument/2006/relationships/hyperlink" Target="https://m.stock.naver.com/research/company/87341" TargetMode="External"/><Relationship Id="rId6200" Type="http://schemas.openxmlformats.org/officeDocument/2006/relationships/hyperlink" Target="https://m.stock.naver.com/research/company/87040" TargetMode="External"/><Relationship Id="rId9356" Type="http://schemas.openxmlformats.org/officeDocument/2006/relationships/hyperlink" Target="https://m.stock.naver.com/research/company/83871" TargetMode="External"/><Relationship Id="rId9770" Type="http://schemas.openxmlformats.org/officeDocument/2006/relationships/hyperlink" Target="https://m.stock.naver.com/research/company/83453" TargetMode="External"/><Relationship Id="rId11286" Type="http://schemas.openxmlformats.org/officeDocument/2006/relationships/hyperlink" Target="https://m.stock.naver.com/research/company/81933" TargetMode="External"/><Relationship Id="rId12337" Type="http://schemas.openxmlformats.org/officeDocument/2006/relationships/hyperlink" Target="https://m.stock.naver.com/research/company/80872" TargetMode="External"/><Relationship Id="rId13735" Type="http://schemas.openxmlformats.org/officeDocument/2006/relationships/hyperlink" Target="https://m.stock.naver.com/research/company/93504" TargetMode="External"/><Relationship Id="rId715" Type="http://schemas.openxmlformats.org/officeDocument/2006/relationships/hyperlink" Target="https://m.stock.naver.com/research/company/92741" TargetMode="External"/><Relationship Id="rId1345" Type="http://schemas.openxmlformats.org/officeDocument/2006/relationships/hyperlink" Target="https://m.stock.naver.com/research/company/91910" TargetMode="External"/><Relationship Id="rId8372" Type="http://schemas.openxmlformats.org/officeDocument/2006/relationships/hyperlink" Target="https://m.stock.naver.com/research/company/84866" TargetMode="External"/><Relationship Id="rId9009" Type="http://schemas.openxmlformats.org/officeDocument/2006/relationships/hyperlink" Target="https://m.stock.naver.com/research/company/84223" TargetMode="External"/><Relationship Id="rId9423" Type="http://schemas.openxmlformats.org/officeDocument/2006/relationships/hyperlink" Target="https://m.stock.naver.com/research/company/83804" TargetMode="External"/><Relationship Id="rId12751" Type="http://schemas.openxmlformats.org/officeDocument/2006/relationships/hyperlink" Target="https://m.stock.naver.com/research/company/80457" TargetMode="External"/><Relationship Id="rId13802" Type="http://schemas.openxmlformats.org/officeDocument/2006/relationships/hyperlink" Target="https://m.stock.naver.com/research/company/93576" TargetMode="External"/><Relationship Id="rId2810" Type="http://schemas.openxmlformats.org/officeDocument/2006/relationships/hyperlink" Target="https://m.stock.naver.com/research/company/90444" TargetMode="External"/><Relationship Id="rId4568" Type="http://schemas.openxmlformats.org/officeDocument/2006/relationships/hyperlink" Target="https://m.stock.naver.com/research/company/88672" TargetMode="External"/><Relationship Id="rId5966" Type="http://schemas.openxmlformats.org/officeDocument/2006/relationships/hyperlink" Target="https://m.stock.naver.com/research/company/87274" TargetMode="External"/><Relationship Id="rId8025" Type="http://schemas.openxmlformats.org/officeDocument/2006/relationships/hyperlink" Target="https://m.stock.naver.com/research/company/85213" TargetMode="External"/><Relationship Id="rId11353" Type="http://schemas.openxmlformats.org/officeDocument/2006/relationships/hyperlink" Target="https://m.stock.naver.com/research/company/81863" TargetMode="External"/><Relationship Id="rId12404" Type="http://schemas.openxmlformats.org/officeDocument/2006/relationships/hyperlink" Target="https://m.stock.naver.com/research/company/80805" TargetMode="External"/><Relationship Id="rId51" Type="http://schemas.openxmlformats.org/officeDocument/2006/relationships/hyperlink" Target="https://m.stock.naver.com/research/company/93407" TargetMode="External"/><Relationship Id="rId1412" Type="http://schemas.openxmlformats.org/officeDocument/2006/relationships/hyperlink" Target="https://m.stock.naver.com/research/company/91843" TargetMode="External"/><Relationship Id="rId4982" Type="http://schemas.openxmlformats.org/officeDocument/2006/relationships/hyperlink" Target="https://m.stock.naver.com/research/company/88258" TargetMode="External"/><Relationship Id="rId5619" Type="http://schemas.openxmlformats.org/officeDocument/2006/relationships/hyperlink" Target="https://m.stock.naver.com/research/company/87621" TargetMode="External"/><Relationship Id="rId7041" Type="http://schemas.openxmlformats.org/officeDocument/2006/relationships/hyperlink" Target="https://m.stock.naver.com/research/company/86198" TargetMode="External"/><Relationship Id="rId11006" Type="http://schemas.openxmlformats.org/officeDocument/2006/relationships/hyperlink" Target="https://m.stock.naver.com/research/company/82214" TargetMode="External"/><Relationship Id="rId11420" Type="http://schemas.openxmlformats.org/officeDocument/2006/relationships/hyperlink" Target="https://m.stock.naver.com/research/company/81795" TargetMode="External"/><Relationship Id="rId14576" Type="http://schemas.openxmlformats.org/officeDocument/2006/relationships/hyperlink" Target="https://m.stock.naver.com/research/company/94334" TargetMode="External"/><Relationship Id="rId14990" Type="http://schemas.openxmlformats.org/officeDocument/2006/relationships/hyperlink" Target="https://m.stock.naver.com/research/company/94844" TargetMode="External"/><Relationship Id="rId15627" Type="http://schemas.openxmlformats.org/officeDocument/2006/relationships/hyperlink" Target="https://m.stock.naver.com/research/company/95409" TargetMode="External"/><Relationship Id="rId3584" Type="http://schemas.openxmlformats.org/officeDocument/2006/relationships/hyperlink" Target="https://m.stock.naver.com/research/company/89667" TargetMode="External"/><Relationship Id="rId4635" Type="http://schemas.openxmlformats.org/officeDocument/2006/relationships/hyperlink" Target="https://m.stock.naver.com/research/company/88605" TargetMode="External"/><Relationship Id="rId10022" Type="http://schemas.openxmlformats.org/officeDocument/2006/relationships/hyperlink" Target="https://m.stock.naver.com/research/company/83199" TargetMode="External"/><Relationship Id="rId13178" Type="http://schemas.openxmlformats.org/officeDocument/2006/relationships/hyperlink" Target="https://m.stock.naver.com/research/company/80029" TargetMode="External"/><Relationship Id="rId13592" Type="http://schemas.openxmlformats.org/officeDocument/2006/relationships/hyperlink" Target="https://m.stock.naver.com/research/company/79612" TargetMode="External"/><Relationship Id="rId14229" Type="http://schemas.openxmlformats.org/officeDocument/2006/relationships/hyperlink" Target="https://m.stock.naver.com/research/company/94114" TargetMode="External"/><Relationship Id="rId14643" Type="http://schemas.openxmlformats.org/officeDocument/2006/relationships/hyperlink" Target="https://m.stock.naver.com/research/company/94534" TargetMode="External"/><Relationship Id="rId158" Type="http://schemas.openxmlformats.org/officeDocument/2006/relationships/hyperlink" Target="https://m.stock.naver.com/research/company/93300" TargetMode="External"/><Relationship Id="rId2186" Type="http://schemas.openxmlformats.org/officeDocument/2006/relationships/hyperlink" Target="https://m.stock.naver.com/research/company/91069" TargetMode="External"/><Relationship Id="rId3237" Type="http://schemas.openxmlformats.org/officeDocument/2006/relationships/hyperlink" Target="https://m.stock.naver.com/research/company/90013" TargetMode="External"/><Relationship Id="rId3651" Type="http://schemas.openxmlformats.org/officeDocument/2006/relationships/hyperlink" Target="https://m.stock.naver.com/research/company/89600" TargetMode="External"/><Relationship Id="rId4702" Type="http://schemas.openxmlformats.org/officeDocument/2006/relationships/hyperlink" Target="https://m.stock.naver.com/research/company/88538" TargetMode="External"/><Relationship Id="rId7858" Type="http://schemas.openxmlformats.org/officeDocument/2006/relationships/hyperlink" Target="https://m.stock.naver.com/research/company/85380" TargetMode="External"/><Relationship Id="rId8909" Type="http://schemas.openxmlformats.org/officeDocument/2006/relationships/hyperlink" Target="https://m.stock.naver.com/research/company/84327" TargetMode="External"/><Relationship Id="rId12194" Type="http://schemas.openxmlformats.org/officeDocument/2006/relationships/hyperlink" Target="https://m.stock.naver.com/research/company/81017" TargetMode="External"/><Relationship Id="rId13245" Type="http://schemas.openxmlformats.org/officeDocument/2006/relationships/hyperlink" Target="https://m.stock.naver.com/research/company/79962" TargetMode="External"/><Relationship Id="rId572" Type="http://schemas.openxmlformats.org/officeDocument/2006/relationships/hyperlink" Target="https://m.stock.naver.com/research/company/92885" TargetMode="External"/><Relationship Id="rId2253" Type="http://schemas.openxmlformats.org/officeDocument/2006/relationships/hyperlink" Target="https://m.stock.naver.com/research/company/91002" TargetMode="External"/><Relationship Id="rId3304" Type="http://schemas.openxmlformats.org/officeDocument/2006/relationships/hyperlink" Target="https://m.stock.naver.com/research/company/89946" TargetMode="External"/><Relationship Id="rId6874" Type="http://schemas.openxmlformats.org/officeDocument/2006/relationships/hyperlink" Target="https://m.stock.naver.com/research/company/86365" TargetMode="External"/><Relationship Id="rId7925" Type="http://schemas.openxmlformats.org/officeDocument/2006/relationships/hyperlink" Target="https://m.stock.naver.com/research/company/85313" TargetMode="External"/><Relationship Id="rId9280" Type="http://schemas.openxmlformats.org/officeDocument/2006/relationships/hyperlink" Target="https://m.stock.naver.com/research/company/83947" TargetMode="External"/><Relationship Id="rId10839" Type="http://schemas.openxmlformats.org/officeDocument/2006/relationships/hyperlink" Target="https://m.stock.naver.com/research/company/82381" TargetMode="External"/><Relationship Id="rId12261" Type="http://schemas.openxmlformats.org/officeDocument/2006/relationships/hyperlink" Target="https://m.stock.naver.com/research/company/80948" TargetMode="External"/><Relationship Id="rId13312" Type="http://schemas.openxmlformats.org/officeDocument/2006/relationships/hyperlink" Target="https://m.stock.naver.com/research/company/79893" TargetMode="External"/><Relationship Id="rId14710" Type="http://schemas.openxmlformats.org/officeDocument/2006/relationships/hyperlink" Target="https://m.stock.naver.com/research/company/94690" TargetMode="External"/><Relationship Id="rId225" Type="http://schemas.openxmlformats.org/officeDocument/2006/relationships/hyperlink" Target="https://m.stock.naver.com/research/company/93233" TargetMode="External"/><Relationship Id="rId2320" Type="http://schemas.openxmlformats.org/officeDocument/2006/relationships/hyperlink" Target="https://m.stock.naver.com/research/company/90935" TargetMode="External"/><Relationship Id="rId5476" Type="http://schemas.openxmlformats.org/officeDocument/2006/relationships/hyperlink" Target="https://m.stock.naver.com/research/company/87764" TargetMode="External"/><Relationship Id="rId6527" Type="http://schemas.openxmlformats.org/officeDocument/2006/relationships/hyperlink" Target="https://m.stock.naver.com/research/company/86713" TargetMode="External"/><Relationship Id="rId10906" Type="http://schemas.openxmlformats.org/officeDocument/2006/relationships/hyperlink" Target="https://m.stock.naver.com/research/company/82314" TargetMode="External"/><Relationship Id="rId4078" Type="http://schemas.openxmlformats.org/officeDocument/2006/relationships/hyperlink" Target="https://m.stock.naver.com/research/company/89173" TargetMode="External"/><Relationship Id="rId4492" Type="http://schemas.openxmlformats.org/officeDocument/2006/relationships/hyperlink" Target="https://m.stock.naver.com/research/company/88748" TargetMode="External"/><Relationship Id="rId5129" Type="http://schemas.openxmlformats.org/officeDocument/2006/relationships/hyperlink" Target="https://m.stock.naver.com/research/company/88111" TargetMode="External"/><Relationship Id="rId5543" Type="http://schemas.openxmlformats.org/officeDocument/2006/relationships/hyperlink" Target="https://m.stock.naver.com/research/company/87697" TargetMode="External"/><Relationship Id="rId5890" Type="http://schemas.openxmlformats.org/officeDocument/2006/relationships/hyperlink" Target="https://m.stock.naver.com/research/company/87350" TargetMode="External"/><Relationship Id="rId6941" Type="http://schemas.openxmlformats.org/officeDocument/2006/relationships/hyperlink" Target="https://m.stock.naver.com/research/company/86298" TargetMode="External"/><Relationship Id="rId8699" Type="http://schemas.openxmlformats.org/officeDocument/2006/relationships/hyperlink" Target="https://m.stock.naver.com/research/company/84538" TargetMode="External"/><Relationship Id="rId9000" Type="http://schemas.openxmlformats.org/officeDocument/2006/relationships/hyperlink" Target="https://m.stock.naver.com/research/company/84232" TargetMode="External"/><Relationship Id="rId14086" Type="http://schemas.openxmlformats.org/officeDocument/2006/relationships/hyperlink" Target="https://m.stock.naver.com/research/company/93916" TargetMode="External"/><Relationship Id="rId15484" Type="http://schemas.openxmlformats.org/officeDocument/2006/relationships/hyperlink" Target="https://m.stock.naver.com/research/company/95303" TargetMode="External"/><Relationship Id="rId3094" Type="http://schemas.openxmlformats.org/officeDocument/2006/relationships/hyperlink" Target="https://m.stock.naver.com/research/company/90157" TargetMode="External"/><Relationship Id="rId4145" Type="http://schemas.openxmlformats.org/officeDocument/2006/relationships/hyperlink" Target="https://m.stock.naver.com/research/company/89106" TargetMode="External"/><Relationship Id="rId15137" Type="http://schemas.openxmlformats.org/officeDocument/2006/relationships/hyperlink" Target="https://m.stock.naver.com/research/company/94957" TargetMode="External"/><Relationship Id="rId15551" Type="http://schemas.openxmlformats.org/officeDocument/2006/relationships/hyperlink" Target="https://m.stock.naver.com/research/company/95485" TargetMode="External"/><Relationship Id="rId1739" Type="http://schemas.openxmlformats.org/officeDocument/2006/relationships/hyperlink" Target="https://m.stock.naver.com/research/company/91516" TargetMode="External"/><Relationship Id="rId5610" Type="http://schemas.openxmlformats.org/officeDocument/2006/relationships/hyperlink" Target="https://m.stock.naver.com/research/company/87630" TargetMode="External"/><Relationship Id="rId8766" Type="http://schemas.openxmlformats.org/officeDocument/2006/relationships/hyperlink" Target="https://m.stock.naver.com/research/company/84471" TargetMode="External"/><Relationship Id="rId9817" Type="http://schemas.openxmlformats.org/officeDocument/2006/relationships/hyperlink" Target="https://m.stock.naver.com/research/company/83405" TargetMode="External"/><Relationship Id="rId10696" Type="http://schemas.openxmlformats.org/officeDocument/2006/relationships/hyperlink" Target="https://m.stock.naver.com/research/company/82524" TargetMode="External"/><Relationship Id="rId11747" Type="http://schemas.openxmlformats.org/officeDocument/2006/relationships/hyperlink" Target="https://m.stock.naver.com/research/company/81465" TargetMode="External"/><Relationship Id="rId14153" Type="http://schemas.openxmlformats.org/officeDocument/2006/relationships/hyperlink" Target="https://m.stock.naver.com/research/company/93975" TargetMode="External"/><Relationship Id="rId15204" Type="http://schemas.openxmlformats.org/officeDocument/2006/relationships/hyperlink" Target="https://m.stock.naver.com/research/company/95156" TargetMode="External"/><Relationship Id="rId1806" Type="http://schemas.openxmlformats.org/officeDocument/2006/relationships/hyperlink" Target="https://m.stock.naver.com/research/company/91449" TargetMode="External"/><Relationship Id="rId3161" Type="http://schemas.openxmlformats.org/officeDocument/2006/relationships/hyperlink" Target="https://m.stock.naver.com/research/company/90090" TargetMode="External"/><Relationship Id="rId4212" Type="http://schemas.openxmlformats.org/officeDocument/2006/relationships/hyperlink" Target="https://m.stock.naver.com/research/company/89030" TargetMode="External"/><Relationship Id="rId7368" Type="http://schemas.openxmlformats.org/officeDocument/2006/relationships/hyperlink" Target="https://m.stock.naver.com/research/company/85871" TargetMode="External"/><Relationship Id="rId7782" Type="http://schemas.openxmlformats.org/officeDocument/2006/relationships/hyperlink" Target="https://m.stock.naver.com/research/company/85456" TargetMode="External"/><Relationship Id="rId8419" Type="http://schemas.openxmlformats.org/officeDocument/2006/relationships/hyperlink" Target="https://m.stock.naver.com/research/company/84819" TargetMode="External"/><Relationship Id="rId8833" Type="http://schemas.openxmlformats.org/officeDocument/2006/relationships/hyperlink" Target="https://m.stock.naver.com/research/company/84404" TargetMode="External"/><Relationship Id="rId10349" Type="http://schemas.openxmlformats.org/officeDocument/2006/relationships/hyperlink" Target="https://m.stock.naver.com/research/company/82872" TargetMode="External"/><Relationship Id="rId10763" Type="http://schemas.openxmlformats.org/officeDocument/2006/relationships/hyperlink" Target="https://m.stock.naver.com/research/company/82457" TargetMode="External"/><Relationship Id="rId14220" Type="http://schemas.openxmlformats.org/officeDocument/2006/relationships/hyperlink" Target="https://m.stock.naver.com/research/company/94123" TargetMode="External"/><Relationship Id="rId3978" Type="http://schemas.openxmlformats.org/officeDocument/2006/relationships/hyperlink" Target="https://m.stock.naver.com/research/company/89273" TargetMode="External"/><Relationship Id="rId6384" Type="http://schemas.openxmlformats.org/officeDocument/2006/relationships/hyperlink" Target="https://m.stock.naver.com/research/company/86856" TargetMode="External"/><Relationship Id="rId7435" Type="http://schemas.openxmlformats.org/officeDocument/2006/relationships/hyperlink" Target="https://m.stock.naver.com/research/company/85804" TargetMode="External"/><Relationship Id="rId8900" Type="http://schemas.openxmlformats.org/officeDocument/2006/relationships/hyperlink" Target="https://m.stock.naver.com/research/company/84336" TargetMode="External"/><Relationship Id="rId10416" Type="http://schemas.openxmlformats.org/officeDocument/2006/relationships/hyperlink" Target="https://m.stock.naver.com/research/company/82805" TargetMode="External"/><Relationship Id="rId11814" Type="http://schemas.openxmlformats.org/officeDocument/2006/relationships/hyperlink" Target="https://m.stock.naver.com/research/company/81398" TargetMode="External"/><Relationship Id="rId899" Type="http://schemas.openxmlformats.org/officeDocument/2006/relationships/hyperlink" Target="https://m.stock.naver.com/research/company/92557" TargetMode="External"/><Relationship Id="rId6037" Type="http://schemas.openxmlformats.org/officeDocument/2006/relationships/hyperlink" Target="https://m.stock.naver.com/research/company/87203" TargetMode="External"/><Relationship Id="rId6451" Type="http://schemas.openxmlformats.org/officeDocument/2006/relationships/hyperlink" Target="https://m.stock.naver.com/research/company/86789" TargetMode="External"/><Relationship Id="rId7502" Type="http://schemas.openxmlformats.org/officeDocument/2006/relationships/hyperlink" Target="https://m.stock.naver.com/research/company/85737" TargetMode="External"/><Relationship Id="rId10830" Type="http://schemas.openxmlformats.org/officeDocument/2006/relationships/hyperlink" Target="https://m.stock.naver.com/research/company/82390" TargetMode="External"/><Relationship Id="rId13986" Type="http://schemas.openxmlformats.org/officeDocument/2006/relationships/hyperlink" Target="https://m.stock.naver.com/research/company/93746" TargetMode="External"/><Relationship Id="rId966" Type="http://schemas.openxmlformats.org/officeDocument/2006/relationships/hyperlink" Target="https://m.stock.naver.com/research/company/92490" TargetMode="External"/><Relationship Id="rId1596" Type="http://schemas.openxmlformats.org/officeDocument/2006/relationships/hyperlink" Target="https://m.stock.naver.com/research/company/91659" TargetMode="External"/><Relationship Id="rId2647" Type="http://schemas.openxmlformats.org/officeDocument/2006/relationships/hyperlink" Target="https://m.stock.naver.com/research/company/90607" TargetMode="External"/><Relationship Id="rId2994" Type="http://schemas.openxmlformats.org/officeDocument/2006/relationships/hyperlink" Target="https://m.stock.naver.com/research/company/90258" TargetMode="External"/><Relationship Id="rId5053" Type="http://schemas.openxmlformats.org/officeDocument/2006/relationships/hyperlink" Target="https://m.stock.naver.com/research/company/88187" TargetMode="External"/><Relationship Id="rId6104" Type="http://schemas.openxmlformats.org/officeDocument/2006/relationships/hyperlink" Target="https://m.stock.naver.com/research/company/87136" TargetMode="External"/><Relationship Id="rId9674" Type="http://schemas.openxmlformats.org/officeDocument/2006/relationships/hyperlink" Target="https://m.stock.naver.com/research/company/83550" TargetMode="External"/><Relationship Id="rId12588" Type="http://schemas.openxmlformats.org/officeDocument/2006/relationships/hyperlink" Target="https://m.stock.naver.com/research/company/80620" TargetMode="External"/><Relationship Id="rId13639" Type="http://schemas.openxmlformats.org/officeDocument/2006/relationships/hyperlink" Target="https://m.stock.naver.com/research/company/79565" TargetMode="External"/><Relationship Id="rId15061" Type="http://schemas.openxmlformats.org/officeDocument/2006/relationships/hyperlink" Target="https://m.stock.naver.com/research/company/95033" TargetMode="External"/><Relationship Id="rId619" Type="http://schemas.openxmlformats.org/officeDocument/2006/relationships/hyperlink" Target="https://m.stock.naver.com/research/company/92837" TargetMode="External"/><Relationship Id="rId1249" Type="http://schemas.openxmlformats.org/officeDocument/2006/relationships/hyperlink" Target="https://m.stock.naver.com/research/company/92006" TargetMode="External"/><Relationship Id="rId5120" Type="http://schemas.openxmlformats.org/officeDocument/2006/relationships/hyperlink" Target="https://m.stock.naver.com/research/company/88120" TargetMode="External"/><Relationship Id="rId8276" Type="http://schemas.openxmlformats.org/officeDocument/2006/relationships/hyperlink" Target="https://m.stock.naver.com/research/company/84962" TargetMode="External"/><Relationship Id="rId9327" Type="http://schemas.openxmlformats.org/officeDocument/2006/relationships/hyperlink" Target="https://m.stock.naver.com/research/company/83900" TargetMode="External"/><Relationship Id="rId12655" Type="http://schemas.openxmlformats.org/officeDocument/2006/relationships/hyperlink" Target="https://m.stock.naver.com/research/company/80553" TargetMode="External"/><Relationship Id="rId13706" Type="http://schemas.openxmlformats.org/officeDocument/2006/relationships/hyperlink" Target="https://m.stock.naver.com/research/company/93468" TargetMode="External"/><Relationship Id="rId1663" Type="http://schemas.openxmlformats.org/officeDocument/2006/relationships/hyperlink" Target="https://m.stock.naver.com/research/company/91592" TargetMode="External"/><Relationship Id="rId2714" Type="http://schemas.openxmlformats.org/officeDocument/2006/relationships/hyperlink" Target="https://m.stock.naver.com/research/company/90540" TargetMode="External"/><Relationship Id="rId8690" Type="http://schemas.openxmlformats.org/officeDocument/2006/relationships/hyperlink" Target="https://m.stock.naver.com/research/company/84547" TargetMode="External"/><Relationship Id="rId9741" Type="http://schemas.openxmlformats.org/officeDocument/2006/relationships/hyperlink" Target="https://m.stock.naver.com/research/company/83482" TargetMode="External"/><Relationship Id="rId11257" Type="http://schemas.openxmlformats.org/officeDocument/2006/relationships/hyperlink" Target="https://m.stock.naver.com/research/company/81962" TargetMode="External"/><Relationship Id="rId11671" Type="http://schemas.openxmlformats.org/officeDocument/2006/relationships/hyperlink" Target="https://m.stock.naver.com/research/company/81541" TargetMode="External"/><Relationship Id="rId12308" Type="http://schemas.openxmlformats.org/officeDocument/2006/relationships/hyperlink" Target="https://m.stock.naver.com/research/company/80901" TargetMode="External"/><Relationship Id="rId12722" Type="http://schemas.openxmlformats.org/officeDocument/2006/relationships/hyperlink" Target="https://m.stock.naver.com/research/company/80486" TargetMode="External"/><Relationship Id="rId1316" Type="http://schemas.openxmlformats.org/officeDocument/2006/relationships/hyperlink" Target="https://m.stock.naver.com/research/company/91939" TargetMode="External"/><Relationship Id="rId1730" Type="http://schemas.openxmlformats.org/officeDocument/2006/relationships/hyperlink" Target="https://m.stock.naver.com/research/company/91525" TargetMode="External"/><Relationship Id="rId4886" Type="http://schemas.openxmlformats.org/officeDocument/2006/relationships/hyperlink" Target="https://m.stock.naver.com/research/company/88354" TargetMode="External"/><Relationship Id="rId5937" Type="http://schemas.openxmlformats.org/officeDocument/2006/relationships/hyperlink" Target="https://m.stock.naver.com/research/company/87303" TargetMode="External"/><Relationship Id="rId7292" Type="http://schemas.openxmlformats.org/officeDocument/2006/relationships/hyperlink" Target="https://m.stock.naver.com/research/company/85947" TargetMode="External"/><Relationship Id="rId8343" Type="http://schemas.openxmlformats.org/officeDocument/2006/relationships/hyperlink" Target="https://m.stock.naver.com/research/company/84895" TargetMode="External"/><Relationship Id="rId10273" Type="http://schemas.openxmlformats.org/officeDocument/2006/relationships/hyperlink" Target="https://m.stock.naver.com/research/company/82948" TargetMode="External"/><Relationship Id="rId11324" Type="http://schemas.openxmlformats.org/officeDocument/2006/relationships/hyperlink" Target="https://m.stock.naver.com/research/company/81892" TargetMode="External"/><Relationship Id="rId14894" Type="http://schemas.openxmlformats.org/officeDocument/2006/relationships/hyperlink" Target="https://m.stock.naver.com/research/company/94730" TargetMode="External"/><Relationship Id="rId22" Type="http://schemas.openxmlformats.org/officeDocument/2006/relationships/hyperlink" Target="https://m.stock.naver.com/research/company/93436" TargetMode="External"/><Relationship Id="rId3488" Type="http://schemas.openxmlformats.org/officeDocument/2006/relationships/hyperlink" Target="https://m.stock.naver.com/research/company/89763" TargetMode="External"/><Relationship Id="rId4539" Type="http://schemas.openxmlformats.org/officeDocument/2006/relationships/hyperlink" Target="https://m.stock.naver.com/research/company/88701" TargetMode="External"/><Relationship Id="rId4953" Type="http://schemas.openxmlformats.org/officeDocument/2006/relationships/hyperlink" Target="https://m.stock.naver.com/research/company/88287" TargetMode="External"/><Relationship Id="rId8410" Type="http://schemas.openxmlformats.org/officeDocument/2006/relationships/hyperlink" Target="https://m.stock.naver.com/research/company/84828" TargetMode="External"/><Relationship Id="rId10340" Type="http://schemas.openxmlformats.org/officeDocument/2006/relationships/hyperlink" Target="https://m.stock.naver.com/research/company/82881" TargetMode="External"/><Relationship Id="rId13496" Type="http://schemas.openxmlformats.org/officeDocument/2006/relationships/hyperlink" Target="https://m.stock.naver.com/research/company/79708" TargetMode="External"/><Relationship Id="rId14547" Type="http://schemas.openxmlformats.org/officeDocument/2006/relationships/hyperlink" Target="https://m.stock.naver.com/research/company/94363" TargetMode="External"/><Relationship Id="rId3555" Type="http://schemas.openxmlformats.org/officeDocument/2006/relationships/hyperlink" Target="https://m.stock.naver.com/research/company/89696" TargetMode="External"/><Relationship Id="rId4606" Type="http://schemas.openxmlformats.org/officeDocument/2006/relationships/hyperlink" Target="https://m.stock.naver.com/research/company/88634" TargetMode="External"/><Relationship Id="rId7012" Type="http://schemas.openxmlformats.org/officeDocument/2006/relationships/hyperlink" Target="https://m.stock.naver.com/research/company/86227" TargetMode="External"/><Relationship Id="rId12098" Type="http://schemas.openxmlformats.org/officeDocument/2006/relationships/hyperlink" Target="https://m.stock.naver.com/research/company/81113" TargetMode="External"/><Relationship Id="rId13149" Type="http://schemas.openxmlformats.org/officeDocument/2006/relationships/hyperlink" Target="https://m.stock.naver.com/research/company/80058" TargetMode="External"/><Relationship Id="rId14961" Type="http://schemas.openxmlformats.org/officeDocument/2006/relationships/hyperlink" Target="https://m.stock.naver.com/research/company/94873" TargetMode="External"/><Relationship Id="rId476" Type="http://schemas.openxmlformats.org/officeDocument/2006/relationships/hyperlink" Target="https://m.stock.naver.com/research/company/92981" TargetMode="External"/><Relationship Id="rId890" Type="http://schemas.openxmlformats.org/officeDocument/2006/relationships/hyperlink" Target="https://m.stock.naver.com/research/company/92566" TargetMode="External"/><Relationship Id="rId2157" Type="http://schemas.openxmlformats.org/officeDocument/2006/relationships/hyperlink" Target="https://m.stock.naver.com/research/company/91098" TargetMode="External"/><Relationship Id="rId2571" Type="http://schemas.openxmlformats.org/officeDocument/2006/relationships/hyperlink" Target="https://m.stock.naver.com/research/company/90683" TargetMode="External"/><Relationship Id="rId3208" Type="http://schemas.openxmlformats.org/officeDocument/2006/relationships/hyperlink" Target="https://m.stock.naver.com/research/company/90043" TargetMode="External"/><Relationship Id="rId6778" Type="http://schemas.openxmlformats.org/officeDocument/2006/relationships/hyperlink" Target="https://m.stock.naver.com/research/company/86462" TargetMode="External"/><Relationship Id="rId9184" Type="http://schemas.openxmlformats.org/officeDocument/2006/relationships/hyperlink" Target="https://m.stock.naver.com/research/company/84046" TargetMode="External"/><Relationship Id="rId12165" Type="http://schemas.openxmlformats.org/officeDocument/2006/relationships/hyperlink" Target="https://m.stock.naver.com/research/company/81046" TargetMode="External"/><Relationship Id="rId13563" Type="http://schemas.openxmlformats.org/officeDocument/2006/relationships/hyperlink" Target="https://m.stock.naver.com/research/company/79641" TargetMode="External"/><Relationship Id="rId14614" Type="http://schemas.openxmlformats.org/officeDocument/2006/relationships/hyperlink" Target="https://m.stock.naver.com/research/company/94563" TargetMode="External"/><Relationship Id="rId129" Type="http://schemas.openxmlformats.org/officeDocument/2006/relationships/hyperlink" Target="https://m.stock.naver.com/research/company/93329" TargetMode="External"/><Relationship Id="rId543" Type="http://schemas.openxmlformats.org/officeDocument/2006/relationships/hyperlink" Target="https://m.stock.naver.com/research/company/92914" TargetMode="External"/><Relationship Id="rId1173" Type="http://schemas.openxmlformats.org/officeDocument/2006/relationships/hyperlink" Target="https://m.stock.naver.com/research/company/92082" TargetMode="External"/><Relationship Id="rId2224" Type="http://schemas.openxmlformats.org/officeDocument/2006/relationships/hyperlink" Target="https://m.stock.naver.com/research/company/91031" TargetMode="External"/><Relationship Id="rId3622" Type="http://schemas.openxmlformats.org/officeDocument/2006/relationships/hyperlink" Target="https://m.stock.naver.com/research/company/89629" TargetMode="External"/><Relationship Id="rId7829" Type="http://schemas.openxmlformats.org/officeDocument/2006/relationships/hyperlink" Target="https://m.stock.naver.com/research/company/85409" TargetMode="External"/><Relationship Id="rId9251" Type="http://schemas.openxmlformats.org/officeDocument/2006/relationships/hyperlink" Target="https://m.stock.naver.com/research/company/83977" TargetMode="External"/><Relationship Id="rId13216" Type="http://schemas.openxmlformats.org/officeDocument/2006/relationships/hyperlink" Target="https://m.stock.naver.com/research/company/79991" TargetMode="External"/><Relationship Id="rId13630" Type="http://schemas.openxmlformats.org/officeDocument/2006/relationships/hyperlink" Target="https://m.stock.naver.com/research/company/79574" TargetMode="External"/><Relationship Id="rId5794" Type="http://schemas.openxmlformats.org/officeDocument/2006/relationships/hyperlink" Target="https://m.stock.naver.com/research/company/87446" TargetMode="External"/><Relationship Id="rId6845" Type="http://schemas.openxmlformats.org/officeDocument/2006/relationships/hyperlink" Target="https://m.stock.naver.com/research/company/86395" TargetMode="External"/><Relationship Id="rId11181" Type="http://schemas.openxmlformats.org/officeDocument/2006/relationships/hyperlink" Target="https://m.stock.naver.com/research/company/82039" TargetMode="External"/><Relationship Id="rId12232" Type="http://schemas.openxmlformats.org/officeDocument/2006/relationships/hyperlink" Target="https://m.stock.naver.com/research/company/80978" TargetMode="External"/><Relationship Id="rId15388" Type="http://schemas.openxmlformats.org/officeDocument/2006/relationships/hyperlink" Target="https://m.stock.naver.com/research/company/95399" TargetMode="External"/><Relationship Id="rId610" Type="http://schemas.openxmlformats.org/officeDocument/2006/relationships/hyperlink" Target="https://m.stock.naver.com/research/company/92846" TargetMode="External"/><Relationship Id="rId1240" Type="http://schemas.openxmlformats.org/officeDocument/2006/relationships/hyperlink" Target="https://m.stock.naver.com/research/company/92015" TargetMode="External"/><Relationship Id="rId4049" Type="http://schemas.openxmlformats.org/officeDocument/2006/relationships/hyperlink" Target="https://m.stock.naver.com/research/company/89202" TargetMode="External"/><Relationship Id="rId4396" Type="http://schemas.openxmlformats.org/officeDocument/2006/relationships/hyperlink" Target="https://m.stock.naver.com/research/company/88845" TargetMode="External"/><Relationship Id="rId5447" Type="http://schemas.openxmlformats.org/officeDocument/2006/relationships/hyperlink" Target="https://m.stock.naver.com/research/company/87793" TargetMode="External"/><Relationship Id="rId5861" Type="http://schemas.openxmlformats.org/officeDocument/2006/relationships/hyperlink" Target="https://m.stock.naver.com/research/company/87379" TargetMode="External"/><Relationship Id="rId6912" Type="http://schemas.openxmlformats.org/officeDocument/2006/relationships/hyperlink" Target="https://m.stock.naver.com/research/company/86327" TargetMode="External"/><Relationship Id="rId11998" Type="http://schemas.openxmlformats.org/officeDocument/2006/relationships/hyperlink" Target="https://m.stock.naver.com/research/company/81213" TargetMode="External"/><Relationship Id="rId15455" Type="http://schemas.openxmlformats.org/officeDocument/2006/relationships/hyperlink" Target="https://m.stock.naver.com/research/company/95332" TargetMode="External"/><Relationship Id="rId4463" Type="http://schemas.openxmlformats.org/officeDocument/2006/relationships/hyperlink" Target="https://m.stock.naver.com/research/company/88777" TargetMode="External"/><Relationship Id="rId5514" Type="http://schemas.openxmlformats.org/officeDocument/2006/relationships/hyperlink" Target="https://m.stock.naver.com/research/company/87726" TargetMode="External"/><Relationship Id="rId14057" Type="http://schemas.openxmlformats.org/officeDocument/2006/relationships/hyperlink" Target="https://m.stock.naver.com/research/company/93866" TargetMode="External"/><Relationship Id="rId14471" Type="http://schemas.openxmlformats.org/officeDocument/2006/relationships/hyperlink" Target="https://m.stock.naver.com/research/company/94439" TargetMode="External"/><Relationship Id="rId15108" Type="http://schemas.openxmlformats.org/officeDocument/2006/relationships/hyperlink" Target="https://m.stock.naver.com/research/company/94986" TargetMode="External"/><Relationship Id="rId15522" Type="http://schemas.openxmlformats.org/officeDocument/2006/relationships/hyperlink" Target="https://m.stock.naver.com/research/company/95514" TargetMode="External"/><Relationship Id="rId3065" Type="http://schemas.openxmlformats.org/officeDocument/2006/relationships/hyperlink" Target="https://m.stock.naver.com/research/company/90186" TargetMode="External"/><Relationship Id="rId4116" Type="http://schemas.openxmlformats.org/officeDocument/2006/relationships/hyperlink" Target="https://m.stock.naver.com/research/company/89135" TargetMode="External"/><Relationship Id="rId4530" Type="http://schemas.openxmlformats.org/officeDocument/2006/relationships/hyperlink" Target="https://m.stock.naver.com/research/company/88710" TargetMode="External"/><Relationship Id="rId7686" Type="http://schemas.openxmlformats.org/officeDocument/2006/relationships/hyperlink" Target="https://m.stock.naver.com/research/company/85553" TargetMode="External"/><Relationship Id="rId8737" Type="http://schemas.openxmlformats.org/officeDocument/2006/relationships/hyperlink" Target="https://m.stock.naver.com/research/company/84500" TargetMode="External"/><Relationship Id="rId13073" Type="http://schemas.openxmlformats.org/officeDocument/2006/relationships/hyperlink" Target="https://m.stock.naver.com/research/company/80134" TargetMode="External"/><Relationship Id="rId14124" Type="http://schemas.openxmlformats.org/officeDocument/2006/relationships/hyperlink" Target="https://m.stock.naver.com/research/company/94004" TargetMode="External"/><Relationship Id="rId2081" Type="http://schemas.openxmlformats.org/officeDocument/2006/relationships/hyperlink" Target="https://m.stock.naver.com/research/company/91174" TargetMode="External"/><Relationship Id="rId3132" Type="http://schemas.openxmlformats.org/officeDocument/2006/relationships/hyperlink" Target="https://m.stock.naver.com/research/company/90119" TargetMode="External"/><Relationship Id="rId6288" Type="http://schemas.openxmlformats.org/officeDocument/2006/relationships/hyperlink" Target="https://m.stock.naver.com/research/company/86952" TargetMode="External"/><Relationship Id="rId7339" Type="http://schemas.openxmlformats.org/officeDocument/2006/relationships/hyperlink" Target="https://m.stock.naver.com/research/company/85900" TargetMode="External"/><Relationship Id="rId7753" Type="http://schemas.openxmlformats.org/officeDocument/2006/relationships/hyperlink" Target="https://m.stock.naver.com/research/company/85486" TargetMode="External"/><Relationship Id="rId10667" Type="http://schemas.openxmlformats.org/officeDocument/2006/relationships/hyperlink" Target="https://m.stock.naver.com/research/company/82553" TargetMode="External"/><Relationship Id="rId11718" Type="http://schemas.openxmlformats.org/officeDocument/2006/relationships/hyperlink" Target="https://m.stock.naver.com/research/company/81494" TargetMode="External"/><Relationship Id="rId13140" Type="http://schemas.openxmlformats.org/officeDocument/2006/relationships/hyperlink" Target="https://m.stock.naver.com/research/company/80067" TargetMode="External"/><Relationship Id="rId6355" Type="http://schemas.openxmlformats.org/officeDocument/2006/relationships/hyperlink" Target="https://m.stock.naver.com/research/company/86885" TargetMode="External"/><Relationship Id="rId7406" Type="http://schemas.openxmlformats.org/officeDocument/2006/relationships/hyperlink" Target="https://m.stock.naver.com/research/company/85833" TargetMode="External"/><Relationship Id="rId8804" Type="http://schemas.openxmlformats.org/officeDocument/2006/relationships/hyperlink" Target="https://m.stock.naver.com/research/company/84433" TargetMode="External"/><Relationship Id="rId10734" Type="http://schemas.openxmlformats.org/officeDocument/2006/relationships/hyperlink" Target="https://m.stock.naver.com/research/company/82486" TargetMode="External"/><Relationship Id="rId120" Type="http://schemas.openxmlformats.org/officeDocument/2006/relationships/hyperlink" Target="https://m.stock.naver.com/research/company/93338" TargetMode="External"/><Relationship Id="rId2898" Type="http://schemas.openxmlformats.org/officeDocument/2006/relationships/hyperlink" Target="https://m.stock.naver.com/research/company/90355" TargetMode="External"/><Relationship Id="rId3949" Type="http://schemas.openxmlformats.org/officeDocument/2006/relationships/hyperlink" Target="https://m.stock.naver.com/research/company/89302" TargetMode="External"/><Relationship Id="rId6008" Type="http://schemas.openxmlformats.org/officeDocument/2006/relationships/hyperlink" Target="https://m.stock.naver.com/research/company/87232" TargetMode="External"/><Relationship Id="rId7820" Type="http://schemas.openxmlformats.org/officeDocument/2006/relationships/hyperlink" Target="https://m.stock.naver.com/research/company/85418" TargetMode="External"/><Relationship Id="rId10801" Type="http://schemas.openxmlformats.org/officeDocument/2006/relationships/hyperlink" Target="https://m.stock.naver.com/research/company/82419" TargetMode="External"/><Relationship Id="rId13957" Type="http://schemas.openxmlformats.org/officeDocument/2006/relationships/hyperlink" Target="https://m.stock.naver.com/research/company/93775" TargetMode="External"/><Relationship Id="rId2965" Type="http://schemas.openxmlformats.org/officeDocument/2006/relationships/hyperlink" Target="https://m.stock.naver.com/research/company/90288" TargetMode="External"/><Relationship Id="rId5024" Type="http://schemas.openxmlformats.org/officeDocument/2006/relationships/hyperlink" Target="https://m.stock.naver.com/research/company/88216" TargetMode="External"/><Relationship Id="rId5371" Type="http://schemas.openxmlformats.org/officeDocument/2006/relationships/hyperlink" Target="https://m.stock.naver.com/research/company/87869" TargetMode="External"/><Relationship Id="rId6422" Type="http://schemas.openxmlformats.org/officeDocument/2006/relationships/hyperlink" Target="https://m.stock.naver.com/research/company/86818" TargetMode="External"/><Relationship Id="rId9578" Type="http://schemas.openxmlformats.org/officeDocument/2006/relationships/hyperlink" Target="https://m.stock.naver.com/research/company/83649" TargetMode="External"/><Relationship Id="rId9992" Type="http://schemas.openxmlformats.org/officeDocument/2006/relationships/hyperlink" Target="https://m.stock.naver.com/research/company/83229" TargetMode="External"/><Relationship Id="rId12559" Type="http://schemas.openxmlformats.org/officeDocument/2006/relationships/hyperlink" Target="https://m.stock.naver.com/research/company/80649" TargetMode="External"/><Relationship Id="rId12973" Type="http://schemas.openxmlformats.org/officeDocument/2006/relationships/hyperlink" Target="https://m.stock.naver.com/research/company/80235" TargetMode="External"/><Relationship Id="rId937" Type="http://schemas.openxmlformats.org/officeDocument/2006/relationships/hyperlink" Target="https://m.stock.naver.com/research/company/92519" TargetMode="External"/><Relationship Id="rId1567" Type="http://schemas.openxmlformats.org/officeDocument/2006/relationships/hyperlink" Target="https://m.stock.naver.com/research/company/91688" TargetMode="External"/><Relationship Id="rId1981" Type="http://schemas.openxmlformats.org/officeDocument/2006/relationships/hyperlink" Target="https://m.stock.naver.com/research/company/91274" TargetMode="External"/><Relationship Id="rId2618" Type="http://schemas.openxmlformats.org/officeDocument/2006/relationships/hyperlink" Target="https://m.stock.naver.com/research/company/90636" TargetMode="External"/><Relationship Id="rId8594" Type="http://schemas.openxmlformats.org/officeDocument/2006/relationships/hyperlink" Target="https://m.stock.naver.com/research/company/84643" TargetMode="External"/><Relationship Id="rId9645" Type="http://schemas.openxmlformats.org/officeDocument/2006/relationships/hyperlink" Target="https://m.stock.naver.com/research/company/83579" TargetMode="External"/><Relationship Id="rId11575" Type="http://schemas.openxmlformats.org/officeDocument/2006/relationships/hyperlink" Target="https://m.stock.naver.com/research/company/81638" TargetMode="External"/><Relationship Id="rId12626" Type="http://schemas.openxmlformats.org/officeDocument/2006/relationships/hyperlink" Target="https://m.stock.naver.com/research/company/80582" TargetMode="External"/><Relationship Id="rId15032" Type="http://schemas.openxmlformats.org/officeDocument/2006/relationships/hyperlink" Target="https://m.stock.naver.com/research/company/94936" TargetMode="External"/><Relationship Id="rId1634" Type="http://schemas.openxmlformats.org/officeDocument/2006/relationships/hyperlink" Target="https://m.stock.naver.com/research/company/91621" TargetMode="External"/><Relationship Id="rId4040" Type="http://schemas.openxmlformats.org/officeDocument/2006/relationships/hyperlink" Target="https://m.stock.naver.com/research/company/89211" TargetMode="External"/><Relationship Id="rId7196" Type="http://schemas.openxmlformats.org/officeDocument/2006/relationships/hyperlink" Target="https://m.stock.naver.com/research/company/86043" TargetMode="External"/><Relationship Id="rId8247" Type="http://schemas.openxmlformats.org/officeDocument/2006/relationships/hyperlink" Target="https://m.stock.naver.com/research/company/84991" TargetMode="External"/><Relationship Id="rId8661" Type="http://schemas.openxmlformats.org/officeDocument/2006/relationships/hyperlink" Target="https://m.stock.naver.com/research/company/84576" TargetMode="External"/><Relationship Id="rId9712" Type="http://schemas.openxmlformats.org/officeDocument/2006/relationships/hyperlink" Target="https://m.stock.naver.com/research/company/83511" TargetMode="External"/><Relationship Id="rId10177" Type="http://schemas.openxmlformats.org/officeDocument/2006/relationships/hyperlink" Target="https://m.stock.naver.com/research/company/83044" TargetMode="External"/><Relationship Id="rId10591" Type="http://schemas.openxmlformats.org/officeDocument/2006/relationships/hyperlink" Target="https://m.stock.naver.com/research/company/82629" TargetMode="External"/><Relationship Id="rId11228" Type="http://schemas.openxmlformats.org/officeDocument/2006/relationships/hyperlink" Target="https://m.stock.naver.com/research/company/81991" TargetMode="External"/><Relationship Id="rId4857" Type="http://schemas.openxmlformats.org/officeDocument/2006/relationships/hyperlink" Target="https://m.stock.naver.com/research/company/88383" TargetMode="External"/><Relationship Id="rId7263" Type="http://schemas.openxmlformats.org/officeDocument/2006/relationships/hyperlink" Target="https://m.stock.naver.com/research/company/85976" TargetMode="External"/><Relationship Id="rId8314" Type="http://schemas.openxmlformats.org/officeDocument/2006/relationships/hyperlink" Target="https://m.stock.naver.com/research/company/84924" TargetMode="External"/><Relationship Id="rId10244" Type="http://schemas.openxmlformats.org/officeDocument/2006/relationships/hyperlink" Target="https://m.stock.naver.com/research/company/82977" TargetMode="External"/><Relationship Id="rId11642" Type="http://schemas.openxmlformats.org/officeDocument/2006/relationships/hyperlink" Target="https://m.stock.naver.com/research/company/81570" TargetMode="External"/><Relationship Id="rId14798" Type="http://schemas.openxmlformats.org/officeDocument/2006/relationships/hyperlink" Target="https://m.stock.naver.com/research/company/94602" TargetMode="External"/><Relationship Id="rId1701" Type="http://schemas.openxmlformats.org/officeDocument/2006/relationships/hyperlink" Target="https://m.stock.naver.com/research/company/91554" TargetMode="External"/><Relationship Id="rId3459" Type="http://schemas.openxmlformats.org/officeDocument/2006/relationships/hyperlink" Target="https://m.stock.naver.com/research/company/89792" TargetMode="External"/><Relationship Id="rId5908" Type="http://schemas.openxmlformats.org/officeDocument/2006/relationships/hyperlink" Target="https://m.stock.naver.com/research/company/87332" TargetMode="External"/><Relationship Id="rId7330" Type="http://schemas.openxmlformats.org/officeDocument/2006/relationships/hyperlink" Target="https://m.stock.naver.com/research/company/85909" TargetMode="External"/><Relationship Id="rId14865" Type="http://schemas.openxmlformats.org/officeDocument/2006/relationships/hyperlink" Target="https://m.stock.naver.com/research/company/94759" TargetMode="External"/><Relationship Id="rId3873" Type="http://schemas.openxmlformats.org/officeDocument/2006/relationships/hyperlink" Target="https://m.stock.naver.com/research/company/89378" TargetMode="External"/><Relationship Id="rId4924" Type="http://schemas.openxmlformats.org/officeDocument/2006/relationships/hyperlink" Target="https://m.stock.naver.com/research/company/88316" TargetMode="External"/><Relationship Id="rId9088" Type="http://schemas.openxmlformats.org/officeDocument/2006/relationships/hyperlink" Target="https://m.stock.naver.com/research/company/84142" TargetMode="External"/><Relationship Id="rId10311" Type="http://schemas.openxmlformats.org/officeDocument/2006/relationships/hyperlink" Target="https://m.stock.naver.com/research/company/82910" TargetMode="External"/><Relationship Id="rId13467" Type="http://schemas.openxmlformats.org/officeDocument/2006/relationships/hyperlink" Target="https://m.stock.naver.com/research/company/79737" TargetMode="External"/><Relationship Id="rId13881" Type="http://schemas.openxmlformats.org/officeDocument/2006/relationships/hyperlink" Target="https://m.stock.naver.com/research/company/93685" TargetMode="External"/><Relationship Id="rId14518" Type="http://schemas.openxmlformats.org/officeDocument/2006/relationships/hyperlink" Target="https://m.stock.naver.com/research/company/94392" TargetMode="External"/><Relationship Id="rId14932" Type="http://schemas.openxmlformats.org/officeDocument/2006/relationships/hyperlink" Target="https://m.stock.naver.com/research/company/94902" TargetMode="External"/><Relationship Id="rId447" Type="http://schemas.openxmlformats.org/officeDocument/2006/relationships/hyperlink" Target="https://m.stock.naver.com/research/company/93010" TargetMode="External"/><Relationship Id="rId794" Type="http://schemas.openxmlformats.org/officeDocument/2006/relationships/hyperlink" Target="https://m.stock.naver.com/research/company/92662" TargetMode="External"/><Relationship Id="rId1077" Type="http://schemas.openxmlformats.org/officeDocument/2006/relationships/hyperlink" Target="https://m.stock.naver.com/research/company/92179" TargetMode="External"/><Relationship Id="rId2128" Type="http://schemas.openxmlformats.org/officeDocument/2006/relationships/hyperlink" Target="https://m.stock.naver.com/research/company/91127" TargetMode="External"/><Relationship Id="rId2475" Type="http://schemas.openxmlformats.org/officeDocument/2006/relationships/hyperlink" Target="https://m.stock.naver.com/research/company/90779" TargetMode="External"/><Relationship Id="rId3526" Type="http://schemas.openxmlformats.org/officeDocument/2006/relationships/hyperlink" Target="https://m.stock.naver.com/research/company/89725" TargetMode="External"/><Relationship Id="rId3940" Type="http://schemas.openxmlformats.org/officeDocument/2006/relationships/hyperlink" Target="https://m.stock.naver.com/research/company/89311" TargetMode="External"/><Relationship Id="rId9155" Type="http://schemas.openxmlformats.org/officeDocument/2006/relationships/hyperlink" Target="https://m.stock.naver.com/research/company/84075" TargetMode="External"/><Relationship Id="rId12069" Type="http://schemas.openxmlformats.org/officeDocument/2006/relationships/hyperlink" Target="https://m.stock.naver.com/research/company/81142" TargetMode="External"/><Relationship Id="rId12483" Type="http://schemas.openxmlformats.org/officeDocument/2006/relationships/hyperlink" Target="https://m.stock.naver.com/research/company/80725" TargetMode="External"/><Relationship Id="rId13534" Type="http://schemas.openxmlformats.org/officeDocument/2006/relationships/hyperlink" Target="https://m.stock.naver.com/research/company/79670" TargetMode="External"/><Relationship Id="rId861" Type="http://schemas.openxmlformats.org/officeDocument/2006/relationships/hyperlink" Target="https://m.stock.naver.com/research/company/92595" TargetMode="External"/><Relationship Id="rId1491" Type="http://schemas.openxmlformats.org/officeDocument/2006/relationships/hyperlink" Target="https://m.stock.naver.com/research/company/91764" TargetMode="External"/><Relationship Id="rId2542" Type="http://schemas.openxmlformats.org/officeDocument/2006/relationships/hyperlink" Target="https://m.stock.naver.com/research/company/90712" TargetMode="External"/><Relationship Id="rId5698" Type="http://schemas.openxmlformats.org/officeDocument/2006/relationships/hyperlink" Target="https://m.stock.naver.com/research/company/87542" TargetMode="External"/><Relationship Id="rId6749" Type="http://schemas.openxmlformats.org/officeDocument/2006/relationships/hyperlink" Target="https://m.stock.naver.com/research/company/86491" TargetMode="External"/><Relationship Id="rId11085" Type="http://schemas.openxmlformats.org/officeDocument/2006/relationships/hyperlink" Target="https://m.stock.naver.com/research/company/82135" TargetMode="External"/><Relationship Id="rId12136" Type="http://schemas.openxmlformats.org/officeDocument/2006/relationships/hyperlink" Target="https://m.stock.naver.com/research/company/81075" TargetMode="External"/><Relationship Id="rId12550" Type="http://schemas.openxmlformats.org/officeDocument/2006/relationships/hyperlink" Target="https://m.stock.naver.com/research/company/80658" TargetMode="External"/><Relationship Id="rId13601" Type="http://schemas.openxmlformats.org/officeDocument/2006/relationships/hyperlink" Target="https://m.stock.naver.com/research/company/79603" TargetMode="External"/><Relationship Id="rId514" Type="http://schemas.openxmlformats.org/officeDocument/2006/relationships/hyperlink" Target="https://m.stock.naver.com/research/company/92943" TargetMode="External"/><Relationship Id="rId1144" Type="http://schemas.openxmlformats.org/officeDocument/2006/relationships/hyperlink" Target="https://m.stock.naver.com/research/company/92111" TargetMode="External"/><Relationship Id="rId5765" Type="http://schemas.openxmlformats.org/officeDocument/2006/relationships/hyperlink" Target="https://m.stock.naver.com/research/company/87475" TargetMode="External"/><Relationship Id="rId6816" Type="http://schemas.openxmlformats.org/officeDocument/2006/relationships/hyperlink" Target="https://m.stock.naver.com/research/company/86424" TargetMode="External"/><Relationship Id="rId8171" Type="http://schemas.openxmlformats.org/officeDocument/2006/relationships/hyperlink" Target="https://m.stock.naver.com/research/company/85067" TargetMode="External"/><Relationship Id="rId9222" Type="http://schemas.openxmlformats.org/officeDocument/2006/relationships/hyperlink" Target="https://m.stock.naver.com/research/company/84008" TargetMode="External"/><Relationship Id="rId11152" Type="http://schemas.openxmlformats.org/officeDocument/2006/relationships/hyperlink" Target="https://m.stock.naver.com/research/company/82068" TargetMode="External"/><Relationship Id="rId12203" Type="http://schemas.openxmlformats.org/officeDocument/2006/relationships/hyperlink" Target="https://m.stock.naver.com/research/company/81007" TargetMode="External"/><Relationship Id="rId15359" Type="http://schemas.openxmlformats.org/officeDocument/2006/relationships/hyperlink" Target="https://m.stock.naver.com/research/company/95229" TargetMode="External"/><Relationship Id="rId1211" Type="http://schemas.openxmlformats.org/officeDocument/2006/relationships/hyperlink" Target="https://m.stock.naver.com/research/company/92044" TargetMode="External"/><Relationship Id="rId4367" Type="http://schemas.openxmlformats.org/officeDocument/2006/relationships/hyperlink" Target="https://m.stock.naver.com/research/company/88874" TargetMode="External"/><Relationship Id="rId4781" Type="http://schemas.openxmlformats.org/officeDocument/2006/relationships/hyperlink" Target="https://m.stock.naver.com/research/company/88459" TargetMode="External"/><Relationship Id="rId5418" Type="http://schemas.openxmlformats.org/officeDocument/2006/relationships/hyperlink" Target="https://m.stock.naver.com/research/company/87822" TargetMode="External"/><Relationship Id="rId5832" Type="http://schemas.openxmlformats.org/officeDocument/2006/relationships/hyperlink" Target="https://m.stock.naver.com/research/company/87408" TargetMode="External"/><Relationship Id="rId8988" Type="http://schemas.openxmlformats.org/officeDocument/2006/relationships/hyperlink" Target="https://m.stock.naver.com/research/company/84244" TargetMode="External"/><Relationship Id="rId14375" Type="http://schemas.openxmlformats.org/officeDocument/2006/relationships/hyperlink" Target="https://m.stock.naver.com/research/company/94237" TargetMode="External"/><Relationship Id="rId3383" Type="http://schemas.openxmlformats.org/officeDocument/2006/relationships/hyperlink" Target="https://m.stock.naver.com/research/company/89868" TargetMode="External"/><Relationship Id="rId4434" Type="http://schemas.openxmlformats.org/officeDocument/2006/relationships/hyperlink" Target="https://m.stock.naver.com/research/company/88807" TargetMode="External"/><Relationship Id="rId11969" Type="http://schemas.openxmlformats.org/officeDocument/2006/relationships/hyperlink" Target="https://m.stock.naver.com/research/company/81242" TargetMode="External"/><Relationship Id="rId14028" Type="http://schemas.openxmlformats.org/officeDocument/2006/relationships/hyperlink" Target="https://m.stock.naver.com/research/company/93819" TargetMode="External"/><Relationship Id="rId15426" Type="http://schemas.openxmlformats.org/officeDocument/2006/relationships/hyperlink" Target="https://m.stock.naver.com/research/company/95361" TargetMode="External"/><Relationship Id="rId3036" Type="http://schemas.openxmlformats.org/officeDocument/2006/relationships/hyperlink" Target="https://m.stock.naver.com/research/company/90215" TargetMode="External"/><Relationship Id="rId10985" Type="http://schemas.openxmlformats.org/officeDocument/2006/relationships/hyperlink" Target="https://m.stock.naver.com/research/company/82235" TargetMode="External"/><Relationship Id="rId13391" Type="http://schemas.openxmlformats.org/officeDocument/2006/relationships/hyperlink" Target="https://m.stock.naver.com/research/company/79814" TargetMode="External"/><Relationship Id="rId14442" Type="http://schemas.openxmlformats.org/officeDocument/2006/relationships/hyperlink" Target="https://m.stock.naver.com/research/company/94468" TargetMode="External"/><Relationship Id="rId371" Type="http://schemas.openxmlformats.org/officeDocument/2006/relationships/hyperlink" Target="https://m.stock.naver.com/research/company/93087" TargetMode="External"/><Relationship Id="rId2052" Type="http://schemas.openxmlformats.org/officeDocument/2006/relationships/hyperlink" Target="https://m.stock.naver.com/research/company/91203" TargetMode="External"/><Relationship Id="rId3450" Type="http://schemas.openxmlformats.org/officeDocument/2006/relationships/hyperlink" Target="https://m.stock.naver.com/research/company/89801" TargetMode="External"/><Relationship Id="rId4501" Type="http://schemas.openxmlformats.org/officeDocument/2006/relationships/hyperlink" Target="https://m.stock.naver.com/research/company/88739" TargetMode="External"/><Relationship Id="rId6259" Type="http://schemas.openxmlformats.org/officeDocument/2006/relationships/hyperlink" Target="https://m.stock.naver.com/research/company/86981" TargetMode="External"/><Relationship Id="rId7657" Type="http://schemas.openxmlformats.org/officeDocument/2006/relationships/hyperlink" Target="https://m.stock.naver.com/research/company/85582" TargetMode="External"/><Relationship Id="rId8708" Type="http://schemas.openxmlformats.org/officeDocument/2006/relationships/hyperlink" Target="https://m.stock.naver.com/research/company/84529" TargetMode="External"/><Relationship Id="rId10638" Type="http://schemas.openxmlformats.org/officeDocument/2006/relationships/hyperlink" Target="https://m.stock.naver.com/research/company/82582" TargetMode="External"/><Relationship Id="rId13044" Type="http://schemas.openxmlformats.org/officeDocument/2006/relationships/hyperlink" Target="https://m.stock.naver.com/research/company/80163" TargetMode="External"/><Relationship Id="rId3103" Type="http://schemas.openxmlformats.org/officeDocument/2006/relationships/hyperlink" Target="https://m.stock.naver.com/research/company/90148" TargetMode="External"/><Relationship Id="rId6673" Type="http://schemas.openxmlformats.org/officeDocument/2006/relationships/hyperlink" Target="https://m.stock.naver.com/research/company/86567" TargetMode="External"/><Relationship Id="rId7724" Type="http://schemas.openxmlformats.org/officeDocument/2006/relationships/hyperlink" Target="https://m.stock.naver.com/research/company/85515" TargetMode="External"/><Relationship Id="rId10705" Type="http://schemas.openxmlformats.org/officeDocument/2006/relationships/hyperlink" Target="https://m.stock.naver.com/research/company/82515" TargetMode="External"/><Relationship Id="rId12060" Type="http://schemas.openxmlformats.org/officeDocument/2006/relationships/hyperlink" Target="https://m.stock.naver.com/research/company/81151" TargetMode="External"/><Relationship Id="rId13111" Type="http://schemas.openxmlformats.org/officeDocument/2006/relationships/hyperlink" Target="https://m.stock.naver.com/research/company/80096" TargetMode="External"/><Relationship Id="rId2869" Type="http://schemas.openxmlformats.org/officeDocument/2006/relationships/hyperlink" Target="https://m.stock.naver.com/research/company/90384" TargetMode="External"/><Relationship Id="rId5275" Type="http://schemas.openxmlformats.org/officeDocument/2006/relationships/hyperlink" Target="https://m.stock.naver.com/research/company/87965" TargetMode="External"/><Relationship Id="rId6326" Type="http://schemas.openxmlformats.org/officeDocument/2006/relationships/hyperlink" Target="https://m.stock.naver.com/research/company/86914" TargetMode="External"/><Relationship Id="rId6740" Type="http://schemas.openxmlformats.org/officeDocument/2006/relationships/hyperlink" Target="https://m.stock.naver.com/research/company/86500" TargetMode="External"/><Relationship Id="rId9896" Type="http://schemas.openxmlformats.org/officeDocument/2006/relationships/hyperlink" Target="https://m.stock.naver.com/research/company/83326" TargetMode="External"/><Relationship Id="rId15283" Type="http://schemas.openxmlformats.org/officeDocument/2006/relationships/hyperlink" Target="https://m.stock.naver.com/research/company/95077" TargetMode="External"/><Relationship Id="rId1885" Type="http://schemas.openxmlformats.org/officeDocument/2006/relationships/hyperlink" Target="https://m.stock.naver.com/research/company/91370" TargetMode="External"/><Relationship Id="rId2936" Type="http://schemas.openxmlformats.org/officeDocument/2006/relationships/hyperlink" Target="https://m.stock.naver.com/research/company/90317" TargetMode="External"/><Relationship Id="rId4291" Type="http://schemas.openxmlformats.org/officeDocument/2006/relationships/hyperlink" Target="https://m.stock.naver.com/research/company/88950" TargetMode="External"/><Relationship Id="rId5342" Type="http://schemas.openxmlformats.org/officeDocument/2006/relationships/hyperlink" Target="https://m.stock.naver.com/research/company/87898" TargetMode="External"/><Relationship Id="rId8498" Type="http://schemas.openxmlformats.org/officeDocument/2006/relationships/hyperlink" Target="https://m.stock.naver.com/research/company/84739" TargetMode="External"/><Relationship Id="rId9549" Type="http://schemas.openxmlformats.org/officeDocument/2006/relationships/hyperlink" Target="https://m.stock.naver.com/research/company/83678" TargetMode="External"/><Relationship Id="rId9963" Type="http://schemas.openxmlformats.org/officeDocument/2006/relationships/hyperlink" Target="https://m.stock.naver.com/research/company/83258" TargetMode="External"/><Relationship Id="rId11479" Type="http://schemas.openxmlformats.org/officeDocument/2006/relationships/hyperlink" Target="https://m.stock.naver.com/research/company/81736" TargetMode="External"/><Relationship Id="rId12877" Type="http://schemas.openxmlformats.org/officeDocument/2006/relationships/hyperlink" Target="https://m.stock.naver.com/research/company/80331" TargetMode="External"/><Relationship Id="rId13928" Type="http://schemas.openxmlformats.org/officeDocument/2006/relationships/hyperlink" Target="https://m.stock.naver.com/research/company/93709" TargetMode="External"/><Relationship Id="rId15350" Type="http://schemas.openxmlformats.org/officeDocument/2006/relationships/hyperlink" Target="https://m.stock.naver.com/research/company/95238" TargetMode="External"/><Relationship Id="rId908" Type="http://schemas.openxmlformats.org/officeDocument/2006/relationships/hyperlink" Target="https://m.stock.naver.com/research/company/92548" TargetMode="External"/><Relationship Id="rId1538" Type="http://schemas.openxmlformats.org/officeDocument/2006/relationships/hyperlink" Target="https://m.stock.naver.com/research/company/91717" TargetMode="External"/><Relationship Id="rId8565" Type="http://schemas.openxmlformats.org/officeDocument/2006/relationships/hyperlink" Target="https://m.stock.naver.com/research/company/84672" TargetMode="External"/><Relationship Id="rId9616" Type="http://schemas.openxmlformats.org/officeDocument/2006/relationships/hyperlink" Target="https://m.stock.naver.com/research/company/83609" TargetMode="External"/><Relationship Id="rId11893" Type="http://schemas.openxmlformats.org/officeDocument/2006/relationships/hyperlink" Target="https://m.stock.naver.com/research/company/81318" TargetMode="External"/><Relationship Id="rId12944" Type="http://schemas.openxmlformats.org/officeDocument/2006/relationships/hyperlink" Target="https://m.stock.naver.com/research/company/80264" TargetMode="External"/><Relationship Id="rId15003" Type="http://schemas.openxmlformats.org/officeDocument/2006/relationships/hyperlink" Target="https://m.stock.naver.com/research/company/94831" TargetMode="External"/><Relationship Id="rId1952" Type="http://schemas.openxmlformats.org/officeDocument/2006/relationships/hyperlink" Target="https://m.stock.naver.com/research/company/91303" TargetMode="External"/><Relationship Id="rId4011" Type="http://schemas.openxmlformats.org/officeDocument/2006/relationships/hyperlink" Target="https://m.stock.naver.com/research/company/89240" TargetMode="External"/><Relationship Id="rId7167" Type="http://schemas.openxmlformats.org/officeDocument/2006/relationships/hyperlink" Target="https://m.stock.naver.com/research/company/86072" TargetMode="External"/><Relationship Id="rId8218" Type="http://schemas.openxmlformats.org/officeDocument/2006/relationships/hyperlink" Target="https://m.stock.naver.com/research/company/85020" TargetMode="External"/><Relationship Id="rId10495" Type="http://schemas.openxmlformats.org/officeDocument/2006/relationships/hyperlink" Target="https://m.stock.naver.com/research/company/82725" TargetMode="External"/><Relationship Id="rId11546" Type="http://schemas.openxmlformats.org/officeDocument/2006/relationships/hyperlink" Target="https://m.stock.naver.com/research/company/81668" TargetMode="External"/><Relationship Id="rId11960" Type="http://schemas.openxmlformats.org/officeDocument/2006/relationships/hyperlink" Target="https://m.stock.naver.com/research/company/81251" TargetMode="External"/><Relationship Id="rId1605" Type="http://schemas.openxmlformats.org/officeDocument/2006/relationships/hyperlink" Target="https://m.stock.naver.com/research/company/91650" TargetMode="External"/><Relationship Id="rId6183" Type="http://schemas.openxmlformats.org/officeDocument/2006/relationships/hyperlink" Target="https://m.stock.naver.com/research/company/87057" TargetMode="External"/><Relationship Id="rId7234" Type="http://schemas.openxmlformats.org/officeDocument/2006/relationships/hyperlink" Target="https://m.stock.naver.com/research/company/86005" TargetMode="External"/><Relationship Id="rId7581" Type="http://schemas.openxmlformats.org/officeDocument/2006/relationships/hyperlink" Target="https://m.stock.naver.com/research/company/85658" TargetMode="External"/><Relationship Id="rId8632" Type="http://schemas.openxmlformats.org/officeDocument/2006/relationships/hyperlink" Target="https://m.stock.naver.com/research/company/84605" TargetMode="External"/><Relationship Id="rId10148" Type="http://schemas.openxmlformats.org/officeDocument/2006/relationships/hyperlink" Target="https://m.stock.naver.com/research/company/83073" TargetMode="External"/><Relationship Id="rId10562" Type="http://schemas.openxmlformats.org/officeDocument/2006/relationships/hyperlink" Target="https://m.stock.naver.com/research/company/82658" TargetMode="External"/><Relationship Id="rId11613" Type="http://schemas.openxmlformats.org/officeDocument/2006/relationships/hyperlink" Target="https://m.stock.naver.com/research/company/81599" TargetMode="External"/><Relationship Id="rId14769" Type="http://schemas.openxmlformats.org/officeDocument/2006/relationships/hyperlink" Target="https://m.stock.naver.com/research/company/94631" TargetMode="External"/><Relationship Id="rId3777" Type="http://schemas.openxmlformats.org/officeDocument/2006/relationships/hyperlink" Target="https://m.stock.naver.com/research/company/89474" TargetMode="External"/><Relationship Id="rId4828" Type="http://schemas.openxmlformats.org/officeDocument/2006/relationships/hyperlink" Target="https://m.stock.naver.com/research/company/88412" TargetMode="External"/><Relationship Id="rId10215" Type="http://schemas.openxmlformats.org/officeDocument/2006/relationships/hyperlink" Target="https://m.stock.naver.com/research/company/83006" TargetMode="External"/><Relationship Id="rId13785" Type="http://schemas.openxmlformats.org/officeDocument/2006/relationships/hyperlink" Target="https://m.stock.naver.com/research/company/93603" TargetMode="External"/><Relationship Id="rId14836" Type="http://schemas.openxmlformats.org/officeDocument/2006/relationships/hyperlink" Target="https://m.stock.naver.com/research/company/94788" TargetMode="External"/><Relationship Id="rId698" Type="http://schemas.openxmlformats.org/officeDocument/2006/relationships/hyperlink" Target="https://m.stock.naver.com/research/company/92758" TargetMode="External"/><Relationship Id="rId2379" Type="http://schemas.openxmlformats.org/officeDocument/2006/relationships/hyperlink" Target="https://m.stock.naver.com/research/company/90875" TargetMode="External"/><Relationship Id="rId2793" Type="http://schemas.openxmlformats.org/officeDocument/2006/relationships/hyperlink" Target="https://m.stock.naver.com/research/company/90461" TargetMode="External"/><Relationship Id="rId3844" Type="http://schemas.openxmlformats.org/officeDocument/2006/relationships/hyperlink" Target="https://m.stock.naver.com/research/company/89407" TargetMode="External"/><Relationship Id="rId6250" Type="http://schemas.openxmlformats.org/officeDocument/2006/relationships/hyperlink" Target="https://m.stock.naver.com/research/company/86990" TargetMode="External"/><Relationship Id="rId7301" Type="http://schemas.openxmlformats.org/officeDocument/2006/relationships/hyperlink" Target="https://m.stock.naver.com/research/company/85938" TargetMode="External"/><Relationship Id="rId12387" Type="http://schemas.openxmlformats.org/officeDocument/2006/relationships/hyperlink" Target="https://m.stock.naver.com/research/company/80822" TargetMode="External"/><Relationship Id="rId13438" Type="http://schemas.openxmlformats.org/officeDocument/2006/relationships/hyperlink" Target="https://m.stock.naver.com/research/company/79766" TargetMode="External"/><Relationship Id="rId765" Type="http://schemas.openxmlformats.org/officeDocument/2006/relationships/hyperlink" Target="https://m.stock.naver.com/research/company/92691" TargetMode="External"/><Relationship Id="rId1395" Type="http://schemas.openxmlformats.org/officeDocument/2006/relationships/hyperlink" Target="https://m.stock.naver.com/research/company/91860" TargetMode="External"/><Relationship Id="rId2446" Type="http://schemas.openxmlformats.org/officeDocument/2006/relationships/hyperlink" Target="https://m.stock.naver.com/research/company/90808" TargetMode="External"/><Relationship Id="rId2860" Type="http://schemas.openxmlformats.org/officeDocument/2006/relationships/hyperlink" Target="https://m.stock.naver.com/research/company/90393" TargetMode="External"/><Relationship Id="rId9059" Type="http://schemas.openxmlformats.org/officeDocument/2006/relationships/hyperlink" Target="https://m.stock.naver.com/research/company/84172" TargetMode="External"/><Relationship Id="rId9473" Type="http://schemas.openxmlformats.org/officeDocument/2006/relationships/hyperlink" Target="https://m.stock.naver.com/research/company/83754" TargetMode="External"/><Relationship Id="rId12454" Type="http://schemas.openxmlformats.org/officeDocument/2006/relationships/hyperlink" Target="https://m.stock.naver.com/research/company/80755" TargetMode="External"/><Relationship Id="rId13852" Type="http://schemas.openxmlformats.org/officeDocument/2006/relationships/hyperlink" Target="https://m.stock.naver.com/research/company/93630" TargetMode="External"/><Relationship Id="rId14903" Type="http://schemas.openxmlformats.org/officeDocument/2006/relationships/hyperlink" Target="https://m.stock.naver.com/research/company/94721" TargetMode="External"/><Relationship Id="rId418" Type="http://schemas.openxmlformats.org/officeDocument/2006/relationships/hyperlink" Target="https://m.stock.naver.com/research/company/93039" TargetMode="External"/><Relationship Id="rId832" Type="http://schemas.openxmlformats.org/officeDocument/2006/relationships/hyperlink" Target="https://m.stock.naver.com/research/company/92624" TargetMode="External"/><Relationship Id="rId1048" Type="http://schemas.openxmlformats.org/officeDocument/2006/relationships/hyperlink" Target="https://m.stock.naver.com/research/company/92303" TargetMode="External"/><Relationship Id="rId1462" Type="http://schemas.openxmlformats.org/officeDocument/2006/relationships/hyperlink" Target="https://m.stock.naver.com/research/company/91793" TargetMode="External"/><Relationship Id="rId2513" Type="http://schemas.openxmlformats.org/officeDocument/2006/relationships/hyperlink" Target="https://m.stock.naver.com/research/company/90741" TargetMode="External"/><Relationship Id="rId3911" Type="http://schemas.openxmlformats.org/officeDocument/2006/relationships/hyperlink" Target="https://m.stock.naver.com/research/company/89340" TargetMode="External"/><Relationship Id="rId5669" Type="http://schemas.openxmlformats.org/officeDocument/2006/relationships/hyperlink" Target="https://m.stock.naver.com/research/company/87571" TargetMode="External"/><Relationship Id="rId8075" Type="http://schemas.openxmlformats.org/officeDocument/2006/relationships/hyperlink" Target="https://m.stock.naver.com/research/company/85163" TargetMode="External"/><Relationship Id="rId9126" Type="http://schemas.openxmlformats.org/officeDocument/2006/relationships/hyperlink" Target="https://m.stock.naver.com/research/company/84104" TargetMode="External"/><Relationship Id="rId9540" Type="http://schemas.openxmlformats.org/officeDocument/2006/relationships/hyperlink" Target="https://m.stock.naver.com/research/company/83687" TargetMode="External"/><Relationship Id="rId11056" Type="http://schemas.openxmlformats.org/officeDocument/2006/relationships/hyperlink" Target="https://m.stock.naver.com/research/company/82164" TargetMode="External"/><Relationship Id="rId12107" Type="http://schemas.openxmlformats.org/officeDocument/2006/relationships/hyperlink" Target="https://m.stock.naver.com/research/company/81104" TargetMode="External"/><Relationship Id="rId13505" Type="http://schemas.openxmlformats.org/officeDocument/2006/relationships/hyperlink" Target="https://m.stock.naver.com/research/company/79699" TargetMode="External"/><Relationship Id="rId1115" Type="http://schemas.openxmlformats.org/officeDocument/2006/relationships/hyperlink" Target="https://m.stock.naver.com/research/company/92140" TargetMode="External"/><Relationship Id="rId7091" Type="http://schemas.openxmlformats.org/officeDocument/2006/relationships/hyperlink" Target="https://m.stock.naver.com/research/company/86148" TargetMode="External"/><Relationship Id="rId8142" Type="http://schemas.openxmlformats.org/officeDocument/2006/relationships/hyperlink" Target="https://m.stock.naver.com/research/company/85096" TargetMode="External"/><Relationship Id="rId10072" Type="http://schemas.openxmlformats.org/officeDocument/2006/relationships/hyperlink" Target="https://m.stock.naver.com/research/company/83149" TargetMode="External"/><Relationship Id="rId11470" Type="http://schemas.openxmlformats.org/officeDocument/2006/relationships/hyperlink" Target="https://m.stock.naver.com/research/company/81745" TargetMode="External"/><Relationship Id="rId12521" Type="http://schemas.openxmlformats.org/officeDocument/2006/relationships/hyperlink" Target="https://m.stock.naver.com/research/company/80687" TargetMode="External"/><Relationship Id="rId15677" Type="http://schemas.openxmlformats.org/officeDocument/2006/relationships/hyperlink" Target="https://m.stock.naver.com/research/company/95737" TargetMode="External"/><Relationship Id="rId3287" Type="http://schemas.openxmlformats.org/officeDocument/2006/relationships/hyperlink" Target="https://m.stock.naver.com/research/company/89963" TargetMode="External"/><Relationship Id="rId4338" Type="http://schemas.openxmlformats.org/officeDocument/2006/relationships/hyperlink" Target="https://m.stock.naver.com/research/company/88903" TargetMode="External"/><Relationship Id="rId4685" Type="http://schemas.openxmlformats.org/officeDocument/2006/relationships/hyperlink" Target="https://m.stock.naver.com/research/company/88555" TargetMode="External"/><Relationship Id="rId5736" Type="http://schemas.openxmlformats.org/officeDocument/2006/relationships/hyperlink" Target="https://m.stock.naver.com/research/company/87504" TargetMode="External"/><Relationship Id="rId11123" Type="http://schemas.openxmlformats.org/officeDocument/2006/relationships/hyperlink" Target="https://m.stock.naver.com/research/company/82097" TargetMode="External"/><Relationship Id="rId14279" Type="http://schemas.openxmlformats.org/officeDocument/2006/relationships/hyperlink" Target="https://m.stock.naver.com/research/company/94185" TargetMode="External"/><Relationship Id="rId14693" Type="http://schemas.openxmlformats.org/officeDocument/2006/relationships/hyperlink" Target="https://m.stock.naver.com/research/company/94707" TargetMode="External"/><Relationship Id="rId15744" Type="http://schemas.openxmlformats.org/officeDocument/2006/relationships/hyperlink" Target="https://m.stock.naver.com/research/company/95670" TargetMode="External"/><Relationship Id="rId4752" Type="http://schemas.openxmlformats.org/officeDocument/2006/relationships/hyperlink" Target="https://m.stock.naver.com/research/company/88488" TargetMode="External"/><Relationship Id="rId5803" Type="http://schemas.openxmlformats.org/officeDocument/2006/relationships/hyperlink" Target="https://m.stock.naver.com/research/company/87437" TargetMode="External"/><Relationship Id="rId8959" Type="http://schemas.openxmlformats.org/officeDocument/2006/relationships/hyperlink" Target="https://m.stock.naver.com/research/company/84273" TargetMode="External"/><Relationship Id="rId10889" Type="http://schemas.openxmlformats.org/officeDocument/2006/relationships/hyperlink" Target="https://m.stock.naver.com/research/company/82331" TargetMode="External"/><Relationship Id="rId13295" Type="http://schemas.openxmlformats.org/officeDocument/2006/relationships/hyperlink" Target="https://m.stock.naver.com/research/company/79910" TargetMode="External"/><Relationship Id="rId14346" Type="http://schemas.openxmlformats.org/officeDocument/2006/relationships/hyperlink" Target="https://m.stock.naver.com/research/company/94205" TargetMode="External"/><Relationship Id="rId14760" Type="http://schemas.openxmlformats.org/officeDocument/2006/relationships/hyperlink" Target="https://m.stock.naver.com/research/company/94640" TargetMode="External"/><Relationship Id="rId3354" Type="http://schemas.openxmlformats.org/officeDocument/2006/relationships/hyperlink" Target="https://m.stock.naver.com/research/company/89896" TargetMode="External"/><Relationship Id="rId4405" Type="http://schemas.openxmlformats.org/officeDocument/2006/relationships/hyperlink" Target="https://m.stock.naver.com/research/company/88836" TargetMode="External"/><Relationship Id="rId7975" Type="http://schemas.openxmlformats.org/officeDocument/2006/relationships/hyperlink" Target="https://m.stock.naver.com/research/company/85263" TargetMode="External"/><Relationship Id="rId13362" Type="http://schemas.openxmlformats.org/officeDocument/2006/relationships/hyperlink" Target="https://m.stock.naver.com/research/company/79843" TargetMode="External"/><Relationship Id="rId14413" Type="http://schemas.openxmlformats.org/officeDocument/2006/relationships/hyperlink" Target="https://m.stock.naver.com/research/company/94270" TargetMode="External"/><Relationship Id="rId275" Type="http://schemas.openxmlformats.org/officeDocument/2006/relationships/hyperlink" Target="https://m.stock.naver.com/research/company/93183" TargetMode="External"/><Relationship Id="rId2370" Type="http://schemas.openxmlformats.org/officeDocument/2006/relationships/hyperlink" Target="https://m.stock.naver.com/research/company/90884" TargetMode="External"/><Relationship Id="rId3007" Type="http://schemas.openxmlformats.org/officeDocument/2006/relationships/hyperlink" Target="https://m.stock.naver.com/research/company/90244" TargetMode="External"/><Relationship Id="rId3421" Type="http://schemas.openxmlformats.org/officeDocument/2006/relationships/hyperlink" Target="https://m.stock.naver.com/research/company/89830" TargetMode="External"/><Relationship Id="rId6577" Type="http://schemas.openxmlformats.org/officeDocument/2006/relationships/hyperlink" Target="https://m.stock.naver.com/research/company/86663" TargetMode="External"/><Relationship Id="rId6991" Type="http://schemas.openxmlformats.org/officeDocument/2006/relationships/hyperlink" Target="https://m.stock.naver.com/research/company/86248" TargetMode="External"/><Relationship Id="rId7628" Type="http://schemas.openxmlformats.org/officeDocument/2006/relationships/hyperlink" Target="https://m.stock.naver.com/research/company/85611" TargetMode="External"/><Relationship Id="rId10956" Type="http://schemas.openxmlformats.org/officeDocument/2006/relationships/hyperlink" Target="https://m.stock.naver.com/research/company/82264" TargetMode="External"/><Relationship Id="rId13015" Type="http://schemas.openxmlformats.org/officeDocument/2006/relationships/hyperlink" Target="https://m.stock.naver.com/research/company/80193" TargetMode="External"/><Relationship Id="rId342" Type="http://schemas.openxmlformats.org/officeDocument/2006/relationships/hyperlink" Target="https://m.stock.naver.com/research/company/93116" TargetMode="External"/><Relationship Id="rId2023" Type="http://schemas.openxmlformats.org/officeDocument/2006/relationships/hyperlink" Target="https://m.stock.naver.com/research/company/91232" TargetMode="External"/><Relationship Id="rId5179" Type="http://schemas.openxmlformats.org/officeDocument/2006/relationships/hyperlink" Target="https://m.stock.naver.com/research/company/88061" TargetMode="External"/><Relationship Id="rId5593" Type="http://schemas.openxmlformats.org/officeDocument/2006/relationships/hyperlink" Target="https://m.stock.naver.com/research/company/87647" TargetMode="External"/><Relationship Id="rId6644" Type="http://schemas.openxmlformats.org/officeDocument/2006/relationships/hyperlink" Target="https://m.stock.naver.com/research/company/86596" TargetMode="External"/><Relationship Id="rId9050" Type="http://schemas.openxmlformats.org/officeDocument/2006/relationships/hyperlink" Target="https://m.stock.naver.com/research/company/84181" TargetMode="External"/><Relationship Id="rId10609" Type="http://schemas.openxmlformats.org/officeDocument/2006/relationships/hyperlink" Target="https://m.stock.naver.com/research/company/82611" TargetMode="External"/><Relationship Id="rId12031" Type="http://schemas.openxmlformats.org/officeDocument/2006/relationships/hyperlink" Target="https://m.stock.naver.com/research/company/81180" TargetMode="External"/><Relationship Id="rId15187" Type="http://schemas.openxmlformats.org/officeDocument/2006/relationships/hyperlink" Target="https://m.stock.naver.com/research/company/95173" TargetMode="External"/><Relationship Id="rId4195" Type="http://schemas.openxmlformats.org/officeDocument/2006/relationships/hyperlink" Target="https://m.stock.naver.com/research/company/89047" TargetMode="External"/><Relationship Id="rId5246" Type="http://schemas.openxmlformats.org/officeDocument/2006/relationships/hyperlink" Target="https://m.stock.naver.com/research/company/87994" TargetMode="External"/><Relationship Id="rId1789" Type="http://schemas.openxmlformats.org/officeDocument/2006/relationships/hyperlink" Target="https://m.stock.naver.com/research/company/91466" TargetMode="External"/><Relationship Id="rId4262" Type="http://schemas.openxmlformats.org/officeDocument/2006/relationships/hyperlink" Target="https://m.stock.naver.com/research/company/88979" TargetMode="External"/><Relationship Id="rId5660" Type="http://schemas.openxmlformats.org/officeDocument/2006/relationships/hyperlink" Target="https://m.stock.naver.com/research/company/87580" TargetMode="External"/><Relationship Id="rId6711" Type="http://schemas.openxmlformats.org/officeDocument/2006/relationships/hyperlink" Target="https://m.stock.naver.com/research/company/86529" TargetMode="External"/><Relationship Id="rId8469" Type="http://schemas.openxmlformats.org/officeDocument/2006/relationships/hyperlink" Target="https://m.stock.naver.com/research/company/84768" TargetMode="External"/><Relationship Id="rId9867" Type="http://schemas.openxmlformats.org/officeDocument/2006/relationships/hyperlink" Target="https://m.stock.naver.com/research/company/83355" TargetMode="External"/><Relationship Id="rId11797" Type="http://schemas.openxmlformats.org/officeDocument/2006/relationships/hyperlink" Target="https://m.stock.naver.com/research/company/81415" TargetMode="External"/><Relationship Id="rId12848" Type="http://schemas.openxmlformats.org/officeDocument/2006/relationships/hyperlink" Target="https://m.stock.naver.com/research/company/80360" TargetMode="External"/><Relationship Id="rId15254" Type="http://schemas.openxmlformats.org/officeDocument/2006/relationships/hyperlink" Target="https://m.stock.naver.com/research/company/95106" TargetMode="External"/><Relationship Id="rId1856" Type="http://schemas.openxmlformats.org/officeDocument/2006/relationships/hyperlink" Target="https://m.stock.naver.com/research/company/91399" TargetMode="External"/><Relationship Id="rId2907" Type="http://schemas.openxmlformats.org/officeDocument/2006/relationships/hyperlink" Target="https://m.stock.naver.com/research/company/90346" TargetMode="External"/><Relationship Id="rId5313" Type="http://schemas.openxmlformats.org/officeDocument/2006/relationships/hyperlink" Target="https://m.stock.naver.com/research/company/87927" TargetMode="External"/><Relationship Id="rId8883" Type="http://schemas.openxmlformats.org/officeDocument/2006/relationships/hyperlink" Target="https://m.stock.naver.com/research/company/84353" TargetMode="External"/><Relationship Id="rId9934" Type="http://schemas.openxmlformats.org/officeDocument/2006/relationships/hyperlink" Target="https://m.stock.naver.com/research/company/83288" TargetMode="External"/><Relationship Id="rId10399" Type="http://schemas.openxmlformats.org/officeDocument/2006/relationships/hyperlink" Target="https://m.stock.naver.com/research/company/82822" TargetMode="External"/><Relationship Id="rId11864" Type="http://schemas.openxmlformats.org/officeDocument/2006/relationships/hyperlink" Target="https://m.stock.naver.com/research/company/81348" TargetMode="External"/><Relationship Id="rId12915" Type="http://schemas.openxmlformats.org/officeDocument/2006/relationships/hyperlink" Target="https://m.stock.naver.com/research/company/80293" TargetMode="External"/><Relationship Id="rId14270" Type="http://schemas.openxmlformats.org/officeDocument/2006/relationships/hyperlink" Target="https://m.stock.naver.com/research/company/94128" TargetMode="External"/><Relationship Id="rId15321" Type="http://schemas.openxmlformats.org/officeDocument/2006/relationships/hyperlink" Target="https://m.stock.naver.com/research/company/95267" TargetMode="External"/><Relationship Id="rId1509" Type="http://schemas.openxmlformats.org/officeDocument/2006/relationships/hyperlink" Target="https://m.stock.naver.com/research/company/91746" TargetMode="External"/><Relationship Id="rId1923" Type="http://schemas.openxmlformats.org/officeDocument/2006/relationships/hyperlink" Target="https://m.stock.naver.com/research/company/91332" TargetMode="External"/><Relationship Id="rId7485" Type="http://schemas.openxmlformats.org/officeDocument/2006/relationships/hyperlink" Target="https://m.stock.naver.com/research/company/85754" TargetMode="External"/><Relationship Id="rId8536" Type="http://schemas.openxmlformats.org/officeDocument/2006/relationships/hyperlink" Target="https://m.stock.naver.com/research/company/84701" TargetMode="External"/><Relationship Id="rId8950" Type="http://schemas.openxmlformats.org/officeDocument/2006/relationships/hyperlink" Target="https://m.stock.naver.com/research/company/84282" TargetMode="External"/><Relationship Id="rId10466" Type="http://schemas.openxmlformats.org/officeDocument/2006/relationships/hyperlink" Target="https://m.stock.naver.com/research/company/82754" TargetMode="External"/><Relationship Id="rId10880" Type="http://schemas.openxmlformats.org/officeDocument/2006/relationships/hyperlink" Target="https://m.stock.naver.com/research/company/82340" TargetMode="External"/><Relationship Id="rId11517" Type="http://schemas.openxmlformats.org/officeDocument/2006/relationships/hyperlink" Target="https://m.stock.naver.com/research/company/81698" TargetMode="External"/><Relationship Id="rId6087" Type="http://schemas.openxmlformats.org/officeDocument/2006/relationships/hyperlink" Target="https://m.stock.naver.com/research/company/87153" TargetMode="External"/><Relationship Id="rId7138" Type="http://schemas.openxmlformats.org/officeDocument/2006/relationships/hyperlink" Target="https://m.stock.naver.com/research/company/86101" TargetMode="External"/><Relationship Id="rId7552" Type="http://schemas.openxmlformats.org/officeDocument/2006/relationships/hyperlink" Target="https://m.stock.naver.com/research/company/85687" TargetMode="External"/><Relationship Id="rId8603" Type="http://schemas.openxmlformats.org/officeDocument/2006/relationships/hyperlink" Target="https://m.stock.naver.com/research/company/84634" TargetMode="External"/><Relationship Id="rId10119" Type="http://schemas.openxmlformats.org/officeDocument/2006/relationships/hyperlink" Target="https://m.stock.naver.com/research/company/83102" TargetMode="External"/><Relationship Id="rId10533" Type="http://schemas.openxmlformats.org/officeDocument/2006/relationships/hyperlink" Target="https://m.stock.naver.com/research/company/82687" TargetMode="External"/><Relationship Id="rId11931" Type="http://schemas.openxmlformats.org/officeDocument/2006/relationships/hyperlink" Target="https://m.stock.naver.com/research/company/81280" TargetMode="External"/><Relationship Id="rId13689" Type="http://schemas.openxmlformats.org/officeDocument/2006/relationships/hyperlink" Target="https://m.stock.naver.com/research/company/93485" TargetMode="External"/><Relationship Id="rId2697" Type="http://schemas.openxmlformats.org/officeDocument/2006/relationships/hyperlink" Target="https://m.stock.naver.com/research/company/90557" TargetMode="External"/><Relationship Id="rId3748" Type="http://schemas.openxmlformats.org/officeDocument/2006/relationships/hyperlink" Target="https://m.stock.naver.com/research/company/89503" TargetMode="External"/><Relationship Id="rId6154" Type="http://schemas.openxmlformats.org/officeDocument/2006/relationships/hyperlink" Target="https://m.stock.naver.com/research/company/87086" TargetMode="External"/><Relationship Id="rId7205" Type="http://schemas.openxmlformats.org/officeDocument/2006/relationships/hyperlink" Target="https://m.stock.naver.com/research/company/86034" TargetMode="External"/><Relationship Id="rId669" Type="http://schemas.openxmlformats.org/officeDocument/2006/relationships/hyperlink" Target="https://m.stock.naver.com/research/company/92787" TargetMode="External"/><Relationship Id="rId1299" Type="http://schemas.openxmlformats.org/officeDocument/2006/relationships/hyperlink" Target="https://m.stock.naver.com/research/company/91956" TargetMode="External"/><Relationship Id="rId5170" Type="http://schemas.openxmlformats.org/officeDocument/2006/relationships/hyperlink" Target="https://m.stock.naver.com/research/company/88070" TargetMode="External"/><Relationship Id="rId6221" Type="http://schemas.openxmlformats.org/officeDocument/2006/relationships/hyperlink" Target="https://m.stock.naver.com/research/company/87019" TargetMode="External"/><Relationship Id="rId9377" Type="http://schemas.openxmlformats.org/officeDocument/2006/relationships/hyperlink" Target="https://m.stock.naver.com/research/company/83850" TargetMode="External"/><Relationship Id="rId10600" Type="http://schemas.openxmlformats.org/officeDocument/2006/relationships/hyperlink" Target="https://m.stock.naver.com/research/company/82620" TargetMode="External"/><Relationship Id="rId13756" Type="http://schemas.openxmlformats.org/officeDocument/2006/relationships/hyperlink" Target="https://m.stock.naver.com/research/company/93529" TargetMode="External"/><Relationship Id="rId14807" Type="http://schemas.openxmlformats.org/officeDocument/2006/relationships/hyperlink" Target="https://m.stock.naver.com/research/company/94593" TargetMode="External"/><Relationship Id="rId736" Type="http://schemas.openxmlformats.org/officeDocument/2006/relationships/hyperlink" Target="https://m.stock.naver.com/research/company/92720" TargetMode="External"/><Relationship Id="rId1366" Type="http://schemas.openxmlformats.org/officeDocument/2006/relationships/hyperlink" Target="https://m.stock.naver.com/research/company/91889" TargetMode="External"/><Relationship Id="rId2417" Type="http://schemas.openxmlformats.org/officeDocument/2006/relationships/hyperlink" Target="https://m.stock.naver.com/research/company/90837" TargetMode="External"/><Relationship Id="rId2764" Type="http://schemas.openxmlformats.org/officeDocument/2006/relationships/hyperlink" Target="https://m.stock.naver.com/research/company/90490" TargetMode="External"/><Relationship Id="rId3815" Type="http://schemas.openxmlformats.org/officeDocument/2006/relationships/hyperlink" Target="https://m.stock.naver.com/research/company/89436" TargetMode="External"/><Relationship Id="rId8393" Type="http://schemas.openxmlformats.org/officeDocument/2006/relationships/hyperlink" Target="https://m.stock.naver.com/research/company/84845" TargetMode="External"/><Relationship Id="rId9444" Type="http://schemas.openxmlformats.org/officeDocument/2006/relationships/hyperlink" Target="https://m.stock.naver.com/research/company/83783" TargetMode="External"/><Relationship Id="rId9791" Type="http://schemas.openxmlformats.org/officeDocument/2006/relationships/hyperlink" Target="https://m.stock.naver.com/research/company/83431" TargetMode="External"/><Relationship Id="rId12358" Type="http://schemas.openxmlformats.org/officeDocument/2006/relationships/hyperlink" Target="https://m.stock.naver.com/research/company/80851" TargetMode="External"/><Relationship Id="rId12772" Type="http://schemas.openxmlformats.org/officeDocument/2006/relationships/hyperlink" Target="https://m.stock.naver.com/research/company/80436" TargetMode="External"/><Relationship Id="rId13409" Type="http://schemas.openxmlformats.org/officeDocument/2006/relationships/hyperlink" Target="https://m.stock.naver.com/research/company/79796" TargetMode="External"/><Relationship Id="rId13823" Type="http://schemas.openxmlformats.org/officeDocument/2006/relationships/hyperlink" Target="https://m.stock.naver.com/research/company/93555" TargetMode="External"/><Relationship Id="rId1019" Type="http://schemas.openxmlformats.org/officeDocument/2006/relationships/hyperlink" Target="https://m.stock.naver.com/research/company/92332" TargetMode="External"/><Relationship Id="rId1780" Type="http://schemas.openxmlformats.org/officeDocument/2006/relationships/hyperlink" Target="https://m.stock.naver.com/research/company/91475" TargetMode="External"/><Relationship Id="rId2831" Type="http://schemas.openxmlformats.org/officeDocument/2006/relationships/hyperlink" Target="https://m.stock.naver.com/research/company/90422" TargetMode="External"/><Relationship Id="rId5987" Type="http://schemas.openxmlformats.org/officeDocument/2006/relationships/hyperlink" Target="https://m.stock.naver.com/research/company/87253" TargetMode="External"/><Relationship Id="rId8046" Type="http://schemas.openxmlformats.org/officeDocument/2006/relationships/hyperlink" Target="https://m.stock.naver.com/research/company/85192" TargetMode="External"/><Relationship Id="rId11374" Type="http://schemas.openxmlformats.org/officeDocument/2006/relationships/hyperlink" Target="https://m.stock.naver.com/research/company/81841" TargetMode="External"/><Relationship Id="rId12425" Type="http://schemas.openxmlformats.org/officeDocument/2006/relationships/hyperlink" Target="https://m.stock.naver.com/research/company/80784" TargetMode="External"/><Relationship Id="rId72" Type="http://schemas.openxmlformats.org/officeDocument/2006/relationships/hyperlink" Target="https://m.stock.naver.com/research/company/93386" TargetMode="External"/><Relationship Id="rId803" Type="http://schemas.openxmlformats.org/officeDocument/2006/relationships/hyperlink" Target="https://m.stock.naver.com/research/company/92653" TargetMode="External"/><Relationship Id="rId1433" Type="http://schemas.openxmlformats.org/officeDocument/2006/relationships/hyperlink" Target="https://m.stock.naver.com/research/company/91822" TargetMode="External"/><Relationship Id="rId4589" Type="http://schemas.openxmlformats.org/officeDocument/2006/relationships/hyperlink" Target="https://m.stock.naver.com/research/company/88651" TargetMode="External"/><Relationship Id="rId8460" Type="http://schemas.openxmlformats.org/officeDocument/2006/relationships/hyperlink" Target="https://m.stock.naver.com/research/company/84777" TargetMode="External"/><Relationship Id="rId9511" Type="http://schemas.openxmlformats.org/officeDocument/2006/relationships/hyperlink" Target="https://m.stock.naver.com/research/company/83716" TargetMode="External"/><Relationship Id="rId10390" Type="http://schemas.openxmlformats.org/officeDocument/2006/relationships/hyperlink" Target="https://m.stock.naver.com/research/company/82831" TargetMode="External"/><Relationship Id="rId11027" Type="http://schemas.openxmlformats.org/officeDocument/2006/relationships/hyperlink" Target="https://m.stock.naver.com/research/company/82193" TargetMode="External"/><Relationship Id="rId11441" Type="http://schemas.openxmlformats.org/officeDocument/2006/relationships/hyperlink" Target="https://m.stock.naver.com/research/company/81774" TargetMode="External"/><Relationship Id="rId14597" Type="http://schemas.openxmlformats.org/officeDocument/2006/relationships/hyperlink" Target="https://m.stock.naver.com/research/company/94580" TargetMode="External"/><Relationship Id="rId15648" Type="http://schemas.openxmlformats.org/officeDocument/2006/relationships/hyperlink" Target="https://m.stock.naver.com/research/company/95766" TargetMode="External"/><Relationship Id="rId1500" Type="http://schemas.openxmlformats.org/officeDocument/2006/relationships/hyperlink" Target="https://m.stock.naver.com/research/company/91755" TargetMode="External"/><Relationship Id="rId4656" Type="http://schemas.openxmlformats.org/officeDocument/2006/relationships/hyperlink" Target="https://m.stock.naver.com/research/company/88584" TargetMode="External"/><Relationship Id="rId5707" Type="http://schemas.openxmlformats.org/officeDocument/2006/relationships/hyperlink" Target="https://m.stock.naver.com/research/company/87533" TargetMode="External"/><Relationship Id="rId7062" Type="http://schemas.openxmlformats.org/officeDocument/2006/relationships/hyperlink" Target="https://m.stock.naver.com/research/company/86177" TargetMode="External"/><Relationship Id="rId8113" Type="http://schemas.openxmlformats.org/officeDocument/2006/relationships/hyperlink" Target="https://m.stock.naver.com/research/company/85125" TargetMode="External"/><Relationship Id="rId10043" Type="http://schemas.openxmlformats.org/officeDocument/2006/relationships/hyperlink" Target="https://m.stock.naver.com/research/company/83178" TargetMode="External"/><Relationship Id="rId13199" Type="http://schemas.openxmlformats.org/officeDocument/2006/relationships/hyperlink" Target="https://m.stock.naver.com/research/company/80008" TargetMode="External"/><Relationship Id="rId14664" Type="http://schemas.openxmlformats.org/officeDocument/2006/relationships/hyperlink" Target="https://m.stock.naver.com/research/company/94514" TargetMode="External"/><Relationship Id="rId3258" Type="http://schemas.openxmlformats.org/officeDocument/2006/relationships/hyperlink" Target="https://m.stock.naver.com/research/company/89992" TargetMode="External"/><Relationship Id="rId3672" Type="http://schemas.openxmlformats.org/officeDocument/2006/relationships/hyperlink" Target="https://m.stock.naver.com/research/company/89579" TargetMode="External"/><Relationship Id="rId4309" Type="http://schemas.openxmlformats.org/officeDocument/2006/relationships/hyperlink" Target="https://m.stock.naver.com/research/company/88932" TargetMode="External"/><Relationship Id="rId4723" Type="http://schemas.openxmlformats.org/officeDocument/2006/relationships/hyperlink" Target="https://m.stock.naver.com/research/company/88517" TargetMode="External"/><Relationship Id="rId7879" Type="http://schemas.openxmlformats.org/officeDocument/2006/relationships/hyperlink" Target="https://m.stock.naver.com/research/company/85359" TargetMode="External"/><Relationship Id="rId10110" Type="http://schemas.openxmlformats.org/officeDocument/2006/relationships/hyperlink" Target="https://m.stock.naver.com/research/company/83111" TargetMode="External"/><Relationship Id="rId13266" Type="http://schemas.openxmlformats.org/officeDocument/2006/relationships/hyperlink" Target="https://m.stock.naver.com/research/company/79940" TargetMode="External"/><Relationship Id="rId14317" Type="http://schemas.openxmlformats.org/officeDocument/2006/relationships/hyperlink" Target="https://m.stock.naver.com/research/company/94147" TargetMode="External"/><Relationship Id="rId15715" Type="http://schemas.openxmlformats.org/officeDocument/2006/relationships/hyperlink" Target="https://m.stock.naver.com/research/company/95699" TargetMode="External"/><Relationship Id="rId179" Type="http://schemas.openxmlformats.org/officeDocument/2006/relationships/hyperlink" Target="https://m.stock.naver.com/research/company/93279" TargetMode="External"/><Relationship Id="rId593" Type="http://schemas.openxmlformats.org/officeDocument/2006/relationships/hyperlink" Target="https://m.stock.naver.com/research/company/92864" TargetMode="External"/><Relationship Id="rId2274" Type="http://schemas.openxmlformats.org/officeDocument/2006/relationships/hyperlink" Target="https://m.stock.naver.com/research/company/90981" TargetMode="External"/><Relationship Id="rId3325" Type="http://schemas.openxmlformats.org/officeDocument/2006/relationships/hyperlink" Target="https://m.stock.naver.com/research/company/89925" TargetMode="External"/><Relationship Id="rId12282" Type="http://schemas.openxmlformats.org/officeDocument/2006/relationships/hyperlink" Target="https://m.stock.naver.com/research/company/80927" TargetMode="External"/><Relationship Id="rId13680" Type="http://schemas.openxmlformats.org/officeDocument/2006/relationships/hyperlink" Target="https://m.stock.naver.com/research/company/93494" TargetMode="External"/><Relationship Id="rId14731" Type="http://schemas.openxmlformats.org/officeDocument/2006/relationships/hyperlink" Target="https://m.stock.naver.com/research/company/94669" TargetMode="External"/><Relationship Id="rId246" Type="http://schemas.openxmlformats.org/officeDocument/2006/relationships/hyperlink" Target="https://m.stock.naver.com/research/company/93212" TargetMode="External"/><Relationship Id="rId660" Type="http://schemas.openxmlformats.org/officeDocument/2006/relationships/hyperlink" Target="https://m.stock.naver.com/research/company/92796" TargetMode="External"/><Relationship Id="rId1290" Type="http://schemas.openxmlformats.org/officeDocument/2006/relationships/hyperlink" Target="https://m.stock.naver.com/research/company/91965" TargetMode="External"/><Relationship Id="rId2341" Type="http://schemas.openxmlformats.org/officeDocument/2006/relationships/hyperlink" Target="https://m.stock.naver.com/research/company/90914" TargetMode="External"/><Relationship Id="rId5497" Type="http://schemas.openxmlformats.org/officeDocument/2006/relationships/hyperlink" Target="https://m.stock.naver.com/research/company/87743" TargetMode="External"/><Relationship Id="rId6548" Type="http://schemas.openxmlformats.org/officeDocument/2006/relationships/hyperlink" Target="https://m.stock.naver.com/research/company/86692" TargetMode="External"/><Relationship Id="rId6895" Type="http://schemas.openxmlformats.org/officeDocument/2006/relationships/hyperlink" Target="https://m.stock.naver.com/research/company/86344" TargetMode="External"/><Relationship Id="rId7946" Type="http://schemas.openxmlformats.org/officeDocument/2006/relationships/hyperlink" Target="https://m.stock.naver.com/research/company/85292" TargetMode="External"/><Relationship Id="rId10927" Type="http://schemas.openxmlformats.org/officeDocument/2006/relationships/hyperlink" Target="https://m.stock.naver.com/research/company/82293" TargetMode="External"/><Relationship Id="rId13333" Type="http://schemas.openxmlformats.org/officeDocument/2006/relationships/hyperlink" Target="https://m.stock.naver.com/research/company/79872" TargetMode="External"/><Relationship Id="rId313" Type="http://schemas.openxmlformats.org/officeDocument/2006/relationships/hyperlink" Target="https://m.stock.naver.com/research/company/93145" TargetMode="External"/><Relationship Id="rId4099" Type="http://schemas.openxmlformats.org/officeDocument/2006/relationships/hyperlink" Target="https://m.stock.naver.com/research/company/89152" TargetMode="External"/><Relationship Id="rId6962" Type="http://schemas.openxmlformats.org/officeDocument/2006/relationships/hyperlink" Target="https://m.stock.naver.com/research/company/86277" TargetMode="External"/><Relationship Id="rId9021" Type="http://schemas.openxmlformats.org/officeDocument/2006/relationships/hyperlink" Target="https://m.stock.naver.com/research/company/84211" TargetMode="External"/><Relationship Id="rId13400" Type="http://schemas.openxmlformats.org/officeDocument/2006/relationships/hyperlink" Target="https://m.stock.naver.com/research/company/79805" TargetMode="External"/><Relationship Id="rId5564" Type="http://schemas.openxmlformats.org/officeDocument/2006/relationships/hyperlink" Target="https://m.stock.naver.com/research/company/87676" TargetMode="External"/><Relationship Id="rId6615" Type="http://schemas.openxmlformats.org/officeDocument/2006/relationships/hyperlink" Target="https://m.stock.naver.com/research/company/86625" TargetMode="External"/><Relationship Id="rId12002" Type="http://schemas.openxmlformats.org/officeDocument/2006/relationships/hyperlink" Target="https://m.stock.naver.com/research/company/81209" TargetMode="External"/><Relationship Id="rId15158" Type="http://schemas.openxmlformats.org/officeDocument/2006/relationships/hyperlink" Target="https://m.stock.naver.com/research/company/95202" TargetMode="External"/><Relationship Id="rId15572" Type="http://schemas.openxmlformats.org/officeDocument/2006/relationships/hyperlink" Target="https://m.stock.naver.com/research/company/95464" TargetMode="External"/><Relationship Id="rId1010" Type="http://schemas.openxmlformats.org/officeDocument/2006/relationships/hyperlink" Target="https://m.stock.naver.com/research/company/92446" TargetMode="External"/><Relationship Id="rId4166" Type="http://schemas.openxmlformats.org/officeDocument/2006/relationships/hyperlink" Target="https://m.stock.naver.com/research/company/89083" TargetMode="External"/><Relationship Id="rId4580" Type="http://schemas.openxmlformats.org/officeDocument/2006/relationships/hyperlink" Target="https://m.stock.naver.com/research/company/88660" TargetMode="External"/><Relationship Id="rId5217" Type="http://schemas.openxmlformats.org/officeDocument/2006/relationships/hyperlink" Target="https://m.stock.naver.com/research/company/88023" TargetMode="External"/><Relationship Id="rId5631" Type="http://schemas.openxmlformats.org/officeDocument/2006/relationships/hyperlink" Target="https://m.stock.naver.com/research/company/87609" TargetMode="External"/><Relationship Id="rId8787" Type="http://schemas.openxmlformats.org/officeDocument/2006/relationships/hyperlink" Target="https://m.stock.naver.com/research/company/84450" TargetMode="External"/><Relationship Id="rId9838" Type="http://schemas.openxmlformats.org/officeDocument/2006/relationships/hyperlink" Target="https://m.stock.naver.com/research/company/83384" TargetMode="External"/><Relationship Id="rId11768" Type="http://schemas.openxmlformats.org/officeDocument/2006/relationships/hyperlink" Target="https://m.stock.naver.com/research/company/81444" TargetMode="External"/><Relationship Id="rId14174" Type="http://schemas.openxmlformats.org/officeDocument/2006/relationships/hyperlink" Target="https://m.stock.naver.com/research/company/93954" TargetMode="External"/><Relationship Id="rId15225" Type="http://schemas.openxmlformats.org/officeDocument/2006/relationships/hyperlink" Target="https://m.stock.naver.com/research/company/95135" TargetMode="External"/><Relationship Id="rId1827" Type="http://schemas.openxmlformats.org/officeDocument/2006/relationships/hyperlink" Target="https://m.stock.naver.com/research/company/91428" TargetMode="External"/><Relationship Id="rId7389" Type="http://schemas.openxmlformats.org/officeDocument/2006/relationships/hyperlink" Target="https://m.stock.naver.com/research/company/85850" TargetMode="External"/><Relationship Id="rId12819" Type="http://schemas.openxmlformats.org/officeDocument/2006/relationships/hyperlink" Target="https://m.stock.naver.com/research/company/80389" TargetMode="External"/><Relationship Id="rId13190" Type="http://schemas.openxmlformats.org/officeDocument/2006/relationships/hyperlink" Target="https://m.stock.naver.com/research/company/80017" TargetMode="External"/><Relationship Id="rId14241" Type="http://schemas.openxmlformats.org/officeDocument/2006/relationships/hyperlink" Target="https://m.stock.naver.com/research/company/94102" TargetMode="External"/><Relationship Id="rId3999" Type="http://schemas.openxmlformats.org/officeDocument/2006/relationships/hyperlink" Target="https://m.stock.naver.com/research/company/89252" TargetMode="External"/><Relationship Id="rId4300" Type="http://schemas.openxmlformats.org/officeDocument/2006/relationships/hyperlink" Target="https://m.stock.naver.com/research/company/88941" TargetMode="External"/><Relationship Id="rId170" Type="http://schemas.openxmlformats.org/officeDocument/2006/relationships/hyperlink" Target="https://m.stock.naver.com/research/company/93288" TargetMode="External"/><Relationship Id="rId6472" Type="http://schemas.openxmlformats.org/officeDocument/2006/relationships/hyperlink" Target="https://m.stock.naver.com/research/company/86768" TargetMode="External"/><Relationship Id="rId7523" Type="http://schemas.openxmlformats.org/officeDocument/2006/relationships/hyperlink" Target="https://m.stock.naver.com/research/company/85716" TargetMode="External"/><Relationship Id="rId7870" Type="http://schemas.openxmlformats.org/officeDocument/2006/relationships/hyperlink" Target="https://m.stock.naver.com/research/company/85368" TargetMode="External"/><Relationship Id="rId8921" Type="http://schemas.openxmlformats.org/officeDocument/2006/relationships/hyperlink" Target="https://m.stock.naver.com/research/company/84314" TargetMode="External"/><Relationship Id="rId10851" Type="http://schemas.openxmlformats.org/officeDocument/2006/relationships/hyperlink" Target="https://m.stock.naver.com/research/company/82369" TargetMode="External"/><Relationship Id="rId11902" Type="http://schemas.openxmlformats.org/officeDocument/2006/relationships/hyperlink" Target="https://m.stock.naver.com/research/company/81309" TargetMode="External"/><Relationship Id="rId5074" Type="http://schemas.openxmlformats.org/officeDocument/2006/relationships/hyperlink" Target="https://m.stock.naver.com/research/company/88166" TargetMode="External"/><Relationship Id="rId6125" Type="http://schemas.openxmlformats.org/officeDocument/2006/relationships/hyperlink" Target="https://m.stock.naver.com/research/company/87115" TargetMode="External"/><Relationship Id="rId10504" Type="http://schemas.openxmlformats.org/officeDocument/2006/relationships/hyperlink" Target="https://m.stock.naver.com/research/company/82716" TargetMode="External"/><Relationship Id="rId8297" Type="http://schemas.openxmlformats.org/officeDocument/2006/relationships/hyperlink" Target="https://m.stock.naver.com/research/company/84941" TargetMode="External"/><Relationship Id="rId9695" Type="http://schemas.openxmlformats.org/officeDocument/2006/relationships/hyperlink" Target="https://m.stock.naver.com/research/company/83528" TargetMode="External"/><Relationship Id="rId12676" Type="http://schemas.openxmlformats.org/officeDocument/2006/relationships/hyperlink" Target="https://m.stock.naver.com/research/company/80532" TargetMode="External"/><Relationship Id="rId13727" Type="http://schemas.openxmlformats.org/officeDocument/2006/relationships/hyperlink" Target="https://m.stock.naver.com/research/company/93512" TargetMode="External"/><Relationship Id="rId1684" Type="http://schemas.openxmlformats.org/officeDocument/2006/relationships/hyperlink" Target="https://m.stock.naver.com/research/company/91571" TargetMode="External"/><Relationship Id="rId2735" Type="http://schemas.openxmlformats.org/officeDocument/2006/relationships/hyperlink" Target="https://m.stock.naver.com/research/company/90519" TargetMode="External"/><Relationship Id="rId9348" Type="http://schemas.openxmlformats.org/officeDocument/2006/relationships/hyperlink" Target="https://m.stock.naver.com/research/company/83879" TargetMode="External"/><Relationship Id="rId11278" Type="http://schemas.openxmlformats.org/officeDocument/2006/relationships/hyperlink" Target="https://m.stock.naver.com/research/company/81941" TargetMode="External"/><Relationship Id="rId12329" Type="http://schemas.openxmlformats.org/officeDocument/2006/relationships/hyperlink" Target="https://m.stock.naver.com/research/company/80880" TargetMode="External"/><Relationship Id="rId707" Type="http://schemas.openxmlformats.org/officeDocument/2006/relationships/hyperlink" Target="https://m.stock.naver.com/research/company/92749" TargetMode="External"/><Relationship Id="rId1337" Type="http://schemas.openxmlformats.org/officeDocument/2006/relationships/hyperlink" Target="https://m.stock.naver.com/research/company/91918" TargetMode="External"/><Relationship Id="rId5958" Type="http://schemas.openxmlformats.org/officeDocument/2006/relationships/hyperlink" Target="https://m.stock.naver.com/research/company/87282" TargetMode="External"/><Relationship Id="rId43" Type="http://schemas.openxmlformats.org/officeDocument/2006/relationships/hyperlink" Target="https://m.stock.naver.com/research/company/93415" TargetMode="External"/><Relationship Id="rId7380" Type="http://schemas.openxmlformats.org/officeDocument/2006/relationships/hyperlink" Target="https://m.stock.naver.com/research/company/85859" TargetMode="External"/><Relationship Id="rId8431" Type="http://schemas.openxmlformats.org/officeDocument/2006/relationships/hyperlink" Target="https://m.stock.naver.com/research/company/84807" TargetMode="External"/><Relationship Id="rId10361" Type="http://schemas.openxmlformats.org/officeDocument/2006/relationships/hyperlink" Target="https://m.stock.naver.com/research/company/82860" TargetMode="External"/><Relationship Id="rId12810" Type="http://schemas.openxmlformats.org/officeDocument/2006/relationships/hyperlink" Target="https://m.stock.naver.com/research/company/80398" TargetMode="External"/><Relationship Id="rId7033" Type="http://schemas.openxmlformats.org/officeDocument/2006/relationships/hyperlink" Target="https://m.stock.naver.com/research/company/86206" TargetMode="External"/><Relationship Id="rId10014" Type="http://schemas.openxmlformats.org/officeDocument/2006/relationships/hyperlink" Target="https://m.stock.naver.com/research/company/83207" TargetMode="External"/><Relationship Id="rId11412" Type="http://schemas.openxmlformats.org/officeDocument/2006/relationships/hyperlink" Target="https://m.stock.naver.com/research/company/81803" TargetMode="External"/><Relationship Id="rId14982" Type="http://schemas.openxmlformats.org/officeDocument/2006/relationships/hyperlink" Target="https://m.stock.naver.com/research/company/94852" TargetMode="External"/><Relationship Id="rId3990" Type="http://schemas.openxmlformats.org/officeDocument/2006/relationships/hyperlink" Target="https://m.stock.naver.com/research/company/89261" TargetMode="External"/><Relationship Id="rId13584" Type="http://schemas.openxmlformats.org/officeDocument/2006/relationships/hyperlink" Target="https://m.stock.naver.com/research/company/79620" TargetMode="External"/><Relationship Id="rId14635" Type="http://schemas.openxmlformats.org/officeDocument/2006/relationships/hyperlink" Target="https://m.stock.naver.com/research/company/94542" TargetMode="External"/><Relationship Id="rId1194" Type="http://schemas.openxmlformats.org/officeDocument/2006/relationships/hyperlink" Target="https://m.stock.naver.com/research/company/92061" TargetMode="External"/><Relationship Id="rId2592" Type="http://schemas.openxmlformats.org/officeDocument/2006/relationships/hyperlink" Target="https://m.stock.naver.com/research/company/90662" TargetMode="External"/><Relationship Id="rId3643" Type="http://schemas.openxmlformats.org/officeDocument/2006/relationships/hyperlink" Target="https://m.stock.naver.com/research/company/89608" TargetMode="External"/><Relationship Id="rId12186" Type="http://schemas.openxmlformats.org/officeDocument/2006/relationships/hyperlink" Target="https://m.stock.naver.com/research/company/81025" TargetMode="External"/><Relationship Id="rId13237" Type="http://schemas.openxmlformats.org/officeDocument/2006/relationships/hyperlink" Target="https://m.stock.naver.com/research/company/79970" TargetMode="External"/><Relationship Id="rId217" Type="http://schemas.openxmlformats.org/officeDocument/2006/relationships/hyperlink" Target="https://m.stock.naver.com/research/company/93241" TargetMode="External"/><Relationship Id="rId564" Type="http://schemas.openxmlformats.org/officeDocument/2006/relationships/hyperlink" Target="https://m.stock.naver.com/research/company/92893" TargetMode="External"/><Relationship Id="rId2245" Type="http://schemas.openxmlformats.org/officeDocument/2006/relationships/hyperlink" Target="https://m.stock.naver.com/research/company/91010" TargetMode="External"/><Relationship Id="rId6866" Type="http://schemas.openxmlformats.org/officeDocument/2006/relationships/hyperlink" Target="https://m.stock.naver.com/research/company/86374" TargetMode="External"/><Relationship Id="rId7917" Type="http://schemas.openxmlformats.org/officeDocument/2006/relationships/hyperlink" Target="https://m.stock.naver.com/research/company/85321" TargetMode="External"/><Relationship Id="rId5468" Type="http://schemas.openxmlformats.org/officeDocument/2006/relationships/hyperlink" Target="https://m.stock.naver.com/research/company/87772" TargetMode="External"/><Relationship Id="rId6519" Type="http://schemas.openxmlformats.org/officeDocument/2006/relationships/hyperlink" Target="https://m.stock.naver.com/research/company/86721" TargetMode="External"/><Relationship Id="rId12320" Type="http://schemas.openxmlformats.org/officeDocument/2006/relationships/hyperlink" Target="https://m.stock.naver.com/research/company/80889" TargetMode="External"/><Relationship Id="rId14492" Type="http://schemas.openxmlformats.org/officeDocument/2006/relationships/hyperlink" Target="https://m.stock.naver.com/research/company/94418" TargetMode="External"/><Relationship Id="rId4551" Type="http://schemas.openxmlformats.org/officeDocument/2006/relationships/hyperlink" Target="https://m.stock.naver.com/research/company/88689" TargetMode="External"/><Relationship Id="rId13094" Type="http://schemas.openxmlformats.org/officeDocument/2006/relationships/hyperlink" Target="https://m.stock.naver.com/research/company/80113" TargetMode="External"/><Relationship Id="rId14145" Type="http://schemas.openxmlformats.org/officeDocument/2006/relationships/hyperlink" Target="https://m.stock.naver.com/research/company/93983" TargetMode="External"/><Relationship Id="rId15543" Type="http://schemas.openxmlformats.org/officeDocument/2006/relationships/hyperlink" Target="https://m.stock.naver.com/research/company/95493" TargetMode="External"/><Relationship Id="rId3153" Type="http://schemas.openxmlformats.org/officeDocument/2006/relationships/hyperlink" Target="https://m.stock.naver.com/research/company/90098" TargetMode="External"/><Relationship Id="rId4204" Type="http://schemas.openxmlformats.org/officeDocument/2006/relationships/hyperlink" Target="https://m.stock.naver.com/research/company/89038" TargetMode="External"/><Relationship Id="rId5602" Type="http://schemas.openxmlformats.org/officeDocument/2006/relationships/hyperlink" Target="https://m.stock.naver.com/research/company/87638" TargetMode="External"/><Relationship Id="rId7774" Type="http://schemas.openxmlformats.org/officeDocument/2006/relationships/hyperlink" Target="https://m.stock.naver.com/research/company/85465" TargetMode="External"/><Relationship Id="rId8825" Type="http://schemas.openxmlformats.org/officeDocument/2006/relationships/hyperlink" Target="https://m.stock.naver.com/research/company/84412" TargetMode="External"/><Relationship Id="rId10755" Type="http://schemas.openxmlformats.org/officeDocument/2006/relationships/hyperlink" Target="https://m.stock.naver.com/research/company/82465" TargetMode="External"/><Relationship Id="rId11806" Type="http://schemas.openxmlformats.org/officeDocument/2006/relationships/hyperlink" Target="https://m.stock.naver.com/research/company/81406" TargetMode="External"/><Relationship Id="rId6029" Type="http://schemas.openxmlformats.org/officeDocument/2006/relationships/hyperlink" Target="https://m.stock.naver.com/research/company/87211" TargetMode="External"/><Relationship Id="rId6376" Type="http://schemas.openxmlformats.org/officeDocument/2006/relationships/hyperlink" Target="https://m.stock.naver.com/research/company/86864" TargetMode="External"/><Relationship Id="rId7427" Type="http://schemas.openxmlformats.org/officeDocument/2006/relationships/hyperlink" Target="https://m.stock.naver.com/research/company/85812" TargetMode="External"/><Relationship Id="rId10408" Type="http://schemas.openxmlformats.org/officeDocument/2006/relationships/hyperlink" Target="https://m.stock.naver.com/research/company/82813" TargetMode="External"/><Relationship Id="rId13978" Type="http://schemas.openxmlformats.org/officeDocument/2006/relationships/hyperlink" Target="https://m.stock.naver.com/research/company/93754" TargetMode="External"/><Relationship Id="rId2986" Type="http://schemas.openxmlformats.org/officeDocument/2006/relationships/hyperlink" Target="https://m.stock.naver.com/research/company/90267" TargetMode="External"/><Relationship Id="rId9599" Type="http://schemas.openxmlformats.org/officeDocument/2006/relationships/hyperlink" Target="https://m.stock.naver.com/research/company/83628" TargetMode="External"/><Relationship Id="rId958" Type="http://schemas.openxmlformats.org/officeDocument/2006/relationships/hyperlink" Target="https://m.stock.naver.com/research/company/92498" TargetMode="External"/><Relationship Id="rId1588" Type="http://schemas.openxmlformats.org/officeDocument/2006/relationships/hyperlink" Target="https://m.stock.naver.com/research/company/91667" TargetMode="External"/><Relationship Id="rId2639" Type="http://schemas.openxmlformats.org/officeDocument/2006/relationships/hyperlink" Target="https://m.stock.naver.com/research/company/90615" TargetMode="External"/><Relationship Id="rId6510" Type="http://schemas.openxmlformats.org/officeDocument/2006/relationships/hyperlink" Target="https://m.stock.naver.com/research/company/86730" TargetMode="External"/><Relationship Id="rId15053" Type="http://schemas.openxmlformats.org/officeDocument/2006/relationships/hyperlink" Target="https://m.stock.naver.com/research/company/95041" TargetMode="External"/><Relationship Id="rId4061" Type="http://schemas.openxmlformats.org/officeDocument/2006/relationships/hyperlink" Target="https://m.stock.naver.com/research/company/89190" TargetMode="External"/><Relationship Id="rId5112" Type="http://schemas.openxmlformats.org/officeDocument/2006/relationships/hyperlink" Target="https://m.stock.naver.com/research/company/88128" TargetMode="External"/><Relationship Id="rId8682" Type="http://schemas.openxmlformats.org/officeDocument/2006/relationships/hyperlink" Target="https://m.stock.naver.com/research/company/84555" TargetMode="External"/><Relationship Id="rId9733" Type="http://schemas.openxmlformats.org/officeDocument/2006/relationships/hyperlink" Target="https://m.stock.naver.com/research/company/83490" TargetMode="External"/><Relationship Id="rId7284" Type="http://schemas.openxmlformats.org/officeDocument/2006/relationships/hyperlink" Target="https://m.stock.naver.com/research/company/85955" TargetMode="External"/><Relationship Id="rId8335" Type="http://schemas.openxmlformats.org/officeDocument/2006/relationships/hyperlink" Target="https://m.stock.naver.com/research/company/84903" TargetMode="External"/><Relationship Id="rId11663" Type="http://schemas.openxmlformats.org/officeDocument/2006/relationships/hyperlink" Target="https://m.stock.naver.com/research/company/81549" TargetMode="External"/><Relationship Id="rId12714" Type="http://schemas.openxmlformats.org/officeDocument/2006/relationships/hyperlink" Target="https://m.stock.naver.com/research/company/80494" TargetMode="External"/><Relationship Id="rId1722" Type="http://schemas.openxmlformats.org/officeDocument/2006/relationships/hyperlink" Target="https://m.stock.naver.com/research/company/91533" TargetMode="External"/><Relationship Id="rId10265" Type="http://schemas.openxmlformats.org/officeDocument/2006/relationships/hyperlink" Target="https://m.stock.naver.com/research/company/82956" TargetMode="External"/><Relationship Id="rId11316" Type="http://schemas.openxmlformats.org/officeDocument/2006/relationships/hyperlink" Target="https://m.stock.naver.com/research/company/81903" TargetMode="External"/><Relationship Id="rId14886" Type="http://schemas.openxmlformats.org/officeDocument/2006/relationships/hyperlink" Target="https://m.stock.naver.com/research/company/94738" TargetMode="External"/><Relationship Id="rId3894" Type="http://schemas.openxmlformats.org/officeDocument/2006/relationships/hyperlink" Target="https://m.stock.naver.com/research/company/89357" TargetMode="External"/><Relationship Id="rId4945" Type="http://schemas.openxmlformats.org/officeDocument/2006/relationships/hyperlink" Target="https://m.stock.naver.com/research/company/88295" TargetMode="External"/><Relationship Id="rId13488" Type="http://schemas.openxmlformats.org/officeDocument/2006/relationships/hyperlink" Target="https://m.stock.naver.com/research/company/79716" TargetMode="External"/><Relationship Id="rId14539" Type="http://schemas.openxmlformats.org/officeDocument/2006/relationships/hyperlink" Target="https://m.stock.naver.com/research/company/94371" TargetMode="External"/><Relationship Id="rId2496" Type="http://schemas.openxmlformats.org/officeDocument/2006/relationships/hyperlink" Target="https://m.stock.naver.com/research/company/90758" TargetMode="External"/><Relationship Id="rId3547" Type="http://schemas.openxmlformats.org/officeDocument/2006/relationships/hyperlink" Target="https://m.stock.naver.com/research/company/89704" TargetMode="External"/><Relationship Id="rId468" Type="http://schemas.openxmlformats.org/officeDocument/2006/relationships/hyperlink" Target="https://m.stock.naver.com/research/company/92989" TargetMode="External"/><Relationship Id="rId1098" Type="http://schemas.openxmlformats.org/officeDocument/2006/relationships/hyperlink" Target="https://m.stock.naver.com/research/company/92158" TargetMode="External"/><Relationship Id="rId2149" Type="http://schemas.openxmlformats.org/officeDocument/2006/relationships/hyperlink" Target="https://m.stock.naver.com/research/company/91106" TargetMode="External"/><Relationship Id="rId6020" Type="http://schemas.openxmlformats.org/officeDocument/2006/relationships/hyperlink" Target="https://m.stock.naver.com/research/company/87220" TargetMode="External"/><Relationship Id="rId9590" Type="http://schemas.openxmlformats.org/officeDocument/2006/relationships/hyperlink" Target="https://m.stock.naver.com/research/company/83637" TargetMode="External"/><Relationship Id="rId12571" Type="http://schemas.openxmlformats.org/officeDocument/2006/relationships/hyperlink" Target="https://m.stock.naver.com/research/company/80637" TargetMode="External"/><Relationship Id="rId2630" Type="http://schemas.openxmlformats.org/officeDocument/2006/relationships/hyperlink" Target="https://m.stock.naver.com/research/company/90624" TargetMode="External"/><Relationship Id="rId8192" Type="http://schemas.openxmlformats.org/officeDocument/2006/relationships/hyperlink" Target="https://m.stock.naver.com/research/company/85046" TargetMode="External"/><Relationship Id="rId9243" Type="http://schemas.openxmlformats.org/officeDocument/2006/relationships/hyperlink" Target="https://m.stock.naver.com/research/company/83985" TargetMode="External"/><Relationship Id="rId11173" Type="http://schemas.openxmlformats.org/officeDocument/2006/relationships/hyperlink" Target="https://m.stock.naver.com/research/company/82047" TargetMode="External"/><Relationship Id="rId12224" Type="http://schemas.openxmlformats.org/officeDocument/2006/relationships/hyperlink" Target="https://m.stock.naver.com/research/company/80986" TargetMode="External"/><Relationship Id="rId13622" Type="http://schemas.openxmlformats.org/officeDocument/2006/relationships/hyperlink" Target="https://m.stock.naver.com/research/company/79582" TargetMode="External"/><Relationship Id="rId602" Type="http://schemas.openxmlformats.org/officeDocument/2006/relationships/hyperlink" Target="https://m.stock.naver.com/research/company/92855" TargetMode="External"/><Relationship Id="rId1232" Type="http://schemas.openxmlformats.org/officeDocument/2006/relationships/hyperlink" Target="https://m.stock.naver.com/research/company/92023" TargetMode="External"/><Relationship Id="rId5853" Type="http://schemas.openxmlformats.org/officeDocument/2006/relationships/hyperlink" Target="https://m.stock.naver.com/research/company/87387" TargetMode="External"/><Relationship Id="rId6904" Type="http://schemas.openxmlformats.org/officeDocument/2006/relationships/hyperlink" Target="https://m.stock.naver.com/research/company/86335" TargetMode="External"/><Relationship Id="rId14396" Type="http://schemas.openxmlformats.org/officeDocument/2006/relationships/hyperlink" Target="https://m.stock.naver.com/research/company/94287" TargetMode="External"/><Relationship Id="rId15447" Type="http://schemas.openxmlformats.org/officeDocument/2006/relationships/hyperlink" Target="https://m.stock.naver.com/research/company/95340" TargetMode="External"/><Relationship Id="rId3057" Type="http://schemas.openxmlformats.org/officeDocument/2006/relationships/hyperlink" Target="https://m.stock.naver.com/research/company/90194" TargetMode="External"/><Relationship Id="rId4108" Type="http://schemas.openxmlformats.org/officeDocument/2006/relationships/hyperlink" Target="https://m.stock.naver.com/research/company/89143" TargetMode="External"/><Relationship Id="rId4455" Type="http://schemas.openxmlformats.org/officeDocument/2006/relationships/hyperlink" Target="https://m.stock.naver.com/research/company/88785" TargetMode="External"/><Relationship Id="rId5506" Type="http://schemas.openxmlformats.org/officeDocument/2006/relationships/hyperlink" Target="https://m.stock.naver.com/research/company/87734" TargetMode="External"/><Relationship Id="rId14049" Type="http://schemas.openxmlformats.org/officeDocument/2006/relationships/hyperlink" Target="https://m.stock.naver.com/research/company/93874" TargetMode="External"/><Relationship Id="rId7678" Type="http://schemas.openxmlformats.org/officeDocument/2006/relationships/hyperlink" Target="https://m.stock.naver.com/research/company/85561" TargetMode="External"/><Relationship Id="rId8729" Type="http://schemas.openxmlformats.org/officeDocument/2006/relationships/hyperlink" Target="https://m.stock.naver.com/research/company/84508" TargetMode="External"/><Relationship Id="rId10659" Type="http://schemas.openxmlformats.org/officeDocument/2006/relationships/hyperlink" Target="https://m.stock.naver.com/research/company/82561" TargetMode="External"/><Relationship Id="rId14530" Type="http://schemas.openxmlformats.org/officeDocument/2006/relationships/hyperlink" Target="https://m.stock.naver.com/research/company/94380" TargetMode="External"/><Relationship Id="rId12081" Type="http://schemas.openxmlformats.org/officeDocument/2006/relationships/hyperlink" Target="https://m.stock.naver.com/research/company/81130" TargetMode="External"/><Relationship Id="rId13132" Type="http://schemas.openxmlformats.org/officeDocument/2006/relationships/hyperlink" Target="https://m.stock.naver.com/research/company/80075" TargetMode="External"/><Relationship Id="rId2140" Type="http://schemas.openxmlformats.org/officeDocument/2006/relationships/hyperlink" Target="https://m.stock.naver.com/research/company/91115" TargetMode="External"/><Relationship Id="rId6761" Type="http://schemas.openxmlformats.org/officeDocument/2006/relationships/hyperlink" Target="https://m.stock.naver.com/research/company/86479" TargetMode="External"/><Relationship Id="rId7812" Type="http://schemas.openxmlformats.org/officeDocument/2006/relationships/hyperlink" Target="https://m.stock.naver.com/research/company/85426" TargetMode="External"/><Relationship Id="rId112" Type="http://schemas.openxmlformats.org/officeDocument/2006/relationships/hyperlink" Target="https://m.stock.naver.com/research/company/93346" TargetMode="External"/><Relationship Id="rId5363" Type="http://schemas.openxmlformats.org/officeDocument/2006/relationships/hyperlink" Target="https://m.stock.naver.com/research/company/87877" TargetMode="External"/><Relationship Id="rId6414" Type="http://schemas.openxmlformats.org/officeDocument/2006/relationships/hyperlink" Target="https://m.stock.naver.com/research/company/86826" TargetMode="External"/><Relationship Id="rId5016" Type="http://schemas.openxmlformats.org/officeDocument/2006/relationships/hyperlink" Target="https://m.stock.naver.com/research/company/88224" TargetMode="External"/><Relationship Id="rId9984" Type="http://schemas.openxmlformats.org/officeDocument/2006/relationships/hyperlink" Target="https://m.stock.naver.com/research/company/83237" TargetMode="External"/><Relationship Id="rId12965" Type="http://schemas.openxmlformats.org/officeDocument/2006/relationships/hyperlink" Target="https://m.stock.naver.com/research/company/80243" TargetMode="External"/><Relationship Id="rId1973" Type="http://schemas.openxmlformats.org/officeDocument/2006/relationships/hyperlink" Target="https://m.stock.naver.com/research/company/91282" TargetMode="External"/><Relationship Id="rId7188" Type="http://schemas.openxmlformats.org/officeDocument/2006/relationships/hyperlink" Target="https://m.stock.naver.com/research/company/86051" TargetMode="External"/><Relationship Id="rId8239" Type="http://schemas.openxmlformats.org/officeDocument/2006/relationships/hyperlink" Target="https://m.stock.naver.com/research/company/84999" TargetMode="External"/><Relationship Id="rId8586" Type="http://schemas.openxmlformats.org/officeDocument/2006/relationships/hyperlink" Target="https://m.stock.naver.com/research/company/84651" TargetMode="External"/><Relationship Id="rId9637" Type="http://schemas.openxmlformats.org/officeDocument/2006/relationships/hyperlink" Target="https://m.stock.naver.com/research/company/83588" TargetMode="External"/><Relationship Id="rId11567" Type="http://schemas.openxmlformats.org/officeDocument/2006/relationships/hyperlink" Target="https://m.stock.naver.com/research/company/81646" TargetMode="External"/><Relationship Id="rId12618" Type="http://schemas.openxmlformats.org/officeDocument/2006/relationships/hyperlink" Target="https://m.stock.naver.com/research/company/80590" TargetMode="External"/><Relationship Id="rId1626" Type="http://schemas.openxmlformats.org/officeDocument/2006/relationships/hyperlink" Target="https://m.stock.naver.com/research/company/91629" TargetMode="External"/><Relationship Id="rId10169" Type="http://schemas.openxmlformats.org/officeDocument/2006/relationships/hyperlink" Target="https://m.stock.naver.com/research/company/83052" TargetMode="External"/><Relationship Id="rId14040" Type="http://schemas.openxmlformats.org/officeDocument/2006/relationships/hyperlink" Target="https://m.stock.naver.com/research/company/93807" TargetMode="External"/><Relationship Id="rId3798" Type="http://schemas.openxmlformats.org/officeDocument/2006/relationships/hyperlink" Target="https://m.stock.naver.com/research/company/89453" TargetMode="External"/><Relationship Id="rId4849" Type="http://schemas.openxmlformats.org/officeDocument/2006/relationships/hyperlink" Target="https://m.stock.naver.com/research/company/88391" TargetMode="External"/><Relationship Id="rId8720" Type="http://schemas.openxmlformats.org/officeDocument/2006/relationships/hyperlink" Target="https://m.stock.naver.com/research/company/84517" TargetMode="External"/><Relationship Id="rId10650" Type="http://schemas.openxmlformats.org/officeDocument/2006/relationships/hyperlink" Target="https://m.stock.naver.com/research/company/82570" TargetMode="External"/><Relationship Id="rId6271" Type="http://schemas.openxmlformats.org/officeDocument/2006/relationships/hyperlink" Target="https://m.stock.naver.com/research/company/86969" TargetMode="External"/><Relationship Id="rId7322" Type="http://schemas.openxmlformats.org/officeDocument/2006/relationships/hyperlink" Target="https://m.stock.naver.com/research/company/85917" TargetMode="External"/><Relationship Id="rId10303" Type="http://schemas.openxmlformats.org/officeDocument/2006/relationships/hyperlink" Target="https://m.stock.naver.com/research/company/82918" TargetMode="External"/><Relationship Id="rId11701" Type="http://schemas.openxmlformats.org/officeDocument/2006/relationships/hyperlink" Target="https://m.stock.naver.com/research/company/81511" TargetMode="External"/><Relationship Id="rId9494" Type="http://schemas.openxmlformats.org/officeDocument/2006/relationships/hyperlink" Target="https://m.stock.naver.com/research/company/83733" TargetMode="External"/><Relationship Id="rId13873" Type="http://schemas.openxmlformats.org/officeDocument/2006/relationships/hyperlink" Target="https://m.stock.naver.com/research/company/93654" TargetMode="External"/><Relationship Id="rId14924" Type="http://schemas.openxmlformats.org/officeDocument/2006/relationships/hyperlink" Target="https://m.stock.naver.com/research/company/94910" TargetMode="External"/><Relationship Id="rId1483" Type="http://schemas.openxmlformats.org/officeDocument/2006/relationships/hyperlink" Target="https://m.stock.naver.com/research/company/91772" TargetMode="External"/><Relationship Id="rId2881" Type="http://schemas.openxmlformats.org/officeDocument/2006/relationships/hyperlink" Target="https://m.stock.naver.com/research/company/90372" TargetMode="External"/><Relationship Id="rId3932" Type="http://schemas.openxmlformats.org/officeDocument/2006/relationships/hyperlink" Target="https://m.stock.naver.com/research/company/89319" TargetMode="External"/><Relationship Id="rId8096" Type="http://schemas.openxmlformats.org/officeDocument/2006/relationships/hyperlink" Target="https://m.stock.naver.com/research/company/85142" TargetMode="External"/><Relationship Id="rId9147" Type="http://schemas.openxmlformats.org/officeDocument/2006/relationships/hyperlink" Target="https://m.stock.naver.com/research/company/84083" TargetMode="External"/><Relationship Id="rId11077" Type="http://schemas.openxmlformats.org/officeDocument/2006/relationships/hyperlink" Target="https://m.stock.naver.com/research/company/82143" TargetMode="External"/><Relationship Id="rId12475" Type="http://schemas.openxmlformats.org/officeDocument/2006/relationships/hyperlink" Target="https://m.stock.naver.com/research/company/80733" TargetMode="External"/><Relationship Id="rId13526" Type="http://schemas.openxmlformats.org/officeDocument/2006/relationships/hyperlink" Target="https://m.stock.naver.com/research/company/79678" TargetMode="External"/><Relationship Id="rId506" Type="http://schemas.openxmlformats.org/officeDocument/2006/relationships/hyperlink" Target="https://m.stock.naver.com/research/company/92951" TargetMode="External"/><Relationship Id="rId853" Type="http://schemas.openxmlformats.org/officeDocument/2006/relationships/hyperlink" Target="https://m.stock.naver.com/research/company/92603" TargetMode="External"/><Relationship Id="rId1136" Type="http://schemas.openxmlformats.org/officeDocument/2006/relationships/hyperlink" Target="https://m.stock.naver.com/research/company/92119" TargetMode="External"/><Relationship Id="rId2534" Type="http://schemas.openxmlformats.org/officeDocument/2006/relationships/hyperlink" Target="https://m.stock.naver.com/research/company/90720" TargetMode="External"/><Relationship Id="rId12128" Type="http://schemas.openxmlformats.org/officeDocument/2006/relationships/hyperlink" Target="https://m.stock.naver.com/research/company/81083" TargetMode="External"/><Relationship Id="rId15698" Type="http://schemas.openxmlformats.org/officeDocument/2006/relationships/hyperlink" Target="https://m.stock.naver.com/research/company/95716" TargetMode="External"/><Relationship Id="rId5757" Type="http://schemas.openxmlformats.org/officeDocument/2006/relationships/hyperlink" Target="https://m.stock.naver.com/research/company/87483" TargetMode="External"/><Relationship Id="rId6808" Type="http://schemas.openxmlformats.org/officeDocument/2006/relationships/hyperlink" Target="https://m.stock.naver.com/research/company/86432" TargetMode="External"/><Relationship Id="rId4359" Type="http://schemas.openxmlformats.org/officeDocument/2006/relationships/hyperlink" Target="https://m.stock.naver.com/research/company/88882" TargetMode="External"/><Relationship Id="rId8230" Type="http://schemas.openxmlformats.org/officeDocument/2006/relationships/hyperlink" Target="https://m.stock.naver.com/research/company/85008" TargetMode="External"/><Relationship Id="rId10160" Type="http://schemas.openxmlformats.org/officeDocument/2006/relationships/hyperlink" Target="https://m.stock.naver.com/research/company/83061" TargetMode="External"/><Relationship Id="rId11211" Type="http://schemas.openxmlformats.org/officeDocument/2006/relationships/hyperlink" Target="https://m.stock.naver.com/research/company/82009" TargetMode="External"/><Relationship Id="rId14781" Type="http://schemas.openxmlformats.org/officeDocument/2006/relationships/hyperlink" Target="https://m.stock.naver.com/research/company/94619" TargetMode="External"/><Relationship Id="rId4840" Type="http://schemas.openxmlformats.org/officeDocument/2006/relationships/hyperlink" Target="https://m.stock.naver.com/research/company/88400" TargetMode="External"/><Relationship Id="rId13383" Type="http://schemas.openxmlformats.org/officeDocument/2006/relationships/hyperlink" Target="https://m.stock.naver.com/research/company/79822" TargetMode="External"/><Relationship Id="rId14434" Type="http://schemas.openxmlformats.org/officeDocument/2006/relationships/hyperlink" Target="https://m.stock.naver.com/research/company/94476" TargetMode="External"/><Relationship Id="rId2391" Type="http://schemas.openxmlformats.org/officeDocument/2006/relationships/hyperlink" Target="https://m.stock.naver.com/research/company/90863" TargetMode="External"/><Relationship Id="rId3442" Type="http://schemas.openxmlformats.org/officeDocument/2006/relationships/hyperlink" Target="https://m.stock.naver.com/research/company/89809" TargetMode="External"/><Relationship Id="rId13036" Type="http://schemas.openxmlformats.org/officeDocument/2006/relationships/hyperlink" Target="https://m.stock.naver.com/research/company/80171" TargetMode="External"/><Relationship Id="rId363" Type="http://schemas.openxmlformats.org/officeDocument/2006/relationships/hyperlink" Target="https://m.stock.naver.com/research/company/93095" TargetMode="External"/><Relationship Id="rId2044" Type="http://schemas.openxmlformats.org/officeDocument/2006/relationships/hyperlink" Target="https://m.stock.naver.com/research/company/91211" TargetMode="External"/><Relationship Id="rId5267" Type="http://schemas.openxmlformats.org/officeDocument/2006/relationships/hyperlink" Target="https://m.stock.naver.com/research/company/87973" TargetMode="External"/><Relationship Id="rId6318" Type="http://schemas.openxmlformats.org/officeDocument/2006/relationships/hyperlink" Target="https://m.stock.naver.com/research/company/86922" TargetMode="External"/><Relationship Id="rId6665" Type="http://schemas.openxmlformats.org/officeDocument/2006/relationships/hyperlink" Target="https://m.stock.naver.com/research/company/86575" TargetMode="External"/><Relationship Id="rId7716" Type="http://schemas.openxmlformats.org/officeDocument/2006/relationships/hyperlink" Target="https://m.stock.naver.com/research/company/85523" TargetMode="External"/><Relationship Id="rId9888" Type="http://schemas.openxmlformats.org/officeDocument/2006/relationships/hyperlink" Target="https://m.stock.naver.com/research/company/83334" TargetMode="External"/><Relationship Id="rId12869" Type="http://schemas.openxmlformats.org/officeDocument/2006/relationships/hyperlink" Target="https://m.stock.naver.com/research/company/80339" TargetMode="External"/><Relationship Id="rId1877" Type="http://schemas.openxmlformats.org/officeDocument/2006/relationships/hyperlink" Target="https://m.stock.naver.com/research/company/91378" TargetMode="External"/><Relationship Id="rId2928" Type="http://schemas.openxmlformats.org/officeDocument/2006/relationships/hyperlink" Target="https://m.stock.naver.com/research/company/90325" TargetMode="External"/><Relationship Id="rId14291" Type="http://schemas.openxmlformats.org/officeDocument/2006/relationships/hyperlink" Target="https://m.stock.naver.com/research/company/94173" TargetMode="External"/><Relationship Id="rId15342" Type="http://schemas.openxmlformats.org/officeDocument/2006/relationships/hyperlink" Target="https://m.stock.naver.com/research/company/95246" TargetMode="External"/><Relationship Id="rId4350" Type="http://schemas.openxmlformats.org/officeDocument/2006/relationships/hyperlink" Target="https://m.stock.naver.com/research/company/88891" TargetMode="External"/><Relationship Id="rId5401" Type="http://schemas.openxmlformats.org/officeDocument/2006/relationships/hyperlink" Target="https://m.stock.naver.com/research/company/87839" TargetMode="External"/><Relationship Id="rId8971" Type="http://schemas.openxmlformats.org/officeDocument/2006/relationships/hyperlink" Target="https://m.stock.naver.com/research/company/84261" TargetMode="External"/><Relationship Id="rId4003" Type="http://schemas.openxmlformats.org/officeDocument/2006/relationships/hyperlink" Target="https://m.stock.naver.com/research/company/89248" TargetMode="External"/><Relationship Id="rId7573" Type="http://schemas.openxmlformats.org/officeDocument/2006/relationships/hyperlink" Target="https://m.stock.naver.com/research/company/85666" TargetMode="External"/><Relationship Id="rId8624" Type="http://schemas.openxmlformats.org/officeDocument/2006/relationships/hyperlink" Target="https://m.stock.naver.com/research/company/84613" TargetMode="External"/><Relationship Id="rId11952" Type="http://schemas.openxmlformats.org/officeDocument/2006/relationships/hyperlink" Target="https://m.stock.naver.com/research/company/81259" TargetMode="External"/><Relationship Id="rId6175" Type="http://schemas.openxmlformats.org/officeDocument/2006/relationships/hyperlink" Target="https://m.stock.naver.com/research/company/87065" TargetMode="External"/><Relationship Id="rId7226" Type="http://schemas.openxmlformats.org/officeDocument/2006/relationships/hyperlink" Target="https://m.stock.naver.com/research/company/86013" TargetMode="External"/><Relationship Id="rId10554" Type="http://schemas.openxmlformats.org/officeDocument/2006/relationships/hyperlink" Target="https://m.stock.naver.com/research/company/82666" TargetMode="External"/><Relationship Id="rId11605" Type="http://schemas.openxmlformats.org/officeDocument/2006/relationships/hyperlink" Target="https://m.stock.naver.com/research/company/81607" TargetMode="External"/><Relationship Id="rId9398" Type="http://schemas.openxmlformats.org/officeDocument/2006/relationships/hyperlink" Target="https://m.stock.naver.com/research/company/83829" TargetMode="External"/><Relationship Id="rId10207" Type="http://schemas.openxmlformats.org/officeDocument/2006/relationships/hyperlink" Target="https://m.stock.naver.com/research/company/83014" TargetMode="External"/><Relationship Id="rId13777" Type="http://schemas.openxmlformats.org/officeDocument/2006/relationships/hyperlink" Target="https://m.stock.naver.com/research/company/93611" TargetMode="External"/><Relationship Id="rId14828" Type="http://schemas.openxmlformats.org/officeDocument/2006/relationships/hyperlink" Target="https://m.stock.naver.com/research/company/94796" TargetMode="External"/><Relationship Id="rId2785" Type="http://schemas.openxmlformats.org/officeDocument/2006/relationships/hyperlink" Target="https://m.stock.naver.com/research/company/90469" TargetMode="External"/><Relationship Id="rId3836" Type="http://schemas.openxmlformats.org/officeDocument/2006/relationships/hyperlink" Target="https://m.stock.naver.com/research/company/89415" TargetMode="External"/><Relationship Id="rId12379" Type="http://schemas.openxmlformats.org/officeDocument/2006/relationships/hyperlink" Target="https://m.stock.naver.com/research/company/80830" TargetMode="External"/><Relationship Id="rId757" Type="http://schemas.openxmlformats.org/officeDocument/2006/relationships/hyperlink" Target="https://m.stock.naver.com/research/company/92699" TargetMode="External"/><Relationship Id="rId1387" Type="http://schemas.openxmlformats.org/officeDocument/2006/relationships/hyperlink" Target="https://m.stock.naver.com/research/company/91868" TargetMode="External"/><Relationship Id="rId2438" Type="http://schemas.openxmlformats.org/officeDocument/2006/relationships/hyperlink" Target="https://m.stock.naver.com/research/company/90816" TargetMode="External"/><Relationship Id="rId12860" Type="http://schemas.openxmlformats.org/officeDocument/2006/relationships/hyperlink" Target="https://m.stock.naver.com/research/company/80348" TargetMode="External"/><Relationship Id="rId93" Type="http://schemas.openxmlformats.org/officeDocument/2006/relationships/hyperlink" Target="https://m.stock.naver.com/research/company/93365" TargetMode="External"/><Relationship Id="rId8481" Type="http://schemas.openxmlformats.org/officeDocument/2006/relationships/hyperlink" Target="https://m.stock.naver.com/research/company/84756" TargetMode="External"/><Relationship Id="rId9532" Type="http://schemas.openxmlformats.org/officeDocument/2006/relationships/hyperlink" Target="https://m.stock.naver.com/research/company/83695" TargetMode="External"/><Relationship Id="rId11462" Type="http://schemas.openxmlformats.org/officeDocument/2006/relationships/hyperlink" Target="https://m.stock.naver.com/research/company/81753" TargetMode="External"/><Relationship Id="rId12513" Type="http://schemas.openxmlformats.org/officeDocument/2006/relationships/hyperlink" Target="https://m.stock.naver.com/research/company/80695" TargetMode="External"/><Relationship Id="rId13911" Type="http://schemas.openxmlformats.org/officeDocument/2006/relationships/hyperlink" Target="https://m.stock.naver.com/research/company/93691" TargetMode="External"/><Relationship Id="rId1521" Type="http://schemas.openxmlformats.org/officeDocument/2006/relationships/hyperlink" Target="https://m.stock.naver.com/research/company/91734" TargetMode="External"/><Relationship Id="rId7083" Type="http://schemas.openxmlformats.org/officeDocument/2006/relationships/hyperlink" Target="https://m.stock.naver.com/research/company/86156" TargetMode="External"/><Relationship Id="rId8134" Type="http://schemas.openxmlformats.org/officeDocument/2006/relationships/hyperlink" Target="https://m.stock.naver.com/research/company/85104" TargetMode="External"/><Relationship Id="rId10064" Type="http://schemas.openxmlformats.org/officeDocument/2006/relationships/hyperlink" Target="https://m.stock.naver.com/research/company/83157" TargetMode="External"/><Relationship Id="rId11115" Type="http://schemas.openxmlformats.org/officeDocument/2006/relationships/hyperlink" Target="https://m.stock.naver.com/research/company/82105" TargetMode="External"/><Relationship Id="rId3693" Type="http://schemas.openxmlformats.org/officeDocument/2006/relationships/hyperlink" Target="https://m.stock.naver.com/research/company/89558" TargetMode="External"/><Relationship Id="rId13287" Type="http://schemas.openxmlformats.org/officeDocument/2006/relationships/hyperlink" Target="https://m.stock.naver.com/research/company/79918" TargetMode="External"/><Relationship Id="rId14685" Type="http://schemas.openxmlformats.org/officeDocument/2006/relationships/hyperlink" Target="https://m.stock.naver.com/research/company/94715" TargetMode="External"/><Relationship Id="rId15736" Type="http://schemas.openxmlformats.org/officeDocument/2006/relationships/hyperlink" Target="https://m.stock.naver.com/research/company/95678" TargetMode="External"/><Relationship Id="rId2295" Type="http://schemas.openxmlformats.org/officeDocument/2006/relationships/hyperlink" Target="https://m.stock.naver.com/research/company/90960" TargetMode="External"/><Relationship Id="rId3346" Type="http://schemas.openxmlformats.org/officeDocument/2006/relationships/hyperlink" Target="https://m.stock.naver.com/research/company/89904" TargetMode="External"/><Relationship Id="rId4744" Type="http://schemas.openxmlformats.org/officeDocument/2006/relationships/hyperlink" Target="https://m.stock.naver.com/research/company/88496" TargetMode="External"/><Relationship Id="rId14338" Type="http://schemas.openxmlformats.org/officeDocument/2006/relationships/hyperlink" Target="https://m.stock.naver.com/research/company/94213" TargetMode="External"/><Relationship Id="rId267" Type="http://schemas.openxmlformats.org/officeDocument/2006/relationships/hyperlink" Target="https://m.stock.naver.com/research/company/93191" TargetMode="External"/><Relationship Id="rId7967" Type="http://schemas.openxmlformats.org/officeDocument/2006/relationships/hyperlink" Target="https://m.stock.naver.com/research/company/85271" TargetMode="External"/><Relationship Id="rId10948" Type="http://schemas.openxmlformats.org/officeDocument/2006/relationships/hyperlink" Target="https://m.stock.naver.com/research/company/82272" TargetMode="External"/><Relationship Id="rId6569" Type="http://schemas.openxmlformats.org/officeDocument/2006/relationships/hyperlink" Target="https://m.stock.naver.com/research/company/86671" TargetMode="External"/><Relationship Id="rId12370" Type="http://schemas.openxmlformats.org/officeDocument/2006/relationships/hyperlink" Target="https://m.stock.naver.com/research/company/80839" TargetMode="External"/><Relationship Id="rId13421" Type="http://schemas.openxmlformats.org/officeDocument/2006/relationships/hyperlink" Target="https://m.stock.naver.com/research/company/79784" TargetMode="External"/><Relationship Id="rId9042" Type="http://schemas.openxmlformats.org/officeDocument/2006/relationships/hyperlink" Target="https://m.stock.naver.com/research/company/84189" TargetMode="External"/><Relationship Id="rId12023" Type="http://schemas.openxmlformats.org/officeDocument/2006/relationships/hyperlink" Target="https://m.stock.naver.com/research/company/81188" TargetMode="External"/><Relationship Id="rId15593" Type="http://schemas.openxmlformats.org/officeDocument/2006/relationships/hyperlink" Target="https://m.stock.naver.com/research/company/95443" TargetMode="External"/><Relationship Id="rId401" Type="http://schemas.openxmlformats.org/officeDocument/2006/relationships/hyperlink" Target="https://m.stock.naver.com/research/company/93057" TargetMode="External"/><Relationship Id="rId1031" Type="http://schemas.openxmlformats.org/officeDocument/2006/relationships/hyperlink" Target="https://m.stock.naver.com/research/company/92320" TargetMode="External"/><Relationship Id="rId5652" Type="http://schemas.openxmlformats.org/officeDocument/2006/relationships/hyperlink" Target="https://m.stock.naver.com/research/company/87588" TargetMode="External"/><Relationship Id="rId6703" Type="http://schemas.openxmlformats.org/officeDocument/2006/relationships/hyperlink" Target="https://m.stock.naver.com/research/company/86537" TargetMode="External"/><Relationship Id="rId14195" Type="http://schemas.openxmlformats.org/officeDocument/2006/relationships/hyperlink" Target="https://m.stock.naver.com/research/company/94063" TargetMode="External"/><Relationship Id="rId15246" Type="http://schemas.openxmlformats.org/officeDocument/2006/relationships/hyperlink" Target="https://m.stock.naver.com/research/company/95114" TargetMode="External"/><Relationship Id="rId4254" Type="http://schemas.openxmlformats.org/officeDocument/2006/relationships/hyperlink" Target="https://m.stock.naver.com/research/company/88988" TargetMode="External"/><Relationship Id="rId5305" Type="http://schemas.openxmlformats.org/officeDocument/2006/relationships/hyperlink" Target="https://m.stock.naver.com/research/company/87935" TargetMode="External"/><Relationship Id="rId7477" Type="http://schemas.openxmlformats.org/officeDocument/2006/relationships/hyperlink" Target="https://m.stock.naver.com/research/company/85762" TargetMode="External"/><Relationship Id="rId8528" Type="http://schemas.openxmlformats.org/officeDocument/2006/relationships/hyperlink" Target="https://m.stock.naver.com/research/company/84709" TargetMode="External"/><Relationship Id="rId8875" Type="http://schemas.openxmlformats.org/officeDocument/2006/relationships/hyperlink" Target="https://m.stock.naver.com/research/company/84361" TargetMode="External"/><Relationship Id="rId9926" Type="http://schemas.openxmlformats.org/officeDocument/2006/relationships/hyperlink" Target="https://m.stock.naver.com/research/company/83296" TargetMode="External"/><Relationship Id="rId11856" Type="http://schemas.openxmlformats.org/officeDocument/2006/relationships/hyperlink" Target="https://m.stock.naver.com/research/company/81356" TargetMode="External"/><Relationship Id="rId12907" Type="http://schemas.openxmlformats.org/officeDocument/2006/relationships/hyperlink" Target="https://m.stock.naver.com/research/company/80301" TargetMode="External"/><Relationship Id="rId1915" Type="http://schemas.openxmlformats.org/officeDocument/2006/relationships/hyperlink" Target="https://m.stock.naver.com/research/company/91340" TargetMode="External"/><Relationship Id="rId6079" Type="http://schemas.openxmlformats.org/officeDocument/2006/relationships/hyperlink" Target="https://m.stock.naver.com/research/company/87161" TargetMode="External"/><Relationship Id="rId10458" Type="http://schemas.openxmlformats.org/officeDocument/2006/relationships/hyperlink" Target="https://m.stock.naver.com/research/company/82762" TargetMode="External"/><Relationship Id="rId11509" Type="http://schemas.openxmlformats.org/officeDocument/2006/relationships/hyperlink" Target="https://m.stock.naver.com/research/company/81706" TargetMode="External"/><Relationship Id="rId2689" Type="http://schemas.openxmlformats.org/officeDocument/2006/relationships/hyperlink" Target="https://m.stock.naver.com/research/company/90565" TargetMode="External"/><Relationship Id="rId6560" Type="http://schemas.openxmlformats.org/officeDocument/2006/relationships/hyperlink" Target="https://m.stock.naver.com/research/company/86680" TargetMode="External"/><Relationship Id="rId7611" Type="http://schemas.openxmlformats.org/officeDocument/2006/relationships/hyperlink" Target="https://m.stock.naver.com/research/company/85628" TargetMode="External"/><Relationship Id="rId5162" Type="http://schemas.openxmlformats.org/officeDocument/2006/relationships/hyperlink" Target="https://m.stock.naver.com/research/company/88078" TargetMode="External"/><Relationship Id="rId6213" Type="http://schemas.openxmlformats.org/officeDocument/2006/relationships/hyperlink" Target="https://m.stock.naver.com/research/company/87027" TargetMode="External"/><Relationship Id="rId9783" Type="http://schemas.openxmlformats.org/officeDocument/2006/relationships/hyperlink" Target="https://m.stock.naver.com/research/company/83439" TargetMode="External"/><Relationship Id="rId1772" Type="http://schemas.openxmlformats.org/officeDocument/2006/relationships/hyperlink" Target="https://m.stock.naver.com/research/company/91483" TargetMode="External"/><Relationship Id="rId8385" Type="http://schemas.openxmlformats.org/officeDocument/2006/relationships/hyperlink" Target="https://m.stock.naver.com/research/company/84853" TargetMode="External"/><Relationship Id="rId9436" Type="http://schemas.openxmlformats.org/officeDocument/2006/relationships/hyperlink" Target="https://m.stock.naver.com/research/company/83791" TargetMode="External"/><Relationship Id="rId11366" Type="http://schemas.openxmlformats.org/officeDocument/2006/relationships/hyperlink" Target="https://m.stock.naver.com/research/company/81849" TargetMode="External"/><Relationship Id="rId12764" Type="http://schemas.openxmlformats.org/officeDocument/2006/relationships/hyperlink" Target="https://m.stock.naver.com/research/company/80444" TargetMode="External"/><Relationship Id="rId13815" Type="http://schemas.openxmlformats.org/officeDocument/2006/relationships/hyperlink" Target="https://m.stock.naver.com/research/company/93563" TargetMode="External"/><Relationship Id="rId1425" Type="http://schemas.openxmlformats.org/officeDocument/2006/relationships/hyperlink" Target="https://m.stock.naver.com/research/company/91830" TargetMode="External"/><Relationship Id="rId2823" Type="http://schemas.openxmlformats.org/officeDocument/2006/relationships/hyperlink" Target="https://m.stock.naver.com/research/company/90430" TargetMode="External"/><Relationship Id="rId8038" Type="http://schemas.openxmlformats.org/officeDocument/2006/relationships/hyperlink" Target="https://m.stock.naver.com/research/company/85200" TargetMode="External"/><Relationship Id="rId11019" Type="http://schemas.openxmlformats.org/officeDocument/2006/relationships/hyperlink" Target="https://m.stock.naver.com/research/company/82201" TargetMode="External"/><Relationship Id="rId12417" Type="http://schemas.openxmlformats.org/officeDocument/2006/relationships/hyperlink" Target="https://m.stock.naver.com/research/company/80792" TargetMode="External"/><Relationship Id="rId4995" Type="http://schemas.openxmlformats.org/officeDocument/2006/relationships/hyperlink" Target="https://m.stock.naver.com/research/company/88245" TargetMode="External"/><Relationship Id="rId14589" Type="http://schemas.openxmlformats.org/officeDocument/2006/relationships/hyperlink" Target="https://m.stock.naver.com/research/company/94490" TargetMode="External"/><Relationship Id="rId2199" Type="http://schemas.openxmlformats.org/officeDocument/2006/relationships/hyperlink" Target="https://m.stock.naver.com/research/company/91056" TargetMode="External"/><Relationship Id="rId3597" Type="http://schemas.openxmlformats.org/officeDocument/2006/relationships/hyperlink" Target="https://m.stock.naver.com/research/company/89654" TargetMode="External"/><Relationship Id="rId4648" Type="http://schemas.openxmlformats.org/officeDocument/2006/relationships/hyperlink" Target="https://m.stock.naver.com/research/company/88592" TargetMode="External"/><Relationship Id="rId6070" Type="http://schemas.openxmlformats.org/officeDocument/2006/relationships/hyperlink" Target="https://m.stock.naver.com/research/company/87170" TargetMode="External"/><Relationship Id="rId11500" Type="http://schemas.openxmlformats.org/officeDocument/2006/relationships/hyperlink" Target="https://m.stock.naver.com/research/company/81715" TargetMode="External"/><Relationship Id="rId7121" Type="http://schemas.openxmlformats.org/officeDocument/2006/relationships/hyperlink" Target="https://m.stock.naver.com/research/company/86118" TargetMode="External"/><Relationship Id="rId10102" Type="http://schemas.openxmlformats.org/officeDocument/2006/relationships/hyperlink" Target="https://m.stock.naver.com/research/company/83119" TargetMode="External"/><Relationship Id="rId13672" Type="http://schemas.openxmlformats.org/officeDocument/2006/relationships/hyperlink" Target="https://m.stock.naver.com/research/company/79532" TargetMode="External"/><Relationship Id="rId14723" Type="http://schemas.openxmlformats.org/officeDocument/2006/relationships/hyperlink" Target="https://m.stock.naver.com/research/company/94677" TargetMode="External"/><Relationship Id="rId2680" Type="http://schemas.openxmlformats.org/officeDocument/2006/relationships/hyperlink" Target="https://m.stock.naver.com/research/company/90574" TargetMode="External"/><Relationship Id="rId3731" Type="http://schemas.openxmlformats.org/officeDocument/2006/relationships/hyperlink" Target="https://m.stock.naver.com/research/company/89520" TargetMode="External"/><Relationship Id="rId9293" Type="http://schemas.openxmlformats.org/officeDocument/2006/relationships/hyperlink" Target="https://m.stock.naver.com/research/company/83934" TargetMode="External"/><Relationship Id="rId12274" Type="http://schemas.openxmlformats.org/officeDocument/2006/relationships/hyperlink" Target="https://m.stock.naver.com/research/company/80935" TargetMode="External"/><Relationship Id="rId13325" Type="http://schemas.openxmlformats.org/officeDocument/2006/relationships/hyperlink" Target="https://m.stock.naver.com/research/company/79880" TargetMode="External"/><Relationship Id="rId652" Type="http://schemas.openxmlformats.org/officeDocument/2006/relationships/hyperlink" Target="https://m.stock.naver.com/research/company/92804" TargetMode="External"/><Relationship Id="rId1282" Type="http://schemas.openxmlformats.org/officeDocument/2006/relationships/hyperlink" Target="https://m.stock.naver.com/research/company/91973" TargetMode="External"/><Relationship Id="rId2333" Type="http://schemas.openxmlformats.org/officeDocument/2006/relationships/hyperlink" Target="https://m.stock.naver.com/research/company/90922" TargetMode="External"/><Relationship Id="rId15497" Type="http://schemas.openxmlformats.org/officeDocument/2006/relationships/hyperlink" Target="https://m.stock.naver.com/research/company/95290" TargetMode="External"/><Relationship Id="rId305" Type="http://schemas.openxmlformats.org/officeDocument/2006/relationships/hyperlink" Target="https://m.stock.naver.com/research/company/93153" TargetMode="External"/><Relationship Id="rId5556" Type="http://schemas.openxmlformats.org/officeDocument/2006/relationships/hyperlink" Target="https://m.stock.naver.com/research/company/87684" TargetMode="External"/><Relationship Id="rId6607" Type="http://schemas.openxmlformats.org/officeDocument/2006/relationships/hyperlink" Target="https://m.stock.naver.com/research/company/86633" TargetMode="External"/><Relationship Id="rId6954" Type="http://schemas.openxmlformats.org/officeDocument/2006/relationships/hyperlink" Target="https://m.stock.naver.com/research/company/86285" TargetMode="External"/><Relationship Id="rId14099" Type="http://schemas.openxmlformats.org/officeDocument/2006/relationships/hyperlink" Target="https://m.stock.naver.com/research/company/93903" TargetMode="External"/><Relationship Id="rId4158" Type="http://schemas.openxmlformats.org/officeDocument/2006/relationships/hyperlink" Target="https://m.stock.naver.com/research/company/89091" TargetMode="External"/><Relationship Id="rId5209" Type="http://schemas.openxmlformats.org/officeDocument/2006/relationships/hyperlink" Target="https://m.stock.naver.com/research/company/88031" TargetMode="External"/><Relationship Id="rId8779" Type="http://schemas.openxmlformats.org/officeDocument/2006/relationships/hyperlink" Target="https://m.stock.naver.com/research/company/84458" TargetMode="External"/><Relationship Id="rId11010" Type="http://schemas.openxmlformats.org/officeDocument/2006/relationships/hyperlink" Target="https://m.stock.naver.com/research/company/82210" TargetMode="External"/><Relationship Id="rId14580" Type="http://schemas.openxmlformats.org/officeDocument/2006/relationships/hyperlink" Target="https://m.stock.naver.com/research/company/94330" TargetMode="External"/><Relationship Id="rId15631" Type="http://schemas.openxmlformats.org/officeDocument/2006/relationships/hyperlink" Target="https://m.stock.naver.com/research/company/95784" TargetMode="External"/><Relationship Id="rId1819" Type="http://schemas.openxmlformats.org/officeDocument/2006/relationships/hyperlink" Target="https://m.stock.naver.com/research/company/91436" TargetMode="External"/><Relationship Id="rId13182" Type="http://schemas.openxmlformats.org/officeDocument/2006/relationships/hyperlink" Target="https://m.stock.naver.com/research/company/80025" TargetMode="External"/><Relationship Id="rId14233" Type="http://schemas.openxmlformats.org/officeDocument/2006/relationships/hyperlink" Target="https://m.stock.naver.com/research/company/94110" TargetMode="External"/><Relationship Id="rId2190" Type="http://schemas.openxmlformats.org/officeDocument/2006/relationships/hyperlink" Target="https://m.stock.naver.com/research/company/91065" TargetMode="External"/><Relationship Id="rId3241" Type="http://schemas.openxmlformats.org/officeDocument/2006/relationships/hyperlink" Target="https://m.stock.naver.com/research/company/90009" TargetMode="External"/><Relationship Id="rId7862" Type="http://schemas.openxmlformats.org/officeDocument/2006/relationships/hyperlink" Target="https://m.stock.naver.com/research/company/85376" TargetMode="External"/><Relationship Id="rId8913" Type="http://schemas.openxmlformats.org/officeDocument/2006/relationships/hyperlink" Target="https://m.stock.naver.com/research/company/84323" TargetMode="External"/><Relationship Id="rId162" Type="http://schemas.openxmlformats.org/officeDocument/2006/relationships/hyperlink" Target="https://m.stock.naver.com/research/company/93296" TargetMode="External"/><Relationship Id="rId6464" Type="http://schemas.openxmlformats.org/officeDocument/2006/relationships/hyperlink" Target="https://m.stock.naver.com/research/company/86776" TargetMode="External"/><Relationship Id="rId7515" Type="http://schemas.openxmlformats.org/officeDocument/2006/relationships/hyperlink" Target="https://m.stock.naver.com/research/company/85724" TargetMode="External"/><Relationship Id="rId10843" Type="http://schemas.openxmlformats.org/officeDocument/2006/relationships/hyperlink" Target="https://m.stock.naver.com/research/company/82377" TargetMode="External"/><Relationship Id="rId5066" Type="http://schemas.openxmlformats.org/officeDocument/2006/relationships/hyperlink" Target="https://m.stock.naver.com/research/company/88174" TargetMode="External"/><Relationship Id="rId6117" Type="http://schemas.openxmlformats.org/officeDocument/2006/relationships/hyperlink" Target="https://m.stock.naver.com/research/company/87123" TargetMode="External"/><Relationship Id="rId9687" Type="http://schemas.openxmlformats.org/officeDocument/2006/relationships/hyperlink" Target="https://m.stock.naver.com/research/company/83536" TargetMode="External"/><Relationship Id="rId8289" Type="http://schemas.openxmlformats.org/officeDocument/2006/relationships/hyperlink" Target="https://m.stock.naver.com/research/company/84949" TargetMode="External"/><Relationship Id="rId12668" Type="http://schemas.openxmlformats.org/officeDocument/2006/relationships/hyperlink" Target="https://m.stock.naver.com/research/company/80540" TargetMode="External"/><Relationship Id="rId13719" Type="http://schemas.openxmlformats.org/officeDocument/2006/relationships/hyperlink" Target="https://m.stock.naver.com/research/company/93520" TargetMode="External"/><Relationship Id="rId1676" Type="http://schemas.openxmlformats.org/officeDocument/2006/relationships/hyperlink" Target="https://m.stock.naver.com/research/company/91579" TargetMode="External"/><Relationship Id="rId2727" Type="http://schemas.openxmlformats.org/officeDocument/2006/relationships/hyperlink" Target="https://m.stock.naver.com/research/company/90527" TargetMode="External"/><Relationship Id="rId14090" Type="http://schemas.openxmlformats.org/officeDocument/2006/relationships/hyperlink" Target="https://m.stock.naver.com/research/company/93912" TargetMode="External"/><Relationship Id="rId15141" Type="http://schemas.openxmlformats.org/officeDocument/2006/relationships/hyperlink" Target="https://m.stock.naver.com/research/company/94953" TargetMode="External"/><Relationship Id="rId1329" Type="http://schemas.openxmlformats.org/officeDocument/2006/relationships/hyperlink" Target="https://m.stock.naver.com/research/company/91926" TargetMode="External"/><Relationship Id="rId4899" Type="http://schemas.openxmlformats.org/officeDocument/2006/relationships/hyperlink" Target="https://m.stock.naver.com/research/company/88341" TargetMode="External"/><Relationship Id="rId5200" Type="http://schemas.openxmlformats.org/officeDocument/2006/relationships/hyperlink" Target="https://m.stock.naver.com/research/company/88040" TargetMode="External"/><Relationship Id="rId8770" Type="http://schemas.openxmlformats.org/officeDocument/2006/relationships/hyperlink" Target="https://m.stock.naver.com/research/company/84467" TargetMode="External"/><Relationship Id="rId9821" Type="http://schemas.openxmlformats.org/officeDocument/2006/relationships/hyperlink" Target="https://m.stock.naver.com/research/company/83401" TargetMode="External"/><Relationship Id="rId11751" Type="http://schemas.openxmlformats.org/officeDocument/2006/relationships/hyperlink" Target="https://m.stock.naver.com/research/company/81461" TargetMode="External"/><Relationship Id="rId12802" Type="http://schemas.openxmlformats.org/officeDocument/2006/relationships/hyperlink" Target="https://m.stock.naver.com/research/company/80406" TargetMode="External"/><Relationship Id="rId35" Type="http://schemas.openxmlformats.org/officeDocument/2006/relationships/hyperlink" Target="https://m.stock.naver.com/research/company/93423" TargetMode="External"/><Relationship Id="rId1810" Type="http://schemas.openxmlformats.org/officeDocument/2006/relationships/hyperlink" Target="https://m.stock.naver.com/research/company/91445" TargetMode="External"/><Relationship Id="rId7372" Type="http://schemas.openxmlformats.org/officeDocument/2006/relationships/hyperlink" Target="https://m.stock.naver.com/research/company/85867" TargetMode="External"/><Relationship Id="rId8423" Type="http://schemas.openxmlformats.org/officeDocument/2006/relationships/hyperlink" Target="https://m.stock.naver.com/research/company/84815" TargetMode="External"/><Relationship Id="rId10353" Type="http://schemas.openxmlformats.org/officeDocument/2006/relationships/hyperlink" Target="https://m.stock.naver.com/research/company/82868" TargetMode="External"/><Relationship Id="rId11404" Type="http://schemas.openxmlformats.org/officeDocument/2006/relationships/hyperlink" Target="https://m.stock.naver.com/research/company/81811" TargetMode="External"/><Relationship Id="rId3982" Type="http://schemas.openxmlformats.org/officeDocument/2006/relationships/hyperlink" Target="https://m.stock.naver.com/research/company/89269" TargetMode="External"/><Relationship Id="rId7025" Type="http://schemas.openxmlformats.org/officeDocument/2006/relationships/hyperlink" Target="https://m.stock.naver.com/research/company/86214" TargetMode="External"/><Relationship Id="rId10006" Type="http://schemas.openxmlformats.org/officeDocument/2006/relationships/hyperlink" Target="https://m.stock.naver.com/research/company/83215" TargetMode="External"/><Relationship Id="rId13576" Type="http://schemas.openxmlformats.org/officeDocument/2006/relationships/hyperlink" Target="https://m.stock.naver.com/research/company/79628" TargetMode="External"/><Relationship Id="rId14974" Type="http://schemas.openxmlformats.org/officeDocument/2006/relationships/hyperlink" Target="https://m.stock.naver.com/research/company/94860" TargetMode="External"/><Relationship Id="rId2584" Type="http://schemas.openxmlformats.org/officeDocument/2006/relationships/hyperlink" Target="https://m.stock.naver.com/research/company/90670" TargetMode="External"/><Relationship Id="rId3635" Type="http://schemas.openxmlformats.org/officeDocument/2006/relationships/hyperlink" Target="https://m.stock.naver.com/research/company/89616" TargetMode="External"/><Relationship Id="rId9197" Type="http://schemas.openxmlformats.org/officeDocument/2006/relationships/hyperlink" Target="https://m.stock.naver.com/research/company/84033" TargetMode="External"/><Relationship Id="rId12178" Type="http://schemas.openxmlformats.org/officeDocument/2006/relationships/hyperlink" Target="https://m.stock.naver.com/research/company/81033" TargetMode="External"/><Relationship Id="rId13229" Type="http://schemas.openxmlformats.org/officeDocument/2006/relationships/hyperlink" Target="https://m.stock.naver.com/research/company/79978" TargetMode="External"/><Relationship Id="rId14627" Type="http://schemas.openxmlformats.org/officeDocument/2006/relationships/hyperlink" Target="https://m.stock.naver.com/research/company/94550" TargetMode="External"/><Relationship Id="rId556" Type="http://schemas.openxmlformats.org/officeDocument/2006/relationships/hyperlink" Target="https://m.stock.naver.com/research/company/92901" TargetMode="External"/><Relationship Id="rId1186" Type="http://schemas.openxmlformats.org/officeDocument/2006/relationships/hyperlink" Target="https://m.stock.naver.com/research/company/92069" TargetMode="External"/><Relationship Id="rId2237" Type="http://schemas.openxmlformats.org/officeDocument/2006/relationships/hyperlink" Target="https://m.stock.naver.com/research/company/91018" TargetMode="External"/><Relationship Id="rId209" Type="http://schemas.openxmlformats.org/officeDocument/2006/relationships/hyperlink" Target="https://m.stock.naver.com/research/company/93249" TargetMode="External"/><Relationship Id="rId6858" Type="http://schemas.openxmlformats.org/officeDocument/2006/relationships/hyperlink" Target="https://m.stock.naver.com/research/company/86382" TargetMode="External"/><Relationship Id="rId7909" Type="http://schemas.openxmlformats.org/officeDocument/2006/relationships/hyperlink" Target="https://m.stock.naver.com/research/company/85329" TargetMode="External"/><Relationship Id="rId8280" Type="http://schemas.openxmlformats.org/officeDocument/2006/relationships/hyperlink" Target="https://m.stock.naver.com/research/company/84958" TargetMode="External"/><Relationship Id="rId13710" Type="http://schemas.openxmlformats.org/officeDocument/2006/relationships/hyperlink" Target="https://m.stock.naver.com/research/company/93464" TargetMode="External"/><Relationship Id="rId9331" Type="http://schemas.openxmlformats.org/officeDocument/2006/relationships/hyperlink" Target="https://m.stock.naver.com/research/company/83896" TargetMode="External"/><Relationship Id="rId11261" Type="http://schemas.openxmlformats.org/officeDocument/2006/relationships/hyperlink" Target="https://m.stock.naver.com/research/company/81958" TargetMode="External"/><Relationship Id="rId12312" Type="http://schemas.openxmlformats.org/officeDocument/2006/relationships/hyperlink" Target="https://m.stock.naver.com/research/company/80897" TargetMode="External"/><Relationship Id="rId1320" Type="http://schemas.openxmlformats.org/officeDocument/2006/relationships/hyperlink" Target="https://m.stock.naver.com/research/company/91935" TargetMode="External"/><Relationship Id="rId4890" Type="http://schemas.openxmlformats.org/officeDocument/2006/relationships/hyperlink" Target="https://m.stock.naver.com/research/company/88350" TargetMode="External"/><Relationship Id="rId5941" Type="http://schemas.openxmlformats.org/officeDocument/2006/relationships/hyperlink" Target="https://m.stock.naver.com/research/company/87299" TargetMode="External"/><Relationship Id="rId14484" Type="http://schemas.openxmlformats.org/officeDocument/2006/relationships/hyperlink" Target="https://m.stock.naver.com/research/company/94426" TargetMode="External"/><Relationship Id="rId15535" Type="http://schemas.openxmlformats.org/officeDocument/2006/relationships/hyperlink" Target="https://m.stock.naver.com/research/company/95501" TargetMode="External"/><Relationship Id="rId3492" Type="http://schemas.openxmlformats.org/officeDocument/2006/relationships/hyperlink" Target="https://m.stock.naver.com/research/company/89759" TargetMode="External"/><Relationship Id="rId4543" Type="http://schemas.openxmlformats.org/officeDocument/2006/relationships/hyperlink" Target="https://m.stock.naver.com/research/company/88697" TargetMode="External"/><Relationship Id="rId13086" Type="http://schemas.openxmlformats.org/officeDocument/2006/relationships/hyperlink" Target="https://m.stock.naver.com/research/company/80121" TargetMode="External"/><Relationship Id="rId14137" Type="http://schemas.openxmlformats.org/officeDocument/2006/relationships/hyperlink" Target="https://m.stock.naver.com/research/company/93991" TargetMode="External"/><Relationship Id="rId2094" Type="http://schemas.openxmlformats.org/officeDocument/2006/relationships/hyperlink" Target="https://m.stock.naver.com/research/company/91161" TargetMode="External"/><Relationship Id="rId3145" Type="http://schemas.openxmlformats.org/officeDocument/2006/relationships/hyperlink" Target="https://m.stock.naver.com/research/company/90106" TargetMode="External"/><Relationship Id="rId7766" Type="http://schemas.openxmlformats.org/officeDocument/2006/relationships/hyperlink" Target="https://m.stock.naver.com/research/company/85473" TargetMode="External"/><Relationship Id="rId8817" Type="http://schemas.openxmlformats.org/officeDocument/2006/relationships/hyperlink" Target="https://m.stock.naver.com/research/company/84420" TargetMode="External"/><Relationship Id="rId6368" Type="http://schemas.openxmlformats.org/officeDocument/2006/relationships/hyperlink" Target="https://m.stock.naver.com/research/company/86872" TargetMode="External"/><Relationship Id="rId7419" Type="http://schemas.openxmlformats.org/officeDocument/2006/relationships/hyperlink" Target="https://m.stock.naver.com/research/company/85820" TargetMode="External"/><Relationship Id="rId10747" Type="http://schemas.openxmlformats.org/officeDocument/2006/relationships/hyperlink" Target="https://m.stock.naver.com/research/company/82473" TargetMode="External"/><Relationship Id="rId13220" Type="http://schemas.openxmlformats.org/officeDocument/2006/relationships/hyperlink" Target="https://m.stock.naver.com/research/company/79987" TargetMode="External"/><Relationship Id="rId200" Type="http://schemas.openxmlformats.org/officeDocument/2006/relationships/hyperlink" Target="https://m.stock.naver.com/research/company/93258" TargetMode="External"/><Relationship Id="rId2978" Type="http://schemas.openxmlformats.org/officeDocument/2006/relationships/hyperlink" Target="https://m.stock.naver.com/research/company/90275" TargetMode="External"/><Relationship Id="rId7900" Type="http://schemas.openxmlformats.org/officeDocument/2006/relationships/hyperlink" Target="https://m.stock.naver.com/research/company/85338" TargetMode="External"/><Relationship Id="rId15392" Type="http://schemas.openxmlformats.org/officeDocument/2006/relationships/hyperlink" Target="https://m.stock.naver.com/research/company/95395" TargetMode="External"/><Relationship Id="rId5451" Type="http://schemas.openxmlformats.org/officeDocument/2006/relationships/hyperlink" Target="https://m.stock.naver.com/research/company/87789" TargetMode="External"/><Relationship Id="rId6502" Type="http://schemas.openxmlformats.org/officeDocument/2006/relationships/hyperlink" Target="https://m.stock.naver.com/research/company/86738" TargetMode="External"/><Relationship Id="rId15045" Type="http://schemas.openxmlformats.org/officeDocument/2006/relationships/hyperlink" Target="https://m.stock.naver.com/research/company/95049" TargetMode="External"/><Relationship Id="rId4053" Type="http://schemas.openxmlformats.org/officeDocument/2006/relationships/hyperlink" Target="https://m.stock.naver.com/research/company/89198" TargetMode="External"/><Relationship Id="rId5104" Type="http://schemas.openxmlformats.org/officeDocument/2006/relationships/hyperlink" Target="https://m.stock.naver.com/research/company/88136" TargetMode="External"/><Relationship Id="rId8674" Type="http://schemas.openxmlformats.org/officeDocument/2006/relationships/hyperlink" Target="https://m.stock.naver.com/research/company/84563" TargetMode="External"/><Relationship Id="rId9725" Type="http://schemas.openxmlformats.org/officeDocument/2006/relationships/hyperlink" Target="https://m.stock.naver.com/research/company/83498" TargetMode="External"/><Relationship Id="rId11655" Type="http://schemas.openxmlformats.org/officeDocument/2006/relationships/hyperlink" Target="https://m.stock.naver.com/research/company/81557" TargetMode="External"/><Relationship Id="rId1714" Type="http://schemas.openxmlformats.org/officeDocument/2006/relationships/hyperlink" Target="https://m.stock.naver.com/research/company/91541" TargetMode="External"/><Relationship Id="rId7276" Type="http://schemas.openxmlformats.org/officeDocument/2006/relationships/hyperlink" Target="https://m.stock.naver.com/research/company/85963" TargetMode="External"/><Relationship Id="rId8327" Type="http://schemas.openxmlformats.org/officeDocument/2006/relationships/hyperlink" Target="https://m.stock.naver.com/research/company/84911" TargetMode="External"/><Relationship Id="rId10257" Type="http://schemas.openxmlformats.org/officeDocument/2006/relationships/hyperlink" Target="https://m.stock.naver.com/research/company/82964" TargetMode="External"/><Relationship Id="rId11308" Type="http://schemas.openxmlformats.org/officeDocument/2006/relationships/hyperlink" Target="https://m.stock.naver.com/research/company/81911" TargetMode="External"/><Relationship Id="rId12706" Type="http://schemas.openxmlformats.org/officeDocument/2006/relationships/hyperlink" Target="https://m.stock.naver.com/research/company/80502" TargetMode="External"/><Relationship Id="rId14878" Type="http://schemas.openxmlformats.org/officeDocument/2006/relationships/hyperlink" Target="https://m.stock.naver.com/research/company/94746" TargetMode="External"/><Relationship Id="rId2488" Type="http://schemas.openxmlformats.org/officeDocument/2006/relationships/hyperlink" Target="https://m.stock.naver.com/research/company/90766" TargetMode="External"/><Relationship Id="rId3886" Type="http://schemas.openxmlformats.org/officeDocument/2006/relationships/hyperlink" Target="https://m.stock.naver.com/research/company/89365" TargetMode="External"/><Relationship Id="rId4937" Type="http://schemas.openxmlformats.org/officeDocument/2006/relationships/hyperlink" Target="https://m.stock.naver.com/research/company/88303" TargetMode="External"/><Relationship Id="rId3539" Type="http://schemas.openxmlformats.org/officeDocument/2006/relationships/hyperlink" Target="https://m.stock.naver.com/research/company/89712" TargetMode="External"/><Relationship Id="rId6012" Type="http://schemas.openxmlformats.org/officeDocument/2006/relationships/hyperlink" Target="https://m.stock.naver.com/research/company/87228" TargetMode="External"/><Relationship Id="rId7410" Type="http://schemas.openxmlformats.org/officeDocument/2006/relationships/hyperlink" Target="https://m.stock.naver.com/research/company/85829" TargetMode="External"/><Relationship Id="rId13961" Type="http://schemas.openxmlformats.org/officeDocument/2006/relationships/hyperlink" Target="https://m.stock.naver.com/research/company/93771" TargetMode="External"/><Relationship Id="rId9582" Type="http://schemas.openxmlformats.org/officeDocument/2006/relationships/hyperlink" Target="https://m.stock.naver.com/research/company/83645" TargetMode="External"/><Relationship Id="rId12563" Type="http://schemas.openxmlformats.org/officeDocument/2006/relationships/hyperlink" Target="https://m.stock.naver.com/research/company/80645" TargetMode="External"/><Relationship Id="rId13614" Type="http://schemas.openxmlformats.org/officeDocument/2006/relationships/hyperlink" Target="https://m.stock.naver.com/research/company/79590" TargetMode="External"/><Relationship Id="rId941" Type="http://schemas.openxmlformats.org/officeDocument/2006/relationships/hyperlink" Target="https://m.stock.naver.com/research/company/92515" TargetMode="External"/><Relationship Id="rId1571" Type="http://schemas.openxmlformats.org/officeDocument/2006/relationships/hyperlink" Target="https://m.stock.naver.com/research/company/91684" TargetMode="External"/><Relationship Id="rId2622" Type="http://schemas.openxmlformats.org/officeDocument/2006/relationships/hyperlink" Target="https://m.stock.naver.com/research/company/90632" TargetMode="External"/><Relationship Id="rId8184" Type="http://schemas.openxmlformats.org/officeDocument/2006/relationships/hyperlink" Target="https://m.stock.naver.com/research/company/85054" TargetMode="External"/><Relationship Id="rId9235" Type="http://schemas.openxmlformats.org/officeDocument/2006/relationships/hyperlink" Target="https://m.stock.naver.com/research/company/83994" TargetMode="External"/><Relationship Id="rId11165" Type="http://schemas.openxmlformats.org/officeDocument/2006/relationships/hyperlink" Target="https://m.stock.naver.com/research/company/82055" TargetMode="External"/><Relationship Id="rId12216" Type="http://schemas.openxmlformats.org/officeDocument/2006/relationships/hyperlink" Target="https://m.stock.naver.com/research/company/80994" TargetMode="External"/><Relationship Id="rId1224" Type="http://schemas.openxmlformats.org/officeDocument/2006/relationships/hyperlink" Target="https://m.stock.naver.com/research/company/92031" TargetMode="External"/><Relationship Id="rId4794" Type="http://schemas.openxmlformats.org/officeDocument/2006/relationships/hyperlink" Target="https://m.stock.naver.com/research/company/88446" TargetMode="External"/><Relationship Id="rId5845" Type="http://schemas.openxmlformats.org/officeDocument/2006/relationships/hyperlink" Target="https://m.stock.naver.com/research/company/87395" TargetMode="External"/><Relationship Id="rId14388" Type="http://schemas.openxmlformats.org/officeDocument/2006/relationships/hyperlink" Target="https://m.stock.naver.com/research/company/94256" TargetMode="External"/><Relationship Id="rId15439" Type="http://schemas.openxmlformats.org/officeDocument/2006/relationships/hyperlink" Target="https://m.stock.naver.com/research/company/95348" TargetMode="External"/><Relationship Id="rId3396" Type="http://schemas.openxmlformats.org/officeDocument/2006/relationships/hyperlink" Target="https://m.stock.naver.com/research/company/89855" TargetMode="External"/><Relationship Id="rId4447" Type="http://schemas.openxmlformats.org/officeDocument/2006/relationships/hyperlink" Target="https://m.stock.naver.com/research/company/88793" TargetMode="External"/><Relationship Id="rId3049" Type="http://schemas.openxmlformats.org/officeDocument/2006/relationships/hyperlink" Target="https://m.stock.naver.com/research/company/90202" TargetMode="External"/><Relationship Id="rId10998" Type="http://schemas.openxmlformats.org/officeDocument/2006/relationships/hyperlink" Target="https://m.stock.naver.com/research/company/82222" TargetMode="External"/><Relationship Id="rId9092" Type="http://schemas.openxmlformats.org/officeDocument/2006/relationships/hyperlink" Target="https://m.stock.naver.com/research/company/84138" TargetMode="External"/><Relationship Id="rId13471" Type="http://schemas.openxmlformats.org/officeDocument/2006/relationships/hyperlink" Target="https://m.stock.naver.com/research/company/79733" TargetMode="External"/><Relationship Id="rId14522" Type="http://schemas.openxmlformats.org/officeDocument/2006/relationships/hyperlink" Target="https://m.stock.naver.com/research/company/94388" TargetMode="External"/><Relationship Id="rId1081" Type="http://schemas.openxmlformats.org/officeDocument/2006/relationships/hyperlink" Target="https://m.stock.naver.com/research/company/92175" TargetMode="External"/><Relationship Id="rId3530" Type="http://schemas.openxmlformats.org/officeDocument/2006/relationships/hyperlink" Target="https://m.stock.naver.com/research/company/89721" TargetMode="External"/><Relationship Id="rId12073" Type="http://schemas.openxmlformats.org/officeDocument/2006/relationships/hyperlink" Target="https://m.stock.naver.com/research/company/81138" TargetMode="External"/><Relationship Id="rId13124" Type="http://schemas.openxmlformats.org/officeDocument/2006/relationships/hyperlink" Target="https://m.stock.naver.com/research/company/80083" TargetMode="External"/><Relationship Id="rId451" Type="http://schemas.openxmlformats.org/officeDocument/2006/relationships/hyperlink" Target="https://m.stock.naver.com/research/company/93006" TargetMode="External"/><Relationship Id="rId2132" Type="http://schemas.openxmlformats.org/officeDocument/2006/relationships/hyperlink" Target="https://m.stock.naver.com/research/company/91123" TargetMode="External"/><Relationship Id="rId6753" Type="http://schemas.openxmlformats.org/officeDocument/2006/relationships/hyperlink" Target="https://m.stock.naver.com/research/company/86487" TargetMode="External"/><Relationship Id="rId7804" Type="http://schemas.openxmlformats.org/officeDocument/2006/relationships/hyperlink" Target="https://m.stock.naver.com/research/company/85434" TargetMode="External"/><Relationship Id="rId15296" Type="http://schemas.openxmlformats.org/officeDocument/2006/relationships/hyperlink" Target="https://m.stock.naver.com/research/company/95064" TargetMode="External"/><Relationship Id="rId104" Type="http://schemas.openxmlformats.org/officeDocument/2006/relationships/hyperlink" Target="https://m.stock.naver.com/research/company/93354" TargetMode="External"/><Relationship Id="rId5355" Type="http://schemas.openxmlformats.org/officeDocument/2006/relationships/hyperlink" Target="https://m.stock.naver.com/research/company/87885" TargetMode="External"/><Relationship Id="rId6406" Type="http://schemas.openxmlformats.org/officeDocument/2006/relationships/hyperlink" Target="https://m.stock.naver.com/research/company/86834" TargetMode="External"/><Relationship Id="rId9976" Type="http://schemas.openxmlformats.org/officeDocument/2006/relationships/hyperlink" Target="https://m.stock.naver.com/research/company/83245" TargetMode="External"/><Relationship Id="rId5008" Type="http://schemas.openxmlformats.org/officeDocument/2006/relationships/hyperlink" Target="https://m.stock.naver.com/research/company/88232" TargetMode="External"/><Relationship Id="rId8578" Type="http://schemas.openxmlformats.org/officeDocument/2006/relationships/hyperlink" Target="https://m.stock.naver.com/research/company/84659" TargetMode="External"/><Relationship Id="rId9629" Type="http://schemas.openxmlformats.org/officeDocument/2006/relationships/hyperlink" Target="https://m.stock.naver.com/research/company/83596" TargetMode="External"/><Relationship Id="rId12957" Type="http://schemas.openxmlformats.org/officeDocument/2006/relationships/hyperlink" Target="https://m.stock.naver.com/research/company/80251" TargetMode="External"/><Relationship Id="rId1965" Type="http://schemas.openxmlformats.org/officeDocument/2006/relationships/hyperlink" Target="https://m.stock.naver.com/research/company/91290" TargetMode="External"/><Relationship Id="rId11559" Type="http://schemas.openxmlformats.org/officeDocument/2006/relationships/hyperlink" Target="https://m.stock.naver.com/research/company/81654" TargetMode="External"/><Relationship Id="rId14032" Type="http://schemas.openxmlformats.org/officeDocument/2006/relationships/hyperlink" Target="https://m.stock.naver.com/research/company/93815" TargetMode="External"/><Relationship Id="rId15430" Type="http://schemas.openxmlformats.org/officeDocument/2006/relationships/hyperlink" Target="https://m.stock.naver.com/research/company/95357" TargetMode="External"/><Relationship Id="rId1618" Type="http://schemas.openxmlformats.org/officeDocument/2006/relationships/hyperlink" Target="https://m.stock.naver.com/research/company/91637" TargetMode="External"/><Relationship Id="rId3040" Type="http://schemas.openxmlformats.org/officeDocument/2006/relationships/hyperlink" Target="https://m.stock.naver.com/research/company/90211" TargetMode="External"/><Relationship Id="rId7661" Type="http://schemas.openxmlformats.org/officeDocument/2006/relationships/hyperlink" Target="https://m.stock.naver.com/research/company/85578" TargetMode="External"/><Relationship Id="rId8712" Type="http://schemas.openxmlformats.org/officeDocument/2006/relationships/hyperlink" Target="https://m.stock.naver.com/research/company/84525" TargetMode="External"/><Relationship Id="rId10642" Type="http://schemas.openxmlformats.org/officeDocument/2006/relationships/hyperlink" Target="https://m.stock.naver.com/research/company/82578" TargetMode="External"/><Relationship Id="rId6263" Type="http://schemas.openxmlformats.org/officeDocument/2006/relationships/hyperlink" Target="https://m.stock.naver.com/research/company/86977" TargetMode="External"/><Relationship Id="rId7314" Type="http://schemas.openxmlformats.org/officeDocument/2006/relationships/hyperlink" Target="https://m.stock.naver.com/research/company/85925" TargetMode="External"/><Relationship Id="rId13865" Type="http://schemas.openxmlformats.org/officeDocument/2006/relationships/hyperlink" Target="https://m.stock.naver.com/research/company/93662" TargetMode="External"/><Relationship Id="rId2873" Type="http://schemas.openxmlformats.org/officeDocument/2006/relationships/hyperlink" Target="https://m.stock.naver.com/research/company/90380" TargetMode="External"/><Relationship Id="rId3924" Type="http://schemas.openxmlformats.org/officeDocument/2006/relationships/hyperlink" Target="https://m.stock.naver.com/research/company/89327" TargetMode="External"/><Relationship Id="rId9486" Type="http://schemas.openxmlformats.org/officeDocument/2006/relationships/hyperlink" Target="https://m.stock.naver.com/research/company/83741" TargetMode="External"/><Relationship Id="rId12467" Type="http://schemas.openxmlformats.org/officeDocument/2006/relationships/hyperlink" Target="https://m.stock.naver.com/research/company/80741" TargetMode="External"/><Relationship Id="rId13518" Type="http://schemas.openxmlformats.org/officeDocument/2006/relationships/hyperlink" Target="https://m.stock.naver.com/research/company/79686" TargetMode="External"/><Relationship Id="rId14916" Type="http://schemas.openxmlformats.org/officeDocument/2006/relationships/hyperlink" Target="https://m.stock.naver.com/research/company/94918" TargetMode="External"/><Relationship Id="rId845" Type="http://schemas.openxmlformats.org/officeDocument/2006/relationships/hyperlink" Target="https://m.stock.naver.com/research/company/92611" TargetMode="External"/><Relationship Id="rId1475" Type="http://schemas.openxmlformats.org/officeDocument/2006/relationships/hyperlink" Target="https://m.stock.naver.com/research/company/91780" TargetMode="External"/><Relationship Id="rId2526" Type="http://schemas.openxmlformats.org/officeDocument/2006/relationships/hyperlink" Target="https://m.stock.naver.com/research/company/90728" TargetMode="External"/><Relationship Id="rId8088" Type="http://schemas.openxmlformats.org/officeDocument/2006/relationships/hyperlink" Target="https://m.stock.naver.com/research/company/85150" TargetMode="External"/><Relationship Id="rId9139" Type="http://schemas.openxmlformats.org/officeDocument/2006/relationships/hyperlink" Target="https://m.stock.naver.com/research/company/84091" TargetMode="External"/><Relationship Id="rId11069" Type="http://schemas.openxmlformats.org/officeDocument/2006/relationships/hyperlink" Target="https://m.stock.naver.com/research/company/82151" TargetMode="External"/><Relationship Id="rId1128" Type="http://schemas.openxmlformats.org/officeDocument/2006/relationships/hyperlink" Target="https://m.stock.naver.com/research/company/92127" TargetMode="External"/><Relationship Id="rId4698" Type="http://schemas.openxmlformats.org/officeDocument/2006/relationships/hyperlink" Target="https://m.stock.naver.com/research/company/88542" TargetMode="External"/><Relationship Id="rId5749" Type="http://schemas.openxmlformats.org/officeDocument/2006/relationships/hyperlink" Target="https://m.stock.naver.com/research/company/87491" TargetMode="External"/><Relationship Id="rId7171" Type="http://schemas.openxmlformats.org/officeDocument/2006/relationships/hyperlink" Target="https://m.stock.naver.com/research/company/86068" TargetMode="External"/><Relationship Id="rId8222" Type="http://schemas.openxmlformats.org/officeDocument/2006/relationships/hyperlink" Target="https://m.stock.naver.com/research/company/85016" TargetMode="External"/><Relationship Id="rId9620" Type="http://schemas.openxmlformats.org/officeDocument/2006/relationships/hyperlink" Target="https://m.stock.naver.com/research/company/83605" TargetMode="External"/><Relationship Id="rId11550" Type="http://schemas.openxmlformats.org/officeDocument/2006/relationships/hyperlink" Target="https://m.stock.naver.com/research/company/81664" TargetMode="External"/><Relationship Id="rId12601" Type="http://schemas.openxmlformats.org/officeDocument/2006/relationships/hyperlink" Target="https://m.stock.naver.com/research/company/80607" TargetMode="External"/><Relationship Id="rId10152" Type="http://schemas.openxmlformats.org/officeDocument/2006/relationships/hyperlink" Target="https://m.stock.naver.com/research/company/83069" TargetMode="External"/><Relationship Id="rId11203" Type="http://schemas.openxmlformats.org/officeDocument/2006/relationships/hyperlink" Target="https://m.stock.naver.com/research/company/82017" TargetMode="External"/><Relationship Id="rId14773" Type="http://schemas.openxmlformats.org/officeDocument/2006/relationships/hyperlink" Target="https://m.stock.naver.com/research/company/94627" TargetMode="External"/><Relationship Id="rId3781" Type="http://schemas.openxmlformats.org/officeDocument/2006/relationships/hyperlink" Target="https://m.stock.naver.com/research/company/89470" TargetMode="External"/><Relationship Id="rId4832" Type="http://schemas.openxmlformats.org/officeDocument/2006/relationships/hyperlink" Target="https://m.stock.naver.com/research/company/88408" TargetMode="External"/><Relationship Id="rId13375" Type="http://schemas.openxmlformats.org/officeDocument/2006/relationships/hyperlink" Target="https://m.stock.naver.com/research/company/79830" TargetMode="External"/><Relationship Id="rId14426" Type="http://schemas.openxmlformats.org/officeDocument/2006/relationships/hyperlink" Target="https://m.stock.naver.com/research/company/94257" TargetMode="External"/><Relationship Id="rId2383" Type="http://schemas.openxmlformats.org/officeDocument/2006/relationships/hyperlink" Target="https://m.stock.naver.com/research/company/90871" TargetMode="External"/><Relationship Id="rId3434" Type="http://schemas.openxmlformats.org/officeDocument/2006/relationships/hyperlink" Target="https://m.stock.naver.com/research/company/89817" TargetMode="External"/><Relationship Id="rId13028" Type="http://schemas.openxmlformats.org/officeDocument/2006/relationships/hyperlink" Target="https://m.stock.naver.com/research/company/80179" TargetMode="External"/><Relationship Id="rId355" Type="http://schemas.openxmlformats.org/officeDocument/2006/relationships/hyperlink" Target="https://m.stock.naver.com/research/company/93103" TargetMode="External"/><Relationship Id="rId2036" Type="http://schemas.openxmlformats.org/officeDocument/2006/relationships/hyperlink" Target="https://m.stock.naver.com/research/company/91219" TargetMode="External"/><Relationship Id="rId6657" Type="http://schemas.openxmlformats.org/officeDocument/2006/relationships/hyperlink" Target="https://m.stock.naver.com/research/company/86583" TargetMode="External"/><Relationship Id="rId7708" Type="http://schemas.openxmlformats.org/officeDocument/2006/relationships/hyperlink" Target="https://m.stock.naver.com/research/company/85531" TargetMode="External"/><Relationship Id="rId5259" Type="http://schemas.openxmlformats.org/officeDocument/2006/relationships/hyperlink" Target="https://m.stock.naver.com/research/company/87981" TargetMode="External"/><Relationship Id="rId9130" Type="http://schemas.openxmlformats.org/officeDocument/2006/relationships/hyperlink" Target="https://m.stock.naver.com/research/company/84100" TargetMode="External"/><Relationship Id="rId11060" Type="http://schemas.openxmlformats.org/officeDocument/2006/relationships/hyperlink" Target="https://m.stock.naver.com/research/company/82160" TargetMode="External"/><Relationship Id="rId12111" Type="http://schemas.openxmlformats.org/officeDocument/2006/relationships/hyperlink" Target="https://m.stock.naver.com/research/company/81100" TargetMode="External"/><Relationship Id="rId15681" Type="http://schemas.openxmlformats.org/officeDocument/2006/relationships/hyperlink" Target="https://m.stock.naver.com/research/company/95733" TargetMode="External"/><Relationship Id="rId1869" Type="http://schemas.openxmlformats.org/officeDocument/2006/relationships/hyperlink" Target="https://m.stock.naver.com/research/company/91386" TargetMode="External"/><Relationship Id="rId3291" Type="http://schemas.openxmlformats.org/officeDocument/2006/relationships/hyperlink" Target="https://m.stock.naver.com/research/company/89959" TargetMode="External"/><Relationship Id="rId5740" Type="http://schemas.openxmlformats.org/officeDocument/2006/relationships/hyperlink" Target="https://m.stock.naver.com/research/company/87500" TargetMode="External"/><Relationship Id="rId14283" Type="http://schemas.openxmlformats.org/officeDocument/2006/relationships/hyperlink" Target="https://m.stock.naver.com/research/company/94181" TargetMode="External"/><Relationship Id="rId15334" Type="http://schemas.openxmlformats.org/officeDocument/2006/relationships/hyperlink" Target="https://m.stock.naver.com/research/company/95254" TargetMode="External"/><Relationship Id="rId4342" Type="http://schemas.openxmlformats.org/officeDocument/2006/relationships/hyperlink" Target="https://m.stock.naver.com/research/company/88899" TargetMode="External"/><Relationship Id="rId8963" Type="http://schemas.openxmlformats.org/officeDocument/2006/relationships/hyperlink" Target="https://m.stock.naver.com/research/company/84269" TargetMode="External"/><Relationship Id="rId10893" Type="http://schemas.openxmlformats.org/officeDocument/2006/relationships/hyperlink" Target="https://m.stock.naver.com/research/company/82327" TargetMode="External"/><Relationship Id="rId11944" Type="http://schemas.openxmlformats.org/officeDocument/2006/relationships/hyperlink" Target="https://m.stock.naver.com/research/company/81267" TargetMode="External"/><Relationship Id="rId7565" Type="http://schemas.openxmlformats.org/officeDocument/2006/relationships/hyperlink" Target="https://m.stock.naver.com/research/company/85674" TargetMode="External"/><Relationship Id="rId8616" Type="http://schemas.openxmlformats.org/officeDocument/2006/relationships/hyperlink" Target="https://m.stock.naver.com/research/company/84621" TargetMode="External"/><Relationship Id="rId10546" Type="http://schemas.openxmlformats.org/officeDocument/2006/relationships/hyperlink" Target="https://m.stock.naver.com/research/company/82674" TargetMode="External"/><Relationship Id="rId6167" Type="http://schemas.openxmlformats.org/officeDocument/2006/relationships/hyperlink" Target="https://m.stock.naver.com/research/company/87073" TargetMode="External"/><Relationship Id="rId7218" Type="http://schemas.openxmlformats.org/officeDocument/2006/relationships/hyperlink" Target="https://m.stock.naver.com/research/company/86021" TargetMode="External"/><Relationship Id="rId2777" Type="http://schemas.openxmlformats.org/officeDocument/2006/relationships/hyperlink" Target="https://m.stock.naver.com/research/company/90477" TargetMode="External"/><Relationship Id="rId13769" Type="http://schemas.openxmlformats.org/officeDocument/2006/relationships/hyperlink" Target="https://m.stock.naver.com/research/company/93538" TargetMode="External"/><Relationship Id="rId15191" Type="http://schemas.openxmlformats.org/officeDocument/2006/relationships/hyperlink" Target="https://m.stock.naver.com/research/company/95169" TargetMode="External"/><Relationship Id="rId749" Type="http://schemas.openxmlformats.org/officeDocument/2006/relationships/hyperlink" Target="https://m.stock.naver.com/research/company/92707" TargetMode="External"/><Relationship Id="rId1379" Type="http://schemas.openxmlformats.org/officeDocument/2006/relationships/hyperlink" Target="https://m.stock.naver.com/research/company/91876" TargetMode="External"/><Relationship Id="rId3828" Type="http://schemas.openxmlformats.org/officeDocument/2006/relationships/hyperlink" Target="https://m.stock.naver.com/research/company/89423" TargetMode="External"/><Relationship Id="rId5250" Type="http://schemas.openxmlformats.org/officeDocument/2006/relationships/hyperlink" Target="https://m.stock.naver.com/research/company/87990" TargetMode="External"/><Relationship Id="rId6301" Type="http://schemas.openxmlformats.org/officeDocument/2006/relationships/hyperlink" Target="https://m.stock.naver.com/research/company/86939" TargetMode="External"/><Relationship Id="rId9871" Type="http://schemas.openxmlformats.org/officeDocument/2006/relationships/hyperlink" Target="https://m.stock.naver.com/research/company/83351" TargetMode="External"/><Relationship Id="rId12852" Type="http://schemas.openxmlformats.org/officeDocument/2006/relationships/hyperlink" Target="https://m.stock.naver.com/research/company/80356" TargetMode="External"/><Relationship Id="rId13903" Type="http://schemas.openxmlformats.org/officeDocument/2006/relationships/hyperlink" Target="https://m.stock.naver.com/research/company/93699" TargetMode="External"/><Relationship Id="rId85" Type="http://schemas.openxmlformats.org/officeDocument/2006/relationships/hyperlink" Target="https://m.stock.naver.com/research/company/93373" TargetMode="External"/><Relationship Id="rId1860" Type="http://schemas.openxmlformats.org/officeDocument/2006/relationships/hyperlink" Target="https://m.stock.naver.com/research/company/91395" TargetMode="External"/><Relationship Id="rId2911" Type="http://schemas.openxmlformats.org/officeDocument/2006/relationships/hyperlink" Target="https://m.stock.naver.com/research/company/90342" TargetMode="External"/><Relationship Id="rId7075" Type="http://schemas.openxmlformats.org/officeDocument/2006/relationships/hyperlink" Target="https://m.stock.naver.com/research/company/86164" TargetMode="External"/><Relationship Id="rId8473" Type="http://schemas.openxmlformats.org/officeDocument/2006/relationships/hyperlink" Target="https://m.stock.naver.com/research/company/84764" TargetMode="External"/><Relationship Id="rId9524" Type="http://schemas.openxmlformats.org/officeDocument/2006/relationships/hyperlink" Target="https://m.stock.naver.com/research/company/83703" TargetMode="External"/><Relationship Id="rId11454" Type="http://schemas.openxmlformats.org/officeDocument/2006/relationships/hyperlink" Target="https://m.stock.naver.com/research/company/81761" TargetMode="External"/><Relationship Id="rId12505" Type="http://schemas.openxmlformats.org/officeDocument/2006/relationships/hyperlink" Target="https://m.stock.naver.com/research/company/80703" TargetMode="External"/><Relationship Id="rId1513" Type="http://schemas.openxmlformats.org/officeDocument/2006/relationships/hyperlink" Target="https://m.stock.naver.com/research/company/91742" TargetMode="External"/><Relationship Id="rId8126" Type="http://schemas.openxmlformats.org/officeDocument/2006/relationships/hyperlink" Target="https://m.stock.naver.com/research/company/85112" TargetMode="External"/><Relationship Id="rId10056" Type="http://schemas.openxmlformats.org/officeDocument/2006/relationships/hyperlink" Target="https://m.stock.naver.com/research/company/83165" TargetMode="External"/><Relationship Id="rId11107" Type="http://schemas.openxmlformats.org/officeDocument/2006/relationships/hyperlink" Target="https://m.stock.naver.com/research/company/82113" TargetMode="External"/><Relationship Id="rId14677" Type="http://schemas.openxmlformats.org/officeDocument/2006/relationships/hyperlink" Target="https://m.stock.naver.com/research/company/94501" TargetMode="External"/><Relationship Id="rId15728" Type="http://schemas.openxmlformats.org/officeDocument/2006/relationships/hyperlink" Target="https://m.stock.naver.com/research/company/95686" TargetMode="External"/><Relationship Id="rId3685" Type="http://schemas.openxmlformats.org/officeDocument/2006/relationships/hyperlink" Target="https://m.stock.naver.com/research/company/89566" TargetMode="External"/><Relationship Id="rId4736" Type="http://schemas.openxmlformats.org/officeDocument/2006/relationships/hyperlink" Target="https://m.stock.naver.com/research/company/88504" TargetMode="External"/><Relationship Id="rId13279" Type="http://schemas.openxmlformats.org/officeDocument/2006/relationships/hyperlink" Target="https://m.stock.naver.com/research/company/79927" TargetMode="External"/><Relationship Id="rId2287" Type="http://schemas.openxmlformats.org/officeDocument/2006/relationships/hyperlink" Target="https://m.stock.naver.com/research/company/90968" TargetMode="External"/><Relationship Id="rId3338" Type="http://schemas.openxmlformats.org/officeDocument/2006/relationships/hyperlink" Target="https://m.stock.naver.com/research/company/89912" TargetMode="External"/><Relationship Id="rId7959" Type="http://schemas.openxmlformats.org/officeDocument/2006/relationships/hyperlink" Target="https://m.stock.naver.com/research/company/85279" TargetMode="External"/><Relationship Id="rId259" Type="http://schemas.openxmlformats.org/officeDocument/2006/relationships/hyperlink" Target="https://m.stock.naver.com/research/company/93199" TargetMode="External"/><Relationship Id="rId9381" Type="http://schemas.openxmlformats.org/officeDocument/2006/relationships/hyperlink" Target="https://m.stock.naver.com/research/company/83846" TargetMode="External"/><Relationship Id="rId13760" Type="http://schemas.openxmlformats.org/officeDocument/2006/relationships/hyperlink" Target="https://m.stock.naver.com/research/company/93547" TargetMode="External"/><Relationship Id="rId14811" Type="http://schemas.openxmlformats.org/officeDocument/2006/relationships/hyperlink" Target="https://m.stock.naver.com/research/company/94589" TargetMode="External"/><Relationship Id="rId1370" Type="http://schemas.openxmlformats.org/officeDocument/2006/relationships/hyperlink" Target="https://m.stock.naver.com/research/company/91885" TargetMode="External"/><Relationship Id="rId9034" Type="http://schemas.openxmlformats.org/officeDocument/2006/relationships/hyperlink" Target="https://m.stock.naver.com/research/company/84198" TargetMode="External"/><Relationship Id="rId12362" Type="http://schemas.openxmlformats.org/officeDocument/2006/relationships/hyperlink" Target="https://m.stock.naver.com/research/company/80847" TargetMode="External"/><Relationship Id="rId13413" Type="http://schemas.openxmlformats.org/officeDocument/2006/relationships/hyperlink" Target="https://m.stock.naver.com/research/company/79792" TargetMode="External"/><Relationship Id="rId740" Type="http://schemas.openxmlformats.org/officeDocument/2006/relationships/hyperlink" Target="https://m.stock.naver.com/research/company/92716" TargetMode="External"/><Relationship Id="rId1023" Type="http://schemas.openxmlformats.org/officeDocument/2006/relationships/hyperlink" Target="https://m.stock.naver.com/research/company/92328" TargetMode="External"/><Relationship Id="rId2421" Type="http://schemas.openxmlformats.org/officeDocument/2006/relationships/hyperlink" Target="https://m.stock.naver.com/research/company/90833" TargetMode="External"/><Relationship Id="rId5991" Type="http://schemas.openxmlformats.org/officeDocument/2006/relationships/hyperlink" Target="https://m.stock.naver.com/research/company/87249" TargetMode="External"/><Relationship Id="rId12015" Type="http://schemas.openxmlformats.org/officeDocument/2006/relationships/hyperlink" Target="https://m.stock.naver.com/research/company/81196" TargetMode="External"/><Relationship Id="rId15585" Type="http://schemas.openxmlformats.org/officeDocument/2006/relationships/hyperlink" Target="https://m.stock.naver.com/research/company/95451" TargetMode="External"/><Relationship Id="rId4593" Type="http://schemas.openxmlformats.org/officeDocument/2006/relationships/hyperlink" Target="https://m.stock.naver.com/research/company/88647" TargetMode="External"/><Relationship Id="rId5644" Type="http://schemas.openxmlformats.org/officeDocument/2006/relationships/hyperlink" Target="https://m.stock.naver.com/research/company/87596" TargetMode="External"/><Relationship Id="rId14187" Type="http://schemas.openxmlformats.org/officeDocument/2006/relationships/hyperlink" Target="https://m.stock.naver.com/research/company/94071" TargetMode="External"/><Relationship Id="rId15238" Type="http://schemas.openxmlformats.org/officeDocument/2006/relationships/hyperlink" Target="https://m.stock.naver.com/research/company/95122" TargetMode="External"/><Relationship Id="rId3195" Type="http://schemas.openxmlformats.org/officeDocument/2006/relationships/hyperlink" Target="https://m.stock.naver.com/research/company/90056" TargetMode="External"/><Relationship Id="rId4246" Type="http://schemas.openxmlformats.org/officeDocument/2006/relationships/hyperlink" Target="https://m.stock.naver.com/research/company/88996" TargetMode="External"/><Relationship Id="rId8867" Type="http://schemas.openxmlformats.org/officeDocument/2006/relationships/hyperlink" Target="https://m.stock.naver.com/research/company/84370" TargetMode="External"/><Relationship Id="rId9918" Type="http://schemas.openxmlformats.org/officeDocument/2006/relationships/hyperlink" Target="https://m.stock.naver.com/research/company/83304" TargetMode="External"/><Relationship Id="rId10797" Type="http://schemas.openxmlformats.org/officeDocument/2006/relationships/hyperlink" Target="https://m.stock.naver.com/research/company/82423" TargetMode="External"/><Relationship Id="rId7469" Type="http://schemas.openxmlformats.org/officeDocument/2006/relationships/hyperlink" Target="https://m.stock.naver.com/research/company/85770" TargetMode="External"/><Relationship Id="rId11848" Type="http://schemas.openxmlformats.org/officeDocument/2006/relationships/hyperlink" Target="https://m.stock.naver.com/research/company/81364" TargetMode="External"/><Relationship Id="rId13270" Type="http://schemas.openxmlformats.org/officeDocument/2006/relationships/hyperlink" Target="https://m.stock.naver.com/research/company/79936" TargetMode="External"/><Relationship Id="rId14321" Type="http://schemas.openxmlformats.org/officeDocument/2006/relationships/hyperlink" Target="https://m.stock.naver.com/research/company/94143" TargetMode="External"/><Relationship Id="rId1907" Type="http://schemas.openxmlformats.org/officeDocument/2006/relationships/hyperlink" Target="https://m.stock.naver.com/research/company/91348" TargetMode="External"/><Relationship Id="rId250" Type="http://schemas.openxmlformats.org/officeDocument/2006/relationships/hyperlink" Target="https://m.stock.naver.com/research/company/93208" TargetMode="External"/><Relationship Id="rId7950" Type="http://schemas.openxmlformats.org/officeDocument/2006/relationships/hyperlink" Target="https://m.stock.naver.com/research/company/85288" TargetMode="External"/><Relationship Id="rId10931" Type="http://schemas.openxmlformats.org/officeDocument/2006/relationships/hyperlink" Target="https://m.stock.naver.com/research/company/82289" TargetMode="External"/><Relationship Id="rId15095" Type="http://schemas.openxmlformats.org/officeDocument/2006/relationships/hyperlink" Target="https://m.stock.naver.com/research/company/94999" TargetMode="External"/><Relationship Id="rId5154" Type="http://schemas.openxmlformats.org/officeDocument/2006/relationships/hyperlink" Target="https://m.stock.naver.com/research/company/88086" TargetMode="External"/><Relationship Id="rId6552" Type="http://schemas.openxmlformats.org/officeDocument/2006/relationships/hyperlink" Target="https://m.stock.naver.com/research/company/86688" TargetMode="External"/><Relationship Id="rId7603" Type="http://schemas.openxmlformats.org/officeDocument/2006/relationships/hyperlink" Target="https://m.stock.naver.com/research/company/85636" TargetMode="External"/><Relationship Id="rId6205" Type="http://schemas.openxmlformats.org/officeDocument/2006/relationships/hyperlink" Target="https://m.stock.naver.com/research/company/87035" TargetMode="External"/><Relationship Id="rId9775" Type="http://schemas.openxmlformats.org/officeDocument/2006/relationships/hyperlink" Target="https://m.stock.naver.com/research/company/83448" TargetMode="External"/><Relationship Id="rId12756" Type="http://schemas.openxmlformats.org/officeDocument/2006/relationships/hyperlink" Target="https://m.stock.naver.com/research/company/80452" TargetMode="External"/><Relationship Id="rId13807" Type="http://schemas.openxmlformats.org/officeDocument/2006/relationships/hyperlink" Target="https://m.stock.naver.com/research/company/93571" TargetMode="External"/><Relationship Id="rId1764" Type="http://schemas.openxmlformats.org/officeDocument/2006/relationships/hyperlink" Target="https://m.stock.naver.com/research/company/91491" TargetMode="External"/><Relationship Id="rId2815" Type="http://schemas.openxmlformats.org/officeDocument/2006/relationships/hyperlink" Target="https://m.stock.naver.com/research/company/90438" TargetMode="External"/><Relationship Id="rId8377" Type="http://schemas.openxmlformats.org/officeDocument/2006/relationships/hyperlink" Target="https://m.stock.naver.com/research/company/84861" TargetMode="External"/><Relationship Id="rId9428" Type="http://schemas.openxmlformats.org/officeDocument/2006/relationships/hyperlink" Target="https://m.stock.naver.com/research/company/83799" TargetMode="External"/><Relationship Id="rId11358" Type="http://schemas.openxmlformats.org/officeDocument/2006/relationships/hyperlink" Target="https://m.stock.naver.com/research/company/81857" TargetMode="External"/><Relationship Id="rId12409" Type="http://schemas.openxmlformats.org/officeDocument/2006/relationships/hyperlink" Target="https://m.stock.naver.com/research/company/80800" TargetMode="External"/><Relationship Id="rId1417" Type="http://schemas.openxmlformats.org/officeDocument/2006/relationships/hyperlink" Target="https://m.stock.naver.com/research/company/91838" TargetMode="External"/><Relationship Id="rId4987" Type="http://schemas.openxmlformats.org/officeDocument/2006/relationships/hyperlink" Target="https://m.stock.naver.com/research/company/88253" TargetMode="External"/><Relationship Id="rId3589" Type="http://schemas.openxmlformats.org/officeDocument/2006/relationships/hyperlink" Target="https://m.stock.naver.com/research/company/89662" TargetMode="External"/><Relationship Id="rId7460" Type="http://schemas.openxmlformats.org/officeDocument/2006/relationships/hyperlink" Target="https://m.stock.naver.com/research/company/85779" TargetMode="External"/><Relationship Id="rId8511" Type="http://schemas.openxmlformats.org/officeDocument/2006/relationships/hyperlink" Target="https://m.stock.naver.com/research/company/84726" TargetMode="External"/><Relationship Id="rId6062" Type="http://schemas.openxmlformats.org/officeDocument/2006/relationships/hyperlink" Target="https://m.stock.naver.com/research/company/87178" TargetMode="External"/><Relationship Id="rId7113" Type="http://schemas.openxmlformats.org/officeDocument/2006/relationships/hyperlink" Target="https://m.stock.naver.com/research/company/86126" TargetMode="External"/><Relationship Id="rId10441" Type="http://schemas.openxmlformats.org/officeDocument/2006/relationships/hyperlink" Target="https://m.stock.naver.com/research/company/82780" TargetMode="External"/><Relationship Id="rId9285" Type="http://schemas.openxmlformats.org/officeDocument/2006/relationships/hyperlink" Target="https://m.stock.naver.com/research/company/83942" TargetMode="External"/><Relationship Id="rId13664" Type="http://schemas.openxmlformats.org/officeDocument/2006/relationships/hyperlink" Target="https://m.stock.naver.com/research/company/79540" TargetMode="External"/><Relationship Id="rId14715" Type="http://schemas.openxmlformats.org/officeDocument/2006/relationships/hyperlink" Target="https://m.stock.naver.com/research/company/94685" TargetMode="External"/><Relationship Id="rId991" Type="http://schemas.openxmlformats.org/officeDocument/2006/relationships/hyperlink" Target="https://m.stock.naver.com/research/company/92465" TargetMode="External"/><Relationship Id="rId2672" Type="http://schemas.openxmlformats.org/officeDocument/2006/relationships/hyperlink" Target="https://m.stock.naver.com/research/company/90582" TargetMode="External"/><Relationship Id="rId3723" Type="http://schemas.openxmlformats.org/officeDocument/2006/relationships/hyperlink" Target="https://m.stock.naver.com/research/company/89528" TargetMode="External"/><Relationship Id="rId12266" Type="http://schemas.openxmlformats.org/officeDocument/2006/relationships/hyperlink" Target="https://m.stock.naver.com/research/company/80943" TargetMode="External"/><Relationship Id="rId13317" Type="http://schemas.openxmlformats.org/officeDocument/2006/relationships/hyperlink" Target="https://m.stock.naver.com/research/company/79888" TargetMode="External"/><Relationship Id="rId644" Type="http://schemas.openxmlformats.org/officeDocument/2006/relationships/hyperlink" Target="https://m.stock.naver.com/research/company/92812" TargetMode="External"/><Relationship Id="rId1274" Type="http://schemas.openxmlformats.org/officeDocument/2006/relationships/hyperlink" Target="https://m.stock.naver.com/research/company/91981" TargetMode="External"/><Relationship Id="rId2325" Type="http://schemas.openxmlformats.org/officeDocument/2006/relationships/hyperlink" Target="https://m.stock.naver.com/research/company/90930" TargetMode="External"/><Relationship Id="rId5895" Type="http://schemas.openxmlformats.org/officeDocument/2006/relationships/hyperlink" Target="https://m.stock.naver.com/research/company/87345" TargetMode="External"/><Relationship Id="rId6946" Type="http://schemas.openxmlformats.org/officeDocument/2006/relationships/hyperlink" Target="https://m.stock.naver.com/research/company/86293" TargetMode="External"/><Relationship Id="rId15489" Type="http://schemas.openxmlformats.org/officeDocument/2006/relationships/hyperlink" Target="https://m.stock.naver.com/research/company/95298" TargetMode="External"/><Relationship Id="rId4497" Type="http://schemas.openxmlformats.org/officeDocument/2006/relationships/hyperlink" Target="https://m.stock.naver.com/research/company/88743" TargetMode="External"/><Relationship Id="rId5548" Type="http://schemas.openxmlformats.org/officeDocument/2006/relationships/hyperlink" Target="https://m.stock.naver.com/research/company/87692" TargetMode="External"/><Relationship Id="rId12400" Type="http://schemas.openxmlformats.org/officeDocument/2006/relationships/hyperlink" Target="https://m.stock.naver.com/research/company/80809" TargetMode="External"/><Relationship Id="rId3099" Type="http://schemas.openxmlformats.org/officeDocument/2006/relationships/hyperlink" Target="https://m.stock.naver.com/research/company/90152" TargetMode="External"/><Relationship Id="rId8021" Type="http://schemas.openxmlformats.org/officeDocument/2006/relationships/hyperlink" Target="https://m.stock.naver.com/research/company/85217" TargetMode="External"/><Relationship Id="rId11002" Type="http://schemas.openxmlformats.org/officeDocument/2006/relationships/hyperlink" Target="https://m.stock.naver.com/research/company/82218" TargetMode="External"/><Relationship Id="rId3580" Type="http://schemas.openxmlformats.org/officeDocument/2006/relationships/hyperlink" Target="https://m.stock.naver.com/research/company/89671" TargetMode="External"/><Relationship Id="rId13174" Type="http://schemas.openxmlformats.org/officeDocument/2006/relationships/hyperlink" Target="https://m.stock.naver.com/research/company/80033" TargetMode="External"/><Relationship Id="rId14572" Type="http://schemas.openxmlformats.org/officeDocument/2006/relationships/hyperlink" Target="https://m.stock.naver.com/research/company/94338" TargetMode="External"/><Relationship Id="rId15623" Type="http://schemas.openxmlformats.org/officeDocument/2006/relationships/hyperlink" Target="https://m.stock.naver.com/research/company/95413" TargetMode="External"/><Relationship Id="rId2182" Type="http://schemas.openxmlformats.org/officeDocument/2006/relationships/hyperlink" Target="https://m.stock.naver.com/research/company/91073" TargetMode="External"/><Relationship Id="rId3233" Type="http://schemas.openxmlformats.org/officeDocument/2006/relationships/hyperlink" Target="https://m.stock.naver.com/research/company/90018" TargetMode="External"/><Relationship Id="rId4631" Type="http://schemas.openxmlformats.org/officeDocument/2006/relationships/hyperlink" Target="https://m.stock.naver.com/research/company/88609" TargetMode="External"/><Relationship Id="rId14225" Type="http://schemas.openxmlformats.org/officeDocument/2006/relationships/hyperlink" Target="https://m.stock.naver.com/research/company/94118" TargetMode="External"/><Relationship Id="rId154" Type="http://schemas.openxmlformats.org/officeDocument/2006/relationships/hyperlink" Target="https://m.stock.naver.com/research/company/93304" TargetMode="External"/><Relationship Id="rId7854" Type="http://schemas.openxmlformats.org/officeDocument/2006/relationships/hyperlink" Target="https://m.stock.naver.com/research/company/85384" TargetMode="External"/><Relationship Id="rId8905" Type="http://schemas.openxmlformats.org/officeDocument/2006/relationships/hyperlink" Target="https://m.stock.naver.com/research/company/84331" TargetMode="External"/><Relationship Id="rId10835" Type="http://schemas.openxmlformats.org/officeDocument/2006/relationships/hyperlink" Target="https://m.stock.naver.com/research/company/82385" TargetMode="External"/><Relationship Id="rId6456" Type="http://schemas.openxmlformats.org/officeDocument/2006/relationships/hyperlink" Target="https://m.stock.naver.com/research/company/86784" TargetMode="External"/><Relationship Id="rId7507" Type="http://schemas.openxmlformats.org/officeDocument/2006/relationships/hyperlink" Target="https://m.stock.naver.com/research/company/85732" TargetMode="External"/><Relationship Id="rId5058" Type="http://schemas.openxmlformats.org/officeDocument/2006/relationships/hyperlink" Target="https://m.stock.naver.com/research/company/88182" TargetMode="External"/><Relationship Id="rId6109" Type="http://schemas.openxmlformats.org/officeDocument/2006/relationships/hyperlink" Target="https://m.stock.naver.com/research/company/87131" TargetMode="External"/><Relationship Id="rId9679" Type="http://schemas.openxmlformats.org/officeDocument/2006/relationships/hyperlink" Target="https://m.stock.naver.com/research/company/83544" TargetMode="External"/><Relationship Id="rId15480" Type="http://schemas.openxmlformats.org/officeDocument/2006/relationships/hyperlink" Target="https://m.stock.naver.com/research/company/95307" TargetMode="External"/><Relationship Id="rId1668" Type="http://schemas.openxmlformats.org/officeDocument/2006/relationships/hyperlink" Target="https://m.stock.naver.com/research/company/91587" TargetMode="External"/><Relationship Id="rId2719" Type="http://schemas.openxmlformats.org/officeDocument/2006/relationships/hyperlink" Target="https://m.stock.naver.com/research/company/90535" TargetMode="External"/><Relationship Id="rId14082" Type="http://schemas.openxmlformats.org/officeDocument/2006/relationships/hyperlink" Target="https://m.stock.naver.com/research/company/93920" TargetMode="External"/><Relationship Id="rId15133" Type="http://schemas.openxmlformats.org/officeDocument/2006/relationships/hyperlink" Target="https://m.stock.naver.com/research/company/94961" TargetMode="External"/><Relationship Id="rId3090" Type="http://schemas.openxmlformats.org/officeDocument/2006/relationships/hyperlink" Target="https://m.stock.naver.com/research/company/90161" TargetMode="External"/><Relationship Id="rId4141" Type="http://schemas.openxmlformats.org/officeDocument/2006/relationships/hyperlink" Target="https://m.stock.naver.com/research/company/89110" TargetMode="External"/><Relationship Id="rId7364" Type="http://schemas.openxmlformats.org/officeDocument/2006/relationships/hyperlink" Target="https://m.stock.naver.com/research/company/85875" TargetMode="External"/><Relationship Id="rId8762" Type="http://schemas.openxmlformats.org/officeDocument/2006/relationships/hyperlink" Target="https://m.stock.naver.com/research/company/84475" TargetMode="External"/><Relationship Id="rId9813" Type="http://schemas.openxmlformats.org/officeDocument/2006/relationships/hyperlink" Target="https://m.stock.naver.com/research/company/83409" TargetMode="External"/><Relationship Id="rId10692" Type="http://schemas.openxmlformats.org/officeDocument/2006/relationships/hyperlink" Target="https://m.stock.naver.com/research/company/82528" TargetMode="External"/><Relationship Id="rId11743" Type="http://schemas.openxmlformats.org/officeDocument/2006/relationships/hyperlink" Target="https://m.stock.naver.com/research/company/81469" TargetMode="External"/><Relationship Id="rId27" Type="http://schemas.openxmlformats.org/officeDocument/2006/relationships/hyperlink" Target="https://m.stock.naver.com/research/company/93431" TargetMode="External"/><Relationship Id="rId1802" Type="http://schemas.openxmlformats.org/officeDocument/2006/relationships/hyperlink" Target="https://m.stock.naver.com/research/company/91453" TargetMode="External"/><Relationship Id="rId7017" Type="http://schemas.openxmlformats.org/officeDocument/2006/relationships/hyperlink" Target="https://m.stock.naver.com/research/company/86222" TargetMode="External"/><Relationship Id="rId8415" Type="http://schemas.openxmlformats.org/officeDocument/2006/relationships/hyperlink" Target="https://m.stock.naver.com/research/company/84823" TargetMode="External"/><Relationship Id="rId10345" Type="http://schemas.openxmlformats.org/officeDocument/2006/relationships/hyperlink" Target="https://m.stock.naver.com/research/company/82876" TargetMode="External"/><Relationship Id="rId14966" Type="http://schemas.openxmlformats.org/officeDocument/2006/relationships/hyperlink" Target="https://m.stock.naver.com/research/company/94868" TargetMode="External"/><Relationship Id="rId3974" Type="http://schemas.openxmlformats.org/officeDocument/2006/relationships/hyperlink" Target="https://m.stock.naver.com/research/company/89277" TargetMode="External"/><Relationship Id="rId13568" Type="http://schemas.openxmlformats.org/officeDocument/2006/relationships/hyperlink" Target="https://m.stock.naver.com/research/company/79636" TargetMode="External"/><Relationship Id="rId14619" Type="http://schemas.openxmlformats.org/officeDocument/2006/relationships/hyperlink" Target="https://m.stock.naver.com/research/company/94558" TargetMode="External"/><Relationship Id="rId895" Type="http://schemas.openxmlformats.org/officeDocument/2006/relationships/hyperlink" Target="https://m.stock.naver.com/research/company/92561" TargetMode="External"/><Relationship Id="rId2576" Type="http://schemas.openxmlformats.org/officeDocument/2006/relationships/hyperlink" Target="https://m.stock.naver.com/research/company/90678" TargetMode="External"/><Relationship Id="rId3627" Type="http://schemas.openxmlformats.org/officeDocument/2006/relationships/hyperlink" Target="https://m.stock.naver.com/research/company/89624" TargetMode="External"/><Relationship Id="rId9189" Type="http://schemas.openxmlformats.org/officeDocument/2006/relationships/hyperlink" Target="https://m.stock.naver.com/research/company/84041" TargetMode="External"/><Relationship Id="rId548" Type="http://schemas.openxmlformats.org/officeDocument/2006/relationships/hyperlink" Target="https://m.stock.naver.com/research/company/92909" TargetMode="External"/><Relationship Id="rId1178" Type="http://schemas.openxmlformats.org/officeDocument/2006/relationships/hyperlink" Target="https://m.stock.naver.com/research/company/92077" TargetMode="External"/><Relationship Id="rId2229" Type="http://schemas.openxmlformats.org/officeDocument/2006/relationships/hyperlink" Target="https://m.stock.naver.com/research/company/91026" TargetMode="External"/><Relationship Id="rId5799" Type="http://schemas.openxmlformats.org/officeDocument/2006/relationships/hyperlink" Target="https://m.stock.naver.com/research/company/87441" TargetMode="External"/><Relationship Id="rId6100" Type="http://schemas.openxmlformats.org/officeDocument/2006/relationships/hyperlink" Target="https://m.stock.naver.com/research/company/87140" TargetMode="External"/><Relationship Id="rId9670" Type="http://schemas.openxmlformats.org/officeDocument/2006/relationships/hyperlink" Target="https://m.stock.naver.com/research/company/83554" TargetMode="External"/><Relationship Id="rId8272" Type="http://schemas.openxmlformats.org/officeDocument/2006/relationships/hyperlink" Target="https://m.stock.naver.com/research/company/84966" TargetMode="External"/><Relationship Id="rId9323" Type="http://schemas.openxmlformats.org/officeDocument/2006/relationships/hyperlink" Target="https://m.stock.naver.com/research/company/83904" TargetMode="External"/><Relationship Id="rId12651" Type="http://schemas.openxmlformats.org/officeDocument/2006/relationships/hyperlink" Target="https://m.stock.naver.com/research/company/80557" TargetMode="External"/><Relationship Id="rId13702" Type="http://schemas.openxmlformats.org/officeDocument/2006/relationships/hyperlink" Target="https://m.stock.naver.com/research/company/93472" TargetMode="External"/><Relationship Id="rId1312" Type="http://schemas.openxmlformats.org/officeDocument/2006/relationships/hyperlink" Target="https://m.stock.naver.com/research/company/91943" TargetMode="External"/><Relationship Id="rId2710" Type="http://schemas.openxmlformats.org/officeDocument/2006/relationships/hyperlink" Target="https://m.stock.naver.com/research/company/90544" TargetMode="External"/><Relationship Id="rId11253" Type="http://schemas.openxmlformats.org/officeDocument/2006/relationships/hyperlink" Target="https://m.stock.naver.com/research/company/81966" TargetMode="External"/><Relationship Id="rId12304" Type="http://schemas.openxmlformats.org/officeDocument/2006/relationships/hyperlink" Target="https://m.stock.naver.com/research/company/80905" TargetMode="External"/><Relationship Id="rId4882" Type="http://schemas.openxmlformats.org/officeDocument/2006/relationships/hyperlink" Target="https://m.stock.naver.com/research/company/88358" TargetMode="External"/><Relationship Id="rId5933" Type="http://schemas.openxmlformats.org/officeDocument/2006/relationships/hyperlink" Target="https://m.stock.naver.com/research/company/87307" TargetMode="External"/><Relationship Id="rId14476" Type="http://schemas.openxmlformats.org/officeDocument/2006/relationships/hyperlink" Target="https://m.stock.naver.com/research/company/94434" TargetMode="External"/><Relationship Id="rId15527" Type="http://schemas.openxmlformats.org/officeDocument/2006/relationships/hyperlink" Target="https://m.stock.naver.com/research/company/95509" TargetMode="External"/><Relationship Id="rId2086" Type="http://schemas.openxmlformats.org/officeDocument/2006/relationships/hyperlink" Target="https://m.stock.naver.com/research/company/91169" TargetMode="External"/><Relationship Id="rId3484" Type="http://schemas.openxmlformats.org/officeDocument/2006/relationships/hyperlink" Target="https://m.stock.naver.com/research/company/89767" TargetMode="External"/><Relationship Id="rId4535" Type="http://schemas.openxmlformats.org/officeDocument/2006/relationships/hyperlink" Target="https://m.stock.naver.com/research/company/88705" TargetMode="External"/><Relationship Id="rId13078" Type="http://schemas.openxmlformats.org/officeDocument/2006/relationships/hyperlink" Target="https://m.stock.naver.com/research/company/80129" TargetMode="External"/><Relationship Id="rId14129" Type="http://schemas.openxmlformats.org/officeDocument/2006/relationships/hyperlink" Target="https://m.stock.naver.com/research/company/93999" TargetMode="External"/><Relationship Id="rId3137" Type="http://schemas.openxmlformats.org/officeDocument/2006/relationships/hyperlink" Target="https://m.stock.naver.com/research/company/90114" TargetMode="External"/><Relationship Id="rId7758" Type="http://schemas.openxmlformats.org/officeDocument/2006/relationships/hyperlink" Target="https://m.stock.naver.com/research/company/85481" TargetMode="External"/><Relationship Id="rId8809" Type="http://schemas.openxmlformats.org/officeDocument/2006/relationships/hyperlink" Target="https://m.stock.naver.com/research/company/84428" TargetMode="External"/><Relationship Id="rId10739" Type="http://schemas.openxmlformats.org/officeDocument/2006/relationships/hyperlink" Target="https://m.stock.naver.com/research/company/82481" TargetMode="External"/><Relationship Id="rId14610" Type="http://schemas.openxmlformats.org/officeDocument/2006/relationships/hyperlink" Target="https://m.stock.naver.com/research/company/94567" TargetMode="External"/><Relationship Id="rId9180" Type="http://schemas.openxmlformats.org/officeDocument/2006/relationships/hyperlink" Target="https://m.stock.naver.com/research/company/84050" TargetMode="External"/><Relationship Id="rId12161" Type="http://schemas.openxmlformats.org/officeDocument/2006/relationships/hyperlink" Target="https://m.stock.naver.com/research/company/81050" TargetMode="External"/><Relationship Id="rId13212" Type="http://schemas.openxmlformats.org/officeDocument/2006/relationships/hyperlink" Target="https://m.stock.naver.com/research/company/79995" TargetMode="External"/><Relationship Id="rId2220" Type="http://schemas.openxmlformats.org/officeDocument/2006/relationships/hyperlink" Target="https://m.stock.naver.com/research/company/91035" TargetMode="External"/><Relationship Id="rId5790" Type="http://schemas.openxmlformats.org/officeDocument/2006/relationships/hyperlink" Target="https://m.stock.naver.com/research/company/87450" TargetMode="External"/><Relationship Id="rId15384" Type="http://schemas.openxmlformats.org/officeDocument/2006/relationships/hyperlink" Target="https://m.stock.naver.com/research/company/95403" TargetMode="External"/><Relationship Id="rId4392" Type="http://schemas.openxmlformats.org/officeDocument/2006/relationships/hyperlink" Target="https://m.stock.naver.com/research/company/88849" TargetMode="External"/><Relationship Id="rId5443" Type="http://schemas.openxmlformats.org/officeDocument/2006/relationships/hyperlink" Target="https://m.stock.naver.com/research/company/87797" TargetMode="External"/><Relationship Id="rId6841" Type="http://schemas.openxmlformats.org/officeDocument/2006/relationships/hyperlink" Target="https://m.stock.naver.com/research/company/86399" TargetMode="External"/><Relationship Id="rId15037" Type="http://schemas.openxmlformats.org/officeDocument/2006/relationships/hyperlink" Target="https://m.stock.naver.com/research/company/94931" TargetMode="External"/><Relationship Id="rId4045" Type="http://schemas.openxmlformats.org/officeDocument/2006/relationships/hyperlink" Target="https://m.stock.naver.com/research/company/89206" TargetMode="External"/><Relationship Id="rId11994" Type="http://schemas.openxmlformats.org/officeDocument/2006/relationships/hyperlink" Target="https://m.stock.naver.com/research/company/81217" TargetMode="External"/><Relationship Id="rId8666" Type="http://schemas.openxmlformats.org/officeDocument/2006/relationships/hyperlink" Target="https://m.stock.naver.com/research/company/84571" TargetMode="External"/><Relationship Id="rId9717" Type="http://schemas.openxmlformats.org/officeDocument/2006/relationships/hyperlink" Target="https://m.stock.naver.com/research/company/83506" TargetMode="External"/><Relationship Id="rId10596" Type="http://schemas.openxmlformats.org/officeDocument/2006/relationships/hyperlink" Target="https://m.stock.naver.com/research/company/82624" TargetMode="External"/><Relationship Id="rId11647" Type="http://schemas.openxmlformats.org/officeDocument/2006/relationships/hyperlink" Target="https://m.stock.naver.com/research/company/81565" TargetMode="External"/><Relationship Id="rId1706" Type="http://schemas.openxmlformats.org/officeDocument/2006/relationships/hyperlink" Target="https://m.stock.naver.com/research/company/91549" TargetMode="External"/><Relationship Id="rId7268" Type="http://schemas.openxmlformats.org/officeDocument/2006/relationships/hyperlink" Target="https://m.stock.naver.com/research/company/85971" TargetMode="External"/><Relationship Id="rId8319" Type="http://schemas.openxmlformats.org/officeDocument/2006/relationships/hyperlink" Target="https://m.stock.naver.com/research/company/84919" TargetMode="External"/><Relationship Id="rId10249" Type="http://schemas.openxmlformats.org/officeDocument/2006/relationships/hyperlink" Target="https://m.stock.naver.com/research/company/82972" TargetMode="External"/><Relationship Id="rId14120" Type="http://schemas.openxmlformats.org/officeDocument/2006/relationships/hyperlink" Target="https://m.stock.naver.com/research/company/94008" TargetMode="External"/><Relationship Id="rId3878" Type="http://schemas.openxmlformats.org/officeDocument/2006/relationships/hyperlink" Target="https://m.stock.naver.com/research/company/89373" TargetMode="External"/><Relationship Id="rId4929" Type="http://schemas.openxmlformats.org/officeDocument/2006/relationships/hyperlink" Target="https://m.stock.naver.com/research/company/88311" TargetMode="External"/><Relationship Id="rId8800" Type="http://schemas.openxmlformats.org/officeDocument/2006/relationships/hyperlink" Target="https://m.stock.naver.com/research/company/84437" TargetMode="External"/><Relationship Id="rId799" Type="http://schemas.openxmlformats.org/officeDocument/2006/relationships/hyperlink" Target="https://m.stock.naver.com/research/company/92657" TargetMode="External"/><Relationship Id="rId6351" Type="http://schemas.openxmlformats.org/officeDocument/2006/relationships/hyperlink" Target="https://m.stock.naver.com/research/company/86889" TargetMode="External"/><Relationship Id="rId7402" Type="http://schemas.openxmlformats.org/officeDocument/2006/relationships/hyperlink" Target="https://m.stock.naver.com/research/company/85837" TargetMode="External"/><Relationship Id="rId10730" Type="http://schemas.openxmlformats.org/officeDocument/2006/relationships/hyperlink" Target="https://m.stock.naver.com/research/company/82490" TargetMode="External"/><Relationship Id="rId6004" Type="http://schemas.openxmlformats.org/officeDocument/2006/relationships/hyperlink" Target="https://m.stock.naver.com/research/company/87236" TargetMode="External"/><Relationship Id="rId9574" Type="http://schemas.openxmlformats.org/officeDocument/2006/relationships/hyperlink" Target="https://m.stock.naver.com/research/company/83653" TargetMode="External"/><Relationship Id="rId13953" Type="http://schemas.openxmlformats.org/officeDocument/2006/relationships/hyperlink" Target="https://m.stock.naver.com/research/company/93779" TargetMode="External"/><Relationship Id="rId2961" Type="http://schemas.openxmlformats.org/officeDocument/2006/relationships/hyperlink" Target="https://m.stock.naver.com/research/company/90292" TargetMode="External"/><Relationship Id="rId8176" Type="http://schemas.openxmlformats.org/officeDocument/2006/relationships/hyperlink" Target="https://m.stock.naver.com/research/company/85062" TargetMode="External"/><Relationship Id="rId9227" Type="http://schemas.openxmlformats.org/officeDocument/2006/relationships/hyperlink" Target="https://m.stock.naver.com/research/company/84003" TargetMode="External"/><Relationship Id="rId12555" Type="http://schemas.openxmlformats.org/officeDocument/2006/relationships/hyperlink" Target="https://m.stock.naver.com/research/company/80653" TargetMode="External"/><Relationship Id="rId13606" Type="http://schemas.openxmlformats.org/officeDocument/2006/relationships/hyperlink" Target="https://m.stock.naver.com/research/company/79598" TargetMode="External"/><Relationship Id="rId933" Type="http://schemas.openxmlformats.org/officeDocument/2006/relationships/hyperlink" Target="https://m.stock.naver.com/research/company/92523" TargetMode="External"/><Relationship Id="rId1563" Type="http://schemas.openxmlformats.org/officeDocument/2006/relationships/hyperlink" Target="https://m.stock.naver.com/research/company/91692" TargetMode="External"/><Relationship Id="rId2614" Type="http://schemas.openxmlformats.org/officeDocument/2006/relationships/hyperlink" Target="https://m.stock.naver.com/research/company/90640" TargetMode="External"/><Relationship Id="rId11157" Type="http://schemas.openxmlformats.org/officeDocument/2006/relationships/hyperlink" Target="https://m.stock.naver.com/research/company/82063" TargetMode="External"/><Relationship Id="rId12208" Type="http://schemas.openxmlformats.org/officeDocument/2006/relationships/hyperlink" Target="https://m.stock.naver.com/research/company/81002" TargetMode="External"/><Relationship Id="rId1216" Type="http://schemas.openxmlformats.org/officeDocument/2006/relationships/hyperlink" Target="https://m.stock.naver.com/research/company/92039" TargetMode="External"/><Relationship Id="rId4786" Type="http://schemas.openxmlformats.org/officeDocument/2006/relationships/hyperlink" Target="https://m.stock.naver.com/research/company/88454" TargetMode="External"/><Relationship Id="rId5837" Type="http://schemas.openxmlformats.org/officeDocument/2006/relationships/hyperlink" Target="https://m.stock.naver.com/research/company/87403" TargetMode="External"/><Relationship Id="rId3388" Type="http://schemas.openxmlformats.org/officeDocument/2006/relationships/hyperlink" Target="https://m.stock.naver.com/research/company/89863" TargetMode="External"/><Relationship Id="rId4439" Type="http://schemas.openxmlformats.org/officeDocument/2006/relationships/hyperlink" Target="https://m.stock.naver.com/research/company/88802" TargetMode="External"/><Relationship Id="rId8310" Type="http://schemas.openxmlformats.org/officeDocument/2006/relationships/hyperlink" Target="https://m.stock.naver.com/research/company/84928" TargetMode="External"/><Relationship Id="rId10240" Type="http://schemas.openxmlformats.org/officeDocument/2006/relationships/hyperlink" Target="https://m.stock.naver.com/research/company/82981" TargetMode="External"/><Relationship Id="rId14861" Type="http://schemas.openxmlformats.org/officeDocument/2006/relationships/hyperlink" Target="https://m.stock.naver.com/research/company/94763" TargetMode="External"/><Relationship Id="rId790" Type="http://schemas.openxmlformats.org/officeDocument/2006/relationships/hyperlink" Target="https://m.stock.naver.com/research/company/92666" TargetMode="External"/><Relationship Id="rId2471" Type="http://schemas.openxmlformats.org/officeDocument/2006/relationships/hyperlink" Target="https://m.stock.naver.com/research/company/90783" TargetMode="External"/><Relationship Id="rId3522" Type="http://schemas.openxmlformats.org/officeDocument/2006/relationships/hyperlink" Target="https://m.stock.naver.com/research/company/89729" TargetMode="External"/><Relationship Id="rId4920" Type="http://schemas.openxmlformats.org/officeDocument/2006/relationships/hyperlink" Target="https://m.stock.naver.com/research/company/88320" TargetMode="External"/><Relationship Id="rId9084" Type="http://schemas.openxmlformats.org/officeDocument/2006/relationships/hyperlink" Target="https://m.stock.naver.com/research/company/84146" TargetMode="External"/><Relationship Id="rId12065" Type="http://schemas.openxmlformats.org/officeDocument/2006/relationships/hyperlink" Target="https://m.stock.naver.com/research/company/81146" TargetMode="External"/><Relationship Id="rId13116" Type="http://schemas.openxmlformats.org/officeDocument/2006/relationships/hyperlink" Target="https://m.stock.naver.com/research/company/80091" TargetMode="External"/><Relationship Id="rId13463" Type="http://schemas.openxmlformats.org/officeDocument/2006/relationships/hyperlink" Target="https://m.stock.naver.com/research/company/79741" TargetMode="External"/><Relationship Id="rId14514" Type="http://schemas.openxmlformats.org/officeDocument/2006/relationships/hyperlink" Target="https://m.stock.naver.com/research/company/94396" TargetMode="External"/><Relationship Id="rId443" Type="http://schemas.openxmlformats.org/officeDocument/2006/relationships/hyperlink" Target="https://m.stock.naver.com/research/company/93014" TargetMode="External"/><Relationship Id="rId1073" Type="http://schemas.openxmlformats.org/officeDocument/2006/relationships/hyperlink" Target="https://m.stock.naver.com/research/company/92183" TargetMode="External"/><Relationship Id="rId2124" Type="http://schemas.openxmlformats.org/officeDocument/2006/relationships/hyperlink" Target="https://m.stock.naver.com/research/company/91131" TargetMode="External"/><Relationship Id="rId4296" Type="http://schemas.openxmlformats.org/officeDocument/2006/relationships/hyperlink" Target="https://m.stock.naver.com/research/company/88945" TargetMode="External"/><Relationship Id="rId5694" Type="http://schemas.openxmlformats.org/officeDocument/2006/relationships/hyperlink" Target="https://m.stock.naver.com/research/company/87546" TargetMode="External"/><Relationship Id="rId6745" Type="http://schemas.openxmlformats.org/officeDocument/2006/relationships/hyperlink" Target="https://m.stock.naver.com/research/company/86495" TargetMode="External"/><Relationship Id="rId15288" Type="http://schemas.openxmlformats.org/officeDocument/2006/relationships/hyperlink" Target="https://m.stock.naver.com/research/company/95072" TargetMode="External"/><Relationship Id="rId5347" Type="http://schemas.openxmlformats.org/officeDocument/2006/relationships/hyperlink" Target="https://m.stock.naver.com/research/company/87893" TargetMode="External"/><Relationship Id="rId9968" Type="http://schemas.openxmlformats.org/officeDocument/2006/relationships/hyperlink" Target="https://m.stock.naver.com/research/company/83253" TargetMode="External"/><Relationship Id="rId11898" Type="http://schemas.openxmlformats.org/officeDocument/2006/relationships/hyperlink" Target="https://m.stock.naver.com/research/company/81313" TargetMode="External"/><Relationship Id="rId12949" Type="http://schemas.openxmlformats.org/officeDocument/2006/relationships/hyperlink" Target="https://m.stock.naver.com/research/company/80259" TargetMode="External"/><Relationship Id="rId1957" Type="http://schemas.openxmlformats.org/officeDocument/2006/relationships/hyperlink" Target="https://m.stock.naver.com/research/company/91298" TargetMode="External"/><Relationship Id="rId14371" Type="http://schemas.openxmlformats.org/officeDocument/2006/relationships/hyperlink" Target="https://m.stock.naver.com/research/company/94241" TargetMode="External"/><Relationship Id="rId15422" Type="http://schemas.openxmlformats.org/officeDocument/2006/relationships/hyperlink" Target="https://m.stock.naver.com/research/company/95365" TargetMode="External"/><Relationship Id="rId4430" Type="http://schemas.openxmlformats.org/officeDocument/2006/relationships/hyperlink" Target="https://m.stock.naver.com/research/company/88811" TargetMode="External"/><Relationship Id="rId14024" Type="http://schemas.openxmlformats.org/officeDocument/2006/relationships/hyperlink" Target="https://m.stock.naver.com/research/company/93823" TargetMode="External"/><Relationship Id="rId3032" Type="http://schemas.openxmlformats.org/officeDocument/2006/relationships/hyperlink" Target="https://m.stock.naver.com/research/company/90219" TargetMode="External"/><Relationship Id="rId7653" Type="http://schemas.openxmlformats.org/officeDocument/2006/relationships/hyperlink" Target="https://m.stock.naver.com/research/company/85586" TargetMode="External"/><Relationship Id="rId10981" Type="http://schemas.openxmlformats.org/officeDocument/2006/relationships/hyperlink" Target="https://m.stock.naver.com/research/company/82239" TargetMode="External"/><Relationship Id="rId6255" Type="http://schemas.openxmlformats.org/officeDocument/2006/relationships/hyperlink" Target="https://m.stock.naver.com/research/company/86985" TargetMode="External"/><Relationship Id="rId7306" Type="http://schemas.openxmlformats.org/officeDocument/2006/relationships/hyperlink" Target="https://m.stock.naver.com/research/company/85933" TargetMode="External"/><Relationship Id="rId8704" Type="http://schemas.openxmlformats.org/officeDocument/2006/relationships/hyperlink" Target="https://m.stock.naver.com/research/company/84533" TargetMode="External"/><Relationship Id="rId10634" Type="http://schemas.openxmlformats.org/officeDocument/2006/relationships/hyperlink" Target="https://m.stock.naver.com/research/company/82586" TargetMode="External"/><Relationship Id="rId13857" Type="http://schemas.openxmlformats.org/officeDocument/2006/relationships/hyperlink" Target="https://m.stock.naver.com/research/company/93625" TargetMode="External"/><Relationship Id="rId14908" Type="http://schemas.openxmlformats.org/officeDocument/2006/relationships/hyperlink" Target="https://m.stock.naver.com/research/company/94926" TargetMode="External"/><Relationship Id="rId2865" Type="http://schemas.openxmlformats.org/officeDocument/2006/relationships/hyperlink" Target="https://m.stock.naver.com/research/company/90388" TargetMode="External"/><Relationship Id="rId3916" Type="http://schemas.openxmlformats.org/officeDocument/2006/relationships/hyperlink" Target="https://m.stock.naver.com/research/company/89335" TargetMode="External"/><Relationship Id="rId9478" Type="http://schemas.openxmlformats.org/officeDocument/2006/relationships/hyperlink" Target="https://m.stock.naver.com/research/company/83749" TargetMode="External"/><Relationship Id="rId12459" Type="http://schemas.openxmlformats.org/officeDocument/2006/relationships/hyperlink" Target="https://m.stock.naver.com/research/company/80750" TargetMode="External"/><Relationship Id="rId837" Type="http://schemas.openxmlformats.org/officeDocument/2006/relationships/hyperlink" Target="https://m.stock.naver.com/research/company/92619" TargetMode="External"/><Relationship Id="rId1467" Type="http://schemas.openxmlformats.org/officeDocument/2006/relationships/hyperlink" Target="https://m.stock.naver.com/research/company/91788" TargetMode="External"/><Relationship Id="rId2518" Type="http://schemas.openxmlformats.org/officeDocument/2006/relationships/hyperlink" Target="https://m.stock.naver.com/research/company/90736" TargetMode="External"/><Relationship Id="rId8561" Type="http://schemas.openxmlformats.org/officeDocument/2006/relationships/hyperlink" Target="https://m.stock.naver.com/research/company/84676" TargetMode="External"/><Relationship Id="rId9612" Type="http://schemas.openxmlformats.org/officeDocument/2006/relationships/hyperlink" Target="https://m.stock.naver.com/research/company/83613" TargetMode="External"/><Relationship Id="rId10491" Type="http://schemas.openxmlformats.org/officeDocument/2006/relationships/hyperlink" Target="https://m.stock.naver.com/research/company/82729" TargetMode="External"/><Relationship Id="rId12940" Type="http://schemas.openxmlformats.org/officeDocument/2006/relationships/hyperlink" Target="https://m.stock.naver.com/research/company/80268" TargetMode="External"/><Relationship Id="rId1601" Type="http://schemas.openxmlformats.org/officeDocument/2006/relationships/hyperlink" Target="https://m.stock.naver.com/research/company/91654" TargetMode="External"/><Relationship Id="rId7163" Type="http://schemas.openxmlformats.org/officeDocument/2006/relationships/hyperlink" Target="https://m.stock.naver.com/research/company/86076" TargetMode="External"/><Relationship Id="rId8214" Type="http://schemas.openxmlformats.org/officeDocument/2006/relationships/hyperlink" Target="https://m.stock.naver.com/research/company/85024" TargetMode="External"/><Relationship Id="rId10144" Type="http://schemas.openxmlformats.org/officeDocument/2006/relationships/hyperlink" Target="https://m.stock.naver.com/research/company/83077" TargetMode="External"/><Relationship Id="rId11542" Type="http://schemas.openxmlformats.org/officeDocument/2006/relationships/hyperlink" Target="https://m.stock.naver.com/research/company/81673" TargetMode="External"/><Relationship Id="rId14765" Type="http://schemas.openxmlformats.org/officeDocument/2006/relationships/hyperlink" Target="https://m.stock.naver.com/research/company/94635" TargetMode="External"/><Relationship Id="rId694" Type="http://schemas.openxmlformats.org/officeDocument/2006/relationships/hyperlink" Target="https://m.stock.naver.com/research/company/92762" TargetMode="External"/><Relationship Id="rId2375" Type="http://schemas.openxmlformats.org/officeDocument/2006/relationships/hyperlink" Target="https://m.stock.naver.com/research/company/90879" TargetMode="External"/><Relationship Id="rId3773" Type="http://schemas.openxmlformats.org/officeDocument/2006/relationships/hyperlink" Target="https://m.stock.naver.com/research/company/89478" TargetMode="External"/><Relationship Id="rId4824" Type="http://schemas.openxmlformats.org/officeDocument/2006/relationships/hyperlink" Target="https://m.stock.naver.com/research/company/88416" TargetMode="External"/><Relationship Id="rId13367" Type="http://schemas.openxmlformats.org/officeDocument/2006/relationships/hyperlink" Target="https://m.stock.naver.com/research/company/79838" TargetMode="External"/><Relationship Id="rId14418" Type="http://schemas.openxmlformats.org/officeDocument/2006/relationships/hyperlink" Target="https://m.stock.naver.com/research/company/94265" TargetMode="External"/><Relationship Id="rId347" Type="http://schemas.openxmlformats.org/officeDocument/2006/relationships/hyperlink" Target="https://m.stock.naver.com/research/company/93111" TargetMode="External"/><Relationship Id="rId2028" Type="http://schemas.openxmlformats.org/officeDocument/2006/relationships/hyperlink" Target="https://m.stock.naver.com/research/company/91227" TargetMode="External"/><Relationship Id="rId3426" Type="http://schemas.openxmlformats.org/officeDocument/2006/relationships/hyperlink" Target="https://m.stock.naver.com/research/company/89825" TargetMode="External"/><Relationship Id="rId6996" Type="http://schemas.openxmlformats.org/officeDocument/2006/relationships/hyperlink" Target="https://m.stock.naver.com/research/company/86243" TargetMode="External"/><Relationship Id="rId5598" Type="http://schemas.openxmlformats.org/officeDocument/2006/relationships/hyperlink" Target="https://m.stock.naver.com/research/company/87642" TargetMode="External"/><Relationship Id="rId6649" Type="http://schemas.openxmlformats.org/officeDocument/2006/relationships/hyperlink" Target="https://m.stock.naver.com/research/company/86591" TargetMode="External"/><Relationship Id="rId12450" Type="http://schemas.openxmlformats.org/officeDocument/2006/relationships/hyperlink" Target="https://m.stock.naver.com/research/company/80759" TargetMode="External"/><Relationship Id="rId13501" Type="http://schemas.openxmlformats.org/officeDocument/2006/relationships/hyperlink" Target="https://m.stock.naver.com/research/company/79703" TargetMode="External"/><Relationship Id="rId8071" Type="http://schemas.openxmlformats.org/officeDocument/2006/relationships/hyperlink" Target="https://m.stock.naver.com/research/company/85167" TargetMode="External"/><Relationship Id="rId9122" Type="http://schemas.openxmlformats.org/officeDocument/2006/relationships/hyperlink" Target="https://m.stock.naver.com/research/company/84108" TargetMode="External"/><Relationship Id="rId11052" Type="http://schemas.openxmlformats.org/officeDocument/2006/relationships/hyperlink" Target="https://m.stock.naver.com/research/company/82168" TargetMode="External"/><Relationship Id="rId12103" Type="http://schemas.openxmlformats.org/officeDocument/2006/relationships/hyperlink" Target="https://m.stock.naver.com/research/company/81108" TargetMode="External"/><Relationship Id="rId15673" Type="http://schemas.openxmlformats.org/officeDocument/2006/relationships/hyperlink" Target="https://m.stock.naver.com/research/company/95741" TargetMode="External"/><Relationship Id="rId1111" Type="http://schemas.openxmlformats.org/officeDocument/2006/relationships/hyperlink" Target="https://m.stock.naver.com/research/company/92144" TargetMode="External"/><Relationship Id="rId4681" Type="http://schemas.openxmlformats.org/officeDocument/2006/relationships/hyperlink" Target="https://m.stock.naver.com/research/company/88559" TargetMode="External"/><Relationship Id="rId5732" Type="http://schemas.openxmlformats.org/officeDocument/2006/relationships/hyperlink" Target="https://m.stock.naver.com/research/company/87508" TargetMode="External"/><Relationship Id="rId14275" Type="http://schemas.openxmlformats.org/officeDocument/2006/relationships/hyperlink" Target="https://m.stock.naver.com/research/company/94189" TargetMode="External"/><Relationship Id="rId15326" Type="http://schemas.openxmlformats.org/officeDocument/2006/relationships/hyperlink" Target="https://m.stock.naver.com/research/company/95262" TargetMode="External"/><Relationship Id="rId3283" Type="http://schemas.openxmlformats.org/officeDocument/2006/relationships/hyperlink" Target="https://m.stock.naver.com/research/company/89967" TargetMode="External"/><Relationship Id="rId4334" Type="http://schemas.openxmlformats.org/officeDocument/2006/relationships/hyperlink" Target="https://m.stock.naver.com/research/company/88907" TargetMode="External"/><Relationship Id="rId8955" Type="http://schemas.openxmlformats.org/officeDocument/2006/relationships/hyperlink" Target="https://m.stock.naver.com/research/company/84277" TargetMode="External"/><Relationship Id="rId10885" Type="http://schemas.openxmlformats.org/officeDocument/2006/relationships/hyperlink" Target="https://m.stock.naver.com/research/company/82335" TargetMode="External"/><Relationship Id="rId11936" Type="http://schemas.openxmlformats.org/officeDocument/2006/relationships/hyperlink" Target="https://m.stock.naver.com/research/company/81275" TargetMode="External"/><Relationship Id="rId6159" Type="http://schemas.openxmlformats.org/officeDocument/2006/relationships/hyperlink" Target="https://m.stock.naver.com/research/company/87081" TargetMode="External"/><Relationship Id="rId7557" Type="http://schemas.openxmlformats.org/officeDocument/2006/relationships/hyperlink" Target="https://m.stock.naver.com/research/company/85682" TargetMode="External"/><Relationship Id="rId8608" Type="http://schemas.openxmlformats.org/officeDocument/2006/relationships/hyperlink" Target="https://m.stock.naver.com/research/company/84629" TargetMode="External"/><Relationship Id="rId10538" Type="http://schemas.openxmlformats.org/officeDocument/2006/relationships/hyperlink" Target="https://m.stock.naver.com/research/company/82682" TargetMode="External"/><Relationship Id="rId13011" Type="http://schemas.openxmlformats.org/officeDocument/2006/relationships/hyperlink" Target="https://m.stock.naver.com/research/company/80197" TargetMode="External"/><Relationship Id="rId2769" Type="http://schemas.openxmlformats.org/officeDocument/2006/relationships/hyperlink" Target="https://m.stock.naver.com/research/company/90485" TargetMode="External"/><Relationship Id="rId6640" Type="http://schemas.openxmlformats.org/officeDocument/2006/relationships/hyperlink" Target="https://m.stock.naver.com/research/company/86600" TargetMode="External"/><Relationship Id="rId15183" Type="http://schemas.openxmlformats.org/officeDocument/2006/relationships/hyperlink" Target="https://m.stock.naver.com/research/company/95177" TargetMode="External"/><Relationship Id="rId4191" Type="http://schemas.openxmlformats.org/officeDocument/2006/relationships/hyperlink" Target="https://m.stock.naver.com/research/company/89051" TargetMode="External"/><Relationship Id="rId5242" Type="http://schemas.openxmlformats.org/officeDocument/2006/relationships/hyperlink" Target="https://m.stock.naver.com/research/company/87998" TargetMode="External"/><Relationship Id="rId9863" Type="http://schemas.openxmlformats.org/officeDocument/2006/relationships/hyperlink" Target="https://m.stock.naver.com/research/company/83359" TargetMode="External"/><Relationship Id="rId77" Type="http://schemas.openxmlformats.org/officeDocument/2006/relationships/hyperlink" Target="https://m.stock.naver.com/research/company/93381" TargetMode="External"/><Relationship Id="rId8465" Type="http://schemas.openxmlformats.org/officeDocument/2006/relationships/hyperlink" Target="https://m.stock.naver.com/research/company/84772" TargetMode="External"/><Relationship Id="rId9516" Type="http://schemas.openxmlformats.org/officeDocument/2006/relationships/hyperlink" Target="https://m.stock.naver.com/research/company/83711" TargetMode="External"/><Relationship Id="rId11793" Type="http://schemas.openxmlformats.org/officeDocument/2006/relationships/hyperlink" Target="https://m.stock.naver.com/research/company/81419" TargetMode="External"/><Relationship Id="rId12844" Type="http://schemas.openxmlformats.org/officeDocument/2006/relationships/hyperlink" Target="https://m.stock.naver.com/research/company/80364" TargetMode="External"/><Relationship Id="rId1852" Type="http://schemas.openxmlformats.org/officeDocument/2006/relationships/hyperlink" Target="https://m.stock.naver.com/research/company/91403" TargetMode="External"/><Relationship Id="rId2903" Type="http://schemas.openxmlformats.org/officeDocument/2006/relationships/hyperlink" Target="https://m.stock.naver.com/research/company/90350" TargetMode="External"/><Relationship Id="rId7067" Type="http://schemas.openxmlformats.org/officeDocument/2006/relationships/hyperlink" Target="https://m.stock.naver.com/research/company/86172" TargetMode="External"/><Relationship Id="rId8118" Type="http://schemas.openxmlformats.org/officeDocument/2006/relationships/hyperlink" Target="https://m.stock.naver.com/research/company/85120" TargetMode="External"/><Relationship Id="rId10048" Type="http://schemas.openxmlformats.org/officeDocument/2006/relationships/hyperlink" Target="https://m.stock.naver.com/research/company/83173" TargetMode="External"/><Relationship Id="rId10395" Type="http://schemas.openxmlformats.org/officeDocument/2006/relationships/hyperlink" Target="https://m.stock.naver.com/research/company/82826" TargetMode="External"/><Relationship Id="rId11446" Type="http://schemas.openxmlformats.org/officeDocument/2006/relationships/hyperlink" Target="https://m.stock.naver.com/research/company/81769" TargetMode="External"/><Relationship Id="rId1505" Type="http://schemas.openxmlformats.org/officeDocument/2006/relationships/hyperlink" Target="https://m.stock.naver.com/research/company/91750" TargetMode="External"/><Relationship Id="rId14669" Type="http://schemas.openxmlformats.org/officeDocument/2006/relationships/hyperlink" Target="https://m.stock.naver.com/research/company/94509" TargetMode="External"/><Relationship Id="rId3677" Type="http://schemas.openxmlformats.org/officeDocument/2006/relationships/hyperlink" Target="https://m.stock.naver.com/research/company/89574" TargetMode="External"/><Relationship Id="rId4728" Type="http://schemas.openxmlformats.org/officeDocument/2006/relationships/hyperlink" Target="https://m.stock.naver.com/research/company/88512" TargetMode="External"/><Relationship Id="rId598" Type="http://schemas.openxmlformats.org/officeDocument/2006/relationships/hyperlink" Target="https://m.stock.naver.com/research/company/92859" TargetMode="External"/><Relationship Id="rId2279" Type="http://schemas.openxmlformats.org/officeDocument/2006/relationships/hyperlink" Target="https://m.stock.naver.com/research/company/90976" TargetMode="External"/><Relationship Id="rId6150" Type="http://schemas.openxmlformats.org/officeDocument/2006/relationships/hyperlink" Target="https://m.stock.naver.com/research/company/87090" TargetMode="External"/><Relationship Id="rId7201" Type="http://schemas.openxmlformats.org/officeDocument/2006/relationships/hyperlink" Target="https://m.stock.naver.com/research/company/86038" TargetMode="External"/><Relationship Id="rId2760" Type="http://schemas.openxmlformats.org/officeDocument/2006/relationships/hyperlink" Target="https://m.stock.naver.com/research/company/90494" TargetMode="External"/><Relationship Id="rId3811" Type="http://schemas.openxmlformats.org/officeDocument/2006/relationships/hyperlink" Target="https://m.stock.naver.com/research/company/89440" TargetMode="External"/><Relationship Id="rId9373" Type="http://schemas.openxmlformats.org/officeDocument/2006/relationships/hyperlink" Target="https://m.stock.naver.com/research/company/83854" TargetMode="External"/><Relationship Id="rId12354" Type="http://schemas.openxmlformats.org/officeDocument/2006/relationships/hyperlink" Target="https://m.stock.naver.com/research/company/80855" TargetMode="External"/><Relationship Id="rId13405" Type="http://schemas.openxmlformats.org/officeDocument/2006/relationships/hyperlink" Target="https://m.stock.naver.com/research/company/79800" TargetMode="External"/><Relationship Id="rId13752" Type="http://schemas.openxmlformats.org/officeDocument/2006/relationships/hyperlink" Target="https://m.stock.naver.com/research/company/93533" TargetMode="External"/><Relationship Id="rId14803" Type="http://schemas.openxmlformats.org/officeDocument/2006/relationships/hyperlink" Target="https://m.stock.naver.com/research/company/94597" TargetMode="External"/><Relationship Id="rId732" Type="http://schemas.openxmlformats.org/officeDocument/2006/relationships/hyperlink" Target="https://m.stock.naver.com/research/company/92724" TargetMode="External"/><Relationship Id="rId1362" Type="http://schemas.openxmlformats.org/officeDocument/2006/relationships/hyperlink" Target="https://m.stock.naver.com/research/company/91893" TargetMode="External"/><Relationship Id="rId2413" Type="http://schemas.openxmlformats.org/officeDocument/2006/relationships/hyperlink" Target="https://m.stock.naver.com/research/company/90841" TargetMode="External"/><Relationship Id="rId9026" Type="http://schemas.openxmlformats.org/officeDocument/2006/relationships/hyperlink" Target="https://m.stock.naver.com/research/company/84206" TargetMode="External"/><Relationship Id="rId12007" Type="http://schemas.openxmlformats.org/officeDocument/2006/relationships/hyperlink" Target="https://m.stock.naver.com/research/company/81204" TargetMode="External"/><Relationship Id="rId1015" Type="http://schemas.openxmlformats.org/officeDocument/2006/relationships/hyperlink" Target="https://m.stock.naver.com/research/company/92336" TargetMode="External"/><Relationship Id="rId4585" Type="http://schemas.openxmlformats.org/officeDocument/2006/relationships/hyperlink" Target="https://m.stock.naver.com/research/company/88655" TargetMode="External"/><Relationship Id="rId5983" Type="http://schemas.openxmlformats.org/officeDocument/2006/relationships/hyperlink" Target="https://m.stock.naver.com/research/company/87257" TargetMode="External"/><Relationship Id="rId14179" Type="http://schemas.openxmlformats.org/officeDocument/2006/relationships/hyperlink" Target="https://m.stock.naver.com/research/company/94079" TargetMode="External"/><Relationship Id="rId15577" Type="http://schemas.openxmlformats.org/officeDocument/2006/relationships/hyperlink" Target="https://m.stock.naver.com/research/company/95459" TargetMode="External"/><Relationship Id="rId3187" Type="http://schemas.openxmlformats.org/officeDocument/2006/relationships/hyperlink" Target="https://m.stock.naver.com/research/company/90064" TargetMode="External"/><Relationship Id="rId4238" Type="http://schemas.openxmlformats.org/officeDocument/2006/relationships/hyperlink" Target="https://m.stock.naver.com/research/company/89004" TargetMode="External"/><Relationship Id="rId5636" Type="http://schemas.openxmlformats.org/officeDocument/2006/relationships/hyperlink" Target="https://m.stock.naver.com/research/company/87604" TargetMode="External"/><Relationship Id="rId8859" Type="http://schemas.openxmlformats.org/officeDocument/2006/relationships/hyperlink" Target="https://m.stock.naver.com/research/company/84378" TargetMode="External"/><Relationship Id="rId10789" Type="http://schemas.openxmlformats.org/officeDocument/2006/relationships/hyperlink" Target="https://m.stock.naver.com/research/company/82431" TargetMode="External"/><Relationship Id="rId14660" Type="http://schemas.openxmlformats.org/officeDocument/2006/relationships/hyperlink" Target="https://m.stock.naver.com/research/company/94518" TargetMode="External"/><Relationship Id="rId15711" Type="http://schemas.openxmlformats.org/officeDocument/2006/relationships/hyperlink" Target="https://m.stock.naver.com/research/company/95703" TargetMode="External"/><Relationship Id="rId13262" Type="http://schemas.openxmlformats.org/officeDocument/2006/relationships/hyperlink" Target="https://m.stock.naver.com/research/company/79944" TargetMode="External"/><Relationship Id="rId14313" Type="http://schemas.openxmlformats.org/officeDocument/2006/relationships/hyperlink" Target="https://m.stock.naver.com/research/company/94151" TargetMode="External"/><Relationship Id="rId2270" Type="http://schemas.openxmlformats.org/officeDocument/2006/relationships/hyperlink" Target="https://m.stock.naver.com/research/company/90985" TargetMode="External"/><Relationship Id="rId3321" Type="http://schemas.openxmlformats.org/officeDocument/2006/relationships/hyperlink" Target="https://m.stock.naver.com/research/company/89929" TargetMode="External"/><Relationship Id="rId6891" Type="http://schemas.openxmlformats.org/officeDocument/2006/relationships/hyperlink" Target="https://m.stock.naver.com/research/company/86348" TargetMode="External"/><Relationship Id="rId7942" Type="http://schemas.openxmlformats.org/officeDocument/2006/relationships/hyperlink" Target="https://m.stock.naver.com/research/company/85296" TargetMode="External"/><Relationship Id="rId242" Type="http://schemas.openxmlformats.org/officeDocument/2006/relationships/hyperlink" Target="https://m.stock.naver.com/research/company/93216" TargetMode="External"/><Relationship Id="rId5493" Type="http://schemas.openxmlformats.org/officeDocument/2006/relationships/hyperlink" Target="https://m.stock.naver.com/research/company/87747" TargetMode="External"/><Relationship Id="rId6544" Type="http://schemas.openxmlformats.org/officeDocument/2006/relationships/hyperlink" Target="https://m.stock.naver.com/research/company/86696" TargetMode="External"/><Relationship Id="rId10923" Type="http://schemas.openxmlformats.org/officeDocument/2006/relationships/hyperlink" Target="https://m.stock.naver.com/research/company/82297" TargetMode="External"/><Relationship Id="rId15087" Type="http://schemas.openxmlformats.org/officeDocument/2006/relationships/hyperlink" Target="https://m.stock.naver.com/research/company/95007" TargetMode="External"/><Relationship Id="rId4095" Type="http://schemas.openxmlformats.org/officeDocument/2006/relationships/hyperlink" Target="https://m.stock.naver.com/research/company/89156" TargetMode="External"/><Relationship Id="rId5146" Type="http://schemas.openxmlformats.org/officeDocument/2006/relationships/hyperlink" Target="https://m.stock.naver.com/research/company/88094" TargetMode="External"/><Relationship Id="rId8369" Type="http://schemas.openxmlformats.org/officeDocument/2006/relationships/hyperlink" Target="https://m.stock.naver.com/research/company/84869" TargetMode="External"/><Relationship Id="rId9767" Type="http://schemas.openxmlformats.org/officeDocument/2006/relationships/hyperlink" Target="https://m.stock.naver.com/research/company/83456" TargetMode="External"/><Relationship Id="rId11697" Type="http://schemas.openxmlformats.org/officeDocument/2006/relationships/hyperlink" Target="https://m.stock.naver.com/research/company/81515" TargetMode="External"/><Relationship Id="rId12748" Type="http://schemas.openxmlformats.org/officeDocument/2006/relationships/hyperlink" Target="https://m.stock.naver.com/research/company/80460" TargetMode="External"/><Relationship Id="rId1756" Type="http://schemas.openxmlformats.org/officeDocument/2006/relationships/hyperlink" Target="https://m.stock.naver.com/research/company/91499" TargetMode="External"/><Relationship Id="rId2807" Type="http://schemas.openxmlformats.org/officeDocument/2006/relationships/hyperlink" Target="https://m.stock.naver.com/research/company/90447" TargetMode="External"/><Relationship Id="rId10299" Type="http://schemas.openxmlformats.org/officeDocument/2006/relationships/hyperlink" Target="https://m.stock.naver.com/research/company/82922" TargetMode="External"/><Relationship Id="rId14170" Type="http://schemas.openxmlformats.org/officeDocument/2006/relationships/hyperlink" Target="https://m.stock.naver.com/research/company/93958" TargetMode="External"/><Relationship Id="rId15221" Type="http://schemas.openxmlformats.org/officeDocument/2006/relationships/hyperlink" Target="https://m.stock.naver.com/research/company/95139" TargetMode="External"/><Relationship Id="rId1409" Type="http://schemas.openxmlformats.org/officeDocument/2006/relationships/hyperlink" Target="https://m.stock.naver.com/research/company/91846" TargetMode="External"/><Relationship Id="rId4979" Type="http://schemas.openxmlformats.org/officeDocument/2006/relationships/hyperlink" Target="https://m.stock.naver.com/research/company/88261" TargetMode="External"/><Relationship Id="rId8850" Type="http://schemas.openxmlformats.org/officeDocument/2006/relationships/hyperlink" Target="https://m.stock.naver.com/research/company/84387" TargetMode="External"/><Relationship Id="rId9901" Type="http://schemas.openxmlformats.org/officeDocument/2006/relationships/hyperlink" Target="https://m.stock.naver.com/research/company/83321" TargetMode="External"/><Relationship Id="rId10780" Type="http://schemas.openxmlformats.org/officeDocument/2006/relationships/hyperlink" Target="https://m.stock.naver.com/research/company/82440" TargetMode="External"/><Relationship Id="rId7452" Type="http://schemas.openxmlformats.org/officeDocument/2006/relationships/hyperlink" Target="https://m.stock.naver.com/research/company/85787" TargetMode="External"/><Relationship Id="rId8503" Type="http://schemas.openxmlformats.org/officeDocument/2006/relationships/hyperlink" Target="https://m.stock.naver.com/research/company/84734" TargetMode="External"/><Relationship Id="rId10433" Type="http://schemas.openxmlformats.org/officeDocument/2006/relationships/hyperlink" Target="https://m.stock.naver.com/research/company/82788" TargetMode="External"/><Relationship Id="rId11831" Type="http://schemas.openxmlformats.org/officeDocument/2006/relationships/hyperlink" Target="https://m.stock.naver.com/research/company/81381" TargetMode="External"/><Relationship Id="rId6054" Type="http://schemas.openxmlformats.org/officeDocument/2006/relationships/hyperlink" Target="https://m.stock.naver.com/research/company/87186" TargetMode="External"/><Relationship Id="rId7105" Type="http://schemas.openxmlformats.org/officeDocument/2006/relationships/hyperlink" Target="https://m.stock.naver.com/research/company/86134" TargetMode="External"/><Relationship Id="rId983" Type="http://schemas.openxmlformats.org/officeDocument/2006/relationships/hyperlink" Target="https://m.stock.naver.com/research/company/92473" TargetMode="External"/><Relationship Id="rId2664" Type="http://schemas.openxmlformats.org/officeDocument/2006/relationships/hyperlink" Target="https://m.stock.naver.com/research/company/90590" TargetMode="External"/><Relationship Id="rId9277" Type="http://schemas.openxmlformats.org/officeDocument/2006/relationships/hyperlink" Target="https://m.stock.naver.com/research/company/83950" TargetMode="External"/><Relationship Id="rId12258" Type="http://schemas.openxmlformats.org/officeDocument/2006/relationships/hyperlink" Target="https://m.stock.naver.com/research/company/80951" TargetMode="External"/><Relationship Id="rId13656" Type="http://schemas.openxmlformats.org/officeDocument/2006/relationships/hyperlink" Target="https://m.stock.naver.com/research/company/79548" TargetMode="External"/><Relationship Id="rId14707" Type="http://schemas.openxmlformats.org/officeDocument/2006/relationships/hyperlink" Target="https://m.stock.naver.com/research/company/94693" TargetMode="External"/><Relationship Id="rId636" Type="http://schemas.openxmlformats.org/officeDocument/2006/relationships/hyperlink" Target="https://m.stock.naver.com/research/company/92820" TargetMode="External"/><Relationship Id="rId1266" Type="http://schemas.openxmlformats.org/officeDocument/2006/relationships/hyperlink" Target="https://m.stock.naver.com/research/company/91989" TargetMode="External"/><Relationship Id="rId2317" Type="http://schemas.openxmlformats.org/officeDocument/2006/relationships/hyperlink" Target="https://m.stock.naver.com/research/company/90938" TargetMode="External"/><Relationship Id="rId3715" Type="http://schemas.openxmlformats.org/officeDocument/2006/relationships/hyperlink" Target="https://m.stock.naver.com/research/company/89536" TargetMode="External"/><Relationship Id="rId13309" Type="http://schemas.openxmlformats.org/officeDocument/2006/relationships/hyperlink" Target="https://m.stock.naver.com/research/company/79896" TargetMode="External"/><Relationship Id="rId5887" Type="http://schemas.openxmlformats.org/officeDocument/2006/relationships/hyperlink" Target="https://m.stock.naver.com/research/company/87353" TargetMode="External"/><Relationship Id="rId6938" Type="http://schemas.openxmlformats.org/officeDocument/2006/relationships/hyperlink" Target="https://m.stock.naver.com/research/company/86301" TargetMode="External"/><Relationship Id="rId4489" Type="http://schemas.openxmlformats.org/officeDocument/2006/relationships/hyperlink" Target="https://m.stock.naver.com/research/company/88751" TargetMode="External"/><Relationship Id="rId8360" Type="http://schemas.openxmlformats.org/officeDocument/2006/relationships/hyperlink" Target="https://m.stock.naver.com/research/company/84878" TargetMode="External"/><Relationship Id="rId9411" Type="http://schemas.openxmlformats.org/officeDocument/2006/relationships/hyperlink" Target="https://m.stock.naver.com/research/company/83816" TargetMode="External"/><Relationship Id="rId10290" Type="http://schemas.openxmlformats.org/officeDocument/2006/relationships/hyperlink" Target="https://m.stock.naver.com/research/company/82931" TargetMode="External"/><Relationship Id="rId11341" Type="http://schemas.openxmlformats.org/officeDocument/2006/relationships/hyperlink" Target="https://m.stock.naver.com/research/company/81875" TargetMode="External"/><Relationship Id="rId1400" Type="http://schemas.openxmlformats.org/officeDocument/2006/relationships/hyperlink" Target="https://m.stock.naver.com/research/company/91855" TargetMode="External"/><Relationship Id="rId4970" Type="http://schemas.openxmlformats.org/officeDocument/2006/relationships/hyperlink" Target="https://m.stock.naver.com/research/company/88270" TargetMode="External"/><Relationship Id="rId8013" Type="http://schemas.openxmlformats.org/officeDocument/2006/relationships/hyperlink" Target="https://m.stock.naver.com/research/company/85225" TargetMode="External"/><Relationship Id="rId14564" Type="http://schemas.openxmlformats.org/officeDocument/2006/relationships/hyperlink" Target="https://m.stock.naver.com/research/company/94346" TargetMode="External"/><Relationship Id="rId15615" Type="http://schemas.openxmlformats.org/officeDocument/2006/relationships/hyperlink" Target="https://m.stock.naver.com/research/company/95421" TargetMode="External"/><Relationship Id="rId3572" Type="http://schemas.openxmlformats.org/officeDocument/2006/relationships/hyperlink" Target="https://m.stock.naver.com/research/company/89679" TargetMode="External"/><Relationship Id="rId4623" Type="http://schemas.openxmlformats.org/officeDocument/2006/relationships/hyperlink" Target="https://m.stock.naver.com/research/company/88617" TargetMode="External"/><Relationship Id="rId13166" Type="http://schemas.openxmlformats.org/officeDocument/2006/relationships/hyperlink" Target="https://m.stock.naver.com/research/company/80041" TargetMode="External"/><Relationship Id="rId14217" Type="http://schemas.openxmlformats.org/officeDocument/2006/relationships/hyperlink" Target="https://m.stock.naver.com/research/company/94041" TargetMode="External"/><Relationship Id="rId493" Type="http://schemas.openxmlformats.org/officeDocument/2006/relationships/hyperlink" Target="https://m.stock.naver.com/research/company/92964" TargetMode="External"/><Relationship Id="rId2174" Type="http://schemas.openxmlformats.org/officeDocument/2006/relationships/hyperlink" Target="https://m.stock.naver.com/research/company/91081" TargetMode="External"/><Relationship Id="rId3225" Type="http://schemas.openxmlformats.org/officeDocument/2006/relationships/hyperlink" Target="https://m.stock.naver.com/research/company/90026" TargetMode="External"/><Relationship Id="rId6795" Type="http://schemas.openxmlformats.org/officeDocument/2006/relationships/hyperlink" Target="https://m.stock.naver.com/research/company/86445" TargetMode="External"/><Relationship Id="rId146" Type="http://schemas.openxmlformats.org/officeDocument/2006/relationships/hyperlink" Target="https://m.stock.naver.com/research/company/93312" TargetMode="External"/><Relationship Id="rId5397" Type="http://schemas.openxmlformats.org/officeDocument/2006/relationships/hyperlink" Target="https://m.stock.naver.com/research/company/87843" TargetMode="External"/><Relationship Id="rId6448" Type="http://schemas.openxmlformats.org/officeDocument/2006/relationships/hyperlink" Target="https://m.stock.naver.com/research/company/86792" TargetMode="External"/><Relationship Id="rId7846" Type="http://schemas.openxmlformats.org/officeDocument/2006/relationships/hyperlink" Target="https://m.stock.naver.com/research/company/85392" TargetMode="External"/><Relationship Id="rId10827" Type="http://schemas.openxmlformats.org/officeDocument/2006/relationships/hyperlink" Target="https://m.stock.naver.com/research/company/82393" TargetMode="External"/><Relationship Id="rId12999" Type="http://schemas.openxmlformats.org/officeDocument/2006/relationships/hyperlink" Target="https://m.stock.naver.com/research/company/80209" TargetMode="External"/><Relationship Id="rId13300" Type="http://schemas.openxmlformats.org/officeDocument/2006/relationships/hyperlink" Target="https://m.stock.naver.com/research/company/79905" TargetMode="External"/><Relationship Id="rId15472" Type="http://schemas.openxmlformats.org/officeDocument/2006/relationships/hyperlink" Target="https://m.stock.naver.com/research/company/95315" TargetMode="External"/><Relationship Id="rId4480" Type="http://schemas.openxmlformats.org/officeDocument/2006/relationships/hyperlink" Target="https://m.stock.naver.com/research/company/88760" TargetMode="External"/><Relationship Id="rId5531" Type="http://schemas.openxmlformats.org/officeDocument/2006/relationships/hyperlink" Target="https://m.stock.naver.com/research/company/87709" TargetMode="External"/><Relationship Id="rId14074" Type="http://schemas.openxmlformats.org/officeDocument/2006/relationships/hyperlink" Target="https://m.stock.naver.com/research/company/93880" TargetMode="External"/><Relationship Id="rId15125" Type="http://schemas.openxmlformats.org/officeDocument/2006/relationships/hyperlink" Target="https://m.stock.naver.com/research/company/94969" TargetMode="External"/><Relationship Id="rId3082" Type="http://schemas.openxmlformats.org/officeDocument/2006/relationships/hyperlink" Target="https://m.stock.naver.com/research/company/90169" TargetMode="External"/><Relationship Id="rId4133" Type="http://schemas.openxmlformats.org/officeDocument/2006/relationships/hyperlink" Target="https://m.stock.naver.com/research/company/89118" TargetMode="External"/><Relationship Id="rId8754" Type="http://schemas.openxmlformats.org/officeDocument/2006/relationships/hyperlink" Target="https://m.stock.naver.com/research/company/84483" TargetMode="External"/><Relationship Id="rId9805" Type="http://schemas.openxmlformats.org/officeDocument/2006/relationships/hyperlink" Target="https://m.stock.naver.com/research/company/83417" TargetMode="External"/><Relationship Id="rId19" Type="http://schemas.openxmlformats.org/officeDocument/2006/relationships/hyperlink" Target="https://m.stock.naver.com/research/company/93439" TargetMode="External"/><Relationship Id="rId7356" Type="http://schemas.openxmlformats.org/officeDocument/2006/relationships/hyperlink" Target="https://m.stock.naver.com/research/company/85883" TargetMode="External"/><Relationship Id="rId8407" Type="http://schemas.openxmlformats.org/officeDocument/2006/relationships/hyperlink" Target="https://m.stock.naver.com/research/company/84831" TargetMode="External"/><Relationship Id="rId10337" Type="http://schemas.openxmlformats.org/officeDocument/2006/relationships/hyperlink" Target="https://m.stock.naver.com/research/company/82884" TargetMode="External"/><Relationship Id="rId10684" Type="http://schemas.openxmlformats.org/officeDocument/2006/relationships/hyperlink" Target="https://m.stock.naver.com/research/company/82536" TargetMode="External"/><Relationship Id="rId11735" Type="http://schemas.openxmlformats.org/officeDocument/2006/relationships/hyperlink" Target="https://m.stock.naver.com/research/company/81477" TargetMode="External"/><Relationship Id="rId7009" Type="http://schemas.openxmlformats.org/officeDocument/2006/relationships/hyperlink" Target="https://m.stock.naver.com/research/company/86230" TargetMode="External"/><Relationship Id="rId14958" Type="http://schemas.openxmlformats.org/officeDocument/2006/relationships/hyperlink" Target="https://m.stock.naver.com/research/company/94876" TargetMode="External"/><Relationship Id="rId3966" Type="http://schemas.openxmlformats.org/officeDocument/2006/relationships/hyperlink" Target="https://m.stock.naver.com/research/company/89285" TargetMode="External"/><Relationship Id="rId3" Type="http://schemas.openxmlformats.org/officeDocument/2006/relationships/hyperlink" Target="https://m.stock.naver.com/research/company/93455" TargetMode="External"/><Relationship Id="rId887" Type="http://schemas.openxmlformats.org/officeDocument/2006/relationships/hyperlink" Target="https://m.stock.naver.com/research/company/92569" TargetMode="External"/><Relationship Id="rId2568" Type="http://schemas.openxmlformats.org/officeDocument/2006/relationships/hyperlink" Target="https://m.stock.naver.com/research/company/90686" TargetMode="External"/><Relationship Id="rId3619" Type="http://schemas.openxmlformats.org/officeDocument/2006/relationships/hyperlink" Target="https://m.stock.naver.com/research/company/89632" TargetMode="External"/><Relationship Id="rId5041" Type="http://schemas.openxmlformats.org/officeDocument/2006/relationships/hyperlink" Target="https://m.stock.naver.com/research/company/88199" TargetMode="External"/><Relationship Id="rId12990" Type="http://schemas.openxmlformats.org/officeDocument/2006/relationships/hyperlink" Target="https://m.stock.naver.com/research/company/80218" TargetMode="External"/><Relationship Id="rId9662" Type="http://schemas.openxmlformats.org/officeDocument/2006/relationships/hyperlink" Target="https://m.stock.naver.com/research/company/83562" TargetMode="External"/><Relationship Id="rId11592" Type="http://schemas.openxmlformats.org/officeDocument/2006/relationships/hyperlink" Target="https://m.stock.naver.com/research/company/81620" TargetMode="External"/><Relationship Id="rId12643" Type="http://schemas.openxmlformats.org/officeDocument/2006/relationships/hyperlink" Target="https://m.stock.naver.com/research/company/80565" TargetMode="External"/><Relationship Id="rId1651" Type="http://schemas.openxmlformats.org/officeDocument/2006/relationships/hyperlink" Target="https://m.stock.naver.com/research/company/91604" TargetMode="External"/><Relationship Id="rId2702" Type="http://schemas.openxmlformats.org/officeDocument/2006/relationships/hyperlink" Target="https://m.stock.naver.com/research/company/90552" TargetMode="External"/><Relationship Id="rId8264" Type="http://schemas.openxmlformats.org/officeDocument/2006/relationships/hyperlink" Target="https://m.stock.naver.com/research/company/84974" TargetMode="External"/><Relationship Id="rId9315" Type="http://schemas.openxmlformats.org/officeDocument/2006/relationships/hyperlink" Target="https://m.stock.naver.com/research/company/83912" TargetMode="External"/><Relationship Id="rId10194" Type="http://schemas.openxmlformats.org/officeDocument/2006/relationships/hyperlink" Target="https://m.stock.naver.com/research/company/83027" TargetMode="External"/><Relationship Id="rId11245" Type="http://schemas.openxmlformats.org/officeDocument/2006/relationships/hyperlink" Target="https://m.stock.naver.com/research/company/81974" TargetMode="External"/><Relationship Id="rId1304" Type="http://schemas.openxmlformats.org/officeDocument/2006/relationships/hyperlink" Target="https://m.stock.naver.com/research/company/91951" TargetMode="External"/><Relationship Id="rId4874" Type="http://schemas.openxmlformats.org/officeDocument/2006/relationships/hyperlink" Target="https://m.stock.naver.com/research/company/88366" TargetMode="External"/><Relationship Id="rId14468" Type="http://schemas.openxmlformats.org/officeDocument/2006/relationships/hyperlink" Target="https://m.stock.naver.com/research/company/94442" TargetMode="External"/><Relationship Id="rId3476" Type="http://schemas.openxmlformats.org/officeDocument/2006/relationships/hyperlink" Target="https://m.stock.naver.com/research/company/89775" TargetMode="External"/><Relationship Id="rId4527" Type="http://schemas.openxmlformats.org/officeDocument/2006/relationships/hyperlink" Target="https://m.stock.naver.com/research/company/88713" TargetMode="External"/><Relationship Id="rId5925" Type="http://schemas.openxmlformats.org/officeDocument/2006/relationships/hyperlink" Target="https://m.stock.naver.com/research/company/87315" TargetMode="External"/><Relationship Id="rId15519" Type="http://schemas.openxmlformats.org/officeDocument/2006/relationships/hyperlink" Target="https://m.stock.naver.com/research/company/95517" TargetMode="External"/><Relationship Id="rId10" Type="http://schemas.openxmlformats.org/officeDocument/2006/relationships/hyperlink" Target="https://m.stock.naver.com/research/company/93448" TargetMode="External"/><Relationship Id="rId397" Type="http://schemas.openxmlformats.org/officeDocument/2006/relationships/hyperlink" Target="https://m.stock.naver.com/research/company/93061" TargetMode="External"/><Relationship Id="rId2078" Type="http://schemas.openxmlformats.org/officeDocument/2006/relationships/hyperlink" Target="https://m.stock.naver.com/research/company/91177" TargetMode="External"/><Relationship Id="rId3129" Type="http://schemas.openxmlformats.org/officeDocument/2006/relationships/hyperlink" Target="https://m.stock.naver.com/research/company/90122" TargetMode="External"/><Relationship Id="rId7000" Type="http://schemas.openxmlformats.org/officeDocument/2006/relationships/hyperlink" Target="https://m.stock.naver.com/research/company/86239" TargetMode="External"/><Relationship Id="rId6699" Type="http://schemas.openxmlformats.org/officeDocument/2006/relationships/hyperlink" Target="https://m.stock.naver.com/research/company/86541" TargetMode="External"/><Relationship Id="rId9172" Type="http://schemas.openxmlformats.org/officeDocument/2006/relationships/hyperlink" Target="https://m.stock.naver.com/research/company/84058" TargetMode="External"/><Relationship Id="rId13551" Type="http://schemas.openxmlformats.org/officeDocument/2006/relationships/hyperlink" Target="https://m.stock.naver.com/research/company/79653" TargetMode="External"/><Relationship Id="rId14602" Type="http://schemas.openxmlformats.org/officeDocument/2006/relationships/hyperlink" Target="https://m.stock.naver.com/research/company/94575" TargetMode="External"/><Relationship Id="rId3610" Type="http://schemas.openxmlformats.org/officeDocument/2006/relationships/hyperlink" Target="https://m.stock.naver.com/research/company/89641" TargetMode="External"/><Relationship Id="rId12153" Type="http://schemas.openxmlformats.org/officeDocument/2006/relationships/hyperlink" Target="https://m.stock.naver.com/research/company/81058" TargetMode="External"/><Relationship Id="rId13204" Type="http://schemas.openxmlformats.org/officeDocument/2006/relationships/hyperlink" Target="https://m.stock.naver.com/research/company/80003" TargetMode="External"/><Relationship Id="rId531" Type="http://schemas.openxmlformats.org/officeDocument/2006/relationships/hyperlink" Target="https://m.stock.naver.com/research/company/92926" TargetMode="External"/><Relationship Id="rId1161" Type="http://schemas.openxmlformats.org/officeDocument/2006/relationships/hyperlink" Target="https://m.stock.naver.com/research/company/92094" TargetMode="External"/><Relationship Id="rId2212" Type="http://schemas.openxmlformats.org/officeDocument/2006/relationships/hyperlink" Target="https://m.stock.naver.com/research/company/91043" TargetMode="External"/><Relationship Id="rId5782" Type="http://schemas.openxmlformats.org/officeDocument/2006/relationships/hyperlink" Target="https://m.stock.naver.com/research/company/87458" TargetMode="External"/><Relationship Id="rId6833" Type="http://schemas.openxmlformats.org/officeDocument/2006/relationships/hyperlink" Target="https://m.stock.naver.com/research/company/86407" TargetMode="External"/><Relationship Id="rId15376" Type="http://schemas.openxmlformats.org/officeDocument/2006/relationships/hyperlink" Target="https://m.stock.naver.com/research/company/95212" TargetMode="External"/><Relationship Id="rId4384" Type="http://schemas.openxmlformats.org/officeDocument/2006/relationships/hyperlink" Target="https://m.stock.naver.com/research/company/88857" TargetMode="External"/><Relationship Id="rId5435" Type="http://schemas.openxmlformats.org/officeDocument/2006/relationships/hyperlink" Target="https://m.stock.naver.com/research/company/87805" TargetMode="External"/><Relationship Id="rId15029" Type="http://schemas.openxmlformats.org/officeDocument/2006/relationships/hyperlink" Target="https://m.stock.naver.com/research/company/94939" TargetMode="External"/><Relationship Id="rId4037" Type="http://schemas.openxmlformats.org/officeDocument/2006/relationships/hyperlink" Target="https://m.stock.naver.com/research/company/89214" TargetMode="External"/><Relationship Id="rId8658" Type="http://schemas.openxmlformats.org/officeDocument/2006/relationships/hyperlink" Target="https://m.stock.naver.com/research/company/84579" TargetMode="External"/><Relationship Id="rId9709" Type="http://schemas.openxmlformats.org/officeDocument/2006/relationships/hyperlink" Target="https://m.stock.naver.com/research/company/83514" TargetMode="External"/><Relationship Id="rId11986" Type="http://schemas.openxmlformats.org/officeDocument/2006/relationships/hyperlink" Target="https://m.stock.naver.com/research/company/81225" TargetMode="External"/><Relationship Id="rId10588" Type="http://schemas.openxmlformats.org/officeDocument/2006/relationships/hyperlink" Target="https://m.stock.naver.com/research/company/82632" TargetMode="External"/><Relationship Id="rId11639" Type="http://schemas.openxmlformats.org/officeDocument/2006/relationships/hyperlink" Target="https://m.stock.naver.com/research/company/81573" TargetMode="External"/><Relationship Id="rId15510" Type="http://schemas.openxmlformats.org/officeDocument/2006/relationships/hyperlink" Target="https://m.stock.naver.com/research/company/95526" TargetMode="External"/><Relationship Id="rId3120" Type="http://schemas.openxmlformats.org/officeDocument/2006/relationships/hyperlink" Target="https://m.stock.naver.com/research/company/90131" TargetMode="External"/><Relationship Id="rId13061" Type="http://schemas.openxmlformats.org/officeDocument/2006/relationships/hyperlink" Target="https://m.stock.naver.com/research/company/80146" TargetMode="External"/><Relationship Id="rId14112" Type="http://schemas.openxmlformats.org/officeDocument/2006/relationships/hyperlink" Target="https://m.stock.naver.com/research/company/93890" TargetMode="External"/><Relationship Id="rId6690" Type="http://schemas.openxmlformats.org/officeDocument/2006/relationships/hyperlink" Target="https://m.stock.naver.com/research/company/86550" TargetMode="External"/><Relationship Id="rId7741" Type="http://schemas.openxmlformats.org/officeDocument/2006/relationships/hyperlink" Target="https://m.stock.naver.com/research/company/85498" TargetMode="External"/><Relationship Id="rId10722" Type="http://schemas.openxmlformats.org/officeDocument/2006/relationships/hyperlink" Target="https://m.stock.naver.com/research/company/82498" TargetMode="External"/><Relationship Id="rId5292" Type="http://schemas.openxmlformats.org/officeDocument/2006/relationships/hyperlink" Target="https://m.stock.naver.com/research/company/87948" TargetMode="External"/><Relationship Id="rId6343" Type="http://schemas.openxmlformats.org/officeDocument/2006/relationships/hyperlink" Target="https://m.stock.naver.com/research/company/86897" TargetMode="External"/><Relationship Id="rId2953" Type="http://schemas.openxmlformats.org/officeDocument/2006/relationships/hyperlink" Target="https://m.stock.naver.com/research/company/90300" TargetMode="External"/><Relationship Id="rId9566" Type="http://schemas.openxmlformats.org/officeDocument/2006/relationships/hyperlink" Target="https://m.stock.naver.com/research/company/83661" TargetMode="External"/><Relationship Id="rId11496" Type="http://schemas.openxmlformats.org/officeDocument/2006/relationships/hyperlink" Target="https://m.stock.naver.com/research/company/81719" TargetMode="External"/><Relationship Id="rId12547" Type="http://schemas.openxmlformats.org/officeDocument/2006/relationships/hyperlink" Target="https://m.stock.naver.com/research/company/80661" TargetMode="External"/><Relationship Id="rId12894" Type="http://schemas.openxmlformats.org/officeDocument/2006/relationships/hyperlink" Target="https://m.stock.naver.com/research/company/80314" TargetMode="External"/><Relationship Id="rId13945" Type="http://schemas.openxmlformats.org/officeDocument/2006/relationships/hyperlink" Target="https://m.stock.naver.com/research/company/93787" TargetMode="External"/><Relationship Id="rId925" Type="http://schemas.openxmlformats.org/officeDocument/2006/relationships/hyperlink" Target="https://m.stock.naver.com/research/company/92531" TargetMode="External"/><Relationship Id="rId1555" Type="http://schemas.openxmlformats.org/officeDocument/2006/relationships/hyperlink" Target="https://m.stock.naver.com/research/company/91700" TargetMode="External"/><Relationship Id="rId2606" Type="http://schemas.openxmlformats.org/officeDocument/2006/relationships/hyperlink" Target="https://m.stock.naver.com/research/company/90648" TargetMode="External"/><Relationship Id="rId8168" Type="http://schemas.openxmlformats.org/officeDocument/2006/relationships/hyperlink" Target="https://m.stock.naver.com/research/company/85070" TargetMode="External"/><Relationship Id="rId9219" Type="http://schemas.openxmlformats.org/officeDocument/2006/relationships/hyperlink" Target="https://m.stock.naver.com/research/company/84011" TargetMode="External"/><Relationship Id="rId10098" Type="http://schemas.openxmlformats.org/officeDocument/2006/relationships/hyperlink" Target="https://m.stock.naver.com/research/company/83123" TargetMode="External"/><Relationship Id="rId11149" Type="http://schemas.openxmlformats.org/officeDocument/2006/relationships/hyperlink" Target="https://m.stock.naver.com/research/company/82071" TargetMode="External"/><Relationship Id="rId15020" Type="http://schemas.openxmlformats.org/officeDocument/2006/relationships/hyperlink" Target="https://m.stock.naver.com/research/company/94814" TargetMode="External"/><Relationship Id="rId1208" Type="http://schemas.openxmlformats.org/officeDocument/2006/relationships/hyperlink" Target="https://m.stock.naver.com/research/company/92047" TargetMode="External"/><Relationship Id="rId4778" Type="http://schemas.openxmlformats.org/officeDocument/2006/relationships/hyperlink" Target="https://m.stock.naver.com/research/company/88462" TargetMode="External"/><Relationship Id="rId5829" Type="http://schemas.openxmlformats.org/officeDocument/2006/relationships/hyperlink" Target="https://m.stock.naver.com/research/company/87411" TargetMode="External"/><Relationship Id="rId7251" Type="http://schemas.openxmlformats.org/officeDocument/2006/relationships/hyperlink" Target="https://m.stock.naver.com/research/company/85988" TargetMode="External"/><Relationship Id="rId9700" Type="http://schemas.openxmlformats.org/officeDocument/2006/relationships/hyperlink" Target="https://m.stock.naver.com/research/company/83523" TargetMode="External"/><Relationship Id="rId11630" Type="http://schemas.openxmlformats.org/officeDocument/2006/relationships/hyperlink" Target="https://m.stock.naver.com/research/company/81582" TargetMode="External"/><Relationship Id="rId8302" Type="http://schemas.openxmlformats.org/officeDocument/2006/relationships/hyperlink" Target="https://m.stock.naver.com/research/company/84936" TargetMode="External"/><Relationship Id="rId10232" Type="http://schemas.openxmlformats.org/officeDocument/2006/relationships/hyperlink" Target="https://m.stock.naver.com/research/company/82989" TargetMode="External"/><Relationship Id="rId14853" Type="http://schemas.openxmlformats.org/officeDocument/2006/relationships/hyperlink" Target="https://m.stock.naver.com/research/company/94771" TargetMode="External"/><Relationship Id="rId3861" Type="http://schemas.openxmlformats.org/officeDocument/2006/relationships/hyperlink" Target="https://m.stock.naver.com/research/company/89390" TargetMode="External"/><Relationship Id="rId4912" Type="http://schemas.openxmlformats.org/officeDocument/2006/relationships/hyperlink" Target="https://m.stock.naver.com/research/company/88328" TargetMode="External"/><Relationship Id="rId13455" Type="http://schemas.openxmlformats.org/officeDocument/2006/relationships/hyperlink" Target="https://m.stock.naver.com/research/company/79749" TargetMode="External"/><Relationship Id="rId14506" Type="http://schemas.openxmlformats.org/officeDocument/2006/relationships/hyperlink" Target="https://m.stock.naver.com/research/company/94404" TargetMode="External"/><Relationship Id="rId782" Type="http://schemas.openxmlformats.org/officeDocument/2006/relationships/hyperlink" Target="https://m.stock.naver.com/research/company/92674" TargetMode="External"/><Relationship Id="rId2463" Type="http://schemas.openxmlformats.org/officeDocument/2006/relationships/hyperlink" Target="https://m.stock.naver.com/research/company/90791" TargetMode="External"/><Relationship Id="rId3514" Type="http://schemas.openxmlformats.org/officeDocument/2006/relationships/hyperlink" Target="https://m.stock.naver.com/research/company/89737" TargetMode="External"/><Relationship Id="rId9076" Type="http://schemas.openxmlformats.org/officeDocument/2006/relationships/hyperlink" Target="https://m.stock.naver.com/research/company/84155" TargetMode="External"/><Relationship Id="rId12057" Type="http://schemas.openxmlformats.org/officeDocument/2006/relationships/hyperlink" Target="https://m.stock.naver.com/research/company/81154" TargetMode="External"/><Relationship Id="rId13108" Type="http://schemas.openxmlformats.org/officeDocument/2006/relationships/hyperlink" Target="https://m.stock.naver.com/research/company/80099" TargetMode="External"/><Relationship Id="rId435" Type="http://schemas.openxmlformats.org/officeDocument/2006/relationships/hyperlink" Target="https://m.stock.naver.com/research/company/93022" TargetMode="External"/><Relationship Id="rId1065" Type="http://schemas.openxmlformats.org/officeDocument/2006/relationships/hyperlink" Target="https://m.stock.naver.com/research/company/92286" TargetMode="External"/><Relationship Id="rId2116" Type="http://schemas.openxmlformats.org/officeDocument/2006/relationships/hyperlink" Target="https://m.stock.naver.com/research/company/91139" TargetMode="External"/><Relationship Id="rId5686" Type="http://schemas.openxmlformats.org/officeDocument/2006/relationships/hyperlink" Target="https://m.stock.naver.com/research/company/87554" TargetMode="External"/><Relationship Id="rId6737" Type="http://schemas.openxmlformats.org/officeDocument/2006/relationships/hyperlink" Target="https://m.stock.naver.com/research/company/86503" TargetMode="External"/><Relationship Id="rId4288" Type="http://schemas.openxmlformats.org/officeDocument/2006/relationships/hyperlink" Target="https://m.stock.naver.com/research/company/88953" TargetMode="External"/><Relationship Id="rId5339" Type="http://schemas.openxmlformats.org/officeDocument/2006/relationships/hyperlink" Target="https://m.stock.naver.com/research/company/87901" TargetMode="External"/><Relationship Id="rId9210" Type="http://schemas.openxmlformats.org/officeDocument/2006/relationships/hyperlink" Target="https://m.stock.naver.com/research/company/84020" TargetMode="External"/><Relationship Id="rId11140" Type="http://schemas.openxmlformats.org/officeDocument/2006/relationships/hyperlink" Target="https://m.stock.naver.com/research/company/82080" TargetMode="External"/><Relationship Id="rId1949" Type="http://schemas.openxmlformats.org/officeDocument/2006/relationships/hyperlink" Target="https://m.stock.naver.com/research/company/91306" TargetMode="External"/><Relationship Id="rId5820" Type="http://schemas.openxmlformats.org/officeDocument/2006/relationships/hyperlink" Target="https://m.stock.naver.com/research/company/87420" TargetMode="External"/><Relationship Id="rId14363" Type="http://schemas.openxmlformats.org/officeDocument/2006/relationships/hyperlink" Target="https://m.stock.naver.com/research/company/94249" TargetMode="External"/><Relationship Id="rId15414" Type="http://schemas.openxmlformats.org/officeDocument/2006/relationships/hyperlink" Target="https://m.stock.naver.com/research/company/95373" TargetMode="External"/><Relationship Id="rId292" Type="http://schemas.openxmlformats.org/officeDocument/2006/relationships/hyperlink" Target="https://m.stock.naver.com/research/company/93166" TargetMode="External"/><Relationship Id="rId3371" Type="http://schemas.openxmlformats.org/officeDocument/2006/relationships/hyperlink" Target="https://m.stock.naver.com/research/company/89880" TargetMode="External"/><Relationship Id="rId4422" Type="http://schemas.openxmlformats.org/officeDocument/2006/relationships/hyperlink" Target="https://m.stock.naver.com/research/company/88819" TargetMode="External"/><Relationship Id="rId7992" Type="http://schemas.openxmlformats.org/officeDocument/2006/relationships/hyperlink" Target="https://m.stock.naver.com/research/company/85246" TargetMode="External"/><Relationship Id="rId14016" Type="http://schemas.openxmlformats.org/officeDocument/2006/relationships/hyperlink" Target="https://m.stock.naver.com/research/company/93831" TargetMode="External"/><Relationship Id="rId3024" Type="http://schemas.openxmlformats.org/officeDocument/2006/relationships/hyperlink" Target="https://m.stock.naver.com/research/company/90227" TargetMode="External"/><Relationship Id="rId6594" Type="http://schemas.openxmlformats.org/officeDocument/2006/relationships/hyperlink" Target="https://m.stock.naver.com/research/company/86646" TargetMode="External"/><Relationship Id="rId7645" Type="http://schemas.openxmlformats.org/officeDocument/2006/relationships/hyperlink" Target="https://m.stock.naver.com/research/company/85594" TargetMode="External"/><Relationship Id="rId10973" Type="http://schemas.openxmlformats.org/officeDocument/2006/relationships/hyperlink" Target="https://m.stock.naver.com/research/company/82247" TargetMode="External"/><Relationship Id="rId5196" Type="http://schemas.openxmlformats.org/officeDocument/2006/relationships/hyperlink" Target="https://m.stock.naver.com/research/company/88044" TargetMode="External"/><Relationship Id="rId6247" Type="http://schemas.openxmlformats.org/officeDocument/2006/relationships/hyperlink" Target="https://m.stock.naver.com/research/company/86993" TargetMode="External"/><Relationship Id="rId10626" Type="http://schemas.openxmlformats.org/officeDocument/2006/relationships/hyperlink" Target="https://m.stock.naver.com/research/company/82594" TargetMode="External"/><Relationship Id="rId12798" Type="http://schemas.openxmlformats.org/officeDocument/2006/relationships/hyperlink" Target="https://m.stock.naver.com/research/company/80410" TargetMode="External"/><Relationship Id="rId13849" Type="http://schemas.openxmlformats.org/officeDocument/2006/relationships/hyperlink" Target="https://m.stock.naver.com/research/company/93633" TargetMode="External"/><Relationship Id="rId1459" Type="http://schemas.openxmlformats.org/officeDocument/2006/relationships/hyperlink" Target="https://m.stock.naver.com/research/company/91796" TargetMode="External"/><Relationship Id="rId2857" Type="http://schemas.openxmlformats.org/officeDocument/2006/relationships/hyperlink" Target="https://m.stock.naver.com/research/company/90396" TargetMode="External"/><Relationship Id="rId3908" Type="http://schemas.openxmlformats.org/officeDocument/2006/relationships/hyperlink" Target="https://m.stock.naver.com/research/company/89343" TargetMode="External"/><Relationship Id="rId5330" Type="http://schemas.openxmlformats.org/officeDocument/2006/relationships/hyperlink" Target="https://m.stock.naver.com/research/company/87910" TargetMode="External"/><Relationship Id="rId15271" Type="http://schemas.openxmlformats.org/officeDocument/2006/relationships/hyperlink" Target="https://m.stock.naver.com/research/company/95089" TargetMode="External"/><Relationship Id="rId829" Type="http://schemas.openxmlformats.org/officeDocument/2006/relationships/hyperlink" Target="https://m.stock.naver.com/research/company/92627" TargetMode="External"/><Relationship Id="rId9951" Type="http://schemas.openxmlformats.org/officeDocument/2006/relationships/hyperlink" Target="https://m.stock.naver.com/research/company/83271" TargetMode="External"/><Relationship Id="rId11881" Type="http://schemas.openxmlformats.org/officeDocument/2006/relationships/hyperlink" Target="https://m.stock.naver.com/research/company/81331" TargetMode="External"/><Relationship Id="rId12932" Type="http://schemas.openxmlformats.org/officeDocument/2006/relationships/hyperlink" Target="https://m.stock.naver.com/research/company/80276" TargetMode="External"/><Relationship Id="rId1940" Type="http://schemas.openxmlformats.org/officeDocument/2006/relationships/hyperlink" Target="https://m.stock.naver.com/research/company/91315" TargetMode="External"/><Relationship Id="rId8553" Type="http://schemas.openxmlformats.org/officeDocument/2006/relationships/hyperlink" Target="https://m.stock.naver.com/research/company/84684" TargetMode="External"/><Relationship Id="rId9604" Type="http://schemas.openxmlformats.org/officeDocument/2006/relationships/hyperlink" Target="https://m.stock.naver.com/research/company/83623" TargetMode="External"/><Relationship Id="rId10483" Type="http://schemas.openxmlformats.org/officeDocument/2006/relationships/hyperlink" Target="https://m.stock.naver.com/research/company/82737" TargetMode="External"/><Relationship Id="rId11534" Type="http://schemas.openxmlformats.org/officeDocument/2006/relationships/hyperlink" Target="https://m.stock.naver.com/research/company/81681" TargetMode="External"/><Relationship Id="rId7155" Type="http://schemas.openxmlformats.org/officeDocument/2006/relationships/hyperlink" Target="https://m.stock.naver.com/research/company/86084" TargetMode="External"/><Relationship Id="rId8206" Type="http://schemas.openxmlformats.org/officeDocument/2006/relationships/hyperlink" Target="https://m.stock.naver.com/research/company/85032" TargetMode="External"/><Relationship Id="rId10136" Type="http://schemas.openxmlformats.org/officeDocument/2006/relationships/hyperlink" Target="https://m.stock.naver.com/research/company/83085" TargetMode="External"/><Relationship Id="rId14757" Type="http://schemas.openxmlformats.org/officeDocument/2006/relationships/hyperlink" Target="https://m.stock.naver.com/research/company/94643" TargetMode="External"/><Relationship Id="rId3765" Type="http://schemas.openxmlformats.org/officeDocument/2006/relationships/hyperlink" Target="https://m.stock.naver.com/research/company/89486" TargetMode="External"/><Relationship Id="rId4816" Type="http://schemas.openxmlformats.org/officeDocument/2006/relationships/hyperlink" Target="https://m.stock.naver.com/research/company/88424" TargetMode="External"/><Relationship Id="rId13359" Type="http://schemas.openxmlformats.org/officeDocument/2006/relationships/hyperlink" Target="https://m.stock.naver.com/research/company/79846" TargetMode="External"/><Relationship Id="rId686" Type="http://schemas.openxmlformats.org/officeDocument/2006/relationships/hyperlink" Target="https://m.stock.naver.com/research/company/92770" TargetMode="External"/><Relationship Id="rId2367" Type="http://schemas.openxmlformats.org/officeDocument/2006/relationships/hyperlink" Target="https://m.stock.naver.com/research/company/90887" TargetMode="External"/><Relationship Id="rId3418" Type="http://schemas.openxmlformats.org/officeDocument/2006/relationships/hyperlink" Target="https://m.stock.naver.com/research/company/89833" TargetMode="External"/><Relationship Id="rId339" Type="http://schemas.openxmlformats.org/officeDocument/2006/relationships/hyperlink" Target="https://m.stock.naver.com/research/company/93119" TargetMode="External"/><Relationship Id="rId6988" Type="http://schemas.openxmlformats.org/officeDocument/2006/relationships/hyperlink" Target="https://m.stock.naver.com/research/company/86251" TargetMode="External"/><Relationship Id="rId9461" Type="http://schemas.openxmlformats.org/officeDocument/2006/relationships/hyperlink" Target="https://m.stock.naver.com/research/company/83766" TargetMode="External"/><Relationship Id="rId13840" Type="http://schemas.openxmlformats.org/officeDocument/2006/relationships/hyperlink" Target="https://m.stock.naver.com/research/company/93642" TargetMode="External"/><Relationship Id="rId8063" Type="http://schemas.openxmlformats.org/officeDocument/2006/relationships/hyperlink" Target="https://m.stock.naver.com/research/company/85175" TargetMode="External"/><Relationship Id="rId9114" Type="http://schemas.openxmlformats.org/officeDocument/2006/relationships/hyperlink" Target="https://m.stock.naver.com/research/company/84116" TargetMode="External"/><Relationship Id="rId11391" Type="http://schemas.openxmlformats.org/officeDocument/2006/relationships/hyperlink" Target="https://m.stock.naver.com/research/company/81824" TargetMode="External"/><Relationship Id="rId12442" Type="http://schemas.openxmlformats.org/officeDocument/2006/relationships/hyperlink" Target="https://m.stock.naver.com/research/company/80767" TargetMode="External"/><Relationship Id="rId820" Type="http://schemas.openxmlformats.org/officeDocument/2006/relationships/hyperlink" Target="https://m.stock.naver.com/research/company/92636" TargetMode="External"/><Relationship Id="rId1450" Type="http://schemas.openxmlformats.org/officeDocument/2006/relationships/hyperlink" Target="https://m.stock.naver.com/research/company/91805" TargetMode="External"/><Relationship Id="rId2501" Type="http://schemas.openxmlformats.org/officeDocument/2006/relationships/hyperlink" Target="https://m.stock.naver.com/research/company/90753" TargetMode="External"/><Relationship Id="rId11044" Type="http://schemas.openxmlformats.org/officeDocument/2006/relationships/hyperlink" Target="https://m.stock.naver.com/research/company/82176" TargetMode="External"/><Relationship Id="rId15665" Type="http://schemas.openxmlformats.org/officeDocument/2006/relationships/hyperlink" Target="https://m.stock.naver.com/research/company/95749" TargetMode="External"/><Relationship Id="rId1103" Type="http://schemas.openxmlformats.org/officeDocument/2006/relationships/hyperlink" Target="https://m.stock.naver.com/research/company/92152" TargetMode="External"/><Relationship Id="rId4673" Type="http://schemas.openxmlformats.org/officeDocument/2006/relationships/hyperlink" Target="https://m.stock.naver.com/research/company/88567" TargetMode="External"/><Relationship Id="rId5724" Type="http://schemas.openxmlformats.org/officeDocument/2006/relationships/hyperlink" Target="https://m.stock.naver.com/research/company/87516" TargetMode="External"/><Relationship Id="rId14267" Type="http://schemas.openxmlformats.org/officeDocument/2006/relationships/hyperlink" Target="https://m.stock.naver.com/research/company/94131" TargetMode="External"/><Relationship Id="rId15318" Type="http://schemas.openxmlformats.org/officeDocument/2006/relationships/hyperlink" Target="https://m.stock.naver.com/research/company/95270" TargetMode="External"/><Relationship Id="rId3275" Type="http://schemas.openxmlformats.org/officeDocument/2006/relationships/hyperlink" Target="https://m.stock.naver.com/research/company/89975" TargetMode="External"/><Relationship Id="rId4326" Type="http://schemas.openxmlformats.org/officeDocument/2006/relationships/hyperlink" Target="https://m.stock.naver.com/research/company/88915" TargetMode="External"/><Relationship Id="rId7896" Type="http://schemas.openxmlformats.org/officeDocument/2006/relationships/hyperlink" Target="https://m.stock.naver.com/research/company/85342" TargetMode="External"/><Relationship Id="rId8947" Type="http://schemas.openxmlformats.org/officeDocument/2006/relationships/hyperlink" Target="https://m.stock.naver.com/research/company/84285" TargetMode="External"/><Relationship Id="rId196" Type="http://schemas.openxmlformats.org/officeDocument/2006/relationships/hyperlink" Target="https://m.stock.naver.com/research/company/93262" TargetMode="External"/><Relationship Id="rId6498" Type="http://schemas.openxmlformats.org/officeDocument/2006/relationships/hyperlink" Target="https://m.stock.naver.com/research/company/86742" TargetMode="External"/><Relationship Id="rId7549" Type="http://schemas.openxmlformats.org/officeDocument/2006/relationships/hyperlink" Target="https://m.stock.naver.com/research/company/85690" TargetMode="External"/><Relationship Id="rId10877" Type="http://schemas.openxmlformats.org/officeDocument/2006/relationships/hyperlink" Target="https://m.stock.naver.com/research/company/82343" TargetMode="External"/><Relationship Id="rId11928" Type="http://schemas.openxmlformats.org/officeDocument/2006/relationships/hyperlink" Target="https://m.stock.naver.com/research/company/81283" TargetMode="External"/><Relationship Id="rId13350" Type="http://schemas.openxmlformats.org/officeDocument/2006/relationships/hyperlink" Target="https://m.stock.naver.com/research/company/79855" TargetMode="External"/><Relationship Id="rId14401" Type="http://schemas.openxmlformats.org/officeDocument/2006/relationships/hyperlink" Target="https://m.stock.naver.com/research/company/94282" TargetMode="External"/><Relationship Id="rId330" Type="http://schemas.openxmlformats.org/officeDocument/2006/relationships/hyperlink" Target="https://m.stock.naver.com/research/company/93128" TargetMode="External"/><Relationship Id="rId2011" Type="http://schemas.openxmlformats.org/officeDocument/2006/relationships/hyperlink" Target="https://m.stock.naver.com/research/company/91244" TargetMode="External"/><Relationship Id="rId13003" Type="http://schemas.openxmlformats.org/officeDocument/2006/relationships/hyperlink" Target="https://m.stock.naver.com/research/company/80205" TargetMode="External"/><Relationship Id="rId4183" Type="http://schemas.openxmlformats.org/officeDocument/2006/relationships/hyperlink" Target="https://m.stock.naver.com/research/company/89059" TargetMode="External"/><Relationship Id="rId5581" Type="http://schemas.openxmlformats.org/officeDocument/2006/relationships/hyperlink" Target="https://m.stock.naver.com/research/company/87659" TargetMode="External"/><Relationship Id="rId6632" Type="http://schemas.openxmlformats.org/officeDocument/2006/relationships/hyperlink" Target="https://m.stock.naver.com/research/company/86608" TargetMode="External"/><Relationship Id="rId15175" Type="http://schemas.openxmlformats.org/officeDocument/2006/relationships/hyperlink" Target="https://m.stock.naver.com/research/company/95185" TargetMode="External"/><Relationship Id="rId5234" Type="http://schemas.openxmlformats.org/officeDocument/2006/relationships/hyperlink" Target="https://m.stock.naver.com/research/company/88006" TargetMode="External"/><Relationship Id="rId9855" Type="http://schemas.openxmlformats.org/officeDocument/2006/relationships/hyperlink" Target="https://m.stock.naver.com/research/company/83367" TargetMode="External"/><Relationship Id="rId11785" Type="http://schemas.openxmlformats.org/officeDocument/2006/relationships/hyperlink" Target="https://m.stock.naver.com/research/company/81427" TargetMode="External"/><Relationship Id="rId12836" Type="http://schemas.openxmlformats.org/officeDocument/2006/relationships/hyperlink" Target="https://m.stock.naver.com/research/company/80372" TargetMode="External"/><Relationship Id="rId69" Type="http://schemas.openxmlformats.org/officeDocument/2006/relationships/hyperlink" Target="https://m.stock.naver.com/research/company/93389" TargetMode="External"/><Relationship Id="rId1844" Type="http://schemas.openxmlformats.org/officeDocument/2006/relationships/hyperlink" Target="https://m.stock.naver.com/research/company/91411" TargetMode="External"/><Relationship Id="rId8457" Type="http://schemas.openxmlformats.org/officeDocument/2006/relationships/hyperlink" Target="https://m.stock.naver.com/research/company/84780" TargetMode="External"/><Relationship Id="rId9508" Type="http://schemas.openxmlformats.org/officeDocument/2006/relationships/hyperlink" Target="https://m.stock.naver.com/research/company/83719" TargetMode="External"/><Relationship Id="rId10387" Type="http://schemas.openxmlformats.org/officeDocument/2006/relationships/hyperlink" Target="https://m.stock.naver.com/research/company/82834" TargetMode="External"/><Relationship Id="rId11438" Type="http://schemas.openxmlformats.org/officeDocument/2006/relationships/hyperlink" Target="https://m.stock.naver.com/research/company/81777" TargetMode="External"/><Relationship Id="rId7059" Type="http://schemas.openxmlformats.org/officeDocument/2006/relationships/hyperlink" Target="https://m.stock.naver.com/research/company/86180" TargetMode="External"/><Relationship Id="rId3669" Type="http://schemas.openxmlformats.org/officeDocument/2006/relationships/hyperlink" Target="https://m.stock.naver.com/research/company/89582" TargetMode="External"/><Relationship Id="rId7540" Type="http://schemas.openxmlformats.org/officeDocument/2006/relationships/hyperlink" Target="https://m.stock.naver.com/research/company/85699" TargetMode="External"/><Relationship Id="rId5091" Type="http://schemas.openxmlformats.org/officeDocument/2006/relationships/hyperlink" Target="https://m.stock.naver.com/research/company/88149" TargetMode="External"/><Relationship Id="rId6142" Type="http://schemas.openxmlformats.org/officeDocument/2006/relationships/hyperlink" Target="https://m.stock.naver.com/research/company/87098" TargetMode="External"/><Relationship Id="rId10521" Type="http://schemas.openxmlformats.org/officeDocument/2006/relationships/hyperlink" Target="https://m.stock.naver.com/research/company/82699" TargetMode="External"/><Relationship Id="rId12693" Type="http://schemas.openxmlformats.org/officeDocument/2006/relationships/hyperlink" Target="https://m.stock.naver.com/research/company/80515" TargetMode="External"/><Relationship Id="rId13744" Type="http://schemas.openxmlformats.org/officeDocument/2006/relationships/hyperlink" Target="https://m.stock.naver.com/research/company/93527" TargetMode="External"/><Relationship Id="rId2752" Type="http://schemas.openxmlformats.org/officeDocument/2006/relationships/hyperlink" Target="https://m.stock.naver.com/research/company/90502" TargetMode="External"/><Relationship Id="rId3803" Type="http://schemas.openxmlformats.org/officeDocument/2006/relationships/hyperlink" Target="https://m.stock.naver.com/research/company/89448" TargetMode="External"/><Relationship Id="rId9365" Type="http://schemas.openxmlformats.org/officeDocument/2006/relationships/hyperlink" Target="https://m.stock.naver.com/research/company/83862" TargetMode="External"/><Relationship Id="rId11295" Type="http://schemas.openxmlformats.org/officeDocument/2006/relationships/hyperlink" Target="https://m.stock.naver.com/research/company/81924" TargetMode="External"/><Relationship Id="rId12346" Type="http://schemas.openxmlformats.org/officeDocument/2006/relationships/hyperlink" Target="https://m.stock.naver.com/research/company/80863" TargetMode="External"/><Relationship Id="rId724" Type="http://schemas.openxmlformats.org/officeDocument/2006/relationships/hyperlink" Target="https://m.stock.naver.com/research/company/92732" TargetMode="External"/><Relationship Id="rId1354" Type="http://schemas.openxmlformats.org/officeDocument/2006/relationships/hyperlink" Target="https://m.stock.naver.com/research/company/91901" TargetMode="External"/><Relationship Id="rId2405" Type="http://schemas.openxmlformats.org/officeDocument/2006/relationships/hyperlink" Target="https://m.stock.naver.com/research/company/90849" TargetMode="External"/><Relationship Id="rId5975" Type="http://schemas.openxmlformats.org/officeDocument/2006/relationships/hyperlink" Target="https://m.stock.naver.com/research/company/87265" TargetMode="External"/><Relationship Id="rId9018" Type="http://schemas.openxmlformats.org/officeDocument/2006/relationships/hyperlink" Target="https://m.stock.naver.com/research/company/84214" TargetMode="External"/><Relationship Id="rId15569" Type="http://schemas.openxmlformats.org/officeDocument/2006/relationships/hyperlink" Target="https://m.stock.naver.com/research/company/95467" TargetMode="External"/><Relationship Id="rId60" Type="http://schemas.openxmlformats.org/officeDocument/2006/relationships/hyperlink" Target="https://m.stock.naver.com/research/company/93398" TargetMode="External"/><Relationship Id="rId1007" Type="http://schemas.openxmlformats.org/officeDocument/2006/relationships/hyperlink" Target="https://m.stock.naver.com/research/company/92449" TargetMode="External"/><Relationship Id="rId4577" Type="http://schemas.openxmlformats.org/officeDocument/2006/relationships/hyperlink" Target="https://m.stock.naver.com/research/company/88663" TargetMode="External"/><Relationship Id="rId5628" Type="http://schemas.openxmlformats.org/officeDocument/2006/relationships/hyperlink" Target="https://m.stock.naver.com/research/company/87612" TargetMode="External"/><Relationship Id="rId3179" Type="http://schemas.openxmlformats.org/officeDocument/2006/relationships/hyperlink" Target="https://m.stock.naver.com/research/company/90072" TargetMode="External"/><Relationship Id="rId7050" Type="http://schemas.openxmlformats.org/officeDocument/2006/relationships/hyperlink" Target="https://m.stock.naver.com/research/company/86189" TargetMode="External"/><Relationship Id="rId8101" Type="http://schemas.openxmlformats.org/officeDocument/2006/relationships/hyperlink" Target="https://m.stock.naver.com/research/company/85137" TargetMode="External"/><Relationship Id="rId10031" Type="http://schemas.openxmlformats.org/officeDocument/2006/relationships/hyperlink" Target="https://m.stock.naver.com/research/company/83190" TargetMode="External"/><Relationship Id="rId14652" Type="http://schemas.openxmlformats.org/officeDocument/2006/relationships/hyperlink" Target="https://m.stock.naver.com/research/company/94526" TargetMode="External"/><Relationship Id="rId15703" Type="http://schemas.openxmlformats.org/officeDocument/2006/relationships/hyperlink" Target="https://m.stock.naver.com/research/company/95711" TargetMode="External"/><Relationship Id="rId581" Type="http://schemas.openxmlformats.org/officeDocument/2006/relationships/hyperlink" Target="https://m.stock.naver.com/research/company/92876" TargetMode="External"/><Relationship Id="rId2262" Type="http://schemas.openxmlformats.org/officeDocument/2006/relationships/hyperlink" Target="https://m.stock.naver.com/research/company/90993" TargetMode="External"/><Relationship Id="rId3660" Type="http://schemas.openxmlformats.org/officeDocument/2006/relationships/hyperlink" Target="https://m.stock.naver.com/research/company/89591" TargetMode="External"/><Relationship Id="rId4711" Type="http://schemas.openxmlformats.org/officeDocument/2006/relationships/hyperlink" Target="https://m.stock.naver.com/research/company/88529" TargetMode="External"/><Relationship Id="rId13254" Type="http://schemas.openxmlformats.org/officeDocument/2006/relationships/hyperlink" Target="https://m.stock.naver.com/research/company/79952" TargetMode="External"/><Relationship Id="rId14305" Type="http://schemas.openxmlformats.org/officeDocument/2006/relationships/hyperlink" Target="https://m.stock.naver.com/research/company/94159" TargetMode="External"/><Relationship Id="rId234" Type="http://schemas.openxmlformats.org/officeDocument/2006/relationships/hyperlink" Target="https://m.stock.naver.com/research/company/93224" TargetMode="External"/><Relationship Id="rId3313" Type="http://schemas.openxmlformats.org/officeDocument/2006/relationships/hyperlink" Target="https://m.stock.naver.com/research/company/89937" TargetMode="External"/><Relationship Id="rId6883" Type="http://schemas.openxmlformats.org/officeDocument/2006/relationships/hyperlink" Target="https://m.stock.naver.com/research/company/86356" TargetMode="External"/><Relationship Id="rId7934" Type="http://schemas.openxmlformats.org/officeDocument/2006/relationships/hyperlink" Target="https://m.stock.naver.com/research/company/85304" TargetMode="External"/><Relationship Id="rId5485" Type="http://schemas.openxmlformats.org/officeDocument/2006/relationships/hyperlink" Target="https://m.stock.naver.com/research/company/87755" TargetMode="External"/><Relationship Id="rId6536" Type="http://schemas.openxmlformats.org/officeDocument/2006/relationships/hyperlink" Target="https://m.stock.naver.com/research/company/86704" TargetMode="External"/><Relationship Id="rId10915" Type="http://schemas.openxmlformats.org/officeDocument/2006/relationships/hyperlink" Target="https://m.stock.naver.com/research/company/82305" TargetMode="External"/><Relationship Id="rId15079" Type="http://schemas.openxmlformats.org/officeDocument/2006/relationships/hyperlink" Target="https://m.stock.naver.com/research/company/95015" TargetMode="External"/><Relationship Id="rId4087" Type="http://schemas.openxmlformats.org/officeDocument/2006/relationships/hyperlink" Target="https://m.stock.naver.com/research/company/89164" TargetMode="External"/><Relationship Id="rId5138" Type="http://schemas.openxmlformats.org/officeDocument/2006/relationships/hyperlink" Target="https://m.stock.naver.com/research/company/88102" TargetMode="External"/><Relationship Id="rId9759" Type="http://schemas.openxmlformats.org/officeDocument/2006/relationships/hyperlink" Target="https://m.stock.naver.com/research/company/83464" TargetMode="External"/><Relationship Id="rId1748" Type="http://schemas.openxmlformats.org/officeDocument/2006/relationships/hyperlink" Target="https://m.stock.naver.com/research/company/91507" TargetMode="External"/><Relationship Id="rId11689" Type="http://schemas.openxmlformats.org/officeDocument/2006/relationships/hyperlink" Target="https://m.stock.naver.com/research/company/81523" TargetMode="External"/><Relationship Id="rId14162" Type="http://schemas.openxmlformats.org/officeDocument/2006/relationships/hyperlink" Target="https://m.stock.naver.com/research/company/93966" TargetMode="External"/><Relationship Id="rId15560" Type="http://schemas.openxmlformats.org/officeDocument/2006/relationships/hyperlink" Target="https://m.stock.naver.com/research/company/95476" TargetMode="External"/><Relationship Id="rId3170" Type="http://schemas.openxmlformats.org/officeDocument/2006/relationships/hyperlink" Target="https://m.stock.naver.com/research/company/90081" TargetMode="External"/><Relationship Id="rId4221" Type="http://schemas.openxmlformats.org/officeDocument/2006/relationships/hyperlink" Target="https://m.stock.naver.com/research/company/89021" TargetMode="External"/><Relationship Id="rId15213" Type="http://schemas.openxmlformats.org/officeDocument/2006/relationships/hyperlink" Target="https://m.stock.naver.com/research/company/95147" TargetMode="External"/><Relationship Id="rId6393" Type="http://schemas.openxmlformats.org/officeDocument/2006/relationships/hyperlink" Target="https://m.stock.naver.com/research/company/86847" TargetMode="External"/><Relationship Id="rId7791" Type="http://schemas.openxmlformats.org/officeDocument/2006/relationships/hyperlink" Target="https://m.stock.naver.com/research/company/85447" TargetMode="External"/><Relationship Id="rId8842" Type="http://schemas.openxmlformats.org/officeDocument/2006/relationships/hyperlink" Target="https://m.stock.naver.com/research/company/84395" TargetMode="External"/><Relationship Id="rId10772" Type="http://schemas.openxmlformats.org/officeDocument/2006/relationships/hyperlink" Target="https://m.stock.naver.com/research/company/82448" TargetMode="External"/><Relationship Id="rId11823" Type="http://schemas.openxmlformats.org/officeDocument/2006/relationships/hyperlink" Target="https://m.stock.naver.com/research/company/81389" TargetMode="External"/><Relationship Id="rId6046" Type="http://schemas.openxmlformats.org/officeDocument/2006/relationships/hyperlink" Target="https://m.stock.naver.com/research/company/87194" TargetMode="External"/><Relationship Id="rId7444" Type="http://schemas.openxmlformats.org/officeDocument/2006/relationships/hyperlink" Target="https://m.stock.naver.com/research/company/85795" TargetMode="External"/><Relationship Id="rId10425" Type="http://schemas.openxmlformats.org/officeDocument/2006/relationships/hyperlink" Target="https://m.stock.naver.com/research/company/82796" TargetMode="External"/><Relationship Id="rId13995" Type="http://schemas.openxmlformats.org/officeDocument/2006/relationships/hyperlink" Target="https://m.stock.naver.com/research/company/93737" TargetMode="External"/><Relationship Id="rId12597" Type="http://schemas.openxmlformats.org/officeDocument/2006/relationships/hyperlink" Target="https://m.stock.naver.com/research/company/80611" TargetMode="External"/><Relationship Id="rId13648" Type="http://schemas.openxmlformats.org/officeDocument/2006/relationships/hyperlink" Target="https://m.stock.naver.com/research/company/79556" TargetMode="External"/><Relationship Id="rId975" Type="http://schemas.openxmlformats.org/officeDocument/2006/relationships/hyperlink" Target="https://m.stock.naver.com/research/company/92481" TargetMode="External"/><Relationship Id="rId2656" Type="http://schemas.openxmlformats.org/officeDocument/2006/relationships/hyperlink" Target="https://m.stock.naver.com/research/company/90598" TargetMode="External"/><Relationship Id="rId3707" Type="http://schemas.openxmlformats.org/officeDocument/2006/relationships/hyperlink" Target="https://m.stock.naver.com/research/company/89544" TargetMode="External"/><Relationship Id="rId9269" Type="http://schemas.openxmlformats.org/officeDocument/2006/relationships/hyperlink" Target="https://m.stock.naver.com/research/company/83959" TargetMode="External"/><Relationship Id="rId11199" Type="http://schemas.openxmlformats.org/officeDocument/2006/relationships/hyperlink" Target="https://m.stock.naver.com/research/company/82021" TargetMode="External"/><Relationship Id="rId15070" Type="http://schemas.openxmlformats.org/officeDocument/2006/relationships/hyperlink" Target="https://m.stock.naver.com/research/company/95024" TargetMode="External"/><Relationship Id="rId628" Type="http://schemas.openxmlformats.org/officeDocument/2006/relationships/hyperlink" Target="https://m.stock.naver.com/research/company/92828" TargetMode="External"/><Relationship Id="rId1258" Type="http://schemas.openxmlformats.org/officeDocument/2006/relationships/hyperlink" Target="https://m.stock.naver.com/research/company/91997" TargetMode="External"/><Relationship Id="rId2309" Type="http://schemas.openxmlformats.org/officeDocument/2006/relationships/hyperlink" Target="https://m.stock.naver.com/research/company/90946" TargetMode="External"/><Relationship Id="rId5879" Type="http://schemas.openxmlformats.org/officeDocument/2006/relationships/hyperlink" Target="https://m.stock.naver.com/research/company/87361" TargetMode="External"/><Relationship Id="rId9750" Type="http://schemas.openxmlformats.org/officeDocument/2006/relationships/hyperlink" Target="https://m.stock.naver.com/research/company/83473" TargetMode="External"/><Relationship Id="rId8352" Type="http://schemas.openxmlformats.org/officeDocument/2006/relationships/hyperlink" Target="https://m.stock.naver.com/research/company/84886" TargetMode="External"/><Relationship Id="rId9403" Type="http://schemas.openxmlformats.org/officeDocument/2006/relationships/hyperlink" Target="https://m.stock.naver.com/research/company/83824" TargetMode="External"/><Relationship Id="rId11680" Type="http://schemas.openxmlformats.org/officeDocument/2006/relationships/hyperlink" Target="https://m.stock.naver.com/research/company/81532" TargetMode="External"/><Relationship Id="rId12731" Type="http://schemas.openxmlformats.org/officeDocument/2006/relationships/hyperlink" Target="https://m.stock.naver.com/research/company/80477" TargetMode="External"/><Relationship Id="rId8005" Type="http://schemas.openxmlformats.org/officeDocument/2006/relationships/hyperlink" Target="https://m.stock.naver.com/research/company/85233" TargetMode="External"/><Relationship Id="rId10282" Type="http://schemas.openxmlformats.org/officeDocument/2006/relationships/hyperlink" Target="https://m.stock.naver.com/research/company/82939" TargetMode="External"/><Relationship Id="rId11333" Type="http://schemas.openxmlformats.org/officeDocument/2006/relationships/hyperlink" Target="https://m.stock.naver.com/research/company/81883" TargetMode="External"/><Relationship Id="rId4962" Type="http://schemas.openxmlformats.org/officeDocument/2006/relationships/hyperlink" Target="https://m.stock.naver.com/research/company/88278" TargetMode="External"/><Relationship Id="rId14556" Type="http://schemas.openxmlformats.org/officeDocument/2006/relationships/hyperlink" Target="https://m.stock.naver.com/research/company/94354" TargetMode="External"/><Relationship Id="rId15607" Type="http://schemas.openxmlformats.org/officeDocument/2006/relationships/hyperlink" Target="https://m.stock.naver.com/research/company/95429" TargetMode="External"/><Relationship Id="rId3564" Type="http://schemas.openxmlformats.org/officeDocument/2006/relationships/hyperlink" Target="https://m.stock.naver.com/research/company/89687" TargetMode="External"/><Relationship Id="rId4615" Type="http://schemas.openxmlformats.org/officeDocument/2006/relationships/hyperlink" Target="https://m.stock.naver.com/research/company/88625" TargetMode="External"/><Relationship Id="rId13158" Type="http://schemas.openxmlformats.org/officeDocument/2006/relationships/hyperlink" Target="https://m.stock.naver.com/research/company/80049" TargetMode="External"/><Relationship Id="rId14209" Type="http://schemas.openxmlformats.org/officeDocument/2006/relationships/hyperlink" Target="https://m.stock.naver.com/research/company/94049" TargetMode="External"/><Relationship Id="rId485" Type="http://schemas.openxmlformats.org/officeDocument/2006/relationships/hyperlink" Target="https://m.stock.naver.com/research/company/92972" TargetMode="External"/><Relationship Id="rId2166" Type="http://schemas.openxmlformats.org/officeDocument/2006/relationships/hyperlink" Target="https://m.stock.naver.com/research/company/91089" TargetMode="External"/><Relationship Id="rId3217" Type="http://schemas.openxmlformats.org/officeDocument/2006/relationships/hyperlink" Target="https://m.stock.naver.com/research/company/90034" TargetMode="External"/><Relationship Id="rId6787" Type="http://schemas.openxmlformats.org/officeDocument/2006/relationships/hyperlink" Target="https://m.stock.naver.com/research/company/86453" TargetMode="External"/><Relationship Id="rId7838" Type="http://schemas.openxmlformats.org/officeDocument/2006/relationships/hyperlink" Target="https://m.stock.naver.com/research/company/85400" TargetMode="External"/><Relationship Id="rId138" Type="http://schemas.openxmlformats.org/officeDocument/2006/relationships/hyperlink" Target="https://m.stock.naver.com/research/company/93320" TargetMode="External"/><Relationship Id="rId5389" Type="http://schemas.openxmlformats.org/officeDocument/2006/relationships/hyperlink" Target="https://m.stock.naver.com/research/company/87851" TargetMode="External"/><Relationship Id="rId9260" Type="http://schemas.openxmlformats.org/officeDocument/2006/relationships/hyperlink" Target="https://m.stock.naver.com/research/company/83968" TargetMode="External"/><Relationship Id="rId10819" Type="http://schemas.openxmlformats.org/officeDocument/2006/relationships/hyperlink" Target="https://m.stock.naver.com/research/company/82401" TargetMode="External"/><Relationship Id="rId11190" Type="http://schemas.openxmlformats.org/officeDocument/2006/relationships/hyperlink" Target="https://m.stock.naver.com/research/company/82030" TargetMode="External"/><Relationship Id="rId12241" Type="http://schemas.openxmlformats.org/officeDocument/2006/relationships/hyperlink" Target="https://m.stock.naver.com/research/company/80969" TargetMode="External"/><Relationship Id="rId2300" Type="http://schemas.openxmlformats.org/officeDocument/2006/relationships/hyperlink" Target="https://m.stock.naver.com/research/company/90955" TargetMode="External"/><Relationship Id="rId1999" Type="http://schemas.openxmlformats.org/officeDocument/2006/relationships/hyperlink" Target="https://m.stock.naver.com/research/company/91256" TargetMode="External"/><Relationship Id="rId4472" Type="http://schemas.openxmlformats.org/officeDocument/2006/relationships/hyperlink" Target="https://m.stock.naver.com/research/company/88768" TargetMode="External"/><Relationship Id="rId5870" Type="http://schemas.openxmlformats.org/officeDocument/2006/relationships/hyperlink" Target="https://m.stock.naver.com/research/company/87370" TargetMode="External"/><Relationship Id="rId6921" Type="http://schemas.openxmlformats.org/officeDocument/2006/relationships/hyperlink" Target="https://m.stock.naver.com/research/company/86318" TargetMode="External"/><Relationship Id="rId15464" Type="http://schemas.openxmlformats.org/officeDocument/2006/relationships/hyperlink" Target="https://m.stock.naver.com/research/company/95323" TargetMode="External"/><Relationship Id="rId3074" Type="http://schemas.openxmlformats.org/officeDocument/2006/relationships/hyperlink" Target="https://m.stock.naver.com/research/company/90177" TargetMode="External"/><Relationship Id="rId4125" Type="http://schemas.openxmlformats.org/officeDocument/2006/relationships/hyperlink" Target="https://m.stock.naver.com/research/company/89126" TargetMode="External"/><Relationship Id="rId5523" Type="http://schemas.openxmlformats.org/officeDocument/2006/relationships/hyperlink" Target="https://m.stock.naver.com/research/company/87717" TargetMode="External"/><Relationship Id="rId14066" Type="http://schemas.openxmlformats.org/officeDocument/2006/relationships/hyperlink" Target="https://m.stock.naver.com/research/company/93857" TargetMode="External"/><Relationship Id="rId15117" Type="http://schemas.openxmlformats.org/officeDocument/2006/relationships/hyperlink" Target="https://m.stock.naver.com/research/company/94977" TargetMode="External"/><Relationship Id="rId7695" Type="http://schemas.openxmlformats.org/officeDocument/2006/relationships/hyperlink" Target="https://m.stock.naver.com/research/company/85544" TargetMode="External"/><Relationship Id="rId8746" Type="http://schemas.openxmlformats.org/officeDocument/2006/relationships/hyperlink" Target="https://m.stock.naver.com/research/company/84491" TargetMode="External"/><Relationship Id="rId10676" Type="http://schemas.openxmlformats.org/officeDocument/2006/relationships/hyperlink" Target="https://m.stock.naver.com/research/company/82544" TargetMode="External"/><Relationship Id="rId11727" Type="http://schemas.openxmlformats.org/officeDocument/2006/relationships/hyperlink" Target="https://m.stock.naver.com/research/company/81485" TargetMode="External"/><Relationship Id="rId6297" Type="http://schemas.openxmlformats.org/officeDocument/2006/relationships/hyperlink" Target="https://m.stock.naver.com/research/company/86943" TargetMode="External"/><Relationship Id="rId7348" Type="http://schemas.openxmlformats.org/officeDocument/2006/relationships/hyperlink" Target="https://m.stock.naver.com/research/company/85891" TargetMode="External"/><Relationship Id="rId10329" Type="http://schemas.openxmlformats.org/officeDocument/2006/relationships/hyperlink" Target="https://m.stock.naver.com/research/company/82892" TargetMode="External"/><Relationship Id="rId13899" Type="http://schemas.openxmlformats.org/officeDocument/2006/relationships/hyperlink" Target="https://m.stock.naver.com/research/company/93703" TargetMode="External"/><Relationship Id="rId14200" Type="http://schemas.openxmlformats.org/officeDocument/2006/relationships/hyperlink" Target="https://m.stock.naver.com/research/company/94058" TargetMode="External"/><Relationship Id="rId3958" Type="http://schemas.openxmlformats.org/officeDocument/2006/relationships/hyperlink" Target="https://m.stock.naver.com/research/company/89293" TargetMode="External"/><Relationship Id="rId879" Type="http://schemas.openxmlformats.org/officeDocument/2006/relationships/hyperlink" Target="https://m.stock.naver.com/research/company/92577" TargetMode="External"/><Relationship Id="rId5380" Type="http://schemas.openxmlformats.org/officeDocument/2006/relationships/hyperlink" Target="https://m.stock.naver.com/research/company/87860" TargetMode="External"/><Relationship Id="rId6431" Type="http://schemas.openxmlformats.org/officeDocument/2006/relationships/hyperlink" Target="https://m.stock.naver.com/research/company/86809" TargetMode="External"/><Relationship Id="rId10810" Type="http://schemas.openxmlformats.org/officeDocument/2006/relationships/hyperlink" Target="https://m.stock.naver.com/research/company/82410" TargetMode="External"/><Relationship Id="rId5033" Type="http://schemas.openxmlformats.org/officeDocument/2006/relationships/hyperlink" Target="https://m.stock.naver.com/research/company/88207" TargetMode="External"/><Relationship Id="rId12982" Type="http://schemas.openxmlformats.org/officeDocument/2006/relationships/hyperlink" Target="https://m.stock.naver.com/research/company/80226" TargetMode="External"/><Relationship Id="rId1990" Type="http://schemas.openxmlformats.org/officeDocument/2006/relationships/hyperlink" Target="https://m.stock.naver.com/research/company/91265" TargetMode="External"/><Relationship Id="rId8256" Type="http://schemas.openxmlformats.org/officeDocument/2006/relationships/hyperlink" Target="https://m.stock.naver.com/research/company/84982" TargetMode="External"/><Relationship Id="rId9654" Type="http://schemas.openxmlformats.org/officeDocument/2006/relationships/hyperlink" Target="https://m.stock.naver.com/research/company/83570" TargetMode="External"/><Relationship Id="rId11584" Type="http://schemas.openxmlformats.org/officeDocument/2006/relationships/hyperlink" Target="https://m.stock.naver.com/research/company/81628" TargetMode="External"/><Relationship Id="rId12635" Type="http://schemas.openxmlformats.org/officeDocument/2006/relationships/hyperlink" Target="https://m.stock.naver.com/research/company/80573" TargetMode="External"/><Relationship Id="rId1643" Type="http://schemas.openxmlformats.org/officeDocument/2006/relationships/hyperlink" Target="https://m.stock.naver.com/research/company/91612" TargetMode="External"/><Relationship Id="rId9307" Type="http://schemas.openxmlformats.org/officeDocument/2006/relationships/hyperlink" Target="https://m.stock.naver.com/research/company/83920" TargetMode="External"/><Relationship Id="rId10186" Type="http://schemas.openxmlformats.org/officeDocument/2006/relationships/hyperlink" Target="https://m.stock.naver.com/research/company/83035" TargetMode="External"/><Relationship Id="rId11237" Type="http://schemas.openxmlformats.org/officeDocument/2006/relationships/hyperlink" Target="https://m.stock.naver.com/research/company/81982" TargetMode="External"/><Relationship Id="rId4866" Type="http://schemas.openxmlformats.org/officeDocument/2006/relationships/hyperlink" Target="https://m.stock.naver.com/research/company/88374" TargetMode="External"/><Relationship Id="rId5917" Type="http://schemas.openxmlformats.org/officeDocument/2006/relationships/hyperlink" Target="https://m.stock.naver.com/research/company/87323" TargetMode="External"/><Relationship Id="rId3468" Type="http://schemas.openxmlformats.org/officeDocument/2006/relationships/hyperlink" Target="https://m.stock.naver.com/research/company/89783" TargetMode="External"/><Relationship Id="rId4519" Type="http://schemas.openxmlformats.org/officeDocument/2006/relationships/hyperlink" Target="https://m.stock.naver.com/research/company/88721" TargetMode="External"/><Relationship Id="rId10320" Type="http://schemas.openxmlformats.org/officeDocument/2006/relationships/hyperlink" Target="https://m.stock.naver.com/research/company/82901" TargetMode="External"/><Relationship Id="rId389" Type="http://schemas.openxmlformats.org/officeDocument/2006/relationships/hyperlink" Target="https://m.stock.naver.com/research/company/93069" TargetMode="External"/><Relationship Id="rId13890" Type="http://schemas.openxmlformats.org/officeDocument/2006/relationships/hyperlink" Target="https://m.stock.naver.com/research/company/93676" TargetMode="External"/><Relationship Id="rId14941" Type="http://schemas.openxmlformats.org/officeDocument/2006/relationships/hyperlink" Target="https://m.stock.naver.com/research/company/94893" TargetMode="External"/><Relationship Id="rId870" Type="http://schemas.openxmlformats.org/officeDocument/2006/relationships/hyperlink" Target="https://m.stock.naver.com/research/company/92586" TargetMode="External"/><Relationship Id="rId2551" Type="http://schemas.openxmlformats.org/officeDocument/2006/relationships/hyperlink" Target="https://m.stock.naver.com/research/company/90703" TargetMode="External"/><Relationship Id="rId9164" Type="http://schemas.openxmlformats.org/officeDocument/2006/relationships/hyperlink" Target="https://m.stock.naver.com/research/company/84066" TargetMode="External"/><Relationship Id="rId11094" Type="http://schemas.openxmlformats.org/officeDocument/2006/relationships/hyperlink" Target="https://m.stock.naver.com/research/company/82126" TargetMode="External"/><Relationship Id="rId12492" Type="http://schemas.openxmlformats.org/officeDocument/2006/relationships/hyperlink" Target="https://m.stock.naver.com/research/company/80716" TargetMode="External"/><Relationship Id="rId13543" Type="http://schemas.openxmlformats.org/officeDocument/2006/relationships/hyperlink" Target="https://m.stock.naver.com/research/company/79661" TargetMode="External"/><Relationship Id="rId523" Type="http://schemas.openxmlformats.org/officeDocument/2006/relationships/hyperlink" Target="https://m.stock.naver.com/research/company/92934" TargetMode="External"/><Relationship Id="rId1153" Type="http://schemas.openxmlformats.org/officeDocument/2006/relationships/hyperlink" Target="https://m.stock.naver.com/research/company/92102" TargetMode="External"/><Relationship Id="rId2204" Type="http://schemas.openxmlformats.org/officeDocument/2006/relationships/hyperlink" Target="https://m.stock.naver.com/research/company/91051" TargetMode="External"/><Relationship Id="rId3602" Type="http://schemas.openxmlformats.org/officeDocument/2006/relationships/hyperlink" Target="https://m.stock.naver.com/research/company/89649" TargetMode="External"/><Relationship Id="rId12145" Type="http://schemas.openxmlformats.org/officeDocument/2006/relationships/hyperlink" Target="https://m.stock.naver.com/research/company/81066" TargetMode="External"/><Relationship Id="rId5774" Type="http://schemas.openxmlformats.org/officeDocument/2006/relationships/hyperlink" Target="https://m.stock.naver.com/research/company/87466" TargetMode="External"/><Relationship Id="rId6825" Type="http://schemas.openxmlformats.org/officeDocument/2006/relationships/hyperlink" Target="https://m.stock.naver.com/research/company/86415" TargetMode="External"/><Relationship Id="rId15368" Type="http://schemas.openxmlformats.org/officeDocument/2006/relationships/hyperlink" Target="https://m.stock.naver.com/research/company/95220" TargetMode="External"/><Relationship Id="rId4376" Type="http://schemas.openxmlformats.org/officeDocument/2006/relationships/hyperlink" Target="https://m.stock.naver.com/research/company/88865" TargetMode="External"/><Relationship Id="rId5427" Type="http://schemas.openxmlformats.org/officeDocument/2006/relationships/hyperlink" Target="https://m.stock.naver.com/research/company/87813" TargetMode="External"/><Relationship Id="rId8997" Type="http://schemas.openxmlformats.org/officeDocument/2006/relationships/hyperlink" Target="https://m.stock.naver.com/research/company/84235" TargetMode="External"/><Relationship Id="rId4029" Type="http://schemas.openxmlformats.org/officeDocument/2006/relationships/hyperlink" Target="https://m.stock.naver.com/research/company/89222" TargetMode="External"/><Relationship Id="rId7599" Type="http://schemas.openxmlformats.org/officeDocument/2006/relationships/hyperlink" Target="https://m.stock.naver.com/research/company/85640" TargetMode="External"/><Relationship Id="rId11978" Type="http://schemas.openxmlformats.org/officeDocument/2006/relationships/hyperlink" Target="https://m.stock.naver.com/research/company/81233" TargetMode="External"/><Relationship Id="rId14451" Type="http://schemas.openxmlformats.org/officeDocument/2006/relationships/hyperlink" Target="https://m.stock.naver.com/research/company/94459" TargetMode="External"/><Relationship Id="rId4510" Type="http://schemas.openxmlformats.org/officeDocument/2006/relationships/hyperlink" Target="https://m.stock.naver.com/research/company/88730" TargetMode="External"/><Relationship Id="rId13053" Type="http://schemas.openxmlformats.org/officeDocument/2006/relationships/hyperlink" Target="https://m.stock.naver.com/research/company/80154" TargetMode="External"/><Relationship Id="rId14104" Type="http://schemas.openxmlformats.org/officeDocument/2006/relationships/hyperlink" Target="https://m.stock.naver.com/research/company/93898" TargetMode="External"/><Relationship Id="rId15502" Type="http://schemas.openxmlformats.org/officeDocument/2006/relationships/hyperlink" Target="https://m.stock.naver.com/research/company/95285" TargetMode="External"/><Relationship Id="rId380" Type="http://schemas.openxmlformats.org/officeDocument/2006/relationships/hyperlink" Target="https://m.stock.naver.com/research/company/93078" TargetMode="External"/><Relationship Id="rId2061" Type="http://schemas.openxmlformats.org/officeDocument/2006/relationships/hyperlink" Target="https://m.stock.naver.com/research/company/91194" TargetMode="External"/><Relationship Id="rId3112" Type="http://schemas.openxmlformats.org/officeDocument/2006/relationships/hyperlink" Target="https://m.stock.naver.com/research/company/90139" TargetMode="External"/><Relationship Id="rId6682" Type="http://schemas.openxmlformats.org/officeDocument/2006/relationships/hyperlink" Target="https://m.stock.naver.com/research/company/86558" TargetMode="External"/><Relationship Id="rId5284" Type="http://schemas.openxmlformats.org/officeDocument/2006/relationships/hyperlink" Target="https://m.stock.naver.com/research/company/87956" TargetMode="External"/><Relationship Id="rId6335" Type="http://schemas.openxmlformats.org/officeDocument/2006/relationships/hyperlink" Target="https://m.stock.naver.com/research/company/86905" TargetMode="External"/><Relationship Id="rId7733" Type="http://schemas.openxmlformats.org/officeDocument/2006/relationships/hyperlink" Target="https://m.stock.naver.com/research/company/85506" TargetMode="External"/><Relationship Id="rId10714" Type="http://schemas.openxmlformats.org/officeDocument/2006/relationships/hyperlink" Target="https://m.stock.naver.com/research/company/82506" TargetMode="External"/><Relationship Id="rId12886" Type="http://schemas.openxmlformats.org/officeDocument/2006/relationships/hyperlink" Target="https://m.stock.naver.com/research/company/80322" TargetMode="External"/><Relationship Id="rId13937" Type="http://schemas.openxmlformats.org/officeDocument/2006/relationships/hyperlink" Target="https://m.stock.naver.com/research/company/93795" TargetMode="External"/><Relationship Id="rId1894" Type="http://schemas.openxmlformats.org/officeDocument/2006/relationships/hyperlink" Target="https://m.stock.naver.com/research/company/91361" TargetMode="External"/><Relationship Id="rId2945" Type="http://schemas.openxmlformats.org/officeDocument/2006/relationships/hyperlink" Target="https://m.stock.naver.com/research/company/90308" TargetMode="External"/><Relationship Id="rId9558" Type="http://schemas.openxmlformats.org/officeDocument/2006/relationships/hyperlink" Target="https://m.stock.naver.com/research/company/83669" TargetMode="External"/><Relationship Id="rId11488" Type="http://schemas.openxmlformats.org/officeDocument/2006/relationships/hyperlink" Target="https://m.stock.naver.com/research/company/81727" TargetMode="External"/><Relationship Id="rId12539" Type="http://schemas.openxmlformats.org/officeDocument/2006/relationships/hyperlink" Target="https://m.stock.naver.com/research/company/80669" TargetMode="External"/><Relationship Id="rId917" Type="http://schemas.openxmlformats.org/officeDocument/2006/relationships/hyperlink" Target="https://m.stock.naver.com/research/company/92539" TargetMode="External"/><Relationship Id="rId1547" Type="http://schemas.openxmlformats.org/officeDocument/2006/relationships/hyperlink" Target="https://m.stock.naver.com/research/company/91708" TargetMode="External"/><Relationship Id="rId15012" Type="http://schemas.openxmlformats.org/officeDocument/2006/relationships/hyperlink" Target="https://m.stock.naver.com/research/company/94822" TargetMode="External"/><Relationship Id="rId4020" Type="http://schemas.openxmlformats.org/officeDocument/2006/relationships/hyperlink" Target="https://m.stock.naver.com/research/company/89231" TargetMode="External"/><Relationship Id="rId7590" Type="http://schemas.openxmlformats.org/officeDocument/2006/relationships/hyperlink" Target="https://m.stock.naver.com/research/company/85649" TargetMode="External"/><Relationship Id="rId8641" Type="http://schemas.openxmlformats.org/officeDocument/2006/relationships/hyperlink" Target="https://m.stock.naver.com/research/company/84596" TargetMode="External"/><Relationship Id="rId6192" Type="http://schemas.openxmlformats.org/officeDocument/2006/relationships/hyperlink" Target="https://m.stock.naver.com/research/company/87048" TargetMode="External"/><Relationship Id="rId7243" Type="http://schemas.openxmlformats.org/officeDocument/2006/relationships/hyperlink" Target="https://m.stock.naver.com/research/company/85996" TargetMode="External"/><Relationship Id="rId10571" Type="http://schemas.openxmlformats.org/officeDocument/2006/relationships/hyperlink" Target="https://m.stock.naver.com/research/company/82649" TargetMode="External"/><Relationship Id="rId11622" Type="http://schemas.openxmlformats.org/officeDocument/2006/relationships/hyperlink" Target="https://m.stock.naver.com/research/company/81590" TargetMode="External"/><Relationship Id="rId10224" Type="http://schemas.openxmlformats.org/officeDocument/2006/relationships/hyperlink" Target="https://m.stock.naver.com/research/company/82997" TargetMode="External"/><Relationship Id="rId13794" Type="http://schemas.openxmlformats.org/officeDocument/2006/relationships/hyperlink" Target="https://m.stock.naver.com/research/company/93584" TargetMode="External"/><Relationship Id="rId14845" Type="http://schemas.openxmlformats.org/officeDocument/2006/relationships/hyperlink" Target="https://m.stock.naver.com/research/company/94779" TargetMode="External"/><Relationship Id="rId3853" Type="http://schemas.openxmlformats.org/officeDocument/2006/relationships/hyperlink" Target="https://m.stock.naver.com/research/company/89398" TargetMode="External"/><Relationship Id="rId4904" Type="http://schemas.openxmlformats.org/officeDocument/2006/relationships/hyperlink" Target="https://m.stock.naver.com/research/company/88336" TargetMode="External"/><Relationship Id="rId9068" Type="http://schemas.openxmlformats.org/officeDocument/2006/relationships/hyperlink" Target="https://m.stock.naver.com/research/company/84163" TargetMode="External"/><Relationship Id="rId12396" Type="http://schemas.openxmlformats.org/officeDocument/2006/relationships/hyperlink" Target="https://m.stock.naver.com/research/company/80813" TargetMode="External"/><Relationship Id="rId13447" Type="http://schemas.openxmlformats.org/officeDocument/2006/relationships/hyperlink" Target="https://m.stock.naver.com/research/company/79757" TargetMode="External"/><Relationship Id="rId774" Type="http://schemas.openxmlformats.org/officeDocument/2006/relationships/hyperlink" Target="https://m.stock.naver.com/research/company/92682" TargetMode="External"/><Relationship Id="rId1057" Type="http://schemas.openxmlformats.org/officeDocument/2006/relationships/hyperlink" Target="https://m.stock.naver.com/research/company/92294" TargetMode="External"/><Relationship Id="rId2455" Type="http://schemas.openxmlformats.org/officeDocument/2006/relationships/hyperlink" Target="https://m.stock.naver.com/research/company/90799" TargetMode="External"/><Relationship Id="rId3506" Type="http://schemas.openxmlformats.org/officeDocument/2006/relationships/hyperlink" Target="https://m.stock.naver.com/research/company/89745" TargetMode="External"/><Relationship Id="rId12049" Type="http://schemas.openxmlformats.org/officeDocument/2006/relationships/hyperlink" Target="https://m.stock.naver.com/research/company/81162" TargetMode="External"/><Relationship Id="rId427" Type="http://schemas.openxmlformats.org/officeDocument/2006/relationships/hyperlink" Target="https://m.stock.naver.com/research/company/93030" TargetMode="External"/><Relationship Id="rId2108" Type="http://schemas.openxmlformats.org/officeDocument/2006/relationships/hyperlink" Target="https://m.stock.naver.com/research/company/91147" TargetMode="External"/><Relationship Id="rId5678" Type="http://schemas.openxmlformats.org/officeDocument/2006/relationships/hyperlink" Target="https://m.stock.naver.com/research/company/87562" TargetMode="External"/><Relationship Id="rId6729" Type="http://schemas.openxmlformats.org/officeDocument/2006/relationships/hyperlink" Target="https://m.stock.naver.com/research/company/86511" TargetMode="External"/><Relationship Id="rId12530" Type="http://schemas.openxmlformats.org/officeDocument/2006/relationships/hyperlink" Target="https://m.stock.naver.com/research/company/80678" TargetMode="External"/><Relationship Id="rId8151" Type="http://schemas.openxmlformats.org/officeDocument/2006/relationships/hyperlink" Target="https://m.stock.naver.com/research/company/85087" TargetMode="External"/><Relationship Id="rId9202" Type="http://schemas.openxmlformats.org/officeDocument/2006/relationships/hyperlink" Target="https://m.stock.naver.com/research/company/84028" TargetMode="External"/><Relationship Id="rId10081" Type="http://schemas.openxmlformats.org/officeDocument/2006/relationships/hyperlink" Target="https://m.stock.naver.com/research/company/83140" TargetMode="External"/><Relationship Id="rId11132" Type="http://schemas.openxmlformats.org/officeDocument/2006/relationships/hyperlink" Target="https://m.stock.naver.com/research/company/82088" TargetMode="External"/><Relationship Id="rId4761" Type="http://schemas.openxmlformats.org/officeDocument/2006/relationships/hyperlink" Target="https://m.stock.naver.com/research/company/88479" TargetMode="External"/><Relationship Id="rId15753" Type="http://schemas.openxmlformats.org/officeDocument/2006/relationships/hyperlink" Target="https://m.stock.naver.com/research/company/95661" TargetMode="External"/><Relationship Id="rId3363" Type="http://schemas.openxmlformats.org/officeDocument/2006/relationships/hyperlink" Target="https://m.stock.naver.com/research/company/89887" TargetMode="External"/><Relationship Id="rId4414" Type="http://schemas.openxmlformats.org/officeDocument/2006/relationships/hyperlink" Target="https://m.stock.naver.com/research/company/88827" TargetMode="External"/><Relationship Id="rId5812" Type="http://schemas.openxmlformats.org/officeDocument/2006/relationships/hyperlink" Target="https://m.stock.naver.com/research/company/87428" TargetMode="External"/><Relationship Id="rId14008" Type="http://schemas.openxmlformats.org/officeDocument/2006/relationships/hyperlink" Target="https://m.stock.naver.com/research/company/93724" TargetMode="External"/><Relationship Id="rId14355" Type="http://schemas.openxmlformats.org/officeDocument/2006/relationships/hyperlink" Target="https://m.stock.naver.com/research/company/94196" TargetMode="External"/><Relationship Id="rId15406" Type="http://schemas.openxmlformats.org/officeDocument/2006/relationships/hyperlink" Target="https://m.stock.naver.com/research/company/95381" TargetMode="External"/><Relationship Id="rId284" Type="http://schemas.openxmlformats.org/officeDocument/2006/relationships/hyperlink" Target="https://m.stock.naver.com/research/company/93174" TargetMode="External"/><Relationship Id="rId3016" Type="http://schemas.openxmlformats.org/officeDocument/2006/relationships/hyperlink" Target="https://m.stock.naver.com/research/company/90235" TargetMode="External"/><Relationship Id="rId7984" Type="http://schemas.openxmlformats.org/officeDocument/2006/relationships/hyperlink" Target="https://m.stock.naver.com/research/company/85254" TargetMode="External"/><Relationship Id="rId10965" Type="http://schemas.openxmlformats.org/officeDocument/2006/relationships/hyperlink" Target="https://m.stock.naver.com/research/company/82255" TargetMode="External"/><Relationship Id="rId5188" Type="http://schemas.openxmlformats.org/officeDocument/2006/relationships/hyperlink" Target="https://m.stock.naver.com/research/company/88052" TargetMode="External"/><Relationship Id="rId6586" Type="http://schemas.openxmlformats.org/officeDocument/2006/relationships/hyperlink" Target="https://m.stock.naver.com/research/company/86654" TargetMode="External"/><Relationship Id="rId7637" Type="http://schemas.openxmlformats.org/officeDocument/2006/relationships/hyperlink" Target="https://m.stock.naver.com/research/company/85602" TargetMode="External"/><Relationship Id="rId10618" Type="http://schemas.openxmlformats.org/officeDocument/2006/relationships/hyperlink" Target="https://m.stock.naver.com/research/company/82602" TargetMode="External"/><Relationship Id="rId6239" Type="http://schemas.openxmlformats.org/officeDocument/2006/relationships/hyperlink" Target="https://m.stock.naver.com/research/company/87001" TargetMode="External"/><Relationship Id="rId12040" Type="http://schemas.openxmlformats.org/officeDocument/2006/relationships/hyperlink" Target="https://m.stock.naver.com/research/company/81171" TargetMode="External"/><Relationship Id="rId1798" Type="http://schemas.openxmlformats.org/officeDocument/2006/relationships/hyperlink" Target="https://m.stock.naver.com/research/company/91457" TargetMode="External"/><Relationship Id="rId2849" Type="http://schemas.openxmlformats.org/officeDocument/2006/relationships/hyperlink" Target="https://m.stock.naver.com/research/company/90404" TargetMode="External"/><Relationship Id="rId6720" Type="http://schemas.openxmlformats.org/officeDocument/2006/relationships/hyperlink" Target="https://m.stock.naver.com/research/company/86520" TargetMode="External"/><Relationship Id="rId15263" Type="http://schemas.openxmlformats.org/officeDocument/2006/relationships/hyperlink" Target="https://m.stock.naver.com/research/company/95097" TargetMode="External"/><Relationship Id="rId4271" Type="http://schemas.openxmlformats.org/officeDocument/2006/relationships/hyperlink" Target="https://m.stock.naver.com/research/company/88970" TargetMode="External"/><Relationship Id="rId5322" Type="http://schemas.openxmlformats.org/officeDocument/2006/relationships/hyperlink" Target="https://m.stock.naver.com/research/company/87918" TargetMode="External"/><Relationship Id="rId8892" Type="http://schemas.openxmlformats.org/officeDocument/2006/relationships/hyperlink" Target="https://m.stock.naver.com/research/company/84344" TargetMode="External"/><Relationship Id="rId7494" Type="http://schemas.openxmlformats.org/officeDocument/2006/relationships/hyperlink" Target="https://m.stock.naver.com/research/company/85745" TargetMode="External"/><Relationship Id="rId8545" Type="http://schemas.openxmlformats.org/officeDocument/2006/relationships/hyperlink" Target="https://m.stock.naver.com/research/company/84692" TargetMode="External"/><Relationship Id="rId9943" Type="http://schemas.openxmlformats.org/officeDocument/2006/relationships/hyperlink" Target="https://m.stock.naver.com/research/company/83279" TargetMode="External"/><Relationship Id="rId11873" Type="http://schemas.openxmlformats.org/officeDocument/2006/relationships/hyperlink" Target="https://m.stock.naver.com/research/company/81339" TargetMode="External"/><Relationship Id="rId12924" Type="http://schemas.openxmlformats.org/officeDocument/2006/relationships/hyperlink" Target="https://m.stock.naver.com/research/company/80284" TargetMode="External"/><Relationship Id="rId1932" Type="http://schemas.openxmlformats.org/officeDocument/2006/relationships/hyperlink" Target="https://m.stock.naver.com/research/company/91323" TargetMode="External"/><Relationship Id="rId6096" Type="http://schemas.openxmlformats.org/officeDocument/2006/relationships/hyperlink" Target="https://m.stock.naver.com/research/company/87144" TargetMode="External"/><Relationship Id="rId7147" Type="http://schemas.openxmlformats.org/officeDocument/2006/relationships/hyperlink" Target="https://m.stock.naver.com/research/company/86092" TargetMode="External"/><Relationship Id="rId10475" Type="http://schemas.openxmlformats.org/officeDocument/2006/relationships/hyperlink" Target="https://m.stock.naver.com/research/company/82745" TargetMode="External"/><Relationship Id="rId11526" Type="http://schemas.openxmlformats.org/officeDocument/2006/relationships/hyperlink" Target="https://m.stock.naver.com/research/company/81689" TargetMode="External"/><Relationship Id="rId10128" Type="http://schemas.openxmlformats.org/officeDocument/2006/relationships/hyperlink" Target="https://m.stock.naver.com/research/company/83093" TargetMode="External"/><Relationship Id="rId13698" Type="http://schemas.openxmlformats.org/officeDocument/2006/relationships/hyperlink" Target="https://m.stock.naver.com/research/company/93476" TargetMode="External"/><Relationship Id="rId14749" Type="http://schemas.openxmlformats.org/officeDocument/2006/relationships/hyperlink" Target="https://m.stock.naver.com/research/company/94651" TargetMode="External"/><Relationship Id="rId3757" Type="http://schemas.openxmlformats.org/officeDocument/2006/relationships/hyperlink" Target="https://m.stock.naver.com/research/company/89494" TargetMode="External"/><Relationship Id="rId4808" Type="http://schemas.openxmlformats.org/officeDocument/2006/relationships/hyperlink" Target="https://m.stock.naver.com/research/company/88432" TargetMode="External"/><Relationship Id="rId678" Type="http://schemas.openxmlformats.org/officeDocument/2006/relationships/hyperlink" Target="https://m.stock.naver.com/research/company/92778" TargetMode="External"/><Relationship Id="rId2359" Type="http://schemas.openxmlformats.org/officeDocument/2006/relationships/hyperlink" Target="https://m.stock.naver.com/research/company/90895" TargetMode="External"/><Relationship Id="rId6230" Type="http://schemas.openxmlformats.org/officeDocument/2006/relationships/hyperlink" Target="https://m.stock.naver.com/research/company/87010" TargetMode="External"/><Relationship Id="rId9453" Type="http://schemas.openxmlformats.org/officeDocument/2006/relationships/hyperlink" Target="https://m.stock.naver.com/research/company/83774" TargetMode="External"/><Relationship Id="rId11383" Type="http://schemas.openxmlformats.org/officeDocument/2006/relationships/hyperlink" Target="https://m.stock.naver.com/research/company/81832" TargetMode="External"/><Relationship Id="rId12781" Type="http://schemas.openxmlformats.org/officeDocument/2006/relationships/hyperlink" Target="https://m.stock.naver.com/research/company/80427" TargetMode="External"/><Relationship Id="rId13832" Type="http://schemas.openxmlformats.org/officeDocument/2006/relationships/hyperlink" Target="https://m.stock.naver.com/research/company/93621" TargetMode="External"/><Relationship Id="rId812" Type="http://schemas.openxmlformats.org/officeDocument/2006/relationships/hyperlink" Target="https://m.stock.naver.com/research/company/92644" TargetMode="External"/><Relationship Id="rId1442" Type="http://schemas.openxmlformats.org/officeDocument/2006/relationships/hyperlink" Target="https://m.stock.naver.com/research/company/91813" TargetMode="External"/><Relationship Id="rId2840" Type="http://schemas.openxmlformats.org/officeDocument/2006/relationships/hyperlink" Target="https://m.stock.naver.com/research/company/90413" TargetMode="External"/><Relationship Id="rId8055" Type="http://schemas.openxmlformats.org/officeDocument/2006/relationships/hyperlink" Target="https://m.stock.naver.com/research/company/85183" TargetMode="External"/><Relationship Id="rId9106" Type="http://schemas.openxmlformats.org/officeDocument/2006/relationships/hyperlink" Target="https://m.stock.naver.com/research/company/84124" TargetMode="External"/><Relationship Id="rId11036" Type="http://schemas.openxmlformats.org/officeDocument/2006/relationships/hyperlink" Target="https://m.stock.naver.com/research/company/82184" TargetMode="External"/><Relationship Id="rId12434" Type="http://schemas.openxmlformats.org/officeDocument/2006/relationships/hyperlink" Target="https://m.stock.naver.com/research/company/80775" TargetMode="External"/><Relationship Id="rId15657" Type="http://schemas.openxmlformats.org/officeDocument/2006/relationships/hyperlink" Target="https://m.stock.naver.com/research/company/95757" TargetMode="External"/><Relationship Id="rId3267" Type="http://schemas.openxmlformats.org/officeDocument/2006/relationships/hyperlink" Target="https://m.stock.naver.com/research/company/89983" TargetMode="External"/><Relationship Id="rId4665" Type="http://schemas.openxmlformats.org/officeDocument/2006/relationships/hyperlink" Target="https://m.stock.naver.com/research/company/88575" TargetMode="External"/><Relationship Id="rId5716" Type="http://schemas.openxmlformats.org/officeDocument/2006/relationships/hyperlink" Target="https://m.stock.naver.com/research/company/87524" TargetMode="External"/><Relationship Id="rId14259" Type="http://schemas.openxmlformats.org/officeDocument/2006/relationships/hyperlink" Target="https://m.stock.naver.com/research/company/94084" TargetMode="External"/><Relationship Id="rId188" Type="http://schemas.openxmlformats.org/officeDocument/2006/relationships/hyperlink" Target="https://m.stock.naver.com/research/company/93270" TargetMode="External"/><Relationship Id="rId4318" Type="http://schemas.openxmlformats.org/officeDocument/2006/relationships/hyperlink" Target="https://m.stock.naver.com/research/company/88923" TargetMode="External"/><Relationship Id="rId7888" Type="http://schemas.openxmlformats.org/officeDocument/2006/relationships/hyperlink" Target="https://m.stock.naver.com/research/company/85350" TargetMode="External"/><Relationship Id="rId8939" Type="http://schemas.openxmlformats.org/officeDocument/2006/relationships/hyperlink" Target="https://m.stock.naver.com/research/company/84294" TargetMode="External"/><Relationship Id="rId10869" Type="http://schemas.openxmlformats.org/officeDocument/2006/relationships/hyperlink" Target="https://m.stock.naver.com/research/company/82351" TargetMode="External"/><Relationship Id="rId14740" Type="http://schemas.openxmlformats.org/officeDocument/2006/relationships/hyperlink" Target="https://m.stock.naver.com/research/company/94660" TargetMode="External"/><Relationship Id="rId12291" Type="http://schemas.openxmlformats.org/officeDocument/2006/relationships/hyperlink" Target="https://m.stock.naver.com/research/company/80918" TargetMode="External"/><Relationship Id="rId13342" Type="http://schemas.openxmlformats.org/officeDocument/2006/relationships/hyperlink" Target="https://m.stock.naver.com/research/company/79863" TargetMode="External"/><Relationship Id="rId2350" Type="http://schemas.openxmlformats.org/officeDocument/2006/relationships/hyperlink" Target="https://m.stock.naver.com/research/company/90904" TargetMode="External"/><Relationship Id="rId3401" Type="http://schemas.openxmlformats.org/officeDocument/2006/relationships/hyperlink" Target="https://m.stock.naver.com/research/company/89850" TargetMode="External"/><Relationship Id="rId6971" Type="http://schemas.openxmlformats.org/officeDocument/2006/relationships/hyperlink" Target="https://m.stock.naver.com/research/company/86268" TargetMode="External"/><Relationship Id="rId322" Type="http://schemas.openxmlformats.org/officeDocument/2006/relationships/hyperlink" Target="https://m.stock.naver.com/research/company/93136" TargetMode="External"/><Relationship Id="rId2003" Type="http://schemas.openxmlformats.org/officeDocument/2006/relationships/hyperlink" Target="https://m.stock.naver.com/research/company/91252" TargetMode="External"/><Relationship Id="rId5573" Type="http://schemas.openxmlformats.org/officeDocument/2006/relationships/hyperlink" Target="https://m.stock.naver.com/research/company/87667" TargetMode="External"/><Relationship Id="rId6624" Type="http://schemas.openxmlformats.org/officeDocument/2006/relationships/hyperlink" Target="https://m.stock.naver.com/research/company/86616" TargetMode="External"/><Relationship Id="rId15167" Type="http://schemas.openxmlformats.org/officeDocument/2006/relationships/hyperlink" Target="https://m.stock.naver.com/research/company/95193" TargetMode="External"/><Relationship Id="rId4175" Type="http://schemas.openxmlformats.org/officeDocument/2006/relationships/hyperlink" Target="https://m.stock.naver.com/research/company/89074" TargetMode="External"/><Relationship Id="rId5226" Type="http://schemas.openxmlformats.org/officeDocument/2006/relationships/hyperlink" Target="https://m.stock.naver.com/research/company/88014" TargetMode="External"/><Relationship Id="rId7398" Type="http://schemas.openxmlformats.org/officeDocument/2006/relationships/hyperlink" Target="https://m.stock.naver.com/research/company/85841" TargetMode="External"/><Relationship Id="rId8796" Type="http://schemas.openxmlformats.org/officeDocument/2006/relationships/hyperlink" Target="https://m.stock.naver.com/research/company/84441" TargetMode="External"/><Relationship Id="rId9847" Type="http://schemas.openxmlformats.org/officeDocument/2006/relationships/hyperlink" Target="https://m.stock.naver.com/research/company/83375" TargetMode="External"/><Relationship Id="rId11777" Type="http://schemas.openxmlformats.org/officeDocument/2006/relationships/hyperlink" Target="https://m.stock.naver.com/research/company/81435" TargetMode="External"/><Relationship Id="rId12828" Type="http://schemas.openxmlformats.org/officeDocument/2006/relationships/hyperlink" Target="https://m.stock.naver.com/research/company/80380" TargetMode="External"/><Relationship Id="rId1836" Type="http://schemas.openxmlformats.org/officeDocument/2006/relationships/hyperlink" Target="https://m.stock.naver.com/research/company/91419" TargetMode="External"/><Relationship Id="rId8449" Type="http://schemas.openxmlformats.org/officeDocument/2006/relationships/hyperlink" Target="https://m.stock.naver.com/research/company/84788" TargetMode="External"/><Relationship Id="rId10379" Type="http://schemas.openxmlformats.org/officeDocument/2006/relationships/hyperlink" Target="https://m.stock.naver.com/research/company/82842" TargetMode="External"/><Relationship Id="rId14250" Type="http://schemas.openxmlformats.org/officeDocument/2006/relationships/hyperlink" Target="https://m.stock.naver.com/research/company/94093" TargetMode="External"/><Relationship Id="rId15301" Type="http://schemas.openxmlformats.org/officeDocument/2006/relationships/hyperlink" Target="https://m.stock.naver.com/research/company/95059" TargetMode="External"/><Relationship Id="rId8930" Type="http://schemas.openxmlformats.org/officeDocument/2006/relationships/hyperlink" Target="https://m.stock.naver.com/research/company/84305" TargetMode="External"/><Relationship Id="rId6481" Type="http://schemas.openxmlformats.org/officeDocument/2006/relationships/hyperlink" Target="https://m.stock.naver.com/research/company/86759" TargetMode="External"/><Relationship Id="rId7532" Type="http://schemas.openxmlformats.org/officeDocument/2006/relationships/hyperlink" Target="https://m.stock.naver.com/research/company/85707" TargetMode="External"/><Relationship Id="rId10860" Type="http://schemas.openxmlformats.org/officeDocument/2006/relationships/hyperlink" Target="https://m.stock.naver.com/research/company/82360" TargetMode="External"/><Relationship Id="rId11911" Type="http://schemas.openxmlformats.org/officeDocument/2006/relationships/hyperlink" Target="https://m.stock.naver.com/research/company/81300" TargetMode="External"/><Relationship Id="rId5083" Type="http://schemas.openxmlformats.org/officeDocument/2006/relationships/hyperlink" Target="https://m.stock.naver.com/research/company/88157" TargetMode="External"/><Relationship Id="rId6134" Type="http://schemas.openxmlformats.org/officeDocument/2006/relationships/hyperlink" Target="https://m.stock.naver.com/research/company/87106" TargetMode="External"/><Relationship Id="rId10513" Type="http://schemas.openxmlformats.org/officeDocument/2006/relationships/hyperlink" Target="https://m.stock.naver.com/research/company/82707" TargetMode="External"/><Relationship Id="rId9357" Type="http://schemas.openxmlformats.org/officeDocument/2006/relationships/hyperlink" Target="https://m.stock.naver.com/research/company/83870" TargetMode="External"/><Relationship Id="rId12685" Type="http://schemas.openxmlformats.org/officeDocument/2006/relationships/hyperlink" Target="https://m.stock.naver.com/research/company/80523" TargetMode="External"/><Relationship Id="rId13736" Type="http://schemas.openxmlformats.org/officeDocument/2006/relationships/hyperlink" Target="https://m.stock.naver.com/research/company/93503" TargetMode="External"/><Relationship Id="rId1346" Type="http://schemas.openxmlformats.org/officeDocument/2006/relationships/hyperlink" Target="https://m.stock.naver.com/research/company/91909" TargetMode="External"/><Relationship Id="rId1693" Type="http://schemas.openxmlformats.org/officeDocument/2006/relationships/hyperlink" Target="https://m.stock.naver.com/research/company/91562" TargetMode="External"/><Relationship Id="rId2744" Type="http://schemas.openxmlformats.org/officeDocument/2006/relationships/hyperlink" Target="https://m.stock.naver.com/research/company/90510" TargetMode="External"/><Relationship Id="rId11287" Type="http://schemas.openxmlformats.org/officeDocument/2006/relationships/hyperlink" Target="https://m.stock.naver.com/research/company/81932" TargetMode="External"/><Relationship Id="rId12338" Type="http://schemas.openxmlformats.org/officeDocument/2006/relationships/hyperlink" Target="https://m.stock.naver.com/research/company/80871" TargetMode="External"/><Relationship Id="rId716" Type="http://schemas.openxmlformats.org/officeDocument/2006/relationships/hyperlink" Target="https://m.stock.naver.com/research/company/92740" TargetMode="External"/><Relationship Id="rId5967" Type="http://schemas.openxmlformats.org/officeDocument/2006/relationships/hyperlink" Target="https://m.stock.naver.com/research/company/87273" TargetMode="External"/><Relationship Id="rId52" Type="http://schemas.openxmlformats.org/officeDocument/2006/relationships/hyperlink" Target="https://m.stock.naver.com/research/company/93406" TargetMode="External"/><Relationship Id="rId4569" Type="http://schemas.openxmlformats.org/officeDocument/2006/relationships/hyperlink" Target="https://m.stock.naver.com/research/company/88671" TargetMode="External"/><Relationship Id="rId8440" Type="http://schemas.openxmlformats.org/officeDocument/2006/relationships/hyperlink" Target="https://m.stock.naver.com/research/company/84798" TargetMode="External"/><Relationship Id="rId10370" Type="http://schemas.openxmlformats.org/officeDocument/2006/relationships/hyperlink" Target="https://m.stock.naver.com/research/company/82851" TargetMode="External"/><Relationship Id="rId11421" Type="http://schemas.openxmlformats.org/officeDocument/2006/relationships/hyperlink" Target="https://m.stock.naver.com/research/company/81794" TargetMode="External"/><Relationship Id="rId7042" Type="http://schemas.openxmlformats.org/officeDocument/2006/relationships/hyperlink" Target="https://m.stock.naver.com/research/company/86197" TargetMode="External"/><Relationship Id="rId10023" Type="http://schemas.openxmlformats.org/officeDocument/2006/relationships/hyperlink" Target="https://m.stock.naver.com/research/company/83198" TargetMode="External"/><Relationship Id="rId13593" Type="http://schemas.openxmlformats.org/officeDocument/2006/relationships/hyperlink" Target="https://m.stock.naver.com/research/company/79611" TargetMode="External"/><Relationship Id="rId14991" Type="http://schemas.openxmlformats.org/officeDocument/2006/relationships/hyperlink" Target="https://m.stock.naver.com/research/company/94843" TargetMode="External"/><Relationship Id="rId3652" Type="http://schemas.openxmlformats.org/officeDocument/2006/relationships/hyperlink" Target="https://m.stock.naver.com/research/company/89599" TargetMode="External"/><Relationship Id="rId4703" Type="http://schemas.openxmlformats.org/officeDocument/2006/relationships/hyperlink" Target="https://m.stock.naver.com/research/company/88537" TargetMode="External"/><Relationship Id="rId12195" Type="http://schemas.openxmlformats.org/officeDocument/2006/relationships/hyperlink" Target="https://m.stock.naver.com/research/company/81016" TargetMode="External"/><Relationship Id="rId13246" Type="http://schemas.openxmlformats.org/officeDocument/2006/relationships/hyperlink" Target="https://m.stock.naver.com/research/company/79961" TargetMode="External"/><Relationship Id="rId14644" Type="http://schemas.openxmlformats.org/officeDocument/2006/relationships/hyperlink" Target="https://m.stock.naver.com/research/company/94533" TargetMode="External"/><Relationship Id="rId573" Type="http://schemas.openxmlformats.org/officeDocument/2006/relationships/hyperlink" Target="https://m.stock.naver.com/research/company/92884" TargetMode="External"/><Relationship Id="rId2254" Type="http://schemas.openxmlformats.org/officeDocument/2006/relationships/hyperlink" Target="https://m.stock.naver.com/research/company/91001" TargetMode="External"/><Relationship Id="rId3305" Type="http://schemas.openxmlformats.org/officeDocument/2006/relationships/hyperlink" Target="https://m.stock.naver.com/research/company/89945" TargetMode="External"/><Relationship Id="rId226" Type="http://schemas.openxmlformats.org/officeDocument/2006/relationships/hyperlink" Target="https://m.stock.naver.com/research/company/93232" TargetMode="External"/><Relationship Id="rId5477" Type="http://schemas.openxmlformats.org/officeDocument/2006/relationships/hyperlink" Target="https://m.stock.naver.com/research/company/87763" TargetMode="External"/><Relationship Id="rId6875" Type="http://schemas.openxmlformats.org/officeDocument/2006/relationships/hyperlink" Target="https://m.stock.naver.com/research/company/86364" TargetMode="External"/><Relationship Id="rId7926" Type="http://schemas.openxmlformats.org/officeDocument/2006/relationships/hyperlink" Target="https://m.stock.naver.com/research/company/85312" TargetMode="External"/><Relationship Id="rId10907" Type="http://schemas.openxmlformats.org/officeDocument/2006/relationships/hyperlink" Target="https://m.stock.naver.com/research/company/82313" TargetMode="External"/><Relationship Id="rId4079" Type="http://schemas.openxmlformats.org/officeDocument/2006/relationships/hyperlink" Target="https://m.stock.naver.com/research/company/89172" TargetMode="External"/><Relationship Id="rId6528" Type="http://schemas.openxmlformats.org/officeDocument/2006/relationships/hyperlink" Target="https://m.stock.naver.com/research/company/86712" TargetMode="External"/><Relationship Id="rId9001" Type="http://schemas.openxmlformats.org/officeDocument/2006/relationships/hyperlink" Target="https://m.stock.naver.com/research/company/84231" TargetMode="External"/><Relationship Id="rId15552" Type="http://schemas.openxmlformats.org/officeDocument/2006/relationships/hyperlink" Target="https://m.stock.naver.com/research/company/95484" TargetMode="External"/><Relationship Id="rId4560" Type="http://schemas.openxmlformats.org/officeDocument/2006/relationships/hyperlink" Target="https://m.stock.naver.com/research/company/88680" TargetMode="External"/><Relationship Id="rId5611" Type="http://schemas.openxmlformats.org/officeDocument/2006/relationships/hyperlink" Target="https://m.stock.naver.com/research/company/87629" TargetMode="External"/><Relationship Id="rId14154" Type="http://schemas.openxmlformats.org/officeDocument/2006/relationships/hyperlink" Target="https://m.stock.naver.com/research/company/93974" TargetMode="External"/><Relationship Id="rId15205" Type="http://schemas.openxmlformats.org/officeDocument/2006/relationships/hyperlink" Target="https://m.stock.naver.com/research/company/95155" TargetMode="External"/><Relationship Id="rId3162" Type="http://schemas.openxmlformats.org/officeDocument/2006/relationships/hyperlink" Target="https://m.stock.naver.com/research/company/90089" TargetMode="External"/><Relationship Id="rId4213" Type="http://schemas.openxmlformats.org/officeDocument/2006/relationships/hyperlink" Target="https://m.stock.naver.com/research/company/89029" TargetMode="External"/><Relationship Id="rId7783" Type="http://schemas.openxmlformats.org/officeDocument/2006/relationships/hyperlink" Target="https://m.stock.naver.com/research/company/85455" TargetMode="External"/><Relationship Id="rId8834" Type="http://schemas.openxmlformats.org/officeDocument/2006/relationships/hyperlink" Target="https://m.stock.naver.com/research/company/84403" TargetMode="External"/><Relationship Id="rId6385" Type="http://schemas.openxmlformats.org/officeDocument/2006/relationships/hyperlink" Target="https://m.stock.naver.com/research/company/86855" TargetMode="External"/><Relationship Id="rId7436" Type="http://schemas.openxmlformats.org/officeDocument/2006/relationships/hyperlink" Target="https://m.stock.naver.com/research/company/85803" TargetMode="External"/><Relationship Id="rId10764" Type="http://schemas.openxmlformats.org/officeDocument/2006/relationships/hyperlink" Target="https://m.stock.naver.com/research/company/82456" TargetMode="External"/><Relationship Id="rId11815" Type="http://schemas.openxmlformats.org/officeDocument/2006/relationships/hyperlink" Target="https://m.stock.naver.com/research/company/81397" TargetMode="External"/><Relationship Id="rId6038" Type="http://schemas.openxmlformats.org/officeDocument/2006/relationships/hyperlink" Target="https://m.stock.naver.com/research/company/87202" TargetMode="External"/><Relationship Id="rId10417" Type="http://schemas.openxmlformats.org/officeDocument/2006/relationships/hyperlink" Target="https://m.stock.naver.com/research/company/82804" TargetMode="External"/><Relationship Id="rId13987" Type="http://schemas.openxmlformats.org/officeDocument/2006/relationships/hyperlink" Target="https://m.stock.naver.com/research/company/93745" TargetMode="External"/><Relationship Id="rId2995" Type="http://schemas.openxmlformats.org/officeDocument/2006/relationships/hyperlink" Target="https://m.stock.naver.com/research/company/90257" TargetMode="External"/><Relationship Id="rId12589" Type="http://schemas.openxmlformats.org/officeDocument/2006/relationships/hyperlink" Target="https://m.stock.naver.com/research/company/80619" TargetMode="External"/><Relationship Id="rId967" Type="http://schemas.openxmlformats.org/officeDocument/2006/relationships/hyperlink" Target="https://m.stock.naver.com/research/company/92489" TargetMode="External"/><Relationship Id="rId1597" Type="http://schemas.openxmlformats.org/officeDocument/2006/relationships/hyperlink" Target="https://m.stock.naver.com/research/company/91658" TargetMode="External"/><Relationship Id="rId2648" Type="http://schemas.openxmlformats.org/officeDocument/2006/relationships/hyperlink" Target="https://m.stock.naver.com/research/company/90606" TargetMode="External"/><Relationship Id="rId15062" Type="http://schemas.openxmlformats.org/officeDocument/2006/relationships/hyperlink" Target="https://m.stock.naver.com/research/company/95032" TargetMode="External"/><Relationship Id="rId4070" Type="http://schemas.openxmlformats.org/officeDocument/2006/relationships/hyperlink" Target="https://m.stock.naver.com/research/company/89181" TargetMode="External"/><Relationship Id="rId5121" Type="http://schemas.openxmlformats.org/officeDocument/2006/relationships/hyperlink" Target="https://m.stock.naver.com/research/company/88119" TargetMode="External"/><Relationship Id="rId8691" Type="http://schemas.openxmlformats.org/officeDocument/2006/relationships/hyperlink" Target="https://m.stock.naver.com/research/company/84546" TargetMode="External"/><Relationship Id="rId9742" Type="http://schemas.openxmlformats.org/officeDocument/2006/relationships/hyperlink" Target="https://m.stock.naver.com/research/company/83481" TargetMode="External"/><Relationship Id="rId11672" Type="http://schemas.openxmlformats.org/officeDocument/2006/relationships/hyperlink" Target="https://m.stock.naver.com/research/company/81540" TargetMode="External"/><Relationship Id="rId1731" Type="http://schemas.openxmlformats.org/officeDocument/2006/relationships/hyperlink" Target="https://m.stock.naver.com/research/company/91524" TargetMode="External"/><Relationship Id="rId7293" Type="http://schemas.openxmlformats.org/officeDocument/2006/relationships/hyperlink" Target="https://m.stock.naver.com/research/company/85946" TargetMode="External"/><Relationship Id="rId8344" Type="http://schemas.openxmlformats.org/officeDocument/2006/relationships/hyperlink" Target="https://m.stock.naver.com/research/company/84894" TargetMode="External"/><Relationship Id="rId10274" Type="http://schemas.openxmlformats.org/officeDocument/2006/relationships/hyperlink" Target="https://m.stock.naver.com/research/company/82947" TargetMode="External"/><Relationship Id="rId11325" Type="http://schemas.openxmlformats.org/officeDocument/2006/relationships/hyperlink" Target="https://m.stock.naver.com/research/company/81891" TargetMode="External"/><Relationship Id="rId12723" Type="http://schemas.openxmlformats.org/officeDocument/2006/relationships/hyperlink" Target="https://m.stock.naver.com/research/company/80485" TargetMode="External"/><Relationship Id="rId14895" Type="http://schemas.openxmlformats.org/officeDocument/2006/relationships/hyperlink" Target="https://m.stock.naver.com/research/company/94729" TargetMode="External"/><Relationship Id="rId3556" Type="http://schemas.openxmlformats.org/officeDocument/2006/relationships/hyperlink" Target="https://m.stock.naver.com/research/company/89695" TargetMode="External"/><Relationship Id="rId4954" Type="http://schemas.openxmlformats.org/officeDocument/2006/relationships/hyperlink" Target="https://m.stock.naver.com/research/company/88286" TargetMode="External"/><Relationship Id="rId12099" Type="http://schemas.openxmlformats.org/officeDocument/2006/relationships/hyperlink" Target="https://m.stock.naver.com/research/company/81112" TargetMode="External"/><Relationship Id="rId13497" Type="http://schemas.openxmlformats.org/officeDocument/2006/relationships/hyperlink" Target="https://m.stock.naver.com/research/company/79707" TargetMode="External"/><Relationship Id="rId14548" Type="http://schemas.openxmlformats.org/officeDocument/2006/relationships/hyperlink" Target="https://m.stock.naver.com/research/company/94362" TargetMode="External"/><Relationship Id="rId477" Type="http://schemas.openxmlformats.org/officeDocument/2006/relationships/hyperlink" Target="https://m.stock.naver.com/research/company/92980" TargetMode="External"/><Relationship Id="rId2158" Type="http://schemas.openxmlformats.org/officeDocument/2006/relationships/hyperlink" Target="https://m.stock.naver.com/research/company/91097" TargetMode="External"/><Relationship Id="rId3209" Type="http://schemas.openxmlformats.org/officeDocument/2006/relationships/hyperlink" Target="https://m.stock.naver.com/research/company/90042" TargetMode="External"/><Relationship Id="rId4607" Type="http://schemas.openxmlformats.org/officeDocument/2006/relationships/hyperlink" Target="https://m.stock.naver.com/research/company/88633" TargetMode="External"/><Relationship Id="rId6779" Type="http://schemas.openxmlformats.org/officeDocument/2006/relationships/hyperlink" Target="https://m.stock.naver.com/research/company/86461" TargetMode="External"/><Relationship Id="rId12580" Type="http://schemas.openxmlformats.org/officeDocument/2006/relationships/hyperlink" Target="https://m.stock.naver.com/research/company/80628" TargetMode="External"/><Relationship Id="rId13631" Type="http://schemas.openxmlformats.org/officeDocument/2006/relationships/hyperlink" Target="https://m.stock.naver.com/research/company/79573" TargetMode="External"/><Relationship Id="rId9252" Type="http://schemas.openxmlformats.org/officeDocument/2006/relationships/hyperlink" Target="https://m.stock.naver.com/research/company/83976" TargetMode="External"/><Relationship Id="rId11182" Type="http://schemas.openxmlformats.org/officeDocument/2006/relationships/hyperlink" Target="https://m.stock.naver.com/research/company/82038" TargetMode="External"/><Relationship Id="rId12233" Type="http://schemas.openxmlformats.org/officeDocument/2006/relationships/hyperlink" Target="https://m.stock.naver.com/research/company/80977" TargetMode="External"/><Relationship Id="rId611" Type="http://schemas.openxmlformats.org/officeDocument/2006/relationships/hyperlink" Target="https://m.stock.naver.com/research/company/92845" TargetMode="External"/><Relationship Id="rId1241" Type="http://schemas.openxmlformats.org/officeDocument/2006/relationships/hyperlink" Target="https://m.stock.naver.com/research/company/92014" TargetMode="External"/><Relationship Id="rId5862" Type="http://schemas.openxmlformats.org/officeDocument/2006/relationships/hyperlink" Target="https://m.stock.naver.com/research/company/87378" TargetMode="External"/><Relationship Id="rId6913" Type="http://schemas.openxmlformats.org/officeDocument/2006/relationships/hyperlink" Target="https://m.stock.naver.com/research/company/86326" TargetMode="External"/><Relationship Id="rId15456" Type="http://schemas.openxmlformats.org/officeDocument/2006/relationships/hyperlink" Target="https://m.stock.naver.com/research/company/95331" TargetMode="External"/><Relationship Id="rId4464" Type="http://schemas.openxmlformats.org/officeDocument/2006/relationships/hyperlink" Target="https://m.stock.naver.com/research/company/88776" TargetMode="External"/><Relationship Id="rId5515" Type="http://schemas.openxmlformats.org/officeDocument/2006/relationships/hyperlink" Target="https://m.stock.naver.com/research/company/87725" TargetMode="External"/><Relationship Id="rId14058" Type="http://schemas.openxmlformats.org/officeDocument/2006/relationships/hyperlink" Target="https://m.stock.naver.com/research/company/93865" TargetMode="External"/><Relationship Id="rId15109" Type="http://schemas.openxmlformats.org/officeDocument/2006/relationships/hyperlink" Target="https://m.stock.naver.com/research/company/94985" TargetMode="External"/><Relationship Id="rId3066" Type="http://schemas.openxmlformats.org/officeDocument/2006/relationships/hyperlink" Target="https://m.stock.naver.com/research/company/90185" TargetMode="External"/><Relationship Id="rId4117" Type="http://schemas.openxmlformats.org/officeDocument/2006/relationships/hyperlink" Target="https://m.stock.naver.com/research/company/89134" TargetMode="External"/><Relationship Id="rId7687" Type="http://schemas.openxmlformats.org/officeDocument/2006/relationships/hyperlink" Target="https://m.stock.naver.com/research/company/85552" TargetMode="External"/><Relationship Id="rId6289" Type="http://schemas.openxmlformats.org/officeDocument/2006/relationships/hyperlink" Target="https://m.stock.naver.com/research/company/86951" TargetMode="External"/><Relationship Id="rId8738" Type="http://schemas.openxmlformats.org/officeDocument/2006/relationships/hyperlink" Target="https://m.stock.naver.com/research/company/84499" TargetMode="External"/><Relationship Id="rId10668" Type="http://schemas.openxmlformats.org/officeDocument/2006/relationships/hyperlink" Target="https://m.stock.naver.com/research/company/82552" TargetMode="External"/><Relationship Id="rId11719" Type="http://schemas.openxmlformats.org/officeDocument/2006/relationships/hyperlink" Target="https://m.stock.naver.com/research/company/81493" TargetMode="External"/><Relationship Id="rId12090" Type="http://schemas.openxmlformats.org/officeDocument/2006/relationships/hyperlink" Target="https://m.stock.naver.com/research/company/81121" TargetMode="External"/><Relationship Id="rId13141" Type="http://schemas.openxmlformats.org/officeDocument/2006/relationships/hyperlink" Target="https://m.stock.naver.com/research/company/80066" TargetMode="External"/><Relationship Id="rId2899" Type="http://schemas.openxmlformats.org/officeDocument/2006/relationships/hyperlink" Target="https://m.stock.naver.com/research/company/90354" TargetMode="External"/><Relationship Id="rId3200" Type="http://schemas.openxmlformats.org/officeDocument/2006/relationships/hyperlink" Target="https://m.stock.naver.com/research/company/90051" TargetMode="External"/><Relationship Id="rId6770" Type="http://schemas.openxmlformats.org/officeDocument/2006/relationships/hyperlink" Target="https://m.stock.naver.com/research/company/86470" TargetMode="External"/><Relationship Id="rId7821" Type="http://schemas.openxmlformats.org/officeDocument/2006/relationships/hyperlink" Target="https://m.stock.naver.com/research/company/85417" TargetMode="External"/><Relationship Id="rId121" Type="http://schemas.openxmlformats.org/officeDocument/2006/relationships/hyperlink" Target="https://m.stock.naver.com/research/company/93337" TargetMode="External"/><Relationship Id="rId5372" Type="http://schemas.openxmlformats.org/officeDocument/2006/relationships/hyperlink" Target="https://m.stock.naver.com/research/company/87868" TargetMode="External"/><Relationship Id="rId6423" Type="http://schemas.openxmlformats.org/officeDocument/2006/relationships/hyperlink" Target="https://m.stock.naver.com/research/company/86817" TargetMode="External"/><Relationship Id="rId9993" Type="http://schemas.openxmlformats.org/officeDocument/2006/relationships/hyperlink" Target="https://m.stock.naver.com/research/company/83228" TargetMode="External"/><Relationship Id="rId10802" Type="http://schemas.openxmlformats.org/officeDocument/2006/relationships/hyperlink" Target="https://m.stock.naver.com/research/company/82418" TargetMode="External"/><Relationship Id="rId5025" Type="http://schemas.openxmlformats.org/officeDocument/2006/relationships/hyperlink" Target="https://m.stock.naver.com/research/company/88215" TargetMode="External"/><Relationship Id="rId8595" Type="http://schemas.openxmlformats.org/officeDocument/2006/relationships/hyperlink" Target="https://m.stock.naver.com/research/company/84642" TargetMode="External"/><Relationship Id="rId9646" Type="http://schemas.openxmlformats.org/officeDocument/2006/relationships/hyperlink" Target="https://m.stock.naver.com/research/company/83578" TargetMode="External"/><Relationship Id="rId12974" Type="http://schemas.openxmlformats.org/officeDocument/2006/relationships/hyperlink" Target="https://m.stock.naver.com/research/company/80234" TargetMode="External"/><Relationship Id="rId1635" Type="http://schemas.openxmlformats.org/officeDocument/2006/relationships/hyperlink" Target="https://m.stock.naver.com/research/company/91620" TargetMode="External"/><Relationship Id="rId1982" Type="http://schemas.openxmlformats.org/officeDocument/2006/relationships/hyperlink" Target="https://m.stock.naver.com/research/company/91273" TargetMode="External"/><Relationship Id="rId7197" Type="http://schemas.openxmlformats.org/officeDocument/2006/relationships/hyperlink" Target="https://m.stock.naver.com/research/company/86042" TargetMode="External"/><Relationship Id="rId8248" Type="http://schemas.openxmlformats.org/officeDocument/2006/relationships/hyperlink" Target="https://m.stock.naver.com/research/company/84990" TargetMode="External"/><Relationship Id="rId10178" Type="http://schemas.openxmlformats.org/officeDocument/2006/relationships/hyperlink" Target="https://m.stock.naver.com/research/company/83043" TargetMode="External"/><Relationship Id="rId11576" Type="http://schemas.openxmlformats.org/officeDocument/2006/relationships/hyperlink" Target="https://m.stock.naver.com/research/company/81637" TargetMode="External"/><Relationship Id="rId12627" Type="http://schemas.openxmlformats.org/officeDocument/2006/relationships/hyperlink" Target="https://m.stock.naver.com/research/company/80581" TargetMode="External"/><Relationship Id="rId11229" Type="http://schemas.openxmlformats.org/officeDocument/2006/relationships/hyperlink" Target="https://m.stock.naver.com/research/company/81990" TargetMode="External"/><Relationship Id="rId14799" Type="http://schemas.openxmlformats.org/officeDocument/2006/relationships/hyperlink" Target="https://m.stock.naver.com/research/company/94601" TargetMode="External"/><Relationship Id="rId15100" Type="http://schemas.openxmlformats.org/officeDocument/2006/relationships/hyperlink" Target="https://m.stock.naver.com/research/company/94994" TargetMode="External"/><Relationship Id="rId4858" Type="http://schemas.openxmlformats.org/officeDocument/2006/relationships/hyperlink" Target="https://m.stock.naver.com/research/company/88382" TargetMode="External"/><Relationship Id="rId5909" Type="http://schemas.openxmlformats.org/officeDocument/2006/relationships/hyperlink" Target="https://m.stock.naver.com/research/company/87331" TargetMode="External"/><Relationship Id="rId11710" Type="http://schemas.openxmlformats.org/officeDocument/2006/relationships/hyperlink" Target="https://m.stock.naver.com/research/company/81502" TargetMode="External"/><Relationship Id="rId6280" Type="http://schemas.openxmlformats.org/officeDocument/2006/relationships/hyperlink" Target="https://m.stock.naver.com/research/company/86960" TargetMode="External"/><Relationship Id="rId7331" Type="http://schemas.openxmlformats.org/officeDocument/2006/relationships/hyperlink" Target="https://m.stock.naver.com/research/company/85908" TargetMode="External"/><Relationship Id="rId10312" Type="http://schemas.openxmlformats.org/officeDocument/2006/relationships/hyperlink" Target="https://m.stock.naver.com/research/company/82909" TargetMode="External"/><Relationship Id="rId13882" Type="http://schemas.openxmlformats.org/officeDocument/2006/relationships/hyperlink" Target="https://m.stock.naver.com/research/company/93684" TargetMode="External"/><Relationship Id="rId2890" Type="http://schemas.openxmlformats.org/officeDocument/2006/relationships/hyperlink" Target="https://m.stock.naver.com/research/company/90363" TargetMode="External"/><Relationship Id="rId3941" Type="http://schemas.openxmlformats.org/officeDocument/2006/relationships/hyperlink" Target="https://m.stock.naver.com/research/company/89310" TargetMode="External"/><Relationship Id="rId12484" Type="http://schemas.openxmlformats.org/officeDocument/2006/relationships/hyperlink" Target="https://m.stock.naver.com/research/company/80724" TargetMode="External"/><Relationship Id="rId13535" Type="http://schemas.openxmlformats.org/officeDocument/2006/relationships/hyperlink" Target="https://m.stock.naver.com/research/company/79669" TargetMode="External"/><Relationship Id="rId14933" Type="http://schemas.openxmlformats.org/officeDocument/2006/relationships/hyperlink" Target="https://m.stock.naver.com/research/company/94901" TargetMode="External"/><Relationship Id="rId862" Type="http://schemas.openxmlformats.org/officeDocument/2006/relationships/hyperlink" Target="https://m.stock.naver.com/research/company/92594" TargetMode="External"/><Relationship Id="rId1492" Type="http://schemas.openxmlformats.org/officeDocument/2006/relationships/hyperlink" Target="https://m.stock.naver.com/research/company/91763" TargetMode="External"/><Relationship Id="rId2543" Type="http://schemas.openxmlformats.org/officeDocument/2006/relationships/hyperlink" Target="https://m.stock.naver.com/research/company/90711" TargetMode="External"/><Relationship Id="rId9156" Type="http://schemas.openxmlformats.org/officeDocument/2006/relationships/hyperlink" Target="https://m.stock.naver.com/research/company/84074" TargetMode="External"/><Relationship Id="rId11086" Type="http://schemas.openxmlformats.org/officeDocument/2006/relationships/hyperlink" Target="https://m.stock.naver.com/research/company/82134" TargetMode="External"/><Relationship Id="rId12137" Type="http://schemas.openxmlformats.org/officeDocument/2006/relationships/hyperlink" Target="https://m.stock.naver.com/research/company/81074" TargetMode="External"/><Relationship Id="rId515" Type="http://schemas.openxmlformats.org/officeDocument/2006/relationships/hyperlink" Target="https://m.stock.naver.com/research/company/92942" TargetMode="External"/><Relationship Id="rId1145" Type="http://schemas.openxmlformats.org/officeDocument/2006/relationships/hyperlink" Target="https://m.stock.naver.com/research/company/92110" TargetMode="External"/><Relationship Id="rId5766" Type="http://schemas.openxmlformats.org/officeDocument/2006/relationships/hyperlink" Target="https://m.stock.naver.com/research/company/87474" TargetMode="External"/><Relationship Id="rId4368" Type="http://schemas.openxmlformats.org/officeDocument/2006/relationships/hyperlink" Target="https://m.stock.naver.com/research/company/88873" TargetMode="External"/><Relationship Id="rId5419" Type="http://schemas.openxmlformats.org/officeDocument/2006/relationships/hyperlink" Target="https://m.stock.naver.com/research/company/87821" TargetMode="External"/><Relationship Id="rId6817" Type="http://schemas.openxmlformats.org/officeDocument/2006/relationships/hyperlink" Target="https://m.stock.naver.com/research/company/86423" TargetMode="External"/><Relationship Id="rId8989" Type="http://schemas.openxmlformats.org/officeDocument/2006/relationships/hyperlink" Target="https://m.stock.naver.com/research/company/84243" TargetMode="External"/><Relationship Id="rId11220" Type="http://schemas.openxmlformats.org/officeDocument/2006/relationships/hyperlink" Target="https://m.stock.naver.com/research/company/82000" TargetMode="External"/><Relationship Id="rId14790" Type="http://schemas.openxmlformats.org/officeDocument/2006/relationships/hyperlink" Target="https://m.stock.naver.com/research/company/94610" TargetMode="External"/><Relationship Id="rId5900" Type="http://schemas.openxmlformats.org/officeDocument/2006/relationships/hyperlink" Target="https://m.stock.naver.com/research/company/87340" TargetMode="External"/><Relationship Id="rId13392" Type="http://schemas.openxmlformats.org/officeDocument/2006/relationships/hyperlink" Target="https://m.stock.naver.com/research/company/79813" TargetMode="External"/><Relationship Id="rId14443" Type="http://schemas.openxmlformats.org/officeDocument/2006/relationships/hyperlink" Target="https://m.stock.naver.com/research/company/94467" TargetMode="External"/><Relationship Id="rId3451" Type="http://schemas.openxmlformats.org/officeDocument/2006/relationships/hyperlink" Target="https://m.stock.naver.com/research/company/89800" TargetMode="External"/><Relationship Id="rId4502" Type="http://schemas.openxmlformats.org/officeDocument/2006/relationships/hyperlink" Target="https://m.stock.naver.com/research/company/88738" TargetMode="External"/><Relationship Id="rId13045" Type="http://schemas.openxmlformats.org/officeDocument/2006/relationships/hyperlink" Target="https://m.stock.naver.com/research/company/80162" TargetMode="External"/><Relationship Id="rId372" Type="http://schemas.openxmlformats.org/officeDocument/2006/relationships/hyperlink" Target="https://m.stock.naver.com/research/company/93086" TargetMode="External"/><Relationship Id="rId2053" Type="http://schemas.openxmlformats.org/officeDocument/2006/relationships/hyperlink" Target="https://m.stock.naver.com/research/company/91202" TargetMode="External"/><Relationship Id="rId3104" Type="http://schemas.openxmlformats.org/officeDocument/2006/relationships/hyperlink" Target="https://m.stock.naver.com/research/company/90147" TargetMode="External"/><Relationship Id="rId6674" Type="http://schemas.openxmlformats.org/officeDocument/2006/relationships/hyperlink" Target="https://m.stock.naver.com/research/company/86566" TargetMode="External"/><Relationship Id="rId7725" Type="http://schemas.openxmlformats.org/officeDocument/2006/relationships/hyperlink" Target="https://m.stock.naver.com/research/company/85514" TargetMode="External"/><Relationship Id="rId5276" Type="http://schemas.openxmlformats.org/officeDocument/2006/relationships/hyperlink" Target="https://m.stock.naver.com/research/company/87964" TargetMode="External"/><Relationship Id="rId6327" Type="http://schemas.openxmlformats.org/officeDocument/2006/relationships/hyperlink" Target="https://m.stock.naver.com/research/company/86913" TargetMode="External"/><Relationship Id="rId9897" Type="http://schemas.openxmlformats.org/officeDocument/2006/relationships/hyperlink" Target="https://m.stock.naver.com/research/company/83325" TargetMode="External"/><Relationship Id="rId10706" Type="http://schemas.openxmlformats.org/officeDocument/2006/relationships/hyperlink" Target="https://m.stock.naver.com/research/company/82514" TargetMode="External"/><Relationship Id="rId8499" Type="http://schemas.openxmlformats.org/officeDocument/2006/relationships/hyperlink" Target="https://m.stock.naver.com/research/company/84738" TargetMode="External"/><Relationship Id="rId12878" Type="http://schemas.openxmlformats.org/officeDocument/2006/relationships/hyperlink" Target="https://m.stock.naver.com/research/company/80330" TargetMode="External"/><Relationship Id="rId13929" Type="http://schemas.openxmlformats.org/officeDocument/2006/relationships/hyperlink" Target="https://m.stock.naver.com/research/company/93708" TargetMode="External"/><Relationship Id="rId1886" Type="http://schemas.openxmlformats.org/officeDocument/2006/relationships/hyperlink" Target="https://m.stock.naver.com/research/company/91369" TargetMode="External"/><Relationship Id="rId2937" Type="http://schemas.openxmlformats.org/officeDocument/2006/relationships/hyperlink" Target="https://m.stock.naver.com/research/company/90316" TargetMode="External"/><Relationship Id="rId15351" Type="http://schemas.openxmlformats.org/officeDocument/2006/relationships/hyperlink" Target="https://m.stock.naver.com/research/company/95237" TargetMode="External"/><Relationship Id="rId909" Type="http://schemas.openxmlformats.org/officeDocument/2006/relationships/hyperlink" Target="https://m.stock.naver.com/research/company/92547" TargetMode="External"/><Relationship Id="rId1539" Type="http://schemas.openxmlformats.org/officeDocument/2006/relationships/hyperlink" Target="https://m.stock.naver.com/research/company/91716" TargetMode="External"/><Relationship Id="rId5410" Type="http://schemas.openxmlformats.org/officeDocument/2006/relationships/hyperlink" Target="https://m.stock.naver.com/research/company/87830" TargetMode="External"/><Relationship Id="rId8980" Type="http://schemas.openxmlformats.org/officeDocument/2006/relationships/hyperlink" Target="https://m.stock.naver.com/research/company/84252" TargetMode="External"/><Relationship Id="rId11961" Type="http://schemas.openxmlformats.org/officeDocument/2006/relationships/hyperlink" Target="https://m.stock.naver.com/research/company/81250" TargetMode="External"/><Relationship Id="rId15004" Type="http://schemas.openxmlformats.org/officeDocument/2006/relationships/hyperlink" Target="https://m.stock.naver.com/research/company/94830" TargetMode="External"/><Relationship Id="rId4012" Type="http://schemas.openxmlformats.org/officeDocument/2006/relationships/hyperlink" Target="https://m.stock.naver.com/research/company/89239" TargetMode="External"/><Relationship Id="rId7582" Type="http://schemas.openxmlformats.org/officeDocument/2006/relationships/hyperlink" Target="https://m.stock.naver.com/research/company/85657" TargetMode="External"/><Relationship Id="rId8633" Type="http://schemas.openxmlformats.org/officeDocument/2006/relationships/hyperlink" Target="https://m.stock.naver.com/research/company/84604" TargetMode="External"/><Relationship Id="rId10563" Type="http://schemas.openxmlformats.org/officeDocument/2006/relationships/hyperlink" Target="https://m.stock.naver.com/research/company/82657" TargetMode="External"/><Relationship Id="rId11614" Type="http://schemas.openxmlformats.org/officeDocument/2006/relationships/hyperlink" Target="https://m.stock.naver.com/research/company/81598" TargetMode="External"/><Relationship Id="rId6184" Type="http://schemas.openxmlformats.org/officeDocument/2006/relationships/hyperlink" Target="https://m.stock.naver.com/research/company/87056" TargetMode="External"/><Relationship Id="rId7235" Type="http://schemas.openxmlformats.org/officeDocument/2006/relationships/hyperlink" Target="https://m.stock.naver.com/research/company/86004" TargetMode="External"/><Relationship Id="rId10216" Type="http://schemas.openxmlformats.org/officeDocument/2006/relationships/hyperlink" Target="https://m.stock.naver.com/research/company/83005" TargetMode="External"/><Relationship Id="rId2794" Type="http://schemas.openxmlformats.org/officeDocument/2006/relationships/hyperlink" Target="https://m.stock.naver.com/research/company/90460" TargetMode="External"/><Relationship Id="rId3845" Type="http://schemas.openxmlformats.org/officeDocument/2006/relationships/hyperlink" Target="https://m.stock.naver.com/research/company/89406" TargetMode="External"/><Relationship Id="rId12388" Type="http://schemas.openxmlformats.org/officeDocument/2006/relationships/hyperlink" Target="https://m.stock.naver.com/research/company/80821" TargetMode="External"/><Relationship Id="rId13786" Type="http://schemas.openxmlformats.org/officeDocument/2006/relationships/hyperlink" Target="https://m.stock.naver.com/research/company/93602" TargetMode="External"/><Relationship Id="rId14837" Type="http://schemas.openxmlformats.org/officeDocument/2006/relationships/hyperlink" Target="https://m.stock.naver.com/research/company/94787" TargetMode="External"/><Relationship Id="rId766" Type="http://schemas.openxmlformats.org/officeDocument/2006/relationships/hyperlink" Target="https://m.stock.naver.com/research/company/92690" TargetMode="External"/><Relationship Id="rId1396" Type="http://schemas.openxmlformats.org/officeDocument/2006/relationships/hyperlink" Target="https://m.stock.naver.com/research/company/91859" TargetMode="External"/><Relationship Id="rId2447" Type="http://schemas.openxmlformats.org/officeDocument/2006/relationships/hyperlink" Target="https://m.stock.naver.com/research/company/90807" TargetMode="External"/><Relationship Id="rId13439" Type="http://schemas.openxmlformats.org/officeDocument/2006/relationships/hyperlink" Target="https://m.stock.naver.com/research/company/79765" TargetMode="External"/><Relationship Id="rId419" Type="http://schemas.openxmlformats.org/officeDocument/2006/relationships/hyperlink" Target="https://m.stock.naver.com/research/company/93038" TargetMode="External"/><Relationship Id="rId1049" Type="http://schemas.openxmlformats.org/officeDocument/2006/relationships/hyperlink" Target="https://m.stock.naver.com/research/company/92302" TargetMode="External"/><Relationship Id="rId13920" Type="http://schemas.openxmlformats.org/officeDocument/2006/relationships/hyperlink" Target="https://m.stock.naver.com/research/company/93717" TargetMode="External"/><Relationship Id="rId7092" Type="http://schemas.openxmlformats.org/officeDocument/2006/relationships/hyperlink" Target="https://m.stock.naver.com/research/company/86147" TargetMode="External"/><Relationship Id="rId8143" Type="http://schemas.openxmlformats.org/officeDocument/2006/relationships/hyperlink" Target="https://m.stock.naver.com/research/company/85095" TargetMode="External"/><Relationship Id="rId8490" Type="http://schemas.openxmlformats.org/officeDocument/2006/relationships/hyperlink" Target="https://m.stock.naver.com/research/company/84747" TargetMode="External"/><Relationship Id="rId9541" Type="http://schemas.openxmlformats.org/officeDocument/2006/relationships/hyperlink" Target="https://m.stock.naver.com/research/company/83686" TargetMode="External"/><Relationship Id="rId11471" Type="http://schemas.openxmlformats.org/officeDocument/2006/relationships/hyperlink" Target="https://m.stock.naver.com/research/company/81744" TargetMode="External"/><Relationship Id="rId12522" Type="http://schemas.openxmlformats.org/officeDocument/2006/relationships/hyperlink" Target="https://m.stock.naver.com/research/company/80686" TargetMode="External"/><Relationship Id="rId900" Type="http://schemas.openxmlformats.org/officeDocument/2006/relationships/hyperlink" Target="https://m.stock.naver.com/research/company/92556" TargetMode="External"/><Relationship Id="rId1530" Type="http://schemas.openxmlformats.org/officeDocument/2006/relationships/hyperlink" Target="https://m.stock.naver.com/research/company/91725" TargetMode="External"/><Relationship Id="rId10073" Type="http://schemas.openxmlformats.org/officeDocument/2006/relationships/hyperlink" Target="https://m.stock.naver.com/research/company/83148" TargetMode="External"/><Relationship Id="rId11124" Type="http://schemas.openxmlformats.org/officeDocument/2006/relationships/hyperlink" Target="https://m.stock.naver.com/research/company/82096" TargetMode="External"/><Relationship Id="rId14694" Type="http://schemas.openxmlformats.org/officeDocument/2006/relationships/hyperlink" Target="https://m.stock.naver.com/research/company/94706" TargetMode="External"/><Relationship Id="rId15745" Type="http://schemas.openxmlformats.org/officeDocument/2006/relationships/hyperlink" Target="https://m.stock.naver.com/research/company/95669" TargetMode="External"/><Relationship Id="rId4753" Type="http://schemas.openxmlformats.org/officeDocument/2006/relationships/hyperlink" Target="https://m.stock.naver.com/research/company/88487" TargetMode="External"/><Relationship Id="rId5804" Type="http://schemas.openxmlformats.org/officeDocument/2006/relationships/hyperlink" Target="https://m.stock.naver.com/research/company/87436" TargetMode="External"/><Relationship Id="rId13296" Type="http://schemas.openxmlformats.org/officeDocument/2006/relationships/hyperlink" Target="https://m.stock.naver.com/research/company/79909" TargetMode="External"/><Relationship Id="rId14347" Type="http://schemas.openxmlformats.org/officeDocument/2006/relationships/hyperlink" Target="https://m.stock.naver.com/research/company/94204" TargetMode="External"/><Relationship Id="rId3355" Type="http://schemas.openxmlformats.org/officeDocument/2006/relationships/hyperlink" Target="https://m.stock.naver.com/research/company/89895" TargetMode="External"/><Relationship Id="rId4406" Type="http://schemas.openxmlformats.org/officeDocument/2006/relationships/hyperlink" Target="https://m.stock.naver.com/research/company/88835" TargetMode="External"/><Relationship Id="rId7976" Type="http://schemas.openxmlformats.org/officeDocument/2006/relationships/hyperlink" Target="https://m.stock.naver.com/research/company/85262" TargetMode="External"/><Relationship Id="rId276" Type="http://schemas.openxmlformats.org/officeDocument/2006/relationships/hyperlink" Target="https://m.stock.naver.com/research/company/93182" TargetMode="External"/><Relationship Id="rId3008" Type="http://schemas.openxmlformats.org/officeDocument/2006/relationships/hyperlink" Target="https://m.stock.naver.com/research/company/90243" TargetMode="External"/><Relationship Id="rId6578" Type="http://schemas.openxmlformats.org/officeDocument/2006/relationships/hyperlink" Target="https://m.stock.naver.com/research/company/86662" TargetMode="External"/><Relationship Id="rId7629" Type="http://schemas.openxmlformats.org/officeDocument/2006/relationships/hyperlink" Target="https://m.stock.naver.com/research/company/85610" TargetMode="External"/><Relationship Id="rId10957" Type="http://schemas.openxmlformats.org/officeDocument/2006/relationships/hyperlink" Target="https://m.stock.naver.com/research/company/82263" TargetMode="External"/><Relationship Id="rId9051" Type="http://schemas.openxmlformats.org/officeDocument/2006/relationships/hyperlink" Target="https://m.stock.naver.com/research/company/84180" TargetMode="External"/><Relationship Id="rId13430" Type="http://schemas.openxmlformats.org/officeDocument/2006/relationships/hyperlink" Target="https://m.stock.naver.com/research/company/79775" TargetMode="External"/><Relationship Id="rId1040" Type="http://schemas.openxmlformats.org/officeDocument/2006/relationships/hyperlink" Target="https://m.stock.naver.com/research/company/92311" TargetMode="External"/><Relationship Id="rId12032" Type="http://schemas.openxmlformats.org/officeDocument/2006/relationships/hyperlink" Target="https://m.stock.naver.com/research/company/81179" TargetMode="External"/><Relationship Id="rId410" Type="http://schemas.openxmlformats.org/officeDocument/2006/relationships/hyperlink" Target="https://m.stock.naver.com/research/company/93048" TargetMode="External"/><Relationship Id="rId5661" Type="http://schemas.openxmlformats.org/officeDocument/2006/relationships/hyperlink" Target="https://m.stock.naver.com/research/company/87579" TargetMode="External"/><Relationship Id="rId6712" Type="http://schemas.openxmlformats.org/officeDocument/2006/relationships/hyperlink" Target="https://m.stock.naver.com/research/company/86528" TargetMode="External"/><Relationship Id="rId15255" Type="http://schemas.openxmlformats.org/officeDocument/2006/relationships/hyperlink" Target="https://m.stock.naver.com/research/company/95105" TargetMode="External"/><Relationship Id="rId4263" Type="http://schemas.openxmlformats.org/officeDocument/2006/relationships/hyperlink" Target="https://m.stock.naver.com/research/company/88978" TargetMode="External"/><Relationship Id="rId5314" Type="http://schemas.openxmlformats.org/officeDocument/2006/relationships/hyperlink" Target="https://m.stock.naver.com/research/company/87926" TargetMode="External"/><Relationship Id="rId8884" Type="http://schemas.openxmlformats.org/officeDocument/2006/relationships/hyperlink" Target="https://m.stock.naver.com/research/company/84352" TargetMode="External"/><Relationship Id="rId9935" Type="http://schemas.openxmlformats.org/officeDocument/2006/relationships/hyperlink" Target="https://m.stock.naver.com/research/company/83287" TargetMode="External"/><Relationship Id="rId1924" Type="http://schemas.openxmlformats.org/officeDocument/2006/relationships/hyperlink" Target="https://m.stock.naver.com/research/company/91331" TargetMode="External"/><Relationship Id="rId7486" Type="http://schemas.openxmlformats.org/officeDocument/2006/relationships/hyperlink" Target="https://m.stock.naver.com/research/company/85753" TargetMode="External"/><Relationship Id="rId8537" Type="http://schemas.openxmlformats.org/officeDocument/2006/relationships/hyperlink" Target="https://m.stock.naver.com/research/company/84700" TargetMode="External"/><Relationship Id="rId10467" Type="http://schemas.openxmlformats.org/officeDocument/2006/relationships/hyperlink" Target="https://m.stock.naver.com/research/company/82753" TargetMode="External"/><Relationship Id="rId11865" Type="http://schemas.openxmlformats.org/officeDocument/2006/relationships/hyperlink" Target="https://m.stock.naver.com/research/company/81347" TargetMode="External"/><Relationship Id="rId12916" Type="http://schemas.openxmlformats.org/officeDocument/2006/relationships/hyperlink" Target="https://m.stock.naver.com/research/company/80292" TargetMode="External"/><Relationship Id="rId6088" Type="http://schemas.openxmlformats.org/officeDocument/2006/relationships/hyperlink" Target="https://m.stock.naver.com/research/company/87152" TargetMode="External"/><Relationship Id="rId7139" Type="http://schemas.openxmlformats.org/officeDocument/2006/relationships/hyperlink" Target="https://m.stock.naver.com/research/company/86100" TargetMode="External"/><Relationship Id="rId11518" Type="http://schemas.openxmlformats.org/officeDocument/2006/relationships/hyperlink" Target="https://m.stock.naver.com/research/company/81697" TargetMode="External"/><Relationship Id="rId2698" Type="http://schemas.openxmlformats.org/officeDocument/2006/relationships/hyperlink" Target="https://m.stock.naver.com/research/company/90556" TargetMode="External"/><Relationship Id="rId3749" Type="http://schemas.openxmlformats.org/officeDocument/2006/relationships/hyperlink" Target="https://m.stock.naver.com/research/company/89502" TargetMode="External"/><Relationship Id="rId5171" Type="http://schemas.openxmlformats.org/officeDocument/2006/relationships/hyperlink" Target="https://m.stock.naver.com/research/company/88069" TargetMode="External"/><Relationship Id="rId6222" Type="http://schemas.openxmlformats.org/officeDocument/2006/relationships/hyperlink" Target="https://m.stock.naver.com/research/company/87018" TargetMode="External"/><Relationship Id="rId7620" Type="http://schemas.openxmlformats.org/officeDocument/2006/relationships/hyperlink" Target="https://m.stock.naver.com/research/company/85619" TargetMode="External"/><Relationship Id="rId10601" Type="http://schemas.openxmlformats.org/officeDocument/2006/relationships/hyperlink" Target="https://m.stock.naver.com/research/company/82619" TargetMode="External"/><Relationship Id="rId9792" Type="http://schemas.openxmlformats.org/officeDocument/2006/relationships/hyperlink" Target="https://m.stock.naver.com/research/company/83430" TargetMode="External"/><Relationship Id="rId12773" Type="http://schemas.openxmlformats.org/officeDocument/2006/relationships/hyperlink" Target="https://m.stock.naver.com/research/company/80435" TargetMode="External"/><Relationship Id="rId13824" Type="http://schemas.openxmlformats.org/officeDocument/2006/relationships/hyperlink" Target="https://m.stock.naver.com/research/company/93554" TargetMode="External"/><Relationship Id="rId1781" Type="http://schemas.openxmlformats.org/officeDocument/2006/relationships/hyperlink" Target="https://m.stock.naver.com/research/company/91474" TargetMode="External"/><Relationship Id="rId2832" Type="http://schemas.openxmlformats.org/officeDocument/2006/relationships/hyperlink" Target="https://m.stock.naver.com/research/company/90421" TargetMode="External"/><Relationship Id="rId8394" Type="http://schemas.openxmlformats.org/officeDocument/2006/relationships/hyperlink" Target="https://m.stock.naver.com/research/company/84844" TargetMode="External"/><Relationship Id="rId9445" Type="http://schemas.openxmlformats.org/officeDocument/2006/relationships/hyperlink" Target="https://m.stock.naver.com/research/company/83782" TargetMode="External"/><Relationship Id="rId11375" Type="http://schemas.openxmlformats.org/officeDocument/2006/relationships/hyperlink" Target="https://m.stock.naver.com/research/company/81840" TargetMode="External"/><Relationship Id="rId12426" Type="http://schemas.openxmlformats.org/officeDocument/2006/relationships/hyperlink" Target="https://m.stock.naver.com/research/company/80783" TargetMode="External"/><Relationship Id="rId804" Type="http://schemas.openxmlformats.org/officeDocument/2006/relationships/hyperlink" Target="https://m.stock.naver.com/research/company/92652" TargetMode="External"/><Relationship Id="rId1434" Type="http://schemas.openxmlformats.org/officeDocument/2006/relationships/hyperlink" Target="https://m.stock.naver.com/research/company/91821" TargetMode="External"/><Relationship Id="rId8047" Type="http://schemas.openxmlformats.org/officeDocument/2006/relationships/hyperlink" Target="https://m.stock.naver.com/research/company/85191" TargetMode="External"/><Relationship Id="rId11028" Type="http://schemas.openxmlformats.org/officeDocument/2006/relationships/hyperlink" Target="https://m.stock.naver.com/research/company/82192" TargetMode="External"/><Relationship Id="rId14598" Type="http://schemas.openxmlformats.org/officeDocument/2006/relationships/hyperlink" Target="https://m.stock.naver.com/research/company/94579" TargetMode="External"/><Relationship Id="rId4657" Type="http://schemas.openxmlformats.org/officeDocument/2006/relationships/hyperlink" Target="https://m.stock.naver.com/research/company/88583" TargetMode="External"/><Relationship Id="rId5708" Type="http://schemas.openxmlformats.org/officeDocument/2006/relationships/hyperlink" Target="https://m.stock.naver.com/research/company/87532" TargetMode="External"/><Relationship Id="rId15649" Type="http://schemas.openxmlformats.org/officeDocument/2006/relationships/hyperlink" Target="https://m.stock.naver.com/research/company/95765" TargetMode="External"/><Relationship Id="rId3259" Type="http://schemas.openxmlformats.org/officeDocument/2006/relationships/hyperlink" Target="https://m.stock.naver.com/research/company/89991" TargetMode="External"/><Relationship Id="rId7130" Type="http://schemas.openxmlformats.org/officeDocument/2006/relationships/hyperlink" Target="https://m.stock.naver.com/research/company/86109" TargetMode="External"/><Relationship Id="rId10111" Type="http://schemas.openxmlformats.org/officeDocument/2006/relationships/hyperlink" Target="https://m.stock.naver.com/research/company/83110" TargetMode="External"/><Relationship Id="rId13681" Type="http://schemas.openxmlformats.org/officeDocument/2006/relationships/hyperlink" Target="https://m.stock.naver.com/research/company/93493" TargetMode="External"/><Relationship Id="rId14732" Type="http://schemas.openxmlformats.org/officeDocument/2006/relationships/hyperlink" Target="https://m.stock.naver.com/research/company/94668" TargetMode="External"/><Relationship Id="rId3740" Type="http://schemas.openxmlformats.org/officeDocument/2006/relationships/hyperlink" Target="https://m.stock.naver.com/research/company/89511" TargetMode="External"/><Relationship Id="rId12283" Type="http://schemas.openxmlformats.org/officeDocument/2006/relationships/hyperlink" Target="https://m.stock.naver.com/research/company/80926" TargetMode="External"/><Relationship Id="rId13334" Type="http://schemas.openxmlformats.org/officeDocument/2006/relationships/hyperlink" Target="https://m.stock.naver.com/research/company/79871" TargetMode="External"/><Relationship Id="rId661" Type="http://schemas.openxmlformats.org/officeDocument/2006/relationships/hyperlink" Target="https://m.stock.naver.com/research/company/92795" TargetMode="External"/><Relationship Id="rId1291" Type="http://schemas.openxmlformats.org/officeDocument/2006/relationships/hyperlink" Target="https://m.stock.naver.com/research/company/91964" TargetMode="External"/><Relationship Id="rId2342" Type="http://schemas.openxmlformats.org/officeDocument/2006/relationships/hyperlink" Target="https://m.stock.naver.com/research/company/90913" TargetMode="External"/><Relationship Id="rId6963" Type="http://schemas.openxmlformats.org/officeDocument/2006/relationships/hyperlink" Target="https://m.stock.naver.com/research/company/86276" TargetMode="External"/><Relationship Id="rId314" Type="http://schemas.openxmlformats.org/officeDocument/2006/relationships/hyperlink" Target="https://m.stock.naver.com/research/company/93144" TargetMode="External"/><Relationship Id="rId5565" Type="http://schemas.openxmlformats.org/officeDocument/2006/relationships/hyperlink" Target="https://m.stock.naver.com/research/company/87675" TargetMode="External"/><Relationship Id="rId6616" Type="http://schemas.openxmlformats.org/officeDocument/2006/relationships/hyperlink" Target="https://m.stock.naver.com/research/company/86624" TargetMode="External"/><Relationship Id="rId15159" Type="http://schemas.openxmlformats.org/officeDocument/2006/relationships/hyperlink" Target="https://m.stock.naver.com/research/company/95201" TargetMode="External"/><Relationship Id="rId4167" Type="http://schemas.openxmlformats.org/officeDocument/2006/relationships/hyperlink" Target="https://m.stock.naver.com/research/company/89082" TargetMode="External"/><Relationship Id="rId5218" Type="http://schemas.openxmlformats.org/officeDocument/2006/relationships/hyperlink" Target="https://m.stock.naver.com/research/company/88022" TargetMode="External"/><Relationship Id="rId8788" Type="http://schemas.openxmlformats.org/officeDocument/2006/relationships/hyperlink" Target="https://m.stock.naver.com/research/company/84449" TargetMode="External"/><Relationship Id="rId9839" Type="http://schemas.openxmlformats.org/officeDocument/2006/relationships/hyperlink" Target="https://m.stock.naver.com/research/company/83383" TargetMode="External"/><Relationship Id="rId11769" Type="http://schemas.openxmlformats.org/officeDocument/2006/relationships/hyperlink" Target="https://m.stock.naver.com/research/company/81443" TargetMode="External"/><Relationship Id="rId13191" Type="http://schemas.openxmlformats.org/officeDocument/2006/relationships/hyperlink" Target="https://m.stock.naver.com/research/company/80016" TargetMode="External"/><Relationship Id="rId15640" Type="http://schemas.openxmlformats.org/officeDocument/2006/relationships/hyperlink" Target="https://m.stock.naver.com/research/company/95774" TargetMode="External"/><Relationship Id="rId1828" Type="http://schemas.openxmlformats.org/officeDocument/2006/relationships/hyperlink" Target="https://m.stock.naver.com/research/company/91427" TargetMode="External"/><Relationship Id="rId3250" Type="http://schemas.openxmlformats.org/officeDocument/2006/relationships/hyperlink" Target="https://m.stock.naver.com/research/company/90000" TargetMode="External"/><Relationship Id="rId14242" Type="http://schemas.openxmlformats.org/officeDocument/2006/relationships/hyperlink" Target="https://m.stock.naver.com/research/company/94101" TargetMode="External"/><Relationship Id="rId171" Type="http://schemas.openxmlformats.org/officeDocument/2006/relationships/hyperlink" Target="https://m.stock.naver.com/research/company/93287" TargetMode="External"/><Relationship Id="rId4301" Type="http://schemas.openxmlformats.org/officeDocument/2006/relationships/hyperlink" Target="https://m.stock.naver.com/research/company/88940" TargetMode="External"/><Relationship Id="rId7871" Type="http://schemas.openxmlformats.org/officeDocument/2006/relationships/hyperlink" Target="https://m.stock.naver.com/research/company/85367" TargetMode="External"/><Relationship Id="rId8922" Type="http://schemas.openxmlformats.org/officeDocument/2006/relationships/hyperlink" Target="https://m.stock.naver.com/research/company/84313" TargetMode="External"/><Relationship Id="rId10852" Type="http://schemas.openxmlformats.org/officeDocument/2006/relationships/hyperlink" Target="https://m.stock.naver.com/research/company/82368" TargetMode="External"/><Relationship Id="rId11903" Type="http://schemas.openxmlformats.org/officeDocument/2006/relationships/hyperlink" Target="https://m.stock.naver.com/research/company/81308" TargetMode="External"/><Relationship Id="rId6473" Type="http://schemas.openxmlformats.org/officeDocument/2006/relationships/hyperlink" Target="https://m.stock.naver.com/research/company/86767" TargetMode="External"/><Relationship Id="rId7524" Type="http://schemas.openxmlformats.org/officeDocument/2006/relationships/hyperlink" Target="https://m.stock.naver.com/research/company/85715" TargetMode="External"/><Relationship Id="rId10505" Type="http://schemas.openxmlformats.org/officeDocument/2006/relationships/hyperlink" Target="https://m.stock.naver.com/research/company/82715" TargetMode="External"/><Relationship Id="rId5075" Type="http://schemas.openxmlformats.org/officeDocument/2006/relationships/hyperlink" Target="https://m.stock.naver.com/research/company/88165" TargetMode="External"/><Relationship Id="rId6126" Type="http://schemas.openxmlformats.org/officeDocument/2006/relationships/hyperlink" Target="https://m.stock.naver.com/research/company/87114" TargetMode="External"/><Relationship Id="rId9696" Type="http://schemas.openxmlformats.org/officeDocument/2006/relationships/hyperlink" Target="https://m.stock.naver.com/research/company/83527" TargetMode="External"/><Relationship Id="rId12677" Type="http://schemas.openxmlformats.org/officeDocument/2006/relationships/hyperlink" Target="https://m.stock.naver.com/research/company/80531" TargetMode="External"/><Relationship Id="rId1685" Type="http://schemas.openxmlformats.org/officeDocument/2006/relationships/hyperlink" Target="https://m.stock.naver.com/research/company/91570" TargetMode="External"/><Relationship Id="rId2736" Type="http://schemas.openxmlformats.org/officeDocument/2006/relationships/hyperlink" Target="https://m.stock.naver.com/research/company/90518" TargetMode="External"/><Relationship Id="rId8298" Type="http://schemas.openxmlformats.org/officeDocument/2006/relationships/hyperlink" Target="https://m.stock.naver.com/research/company/84940" TargetMode="External"/><Relationship Id="rId9349" Type="http://schemas.openxmlformats.org/officeDocument/2006/relationships/hyperlink" Target="https://m.stock.naver.com/research/company/83878" TargetMode="External"/><Relationship Id="rId11279" Type="http://schemas.openxmlformats.org/officeDocument/2006/relationships/hyperlink" Target="https://m.stock.naver.com/research/company/81940" TargetMode="External"/><Relationship Id="rId13728" Type="http://schemas.openxmlformats.org/officeDocument/2006/relationships/hyperlink" Target="https://m.stock.naver.com/research/company/93511" TargetMode="External"/><Relationship Id="rId15150" Type="http://schemas.openxmlformats.org/officeDocument/2006/relationships/hyperlink" Target="https://m.stock.naver.com/research/company/94944" TargetMode="External"/><Relationship Id="rId708" Type="http://schemas.openxmlformats.org/officeDocument/2006/relationships/hyperlink" Target="https://m.stock.naver.com/research/company/92748" TargetMode="External"/><Relationship Id="rId1338" Type="http://schemas.openxmlformats.org/officeDocument/2006/relationships/hyperlink" Target="https://m.stock.naver.com/research/company/91917" TargetMode="External"/><Relationship Id="rId5959" Type="http://schemas.openxmlformats.org/officeDocument/2006/relationships/hyperlink" Target="https://m.stock.naver.com/research/company/87281" TargetMode="External"/><Relationship Id="rId7381" Type="http://schemas.openxmlformats.org/officeDocument/2006/relationships/hyperlink" Target="https://m.stock.naver.com/research/company/85858" TargetMode="External"/><Relationship Id="rId8432" Type="http://schemas.openxmlformats.org/officeDocument/2006/relationships/hyperlink" Target="https://m.stock.naver.com/research/company/84806" TargetMode="External"/><Relationship Id="rId9830" Type="http://schemas.openxmlformats.org/officeDocument/2006/relationships/hyperlink" Target="https://m.stock.naver.com/research/company/83392" TargetMode="External"/><Relationship Id="rId11760" Type="http://schemas.openxmlformats.org/officeDocument/2006/relationships/hyperlink" Target="https://m.stock.naver.com/research/company/81452" TargetMode="External"/><Relationship Id="rId12811" Type="http://schemas.openxmlformats.org/officeDocument/2006/relationships/hyperlink" Target="https://m.stock.naver.com/research/company/80397" TargetMode="External"/><Relationship Id="rId44" Type="http://schemas.openxmlformats.org/officeDocument/2006/relationships/hyperlink" Target="https://m.stock.naver.com/research/company/93414" TargetMode="External"/><Relationship Id="rId7034" Type="http://schemas.openxmlformats.org/officeDocument/2006/relationships/hyperlink" Target="https://m.stock.naver.com/research/company/86205" TargetMode="External"/><Relationship Id="rId10362" Type="http://schemas.openxmlformats.org/officeDocument/2006/relationships/hyperlink" Target="https://m.stock.naver.com/research/company/82859" TargetMode="External"/><Relationship Id="rId11413" Type="http://schemas.openxmlformats.org/officeDocument/2006/relationships/hyperlink" Target="https://m.stock.naver.com/research/company/81802" TargetMode="External"/><Relationship Id="rId14983" Type="http://schemas.openxmlformats.org/officeDocument/2006/relationships/hyperlink" Target="https://m.stock.naver.com/research/company/94851" TargetMode="External"/><Relationship Id="rId3991" Type="http://schemas.openxmlformats.org/officeDocument/2006/relationships/hyperlink" Target="https://m.stock.naver.com/research/company/89260" TargetMode="External"/><Relationship Id="rId10015" Type="http://schemas.openxmlformats.org/officeDocument/2006/relationships/hyperlink" Target="https://m.stock.naver.com/research/company/83206" TargetMode="External"/><Relationship Id="rId13585" Type="http://schemas.openxmlformats.org/officeDocument/2006/relationships/hyperlink" Target="https://m.stock.naver.com/research/company/79619" TargetMode="External"/><Relationship Id="rId14636" Type="http://schemas.openxmlformats.org/officeDocument/2006/relationships/hyperlink" Target="https://m.stock.naver.com/research/company/94541" TargetMode="External"/><Relationship Id="rId2593" Type="http://schemas.openxmlformats.org/officeDocument/2006/relationships/hyperlink" Target="https://m.stock.naver.com/research/company/90661" TargetMode="External"/><Relationship Id="rId3644" Type="http://schemas.openxmlformats.org/officeDocument/2006/relationships/hyperlink" Target="https://m.stock.naver.com/research/company/89607" TargetMode="External"/><Relationship Id="rId12187" Type="http://schemas.openxmlformats.org/officeDocument/2006/relationships/hyperlink" Target="https://m.stock.naver.com/research/company/81024" TargetMode="External"/><Relationship Id="rId13238" Type="http://schemas.openxmlformats.org/officeDocument/2006/relationships/hyperlink" Target="https://m.stock.naver.com/research/company/79969" TargetMode="External"/><Relationship Id="rId565" Type="http://schemas.openxmlformats.org/officeDocument/2006/relationships/hyperlink" Target="https://m.stock.naver.com/research/company/92892" TargetMode="External"/><Relationship Id="rId1195" Type="http://schemas.openxmlformats.org/officeDocument/2006/relationships/hyperlink" Target="https://m.stock.naver.com/research/company/92060" TargetMode="External"/><Relationship Id="rId2246" Type="http://schemas.openxmlformats.org/officeDocument/2006/relationships/hyperlink" Target="https://m.stock.naver.com/research/company/91009" TargetMode="External"/><Relationship Id="rId6867" Type="http://schemas.openxmlformats.org/officeDocument/2006/relationships/hyperlink" Target="https://m.stock.naver.com/research/company/86373" TargetMode="External"/><Relationship Id="rId7918" Type="http://schemas.openxmlformats.org/officeDocument/2006/relationships/hyperlink" Target="https://m.stock.naver.com/research/company/85320" TargetMode="External"/><Relationship Id="rId218" Type="http://schemas.openxmlformats.org/officeDocument/2006/relationships/hyperlink" Target="https://m.stock.naver.com/research/company/93240" TargetMode="External"/><Relationship Id="rId5469" Type="http://schemas.openxmlformats.org/officeDocument/2006/relationships/hyperlink" Target="https://m.stock.naver.com/research/company/87771" TargetMode="External"/><Relationship Id="rId9340" Type="http://schemas.openxmlformats.org/officeDocument/2006/relationships/hyperlink" Target="https://m.stock.naver.com/research/company/83887" TargetMode="External"/><Relationship Id="rId11270" Type="http://schemas.openxmlformats.org/officeDocument/2006/relationships/hyperlink" Target="https://m.stock.naver.com/research/company/81949" TargetMode="External"/><Relationship Id="rId12321" Type="http://schemas.openxmlformats.org/officeDocument/2006/relationships/hyperlink" Target="https://m.stock.naver.com/research/company/80888" TargetMode="External"/><Relationship Id="rId5950" Type="http://schemas.openxmlformats.org/officeDocument/2006/relationships/hyperlink" Target="https://m.stock.naver.com/research/company/87290" TargetMode="External"/><Relationship Id="rId14493" Type="http://schemas.openxmlformats.org/officeDocument/2006/relationships/hyperlink" Target="https://m.stock.naver.com/research/company/94417" TargetMode="External"/><Relationship Id="rId15544" Type="http://schemas.openxmlformats.org/officeDocument/2006/relationships/hyperlink" Target="https://m.stock.naver.com/research/company/95492" TargetMode="External"/><Relationship Id="rId4552" Type="http://schemas.openxmlformats.org/officeDocument/2006/relationships/hyperlink" Target="https://m.stock.naver.com/research/company/88688" TargetMode="External"/><Relationship Id="rId5603" Type="http://schemas.openxmlformats.org/officeDocument/2006/relationships/hyperlink" Target="https://m.stock.naver.com/research/company/87637" TargetMode="External"/><Relationship Id="rId13095" Type="http://schemas.openxmlformats.org/officeDocument/2006/relationships/hyperlink" Target="https://m.stock.naver.com/research/company/80112" TargetMode="External"/><Relationship Id="rId14146" Type="http://schemas.openxmlformats.org/officeDocument/2006/relationships/hyperlink" Target="https://m.stock.naver.com/research/company/93982" TargetMode="External"/><Relationship Id="rId3154" Type="http://schemas.openxmlformats.org/officeDocument/2006/relationships/hyperlink" Target="https://m.stock.naver.com/research/company/90097" TargetMode="External"/><Relationship Id="rId4205" Type="http://schemas.openxmlformats.org/officeDocument/2006/relationships/hyperlink" Target="https://m.stock.naver.com/research/company/89037" TargetMode="External"/><Relationship Id="rId7775" Type="http://schemas.openxmlformats.org/officeDocument/2006/relationships/hyperlink" Target="https://m.stock.naver.com/research/company/85464" TargetMode="External"/><Relationship Id="rId8826" Type="http://schemas.openxmlformats.org/officeDocument/2006/relationships/hyperlink" Target="https://m.stock.naver.com/research/company/84411" TargetMode="External"/><Relationship Id="rId10756" Type="http://schemas.openxmlformats.org/officeDocument/2006/relationships/hyperlink" Target="https://m.stock.naver.com/research/company/82464" TargetMode="External"/><Relationship Id="rId6377" Type="http://schemas.openxmlformats.org/officeDocument/2006/relationships/hyperlink" Target="https://m.stock.naver.com/research/company/86863" TargetMode="External"/><Relationship Id="rId7428" Type="http://schemas.openxmlformats.org/officeDocument/2006/relationships/hyperlink" Target="https://m.stock.naver.com/research/company/85811" TargetMode="External"/><Relationship Id="rId10409" Type="http://schemas.openxmlformats.org/officeDocument/2006/relationships/hyperlink" Target="https://m.stock.naver.com/research/company/82812" TargetMode="External"/><Relationship Id="rId11807" Type="http://schemas.openxmlformats.org/officeDocument/2006/relationships/hyperlink" Target="https://m.stock.naver.com/research/company/81405" TargetMode="External"/><Relationship Id="rId2987" Type="http://schemas.openxmlformats.org/officeDocument/2006/relationships/hyperlink" Target="https://m.stock.naver.com/research/company/90266" TargetMode="External"/><Relationship Id="rId13979" Type="http://schemas.openxmlformats.org/officeDocument/2006/relationships/hyperlink" Target="https://m.stock.naver.com/research/company/93753" TargetMode="External"/><Relationship Id="rId959" Type="http://schemas.openxmlformats.org/officeDocument/2006/relationships/hyperlink" Target="https://m.stock.naver.com/research/company/92497" TargetMode="External"/><Relationship Id="rId1589" Type="http://schemas.openxmlformats.org/officeDocument/2006/relationships/hyperlink" Target="https://m.stock.naver.com/research/company/91666" TargetMode="External"/><Relationship Id="rId5460" Type="http://schemas.openxmlformats.org/officeDocument/2006/relationships/hyperlink" Target="https://m.stock.naver.com/research/company/87780" TargetMode="External"/><Relationship Id="rId6511" Type="http://schemas.openxmlformats.org/officeDocument/2006/relationships/hyperlink" Target="https://m.stock.naver.com/research/company/86729" TargetMode="External"/><Relationship Id="rId15054" Type="http://schemas.openxmlformats.org/officeDocument/2006/relationships/hyperlink" Target="https://m.stock.naver.com/research/company/95040" TargetMode="External"/><Relationship Id="rId4062" Type="http://schemas.openxmlformats.org/officeDocument/2006/relationships/hyperlink" Target="https://m.stock.naver.com/research/company/89189" TargetMode="External"/><Relationship Id="rId5113" Type="http://schemas.openxmlformats.org/officeDocument/2006/relationships/hyperlink" Target="https://m.stock.naver.com/research/company/88127" TargetMode="External"/><Relationship Id="rId8683" Type="http://schemas.openxmlformats.org/officeDocument/2006/relationships/hyperlink" Target="https://m.stock.naver.com/research/company/84554" TargetMode="External"/><Relationship Id="rId9734" Type="http://schemas.openxmlformats.org/officeDocument/2006/relationships/hyperlink" Target="https://m.stock.naver.com/research/company/83489" TargetMode="External"/><Relationship Id="rId11664" Type="http://schemas.openxmlformats.org/officeDocument/2006/relationships/hyperlink" Target="https://m.stock.naver.com/research/company/81548" TargetMode="External"/><Relationship Id="rId12715" Type="http://schemas.openxmlformats.org/officeDocument/2006/relationships/hyperlink" Target="https://m.stock.naver.com/research/company/80493" TargetMode="External"/><Relationship Id="rId1723" Type="http://schemas.openxmlformats.org/officeDocument/2006/relationships/hyperlink" Target="https://m.stock.naver.com/research/company/91532" TargetMode="External"/><Relationship Id="rId7285" Type="http://schemas.openxmlformats.org/officeDocument/2006/relationships/hyperlink" Target="https://m.stock.naver.com/research/company/85954" TargetMode="External"/><Relationship Id="rId8336" Type="http://schemas.openxmlformats.org/officeDocument/2006/relationships/hyperlink" Target="https://m.stock.naver.com/research/company/84902" TargetMode="External"/><Relationship Id="rId10266" Type="http://schemas.openxmlformats.org/officeDocument/2006/relationships/hyperlink" Target="https://m.stock.naver.com/research/company/82955" TargetMode="External"/><Relationship Id="rId11317" Type="http://schemas.openxmlformats.org/officeDocument/2006/relationships/hyperlink" Target="https://m.stock.naver.com/research/company/81902" TargetMode="External"/><Relationship Id="rId14887" Type="http://schemas.openxmlformats.org/officeDocument/2006/relationships/hyperlink" Target="https://m.stock.naver.com/research/company/94737" TargetMode="External"/><Relationship Id="rId3895" Type="http://schemas.openxmlformats.org/officeDocument/2006/relationships/hyperlink" Target="https://m.stock.naver.com/research/company/89356" TargetMode="External"/><Relationship Id="rId4946" Type="http://schemas.openxmlformats.org/officeDocument/2006/relationships/hyperlink" Target="https://m.stock.naver.com/research/company/88294" TargetMode="External"/><Relationship Id="rId13489" Type="http://schemas.openxmlformats.org/officeDocument/2006/relationships/hyperlink" Target="https://m.stock.naver.com/research/company/79715" TargetMode="External"/><Relationship Id="rId2497" Type="http://schemas.openxmlformats.org/officeDocument/2006/relationships/hyperlink" Target="https://m.stock.naver.com/research/company/90757" TargetMode="External"/><Relationship Id="rId3548" Type="http://schemas.openxmlformats.org/officeDocument/2006/relationships/hyperlink" Target="https://m.stock.naver.com/research/company/89703" TargetMode="External"/><Relationship Id="rId469" Type="http://schemas.openxmlformats.org/officeDocument/2006/relationships/hyperlink" Target="https://m.stock.naver.com/research/company/92988" TargetMode="External"/><Relationship Id="rId1099" Type="http://schemas.openxmlformats.org/officeDocument/2006/relationships/hyperlink" Target="https://m.stock.naver.com/research/company/92157" TargetMode="External"/><Relationship Id="rId6021" Type="http://schemas.openxmlformats.org/officeDocument/2006/relationships/hyperlink" Target="https://m.stock.naver.com/research/company/87219" TargetMode="External"/><Relationship Id="rId9591" Type="http://schemas.openxmlformats.org/officeDocument/2006/relationships/hyperlink" Target="https://m.stock.naver.com/research/company/83636" TargetMode="External"/><Relationship Id="rId10400" Type="http://schemas.openxmlformats.org/officeDocument/2006/relationships/hyperlink" Target="https://m.stock.naver.com/research/company/82821" TargetMode="External"/><Relationship Id="rId13970" Type="http://schemas.openxmlformats.org/officeDocument/2006/relationships/hyperlink" Target="https://m.stock.naver.com/research/company/93762" TargetMode="External"/><Relationship Id="rId8193" Type="http://schemas.openxmlformats.org/officeDocument/2006/relationships/hyperlink" Target="https://m.stock.naver.com/research/company/85045" TargetMode="External"/><Relationship Id="rId9244" Type="http://schemas.openxmlformats.org/officeDocument/2006/relationships/hyperlink" Target="https://m.stock.naver.com/research/company/83984" TargetMode="External"/><Relationship Id="rId12572" Type="http://schemas.openxmlformats.org/officeDocument/2006/relationships/hyperlink" Target="https://m.stock.naver.com/research/company/80636" TargetMode="External"/><Relationship Id="rId13623" Type="http://schemas.openxmlformats.org/officeDocument/2006/relationships/hyperlink" Target="https://m.stock.naver.com/research/company/79581" TargetMode="External"/><Relationship Id="rId950" Type="http://schemas.openxmlformats.org/officeDocument/2006/relationships/hyperlink" Target="https://m.stock.naver.com/research/company/92506" TargetMode="External"/><Relationship Id="rId1580" Type="http://schemas.openxmlformats.org/officeDocument/2006/relationships/hyperlink" Target="https://m.stock.naver.com/research/company/91675" TargetMode="External"/><Relationship Id="rId2631" Type="http://schemas.openxmlformats.org/officeDocument/2006/relationships/hyperlink" Target="https://m.stock.naver.com/research/company/90623" TargetMode="External"/><Relationship Id="rId11174" Type="http://schemas.openxmlformats.org/officeDocument/2006/relationships/hyperlink" Target="https://m.stock.naver.com/research/company/82046" TargetMode="External"/><Relationship Id="rId12225" Type="http://schemas.openxmlformats.org/officeDocument/2006/relationships/hyperlink" Target="https://m.stock.naver.com/research/company/80985" TargetMode="External"/><Relationship Id="rId603" Type="http://schemas.openxmlformats.org/officeDocument/2006/relationships/hyperlink" Target="https://m.stock.naver.com/research/company/92854" TargetMode="External"/><Relationship Id="rId1233" Type="http://schemas.openxmlformats.org/officeDocument/2006/relationships/hyperlink" Target="https://m.stock.naver.com/research/company/92022" TargetMode="External"/><Relationship Id="rId5854" Type="http://schemas.openxmlformats.org/officeDocument/2006/relationships/hyperlink" Target="https://m.stock.naver.com/research/company/87386" TargetMode="External"/><Relationship Id="rId6905" Type="http://schemas.openxmlformats.org/officeDocument/2006/relationships/hyperlink" Target="https://m.stock.naver.com/research/company/86334" TargetMode="External"/><Relationship Id="rId14397" Type="http://schemas.openxmlformats.org/officeDocument/2006/relationships/hyperlink" Target="https://m.stock.naver.com/research/company/94286" TargetMode="External"/><Relationship Id="rId15448" Type="http://schemas.openxmlformats.org/officeDocument/2006/relationships/hyperlink" Target="https://m.stock.naver.com/research/company/95339" TargetMode="External"/><Relationship Id="rId4456" Type="http://schemas.openxmlformats.org/officeDocument/2006/relationships/hyperlink" Target="https://m.stock.naver.com/research/company/88784" TargetMode="External"/><Relationship Id="rId5507" Type="http://schemas.openxmlformats.org/officeDocument/2006/relationships/hyperlink" Target="https://m.stock.naver.com/research/company/87733" TargetMode="External"/><Relationship Id="rId3058" Type="http://schemas.openxmlformats.org/officeDocument/2006/relationships/hyperlink" Target="https://m.stock.naver.com/research/company/90193" TargetMode="External"/><Relationship Id="rId4109" Type="http://schemas.openxmlformats.org/officeDocument/2006/relationships/hyperlink" Target="https://m.stock.naver.com/research/company/89142" TargetMode="External"/><Relationship Id="rId7679" Type="http://schemas.openxmlformats.org/officeDocument/2006/relationships/hyperlink" Target="https://m.stock.naver.com/research/company/85560" TargetMode="External"/><Relationship Id="rId13480" Type="http://schemas.openxmlformats.org/officeDocument/2006/relationships/hyperlink" Target="https://m.stock.naver.com/research/company/79724" TargetMode="External"/><Relationship Id="rId12082" Type="http://schemas.openxmlformats.org/officeDocument/2006/relationships/hyperlink" Target="https://m.stock.naver.com/research/company/81129" TargetMode="External"/><Relationship Id="rId13133" Type="http://schemas.openxmlformats.org/officeDocument/2006/relationships/hyperlink" Target="https://m.stock.naver.com/research/company/80074" TargetMode="External"/><Relationship Id="rId14531" Type="http://schemas.openxmlformats.org/officeDocument/2006/relationships/hyperlink" Target="https://m.stock.naver.com/research/company/94379" TargetMode="External"/><Relationship Id="rId460" Type="http://schemas.openxmlformats.org/officeDocument/2006/relationships/hyperlink" Target="https://m.stock.naver.com/research/company/92997" TargetMode="External"/><Relationship Id="rId1090" Type="http://schemas.openxmlformats.org/officeDocument/2006/relationships/hyperlink" Target="https://m.stock.naver.com/research/company/92166" TargetMode="External"/><Relationship Id="rId2141" Type="http://schemas.openxmlformats.org/officeDocument/2006/relationships/hyperlink" Target="https://m.stock.naver.com/research/company/91114" TargetMode="External"/><Relationship Id="rId113" Type="http://schemas.openxmlformats.org/officeDocument/2006/relationships/hyperlink" Target="https://m.stock.naver.com/research/company/93345" TargetMode="External"/><Relationship Id="rId6762" Type="http://schemas.openxmlformats.org/officeDocument/2006/relationships/hyperlink" Target="https://m.stock.naver.com/research/company/86478" TargetMode="External"/><Relationship Id="rId7813" Type="http://schemas.openxmlformats.org/officeDocument/2006/relationships/hyperlink" Target="https://m.stock.naver.com/research/company/85425" TargetMode="External"/><Relationship Id="rId5017" Type="http://schemas.openxmlformats.org/officeDocument/2006/relationships/hyperlink" Target="https://m.stock.naver.com/research/company/88223" TargetMode="External"/><Relationship Id="rId5364" Type="http://schemas.openxmlformats.org/officeDocument/2006/relationships/hyperlink" Target="https://m.stock.naver.com/research/company/87876" TargetMode="External"/><Relationship Id="rId6415" Type="http://schemas.openxmlformats.org/officeDocument/2006/relationships/hyperlink" Target="https://m.stock.naver.com/research/company/86825" TargetMode="External"/><Relationship Id="rId9985" Type="http://schemas.openxmlformats.org/officeDocument/2006/relationships/hyperlink" Target="https://m.stock.naver.com/research/company/83236" TargetMode="External"/><Relationship Id="rId12966" Type="http://schemas.openxmlformats.org/officeDocument/2006/relationships/hyperlink" Target="https://m.stock.naver.com/research/company/80242" TargetMode="External"/><Relationship Id="rId1974" Type="http://schemas.openxmlformats.org/officeDocument/2006/relationships/hyperlink" Target="https://m.stock.naver.com/research/company/91281" TargetMode="External"/><Relationship Id="rId8587" Type="http://schemas.openxmlformats.org/officeDocument/2006/relationships/hyperlink" Target="https://m.stock.naver.com/research/company/84650" TargetMode="External"/><Relationship Id="rId9638" Type="http://schemas.openxmlformats.org/officeDocument/2006/relationships/hyperlink" Target="https://m.stock.naver.com/research/company/83587" TargetMode="External"/><Relationship Id="rId11568" Type="http://schemas.openxmlformats.org/officeDocument/2006/relationships/hyperlink" Target="https://m.stock.naver.com/research/company/81645" TargetMode="External"/><Relationship Id="rId12619" Type="http://schemas.openxmlformats.org/officeDocument/2006/relationships/hyperlink" Target="https://m.stock.naver.com/research/company/80589" TargetMode="External"/><Relationship Id="rId1627" Type="http://schemas.openxmlformats.org/officeDocument/2006/relationships/hyperlink" Target="https://m.stock.naver.com/research/company/91628" TargetMode="External"/><Relationship Id="rId7189" Type="http://schemas.openxmlformats.org/officeDocument/2006/relationships/hyperlink" Target="https://m.stock.naver.com/research/company/86050" TargetMode="External"/><Relationship Id="rId14041" Type="http://schemas.openxmlformats.org/officeDocument/2006/relationships/hyperlink" Target="https://m.stock.naver.com/research/company/93806" TargetMode="External"/><Relationship Id="rId3799" Type="http://schemas.openxmlformats.org/officeDocument/2006/relationships/hyperlink" Target="https://m.stock.naver.com/research/company/89452" TargetMode="External"/><Relationship Id="rId4100" Type="http://schemas.openxmlformats.org/officeDocument/2006/relationships/hyperlink" Target="https://m.stock.naver.com/research/company/89151" TargetMode="External"/><Relationship Id="rId7670" Type="http://schemas.openxmlformats.org/officeDocument/2006/relationships/hyperlink" Target="https://m.stock.naver.com/research/company/85569" TargetMode="External"/><Relationship Id="rId8721" Type="http://schemas.openxmlformats.org/officeDocument/2006/relationships/hyperlink" Target="https://m.stock.naver.com/research/company/84516" TargetMode="External"/><Relationship Id="rId6272" Type="http://schemas.openxmlformats.org/officeDocument/2006/relationships/hyperlink" Target="https://m.stock.naver.com/research/company/86968" TargetMode="External"/><Relationship Id="rId7323" Type="http://schemas.openxmlformats.org/officeDocument/2006/relationships/hyperlink" Target="https://m.stock.naver.com/research/company/85916" TargetMode="External"/><Relationship Id="rId10651" Type="http://schemas.openxmlformats.org/officeDocument/2006/relationships/hyperlink" Target="https://m.stock.naver.com/research/company/82569" TargetMode="External"/><Relationship Id="rId11702" Type="http://schemas.openxmlformats.org/officeDocument/2006/relationships/hyperlink" Target="https://m.stock.naver.com/research/company/81510" TargetMode="External"/><Relationship Id="rId9495" Type="http://schemas.openxmlformats.org/officeDocument/2006/relationships/hyperlink" Target="https://m.stock.naver.com/research/company/83732" TargetMode="External"/><Relationship Id="rId10304" Type="http://schemas.openxmlformats.org/officeDocument/2006/relationships/hyperlink" Target="https://m.stock.naver.com/research/company/82917" TargetMode="External"/><Relationship Id="rId13874" Type="http://schemas.openxmlformats.org/officeDocument/2006/relationships/hyperlink" Target="https://m.stock.naver.com/research/company/93653" TargetMode="External"/><Relationship Id="rId14925" Type="http://schemas.openxmlformats.org/officeDocument/2006/relationships/hyperlink" Target="https://m.stock.naver.com/research/company/94909" TargetMode="External"/><Relationship Id="rId2882" Type="http://schemas.openxmlformats.org/officeDocument/2006/relationships/hyperlink" Target="https://m.stock.naver.com/research/company/90371" TargetMode="External"/><Relationship Id="rId3933" Type="http://schemas.openxmlformats.org/officeDocument/2006/relationships/hyperlink" Target="https://m.stock.naver.com/research/company/89318" TargetMode="External"/><Relationship Id="rId8097" Type="http://schemas.openxmlformats.org/officeDocument/2006/relationships/hyperlink" Target="https://m.stock.naver.com/research/company/85141" TargetMode="External"/><Relationship Id="rId9148" Type="http://schemas.openxmlformats.org/officeDocument/2006/relationships/hyperlink" Target="https://m.stock.naver.com/research/company/84082" TargetMode="External"/><Relationship Id="rId12476" Type="http://schemas.openxmlformats.org/officeDocument/2006/relationships/hyperlink" Target="https://m.stock.naver.com/research/company/80732" TargetMode="External"/><Relationship Id="rId13527" Type="http://schemas.openxmlformats.org/officeDocument/2006/relationships/hyperlink" Target="https://m.stock.naver.com/research/company/79677" TargetMode="External"/><Relationship Id="rId854" Type="http://schemas.openxmlformats.org/officeDocument/2006/relationships/hyperlink" Target="https://m.stock.naver.com/research/company/92602" TargetMode="External"/><Relationship Id="rId1484" Type="http://schemas.openxmlformats.org/officeDocument/2006/relationships/hyperlink" Target="https://m.stock.naver.com/research/company/91771" TargetMode="External"/><Relationship Id="rId2535" Type="http://schemas.openxmlformats.org/officeDocument/2006/relationships/hyperlink" Target="https://m.stock.naver.com/research/company/90719" TargetMode="External"/><Relationship Id="rId11078" Type="http://schemas.openxmlformats.org/officeDocument/2006/relationships/hyperlink" Target="https://m.stock.naver.com/research/company/82142" TargetMode="External"/><Relationship Id="rId12129" Type="http://schemas.openxmlformats.org/officeDocument/2006/relationships/hyperlink" Target="https://m.stock.naver.com/research/company/81082" TargetMode="External"/><Relationship Id="rId15699" Type="http://schemas.openxmlformats.org/officeDocument/2006/relationships/hyperlink" Target="https://m.stock.naver.com/research/company/95715" TargetMode="External"/><Relationship Id="rId507" Type="http://schemas.openxmlformats.org/officeDocument/2006/relationships/hyperlink" Target="https://m.stock.naver.com/research/company/92950" TargetMode="External"/><Relationship Id="rId1137" Type="http://schemas.openxmlformats.org/officeDocument/2006/relationships/hyperlink" Target="https://m.stock.naver.com/research/company/92118" TargetMode="External"/><Relationship Id="rId5758" Type="http://schemas.openxmlformats.org/officeDocument/2006/relationships/hyperlink" Target="https://m.stock.naver.com/research/company/87482" TargetMode="External"/><Relationship Id="rId6809" Type="http://schemas.openxmlformats.org/officeDocument/2006/relationships/hyperlink" Target="https://m.stock.naver.com/research/company/86431" TargetMode="External"/><Relationship Id="rId7180" Type="http://schemas.openxmlformats.org/officeDocument/2006/relationships/hyperlink" Target="https://m.stock.naver.com/research/company/86059" TargetMode="External"/><Relationship Id="rId8231" Type="http://schemas.openxmlformats.org/officeDocument/2006/relationships/hyperlink" Target="https://m.stock.naver.com/research/company/85007" TargetMode="External"/><Relationship Id="rId10161" Type="http://schemas.openxmlformats.org/officeDocument/2006/relationships/hyperlink" Target="https://m.stock.naver.com/research/company/83060" TargetMode="External"/><Relationship Id="rId11212" Type="http://schemas.openxmlformats.org/officeDocument/2006/relationships/hyperlink" Target="https://m.stock.naver.com/research/company/82008" TargetMode="External"/><Relationship Id="rId12610" Type="http://schemas.openxmlformats.org/officeDocument/2006/relationships/hyperlink" Target="https://m.stock.naver.com/research/company/80598" TargetMode="External"/><Relationship Id="rId14782" Type="http://schemas.openxmlformats.org/officeDocument/2006/relationships/hyperlink" Target="https://m.stock.naver.com/research/company/94618" TargetMode="External"/><Relationship Id="rId2392" Type="http://schemas.openxmlformats.org/officeDocument/2006/relationships/hyperlink" Target="https://m.stock.naver.com/research/company/90862" TargetMode="External"/><Relationship Id="rId3790" Type="http://schemas.openxmlformats.org/officeDocument/2006/relationships/hyperlink" Target="https://m.stock.naver.com/research/company/89461" TargetMode="External"/><Relationship Id="rId4841" Type="http://schemas.openxmlformats.org/officeDocument/2006/relationships/hyperlink" Target="https://m.stock.naver.com/research/company/88399" TargetMode="External"/><Relationship Id="rId13384" Type="http://schemas.openxmlformats.org/officeDocument/2006/relationships/hyperlink" Target="https://m.stock.naver.com/research/company/79821" TargetMode="External"/><Relationship Id="rId14435" Type="http://schemas.openxmlformats.org/officeDocument/2006/relationships/hyperlink" Target="https://m.stock.naver.com/research/company/94475" TargetMode="External"/><Relationship Id="rId364" Type="http://schemas.openxmlformats.org/officeDocument/2006/relationships/hyperlink" Target="https://m.stock.naver.com/research/company/93094" TargetMode="External"/><Relationship Id="rId2045" Type="http://schemas.openxmlformats.org/officeDocument/2006/relationships/hyperlink" Target="https://m.stock.naver.com/research/company/91210" TargetMode="External"/><Relationship Id="rId3443" Type="http://schemas.openxmlformats.org/officeDocument/2006/relationships/hyperlink" Target="https://m.stock.naver.com/research/company/89808" TargetMode="External"/><Relationship Id="rId13037" Type="http://schemas.openxmlformats.org/officeDocument/2006/relationships/hyperlink" Target="https://m.stock.naver.com/research/company/80170" TargetMode="External"/><Relationship Id="rId6666" Type="http://schemas.openxmlformats.org/officeDocument/2006/relationships/hyperlink" Target="https://m.stock.naver.com/research/company/86574" TargetMode="External"/><Relationship Id="rId7717" Type="http://schemas.openxmlformats.org/officeDocument/2006/relationships/hyperlink" Target="https://m.stock.naver.com/research/company/85522" TargetMode="External"/><Relationship Id="rId5268" Type="http://schemas.openxmlformats.org/officeDocument/2006/relationships/hyperlink" Target="https://m.stock.naver.com/research/company/87972" TargetMode="External"/><Relationship Id="rId6319" Type="http://schemas.openxmlformats.org/officeDocument/2006/relationships/hyperlink" Target="https://m.stock.naver.com/research/company/86921" TargetMode="External"/><Relationship Id="rId9889" Type="http://schemas.openxmlformats.org/officeDocument/2006/relationships/hyperlink" Target="https://m.stock.naver.com/research/company/83333" TargetMode="External"/><Relationship Id="rId12120" Type="http://schemas.openxmlformats.org/officeDocument/2006/relationships/hyperlink" Target="https://m.stock.naver.com/research/company/81091" TargetMode="External"/><Relationship Id="rId15690" Type="http://schemas.openxmlformats.org/officeDocument/2006/relationships/hyperlink" Target="https://m.stock.naver.com/research/company/95724" TargetMode="External"/><Relationship Id="rId1878" Type="http://schemas.openxmlformats.org/officeDocument/2006/relationships/hyperlink" Target="https://m.stock.naver.com/research/company/91377" TargetMode="External"/><Relationship Id="rId2929" Type="http://schemas.openxmlformats.org/officeDocument/2006/relationships/hyperlink" Target="https://m.stock.naver.com/research/company/90324" TargetMode="External"/><Relationship Id="rId14292" Type="http://schemas.openxmlformats.org/officeDocument/2006/relationships/hyperlink" Target="https://m.stock.naver.com/research/company/94172" TargetMode="External"/><Relationship Id="rId15343" Type="http://schemas.openxmlformats.org/officeDocument/2006/relationships/hyperlink" Target="https://m.stock.naver.com/research/company/95245" TargetMode="External"/><Relationship Id="rId4351" Type="http://schemas.openxmlformats.org/officeDocument/2006/relationships/hyperlink" Target="https://m.stock.naver.com/research/company/88890" TargetMode="External"/><Relationship Id="rId5402" Type="http://schemas.openxmlformats.org/officeDocument/2006/relationships/hyperlink" Target="https://m.stock.naver.com/research/company/87838" TargetMode="External"/><Relationship Id="rId6800" Type="http://schemas.openxmlformats.org/officeDocument/2006/relationships/hyperlink" Target="https://m.stock.naver.com/research/company/86440" TargetMode="External"/><Relationship Id="rId4004" Type="http://schemas.openxmlformats.org/officeDocument/2006/relationships/hyperlink" Target="https://m.stock.naver.com/research/company/89247" TargetMode="External"/><Relationship Id="rId8972" Type="http://schemas.openxmlformats.org/officeDocument/2006/relationships/hyperlink" Target="https://m.stock.naver.com/research/company/84260" TargetMode="External"/><Relationship Id="rId11953" Type="http://schemas.openxmlformats.org/officeDocument/2006/relationships/hyperlink" Target="https://m.stock.naver.com/research/company/81258" TargetMode="External"/><Relationship Id="rId6176" Type="http://schemas.openxmlformats.org/officeDocument/2006/relationships/hyperlink" Target="https://m.stock.naver.com/research/company/87064" TargetMode="External"/><Relationship Id="rId7227" Type="http://schemas.openxmlformats.org/officeDocument/2006/relationships/hyperlink" Target="https://m.stock.naver.com/research/company/86012" TargetMode="External"/><Relationship Id="rId7574" Type="http://schemas.openxmlformats.org/officeDocument/2006/relationships/hyperlink" Target="https://m.stock.naver.com/research/company/85665" TargetMode="External"/><Relationship Id="rId8625" Type="http://schemas.openxmlformats.org/officeDocument/2006/relationships/hyperlink" Target="https://m.stock.naver.com/research/company/84612" TargetMode="External"/><Relationship Id="rId10555" Type="http://schemas.openxmlformats.org/officeDocument/2006/relationships/hyperlink" Target="https://m.stock.naver.com/research/company/82665" TargetMode="External"/><Relationship Id="rId11606" Type="http://schemas.openxmlformats.org/officeDocument/2006/relationships/hyperlink" Target="https://m.stock.naver.com/research/company/81606" TargetMode="External"/><Relationship Id="rId10208" Type="http://schemas.openxmlformats.org/officeDocument/2006/relationships/hyperlink" Target="https://m.stock.naver.com/research/company/83013" TargetMode="External"/><Relationship Id="rId13778" Type="http://schemas.openxmlformats.org/officeDocument/2006/relationships/hyperlink" Target="https://m.stock.naver.com/research/company/93610" TargetMode="External"/><Relationship Id="rId14829" Type="http://schemas.openxmlformats.org/officeDocument/2006/relationships/hyperlink" Target="https://m.stock.naver.com/research/company/94795" TargetMode="External"/><Relationship Id="rId2786" Type="http://schemas.openxmlformats.org/officeDocument/2006/relationships/hyperlink" Target="https://m.stock.naver.com/research/company/90468" TargetMode="External"/><Relationship Id="rId3837" Type="http://schemas.openxmlformats.org/officeDocument/2006/relationships/hyperlink" Target="https://m.stock.naver.com/research/company/89414" TargetMode="External"/><Relationship Id="rId9399" Type="http://schemas.openxmlformats.org/officeDocument/2006/relationships/hyperlink" Target="https://m.stock.naver.com/research/company/83828" TargetMode="External"/><Relationship Id="rId758" Type="http://schemas.openxmlformats.org/officeDocument/2006/relationships/hyperlink" Target="https://m.stock.naver.com/research/company/92698" TargetMode="External"/><Relationship Id="rId1388" Type="http://schemas.openxmlformats.org/officeDocument/2006/relationships/hyperlink" Target="https://m.stock.naver.com/research/company/91867" TargetMode="External"/><Relationship Id="rId2439" Type="http://schemas.openxmlformats.org/officeDocument/2006/relationships/hyperlink" Target="https://m.stock.naver.com/research/company/90815" TargetMode="External"/><Relationship Id="rId6310" Type="http://schemas.openxmlformats.org/officeDocument/2006/relationships/hyperlink" Target="https://m.stock.naver.com/research/company/86930" TargetMode="External"/><Relationship Id="rId9880" Type="http://schemas.openxmlformats.org/officeDocument/2006/relationships/hyperlink" Target="https://m.stock.naver.com/research/company/83342" TargetMode="External"/><Relationship Id="rId94" Type="http://schemas.openxmlformats.org/officeDocument/2006/relationships/hyperlink" Target="https://m.stock.naver.com/research/company/93364" TargetMode="External"/><Relationship Id="rId8482" Type="http://schemas.openxmlformats.org/officeDocument/2006/relationships/hyperlink" Target="https://m.stock.naver.com/research/company/84755" TargetMode="External"/><Relationship Id="rId9533" Type="http://schemas.openxmlformats.org/officeDocument/2006/relationships/hyperlink" Target="https://m.stock.naver.com/research/company/83694" TargetMode="External"/><Relationship Id="rId12861" Type="http://schemas.openxmlformats.org/officeDocument/2006/relationships/hyperlink" Target="https://m.stock.naver.com/research/company/80347" TargetMode="External"/><Relationship Id="rId13912" Type="http://schemas.openxmlformats.org/officeDocument/2006/relationships/hyperlink" Target="https://m.stock.naver.com/research/company/93690" TargetMode="External"/><Relationship Id="rId2920" Type="http://schemas.openxmlformats.org/officeDocument/2006/relationships/hyperlink" Target="https://m.stock.naver.com/research/company/90333" TargetMode="External"/><Relationship Id="rId7084" Type="http://schemas.openxmlformats.org/officeDocument/2006/relationships/hyperlink" Target="https://m.stock.naver.com/research/company/86155" TargetMode="External"/><Relationship Id="rId8135" Type="http://schemas.openxmlformats.org/officeDocument/2006/relationships/hyperlink" Target="https://m.stock.naver.com/research/company/85103" TargetMode="External"/><Relationship Id="rId10065" Type="http://schemas.openxmlformats.org/officeDocument/2006/relationships/hyperlink" Target="https://m.stock.naver.com/research/company/83156" TargetMode="External"/><Relationship Id="rId11463" Type="http://schemas.openxmlformats.org/officeDocument/2006/relationships/hyperlink" Target="https://m.stock.naver.com/research/company/81752" TargetMode="External"/><Relationship Id="rId12514" Type="http://schemas.openxmlformats.org/officeDocument/2006/relationships/hyperlink" Target="https://m.stock.naver.com/research/company/80694" TargetMode="External"/><Relationship Id="rId1522" Type="http://schemas.openxmlformats.org/officeDocument/2006/relationships/hyperlink" Target="https://m.stock.naver.com/research/company/91733" TargetMode="External"/><Relationship Id="rId11116" Type="http://schemas.openxmlformats.org/officeDocument/2006/relationships/hyperlink" Target="https://m.stock.naver.com/research/company/82104" TargetMode="External"/><Relationship Id="rId14686" Type="http://schemas.openxmlformats.org/officeDocument/2006/relationships/hyperlink" Target="https://m.stock.naver.com/research/company/94714" TargetMode="External"/><Relationship Id="rId15737" Type="http://schemas.openxmlformats.org/officeDocument/2006/relationships/hyperlink" Target="https://m.stock.naver.com/research/company/95677" TargetMode="External"/><Relationship Id="rId3694" Type="http://schemas.openxmlformats.org/officeDocument/2006/relationships/hyperlink" Target="https://m.stock.naver.com/research/company/89557" TargetMode="External"/><Relationship Id="rId4745" Type="http://schemas.openxmlformats.org/officeDocument/2006/relationships/hyperlink" Target="https://m.stock.naver.com/research/company/88495" TargetMode="External"/><Relationship Id="rId13288" Type="http://schemas.openxmlformats.org/officeDocument/2006/relationships/hyperlink" Target="https://m.stock.naver.com/research/company/79917" TargetMode="External"/><Relationship Id="rId14339" Type="http://schemas.openxmlformats.org/officeDocument/2006/relationships/hyperlink" Target="https://m.stock.naver.com/research/company/94212" TargetMode="External"/><Relationship Id="rId2296" Type="http://schemas.openxmlformats.org/officeDocument/2006/relationships/hyperlink" Target="https://m.stock.naver.com/research/company/90959" TargetMode="External"/><Relationship Id="rId3347" Type="http://schemas.openxmlformats.org/officeDocument/2006/relationships/hyperlink" Target="https://m.stock.naver.com/research/company/89903" TargetMode="External"/><Relationship Id="rId7968" Type="http://schemas.openxmlformats.org/officeDocument/2006/relationships/hyperlink" Target="https://m.stock.naver.com/research/company/85270" TargetMode="External"/><Relationship Id="rId268" Type="http://schemas.openxmlformats.org/officeDocument/2006/relationships/hyperlink" Target="https://m.stock.naver.com/research/company/93190" TargetMode="External"/><Relationship Id="rId9390" Type="http://schemas.openxmlformats.org/officeDocument/2006/relationships/hyperlink" Target="https://m.stock.naver.com/research/company/83837" TargetMode="External"/><Relationship Id="rId10949" Type="http://schemas.openxmlformats.org/officeDocument/2006/relationships/hyperlink" Target="https://m.stock.naver.com/research/company/82271" TargetMode="External"/><Relationship Id="rId12371" Type="http://schemas.openxmlformats.org/officeDocument/2006/relationships/hyperlink" Target="https://m.stock.naver.com/research/company/80838" TargetMode="External"/><Relationship Id="rId13422" Type="http://schemas.openxmlformats.org/officeDocument/2006/relationships/hyperlink" Target="https://m.stock.naver.com/research/company/79783" TargetMode="External"/><Relationship Id="rId14820" Type="http://schemas.openxmlformats.org/officeDocument/2006/relationships/hyperlink" Target="https://m.stock.naver.com/research/company/94804" TargetMode="External"/><Relationship Id="rId2430" Type="http://schemas.openxmlformats.org/officeDocument/2006/relationships/hyperlink" Target="https://m.stock.naver.com/research/company/90824" TargetMode="External"/><Relationship Id="rId9043" Type="http://schemas.openxmlformats.org/officeDocument/2006/relationships/hyperlink" Target="https://m.stock.naver.com/research/company/84188" TargetMode="External"/><Relationship Id="rId12024" Type="http://schemas.openxmlformats.org/officeDocument/2006/relationships/hyperlink" Target="https://m.stock.naver.com/research/company/81187" TargetMode="External"/><Relationship Id="rId402" Type="http://schemas.openxmlformats.org/officeDocument/2006/relationships/hyperlink" Target="https://m.stock.naver.com/research/company/93056" TargetMode="External"/><Relationship Id="rId1032" Type="http://schemas.openxmlformats.org/officeDocument/2006/relationships/hyperlink" Target="https://m.stock.naver.com/research/company/92319" TargetMode="External"/><Relationship Id="rId14196" Type="http://schemas.openxmlformats.org/officeDocument/2006/relationships/hyperlink" Target="https://m.stock.naver.com/research/company/94062" TargetMode="External"/><Relationship Id="rId15594" Type="http://schemas.openxmlformats.org/officeDocument/2006/relationships/hyperlink" Target="https://m.stock.naver.com/research/company/95442" TargetMode="External"/><Relationship Id="rId4255" Type="http://schemas.openxmlformats.org/officeDocument/2006/relationships/hyperlink" Target="https://m.stock.naver.com/research/company/88987" TargetMode="External"/><Relationship Id="rId5306" Type="http://schemas.openxmlformats.org/officeDocument/2006/relationships/hyperlink" Target="https://m.stock.naver.com/research/company/87934" TargetMode="External"/><Relationship Id="rId5653" Type="http://schemas.openxmlformats.org/officeDocument/2006/relationships/hyperlink" Target="https://m.stock.naver.com/research/company/87587" TargetMode="External"/><Relationship Id="rId6704" Type="http://schemas.openxmlformats.org/officeDocument/2006/relationships/hyperlink" Target="https://m.stock.naver.com/research/company/86536" TargetMode="External"/><Relationship Id="rId15247" Type="http://schemas.openxmlformats.org/officeDocument/2006/relationships/hyperlink" Target="https://m.stock.naver.com/research/company/95113" TargetMode="External"/><Relationship Id="rId8876" Type="http://schemas.openxmlformats.org/officeDocument/2006/relationships/hyperlink" Target="https://m.stock.naver.com/research/company/84360" TargetMode="External"/><Relationship Id="rId9927" Type="http://schemas.openxmlformats.org/officeDocument/2006/relationships/hyperlink" Target="https://m.stock.naver.com/research/company/83295" TargetMode="External"/><Relationship Id="rId11857" Type="http://schemas.openxmlformats.org/officeDocument/2006/relationships/hyperlink" Target="https://m.stock.naver.com/research/company/81355" TargetMode="External"/><Relationship Id="rId12908" Type="http://schemas.openxmlformats.org/officeDocument/2006/relationships/hyperlink" Target="https://m.stock.naver.com/research/company/80300" TargetMode="External"/><Relationship Id="rId1916" Type="http://schemas.openxmlformats.org/officeDocument/2006/relationships/hyperlink" Target="https://m.stock.naver.com/research/company/91339" TargetMode="External"/><Relationship Id="rId7478" Type="http://schemas.openxmlformats.org/officeDocument/2006/relationships/hyperlink" Target="https://m.stock.naver.com/research/company/85761" TargetMode="External"/><Relationship Id="rId8529" Type="http://schemas.openxmlformats.org/officeDocument/2006/relationships/hyperlink" Target="https://m.stock.naver.com/research/company/84708" TargetMode="External"/><Relationship Id="rId10459" Type="http://schemas.openxmlformats.org/officeDocument/2006/relationships/hyperlink" Target="https://m.stock.naver.com/research/company/82761" TargetMode="External"/><Relationship Id="rId14330" Type="http://schemas.openxmlformats.org/officeDocument/2006/relationships/hyperlink" Target="https://m.stock.naver.com/research/company/94221" TargetMode="External"/><Relationship Id="rId6561" Type="http://schemas.openxmlformats.org/officeDocument/2006/relationships/hyperlink" Target="https://m.stock.naver.com/research/company/86679" TargetMode="External"/><Relationship Id="rId7612" Type="http://schemas.openxmlformats.org/officeDocument/2006/relationships/hyperlink" Target="https://m.stock.naver.com/research/company/85627" TargetMode="External"/><Relationship Id="rId10940" Type="http://schemas.openxmlformats.org/officeDocument/2006/relationships/hyperlink" Target="https://m.stock.naver.com/research/company/82280" TargetMode="External"/><Relationship Id="rId5163" Type="http://schemas.openxmlformats.org/officeDocument/2006/relationships/hyperlink" Target="https://m.stock.naver.com/research/company/88077" TargetMode="External"/><Relationship Id="rId6214" Type="http://schemas.openxmlformats.org/officeDocument/2006/relationships/hyperlink" Target="https://m.stock.naver.com/research/company/87026" TargetMode="External"/><Relationship Id="rId9784" Type="http://schemas.openxmlformats.org/officeDocument/2006/relationships/hyperlink" Target="https://m.stock.naver.com/research/company/83438" TargetMode="External"/><Relationship Id="rId8386" Type="http://schemas.openxmlformats.org/officeDocument/2006/relationships/hyperlink" Target="https://m.stock.naver.com/research/company/84852" TargetMode="External"/><Relationship Id="rId9437" Type="http://schemas.openxmlformats.org/officeDocument/2006/relationships/hyperlink" Target="https://m.stock.naver.com/research/company/83790" TargetMode="External"/><Relationship Id="rId12765" Type="http://schemas.openxmlformats.org/officeDocument/2006/relationships/hyperlink" Target="https://m.stock.naver.com/research/company/80443" TargetMode="External"/><Relationship Id="rId13816" Type="http://schemas.openxmlformats.org/officeDocument/2006/relationships/hyperlink" Target="https://m.stock.naver.com/research/company/93562" TargetMode="External"/><Relationship Id="rId1773" Type="http://schemas.openxmlformats.org/officeDocument/2006/relationships/hyperlink" Target="https://m.stock.naver.com/research/company/91482" TargetMode="External"/><Relationship Id="rId2824" Type="http://schemas.openxmlformats.org/officeDocument/2006/relationships/hyperlink" Target="https://m.stock.naver.com/research/company/90429" TargetMode="External"/><Relationship Id="rId8039" Type="http://schemas.openxmlformats.org/officeDocument/2006/relationships/hyperlink" Target="https://m.stock.naver.com/research/company/85199" TargetMode="External"/><Relationship Id="rId11367" Type="http://schemas.openxmlformats.org/officeDocument/2006/relationships/hyperlink" Target="https://m.stock.naver.com/research/company/81848" TargetMode="External"/><Relationship Id="rId12418" Type="http://schemas.openxmlformats.org/officeDocument/2006/relationships/hyperlink" Target="https://m.stock.naver.com/research/company/80791" TargetMode="External"/><Relationship Id="rId1426" Type="http://schemas.openxmlformats.org/officeDocument/2006/relationships/hyperlink" Target="https://m.stock.naver.com/research/company/91829" TargetMode="External"/><Relationship Id="rId4996" Type="http://schemas.openxmlformats.org/officeDocument/2006/relationships/hyperlink" Target="https://m.stock.naver.com/research/company/88244" TargetMode="External"/><Relationship Id="rId3598" Type="http://schemas.openxmlformats.org/officeDocument/2006/relationships/hyperlink" Target="https://m.stock.naver.com/research/company/89653" TargetMode="External"/><Relationship Id="rId4649" Type="http://schemas.openxmlformats.org/officeDocument/2006/relationships/hyperlink" Target="https://m.stock.naver.com/research/company/88591" TargetMode="External"/><Relationship Id="rId8520" Type="http://schemas.openxmlformats.org/officeDocument/2006/relationships/hyperlink" Target="https://m.stock.naver.com/research/company/84717" TargetMode="External"/><Relationship Id="rId10450" Type="http://schemas.openxmlformats.org/officeDocument/2006/relationships/hyperlink" Target="https://m.stock.naver.com/research/company/82770" TargetMode="External"/><Relationship Id="rId11501" Type="http://schemas.openxmlformats.org/officeDocument/2006/relationships/hyperlink" Target="https://m.stock.naver.com/research/company/81714" TargetMode="External"/><Relationship Id="rId6071" Type="http://schemas.openxmlformats.org/officeDocument/2006/relationships/hyperlink" Target="https://m.stock.naver.com/research/company/87169" TargetMode="External"/><Relationship Id="rId7122" Type="http://schemas.openxmlformats.org/officeDocument/2006/relationships/hyperlink" Target="https://m.stock.naver.com/research/company/86117" TargetMode="External"/><Relationship Id="rId10103" Type="http://schemas.openxmlformats.org/officeDocument/2006/relationships/hyperlink" Target="https://m.stock.naver.com/research/company/83118" TargetMode="External"/><Relationship Id="rId2681" Type="http://schemas.openxmlformats.org/officeDocument/2006/relationships/hyperlink" Target="https://m.stock.naver.com/research/company/90573" TargetMode="External"/><Relationship Id="rId9294" Type="http://schemas.openxmlformats.org/officeDocument/2006/relationships/hyperlink" Target="https://m.stock.naver.com/research/company/83933" TargetMode="External"/><Relationship Id="rId12275" Type="http://schemas.openxmlformats.org/officeDocument/2006/relationships/hyperlink" Target="https://m.stock.naver.com/research/company/80934" TargetMode="External"/><Relationship Id="rId13673" Type="http://schemas.openxmlformats.org/officeDocument/2006/relationships/hyperlink" Target="https://m.stock.naver.com/research/company/79531" TargetMode="External"/><Relationship Id="rId14724" Type="http://schemas.openxmlformats.org/officeDocument/2006/relationships/hyperlink" Target="https://m.stock.naver.com/research/company/94676" TargetMode="External"/><Relationship Id="rId653" Type="http://schemas.openxmlformats.org/officeDocument/2006/relationships/hyperlink" Target="https://m.stock.naver.com/research/company/92803" TargetMode="External"/><Relationship Id="rId1283" Type="http://schemas.openxmlformats.org/officeDocument/2006/relationships/hyperlink" Target="https://m.stock.naver.com/research/company/91972" TargetMode="External"/><Relationship Id="rId2334" Type="http://schemas.openxmlformats.org/officeDocument/2006/relationships/hyperlink" Target="https://m.stock.naver.com/research/company/90921" TargetMode="External"/><Relationship Id="rId3732" Type="http://schemas.openxmlformats.org/officeDocument/2006/relationships/hyperlink" Target="https://m.stock.naver.com/research/company/89519" TargetMode="External"/><Relationship Id="rId13326" Type="http://schemas.openxmlformats.org/officeDocument/2006/relationships/hyperlink" Target="https://m.stock.naver.com/research/company/79879" TargetMode="External"/><Relationship Id="rId306" Type="http://schemas.openxmlformats.org/officeDocument/2006/relationships/hyperlink" Target="https://m.stock.naver.com/research/company/93152" TargetMode="External"/><Relationship Id="rId6955" Type="http://schemas.openxmlformats.org/officeDocument/2006/relationships/hyperlink" Target="https://m.stock.naver.com/research/company/86284" TargetMode="External"/><Relationship Id="rId15498" Type="http://schemas.openxmlformats.org/officeDocument/2006/relationships/hyperlink" Target="https://m.stock.naver.com/research/company/95289" TargetMode="External"/><Relationship Id="rId4159" Type="http://schemas.openxmlformats.org/officeDocument/2006/relationships/hyperlink" Target="https://m.stock.naver.com/research/company/89090" TargetMode="External"/><Relationship Id="rId5557" Type="http://schemas.openxmlformats.org/officeDocument/2006/relationships/hyperlink" Target="https://m.stock.naver.com/research/company/87683" TargetMode="External"/><Relationship Id="rId6608" Type="http://schemas.openxmlformats.org/officeDocument/2006/relationships/hyperlink" Target="https://m.stock.naver.com/research/company/86632" TargetMode="External"/><Relationship Id="rId8030" Type="http://schemas.openxmlformats.org/officeDocument/2006/relationships/hyperlink" Target="https://m.stock.naver.com/research/company/85208" TargetMode="External"/><Relationship Id="rId11011" Type="http://schemas.openxmlformats.org/officeDocument/2006/relationships/hyperlink" Target="https://m.stock.naver.com/research/company/82209" TargetMode="External"/><Relationship Id="rId14581" Type="http://schemas.openxmlformats.org/officeDocument/2006/relationships/hyperlink" Target="https://m.stock.naver.com/research/company/94329" TargetMode="External"/><Relationship Id="rId15632" Type="http://schemas.openxmlformats.org/officeDocument/2006/relationships/hyperlink" Target="https://m.stock.naver.com/research/company/95783" TargetMode="External"/><Relationship Id="rId4640" Type="http://schemas.openxmlformats.org/officeDocument/2006/relationships/hyperlink" Target="https://m.stock.naver.com/research/company/88600" TargetMode="External"/><Relationship Id="rId13183" Type="http://schemas.openxmlformats.org/officeDocument/2006/relationships/hyperlink" Target="https://m.stock.naver.com/research/company/80024" TargetMode="External"/><Relationship Id="rId14234" Type="http://schemas.openxmlformats.org/officeDocument/2006/relationships/hyperlink" Target="https://m.stock.naver.com/research/company/94109" TargetMode="External"/><Relationship Id="rId2191" Type="http://schemas.openxmlformats.org/officeDocument/2006/relationships/hyperlink" Target="https://m.stock.naver.com/research/company/91064" TargetMode="External"/><Relationship Id="rId3242" Type="http://schemas.openxmlformats.org/officeDocument/2006/relationships/hyperlink" Target="https://m.stock.naver.com/research/company/90008" TargetMode="External"/><Relationship Id="rId163" Type="http://schemas.openxmlformats.org/officeDocument/2006/relationships/hyperlink" Target="https://m.stock.naver.com/research/company/93295" TargetMode="External"/><Relationship Id="rId6465" Type="http://schemas.openxmlformats.org/officeDocument/2006/relationships/hyperlink" Target="https://m.stock.naver.com/research/company/86775" TargetMode="External"/><Relationship Id="rId7516" Type="http://schemas.openxmlformats.org/officeDocument/2006/relationships/hyperlink" Target="https://m.stock.naver.com/research/company/85723" TargetMode="External"/><Relationship Id="rId7863" Type="http://schemas.openxmlformats.org/officeDocument/2006/relationships/hyperlink" Target="https://m.stock.naver.com/research/company/85375" TargetMode="External"/><Relationship Id="rId8914" Type="http://schemas.openxmlformats.org/officeDocument/2006/relationships/hyperlink" Target="https://m.stock.naver.com/research/company/84322" TargetMode="External"/><Relationship Id="rId10844" Type="http://schemas.openxmlformats.org/officeDocument/2006/relationships/hyperlink" Target="https://m.stock.naver.com/research/company/82376" TargetMode="External"/><Relationship Id="rId5067" Type="http://schemas.openxmlformats.org/officeDocument/2006/relationships/hyperlink" Target="https://m.stock.naver.com/research/company/88173" TargetMode="External"/><Relationship Id="rId6118" Type="http://schemas.openxmlformats.org/officeDocument/2006/relationships/hyperlink" Target="https://m.stock.naver.com/research/company/87122" TargetMode="External"/><Relationship Id="rId9688" Type="http://schemas.openxmlformats.org/officeDocument/2006/relationships/hyperlink" Target="https://m.stock.naver.com/research/company/83535" TargetMode="External"/><Relationship Id="rId12669" Type="http://schemas.openxmlformats.org/officeDocument/2006/relationships/hyperlink" Target="https://m.stock.naver.com/research/company/80539" TargetMode="External"/><Relationship Id="rId1677" Type="http://schemas.openxmlformats.org/officeDocument/2006/relationships/hyperlink" Target="https://m.stock.naver.com/research/company/91578" TargetMode="External"/><Relationship Id="rId2728" Type="http://schemas.openxmlformats.org/officeDocument/2006/relationships/hyperlink" Target="https://m.stock.naver.com/research/company/90526" TargetMode="External"/><Relationship Id="rId14091" Type="http://schemas.openxmlformats.org/officeDocument/2006/relationships/hyperlink" Target="https://m.stock.naver.com/research/company/93911" TargetMode="External"/><Relationship Id="rId15142" Type="http://schemas.openxmlformats.org/officeDocument/2006/relationships/hyperlink" Target="https://m.stock.naver.com/research/company/94952" TargetMode="External"/><Relationship Id="rId4150" Type="http://schemas.openxmlformats.org/officeDocument/2006/relationships/hyperlink" Target="https://m.stock.naver.com/research/company/89101" TargetMode="External"/><Relationship Id="rId5201" Type="http://schemas.openxmlformats.org/officeDocument/2006/relationships/hyperlink" Target="https://m.stock.naver.com/research/company/88039" TargetMode="External"/><Relationship Id="rId8771" Type="http://schemas.openxmlformats.org/officeDocument/2006/relationships/hyperlink" Target="https://m.stock.naver.com/research/company/84466" TargetMode="External"/><Relationship Id="rId9822" Type="http://schemas.openxmlformats.org/officeDocument/2006/relationships/hyperlink" Target="https://m.stock.naver.com/research/company/83400" TargetMode="External"/><Relationship Id="rId36" Type="http://schemas.openxmlformats.org/officeDocument/2006/relationships/hyperlink" Target="https://m.stock.naver.com/research/company/93422" TargetMode="External"/><Relationship Id="rId7373" Type="http://schemas.openxmlformats.org/officeDocument/2006/relationships/hyperlink" Target="https://m.stock.naver.com/research/company/85866" TargetMode="External"/><Relationship Id="rId8424" Type="http://schemas.openxmlformats.org/officeDocument/2006/relationships/hyperlink" Target="https://m.stock.naver.com/research/company/84814" TargetMode="External"/><Relationship Id="rId10354" Type="http://schemas.openxmlformats.org/officeDocument/2006/relationships/hyperlink" Target="https://m.stock.naver.com/research/company/82867" TargetMode="External"/><Relationship Id="rId11752" Type="http://schemas.openxmlformats.org/officeDocument/2006/relationships/hyperlink" Target="https://m.stock.naver.com/research/company/81460" TargetMode="External"/><Relationship Id="rId12803" Type="http://schemas.openxmlformats.org/officeDocument/2006/relationships/hyperlink" Target="https://m.stock.naver.com/research/company/80405" TargetMode="External"/><Relationship Id="rId1811" Type="http://schemas.openxmlformats.org/officeDocument/2006/relationships/hyperlink" Target="https://m.stock.naver.com/research/company/91444" TargetMode="External"/><Relationship Id="rId7026" Type="http://schemas.openxmlformats.org/officeDocument/2006/relationships/hyperlink" Target="https://m.stock.naver.com/research/company/86213" TargetMode="External"/><Relationship Id="rId10007" Type="http://schemas.openxmlformats.org/officeDocument/2006/relationships/hyperlink" Target="https://m.stock.naver.com/research/company/83214" TargetMode="External"/><Relationship Id="rId11405" Type="http://schemas.openxmlformats.org/officeDocument/2006/relationships/hyperlink" Target="https://m.stock.naver.com/research/company/81810" TargetMode="External"/><Relationship Id="rId14975" Type="http://schemas.openxmlformats.org/officeDocument/2006/relationships/hyperlink" Target="https://m.stock.naver.com/research/company/94859" TargetMode="External"/><Relationship Id="rId3983" Type="http://schemas.openxmlformats.org/officeDocument/2006/relationships/hyperlink" Target="https://m.stock.naver.com/research/company/89268" TargetMode="External"/><Relationship Id="rId9198" Type="http://schemas.openxmlformats.org/officeDocument/2006/relationships/hyperlink" Target="https://m.stock.naver.com/research/company/84032" TargetMode="External"/><Relationship Id="rId13577" Type="http://schemas.openxmlformats.org/officeDocument/2006/relationships/hyperlink" Target="https://m.stock.naver.com/research/company/79627" TargetMode="External"/><Relationship Id="rId14628" Type="http://schemas.openxmlformats.org/officeDocument/2006/relationships/hyperlink" Target="https://m.stock.naver.com/research/company/94549" TargetMode="External"/><Relationship Id="rId1187" Type="http://schemas.openxmlformats.org/officeDocument/2006/relationships/hyperlink" Target="https://m.stock.naver.com/research/company/92068" TargetMode="External"/><Relationship Id="rId2585" Type="http://schemas.openxmlformats.org/officeDocument/2006/relationships/hyperlink" Target="https://m.stock.naver.com/research/company/90669" TargetMode="External"/><Relationship Id="rId3636" Type="http://schemas.openxmlformats.org/officeDocument/2006/relationships/hyperlink" Target="https://m.stock.naver.com/research/company/89615" TargetMode="External"/><Relationship Id="rId12179" Type="http://schemas.openxmlformats.org/officeDocument/2006/relationships/hyperlink" Target="https://m.stock.naver.com/research/company/81032" TargetMode="External"/><Relationship Id="rId557" Type="http://schemas.openxmlformats.org/officeDocument/2006/relationships/hyperlink" Target="https://m.stock.naver.com/research/company/92900" TargetMode="External"/><Relationship Id="rId2238" Type="http://schemas.openxmlformats.org/officeDocument/2006/relationships/hyperlink" Target="https://m.stock.naver.com/research/company/91017" TargetMode="External"/><Relationship Id="rId6859" Type="http://schemas.openxmlformats.org/officeDocument/2006/relationships/hyperlink" Target="https://m.stock.naver.com/research/company/86381" TargetMode="External"/><Relationship Id="rId12660" Type="http://schemas.openxmlformats.org/officeDocument/2006/relationships/hyperlink" Target="https://m.stock.naver.com/research/company/80548" TargetMode="External"/><Relationship Id="rId13711" Type="http://schemas.openxmlformats.org/officeDocument/2006/relationships/hyperlink" Target="https://m.stock.naver.com/research/company/93463" TargetMode="External"/><Relationship Id="rId8281" Type="http://schemas.openxmlformats.org/officeDocument/2006/relationships/hyperlink" Target="https://m.stock.naver.com/research/company/84957" TargetMode="External"/><Relationship Id="rId9332" Type="http://schemas.openxmlformats.org/officeDocument/2006/relationships/hyperlink" Target="https://m.stock.naver.com/research/company/83895" TargetMode="External"/><Relationship Id="rId11262" Type="http://schemas.openxmlformats.org/officeDocument/2006/relationships/hyperlink" Target="https://m.stock.naver.com/research/company/81957" TargetMode="External"/><Relationship Id="rId12313" Type="http://schemas.openxmlformats.org/officeDocument/2006/relationships/hyperlink" Target="https://m.stock.naver.com/research/company/80896" TargetMode="External"/><Relationship Id="rId1321" Type="http://schemas.openxmlformats.org/officeDocument/2006/relationships/hyperlink" Target="https://m.stock.naver.com/research/company/91934" TargetMode="External"/><Relationship Id="rId4891" Type="http://schemas.openxmlformats.org/officeDocument/2006/relationships/hyperlink" Target="https://m.stock.naver.com/research/company/88349" TargetMode="External"/><Relationship Id="rId14485" Type="http://schemas.openxmlformats.org/officeDocument/2006/relationships/hyperlink" Target="https://m.stock.naver.com/research/company/94425" TargetMode="External"/><Relationship Id="rId3493" Type="http://schemas.openxmlformats.org/officeDocument/2006/relationships/hyperlink" Target="https://m.stock.naver.com/research/company/89758" TargetMode="External"/><Relationship Id="rId4544" Type="http://schemas.openxmlformats.org/officeDocument/2006/relationships/hyperlink" Target="https://m.stock.naver.com/research/company/88696" TargetMode="External"/><Relationship Id="rId5942" Type="http://schemas.openxmlformats.org/officeDocument/2006/relationships/hyperlink" Target="https://m.stock.naver.com/research/company/87298" TargetMode="External"/><Relationship Id="rId13087" Type="http://schemas.openxmlformats.org/officeDocument/2006/relationships/hyperlink" Target="https://m.stock.naver.com/research/company/80120" TargetMode="External"/><Relationship Id="rId14138" Type="http://schemas.openxmlformats.org/officeDocument/2006/relationships/hyperlink" Target="https://m.stock.naver.com/research/company/93990" TargetMode="External"/><Relationship Id="rId15536" Type="http://schemas.openxmlformats.org/officeDocument/2006/relationships/hyperlink" Target="https://m.stock.naver.com/research/company/95500" TargetMode="External"/><Relationship Id="rId2095" Type="http://schemas.openxmlformats.org/officeDocument/2006/relationships/hyperlink" Target="https://m.stock.naver.com/research/company/91160" TargetMode="External"/><Relationship Id="rId3146" Type="http://schemas.openxmlformats.org/officeDocument/2006/relationships/hyperlink" Target="https://m.stock.naver.com/research/company/90105" TargetMode="External"/><Relationship Id="rId6369" Type="http://schemas.openxmlformats.org/officeDocument/2006/relationships/hyperlink" Target="https://m.stock.naver.com/research/company/86871" TargetMode="External"/><Relationship Id="rId7767" Type="http://schemas.openxmlformats.org/officeDocument/2006/relationships/hyperlink" Target="https://m.stock.naver.com/research/company/85472" TargetMode="External"/><Relationship Id="rId8818" Type="http://schemas.openxmlformats.org/officeDocument/2006/relationships/hyperlink" Target="https://m.stock.naver.com/research/company/84419" TargetMode="External"/><Relationship Id="rId10748" Type="http://schemas.openxmlformats.org/officeDocument/2006/relationships/hyperlink" Target="https://m.stock.naver.com/research/company/82472" TargetMode="External"/><Relationship Id="rId12170" Type="http://schemas.openxmlformats.org/officeDocument/2006/relationships/hyperlink" Target="https://m.stock.naver.com/research/company/81041" TargetMode="External"/><Relationship Id="rId13221" Type="http://schemas.openxmlformats.org/officeDocument/2006/relationships/hyperlink" Target="https://m.stock.naver.com/research/company/79986" TargetMode="External"/><Relationship Id="rId2979" Type="http://schemas.openxmlformats.org/officeDocument/2006/relationships/hyperlink" Target="https://m.stock.naver.com/research/company/90274" TargetMode="External"/><Relationship Id="rId6850" Type="http://schemas.openxmlformats.org/officeDocument/2006/relationships/hyperlink" Target="https://m.stock.naver.com/research/company/86390" TargetMode="External"/><Relationship Id="rId7901" Type="http://schemas.openxmlformats.org/officeDocument/2006/relationships/hyperlink" Target="https://m.stock.naver.com/research/company/85337" TargetMode="External"/><Relationship Id="rId15393" Type="http://schemas.openxmlformats.org/officeDocument/2006/relationships/hyperlink" Target="https://m.stock.naver.com/research/company/95394" TargetMode="External"/><Relationship Id="rId201" Type="http://schemas.openxmlformats.org/officeDocument/2006/relationships/hyperlink" Target="https://m.stock.naver.com/research/company/93257" TargetMode="External"/><Relationship Id="rId5452" Type="http://schemas.openxmlformats.org/officeDocument/2006/relationships/hyperlink" Target="https://m.stock.naver.com/research/company/87788" TargetMode="External"/><Relationship Id="rId6503" Type="http://schemas.openxmlformats.org/officeDocument/2006/relationships/hyperlink" Target="https://m.stock.naver.com/research/company/86737" TargetMode="External"/><Relationship Id="rId15046" Type="http://schemas.openxmlformats.org/officeDocument/2006/relationships/hyperlink" Target="https://m.stock.naver.com/research/company/95048" TargetMode="External"/><Relationship Id="rId4054" Type="http://schemas.openxmlformats.org/officeDocument/2006/relationships/hyperlink" Target="https://m.stock.naver.com/research/company/89197" TargetMode="External"/><Relationship Id="rId5105" Type="http://schemas.openxmlformats.org/officeDocument/2006/relationships/hyperlink" Target="https://m.stock.naver.com/research/company/88135" TargetMode="External"/><Relationship Id="rId8675" Type="http://schemas.openxmlformats.org/officeDocument/2006/relationships/hyperlink" Target="https://m.stock.naver.com/research/company/84562" TargetMode="External"/><Relationship Id="rId9726" Type="http://schemas.openxmlformats.org/officeDocument/2006/relationships/hyperlink" Target="https://m.stock.naver.com/research/company/83497" TargetMode="External"/><Relationship Id="rId7277" Type="http://schemas.openxmlformats.org/officeDocument/2006/relationships/hyperlink" Target="https://m.stock.naver.com/research/company/85962" TargetMode="External"/><Relationship Id="rId8328" Type="http://schemas.openxmlformats.org/officeDocument/2006/relationships/hyperlink" Target="https://m.stock.naver.com/research/company/84910" TargetMode="External"/><Relationship Id="rId11656" Type="http://schemas.openxmlformats.org/officeDocument/2006/relationships/hyperlink" Target="https://m.stock.naver.com/research/company/81556" TargetMode="External"/><Relationship Id="rId12707" Type="http://schemas.openxmlformats.org/officeDocument/2006/relationships/hyperlink" Target="https://m.stock.naver.com/research/company/80501" TargetMode="External"/><Relationship Id="rId1715" Type="http://schemas.openxmlformats.org/officeDocument/2006/relationships/hyperlink" Target="https://m.stock.naver.com/research/company/91540" TargetMode="External"/><Relationship Id="rId10258" Type="http://schemas.openxmlformats.org/officeDocument/2006/relationships/hyperlink" Target="https://m.stock.naver.com/research/company/82963" TargetMode="External"/><Relationship Id="rId11309" Type="http://schemas.openxmlformats.org/officeDocument/2006/relationships/hyperlink" Target="https://m.stock.naver.com/research/company/81910" TargetMode="External"/><Relationship Id="rId14879" Type="http://schemas.openxmlformats.org/officeDocument/2006/relationships/hyperlink" Target="https://m.stock.naver.com/research/company/94745" TargetMode="External"/><Relationship Id="rId3887" Type="http://schemas.openxmlformats.org/officeDocument/2006/relationships/hyperlink" Target="https://m.stock.naver.com/research/company/89364" TargetMode="External"/><Relationship Id="rId4938" Type="http://schemas.openxmlformats.org/officeDocument/2006/relationships/hyperlink" Target="https://m.stock.naver.com/research/company/88302" TargetMode="External"/><Relationship Id="rId2489" Type="http://schemas.openxmlformats.org/officeDocument/2006/relationships/hyperlink" Target="https://m.stock.naver.com/research/company/90765" TargetMode="External"/><Relationship Id="rId6360" Type="http://schemas.openxmlformats.org/officeDocument/2006/relationships/hyperlink" Target="https://m.stock.naver.com/research/company/86880" TargetMode="External"/><Relationship Id="rId7411" Type="http://schemas.openxmlformats.org/officeDocument/2006/relationships/hyperlink" Target="https://m.stock.naver.com/research/company/85828" TargetMode="External"/><Relationship Id="rId2970" Type="http://schemas.openxmlformats.org/officeDocument/2006/relationships/hyperlink" Target="https://m.stock.naver.com/research/company/90283" TargetMode="External"/><Relationship Id="rId6013" Type="http://schemas.openxmlformats.org/officeDocument/2006/relationships/hyperlink" Target="https://m.stock.naver.com/research/company/87227" TargetMode="External"/><Relationship Id="rId9583" Type="http://schemas.openxmlformats.org/officeDocument/2006/relationships/hyperlink" Target="https://m.stock.naver.com/research/company/83644" TargetMode="External"/><Relationship Id="rId12564" Type="http://schemas.openxmlformats.org/officeDocument/2006/relationships/hyperlink" Target="https://m.stock.naver.com/research/company/80644" TargetMode="External"/><Relationship Id="rId13962" Type="http://schemas.openxmlformats.org/officeDocument/2006/relationships/hyperlink" Target="https://m.stock.naver.com/research/company/93770" TargetMode="External"/><Relationship Id="rId942" Type="http://schemas.openxmlformats.org/officeDocument/2006/relationships/hyperlink" Target="https://m.stock.naver.com/research/company/92514" TargetMode="External"/><Relationship Id="rId1572" Type="http://schemas.openxmlformats.org/officeDocument/2006/relationships/hyperlink" Target="https://m.stock.naver.com/research/company/91683" TargetMode="External"/><Relationship Id="rId2623" Type="http://schemas.openxmlformats.org/officeDocument/2006/relationships/hyperlink" Target="https://m.stock.naver.com/research/company/90631" TargetMode="External"/><Relationship Id="rId8185" Type="http://schemas.openxmlformats.org/officeDocument/2006/relationships/hyperlink" Target="https://m.stock.naver.com/research/company/85053" TargetMode="External"/><Relationship Id="rId9236" Type="http://schemas.openxmlformats.org/officeDocument/2006/relationships/hyperlink" Target="https://m.stock.naver.com/research/company/83993" TargetMode="External"/><Relationship Id="rId11166" Type="http://schemas.openxmlformats.org/officeDocument/2006/relationships/hyperlink" Target="https://m.stock.naver.com/research/company/82054" TargetMode="External"/><Relationship Id="rId12217" Type="http://schemas.openxmlformats.org/officeDocument/2006/relationships/hyperlink" Target="https://m.stock.naver.com/research/company/80993" TargetMode="External"/><Relationship Id="rId13615" Type="http://schemas.openxmlformats.org/officeDocument/2006/relationships/hyperlink" Target="https://m.stock.naver.com/research/company/79589" TargetMode="External"/><Relationship Id="rId1225" Type="http://schemas.openxmlformats.org/officeDocument/2006/relationships/hyperlink" Target="https://m.stock.naver.com/research/company/92030" TargetMode="External"/><Relationship Id="rId3397" Type="http://schemas.openxmlformats.org/officeDocument/2006/relationships/hyperlink" Target="https://m.stock.naver.com/research/company/89854" TargetMode="External"/><Relationship Id="rId4795" Type="http://schemas.openxmlformats.org/officeDocument/2006/relationships/hyperlink" Target="https://m.stock.naver.com/research/company/88445" TargetMode="External"/><Relationship Id="rId5846" Type="http://schemas.openxmlformats.org/officeDocument/2006/relationships/hyperlink" Target="https://m.stock.naver.com/research/company/87394" TargetMode="External"/><Relationship Id="rId14389" Type="http://schemas.openxmlformats.org/officeDocument/2006/relationships/hyperlink" Target="https://m.stock.naver.com/research/company/94255" TargetMode="External"/><Relationship Id="rId4448" Type="http://schemas.openxmlformats.org/officeDocument/2006/relationships/hyperlink" Target="https://m.stock.naver.com/research/company/88792" TargetMode="External"/><Relationship Id="rId10999" Type="http://schemas.openxmlformats.org/officeDocument/2006/relationships/hyperlink" Target="https://m.stock.naver.com/research/company/82221" TargetMode="External"/><Relationship Id="rId11300" Type="http://schemas.openxmlformats.org/officeDocument/2006/relationships/hyperlink" Target="https://m.stock.naver.com/research/company/81919" TargetMode="External"/><Relationship Id="rId14870" Type="http://schemas.openxmlformats.org/officeDocument/2006/relationships/hyperlink" Target="https://m.stock.naver.com/research/company/94754" TargetMode="External"/><Relationship Id="rId13472" Type="http://schemas.openxmlformats.org/officeDocument/2006/relationships/hyperlink" Target="https://m.stock.naver.com/research/company/79732" TargetMode="External"/><Relationship Id="rId14523" Type="http://schemas.openxmlformats.org/officeDocument/2006/relationships/hyperlink" Target="https://m.stock.naver.com/research/company/94387" TargetMode="External"/><Relationship Id="rId2480" Type="http://schemas.openxmlformats.org/officeDocument/2006/relationships/hyperlink" Target="https://m.stock.naver.com/research/company/90774" TargetMode="External"/><Relationship Id="rId3531" Type="http://schemas.openxmlformats.org/officeDocument/2006/relationships/hyperlink" Target="https://m.stock.naver.com/research/company/89720" TargetMode="External"/><Relationship Id="rId9093" Type="http://schemas.openxmlformats.org/officeDocument/2006/relationships/hyperlink" Target="https://m.stock.naver.com/research/company/84137" TargetMode="External"/><Relationship Id="rId12074" Type="http://schemas.openxmlformats.org/officeDocument/2006/relationships/hyperlink" Target="https://m.stock.naver.com/research/company/81137" TargetMode="External"/><Relationship Id="rId13125" Type="http://schemas.openxmlformats.org/officeDocument/2006/relationships/hyperlink" Target="https://m.stock.naver.com/research/company/80082" TargetMode="External"/><Relationship Id="rId452" Type="http://schemas.openxmlformats.org/officeDocument/2006/relationships/hyperlink" Target="https://m.stock.naver.com/research/company/93005" TargetMode="External"/><Relationship Id="rId1082" Type="http://schemas.openxmlformats.org/officeDocument/2006/relationships/hyperlink" Target="https://m.stock.naver.com/research/company/92174" TargetMode="External"/><Relationship Id="rId2133" Type="http://schemas.openxmlformats.org/officeDocument/2006/relationships/hyperlink" Target="https://m.stock.naver.com/research/company/91122" TargetMode="External"/><Relationship Id="rId6754" Type="http://schemas.openxmlformats.org/officeDocument/2006/relationships/hyperlink" Target="https://m.stock.naver.com/research/company/86486" TargetMode="External"/><Relationship Id="rId7805" Type="http://schemas.openxmlformats.org/officeDocument/2006/relationships/hyperlink" Target="https://m.stock.naver.com/research/company/85433" TargetMode="External"/><Relationship Id="rId15297" Type="http://schemas.openxmlformats.org/officeDocument/2006/relationships/hyperlink" Target="https://m.stock.naver.com/research/company/95063" TargetMode="External"/><Relationship Id="rId105" Type="http://schemas.openxmlformats.org/officeDocument/2006/relationships/hyperlink" Target="https://m.stock.naver.com/research/company/93353" TargetMode="External"/><Relationship Id="rId5356" Type="http://schemas.openxmlformats.org/officeDocument/2006/relationships/hyperlink" Target="https://m.stock.naver.com/research/company/87884" TargetMode="External"/><Relationship Id="rId6407" Type="http://schemas.openxmlformats.org/officeDocument/2006/relationships/hyperlink" Target="https://m.stock.naver.com/research/company/86833" TargetMode="External"/><Relationship Id="rId5009" Type="http://schemas.openxmlformats.org/officeDocument/2006/relationships/hyperlink" Target="https://m.stock.naver.com/research/company/88231" TargetMode="External"/><Relationship Id="rId8579" Type="http://schemas.openxmlformats.org/officeDocument/2006/relationships/hyperlink" Target="https://m.stock.naver.com/research/company/84658" TargetMode="External"/><Relationship Id="rId9977" Type="http://schemas.openxmlformats.org/officeDocument/2006/relationships/hyperlink" Target="https://m.stock.naver.com/research/company/83244" TargetMode="External"/><Relationship Id="rId12958" Type="http://schemas.openxmlformats.org/officeDocument/2006/relationships/hyperlink" Target="https://m.stock.naver.com/research/company/80250" TargetMode="External"/><Relationship Id="rId1966" Type="http://schemas.openxmlformats.org/officeDocument/2006/relationships/hyperlink" Target="https://m.stock.naver.com/research/company/91289" TargetMode="External"/><Relationship Id="rId14380" Type="http://schemas.openxmlformats.org/officeDocument/2006/relationships/hyperlink" Target="https://m.stock.naver.com/research/company/94232" TargetMode="External"/><Relationship Id="rId15431" Type="http://schemas.openxmlformats.org/officeDocument/2006/relationships/hyperlink" Target="https://m.stock.naver.com/research/company/95356" TargetMode="External"/><Relationship Id="rId1619" Type="http://schemas.openxmlformats.org/officeDocument/2006/relationships/hyperlink" Target="https://m.stock.naver.com/research/company/91636" TargetMode="External"/><Relationship Id="rId14033" Type="http://schemas.openxmlformats.org/officeDocument/2006/relationships/hyperlink" Target="https://m.stock.naver.com/research/company/93814" TargetMode="External"/><Relationship Id="rId3041" Type="http://schemas.openxmlformats.org/officeDocument/2006/relationships/hyperlink" Target="https://m.stock.naver.com/research/company/90210" TargetMode="External"/><Relationship Id="rId7662" Type="http://schemas.openxmlformats.org/officeDocument/2006/relationships/hyperlink" Target="https://m.stock.naver.com/research/company/85577" TargetMode="External"/><Relationship Id="rId8713" Type="http://schemas.openxmlformats.org/officeDocument/2006/relationships/hyperlink" Target="https://m.stock.naver.com/research/company/84524" TargetMode="External"/><Relationship Id="rId10643" Type="http://schemas.openxmlformats.org/officeDocument/2006/relationships/hyperlink" Target="https://m.stock.naver.com/research/company/82577" TargetMode="External"/><Relationship Id="rId10990" Type="http://schemas.openxmlformats.org/officeDocument/2006/relationships/hyperlink" Target="https://m.stock.naver.com/research/company/82230" TargetMode="External"/><Relationship Id="rId6264" Type="http://schemas.openxmlformats.org/officeDocument/2006/relationships/hyperlink" Target="https://m.stock.naver.com/research/company/86976" TargetMode="External"/><Relationship Id="rId7315" Type="http://schemas.openxmlformats.org/officeDocument/2006/relationships/hyperlink" Target="https://m.stock.naver.com/research/company/85924" TargetMode="External"/><Relationship Id="rId9487" Type="http://schemas.openxmlformats.org/officeDocument/2006/relationships/hyperlink" Target="https://m.stock.naver.com/research/company/83740" TargetMode="External"/><Relationship Id="rId13866" Type="http://schemas.openxmlformats.org/officeDocument/2006/relationships/hyperlink" Target="https://m.stock.naver.com/research/company/93661" TargetMode="External"/><Relationship Id="rId14917" Type="http://schemas.openxmlformats.org/officeDocument/2006/relationships/hyperlink" Target="https://m.stock.naver.com/research/company/94917" TargetMode="External"/><Relationship Id="rId1476" Type="http://schemas.openxmlformats.org/officeDocument/2006/relationships/hyperlink" Target="https://m.stock.naver.com/research/company/91779" TargetMode="External"/><Relationship Id="rId2874" Type="http://schemas.openxmlformats.org/officeDocument/2006/relationships/hyperlink" Target="https://m.stock.naver.com/research/company/90379" TargetMode="External"/><Relationship Id="rId3925" Type="http://schemas.openxmlformats.org/officeDocument/2006/relationships/hyperlink" Target="https://m.stock.naver.com/research/company/89326" TargetMode="External"/><Relationship Id="rId8089" Type="http://schemas.openxmlformats.org/officeDocument/2006/relationships/hyperlink" Target="https://m.stock.naver.com/research/company/85149" TargetMode="External"/><Relationship Id="rId12468" Type="http://schemas.openxmlformats.org/officeDocument/2006/relationships/hyperlink" Target="https://m.stock.naver.com/research/company/80740" TargetMode="External"/><Relationship Id="rId13519" Type="http://schemas.openxmlformats.org/officeDocument/2006/relationships/hyperlink" Target="https://m.stock.naver.com/research/company/79685" TargetMode="External"/><Relationship Id="rId846" Type="http://schemas.openxmlformats.org/officeDocument/2006/relationships/hyperlink" Target="https://m.stock.naver.com/research/company/92610" TargetMode="External"/><Relationship Id="rId1129" Type="http://schemas.openxmlformats.org/officeDocument/2006/relationships/hyperlink" Target="https://m.stock.naver.com/research/company/92126" TargetMode="External"/><Relationship Id="rId2527" Type="http://schemas.openxmlformats.org/officeDocument/2006/relationships/hyperlink" Target="https://m.stock.naver.com/research/company/90727" TargetMode="External"/><Relationship Id="rId5000" Type="http://schemas.openxmlformats.org/officeDocument/2006/relationships/hyperlink" Target="https://m.stock.naver.com/research/company/88240" TargetMode="External"/><Relationship Id="rId4699" Type="http://schemas.openxmlformats.org/officeDocument/2006/relationships/hyperlink" Target="https://m.stock.naver.com/research/company/88541" TargetMode="External"/><Relationship Id="rId8570" Type="http://schemas.openxmlformats.org/officeDocument/2006/relationships/hyperlink" Target="https://m.stock.naver.com/research/company/84667" TargetMode="External"/><Relationship Id="rId9621" Type="http://schemas.openxmlformats.org/officeDocument/2006/relationships/hyperlink" Target="https://m.stock.naver.com/research/company/83604" TargetMode="External"/><Relationship Id="rId11551" Type="http://schemas.openxmlformats.org/officeDocument/2006/relationships/hyperlink" Target="https://m.stock.naver.com/research/company/81663" TargetMode="External"/><Relationship Id="rId12602" Type="http://schemas.openxmlformats.org/officeDocument/2006/relationships/hyperlink" Target="https://m.stock.naver.com/research/company/80606" TargetMode="External"/><Relationship Id="rId1610" Type="http://schemas.openxmlformats.org/officeDocument/2006/relationships/hyperlink" Target="https://m.stock.naver.com/research/company/91645" TargetMode="External"/><Relationship Id="rId7172" Type="http://schemas.openxmlformats.org/officeDocument/2006/relationships/hyperlink" Target="https://m.stock.naver.com/research/company/86067" TargetMode="External"/><Relationship Id="rId8223" Type="http://schemas.openxmlformats.org/officeDocument/2006/relationships/hyperlink" Target="https://m.stock.naver.com/research/company/85015" TargetMode="External"/><Relationship Id="rId10153" Type="http://schemas.openxmlformats.org/officeDocument/2006/relationships/hyperlink" Target="https://m.stock.naver.com/research/company/83068" TargetMode="External"/><Relationship Id="rId11204" Type="http://schemas.openxmlformats.org/officeDocument/2006/relationships/hyperlink" Target="https://m.stock.naver.com/research/company/82016" TargetMode="External"/><Relationship Id="rId14774" Type="http://schemas.openxmlformats.org/officeDocument/2006/relationships/hyperlink" Target="https://m.stock.naver.com/research/company/94626" TargetMode="External"/><Relationship Id="rId3782" Type="http://schemas.openxmlformats.org/officeDocument/2006/relationships/hyperlink" Target="https://m.stock.naver.com/research/company/89469" TargetMode="External"/><Relationship Id="rId4833" Type="http://schemas.openxmlformats.org/officeDocument/2006/relationships/hyperlink" Target="https://m.stock.naver.com/research/company/88407" TargetMode="External"/><Relationship Id="rId13376" Type="http://schemas.openxmlformats.org/officeDocument/2006/relationships/hyperlink" Target="https://m.stock.naver.com/research/company/79829" TargetMode="External"/><Relationship Id="rId14427" Type="http://schemas.openxmlformats.org/officeDocument/2006/relationships/hyperlink" Target="https://m.stock.naver.com/research/company/94484" TargetMode="External"/><Relationship Id="rId2384" Type="http://schemas.openxmlformats.org/officeDocument/2006/relationships/hyperlink" Target="https://m.stock.naver.com/research/company/90870" TargetMode="External"/><Relationship Id="rId3435" Type="http://schemas.openxmlformats.org/officeDocument/2006/relationships/hyperlink" Target="https://m.stock.naver.com/research/company/89816" TargetMode="External"/><Relationship Id="rId13029" Type="http://schemas.openxmlformats.org/officeDocument/2006/relationships/hyperlink" Target="https://m.stock.naver.com/research/company/80178" TargetMode="External"/><Relationship Id="rId356" Type="http://schemas.openxmlformats.org/officeDocument/2006/relationships/hyperlink" Target="https://m.stock.naver.com/research/company/93102" TargetMode="External"/><Relationship Id="rId2037" Type="http://schemas.openxmlformats.org/officeDocument/2006/relationships/hyperlink" Target="https://m.stock.naver.com/research/company/91218" TargetMode="External"/><Relationship Id="rId6658" Type="http://schemas.openxmlformats.org/officeDocument/2006/relationships/hyperlink" Target="https://m.stock.naver.com/research/company/86582" TargetMode="External"/><Relationship Id="rId7709" Type="http://schemas.openxmlformats.org/officeDocument/2006/relationships/hyperlink" Target="https://m.stock.naver.com/research/company/85530" TargetMode="External"/><Relationship Id="rId8080" Type="http://schemas.openxmlformats.org/officeDocument/2006/relationships/hyperlink" Target="https://m.stock.naver.com/research/company/85158" TargetMode="External"/><Relationship Id="rId9131" Type="http://schemas.openxmlformats.org/officeDocument/2006/relationships/hyperlink" Target="https://m.stock.naver.com/research/company/84099" TargetMode="External"/><Relationship Id="rId13510" Type="http://schemas.openxmlformats.org/officeDocument/2006/relationships/hyperlink" Target="https://m.stock.naver.com/research/company/79694" TargetMode="External"/><Relationship Id="rId11061" Type="http://schemas.openxmlformats.org/officeDocument/2006/relationships/hyperlink" Target="https://m.stock.naver.com/research/company/82159" TargetMode="External"/><Relationship Id="rId12112" Type="http://schemas.openxmlformats.org/officeDocument/2006/relationships/hyperlink" Target="https://m.stock.naver.com/research/company/81099" TargetMode="External"/><Relationship Id="rId15682" Type="http://schemas.openxmlformats.org/officeDocument/2006/relationships/hyperlink" Target="https://m.stock.naver.com/research/company/95732" TargetMode="External"/><Relationship Id="rId1120" Type="http://schemas.openxmlformats.org/officeDocument/2006/relationships/hyperlink" Target="https://m.stock.naver.com/research/company/92135" TargetMode="External"/><Relationship Id="rId4690" Type="http://schemas.openxmlformats.org/officeDocument/2006/relationships/hyperlink" Target="https://m.stock.naver.com/research/company/88550" TargetMode="External"/><Relationship Id="rId5741" Type="http://schemas.openxmlformats.org/officeDocument/2006/relationships/hyperlink" Target="https://m.stock.naver.com/research/company/87499" TargetMode="External"/><Relationship Id="rId14284" Type="http://schemas.openxmlformats.org/officeDocument/2006/relationships/hyperlink" Target="https://m.stock.naver.com/research/company/94180" TargetMode="External"/><Relationship Id="rId15335" Type="http://schemas.openxmlformats.org/officeDocument/2006/relationships/hyperlink" Target="https://m.stock.naver.com/research/company/95253" TargetMode="External"/><Relationship Id="rId3292" Type="http://schemas.openxmlformats.org/officeDocument/2006/relationships/hyperlink" Target="https://m.stock.naver.com/research/company/89958" TargetMode="External"/><Relationship Id="rId4343" Type="http://schemas.openxmlformats.org/officeDocument/2006/relationships/hyperlink" Target="https://m.stock.naver.com/research/company/88898" TargetMode="External"/><Relationship Id="rId8964" Type="http://schemas.openxmlformats.org/officeDocument/2006/relationships/hyperlink" Target="https://m.stock.naver.com/research/company/84268" TargetMode="External"/><Relationship Id="rId7566" Type="http://schemas.openxmlformats.org/officeDocument/2006/relationships/hyperlink" Target="https://m.stock.naver.com/research/company/85673" TargetMode="External"/><Relationship Id="rId8617" Type="http://schemas.openxmlformats.org/officeDocument/2006/relationships/hyperlink" Target="https://m.stock.naver.com/research/company/84620" TargetMode="External"/><Relationship Id="rId10894" Type="http://schemas.openxmlformats.org/officeDocument/2006/relationships/hyperlink" Target="https://m.stock.naver.com/research/company/82326" TargetMode="External"/><Relationship Id="rId11945" Type="http://schemas.openxmlformats.org/officeDocument/2006/relationships/hyperlink" Target="https://m.stock.naver.com/research/company/81266" TargetMode="External"/><Relationship Id="rId6168" Type="http://schemas.openxmlformats.org/officeDocument/2006/relationships/hyperlink" Target="https://m.stock.naver.com/research/company/87072" TargetMode="External"/><Relationship Id="rId7219" Type="http://schemas.openxmlformats.org/officeDocument/2006/relationships/hyperlink" Target="https://m.stock.naver.com/research/company/86020" TargetMode="External"/><Relationship Id="rId10547" Type="http://schemas.openxmlformats.org/officeDocument/2006/relationships/hyperlink" Target="https://m.stock.naver.com/research/company/82673" TargetMode="External"/><Relationship Id="rId13020" Type="http://schemas.openxmlformats.org/officeDocument/2006/relationships/hyperlink" Target="https://m.stock.naver.com/research/company/80187" TargetMode="External"/><Relationship Id="rId2778" Type="http://schemas.openxmlformats.org/officeDocument/2006/relationships/hyperlink" Target="https://m.stock.naver.com/research/company/90476" TargetMode="External"/><Relationship Id="rId3829" Type="http://schemas.openxmlformats.org/officeDocument/2006/relationships/hyperlink" Target="https://m.stock.naver.com/research/company/89422" TargetMode="External"/><Relationship Id="rId7700" Type="http://schemas.openxmlformats.org/officeDocument/2006/relationships/hyperlink" Target="https://m.stock.naver.com/research/company/85539" TargetMode="External"/><Relationship Id="rId15192" Type="http://schemas.openxmlformats.org/officeDocument/2006/relationships/hyperlink" Target="https://m.stock.naver.com/research/company/95168" TargetMode="External"/><Relationship Id="rId5251" Type="http://schemas.openxmlformats.org/officeDocument/2006/relationships/hyperlink" Target="https://m.stock.naver.com/research/company/87989" TargetMode="External"/><Relationship Id="rId6302" Type="http://schemas.openxmlformats.org/officeDocument/2006/relationships/hyperlink" Target="https://m.stock.naver.com/research/company/86938" TargetMode="External"/><Relationship Id="rId9872" Type="http://schemas.openxmlformats.org/officeDocument/2006/relationships/hyperlink" Target="https://m.stock.naver.com/research/company/83350" TargetMode="External"/><Relationship Id="rId12853" Type="http://schemas.openxmlformats.org/officeDocument/2006/relationships/hyperlink" Target="https://m.stock.naver.com/research/company/80355" TargetMode="External"/><Relationship Id="rId86" Type="http://schemas.openxmlformats.org/officeDocument/2006/relationships/hyperlink" Target="https://m.stock.naver.com/research/company/93372" TargetMode="External"/><Relationship Id="rId1861" Type="http://schemas.openxmlformats.org/officeDocument/2006/relationships/hyperlink" Target="https://m.stock.naver.com/research/company/91394" TargetMode="External"/><Relationship Id="rId2912" Type="http://schemas.openxmlformats.org/officeDocument/2006/relationships/hyperlink" Target="https://m.stock.naver.com/research/company/90341" TargetMode="External"/><Relationship Id="rId8474" Type="http://schemas.openxmlformats.org/officeDocument/2006/relationships/hyperlink" Target="https://m.stock.naver.com/research/company/84763" TargetMode="External"/><Relationship Id="rId9525" Type="http://schemas.openxmlformats.org/officeDocument/2006/relationships/hyperlink" Target="https://m.stock.naver.com/research/company/83702" TargetMode="External"/><Relationship Id="rId11455" Type="http://schemas.openxmlformats.org/officeDocument/2006/relationships/hyperlink" Target="https://m.stock.naver.com/research/company/81760" TargetMode="External"/><Relationship Id="rId12506" Type="http://schemas.openxmlformats.org/officeDocument/2006/relationships/hyperlink" Target="https://m.stock.naver.com/research/company/80702" TargetMode="External"/><Relationship Id="rId13904" Type="http://schemas.openxmlformats.org/officeDocument/2006/relationships/hyperlink" Target="https://m.stock.naver.com/research/company/93698" TargetMode="External"/><Relationship Id="rId1514" Type="http://schemas.openxmlformats.org/officeDocument/2006/relationships/hyperlink" Target="https://m.stock.naver.com/research/company/91741" TargetMode="External"/><Relationship Id="rId7076" Type="http://schemas.openxmlformats.org/officeDocument/2006/relationships/hyperlink" Target="https://m.stock.naver.com/research/company/86163" TargetMode="External"/><Relationship Id="rId8127" Type="http://schemas.openxmlformats.org/officeDocument/2006/relationships/hyperlink" Target="https://m.stock.naver.com/research/company/85111" TargetMode="External"/><Relationship Id="rId10057" Type="http://schemas.openxmlformats.org/officeDocument/2006/relationships/hyperlink" Target="https://m.stock.naver.com/research/company/83164" TargetMode="External"/><Relationship Id="rId11108" Type="http://schemas.openxmlformats.org/officeDocument/2006/relationships/hyperlink" Target="https://m.stock.naver.com/research/company/82112" TargetMode="External"/><Relationship Id="rId3686" Type="http://schemas.openxmlformats.org/officeDocument/2006/relationships/hyperlink" Target="https://m.stock.naver.com/research/company/89565" TargetMode="External"/><Relationship Id="rId14678" Type="http://schemas.openxmlformats.org/officeDocument/2006/relationships/hyperlink" Target="https://m.stock.naver.com/research/company/94500" TargetMode="External"/><Relationship Id="rId15729" Type="http://schemas.openxmlformats.org/officeDocument/2006/relationships/hyperlink" Target="https://m.stock.naver.com/research/company/95685" TargetMode="External"/><Relationship Id="rId2288" Type="http://schemas.openxmlformats.org/officeDocument/2006/relationships/hyperlink" Target="https://m.stock.naver.com/research/company/90967" TargetMode="External"/><Relationship Id="rId3339" Type="http://schemas.openxmlformats.org/officeDocument/2006/relationships/hyperlink" Target="https://m.stock.naver.com/research/company/89911" TargetMode="External"/><Relationship Id="rId4737" Type="http://schemas.openxmlformats.org/officeDocument/2006/relationships/hyperlink" Target="https://m.stock.naver.com/research/company/88503" TargetMode="External"/><Relationship Id="rId7210" Type="http://schemas.openxmlformats.org/officeDocument/2006/relationships/hyperlink" Target="https://m.stock.naver.com/research/company/86029" TargetMode="External"/><Relationship Id="rId13761" Type="http://schemas.openxmlformats.org/officeDocument/2006/relationships/hyperlink" Target="https://m.stock.naver.com/research/company/93546" TargetMode="External"/><Relationship Id="rId14812" Type="http://schemas.openxmlformats.org/officeDocument/2006/relationships/hyperlink" Target="https://m.stock.naver.com/research/company/94588" TargetMode="External"/><Relationship Id="rId3820" Type="http://schemas.openxmlformats.org/officeDocument/2006/relationships/hyperlink" Target="https://m.stock.naver.com/research/company/89431" TargetMode="External"/><Relationship Id="rId9382" Type="http://schemas.openxmlformats.org/officeDocument/2006/relationships/hyperlink" Target="https://m.stock.naver.com/research/company/83845" TargetMode="External"/><Relationship Id="rId12363" Type="http://schemas.openxmlformats.org/officeDocument/2006/relationships/hyperlink" Target="https://m.stock.naver.com/research/company/80846" TargetMode="External"/><Relationship Id="rId13414" Type="http://schemas.openxmlformats.org/officeDocument/2006/relationships/hyperlink" Target="https://m.stock.naver.com/research/company/79791" TargetMode="External"/><Relationship Id="rId741" Type="http://schemas.openxmlformats.org/officeDocument/2006/relationships/hyperlink" Target="https://m.stock.naver.com/research/company/92715" TargetMode="External"/><Relationship Id="rId1371" Type="http://schemas.openxmlformats.org/officeDocument/2006/relationships/hyperlink" Target="https://m.stock.naver.com/research/company/91884" TargetMode="External"/><Relationship Id="rId2422" Type="http://schemas.openxmlformats.org/officeDocument/2006/relationships/hyperlink" Target="https://m.stock.naver.com/research/company/90832" TargetMode="External"/><Relationship Id="rId5992" Type="http://schemas.openxmlformats.org/officeDocument/2006/relationships/hyperlink" Target="https://m.stock.naver.com/research/company/87248" TargetMode="External"/><Relationship Id="rId9035" Type="http://schemas.openxmlformats.org/officeDocument/2006/relationships/hyperlink" Target="https://m.stock.naver.com/research/company/84197" TargetMode="External"/><Relationship Id="rId12016" Type="http://schemas.openxmlformats.org/officeDocument/2006/relationships/hyperlink" Target="https://m.stock.naver.com/research/company/81195" TargetMode="External"/><Relationship Id="rId15586" Type="http://schemas.openxmlformats.org/officeDocument/2006/relationships/hyperlink" Target="https://m.stock.naver.com/research/company/95450" TargetMode="External"/><Relationship Id="rId1024" Type="http://schemas.openxmlformats.org/officeDocument/2006/relationships/hyperlink" Target="https://m.stock.naver.com/research/company/92327" TargetMode="External"/><Relationship Id="rId4594" Type="http://schemas.openxmlformats.org/officeDocument/2006/relationships/hyperlink" Target="https://m.stock.naver.com/research/company/88646" TargetMode="External"/><Relationship Id="rId5645" Type="http://schemas.openxmlformats.org/officeDocument/2006/relationships/hyperlink" Target="https://m.stock.naver.com/research/company/87595" TargetMode="External"/><Relationship Id="rId14188" Type="http://schemas.openxmlformats.org/officeDocument/2006/relationships/hyperlink" Target="https://m.stock.naver.com/research/company/94070" TargetMode="External"/><Relationship Id="rId15239" Type="http://schemas.openxmlformats.org/officeDocument/2006/relationships/hyperlink" Target="https://m.stock.naver.com/research/company/95121" TargetMode="External"/><Relationship Id="rId3196" Type="http://schemas.openxmlformats.org/officeDocument/2006/relationships/hyperlink" Target="https://m.stock.naver.com/research/company/90055" TargetMode="External"/><Relationship Id="rId4247" Type="http://schemas.openxmlformats.org/officeDocument/2006/relationships/hyperlink" Target="https://m.stock.naver.com/research/company/88995" TargetMode="External"/><Relationship Id="rId8868" Type="http://schemas.openxmlformats.org/officeDocument/2006/relationships/hyperlink" Target="https://m.stock.naver.com/research/company/84369" TargetMode="External"/><Relationship Id="rId9919" Type="http://schemas.openxmlformats.org/officeDocument/2006/relationships/hyperlink" Target="https://m.stock.naver.com/research/company/83303" TargetMode="External"/><Relationship Id="rId10798" Type="http://schemas.openxmlformats.org/officeDocument/2006/relationships/hyperlink" Target="https://m.stock.naver.com/research/company/82422" TargetMode="External"/><Relationship Id="rId11849" Type="http://schemas.openxmlformats.org/officeDocument/2006/relationships/hyperlink" Target="https://m.stock.naver.com/research/company/81363" TargetMode="External"/><Relationship Id="rId15720" Type="http://schemas.openxmlformats.org/officeDocument/2006/relationships/hyperlink" Target="https://m.stock.naver.com/research/company/95694" TargetMode="External"/><Relationship Id="rId1908" Type="http://schemas.openxmlformats.org/officeDocument/2006/relationships/hyperlink" Target="https://m.stock.naver.com/research/company/91347" TargetMode="External"/><Relationship Id="rId13271" Type="http://schemas.openxmlformats.org/officeDocument/2006/relationships/hyperlink" Target="https://m.stock.naver.com/research/company/79935" TargetMode="External"/><Relationship Id="rId14322" Type="http://schemas.openxmlformats.org/officeDocument/2006/relationships/hyperlink" Target="https://m.stock.naver.com/research/company/94142" TargetMode="External"/><Relationship Id="rId251" Type="http://schemas.openxmlformats.org/officeDocument/2006/relationships/hyperlink" Target="https://m.stock.naver.com/research/company/93207" TargetMode="External"/><Relationship Id="rId3330" Type="http://schemas.openxmlformats.org/officeDocument/2006/relationships/hyperlink" Target="https://m.stock.naver.com/research/company/89920" TargetMode="External"/><Relationship Id="rId7951" Type="http://schemas.openxmlformats.org/officeDocument/2006/relationships/hyperlink" Target="https://m.stock.naver.com/research/company/85287" TargetMode="External"/><Relationship Id="rId10932" Type="http://schemas.openxmlformats.org/officeDocument/2006/relationships/hyperlink" Target="https://m.stock.naver.com/research/company/82288" TargetMode="External"/><Relationship Id="rId6553" Type="http://schemas.openxmlformats.org/officeDocument/2006/relationships/hyperlink" Target="https://m.stock.naver.com/research/company/86687" TargetMode="External"/><Relationship Id="rId7604" Type="http://schemas.openxmlformats.org/officeDocument/2006/relationships/hyperlink" Target="https://m.stock.naver.com/research/company/85635" TargetMode="External"/><Relationship Id="rId15096" Type="http://schemas.openxmlformats.org/officeDocument/2006/relationships/hyperlink" Target="https://m.stock.naver.com/research/company/94998" TargetMode="External"/><Relationship Id="rId5155" Type="http://schemas.openxmlformats.org/officeDocument/2006/relationships/hyperlink" Target="https://m.stock.naver.com/research/company/88085" TargetMode="External"/><Relationship Id="rId6206" Type="http://schemas.openxmlformats.org/officeDocument/2006/relationships/hyperlink" Target="https://m.stock.naver.com/research/company/87034" TargetMode="External"/><Relationship Id="rId9776" Type="http://schemas.openxmlformats.org/officeDocument/2006/relationships/hyperlink" Target="https://m.stock.naver.com/research/company/83447" TargetMode="External"/><Relationship Id="rId1765" Type="http://schemas.openxmlformats.org/officeDocument/2006/relationships/hyperlink" Target="https://m.stock.naver.com/research/company/91490" TargetMode="External"/><Relationship Id="rId8378" Type="http://schemas.openxmlformats.org/officeDocument/2006/relationships/hyperlink" Target="https://m.stock.naver.com/research/company/84860" TargetMode="External"/><Relationship Id="rId9429" Type="http://schemas.openxmlformats.org/officeDocument/2006/relationships/hyperlink" Target="https://m.stock.naver.com/research/company/83798" TargetMode="External"/><Relationship Id="rId11359" Type="http://schemas.openxmlformats.org/officeDocument/2006/relationships/hyperlink" Target="https://m.stock.naver.com/research/company/81856" TargetMode="External"/><Relationship Id="rId12757" Type="http://schemas.openxmlformats.org/officeDocument/2006/relationships/hyperlink" Target="https://m.stock.naver.com/research/company/80451" TargetMode="External"/><Relationship Id="rId13808" Type="http://schemas.openxmlformats.org/officeDocument/2006/relationships/hyperlink" Target="https://m.stock.naver.com/research/company/93570" TargetMode="External"/><Relationship Id="rId15230" Type="http://schemas.openxmlformats.org/officeDocument/2006/relationships/hyperlink" Target="https://m.stock.naver.com/research/company/95130" TargetMode="External"/><Relationship Id="rId1418" Type="http://schemas.openxmlformats.org/officeDocument/2006/relationships/hyperlink" Target="https://m.stock.naver.com/research/company/91837" TargetMode="External"/><Relationship Id="rId2816" Type="http://schemas.openxmlformats.org/officeDocument/2006/relationships/hyperlink" Target="https://m.stock.naver.com/research/company/90437" TargetMode="External"/><Relationship Id="rId4988" Type="http://schemas.openxmlformats.org/officeDocument/2006/relationships/hyperlink" Target="https://m.stock.naver.com/research/company/88252" TargetMode="External"/><Relationship Id="rId9910" Type="http://schemas.openxmlformats.org/officeDocument/2006/relationships/hyperlink" Target="https://m.stock.naver.com/research/company/83312" TargetMode="External"/><Relationship Id="rId11840" Type="http://schemas.openxmlformats.org/officeDocument/2006/relationships/hyperlink" Target="https://m.stock.naver.com/research/company/81372" TargetMode="External"/><Relationship Id="rId6063" Type="http://schemas.openxmlformats.org/officeDocument/2006/relationships/hyperlink" Target="https://m.stock.naver.com/research/company/87177" TargetMode="External"/><Relationship Id="rId7461" Type="http://schemas.openxmlformats.org/officeDocument/2006/relationships/hyperlink" Target="https://m.stock.naver.com/research/company/85778" TargetMode="External"/><Relationship Id="rId8512" Type="http://schemas.openxmlformats.org/officeDocument/2006/relationships/hyperlink" Target="https://m.stock.naver.com/research/company/84725" TargetMode="External"/><Relationship Id="rId10442" Type="http://schemas.openxmlformats.org/officeDocument/2006/relationships/hyperlink" Target="https://m.stock.naver.com/research/company/82779" TargetMode="External"/><Relationship Id="rId7114" Type="http://schemas.openxmlformats.org/officeDocument/2006/relationships/hyperlink" Target="https://m.stock.naver.com/research/company/86125" TargetMode="External"/><Relationship Id="rId13665" Type="http://schemas.openxmlformats.org/officeDocument/2006/relationships/hyperlink" Target="https://m.stock.naver.com/research/company/79539" TargetMode="External"/><Relationship Id="rId14716" Type="http://schemas.openxmlformats.org/officeDocument/2006/relationships/hyperlink" Target="https://m.stock.naver.com/research/company/94684" TargetMode="External"/><Relationship Id="rId992" Type="http://schemas.openxmlformats.org/officeDocument/2006/relationships/hyperlink" Target="https://m.stock.naver.com/research/company/92464" TargetMode="External"/><Relationship Id="rId2673" Type="http://schemas.openxmlformats.org/officeDocument/2006/relationships/hyperlink" Target="https://m.stock.naver.com/research/company/90581" TargetMode="External"/><Relationship Id="rId3724" Type="http://schemas.openxmlformats.org/officeDocument/2006/relationships/hyperlink" Target="https://m.stock.naver.com/research/company/89527" TargetMode="External"/><Relationship Id="rId9286" Type="http://schemas.openxmlformats.org/officeDocument/2006/relationships/hyperlink" Target="https://m.stock.naver.com/research/company/83941" TargetMode="External"/><Relationship Id="rId12267" Type="http://schemas.openxmlformats.org/officeDocument/2006/relationships/hyperlink" Target="https://m.stock.naver.com/research/company/80942" TargetMode="External"/><Relationship Id="rId13318" Type="http://schemas.openxmlformats.org/officeDocument/2006/relationships/hyperlink" Target="https://m.stock.naver.com/research/company/79887" TargetMode="External"/><Relationship Id="rId645" Type="http://schemas.openxmlformats.org/officeDocument/2006/relationships/hyperlink" Target="https://m.stock.naver.com/research/company/92811" TargetMode="External"/><Relationship Id="rId1275" Type="http://schemas.openxmlformats.org/officeDocument/2006/relationships/hyperlink" Target="https://m.stock.naver.com/research/company/91980" TargetMode="External"/><Relationship Id="rId2326" Type="http://schemas.openxmlformats.org/officeDocument/2006/relationships/hyperlink" Target="https://m.stock.naver.com/research/company/90929" TargetMode="External"/><Relationship Id="rId5896" Type="http://schemas.openxmlformats.org/officeDocument/2006/relationships/hyperlink" Target="https://m.stock.naver.com/research/company/87344" TargetMode="External"/><Relationship Id="rId6947" Type="http://schemas.openxmlformats.org/officeDocument/2006/relationships/hyperlink" Target="https://m.stock.naver.com/research/company/86292" TargetMode="External"/><Relationship Id="rId4498" Type="http://schemas.openxmlformats.org/officeDocument/2006/relationships/hyperlink" Target="https://m.stock.naver.com/research/company/88742" TargetMode="External"/><Relationship Id="rId5549" Type="http://schemas.openxmlformats.org/officeDocument/2006/relationships/hyperlink" Target="https://m.stock.naver.com/research/company/87691" TargetMode="External"/><Relationship Id="rId9420" Type="http://schemas.openxmlformats.org/officeDocument/2006/relationships/hyperlink" Target="https://m.stock.naver.com/research/company/83807" TargetMode="External"/><Relationship Id="rId8022" Type="http://schemas.openxmlformats.org/officeDocument/2006/relationships/hyperlink" Target="https://m.stock.naver.com/research/company/85216" TargetMode="External"/><Relationship Id="rId11350" Type="http://schemas.openxmlformats.org/officeDocument/2006/relationships/hyperlink" Target="https://m.stock.naver.com/research/company/81866" TargetMode="External"/><Relationship Id="rId12401" Type="http://schemas.openxmlformats.org/officeDocument/2006/relationships/hyperlink" Target="https://m.stock.naver.com/research/company/80808" TargetMode="External"/><Relationship Id="rId11003" Type="http://schemas.openxmlformats.org/officeDocument/2006/relationships/hyperlink" Target="https://m.stock.naver.com/research/company/82217" TargetMode="External"/><Relationship Id="rId14573" Type="http://schemas.openxmlformats.org/officeDocument/2006/relationships/hyperlink" Target="https://m.stock.naver.com/research/company/94337" TargetMode="External"/><Relationship Id="rId15624" Type="http://schemas.openxmlformats.org/officeDocument/2006/relationships/hyperlink" Target="https://m.stock.naver.com/research/company/95412" TargetMode="External"/><Relationship Id="rId3581" Type="http://schemas.openxmlformats.org/officeDocument/2006/relationships/hyperlink" Target="https://m.stock.naver.com/research/company/89670" TargetMode="External"/><Relationship Id="rId4632" Type="http://schemas.openxmlformats.org/officeDocument/2006/relationships/hyperlink" Target="https://m.stock.naver.com/research/company/88608" TargetMode="External"/><Relationship Id="rId13175" Type="http://schemas.openxmlformats.org/officeDocument/2006/relationships/hyperlink" Target="https://m.stock.naver.com/research/company/80032" TargetMode="External"/><Relationship Id="rId14226" Type="http://schemas.openxmlformats.org/officeDocument/2006/relationships/hyperlink" Target="https://m.stock.naver.com/research/company/94117" TargetMode="External"/><Relationship Id="rId2183" Type="http://schemas.openxmlformats.org/officeDocument/2006/relationships/hyperlink" Target="https://m.stock.naver.com/research/company/91072" TargetMode="External"/><Relationship Id="rId3234" Type="http://schemas.openxmlformats.org/officeDocument/2006/relationships/hyperlink" Target="https://m.stock.naver.com/research/company/90016" TargetMode="External"/><Relationship Id="rId7855" Type="http://schemas.openxmlformats.org/officeDocument/2006/relationships/hyperlink" Target="https://m.stock.naver.com/research/company/85383" TargetMode="External"/><Relationship Id="rId8906" Type="http://schemas.openxmlformats.org/officeDocument/2006/relationships/hyperlink" Target="https://m.stock.naver.com/research/company/84330" TargetMode="External"/><Relationship Id="rId155" Type="http://schemas.openxmlformats.org/officeDocument/2006/relationships/hyperlink" Target="https://m.stock.naver.com/research/company/93303" TargetMode="External"/><Relationship Id="rId6457" Type="http://schemas.openxmlformats.org/officeDocument/2006/relationships/hyperlink" Target="https://m.stock.naver.com/research/company/86783" TargetMode="External"/><Relationship Id="rId7508" Type="http://schemas.openxmlformats.org/officeDocument/2006/relationships/hyperlink" Target="https://m.stock.naver.com/research/company/85731" TargetMode="External"/><Relationship Id="rId10836" Type="http://schemas.openxmlformats.org/officeDocument/2006/relationships/hyperlink" Target="https://m.stock.naver.com/research/company/82384" TargetMode="External"/><Relationship Id="rId5059" Type="http://schemas.openxmlformats.org/officeDocument/2006/relationships/hyperlink" Target="https://m.stock.naver.com/research/company/88181" TargetMode="External"/><Relationship Id="rId14083" Type="http://schemas.openxmlformats.org/officeDocument/2006/relationships/hyperlink" Target="https://m.stock.naver.com/research/company/93919" TargetMode="External"/><Relationship Id="rId15481" Type="http://schemas.openxmlformats.org/officeDocument/2006/relationships/hyperlink" Target="https://m.stock.naver.com/research/company/95306" TargetMode="External"/><Relationship Id="rId1669" Type="http://schemas.openxmlformats.org/officeDocument/2006/relationships/hyperlink" Target="https://m.stock.naver.com/research/company/91586" TargetMode="External"/><Relationship Id="rId3091" Type="http://schemas.openxmlformats.org/officeDocument/2006/relationships/hyperlink" Target="https://m.stock.naver.com/research/company/90160" TargetMode="External"/><Relationship Id="rId4142" Type="http://schemas.openxmlformats.org/officeDocument/2006/relationships/hyperlink" Target="https://m.stock.naver.com/research/company/89109" TargetMode="External"/><Relationship Id="rId5540" Type="http://schemas.openxmlformats.org/officeDocument/2006/relationships/hyperlink" Target="https://m.stock.naver.com/research/company/87700" TargetMode="External"/><Relationship Id="rId15134" Type="http://schemas.openxmlformats.org/officeDocument/2006/relationships/hyperlink" Target="https://m.stock.naver.com/research/company/94960" TargetMode="External"/><Relationship Id="rId8763" Type="http://schemas.openxmlformats.org/officeDocument/2006/relationships/hyperlink" Target="https://m.stock.naver.com/research/company/84474" TargetMode="External"/><Relationship Id="rId9814" Type="http://schemas.openxmlformats.org/officeDocument/2006/relationships/hyperlink" Target="https://m.stock.naver.com/research/company/83408" TargetMode="External"/><Relationship Id="rId10693" Type="http://schemas.openxmlformats.org/officeDocument/2006/relationships/hyperlink" Target="https://m.stock.naver.com/research/company/82527" TargetMode="External"/><Relationship Id="rId11744" Type="http://schemas.openxmlformats.org/officeDocument/2006/relationships/hyperlink" Target="https://m.stock.naver.com/research/company/81468" TargetMode="External"/><Relationship Id="rId28" Type="http://schemas.openxmlformats.org/officeDocument/2006/relationships/hyperlink" Target="https://m.stock.naver.com/research/company/93430" TargetMode="External"/><Relationship Id="rId1803" Type="http://schemas.openxmlformats.org/officeDocument/2006/relationships/hyperlink" Target="https://m.stock.naver.com/research/company/91452" TargetMode="External"/><Relationship Id="rId7365" Type="http://schemas.openxmlformats.org/officeDocument/2006/relationships/hyperlink" Target="https://m.stock.naver.com/research/company/85874" TargetMode="External"/><Relationship Id="rId8416" Type="http://schemas.openxmlformats.org/officeDocument/2006/relationships/hyperlink" Target="https://m.stock.naver.com/research/company/84822" TargetMode="External"/><Relationship Id="rId10346" Type="http://schemas.openxmlformats.org/officeDocument/2006/relationships/hyperlink" Target="https://m.stock.naver.com/research/company/82875" TargetMode="External"/><Relationship Id="rId3975" Type="http://schemas.openxmlformats.org/officeDocument/2006/relationships/hyperlink" Target="https://m.stock.naver.com/research/company/89276" TargetMode="External"/><Relationship Id="rId7018" Type="http://schemas.openxmlformats.org/officeDocument/2006/relationships/hyperlink" Target="https://m.stock.naver.com/research/company/86221" TargetMode="External"/><Relationship Id="rId13569" Type="http://schemas.openxmlformats.org/officeDocument/2006/relationships/hyperlink" Target="https://m.stock.naver.com/research/company/79635" TargetMode="External"/><Relationship Id="rId14967" Type="http://schemas.openxmlformats.org/officeDocument/2006/relationships/hyperlink" Target="https://m.stock.naver.com/research/company/94867" TargetMode="External"/><Relationship Id="rId896" Type="http://schemas.openxmlformats.org/officeDocument/2006/relationships/hyperlink" Target="https://m.stock.naver.com/research/company/92560" TargetMode="External"/><Relationship Id="rId2577" Type="http://schemas.openxmlformats.org/officeDocument/2006/relationships/hyperlink" Target="https://m.stock.naver.com/research/company/90677" TargetMode="External"/><Relationship Id="rId3628" Type="http://schemas.openxmlformats.org/officeDocument/2006/relationships/hyperlink" Target="https://m.stock.naver.com/research/company/89623" TargetMode="External"/><Relationship Id="rId549" Type="http://schemas.openxmlformats.org/officeDocument/2006/relationships/hyperlink" Target="https://m.stock.naver.com/research/company/92908" TargetMode="External"/><Relationship Id="rId1179" Type="http://schemas.openxmlformats.org/officeDocument/2006/relationships/hyperlink" Target="https://m.stock.naver.com/research/company/92076" TargetMode="External"/><Relationship Id="rId5050" Type="http://schemas.openxmlformats.org/officeDocument/2006/relationships/hyperlink" Target="https://m.stock.naver.com/research/company/88190" TargetMode="External"/><Relationship Id="rId6101" Type="http://schemas.openxmlformats.org/officeDocument/2006/relationships/hyperlink" Target="https://m.stock.naver.com/research/company/87139" TargetMode="External"/><Relationship Id="rId8273" Type="http://schemas.openxmlformats.org/officeDocument/2006/relationships/hyperlink" Target="https://m.stock.naver.com/research/company/84965" TargetMode="External"/><Relationship Id="rId9671" Type="http://schemas.openxmlformats.org/officeDocument/2006/relationships/hyperlink" Target="https://m.stock.naver.com/research/company/83553" TargetMode="External"/><Relationship Id="rId12652" Type="http://schemas.openxmlformats.org/officeDocument/2006/relationships/hyperlink" Target="https://m.stock.naver.com/research/company/80556" TargetMode="External"/><Relationship Id="rId13703" Type="http://schemas.openxmlformats.org/officeDocument/2006/relationships/hyperlink" Target="https://m.stock.naver.com/research/company/93471" TargetMode="External"/><Relationship Id="rId1660" Type="http://schemas.openxmlformats.org/officeDocument/2006/relationships/hyperlink" Target="https://m.stock.naver.com/research/company/91595" TargetMode="External"/><Relationship Id="rId2711" Type="http://schemas.openxmlformats.org/officeDocument/2006/relationships/hyperlink" Target="https://m.stock.naver.com/research/company/90543" TargetMode="External"/><Relationship Id="rId9324" Type="http://schemas.openxmlformats.org/officeDocument/2006/relationships/hyperlink" Target="https://m.stock.naver.com/research/company/83903" TargetMode="External"/><Relationship Id="rId11254" Type="http://schemas.openxmlformats.org/officeDocument/2006/relationships/hyperlink" Target="https://m.stock.naver.com/research/company/81965" TargetMode="External"/><Relationship Id="rId12305" Type="http://schemas.openxmlformats.org/officeDocument/2006/relationships/hyperlink" Target="https://m.stock.naver.com/research/company/80904" TargetMode="External"/><Relationship Id="rId1313" Type="http://schemas.openxmlformats.org/officeDocument/2006/relationships/hyperlink" Target="https://m.stock.naver.com/research/company/91942" TargetMode="External"/><Relationship Id="rId4883" Type="http://schemas.openxmlformats.org/officeDocument/2006/relationships/hyperlink" Target="https://m.stock.naver.com/research/company/88357" TargetMode="External"/><Relationship Id="rId5934" Type="http://schemas.openxmlformats.org/officeDocument/2006/relationships/hyperlink" Target="https://m.stock.naver.com/research/company/87306" TargetMode="External"/><Relationship Id="rId14477" Type="http://schemas.openxmlformats.org/officeDocument/2006/relationships/hyperlink" Target="https://m.stock.naver.com/research/company/94433" TargetMode="External"/><Relationship Id="rId15528" Type="http://schemas.openxmlformats.org/officeDocument/2006/relationships/hyperlink" Target="https://m.stock.naver.com/research/company/95508" TargetMode="External"/><Relationship Id="rId3485" Type="http://schemas.openxmlformats.org/officeDocument/2006/relationships/hyperlink" Target="https://m.stock.naver.com/research/company/89766" TargetMode="External"/><Relationship Id="rId4536" Type="http://schemas.openxmlformats.org/officeDocument/2006/relationships/hyperlink" Target="https://m.stock.naver.com/research/company/88704" TargetMode="External"/><Relationship Id="rId13079" Type="http://schemas.openxmlformats.org/officeDocument/2006/relationships/hyperlink" Target="https://m.stock.naver.com/research/company/80128" TargetMode="External"/><Relationship Id="rId2087" Type="http://schemas.openxmlformats.org/officeDocument/2006/relationships/hyperlink" Target="https://m.stock.naver.com/research/company/91168" TargetMode="External"/><Relationship Id="rId3138" Type="http://schemas.openxmlformats.org/officeDocument/2006/relationships/hyperlink" Target="https://m.stock.naver.com/research/company/90113" TargetMode="External"/><Relationship Id="rId7759" Type="http://schemas.openxmlformats.org/officeDocument/2006/relationships/hyperlink" Target="https://m.stock.naver.com/research/company/85480" TargetMode="External"/><Relationship Id="rId9181" Type="http://schemas.openxmlformats.org/officeDocument/2006/relationships/hyperlink" Target="https://m.stock.naver.com/research/company/84049" TargetMode="External"/><Relationship Id="rId13560" Type="http://schemas.openxmlformats.org/officeDocument/2006/relationships/hyperlink" Target="https://m.stock.naver.com/research/company/79644" TargetMode="External"/><Relationship Id="rId14611" Type="http://schemas.openxmlformats.org/officeDocument/2006/relationships/hyperlink" Target="https://m.stock.naver.com/research/company/94566" TargetMode="External"/><Relationship Id="rId540" Type="http://schemas.openxmlformats.org/officeDocument/2006/relationships/hyperlink" Target="https://m.stock.naver.com/research/company/92917" TargetMode="External"/><Relationship Id="rId1170" Type="http://schemas.openxmlformats.org/officeDocument/2006/relationships/hyperlink" Target="https://m.stock.naver.com/research/company/92085" TargetMode="External"/><Relationship Id="rId2221" Type="http://schemas.openxmlformats.org/officeDocument/2006/relationships/hyperlink" Target="https://m.stock.naver.com/research/company/91034" TargetMode="External"/><Relationship Id="rId12162" Type="http://schemas.openxmlformats.org/officeDocument/2006/relationships/hyperlink" Target="https://m.stock.naver.com/research/company/81049" TargetMode="External"/><Relationship Id="rId13213" Type="http://schemas.openxmlformats.org/officeDocument/2006/relationships/hyperlink" Target="https://m.stock.naver.com/research/company/79994" TargetMode="External"/><Relationship Id="rId5791" Type="http://schemas.openxmlformats.org/officeDocument/2006/relationships/hyperlink" Target="https://m.stock.naver.com/research/company/87449" TargetMode="External"/><Relationship Id="rId6842" Type="http://schemas.openxmlformats.org/officeDocument/2006/relationships/hyperlink" Target="https://m.stock.naver.com/research/company/86398" TargetMode="External"/><Relationship Id="rId15385" Type="http://schemas.openxmlformats.org/officeDocument/2006/relationships/hyperlink" Target="https://m.stock.naver.com/research/company/95402" TargetMode="External"/><Relationship Id="rId4393" Type="http://schemas.openxmlformats.org/officeDocument/2006/relationships/hyperlink" Target="https://m.stock.naver.com/research/company/88848" TargetMode="External"/><Relationship Id="rId5444" Type="http://schemas.openxmlformats.org/officeDocument/2006/relationships/hyperlink" Target="https://m.stock.naver.com/research/company/87796" TargetMode="External"/><Relationship Id="rId11995" Type="http://schemas.openxmlformats.org/officeDocument/2006/relationships/hyperlink" Target="https://m.stock.naver.com/research/company/81216" TargetMode="External"/><Relationship Id="rId15038" Type="http://schemas.openxmlformats.org/officeDocument/2006/relationships/hyperlink" Target="https://m.stock.naver.com/research/company/94930" TargetMode="External"/><Relationship Id="rId4046" Type="http://schemas.openxmlformats.org/officeDocument/2006/relationships/hyperlink" Target="https://m.stock.naver.com/research/company/89205" TargetMode="External"/><Relationship Id="rId8667" Type="http://schemas.openxmlformats.org/officeDocument/2006/relationships/hyperlink" Target="https://m.stock.naver.com/research/company/84570" TargetMode="External"/><Relationship Id="rId9718" Type="http://schemas.openxmlformats.org/officeDocument/2006/relationships/hyperlink" Target="https://m.stock.naver.com/research/company/83505" TargetMode="External"/><Relationship Id="rId10597" Type="http://schemas.openxmlformats.org/officeDocument/2006/relationships/hyperlink" Target="https://m.stock.naver.com/research/company/82623" TargetMode="External"/><Relationship Id="rId11648" Type="http://schemas.openxmlformats.org/officeDocument/2006/relationships/hyperlink" Target="https://m.stock.naver.com/research/company/81564" TargetMode="External"/><Relationship Id="rId1707" Type="http://schemas.openxmlformats.org/officeDocument/2006/relationships/hyperlink" Target="https://m.stock.naver.com/research/company/91548" TargetMode="External"/><Relationship Id="rId7269" Type="http://schemas.openxmlformats.org/officeDocument/2006/relationships/hyperlink" Target="https://m.stock.naver.com/research/company/85970" TargetMode="External"/><Relationship Id="rId13070" Type="http://schemas.openxmlformats.org/officeDocument/2006/relationships/hyperlink" Target="https://m.stock.naver.com/research/company/80137" TargetMode="External"/><Relationship Id="rId14121" Type="http://schemas.openxmlformats.org/officeDocument/2006/relationships/hyperlink" Target="https://m.stock.naver.com/research/company/94007" TargetMode="External"/><Relationship Id="rId3879" Type="http://schemas.openxmlformats.org/officeDocument/2006/relationships/hyperlink" Target="https://m.stock.naver.com/research/company/89372" TargetMode="External"/><Relationship Id="rId6352" Type="http://schemas.openxmlformats.org/officeDocument/2006/relationships/hyperlink" Target="https://m.stock.naver.com/research/company/86888" TargetMode="External"/><Relationship Id="rId7750" Type="http://schemas.openxmlformats.org/officeDocument/2006/relationships/hyperlink" Target="https://m.stock.naver.com/research/company/85489" TargetMode="External"/><Relationship Id="rId8801" Type="http://schemas.openxmlformats.org/officeDocument/2006/relationships/hyperlink" Target="https://m.stock.naver.com/research/company/84436" TargetMode="External"/><Relationship Id="rId10731" Type="http://schemas.openxmlformats.org/officeDocument/2006/relationships/hyperlink" Target="https://m.stock.naver.com/research/company/82489" TargetMode="External"/><Relationship Id="rId6005" Type="http://schemas.openxmlformats.org/officeDocument/2006/relationships/hyperlink" Target="https://m.stock.naver.com/research/company/87235" TargetMode="External"/><Relationship Id="rId7403" Type="http://schemas.openxmlformats.org/officeDocument/2006/relationships/hyperlink" Target="https://m.stock.naver.com/research/company/85836" TargetMode="External"/><Relationship Id="rId13954" Type="http://schemas.openxmlformats.org/officeDocument/2006/relationships/hyperlink" Target="https://m.stock.naver.com/research/company/93778" TargetMode="External"/><Relationship Id="rId2962" Type="http://schemas.openxmlformats.org/officeDocument/2006/relationships/hyperlink" Target="https://m.stock.naver.com/research/company/90291" TargetMode="External"/><Relationship Id="rId9575" Type="http://schemas.openxmlformats.org/officeDocument/2006/relationships/hyperlink" Target="https://m.stock.naver.com/research/company/83652" TargetMode="External"/><Relationship Id="rId12556" Type="http://schemas.openxmlformats.org/officeDocument/2006/relationships/hyperlink" Target="https://m.stock.naver.com/research/company/80652" TargetMode="External"/><Relationship Id="rId13607" Type="http://schemas.openxmlformats.org/officeDocument/2006/relationships/hyperlink" Target="https://m.stock.naver.com/research/company/79597" TargetMode="External"/><Relationship Id="rId934" Type="http://schemas.openxmlformats.org/officeDocument/2006/relationships/hyperlink" Target="https://m.stock.naver.com/research/company/92522" TargetMode="External"/><Relationship Id="rId1564" Type="http://schemas.openxmlformats.org/officeDocument/2006/relationships/hyperlink" Target="https://m.stock.naver.com/research/company/91691" TargetMode="External"/><Relationship Id="rId2615" Type="http://schemas.openxmlformats.org/officeDocument/2006/relationships/hyperlink" Target="https://m.stock.naver.com/research/company/90639" TargetMode="External"/><Relationship Id="rId8177" Type="http://schemas.openxmlformats.org/officeDocument/2006/relationships/hyperlink" Target="https://m.stock.naver.com/research/company/85061" TargetMode="External"/><Relationship Id="rId9228" Type="http://schemas.openxmlformats.org/officeDocument/2006/relationships/hyperlink" Target="https://m.stock.naver.com/research/company/84002" TargetMode="External"/><Relationship Id="rId11158" Type="http://schemas.openxmlformats.org/officeDocument/2006/relationships/hyperlink" Target="https://m.stock.naver.com/research/company/82062" TargetMode="External"/><Relationship Id="rId12209" Type="http://schemas.openxmlformats.org/officeDocument/2006/relationships/hyperlink" Target="https://m.stock.naver.com/research/company/81001" TargetMode="External"/><Relationship Id="rId1217" Type="http://schemas.openxmlformats.org/officeDocument/2006/relationships/hyperlink" Target="https://m.stock.naver.com/research/company/92038" TargetMode="External"/><Relationship Id="rId4787" Type="http://schemas.openxmlformats.org/officeDocument/2006/relationships/hyperlink" Target="https://m.stock.naver.com/research/company/88453" TargetMode="External"/><Relationship Id="rId5838" Type="http://schemas.openxmlformats.org/officeDocument/2006/relationships/hyperlink" Target="https://m.stock.naver.com/research/company/87402" TargetMode="External"/><Relationship Id="rId3389" Type="http://schemas.openxmlformats.org/officeDocument/2006/relationships/hyperlink" Target="https://m.stock.naver.com/research/company/89862" TargetMode="External"/><Relationship Id="rId7260" Type="http://schemas.openxmlformats.org/officeDocument/2006/relationships/hyperlink" Target="https://m.stock.naver.com/research/company/85979" TargetMode="External"/><Relationship Id="rId8311" Type="http://schemas.openxmlformats.org/officeDocument/2006/relationships/hyperlink" Target="https://m.stock.naver.com/research/company/84927" TargetMode="External"/><Relationship Id="rId10241" Type="http://schemas.openxmlformats.org/officeDocument/2006/relationships/hyperlink" Target="https://m.stock.naver.com/research/company/82980" TargetMode="External"/><Relationship Id="rId14862" Type="http://schemas.openxmlformats.org/officeDocument/2006/relationships/hyperlink" Target="https://m.stock.naver.com/research/company/94762" TargetMode="External"/><Relationship Id="rId3870" Type="http://schemas.openxmlformats.org/officeDocument/2006/relationships/hyperlink" Target="https://m.stock.naver.com/research/company/89381" TargetMode="External"/><Relationship Id="rId4921" Type="http://schemas.openxmlformats.org/officeDocument/2006/relationships/hyperlink" Target="https://m.stock.naver.com/research/company/88319" TargetMode="External"/><Relationship Id="rId9085" Type="http://schemas.openxmlformats.org/officeDocument/2006/relationships/hyperlink" Target="https://m.stock.naver.com/research/company/84145" TargetMode="External"/><Relationship Id="rId13464" Type="http://schemas.openxmlformats.org/officeDocument/2006/relationships/hyperlink" Target="https://m.stock.naver.com/research/company/79740" TargetMode="External"/><Relationship Id="rId14515" Type="http://schemas.openxmlformats.org/officeDocument/2006/relationships/hyperlink" Target="https://m.stock.naver.com/research/company/94395" TargetMode="External"/><Relationship Id="rId791" Type="http://schemas.openxmlformats.org/officeDocument/2006/relationships/hyperlink" Target="https://m.stock.naver.com/research/company/92665" TargetMode="External"/><Relationship Id="rId1074" Type="http://schemas.openxmlformats.org/officeDocument/2006/relationships/hyperlink" Target="https://m.stock.naver.com/research/company/92182" TargetMode="External"/><Relationship Id="rId2472" Type="http://schemas.openxmlformats.org/officeDocument/2006/relationships/hyperlink" Target="https://m.stock.naver.com/research/company/90782" TargetMode="External"/><Relationship Id="rId3523" Type="http://schemas.openxmlformats.org/officeDocument/2006/relationships/hyperlink" Target="https://m.stock.naver.com/research/company/89728" TargetMode="External"/><Relationship Id="rId12066" Type="http://schemas.openxmlformats.org/officeDocument/2006/relationships/hyperlink" Target="https://m.stock.naver.com/research/company/81145" TargetMode="External"/><Relationship Id="rId13117" Type="http://schemas.openxmlformats.org/officeDocument/2006/relationships/hyperlink" Target="https://m.stock.naver.com/research/company/80090" TargetMode="External"/><Relationship Id="rId444" Type="http://schemas.openxmlformats.org/officeDocument/2006/relationships/hyperlink" Target="https://m.stock.naver.com/research/company/93013" TargetMode="External"/><Relationship Id="rId2125" Type="http://schemas.openxmlformats.org/officeDocument/2006/relationships/hyperlink" Target="https://m.stock.naver.com/research/company/91130" TargetMode="External"/><Relationship Id="rId5695" Type="http://schemas.openxmlformats.org/officeDocument/2006/relationships/hyperlink" Target="https://m.stock.naver.com/research/company/87545" TargetMode="External"/><Relationship Id="rId6746" Type="http://schemas.openxmlformats.org/officeDocument/2006/relationships/hyperlink" Target="https://m.stock.naver.com/research/company/86494" TargetMode="External"/><Relationship Id="rId15289" Type="http://schemas.openxmlformats.org/officeDocument/2006/relationships/hyperlink" Target="https://m.stock.naver.com/research/company/95071" TargetMode="External"/><Relationship Id="rId4297" Type="http://schemas.openxmlformats.org/officeDocument/2006/relationships/hyperlink" Target="https://m.stock.naver.com/research/company/88944" TargetMode="External"/><Relationship Id="rId5348" Type="http://schemas.openxmlformats.org/officeDocument/2006/relationships/hyperlink" Target="https://m.stock.naver.com/research/company/87892" TargetMode="External"/><Relationship Id="rId9969" Type="http://schemas.openxmlformats.org/officeDocument/2006/relationships/hyperlink" Target="https://m.stock.naver.com/research/company/83252" TargetMode="External"/><Relationship Id="rId12200" Type="http://schemas.openxmlformats.org/officeDocument/2006/relationships/hyperlink" Target="https://m.stock.naver.com/research/company/81010" TargetMode="External"/><Relationship Id="rId11899" Type="http://schemas.openxmlformats.org/officeDocument/2006/relationships/hyperlink" Target="https://m.stock.naver.com/research/company/81312" TargetMode="External"/><Relationship Id="rId14372" Type="http://schemas.openxmlformats.org/officeDocument/2006/relationships/hyperlink" Target="https://m.stock.naver.com/research/company/94240" TargetMode="External"/><Relationship Id="rId1958" Type="http://schemas.openxmlformats.org/officeDocument/2006/relationships/hyperlink" Target="https://m.stock.naver.com/research/company/91297" TargetMode="External"/><Relationship Id="rId3380" Type="http://schemas.openxmlformats.org/officeDocument/2006/relationships/hyperlink" Target="https://m.stock.naver.com/research/company/89871" TargetMode="External"/><Relationship Id="rId4431" Type="http://schemas.openxmlformats.org/officeDocument/2006/relationships/hyperlink" Target="https://m.stock.naver.com/research/company/88810" TargetMode="External"/><Relationship Id="rId14025" Type="http://schemas.openxmlformats.org/officeDocument/2006/relationships/hyperlink" Target="https://m.stock.naver.com/research/company/93822" TargetMode="External"/><Relationship Id="rId15423" Type="http://schemas.openxmlformats.org/officeDocument/2006/relationships/hyperlink" Target="https://m.stock.naver.com/research/company/95364" TargetMode="External"/><Relationship Id="rId3033" Type="http://schemas.openxmlformats.org/officeDocument/2006/relationships/hyperlink" Target="https://m.stock.naver.com/research/company/90218" TargetMode="External"/><Relationship Id="rId10982" Type="http://schemas.openxmlformats.org/officeDocument/2006/relationships/hyperlink" Target="https://m.stock.naver.com/research/company/82238" TargetMode="External"/><Relationship Id="rId7654" Type="http://schemas.openxmlformats.org/officeDocument/2006/relationships/hyperlink" Target="https://m.stock.naver.com/research/company/85585" TargetMode="External"/><Relationship Id="rId8705" Type="http://schemas.openxmlformats.org/officeDocument/2006/relationships/hyperlink" Target="https://m.stock.naver.com/research/company/84532" TargetMode="External"/><Relationship Id="rId10635" Type="http://schemas.openxmlformats.org/officeDocument/2006/relationships/hyperlink" Target="https://m.stock.naver.com/research/company/82585" TargetMode="External"/><Relationship Id="rId6256" Type="http://schemas.openxmlformats.org/officeDocument/2006/relationships/hyperlink" Target="https://m.stock.naver.com/research/company/86984" TargetMode="External"/><Relationship Id="rId7307" Type="http://schemas.openxmlformats.org/officeDocument/2006/relationships/hyperlink" Target="https://m.stock.naver.com/research/company/85932" TargetMode="External"/><Relationship Id="rId13858" Type="http://schemas.openxmlformats.org/officeDocument/2006/relationships/hyperlink" Target="https://m.stock.naver.com/research/company/93669" TargetMode="External"/><Relationship Id="rId2866" Type="http://schemas.openxmlformats.org/officeDocument/2006/relationships/hyperlink" Target="https://m.stock.naver.com/research/company/90387" TargetMode="External"/><Relationship Id="rId3917" Type="http://schemas.openxmlformats.org/officeDocument/2006/relationships/hyperlink" Target="https://m.stock.naver.com/research/company/89334" TargetMode="External"/><Relationship Id="rId9479" Type="http://schemas.openxmlformats.org/officeDocument/2006/relationships/hyperlink" Target="https://m.stock.naver.com/research/company/83748" TargetMode="External"/><Relationship Id="rId14909" Type="http://schemas.openxmlformats.org/officeDocument/2006/relationships/hyperlink" Target="https://m.stock.naver.com/research/company/94925" TargetMode="External"/><Relationship Id="rId15280" Type="http://schemas.openxmlformats.org/officeDocument/2006/relationships/hyperlink" Target="https://m.stock.naver.com/research/company/95080" TargetMode="External"/><Relationship Id="rId838" Type="http://schemas.openxmlformats.org/officeDocument/2006/relationships/hyperlink" Target="https://m.stock.naver.com/research/company/92618" TargetMode="External"/><Relationship Id="rId1468" Type="http://schemas.openxmlformats.org/officeDocument/2006/relationships/hyperlink" Target="https://m.stock.naver.com/research/company/91787" TargetMode="External"/><Relationship Id="rId2519" Type="http://schemas.openxmlformats.org/officeDocument/2006/relationships/hyperlink" Target="https://m.stock.naver.com/research/company/90735" TargetMode="External"/><Relationship Id="rId8562" Type="http://schemas.openxmlformats.org/officeDocument/2006/relationships/hyperlink" Target="https://m.stock.naver.com/research/company/84675" TargetMode="External"/><Relationship Id="rId9960" Type="http://schemas.openxmlformats.org/officeDocument/2006/relationships/hyperlink" Target="https://m.stock.naver.com/research/company/83261" TargetMode="External"/><Relationship Id="rId11890" Type="http://schemas.openxmlformats.org/officeDocument/2006/relationships/hyperlink" Target="https://m.stock.naver.com/research/company/81321" TargetMode="External"/><Relationship Id="rId12941" Type="http://schemas.openxmlformats.org/officeDocument/2006/relationships/hyperlink" Target="https://m.stock.naver.com/research/company/80267" TargetMode="External"/><Relationship Id="rId7164" Type="http://schemas.openxmlformats.org/officeDocument/2006/relationships/hyperlink" Target="https://m.stock.naver.com/research/company/86075" TargetMode="External"/><Relationship Id="rId8215" Type="http://schemas.openxmlformats.org/officeDocument/2006/relationships/hyperlink" Target="https://m.stock.naver.com/research/company/85023" TargetMode="External"/><Relationship Id="rId9613" Type="http://schemas.openxmlformats.org/officeDocument/2006/relationships/hyperlink" Target="https://m.stock.naver.com/research/company/83612" TargetMode="External"/><Relationship Id="rId10492" Type="http://schemas.openxmlformats.org/officeDocument/2006/relationships/hyperlink" Target="https://m.stock.naver.com/research/company/82728" TargetMode="External"/><Relationship Id="rId11543" Type="http://schemas.openxmlformats.org/officeDocument/2006/relationships/hyperlink" Target="https://m.stock.naver.com/research/company/81672" TargetMode="External"/><Relationship Id="rId1602" Type="http://schemas.openxmlformats.org/officeDocument/2006/relationships/hyperlink" Target="https://m.stock.naver.com/research/company/91653" TargetMode="External"/><Relationship Id="rId10145" Type="http://schemas.openxmlformats.org/officeDocument/2006/relationships/hyperlink" Target="https://m.stock.naver.com/research/company/83076" TargetMode="External"/><Relationship Id="rId14766" Type="http://schemas.openxmlformats.org/officeDocument/2006/relationships/hyperlink" Target="https://m.stock.naver.com/research/company/94634" TargetMode="External"/><Relationship Id="rId3774" Type="http://schemas.openxmlformats.org/officeDocument/2006/relationships/hyperlink" Target="https://m.stock.naver.com/research/company/89477" TargetMode="External"/><Relationship Id="rId4825" Type="http://schemas.openxmlformats.org/officeDocument/2006/relationships/hyperlink" Target="https://m.stock.naver.com/research/company/88415" TargetMode="External"/><Relationship Id="rId13368" Type="http://schemas.openxmlformats.org/officeDocument/2006/relationships/hyperlink" Target="https://m.stock.naver.com/research/company/79837" TargetMode="External"/><Relationship Id="rId14419" Type="http://schemas.openxmlformats.org/officeDocument/2006/relationships/hyperlink" Target="https://m.stock.naver.com/research/company/94264" TargetMode="External"/><Relationship Id="rId695" Type="http://schemas.openxmlformats.org/officeDocument/2006/relationships/hyperlink" Target="https://m.stock.naver.com/research/company/92761" TargetMode="External"/><Relationship Id="rId2376" Type="http://schemas.openxmlformats.org/officeDocument/2006/relationships/hyperlink" Target="https://m.stock.naver.com/research/company/90878" TargetMode="External"/><Relationship Id="rId3427" Type="http://schemas.openxmlformats.org/officeDocument/2006/relationships/hyperlink" Target="https://m.stock.naver.com/research/company/89824" TargetMode="External"/><Relationship Id="rId6997" Type="http://schemas.openxmlformats.org/officeDocument/2006/relationships/hyperlink" Target="https://m.stock.naver.com/research/company/86242" TargetMode="External"/><Relationship Id="rId348" Type="http://schemas.openxmlformats.org/officeDocument/2006/relationships/hyperlink" Target="https://m.stock.naver.com/research/company/93110" TargetMode="External"/><Relationship Id="rId2029" Type="http://schemas.openxmlformats.org/officeDocument/2006/relationships/hyperlink" Target="https://m.stock.naver.com/research/company/91226" TargetMode="External"/><Relationship Id="rId5599" Type="http://schemas.openxmlformats.org/officeDocument/2006/relationships/hyperlink" Target="https://m.stock.naver.com/research/company/87641" TargetMode="External"/><Relationship Id="rId9470" Type="http://schemas.openxmlformats.org/officeDocument/2006/relationships/hyperlink" Target="https://m.stock.naver.com/research/company/83757" TargetMode="External"/><Relationship Id="rId14900" Type="http://schemas.openxmlformats.org/officeDocument/2006/relationships/hyperlink" Target="https://m.stock.naver.com/research/company/94724" TargetMode="External"/><Relationship Id="rId2510" Type="http://schemas.openxmlformats.org/officeDocument/2006/relationships/hyperlink" Target="https://m.stock.naver.com/research/company/90744" TargetMode="External"/><Relationship Id="rId8072" Type="http://schemas.openxmlformats.org/officeDocument/2006/relationships/hyperlink" Target="https://m.stock.naver.com/research/company/85166" TargetMode="External"/><Relationship Id="rId9123" Type="http://schemas.openxmlformats.org/officeDocument/2006/relationships/hyperlink" Target="https://m.stock.naver.com/research/company/84107" TargetMode="External"/><Relationship Id="rId11053" Type="http://schemas.openxmlformats.org/officeDocument/2006/relationships/hyperlink" Target="https://m.stock.naver.com/research/company/82167" TargetMode="External"/><Relationship Id="rId12104" Type="http://schemas.openxmlformats.org/officeDocument/2006/relationships/hyperlink" Target="https://m.stock.naver.com/research/company/81107" TargetMode="External"/><Relationship Id="rId12451" Type="http://schemas.openxmlformats.org/officeDocument/2006/relationships/hyperlink" Target="https://m.stock.naver.com/research/company/80758" TargetMode="External"/><Relationship Id="rId13502" Type="http://schemas.openxmlformats.org/officeDocument/2006/relationships/hyperlink" Target="https://m.stock.naver.com/research/company/79702" TargetMode="External"/><Relationship Id="rId1112" Type="http://schemas.openxmlformats.org/officeDocument/2006/relationships/hyperlink" Target="https://m.stock.naver.com/research/company/92143" TargetMode="External"/><Relationship Id="rId15674" Type="http://schemas.openxmlformats.org/officeDocument/2006/relationships/hyperlink" Target="https://m.stock.naver.com/research/company/95740" TargetMode="External"/><Relationship Id="rId3284" Type="http://schemas.openxmlformats.org/officeDocument/2006/relationships/hyperlink" Target="https://m.stock.naver.com/research/company/89966" TargetMode="External"/><Relationship Id="rId4682" Type="http://schemas.openxmlformats.org/officeDocument/2006/relationships/hyperlink" Target="https://m.stock.naver.com/research/company/88558" TargetMode="External"/><Relationship Id="rId5733" Type="http://schemas.openxmlformats.org/officeDocument/2006/relationships/hyperlink" Target="https://m.stock.naver.com/research/company/87507" TargetMode="External"/><Relationship Id="rId14276" Type="http://schemas.openxmlformats.org/officeDocument/2006/relationships/hyperlink" Target="https://m.stock.naver.com/research/company/94188" TargetMode="External"/><Relationship Id="rId15327" Type="http://schemas.openxmlformats.org/officeDocument/2006/relationships/hyperlink" Target="https://m.stock.naver.com/research/company/95261" TargetMode="External"/><Relationship Id="rId4335" Type="http://schemas.openxmlformats.org/officeDocument/2006/relationships/hyperlink" Target="https://m.stock.naver.com/research/company/88906" TargetMode="External"/><Relationship Id="rId8956" Type="http://schemas.openxmlformats.org/officeDocument/2006/relationships/hyperlink" Target="https://m.stock.naver.com/research/company/84276" TargetMode="External"/><Relationship Id="rId10886" Type="http://schemas.openxmlformats.org/officeDocument/2006/relationships/hyperlink" Target="https://m.stock.naver.com/research/company/82334" TargetMode="External"/><Relationship Id="rId11937" Type="http://schemas.openxmlformats.org/officeDocument/2006/relationships/hyperlink" Target="https://m.stock.naver.com/research/company/81274" TargetMode="External"/><Relationship Id="rId7558" Type="http://schemas.openxmlformats.org/officeDocument/2006/relationships/hyperlink" Target="https://m.stock.naver.com/research/company/85681" TargetMode="External"/><Relationship Id="rId8609" Type="http://schemas.openxmlformats.org/officeDocument/2006/relationships/hyperlink" Target="https://m.stock.naver.com/research/company/84628" TargetMode="External"/><Relationship Id="rId10539" Type="http://schemas.openxmlformats.org/officeDocument/2006/relationships/hyperlink" Target="https://m.stock.naver.com/research/company/82681" TargetMode="External"/><Relationship Id="rId14410" Type="http://schemas.openxmlformats.org/officeDocument/2006/relationships/hyperlink" Target="https://m.stock.naver.com/research/company/94273" TargetMode="External"/><Relationship Id="rId13012" Type="http://schemas.openxmlformats.org/officeDocument/2006/relationships/hyperlink" Target="https://m.stock.naver.com/research/company/80196" TargetMode="External"/><Relationship Id="rId2020" Type="http://schemas.openxmlformats.org/officeDocument/2006/relationships/hyperlink" Target="https://m.stock.naver.com/research/company/91235" TargetMode="External"/><Relationship Id="rId5590" Type="http://schemas.openxmlformats.org/officeDocument/2006/relationships/hyperlink" Target="https://m.stock.naver.com/research/company/87650" TargetMode="External"/><Relationship Id="rId6641" Type="http://schemas.openxmlformats.org/officeDocument/2006/relationships/hyperlink" Target="https://m.stock.naver.com/research/company/86599" TargetMode="External"/><Relationship Id="rId15184" Type="http://schemas.openxmlformats.org/officeDocument/2006/relationships/hyperlink" Target="https://m.stock.naver.com/research/company/95176" TargetMode="External"/><Relationship Id="rId4192" Type="http://schemas.openxmlformats.org/officeDocument/2006/relationships/hyperlink" Target="https://m.stock.naver.com/research/company/89050" TargetMode="External"/><Relationship Id="rId5243" Type="http://schemas.openxmlformats.org/officeDocument/2006/relationships/hyperlink" Target="https://m.stock.naver.com/research/company/87997" TargetMode="External"/><Relationship Id="rId9864" Type="http://schemas.openxmlformats.org/officeDocument/2006/relationships/hyperlink" Target="https://m.stock.naver.com/research/company/83358" TargetMode="External"/><Relationship Id="rId11794" Type="http://schemas.openxmlformats.org/officeDocument/2006/relationships/hyperlink" Target="https://m.stock.naver.com/research/company/81418" TargetMode="External"/><Relationship Id="rId12845" Type="http://schemas.openxmlformats.org/officeDocument/2006/relationships/hyperlink" Target="https://m.stock.naver.com/research/company/80363" TargetMode="External"/><Relationship Id="rId78" Type="http://schemas.openxmlformats.org/officeDocument/2006/relationships/hyperlink" Target="https://m.stock.naver.com/research/company/93380" TargetMode="External"/><Relationship Id="rId1853" Type="http://schemas.openxmlformats.org/officeDocument/2006/relationships/hyperlink" Target="https://m.stock.naver.com/research/company/91402" TargetMode="External"/><Relationship Id="rId2904" Type="http://schemas.openxmlformats.org/officeDocument/2006/relationships/hyperlink" Target="https://m.stock.naver.com/research/company/90349" TargetMode="External"/><Relationship Id="rId7068" Type="http://schemas.openxmlformats.org/officeDocument/2006/relationships/hyperlink" Target="https://m.stock.naver.com/research/company/86171" TargetMode="External"/><Relationship Id="rId8119" Type="http://schemas.openxmlformats.org/officeDocument/2006/relationships/hyperlink" Target="https://m.stock.naver.com/research/company/85119" TargetMode="External"/><Relationship Id="rId8466" Type="http://schemas.openxmlformats.org/officeDocument/2006/relationships/hyperlink" Target="https://m.stock.naver.com/research/company/84771" TargetMode="External"/><Relationship Id="rId9517" Type="http://schemas.openxmlformats.org/officeDocument/2006/relationships/hyperlink" Target="https://m.stock.naver.com/research/company/83710" TargetMode="External"/><Relationship Id="rId10396" Type="http://schemas.openxmlformats.org/officeDocument/2006/relationships/hyperlink" Target="https://m.stock.naver.com/research/company/82825" TargetMode="External"/><Relationship Id="rId11447" Type="http://schemas.openxmlformats.org/officeDocument/2006/relationships/hyperlink" Target="https://m.stock.naver.com/research/company/81768" TargetMode="External"/><Relationship Id="rId1506" Type="http://schemas.openxmlformats.org/officeDocument/2006/relationships/hyperlink" Target="https://m.stock.naver.com/research/company/91749" TargetMode="External"/><Relationship Id="rId10049" Type="http://schemas.openxmlformats.org/officeDocument/2006/relationships/hyperlink" Target="https://m.stock.naver.com/research/company/83172" TargetMode="External"/><Relationship Id="rId3678" Type="http://schemas.openxmlformats.org/officeDocument/2006/relationships/hyperlink" Target="https://m.stock.naver.com/research/company/89573" TargetMode="External"/><Relationship Id="rId4729" Type="http://schemas.openxmlformats.org/officeDocument/2006/relationships/hyperlink" Target="https://m.stock.naver.com/research/company/88511" TargetMode="External"/><Relationship Id="rId8600" Type="http://schemas.openxmlformats.org/officeDocument/2006/relationships/hyperlink" Target="https://m.stock.naver.com/research/company/84637" TargetMode="External"/><Relationship Id="rId599" Type="http://schemas.openxmlformats.org/officeDocument/2006/relationships/hyperlink" Target="https://m.stock.naver.com/research/company/92858" TargetMode="External"/><Relationship Id="rId6151" Type="http://schemas.openxmlformats.org/officeDocument/2006/relationships/hyperlink" Target="https://m.stock.naver.com/research/company/87089" TargetMode="External"/><Relationship Id="rId7202" Type="http://schemas.openxmlformats.org/officeDocument/2006/relationships/hyperlink" Target="https://m.stock.naver.com/research/company/86037" TargetMode="External"/><Relationship Id="rId10530" Type="http://schemas.openxmlformats.org/officeDocument/2006/relationships/hyperlink" Target="https://m.stock.naver.com/research/company/82690" TargetMode="External"/><Relationship Id="rId9374" Type="http://schemas.openxmlformats.org/officeDocument/2006/relationships/hyperlink" Target="https://m.stock.naver.com/research/company/83853" TargetMode="External"/><Relationship Id="rId13753" Type="http://schemas.openxmlformats.org/officeDocument/2006/relationships/hyperlink" Target="https://m.stock.naver.com/research/company/93532" TargetMode="External"/><Relationship Id="rId14804" Type="http://schemas.openxmlformats.org/officeDocument/2006/relationships/hyperlink" Target="https://m.stock.naver.com/research/company/94596" TargetMode="External"/><Relationship Id="rId1363" Type="http://schemas.openxmlformats.org/officeDocument/2006/relationships/hyperlink" Target="https://m.stock.naver.com/research/company/91892" TargetMode="External"/><Relationship Id="rId2761" Type="http://schemas.openxmlformats.org/officeDocument/2006/relationships/hyperlink" Target="https://m.stock.naver.com/research/company/90493" TargetMode="External"/><Relationship Id="rId3812" Type="http://schemas.openxmlformats.org/officeDocument/2006/relationships/hyperlink" Target="https://m.stock.naver.com/research/company/89439" TargetMode="External"/><Relationship Id="rId9027" Type="http://schemas.openxmlformats.org/officeDocument/2006/relationships/hyperlink" Target="https://m.stock.naver.com/research/company/84205" TargetMode="External"/><Relationship Id="rId12355" Type="http://schemas.openxmlformats.org/officeDocument/2006/relationships/hyperlink" Target="https://m.stock.naver.com/research/company/80854" TargetMode="External"/><Relationship Id="rId13406" Type="http://schemas.openxmlformats.org/officeDocument/2006/relationships/hyperlink" Target="https://m.stock.naver.com/research/company/79799" TargetMode="External"/><Relationship Id="rId733" Type="http://schemas.openxmlformats.org/officeDocument/2006/relationships/hyperlink" Target="https://m.stock.naver.com/research/company/92723" TargetMode="External"/><Relationship Id="rId1016" Type="http://schemas.openxmlformats.org/officeDocument/2006/relationships/hyperlink" Target="https://m.stock.naver.com/research/company/92335" TargetMode="External"/><Relationship Id="rId2414" Type="http://schemas.openxmlformats.org/officeDocument/2006/relationships/hyperlink" Target="https://m.stock.naver.com/research/company/90840" TargetMode="External"/><Relationship Id="rId5984" Type="http://schemas.openxmlformats.org/officeDocument/2006/relationships/hyperlink" Target="https://m.stock.naver.com/research/company/87256" TargetMode="External"/><Relationship Id="rId12008" Type="http://schemas.openxmlformats.org/officeDocument/2006/relationships/hyperlink" Target="https://m.stock.naver.com/research/company/81203" TargetMode="External"/><Relationship Id="rId15578" Type="http://schemas.openxmlformats.org/officeDocument/2006/relationships/hyperlink" Target="https://m.stock.naver.com/research/company/95458" TargetMode="External"/><Relationship Id="rId4586" Type="http://schemas.openxmlformats.org/officeDocument/2006/relationships/hyperlink" Target="https://m.stock.naver.com/research/company/88654" TargetMode="External"/><Relationship Id="rId5637" Type="http://schemas.openxmlformats.org/officeDocument/2006/relationships/hyperlink" Target="https://m.stock.naver.com/research/company/87603" TargetMode="External"/><Relationship Id="rId3188" Type="http://schemas.openxmlformats.org/officeDocument/2006/relationships/hyperlink" Target="https://m.stock.naver.com/research/company/90063" TargetMode="External"/><Relationship Id="rId4239" Type="http://schemas.openxmlformats.org/officeDocument/2006/relationships/hyperlink" Target="https://m.stock.naver.com/research/company/89003" TargetMode="External"/><Relationship Id="rId8110" Type="http://schemas.openxmlformats.org/officeDocument/2006/relationships/hyperlink" Target="https://m.stock.naver.com/research/company/85128" TargetMode="External"/><Relationship Id="rId10040" Type="http://schemas.openxmlformats.org/officeDocument/2006/relationships/hyperlink" Target="https://m.stock.naver.com/research/company/83181" TargetMode="External"/><Relationship Id="rId14661" Type="http://schemas.openxmlformats.org/officeDocument/2006/relationships/hyperlink" Target="https://m.stock.naver.com/research/company/94517" TargetMode="External"/><Relationship Id="rId4720" Type="http://schemas.openxmlformats.org/officeDocument/2006/relationships/hyperlink" Target="https://m.stock.naver.com/research/company/88520" TargetMode="External"/><Relationship Id="rId13263" Type="http://schemas.openxmlformats.org/officeDocument/2006/relationships/hyperlink" Target="https://m.stock.naver.com/research/company/79943" TargetMode="External"/><Relationship Id="rId14314" Type="http://schemas.openxmlformats.org/officeDocument/2006/relationships/hyperlink" Target="https://m.stock.naver.com/research/company/94150" TargetMode="External"/><Relationship Id="rId15712" Type="http://schemas.openxmlformats.org/officeDocument/2006/relationships/hyperlink" Target="https://m.stock.naver.com/research/company/95702" TargetMode="External"/><Relationship Id="rId590" Type="http://schemas.openxmlformats.org/officeDocument/2006/relationships/hyperlink" Target="https://m.stock.naver.com/research/company/92867" TargetMode="External"/><Relationship Id="rId2271" Type="http://schemas.openxmlformats.org/officeDocument/2006/relationships/hyperlink" Target="https://m.stock.naver.com/research/company/90984" TargetMode="External"/><Relationship Id="rId3322" Type="http://schemas.openxmlformats.org/officeDocument/2006/relationships/hyperlink" Target="https://m.stock.naver.com/research/company/89928" TargetMode="External"/><Relationship Id="rId243" Type="http://schemas.openxmlformats.org/officeDocument/2006/relationships/hyperlink" Target="https://m.stock.naver.com/research/company/93215" TargetMode="External"/><Relationship Id="rId5494" Type="http://schemas.openxmlformats.org/officeDocument/2006/relationships/hyperlink" Target="https://m.stock.naver.com/research/company/87746" TargetMode="External"/><Relationship Id="rId6892" Type="http://schemas.openxmlformats.org/officeDocument/2006/relationships/hyperlink" Target="https://m.stock.naver.com/research/company/86347" TargetMode="External"/><Relationship Id="rId7943" Type="http://schemas.openxmlformats.org/officeDocument/2006/relationships/hyperlink" Target="https://m.stock.naver.com/research/company/85295" TargetMode="External"/><Relationship Id="rId10924" Type="http://schemas.openxmlformats.org/officeDocument/2006/relationships/hyperlink" Target="https://m.stock.naver.com/research/company/82296" TargetMode="External"/><Relationship Id="rId15088" Type="http://schemas.openxmlformats.org/officeDocument/2006/relationships/hyperlink" Target="https://m.stock.naver.com/research/company/95006" TargetMode="External"/><Relationship Id="rId4096" Type="http://schemas.openxmlformats.org/officeDocument/2006/relationships/hyperlink" Target="https://m.stock.naver.com/research/company/89155" TargetMode="External"/><Relationship Id="rId5147" Type="http://schemas.openxmlformats.org/officeDocument/2006/relationships/hyperlink" Target="https://m.stock.naver.com/research/company/88093" TargetMode="External"/><Relationship Id="rId6545" Type="http://schemas.openxmlformats.org/officeDocument/2006/relationships/hyperlink" Target="https://m.stock.naver.com/research/company/86695" TargetMode="External"/><Relationship Id="rId9768" Type="http://schemas.openxmlformats.org/officeDocument/2006/relationships/hyperlink" Target="https://m.stock.naver.com/research/company/83455" TargetMode="External"/><Relationship Id="rId11698" Type="http://schemas.openxmlformats.org/officeDocument/2006/relationships/hyperlink" Target="https://m.stock.naver.com/research/company/81514" TargetMode="External"/><Relationship Id="rId12749" Type="http://schemas.openxmlformats.org/officeDocument/2006/relationships/hyperlink" Target="https://m.stock.naver.com/research/company/80459" TargetMode="External"/><Relationship Id="rId1757" Type="http://schemas.openxmlformats.org/officeDocument/2006/relationships/hyperlink" Target="https://m.stock.naver.com/research/company/91498" TargetMode="External"/><Relationship Id="rId2808" Type="http://schemas.openxmlformats.org/officeDocument/2006/relationships/hyperlink" Target="https://m.stock.naver.com/research/company/90446" TargetMode="External"/><Relationship Id="rId14171" Type="http://schemas.openxmlformats.org/officeDocument/2006/relationships/hyperlink" Target="https://m.stock.naver.com/research/company/93957" TargetMode="External"/><Relationship Id="rId15222" Type="http://schemas.openxmlformats.org/officeDocument/2006/relationships/hyperlink" Target="https://m.stock.naver.com/research/company/95138" TargetMode="External"/><Relationship Id="rId4230" Type="http://schemas.openxmlformats.org/officeDocument/2006/relationships/hyperlink" Target="https://m.stock.naver.com/research/company/89012" TargetMode="External"/><Relationship Id="rId8851" Type="http://schemas.openxmlformats.org/officeDocument/2006/relationships/hyperlink" Target="https://m.stock.naver.com/research/company/84386" TargetMode="External"/><Relationship Id="rId7453" Type="http://schemas.openxmlformats.org/officeDocument/2006/relationships/hyperlink" Target="https://m.stock.naver.com/research/company/85786" TargetMode="External"/><Relationship Id="rId8504" Type="http://schemas.openxmlformats.org/officeDocument/2006/relationships/hyperlink" Target="https://m.stock.naver.com/research/company/84733" TargetMode="External"/><Relationship Id="rId9902" Type="http://schemas.openxmlformats.org/officeDocument/2006/relationships/hyperlink" Target="https://m.stock.naver.com/research/company/83320" TargetMode="External"/><Relationship Id="rId10781" Type="http://schemas.openxmlformats.org/officeDocument/2006/relationships/hyperlink" Target="https://m.stock.naver.com/research/company/82439" TargetMode="External"/><Relationship Id="rId11832" Type="http://schemas.openxmlformats.org/officeDocument/2006/relationships/hyperlink" Target="https://m.stock.naver.com/research/company/81380" TargetMode="External"/><Relationship Id="rId6055" Type="http://schemas.openxmlformats.org/officeDocument/2006/relationships/hyperlink" Target="https://m.stock.naver.com/research/company/87185" TargetMode="External"/><Relationship Id="rId7106" Type="http://schemas.openxmlformats.org/officeDocument/2006/relationships/hyperlink" Target="https://m.stock.naver.com/research/company/86133" TargetMode="External"/><Relationship Id="rId10434" Type="http://schemas.openxmlformats.org/officeDocument/2006/relationships/hyperlink" Target="https://m.stock.naver.com/research/company/82787" TargetMode="External"/><Relationship Id="rId9278" Type="http://schemas.openxmlformats.org/officeDocument/2006/relationships/hyperlink" Target="https://m.stock.naver.com/research/company/83949" TargetMode="External"/><Relationship Id="rId13657" Type="http://schemas.openxmlformats.org/officeDocument/2006/relationships/hyperlink" Target="https://m.stock.naver.com/research/company/79547" TargetMode="External"/><Relationship Id="rId14708" Type="http://schemas.openxmlformats.org/officeDocument/2006/relationships/hyperlink" Target="https://m.stock.naver.com/research/company/94692" TargetMode="External"/><Relationship Id="rId984" Type="http://schemas.openxmlformats.org/officeDocument/2006/relationships/hyperlink" Target="https://m.stock.naver.com/research/company/92472" TargetMode="External"/><Relationship Id="rId2665" Type="http://schemas.openxmlformats.org/officeDocument/2006/relationships/hyperlink" Target="https://m.stock.naver.com/research/company/90589" TargetMode="External"/><Relationship Id="rId3716" Type="http://schemas.openxmlformats.org/officeDocument/2006/relationships/hyperlink" Target="https://m.stock.naver.com/research/company/89535" TargetMode="External"/><Relationship Id="rId12259" Type="http://schemas.openxmlformats.org/officeDocument/2006/relationships/hyperlink" Target="https://m.stock.naver.com/research/company/80950" TargetMode="External"/><Relationship Id="rId637" Type="http://schemas.openxmlformats.org/officeDocument/2006/relationships/hyperlink" Target="https://m.stock.naver.com/research/company/92819" TargetMode="External"/><Relationship Id="rId1267" Type="http://schemas.openxmlformats.org/officeDocument/2006/relationships/hyperlink" Target="https://m.stock.naver.com/research/company/91988" TargetMode="External"/><Relationship Id="rId2318" Type="http://schemas.openxmlformats.org/officeDocument/2006/relationships/hyperlink" Target="https://m.stock.naver.com/research/company/90937" TargetMode="External"/><Relationship Id="rId5888" Type="http://schemas.openxmlformats.org/officeDocument/2006/relationships/hyperlink" Target="https://m.stock.naver.com/research/company/87352" TargetMode="External"/><Relationship Id="rId6939" Type="http://schemas.openxmlformats.org/officeDocument/2006/relationships/hyperlink" Target="https://m.stock.naver.com/research/company/86300" TargetMode="External"/><Relationship Id="rId8361" Type="http://schemas.openxmlformats.org/officeDocument/2006/relationships/hyperlink" Target="https://m.stock.naver.com/research/company/84877" TargetMode="External"/><Relationship Id="rId9412" Type="http://schemas.openxmlformats.org/officeDocument/2006/relationships/hyperlink" Target="https://m.stock.naver.com/research/company/83815" TargetMode="External"/><Relationship Id="rId10291" Type="http://schemas.openxmlformats.org/officeDocument/2006/relationships/hyperlink" Target="https://m.stock.naver.com/research/company/82930" TargetMode="External"/><Relationship Id="rId11342" Type="http://schemas.openxmlformats.org/officeDocument/2006/relationships/hyperlink" Target="https://m.stock.naver.com/research/company/81874" TargetMode="External"/><Relationship Id="rId12740" Type="http://schemas.openxmlformats.org/officeDocument/2006/relationships/hyperlink" Target="https://m.stock.naver.com/research/company/80468" TargetMode="External"/><Relationship Id="rId1401" Type="http://schemas.openxmlformats.org/officeDocument/2006/relationships/hyperlink" Target="https://m.stock.naver.com/research/company/91854" TargetMode="External"/><Relationship Id="rId8014" Type="http://schemas.openxmlformats.org/officeDocument/2006/relationships/hyperlink" Target="https://m.stock.naver.com/research/company/85224" TargetMode="External"/><Relationship Id="rId3573" Type="http://schemas.openxmlformats.org/officeDocument/2006/relationships/hyperlink" Target="https://m.stock.naver.com/research/company/89678" TargetMode="External"/><Relationship Id="rId4971" Type="http://schemas.openxmlformats.org/officeDocument/2006/relationships/hyperlink" Target="https://m.stock.naver.com/research/company/88269" TargetMode="External"/><Relationship Id="rId13167" Type="http://schemas.openxmlformats.org/officeDocument/2006/relationships/hyperlink" Target="https://m.stock.naver.com/research/company/80040" TargetMode="External"/><Relationship Id="rId14565" Type="http://schemas.openxmlformats.org/officeDocument/2006/relationships/hyperlink" Target="https://m.stock.naver.com/research/company/94345" TargetMode="External"/><Relationship Id="rId15616" Type="http://schemas.openxmlformats.org/officeDocument/2006/relationships/hyperlink" Target="https://m.stock.naver.com/research/company/95420" TargetMode="External"/><Relationship Id="rId494" Type="http://schemas.openxmlformats.org/officeDocument/2006/relationships/hyperlink" Target="https://m.stock.naver.com/research/company/92963" TargetMode="External"/><Relationship Id="rId2175" Type="http://schemas.openxmlformats.org/officeDocument/2006/relationships/hyperlink" Target="https://m.stock.naver.com/research/company/91080" TargetMode="External"/><Relationship Id="rId3226" Type="http://schemas.openxmlformats.org/officeDocument/2006/relationships/hyperlink" Target="https://m.stock.naver.com/research/company/90025" TargetMode="External"/><Relationship Id="rId4624" Type="http://schemas.openxmlformats.org/officeDocument/2006/relationships/hyperlink" Target="https://m.stock.naver.com/research/company/88616" TargetMode="External"/><Relationship Id="rId14218" Type="http://schemas.openxmlformats.org/officeDocument/2006/relationships/hyperlink" Target="https://m.stock.naver.com/research/company/94040" TargetMode="External"/><Relationship Id="rId147" Type="http://schemas.openxmlformats.org/officeDocument/2006/relationships/hyperlink" Target="https://m.stock.naver.com/research/company/93311" TargetMode="External"/><Relationship Id="rId6796" Type="http://schemas.openxmlformats.org/officeDocument/2006/relationships/hyperlink" Target="https://m.stock.naver.com/research/company/86444" TargetMode="External"/><Relationship Id="rId7847" Type="http://schemas.openxmlformats.org/officeDocument/2006/relationships/hyperlink" Target="https://m.stock.naver.com/research/company/85391" TargetMode="External"/><Relationship Id="rId10828" Type="http://schemas.openxmlformats.org/officeDocument/2006/relationships/hyperlink" Target="https://m.stock.naver.com/research/company/82392" TargetMode="External"/><Relationship Id="rId5398" Type="http://schemas.openxmlformats.org/officeDocument/2006/relationships/hyperlink" Target="https://m.stock.naver.com/research/company/87842" TargetMode="External"/><Relationship Id="rId6449" Type="http://schemas.openxmlformats.org/officeDocument/2006/relationships/hyperlink" Target="https://m.stock.naver.com/research/company/86791" TargetMode="External"/><Relationship Id="rId12250" Type="http://schemas.openxmlformats.org/officeDocument/2006/relationships/hyperlink" Target="https://m.stock.naver.com/research/company/80959" TargetMode="External"/><Relationship Id="rId13301" Type="http://schemas.openxmlformats.org/officeDocument/2006/relationships/hyperlink" Target="https://m.stock.naver.com/research/company/79904" TargetMode="External"/><Relationship Id="rId6930" Type="http://schemas.openxmlformats.org/officeDocument/2006/relationships/hyperlink" Target="https://m.stock.naver.com/research/company/86309" TargetMode="External"/><Relationship Id="rId15473" Type="http://schemas.openxmlformats.org/officeDocument/2006/relationships/hyperlink" Target="https://m.stock.naver.com/research/company/95314" TargetMode="External"/><Relationship Id="rId4481" Type="http://schemas.openxmlformats.org/officeDocument/2006/relationships/hyperlink" Target="https://m.stock.naver.com/research/company/88759" TargetMode="External"/><Relationship Id="rId5532" Type="http://schemas.openxmlformats.org/officeDocument/2006/relationships/hyperlink" Target="https://m.stock.naver.com/research/company/87708" TargetMode="External"/><Relationship Id="rId14075" Type="http://schemas.openxmlformats.org/officeDocument/2006/relationships/hyperlink" Target="https://m.stock.naver.com/research/company/93879" TargetMode="External"/><Relationship Id="rId15126" Type="http://schemas.openxmlformats.org/officeDocument/2006/relationships/hyperlink" Target="https://m.stock.naver.com/research/company/94968" TargetMode="External"/><Relationship Id="rId3083" Type="http://schemas.openxmlformats.org/officeDocument/2006/relationships/hyperlink" Target="https://m.stock.naver.com/research/company/90168" TargetMode="External"/><Relationship Id="rId4134" Type="http://schemas.openxmlformats.org/officeDocument/2006/relationships/hyperlink" Target="https://m.stock.naver.com/research/company/89117" TargetMode="External"/><Relationship Id="rId7357" Type="http://schemas.openxmlformats.org/officeDocument/2006/relationships/hyperlink" Target="https://m.stock.naver.com/research/company/85882" TargetMode="External"/><Relationship Id="rId8408" Type="http://schemas.openxmlformats.org/officeDocument/2006/relationships/hyperlink" Target="https://m.stock.naver.com/research/company/84830" TargetMode="External"/><Relationship Id="rId8755" Type="http://schemas.openxmlformats.org/officeDocument/2006/relationships/hyperlink" Target="https://m.stock.naver.com/research/company/84482" TargetMode="External"/><Relationship Id="rId9806" Type="http://schemas.openxmlformats.org/officeDocument/2006/relationships/hyperlink" Target="https://m.stock.naver.com/research/company/83416" TargetMode="External"/><Relationship Id="rId10685" Type="http://schemas.openxmlformats.org/officeDocument/2006/relationships/hyperlink" Target="https://m.stock.naver.com/research/company/82535" TargetMode="External"/><Relationship Id="rId11736" Type="http://schemas.openxmlformats.org/officeDocument/2006/relationships/hyperlink" Target="https://m.stock.naver.com/research/company/81476" TargetMode="External"/><Relationship Id="rId10338" Type="http://schemas.openxmlformats.org/officeDocument/2006/relationships/hyperlink" Target="https://m.stock.naver.com/research/company/82883" TargetMode="External"/><Relationship Id="rId14959" Type="http://schemas.openxmlformats.org/officeDocument/2006/relationships/hyperlink" Target="https://m.stock.naver.com/research/company/94875" TargetMode="External"/><Relationship Id="rId3967" Type="http://schemas.openxmlformats.org/officeDocument/2006/relationships/hyperlink" Target="https://m.stock.naver.com/research/company/89284" TargetMode="External"/><Relationship Id="rId4" Type="http://schemas.openxmlformats.org/officeDocument/2006/relationships/hyperlink" Target="https://m.stock.naver.com/research/company/93454" TargetMode="External"/><Relationship Id="rId888" Type="http://schemas.openxmlformats.org/officeDocument/2006/relationships/hyperlink" Target="https://m.stock.naver.com/research/company/92568" TargetMode="External"/><Relationship Id="rId2569" Type="http://schemas.openxmlformats.org/officeDocument/2006/relationships/hyperlink" Target="https://m.stock.naver.com/research/company/90685" TargetMode="External"/><Relationship Id="rId6440" Type="http://schemas.openxmlformats.org/officeDocument/2006/relationships/hyperlink" Target="https://m.stock.naver.com/research/company/86800" TargetMode="External"/><Relationship Id="rId5042" Type="http://schemas.openxmlformats.org/officeDocument/2006/relationships/hyperlink" Target="https://m.stock.naver.com/research/company/88198" TargetMode="External"/><Relationship Id="rId9663" Type="http://schemas.openxmlformats.org/officeDocument/2006/relationships/hyperlink" Target="https://m.stock.naver.com/research/company/83561" TargetMode="External"/><Relationship Id="rId12991" Type="http://schemas.openxmlformats.org/officeDocument/2006/relationships/hyperlink" Target="https://m.stock.naver.com/research/company/80217" TargetMode="External"/><Relationship Id="rId1652" Type="http://schemas.openxmlformats.org/officeDocument/2006/relationships/hyperlink" Target="https://m.stock.naver.com/research/company/91603" TargetMode="External"/><Relationship Id="rId8265" Type="http://schemas.openxmlformats.org/officeDocument/2006/relationships/hyperlink" Target="https://m.stock.naver.com/research/company/84973" TargetMode="External"/><Relationship Id="rId9316" Type="http://schemas.openxmlformats.org/officeDocument/2006/relationships/hyperlink" Target="https://m.stock.naver.com/research/company/83911" TargetMode="External"/><Relationship Id="rId10195" Type="http://schemas.openxmlformats.org/officeDocument/2006/relationships/hyperlink" Target="https://m.stock.naver.com/research/company/83026" TargetMode="External"/><Relationship Id="rId11246" Type="http://schemas.openxmlformats.org/officeDocument/2006/relationships/hyperlink" Target="https://m.stock.naver.com/research/company/81973" TargetMode="External"/><Relationship Id="rId11593" Type="http://schemas.openxmlformats.org/officeDocument/2006/relationships/hyperlink" Target="https://m.stock.naver.com/research/company/81619" TargetMode="External"/><Relationship Id="rId12644" Type="http://schemas.openxmlformats.org/officeDocument/2006/relationships/hyperlink" Target="https://m.stock.naver.com/research/company/80564" TargetMode="External"/><Relationship Id="rId1305" Type="http://schemas.openxmlformats.org/officeDocument/2006/relationships/hyperlink" Target="https://m.stock.naver.com/research/company/91950" TargetMode="External"/><Relationship Id="rId2703" Type="http://schemas.openxmlformats.org/officeDocument/2006/relationships/hyperlink" Target="https://m.stock.naver.com/research/company/90551" TargetMode="External"/><Relationship Id="rId4875" Type="http://schemas.openxmlformats.org/officeDocument/2006/relationships/hyperlink" Target="https://m.stock.naver.com/research/company/88365" TargetMode="External"/><Relationship Id="rId5926" Type="http://schemas.openxmlformats.org/officeDocument/2006/relationships/hyperlink" Target="https://m.stock.naver.com/research/company/87314" TargetMode="External"/><Relationship Id="rId14469" Type="http://schemas.openxmlformats.org/officeDocument/2006/relationships/hyperlink" Target="https://m.stock.naver.com/research/company/94441" TargetMode="External"/><Relationship Id="rId11" Type="http://schemas.openxmlformats.org/officeDocument/2006/relationships/hyperlink" Target="https://m.stock.naver.com/research/company/93447" TargetMode="External"/><Relationship Id="rId398" Type="http://schemas.openxmlformats.org/officeDocument/2006/relationships/hyperlink" Target="https://m.stock.naver.com/research/company/93060" TargetMode="External"/><Relationship Id="rId2079" Type="http://schemas.openxmlformats.org/officeDocument/2006/relationships/hyperlink" Target="https://m.stock.naver.com/research/company/91176" TargetMode="External"/><Relationship Id="rId3477" Type="http://schemas.openxmlformats.org/officeDocument/2006/relationships/hyperlink" Target="https://m.stock.naver.com/research/company/89774" TargetMode="External"/><Relationship Id="rId4528" Type="http://schemas.openxmlformats.org/officeDocument/2006/relationships/hyperlink" Target="https://m.stock.naver.com/research/company/88712" TargetMode="External"/><Relationship Id="rId7001" Type="http://schemas.openxmlformats.org/officeDocument/2006/relationships/hyperlink" Target="https://m.stock.naver.com/research/company/86238" TargetMode="External"/><Relationship Id="rId13552" Type="http://schemas.openxmlformats.org/officeDocument/2006/relationships/hyperlink" Target="https://m.stock.naver.com/research/company/79652" TargetMode="External"/><Relationship Id="rId14603" Type="http://schemas.openxmlformats.org/officeDocument/2006/relationships/hyperlink" Target="https://m.stock.naver.com/research/company/94574" TargetMode="External"/><Relationship Id="rId14950" Type="http://schemas.openxmlformats.org/officeDocument/2006/relationships/hyperlink" Target="https://m.stock.naver.com/research/company/94884" TargetMode="External"/><Relationship Id="rId2560" Type="http://schemas.openxmlformats.org/officeDocument/2006/relationships/hyperlink" Target="https://m.stock.naver.com/research/company/90694" TargetMode="External"/><Relationship Id="rId3611" Type="http://schemas.openxmlformats.org/officeDocument/2006/relationships/hyperlink" Target="https://m.stock.naver.com/research/company/89640" TargetMode="External"/><Relationship Id="rId9173" Type="http://schemas.openxmlformats.org/officeDocument/2006/relationships/hyperlink" Target="https://m.stock.naver.com/research/company/84057" TargetMode="External"/><Relationship Id="rId12154" Type="http://schemas.openxmlformats.org/officeDocument/2006/relationships/hyperlink" Target="https://m.stock.naver.com/research/company/81057" TargetMode="External"/><Relationship Id="rId13205" Type="http://schemas.openxmlformats.org/officeDocument/2006/relationships/hyperlink" Target="https://m.stock.naver.com/research/company/80002" TargetMode="External"/><Relationship Id="rId532" Type="http://schemas.openxmlformats.org/officeDocument/2006/relationships/hyperlink" Target="https://m.stock.naver.com/research/company/92925" TargetMode="External"/><Relationship Id="rId1162" Type="http://schemas.openxmlformats.org/officeDocument/2006/relationships/hyperlink" Target="https://m.stock.naver.com/research/company/92093" TargetMode="External"/><Relationship Id="rId2213" Type="http://schemas.openxmlformats.org/officeDocument/2006/relationships/hyperlink" Target="https://m.stock.naver.com/research/company/91042" TargetMode="External"/><Relationship Id="rId5783" Type="http://schemas.openxmlformats.org/officeDocument/2006/relationships/hyperlink" Target="https://m.stock.naver.com/research/company/87457" TargetMode="External"/><Relationship Id="rId15377" Type="http://schemas.openxmlformats.org/officeDocument/2006/relationships/hyperlink" Target="https://m.stock.naver.com/research/company/95211" TargetMode="External"/><Relationship Id="rId4385" Type="http://schemas.openxmlformats.org/officeDocument/2006/relationships/hyperlink" Target="https://m.stock.naver.com/research/company/88856" TargetMode="External"/><Relationship Id="rId5436" Type="http://schemas.openxmlformats.org/officeDocument/2006/relationships/hyperlink" Target="https://m.stock.naver.com/research/company/87804" TargetMode="External"/><Relationship Id="rId6834" Type="http://schemas.openxmlformats.org/officeDocument/2006/relationships/hyperlink" Target="https://m.stock.naver.com/research/company/86406" TargetMode="External"/><Relationship Id="rId4038" Type="http://schemas.openxmlformats.org/officeDocument/2006/relationships/hyperlink" Target="https://m.stock.naver.com/research/company/89213" TargetMode="External"/><Relationship Id="rId11987" Type="http://schemas.openxmlformats.org/officeDocument/2006/relationships/hyperlink" Target="https://m.stock.naver.com/research/company/81224" TargetMode="External"/><Relationship Id="rId8659" Type="http://schemas.openxmlformats.org/officeDocument/2006/relationships/hyperlink" Target="https://m.stock.naver.com/research/company/84578" TargetMode="External"/><Relationship Id="rId10589" Type="http://schemas.openxmlformats.org/officeDocument/2006/relationships/hyperlink" Target="https://m.stock.naver.com/research/company/82631" TargetMode="External"/><Relationship Id="rId14460" Type="http://schemas.openxmlformats.org/officeDocument/2006/relationships/hyperlink" Target="https://m.stock.naver.com/research/company/94450" TargetMode="External"/><Relationship Id="rId15511" Type="http://schemas.openxmlformats.org/officeDocument/2006/relationships/hyperlink" Target="https://m.stock.naver.com/research/company/95525" TargetMode="External"/><Relationship Id="rId13062" Type="http://schemas.openxmlformats.org/officeDocument/2006/relationships/hyperlink" Target="https://m.stock.naver.com/research/company/80145" TargetMode="External"/><Relationship Id="rId14113" Type="http://schemas.openxmlformats.org/officeDocument/2006/relationships/hyperlink" Target="https://m.stock.naver.com/research/company/93889" TargetMode="External"/><Relationship Id="rId2070" Type="http://schemas.openxmlformats.org/officeDocument/2006/relationships/hyperlink" Target="https://m.stock.naver.com/research/company/91185" TargetMode="External"/><Relationship Id="rId3121" Type="http://schemas.openxmlformats.org/officeDocument/2006/relationships/hyperlink" Target="https://m.stock.naver.com/research/company/90130" TargetMode="External"/><Relationship Id="rId6691" Type="http://schemas.openxmlformats.org/officeDocument/2006/relationships/hyperlink" Target="https://m.stock.naver.com/research/company/86549" TargetMode="External"/><Relationship Id="rId7742" Type="http://schemas.openxmlformats.org/officeDocument/2006/relationships/hyperlink" Target="https://m.stock.naver.com/research/company/85497" TargetMode="External"/><Relationship Id="rId5293" Type="http://schemas.openxmlformats.org/officeDocument/2006/relationships/hyperlink" Target="https://m.stock.naver.com/research/company/87947" TargetMode="External"/><Relationship Id="rId6344" Type="http://schemas.openxmlformats.org/officeDocument/2006/relationships/hyperlink" Target="https://m.stock.naver.com/research/company/86896" TargetMode="External"/><Relationship Id="rId10723" Type="http://schemas.openxmlformats.org/officeDocument/2006/relationships/hyperlink" Target="https://m.stock.naver.com/research/company/82497" TargetMode="External"/><Relationship Id="rId9567" Type="http://schemas.openxmlformats.org/officeDocument/2006/relationships/hyperlink" Target="https://m.stock.naver.com/research/company/83660" TargetMode="External"/><Relationship Id="rId12895" Type="http://schemas.openxmlformats.org/officeDocument/2006/relationships/hyperlink" Target="https://m.stock.naver.com/research/company/80313" TargetMode="External"/><Relationship Id="rId13946" Type="http://schemas.openxmlformats.org/officeDocument/2006/relationships/hyperlink" Target="https://m.stock.naver.com/research/company/93786" TargetMode="External"/><Relationship Id="rId2954" Type="http://schemas.openxmlformats.org/officeDocument/2006/relationships/hyperlink" Target="https://m.stock.naver.com/research/company/90299" TargetMode="External"/><Relationship Id="rId8169" Type="http://schemas.openxmlformats.org/officeDocument/2006/relationships/hyperlink" Target="https://m.stock.naver.com/research/company/85069" TargetMode="External"/><Relationship Id="rId11497" Type="http://schemas.openxmlformats.org/officeDocument/2006/relationships/hyperlink" Target="https://m.stock.naver.com/research/company/81718" TargetMode="External"/><Relationship Id="rId12548" Type="http://schemas.openxmlformats.org/officeDocument/2006/relationships/hyperlink" Target="https://m.stock.naver.com/research/company/80660" TargetMode="External"/><Relationship Id="rId926" Type="http://schemas.openxmlformats.org/officeDocument/2006/relationships/hyperlink" Target="https://m.stock.naver.com/research/company/92530" TargetMode="External"/><Relationship Id="rId1556" Type="http://schemas.openxmlformats.org/officeDocument/2006/relationships/hyperlink" Target="https://m.stock.naver.com/research/company/91699" TargetMode="External"/><Relationship Id="rId2607" Type="http://schemas.openxmlformats.org/officeDocument/2006/relationships/hyperlink" Target="https://m.stock.naver.com/research/company/90647" TargetMode="External"/><Relationship Id="rId10099" Type="http://schemas.openxmlformats.org/officeDocument/2006/relationships/hyperlink" Target="https://m.stock.naver.com/research/company/83122" TargetMode="External"/><Relationship Id="rId15021" Type="http://schemas.openxmlformats.org/officeDocument/2006/relationships/hyperlink" Target="https://m.stock.naver.com/research/company/94813" TargetMode="External"/><Relationship Id="rId1209" Type="http://schemas.openxmlformats.org/officeDocument/2006/relationships/hyperlink" Target="https://m.stock.naver.com/research/company/92046" TargetMode="External"/><Relationship Id="rId4779" Type="http://schemas.openxmlformats.org/officeDocument/2006/relationships/hyperlink" Target="https://m.stock.naver.com/research/company/88461" TargetMode="External"/><Relationship Id="rId8650" Type="http://schemas.openxmlformats.org/officeDocument/2006/relationships/hyperlink" Target="https://m.stock.naver.com/research/company/84587" TargetMode="External"/><Relationship Id="rId9701" Type="http://schemas.openxmlformats.org/officeDocument/2006/relationships/hyperlink" Target="https://m.stock.naver.com/research/company/83522" TargetMode="External"/><Relationship Id="rId10580" Type="http://schemas.openxmlformats.org/officeDocument/2006/relationships/hyperlink" Target="https://m.stock.naver.com/research/company/82640" TargetMode="External"/><Relationship Id="rId11631" Type="http://schemas.openxmlformats.org/officeDocument/2006/relationships/hyperlink" Target="https://m.stock.naver.com/research/company/81581" TargetMode="External"/><Relationship Id="rId7252" Type="http://schemas.openxmlformats.org/officeDocument/2006/relationships/hyperlink" Target="https://m.stock.naver.com/research/company/85987" TargetMode="External"/><Relationship Id="rId8303" Type="http://schemas.openxmlformats.org/officeDocument/2006/relationships/hyperlink" Target="https://m.stock.naver.com/research/company/84935" TargetMode="External"/><Relationship Id="rId10233" Type="http://schemas.openxmlformats.org/officeDocument/2006/relationships/hyperlink" Target="https://m.stock.naver.com/research/company/82988" TargetMode="External"/><Relationship Id="rId3862" Type="http://schemas.openxmlformats.org/officeDocument/2006/relationships/hyperlink" Target="https://m.stock.naver.com/research/company/89389" TargetMode="External"/><Relationship Id="rId13456" Type="http://schemas.openxmlformats.org/officeDocument/2006/relationships/hyperlink" Target="https://m.stock.naver.com/research/company/79748" TargetMode="External"/><Relationship Id="rId14854" Type="http://schemas.openxmlformats.org/officeDocument/2006/relationships/hyperlink" Target="https://m.stock.naver.com/research/company/94770" TargetMode="External"/><Relationship Id="rId783" Type="http://schemas.openxmlformats.org/officeDocument/2006/relationships/hyperlink" Target="https://m.stock.naver.com/research/company/92673" TargetMode="External"/><Relationship Id="rId2464" Type="http://schemas.openxmlformats.org/officeDocument/2006/relationships/hyperlink" Target="https://m.stock.naver.com/research/company/90790" TargetMode="External"/><Relationship Id="rId3515" Type="http://schemas.openxmlformats.org/officeDocument/2006/relationships/hyperlink" Target="https://m.stock.naver.com/research/company/89736" TargetMode="External"/><Relationship Id="rId4913" Type="http://schemas.openxmlformats.org/officeDocument/2006/relationships/hyperlink" Target="https://m.stock.naver.com/research/company/88327" TargetMode="External"/><Relationship Id="rId9077" Type="http://schemas.openxmlformats.org/officeDocument/2006/relationships/hyperlink" Target="https://m.stock.naver.com/research/company/84154" TargetMode="External"/><Relationship Id="rId12058" Type="http://schemas.openxmlformats.org/officeDocument/2006/relationships/hyperlink" Target="https://m.stock.naver.com/research/company/81153" TargetMode="External"/><Relationship Id="rId13109" Type="http://schemas.openxmlformats.org/officeDocument/2006/relationships/hyperlink" Target="https://m.stock.naver.com/research/company/80098" TargetMode="External"/><Relationship Id="rId14507" Type="http://schemas.openxmlformats.org/officeDocument/2006/relationships/hyperlink" Target="https://m.stock.naver.com/research/company/94403" TargetMode="External"/><Relationship Id="rId436" Type="http://schemas.openxmlformats.org/officeDocument/2006/relationships/hyperlink" Target="https://m.stock.naver.com/research/company/93021" TargetMode="External"/><Relationship Id="rId1066" Type="http://schemas.openxmlformats.org/officeDocument/2006/relationships/hyperlink" Target="https://m.stock.naver.com/research/company/92190" TargetMode="External"/><Relationship Id="rId2117" Type="http://schemas.openxmlformats.org/officeDocument/2006/relationships/hyperlink" Target="https://m.stock.naver.com/research/company/91138" TargetMode="External"/><Relationship Id="rId4289" Type="http://schemas.openxmlformats.org/officeDocument/2006/relationships/hyperlink" Target="https://m.stock.naver.com/research/company/88952" TargetMode="External"/><Relationship Id="rId5687" Type="http://schemas.openxmlformats.org/officeDocument/2006/relationships/hyperlink" Target="https://m.stock.naver.com/research/company/87553" TargetMode="External"/><Relationship Id="rId6738" Type="http://schemas.openxmlformats.org/officeDocument/2006/relationships/hyperlink" Target="https://m.stock.naver.com/research/company/86502" TargetMode="External"/><Relationship Id="rId8160" Type="http://schemas.openxmlformats.org/officeDocument/2006/relationships/hyperlink" Target="https://m.stock.naver.com/research/company/85078" TargetMode="External"/><Relationship Id="rId9211" Type="http://schemas.openxmlformats.org/officeDocument/2006/relationships/hyperlink" Target="https://m.stock.naver.com/research/company/84019" TargetMode="External"/><Relationship Id="rId10090" Type="http://schemas.openxmlformats.org/officeDocument/2006/relationships/hyperlink" Target="https://m.stock.naver.com/research/company/83131" TargetMode="External"/><Relationship Id="rId11141" Type="http://schemas.openxmlformats.org/officeDocument/2006/relationships/hyperlink" Target="https://m.stock.naver.com/research/company/82079" TargetMode="External"/><Relationship Id="rId1200" Type="http://schemas.openxmlformats.org/officeDocument/2006/relationships/hyperlink" Target="https://m.stock.naver.com/research/company/92055" TargetMode="External"/><Relationship Id="rId4770" Type="http://schemas.openxmlformats.org/officeDocument/2006/relationships/hyperlink" Target="https://m.stock.naver.com/research/company/88470" TargetMode="External"/><Relationship Id="rId5821" Type="http://schemas.openxmlformats.org/officeDocument/2006/relationships/hyperlink" Target="https://m.stock.naver.com/research/company/87419" TargetMode="External"/><Relationship Id="rId14364" Type="http://schemas.openxmlformats.org/officeDocument/2006/relationships/hyperlink" Target="https://m.stock.naver.com/research/company/94248" TargetMode="External"/><Relationship Id="rId15415" Type="http://schemas.openxmlformats.org/officeDocument/2006/relationships/hyperlink" Target="https://m.stock.naver.com/research/company/95372" TargetMode="External"/><Relationship Id="rId3372" Type="http://schemas.openxmlformats.org/officeDocument/2006/relationships/hyperlink" Target="https://m.stock.naver.com/research/company/89879" TargetMode="External"/><Relationship Id="rId4423" Type="http://schemas.openxmlformats.org/officeDocument/2006/relationships/hyperlink" Target="https://m.stock.naver.com/research/company/88818" TargetMode="External"/><Relationship Id="rId7993" Type="http://schemas.openxmlformats.org/officeDocument/2006/relationships/hyperlink" Target="https://m.stock.naver.com/research/company/85245" TargetMode="External"/><Relationship Id="rId14017" Type="http://schemas.openxmlformats.org/officeDocument/2006/relationships/hyperlink" Target="https://m.stock.naver.com/research/company/93830" TargetMode="External"/><Relationship Id="rId293" Type="http://schemas.openxmlformats.org/officeDocument/2006/relationships/hyperlink" Target="https://m.stock.naver.com/research/company/93165" TargetMode="External"/><Relationship Id="rId3025" Type="http://schemas.openxmlformats.org/officeDocument/2006/relationships/hyperlink" Target="https://m.stock.naver.com/research/company/90226" TargetMode="External"/><Relationship Id="rId6595" Type="http://schemas.openxmlformats.org/officeDocument/2006/relationships/hyperlink" Target="https://m.stock.naver.com/research/company/86645" TargetMode="External"/><Relationship Id="rId7646" Type="http://schemas.openxmlformats.org/officeDocument/2006/relationships/hyperlink" Target="https://m.stock.naver.com/research/company/85593" TargetMode="External"/><Relationship Id="rId10974" Type="http://schemas.openxmlformats.org/officeDocument/2006/relationships/hyperlink" Target="https://m.stock.naver.com/research/company/82246" TargetMode="External"/><Relationship Id="rId5197" Type="http://schemas.openxmlformats.org/officeDocument/2006/relationships/hyperlink" Target="https://m.stock.naver.com/research/company/88043" TargetMode="External"/><Relationship Id="rId6248" Type="http://schemas.openxmlformats.org/officeDocument/2006/relationships/hyperlink" Target="https://m.stock.naver.com/research/company/86992" TargetMode="External"/><Relationship Id="rId10627" Type="http://schemas.openxmlformats.org/officeDocument/2006/relationships/hyperlink" Target="https://m.stock.naver.com/research/company/82593" TargetMode="External"/><Relationship Id="rId12799" Type="http://schemas.openxmlformats.org/officeDocument/2006/relationships/hyperlink" Target="https://m.stock.naver.com/research/company/80409" TargetMode="External"/><Relationship Id="rId13100" Type="http://schemas.openxmlformats.org/officeDocument/2006/relationships/hyperlink" Target="https://m.stock.naver.com/research/company/80107" TargetMode="External"/><Relationship Id="rId2858" Type="http://schemas.openxmlformats.org/officeDocument/2006/relationships/hyperlink" Target="https://m.stock.naver.com/research/company/90395" TargetMode="External"/><Relationship Id="rId3909" Type="http://schemas.openxmlformats.org/officeDocument/2006/relationships/hyperlink" Target="https://m.stock.naver.com/research/company/89342" TargetMode="External"/><Relationship Id="rId15272" Type="http://schemas.openxmlformats.org/officeDocument/2006/relationships/hyperlink" Target="https://m.stock.naver.com/research/company/95088" TargetMode="External"/><Relationship Id="rId4280" Type="http://schemas.openxmlformats.org/officeDocument/2006/relationships/hyperlink" Target="https://m.stock.naver.com/research/company/88961" TargetMode="External"/><Relationship Id="rId5331" Type="http://schemas.openxmlformats.org/officeDocument/2006/relationships/hyperlink" Target="https://m.stock.naver.com/research/company/87909" TargetMode="External"/><Relationship Id="rId9952" Type="http://schemas.openxmlformats.org/officeDocument/2006/relationships/hyperlink" Target="https://m.stock.naver.com/research/company/83270" TargetMode="External"/><Relationship Id="rId1941" Type="http://schemas.openxmlformats.org/officeDocument/2006/relationships/hyperlink" Target="https://m.stock.naver.com/research/company/91314" TargetMode="External"/><Relationship Id="rId8554" Type="http://schemas.openxmlformats.org/officeDocument/2006/relationships/hyperlink" Target="https://m.stock.naver.com/research/company/84683" TargetMode="External"/><Relationship Id="rId9605" Type="http://schemas.openxmlformats.org/officeDocument/2006/relationships/hyperlink" Target="https://m.stock.naver.com/research/company/83622" TargetMode="External"/><Relationship Id="rId10484" Type="http://schemas.openxmlformats.org/officeDocument/2006/relationships/hyperlink" Target="https://m.stock.naver.com/research/company/82736" TargetMode="External"/><Relationship Id="rId11535" Type="http://schemas.openxmlformats.org/officeDocument/2006/relationships/hyperlink" Target="https://m.stock.naver.com/research/company/81680" TargetMode="External"/><Relationship Id="rId11882" Type="http://schemas.openxmlformats.org/officeDocument/2006/relationships/hyperlink" Target="https://m.stock.naver.com/research/company/81330" TargetMode="External"/><Relationship Id="rId12933" Type="http://schemas.openxmlformats.org/officeDocument/2006/relationships/hyperlink" Target="https://m.stock.naver.com/research/company/80275" TargetMode="External"/><Relationship Id="rId7156" Type="http://schemas.openxmlformats.org/officeDocument/2006/relationships/hyperlink" Target="https://m.stock.naver.com/research/company/86083" TargetMode="External"/><Relationship Id="rId8207" Type="http://schemas.openxmlformats.org/officeDocument/2006/relationships/hyperlink" Target="https://m.stock.naver.com/research/company/85031" TargetMode="External"/><Relationship Id="rId10137" Type="http://schemas.openxmlformats.org/officeDocument/2006/relationships/hyperlink" Target="https://m.stock.naver.com/research/company/83084" TargetMode="External"/><Relationship Id="rId14758" Type="http://schemas.openxmlformats.org/officeDocument/2006/relationships/hyperlink" Target="https://m.stock.naver.com/research/company/94642" TargetMode="External"/><Relationship Id="rId687" Type="http://schemas.openxmlformats.org/officeDocument/2006/relationships/hyperlink" Target="https://m.stock.naver.com/research/company/92769" TargetMode="External"/><Relationship Id="rId2368" Type="http://schemas.openxmlformats.org/officeDocument/2006/relationships/hyperlink" Target="https://m.stock.naver.com/research/company/90886" TargetMode="External"/><Relationship Id="rId3766" Type="http://schemas.openxmlformats.org/officeDocument/2006/relationships/hyperlink" Target="https://m.stock.naver.com/research/company/89485" TargetMode="External"/><Relationship Id="rId4817" Type="http://schemas.openxmlformats.org/officeDocument/2006/relationships/hyperlink" Target="https://m.stock.naver.com/research/company/88423" TargetMode="External"/><Relationship Id="rId3419" Type="http://schemas.openxmlformats.org/officeDocument/2006/relationships/hyperlink" Target="https://m.stock.naver.com/research/company/89832" TargetMode="External"/><Relationship Id="rId6989" Type="http://schemas.openxmlformats.org/officeDocument/2006/relationships/hyperlink" Target="https://m.stock.naver.com/research/company/86250" TargetMode="External"/><Relationship Id="rId12790" Type="http://schemas.openxmlformats.org/officeDocument/2006/relationships/hyperlink" Target="https://m.stock.naver.com/research/company/80418" TargetMode="External"/><Relationship Id="rId13841" Type="http://schemas.openxmlformats.org/officeDocument/2006/relationships/hyperlink" Target="https://m.stock.naver.com/research/company/93641" TargetMode="External"/><Relationship Id="rId3900" Type="http://schemas.openxmlformats.org/officeDocument/2006/relationships/hyperlink" Target="https://m.stock.naver.com/research/company/89351" TargetMode="External"/><Relationship Id="rId9462" Type="http://schemas.openxmlformats.org/officeDocument/2006/relationships/hyperlink" Target="https://m.stock.naver.com/research/company/83765" TargetMode="External"/><Relationship Id="rId11392" Type="http://schemas.openxmlformats.org/officeDocument/2006/relationships/hyperlink" Target="https://m.stock.naver.com/research/company/81823" TargetMode="External"/><Relationship Id="rId12443" Type="http://schemas.openxmlformats.org/officeDocument/2006/relationships/hyperlink" Target="https://m.stock.naver.com/research/company/80766" TargetMode="External"/><Relationship Id="rId821" Type="http://schemas.openxmlformats.org/officeDocument/2006/relationships/hyperlink" Target="https://m.stock.naver.com/research/company/92635" TargetMode="External"/><Relationship Id="rId1451" Type="http://schemas.openxmlformats.org/officeDocument/2006/relationships/hyperlink" Target="https://m.stock.naver.com/research/company/91804" TargetMode="External"/><Relationship Id="rId2502" Type="http://schemas.openxmlformats.org/officeDocument/2006/relationships/hyperlink" Target="https://m.stock.naver.com/research/company/90752" TargetMode="External"/><Relationship Id="rId8064" Type="http://schemas.openxmlformats.org/officeDocument/2006/relationships/hyperlink" Target="https://m.stock.naver.com/research/company/85174" TargetMode="External"/><Relationship Id="rId9115" Type="http://schemas.openxmlformats.org/officeDocument/2006/relationships/hyperlink" Target="https://m.stock.naver.com/research/company/84115" TargetMode="External"/><Relationship Id="rId11045" Type="http://schemas.openxmlformats.org/officeDocument/2006/relationships/hyperlink" Target="https://m.stock.naver.com/research/company/82175" TargetMode="External"/><Relationship Id="rId15666" Type="http://schemas.openxmlformats.org/officeDocument/2006/relationships/hyperlink" Target="https://m.stock.naver.com/research/company/95748" TargetMode="External"/><Relationship Id="rId1104" Type="http://schemas.openxmlformats.org/officeDocument/2006/relationships/hyperlink" Target="https://m.stock.naver.com/research/company/92151" TargetMode="External"/><Relationship Id="rId4674" Type="http://schemas.openxmlformats.org/officeDocument/2006/relationships/hyperlink" Target="https://m.stock.naver.com/research/company/88566" TargetMode="External"/><Relationship Id="rId5725" Type="http://schemas.openxmlformats.org/officeDocument/2006/relationships/hyperlink" Target="https://m.stock.naver.com/research/company/87515" TargetMode="External"/><Relationship Id="rId14268" Type="http://schemas.openxmlformats.org/officeDocument/2006/relationships/hyperlink" Target="https://m.stock.naver.com/research/company/94130" TargetMode="External"/><Relationship Id="rId15319" Type="http://schemas.openxmlformats.org/officeDocument/2006/relationships/hyperlink" Target="https://m.stock.naver.com/research/company/95269" TargetMode="External"/><Relationship Id="rId3276" Type="http://schemas.openxmlformats.org/officeDocument/2006/relationships/hyperlink" Target="https://m.stock.naver.com/research/company/89974" TargetMode="External"/><Relationship Id="rId4327" Type="http://schemas.openxmlformats.org/officeDocument/2006/relationships/hyperlink" Target="https://m.stock.naver.com/research/company/88914" TargetMode="External"/><Relationship Id="rId197" Type="http://schemas.openxmlformats.org/officeDocument/2006/relationships/hyperlink" Target="https://m.stock.naver.com/research/company/93261" TargetMode="External"/><Relationship Id="rId6499" Type="http://schemas.openxmlformats.org/officeDocument/2006/relationships/hyperlink" Target="https://m.stock.naver.com/research/company/86741" TargetMode="External"/><Relationship Id="rId7897" Type="http://schemas.openxmlformats.org/officeDocument/2006/relationships/hyperlink" Target="https://m.stock.naver.com/research/company/85341" TargetMode="External"/><Relationship Id="rId8948" Type="http://schemas.openxmlformats.org/officeDocument/2006/relationships/hyperlink" Target="https://m.stock.naver.com/research/company/84284" TargetMode="External"/><Relationship Id="rId10878" Type="http://schemas.openxmlformats.org/officeDocument/2006/relationships/hyperlink" Target="https://m.stock.naver.com/research/company/82342" TargetMode="External"/><Relationship Id="rId11929" Type="http://schemas.openxmlformats.org/officeDocument/2006/relationships/hyperlink" Target="https://m.stock.naver.com/research/company/81282" TargetMode="External"/><Relationship Id="rId13351" Type="http://schemas.openxmlformats.org/officeDocument/2006/relationships/hyperlink" Target="https://m.stock.naver.com/research/company/79854" TargetMode="External"/><Relationship Id="rId14402" Type="http://schemas.openxmlformats.org/officeDocument/2006/relationships/hyperlink" Target="https://m.stock.naver.com/research/company/94281" TargetMode="External"/><Relationship Id="rId3410" Type="http://schemas.openxmlformats.org/officeDocument/2006/relationships/hyperlink" Target="https://m.stock.naver.com/research/company/89841" TargetMode="External"/><Relationship Id="rId6980" Type="http://schemas.openxmlformats.org/officeDocument/2006/relationships/hyperlink" Target="https://m.stock.naver.com/research/company/86259" TargetMode="External"/><Relationship Id="rId13004" Type="http://schemas.openxmlformats.org/officeDocument/2006/relationships/hyperlink" Target="https://m.stock.naver.com/research/company/80204" TargetMode="External"/><Relationship Id="rId331" Type="http://schemas.openxmlformats.org/officeDocument/2006/relationships/hyperlink" Target="https://m.stock.naver.com/research/company/93127" TargetMode="External"/><Relationship Id="rId2012" Type="http://schemas.openxmlformats.org/officeDocument/2006/relationships/hyperlink" Target="https://m.stock.naver.com/research/company/91243" TargetMode="External"/><Relationship Id="rId5582" Type="http://schemas.openxmlformats.org/officeDocument/2006/relationships/hyperlink" Target="https://m.stock.naver.com/research/company/87658" TargetMode="External"/><Relationship Id="rId6633" Type="http://schemas.openxmlformats.org/officeDocument/2006/relationships/hyperlink" Target="https://m.stock.naver.com/research/company/86607" TargetMode="External"/><Relationship Id="rId15176" Type="http://schemas.openxmlformats.org/officeDocument/2006/relationships/hyperlink" Target="https://m.stock.naver.com/research/company/95184" TargetMode="External"/><Relationship Id="rId4184" Type="http://schemas.openxmlformats.org/officeDocument/2006/relationships/hyperlink" Target="https://m.stock.naver.com/research/company/89058" TargetMode="External"/><Relationship Id="rId5235" Type="http://schemas.openxmlformats.org/officeDocument/2006/relationships/hyperlink" Target="https://m.stock.naver.com/research/company/88005" TargetMode="External"/><Relationship Id="rId9856" Type="http://schemas.openxmlformats.org/officeDocument/2006/relationships/hyperlink" Target="https://m.stock.naver.com/research/company/83366" TargetMode="External"/><Relationship Id="rId8458" Type="http://schemas.openxmlformats.org/officeDocument/2006/relationships/hyperlink" Target="https://m.stock.naver.com/research/company/84779" TargetMode="External"/><Relationship Id="rId9509" Type="http://schemas.openxmlformats.org/officeDocument/2006/relationships/hyperlink" Target="https://m.stock.naver.com/research/company/83718" TargetMode="External"/><Relationship Id="rId11786" Type="http://schemas.openxmlformats.org/officeDocument/2006/relationships/hyperlink" Target="https://m.stock.naver.com/research/company/81426" TargetMode="External"/><Relationship Id="rId12837" Type="http://schemas.openxmlformats.org/officeDocument/2006/relationships/hyperlink" Target="https://m.stock.naver.com/research/company/80371" TargetMode="External"/><Relationship Id="rId1845" Type="http://schemas.openxmlformats.org/officeDocument/2006/relationships/hyperlink" Target="https://m.stock.naver.com/research/company/91410" TargetMode="External"/><Relationship Id="rId10388" Type="http://schemas.openxmlformats.org/officeDocument/2006/relationships/hyperlink" Target="https://m.stock.naver.com/research/company/82833" TargetMode="External"/><Relationship Id="rId11439" Type="http://schemas.openxmlformats.org/officeDocument/2006/relationships/hyperlink" Target="https://m.stock.naver.com/research/company/81776" TargetMode="External"/><Relationship Id="rId15310" Type="http://schemas.openxmlformats.org/officeDocument/2006/relationships/hyperlink" Target="https://m.stock.naver.com/research/company/95278" TargetMode="External"/><Relationship Id="rId11920" Type="http://schemas.openxmlformats.org/officeDocument/2006/relationships/hyperlink" Target="https://m.stock.naver.com/research/company/81291" TargetMode="External"/><Relationship Id="rId5092" Type="http://schemas.openxmlformats.org/officeDocument/2006/relationships/hyperlink" Target="https://m.stock.naver.com/research/company/88148" TargetMode="External"/><Relationship Id="rId6490" Type="http://schemas.openxmlformats.org/officeDocument/2006/relationships/hyperlink" Target="https://m.stock.naver.com/research/company/86750" TargetMode="External"/><Relationship Id="rId7541" Type="http://schemas.openxmlformats.org/officeDocument/2006/relationships/hyperlink" Target="https://m.stock.naver.com/research/company/85698" TargetMode="External"/><Relationship Id="rId10522" Type="http://schemas.openxmlformats.org/officeDocument/2006/relationships/hyperlink" Target="https://m.stock.naver.com/research/company/82698" TargetMode="External"/><Relationship Id="rId6143" Type="http://schemas.openxmlformats.org/officeDocument/2006/relationships/hyperlink" Target="https://m.stock.naver.com/research/company/87097" TargetMode="External"/><Relationship Id="rId12694" Type="http://schemas.openxmlformats.org/officeDocument/2006/relationships/hyperlink" Target="https://m.stock.naver.com/research/company/80514" TargetMode="External"/><Relationship Id="rId13745" Type="http://schemas.openxmlformats.org/officeDocument/2006/relationships/hyperlink" Target="https://m.stock.naver.com/research/company/93526" TargetMode="External"/><Relationship Id="rId2753" Type="http://schemas.openxmlformats.org/officeDocument/2006/relationships/hyperlink" Target="https://m.stock.naver.com/research/company/90501" TargetMode="External"/><Relationship Id="rId3804" Type="http://schemas.openxmlformats.org/officeDocument/2006/relationships/hyperlink" Target="https://m.stock.naver.com/research/company/89447" TargetMode="External"/><Relationship Id="rId9366" Type="http://schemas.openxmlformats.org/officeDocument/2006/relationships/hyperlink" Target="https://m.stock.naver.com/research/company/83861" TargetMode="External"/><Relationship Id="rId11296" Type="http://schemas.openxmlformats.org/officeDocument/2006/relationships/hyperlink" Target="https://m.stock.naver.com/research/company/81923" TargetMode="External"/><Relationship Id="rId12347" Type="http://schemas.openxmlformats.org/officeDocument/2006/relationships/hyperlink" Target="https://m.stock.naver.com/research/company/80862" TargetMode="External"/><Relationship Id="rId725" Type="http://schemas.openxmlformats.org/officeDocument/2006/relationships/hyperlink" Target="https://m.stock.naver.com/research/company/92731" TargetMode="External"/><Relationship Id="rId1355" Type="http://schemas.openxmlformats.org/officeDocument/2006/relationships/hyperlink" Target="https://m.stock.naver.com/research/company/91900" TargetMode="External"/><Relationship Id="rId2406" Type="http://schemas.openxmlformats.org/officeDocument/2006/relationships/hyperlink" Target="https://m.stock.naver.com/research/company/90848" TargetMode="External"/><Relationship Id="rId9019" Type="http://schemas.openxmlformats.org/officeDocument/2006/relationships/hyperlink" Target="https://m.stock.naver.com/research/company/84213" TargetMode="External"/><Relationship Id="rId1008" Type="http://schemas.openxmlformats.org/officeDocument/2006/relationships/hyperlink" Target="https://m.stock.naver.com/research/company/92448" TargetMode="External"/><Relationship Id="rId4578" Type="http://schemas.openxmlformats.org/officeDocument/2006/relationships/hyperlink" Target="https://m.stock.naver.com/research/company/88662" TargetMode="External"/><Relationship Id="rId5976" Type="http://schemas.openxmlformats.org/officeDocument/2006/relationships/hyperlink" Target="https://m.stock.naver.com/research/company/87264" TargetMode="External"/><Relationship Id="rId61" Type="http://schemas.openxmlformats.org/officeDocument/2006/relationships/hyperlink" Target="https://m.stock.naver.com/research/company/93397" TargetMode="External"/><Relationship Id="rId5629" Type="http://schemas.openxmlformats.org/officeDocument/2006/relationships/hyperlink" Target="https://m.stock.naver.com/research/company/87611" TargetMode="External"/><Relationship Id="rId7051" Type="http://schemas.openxmlformats.org/officeDocument/2006/relationships/hyperlink" Target="https://m.stock.naver.com/research/company/86188" TargetMode="External"/><Relationship Id="rId8102" Type="http://schemas.openxmlformats.org/officeDocument/2006/relationships/hyperlink" Target="https://m.stock.naver.com/research/company/85136" TargetMode="External"/><Relationship Id="rId9500" Type="http://schemas.openxmlformats.org/officeDocument/2006/relationships/hyperlink" Target="https://m.stock.naver.com/research/company/83727" TargetMode="External"/><Relationship Id="rId11430" Type="http://schemas.openxmlformats.org/officeDocument/2006/relationships/hyperlink" Target="https://m.stock.naver.com/research/company/81785" TargetMode="External"/><Relationship Id="rId10032" Type="http://schemas.openxmlformats.org/officeDocument/2006/relationships/hyperlink" Target="https://m.stock.naver.com/research/company/83189" TargetMode="External"/><Relationship Id="rId14653" Type="http://schemas.openxmlformats.org/officeDocument/2006/relationships/hyperlink" Target="https://m.stock.naver.com/research/company/94525" TargetMode="External"/><Relationship Id="rId15704" Type="http://schemas.openxmlformats.org/officeDocument/2006/relationships/hyperlink" Target="https://m.stock.naver.com/research/company/95710" TargetMode="External"/><Relationship Id="rId3661" Type="http://schemas.openxmlformats.org/officeDocument/2006/relationships/hyperlink" Target="https://m.stock.naver.com/research/company/89590" TargetMode="External"/><Relationship Id="rId4712" Type="http://schemas.openxmlformats.org/officeDocument/2006/relationships/hyperlink" Target="https://m.stock.naver.com/research/company/88528" TargetMode="External"/><Relationship Id="rId13255" Type="http://schemas.openxmlformats.org/officeDocument/2006/relationships/hyperlink" Target="https://m.stock.naver.com/research/company/79951" TargetMode="External"/><Relationship Id="rId14306" Type="http://schemas.openxmlformats.org/officeDocument/2006/relationships/hyperlink" Target="https://m.stock.naver.com/research/company/94158" TargetMode="External"/><Relationship Id="rId582" Type="http://schemas.openxmlformats.org/officeDocument/2006/relationships/hyperlink" Target="https://m.stock.naver.com/research/company/92875" TargetMode="External"/><Relationship Id="rId2263" Type="http://schemas.openxmlformats.org/officeDocument/2006/relationships/hyperlink" Target="https://m.stock.naver.com/research/company/90992" TargetMode="External"/><Relationship Id="rId3314" Type="http://schemas.openxmlformats.org/officeDocument/2006/relationships/hyperlink" Target="https://m.stock.naver.com/research/company/89936" TargetMode="External"/><Relationship Id="rId6884" Type="http://schemas.openxmlformats.org/officeDocument/2006/relationships/hyperlink" Target="https://m.stock.naver.com/research/company/86355" TargetMode="External"/><Relationship Id="rId7935" Type="http://schemas.openxmlformats.org/officeDocument/2006/relationships/hyperlink" Target="https://m.stock.naver.com/research/company/85303" TargetMode="External"/><Relationship Id="rId235" Type="http://schemas.openxmlformats.org/officeDocument/2006/relationships/hyperlink" Target="https://m.stock.naver.com/research/company/93223" TargetMode="External"/><Relationship Id="rId5486" Type="http://schemas.openxmlformats.org/officeDocument/2006/relationships/hyperlink" Target="https://m.stock.naver.com/research/company/87754" TargetMode="External"/><Relationship Id="rId6537" Type="http://schemas.openxmlformats.org/officeDocument/2006/relationships/hyperlink" Target="https://m.stock.naver.com/research/company/86703" TargetMode="External"/><Relationship Id="rId10916" Type="http://schemas.openxmlformats.org/officeDocument/2006/relationships/hyperlink" Target="https://m.stock.naver.com/research/company/82304" TargetMode="External"/><Relationship Id="rId4088" Type="http://schemas.openxmlformats.org/officeDocument/2006/relationships/hyperlink" Target="https://m.stock.naver.com/research/company/89163" TargetMode="External"/><Relationship Id="rId5139" Type="http://schemas.openxmlformats.org/officeDocument/2006/relationships/hyperlink" Target="https://m.stock.naver.com/research/company/88101" TargetMode="External"/><Relationship Id="rId9010" Type="http://schemas.openxmlformats.org/officeDocument/2006/relationships/hyperlink" Target="https://m.stock.naver.com/research/company/84222" TargetMode="External"/><Relationship Id="rId15561" Type="http://schemas.openxmlformats.org/officeDocument/2006/relationships/hyperlink" Target="https://m.stock.naver.com/research/company/95475" TargetMode="External"/><Relationship Id="rId1749" Type="http://schemas.openxmlformats.org/officeDocument/2006/relationships/hyperlink" Target="https://m.stock.naver.com/research/company/91506" TargetMode="External"/><Relationship Id="rId3171" Type="http://schemas.openxmlformats.org/officeDocument/2006/relationships/hyperlink" Target="https://m.stock.naver.com/research/company/90080" TargetMode="External"/><Relationship Id="rId5620" Type="http://schemas.openxmlformats.org/officeDocument/2006/relationships/hyperlink" Target="https://m.stock.naver.com/research/company/87620" TargetMode="External"/><Relationship Id="rId14163" Type="http://schemas.openxmlformats.org/officeDocument/2006/relationships/hyperlink" Target="https://m.stock.naver.com/research/company/93965" TargetMode="External"/><Relationship Id="rId15214" Type="http://schemas.openxmlformats.org/officeDocument/2006/relationships/hyperlink" Target="https://m.stock.naver.com/research/company/95146" TargetMode="External"/><Relationship Id="rId4222" Type="http://schemas.openxmlformats.org/officeDocument/2006/relationships/hyperlink" Target="https://m.stock.naver.com/research/company/89020" TargetMode="External"/><Relationship Id="rId7792" Type="http://schemas.openxmlformats.org/officeDocument/2006/relationships/hyperlink" Target="https://m.stock.naver.com/research/company/85446" TargetMode="External"/><Relationship Id="rId8843" Type="http://schemas.openxmlformats.org/officeDocument/2006/relationships/hyperlink" Target="https://m.stock.naver.com/research/company/84394" TargetMode="External"/><Relationship Id="rId10773" Type="http://schemas.openxmlformats.org/officeDocument/2006/relationships/hyperlink" Target="https://m.stock.naver.com/research/company/82447" TargetMode="External"/><Relationship Id="rId11824" Type="http://schemas.openxmlformats.org/officeDocument/2006/relationships/hyperlink" Target="https://m.stock.naver.com/research/company/81388" TargetMode="External"/><Relationship Id="rId6394" Type="http://schemas.openxmlformats.org/officeDocument/2006/relationships/hyperlink" Target="https://m.stock.naver.com/research/company/86846" TargetMode="External"/><Relationship Id="rId7445" Type="http://schemas.openxmlformats.org/officeDocument/2006/relationships/hyperlink" Target="https://m.stock.naver.com/research/company/85794" TargetMode="External"/><Relationship Id="rId10426" Type="http://schemas.openxmlformats.org/officeDocument/2006/relationships/hyperlink" Target="https://m.stock.naver.com/research/company/82795" TargetMode="External"/><Relationship Id="rId6047" Type="http://schemas.openxmlformats.org/officeDocument/2006/relationships/hyperlink" Target="https://m.stock.naver.com/research/company/87193" TargetMode="External"/><Relationship Id="rId13996" Type="http://schemas.openxmlformats.org/officeDocument/2006/relationships/hyperlink" Target="https://m.stock.naver.com/research/company/93736" TargetMode="External"/><Relationship Id="rId976" Type="http://schemas.openxmlformats.org/officeDocument/2006/relationships/hyperlink" Target="https://m.stock.naver.com/research/company/92480" TargetMode="External"/><Relationship Id="rId2657" Type="http://schemas.openxmlformats.org/officeDocument/2006/relationships/hyperlink" Target="https://m.stock.naver.com/research/company/90597" TargetMode="External"/><Relationship Id="rId12598" Type="http://schemas.openxmlformats.org/officeDocument/2006/relationships/hyperlink" Target="https://m.stock.naver.com/research/company/80610" TargetMode="External"/><Relationship Id="rId13649" Type="http://schemas.openxmlformats.org/officeDocument/2006/relationships/hyperlink" Target="https://m.stock.naver.com/research/company/79555" TargetMode="External"/><Relationship Id="rId15071" Type="http://schemas.openxmlformats.org/officeDocument/2006/relationships/hyperlink" Target="https://m.stock.naver.com/research/company/95023" TargetMode="External"/><Relationship Id="rId629" Type="http://schemas.openxmlformats.org/officeDocument/2006/relationships/hyperlink" Target="https://m.stock.naver.com/research/company/92827" TargetMode="External"/><Relationship Id="rId1259" Type="http://schemas.openxmlformats.org/officeDocument/2006/relationships/hyperlink" Target="https://m.stock.naver.com/research/company/91996" TargetMode="External"/><Relationship Id="rId3708" Type="http://schemas.openxmlformats.org/officeDocument/2006/relationships/hyperlink" Target="https://m.stock.naver.com/research/company/89543" TargetMode="External"/><Relationship Id="rId5130" Type="http://schemas.openxmlformats.org/officeDocument/2006/relationships/hyperlink" Target="https://m.stock.naver.com/research/company/88110" TargetMode="External"/><Relationship Id="rId9751" Type="http://schemas.openxmlformats.org/officeDocument/2006/relationships/hyperlink" Target="https://m.stock.naver.com/research/company/83472" TargetMode="External"/><Relationship Id="rId11681" Type="http://schemas.openxmlformats.org/officeDocument/2006/relationships/hyperlink" Target="https://m.stock.naver.com/research/company/81531" TargetMode="External"/><Relationship Id="rId12732" Type="http://schemas.openxmlformats.org/officeDocument/2006/relationships/hyperlink" Target="https://m.stock.naver.com/research/company/80476" TargetMode="External"/><Relationship Id="rId1740" Type="http://schemas.openxmlformats.org/officeDocument/2006/relationships/hyperlink" Target="https://m.stock.naver.com/research/company/91515" TargetMode="External"/><Relationship Id="rId8353" Type="http://schemas.openxmlformats.org/officeDocument/2006/relationships/hyperlink" Target="https://m.stock.naver.com/research/company/84885" TargetMode="External"/><Relationship Id="rId9404" Type="http://schemas.openxmlformats.org/officeDocument/2006/relationships/hyperlink" Target="https://m.stock.naver.com/research/company/83823" TargetMode="External"/><Relationship Id="rId10283" Type="http://schemas.openxmlformats.org/officeDocument/2006/relationships/hyperlink" Target="https://m.stock.naver.com/research/company/82938" TargetMode="External"/><Relationship Id="rId11334" Type="http://schemas.openxmlformats.org/officeDocument/2006/relationships/hyperlink" Target="https://m.stock.naver.com/research/company/81882" TargetMode="External"/><Relationship Id="rId4963" Type="http://schemas.openxmlformats.org/officeDocument/2006/relationships/hyperlink" Target="https://m.stock.naver.com/research/company/88277" TargetMode="External"/><Relationship Id="rId8006" Type="http://schemas.openxmlformats.org/officeDocument/2006/relationships/hyperlink" Target="https://m.stock.naver.com/research/company/85232" TargetMode="External"/><Relationship Id="rId14557" Type="http://schemas.openxmlformats.org/officeDocument/2006/relationships/hyperlink" Target="https://m.stock.naver.com/research/company/94353" TargetMode="External"/><Relationship Id="rId15608" Type="http://schemas.openxmlformats.org/officeDocument/2006/relationships/hyperlink" Target="https://m.stock.naver.com/research/company/95428" TargetMode="External"/><Relationship Id="rId3565" Type="http://schemas.openxmlformats.org/officeDocument/2006/relationships/hyperlink" Target="https://m.stock.naver.com/research/company/89686" TargetMode="External"/><Relationship Id="rId4616" Type="http://schemas.openxmlformats.org/officeDocument/2006/relationships/hyperlink" Target="https://m.stock.naver.com/research/company/88624" TargetMode="External"/><Relationship Id="rId13159" Type="http://schemas.openxmlformats.org/officeDocument/2006/relationships/hyperlink" Target="https://m.stock.naver.com/research/company/80048" TargetMode="External"/><Relationship Id="rId486" Type="http://schemas.openxmlformats.org/officeDocument/2006/relationships/hyperlink" Target="https://m.stock.naver.com/research/company/92971" TargetMode="External"/><Relationship Id="rId2167" Type="http://schemas.openxmlformats.org/officeDocument/2006/relationships/hyperlink" Target="https://m.stock.naver.com/research/company/91088" TargetMode="External"/><Relationship Id="rId3218" Type="http://schemas.openxmlformats.org/officeDocument/2006/relationships/hyperlink" Target="https://m.stock.naver.com/research/company/90033" TargetMode="External"/><Relationship Id="rId6788" Type="http://schemas.openxmlformats.org/officeDocument/2006/relationships/hyperlink" Target="https://m.stock.naver.com/research/company/86452" TargetMode="External"/><Relationship Id="rId139" Type="http://schemas.openxmlformats.org/officeDocument/2006/relationships/hyperlink" Target="https://m.stock.naver.com/research/company/93319" TargetMode="External"/><Relationship Id="rId7839" Type="http://schemas.openxmlformats.org/officeDocument/2006/relationships/hyperlink" Target="https://m.stock.naver.com/research/company/85399" TargetMode="External"/><Relationship Id="rId9261" Type="http://schemas.openxmlformats.org/officeDocument/2006/relationships/hyperlink" Target="https://m.stock.naver.com/research/company/83967" TargetMode="External"/><Relationship Id="rId13640" Type="http://schemas.openxmlformats.org/officeDocument/2006/relationships/hyperlink" Target="https://m.stock.naver.com/research/company/79564" TargetMode="External"/><Relationship Id="rId11191" Type="http://schemas.openxmlformats.org/officeDocument/2006/relationships/hyperlink" Target="https://m.stock.naver.com/research/company/82029" TargetMode="External"/><Relationship Id="rId12242" Type="http://schemas.openxmlformats.org/officeDocument/2006/relationships/hyperlink" Target="https://m.stock.naver.com/research/company/80968" TargetMode="External"/><Relationship Id="rId620" Type="http://schemas.openxmlformats.org/officeDocument/2006/relationships/hyperlink" Target="https://m.stock.naver.com/research/company/92836" TargetMode="External"/><Relationship Id="rId1250" Type="http://schemas.openxmlformats.org/officeDocument/2006/relationships/hyperlink" Target="https://m.stock.naver.com/research/company/92005" TargetMode="External"/><Relationship Id="rId2301" Type="http://schemas.openxmlformats.org/officeDocument/2006/relationships/hyperlink" Target="https://m.stock.naver.com/research/company/90954" TargetMode="External"/><Relationship Id="rId5871" Type="http://schemas.openxmlformats.org/officeDocument/2006/relationships/hyperlink" Target="https://m.stock.naver.com/research/company/87369" TargetMode="External"/><Relationship Id="rId6922" Type="http://schemas.openxmlformats.org/officeDocument/2006/relationships/hyperlink" Target="https://m.stock.naver.com/research/company/86317" TargetMode="External"/><Relationship Id="rId15465" Type="http://schemas.openxmlformats.org/officeDocument/2006/relationships/hyperlink" Target="https://m.stock.naver.com/research/company/95322" TargetMode="External"/><Relationship Id="rId4473" Type="http://schemas.openxmlformats.org/officeDocument/2006/relationships/hyperlink" Target="https://m.stock.naver.com/research/company/88767" TargetMode="External"/><Relationship Id="rId5524" Type="http://schemas.openxmlformats.org/officeDocument/2006/relationships/hyperlink" Target="https://m.stock.naver.com/research/company/87716" TargetMode="External"/><Relationship Id="rId14067" Type="http://schemas.openxmlformats.org/officeDocument/2006/relationships/hyperlink" Target="https://m.stock.naver.com/research/company/93856" TargetMode="External"/><Relationship Id="rId15118" Type="http://schemas.openxmlformats.org/officeDocument/2006/relationships/hyperlink" Target="https://m.stock.naver.com/research/company/94976" TargetMode="External"/><Relationship Id="rId3075" Type="http://schemas.openxmlformats.org/officeDocument/2006/relationships/hyperlink" Target="https://m.stock.naver.com/research/company/90176" TargetMode="External"/><Relationship Id="rId4126" Type="http://schemas.openxmlformats.org/officeDocument/2006/relationships/hyperlink" Target="https://m.stock.naver.com/research/company/89125" TargetMode="External"/><Relationship Id="rId7696" Type="http://schemas.openxmlformats.org/officeDocument/2006/relationships/hyperlink" Target="https://m.stock.naver.com/research/company/85543" TargetMode="External"/><Relationship Id="rId8747" Type="http://schemas.openxmlformats.org/officeDocument/2006/relationships/hyperlink" Target="https://m.stock.naver.com/research/company/84490" TargetMode="External"/><Relationship Id="rId6298" Type="http://schemas.openxmlformats.org/officeDocument/2006/relationships/hyperlink" Target="https://m.stock.naver.com/research/company/86942" TargetMode="External"/><Relationship Id="rId7349" Type="http://schemas.openxmlformats.org/officeDocument/2006/relationships/hyperlink" Target="https://m.stock.naver.com/research/company/85890" TargetMode="External"/><Relationship Id="rId10677" Type="http://schemas.openxmlformats.org/officeDocument/2006/relationships/hyperlink" Target="https://m.stock.naver.com/research/company/82543" TargetMode="External"/><Relationship Id="rId11728" Type="http://schemas.openxmlformats.org/officeDocument/2006/relationships/hyperlink" Target="https://m.stock.naver.com/research/company/81484" TargetMode="External"/><Relationship Id="rId13150" Type="http://schemas.openxmlformats.org/officeDocument/2006/relationships/hyperlink" Target="https://m.stock.naver.com/research/company/80057" TargetMode="External"/><Relationship Id="rId14201" Type="http://schemas.openxmlformats.org/officeDocument/2006/relationships/hyperlink" Target="https://m.stock.naver.com/research/company/94057" TargetMode="External"/><Relationship Id="rId130" Type="http://schemas.openxmlformats.org/officeDocument/2006/relationships/hyperlink" Target="https://m.stock.naver.com/research/company/93328" TargetMode="External"/><Relationship Id="rId3959" Type="http://schemas.openxmlformats.org/officeDocument/2006/relationships/hyperlink" Target="https://m.stock.naver.com/research/company/89292" TargetMode="External"/><Relationship Id="rId5381" Type="http://schemas.openxmlformats.org/officeDocument/2006/relationships/hyperlink" Target="https://m.stock.naver.com/research/company/87859" TargetMode="External"/><Relationship Id="rId7830" Type="http://schemas.openxmlformats.org/officeDocument/2006/relationships/hyperlink" Target="https://m.stock.naver.com/research/company/85408" TargetMode="External"/><Relationship Id="rId10811" Type="http://schemas.openxmlformats.org/officeDocument/2006/relationships/hyperlink" Target="https://m.stock.naver.com/research/company/82409" TargetMode="External"/><Relationship Id="rId5034" Type="http://schemas.openxmlformats.org/officeDocument/2006/relationships/hyperlink" Target="https://m.stock.naver.com/research/company/88206" TargetMode="External"/><Relationship Id="rId6432" Type="http://schemas.openxmlformats.org/officeDocument/2006/relationships/hyperlink" Target="https://m.stock.naver.com/research/company/86808" TargetMode="External"/><Relationship Id="rId12983" Type="http://schemas.openxmlformats.org/officeDocument/2006/relationships/hyperlink" Target="https://m.stock.naver.com/research/company/80225" TargetMode="External"/><Relationship Id="rId1991" Type="http://schemas.openxmlformats.org/officeDocument/2006/relationships/hyperlink" Target="https://m.stock.naver.com/research/company/91264" TargetMode="External"/><Relationship Id="rId9655" Type="http://schemas.openxmlformats.org/officeDocument/2006/relationships/hyperlink" Target="https://m.stock.naver.com/research/company/83569" TargetMode="External"/><Relationship Id="rId11585" Type="http://schemas.openxmlformats.org/officeDocument/2006/relationships/hyperlink" Target="https://m.stock.naver.com/research/company/81627" TargetMode="External"/><Relationship Id="rId12636" Type="http://schemas.openxmlformats.org/officeDocument/2006/relationships/hyperlink" Target="https://m.stock.naver.com/research/company/80572" TargetMode="External"/><Relationship Id="rId1644" Type="http://schemas.openxmlformats.org/officeDocument/2006/relationships/hyperlink" Target="https://m.stock.naver.com/research/company/91611" TargetMode="External"/><Relationship Id="rId8257" Type="http://schemas.openxmlformats.org/officeDocument/2006/relationships/hyperlink" Target="https://m.stock.naver.com/research/company/84981" TargetMode="External"/><Relationship Id="rId9308" Type="http://schemas.openxmlformats.org/officeDocument/2006/relationships/hyperlink" Target="https://m.stock.naver.com/research/company/83919" TargetMode="External"/><Relationship Id="rId10187" Type="http://schemas.openxmlformats.org/officeDocument/2006/relationships/hyperlink" Target="https://m.stock.naver.com/research/company/83034" TargetMode="External"/><Relationship Id="rId11238" Type="http://schemas.openxmlformats.org/officeDocument/2006/relationships/hyperlink" Target="https://m.stock.naver.com/research/company/81981" TargetMode="External"/><Relationship Id="rId4867" Type="http://schemas.openxmlformats.org/officeDocument/2006/relationships/hyperlink" Target="https://m.stock.naver.com/research/company/88373" TargetMode="External"/><Relationship Id="rId3469" Type="http://schemas.openxmlformats.org/officeDocument/2006/relationships/hyperlink" Target="https://m.stock.naver.com/research/company/89782" TargetMode="External"/><Relationship Id="rId5918" Type="http://schemas.openxmlformats.org/officeDocument/2006/relationships/hyperlink" Target="https://m.stock.naver.com/research/company/87322" TargetMode="External"/><Relationship Id="rId7340" Type="http://schemas.openxmlformats.org/officeDocument/2006/relationships/hyperlink" Target="https://m.stock.naver.com/research/company/85899" TargetMode="External"/><Relationship Id="rId10321" Type="http://schemas.openxmlformats.org/officeDocument/2006/relationships/hyperlink" Target="https://m.stock.naver.com/research/company/82900" TargetMode="External"/><Relationship Id="rId13891" Type="http://schemas.openxmlformats.org/officeDocument/2006/relationships/hyperlink" Target="https://m.stock.naver.com/research/company/93675" TargetMode="External"/><Relationship Id="rId14942" Type="http://schemas.openxmlformats.org/officeDocument/2006/relationships/hyperlink" Target="https://m.stock.naver.com/research/company/94892" TargetMode="External"/><Relationship Id="rId3950" Type="http://schemas.openxmlformats.org/officeDocument/2006/relationships/hyperlink" Target="https://m.stock.naver.com/research/company/89301" TargetMode="External"/><Relationship Id="rId9165" Type="http://schemas.openxmlformats.org/officeDocument/2006/relationships/hyperlink" Target="https://m.stock.naver.com/research/company/84065" TargetMode="External"/><Relationship Id="rId12493" Type="http://schemas.openxmlformats.org/officeDocument/2006/relationships/hyperlink" Target="https://m.stock.naver.com/research/company/80715" TargetMode="External"/><Relationship Id="rId13544" Type="http://schemas.openxmlformats.org/officeDocument/2006/relationships/hyperlink" Target="https://m.stock.naver.com/research/company/79660" TargetMode="External"/><Relationship Id="rId871" Type="http://schemas.openxmlformats.org/officeDocument/2006/relationships/hyperlink" Target="https://m.stock.naver.com/research/company/92585" TargetMode="External"/><Relationship Id="rId2552" Type="http://schemas.openxmlformats.org/officeDocument/2006/relationships/hyperlink" Target="https://m.stock.naver.com/research/company/90702" TargetMode="External"/><Relationship Id="rId3603" Type="http://schemas.openxmlformats.org/officeDocument/2006/relationships/hyperlink" Target="https://m.stock.naver.com/research/company/89648" TargetMode="External"/><Relationship Id="rId11095" Type="http://schemas.openxmlformats.org/officeDocument/2006/relationships/hyperlink" Target="https://m.stock.naver.com/research/company/82125" TargetMode="External"/><Relationship Id="rId12146" Type="http://schemas.openxmlformats.org/officeDocument/2006/relationships/hyperlink" Target="https://m.stock.naver.com/research/company/81065" TargetMode="External"/><Relationship Id="rId524" Type="http://schemas.openxmlformats.org/officeDocument/2006/relationships/hyperlink" Target="https://m.stock.naver.com/research/company/92933" TargetMode="External"/><Relationship Id="rId1154" Type="http://schemas.openxmlformats.org/officeDocument/2006/relationships/hyperlink" Target="https://m.stock.naver.com/research/company/92101" TargetMode="External"/><Relationship Id="rId2205" Type="http://schemas.openxmlformats.org/officeDocument/2006/relationships/hyperlink" Target="https://m.stock.naver.com/research/company/91050" TargetMode="External"/><Relationship Id="rId5775" Type="http://schemas.openxmlformats.org/officeDocument/2006/relationships/hyperlink" Target="https://m.stock.naver.com/research/company/87465" TargetMode="External"/><Relationship Id="rId6826" Type="http://schemas.openxmlformats.org/officeDocument/2006/relationships/hyperlink" Target="https://m.stock.naver.com/research/company/86414" TargetMode="External"/><Relationship Id="rId15369" Type="http://schemas.openxmlformats.org/officeDocument/2006/relationships/hyperlink" Target="https://m.stock.naver.com/research/company/95219" TargetMode="External"/><Relationship Id="rId4377" Type="http://schemas.openxmlformats.org/officeDocument/2006/relationships/hyperlink" Target="https://m.stock.naver.com/research/company/88864" TargetMode="External"/><Relationship Id="rId5428" Type="http://schemas.openxmlformats.org/officeDocument/2006/relationships/hyperlink" Target="https://m.stock.naver.com/research/company/87812" TargetMode="External"/><Relationship Id="rId8998" Type="http://schemas.openxmlformats.org/officeDocument/2006/relationships/hyperlink" Target="https://m.stock.naver.com/research/company/84234" TargetMode="External"/><Relationship Id="rId11979" Type="http://schemas.openxmlformats.org/officeDocument/2006/relationships/hyperlink" Target="https://m.stock.naver.com/research/company/81232" TargetMode="External"/><Relationship Id="rId3460" Type="http://schemas.openxmlformats.org/officeDocument/2006/relationships/hyperlink" Target="https://m.stock.naver.com/research/company/89791" TargetMode="External"/><Relationship Id="rId14452" Type="http://schemas.openxmlformats.org/officeDocument/2006/relationships/hyperlink" Target="https://m.stock.naver.com/research/company/94458" TargetMode="External"/><Relationship Id="rId15503" Type="http://schemas.openxmlformats.org/officeDocument/2006/relationships/hyperlink" Target="https://m.stock.naver.com/research/company/95284" TargetMode="External"/><Relationship Id="rId381" Type="http://schemas.openxmlformats.org/officeDocument/2006/relationships/hyperlink" Target="https://m.stock.naver.com/research/company/93077" TargetMode="External"/><Relationship Id="rId2062" Type="http://schemas.openxmlformats.org/officeDocument/2006/relationships/hyperlink" Target="https://m.stock.naver.com/research/company/91193" TargetMode="External"/><Relationship Id="rId3113" Type="http://schemas.openxmlformats.org/officeDocument/2006/relationships/hyperlink" Target="https://m.stock.naver.com/research/company/90138" TargetMode="External"/><Relationship Id="rId4511" Type="http://schemas.openxmlformats.org/officeDocument/2006/relationships/hyperlink" Target="https://m.stock.naver.com/research/company/88729" TargetMode="External"/><Relationship Id="rId13054" Type="http://schemas.openxmlformats.org/officeDocument/2006/relationships/hyperlink" Target="https://m.stock.naver.com/research/company/80153" TargetMode="External"/><Relationship Id="rId14105" Type="http://schemas.openxmlformats.org/officeDocument/2006/relationships/hyperlink" Target="https://m.stock.naver.com/research/company/93897" TargetMode="External"/><Relationship Id="rId6683" Type="http://schemas.openxmlformats.org/officeDocument/2006/relationships/hyperlink" Target="https://m.stock.naver.com/research/company/86557" TargetMode="External"/><Relationship Id="rId7734" Type="http://schemas.openxmlformats.org/officeDocument/2006/relationships/hyperlink" Target="https://m.stock.naver.com/research/company/85505" TargetMode="External"/><Relationship Id="rId10715" Type="http://schemas.openxmlformats.org/officeDocument/2006/relationships/hyperlink" Target="https://m.stock.naver.com/research/company/82505" TargetMode="External"/><Relationship Id="rId5285" Type="http://schemas.openxmlformats.org/officeDocument/2006/relationships/hyperlink" Target="https://m.stock.naver.com/research/company/87955" TargetMode="External"/><Relationship Id="rId6336" Type="http://schemas.openxmlformats.org/officeDocument/2006/relationships/hyperlink" Target="https://m.stock.naver.com/research/company/86904" TargetMode="External"/><Relationship Id="rId1895" Type="http://schemas.openxmlformats.org/officeDocument/2006/relationships/hyperlink" Target="https://m.stock.naver.com/research/company/91360" TargetMode="External"/><Relationship Id="rId2946" Type="http://schemas.openxmlformats.org/officeDocument/2006/relationships/hyperlink" Target="https://m.stock.naver.com/research/company/90307" TargetMode="External"/><Relationship Id="rId9559" Type="http://schemas.openxmlformats.org/officeDocument/2006/relationships/hyperlink" Target="https://m.stock.naver.com/research/company/83668" TargetMode="External"/><Relationship Id="rId11489" Type="http://schemas.openxmlformats.org/officeDocument/2006/relationships/hyperlink" Target="https://m.stock.naver.com/research/company/81726" TargetMode="External"/><Relationship Id="rId12887" Type="http://schemas.openxmlformats.org/officeDocument/2006/relationships/hyperlink" Target="https://m.stock.naver.com/research/company/80321" TargetMode="External"/><Relationship Id="rId13938" Type="http://schemas.openxmlformats.org/officeDocument/2006/relationships/hyperlink" Target="https://m.stock.naver.com/research/company/93794" TargetMode="External"/><Relationship Id="rId15360" Type="http://schemas.openxmlformats.org/officeDocument/2006/relationships/hyperlink" Target="https://m.stock.naver.com/research/company/95228" TargetMode="External"/><Relationship Id="rId918" Type="http://schemas.openxmlformats.org/officeDocument/2006/relationships/hyperlink" Target="https://m.stock.naver.com/research/company/92538" TargetMode="External"/><Relationship Id="rId1548" Type="http://schemas.openxmlformats.org/officeDocument/2006/relationships/hyperlink" Target="https://m.stock.naver.com/research/company/91707" TargetMode="External"/><Relationship Id="rId15013" Type="http://schemas.openxmlformats.org/officeDocument/2006/relationships/hyperlink" Target="https://m.stock.naver.com/research/company/94821" TargetMode="External"/><Relationship Id="rId4021" Type="http://schemas.openxmlformats.org/officeDocument/2006/relationships/hyperlink" Target="https://m.stock.naver.com/research/company/89230" TargetMode="External"/><Relationship Id="rId7591" Type="http://schemas.openxmlformats.org/officeDocument/2006/relationships/hyperlink" Target="https://m.stock.naver.com/research/company/85648" TargetMode="External"/><Relationship Id="rId11970" Type="http://schemas.openxmlformats.org/officeDocument/2006/relationships/hyperlink" Target="https://m.stock.naver.com/research/company/81241" TargetMode="External"/><Relationship Id="rId6193" Type="http://schemas.openxmlformats.org/officeDocument/2006/relationships/hyperlink" Target="https://m.stock.naver.com/research/company/87047" TargetMode="External"/><Relationship Id="rId7244" Type="http://schemas.openxmlformats.org/officeDocument/2006/relationships/hyperlink" Target="https://m.stock.naver.com/research/company/85995" TargetMode="External"/><Relationship Id="rId8642" Type="http://schemas.openxmlformats.org/officeDocument/2006/relationships/hyperlink" Target="https://m.stock.naver.com/research/company/84595" TargetMode="External"/><Relationship Id="rId10572" Type="http://schemas.openxmlformats.org/officeDocument/2006/relationships/hyperlink" Target="https://m.stock.naver.com/research/company/82648" TargetMode="External"/><Relationship Id="rId11623" Type="http://schemas.openxmlformats.org/officeDocument/2006/relationships/hyperlink" Target="https://m.stock.naver.com/research/company/81589" TargetMode="External"/><Relationship Id="rId10225" Type="http://schemas.openxmlformats.org/officeDocument/2006/relationships/hyperlink" Target="https://m.stock.naver.com/research/company/82996" TargetMode="External"/><Relationship Id="rId13795" Type="http://schemas.openxmlformats.org/officeDocument/2006/relationships/hyperlink" Target="https://m.stock.naver.com/research/company/93583" TargetMode="External"/><Relationship Id="rId14846" Type="http://schemas.openxmlformats.org/officeDocument/2006/relationships/hyperlink" Target="https://m.stock.naver.com/research/company/94778" TargetMode="External"/><Relationship Id="rId3854" Type="http://schemas.openxmlformats.org/officeDocument/2006/relationships/hyperlink" Target="https://m.stock.naver.com/research/company/89397" TargetMode="External"/><Relationship Id="rId4905" Type="http://schemas.openxmlformats.org/officeDocument/2006/relationships/hyperlink" Target="https://m.stock.naver.com/research/company/88335" TargetMode="External"/><Relationship Id="rId12397" Type="http://schemas.openxmlformats.org/officeDocument/2006/relationships/hyperlink" Target="https://m.stock.naver.com/research/company/80812" TargetMode="External"/><Relationship Id="rId13448" Type="http://schemas.openxmlformats.org/officeDocument/2006/relationships/hyperlink" Target="https://m.stock.naver.com/research/company/79756" TargetMode="External"/><Relationship Id="rId775" Type="http://schemas.openxmlformats.org/officeDocument/2006/relationships/hyperlink" Target="https://m.stock.naver.com/research/company/92681" TargetMode="External"/><Relationship Id="rId2456" Type="http://schemas.openxmlformats.org/officeDocument/2006/relationships/hyperlink" Target="https://m.stock.naver.com/research/company/90798" TargetMode="External"/><Relationship Id="rId3507" Type="http://schemas.openxmlformats.org/officeDocument/2006/relationships/hyperlink" Target="https://m.stock.naver.com/research/company/89744" TargetMode="External"/><Relationship Id="rId9069" Type="http://schemas.openxmlformats.org/officeDocument/2006/relationships/hyperlink" Target="https://m.stock.naver.com/research/company/84162" TargetMode="External"/><Relationship Id="rId428" Type="http://schemas.openxmlformats.org/officeDocument/2006/relationships/hyperlink" Target="https://m.stock.naver.com/research/company/93029" TargetMode="External"/><Relationship Id="rId1058" Type="http://schemas.openxmlformats.org/officeDocument/2006/relationships/hyperlink" Target="https://m.stock.naver.com/research/company/92293" TargetMode="External"/><Relationship Id="rId2109" Type="http://schemas.openxmlformats.org/officeDocument/2006/relationships/hyperlink" Target="https://m.stock.naver.com/research/company/91146" TargetMode="External"/><Relationship Id="rId5679" Type="http://schemas.openxmlformats.org/officeDocument/2006/relationships/hyperlink" Target="https://m.stock.naver.com/research/company/87561" TargetMode="External"/><Relationship Id="rId9550" Type="http://schemas.openxmlformats.org/officeDocument/2006/relationships/hyperlink" Target="https://m.stock.naver.com/research/company/83677" TargetMode="External"/><Relationship Id="rId8152" Type="http://schemas.openxmlformats.org/officeDocument/2006/relationships/hyperlink" Target="https://m.stock.naver.com/research/company/85086" TargetMode="External"/><Relationship Id="rId9203" Type="http://schemas.openxmlformats.org/officeDocument/2006/relationships/hyperlink" Target="https://m.stock.naver.com/research/company/84027" TargetMode="External"/><Relationship Id="rId10082" Type="http://schemas.openxmlformats.org/officeDocument/2006/relationships/hyperlink" Target="https://m.stock.naver.com/research/company/83139" TargetMode="External"/><Relationship Id="rId11480" Type="http://schemas.openxmlformats.org/officeDocument/2006/relationships/hyperlink" Target="https://m.stock.naver.com/research/company/81735" TargetMode="External"/><Relationship Id="rId12531" Type="http://schemas.openxmlformats.org/officeDocument/2006/relationships/hyperlink" Target="https://m.stock.naver.com/research/company/80677" TargetMode="External"/><Relationship Id="rId11133" Type="http://schemas.openxmlformats.org/officeDocument/2006/relationships/hyperlink" Target="https://m.stock.naver.com/research/company/82087" TargetMode="External"/><Relationship Id="rId15754" Type="http://schemas.openxmlformats.org/officeDocument/2006/relationships/hyperlink" Target="https://m.stock.naver.com/research/company/95660" TargetMode="External"/><Relationship Id="rId4762" Type="http://schemas.openxmlformats.org/officeDocument/2006/relationships/hyperlink" Target="https://m.stock.naver.com/research/company/88478" TargetMode="External"/><Relationship Id="rId5813" Type="http://schemas.openxmlformats.org/officeDocument/2006/relationships/hyperlink" Target="https://m.stock.naver.com/research/company/87427" TargetMode="External"/><Relationship Id="rId14356" Type="http://schemas.openxmlformats.org/officeDocument/2006/relationships/hyperlink" Target="https://m.stock.naver.com/research/company/94195" TargetMode="External"/><Relationship Id="rId15407" Type="http://schemas.openxmlformats.org/officeDocument/2006/relationships/hyperlink" Target="https://m.stock.naver.com/research/company/95380" TargetMode="External"/><Relationship Id="rId285" Type="http://schemas.openxmlformats.org/officeDocument/2006/relationships/hyperlink" Target="https://m.stock.naver.com/research/company/93173" TargetMode="External"/><Relationship Id="rId3364" Type="http://schemas.openxmlformats.org/officeDocument/2006/relationships/hyperlink" Target="https://m.stock.naver.com/research/company/89886" TargetMode="External"/><Relationship Id="rId4415" Type="http://schemas.openxmlformats.org/officeDocument/2006/relationships/hyperlink" Target="https://m.stock.naver.com/research/company/88826" TargetMode="External"/><Relationship Id="rId7985" Type="http://schemas.openxmlformats.org/officeDocument/2006/relationships/hyperlink" Target="https://m.stock.naver.com/research/company/85253" TargetMode="External"/><Relationship Id="rId14009" Type="http://schemas.openxmlformats.org/officeDocument/2006/relationships/hyperlink" Target="https://m.stock.naver.com/research/company/93723" TargetMode="External"/><Relationship Id="rId3017" Type="http://schemas.openxmlformats.org/officeDocument/2006/relationships/hyperlink" Target="https://m.stock.naver.com/research/company/90234" TargetMode="External"/><Relationship Id="rId6587" Type="http://schemas.openxmlformats.org/officeDocument/2006/relationships/hyperlink" Target="https://m.stock.naver.com/research/company/86653" TargetMode="External"/><Relationship Id="rId7638" Type="http://schemas.openxmlformats.org/officeDocument/2006/relationships/hyperlink" Target="https://m.stock.naver.com/research/company/85601" TargetMode="External"/><Relationship Id="rId10619" Type="http://schemas.openxmlformats.org/officeDocument/2006/relationships/hyperlink" Target="https://m.stock.naver.com/research/company/82601" TargetMode="External"/><Relationship Id="rId10966" Type="http://schemas.openxmlformats.org/officeDocument/2006/relationships/hyperlink" Target="https://m.stock.naver.com/research/company/82254" TargetMode="External"/><Relationship Id="rId5189" Type="http://schemas.openxmlformats.org/officeDocument/2006/relationships/hyperlink" Target="https://m.stock.naver.com/research/company/88051" TargetMode="External"/><Relationship Id="rId9060" Type="http://schemas.openxmlformats.org/officeDocument/2006/relationships/hyperlink" Target="https://m.stock.naver.com/research/company/84171" TargetMode="External"/><Relationship Id="rId12041" Type="http://schemas.openxmlformats.org/officeDocument/2006/relationships/hyperlink" Target="https://m.stock.naver.com/research/company/81170" TargetMode="External"/><Relationship Id="rId1799" Type="http://schemas.openxmlformats.org/officeDocument/2006/relationships/hyperlink" Target="https://m.stock.naver.com/research/company/91456" TargetMode="External"/><Relationship Id="rId2100" Type="http://schemas.openxmlformats.org/officeDocument/2006/relationships/hyperlink" Target="https://m.stock.naver.com/research/company/91155" TargetMode="External"/><Relationship Id="rId5670" Type="http://schemas.openxmlformats.org/officeDocument/2006/relationships/hyperlink" Target="https://m.stock.naver.com/research/company/87570" TargetMode="External"/><Relationship Id="rId4272" Type="http://schemas.openxmlformats.org/officeDocument/2006/relationships/hyperlink" Target="https://m.stock.naver.com/research/company/88969" TargetMode="External"/><Relationship Id="rId5323" Type="http://schemas.openxmlformats.org/officeDocument/2006/relationships/hyperlink" Target="https://m.stock.naver.com/research/company/87917" TargetMode="External"/><Relationship Id="rId6721" Type="http://schemas.openxmlformats.org/officeDocument/2006/relationships/hyperlink" Target="https://m.stock.naver.com/research/company/86519" TargetMode="External"/><Relationship Id="rId15264" Type="http://schemas.openxmlformats.org/officeDocument/2006/relationships/hyperlink" Target="https://m.stock.naver.com/research/company/95096" TargetMode="External"/><Relationship Id="rId8893" Type="http://schemas.openxmlformats.org/officeDocument/2006/relationships/hyperlink" Target="https://m.stock.naver.com/research/company/84343" TargetMode="External"/><Relationship Id="rId9944" Type="http://schemas.openxmlformats.org/officeDocument/2006/relationships/hyperlink" Target="https://m.stock.naver.com/research/company/83278" TargetMode="External"/><Relationship Id="rId11874" Type="http://schemas.openxmlformats.org/officeDocument/2006/relationships/hyperlink" Target="https://m.stock.naver.com/research/company/81338" TargetMode="External"/><Relationship Id="rId12925" Type="http://schemas.openxmlformats.org/officeDocument/2006/relationships/hyperlink" Target="https://m.stock.naver.com/research/company/80283" TargetMode="External"/><Relationship Id="rId1933" Type="http://schemas.openxmlformats.org/officeDocument/2006/relationships/hyperlink" Target="https://m.stock.naver.com/research/company/91322" TargetMode="External"/><Relationship Id="rId6097" Type="http://schemas.openxmlformats.org/officeDocument/2006/relationships/hyperlink" Target="https://m.stock.naver.com/research/company/87143" TargetMode="External"/><Relationship Id="rId7495" Type="http://schemas.openxmlformats.org/officeDocument/2006/relationships/hyperlink" Target="https://m.stock.naver.com/research/company/85744" TargetMode="External"/><Relationship Id="rId8546" Type="http://schemas.openxmlformats.org/officeDocument/2006/relationships/hyperlink" Target="https://m.stock.naver.com/research/company/84691" TargetMode="External"/><Relationship Id="rId10476" Type="http://schemas.openxmlformats.org/officeDocument/2006/relationships/hyperlink" Target="https://m.stock.naver.com/research/company/82744" TargetMode="External"/><Relationship Id="rId11527" Type="http://schemas.openxmlformats.org/officeDocument/2006/relationships/hyperlink" Target="https://m.stock.naver.com/research/company/81688" TargetMode="External"/><Relationship Id="rId7148" Type="http://schemas.openxmlformats.org/officeDocument/2006/relationships/hyperlink" Target="https://m.stock.naver.com/research/company/86091" TargetMode="External"/><Relationship Id="rId10129" Type="http://schemas.openxmlformats.org/officeDocument/2006/relationships/hyperlink" Target="https://m.stock.naver.com/research/company/83092" TargetMode="External"/><Relationship Id="rId13699" Type="http://schemas.openxmlformats.org/officeDocument/2006/relationships/hyperlink" Target="https://m.stock.naver.com/research/company/93475" TargetMode="External"/><Relationship Id="rId14000" Type="http://schemas.openxmlformats.org/officeDocument/2006/relationships/hyperlink" Target="https://m.stock.naver.com/research/company/93732" TargetMode="External"/><Relationship Id="rId3758" Type="http://schemas.openxmlformats.org/officeDocument/2006/relationships/hyperlink" Target="https://m.stock.naver.com/research/company/89493" TargetMode="External"/><Relationship Id="rId4809" Type="http://schemas.openxmlformats.org/officeDocument/2006/relationships/hyperlink" Target="https://m.stock.naver.com/research/company/88431" TargetMode="External"/><Relationship Id="rId679" Type="http://schemas.openxmlformats.org/officeDocument/2006/relationships/hyperlink" Target="https://m.stock.naver.com/research/company/92777" TargetMode="External"/><Relationship Id="rId5180" Type="http://schemas.openxmlformats.org/officeDocument/2006/relationships/hyperlink" Target="https://m.stock.naver.com/research/company/88060" TargetMode="External"/><Relationship Id="rId6231" Type="http://schemas.openxmlformats.org/officeDocument/2006/relationships/hyperlink" Target="https://m.stock.naver.com/research/company/87009" TargetMode="External"/><Relationship Id="rId10610" Type="http://schemas.openxmlformats.org/officeDocument/2006/relationships/hyperlink" Target="https://m.stock.naver.com/research/company/82610" TargetMode="External"/><Relationship Id="rId9454" Type="http://schemas.openxmlformats.org/officeDocument/2006/relationships/hyperlink" Target="https://m.stock.naver.com/research/company/83773" TargetMode="External"/><Relationship Id="rId12782" Type="http://schemas.openxmlformats.org/officeDocument/2006/relationships/hyperlink" Target="https://m.stock.naver.com/research/company/80426" TargetMode="External"/><Relationship Id="rId13833" Type="http://schemas.openxmlformats.org/officeDocument/2006/relationships/hyperlink" Target="https://m.stock.naver.com/research/company/93620" TargetMode="External"/><Relationship Id="rId1790" Type="http://schemas.openxmlformats.org/officeDocument/2006/relationships/hyperlink" Target="https://m.stock.naver.com/research/company/91465" TargetMode="External"/><Relationship Id="rId2841" Type="http://schemas.openxmlformats.org/officeDocument/2006/relationships/hyperlink" Target="https://m.stock.naver.com/research/company/90412" TargetMode="External"/><Relationship Id="rId8056" Type="http://schemas.openxmlformats.org/officeDocument/2006/relationships/hyperlink" Target="https://m.stock.naver.com/research/company/85182" TargetMode="External"/><Relationship Id="rId9107" Type="http://schemas.openxmlformats.org/officeDocument/2006/relationships/hyperlink" Target="https://m.stock.naver.com/research/company/84123" TargetMode="External"/><Relationship Id="rId11384" Type="http://schemas.openxmlformats.org/officeDocument/2006/relationships/hyperlink" Target="https://m.stock.naver.com/research/company/81831" TargetMode="External"/><Relationship Id="rId12435" Type="http://schemas.openxmlformats.org/officeDocument/2006/relationships/hyperlink" Target="https://m.stock.naver.com/research/company/80774" TargetMode="External"/><Relationship Id="rId813" Type="http://schemas.openxmlformats.org/officeDocument/2006/relationships/hyperlink" Target="https://m.stock.naver.com/research/company/92643" TargetMode="External"/><Relationship Id="rId1443" Type="http://schemas.openxmlformats.org/officeDocument/2006/relationships/hyperlink" Target="https://m.stock.naver.com/research/company/91812" TargetMode="External"/><Relationship Id="rId11037" Type="http://schemas.openxmlformats.org/officeDocument/2006/relationships/hyperlink" Target="https://m.stock.naver.com/research/company/82183" TargetMode="External"/><Relationship Id="rId15658" Type="http://schemas.openxmlformats.org/officeDocument/2006/relationships/hyperlink" Target="https://m.stock.naver.com/research/company/95756" TargetMode="External"/><Relationship Id="rId4666" Type="http://schemas.openxmlformats.org/officeDocument/2006/relationships/hyperlink" Target="https://m.stock.naver.com/research/company/88574" TargetMode="External"/><Relationship Id="rId5717" Type="http://schemas.openxmlformats.org/officeDocument/2006/relationships/hyperlink" Target="https://m.stock.naver.com/research/company/87523" TargetMode="External"/><Relationship Id="rId3268" Type="http://schemas.openxmlformats.org/officeDocument/2006/relationships/hyperlink" Target="https://m.stock.naver.com/research/company/89982" TargetMode="External"/><Relationship Id="rId4319" Type="http://schemas.openxmlformats.org/officeDocument/2006/relationships/hyperlink" Target="https://m.stock.naver.com/research/company/88922" TargetMode="External"/><Relationship Id="rId7889" Type="http://schemas.openxmlformats.org/officeDocument/2006/relationships/hyperlink" Target="https://m.stock.naver.com/research/company/85349" TargetMode="External"/><Relationship Id="rId10120" Type="http://schemas.openxmlformats.org/officeDocument/2006/relationships/hyperlink" Target="https://m.stock.naver.com/research/company/83101" TargetMode="External"/><Relationship Id="rId189" Type="http://schemas.openxmlformats.org/officeDocument/2006/relationships/hyperlink" Target="https://m.stock.naver.com/research/company/93269" TargetMode="External"/><Relationship Id="rId12292" Type="http://schemas.openxmlformats.org/officeDocument/2006/relationships/hyperlink" Target="https://m.stock.naver.com/research/company/80917" TargetMode="External"/><Relationship Id="rId13690" Type="http://schemas.openxmlformats.org/officeDocument/2006/relationships/hyperlink" Target="https://m.stock.naver.com/research/company/93484" TargetMode="External"/><Relationship Id="rId14741" Type="http://schemas.openxmlformats.org/officeDocument/2006/relationships/hyperlink" Target="https://m.stock.naver.com/research/company/94659" TargetMode="External"/><Relationship Id="rId670" Type="http://schemas.openxmlformats.org/officeDocument/2006/relationships/hyperlink" Target="https://m.stock.naver.com/research/company/92786" TargetMode="External"/><Relationship Id="rId2351" Type="http://schemas.openxmlformats.org/officeDocument/2006/relationships/hyperlink" Target="https://m.stock.naver.com/research/company/90903" TargetMode="External"/><Relationship Id="rId3402" Type="http://schemas.openxmlformats.org/officeDocument/2006/relationships/hyperlink" Target="https://m.stock.naver.com/research/company/89849" TargetMode="External"/><Relationship Id="rId4800" Type="http://schemas.openxmlformats.org/officeDocument/2006/relationships/hyperlink" Target="https://m.stock.naver.com/research/company/88440" TargetMode="External"/><Relationship Id="rId13343" Type="http://schemas.openxmlformats.org/officeDocument/2006/relationships/hyperlink" Target="https://m.stock.naver.com/research/company/79862" TargetMode="External"/><Relationship Id="rId323" Type="http://schemas.openxmlformats.org/officeDocument/2006/relationships/hyperlink" Target="https://m.stock.naver.com/research/company/93135" TargetMode="External"/><Relationship Id="rId2004" Type="http://schemas.openxmlformats.org/officeDocument/2006/relationships/hyperlink" Target="https://m.stock.naver.com/research/company/91251" TargetMode="External"/><Relationship Id="rId6972" Type="http://schemas.openxmlformats.org/officeDocument/2006/relationships/hyperlink" Target="https://m.stock.naver.com/research/company/86267" TargetMode="External"/><Relationship Id="rId4176" Type="http://schemas.openxmlformats.org/officeDocument/2006/relationships/hyperlink" Target="https://m.stock.naver.com/research/company/89073" TargetMode="External"/><Relationship Id="rId5574" Type="http://schemas.openxmlformats.org/officeDocument/2006/relationships/hyperlink" Target="https://m.stock.naver.com/research/company/87666" TargetMode="External"/><Relationship Id="rId6625" Type="http://schemas.openxmlformats.org/officeDocument/2006/relationships/hyperlink" Target="https://m.stock.naver.com/research/company/86615" TargetMode="External"/><Relationship Id="rId15168" Type="http://schemas.openxmlformats.org/officeDocument/2006/relationships/hyperlink" Target="https://m.stock.naver.com/research/company/95192" TargetMode="External"/><Relationship Id="rId5227" Type="http://schemas.openxmlformats.org/officeDocument/2006/relationships/hyperlink" Target="https://m.stock.naver.com/research/company/88013" TargetMode="External"/><Relationship Id="rId8797" Type="http://schemas.openxmlformats.org/officeDocument/2006/relationships/hyperlink" Target="https://m.stock.naver.com/research/company/84440" TargetMode="External"/><Relationship Id="rId9848" Type="http://schemas.openxmlformats.org/officeDocument/2006/relationships/hyperlink" Target="https://m.stock.naver.com/research/company/83374" TargetMode="External"/><Relationship Id="rId11778" Type="http://schemas.openxmlformats.org/officeDocument/2006/relationships/hyperlink" Target="https://m.stock.naver.com/research/company/81434" TargetMode="External"/><Relationship Id="rId12829" Type="http://schemas.openxmlformats.org/officeDocument/2006/relationships/hyperlink" Target="https://m.stock.naver.com/research/company/80379" TargetMode="External"/><Relationship Id="rId1837" Type="http://schemas.openxmlformats.org/officeDocument/2006/relationships/hyperlink" Target="https://m.stock.naver.com/research/company/91418" TargetMode="External"/><Relationship Id="rId7399" Type="http://schemas.openxmlformats.org/officeDocument/2006/relationships/hyperlink" Target="https://m.stock.naver.com/research/company/85840" TargetMode="External"/><Relationship Id="rId14251" Type="http://schemas.openxmlformats.org/officeDocument/2006/relationships/hyperlink" Target="https://m.stock.naver.com/research/company/94092" TargetMode="External"/><Relationship Id="rId15302" Type="http://schemas.openxmlformats.org/officeDocument/2006/relationships/hyperlink" Target="https://m.stock.naver.com/research/company/95058" TargetMode="External"/><Relationship Id="rId4310" Type="http://schemas.openxmlformats.org/officeDocument/2006/relationships/hyperlink" Target="https://m.stock.naver.com/research/company/88931" TargetMode="External"/><Relationship Id="rId7880" Type="http://schemas.openxmlformats.org/officeDocument/2006/relationships/hyperlink" Target="https://m.stock.naver.com/research/company/85358" TargetMode="External"/><Relationship Id="rId180" Type="http://schemas.openxmlformats.org/officeDocument/2006/relationships/hyperlink" Target="https://m.stock.naver.com/research/company/93278" TargetMode="External"/><Relationship Id="rId6482" Type="http://schemas.openxmlformats.org/officeDocument/2006/relationships/hyperlink" Target="https://m.stock.naver.com/research/company/86758" TargetMode="External"/><Relationship Id="rId7533" Type="http://schemas.openxmlformats.org/officeDocument/2006/relationships/hyperlink" Target="https://m.stock.naver.com/research/company/85706" TargetMode="External"/><Relationship Id="rId8931" Type="http://schemas.openxmlformats.org/officeDocument/2006/relationships/hyperlink" Target="https://m.stock.naver.com/research/company/84304" TargetMode="External"/><Relationship Id="rId10861" Type="http://schemas.openxmlformats.org/officeDocument/2006/relationships/hyperlink" Target="https://m.stock.naver.com/research/company/82359" TargetMode="External"/><Relationship Id="rId11912" Type="http://schemas.openxmlformats.org/officeDocument/2006/relationships/hyperlink" Target="https://m.stock.naver.com/research/company/81299" TargetMode="External"/><Relationship Id="rId5084" Type="http://schemas.openxmlformats.org/officeDocument/2006/relationships/hyperlink" Target="https://m.stock.naver.com/research/company/88156" TargetMode="External"/><Relationship Id="rId6135" Type="http://schemas.openxmlformats.org/officeDocument/2006/relationships/hyperlink" Target="https://m.stock.naver.com/research/company/87105" TargetMode="External"/><Relationship Id="rId10514" Type="http://schemas.openxmlformats.org/officeDocument/2006/relationships/hyperlink" Target="https://m.stock.naver.com/research/company/82706" TargetMode="External"/><Relationship Id="rId12686" Type="http://schemas.openxmlformats.org/officeDocument/2006/relationships/hyperlink" Target="https://m.stock.naver.com/research/company/80522" TargetMode="External"/><Relationship Id="rId13737" Type="http://schemas.openxmlformats.org/officeDocument/2006/relationships/hyperlink" Target="https://m.stock.naver.com/research/company/93502" TargetMode="External"/><Relationship Id="rId1694" Type="http://schemas.openxmlformats.org/officeDocument/2006/relationships/hyperlink" Target="https://m.stock.naver.com/research/company/91561" TargetMode="External"/><Relationship Id="rId2745" Type="http://schemas.openxmlformats.org/officeDocument/2006/relationships/hyperlink" Target="https://m.stock.naver.com/research/company/90509" TargetMode="External"/><Relationship Id="rId9358" Type="http://schemas.openxmlformats.org/officeDocument/2006/relationships/hyperlink" Target="https://m.stock.naver.com/research/company/83869" TargetMode="External"/><Relationship Id="rId11288" Type="http://schemas.openxmlformats.org/officeDocument/2006/relationships/hyperlink" Target="https://m.stock.naver.com/research/company/81931" TargetMode="External"/><Relationship Id="rId12339" Type="http://schemas.openxmlformats.org/officeDocument/2006/relationships/hyperlink" Target="https://m.stock.naver.com/research/company/80870" TargetMode="External"/><Relationship Id="rId717" Type="http://schemas.openxmlformats.org/officeDocument/2006/relationships/hyperlink" Target="https://m.stock.naver.com/research/company/92739" TargetMode="External"/><Relationship Id="rId1347" Type="http://schemas.openxmlformats.org/officeDocument/2006/relationships/hyperlink" Target="https://m.stock.naver.com/research/company/91908" TargetMode="External"/><Relationship Id="rId5968" Type="http://schemas.openxmlformats.org/officeDocument/2006/relationships/hyperlink" Target="https://m.stock.naver.com/research/company/87272" TargetMode="External"/><Relationship Id="rId53" Type="http://schemas.openxmlformats.org/officeDocument/2006/relationships/hyperlink" Target="https://m.stock.naver.com/research/company/93405" TargetMode="External"/><Relationship Id="rId7390" Type="http://schemas.openxmlformats.org/officeDocument/2006/relationships/hyperlink" Target="https://m.stock.naver.com/research/company/85849" TargetMode="External"/><Relationship Id="rId8441" Type="http://schemas.openxmlformats.org/officeDocument/2006/relationships/hyperlink" Target="https://m.stock.naver.com/research/company/84797" TargetMode="External"/><Relationship Id="rId10371" Type="http://schemas.openxmlformats.org/officeDocument/2006/relationships/hyperlink" Target="https://m.stock.naver.com/research/company/82850" TargetMode="External"/><Relationship Id="rId12820" Type="http://schemas.openxmlformats.org/officeDocument/2006/relationships/hyperlink" Target="https://m.stock.naver.com/research/company/80388" TargetMode="External"/><Relationship Id="rId7043" Type="http://schemas.openxmlformats.org/officeDocument/2006/relationships/hyperlink" Target="https://m.stock.naver.com/research/company/86196" TargetMode="External"/><Relationship Id="rId10024" Type="http://schemas.openxmlformats.org/officeDocument/2006/relationships/hyperlink" Target="https://m.stock.naver.com/research/company/83197" TargetMode="External"/><Relationship Id="rId11422" Type="http://schemas.openxmlformats.org/officeDocument/2006/relationships/hyperlink" Target="https://m.stock.naver.com/research/company/81793" TargetMode="External"/><Relationship Id="rId14992" Type="http://schemas.openxmlformats.org/officeDocument/2006/relationships/hyperlink" Target="https://m.stock.naver.com/research/company/94842" TargetMode="External"/><Relationship Id="rId13594" Type="http://schemas.openxmlformats.org/officeDocument/2006/relationships/hyperlink" Target="https://m.stock.naver.com/research/company/79610" TargetMode="External"/><Relationship Id="rId14645" Type="http://schemas.openxmlformats.org/officeDocument/2006/relationships/hyperlink" Target="https://m.stock.naver.com/research/company/94533" TargetMode="External"/><Relationship Id="rId574" Type="http://schemas.openxmlformats.org/officeDocument/2006/relationships/hyperlink" Target="https://m.stock.naver.com/research/company/92883" TargetMode="External"/><Relationship Id="rId2255" Type="http://schemas.openxmlformats.org/officeDocument/2006/relationships/hyperlink" Target="https://m.stock.naver.com/research/company/91000" TargetMode="External"/><Relationship Id="rId3653" Type="http://schemas.openxmlformats.org/officeDocument/2006/relationships/hyperlink" Target="https://m.stock.naver.com/research/company/89598" TargetMode="External"/><Relationship Id="rId4704" Type="http://schemas.openxmlformats.org/officeDocument/2006/relationships/hyperlink" Target="https://m.stock.naver.com/research/company/88536" TargetMode="External"/><Relationship Id="rId12196" Type="http://schemas.openxmlformats.org/officeDocument/2006/relationships/hyperlink" Target="https://m.stock.naver.com/research/company/81015" TargetMode="External"/><Relationship Id="rId13247" Type="http://schemas.openxmlformats.org/officeDocument/2006/relationships/hyperlink" Target="https://m.stock.naver.com/research/company/79960" TargetMode="External"/><Relationship Id="rId227" Type="http://schemas.openxmlformats.org/officeDocument/2006/relationships/hyperlink" Target="https://m.stock.naver.com/research/company/93231" TargetMode="External"/><Relationship Id="rId3306" Type="http://schemas.openxmlformats.org/officeDocument/2006/relationships/hyperlink" Target="https://m.stock.naver.com/research/company/89944" TargetMode="External"/><Relationship Id="rId6876" Type="http://schemas.openxmlformats.org/officeDocument/2006/relationships/hyperlink" Target="https://m.stock.naver.com/research/company/86363" TargetMode="External"/><Relationship Id="rId7927" Type="http://schemas.openxmlformats.org/officeDocument/2006/relationships/hyperlink" Target="https://m.stock.naver.com/research/company/85311" TargetMode="External"/><Relationship Id="rId10908" Type="http://schemas.openxmlformats.org/officeDocument/2006/relationships/hyperlink" Target="https://m.stock.naver.com/research/company/82312" TargetMode="External"/><Relationship Id="rId5478" Type="http://schemas.openxmlformats.org/officeDocument/2006/relationships/hyperlink" Target="https://m.stock.naver.com/research/company/87762" TargetMode="External"/><Relationship Id="rId6529" Type="http://schemas.openxmlformats.org/officeDocument/2006/relationships/hyperlink" Target="https://m.stock.naver.com/research/company/86711" TargetMode="External"/><Relationship Id="rId12330" Type="http://schemas.openxmlformats.org/officeDocument/2006/relationships/hyperlink" Target="https://m.stock.naver.com/research/company/80879" TargetMode="External"/><Relationship Id="rId9002" Type="http://schemas.openxmlformats.org/officeDocument/2006/relationships/hyperlink" Target="https://m.stock.naver.com/research/company/84230" TargetMode="External"/><Relationship Id="rId4561" Type="http://schemas.openxmlformats.org/officeDocument/2006/relationships/hyperlink" Target="https://m.stock.naver.com/research/company/88679" TargetMode="External"/><Relationship Id="rId5612" Type="http://schemas.openxmlformats.org/officeDocument/2006/relationships/hyperlink" Target="https://m.stock.naver.com/research/company/87628" TargetMode="External"/><Relationship Id="rId14155" Type="http://schemas.openxmlformats.org/officeDocument/2006/relationships/hyperlink" Target="https://m.stock.naver.com/research/company/93973" TargetMode="External"/><Relationship Id="rId15206" Type="http://schemas.openxmlformats.org/officeDocument/2006/relationships/hyperlink" Target="https://m.stock.naver.com/research/company/95154" TargetMode="External"/><Relationship Id="rId15553" Type="http://schemas.openxmlformats.org/officeDocument/2006/relationships/hyperlink" Target="https://m.stock.naver.com/research/company/95483" TargetMode="External"/><Relationship Id="rId3163" Type="http://schemas.openxmlformats.org/officeDocument/2006/relationships/hyperlink" Target="https://m.stock.naver.com/research/company/90088" TargetMode="External"/><Relationship Id="rId4214" Type="http://schemas.openxmlformats.org/officeDocument/2006/relationships/hyperlink" Target="https://m.stock.naver.com/research/company/89028" TargetMode="External"/><Relationship Id="rId6386" Type="http://schemas.openxmlformats.org/officeDocument/2006/relationships/hyperlink" Target="https://m.stock.naver.com/research/company/86854" TargetMode="External"/><Relationship Id="rId7784" Type="http://schemas.openxmlformats.org/officeDocument/2006/relationships/hyperlink" Target="https://m.stock.naver.com/research/company/85454" TargetMode="External"/><Relationship Id="rId8835" Type="http://schemas.openxmlformats.org/officeDocument/2006/relationships/hyperlink" Target="https://m.stock.naver.com/research/company/84402" TargetMode="External"/><Relationship Id="rId10765" Type="http://schemas.openxmlformats.org/officeDocument/2006/relationships/hyperlink" Target="https://m.stock.naver.com/research/company/82455" TargetMode="External"/><Relationship Id="rId11816" Type="http://schemas.openxmlformats.org/officeDocument/2006/relationships/hyperlink" Target="https://m.stock.naver.com/research/company/81396" TargetMode="External"/><Relationship Id="rId6039" Type="http://schemas.openxmlformats.org/officeDocument/2006/relationships/hyperlink" Target="https://m.stock.naver.com/research/company/87201" TargetMode="External"/><Relationship Id="rId7437" Type="http://schemas.openxmlformats.org/officeDocument/2006/relationships/hyperlink" Target="https://m.stock.naver.com/research/company/85802" TargetMode="External"/><Relationship Id="rId10418" Type="http://schemas.openxmlformats.org/officeDocument/2006/relationships/hyperlink" Target="https://m.stock.naver.com/research/company/82803" TargetMode="External"/><Relationship Id="rId13988" Type="http://schemas.openxmlformats.org/officeDocument/2006/relationships/hyperlink" Target="https://m.stock.naver.com/research/company/93744" TargetMode="External"/><Relationship Id="rId2996" Type="http://schemas.openxmlformats.org/officeDocument/2006/relationships/hyperlink" Target="https://m.stock.naver.com/research/company/90256" TargetMode="External"/><Relationship Id="rId968" Type="http://schemas.openxmlformats.org/officeDocument/2006/relationships/hyperlink" Target="https://m.stock.naver.com/research/company/92488" TargetMode="External"/><Relationship Id="rId1598" Type="http://schemas.openxmlformats.org/officeDocument/2006/relationships/hyperlink" Target="https://m.stock.naver.com/research/company/91657" TargetMode="External"/><Relationship Id="rId2649" Type="http://schemas.openxmlformats.org/officeDocument/2006/relationships/hyperlink" Target="https://m.stock.naver.com/research/company/90605" TargetMode="External"/><Relationship Id="rId6520" Type="http://schemas.openxmlformats.org/officeDocument/2006/relationships/hyperlink" Target="https://m.stock.naver.com/research/company/86720" TargetMode="External"/><Relationship Id="rId15063" Type="http://schemas.openxmlformats.org/officeDocument/2006/relationships/hyperlink" Target="https://m.stock.naver.com/research/company/95031" TargetMode="External"/><Relationship Id="rId4071" Type="http://schemas.openxmlformats.org/officeDocument/2006/relationships/hyperlink" Target="https://m.stock.naver.com/research/company/89180" TargetMode="External"/><Relationship Id="rId5122" Type="http://schemas.openxmlformats.org/officeDocument/2006/relationships/hyperlink" Target="https://m.stock.naver.com/research/company/88118" TargetMode="External"/><Relationship Id="rId8692" Type="http://schemas.openxmlformats.org/officeDocument/2006/relationships/hyperlink" Target="https://m.stock.naver.com/research/company/84545" TargetMode="External"/><Relationship Id="rId9743" Type="http://schemas.openxmlformats.org/officeDocument/2006/relationships/hyperlink" Target="https://m.stock.naver.com/research/company/83480" TargetMode="External"/><Relationship Id="rId7294" Type="http://schemas.openxmlformats.org/officeDocument/2006/relationships/hyperlink" Target="https://m.stock.naver.com/research/company/85945" TargetMode="External"/><Relationship Id="rId8345" Type="http://schemas.openxmlformats.org/officeDocument/2006/relationships/hyperlink" Target="https://m.stock.naver.com/research/company/84893" TargetMode="External"/><Relationship Id="rId11673" Type="http://schemas.openxmlformats.org/officeDocument/2006/relationships/hyperlink" Target="https://m.stock.naver.com/research/company/81539" TargetMode="External"/><Relationship Id="rId12724" Type="http://schemas.openxmlformats.org/officeDocument/2006/relationships/hyperlink" Target="https://m.stock.naver.com/research/company/80484" TargetMode="External"/><Relationship Id="rId1732" Type="http://schemas.openxmlformats.org/officeDocument/2006/relationships/hyperlink" Target="https://m.stock.naver.com/research/company/91523" TargetMode="External"/><Relationship Id="rId10275" Type="http://schemas.openxmlformats.org/officeDocument/2006/relationships/hyperlink" Target="https://m.stock.naver.com/research/company/82946" TargetMode="External"/><Relationship Id="rId11326" Type="http://schemas.openxmlformats.org/officeDocument/2006/relationships/hyperlink" Target="https://m.stock.naver.com/research/company/81890" TargetMode="External"/><Relationship Id="rId14896" Type="http://schemas.openxmlformats.org/officeDocument/2006/relationships/hyperlink" Target="https://m.stock.naver.com/research/company/94728" TargetMode="External"/><Relationship Id="rId4955" Type="http://schemas.openxmlformats.org/officeDocument/2006/relationships/hyperlink" Target="https://m.stock.naver.com/research/company/88285" TargetMode="External"/><Relationship Id="rId13498" Type="http://schemas.openxmlformats.org/officeDocument/2006/relationships/hyperlink" Target="https://m.stock.naver.com/research/company/79706" TargetMode="External"/><Relationship Id="rId14549" Type="http://schemas.openxmlformats.org/officeDocument/2006/relationships/hyperlink" Target="https://m.stock.naver.com/research/company/94361" TargetMode="External"/><Relationship Id="rId3557" Type="http://schemas.openxmlformats.org/officeDocument/2006/relationships/hyperlink" Target="https://m.stock.naver.com/research/company/89694" TargetMode="External"/><Relationship Id="rId4608" Type="http://schemas.openxmlformats.org/officeDocument/2006/relationships/hyperlink" Target="https://m.stock.naver.com/research/company/88632" TargetMode="External"/><Relationship Id="rId478" Type="http://schemas.openxmlformats.org/officeDocument/2006/relationships/hyperlink" Target="https://m.stock.naver.com/research/company/92979" TargetMode="External"/><Relationship Id="rId2159" Type="http://schemas.openxmlformats.org/officeDocument/2006/relationships/hyperlink" Target="https://m.stock.naver.com/research/company/91096" TargetMode="External"/><Relationship Id="rId6030" Type="http://schemas.openxmlformats.org/officeDocument/2006/relationships/hyperlink" Target="https://m.stock.naver.com/research/company/87210" TargetMode="External"/><Relationship Id="rId12581" Type="http://schemas.openxmlformats.org/officeDocument/2006/relationships/hyperlink" Target="https://m.stock.naver.com/research/company/80627" TargetMode="External"/><Relationship Id="rId2640" Type="http://schemas.openxmlformats.org/officeDocument/2006/relationships/hyperlink" Target="https://m.stock.naver.com/research/company/90614" TargetMode="External"/><Relationship Id="rId9253" Type="http://schemas.openxmlformats.org/officeDocument/2006/relationships/hyperlink" Target="https://m.stock.naver.com/research/company/83975" TargetMode="External"/><Relationship Id="rId11183" Type="http://schemas.openxmlformats.org/officeDocument/2006/relationships/hyperlink" Target="https://m.stock.naver.com/research/company/82037" TargetMode="External"/><Relationship Id="rId12234" Type="http://schemas.openxmlformats.org/officeDocument/2006/relationships/hyperlink" Target="https://m.stock.naver.com/research/company/80976" TargetMode="External"/><Relationship Id="rId13632" Type="http://schemas.openxmlformats.org/officeDocument/2006/relationships/hyperlink" Target="https://m.stock.naver.com/research/company/79572" TargetMode="External"/><Relationship Id="rId612" Type="http://schemas.openxmlformats.org/officeDocument/2006/relationships/hyperlink" Target="https://m.stock.naver.com/research/company/92844" TargetMode="External"/><Relationship Id="rId1242" Type="http://schemas.openxmlformats.org/officeDocument/2006/relationships/hyperlink" Target="https://m.stock.naver.com/research/company/92013" TargetMode="External"/><Relationship Id="rId4465" Type="http://schemas.openxmlformats.org/officeDocument/2006/relationships/hyperlink" Target="https://m.stock.naver.com/research/company/88775" TargetMode="External"/><Relationship Id="rId5863" Type="http://schemas.openxmlformats.org/officeDocument/2006/relationships/hyperlink" Target="https://m.stock.naver.com/research/company/87377" TargetMode="External"/><Relationship Id="rId6914" Type="http://schemas.openxmlformats.org/officeDocument/2006/relationships/hyperlink" Target="https://m.stock.naver.com/research/company/86325" TargetMode="External"/><Relationship Id="rId15457" Type="http://schemas.openxmlformats.org/officeDocument/2006/relationships/hyperlink" Target="https://m.stock.naver.com/research/company/95330" TargetMode="External"/><Relationship Id="rId3067" Type="http://schemas.openxmlformats.org/officeDocument/2006/relationships/hyperlink" Target="https://m.stock.naver.com/research/company/90184" TargetMode="External"/><Relationship Id="rId4118" Type="http://schemas.openxmlformats.org/officeDocument/2006/relationships/hyperlink" Target="https://m.stock.naver.com/research/company/89133" TargetMode="External"/><Relationship Id="rId5516" Type="http://schemas.openxmlformats.org/officeDocument/2006/relationships/hyperlink" Target="https://m.stock.naver.com/research/company/87724" TargetMode="External"/><Relationship Id="rId14059" Type="http://schemas.openxmlformats.org/officeDocument/2006/relationships/hyperlink" Target="https://m.stock.naver.com/research/company/93864" TargetMode="External"/><Relationship Id="rId7688" Type="http://schemas.openxmlformats.org/officeDocument/2006/relationships/hyperlink" Target="https://m.stock.naver.com/research/company/85551" TargetMode="External"/><Relationship Id="rId8739" Type="http://schemas.openxmlformats.org/officeDocument/2006/relationships/hyperlink" Target="https://m.stock.naver.com/research/company/84498" TargetMode="External"/><Relationship Id="rId10669" Type="http://schemas.openxmlformats.org/officeDocument/2006/relationships/hyperlink" Target="https://m.stock.naver.com/research/company/82551" TargetMode="External"/><Relationship Id="rId14540" Type="http://schemas.openxmlformats.org/officeDocument/2006/relationships/hyperlink" Target="https://m.stock.naver.com/research/company/94370" TargetMode="External"/><Relationship Id="rId12091" Type="http://schemas.openxmlformats.org/officeDocument/2006/relationships/hyperlink" Target="https://m.stock.naver.com/research/company/81120" TargetMode="External"/><Relationship Id="rId13142" Type="http://schemas.openxmlformats.org/officeDocument/2006/relationships/hyperlink" Target="https://m.stock.naver.com/research/company/80065" TargetMode="External"/><Relationship Id="rId2150" Type="http://schemas.openxmlformats.org/officeDocument/2006/relationships/hyperlink" Target="https://m.stock.naver.com/research/company/91105" TargetMode="External"/><Relationship Id="rId3201" Type="http://schemas.openxmlformats.org/officeDocument/2006/relationships/hyperlink" Target="https://m.stock.naver.com/research/company/90050" TargetMode="External"/><Relationship Id="rId6771" Type="http://schemas.openxmlformats.org/officeDocument/2006/relationships/hyperlink" Target="https://m.stock.naver.com/research/company/86469" TargetMode="External"/><Relationship Id="rId7822" Type="http://schemas.openxmlformats.org/officeDocument/2006/relationships/hyperlink" Target="https://m.stock.naver.com/research/company/85416" TargetMode="External"/><Relationship Id="rId122" Type="http://schemas.openxmlformats.org/officeDocument/2006/relationships/hyperlink" Target="https://m.stock.naver.com/research/company/93336" TargetMode="External"/><Relationship Id="rId5373" Type="http://schemas.openxmlformats.org/officeDocument/2006/relationships/hyperlink" Target="https://m.stock.naver.com/research/company/87867" TargetMode="External"/><Relationship Id="rId6424" Type="http://schemas.openxmlformats.org/officeDocument/2006/relationships/hyperlink" Target="https://m.stock.naver.com/research/company/86816" TargetMode="External"/><Relationship Id="rId10803" Type="http://schemas.openxmlformats.org/officeDocument/2006/relationships/hyperlink" Target="https://m.stock.naver.com/research/company/82417" TargetMode="External"/><Relationship Id="rId5026" Type="http://schemas.openxmlformats.org/officeDocument/2006/relationships/hyperlink" Target="https://m.stock.naver.com/research/company/88214" TargetMode="External"/><Relationship Id="rId8596" Type="http://schemas.openxmlformats.org/officeDocument/2006/relationships/hyperlink" Target="https://m.stock.naver.com/research/company/84641" TargetMode="External"/><Relationship Id="rId9994" Type="http://schemas.openxmlformats.org/officeDocument/2006/relationships/hyperlink" Target="https://m.stock.naver.com/research/company/83227" TargetMode="External"/><Relationship Id="rId12975" Type="http://schemas.openxmlformats.org/officeDocument/2006/relationships/hyperlink" Target="https://m.stock.naver.com/research/company/80233" TargetMode="External"/><Relationship Id="rId1983" Type="http://schemas.openxmlformats.org/officeDocument/2006/relationships/hyperlink" Target="https://m.stock.naver.com/research/company/91272" TargetMode="External"/><Relationship Id="rId7198" Type="http://schemas.openxmlformats.org/officeDocument/2006/relationships/hyperlink" Target="https://m.stock.naver.com/research/company/86041" TargetMode="External"/><Relationship Id="rId8249" Type="http://schemas.openxmlformats.org/officeDocument/2006/relationships/hyperlink" Target="https://m.stock.naver.com/research/company/84989" TargetMode="External"/><Relationship Id="rId9647" Type="http://schemas.openxmlformats.org/officeDocument/2006/relationships/hyperlink" Target="https://m.stock.naver.com/research/company/83577" TargetMode="External"/><Relationship Id="rId11577" Type="http://schemas.openxmlformats.org/officeDocument/2006/relationships/hyperlink" Target="https://m.stock.naver.com/research/company/81636" TargetMode="External"/><Relationship Id="rId12628" Type="http://schemas.openxmlformats.org/officeDocument/2006/relationships/hyperlink" Target="https://m.stock.naver.com/research/company/80580" TargetMode="External"/><Relationship Id="rId1636" Type="http://schemas.openxmlformats.org/officeDocument/2006/relationships/hyperlink" Target="https://m.stock.naver.com/research/company/91619" TargetMode="External"/><Relationship Id="rId10179" Type="http://schemas.openxmlformats.org/officeDocument/2006/relationships/hyperlink" Target="https://m.stock.naver.com/research/company/83042" TargetMode="External"/><Relationship Id="rId14050" Type="http://schemas.openxmlformats.org/officeDocument/2006/relationships/hyperlink" Target="https://m.stock.naver.com/research/company/93873" TargetMode="External"/><Relationship Id="rId15101" Type="http://schemas.openxmlformats.org/officeDocument/2006/relationships/hyperlink" Target="https://m.stock.naver.com/research/company/94993" TargetMode="External"/><Relationship Id="rId4859" Type="http://schemas.openxmlformats.org/officeDocument/2006/relationships/hyperlink" Target="https://m.stock.naver.com/research/company/88381" TargetMode="External"/><Relationship Id="rId8730" Type="http://schemas.openxmlformats.org/officeDocument/2006/relationships/hyperlink" Target="https://m.stock.naver.com/research/company/84507" TargetMode="External"/><Relationship Id="rId10660" Type="http://schemas.openxmlformats.org/officeDocument/2006/relationships/hyperlink" Target="https://m.stock.naver.com/research/company/82560" TargetMode="External"/><Relationship Id="rId6281" Type="http://schemas.openxmlformats.org/officeDocument/2006/relationships/hyperlink" Target="https://m.stock.naver.com/research/company/86959" TargetMode="External"/><Relationship Id="rId7332" Type="http://schemas.openxmlformats.org/officeDocument/2006/relationships/hyperlink" Target="https://m.stock.naver.com/research/company/85907" TargetMode="External"/><Relationship Id="rId10313" Type="http://schemas.openxmlformats.org/officeDocument/2006/relationships/hyperlink" Target="https://m.stock.naver.com/research/company/82908" TargetMode="External"/><Relationship Id="rId11711" Type="http://schemas.openxmlformats.org/officeDocument/2006/relationships/hyperlink" Target="https://m.stock.naver.com/research/company/81501" TargetMode="External"/><Relationship Id="rId13883" Type="http://schemas.openxmlformats.org/officeDocument/2006/relationships/hyperlink" Target="https://m.stock.naver.com/research/company/93683" TargetMode="External"/><Relationship Id="rId14934" Type="http://schemas.openxmlformats.org/officeDocument/2006/relationships/hyperlink" Target="https://m.stock.naver.com/research/company/94900" TargetMode="External"/><Relationship Id="rId863" Type="http://schemas.openxmlformats.org/officeDocument/2006/relationships/hyperlink" Target="https://m.stock.naver.com/research/company/92593" TargetMode="External"/><Relationship Id="rId1493" Type="http://schemas.openxmlformats.org/officeDocument/2006/relationships/hyperlink" Target="https://m.stock.naver.com/research/company/91762" TargetMode="External"/><Relationship Id="rId2544" Type="http://schemas.openxmlformats.org/officeDocument/2006/relationships/hyperlink" Target="https://m.stock.naver.com/research/company/90710" TargetMode="External"/><Relationship Id="rId2891" Type="http://schemas.openxmlformats.org/officeDocument/2006/relationships/hyperlink" Target="https://m.stock.naver.com/research/company/90362" TargetMode="External"/><Relationship Id="rId3942" Type="http://schemas.openxmlformats.org/officeDocument/2006/relationships/hyperlink" Target="https://m.stock.naver.com/research/company/89309" TargetMode="External"/><Relationship Id="rId9157" Type="http://schemas.openxmlformats.org/officeDocument/2006/relationships/hyperlink" Target="https://m.stock.naver.com/research/company/84073" TargetMode="External"/><Relationship Id="rId11087" Type="http://schemas.openxmlformats.org/officeDocument/2006/relationships/hyperlink" Target="https://m.stock.naver.com/research/company/82133" TargetMode="External"/><Relationship Id="rId12485" Type="http://schemas.openxmlformats.org/officeDocument/2006/relationships/hyperlink" Target="https://m.stock.naver.com/research/company/80723" TargetMode="External"/><Relationship Id="rId13536" Type="http://schemas.openxmlformats.org/officeDocument/2006/relationships/hyperlink" Target="https://m.stock.naver.com/research/company/79668" TargetMode="External"/><Relationship Id="rId516" Type="http://schemas.openxmlformats.org/officeDocument/2006/relationships/hyperlink" Target="https://m.stock.naver.com/research/company/92941" TargetMode="External"/><Relationship Id="rId1146" Type="http://schemas.openxmlformats.org/officeDocument/2006/relationships/hyperlink" Target="https://m.stock.naver.com/research/company/92109" TargetMode="External"/><Relationship Id="rId12138" Type="http://schemas.openxmlformats.org/officeDocument/2006/relationships/hyperlink" Target="https://m.stock.naver.com/research/company/81073" TargetMode="External"/><Relationship Id="rId5767" Type="http://schemas.openxmlformats.org/officeDocument/2006/relationships/hyperlink" Target="https://m.stock.naver.com/research/company/87473" TargetMode="External"/><Relationship Id="rId6818" Type="http://schemas.openxmlformats.org/officeDocument/2006/relationships/hyperlink" Target="https://m.stock.naver.com/research/company/86422" TargetMode="External"/><Relationship Id="rId4369" Type="http://schemas.openxmlformats.org/officeDocument/2006/relationships/hyperlink" Target="https://m.stock.naver.com/research/company/88872" TargetMode="External"/><Relationship Id="rId8240" Type="http://schemas.openxmlformats.org/officeDocument/2006/relationships/hyperlink" Target="https://m.stock.naver.com/research/company/84998" TargetMode="External"/><Relationship Id="rId10170" Type="http://schemas.openxmlformats.org/officeDocument/2006/relationships/hyperlink" Target="https://m.stock.naver.com/research/company/83051" TargetMode="External"/><Relationship Id="rId11221" Type="http://schemas.openxmlformats.org/officeDocument/2006/relationships/hyperlink" Target="https://m.stock.naver.com/research/company/81999" TargetMode="External"/><Relationship Id="rId14791" Type="http://schemas.openxmlformats.org/officeDocument/2006/relationships/hyperlink" Target="https://m.stock.naver.com/research/company/94609" TargetMode="External"/><Relationship Id="rId4850" Type="http://schemas.openxmlformats.org/officeDocument/2006/relationships/hyperlink" Target="https://m.stock.naver.com/research/company/88390" TargetMode="External"/><Relationship Id="rId5901" Type="http://schemas.openxmlformats.org/officeDocument/2006/relationships/hyperlink" Target="https://m.stock.naver.com/research/company/87339" TargetMode="External"/><Relationship Id="rId13393" Type="http://schemas.openxmlformats.org/officeDocument/2006/relationships/hyperlink" Target="https://m.stock.naver.com/research/company/79812" TargetMode="External"/><Relationship Id="rId14444" Type="http://schemas.openxmlformats.org/officeDocument/2006/relationships/hyperlink" Target="https://m.stock.naver.com/research/company/94466" TargetMode="External"/><Relationship Id="rId3452" Type="http://schemas.openxmlformats.org/officeDocument/2006/relationships/hyperlink" Target="https://m.stock.naver.com/research/company/89799" TargetMode="External"/><Relationship Id="rId4503" Type="http://schemas.openxmlformats.org/officeDocument/2006/relationships/hyperlink" Target="https://m.stock.naver.com/research/company/88737" TargetMode="External"/><Relationship Id="rId13046" Type="http://schemas.openxmlformats.org/officeDocument/2006/relationships/hyperlink" Target="https://m.stock.naver.com/research/company/80161" TargetMode="External"/><Relationship Id="rId373" Type="http://schemas.openxmlformats.org/officeDocument/2006/relationships/hyperlink" Target="https://m.stock.naver.com/research/company/93085" TargetMode="External"/><Relationship Id="rId2054" Type="http://schemas.openxmlformats.org/officeDocument/2006/relationships/hyperlink" Target="https://m.stock.naver.com/research/company/91201" TargetMode="External"/><Relationship Id="rId3105" Type="http://schemas.openxmlformats.org/officeDocument/2006/relationships/hyperlink" Target="https://m.stock.naver.com/research/company/90146" TargetMode="External"/><Relationship Id="rId6675" Type="http://schemas.openxmlformats.org/officeDocument/2006/relationships/hyperlink" Target="https://m.stock.naver.com/research/company/86565" TargetMode="External"/><Relationship Id="rId5277" Type="http://schemas.openxmlformats.org/officeDocument/2006/relationships/hyperlink" Target="https://m.stock.naver.com/research/company/87963" TargetMode="External"/><Relationship Id="rId6328" Type="http://schemas.openxmlformats.org/officeDocument/2006/relationships/hyperlink" Target="https://m.stock.naver.com/research/company/86912" TargetMode="External"/><Relationship Id="rId7726" Type="http://schemas.openxmlformats.org/officeDocument/2006/relationships/hyperlink" Target="https://m.stock.naver.com/research/company/85513" TargetMode="External"/><Relationship Id="rId10707" Type="http://schemas.openxmlformats.org/officeDocument/2006/relationships/hyperlink" Target="https://m.stock.naver.com/research/company/82513" TargetMode="External"/><Relationship Id="rId9898" Type="http://schemas.openxmlformats.org/officeDocument/2006/relationships/hyperlink" Target="https://m.stock.naver.com/research/company/83324" TargetMode="External"/><Relationship Id="rId12879" Type="http://schemas.openxmlformats.org/officeDocument/2006/relationships/hyperlink" Target="https://m.stock.naver.com/research/company/80329" TargetMode="External"/><Relationship Id="rId1887" Type="http://schemas.openxmlformats.org/officeDocument/2006/relationships/hyperlink" Target="https://m.stock.naver.com/research/company/91368" TargetMode="External"/><Relationship Id="rId2938" Type="http://schemas.openxmlformats.org/officeDocument/2006/relationships/hyperlink" Target="https://m.stock.naver.com/research/company/90315" TargetMode="External"/><Relationship Id="rId15352" Type="http://schemas.openxmlformats.org/officeDocument/2006/relationships/hyperlink" Target="https://m.stock.naver.com/research/company/95236" TargetMode="External"/><Relationship Id="rId4360" Type="http://schemas.openxmlformats.org/officeDocument/2006/relationships/hyperlink" Target="https://m.stock.naver.com/research/company/88881" TargetMode="External"/><Relationship Id="rId5411" Type="http://schemas.openxmlformats.org/officeDocument/2006/relationships/hyperlink" Target="https://m.stock.naver.com/research/company/87829" TargetMode="External"/><Relationship Id="rId8981" Type="http://schemas.openxmlformats.org/officeDocument/2006/relationships/hyperlink" Target="https://m.stock.naver.com/research/company/84251" TargetMode="External"/><Relationship Id="rId15005" Type="http://schemas.openxmlformats.org/officeDocument/2006/relationships/hyperlink" Target="https://m.stock.naver.com/research/company/94829" TargetMode="External"/><Relationship Id="rId4013" Type="http://schemas.openxmlformats.org/officeDocument/2006/relationships/hyperlink" Target="https://m.stock.naver.com/research/company/89238" TargetMode="External"/><Relationship Id="rId7583" Type="http://schemas.openxmlformats.org/officeDocument/2006/relationships/hyperlink" Target="https://m.stock.naver.com/research/company/85656" TargetMode="External"/><Relationship Id="rId8634" Type="http://schemas.openxmlformats.org/officeDocument/2006/relationships/hyperlink" Target="https://m.stock.naver.com/research/company/84603" TargetMode="External"/><Relationship Id="rId11962" Type="http://schemas.openxmlformats.org/officeDocument/2006/relationships/hyperlink" Target="https://m.stock.naver.com/research/company/81249" TargetMode="External"/><Relationship Id="rId6185" Type="http://schemas.openxmlformats.org/officeDocument/2006/relationships/hyperlink" Target="https://m.stock.naver.com/research/company/87055" TargetMode="External"/><Relationship Id="rId7236" Type="http://schemas.openxmlformats.org/officeDocument/2006/relationships/hyperlink" Target="https://m.stock.naver.com/research/company/86003" TargetMode="External"/><Relationship Id="rId10564" Type="http://schemas.openxmlformats.org/officeDocument/2006/relationships/hyperlink" Target="https://m.stock.naver.com/research/company/82656" TargetMode="External"/><Relationship Id="rId11615" Type="http://schemas.openxmlformats.org/officeDocument/2006/relationships/hyperlink" Target="https://m.stock.naver.com/research/company/81597" TargetMode="External"/><Relationship Id="rId10217" Type="http://schemas.openxmlformats.org/officeDocument/2006/relationships/hyperlink" Target="https://m.stock.naver.com/research/company/83004" TargetMode="External"/><Relationship Id="rId13787" Type="http://schemas.openxmlformats.org/officeDocument/2006/relationships/hyperlink" Target="https://m.stock.naver.com/research/company/93601" TargetMode="External"/><Relationship Id="rId14838" Type="http://schemas.openxmlformats.org/officeDocument/2006/relationships/hyperlink" Target="https://m.stock.naver.com/research/company/94786" TargetMode="External"/><Relationship Id="rId1397" Type="http://schemas.openxmlformats.org/officeDocument/2006/relationships/hyperlink" Target="https://m.stock.naver.com/research/company/91858" TargetMode="External"/><Relationship Id="rId2795" Type="http://schemas.openxmlformats.org/officeDocument/2006/relationships/hyperlink" Target="https://m.stock.naver.com/research/company/90459" TargetMode="External"/><Relationship Id="rId3846" Type="http://schemas.openxmlformats.org/officeDocument/2006/relationships/hyperlink" Target="https://m.stock.naver.com/research/company/89405" TargetMode="External"/><Relationship Id="rId12389" Type="http://schemas.openxmlformats.org/officeDocument/2006/relationships/hyperlink" Target="https://m.stock.naver.com/research/company/80820" TargetMode="External"/><Relationship Id="rId767" Type="http://schemas.openxmlformats.org/officeDocument/2006/relationships/hyperlink" Target="https://m.stock.naver.com/research/company/92689" TargetMode="External"/><Relationship Id="rId2448" Type="http://schemas.openxmlformats.org/officeDocument/2006/relationships/hyperlink" Target="https://m.stock.naver.com/research/company/90806" TargetMode="External"/><Relationship Id="rId12870" Type="http://schemas.openxmlformats.org/officeDocument/2006/relationships/hyperlink" Target="https://m.stock.naver.com/research/company/80338" TargetMode="External"/><Relationship Id="rId8491" Type="http://schemas.openxmlformats.org/officeDocument/2006/relationships/hyperlink" Target="https://m.stock.naver.com/research/company/84746" TargetMode="External"/><Relationship Id="rId9542" Type="http://schemas.openxmlformats.org/officeDocument/2006/relationships/hyperlink" Target="https://m.stock.naver.com/research/company/83685" TargetMode="External"/><Relationship Id="rId11472" Type="http://schemas.openxmlformats.org/officeDocument/2006/relationships/hyperlink" Target="https://m.stock.naver.com/research/company/81743" TargetMode="External"/><Relationship Id="rId12523" Type="http://schemas.openxmlformats.org/officeDocument/2006/relationships/hyperlink" Target="https://m.stock.naver.com/research/company/80685" TargetMode="External"/><Relationship Id="rId13921" Type="http://schemas.openxmlformats.org/officeDocument/2006/relationships/hyperlink" Target="https://m.stock.naver.com/research/company/93716" TargetMode="External"/><Relationship Id="rId901" Type="http://schemas.openxmlformats.org/officeDocument/2006/relationships/hyperlink" Target="https://m.stock.naver.com/research/company/92555" TargetMode="External"/><Relationship Id="rId1531" Type="http://schemas.openxmlformats.org/officeDocument/2006/relationships/hyperlink" Target="https://m.stock.naver.com/research/company/91724" TargetMode="External"/><Relationship Id="rId7093" Type="http://schemas.openxmlformats.org/officeDocument/2006/relationships/hyperlink" Target="https://m.stock.naver.com/research/company/86146" TargetMode="External"/><Relationship Id="rId8144" Type="http://schemas.openxmlformats.org/officeDocument/2006/relationships/hyperlink" Target="https://m.stock.naver.com/research/company/85094" TargetMode="External"/><Relationship Id="rId10074" Type="http://schemas.openxmlformats.org/officeDocument/2006/relationships/hyperlink" Target="https://m.stock.naver.com/research/company/83147" TargetMode="External"/><Relationship Id="rId11125" Type="http://schemas.openxmlformats.org/officeDocument/2006/relationships/hyperlink" Target="https://m.stock.naver.com/research/company/82095" TargetMode="External"/><Relationship Id="rId4754" Type="http://schemas.openxmlformats.org/officeDocument/2006/relationships/hyperlink" Target="https://m.stock.naver.com/research/company/88486" TargetMode="External"/><Relationship Id="rId13297" Type="http://schemas.openxmlformats.org/officeDocument/2006/relationships/hyperlink" Target="https://m.stock.naver.com/research/company/79908" TargetMode="External"/><Relationship Id="rId14695" Type="http://schemas.openxmlformats.org/officeDocument/2006/relationships/hyperlink" Target="https://m.stock.naver.com/research/company/94705" TargetMode="External"/><Relationship Id="rId15746" Type="http://schemas.openxmlformats.org/officeDocument/2006/relationships/hyperlink" Target="https://m.stock.naver.com/research/company/95668" TargetMode="External"/><Relationship Id="rId3356" Type="http://schemas.openxmlformats.org/officeDocument/2006/relationships/hyperlink" Target="https://m.stock.naver.com/research/company/89894" TargetMode="External"/><Relationship Id="rId4407" Type="http://schemas.openxmlformats.org/officeDocument/2006/relationships/hyperlink" Target="https://m.stock.naver.com/research/company/88834" TargetMode="External"/><Relationship Id="rId5805" Type="http://schemas.openxmlformats.org/officeDocument/2006/relationships/hyperlink" Target="https://m.stock.naver.com/research/company/87435" TargetMode="External"/><Relationship Id="rId14348" Type="http://schemas.openxmlformats.org/officeDocument/2006/relationships/hyperlink" Target="https://m.stock.naver.com/research/company/94203" TargetMode="External"/><Relationship Id="rId277" Type="http://schemas.openxmlformats.org/officeDocument/2006/relationships/hyperlink" Target="https://m.stock.naver.com/research/company/93181" TargetMode="External"/><Relationship Id="rId3009" Type="http://schemas.openxmlformats.org/officeDocument/2006/relationships/hyperlink" Target="https://m.stock.naver.com/research/company/90242" TargetMode="External"/><Relationship Id="rId7977" Type="http://schemas.openxmlformats.org/officeDocument/2006/relationships/hyperlink" Target="https://m.stock.naver.com/research/company/85261" TargetMode="External"/><Relationship Id="rId10958" Type="http://schemas.openxmlformats.org/officeDocument/2006/relationships/hyperlink" Target="https://m.stock.naver.com/research/company/82262" TargetMode="External"/><Relationship Id="rId6579" Type="http://schemas.openxmlformats.org/officeDocument/2006/relationships/hyperlink" Target="https://m.stock.naver.com/research/company/86661" TargetMode="External"/><Relationship Id="rId9052" Type="http://schemas.openxmlformats.org/officeDocument/2006/relationships/hyperlink" Target="https://m.stock.naver.com/research/company/84179" TargetMode="External"/><Relationship Id="rId12380" Type="http://schemas.openxmlformats.org/officeDocument/2006/relationships/hyperlink" Target="https://m.stock.naver.com/research/company/80829" TargetMode="External"/><Relationship Id="rId13431" Type="http://schemas.openxmlformats.org/officeDocument/2006/relationships/hyperlink" Target="https://m.stock.naver.com/research/company/79774" TargetMode="External"/><Relationship Id="rId12033" Type="http://schemas.openxmlformats.org/officeDocument/2006/relationships/hyperlink" Target="https://m.stock.naver.com/research/company/81178" TargetMode="External"/><Relationship Id="rId411" Type="http://schemas.openxmlformats.org/officeDocument/2006/relationships/hyperlink" Target="https://m.stock.naver.com/research/company/93046" TargetMode="External"/><Relationship Id="rId1041" Type="http://schemas.openxmlformats.org/officeDocument/2006/relationships/hyperlink" Target="https://m.stock.naver.com/research/company/92310" TargetMode="External"/><Relationship Id="rId5662" Type="http://schemas.openxmlformats.org/officeDocument/2006/relationships/hyperlink" Target="https://m.stock.naver.com/research/company/87578" TargetMode="External"/><Relationship Id="rId6713" Type="http://schemas.openxmlformats.org/officeDocument/2006/relationships/hyperlink" Target="https://m.stock.naver.com/research/company/86527" TargetMode="External"/><Relationship Id="rId15256" Type="http://schemas.openxmlformats.org/officeDocument/2006/relationships/hyperlink" Target="https://m.stock.naver.com/research/company/95104" TargetMode="External"/><Relationship Id="rId4264" Type="http://schemas.openxmlformats.org/officeDocument/2006/relationships/hyperlink" Target="https://m.stock.naver.com/research/company/88977" TargetMode="External"/><Relationship Id="rId5315" Type="http://schemas.openxmlformats.org/officeDocument/2006/relationships/hyperlink" Target="https://m.stock.naver.com/research/company/87925" TargetMode="External"/><Relationship Id="rId8885" Type="http://schemas.openxmlformats.org/officeDocument/2006/relationships/hyperlink" Target="https://m.stock.naver.com/research/company/84351" TargetMode="External"/><Relationship Id="rId7487" Type="http://schemas.openxmlformats.org/officeDocument/2006/relationships/hyperlink" Target="https://m.stock.naver.com/research/company/85752" TargetMode="External"/><Relationship Id="rId8538" Type="http://schemas.openxmlformats.org/officeDocument/2006/relationships/hyperlink" Target="https://m.stock.naver.com/research/company/84699" TargetMode="External"/><Relationship Id="rId9936" Type="http://schemas.openxmlformats.org/officeDocument/2006/relationships/hyperlink" Target="https://m.stock.naver.com/research/company/83286" TargetMode="External"/><Relationship Id="rId11866" Type="http://schemas.openxmlformats.org/officeDocument/2006/relationships/hyperlink" Target="https://m.stock.naver.com/research/company/81346" TargetMode="External"/><Relationship Id="rId12917" Type="http://schemas.openxmlformats.org/officeDocument/2006/relationships/hyperlink" Target="https://m.stock.naver.com/research/company/80291" TargetMode="External"/><Relationship Id="rId1925" Type="http://schemas.openxmlformats.org/officeDocument/2006/relationships/hyperlink" Target="https://m.stock.naver.com/research/company/91330" TargetMode="External"/><Relationship Id="rId6089" Type="http://schemas.openxmlformats.org/officeDocument/2006/relationships/hyperlink" Target="https://m.stock.naver.com/research/company/87151" TargetMode="External"/><Relationship Id="rId10468" Type="http://schemas.openxmlformats.org/officeDocument/2006/relationships/hyperlink" Target="https://m.stock.naver.com/research/company/82752" TargetMode="External"/><Relationship Id="rId11519" Type="http://schemas.openxmlformats.org/officeDocument/2006/relationships/hyperlink" Target="https://m.stock.naver.com/research/company/81696" TargetMode="External"/><Relationship Id="rId2699" Type="http://schemas.openxmlformats.org/officeDocument/2006/relationships/hyperlink" Target="https://m.stock.naver.com/research/company/90555" TargetMode="External"/><Relationship Id="rId3000" Type="http://schemas.openxmlformats.org/officeDocument/2006/relationships/hyperlink" Target="https://m.stock.naver.com/research/company/90251" TargetMode="External"/><Relationship Id="rId6570" Type="http://schemas.openxmlformats.org/officeDocument/2006/relationships/hyperlink" Target="https://m.stock.naver.com/research/company/86670" TargetMode="External"/><Relationship Id="rId7621" Type="http://schemas.openxmlformats.org/officeDocument/2006/relationships/hyperlink" Target="https://m.stock.naver.com/research/company/85618" TargetMode="External"/><Relationship Id="rId10602" Type="http://schemas.openxmlformats.org/officeDocument/2006/relationships/hyperlink" Target="https://m.stock.naver.com/research/company/82618" TargetMode="External"/><Relationship Id="rId5172" Type="http://schemas.openxmlformats.org/officeDocument/2006/relationships/hyperlink" Target="https://m.stock.naver.com/research/company/88068" TargetMode="External"/><Relationship Id="rId6223" Type="http://schemas.openxmlformats.org/officeDocument/2006/relationships/hyperlink" Target="https://m.stock.naver.com/research/company/87017" TargetMode="External"/><Relationship Id="rId9793" Type="http://schemas.openxmlformats.org/officeDocument/2006/relationships/hyperlink" Target="https://m.stock.naver.com/research/company/83429" TargetMode="External"/><Relationship Id="rId1782" Type="http://schemas.openxmlformats.org/officeDocument/2006/relationships/hyperlink" Target="https://m.stock.naver.com/research/company/91473" TargetMode="External"/><Relationship Id="rId2833" Type="http://schemas.openxmlformats.org/officeDocument/2006/relationships/hyperlink" Target="https://m.stock.naver.com/research/company/90420" TargetMode="External"/><Relationship Id="rId8395" Type="http://schemas.openxmlformats.org/officeDocument/2006/relationships/hyperlink" Target="https://m.stock.naver.com/research/company/84843" TargetMode="External"/><Relationship Id="rId9446" Type="http://schemas.openxmlformats.org/officeDocument/2006/relationships/hyperlink" Target="https://m.stock.naver.com/research/company/83781" TargetMode="External"/><Relationship Id="rId11376" Type="http://schemas.openxmlformats.org/officeDocument/2006/relationships/hyperlink" Target="https://m.stock.naver.com/research/company/81839" TargetMode="External"/><Relationship Id="rId12774" Type="http://schemas.openxmlformats.org/officeDocument/2006/relationships/hyperlink" Target="https://m.stock.naver.com/research/company/80434" TargetMode="External"/><Relationship Id="rId13825" Type="http://schemas.openxmlformats.org/officeDocument/2006/relationships/hyperlink" Target="https://m.stock.naver.com/research/company/93553" TargetMode="External"/><Relationship Id="rId805" Type="http://schemas.openxmlformats.org/officeDocument/2006/relationships/hyperlink" Target="https://m.stock.naver.com/research/company/92651" TargetMode="External"/><Relationship Id="rId1435" Type="http://schemas.openxmlformats.org/officeDocument/2006/relationships/hyperlink" Target="https://m.stock.naver.com/research/company/91820" TargetMode="External"/><Relationship Id="rId8048" Type="http://schemas.openxmlformats.org/officeDocument/2006/relationships/hyperlink" Target="https://m.stock.naver.com/research/company/85190" TargetMode="External"/><Relationship Id="rId11029" Type="http://schemas.openxmlformats.org/officeDocument/2006/relationships/hyperlink" Target="https://m.stock.naver.com/research/company/82191" TargetMode="External"/><Relationship Id="rId12427" Type="http://schemas.openxmlformats.org/officeDocument/2006/relationships/hyperlink" Target="https://m.stock.naver.com/research/company/80782" TargetMode="External"/><Relationship Id="rId14599" Type="http://schemas.openxmlformats.org/officeDocument/2006/relationships/hyperlink" Target="https://m.stock.naver.com/research/company/94578" TargetMode="External"/><Relationship Id="rId4658" Type="http://schemas.openxmlformats.org/officeDocument/2006/relationships/hyperlink" Target="https://m.stock.naver.com/research/company/88582" TargetMode="External"/><Relationship Id="rId5709" Type="http://schemas.openxmlformats.org/officeDocument/2006/relationships/hyperlink" Target="https://m.stock.naver.com/research/company/87531" TargetMode="External"/><Relationship Id="rId6080" Type="http://schemas.openxmlformats.org/officeDocument/2006/relationships/hyperlink" Target="https://m.stock.naver.com/research/company/87160" TargetMode="External"/><Relationship Id="rId7131" Type="http://schemas.openxmlformats.org/officeDocument/2006/relationships/hyperlink" Target="https://m.stock.naver.com/research/company/86108" TargetMode="External"/><Relationship Id="rId11510" Type="http://schemas.openxmlformats.org/officeDocument/2006/relationships/hyperlink" Target="https://m.stock.naver.com/research/company/81705" TargetMode="External"/><Relationship Id="rId10112" Type="http://schemas.openxmlformats.org/officeDocument/2006/relationships/hyperlink" Target="https://m.stock.naver.com/research/company/83109" TargetMode="External"/><Relationship Id="rId13682" Type="http://schemas.openxmlformats.org/officeDocument/2006/relationships/hyperlink" Target="https://m.stock.naver.com/research/company/93492" TargetMode="External"/><Relationship Id="rId14733" Type="http://schemas.openxmlformats.org/officeDocument/2006/relationships/hyperlink" Target="https://m.stock.naver.com/research/company/94667" TargetMode="External"/><Relationship Id="rId2690" Type="http://schemas.openxmlformats.org/officeDocument/2006/relationships/hyperlink" Target="https://m.stock.naver.com/research/company/90564" TargetMode="External"/><Relationship Id="rId3741" Type="http://schemas.openxmlformats.org/officeDocument/2006/relationships/hyperlink" Target="https://m.stock.naver.com/research/company/89510" TargetMode="External"/><Relationship Id="rId12284" Type="http://schemas.openxmlformats.org/officeDocument/2006/relationships/hyperlink" Target="https://m.stock.naver.com/research/company/80925" TargetMode="External"/><Relationship Id="rId13335" Type="http://schemas.openxmlformats.org/officeDocument/2006/relationships/hyperlink" Target="https://m.stock.naver.com/research/company/79870" TargetMode="External"/><Relationship Id="rId662" Type="http://schemas.openxmlformats.org/officeDocument/2006/relationships/hyperlink" Target="https://m.stock.naver.com/research/company/92794" TargetMode="External"/><Relationship Id="rId1292" Type="http://schemas.openxmlformats.org/officeDocument/2006/relationships/hyperlink" Target="https://m.stock.naver.com/research/company/91963" TargetMode="External"/><Relationship Id="rId2343" Type="http://schemas.openxmlformats.org/officeDocument/2006/relationships/hyperlink" Target="https://m.stock.naver.com/research/company/90912" TargetMode="External"/><Relationship Id="rId6964" Type="http://schemas.openxmlformats.org/officeDocument/2006/relationships/hyperlink" Target="https://m.stock.naver.com/research/company/86275" TargetMode="External"/><Relationship Id="rId315" Type="http://schemas.openxmlformats.org/officeDocument/2006/relationships/hyperlink" Target="https://m.stock.naver.com/research/company/93143" TargetMode="External"/><Relationship Id="rId5566" Type="http://schemas.openxmlformats.org/officeDocument/2006/relationships/hyperlink" Target="https://m.stock.naver.com/research/company/87674" TargetMode="External"/><Relationship Id="rId6617" Type="http://schemas.openxmlformats.org/officeDocument/2006/relationships/hyperlink" Target="https://m.stock.naver.com/research/company/86623" TargetMode="External"/><Relationship Id="rId4168" Type="http://schemas.openxmlformats.org/officeDocument/2006/relationships/hyperlink" Target="https://m.stock.naver.com/research/company/89081" TargetMode="External"/><Relationship Id="rId5219" Type="http://schemas.openxmlformats.org/officeDocument/2006/relationships/hyperlink" Target="https://m.stock.naver.com/research/company/88021" TargetMode="External"/><Relationship Id="rId8789" Type="http://schemas.openxmlformats.org/officeDocument/2006/relationships/hyperlink" Target="https://m.stock.naver.com/research/company/84448" TargetMode="External"/><Relationship Id="rId11020" Type="http://schemas.openxmlformats.org/officeDocument/2006/relationships/hyperlink" Target="https://m.stock.naver.com/research/company/82200" TargetMode="External"/><Relationship Id="rId14590" Type="http://schemas.openxmlformats.org/officeDocument/2006/relationships/hyperlink" Target="https://m.stock.naver.com/research/company/94489" TargetMode="External"/><Relationship Id="rId15641" Type="http://schemas.openxmlformats.org/officeDocument/2006/relationships/hyperlink" Target="https://m.stock.naver.com/research/company/95773" TargetMode="External"/><Relationship Id="rId1829" Type="http://schemas.openxmlformats.org/officeDocument/2006/relationships/hyperlink" Target="https://m.stock.naver.com/research/company/91426" TargetMode="External"/><Relationship Id="rId5700" Type="http://schemas.openxmlformats.org/officeDocument/2006/relationships/hyperlink" Target="https://m.stock.naver.com/research/company/87540" TargetMode="External"/><Relationship Id="rId13192" Type="http://schemas.openxmlformats.org/officeDocument/2006/relationships/hyperlink" Target="https://m.stock.naver.com/research/company/80015" TargetMode="External"/><Relationship Id="rId14243" Type="http://schemas.openxmlformats.org/officeDocument/2006/relationships/hyperlink" Target="https://m.stock.naver.com/research/company/94100" TargetMode="External"/><Relationship Id="rId3251" Type="http://schemas.openxmlformats.org/officeDocument/2006/relationships/hyperlink" Target="https://m.stock.naver.com/research/company/89999" TargetMode="External"/><Relationship Id="rId4302" Type="http://schemas.openxmlformats.org/officeDocument/2006/relationships/hyperlink" Target="https://m.stock.naver.com/research/company/88939" TargetMode="External"/><Relationship Id="rId7872" Type="http://schemas.openxmlformats.org/officeDocument/2006/relationships/hyperlink" Target="https://m.stock.naver.com/research/company/85366" TargetMode="External"/><Relationship Id="rId8923" Type="http://schemas.openxmlformats.org/officeDocument/2006/relationships/hyperlink" Target="https://m.stock.naver.com/research/company/84312" TargetMode="External"/><Relationship Id="rId172" Type="http://schemas.openxmlformats.org/officeDocument/2006/relationships/hyperlink" Target="https://m.stock.naver.com/research/company/93286" TargetMode="External"/><Relationship Id="rId6474" Type="http://schemas.openxmlformats.org/officeDocument/2006/relationships/hyperlink" Target="https://m.stock.naver.com/research/company/86766" TargetMode="External"/><Relationship Id="rId7525" Type="http://schemas.openxmlformats.org/officeDocument/2006/relationships/hyperlink" Target="https://m.stock.naver.com/research/company/85714" TargetMode="External"/><Relationship Id="rId10853" Type="http://schemas.openxmlformats.org/officeDocument/2006/relationships/hyperlink" Target="https://m.stock.naver.com/research/company/82367" TargetMode="External"/><Relationship Id="rId11904" Type="http://schemas.openxmlformats.org/officeDocument/2006/relationships/hyperlink" Target="https://m.stock.naver.com/research/company/81307" TargetMode="External"/><Relationship Id="rId5076" Type="http://schemas.openxmlformats.org/officeDocument/2006/relationships/hyperlink" Target="https://m.stock.naver.com/research/company/88164" TargetMode="External"/><Relationship Id="rId6127" Type="http://schemas.openxmlformats.org/officeDocument/2006/relationships/hyperlink" Target="https://m.stock.naver.com/research/company/87113" TargetMode="External"/><Relationship Id="rId9697" Type="http://schemas.openxmlformats.org/officeDocument/2006/relationships/hyperlink" Target="https://m.stock.naver.com/research/company/83526" TargetMode="External"/><Relationship Id="rId10506" Type="http://schemas.openxmlformats.org/officeDocument/2006/relationships/hyperlink" Target="https://m.stock.naver.com/research/company/82714" TargetMode="External"/><Relationship Id="rId1686" Type="http://schemas.openxmlformats.org/officeDocument/2006/relationships/hyperlink" Target="https://m.stock.naver.com/research/company/91569" TargetMode="External"/><Relationship Id="rId8299" Type="http://schemas.openxmlformats.org/officeDocument/2006/relationships/hyperlink" Target="https://m.stock.naver.com/research/company/84939" TargetMode="External"/><Relationship Id="rId12678" Type="http://schemas.openxmlformats.org/officeDocument/2006/relationships/hyperlink" Target="https://m.stock.naver.com/research/company/80530" TargetMode="External"/><Relationship Id="rId13729" Type="http://schemas.openxmlformats.org/officeDocument/2006/relationships/hyperlink" Target="https://m.stock.naver.com/research/company/93510" TargetMode="External"/><Relationship Id="rId1339" Type="http://schemas.openxmlformats.org/officeDocument/2006/relationships/hyperlink" Target="https://m.stock.naver.com/research/company/91916" TargetMode="External"/><Relationship Id="rId2737" Type="http://schemas.openxmlformats.org/officeDocument/2006/relationships/hyperlink" Target="https://m.stock.naver.com/research/company/90517" TargetMode="External"/><Relationship Id="rId5210" Type="http://schemas.openxmlformats.org/officeDocument/2006/relationships/hyperlink" Target="https://m.stock.naver.com/research/company/88030" TargetMode="External"/><Relationship Id="rId15151" Type="http://schemas.openxmlformats.org/officeDocument/2006/relationships/hyperlink" Target="https://m.stock.naver.com/research/company/94943" TargetMode="External"/><Relationship Id="rId709" Type="http://schemas.openxmlformats.org/officeDocument/2006/relationships/hyperlink" Target="https://m.stock.naver.com/research/company/92747" TargetMode="External"/><Relationship Id="rId8780" Type="http://schemas.openxmlformats.org/officeDocument/2006/relationships/hyperlink" Target="https://m.stock.naver.com/research/company/84457" TargetMode="External"/><Relationship Id="rId9831" Type="http://schemas.openxmlformats.org/officeDocument/2006/relationships/hyperlink" Target="https://m.stock.naver.com/research/company/83391" TargetMode="External"/><Relationship Id="rId11761" Type="http://schemas.openxmlformats.org/officeDocument/2006/relationships/hyperlink" Target="https://m.stock.naver.com/research/company/81451" TargetMode="External"/><Relationship Id="rId12812" Type="http://schemas.openxmlformats.org/officeDocument/2006/relationships/hyperlink" Target="https://m.stock.naver.com/research/company/80396" TargetMode="External"/><Relationship Id="rId45" Type="http://schemas.openxmlformats.org/officeDocument/2006/relationships/hyperlink" Target="https://m.stock.naver.com/research/company/93413" TargetMode="External"/><Relationship Id="rId1820" Type="http://schemas.openxmlformats.org/officeDocument/2006/relationships/hyperlink" Target="https://m.stock.naver.com/research/company/91435" TargetMode="External"/><Relationship Id="rId7382" Type="http://schemas.openxmlformats.org/officeDocument/2006/relationships/hyperlink" Target="https://m.stock.naver.com/research/company/85857" TargetMode="External"/><Relationship Id="rId8433" Type="http://schemas.openxmlformats.org/officeDocument/2006/relationships/hyperlink" Target="https://m.stock.naver.com/research/company/84805" TargetMode="External"/><Relationship Id="rId10363" Type="http://schemas.openxmlformats.org/officeDocument/2006/relationships/hyperlink" Target="https://m.stock.naver.com/research/company/82858" TargetMode="External"/><Relationship Id="rId11414" Type="http://schemas.openxmlformats.org/officeDocument/2006/relationships/hyperlink" Target="https://m.stock.naver.com/research/company/81801" TargetMode="External"/><Relationship Id="rId3992" Type="http://schemas.openxmlformats.org/officeDocument/2006/relationships/hyperlink" Target="https://m.stock.naver.com/research/company/89259" TargetMode="External"/><Relationship Id="rId7035" Type="http://schemas.openxmlformats.org/officeDocument/2006/relationships/hyperlink" Target="https://m.stock.naver.com/research/company/86204" TargetMode="External"/><Relationship Id="rId10016" Type="http://schemas.openxmlformats.org/officeDocument/2006/relationships/hyperlink" Target="https://m.stock.naver.com/research/company/83205" TargetMode="External"/><Relationship Id="rId13586" Type="http://schemas.openxmlformats.org/officeDocument/2006/relationships/hyperlink" Target="https://m.stock.naver.com/research/company/79618" TargetMode="External"/><Relationship Id="rId14984" Type="http://schemas.openxmlformats.org/officeDocument/2006/relationships/hyperlink" Target="https://m.stock.naver.com/research/company/94850" TargetMode="External"/><Relationship Id="rId2594" Type="http://schemas.openxmlformats.org/officeDocument/2006/relationships/hyperlink" Target="https://m.stock.naver.com/research/company/90660" TargetMode="External"/><Relationship Id="rId3645" Type="http://schemas.openxmlformats.org/officeDocument/2006/relationships/hyperlink" Target="https://m.stock.naver.com/research/company/89606" TargetMode="External"/><Relationship Id="rId12188" Type="http://schemas.openxmlformats.org/officeDocument/2006/relationships/hyperlink" Target="https://m.stock.naver.com/research/company/81023" TargetMode="External"/><Relationship Id="rId13239" Type="http://schemas.openxmlformats.org/officeDocument/2006/relationships/hyperlink" Target="https://m.stock.naver.com/research/company/79968" TargetMode="External"/><Relationship Id="rId14637" Type="http://schemas.openxmlformats.org/officeDocument/2006/relationships/hyperlink" Target="https://m.stock.naver.com/research/company/94540" TargetMode="External"/><Relationship Id="rId566" Type="http://schemas.openxmlformats.org/officeDocument/2006/relationships/hyperlink" Target="https://m.stock.naver.com/research/company/92891" TargetMode="External"/><Relationship Id="rId1196" Type="http://schemas.openxmlformats.org/officeDocument/2006/relationships/hyperlink" Target="https://m.stock.naver.com/research/company/92059" TargetMode="External"/><Relationship Id="rId2247" Type="http://schemas.openxmlformats.org/officeDocument/2006/relationships/hyperlink" Target="https://m.stock.naver.com/research/company/91008" TargetMode="External"/><Relationship Id="rId219" Type="http://schemas.openxmlformats.org/officeDocument/2006/relationships/hyperlink" Target="https://m.stock.naver.com/research/company/93239" TargetMode="External"/><Relationship Id="rId6868" Type="http://schemas.openxmlformats.org/officeDocument/2006/relationships/hyperlink" Target="https://m.stock.naver.com/research/company/86372" TargetMode="External"/><Relationship Id="rId7919" Type="http://schemas.openxmlformats.org/officeDocument/2006/relationships/hyperlink" Target="https://m.stock.naver.com/research/company/85319" TargetMode="External"/><Relationship Id="rId8290" Type="http://schemas.openxmlformats.org/officeDocument/2006/relationships/hyperlink" Target="https://m.stock.naver.com/research/company/84948" TargetMode="External"/><Relationship Id="rId9341" Type="http://schemas.openxmlformats.org/officeDocument/2006/relationships/hyperlink" Target="https://m.stock.naver.com/research/company/83886" TargetMode="External"/><Relationship Id="rId13720" Type="http://schemas.openxmlformats.org/officeDocument/2006/relationships/hyperlink" Target="https://m.stock.naver.com/research/company/93519" TargetMode="External"/><Relationship Id="rId11271" Type="http://schemas.openxmlformats.org/officeDocument/2006/relationships/hyperlink" Target="https://m.stock.naver.com/research/company/81948" TargetMode="External"/><Relationship Id="rId12322" Type="http://schemas.openxmlformats.org/officeDocument/2006/relationships/hyperlink" Target="https://m.stock.naver.com/research/company/80887" TargetMode="External"/><Relationship Id="rId700" Type="http://schemas.openxmlformats.org/officeDocument/2006/relationships/hyperlink" Target="https://m.stock.naver.com/research/company/92756" TargetMode="External"/><Relationship Id="rId1330" Type="http://schemas.openxmlformats.org/officeDocument/2006/relationships/hyperlink" Target="https://m.stock.naver.com/research/company/91925" TargetMode="External"/><Relationship Id="rId5951" Type="http://schemas.openxmlformats.org/officeDocument/2006/relationships/hyperlink" Target="https://m.stock.naver.com/research/company/87289" TargetMode="External"/><Relationship Id="rId14494" Type="http://schemas.openxmlformats.org/officeDocument/2006/relationships/hyperlink" Target="https://m.stock.naver.com/research/company/94416" TargetMode="External"/><Relationship Id="rId15545" Type="http://schemas.openxmlformats.org/officeDocument/2006/relationships/hyperlink" Target="https://m.stock.naver.com/research/company/95491" TargetMode="External"/><Relationship Id="rId4553" Type="http://schemas.openxmlformats.org/officeDocument/2006/relationships/hyperlink" Target="https://m.stock.naver.com/research/company/88687" TargetMode="External"/><Relationship Id="rId5604" Type="http://schemas.openxmlformats.org/officeDocument/2006/relationships/hyperlink" Target="https://m.stock.naver.com/research/company/87636" TargetMode="External"/><Relationship Id="rId13096" Type="http://schemas.openxmlformats.org/officeDocument/2006/relationships/hyperlink" Target="https://m.stock.naver.com/research/company/80111" TargetMode="External"/><Relationship Id="rId14147" Type="http://schemas.openxmlformats.org/officeDocument/2006/relationships/hyperlink" Target="https://m.stock.naver.com/research/company/93981" TargetMode="External"/><Relationship Id="rId3155" Type="http://schemas.openxmlformats.org/officeDocument/2006/relationships/hyperlink" Target="https://m.stock.naver.com/research/company/90096" TargetMode="External"/><Relationship Id="rId4206" Type="http://schemas.openxmlformats.org/officeDocument/2006/relationships/hyperlink" Target="https://m.stock.naver.com/research/company/89036" TargetMode="External"/><Relationship Id="rId7776" Type="http://schemas.openxmlformats.org/officeDocument/2006/relationships/hyperlink" Target="https://m.stock.naver.com/research/company/85463" TargetMode="External"/><Relationship Id="rId8827" Type="http://schemas.openxmlformats.org/officeDocument/2006/relationships/hyperlink" Target="https://m.stock.naver.com/research/company/84410" TargetMode="External"/><Relationship Id="rId6378" Type="http://schemas.openxmlformats.org/officeDocument/2006/relationships/hyperlink" Target="https://m.stock.naver.com/research/company/86862" TargetMode="External"/><Relationship Id="rId7429" Type="http://schemas.openxmlformats.org/officeDocument/2006/relationships/hyperlink" Target="https://m.stock.naver.com/research/company/85810" TargetMode="External"/><Relationship Id="rId10757" Type="http://schemas.openxmlformats.org/officeDocument/2006/relationships/hyperlink" Target="https://m.stock.naver.com/research/company/82463" TargetMode="External"/><Relationship Id="rId11808" Type="http://schemas.openxmlformats.org/officeDocument/2006/relationships/hyperlink" Target="https://m.stock.naver.com/research/company/81404" TargetMode="External"/><Relationship Id="rId13230" Type="http://schemas.openxmlformats.org/officeDocument/2006/relationships/hyperlink" Target="https://m.stock.naver.com/research/company/79977" TargetMode="External"/><Relationship Id="rId210" Type="http://schemas.openxmlformats.org/officeDocument/2006/relationships/hyperlink" Target="https://m.stock.naver.com/research/company/93248" TargetMode="External"/><Relationship Id="rId2988" Type="http://schemas.openxmlformats.org/officeDocument/2006/relationships/hyperlink" Target="https://m.stock.naver.com/research/company/90265" TargetMode="External"/><Relationship Id="rId7910" Type="http://schemas.openxmlformats.org/officeDocument/2006/relationships/hyperlink" Target="https://m.stock.naver.com/research/company/85328" TargetMode="External"/><Relationship Id="rId5461" Type="http://schemas.openxmlformats.org/officeDocument/2006/relationships/hyperlink" Target="https://m.stock.naver.com/research/company/87779" TargetMode="External"/><Relationship Id="rId6512" Type="http://schemas.openxmlformats.org/officeDocument/2006/relationships/hyperlink" Target="https://m.stock.naver.com/research/company/86728" TargetMode="External"/><Relationship Id="rId15055" Type="http://schemas.openxmlformats.org/officeDocument/2006/relationships/hyperlink" Target="https://m.stock.naver.com/research/company/95039" TargetMode="External"/><Relationship Id="rId4063" Type="http://schemas.openxmlformats.org/officeDocument/2006/relationships/hyperlink" Target="https://m.stock.naver.com/research/company/89188" TargetMode="External"/><Relationship Id="rId5114" Type="http://schemas.openxmlformats.org/officeDocument/2006/relationships/hyperlink" Target="https://m.stock.naver.com/research/company/88126" TargetMode="External"/><Relationship Id="rId8684" Type="http://schemas.openxmlformats.org/officeDocument/2006/relationships/hyperlink" Target="https://m.stock.naver.com/research/company/84553" TargetMode="External"/><Relationship Id="rId9735" Type="http://schemas.openxmlformats.org/officeDocument/2006/relationships/hyperlink" Target="https://m.stock.naver.com/research/company/83488" TargetMode="External"/><Relationship Id="rId11665" Type="http://schemas.openxmlformats.org/officeDocument/2006/relationships/hyperlink" Target="https://m.stock.naver.com/research/company/81547" TargetMode="External"/><Relationship Id="rId1724" Type="http://schemas.openxmlformats.org/officeDocument/2006/relationships/hyperlink" Target="https://m.stock.naver.com/research/company/91531" TargetMode="External"/><Relationship Id="rId7286" Type="http://schemas.openxmlformats.org/officeDocument/2006/relationships/hyperlink" Target="https://m.stock.naver.com/research/company/85953" TargetMode="External"/><Relationship Id="rId8337" Type="http://schemas.openxmlformats.org/officeDocument/2006/relationships/hyperlink" Target="https://m.stock.naver.com/research/company/84901" TargetMode="External"/><Relationship Id="rId10267" Type="http://schemas.openxmlformats.org/officeDocument/2006/relationships/hyperlink" Target="https://m.stock.naver.com/research/company/82954" TargetMode="External"/><Relationship Id="rId11318" Type="http://schemas.openxmlformats.org/officeDocument/2006/relationships/hyperlink" Target="https://m.stock.naver.com/research/company/81901" TargetMode="External"/><Relationship Id="rId12716" Type="http://schemas.openxmlformats.org/officeDocument/2006/relationships/hyperlink" Target="https://m.stock.naver.com/research/company/80492" TargetMode="External"/><Relationship Id="rId3896" Type="http://schemas.openxmlformats.org/officeDocument/2006/relationships/hyperlink" Target="https://m.stock.naver.com/research/company/89355" TargetMode="External"/><Relationship Id="rId14888" Type="http://schemas.openxmlformats.org/officeDocument/2006/relationships/hyperlink" Target="https://m.stock.naver.com/research/company/94736" TargetMode="External"/><Relationship Id="rId2498" Type="http://schemas.openxmlformats.org/officeDocument/2006/relationships/hyperlink" Target="https://m.stock.naver.com/research/company/90756" TargetMode="External"/><Relationship Id="rId3549" Type="http://schemas.openxmlformats.org/officeDocument/2006/relationships/hyperlink" Target="https://m.stock.naver.com/research/company/89702" TargetMode="External"/><Relationship Id="rId4947" Type="http://schemas.openxmlformats.org/officeDocument/2006/relationships/hyperlink" Target="https://m.stock.naver.com/research/company/88293" TargetMode="External"/><Relationship Id="rId7420" Type="http://schemas.openxmlformats.org/officeDocument/2006/relationships/hyperlink" Target="https://m.stock.naver.com/research/company/85819" TargetMode="External"/><Relationship Id="rId6022" Type="http://schemas.openxmlformats.org/officeDocument/2006/relationships/hyperlink" Target="https://m.stock.naver.com/research/company/87218" TargetMode="External"/><Relationship Id="rId10401" Type="http://schemas.openxmlformats.org/officeDocument/2006/relationships/hyperlink" Target="https://m.stock.naver.com/research/company/82820" TargetMode="External"/><Relationship Id="rId13971" Type="http://schemas.openxmlformats.org/officeDocument/2006/relationships/hyperlink" Target="https://m.stock.naver.com/research/company/93761" TargetMode="External"/><Relationship Id="rId8194" Type="http://schemas.openxmlformats.org/officeDocument/2006/relationships/hyperlink" Target="https://m.stock.naver.com/research/company/85044" TargetMode="External"/><Relationship Id="rId9592" Type="http://schemas.openxmlformats.org/officeDocument/2006/relationships/hyperlink" Target="https://m.stock.naver.com/research/company/83635" TargetMode="External"/><Relationship Id="rId12573" Type="http://schemas.openxmlformats.org/officeDocument/2006/relationships/hyperlink" Target="https://m.stock.naver.com/research/company/80635" TargetMode="External"/><Relationship Id="rId13624" Type="http://schemas.openxmlformats.org/officeDocument/2006/relationships/hyperlink" Target="https://m.stock.naver.com/research/company/79580" TargetMode="External"/><Relationship Id="rId951" Type="http://schemas.openxmlformats.org/officeDocument/2006/relationships/hyperlink" Target="https://m.stock.naver.com/research/company/92505" TargetMode="External"/><Relationship Id="rId1581" Type="http://schemas.openxmlformats.org/officeDocument/2006/relationships/hyperlink" Target="https://m.stock.naver.com/research/company/91674" TargetMode="External"/><Relationship Id="rId2632" Type="http://schemas.openxmlformats.org/officeDocument/2006/relationships/hyperlink" Target="https://m.stock.naver.com/research/company/90622" TargetMode="External"/><Relationship Id="rId9245" Type="http://schemas.openxmlformats.org/officeDocument/2006/relationships/hyperlink" Target="https://m.stock.naver.com/research/company/83983" TargetMode="External"/><Relationship Id="rId11175" Type="http://schemas.openxmlformats.org/officeDocument/2006/relationships/hyperlink" Target="https://m.stock.naver.com/research/company/82045" TargetMode="External"/><Relationship Id="rId12226" Type="http://schemas.openxmlformats.org/officeDocument/2006/relationships/hyperlink" Target="https://m.stock.naver.com/research/company/80984" TargetMode="External"/><Relationship Id="rId604" Type="http://schemas.openxmlformats.org/officeDocument/2006/relationships/hyperlink" Target="https://m.stock.naver.com/research/company/92853" TargetMode="External"/><Relationship Id="rId1234" Type="http://schemas.openxmlformats.org/officeDocument/2006/relationships/hyperlink" Target="https://m.stock.naver.com/research/company/92021" TargetMode="External"/><Relationship Id="rId5855" Type="http://schemas.openxmlformats.org/officeDocument/2006/relationships/hyperlink" Target="https://m.stock.naver.com/research/company/87385" TargetMode="External"/><Relationship Id="rId6906" Type="http://schemas.openxmlformats.org/officeDocument/2006/relationships/hyperlink" Target="https://m.stock.naver.com/research/company/86333" TargetMode="External"/><Relationship Id="rId14398" Type="http://schemas.openxmlformats.org/officeDocument/2006/relationships/hyperlink" Target="https://m.stock.naver.com/research/company/94285" TargetMode="External"/><Relationship Id="rId15449" Type="http://schemas.openxmlformats.org/officeDocument/2006/relationships/hyperlink" Target="https://m.stock.naver.com/research/company/95338" TargetMode="External"/><Relationship Id="rId4457" Type="http://schemas.openxmlformats.org/officeDocument/2006/relationships/hyperlink" Target="https://m.stock.naver.com/research/company/88783" TargetMode="External"/><Relationship Id="rId5508" Type="http://schemas.openxmlformats.org/officeDocument/2006/relationships/hyperlink" Target="https://m.stock.naver.com/research/company/87732" TargetMode="External"/><Relationship Id="rId3059" Type="http://schemas.openxmlformats.org/officeDocument/2006/relationships/hyperlink" Target="https://m.stock.naver.com/research/company/90192" TargetMode="External"/><Relationship Id="rId13481" Type="http://schemas.openxmlformats.org/officeDocument/2006/relationships/hyperlink" Target="https://m.stock.naver.com/research/company/79723" TargetMode="External"/><Relationship Id="rId14532" Type="http://schemas.openxmlformats.org/officeDocument/2006/relationships/hyperlink" Target="https://m.stock.naver.com/research/company/94378" TargetMode="External"/><Relationship Id="rId1091" Type="http://schemas.openxmlformats.org/officeDocument/2006/relationships/hyperlink" Target="https://m.stock.naver.com/research/company/92165" TargetMode="External"/><Relationship Id="rId3540" Type="http://schemas.openxmlformats.org/officeDocument/2006/relationships/hyperlink" Target="https://m.stock.naver.com/research/company/89711" TargetMode="External"/><Relationship Id="rId12083" Type="http://schemas.openxmlformats.org/officeDocument/2006/relationships/hyperlink" Target="https://m.stock.naver.com/research/company/81128" TargetMode="External"/><Relationship Id="rId13134" Type="http://schemas.openxmlformats.org/officeDocument/2006/relationships/hyperlink" Target="https://m.stock.naver.com/research/company/80073" TargetMode="External"/><Relationship Id="rId114" Type="http://schemas.openxmlformats.org/officeDocument/2006/relationships/hyperlink" Target="https://m.stock.naver.com/research/company/93344" TargetMode="External"/><Relationship Id="rId461" Type="http://schemas.openxmlformats.org/officeDocument/2006/relationships/hyperlink" Target="https://m.stock.naver.com/research/company/92996" TargetMode="External"/><Relationship Id="rId2142" Type="http://schemas.openxmlformats.org/officeDocument/2006/relationships/hyperlink" Target="https://m.stock.naver.com/research/company/91113" TargetMode="External"/><Relationship Id="rId6763" Type="http://schemas.openxmlformats.org/officeDocument/2006/relationships/hyperlink" Target="https://m.stock.naver.com/research/company/86477" TargetMode="External"/><Relationship Id="rId7814" Type="http://schemas.openxmlformats.org/officeDocument/2006/relationships/hyperlink" Target="https://m.stock.naver.com/research/company/85424" TargetMode="External"/><Relationship Id="rId5365" Type="http://schemas.openxmlformats.org/officeDocument/2006/relationships/hyperlink" Target="https://m.stock.naver.com/research/company/87875" TargetMode="External"/><Relationship Id="rId6416" Type="http://schemas.openxmlformats.org/officeDocument/2006/relationships/hyperlink" Target="https://m.stock.naver.com/research/company/86824" TargetMode="External"/><Relationship Id="rId9986" Type="http://schemas.openxmlformats.org/officeDocument/2006/relationships/hyperlink" Target="https://m.stock.naver.com/research/company/83235" TargetMode="External"/><Relationship Id="rId5018" Type="http://schemas.openxmlformats.org/officeDocument/2006/relationships/hyperlink" Target="https://m.stock.naver.com/research/company/88222" TargetMode="External"/><Relationship Id="rId8588" Type="http://schemas.openxmlformats.org/officeDocument/2006/relationships/hyperlink" Target="https://m.stock.naver.com/research/company/84649" TargetMode="External"/><Relationship Id="rId9639" Type="http://schemas.openxmlformats.org/officeDocument/2006/relationships/hyperlink" Target="https://m.stock.naver.com/research/company/83586" TargetMode="External"/><Relationship Id="rId12967" Type="http://schemas.openxmlformats.org/officeDocument/2006/relationships/hyperlink" Target="https://m.stock.naver.com/research/company/80241" TargetMode="External"/><Relationship Id="rId1628" Type="http://schemas.openxmlformats.org/officeDocument/2006/relationships/hyperlink" Target="https://m.stock.naver.com/research/company/91627" TargetMode="External"/><Relationship Id="rId1975" Type="http://schemas.openxmlformats.org/officeDocument/2006/relationships/hyperlink" Target="https://m.stock.naver.com/research/company/91280" TargetMode="External"/><Relationship Id="rId11569" Type="http://schemas.openxmlformats.org/officeDocument/2006/relationships/hyperlink" Target="https://m.stock.naver.com/research/company/81644" TargetMode="External"/><Relationship Id="rId14042" Type="http://schemas.openxmlformats.org/officeDocument/2006/relationships/hyperlink" Target="https://m.stock.naver.com/research/company/93805" TargetMode="External"/><Relationship Id="rId15440" Type="http://schemas.openxmlformats.org/officeDocument/2006/relationships/hyperlink" Target="https://m.stock.naver.com/research/company/95347" TargetMode="External"/><Relationship Id="rId3050" Type="http://schemas.openxmlformats.org/officeDocument/2006/relationships/hyperlink" Target="https://m.stock.naver.com/research/company/90201" TargetMode="External"/><Relationship Id="rId4101" Type="http://schemas.openxmlformats.org/officeDocument/2006/relationships/hyperlink" Target="https://m.stock.naver.com/research/company/89150" TargetMode="External"/><Relationship Id="rId7671" Type="http://schemas.openxmlformats.org/officeDocument/2006/relationships/hyperlink" Target="https://m.stock.naver.com/research/company/85568" TargetMode="External"/><Relationship Id="rId8722" Type="http://schemas.openxmlformats.org/officeDocument/2006/relationships/hyperlink" Target="https://m.stock.naver.com/research/company/84515" TargetMode="External"/><Relationship Id="rId10652" Type="http://schemas.openxmlformats.org/officeDocument/2006/relationships/hyperlink" Target="https://m.stock.naver.com/research/company/82568" TargetMode="External"/><Relationship Id="rId11703" Type="http://schemas.openxmlformats.org/officeDocument/2006/relationships/hyperlink" Target="https://m.stock.naver.com/research/company/81509" TargetMode="External"/><Relationship Id="rId6273" Type="http://schemas.openxmlformats.org/officeDocument/2006/relationships/hyperlink" Target="https://m.stock.naver.com/research/company/86967" TargetMode="External"/><Relationship Id="rId7324" Type="http://schemas.openxmlformats.org/officeDocument/2006/relationships/hyperlink" Target="https://m.stock.naver.com/research/company/85915" TargetMode="External"/><Relationship Id="rId10305" Type="http://schemas.openxmlformats.org/officeDocument/2006/relationships/hyperlink" Target="https://m.stock.naver.com/research/company/82916" TargetMode="External"/><Relationship Id="rId13875" Type="http://schemas.openxmlformats.org/officeDocument/2006/relationships/hyperlink" Target="https://m.stock.naver.com/research/company/93652" TargetMode="External"/><Relationship Id="rId2883" Type="http://schemas.openxmlformats.org/officeDocument/2006/relationships/hyperlink" Target="https://m.stock.naver.com/research/company/90370" TargetMode="External"/><Relationship Id="rId3934" Type="http://schemas.openxmlformats.org/officeDocument/2006/relationships/hyperlink" Target="https://m.stock.naver.com/research/company/89317" TargetMode="External"/><Relationship Id="rId9496" Type="http://schemas.openxmlformats.org/officeDocument/2006/relationships/hyperlink" Target="https://m.stock.naver.com/research/company/83731" TargetMode="External"/><Relationship Id="rId12477" Type="http://schemas.openxmlformats.org/officeDocument/2006/relationships/hyperlink" Target="https://m.stock.naver.com/research/company/80731" TargetMode="External"/><Relationship Id="rId13528" Type="http://schemas.openxmlformats.org/officeDocument/2006/relationships/hyperlink" Target="https://m.stock.naver.com/research/company/79676" TargetMode="External"/><Relationship Id="rId14926" Type="http://schemas.openxmlformats.org/officeDocument/2006/relationships/hyperlink" Target="https://m.stock.naver.com/research/company/94908" TargetMode="External"/><Relationship Id="rId855" Type="http://schemas.openxmlformats.org/officeDocument/2006/relationships/hyperlink" Target="https://m.stock.naver.com/research/company/92601" TargetMode="External"/><Relationship Id="rId1485" Type="http://schemas.openxmlformats.org/officeDocument/2006/relationships/hyperlink" Target="https://m.stock.naver.com/research/company/91770" TargetMode="External"/><Relationship Id="rId2536" Type="http://schemas.openxmlformats.org/officeDocument/2006/relationships/hyperlink" Target="https://m.stock.naver.com/research/company/90718" TargetMode="External"/><Relationship Id="rId8098" Type="http://schemas.openxmlformats.org/officeDocument/2006/relationships/hyperlink" Target="https://m.stock.naver.com/research/company/85140" TargetMode="External"/><Relationship Id="rId9149" Type="http://schemas.openxmlformats.org/officeDocument/2006/relationships/hyperlink" Target="https://m.stock.naver.com/research/company/84081" TargetMode="External"/><Relationship Id="rId11079" Type="http://schemas.openxmlformats.org/officeDocument/2006/relationships/hyperlink" Target="https://m.stock.naver.com/research/company/82141" TargetMode="External"/><Relationship Id="rId508" Type="http://schemas.openxmlformats.org/officeDocument/2006/relationships/hyperlink" Target="https://m.stock.naver.com/research/company/92949" TargetMode="External"/><Relationship Id="rId1138" Type="http://schemas.openxmlformats.org/officeDocument/2006/relationships/hyperlink" Target="https://m.stock.naver.com/research/company/92117" TargetMode="External"/><Relationship Id="rId5759" Type="http://schemas.openxmlformats.org/officeDocument/2006/relationships/hyperlink" Target="https://m.stock.naver.com/research/company/87481" TargetMode="External"/><Relationship Id="rId9630" Type="http://schemas.openxmlformats.org/officeDocument/2006/relationships/hyperlink" Target="https://m.stock.naver.com/research/company/83595" TargetMode="External"/><Relationship Id="rId7181" Type="http://schemas.openxmlformats.org/officeDocument/2006/relationships/hyperlink" Target="https://m.stock.naver.com/research/company/86058" TargetMode="External"/><Relationship Id="rId8232" Type="http://schemas.openxmlformats.org/officeDocument/2006/relationships/hyperlink" Target="https://m.stock.naver.com/research/company/85006" TargetMode="External"/><Relationship Id="rId11560" Type="http://schemas.openxmlformats.org/officeDocument/2006/relationships/hyperlink" Target="https://m.stock.naver.com/research/company/81653" TargetMode="External"/><Relationship Id="rId12611" Type="http://schemas.openxmlformats.org/officeDocument/2006/relationships/hyperlink" Target="https://m.stock.naver.com/research/company/80597" TargetMode="External"/><Relationship Id="rId10162" Type="http://schemas.openxmlformats.org/officeDocument/2006/relationships/hyperlink" Target="https://m.stock.naver.com/research/company/83059" TargetMode="External"/><Relationship Id="rId11213" Type="http://schemas.openxmlformats.org/officeDocument/2006/relationships/hyperlink" Target="https://m.stock.naver.com/research/company/82007" TargetMode="External"/><Relationship Id="rId14783" Type="http://schemas.openxmlformats.org/officeDocument/2006/relationships/hyperlink" Target="https://m.stock.naver.com/research/company/94617" TargetMode="External"/><Relationship Id="rId3791" Type="http://schemas.openxmlformats.org/officeDocument/2006/relationships/hyperlink" Target="https://m.stock.naver.com/research/company/89460" TargetMode="External"/><Relationship Id="rId4842" Type="http://schemas.openxmlformats.org/officeDocument/2006/relationships/hyperlink" Target="https://m.stock.naver.com/research/company/88398" TargetMode="External"/><Relationship Id="rId13385" Type="http://schemas.openxmlformats.org/officeDocument/2006/relationships/hyperlink" Target="https://m.stock.naver.com/research/company/79820" TargetMode="External"/><Relationship Id="rId14436" Type="http://schemas.openxmlformats.org/officeDocument/2006/relationships/hyperlink" Target="https://m.stock.naver.com/research/company/94474" TargetMode="External"/><Relationship Id="rId2393" Type="http://schemas.openxmlformats.org/officeDocument/2006/relationships/hyperlink" Target="https://m.stock.naver.com/research/company/90861" TargetMode="External"/><Relationship Id="rId3444" Type="http://schemas.openxmlformats.org/officeDocument/2006/relationships/hyperlink" Target="https://m.stock.naver.com/research/company/89807" TargetMode="External"/><Relationship Id="rId13038" Type="http://schemas.openxmlformats.org/officeDocument/2006/relationships/hyperlink" Target="https://m.stock.naver.com/research/company/80169" TargetMode="External"/><Relationship Id="rId365" Type="http://schemas.openxmlformats.org/officeDocument/2006/relationships/hyperlink" Target="https://m.stock.naver.com/research/company/93093" TargetMode="External"/><Relationship Id="rId2046" Type="http://schemas.openxmlformats.org/officeDocument/2006/relationships/hyperlink" Target="https://m.stock.naver.com/research/company/91209" TargetMode="External"/><Relationship Id="rId6667" Type="http://schemas.openxmlformats.org/officeDocument/2006/relationships/hyperlink" Target="https://m.stock.naver.com/research/company/86573" TargetMode="External"/><Relationship Id="rId7718" Type="http://schemas.openxmlformats.org/officeDocument/2006/relationships/hyperlink" Target="https://m.stock.naver.com/research/company/85521" TargetMode="External"/><Relationship Id="rId5269" Type="http://schemas.openxmlformats.org/officeDocument/2006/relationships/hyperlink" Target="https://m.stock.naver.com/research/company/87971" TargetMode="External"/><Relationship Id="rId9140" Type="http://schemas.openxmlformats.org/officeDocument/2006/relationships/hyperlink" Target="https://m.stock.naver.com/research/company/84090" TargetMode="External"/><Relationship Id="rId11070" Type="http://schemas.openxmlformats.org/officeDocument/2006/relationships/hyperlink" Target="https://m.stock.naver.com/research/company/82150" TargetMode="External"/><Relationship Id="rId12121" Type="http://schemas.openxmlformats.org/officeDocument/2006/relationships/hyperlink" Target="https://m.stock.naver.com/research/company/81090" TargetMode="External"/><Relationship Id="rId15691" Type="http://schemas.openxmlformats.org/officeDocument/2006/relationships/hyperlink" Target="https://m.stock.naver.com/research/company/95723" TargetMode="External"/><Relationship Id="rId1879" Type="http://schemas.openxmlformats.org/officeDocument/2006/relationships/hyperlink" Target="https://m.stock.naver.com/research/company/91376" TargetMode="External"/><Relationship Id="rId5750" Type="http://schemas.openxmlformats.org/officeDocument/2006/relationships/hyperlink" Target="https://m.stock.naver.com/research/company/87490" TargetMode="External"/><Relationship Id="rId6801" Type="http://schemas.openxmlformats.org/officeDocument/2006/relationships/hyperlink" Target="https://m.stock.naver.com/research/company/86439" TargetMode="External"/><Relationship Id="rId14293" Type="http://schemas.openxmlformats.org/officeDocument/2006/relationships/hyperlink" Target="https://m.stock.naver.com/research/company/94171" TargetMode="External"/><Relationship Id="rId15344" Type="http://schemas.openxmlformats.org/officeDocument/2006/relationships/hyperlink" Target="https://m.stock.naver.com/research/company/95244" TargetMode="External"/><Relationship Id="rId4005" Type="http://schemas.openxmlformats.org/officeDocument/2006/relationships/hyperlink" Target="https://m.stock.naver.com/research/company/89246" TargetMode="External"/><Relationship Id="rId4352" Type="http://schemas.openxmlformats.org/officeDocument/2006/relationships/hyperlink" Target="https://m.stock.naver.com/research/company/88889" TargetMode="External"/><Relationship Id="rId5403" Type="http://schemas.openxmlformats.org/officeDocument/2006/relationships/hyperlink" Target="https://m.stock.naver.com/research/company/87837" TargetMode="External"/><Relationship Id="rId8973" Type="http://schemas.openxmlformats.org/officeDocument/2006/relationships/hyperlink" Target="https://m.stock.naver.com/research/company/84259" TargetMode="External"/><Relationship Id="rId11954" Type="http://schemas.openxmlformats.org/officeDocument/2006/relationships/hyperlink" Target="https://m.stock.naver.com/research/company/81257" TargetMode="External"/><Relationship Id="rId7575" Type="http://schemas.openxmlformats.org/officeDocument/2006/relationships/hyperlink" Target="https://m.stock.naver.com/research/company/85664" TargetMode="External"/><Relationship Id="rId8626" Type="http://schemas.openxmlformats.org/officeDocument/2006/relationships/hyperlink" Target="https://m.stock.naver.com/research/company/84611" TargetMode="External"/><Relationship Id="rId10556" Type="http://schemas.openxmlformats.org/officeDocument/2006/relationships/hyperlink" Target="https://m.stock.naver.com/research/company/82664" TargetMode="External"/><Relationship Id="rId11607" Type="http://schemas.openxmlformats.org/officeDocument/2006/relationships/hyperlink" Target="https://m.stock.naver.com/research/company/81605" TargetMode="External"/><Relationship Id="rId6177" Type="http://schemas.openxmlformats.org/officeDocument/2006/relationships/hyperlink" Target="https://m.stock.naver.com/research/company/87063" TargetMode="External"/><Relationship Id="rId7228" Type="http://schemas.openxmlformats.org/officeDocument/2006/relationships/hyperlink" Target="https://m.stock.naver.com/research/company/86011" TargetMode="External"/><Relationship Id="rId10209" Type="http://schemas.openxmlformats.org/officeDocument/2006/relationships/hyperlink" Target="https://m.stock.naver.com/research/company/83012" TargetMode="External"/><Relationship Id="rId2787" Type="http://schemas.openxmlformats.org/officeDocument/2006/relationships/hyperlink" Target="https://m.stock.naver.com/research/company/90467" TargetMode="External"/><Relationship Id="rId3838" Type="http://schemas.openxmlformats.org/officeDocument/2006/relationships/hyperlink" Target="https://m.stock.naver.com/research/company/89413" TargetMode="External"/><Relationship Id="rId13779" Type="http://schemas.openxmlformats.org/officeDocument/2006/relationships/hyperlink" Target="https://m.stock.naver.com/research/company/93609" TargetMode="External"/><Relationship Id="rId759" Type="http://schemas.openxmlformats.org/officeDocument/2006/relationships/hyperlink" Target="https://m.stock.naver.com/research/company/92697" TargetMode="External"/><Relationship Id="rId1389" Type="http://schemas.openxmlformats.org/officeDocument/2006/relationships/hyperlink" Target="https://m.stock.naver.com/research/company/91866" TargetMode="External"/><Relationship Id="rId5260" Type="http://schemas.openxmlformats.org/officeDocument/2006/relationships/hyperlink" Target="https://m.stock.naver.com/research/company/87980" TargetMode="External"/><Relationship Id="rId6311" Type="http://schemas.openxmlformats.org/officeDocument/2006/relationships/hyperlink" Target="https://m.stock.naver.com/research/company/86929" TargetMode="External"/><Relationship Id="rId8483" Type="http://schemas.openxmlformats.org/officeDocument/2006/relationships/hyperlink" Target="https://m.stock.naver.com/research/company/84754" TargetMode="External"/><Relationship Id="rId9881" Type="http://schemas.openxmlformats.org/officeDocument/2006/relationships/hyperlink" Target="https://m.stock.naver.com/research/company/83341" TargetMode="External"/><Relationship Id="rId12862" Type="http://schemas.openxmlformats.org/officeDocument/2006/relationships/hyperlink" Target="https://m.stock.naver.com/research/company/80346" TargetMode="External"/><Relationship Id="rId13913" Type="http://schemas.openxmlformats.org/officeDocument/2006/relationships/hyperlink" Target="https://m.stock.naver.com/research/company/93689" TargetMode="External"/><Relationship Id="rId95" Type="http://schemas.openxmlformats.org/officeDocument/2006/relationships/hyperlink" Target="https://m.stock.naver.com/research/company/93363" TargetMode="External"/><Relationship Id="rId1870" Type="http://schemas.openxmlformats.org/officeDocument/2006/relationships/hyperlink" Target="https://m.stock.naver.com/research/company/91385" TargetMode="External"/><Relationship Id="rId2921" Type="http://schemas.openxmlformats.org/officeDocument/2006/relationships/hyperlink" Target="https://m.stock.naver.com/research/company/90332" TargetMode="External"/><Relationship Id="rId7085" Type="http://schemas.openxmlformats.org/officeDocument/2006/relationships/hyperlink" Target="https://m.stock.naver.com/research/company/86154" TargetMode="External"/><Relationship Id="rId8136" Type="http://schemas.openxmlformats.org/officeDocument/2006/relationships/hyperlink" Target="https://m.stock.naver.com/research/company/85102" TargetMode="External"/><Relationship Id="rId9534" Type="http://schemas.openxmlformats.org/officeDocument/2006/relationships/hyperlink" Target="https://m.stock.naver.com/research/company/83693" TargetMode="External"/><Relationship Id="rId11464" Type="http://schemas.openxmlformats.org/officeDocument/2006/relationships/hyperlink" Target="https://m.stock.naver.com/research/company/81751" TargetMode="External"/><Relationship Id="rId12515" Type="http://schemas.openxmlformats.org/officeDocument/2006/relationships/hyperlink" Target="https://m.stock.naver.com/research/company/80693" TargetMode="External"/><Relationship Id="rId1523" Type="http://schemas.openxmlformats.org/officeDocument/2006/relationships/hyperlink" Target="https://m.stock.naver.com/research/company/91732" TargetMode="External"/><Relationship Id="rId10066" Type="http://schemas.openxmlformats.org/officeDocument/2006/relationships/hyperlink" Target="https://m.stock.naver.com/research/company/83155" TargetMode="External"/><Relationship Id="rId11117" Type="http://schemas.openxmlformats.org/officeDocument/2006/relationships/hyperlink" Target="https://m.stock.naver.com/research/company/82103" TargetMode="External"/><Relationship Id="rId14687" Type="http://schemas.openxmlformats.org/officeDocument/2006/relationships/hyperlink" Target="https://m.stock.naver.com/research/company/94713" TargetMode="External"/><Relationship Id="rId15738" Type="http://schemas.openxmlformats.org/officeDocument/2006/relationships/hyperlink" Target="https://m.stock.naver.com/research/company/95676" TargetMode="External"/><Relationship Id="rId3695" Type="http://schemas.openxmlformats.org/officeDocument/2006/relationships/hyperlink" Target="https://m.stock.naver.com/research/company/89556" TargetMode="External"/><Relationship Id="rId4746" Type="http://schemas.openxmlformats.org/officeDocument/2006/relationships/hyperlink" Target="https://m.stock.naver.com/research/company/88494" TargetMode="External"/><Relationship Id="rId13289" Type="http://schemas.openxmlformats.org/officeDocument/2006/relationships/hyperlink" Target="https://m.stock.naver.com/research/company/79916" TargetMode="External"/><Relationship Id="rId2297" Type="http://schemas.openxmlformats.org/officeDocument/2006/relationships/hyperlink" Target="https://m.stock.naver.com/research/company/90958" TargetMode="External"/><Relationship Id="rId3348" Type="http://schemas.openxmlformats.org/officeDocument/2006/relationships/hyperlink" Target="https://m.stock.naver.com/research/company/89902" TargetMode="External"/><Relationship Id="rId7969" Type="http://schemas.openxmlformats.org/officeDocument/2006/relationships/hyperlink" Target="https://m.stock.naver.com/research/company/85269" TargetMode="External"/><Relationship Id="rId10200" Type="http://schemas.openxmlformats.org/officeDocument/2006/relationships/hyperlink" Target="https://m.stock.naver.com/research/company/83021" TargetMode="External"/><Relationship Id="rId269" Type="http://schemas.openxmlformats.org/officeDocument/2006/relationships/hyperlink" Target="https://m.stock.naver.com/research/company/93189" TargetMode="External"/><Relationship Id="rId9391" Type="http://schemas.openxmlformats.org/officeDocument/2006/relationships/hyperlink" Target="https://m.stock.naver.com/research/company/83836" TargetMode="External"/><Relationship Id="rId13770" Type="http://schemas.openxmlformats.org/officeDocument/2006/relationships/hyperlink" Target="https://m.stock.naver.com/research/company/93537" TargetMode="External"/><Relationship Id="rId14821" Type="http://schemas.openxmlformats.org/officeDocument/2006/relationships/hyperlink" Target="https://m.stock.naver.com/research/company/94803" TargetMode="External"/><Relationship Id="rId1380" Type="http://schemas.openxmlformats.org/officeDocument/2006/relationships/hyperlink" Target="https://m.stock.naver.com/research/company/91875" TargetMode="External"/><Relationship Id="rId9044" Type="http://schemas.openxmlformats.org/officeDocument/2006/relationships/hyperlink" Target="https://m.stock.naver.com/research/company/84187" TargetMode="External"/><Relationship Id="rId12372" Type="http://schemas.openxmlformats.org/officeDocument/2006/relationships/hyperlink" Target="https://m.stock.naver.com/research/company/80837" TargetMode="External"/><Relationship Id="rId13423" Type="http://schemas.openxmlformats.org/officeDocument/2006/relationships/hyperlink" Target="https://m.stock.naver.com/research/company/79782" TargetMode="External"/><Relationship Id="rId403" Type="http://schemas.openxmlformats.org/officeDocument/2006/relationships/hyperlink" Target="https://m.stock.naver.com/research/company/93055" TargetMode="External"/><Relationship Id="rId750" Type="http://schemas.openxmlformats.org/officeDocument/2006/relationships/hyperlink" Target="https://m.stock.naver.com/research/company/92706" TargetMode="External"/><Relationship Id="rId1033" Type="http://schemas.openxmlformats.org/officeDocument/2006/relationships/hyperlink" Target="https://m.stock.naver.com/research/company/92318" TargetMode="External"/><Relationship Id="rId2431" Type="http://schemas.openxmlformats.org/officeDocument/2006/relationships/hyperlink" Target="https://m.stock.naver.com/research/company/90823" TargetMode="External"/><Relationship Id="rId12025" Type="http://schemas.openxmlformats.org/officeDocument/2006/relationships/hyperlink" Target="https://m.stock.naver.com/research/company/81186" TargetMode="External"/><Relationship Id="rId15595" Type="http://schemas.openxmlformats.org/officeDocument/2006/relationships/hyperlink" Target="https://m.stock.naver.com/research/company/95441" TargetMode="External"/><Relationship Id="rId5654" Type="http://schemas.openxmlformats.org/officeDocument/2006/relationships/hyperlink" Target="https://m.stock.naver.com/research/company/87586" TargetMode="External"/><Relationship Id="rId6705" Type="http://schemas.openxmlformats.org/officeDocument/2006/relationships/hyperlink" Target="https://m.stock.naver.com/research/company/86535" TargetMode="External"/><Relationship Id="rId14197" Type="http://schemas.openxmlformats.org/officeDocument/2006/relationships/hyperlink" Target="https://m.stock.naver.com/research/company/94061" TargetMode="External"/><Relationship Id="rId15248" Type="http://schemas.openxmlformats.org/officeDocument/2006/relationships/hyperlink" Target="https://m.stock.naver.com/research/company/95112" TargetMode="External"/><Relationship Id="rId4256" Type="http://schemas.openxmlformats.org/officeDocument/2006/relationships/hyperlink" Target="https://m.stock.naver.com/research/company/88986" TargetMode="External"/><Relationship Id="rId5307" Type="http://schemas.openxmlformats.org/officeDocument/2006/relationships/hyperlink" Target="https://m.stock.naver.com/research/company/87933" TargetMode="External"/><Relationship Id="rId8877" Type="http://schemas.openxmlformats.org/officeDocument/2006/relationships/hyperlink" Target="https://m.stock.naver.com/research/company/84359" TargetMode="External"/><Relationship Id="rId9928" Type="http://schemas.openxmlformats.org/officeDocument/2006/relationships/hyperlink" Target="https://m.stock.naver.com/research/company/83294" TargetMode="External"/><Relationship Id="rId1917" Type="http://schemas.openxmlformats.org/officeDocument/2006/relationships/hyperlink" Target="https://m.stock.naver.com/research/company/91338" TargetMode="External"/><Relationship Id="rId7479" Type="http://schemas.openxmlformats.org/officeDocument/2006/relationships/hyperlink" Target="https://m.stock.naver.com/research/company/85760" TargetMode="External"/><Relationship Id="rId11858" Type="http://schemas.openxmlformats.org/officeDocument/2006/relationships/hyperlink" Target="https://m.stock.naver.com/research/company/81354" TargetMode="External"/><Relationship Id="rId12909" Type="http://schemas.openxmlformats.org/officeDocument/2006/relationships/hyperlink" Target="https://m.stock.naver.com/research/company/80299" TargetMode="External"/><Relationship Id="rId13280" Type="http://schemas.openxmlformats.org/officeDocument/2006/relationships/hyperlink" Target="https://m.stock.naver.com/research/company/79926" TargetMode="External"/><Relationship Id="rId14331" Type="http://schemas.openxmlformats.org/officeDocument/2006/relationships/hyperlink" Target="https://m.stock.naver.com/research/company/94220" TargetMode="External"/><Relationship Id="rId260" Type="http://schemas.openxmlformats.org/officeDocument/2006/relationships/hyperlink" Target="https://m.stock.naver.com/research/company/93198" TargetMode="External"/><Relationship Id="rId7960" Type="http://schemas.openxmlformats.org/officeDocument/2006/relationships/hyperlink" Target="https://m.stock.naver.com/research/company/85278" TargetMode="External"/><Relationship Id="rId10941" Type="http://schemas.openxmlformats.org/officeDocument/2006/relationships/hyperlink" Target="https://m.stock.naver.com/research/company/82279" TargetMode="External"/><Relationship Id="rId5164" Type="http://schemas.openxmlformats.org/officeDocument/2006/relationships/hyperlink" Target="https://m.stock.naver.com/research/company/88076" TargetMode="External"/><Relationship Id="rId6215" Type="http://schemas.openxmlformats.org/officeDocument/2006/relationships/hyperlink" Target="https://m.stock.naver.com/research/company/87025" TargetMode="External"/><Relationship Id="rId6562" Type="http://schemas.openxmlformats.org/officeDocument/2006/relationships/hyperlink" Target="https://m.stock.naver.com/research/company/86678" TargetMode="External"/><Relationship Id="rId7613" Type="http://schemas.openxmlformats.org/officeDocument/2006/relationships/hyperlink" Target="https://m.stock.naver.com/research/company/85626" TargetMode="External"/><Relationship Id="rId9785" Type="http://schemas.openxmlformats.org/officeDocument/2006/relationships/hyperlink" Target="https://m.stock.naver.com/research/company/83437" TargetMode="External"/><Relationship Id="rId12766" Type="http://schemas.openxmlformats.org/officeDocument/2006/relationships/hyperlink" Target="https://m.stock.naver.com/research/company/80442" TargetMode="External"/><Relationship Id="rId13817" Type="http://schemas.openxmlformats.org/officeDocument/2006/relationships/hyperlink" Target="https://m.stock.naver.com/research/company/93561" TargetMode="External"/><Relationship Id="rId1774" Type="http://schemas.openxmlformats.org/officeDocument/2006/relationships/hyperlink" Target="https://m.stock.naver.com/research/company/91481" TargetMode="External"/><Relationship Id="rId2825" Type="http://schemas.openxmlformats.org/officeDocument/2006/relationships/hyperlink" Target="https://m.stock.naver.com/research/company/90428" TargetMode="External"/><Relationship Id="rId8387" Type="http://schemas.openxmlformats.org/officeDocument/2006/relationships/hyperlink" Target="https://m.stock.naver.com/research/company/84851" TargetMode="External"/><Relationship Id="rId9438" Type="http://schemas.openxmlformats.org/officeDocument/2006/relationships/hyperlink" Target="https://m.stock.naver.com/research/company/83789" TargetMode="External"/><Relationship Id="rId11368" Type="http://schemas.openxmlformats.org/officeDocument/2006/relationships/hyperlink" Target="https://m.stock.naver.com/research/company/81847" TargetMode="External"/><Relationship Id="rId12419" Type="http://schemas.openxmlformats.org/officeDocument/2006/relationships/hyperlink" Target="https://m.stock.naver.com/research/company/80790" TargetMode="External"/><Relationship Id="rId1427" Type="http://schemas.openxmlformats.org/officeDocument/2006/relationships/hyperlink" Target="https://m.stock.naver.com/research/company/91828" TargetMode="External"/><Relationship Id="rId4997" Type="http://schemas.openxmlformats.org/officeDocument/2006/relationships/hyperlink" Target="https://m.stock.naver.com/research/company/88243" TargetMode="External"/><Relationship Id="rId3599" Type="http://schemas.openxmlformats.org/officeDocument/2006/relationships/hyperlink" Target="https://m.stock.naver.com/research/company/89652" TargetMode="External"/><Relationship Id="rId7470" Type="http://schemas.openxmlformats.org/officeDocument/2006/relationships/hyperlink" Target="https://m.stock.naver.com/research/company/85769" TargetMode="External"/><Relationship Id="rId8521" Type="http://schemas.openxmlformats.org/officeDocument/2006/relationships/hyperlink" Target="https://m.stock.naver.com/research/company/84716" TargetMode="External"/><Relationship Id="rId12900" Type="http://schemas.openxmlformats.org/officeDocument/2006/relationships/hyperlink" Target="https://m.stock.naver.com/research/company/80308" TargetMode="External"/><Relationship Id="rId6072" Type="http://schemas.openxmlformats.org/officeDocument/2006/relationships/hyperlink" Target="https://m.stock.naver.com/research/company/87168" TargetMode="External"/><Relationship Id="rId7123" Type="http://schemas.openxmlformats.org/officeDocument/2006/relationships/hyperlink" Target="https://m.stock.naver.com/research/company/86116" TargetMode="External"/><Relationship Id="rId10451" Type="http://schemas.openxmlformats.org/officeDocument/2006/relationships/hyperlink" Target="https://m.stock.naver.com/research/company/82769" TargetMode="External"/><Relationship Id="rId11502" Type="http://schemas.openxmlformats.org/officeDocument/2006/relationships/hyperlink" Target="https://m.stock.naver.com/research/company/81713" TargetMode="External"/><Relationship Id="rId9295" Type="http://schemas.openxmlformats.org/officeDocument/2006/relationships/hyperlink" Target="https://m.stock.naver.com/research/company/83932" TargetMode="External"/><Relationship Id="rId10104" Type="http://schemas.openxmlformats.org/officeDocument/2006/relationships/hyperlink" Target="https://m.stock.naver.com/research/company/83117" TargetMode="External"/><Relationship Id="rId13674" Type="http://schemas.openxmlformats.org/officeDocument/2006/relationships/hyperlink" Target="https://m.stock.naver.com/research/company/79530" TargetMode="External"/><Relationship Id="rId14725" Type="http://schemas.openxmlformats.org/officeDocument/2006/relationships/hyperlink" Target="https://m.stock.naver.com/research/company/94675" TargetMode="External"/><Relationship Id="rId2682" Type="http://schemas.openxmlformats.org/officeDocument/2006/relationships/hyperlink" Target="https://m.stock.naver.com/research/company/90572" TargetMode="External"/><Relationship Id="rId3733" Type="http://schemas.openxmlformats.org/officeDocument/2006/relationships/hyperlink" Target="https://m.stock.naver.com/research/company/89518" TargetMode="External"/><Relationship Id="rId12276" Type="http://schemas.openxmlformats.org/officeDocument/2006/relationships/hyperlink" Target="https://m.stock.naver.com/research/company/80933" TargetMode="External"/><Relationship Id="rId13327" Type="http://schemas.openxmlformats.org/officeDocument/2006/relationships/hyperlink" Target="https://m.stock.naver.com/research/company/79878" TargetMode="External"/><Relationship Id="rId654" Type="http://schemas.openxmlformats.org/officeDocument/2006/relationships/hyperlink" Target="https://m.stock.naver.com/research/company/92802" TargetMode="External"/><Relationship Id="rId1284" Type="http://schemas.openxmlformats.org/officeDocument/2006/relationships/hyperlink" Target="https://m.stock.naver.com/research/company/91971" TargetMode="External"/><Relationship Id="rId2335" Type="http://schemas.openxmlformats.org/officeDocument/2006/relationships/hyperlink" Target="https://m.stock.naver.com/research/company/90920" TargetMode="External"/><Relationship Id="rId6956" Type="http://schemas.openxmlformats.org/officeDocument/2006/relationships/hyperlink" Target="https://m.stock.naver.com/research/company/86283" TargetMode="External"/><Relationship Id="rId15499" Type="http://schemas.openxmlformats.org/officeDocument/2006/relationships/hyperlink" Target="https://m.stock.naver.com/research/company/95288" TargetMode="External"/><Relationship Id="rId307" Type="http://schemas.openxmlformats.org/officeDocument/2006/relationships/hyperlink" Target="https://m.stock.naver.com/research/company/93151" TargetMode="External"/><Relationship Id="rId5558" Type="http://schemas.openxmlformats.org/officeDocument/2006/relationships/hyperlink" Target="https://m.stock.naver.com/research/company/87682" TargetMode="External"/><Relationship Id="rId6609" Type="http://schemas.openxmlformats.org/officeDocument/2006/relationships/hyperlink" Target="https://m.stock.naver.com/research/company/86631" TargetMode="External"/><Relationship Id="rId12410" Type="http://schemas.openxmlformats.org/officeDocument/2006/relationships/hyperlink" Target="https://m.stock.naver.com/research/company/80799" TargetMode="External"/><Relationship Id="rId8031" Type="http://schemas.openxmlformats.org/officeDocument/2006/relationships/hyperlink" Target="https://m.stock.naver.com/research/company/85207" TargetMode="External"/><Relationship Id="rId11012" Type="http://schemas.openxmlformats.org/officeDocument/2006/relationships/hyperlink" Target="https://m.stock.naver.com/research/company/82208" TargetMode="External"/><Relationship Id="rId3590" Type="http://schemas.openxmlformats.org/officeDocument/2006/relationships/hyperlink" Target="https://m.stock.naver.com/research/company/89661" TargetMode="External"/><Relationship Id="rId13184" Type="http://schemas.openxmlformats.org/officeDocument/2006/relationships/hyperlink" Target="https://m.stock.naver.com/research/company/80023" TargetMode="External"/><Relationship Id="rId14582" Type="http://schemas.openxmlformats.org/officeDocument/2006/relationships/hyperlink" Target="https://m.stock.naver.com/research/company/94328" TargetMode="External"/><Relationship Id="rId15633" Type="http://schemas.openxmlformats.org/officeDocument/2006/relationships/hyperlink" Target="https://m.stock.naver.com/research/company/95782" TargetMode="External"/><Relationship Id="rId2192" Type="http://schemas.openxmlformats.org/officeDocument/2006/relationships/hyperlink" Target="https://m.stock.naver.com/research/company/91063" TargetMode="External"/><Relationship Id="rId3243" Type="http://schemas.openxmlformats.org/officeDocument/2006/relationships/hyperlink" Target="https://m.stock.naver.com/research/company/90007" TargetMode="External"/><Relationship Id="rId4641" Type="http://schemas.openxmlformats.org/officeDocument/2006/relationships/hyperlink" Target="https://m.stock.naver.com/research/company/88599" TargetMode="External"/><Relationship Id="rId14235" Type="http://schemas.openxmlformats.org/officeDocument/2006/relationships/hyperlink" Target="https://m.stock.naver.com/research/company/94108" TargetMode="External"/><Relationship Id="rId164" Type="http://schemas.openxmlformats.org/officeDocument/2006/relationships/hyperlink" Target="https://m.stock.naver.com/research/company/93294" TargetMode="External"/><Relationship Id="rId7864" Type="http://schemas.openxmlformats.org/officeDocument/2006/relationships/hyperlink" Target="https://m.stock.naver.com/research/company/85374" TargetMode="External"/><Relationship Id="rId8915" Type="http://schemas.openxmlformats.org/officeDocument/2006/relationships/hyperlink" Target="https://m.stock.naver.com/research/company/84321" TargetMode="External"/><Relationship Id="rId10845" Type="http://schemas.openxmlformats.org/officeDocument/2006/relationships/hyperlink" Target="https://m.stock.naver.com/research/company/82375" TargetMode="External"/><Relationship Id="rId5068" Type="http://schemas.openxmlformats.org/officeDocument/2006/relationships/hyperlink" Target="https://m.stock.naver.com/research/company/88172" TargetMode="External"/><Relationship Id="rId6466" Type="http://schemas.openxmlformats.org/officeDocument/2006/relationships/hyperlink" Target="https://m.stock.naver.com/research/company/86774" TargetMode="External"/><Relationship Id="rId7517" Type="http://schemas.openxmlformats.org/officeDocument/2006/relationships/hyperlink" Target="https://m.stock.naver.com/research/company/85722" TargetMode="External"/><Relationship Id="rId6119" Type="http://schemas.openxmlformats.org/officeDocument/2006/relationships/hyperlink" Target="https://m.stock.naver.com/research/company/87121" TargetMode="External"/><Relationship Id="rId9689" Type="http://schemas.openxmlformats.org/officeDocument/2006/relationships/hyperlink" Target="https://m.stock.naver.com/research/company/83534" TargetMode="External"/><Relationship Id="rId15490" Type="http://schemas.openxmlformats.org/officeDocument/2006/relationships/hyperlink" Target="https://m.stock.naver.com/research/company/95297" TargetMode="External"/><Relationship Id="rId1678" Type="http://schemas.openxmlformats.org/officeDocument/2006/relationships/hyperlink" Target="https://m.stock.naver.com/research/company/91577" TargetMode="External"/><Relationship Id="rId2729" Type="http://schemas.openxmlformats.org/officeDocument/2006/relationships/hyperlink" Target="https://m.stock.naver.com/research/company/90525" TargetMode="External"/><Relationship Id="rId6600" Type="http://schemas.openxmlformats.org/officeDocument/2006/relationships/hyperlink" Target="https://m.stock.naver.com/research/company/86640" TargetMode="External"/><Relationship Id="rId14092" Type="http://schemas.openxmlformats.org/officeDocument/2006/relationships/hyperlink" Target="https://m.stock.naver.com/research/company/93910" TargetMode="External"/><Relationship Id="rId15143" Type="http://schemas.openxmlformats.org/officeDocument/2006/relationships/hyperlink" Target="https://m.stock.naver.com/research/company/94951" TargetMode="External"/><Relationship Id="rId4151" Type="http://schemas.openxmlformats.org/officeDocument/2006/relationships/hyperlink" Target="https://m.stock.naver.com/research/company/89100" TargetMode="External"/><Relationship Id="rId5202" Type="http://schemas.openxmlformats.org/officeDocument/2006/relationships/hyperlink" Target="https://m.stock.naver.com/research/company/88038" TargetMode="External"/><Relationship Id="rId7374" Type="http://schemas.openxmlformats.org/officeDocument/2006/relationships/hyperlink" Target="https://m.stock.naver.com/research/company/85865" TargetMode="External"/><Relationship Id="rId8425" Type="http://schemas.openxmlformats.org/officeDocument/2006/relationships/hyperlink" Target="https://m.stock.naver.com/research/company/84813" TargetMode="External"/><Relationship Id="rId8772" Type="http://schemas.openxmlformats.org/officeDocument/2006/relationships/hyperlink" Target="https://m.stock.naver.com/research/company/84465" TargetMode="External"/><Relationship Id="rId9823" Type="http://schemas.openxmlformats.org/officeDocument/2006/relationships/hyperlink" Target="https://m.stock.naver.com/research/company/83399" TargetMode="External"/><Relationship Id="rId11753" Type="http://schemas.openxmlformats.org/officeDocument/2006/relationships/hyperlink" Target="https://m.stock.naver.com/research/company/81459" TargetMode="External"/><Relationship Id="rId12804" Type="http://schemas.openxmlformats.org/officeDocument/2006/relationships/hyperlink" Target="https://m.stock.naver.com/research/company/80404" TargetMode="External"/><Relationship Id="rId37" Type="http://schemas.openxmlformats.org/officeDocument/2006/relationships/hyperlink" Target="https://m.stock.naver.com/research/company/93421" TargetMode="External"/><Relationship Id="rId1812" Type="http://schemas.openxmlformats.org/officeDocument/2006/relationships/hyperlink" Target="https://m.stock.naver.com/research/company/91443" TargetMode="External"/><Relationship Id="rId7027" Type="http://schemas.openxmlformats.org/officeDocument/2006/relationships/hyperlink" Target="https://m.stock.naver.com/research/company/86212" TargetMode="External"/><Relationship Id="rId10355" Type="http://schemas.openxmlformats.org/officeDocument/2006/relationships/hyperlink" Target="https://m.stock.naver.com/research/company/82866" TargetMode="External"/><Relationship Id="rId11406" Type="http://schemas.openxmlformats.org/officeDocument/2006/relationships/hyperlink" Target="https://m.stock.naver.com/research/company/81809" TargetMode="External"/><Relationship Id="rId14976" Type="http://schemas.openxmlformats.org/officeDocument/2006/relationships/hyperlink" Target="https://m.stock.naver.com/research/company/94858" TargetMode="External"/><Relationship Id="rId3984" Type="http://schemas.openxmlformats.org/officeDocument/2006/relationships/hyperlink" Target="https://m.stock.naver.com/research/company/89267" TargetMode="External"/><Relationship Id="rId9199" Type="http://schemas.openxmlformats.org/officeDocument/2006/relationships/hyperlink" Target="https://m.stock.naver.com/research/company/84031" TargetMode="External"/><Relationship Id="rId10008" Type="http://schemas.openxmlformats.org/officeDocument/2006/relationships/hyperlink" Target="https://m.stock.naver.com/research/company/83213" TargetMode="External"/><Relationship Id="rId13578" Type="http://schemas.openxmlformats.org/officeDocument/2006/relationships/hyperlink" Target="https://m.stock.naver.com/research/company/79626" TargetMode="External"/><Relationship Id="rId14629" Type="http://schemas.openxmlformats.org/officeDocument/2006/relationships/hyperlink" Target="https://m.stock.naver.com/research/company/94548" TargetMode="External"/><Relationship Id="rId2586" Type="http://schemas.openxmlformats.org/officeDocument/2006/relationships/hyperlink" Target="https://m.stock.naver.com/research/company/90668" TargetMode="External"/><Relationship Id="rId3637" Type="http://schemas.openxmlformats.org/officeDocument/2006/relationships/hyperlink" Target="https://m.stock.naver.com/research/company/89614" TargetMode="External"/><Relationship Id="rId558" Type="http://schemas.openxmlformats.org/officeDocument/2006/relationships/hyperlink" Target="https://m.stock.naver.com/research/company/92899" TargetMode="External"/><Relationship Id="rId1188" Type="http://schemas.openxmlformats.org/officeDocument/2006/relationships/hyperlink" Target="https://m.stock.naver.com/research/company/92067" TargetMode="External"/><Relationship Id="rId2239" Type="http://schemas.openxmlformats.org/officeDocument/2006/relationships/hyperlink" Target="https://m.stock.naver.com/research/company/91016" TargetMode="External"/><Relationship Id="rId6110" Type="http://schemas.openxmlformats.org/officeDocument/2006/relationships/hyperlink" Target="https://m.stock.naver.com/research/company/87130" TargetMode="External"/><Relationship Id="rId9680" Type="http://schemas.openxmlformats.org/officeDocument/2006/relationships/hyperlink" Target="https://m.stock.naver.com/research/company/83543" TargetMode="External"/><Relationship Id="rId8282" Type="http://schemas.openxmlformats.org/officeDocument/2006/relationships/hyperlink" Target="https://m.stock.naver.com/research/company/84956" TargetMode="External"/><Relationship Id="rId9333" Type="http://schemas.openxmlformats.org/officeDocument/2006/relationships/hyperlink" Target="https://m.stock.naver.com/research/company/83894" TargetMode="External"/><Relationship Id="rId11263" Type="http://schemas.openxmlformats.org/officeDocument/2006/relationships/hyperlink" Target="https://m.stock.naver.com/research/company/81956" TargetMode="External"/><Relationship Id="rId12661" Type="http://schemas.openxmlformats.org/officeDocument/2006/relationships/hyperlink" Target="https://m.stock.naver.com/research/company/80547" TargetMode="External"/><Relationship Id="rId13712" Type="http://schemas.openxmlformats.org/officeDocument/2006/relationships/hyperlink" Target="https://m.stock.naver.com/research/company/93462" TargetMode="External"/><Relationship Id="rId1322" Type="http://schemas.openxmlformats.org/officeDocument/2006/relationships/hyperlink" Target="https://m.stock.naver.com/research/company/91933" TargetMode="External"/><Relationship Id="rId2720" Type="http://schemas.openxmlformats.org/officeDocument/2006/relationships/hyperlink" Target="https://m.stock.naver.com/research/company/90534" TargetMode="External"/><Relationship Id="rId12314" Type="http://schemas.openxmlformats.org/officeDocument/2006/relationships/hyperlink" Target="https://m.stock.naver.com/research/company/80895" TargetMode="External"/><Relationship Id="rId4892" Type="http://schemas.openxmlformats.org/officeDocument/2006/relationships/hyperlink" Target="https://m.stock.naver.com/research/company/88348" TargetMode="External"/><Relationship Id="rId5943" Type="http://schemas.openxmlformats.org/officeDocument/2006/relationships/hyperlink" Target="https://m.stock.naver.com/research/company/87297" TargetMode="External"/><Relationship Id="rId14486" Type="http://schemas.openxmlformats.org/officeDocument/2006/relationships/hyperlink" Target="https://m.stock.naver.com/research/company/94424" TargetMode="External"/><Relationship Id="rId15537" Type="http://schemas.openxmlformats.org/officeDocument/2006/relationships/hyperlink" Target="https://m.stock.naver.com/research/company/95499" TargetMode="External"/><Relationship Id="rId2096" Type="http://schemas.openxmlformats.org/officeDocument/2006/relationships/hyperlink" Target="https://m.stock.naver.com/research/company/91159" TargetMode="External"/><Relationship Id="rId3494" Type="http://schemas.openxmlformats.org/officeDocument/2006/relationships/hyperlink" Target="https://m.stock.naver.com/research/company/89757" TargetMode="External"/><Relationship Id="rId4545" Type="http://schemas.openxmlformats.org/officeDocument/2006/relationships/hyperlink" Target="https://m.stock.naver.com/research/company/88695" TargetMode="External"/><Relationship Id="rId13088" Type="http://schemas.openxmlformats.org/officeDocument/2006/relationships/hyperlink" Target="https://m.stock.naver.com/research/company/80119" TargetMode="External"/><Relationship Id="rId14139" Type="http://schemas.openxmlformats.org/officeDocument/2006/relationships/hyperlink" Target="https://m.stock.naver.com/research/company/93989" TargetMode="External"/><Relationship Id="rId3147" Type="http://schemas.openxmlformats.org/officeDocument/2006/relationships/hyperlink" Target="https://m.stock.naver.com/research/company/90104" TargetMode="External"/><Relationship Id="rId7768" Type="http://schemas.openxmlformats.org/officeDocument/2006/relationships/hyperlink" Target="https://m.stock.naver.com/research/company/85471" TargetMode="External"/><Relationship Id="rId8819" Type="http://schemas.openxmlformats.org/officeDocument/2006/relationships/hyperlink" Target="https://m.stock.naver.com/research/company/84418" TargetMode="External"/><Relationship Id="rId10749" Type="http://schemas.openxmlformats.org/officeDocument/2006/relationships/hyperlink" Target="https://m.stock.naver.com/research/company/82471" TargetMode="External"/><Relationship Id="rId14620" Type="http://schemas.openxmlformats.org/officeDocument/2006/relationships/hyperlink" Target="https://m.stock.naver.com/research/company/94557" TargetMode="External"/><Relationship Id="rId9190" Type="http://schemas.openxmlformats.org/officeDocument/2006/relationships/hyperlink" Target="https://m.stock.naver.com/research/company/84040" TargetMode="External"/><Relationship Id="rId12171" Type="http://schemas.openxmlformats.org/officeDocument/2006/relationships/hyperlink" Target="https://m.stock.naver.com/research/company/81040" TargetMode="External"/><Relationship Id="rId13222" Type="http://schemas.openxmlformats.org/officeDocument/2006/relationships/hyperlink" Target="https://m.stock.naver.com/research/company/79985" TargetMode="External"/><Relationship Id="rId2230" Type="http://schemas.openxmlformats.org/officeDocument/2006/relationships/hyperlink" Target="https://m.stock.naver.com/research/company/91025" TargetMode="External"/><Relationship Id="rId15394" Type="http://schemas.openxmlformats.org/officeDocument/2006/relationships/hyperlink" Target="https://m.stock.naver.com/research/company/95393" TargetMode="External"/><Relationship Id="rId202" Type="http://schemas.openxmlformats.org/officeDocument/2006/relationships/hyperlink" Target="https://m.stock.naver.com/research/company/93256" TargetMode="External"/><Relationship Id="rId5453" Type="http://schemas.openxmlformats.org/officeDocument/2006/relationships/hyperlink" Target="https://m.stock.naver.com/research/company/87787" TargetMode="External"/><Relationship Id="rId6504" Type="http://schemas.openxmlformats.org/officeDocument/2006/relationships/hyperlink" Target="https://m.stock.naver.com/research/company/86736" TargetMode="External"/><Relationship Id="rId6851" Type="http://schemas.openxmlformats.org/officeDocument/2006/relationships/hyperlink" Target="https://m.stock.naver.com/research/company/86389" TargetMode="External"/><Relationship Id="rId7902" Type="http://schemas.openxmlformats.org/officeDocument/2006/relationships/hyperlink" Target="https://m.stock.naver.com/research/company/85336" TargetMode="External"/><Relationship Id="rId15047" Type="http://schemas.openxmlformats.org/officeDocument/2006/relationships/hyperlink" Target="https://m.stock.naver.com/research/company/95047" TargetMode="External"/><Relationship Id="rId4055" Type="http://schemas.openxmlformats.org/officeDocument/2006/relationships/hyperlink" Target="https://m.stock.naver.com/research/company/89196" TargetMode="External"/><Relationship Id="rId5106" Type="http://schemas.openxmlformats.org/officeDocument/2006/relationships/hyperlink" Target="https://m.stock.naver.com/research/company/88134" TargetMode="External"/><Relationship Id="rId7278" Type="http://schemas.openxmlformats.org/officeDocument/2006/relationships/hyperlink" Target="https://m.stock.naver.com/research/company/85961" TargetMode="External"/><Relationship Id="rId8676" Type="http://schemas.openxmlformats.org/officeDocument/2006/relationships/hyperlink" Target="https://m.stock.naver.com/research/company/84561" TargetMode="External"/><Relationship Id="rId9727" Type="http://schemas.openxmlformats.org/officeDocument/2006/relationships/hyperlink" Target="https://m.stock.naver.com/research/company/83496" TargetMode="External"/><Relationship Id="rId11657" Type="http://schemas.openxmlformats.org/officeDocument/2006/relationships/hyperlink" Target="https://m.stock.naver.com/research/company/81555" TargetMode="External"/><Relationship Id="rId12708" Type="http://schemas.openxmlformats.org/officeDocument/2006/relationships/hyperlink" Target="https://m.stock.naver.com/research/company/80500" TargetMode="External"/><Relationship Id="rId1716" Type="http://schemas.openxmlformats.org/officeDocument/2006/relationships/hyperlink" Target="https://m.stock.naver.com/research/company/91539" TargetMode="External"/><Relationship Id="rId8329" Type="http://schemas.openxmlformats.org/officeDocument/2006/relationships/hyperlink" Target="https://m.stock.naver.com/research/company/84909" TargetMode="External"/><Relationship Id="rId10259" Type="http://schemas.openxmlformats.org/officeDocument/2006/relationships/hyperlink" Target="https://m.stock.naver.com/research/company/82962" TargetMode="External"/><Relationship Id="rId14130" Type="http://schemas.openxmlformats.org/officeDocument/2006/relationships/hyperlink" Target="https://m.stock.naver.com/research/company/93998" TargetMode="External"/><Relationship Id="rId3888" Type="http://schemas.openxmlformats.org/officeDocument/2006/relationships/hyperlink" Target="https://m.stock.naver.com/research/company/89363" TargetMode="External"/><Relationship Id="rId4939" Type="http://schemas.openxmlformats.org/officeDocument/2006/relationships/hyperlink" Target="https://m.stock.naver.com/research/company/88301" TargetMode="External"/><Relationship Id="rId8810" Type="http://schemas.openxmlformats.org/officeDocument/2006/relationships/hyperlink" Target="https://m.stock.naver.com/research/company/84427" TargetMode="External"/><Relationship Id="rId6361" Type="http://schemas.openxmlformats.org/officeDocument/2006/relationships/hyperlink" Target="https://m.stock.naver.com/research/company/86879" TargetMode="External"/><Relationship Id="rId7412" Type="http://schemas.openxmlformats.org/officeDocument/2006/relationships/hyperlink" Target="https://m.stock.naver.com/research/company/85827" TargetMode="External"/><Relationship Id="rId10740" Type="http://schemas.openxmlformats.org/officeDocument/2006/relationships/hyperlink" Target="https://m.stock.naver.com/research/company/82480" TargetMode="External"/><Relationship Id="rId6014" Type="http://schemas.openxmlformats.org/officeDocument/2006/relationships/hyperlink" Target="https://m.stock.naver.com/research/company/87226" TargetMode="External"/><Relationship Id="rId9584" Type="http://schemas.openxmlformats.org/officeDocument/2006/relationships/hyperlink" Target="https://m.stock.naver.com/research/company/83643" TargetMode="External"/><Relationship Id="rId13963" Type="http://schemas.openxmlformats.org/officeDocument/2006/relationships/hyperlink" Target="https://m.stock.naver.com/research/company/93769" TargetMode="External"/><Relationship Id="rId2971" Type="http://schemas.openxmlformats.org/officeDocument/2006/relationships/hyperlink" Target="https://m.stock.naver.com/research/company/90282" TargetMode="External"/><Relationship Id="rId8186" Type="http://schemas.openxmlformats.org/officeDocument/2006/relationships/hyperlink" Target="https://m.stock.naver.com/research/company/85052" TargetMode="External"/><Relationship Id="rId9237" Type="http://schemas.openxmlformats.org/officeDocument/2006/relationships/hyperlink" Target="https://m.stock.naver.com/research/company/83992" TargetMode="External"/><Relationship Id="rId12565" Type="http://schemas.openxmlformats.org/officeDocument/2006/relationships/hyperlink" Target="https://m.stock.naver.com/research/company/80643" TargetMode="External"/><Relationship Id="rId13616" Type="http://schemas.openxmlformats.org/officeDocument/2006/relationships/hyperlink" Target="https://m.stock.naver.com/research/company/79588" TargetMode="External"/><Relationship Id="rId943" Type="http://schemas.openxmlformats.org/officeDocument/2006/relationships/hyperlink" Target="https://m.stock.naver.com/research/company/92513" TargetMode="External"/><Relationship Id="rId1573" Type="http://schemas.openxmlformats.org/officeDocument/2006/relationships/hyperlink" Target="https://m.stock.naver.com/research/company/91682" TargetMode="External"/><Relationship Id="rId2624" Type="http://schemas.openxmlformats.org/officeDocument/2006/relationships/hyperlink" Target="https://m.stock.naver.com/research/company/90630" TargetMode="External"/><Relationship Id="rId11167" Type="http://schemas.openxmlformats.org/officeDocument/2006/relationships/hyperlink" Target="https://m.stock.naver.com/research/company/82053" TargetMode="External"/><Relationship Id="rId12218" Type="http://schemas.openxmlformats.org/officeDocument/2006/relationships/hyperlink" Target="https://m.stock.naver.com/research/company/80992" TargetMode="External"/><Relationship Id="rId1226" Type="http://schemas.openxmlformats.org/officeDocument/2006/relationships/hyperlink" Target="https://m.stock.naver.com/research/company/92029" TargetMode="External"/><Relationship Id="rId4796" Type="http://schemas.openxmlformats.org/officeDocument/2006/relationships/hyperlink" Target="https://m.stock.naver.com/research/company/88444" TargetMode="External"/><Relationship Id="rId5847" Type="http://schemas.openxmlformats.org/officeDocument/2006/relationships/hyperlink" Target="https://m.stock.naver.com/research/company/87393" TargetMode="External"/><Relationship Id="rId3398" Type="http://schemas.openxmlformats.org/officeDocument/2006/relationships/hyperlink" Target="https://m.stock.naver.com/research/company/89853" TargetMode="External"/><Relationship Id="rId4449" Type="http://schemas.openxmlformats.org/officeDocument/2006/relationships/hyperlink" Target="https://m.stock.naver.com/research/company/88791" TargetMode="External"/><Relationship Id="rId8320" Type="http://schemas.openxmlformats.org/officeDocument/2006/relationships/hyperlink" Target="https://m.stock.naver.com/research/company/84918" TargetMode="External"/><Relationship Id="rId10250" Type="http://schemas.openxmlformats.org/officeDocument/2006/relationships/hyperlink" Target="https://m.stock.naver.com/research/company/82971" TargetMode="External"/><Relationship Id="rId11301" Type="http://schemas.openxmlformats.org/officeDocument/2006/relationships/hyperlink" Target="https://m.stock.naver.com/research/company/81918" TargetMode="External"/><Relationship Id="rId13473" Type="http://schemas.openxmlformats.org/officeDocument/2006/relationships/hyperlink" Target="https://m.stock.naver.com/research/company/79731" TargetMode="External"/><Relationship Id="rId14871" Type="http://schemas.openxmlformats.org/officeDocument/2006/relationships/hyperlink" Target="https://m.stock.naver.com/research/company/94753" TargetMode="External"/><Relationship Id="rId2481" Type="http://schemas.openxmlformats.org/officeDocument/2006/relationships/hyperlink" Target="https://m.stock.naver.com/research/company/90773" TargetMode="External"/><Relationship Id="rId3532" Type="http://schemas.openxmlformats.org/officeDocument/2006/relationships/hyperlink" Target="https://m.stock.naver.com/research/company/89719" TargetMode="External"/><Relationship Id="rId4930" Type="http://schemas.openxmlformats.org/officeDocument/2006/relationships/hyperlink" Target="https://m.stock.naver.com/research/company/88310" TargetMode="External"/><Relationship Id="rId9094" Type="http://schemas.openxmlformats.org/officeDocument/2006/relationships/hyperlink" Target="https://m.stock.naver.com/research/company/84136" TargetMode="External"/><Relationship Id="rId12075" Type="http://schemas.openxmlformats.org/officeDocument/2006/relationships/hyperlink" Target="https://m.stock.naver.com/research/company/81136" TargetMode="External"/><Relationship Id="rId13126" Type="http://schemas.openxmlformats.org/officeDocument/2006/relationships/hyperlink" Target="https://m.stock.naver.com/research/company/80081" TargetMode="External"/><Relationship Id="rId14524" Type="http://schemas.openxmlformats.org/officeDocument/2006/relationships/hyperlink" Target="https://m.stock.naver.com/research/company/94386" TargetMode="External"/><Relationship Id="rId453" Type="http://schemas.openxmlformats.org/officeDocument/2006/relationships/hyperlink" Target="https://m.stock.naver.com/research/company/93004" TargetMode="External"/><Relationship Id="rId1083" Type="http://schemas.openxmlformats.org/officeDocument/2006/relationships/hyperlink" Target="https://m.stock.naver.com/research/company/92173" TargetMode="External"/><Relationship Id="rId2134" Type="http://schemas.openxmlformats.org/officeDocument/2006/relationships/hyperlink" Target="https://m.stock.naver.com/research/company/91121" TargetMode="External"/><Relationship Id="rId106" Type="http://schemas.openxmlformats.org/officeDocument/2006/relationships/hyperlink" Target="https://m.stock.naver.com/research/company/93352" TargetMode="External"/><Relationship Id="rId5357" Type="http://schemas.openxmlformats.org/officeDocument/2006/relationships/hyperlink" Target="https://m.stock.naver.com/research/company/87883" TargetMode="External"/><Relationship Id="rId6755" Type="http://schemas.openxmlformats.org/officeDocument/2006/relationships/hyperlink" Target="https://m.stock.naver.com/research/company/86485" TargetMode="External"/><Relationship Id="rId7806" Type="http://schemas.openxmlformats.org/officeDocument/2006/relationships/hyperlink" Target="https://m.stock.naver.com/research/company/85432" TargetMode="External"/><Relationship Id="rId15298" Type="http://schemas.openxmlformats.org/officeDocument/2006/relationships/hyperlink" Target="https://m.stock.naver.com/research/company/95062" TargetMode="External"/><Relationship Id="rId6408" Type="http://schemas.openxmlformats.org/officeDocument/2006/relationships/hyperlink" Target="https://m.stock.naver.com/research/company/86832" TargetMode="External"/><Relationship Id="rId9978" Type="http://schemas.openxmlformats.org/officeDocument/2006/relationships/hyperlink" Target="https://m.stock.naver.com/research/company/83243" TargetMode="External"/><Relationship Id="rId12959" Type="http://schemas.openxmlformats.org/officeDocument/2006/relationships/hyperlink" Target="https://m.stock.naver.com/research/company/80249" TargetMode="External"/><Relationship Id="rId1967" Type="http://schemas.openxmlformats.org/officeDocument/2006/relationships/hyperlink" Target="https://m.stock.naver.com/research/company/91288" TargetMode="External"/><Relationship Id="rId14381" Type="http://schemas.openxmlformats.org/officeDocument/2006/relationships/hyperlink" Target="https://m.stock.naver.com/research/company/94231" TargetMode="External"/><Relationship Id="rId15432" Type="http://schemas.openxmlformats.org/officeDocument/2006/relationships/hyperlink" Target="https://m.stock.naver.com/research/company/95355" TargetMode="External"/><Relationship Id="rId4440" Type="http://schemas.openxmlformats.org/officeDocument/2006/relationships/hyperlink" Target="https://m.stock.naver.com/research/company/88801" TargetMode="External"/><Relationship Id="rId14034" Type="http://schemas.openxmlformats.org/officeDocument/2006/relationships/hyperlink" Target="https://m.stock.naver.com/research/company/93813" TargetMode="External"/><Relationship Id="rId3042" Type="http://schemas.openxmlformats.org/officeDocument/2006/relationships/hyperlink" Target="https://m.stock.naver.com/research/company/90209" TargetMode="External"/><Relationship Id="rId7663" Type="http://schemas.openxmlformats.org/officeDocument/2006/relationships/hyperlink" Target="https://m.stock.naver.com/research/company/85576" TargetMode="External"/><Relationship Id="rId8714" Type="http://schemas.openxmlformats.org/officeDocument/2006/relationships/hyperlink" Target="https://m.stock.naver.com/research/company/84523" TargetMode="External"/><Relationship Id="rId10991" Type="http://schemas.openxmlformats.org/officeDocument/2006/relationships/hyperlink" Target="https://m.stock.naver.com/research/company/82229" TargetMode="External"/><Relationship Id="rId6265" Type="http://schemas.openxmlformats.org/officeDocument/2006/relationships/hyperlink" Target="https://m.stock.naver.com/research/company/86975" TargetMode="External"/><Relationship Id="rId7316" Type="http://schemas.openxmlformats.org/officeDocument/2006/relationships/hyperlink" Target="https://m.stock.naver.com/research/company/85923" TargetMode="External"/><Relationship Id="rId10644" Type="http://schemas.openxmlformats.org/officeDocument/2006/relationships/hyperlink" Target="https://m.stock.naver.com/research/company/82576" TargetMode="External"/><Relationship Id="rId9488" Type="http://schemas.openxmlformats.org/officeDocument/2006/relationships/hyperlink" Target="https://m.stock.naver.com/research/company/83739" TargetMode="External"/><Relationship Id="rId13867" Type="http://schemas.openxmlformats.org/officeDocument/2006/relationships/hyperlink" Target="https://m.stock.naver.com/research/company/93660" TargetMode="External"/><Relationship Id="rId14918" Type="http://schemas.openxmlformats.org/officeDocument/2006/relationships/hyperlink" Target="https://m.stock.naver.com/research/company/94916" TargetMode="External"/><Relationship Id="rId2875" Type="http://schemas.openxmlformats.org/officeDocument/2006/relationships/hyperlink" Target="https://m.stock.naver.com/research/company/90378" TargetMode="External"/><Relationship Id="rId3926" Type="http://schemas.openxmlformats.org/officeDocument/2006/relationships/hyperlink" Target="https://m.stock.naver.com/research/company/89325" TargetMode="External"/><Relationship Id="rId12469" Type="http://schemas.openxmlformats.org/officeDocument/2006/relationships/hyperlink" Target="https://m.stock.naver.com/research/company/80739" TargetMode="External"/><Relationship Id="rId847" Type="http://schemas.openxmlformats.org/officeDocument/2006/relationships/hyperlink" Target="https://m.stock.naver.com/research/company/92609" TargetMode="External"/><Relationship Id="rId1477" Type="http://schemas.openxmlformats.org/officeDocument/2006/relationships/hyperlink" Target="https://m.stock.naver.com/research/company/91778" TargetMode="External"/><Relationship Id="rId2528" Type="http://schemas.openxmlformats.org/officeDocument/2006/relationships/hyperlink" Target="https://m.stock.naver.com/research/company/90726" TargetMode="External"/><Relationship Id="rId5001" Type="http://schemas.openxmlformats.org/officeDocument/2006/relationships/hyperlink" Target="https://m.stock.naver.com/research/company/88239" TargetMode="External"/><Relationship Id="rId8571" Type="http://schemas.openxmlformats.org/officeDocument/2006/relationships/hyperlink" Target="https://m.stock.naver.com/research/company/84666" TargetMode="External"/><Relationship Id="rId9622" Type="http://schemas.openxmlformats.org/officeDocument/2006/relationships/hyperlink" Target="https://m.stock.naver.com/research/company/83603" TargetMode="External"/><Relationship Id="rId11552" Type="http://schemas.openxmlformats.org/officeDocument/2006/relationships/hyperlink" Target="https://m.stock.naver.com/research/company/81662" TargetMode="External"/><Relationship Id="rId12950" Type="http://schemas.openxmlformats.org/officeDocument/2006/relationships/hyperlink" Target="https://m.stock.naver.com/research/company/80258" TargetMode="External"/><Relationship Id="rId1611" Type="http://schemas.openxmlformats.org/officeDocument/2006/relationships/hyperlink" Target="https://m.stock.naver.com/research/company/91644" TargetMode="External"/><Relationship Id="rId7173" Type="http://schemas.openxmlformats.org/officeDocument/2006/relationships/hyperlink" Target="https://m.stock.naver.com/research/company/86066" TargetMode="External"/><Relationship Id="rId8224" Type="http://schemas.openxmlformats.org/officeDocument/2006/relationships/hyperlink" Target="https://m.stock.naver.com/research/company/85014" TargetMode="External"/><Relationship Id="rId10154" Type="http://schemas.openxmlformats.org/officeDocument/2006/relationships/hyperlink" Target="https://m.stock.naver.com/research/company/83067" TargetMode="External"/><Relationship Id="rId11205" Type="http://schemas.openxmlformats.org/officeDocument/2006/relationships/hyperlink" Target="https://m.stock.naver.com/research/company/82015" TargetMode="External"/><Relationship Id="rId12603" Type="http://schemas.openxmlformats.org/officeDocument/2006/relationships/hyperlink" Target="https://m.stock.naver.com/research/company/80605" TargetMode="External"/><Relationship Id="rId14775" Type="http://schemas.openxmlformats.org/officeDocument/2006/relationships/hyperlink" Target="https://m.stock.naver.com/research/company/94625" TargetMode="External"/><Relationship Id="rId2385" Type="http://schemas.openxmlformats.org/officeDocument/2006/relationships/hyperlink" Target="https://m.stock.naver.com/research/company/90869" TargetMode="External"/><Relationship Id="rId3783" Type="http://schemas.openxmlformats.org/officeDocument/2006/relationships/hyperlink" Target="https://m.stock.naver.com/research/company/89468" TargetMode="External"/><Relationship Id="rId4834" Type="http://schemas.openxmlformats.org/officeDocument/2006/relationships/hyperlink" Target="https://m.stock.naver.com/research/company/88406" TargetMode="External"/><Relationship Id="rId13377" Type="http://schemas.openxmlformats.org/officeDocument/2006/relationships/hyperlink" Target="https://m.stock.naver.com/research/company/79828" TargetMode="External"/><Relationship Id="rId14428" Type="http://schemas.openxmlformats.org/officeDocument/2006/relationships/hyperlink" Target="https://m.stock.naver.com/research/company/94483" TargetMode="External"/><Relationship Id="rId357" Type="http://schemas.openxmlformats.org/officeDocument/2006/relationships/hyperlink" Target="https://m.stock.naver.com/research/company/93101" TargetMode="External"/><Relationship Id="rId2038" Type="http://schemas.openxmlformats.org/officeDocument/2006/relationships/hyperlink" Target="https://m.stock.naver.com/research/company/91217" TargetMode="External"/><Relationship Id="rId3436" Type="http://schemas.openxmlformats.org/officeDocument/2006/relationships/hyperlink" Target="https://m.stock.naver.com/research/company/89815" TargetMode="External"/><Relationship Id="rId6659" Type="http://schemas.openxmlformats.org/officeDocument/2006/relationships/hyperlink" Target="https://m.stock.naver.com/research/company/86581" TargetMode="External"/><Relationship Id="rId12460" Type="http://schemas.openxmlformats.org/officeDocument/2006/relationships/hyperlink" Target="https://m.stock.naver.com/research/company/80749" TargetMode="External"/><Relationship Id="rId13511" Type="http://schemas.openxmlformats.org/officeDocument/2006/relationships/hyperlink" Target="https://m.stock.naver.com/research/company/79693" TargetMode="External"/><Relationship Id="rId8081" Type="http://schemas.openxmlformats.org/officeDocument/2006/relationships/hyperlink" Target="https://m.stock.naver.com/research/company/85157" TargetMode="External"/><Relationship Id="rId9132" Type="http://schemas.openxmlformats.org/officeDocument/2006/relationships/hyperlink" Target="https://m.stock.naver.com/research/company/84098" TargetMode="External"/><Relationship Id="rId11062" Type="http://schemas.openxmlformats.org/officeDocument/2006/relationships/hyperlink" Target="https://m.stock.naver.com/research/company/82158" TargetMode="External"/><Relationship Id="rId12113" Type="http://schemas.openxmlformats.org/officeDocument/2006/relationships/hyperlink" Target="https://m.stock.naver.com/research/company/81098" TargetMode="External"/><Relationship Id="rId15683" Type="http://schemas.openxmlformats.org/officeDocument/2006/relationships/hyperlink" Target="https://m.stock.naver.com/research/company/95731" TargetMode="External"/><Relationship Id="rId1121" Type="http://schemas.openxmlformats.org/officeDocument/2006/relationships/hyperlink" Target="https://m.stock.naver.com/research/company/92134" TargetMode="External"/><Relationship Id="rId4691" Type="http://schemas.openxmlformats.org/officeDocument/2006/relationships/hyperlink" Target="https://m.stock.naver.com/research/company/88549" TargetMode="External"/><Relationship Id="rId5742" Type="http://schemas.openxmlformats.org/officeDocument/2006/relationships/hyperlink" Target="https://m.stock.naver.com/research/company/87498" TargetMode="External"/><Relationship Id="rId14285" Type="http://schemas.openxmlformats.org/officeDocument/2006/relationships/hyperlink" Target="https://m.stock.naver.com/research/company/94179" TargetMode="External"/><Relationship Id="rId15336" Type="http://schemas.openxmlformats.org/officeDocument/2006/relationships/hyperlink" Target="https://m.stock.naver.com/research/company/95252" TargetMode="External"/><Relationship Id="rId3293" Type="http://schemas.openxmlformats.org/officeDocument/2006/relationships/hyperlink" Target="https://m.stock.naver.com/research/company/89957" TargetMode="External"/><Relationship Id="rId4344" Type="http://schemas.openxmlformats.org/officeDocument/2006/relationships/hyperlink" Target="https://m.stock.naver.com/research/company/88897" TargetMode="External"/><Relationship Id="rId7567" Type="http://schemas.openxmlformats.org/officeDocument/2006/relationships/hyperlink" Target="https://m.stock.naver.com/research/company/85672" TargetMode="External"/><Relationship Id="rId8965" Type="http://schemas.openxmlformats.org/officeDocument/2006/relationships/hyperlink" Target="https://m.stock.naver.com/research/company/84267" TargetMode="External"/><Relationship Id="rId10895" Type="http://schemas.openxmlformats.org/officeDocument/2006/relationships/hyperlink" Target="https://m.stock.naver.com/research/company/82325" TargetMode="External"/><Relationship Id="rId11946" Type="http://schemas.openxmlformats.org/officeDocument/2006/relationships/hyperlink" Target="https://m.stock.naver.com/research/company/81265" TargetMode="External"/><Relationship Id="rId6169" Type="http://schemas.openxmlformats.org/officeDocument/2006/relationships/hyperlink" Target="https://m.stock.naver.com/research/company/87071" TargetMode="External"/><Relationship Id="rId8618" Type="http://schemas.openxmlformats.org/officeDocument/2006/relationships/hyperlink" Target="https://m.stock.naver.com/research/company/84619" TargetMode="External"/><Relationship Id="rId10548" Type="http://schemas.openxmlformats.org/officeDocument/2006/relationships/hyperlink" Target="https://m.stock.naver.com/research/company/82672" TargetMode="External"/><Relationship Id="rId13021" Type="http://schemas.openxmlformats.org/officeDocument/2006/relationships/hyperlink" Target="https://m.stock.naver.com/research/company/80186" TargetMode="External"/><Relationship Id="rId2779" Type="http://schemas.openxmlformats.org/officeDocument/2006/relationships/hyperlink" Target="https://m.stock.naver.com/research/company/90475" TargetMode="External"/><Relationship Id="rId6650" Type="http://schemas.openxmlformats.org/officeDocument/2006/relationships/hyperlink" Target="https://m.stock.naver.com/research/company/86590" TargetMode="External"/><Relationship Id="rId7701" Type="http://schemas.openxmlformats.org/officeDocument/2006/relationships/hyperlink" Target="https://m.stock.naver.com/research/company/85538" TargetMode="External"/><Relationship Id="rId15193" Type="http://schemas.openxmlformats.org/officeDocument/2006/relationships/hyperlink" Target="https://m.stock.naver.com/research/company/95167" TargetMode="External"/><Relationship Id="rId5252" Type="http://schemas.openxmlformats.org/officeDocument/2006/relationships/hyperlink" Target="https://m.stock.naver.com/research/company/87988" TargetMode="External"/><Relationship Id="rId6303" Type="http://schemas.openxmlformats.org/officeDocument/2006/relationships/hyperlink" Target="https://m.stock.naver.com/research/company/86937" TargetMode="External"/><Relationship Id="rId9873" Type="http://schemas.openxmlformats.org/officeDocument/2006/relationships/hyperlink" Target="https://m.stock.naver.com/research/company/83349" TargetMode="External"/><Relationship Id="rId87" Type="http://schemas.openxmlformats.org/officeDocument/2006/relationships/hyperlink" Target="https://m.stock.naver.com/research/company/93371" TargetMode="External"/><Relationship Id="rId8475" Type="http://schemas.openxmlformats.org/officeDocument/2006/relationships/hyperlink" Target="https://m.stock.naver.com/research/company/84762" TargetMode="External"/><Relationship Id="rId9526" Type="http://schemas.openxmlformats.org/officeDocument/2006/relationships/hyperlink" Target="https://m.stock.naver.com/research/company/83701" TargetMode="External"/><Relationship Id="rId12854" Type="http://schemas.openxmlformats.org/officeDocument/2006/relationships/hyperlink" Target="https://m.stock.naver.com/research/company/80354" TargetMode="External"/><Relationship Id="rId13905" Type="http://schemas.openxmlformats.org/officeDocument/2006/relationships/hyperlink" Target="https://m.stock.naver.com/research/company/93697" TargetMode="External"/><Relationship Id="rId1862" Type="http://schemas.openxmlformats.org/officeDocument/2006/relationships/hyperlink" Target="https://m.stock.naver.com/research/company/91393" TargetMode="External"/><Relationship Id="rId2913" Type="http://schemas.openxmlformats.org/officeDocument/2006/relationships/hyperlink" Target="https://m.stock.naver.com/research/company/90340" TargetMode="External"/><Relationship Id="rId7077" Type="http://schemas.openxmlformats.org/officeDocument/2006/relationships/hyperlink" Target="https://m.stock.naver.com/research/company/86162" TargetMode="External"/><Relationship Id="rId8128" Type="http://schemas.openxmlformats.org/officeDocument/2006/relationships/hyperlink" Target="https://m.stock.naver.com/research/company/85110" TargetMode="External"/><Relationship Id="rId10058" Type="http://schemas.openxmlformats.org/officeDocument/2006/relationships/hyperlink" Target="https://m.stock.naver.com/research/company/83163" TargetMode="External"/><Relationship Id="rId11456" Type="http://schemas.openxmlformats.org/officeDocument/2006/relationships/hyperlink" Target="https://m.stock.naver.com/research/company/81759" TargetMode="External"/><Relationship Id="rId12507" Type="http://schemas.openxmlformats.org/officeDocument/2006/relationships/hyperlink" Target="https://m.stock.naver.com/research/company/80701" TargetMode="External"/><Relationship Id="rId1515" Type="http://schemas.openxmlformats.org/officeDocument/2006/relationships/hyperlink" Target="https://m.stock.naver.com/research/company/91740" TargetMode="External"/><Relationship Id="rId11109" Type="http://schemas.openxmlformats.org/officeDocument/2006/relationships/hyperlink" Target="https://m.stock.naver.com/research/company/82111" TargetMode="External"/><Relationship Id="rId14679" Type="http://schemas.openxmlformats.org/officeDocument/2006/relationships/hyperlink" Target="https://m.stock.naver.com/research/company/94499" TargetMode="External"/><Relationship Id="rId3687" Type="http://schemas.openxmlformats.org/officeDocument/2006/relationships/hyperlink" Target="https://m.stock.naver.com/research/company/89564" TargetMode="External"/><Relationship Id="rId4738" Type="http://schemas.openxmlformats.org/officeDocument/2006/relationships/hyperlink" Target="https://m.stock.naver.com/research/company/88502" TargetMode="External"/><Relationship Id="rId2289" Type="http://schemas.openxmlformats.org/officeDocument/2006/relationships/hyperlink" Target="https://m.stock.naver.com/research/company/90966" TargetMode="External"/><Relationship Id="rId6160" Type="http://schemas.openxmlformats.org/officeDocument/2006/relationships/hyperlink" Target="https://m.stock.naver.com/research/company/87080" TargetMode="External"/><Relationship Id="rId7211" Type="http://schemas.openxmlformats.org/officeDocument/2006/relationships/hyperlink" Target="https://m.stock.naver.com/research/company/86028" TargetMode="External"/><Relationship Id="rId13762" Type="http://schemas.openxmlformats.org/officeDocument/2006/relationships/hyperlink" Target="https://m.stock.naver.com/research/company/93545" TargetMode="External"/><Relationship Id="rId2770" Type="http://schemas.openxmlformats.org/officeDocument/2006/relationships/hyperlink" Target="https://m.stock.naver.com/research/company/90484" TargetMode="External"/><Relationship Id="rId3821" Type="http://schemas.openxmlformats.org/officeDocument/2006/relationships/hyperlink" Target="https://m.stock.naver.com/research/company/89430" TargetMode="External"/><Relationship Id="rId9383" Type="http://schemas.openxmlformats.org/officeDocument/2006/relationships/hyperlink" Target="https://m.stock.naver.com/research/company/83844" TargetMode="External"/><Relationship Id="rId12364" Type="http://schemas.openxmlformats.org/officeDocument/2006/relationships/hyperlink" Target="https://m.stock.naver.com/research/company/80845" TargetMode="External"/><Relationship Id="rId13415" Type="http://schemas.openxmlformats.org/officeDocument/2006/relationships/hyperlink" Target="https://m.stock.naver.com/research/company/79790" TargetMode="External"/><Relationship Id="rId14813" Type="http://schemas.openxmlformats.org/officeDocument/2006/relationships/hyperlink" Target="https://m.stock.naver.com/research/company/94587" TargetMode="External"/><Relationship Id="rId742" Type="http://schemas.openxmlformats.org/officeDocument/2006/relationships/hyperlink" Target="https://m.stock.naver.com/research/company/92714" TargetMode="External"/><Relationship Id="rId1372" Type="http://schemas.openxmlformats.org/officeDocument/2006/relationships/hyperlink" Target="https://m.stock.naver.com/research/company/91883" TargetMode="External"/><Relationship Id="rId2423" Type="http://schemas.openxmlformats.org/officeDocument/2006/relationships/hyperlink" Target="https://m.stock.naver.com/research/company/90831" TargetMode="External"/><Relationship Id="rId9036" Type="http://schemas.openxmlformats.org/officeDocument/2006/relationships/hyperlink" Target="https://m.stock.naver.com/research/company/84196" TargetMode="External"/><Relationship Id="rId12017" Type="http://schemas.openxmlformats.org/officeDocument/2006/relationships/hyperlink" Target="https://m.stock.naver.com/research/company/81194" TargetMode="External"/><Relationship Id="rId1025" Type="http://schemas.openxmlformats.org/officeDocument/2006/relationships/hyperlink" Target="https://m.stock.naver.com/research/company/92326" TargetMode="External"/><Relationship Id="rId4595" Type="http://schemas.openxmlformats.org/officeDocument/2006/relationships/hyperlink" Target="https://m.stock.naver.com/research/company/88645" TargetMode="External"/><Relationship Id="rId5646" Type="http://schemas.openxmlformats.org/officeDocument/2006/relationships/hyperlink" Target="https://m.stock.naver.com/research/company/87594" TargetMode="External"/><Relationship Id="rId5993" Type="http://schemas.openxmlformats.org/officeDocument/2006/relationships/hyperlink" Target="https://m.stock.naver.com/research/company/87247" TargetMode="External"/><Relationship Id="rId14189" Type="http://schemas.openxmlformats.org/officeDocument/2006/relationships/hyperlink" Target="https://m.stock.naver.com/research/company/94069" TargetMode="External"/><Relationship Id="rId15587" Type="http://schemas.openxmlformats.org/officeDocument/2006/relationships/hyperlink" Target="https://m.stock.naver.com/research/company/95449" TargetMode="External"/><Relationship Id="rId3197" Type="http://schemas.openxmlformats.org/officeDocument/2006/relationships/hyperlink" Target="https://m.stock.naver.com/research/company/90054" TargetMode="External"/><Relationship Id="rId4248" Type="http://schemas.openxmlformats.org/officeDocument/2006/relationships/hyperlink" Target="https://m.stock.naver.com/research/company/88994" TargetMode="External"/><Relationship Id="rId8869" Type="http://schemas.openxmlformats.org/officeDocument/2006/relationships/hyperlink" Target="https://m.stock.naver.com/research/company/84368" TargetMode="External"/><Relationship Id="rId10799" Type="http://schemas.openxmlformats.org/officeDocument/2006/relationships/hyperlink" Target="https://m.stock.naver.com/research/company/82421" TargetMode="External"/><Relationship Id="rId11100" Type="http://schemas.openxmlformats.org/officeDocument/2006/relationships/hyperlink" Target="https://m.stock.naver.com/research/company/82120" TargetMode="External"/><Relationship Id="rId14670" Type="http://schemas.openxmlformats.org/officeDocument/2006/relationships/hyperlink" Target="https://m.stock.naver.com/research/company/94508" TargetMode="External"/><Relationship Id="rId15721" Type="http://schemas.openxmlformats.org/officeDocument/2006/relationships/hyperlink" Target="https://m.stock.naver.com/research/company/95693" TargetMode="External"/><Relationship Id="rId1909" Type="http://schemas.openxmlformats.org/officeDocument/2006/relationships/hyperlink" Target="https://m.stock.naver.com/research/company/91346" TargetMode="External"/><Relationship Id="rId13272" Type="http://schemas.openxmlformats.org/officeDocument/2006/relationships/hyperlink" Target="https://m.stock.naver.com/research/company/79934" TargetMode="External"/><Relationship Id="rId14323" Type="http://schemas.openxmlformats.org/officeDocument/2006/relationships/hyperlink" Target="https://m.stock.naver.com/research/company/94141" TargetMode="External"/><Relationship Id="rId2280" Type="http://schemas.openxmlformats.org/officeDocument/2006/relationships/hyperlink" Target="https://m.stock.naver.com/research/company/90975" TargetMode="External"/><Relationship Id="rId3331" Type="http://schemas.openxmlformats.org/officeDocument/2006/relationships/hyperlink" Target="https://m.stock.naver.com/research/company/89919" TargetMode="External"/><Relationship Id="rId7952" Type="http://schemas.openxmlformats.org/officeDocument/2006/relationships/hyperlink" Target="https://m.stock.naver.com/research/company/85286" TargetMode="External"/><Relationship Id="rId252" Type="http://schemas.openxmlformats.org/officeDocument/2006/relationships/hyperlink" Target="https://m.stock.naver.com/research/company/93206" TargetMode="External"/><Relationship Id="rId6554" Type="http://schemas.openxmlformats.org/officeDocument/2006/relationships/hyperlink" Target="https://m.stock.naver.com/research/company/86686" TargetMode="External"/><Relationship Id="rId7605" Type="http://schemas.openxmlformats.org/officeDocument/2006/relationships/hyperlink" Target="https://m.stock.naver.com/research/company/85634" TargetMode="External"/><Relationship Id="rId10933" Type="http://schemas.openxmlformats.org/officeDocument/2006/relationships/hyperlink" Target="https://m.stock.naver.com/research/company/82287" TargetMode="External"/><Relationship Id="rId15097" Type="http://schemas.openxmlformats.org/officeDocument/2006/relationships/hyperlink" Target="https://m.stock.naver.com/research/company/94997" TargetMode="External"/><Relationship Id="rId5156" Type="http://schemas.openxmlformats.org/officeDocument/2006/relationships/hyperlink" Target="https://m.stock.naver.com/research/company/88084" TargetMode="External"/><Relationship Id="rId6207" Type="http://schemas.openxmlformats.org/officeDocument/2006/relationships/hyperlink" Target="https://m.stock.naver.com/research/company/87033" TargetMode="External"/><Relationship Id="rId9777" Type="http://schemas.openxmlformats.org/officeDocument/2006/relationships/hyperlink" Target="https://m.stock.naver.com/research/company/83446" TargetMode="External"/><Relationship Id="rId8379" Type="http://schemas.openxmlformats.org/officeDocument/2006/relationships/hyperlink" Target="https://m.stock.naver.com/research/company/84859" TargetMode="External"/><Relationship Id="rId12758" Type="http://schemas.openxmlformats.org/officeDocument/2006/relationships/hyperlink" Target="https://m.stock.naver.com/research/company/80450" TargetMode="External"/><Relationship Id="rId13809" Type="http://schemas.openxmlformats.org/officeDocument/2006/relationships/hyperlink" Target="https://m.stock.naver.com/research/company/93569" TargetMode="External"/><Relationship Id="rId1766" Type="http://schemas.openxmlformats.org/officeDocument/2006/relationships/hyperlink" Target="https://m.stock.naver.com/research/company/91489" TargetMode="External"/><Relationship Id="rId2817" Type="http://schemas.openxmlformats.org/officeDocument/2006/relationships/hyperlink" Target="https://m.stock.naver.com/research/company/90436" TargetMode="External"/><Relationship Id="rId14180" Type="http://schemas.openxmlformats.org/officeDocument/2006/relationships/hyperlink" Target="https://m.stock.naver.com/research/company/94078" TargetMode="External"/><Relationship Id="rId15231" Type="http://schemas.openxmlformats.org/officeDocument/2006/relationships/hyperlink" Target="https://m.stock.naver.com/research/company/95129" TargetMode="External"/><Relationship Id="rId1419" Type="http://schemas.openxmlformats.org/officeDocument/2006/relationships/hyperlink" Target="https://m.stock.naver.com/research/company/91836" TargetMode="External"/><Relationship Id="rId4989" Type="http://schemas.openxmlformats.org/officeDocument/2006/relationships/hyperlink" Target="https://m.stock.naver.com/research/company/88251" TargetMode="External"/><Relationship Id="rId8860" Type="http://schemas.openxmlformats.org/officeDocument/2006/relationships/hyperlink" Target="https://m.stock.naver.com/research/company/84377" TargetMode="External"/><Relationship Id="rId9911" Type="http://schemas.openxmlformats.org/officeDocument/2006/relationships/hyperlink" Target="https://m.stock.naver.com/research/company/83311" TargetMode="External"/><Relationship Id="rId10790" Type="http://schemas.openxmlformats.org/officeDocument/2006/relationships/hyperlink" Target="https://m.stock.naver.com/research/company/82430" TargetMode="External"/><Relationship Id="rId11841" Type="http://schemas.openxmlformats.org/officeDocument/2006/relationships/hyperlink" Target="https://m.stock.naver.com/research/company/81371" TargetMode="External"/><Relationship Id="rId1900" Type="http://schemas.openxmlformats.org/officeDocument/2006/relationships/hyperlink" Target="https://m.stock.naver.com/research/company/91355" TargetMode="External"/><Relationship Id="rId7462" Type="http://schemas.openxmlformats.org/officeDocument/2006/relationships/hyperlink" Target="https://m.stock.naver.com/research/company/85777" TargetMode="External"/><Relationship Id="rId8513" Type="http://schemas.openxmlformats.org/officeDocument/2006/relationships/hyperlink" Target="https://m.stock.naver.com/research/company/84724" TargetMode="External"/><Relationship Id="rId10443" Type="http://schemas.openxmlformats.org/officeDocument/2006/relationships/hyperlink" Target="https://m.stock.naver.com/research/company/82778" TargetMode="External"/><Relationship Id="rId6064" Type="http://schemas.openxmlformats.org/officeDocument/2006/relationships/hyperlink" Target="https://m.stock.naver.com/research/company/87176" TargetMode="External"/><Relationship Id="rId7115" Type="http://schemas.openxmlformats.org/officeDocument/2006/relationships/hyperlink" Target="https://m.stock.naver.com/research/company/86124" TargetMode="External"/><Relationship Id="rId993" Type="http://schemas.openxmlformats.org/officeDocument/2006/relationships/hyperlink" Target="https://m.stock.naver.com/research/company/92463" TargetMode="External"/><Relationship Id="rId2674" Type="http://schemas.openxmlformats.org/officeDocument/2006/relationships/hyperlink" Target="https://m.stock.naver.com/research/company/90580" TargetMode="External"/><Relationship Id="rId9287" Type="http://schemas.openxmlformats.org/officeDocument/2006/relationships/hyperlink" Target="https://m.stock.naver.com/research/company/83940" TargetMode="External"/><Relationship Id="rId12268" Type="http://schemas.openxmlformats.org/officeDocument/2006/relationships/hyperlink" Target="https://m.stock.naver.com/research/company/80941" TargetMode="External"/><Relationship Id="rId13666" Type="http://schemas.openxmlformats.org/officeDocument/2006/relationships/hyperlink" Target="https://m.stock.naver.com/research/company/79538" TargetMode="External"/><Relationship Id="rId14717" Type="http://schemas.openxmlformats.org/officeDocument/2006/relationships/hyperlink" Target="https://m.stock.naver.com/research/company/94683" TargetMode="External"/><Relationship Id="rId646" Type="http://schemas.openxmlformats.org/officeDocument/2006/relationships/hyperlink" Target="https://m.stock.naver.com/research/company/92810" TargetMode="External"/><Relationship Id="rId1276" Type="http://schemas.openxmlformats.org/officeDocument/2006/relationships/hyperlink" Target="https://m.stock.naver.com/research/company/91979" TargetMode="External"/><Relationship Id="rId2327" Type="http://schemas.openxmlformats.org/officeDocument/2006/relationships/hyperlink" Target="https://m.stock.naver.com/research/company/90928" TargetMode="External"/><Relationship Id="rId3725" Type="http://schemas.openxmlformats.org/officeDocument/2006/relationships/hyperlink" Target="https://m.stock.naver.com/research/company/89526" TargetMode="External"/><Relationship Id="rId13319" Type="http://schemas.openxmlformats.org/officeDocument/2006/relationships/hyperlink" Target="https://m.stock.naver.com/research/company/79886" TargetMode="External"/><Relationship Id="rId5897" Type="http://schemas.openxmlformats.org/officeDocument/2006/relationships/hyperlink" Target="https://m.stock.naver.com/research/company/87343" TargetMode="External"/><Relationship Id="rId6948" Type="http://schemas.openxmlformats.org/officeDocument/2006/relationships/hyperlink" Target="https://m.stock.naver.com/research/company/86291" TargetMode="External"/><Relationship Id="rId13800" Type="http://schemas.openxmlformats.org/officeDocument/2006/relationships/hyperlink" Target="https://m.stock.naver.com/research/company/93578" TargetMode="External"/><Relationship Id="rId4499" Type="http://schemas.openxmlformats.org/officeDocument/2006/relationships/hyperlink" Target="https://m.stock.naver.com/research/company/88741" TargetMode="External"/><Relationship Id="rId8370" Type="http://schemas.openxmlformats.org/officeDocument/2006/relationships/hyperlink" Target="https://m.stock.naver.com/research/company/84868" TargetMode="External"/><Relationship Id="rId9421" Type="http://schemas.openxmlformats.org/officeDocument/2006/relationships/hyperlink" Target="https://m.stock.naver.com/research/company/83806" TargetMode="External"/><Relationship Id="rId11351" Type="http://schemas.openxmlformats.org/officeDocument/2006/relationships/hyperlink" Target="https://m.stock.naver.com/research/company/81865" TargetMode="External"/><Relationship Id="rId12402" Type="http://schemas.openxmlformats.org/officeDocument/2006/relationships/hyperlink" Target="https://m.stock.naver.com/research/company/80807" TargetMode="External"/><Relationship Id="rId1410" Type="http://schemas.openxmlformats.org/officeDocument/2006/relationships/hyperlink" Target="https://m.stock.naver.com/research/company/91845" TargetMode="External"/><Relationship Id="rId4980" Type="http://schemas.openxmlformats.org/officeDocument/2006/relationships/hyperlink" Target="https://m.stock.naver.com/research/company/88260" TargetMode="External"/><Relationship Id="rId8023" Type="http://schemas.openxmlformats.org/officeDocument/2006/relationships/hyperlink" Target="https://m.stock.naver.com/research/company/85215" TargetMode="External"/><Relationship Id="rId11004" Type="http://schemas.openxmlformats.org/officeDocument/2006/relationships/hyperlink" Target="https://m.stock.naver.com/research/company/82216" TargetMode="External"/><Relationship Id="rId14574" Type="http://schemas.openxmlformats.org/officeDocument/2006/relationships/hyperlink" Target="https://m.stock.naver.com/research/company/94336" TargetMode="External"/><Relationship Id="rId15625" Type="http://schemas.openxmlformats.org/officeDocument/2006/relationships/hyperlink" Target="https://m.stock.naver.com/research/company/95411" TargetMode="External"/><Relationship Id="rId3582" Type="http://schemas.openxmlformats.org/officeDocument/2006/relationships/hyperlink" Target="https://m.stock.naver.com/research/company/89669" TargetMode="External"/><Relationship Id="rId4633" Type="http://schemas.openxmlformats.org/officeDocument/2006/relationships/hyperlink" Target="https://m.stock.naver.com/research/company/88607" TargetMode="External"/><Relationship Id="rId13176" Type="http://schemas.openxmlformats.org/officeDocument/2006/relationships/hyperlink" Target="https://m.stock.naver.com/research/company/80031" TargetMode="External"/><Relationship Id="rId14227" Type="http://schemas.openxmlformats.org/officeDocument/2006/relationships/hyperlink" Target="https://m.stock.naver.com/research/company/94116" TargetMode="External"/><Relationship Id="rId2184" Type="http://schemas.openxmlformats.org/officeDocument/2006/relationships/hyperlink" Target="https://m.stock.naver.com/research/company/91071" TargetMode="External"/><Relationship Id="rId3235" Type="http://schemas.openxmlformats.org/officeDocument/2006/relationships/hyperlink" Target="https://m.stock.naver.com/research/company/90015" TargetMode="External"/><Relationship Id="rId7856" Type="http://schemas.openxmlformats.org/officeDocument/2006/relationships/hyperlink" Target="https://m.stock.naver.com/research/company/85382" TargetMode="External"/><Relationship Id="rId156" Type="http://schemas.openxmlformats.org/officeDocument/2006/relationships/hyperlink" Target="https://m.stock.naver.com/research/company/93302" TargetMode="External"/><Relationship Id="rId6458" Type="http://schemas.openxmlformats.org/officeDocument/2006/relationships/hyperlink" Target="https://m.stock.naver.com/research/company/86782" TargetMode="External"/><Relationship Id="rId7509" Type="http://schemas.openxmlformats.org/officeDocument/2006/relationships/hyperlink" Target="https://m.stock.naver.com/research/company/85730" TargetMode="External"/><Relationship Id="rId8907" Type="http://schemas.openxmlformats.org/officeDocument/2006/relationships/hyperlink" Target="https://m.stock.naver.com/research/company/84329" TargetMode="External"/><Relationship Id="rId10837" Type="http://schemas.openxmlformats.org/officeDocument/2006/relationships/hyperlink" Target="https://m.stock.naver.com/research/company/82383" TargetMode="External"/><Relationship Id="rId13310" Type="http://schemas.openxmlformats.org/officeDocument/2006/relationships/hyperlink" Target="https://m.stock.naver.com/research/company/79895" TargetMode="External"/><Relationship Id="rId15482" Type="http://schemas.openxmlformats.org/officeDocument/2006/relationships/hyperlink" Target="https://m.stock.naver.com/research/company/95305" TargetMode="External"/><Relationship Id="rId4490" Type="http://schemas.openxmlformats.org/officeDocument/2006/relationships/hyperlink" Target="https://m.stock.naver.com/research/company/88750" TargetMode="External"/><Relationship Id="rId5541" Type="http://schemas.openxmlformats.org/officeDocument/2006/relationships/hyperlink" Target="https://m.stock.naver.com/research/company/87699" TargetMode="External"/><Relationship Id="rId14084" Type="http://schemas.openxmlformats.org/officeDocument/2006/relationships/hyperlink" Target="https://m.stock.naver.com/research/company/93918" TargetMode="External"/><Relationship Id="rId15135" Type="http://schemas.openxmlformats.org/officeDocument/2006/relationships/hyperlink" Target="https://m.stock.naver.com/research/company/94959" TargetMode="External"/><Relationship Id="rId3092" Type="http://schemas.openxmlformats.org/officeDocument/2006/relationships/hyperlink" Target="https://m.stock.naver.com/research/company/90159" TargetMode="External"/><Relationship Id="rId4143" Type="http://schemas.openxmlformats.org/officeDocument/2006/relationships/hyperlink" Target="https://m.stock.naver.com/research/company/89108" TargetMode="External"/><Relationship Id="rId8764" Type="http://schemas.openxmlformats.org/officeDocument/2006/relationships/hyperlink" Target="https://m.stock.naver.com/research/company/84473" TargetMode="External"/><Relationship Id="rId9815" Type="http://schemas.openxmlformats.org/officeDocument/2006/relationships/hyperlink" Target="https://m.stock.naver.com/research/company/83407" TargetMode="External"/><Relationship Id="rId10694" Type="http://schemas.openxmlformats.org/officeDocument/2006/relationships/hyperlink" Target="https://m.stock.naver.com/research/company/82526" TargetMode="External"/><Relationship Id="rId29" Type="http://schemas.openxmlformats.org/officeDocument/2006/relationships/hyperlink" Target="https://m.stock.naver.com/research/company/93429" TargetMode="External"/><Relationship Id="rId7366" Type="http://schemas.openxmlformats.org/officeDocument/2006/relationships/hyperlink" Target="https://m.stock.naver.com/research/company/85873" TargetMode="External"/><Relationship Id="rId8417" Type="http://schemas.openxmlformats.org/officeDocument/2006/relationships/hyperlink" Target="https://m.stock.naver.com/research/company/84821" TargetMode="External"/><Relationship Id="rId10347" Type="http://schemas.openxmlformats.org/officeDocument/2006/relationships/hyperlink" Target="https://m.stock.naver.com/research/company/82874" TargetMode="External"/><Relationship Id="rId11745" Type="http://schemas.openxmlformats.org/officeDocument/2006/relationships/hyperlink" Target="https://m.stock.naver.com/research/company/81467" TargetMode="External"/><Relationship Id="rId1804" Type="http://schemas.openxmlformats.org/officeDocument/2006/relationships/hyperlink" Target="https://m.stock.naver.com/research/company/91451" TargetMode="External"/><Relationship Id="rId7019" Type="http://schemas.openxmlformats.org/officeDocument/2006/relationships/hyperlink" Target="https://m.stock.naver.com/research/company/86220" TargetMode="External"/><Relationship Id="rId14968" Type="http://schemas.openxmlformats.org/officeDocument/2006/relationships/hyperlink" Target="https://m.stock.naver.com/research/company/94866" TargetMode="External"/><Relationship Id="rId3976" Type="http://schemas.openxmlformats.org/officeDocument/2006/relationships/hyperlink" Target="https://m.stock.naver.com/research/company/89275" TargetMode="External"/><Relationship Id="rId897" Type="http://schemas.openxmlformats.org/officeDocument/2006/relationships/hyperlink" Target="https://m.stock.naver.com/research/company/92559" TargetMode="External"/><Relationship Id="rId2578" Type="http://schemas.openxmlformats.org/officeDocument/2006/relationships/hyperlink" Target="https://m.stock.naver.com/research/company/90676" TargetMode="External"/><Relationship Id="rId3629" Type="http://schemas.openxmlformats.org/officeDocument/2006/relationships/hyperlink" Target="https://m.stock.naver.com/research/company/89622" TargetMode="External"/><Relationship Id="rId5051" Type="http://schemas.openxmlformats.org/officeDocument/2006/relationships/hyperlink" Target="https://m.stock.naver.com/research/company/88189" TargetMode="External"/><Relationship Id="rId7500" Type="http://schemas.openxmlformats.org/officeDocument/2006/relationships/hyperlink" Target="https://m.stock.naver.com/research/company/85739" TargetMode="External"/><Relationship Id="rId6102" Type="http://schemas.openxmlformats.org/officeDocument/2006/relationships/hyperlink" Target="https://m.stock.naver.com/research/company/87138" TargetMode="External"/><Relationship Id="rId9672" Type="http://schemas.openxmlformats.org/officeDocument/2006/relationships/hyperlink" Target="https://m.stock.naver.com/research/company/83552" TargetMode="External"/><Relationship Id="rId12653" Type="http://schemas.openxmlformats.org/officeDocument/2006/relationships/hyperlink" Target="https://m.stock.naver.com/research/company/80555" TargetMode="External"/><Relationship Id="rId13704" Type="http://schemas.openxmlformats.org/officeDocument/2006/relationships/hyperlink" Target="https://m.stock.naver.com/research/company/93470" TargetMode="External"/><Relationship Id="rId1661" Type="http://schemas.openxmlformats.org/officeDocument/2006/relationships/hyperlink" Target="https://m.stock.naver.com/research/company/91594" TargetMode="External"/><Relationship Id="rId2712" Type="http://schemas.openxmlformats.org/officeDocument/2006/relationships/hyperlink" Target="https://m.stock.naver.com/research/company/90542" TargetMode="External"/><Relationship Id="rId8274" Type="http://schemas.openxmlformats.org/officeDocument/2006/relationships/hyperlink" Target="https://m.stock.naver.com/research/company/84964" TargetMode="External"/><Relationship Id="rId9325" Type="http://schemas.openxmlformats.org/officeDocument/2006/relationships/hyperlink" Target="https://m.stock.naver.com/research/company/83902" TargetMode="External"/><Relationship Id="rId11255" Type="http://schemas.openxmlformats.org/officeDocument/2006/relationships/hyperlink" Target="https://m.stock.naver.com/research/company/81964" TargetMode="External"/><Relationship Id="rId12306" Type="http://schemas.openxmlformats.org/officeDocument/2006/relationships/hyperlink" Target="https://m.stock.naver.com/research/company/80903" TargetMode="External"/><Relationship Id="rId1314" Type="http://schemas.openxmlformats.org/officeDocument/2006/relationships/hyperlink" Target="https://m.stock.naver.com/research/company/91941" TargetMode="External"/><Relationship Id="rId4884" Type="http://schemas.openxmlformats.org/officeDocument/2006/relationships/hyperlink" Target="https://m.stock.naver.com/research/company/88356" TargetMode="External"/><Relationship Id="rId5935" Type="http://schemas.openxmlformats.org/officeDocument/2006/relationships/hyperlink" Target="https://m.stock.naver.com/research/company/87305" TargetMode="External"/><Relationship Id="rId14478" Type="http://schemas.openxmlformats.org/officeDocument/2006/relationships/hyperlink" Target="https://m.stock.naver.com/research/company/94432" TargetMode="External"/><Relationship Id="rId3486" Type="http://schemas.openxmlformats.org/officeDocument/2006/relationships/hyperlink" Target="https://m.stock.naver.com/research/company/89765" TargetMode="External"/><Relationship Id="rId4537" Type="http://schemas.openxmlformats.org/officeDocument/2006/relationships/hyperlink" Target="https://m.stock.naver.com/research/company/88703" TargetMode="External"/><Relationship Id="rId15529" Type="http://schemas.openxmlformats.org/officeDocument/2006/relationships/hyperlink" Target="https://m.stock.naver.com/research/company/95507" TargetMode="External"/><Relationship Id="rId20" Type="http://schemas.openxmlformats.org/officeDocument/2006/relationships/hyperlink" Target="https://m.stock.naver.com/research/company/93438" TargetMode="External"/><Relationship Id="rId2088" Type="http://schemas.openxmlformats.org/officeDocument/2006/relationships/hyperlink" Target="https://m.stock.naver.com/research/company/91167" TargetMode="External"/><Relationship Id="rId3139" Type="http://schemas.openxmlformats.org/officeDocument/2006/relationships/hyperlink" Target="https://m.stock.naver.com/research/company/90112" TargetMode="External"/><Relationship Id="rId7010" Type="http://schemas.openxmlformats.org/officeDocument/2006/relationships/hyperlink" Target="https://m.stock.naver.com/research/company/86229" TargetMode="External"/><Relationship Id="rId9182" Type="http://schemas.openxmlformats.org/officeDocument/2006/relationships/hyperlink" Target="https://m.stock.naver.com/research/company/84048" TargetMode="External"/><Relationship Id="rId13561" Type="http://schemas.openxmlformats.org/officeDocument/2006/relationships/hyperlink" Target="https://m.stock.naver.com/research/company/79643" TargetMode="External"/><Relationship Id="rId14612" Type="http://schemas.openxmlformats.org/officeDocument/2006/relationships/hyperlink" Target="https://m.stock.naver.com/research/company/94565" TargetMode="External"/><Relationship Id="rId3620" Type="http://schemas.openxmlformats.org/officeDocument/2006/relationships/hyperlink" Target="https://m.stock.naver.com/research/company/89631" TargetMode="External"/><Relationship Id="rId12163" Type="http://schemas.openxmlformats.org/officeDocument/2006/relationships/hyperlink" Target="https://m.stock.naver.com/research/company/81048" TargetMode="External"/><Relationship Id="rId13214" Type="http://schemas.openxmlformats.org/officeDocument/2006/relationships/hyperlink" Target="https://m.stock.naver.com/research/company/79993" TargetMode="External"/><Relationship Id="rId541" Type="http://schemas.openxmlformats.org/officeDocument/2006/relationships/hyperlink" Target="https://m.stock.naver.com/research/company/92916" TargetMode="External"/><Relationship Id="rId1171" Type="http://schemas.openxmlformats.org/officeDocument/2006/relationships/hyperlink" Target="https://m.stock.naver.com/research/company/92084" TargetMode="External"/><Relationship Id="rId2222" Type="http://schemas.openxmlformats.org/officeDocument/2006/relationships/hyperlink" Target="https://m.stock.naver.com/research/company/91033" TargetMode="External"/><Relationship Id="rId5792" Type="http://schemas.openxmlformats.org/officeDocument/2006/relationships/hyperlink" Target="https://m.stock.naver.com/research/company/87448" TargetMode="External"/><Relationship Id="rId6843" Type="http://schemas.openxmlformats.org/officeDocument/2006/relationships/hyperlink" Target="https://m.stock.naver.com/research/company/86397" TargetMode="External"/><Relationship Id="rId15386" Type="http://schemas.openxmlformats.org/officeDocument/2006/relationships/hyperlink" Target="https://m.stock.naver.com/research/company/95401" TargetMode="External"/><Relationship Id="rId4394" Type="http://schemas.openxmlformats.org/officeDocument/2006/relationships/hyperlink" Target="https://m.stock.naver.com/research/company/88847" TargetMode="External"/><Relationship Id="rId5445" Type="http://schemas.openxmlformats.org/officeDocument/2006/relationships/hyperlink" Target="https://m.stock.naver.com/research/company/87795" TargetMode="External"/><Relationship Id="rId15039" Type="http://schemas.openxmlformats.org/officeDocument/2006/relationships/hyperlink" Target="https://m.stock.naver.com/research/company/94929" TargetMode="External"/><Relationship Id="rId4047" Type="http://schemas.openxmlformats.org/officeDocument/2006/relationships/hyperlink" Target="https://m.stock.naver.com/research/company/89204" TargetMode="External"/><Relationship Id="rId8668" Type="http://schemas.openxmlformats.org/officeDocument/2006/relationships/hyperlink" Target="https://m.stock.naver.com/research/company/84569" TargetMode="External"/><Relationship Id="rId9719" Type="http://schemas.openxmlformats.org/officeDocument/2006/relationships/hyperlink" Target="https://m.stock.naver.com/research/company/83504" TargetMode="External"/><Relationship Id="rId11996" Type="http://schemas.openxmlformats.org/officeDocument/2006/relationships/hyperlink" Target="https://m.stock.naver.com/research/company/81215" TargetMode="External"/><Relationship Id="rId10598" Type="http://schemas.openxmlformats.org/officeDocument/2006/relationships/hyperlink" Target="https://m.stock.naver.com/research/company/82622" TargetMode="External"/><Relationship Id="rId11649" Type="http://schemas.openxmlformats.org/officeDocument/2006/relationships/hyperlink" Target="https://m.stock.naver.com/research/company/81563" TargetMode="External"/><Relationship Id="rId13071" Type="http://schemas.openxmlformats.org/officeDocument/2006/relationships/hyperlink" Target="https://m.stock.naver.com/research/company/80136" TargetMode="External"/><Relationship Id="rId15520" Type="http://schemas.openxmlformats.org/officeDocument/2006/relationships/hyperlink" Target="https://m.stock.naver.com/research/company/95516" TargetMode="External"/><Relationship Id="rId1708" Type="http://schemas.openxmlformats.org/officeDocument/2006/relationships/hyperlink" Target="https://m.stock.naver.com/research/company/91547" TargetMode="External"/><Relationship Id="rId3130" Type="http://schemas.openxmlformats.org/officeDocument/2006/relationships/hyperlink" Target="https://m.stock.naver.com/research/company/90121" TargetMode="External"/><Relationship Id="rId14122" Type="http://schemas.openxmlformats.org/officeDocument/2006/relationships/hyperlink" Target="https://m.stock.naver.com/research/company/94006" TargetMode="External"/><Relationship Id="rId7751" Type="http://schemas.openxmlformats.org/officeDocument/2006/relationships/hyperlink" Target="https://m.stock.naver.com/research/company/85488" TargetMode="External"/><Relationship Id="rId8802" Type="http://schemas.openxmlformats.org/officeDocument/2006/relationships/hyperlink" Target="https://m.stock.naver.com/research/company/84435" TargetMode="External"/><Relationship Id="rId10732" Type="http://schemas.openxmlformats.org/officeDocument/2006/relationships/hyperlink" Target="https://m.stock.naver.com/research/company/82488" TargetMode="External"/><Relationship Id="rId6353" Type="http://schemas.openxmlformats.org/officeDocument/2006/relationships/hyperlink" Target="https://m.stock.naver.com/research/company/86887" TargetMode="External"/><Relationship Id="rId7404" Type="http://schemas.openxmlformats.org/officeDocument/2006/relationships/hyperlink" Target="https://m.stock.naver.com/research/company/85835" TargetMode="External"/><Relationship Id="rId2963" Type="http://schemas.openxmlformats.org/officeDocument/2006/relationships/hyperlink" Target="https://m.stock.naver.com/research/company/90290" TargetMode="External"/><Relationship Id="rId6006" Type="http://schemas.openxmlformats.org/officeDocument/2006/relationships/hyperlink" Target="https://m.stock.naver.com/research/company/87234" TargetMode="External"/><Relationship Id="rId9576" Type="http://schemas.openxmlformats.org/officeDocument/2006/relationships/hyperlink" Target="https://m.stock.naver.com/research/company/83651" TargetMode="External"/><Relationship Id="rId12557" Type="http://schemas.openxmlformats.org/officeDocument/2006/relationships/hyperlink" Target="https://m.stock.naver.com/research/company/80651" TargetMode="External"/><Relationship Id="rId13955" Type="http://schemas.openxmlformats.org/officeDocument/2006/relationships/hyperlink" Target="https://m.stock.naver.com/research/company/93777" TargetMode="External"/><Relationship Id="rId935" Type="http://schemas.openxmlformats.org/officeDocument/2006/relationships/hyperlink" Target="https://m.stock.naver.com/research/company/92521" TargetMode="External"/><Relationship Id="rId1565" Type="http://schemas.openxmlformats.org/officeDocument/2006/relationships/hyperlink" Target="https://m.stock.naver.com/research/company/91690" TargetMode="External"/><Relationship Id="rId2616" Type="http://schemas.openxmlformats.org/officeDocument/2006/relationships/hyperlink" Target="https://m.stock.naver.com/research/company/90638" TargetMode="External"/><Relationship Id="rId8178" Type="http://schemas.openxmlformats.org/officeDocument/2006/relationships/hyperlink" Target="https://m.stock.naver.com/research/company/85060" TargetMode="External"/><Relationship Id="rId9229" Type="http://schemas.openxmlformats.org/officeDocument/2006/relationships/hyperlink" Target="https://m.stock.naver.com/research/company/84001" TargetMode="External"/><Relationship Id="rId11159" Type="http://schemas.openxmlformats.org/officeDocument/2006/relationships/hyperlink" Target="https://m.stock.naver.com/research/company/82061" TargetMode="External"/><Relationship Id="rId13608" Type="http://schemas.openxmlformats.org/officeDocument/2006/relationships/hyperlink" Target="https://m.stock.naver.com/research/company/79596" TargetMode="External"/><Relationship Id="rId15030" Type="http://schemas.openxmlformats.org/officeDocument/2006/relationships/hyperlink" Target="https://m.stock.naver.com/research/company/94938" TargetMode="External"/><Relationship Id="rId1218" Type="http://schemas.openxmlformats.org/officeDocument/2006/relationships/hyperlink" Target="https://m.stock.naver.com/research/company/92037" TargetMode="External"/><Relationship Id="rId4788" Type="http://schemas.openxmlformats.org/officeDocument/2006/relationships/hyperlink" Target="https://m.stock.naver.com/research/company/88452" TargetMode="External"/><Relationship Id="rId5839" Type="http://schemas.openxmlformats.org/officeDocument/2006/relationships/hyperlink" Target="https://m.stock.naver.com/research/company/87401" TargetMode="External"/><Relationship Id="rId7261" Type="http://schemas.openxmlformats.org/officeDocument/2006/relationships/hyperlink" Target="https://m.stock.naver.com/research/company/85978" TargetMode="External"/><Relationship Id="rId9710" Type="http://schemas.openxmlformats.org/officeDocument/2006/relationships/hyperlink" Target="https://m.stock.naver.com/research/company/83513" TargetMode="External"/><Relationship Id="rId11640" Type="http://schemas.openxmlformats.org/officeDocument/2006/relationships/hyperlink" Target="https://m.stock.naver.com/research/company/81572" TargetMode="External"/><Relationship Id="rId8312" Type="http://schemas.openxmlformats.org/officeDocument/2006/relationships/hyperlink" Target="https://m.stock.naver.com/research/company/84926" TargetMode="External"/><Relationship Id="rId10242" Type="http://schemas.openxmlformats.org/officeDocument/2006/relationships/hyperlink" Target="https://m.stock.naver.com/research/company/82979" TargetMode="External"/><Relationship Id="rId14863" Type="http://schemas.openxmlformats.org/officeDocument/2006/relationships/hyperlink" Target="https://m.stock.naver.com/research/company/94761" TargetMode="External"/><Relationship Id="rId3871" Type="http://schemas.openxmlformats.org/officeDocument/2006/relationships/hyperlink" Target="https://m.stock.naver.com/research/company/89380" TargetMode="External"/><Relationship Id="rId4922" Type="http://schemas.openxmlformats.org/officeDocument/2006/relationships/hyperlink" Target="https://m.stock.naver.com/research/company/88318" TargetMode="External"/><Relationship Id="rId13465" Type="http://schemas.openxmlformats.org/officeDocument/2006/relationships/hyperlink" Target="https://m.stock.naver.com/research/company/79739" TargetMode="External"/><Relationship Id="rId14516" Type="http://schemas.openxmlformats.org/officeDocument/2006/relationships/hyperlink" Target="https://m.stock.naver.com/research/company/94394" TargetMode="External"/><Relationship Id="rId792" Type="http://schemas.openxmlformats.org/officeDocument/2006/relationships/hyperlink" Target="https://m.stock.naver.com/research/company/92664" TargetMode="External"/><Relationship Id="rId2473" Type="http://schemas.openxmlformats.org/officeDocument/2006/relationships/hyperlink" Target="https://m.stock.naver.com/research/company/90781" TargetMode="External"/><Relationship Id="rId3524" Type="http://schemas.openxmlformats.org/officeDocument/2006/relationships/hyperlink" Target="https://m.stock.naver.com/research/company/89727" TargetMode="External"/><Relationship Id="rId9086" Type="http://schemas.openxmlformats.org/officeDocument/2006/relationships/hyperlink" Target="https://m.stock.naver.com/research/company/84144" TargetMode="External"/><Relationship Id="rId12067" Type="http://schemas.openxmlformats.org/officeDocument/2006/relationships/hyperlink" Target="https://m.stock.naver.com/research/company/81144" TargetMode="External"/><Relationship Id="rId13118" Type="http://schemas.openxmlformats.org/officeDocument/2006/relationships/hyperlink" Target="https://m.stock.naver.com/research/company/80089" TargetMode="External"/><Relationship Id="rId445" Type="http://schemas.openxmlformats.org/officeDocument/2006/relationships/hyperlink" Target="https://m.stock.naver.com/research/company/93012" TargetMode="External"/><Relationship Id="rId1075" Type="http://schemas.openxmlformats.org/officeDocument/2006/relationships/hyperlink" Target="https://m.stock.naver.com/research/company/92181" TargetMode="External"/><Relationship Id="rId2126" Type="http://schemas.openxmlformats.org/officeDocument/2006/relationships/hyperlink" Target="https://m.stock.naver.com/research/company/91129" TargetMode="External"/><Relationship Id="rId5696" Type="http://schemas.openxmlformats.org/officeDocument/2006/relationships/hyperlink" Target="https://m.stock.naver.com/research/company/87544" TargetMode="External"/><Relationship Id="rId6747" Type="http://schemas.openxmlformats.org/officeDocument/2006/relationships/hyperlink" Target="https://m.stock.naver.com/research/company/86493" TargetMode="External"/><Relationship Id="rId4298" Type="http://schemas.openxmlformats.org/officeDocument/2006/relationships/hyperlink" Target="https://m.stock.naver.com/research/company/88943" TargetMode="External"/><Relationship Id="rId5349" Type="http://schemas.openxmlformats.org/officeDocument/2006/relationships/hyperlink" Target="https://m.stock.naver.com/research/company/87891" TargetMode="External"/><Relationship Id="rId9220" Type="http://schemas.openxmlformats.org/officeDocument/2006/relationships/hyperlink" Target="https://m.stock.naver.com/research/company/84010" TargetMode="External"/><Relationship Id="rId11150" Type="http://schemas.openxmlformats.org/officeDocument/2006/relationships/hyperlink" Target="https://m.stock.naver.com/research/company/82070" TargetMode="External"/><Relationship Id="rId12201" Type="http://schemas.openxmlformats.org/officeDocument/2006/relationships/hyperlink" Target="https://m.stock.naver.com/research/company/81009" TargetMode="External"/><Relationship Id="rId1959" Type="http://schemas.openxmlformats.org/officeDocument/2006/relationships/hyperlink" Target="https://m.stock.naver.com/research/company/91296" TargetMode="External"/><Relationship Id="rId5830" Type="http://schemas.openxmlformats.org/officeDocument/2006/relationships/hyperlink" Target="https://m.stock.naver.com/research/company/87410" TargetMode="External"/><Relationship Id="rId14373" Type="http://schemas.openxmlformats.org/officeDocument/2006/relationships/hyperlink" Target="https://m.stock.naver.com/research/company/94239" TargetMode="External"/><Relationship Id="rId15424" Type="http://schemas.openxmlformats.org/officeDocument/2006/relationships/hyperlink" Target="https://m.stock.naver.com/research/company/95363" TargetMode="External"/><Relationship Id="rId3381" Type="http://schemas.openxmlformats.org/officeDocument/2006/relationships/hyperlink" Target="https://m.stock.naver.com/research/company/89870" TargetMode="External"/><Relationship Id="rId4432" Type="http://schemas.openxmlformats.org/officeDocument/2006/relationships/hyperlink" Target="https://m.stock.naver.com/research/company/88809" TargetMode="External"/><Relationship Id="rId10983" Type="http://schemas.openxmlformats.org/officeDocument/2006/relationships/hyperlink" Target="https://m.stock.naver.com/research/company/82237" TargetMode="External"/><Relationship Id="rId14026" Type="http://schemas.openxmlformats.org/officeDocument/2006/relationships/hyperlink" Target="https://m.stock.naver.com/research/company/93821" TargetMode="External"/><Relationship Id="rId3034" Type="http://schemas.openxmlformats.org/officeDocument/2006/relationships/hyperlink" Target="https://m.stock.naver.com/research/company/90217" TargetMode="External"/><Relationship Id="rId7655" Type="http://schemas.openxmlformats.org/officeDocument/2006/relationships/hyperlink" Target="https://m.stock.naver.com/research/company/85584" TargetMode="External"/><Relationship Id="rId8706" Type="http://schemas.openxmlformats.org/officeDocument/2006/relationships/hyperlink" Target="https://m.stock.naver.com/research/company/84531" TargetMode="External"/><Relationship Id="rId10636" Type="http://schemas.openxmlformats.org/officeDocument/2006/relationships/hyperlink" Target="https://m.stock.naver.com/research/company/82584" TargetMode="External"/><Relationship Id="rId6257" Type="http://schemas.openxmlformats.org/officeDocument/2006/relationships/hyperlink" Target="https://m.stock.naver.com/research/company/86983" TargetMode="External"/><Relationship Id="rId7308" Type="http://schemas.openxmlformats.org/officeDocument/2006/relationships/hyperlink" Target="https://m.stock.naver.com/research/company/85931" TargetMode="External"/><Relationship Id="rId13859" Type="http://schemas.openxmlformats.org/officeDocument/2006/relationships/hyperlink" Target="https://m.stock.naver.com/research/company/93668" TargetMode="External"/><Relationship Id="rId15281" Type="http://schemas.openxmlformats.org/officeDocument/2006/relationships/hyperlink" Target="https://m.stock.naver.com/research/company/95079" TargetMode="External"/><Relationship Id="rId839" Type="http://schemas.openxmlformats.org/officeDocument/2006/relationships/hyperlink" Target="https://m.stock.naver.com/research/company/92617" TargetMode="External"/><Relationship Id="rId1469" Type="http://schemas.openxmlformats.org/officeDocument/2006/relationships/hyperlink" Target="https://m.stock.naver.com/research/company/91786" TargetMode="External"/><Relationship Id="rId2867" Type="http://schemas.openxmlformats.org/officeDocument/2006/relationships/hyperlink" Target="https://m.stock.naver.com/research/company/90386" TargetMode="External"/><Relationship Id="rId3918" Type="http://schemas.openxmlformats.org/officeDocument/2006/relationships/hyperlink" Target="https://m.stock.naver.com/research/company/89333" TargetMode="External"/><Relationship Id="rId5340" Type="http://schemas.openxmlformats.org/officeDocument/2006/relationships/hyperlink" Target="https://m.stock.naver.com/research/company/87900" TargetMode="External"/><Relationship Id="rId9961" Type="http://schemas.openxmlformats.org/officeDocument/2006/relationships/hyperlink" Target="https://m.stock.naver.com/research/company/83260" TargetMode="External"/><Relationship Id="rId11891" Type="http://schemas.openxmlformats.org/officeDocument/2006/relationships/hyperlink" Target="https://m.stock.naver.com/research/company/81320" TargetMode="External"/><Relationship Id="rId12942" Type="http://schemas.openxmlformats.org/officeDocument/2006/relationships/hyperlink" Target="https://m.stock.naver.com/research/company/80266" TargetMode="External"/><Relationship Id="rId1950" Type="http://schemas.openxmlformats.org/officeDocument/2006/relationships/hyperlink" Target="https://m.stock.naver.com/research/company/91305" TargetMode="External"/><Relationship Id="rId8563" Type="http://schemas.openxmlformats.org/officeDocument/2006/relationships/hyperlink" Target="https://m.stock.naver.com/research/company/84674" TargetMode="External"/><Relationship Id="rId9614" Type="http://schemas.openxmlformats.org/officeDocument/2006/relationships/hyperlink" Target="https://m.stock.naver.com/research/company/83611" TargetMode="External"/><Relationship Id="rId10493" Type="http://schemas.openxmlformats.org/officeDocument/2006/relationships/hyperlink" Target="https://m.stock.naver.com/research/company/82727" TargetMode="External"/><Relationship Id="rId11544" Type="http://schemas.openxmlformats.org/officeDocument/2006/relationships/hyperlink" Target="https://m.stock.naver.com/research/company/81671" TargetMode="External"/><Relationship Id="rId1603" Type="http://schemas.openxmlformats.org/officeDocument/2006/relationships/hyperlink" Target="https://m.stock.naver.com/research/company/91652" TargetMode="External"/><Relationship Id="rId7165" Type="http://schemas.openxmlformats.org/officeDocument/2006/relationships/hyperlink" Target="https://m.stock.naver.com/research/company/86074" TargetMode="External"/><Relationship Id="rId8216" Type="http://schemas.openxmlformats.org/officeDocument/2006/relationships/hyperlink" Target="https://m.stock.naver.com/research/company/85022" TargetMode="External"/><Relationship Id="rId10146" Type="http://schemas.openxmlformats.org/officeDocument/2006/relationships/hyperlink" Target="https://m.stock.naver.com/research/company/83075" TargetMode="External"/><Relationship Id="rId14767" Type="http://schemas.openxmlformats.org/officeDocument/2006/relationships/hyperlink" Target="https://m.stock.naver.com/research/company/94633" TargetMode="External"/><Relationship Id="rId3775" Type="http://schemas.openxmlformats.org/officeDocument/2006/relationships/hyperlink" Target="https://m.stock.naver.com/research/company/89476" TargetMode="External"/><Relationship Id="rId4826" Type="http://schemas.openxmlformats.org/officeDocument/2006/relationships/hyperlink" Target="https://m.stock.naver.com/research/company/88414" TargetMode="External"/><Relationship Id="rId13369" Type="http://schemas.openxmlformats.org/officeDocument/2006/relationships/hyperlink" Target="https://m.stock.naver.com/research/company/79836" TargetMode="External"/><Relationship Id="rId696" Type="http://schemas.openxmlformats.org/officeDocument/2006/relationships/hyperlink" Target="https://m.stock.naver.com/research/company/92760" TargetMode="External"/><Relationship Id="rId2377" Type="http://schemas.openxmlformats.org/officeDocument/2006/relationships/hyperlink" Target="https://m.stock.naver.com/research/company/90877" TargetMode="External"/><Relationship Id="rId3428" Type="http://schemas.openxmlformats.org/officeDocument/2006/relationships/hyperlink" Target="https://m.stock.naver.com/research/company/89823" TargetMode="External"/><Relationship Id="rId349" Type="http://schemas.openxmlformats.org/officeDocument/2006/relationships/hyperlink" Target="https://m.stock.naver.com/research/company/93109" TargetMode="External"/><Relationship Id="rId6998" Type="http://schemas.openxmlformats.org/officeDocument/2006/relationships/hyperlink" Target="https://m.stock.naver.com/research/company/86241" TargetMode="External"/><Relationship Id="rId9471" Type="http://schemas.openxmlformats.org/officeDocument/2006/relationships/hyperlink" Target="https://m.stock.naver.com/research/company/83756" TargetMode="External"/><Relationship Id="rId13850" Type="http://schemas.openxmlformats.org/officeDocument/2006/relationships/hyperlink" Target="https://m.stock.naver.com/research/company/93632" TargetMode="External"/><Relationship Id="rId14901" Type="http://schemas.openxmlformats.org/officeDocument/2006/relationships/hyperlink" Target="https://m.stock.naver.com/research/company/94723" TargetMode="External"/><Relationship Id="rId8073" Type="http://schemas.openxmlformats.org/officeDocument/2006/relationships/hyperlink" Target="https://m.stock.naver.com/research/company/85165" TargetMode="External"/><Relationship Id="rId9124" Type="http://schemas.openxmlformats.org/officeDocument/2006/relationships/hyperlink" Target="https://m.stock.naver.com/research/company/84106" TargetMode="External"/><Relationship Id="rId12452" Type="http://schemas.openxmlformats.org/officeDocument/2006/relationships/hyperlink" Target="https://m.stock.naver.com/research/company/80757" TargetMode="External"/><Relationship Id="rId13503" Type="http://schemas.openxmlformats.org/officeDocument/2006/relationships/hyperlink" Target="https://m.stock.naver.com/research/company/79701" TargetMode="External"/><Relationship Id="rId830" Type="http://schemas.openxmlformats.org/officeDocument/2006/relationships/hyperlink" Target="https://m.stock.naver.com/research/company/92626" TargetMode="External"/><Relationship Id="rId1460" Type="http://schemas.openxmlformats.org/officeDocument/2006/relationships/hyperlink" Target="https://m.stock.naver.com/research/company/91795" TargetMode="External"/><Relationship Id="rId2511" Type="http://schemas.openxmlformats.org/officeDocument/2006/relationships/hyperlink" Target="https://m.stock.naver.com/research/company/90743" TargetMode="External"/><Relationship Id="rId11054" Type="http://schemas.openxmlformats.org/officeDocument/2006/relationships/hyperlink" Target="https://m.stock.naver.com/research/company/82166" TargetMode="External"/><Relationship Id="rId12105" Type="http://schemas.openxmlformats.org/officeDocument/2006/relationships/hyperlink" Target="https://m.stock.naver.com/research/company/81106" TargetMode="External"/><Relationship Id="rId15675" Type="http://schemas.openxmlformats.org/officeDocument/2006/relationships/hyperlink" Target="https://m.stock.naver.com/research/company/95739" TargetMode="External"/><Relationship Id="rId1113" Type="http://schemas.openxmlformats.org/officeDocument/2006/relationships/hyperlink" Target="https://m.stock.naver.com/research/company/92142" TargetMode="External"/><Relationship Id="rId4683" Type="http://schemas.openxmlformats.org/officeDocument/2006/relationships/hyperlink" Target="https://m.stock.naver.com/research/company/88557" TargetMode="External"/><Relationship Id="rId5734" Type="http://schemas.openxmlformats.org/officeDocument/2006/relationships/hyperlink" Target="https://m.stock.naver.com/research/company/87506" TargetMode="External"/><Relationship Id="rId14277" Type="http://schemas.openxmlformats.org/officeDocument/2006/relationships/hyperlink" Target="https://m.stock.naver.com/research/company/94187" TargetMode="External"/><Relationship Id="rId15328" Type="http://schemas.openxmlformats.org/officeDocument/2006/relationships/hyperlink" Target="https://m.stock.naver.com/research/company/95260" TargetMode="External"/><Relationship Id="rId3285" Type="http://schemas.openxmlformats.org/officeDocument/2006/relationships/hyperlink" Target="https://m.stock.naver.com/research/company/89965" TargetMode="External"/><Relationship Id="rId4336" Type="http://schemas.openxmlformats.org/officeDocument/2006/relationships/hyperlink" Target="https://m.stock.naver.com/research/company/88905" TargetMode="External"/><Relationship Id="rId8957" Type="http://schemas.openxmlformats.org/officeDocument/2006/relationships/hyperlink" Target="https://m.stock.naver.com/research/company/84275" TargetMode="External"/><Relationship Id="rId7559" Type="http://schemas.openxmlformats.org/officeDocument/2006/relationships/hyperlink" Target="https://m.stock.naver.com/research/company/85680" TargetMode="External"/><Relationship Id="rId10887" Type="http://schemas.openxmlformats.org/officeDocument/2006/relationships/hyperlink" Target="https://m.stock.naver.com/research/company/82333" TargetMode="External"/><Relationship Id="rId11938" Type="http://schemas.openxmlformats.org/officeDocument/2006/relationships/hyperlink" Target="https://m.stock.naver.com/research/company/81273" TargetMode="External"/><Relationship Id="rId13360" Type="http://schemas.openxmlformats.org/officeDocument/2006/relationships/hyperlink" Target="https://m.stock.naver.com/research/company/79845" TargetMode="External"/><Relationship Id="rId13013" Type="http://schemas.openxmlformats.org/officeDocument/2006/relationships/hyperlink" Target="https://m.stock.naver.com/research/company/80195" TargetMode="External"/><Relationship Id="rId14411" Type="http://schemas.openxmlformats.org/officeDocument/2006/relationships/hyperlink" Target="https://m.stock.naver.com/research/company/94272" TargetMode="External"/><Relationship Id="rId340" Type="http://schemas.openxmlformats.org/officeDocument/2006/relationships/hyperlink" Target="https://m.stock.naver.com/research/company/93118" TargetMode="External"/><Relationship Id="rId2021" Type="http://schemas.openxmlformats.org/officeDocument/2006/relationships/hyperlink" Target="https://m.stock.naver.com/research/company/91234" TargetMode="External"/><Relationship Id="rId4193" Type="http://schemas.openxmlformats.org/officeDocument/2006/relationships/hyperlink" Target="https://m.stock.naver.com/research/company/89049" TargetMode="External"/><Relationship Id="rId5591" Type="http://schemas.openxmlformats.org/officeDocument/2006/relationships/hyperlink" Target="https://m.stock.naver.com/research/company/87649" TargetMode="External"/><Relationship Id="rId6642" Type="http://schemas.openxmlformats.org/officeDocument/2006/relationships/hyperlink" Target="https://m.stock.naver.com/research/company/86598" TargetMode="External"/><Relationship Id="rId15185" Type="http://schemas.openxmlformats.org/officeDocument/2006/relationships/hyperlink" Target="https://m.stock.naver.com/research/company/95175" TargetMode="External"/><Relationship Id="rId5244" Type="http://schemas.openxmlformats.org/officeDocument/2006/relationships/hyperlink" Target="https://m.stock.naver.com/research/company/87996" TargetMode="External"/><Relationship Id="rId9865" Type="http://schemas.openxmlformats.org/officeDocument/2006/relationships/hyperlink" Target="https://m.stock.naver.com/research/company/83357" TargetMode="External"/><Relationship Id="rId11795" Type="http://schemas.openxmlformats.org/officeDocument/2006/relationships/hyperlink" Target="https://m.stock.naver.com/research/company/81417" TargetMode="External"/><Relationship Id="rId12846" Type="http://schemas.openxmlformats.org/officeDocument/2006/relationships/hyperlink" Target="https://m.stock.naver.com/research/company/80362" TargetMode="External"/><Relationship Id="rId79" Type="http://schemas.openxmlformats.org/officeDocument/2006/relationships/hyperlink" Target="https://m.stock.naver.com/research/company/93379" TargetMode="External"/><Relationship Id="rId1854" Type="http://schemas.openxmlformats.org/officeDocument/2006/relationships/hyperlink" Target="https://m.stock.naver.com/research/company/91401" TargetMode="External"/><Relationship Id="rId2905" Type="http://schemas.openxmlformats.org/officeDocument/2006/relationships/hyperlink" Target="https://m.stock.naver.com/research/company/90348" TargetMode="External"/><Relationship Id="rId8467" Type="http://schemas.openxmlformats.org/officeDocument/2006/relationships/hyperlink" Target="https://m.stock.naver.com/research/company/84770" TargetMode="External"/><Relationship Id="rId9518" Type="http://schemas.openxmlformats.org/officeDocument/2006/relationships/hyperlink" Target="https://m.stock.naver.com/research/company/83709" TargetMode="External"/><Relationship Id="rId10397" Type="http://schemas.openxmlformats.org/officeDocument/2006/relationships/hyperlink" Target="https://m.stock.naver.com/research/company/82824" TargetMode="External"/><Relationship Id="rId11448" Type="http://schemas.openxmlformats.org/officeDocument/2006/relationships/hyperlink" Target="https://m.stock.naver.com/research/company/81767" TargetMode="External"/><Relationship Id="rId1507" Type="http://schemas.openxmlformats.org/officeDocument/2006/relationships/hyperlink" Target="https://m.stock.naver.com/research/company/91748" TargetMode="External"/><Relationship Id="rId7069" Type="http://schemas.openxmlformats.org/officeDocument/2006/relationships/hyperlink" Target="https://m.stock.naver.com/research/company/86170" TargetMode="External"/><Relationship Id="rId3679" Type="http://schemas.openxmlformats.org/officeDocument/2006/relationships/hyperlink" Target="https://m.stock.naver.com/research/company/89572" TargetMode="External"/><Relationship Id="rId7550" Type="http://schemas.openxmlformats.org/officeDocument/2006/relationships/hyperlink" Target="https://m.stock.naver.com/research/company/85689" TargetMode="External"/><Relationship Id="rId6152" Type="http://schemas.openxmlformats.org/officeDocument/2006/relationships/hyperlink" Target="https://m.stock.naver.com/research/company/87088" TargetMode="External"/><Relationship Id="rId7203" Type="http://schemas.openxmlformats.org/officeDocument/2006/relationships/hyperlink" Target="https://m.stock.naver.com/research/company/86036" TargetMode="External"/><Relationship Id="rId8601" Type="http://schemas.openxmlformats.org/officeDocument/2006/relationships/hyperlink" Target="https://m.stock.naver.com/research/company/84636" TargetMode="External"/><Relationship Id="rId10531" Type="http://schemas.openxmlformats.org/officeDocument/2006/relationships/hyperlink" Target="https://m.stock.naver.com/research/company/82689" TargetMode="External"/><Relationship Id="rId13754" Type="http://schemas.openxmlformats.org/officeDocument/2006/relationships/hyperlink" Target="https://m.stock.naver.com/research/company/93531" TargetMode="External"/><Relationship Id="rId14805" Type="http://schemas.openxmlformats.org/officeDocument/2006/relationships/hyperlink" Target="https://m.stock.naver.com/research/company/94595" TargetMode="External"/><Relationship Id="rId2762" Type="http://schemas.openxmlformats.org/officeDocument/2006/relationships/hyperlink" Target="https://m.stock.naver.com/research/company/90492" TargetMode="External"/><Relationship Id="rId3813" Type="http://schemas.openxmlformats.org/officeDocument/2006/relationships/hyperlink" Target="https://m.stock.naver.com/research/company/89438" TargetMode="External"/><Relationship Id="rId9028" Type="http://schemas.openxmlformats.org/officeDocument/2006/relationships/hyperlink" Target="https://m.stock.naver.com/research/company/84204" TargetMode="External"/><Relationship Id="rId9375" Type="http://schemas.openxmlformats.org/officeDocument/2006/relationships/hyperlink" Target="https://m.stock.naver.com/research/company/83852" TargetMode="External"/><Relationship Id="rId12356" Type="http://schemas.openxmlformats.org/officeDocument/2006/relationships/hyperlink" Target="https://m.stock.naver.com/research/company/80853" TargetMode="External"/><Relationship Id="rId13407" Type="http://schemas.openxmlformats.org/officeDocument/2006/relationships/hyperlink" Target="https://m.stock.naver.com/research/company/79798" TargetMode="External"/><Relationship Id="rId734" Type="http://schemas.openxmlformats.org/officeDocument/2006/relationships/hyperlink" Target="https://m.stock.naver.com/research/company/92722" TargetMode="External"/><Relationship Id="rId1364" Type="http://schemas.openxmlformats.org/officeDocument/2006/relationships/hyperlink" Target="https://m.stock.naver.com/research/company/91891" TargetMode="External"/><Relationship Id="rId2415" Type="http://schemas.openxmlformats.org/officeDocument/2006/relationships/hyperlink" Target="https://m.stock.naver.com/research/company/90839" TargetMode="External"/><Relationship Id="rId5985" Type="http://schemas.openxmlformats.org/officeDocument/2006/relationships/hyperlink" Target="https://m.stock.naver.com/research/company/87255" TargetMode="External"/><Relationship Id="rId12009" Type="http://schemas.openxmlformats.org/officeDocument/2006/relationships/hyperlink" Target="https://m.stock.naver.com/research/company/81202" TargetMode="External"/><Relationship Id="rId15579" Type="http://schemas.openxmlformats.org/officeDocument/2006/relationships/hyperlink" Target="https://m.stock.naver.com/research/company/95457" TargetMode="External"/><Relationship Id="rId70" Type="http://schemas.openxmlformats.org/officeDocument/2006/relationships/hyperlink" Target="https://m.stock.naver.com/research/company/93388" TargetMode="External"/><Relationship Id="rId1017" Type="http://schemas.openxmlformats.org/officeDocument/2006/relationships/hyperlink" Target="https://m.stock.naver.com/research/company/92334" TargetMode="External"/><Relationship Id="rId4587" Type="http://schemas.openxmlformats.org/officeDocument/2006/relationships/hyperlink" Target="https://m.stock.naver.com/research/company/88653" TargetMode="External"/><Relationship Id="rId5638" Type="http://schemas.openxmlformats.org/officeDocument/2006/relationships/hyperlink" Target="https://m.stock.naver.com/research/company/87602" TargetMode="External"/><Relationship Id="rId3189" Type="http://schemas.openxmlformats.org/officeDocument/2006/relationships/hyperlink" Target="https://m.stock.naver.com/research/company/90062" TargetMode="External"/><Relationship Id="rId7060" Type="http://schemas.openxmlformats.org/officeDocument/2006/relationships/hyperlink" Target="https://m.stock.naver.com/research/company/86179" TargetMode="External"/><Relationship Id="rId8111" Type="http://schemas.openxmlformats.org/officeDocument/2006/relationships/hyperlink" Target="https://m.stock.naver.com/research/company/85127" TargetMode="External"/><Relationship Id="rId10041" Type="http://schemas.openxmlformats.org/officeDocument/2006/relationships/hyperlink" Target="https://m.stock.naver.com/research/company/83180" TargetMode="External"/><Relationship Id="rId14662" Type="http://schemas.openxmlformats.org/officeDocument/2006/relationships/hyperlink" Target="https://m.stock.naver.com/research/company/94516" TargetMode="External"/><Relationship Id="rId15713" Type="http://schemas.openxmlformats.org/officeDocument/2006/relationships/hyperlink" Target="https://m.stock.naver.com/research/company/95701" TargetMode="External"/><Relationship Id="rId591" Type="http://schemas.openxmlformats.org/officeDocument/2006/relationships/hyperlink" Target="https://m.stock.naver.com/research/company/92866" TargetMode="External"/><Relationship Id="rId2272" Type="http://schemas.openxmlformats.org/officeDocument/2006/relationships/hyperlink" Target="https://m.stock.naver.com/research/company/90983" TargetMode="External"/><Relationship Id="rId3670" Type="http://schemas.openxmlformats.org/officeDocument/2006/relationships/hyperlink" Target="https://m.stock.naver.com/research/company/89581" TargetMode="External"/><Relationship Id="rId4721" Type="http://schemas.openxmlformats.org/officeDocument/2006/relationships/hyperlink" Target="https://m.stock.naver.com/research/company/88519" TargetMode="External"/><Relationship Id="rId13264" Type="http://schemas.openxmlformats.org/officeDocument/2006/relationships/hyperlink" Target="https://m.stock.naver.com/research/company/79942" TargetMode="External"/><Relationship Id="rId14315" Type="http://schemas.openxmlformats.org/officeDocument/2006/relationships/hyperlink" Target="https://m.stock.naver.com/research/company/94149" TargetMode="External"/><Relationship Id="rId244" Type="http://schemas.openxmlformats.org/officeDocument/2006/relationships/hyperlink" Target="https://m.stock.naver.com/research/company/93214" TargetMode="External"/><Relationship Id="rId3323" Type="http://schemas.openxmlformats.org/officeDocument/2006/relationships/hyperlink" Target="https://m.stock.naver.com/research/company/89927" TargetMode="External"/><Relationship Id="rId6893" Type="http://schemas.openxmlformats.org/officeDocument/2006/relationships/hyperlink" Target="https://m.stock.naver.com/research/company/86346" TargetMode="External"/><Relationship Id="rId7944" Type="http://schemas.openxmlformats.org/officeDocument/2006/relationships/hyperlink" Target="https://m.stock.naver.com/research/company/85294" TargetMode="External"/><Relationship Id="rId10925" Type="http://schemas.openxmlformats.org/officeDocument/2006/relationships/hyperlink" Target="https://m.stock.naver.com/research/company/82295" TargetMode="External"/><Relationship Id="rId5495" Type="http://schemas.openxmlformats.org/officeDocument/2006/relationships/hyperlink" Target="https://m.stock.naver.com/research/company/87745" TargetMode="External"/><Relationship Id="rId6546" Type="http://schemas.openxmlformats.org/officeDocument/2006/relationships/hyperlink" Target="https://m.stock.naver.com/research/company/86694" TargetMode="External"/><Relationship Id="rId15089" Type="http://schemas.openxmlformats.org/officeDocument/2006/relationships/hyperlink" Target="https://m.stock.naver.com/research/company/95005" TargetMode="External"/><Relationship Id="rId4097" Type="http://schemas.openxmlformats.org/officeDocument/2006/relationships/hyperlink" Target="https://m.stock.naver.com/research/company/89154" TargetMode="External"/><Relationship Id="rId5148" Type="http://schemas.openxmlformats.org/officeDocument/2006/relationships/hyperlink" Target="https://m.stock.naver.com/research/company/88092" TargetMode="External"/><Relationship Id="rId9769" Type="http://schemas.openxmlformats.org/officeDocument/2006/relationships/hyperlink" Target="https://m.stock.naver.com/research/company/83454" TargetMode="External"/><Relationship Id="rId11699" Type="http://schemas.openxmlformats.org/officeDocument/2006/relationships/hyperlink" Target="https://m.stock.naver.com/research/company/81513" TargetMode="External"/><Relationship Id="rId12000" Type="http://schemas.openxmlformats.org/officeDocument/2006/relationships/hyperlink" Target="https://m.stock.naver.com/research/company/81211" TargetMode="External"/><Relationship Id="rId15570" Type="http://schemas.openxmlformats.org/officeDocument/2006/relationships/hyperlink" Target="https://m.stock.naver.com/research/company/95466" TargetMode="External"/><Relationship Id="rId1758" Type="http://schemas.openxmlformats.org/officeDocument/2006/relationships/hyperlink" Target="https://m.stock.naver.com/research/company/91497" TargetMode="External"/><Relationship Id="rId2809" Type="http://schemas.openxmlformats.org/officeDocument/2006/relationships/hyperlink" Target="https://m.stock.naver.com/research/company/90445" TargetMode="External"/><Relationship Id="rId14172" Type="http://schemas.openxmlformats.org/officeDocument/2006/relationships/hyperlink" Target="https://m.stock.naver.com/research/company/93956" TargetMode="External"/><Relationship Id="rId15223" Type="http://schemas.openxmlformats.org/officeDocument/2006/relationships/hyperlink" Target="https://m.stock.naver.com/research/company/95137" TargetMode="External"/><Relationship Id="rId3180" Type="http://schemas.openxmlformats.org/officeDocument/2006/relationships/hyperlink" Target="https://m.stock.naver.com/research/company/90071" TargetMode="External"/><Relationship Id="rId4231" Type="http://schemas.openxmlformats.org/officeDocument/2006/relationships/hyperlink" Target="https://m.stock.naver.com/research/company/89011" TargetMode="External"/><Relationship Id="rId8852" Type="http://schemas.openxmlformats.org/officeDocument/2006/relationships/hyperlink" Target="https://m.stock.naver.com/research/company/84385" TargetMode="External"/><Relationship Id="rId9903" Type="http://schemas.openxmlformats.org/officeDocument/2006/relationships/hyperlink" Target="https://m.stock.naver.com/research/company/83319" TargetMode="External"/><Relationship Id="rId10782" Type="http://schemas.openxmlformats.org/officeDocument/2006/relationships/hyperlink" Target="https://m.stock.naver.com/research/company/82438" TargetMode="External"/><Relationship Id="rId11833" Type="http://schemas.openxmlformats.org/officeDocument/2006/relationships/hyperlink" Target="https://m.stock.naver.com/research/company/81379" TargetMode="External"/><Relationship Id="rId6056" Type="http://schemas.openxmlformats.org/officeDocument/2006/relationships/hyperlink" Target="https://m.stock.naver.com/research/company/87184" TargetMode="External"/><Relationship Id="rId7454" Type="http://schemas.openxmlformats.org/officeDocument/2006/relationships/hyperlink" Target="https://m.stock.naver.com/research/company/85785" TargetMode="External"/><Relationship Id="rId8505" Type="http://schemas.openxmlformats.org/officeDocument/2006/relationships/hyperlink" Target="https://m.stock.naver.com/research/company/84732" TargetMode="External"/><Relationship Id="rId10435" Type="http://schemas.openxmlformats.org/officeDocument/2006/relationships/hyperlink" Target="https://m.stock.naver.com/research/company/82786" TargetMode="External"/><Relationship Id="rId7107" Type="http://schemas.openxmlformats.org/officeDocument/2006/relationships/hyperlink" Target="https://m.stock.naver.com/research/company/86132" TargetMode="External"/><Relationship Id="rId13658" Type="http://schemas.openxmlformats.org/officeDocument/2006/relationships/hyperlink" Target="https://m.stock.naver.com/research/company/79546" TargetMode="External"/><Relationship Id="rId14709" Type="http://schemas.openxmlformats.org/officeDocument/2006/relationships/hyperlink" Target="https://m.stock.naver.com/research/company/94691" TargetMode="External"/><Relationship Id="rId985" Type="http://schemas.openxmlformats.org/officeDocument/2006/relationships/hyperlink" Target="https://m.stock.naver.com/research/company/92471" TargetMode="External"/><Relationship Id="rId2666" Type="http://schemas.openxmlformats.org/officeDocument/2006/relationships/hyperlink" Target="https://m.stock.naver.com/research/company/90588" TargetMode="External"/><Relationship Id="rId3717" Type="http://schemas.openxmlformats.org/officeDocument/2006/relationships/hyperlink" Target="https://m.stock.naver.com/research/company/89534" TargetMode="External"/><Relationship Id="rId9279" Type="http://schemas.openxmlformats.org/officeDocument/2006/relationships/hyperlink" Target="https://m.stock.naver.com/research/company/83948" TargetMode="External"/><Relationship Id="rId15080" Type="http://schemas.openxmlformats.org/officeDocument/2006/relationships/hyperlink" Target="https://m.stock.naver.com/research/company/95014" TargetMode="External"/><Relationship Id="rId638" Type="http://schemas.openxmlformats.org/officeDocument/2006/relationships/hyperlink" Target="https://m.stock.naver.com/research/company/92818" TargetMode="External"/><Relationship Id="rId1268" Type="http://schemas.openxmlformats.org/officeDocument/2006/relationships/hyperlink" Target="https://m.stock.naver.com/research/company/91987" TargetMode="External"/><Relationship Id="rId2319" Type="http://schemas.openxmlformats.org/officeDocument/2006/relationships/hyperlink" Target="https://m.stock.naver.com/research/company/90936" TargetMode="External"/><Relationship Id="rId5889" Type="http://schemas.openxmlformats.org/officeDocument/2006/relationships/hyperlink" Target="https://m.stock.naver.com/research/company/87351" TargetMode="External"/><Relationship Id="rId9760" Type="http://schemas.openxmlformats.org/officeDocument/2006/relationships/hyperlink" Target="https://m.stock.naver.com/research/company/83463" TargetMode="External"/><Relationship Id="rId8362" Type="http://schemas.openxmlformats.org/officeDocument/2006/relationships/hyperlink" Target="https://m.stock.naver.com/research/company/84876" TargetMode="External"/><Relationship Id="rId9413" Type="http://schemas.openxmlformats.org/officeDocument/2006/relationships/hyperlink" Target="https://m.stock.naver.com/research/company/83814" TargetMode="External"/><Relationship Id="rId11690" Type="http://schemas.openxmlformats.org/officeDocument/2006/relationships/hyperlink" Target="https://m.stock.naver.com/research/company/81522" TargetMode="External"/><Relationship Id="rId12741" Type="http://schemas.openxmlformats.org/officeDocument/2006/relationships/hyperlink" Target="https://m.stock.naver.com/research/company/80467" TargetMode="External"/><Relationship Id="rId2800" Type="http://schemas.openxmlformats.org/officeDocument/2006/relationships/hyperlink" Target="https://m.stock.naver.com/research/company/90454" TargetMode="External"/><Relationship Id="rId8015" Type="http://schemas.openxmlformats.org/officeDocument/2006/relationships/hyperlink" Target="https://m.stock.naver.com/research/company/85223" TargetMode="External"/><Relationship Id="rId10292" Type="http://schemas.openxmlformats.org/officeDocument/2006/relationships/hyperlink" Target="https://m.stock.naver.com/research/company/82929" TargetMode="External"/><Relationship Id="rId11343" Type="http://schemas.openxmlformats.org/officeDocument/2006/relationships/hyperlink" Target="https://m.stock.naver.com/research/company/81873" TargetMode="External"/><Relationship Id="rId1402" Type="http://schemas.openxmlformats.org/officeDocument/2006/relationships/hyperlink" Target="https://m.stock.naver.com/research/company/91853" TargetMode="External"/><Relationship Id="rId4972" Type="http://schemas.openxmlformats.org/officeDocument/2006/relationships/hyperlink" Target="https://m.stock.naver.com/research/company/88268" TargetMode="External"/><Relationship Id="rId14566" Type="http://schemas.openxmlformats.org/officeDocument/2006/relationships/hyperlink" Target="https://m.stock.naver.com/research/company/94344" TargetMode="External"/><Relationship Id="rId15617" Type="http://schemas.openxmlformats.org/officeDocument/2006/relationships/hyperlink" Target="https://m.stock.naver.com/research/company/95419" TargetMode="External"/><Relationship Id="rId3574" Type="http://schemas.openxmlformats.org/officeDocument/2006/relationships/hyperlink" Target="https://m.stock.naver.com/research/company/89677" TargetMode="External"/><Relationship Id="rId4625" Type="http://schemas.openxmlformats.org/officeDocument/2006/relationships/hyperlink" Target="https://m.stock.naver.com/research/company/88615" TargetMode="External"/><Relationship Id="rId13168" Type="http://schemas.openxmlformats.org/officeDocument/2006/relationships/hyperlink" Target="https://m.stock.naver.com/research/company/80039" TargetMode="External"/><Relationship Id="rId14219" Type="http://schemas.openxmlformats.org/officeDocument/2006/relationships/hyperlink" Target="https://m.stock.naver.com/research/company/94039" TargetMode="External"/><Relationship Id="rId495" Type="http://schemas.openxmlformats.org/officeDocument/2006/relationships/hyperlink" Target="https://m.stock.naver.com/research/company/92962" TargetMode="External"/><Relationship Id="rId2176" Type="http://schemas.openxmlformats.org/officeDocument/2006/relationships/hyperlink" Target="https://m.stock.naver.com/research/company/91079" TargetMode="External"/><Relationship Id="rId3227" Type="http://schemas.openxmlformats.org/officeDocument/2006/relationships/hyperlink" Target="https://m.stock.naver.com/research/company/90024" TargetMode="External"/><Relationship Id="rId6797" Type="http://schemas.openxmlformats.org/officeDocument/2006/relationships/hyperlink" Target="https://m.stock.naver.com/research/company/86443" TargetMode="External"/><Relationship Id="rId7848" Type="http://schemas.openxmlformats.org/officeDocument/2006/relationships/hyperlink" Target="https://m.stock.naver.com/research/company/85390" TargetMode="External"/><Relationship Id="rId148" Type="http://schemas.openxmlformats.org/officeDocument/2006/relationships/hyperlink" Target="https://m.stock.naver.com/research/company/93310" TargetMode="External"/><Relationship Id="rId5399" Type="http://schemas.openxmlformats.org/officeDocument/2006/relationships/hyperlink" Target="https://m.stock.naver.com/research/company/87841" TargetMode="External"/><Relationship Id="rId9270" Type="http://schemas.openxmlformats.org/officeDocument/2006/relationships/hyperlink" Target="https://m.stock.naver.com/research/company/83958" TargetMode="External"/><Relationship Id="rId10829" Type="http://schemas.openxmlformats.org/officeDocument/2006/relationships/hyperlink" Target="https://m.stock.naver.com/research/company/82391" TargetMode="External"/><Relationship Id="rId12251" Type="http://schemas.openxmlformats.org/officeDocument/2006/relationships/hyperlink" Target="https://m.stock.naver.com/research/company/80958" TargetMode="External"/><Relationship Id="rId13302" Type="http://schemas.openxmlformats.org/officeDocument/2006/relationships/hyperlink" Target="https://m.stock.naver.com/research/company/79903" TargetMode="External"/><Relationship Id="rId14700" Type="http://schemas.openxmlformats.org/officeDocument/2006/relationships/hyperlink" Target="https://m.stock.naver.com/research/company/94700" TargetMode="External"/><Relationship Id="rId2310" Type="http://schemas.openxmlformats.org/officeDocument/2006/relationships/hyperlink" Target="https://m.stock.naver.com/research/company/90945" TargetMode="External"/><Relationship Id="rId4482" Type="http://schemas.openxmlformats.org/officeDocument/2006/relationships/hyperlink" Target="https://m.stock.naver.com/research/company/88758" TargetMode="External"/><Relationship Id="rId5880" Type="http://schemas.openxmlformats.org/officeDocument/2006/relationships/hyperlink" Target="https://m.stock.naver.com/research/company/87360" TargetMode="External"/><Relationship Id="rId6931" Type="http://schemas.openxmlformats.org/officeDocument/2006/relationships/hyperlink" Target="https://m.stock.naver.com/research/company/86308" TargetMode="External"/><Relationship Id="rId14076" Type="http://schemas.openxmlformats.org/officeDocument/2006/relationships/hyperlink" Target="https://m.stock.naver.com/research/company/93878" TargetMode="External"/><Relationship Id="rId15474" Type="http://schemas.openxmlformats.org/officeDocument/2006/relationships/hyperlink" Target="https://m.stock.naver.com/research/company/95313" TargetMode="External"/><Relationship Id="rId3084" Type="http://schemas.openxmlformats.org/officeDocument/2006/relationships/hyperlink" Target="https://m.stock.naver.com/research/company/90167" TargetMode="External"/><Relationship Id="rId4135" Type="http://schemas.openxmlformats.org/officeDocument/2006/relationships/hyperlink" Target="https://m.stock.naver.com/research/company/89116" TargetMode="External"/><Relationship Id="rId5533" Type="http://schemas.openxmlformats.org/officeDocument/2006/relationships/hyperlink" Target="https://m.stock.naver.com/research/company/87707" TargetMode="External"/><Relationship Id="rId15127" Type="http://schemas.openxmlformats.org/officeDocument/2006/relationships/hyperlink" Target="https://m.stock.naver.com/research/company/94967" TargetMode="External"/><Relationship Id="rId8756" Type="http://schemas.openxmlformats.org/officeDocument/2006/relationships/hyperlink" Target="https://m.stock.naver.com/research/company/84481" TargetMode="External"/><Relationship Id="rId9807" Type="http://schemas.openxmlformats.org/officeDocument/2006/relationships/hyperlink" Target="https://m.stock.naver.com/research/company/83415" TargetMode="External"/><Relationship Id="rId10686" Type="http://schemas.openxmlformats.org/officeDocument/2006/relationships/hyperlink" Target="https://m.stock.naver.com/research/company/82534" TargetMode="External"/><Relationship Id="rId11737" Type="http://schemas.openxmlformats.org/officeDocument/2006/relationships/hyperlink" Target="https://m.stock.naver.com/research/company/81475" TargetMode="External"/><Relationship Id="rId7358" Type="http://schemas.openxmlformats.org/officeDocument/2006/relationships/hyperlink" Target="https://m.stock.naver.com/research/company/85881" TargetMode="External"/><Relationship Id="rId8409" Type="http://schemas.openxmlformats.org/officeDocument/2006/relationships/hyperlink" Target="https://m.stock.naver.com/research/company/84829" TargetMode="External"/><Relationship Id="rId10339" Type="http://schemas.openxmlformats.org/officeDocument/2006/relationships/hyperlink" Target="https://m.stock.naver.com/research/company/82882" TargetMode="External"/><Relationship Id="rId14210" Type="http://schemas.openxmlformats.org/officeDocument/2006/relationships/hyperlink" Target="https://m.stock.naver.com/research/company/94048" TargetMode="External"/><Relationship Id="rId3968" Type="http://schemas.openxmlformats.org/officeDocument/2006/relationships/hyperlink" Target="https://m.stock.naver.com/research/company/89283" TargetMode="External"/><Relationship Id="rId5" Type="http://schemas.openxmlformats.org/officeDocument/2006/relationships/hyperlink" Target="https://m.stock.naver.com/research/company/93453" TargetMode="External"/><Relationship Id="rId889" Type="http://schemas.openxmlformats.org/officeDocument/2006/relationships/hyperlink" Target="https://m.stock.naver.com/research/company/92567" TargetMode="External"/><Relationship Id="rId5390" Type="http://schemas.openxmlformats.org/officeDocument/2006/relationships/hyperlink" Target="https://m.stock.naver.com/research/company/87850" TargetMode="External"/><Relationship Id="rId6441" Type="http://schemas.openxmlformats.org/officeDocument/2006/relationships/hyperlink" Target="https://m.stock.naver.com/research/company/86799" TargetMode="External"/><Relationship Id="rId10820" Type="http://schemas.openxmlformats.org/officeDocument/2006/relationships/hyperlink" Target="https://m.stock.naver.com/research/company/82400" TargetMode="External"/><Relationship Id="rId5043" Type="http://schemas.openxmlformats.org/officeDocument/2006/relationships/hyperlink" Target="https://m.stock.naver.com/research/company/88197" TargetMode="External"/><Relationship Id="rId12992" Type="http://schemas.openxmlformats.org/officeDocument/2006/relationships/hyperlink" Target="https://m.stock.naver.com/research/company/80216" TargetMode="External"/><Relationship Id="rId8266" Type="http://schemas.openxmlformats.org/officeDocument/2006/relationships/hyperlink" Target="https://m.stock.naver.com/research/company/84972" TargetMode="External"/><Relationship Id="rId9317" Type="http://schemas.openxmlformats.org/officeDocument/2006/relationships/hyperlink" Target="https://m.stock.naver.com/research/company/83910" TargetMode="External"/><Relationship Id="rId9664" Type="http://schemas.openxmlformats.org/officeDocument/2006/relationships/hyperlink" Target="https://m.stock.naver.com/research/company/83560" TargetMode="External"/><Relationship Id="rId11594" Type="http://schemas.openxmlformats.org/officeDocument/2006/relationships/hyperlink" Target="https://m.stock.naver.com/research/company/81618" TargetMode="External"/><Relationship Id="rId12645" Type="http://schemas.openxmlformats.org/officeDocument/2006/relationships/hyperlink" Target="https://m.stock.naver.com/research/company/80563" TargetMode="External"/><Relationship Id="rId1653" Type="http://schemas.openxmlformats.org/officeDocument/2006/relationships/hyperlink" Target="https://m.stock.naver.com/research/company/91602" TargetMode="External"/><Relationship Id="rId2704" Type="http://schemas.openxmlformats.org/officeDocument/2006/relationships/hyperlink" Target="https://m.stock.naver.com/research/company/90550" TargetMode="External"/><Relationship Id="rId10196" Type="http://schemas.openxmlformats.org/officeDocument/2006/relationships/hyperlink" Target="https://m.stock.naver.com/research/company/83025" TargetMode="External"/><Relationship Id="rId11247" Type="http://schemas.openxmlformats.org/officeDocument/2006/relationships/hyperlink" Target="https://m.stock.naver.com/research/company/81972" TargetMode="External"/><Relationship Id="rId1306" Type="http://schemas.openxmlformats.org/officeDocument/2006/relationships/hyperlink" Target="https://m.stock.naver.com/research/company/91949" TargetMode="External"/><Relationship Id="rId4876" Type="http://schemas.openxmlformats.org/officeDocument/2006/relationships/hyperlink" Target="https://m.stock.naver.com/research/company/88364" TargetMode="External"/><Relationship Id="rId5927" Type="http://schemas.openxmlformats.org/officeDocument/2006/relationships/hyperlink" Target="https://m.stock.naver.com/research/company/87313" TargetMode="External"/><Relationship Id="rId12" Type="http://schemas.openxmlformats.org/officeDocument/2006/relationships/hyperlink" Target="https://m.stock.naver.com/research/company/93446" TargetMode="External"/><Relationship Id="rId3478" Type="http://schemas.openxmlformats.org/officeDocument/2006/relationships/hyperlink" Target="https://m.stock.naver.com/research/company/89773" TargetMode="External"/><Relationship Id="rId4529" Type="http://schemas.openxmlformats.org/officeDocument/2006/relationships/hyperlink" Target="https://m.stock.naver.com/research/company/88711" TargetMode="External"/><Relationship Id="rId8400" Type="http://schemas.openxmlformats.org/officeDocument/2006/relationships/hyperlink" Target="https://m.stock.naver.com/research/company/84838" TargetMode="External"/><Relationship Id="rId10330" Type="http://schemas.openxmlformats.org/officeDocument/2006/relationships/hyperlink" Target="https://m.stock.naver.com/research/company/82891" TargetMode="External"/><Relationship Id="rId399" Type="http://schemas.openxmlformats.org/officeDocument/2006/relationships/hyperlink" Target="https://m.stock.naver.com/research/company/93059" TargetMode="External"/><Relationship Id="rId7002" Type="http://schemas.openxmlformats.org/officeDocument/2006/relationships/hyperlink" Target="https://m.stock.naver.com/research/company/86237" TargetMode="External"/><Relationship Id="rId14951" Type="http://schemas.openxmlformats.org/officeDocument/2006/relationships/hyperlink" Target="https://m.stock.naver.com/research/company/94883" TargetMode="External"/><Relationship Id="rId880" Type="http://schemas.openxmlformats.org/officeDocument/2006/relationships/hyperlink" Target="https://m.stock.naver.com/research/company/92576" TargetMode="External"/><Relationship Id="rId2561" Type="http://schemas.openxmlformats.org/officeDocument/2006/relationships/hyperlink" Target="https://m.stock.naver.com/research/company/90693" TargetMode="External"/><Relationship Id="rId9174" Type="http://schemas.openxmlformats.org/officeDocument/2006/relationships/hyperlink" Target="https://m.stock.naver.com/research/company/84056" TargetMode="External"/><Relationship Id="rId12155" Type="http://schemas.openxmlformats.org/officeDocument/2006/relationships/hyperlink" Target="https://m.stock.naver.com/research/company/81056" TargetMode="External"/><Relationship Id="rId13553" Type="http://schemas.openxmlformats.org/officeDocument/2006/relationships/hyperlink" Target="https://m.stock.naver.com/research/company/79651" TargetMode="External"/><Relationship Id="rId14604" Type="http://schemas.openxmlformats.org/officeDocument/2006/relationships/hyperlink" Target="https://m.stock.naver.com/research/company/94573" TargetMode="External"/><Relationship Id="rId533" Type="http://schemas.openxmlformats.org/officeDocument/2006/relationships/hyperlink" Target="https://m.stock.naver.com/research/company/92924" TargetMode="External"/><Relationship Id="rId1163" Type="http://schemas.openxmlformats.org/officeDocument/2006/relationships/hyperlink" Target="https://m.stock.naver.com/research/company/92092" TargetMode="External"/><Relationship Id="rId2214" Type="http://schemas.openxmlformats.org/officeDocument/2006/relationships/hyperlink" Target="https://m.stock.naver.com/research/company/91041" TargetMode="External"/><Relationship Id="rId3612" Type="http://schemas.openxmlformats.org/officeDocument/2006/relationships/hyperlink" Target="https://m.stock.naver.com/research/company/89639" TargetMode="External"/><Relationship Id="rId13206" Type="http://schemas.openxmlformats.org/officeDocument/2006/relationships/hyperlink" Target="https://m.stock.naver.com/research/company/80001" TargetMode="External"/><Relationship Id="rId5784" Type="http://schemas.openxmlformats.org/officeDocument/2006/relationships/hyperlink" Target="https://m.stock.naver.com/research/company/87456" TargetMode="External"/><Relationship Id="rId6835" Type="http://schemas.openxmlformats.org/officeDocument/2006/relationships/hyperlink" Target="https://m.stock.naver.com/research/company/86405" TargetMode="External"/><Relationship Id="rId15378" Type="http://schemas.openxmlformats.org/officeDocument/2006/relationships/hyperlink" Target="https://m.stock.naver.com/research/company/95210" TargetMode="External"/><Relationship Id="rId4386" Type="http://schemas.openxmlformats.org/officeDocument/2006/relationships/hyperlink" Target="https://m.stock.naver.com/research/company/88855" TargetMode="External"/><Relationship Id="rId5437" Type="http://schemas.openxmlformats.org/officeDocument/2006/relationships/hyperlink" Target="https://m.stock.naver.com/research/company/87803" TargetMode="External"/><Relationship Id="rId11988" Type="http://schemas.openxmlformats.org/officeDocument/2006/relationships/hyperlink" Target="https://m.stock.naver.com/research/company/81223" TargetMode="External"/><Relationship Id="rId4039" Type="http://schemas.openxmlformats.org/officeDocument/2006/relationships/hyperlink" Target="https://m.stock.naver.com/research/company/89212" TargetMode="External"/><Relationship Id="rId14461" Type="http://schemas.openxmlformats.org/officeDocument/2006/relationships/hyperlink" Target="https://m.stock.naver.com/research/company/94449" TargetMode="External"/><Relationship Id="rId15512" Type="http://schemas.openxmlformats.org/officeDocument/2006/relationships/hyperlink" Target="https://m.stock.naver.com/research/company/95524" TargetMode="External"/><Relationship Id="rId4520" Type="http://schemas.openxmlformats.org/officeDocument/2006/relationships/hyperlink" Target="https://m.stock.naver.com/research/company/88720" TargetMode="External"/><Relationship Id="rId13063" Type="http://schemas.openxmlformats.org/officeDocument/2006/relationships/hyperlink" Target="https://m.stock.naver.com/research/company/80144" TargetMode="External"/><Relationship Id="rId14114" Type="http://schemas.openxmlformats.org/officeDocument/2006/relationships/hyperlink" Target="https://m.stock.naver.com/research/company/93888" TargetMode="External"/><Relationship Id="rId390" Type="http://schemas.openxmlformats.org/officeDocument/2006/relationships/hyperlink" Target="https://m.stock.naver.com/research/company/93068" TargetMode="External"/><Relationship Id="rId2071" Type="http://schemas.openxmlformats.org/officeDocument/2006/relationships/hyperlink" Target="https://m.stock.naver.com/research/company/91184" TargetMode="External"/><Relationship Id="rId3122" Type="http://schemas.openxmlformats.org/officeDocument/2006/relationships/hyperlink" Target="https://m.stock.naver.com/research/company/90129" TargetMode="External"/><Relationship Id="rId6692" Type="http://schemas.openxmlformats.org/officeDocument/2006/relationships/hyperlink" Target="https://m.stock.naver.com/research/company/86548" TargetMode="External"/><Relationship Id="rId5294" Type="http://schemas.openxmlformats.org/officeDocument/2006/relationships/hyperlink" Target="https://m.stock.naver.com/research/company/87946" TargetMode="External"/><Relationship Id="rId6345" Type="http://schemas.openxmlformats.org/officeDocument/2006/relationships/hyperlink" Target="https://m.stock.naver.com/research/company/86895" TargetMode="External"/><Relationship Id="rId7743" Type="http://schemas.openxmlformats.org/officeDocument/2006/relationships/hyperlink" Target="https://m.stock.naver.com/research/company/85496" TargetMode="External"/><Relationship Id="rId10724" Type="http://schemas.openxmlformats.org/officeDocument/2006/relationships/hyperlink" Target="https://m.stock.naver.com/research/company/82496" TargetMode="External"/><Relationship Id="rId12896" Type="http://schemas.openxmlformats.org/officeDocument/2006/relationships/hyperlink" Target="https://m.stock.naver.com/research/company/80312" TargetMode="External"/><Relationship Id="rId13947" Type="http://schemas.openxmlformats.org/officeDocument/2006/relationships/hyperlink" Target="https://m.stock.naver.com/research/company/93785" TargetMode="External"/><Relationship Id="rId2955" Type="http://schemas.openxmlformats.org/officeDocument/2006/relationships/hyperlink" Target="https://m.stock.naver.com/research/company/90298" TargetMode="External"/><Relationship Id="rId9568" Type="http://schemas.openxmlformats.org/officeDocument/2006/relationships/hyperlink" Target="https://m.stock.naver.com/research/company/83659" TargetMode="External"/><Relationship Id="rId11498" Type="http://schemas.openxmlformats.org/officeDocument/2006/relationships/hyperlink" Target="https://m.stock.naver.com/research/company/81717" TargetMode="External"/><Relationship Id="rId12549" Type="http://schemas.openxmlformats.org/officeDocument/2006/relationships/hyperlink" Target="https://m.stock.naver.com/research/company/80659" TargetMode="External"/><Relationship Id="rId927" Type="http://schemas.openxmlformats.org/officeDocument/2006/relationships/hyperlink" Target="https://m.stock.naver.com/research/company/92529" TargetMode="External"/><Relationship Id="rId1557" Type="http://schemas.openxmlformats.org/officeDocument/2006/relationships/hyperlink" Target="https://m.stock.naver.com/research/company/91698" TargetMode="External"/><Relationship Id="rId2608" Type="http://schemas.openxmlformats.org/officeDocument/2006/relationships/hyperlink" Target="https://m.stock.naver.com/research/company/90646" TargetMode="External"/><Relationship Id="rId15022" Type="http://schemas.openxmlformats.org/officeDocument/2006/relationships/hyperlink" Target="https://m.stock.naver.com/research/company/94812" TargetMode="External"/><Relationship Id="rId4030" Type="http://schemas.openxmlformats.org/officeDocument/2006/relationships/hyperlink" Target="https://m.stock.naver.com/research/company/89221" TargetMode="External"/><Relationship Id="rId8651" Type="http://schemas.openxmlformats.org/officeDocument/2006/relationships/hyperlink" Target="https://m.stock.naver.com/research/company/84586" TargetMode="External"/><Relationship Id="rId9702" Type="http://schemas.openxmlformats.org/officeDocument/2006/relationships/hyperlink" Target="https://m.stock.naver.com/research/company/83521" TargetMode="External"/><Relationship Id="rId7253" Type="http://schemas.openxmlformats.org/officeDocument/2006/relationships/hyperlink" Target="https://m.stock.naver.com/research/company/85986" TargetMode="External"/><Relationship Id="rId8304" Type="http://schemas.openxmlformats.org/officeDocument/2006/relationships/hyperlink" Target="https://m.stock.naver.com/research/company/84934" TargetMode="External"/><Relationship Id="rId10234" Type="http://schemas.openxmlformats.org/officeDocument/2006/relationships/hyperlink" Target="https://m.stock.naver.com/research/company/82987" TargetMode="External"/><Relationship Id="rId10581" Type="http://schemas.openxmlformats.org/officeDocument/2006/relationships/hyperlink" Target="https://m.stock.naver.com/research/company/82639" TargetMode="External"/><Relationship Id="rId11632" Type="http://schemas.openxmlformats.org/officeDocument/2006/relationships/hyperlink" Target="https://m.stock.naver.com/research/company/81580" TargetMode="External"/><Relationship Id="rId14855" Type="http://schemas.openxmlformats.org/officeDocument/2006/relationships/hyperlink" Target="https://m.stock.naver.com/research/company/94769" TargetMode="External"/><Relationship Id="rId3863" Type="http://schemas.openxmlformats.org/officeDocument/2006/relationships/hyperlink" Target="https://m.stock.naver.com/research/company/89388" TargetMode="External"/><Relationship Id="rId4914" Type="http://schemas.openxmlformats.org/officeDocument/2006/relationships/hyperlink" Target="https://m.stock.naver.com/research/company/88326" TargetMode="External"/><Relationship Id="rId9078" Type="http://schemas.openxmlformats.org/officeDocument/2006/relationships/hyperlink" Target="https://m.stock.naver.com/research/company/84153" TargetMode="External"/><Relationship Id="rId13457" Type="http://schemas.openxmlformats.org/officeDocument/2006/relationships/hyperlink" Target="https://m.stock.naver.com/research/company/79747" TargetMode="External"/><Relationship Id="rId14508" Type="http://schemas.openxmlformats.org/officeDocument/2006/relationships/hyperlink" Target="https://m.stock.naver.com/research/company/94402" TargetMode="External"/><Relationship Id="rId784" Type="http://schemas.openxmlformats.org/officeDocument/2006/relationships/hyperlink" Target="https://m.stock.naver.com/research/company/92672" TargetMode="External"/><Relationship Id="rId1067" Type="http://schemas.openxmlformats.org/officeDocument/2006/relationships/hyperlink" Target="https://m.stock.naver.com/research/company/92189" TargetMode="External"/><Relationship Id="rId2465" Type="http://schemas.openxmlformats.org/officeDocument/2006/relationships/hyperlink" Target="https://m.stock.naver.com/research/company/90789" TargetMode="External"/><Relationship Id="rId3516" Type="http://schemas.openxmlformats.org/officeDocument/2006/relationships/hyperlink" Target="https://m.stock.naver.com/research/company/89735" TargetMode="External"/><Relationship Id="rId12059" Type="http://schemas.openxmlformats.org/officeDocument/2006/relationships/hyperlink" Target="https://m.stock.naver.com/research/company/81152" TargetMode="External"/><Relationship Id="rId437" Type="http://schemas.openxmlformats.org/officeDocument/2006/relationships/hyperlink" Target="https://m.stock.naver.com/research/company/93020" TargetMode="External"/><Relationship Id="rId2118" Type="http://schemas.openxmlformats.org/officeDocument/2006/relationships/hyperlink" Target="https://m.stock.naver.com/research/company/91137" TargetMode="External"/><Relationship Id="rId5688" Type="http://schemas.openxmlformats.org/officeDocument/2006/relationships/hyperlink" Target="https://m.stock.naver.com/research/company/87552" TargetMode="External"/><Relationship Id="rId6739" Type="http://schemas.openxmlformats.org/officeDocument/2006/relationships/hyperlink" Target="https://m.stock.naver.com/research/company/86501" TargetMode="External"/><Relationship Id="rId12540" Type="http://schemas.openxmlformats.org/officeDocument/2006/relationships/hyperlink" Target="https://m.stock.naver.com/research/company/80668" TargetMode="External"/><Relationship Id="rId8161" Type="http://schemas.openxmlformats.org/officeDocument/2006/relationships/hyperlink" Target="https://m.stock.naver.com/research/company/85077" TargetMode="External"/><Relationship Id="rId9212" Type="http://schemas.openxmlformats.org/officeDocument/2006/relationships/hyperlink" Target="https://m.stock.naver.com/research/company/84018" TargetMode="External"/><Relationship Id="rId10091" Type="http://schemas.openxmlformats.org/officeDocument/2006/relationships/hyperlink" Target="https://m.stock.naver.com/research/company/83130" TargetMode="External"/><Relationship Id="rId11142" Type="http://schemas.openxmlformats.org/officeDocument/2006/relationships/hyperlink" Target="https://m.stock.naver.com/research/company/82078" TargetMode="External"/><Relationship Id="rId1201" Type="http://schemas.openxmlformats.org/officeDocument/2006/relationships/hyperlink" Target="https://m.stock.naver.com/research/company/92054" TargetMode="External"/><Relationship Id="rId4771" Type="http://schemas.openxmlformats.org/officeDocument/2006/relationships/hyperlink" Target="https://m.stock.naver.com/research/company/88469" TargetMode="External"/><Relationship Id="rId14365" Type="http://schemas.openxmlformats.org/officeDocument/2006/relationships/hyperlink" Target="https://m.stock.naver.com/research/company/94247" TargetMode="External"/><Relationship Id="rId3373" Type="http://schemas.openxmlformats.org/officeDocument/2006/relationships/hyperlink" Target="https://m.stock.naver.com/research/company/89878" TargetMode="External"/><Relationship Id="rId4424" Type="http://schemas.openxmlformats.org/officeDocument/2006/relationships/hyperlink" Target="https://m.stock.naver.com/research/company/88817" TargetMode="External"/><Relationship Id="rId5822" Type="http://schemas.openxmlformats.org/officeDocument/2006/relationships/hyperlink" Target="https://m.stock.naver.com/research/company/87418" TargetMode="External"/><Relationship Id="rId14018" Type="http://schemas.openxmlformats.org/officeDocument/2006/relationships/hyperlink" Target="https://m.stock.naver.com/research/company/93829" TargetMode="External"/><Relationship Id="rId15416" Type="http://schemas.openxmlformats.org/officeDocument/2006/relationships/hyperlink" Target="https://m.stock.naver.com/research/company/95371" TargetMode="External"/><Relationship Id="rId294" Type="http://schemas.openxmlformats.org/officeDocument/2006/relationships/hyperlink" Target="https://m.stock.naver.com/research/company/93164" TargetMode="External"/><Relationship Id="rId3026" Type="http://schemas.openxmlformats.org/officeDocument/2006/relationships/hyperlink" Target="https://m.stock.naver.com/research/company/90225" TargetMode="External"/><Relationship Id="rId7994" Type="http://schemas.openxmlformats.org/officeDocument/2006/relationships/hyperlink" Target="https://m.stock.naver.com/research/company/85244" TargetMode="External"/><Relationship Id="rId10975" Type="http://schemas.openxmlformats.org/officeDocument/2006/relationships/hyperlink" Target="https://m.stock.naver.com/research/company/82245" TargetMode="External"/><Relationship Id="rId5198" Type="http://schemas.openxmlformats.org/officeDocument/2006/relationships/hyperlink" Target="https://m.stock.naver.com/research/company/88042" TargetMode="External"/><Relationship Id="rId6596" Type="http://schemas.openxmlformats.org/officeDocument/2006/relationships/hyperlink" Target="https://m.stock.naver.com/research/company/86644" TargetMode="External"/><Relationship Id="rId7647" Type="http://schemas.openxmlformats.org/officeDocument/2006/relationships/hyperlink" Target="https://m.stock.naver.com/research/company/85592" TargetMode="External"/><Relationship Id="rId10628" Type="http://schemas.openxmlformats.org/officeDocument/2006/relationships/hyperlink" Target="https://m.stock.naver.com/research/company/82592" TargetMode="External"/><Relationship Id="rId6249" Type="http://schemas.openxmlformats.org/officeDocument/2006/relationships/hyperlink" Target="https://m.stock.naver.com/research/company/86991" TargetMode="External"/><Relationship Id="rId12050" Type="http://schemas.openxmlformats.org/officeDocument/2006/relationships/hyperlink" Target="https://m.stock.naver.com/research/company/81161" TargetMode="External"/><Relationship Id="rId13101" Type="http://schemas.openxmlformats.org/officeDocument/2006/relationships/hyperlink" Target="https://m.stock.naver.com/research/company/80106" TargetMode="External"/><Relationship Id="rId2859" Type="http://schemas.openxmlformats.org/officeDocument/2006/relationships/hyperlink" Target="https://m.stock.naver.com/research/company/90394" TargetMode="External"/><Relationship Id="rId6730" Type="http://schemas.openxmlformats.org/officeDocument/2006/relationships/hyperlink" Target="https://m.stock.naver.com/research/company/86510" TargetMode="External"/><Relationship Id="rId15273" Type="http://schemas.openxmlformats.org/officeDocument/2006/relationships/hyperlink" Target="https://m.stock.naver.com/research/company/95087" TargetMode="External"/><Relationship Id="rId4281" Type="http://schemas.openxmlformats.org/officeDocument/2006/relationships/hyperlink" Target="https://m.stock.naver.com/research/company/88960" TargetMode="External"/><Relationship Id="rId5332" Type="http://schemas.openxmlformats.org/officeDocument/2006/relationships/hyperlink" Target="https://m.stock.naver.com/research/company/87908" TargetMode="External"/><Relationship Id="rId8555" Type="http://schemas.openxmlformats.org/officeDocument/2006/relationships/hyperlink" Target="https://m.stock.naver.com/research/company/84682" TargetMode="External"/><Relationship Id="rId9606" Type="http://schemas.openxmlformats.org/officeDocument/2006/relationships/hyperlink" Target="https://m.stock.naver.com/research/company/83619" TargetMode="External"/><Relationship Id="rId9953" Type="http://schemas.openxmlformats.org/officeDocument/2006/relationships/hyperlink" Target="https://m.stock.naver.com/research/company/83268" TargetMode="External"/><Relationship Id="rId11883" Type="http://schemas.openxmlformats.org/officeDocument/2006/relationships/hyperlink" Target="https://m.stock.naver.com/research/company/81329" TargetMode="External"/><Relationship Id="rId12934" Type="http://schemas.openxmlformats.org/officeDocument/2006/relationships/hyperlink" Target="https://m.stock.naver.com/research/company/80274" TargetMode="External"/><Relationship Id="rId1942" Type="http://schemas.openxmlformats.org/officeDocument/2006/relationships/hyperlink" Target="https://m.stock.naver.com/research/company/91313" TargetMode="External"/><Relationship Id="rId7157" Type="http://schemas.openxmlformats.org/officeDocument/2006/relationships/hyperlink" Target="https://m.stock.naver.com/research/company/86082" TargetMode="External"/><Relationship Id="rId8208" Type="http://schemas.openxmlformats.org/officeDocument/2006/relationships/hyperlink" Target="https://m.stock.naver.com/research/company/85030" TargetMode="External"/><Relationship Id="rId10485" Type="http://schemas.openxmlformats.org/officeDocument/2006/relationships/hyperlink" Target="https://m.stock.naver.com/research/company/82735" TargetMode="External"/><Relationship Id="rId11536" Type="http://schemas.openxmlformats.org/officeDocument/2006/relationships/hyperlink" Target="https://m.stock.naver.com/research/company/81679" TargetMode="External"/><Relationship Id="rId10138" Type="http://schemas.openxmlformats.org/officeDocument/2006/relationships/hyperlink" Target="https://m.stock.naver.com/research/company/83083" TargetMode="External"/><Relationship Id="rId14759" Type="http://schemas.openxmlformats.org/officeDocument/2006/relationships/hyperlink" Target="https://m.stock.naver.com/research/company/94641" TargetMode="External"/><Relationship Id="rId3767" Type="http://schemas.openxmlformats.org/officeDocument/2006/relationships/hyperlink" Target="https://m.stock.naver.com/research/company/89484" TargetMode="External"/><Relationship Id="rId4818" Type="http://schemas.openxmlformats.org/officeDocument/2006/relationships/hyperlink" Target="https://m.stock.naver.com/research/company/88422" TargetMode="External"/><Relationship Id="rId688" Type="http://schemas.openxmlformats.org/officeDocument/2006/relationships/hyperlink" Target="https://m.stock.naver.com/research/company/92768" TargetMode="External"/><Relationship Id="rId2369" Type="http://schemas.openxmlformats.org/officeDocument/2006/relationships/hyperlink" Target="https://m.stock.naver.com/research/company/90885" TargetMode="External"/><Relationship Id="rId6240" Type="http://schemas.openxmlformats.org/officeDocument/2006/relationships/hyperlink" Target="https://m.stock.naver.com/research/company/87000" TargetMode="External"/><Relationship Id="rId2850" Type="http://schemas.openxmlformats.org/officeDocument/2006/relationships/hyperlink" Target="https://m.stock.naver.com/research/company/90403" TargetMode="External"/><Relationship Id="rId9463" Type="http://schemas.openxmlformats.org/officeDocument/2006/relationships/hyperlink" Target="https://m.stock.naver.com/research/company/83764" TargetMode="External"/><Relationship Id="rId11393" Type="http://schemas.openxmlformats.org/officeDocument/2006/relationships/hyperlink" Target="https://m.stock.naver.com/research/company/81822" TargetMode="External"/><Relationship Id="rId12444" Type="http://schemas.openxmlformats.org/officeDocument/2006/relationships/hyperlink" Target="https://m.stock.naver.com/research/company/80765" TargetMode="External"/><Relationship Id="rId12791" Type="http://schemas.openxmlformats.org/officeDocument/2006/relationships/hyperlink" Target="https://m.stock.naver.com/research/company/80417" TargetMode="External"/><Relationship Id="rId13842" Type="http://schemas.openxmlformats.org/officeDocument/2006/relationships/hyperlink" Target="https://m.stock.naver.com/research/company/93640" TargetMode="External"/><Relationship Id="rId822" Type="http://schemas.openxmlformats.org/officeDocument/2006/relationships/hyperlink" Target="https://m.stock.naver.com/research/company/92634" TargetMode="External"/><Relationship Id="rId1452" Type="http://schemas.openxmlformats.org/officeDocument/2006/relationships/hyperlink" Target="https://m.stock.naver.com/research/company/91803" TargetMode="External"/><Relationship Id="rId2503" Type="http://schemas.openxmlformats.org/officeDocument/2006/relationships/hyperlink" Target="https://m.stock.naver.com/research/company/90751" TargetMode="External"/><Relationship Id="rId3901" Type="http://schemas.openxmlformats.org/officeDocument/2006/relationships/hyperlink" Target="https://m.stock.naver.com/research/company/89350" TargetMode="External"/><Relationship Id="rId8065" Type="http://schemas.openxmlformats.org/officeDocument/2006/relationships/hyperlink" Target="https://m.stock.naver.com/research/company/85173" TargetMode="External"/><Relationship Id="rId9116" Type="http://schemas.openxmlformats.org/officeDocument/2006/relationships/hyperlink" Target="https://m.stock.naver.com/research/company/84114" TargetMode="External"/><Relationship Id="rId11046" Type="http://schemas.openxmlformats.org/officeDocument/2006/relationships/hyperlink" Target="https://m.stock.naver.com/research/company/82174" TargetMode="External"/><Relationship Id="rId1105" Type="http://schemas.openxmlformats.org/officeDocument/2006/relationships/hyperlink" Target="https://m.stock.naver.com/research/company/92150" TargetMode="External"/><Relationship Id="rId15667" Type="http://schemas.openxmlformats.org/officeDocument/2006/relationships/hyperlink" Target="https://m.stock.naver.com/research/company/95747" TargetMode="External"/><Relationship Id="rId3277" Type="http://schemas.openxmlformats.org/officeDocument/2006/relationships/hyperlink" Target="https://m.stock.naver.com/research/company/89973" TargetMode="External"/><Relationship Id="rId4675" Type="http://schemas.openxmlformats.org/officeDocument/2006/relationships/hyperlink" Target="https://m.stock.naver.com/research/company/88565" TargetMode="External"/><Relationship Id="rId5726" Type="http://schemas.openxmlformats.org/officeDocument/2006/relationships/hyperlink" Target="https://m.stock.naver.com/research/company/87514" TargetMode="External"/><Relationship Id="rId14269" Type="http://schemas.openxmlformats.org/officeDocument/2006/relationships/hyperlink" Target="https://m.stock.naver.com/research/company/94129" TargetMode="External"/><Relationship Id="rId198" Type="http://schemas.openxmlformats.org/officeDocument/2006/relationships/hyperlink" Target="https://m.stock.naver.com/research/company/93260" TargetMode="External"/><Relationship Id="rId4328" Type="http://schemas.openxmlformats.org/officeDocument/2006/relationships/hyperlink" Target="https://m.stock.naver.com/research/company/88913" TargetMode="External"/><Relationship Id="rId7898" Type="http://schemas.openxmlformats.org/officeDocument/2006/relationships/hyperlink" Target="https://m.stock.naver.com/research/company/85340" TargetMode="External"/><Relationship Id="rId8949" Type="http://schemas.openxmlformats.org/officeDocument/2006/relationships/hyperlink" Target="https://m.stock.naver.com/research/company/84283" TargetMode="External"/><Relationship Id="rId10879" Type="http://schemas.openxmlformats.org/officeDocument/2006/relationships/hyperlink" Target="https://m.stock.naver.com/research/company/82341" TargetMode="External"/><Relationship Id="rId14750" Type="http://schemas.openxmlformats.org/officeDocument/2006/relationships/hyperlink" Target="https://m.stock.naver.com/research/company/94650" TargetMode="External"/><Relationship Id="rId13352" Type="http://schemas.openxmlformats.org/officeDocument/2006/relationships/hyperlink" Target="https://m.stock.naver.com/research/company/79853" TargetMode="External"/><Relationship Id="rId14403" Type="http://schemas.openxmlformats.org/officeDocument/2006/relationships/hyperlink" Target="https://m.stock.naver.com/research/company/94280" TargetMode="External"/><Relationship Id="rId2360" Type="http://schemas.openxmlformats.org/officeDocument/2006/relationships/hyperlink" Target="https://m.stock.naver.com/research/company/90894" TargetMode="External"/><Relationship Id="rId3411" Type="http://schemas.openxmlformats.org/officeDocument/2006/relationships/hyperlink" Target="https://m.stock.naver.com/research/company/89840" TargetMode="External"/><Relationship Id="rId6981" Type="http://schemas.openxmlformats.org/officeDocument/2006/relationships/hyperlink" Target="https://m.stock.naver.com/research/company/86258" TargetMode="External"/><Relationship Id="rId13005" Type="http://schemas.openxmlformats.org/officeDocument/2006/relationships/hyperlink" Target="https://m.stock.naver.com/research/company/80203" TargetMode="External"/><Relationship Id="rId332" Type="http://schemas.openxmlformats.org/officeDocument/2006/relationships/hyperlink" Target="https://m.stock.naver.com/research/company/93126" TargetMode="External"/><Relationship Id="rId2013" Type="http://schemas.openxmlformats.org/officeDocument/2006/relationships/hyperlink" Target="https://m.stock.naver.com/research/company/91242" TargetMode="External"/><Relationship Id="rId5583" Type="http://schemas.openxmlformats.org/officeDocument/2006/relationships/hyperlink" Target="https://m.stock.naver.com/research/company/87657" TargetMode="External"/><Relationship Id="rId6634" Type="http://schemas.openxmlformats.org/officeDocument/2006/relationships/hyperlink" Target="https://m.stock.naver.com/research/company/86606" TargetMode="External"/><Relationship Id="rId15177" Type="http://schemas.openxmlformats.org/officeDocument/2006/relationships/hyperlink" Target="https://m.stock.naver.com/research/company/95183" TargetMode="External"/><Relationship Id="rId4185" Type="http://schemas.openxmlformats.org/officeDocument/2006/relationships/hyperlink" Target="https://m.stock.naver.com/research/company/89057" TargetMode="External"/><Relationship Id="rId5236" Type="http://schemas.openxmlformats.org/officeDocument/2006/relationships/hyperlink" Target="https://m.stock.naver.com/research/company/88004" TargetMode="External"/><Relationship Id="rId9857" Type="http://schemas.openxmlformats.org/officeDocument/2006/relationships/hyperlink" Target="https://m.stock.naver.com/research/company/83365" TargetMode="External"/><Relationship Id="rId11787" Type="http://schemas.openxmlformats.org/officeDocument/2006/relationships/hyperlink" Target="https://m.stock.naver.com/research/company/81425" TargetMode="External"/><Relationship Id="rId12838" Type="http://schemas.openxmlformats.org/officeDocument/2006/relationships/hyperlink" Target="https://m.stock.naver.com/research/company/80370" TargetMode="External"/><Relationship Id="rId1846" Type="http://schemas.openxmlformats.org/officeDocument/2006/relationships/hyperlink" Target="https://m.stock.naver.com/research/company/91409" TargetMode="External"/><Relationship Id="rId8459" Type="http://schemas.openxmlformats.org/officeDocument/2006/relationships/hyperlink" Target="https://m.stock.naver.com/research/company/84778" TargetMode="External"/><Relationship Id="rId10389" Type="http://schemas.openxmlformats.org/officeDocument/2006/relationships/hyperlink" Target="https://m.stock.naver.com/research/company/82832" TargetMode="External"/><Relationship Id="rId14260" Type="http://schemas.openxmlformats.org/officeDocument/2006/relationships/hyperlink" Target="https://m.stock.naver.com/research/company/94083" TargetMode="External"/><Relationship Id="rId15311" Type="http://schemas.openxmlformats.org/officeDocument/2006/relationships/hyperlink" Target="https://m.stock.naver.com/research/company/95277" TargetMode="External"/><Relationship Id="rId8940" Type="http://schemas.openxmlformats.org/officeDocument/2006/relationships/hyperlink" Target="https://m.stock.naver.com/research/company/84293" TargetMode="External"/><Relationship Id="rId6491" Type="http://schemas.openxmlformats.org/officeDocument/2006/relationships/hyperlink" Target="https://m.stock.naver.com/research/company/86749" TargetMode="External"/><Relationship Id="rId7542" Type="http://schemas.openxmlformats.org/officeDocument/2006/relationships/hyperlink" Target="https://m.stock.naver.com/research/company/85697" TargetMode="External"/><Relationship Id="rId10523" Type="http://schemas.openxmlformats.org/officeDocument/2006/relationships/hyperlink" Target="https://m.stock.naver.com/research/company/82697" TargetMode="External"/><Relationship Id="rId10870" Type="http://schemas.openxmlformats.org/officeDocument/2006/relationships/hyperlink" Target="https://m.stock.naver.com/research/company/82350" TargetMode="External"/><Relationship Id="rId11921" Type="http://schemas.openxmlformats.org/officeDocument/2006/relationships/hyperlink" Target="https://m.stock.naver.com/research/company/81290" TargetMode="External"/><Relationship Id="rId5093" Type="http://schemas.openxmlformats.org/officeDocument/2006/relationships/hyperlink" Target="https://m.stock.naver.com/research/company/88147" TargetMode="External"/><Relationship Id="rId6144" Type="http://schemas.openxmlformats.org/officeDocument/2006/relationships/hyperlink" Target="https://m.stock.naver.com/research/company/87096" TargetMode="External"/><Relationship Id="rId9367" Type="http://schemas.openxmlformats.org/officeDocument/2006/relationships/hyperlink" Target="https://m.stock.naver.com/research/company/83860" TargetMode="External"/><Relationship Id="rId12695" Type="http://schemas.openxmlformats.org/officeDocument/2006/relationships/hyperlink" Target="https://m.stock.naver.com/research/company/80513" TargetMode="External"/><Relationship Id="rId13746" Type="http://schemas.openxmlformats.org/officeDocument/2006/relationships/hyperlink" Target="https://m.stock.naver.com/research/company/93525" TargetMode="External"/><Relationship Id="rId1356" Type="http://schemas.openxmlformats.org/officeDocument/2006/relationships/hyperlink" Target="https://m.stock.naver.com/research/company/91899" TargetMode="External"/><Relationship Id="rId2754" Type="http://schemas.openxmlformats.org/officeDocument/2006/relationships/hyperlink" Target="https://m.stock.naver.com/research/company/90500" TargetMode="External"/><Relationship Id="rId3805" Type="http://schemas.openxmlformats.org/officeDocument/2006/relationships/hyperlink" Target="https://m.stock.naver.com/research/company/89446" TargetMode="External"/><Relationship Id="rId11297" Type="http://schemas.openxmlformats.org/officeDocument/2006/relationships/hyperlink" Target="https://m.stock.naver.com/research/company/81922" TargetMode="External"/><Relationship Id="rId12348" Type="http://schemas.openxmlformats.org/officeDocument/2006/relationships/hyperlink" Target="https://m.stock.naver.com/research/company/80861" TargetMode="External"/><Relationship Id="rId726" Type="http://schemas.openxmlformats.org/officeDocument/2006/relationships/hyperlink" Target="https://m.stock.naver.com/research/company/92730" TargetMode="External"/><Relationship Id="rId1009" Type="http://schemas.openxmlformats.org/officeDocument/2006/relationships/hyperlink" Target="https://m.stock.naver.com/research/company/92447" TargetMode="External"/><Relationship Id="rId2407" Type="http://schemas.openxmlformats.org/officeDocument/2006/relationships/hyperlink" Target="https://m.stock.naver.com/research/company/90847" TargetMode="External"/><Relationship Id="rId5977" Type="http://schemas.openxmlformats.org/officeDocument/2006/relationships/hyperlink" Target="https://m.stock.naver.com/research/company/87263" TargetMode="External"/><Relationship Id="rId62" Type="http://schemas.openxmlformats.org/officeDocument/2006/relationships/hyperlink" Target="https://m.stock.naver.com/research/company/93396" TargetMode="External"/><Relationship Id="rId4579" Type="http://schemas.openxmlformats.org/officeDocument/2006/relationships/hyperlink" Target="https://m.stock.naver.com/research/company/88661" TargetMode="External"/><Relationship Id="rId8450" Type="http://schemas.openxmlformats.org/officeDocument/2006/relationships/hyperlink" Target="https://m.stock.naver.com/research/company/84787" TargetMode="External"/><Relationship Id="rId9501" Type="http://schemas.openxmlformats.org/officeDocument/2006/relationships/hyperlink" Target="https://m.stock.naver.com/research/company/83726" TargetMode="External"/><Relationship Id="rId10380" Type="http://schemas.openxmlformats.org/officeDocument/2006/relationships/hyperlink" Target="https://m.stock.naver.com/research/company/82841" TargetMode="External"/><Relationship Id="rId11431" Type="http://schemas.openxmlformats.org/officeDocument/2006/relationships/hyperlink" Target="https://m.stock.naver.com/research/company/81784" TargetMode="External"/><Relationship Id="rId7052" Type="http://schemas.openxmlformats.org/officeDocument/2006/relationships/hyperlink" Target="https://m.stock.naver.com/research/company/86187" TargetMode="External"/><Relationship Id="rId8103" Type="http://schemas.openxmlformats.org/officeDocument/2006/relationships/hyperlink" Target="https://m.stock.naver.com/research/company/85135" TargetMode="External"/><Relationship Id="rId10033" Type="http://schemas.openxmlformats.org/officeDocument/2006/relationships/hyperlink" Target="https://m.stock.naver.com/research/company/83188" TargetMode="External"/><Relationship Id="rId14654" Type="http://schemas.openxmlformats.org/officeDocument/2006/relationships/hyperlink" Target="https://m.stock.naver.com/research/company/94524" TargetMode="External"/><Relationship Id="rId3662" Type="http://schemas.openxmlformats.org/officeDocument/2006/relationships/hyperlink" Target="https://m.stock.naver.com/research/company/89589" TargetMode="External"/><Relationship Id="rId4713" Type="http://schemas.openxmlformats.org/officeDocument/2006/relationships/hyperlink" Target="https://m.stock.naver.com/research/company/88527" TargetMode="External"/><Relationship Id="rId13256" Type="http://schemas.openxmlformats.org/officeDocument/2006/relationships/hyperlink" Target="https://m.stock.naver.com/research/company/79950" TargetMode="External"/><Relationship Id="rId14307" Type="http://schemas.openxmlformats.org/officeDocument/2006/relationships/hyperlink" Target="https://m.stock.naver.com/research/company/94157" TargetMode="External"/><Relationship Id="rId15705" Type="http://schemas.openxmlformats.org/officeDocument/2006/relationships/hyperlink" Target="https://m.stock.naver.com/research/company/95709" TargetMode="External"/><Relationship Id="rId583" Type="http://schemas.openxmlformats.org/officeDocument/2006/relationships/hyperlink" Target="https://m.stock.naver.com/research/company/92874" TargetMode="External"/><Relationship Id="rId2264" Type="http://schemas.openxmlformats.org/officeDocument/2006/relationships/hyperlink" Target="https://m.stock.naver.com/research/company/90991" TargetMode="External"/><Relationship Id="rId3315" Type="http://schemas.openxmlformats.org/officeDocument/2006/relationships/hyperlink" Target="https://m.stock.naver.com/research/company/89935" TargetMode="External"/><Relationship Id="rId236" Type="http://schemas.openxmlformats.org/officeDocument/2006/relationships/hyperlink" Target="https://m.stock.naver.com/research/company/93222" TargetMode="External"/><Relationship Id="rId5487" Type="http://schemas.openxmlformats.org/officeDocument/2006/relationships/hyperlink" Target="https://m.stock.naver.com/research/company/87753" TargetMode="External"/><Relationship Id="rId6885" Type="http://schemas.openxmlformats.org/officeDocument/2006/relationships/hyperlink" Target="https://m.stock.naver.com/research/company/86354" TargetMode="External"/><Relationship Id="rId7936" Type="http://schemas.openxmlformats.org/officeDocument/2006/relationships/hyperlink" Target="https://m.stock.naver.com/research/company/85302" TargetMode="External"/><Relationship Id="rId10917" Type="http://schemas.openxmlformats.org/officeDocument/2006/relationships/hyperlink" Target="https://m.stock.naver.com/research/company/82303" TargetMode="External"/><Relationship Id="rId4089" Type="http://schemas.openxmlformats.org/officeDocument/2006/relationships/hyperlink" Target="https://m.stock.naver.com/research/company/89162" TargetMode="External"/><Relationship Id="rId6538" Type="http://schemas.openxmlformats.org/officeDocument/2006/relationships/hyperlink" Target="https://m.stock.naver.com/research/company/86702" TargetMode="External"/><Relationship Id="rId9011" Type="http://schemas.openxmlformats.org/officeDocument/2006/relationships/hyperlink" Target="https://m.stock.naver.com/research/company/84221" TargetMode="External"/><Relationship Id="rId15562" Type="http://schemas.openxmlformats.org/officeDocument/2006/relationships/hyperlink" Target="https://m.stock.naver.com/research/company/95474" TargetMode="External"/><Relationship Id="rId1000" Type="http://schemas.openxmlformats.org/officeDocument/2006/relationships/hyperlink" Target="https://m.stock.naver.com/research/company/92456" TargetMode="External"/><Relationship Id="rId4570" Type="http://schemas.openxmlformats.org/officeDocument/2006/relationships/hyperlink" Target="https://m.stock.naver.com/research/company/88670" TargetMode="External"/><Relationship Id="rId5621" Type="http://schemas.openxmlformats.org/officeDocument/2006/relationships/hyperlink" Target="https://m.stock.naver.com/research/company/87619" TargetMode="External"/><Relationship Id="rId14164" Type="http://schemas.openxmlformats.org/officeDocument/2006/relationships/hyperlink" Target="https://m.stock.naver.com/research/company/93964" TargetMode="External"/><Relationship Id="rId15215" Type="http://schemas.openxmlformats.org/officeDocument/2006/relationships/hyperlink" Target="https://m.stock.naver.com/research/company/95145" TargetMode="External"/><Relationship Id="rId3172" Type="http://schemas.openxmlformats.org/officeDocument/2006/relationships/hyperlink" Target="https://m.stock.naver.com/research/company/90079" TargetMode="External"/><Relationship Id="rId4223" Type="http://schemas.openxmlformats.org/officeDocument/2006/relationships/hyperlink" Target="https://m.stock.naver.com/research/company/89019" TargetMode="External"/><Relationship Id="rId7793" Type="http://schemas.openxmlformats.org/officeDocument/2006/relationships/hyperlink" Target="https://m.stock.naver.com/research/company/85445" TargetMode="External"/><Relationship Id="rId8844" Type="http://schemas.openxmlformats.org/officeDocument/2006/relationships/hyperlink" Target="https://m.stock.naver.com/research/company/84393" TargetMode="External"/><Relationship Id="rId6395" Type="http://schemas.openxmlformats.org/officeDocument/2006/relationships/hyperlink" Target="https://m.stock.naver.com/research/company/86845" TargetMode="External"/><Relationship Id="rId7446" Type="http://schemas.openxmlformats.org/officeDocument/2006/relationships/hyperlink" Target="https://m.stock.naver.com/research/company/85793" TargetMode="External"/><Relationship Id="rId10774" Type="http://schemas.openxmlformats.org/officeDocument/2006/relationships/hyperlink" Target="https://m.stock.naver.com/research/company/82446" TargetMode="External"/><Relationship Id="rId11825" Type="http://schemas.openxmlformats.org/officeDocument/2006/relationships/hyperlink" Target="https://m.stock.naver.com/research/company/81387" TargetMode="External"/><Relationship Id="rId6048" Type="http://schemas.openxmlformats.org/officeDocument/2006/relationships/hyperlink" Target="https://m.stock.naver.com/research/company/87192" TargetMode="External"/><Relationship Id="rId10427" Type="http://schemas.openxmlformats.org/officeDocument/2006/relationships/hyperlink" Target="https://m.stock.naver.com/research/company/82794" TargetMode="External"/><Relationship Id="rId13997" Type="http://schemas.openxmlformats.org/officeDocument/2006/relationships/hyperlink" Target="https://m.stock.naver.com/research/company/93735" TargetMode="External"/><Relationship Id="rId12599" Type="http://schemas.openxmlformats.org/officeDocument/2006/relationships/hyperlink" Target="https://m.stock.naver.com/research/company/80609" TargetMode="External"/><Relationship Id="rId977" Type="http://schemas.openxmlformats.org/officeDocument/2006/relationships/hyperlink" Target="https://m.stock.naver.com/research/company/92479" TargetMode="External"/><Relationship Id="rId2658" Type="http://schemas.openxmlformats.org/officeDocument/2006/relationships/hyperlink" Target="https://m.stock.naver.com/research/company/90596" TargetMode="External"/><Relationship Id="rId3709" Type="http://schemas.openxmlformats.org/officeDocument/2006/relationships/hyperlink" Target="https://m.stock.naver.com/research/company/89542" TargetMode="External"/><Relationship Id="rId4080" Type="http://schemas.openxmlformats.org/officeDocument/2006/relationships/hyperlink" Target="https://m.stock.naver.com/research/company/89171" TargetMode="External"/><Relationship Id="rId15072" Type="http://schemas.openxmlformats.org/officeDocument/2006/relationships/hyperlink" Target="https://m.stock.naver.com/research/company/95022" TargetMode="External"/><Relationship Id="rId5131" Type="http://schemas.openxmlformats.org/officeDocument/2006/relationships/hyperlink" Target="https://m.stock.naver.com/research/company/88109" TargetMode="External"/><Relationship Id="rId9752" Type="http://schemas.openxmlformats.org/officeDocument/2006/relationships/hyperlink" Target="https://m.stock.naver.com/research/company/83471" TargetMode="External"/><Relationship Id="rId11682" Type="http://schemas.openxmlformats.org/officeDocument/2006/relationships/hyperlink" Target="https://m.stock.naver.com/research/company/81530" TargetMode="External"/><Relationship Id="rId12733" Type="http://schemas.openxmlformats.org/officeDocument/2006/relationships/hyperlink" Target="https://m.stock.naver.com/research/company/80475" TargetMode="External"/><Relationship Id="rId1741" Type="http://schemas.openxmlformats.org/officeDocument/2006/relationships/hyperlink" Target="https://m.stock.naver.com/research/company/91514" TargetMode="External"/><Relationship Id="rId8354" Type="http://schemas.openxmlformats.org/officeDocument/2006/relationships/hyperlink" Target="https://m.stock.naver.com/research/company/84884" TargetMode="External"/><Relationship Id="rId9405" Type="http://schemas.openxmlformats.org/officeDocument/2006/relationships/hyperlink" Target="https://m.stock.naver.com/research/company/83822" TargetMode="External"/><Relationship Id="rId10284" Type="http://schemas.openxmlformats.org/officeDocument/2006/relationships/hyperlink" Target="https://m.stock.naver.com/research/company/82937" TargetMode="External"/><Relationship Id="rId11335" Type="http://schemas.openxmlformats.org/officeDocument/2006/relationships/hyperlink" Target="https://m.stock.naver.com/research/company/81881" TargetMode="External"/><Relationship Id="rId8007" Type="http://schemas.openxmlformats.org/officeDocument/2006/relationships/hyperlink" Target="https://m.stock.naver.com/research/company/85231" TargetMode="External"/><Relationship Id="rId3566" Type="http://schemas.openxmlformats.org/officeDocument/2006/relationships/hyperlink" Target="https://m.stock.naver.com/research/company/89685" TargetMode="External"/><Relationship Id="rId4964" Type="http://schemas.openxmlformats.org/officeDocument/2006/relationships/hyperlink" Target="https://m.stock.naver.com/research/company/88276" TargetMode="External"/><Relationship Id="rId14558" Type="http://schemas.openxmlformats.org/officeDocument/2006/relationships/hyperlink" Target="https://m.stock.naver.com/research/company/94352" TargetMode="External"/><Relationship Id="rId15609" Type="http://schemas.openxmlformats.org/officeDocument/2006/relationships/hyperlink" Target="https://m.stock.naver.com/research/company/95427" TargetMode="External"/><Relationship Id="rId487" Type="http://schemas.openxmlformats.org/officeDocument/2006/relationships/hyperlink" Target="https://m.stock.naver.com/research/company/92970" TargetMode="External"/><Relationship Id="rId2168" Type="http://schemas.openxmlformats.org/officeDocument/2006/relationships/hyperlink" Target="https://m.stock.naver.com/research/company/91087" TargetMode="External"/><Relationship Id="rId3219" Type="http://schemas.openxmlformats.org/officeDocument/2006/relationships/hyperlink" Target="https://m.stock.naver.com/research/company/90032" TargetMode="External"/><Relationship Id="rId4617" Type="http://schemas.openxmlformats.org/officeDocument/2006/relationships/hyperlink" Target="https://m.stock.naver.com/research/company/88623" TargetMode="External"/><Relationship Id="rId6789" Type="http://schemas.openxmlformats.org/officeDocument/2006/relationships/hyperlink" Target="https://m.stock.naver.com/research/company/86451" TargetMode="External"/><Relationship Id="rId12590" Type="http://schemas.openxmlformats.org/officeDocument/2006/relationships/hyperlink" Target="https://m.stock.naver.com/research/company/80618" TargetMode="External"/><Relationship Id="rId13641" Type="http://schemas.openxmlformats.org/officeDocument/2006/relationships/hyperlink" Target="https://m.stock.naver.com/research/company/79563" TargetMode="External"/><Relationship Id="rId3700" Type="http://schemas.openxmlformats.org/officeDocument/2006/relationships/hyperlink" Target="https://m.stock.naver.com/research/company/89551" TargetMode="External"/><Relationship Id="rId9262" Type="http://schemas.openxmlformats.org/officeDocument/2006/relationships/hyperlink" Target="https://m.stock.naver.com/research/company/83966" TargetMode="External"/><Relationship Id="rId11192" Type="http://schemas.openxmlformats.org/officeDocument/2006/relationships/hyperlink" Target="https://m.stock.naver.com/research/company/82028" TargetMode="External"/><Relationship Id="rId12243" Type="http://schemas.openxmlformats.org/officeDocument/2006/relationships/hyperlink" Target="https://m.stock.naver.com/research/company/80967" TargetMode="External"/><Relationship Id="rId621" Type="http://schemas.openxmlformats.org/officeDocument/2006/relationships/hyperlink" Target="https://m.stock.naver.com/research/company/92835" TargetMode="External"/><Relationship Id="rId1251" Type="http://schemas.openxmlformats.org/officeDocument/2006/relationships/hyperlink" Target="https://m.stock.naver.com/research/company/92004" TargetMode="External"/><Relationship Id="rId2302" Type="http://schemas.openxmlformats.org/officeDocument/2006/relationships/hyperlink" Target="https://m.stock.naver.com/research/company/90953" TargetMode="External"/><Relationship Id="rId5872" Type="http://schemas.openxmlformats.org/officeDocument/2006/relationships/hyperlink" Target="https://m.stock.naver.com/research/company/87368" TargetMode="External"/><Relationship Id="rId6923" Type="http://schemas.openxmlformats.org/officeDocument/2006/relationships/hyperlink" Target="https://m.stock.naver.com/research/company/86316" TargetMode="External"/><Relationship Id="rId15466" Type="http://schemas.openxmlformats.org/officeDocument/2006/relationships/hyperlink" Target="https://m.stock.naver.com/research/company/95321" TargetMode="External"/><Relationship Id="rId4474" Type="http://schemas.openxmlformats.org/officeDocument/2006/relationships/hyperlink" Target="https://m.stock.naver.com/research/company/88766" TargetMode="External"/><Relationship Id="rId5525" Type="http://schemas.openxmlformats.org/officeDocument/2006/relationships/hyperlink" Target="https://m.stock.naver.com/research/company/87715" TargetMode="External"/><Relationship Id="rId14068" Type="http://schemas.openxmlformats.org/officeDocument/2006/relationships/hyperlink" Target="https://m.stock.naver.com/research/company/93855" TargetMode="External"/><Relationship Id="rId15119" Type="http://schemas.openxmlformats.org/officeDocument/2006/relationships/hyperlink" Target="https://m.stock.naver.com/research/company/94975" TargetMode="External"/><Relationship Id="rId3076" Type="http://schemas.openxmlformats.org/officeDocument/2006/relationships/hyperlink" Target="https://m.stock.naver.com/research/company/90175" TargetMode="External"/><Relationship Id="rId4127" Type="http://schemas.openxmlformats.org/officeDocument/2006/relationships/hyperlink" Target="https://m.stock.naver.com/research/company/89124" TargetMode="External"/><Relationship Id="rId7697" Type="http://schemas.openxmlformats.org/officeDocument/2006/relationships/hyperlink" Target="https://m.stock.naver.com/research/company/85542" TargetMode="External"/><Relationship Id="rId6299" Type="http://schemas.openxmlformats.org/officeDocument/2006/relationships/hyperlink" Target="https://m.stock.naver.com/research/company/86941" TargetMode="External"/><Relationship Id="rId8748" Type="http://schemas.openxmlformats.org/officeDocument/2006/relationships/hyperlink" Target="https://m.stock.naver.com/research/company/84489" TargetMode="External"/><Relationship Id="rId10678" Type="http://schemas.openxmlformats.org/officeDocument/2006/relationships/hyperlink" Target="https://m.stock.naver.com/research/company/82542" TargetMode="External"/><Relationship Id="rId11729" Type="http://schemas.openxmlformats.org/officeDocument/2006/relationships/hyperlink" Target="https://m.stock.naver.com/research/company/81483" TargetMode="External"/><Relationship Id="rId15600" Type="http://schemas.openxmlformats.org/officeDocument/2006/relationships/hyperlink" Target="https://m.stock.naver.com/research/company/95436" TargetMode="External"/><Relationship Id="rId13151" Type="http://schemas.openxmlformats.org/officeDocument/2006/relationships/hyperlink" Target="https://m.stock.naver.com/research/company/80056" TargetMode="External"/><Relationship Id="rId14202" Type="http://schemas.openxmlformats.org/officeDocument/2006/relationships/hyperlink" Target="https://m.stock.naver.com/research/company/94056" TargetMode="External"/><Relationship Id="rId131" Type="http://schemas.openxmlformats.org/officeDocument/2006/relationships/hyperlink" Target="https://m.stock.naver.com/research/company/93327" TargetMode="External"/><Relationship Id="rId3210" Type="http://schemas.openxmlformats.org/officeDocument/2006/relationships/hyperlink" Target="https://m.stock.naver.com/research/company/90041" TargetMode="External"/><Relationship Id="rId6780" Type="http://schemas.openxmlformats.org/officeDocument/2006/relationships/hyperlink" Target="https://m.stock.naver.com/research/company/86460" TargetMode="External"/><Relationship Id="rId7831" Type="http://schemas.openxmlformats.org/officeDocument/2006/relationships/hyperlink" Target="https://m.stock.naver.com/research/company/85407" TargetMode="External"/><Relationship Id="rId5382" Type="http://schemas.openxmlformats.org/officeDocument/2006/relationships/hyperlink" Target="https://m.stock.naver.com/research/company/87858" TargetMode="External"/><Relationship Id="rId6433" Type="http://schemas.openxmlformats.org/officeDocument/2006/relationships/hyperlink" Target="https://m.stock.naver.com/research/company/86807" TargetMode="External"/><Relationship Id="rId10812" Type="http://schemas.openxmlformats.org/officeDocument/2006/relationships/hyperlink" Target="https://m.stock.naver.com/research/company/82408" TargetMode="External"/><Relationship Id="rId1992" Type="http://schemas.openxmlformats.org/officeDocument/2006/relationships/hyperlink" Target="https://m.stock.naver.com/research/company/91263" TargetMode="External"/><Relationship Id="rId5035" Type="http://schemas.openxmlformats.org/officeDocument/2006/relationships/hyperlink" Target="https://m.stock.naver.com/research/company/88205" TargetMode="External"/><Relationship Id="rId9656" Type="http://schemas.openxmlformats.org/officeDocument/2006/relationships/hyperlink" Target="https://m.stock.naver.com/research/company/83568" TargetMode="External"/><Relationship Id="rId12984" Type="http://schemas.openxmlformats.org/officeDocument/2006/relationships/hyperlink" Target="https://m.stock.naver.com/research/company/80224" TargetMode="External"/><Relationship Id="rId1645" Type="http://schemas.openxmlformats.org/officeDocument/2006/relationships/hyperlink" Target="https://m.stock.naver.com/research/company/91610" TargetMode="External"/><Relationship Id="rId8258" Type="http://schemas.openxmlformats.org/officeDocument/2006/relationships/hyperlink" Target="https://m.stock.naver.com/research/company/84980" TargetMode="External"/><Relationship Id="rId9309" Type="http://schemas.openxmlformats.org/officeDocument/2006/relationships/hyperlink" Target="https://m.stock.naver.com/research/company/83918" TargetMode="External"/><Relationship Id="rId10188" Type="http://schemas.openxmlformats.org/officeDocument/2006/relationships/hyperlink" Target="https://m.stock.naver.com/research/company/83033" TargetMode="External"/><Relationship Id="rId11239" Type="http://schemas.openxmlformats.org/officeDocument/2006/relationships/hyperlink" Target="https://m.stock.naver.com/research/company/81980" TargetMode="External"/><Relationship Id="rId11586" Type="http://schemas.openxmlformats.org/officeDocument/2006/relationships/hyperlink" Target="https://m.stock.naver.com/research/company/81626" TargetMode="External"/><Relationship Id="rId12637" Type="http://schemas.openxmlformats.org/officeDocument/2006/relationships/hyperlink" Target="https://m.stock.naver.com/research/company/80571" TargetMode="External"/><Relationship Id="rId15110" Type="http://schemas.openxmlformats.org/officeDocument/2006/relationships/hyperlink" Target="https://m.stock.naver.com/research/company/94984" TargetMode="External"/><Relationship Id="rId4868" Type="http://schemas.openxmlformats.org/officeDocument/2006/relationships/hyperlink" Target="https://m.stock.naver.com/research/company/88372" TargetMode="External"/><Relationship Id="rId5919" Type="http://schemas.openxmlformats.org/officeDocument/2006/relationships/hyperlink" Target="https://m.stock.naver.com/research/company/87321" TargetMode="External"/><Relationship Id="rId6290" Type="http://schemas.openxmlformats.org/officeDocument/2006/relationships/hyperlink" Target="https://m.stock.naver.com/research/company/86950" TargetMode="External"/><Relationship Id="rId11720" Type="http://schemas.openxmlformats.org/officeDocument/2006/relationships/hyperlink" Target="https://m.stock.naver.com/research/company/81492" TargetMode="External"/><Relationship Id="rId7341" Type="http://schemas.openxmlformats.org/officeDocument/2006/relationships/hyperlink" Target="https://m.stock.naver.com/research/company/85898" TargetMode="External"/><Relationship Id="rId10322" Type="http://schemas.openxmlformats.org/officeDocument/2006/relationships/hyperlink" Target="https://m.stock.naver.com/research/company/82899" TargetMode="External"/><Relationship Id="rId13892" Type="http://schemas.openxmlformats.org/officeDocument/2006/relationships/hyperlink" Target="https://m.stock.naver.com/research/company/93674" TargetMode="External"/><Relationship Id="rId14943" Type="http://schemas.openxmlformats.org/officeDocument/2006/relationships/hyperlink" Target="https://m.stock.naver.com/research/company/94891" TargetMode="External"/><Relationship Id="rId3951" Type="http://schemas.openxmlformats.org/officeDocument/2006/relationships/hyperlink" Target="https://m.stock.naver.com/research/company/89300" TargetMode="External"/><Relationship Id="rId12494" Type="http://schemas.openxmlformats.org/officeDocument/2006/relationships/hyperlink" Target="https://m.stock.naver.com/research/company/80714" TargetMode="External"/><Relationship Id="rId13545" Type="http://schemas.openxmlformats.org/officeDocument/2006/relationships/hyperlink" Target="https://m.stock.naver.com/research/company/79659" TargetMode="External"/><Relationship Id="rId872" Type="http://schemas.openxmlformats.org/officeDocument/2006/relationships/hyperlink" Target="https://m.stock.naver.com/research/company/92584" TargetMode="External"/><Relationship Id="rId2553" Type="http://schemas.openxmlformats.org/officeDocument/2006/relationships/hyperlink" Target="https://m.stock.naver.com/research/company/90701" TargetMode="External"/><Relationship Id="rId3604" Type="http://schemas.openxmlformats.org/officeDocument/2006/relationships/hyperlink" Target="https://m.stock.naver.com/research/company/89647" TargetMode="External"/><Relationship Id="rId9166" Type="http://schemas.openxmlformats.org/officeDocument/2006/relationships/hyperlink" Target="https://m.stock.naver.com/research/company/84064" TargetMode="External"/><Relationship Id="rId11096" Type="http://schemas.openxmlformats.org/officeDocument/2006/relationships/hyperlink" Target="https://m.stock.naver.com/research/company/82124" TargetMode="External"/><Relationship Id="rId12147" Type="http://schemas.openxmlformats.org/officeDocument/2006/relationships/hyperlink" Target="https://m.stock.naver.com/research/company/81064" TargetMode="External"/><Relationship Id="rId525" Type="http://schemas.openxmlformats.org/officeDocument/2006/relationships/hyperlink" Target="https://m.stock.naver.com/research/company/92932" TargetMode="External"/><Relationship Id="rId1155" Type="http://schemas.openxmlformats.org/officeDocument/2006/relationships/hyperlink" Target="https://m.stock.naver.com/research/company/92100" TargetMode="External"/><Relationship Id="rId2206" Type="http://schemas.openxmlformats.org/officeDocument/2006/relationships/hyperlink" Target="https://m.stock.naver.com/research/company/91049" TargetMode="External"/><Relationship Id="rId5776" Type="http://schemas.openxmlformats.org/officeDocument/2006/relationships/hyperlink" Target="https://m.stock.naver.com/research/company/87464" TargetMode="External"/><Relationship Id="rId4378" Type="http://schemas.openxmlformats.org/officeDocument/2006/relationships/hyperlink" Target="https://m.stock.naver.com/research/company/88863" TargetMode="External"/><Relationship Id="rId5429" Type="http://schemas.openxmlformats.org/officeDocument/2006/relationships/hyperlink" Target="https://m.stock.naver.com/research/company/87811" TargetMode="External"/><Relationship Id="rId6827" Type="http://schemas.openxmlformats.org/officeDocument/2006/relationships/hyperlink" Target="https://m.stock.naver.com/research/company/86413" TargetMode="External"/><Relationship Id="rId9300" Type="http://schemas.openxmlformats.org/officeDocument/2006/relationships/hyperlink" Target="https://m.stock.naver.com/research/company/83927" TargetMode="External"/><Relationship Id="rId8999" Type="http://schemas.openxmlformats.org/officeDocument/2006/relationships/hyperlink" Target="https://m.stock.naver.com/research/company/84233" TargetMode="External"/><Relationship Id="rId11230" Type="http://schemas.openxmlformats.org/officeDocument/2006/relationships/hyperlink" Target="https://m.stock.naver.com/research/company/81989" TargetMode="External"/><Relationship Id="rId5910" Type="http://schemas.openxmlformats.org/officeDocument/2006/relationships/hyperlink" Target="https://m.stock.naver.com/research/company/87330" TargetMode="External"/><Relationship Id="rId14453" Type="http://schemas.openxmlformats.org/officeDocument/2006/relationships/hyperlink" Target="https://m.stock.naver.com/research/company/94457" TargetMode="External"/><Relationship Id="rId15504" Type="http://schemas.openxmlformats.org/officeDocument/2006/relationships/hyperlink" Target="https://m.stock.naver.com/research/company/95283" TargetMode="External"/><Relationship Id="rId3461" Type="http://schemas.openxmlformats.org/officeDocument/2006/relationships/hyperlink" Target="https://m.stock.naver.com/research/company/89790" TargetMode="External"/><Relationship Id="rId4512" Type="http://schemas.openxmlformats.org/officeDocument/2006/relationships/hyperlink" Target="https://m.stock.naver.com/research/company/88728" TargetMode="External"/><Relationship Id="rId13055" Type="http://schemas.openxmlformats.org/officeDocument/2006/relationships/hyperlink" Target="https://m.stock.naver.com/research/company/80152" TargetMode="External"/><Relationship Id="rId14106" Type="http://schemas.openxmlformats.org/officeDocument/2006/relationships/hyperlink" Target="https://m.stock.naver.com/research/company/93896" TargetMode="External"/><Relationship Id="rId382" Type="http://schemas.openxmlformats.org/officeDocument/2006/relationships/hyperlink" Target="https://m.stock.naver.com/research/company/93076" TargetMode="External"/><Relationship Id="rId2063" Type="http://schemas.openxmlformats.org/officeDocument/2006/relationships/hyperlink" Target="https://m.stock.naver.com/research/company/91192" TargetMode="External"/><Relationship Id="rId3114" Type="http://schemas.openxmlformats.org/officeDocument/2006/relationships/hyperlink" Target="https://m.stock.naver.com/research/company/90137" TargetMode="External"/><Relationship Id="rId6684" Type="http://schemas.openxmlformats.org/officeDocument/2006/relationships/hyperlink" Target="https://m.stock.naver.com/research/company/86556" TargetMode="External"/><Relationship Id="rId7735" Type="http://schemas.openxmlformats.org/officeDocument/2006/relationships/hyperlink" Target="https://m.stock.naver.com/research/company/85504" TargetMode="External"/><Relationship Id="rId5286" Type="http://schemas.openxmlformats.org/officeDocument/2006/relationships/hyperlink" Target="https://m.stock.naver.com/research/company/87954" TargetMode="External"/><Relationship Id="rId6337" Type="http://schemas.openxmlformats.org/officeDocument/2006/relationships/hyperlink" Target="https://m.stock.naver.com/research/company/86903" TargetMode="External"/><Relationship Id="rId10716" Type="http://schemas.openxmlformats.org/officeDocument/2006/relationships/hyperlink" Target="https://m.stock.naver.com/research/company/82504" TargetMode="External"/><Relationship Id="rId12888" Type="http://schemas.openxmlformats.org/officeDocument/2006/relationships/hyperlink" Target="https://m.stock.naver.com/research/company/80320" TargetMode="External"/><Relationship Id="rId13939" Type="http://schemas.openxmlformats.org/officeDocument/2006/relationships/hyperlink" Target="https://m.stock.naver.com/research/company/93793" TargetMode="External"/><Relationship Id="rId1896" Type="http://schemas.openxmlformats.org/officeDocument/2006/relationships/hyperlink" Target="https://m.stock.naver.com/research/company/91359" TargetMode="External"/><Relationship Id="rId2947" Type="http://schemas.openxmlformats.org/officeDocument/2006/relationships/hyperlink" Target="https://m.stock.naver.com/research/company/90306" TargetMode="External"/><Relationship Id="rId15361" Type="http://schemas.openxmlformats.org/officeDocument/2006/relationships/hyperlink" Target="https://m.stock.naver.com/research/company/95227" TargetMode="External"/><Relationship Id="rId919" Type="http://schemas.openxmlformats.org/officeDocument/2006/relationships/hyperlink" Target="https://m.stock.naver.com/research/company/92537" TargetMode="External"/><Relationship Id="rId1549" Type="http://schemas.openxmlformats.org/officeDocument/2006/relationships/hyperlink" Target="https://m.stock.naver.com/research/company/91706" TargetMode="External"/><Relationship Id="rId4022" Type="http://schemas.openxmlformats.org/officeDocument/2006/relationships/hyperlink" Target="https://m.stock.naver.com/research/company/89229" TargetMode="External"/><Relationship Id="rId5420" Type="http://schemas.openxmlformats.org/officeDocument/2006/relationships/hyperlink" Target="https://m.stock.naver.com/research/company/87820" TargetMode="External"/><Relationship Id="rId8990" Type="http://schemas.openxmlformats.org/officeDocument/2006/relationships/hyperlink" Target="https://m.stock.naver.com/research/company/84242" TargetMode="External"/><Relationship Id="rId11971" Type="http://schemas.openxmlformats.org/officeDocument/2006/relationships/hyperlink" Target="https://m.stock.naver.com/research/company/81240" TargetMode="External"/><Relationship Id="rId15014" Type="http://schemas.openxmlformats.org/officeDocument/2006/relationships/hyperlink" Target="https://m.stock.naver.com/research/company/94820" TargetMode="External"/><Relationship Id="rId7592" Type="http://schemas.openxmlformats.org/officeDocument/2006/relationships/hyperlink" Target="https://m.stock.naver.com/research/company/85647" TargetMode="External"/><Relationship Id="rId8643" Type="http://schemas.openxmlformats.org/officeDocument/2006/relationships/hyperlink" Target="https://m.stock.naver.com/research/company/84594" TargetMode="External"/><Relationship Id="rId10573" Type="http://schemas.openxmlformats.org/officeDocument/2006/relationships/hyperlink" Target="https://m.stock.naver.com/research/company/82647" TargetMode="External"/><Relationship Id="rId11624" Type="http://schemas.openxmlformats.org/officeDocument/2006/relationships/hyperlink" Target="https://m.stock.naver.com/research/company/81588" TargetMode="External"/><Relationship Id="rId6194" Type="http://schemas.openxmlformats.org/officeDocument/2006/relationships/hyperlink" Target="https://m.stock.naver.com/research/company/87046" TargetMode="External"/><Relationship Id="rId7245" Type="http://schemas.openxmlformats.org/officeDocument/2006/relationships/hyperlink" Target="https://m.stock.naver.com/research/company/85994" TargetMode="External"/><Relationship Id="rId10226" Type="http://schemas.openxmlformats.org/officeDocument/2006/relationships/hyperlink" Target="https://m.stock.naver.com/research/company/82995" TargetMode="External"/><Relationship Id="rId13796" Type="http://schemas.openxmlformats.org/officeDocument/2006/relationships/hyperlink" Target="https://m.stock.naver.com/research/company/93582" TargetMode="External"/><Relationship Id="rId3855" Type="http://schemas.openxmlformats.org/officeDocument/2006/relationships/hyperlink" Target="https://m.stock.naver.com/research/company/89396" TargetMode="External"/><Relationship Id="rId12398" Type="http://schemas.openxmlformats.org/officeDocument/2006/relationships/hyperlink" Target="https://m.stock.naver.com/research/company/80811" TargetMode="External"/><Relationship Id="rId13449" Type="http://schemas.openxmlformats.org/officeDocument/2006/relationships/hyperlink" Target="https://m.stock.naver.com/research/company/79755" TargetMode="External"/><Relationship Id="rId14847" Type="http://schemas.openxmlformats.org/officeDocument/2006/relationships/hyperlink" Target="https://m.stock.naver.com/research/company/94777" TargetMode="External"/><Relationship Id="rId776" Type="http://schemas.openxmlformats.org/officeDocument/2006/relationships/hyperlink" Target="https://m.stock.naver.com/research/company/92680" TargetMode="External"/><Relationship Id="rId2457" Type="http://schemas.openxmlformats.org/officeDocument/2006/relationships/hyperlink" Target="https://m.stock.naver.com/research/company/90797" TargetMode="External"/><Relationship Id="rId3508" Type="http://schemas.openxmlformats.org/officeDocument/2006/relationships/hyperlink" Target="https://m.stock.naver.com/research/company/89743" TargetMode="External"/><Relationship Id="rId4906" Type="http://schemas.openxmlformats.org/officeDocument/2006/relationships/hyperlink" Target="https://m.stock.naver.com/research/company/88334" TargetMode="External"/><Relationship Id="rId429" Type="http://schemas.openxmlformats.org/officeDocument/2006/relationships/hyperlink" Target="https://m.stock.naver.com/research/company/93028" TargetMode="External"/><Relationship Id="rId1059" Type="http://schemas.openxmlformats.org/officeDocument/2006/relationships/hyperlink" Target="https://m.stock.naver.com/research/company/92292" TargetMode="External"/><Relationship Id="rId13930" Type="http://schemas.openxmlformats.org/officeDocument/2006/relationships/hyperlink" Target="https://m.stock.naver.com/research/company/93707" TargetMode="External"/><Relationship Id="rId8153" Type="http://schemas.openxmlformats.org/officeDocument/2006/relationships/hyperlink" Target="https://m.stock.naver.com/research/company/85085" TargetMode="External"/><Relationship Id="rId9551" Type="http://schemas.openxmlformats.org/officeDocument/2006/relationships/hyperlink" Target="https://m.stock.naver.com/research/company/83676" TargetMode="External"/><Relationship Id="rId11481" Type="http://schemas.openxmlformats.org/officeDocument/2006/relationships/hyperlink" Target="https://m.stock.naver.com/research/company/81734" TargetMode="External"/><Relationship Id="rId12532" Type="http://schemas.openxmlformats.org/officeDocument/2006/relationships/hyperlink" Target="https://m.stock.naver.com/research/company/80676" TargetMode="External"/><Relationship Id="rId910" Type="http://schemas.openxmlformats.org/officeDocument/2006/relationships/hyperlink" Target="https://m.stock.naver.com/research/company/92546" TargetMode="External"/><Relationship Id="rId1540" Type="http://schemas.openxmlformats.org/officeDocument/2006/relationships/hyperlink" Target="https://m.stock.naver.com/research/company/91715" TargetMode="External"/><Relationship Id="rId9204" Type="http://schemas.openxmlformats.org/officeDocument/2006/relationships/hyperlink" Target="https://m.stock.naver.com/research/company/84026" TargetMode="External"/><Relationship Id="rId10083" Type="http://schemas.openxmlformats.org/officeDocument/2006/relationships/hyperlink" Target="https://m.stock.naver.com/research/company/83138" TargetMode="External"/><Relationship Id="rId11134" Type="http://schemas.openxmlformats.org/officeDocument/2006/relationships/hyperlink" Target="https://m.stock.naver.com/research/company/82086" TargetMode="External"/><Relationship Id="rId15755" Type="http://schemas.openxmlformats.org/officeDocument/2006/relationships/hyperlink" Target="https://m.stock.naver.com/research/company/95659" TargetMode="External"/><Relationship Id="rId4763" Type="http://schemas.openxmlformats.org/officeDocument/2006/relationships/hyperlink" Target="https://m.stock.naver.com/research/company/88477" TargetMode="External"/><Relationship Id="rId5814" Type="http://schemas.openxmlformats.org/officeDocument/2006/relationships/hyperlink" Target="https://m.stock.naver.com/research/company/87426" TargetMode="External"/><Relationship Id="rId14357" Type="http://schemas.openxmlformats.org/officeDocument/2006/relationships/hyperlink" Target="https://m.stock.naver.com/research/company/94194" TargetMode="External"/><Relationship Id="rId15408" Type="http://schemas.openxmlformats.org/officeDocument/2006/relationships/hyperlink" Target="https://m.stock.naver.com/research/company/95379" TargetMode="External"/><Relationship Id="rId3365" Type="http://schemas.openxmlformats.org/officeDocument/2006/relationships/hyperlink" Target="https://m.stock.naver.com/research/company/89885" TargetMode="External"/><Relationship Id="rId4416" Type="http://schemas.openxmlformats.org/officeDocument/2006/relationships/hyperlink" Target="https://m.stock.naver.com/research/company/88825" TargetMode="External"/><Relationship Id="rId7986" Type="http://schemas.openxmlformats.org/officeDocument/2006/relationships/hyperlink" Target="https://m.stock.naver.com/research/company/85252" TargetMode="External"/><Relationship Id="rId286" Type="http://schemas.openxmlformats.org/officeDocument/2006/relationships/hyperlink" Target="https://m.stock.naver.com/research/company/93172" TargetMode="External"/><Relationship Id="rId3018" Type="http://schemas.openxmlformats.org/officeDocument/2006/relationships/hyperlink" Target="https://m.stock.naver.com/research/company/90233" TargetMode="External"/><Relationship Id="rId6588" Type="http://schemas.openxmlformats.org/officeDocument/2006/relationships/hyperlink" Target="https://m.stock.naver.com/research/company/86652" TargetMode="External"/><Relationship Id="rId7639" Type="http://schemas.openxmlformats.org/officeDocument/2006/relationships/hyperlink" Target="https://m.stock.naver.com/research/company/85600" TargetMode="External"/><Relationship Id="rId10967" Type="http://schemas.openxmlformats.org/officeDocument/2006/relationships/hyperlink" Target="https://m.stock.naver.com/research/company/82253" TargetMode="External"/><Relationship Id="rId9061" Type="http://schemas.openxmlformats.org/officeDocument/2006/relationships/hyperlink" Target="https://m.stock.naver.com/research/company/84170" TargetMode="External"/><Relationship Id="rId13440" Type="http://schemas.openxmlformats.org/officeDocument/2006/relationships/hyperlink" Target="https://m.stock.naver.com/research/company/79764" TargetMode="External"/><Relationship Id="rId420" Type="http://schemas.openxmlformats.org/officeDocument/2006/relationships/hyperlink" Target="https://m.stock.naver.com/research/company/93037" TargetMode="External"/><Relationship Id="rId1050" Type="http://schemas.openxmlformats.org/officeDocument/2006/relationships/hyperlink" Target="https://m.stock.naver.com/research/company/92301" TargetMode="External"/><Relationship Id="rId2101" Type="http://schemas.openxmlformats.org/officeDocument/2006/relationships/hyperlink" Target="https://m.stock.naver.com/research/company/91154" TargetMode="External"/><Relationship Id="rId12042" Type="http://schemas.openxmlformats.org/officeDocument/2006/relationships/hyperlink" Target="https://m.stock.naver.com/research/company/81169" TargetMode="External"/><Relationship Id="rId5671" Type="http://schemas.openxmlformats.org/officeDocument/2006/relationships/hyperlink" Target="https://m.stock.naver.com/research/company/87569" TargetMode="External"/><Relationship Id="rId6722" Type="http://schemas.openxmlformats.org/officeDocument/2006/relationships/hyperlink" Target="https://m.stock.naver.com/research/company/86518" TargetMode="External"/><Relationship Id="rId15265" Type="http://schemas.openxmlformats.org/officeDocument/2006/relationships/hyperlink" Target="https://m.stock.naver.com/research/company/95095" TargetMode="External"/><Relationship Id="rId4273" Type="http://schemas.openxmlformats.org/officeDocument/2006/relationships/hyperlink" Target="https://m.stock.naver.com/research/company/88968" TargetMode="External"/><Relationship Id="rId5324" Type="http://schemas.openxmlformats.org/officeDocument/2006/relationships/hyperlink" Target="https://m.stock.naver.com/research/company/87916" TargetMode="External"/><Relationship Id="rId8894" Type="http://schemas.openxmlformats.org/officeDocument/2006/relationships/hyperlink" Target="https://m.stock.naver.com/research/company/84342" TargetMode="External"/><Relationship Id="rId9945" Type="http://schemas.openxmlformats.org/officeDocument/2006/relationships/hyperlink" Target="https://m.stock.naver.com/research/company/83277" TargetMode="External"/><Relationship Id="rId1934" Type="http://schemas.openxmlformats.org/officeDocument/2006/relationships/hyperlink" Target="https://m.stock.naver.com/research/company/91321" TargetMode="External"/><Relationship Id="rId7496" Type="http://schemas.openxmlformats.org/officeDocument/2006/relationships/hyperlink" Target="https://m.stock.naver.com/research/company/85743" TargetMode="External"/><Relationship Id="rId8547" Type="http://schemas.openxmlformats.org/officeDocument/2006/relationships/hyperlink" Target="https://m.stock.naver.com/research/company/84690" TargetMode="External"/><Relationship Id="rId10477" Type="http://schemas.openxmlformats.org/officeDocument/2006/relationships/hyperlink" Target="https://m.stock.naver.com/research/company/82743" TargetMode="External"/><Relationship Id="rId11528" Type="http://schemas.openxmlformats.org/officeDocument/2006/relationships/hyperlink" Target="https://m.stock.naver.com/research/company/81687" TargetMode="External"/><Relationship Id="rId11875" Type="http://schemas.openxmlformats.org/officeDocument/2006/relationships/hyperlink" Target="https://m.stock.naver.com/research/company/81337" TargetMode="External"/><Relationship Id="rId12926" Type="http://schemas.openxmlformats.org/officeDocument/2006/relationships/hyperlink" Target="https://m.stock.naver.com/research/company/80282" TargetMode="External"/><Relationship Id="rId6098" Type="http://schemas.openxmlformats.org/officeDocument/2006/relationships/hyperlink" Target="https://m.stock.naver.com/research/company/87142" TargetMode="External"/><Relationship Id="rId7149" Type="http://schemas.openxmlformats.org/officeDocument/2006/relationships/hyperlink" Target="https://m.stock.naver.com/research/company/86090" TargetMode="External"/><Relationship Id="rId14001" Type="http://schemas.openxmlformats.org/officeDocument/2006/relationships/hyperlink" Target="https://m.stock.naver.com/research/company/93731" TargetMode="External"/><Relationship Id="rId3759" Type="http://schemas.openxmlformats.org/officeDocument/2006/relationships/hyperlink" Target="https://m.stock.naver.com/research/company/89492" TargetMode="External"/><Relationship Id="rId5181" Type="http://schemas.openxmlformats.org/officeDocument/2006/relationships/hyperlink" Target="https://m.stock.naver.com/research/company/88059" TargetMode="External"/><Relationship Id="rId6232" Type="http://schemas.openxmlformats.org/officeDocument/2006/relationships/hyperlink" Target="https://m.stock.naver.com/research/company/87008" TargetMode="External"/><Relationship Id="rId7630" Type="http://schemas.openxmlformats.org/officeDocument/2006/relationships/hyperlink" Target="https://m.stock.naver.com/research/company/85609" TargetMode="External"/><Relationship Id="rId10611" Type="http://schemas.openxmlformats.org/officeDocument/2006/relationships/hyperlink" Target="https://m.stock.naver.com/research/company/82609" TargetMode="External"/><Relationship Id="rId12783" Type="http://schemas.openxmlformats.org/officeDocument/2006/relationships/hyperlink" Target="https://m.stock.naver.com/research/company/80425" TargetMode="External"/><Relationship Id="rId13834" Type="http://schemas.openxmlformats.org/officeDocument/2006/relationships/hyperlink" Target="https://m.stock.naver.com/research/company/93619" TargetMode="External"/><Relationship Id="rId1791" Type="http://schemas.openxmlformats.org/officeDocument/2006/relationships/hyperlink" Target="https://m.stock.naver.com/research/company/91464" TargetMode="External"/><Relationship Id="rId2842" Type="http://schemas.openxmlformats.org/officeDocument/2006/relationships/hyperlink" Target="https://m.stock.naver.com/research/company/90411" TargetMode="External"/><Relationship Id="rId9455" Type="http://schemas.openxmlformats.org/officeDocument/2006/relationships/hyperlink" Target="https://m.stock.naver.com/research/company/83772" TargetMode="External"/><Relationship Id="rId11385" Type="http://schemas.openxmlformats.org/officeDocument/2006/relationships/hyperlink" Target="https://m.stock.naver.com/research/company/81830" TargetMode="External"/><Relationship Id="rId12436" Type="http://schemas.openxmlformats.org/officeDocument/2006/relationships/hyperlink" Target="https://m.stock.naver.com/research/company/80773" TargetMode="External"/><Relationship Id="rId814" Type="http://schemas.openxmlformats.org/officeDocument/2006/relationships/hyperlink" Target="https://m.stock.naver.com/research/company/92642" TargetMode="External"/><Relationship Id="rId1444" Type="http://schemas.openxmlformats.org/officeDocument/2006/relationships/hyperlink" Target="https://m.stock.naver.com/research/company/91811" TargetMode="External"/><Relationship Id="rId8057" Type="http://schemas.openxmlformats.org/officeDocument/2006/relationships/hyperlink" Target="https://m.stock.naver.com/research/company/85181" TargetMode="External"/><Relationship Id="rId9108" Type="http://schemas.openxmlformats.org/officeDocument/2006/relationships/hyperlink" Target="https://m.stock.naver.com/research/company/84122" TargetMode="External"/><Relationship Id="rId11038" Type="http://schemas.openxmlformats.org/officeDocument/2006/relationships/hyperlink" Target="https://m.stock.naver.com/research/company/82182" TargetMode="External"/><Relationship Id="rId15659" Type="http://schemas.openxmlformats.org/officeDocument/2006/relationships/hyperlink" Target="https://m.stock.naver.com/research/company/95755" TargetMode="External"/><Relationship Id="rId4667" Type="http://schemas.openxmlformats.org/officeDocument/2006/relationships/hyperlink" Target="https://m.stock.naver.com/research/company/88573" TargetMode="External"/><Relationship Id="rId5718" Type="http://schemas.openxmlformats.org/officeDocument/2006/relationships/hyperlink" Target="https://m.stock.naver.com/research/company/87522" TargetMode="External"/><Relationship Id="rId3269" Type="http://schemas.openxmlformats.org/officeDocument/2006/relationships/hyperlink" Target="https://m.stock.naver.com/research/company/89981" TargetMode="External"/><Relationship Id="rId7140" Type="http://schemas.openxmlformats.org/officeDocument/2006/relationships/hyperlink" Target="https://m.stock.naver.com/research/company/86099" TargetMode="External"/><Relationship Id="rId10121" Type="http://schemas.openxmlformats.org/officeDocument/2006/relationships/hyperlink" Target="https://m.stock.naver.com/research/company/83100" TargetMode="External"/><Relationship Id="rId13691" Type="http://schemas.openxmlformats.org/officeDocument/2006/relationships/hyperlink" Target="https://m.stock.naver.com/research/company/93483" TargetMode="External"/><Relationship Id="rId14742" Type="http://schemas.openxmlformats.org/officeDocument/2006/relationships/hyperlink" Target="https://m.stock.naver.com/research/company/94658" TargetMode="External"/><Relationship Id="rId3750" Type="http://schemas.openxmlformats.org/officeDocument/2006/relationships/hyperlink" Target="https://m.stock.naver.com/research/company/89501" TargetMode="External"/><Relationship Id="rId4801" Type="http://schemas.openxmlformats.org/officeDocument/2006/relationships/hyperlink" Target="https://m.stock.naver.com/research/company/88439" TargetMode="External"/><Relationship Id="rId12293" Type="http://schemas.openxmlformats.org/officeDocument/2006/relationships/hyperlink" Target="https://m.stock.naver.com/research/company/80916" TargetMode="External"/><Relationship Id="rId13344" Type="http://schemas.openxmlformats.org/officeDocument/2006/relationships/hyperlink" Target="https://m.stock.naver.com/research/company/79861" TargetMode="External"/><Relationship Id="rId671" Type="http://schemas.openxmlformats.org/officeDocument/2006/relationships/hyperlink" Target="https://m.stock.naver.com/research/company/92785" TargetMode="External"/><Relationship Id="rId2352" Type="http://schemas.openxmlformats.org/officeDocument/2006/relationships/hyperlink" Target="https://m.stock.naver.com/research/company/90902" TargetMode="External"/><Relationship Id="rId3403" Type="http://schemas.openxmlformats.org/officeDocument/2006/relationships/hyperlink" Target="https://m.stock.naver.com/research/company/89848" TargetMode="External"/><Relationship Id="rId6973" Type="http://schemas.openxmlformats.org/officeDocument/2006/relationships/hyperlink" Target="https://m.stock.naver.com/research/company/86266" TargetMode="External"/><Relationship Id="rId324" Type="http://schemas.openxmlformats.org/officeDocument/2006/relationships/hyperlink" Target="https://m.stock.naver.com/research/company/93134" TargetMode="External"/><Relationship Id="rId2005" Type="http://schemas.openxmlformats.org/officeDocument/2006/relationships/hyperlink" Target="https://m.stock.naver.com/research/company/91250" TargetMode="External"/><Relationship Id="rId5575" Type="http://schemas.openxmlformats.org/officeDocument/2006/relationships/hyperlink" Target="https://m.stock.naver.com/research/company/87665" TargetMode="External"/><Relationship Id="rId6626" Type="http://schemas.openxmlformats.org/officeDocument/2006/relationships/hyperlink" Target="https://m.stock.naver.com/research/company/86614" TargetMode="External"/><Relationship Id="rId15169" Type="http://schemas.openxmlformats.org/officeDocument/2006/relationships/hyperlink" Target="https://m.stock.naver.com/research/company/95191" TargetMode="External"/><Relationship Id="rId4177" Type="http://schemas.openxmlformats.org/officeDocument/2006/relationships/hyperlink" Target="https://m.stock.naver.com/research/company/89072" TargetMode="External"/><Relationship Id="rId5228" Type="http://schemas.openxmlformats.org/officeDocument/2006/relationships/hyperlink" Target="https://m.stock.naver.com/research/company/88012" TargetMode="External"/><Relationship Id="rId8798" Type="http://schemas.openxmlformats.org/officeDocument/2006/relationships/hyperlink" Target="https://m.stock.naver.com/research/company/84439" TargetMode="External"/><Relationship Id="rId9849" Type="http://schemas.openxmlformats.org/officeDocument/2006/relationships/hyperlink" Target="https://m.stock.naver.com/research/company/83373" TargetMode="External"/><Relationship Id="rId11779" Type="http://schemas.openxmlformats.org/officeDocument/2006/relationships/hyperlink" Target="https://m.stock.naver.com/research/company/81433" TargetMode="External"/><Relationship Id="rId15650" Type="http://schemas.openxmlformats.org/officeDocument/2006/relationships/hyperlink" Target="https://m.stock.naver.com/research/company/95764" TargetMode="External"/><Relationship Id="rId1838" Type="http://schemas.openxmlformats.org/officeDocument/2006/relationships/hyperlink" Target="https://m.stock.naver.com/research/company/91417" TargetMode="External"/><Relationship Id="rId3260" Type="http://schemas.openxmlformats.org/officeDocument/2006/relationships/hyperlink" Target="https://m.stock.naver.com/research/company/89990" TargetMode="External"/><Relationship Id="rId4311" Type="http://schemas.openxmlformats.org/officeDocument/2006/relationships/hyperlink" Target="https://m.stock.naver.com/research/company/88930" TargetMode="External"/><Relationship Id="rId14252" Type="http://schemas.openxmlformats.org/officeDocument/2006/relationships/hyperlink" Target="https://m.stock.naver.com/research/company/94091" TargetMode="External"/><Relationship Id="rId15303" Type="http://schemas.openxmlformats.org/officeDocument/2006/relationships/hyperlink" Target="https://m.stock.naver.com/research/company/95057" TargetMode="External"/><Relationship Id="rId181" Type="http://schemas.openxmlformats.org/officeDocument/2006/relationships/hyperlink" Target="https://m.stock.naver.com/research/company/93277" TargetMode="External"/><Relationship Id="rId7881" Type="http://schemas.openxmlformats.org/officeDocument/2006/relationships/hyperlink" Target="https://m.stock.naver.com/research/company/85357" TargetMode="External"/><Relationship Id="rId8932" Type="http://schemas.openxmlformats.org/officeDocument/2006/relationships/hyperlink" Target="https://m.stock.naver.com/research/company/84303" TargetMode="External"/><Relationship Id="rId10862" Type="http://schemas.openxmlformats.org/officeDocument/2006/relationships/hyperlink" Target="https://m.stock.naver.com/research/company/82358" TargetMode="External"/><Relationship Id="rId11913" Type="http://schemas.openxmlformats.org/officeDocument/2006/relationships/hyperlink" Target="https://m.stock.naver.com/research/company/81298" TargetMode="External"/><Relationship Id="rId5085" Type="http://schemas.openxmlformats.org/officeDocument/2006/relationships/hyperlink" Target="https://m.stock.naver.com/research/company/88155" TargetMode="External"/><Relationship Id="rId6483" Type="http://schemas.openxmlformats.org/officeDocument/2006/relationships/hyperlink" Target="https://m.stock.naver.com/research/company/86757" TargetMode="External"/><Relationship Id="rId7534" Type="http://schemas.openxmlformats.org/officeDocument/2006/relationships/hyperlink" Target="https://m.stock.naver.com/research/company/85705" TargetMode="External"/><Relationship Id="rId10515" Type="http://schemas.openxmlformats.org/officeDocument/2006/relationships/hyperlink" Target="https://m.stock.naver.com/research/company/82705" TargetMode="External"/><Relationship Id="rId6136" Type="http://schemas.openxmlformats.org/officeDocument/2006/relationships/hyperlink" Target="https://m.stock.naver.com/research/company/87104" TargetMode="External"/><Relationship Id="rId12687" Type="http://schemas.openxmlformats.org/officeDocument/2006/relationships/hyperlink" Target="https://m.stock.naver.com/research/company/80521" TargetMode="External"/><Relationship Id="rId13738" Type="http://schemas.openxmlformats.org/officeDocument/2006/relationships/hyperlink" Target="https://m.stock.naver.com/research/company/93501" TargetMode="External"/><Relationship Id="rId1695" Type="http://schemas.openxmlformats.org/officeDocument/2006/relationships/hyperlink" Target="https://m.stock.naver.com/research/company/91560" TargetMode="External"/><Relationship Id="rId2746" Type="http://schemas.openxmlformats.org/officeDocument/2006/relationships/hyperlink" Target="https://m.stock.naver.com/research/company/90508" TargetMode="External"/><Relationship Id="rId9359" Type="http://schemas.openxmlformats.org/officeDocument/2006/relationships/hyperlink" Target="https://m.stock.naver.com/research/company/83868" TargetMode="External"/><Relationship Id="rId11289" Type="http://schemas.openxmlformats.org/officeDocument/2006/relationships/hyperlink" Target="https://m.stock.naver.com/research/company/81930" TargetMode="External"/><Relationship Id="rId15160" Type="http://schemas.openxmlformats.org/officeDocument/2006/relationships/hyperlink" Target="https://m.stock.naver.com/research/company/95200" TargetMode="External"/><Relationship Id="rId718" Type="http://schemas.openxmlformats.org/officeDocument/2006/relationships/hyperlink" Target="https://m.stock.naver.com/research/company/92738" TargetMode="External"/><Relationship Id="rId1348" Type="http://schemas.openxmlformats.org/officeDocument/2006/relationships/hyperlink" Target="https://m.stock.naver.com/research/company/91907" TargetMode="External"/><Relationship Id="rId5969" Type="http://schemas.openxmlformats.org/officeDocument/2006/relationships/hyperlink" Target="https://m.stock.naver.com/research/company/87271" TargetMode="External"/><Relationship Id="rId7391" Type="http://schemas.openxmlformats.org/officeDocument/2006/relationships/hyperlink" Target="https://m.stock.naver.com/research/company/85848" TargetMode="External"/><Relationship Id="rId8442" Type="http://schemas.openxmlformats.org/officeDocument/2006/relationships/hyperlink" Target="https://m.stock.naver.com/research/company/84795" TargetMode="External"/><Relationship Id="rId9840" Type="http://schemas.openxmlformats.org/officeDocument/2006/relationships/hyperlink" Target="https://m.stock.naver.com/research/company/83382" TargetMode="External"/><Relationship Id="rId11770" Type="http://schemas.openxmlformats.org/officeDocument/2006/relationships/hyperlink" Target="https://m.stock.naver.com/research/company/81442" TargetMode="External"/><Relationship Id="rId12821" Type="http://schemas.openxmlformats.org/officeDocument/2006/relationships/hyperlink" Target="https://m.stock.naver.com/research/company/80387" TargetMode="External"/><Relationship Id="rId54" Type="http://schemas.openxmlformats.org/officeDocument/2006/relationships/hyperlink" Target="https://m.stock.naver.com/research/company/93404" TargetMode="External"/><Relationship Id="rId7044" Type="http://schemas.openxmlformats.org/officeDocument/2006/relationships/hyperlink" Target="https://m.stock.naver.com/research/company/86195" TargetMode="External"/><Relationship Id="rId10372" Type="http://schemas.openxmlformats.org/officeDocument/2006/relationships/hyperlink" Target="https://m.stock.naver.com/research/company/82849" TargetMode="External"/><Relationship Id="rId11423" Type="http://schemas.openxmlformats.org/officeDocument/2006/relationships/hyperlink" Target="https://m.stock.naver.com/research/company/81792" TargetMode="External"/><Relationship Id="rId14993" Type="http://schemas.openxmlformats.org/officeDocument/2006/relationships/hyperlink" Target="https://m.stock.naver.com/research/company/94841" TargetMode="External"/><Relationship Id="rId10025" Type="http://schemas.openxmlformats.org/officeDocument/2006/relationships/hyperlink" Target="https://m.stock.naver.com/research/company/83196" TargetMode="External"/><Relationship Id="rId13595" Type="http://schemas.openxmlformats.org/officeDocument/2006/relationships/hyperlink" Target="https://m.stock.naver.com/research/company/79609" TargetMode="External"/><Relationship Id="rId14646" Type="http://schemas.openxmlformats.org/officeDocument/2006/relationships/hyperlink" Target="https://m.stock.naver.com/research/company/94532" TargetMode="External"/><Relationship Id="rId3654" Type="http://schemas.openxmlformats.org/officeDocument/2006/relationships/hyperlink" Target="https://m.stock.naver.com/research/company/89597" TargetMode="External"/><Relationship Id="rId4705" Type="http://schemas.openxmlformats.org/officeDocument/2006/relationships/hyperlink" Target="https://m.stock.naver.com/research/company/88535" TargetMode="External"/><Relationship Id="rId12197" Type="http://schemas.openxmlformats.org/officeDocument/2006/relationships/hyperlink" Target="https://m.stock.naver.com/research/company/81014" TargetMode="External"/><Relationship Id="rId13248" Type="http://schemas.openxmlformats.org/officeDocument/2006/relationships/hyperlink" Target="https://m.stock.naver.com/research/company/79959" TargetMode="External"/><Relationship Id="rId575" Type="http://schemas.openxmlformats.org/officeDocument/2006/relationships/hyperlink" Target="https://m.stock.naver.com/research/company/92882" TargetMode="External"/><Relationship Id="rId2256" Type="http://schemas.openxmlformats.org/officeDocument/2006/relationships/hyperlink" Target="https://m.stock.naver.com/research/company/90999" TargetMode="External"/><Relationship Id="rId3307" Type="http://schemas.openxmlformats.org/officeDocument/2006/relationships/hyperlink" Target="https://m.stock.naver.com/research/company/89943" TargetMode="External"/><Relationship Id="rId6877" Type="http://schemas.openxmlformats.org/officeDocument/2006/relationships/hyperlink" Target="https://m.stock.naver.com/research/company/86362" TargetMode="External"/><Relationship Id="rId7928" Type="http://schemas.openxmlformats.org/officeDocument/2006/relationships/hyperlink" Target="https://m.stock.naver.com/research/company/85310" TargetMode="External"/><Relationship Id="rId228" Type="http://schemas.openxmlformats.org/officeDocument/2006/relationships/hyperlink" Target="https://m.stock.naver.com/research/company/93230" TargetMode="External"/><Relationship Id="rId5479" Type="http://schemas.openxmlformats.org/officeDocument/2006/relationships/hyperlink" Target="https://m.stock.naver.com/research/company/87761" TargetMode="External"/><Relationship Id="rId9350" Type="http://schemas.openxmlformats.org/officeDocument/2006/relationships/hyperlink" Target="https://m.stock.naver.com/research/company/83877" TargetMode="External"/><Relationship Id="rId10909" Type="http://schemas.openxmlformats.org/officeDocument/2006/relationships/hyperlink" Target="https://m.stock.naver.com/research/company/82311" TargetMode="External"/><Relationship Id="rId11280" Type="http://schemas.openxmlformats.org/officeDocument/2006/relationships/hyperlink" Target="https://m.stock.naver.com/research/company/81939" TargetMode="External"/><Relationship Id="rId9003" Type="http://schemas.openxmlformats.org/officeDocument/2006/relationships/hyperlink" Target="https://m.stock.naver.com/research/company/84229" TargetMode="External"/><Relationship Id="rId12331" Type="http://schemas.openxmlformats.org/officeDocument/2006/relationships/hyperlink" Target="https://m.stock.naver.com/research/company/80878" TargetMode="External"/><Relationship Id="rId5960" Type="http://schemas.openxmlformats.org/officeDocument/2006/relationships/hyperlink" Target="https://m.stock.naver.com/research/company/87280" TargetMode="External"/><Relationship Id="rId15554" Type="http://schemas.openxmlformats.org/officeDocument/2006/relationships/hyperlink" Target="https://m.stock.naver.com/research/company/95482" TargetMode="External"/><Relationship Id="rId3164" Type="http://schemas.openxmlformats.org/officeDocument/2006/relationships/hyperlink" Target="https://m.stock.naver.com/research/company/90087" TargetMode="External"/><Relationship Id="rId4562" Type="http://schemas.openxmlformats.org/officeDocument/2006/relationships/hyperlink" Target="https://m.stock.naver.com/research/company/88678" TargetMode="External"/><Relationship Id="rId5613" Type="http://schemas.openxmlformats.org/officeDocument/2006/relationships/hyperlink" Target="https://m.stock.naver.com/research/company/87627" TargetMode="External"/><Relationship Id="rId14156" Type="http://schemas.openxmlformats.org/officeDocument/2006/relationships/hyperlink" Target="https://m.stock.naver.com/research/company/93972" TargetMode="External"/><Relationship Id="rId15207" Type="http://schemas.openxmlformats.org/officeDocument/2006/relationships/hyperlink" Target="https://m.stock.naver.com/research/company/95153" TargetMode="External"/><Relationship Id="rId4215" Type="http://schemas.openxmlformats.org/officeDocument/2006/relationships/hyperlink" Target="https://m.stock.naver.com/research/company/89027" TargetMode="External"/><Relationship Id="rId7785" Type="http://schemas.openxmlformats.org/officeDocument/2006/relationships/hyperlink" Target="https://m.stock.naver.com/research/company/85453" TargetMode="External"/><Relationship Id="rId8836" Type="http://schemas.openxmlformats.org/officeDocument/2006/relationships/hyperlink" Target="https://m.stock.naver.com/research/company/84401" TargetMode="External"/><Relationship Id="rId10766" Type="http://schemas.openxmlformats.org/officeDocument/2006/relationships/hyperlink" Target="https://m.stock.naver.com/research/company/82454" TargetMode="External"/><Relationship Id="rId11817" Type="http://schemas.openxmlformats.org/officeDocument/2006/relationships/hyperlink" Target="https://m.stock.naver.com/research/company/81395" TargetMode="External"/><Relationship Id="rId6387" Type="http://schemas.openxmlformats.org/officeDocument/2006/relationships/hyperlink" Target="https://m.stock.naver.com/research/company/86853" TargetMode="External"/><Relationship Id="rId7438" Type="http://schemas.openxmlformats.org/officeDocument/2006/relationships/hyperlink" Target="https://m.stock.naver.com/research/company/85801" TargetMode="External"/><Relationship Id="rId10419" Type="http://schemas.openxmlformats.org/officeDocument/2006/relationships/hyperlink" Target="https://m.stock.naver.com/research/company/82802" TargetMode="External"/><Relationship Id="rId2997" Type="http://schemas.openxmlformats.org/officeDocument/2006/relationships/hyperlink" Target="https://m.stock.naver.com/research/company/90255" TargetMode="External"/><Relationship Id="rId13989" Type="http://schemas.openxmlformats.org/officeDocument/2006/relationships/hyperlink" Target="https://m.stock.naver.com/research/company/93743" TargetMode="External"/><Relationship Id="rId969" Type="http://schemas.openxmlformats.org/officeDocument/2006/relationships/hyperlink" Target="https://m.stock.naver.com/research/company/92487" TargetMode="External"/><Relationship Id="rId1599" Type="http://schemas.openxmlformats.org/officeDocument/2006/relationships/hyperlink" Target="https://m.stock.naver.com/research/company/91656" TargetMode="External"/><Relationship Id="rId5470" Type="http://schemas.openxmlformats.org/officeDocument/2006/relationships/hyperlink" Target="https://m.stock.naver.com/research/company/87770" TargetMode="External"/><Relationship Id="rId6521" Type="http://schemas.openxmlformats.org/officeDocument/2006/relationships/hyperlink" Target="https://m.stock.naver.com/research/company/86719" TargetMode="External"/><Relationship Id="rId10900" Type="http://schemas.openxmlformats.org/officeDocument/2006/relationships/hyperlink" Target="https://m.stock.naver.com/research/company/82320" TargetMode="External"/><Relationship Id="rId15064" Type="http://schemas.openxmlformats.org/officeDocument/2006/relationships/hyperlink" Target="https://m.stock.naver.com/research/company/95030" TargetMode="External"/><Relationship Id="rId4072" Type="http://schemas.openxmlformats.org/officeDocument/2006/relationships/hyperlink" Target="https://m.stock.naver.com/research/company/89179" TargetMode="External"/><Relationship Id="rId5123" Type="http://schemas.openxmlformats.org/officeDocument/2006/relationships/hyperlink" Target="https://m.stock.naver.com/research/company/88117" TargetMode="External"/><Relationship Id="rId7295" Type="http://schemas.openxmlformats.org/officeDocument/2006/relationships/hyperlink" Target="https://m.stock.naver.com/research/company/85944" TargetMode="External"/><Relationship Id="rId8693" Type="http://schemas.openxmlformats.org/officeDocument/2006/relationships/hyperlink" Target="https://m.stock.naver.com/research/company/84544" TargetMode="External"/><Relationship Id="rId9744" Type="http://schemas.openxmlformats.org/officeDocument/2006/relationships/hyperlink" Target="https://m.stock.naver.com/research/company/83479" TargetMode="External"/><Relationship Id="rId11674" Type="http://schemas.openxmlformats.org/officeDocument/2006/relationships/hyperlink" Target="https://m.stock.naver.com/research/company/81538" TargetMode="External"/><Relationship Id="rId12725" Type="http://schemas.openxmlformats.org/officeDocument/2006/relationships/hyperlink" Target="https://m.stock.naver.com/research/company/80483" TargetMode="External"/><Relationship Id="rId1733" Type="http://schemas.openxmlformats.org/officeDocument/2006/relationships/hyperlink" Target="https://m.stock.naver.com/research/company/91522" TargetMode="External"/><Relationship Id="rId8346" Type="http://schemas.openxmlformats.org/officeDocument/2006/relationships/hyperlink" Target="https://m.stock.naver.com/research/company/84892" TargetMode="External"/><Relationship Id="rId10276" Type="http://schemas.openxmlformats.org/officeDocument/2006/relationships/hyperlink" Target="https://m.stock.naver.com/research/company/82945" TargetMode="External"/><Relationship Id="rId11327" Type="http://schemas.openxmlformats.org/officeDocument/2006/relationships/hyperlink" Target="https://m.stock.naver.com/research/company/81889" TargetMode="External"/><Relationship Id="rId14897" Type="http://schemas.openxmlformats.org/officeDocument/2006/relationships/hyperlink" Target="https://m.stock.naver.com/research/company/94727" TargetMode="External"/><Relationship Id="rId4956" Type="http://schemas.openxmlformats.org/officeDocument/2006/relationships/hyperlink" Target="https://m.stock.naver.com/research/company/88284" TargetMode="External"/><Relationship Id="rId13499" Type="http://schemas.openxmlformats.org/officeDocument/2006/relationships/hyperlink" Target="https://m.stock.naver.com/research/company/79705" TargetMode="External"/><Relationship Id="rId3558" Type="http://schemas.openxmlformats.org/officeDocument/2006/relationships/hyperlink" Target="https://m.stock.naver.com/research/company/89693" TargetMode="External"/><Relationship Id="rId4609" Type="http://schemas.openxmlformats.org/officeDocument/2006/relationships/hyperlink" Target="https://m.stock.naver.com/research/company/88631" TargetMode="External"/><Relationship Id="rId479" Type="http://schemas.openxmlformats.org/officeDocument/2006/relationships/hyperlink" Target="https://m.stock.naver.com/research/company/92978" TargetMode="External"/><Relationship Id="rId6031" Type="http://schemas.openxmlformats.org/officeDocument/2006/relationships/hyperlink" Target="https://m.stock.naver.com/research/company/87209" TargetMode="External"/><Relationship Id="rId10410" Type="http://schemas.openxmlformats.org/officeDocument/2006/relationships/hyperlink" Target="https://m.stock.naver.com/research/company/82811" TargetMode="External"/><Relationship Id="rId13980" Type="http://schemas.openxmlformats.org/officeDocument/2006/relationships/hyperlink" Target="https://m.stock.naver.com/research/company/93752" TargetMode="External"/><Relationship Id="rId9254" Type="http://schemas.openxmlformats.org/officeDocument/2006/relationships/hyperlink" Target="https://m.stock.naver.com/research/company/83974" TargetMode="External"/><Relationship Id="rId12582" Type="http://schemas.openxmlformats.org/officeDocument/2006/relationships/hyperlink" Target="https://m.stock.naver.com/research/company/80626" TargetMode="External"/><Relationship Id="rId13633" Type="http://schemas.openxmlformats.org/officeDocument/2006/relationships/hyperlink" Target="https://m.stock.naver.com/research/company/79571" TargetMode="External"/><Relationship Id="rId960" Type="http://schemas.openxmlformats.org/officeDocument/2006/relationships/hyperlink" Target="https://m.stock.naver.com/research/company/92496" TargetMode="External"/><Relationship Id="rId1243" Type="http://schemas.openxmlformats.org/officeDocument/2006/relationships/hyperlink" Target="https://m.stock.naver.com/research/company/92012" TargetMode="External"/><Relationship Id="rId1590" Type="http://schemas.openxmlformats.org/officeDocument/2006/relationships/hyperlink" Target="https://m.stock.naver.com/research/company/91665" TargetMode="External"/><Relationship Id="rId2641" Type="http://schemas.openxmlformats.org/officeDocument/2006/relationships/hyperlink" Target="https://m.stock.naver.com/research/company/90613" TargetMode="External"/><Relationship Id="rId11184" Type="http://schemas.openxmlformats.org/officeDocument/2006/relationships/hyperlink" Target="https://m.stock.naver.com/research/company/82036" TargetMode="External"/><Relationship Id="rId12235" Type="http://schemas.openxmlformats.org/officeDocument/2006/relationships/hyperlink" Target="https://m.stock.naver.com/research/company/80975" TargetMode="External"/><Relationship Id="rId613" Type="http://schemas.openxmlformats.org/officeDocument/2006/relationships/hyperlink" Target="https://m.stock.naver.com/research/company/92843" TargetMode="External"/><Relationship Id="rId5864" Type="http://schemas.openxmlformats.org/officeDocument/2006/relationships/hyperlink" Target="https://m.stock.naver.com/research/company/87376" TargetMode="External"/><Relationship Id="rId6915" Type="http://schemas.openxmlformats.org/officeDocument/2006/relationships/hyperlink" Target="https://m.stock.naver.com/research/company/86324" TargetMode="External"/><Relationship Id="rId15458" Type="http://schemas.openxmlformats.org/officeDocument/2006/relationships/hyperlink" Target="https://m.stock.naver.com/research/company/95329" TargetMode="External"/><Relationship Id="rId4466" Type="http://schemas.openxmlformats.org/officeDocument/2006/relationships/hyperlink" Target="https://m.stock.naver.com/research/company/88774" TargetMode="External"/><Relationship Id="rId5517" Type="http://schemas.openxmlformats.org/officeDocument/2006/relationships/hyperlink" Target="https://m.stock.naver.com/research/company/87723" TargetMode="External"/><Relationship Id="rId3068" Type="http://schemas.openxmlformats.org/officeDocument/2006/relationships/hyperlink" Target="https://m.stock.naver.com/research/company/90183" TargetMode="External"/><Relationship Id="rId4119" Type="http://schemas.openxmlformats.org/officeDocument/2006/relationships/hyperlink" Target="https://m.stock.naver.com/research/company/89132" TargetMode="External"/><Relationship Id="rId7689" Type="http://schemas.openxmlformats.org/officeDocument/2006/relationships/hyperlink" Target="https://m.stock.naver.com/research/company/85550" TargetMode="External"/><Relationship Id="rId13490" Type="http://schemas.openxmlformats.org/officeDocument/2006/relationships/hyperlink" Target="https://m.stock.naver.com/research/company/79714" TargetMode="External"/><Relationship Id="rId4600" Type="http://schemas.openxmlformats.org/officeDocument/2006/relationships/hyperlink" Target="https://m.stock.naver.com/research/company/88640" TargetMode="External"/><Relationship Id="rId12092" Type="http://schemas.openxmlformats.org/officeDocument/2006/relationships/hyperlink" Target="https://m.stock.naver.com/research/company/81119" TargetMode="External"/><Relationship Id="rId13143" Type="http://schemas.openxmlformats.org/officeDocument/2006/relationships/hyperlink" Target="https://m.stock.naver.com/research/company/80064" TargetMode="External"/><Relationship Id="rId14541" Type="http://schemas.openxmlformats.org/officeDocument/2006/relationships/hyperlink" Target="https://m.stock.naver.com/research/company/94369" TargetMode="External"/><Relationship Id="rId470" Type="http://schemas.openxmlformats.org/officeDocument/2006/relationships/hyperlink" Target="https://m.stock.naver.com/research/company/92987" TargetMode="External"/><Relationship Id="rId2151" Type="http://schemas.openxmlformats.org/officeDocument/2006/relationships/hyperlink" Target="https://m.stock.naver.com/research/company/91104" TargetMode="External"/><Relationship Id="rId3202" Type="http://schemas.openxmlformats.org/officeDocument/2006/relationships/hyperlink" Target="https://m.stock.naver.com/research/company/90049" TargetMode="External"/><Relationship Id="rId123" Type="http://schemas.openxmlformats.org/officeDocument/2006/relationships/hyperlink" Target="https://m.stock.naver.com/research/company/93335" TargetMode="External"/><Relationship Id="rId5374" Type="http://schemas.openxmlformats.org/officeDocument/2006/relationships/hyperlink" Target="https://m.stock.naver.com/research/company/87866" TargetMode="External"/><Relationship Id="rId6772" Type="http://schemas.openxmlformats.org/officeDocument/2006/relationships/hyperlink" Target="https://m.stock.naver.com/research/company/86468" TargetMode="External"/><Relationship Id="rId7823" Type="http://schemas.openxmlformats.org/officeDocument/2006/relationships/hyperlink" Target="https://m.stock.naver.com/research/company/85415" TargetMode="External"/><Relationship Id="rId10804" Type="http://schemas.openxmlformats.org/officeDocument/2006/relationships/hyperlink" Target="https://m.stock.naver.com/research/company/82416" TargetMode="External"/><Relationship Id="rId5027" Type="http://schemas.openxmlformats.org/officeDocument/2006/relationships/hyperlink" Target="https://m.stock.naver.com/research/company/88213" TargetMode="External"/><Relationship Id="rId6425" Type="http://schemas.openxmlformats.org/officeDocument/2006/relationships/hyperlink" Target="https://m.stock.naver.com/research/company/86815" TargetMode="External"/><Relationship Id="rId9995" Type="http://schemas.openxmlformats.org/officeDocument/2006/relationships/hyperlink" Target="https://m.stock.naver.com/research/company/83226" TargetMode="External"/><Relationship Id="rId12976" Type="http://schemas.openxmlformats.org/officeDocument/2006/relationships/hyperlink" Target="https://m.stock.naver.com/research/company/80232" TargetMode="External"/><Relationship Id="rId1984" Type="http://schemas.openxmlformats.org/officeDocument/2006/relationships/hyperlink" Target="https://m.stock.naver.com/research/company/91271" TargetMode="External"/><Relationship Id="rId8597" Type="http://schemas.openxmlformats.org/officeDocument/2006/relationships/hyperlink" Target="https://m.stock.naver.com/research/company/84640" TargetMode="External"/><Relationship Id="rId9648" Type="http://schemas.openxmlformats.org/officeDocument/2006/relationships/hyperlink" Target="https://m.stock.naver.com/research/company/83576" TargetMode="External"/><Relationship Id="rId11578" Type="http://schemas.openxmlformats.org/officeDocument/2006/relationships/hyperlink" Target="https://m.stock.naver.com/research/company/81635" TargetMode="External"/><Relationship Id="rId12629" Type="http://schemas.openxmlformats.org/officeDocument/2006/relationships/hyperlink" Target="https://m.stock.naver.com/research/company/80579" TargetMode="External"/><Relationship Id="rId1637" Type="http://schemas.openxmlformats.org/officeDocument/2006/relationships/hyperlink" Target="https://m.stock.naver.com/research/company/91618" TargetMode="External"/><Relationship Id="rId7199" Type="http://schemas.openxmlformats.org/officeDocument/2006/relationships/hyperlink" Target="https://m.stock.naver.com/research/company/86040" TargetMode="External"/><Relationship Id="rId14051" Type="http://schemas.openxmlformats.org/officeDocument/2006/relationships/hyperlink" Target="https://m.stock.naver.com/research/company/93872" TargetMode="External"/><Relationship Id="rId15102" Type="http://schemas.openxmlformats.org/officeDocument/2006/relationships/hyperlink" Target="https://m.stock.naver.com/research/company/94992" TargetMode="External"/><Relationship Id="rId4110" Type="http://schemas.openxmlformats.org/officeDocument/2006/relationships/hyperlink" Target="https://m.stock.naver.com/research/company/89141" TargetMode="External"/><Relationship Id="rId7680" Type="http://schemas.openxmlformats.org/officeDocument/2006/relationships/hyperlink" Target="https://m.stock.naver.com/research/company/85559" TargetMode="External"/><Relationship Id="rId8731" Type="http://schemas.openxmlformats.org/officeDocument/2006/relationships/hyperlink" Target="https://m.stock.naver.com/research/company/84506" TargetMode="External"/><Relationship Id="rId6282" Type="http://schemas.openxmlformats.org/officeDocument/2006/relationships/hyperlink" Target="https://m.stock.naver.com/research/company/86958" TargetMode="External"/><Relationship Id="rId7333" Type="http://schemas.openxmlformats.org/officeDocument/2006/relationships/hyperlink" Target="https://m.stock.naver.com/research/company/85906" TargetMode="External"/><Relationship Id="rId10661" Type="http://schemas.openxmlformats.org/officeDocument/2006/relationships/hyperlink" Target="https://m.stock.naver.com/research/company/82559" TargetMode="External"/><Relationship Id="rId11712" Type="http://schemas.openxmlformats.org/officeDocument/2006/relationships/hyperlink" Target="https://m.stock.naver.com/research/company/81500" TargetMode="External"/><Relationship Id="rId10314" Type="http://schemas.openxmlformats.org/officeDocument/2006/relationships/hyperlink" Target="https://m.stock.naver.com/research/company/82907" TargetMode="External"/><Relationship Id="rId13884" Type="http://schemas.openxmlformats.org/officeDocument/2006/relationships/hyperlink" Target="https://m.stock.naver.com/research/company/93682" TargetMode="External"/><Relationship Id="rId14935" Type="http://schemas.openxmlformats.org/officeDocument/2006/relationships/hyperlink" Target="https://m.stock.naver.com/research/company/94899" TargetMode="External"/><Relationship Id="rId2892" Type="http://schemas.openxmlformats.org/officeDocument/2006/relationships/hyperlink" Target="https://m.stock.naver.com/research/company/90361" TargetMode="External"/><Relationship Id="rId3943" Type="http://schemas.openxmlformats.org/officeDocument/2006/relationships/hyperlink" Target="https://m.stock.naver.com/research/company/89308" TargetMode="External"/><Relationship Id="rId9158" Type="http://schemas.openxmlformats.org/officeDocument/2006/relationships/hyperlink" Target="https://m.stock.naver.com/research/company/84072" TargetMode="External"/><Relationship Id="rId12486" Type="http://schemas.openxmlformats.org/officeDocument/2006/relationships/hyperlink" Target="https://m.stock.naver.com/research/company/80722" TargetMode="External"/><Relationship Id="rId13537" Type="http://schemas.openxmlformats.org/officeDocument/2006/relationships/hyperlink" Target="https://m.stock.naver.com/research/company/79667" TargetMode="External"/><Relationship Id="rId864" Type="http://schemas.openxmlformats.org/officeDocument/2006/relationships/hyperlink" Target="https://m.stock.naver.com/research/company/92592" TargetMode="External"/><Relationship Id="rId1494" Type="http://schemas.openxmlformats.org/officeDocument/2006/relationships/hyperlink" Target="https://m.stock.naver.com/research/company/91761" TargetMode="External"/><Relationship Id="rId2545" Type="http://schemas.openxmlformats.org/officeDocument/2006/relationships/hyperlink" Target="https://m.stock.naver.com/research/company/90709" TargetMode="External"/><Relationship Id="rId11088" Type="http://schemas.openxmlformats.org/officeDocument/2006/relationships/hyperlink" Target="https://m.stock.naver.com/research/company/82132" TargetMode="External"/><Relationship Id="rId12139" Type="http://schemas.openxmlformats.org/officeDocument/2006/relationships/hyperlink" Target="https://m.stock.naver.com/research/company/81072" TargetMode="External"/><Relationship Id="rId517" Type="http://schemas.openxmlformats.org/officeDocument/2006/relationships/hyperlink" Target="https://m.stock.naver.com/research/company/92940" TargetMode="External"/><Relationship Id="rId1147" Type="http://schemas.openxmlformats.org/officeDocument/2006/relationships/hyperlink" Target="https://m.stock.naver.com/research/company/92108" TargetMode="External"/><Relationship Id="rId5768" Type="http://schemas.openxmlformats.org/officeDocument/2006/relationships/hyperlink" Target="https://m.stock.naver.com/research/company/87472" TargetMode="External"/><Relationship Id="rId6819" Type="http://schemas.openxmlformats.org/officeDocument/2006/relationships/hyperlink" Target="https://m.stock.naver.com/research/company/86421" TargetMode="External"/><Relationship Id="rId7190" Type="http://schemas.openxmlformats.org/officeDocument/2006/relationships/hyperlink" Target="https://m.stock.naver.com/research/company/86049" TargetMode="External"/><Relationship Id="rId8241" Type="http://schemas.openxmlformats.org/officeDocument/2006/relationships/hyperlink" Target="https://m.stock.naver.com/research/company/84997" TargetMode="External"/><Relationship Id="rId10171" Type="http://schemas.openxmlformats.org/officeDocument/2006/relationships/hyperlink" Target="https://m.stock.naver.com/research/company/83050" TargetMode="External"/><Relationship Id="rId11222" Type="http://schemas.openxmlformats.org/officeDocument/2006/relationships/hyperlink" Target="https://m.stock.naver.com/research/company/81998" TargetMode="External"/><Relationship Id="rId12620" Type="http://schemas.openxmlformats.org/officeDocument/2006/relationships/hyperlink" Target="https://m.stock.naver.com/research/company/80588" TargetMode="External"/><Relationship Id="rId14792" Type="http://schemas.openxmlformats.org/officeDocument/2006/relationships/hyperlink" Target="https://m.stock.naver.com/research/company/94608" TargetMode="External"/><Relationship Id="rId3453" Type="http://schemas.openxmlformats.org/officeDocument/2006/relationships/hyperlink" Target="https://m.stock.naver.com/research/company/89798" TargetMode="External"/><Relationship Id="rId4851" Type="http://schemas.openxmlformats.org/officeDocument/2006/relationships/hyperlink" Target="https://m.stock.naver.com/research/company/88389" TargetMode="External"/><Relationship Id="rId5902" Type="http://schemas.openxmlformats.org/officeDocument/2006/relationships/hyperlink" Target="https://m.stock.naver.com/research/company/87338" TargetMode="External"/><Relationship Id="rId13394" Type="http://schemas.openxmlformats.org/officeDocument/2006/relationships/hyperlink" Target="https://m.stock.naver.com/research/company/79811" TargetMode="External"/><Relationship Id="rId14445" Type="http://schemas.openxmlformats.org/officeDocument/2006/relationships/hyperlink" Target="https://m.stock.naver.com/research/company/94465" TargetMode="External"/><Relationship Id="rId374" Type="http://schemas.openxmlformats.org/officeDocument/2006/relationships/hyperlink" Target="https://m.stock.naver.com/research/company/93084" TargetMode="External"/><Relationship Id="rId2055" Type="http://schemas.openxmlformats.org/officeDocument/2006/relationships/hyperlink" Target="https://m.stock.naver.com/research/company/91200" TargetMode="External"/><Relationship Id="rId3106" Type="http://schemas.openxmlformats.org/officeDocument/2006/relationships/hyperlink" Target="https://m.stock.naver.com/research/company/90145" TargetMode="External"/><Relationship Id="rId4504" Type="http://schemas.openxmlformats.org/officeDocument/2006/relationships/hyperlink" Target="https://m.stock.naver.com/research/company/88736" TargetMode="External"/><Relationship Id="rId13047" Type="http://schemas.openxmlformats.org/officeDocument/2006/relationships/hyperlink" Target="https://m.stock.naver.com/research/company/80160" TargetMode="External"/><Relationship Id="rId6676" Type="http://schemas.openxmlformats.org/officeDocument/2006/relationships/hyperlink" Target="https://m.stock.naver.com/research/company/86564" TargetMode="External"/><Relationship Id="rId7727" Type="http://schemas.openxmlformats.org/officeDocument/2006/relationships/hyperlink" Target="https://m.stock.naver.com/research/company/85512" TargetMode="External"/><Relationship Id="rId10708" Type="http://schemas.openxmlformats.org/officeDocument/2006/relationships/hyperlink" Target="https://m.stock.naver.com/research/company/82512" TargetMode="External"/><Relationship Id="rId5278" Type="http://schemas.openxmlformats.org/officeDocument/2006/relationships/hyperlink" Target="https://m.stock.naver.com/research/company/87962" TargetMode="External"/><Relationship Id="rId6329" Type="http://schemas.openxmlformats.org/officeDocument/2006/relationships/hyperlink" Target="https://m.stock.naver.com/research/company/86911" TargetMode="External"/><Relationship Id="rId9899" Type="http://schemas.openxmlformats.org/officeDocument/2006/relationships/hyperlink" Target="https://m.stock.naver.com/research/company/83323" TargetMode="External"/><Relationship Id="rId12130" Type="http://schemas.openxmlformats.org/officeDocument/2006/relationships/hyperlink" Target="https://m.stock.naver.com/research/company/81081" TargetMode="External"/><Relationship Id="rId1888" Type="http://schemas.openxmlformats.org/officeDocument/2006/relationships/hyperlink" Target="https://m.stock.naver.com/research/company/91367" TargetMode="External"/><Relationship Id="rId2939" Type="http://schemas.openxmlformats.org/officeDocument/2006/relationships/hyperlink" Target="https://m.stock.naver.com/research/company/90314" TargetMode="External"/><Relationship Id="rId6810" Type="http://schemas.openxmlformats.org/officeDocument/2006/relationships/hyperlink" Target="https://m.stock.naver.com/research/company/86430" TargetMode="External"/><Relationship Id="rId15353" Type="http://schemas.openxmlformats.org/officeDocument/2006/relationships/hyperlink" Target="https://m.stock.naver.com/research/company/95235" TargetMode="External"/><Relationship Id="rId4361" Type="http://schemas.openxmlformats.org/officeDocument/2006/relationships/hyperlink" Target="https://m.stock.naver.com/research/company/88880" TargetMode="External"/><Relationship Id="rId5412" Type="http://schemas.openxmlformats.org/officeDocument/2006/relationships/hyperlink" Target="https://m.stock.naver.com/research/company/87828" TargetMode="External"/><Relationship Id="rId15006" Type="http://schemas.openxmlformats.org/officeDocument/2006/relationships/hyperlink" Target="https://m.stock.naver.com/research/company/94828" TargetMode="External"/><Relationship Id="rId4014" Type="http://schemas.openxmlformats.org/officeDocument/2006/relationships/hyperlink" Target="https://m.stock.naver.com/research/company/89237" TargetMode="External"/><Relationship Id="rId7584" Type="http://schemas.openxmlformats.org/officeDocument/2006/relationships/hyperlink" Target="https://m.stock.naver.com/research/company/85655" TargetMode="External"/><Relationship Id="rId8982" Type="http://schemas.openxmlformats.org/officeDocument/2006/relationships/hyperlink" Target="https://m.stock.naver.com/research/company/84250" TargetMode="External"/><Relationship Id="rId11963" Type="http://schemas.openxmlformats.org/officeDocument/2006/relationships/hyperlink" Target="https://m.stock.naver.com/research/company/81248" TargetMode="External"/><Relationship Id="rId6186" Type="http://schemas.openxmlformats.org/officeDocument/2006/relationships/hyperlink" Target="https://m.stock.naver.com/research/company/87054" TargetMode="External"/><Relationship Id="rId7237" Type="http://schemas.openxmlformats.org/officeDocument/2006/relationships/hyperlink" Target="https://m.stock.naver.com/research/company/86002" TargetMode="External"/><Relationship Id="rId8635" Type="http://schemas.openxmlformats.org/officeDocument/2006/relationships/hyperlink" Target="https://m.stock.naver.com/research/company/84602" TargetMode="External"/><Relationship Id="rId10565" Type="http://schemas.openxmlformats.org/officeDocument/2006/relationships/hyperlink" Target="https://m.stock.naver.com/research/company/82655" TargetMode="External"/><Relationship Id="rId11616" Type="http://schemas.openxmlformats.org/officeDocument/2006/relationships/hyperlink" Target="https://m.stock.naver.com/research/company/81596" TargetMode="External"/><Relationship Id="rId10218" Type="http://schemas.openxmlformats.org/officeDocument/2006/relationships/hyperlink" Target="https://m.stock.naver.com/research/company/83003" TargetMode="External"/><Relationship Id="rId13788" Type="http://schemas.openxmlformats.org/officeDocument/2006/relationships/hyperlink" Target="https://m.stock.naver.com/research/company/93600" TargetMode="External"/><Relationship Id="rId14839" Type="http://schemas.openxmlformats.org/officeDocument/2006/relationships/hyperlink" Target="https://m.stock.naver.com/research/company/94785" TargetMode="External"/><Relationship Id="rId2796" Type="http://schemas.openxmlformats.org/officeDocument/2006/relationships/hyperlink" Target="https://m.stock.naver.com/research/company/90458" TargetMode="External"/><Relationship Id="rId3847" Type="http://schemas.openxmlformats.org/officeDocument/2006/relationships/hyperlink" Target="https://m.stock.naver.com/research/company/89404" TargetMode="External"/><Relationship Id="rId768" Type="http://schemas.openxmlformats.org/officeDocument/2006/relationships/hyperlink" Target="https://m.stock.naver.com/research/company/92688" TargetMode="External"/><Relationship Id="rId1398" Type="http://schemas.openxmlformats.org/officeDocument/2006/relationships/hyperlink" Target="https://m.stock.naver.com/research/company/91857" TargetMode="External"/><Relationship Id="rId2449" Type="http://schemas.openxmlformats.org/officeDocument/2006/relationships/hyperlink" Target="https://m.stock.naver.com/research/company/90805" TargetMode="External"/><Relationship Id="rId6320" Type="http://schemas.openxmlformats.org/officeDocument/2006/relationships/hyperlink" Target="https://m.stock.naver.com/research/company/86920" TargetMode="External"/><Relationship Id="rId9890" Type="http://schemas.openxmlformats.org/officeDocument/2006/relationships/hyperlink" Target="https://m.stock.naver.com/research/company/83332" TargetMode="External"/><Relationship Id="rId8492" Type="http://schemas.openxmlformats.org/officeDocument/2006/relationships/hyperlink" Target="https://m.stock.naver.com/research/company/84745" TargetMode="External"/><Relationship Id="rId9543" Type="http://schemas.openxmlformats.org/officeDocument/2006/relationships/hyperlink" Target="https://m.stock.naver.com/research/company/83684" TargetMode="External"/><Relationship Id="rId12871" Type="http://schemas.openxmlformats.org/officeDocument/2006/relationships/hyperlink" Target="https://m.stock.naver.com/research/company/80337" TargetMode="External"/><Relationship Id="rId13922" Type="http://schemas.openxmlformats.org/officeDocument/2006/relationships/hyperlink" Target="https://m.stock.naver.com/research/company/93715" TargetMode="External"/><Relationship Id="rId1532" Type="http://schemas.openxmlformats.org/officeDocument/2006/relationships/hyperlink" Target="https://m.stock.naver.com/research/company/91723" TargetMode="External"/><Relationship Id="rId2930" Type="http://schemas.openxmlformats.org/officeDocument/2006/relationships/hyperlink" Target="https://m.stock.naver.com/research/company/90323" TargetMode="External"/><Relationship Id="rId7094" Type="http://schemas.openxmlformats.org/officeDocument/2006/relationships/hyperlink" Target="https://m.stock.naver.com/research/company/86145" TargetMode="External"/><Relationship Id="rId8145" Type="http://schemas.openxmlformats.org/officeDocument/2006/relationships/hyperlink" Target="https://m.stock.naver.com/research/company/85093" TargetMode="External"/><Relationship Id="rId10075" Type="http://schemas.openxmlformats.org/officeDocument/2006/relationships/hyperlink" Target="https://m.stock.naver.com/research/company/83146" TargetMode="External"/><Relationship Id="rId11473" Type="http://schemas.openxmlformats.org/officeDocument/2006/relationships/hyperlink" Target="https://m.stock.naver.com/research/company/81742" TargetMode="External"/><Relationship Id="rId12524" Type="http://schemas.openxmlformats.org/officeDocument/2006/relationships/hyperlink" Target="https://m.stock.naver.com/research/company/80684" TargetMode="External"/><Relationship Id="rId902" Type="http://schemas.openxmlformats.org/officeDocument/2006/relationships/hyperlink" Target="https://m.stock.naver.com/research/company/92554" TargetMode="External"/><Relationship Id="rId11126" Type="http://schemas.openxmlformats.org/officeDocument/2006/relationships/hyperlink" Target="https://m.stock.naver.com/research/company/82094" TargetMode="External"/><Relationship Id="rId14696" Type="http://schemas.openxmlformats.org/officeDocument/2006/relationships/hyperlink" Target="https://m.stock.naver.com/research/company/94704" TargetMode="External"/><Relationship Id="rId15747" Type="http://schemas.openxmlformats.org/officeDocument/2006/relationships/hyperlink" Target="https://m.stock.naver.com/research/company/95667" TargetMode="External"/><Relationship Id="rId4755" Type="http://schemas.openxmlformats.org/officeDocument/2006/relationships/hyperlink" Target="https://m.stock.naver.com/research/company/88485" TargetMode="External"/><Relationship Id="rId5806" Type="http://schemas.openxmlformats.org/officeDocument/2006/relationships/hyperlink" Target="https://m.stock.naver.com/research/company/87434" TargetMode="External"/><Relationship Id="rId13298" Type="http://schemas.openxmlformats.org/officeDocument/2006/relationships/hyperlink" Target="https://m.stock.naver.com/research/company/79907" TargetMode="External"/><Relationship Id="rId14349" Type="http://schemas.openxmlformats.org/officeDocument/2006/relationships/hyperlink" Target="https://m.stock.naver.com/research/company/94202" TargetMode="External"/><Relationship Id="rId278" Type="http://schemas.openxmlformats.org/officeDocument/2006/relationships/hyperlink" Target="https://m.stock.naver.com/research/company/93180" TargetMode="External"/><Relationship Id="rId3357" Type="http://schemas.openxmlformats.org/officeDocument/2006/relationships/hyperlink" Target="https://m.stock.naver.com/research/company/89893" TargetMode="External"/><Relationship Id="rId4408" Type="http://schemas.openxmlformats.org/officeDocument/2006/relationships/hyperlink" Target="https://m.stock.naver.com/research/company/88833" TargetMode="External"/><Relationship Id="rId7978" Type="http://schemas.openxmlformats.org/officeDocument/2006/relationships/hyperlink" Target="https://m.stock.naver.com/research/company/85260" TargetMode="External"/><Relationship Id="rId10959" Type="http://schemas.openxmlformats.org/officeDocument/2006/relationships/hyperlink" Target="https://m.stock.naver.com/research/company/82261" TargetMode="External"/><Relationship Id="rId12381" Type="http://schemas.openxmlformats.org/officeDocument/2006/relationships/hyperlink" Target="https://m.stock.naver.com/research/company/80828" TargetMode="External"/><Relationship Id="rId13432" Type="http://schemas.openxmlformats.org/officeDocument/2006/relationships/hyperlink" Target="https://m.stock.naver.com/research/company/79773" TargetMode="External"/><Relationship Id="rId14830" Type="http://schemas.openxmlformats.org/officeDocument/2006/relationships/hyperlink" Target="https://m.stock.naver.com/research/company/94794" TargetMode="External"/><Relationship Id="rId2440" Type="http://schemas.openxmlformats.org/officeDocument/2006/relationships/hyperlink" Target="https://m.stock.naver.com/research/company/90814" TargetMode="External"/><Relationship Id="rId9053" Type="http://schemas.openxmlformats.org/officeDocument/2006/relationships/hyperlink" Target="https://m.stock.naver.com/research/company/84178" TargetMode="External"/><Relationship Id="rId12034" Type="http://schemas.openxmlformats.org/officeDocument/2006/relationships/hyperlink" Target="https://m.stock.naver.com/research/company/81177" TargetMode="External"/><Relationship Id="rId412" Type="http://schemas.openxmlformats.org/officeDocument/2006/relationships/hyperlink" Target="https://m.stock.naver.com/research/company/93045" TargetMode="External"/><Relationship Id="rId1042" Type="http://schemas.openxmlformats.org/officeDocument/2006/relationships/hyperlink" Target="https://m.stock.naver.com/research/company/92309" TargetMode="External"/><Relationship Id="rId5663" Type="http://schemas.openxmlformats.org/officeDocument/2006/relationships/hyperlink" Target="https://m.stock.naver.com/research/company/87577" TargetMode="External"/><Relationship Id="rId4265" Type="http://schemas.openxmlformats.org/officeDocument/2006/relationships/hyperlink" Target="https://m.stock.naver.com/research/company/88976" TargetMode="External"/><Relationship Id="rId5316" Type="http://schemas.openxmlformats.org/officeDocument/2006/relationships/hyperlink" Target="https://m.stock.naver.com/research/company/87924" TargetMode="External"/><Relationship Id="rId6714" Type="http://schemas.openxmlformats.org/officeDocument/2006/relationships/hyperlink" Target="https://m.stock.naver.com/research/company/86526" TargetMode="External"/><Relationship Id="rId15257" Type="http://schemas.openxmlformats.org/officeDocument/2006/relationships/hyperlink" Target="https://m.stock.naver.com/research/company/95103" TargetMode="External"/><Relationship Id="rId8886" Type="http://schemas.openxmlformats.org/officeDocument/2006/relationships/hyperlink" Target="https://m.stock.naver.com/research/company/84350" TargetMode="External"/><Relationship Id="rId9937" Type="http://schemas.openxmlformats.org/officeDocument/2006/relationships/hyperlink" Target="https://m.stock.naver.com/research/company/83285" TargetMode="External"/><Relationship Id="rId11867" Type="http://schemas.openxmlformats.org/officeDocument/2006/relationships/hyperlink" Target="https://m.stock.naver.com/research/company/81345" TargetMode="External"/><Relationship Id="rId12918" Type="http://schemas.openxmlformats.org/officeDocument/2006/relationships/hyperlink" Target="https://m.stock.naver.com/research/company/80290" TargetMode="External"/><Relationship Id="rId1926" Type="http://schemas.openxmlformats.org/officeDocument/2006/relationships/hyperlink" Target="https://m.stock.naver.com/research/company/91329" TargetMode="External"/><Relationship Id="rId7488" Type="http://schemas.openxmlformats.org/officeDocument/2006/relationships/hyperlink" Target="https://m.stock.naver.com/research/company/85751" TargetMode="External"/><Relationship Id="rId8539" Type="http://schemas.openxmlformats.org/officeDocument/2006/relationships/hyperlink" Target="https://m.stock.naver.com/research/company/84698" TargetMode="External"/><Relationship Id="rId10469" Type="http://schemas.openxmlformats.org/officeDocument/2006/relationships/hyperlink" Target="https://m.stock.naver.com/research/company/82751" TargetMode="External"/><Relationship Id="rId14340" Type="http://schemas.openxmlformats.org/officeDocument/2006/relationships/hyperlink" Target="https://m.stock.naver.com/research/company/94211" TargetMode="External"/><Relationship Id="rId3001" Type="http://schemas.openxmlformats.org/officeDocument/2006/relationships/hyperlink" Target="https://m.stock.naver.com/research/company/90250" TargetMode="External"/><Relationship Id="rId6571" Type="http://schemas.openxmlformats.org/officeDocument/2006/relationships/hyperlink" Target="https://m.stock.naver.com/research/company/86669" TargetMode="External"/><Relationship Id="rId7622" Type="http://schemas.openxmlformats.org/officeDocument/2006/relationships/hyperlink" Target="https://m.stock.naver.com/research/company/85617" TargetMode="External"/><Relationship Id="rId10950" Type="http://schemas.openxmlformats.org/officeDocument/2006/relationships/hyperlink" Target="https://m.stock.naver.com/research/company/82270" TargetMode="External"/><Relationship Id="rId5173" Type="http://schemas.openxmlformats.org/officeDocument/2006/relationships/hyperlink" Target="https://m.stock.naver.com/research/company/88067" TargetMode="External"/><Relationship Id="rId6224" Type="http://schemas.openxmlformats.org/officeDocument/2006/relationships/hyperlink" Target="https://m.stock.naver.com/research/company/87016" TargetMode="External"/><Relationship Id="rId9794" Type="http://schemas.openxmlformats.org/officeDocument/2006/relationships/hyperlink" Target="https://m.stock.naver.com/research/company/83428" TargetMode="External"/><Relationship Id="rId10603" Type="http://schemas.openxmlformats.org/officeDocument/2006/relationships/hyperlink" Target="https://m.stock.naver.com/research/company/82617" TargetMode="External"/><Relationship Id="rId8396" Type="http://schemas.openxmlformats.org/officeDocument/2006/relationships/hyperlink" Target="https://m.stock.naver.com/research/company/84842" TargetMode="External"/><Relationship Id="rId9447" Type="http://schemas.openxmlformats.org/officeDocument/2006/relationships/hyperlink" Target="https://m.stock.naver.com/research/company/83780" TargetMode="External"/><Relationship Id="rId12775" Type="http://schemas.openxmlformats.org/officeDocument/2006/relationships/hyperlink" Target="https://m.stock.naver.com/research/company/80433" TargetMode="External"/><Relationship Id="rId13826" Type="http://schemas.openxmlformats.org/officeDocument/2006/relationships/hyperlink" Target="https://m.stock.naver.com/research/company/93552" TargetMode="External"/><Relationship Id="rId1783" Type="http://schemas.openxmlformats.org/officeDocument/2006/relationships/hyperlink" Target="https://m.stock.naver.com/research/company/91472" TargetMode="External"/><Relationship Id="rId2834" Type="http://schemas.openxmlformats.org/officeDocument/2006/relationships/hyperlink" Target="https://m.stock.naver.com/research/company/90419" TargetMode="External"/><Relationship Id="rId8049" Type="http://schemas.openxmlformats.org/officeDocument/2006/relationships/hyperlink" Target="https://m.stock.naver.com/research/company/85189" TargetMode="External"/><Relationship Id="rId11377" Type="http://schemas.openxmlformats.org/officeDocument/2006/relationships/hyperlink" Target="https://m.stock.naver.com/research/company/81838" TargetMode="External"/><Relationship Id="rId12428" Type="http://schemas.openxmlformats.org/officeDocument/2006/relationships/hyperlink" Target="https://m.stock.naver.com/research/company/80781" TargetMode="External"/><Relationship Id="rId806" Type="http://schemas.openxmlformats.org/officeDocument/2006/relationships/hyperlink" Target="https://m.stock.naver.com/research/company/92650" TargetMode="External"/><Relationship Id="rId1436" Type="http://schemas.openxmlformats.org/officeDocument/2006/relationships/hyperlink" Target="https://m.stock.naver.com/research/company/91819" TargetMode="External"/><Relationship Id="rId4659" Type="http://schemas.openxmlformats.org/officeDocument/2006/relationships/hyperlink" Target="https://m.stock.naver.com/research/company/88581" TargetMode="External"/><Relationship Id="rId8530" Type="http://schemas.openxmlformats.org/officeDocument/2006/relationships/hyperlink" Target="https://m.stock.naver.com/research/company/84707" TargetMode="External"/><Relationship Id="rId10460" Type="http://schemas.openxmlformats.org/officeDocument/2006/relationships/hyperlink" Target="https://m.stock.naver.com/research/company/82760" TargetMode="External"/><Relationship Id="rId11511" Type="http://schemas.openxmlformats.org/officeDocument/2006/relationships/hyperlink" Target="https://m.stock.naver.com/research/company/81704" TargetMode="External"/><Relationship Id="rId6081" Type="http://schemas.openxmlformats.org/officeDocument/2006/relationships/hyperlink" Target="https://m.stock.naver.com/research/company/87159" TargetMode="External"/><Relationship Id="rId7132" Type="http://schemas.openxmlformats.org/officeDocument/2006/relationships/hyperlink" Target="https://m.stock.naver.com/research/company/86107" TargetMode="External"/><Relationship Id="rId10113" Type="http://schemas.openxmlformats.org/officeDocument/2006/relationships/hyperlink" Target="https://m.stock.naver.com/research/company/83108" TargetMode="External"/><Relationship Id="rId2691" Type="http://schemas.openxmlformats.org/officeDocument/2006/relationships/hyperlink" Target="https://m.stock.naver.com/research/company/90563" TargetMode="External"/><Relationship Id="rId3742" Type="http://schemas.openxmlformats.org/officeDocument/2006/relationships/hyperlink" Target="https://m.stock.naver.com/research/company/89509" TargetMode="External"/><Relationship Id="rId12285" Type="http://schemas.openxmlformats.org/officeDocument/2006/relationships/hyperlink" Target="https://m.stock.naver.com/research/company/80924" TargetMode="External"/><Relationship Id="rId13683" Type="http://schemas.openxmlformats.org/officeDocument/2006/relationships/hyperlink" Target="https://m.stock.naver.com/research/company/93491" TargetMode="External"/><Relationship Id="rId14734" Type="http://schemas.openxmlformats.org/officeDocument/2006/relationships/hyperlink" Target="https://m.stock.naver.com/research/company/94666" TargetMode="External"/><Relationship Id="rId663" Type="http://schemas.openxmlformats.org/officeDocument/2006/relationships/hyperlink" Target="https://m.stock.naver.com/research/company/92793" TargetMode="External"/><Relationship Id="rId1293" Type="http://schemas.openxmlformats.org/officeDocument/2006/relationships/hyperlink" Target="https://m.stock.naver.com/research/company/91962" TargetMode="External"/><Relationship Id="rId2344" Type="http://schemas.openxmlformats.org/officeDocument/2006/relationships/hyperlink" Target="https://m.stock.naver.com/research/company/90911" TargetMode="External"/><Relationship Id="rId13336" Type="http://schemas.openxmlformats.org/officeDocument/2006/relationships/hyperlink" Target="https://m.stock.naver.com/research/company/79869" TargetMode="External"/><Relationship Id="rId316" Type="http://schemas.openxmlformats.org/officeDocument/2006/relationships/hyperlink" Target="https://m.stock.naver.com/research/company/93142" TargetMode="External"/><Relationship Id="rId6965" Type="http://schemas.openxmlformats.org/officeDocument/2006/relationships/hyperlink" Target="https://m.stock.naver.com/research/company/86274" TargetMode="External"/><Relationship Id="rId4169" Type="http://schemas.openxmlformats.org/officeDocument/2006/relationships/hyperlink" Target="https://m.stock.naver.com/research/company/89080" TargetMode="External"/><Relationship Id="rId5567" Type="http://schemas.openxmlformats.org/officeDocument/2006/relationships/hyperlink" Target="https://m.stock.naver.com/research/company/87673" TargetMode="External"/><Relationship Id="rId6618" Type="http://schemas.openxmlformats.org/officeDocument/2006/relationships/hyperlink" Target="https://m.stock.naver.com/research/company/86622" TargetMode="External"/><Relationship Id="rId8040" Type="http://schemas.openxmlformats.org/officeDocument/2006/relationships/hyperlink" Target="https://m.stock.naver.com/research/company/85198" TargetMode="External"/><Relationship Id="rId11021" Type="http://schemas.openxmlformats.org/officeDocument/2006/relationships/hyperlink" Target="https://m.stock.naver.com/research/company/82199" TargetMode="External"/><Relationship Id="rId14591" Type="http://schemas.openxmlformats.org/officeDocument/2006/relationships/hyperlink" Target="https://m.stock.naver.com/research/company/94488" TargetMode="External"/><Relationship Id="rId15642" Type="http://schemas.openxmlformats.org/officeDocument/2006/relationships/hyperlink" Target="https://m.stock.naver.com/research/company/95772" TargetMode="External"/><Relationship Id="rId4650" Type="http://schemas.openxmlformats.org/officeDocument/2006/relationships/hyperlink" Target="https://m.stock.naver.com/research/company/88590" TargetMode="External"/><Relationship Id="rId5701" Type="http://schemas.openxmlformats.org/officeDocument/2006/relationships/hyperlink" Target="https://m.stock.naver.com/research/company/87539" TargetMode="External"/><Relationship Id="rId13193" Type="http://schemas.openxmlformats.org/officeDocument/2006/relationships/hyperlink" Target="https://m.stock.naver.com/research/company/80014" TargetMode="External"/><Relationship Id="rId14244" Type="http://schemas.openxmlformats.org/officeDocument/2006/relationships/hyperlink" Target="https://m.stock.naver.com/research/company/94099" TargetMode="External"/><Relationship Id="rId3252" Type="http://schemas.openxmlformats.org/officeDocument/2006/relationships/hyperlink" Target="https://m.stock.naver.com/research/company/89998" TargetMode="External"/><Relationship Id="rId4303" Type="http://schemas.openxmlformats.org/officeDocument/2006/relationships/hyperlink" Target="https://m.stock.naver.com/research/company/88938" TargetMode="External"/><Relationship Id="rId7873" Type="http://schemas.openxmlformats.org/officeDocument/2006/relationships/hyperlink" Target="https://m.stock.naver.com/research/company/85365" TargetMode="External"/><Relationship Id="rId173" Type="http://schemas.openxmlformats.org/officeDocument/2006/relationships/hyperlink" Target="https://m.stock.naver.com/research/company/93285" TargetMode="External"/><Relationship Id="rId6475" Type="http://schemas.openxmlformats.org/officeDocument/2006/relationships/hyperlink" Target="https://m.stock.naver.com/research/company/86765" TargetMode="External"/><Relationship Id="rId7526" Type="http://schemas.openxmlformats.org/officeDocument/2006/relationships/hyperlink" Target="https://m.stock.naver.com/research/company/85713" TargetMode="External"/><Relationship Id="rId8924" Type="http://schemas.openxmlformats.org/officeDocument/2006/relationships/hyperlink" Target="https://m.stock.naver.com/research/company/84311" TargetMode="External"/><Relationship Id="rId10854" Type="http://schemas.openxmlformats.org/officeDocument/2006/relationships/hyperlink" Target="https://m.stock.naver.com/research/company/82366" TargetMode="External"/><Relationship Id="rId11905" Type="http://schemas.openxmlformats.org/officeDocument/2006/relationships/hyperlink" Target="https://m.stock.naver.com/research/company/81306" TargetMode="External"/><Relationship Id="rId5077" Type="http://schemas.openxmlformats.org/officeDocument/2006/relationships/hyperlink" Target="https://m.stock.naver.com/research/company/88163" TargetMode="External"/><Relationship Id="rId6128" Type="http://schemas.openxmlformats.org/officeDocument/2006/relationships/hyperlink" Target="https://m.stock.naver.com/research/company/87112" TargetMode="External"/><Relationship Id="rId10507" Type="http://schemas.openxmlformats.org/officeDocument/2006/relationships/hyperlink" Target="https://m.stock.naver.com/research/company/82713" TargetMode="External"/><Relationship Id="rId9698" Type="http://schemas.openxmlformats.org/officeDocument/2006/relationships/hyperlink" Target="https://m.stock.naver.com/research/company/83525" TargetMode="External"/><Relationship Id="rId12679" Type="http://schemas.openxmlformats.org/officeDocument/2006/relationships/hyperlink" Target="https://m.stock.naver.com/research/company/80529" TargetMode="External"/><Relationship Id="rId1687" Type="http://schemas.openxmlformats.org/officeDocument/2006/relationships/hyperlink" Target="https://m.stock.naver.com/research/company/91568" TargetMode="External"/><Relationship Id="rId2738" Type="http://schemas.openxmlformats.org/officeDocument/2006/relationships/hyperlink" Target="https://m.stock.naver.com/research/company/90516" TargetMode="External"/><Relationship Id="rId15152" Type="http://schemas.openxmlformats.org/officeDocument/2006/relationships/hyperlink" Target="https://m.stock.naver.com/research/company/94942" TargetMode="External"/><Relationship Id="rId4160" Type="http://schemas.openxmlformats.org/officeDocument/2006/relationships/hyperlink" Target="https://m.stock.naver.com/research/company/89089" TargetMode="External"/><Relationship Id="rId5211" Type="http://schemas.openxmlformats.org/officeDocument/2006/relationships/hyperlink" Target="https://m.stock.naver.com/research/company/88029" TargetMode="External"/><Relationship Id="rId8781" Type="http://schemas.openxmlformats.org/officeDocument/2006/relationships/hyperlink" Target="https://m.stock.naver.com/research/company/84456" TargetMode="External"/><Relationship Id="rId9832" Type="http://schemas.openxmlformats.org/officeDocument/2006/relationships/hyperlink" Target="https://m.stock.naver.com/research/company/83390" TargetMode="External"/><Relationship Id="rId46" Type="http://schemas.openxmlformats.org/officeDocument/2006/relationships/hyperlink" Target="https://m.stock.naver.com/research/company/93412" TargetMode="External"/><Relationship Id="rId1821" Type="http://schemas.openxmlformats.org/officeDocument/2006/relationships/hyperlink" Target="https://m.stock.naver.com/research/company/91434" TargetMode="External"/><Relationship Id="rId7383" Type="http://schemas.openxmlformats.org/officeDocument/2006/relationships/hyperlink" Target="https://m.stock.naver.com/research/company/85856" TargetMode="External"/><Relationship Id="rId8434" Type="http://schemas.openxmlformats.org/officeDocument/2006/relationships/hyperlink" Target="https://m.stock.naver.com/research/company/84804" TargetMode="External"/><Relationship Id="rId10364" Type="http://schemas.openxmlformats.org/officeDocument/2006/relationships/hyperlink" Target="https://m.stock.naver.com/research/company/82857" TargetMode="External"/><Relationship Id="rId11762" Type="http://schemas.openxmlformats.org/officeDocument/2006/relationships/hyperlink" Target="https://m.stock.naver.com/research/company/81450" TargetMode="External"/><Relationship Id="rId12813" Type="http://schemas.openxmlformats.org/officeDocument/2006/relationships/hyperlink" Target="https://m.stock.naver.com/research/company/80395" TargetMode="External"/><Relationship Id="rId7036" Type="http://schemas.openxmlformats.org/officeDocument/2006/relationships/hyperlink" Target="https://m.stock.naver.com/research/company/86203" TargetMode="External"/><Relationship Id="rId10017" Type="http://schemas.openxmlformats.org/officeDocument/2006/relationships/hyperlink" Target="https://m.stock.naver.com/research/company/83204" TargetMode="External"/><Relationship Id="rId11415" Type="http://schemas.openxmlformats.org/officeDocument/2006/relationships/hyperlink" Target="https://m.stock.naver.com/research/company/81800" TargetMode="External"/><Relationship Id="rId14985" Type="http://schemas.openxmlformats.org/officeDocument/2006/relationships/hyperlink" Target="https://m.stock.naver.com/research/company/94849" TargetMode="External"/><Relationship Id="rId2595" Type="http://schemas.openxmlformats.org/officeDocument/2006/relationships/hyperlink" Target="https://m.stock.naver.com/research/company/90659" TargetMode="External"/><Relationship Id="rId3993" Type="http://schemas.openxmlformats.org/officeDocument/2006/relationships/hyperlink" Target="https://m.stock.naver.com/research/company/89258" TargetMode="External"/><Relationship Id="rId13587" Type="http://schemas.openxmlformats.org/officeDocument/2006/relationships/hyperlink" Target="https://m.stock.naver.com/research/company/79617" TargetMode="External"/><Relationship Id="rId14638" Type="http://schemas.openxmlformats.org/officeDocument/2006/relationships/hyperlink" Target="https://m.stock.naver.com/research/company/94539" TargetMode="External"/><Relationship Id="rId567" Type="http://schemas.openxmlformats.org/officeDocument/2006/relationships/hyperlink" Target="https://m.stock.naver.com/research/company/92890" TargetMode="External"/><Relationship Id="rId1197" Type="http://schemas.openxmlformats.org/officeDocument/2006/relationships/hyperlink" Target="https://m.stock.naver.com/research/company/92058" TargetMode="External"/><Relationship Id="rId2248" Type="http://schemas.openxmlformats.org/officeDocument/2006/relationships/hyperlink" Target="https://m.stock.naver.com/research/company/91007" TargetMode="External"/><Relationship Id="rId3646" Type="http://schemas.openxmlformats.org/officeDocument/2006/relationships/hyperlink" Target="https://m.stock.naver.com/research/company/89605" TargetMode="External"/><Relationship Id="rId12189" Type="http://schemas.openxmlformats.org/officeDocument/2006/relationships/hyperlink" Target="https://m.stock.naver.com/research/company/81022" TargetMode="External"/><Relationship Id="rId6869" Type="http://schemas.openxmlformats.org/officeDocument/2006/relationships/hyperlink" Target="https://m.stock.naver.com/research/company/86371" TargetMode="External"/><Relationship Id="rId12670" Type="http://schemas.openxmlformats.org/officeDocument/2006/relationships/hyperlink" Target="https://m.stock.naver.com/research/company/80538" TargetMode="External"/><Relationship Id="rId13721" Type="http://schemas.openxmlformats.org/officeDocument/2006/relationships/hyperlink" Target="https://m.stock.naver.com/research/company/93518" TargetMode="External"/><Relationship Id="rId8291" Type="http://schemas.openxmlformats.org/officeDocument/2006/relationships/hyperlink" Target="https://m.stock.naver.com/research/company/84947" TargetMode="External"/><Relationship Id="rId9342" Type="http://schemas.openxmlformats.org/officeDocument/2006/relationships/hyperlink" Target="https://m.stock.naver.com/research/company/83885" TargetMode="External"/><Relationship Id="rId11272" Type="http://schemas.openxmlformats.org/officeDocument/2006/relationships/hyperlink" Target="https://m.stock.naver.com/research/company/81947" TargetMode="External"/><Relationship Id="rId12323" Type="http://schemas.openxmlformats.org/officeDocument/2006/relationships/hyperlink" Target="https://m.stock.naver.com/research/company/80886" TargetMode="External"/><Relationship Id="rId701" Type="http://schemas.openxmlformats.org/officeDocument/2006/relationships/hyperlink" Target="https://m.stock.naver.com/research/company/92755" TargetMode="External"/><Relationship Id="rId1331" Type="http://schemas.openxmlformats.org/officeDocument/2006/relationships/hyperlink" Target="https://m.stock.naver.com/research/company/91924" TargetMode="External"/><Relationship Id="rId5952" Type="http://schemas.openxmlformats.org/officeDocument/2006/relationships/hyperlink" Target="https://m.stock.naver.com/research/company/87288" TargetMode="External"/><Relationship Id="rId14495" Type="http://schemas.openxmlformats.org/officeDocument/2006/relationships/hyperlink" Target="https://m.stock.naver.com/research/company/94415" TargetMode="External"/><Relationship Id="rId4554" Type="http://schemas.openxmlformats.org/officeDocument/2006/relationships/hyperlink" Target="https://m.stock.naver.com/research/company/88686" TargetMode="External"/><Relationship Id="rId5605" Type="http://schemas.openxmlformats.org/officeDocument/2006/relationships/hyperlink" Target="https://m.stock.naver.com/research/company/87635" TargetMode="External"/><Relationship Id="rId13097" Type="http://schemas.openxmlformats.org/officeDocument/2006/relationships/hyperlink" Target="https://m.stock.naver.com/research/company/80110" TargetMode="External"/><Relationship Id="rId14148" Type="http://schemas.openxmlformats.org/officeDocument/2006/relationships/hyperlink" Target="https://m.stock.naver.com/research/company/93980" TargetMode="External"/><Relationship Id="rId15546" Type="http://schemas.openxmlformats.org/officeDocument/2006/relationships/hyperlink" Target="https://m.stock.naver.com/research/company/95490" TargetMode="External"/><Relationship Id="rId3156" Type="http://schemas.openxmlformats.org/officeDocument/2006/relationships/hyperlink" Target="https://m.stock.naver.com/research/company/90095" TargetMode="External"/><Relationship Id="rId4207" Type="http://schemas.openxmlformats.org/officeDocument/2006/relationships/hyperlink" Target="https://m.stock.naver.com/research/company/89035" TargetMode="External"/><Relationship Id="rId6379" Type="http://schemas.openxmlformats.org/officeDocument/2006/relationships/hyperlink" Target="https://m.stock.naver.com/research/company/86861" TargetMode="External"/><Relationship Id="rId7777" Type="http://schemas.openxmlformats.org/officeDocument/2006/relationships/hyperlink" Target="https://m.stock.naver.com/research/company/85462" TargetMode="External"/><Relationship Id="rId8828" Type="http://schemas.openxmlformats.org/officeDocument/2006/relationships/hyperlink" Target="https://m.stock.naver.com/research/company/84409" TargetMode="External"/><Relationship Id="rId10758" Type="http://schemas.openxmlformats.org/officeDocument/2006/relationships/hyperlink" Target="https://m.stock.naver.com/research/company/82462" TargetMode="External"/><Relationship Id="rId11809" Type="http://schemas.openxmlformats.org/officeDocument/2006/relationships/hyperlink" Target="https://m.stock.naver.com/research/company/81403" TargetMode="External"/><Relationship Id="rId12180" Type="http://schemas.openxmlformats.org/officeDocument/2006/relationships/hyperlink" Target="https://m.stock.naver.com/research/company/81031" TargetMode="External"/><Relationship Id="rId13231" Type="http://schemas.openxmlformats.org/officeDocument/2006/relationships/hyperlink" Target="https://m.stock.naver.com/research/company/79976" TargetMode="External"/><Relationship Id="rId2989" Type="http://schemas.openxmlformats.org/officeDocument/2006/relationships/hyperlink" Target="https://m.stock.naver.com/research/company/90264" TargetMode="External"/><Relationship Id="rId6860" Type="http://schemas.openxmlformats.org/officeDocument/2006/relationships/hyperlink" Target="https://m.stock.naver.com/research/company/86380" TargetMode="External"/><Relationship Id="rId7911" Type="http://schemas.openxmlformats.org/officeDocument/2006/relationships/hyperlink" Target="https://m.stock.naver.com/research/company/85327" TargetMode="External"/><Relationship Id="rId211" Type="http://schemas.openxmlformats.org/officeDocument/2006/relationships/hyperlink" Target="https://m.stock.naver.com/research/company/93247" TargetMode="External"/><Relationship Id="rId5462" Type="http://schemas.openxmlformats.org/officeDocument/2006/relationships/hyperlink" Target="https://m.stock.naver.com/research/company/87778" TargetMode="External"/><Relationship Id="rId6513" Type="http://schemas.openxmlformats.org/officeDocument/2006/relationships/hyperlink" Target="https://m.stock.naver.com/research/company/86727" TargetMode="External"/><Relationship Id="rId15056" Type="http://schemas.openxmlformats.org/officeDocument/2006/relationships/hyperlink" Target="https://m.stock.naver.com/research/company/95038" TargetMode="External"/><Relationship Id="rId4064" Type="http://schemas.openxmlformats.org/officeDocument/2006/relationships/hyperlink" Target="https://m.stock.naver.com/research/company/89187" TargetMode="External"/><Relationship Id="rId5115" Type="http://schemas.openxmlformats.org/officeDocument/2006/relationships/hyperlink" Target="https://m.stock.naver.com/research/company/88125" TargetMode="External"/><Relationship Id="rId8685" Type="http://schemas.openxmlformats.org/officeDocument/2006/relationships/hyperlink" Target="https://m.stock.naver.com/research/company/84552" TargetMode="External"/><Relationship Id="rId9736" Type="http://schemas.openxmlformats.org/officeDocument/2006/relationships/hyperlink" Target="https://m.stock.naver.com/research/company/83487" TargetMode="External"/><Relationship Id="rId7287" Type="http://schemas.openxmlformats.org/officeDocument/2006/relationships/hyperlink" Target="https://m.stock.naver.com/research/company/85952" TargetMode="External"/><Relationship Id="rId8338" Type="http://schemas.openxmlformats.org/officeDocument/2006/relationships/hyperlink" Target="https://m.stock.naver.com/research/company/84900" TargetMode="External"/><Relationship Id="rId11666" Type="http://schemas.openxmlformats.org/officeDocument/2006/relationships/hyperlink" Target="https://m.stock.naver.com/research/company/81546" TargetMode="External"/><Relationship Id="rId12717" Type="http://schemas.openxmlformats.org/officeDocument/2006/relationships/hyperlink" Target="https://m.stock.naver.com/research/company/80491" TargetMode="External"/><Relationship Id="rId1725" Type="http://schemas.openxmlformats.org/officeDocument/2006/relationships/hyperlink" Target="https://m.stock.naver.com/research/company/91530" TargetMode="External"/><Relationship Id="rId10268" Type="http://schemas.openxmlformats.org/officeDocument/2006/relationships/hyperlink" Target="https://m.stock.naver.com/research/company/82953" TargetMode="External"/><Relationship Id="rId11319" Type="http://schemas.openxmlformats.org/officeDocument/2006/relationships/hyperlink" Target="https://m.stock.naver.com/research/company/81900" TargetMode="External"/><Relationship Id="rId14889" Type="http://schemas.openxmlformats.org/officeDocument/2006/relationships/hyperlink" Target="https://m.stock.naver.com/research/company/94735" TargetMode="External"/><Relationship Id="rId3897" Type="http://schemas.openxmlformats.org/officeDocument/2006/relationships/hyperlink" Target="https://m.stock.naver.com/research/company/89354" TargetMode="External"/><Relationship Id="rId4948" Type="http://schemas.openxmlformats.org/officeDocument/2006/relationships/hyperlink" Target="https://m.stock.naver.com/research/company/88292" TargetMode="External"/><Relationship Id="rId11800" Type="http://schemas.openxmlformats.org/officeDocument/2006/relationships/hyperlink" Target="https://m.stock.naver.com/research/company/81412" TargetMode="External"/><Relationship Id="rId2499" Type="http://schemas.openxmlformats.org/officeDocument/2006/relationships/hyperlink" Target="https://m.stock.naver.com/research/company/90755" TargetMode="External"/><Relationship Id="rId6370" Type="http://schemas.openxmlformats.org/officeDocument/2006/relationships/hyperlink" Target="https://m.stock.naver.com/research/company/86870" TargetMode="External"/><Relationship Id="rId7421" Type="http://schemas.openxmlformats.org/officeDocument/2006/relationships/hyperlink" Target="https://m.stock.naver.com/research/company/85818" TargetMode="External"/><Relationship Id="rId10402" Type="http://schemas.openxmlformats.org/officeDocument/2006/relationships/hyperlink" Target="https://m.stock.naver.com/research/company/82819" TargetMode="External"/><Relationship Id="rId2980" Type="http://schemas.openxmlformats.org/officeDocument/2006/relationships/hyperlink" Target="https://m.stock.naver.com/research/company/90273" TargetMode="External"/><Relationship Id="rId6023" Type="http://schemas.openxmlformats.org/officeDocument/2006/relationships/hyperlink" Target="https://m.stock.naver.com/research/company/87217" TargetMode="External"/><Relationship Id="rId9593" Type="http://schemas.openxmlformats.org/officeDocument/2006/relationships/hyperlink" Target="https://m.stock.naver.com/research/company/83634" TargetMode="External"/><Relationship Id="rId12574" Type="http://schemas.openxmlformats.org/officeDocument/2006/relationships/hyperlink" Target="https://m.stock.naver.com/research/company/80634" TargetMode="External"/><Relationship Id="rId13972" Type="http://schemas.openxmlformats.org/officeDocument/2006/relationships/hyperlink" Target="https://m.stock.naver.com/research/company/93760" TargetMode="External"/><Relationship Id="rId952" Type="http://schemas.openxmlformats.org/officeDocument/2006/relationships/hyperlink" Target="https://m.stock.naver.com/research/company/92504" TargetMode="External"/><Relationship Id="rId1582" Type="http://schemas.openxmlformats.org/officeDocument/2006/relationships/hyperlink" Target="https://m.stock.naver.com/research/company/91673" TargetMode="External"/><Relationship Id="rId2633" Type="http://schemas.openxmlformats.org/officeDocument/2006/relationships/hyperlink" Target="https://m.stock.naver.com/research/company/90621" TargetMode="External"/><Relationship Id="rId8195" Type="http://schemas.openxmlformats.org/officeDocument/2006/relationships/hyperlink" Target="https://m.stock.naver.com/research/company/85043" TargetMode="External"/><Relationship Id="rId9246" Type="http://schemas.openxmlformats.org/officeDocument/2006/relationships/hyperlink" Target="https://m.stock.naver.com/research/company/83982" TargetMode="External"/><Relationship Id="rId11176" Type="http://schemas.openxmlformats.org/officeDocument/2006/relationships/hyperlink" Target="https://m.stock.naver.com/research/company/82044" TargetMode="External"/><Relationship Id="rId12227" Type="http://schemas.openxmlformats.org/officeDocument/2006/relationships/hyperlink" Target="https://m.stock.naver.com/research/company/80983" TargetMode="External"/><Relationship Id="rId13625" Type="http://schemas.openxmlformats.org/officeDocument/2006/relationships/hyperlink" Target="https://m.stock.naver.com/research/company/79579" TargetMode="External"/><Relationship Id="rId605" Type="http://schemas.openxmlformats.org/officeDocument/2006/relationships/hyperlink" Target="https://m.stock.naver.com/research/company/92852" TargetMode="External"/><Relationship Id="rId1235" Type="http://schemas.openxmlformats.org/officeDocument/2006/relationships/hyperlink" Target="https://m.stock.naver.com/research/company/92020" TargetMode="External"/><Relationship Id="rId4458" Type="http://schemas.openxmlformats.org/officeDocument/2006/relationships/hyperlink" Target="https://m.stock.naver.com/research/company/88782" TargetMode="External"/><Relationship Id="rId5856" Type="http://schemas.openxmlformats.org/officeDocument/2006/relationships/hyperlink" Target="https://m.stock.naver.com/research/company/87384" TargetMode="External"/><Relationship Id="rId6907" Type="http://schemas.openxmlformats.org/officeDocument/2006/relationships/hyperlink" Target="https://m.stock.naver.com/research/company/86332" TargetMode="External"/><Relationship Id="rId14399" Type="http://schemas.openxmlformats.org/officeDocument/2006/relationships/hyperlink" Target="https://m.stock.naver.com/research/company/94284" TargetMode="External"/><Relationship Id="rId5509" Type="http://schemas.openxmlformats.org/officeDocument/2006/relationships/hyperlink" Target="https://m.stock.naver.com/research/company/87731" TargetMode="External"/><Relationship Id="rId11310" Type="http://schemas.openxmlformats.org/officeDocument/2006/relationships/hyperlink" Target="https://m.stock.naver.com/research/company/81909" TargetMode="External"/><Relationship Id="rId14880" Type="http://schemas.openxmlformats.org/officeDocument/2006/relationships/hyperlink" Target="https://m.stock.naver.com/research/company/94744" TargetMode="External"/><Relationship Id="rId13482" Type="http://schemas.openxmlformats.org/officeDocument/2006/relationships/hyperlink" Target="https://m.stock.naver.com/research/company/79722" TargetMode="External"/><Relationship Id="rId14533" Type="http://schemas.openxmlformats.org/officeDocument/2006/relationships/hyperlink" Target="https://m.stock.naver.com/research/company/94377" TargetMode="External"/><Relationship Id="rId2490" Type="http://schemas.openxmlformats.org/officeDocument/2006/relationships/hyperlink" Target="https://m.stock.naver.com/research/company/90764" TargetMode="External"/><Relationship Id="rId3541" Type="http://schemas.openxmlformats.org/officeDocument/2006/relationships/hyperlink" Target="https://m.stock.naver.com/research/company/89710" TargetMode="External"/><Relationship Id="rId12084" Type="http://schemas.openxmlformats.org/officeDocument/2006/relationships/hyperlink" Target="https://m.stock.naver.com/research/company/81127" TargetMode="External"/><Relationship Id="rId13135" Type="http://schemas.openxmlformats.org/officeDocument/2006/relationships/hyperlink" Target="https://m.stock.naver.com/research/company/80072" TargetMode="External"/><Relationship Id="rId462" Type="http://schemas.openxmlformats.org/officeDocument/2006/relationships/hyperlink" Target="https://m.stock.naver.com/research/company/92995" TargetMode="External"/><Relationship Id="rId1092" Type="http://schemas.openxmlformats.org/officeDocument/2006/relationships/hyperlink" Target="https://m.stock.naver.com/research/company/92164" TargetMode="External"/><Relationship Id="rId2143" Type="http://schemas.openxmlformats.org/officeDocument/2006/relationships/hyperlink" Target="https://m.stock.naver.com/research/company/91112" TargetMode="External"/><Relationship Id="rId6764" Type="http://schemas.openxmlformats.org/officeDocument/2006/relationships/hyperlink" Target="https://m.stock.naver.com/research/company/86476" TargetMode="External"/><Relationship Id="rId7815" Type="http://schemas.openxmlformats.org/officeDocument/2006/relationships/hyperlink" Target="https://m.stock.naver.com/research/company/85423" TargetMode="External"/><Relationship Id="rId115" Type="http://schemas.openxmlformats.org/officeDocument/2006/relationships/hyperlink" Target="https://m.stock.naver.com/research/company/93343" TargetMode="External"/><Relationship Id="rId5366" Type="http://schemas.openxmlformats.org/officeDocument/2006/relationships/hyperlink" Target="https://m.stock.naver.com/research/company/87874" TargetMode="External"/><Relationship Id="rId6417" Type="http://schemas.openxmlformats.org/officeDocument/2006/relationships/hyperlink" Target="https://m.stock.naver.com/research/company/86823" TargetMode="External"/><Relationship Id="rId5019" Type="http://schemas.openxmlformats.org/officeDocument/2006/relationships/hyperlink" Target="https://m.stock.naver.com/research/company/88221" TargetMode="External"/><Relationship Id="rId8589" Type="http://schemas.openxmlformats.org/officeDocument/2006/relationships/hyperlink" Target="https://m.stock.naver.com/research/company/84648" TargetMode="External"/><Relationship Id="rId9987" Type="http://schemas.openxmlformats.org/officeDocument/2006/relationships/hyperlink" Target="https://m.stock.naver.com/research/company/83234" TargetMode="External"/><Relationship Id="rId12968" Type="http://schemas.openxmlformats.org/officeDocument/2006/relationships/hyperlink" Target="https://m.stock.naver.com/research/company/80240" TargetMode="External"/><Relationship Id="rId1976" Type="http://schemas.openxmlformats.org/officeDocument/2006/relationships/hyperlink" Target="https://m.stock.naver.com/research/company/91279" TargetMode="External"/><Relationship Id="rId14390" Type="http://schemas.openxmlformats.org/officeDocument/2006/relationships/hyperlink" Target="https://m.stock.naver.com/research/company/94254" TargetMode="External"/><Relationship Id="rId15441" Type="http://schemas.openxmlformats.org/officeDocument/2006/relationships/hyperlink" Target="https://m.stock.naver.com/research/company/95346" TargetMode="External"/><Relationship Id="rId1629" Type="http://schemas.openxmlformats.org/officeDocument/2006/relationships/hyperlink" Target="https://m.stock.naver.com/research/company/91626" TargetMode="External"/><Relationship Id="rId5500" Type="http://schemas.openxmlformats.org/officeDocument/2006/relationships/hyperlink" Target="https://m.stock.naver.com/research/company/87740" TargetMode="External"/><Relationship Id="rId14043" Type="http://schemas.openxmlformats.org/officeDocument/2006/relationships/hyperlink" Target="https://m.stock.naver.com/research/company/93804" TargetMode="External"/><Relationship Id="rId3051" Type="http://schemas.openxmlformats.org/officeDocument/2006/relationships/hyperlink" Target="https://m.stock.naver.com/research/company/90200" TargetMode="External"/><Relationship Id="rId4102" Type="http://schemas.openxmlformats.org/officeDocument/2006/relationships/hyperlink" Target="https://m.stock.naver.com/research/company/89149" TargetMode="External"/><Relationship Id="rId7672" Type="http://schemas.openxmlformats.org/officeDocument/2006/relationships/hyperlink" Target="https://m.stock.naver.com/research/company/85567" TargetMode="External"/><Relationship Id="rId8723" Type="http://schemas.openxmlformats.org/officeDocument/2006/relationships/hyperlink" Target="https://m.stock.naver.com/research/company/84514" TargetMode="External"/><Relationship Id="rId10653" Type="http://schemas.openxmlformats.org/officeDocument/2006/relationships/hyperlink" Target="https://m.stock.naver.com/research/company/82567" TargetMode="External"/><Relationship Id="rId6274" Type="http://schemas.openxmlformats.org/officeDocument/2006/relationships/hyperlink" Target="https://m.stock.naver.com/research/company/86966" TargetMode="External"/><Relationship Id="rId7325" Type="http://schemas.openxmlformats.org/officeDocument/2006/relationships/hyperlink" Target="https://m.stock.naver.com/research/company/85914" TargetMode="External"/><Relationship Id="rId10306" Type="http://schemas.openxmlformats.org/officeDocument/2006/relationships/hyperlink" Target="https://m.stock.naver.com/research/company/82915" TargetMode="External"/><Relationship Id="rId11704" Type="http://schemas.openxmlformats.org/officeDocument/2006/relationships/hyperlink" Target="https://m.stock.naver.com/research/company/81508" TargetMode="External"/><Relationship Id="rId2884" Type="http://schemas.openxmlformats.org/officeDocument/2006/relationships/hyperlink" Target="https://m.stock.naver.com/research/company/90369" TargetMode="External"/><Relationship Id="rId9497" Type="http://schemas.openxmlformats.org/officeDocument/2006/relationships/hyperlink" Target="https://m.stock.naver.com/research/company/83730" TargetMode="External"/><Relationship Id="rId13876" Type="http://schemas.openxmlformats.org/officeDocument/2006/relationships/hyperlink" Target="https://m.stock.naver.com/research/company/93651" TargetMode="External"/><Relationship Id="rId14927" Type="http://schemas.openxmlformats.org/officeDocument/2006/relationships/hyperlink" Target="https://m.stock.naver.com/research/company/94907" TargetMode="External"/><Relationship Id="rId856" Type="http://schemas.openxmlformats.org/officeDocument/2006/relationships/hyperlink" Target="https://m.stock.naver.com/research/company/92600" TargetMode="External"/><Relationship Id="rId1486" Type="http://schemas.openxmlformats.org/officeDocument/2006/relationships/hyperlink" Target="https://m.stock.naver.com/research/company/91769" TargetMode="External"/><Relationship Id="rId2537" Type="http://schemas.openxmlformats.org/officeDocument/2006/relationships/hyperlink" Target="https://m.stock.naver.com/research/company/90717" TargetMode="External"/><Relationship Id="rId3935" Type="http://schemas.openxmlformats.org/officeDocument/2006/relationships/hyperlink" Target="https://m.stock.naver.com/research/company/89316" TargetMode="External"/><Relationship Id="rId8099" Type="http://schemas.openxmlformats.org/officeDocument/2006/relationships/hyperlink" Target="https://m.stock.naver.com/research/company/85139" TargetMode="External"/><Relationship Id="rId12478" Type="http://schemas.openxmlformats.org/officeDocument/2006/relationships/hyperlink" Target="https://m.stock.naver.com/research/company/80730" TargetMode="External"/><Relationship Id="rId13529" Type="http://schemas.openxmlformats.org/officeDocument/2006/relationships/hyperlink" Target="https://m.stock.naver.com/research/company/79675" TargetMode="External"/><Relationship Id="rId509" Type="http://schemas.openxmlformats.org/officeDocument/2006/relationships/hyperlink" Target="https://m.stock.naver.com/research/company/92948" TargetMode="External"/><Relationship Id="rId1139" Type="http://schemas.openxmlformats.org/officeDocument/2006/relationships/hyperlink" Target="https://m.stock.naver.com/research/company/92116" TargetMode="External"/><Relationship Id="rId5010" Type="http://schemas.openxmlformats.org/officeDocument/2006/relationships/hyperlink" Target="https://m.stock.naver.com/research/company/88230" TargetMode="External"/><Relationship Id="rId8580" Type="http://schemas.openxmlformats.org/officeDocument/2006/relationships/hyperlink" Target="https://m.stock.naver.com/research/company/84657" TargetMode="External"/><Relationship Id="rId9631" Type="http://schemas.openxmlformats.org/officeDocument/2006/relationships/hyperlink" Target="https://m.stock.naver.com/research/company/83594" TargetMode="External"/><Relationship Id="rId11561" Type="http://schemas.openxmlformats.org/officeDocument/2006/relationships/hyperlink" Target="https://m.stock.naver.com/research/company/81652" TargetMode="External"/><Relationship Id="rId12612" Type="http://schemas.openxmlformats.org/officeDocument/2006/relationships/hyperlink" Target="https://m.stock.naver.com/research/company/80596" TargetMode="External"/><Relationship Id="rId1620" Type="http://schemas.openxmlformats.org/officeDocument/2006/relationships/hyperlink" Target="https://m.stock.naver.com/research/company/91635" TargetMode="External"/><Relationship Id="rId7182" Type="http://schemas.openxmlformats.org/officeDocument/2006/relationships/hyperlink" Target="https://m.stock.naver.com/research/company/86057" TargetMode="External"/><Relationship Id="rId8233" Type="http://schemas.openxmlformats.org/officeDocument/2006/relationships/hyperlink" Target="https://m.stock.naver.com/research/company/85005" TargetMode="External"/><Relationship Id="rId10163" Type="http://schemas.openxmlformats.org/officeDocument/2006/relationships/hyperlink" Target="https://m.stock.naver.com/research/company/83058" TargetMode="External"/><Relationship Id="rId11214" Type="http://schemas.openxmlformats.org/officeDocument/2006/relationships/hyperlink" Target="https://m.stock.naver.com/research/company/82006" TargetMode="External"/><Relationship Id="rId14784" Type="http://schemas.openxmlformats.org/officeDocument/2006/relationships/hyperlink" Target="https://m.stock.naver.com/research/company/94616" TargetMode="External"/><Relationship Id="rId3792" Type="http://schemas.openxmlformats.org/officeDocument/2006/relationships/hyperlink" Target="https://m.stock.naver.com/research/company/89459" TargetMode="External"/><Relationship Id="rId4843" Type="http://schemas.openxmlformats.org/officeDocument/2006/relationships/hyperlink" Target="https://m.stock.naver.com/research/company/88397" TargetMode="External"/><Relationship Id="rId13386" Type="http://schemas.openxmlformats.org/officeDocument/2006/relationships/hyperlink" Target="https://m.stock.naver.com/research/company/79819" TargetMode="External"/><Relationship Id="rId14437" Type="http://schemas.openxmlformats.org/officeDocument/2006/relationships/hyperlink" Target="https://m.stock.naver.com/research/company/94473" TargetMode="External"/><Relationship Id="rId2394" Type="http://schemas.openxmlformats.org/officeDocument/2006/relationships/hyperlink" Target="https://m.stock.naver.com/research/company/90860" TargetMode="External"/><Relationship Id="rId3445" Type="http://schemas.openxmlformats.org/officeDocument/2006/relationships/hyperlink" Target="https://m.stock.naver.com/research/company/89806" TargetMode="External"/><Relationship Id="rId13039" Type="http://schemas.openxmlformats.org/officeDocument/2006/relationships/hyperlink" Target="https://m.stock.naver.com/research/company/80168" TargetMode="External"/><Relationship Id="rId366" Type="http://schemas.openxmlformats.org/officeDocument/2006/relationships/hyperlink" Target="https://m.stock.naver.com/research/company/93092" TargetMode="External"/><Relationship Id="rId2047" Type="http://schemas.openxmlformats.org/officeDocument/2006/relationships/hyperlink" Target="https://m.stock.naver.com/research/company/91208" TargetMode="External"/><Relationship Id="rId6668" Type="http://schemas.openxmlformats.org/officeDocument/2006/relationships/hyperlink" Target="https://m.stock.naver.com/research/company/86572" TargetMode="External"/><Relationship Id="rId7719" Type="http://schemas.openxmlformats.org/officeDocument/2006/relationships/hyperlink" Target="https://m.stock.naver.com/research/company/85520" TargetMode="External"/><Relationship Id="rId8090" Type="http://schemas.openxmlformats.org/officeDocument/2006/relationships/hyperlink" Target="https://m.stock.naver.com/research/company/85148" TargetMode="External"/><Relationship Id="rId9141" Type="http://schemas.openxmlformats.org/officeDocument/2006/relationships/hyperlink" Target="https://m.stock.naver.com/research/company/84089" TargetMode="External"/><Relationship Id="rId13520" Type="http://schemas.openxmlformats.org/officeDocument/2006/relationships/hyperlink" Target="https://m.stock.naver.com/research/company/79684" TargetMode="External"/><Relationship Id="rId11071" Type="http://schemas.openxmlformats.org/officeDocument/2006/relationships/hyperlink" Target="https://m.stock.naver.com/research/company/82149" TargetMode="External"/><Relationship Id="rId12122" Type="http://schemas.openxmlformats.org/officeDocument/2006/relationships/hyperlink" Target="https://m.stock.naver.com/research/company/81089" TargetMode="External"/><Relationship Id="rId15692" Type="http://schemas.openxmlformats.org/officeDocument/2006/relationships/hyperlink" Target="https://m.stock.naver.com/research/company/95722" TargetMode="External"/><Relationship Id="rId500" Type="http://schemas.openxmlformats.org/officeDocument/2006/relationships/hyperlink" Target="https://m.stock.naver.com/research/company/92957" TargetMode="External"/><Relationship Id="rId1130" Type="http://schemas.openxmlformats.org/officeDocument/2006/relationships/hyperlink" Target="https://m.stock.naver.com/research/company/92125" TargetMode="External"/><Relationship Id="rId5751" Type="http://schemas.openxmlformats.org/officeDocument/2006/relationships/hyperlink" Target="https://m.stock.naver.com/research/company/87489" TargetMode="External"/><Relationship Id="rId6802" Type="http://schemas.openxmlformats.org/officeDocument/2006/relationships/hyperlink" Target="https://m.stock.naver.com/research/company/86438" TargetMode="External"/><Relationship Id="rId14294" Type="http://schemas.openxmlformats.org/officeDocument/2006/relationships/hyperlink" Target="https://m.stock.naver.com/research/company/94170" TargetMode="External"/><Relationship Id="rId15345" Type="http://schemas.openxmlformats.org/officeDocument/2006/relationships/hyperlink" Target="https://m.stock.naver.com/research/company/95243" TargetMode="External"/><Relationship Id="rId4353" Type="http://schemas.openxmlformats.org/officeDocument/2006/relationships/hyperlink" Target="https://m.stock.naver.com/research/company/88888" TargetMode="External"/><Relationship Id="rId5404" Type="http://schemas.openxmlformats.org/officeDocument/2006/relationships/hyperlink" Target="https://m.stock.naver.com/research/company/87836" TargetMode="External"/><Relationship Id="rId8974" Type="http://schemas.openxmlformats.org/officeDocument/2006/relationships/hyperlink" Target="https://m.stock.naver.com/research/company/84258" TargetMode="External"/><Relationship Id="rId4006" Type="http://schemas.openxmlformats.org/officeDocument/2006/relationships/hyperlink" Target="https://m.stock.naver.com/research/company/89245" TargetMode="External"/><Relationship Id="rId7576" Type="http://schemas.openxmlformats.org/officeDocument/2006/relationships/hyperlink" Target="https://m.stock.naver.com/research/company/85663" TargetMode="External"/><Relationship Id="rId8627" Type="http://schemas.openxmlformats.org/officeDocument/2006/relationships/hyperlink" Target="https://m.stock.naver.com/research/company/84610" TargetMode="External"/><Relationship Id="rId11955" Type="http://schemas.openxmlformats.org/officeDocument/2006/relationships/hyperlink" Target="https://m.stock.naver.com/research/company/81256" TargetMode="External"/><Relationship Id="rId6178" Type="http://schemas.openxmlformats.org/officeDocument/2006/relationships/hyperlink" Target="https://m.stock.naver.com/research/company/87062" TargetMode="External"/><Relationship Id="rId7229" Type="http://schemas.openxmlformats.org/officeDocument/2006/relationships/hyperlink" Target="https://m.stock.naver.com/research/company/86010" TargetMode="External"/><Relationship Id="rId10557" Type="http://schemas.openxmlformats.org/officeDocument/2006/relationships/hyperlink" Target="https://m.stock.naver.com/research/company/82663" TargetMode="External"/><Relationship Id="rId11608" Type="http://schemas.openxmlformats.org/officeDocument/2006/relationships/hyperlink" Target="https://m.stock.naver.com/research/company/81604" TargetMode="External"/><Relationship Id="rId13030" Type="http://schemas.openxmlformats.org/officeDocument/2006/relationships/hyperlink" Target="https://m.stock.naver.com/research/company/80177" TargetMode="External"/><Relationship Id="rId2788" Type="http://schemas.openxmlformats.org/officeDocument/2006/relationships/hyperlink" Target="https://m.stock.naver.com/research/company/90466" TargetMode="External"/><Relationship Id="rId3839" Type="http://schemas.openxmlformats.org/officeDocument/2006/relationships/hyperlink" Target="https://m.stock.naver.com/research/company/89412" TargetMode="External"/><Relationship Id="rId7710" Type="http://schemas.openxmlformats.org/officeDocument/2006/relationships/hyperlink" Target="https://m.stock.naver.com/research/company/85529" TargetMode="External"/><Relationship Id="rId5261" Type="http://schemas.openxmlformats.org/officeDocument/2006/relationships/hyperlink" Target="https://m.stock.naver.com/research/company/87979" TargetMode="External"/><Relationship Id="rId6312" Type="http://schemas.openxmlformats.org/officeDocument/2006/relationships/hyperlink" Target="https://m.stock.naver.com/research/company/86928" TargetMode="External"/><Relationship Id="rId9882" Type="http://schemas.openxmlformats.org/officeDocument/2006/relationships/hyperlink" Target="https://m.stock.naver.com/research/company/83340" TargetMode="External"/><Relationship Id="rId12863" Type="http://schemas.openxmlformats.org/officeDocument/2006/relationships/hyperlink" Target="https://m.stock.naver.com/research/company/80345" TargetMode="External"/><Relationship Id="rId96" Type="http://schemas.openxmlformats.org/officeDocument/2006/relationships/hyperlink" Target="https://m.stock.naver.com/research/company/93362" TargetMode="External"/><Relationship Id="rId1871" Type="http://schemas.openxmlformats.org/officeDocument/2006/relationships/hyperlink" Target="https://m.stock.naver.com/research/company/91384" TargetMode="External"/><Relationship Id="rId2922" Type="http://schemas.openxmlformats.org/officeDocument/2006/relationships/hyperlink" Target="https://m.stock.naver.com/research/company/90331" TargetMode="External"/><Relationship Id="rId8484" Type="http://schemas.openxmlformats.org/officeDocument/2006/relationships/hyperlink" Target="https://m.stock.naver.com/research/company/84753" TargetMode="External"/><Relationship Id="rId9535" Type="http://schemas.openxmlformats.org/officeDocument/2006/relationships/hyperlink" Target="https://m.stock.naver.com/research/company/83692" TargetMode="External"/><Relationship Id="rId11465" Type="http://schemas.openxmlformats.org/officeDocument/2006/relationships/hyperlink" Target="https://m.stock.naver.com/research/company/81750" TargetMode="External"/><Relationship Id="rId12516" Type="http://schemas.openxmlformats.org/officeDocument/2006/relationships/hyperlink" Target="https://m.stock.naver.com/research/company/80692" TargetMode="External"/><Relationship Id="rId13914" Type="http://schemas.openxmlformats.org/officeDocument/2006/relationships/hyperlink" Target="https://m.stock.naver.com/research/company/93688" TargetMode="External"/><Relationship Id="rId1524" Type="http://schemas.openxmlformats.org/officeDocument/2006/relationships/hyperlink" Target="https://m.stock.naver.com/research/company/91731" TargetMode="External"/><Relationship Id="rId7086" Type="http://schemas.openxmlformats.org/officeDocument/2006/relationships/hyperlink" Target="https://m.stock.naver.com/research/company/86153" TargetMode="External"/><Relationship Id="rId8137" Type="http://schemas.openxmlformats.org/officeDocument/2006/relationships/hyperlink" Target="https://m.stock.naver.com/research/company/85101" TargetMode="External"/><Relationship Id="rId10067" Type="http://schemas.openxmlformats.org/officeDocument/2006/relationships/hyperlink" Target="https://m.stock.naver.com/research/company/83154" TargetMode="External"/><Relationship Id="rId11118" Type="http://schemas.openxmlformats.org/officeDocument/2006/relationships/hyperlink" Target="https://m.stock.naver.com/research/company/82102" TargetMode="External"/><Relationship Id="rId3696" Type="http://schemas.openxmlformats.org/officeDocument/2006/relationships/hyperlink" Target="https://m.stock.naver.com/research/company/89555" TargetMode="External"/><Relationship Id="rId4747" Type="http://schemas.openxmlformats.org/officeDocument/2006/relationships/hyperlink" Target="https://m.stock.naver.com/research/company/88493" TargetMode="External"/><Relationship Id="rId14688" Type="http://schemas.openxmlformats.org/officeDocument/2006/relationships/hyperlink" Target="https://m.stock.naver.com/research/company/94712" TargetMode="External"/><Relationship Id="rId15739" Type="http://schemas.openxmlformats.org/officeDocument/2006/relationships/hyperlink" Target="https://m.stock.naver.com/research/company/95675" TargetMode="External"/><Relationship Id="rId2298" Type="http://schemas.openxmlformats.org/officeDocument/2006/relationships/hyperlink" Target="https://m.stock.naver.com/research/company/90957" TargetMode="External"/><Relationship Id="rId3349" Type="http://schemas.openxmlformats.org/officeDocument/2006/relationships/hyperlink" Target="https://m.stock.naver.com/research/company/89901" TargetMode="External"/><Relationship Id="rId7220" Type="http://schemas.openxmlformats.org/officeDocument/2006/relationships/hyperlink" Target="https://m.stock.naver.com/research/company/86019" TargetMode="External"/><Relationship Id="rId9392" Type="http://schemas.openxmlformats.org/officeDocument/2006/relationships/hyperlink" Target="https://m.stock.naver.com/research/company/83835" TargetMode="External"/><Relationship Id="rId10201" Type="http://schemas.openxmlformats.org/officeDocument/2006/relationships/hyperlink" Target="https://m.stock.naver.com/research/company/83020" TargetMode="External"/><Relationship Id="rId13771" Type="http://schemas.openxmlformats.org/officeDocument/2006/relationships/hyperlink" Target="https://m.stock.naver.com/research/company/93617" TargetMode="External"/><Relationship Id="rId14822" Type="http://schemas.openxmlformats.org/officeDocument/2006/relationships/hyperlink" Target="https://m.stock.naver.com/research/company/94802" TargetMode="External"/><Relationship Id="rId3830" Type="http://schemas.openxmlformats.org/officeDocument/2006/relationships/hyperlink" Target="https://m.stock.naver.com/research/company/89421" TargetMode="External"/><Relationship Id="rId9045" Type="http://schemas.openxmlformats.org/officeDocument/2006/relationships/hyperlink" Target="https://m.stock.naver.com/research/company/84186" TargetMode="External"/><Relationship Id="rId12373" Type="http://schemas.openxmlformats.org/officeDocument/2006/relationships/hyperlink" Target="https://m.stock.naver.com/research/company/80836" TargetMode="External"/><Relationship Id="rId13424" Type="http://schemas.openxmlformats.org/officeDocument/2006/relationships/hyperlink" Target="https://m.stock.naver.com/research/company/79781" TargetMode="External"/><Relationship Id="rId751" Type="http://schemas.openxmlformats.org/officeDocument/2006/relationships/hyperlink" Target="https://m.stock.naver.com/research/company/92705" TargetMode="External"/><Relationship Id="rId1381" Type="http://schemas.openxmlformats.org/officeDocument/2006/relationships/hyperlink" Target="https://m.stock.naver.com/research/company/91874" TargetMode="External"/><Relationship Id="rId2432" Type="http://schemas.openxmlformats.org/officeDocument/2006/relationships/hyperlink" Target="https://m.stock.naver.com/research/company/90822" TargetMode="External"/><Relationship Id="rId12026" Type="http://schemas.openxmlformats.org/officeDocument/2006/relationships/hyperlink" Target="https://m.stock.naver.com/research/company/81185" TargetMode="External"/><Relationship Id="rId15596" Type="http://schemas.openxmlformats.org/officeDocument/2006/relationships/hyperlink" Target="https://m.stock.naver.com/research/company/95440" TargetMode="External"/><Relationship Id="rId404" Type="http://schemas.openxmlformats.org/officeDocument/2006/relationships/hyperlink" Target="https://m.stock.naver.com/research/company/93054" TargetMode="External"/><Relationship Id="rId1034" Type="http://schemas.openxmlformats.org/officeDocument/2006/relationships/hyperlink" Target="https://m.stock.naver.com/research/company/92317" TargetMode="External"/><Relationship Id="rId5655" Type="http://schemas.openxmlformats.org/officeDocument/2006/relationships/hyperlink" Target="https://m.stock.naver.com/research/company/87585" TargetMode="External"/><Relationship Id="rId6706" Type="http://schemas.openxmlformats.org/officeDocument/2006/relationships/hyperlink" Target="https://m.stock.naver.com/research/company/86534" TargetMode="External"/><Relationship Id="rId14198" Type="http://schemas.openxmlformats.org/officeDocument/2006/relationships/hyperlink" Target="https://m.stock.naver.com/research/company/94060" TargetMode="External"/><Relationship Id="rId15249" Type="http://schemas.openxmlformats.org/officeDocument/2006/relationships/hyperlink" Target="https://m.stock.naver.com/research/company/95111" TargetMode="External"/><Relationship Id="rId4257" Type="http://schemas.openxmlformats.org/officeDocument/2006/relationships/hyperlink" Target="https://m.stock.naver.com/research/company/88985" TargetMode="External"/><Relationship Id="rId5308" Type="http://schemas.openxmlformats.org/officeDocument/2006/relationships/hyperlink" Target="https://m.stock.naver.com/research/company/87932" TargetMode="External"/><Relationship Id="rId8878" Type="http://schemas.openxmlformats.org/officeDocument/2006/relationships/hyperlink" Target="https://m.stock.naver.com/research/company/84358" TargetMode="External"/><Relationship Id="rId9929" Type="http://schemas.openxmlformats.org/officeDocument/2006/relationships/hyperlink" Target="https://m.stock.naver.com/research/company/83293" TargetMode="External"/><Relationship Id="rId11859" Type="http://schemas.openxmlformats.org/officeDocument/2006/relationships/hyperlink" Target="https://m.stock.naver.com/research/company/81353" TargetMode="External"/><Relationship Id="rId15730" Type="http://schemas.openxmlformats.org/officeDocument/2006/relationships/hyperlink" Target="https://m.stock.naver.com/research/company/95684" TargetMode="External"/><Relationship Id="rId1918" Type="http://schemas.openxmlformats.org/officeDocument/2006/relationships/hyperlink" Target="https://m.stock.naver.com/research/company/91337" TargetMode="External"/><Relationship Id="rId13281" Type="http://schemas.openxmlformats.org/officeDocument/2006/relationships/hyperlink" Target="https://m.stock.naver.com/research/company/79925" TargetMode="External"/><Relationship Id="rId14332" Type="http://schemas.openxmlformats.org/officeDocument/2006/relationships/hyperlink" Target="https://m.stock.naver.com/research/company/94219" TargetMode="External"/><Relationship Id="rId261" Type="http://schemas.openxmlformats.org/officeDocument/2006/relationships/hyperlink" Target="https://m.stock.naver.com/research/company/93197" TargetMode="External"/><Relationship Id="rId3340" Type="http://schemas.openxmlformats.org/officeDocument/2006/relationships/hyperlink" Target="https://m.stock.naver.com/research/company/89910" TargetMode="External"/><Relationship Id="rId7961" Type="http://schemas.openxmlformats.org/officeDocument/2006/relationships/hyperlink" Target="https://m.stock.naver.com/research/company/85277" TargetMode="External"/><Relationship Id="rId10942" Type="http://schemas.openxmlformats.org/officeDocument/2006/relationships/hyperlink" Target="https://m.stock.naver.com/research/company/82278" TargetMode="External"/><Relationship Id="rId6563" Type="http://schemas.openxmlformats.org/officeDocument/2006/relationships/hyperlink" Target="https://m.stock.naver.com/research/company/86677" TargetMode="External"/><Relationship Id="rId7614" Type="http://schemas.openxmlformats.org/officeDocument/2006/relationships/hyperlink" Target="https://m.stock.naver.com/research/company/85625" TargetMode="External"/><Relationship Id="rId5165" Type="http://schemas.openxmlformats.org/officeDocument/2006/relationships/hyperlink" Target="https://m.stock.naver.com/research/company/88075" TargetMode="External"/><Relationship Id="rId6216" Type="http://schemas.openxmlformats.org/officeDocument/2006/relationships/hyperlink" Target="https://m.stock.naver.com/research/company/87024" TargetMode="External"/><Relationship Id="rId9786" Type="http://schemas.openxmlformats.org/officeDocument/2006/relationships/hyperlink" Target="https://m.stock.naver.com/research/company/83436" TargetMode="External"/><Relationship Id="rId1775" Type="http://schemas.openxmlformats.org/officeDocument/2006/relationships/hyperlink" Target="https://m.stock.naver.com/research/company/91480" TargetMode="External"/><Relationship Id="rId2826" Type="http://schemas.openxmlformats.org/officeDocument/2006/relationships/hyperlink" Target="https://m.stock.naver.com/research/company/90427" TargetMode="External"/><Relationship Id="rId8388" Type="http://schemas.openxmlformats.org/officeDocument/2006/relationships/hyperlink" Target="https://m.stock.naver.com/research/company/84850" TargetMode="External"/><Relationship Id="rId9439" Type="http://schemas.openxmlformats.org/officeDocument/2006/relationships/hyperlink" Target="https://m.stock.naver.com/research/company/83788" TargetMode="External"/><Relationship Id="rId11369" Type="http://schemas.openxmlformats.org/officeDocument/2006/relationships/hyperlink" Target="https://m.stock.naver.com/research/company/81846" TargetMode="External"/><Relationship Id="rId12767" Type="http://schemas.openxmlformats.org/officeDocument/2006/relationships/hyperlink" Target="https://m.stock.naver.com/research/company/80441" TargetMode="External"/><Relationship Id="rId13818" Type="http://schemas.openxmlformats.org/officeDocument/2006/relationships/hyperlink" Target="https://m.stock.naver.com/research/company/93560" TargetMode="External"/><Relationship Id="rId15240" Type="http://schemas.openxmlformats.org/officeDocument/2006/relationships/hyperlink" Target="https://m.stock.naver.com/research/company/95120" TargetMode="External"/><Relationship Id="rId1428" Type="http://schemas.openxmlformats.org/officeDocument/2006/relationships/hyperlink" Target="https://m.stock.naver.com/research/company/91827" TargetMode="External"/><Relationship Id="rId4998" Type="http://schemas.openxmlformats.org/officeDocument/2006/relationships/hyperlink" Target="https://m.stock.naver.com/research/company/88242" TargetMode="External"/><Relationship Id="rId9920" Type="http://schemas.openxmlformats.org/officeDocument/2006/relationships/hyperlink" Target="https://m.stock.naver.com/research/company/83302" TargetMode="External"/><Relationship Id="rId11850" Type="http://schemas.openxmlformats.org/officeDocument/2006/relationships/hyperlink" Target="https://m.stock.naver.com/research/company/81362" TargetMode="External"/><Relationship Id="rId12901" Type="http://schemas.openxmlformats.org/officeDocument/2006/relationships/hyperlink" Target="https://m.stock.naver.com/research/company/80307" TargetMode="External"/><Relationship Id="rId6073" Type="http://schemas.openxmlformats.org/officeDocument/2006/relationships/hyperlink" Target="https://m.stock.naver.com/research/company/87167" TargetMode="External"/><Relationship Id="rId7124" Type="http://schemas.openxmlformats.org/officeDocument/2006/relationships/hyperlink" Target="https://m.stock.naver.com/research/company/86115" TargetMode="External"/><Relationship Id="rId7471" Type="http://schemas.openxmlformats.org/officeDocument/2006/relationships/hyperlink" Target="https://m.stock.naver.com/research/company/85768" TargetMode="External"/><Relationship Id="rId8522" Type="http://schemas.openxmlformats.org/officeDocument/2006/relationships/hyperlink" Target="https://m.stock.naver.com/research/company/84715" TargetMode="External"/><Relationship Id="rId10452" Type="http://schemas.openxmlformats.org/officeDocument/2006/relationships/hyperlink" Target="https://m.stock.naver.com/research/company/82768" TargetMode="External"/><Relationship Id="rId11503" Type="http://schemas.openxmlformats.org/officeDocument/2006/relationships/hyperlink" Target="https://m.stock.naver.com/research/company/81712" TargetMode="External"/><Relationship Id="rId10105" Type="http://schemas.openxmlformats.org/officeDocument/2006/relationships/hyperlink" Target="https://m.stock.naver.com/research/company/83116" TargetMode="External"/><Relationship Id="rId13675" Type="http://schemas.openxmlformats.org/officeDocument/2006/relationships/hyperlink" Target="https://m.stock.naver.com/research/company/79529" TargetMode="External"/><Relationship Id="rId14726" Type="http://schemas.openxmlformats.org/officeDocument/2006/relationships/hyperlink" Target="https://m.stock.naver.com/research/company/94674" TargetMode="External"/><Relationship Id="rId2683" Type="http://schemas.openxmlformats.org/officeDocument/2006/relationships/hyperlink" Target="https://m.stock.naver.com/research/company/90571" TargetMode="External"/><Relationship Id="rId3734" Type="http://schemas.openxmlformats.org/officeDocument/2006/relationships/hyperlink" Target="https://m.stock.naver.com/research/company/89517" TargetMode="External"/><Relationship Id="rId9296" Type="http://schemas.openxmlformats.org/officeDocument/2006/relationships/hyperlink" Target="https://m.stock.naver.com/research/company/83931" TargetMode="External"/><Relationship Id="rId12277" Type="http://schemas.openxmlformats.org/officeDocument/2006/relationships/hyperlink" Target="https://m.stock.naver.com/research/company/80932" TargetMode="External"/><Relationship Id="rId13328" Type="http://schemas.openxmlformats.org/officeDocument/2006/relationships/hyperlink" Target="https://m.stock.naver.com/research/company/79877" TargetMode="External"/><Relationship Id="rId655" Type="http://schemas.openxmlformats.org/officeDocument/2006/relationships/hyperlink" Target="https://m.stock.naver.com/research/company/92801" TargetMode="External"/><Relationship Id="rId1285" Type="http://schemas.openxmlformats.org/officeDocument/2006/relationships/hyperlink" Target="https://m.stock.naver.com/research/company/91970" TargetMode="External"/><Relationship Id="rId2336" Type="http://schemas.openxmlformats.org/officeDocument/2006/relationships/hyperlink" Target="https://m.stock.naver.com/research/company/90919" TargetMode="External"/><Relationship Id="rId6957" Type="http://schemas.openxmlformats.org/officeDocument/2006/relationships/hyperlink" Target="https://m.stock.naver.com/research/company/86282" TargetMode="External"/><Relationship Id="rId308" Type="http://schemas.openxmlformats.org/officeDocument/2006/relationships/hyperlink" Target="https://m.stock.naver.com/research/company/93150" TargetMode="External"/><Relationship Id="rId5559" Type="http://schemas.openxmlformats.org/officeDocument/2006/relationships/hyperlink" Target="https://m.stock.naver.com/research/company/87681" TargetMode="External"/><Relationship Id="rId9430" Type="http://schemas.openxmlformats.org/officeDocument/2006/relationships/hyperlink" Target="https://m.stock.naver.com/research/company/83797" TargetMode="External"/><Relationship Id="rId8032" Type="http://schemas.openxmlformats.org/officeDocument/2006/relationships/hyperlink" Target="https://m.stock.naver.com/research/company/85206" TargetMode="External"/><Relationship Id="rId11360" Type="http://schemas.openxmlformats.org/officeDocument/2006/relationships/hyperlink" Target="https://m.stock.naver.com/research/company/81855" TargetMode="External"/><Relationship Id="rId12411" Type="http://schemas.openxmlformats.org/officeDocument/2006/relationships/hyperlink" Target="https://m.stock.naver.com/research/company/80798" TargetMode="External"/><Relationship Id="rId11013" Type="http://schemas.openxmlformats.org/officeDocument/2006/relationships/hyperlink" Target="https://m.stock.naver.com/research/company/82207" TargetMode="External"/><Relationship Id="rId14583" Type="http://schemas.openxmlformats.org/officeDocument/2006/relationships/hyperlink" Target="https://m.stock.naver.com/research/company/94327" TargetMode="External"/><Relationship Id="rId15634" Type="http://schemas.openxmlformats.org/officeDocument/2006/relationships/hyperlink" Target="https://m.stock.naver.com/research/company/95781" TargetMode="External"/><Relationship Id="rId3591" Type="http://schemas.openxmlformats.org/officeDocument/2006/relationships/hyperlink" Target="https://m.stock.naver.com/research/company/89660" TargetMode="External"/><Relationship Id="rId4642" Type="http://schemas.openxmlformats.org/officeDocument/2006/relationships/hyperlink" Target="https://m.stock.naver.com/research/company/88598" TargetMode="External"/><Relationship Id="rId13185" Type="http://schemas.openxmlformats.org/officeDocument/2006/relationships/hyperlink" Target="https://m.stock.naver.com/research/company/80022" TargetMode="External"/><Relationship Id="rId14236" Type="http://schemas.openxmlformats.org/officeDocument/2006/relationships/hyperlink" Target="https://m.stock.naver.com/research/company/94107" TargetMode="External"/><Relationship Id="rId2193" Type="http://schemas.openxmlformats.org/officeDocument/2006/relationships/hyperlink" Target="https://m.stock.naver.com/research/company/91062" TargetMode="External"/><Relationship Id="rId3244" Type="http://schemas.openxmlformats.org/officeDocument/2006/relationships/hyperlink" Target="https://m.stock.naver.com/research/company/90006" TargetMode="External"/><Relationship Id="rId7865" Type="http://schemas.openxmlformats.org/officeDocument/2006/relationships/hyperlink" Target="https://m.stock.naver.com/research/company/85373" TargetMode="External"/><Relationship Id="rId8916" Type="http://schemas.openxmlformats.org/officeDocument/2006/relationships/hyperlink" Target="https://m.stock.naver.com/research/company/84320" TargetMode="External"/><Relationship Id="rId165" Type="http://schemas.openxmlformats.org/officeDocument/2006/relationships/hyperlink" Target="https://m.stock.naver.com/research/company/93293" TargetMode="External"/><Relationship Id="rId6467" Type="http://schemas.openxmlformats.org/officeDocument/2006/relationships/hyperlink" Target="https://m.stock.naver.com/research/company/86773" TargetMode="External"/><Relationship Id="rId7518" Type="http://schemas.openxmlformats.org/officeDocument/2006/relationships/hyperlink" Target="https://m.stock.naver.com/research/company/85721" TargetMode="External"/><Relationship Id="rId10846" Type="http://schemas.openxmlformats.org/officeDocument/2006/relationships/hyperlink" Target="https://m.stock.naver.com/research/company/82374" TargetMode="External"/><Relationship Id="rId5069" Type="http://schemas.openxmlformats.org/officeDocument/2006/relationships/hyperlink" Target="https://m.stock.naver.com/research/company/88171" TargetMode="External"/><Relationship Id="rId1679" Type="http://schemas.openxmlformats.org/officeDocument/2006/relationships/hyperlink" Target="https://m.stock.naver.com/research/company/91576" TargetMode="External"/><Relationship Id="rId14093" Type="http://schemas.openxmlformats.org/officeDocument/2006/relationships/hyperlink" Target="https://m.stock.naver.com/research/company/93909" TargetMode="External"/><Relationship Id="rId15491" Type="http://schemas.openxmlformats.org/officeDocument/2006/relationships/hyperlink" Target="https://m.stock.naver.com/research/company/95296" TargetMode="External"/><Relationship Id="rId4152" Type="http://schemas.openxmlformats.org/officeDocument/2006/relationships/hyperlink" Target="https://m.stock.naver.com/research/company/89099" TargetMode="External"/><Relationship Id="rId5203" Type="http://schemas.openxmlformats.org/officeDocument/2006/relationships/hyperlink" Target="https://m.stock.naver.com/research/company/88037" TargetMode="External"/><Relationship Id="rId5550" Type="http://schemas.openxmlformats.org/officeDocument/2006/relationships/hyperlink" Target="https://m.stock.naver.com/research/company/87690" TargetMode="External"/><Relationship Id="rId6601" Type="http://schemas.openxmlformats.org/officeDocument/2006/relationships/hyperlink" Target="https://m.stock.naver.com/research/company/86639" TargetMode="External"/><Relationship Id="rId15144" Type="http://schemas.openxmlformats.org/officeDocument/2006/relationships/hyperlink" Target="https://m.stock.naver.com/research/company/94950" TargetMode="External"/><Relationship Id="rId8773" Type="http://schemas.openxmlformats.org/officeDocument/2006/relationships/hyperlink" Target="https://m.stock.naver.com/research/company/84464" TargetMode="External"/><Relationship Id="rId9824" Type="http://schemas.openxmlformats.org/officeDocument/2006/relationships/hyperlink" Target="https://m.stock.naver.com/research/company/83398" TargetMode="External"/><Relationship Id="rId11754" Type="http://schemas.openxmlformats.org/officeDocument/2006/relationships/hyperlink" Target="https://m.stock.naver.com/research/company/81458" TargetMode="External"/><Relationship Id="rId12805" Type="http://schemas.openxmlformats.org/officeDocument/2006/relationships/hyperlink" Target="https://m.stock.naver.com/research/company/80403" TargetMode="External"/><Relationship Id="rId38" Type="http://schemas.openxmlformats.org/officeDocument/2006/relationships/hyperlink" Target="https://m.stock.naver.com/research/company/93420" TargetMode="External"/><Relationship Id="rId1813" Type="http://schemas.openxmlformats.org/officeDocument/2006/relationships/hyperlink" Target="https://m.stock.naver.com/research/company/91442" TargetMode="External"/><Relationship Id="rId7375" Type="http://schemas.openxmlformats.org/officeDocument/2006/relationships/hyperlink" Target="https://m.stock.naver.com/research/company/85864" TargetMode="External"/><Relationship Id="rId8426" Type="http://schemas.openxmlformats.org/officeDocument/2006/relationships/hyperlink" Target="https://m.stock.naver.com/research/company/84812" TargetMode="External"/><Relationship Id="rId10356" Type="http://schemas.openxmlformats.org/officeDocument/2006/relationships/hyperlink" Target="https://m.stock.naver.com/research/company/82865" TargetMode="External"/><Relationship Id="rId11407" Type="http://schemas.openxmlformats.org/officeDocument/2006/relationships/hyperlink" Target="https://m.stock.naver.com/research/company/81808" TargetMode="External"/><Relationship Id="rId3985" Type="http://schemas.openxmlformats.org/officeDocument/2006/relationships/hyperlink" Target="https://m.stock.naver.com/research/company/89266" TargetMode="External"/><Relationship Id="rId7028" Type="http://schemas.openxmlformats.org/officeDocument/2006/relationships/hyperlink" Target="https://m.stock.naver.com/research/company/86211" TargetMode="External"/><Relationship Id="rId10009" Type="http://schemas.openxmlformats.org/officeDocument/2006/relationships/hyperlink" Target="https://m.stock.naver.com/research/company/83212" TargetMode="External"/><Relationship Id="rId13579" Type="http://schemas.openxmlformats.org/officeDocument/2006/relationships/hyperlink" Target="https://m.stock.naver.com/research/company/79625" TargetMode="External"/><Relationship Id="rId14977" Type="http://schemas.openxmlformats.org/officeDocument/2006/relationships/hyperlink" Target="https://m.stock.naver.com/research/company/94857" TargetMode="External"/><Relationship Id="rId2587" Type="http://schemas.openxmlformats.org/officeDocument/2006/relationships/hyperlink" Target="https://m.stock.naver.com/research/company/90667" TargetMode="External"/><Relationship Id="rId3638" Type="http://schemas.openxmlformats.org/officeDocument/2006/relationships/hyperlink" Target="https://m.stock.naver.com/research/company/89613" TargetMode="External"/><Relationship Id="rId559" Type="http://schemas.openxmlformats.org/officeDocument/2006/relationships/hyperlink" Target="https://m.stock.naver.com/research/company/92898" TargetMode="External"/><Relationship Id="rId1189" Type="http://schemas.openxmlformats.org/officeDocument/2006/relationships/hyperlink" Target="https://m.stock.naver.com/research/company/92066" TargetMode="External"/><Relationship Id="rId5060" Type="http://schemas.openxmlformats.org/officeDocument/2006/relationships/hyperlink" Target="https://m.stock.naver.com/research/company/88180" TargetMode="External"/><Relationship Id="rId6111" Type="http://schemas.openxmlformats.org/officeDocument/2006/relationships/hyperlink" Target="https://m.stock.naver.com/research/company/87129" TargetMode="External"/><Relationship Id="rId9681" Type="http://schemas.openxmlformats.org/officeDocument/2006/relationships/hyperlink" Target="https://m.stock.naver.com/research/company/83542" TargetMode="External"/><Relationship Id="rId8283" Type="http://schemas.openxmlformats.org/officeDocument/2006/relationships/hyperlink" Target="https://m.stock.naver.com/research/company/84955" TargetMode="External"/><Relationship Id="rId9334" Type="http://schemas.openxmlformats.org/officeDocument/2006/relationships/hyperlink" Target="https://m.stock.naver.com/research/company/83893" TargetMode="External"/><Relationship Id="rId12662" Type="http://schemas.openxmlformats.org/officeDocument/2006/relationships/hyperlink" Target="https://m.stock.naver.com/research/company/80546" TargetMode="External"/><Relationship Id="rId13713" Type="http://schemas.openxmlformats.org/officeDocument/2006/relationships/hyperlink" Target="https://m.stock.naver.com/research/company/93461" TargetMode="External"/><Relationship Id="rId1670" Type="http://schemas.openxmlformats.org/officeDocument/2006/relationships/hyperlink" Target="https://m.stock.naver.com/research/company/91585" TargetMode="External"/><Relationship Id="rId2721" Type="http://schemas.openxmlformats.org/officeDocument/2006/relationships/hyperlink" Target="https://m.stock.naver.com/research/company/90533" TargetMode="External"/><Relationship Id="rId11264" Type="http://schemas.openxmlformats.org/officeDocument/2006/relationships/hyperlink" Target="https://m.stock.naver.com/research/company/81955" TargetMode="External"/><Relationship Id="rId12315" Type="http://schemas.openxmlformats.org/officeDocument/2006/relationships/hyperlink" Target="https://m.stock.naver.com/research/company/80894" TargetMode="External"/><Relationship Id="rId1323" Type="http://schemas.openxmlformats.org/officeDocument/2006/relationships/hyperlink" Target="https://m.stock.naver.com/research/company/91932" TargetMode="External"/><Relationship Id="rId4893" Type="http://schemas.openxmlformats.org/officeDocument/2006/relationships/hyperlink" Target="https://m.stock.naver.com/research/company/88347" TargetMode="External"/><Relationship Id="rId5944" Type="http://schemas.openxmlformats.org/officeDocument/2006/relationships/hyperlink" Target="https://m.stock.naver.com/research/company/87296" TargetMode="External"/><Relationship Id="rId14487" Type="http://schemas.openxmlformats.org/officeDocument/2006/relationships/hyperlink" Target="https://m.stock.naver.com/research/company/94423" TargetMode="External"/><Relationship Id="rId15538" Type="http://schemas.openxmlformats.org/officeDocument/2006/relationships/hyperlink" Target="https://m.stock.naver.com/research/company/95498" TargetMode="External"/><Relationship Id="rId3495" Type="http://schemas.openxmlformats.org/officeDocument/2006/relationships/hyperlink" Target="https://m.stock.naver.com/research/company/89756" TargetMode="External"/><Relationship Id="rId4546" Type="http://schemas.openxmlformats.org/officeDocument/2006/relationships/hyperlink" Target="https://m.stock.naver.com/research/company/88694" TargetMode="External"/><Relationship Id="rId13089" Type="http://schemas.openxmlformats.org/officeDocument/2006/relationships/hyperlink" Target="https://m.stock.naver.com/research/company/80118" TargetMode="External"/><Relationship Id="rId2097" Type="http://schemas.openxmlformats.org/officeDocument/2006/relationships/hyperlink" Target="https://m.stock.naver.com/research/company/91158" TargetMode="External"/><Relationship Id="rId3148" Type="http://schemas.openxmlformats.org/officeDocument/2006/relationships/hyperlink" Target="https://m.stock.naver.com/research/company/90103" TargetMode="External"/><Relationship Id="rId7769" Type="http://schemas.openxmlformats.org/officeDocument/2006/relationships/hyperlink" Target="https://m.stock.naver.com/research/company/85470" TargetMode="External"/><Relationship Id="rId10000" Type="http://schemas.openxmlformats.org/officeDocument/2006/relationships/hyperlink" Target="https://m.stock.naver.com/research/company/83221" TargetMode="External"/><Relationship Id="rId9191" Type="http://schemas.openxmlformats.org/officeDocument/2006/relationships/hyperlink" Target="https://m.stock.naver.com/research/company/84039" TargetMode="External"/><Relationship Id="rId12172" Type="http://schemas.openxmlformats.org/officeDocument/2006/relationships/hyperlink" Target="https://m.stock.naver.com/research/company/81039" TargetMode="External"/><Relationship Id="rId13570" Type="http://schemas.openxmlformats.org/officeDocument/2006/relationships/hyperlink" Target="https://m.stock.naver.com/research/company/79634" TargetMode="External"/><Relationship Id="rId14621" Type="http://schemas.openxmlformats.org/officeDocument/2006/relationships/hyperlink" Target="https://m.stock.naver.com/research/company/94556" TargetMode="External"/><Relationship Id="rId550" Type="http://schemas.openxmlformats.org/officeDocument/2006/relationships/hyperlink" Target="https://m.stock.naver.com/research/company/92907" TargetMode="External"/><Relationship Id="rId1180" Type="http://schemas.openxmlformats.org/officeDocument/2006/relationships/hyperlink" Target="https://m.stock.naver.com/research/company/92075" TargetMode="External"/><Relationship Id="rId2231" Type="http://schemas.openxmlformats.org/officeDocument/2006/relationships/hyperlink" Target="https://m.stock.naver.com/research/company/91024" TargetMode="External"/><Relationship Id="rId13223" Type="http://schemas.openxmlformats.org/officeDocument/2006/relationships/hyperlink" Target="https://m.stock.naver.com/research/company/79984" TargetMode="External"/><Relationship Id="rId203" Type="http://schemas.openxmlformats.org/officeDocument/2006/relationships/hyperlink" Target="https://m.stock.naver.com/research/company/93255" TargetMode="External"/><Relationship Id="rId6852" Type="http://schemas.openxmlformats.org/officeDocument/2006/relationships/hyperlink" Target="https://m.stock.naver.com/research/company/86388" TargetMode="External"/><Relationship Id="rId7903" Type="http://schemas.openxmlformats.org/officeDocument/2006/relationships/hyperlink" Target="https://m.stock.naver.com/research/company/85335" TargetMode="External"/><Relationship Id="rId15395" Type="http://schemas.openxmlformats.org/officeDocument/2006/relationships/hyperlink" Target="https://m.stock.naver.com/research/company/95392" TargetMode="External"/><Relationship Id="rId4056" Type="http://schemas.openxmlformats.org/officeDocument/2006/relationships/hyperlink" Target="https://m.stock.naver.com/research/company/89195" TargetMode="External"/><Relationship Id="rId5454" Type="http://schemas.openxmlformats.org/officeDocument/2006/relationships/hyperlink" Target="https://m.stock.naver.com/research/company/87786" TargetMode="External"/><Relationship Id="rId6505" Type="http://schemas.openxmlformats.org/officeDocument/2006/relationships/hyperlink" Target="https://m.stock.naver.com/research/company/86735" TargetMode="External"/><Relationship Id="rId15048" Type="http://schemas.openxmlformats.org/officeDocument/2006/relationships/hyperlink" Target="https://m.stock.naver.com/research/company/95046" TargetMode="External"/><Relationship Id="rId5107" Type="http://schemas.openxmlformats.org/officeDocument/2006/relationships/hyperlink" Target="https://m.stock.naver.com/research/company/88133" TargetMode="External"/><Relationship Id="rId8677" Type="http://schemas.openxmlformats.org/officeDocument/2006/relationships/hyperlink" Target="https://m.stock.naver.com/research/company/84560" TargetMode="External"/><Relationship Id="rId9728" Type="http://schemas.openxmlformats.org/officeDocument/2006/relationships/hyperlink" Target="https://m.stock.naver.com/research/company/83495" TargetMode="External"/><Relationship Id="rId11658" Type="http://schemas.openxmlformats.org/officeDocument/2006/relationships/hyperlink" Target="https://m.stock.naver.com/research/company/81554" TargetMode="External"/><Relationship Id="rId1717" Type="http://schemas.openxmlformats.org/officeDocument/2006/relationships/hyperlink" Target="https://m.stock.naver.com/research/company/91538" TargetMode="External"/><Relationship Id="rId7279" Type="http://schemas.openxmlformats.org/officeDocument/2006/relationships/hyperlink" Target="https://m.stock.naver.com/research/company/85960" TargetMode="External"/><Relationship Id="rId12709" Type="http://schemas.openxmlformats.org/officeDocument/2006/relationships/hyperlink" Target="https://m.stock.naver.com/research/company/80499" TargetMode="External"/><Relationship Id="rId13080" Type="http://schemas.openxmlformats.org/officeDocument/2006/relationships/hyperlink" Target="https://m.stock.naver.com/research/company/80127" TargetMode="External"/><Relationship Id="rId14131" Type="http://schemas.openxmlformats.org/officeDocument/2006/relationships/hyperlink" Target="https://m.stock.naver.com/research/company/93997" TargetMode="External"/><Relationship Id="rId3889" Type="http://schemas.openxmlformats.org/officeDocument/2006/relationships/hyperlink" Target="https://m.stock.naver.com/research/company/89362" TargetMode="External"/><Relationship Id="rId6362" Type="http://schemas.openxmlformats.org/officeDocument/2006/relationships/hyperlink" Target="https://m.stock.naver.com/research/company/86878" TargetMode="External"/><Relationship Id="rId7413" Type="http://schemas.openxmlformats.org/officeDocument/2006/relationships/hyperlink" Target="https://m.stock.naver.com/research/company/85826" TargetMode="External"/><Relationship Id="rId7760" Type="http://schemas.openxmlformats.org/officeDocument/2006/relationships/hyperlink" Target="https://m.stock.naver.com/research/company/85479" TargetMode="External"/><Relationship Id="rId8811" Type="http://schemas.openxmlformats.org/officeDocument/2006/relationships/hyperlink" Target="https://m.stock.naver.com/research/company/84426" TargetMode="External"/><Relationship Id="rId10741" Type="http://schemas.openxmlformats.org/officeDocument/2006/relationships/hyperlink" Target="https://m.stock.naver.com/research/company/82479" TargetMode="External"/><Relationship Id="rId6015" Type="http://schemas.openxmlformats.org/officeDocument/2006/relationships/hyperlink" Target="https://m.stock.naver.com/research/company/87225" TargetMode="External"/><Relationship Id="rId13964" Type="http://schemas.openxmlformats.org/officeDocument/2006/relationships/hyperlink" Target="https://m.stock.naver.com/research/company/93768" TargetMode="External"/><Relationship Id="rId2972" Type="http://schemas.openxmlformats.org/officeDocument/2006/relationships/hyperlink" Target="https://m.stock.naver.com/research/company/90281" TargetMode="External"/><Relationship Id="rId8187" Type="http://schemas.openxmlformats.org/officeDocument/2006/relationships/hyperlink" Target="https://m.stock.naver.com/research/company/85051" TargetMode="External"/><Relationship Id="rId9585" Type="http://schemas.openxmlformats.org/officeDocument/2006/relationships/hyperlink" Target="https://m.stock.naver.com/research/company/83642" TargetMode="External"/><Relationship Id="rId12566" Type="http://schemas.openxmlformats.org/officeDocument/2006/relationships/hyperlink" Target="https://m.stock.naver.com/research/company/80642" TargetMode="External"/><Relationship Id="rId13617" Type="http://schemas.openxmlformats.org/officeDocument/2006/relationships/hyperlink" Target="https://m.stock.naver.com/research/company/79587" TargetMode="External"/><Relationship Id="rId944" Type="http://schemas.openxmlformats.org/officeDocument/2006/relationships/hyperlink" Target="https://m.stock.naver.com/research/company/92512" TargetMode="External"/><Relationship Id="rId1574" Type="http://schemas.openxmlformats.org/officeDocument/2006/relationships/hyperlink" Target="https://m.stock.naver.com/research/company/91681" TargetMode="External"/><Relationship Id="rId2625" Type="http://schemas.openxmlformats.org/officeDocument/2006/relationships/hyperlink" Target="https://m.stock.naver.com/research/company/90629" TargetMode="External"/><Relationship Id="rId9238" Type="http://schemas.openxmlformats.org/officeDocument/2006/relationships/hyperlink" Target="https://m.stock.naver.com/research/company/83990" TargetMode="External"/><Relationship Id="rId11168" Type="http://schemas.openxmlformats.org/officeDocument/2006/relationships/hyperlink" Target="https://m.stock.naver.com/research/company/82052" TargetMode="External"/><Relationship Id="rId12219" Type="http://schemas.openxmlformats.org/officeDocument/2006/relationships/hyperlink" Target="https://m.stock.naver.com/research/company/80991" TargetMode="External"/><Relationship Id="rId1227" Type="http://schemas.openxmlformats.org/officeDocument/2006/relationships/hyperlink" Target="https://m.stock.naver.com/research/company/92028" TargetMode="External"/><Relationship Id="rId4797" Type="http://schemas.openxmlformats.org/officeDocument/2006/relationships/hyperlink" Target="https://m.stock.naver.com/research/company/88443" TargetMode="External"/><Relationship Id="rId5848" Type="http://schemas.openxmlformats.org/officeDocument/2006/relationships/hyperlink" Target="https://m.stock.naver.com/research/company/87392" TargetMode="External"/><Relationship Id="rId3399" Type="http://schemas.openxmlformats.org/officeDocument/2006/relationships/hyperlink" Target="https://m.stock.naver.com/research/company/89852" TargetMode="External"/><Relationship Id="rId7270" Type="http://schemas.openxmlformats.org/officeDocument/2006/relationships/hyperlink" Target="https://m.stock.naver.com/research/company/85969" TargetMode="External"/><Relationship Id="rId8321" Type="http://schemas.openxmlformats.org/officeDocument/2006/relationships/hyperlink" Target="https://m.stock.naver.com/research/company/84917" TargetMode="External"/><Relationship Id="rId10251" Type="http://schemas.openxmlformats.org/officeDocument/2006/relationships/hyperlink" Target="https://m.stock.naver.com/research/company/82970" TargetMode="External"/><Relationship Id="rId12700" Type="http://schemas.openxmlformats.org/officeDocument/2006/relationships/hyperlink" Target="https://m.stock.naver.com/research/company/80508" TargetMode="External"/><Relationship Id="rId11302" Type="http://schemas.openxmlformats.org/officeDocument/2006/relationships/hyperlink" Target="https://m.stock.naver.com/research/company/81917" TargetMode="External"/><Relationship Id="rId14872" Type="http://schemas.openxmlformats.org/officeDocument/2006/relationships/hyperlink" Target="https://m.stock.naver.com/research/company/94752" TargetMode="External"/><Relationship Id="rId3880" Type="http://schemas.openxmlformats.org/officeDocument/2006/relationships/hyperlink" Target="https://m.stock.naver.com/research/company/89371" TargetMode="External"/><Relationship Id="rId4931" Type="http://schemas.openxmlformats.org/officeDocument/2006/relationships/hyperlink" Target="https://m.stock.naver.com/research/company/88309" TargetMode="External"/><Relationship Id="rId9095" Type="http://schemas.openxmlformats.org/officeDocument/2006/relationships/hyperlink" Target="https://m.stock.naver.com/research/company/84135" TargetMode="External"/><Relationship Id="rId13474" Type="http://schemas.openxmlformats.org/officeDocument/2006/relationships/hyperlink" Target="https://m.stock.naver.com/research/company/79730" TargetMode="External"/><Relationship Id="rId14525" Type="http://schemas.openxmlformats.org/officeDocument/2006/relationships/hyperlink" Target="https://m.stock.naver.com/research/company/94385" TargetMode="External"/><Relationship Id="rId1084" Type="http://schemas.openxmlformats.org/officeDocument/2006/relationships/hyperlink" Target="https://m.stock.naver.com/research/company/92172" TargetMode="External"/><Relationship Id="rId2482" Type="http://schemas.openxmlformats.org/officeDocument/2006/relationships/hyperlink" Target="https://m.stock.naver.com/research/company/90772" TargetMode="External"/><Relationship Id="rId3533" Type="http://schemas.openxmlformats.org/officeDocument/2006/relationships/hyperlink" Target="https://m.stock.naver.com/research/company/89718" TargetMode="External"/><Relationship Id="rId12076" Type="http://schemas.openxmlformats.org/officeDocument/2006/relationships/hyperlink" Target="https://m.stock.naver.com/research/company/81135" TargetMode="External"/><Relationship Id="rId13127" Type="http://schemas.openxmlformats.org/officeDocument/2006/relationships/hyperlink" Target="https://m.stock.naver.com/research/company/80080" TargetMode="External"/><Relationship Id="rId107" Type="http://schemas.openxmlformats.org/officeDocument/2006/relationships/hyperlink" Target="https://m.stock.naver.com/research/company/93351" TargetMode="External"/><Relationship Id="rId454" Type="http://schemas.openxmlformats.org/officeDocument/2006/relationships/hyperlink" Target="https://m.stock.naver.com/research/company/93003" TargetMode="External"/><Relationship Id="rId2135" Type="http://schemas.openxmlformats.org/officeDocument/2006/relationships/hyperlink" Target="https://m.stock.naver.com/research/company/91120" TargetMode="External"/><Relationship Id="rId6756" Type="http://schemas.openxmlformats.org/officeDocument/2006/relationships/hyperlink" Target="https://m.stock.naver.com/research/company/86484" TargetMode="External"/><Relationship Id="rId7807" Type="http://schemas.openxmlformats.org/officeDocument/2006/relationships/hyperlink" Target="https://m.stock.naver.com/research/company/85431" TargetMode="External"/><Relationship Id="rId15299" Type="http://schemas.openxmlformats.org/officeDocument/2006/relationships/hyperlink" Target="https://m.stock.naver.com/research/company/95061" TargetMode="External"/><Relationship Id="rId5358" Type="http://schemas.openxmlformats.org/officeDocument/2006/relationships/hyperlink" Target="https://m.stock.naver.com/research/company/87882" TargetMode="External"/><Relationship Id="rId6409" Type="http://schemas.openxmlformats.org/officeDocument/2006/relationships/hyperlink" Target="https://m.stock.naver.com/research/company/86831" TargetMode="External"/><Relationship Id="rId9979" Type="http://schemas.openxmlformats.org/officeDocument/2006/relationships/hyperlink" Target="https://m.stock.naver.com/research/company/83242" TargetMode="External"/><Relationship Id="rId12210" Type="http://schemas.openxmlformats.org/officeDocument/2006/relationships/hyperlink" Target="https://m.stock.naver.com/research/company/81000" TargetMode="External"/><Relationship Id="rId1968" Type="http://schemas.openxmlformats.org/officeDocument/2006/relationships/hyperlink" Target="https://m.stock.naver.com/research/company/91287" TargetMode="External"/><Relationship Id="rId14382" Type="http://schemas.openxmlformats.org/officeDocument/2006/relationships/hyperlink" Target="https://m.stock.naver.com/research/company/94230" TargetMode="External"/><Relationship Id="rId3390" Type="http://schemas.openxmlformats.org/officeDocument/2006/relationships/hyperlink" Target="https://m.stock.naver.com/research/company/89861" TargetMode="External"/><Relationship Id="rId4441" Type="http://schemas.openxmlformats.org/officeDocument/2006/relationships/hyperlink" Target="https://m.stock.naver.com/research/company/88800" TargetMode="External"/><Relationship Id="rId14035" Type="http://schemas.openxmlformats.org/officeDocument/2006/relationships/hyperlink" Target="https://m.stock.naver.com/research/company/93812" TargetMode="External"/><Relationship Id="rId15433" Type="http://schemas.openxmlformats.org/officeDocument/2006/relationships/hyperlink" Target="https://m.stock.naver.com/research/company/95354" TargetMode="External"/><Relationship Id="rId3043" Type="http://schemas.openxmlformats.org/officeDocument/2006/relationships/hyperlink" Target="https://m.stock.naver.com/research/company/90208" TargetMode="External"/><Relationship Id="rId10992" Type="http://schemas.openxmlformats.org/officeDocument/2006/relationships/hyperlink" Target="https://m.stock.naver.com/research/company/82228" TargetMode="External"/><Relationship Id="rId6266" Type="http://schemas.openxmlformats.org/officeDocument/2006/relationships/hyperlink" Target="https://m.stock.naver.com/research/company/86974" TargetMode="External"/><Relationship Id="rId7664" Type="http://schemas.openxmlformats.org/officeDocument/2006/relationships/hyperlink" Target="https://m.stock.naver.com/research/company/85575" TargetMode="External"/><Relationship Id="rId8715" Type="http://schemas.openxmlformats.org/officeDocument/2006/relationships/hyperlink" Target="https://m.stock.naver.com/research/company/84522" TargetMode="External"/><Relationship Id="rId10645" Type="http://schemas.openxmlformats.org/officeDocument/2006/relationships/hyperlink" Target="https://m.stock.naver.com/research/company/82575" TargetMode="External"/><Relationship Id="rId7317" Type="http://schemas.openxmlformats.org/officeDocument/2006/relationships/hyperlink" Target="https://m.stock.naver.com/research/company/85922" TargetMode="External"/><Relationship Id="rId13868" Type="http://schemas.openxmlformats.org/officeDocument/2006/relationships/hyperlink" Target="https://m.stock.naver.com/research/company/93659" TargetMode="External"/><Relationship Id="rId14919" Type="http://schemas.openxmlformats.org/officeDocument/2006/relationships/hyperlink" Target="https://m.stock.naver.com/research/company/94915" TargetMode="External"/><Relationship Id="rId2876" Type="http://schemas.openxmlformats.org/officeDocument/2006/relationships/hyperlink" Target="https://m.stock.naver.com/research/company/90377" TargetMode="External"/><Relationship Id="rId3927" Type="http://schemas.openxmlformats.org/officeDocument/2006/relationships/hyperlink" Target="https://m.stock.naver.com/research/company/89324" TargetMode="External"/><Relationship Id="rId9489" Type="http://schemas.openxmlformats.org/officeDocument/2006/relationships/hyperlink" Target="https://m.stock.naver.com/research/company/83738" TargetMode="External"/><Relationship Id="rId15290" Type="http://schemas.openxmlformats.org/officeDocument/2006/relationships/hyperlink" Target="https://m.stock.naver.com/research/company/95070" TargetMode="External"/><Relationship Id="rId848" Type="http://schemas.openxmlformats.org/officeDocument/2006/relationships/hyperlink" Target="https://m.stock.naver.com/research/company/92608" TargetMode="External"/><Relationship Id="rId1478" Type="http://schemas.openxmlformats.org/officeDocument/2006/relationships/hyperlink" Target="https://m.stock.naver.com/research/company/91777" TargetMode="External"/><Relationship Id="rId2529" Type="http://schemas.openxmlformats.org/officeDocument/2006/relationships/hyperlink" Target="https://m.stock.naver.com/research/company/90725" TargetMode="External"/><Relationship Id="rId6400" Type="http://schemas.openxmlformats.org/officeDocument/2006/relationships/hyperlink" Target="https://m.stock.naver.com/research/company/86840" TargetMode="External"/><Relationship Id="rId9970" Type="http://schemas.openxmlformats.org/officeDocument/2006/relationships/hyperlink" Target="https://m.stock.naver.com/research/company/83251" TargetMode="External"/><Relationship Id="rId5002" Type="http://schemas.openxmlformats.org/officeDocument/2006/relationships/hyperlink" Target="https://m.stock.naver.com/research/company/88238" TargetMode="External"/><Relationship Id="rId8572" Type="http://schemas.openxmlformats.org/officeDocument/2006/relationships/hyperlink" Target="https://m.stock.naver.com/research/company/84665" TargetMode="External"/><Relationship Id="rId9623" Type="http://schemas.openxmlformats.org/officeDocument/2006/relationships/hyperlink" Target="https://m.stock.naver.com/research/company/83602" TargetMode="External"/><Relationship Id="rId12951" Type="http://schemas.openxmlformats.org/officeDocument/2006/relationships/hyperlink" Target="https://m.stock.naver.com/research/company/80257" TargetMode="External"/><Relationship Id="rId7174" Type="http://schemas.openxmlformats.org/officeDocument/2006/relationships/hyperlink" Target="https://m.stock.naver.com/research/company/86065" TargetMode="External"/><Relationship Id="rId8225" Type="http://schemas.openxmlformats.org/officeDocument/2006/relationships/hyperlink" Target="https://m.stock.naver.com/research/company/85013" TargetMode="External"/><Relationship Id="rId11553" Type="http://schemas.openxmlformats.org/officeDocument/2006/relationships/hyperlink" Target="https://m.stock.naver.com/research/company/81661" TargetMode="External"/><Relationship Id="rId12604" Type="http://schemas.openxmlformats.org/officeDocument/2006/relationships/hyperlink" Target="https://m.stock.naver.com/research/company/80604" TargetMode="External"/><Relationship Id="rId1612" Type="http://schemas.openxmlformats.org/officeDocument/2006/relationships/hyperlink" Target="https://m.stock.naver.com/research/company/91643" TargetMode="External"/><Relationship Id="rId10155" Type="http://schemas.openxmlformats.org/officeDocument/2006/relationships/hyperlink" Target="https://m.stock.naver.com/research/company/83066" TargetMode="External"/><Relationship Id="rId11206" Type="http://schemas.openxmlformats.org/officeDocument/2006/relationships/hyperlink" Target="https://m.stock.naver.com/research/company/82014" TargetMode="External"/><Relationship Id="rId14776" Type="http://schemas.openxmlformats.org/officeDocument/2006/relationships/hyperlink" Target="https://m.stock.naver.com/research/company/94624" TargetMode="External"/><Relationship Id="rId3784" Type="http://schemas.openxmlformats.org/officeDocument/2006/relationships/hyperlink" Target="https://m.stock.naver.com/research/company/89467" TargetMode="External"/><Relationship Id="rId4835" Type="http://schemas.openxmlformats.org/officeDocument/2006/relationships/hyperlink" Target="https://m.stock.naver.com/research/company/88405" TargetMode="External"/><Relationship Id="rId13378" Type="http://schemas.openxmlformats.org/officeDocument/2006/relationships/hyperlink" Target="https://m.stock.naver.com/research/company/79827" TargetMode="External"/><Relationship Id="rId14429" Type="http://schemas.openxmlformats.org/officeDocument/2006/relationships/hyperlink" Target="https://m.stock.naver.com/research/company/94482" TargetMode="External"/><Relationship Id="rId2386" Type="http://schemas.openxmlformats.org/officeDocument/2006/relationships/hyperlink" Target="https://m.stock.naver.com/research/company/90868" TargetMode="External"/><Relationship Id="rId3437" Type="http://schemas.openxmlformats.org/officeDocument/2006/relationships/hyperlink" Target="https://m.stock.naver.com/research/company/89814" TargetMode="External"/><Relationship Id="rId358" Type="http://schemas.openxmlformats.org/officeDocument/2006/relationships/hyperlink" Target="https://m.stock.naver.com/research/company/93100" TargetMode="External"/><Relationship Id="rId2039" Type="http://schemas.openxmlformats.org/officeDocument/2006/relationships/hyperlink" Target="https://m.stock.naver.com/research/company/91216" TargetMode="External"/><Relationship Id="rId9480" Type="http://schemas.openxmlformats.org/officeDocument/2006/relationships/hyperlink" Target="https://m.stock.naver.com/research/company/83747" TargetMode="External"/><Relationship Id="rId12461" Type="http://schemas.openxmlformats.org/officeDocument/2006/relationships/hyperlink" Target="https://m.stock.naver.com/research/company/80748" TargetMode="External"/><Relationship Id="rId14910" Type="http://schemas.openxmlformats.org/officeDocument/2006/relationships/hyperlink" Target="https://m.stock.naver.com/research/company/94924" TargetMode="External"/><Relationship Id="rId2520" Type="http://schemas.openxmlformats.org/officeDocument/2006/relationships/hyperlink" Target="https://m.stock.naver.com/research/company/90734" TargetMode="External"/><Relationship Id="rId8082" Type="http://schemas.openxmlformats.org/officeDocument/2006/relationships/hyperlink" Target="https://m.stock.naver.com/research/company/85156" TargetMode="External"/><Relationship Id="rId9133" Type="http://schemas.openxmlformats.org/officeDocument/2006/relationships/hyperlink" Target="https://m.stock.naver.com/research/company/84097" TargetMode="External"/><Relationship Id="rId11063" Type="http://schemas.openxmlformats.org/officeDocument/2006/relationships/hyperlink" Target="https://m.stock.naver.com/research/company/82157" TargetMode="External"/><Relationship Id="rId12114" Type="http://schemas.openxmlformats.org/officeDocument/2006/relationships/hyperlink" Target="https://m.stock.naver.com/research/company/81097" TargetMode="External"/><Relationship Id="rId13512" Type="http://schemas.openxmlformats.org/officeDocument/2006/relationships/hyperlink" Target="https://m.stock.naver.com/research/company/79692" TargetMode="External"/><Relationship Id="rId1122" Type="http://schemas.openxmlformats.org/officeDocument/2006/relationships/hyperlink" Target="https://m.stock.naver.com/research/company/92133" TargetMode="External"/><Relationship Id="rId15684" Type="http://schemas.openxmlformats.org/officeDocument/2006/relationships/hyperlink" Target="https://m.stock.naver.com/research/company/95730" TargetMode="External"/><Relationship Id="rId3294" Type="http://schemas.openxmlformats.org/officeDocument/2006/relationships/hyperlink" Target="https://m.stock.naver.com/research/company/89956" TargetMode="External"/><Relationship Id="rId4345" Type="http://schemas.openxmlformats.org/officeDocument/2006/relationships/hyperlink" Target="https://m.stock.naver.com/research/company/88896" TargetMode="External"/><Relationship Id="rId4692" Type="http://schemas.openxmlformats.org/officeDocument/2006/relationships/hyperlink" Target="https://m.stock.naver.com/research/company/88548" TargetMode="External"/><Relationship Id="rId5743" Type="http://schemas.openxmlformats.org/officeDocument/2006/relationships/hyperlink" Target="https://m.stock.naver.com/research/company/87497" TargetMode="External"/><Relationship Id="rId14286" Type="http://schemas.openxmlformats.org/officeDocument/2006/relationships/hyperlink" Target="https://m.stock.naver.com/research/company/94178" TargetMode="External"/><Relationship Id="rId15337" Type="http://schemas.openxmlformats.org/officeDocument/2006/relationships/hyperlink" Target="https://m.stock.naver.com/research/company/95251" TargetMode="External"/><Relationship Id="rId8966" Type="http://schemas.openxmlformats.org/officeDocument/2006/relationships/hyperlink" Target="https://m.stock.naver.com/research/company/84266" TargetMode="External"/><Relationship Id="rId10896" Type="http://schemas.openxmlformats.org/officeDocument/2006/relationships/hyperlink" Target="https://m.stock.naver.com/research/company/82324" TargetMode="External"/><Relationship Id="rId11947" Type="http://schemas.openxmlformats.org/officeDocument/2006/relationships/hyperlink" Target="https://m.stock.naver.com/research/company/81264" TargetMode="External"/><Relationship Id="rId7568" Type="http://schemas.openxmlformats.org/officeDocument/2006/relationships/hyperlink" Target="https://m.stock.naver.com/research/company/85671" TargetMode="External"/><Relationship Id="rId8619" Type="http://schemas.openxmlformats.org/officeDocument/2006/relationships/hyperlink" Target="https://m.stock.naver.com/research/company/84618" TargetMode="External"/><Relationship Id="rId10549" Type="http://schemas.openxmlformats.org/officeDocument/2006/relationships/hyperlink" Target="https://m.stock.naver.com/research/company/82671" TargetMode="External"/><Relationship Id="rId14420" Type="http://schemas.openxmlformats.org/officeDocument/2006/relationships/hyperlink" Target="https://m.stock.naver.com/research/company/94263" TargetMode="External"/><Relationship Id="rId13022" Type="http://schemas.openxmlformats.org/officeDocument/2006/relationships/hyperlink" Target="https://m.stock.naver.com/research/company/80185" TargetMode="External"/><Relationship Id="rId2030" Type="http://schemas.openxmlformats.org/officeDocument/2006/relationships/hyperlink" Target="https://m.stock.naver.com/research/company/91225" TargetMode="External"/><Relationship Id="rId6651" Type="http://schemas.openxmlformats.org/officeDocument/2006/relationships/hyperlink" Target="https://m.stock.naver.com/research/company/86589" TargetMode="External"/><Relationship Id="rId7702" Type="http://schemas.openxmlformats.org/officeDocument/2006/relationships/hyperlink" Target="https://m.stock.naver.com/research/company/85537" TargetMode="External"/><Relationship Id="rId15194" Type="http://schemas.openxmlformats.org/officeDocument/2006/relationships/hyperlink" Target="https://m.stock.naver.com/research/company/95166" TargetMode="External"/><Relationship Id="rId5253" Type="http://schemas.openxmlformats.org/officeDocument/2006/relationships/hyperlink" Target="https://m.stock.naver.com/research/company/87987" TargetMode="External"/><Relationship Id="rId6304" Type="http://schemas.openxmlformats.org/officeDocument/2006/relationships/hyperlink" Target="https://m.stock.naver.com/research/company/86936" TargetMode="External"/><Relationship Id="rId8476" Type="http://schemas.openxmlformats.org/officeDocument/2006/relationships/hyperlink" Target="https://m.stock.naver.com/research/company/84761" TargetMode="External"/><Relationship Id="rId9874" Type="http://schemas.openxmlformats.org/officeDocument/2006/relationships/hyperlink" Target="https://m.stock.naver.com/research/company/83348" TargetMode="External"/><Relationship Id="rId12855" Type="http://schemas.openxmlformats.org/officeDocument/2006/relationships/hyperlink" Target="https://m.stock.naver.com/research/company/80353" TargetMode="External"/><Relationship Id="rId13906" Type="http://schemas.openxmlformats.org/officeDocument/2006/relationships/hyperlink" Target="https://m.stock.naver.com/research/company/93696" TargetMode="External"/><Relationship Id="rId88" Type="http://schemas.openxmlformats.org/officeDocument/2006/relationships/hyperlink" Target="https://m.stock.naver.com/research/company/93370" TargetMode="External"/><Relationship Id="rId1863" Type="http://schemas.openxmlformats.org/officeDocument/2006/relationships/hyperlink" Target="https://m.stock.naver.com/research/company/91392" TargetMode="External"/><Relationship Id="rId2914" Type="http://schemas.openxmlformats.org/officeDocument/2006/relationships/hyperlink" Target="https://m.stock.naver.com/research/company/90339" TargetMode="External"/><Relationship Id="rId7078" Type="http://schemas.openxmlformats.org/officeDocument/2006/relationships/hyperlink" Target="https://m.stock.naver.com/research/company/86161" TargetMode="External"/><Relationship Id="rId8129" Type="http://schemas.openxmlformats.org/officeDocument/2006/relationships/hyperlink" Target="https://m.stock.naver.com/research/company/85109" TargetMode="External"/><Relationship Id="rId9527" Type="http://schemas.openxmlformats.org/officeDocument/2006/relationships/hyperlink" Target="https://m.stock.naver.com/research/company/83700" TargetMode="External"/><Relationship Id="rId11457" Type="http://schemas.openxmlformats.org/officeDocument/2006/relationships/hyperlink" Target="https://m.stock.naver.com/research/company/81758" TargetMode="External"/><Relationship Id="rId12508" Type="http://schemas.openxmlformats.org/officeDocument/2006/relationships/hyperlink" Target="https://m.stock.naver.com/research/company/80700" TargetMode="External"/><Relationship Id="rId1516" Type="http://schemas.openxmlformats.org/officeDocument/2006/relationships/hyperlink" Target="https://m.stock.naver.com/research/company/91739" TargetMode="External"/><Relationship Id="rId10059" Type="http://schemas.openxmlformats.org/officeDocument/2006/relationships/hyperlink" Target="https://m.stock.naver.com/research/company/83162" TargetMode="External"/><Relationship Id="rId3688" Type="http://schemas.openxmlformats.org/officeDocument/2006/relationships/hyperlink" Target="https://m.stock.naver.com/research/company/89563" TargetMode="External"/><Relationship Id="rId4739" Type="http://schemas.openxmlformats.org/officeDocument/2006/relationships/hyperlink" Target="https://m.stock.naver.com/research/company/88501" TargetMode="External"/><Relationship Id="rId8610" Type="http://schemas.openxmlformats.org/officeDocument/2006/relationships/hyperlink" Target="https://m.stock.naver.com/research/company/84627" TargetMode="External"/><Relationship Id="rId10540" Type="http://schemas.openxmlformats.org/officeDocument/2006/relationships/hyperlink" Target="https://m.stock.naver.com/research/company/82680" TargetMode="External"/><Relationship Id="rId6161" Type="http://schemas.openxmlformats.org/officeDocument/2006/relationships/hyperlink" Target="https://m.stock.naver.com/research/company/87079" TargetMode="External"/><Relationship Id="rId7212" Type="http://schemas.openxmlformats.org/officeDocument/2006/relationships/hyperlink" Target="https://m.stock.naver.com/research/company/86027" TargetMode="External"/><Relationship Id="rId9384" Type="http://schemas.openxmlformats.org/officeDocument/2006/relationships/hyperlink" Target="https://m.stock.naver.com/research/company/83843" TargetMode="External"/><Relationship Id="rId13763" Type="http://schemas.openxmlformats.org/officeDocument/2006/relationships/hyperlink" Target="https://m.stock.naver.com/research/company/93544" TargetMode="External"/><Relationship Id="rId14814" Type="http://schemas.openxmlformats.org/officeDocument/2006/relationships/hyperlink" Target="https://m.stock.naver.com/research/company/94586" TargetMode="External"/><Relationship Id="rId1373" Type="http://schemas.openxmlformats.org/officeDocument/2006/relationships/hyperlink" Target="https://m.stock.naver.com/research/company/91882" TargetMode="External"/><Relationship Id="rId2771" Type="http://schemas.openxmlformats.org/officeDocument/2006/relationships/hyperlink" Target="https://m.stock.naver.com/research/company/90483" TargetMode="External"/><Relationship Id="rId3822" Type="http://schemas.openxmlformats.org/officeDocument/2006/relationships/hyperlink" Target="https://m.stock.naver.com/research/company/89429" TargetMode="External"/><Relationship Id="rId9037" Type="http://schemas.openxmlformats.org/officeDocument/2006/relationships/hyperlink" Target="https://m.stock.naver.com/research/company/84194" TargetMode="External"/><Relationship Id="rId12365" Type="http://schemas.openxmlformats.org/officeDocument/2006/relationships/hyperlink" Target="https://m.stock.naver.com/research/company/80844" TargetMode="External"/><Relationship Id="rId13416" Type="http://schemas.openxmlformats.org/officeDocument/2006/relationships/hyperlink" Target="https://m.stock.naver.com/research/company/79789" TargetMode="External"/><Relationship Id="rId743" Type="http://schemas.openxmlformats.org/officeDocument/2006/relationships/hyperlink" Target="https://m.stock.naver.com/research/company/92713" TargetMode="External"/><Relationship Id="rId1026" Type="http://schemas.openxmlformats.org/officeDocument/2006/relationships/hyperlink" Target="https://m.stock.naver.com/research/company/92325" TargetMode="External"/><Relationship Id="rId2424" Type="http://schemas.openxmlformats.org/officeDocument/2006/relationships/hyperlink" Target="https://m.stock.naver.com/research/company/90830" TargetMode="External"/><Relationship Id="rId5994" Type="http://schemas.openxmlformats.org/officeDocument/2006/relationships/hyperlink" Target="https://m.stock.naver.com/research/company/87246" TargetMode="External"/><Relationship Id="rId12018" Type="http://schemas.openxmlformats.org/officeDocument/2006/relationships/hyperlink" Target="https://m.stock.naver.com/research/company/81193" TargetMode="External"/><Relationship Id="rId15588" Type="http://schemas.openxmlformats.org/officeDocument/2006/relationships/hyperlink" Target="https://m.stock.naver.com/research/company/95448" TargetMode="External"/><Relationship Id="rId4596" Type="http://schemas.openxmlformats.org/officeDocument/2006/relationships/hyperlink" Target="https://m.stock.naver.com/research/company/88644" TargetMode="External"/><Relationship Id="rId5647" Type="http://schemas.openxmlformats.org/officeDocument/2006/relationships/hyperlink" Target="https://m.stock.naver.com/research/company/87593" TargetMode="External"/><Relationship Id="rId3198" Type="http://schemas.openxmlformats.org/officeDocument/2006/relationships/hyperlink" Target="https://m.stock.naver.com/research/company/90053" TargetMode="External"/><Relationship Id="rId4249" Type="http://schemas.openxmlformats.org/officeDocument/2006/relationships/hyperlink" Target="https://m.stock.naver.com/research/company/88993" TargetMode="External"/><Relationship Id="rId8120" Type="http://schemas.openxmlformats.org/officeDocument/2006/relationships/hyperlink" Target="https://m.stock.naver.com/research/company/85118" TargetMode="External"/><Relationship Id="rId10050" Type="http://schemas.openxmlformats.org/officeDocument/2006/relationships/hyperlink" Target="https://m.stock.naver.com/research/company/83171" TargetMode="External"/><Relationship Id="rId11101" Type="http://schemas.openxmlformats.org/officeDocument/2006/relationships/hyperlink" Target="https://m.stock.naver.com/research/company/82119" TargetMode="External"/><Relationship Id="rId14671" Type="http://schemas.openxmlformats.org/officeDocument/2006/relationships/hyperlink" Target="https://m.stock.naver.com/research/company/94507" TargetMode="External"/><Relationship Id="rId4730" Type="http://schemas.openxmlformats.org/officeDocument/2006/relationships/hyperlink" Target="https://m.stock.naver.com/research/company/88510" TargetMode="External"/><Relationship Id="rId13273" Type="http://schemas.openxmlformats.org/officeDocument/2006/relationships/hyperlink" Target="https://m.stock.naver.com/research/company/79933" TargetMode="External"/><Relationship Id="rId14324" Type="http://schemas.openxmlformats.org/officeDocument/2006/relationships/hyperlink" Target="https://m.stock.naver.com/research/company/94140" TargetMode="External"/><Relationship Id="rId15722" Type="http://schemas.openxmlformats.org/officeDocument/2006/relationships/hyperlink" Target="https://m.stock.naver.com/research/company/95692" TargetMode="External"/><Relationship Id="rId2281" Type="http://schemas.openxmlformats.org/officeDocument/2006/relationships/hyperlink" Target="https://m.stock.naver.com/research/company/90974" TargetMode="External"/><Relationship Id="rId3332" Type="http://schemas.openxmlformats.org/officeDocument/2006/relationships/hyperlink" Target="https://m.stock.naver.com/research/company/89918" TargetMode="External"/><Relationship Id="rId253" Type="http://schemas.openxmlformats.org/officeDocument/2006/relationships/hyperlink" Target="https://m.stock.naver.com/research/company/93205" TargetMode="External"/><Relationship Id="rId6555" Type="http://schemas.openxmlformats.org/officeDocument/2006/relationships/hyperlink" Target="https://m.stock.naver.com/research/company/86685" TargetMode="External"/><Relationship Id="rId7953" Type="http://schemas.openxmlformats.org/officeDocument/2006/relationships/hyperlink" Target="https://m.stock.naver.com/research/company/85285" TargetMode="External"/><Relationship Id="rId10934" Type="http://schemas.openxmlformats.org/officeDocument/2006/relationships/hyperlink" Target="https://m.stock.naver.com/research/company/82286" TargetMode="External"/><Relationship Id="rId15098" Type="http://schemas.openxmlformats.org/officeDocument/2006/relationships/hyperlink" Target="https://m.stock.naver.com/research/company/94996" TargetMode="External"/><Relationship Id="rId5157" Type="http://schemas.openxmlformats.org/officeDocument/2006/relationships/hyperlink" Target="https://m.stock.naver.com/research/company/88083" TargetMode="External"/><Relationship Id="rId6208" Type="http://schemas.openxmlformats.org/officeDocument/2006/relationships/hyperlink" Target="https://m.stock.naver.com/research/company/87032" TargetMode="External"/><Relationship Id="rId7606" Type="http://schemas.openxmlformats.org/officeDocument/2006/relationships/hyperlink" Target="https://m.stock.naver.com/research/company/85633" TargetMode="External"/><Relationship Id="rId9778" Type="http://schemas.openxmlformats.org/officeDocument/2006/relationships/hyperlink" Target="https://m.stock.naver.com/research/company/83445" TargetMode="External"/><Relationship Id="rId12759" Type="http://schemas.openxmlformats.org/officeDocument/2006/relationships/hyperlink" Target="https://m.stock.naver.com/research/company/80449" TargetMode="External"/><Relationship Id="rId1767" Type="http://schemas.openxmlformats.org/officeDocument/2006/relationships/hyperlink" Target="https://m.stock.naver.com/research/company/91488" TargetMode="External"/><Relationship Id="rId2818" Type="http://schemas.openxmlformats.org/officeDocument/2006/relationships/hyperlink" Target="https://m.stock.naver.com/research/company/90435" TargetMode="External"/><Relationship Id="rId14181" Type="http://schemas.openxmlformats.org/officeDocument/2006/relationships/hyperlink" Target="https://m.stock.naver.com/research/company/94077" TargetMode="External"/><Relationship Id="rId15232" Type="http://schemas.openxmlformats.org/officeDocument/2006/relationships/hyperlink" Target="https://m.stock.naver.com/research/company/95128" TargetMode="External"/><Relationship Id="rId4240" Type="http://schemas.openxmlformats.org/officeDocument/2006/relationships/hyperlink" Target="https://m.stock.naver.com/research/company/89002" TargetMode="External"/><Relationship Id="rId8861" Type="http://schemas.openxmlformats.org/officeDocument/2006/relationships/hyperlink" Target="https://m.stock.naver.com/research/company/84376" TargetMode="External"/><Relationship Id="rId9912" Type="http://schemas.openxmlformats.org/officeDocument/2006/relationships/hyperlink" Target="https://m.stock.naver.com/research/company/83310" TargetMode="External"/><Relationship Id="rId7463" Type="http://schemas.openxmlformats.org/officeDocument/2006/relationships/hyperlink" Target="https://m.stock.naver.com/research/company/85776" TargetMode="External"/><Relationship Id="rId8514" Type="http://schemas.openxmlformats.org/officeDocument/2006/relationships/hyperlink" Target="https://m.stock.naver.com/research/company/84723" TargetMode="External"/><Relationship Id="rId10791" Type="http://schemas.openxmlformats.org/officeDocument/2006/relationships/hyperlink" Target="https://m.stock.naver.com/research/company/82429" TargetMode="External"/><Relationship Id="rId11842" Type="http://schemas.openxmlformats.org/officeDocument/2006/relationships/hyperlink" Target="https://m.stock.naver.com/research/company/81370" TargetMode="External"/><Relationship Id="rId1901" Type="http://schemas.openxmlformats.org/officeDocument/2006/relationships/hyperlink" Target="https://m.stock.naver.com/research/company/91354" TargetMode="External"/><Relationship Id="rId6065" Type="http://schemas.openxmlformats.org/officeDocument/2006/relationships/hyperlink" Target="https://m.stock.naver.com/research/company/87175" TargetMode="External"/><Relationship Id="rId7116" Type="http://schemas.openxmlformats.org/officeDocument/2006/relationships/hyperlink" Target="https://m.stock.naver.com/research/company/86123" TargetMode="External"/><Relationship Id="rId10444" Type="http://schemas.openxmlformats.org/officeDocument/2006/relationships/hyperlink" Target="https://m.stock.naver.com/research/company/82777" TargetMode="External"/><Relationship Id="rId9288" Type="http://schemas.openxmlformats.org/officeDocument/2006/relationships/hyperlink" Target="https://m.stock.naver.com/research/company/83939" TargetMode="External"/><Relationship Id="rId13667" Type="http://schemas.openxmlformats.org/officeDocument/2006/relationships/hyperlink" Target="https://m.stock.naver.com/research/company/79537" TargetMode="External"/><Relationship Id="rId14718" Type="http://schemas.openxmlformats.org/officeDocument/2006/relationships/hyperlink" Target="https://m.stock.naver.com/research/company/94682" TargetMode="External"/><Relationship Id="rId994" Type="http://schemas.openxmlformats.org/officeDocument/2006/relationships/hyperlink" Target="https://m.stock.naver.com/research/company/92462" TargetMode="External"/><Relationship Id="rId2675" Type="http://schemas.openxmlformats.org/officeDocument/2006/relationships/hyperlink" Target="https://m.stock.naver.com/research/company/90579" TargetMode="External"/><Relationship Id="rId3726" Type="http://schemas.openxmlformats.org/officeDocument/2006/relationships/hyperlink" Target="https://m.stock.naver.com/research/company/89525" TargetMode="External"/><Relationship Id="rId12269" Type="http://schemas.openxmlformats.org/officeDocument/2006/relationships/hyperlink" Target="https://m.stock.naver.com/research/company/80940" TargetMode="External"/><Relationship Id="rId647" Type="http://schemas.openxmlformats.org/officeDocument/2006/relationships/hyperlink" Target="https://m.stock.naver.com/research/company/92809" TargetMode="External"/><Relationship Id="rId1277" Type="http://schemas.openxmlformats.org/officeDocument/2006/relationships/hyperlink" Target="https://m.stock.naver.com/research/company/91978" TargetMode="External"/><Relationship Id="rId2328" Type="http://schemas.openxmlformats.org/officeDocument/2006/relationships/hyperlink" Target="https://m.stock.naver.com/research/company/90927" TargetMode="External"/><Relationship Id="rId5898" Type="http://schemas.openxmlformats.org/officeDocument/2006/relationships/hyperlink" Target="https://m.stock.naver.com/research/company/87342" TargetMode="External"/><Relationship Id="rId6949" Type="http://schemas.openxmlformats.org/officeDocument/2006/relationships/hyperlink" Target="https://m.stock.naver.com/research/company/86290" TargetMode="External"/><Relationship Id="rId12750" Type="http://schemas.openxmlformats.org/officeDocument/2006/relationships/hyperlink" Target="https://m.stock.naver.com/research/company/80458" TargetMode="External"/><Relationship Id="rId8371" Type="http://schemas.openxmlformats.org/officeDocument/2006/relationships/hyperlink" Target="https://m.stock.naver.com/research/company/84867" TargetMode="External"/><Relationship Id="rId9422" Type="http://schemas.openxmlformats.org/officeDocument/2006/relationships/hyperlink" Target="https://m.stock.naver.com/research/company/83805" TargetMode="External"/><Relationship Id="rId11352" Type="http://schemas.openxmlformats.org/officeDocument/2006/relationships/hyperlink" Target="https://m.stock.naver.com/research/company/81864" TargetMode="External"/><Relationship Id="rId12403" Type="http://schemas.openxmlformats.org/officeDocument/2006/relationships/hyperlink" Target="https://m.stock.naver.com/research/company/80806" TargetMode="External"/><Relationship Id="rId13801" Type="http://schemas.openxmlformats.org/officeDocument/2006/relationships/hyperlink" Target="https://m.stock.naver.com/research/company/93577" TargetMode="External"/><Relationship Id="rId1411" Type="http://schemas.openxmlformats.org/officeDocument/2006/relationships/hyperlink" Target="https://m.stock.naver.com/research/company/91844" TargetMode="External"/><Relationship Id="rId8024" Type="http://schemas.openxmlformats.org/officeDocument/2006/relationships/hyperlink" Target="https://m.stock.naver.com/research/company/85214" TargetMode="External"/><Relationship Id="rId11005" Type="http://schemas.openxmlformats.org/officeDocument/2006/relationships/hyperlink" Target="https://m.stock.naver.com/research/company/82215" TargetMode="External"/><Relationship Id="rId3583" Type="http://schemas.openxmlformats.org/officeDocument/2006/relationships/hyperlink" Target="https://m.stock.naver.com/research/company/89668" TargetMode="External"/><Relationship Id="rId4981" Type="http://schemas.openxmlformats.org/officeDocument/2006/relationships/hyperlink" Target="https://m.stock.naver.com/research/company/88259" TargetMode="External"/><Relationship Id="rId13177" Type="http://schemas.openxmlformats.org/officeDocument/2006/relationships/hyperlink" Target="https://m.stock.naver.com/research/company/80030" TargetMode="External"/><Relationship Id="rId14575" Type="http://schemas.openxmlformats.org/officeDocument/2006/relationships/hyperlink" Target="https://m.stock.naver.com/research/company/94335" TargetMode="External"/><Relationship Id="rId15626" Type="http://schemas.openxmlformats.org/officeDocument/2006/relationships/hyperlink" Target="https://m.stock.naver.com/research/company/95410" TargetMode="External"/><Relationship Id="rId2185" Type="http://schemas.openxmlformats.org/officeDocument/2006/relationships/hyperlink" Target="https://m.stock.naver.com/research/company/91070" TargetMode="External"/><Relationship Id="rId3236" Type="http://schemas.openxmlformats.org/officeDocument/2006/relationships/hyperlink" Target="https://m.stock.naver.com/research/company/90014" TargetMode="External"/><Relationship Id="rId4634" Type="http://schemas.openxmlformats.org/officeDocument/2006/relationships/hyperlink" Target="https://m.stock.naver.com/research/company/88606" TargetMode="External"/><Relationship Id="rId14228" Type="http://schemas.openxmlformats.org/officeDocument/2006/relationships/hyperlink" Target="https://m.stock.naver.com/research/company/94115" TargetMode="External"/><Relationship Id="rId157" Type="http://schemas.openxmlformats.org/officeDocument/2006/relationships/hyperlink" Target="https://m.stock.naver.com/research/company/93301" TargetMode="External"/><Relationship Id="rId7857" Type="http://schemas.openxmlformats.org/officeDocument/2006/relationships/hyperlink" Target="https://m.stock.naver.com/research/company/85381" TargetMode="External"/><Relationship Id="rId8908" Type="http://schemas.openxmlformats.org/officeDocument/2006/relationships/hyperlink" Target="https://m.stock.naver.com/research/company/84328" TargetMode="External"/><Relationship Id="rId10838" Type="http://schemas.openxmlformats.org/officeDocument/2006/relationships/hyperlink" Target="https://m.stock.naver.com/research/company/82382" TargetMode="External"/><Relationship Id="rId6459" Type="http://schemas.openxmlformats.org/officeDocument/2006/relationships/hyperlink" Target="https://m.stock.naver.com/research/company/86781" TargetMode="External"/><Relationship Id="rId12260" Type="http://schemas.openxmlformats.org/officeDocument/2006/relationships/hyperlink" Target="https://m.stock.naver.com/research/company/80949" TargetMode="External"/><Relationship Id="rId13311" Type="http://schemas.openxmlformats.org/officeDocument/2006/relationships/hyperlink" Target="https://m.stock.naver.com/research/company/79894" TargetMode="External"/><Relationship Id="rId6940" Type="http://schemas.openxmlformats.org/officeDocument/2006/relationships/hyperlink" Target="https://m.stock.naver.com/research/company/86299" TargetMode="External"/><Relationship Id="rId15483" Type="http://schemas.openxmlformats.org/officeDocument/2006/relationships/hyperlink" Target="https://m.stock.naver.com/research/company/95304" TargetMode="External"/><Relationship Id="rId4491" Type="http://schemas.openxmlformats.org/officeDocument/2006/relationships/hyperlink" Target="https://m.stock.naver.com/research/company/88749" TargetMode="External"/><Relationship Id="rId5542" Type="http://schemas.openxmlformats.org/officeDocument/2006/relationships/hyperlink" Target="https://m.stock.naver.com/research/company/87698" TargetMode="External"/><Relationship Id="rId14085" Type="http://schemas.openxmlformats.org/officeDocument/2006/relationships/hyperlink" Target="https://m.stock.naver.com/research/company/93917" TargetMode="External"/><Relationship Id="rId15136" Type="http://schemas.openxmlformats.org/officeDocument/2006/relationships/hyperlink" Target="https://m.stock.naver.com/research/company/94958" TargetMode="External"/><Relationship Id="rId3093" Type="http://schemas.openxmlformats.org/officeDocument/2006/relationships/hyperlink" Target="https://m.stock.naver.com/research/company/90158" TargetMode="External"/><Relationship Id="rId4144" Type="http://schemas.openxmlformats.org/officeDocument/2006/relationships/hyperlink" Target="https://m.stock.naver.com/research/company/89107" TargetMode="External"/><Relationship Id="rId8765" Type="http://schemas.openxmlformats.org/officeDocument/2006/relationships/hyperlink" Target="https://m.stock.naver.com/research/company/84472" TargetMode="External"/><Relationship Id="rId7367" Type="http://schemas.openxmlformats.org/officeDocument/2006/relationships/hyperlink" Target="https://m.stock.naver.com/research/company/85872" TargetMode="External"/><Relationship Id="rId8418" Type="http://schemas.openxmlformats.org/officeDocument/2006/relationships/hyperlink" Target="https://m.stock.naver.com/research/company/84820" TargetMode="External"/><Relationship Id="rId9816" Type="http://schemas.openxmlformats.org/officeDocument/2006/relationships/hyperlink" Target="https://m.stock.naver.com/research/company/83406" TargetMode="External"/><Relationship Id="rId10695" Type="http://schemas.openxmlformats.org/officeDocument/2006/relationships/hyperlink" Target="https://m.stock.naver.com/research/company/82525" TargetMode="External"/><Relationship Id="rId11746" Type="http://schemas.openxmlformats.org/officeDocument/2006/relationships/hyperlink" Target="https://m.stock.naver.com/research/company/81466" TargetMode="External"/><Relationship Id="rId1805" Type="http://schemas.openxmlformats.org/officeDocument/2006/relationships/hyperlink" Target="https://m.stock.naver.com/research/company/91450" TargetMode="External"/><Relationship Id="rId10348" Type="http://schemas.openxmlformats.org/officeDocument/2006/relationships/hyperlink" Target="https://m.stock.naver.com/research/company/82873" TargetMode="External"/><Relationship Id="rId14969" Type="http://schemas.openxmlformats.org/officeDocument/2006/relationships/hyperlink" Target="https://m.stock.naver.com/research/company/94865" TargetMode="External"/><Relationship Id="rId3977" Type="http://schemas.openxmlformats.org/officeDocument/2006/relationships/hyperlink" Target="https://m.stock.naver.com/research/company/89274" TargetMode="External"/><Relationship Id="rId898" Type="http://schemas.openxmlformats.org/officeDocument/2006/relationships/hyperlink" Target="https://m.stock.naver.com/research/company/92558" TargetMode="External"/><Relationship Id="rId2579" Type="http://schemas.openxmlformats.org/officeDocument/2006/relationships/hyperlink" Target="https://m.stock.naver.com/research/company/90675" TargetMode="External"/><Relationship Id="rId6450" Type="http://schemas.openxmlformats.org/officeDocument/2006/relationships/hyperlink" Target="https://m.stock.naver.com/research/company/86790" TargetMode="External"/><Relationship Id="rId7501" Type="http://schemas.openxmlformats.org/officeDocument/2006/relationships/hyperlink" Target="https://m.stock.naver.com/research/company/85738" TargetMode="External"/><Relationship Id="rId5052" Type="http://schemas.openxmlformats.org/officeDocument/2006/relationships/hyperlink" Target="https://m.stock.naver.com/research/company/88188" TargetMode="External"/><Relationship Id="rId6103" Type="http://schemas.openxmlformats.org/officeDocument/2006/relationships/hyperlink" Target="https://m.stock.naver.com/research/company/87137" TargetMode="External"/><Relationship Id="rId9673" Type="http://schemas.openxmlformats.org/officeDocument/2006/relationships/hyperlink" Target="https://m.stock.naver.com/research/company/83551" TargetMode="External"/><Relationship Id="rId1662" Type="http://schemas.openxmlformats.org/officeDocument/2006/relationships/hyperlink" Target="https://m.stock.naver.com/research/company/91593" TargetMode="External"/><Relationship Id="rId8275" Type="http://schemas.openxmlformats.org/officeDocument/2006/relationships/hyperlink" Target="https://m.stock.naver.com/research/company/84963" TargetMode="External"/><Relationship Id="rId9326" Type="http://schemas.openxmlformats.org/officeDocument/2006/relationships/hyperlink" Target="https://m.stock.naver.com/research/company/83901" TargetMode="External"/><Relationship Id="rId11256" Type="http://schemas.openxmlformats.org/officeDocument/2006/relationships/hyperlink" Target="https://m.stock.naver.com/research/company/81963" TargetMode="External"/><Relationship Id="rId12654" Type="http://schemas.openxmlformats.org/officeDocument/2006/relationships/hyperlink" Target="https://m.stock.naver.com/research/company/80554" TargetMode="External"/><Relationship Id="rId13705" Type="http://schemas.openxmlformats.org/officeDocument/2006/relationships/hyperlink" Target="https://m.stock.naver.com/research/company/93469" TargetMode="External"/><Relationship Id="rId1315" Type="http://schemas.openxmlformats.org/officeDocument/2006/relationships/hyperlink" Target="https://m.stock.naver.com/research/company/91940" TargetMode="External"/><Relationship Id="rId2713" Type="http://schemas.openxmlformats.org/officeDocument/2006/relationships/hyperlink" Target="https://m.stock.naver.com/research/company/90541" TargetMode="External"/><Relationship Id="rId12307" Type="http://schemas.openxmlformats.org/officeDocument/2006/relationships/hyperlink" Target="https://m.stock.naver.com/research/company/80902" TargetMode="External"/><Relationship Id="rId4885" Type="http://schemas.openxmlformats.org/officeDocument/2006/relationships/hyperlink" Target="https://m.stock.naver.com/research/company/88355" TargetMode="External"/><Relationship Id="rId5936" Type="http://schemas.openxmlformats.org/officeDocument/2006/relationships/hyperlink" Target="https://m.stock.naver.com/research/company/87304" TargetMode="External"/><Relationship Id="rId14479" Type="http://schemas.openxmlformats.org/officeDocument/2006/relationships/hyperlink" Target="https://m.stock.naver.com/research/company/94431" TargetMode="External"/><Relationship Id="rId21" Type="http://schemas.openxmlformats.org/officeDocument/2006/relationships/hyperlink" Target="https://m.stock.naver.com/research/company/93437" TargetMode="External"/><Relationship Id="rId2089" Type="http://schemas.openxmlformats.org/officeDocument/2006/relationships/hyperlink" Target="https://m.stock.naver.com/research/company/91166" TargetMode="External"/><Relationship Id="rId3487" Type="http://schemas.openxmlformats.org/officeDocument/2006/relationships/hyperlink" Target="https://m.stock.naver.com/research/company/89764" TargetMode="External"/><Relationship Id="rId4538" Type="http://schemas.openxmlformats.org/officeDocument/2006/relationships/hyperlink" Target="https://m.stock.naver.com/research/company/88702" TargetMode="External"/><Relationship Id="rId14960" Type="http://schemas.openxmlformats.org/officeDocument/2006/relationships/hyperlink" Target="https://m.stock.naver.com/research/company/94874" TargetMode="External"/><Relationship Id="rId7011" Type="http://schemas.openxmlformats.org/officeDocument/2006/relationships/hyperlink" Target="https://m.stock.naver.com/research/company/86228" TargetMode="External"/><Relationship Id="rId13562" Type="http://schemas.openxmlformats.org/officeDocument/2006/relationships/hyperlink" Target="https://m.stock.naver.com/research/company/79642" TargetMode="External"/><Relationship Id="rId14613" Type="http://schemas.openxmlformats.org/officeDocument/2006/relationships/hyperlink" Target="https://m.stock.naver.com/research/company/94564" TargetMode="External"/><Relationship Id="rId2570" Type="http://schemas.openxmlformats.org/officeDocument/2006/relationships/hyperlink" Target="https://m.stock.naver.com/research/company/90684" TargetMode="External"/><Relationship Id="rId3621" Type="http://schemas.openxmlformats.org/officeDocument/2006/relationships/hyperlink" Target="https://m.stock.naver.com/research/company/89630" TargetMode="External"/><Relationship Id="rId9183" Type="http://schemas.openxmlformats.org/officeDocument/2006/relationships/hyperlink" Target="https://m.stock.naver.com/research/company/84047" TargetMode="External"/><Relationship Id="rId12164" Type="http://schemas.openxmlformats.org/officeDocument/2006/relationships/hyperlink" Target="https://m.stock.naver.com/research/company/81047" TargetMode="External"/><Relationship Id="rId13215" Type="http://schemas.openxmlformats.org/officeDocument/2006/relationships/hyperlink" Target="https://m.stock.naver.com/research/company/79992" TargetMode="External"/><Relationship Id="rId542" Type="http://schemas.openxmlformats.org/officeDocument/2006/relationships/hyperlink" Target="https://m.stock.naver.com/research/company/92915" TargetMode="External"/><Relationship Id="rId1172" Type="http://schemas.openxmlformats.org/officeDocument/2006/relationships/hyperlink" Target="https://m.stock.naver.com/research/company/92083" TargetMode="External"/><Relationship Id="rId2223" Type="http://schemas.openxmlformats.org/officeDocument/2006/relationships/hyperlink" Target="https://m.stock.naver.com/research/company/91032" TargetMode="External"/><Relationship Id="rId5793" Type="http://schemas.openxmlformats.org/officeDocument/2006/relationships/hyperlink" Target="https://m.stock.naver.com/research/company/87447" TargetMode="External"/><Relationship Id="rId6844" Type="http://schemas.openxmlformats.org/officeDocument/2006/relationships/hyperlink" Target="https://m.stock.naver.com/research/company/86396" TargetMode="External"/><Relationship Id="rId15387" Type="http://schemas.openxmlformats.org/officeDocument/2006/relationships/hyperlink" Target="https://m.stock.naver.com/research/company/95400" TargetMode="External"/><Relationship Id="rId4395" Type="http://schemas.openxmlformats.org/officeDocument/2006/relationships/hyperlink" Target="https://m.stock.naver.com/research/company/88846" TargetMode="External"/><Relationship Id="rId5446" Type="http://schemas.openxmlformats.org/officeDocument/2006/relationships/hyperlink" Target="https://m.stock.naver.com/research/company/87794" TargetMode="External"/><Relationship Id="rId4048" Type="http://schemas.openxmlformats.org/officeDocument/2006/relationships/hyperlink" Target="https://m.stock.naver.com/research/company/89203" TargetMode="External"/><Relationship Id="rId11997" Type="http://schemas.openxmlformats.org/officeDocument/2006/relationships/hyperlink" Target="https://m.stock.naver.com/research/company/81214" TargetMode="External"/><Relationship Id="rId8669" Type="http://schemas.openxmlformats.org/officeDocument/2006/relationships/hyperlink" Target="https://m.stock.naver.com/research/company/84568" TargetMode="External"/><Relationship Id="rId10599" Type="http://schemas.openxmlformats.org/officeDocument/2006/relationships/hyperlink" Target="https://m.stock.naver.com/research/company/82621" TargetMode="External"/><Relationship Id="rId14470" Type="http://schemas.openxmlformats.org/officeDocument/2006/relationships/hyperlink" Target="https://m.stock.naver.com/research/company/94440" TargetMode="External"/><Relationship Id="rId15521" Type="http://schemas.openxmlformats.org/officeDocument/2006/relationships/hyperlink" Target="https://m.stock.naver.com/research/company/95515" TargetMode="External"/><Relationship Id="rId1709" Type="http://schemas.openxmlformats.org/officeDocument/2006/relationships/hyperlink" Target="https://m.stock.naver.com/research/company/91546" TargetMode="External"/><Relationship Id="rId13072" Type="http://schemas.openxmlformats.org/officeDocument/2006/relationships/hyperlink" Target="https://m.stock.naver.com/research/company/80135" TargetMode="External"/><Relationship Id="rId14123" Type="http://schemas.openxmlformats.org/officeDocument/2006/relationships/hyperlink" Target="https://m.stock.naver.com/research/company/94005" TargetMode="External"/><Relationship Id="rId2080" Type="http://schemas.openxmlformats.org/officeDocument/2006/relationships/hyperlink" Target="https://m.stock.naver.com/research/company/91175" TargetMode="External"/><Relationship Id="rId3131" Type="http://schemas.openxmlformats.org/officeDocument/2006/relationships/hyperlink" Target="https://m.stock.naver.com/research/company/90120" TargetMode="External"/><Relationship Id="rId7752" Type="http://schemas.openxmlformats.org/officeDocument/2006/relationships/hyperlink" Target="https://m.stock.naver.com/research/company/85487" TargetMode="External"/><Relationship Id="rId8803" Type="http://schemas.openxmlformats.org/officeDocument/2006/relationships/hyperlink" Target="https://m.stock.naver.com/research/company/84434" TargetMode="External"/><Relationship Id="rId6354" Type="http://schemas.openxmlformats.org/officeDocument/2006/relationships/hyperlink" Target="https://m.stock.naver.com/research/company/86886" TargetMode="External"/><Relationship Id="rId7405" Type="http://schemas.openxmlformats.org/officeDocument/2006/relationships/hyperlink" Target="https://m.stock.naver.com/research/company/85834" TargetMode="External"/><Relationship Id="rId10733" Type="http://schemas.openxmlformats.org/officeDocument/2006/relationships/hyperlink" Target="https://m.stock.naver.com/research/company/82487" TargetMode="External"/><Relationship Id="rId6007" Type="http://schemas.openxmlformats.org/officeDocument/2006/relationships/hyperlink" Target="https://m.stock.naver.com/research/company/87233" TargetMode="External"/><Relationship Id="rId9577" Type="http://schemas.openxmlformats.org/officeDocument/2006/relationships/hyperlink" Target="https://m.stock.naver.com/research/company/83650" TargetMode="External"/><Relationship Id="rId13956" Type="http://schemas.openxmlformats.org/officeDocument/2006/relationships/hyperlink" Target="https://m.stock.naver.com/research/company/93776" TargetMode="External"/><Relationship Id="rId2964" Type="http://schemas.openxmlformats.org/officeDocument/2006/relationships/hyperlink" Target="https://m.stock.naver.com/research/company/90289" TargetMode="External"/><Relationship Id="rId8179" Type="http://schemas.openxmlformats.org/officeDocument/2006/relationships/hyperlink" Target="https://m.stock.naver.com/research/company/85059" TargetMode="External"/><Relationship Id="rId12558" Type="http://schemas.openxmlformats.org/officeDocument/2006/relationships/hyperlink" Target="https://m.stock.naver.com/research/company/80650" TargetMode="External"/><Relationship Id="rId13609" Type="http://schemas.openxmlformats.org/officeDocument/2006/relationships/hyperlink" Target="https://m.stock.naver.com/research/company/79595" TargetMode="External"/><Relationship Id="rId936" Type="http://schemas.openxmlformats.org/officeDocument/2006/relationships/hyperlink" Target="https://m.stock.naver.com/research/company/92520" TargetMode="External"/><Relationship Id="rId1219" Type="http://schemas.openxmlformats.org/officeDocument/2006/relationships/hyperlink" Target="https://m.stock.naver.com/research/company/92036" TargetMode="External"/><Relationship Id="rId1566" Type="http://schemas.openxmlformats.org/officeDocument/2006/relationships/hyperlink" Target="https://m.stock.naver.com/research/company/91689" TargetMode="External"/><Relationship Id="rId2617" Type="http://schemas.openxmlformats.org/officeDocument/2006/relationships/hyperlink" Target="https://m.stock.naver.com/research/company/90637" TargetMode="External"/><Relationship Id="rId15031" Type="http://schemas.openxmlformats.org/officeDocument/2006/relationships/hyperlink" Target="https://m.stock.naver.com/research/company/94937" TargetMode="External"/><Relationship Id="rId4789" Type="http://schemas.openxmlformats.org/officeDocument/2006/relationships/hyperlink" Target="https://m.stock.naver.com/research/company/88451" TargetMode="External"/><Relationship Id="rId8660" Type="http://schemas.openxmlformats.org/officeDocument/2006/relationships/hyperlink" Target="https://m.stock.naver.com/research/company/84577" TargetMode="External"/><Relationship Id="rId9711" Type="http://schemas.openxmlformats.org/officeDocument/2006/relationships/hyperlink" Target="https://m.stock.naver.com/research/company/83512" TargetMode="External"/><Relationship Id="rId10590" Type="http://schemas.openxmlformats.org/officeDocument/2006/relationships/hyperlink" Target="https://m.stock.naver.com/research/company/82630" TargetMode="External"/><Relationship Id="rId11641" Type="http://schemas.openxmlformats.org/officeDocument/2006/relationships/hyperlink" Target="https://m.stock.naver.com/research/company/81571" TargetMode="External"/><Relationship Id="rId1700" Type="http://schemas.openxmlformats.org/officeDocument/2006/relationships/hyperlink" Target="https://m.stock.naver.com/research/company/91555" TargetMode="External"/><Relationship Id="rId7262" Type="http://schemas.openxmlformats.org/officeDocument/2006/relationships/hyperlink" Target="https://m.stock.naver.com/research/company/85977" TargetMode="External"/><Relationship Id="rId8313" Type="http://schemas.openxmlformats.org/officeDocument/2006/relationships/hyperlink" Target="https://m.stock.naver.com/research/company/84925" TargetMode="External"/><Relationship Id="rId10243" Type="http://schemas.openxmlformats.org/officeDocument/2006/relationships/hyperlink" Target="https://m.stock.naver.com/research/company/82978" TargetMode="External"/><Relationship Id="rId3872" Type="http://schemas.openxmlformats.org/officeDocument/2006/relationships/hyperlink" Target="https://m.stock.naver.com/research/company/89379" TargetMode="External"/><Relationship Id="rId13466" Type="http://schemas.openxmlformats.org/officeDocument/2006/relationships/hyperlink" Target="https://m.stock.naver.com/research/company/79738" TargetMode="External"/><Relationship Id="rId14864" Type="http://schemas.openxmlformats.org/officeDocument/2006/relationships/hyperlink" Target="https://m.stock.naver.com/research/company/94760" TargetMode="External"/><Relationship Id="rId793" Type="http://schemas.openxmlformats.org/officeDocument/2006/relationships/hyperlink" Target="https://m.stock.naver.com/research/company/92663" TargetMode="External"/><Relationship Id="rId2474" Type="http://schemas.openxmlformats.org/officeDocument/2006/relationships/hyperlink" Target="https://m.stock.naver.com/research/company/90780" TargetMode="External"/><Relationship Id="rId3525" Type="http://schemas.openxmlformats.org/officeDocument/2006/relationships/hyperlink" Target="https://m.stock.naver.com/research/company/89726" TargetMode="External"/><Relationship Id="rId4923" Type="http://schemas.openxmlformats.org/officeDocument/2006/relationships/hyperlink" Target="https://m.stock.naver.com/research/company/88317" TargetMode="External"/><Relationship Id="rId9087" Type="http://schemas.openxmlformats.org/officeDocument/2006/relationships/hyperlink" Target="https://m.stock.naver.com/research/company/84143" TargetMode="External"/><Relationship Id="rId12068" Type="http://schemas.openxmlformats.org/officeDocument/2006/relationships/hyperlink" Target="https://m.stock.naver.com/research/company/81143" TargetMode="External"/><Relationship Id="rId13119" Type="http://schemas.openxmlformats.org/officeDocument/2006/relationships/hyperlink" Target="https://m.stock.naver.com/research/company/80088" TargetMode="External"/><Relationship Id="rId14517" Type="http://schemas.openxmlformats.org/officeDocument/2006/relationships/hyperlink" Target="https://m.stock.naver.com/research/company/94393" TargetMode="External"/><Relationship Id="rId446" Type="http://schemas.openxmlformats.org/officeDocument/2006/relationships/hyperlink" Target="https://m.stock.naver.com/research/company/93011" TargetMode="External"/><Relationship Id="rId1076" Type="http://schemas.openxmlformats.org/officeDocument/2006/relationships/hyperlink" Target="https://m.stock.naver.com/research/company/92180" TargetMode="External"/><Relationship Id="rId2127" Type="http://schemas.openxmlformats.org/officeDocument/2006/relationships/hyperlink" Target="https://m.stock.naver.com/research/company/91128" TargetMode="External"/><Relationship Id="rId4299" Type="http://schemas.openxmlformats.org/officeDocument/2006/relationships/hyperlink" Target="https://m.stock.naver.com/research/company/88942" TargetMode="External"/><Relationship Id="rId5697" Type="http://schemas.openxmlformats.org/officeDocument/2006/relationships/hyperlink" Target="https://m.stock.naver.com/research/company/87543" TargetMode="External"/><Relationship Id="rId6748" Type="http://schemas.openxmlformats.org/officeDocument/2006/relationships/hyperlink" Target="https://m.stock.naver.com/research/company/86492" TargetMode="External"/><Relationship Id="rId8170" Type="http://schemas.openxmlformats.org/officeDocument/2006/relationships/hyperlink" Target="https://m.stock.naver.com/research/company/85068" TargetMode="External"/><Relationship Id="rId13600" Type="http://schemas.openxmlformats.org/officeDocument/2006/relationships/hyperlink" Target="https://m.stock.naver.com/research/company/79604" TargetMode="External"/><Relationship Id="rId9221" Type="http://schemas.openxmlformats.org/officeDocument/2006/relationships/hyperlink" Target="https://m.stock.naver.com/research/company/84009" TargetMode="External"/><Relationship Id="rId11151" Type="http://schemas.openxmlformats.org/officeDocument/2006/relationships/hyperlink" Target="https://m.stock.naver.com/research/company/82069" TargetMode="External"/><Relationship Id="rId12202" Type="http://schemas.openxmlformats.org/officeDocument/2006/relationships/hyperlink" Target="https://m.stock.naver.com/research/company/81008" TargetMode="External"/><Relationship Id="rId1210" Type="http://schemas.openxmlformats.org/officeDocument/2006/relationships/hyperlink" Target="https://m.stock.naver.com/research/company/92045" TargetMode="External"/><Relationship Id="rId4780" Type="http://schemas.openxmlformats.org/officeDocument/2006/relationships/hyperlink" Target="https://m.stock.naver.com/research/company/88460" TargetMode="External"/><Relationship Id="rId5831" Type="http://schemas.openxmlformats.org/officeDocument/2006/relationships/hyperlink" Target="https://m.stock.naver.com/research/company/87409" TargetMode="External"/><Relationship Id="rId14374" Type="http://schemas.openxmlformats.org/officeDocument/2006/relationships/hyperlink" Target="https://m.stock.naver.com/research/company/94238" TargetMode="External"/><Relationship Id="rId15425" Type="http://schemas.openxmlformats.org/officeDocument/2006/relationships/hyperlink" Target="https://m.stock.naver.com/research/company/95362" TargetMode="External"/><Relationship Id="rId3382" Type="http://schemas.openxmlformats.org/officeDocument/2006/relationships/hyperlink" Target="https://m.stock.naver.com/research/company/89869" TargetMode="External"/><Relationship Id="rId4433" Type="http://schemas.openxmlformats.org/officeDocument/2006/relationships/hyperlink" Target="https://m.stock.naver.com/research/company/88808" TargetMode="External"/><Relationship Id="rId14027" Type="http://schemas.openxmlformats.org/officeDocument/2006/relationships/hyperlink" Target="https://m.stock.naver.com/research/company/93820" TargetMode="External"/><Relationship Id="rId3035" Type="http://schemas.openxmlformats.org/officeDocument/2006/relationships/hyperlink" Target="https://m.stock.naver.com/research/company/90216" TargetMode="External"/><Relationship Id="rId7656" Type="http://schemas.openxmlformats.org/officeDocument/2006/relationships/hyperlink" Target="https://m.stock.naver.com/research/company/85583" TargetMode="External"/><Relationship Id="rId8707" Type="http://schemas.openxmlformats.org/officeDocument/2006/relationships/hyperlink" Target="https://m.stock.naver.com/research/company/84530" TargetMode="External"/><Relationship Id="rId10984" Type="http://schemas.openxmlformats.org/officeDocument/2006/relationships/hyperlink" Target="https://m.stock.naver.com/research/company/82236" TargetMode="External"/><Relationship Id="rId6258" Type="http://schemas.openxmlformats.org/officeDocument/2006/relationships/hyperlink" Target="https://m.stock.naver.com/research/company/86982" TargetMode="External"/><Relationship Id="rId7309" Type="http://schemas.openxmlformats.org/officeDocument/2006/relationships/hyperlink" Target="https://m.stock.naver.com/research/company/85930" TargetMode="External"/><Relationship Id="rId10637" Type="http://schemas.openxmlformats.org/officeDocument/2006/relationships/hyperlink" Target="https://m.stock.naver.com/research/company/82583" TargetMode="External"/><Relationship Id="rId13110" Type="http://schemas.openxmlformats.org/officeDocument/2006/relationships/hyperlink" Target="https://m.stock.naver.com/research/company/80097" TargetMode="External"/><Relationship Id="rId2868" Type="http://schemas.openxmlformats.org/officeDocument/2006/relationships/hyperlink" Target="https://m.stock.naver.com/research/company/90385" TargetMode="External"/><Relationship Id="rId3919" Type="http://schemas.openxmlformats.org/officeDocument/2006/relationships/hyperlink" Target="https://m.stock.naver.com/research/company/89332" TargetMode="External"/><Relationship Id="rId15282" Type="http://schemas.openxmlformats.org/officeDocument/2006/relationships/hyperlink" Target="https://m.stock.naver.com/research/company/95078" TargetMode="External"/><Relationship Id="rId4290" Type="http://schemas.openxmlformats.org/officeDocument/2006/relationships/hyperlink" Target="https://m.stock.naver.com/research/company/88951" TargetMode="External"/><Relationship Id="rId5341" Type="http://schemas.openxmlformats.org/officeDocument/2006/relationships/hyperlink" Target="https://m.stock.naver.com/research/company/87899" TargetMode="External"/><Relationship Id="rId9962" Type="http://schemas.openxmlformats.org/officeDocument/2006/relationships/hyperlink" Target="https://m.stock.naver.com/research/company/83259" TargetMode="External"/><Relationship Id="rId11892" Type="http://schemas.openxmlformats.org/officeDocument/2006/relationships/hyperlink" Target="https://m.stock.naver.com/research/company/81319" TargetMode="External"/><Relationship Id="rId1951" Type="http://schemas.openxmlformats.org/officeDocument/2006/relationships/hyperlink" Target="https://m.stock.naver.com/research/company/91304" TargetMode="External"/><Relationship Id="rId8564" Type="http://schemas.openxmlformats.org/officeDocument/2006/relationships/hyperlink" Target="https://m.stock.naver.com/research/company/84673" TargetMode="External"/><Relationship Id="rId9615" Type="http://schemas.openxmlformats.org/officeDocument/2006/relationships/hyperlink" Target="https://m.stock.naver.com/research/company/83610" TargetMode="External"/><Relationship Id="rId10494" Type="http://schemas.openxmlformats.org/officeDocument/2006/relationships/hyperlink" Target="https://m.stock.naver.com/research/company/82726" TargetMode="External"/><Relationship Id="rId11545" Type="http://schemas.openxmlformats.org/officeDocument/2006/relationships/hyperlink" Target="https://m.stock.naver.com/research/company/81669" TargetMode="External"/><Relationship Id="rId12943" Type="http://schemas.openxmlformats.org/officeDocument/2006/relationships/hyperlink" Target="https://m.stock.naver.com/research/company/80265" TargetMode="External"/><Relationship Id="rId1604" Type="http://schemas.openxmlformats.org/officeDocument/2006/relationships/hyperlink" Target="https://m.stock.naver.com/research/company/91651" TargetMode="External"/><Relationship Id="rId7166" Type="http://schemas.openxmlformats.org/officeDocument/2006/relationships/hyperlink" Target="https://m.stock.naver.com/research/company/86073" TargetMode="External"/><Relationship Id="rId8217" Type="http://schemas.openxmlformats.org/officeDocument/2006/relationships/hyperlink" Target="https://m.stock.naver.com/research/company/85021" TargetMode="External"/><Relationship Id="rId10147" Type="http://schemas.openxmlformats.org/officeDocument/2006/relationships/hyperlink" Target="https://m.stock.naver.com/research/company/83074" TargetMode="External"/><Relationship Id="rId14768" Type="http://schemas.openxmlformats.org/officeDocument/2006/relationships/hyperlink" Target="https://m.stock.naver.com/research/company/94632" TargetMode="External"/><Relationship Id="rId697" Type="http://schemas.openxmlformats.org/officeDocument/2006/relationships/hyperlink" Target="https://m.stock.naver.com/research/company/92759" TargetMode="External"/><Relationship Id="rId2378" Type="http://schemas.openxmlformats.org/officeDocument/2006/relationships/hyperlink" Target="https://m.stock.naver.com/research/company/90876" TargetMode="External"/><Relationship Id="rId3429" Type="http://schemas.openxmlformats.org/officeDocument/2006/relationships/hyperlink" Target="https://m.stock.naver.com/research/company/89822" TargetMode="External"/><Relationship Id="rId3776" Type="http://schemas.openxmlformats.org/officeDocument/2006/relationships/hyperlink" Target="https://m.stock.naver.com/research/company/89475" TargetMode="External"/><Relationship Id="rId4827" Type="http://schemas.openxmlformats.org/officeDocument/2006/relationships/hyperlink" Target="https://m.stock.naver.com/research/company/88413" TargetMode="External"/><Relationship Id="rId6999" Type="http://schemas.openxmlformats.org/officeDocument/2006/relationships/hyperlink" Target="https://m.stock.naver.com/research/company/86240" TargetMode="External"/><Relationship Id="rId7300" Type="http://schemas.openxmlformats.org/officeDocument/2006/relationships/hyperlink" Target="https://m.stock.naver.com/research/company/85939" TargetMode="External"/><Relationship Id="rId13851" Type="http://schemas.openxmlformats.org/officeDocument/2006/relationships/hyperlink" Target="https://m.stock.naver.com/research/company/93631" TargetMode="External"/><Relationship Id="rId14902" Type="http://schemas.openxmlformats.org/officeDocument/2006/relationships/hyperlink" Target="https://m.stock.naver.com/research/company/94722" TargetMode="External"/><Relationship Id="rId3910" Type="http://schemas.openxmlformats.org/officeDocument/2006/relationships/hyperlink" Target="https://m.stock.naver.com/research/company/89341" TargetMode="External"/><Relationship Id="rId9472" Type="http://schemas.openxmlformats.org/officeDocument/2006/relationships/hyperlink" Target="https://m.stock.naver.com/research/company/83755" TargetMode="External"/><Relationship Id="rId12453" Type="http://schemas.openxmlformats.org/officeDocument/2006/relationships/hyperlink" Target="https://m.stock.naver.com/research/company/80756" TargetMode="External"/><Relationship Id="rId13504" Type="http://schemas.openxmlformats.org/officeDocument/2006/relationships/hyperlink" Target="https://m.stock.naver.com/research/company/79700" TargetMode="External"/><Relationship Id="rId831" Type="http://schemas.openxmlformats.org/officeDocument/2006/relationships/hyperlink" Target="https://m.stock.naver.com/research/company/92625" TargetMode="External"/><Relationship Id="rId1461" Type="http://schemas.openxmlformats.org/officeDocument/2006/relationships/hyperlink" Target="https://m.stock.naver.com/research/company/91794" TargetMode="External"/><Relationship Id="rId2512" Type="http://schemas.openxmlformats.org/officeDocument/2006/relationships/hyperlink" Target="https://m.stock.naver.com/research/company/90742" TargetMode="External"/><Relationship Id="rId8074" Type="http://schemas.openxmlformats.org/officeDocument/2006/relationships/hyperlink" Target="https://m.stock.naver.com/research/company/85164" TargetMode="External"/><Relationship Id="rId9125" Type="http://schemas.openxmlformats.org/officeDocument/2006/relationships/hyperlink" Target="https://m.stock.naver.com/research/company/84105" TargetMode="External"/><Relationship Id="rId11055" Type="http://schemas.openxmlformats.org/officeDocument/2006/relationships/hyperlink" Target="https://m.stock.naver.com/research/company/82165" TargetMode="External"/><Relationship Id="rId12106" Type="http://schemas.openxmlformats.org/officeDocument/2006/relationships/hyperlink" Target="https://m.stock.naver.com/research/company/81105" TargetMode="External"/><Relationship Id="rId15676" Type="http://schemas.openxmlformats.org/officeDocument/2006/relationships/hyperlink" Target="https://m.stock.naver.com/research/company/95738" TargetMode="External"/><Relationship Id="rId1114" Type="http://schemas.openxmlformats.org/officeDocument/2006/relationships/hyperlink" Target="https://m.stock.naver.com/research/company/92141" TargetMode="External"/><Relationship Id="rId4684" Type="http://schemas.openxmlformats.org/officeDocument/2006/relationships/hyperlink" Target="https://m.stock.naver.com/research/company/88556" TargetMode="External"/><Relationship Id="rId5735" Type="http://schemas.openxmlformats.org/officeDocument/2006/relationships/hyperlink" Target="https://m.stock.naver.com/research/company/87505" TargetMode="External"/><Relationship Id="rId14278" Type="http://schemas.openxmlformats.org/officeDocument/2006/relationships/hyperlink" Target="https://m.stock.naver.com/research/company/94186" TargetMode="External"/><Relationship Id="rId15329" Type="http://schemas.openxmlformats.org/officeDocument/2006/relationships/hyperlink" Target="https://m.stock.naver.com/research/company/95259" TargetMode="External"/><Relationship Id="rId3286" Type="http://schemas.openxmlformats.org/officeDocument/2006/relationships/hyperlink" Target="https://m.stock.naver.com/research/company/89964" TargetMode="External"/><Relationship Id="rId4337" Type="http://schemas.openxmlformats.org/officeDocument/2006/relationships/hyperlink" Target="https://m.stock.naver.com/research/company/88904" TargetMode="External"/><Relationship Id="rId8958" Type="http://schemas.openxmlformats.org/officeDocument/2006/relationships/hyperlink" Target="https://m.stock.naver.com/research/company/84274" TargetMode="External"/><Relationship Id="rId10888" Type="http://schemas.openxmlformats.org/officeDocument/2006/relationships/hyperlink" Target="https://m.stock.naver.com/research/company/82332" TargetMode="External"/><Relationship Id="rId11939" Type="http://schemas.openxmlformats.org/officeDocument/2006/relationships/hyperlink" Target="https://m.stock.naver.com/research/company/81272" TargetMode="External"/><Relationship Id="rId13361" Type="http://schemas.openxmlformats.org/officeDocument/2006/relationships/hyperlink" Target="https://m.stock.naver.com/research/company/79844" TargetMode="External"/><Relationship Id="rId14412" Type="http://schemas.openxmlformats.org/officeDocument/2006/relationships/hyperlink" Target="https://m.stock.naver.com/research/company/94271" TargetMode="External"/><Relationship Id="rId3420" Type="http://schemas.openxmlformats.org/officeDocument/2006/relationships/hyperlink" Target="https://m.stock.naver.com/research/company/89831" TargetMode="External"/><Relationship Id="rId6990" Type="http://schemas.openxmlformats.org/officeDocument/2006/relationships/hyperlink" Target="https://m.stock.naver.com/research/company/86249" TargetMode="External"/><Relationship Id="rId13014" Type="http://schemas.openxmlformats.org/officeDocument/2006/relationships/hyperlink" Target="https://m.stock.naver.com/research/company/80194" TargetMode="External"/><Relationship Id="rId341" Type="http://schemas.openxmlformats.org/officeDocument/2006/relationships/hyperlink" Target="https://m.stock.naver.com/research/company/93117" TargetMode="External"/><Relationship Id="rId2022" Type="http://schemas.openxmlformats.org/officeDocument/2006/relationships/hyperlink" Target="https://m.stock.naver.com/research/company/91233" TargetMode="External"/><Relationship Id="rId5592" Type="http://schemas.openxmlformats.org/officeDocument/2006/relationships/hyperlink" Target="https://m.stock.naver.com/research/company/87648" TargetMode="External"/><Relationship Id="rId6643" Type="http://schemas.openxmlformats.org/officeDocument/2006/relationships/hyperlink" Target="https://m.stock.naver.com/research/company/86597" TargetMode="External"/><Relationship Id="rId15186" Type="http://schemas.openxmlformats.org/officeDocument/2006/relationships/hyperlink" Target="https://m.stock.naver.com/research/company/95174" TargetMode="External"/><Relationship Id="rId4194" Type="http://schemas.openxmlformats.org/officeDocument/2006/relationships/hyperlink" Target="https://m.stock.naver.com/research/company/89048" TargetMode="External"/><Relationship Id="rId5245" Type="http://schemas.openxmlformats.org/officeDocument/2006/relationships/hyperlink" Target="https://m.stock.naver.com/research/company/87995" TargetMode="External"/><Relationship Id="rId9866" Type="http://schemas.openxmlformats.org/officeDocument/2006/relationships/hyperlink" Target="https://m.stock.naver.com/research/company/83356" TargetMode="External"/><Relationship Id="rId8468" Type="http://schemas.openxmlformats.org/officeDocument/2006/relationships/hyperlink" Target="https://m.stock.naver.com/research/company/84769" TargetMode="External"/><Relationship Id="rId9519" Type="http://schemas.openxmlformats.org/officeDocument/2006/relationships/hyperlink" Target="https://m.stock.naver.com/research/company/83708" TargetMode="External"/><Relationship Id="rId10398" Type="http://schemas.openxmlformats.org/officeDocument/2006/relationships/hyperlink" Target="https://m.stock.naver.com/research/company/82823" TargetMode="External"/><Relationship Id="rId11796" Type="http://schemas.openxmlformats.org/officeDocument/2006/relationships/hyperlink" Target="https://m.stock.naver.com/research/company/81416" TargetMode="External"/><Relationship Id="rId12847" Type="http://schemas.openxmlformats.org/officeDocument/2006/relationships/hyperlink" Target="https://m.stock.naver.com/research/company/80361" TargetMode="External"/><Relationship Id="rId1508" Type="http://schemas.openxmlformats.org/officeDocument/2006/relationships/hyperlink" Target="https://m.stock.naver.com/research/company/91747" TargetMode="External"/><Relationship Id="rId1855" Type="http://schemas.openxmlformats.org/officeDocument/2006/relationships/hyperlink" Target="https://m.stock.naver.com/research/company/91400" TargetMode="External"/><Relationship Id="rId2906" Type="http://schemas.openxmlformats.org/officeDocument/2006/relationships/hyperlink" Target="https://m.stock.naver.com/research/company/90347" TargetMode="External"/><Relationship Id="rId11449" Type="http://schemas.openxmlformats.org/officeDocument/2006/relationships/hyperlink" Target="https://m.stock.naver.com/research/company/81766" TargetMode="External"/><Relationship Id="rId15320" Type="http://schemas.openxmlformats.org/officeDocument/2006/relationships/hyperlink" Target="https://m.stock.naver.com/research/company/95268" TargetMode="External"/><Relationship Id="rId11930" Type="http://schemas.openxmlformats.org/officeDocument/2006/relationships/hyperlink" Target="https://m.stock.naver.com/research/company/81281" TargetMode="External"/><Relationship Id="rId7551" Type="http://schemas.openxmlformats.org/officeDocument/2006/relationships/hyperlink" Target="https://m.stock.naver.com/research/company/85688" TargetMode="External"/><Relationship Id="rId8602" Type="http://schemas.openxmlformats.org/officeDocument/2006/relationships/hyperlink" Target="https://m.stock.naver.com/research/company/84635" TargetMode="External"/><Relationship Id="rId10532" Type="http://schemas.openxmlformats.org/officeDocument/2006/relationships/hyperlink" Target="https://m.stock.naver.com/research/company/82688" TargetMode="External"/><Relationship Id="rId6153" Type="http://schemas.openxmlformats.org/officeDocument/2006/relationships/hyperlink" Target="https://m.stock.naver.com/research/company/87087" TargetMode="External"/><Relationship Id="rId7204" Type="http://schemas.openxmlformats.org/officeDocument/2006/relationships/hyperlink" Target="https://m.stock.naver.com/research/company/86035" TargetMode="External"/><Relationship Id="rId13755" Type="http://schemas.openxmlformats.org/officeDocument/2006/relationships/hyperlink" Target="https://m.stock.naver.com/research/company/93530" TargetMode="External"/><Relationship Id="rId2763" Type="http://schemas.openxmlformats.org/officeDocument/2006/relationships/hyperlink" Target="https://m.stock.naver.com/research/company/90491" TargetMode="External"/><Relationship Id="rId3814" Type="http://schemas.openxmlformats.org/officeDocument/2006/relationships/hyperlink" Target="https://m.stock.naver.com/research/company/89437" TargetMode="External"/><Relationship Id="rId9376" Type="http://schemas.openxmlformats.org/officeDocument/2006/relationships/hyperlink" Target="https://m.stock.naver.com/research/company/83851" TargetMode="External"/><Relationship Id="rId12357" Type="http://schemas.openxmlformats.org/officeDocument/2006/relationships/hyperlink" Target="https://m.stock.naver.com/research/company/80852" TargetMode="External"/><Relationship Id="rId13408" Type="http://schemas.openxmlformats.org/officeDocument/2006/relationships/hyperlink" Target="https://m.stock.naver.com/research/company/79797" TargetMode="External"/><Relationship Id="rId14806" Type="http://schemas.openxmlformats.org/officeDocument/2006/relationships/hyperlink" Target="https://m.stock.naver.com/research/company/94594" TargetMode="External"/><Relationship Id="rId735" Type="http://schemas.openxmlformats.org/officeDocument/2006/relationships/hyperlink" Target="https://m.stock.naver.com/research/company/92721" TargetMode="External"/><Relationship Id="rId1365" Type="http://schemas.openxmlformats.org/officeDocument/2006/relationships/hyperlink" Target="https://m.stock.naver.com/research/company/91890" TargetMode="External"/><Relationship Id="rId2416" Type="http://schemas.openxmlformats.org/officeDocument/2006/relationships/hyperlink" Target="https://m.stock.naver.com/research/company/90838" TargetMode="External"/><Relationship Id="rId9029" Type="http://schemas.openxmlformats.org/officeDocument/2006/relationships/hyperlink" Target="https://m.stock.naver.com/research/company/84203" TargetMode="External"/><Relationship Id="rId1018" Type="http://schemas.openxmlformats.org/officeDocument/2006/relationships/hyperlink" Target="https://m.stock.naver.com/research/company/92333" TargetMode="External"/><Relationship Id="rId4588" Type="http://schemas.openxmlformats.org/officeDocument/2006/relationships/hyperlink" Target="https://m.stock.naver.com/research/company/88652" TargetMode="External"/><Relationship Id="rId5639" Type="http://schemas.openxmlformats.org/officeDocument/2006/relationships/hyperlink" Target="https://m.stock.naver.com/research/company/87601" TargetMode="External"/><Relationship Id="rId5986" Type="http://schemas.openxmlformats.org/officeDocument/2006/relationships/hyperlink" Target="https://m.stock.naver.com/research/company/87254" TargetMode="External"/><Relationship Id="rId71" Type="http://schemas.openxmlformats.org/officeDocument/2006/relationships/hyperlink" Target="https://m.stock.naver.com/research/company/93387" TargetMode="External"/><Relationship Id="rId7061" Type="http://schemas.openxmlformats.org/officeDocument/2006/relationships/hyperlink" Target="https://m.stock.naver.com/research/company/86178" TargetMode="External"/><Relationship Id="rId8112" Type="http://schemas.openxmlformats.org/officeDocument/2006/relationships/hyperlink" Target="https://m.stock.naver.com/research/company/85126" TargetMode="External"/><Relationship Id="rId9510" Type="http://schemas.openxmlformats.org/officeDocument/2006/relationships/hyperlink" Target="https://m.stock.naver.com/research/company/83717" TargetMode="External"/><Relationship Id="rId11440" Type="http://schemas.openxmlformats.org/officeDocument/2006/relationships/hyperlink" Target="https://m.stock.naver.com/research/company/81775" TargetMode="External"/><Relationship Id="rId10042" Type="http://schemas.openxmlformats.org/officeDocument/2006/relationships/hyperlink" Target="https://m.stock.naver.com/research/company/83179" TargetMode="External"/><Relationship Id="rId14663" Type="http://schemas.openxmlformats.org/officeDocument/2006/relationships/hyperlink" Target="https://m.stock.naver.com/research/company/94515" TargetMode="External"/><Relationship Id="rId15714" Type="http://schemas.openxmlformats.org/officeDocument/2006/relationships/hyperlink" Target="https://m.stock.naver.com/research/company/95700" TargetMode="External"/><Relationship Id="rId3671" Type="http://schemas.openxmlformats.org/officeDocument/2006/relationships/hyperlink" Target="https://m.stock.naver.com/research/company/89580" TargetMode="External"/><Relationship Id="rId4722" Type="http://schemas.openxmlformats.org/officeDocument/2006/relationships/hyperlink" Target="https://m.stock.naver.com/research/company/88518" TargetMode="External"/><Relationship Id="rId13265" Type="http://schemas.openxmlformats.org/officeDocument/2006/relationships/hyperlink" Target="https://m.stock.naver.com/research/company/79941" TargetMode="External"/><Relationship Id="rId14316" Type="http://schemas.openxmlformats.org/officeDocument/2006/relationships/hyperlink" Target="https://m.stock.naver.com/research/company/94148" TargetMode="External"/><Relationship Id="rId592" Type="http://schemas.openxmlformats.org/officeDocument/2006/relationships/hyperlink" Target="https://m.stock.naver.com/research/company/92865" TargetMode="External"/><Relationship Id="rId2273" Type="http://schemas.openxmlformats.org/officeDocument/2006/relationships/hyperlink" Target="https://m.stock.naver.com/research/company/90982" TargetMode="External"/><Relationship Id="rId3324" Type="http://schemas.openxmlformats.org/officeDocument/2006/relationships/hyperlink" Target="https://m.stock.naver.com/research/company/89926" TargetMode="External"/><Relationship Id="rId6894" Type="http://schemas.openxmlformats.org/officeDocument/2006/relationships/hyperlink" Target="https://m.stock.naver.com/research/company/86345" TargetMode="External"/><Relationship Id="rId7945" Type="http://schemas.openxmlformats.org/officeDocument/2006/relationships/hyperlink" Target="https://m.stock.naver.com/research/company/85293" TargetMode="External"/><Relationship Id="rId245" Type="http://schemas.openxmlformats.org/officeDocument/2006/relationships/hyperlink" Target="https://m.stock.naver.com/research/company/93213" TargetMode="External"/><Relationship Id="rId5496" Type="http://schemas.openxmlformats.org/officeDocument/2006/relationships/hyperlink" Target="https://m.stock.naver.com/research/company/87744" TargetMode="External"/><Relationship Id="rId6547" Type="http://schemas.openxmlformats.org/officeDocument/2006/relationships/hyperlink" Target="https://m.stock.naver.com/research/company/86693" TargetMode="External"/><Relationship Id="rId10926" Type="http://schemas.openxmlformats.org/officeDocument/2006/relationships/hyperlink" Target="https://m.stock.naver.com/research/company/82294" TargetMode="External"/><Relationship Id="rId4098" Type="http://schemas.openxmlformats.org/officeDocument/2006/relationships/hyperlink" Target="https://m.stock.naver.com/research/company/89153" TargetMode="External"/><Relationship Id="rId5149" Type="http://schemas.openxmlformats.org/officeDocument/2006/relationships/hyperlink" Target="https://m.stock.naver.com/research/company/88091" TargetMode="External"/><Relationship Id="rId9020" Type="http://schemas.openxmlformats.org/officeDocument/2006/relationships/hyperlink" Target="https://m.stock.naver.com/research/company/84212" TargetMode="External"/><Relationship Id="rId12001" Type="http://schemas.openxmlformats.org/officeDocument/2006/relationships/hyperlink" Target="https://m.stock.naver.com/research/company/81210" TargetMode="External"/><Relationship Id="rId15571" Type="http://schemas.openxmlformats.org/officeDocument/2006/relationships/hyperlink" Target="https://m.stock.naver.com/research/company/95465" TargetMode="External"/><Relationship Id="rId1759" Type="http://schemas.openxmlformats.org/officeDocument/2006/relationships/hyperlink" Target="https://m.stock.naver.com/research/company/91496" TargetMode="External"/><Relationship Id="rId3181" Type="http://schemas.openxmlformats.org/officeDocument/2006/relationships/hyperlink" Target="https://m.stock.naver.com/research/company/90070" TargetMode="External"/><Relationship Id="rId5630" Type="http://schemas.openxmlformats.org/officeDocument/2006/relationships/hyperlink" Target="https://m.stock.naver.com/research/company/87610" TargetMode="External"/><Relationship Id="rId14173" Type="http://schemas.openxmlformats.org/officeDocument/2006/relationships/hyperlink" Target="https://m.stock.naver.com/research/company/93955" TargetMode="External"/><Relationship Id="rId15224" Type="http://schemas.openxmlformats.org/officeDocument/2006/relationships/hyperlink" Target="https://m.stock.naver.com/research/company/95136" TargetMode="External"/><Relationship Id="rId4232" Type="http://schemas.openxmlformats.org/officeDocument/2006/relationships/hyperlink" Target="https://m.stock.naver.com/research/company/89010" TargetMode="External"/><Relationship Id="rId8853" Type="http://schemas.openxmlformats.org/officeDocument/2006/relationships/hyperlink" Target="https://m.stock.naver.com/research/company/84384" TargetMode="External"/><Relationship Id="rId9904" Type="http://schemas.openxmlformats.org/officeDocument/2006/relationships/hyperlink" Target="https://m.stock.naver.com/research/company/83318" TargetMode="External"/><Relationship Id="rId10783" Type="http://schemas.openxmlformats.org/officeDocument/2006/relationships/hyperlink" Target="https://m.stock.naver.com/research/company/82437" TargetMode="External"/><Relationship Id="rId11834" Type="http://schemas.openxmlformats.org/officeDocument/2006/relationships/hyperlink" Target="https://m.stock.naver.com/research/company/81378" TargetMode="External"/><Relationship Id="rId7455" Type="http://schemas.openxmlformats.org/officeDocument/2006/relationships/hyperlink" Target="https://m.stock.naver.com/research/company/85784" TargetMode="External"/><Relationship Id="rId8506" Type="http://schemas.openxmlformats.org/officeDocument/2006/relationships/hyperlink" Target="https://m.stock.naver.com/research/company/84731" TargetMode="External"/><Relationship Id="rId10436" Type="http://schemas.openxmlformats.org/officeDocument/2006/relationships/hyperlink" Target="https://m.stock.naver.com/research/company/82785" TargetMode="External"/><Relationship Id="rId6057" Type="http://schemas.openxmlformats.org/officeDocument/2006/relationships/hyperlink" Target="https://m.stock.naver.com/research/company/87183" TargetMode="External"/><Relationship Id="rId7108" Type="http://schemas.openxmlformats.org/officeDocument/2006/relationships/hyperlink" Target="https://m.stock.naver.com/research/company/86131" TargetMode="External"/><Relationship Id="rId986" Type="http://schemas.openxmlformats.org/officeDocument/2006/relationships/hyperlink" Target="https://m.stock.naver.com/research/company/92470" TargetMode="External"/><Relationship Id="rId2667" Type="http://schemas.openxmlformats.org/officeDocument/2006/relationships/hyperlink" Target="https://m.stock.naver.com/research/company/90587" TargetMode="External"/><Relationship Id="rId3718" Type="http://schemas.openxmlformats.org/officeDocument/2006/relationships/hyperlink" Target="https://m.stock.naver.com/research/company/89533" TargetMode="External"/><Relationship Id="rId13659" Type="http://schemas.openxmlformats.org/officeDocument/2006/relationships/hyperlink" Target="https://m.stock.naver.com/research/company/79545" TargetMode="External"/><Relationship Id="rId15081" Type="http://schemas.openxmlformats.org/officeDocument/2006/relationships/hyperlink" Target="https://m.stock.naver.com/research/company/95013" TargetMode="External"/><Relationship Id="rId639" Type="http://schemas.openxmlformats.org/officeDocument/2006/relationships/hyperlink" Target="https://m.stock.naver.com/research/company/92817" TargetMode="External"/><Relationship Id="rId1269" Type="http://schemas.openxmlformats.org/officeDocument/2006/relationships/hyperlink" Target="https://m.stock.naver.com/research/company/91986" TargetMode="External"/><Relationship Id="rId5140" Type="http://schemas.openxmlformats.org/officeDocument/2006/relationships/hyperlink" Target="https://m.stock.naver.com/research/company/88100" TargetMode="External"/><Relationship Id="rId9761" Type="http://schemas.openxmlformats.org/officeDocument/2006/relationships/hyperlink" Target="https://m.stock.naver.com/research/company/83462" TargetMode="External"/><Relationship Id="rId11691" Type="http://schemas.openxmlformats.org/officeDocument/2006/relationships/hyperlink" Target="https://m.stock.naver.com/research/company/81521" TargetMode="External"/><Relationship Id="rId12742" Type="http://schemas.openxmlformats.org/officeDocument/2006/relationships/hyperlink" Target="https://m.stock.naver.com/research/company/80466" TargetMode="External"/><Relationship Id="rId1750" Type="http://schemas.openxmlformats.org/officeDocument/2006/relationships/hyperlink" Target="https://m.stock.naver.com/research/company/91505" TargetMode="External"/><Relationship Id="rId2801" Type="http://schemas.openxmlformats.org/officeDocument/2006/relationships/hyperlink" Target="https://m.stock.naver.com/research/company/90453" TargetMode="External"/><Relationship Id="rId8016" Type="http://schemas.openxmlformats.org/officeDocument/2006/relationships/hyperlink" Target="https://m.stock.naver.com/research/company/85222" TargetMode="External"/><Relationship Id="rId8363" Type="http://schemas.openxmlformats.org/officeDocument/2006/relationships/hyperlink" Target="https://m.stock.naver.com/research/company/84875" TargetMode="External"/><Relationship Id="rId9414" Type="http://schemas.openxmlformats.org/officeDocument/2006/relationships/hyperlink" Target="https://m.stock.naver.com/research/company/83813" TargetMode="External"/><Relationship Id="rId10293" Type="http://schemas.openxmlformats.org/officeDocument/2006/relationships/hyperlink" Target="https://m.stock.naver.com/research/company/82928" TargetMode="External"/><Relationship Id="rId11344" Type="http://schemas.openxmlformats.org/officeDocument/2006/relationships/hyperlink" Target="https://m.stock.naver.com/research/company/81872" TargetMode="External"/><Relationship Id="rId1403" Type="http://schemas.openxmlformats.org/officeDocument/2006/relationships/hyperlink" Target="https://m.stock.naver.com/research/company/91852" TargetMode="External"/><Relationship Id="rId4973" Type="http://schemas.openxmlformats.org/officeDocument/2006/relationships/hyperlink" Target="https://m.stock.naver.com/research/company/88267" TargetMode="External"/><Relationship Id="rId14567" Type="http://schemas.openxmlformats.org/officeDocument/2006/relationships/hyperlink" Target="https://m.stock.naver.com/research/company/94343" TargetMode="External"/><Relationship Id="rId15618" Type="http://schemas.openxmlformats.org/officeDocument/2006/relationships/hyperlink" Target="https://m.stock.naver.com/research/company/95418" TargetMode="External"/><Relationship Id="rId3575" Type="http://schemas.openxmlformats.org/officeDocument/2006/relationships/hyperlink" Target="https://m.stock.naver.com/research/company/89676" TargetMode="External"/><Relationship Id="rId4626" Type="http://schemas.openxmlformats.org/officeDocument/2006/relationships/hyperlink" Target="https://m.stock.naver.com/research/company/88614" TargetMode="External"/><Relationship Id="rId13169" Type="http://schemas.openxmlformats.org/officeDocument/2006/relationships/hyperlink" Target="https://m.stock.naver.com/research/company/80038" TargetMode="External"/><Relationship Id="rId496" Type="http://schemas.openxmlformats.org/officeDocument/2006/relationships/hyperlink" Target="https://m.stock.naver.com/research/company/92961" TargetMode="External"/><Relationship Id="rId2177" Type="http://schemas.openxmlformats.org/officeDocument/2006/relationships/hyperlink" Target="https://m.stock.naver.com/research/company/91078" TargetMode="External"/><Relationship Id="rId3228" Type="http://schemas.openxmlformats.org/officeDocument/2006/relationships/hyperlink" Target="https://m.stock.naver.com/research/company/90023" TargetMode="External"/><Relationship Id="rId6798" Type="http://schemas.openxmlformats.org/officeDocument/2006/relationships/hyperlink" Target="https://m.stock.naver.com/research/company/86442" TargetMode="External"/><Relationship Id="rId7849" Type="http://schemas.openxmlformats.org/officeDocument/2006/relationships/hyperlink" Target="https://m.stock.naver.com/research/company/85389" TargetMode="External"/><Relationship Id="rId149" Type="http://schemas.openxmlformats.org/officeDocument/2006/relationships/hyperlink" Target="https://m.stock.naver.com/research/company/93309" TargetMode="External"/><Relationship Id="rId9271" Type="http://schemas.openxmlformats.org/officeDocument/2006/relationships/hyperlink" Target="https://m.stock.naver.com/research/company/83957" TargetMode="External"/><Relationship Id="rId13650" Type="http://schemas.openxmlformats.org/officeDocument/2006/relationships/hyperlink" Target="https://m.stock.naver.com/research/company/79554" TargetMode="External"/><Relationship Id="rId14701" Type="http://schemas.openxmlformats.org/officeDocument/2006/relationships/hyperlink" Target="https://m.stock.naver.com/research/company/94699" TargetMode="External"/><Relationship Id="rId1260" Type="http://schemas.openxmlformats.org/officeDocument/2006/relationships/hyperlink" Target="https://m.stock.naver.com/research/company/91995" TargetMode="External"/><Relationship Id="rId12252" Type="http://schemas.openxmlformats.org/officeDocument/2006/relationships/hyperlink" Target="https://m.stock.naver.com/research/company/80957" TargetMode="External"/><Relationship Id="rId13303" Type="http://schemas.openxmlformats.org/officeDocument/2006/relationships/hyperlink" Target="https://m.stock.naver.com/research/company/79902" TargetMode="External"/><Relationship Id="rId630" Type="http://schemas.openxmlformats.org/officeDocument/2006/relationships/hyperlink" Target="https://m.stock.naver.com/research/company/92826" TargetMode="External"/><Relationship Id="rId2311" Type="http://schemas.openxmlformats.org/officeDocument/2006/relationships/hyperlink" Target="https://m.stock.naver.com/research/company/90944" TargetMode="External"/><Relationship Id="rId5881" Type="http://schemas.openxmlformats.org/officeDocument/2006/relationships/hyperlink" Target="https://m.stock.naver.com/research/company/87359" TargetMode="External"/><Relationship Id="rId6932" Type="http://schemas.openxmlformats.org/officeDocument/2006/relationships/hyperlink" Target="https://m.stock.naver.com/research/company/86307" TargetMode="External"/><Relationship Id="rId15475" Type="http://schemas.openxmlformats.org/officeDocument/2006/relationships/hyperlink" Target="https://m.stock.naver.com/research/company/95312" TargetMode="External"/><Relationship Id="rId4483" Type="http://schemas.openxmlformats.org/officeDocument/2006/relationships/hyperlink" Target="https://m.stock.naver.com/research/company/88757" TargetMode="External"/><Relationship Id="rId5534" Type="http://schemas.openxmlformats.org/officeDocument/2006/relationships/hyperlink" Target="https://m.stock.naver.com/research/company/87706" TargetMode="External"/><Relationship Id="rId14077" Type="http://schemas.openxmlformats.org/officeDocument/2006/relationships/hyperlink" Target="https://m.stock.naver.com/research/company/93877" TargetMode="External"/><Relationship Id="rId15128" Type="http://schemas.openxmlformats.org/officeDocument/2006/relationships/hyperlink" Target="https://m.stock.naver.com/research/company/94966" TargetMode="External"/><Relationship Id="rId3085" Type="http://schemas.openxmlformats.org/officeDocument/2006/relationships/hyperlink" Target="https://m.stock.naver.com/research/company/90166" TargetMode="External"/><Relationship Id="rId4136" Type="http://schemas.openxmlformats.org/officeDocument/2006/relationships/hyperlink" Target="https://m.stock.naver.com/research/company/89115" TargetMode="External"/><Relationship Id="rId8757" Type="http://schemas.openxmlformats.org/officeDocument/2006/relationships/hyperlink" Target="https://m.stock.naver.com/research/company/84480" TargetMode="External"/><Relationship Id="rId9808" Type="http://schemas.openxmlformats.org/officeDocument/2006/relationships/hyperlink" Target="https://m.stock.naver.com/research/company/83414" TargetMode="External"/><Relationship Id="rId10687" Type="http://schemas.openxmlformats.org/officeDocument/2006/relationships/hyperlink" Target="https://m.stock.naver.com/research/company/82533" TargetMode="External"/><Relationship Id="rId7359" Type="http://schemas.openxmlformats.org/officeDocument/2006/relationships/hyperlink" Target="https://m.stock.naver.com/research/company/85880" TargetMode="External"/><Relationship Id="rId11738" Type="http://schemas.openxmlformats.org/officeDocument/2006/relationships/hyperlink" Target="https://m.stock.naver.com/research/company/81474" TargetMode="External"/><Relationship Id="rId13160" Type="http://schemas.openxmlformats.org/officeDocument/2006/relationships/hyperlink" Target="https://m.stock.naver.com/research/company/80047" TargetMode="External"/><Relationship Id="rId14211" Type="http://schemas.openxmlformats.org/officeDocument/2006/relationships/hyperlink" Target="https://m.stock.naver.com/research/company/94047" TargetMode="External"/><Relationship Id="rId140" Type="http://schemas.openxmlformats.org/officeDocument/2006/relationships/hyperlink" Target="https://m.stock.naver.com/research/company/93318" TargetMode="External"/><Relationship Id="rId3969" Type="http://schemas.openxmlformats.org/officeDocument/2006/relationships/hyperlink" Target="https://m.stock.naver.com/research/company/89282" TargetMode="External"/><Relationship Id="rId5391" Type="http://schemas.openxmlformats.org/officeDocument/2006/relationships/hyperlink" Target="https://m.stock.naver.com/research/company/87849" TargetMode="External"/><Relationship Id="rId7840" Type="http://schemas.openxmlformats.org/officeDocument/2006/relationships/hyperlink" Target="https://m.stock.naver.com/research/company/85398" TargetMode="External"/><Relationship Id="rId10821" Type="http://schemas.openxmlformats.org/officeDocument/2006/relationships/hyperlink" Target="https://m.stock.naver.com/research/company/82399" TargetMode="External"/><Relationship Id="rId6" Type="http://schemas.openxmlformats.org/officeDocument/2006/relationships/hyperlink" Target="https://m.stock.naver.com/research/company/93452" TargetMode="External"/><Relationship Id="rId5044" Type="http://schemas.openxmlformats.org/officeDocument/2006/relationships/hyperlink" Target="https://m.stock.naver.com/research/company/88196" TargetMode="External"/><Relationship Id="rId6442" Type="http://schemas.openxmlformats.org/officeDocument/2006/relationships/hyperlink" Target="https://m.stock.naver.com/research/company/86798" TargetMode="External"/><Relationship Id="rId12993" Type="http://schemas.openxmlformats.org/officeDocument/2006/relationships/hyperlink" Target="https://m.stock.naver.com/research/company/80215" TargetMode="External"/><Relationship Id="rId9665" Type="http://schemas.openxmlformats.org/officeDocument/2006/relationships/hyperlink" Target="https://m.stock.naver.com/research/company/83559" TargetMode="External"/><Relationship Id="rId11595" Type="http://schemas.openxmlformats.org/officeDocument/2006/relationships/hyperlink" Target="https://m.stock.naver.com/research/company/81617" TargetMode="External"/><Relationship Id="rId12646" Type="http://schemas.openxmlformats.org/officeDocument/2006/relationships/hyperlink" Target="https://m.stock.naver.com/research/company/80562" TargetMode="External"/><Relationship Id="rId1654" Type="http://schemas.openxmlformats.org/officeDocument/2006/relationships/hyperlink" Target="https://m.stock.naver.com/research/company/91601" TargetMode="External"/><Relationship Id="rId2705" Type="http://schemas.openxmlformats.org/officeDocument/2006/relationships/hyperlink" Target="https://m.stock.naver.com/research/company/90549" TargetMode="External"/><Relationship Id="rId8267" Type="http://schemas.openxmlformats.org/officeDocument/2006/relationships/hyperlink" Target="https://m.stock.naver.com/research/company/84971" TargetMode="External"/><Relationship Id="rId9318" Type="http://schemas.openxmlformats.org/officeDocument/2006/relationships/hyperlink" Target="https://m.stock.naver.com/research/company/83909" TargetMode="External"/><Relationship Id="rId10197" Type="http://schemas.openxmlformats.org/officeDocument/2006/relationships/hyperlink" Target="https://m.stock.naver.com/research/company/83024" TargetMode="External"/><Relationship Id="rId11248" Type="http://schemas.openxmlformats.org/officeDocument/2006/relationships/hyperlink" Target="https://m.stock.naver.com/research/company/81971" TargetMode="External"/><Relationship Id="rId1307" Type="http://schemas.openxmlformats.org/officeDocument/2006/relationships/hyperlink" Target="https://m.stock.naver.com/research/company/91948" TargetMode="External"/><Relationship Id="rId4877" Type="http://schemas.openxmlformats.org/officeDocument/2006/relationships/hyperlink" Target="https://m.stock.naver.com/research/company/88363" TargetMode="External"/><Relationship Id="rId5928" Type="http://schemas.openxmlformats.org/officeDocument/2006/relationships/hyperlink" Target="https://m.stock.naver.com/research/company/87312" TargetMode="External"/><Relationship Id="rId13" Type="http://schemas.openxmlformats.org/officeDocument/2006/relationships/hyperlink" Target="https://m.stock.naver.com/research/company/93445" TargetMode="External"/><Relationship Id="rId3479" Type="http://schemas.openxmlformats.org/officeDocument/2006/relationships/hyperlink" Target="https://m.stock.naver.com/research/company/89772" TargetMode="External"/><Relationship Id="rId7350" Type="http://schemas.openxmlformats.org/officeDocument/2006/relationships/hyperlink" Target="https://m.stock.naver.com/research/company/85889" TargetMode="External"/><Relationship Id="rId8401" Type="http://schemas.openxmlformats.org/officeDocument/2006/relationships/hyperlink" Target="https://m.stock.naver.com/research/company/84837" TargetMode="External"/><Relationship Id="rId7003" Type="http://schemas.openxmlformats.org/officeDocument/2006/relationships/hyperlink" Target="https://m.stock.naver.com/research/company/86236" TargetMode="External"/><Relationship Id="rId10331" Type="http://schemas.openxmlformats.org/officeDocument/2006/relationships/hyperlink" Target="https://m.stock.naver.com/research/company/82890" TargetMode="External"/><Relationship Id="rId14952" Type="http://schemas.openxmlformats.org/officeDocument/2006/relationships/hyperlink" Target="https://m.stock.naver.com/research/company/94882" TargetMode="External"/><Relationship Id="rId3960" Type="http://schemas.openxmlformats.org/officeDocument/2006/relationships/hyperlink" Target="https://m.stock.naver.com/research/company/89291" TargetMode="External"/><Relationship Id="rId9175" Type="http://schemas.openxmlformats.org/officeDocument/2006/relationships/hyperlink" Target="https://m.stock.naver.com/research/company/84055" TargetMode="External"/><Relationship Id="rId13554" Type="http://schemas.openxmlformats.org/officeDocument/2006/relationships/hyperlink" Target="https://m.stock.naver.com/research/company/79650" TargetMode="External"/><Relationship Id="rId14605" Type="http://schemas.openxmlformats.org/officeDocument/2006/relationships/hyperlink" Target="https://m.stock.naver.com/research/company/94572" TargetMode="External"/><Relationship Id="rId881" Type="http://schemas.openxmlformats.org/officeDocument/2006/relationships/hyperlink" Target="https://m.stock.naver.com/research/company/92575" TargetMode="External"/><Relationship Id="rId2562" Type="http://schemas.openxmlformats.org/officeDocument/2006/relationships/hyperlink" Target="https://m.stock.naver.com/research/company/90692" TargetMode="External"/><Relationship Id="rId3613" Type="http://schemas.openxmlformats.org/officeDocument/2006/relationships/hyperlink" Target="https://m.stock.naver.com/research/company/89638" TargetMode="External"/><Relationship Id="rId12156" Type="http://schemas.openxmlformats.org/officeDocument/2006/relationships/hyperlink" Target="https://m.stock.naver.com/research/company/81055" TargetMode="External"/><Relationship Id="rId13207" Type="http://schemas.openxmlformats.org/officeDocument/2006/relationships/hyperlink" Target="https://m.stock.naver.com/research/company/80000" TargetMode="External"/><Relationship Id="rId534" Type="http://schemas.openxmlformats.org/officeDocument/2006/relationships/hyperlink" Target="https://m.stock.naver.com/research/company/92923" TargetMode="External"/><Relationship Id="rId1164" Type="http://schemas.openxmlformats.org/officeDocument/2006/relationships/hyperlink" Target="https://m.stock.naver.com/research/company/92091" TargetMode="External"/><Relationship Id="rId2215" Type="http://schemas.openxmlformats.org/officeDocument/2006/relationships/hyperlink" Target="https://m.stock.naver.com/research/company/91040" TargetMode="External"/><Relationship Id="rId5785" Type="http://schemas.openxmlformats.org/officeDocument/2006/relationships/hyperlink" Target="https://m.stock.naver.com/research/company/87455" TargetMode="External"/><Relationship Id="rId6836" Type="http://schemas.openxmlformats.org/officeDocument/2006/relationships/hyperlink" Target="https://m.stock.naver.com/research/company/86404" TargetMode="External"/><Relationship Id="rId15379" Type="http://schemas.openxmlformats.org/officeDocument/2006/relationships/hyperlink" Target="https://m.stock.naver.com/research/company/95209" TargetMode="External"/><Relationship Id="rId4387" Type="http://schemas.openxmlformats.org/officeDocument/2006/relationships/hyperlink" Target="https://m.stock.naver.com/research/company/88854" TargetMode="External"/><Relationship Id="rId5438" Type="http://schemas.openxmlformats.org/officeDocument/2006/relationships/hyperlink" Target="https://m.stock.naver.com/research/company/87802" TargetMode="External"/><Relationship Id="rId11989" Type="http://schemas.openxmlformats.org/officeDocument/2006/relationships/hyperlink" Target="https://m.stock.naver.com/research/company/81222" TargetMode="External"/><Relationship Id="rId3470" Type="http://schemas.openxmlformats.org/officeDocument/2006/relationships/hyperlink" Target="https://m.stock.naver.com/research/company/89781" TargetMode="External"/><Relationship Id="rId13064" Type="http://schemas.openxmlformats.org/officeDocument/2006/relationships/hyperlink" Target="https://m.stock.naver.com/research/company/80143" TargetMode="External"/><Relationship Id="rId14462" Type="http://schemas.openxmlformats.org/officeDocument/2006/relationships/hyperlink" Target="https://m.stock.naver.com/research/company/94448" TargetMode="External"/><Relationship Id="rId15513" Type="http://schemas.openxmlformats.org/officeDocument/2006/relationships/hyperlink" Target="https://m.stock.naver.com/research/company/95523" TargetMode="External"/><Relationship Id="rId391" Type="http://schemas.openxmlformats.org/officeDocument/2006/relationships/hyperlink" Target="https://m.stock.naver.com/research/company/93067" TargetMode="External"/><Relationship Id="rId2072" Type="http://schemas.openxmlformats.org/officeDocument/2006/relationships/hyperlink" Target="https://m.stock.naver.com/research/company/91183" TargetMode="External"/><Relationship Id="rId3123" Type="http://schemas.openxmlformats.org/officeDocument/2006/relationships/hyperlink" Target="https://m.stock.naver.com/research/company/90128" TargetMode="External"/><Relationship Id="rId4521" Type="http://schemas.openxmlformats.org/officeDocument/2006/relationships/hyperlink" Target="https://m.stock.naver.com/research/company/88719" TargetMode="External"/><Relationship Id="rId14115" Type="http://schemas.openxmlformats.org/officeDocument/2006/relationships/hyperlink" Target="https://m.stock.naver.com/research/company/93887" TargetMode="External"/><Relationship Id="rId6693" Type="http://schemas.openxmlformats.org/officeDocument/2006/relationships/hyperlink" Target="https://m.stock.naver.com/research/company/86547" TargetMode="External"/><Relationship Id="rId7744" Type="http://schemas.openxmlformats.org/officeDocument/2006/relationships/hyperlink" Target="https://m.stock.naver.com/research/company/85495" TargetMode="External"/><Relationship Id="rId10725" Type="http://schemas.openxmlformats.org/officeDocument/2006/relationships/hyperlink" Target="https://m.stock.naver.com/research/company/82495" TargetMode="External"/><Relationship Id="rId5295" Type="http://schemas.openxmlformats.org/officeDocument/2006/relationships/hyperlink" Target="https://m.stock.naver.com/research/company/87945" TargetMode="External"/><Relationship Id="rId6346" Type="http://schemas.openxmlformats.org/officeDocument/2006/relationships/hyperlink" Target="https://m.stock.naver.com/research/company/86894" TargetMode="External"/><Relationship Id="rId12897" Type="http://schemas.openxmlformats.org/officeDocument/2006/relationships/hyperlink" Target="https://m.stock.naver.com/research/company/80311" TargetMode="External"/><Relationship Id="rId2956" Type="http://schemas.openxmlformats.org/officeDocument/2006/relationships/hyperlink" Target="https://m.stock.naver.com/research/company/90297" TargetMode="External"/><Relationship Id="rId9569" Type="http://schemas.openxmlformats.org/officeDocument/2006/relationships/hyperlink" Target="https://m.stock.naver.com/research/company/83658" TargetMode="External"/><Relationship Id="rId11499" Type="http://schemas.openxmlformats.org/officeDocument/2006/relationships/hyperlink" Target="https://m.stock.naver.com/research/company/81716" TargetMode="External"/><Relationship Id="rId13948" Type="http://schemas.openxmlformats.org/officeDocument/2006/relationships/hyperlink" Target="https://m.stock.naver.com/research/company/93784" TargetMode="External"/><Relationship Id="rId15370" Type="http://schemas.openxmlformats.org/officeDocument/2006/relationships/hyperlink" Target="https://m.stock.naver.com/research/company/95218" TargetMode="External"/><Relationship Id="rId928" Type="http://schemas.openxmlformats.org/officeDocument/2006/relationships/hyperlink" Target="https://m.stock.naver.com/research/company/92528" TargetMode="External"/><Relationship Id="rId1558" Type="http://schemas.openxmlformats.org/officeDocument/2006/relationships/hyperlink" Target="https://m.stock.naver.com/research/company/91697" TargetMode="External"/><Relationship Id="rId2609" Type="http://schemas.openxmlformats.org/officeDocument/2006/relationships/hyperlink" Target="https://m.stock.naver.com/research/company/90645" TargetMode="External"/><Relationship Id="rId15023" Type="http://schemas.openxmlformats.org/officeDocument/2006/relationships/hyperlink" Target="https://m.stock.naver.com/research/company/94811" TargetMode="External"/><Relationship Id="rId4031" Type="http://schemas.openxmlformats.org/officeDocument/2006/relationships/hyperlink" Target="https://m.stock.naver.com/research/company/89220" TargetMode="External"/><Relationship Id="rId11980" Type="http://schemas.openxmlformats.org/officeDocument/2006/relationships/hyperlink" Target="https://m.stock.naver.com/research/company/81231" TargetMode="External"/><Relationship Id="rId7254" Type="http://schemas.openxmlformats.org/officeDocument/2006/relationships/hyperlink" Target="https://m.stock.naver.com/research/company/85985" TargetMode="External"/><Relationship Id="rId8305" Type="http://schemas.openxmlformats.org/officeDocument/2006/relationships/hyperlink" Target="https://m.stock.naver.com/research/company/84933" TargetMode="External"/><Relationship Id="rId8652" Type="http://schemas.openxmlformats.org/officeDocument/2006/relationships/hyperlink" Target="https://m.stock.naver.com/research/company/84585" TargetMode="External"/><Relationship Id="rId9703" Type="http://schemas.openxmlformats.org/officeDocument/2006/relationships/hyperlink" Target="https://m.stock.naver.com/research/company/83520" TargetMode="External"/><Relationship Id="rId10582" Type="http://schemas.openxmlformats.org/officeDocument/2006/relationships/hyperlink" Target="https://m.stock.naver.com/research/company/82638" TargetMode="External"/><Relationship Id="rId11633" Type="http://schemas.openxmlformats.org/officeDocument/2006/relationships/hyperlink" Target="https://m.stock.naver.com/research/company/81579" TargetMode="External"/><Relationship Id="rId10235" Type="http://schemas.openxmlformats.org/officeDocument/2006/relationships/hyperlink" Target="https://m.stock.naver.com/research/company/82986" TargetMode="External"/><Relationship Id="rId14856" Type="http://schemas.openxmlformats.org/officeDocument/2006/relationships/hyperlink" Target="https://m.stock.naver.com/research/company/94768" TargetMode="External"/><Relationship Id="rId3864" Type="http://schemas.openxmlformats.org/officeDocument/2006/relationships/hyperlink" Target="https://m.stock.naver.com/research/company/89387" TargetMode="External"/><Relationship Id="rId4915" Type="http://schemas.openxmlformats.org/officeDocument/2006/relationships/hyperlink" Target="https://m.stock.naver.com/research/company/88325" TargetMode="External"/><Relationship Id="rId13458" Type="http://schemas.openxmlformats.org/officeDocument/2006/relationships/hyperlink" Target="https://m.stock.naver.com/research/company/79746" TargetMode="External"/><Relationship Id="rId14509" Type="http://schemas.openxmlformats.org/officeDocument/2006/relationships/hyperlink" Target="https://m.stock.naver.com/research/company/94401" TargetMode="External"/><Relationship Id="rId785" Type="http://schemas.openxmlformats.org/officeDocument/2006/relationships/hyperlink" Target="https://m.stock.naver.com/research/company/92671" TargetMode="External"/><Relationship Id="rId2466" Type="http://schemas.openxmlformats.org/officeDocument/2006/relationships/hyperlink" Target="https://m.stock.naver.com/research/company/90788" TargetMode="External"/><Relationship Id="rId3517" Type="http://schemas.openxmlformats.org/officeDocument/2006/relationships/hyperlink" Target="https://m.stock.naver.com/research/company/89734" TargetMode="External"/><Relationship Id="rId9079" Type="http://schemas.openxmlformats.org/officeDocument/2006/relationships/hyperlink" Target="https://m.stock.naver.com/research/company/84152" TargetMode="External"/><Relationship Id="rId438" Type="http://schemas.openxmlformats.org/officeDocument/2006/relationships/hyperlink" Target="https://m.stock.naver.com/research/company/93019" TargetMode="External"/><Relationship Id="rId1068" Type="http://schemas.openxmlformats.org/officeDocument/2006/relationships/hyperlink" Target="https://m.stock.naver.com/research/company/92188" TargetMode="External"/><Relationship Id="rId2119" Type="http://schemas.openxmlformats.org/officeDocument/2006/relationships/hyperlink" Target="https://m.stock.naver.com/research/company/91136" TargetMode="External"/><Relationship Id="rId5689" Type="http://schemas.openxmlformats.org/officeDocument/2006/relationships/hyperlink" Target="https://m.stock.naver.com/research/company/87551" TargetMode="External"/><Relationship Id="rId9560" Type="http://schemas.openxmlformats.org/officeDocument/2006/relationships/hyperlink" Target="https://m.stock.naver.com/research/company/83667" TargetMode="External"/><Relationship Id="rId8162" Type="http://schemas.openxmlformats.org/officeDocument/2006/relationships/hyperlink" Target="https://m.stock.naver.com/research/company/85076" TargetMode="External"/><Relationship Id="rId9213" Type="http://schemas.openxmlformats.org/officeDocument/2006/relationships/hyperlink" Target="https://m.stock.naver.com/research/company/84017" TargetMode="External"/><Relationship Id="rId10092" Type="http://schemas.openxmlformats.org/officeDocument/2006/relationships/hyperlink" Target="https://m.stock.naver.com/research/company/83129" TargetMode="External"/><Relationship Id="rId11143" Type="http://schemas.openxmlformats.org/officeDocument/2006/relationships/hyperlink" Target="https://m.stock.naver.com/research/company/82077" TargetMode="External"/><Relationship Id="rId11490" Type="http://schemas.openxmlformats.org/officeDocument/2006/relationships/hyperlink" Target="https://m.stock.naver.com/research/company/81725" TargetMode="External"/><Relationship Id="rId12541" Type="http://schemas.openxmlformats.org/officeDocument/2006/relationships/hyperlink" Target="https://m.stock.naver.com/research/company/80667" TargetMode="External"/><Relationship Id="rId1202" Type="http://schemas.openxmlformats.org/officeDocument/2006/relationships/hyperlink" Target="https://m.stock.naver.com/research/company/92053" TargetMode="External"/><Relationship Id="rId2600" Type="http://schemas.openxmlformats.org/officeDocument/2006/relationships/hyperlink" Target="https://m.stock.naver.com/research/company/90654" TargetMode="External"/><Relationship Id="rId4772" Type="http://schemas.openxmlformats.org/officeDocument/2006/relationships/hyperlink" Target="https://m.stock.naver.com/research/company/88468" TargetMode="External"/><Relationship Id="rId5823" Type="http://schemas.openxmlformats.org/officeDocument/2006/relationships/hyperlink" Target="https://m.stock.naver.com/research/company/87417" TargetMode="External"/><Relationship Id="rId14366" Type="http://schemas.openxmlformats.org/officeDocument/2006/relationships/hyperlink" Target="https://m.stock.naver.com/research/company/94246" TargetMode="External"/><Relationship Id="rId15417" Type="http://schemas.openxmlformats.org/officeDocument/2006/relationships/hyperlink" Target="https://m.stock.naver.com/research/company/95370" TargetMode="External"/><Relationship Id="rId295" Type="http://schemas.openxmlformats.org/officeDocument/2006/relationships/hyperlink" Target="https://m.stock.naver.com/research/company/93163" TargetMode="External"/><Relationship Id="rId3374" Type="http://schemas.openxmlformats.org/officeDocument/2006/relationships/hyperlink" Target="https://m.stock.naver.com/research/company/89877" TargetMode="External"/><Relationship Id="rId4425" Type="http://schemas.openxmlformats.org/officeDocument/2006/relationships/hyperlink" Target="https://m.stock.naver.com/research/company/88816" TargetMode="External"/><Relationship Id="rId7995" Type="http://schemas.openxmlformats.org/officeDocument/2006/relationships/hyperlink" Target="https://m.stock.naver.com/research/company/85243" TargetMode="External"/><Relationship Id="rId10976" Type="http://schemas.openxmlformats.org/officeDocument/2006/relationships/hyperlink" Target="https://m.stock.naver.com/research/company/82244" TargetMode="External"/><Relationship Id="rId14019" Type="http://schemas.openxmlformats.org/officeDocument/2006/relationships/hyperlink" Target="https://m.stock.naver.com/research/company/93828" TargetMode="External"/><Relationship Id="rId3027" Type="http://schemas.openxmlformats.org/officeDocument/2006/relationships/hyperlink" Target="https://m.stock.naver.com/research/company/90224" TargetMode="External"/><Relationship Id="rId6597" Type="http://schemas.openxmlformats.org/officeDocument/2006/relationships/hyperlink" Target="https://m.stock.naver.com/research/company/86643" TargetMode="External"/><Relationship Id="rId7648" Type="http://schemas.openxmlformats.org/officeDocument/2006/relationships/hyperlink" Target="https://m.stock.naver.com/research/company/85591" TargetMode="External"/><Relationship Id="rId10629" Type="http://schemas.openxmlformats.org/officeDocument/2006/relationships/hyperlink" Target="https://m.stock.naver.com/research/company/82591" TargetMode="External"/><Relationship Id="rId14500" Type="http://schemas.openxmlformats.org/officeDocument/2006/relationships/hyperlink" Target="https://m.stock.naver.com/research/company/94410" TargetMode="External"/><Relationship Id="rId5199" Type="http://schemas.openxmlformats.org/officeDocument/2006/relationships/hyperlink" Target="https://m.stock.naver.com/research/company/88041" TargetMode="External"/><Relationship Id="rId9070" Type="http://schemas.openxmlformats.org/officeDocument/2006/relationships/hyperlink" Target="https://m.stock.naver.com/research/company/84161" TargetMode="External"/><Relationship Id="rId12051" Type="http://schemas.openxmlformats.org/officeDocument/2006/relationships/hyperlink" Target="https://m.stock.naver.com/research/company/81160" TargetMode="External"/><Relationship Id="rId13102" Type="http://schemas.openxmlformats.org/officeDocument/2006/relationships/hyperlink" Target="https://m.stock.naver.com/research/company/80105" TargetMode="External"/><Relationship Id="rId2110" Type="http://schemas.openxmlformats.org/officeDocument/2006/relationships/hyperlink" Target="https://m.stock.naver.com/research/company/91145" TargetMode="External"/><Relationship Id="rId5680" Type="http://schemas.openxmlformats.org/officeDocument/2006/relationships/hyperlink" Target="https://m.stock.naver.com/research/company/87560" TargetMode="External"/><Relationship Id="rId15274" Type="http://schemas.openxmlformats.org/officeDocument/2006/relationships/hyperlink" Target="https://m.stock.naver.com/research/company/95086" TargetMode="External"/><Relationship Id="rId4282" Type="http://schemas.openxmlformats.org/officeDocument/2006/relationships/hyperlink" Target="https://m.stock.naver.com/research/company/88959" TargetMode="External"/><Relationship Id="rId5333" Type="http://schemas.openxmlformats.org/officeDocument/2006/relationships/hyperlink" Target="https://m.stock.naver.com/research/company/87907" TargetMode="External"/><Relationship Id="rId6731" Type="http://schemas.openxmlformats.org/officeDocument/2006/relationships/hyperlink" Target="https://m.stock.naver.com/research/company/86509" TargetMode="External"/><Relationship Id="rId9954" Type="http://schemas.openxmlformats.org/officeDocument/2006/relationships/hyperlink" Target="https://m.stock.naver.com/research/company/83267" TargetMode="External"/><Relationship Id="rId11884" Type="http://schemas.openxmlformats.org/officeDocument/2006/relationships/hyperlink" Target="https://m.stock.naver.com/research/company/81328" TargetMode="External"/><Relationship Id="rId12935" Type="http://schemas.openxmlformats.org/officeDocument/2006/relationships/hyperlink" Target="https://m.stock.naver.com/research/company/80273" TargetMode="External"/><Relationship Id="rId1943" Type="http://schemas.openxmlformats.org/officeDocument/2006/relationships/hyperlink" Target="https://m.stock.naver.com/research/company/91312" TargetMode="External"/><Relationship Id="rId8556" Type="http://schemas.openxmlformats.org/officeDocument/2006/relationships/hyperlink" Target="https://m.stock.naver.com/research/company/84681" TargetMode="External"/><Relationship Id="rId9607" Type="http://schemas.openxmlformats.org/officeDocument/2006/relationships/hyperlink" Target="https://m.stock.naver.com/research/company/83618" TargetMode="External"/><Relationship Id="rId10486" Type="http://schemas.openxmlformats.org/officeDocument/2006/relationships/hyperlink" Target="https://m.stock.naver.com/research/company/82734" TargetMode="External"/><Relationship Id="rId11537" Type="http://schemas.openxmlformats.org/officeDocument/2006/relationships/hyperlink" Target="https://m.stock.naver.com/research/company/81678" TargetMode="External"/><Relationship Id="rId7158" Type="http://schemas.openxmlformats.org/officeDocument/2006/relationships/hyperlink" Target="https://m.stock.naver.com/research/company/86081" TargetMode="External"/><Relationship Id="rId8209" Type="http://schemas.openxmlformats.org/officeDocument/2006/relationships/hyperlink" Target="https://m.stock.naver.com/research/company/85029" TargetMode="External"/><Relationship Id="rId10139" Type="http://schemas.openxmlformats.org/officeDocument/2006/relationships/hyperlink" Target="https://m.stock.naver.com/research/company/83082" TargetMode="External"/><Relationship Id="rId14010" Type="http://schemas.openxmlformats.org/officeDocument/2006/relationships/hyperlink" Target="https://m.stock.naver.com/research/company/93722" TargetMode="External"/><Relationship Id="rId3768" Type="http://schemas.openxmlformats.org/officeDocument/2006/relationships/hyperlink" Target="https://m.stock.naver.com/research/company/89483" TargetMode="External"/><Relationship Id="rId4819" Type="http://schemas.openxmlformats.org/officeDocument/2006/relationships/hyperlink" Target="https://m.stock.naver.com/research/company/88421" TargetMode="External"/><Relationship Id="rId689" Type="http://schemas.openxmlformats.org/officeDocument/2006/relationships/hyperlink" Target="https://m.stock.naver.com/research/company/92767" TargetMode="External"/><Relationship Id="rId5190" Type="http://schemas.openxmlformats.org/officeDocument/2006/relationships/hyperlink" Target="https://m.stock.naver.com/research/company/88050" TargetMode="External"/><Relationship Id="rId6241" Type="http://schemas.openxmlformats.org/officeDocument/2006/relationships/hyperlink" Target="https://m.stock.naver.com/research/company/86999" TargetMode="External"/><Relationship Id="rId10620" Type="http://schemas.openxmlformats.org/officeDocument/2006/relationships/hyperlink" Target="https://m.stock.naver.com/research/company/82600" TargetMode="External"/><Relationship Id="rId9464" Type="http://schemas.openxmlformats.org/officeDocument/2006/relationships/hyperlink" Target="https://m.stock.naver.com/research/company/83763" TargetMode="External"/><Relationship Id="rId12792" Type="http://schemas.openxmlformats.org/officeDocument/2006/relationships/hyperlink" Target="https://m.stock.naver.com/research/company/80416" TargetMode="External"/><Relationship Id="rId13843" Type="http://schemas.openxmlformats.org/officeDocument/2006/relationships/hyperlink" Target="https://m.stock.naver.com/research/company/93639" TargetMode="External"/><Relationship Id="rId2851" Type="http://schemas.openxmlformats.org/officeDocument/2006/relationships/hyperlink" Target="https://m.stock.naver.com/research/company/90402" TargetMode="External"/><Relationship Id="rId3902" Type="http://schemas.openxmlformats.org/officeDocument/2006/relationships/hyperlink" Target="https://m.stock.naver.com/research/company/89349" TargetMode="External"/><Relationship Id="rId8066" Type="http://schemas.openxmlformats.org/officeDocument/2006/relationships/hyperlink" Target="https://m.stock.naver.com/research/company/85172" TargetMode="External"/><Relationship Id="rId9117" Type="http://schemas.openxmlformats.org/officeDocument/2006/relationships/hyperlink" Target="https://m.stock.naver.com/research/company/84113" TargetMode="External"/><Relationship Id="rId11394" Type="http://schemas.openxmlformats.org/officeDocument/2006/relationships/hyperlink" Target="https://m.stock.naver.com/research/company/81821" TargetMode="External"/><Relationship Id="rId12445" Type="http://schemas.openxmlformats.org/officeDocument/2006/relationships/hyperlink" Target="https://m.stock.naver.com/research/company/80764" TargetMode="External"/><Relationship Id="rId823" Type="http://schemas.openxmlformats.org/officeDocument/2006/relationships/hyperlink" Target="https://m.stock.naver.com/research/company/92633" TargetMode="External"/><Relationship Id="rId1453" Type="http://schemas.openxmlformats.org/officeDocument/2006/relationships/hyperlink" Target="https://m.stock.naver.com/research/company/91802" TargetMode="External"/><Relationship Id="rId2504" Type="http://schemas.openxmlformats.org/officeDocument/2006/relationships/hyperlink" Target="https://m.stock.naver.com/research/company/90750" TargetMode="External"/><Relationship Id="rId11047" Type="http://schemas.openxmlformats.org/officeDocument/2006/relationships/hyperlink" Target="https://m.stock.naver.com/research/company/82173" TargetMode="External"/><Relationship Id="rId15668" Type="http://schemas.openxmlformats.org/officeDocument/2006/relationships/hyperlink" Target="https://m.stock.naver.com/research/company/95746" TargetMode="External"/><Relationship Id="rId1106" Type="http://schemas.openxmlformats.org/officeDocument/2006/relationships/hyperlink" Target="https://m.stock.naver.com/research/company/92149" TargetMode="External"/><Relationship Id="rId4676" Type="http://schemas.openxmlformats.org/officeDocument/2006/relationships/hyperlink" Target="https://m.stock.naver.com/research/company/88564" TargetMode="External"/><Relationship Id="rId5727" Type="http://schemas.openxmlformats.org/officeDocument/2006/relationships/hyperlink" Target="https://m.stock.naver.com/research/company/87513" TargetMode="External"/><Relationship Id="rId3278" Type="http://schemas.openxmlformats.org/officeDocument/2006/relationships/hyperlink" Target="https://m.stock.naver.com/research/company/89972" TargetMode="External"/><Relationship Id="rId4329" Type="http://schemas.openxmlformats.org/officeDocument/2006/relationships/hyperlink" Target="https://m.stock.naver.com/research/company/88912" TargetMode="External"/><Relationship Id="rId7899" Type="http://schemas.openxmlformats.org/officeDocument/2006/relationships/hyperlink" Target="https://m.stock.naver.com/research/company/85339" TargetMode="External"/><Relationship Id="rId8200" Type="http://schemas.openxmlformats.org/officeDocument/2006/relationships/hyperlink" Target="https://m.stock.naver.com/research/company/85038" TargetMode="External"/><Relationship Id="rId10130" Type="http://schemas.openxmlformats.org/officeDocument/2006/relationships/hyperlink" Target="https://m.stock.naver.com/research/company/83091" TargetMode="External"/><Relationship Id="rId199" Type="http://schemas.openxmlformats.org/officeDocument/2006/relationships/hyperlink" Target="https://m.stock.naver.com/research/company/93259" TargetMode="External"/><Relationship Id="rId13353" Type="http://schemas.openxmlformats.org/officeDocument/2006/relationships/hyperlink" Target="https://m.stock.naver.com/research/company/79852" TargetMode="External"/><Relationship Id="rId14751" Type="http://schemas.openxmlformats.org/officeDocument/2006/relationships/hyperlink" Target="https://m.stock.naver.com/research/company/94649" TargetMode="External"/><Relationship Id="rId680" Type="http://schemas.openxmlformats.org/officeDocument/2006/relationships/hyperlink" Target="https://m.stock.naver.com/research/company/92776" TargetMode="External"/><Relationship Id="rId2361" Type="http://schemas.openxmlformats.org/officeDocument/2006/relationships/hyperlink" Target="https://m.stock.naver.com/research/company/90893" TargetMode="External"/><Relationship Id="rId3412" Type="http://schemas.openxmlformats.org/officeDocument/2006/relationships/hyperlink" Target="https://m.stock.naver.com/research/company/89839" TargetMode="External"/><Relationship Id="rId4810" Type="http://schemas.openxmlformats.org/officeDocument/2006/relationships/hyperlink" Target="https://m.stock.naver.com/research/company/88430" TargetMode="External"/><Relationship Id="rId13006" Type="http://schemas.openxmlformats.org/officeDocument/2006/relationships/hyperlink" Target="https://m.stock.naver.com/research/company/80202" TargetMode="External"/><Relationship Id="rId14404" Type="http://schemas.openxmlformats.org/officeDocument/2006/relationships/hyperlink" Target="https://m.stock.naver.com/research/company/94279" TargetMode="External"/><Relationship Id="rId333" Type="http://schemas.openxmlformats.org/officeDocument/2006/relationships/hyperlink" Target="https://m.stock.naver.com/research/company/93125" TargetMode="External"/><Relationship Id="rId2014" Type="http://schemas.openxmlformats.org/officeDocument/2006/relationships/hyperlink" Target="https://m.stock.naver.com/research/company/91241" TargetMode="External"/><Relationship Id="rId6982" Type="http://schemas.openxmlformats.org/officeDocument/2006/relationships/hyperlink" Target="https://m.stock.naver.com/research/company/86257" TargetMode="External"/><Relationship Id="rId4186" Type="http://schemas.openxmlformats.org/officeDocument/2006/relationships/hyperlink" Target="https://m.stock.naver.com/research/company/89056" TargetMode="External"/><Relationship Id="rId5584" Type="http://schemas.openxmlformats.org/officeDocument/2006/relationships/hyperlink" Target="https://m.stock.naver.com/research/company/87656" TargetMode="External"/><Relationship Id="rId6635" Type="http://schemas.openxmlformats.org/officeDocument/2006/relationships/hyperlink" Target="https://m.stock.naver.com/research/company/86605" TargetMode="External"/><Relationship Id="rId15178" Type="http://schemas.openxmlformats.org/officeDocument/2006/relationships/hyperlink" Target="https://m.stock.naver.com/research/company/95182" TargetMode="External"/><Relationship Id="rId5237" Type="http://schemas.openxmlformats.org/officeDocument/2006/relationships/hyperlink" Target="https://m.stock.naver.com/research/company/88003" TargetMode="External"/><Relationship Id="rId9858" Type="http://schemas.openxmlformats.org/officeDocument/2006/relationships/hyperlink" Target="https://m.stock.naver.com/research/company/83364" TargetMode="External"/><Relationship Id="rId11788" Type="http://schemas.openxmlformats.org/officeDocument/2006/relationships/hyperlink" Target="https://m.stock.naver.com/research/company/81424" TargetMode="External"/><Relationship Id="rId12839" Type="http://schemas.openxmlformats.org/officeDocument/2006/relationships/hyperlink" Target="https://m.stock.naver.com/research/company/80369" TargetMode="External"/><Relationship Id="rId1847" Type="http://schemas.openxmlformats.org/officeDocument/2006/relationships/hyperlink" Target="https://m.stock.naver.com/research/company/91408" TargetMode="External"/><Relationship Id="rId14261" Type="http://schemas.openxmlformats.org/officeDocument/2006/relationships/hyperlink" Target="https://m.stock.naver.com/research/company/94137" TargetMode="External"/><Relationship Id="rId15312" Type="http://schemas.openxmlformats.org/officeDocument/2006/relationships/hyperlink" Target="https://m.stock.naver.com/research/company/95276" TargetMode="External"/><Relationship Id="rId4320" Type="http://schemas.openxmlformats.org/officeDocument/2006/relationships/hyperlink" Target="https://m.stock.naver.com/research/company/88921" TargetMode="External"/><Relationship Id="rId7890" Type="http://schemas.openxmlformats.org/officeDocument/2006/relationships/hyperlink" Target="https://m.stock.naver.com/research/company/85348" TargetMode="External"/><Relationship Id="rId190" Type="http://schemas.openxmlformats.org/officeDocument/2006/relationships/hyperlink" Target="https://m.stock.naver.com/research/company/93268" TargetMode="External"/><Relationship Id="rId6492" Type="http://schemas.openxmlformats.org/officeDocument/2006/relationships/hyperlink" Target="https://m.stock.naver.com/research/company/86748" TargetMode="External"/><Relationship Id="rId7543" Type="http://schemas.openxmlformats.org/officeDocument/2006/relationships/hyperlink" Target="https://m.stock.naver.com/research/company/85696" TargetMode="External"/><Relationship Id="rId8941" Type="http://schemas.openxmlformats.org/officeDocument/2006/relationships/hyperlink" Target="https://m.stock.naver.com/research/company/84292" TargetMode="External"/><Relationship Id="rId10871" Type="http://schemas.openxmlformats.org/officeDocument/2006/relationships/hyperlink" Target="https://m.stock.naver.com/research/company/82349" TargetMode="External"/><Relationship Id="rId11922" Type="http://schemas.openxmlformats.org/officeDocument/2006/relationships/hyperlink" Target="https://m.stock.naver.com/research/company/81289" TargetMode="External"/><Relationship Id="rId5094" Type="http://schemas.openxmlformats.org/officeDocument/2006/relationships/hyperlink" Target="https://m.stock.naver.com/research/company/88146" TargetMode="External"/><Relationship Id="rId6145" Type="http://schemas.openxmlformats.org/officeDocument/2006/relationships/hyperlink" Target="https://m.stock.naver.com/research/company/87095" TargetMode="External"/><Relationship Id="rId10524" Type="http://schemas.openxmlformats.org/officeDocument/2006/relationships/hyperlink" Target="https://m.stock.naver.com/research/company/82696" TargetMode="External"/><Relationship Id="rId12696" Type="http://schemas.openxmlformats.org/officeDocument/2006/relationships/hyperlink" Target="https://m.stock.naver.com/research/company/80512" TargetMode="External"/><Relationship Id="rId13747" Type="http://schemas.openxmlformats.org/officeDocument/2006/relationships/hyperlink" Target="https://m.stock.naver.com/research/company/93524" TargetMode="External"/><Relationship Id="rId2755" Type="http://schemas.openxmlformats.org/officeDocument/2006/relationships/hyperlink" Target="https://m.stock.naver.com/research/company/90499" TargetMode="External"/><Relationship Id="rId3806" Type="http://schemas.openxmlformats.org/officeDocument/2006/relationships/hyperlink" Target="https://m.stock.naver.com/research/company/89445" TargetMode="External"/><Relationship Id="rId9368" Type="http://schemas.openxmlformats.org/officeDocument/2006/relationships/hyperlink" Target="https://m.stock.naver.com/research/company/83859" TargetMode="External"/><Relationship Id="rId11298" Type="http://schemas.openxmlformats.org/officeDocument/2006/relationships/hyperlink" Target="https://m.stock.naver.com/research/company/81921" TargetMode="External"/><Relationship Id="rId12349" Type="http://schemas.openxmlformats.org/officeDocument/2006/relationships/hyperlink" Target="https://m.stock.naver.com/research/company/80860" TargetMode="External"/><Relationship Id="rId727" Type="http://schemas.openxmlformats.org/officeDocument/2006/relationships/hyperlink" Target="https://m.stock.naver.com/research/company/92729" TargetMode="External"/><Relationship Id="rId1357" Type="http://schemas.openxmlformats.org/officeDocument/2006/relationships/hyperlink" Target="https://m.stock.naver.com/research/company/91898" TargetMode="External"/><Relationship Id="rId2408" Type="http://schemas.openxmlformats.org/officeDocument/2006/relationships/hyperlink" Target="https://m.stock.naver.com/research/company/90846" TargetMode="External"/><Relationship Id="rId5978" Type="http://schemas.openxmlformats.org/officeDocument/2006/relationships/hyperlink" Target="https://m.stock.naver.com/research/company/87262" TargetMode="External"/><Relationship Id="rId63" Type="http://schemas.openxmlformats.org/officeDocument/2006/relationships/hyperlink" Target="https://m.stock.naver.com/research/company/93395" TargetMode="External"/><Relationship Id="rId8451" Type="http://schemas.openxmlformats.org/officeDocument/2006/relationships/hyperlink" Target="https://m.stock.naver.com/research/company/84786" TargetMode="External"/><Relationship Id="rId9502" Type="http://schemas.openxmlformats.org/officeDocument/2006/relationships/hyperlink" Target="https://m.stock.naver.com/research/company/83725" TargetMode="External"/><Relationship Id="rId10381" Type="http://schemas.openxmlformats.org/officeDocument/2006/relationships/hyperlink" Target="https://m.stock.naver.com/research/company/82840" TargetMode="External"/><Relationship Id="rId11432" Type="http://schemas.openxmlformats.org/officeDocument/2006/relationships/hyperlink" Target="https://m.stock.naver.com/research/company/81783" TargetMode="External"/><Relationship Id="rId12830" Type="http://schemas.openxmlformats.org/officeDocument/2006/relationships/hyperlink" Target="https://m.stock.naver.com/research/company/80378" TargetMode="External"/><Relationship Id="rId7053" Type="http://schemas.openxmlformats.org/officeDocument/2006/relationships/hyperlink" Target="https://m.stock.naver.com/research/company/86186" TargetMode="External"/><Relationship Id="rId8104" Type="http://schemas.openxmlformats.org/officeDocument/2006/relationships/hyperlink" Target="https://m.stock.naver.com/research/company/85134" TargetMode="External"/><Relationship Id="rId10034" Type="http://schemas.openxmlformats.org/officeDocument/2006/relationships/hyperlink" Target="https://m.stock.naver.com/research/company/83187" TargetMode="External"/><Relationship Id="rId14655" Type="http://schemas.openxmlformats.org/officeDocument/2006/relationships/hyperlink" Target="https://m.stock.naver.com/research/company/94523" TargetMode="External"/><Relationship Id="rId15706" Type="http://schemas.openxmlformats.org/officeDocument/2006/relationships/hyperlink" Target="https://m.stock.naver.com/research/company/95708" TargetMode="External"/><Relationship Id="rId584" Type="http://schemas.openxmlformats.org/officeDocument/2006/relationships/hyperlink" Target="https://m.stock.naver.com/research/company/92873" TargetMode="External"/><Relationship Id="rId2265" Type="http://schemas.openxmlformats.org/officeDocument/2006/relationships/hyperlink" Target="https://m.stock.naver.com/research/company/90990" TargetMode="External"/><Relationship Id="rId3663" Type="http://schemas.openxmlformats.org/officeDocument/2006/relationships/hyperlink" Target="https://m.stock.naver.com/research/company/89588" TargetMode="External"/><Relationship Id="rId4714" Type="http://schemas.openxmlformats.org/officeDocument/2006/relationships/hyperlink" Target="https://m.stock.naver.com/research/company/88526" TargetMode="External"/><Relationship Id="rId13257" Type="http://schemas.openxmlformats.org/officeDocument/2006/relationships/hyperlink" Target="https://m.stock.naver.com/research/company/79949" TargetMode="External"/><Relationship Id="rId14308" Type="http://schemas.openxmlformats.org/officeDocument/2006/relationships/hyperlink" Target="https://m.stock.naver.com/research/company/94156" TargetMode="External"/><Relationship Id="rId237" Type="http://schemas.openxmlformats.org/officeDocument/2006/relationships/hyperlink" Target="https://m.stock.naver.com/research/company/93221" TargetMode="External"/><Relationship Id="rId3316" Type="http://schemas.openxmlformats.org/officeDocument/2006/relationships/hyperlink" Target="https://m.stock.naver.com/research/company/89934" TargetMode="External"/><Relationship Id="rId6886" Type="http://schemas.openxmlformats.org/officeDocument/2006/relationships/hyperlink" Target="https://m.stock.naver.com/research/company/86353" TargetMode="External"/><Relationship Id="rId7937" Type="http://schemas.openxmlformats.org/officeDocument/2006/relationships/hyperlink" Target="https://m.stock.naver.com/research/company/85301" TargetMode="External"/><Relationship Id="rId10918" Type="http://schemas.openxmlformats.org/officeDocument/2006/relationships/hyperlink" Target="https://m.stock.naver.com/research/company/82302" TargetMode="External"/><Relationship Id="rId5488" Type="http://schemas.openxmlformats.org/officeDocument/2006/relationships/hyperlink" Target="https://m.stock.naver.com/research/company/87752" TargetMode="External"/><Relationship Id="rId6539" Type="http://schemas.openxmlformats.org/officeDocument/2006/relationships/hyperlink" Target="https://m.stock.naver.com/research/company/86701" TargetMode="External"/><Relationship Id="rId12340" Type="http://schemas.openxmlformats.org/officeDocument/2006/relationships/hyperlink" Target="https://m.stock.naver.com/research/company/80869" TargetMode="External"/><Relationship Id="rId9012" Type="http://schemas.openxmlformats.org/officeDocument/2006/relationships/hyperlink" Target="https://m.stock.naver.com/research/company/84220" TargetMode="External"/><Relationship Id="rId15563" Type="http://schemas.openxmlformats.org/officeDocument/2006/relationships/hyperlink" Target="https://m.stock.naver.com/research/company/95473" TargetMode="External"/><Relationship Id="rId1001" Type="http://schemas.openxmlformats.org/officeDocument/2006/relationships/hyperlink" Target="https://m.stock.naver.com/research/company/92455" TargetMode="External"/><Relationship Id="rId4571" Type="http://schemas.openxmlformats.org/officeDocument/2006/relationships/hyperlink" Target="https://m.stock.naver.com/research/company/88669" TargetMode="External"/><Relationship Id="rId5622" Type="http://schemas.openxmlformats.org/officeDocument/2006/relationships/hyperlink" Target="https://m.stock.naver.com/research/company/87618" TargetMode="External"/><Relationship Id="rId14165" Type="http://schemas.openxmlformats.org/officeDocument/2006/relationships/hyperlink" Target="https://m.stock.naver.com/research/company/93963" TargetMode="External"/><Relationship Id="rId15216" Type="http://schemas.openxmlformats.org/officeDocument/2006/relationships/hyperlink" Target="https://m.stock.naver.com/research/company/95144" TargetMode="External"/><Relationship Id="rId3173" Type="http://schemas.openxmlformats.org/officeDocument/2006/relationships/hyperlink" Target="https://m.stock.naver.com/research/company/90078" TargetMode="External"/><Relationship Id="rId4224" Type="http://schemas.openxmlformats.org/officeDocument/2006/relationships/hyperlink" Target="https://m.stock.naver.com/research/company/89018" TargetMode="External"/><Relationship Id="rId6396" Type="http://schemas.openxmlformats.org/officeDocument/2006/relationships/hyperlink" Target="https://m.stock.naver.com/research/company/86844" TargetMode="External"/><Relationship Id="rId7794" Type="http://schemas.openxmlformats.org/officeDocument/2006/relationships/hyperlink" Target="https://m.stock.naver.com/research/company/85444" TargetMode="External"/><Relationship Id="rId8845" Type="http://schemas.openxmlformats.org/officeDocument/2006/relationships/hyperlink" Target="https://m.stock.naver.com/research/company/84392" TargetMode="External"/><Relationship Id="rId10775" Type="http://schemas.openxmlformats.org/officeDocument/2006/relationships/hyperlink" Target="https://m.stock.naver.com/research/company/82445" TargetMode="External"/><Relationship Id="rId11826" Type="http://schemas.openxmlformats.org/officeDocument/2006/relationships/hyperlink" Target="https://m.stock.naver.com/research/company/81386" TargetMode="External"/><Relationship Id="rId6049" Type="http://schemas.openxmlformats.org/officeDocument/2006/relationships/hyperlink" Target="https://m.stock.naver.com/research/company/87191" TargetMode="External"/><Relationship Id="rId7447" Type="http://schemas.openxmlformats.org/officeDocument/2006/relationships/hyperlink" Target="https://m.stock.naver.com/research/company/85792" TargetMode="External"/><Relationship Id="rId10428" Type="http://schemas.openxmlformats.org/officeDocument/2006/relationships/hyperlink" Target="https://m.stock.naver.com/research/company/82793" TargetMode="External"/><Relationship Id="rId13998" Type="http://schemas.openxmlformats.org/officeDocument/2006/relationships/hyperlink" Target="https://m.stock.naver.com/research/company/93734" TargetMode="External"/><Relationship Id="rId978" Type="http://schemas.openxmlformats.org/officeDocument/2006/relationships/hyperlink" Target="https://m.stock.naver.com/research/company/92478" TargetMode="External"/><Relationship Id="rId2659" Type="http://schemas.openxmlformats.org/officeDocument/2006/relationships/hyperlink" Target="https://m.stock.naver.com/research/company/90595" TargetMode="External"/><Relationship Id="rId6530" Type="http://schemas.openxmlformats.org/officeDocument/2006/relationships/hyperlink" Target="https://m.stock.naver.com/research/company/86710" TargetMode="External"/><Relationship Id="rId15073" Type="http://schemas.openxmlformats.org/officeDocument/2006/relationships/hyperlink" Target="https://m.stock.naver.com/research/company/95021" TargetMode="External"/><Relationship Id="rId4081" Type="http://schemas.openxmlformats.org/officeDocument/2006/relationships/hyperlink" Target="https://m.stock.naver.com/research/company/89170" TargetMode="External"/><Relationship Id="rId5132" Type="http://schemas.openxmlformats.org/officeDocument/2006/relationships/hyperlink" Target="https://m.stock.naver.com/research/company/88108" TargetMode="External"/><Relationship Id="rId9753" Type="http://schemas.openxmlformats.org/officeDocument/2006/relationships/hyperlink" Target="https://m.stock.naver.com/research/company/83470" TargetMode="External"/><Relationship Id="rId8355" Type="http://schemas.openxmlformats.org/officeDocument/2006/relationships/hyperlink" Target="https://m.stock.naver.com/research/company/84883" TargetMode="External"/><Relationship Id="rId9406" Type="http://schemas.openxmlformats.org/officeDocument/2006/relationships/hyperlink" Target="https://m.stock.naver.com/research/company/83821" TargetMode="External"/><Relationship Id="rId11683" Type="http://schemas.openxmlformats.org/officeDocument/2006/relationships/hyperlink" Target="https://m.stock.naver.com/research/company/81529" TargetMode="External"/><Relationship Id="rId12734" Type="http://schemas.openxmlformats.org/officeDocument/2006/relationships/hyperlink" Target="https://m.stock.naver.com/research/company/80474" TargetMode="External"/><Relationship Id="rId1742" Type="http://schemas.openxmlformats.org/officeDocument/2006/relationships/hyperlink" Target="https://m.stock.naver.com/research/company/91513" TargetMode="External"/><Relationship Id="rId8008" Type="http://schemas.openxmlformats.org/officeDocument/2006/relationships/hyperlink" Target="https://m.stock.naver.com/research/company/85230" TargetMode="External"/><Relationship Id="rId10285" Type="http://schemas.openxmlformats.org/officeDocument/2006/relationships/hyperlink" Target="https://m.stock.naver.com/research/company/82936" TargetMode="External"/><Relationship Id="rId11336" Type="http://schemas.openxmlformats.org/officeDocument/2006/relationships/hyperlink" Target="https://m.stock.naver.com/research/company/81880" TargetMode="External"/><Relationship Id="rId4965" Type="http://schemas.openxmlformats.org/officeDocument/2006/relationships/hyperlink" Target="https://m.stock.naver.com/research/company/88275" TargetMode="External"/><Relationship Id="rId14559" Type="http://schemas.openxmlformats.org/officeDocument/2006/relationships/hyperlink" Target="https://m.stock.naver.com/research/company/94351" TargetMode="External"/><Relationship Id="rId3567" Type="http://schemas.openxmlformats.org/officeDocument/2006/relationships/hyperlink" Target="https://m.stock.naver.com/research/company/89684" TargetMode="External"/><Relationship Id="rId4618" Type="http://schemas.openxmlformats.org/officeDocument/2006/relationships/hyperlink" Target="https://m.stock.naver.com/research/company/88622" TargetMode="External"/><Relationship Id="rId488" Type="http://schemas.openxmlformats.org/officeDocument/2006/relationships/hyperlink" Target="https://m.stock.naver.com/research/company/92969" TargetMode="External"/><Relationship Id="rId2169" Type="http://schemas.openxmlformats.org/officeDocument/2006/relationships/hyperlink" Target="https://m.stock.naver.com/research/company/91086" TargetMode="External"/><Relationship Id="rId6040" Type="http://schemas.openxmlformats.org/officeDocument/2006/relationships/hyperlink" Target="https://m.stock.naver.com/research/company/87200" TargetMode="External"/><Relationship Id="rId12591" Type="http://schemas.openxmlformats.org/officeDocument/2006/relationships/hyperlink" Target="https://m.stock.naver.com/research/company/80617" TargetMode="External"/><Relationship Id="rId13642" Type="http://schemas.openxmlformats.org/officeDocument/2006/relationships/hyperlink" Target="https://m.stock.naver.com/research/company/79562" TargetMode="External"/><Relationship Id="rId2650" Type="http://schemas.openxmlformats.org/officeDocument/2006/relationships/hyperlink" Target="https://m.stock.naver.com/research/company/90604" TargetMode="External"/><Relationship Id="rId3701" Type="http://schemas.openxmlformats.org/officeDocument/2006/relationships/hyperlink" Target="https://m.stock.naver.com/research/company/89550" TargetMode="External"/><Relationship Id="rId9263" Type="http://schemas.openxmlformats.org/officeDocument/2006/relationships/hyperlink" Target="https://m.stock.naver.com/research/company/83965" TargetMode="External"/><Relationship Id="rId11193" Type="http://schemas.openxmlformats.org/officeDocument/2006/relationships/hyperlink" Target="https://m.stock.naver.com/research/company/82027" TargetMode="External"/><Relationship Id="rId12244" Type="http://schemas.openxmlformats.org/officeDocument/2006/relationships/hyperlink" Target="https://m.stock.naver.com/research/company/80965" TargetMode="External"/><Relationship Id="rId622" Type="http://schemas.openxmlformats.org/officeDocument/2006/relationships/hyperlink" Target="https://m.stock.naver.com/research/company/92834" TargetMode="External"/><Relationship Id="rId1252" Type="http://schemas.openxmlformats.org/officeDocument/2006/relationships/hyperlink" Target="https://m.stock.naver.com/research/company/92003" TargetMode="External"/><Relationship Id="rId2303" Type="http://schemas.openxmlformats.org/officeDocument/2006/relationships/hyperlink" Target="https://m.stock.naver.com/research/company/90952" TargetMode="External"/><Relationship Id="rId4475" Type="http://schemas.openxmlformats.org/officeDocument/2006/relationships/hyperlink" Target="https://m.stock.naver.com/research/company/88765" TargetMode="External"/><Relationship Id="rId5873" Type="http://schemas.openxmlformats.org/officeDocument/2006/relationships/hyperlink" Target="https://m.stock.naver.com/research/company/87367" TargetMode="External"/><Relationship Id="rId6924" Type="http://schemas.openxmlformats.org/officeDocument/2006/relationships/hyperlink" Target="https://m.stock.naver.com/research/company/86315" TargetMode="External"/><Relationship Id="rId14069" Type="http://schemas.openxmlformats.org/officeDocument/2006/relationships/hyperlink" Target="https://m.stock.naver.com/research/company/93854" TargetMode="External"/><Relationship Id="rId15467" Type="http://schemas.openxmlformats.org/officeDocument/2006/relationships/hyperlink" Target="https://m.stock.naver.com/research/company/95320" TargetMode="External"/><Relationship Id="rId3077" Type="http://schemas.openxmlformats.org/officeDocument/2006/relationships/hyperlink" Target="https://m.stock.naver.com/research/company/90174" TargetMode="External"/><Relationship Id="rId4128" Type="http://schemas.openxmlformats.org/officeDocument/2006/relationships/hyperlink" Target="https://m.stock.naver.com/research/company/89123" TargetMode="External"/><Relationship Id="rId5526" Type="http://schemas.openxmlformats.org/officeDocument/2006/relationships/hyperlink" Target="https://m.stock.naver.com/research/company/87714" TargetMode="External"/><Relationship Id="rId7698" Type="http://schemas.openxmlformats.org/officeDocument/2006/relationships/hyperlink" Target="https://m.stock.naver.com/research/company/85541" TargetMode="External"/><Relationship Id="rId8749" Type="http://schemas.openxmlformats.org/officeDocument/2006/relationships/hyperlink" Target="https://m.stock.naver.com/research/company/84488" TargetMode="External"/><Relationship Id="rId10679" Type="http://schemas.openxmlformats.org/officeDocument/2006/relationships/hyperlink" Target="https://m.stock.naver.com/research/company/82541" TargetMode="External"/><Relationship Id="rId14550" Type="http://schemas.openxmlformats.org/officeDocument/2006/relationships/hyperlink" Target="https://m.stock.naver.com/research/company/94360" TargetMode="External"/><Relationship Id="rId15601" Type="http://schemas.openxmlformats.org/officeDocument/2006/relationships/hyperlink" Target="https://m.stock.naver.com/research/company/95435" TargetMode="External"/><Relationship Id="rId13152" Type="http://schemas.openxmlformats.org/officeDocument/2006/relationships/hyperlink" Target="https://m.stock.naver.com/research/company/80055" TargetMode="External"/><Relationship Id="rId14203" Type="http://schemas.openxmlformats.org/officeDocument/2006/relationships/hyperlink" Target="https://m.stock.naver.com/research/company/94055" TargetMode="External"/><Relationship Id="rId2160" Type="http://schemas.openxmlformats.org/officeDocument/2006/relationships/hyperlink" Target="https://m.stock.naver.com/research/company/91095" TargetMode="External"/><Relationship Id="rId3211" Type="http://schemas.openxmlformats.org/officeDocument/2006/relationships/hyperlink" Target="https://m.stock.naver.com/research/company/90040" TargetMode="External"/><Relationship Id="rId6781" Type="http://schemas.openxmlformats.org/officeDocument/2006/relationships/hyperlink" Target="https://m.stock.naver.com/research/company/86459" TargetMode="External"/><Relationship Id="rId7832" Type="http://schemas.openxmlformats.org/officeDocument/2006/relationships/hyperlink" Target="https://m.stock.naver.com/research/company/85406" TargetMode="External"/><Relationship Id="rId132" Type="http://schemas.openxmlformats.org/officeDocument/2006/relationships/hyperlink" Target="https://m.stock.naver.com/research/company/93326" TargetMode="External"/><Relationship Id="rId5383" Type="http://schemas.openxmlformats.org/officeDocument/2006/relationships/hyperlink" Target="https://m.stock.naver.com/research/company/87857" TargetMode="External"/><Relationship Id="rId6434" Type="http://schemas.openxmlformats.org/officeDocument/2006/relationships/hyperlink" Target="https://m.stock.naver.com/research/company/86806" TargetMode="External"/><Relationship Id="rId10813" Type="http://schemas.openxmlformats.org/officeDocument/2006/relationships/hyperlink" Target="https://m.stock.naver.com/research/company/82407" TargetMode="External"/><Relationship Id="rId5036" Type="http://schemas.openxmlformats.org/officeDocument/2006/relationships/hyperlink" Target="https://m.stock.naver.com/research/company/88204" TargetMode="External"/><Relationship Id="rId12985" Type="http://schemas.openxmlformats.org/officeDocument/2006/relationships/hyperlink" Target="https://m.stock.naver.com/research/company/80223" TargetMode="External"/><Relationship Id="rId1993" Type="http://schemas.openxmlformats.org/officeDocument/2006/relationships/hyperlink" Target="https://m.stock.naver.com/research/company/91262" TargetMode="External"/><Relationship Id="rId8259" Type="http://schemas.openxmlformats.org/officeDocument/2006/relationships/hyperlink" Target="https://m.stock.naver.com/research/company/84979" TargetMode="External"/><Relationship Id="rId9657" Type="http://schemas.openxmlformats.org/officeDocument/2006/relationships/hyperlink" Target="https://m.stock.naver.com/research/company/83567" TargetMode="External"/><Relationship Id="rId11587" Type="http://schemas.openxmlformats.org/officeDocument/2006/relationships/hyperlink" Target="https://m.stock.naver.com/research/company/81625" TargetMode="External"/><Relationship Id="rId12638" Type="http://schemas.openxmlformats.org/officeDocument/2006/relationships/hyperlink" Target="https://m.stock.naver.com/research/company/80570" TargetMode="External"/><Relationship Id="rId1646" Type="http://schemas.openxmlformats.org/officeDocument/2006/relationships/hyperlink" Target="https://m.stock.naver.com/research/company/91609" TargetMode="External"/><Relationship Id="rId10189" Type="http://schemas.openxmlformats.org/officeDocument/2006/relationships/hyperlink" Target="https://m.stock.naver.com/research/company/83032" TargetMode="External"/><Relationship Id="rId14060" Type="http://schemas.openxmlformats.org/officeDocument/2006/relationships/hyperlink" Target="https://m.stock.naver.com/research/company/93863" TargetMode="External"/><Relationship Id="rId15111" Type="http://schemas.openxmlformats.org/officeDocument/2006/relationships/hyperlink" Target="https://m.stock.naver.com/research/company/94983" TargetMode="External"/><Relationship Id="rId4869" Type="http://schemas.openxmlformats.org/officeDocument/2006/relationships/hyperlink" Target="https://m.stock.naver.com/research/company/88371" TargetMode="External"/><Relationship Id="rId8740" Type="http://schemas.openxmlformats.org/officeDocument/2006/relationships/hyperlink" Target="https://m.stock.naver.com/research/company/84497" TargetMode="External"/><Relationship Id="rId10670" Type="http://schemas.openxmlformats.org/officeDocument/2006/relationships/hyperlink" Target="https://m.stock.naver.com/research/company/82550" TargetMode="External"/><Relationship Id="rId11721" Type="http://schemas.openxmlformats.org/officeDocument/2006/relationships/hyperlink" Target="https://m.stock.naver.com/research/company/81491" TargetMode="External"/><Relationship Id="rId6291" Type="http://schemas.openxmlformats.org/officeDocument/2006/relationships/hyperlink" Target="https://m.stock.naver.com/research/company/86949" TargetMode="External"/><Relationship Id="rId7342" Type="http://schemas.openxmlformats.org/officeDocument/2006/relationships/hyperlink" Target="https://m.stock.naver.com/research/company/85897" TargetMode="External"/><Relationship Id="rId10323" Type="http://schemas.openxmlformats.org/officeDocument/2006/relationships/hyperlink" Target="https://m.stock.naver.com/research/company/82898" TargetMode="External"/><Relationship Id="rId12495" Type="http://schemas.openxmlformats.org/officeDocument/2006/relationships/hyperlink" Target="https://m.stock.naver.com/research/company/80713" TargetMode="External"/><Relationship Id="rId13893" Type="http://schemas.openxmlformats.org/officeDocument/2006/relationships/hyperlink" Target="https://m.stock.naver.com/research/company/93673" TargetMode="External"/><Relationship Id="rId14944" Type="http://schemas.openxmlformats.org/officeDocument/2006/relationships/hyperlink" Target="https://m.stock.naver.com/research/company/94890" TargetMode="External"/><Relationship Id="rId873" Type="http://schemas.openxmlformats.org/officeDocument/2006/relationships/hyperlink" Target="https://m.stock.naver.com/research/company/92583" TargetMode="External"/><Relationship Id="rId2554" Type="http://schemas.openxmlformats.org/officeDocument/2006/relationships/hyperlink" Target="https://m.stock.naver.com/research/company/90700" TargetMode="External"/><Relationship Id="rId3952" Type="http://schemas.openxmlformats.org/officeDocument/2006/relationships/hyperlink" Target="https://m.stock.naver.com/research/company/89299" TargetMode="External"/><Relationship Id="rId9167" Type="http://schemas.openxmlformats.org/officeDocument/2006/relationships/hyperlink" Target="https://m.stock.naver.com/research/company/84063" TargetMode="External"/><Relationship Id="rId11097" Type="http://schemas.openxmlformats.org/officeDocument/2006/relationships/hyperlink" Target="https://m.stock.naver.com/research/company/82123" TargetMode="External"/><Relationship Id="rId12148" Type="http://schemas.openxmlformats.org/officeDocument/2006/relationships/hyperlink" Target="https://m.stock.naver.com/research/company/81063" TargetMode="External"/><Relationship Id="rId13546" Type="http://schemas.openxmlformats.org/officeDocument/2006/relationships/hyperlink" Target="https://m.stock.naver.com/research/company/79658" TargetMode="External"/><Relationship Id="rId526" Type="http://schemas.openxmlformats.org/officeDocument/2006/relationships/hyperlink" Target="https://m.stock.naver.com/research/company/92931" TargetMode="External"/><Relationship Id="rId1156" Type="http://schemas.openxmlformats.org/officeDocument/2006/relationships/hyperlink" Target="https://m.stock.naver.com/research/company/92099" TargetMode="External"/><Relationship Id="rId2207" Type="http://schemas.openxmlformats.org/officeDocument/2006/relationships/hyperlink" Target="https://m.stock.naver.com/research/company/91048" TargetMode="External"/><Relationship Id="rId3605" Type="http://schemas.openxmlformats.org/officeDocument/2006/relationships/hyperlink" Target="https://m.stock.naver.com/research/company/89646" TargetMode="External"/><Relationship Id="rId5777" Type="http://schemas.openxmlformats.org/officeDocument/2006/relationships/hyperlink" Target="https://m.stock.naver.com/research/company/87463" TargetMode="External"/><Relationship Id="rId6828" Type="http://schemas.openxmlformats.org/officeDocument/2006/relationships/hyperlink" Target="https://m.stock.naver.com/research/company/86412" TargetMode="External"/><Relationship Id="rId4379" Type="http://schemas.openxmlformats.org/officeDocument/2006/relationships/hyperlink" Target="https://m.stock.naver.com/research/company/88862" TargetMode="External"/><Relationship Id="rId8250" Type="http://schemas.openxmlformats.org/officeDocument/2006/relationships/hyperlink" Target="https://m.stock.naver.com/research/company/84988" TargetMode="External"/><Relationship Id="rId9301" Type="http://schemas.openxmlformats.org/officeDocument/2006/relationships/hyperlink" Target="https://m.stock.naver.com/research/company/83926" TargetMode="External"/><Relationship Id="rId10180" Type="http://schemas.openxmlformats.org/officeDocument/2006/relationships/hyperlink" Target="https://m.stock.naver.com/research/company/83041" TargetMode="External"/><Relationship Id="rId11231" Type="http://schemas.openxmlformats.org/officeDocument/2006/relationships/hyperlink" Target="https://m.stock.naver.com/research/company/81988" TargetMode="External"/><Relationship Id="rId4860" Type="http://schemas.openxmlformats.org/officeDocument/2006/relationships/hyperlink" Target="https://m.stock.naver.com/research/company/88380" TargetMode="External"/><Relationship Id="rId5911" Type="http://schemas.openxmlformats.org/officeDocument/2006/relationships/hyperlink" Target="https://m.stock.naver.com/research/company/87329" TargetMode="External"/><Relationship Id="rId14454" Type="http://schemas.openxmlformats.org/officeDocument/2006/relationships/hyperlink" Target="https://m.stock.naver.com/research/company/94456" TargetMode="External"/><Relationship Id="rId15505" Type="http://schemas.openxmlformats.org/officeDocument/2006/relationships/hyperlink" Target="https://m.stock.naver.com/research/company/95282" TargetMode="External"/><Relationship Id="rId3462" Type="http://schemas.openxmlformats.org/officeDocument/2006/relationships/hyperlink" Target="https://m.stock.naver.com/research/company/89789" TargetMode="External"/><Relationship Id="rId4513" Type="http://schemas.openxmlformats.org/officeDocument/2006/relationships/hyperlink" Target="https://m.stock.naver.com/research/company/88727" TargetMode="External"/><Relationship Id="rId13056" Type="http://schemas.openxmlformats.org/officeDocument/2006/relationships/hyperlink" Target="https://m.stock.naver.com/research/company/80151" TargetMode="External"/><Relationship Id="rId14107" Type="http://schemas.openxmlformats.org/officeDocument/2006/relationships/hyperlink" Target="https://m.stock.naver.com/research/company/93895" TargetMode="External"/><Relationship Id="rId383" Type="http://schemas.openxmlformats.org/officeDocument/2006/relationships/hyperlink" Target="https://m.stock.naver.com/research/company/93075" TargetMode="External"/><Relationship Id="rId2064" Type="http://schemas.openxmlformats.org/officeDocument/2006/relationships/hyperlink" Target="https://m.stock.naver.com/research/company/91191" TargetMode="External"/><Relationship Id="rId3115" Type="http://schemas.openxmlformats.org/officeDocument/2006/relationships/hyperlink" Target="https://m.stock.naver.com/research/company/90136" TargetMode="External"/><Relationship Id="rId6685" Type="http://schemas.openxmlformats.org/officeDocument/2006/relationships/hyperlink" Target="https://m.stock.naver.com/research/company/86555" TargetMode="External"/><Relationship Id="rId5287" Type="http://schemas.openxmlformats.org/officeDocument/2006/relationships/hyperlink" Target="https://m.stock.naver.com/research/company/87953" TargetMode="External"/><Relationship Id="rId6338" Type="http://schemas.openxmlformats.org/officeDocument/2006/relationships/hyperlink" Target="https://m.stock.naver.com/research/company/86902" TargetMode="External"/><Relationship Id="rId7736" Type="http://schemas.openxmlformats.org/officeDocument/2006/relationships/hyperlink" Target="https://m.stock.naver.com/research/company/85503" TargetMode="External"/><Relationship Id="rId10717" Type="http://schemas.openxmlformats.org/officeDocument/2006/relationships/hyperlink" Target="https://m.stock.naver.com/research/company/82503" TargetMode="External"/><Relationship Id="rId12889" Type="http://schemas.openxmlformats.org/officeDocument/2006/relationships/hyperlink" Target="https://m.stock.naver.com/research/company/80319" TargetMode="External"/><Relationship Id="rId1897" Type="http://schemas.openxmlformats.org/officeDocument/2006/relationships/hyperlink" Target="https://m.stock.naver.com/research/company/91358" TargetMode="External"/><Relationship Id="rId2948" Type="http://schemas.openxmlformats.org/officeDocument/2006/relationships/hyperlink" Target="https://m.stock.naver.com/research/company/90305" TargetMode="External"/><Relationship Id="rId15362" Type="http://schemas.openxmlformats.org/officeDocument/2006/relationships/hyperlink" Target="https://m.stock.naver.com/research/company/95226" TargetMode="External"/><Relationship Id="rId4370" Type="http://schemas.openxmlformats.org/officeDocument/2006/relationships/hyperlink" Target="https://m.stock.naver.com/research/company/88871" TargetMode="External"/><Relationship Id="rId5421" Type="http://schemas.openxmlformats.org/officeDocument/2006/relationships/hyperlink" Target="https://m.stock.naver.com/research/company/87819" TargetMode="External"/><Relationship Id="rId8991" Type="http://schemas.openxmlformats.org/officeDocument/2006/relationships/hyperlink" Target="https://m.stock.naver.com/research/company/84241" TargetMode="External"/><Relationship Id="rId15015" Type="http://schemas.openxmlformats.org/officeDocument/2006/relationships/hyperlink" Target="https://m.stock.naver.com/research/company/94819" TargetMode="External"/><Relationship Id="rId4023" Type="http://schemas.openxmlformats.org/officeDocument/2006/relationships/hyperlink" Target="https://m.stock.naver.com/research/company/89228" TargetMode="External"/><Relationship Id="rId7593" Type="http://schemas.openxmlformats.org/officeDocument/2006/relationships/hyperlink" Target="https://m.stock.naver.com/research/company/85646" TargetMode="External"/><Relationship Id="rId8644" Type="http://schemas.openxmlformats.org/officeDocument/2006/relationships/hyperlink" Target="https://m.stock.naver.com/research/company/84593" TargetMode="External"/><Relationship Id="rId11972" Type="http://schemas.openxmlformats.org/officeDocument/2006/relationships/hyperlink" Target="https://m.stock.naver.com/research/company/81239" TargetMode="External"/><Relationship Id="rId6195" Type="http://schemas.openxmlformats.org/officeDocument/2006/relationships/hyperlink" Target="https://m.stock.naver.com/research/company/87045" TargetMode="External"/><Relationship Id="rId7246" Type="http://schemas.openxmlformats.org/officeDocument/2006/relationships/hyperlink" Target="https://m.stock.naver.com/research/company/85993" TargetMode="External"/><Relationship Id="rId10227" Type="http://schemas.openxmlformats.org/officeDocument/2006/relationships/hyperlink" Target="https://m.stock.naver.com/research/company/82994" TargetMode="External"/><Relationship Id="rId10574" Type="http://schemas.openxmlformats.org/officeDocument/2006/relationships/hyperlink" Target="https://m.stock.naver.com/research/company/82646" TargetMode="External"/><Relationship Id="rId11625" Type="http://schemas.openxmlformats.org/officeDocument/2006/relationships/hyperlink" Target="https://m.stock.naver.com/research/company/81587" TargetMode="External"/><Relationship Id="rId13797" Type="http://schemas.openxmlformats.org/officeDocument/2006/relationships/hyperlink" Target="https://m.stock.naver.com/research/company/93581" TargetMode="External"/><Relationship Id="rId14848" Type="http://schemas.openxmlformats.org/officeDocument/2006/relationships/hyperlink" Target="https://m.stock.naver.com/research/company/94776" TargetMode="External"/><Relationship Id="rId3856" Type="http://schemas.openxmlformats.org/officeDocument/2006/relationships/hyperlink" Target="https://m.stock.naver.com/research/company/89395" TargetMode="External"/><Relationship Id="rId4907" Type="http://schemas.openxmlformats.org/officeDocument/2006/relationships/hyperlink" Target="https://m.stock.naver.com/research/company/88333" TargetMode="External"/><Relationship Id="rId12399" Type="http://schemas.openxmlformats.org/officeDocument/2006/relationships/hyperlink" Target="https://m.stock.naver.com/research/company/80810" TargetMode="External"/><Relationship Id="rId777" Type="http://schemas.openxmlformats.org/officeDocument/2006/relationships/hyperlink" Target="https://m.stock.naver.com/research/company/92679" TargetMode="External"/><Relationship Id="rId2458" Type="http://schemas.openxmlformats.org/officeDocument/2006/relationships/hyperlink" Target="https://m.stock.naver.com/research/company/90796" TargetMode="External"/><Relationship Id="rId3509" Type="http://schemas.openxmlformats.org/officeDocument/2006/relationships/hyperlink" Target="https://m.stock.naver.com/research/company/89742" TargetMode="External"/><Relationship Id="rId12880" Type="http://schemas.openxmlformats.org/officeDocument/2006/relationships/hyperlink" Target="https://m.stock.naver.com/research/company/80328" TargetMode="External"/><Relationship Id="rId13931" Type="http://schemas.openxmlformats.org/officeDocument/2006/relationships/hyperlink" Target="https://m.stock.naver.com/research/company/93706" TargetMode="External"/><Relationship Id="rId9552" Type="http://schemas.openxmlformats.org/officeDocument/2006/relationships/hyperlink" Target="https://m.stock.naver.com/research/company/83675" TargetMode="External"/><Relationship Id="rId11482" Type="http://schemas.openxmlformats.org/officeDocument/2006/relationships/hyperlink" Target="https://m.stock.naver.com/research/company/81733" TargetMode="External"/><Relationship Id="rId12533" Type="http://schemas.openxmlformats.org/officeDocument/2006/relationships/hyperlink" Target="https://m.stock.naver.com/research/company/80675" TargetMode="External"/><Relationship Id="rId911" Type="http://schemas.openxmlformats.org/officeDocument/2006/relationships/hyperlink" Target="https://m.stock.naver.com/research/company/92545" TargetMode="External"/><Relationship Id="rId1541" Type="http://schemas.openxmlformats.org/officeDocument/2006/relationships/hyperlink" Target="https://m.stock.naver.com/research/company/91714" TargetMode="External"/><Relationship Id="rId8154" Type="http://schemas.openxmlformats.org/officeDocument/2006/relationships/hyperlink" Target="https://m.stock.naver.com/research/company/85084" TargetMode="External"/><Relationship Id="rId9205" Type="http://schemas.openxmlformats.org/officeDocument/2006/relationships/hyperlink" Target="https://m.stock.naver.com/research/company/84025" TargetMode="External"/><Relationship Id="rId10084" Type="http://schemas.openxmlformats.org/officeDocument/2006/relationships/hyperlink" Target="https://m.stock.naver.com/research/company/83137" TargetMode="External"/><Relationship Id="rId11135" Type="http://schemas.openxmlformats.org/officeDocument/2006/relationships/hyperlink" Target="https://m.stock.naver.com/research/company/82085" TargetMode="External"/><Relationship Id="rId4764" Type="http://schemas.openxmlformats.org/officeDocument/2006/relationships/hyperlink" Target="https://m.stock.naver.com/research/company/88476" TargetMode="External"/><Relationship Id="rId14358" Type="http://schemas.openxmlformats.org/officeDocument/2006/relationships/hyperlink" Target="https://m.stock.naver.com/research/company/94193" TargetMode="External"/><Relationship Id="rId3366" Type="http://schemas.openxmlformats.org/officeDocument/2006/relationships/hyperlink" Target="https://m.stock.naver.com/research/company/89884" TargetMode="External"/><Relationship Id="rId4417" Type="http://schemas.openxmlformats.org/officeDocument/2006/relationships/hyperlink" Target="https://m.stock.naver.com/research/company/88824" TargetMode="External"/><Relationship Id="rId5815" Type="http://schemas.openxmlformats.org/officeDocument/2006/relationships/hyperlink" Target="https://m.stock.naver.com/research/company/87425" TargetMode="External"/><Relationship Id="rId15409" Type="http://schemas.openxmlformats.org/officeDocument/2006/relationships/hyperlink" Target="https://m.stock.naver.com/research/company/95378" TargetMode="External"/><Relationship Id="rId287" Type="http://schemas.openxmlformats.org/officeDocument/2006/relationships/hyperlink" Target="https://m.stock.naver.com/research/company/93171" TargetMode="External"/><Relationship Id="rId3019" Type="http://schemas.openxmlformats.org/officeDocument/2006/relationships/hyperlink" Target="https://m.stock.naver.com/research/company/90232" TargetMode="External"/><Relationship Id="rId7987" Type="http://schemas.openxmlformats.org/officeDocument/2006/relationships/hyperlink" Target="https://m.stock.naver.com/research/company/85251" TargetMode="External"/><Relationship Id="rId10968" Type="http://schemas.openxmlformats.org/officeDocument/2006/relationships/hyperlink" Target="https://m.stock.naver.com/research/company/82252" TargetMode="External"/><Relationship Id="rId6589" Type="http://schemas.openxmlformats.org/officeDocument/2006/relationships/hyperlink" Target="https://m.stock.naver.com/research/company/86651" TargetMode="External"/><Relationship Id="rId9062" Type="http://schemas.openxmlformats.org/officeDocument/2006/relationships/hyperlink" Target="https://m.stock.naver.com/research/company/84169" TargetMode="External"/><Relationship Id="rId12390" Type="http://schemas.openxmlformats.org/officeDocument/2006/relationships/hyperlink" Target="https://m.stock.naver.com/research/company/80819" TargetMode="External"/><Relationship Id="rId13441" Type="http://schemas.openxmlformats.org/officeDocument/2006/relationships/hyperlink" Target="https://m.stock.naver.com/research/company/79763" TargetMode="External"/><Relationship Id="rId3500" Type="http://schemas.openxmlformats.org/officeDocument/2006/relationships/hyperlink" Target="https://m.stock.naver.com/research/company/89751" TargetMode="External"/><Relationship Id="rId12043" Type="http://schemas.openxmlformats.org/officeDocument/2006/relationships/hyperlink" Target="https://m.stock.naver.com/research/company/81168" TargetMode="External"/><Relationship Id="rId421" Type="http://schemas.openxmlformats.org/officeDocument/2006/relationships/hyperlink" Target="https://m.stock.naver.com/research/company/93036" TargetMode="External"/><Relationship Id="rId1051" Type="http://schemas.openxmlformats.org/officeDocument/2006/relationships/hyperlink" Target="https://m.stock.naver.com/research/company/92300" TargetMode="External"/><Relationship Id="rId2102" Type="http://schemas.openxmlformats.org/officeDocument/2006/relationships/hyperlink" Target="https://m.stock.naver.com/research/company/91153" TargetMode="External"/><Relationship Id="rId5672" Type="http://schemas.openxmlformats.org/officeDocument/2006/relationships/hyperlink" Target="https://m.stock.naver.com/research/company/87568" TargetMode="External"/><Relationship Id="rId6723" Type="http://schemas.openxmlformats.org/officeDocument/2006/relationships/hyperlink" Target="https://m.stock.naver.com/research/company/86517" TargetMode="External"/><Relationship Id="rId15266" Type="http://schemas.openxmlformats.org/officeDocument/2006/relationships/hyperlink" Target="https://m.stock.naver.com/research/company/95094" TargetMode="External"/><Relationship Id="rId4274" Type="http://schemas.openxmlformats.org/officeDocument/2006/relationships/hyperlink" Target="https://m.stock.naver.com/research/company/88967" TargetMode="External"/><Relationship Id="rId5325" Type="http://schemas.openxmlformats.org/officeDocument/2006/relationships/hyperlink" Target="https://m.stock.naver.com/research/company/87915" TargetMode="External"/><Relationship Id="rId8895" Type="http://schemas.openxmlformats.org/officeDocument/2006/relationships/hyperlink" Target="https://m.stock.naver.com/research/company/84341" TargetMode="External"/><Relationship Id="rId7497" Type="http://schemas.openxmlformats.org/officeDocument/2006/relationships/hyperlink" Target="https://m.stock.naver.com/research/company/85742" TargetMode="External"/><Relationship Id="rId8548" Type="http://schemas.openxmlformats.org/officeDocument/2006/relationships/hyperlink" Target="https://m.stock.naver.com/research/company/84689" TargetMode="External"/><Relationship Id="rId9946" Type="http://schemas.openxmlformats.org/officeDocument/2006/relationships/hyperlink" Target="https://m.stock.naver.com/research/company/83276" TargetMode="External"/><Relationship Id="rId11876" Type="http://schemas.openxmlformats.org/officeDocument/2006/relationships/hyperlink" Target="https://m.stock.naver.com/research/company/81336" TargetMode="External"/><Relationship Id="rId12927" Type="http://schemas.openxmlformats.org/officeDocument/2006/relationships/hyperlink" Target="https://m.stock.naver.com/research/company/80281" TargetMode="External"/><Relationship Id="rId1935" Type="http://schemas.openxmlformats.org/officeDocument/2006/relationships/hyperlink" Target="https://m.stock.naver.com/research/company/91320" TargetMode="External"/><Relationship Id="rId6099" Type="http://schemas.openxmlformats.org/officeDocument/2006/relationships/hyperlink" Target="https://m.stock.naver.com/research/company/87141" TargetMode="External"/><Relationship Id="rId10478" Type="http://schemas.openxmlformats.org/officeDocument/2006/relationships/hyperlink" Target="https://m.stock.naver.com/research/company/82742" TargetMode="External"/><Relationship Id="rId11529" Type="http://schemas.openxmlformats.org/officeDocument/2006/relationships/hyperlink" Target="https://m.stock.naver.com/research/company/81686" TargetMode="External"/><Relationship Id="rId15400" Type="http://schemas.openxmlformats.org/officeDocument/2006/relationships/hyperlink" Target="https://m.stock.naver.com/research/company/95387" TargetMode="External"/><Relationship Id="rId3010" Type="http://schemas.openxmlformats.org/officeDocument/2006/relationships/hyperlink" Target="https://m.stock.naver.com/research/company/90241" TargetMode="External"/><Relationship Id="rId14002" Type="http://schemas.openxmlformats.org/officeDocument/2006/relationships/hyperlink" Target="https://m.stock.naver.com/research/company/93730" TargetMode="External"/><Relationship Id="rId6580" Type="http://schemas.openxmlformats.org/officeDocument/2006/relationships/hyperlink" Target="https://m.stock.naver.com/research/company/86660" TargetMode="External"/><Relationship Id="rId7631" Type="http://schemas.openxmlformats.org/officeDocument/2006/relationships/hyperlink" Target="https://m.stock.naver.com/research/company/85608" TargetMode="External"/><Relationship Id="rId10612" Type="http://schemas.openxmlformats.org/officeDocument/2006/relationships/hyperlink" Target="https://m.stock.naver.com/research/company/82608" TargetMode="External"/><Relationship Id="rId5182" Type="http://schemas.openxmlformats.org/officeDocument/2006/relationships/hyperlink" Target="https://m.stock.naver.com/research/company/88058" TargetMode="External"/><Relationship Id="rId6233" Type="http://schemas.openxmlformats.org/officeDocument/2006/relationships/hyperlink" Target="https://m.stock.naver.com/research/company/87007" TargetMode="External"/><Relationship Id="rId1792" Type="http://schemas.openxmlformats.org/officeDocument/2006/relationships/hyperlink" Target="https://m.stock.naver.com/research/company/91463" TargetMode="External"/><Relationship Id="rId2843" Type="http://schemas.openxmlformats.org/officeDocument/2006/relationships/hyperlink" Target="https://m.stock.naver.com/research/company/90410" TargetMode="External"/><Relationship Id="rId9456" Type="http://schemas.openxmlformats.org/officeDocument/2006/relationships/hyperlink" Target="https://m.stock.naver.com/research/company/83771" TargetMode="External"/><Relationship Id="rId11386" Type="http://schemas.openxmlformats.org/officeDocument/2006/relationships/hyperlink" Target="https://m.stock.naver.com/research/company/81829" TargetMode="External"/><Relationship Id="rId12437" Type="http://schemas.openxmlformats.org/officeDocument/2006/relationships/hyperlink" Target="https://m.stock.naver.com/research/company/80772" TargetMode="External"/><Relationship Id="rId12784" Type="http://schemas.openxmlformats.org/officeDocument/2006/relationships/hyperlink" Target="https://m.stock.naver.com/research/company/80424" TargetMode="External"/><Relationship Id="rId13835" Type="http://schemas.openxmlformats.org/officeDocument/2006/relationships/hyperlink" Target="https://m.stock.naver.com/research/company/93618" TargetMode="External"/><Relationship Id="rId815" Type="http://schemas.openxmlformats.org/officeDocument/2006/relationships/hyperlink" Target="https://m.stock.naver.com/research/company/92641" TargetMode="External"/><Relationship Id="rId1445" Type="http://schemas.openxmlformats.org/officeDocument/2006/relationships/hyperlink" Target="https://m.stock.naver.com/research/company/91810" TargetMode="External"/><Relationship Id="rId8058" Type="http://schemas.openxmlformats.org/officeDocument/2006/relationships/hyperlink" Target="https://m.stock.naver.com/research/company/85180" TargetMode="External"/><Relationship Id="rId9109" Type="http://schemas.openxmlformats.org/officeDocument/2006/relationships/hyperlink" Target="https://m.stock.naver.com/research/company/84121" TargetMode="External"/><Relationship Id="rId11039" Type="http://schemas.openxmlformats.org/officeDocument/2006/relationships/hyperlink" Target="https://m.stock.naver.com/research/company/82181" TargetMode="External"/><Relationship Id="rId4668" Type="http://schemas.openxmlformats.org/officeDocument/2006/relationships/hyperlink" Target="https://m.stock.naver.com/research/company/88572" TargetMode="External"/><Relationship Id="rId5719" Type="http://schemas.openxmlformats.org/officeDocument/2006/relationships/hyperlink" Target="https://m.stock.naver.com/research/company/87521" TargetMode="External"/><Relationship Id="rId6090" Type="http://schemas.openxmlformats.org/officeDocument/2006/relationships/hyperlink" Target="https://m.stock.naver.com/research/company/87150" TargetMode="External"/><Relationship Id="rId7141" Type="http://schemas.openxmlformats.org/officeDocument/2006/relationships/hyperlink" Target="https://m.stock.naver.com/research/company/86098" TargetMode="External"/><Relationship Id="rId11520" Type="http://schemas.openxmlformats.org/officeDocument/2006/relationships/hyperlink" Target="https://m.stock.naver.com/research/company/81695" TargetMode="External"/><Relationship Id="rId10122" Type="http://schemas.openxmlformats.org/officeDocument/2006/relationships/hyperlink" Target="https://m.stock.naver.com/research/company/83099" TargetMode="External"/><Relationship Id="rId13692" Type="http://schemas.openxmlformats.org/officeDocument/2006/relationships/hyperlink" Target="https://m.stock.naver.com/research/company/93482" TargetMode="External"/><Relationship Id="rId14743" Type="http://schemas.openxmlformats.org/officeDocument/2006/relationships/hyperlink" Target="https://m.stock.naver.com/research/company/94657" TargetMode="External"/><Relationship Id="rId3751" Type="http://schemas.openxmlformats.org/officeDocument/2006/relationships/hyperlink" Target="https://m.stock.naver.com/research/company/89500" TargetMode="External"/><Relationship Id="rId4802" Type="http://schemas.openxmlformats.org/officeDocument/2006/relationships/hyperlink" Target="https://m.stock.naver.com/research/company/88438" TargetMode="External"/><Relationship Id="rId12294" Type="http://schemas.openxmlformats.org/officeDocument/2006/relationships/hyperlink" Target="https://m.stock.naver.com/research/company/80915" TargetMode="External"/><Relationship Id="rId13345" Type="http://schemas.openxmlformats.org/officeDocument/2006/relationships/hyperlink" Target="https://m.stock.naver.com/research/company/79860" TargetMode="External"/><Relationship Id="rId672" Type="http://schemas.openxmlformats.org/officeDocument/2006/relationships/hyperlink" Target="https://m.stock.naver.com/research/company/92784" TargetMode="External"/><Relationship Id="rId2353" Type="http://schemas.openxmlformats.org/officeDocument/2006/relationships/hyperlink" Target="https://m.stock.naver.com/research/company/90901" TargetMode="External"/><Relationship Id="rId3404" Type="http://schemas.openxmlformats.org/officeDocument/2006/relationships/hyperlink" Target="https://m.stock.naver.com/research/company/89847" TargetMode="External"/><Relationship Id="rId6974" Type="http://schemas.openxmlformats.org/officeDocument/2006/relationships/hyperlink" Target="https://m.stock.naver.com/research/company/86265" TargetMode="External"/><Relationship Id="rId325" Type="http://schemas.openxmlformats.org/officeDocument/2006/relationships/hyperlink" Target="https://m.stock.naver.com/research/company/93133" TargetMode="External"/><Relationship Id="rId2006" Type="http://schemas.openxmlformats.org/officeDocument/2006/relationships/hyperlink" Target="https://m.stock.naver.com/research/company/91249" TargetMode="External"/><Relationship Id="rId5576" Type="http://schemas.openxmlformats.org/officeDocument/2006/relationships/hyperlink" Target="https://m.stock.naver.com/research/company/87664" TargetMode="External"/><Relationship Id="rId6627" Type="http://schemas.openxmlformats.org/officeDocument/2006/relationships/hyperlink" Target="https://m.stock.naver.com/research/company/86613" TargetMode="External"/><Relationship Id="rId4178" Type="http://schemas.openxmlformats.org/officeDocument/2006/relationships/hyperlink" Target="https://m.stock.naver.com/research/company/89071" TargetMode="External"/><Relationship Id="rId5229" Type="http://schemas.openxmlformats.org/officeDocument/2006/relationships/hyperlink" Target="https://m.stock.naver.com/research/company/88011" TargetMode="External"/><Relationship Id="rId9100" Type="http://schemas.openxmlformats.org/officeDocument/2006/relationships/hyperlink" Target="https://m.stock.naver.com/research/company/84130" TargetMode="External"/><Relationship Id="rId8799" Type="http://schemas.openxmlformats.org/officeDocument/2006/relationships/hyperlink" Target="https://m.stock.naver.com/research/company/84438" TargetMode="External"/><Relationship Id="rId11030" Type="http://schemas.openxmlformats.org/officeDocument/2006/relationships/hyperlink" Target="https://m.stock.naver.com/research/company/82190" TargetMode="External"/><Relationship Id="rId15651" Type="http://schemas.openxmlformats.org/officeDocument/2006/relationships/hyperlink" Target="https://m.stock.naver.com/research/company/95763" TargetMode="External"/><Relationship Id="rId1839" Type="http://schemas.openxmlformats.org/officeDocument/2006/relationships/hyperlink" Target="https://m.stock.naver.com/research/company/91416" TargetMode="External"/><Relationship Id="rId5710" Type="http://schemas.openxmlformats.org/officeDocument/2006/relationships/hyperlink" Target="https://m.stock.naver.com/research/company/87530" TargetMode="External"/><Relationship Id="rId14253" Type="http://schemas.openxmlformats.org/officeDocument/2006/relationships/hyperlink" Target="https://m.stock.naver.com/research/company/94090" TargetMode="External"/><Relationship Id="rId15304" Type="http://schemas.openxmlformats.org/officeDocument/2006/relationships/hyperlink" Target="https://m.stock.naver.com/research/company/95056" TargetMode="External"/><Relationship Id="rId182" Type="http://schemas.openxmlformats.org/officeDocument/2006/relationships/hyperlink" Target="https://m.stock.naver.com/research/company/93276" TargetMode="External"/><Relationship Id="rId3261" Type="http://schemas.openxmlformats.org/officeDocument/2006/relationships/hyperlink" Target="https://m.stock.naver.com/research/company/89989" TargetMode="External"/><Relationship Id="rId4312" Type="http://schemas.openxmlformats.org/officeDocument/2006/relationships/hyperlink" Target="https://m.stock.naver.com/research/company/88929" TargetMode="External"/><Relationship Id="rId7882" Type="http://schemas.openxmlformats.org/officeDocument/2006/relationships/hyperlink" Target="https://m.stock.naver.com/research/company/85356" TargetMode="External"/><Relationship Id="rId8933" Type="http://schemas.openxmlformats.org/officeDocument/2006/relationships/hyperlink" Target="https://m.stock.naver.com/research/company/84302" TargetMode="External"/><Relationship Id="rId6484" Type="http://schemas.openxmlformats.org/officeDocument/2006/relationships/hyperlink" Target="https://m.stock.naver.com/research/company/86756" TargetMode="External"/><Relationship Id="rId7535" Type="http://schemas.openxmlformats.org/officeDocument/2006/relationships/hyperlink" Target="https://m.stock.naver.com/research/company/85704" TargetMode="External"/><Relationship Id="rId10516" Type="http://schemas.openxmlformats.org/officeDocument/2006/relationships/hyperlink" Target="https://m.stock.naver.com/research/company/82704" TargetMode="External"/><Relationship Id="rId10863" Type="http://schemas.openxmlformats.org/officeDocument/2006/relationships/hyperlink" Target="https://m.stock.naver.com/research/company/82357" TargetMode="External"/><Relationship Id="rId11914" Type="http://schemas.openxmlformats.org/officeDocument/2006/relationships/hyperlink" Target="https://m.stock.naver.com/research/company/81297" TargetMode="External"/><Relationship Id="rId5086" Type="http://schemas.openxmlformats.org/officeDocument/2006/relationships/hyperlink" Target="https://m.stock.naver.com/research/company/88154" TargetMode="External"/><Relationship Id="rId6137" Type="http://schemas.openxmlformats.org/officeDocument/2006/relationships/hyperlink" Target="https://m.stock.naver.com/research/company/87103" TargetMode="External"/><Relationship Id="rId1696" Type="http://schemas.openxmlformats.org/officeDocument/2006/relationships/hyperlink" Target="https://m.stock.naver.com/research/company/91559" TargetMode="External"/><Relationship Id="rId12688" Type="http://schemas.openxmlformats.org/officeDocument/2006/relationships/hyperlink" Target="https://m.stock.naver.com/research/company/80520" TargetMode="External"/><Relationship Id="rId13739" Type="http://schemas.openxmlformats.org/officeDocument/2006/relationships/hyperlink" Target="https://m.stock.naver.com/research/company/93500" TargetMode="External"/><Relationship Id="rId1349" Type="http://schemas.openxmlformats.org/officeDocument/2006/relationships/hyperlink" Target="https://m.stock.naver.com/research/company/91906" TargetMode="External"/><Relationship Id="rId2747" Type="http://schemas.openxmlformats.org/officeDocument/2006/relationships/hyperlink" Target="https://m.stock.naver.com/research/company/90507" TargetMode="External"/><Relationship Id="rId5220" Type="http://schemas.openxmlformats.org/officeDocument/2006/relationships/hyperlink" Target="https://m.stock.naver.com/research/company/88020" TargetMode="External"/><Relationship Id="rId15161" Type="http://schemas.openxmlformats.org/officeDocument/2006/relationships/hyperlink" Target="https://m.stock.naver.com/research/company/95199" TargetMode="External"/><Relationship Id="rId719" Type="http://schemas.openxmlformats.org/officeDocument/2006/relationships/hyperlink" Target="https://m.stock.naver.com/research/company/92737" TargetMode="External"/><Relationship Id="rId8790" Type="http://schemas.openxmlformats.org/officeDocument/2006/relationships/hyperlink" Target="https://m.stock.naver.com/research/company/84447" TargetMode="External"/><Relationship Id="rId9841" Type="http://schemas.openxmlformats.org/officeDocument/2006/relationships/hyperlink" Target="https://m.stock.naver.com/research/company/83381" TargetMode="External"/><Relationship Id="rId11771" Type="http://schemas.openxmlformats.org/officeDocument/2006/relationships/hyperlink" Target="https://m.stock.naver.com/research/company/81441" TargetMode="External"/><Relationship Id="rId12822" Type="http://schemas.openxmlformats.org/officeDocument/2006/relationships/hyperlink" Target="https://m.stock.naver.com/research/company/80386" TargetMode="External"/><Relationship Id="rId55" Type="http://schemas.openxmlformats.org/officeDocument/2006/relationships/hyperlink" Target="https://m.stock.naver.com/research/company/93403" TargetMode="External"/><Relationship Id="rId1830" Type="http://schemas.openxmlformats.org/officeDocument/2006/relationships/hyperlink" Target="https://m.stock.naver.com/research/company/91425" TargetMode="External"/><Relationship Id="rId7392" Type="http://schemas.openxmlformats.org/officeDocument/2006/relationships/hyperlink" Target="https://m.stock.naver.com/research/company/85847" TargetMode="External"/><Relationship Id="rId8443" Type="http://schemas.openxmlformats.org/officeDocument/2006/relationships/hyperlink" Target="https://m.stock.naver.com/research/company/84794" TargetMode="External"/><Relationship Id="rId10373" Type="http://schemas.openxmlformats.org/officeDocument/2006/relationships/hyperlink" Target="https://m.stock.naver.com/research/company/82848" TargetMode="External"/><Relationship Id="rId11424" Type="http://schemas.openxmlformats.org/officeDocument/2006/relationships/hyperlink" Target="https://m.stock.naver.com/research/company/81791" TargetMode="External"/><Relationship Id="rId14994" Type="http://schemas.openxmlformats.org/officeDocument/2006/relationships/hyperlink" Target="https://m.stock.naver.com/research/company/94840" TargetMode="External"/><Relationship Id="rId7045" Type="http://schemas.openxmlformats.org/officeDocument/2006/relationships/hyperlink" Target="https://m.stock.naver.com/research/company/86194" TargetMode="External"/><Relationship Id="rId10026" Type="http://schemas.openxmlformats.org/officeDocument/2006/relationships/hyperlink" Target="https://m.stock.naver.com/research/company/83195" TargetMode="External"/><Relationship Id="rId13596" Type="http://schemas.openxmlformats.org/officeDocument/2006/relationships/hyperlink" Target="https://m.stock.naver.com/research/company/79608" TargetMode="External"/><Relationship Id="rId14647" Type="http://schemas.openxmlformats.org/officeDocument/2006/relationships/hyperlink" Target="https://m.stock.naver.com/research/company/94531" TargetMode="External"/><Relationship Id="rId3655" Type="http://schemas.openxmlformats.org/officeDocument/2006/relationships/hyperlink" Target="https://m.stock.naver.com/research/company/89596" TargetMode="External"/><Relationship Id="rId4706" Type="http://schemas.openxmlformats.org/officeDocument/2006/relationships/hyperlink" Target="https://m.stock.naver.com/research/company/88534" TargetMode="External"/><Relationship Id="rId12198" Type="http://schemas.openxmlformats.org/officeDocument/2006/relationships/hyperlink" Target="https://m.stock.naver.com/research/company/81013" TargetMode="External"/><Relationship Id="rId13249" Type="http://schemas.openxmlformats.org/officeDocument/2006/relationships/hyperlink" Target="https://m.stock.naver.com/research/company/79958" TargetMode="External"/><Relationship Id="rId576" Type="http://schemas.openxmlformats.org/officeDocument/2006/relationships/hyperlink" Target="https://m.stock.naver.com/research/company/92881" TargetMode="External"/><Relationship Id="rId2257" Type="http://schemas.openxmlformats.org/officeDocument/2006/relationships/hyperlink" Target="https://m.stock.naver.com/research/company/90998" TargetMode="External"/><Relationship Id="rId3308" Type="http://schemas.openxmlformats.org/officeDocument/2006/relationships/hyperlink" Target="https://m.stock.naver.com/research/company/89942" TargetMode="External"/><Relationship Id="rId229" Type="http://schemas.openxmlformats.org/officeDocument/2006/relationships/hyperlink" Target="https://m.stock.naver.com/research/company/93229" TargetMode="External"/><Relationship Id="rId6878" Type="http://schemas.openxmlformats.org/officeDocument/2006/relationships/hyperlink" Target="https://m.stock.naver.com/research/company/86361" TargetMode="External"/><Relationship Id="rId7929" Type="http://schemas.openxmlformats.org/officeDocument/2006/relationships/hyperlink" Target="https://m.stock.naver.com/research/company/85309" TargetMode="External"/><Relationship Id="rId9351" Type="http://schemas.openxmlformats.org/officeDocument/2006/relationships/hyperlink" Target="https://m.stock.naver.com/research/company/83876" TargetMode="External"/><Relationship Id="rId13730" Type="http://schemas.openxmlformats.org/officeDocument/2006/relationships/hyperlink" Target="https://m.stock.naver.com/research/company/93509" TargetMode="External"/><Relationship Id="rId9004" Type="http://schemas.openxmlformats.org/officeDocument/2006/relationships/hyperlink" Target="https://m.stock.naver.com/research/company/84228" TargetMode="External"/><Relationship Id="rId11281" Type="http://schemas.openxmlformats.org/officeDocument/2006/relationships/hyperlink" Target="https://m.stock.naver.com/research/company/81938" TargetMode="External"/><Relationship Id="rId12332" Type="http://schemas.openxmlformats.org/officeDocument/2006/relationships/hyperlink" Target="https://m.stock.naver.com/research/company/80877" TargetMode="External"/><Relationship Id="rId710" Type="http://schemas.openxmlformats.org/officeDocument/2006/relationships/hyperlink" Target="https://m.stock.naver.com/research/company/92746" TargetMode="External"/><Relationship Id="rId1340" Type="http://schemas.openxmlformats.org/officeDocument/2006/relationships/hyperlink" Target="https://m.stock.naver.com/research/company/91915" TargetMode="External"/><Relationship Id="rId5961" Type="http://schemas.openxmlformats.org/officeDocument/2006/relationships/hyperlink" Target="https://m.stock.naver.com/research/company/87279" TargetMode="External"/><Relationship Id="rId15555" Type="http://schemas.openxmlformats.org/officeDocument/2006/relationships/hyperlink" Target="https://m.stock.naver.com/research/company/95481" TargetMode="External"/><Relationship Id="rId4563" Type="http://schemas.openxmlformats.org/officeDocument/2006/relationships/hyperlink" Target="https://m.stock.naver.com/research/company/88677" TargetMode="External"/><Relationship Id="rId5614" Type="http://schemas.openxmlformats.org/officeDocument/2006/relationships/hyperlink" Target="https://m.stock.naver.com/research/company/87626" TargetMode="External"/><Relationship Id="rId14157" Type="http://schemas.openxmlformats.org/officeDocument/2006/relationships/hyperlink" Target="https://m.stock.naver.com/research/company/93971" TargetMode="External"/><Relationship Id="rId15208" Type="http://schemas.openxmlformats.org/officeDocument/2006/relationships/hyperlink" Target="https://m.stock.naver.com/research/company/95152" TargetMode="External"/><Relationship Id="rId3165" Type="http://schemas.openxmlformats.org/officeDocument/2006/relationships/hyperlink" Target="https://m.stock.naver.com/research/company/90086" TargetMode="External"/><Relationship Id="rId4216" Type="http://schemas.openxmlformats.org/officeDocument/2006/relationships/hyperlink" Target="https://m.stock.naver.com/research/company/89026" TargetMode="External"/><Relationship Id="rId7786" Type="http://schemas.openxmlformats.org/officeDocument/2006/relationships/hyperlink" Target="https://m.stock.naver.com/research/company/85452" TargetMode="External"/><Relationship Id="rId8837" Type="http://schemas.openxmlformats.org/officeDocument/2006/relationships/hyperlink" Target="https://m.stock.naver.com/research/company/84400" TargetMode="External"/><Relationship Id="rId6388" Type="http://schemas.openxmlformats.org/officeDocument/2006/relationships/hyperlink" Target="https://m.stock.naver.com/research/company/86852" TargetMode="External"/><Relationship Id="rId7439" Type="http://schemas.openxmlformats.org/officeDocument/2006/relationships/hyperlink" Target="https://m.stock.naver.com/research/company/85800" TargetMode="External"/><Relationship Id="rId10767" Type="http://schemas.openxmlformats.org/officeDocument/2006/relationships/hyperlink" Target="https://m.stock.naver.com/research/company/82453" TargetMode="External"/><Relationship Id="rId11818" Type="http://schemas.openxmlformats.org/officeDocument/2006/relationships/hyperlink" Target="https://m.stock.naver.com/research/company/81394" TargetMode="External"/><Relationship Id="rId13240" Type="http://schemas.openxmlformats.org/officeDocument/2006/relationships/hyperlink" Target="https://m.stock.naver.com/research/company/79967" TargetMode="External"/><Relationship Id="rId220" Type="http://schemas.openxmlformats.org/officeDocument/2006/relationships/hyperlink" Target="https://m.stock.naver.com/research/company/93238" TargetMode="External"/><Relationship Id="rId2998" Type="http://schemas.openxmlformats.org/officeDocument/2006/relationships/hyperlink" Target="https://m.stock.naver.com/research/company/90254" TargetMode="External"/><Relationship Id="rId7920" Type="http://schemas.openxmlformats.org/officeDocument/2006/relationships/hyperlink" Target="https://m.stock.naver.com/research/company/85318" TargetMode="External"/><Relationship Id="rId10901" Type="http://schemas.openxmlformats.org/officeDocument/2006/relationships/hyperlink" Target="https://m.stock.naver.com/research/company/82319" TargetMode="External"/><Relationship Id="rId4073" Type="http://schemas.openxmlformats.org/officeDocument/2006/relationships/hyperlink" Target="https://m.stock.naver.com/research/company/89178" TargetMode="External"/><Relationship Id="rId5471" Type="http://schemas.openxmlformats.org/officeDocument/2006/relationships/hyperlink" Target="https://m.stock.naver.com/research/company/87769" TargetMode="External"/><Relationship Id="rId6522" Type="http://schemas.openxmlformats.org/officeDocument/2006/relationships/hyperlink" Target="https://m.stock.naver.com/research/company/86718" TargetMode="External"/><Relationship Id="rId15065" Type="http://schemas.openxmlformats.org/officeDocument/2006/relationships/hyperlink" Target="https://m.stock.naver.com/research/company/95029" TargetMode="External"/><Relationship Id="rId5124" Type="http://schemas.openxmlformats.org/officeDocument/2006/relationships/hyperlink" Target="https://m.stock.naver.com/research/company/88116" TargetMode="External"/><Relationship Id="rId8694" Type="http://schemas.openxmlformats.org/officeDocument/2006/relationships/hyperlink" Target="https://m.stock.naver.com/research/company/84543" TargetMode="External"/><Relationship Id="rId9745" Type="http://schemas.openxmlformats.org/officeDocument/2006/relationships/hyperlink" Target="https://m.stock.naver.com/research/company/83478" TargetMode="External"/><Relationship Id="rId11675" Type="http://schemas.openxmlformats.org/officeDocument/2006/relationships/hyperlink" Target="https://m.stock.naver.com/research/company/81537" TargetMode="External"/><Relationship Id="rId12726" Type="http://schemas.openxmlformats.org/officeDocument/2006/relationships/hyperlink" Target="https://m.stock.naver.com/research/company/80482" TargetMode="External"/><Relationship Id="rId1734" Type="http://schemas.openxmlformats.org/officeDocument/2006/relationships/hyperlink" Target="https://m.stock.naver.com/research/company/91521" TargetMode="External"/><Relationship Id="rId7296" Type="http://schemas.openxmlformats.org/officeDocument/2006/relationships/hyperlink" Target="https://m.stock.naver.com/research/company/85943" TargetMode="External"/><Relationship Id="rId8347" Type="http://schemas.openxmlformats.org/officeDocument/2006/relationships/hyperlink" Target="https://m.stock.naver.com/research/company/84891" TargetMode="External"/><Relationship Id="rId10277" Type="http://schemas.openxmlformats.org/officeDocument/2006/relationships/hyperlink" Target="https://m.stock.naver.com/research/company/82944" TargetMode="External"/><Relationship Id="rId11328" Type="http://schemas.openxmlformats.org/officeDocument/2006/relationships/hyperlink" Target="https://m.stock.naver.com/research/company/81888" TargetMode="External"/><Relationship Id="rId14898" Type="http://schemas.openxmlformats.org/officeDocument/2006/relationships/hyperlink" Target="https://m.stock.naver.com/research/company/94726" TargetMode="External"/><Relationship Id="rId3559" Type="http://schemas.openxmlformats.org/officeDocument/2006/relationships/hyperlink" Target="https://m.stock.naver.com/research/company/89692" TargetMode="External"/><Relationship Id="rId4957" Type="http://schemas.openxmlformats.org/officeDocument/2006/relationships/hyperlink" Target="https://m.stock.naver.com/research/company/88283" TargetMode="External"/><Relationship Id="rId7430" Type="http://schemas.openxmlformats.org/officeDocument/2006/relationships/hyperlink" Target="https://m.stock.naver.com/research/company/85809" TargetMode="External"/><Relationship Id="rId6032" Type="http://schemas.openxmlformats.org/officeDocument/2006/relationships/hyperlink" Target="https://m.stock.naver.com/research/company/87208" TargetMode="External"/><Relationship Id="rId10411" Type="http://schemas.openxmlformats.org/officeDocument/2006/relationships/hyperlink" Target="https://m.stock.naver.com/research/company/82810" TargetMode="External"/><Relationship Id="rId13981" Type="http://schemas.openxmlformats.org/officeDocument/2006/relationships/hyperlink" Target="https://m.stock.naver.com/research/company/93751" TargetMode="External"/><Relationship Id="rId12583" Type="http://schemas.openxmlformats.org/officeDocument/2006/relationships/hyperlink" Target="https://m.stock.naver.com/research/company/80625" TargetMode="External"/><Relationship Id="rId13634" Type="http://schemas.openxmlformats.org/officeDocument/2006/relationships/hyperlink" Target="https://m.stock.naver.com/research/company/79570" TargetMode="External"/><Relationship Id="rId961" Type="http://schemas.openxmlformats.org/officeDocument/2006/relationships/hyperlink" Target="https://m.stock.naver.com/research/company/92495" TargetMode="External"/><Relationship Id="rId1591" Type="http://schemas.openxmlformats.org/officeDocument/2006/relationships/hyperlink" Target="https://m.stock.naver.com/research/company/91664" TargetMode="External"/><Relationship Id="rId2642" Type="http://schemas.openxmlformats.org/officeDocument/2006/relationships/hyperlink" Target="https://m.stock.naver.com/research/company/90612" TargetMode="External"/><Relationship Id="rId9255" Type="http://schemas.openxmlformats.org/officeDocument/2006/relationships/hyperlink" Target="https://m.stock.naver.com/research/company/83973" TargetMode="External"/><Relationship Id="rId11185" Type="http://schemas.openxmlformats.org/officeDocument/2006/relationships/hyperlink" Target="https://m.stock.naver.com/research/company/82035" TargetMode="External"/><Relationship Id="rId12236" Type="http://schemas.openxmlformats.org/officeDocument/2006/relationships/hyperlink" Target="https://m.stock.naver.com/research/company/80974" TargetMode="External"/><Relationship Id="rId614" Type="http://schemas.openxmlformats.org/officeDocument/2006/relationships/hyperlink" Target="https://m.stock.naver.com/research/company/92842" TargetMode="External"/><Relationship Id="rId1244" Type="http://schemas.openxmlformats.org/officeDocument/2006/relationships/hyperlink" Target="https://m.stock.naver.com/research/company/92011" TargetMode="External"/><Relationship Id="rId5865" Type="http://schemas.openxmlformats.org/officeDocument/2006/relationships/hyperlink" Target="https://m.stock.naver.com/research/company/87375" TargetMode="External"/><Relationship Id="rId6916" Type="http://schemas.openxmlformats.org/officeDocument/2006/relationships/hyperlink" Target="https://m.stock.naver.com/research/company/86323" TargetMode="External"/><Relationship Id="rId15459" Type="http://schemas.openxmlformats.org/officeDocument/2006/relationships/hyperlink" Target="https://m.stock.naver.com/research/company/95328" TargetMode="External"/><Relationship Id="rId4467" Type="http://schemas.openxmlformats.org/officeDocument/2006/relationships/hyperlink" Target="https://m.stock.naver.com/research/company/88773" TargetMode="External"/><Relationship Id="rId5518" Type="http://schemas.openxmlformats.org/officeDocument/2006/relationships/hyperlink" Target="https://m.stock.naver.com/research/company/87722" TargetMode="External"/><Relationship Id="rId3069" Type="http://schemas.openxmlformats.org/officeDocument/2006/relationships/hyperlink" Target="https://m.stock.naver.com/research/company/90182" TargetMode="External"/><Relationship Id="rId13491" Type="http://schemas.openxmlformats.org/officeDocument/2006/relationships/hyperlink" Target="https://m.stock.naver.com/research/company/79713" TargetMode="External"/><Relationship Id="rId14542" Type="http://schemas.openxmlformats.org/officeDocument/2006/relationships/hyperlink" Target="https://m.stock.naver.com/research/company/94368" TargetMode="External"/><Relationship Id="rId471" Type="http://schemas.openxmlformats.org/officeDocument/2006/relationships/hyperlink" Target="https://m.stock.naver.com/research/company/92986" TargetMode="External"/><Relationship Id="rId2152" Type="http://schemas.openxmlformats.org/officeDocument/2006/relationships/hyperlink" Target="https://m.stock.naver.com/research/company/91103" TargetMode="External"/><Relationship Id="rId3550" Type="http://schemas.openxmlformats.org/officeDocument/2006/relationships/hyperlink" Target="https://m.stock.naver.com/research/company/89701" TargetMode="External"/><Relationship Id="rId4601" Type="http://schemas.openxmlformats.org/officeDocument/2006/relationships/hyperlink" Target="https://m.stock.naver.com/research/company/88639" TargetMode="External"/><Relationship Id="rId12093" Type="http://schemas.openxmlformats.org/officeDocument/2006/relationships/hyperlink" Target="https://m.stock.naver.com/research/company/81118" TargetMode="External"/><Relationship Id="rId13144" Type="http://schemas.openxmlformats.org/officeDocument/2006/relationships/hyperlink" Target="https://m.stock.naver.com/research/company/80063" TargetMode="External"/><Relationship Id="rId124" Type="http://schemas.openxmlformats.org/officeDocument/2006/relationships/hyperlink" Target="https://m.stock.naver.com/research/company/93334" TargetMode="External"/><Relationship Id="rId3203" Type="http://schemas.openxmlformats.org/officeDocument/2006/relationships/hyperlink" Target="https://m.stock.naver.com/research/company/90048" TargetMode="External"/><Relationship Id="rId6773" Type="http://schemas.openxmlformats.org/officeDocument/2006/relationships/hyperlink" Target="https://m.stock.naver.com/research/company/86467" TargetMode="External"/><Relationship Id="rId7824" Type="http://schemas.openxmlformats.org/officeDocument/2006/relationships/hyperlink" Target="https://m.stock.naver.com/research/company/85414" TargetMode="External"/><Relationship Id="rId10805" Type="http://schemas.openxmlformats.org/officeDocument/2006/relationships/hyperlink" Target="https://m.stock.naver.com/research/company/82415" TargetMode="External"/><Relationship Id="rId5375" Type="http://schemas.openxmlformats.org/officeDocument/2006/relationships/hyperlink" Target="https://m.stock.naver.com/research/company/87865" TargetMode="External"/><Relationship Id="rId6426" Type="http://schemas.openxmlformats.org/officeDocument/2006/relationships/hyperlink" Target="https://m.stock.naver.com/research/company/86814" TargetMode="External"/><Relationship Id="rId9996" Type="http://schemas.openxmlformats.org/officeDocument/2006/relationships/hyperlink" Target="https://m.stock.naver.com/research/company/83225" TargetMode="External"/><Relationship Id="rId1985" Type="http://schemas.openxmlformats.org/officeDocument/2006/relationships/hyperlink" Target="https://m.stock.naver.com/research/company/91270" TargetMode="External"/><Relationship Id="rId5028" Type="http://schemas.openxmlformats.org/officeDocument/2006/relationships/hyperlink" Target="https://m.stock.naver.com/research/company/88212" TargetMode="External"/><Relationship Id="rId8598" Type="http://schemas.openxmlformats.org/officeDocument/2006/relationships/hyperlink" Target="https://m.stock.naver.com/research/company/84639" TargetMode="External"/><Relationship Id="rId9649" Type="http://schemas.openxmlformats.org/officeDocument/2006/relationships/hyperlink" Target="https://m.stock.naver.com/research/company/83575" TargetMode="External"/><Relationship Id="rId11579" Type="http://schemas.openxmlformats.org/officeDocument/2006/relationships/hyperlink" Target="https://m.stock.naver.com/research/company/81634" TargetMode="External"/><Relationship Id="rId12977" Type="http://schemas.openxmlformats.org/officeDocument/2006/relationships/hyperlink" Target="https://m.stock.naver.com/research/company/80231" TargetMode="External"/><Relationship Id="rId1638" Type="http://schemas.openxmlformats.org/officeDocument/2006/relationships/hyperlink" Target="https://m.stock.naver.com/research/company/91617" TargetMode="External"/><Relationship Id="rId14052" Type="http://schemas.openxmlformats.org/officeDocument/2006/relationships/hyperlink" Target="https://m.stock.naver.com/research/company/93871" TargetMode="External"/><Relationship Id="rId15103" Type="http://schemas.openxmlformats.org/officeDocument/2006/relationships/hyperlink" Target="https://m.stock.naver.com/research/company/94991" TargetMode="External"/><Relationship Id="rId15450" Type="http://schemas.openxmlformats.org/officeDocument/2006/relationships/hyperlink" Target="https://m.stock.naver.com/research/company/95337" TargetMode="External"/><Relationship Id="rId3060" Type="http://schemas.openxmlformats.org/officeDocument/2006/relationships/hyperlink" Target="https://m.stock.naver.com/research/company/90191" TargetMode="External"/><Relationship Id="rId4111" Type="http://schemas.openxmlformats.org/officeDocument/2006/relationships/hyperlink" Target="https://m.stock.naver.com/research/company/89140" TargetMode="External"/><Relationship Id="rId6283" Type="http://schemas.openxmlformats.org/officeDocument/2006/relationships/hyperlink" Target="https://m.stock.naver.com/research/company/86957" TargetMode="External"/><Relationship Id="rId7681" Type="http://schemas.openxmlformats.org/officeDocument/2006/relationships/hyperlink" Target="https://m.stock.naver.com/research/company/85558" TargetMode="External"/><Relationship Id="rId8732" Type="http://schemas.openxmlformats.org/officeDocument/2006/relationships/hyperlink" Target="https://m.stock.naver.com/research/company/84505" TargetMode="External"/><Relationship Id="rId10662" Type="http://schemas.openxmlformats.org/officeDocument/2006/relationships/hyperlink" Target="https://m.stock.naver.com/research/company/82558" TargetMode="External"/><Relationship Id="rId11713" Type="http://schemas.openxmlformats.org/officeDocument/2006/relationships/hyperlink" Target="https://m.stock.naver.com/research/company/81499" TargetMode="External"/><Relationship Id="rId7334" Type="http://schemas.openxmlformats.org/officeDocument/2006/relationships/hyperlink" Target="https://m.stock.naver.com/research/company/85905" TargetMode="External"/><Relationship Id="rId10315" Type="http://schemas.openxmlformats.org/officeDocument/2006/relationships/hyperlink" Target="https://m.stock.naver.com/research/company/82906" TargetMode="External"/><Relationship Id="rId13885" Type="http://schemas.openxmlformats.org/officeDocument/2006/relationships/hyperlink" Target="https://m.stock.naver.com/research/company/93681" TargetMode="External"/><Relationship Id="rId14936" Type="http://schemas.openxmlformats.org/officeDocument/2006/relationships/hyperlink" Target="https://m.stock.naver.com/research/company/94898" TargetMode="External"/><Relationship Id="rId2893" Type="http://schemas.openxmlformats.org/officeDocument/2006/relationships/hyperlink" Target="https://m.stock.naver.com/research/company/90360" TargetMode="External"/><Relationship Id="rId3944" Type="http://schemas.openxmlformats.org/officeDocument/2006/relationships/hyperlink" Target="https://m.stock.naver.com/research/company/89307" TargetMode="External"/><Relationship Id="rId12487" Type="http://schemas.openxmlformats.org/officeDocument/2006/relationships/hyperlink" Target="https://m.stock.naver.com/research/company/80721" TargetMode="External"/><Relationship Id="rId13538" Type="http://schemas.openxmlformats.org/officeDocument/2006/relationships/hyperlink" Target="https://m.stock.naver.com/research/company/79666" TargetMode="External"/><Relationship Id="rId865" Type="http://schemas.openxmlformats.org/officeDocument/2006/relationships/hyperlink" Target="https://m.stock.naver.com/research/company/92591" TargetMode="External"/><Relationship Id="rId1495" Type="http://schemas.openxmlformats.org/officeDocument/2006/relationships/hyperlink" Target="https://m.stock.naver.com/research/company/91760" TargetMode="External"/><Relationship Id="rId2546" Type="http://schemas.openxmlformats.org/officeDocument/2006/relationships/hyperlink" Target="https://m.stock.naver.com/research/company/90708" TargetMode="External"/><Relationship Id="rId9159" Type="http://schemas.openxmlformats.org/officeDocument/2006/relationships/hyperlink" Target="https://m.stock.naver.com/research/company/84071" TargetMode="External"/><Relationship Id="rId11089" Type="http://schemas.openxmlformats.org/officeDocument/2006/relationships/hyperlink" Target="https://m.stock.naver.com/research/company/82131" TargetMode="External"/><Relationship Id="rId518" Type="http://schemas.openxmlformats.org/officeDocument/2006/relationships/hyperlink" Target="https://m.stock.naver.com/research/company/92939" TargetMode="External"/><Relationship Id="rId1148" Type="http://schemas.openxmlformats.org/officeDocument/2006/relationships/hyperlink" Target="https://m.stock.naver.com/research/company/92107" TargetMode="External"/><Relationship Id="rId5769" Type="http://schemas.openxmlformats.org/officeDocument/2006/relationships/hyperlink" Target="https://m.stock.naver.com/research/company/87471" TargetMode="External"/><Relationship Id="rId9640" Type="http://schemas.openxmlformats.org/officeDocument/2006/relationships/hyperlink" Target="https://m.stock.naver.com/research/company/83585" TargetMode="External"/><Relationship Id="rId7191" Type="http://schemas.openxmlformats.org/officeDocument/2006/relationships/hyperlink" Target="https://m.stock.naver.com/research/company/86048" TargetMode="External"/><Relationship Id="rId8242" Type="http://schemas.openxmlformats.org/officeDocument/2006/relationships/hyperlink" Target="https://m.stock.naver.com/research/company/84996" TargetMode="External"/><Relationship Id="rId11570" Type="http://schemas.openxmlformats.org/officeDocument/2006/relationships/hyperlink" Target="https://m.stock.naver.com/research/company/81643" TargetMode="External"/><Relationship Id="rId12621" Type="http://schemas.openxmlformats.org/officeDocument/2006/relationships/hyperlink" Target="https://m.stock.naver.com/research/company/80587" TargetMode="External"/><Relationship Id="rId10172" Type="http://schemas.openxmlformats.org/officeDocument/2006/relationships/hyperlink" Target="https://m.stock.naver.com/research/company/83049" TargetMode="External"/><Relationship Id="rId11223" Type="http://schemas.openxmlformats.org/officeDocument/2006/relationships/hyperlink" Target="https://m.stock.naver.com/research/company/81996" TargetMode="External"/><Relationship Id="rId14793" Type="http://schemas.openxmlformats.org/officeDocument/2006/relationships/hyperlink" Target="https://m.stock.naver.com/research/company/94607" TargetMode="External"/><Relationship Id="rId4852" Type="http://schemas.openxmlformats.org/officeDocument/2006/relationships/hyperlink" Target="https://m.stock.naver.com/research/company/88388" TargetMode="External"/><Relationship Id="rId5903" Type="http://schemas.openxmlformats.org/officeDocument/2006/relationships/hyperlink" Target="https://m.stock.naver.com/research/company/87337" TargetMode="External"/><Relationship Id="rId13395" Type="http://schemas.openxmlformats.org/officeDocument/2006/relationships/hyperlink" Target="https://m.stock.naver.com/research/company/79810" TargetMode="External"/><Relationship Id="rId14446" Type="http://schemas.openxmlformats.org/officeDocument/2006/relationships/hyperlink" Target="https://m.stock.naver.com/research/company/94464" TargetMode="External"/><Relationship Id="rId3454" Type="http://schemas.openxmlformats.org/officeDocument/2006/relationships/hyperlink" Target="https://m.stock.naver.com/research/company/89797" TargetMode="External"/><Relationship Id="rId4505" Type="http://schemas.openxmlformats.org/officeDocument/2006/relationships/hyperlink" Target="https://m.stock.naver.com/research/company/88735" TargetMode="External"/><Relationship Id="rId13048" Type="http://schemas.openxmlformats.org/officeDocument/2006/relationships/hyperlink" Target="https://m.stock.naver.com/research/company/80159" TargetMode="External"/><Relationship Id="rId375" Type="http://schemas.openxmlformats.org/officeDocument/2006/relationships/hyperlink" Target="https://m.stock.naver.com/research/company/93083" TargetMode="External"/><Relationship Id="rId2056" Type="http://schemas.openxmlformats.org/officeDocument/2006/relationships/hyperlink" Target="https://m.stock.naver.com/research/company/91199" TargetMode="External"/><Relationship Id="rId3107" Type="http://schemas.openxmlformats.org/officeDocument/2006/relationships/hyperlink" Target="https://m.stock.naver.com/research/company/90144" TargetMode="External"/><Relationship Id="rId6677" Type="http://schemas.openxmlformats.org/officeDocument/2006/relationships/hyperlink" Target="https://m.stock.naver.com/research/company/86563" TargetMode="External"/><Relationship Id="rId7728" Type="http://schemas.openxmlformats.org/officeDocument/2006/relationships/hyperlink" Target="https://m.stock.naver.com/research/company/85511" TargetMode="External"/><Relationship Id="rId5279" Type="http://schemas.openxmlformats.org/officeDocument/2006/relationships/hyperlink" Target="https://m.stock.naver.com/research/company/87961" TargetMode="External"/><Relationship Id="rId9150" Type="http://schemas.openxmlformats.org/officeDocument/2006/relationships/hyperlink" Target="https://m.stock.naver.com/research/company/84080" TargetMode="External"/><Relationship Id="rId10709" Type="http://schemas.openxmlformats.org/officeDocument/2006/relationships/hyperlink" Target="https://m.stock.naver.com/research/company/82511" TargetMode="External"/><Relationship Id="rId11080" Type="http://schemas.openxmlformats.org/officeDocument/2006/relationships/hyperlink" Target="https://m.stock.naver.com/research/company/82140" TargetMode="External"/><Relationship Id="rId12131" Type="http://schemas.openxmlformats.org/officeDocument/2006/relationships/hyperlink" Target="https://m.stock.naver.com/research/company/81080" TargetMode="External"/><Relationship Id="rId1889" Type="http://schemas.openxmlformats.org/officeDocument/2006/relationships/hyperlink" Target="https://m.stock.naver.com/research/company/91366" TargetMode="External"/><Relationship Id="rId4362" Type="http://schemas.openxmlformats.org/officeDocument/2006/relationships/hyperlink" Target="https://m.stock.naver.com/research/company/88879" TargetMode="External"/><Relationship Id="rId5760" Type="http://schemas.openxmlformats.org/officeDocument/2006/relationships/hyperlink" Target="https://m.stock.naver.com/research/company/87480" TargetMode="External"/><Relationship Id="rId6811" Type="http://schemas.openxmlformats.org/officeDocument/2006/relationships/hyperlink" Target="https://m.stock.naver.com/research/company/86429" TargetMode="External"/><Relationship Id="rId15354" Type="http://schemas.openxmlformats.org/officeDocument/2006/relationships/hyperlink" Target="https://m.stock.naver.com/research/company/95234" TargetMode="External"/><Relationship Id="rId4015" Type="http://schemas.openxmlformats.org/officeDocument/2006/relationships/hyperlink" Target="https://m.stock.naver.com/research/company/89236" TargetMode="External"/><Relationship Id="rId5413" Type="http://schemas.openxmlformats.org/officeDocument/2006/relationships/hyperlink" Target="https://m.stock.naver.com/research/company/87827" TargetMode="External"/><Relationship Id="rId8983" Type="http://schemas.openxmlformats.org/officeDocument/2006/relationships/hyperlink" Target="https://m.stock.naver.com/research/company/84249" TargetMode="External"/><Relationship Id="rId11964" Type="http://schemas.openxmlformats.org/officeDocument/2006/relationships/hyperlink" Target="https://m.stock.naver.com/research/company/81247" TargetMode="External"/><Relationship Id="rId15007" Type="http://schemas.openxmlformats.org/officeDocument/2006/relationships/hyperlink" Target="https://m.stock.naver.com/research/company/94827" TargetMode="External"/><Relationship Id="rId7585" Type="http://schemas.openxmlformats.org/officeDocument/2006/relationships/hyperlink" Target="https://m.stock.naver.com/research/company/85654" TargetMode="External"/><Relationship Id="rId8636" Type="http://schemas.openxmlformats.org/officeDocument/2006/relationships/hyperlink" Target="https://m.stock.naver.com/research/company/84601" TargetMode="External"/><Relationship Id="rId10566" Type="http://schemas.openxmlformats.org/officeDocument/2006/relationships/hyperlink" Target="https://m.stock.naver.com/research/company/82654" TargetMode="External"/><Relationship Id="rId11617" Type="http://schemas.openxmlformats.org/officeDocument/2006/relationships/hyperlink" Target="https://m.stock.naver.com/research/company/81595" TargetMode="External"/><Relationship Id="rId6187" Type="http://schemas.openxmlformats.org/officeDocument/2006/relationships/hyperlink" Target="https://m.stock.naver.com/research/company/87053" TargetMode="External"/><Relationship Id="rId7238" Type="http://schemas.openxmlformats.org/officeDocument/2006/relationships/hyperlink" Target="https://m.stock.naver.com/research/company/86001" TargetMode="External"/><Relationship Id="rId10219" Type="http://schemas.openxmlformats.org/officeDocument/2006/relationships/hyperlink" Target="https://m.stock.naver.com/research/company/83002" TargetMode="External"/><Relationship Id="rId13789" Type="http://schemas.openxmlformats.org/officeDocument/2006/relationships/hyperlink" Target="https://m.stock.naver.com/research/company/93599" TargetMode="External"/><Relationship Id="rId2797" Type="http://schemas.openxmlformats.org/officeDocument/2006/relationships/hyperlink" Target="https://m.stock.naver.com/research/company/90457" TargetMode="External"/><Relationship Id="rId3848" Type="http://schemas.openxmlformats.org/officeDocument/2006/relationships/hyperlink" Target="https://m.stock.naver.com/research/company/89403" TargetMode="External"/><Relationship Id="rId769" Type="http://schemas.openxmlformats.org/officeDocument/2006/relationships/hyperlink" Target="https://m.stock.naver.com/research/company/92687" TargetMode="External"/><Relationship Id="rId1399" Type="http://schemas.openxmlformats.org/officeDocument/2006/relationships/hyperlink" Target="https://m.stock.naver.com/research/company/91856" TargetMode="External"/><Relationship Id="rId5270" Type="http://schemas.openxmlformats.org/officeDocument/2006/relationships/hyperlink" Target="https://m.stock.naver.com/research/company/87970" TargetMode="External"/><Relationship Id="rId6321" Type="http://schemas.openxmlformats.org/officeDocument/2006/relationships/hyperlink" Target="https://m.stock.naver.com/research/company/86919" TargetMode="External"/><Relationship Id="rId10700" Type="http://schemas.openxmlformats.org/officeDocument/2006/relationships/hyperlink" Target="https://m.stock.naver.com/research/company/82520" TargetMode="External"/><Relationship Id="rId8493" Type="http://schemas.openxmlformats.org/officeDocument/2006/relationships/hyperlink" Target="https://m.stock.naver.com/research/company/84744" TargetMode="External"/><Relationship Id="rId9891" Type="http://schemas.openxmlformats.org/officeDocument/2006/relationships/hyperlink" Target="https://m.stock.naver.com/research/company/83331" TargetMode="External"/><Relationship Id="rId12872" Type="http://schemas.openxmlformats.org/officeDocument/2006/relationships/hyperlink" Target="https://m.stock.naver.com/research/company/80336" TargetMode="External"/><Relationship Id="rId13923" Type="http://schemas.openxmlformats.org/officeDocument/2006/relationships/hyperlink" Target="https://m.stock.naver.com/research/company/93714" TargetMode="External"/><Relationship Id="rId1880" Type="http://schemas.openxmlformats.org/officeDocument/2006/relationships/hyperlink" Target="https://m.stock.naver.com/research/company/91375" TargetMode="External"/><Relationship Id="rId2931" Type="http://schemas.openxmlformats.org/officeDocument/2006/relationships/hyperlink" Target="https://m.stock.naver.com/research/company/90322" TargetMode="External"/><Relationship Id="rId7095" Type="http://schemas.openxmlformats.org/officeDocument/2006/relationships/hyperlink" Target="https://m.stock.naver.com/research/company/86144" TargetMode="External"/><Relationship Id="rId8146" Type="http://schemas.openxmlformats.org/officeDocument/2006/relationships/hyperlink" Target="https://m.stock.naver.com/research/company/85092" TargetMode="External"/><Relationship Id="rId9544" Type="http://schemas.openxmlformats.org/officeDocument/2006/relationships/hyperlink" Target="https://m.stock.naver.com/research/company/83683" TargetMode="External"/><Relationship Id="rId11474" Type="http://schemas.openxmlformats.org/officeDocument/2006/relationships/hyperlink" Target="https://m.stock.naver.com/research/company/81741" TargetMode="External"/><Relationship Id="rId12525" Type="http://schemas.openxmlformats.org/officeDocument/2006/relationships/hyperlink" Target="https://m.stock.naver.com/research/company/80683" TargetMode="External"/><Relationship Id="rId903" Type="http://schemas.openxmlformats.org/officeDocument/2006/relationships/hyperlink" Target="https://m.stock.naver.com/research/company/92553" TargetMode="External"/><Relationship Id="rId1533" Type="http://schemas.openxmlformats.org/officeDocument/2006/relationships/hyperlink" Target="https://m.stock.naver.com/research/company/91722" TargetMode="External"/><Relationship Id="rId10076" Type="http://schemas.openxmlformats.org/officeDocument/2006/relationships/hyperlink" Target="https://m.stock.naver.com/research/company/83145" TargetMode="External"/><Relationship Id="rId11127" Type="http://schemas.openxmlformats.org/officeDocument/2006/relationships/hyperlink" Target="https://m.stock.naver.com/research/company/82093" TargetMode="External"/><Relationship Id="rId14697" Type="http://schemas.openxmlformats.org/officeDocument/2006/relationships/hyperlink" Target="https://m.stock.naver.com/research/company/94703" TargetMode="External"/><Relationship Id="rId15748" Type="http://schemas.openxmlformats.org/officeDocument/2006/relationships/hyperlink" Target="https://m.stock.naver.com/research/company/95666" TargetMode="External"/><Relationship Id="rId4756" Type="http://schemas.openxmlformats.org/officeDocument/2006/relationships/hyperlink" Target="https://m.stock.naver.com/research/company/88484" TargetMode="External"/><Relationship Id="rId5807" Type="http://schemas.openxmlformats.org/officeDocument/2006/relationships/hyperlink" Target="https://m.stock.naver.com/research/company/87433" TargetMode="External"/><Relationship Id="rId13299" Type="http://schemas.openxmlformats.org/officeDocument/2006/relationships/hyperlink" Target="https://m.stock.naver.com/research/company/79906" TargetMode="External"/><Relationship Id="rId3358" Type="http://schemas.openxmlformats.org/officeDocument/2006/relationships/hyperlink" Target="https://m.stock.naver.com/research/company/89892" TargetMode="External"/><Relationship Id="rId4409" Type="http://schemas.openxmlformats.org/officeDocument/2006/relationships/hyperlink" Target="https://m.stock.naver.com/research/company/88832" TargetMode="External"/><Relationship Id="rId7979" Type="http://schemas.openxmlformats.org/officeDocument/2006/relationships/hyperlink" Target="https://m.stock.naver.com/research/company/85259" TargetMode="External"/><Relationship Id="rId10210" Type="http://schemas.openxmlformats.org/officeDocument/2006/relationships/hyperlink" Target="https://m.stock.naver.com/research/company/83011" TargetMode="External"/><Relationship Id="rId279" Type="http://schemas.openxmlformats.org/officeDocument/2006/relationships/hyperlink" Target="https://m.stock.naver.com/research/company/93179" TargetMode="External"/><Relationship Id="rId13780" Type="http://schemas.openxmlformats.org/officeDocument/2006/relationships/hyperlink" Target="https://m.stock.naver.com/research/company/93608" TargetMode="External"/><Relationship Id="rId14831" Type="http://schemas.openxmlformats.org/officeDocument/2006/relationships/hyperlink" Target="https://m.stock.naver.com/research/company/94793" TargetMode="External"/><Relationship Id="rId760" Type="http://schemas.openxmlformats.org/officeDocument/2006/relationships/hyperlink" Target="https://m.stock.naver.com/research/company/92696" TargetMode="External"/><Relationship Id="rId1390" Type="http://schemas.openxmlformats.org/officeDocument/2006/relationships/hyperlink" Target="https://m.stock.naver.com/research/company/91865" TargetMode="External"/><Relationship Id="rId2441" Type="http://schemas.openxmlformats.org/officeDocument/2006/relationships/hyperlink" Target="https://m.stock.naver.com/research/company/90813" TargetMode="External"/><Relationship Id="rId9054" Type="http://schemas.openxmlformats.org/officeDocument/2006/relationships/hyperlink" Target="https://m.stock.naver.com/research/company/84177" TargetMode="External"/><Relationship Id="rId12382" Type="http://schemas.openxmlformats.org/officeDocument/2006/relationships/hyperlink" Target="https://m.stock.naver.com/research/company/80827" TargetMode="External"/><Relationship Id="rId13433" Type="http://schemas.openxmlformats.org/officeDocument/2006/relationships/hyperlink" Target="https://m.stock.naver.com/research/company/79772" TargetMode="External"/><Relationship Id="rId413" Type="http://schemas.openxmlformats.org/officeDocument/2006/relationships/hyperlink" Target="https://m.stock.naver.com/research/company/93044" TargetMode="External"/><Relationship Id="rId1043" Type="http://schemas.openxmlformats.org/officeDocument/2006/relationships/hyperlink" Target="https://m.stock.naver.com/research/company/92308" TargetMode="External"/><Relationship Id="rId12035" Type="http://schemas.openxmlformats.org/officeDocument/2006/relationships/hyperlink" Target="https://m.stock.naver.com/research/company/81176" TargetMode="External"/><Relationship Id="rId5664" Type="http://schemas.openxmlformats.org/officeDocument/2006/relationships/hyperlink" Target="https://m.stock.naver.com/research/company/87576" TargetMode="External"/><Relationship Id="rId6715" Type="http://schemas.openxmlformats.org/officeDocument/2006/relationships/hyperlink" Target="https://m.stock.naver.com/research/company/86525" TargetMode="External"/><Relationship Id="rId15258" Type="http://schemas.openxmlformats.org/officeDocument/2006/relationships/hyperlink" Target="https://m.stock.naver.com/research/company/95102" TargetMode="External"/><Relationship Id="rId4266" Type="http://schemas.openxmlformats.org/officeDocument/2006/relationships/hyperlink" Target="https://m.stock.naver.com/research/company/88975" TargetMode="External"/><Relationship Id="rId5317" Type="http://schemas.openxmlformats.org/officeDocument/2006/relationships/hyperlink" Target="https://m.stock.naver.com/research/company/87923" TargetMode="External"/><Relationship Id="rId8887" Type="http://schemas.openxmlformats.org/officeDocument/2006/relationships/hyperlink" Target="https://m.stock.naver.com/research/company/84349" TargetMode="External"/><Relationship Id="rId9938" Type="http://schemas.openxmlformats.org/officeDocument/2006/relationships/hyperlink" Target="https://m.stock.naver.com/research/company/83284" TargetMode="External"/><Relationship Id="rId11868" Type="http://schemas.openxmlformats.org/officeDocument/2006/relationships/hyperlink" Target="https://m.stock.naver.com/research/company/81344" TargetMode="External"/><Relationship Id="rId1927" Type="http://schemas.openxmlformats.org/officeDocument/2006/relationships/hyperlink" Target="https://m.stock.naver.com/research/company/91328" TargetMode="External"/><Relationship Id="rId7489" Type="http://schemas.openxmlformats.org/officeDocument/2006/relationships/hyperlink" Target="https://m.stock.naver.com/research/company/85750" TargetMode="External"/><Relationship Id="rId12919" Type="http://schemas.openxmlformats.org/officeDocument/2006/relationships/hyperlink" Target="https://m.stock.naver.com/research/company/80289" TargetMode="External"/><Relationship Id="rId13290" Type="http://schemas.openxmlformats.org/officeDocument/2006/relationships/hyperlink" Target="https://m.stock.naver.com/research/company/79915" TargetMode="External"/><Relationship Id="rId14341" Type="http://schemas.openxmlformats.org/officeDocument/2006/relationships/hyperlink" Target="https://m.stock.naver.com/research/company/94210" TargetMode="External"/><Relationship Id="rId4400" Type="http://schemas.openxmlformats.org/officeDocument/2006/relationships/hyperlink" Target="https://m.stock.naver.com/research/company/88841" TargetMode="External"/><Relationship Id="rId270" Type="http://schemas.openxmlformats.org/officeDocument/2006/relationships/hyperlink" Target="https://m.stock.naver.com/research/company/93188" TargetMode="External"/><Relationship Id="rId3002" Type="http://schemas.openxmlformats.org/officeDocument/2006/relationships/hyperlink" Target="https://m.stock.naver.com/research/company/90249" TargetMode="External"/><Relationship Id="rId6572" Type="http://schemas.openxmlformats.org/officeDocument/2006/relationships/hyperlink" Target="https://m.stock.naver.com/research/company/86668" TargetMode="External"/><Relationship Id="rId7970" Type="http://schemas.openxmlformats.org/officeDocument/2006/relationships/hyperlink" Target="https://m.stock.naver.com/research/company/85268" TargetMode="External"/><Relationship Id="rId10951" Type="http://schemas.openxmlformats.org/officeDocument/2006/relationships/hyperlink" Target="https://m.stock.naver.com/research/company/82269" TargetMode="External"/><Relationship Id="rId5174" Type="http://schemas.openxmlformats.org/officeDocument/2006/relationships/hyperlink" Target="https://m.stock.naver.com/research/company/88066" TargetMode="External"/><Relationship Id="rId6225" Type="http://schemas.openxmlformats.org/officeDocument/2006/relationships/hyperlink" Target="https://m.stock.naver.com/research/company/87015" TargetMode="External"/><Relationship Id="rId7623" Type="http://schemas.openxmlformats.org/officeDocument/2006/relationships/hyperlink" Target="https://m.stock.naver.com/research/company/85616" TargetMode="External"/><Relationship Id="rId10604" Type="http://schemas.openxmlformats.org/officeDocument/2006/relationships/hyperlink" Target="https://m.stock.naver.com/research/company/82616" TargetMode="External"/><Relationship Id="rId9795" Type="http://schemas.openxmlformats.org/officeDocument/2006/relationships/hyperlink" Target="https://m.stock.naver.com/research/company/83427" TargetMode="External"/><Relationship Id="rId12776" Type="http://schemas.openxmlformats.org/officeDocument/2006/relationships/hyperlink" Target="https://m.stock.naver.com/research/company/80432" TargetMode="External"/><Relationship Id="rId13827" Type="http://schemas.openxmlformats.org/officeDocument/2006/relationships/hyperlink" Target="https://m.stock.naver.com/research/company/93551" TargetMode="External"/><Relationship Id="rId1784" Type="http://schemas.openxmlformats.org/officeDocument/2006/relationships/hyperlink" Target="https://m.stock.naver.com/research/company/91471" TargetMode="External"/><Relationship Id="rId2835" Type="http://schemas.openxmlformats.org/officeDocument/2006/relationships/hyperlink" Target="https://m.stock.naver.com/research/company/90418" TargetMode="External"/><Relationship Id="rId8397" Type="http://schemas.openxmlformats.org/officeDocument/2006/relationships/hyperlink" Target="https://m.stock.naver.com/research/company/84841" TargetMode="External"/><Relationship Id="rId9448" Type="http://schemas.openxmlformats.org/officeDocument/2006/relationships/hyperlink" Target="https://m.stock.naver.com/research/company/83779" TargetMode="External"/><Relationship Id="rId11378" Type="http://schemas.openxmlformats.org/officeDocument/2006/relationships/hyperlink" Target="https://m.stock.naver.com/research/company/81837" TargetMode="External"/><Relationship Id="rId12429" Type="http://schemas.openxmlformats.org/officeDocument/2006/relationships/hyperlink" Target="https://m.stock.naver.com/research/company/80780" TargetMode="External"/><Relationship Id="rId807" Type="http://schemas.openxmlformats.org/officeDocument/2006/relationships/hyperlink" Target="https://m.stock.naver.com/research/company/92649" TargetMode="External"/><Relationship Id="rId1437" Type="http://schemas.openxmlformats.org/officeDocument/2006/relationships/hyperlink" Target="https://m.stock.naver.com/research/company/91818" TargetMode="External"/><Relationship Id="rId7480" Type="http://schemas.openxmlformats.org/officeDocument/2006/relationships/hyperlink" Target="https://m.stock.naver.com/research/company/85759" TargetMode="External"/><Relationship Id="rId8531" Type="http://schemas.openxmlformats.org/officeDocument/2006/relationships/hyperlink" Target="https://m.stock.naver.com/research/company/84706" TargetMode="External"/><Relationship Id="rId12910" Type="http://schemas.openxmlformats.org/officeDocument/2006/relationships/hyperlink" Target="https://m.stock.naver.com/research/company/80298" TargetMode="External"/><Relationship Id="rId6082" Type="http://schemas.openxmlformats.org/officeDocument/2006/relationships/hyperlink" Target="https://m.stock.naver.com/research/company/87158" TargetMode="External"/><Relationship Id="rId7133" Type="http://schemas.openxmlformats.org/officeDocument/2006/relationships/hyperlink" Target="https://m.stock.naver.com/research/company/86106" TargetMode="External"/><Relationship Id="rId10461" Type="http://schemas.openxmlformats.org/officeDocument/2006/relationships/hyperlink" Target="https://m.stock.naver.com/research/company/82759" TargetMode="External"/><Relationship Id="rId11512" Type="http://schemas.openxmlformats.org/officeDocument/2006/relationships/hyperlink" Target="https://m.stock.naver.com/research/company/81703" TargetMode="External"/><Relationship Id="rId10114" Type="http://schemas.openxmlformats.org/officeDocument/2006/relationships/hyperlink" Target="https://m.stock.naver.com/research/company/83107" TargetMode="External"/><Relationship Id="rId13684" Type="http://schemas.openxmlformats.org/officeDocument/2006/relationships/hyperlink" Target="https://m.stock.naver.com/research/company/93490" TargetMode="External"/><Relationship Id="rId14735" Type="http://schemas.openxmlformats.org/officeDocument/2006/relationships/hyperlink" Target="https://m.stock.naver.com/research/company/94665" TargetMode="External"/><Relationship Id="rId1294" Type="http://schemas.openxmlformats.org/officeDocument/2006/relationships/hyperlink" Target="https://m.stock.naver.com/research/company/91961" TargetMode="External"/><Relationship Id="rId2692" Type="http://schemas.openxmlformats.org/officeDocument/2006/relationships/hyperlink" Target="https://m.stock.naver.com/research/company/90562" TargetMode="External"/><Relationship Id="rId3743" Type="http://schemas.openxmlformats.org/officeDocument/2006/relationships/hyperlink" Target="https://m.stock.naver.com/research/company/89508" TargetMode="External"/><Relationship Id="rId12286" Type="http://schemas.openxmlformats.org/officeDocument/2006/relationships/hyperlink" Target="https://m.stock.naver.com/research/company/80923" TargetMode="External"/><Relationship Id="rId13337" Type="http://schemas.openxmlformats.org/officeDocument/2006/relationships/hyperlink" Target="https://m.stock.naver.com/research/company/79868" TargetMode="External"/><Relationship Id="rId664" Type="http://schemas.openxmlformats.org/officeDocument/2006/relationships/hyperlink" Target="https://m.stock.naver.com/research/company/92792" TargetMode="External"/><Relationship Id="rId2345" Type="http://schemas.openxmlformats.org/officeDocument/2006/relationships/hyperlink" Target="https://m.stock.naver.com/research/company/90910" TargetMode="External"/><Relationship Id="rId6966" Type="http://schemas.openxmlformats.org/officeDocument/2006/relationships/hyperlink" Target="https://m.stock.naver.com/research/company/86273" TargetMode="External"/><Relationship Id="rId317" Type="http://schemas.openxmlformats.org/officeDocument/2006/relationships/hyperlink" Target="https://m.stock.naver.com/research/company/93141" TargetMode="External"/><Relationship Id="rId5568" Type="http://schemas.openxmlformats.org/officeDocument/2006/relationships/hyperlink" Target="https://m.stock.naver.com/research/company/87672" TargetMode="External"/><Relationship Id="rId6619" Type="http://schemas.openxmlformats.org/officeDocument/2006/relationships/hyperlink" Target="https://m.stock.naver.com/research/company/86621" TargetMode="External"/><Relationship Id="rId12420" Type="http://schemas.openxmlformats.org/officeDocument/2006/relationships/hyperlink" Target="https://m.stock.naver.com/research/company/80789" TargetMode="External"/><Relationship Id="rId8041" Type="http://schemas.openxmlformats.org/officeDocument/2006/relationships/hyperlink" Target="https://m.stock.naver.com/research/company/85197" TargetMode="External"/><Relationship Id="rId11022" Type="http://schemas.openxmlformats.org/officeDocument/2006/relationships/hyperlink" Target="https://m.stock.naver.com/research/company/82198" TargetMode="External"/><Relationship Id="rId4651" Type="http://schemas.openxmlformats.org/officeDocument/2006/relationships/hyperlink" Target="https://m.stock.naver.com/research/company/88589" TargetMode="External"/><Relationship Id="rId13194" Type="http://schemas.openxmlformats.org/officeDocument/2006/relationships/hyperlink" Target="https://m.stock.naver.com/research/company/80013" TargetMode="External"/><Relationship Id="rId14592" Type="http://schemas.openxmlformats.org/officeDocument/2006/relationships/hyperlink" Target="https://m.stock.naver.com/research/company/94487" TargetMode="External"/><Relationship Id="rId15643" Type="http://schemas.openxmlformats.org/officeDocument/2006/relationships/hyperlink" Target="https://m.stock.naver.com/research/company/95771" TargetMode="External"/><Relationship Id="rId3253" Type="http://schemas.openxmlformats.org/officeDocument/2006/relationships/hyperlink" Target="https://m.stock.naver.com/research/company/89997" TargetMode="External"/><Relationship Id="rId4304" Type="http://schemas.openxmlformats.org/officeDocument/2006/relationships/hyperlink" Target="https://m.stock.naver.com/research/company/88937" TargetMode="External"/><Relationship Id="rId5702" Type="http://schemas.openxmlformats.org/officeDocument/2006/relationships/hyperlink" Target="https://m.stock.naver.com/research/company/87538" TargetMode="External"/><Relationship Id="rId14245" Type="http://schemas.openxmlformats.org/officeDocument/2006/relationships/hyperlink" Target="https://m.stock.naver.com/research/company/94098" TargetMode="External"/><Relationship Id="rId174" Type="http://schemas.openxmlformats.org/officeDocument/2006/relationships/hyperlink" Target="https://m.stock.naver.com/research/company/93284" TargetMode="External"/><Relationship Id="rId7874" Type="http://schemas.openxmlformats.org/officeDocument/2006/relationships/hyperlink" Target="https://m.stock.naver.com/research/company/85364" TargetMode="External"/><Relationship Id="rId8925" Type="http://schemas.openxmlformats.org/officeDocument/2006/relationships/hyperlink" Target="https://m.stock.naver.com/research/company/84310" TargetMode="External"/><Relationship Id="rId10855" Type="http://schemas.openxmlformats.org/officeDocument/2006/relationships/hyperlink" Target="https://m.stock.naver.com/research/company/82365" TargetMode="External"/><Relationship Id="rId11906" Type="http://schemas.openxmlformats.org/officeDocument/2006/relationships/hyperlink" Target="https://m.stock.naver.com/research/company/81305" TargetMode="External"/><Relationship Id="rId5078" Type="http://schemas.openxmlformats.org/officeDocument/2006/relationships/hyperlink" Target="https://m.stock.naver.com/research/company/88162" TargetMode="External"/><Relationship Id="rId6476" Type="http://schemas.openxmlformats.org/officeDocument/2006/relationships/hyperlink" Target="https://m.stock.naver.com/research/company/86764" TargetMode="External"/><Relationship Id="rId7527" Type="http://schemas.openxmlformats.org/officeDocument/2006/relationships/hyperlink" Target="https://m.stock.naver.com/research/company/85712" TargetMode="External"/><Relationship Id="rId10508" Type="http://schemas.openxmlformats.org/officeDocument/2006/relationships/hyperlink" Target="https://m.stock.naver.com/research/company/82712" TargetMode="External"/><Relationship Id="rId6129" Type="http://schemas.openxmlformats.org/officeDocument/2006/relationships/hyperlink" Target="https://m.stock.naver.com/research/company/87111" TargetMode="External"/><Relationship Id="rId9699" Type="http://schemas.openxmlformats.org/officeDocument/2006/relationships/hyperlink" Target="https://m.stock.naver.com/research/company/83524" TargetMode="External"/><Relationship Id="rId1688" Type="http://schemas.openxmlformats.org/officeDocument/2006/relationships/hyperlink" Target="https://m.stock.naver.com/research/company/91567" TargetMode="External"/><Relationship Id="rId2739" Type="http://schemas.openxmlformats.org/officeDocument/2006/relationships/hyperlink" Target="https://m.stock.naver.com/research/company/90515" TargetMode="External"/><Relationship Id="rId6610" Type="http://schemas.openxmlformats.org/officeDocument/2006/relationships/hyperlink" Target="https://m.stock.naver.com/research/company/86630" TargetMode="External"/><Relationship Id="rId15153" Type="http://schemas.openxmlformats.org/officeDocument/2006/relationships/hyperlink" Target="https://m.stock.naver.com/research/company/94941" TargetMode="External"/><Relationship Id="rId4161" Type="http://schemas.openxmlformats.org/officeDocument/2006/relationships/hyperlink" Target="https://m.stock.naver.com/research/company/89088" TargetMode="External"/><Relationship Id="rId5212" Type="http://schemas.openxmlformats.org/officeDocument/2006/relationships/hyperlink" Target="https://m.stock.naver.com/research/company/88028" TargetMode="External"/><Relationship Id="rId8782" Type="http://schemas.openxmlformats.org/officeDocument/2006/relationships/hyperlink" Target="https://m.stock.naver.com/research/company/84455" TargetMode="External"/><Relationship Id="rId7384" Type="http://schemas.openxmlformats.org/officeDocument/2006/relationships/hyperlink" Target="https://m.stock.naver.com/research/company/85855" TargetMode="External"/><Relationship Id="rId8435" Type="http://schemas.openxmlformats.org/officeDocument/2006/relationships/hyperlink" Target="https://m.stock.naver.com/research/company/84803" TargetMode="External"/><Relationship Id="rId9833" Type="http://schemas.openxmlformats.org/officeDocument/2006/relationships/hyperlink" Target="https://m.stock.naver.com/research/company/83389" TargetMode="External"/><Relationship Id="rId11763" Type="http://schemas.openxmlformats.org/officeDocument/2006/relationships/hyperlink" Target="https://m.stock.naver.com/research/company/81449" TargetMode="External"/><Relationship Id="rId12814" Type="http://schemas.openxmlformats.org/officeDocument/2006/relationships/hyperlink" Target="https://m.stock.naver.com/research/company/80394" TargetMode="External"/><Relationship Id="rId47" Type="http://schemas.openxmlformats.org/officeDocument/2006/relationships/hyperlink" Target="https://m.stock.naver.com/research/company/93411" TargetMode="External"/><Relationship Id="rId1822" Type="http://schemas.openxmlformats.org/officeDocument/2006/relationships/hyperlink" Target="https://m.stock.naver.com/research/company/91433" TargetMode="External"/><Relationship Id="rId7037" Type="http://schemas.openxmlformats.org/officeDocument/2006/relationships/hyperlink" Target="https://m.stock.naver.com/research/company/86202" TargetMode="External"/><Relationship Id="rId10365" Type="http://schemas.openxmlformats.org/officeDocument/2006/relationships/hyperlink" Target="https://m.stock.naver.com/research/company/82856" TargetMode="External"/><Relationship Id="rId11416" Type="http://schemas.openxmlformats.org/officeDocument/2006/relationships/hyperlink" Target="https://m.stock.naver.com/research/company/81799" TargetMode="External"/><Relationship Id="rId14986" Type="http://schemas.openxmlformats.org/officeDocument/2006/relationships/hyperlink" Target="https://m.stock.naver.com/research/company/94848" TargetMode="External"/><Relationship Id="rId3994" Type="http://schemas.openxmlformats.org/officeDocument/2006/relationships/hyperlink" Target="https://m.stock.naver.com/research/company/89257" TargetMode="External"/><Relationship Id="rId10018" Type="http://schemas.openxmlformats.org/officeDocument/2006/relationships/hyperlink" Target="https://m.stock.naver.com/research/company/83203" TargetMode="External"/><Relationship Id="rId13588" Type="http://schemas.openxmlformats.org/officeDocument/2006/relationships/hyperlink" Target="https://m.stock.naver.com/research/company/79616" TargetMode="External"/><Relationship Id="rId14639" Type="http://schemas.openxmlformats.org/officeDocument/2006/relationships/hyperlink" Target="https://m.stock.naver.com/research/company/94538" TargetMode="External"/><Relationship Id="rId2596" Type="http://schemas.openxmlformats.org/officeDocument/2006/relationships/hyperlink" Target="https://m.stock.naver.com/research/company/90658" TargetMode="External"/><Relationship Id="rId3647" Type="http://schemas.openxmlformats.org/officeDocument/2006/relationships/hyperlink" Target="https://m.stock.naver.com/research/company/89604" TargetMode="External"/><Relationship Id="rId568" Type="http://schemas.openxmlformats.org/officeDocument/2006/relationships/hyperlink" Target="https://m.stock.naver.com/research/company/92889" TargetMode="External"/><Relationship Id="rId1198" Type="http://schemas.openxmlformats.org/officeDocument/2006/relationships/hyperlink" Target="https://m.stock.naver.com/research/company/92057" TargetMode="External"/><Relationship Id="rId2249" Type="http://schemas.openxmlformats.org/officeDocument/2006/relationships/hyperlink" Target="https://m.stock.naver.com/research/company/91006" TargetMode="External"/><Relationship Id="rId6120" Type="http://schemas.openxmlformats.org/officeDocument/2006/relationships/hyperlink" Target="https://m.stock.naver.com/research/company/87120" TargetMode="External"/><Relationship Id="rId9690" Type="http://schemas.openxmlformats.org/officeDocument/2006/relationships/hyperlink" Target="https://m.stock.naver.com/research/company/83533" TargetMode="External"/><Relationship Id="rId2730" Type="http://schemas.openxmlformats.org/officeDocument/2006/relationships/hyperlink" Target="https://m.stock.naver.com/research/company/90524" TargetMode="External"/><Relationship Id="rId8292" Type="http://schemas.openxmlformats.org/officeDocument/2006/relationships/hyperlink" Target="https://m.stock.naver.com/research/company/84946" TargetMode="External"/><Relationship Id="rId9343" Type="http://schemas.openxmlformats.org/officeDocument/2006/relationships/hyperlink" Target="https://m.stock.naver.com/research/company/83884" TargetMode="External"/><Relationship Id="rId11273" Type="http://schemas.openxmlformats.org/officeDocument/2006/relationships/hyperlink" Target="https://m.stock.naver.com/research/company/81946" TargetMode="External"/><Relationship Id="rId12671" Type="http://schemas.openxmlformats.org/officeDocument/2006/relationships/hyperlink" Target="https://m.stock.naver.com/research/company/80537" TargetMode="External"/><Relationship Id="rId13722" Type="http://schemas.openxmlformats.org/officeDocument/2006/relationships/hyperlink" Target="https://m.stock.naver.com/research/company/93517" TargetMode="External"/><Relationship Id="rId702" Type="http://schemas.openxmlformats.org/officeDocument/2006/relationships/hyperlink" Target="https://m.stock.naver.com/research/company/92754" TargetMode="External"/><Relationship Id="rId1332" Type="http://schemas.openxmlformats.org/officeDocument/2006/relationships/hyperlink" Target="https://m.stock.naver.com/research/company/91923" TargetMode="External"/><Relationship Id="rId12324" Type="http://schemas.openxmlformats.org/officeDocument/2006/relationships/hyperlink" Target="https://m.stock.naver.com/research/company/80885" TargetMode="External"/><Relationship Id="rId5953" Type="http://schemas.openxmlformats.org/officeDocument/2006/relationships/hyperlink" Target="https://m.stock.naver.com/research/company/87287" TargetMode="External"/><Relationship Id="rId14496" Type="http://schemas.openxmlformats.org/officeDocument/2006/relationships/hyperlink" Target="https://m.stock.naver.com/research/company/94414" TargetMode="External"/><Relationship Id="rId15547" Type="http://schemas.openxmlformats.org/officeDocument/2006/relationships/hyperlink" Target="https://m.stock.naver.com/research/company/95489" TargetMode="External"/><Relationship Id="rId3157" Type="http://schemas.openxmlformats.org/officeDocument/2006/relationships/hyperlink" Target="https://m.stock.naver.com/research/company/90094" TargetMode="External"/><Relationship Id="rId4555" Type="http://schemas.openxmlformats.org/officeDocument/2006/relationships/hyperlink" Target="https://m.stock.naver.com/research/company/88685" TargetMode="External"/><Relationship Id="rId5606" Type="http://schemas.openxmlformats.org/officeDocument/2006/relationships/hyperlink" Target="https://m.stock.naver.com/research/company/87634" TargetMode="External"/><Relationship Id="rId13098" Type="http://schemas.openxmlformats.org/officeDocument/2006/relationships/hyperlink" Target="https://m.stock.naver.com/research/company/80109" TargetMode="External"/><Relationship Id="rId14149" Type="http://schemas.openxmlformats.org/officeDocument/2006/relationships/hyperlink" Target="https://m.stock.naver.com/research/company/93979" TargetMode="External"/><Relationship Id="rId4208" Type="http://schemas.openxmlformats.org/officeDocument/2006/relationships/hyperlink" Target="https://m.stock.naver.com/research/company/89034" TargetMode="External"/><Relationship Id="rId7778" Type="http://schemas.openxmlformats.org/officeDocument/2006/relationships/hyperlink" Target="https://m.stock.naver.com/research/company/85461" TargetMode="External"/><Relationship Id="rId8829" Type="http://schemas.openxmlformats.org/officeDocument/2006/relationships/hyperlink" Target="https://m.stock.naver.com/research/company/84408" TargetMode="External"/><Relationship Id="rId10759" Type="http://schemas.openxmlformats.org/officeDocument/2006/relationships/hyperlink" Target="https://m.stock.naver.com/research/company/82461" TargetMode="External"/><Relationship Id="rId14630" Type="http://schemas.openxmlformats.org/officeDocument/2006/relationships/hyperlink" Target="https://m.stock.naver.com/research/company/94547" TargetMode="External"/><Relationship Id="rId12181" Type="http://schemas.openxmlformats.org/officeDocument/2006/relationships/hyperlink" Target="https://m.stock.naver.com/research/company/81030" TargetMode="External"/><Relationship Id="rId13232" Type="http://schemas.openxmlformats.org/officeDocument/2006/relationships/hyperlink" Target="https://m.stock.naver.com/research/company/79975" TargetMode="External"/><Relationship Id="rId2240" Type="http://schemas.openxmlformats.org/officeDocument/2006/relationships/hyperlink" Target="https://m.stock.naver.com/research/company/91015" TargetMode="External"/><Relationship Id="rId6861" Type="http://schemas.openxmlformats.org/officeDocument/2006/relationships/hyperlink" Target="https://m.stock.naver.com/research/company/86379" TargetMode="External"/><Relationship Id="rId212" Type="http://schemas.openxmlformats.org/officeDocument/2006/relationships/hyperlink" Target="https://m.stock.naver.com/research/company/93246" TargetMode="External"/><Relationship Id="rId5463" Type="http://schemas.openxmlformats.org/officeDocument/2006/relationships/hyperlink" Target="https://m.stock.naver.com/research/company/87777" TargetMode="External"/><Relationship Id="rId6514" Type="http://schemas.openxmlformats.org/officeDocument/2006/relationships/hyperlink" Target="https://m.stock.naver.com/research/company/86726" TargetMode="External"/><Relationship Id="rId7912" Type="http://schemas.openxmlformats.org/officeDocument/2006/relationships/hyperlink" Target="https://m.stock.naver.com/research/company/85326" TargetMode="External"/><Relationship Id="rId15057" Type="http://schemas.openxmlformats.org/officeDocument/2006/relationships/hyperlink" Target="https://m.stock.naver.com/research/company/95037" TargetMode="External"/><Relationship Id="rId4065" Type="http://schemas.openxmlformats.org/officeDocument/2006/relationships/hyperlink" Target="https://m.stock.naver.com/research/company/89186" TargetMode="External"/><Relationship Id="rId5116" Type="http://schemas.openxmlformats.org/officeDocument/2006/relationships/hyperlink" Target="https://m.stock.naver.com/research/company/88124" TargetMode="External"/><Relationship Id="rId7288" Type="http://schemas.openxmlformats.org/officeDocument/2006/relationships/hyperlink" Target="https://m.stock.naver.com/research/company/85951" TargetMode="External"/><Relationship Id="rId8686" Type="http://schemas.openxmlformats.org/officeDocument/2006/relationships/hyperlink" Target="https://m.stock.naver.com/research/company/84551" TargetMode="External"/><Relationship Id="rId9737" Type="http://schemas.openxmlformats.org/officeDocument/2006/relationships/hyperlink" Target="https://m.stock.naver.com/research/company/83486" TargetMode="External"/><Relationship Id="rId11667" Type="http://schemas.openxmlformats.org/officeDocument/2006/relationships/hyperlink" Target="https://m.stock.naver.com/research/company/81545" TargetMode="External"/><Relationship Id="rId12718" Type="http://schemas.openxmlformats.org/officeDocument/2006/relationships/hyperlink" Target="https://m.stock.naver.com/research/company/80490" TargetMode="External"/><Relationship Id="rId1726" Type="http://schemas.openxmlformats.org/officeDocument/2006/relationships/hyperlink" Target="https://m.stock.naver.com/research/company/91529" TargetMode="External"/><Relationship Id="rId8339" Type="http://schemas.openxmlformats.org/officeDocument/2006/relationships/hyperlink" Target="https://m.stock.naver.com/research/company/84899" TargetMode="External"/><Relationship Id="rId10269" Type="http://schemas.openxmlformats.org/officeDocument/2006/relationships/hyperlink" Target="https://m.stock.naver.com/research/company/82952" TargetMode="External"/><Relationship Id="rId14140" Type="http://schemas.openxmlformats.org/officeDocument/2006/relationships/hyperlink" Target="https://m.stock.naver.com/research/company/93988" TargetMode="External"/><Relationship Id="rId3898" Type="http://schemas.openxmlformats.org/officeDocument/2006/relationships/hyperlink" Target="https://m.stock.naver.com/research/company/89353" TargetMode="External"/><Relationship Id="rId4949" Type="http://schemas.openxmlformats.org/officeDocument/2006/relationships/hyperlink" Target="https://m.stock.naver.com/research/company/88291" TargetMode="External"/><Relationship Id="rId8820" Type="http://schemas.openxmlformats.org/officeDocument/2006/relationships/hyperlink" Target="https://m.stock.naver.com/research/company/84417" TargetMode="External"/><Relationship Id="rId6371" Type="http://schemas.openxmlformats.org/officeDocument/2006/relationships/hyperlink" Target="https://m.stock.naver.com/research/company/86869" TargetMode="External"/><Relationship Id="rId7422" Type="http://schemas.openxmlformats.org/officeDocument/2006/relationships/hyperlink" Target="https://m.stock.naver.com/research/company/85817" TargetMode="External"/><Relationship Id="rId10750" Type="http://schemas.openxmlformats.org/officeDocument/2006/relationships/hyperlink" Target="https://m.stock.naver.com/research/company/82470" TargetMode="External"/><Relationship Id="rId11801" Type="http://schemas.openxmlformats.org/officeDocument/2006/relationships/hyperlink" Target="https://m.stock.naver.com/research/company/81411" TargetMode="External"/><Relationship Id="rId6024" Type="http://schemas.openxmlformats.org/officeDocument/2006/relationships/hyperlink" Target="https://m.stock.naver.com/research/company/87216" TargetMode="External"/><Relationship Id="rId9594" Type="http://schemas.openxmlformats.org/officeDocument/2006/relationships/hyperlink" Target="https://m.stock.naver.com/research/company/83633" TargetMode="External"/><Relationship Id="rId10403" Type="http://schemas.openxmlformats.org/officeDocument/2006/relationships/hyperlink" Target="https://m.stock.naver.com/research/company/82818" TargetMode="External"/><Relationship Id="rId13973" Type="http://schemas.openxmlformats.org/officeDocument/2006/relationships/hyperlink" Target="https://m.stock.naver.com/research/company/93759" TargetMode="External"/><Relationship Id="rId1583" Type="http://schemas.openxmlformats.org/officeDocument/2006/relationships/hyperlink" Target="https://m.stock.naver.com/research/company/91672" TargetMode="External"/><Relationship Id="rId2981" Type="http://schemas.openxmlformats.org/officeDocument/2006/relationships/hyperlink" Target="https://m.stock.naver.com/research/company/90272" TargetMode="External"/><Relationship Id="rId8196" Type="http://schemas.openxmlformats.org/officeDocument/2006/relationships/hyperlink" Target="https://m.stock.naver.com/research/company/85042" TargetMode="External"/><Relationship Id="rId9247" Type="http://schemas.openxmlformats.org/officeDocument/2006/relationships/hyperlink" Target="https://m.stock.naver.com/research/company/83981" TargetMode="External"/><Relationship Id="rId12575" Type="http://schemas.openxmlformats.org/officeDocument/2006/relationships/hyperlink" Target="https://m.stock.naver.com/research/company/80633" TargetMode="External"/><Relationship Id="rId13626" Type="http://schemas.openxmlformats.org/officeDocument/2006/relationships/hyperlink" Target="https://m.stock.naver.com/research/company/79578" TargetMode="External"/><Relationship Id="rId953" Type="http://schemas.openxmlformats.org/officeDocument/2006/relationships/hyperlink" Target="https://m.stock.naver.com/research/company/92503" TargetMode="External"/><Relationship Id="rId1236" Type="http://schemas.openxmlformats.org/officeDocument/2006/relationships/hyperlink" Target="https://m.stock.naver.com/research/company/92019" TargetMode="External"/><Relationship Id="rId2634" Type="http://schemas.openxmlformats.org/officeDocument/2006/relationships/hyperlink" Target="https://m.stock.naver.com/research/company/90620" TargetMode="External"/><Relationship Id="rId11177" Type="http://schemas.openxmlformats.org/officeDocument/2006/relationships/hyperlink" Target="https://m.stock.naver.com/research/company/82043" TargetMode="External"/><Relationship Id="rId12228" Type="http://schemas.openxmlformats.org/officeDocument/2006/relationships/hyperlink" Target="https://m.stock.naver.com/research/company/80982" TargetMode="External"/><Relationship Id="rId606" Type="http://schemas.openxmlformats.org/officeDocument/2006/relationships/hyperlink" Target="https://m.stock.naver.com/research/company/92851" TargetMode="External"/><Relationship Id="rId5857" Type="http://schemas.openxmlformats.org/officeDocument/2006/relationships/hyperlink" Target="https://m.stock.naver.com/research/company/87383" TargetMode="External"/><Relationship Id="rId6908" Type="http://schemas.openxmlformats.org/officeDocument/2006/relationships/hyperlink" Target="https://m.stock.naver.com/research/company/86331" TargetMode="External"/><Relationship Id="rId4459" Type="http://schemas.openxmlformats.org/officeDocument/2006/relationships/hyperlink" Target="https://m.stock.naver.com/research/company/88781" TargetMode="External"/><Relationship Id="rId8330" Type="http://schemas.openxmlformats.org/officeDocument/2006/relationships/hyperlink" Target="https://m.stock.naver.com/research/company/84908" TargetMode="External"/><Relationship Id="rId10260" Type="http://schemas.openxmlformats.org/officeDocument/2006/relationships/hyperlink" Target="https://m.stock.naver.com/research/company/82961" TargetMode="External"/><Relationship Id="rId11311" Type="http://schemas.openxmlformats.org/officeDocument/2006/relationships/hyperlink" Target="https://m.stock.naver.com/research/company/81908" TargetMode="External"/><Relationship Id="rId4940" Type="http://schemas.openxmlformats.org/officeDocument/2006/relationships/hyperlink" Target="https://m.stock.naver.com/research/company/88300" TargetMode="External"/><Relationship Id="rId13483" Type="http://schemas.openxmlformats.org/officeDocument/2006/relationships/hyperlink" Target="https://m.stock.naver.com/research/company/79721" TargetMode="External"/><Relationship Id="rId14881" Type="http://schemas.openxmlformats.org/officeDocument/2006/relationships/hyperlink" Target="https://m.stock.naver.com/research/company/94743" TargetMode="External"/><Relationship Id="rId2491" Type="http://schemas.openxmlformats.org/officeDocument/2006/relationships/hyperlink" Target="https://m.stock.naver.com/research/company/90763" TargetMode="External"/><Relationship Id="rId3542" Type="http://schemas.openxmlformats.org/officeDocument/2006/relationships/hyperlink" Target="https://m.stock.naver.com/research/company/89709" TargetMode="External"/><Relationship Id="rId12085" Type="http://schemas.openxmlformats.org/officeDocument/2006/relationships/hyperlink" Target="https://m.stock.naver.com/research/company/81126" TargetMode="External"/><Relationship Id="rId13136" Type="http://schemas.openxmlformats.org/officeDocument/2006/relationships/hyperlink" Target="https://m.stock.naver.com/research/company/80071" TargetMode="External"/><Relationship Id="rId14534" Type="http://schemas.openxmlformats.org/officeDocument/2006/relationships/hyperlink" Target="https://m.stock.naver.com/research/company/94376" TargetMode="External"/><Relationship Id="rId463" Type="http://schemas.openxmlformats.org/officeDocument/2006/relationships/hyperlink" Target="https://m.stock.naver.com/research/company/92994" TargetMode="External"/><Relationship Id="rId1093" Type="http://schemas.openxmlformats.org/officeDocument/2006/relationships/hyperlink" Target="https://m.stock.naver.com/research/company/92163" TargetMode="External"/><Relationship Id="rId2144" Type="http://schemas.openxmlformats.org/officeDocument/2006/relationships/hyperlink" Target="https://m.stock.naver.com/research/company/91111" TargetMode="External"/><Relationship Id="rId116" Type="http://schemas.openxmlformats.org/officeDocument/2006/relationships/hyperlink" Target="https://m.stock.naver.com/research/company/93342" TargetMode="External"/><Relationship Id="rId5367" Type="http://schemas.openxmlformats.org/officeDocument/2006/relationships/hyperlink" Target="https://m.stock.naver.com/research/company/87873" TargetMode="External"/><Relationship Id="rId6765" Type="http://schemas.openxmlformats.org/officeDocument/2006/relationships/hyperlink" Target="https://m.stock.naver.com/research/company/86475" TargetMode="External"/><Relationship Id="rId7816" Type="http://schemas.openxmlformats.org/officeDocument/2006/relationships/hyperlink" Target="https://m.stock.naver.com/research/company/85422" TargetMode="External"/><Relationship Id="rId6418" Type="http://schemas.openxmlformats.org/officeDocument/2006/relationships/hyperlink" Target="https://m.stock.naver.com/research/company/86822" TargetMode="External"/><Relationship Id="rId9988" Type="http://schemas.openxmlformats.org/officeDocument/2006/relationships/hyperlink" Target="https://m.stock.naver.com/research/company/83233" TargetMode="External"/><Relationship Id="rId12969" Type="http://schemas.openxmlformats.org/officeDocument/2006/relationships/hyperlink" Target="https://m.stock.naver.com/research/company/80239" TargetMode="External"/><Relationship Id="rId1977" Type="http://schemas.openxmlformats.org/officeDocument/2006/relationships/hyperlink" Target="https://m.stock.naver.com/research/company/91278" TargetMode="External"/><Relationship Id="rId14391" Type="http://schemas.openxmlformats.org/officeDocument/2006/relationships/hyperlink" Target="https://m.stock.naver.com/research/company/94253" TargetMode="External"/><Relationship Id="rId15442" Type="http://schemas.openxmlformats.org/officeDocument/2006/relationships/hyperlink" Target="https://m.stock.naver.com/research/company/95345" TargetMode="External"/><Relationship Id="rId4450" Type="http://schemas.openxmlformats.org/officeDocument/2006/relationships/hyperlink" Target="https://m.stock.naver.com/research/company/88790" TargetMode="External"/><Relationship Id="rId5501" Type="http://schemas.openxmlformats.org/officeDocument/2006/relationships/hyperlink" Target="https://m.stock.naver.com/research/company/87739" TargetMode="External"/><Relationship Id="rId14044" Type="http://schemas.openxmlformats.org/officeDocument/2006/relationships/hyperlink" Target="https://m.stock.naver.com/research/company/93803" TargetMode="External"/><Relationship Id="rId3052" Type="http://schemas.openxmlformats.org/officeDocument/2006/relationships/hyperlink" Target="https://m.stock.naver.com/research/company/90199" TargetMode="External"/><Relationship Id="rId4103" Type="http://schemas.openxmlformats.org/officeDocument/2006/relationships/hyperlink" Target="https://m.stock.naver.com/research/company/89148" TargetMode="External"/><Relationship Id="rId7673" Type="http://schemas.openxmlformats.org/officeDocument/2006/relationships/hyperlink" Target="https://m.stock.naver.com/research/company/85566" TargetMode="External"/><Relationship Id="rId8724" Type="http://schemas.openxmlformats.org/officeDocument/2006/relationships/hyperlink" Target="https://m.stock.naver.com/research/company/84513" TargetMode="External"/><Relationship Id="rId6275" Type="http://schemas.openxmlformats.org/officeDocument/2006/relationships/hyperlink" Target="https://m.stock.naver.com/research/company/86965" TargetMode="External"/><Relationship Id="rId7326" Type="http://schemas.openxmlformats.org/officeDocument/2006/relationships/hyperlink" Target="https://m.stock.naver.com/research/company/85913" TargetMode="External"/><Relationship Id="rId10654" Type="http://schemas.openxmlformats.org/officeDocument/2006/relationships/hyperlink" Target="https://m.stock.naver.com/research/company/82566" TargetMode="External"/><Relationship Id="rId11705" Type="http://schemas.openxmlformats.org/officeDocument/2006/relationships/hyperlink" Target="https://m.stock.naver.com/research/company/81507" TargetMode="External"/><Relationship Id="rId9498" Type="http://schemas.openxmlformats.org/officeDocument/2006/relationships/hyperlink" Target="https://m.stock.naver.com/research/company/83729" TargetMode="External"/><Relationship Id="rId10307" Type="http://schemas.openxmlformats.org/officeDocument/2006/relationships/hyperlink" Target="https://m.stock.naver.com/research/company/82914" TargetMode="External"/><Relationship Id="rId13877" Type="http://schemas.openxmlformats.org/officeDocument/2006/relationships/hyperlink" Target="https://m.stock.naver.com/research/company/93650" TargetMode="External"/><Relationship Id="rId14928" Type="http://schemas.openxmlformats.org/officeDocument/2006/relationships/hyperlink" Target="https://m.stock.naver.com/research/company/94906" TargetMode="External"/><Relationship Id="rId2885" Type="http://schemas.openxmlformats.org/officeDocument/2006/relationships/hyperlink" Target="https://m.stock.naver.com/research/company/90368" TargetMode="External"/><Relationship Id="rId3936" Type="http://schemas.openxmlformats.org/officeDocument/2006/relationships/hyperlink" Target="https://m.stock.naver.com/research/company/89315" TargetMode="External"/><Relationship Id="rId12479" Type="http://schemas.openxmlformats.org/officeDocument/2006/relationships/hyperlink" Target="https://m.stock.naver.com/research/company/80729" TargetMode="External"/><Relationship Id="rId857" Type="http://schemas.openxmlformats.org/officeDocument/2006/relationships/hyperlink" Target="https://m.stock.naver.com/research/company/92599" TargetMode="External"/><Relationship Id="rId1487" Type="http://schemas.openxmlformats.org/officeDocument/2006/relationships/hyperlink" Target="https://m.stock.naver.com/research/company/91768" TargetMode="External"/><Relationship Id="rId2538" Type="http://schemas.openxmlformats.org/officeDocument/2006/relationships/hyperlink" Target="https://m.stock.naver.com/research/company/90716" TargetMode="External"/><Relationship Id="rId5011" Type="http://schemas.openxmlformats.org/officeDocument/2006/relationships/hyperlink" Target="https://m.stock.naver.com/research/company/88229" TargetMode="External"/><Relationship Id="rId8581" Type="http://schemas.openxmlformats.org/officeDocument/2006/relationships/hyperlink" Target="https://m.stock.naver.com/research/company/84656" TargetMode="External"/><Relationship Id="rId9632" Type="http://schemas.openxmlformats.org/officeDocument/2006/relationships/hyperlink" Target="https://m.stock.naver.com/research/company/83593" TargetMode="External"/><Relationship Id="rId11562" Type="http://schemas.openxmlformats.org/officeDocument/2006/relationships/hyperlink" Target="https://m.stock.naver.com/research/company/81651" TargetMode="External"/><Relationship Id="rId12960" Type="http://schemas.openxmlformats.org/officeDocument/2006/relationships/hyperlink" Target="https://m.stock.naver.com/research/company/80248" TargetMode="External"/><Relationship Id="rId1621" Type="http://schemas.openxmlformats.org/officeDocument/2006/relationships/hyperlink" Target="https://m.stock.naver.com/research/company/91634" TargetMode="External"/><Relationship Id="rId7183" Type="http://schemas.openxmlformats.org/officeDocument/2006/relationships/hyperlink" Target="https://m.stock.naver.com/research/company/86056" TargetMode="External"/><Relationship Id="rId8234" Type="http://schemas.openxmlformats.org/officeDocument/2006/relationships/hyperlink" Target="https://m.stock.naver.com/research/company/85004" TargetMode="External"/><Relationship Id="rId10164" Type="http://schemas.openxmlformats.org/officeDocument/2006/relationships/hyperlink" Target="https://m.stock.naver.com/research/company/83057" TargetMode="External"/><Relationship Id="rId11215" Type="http://schemas.openxmlformats.org/officeDocument/2006/relationships/hyperlink" Target="https://m.stock.naver.com/research/company/82005" TargetMode="External"/><Relationship Id="rId12613" Type="http://schemas.openxmlformats.org/officeDocument/2006/relationships/hyperlink" Target="https://m.stock.naver.com/research/company/80595" TargetMode="External"/><Relationship Id="rId3793" Type="http://schemas.openxmlformats.org/officeDocument/2006/relationships/hyperlink" Target="https://m.stock.naver.com/research/company/89458" TargetMode="External"/><Relationship Id="rId14785" Type="http://schemas.openxmlformats.org/officeDocument/2006/relationships/hyperlink" Target="https://m.stock.naver.com/research/company/94615" TargetMode="External"/><Relationship Id="rId2395" Type="http://schemas.openxmlformats.org/officeDocument/2006/relationships/hyperlink" Target="https://m.stock.naver.com/research/company/90859" TargetMode="External"/><Relationship Id="rId3446" Type="http://schemas.openxmlformats.org/officeDocument/2006/relationships/hyperlink" Target="https://m.stock.naver.com/research/company/89805" TargetMode="External"/><Relationship Id="rId4844" Type="http://schemas.openxmlformats.org/officeDocument/2006/relationships/hyperlink" Target="https://m.stock.naver.com/research/company/88396" TargetMode="External"/><Relationship Id="rId13387" Type="http://schemas.openxmlformats.org/officeDocument/2006/relationships/hyperlink" Target="https://m.stock.naver.com/research/company/79818" TargetMode="External"/><Relationship Id="rId14438" Type="http://schemas.openxmlformats.org/officeDocument/2006/relationships/hyperlink" Target="https://m.stock.naver.com/research/company/94472" TargetMode="External"/><Relationship Id="rId367" Type="http://schemas.openxmlformats.org/officeDocument/2006/relationships/hyperlink" Target="https://m.stock.naver.com/research/company/93091" TargetMode="External"/><Relationship Id="rId2048" Type="http://schemas.openxmlformats.org/officeDocument/2006/relationships/hyperlink" Target="https://m.stock.naver.com/research/company/91207" TargetMode="External"/><Relationship Id="rId6669" Type="http://schemas.openxmlformats.org/officeDocument/2006/relationships/hyperlink" Target="https://m.stock.naver.com/research/company/86571" TargetMode="External"/><Relationship Id="rId8091" Type="http://schemas.openxmlformats.org/officeDocument/2006/relationships/hyperlink" Target="https://m.stock.naver.com/research/company/85147" TargetMode="External"/><Relationship Id="rId12470" Type="http://schemas.openxmlformats.org/officeDocument/2006/relationships/hyperlink" Target="https://m.stock.naver.com/research/company/80738" TargetMode="External"/><Relationship Id="rId13521" Type="http://schemas.openxmlformats.org/officeDocument/2006/relationships/hyperlink" Target="https://m.stock.naver.com/research/company/79683" TargetMode="External"/><Relationship Id="rId9142" Type="http://schemas.openxmlformats.org/officeDocument/2006/relationships/hyperlink" Target="https://m.stock.naver.com/research/company/84088" TargetMode="External"/><Relationship Id="rId11072" Type="http://schemas.openxmlformats.org/officeDocument/2006/relationships/hyperlink" Target="https://m.stock.naver.com/research/company/82148" TargetMode="External"/><Relationship Id="rId12123" Type="http://schemas.openxmlformats.org/officeDocument/2006/relationships/hyperlink" Target="https://m.stock.naver.com/research/company/81088" TargetMode="External"/><Relationship Id="rId15693" Type="http://schemas.openxmlformats.org/officeDocument/2006/relationships/hyperlink" Target="https://m.stock.naver.com/research/company/95721" TargetMode="External"/><Relationship Id="rId501" Type="http://schemas.openxmlformats.org/officeDocument/2006/relationships/hyperlink" Target="https://m.stock.naver.com/research/company/92956" TargetMode="External"/><Relationship Id="rId1131" Type="http://schemas.openxmlformats.org/officeDocument/2006/relationships/hyperlink" Target="https://m.stock.naver.com/research/company/92124" TargetMode="External"/><Relationship Id="rId5752" Type="http://schemas.openxmlformats.org/officeDocument/2006/relationships/hyperlink" Target="https://m.stock.naver.com/research/company/87488" TargetMode="External"/><Relationship Id="rId6803" Type="http://schemas.openxmlformats.org/officeDocument/2006/relationships/hyperlink" Target="https://m.stock.naver.com/research/company/86437" TargetMode="External"/><Relationship Id="rId14295" Type="http://schemas.openxmlformats.org/officeDocument/2006/relationships/hyperlink" Target="https://m.stock.naver.com/research/company/94169" TargetMode="External"/><Relationship Id="rId15346" Type="http://schemas.openxmlformats.org/officeDocument/2006/relationships/hyperlink" Target="https://m.stock.naver.com/research/company/95242" TargetMode="External"/><Relationship Id="rId4354" Type="http://schemas.openxmlformats.org/officeDocument/2006/relationships/hyperlink" Target="https://m.stock.naver.com/research/company/88887" TargetMode="External"/><Relationship Id="rId5405" Type="http://schemas.openxmlformats.org/officeDocument/2006/relationships/hyperlink" Target="https://m.stock.naver.com/research/company/87835" TargetMode="External"/><Relationship Id="rId4007" Type="http://schemas.openxmlformats.org/officeDocument/2006/relationships/hyperlink" Target="https://m.stock.naver.com/research/company/89244" TargetMode="External"/><Relationship Id="rId7577" Type="http://schemas.openxmlformats.org/officeDocument/2006/relationships/hyperlink" Target="https://m.stock.naver.com/research/company/85662" TargetMode="External"/><Relationship Id="rId8975" Type="http://schemas.openxmlformats.org/officeDocument/2006/relationships/hyperlink" Target="https://m.stock.naver.com/research/company/84257" TargetMode="External"/><Relationship Id="rId11956" Type="http://schemas.openxmlformats.org/officeDocument/2006/relationships/hyperlink" Target="https://m.stock.naver.com/research/company/81255" TargetMode="External"/><Relationship Id="rId6179" Type="http://schemas.openxmlformats.org/officeDocument/2006/relationships/hyperlink" Target="https://m.stock.naver.com/research/company/87061" TargetMode="External"/><Relationship Id="rId8628" Type="http://schemas.openxmlformats.org/officeDocument/2006/relationships/hyperlink" Target="https://m.stock.naver.com/research/company/84609" TargetMode="External"/><Relationship Id="rId10558" Type="http://schemas.openxmlformats.org/officeDocument/2006/relationships/hyperlink" Target="https://m.stock.naver.com/research/company/82662" TargetMode="External"/><Relationship Id="rId11609" Type="http://schemas.openxmlformats.org/officeDocument/2006/relationships/hyperlink" Target="https://m.stock.naver.com/research/company/81603" TargetMode="External"/><Relationship Id="rId13031" Type="http://schemas.openxmlformats.org/officeDocument/2006/relationships/hyperlink" Target="https://m.stock.naver.com/research/company/80176" TargetMode="External"/><Relationship Id="rId2789" Type="http://schemas.openxmlformats.org/officeDocument/2006/relationships/hyperlink" Target="https://m.stock.naver.com/research/company/90465" TargetMode="External"/><Relationship Id="rId6660" Type="http://schemas.openxmlformats.org/officeDocument/2006/relationships/hyperlink" Target="https://m.stock.naver.com/research/company/86580" TargetMode="External"/><Relationship Id="rId7711" Type="http://schemas.openxmlformats.org/officeDocument/2006/relationships/hyperlink" Target="https://m.stock.naver.com/research/company/85528" TargetMode="External"/><Relationship Id="rId5262" Type="http://schemas.openxmlformats.org/officeDocument/2006/relationships/hyperlink" Target="https://m.stock.naver.com/research/company/87978" TargetMode="External"/><Relationship Id="rId6313" Type="http://schemas.openxmlformats.org/officeDocument/2006/relationships/hyperlink" Target="https://m.stock.naver.com/research/company/86927" TargetMode="External"/><Relationship Id="rId9883" Type="http://schemas.openxmlformats.org/officeDocument/2006/relationships/hyperlink" Target="https://m.stock.naver.com/research/company/83339" TargetMode="External"/><Relationship Id="rId97" Type="http://schemas.openxmlformats.org/officeDocument/2006/relationships/hyperlink" Target="https://m.stock.naver.com/research/company/93361" TargetMode="External"/><Relationship Id="rId1872" Type="http://schemas.openxmlformats.org/officeDocument/2006/relationships/hyperlink" Target="https://m.stock.naver.com/research/company/91383" TargetMode="External"/><Relationship Id="rId8485" Type="http://schemas.openxmlformats.org/officeDocument/2006/relationships/hyperlink" Target="https://m.stock.naver.com/research/company/84752" TargetMode="External"/><Relationship Id="rId9536" Type="http://schemas.openxmlformats.org/officeDocument/2006/relationships/hyperlink" Target="https://m.stock.naver.com/research/company/83691" TargetMode="External"/><Relationship Id="rId12864" Type="http://schemas.openxmlformats.org/officeDocument/2006/relationships/hyperlink" Target="https://m.stock.naver.com/research/company/80344" TargetMode="External"/><Relationship Id="rId13915" Type="http://schemas.openxmlformats.org/officeDocument/2006/relationships/hyperlink" Target="https://m.stock.naver.com/research/company/93687" TargetMode="External"/><Relationship Id="rId1525" Type="http://schemas.openxmlformats.org/officeDocument/2006/relationships/hyperlink" Target="https://m.stock.naver.com/research/company/91730" TargetMode="External"/><Relationship Id="rId2923" Type="http://schemas.openxmlformats.org/officeDocument/2006/relationships/hyperlink" Target="https://m.stock.naver.com/research/company/90330" TargetMode="External"/><Relationship Id="rId7087" Type="http://schemas.openxmlformats.org/officeDocument/2006/relationships/hyperlink" Target="https://m.stock.naver.com/research/company/86152" TargetMode="External"/><Relationship Id="rId8138" Type="http://schemas.openxmlformats.org/officeDocument/2006/relationships/hyperlink" Target="https://m.stock.naver.com/research/company/85100" TargetMode="External"/><Relationship Id="rId10068" Type="http://schemas.openxmlformats.org/officeDocument/2006/relationships/hyperlink" Target="https://m.stock.naver.com/research/company/83153" TargetMode="External"/><Relationship Id="rId11466" Type="http://schemas.openxmlformats.org/officeDocument/2006/relationships/hyperlink" Target="https://m.stock.naver.com/research/company/81749" TargetMode="External"/><Relationship Id="rId12517" Type="http://schemas.openxmlformats.org/officeDocument/2006/relationships/hyperlink" Target="https://m.stock.naver.com/research/company/80691" TargetMode="External"/><Relationship Id="rId11119" Type="http://schemas.openxmlformats.org/officeDocument/2006/relationships/hyperlink" Target="https://m.stock.naver.com/research/company/82101" TargetMode="External"/><Relationship Id="rId14689" Type="http://schemas.openxmlformats.org/officeDocument/2006/relationships/hyperlink" Target="https://m.stock.naver.com/research/company/94711" TargetMode="External"/><Relationship Id="rId2299" Type="http://schemas.openxmlformats.org/officeDocument/2006/relationships/hyperlink" Target="https://m.stock.naver.com/research/company/90956" TargetMode="External"/><Relationship Id="rId3697" Type="http://schemas.openxmlformats.org/officeDocument/2006/relationships/hyperlink" Target="https://m.stock.naver.com/research/company/89554" TargetMode="External"/><Relationship Id="rId4748" Type="http://schemas.openxmlformats.org/officeDocument/2006/relationships/hyperlink" Target="https://m.stock.naver.com/research/company/88492" TargetMode="External"/><Relationship Id="rId11600" Type="http://schemas.openxmlformats.org/officeDocument/2006/relationships/hyperlink" Target="https://m.stock.naver.com/research/company/81612" TargetMode="External"/><Relationship Id="rId6170" Type="http://schemas.openxmlformats.org/officeDocument/2006/relationships/hyperlink" Target="https://m.stock.naver.com/research/company/87070" TargetMode="External"/><Relationship Id="rId7221" Type="http://schemas.openxmlformats.org/officeDocument/2006/relationships/hyperlink" Target="https://m.stock.naver.com/research/company/86018" TargetMode="External"/><Relationship Id="rId10202" Type="http://schemas.openxmlformats.org/officeDocument/2006/relationships/hyperlink" Target="https://m.stock.naver.com/research/company/83019" TargetMode="External"/><Relationship Id="rId13772" Type="http://schemas.openxmlformats.org/officeDocument/2006/relationships/hyperlink" Target="https://m.stock.naver.com/research/company/93616" TargetMode="External"/><Relationship Id="rId2780" Type="http://schemas.openxmlformats.org/officeDocument/2006/relationships/hyperlink" Target="https://m.stock.naver.com/research/company/90474" TargetMode="External"/><Relationship Id="rId3831" Type="http://schemas.openxmlformats.org/officeDocument/2006/relationships/hyperlink" Target="https://m.stock.naver.com/research/company/89420" TargetMode="External"/><Relationship Id="rId9393" Type="http://schemas.openxmlformats.org/officeDocument/2006/relationships/hyperlink" Target="https://m.stock.naver.com/research/company/83834" TargetMode="External"/><Relationship Id="rId12374" Type="http://schemas.openxmlformats.org/officeDocument/2006/relationships/hyperlink" Target="https://m.stock.naver.com/research/company/80835" TargetMode="External"/><Relationship Id="rId13425" Type="http://schemas.openxmlformats.org/officeDocument/2006/relationships/hyperlink" Target="https://m.stock.naver.com/research/company/79780" TargetMode="External"/><Relationship Id="rId14823" Type="http://schemas.openxmlformats.org/officeDocument/2006/relationships/hyperlink" Target="https://m.stock.naver.com/research/company/94801" TargetMode="External"/><Relationship Id="rId752" Type="http://schemas.openxmlformats.org/officeDocument/2006/relationships/hyperlink" Target="https://m.stock.naver.com/research/company/92704" TargetMode="External"/><Relationship Id="rId1382" Type="http://schemas.openxmlformats.org/officeDocument/2006/relationships/hyperlink" Target="https://m.stock.naver.com/research/company/91873" TargetMode="External"/><Relationship Id="rId2433" Type="http://schemas.openxmlformats.org/officeDocument/2006/relationships/hyperlink" Target="https://m.stock.naver.com/research/company/90821" TargetMode="External"/><Relationship Id="rId9046" Type="http://schemas.openxmlformats.org/officeDocument/2006/relationships/hyperlink" Target="https://m.stock.naver.com/research/company/84185" TargetMode="External"/><Relationship Id="rId12027" Type="http://schemas.openxmlformats.org/officeDocument/2006/relationships/hyperlink" Target="https://m.stock.naver.com/research/company/81184" TargetMode="External"/><Relationship Id="rId405" Type="http://schemas.openxmlformats.org/officeDocument/2006/relationships/hyperlink" Target="https://m.stock.naver.com/research/company/93053" TargetMode="External"/><Relationship Id="rId1035" Type="http://schemas.openxmlformats.org/officeDocument/2006/relationships/hyperlink" Target="https://m.stock.naver.com/research/company/92316" TargetMode="External"/><Relationship Id="rId5656" Type="http://schemas.openxmlformats.org/officeDocument/2006/relationships/hyperlink" Target="https://m.stock.naver.com/research/company/87584" TargetMode="External"/><Relationship Id="rId14199" Type="http://schemas.openxmlformats.org/officeDocument/2006/relationships/hyperlink" Target="https://m.stock.naver.com/research/company/94059" TargetMode="External"/><Relationship Id="rId15597" Type="http://schemas.openxmlformats.org/officeDocument/2006/relationships/hyperlink" Target="https://m.stock.naver.com/research/company/95439" TargetMode="External"/><Relationship Id="rId4258" Type="http://schemas.openxmlformats.org/officeDocument/2006/relationships/hyperlink" Target="https://m.stock.naver.com/research/company/88984" TargetMode="External"/><Relationship Id="rId5309" Type="http://schemas.openxmlformats.org/officeDocument/2006/relationships/hyperlink" Target="https://m.stock.naver.com/research/company/87931" TargetMode="External"/><Relationship Id="rId6707" Type="http://schemas.openxmlformats.org/officeDocument/2006/relationships/hyperlink" Target="https://m.stock.naver.com/research/company/86533" TargetMode="External"/><Relationship Id="rId8879" Type="http://schemas.openxmlformats.org/officeDocument/2006/relationships/hyperlink" Target="https://m.stock.naver.com/research/company/84357" TargetMode="External"/><Relationship Id="rId11110" Type="http://schemas.openxmlformats.org/officeDocument/2006/relationships/hyperlink" Target="https://m.stock.naver.com/research/company/82110" TargetMode="External"/><Relationship Id="rId14680" Type="http://schemas.openxmlformats.org/officeDocument/2006/relationships/hyperlink" Target="https://m.stock.naver.com/research/company/94498" TargetMode="External"/><Relationship Id="rId15731" Type="http://schemas.openxmlformats.org/officeDocument/2006/relationships/hyperlink" Target="https://m.stock.naver.com/research/company/95683" TargetMode="External"/><Relationship Id="rId1919" Type="http://schemas.openxmlformats.org/officeDocument/2006/relationships/hyperlink" Target="https://m.stock.naver.com/research/company/91336" TargetMode="External"/><Relationship Id="rId13282" Type="http://schemas.openxmlformats.org/officeDocument/2006/relationships/hyperlink" Target="https://m.stock.naver.com/research/company/79924" TargetMode="External"/><Relationship Id="rId14333" Type="http://schemas.openxmlformats.org/officeDocument/2006/relationships/hyperlink" Target="https://m.stock.naver.com/research/company/94218" TargetMode="External"/><Relationship Id="rId2290" Type="http://schemas.openxmlformats.org/officeDocument/2006/relationships/hyperlink" Target="https://m.stock.naver.com/research/company/90965" TargetMode="External"/><Relationship Id="rId3341" Type="http://schemas.openxmlformats.org/officeDocument/2006/relationships/hyperlink" Target="https://m.stock.naver.com/research/company/89909" TargetMode="External"/><Relationship Id="rId7962" Type="http://schemas.openxmlformats.org/officeDocument/2006/relationships/hyperlink" Target="https://m.stock.naver.com/research/company/85276" TargetMode="External"/><Relationship Id="rId262" Type="http://schemas.openxmlformats.org/officeDocument/2006/relationships/hyperlink" Target="https://m.stock.naver.com/research/company/93196" TargetMode="External"/><Relationship Id="rId6564" Type="http://schemas.openxmlformats.org/officeDocument/2006/relationships/hyperlink" Target="https://m.stock.naver.com/research/company/86676" TargetMode="External"/><Relationship Id="rId7615" Type="http://schemas.openxmlformats.org/officeDocument/2006/relationships/hyperlink" Target="https://m.stock.naver.com/research/company/85624" TargetMode="External"/><Relationship Id="rId10943" Type="http://schemas.openxmlformats.org/officeDocument/2006/relationships/hyperlink" Target="https://m.stock.naver.com/research/company/82277" TargetMode="External"/><Relationship Id="rId5166" Type="http://schemas.openxmlformats.org/officeDocument/2006/relationships/hyperlink" Target="https://m.stock.naver.com/research/company/88074" TargetMode="External"/><Relationship Id="rId6217" Type="http://schemas.openxmlformats.org/officeDocument/2006/relationships/hyperlink" Target="https://m.stock.naver.com/research/company/87023" TargetMode="External"/><Relationship Id="rId9787" Type="http://schemas.openxmlformats.org/officeDocument/2006/relationships/hyperlink" Target="https://m.stock.naver.com/research/company/83435" TargetMode="External"/><Relationship Id="rId8389" Type="http://schemas.openxmlformats.org/officeDocument/2006/relationships/hyperlink" Target="https://m.stock.naver.com/research/company/84849" TargetMode="External"/><Relationship Id="rId12768" Type="http://schemas.openxmlformats.org/officeDocument/2006/relationships/hyperlink" Target="https://m.stock.naver.com/research/company/80440" TargetMode="External"/><Relationship Id="rId13819" Type="http://schemas.openxmlformats.org/officeDocument/2006/relationships/hyperlink" Target="https://m.stock.naver.com/research/company/93559" TargetMode="External"/><Relationship Id="rId1776" Type="http://schemas.openxmlformats.org/officeDocument/2006/relationships/hyperlink" Target="https://m.stock.naver.com/research/company/91479" TargetMode="External"/><Relationship Id="rId2827" Type="http://schemas.openxmlformats.org/officeDocument/2006/relationships/hyperlink" Target="https://m.stock.naver.com/research/company/90426" TargetMode="External"/><Relationship Id="rId14190" Type="http://schemas.openxmlformats.org/officeDocument/2006/relationships/hyperlink" Target="https://m.stock.naver.com/research/company/94068" TargetMode="External"/><Relationship Id="rId15241" Type="http://schemas.openxmlformats.org/officeDocument/2006/relationships/hyperlink" Target="https://m.stock.naver.com/research/company/95119" TargetMode="External"/><Relationship Id="rId1429" Type="http://schemas.openxmlformats.org/officeDocument/2006/relationships/hyperlink" Target="https://m.stock.naver.com/research/company/91826" TargetMode="External"/><Relationship Id="rId4999" Type="http://schemas.openxmlformats.org/officeDocument/2006/relationships/hyperlink" Target="https://m.stock.naver.com/research/company/88241" TargetMode="External"/><Relationship Id="rId5300" Type="http://schemas.openxmlformats.org/officeDocument/2006/relationships/hyperlink" Target="https://m.stock.naver.com/research/company/87940" TargetMode="External"/><Relationship Id="rId8870" Type="http://schemas.openxmlformats.org/officeDocument/2006/relationships/hyperlink" Target="https://m.stock.naver.com/research/company/84367" TargetMode="External"/><Relationship Id="rId9921" Type="http://schemas.openxmlformats.org/officeDocument/2006/relationships/hyperlink" Target="https://m.stock.naver.com/research/company/83301" TargetMode="External"/><Relationship Id="rId11851" Type="http://schemas.openxmlformats.org/officeDocument/2006/relationships/hyperlink" Target="https://m.stock.naver.com/research/company/81361" TargetMode="External"/><Relationship Id="rId1910" Type="http://schemas.openxmlformats.org/officeDocument/2006/relationships/hyperlink" Target="https://m.stock.naver.com/research/company/91345" TargetMode="External"/><Relationship Id="rId7472" Type="http://schemas.openxmlformats.org/officeDocument/2006/relationships/hyperlink" Target="https://m.stock.naver.com/research/company/85767" TargetMode="External"/><Relationship Id="rId8523" Type="http://schemas.openxmlformats.org/officeDocument/2006/relationships/hyperlink" Target="https://m.stock.naver.com/research/company/84714" TargetMode="External"/><Relationship Id="rId10453" Type="http://schemas.openxmlformats.org/officeDocument/2006/relationships/hyperlink" Target="https://m.stock.naver.com/research/company/82767" TargetMode="External"/><Relationship Id="rId11504" Type="http://schemas.openxmlformats.org/officeDocument/2006/relationships/hyperlink" Target="https://m.stock.naver.com/research/company/81711" TargetMode="External"/><Relationship Id="rId12902" Type="http://schemas.openxmlformats.org/officeDocument/2006/relationships/hyperlink" Target="https://m.stock.naver.com/research/company/8030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pane ySplit="1" topLeftCell="A2" activePane="bottomLeft" state="frozen"/>
      <selection activeCell="A6" sqref="A6"/>
      <selection pane="bottomLeft" activeCell="A7" sqref="A7"/>
    </sheetView>
  </sheetViews>
  <sheetFormatPr defaultRowHeight="17" x14ac:dyDescent="0.45"/>
  <cols>
    <col min="1" max="1" width="20" customWidth="1"/>
    <col min="2" max="2" width="18" customWidth="1"/>
    <col min="3" max="3" width="42" customWidth="1"/>
    <col min="4" max="4" width="18" customWidth="1"/>
    <col min="5" max="5" width="10" customWidth="1"/>
  </cols>
  <sheetData>
    <row r="1" spans="1:5" ht="22" customHeight="1" x14ac:dyDescent="0.45">
      <c r="A1" s="44" t="s">
        <v>30244</v>
      </c>
      <c r="B1" s="44" t="s">
        <v>30245</v>
      </c>
      <c r="C1" s="44" t="s">
        <v>30246</v>
      </c>
      <c r="D1" s="44" t="s">
        <v>30247</v>
      </c>
      <c r="E1" s="44" t="s">
        <v>30248</v>
      </c>
    </row>
    <row r="2" spans="1:5" ht="18" customHeight="1" x14ac:dyDescent="0.45">
      <c r="A2" s="45" t="s">
        <v>30249</v>
      </c>
      <c r="B2" s="46"/>
      <c r="C2" s="46"/>
      <c r="D2" s="46"/>
      <c r="E2" s="46"/>
    </row>
    <row r="3" spans="1:5" x14ac:dyDescent="0.45">
      <c r="A3" t="s">
        <v>20</v>
      </c>
      <c r="B3" t="s">
        <v>20</v>
      </c>
      <c r="C3" t="s">
        <v>30250</v>
      </c>
      <c r="D3" t="s">
        <v>30251</v>
      </c>
      <c r="E3">
        <v>70</v>
      </c>
    </row>
    <row r="4" spans="1:5" x14ac:dyDescent="0.45">
      <c r="A4" t="s">
        <v>26</v>
      </c>
      <c r="B4" t="s">
        <v>26</v>
      </c>
      <c r="C4" t="s">
        <v>30252</v>
      </c>
      <c r="D4" t="s">
        <v>30251</v>
      </c>
      <c r="E4">
        <v>27</v>
      </c>
    </row>
    <row r="5" spans="1:5" x14ac:dyDescent="0.45">
      <c r="A5" t="s">
        <v>31</v>
      </c>
      <c r="B5" t="s">
        <v>31</v>
      </c>
      <c r="C5" t="s">
        <v>30253</v>
      </c>
      <c r="D5" t="s">
        <v>30251</v>
      </c>
      <c r="E5">
        <v>86</v>
      </c>
    </row>
    <row r="6" spans="1:5" x14ac:dyDescent="0.45">
      <c r="A6" t="s">
        <v>31897</v>
      </c>
    </row>
    <row r="7" spans="1:5" x14ac:dyDescent="0.45">
      <c r="A7" t="s">
        <v>31898</v>
      </c>
    </row>
  </sheetData>
  <mergeCells count="1">
    <mergeCell ref="A2:E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857"/>
  <sheetViews>
    <sheetView workbookViewId="0">
      <pane ySplit="1" topLeftCell="A2" activePane="bottomLeft" state="frozen"/>
      <selection pane="bottomLeft" activeCell="N5" sqref="N2:P5"/>
    </sheetView>
  </sheetViews>
  <sheetFormatPr defaultRowHeight="17" x14ac:dyDescent="0.45"/>
  <cols>
    <col min="1" max="1" width="12" customWidth="1"/>
    <col min="2" max="11" width="16" customWidth="1"/>
  </cols>
  <sheetData>
    <row r="1" spans="1:15" ht="22" customHeight="1" x14ac:dyDescent="0.45">
      <c r="A1" s="18" t="s">
        <v>30316</v>
      </c>
      <c r="B1" s="18" t="s">
        <v>30330</v>
      </c>
      <c r="C1" s="18" t="s">
        <v>30331</v>
      </c>
      <c r="D1" s="18" t="s">
        <v>30332</v>
      </c>
      <c r="E1" s="18" t="s">
        <v>30333</v>
      </c>
      <c r="F1" s="18" t="s">
        <v>30334</v>
      </c>
      <c r="G1" s="18" t="s">
        <v>30335</v>
      </c>
      <c r="H1" s="18" t="s">
        <v>30336</v>
      </c>
      <c r="I1" s="18" t="s">
        <v>30337</v>
      </c>
      <c r="J1" s="18" t="s">
        <v>30338</v>
      </c>
      <c r="K1" s="18" t="s">
        <v>30339</v>
      </c>
      <c r="N1" s="18" t="s">
        <v>30340</v>
      </c>
    </row>
    <row r="2" spans="1:15" x14ac:dyDescent="0.45">
      <c r="A2" s="12" t="s">
        <v>35917</v>
      </c>
      <c r="B2" s="14">
        <v>722000</v>
      </c>
      <c r="C2" s="14">
        <v>858000</v>
      </c>
      <c r="D2" s="14">
        <v>530700</v>
      </c>
      <c r="E2" s="14">
        <v>630630</v>
      </c>
      <c r="F2" s="14">
        <v>411600</v>
      </c>
      <c r="G2" s="14">
        <v>489060</v>
      </c>
      <c r="H2" s="14">
        <v>272000</v>
      </c>
      <c r="I2" s="14">
        <v>336000</v>
      </c>
      <c r="J2" s="14">
        <v>9930</v>
      </c>
      <c r="K2" s="14">
        <v>11750</v>
      </c>
      <c r="N2" s="42">
        <f t="shared" ref="N2:N4" si="0">C2-B2</f>
        <v>136000</v>
      </c>
      <c r="O2" s="43">
        <f t="shared" ref="O2:O4" si="1">N2/C2</f>
        <v>0.1585081585081585</v>
      </c>
    </row>
    <row r="3" spans="1:15" x14ac:dyDescent="0.45">
      <c r="A3" s="12" t="s">
        <v>35918</v>
      </c>
      <c r="B3" s="14">
        <v>734000</v>
      </c>
      <c r="C3" s="14">
        <v>876000</v>
      </c>
      <c r="D3" s="14">
        <v>539500</v>
      </c>
      <c r="E3" s="14">
        <v>643860</v>
      </c>
      <c r="F3" s="14">
        <v>418400</v>
      </c>
      <c r="G3" s="14">
        <v>499320</v>
      </c>
      <c r="H3" s="14">
        <v>283000</v>
      </c>
      <c r="I3" s="14">
        <v>348000</v>
      </c>
      <c r="J3" s="14">
        <v>10380</v>
      </c>
      <c r="K3" s="14">
        <v>12280</v>
      </c>
      <c r="N3" s="42">
        <f t="shared" si="0"/>
        <v>142000</v>
      </c>
      <c r="O3" s="43">
        <f t="shared" si="1"/>
        <v>0.16210045662100456</v>
      </c>
    </row>
    <row r="4" spans="1:15" x14ac:dyDescent="0.45">
      <c r="A4" s="12" t="s">
        <v>35919</v>
      </c>
      <c r="B4" s="14">
        <v>733000</v>
      </c>
      <c r="C4" s="14">
        <v>876000</v>
      </c>
      <c r="D4" s="14">
        <v>538800</v>
      </c>
      <c r="E4" s="14">
        <v>643860</v>
      </c>
      <c r="F4" s="14">
        <v>417900</v>
      </c>
      <c r="G4" s="14">
        <v>499320</v>
      </c>
      <c r="H4" s="14">
        <v>282000</v>
      </c>
      <c r="I4" s="14">
        <v>348000</v>
      </c>
      <c r="J4" s="14">
        <v>10390</v>
      </c>
      <c r="K4" s="14">
        <v>12300</v>
      </c>
      <c r="N4" s="42">
        <f t="shared" si="0"/>
        <v>143000</v>
      </c>
      <c r="O4" s="43">
        <f t="shared" si="1"/>
        <v>0.1632420091324201</v>
      </c>
    </row>
    <row r="5" spans="1:15" x14ac:dyDescent="0.45">
      <c r="A5" s="12" t="s">
        <v>35663</v>
      </c>
      <c r="B5" s="14">
        <v>732000</v>
      </c>
      <c r="C5" s="14">
        <v>880000</v>
      </c>
      <c r="D5" s="14">
        <v>538100</v>
      </c>
      <c r="E5" s="14">
        <v>646800</v>
      </c>
      <c r="F5" s="14">
        <v>417300</v>
      </c>
      <c r="G5" s="14">
        <v>501600</v>
      </c>
      <c r="H5" s="14">
        <v>282000</v>
      </c>
      <c r="I5" s="14">
        <v>348000</v>
      </c>
      <c r="J5" s="14">
        <v>10400</v>
      </c>
      <c r="K5" s="14">
        <v>12320</v>
      </c>
      <c r="N5" s="42">
        <f t="shared" ref="N5:N21" si="2">C5-B5</f>
        <v>148000</v>
      </c>
      <c r="O5" s="43">
        <f t="shared" ref="O5:O21" si="3">N5/C5</f>
        <v>0.16818181818181818</v>
      </c>
    </row>
    <row r="6" spans="1:15" x14ac:dyDescent="0.45">
      <c r="A6" s="12" t="s">
        <v>35415</v>
      </c>
      <c r="B6" s="14">
        <v>729000</v>
      </c>
      <c r="C6" s="14">
        <v>876000</v>
      </c>
      <c r="D6" s="14">
        <v>535900</v>
      </c>
      <c r="E6" s="14">
        <v>643860</v>
      </c>
      <c r="F6" s="14">
        <v>415600</v>
      </c>
      <c r="G6" s="14">
        <v>499320</v>
      </c>
      <c r="H6" s="14">
        <v>282000</v>
      </c>
      <c r="I6" s="14">
        <v>348000</v>
      </c>
      <c r="J6" s="14">
        <v>10350</v>
      </c>
      <c r="K6" s="14">
        <v>12250</v>
      </c>
      <c r="N6" s="42">
        <f t="shared" si="2"/>
        <v>147000</v>
      </c>
      <c r="O6" s="43">
        <f t="shared" si="3"/>
        <v>0.1678082191780822</v>
      </c>
    </row>
    <row r="7" spans="1:15" x14ac:dyDescent="0.45">
      <c r="A7" s="12" t="s">
        <v>35439</v>
      </c>
      <c r="B7" s="14">
        <v>720000</v>
      </c>
      <c r="C7" s="14">
        <v>871000</v>
      </c>
      <c r="D7" s="14">
        <v>529200</v>
      </c>
      <c r="E7" s="14">
        <v>640185</v>
      </c>
      <c r="F7" s="14">
        <v>410400</v>
      </c>
      <c r="G7" s="14">
        <v>496470</v>
      </c>
      <c r="H7" s="14">
        <v>282000</v>
      </c>
      <c r="I7" s="14">
        <v>348000</v>
      </c>
      <c r="J7" s="14">
        <v>10260</v>
      </c>
      <c r="K7" s="14">
        <v>12140</v>
      </c>
      <c r="N7" s="42">
        <f t="shared" si="2"/>
        <v>151000</v>
      </c>
      <c r="O7" s="43">
        <f t="shared" si="3"/>
        <v>0.17336394948335246</v>
      </c>
    </row>
    <row r="8" spans="1:15" x14ac:dyDescent="0.45">
      <c r="A8" s="12" t="s">
        <v>34938</v>
      </c>
      <c r="B8" s="14">
        <v>708000</v>
      </c>
      <c r="C8" s="14">
        <v>856000</v>
      </c>
      <c r="D8" s="14">
        <v>520400</v>
      </c>
      <c r="E8" s="14">
        <v>629160</v>
      </c>
      <c r="F8" s="14">
        <v>403600</v>
      </c>
      <c r="G8" s="14">
        <v>487920</v>
      </c>
      <c r="H8" s="14">
        <v>284000</v>
      </c>
      <c r="I8" s="14">
        <v>350000</v>
      </c>
      <c r="J8" s="14">
        <v>9900</v>
      </c>
      <c r="K8" s="14">
        <v>11720</v>
      </c>
      <c r="N8" s="42">
        <f t="shared" si="2"/>
        <v>148000</v>
      </c>
      <c r="O8" s="43">
        <f t="shared" si="3"/>
        <v>0.17289719626168223</v>
      </c>
    </row>
    <row r="9" spans="1:15" x14ac:dyDescent="0.45">
      <c r="A9" s="12" t="s">
        <v>34708</v>
      </c>
      <c r="B9" s="14">
        <v>697000</v>
      </c>
      <c r="C9" s="14">
        <v>839000</v>
      </c>
      <c r="D9" s="14">
        <v>512300</v>
      </c>
      <c r="E9" s="14">
        <v>616665</v>
      </c>
      <c r="F9" s="14">
        <v>397300</v>
      </c>
      <c r="G9" s="14">
        <v>478230</v>
      </c>
      <c r="H9" s="14">
        <v>288000</v>
      </c>
      <c r="I9" s="14">
        <v>355000</v>
      </c>
      <c r="J9" s="14">
        <v>9910</v>
      </c>
      <c r="K9" s="14">
        <v>11730</v>
      </c>
      <c r="N9" s="42">
        <f t="shared" si="2"/>
        <v>142000</v>
      </c>
      <c r="O9" s="43">
        <f t="shared" si="3"/>
        <v>0.16924910607866508</v>
      </c>
    </row>
    <row r="10" spans="1:15" x14ac:dyDescent="0.45">
      <c r="A10" s="12" t="s">
        <v>34733</v>
      </c>
      <c r="B10" s="14">
        <v>687000</v>
      </c>
      <c r="C10" s="14">
        <v>820000</v>
      </c>
      <c r="D10" s="14">
        <v>505000</v>
      </c>
      <c r="E10" s="14">
        <v>602700</v>
      </c>
      <c r="F10" s="14">
        <v>391600</v>
      </c>
      <c r="G10" s="14">
        <v>467400</v>
      </c>
      <c r="H10" s="14">
        <v>268000</v>
      </c>
      <c r="I10" s="14">
        <v>331000</v>
      </c>
      <c r="J10" s="14">
        <v>9490</v>
      </c>
      <c r="K10" s="14">
        <v>11230</v>
      </c>
      <c r="N10" s="42">
        <f t="shared" si="2"/>
        <v>133000</v>
      </c>
      <c r="O10" s="43">
        <f t="shared" si="3"/>
        <v>0.16219512195121952</v>
      </c>
    </row>
    <row r="11" spans="1:15" x14ac:dyDescent="0.45">
      <c r="A11" s="12" t="s">
        <v>34437</v>
      </c>
      <c r="B11" s="14">
        <v>692000</v>
      </c>
      <c r="C11" s="14">
        <v>823000</v>
      </c>
      <c r="D11" s="14">
        <v>508700</v>
      </c>
      <c r="E11" s="14">
        <v>604905</v>
      </c>
      <c r="F11" s="14">
        <v>394500</v>
      </c>
      <c r="G11" s="14">
        <v>469110</v>
      </c>
      <c r="H11" s="14">
        <v>270000</v>
      </c>
      <c r="I11" s="14">
        <v>333000</v>
      </c>
      <c r="J11" s="14">
        <v>9360</v>
      </c>
      <c r="K11" s="14">
        <v>11080</v>
      </c>
      <c r="N11" s="42">
        <f t="shared" si="2"/>
        <v>131000</v>
      </c>
      <c r="O11" s="43">
        <f t="shared" si="3"/>
        <v>0.1591737545565006</v>
      </c>
    </row>
    <row r="12" spans="1:15" x14ac:dyDescent="0.45">
      <c r="A12" s="12" t="s">
        <v>34245</v>
      </c>
      <c r="B12" s="14">
        <v>692000</v>
      </c>
      <c r="C12" s="14">
        <v>822000</v>
      </c>
      <c r="D12" s="14">
        <v>508700</v>
      </c>
      <c r="E12" s="14">
        <v>604170</v>
      </c>
      <c r="F12" s="14">
        <v>394500</v>
      </c>
      <c r="G12" s="14">
        <v>468540</v>
      </c>
      <c r="H12" s="14">
        <v>265000</v>
      </c>
      <c r="I12" s="14">
        <v>327000</v>
      </c>
      <c r="J12" s="14">
        <v>9370</v>
      </c>
      <c r="K12" s="14">
        <v>11090</v>
      </c>
      <c r="N12" s="42">
        <f t="shared" si="2"/>
        <v>130000</v>
      </c>
      <c r="O12" s="43">
        <f t="shared" si="3"/>
        <v>0.15815085158150852</v>
      </c>
    </row>
    <row r="13" spans="1:15" x14ac:dyDescent="0.45">
      <c r="A13" s="12" t="s">
        <v>33976</v>
      </c>
      <c r="B13" s="14">
        <v>692000</v>
      </c>
      <c r="C13" s="14">
        <v>823000</v>
      </c>
      <c r="D13" s="14">
        <v>508700</v>
      </c>
      <c r="E13" s="14">
        <v>604905</v>
      </c>
      <c r="F13" s="14">
        <v>394500</v>
      </c>
      <c r="G13" s="14">
        <v>469110</v>
      </c>
      <c r="H13" s="14">
        <v>263000</v>
      </c>
      <c r="I13" s="14">
        <v>324000</v>
      </c>
      <c r="J13" s="14">
        <v>9310</v>
      </c>
      <c r="K13" s="14">
        <v>11030</v>
      </c>
      <c r="N13" s="42">
        <f t="shared" si="2"/>
        <v>131000</v>
      </c>
      <c r="O13" s="43">
        <f t="shared" si="3"/>
        <v>0.1591737545565006</v>
      </c>
    </row>
    <row r="14" spans="1:15" x14ac:dyDescent="0.45">
      <c r="A14" s="12" t="s">
        <v>34005</v>
      </c>
      <c r="B14" s="14">
        <v>694000</v>
      </c>
      <c r="C14" s="14">
        <v>824000</v>
      </c>
      <c r="D14" s="14">
        <v>510100</v>
      </c>
      <c r="E14" s="14">
        <v>605640</v>
      </c>
      <c r="F14" s="14">
        <v>395600</v>
      </c>
      <c r="G14" s="14">
        <v>469680</v>
      </c>
      <c r="H14" s="14">
        <v>263000</v>
      </c>
      <c r="I14" s="14">
        <v>324000</v>
      </c>
      <c r="J14" s="14">
        <v>9420</v>
      </c>
      <c r="K14" s="14">
        <v>11150</v>
      </c>
      <c r="N14" s="42">
        <f t="shared" si="2"/>
        <v>130000</v>
      </c>
      <c r="O14" s="43">
        <f t="shared" si="3"/>
        <v>0.15776699029126215</v>
      </c>
    </row>
    <row r="15" spans="1:15" x14ac:dyDescent="0.45">
      <c r="A15" s="12" t="s">
        <v>33801</v>
      </c>
      <c r="B15" s="14">
        <v>702000</v>
      </c>
      <c r="C15" s="14">
        <v>835000</v>
      </c>
      <c r="D15" s="14">
        <v>516000</v>
      </c>
      <c r="E15" s="14">
        <v>613725</v>
      </c>
      <c r="F15" s="14">
        <v>400200</v>
      </c>
      <c r="G15" s="14">
        <v>475950</v>
      </c>
      <c r="H15" s="14">
        <v>267000</v>
      </c>
      <c r="I15" s="14">
        <v>329000</v>
      </c>
      <c r="J15" s="14">
        <v>9430</v>
      </c>
      <c r="K15" s="14">
        <v>11170</v>
      </c>
      <c r="N15" s="42">
        <f t="shared" si="2"/>
        <v>133000</v>
      </c>
      <c r="O15" s="43">
        <f t="shared" si="3"/>
        <v>0.15928143712574849</v>
      </c>
    </row>
    <row r="16" spans="1:15" x14ac:dyDescent="0.45">
      <c r="A16" s="12" t="s">
        <v>33776</v>
      </c>
      <c r="B16" s="14">
        <v>712000</v>
      </c>
      <c r="C16" s="14">
        <v>845000</v>
      </c>
      <c r="D16" s="14">
        <v>523400</v>
      </c>
      <c r="E16" s="14">
        <v>621075</v>
      </c>
      <c r="F16" s="14">
        <v>405900</v>
      </c>
      <c r="G16" s="14">
        <v>481650</v>
      </c>
      <c r="H16" s="14">
        <v>270000</v>
      </c>
      <c r="I16" s="14">
        <v>333000</v>
      </c>
      <c r="J16" s="14">
        <v>9790</v>
      </c>
      <c r="K16" s="14">
        <v>11590</v>
      </c>
      <c r="N16" s="42">
        <f t="shared" si="2"/>
        <v>133000</v>
      </c>
      <c r="O16" s="43">
        <f t="shared" si="3"/>
        <v>0.15739644970414202</v>
      </c>
    </row>
    <row r="17" spans="1:15" x14ac:dyDescent="0.45">
      <c r="A17" s="12" t="s">
        <v>33775</v>
      </c>
      <c r="B17" s="14">
        <v>702000</v>
      </c>
      <c r="C17" s="14">
        <v>834000</v>
      </c>
      <c r="D17" s="14">
        <v>516000</v>
      </c>
      <c r="E17" s="14">
        <v>612990</v>
      </c>
      <c r="F17" s="14">
        <v>400200</v>
      </c>
      <c r="G17" s="14">
        <v>475380</v>
      </c>
      <c r="H17" s="14">
        <v>264000</v>
      </c>
      <c r="I17" s="14">
        <v>326000</v>
      </c>
      <c r="J17" s="14">
        <v>9550</v>
      </c>
      <c r="K17" s="14">
        <v>11300</v>
      </c>
      <c r="N17" s="42">
        <f t="shared" si="2"/>
        <v>132000</v>
      </c>
      <c r="O17" s="43">
        <f t="shared" si="3"/>
        <v>0.15827338129496402</v>
      </c>
    </row>
    <row r="18" spans="1:15" x14ac:dyDescent="0.45">
      <c r="A18" s="12" t="s">
        <v>33440</v>
      </c>
      <c r="B18" s="14">
        <v>704000</v>
      </c>
      <c r="C18" s="14">
        <v>835000</v>
      </c>
      <c r="D18" s="14">
        <v>517500</v>
      </c>
      <c r="E18" s="14">
        <v>613725</v>
      </c>
      <c r="F18" s="14">
        <v>401300</v>
      </c>
      <c r="G18" s="14">
        <v>475950</v>
      </c>
      <c r="H18" s="14">
        <v>265000</v>
      </c>
      <c r="I18" s="14">
        <v>327000</v>
      </c>
      <c r="J18" s="14">
        <v>9590</v>
      </c>
      <c r="K18" s="14">
        <v>11350</v>
      </c>
      <c r="N18" s="42">
        <f t="shared" si="2"/>
        <v>131000</v>
      </c>
      <c r="O18" s="43">
        <f t="shared" si="3"/>
        <v>0.15688622754491019</v>
      </c>
    </row>
    <row r="19" spans="1:15" x14ac:dyDescent="0.45">
      <c r="A19" s="12" t="s">
        <v>33674</v>
      </c>
      <c r="B19" s="14">
        <v>712000</v>
      </c>
      <c r="C19" s="14">
        <v>851000</v>
      </c>
      <c r="D19" s="14">
        <v>523400</v>
      </c>
      <c r="E19" s="14">
        <v>625485</v>
      </c>
      <c r="F19" s="14">
        <v>405900</v>
      </c>
      <c r="G19" s="14">
        <v>485070</v>
      </c>
      <c r="H19" s="14">
        <v>273000</v>
      </c>
      <c r="I19" s="14">
        <v>336000</v>
      </c>
      <c r="J19" s="14">
        <v>9760</v>
      </c>
      <c r="K19" s="14">
        <v>11550</v>
      </c>
      <c r="N19" s="42">
        <f t="shared" si="2"/>
        <v>139000</v>
      </c>
      <c r="O19" s="43">
        <f t="shared" si="3"/>
        <v>0.16333725029377202</v>
      </c>
    </row>
    <row r="20" spans="1:15" x14ac:dyDescent="0.45">
      <c r="A20" s="12" t="s">
        <v>33727</v>
      </c>
      <c r="B20" s="14">
        <v>720000</v>
      </c>
      <c r="C20" s="14">
        <v>858000</v>
      </c>
      <c r="D20" s="14">
        <v>529200</v>
      </c>
      <c r="E20" s="14">
        <v>630630</v>
      </c>
      <c r="F20" s="14">
        <v>410400</v>
      </c>
      <c r="G20" s="14">
        <v>489060</v>
      </c>
      <c r="H20" s="14">
        <v>277000</v>
      </c>
      <c r="I20" s="14">
        <v>342000</v>
      </c>
      <c r="J20" s="14">
        <v>9860</v>
      </c>
      <c r="K20" s="14">
        <v>11670</v>
      </c>
      <c r="N20" s="42">
        <f t="shared" si="2"/>
        <v>138000</v>
      </c>
      <c r="O20" s="43">
        <f t="shared" si="3"/>
        <v>0.16083916083916083</v>
      </c>
    </row>
    <row r="21" spans="1:15" x14ac:dyDescent="0.45">
      <c r="A21" s="12" t="s">
        <v>33369</v>
      </c>
      <c r="B21" s="14">
        <v>714000</v>
      </c>
      <c r="C21" s="14">
        <v>845000</v>
      </c>
      <c r="D21" s="14">
        <v>524800</v>
      </c>
      <c r="E21" s="14">
        <v>621075</v>
      </c>
      <c r="F21" s="14">
        <v>407000</v>
      </c>
      <c r="G21" s="14">
        <v>481650</v>
      </c>
      <c r="H21" s="14">
        <v>271000</v>
      </c>
      <c r="I21" s="14">
        <v>334000</v>
      </c>
      <c r="J21" s="14">
        <v>9690</v>
      </c>
      <c r="K21" s="14">
        <v>11420</v>
      </c>
      <c r="N21" s="42">
        <f t="shared" si="2"/>
        <v>131000</v>
      </c>
      <c r="O21" s="43">
        <f t="shared" si="3"/>
        <v>0.15502958579881657</v>
      </c>
    </row>
    <row r="22" spans="1:15" x14ac:dyDescent="0.45">
      <c r="A22" s="12" t="s">
        <v>33346</v>
      </c>
      <c r="B22" s="14">
        <v>705000</v>
      </c>
      <c r="C22" s="14">
        <v>835000</v>
      </c>
      <c r="D22" s="14">
        <v>518200</v>
      </c>
      <c r="E22" s="14">
        <v>613725</v>
      </c>
      <c r="F22" s="14">
        <v>401900</v>
      </c>
      <c r="G22" s="14">
        <v>475950</v>
      </c>
      <c r="H22" s="14">
        <v>267000</v>
      </c>
      <c r="I22" s="14">
        <v>330000</v>
      </c>
      <c r="J22" s="14">
        <v>9420</v>
      </c>
      <c r="K22" s="14">
        <v>11090</v>
      </c>
      <c r="N22" s="42">
        <f t="shared" ref="N22:N30" si="4">C22-B22</f>
        <v>130000</v>
      </c>
      <c r="O22" s="43">
        <f t="shared" ref="O22:O30" si="5">N22/C22</f>
        <v>0.15568862275449102</v>
      </c>
    </row>
    <row r="23" spans="1:15" x14ac:dyDescent="0.45">
      <c r="A23" s="12" t="s">
        <v>33344</v>
      </c>
      <c r="B23" s="14">
        <v>708000</v>
      </c>
      <c r="C23" s="14">
        <v>843000</v>
      </c>
      <c r="D23" s="14">
        <v>520400</v>
      </c>
      <c r="E23" s="14">
        <v>619605</v>
      </c>
      <c r="F23" s="14">
        <v>403600</v>
      </c>
      <c r="G23" s="14">
        <v>480510</v>
      </c>
      <c r="H23" s="14">
        <v>270000</v>
      </c>
      <c r="I23" s="14">
        <v>333000</v>
      </c>
      <c r="J23" s="14">
        <v>9360</v>
      </c>
      <c r="K23" s="14">
        <v>11030</v>
      </c>
      <c r="N23" s="42">
        <f t="shared" si="4"/>
        <v>135000</v>
      </c>
      <c r="O23" s="43">
        <f t="shared" si="5"/>
        <v>0.16014234875444841</v>
      </c>
    </row>
    <row r="24" spans="1:15" x14ac:dyDescent="0.45">
      <c r="A24" s="12" t="s">
        <v>33345</v>
      </c>
      <c r="B24" s="14">
        <v>700000</v>
      </c>
      <c r="C24" s="14">
        <v>834000</v>
      </c>
      <c r="D24" s="14">
        <v>514500</v>
      </c>
      <c r="E24" s="14">
        <v>612990</v>
      </c>
      <c r="F24" s="14">
        <v>399000</v>
      </c>
      <c r="G24" s="14">
        <v>475380</v>
      </c>
      <c r="H24" s="14">
        <v>267000</v>
      </c>
      <c r="I24" s="14">
        <v>330000</v>
      </c>
      <c r="J24" s="14">
        <v>9220</v>
      </c>
      <c r="K24" s="14">
        <v>10870</v>
      </c>
      <c r="N24" s="42">
        <f t="shared" si="4"/>
        <v>134000</v>
      </c>
      <c r="O24" s="43">
        <f t="shared" si="5"/>
        <v>0.16067146282973621</v>
      </c>
    </row>
    <row r="25" spans="1:15" x14ac:dyDescent="0.45">
      <c r="A25" s="12" t="s">
        <v>33219</v>
      </c>
      <c r="B25" s="14">
        <v>708000</v>
      </c>
      <c r="C25" s="14">
        <v>838000</v>
      </c>
      <c r="D25" s="14">
        <v>520400</v>
      </c>
      <c r="E25" s="14">
        <v>615930</v>
      </c>
      <c r="F25" s="14">
        <v>403600</v>
      </c>
      <c r="G25" s="14">
        <v>477660</v>
      </c>
      <c r="H25" s="14">
        <v>278000</v>
      </c>
      <c r="I25" s="14">
        <v>343000</v>
      </c>
      <c r="J25" s="14">
        <v>9470</v>
      </c>
      <c r="K25" s="14">
        <v>11150</v>
      </c>
      <c r="N25" s="42">
        <f t="shared" si="4"/>
        <v>130000</v>
      </c>
      <c r="O25" s="43">
        <f t="shared" si="5"/>
        <v>0.15513126491646778</v>
      </c>
    </row>
    <row r="26" spans="1:15" x14ac:dyDescent="0.45">
      <c r="A26" s="12" t="s">
        <v>33113</v>
      </c>
      <c r="B26" s="14">
        <v>714000</v>
      </c>
      <c r="C26" s="14">
        <v>846000</v>
      </c>
      <c r="D26" s="14">
        <v>524800</v>
      </c>
      <c r="E26" s="14">
        <v>621810</v>
      </c>
      <c r="F26" s="14">
        <v>407000</v>
      </c>
      <c r="G26" s="14">
        <v>482220</v>
      </c>
      <c r="H26" s="14">
        <v>277000</v>
      </c>
      <c r="I26" s="14">
        <v>341000</v>
      </c>
      <c r="J26" s="14">
        <v>9770</v>
      </c>
      <c r="K26" s="14">
        <v>11500</v>
      </c>
      <c r="N26" s="42">
        <f t="shared" si="4"/>
        <v>132000</v>
      </c>
      <c r="O26" s="43">
        <f t="shared" si="5"/>
        <v>0.15602836879432624</v>
      </c>
    </row>
    <row r="27" spans="1:15" x14ac:dyDescent="0.45">
      <c r="A27" s="12" t="s">
        <v>33084</v>
      </c>
      <c r="B27" s="14">
        <v>714000</v>
      </c>
      <c r="C27" s="14">
        <v>846000</v>
      </c>
      <c r="D27" s="14">
        <v>524800</v>
      </c>
      <c r="E27" s="14">
        <v>621810</v>
      </c>
      <c r="F27" s="14">
        <v>407000</v>
      </c>
      <c r="G27" s="14">
        <v>482220</v>
      </c>
      <c r="H27" s="14">
        <v>273000</v>
      </c>
      <c r="I27" s="14">
        <v>337000</v>
      </c>
      <c r="J27" s="14">
        <v>9760</v>
      </c>
      <c r="K27" s="14">
        <v>11550</v>
      </c>
      <c r="N27" s="42">
        <f t="shared" si="4"/>
        <v>132000</v>
      </c>
      <c r="O27" s="43">
        <f t="shared" si="5"/>
        <v>0.15602836879432624</v>
      </c>
    </row>
    <row r="28" spans="1:15" x14ac:dyDescent="0.45">
      <c r="A28" s="12" t="s">
        <v>32999</v>
      </c>
      <c r="B28" s="14">
        <v>724000</v>
      </c>
      <c r="C28" s="14">
        <v>860000</v>
      </c>
      <c r="D28" s="14">
        <v>532200</v>
      </c>
      <c r="E28" s="14">
        <v>632100</v>
      </c>
      <c r="F28" s="14">
        <v>412700</v>
      </c>
      <c r="G28" s="14">
        <v>490200</v>
      </c>
      <c r="H28" s="14">
        <v>276000</v>
      </c>
      <c r="I28" s="14">
        <v>340000</v>
      </c>
      <c r="J28" s="14">
        <v>9820</v>
      </c>
      <c r="K28" s="14">
        <v>11630</v>
      </c>
      <c r="N28" s="42">
        <f t="shared" si="4"/>
        <v>136000</v>
      </c>
      <c r="O28" s="43">
        <f t="shared" si="5"/>
        <v>0.15813953488372093</v>
      </c>
    </row>
    <row r="29" spans="1:15" x14ac:dyDescent="0.45">
      <c r="A29" s="12" t="s">
        <v>32782</v>
      </c>
      <c r="B29" s="14">
        <v>727000</v>
      </c>
      <c r="C29" s="14">
        <v>873000</v>
      </c>
      <c r="D29" s="14">
        <v>534400</v>
      </c>
      <c r="E29" s="14">
        <v>641655</v>
      </c>
      <c r="F29" s="14">
        <v>414400</v>
      </c>
      <c r="G29" s="14">
        <v>497610</v>
      </c>
      <c r="H29" s="14">
        <v>279000</v>
      </c>
      <c r="I29" s="14">
        <v>344000</v>
      </c>
      <c r="J29" s="14">
        <v>10240</v>
      </c>
      <c r="K29" s="14">
        <v>12190</v>
      </c>
      <c r="N29" s="42">
        <f t="shared" si="4"/>
        <v>146000</v>
      </c>
      <c r="O29" s="43">
        <f t="shared" si="5"/>
        <v>0.1672394043528064</v>
      </c>
    </row>
    <row r="30" spans="1:15" x14ac:dyDescent="0.45">
      <c r="A30" s="12" t="s">
        <v>32683</v>
      </c>
      <c r="B30" s="14">
        <v>750000</v>
      </c>
      <c r="C30" s="14">
        <v>898000</v>
      </c>
      <c r="D30" s="14">
        <v>551300</v>
      </c>
      <c r="E30" s="14">
        <v>660030</v>
      </c>
      <c r="F30" s="14">
        <v>427500</v>
      </c>
      <c r="G30" s="14">
        <v>511860</v>
      </c>
      <c r="H30" s="14">
        <v>287000</v>
      </c>
      <c r="I30" s="14">
        <v>353000</v>
      </c>
      <c r="J30" s="14">
        <v>10660</v>
      </c>
      <c r="K30" s="14">
        <v>12690</v>
      </c>
      <c r="N30" s="42">
        <f t="shared" si="4"/>
        <v>148000</v>
      </c>
      <c r="O30" s="43">
        <f t="shared" si="5"/>
        <v>0.16481069042316257</v>
      </c>
    </row>
    <row r="31" spans="1:15" x14ac:dyDescent="0.45">
      <c r="A31" s="12" t="s">
        <v>32390</v>
      </c>
      <c r="B31" s="14">
        <v>726000</v>
      </c>
      <c r="C31" s="14">
        <v>869000</v>
      </c>
      <c r="D31" s="14">
        <v>533700</v>
      </c>
      <c r="E31" s="14">
        <v>638715</v>
      </c>
      <c r="F31" s="14">
        <v>413900</v>
      </c>
      <c r="G31" s="14">
        <v>495330</v>
      </c>
      <c r="H31" s="14">
        <v>272000</v>
      </c>
      <c r="I31" s="14">
        <v>335000</v>
      </c>
      <c r="J31" s="14">
        <v>10050</v>
      </c>
      <c r="K31" s="14">
        <v>12020</v>
      </c>
      <c r="N31" s="42">
        <f t="shared" ref="N31" si="6">C31-B31</f>
        <v>143000</v>
      </c>
      <c r="O31" s="43">
        <f t="shared" ref="O31" si="7">N31/C31</f>
        <v>0.16455696202531644</v>
      </c>
    </row>
    <row r="32" spans="1:15" x14ac:dyDescent="0.45">
      <c r="A32" s="12" t="s">
        <v>32389</v>
      </c>
      <c r="B32" s="14">
        <v>728000</v>
      </c>
      <c r="C32" s="14">
        <v>880000</v>
      </c>
      <c r="D32" s="14">
        <v>535100</v>
      </c>
      <c r="E32" s="14">
        <v>646800</v>
      </c>
      <c r="F32" s="14">
        <v>415000</v>
      </c>
      <c r="G32" s="14">
        <v>501600</v>
      </c>
      <c r="H32" s="14">
        <v>277000</v>
      </c>
      <c r="I32" s="14">
        <v>342000</v>
      </c>
      <c r="J32" s="14">
        <v>10260</v>
      </c>
      <c r="K32" s="14">
        <v>12270</v>
      </c>
      <c r="N32" s="42">
        <f t="shared" ref="N32:N34" si="8">C32-B32</f>
        <v>152000</v>
      </c>
      <c r="O32" s="43">
        <f t="shared" ref="O32:O34" si="9">N32/C32</f>
        <v>0.17272727272727273</v>
      </c>
    </row>
    <row r="33" spans="1:15" x14ac:dyDescent="0.45">
      <c r="A33" s="12" t="s">
        <v>32354</v>
      </c>
      <c r="B33" s="14">
        <v>732000</v>
      </c>
      <c r="C33" s="14">
        <v>885000</v>
      </c>
      <c r="D33" s="14">
        <v>538100</v>
      </c>
      <c r="E33" s="14">
        <v>650475</v>
      </c>
      <c r="F33" s="14">
        <v>417300</v>
      </c>
      <c r="G33" s="14">
        <v>504450</v>
      </c>
      <c r="H33" s="14">
        <v>286000</v>
      </c>
      <c r="I33" s="14">
        <v>352000</v>
      </c>
      <c r="J33" s="14">
        <v>10180</v>
      </c>
      <c r="K33" s="14">
        <v>12180</v>
      </c>
      <c r="N33" s="42">
        <f t="shared" si="8"/>
        <v>153000</v>
      </c>
      <c r="O33" s="43">
        <f t="shared" si="9"/>
        <v>0.17288135593220338</v>
      </c>
    </row>
    <row r="34" spans="1:15" x14ac:dyDescent="0.45">
      <c r="A34" s="12" t="s">
        <v>32251</v>
      </c>
      <c r="B34" s="14">
        <v>724000</v>
      </c>
      <c r="C34" s="14">
        <v>866000</v>
      </c>
      <c r="D34" s="14">
        <v>532200</v>
      </c>
      <c r="E34" s="14">
        <v>636510</v>
      </c>
      <c r="F34" s="14">
        <v>412700</v>
      </c>
      <c r="G34" s="14">
        <v>493620</v>
      </c>
      <c r="H34" s="14">
        <v>273000</v>
      </c>
      <c r="I34" s="14">
        <v>337000</v>
      </c>
      <c r="J34" s="14">
        <v>9910</v>
      </c>
      <c r="K34" s="14">
        <v>11850</v>
      </c>
      <c r="N34" s="42">
        <f t="shared" si="8"/>
        <v>142000</v>
      </c>
      <c r="O34" s="43">
        <f t="shared" si="9"/>
        <v>0.16397228637413394</v>
      </c>
    </row>
    <row r="35" spans="1:15" x14ac:dyDescent="0.45">
      <c r="A35" s="12" t="s">
        <v>32200</v>
      </c>
      <c r="B35" s="14">
        <v>742000</v>
      </c>
      <c r="C35" s="14">
        <v>891000</v>
      </c>
      <c r="D35" s="14">
        <v>545400</v>
      </c>
      <c r="E35" s="14">
        <v>654885</v>
      </c>
      <c r="F35" s="14">
        <v>423000</v>
      </c>
      <c r="G35" s="14">
        <v>507870</v>
      </c>
      <c r="H35" s="14">
        <v>290000</v>
      </c>
      <c r="I35" s="14">
        <v>357000</v>
      </c>
      <c r="J35" s="14">
        <v>10760</v>
      </c>
      <c r="K35" s="14">
        <v>12860</v>
      </c>
      <c r="N35" s="42">
        <f t="shared" ref="N35:N36" si="10">C35-B35</f>
        <v>149000</v>
      </c>
      <c r="O35" s="43">
        <f t="shared" ref="O35:O36" si="11">N35/C35</f>
        <v>0.16722783389450055</v>
      </c>
    </row>
    <row r="36" spans="1:15" x14ac:dyDescent="0.45">
      <c r="A36" s="12" t="s">
        <v>32154</v>
      </c>
      <c r="B36" s="14">
        <v>741000</v>
      </c>
      <c r="C36" s="14">
        <v>890000</v>
      </c>
      <c r="D36" s="14">
        <v>544700</v>
      </c>
      <c r="E36" s="14">
        <v>654150</v>
      </c>
      <c r="F36" s="14">
        <v>422400</v>
      </c>
      <c r="G36" s="14">
        <v>507300</v>
      </c>
      <c r="H36" s="14">
        <v>285000</v>
      </c>
      <c r="I36" s="14">
        <v>351000</v>
      </c>
      <c r="J36" s="14">
        <v>10720</v>
      </c>
      <c r="K36" s="14">
        <v>12820</v>
      </c>
      <c r="N36" s="42">
        <f t="shared" si="10"/>
        <v>149000</v>
      </c>
      <c r="O36" s="43">
        <f t="shared" si="11"/>
        <v>0.16741573033707866</v>
      </c>
    </row>
    <row r="37" spans="1:15" x14ac:dyDescent="0.45">
      <c r="A37" s="12" t="s">
        <v>32139</v>
      </c>
      <c r="B37" s="14">
        <v>756000</v>
      </c>
      <c r="C37" s="14">
        <v>909000</v>
      </c>
      <c r="D37" s="14">
        <v>555700</v>
      </c>
      <c r="E37" s="14">
        <v>668115</v>
      </c>
      <c r="F37" s="14">
        <v>431000</v>
      </c>
      <c r="G37" s="14">
        <v>518130</v>
      </c>
      <c r="H37" s="14">
        <v>294000</v>
      </c>
      <c r="I37" s="14">
        <v>362000</v>
      </c>
      <c r="J37" s="14">
        <v>11520</v>
      </c>
      <c r="K37" s="14">
        <v>13630</v>
      </c>
      <c r="N37" s="42">
        <f t="shared" ref="N37:N39" si="12">C37-B37</f>
        <v>153000</v>
      </c>
      <c r="O37" s="43">
        <f t="shared" ref="O37:O39" si="13">N37/C37</f>
        <v>0.16831683168316833</v>
      </c>
    </row>
    <row r="38" spans="1:15" x14ac:dyDescent="0.45">
      <c r="A38" s="12" t="s">
        <v>32072</v>
      </c>
      <c r="B38" s="14">
        <v>771000</v>
      </c>
      <c r="C38" s="14">
        <v>922000</v>
      </c>
      <c r="D38" s="14">
        <v>566700</v>
      </c>
      <c r="E38" s="14">
        <v>677670</v>
      </c>
      <c r="F38" s="14">
        <v>439500</v>
      </c>
      <c r="G38" s="14">
        <v>525540</v>
      </c>
      <c r="H38" s="14">
        <v>307000</v>
      </c>
      <c r="I38" s="14">
        <v>379000</v>
      </c>
      <c r="J38" s="14">
        <v>11940</v>
      </c>
      <c r="K38" s="14">
        <v>14270</v>
      </c>
      <c r="N38" s="42">
        <f t="shared" si="12"/>
        <v>151000</v>
      </c>
      <c r="O38" s="43">
        <f t="shared" si="13"/>
        <v>0.16377440347071584</v>
      </c>
    </row>
    <row r="39" spans="1:15" x14ac:dyDescent="0.45">
      <c r="A39" s="12" t="s">
        <v>31984</v>
      </c>
      <c r="B39" s="14">
        <v>771000</v>
      </c>
      <c r="C39" s="14">
        <v>923000</v>
      </c>
      <c r="D39" s="14">
        <v>566700</v>
      </c>
      <c r="E39" s="14">
        <v>678405</v>
      </c>
      <c r="F39" s="14">
        <v>439500</v>
      </c>
      <c r="G39" s="14">
        <v>526110</v>
      </c>
      <c r="H39" s="14">
        <v>303000</v>
      </c>
      <c r="I39" s="14">
        <v>374000</v>
      </c>
      <c r="J39" s="14">
        <v>11880</v>
      </c>
      <c r="K39" s="14">
        <v>14200</v>
      </c>
      <c r="N39" s="42">
        <f t="shared" si="12"/>
        <v>152000</v>
      </c>
      <c r="O39" s="43">
        <f t="shared" si="13"/>
        <v>0.1646803900325027</v>
      </c>
    </row>
    <row r="40" spans="1:15" x14ac:dyDescent="0.45">
      <c r="A40" s="12" t="s">
        <v>31966</v>
      </c>
      <c r="B40" s="14">
        <v>771000</v>
      </c>
      <c r="C40" s="14">
        <v>926000</v>
      </c>
      <c r="D40" s="14">
        <v>566700</v>
      </c>
      <c r="E40" s="14">
        <v>680610</v>
      </c>
      <c r="F40" s="14">
        <v>439500</v>
      </c>
      <c r="G40" s="14">
        <v>527820</v>
      </c>
      <c r="H40" s="14">
        <v>306000</v>
      </c>
      <c r="I40" s="14">
        <v>377000</v>
      </c>
      <c r="J40" s="14">
        <v>12010</v>
      </c>
      <c r="K40" s="14">
        <v>14400</v>
      </c>
      <c r="N40" s="42">
        <f t="shared" ref="N40:N41" si="14">C40-B40</f>
        <v>155000</v>
      </c>
      <c r="O40" s="43">
        <f t="shared" ref="O40:O41" si="15">N40/C40</f>
        <v>0.16738660907127431</v>
      </c>
    </row>
    <row r="41" spans="1:15" x14ac:dyDescent="0.45">
      <c r="A41" s="12" t="s">
        <v>31814</v>
      </c>
      <c r="B41" s="14">
        <v>747000</v>
      </c>
      <c r="C41" s="14">
        <v>884000</v>
      </c>
      <c r="D41" s="14">
        <v>549100</v>
      </c>
      <c r="E41" s="14">
        <v>649740</v>
      </c>
      <c r="F41" s="14">
        <v>425800</v>
      </c>
      <c r="G41" s="14">
        <v>503880</v>
      </c>
      <c r="H41" s="14">
        <v>292000</v>
      </c>
      <c r="I41" s="14">
        <v>360000</v>
      </c>
      <c r="J41" s="14">
        <v>11030</v>
      </c>
      <c r="K41" s="14">
        <v>13450</v>
      </c>
      <c r="N41" s="42">
        <f t="shared" si="14"/>
        <v>137000</v>
      </c>
      <c r="O41" s="43">
        <f t="shared" si="15"/>
        <v>0.15497737556561086</v>
      </c>
    </row>
    <row r="42" spans="1:15" x14ac:dyDescent="0.45">
      <c r="A42" s="12" t="s">
        <v>31831</v>
      </c>
      <c r="B42" s="14">
        <v>750000</v>
      </c>
      <c r="C42" s="14">
        <v>905000</v>
      </c>
      <c r="D42" s="14">
        <v>551300</v>
      </c>
      <c r="E42" s="14">
        <v>665175</v>
      </c>
      <c r="F42" s="14">
        <v>427500</v>
      </c>
      <c r="G42" s="14">
        <v>515850</v>
      </c>
      <c r="H42" s="14">
        <v>291000</v>
      </c>
      <c r="I42" s="14">
        <v>359000</v>
      </c>
      <c r="J42" s="14">
        <v>11140</v>
      </c>
      <c r="K42" s="14">
        <v>13590</v>
      </c>
      <c r="N42" s="42">
        <f t="shared" ref="N42:N44" si="16">C42-B42</f>
        <v>155000</v>
      </c>
      <c r="O42" s="43">
        <f t="shared" ref="O42:O44" si="17">N42/C42</f>
        <v>0.17127071823204421</v>
      </c>
    </row>
    <row r="43" spans="1:15" x14ac:dyDescent="0.45">
      <c r="A43" s="12" t="s">
        <v>12</v>
      </c>
      <c r="B43" s="14">
        <v>777000</v>
      </c>
      <c r="C43" s="14">
        <v>929000</v>
      </c>
      <c r="D43" s="14">
        <v>571100</v>
      </c>
      <c r="E43" s="14">
        <v>682815</v>
      </c>
      <c r="F43" s="14">
        <v>442900</v>
      </c>
      <c r="G43" s="14">
        <v>529530</v>
      </c>
      <c r="H43" s="14">
        <v>306000</v>
      </c>
      <c r="I43" s="14">
        <v>377000</v>
      </c>
      <c r="J43" s="14">
        <v>11750</v>
      </c>
      <c r="K43" s="14">
        <v>14320</v>
      </c>
      <c r="N43" s="42">
        <f t="shared" si="16"/>
        <v>152000</v>
      </c>
      <c r="O43" s="43">
        <f t="shared" si="17"/>
        <v>0.16361679224973089</v>
      </c>
    </row>
    <row r="44" spans="1:15" x14ac:dyDescent="0.45">
      <c r="A44" s="12" t="s">
        <v>56</v>
      </c>
      <c r="B44" s="14">
        <v>773000</v>
      </c>
      <c r="C44" s="14">
        <v>931000</v>
      </c>
      <c r="D44" s="14">
        <v>568200</v>
      </c>
      <c r="E44" s="14">
        <v>684285</v>
      </c>
      <c r="F44" s="14">
        <v>440700</v>
      </c>
      <c r="G44" s="14">
        <v>530670</v>
      </c>
      <c r="H44" s="14">
        <v>305000</v>
      </c>
      <c r="I44" s="14">
        <v>376000</v>
      </c>
      <c r="J44" s="14">
        <v>11500</v>
      </c>
      <c r="K44" s="14">
        <v>14020</v>
      </c>
      <c r="N44" s="42">
        <f t="shared" si="16"/>
        <v>158000</v>
      </c>
      <c r="O44" s="43">
        <f t="shared" si="17"/>
        <v>0.16970998925886144</v>
      </c>
    </row>
    <row r="45" spans="1:15" x14ac:dyDescent="0.45">
      <c r="A45" s="12" t="s">
        <v>230</v>
      </c>
      <c r="B45" s="14">
        <v>793000</v>
      </c>
      <c r="C45" s="14">
        <v>967000</v>
      </c>
      <c r="D45" s="14">
        <v>582900</v>
      </c>
      <c r="E45" s="14">
        <v>710745</v>
      </c>
      <c r="F45" s="14">
        <v>452100</v>
      </c>
      <c r="G45" s="14">
        <v>551190</v>
      </c>
      <c r="H45" s="14">
        <v>328000</v>
      </c>
      <c r="I45" s="14">
        <v>404000</v>
      </c>
      <c r="J45" s="14">
        <v>12630</v>
      </c>
      <c r="K45" s="14">
        <v>15400</v>
      </c>
      <c r="N45" s="42">
        <f t="shared" ref="N45:N108" si="18">C45-B45</f>
        <v>174000</v>
      </c>
      <c r="O45" s="43">
        <f t="shared" ref="O45:O108" si="19">N45/C45</f>
        <v>0.17993795243019647</v>
      </c>
    </row>
    <row r="46" spans="1:15" x14ac:dyDescent="0.45">
      <c r="A46" s="12" t="s">
        <v>30341</v>
      </c>
      <c r="B46" s="14">
        <v>791000</v>
      </c>
      <c r="C46" s="14">
        <v>962000</v>
      </c>
      <c r="D46" s="14">
        <v>581400</v>
      </c>
      <c r="E46" s="14">
        <v>707070</v>
      </c>
      <c r="F46" s="14">
        <v>450900</v>
      </c>
      <c r="G46" s="14">
        <v>548340</v>
      </c>
      <c r="H46" s="14">
        <v>334000</v>
      </c>
      <c r="I46" s="14">
        <v>412000</v>
      </c>
      <c r="J46" s="14">
        <v>12840</v>
      </c>
      <c r="K46" s="14">
        <v>15660</v>
      </c>
      <c r="N46" s="42">
        <f t="shared" si="18"/>
        <v>171000</v>
      </c>
      <c r="O46" s="43">
        <f t="shared" si="19"/>
        <v>0.17775467775467776</v>
      </c>
    </row>
    <row r="47" spans="1:15" x14ac:dyDescent="0.45">
      <c r="A47" s="12" t="s">
        <v>263</v>
      </c>
      <c r="B47" s="14">
        <v>796000</v>
      </c>
      <c r="C47" s="14">
        <v>970000</v>
      </c>
      <c r="D47" s="14">
        <v>585100</v>
      </c>
      <c r="E47" s="14">
        <v>712950</v>
      </c>
      <c r="F47" s="14">
        <v>453800</v>
      </c>
      <c r="G47" s="14">
        <v>552900</v>
      </c>
      <c r="H47" s="14">
        <v>339000</v>
      </c>
      <c r="I47" s="14">
        <v>418000</v>
      </c>
      <c r="J47" s="14">
        <v>13080</v>
      </c>
      <c r="K47" s="14">
        <v>15940</v>
      </c>
      <c r="N47" s="42">
        <f t="shared" si="18"/>
        <v>174000</v>
      </c>
      <c r="O47" s="43">
        <f t="shared" si="19"/>
        <v>0.17938144329896907</v>
      </c>
    </row>
    <row r="48" spans="1:15" x14ac:dyDescent="0.45">
      <c r="A48" s="12" t="s">
        <v>313</v>
      </c>
      <c r="B48" s="14">
        <v>791000</v>
      </c>
      <c r="C48" s="14">
        <v>955000</v>
      </c>
      <c r="D48" s="14">
        <v>581400</v>
      </c>
      <c r="E48" s="14">
        <v>701925</v>
      </c>
      <c r="F48" s="14">
        <v>450900</v>
      </c>
      <c r="G48" s="14">
        <v>544350</v>
      </c>
      <c r="H48" s="14">
        <v>333000</v>
      </c>
      <c r="I48" s="14">
        <v>410000</v>
      </c>
      <c r="J48" s="14">
        <v>12770</v>
      </c>
      <c r="K48" s="14">
        <v>15570</v>
      </c>
      <c r="N48" s="42">
        <f t="shared" si="18"/>
        <v>164000</v>
      </c>
      <c r="O48" s="43">
        <f t="shared" si="19"/>
        <v>0.17172774869109947</v>
      </c>
    </row>
    <row r="49" spans="1:15" x14ac:dyDescent="0.45">
      <c r="A49" s="12" t="s">
        <v>484</v>
      </c>
      <c r="B49" s="14">
        <v>767000</v>
      </c>
      <c r="C49" s="14">
        <v>929000</v>
      </c>
      <c r="D49" s="14">
        <v>563800</v>
      </c>
      <c r="E49" s="14">
        <v>682815</v>
      </c>
      <c r="F49" s="14">
        <v>437200</v>
      </c>
      <c r="G49" s="14">
        <v>529530</v>
      </c>
      <c r="H49" s="14">
        <v>324000</v>
      </c>
      <c r="I49" s="14">
        <v>400000</v>
      </c>
      <c r="J49" s="14">
        <v>12240</v>
      </c>
      <c r="K49" s="14">
        <v>14930</v>
      </c>
      <c r="N49" s="42">
        <f t="shared" si="18"/>
        <v>162000</v>
      </c>
      <c r="O49" s="43">
        <f t="shared" si="19"/>
        <v>0.1743810548977395</v>
      </c>
    </row>
    <row r="50" spans="1:15" x14ac:dyDescent="0.45">
      <c r="A50" s="12" t="s">
        <v>633</v>
      </c>
      <c r="B50" s="14">
        <v>789000</v>
      </c>
      <c r="C50" s="14">
        <v>949000</v>
      </c>
      <c r="D50" s="14">
        <v>580000</v>
      </c>
      <c r="E50" s="14">
        <v>697515</v>
      </c>
      <c r="F50" s="14">
        <v>449800</v>
      </c>
      <c r="G50" s="14">
        <v>540930</v>
      </c>
      <c r="H50" s="14">
        <v>329000</v>
      </c>
      <c r="I50" s="14">
        <v>405000</v>
      </c>
      <c r="J50" s="14">
        <v>12690</v>
      </c>
      <c r="K50" s="14">
        <v>15470</v>
      </c>
      <c r="N50" s="42">
        <f t="shared" si="18"/>
        <v>160000</v>
      </c>
      <c r="O50" s="43">
        <f t="shared" si="19"/>
        <v>0.16859852476290832</v>
      </c>
    </row>
    <row r="51" spans="1:15" x14ac:dyDescent="0.45">
      <c r="A51" s="41">
        <v>46168</v>
      </c>
      <c r="B51" s="14">
        <v>797000</v>
      </c>
      <c r="C51" s="14">
        <v>961000</v>
      </c>
      <c r="D51" s="14">
        <v>585800</v>
      </c>
      <c r="E51" s="14">
        <v>706335</v>
      </c>
      <c r="F51" s="14">
        <v>454300</v>
      </c>
      <c r="G51" s="14">
        <v>547770</v>
      </c>
      <c r="H51" s="14">
        <v>334000</v>
      </c>
      <c r="I51" s="14">
        <v>412000</v>
      </c>
      <c r="J51" s="14">
        <v>12960</v>
      </c>
      <c r="K51" s="14">
        <v>16110</v>
      </c>
      <c r="N51" s="42">
        <f t="shared" si="18"/>
        <v>164000</v>
      </c>
      <c r="O51" s="43">
        <f t="shared" si="19"/>
        <v>0.17065556711758584</v>
      </c>
    </row>
    <row r="52" spans="1:15" x14ac:dyDescent="0.45">
      <c r="A52" s="12" t="s">
        <v>30342</v>
      </c>
      <c r="B52" s="14">
        <v>806000</v>
      </c>
      <c r="C52" s="14">
        <v>974000</v>
      </c>
      <c r="D52" s="14">
        <v>592500</v>
      </c>
      <c r="E52" s="14">
        <v>715890</v>
      </c>
      <c r="F52" s="14">
        <v>459500</v>
      </c>
      <c r="G52" s="14">
        <v>555180</v>
      </c>
      <c r="H52" s="14">
        <v>337000</v>
      </c>
      <c r="I52" s="14">
        <v>416000</v>
      </c>
      <c r="J52" s="14">
        <v>13330</v>
      </c>
      <c r="K52" s="14">
        <v>16410</v>
      </c>
      <c r="N52" s="42">
        <f t="shared" si="18"/>
        <v>168000</v>
      </c>
      <c r="O52" s="43">
        <f t="shared" si="19"/>
        <v>0.17248459958932238</v>
      </c>
    </row>
    <row r="53" spans="1:15" x14ac:dyDescent="0.45">
      <c r="A53" s="12" t="s">
        <v>954</v>
      </c>
      <c r="B53" s="14">
        <v>797000</v>
      </c>
      <c r="C53" s="14">
        <v>958000</v>
      </c>
      <c r="D53" s="14">
        <v>585800</v>
      </c>
      <c r="E53" s="14">
        <v>704130</v>
      </c>
      <c r="F53" s="14">
        <v>454300</v>
      </c>
      <c r="G53" s="14">
        <v>546060</v>
      </c>
      <c r="H53" s="14">
        <v>330000</v>
      </c>
      <c r="I53" s="14">
        <v>407000</v>
      </c>
      <c r="J53" s="14">
        <v>12680</v>
      </c>
      <c r="K53" s="14">
        <v>15610</v>
      </c>
      <c r="N53" s="42">
        <f t="shared" si="18"/>
        <v>161000</v>
      </c>
      <c r="O53" s="43">
        <f t="shared" si="19"/>
        <v>0.16805845511482254</v>
      </c>
    </row>
    <row r="54" spans="1:15" x14ac:dyDescent="0.45">
      <c r="A54" s="12" t="s">
        <v>1046</v>
      </c>
      <c r="B54" s="14">
        <v>791000</v>
      </c>
      <c r="C54" s="14">
        <v>952000</v>
      </c>
      <c r="D54" s="14">
        <v>581400</v>
      </c>
      <c r="E54" s="14">
        <v>699720</v>
      </c>
      <c r="F54" s="14">
        <v>450900</v>
      </c>
      <c r="G54" s="14">
        <v>542640</v>
      </c>
      <c r="H54" s="14">
        <v>330000</v>
      </c>
      <c r="I54" s="14">
        <v>407000</v>
      </c>
      <c r="J54" s="14">
        <v>12570</v>
      </c>
      <c r="K54" s="14">
        <v>15470</v>
      </c>
      <c r="N54" s="42">
        <f t="shared" si="18"/>
        <v>161000</v>
      </c>
      <c r="O54" s="43">
        <f t="shared" si="19"/>
        <v>0.16911764705882354</v>
      </c>
    </row>
    <row r="55" spans="1:15" x14ac:dyDescent="0.45">
      <c r="A55" s="12" t="s">
        <v>1117</v>
      </c>
      <c r="B55" s="14">
        <v>803000</v>
      </c>
      <c r="C55" s="14">
        <v>964000</v>
      </c>
      <c r="D55" s="14">
        <v>590300</v>
      </c>
      <c r="E55" s="14">
        <v>708540</v>
      </c>
      <c r="F55" s="14">
        <v>457800</v>
      </c>
      <c r="G55" s="14">
        <v>549480</v>
      </c>
      <c r="H55" s="14">
        <v>337000</v>
      </c>
      <c r="I55" s="14">
        <v>415000</v>
      </c>
      <c r="J55" s="14">
        <v>12890</v>
      </c>
      <c r="K55" s="14">
        <v>15860</v>
      </c>
      <c r="N55" s="42">
        <f t="shared" si="18"/>
        <v>161000</v>
      </c>
      <c r="O55" s="43">
        <f t="shared" si="19"/>
        <v>0.16701244813278007</v>
      </c>
    </row>
    <row r="56" spans="1:15" x14ac:dyDescent="0.45">
      <c r="A56" s="12" t="s">
        <v>1245</v>
      </c>
      <c r="B56" s="14">
        <v>801000</v>
      </c>
      <c r="C56" s="14">
        <v>960000</v>
      </c>
      <c r="D56" s="14">
        <v>588800</v>
      </c>
      <c r="E56" s="14">
        <v>705600</v>
      </c>
      <c r="F56" s="14">
        <v>456600</v>
      </c>
      <c r="G56" s="14">
        <v>547200</v>
      </c>
      <c r="H56" s="14">
        <v>336000</v>
      </c>
      <c r="I56" s="14">
        <v>414000</v>
      </c>
      <c r="J56" s="14">
        <v>12720</v>
      </c>
      <c r="K56" s="14">
        <v>15660</v>
      </c>
      <c r="N56" s="42">
        <f t="shared" si="18"/>
        <v>159000</v>
      </c>
      <c r="O56" s="43">
        <f t="shared" si="19"/>
        <v>0.16562499999999999</v>
      </c>
    </row>
    <row r="57" spans="1:15" x14ac:dyDescent="0.45">
      <c r="A57" s="12" t="s">
        <v>1515</v>
      </c>
      <c r="B57" s="14">
        <v>815000</v>
      </c>
      <c r="C57" s="14">
        <v>977000</v>
      </c>
      <c r="D57" s="14">
        <v>599100</v>
      </c>
      <c r="E57" s="14">
        <v>718095</v>
      </c>
      <c r="F57" s="14">
        <v>464600</v>
      </c>
      <c r="G57" s="14">
        <v>556890</v>
      </c>
      <c r="H57" s="14">
        <v>349000</v>
      </c>
      <c r="I57" s="14">
        <v>430000</v>
      </c>
      <c r="J57" s="14">
        <v>13860</v>
      </c>
      <c r="K57" s="14">
        <v>17060</v>
      </c>
      <c r="N57" s="42">
        <f t="shared" si="18"/>
        <v>162000</v>
      </c>
      <c r="O57" s="43">
        <f t="shared" si="19"/>
        <v>0.16581371545547594</v>
      </c>
    </row>
    <row r="58" spans="1:15" x14ac:dyDescent="0.45">
      <c r="A58" s="12" t="s">
        <v>1645</v>
      </c>
      <c r="B58" s="14">
        <v>817000</v>
      </c>
      <c r="C58" s="14">
        <v>985000</v>
      </c>
      <c r="D58" s="14">
        <v>600500</v>
      </c>
      <c r="E58" s="14">
        <v>723975</v>
      </c>
      <c r="F58" s="14">
        <v>465700</v>
      </c>
      <c r="G58" s="14">
        <v>561450</v>
      </c>
      <c r="H58" s="14">
        <v>364000</v>
      </c>
      <c r="I58" s="14">
        <v>448000</v>
      </c>
      <c r="J58" s="14">
        <v>14630</v>
      </c>
      <c r="K58" s="14">
        <v>18010</v>
      </c>
      <c r="N58" s="42">
        <f t="shared" si="18"/>
        <v>168000</v>
      </c>
      <c r="O58" s="43">
        <f t="shared" si="19"/>
        <v>0.17055837563451776</v>
      </c>
    </row>
    <row r="59" spans="1:15" x14ac:dyDescent="0.45">
      <c r="A59" s="12" t="s">
        <v>1887</v>
      </c>
      <c r="B59" s="14">
        <v>821000</v>
      </c>
      <c r="C59" s="14">
        <v>988000</v>
      </c>
      <c r="D59" s="14">
        <v>603500</v>
      </c>
      <c r="E59" s="14">
        <v>726180</v>
      </c>
      <c r="F59" s="14">
        <v>468000</v>
      </c>
      <c r="G59" s="14">
        <v>563160</v>
      </c>
      <c r="H59" s="14">
        <v>357000</v>
      </c>
      <c r="I59" s="14">
        <v>440000</v>
      </c>
      <c r="J59" s="14">
        <v>14430</v>
      </c>
      <c r="K59" s="14">
        <v>17590</v>
      </c>
      <c r="N59" s="42">
        <f t="shared" si="18"/>
        <v>167000</v>
      </c>
      <c r="O59" s="43">
        <f t="shared" si="19"/>
        <v>0.16902834008097167</v>
      </c>
    </row>
    <row r="60" spans="1:15" x14ac:dyDescent="0.45">
      <c r="A60" s="12" t="s">
        <v>2074</v>
      </c>
      <c r="B60" s="14">
        <v>821000</v>
      </c>
      <c r="C60" s="14">
        <v>987000</v>
      </c>
      <c r="D60" s="14">
        <v>603500</v>
      </c>
      <c r="E60" s="14">
        <v>725445</v>
      </c>
      <c r="F60" s="14">
        <v>468000</v>
      </c>
      <c r="G60" s="14">
        <v>562590</v>
      </c>
      <c r="H60" s="14">
        <v>352000</v>
      </c>
      <c r="I60" s="14">
        <v>434000</v>
      </c>
      <c r="J60" s="14">
        <v>14300</v>
      </c>
      <c r="K60" s="14">
        <v>17430</v>
      </c>
      <c r="N60" s="42">
        <f t="shared" si="18"/>
        <v>166000</v>
      </c>
      <c r="O60" s="43">
        <f t="shared" si="19"/>
        <v>0.16818642350557245</v>
      </c>
    </row>
    <row r="61" spans="1:15" x14ac:dyDescent="0.45">
      <c r="A61" s="12" t="s">
        <v>2178</v>
      </c>
      <c r="B61" s="14">
        <v>810000</v>
      </c>
      <c r="C61" s="14">
        <v>968000</v>
      </c>
      <c r="D61" s="14">
        <v>595400</v>
      </c>
      <c r="E61" s="14">
        <v>711480</v>
      </c>
      <c r="F61" s="14">
        <v>461700</v>
      </c>
      <c r="G61" s="14">
        <v>551760</v>
      </c>
      <c r="H61" s="14">
        <v>341000</v>
      </c>
      <c r="I61" s="14">
        <v>420000</v>
      </c>
      <c r="J61" s="14">
        <v>13250</v>
      </c>
      <c r="K61" s="14">
        <v>16160</v>
      </c>
      <c r="N61" s="42">
        <f t="shared" si="18"/>
        <v>158000</v>
      </c>
      <c r="O61" s="43">
        <f t="shared" si="19"/>
        <v>0.16322314049586778</v>
      </c>
    </row>
    <row r="62" spans="1:15" x14ac:dyDescent="0.45">
      <c r="A62" s="12" t="s">
        <v>2643</v>
      </c>
      <c r="B62" s="14">
        <v>806000</v>
      </c>
      <c r="C62" s="14">
        <v>969000</v>
      </c>
      <c r="D62" s="14">
        <v>592500</v>
      </c>
      <c r="E62" s="14">
        <v>712215</v>
      </c>
      <c r="F62" s="14">
        <v>459500</v>
      </c>
      <c r="G62" s="14">
        <v>552330</v>
      </c>
      <c r="H62" s="14">
        <v>342000</v>
      </c>
      <c r="I62" s="14">
        <v>421000</v>
      </c>
      <c r="J62" s="14">
        <v>12850</v>
      </c>
      <c r="K62" s="14">
        <v>15660</v>
      </c>
      <c r="N62" s="42">
        <f t="shared" si="18"/>
        <v>163000</v>
      </c>
      <c r="O62" s="43">
        <f t="shared" si="19"/>
        <v>0.16821465428276575</v>
      </c>
    </row>
    <row r="63" spans="1:15" x14ac:dyDescent="0.45">
      <c r="A63" s="12" t="s">
        <v>2774</v>
      </c>
      <c r="B63" s="14">
        <v>799000</v>
      </c>
      <c r="C63" s="14">
        <v>957000</v>
      </c>
      <c r="D63" s="14">
        <v>587300</v>
      </c>
      <c r="E63" s="14">
        <v>703395</v>
      </c>
      <c r="F63" s="14">
        <v>455500</v>
      </c>
      <c r="G63" s="14">
        <v>545490</v>
      </c>
      <c r="H63" s="14">
        <v>330000</v>
      </c>
      <c r="I63" s="14">
        <v>407000</v>
      </c>
      <c r="J63" s="14">
        <v>12390</v>
      </c>
      <c r="K63" s="14">
        <v>15110</v>
      </c>
      <c r="N63" s="42">
        <f t="shared" si="18"/>
        <v>158000</v>
      </c>
      <c r="O63" s="43">
        <f t="shared" si="19"/>
        <v>0.16509926854754442</v>
      </c>
    </row>
    <row r="64" spans="1:15" x14ac:dyDescent="0.45">
      <c r="A64" s="12" t="s">
        <v>30343</v>
      </c>
      <c r="B64" s="14">
        <v>785000</v>
      </c>
      <c r="C64" s="14">
        <v>947000</v>
      </c>
      <c r="D64" s="14">
        <v>577000</v>
      </c>
      <c r="E64" s="14">
        <v>696045</v>
      </c>
      <c r="F64" s="14">
        <v>447500</v>
      </c>
      <c r="G64" s="14">
        <v>539790</v>
      </c>
      <c r="H64" s="14">
        <v>334000</v>
      </c>
      <c r="I64" s="14">
        <v>411000</v>
      </c>
      <c r="J64" s="14">
        <v>12210</v>
      </c>
      <c r="K64" s="14">
        <v>14890</v>
      </c>
      <c r="N64" s="42">
        <f t="shared" si="18"/>
        <v>162000</v>
      </c>
      <c r="O64" s="43">
        <f t="shared" si="19"/>
        <v>0.17106652587117213</v>
      </c>
    </row>
    <row r="65" spans="1:15" x14ac:dyDescent="0.45">
      <c r="A65" s="12" t="s">
        <v>2937</v>
      </c>
      <c r="B65" s="14">
        <v>795000</v>
      </c>
      <c r="C65" s="14">
        <v>955000</v>
      </c>
      <c r="D65" s="14">
        <v>584400</v>
      </c>
      <c r="E65" s="14">
        <v>701925</v>
      </c>
      <c r="F65" s="14">
        <v>453200</v>
      </c>
      <c r="G65" s="14">
        <v>544350</v>
      </c>
      <c r="H65" s="14">
        <v>334000</v>
      </c>
      <c r="I65" s="14">
        <v>411000</v>
      </c>
      <c r="J65" s="14">
        <v>12470</v>
      </c>
      <c r="K65" s="14">
        <v>15210</v>
      </c>
      <c r="N65" s="42">
        <f t="shared" si="18"/>
        <v>160000</v>
      </c>
      <c r="O65" s="43">
        <f t="shared" si="19"/>
        <v>0.16753926701570682</v>
      </c>
    </row>
    <row r="66" spans="1:15" x14ac:dyDescent="0.45">
      <c r="A66" s="29" t="s">
        <v>30344</v>
      </c>
      <c r="B66" s="30">
        <v>796000</v>
      </c>
      <c r="C66" s="30">
        <v>957000</v>
      </c>
      <c r="D66" s="30">
        <v>585100</v>
      </c>
      <c r="E66" s="30">
        <v>703395</v>
      </c>
      <c r="F66" s="30">
        <v>453800</v>
      </c>
      <c r="G66" s="30">
        <v>545490</v>
      </c>
      <c r="H66" s="30">
        <v>333000</v>
      </c>
      <c r="I66" s="30">
        <v>410000</v>
      </c>
      <c r="J66" s="30">
        <v>12460</v>
      </c>
      <c r="K66" s="30">
        <v>15190</v>
      </c>
      <c r="N66" s="42">
        <f t="shared" si="18"/>
        <v>161000</v>
      </c>
      <c r="O66" s="43">
        <f t="shared" si="19"/>
        <v>0.16823406478578892</v>
      </c>
    </row>
    <row r="67" spans="1:15" x14ac:dyDescent="0.45">
      <c r="A67" s="29" t="s">
        <v>30345</v>
      </c>
      <c r="B67" s="30">
        <v>796000</v>
      </c>
      <c r="C67" s="30">
        <v>960000</v>
      </c>
      <c r="D67" s="30">
        <v>585100</v>
      </c>
      <c r="E67" s="30">
        <v>705600</v>
      </c>
      <c r="F67" s="30">
        <v>453800</v>
      </c>
      <c r="G67" s="30">
        <v>547200</v>
      </c>
      <c r="H67" s="30">
        <v>333000</v>
      </c>
      <c r="I67" s="30">
        <v>410000</v>
      </c>
      <c r="J67" s="30">
        <v>12310</v>
      </c>
      <c r="K67" s="30">
        <v>15000</v>
      </c>
      <c r="N67" s="42">
        <f t="shared" si="18"/>
        <v>164000</v>
      </c>
      <c r="O67" s="43">
        <f t="shared" si="19"/>
        <v>0.17083333333333334</v>
      </c>
    </row>
    <row r="68" spans="1:15" x14ac:dyDescent="0.45">
      <c r="A68" s="12" t="s">
        <v>3133</v>
      </c>
      <c r="B68" s="14">
        <v>800000</v>
      </c>
      <c r="C68" s="14">
        <v>957000</v>
      </c>
      <c r="D68" s="14">
        <v>588000</v>
      </c>
      <c r="E68" s="14">
        <v>703395</v>
      </c>
      <c r="F68" s="14">
        <v>456000</v>
      </c>
      <c r="G68" s="14">
        <v>545490</v>
      </c>
      <c r="H68" s="14">
        <v>324000</v>
      </c>
      <c r="I68" s="14">
        <v>400000</v>
      </c>
      <c r="J68" s="14">
        <v>12230</v>
      </c>
      <c r="K68" s="14">
        <v>14910</v>
      </c>
      <c r="N68" s="42">
        <f t="shared" si="18"/>
        <v>157000</v>
      </c>
      <c r="O68" s="43">
        <f t="shared" si="19"/>
        <v>0.16405433646812956</v>
      </c>
    </row>
    <row r="69" spans="1:15" x14ac:dyDescent="0.45">
      <c r="A69" s="12" t="s">
        <v>3320</v>
      </c>
      <c r="B69" s="14">
        <v>805000</v>
      </c>
      <c r="C69" s="14">
        <v>960000</v>
      </c>
      <c r="D69" s="14">
        <v>591700</v>
      </c>
      <c r="E69" s="14">
        <v>705600</v>
      </c>
      <c r="F69" s="14">
        <v>458900</v>
      </c>
      <c r="G69" s="14">
        <v>547200</v>
      </c>
      <c r="H69" s="14">
        <v>327000</v>
      </c>
      <c r="I69" s="14">
        <v>403000</v>
      </c>
      <c r="J69" s="14">
        <v>12140</v>
      </c>
      <c r="K69" s="14">
        <v>14800</v>
      </c>
      <c r="N69" s="42">
        <f t="shared" si="18"/>
        <v>155000</v>
      </c>
      <c r="O69" s="43">
        <f t="shared" si="19"/>
        <v>0.16145833333333334</v>
      </c>
    </row>
    <row r="70" spans="1:15" x14ac:dyDescent="0.45">
      <c r="A70" s="12" t="s">
        <v>3477</v>
      </c>
      <c r="B70" s="14">
        <v>819000</v>
      </c>
      <c r="C70" s="14">
        <v>980000</v>
      </c>
      <c r="D70" s="14">
        <v>602000</v>
      </c>
      <c r="E70" s="14">
        <v>720300</v>
      </c>
      <c r="F70" s="14">
        <v>466900</v>
      </c>
      <c r="G70" s="14">
        <v>558600</v>
      </c>
      <c r="H70" s="14">
        <v>338000</v>
      </c>
      <c r="I70" s="14">
        <v>416000</v>
      </c>
      <c r="J70" s="14">
        <v>12630</v>
      </c>
      <c r="K70" s="14">
        <v>15400</v>
      </c>
      <c r="N70" s="42">
        <f t="shared" si="18"/>
        <v>161000</v>
      </c>
      <c r="O70" s="43">
        <f t="shared" si="19"/>
        <v>0.16428571428571428</v>
      </c>
    </row>
    <row r="71" spans="1:15" x14ac:dyDescent="0.45">
      <c r="A71" s="12" t="s">
        <v>30346</v>
      </c>
      <c r="B71" s="14">
        <v>820000</v>
      </c>
      <c r="C71" s="14">
        <v>980000</v>
      </c>
      <c r="D71" s="14">
        <v>602700</v>
      </c>
      <c r="E71" s="14">
        <v>720300</v>
      </c>
      <c r="F71" s="14">
        <v>467400</v>
      </c>
      <c r="G71" s="14">
        <v>558600</v>
      </c>
      <c r="H71" s="14">
        <v>338000</v>
      </c>
      <c r="I71" s="14">
        <v>416000</v>
      </c>
      <c r="J71" s="14">
        <v>12560</v>
      </c>
      <c r="K71" s="14">
        <v>15310</v>
      </c>
      <c r="N71" s="42">
        <f t="shared" si="18"/>
        <v>160000</v>
      </c>
      <c r="O71" s="43">
        <f t="shared" si="19"/>
        <v>0.16326530612244897</v>
      </c>
    </row>
    <row r="72" spans="1:15" x14ac:dyDescent="0.45">
      <c r="A72" s="12" t="s">
        <v>3722</v>
      </c>
      <c r="B72" s="14">
        <v>816000</v>
      </c>
      <c r="C72" s="14">
        <v>976000</v>
      </c>
      <c r="D72" s="14">
        <v>599800</v>
      </c>
      <c r="E72" s="14">
        <v>717360</v>
      </c>
      <c r="F72" s="14">
        <v>465200</v>
      </c>
      <c r="G72" s="14">
        <v>556320</v>
      </c>
      <c r="H72" s="14">
        <v>335000</v>
      </c>
      <c r="I72" s="14">
        <v>413000</v>
      </c>
      <c r="J72" s="14">
        <v>12500</v>
      </c>
      <c r="K72" s="14">
        <v>15230</v>
      </c>
      <c r="N72" s="42">
        <f t="shared" si="18"/>
        <v>160000</v>
      </c>
      <c r="O72" s="43">
        <f t="shared" si="19"/>
        <v>0.16393442622950818</v>
      </c>
    </row>
    <row r="73" spans="1:15" x14ac:dyDescent="0.45">
      <c r="A73" s="12" t="s">
        <v>3945</v>
      </c>
      <c r="B73" s="14">
        <v>824000</v>
      </c>
      <c r="C73" s="14">
        <v>988000</v>
      </c>
      <c r="D73" s="14">
        <v>605700</v>
      </c>
      <c r="E73" s="14">
        <v>726180</v>
      </c>
      <c r="F73" s="14">
        <v>469700</v>
      </c>
      <c r="G73" s="14">
        <v>563160</v>
      </c>
      <c r="H73" s="14">
        <v>349000</v>
      </c>
      <c r="I73" s="14">
        <v>429000</v>
      </c>
      <c r="J73" s="14">
        <v>12950</v>
      </c>
      <c r="K73" s="14">
        <v>15790</v>
      </c>
      <c r="N73" s="42">
        <f t="shared" si="18"/>
        <v>164000</v>
      </c>
      <c r="O73" s="43">
        <f t="shared" si="19"/>
        <v>0.16599190283400811</v>
      </c>
    </row>
    <row r="74" spans="1:15" x14ac:dyDescent="0.45">
      <c r="A74" s="12" t="s">
        <v>4016</v>
      </c>
      <c r="B74" s="14">
        <v>830000</v>
      </c>
      <c r="C74" s="14">
        <v>993000</v>
      </c>
      <c r="D74" s="14">
        <v>610100</v>
      </c>
      <c r="E74" s="14">
        <v>729855</v>
      </c>
      <c r="F74" s="14">
        <v>473100</v>
      </c>
      <c r="G74" s="14">
        <v>566010</v>
      </c>
      <c r="H74" s="14">
        <v>349000</v>
      </c>
      <c r="I74" s="14">
        <v>430000</v>
      </c>
      <c r="J74" s="14">
        <v>13000</v>
      </c>
      <c r="K74" s="14">
        <v>15850</v>
      </c>
      <c r="N74" s="42">
        <f t="shared" si="18"/>
        <v>163000</v>
      </c>
      <c r="O74" s="43">
        <f t="shared" si="19"/>
        <v>0.16414904330312186</v>
      </c>
    </row>
    <row r="75" spans="1:15" x14ac:dyDescent="0.45">
      <c r="A75" s="12" t="s">
        <v>4141</v>
      </c>
      <c r="B75" s="14">
        <v>829000</v>
      </c>
      <c r="C75" s="14">
        <v>989000</v>
      </c>
      <c r="D75" s="14">
        <v>609400</v>
      </c>
      <c r="E75" s="14">
        <v>726915</v>
      </c>
      <c r="F75" s="14">
        <v>472600</v>
      </c>
      <c r="G75" s="14">
        <v>563730</v>
      </c>
      <c r="H75" s="14">
        <v>347000</v>
      </c>
      <c r="I75" s="14">
        <v>427000</v>
      </c>
      <c r="J75" s="14">
        <v>13030</v>
      </c>
      <c r="K75" s="14">
        <v>15890</v>
      </c>
      <c r="N75" s="42">
        <f t="shared" si="18"/>
        <v>160000</v>
      </c>
      <c r="O75" s="43">
        <f t="shared" si="19"/>
        <v>0.16177957532861476</v>
      </c>
    </row>
    <row r="76" spans="1:15" x14ac:dyDescent="0.45">
      <c r="A76" s="12" t="s">
        <v>4234</v>
      </c>
      <c r="B76" s="14">
        <v>834000</v>
      </c>
      <c r="C76" s="14">
        <v>998000</v>
      </c>
      <c r="D76" s="14">
        <v>613000</v>
      </c>
      <c r="E76" s="14">
        <v>733530</v>
      </c>
      <c r="F76" s="14">
        <v>475400</v>
      </c>
      <c r="G76" s="14">
        <v>568860</v>
      </c>
      <c r="H76" s="14">
        <v>352000</v>
      </c>
      <c r="I76" s="14">
        <v>433000</v>
      </c>
      <c r="J76" s="14">
        <v>13280</v>
      </c>
      <c r="K76" s="14">
        <v>16200</v>
      </c>
      <c r="N76" s="42">
        <f t="shared" si="18"/>
        <v>164000</v>
      </c>
      <c r="O76" s="43">
        <f t="shared" si="19"/>
        <v>0.16432865731462926</v>
      </c>
    </row>
    <row r="77" spans="1:15" x14ac:dyDescent="0.45">
      <c r="A77" s="12" t="s">
        <v>30347</v>
      </c>
      <c r="B77" s="14">
        <v>834000</v>
      </c>
      <c r="C77" s="14">
        <v>999000</v>
      </c>
      <c r="D77" s="14">
        <v>613000</v>
      </c>
      <c r="E77" s="14">
        <v>734265</v>
      </c>
      <c r="F77" s="14">
        <v>475400</v>
      </c>
      <c r="G77" s="14">
        <v>569430</v>
      </c>
      <c r="H77" s="14">
        <v>351000</v>
      </c>
      <c r="I77" s="14">
        <v>432000</v>
      </c>
      <c r="J77" s="14">
        <v>13320</v>
      </c>
      <c r="K77" s="14">
        <v>16240</v>
      </c>
      <c r="N77" s="42">
        <f t="shared" si="18"/>
        <v>165000</v>
      </c>
      <c r="O77" s="43">
        <f t="shared" si="19"/>
        <v>0.16516516516516516</v>
      </c>
    </row>
    <row r="78" spans="1:15" x14ac:dyDescent="0.45">
      <c r="A78" s="12" t="s">
        <v>4305</v>
      </c>
      <c r="B78" s="14">
        <v>834000</v>
      </c>
      <c r="C78" s="14">
        <v>1000000</v>
      </c>
      <c r="D78" s="14">
        <v>613000</v>
      </c>
      <c r="E78" s="14">
        <v>735000</v>
      </c>
      <c r="F78" s="14">
        <v>475400</v>
      </c>
      <c r="G78" s="14">
        <v>570000</v>
      </c>
      <c r="H78" s="14">
        <v>352000</v>
      </c>
      <c r="I78" s="14">
        <v>434000</v>
      </c>
      <c r="J78" s="14">
        <v>13090</v>
      </c>
      <c r="K78" s="14">
        <v>15800</v>
      </c>
      <c r="N78" s="42">
        <f t="shared" si="18"/>
        <v>166000</v>
      </c>
      <c r="O78" s="43">
        <f t="shared" si="19"/>
        <v>0.16600000000000001</v>
      </c>
    </row>
    <row r="79" spans="1:15" x14ac:dyDescent="0.45">
      <c r="A79" s="12" t="s">
        <v>4411</v>
      </c>
      <c r="B79" s="14">
        <v>837000</v>
      </c>
      <c r="C79" s="14">
        <v>1002000</v>
      </c>
      <c r="D79" s="14">
        <v>615200</v>
      </c>
      <c r="E79" s="14">
        <v>736470</v>
      </c>
      <c r="F79" s="14">
        <v>477100</v>
      </c>
      <c r="G79" s="14">
        <v>571140</v>
      </c>
      <c r="H79" s="14">
        <v>358000</v>
      </c>
      <c r="I79" s="14">
        <v>441000</v>
      </c>
      <c r="J79" s="14">
        <v>13300</v>
      </c>
      <c r="K79" s="14">
        <v>16060</v>
      </c>
      <c r="N79" s="42">
        <f t="shared" si="18"/>
        <v>165000</v>
      </c>
      <c r="O79" s="43">
        <f t="shared" si="19"/>
        <v>0.16467065868263472</v>
      </c>
    </row>
    <row r="80" spans="1:15" x14ac:dyDescent="0.45">
      <c r="A80" s="12" t="s">
        <v>4530</v>
      </c>
      <c r="B80" s="14">
        <v>838000</v>
      </c>
      <c r="C80" s="14">
        <v>1006000</v>
      </c>
      <c r="D80" s="14">
        <v>616000</v>
      </c>
      <c r="E80" s="14">
        <v>739410</v>
      </c>
      <c r="F80" s="14">
        <v>477700</v>
      </c>
      <c r="G80" s="14">
        <v>573420</v>
      </c>
      <c r="H80" s="14">
        <v>359000</v>
      </c>
      <c r="I80" s="14">
        <v>442000</v>
      </c>
      <c r="J80" s="14">
        <v>13370</v>
      </c>
      <c r="K80" s="14">
        <v>16140</v>
      </c>
      <c r="N80" s="42">
        <f t="shared" si="18"/>
        <v>168000</v>
      </c>
      <c r="O80" s="43">
        <f t="shared" si="19"/>
        <v>0.16699801192842942</v>
      </c>
    </row>
    <row r="81" spans="1:15" x14ac:dyDescent="0.45">
      <c r="A81" s="12" t="s">
        <v>4641</v>
      </c>
      <c r="B81" s="14">
        <v>831000</v>
      </c>
      <c r="C81" s="14">
        <v>997000</v>
      </c>
      <c r="D81" s="14">
        <v>610800</v>
      </c>
      <c r="E81" s="14">
        <v>732795</v>
      </c>
      <c r="F81" s="14">
        <v>473700</v>
      </c>
      <c r="G81" s="14">
        <v>568290</v>
      </c>
      <c r="H81" s="14">
        <v>350000</v>
      </c>
      <c r="I81" s="14">
        <v>432000</v>
      </c>
      <c r="J81" s="14">
        <v>12660</v>
      </c>
      <c r="K81" s="14">
        <v>15340</v>
      </c>
      <c r="N81" s="42">
        <f t="shared" si="18"/>
        <v>166000</v>
      </c>
      <c r="O81" s="43">
        <f t="shared" si="19"/>
        <v>0.16649949849548645</v>
      </c>
    </row>
    <row r="82" spans="1:15" x14ac:dyDescent="0.45">
      <c r="A82" s="12" t="s">
        <v>4772</v>
      </c>
      <c r="B82" s="14">
        <v>829000</v>
      </c>
      <c r="C82" s="14">
        <v>992000</v>
      </c>
      <c r="D82" s="14">
        <v>609400</v>
      </c>
      <c r="E82" s="14">
        <v>729120</v>
      </c>
      <c r="F82" s="14">
        <v>472600</v>
      </c>
      <c r="G82" s="14">
        <v>565440</v>
      </c>
      <c r="H82" s="14">
        <v>346000</v>
      </c>
      <c r="I82" s="14">
        <v>426000</v>
      </c>
      <c r="J82" s="14">
        <v>12460</v>
      </c>
      <c r="K82" s="14">
        <v>15100</v>
      </c>
      <c r="N82" s="42">
        <f t="shared" si="18"/>
        <v>163000</v>
      </c>
      <c r="O82" s="43">
        <f t="shared" si="19"/>
        <v>0.16431451612903225</v>
      </c>
    </row>
    <row r="83" spans="1:15" x14ac:dyDescent="0.45">
      <c r="A83" s="12" t="s">
        <v>30348</v>
      </c>
      <c r="B83" s="14">
        <v>828000</v>
      </c>
      <c r="C83" s="14">
        <v>994000</v>
      </c>
      <c r="D83" s="14">
        <v>608600</v>
      </c>
      <c r="E83" s="14">
        <v>730590</v>
      </c>
      <c r="F83" s="14">
        <v>472000</v>
      </c>
      <c r="G83" s="14">
        <v>566580</v>
      </c>
      <c r="H83" s="14">
        <v>345000</v>
      </c>
      <c r="I83" s="14">
        <v>425000</v>
      </c>
      <c r="J83" s="14">
        <v>12660</v>
      </c>
      <c r="K83" s="14">
        <v>15350</v>
      </c>
      <c r="N83" s="42">
        <f t="shared" si="18"/>
        <v>166000</v>
      </c>
      <c r="O83" s="43">
        <f t="shared" si="19"/>
        <v>0.16700201207243462</v>
      </c>
    </row>
    <row r="84" spans="1:15" x14ac:dyDescent="0.45">
      <c r="A84" s="12" t="s">
        <v>4918</v>
      </c>
      <c r="B84" s="14">
        <v>830000</v>
      </c>
      <c r="C84" s="14">
        <v>994000</v>
      </c>
      <c r="D84" s="14">
        <v>610100</v>
      </c>
      <c r="E84" s="14">
        <v>730590</v>
      </c>
      <c r="F84" s="14">
        <v>473100</v>
      </c>
      <c r="G84" s="14">
        <v>566580</v>
      </c>
      <c r="H84" s="14">
        <v>348000</v>
      </c>
      <c r="I84" s="14">
        <v>429000</v>
      </c>
      <c r="J84" s="14">
        <v>12620</v>
      </c>
      <c r="K84" s="14">
        <v>15480</v>
      </c>
      <c r="N84" s="42">
        <f t="shared" si="18"/>
        <v>164000</v>
      </c>
      <c r="O84" s="43">
        <f t="shared" si="19"/>
        <v>0.16498993963782696</v>
      </c>
    </row>
    <row r="85" spans="1:15" x14ac:dyDescent="0.45">
      <c r="A85" s="12" t="s">
        <v>5027</v>
      </c>
      <c r="B85" s="14">
        <v>823000</v>
      </c>
      <c r="C85" s="14">
        <v>984000</v>
      </c>
      <c r="D85" s="14">
        <v>605000</v>
      </c>
      <c r="E85" s="14">
        <v>723240</v>
      </c>
      <c r="F85" s="14">
        <v>469200</v>
      </c>
      <c r="G85" s="14">
        <v>560880</v>
      </c>
      <c r="H85" s="14">
        <v>342000</v>
      </c>
      <c r="I85" s="14">
        <v>422000</v>
      </c>
      <c r="J85" s="14">
        <v>12310</v>
      </c>
      <c r="K85" s="14">
        <v>15020</v>
      </c>
      <c r="N85" s="42">
        <f t="shared" si="18"/>
        <v>161000</v>
      </c>
      <c r="O85" s="43">
        <f t="shared" si="19"/>
        <v>0.16361788617886178</v>
      </c>
    </row>
    <row r="86" spans="1:15" x14ac:dyDescent="0.45">
      <c r="A86" s="12" t="s">
        <v>5132</v>
      </c>
      <c r="B86" s="14">
        <v>833000</v>
      </c>
      <c r="C86" s="14">
        <v>1004000</v>
      </c>
      <c r="D86" s="14">
        <v>612300</v>
      </c>
      <c r="E86" s="14">
        <v>737940</v>
      </c>
      <c r="F86" s="14">
        <v>474900</v>
      </c>
      <c r="G86" s="14">
        <v>572280</v>
      </c>
      <c r="H86" s="14">
        <v>340000</v>
      </c>
      <c r="I86" s="14">
        <v>419000</v>
      </c>
      <c r="J86" s="14">
        <v>12650</v>
      </c>
      <c r="K86" s="14">
        <v>15590</v>
      </c>
      <c r="N86" s="42">
        <f t="shared" si="18"/>
        <v>171000</v>
      </c>
      <c r="O86" s="43">
        <f t="shared" si="19"/>
        <v>0.17031872509960158</v>
      </c>
    </row>
    <row r="87" spans="1:15" x14ac:dyDescent="0.45">
      <c r="A87" s="12" t="s">
        <v>5221</v>
      </c>
      <c r="B87" s="14">
        <v>824000</v>
      </c>
      <c r="C87" s="14">
        <v>990000</v>
      </c>
      <c r="D87" s="14">
        <v>605700</v>
      </c>
      <c r="E87" s="14">
        <v>727650</v>
      </c>
      <c r="F87" s="14">
        <v>469700</v>
      </c>
      <c r="G87" s="14">
        <v>564300</v>
      </c>
      <c r="H87" s="14">
        <v>340000</v>
      </c>
      <c r="I87" s="14">
        <v>419000</v>
      </c>
      <c r="J87" s="14">
        <v>12370</v>
      </c>
      <c r="K87" s="14">
        <v>15380</v>
      </c>
      <c r="N87" s="42">
        <f t="shared" si="18"/>
        <v>166000</v>
      </c>
      <c r="O87" s="43">
        <f t="shared" si="19"/>
        <v>0.16767676767676767</v>
      </c>
    </row>
    <row r="88" spans="1:15" x14ac:dyDescent="0.45">
      <c r="A88" s="12" t="s">
        <v>5293</v>
      </c>
      <c r="B88" s="14">
        <v>824000</v>
      </c>
      <c r="C88" s="14">
        <v>992000</v>
      </c>
      <c r="D88" s="14">
        <v>605700</v>
      </c>
      <c r="E88" s="14">
        <v>729120</v>
      </c>
      <c r="F88" s="14">
        <v>469700</v>
      </c>
      <c r="G88" s="14">
        <v>565440</v>
      </c>
      <c r="H88" s="14">
        <v>341000</v>
      </c>
      <c r="I88" s="14">
        <v>420000</v>
      </c>
      <c r="J88" s="14">
        <v>12310</v>
      </c>
      <c r="K88" s="14">
        <v>15320</v>
      </c>
      <c r="N88" s="42">
        <f t="shared" si="18"/>
        <v>168000</v>
      </c>
      <c r="O88" s="43">
        <f t="shared" si="19"/>
        <v>0.16935483870967741</v>
      </c>
    </row>
    <row r="89" spans="1:15" x14ac:dyDescent="0.45">
      <c r="A89" s="12" t="s">
        <v>30349</v>
      </c>
      <c r="B89" s="14">
        <v>829000</v>
      </c>
      <c r="C89" s="14">
        <v>996000</v>
      </c>
      <c r="D89" s="14">
        <v>609400</v>
      </c>
      <c r="E89" s="14">
        <v>732060</v>
      </c>
      <c r="F89" s="14">
        <v>472600</v>
      </c>
      <c r="G89" s="14">
        <v>567720</v>
      </c>
      <c r="H89" s="14">
        <v>342000</v>
      </c>
      <c r="I89" s="14">
        <v>421000</v>
      </c>
      <c r="J89" s="14">
        <v>12710</v>
      </c>
      <c r="K89" s="14">
        <v>15810</v>
      </c>
      <c r="N89" s="42">
        <f t="shared" si="18"/>
        <v>167000</v>
      </c>
      <c r="O89" s="43">
        <f t="shared" si="19"/>
        <v>0.1676706827309237</v>
      </c>
    </row>
    <row r="90" spans="1:15" x14ac:dyDescent="0.45">
      <c r="A90" s="12" t="s">
        <v>5379</v>
      </c>
      <c r="B90" s="14">
        <v>829000</v>
      </c>
      <c r="C90" s="14">
        <v>995000</v>
      </c>
      <c r="D90" s="14">
        <v>609400</v>
      </c>
      <c r="E90" s="14">
        <v>731325</v>
      </c>
      <c r="F90" s="14">
        <v>472600</v>
      </c>
      <c r="G90" s="14">
        <v>567150</v>
      </c>
      <c r="H90" s="14">
        <v>342000</v>
      </c>
      <c r="I90" s="14">
        <v>421000</v>
      </c>
      <c r="J90" s="14">
        <v>12710</v>
      </c>
      <c r="K90" s="14">
        <v>15810</v>
      </c>
      <c r="N90" s="42">
        <f t="shared" si="18"/>
        <v>166000</v>
      </c>
      <c r="O90" s="43">
        <f t="shared" si="19"/>
        <v>0.16683417085427135</v>
      </c>
    </row>
    <row r="91" spans="1:15" x14ac:dyDescent="0.45">
      <c r="A91" s="12" t="s">
        <v>5437</v>
      </c>
      <c r="B91" s="14">
        <v>824000</v>
      </c>
      <c r="C91" s="14">
        <v>986000</v>
      </c>
      <c r="D91" s="14">
        <v>605700</v>
      </c>
      <c r="E91" s="14">
        <v>724710</v>
      </c>
      <c r="F91" s="14">
        <v>469700</v>
      </c>
      <c r="G91" s="14">
        <v>562020</v>
      </c>
      <c r="H91" s="14">
        <v>328000</v>
      </c>
      <c r="I91" s="14">
        <v>404000</v>
      </c>
      <c r="J91" s="14">
        <v>12100</v>
      </c>
      <c r="K91" s="14">
        <v>15050</v>
      </c>
      <c r="N91" s="42">
        <f t="shared" si="18"/>
        <v>162000</v>
      </c>
      <c r="O91" s="43">
        <f t="shared" si="19"/>
        <v>0.1643002028397566</v>
      </c>
    </row>
    <row r="92" spans="1:15" x14ac:dyDescent="0.45">
      <c r="A92" s="12" t="s">
        <v>5523</v>
      </c>
      <c r="B92" s="14">
        <v>830000</v>
      </c>
      <c r="C92" s="14">
        <v>1002000</v>
      </c>
      <c r="D92" s="14">
        <v>610100</v>
      </c>
      <c r="E92" s="14">
        <v>736470</v>
      </c>
      <c r="F92" s="14">
        <v>473100</v>
      </c>
      <c r="G92" s="14">
        <v>571140</v>
      </c>
      <c r="H92" s="14">
        <v>336000</v>
      </c>
      <c r="I92" s="14">
        <v>414000</v>
      </c>
      <c r="J92" s="14">
        <v>12560</v>
      </c>
      <c r="K92" s="14">
        <v>15620</v>
      </c>
      <c r="N92" s="42">
        <f t="shared" si="18"/>
        <v>172000</v>
      </c>
      <c r="O92" s="43">
        <f t="shared" si="19"/>
        <v>0.17165668662674652</v>
      </c>
    </row>
    <row r="93" spans="1:15" x14ac:dyDescent="0.45">
      <c r="A93" s="12" t="s">
        <v>5580</v>
      </c>
      <c r="B93" s="14">
        <v>826000</v>
      </c>
      <c r="C93" s="14">
        <v>984000</v>
      </c>
      <c r="D93" s="14">
        <v>607200</v>
      </c>
      <c r="E93" s="14">
        <v>723240</v>
      </c>
      <c r="F93" s="14">
        <v>470900</v>
      </c>
      <c r="G93" s="14">
        <v>560880</v>
      </c>
      <c r="H93" s="14">
        <v>336000</v>
      </c>
      <c r="I93" s="14">
        <v>413000</v>
      </c>
      <c r="J93" s="14">
        <v>12460</v>
      </c>
      <c r="K93" s="14">
        <v>15500</v>
      </c>
      <c r="N93" s="42">
        <f t="shared" si="18"/>
        <v>158000</v>
      </c>
      <c r="O93" s="43">
        <f t="shared" si="19"/>
        <v>0.16056910569105692</v>
      </c>
    </row>
    <row r="94" spans="1:15" x14ac:dyDescent="0.45">
      <c r="A94" s="12" t="s">
        <v>5631</v>
      </c>
      <c r="B94" s="14">
        <v>820000</v>
      </c>
      <c r="C94" s="14">
        <v>968000</v>
      </c>
      <c r="D94" s="14">
        <v>602700</v>
      </c>
      <c r="E94" s="14">
        <v>711480</v>
      </c>
      <c r="F94" s="14">
        <v>467400</v>
      </c>
      <c r="G94" s="14">
        <v>551760</v>
      </c>
      <c r="H94" s="14">
        <v>332000</v>
      </c>
      <c r="I94" s="14">
        <v>409000</v>
      </c>
      <c r="J94" s="14">
        <v>12010</v>
      </c>
      <c r="K94" s="14">
        <v>14940</v>
      </c>
      <c r="N94" s="42">
        <f t="shared" si="18"/>
        <v>148000</v>
      </c>
      <c r="O94" s="43">
        <f t="shared" si="19"/>
        <v>0.15289256198347106</v>
      </c>
    </row>
    <row r="95" spans="1:15" x14ac:dyDescent="0.45">
      <c r="A95" s="12" t="s">
        <v>30350</v>
      </c>
      <c r="B95" s="14">
        <v>802000</v>
      </c>
      <c r="C95" s="14">
        <v>955000</v>
      </c>
      <c r="D95" s="14">
        <v>589500</v>
      </c>
      <c r="E95" s="14">
        <v>701925</v>
      </c>
      <c r="F95" s="14">
        <v>457200</v>
      </c>
      <c r="G95" s="14">
        <v>544350</v>
      </c>
      <c r="H95" s="14">
        <v>320000</v>
      </c>
      <c r="I95" s="14">
        <v>394000</v>
      </c>
      <c r="J95" s="14">
        <v>11860</v>
      </c>
      <c r="K95" s="14">
        <v>15180</v>
      </c>
      <c r="N95" s="42">
        <f t="shared" si="18"/>
        <v>153000</v>
      </c>
      <c r="O95" s="43">
        <f t="shared" si="19"/>
        <v>0.16020942408376965</v>
      </c>
    </row>
    <row r="96" spans="1:15" x14ac:dyDescent="0.45">
      <c r="A96" s="12" t="s">
        <v>5680</v>
      </c>
      <c r="B96" s="14">
        <v>800000</v>
      </c>
      <c r="C96" s="14">
        <v>947000</v>
      </c>
      <c r="D96" s="14">
        <v>588000</v>
      </c>
      <c r="E96" s="14">
        <v>696045</v>
      </c>
      <c r="F96" s="14">
        <v>456000</v>
      </c>
      <c r="G96" s="14">
        <v>539790</v>
      </c>
      <c r="H96" s="14">
        <v>325000</v>
      </c>
      <c r="I96" s="14">
        <v>400000</v>
      </c>
      <c r="J96" s="14">
        <v>11820</v>
      </c>
      <c r="K96" s="14">
        <v>15120</v>
      </c>
      <c r="N96" s="42">
        <f t="shared" si="18"/>
        <v>147000</v>
      </c>
      <c r="O96" s="43">
        <f t="shared" si="19"/>
        <v>0.15522703273495247</v>
      </c>
    </row>
    <row r="97" spans="1:15" x14ac:dyDescent="0.45">
      <c r="A97" s="12" t="s">
        <v>5737</v>
      </c>
      <c r="B97" s="14">
        <v>800000</v>
      </c>
      <c r="C97" s="14">
        <v>948000</v>
      </c>
      <c r="D97" s="14">
        <v>588000</v>
      </c>
      <c r="E97" s="14">
        <v>696780</v>
      </c>
      <c r="F97" s="14">
        <v>456000</v>
      </c>
      <c r="G97" s="14">
        <v>540360</v>
      </c>
      <c r="H97" s="14">
        <v>325000</v>
      </c>
      <c r="I97" s="14">
        <v>400000</v>
      </c>
      <c r="J97" s="14">
        <v>11870</v>
      </c>
      <c r="K97" s="14">
        <v>15190</v>
      </c>
      <c r="N97" s="42">
        <f t="shared" si="18"/>
        <v>148000</v>
      </c>
      <c r="O97" s="43">
        <f t="shared" si="19"/>
        <v>0.15611814345991562</v>
      </c>
    </row>
    <row r="98" spans="1:15" x14ac:dyDescent="0.45">
      <c r="A98" s="12" t="s">
        <v>5766</v>
      </c>
      <c r="B98" s="14">
        <v>807000</v>
      </c>
      <c r="C98" s="14">
        <v>965000</v>
      </c>
      <c r="D98" s="14">
        <v>593200</v>
      </c>
      <c r="E98" s="14">
        <v>709275</v>
      </c>
      <c r="F98" s="14">
        <v>460000</v>
      </c>
      <c r="G98" s="14">
        <v>550050</v>
      </c>
      <c r="H98" s="14">
        <v>339000</v>
      </c>
      <c r="I98" s="14">
        <v>417000</v>
      </c>
      <c r="J98" s="14">
        <v>12430</v>
      </c>
      <c r="K98" s="14">
        <v>15900</v>
      </c>
      <c r="N98" s="42">
        <f t="shared" si="18"/>
        <v>158000</v>
      </c>
      <c r="O98" s="43">
        <f t="shared" si="19"/>
        <v>0.16373056994818652</v>
      </c>
    </row>
    <row r="99" spans="1:15" x14ac:dyDescent="0.45">
      <c r="A99" s="12" t="s">
        <v>5811</v>
      </c>
      <c r="B99" s="14">
        <v>772000</v>
      </c>
      <c r="C99" s="14">
        <v>927000</v>
      </c>
      <c r="D99" s="14">
        <v>567500</v>
      </c>
      <c r="E99" s="14">
        <v>681345</v>
      </c>
      <c r="F99" s="14">
        <v>440100</v>
      </c>
      <c r="G99" s="14">
        <v>528390</v>
      </c>
      <c r="H99" s="14">
        <v>320000</v>
      </c>
      <c r="I99" s="14">
        <v>394000</v>
      </c>
      <c r="J99" s="14">
        <v>11650</v>
      </c>
      <c r="K99" s="14">
        <v>15110</v>
      </c>
      <c r="N99" s="42">
        <f t="shared" si="18"/>
        <v>155000</v>
      </c>
      <c r="O99" s="43">
        <f t="shared" si="19"/>
        <v>0.16720604099244876</v>
      </c>
    </row>
    <row r="100" spans="1:15" x14ac:dyDescent="0.45">
      <c r="A100" s="12" t="s">
        <v>5877</v>
      </c>
      <c r="B100" s="14">
        <v>743000</v>
      </c>
      <c r="C100" s="14">
        <v>907000</v>
      </c>
      <c r="D100" s="14">
        <v>546200</v>
      </c>
      <c r="E100" s="14">
        <v>666645</v>
      </c>
      <c r="F100" s="14">
        <v>423600</v>
      </c>
      <c r="G100" s="14">
        <v>516990</v>
      </c>
      <c r="H100" s="14">
        <v>311000</v>
      </c>
      <c r="I100" s="14">
        <v>383000</v>
      </c>
      <c r="J100" s="14">
        <v>11000</v>
      </c>
      <c r="K100" s="14">
        <v>14270</v>
      </c>
      <c r="N100" s="42">
        <f t="shared" si="18"/>
        <v>164000</v>
      </c>
      <c r="O100" s="43">
        <f t="shared" si="19"/>
        <v>0.18081587651598677</v>
      </c>
    </row>
    <row r="101" spans="1:15" x14ac:dyDescent="0.45">
      <c r="A101" s="12" t="s">
        <v>30351</v>
      </c>
      <c r="B101" s="14">
        <v>801000</v>
      </c>
      <c r="C101" s="14">
        <v>975000</v>
      </c>
      <c r="D101" s="14">
        <v>588800</v>
      </c>
      <c r="E101" s="14">
        <v>716625</v>
      </c>
      <c r="F101" s="14">
        <v>456600</v>
      </c>
      <c r="G101" s="14">
        <v>555750</v>
      </c>
      <c r="H101" s="14">
        <v>336000</v>
      </c>
      <c r="I101" s="14">
        <v>414000</v>
      </c>
      <c r="J101" s="14">
        <v>11900</v>
      </c>
      <c r="K101" s="14">
        <v>15440</v>
      </c>
      <c r="N101" s="42">
        <f t="shared" si="18"/>
        <v>174000</v>
      </c>
      <c r="O101" s="43">
        <f t="shared" si="19"/>
        <v>0.17846153846153845</v>
      </c>
    </row>
    <row r="102" spans="1:15" x14ac:dyDescent="0.45">
      <c r="A102" s="12" t="s">
        <v>5928</v>
      </c>
      <c r="B102" s="14">
        <v>829000</v>
      </c>
      <c r="C102" s="14">
        <v>995000</v>
      </c>
      <c r="D102" s="14">
        <v>609400</v>
      </c>
      <c r="E102" s="14">
        <v>731325</v>
      </c>
      <c r="F102" s="14">
        <v>472600</v>
      </c>
      <c r="G102" s="14">
        <v>567150</v>
      </c>
      <c r="H102" s="14">
        <v>342000</v>
      </c>
      <c r="I102" s="14">
        <v>422000</v>
      </c>
      <c r="J102" s="14">
        <v>12310</v>
      </c>
      <c r="K102" s="14">
        <v>15960</v>
      </c>
      <c r="N102" s="42">
        <f t="shared" si="18"/>
        <v>166000</v>
      </c>
      <c r="O102" s="43">
        <f t="shared" si="19"/>
        <v>0.16683417085427135</v>
      </c>
    </row>
    <row r="103" spans="1:15" x14ac:dyDescent="0.45">
      <c r="A103" s="12" t="s">
        <v>5953</v>
      </c>
      <c r="B103" s="14">
        <v>828000</v>
      </c>
      <c r="C103" s="14">
        <v>1001000</v>
      </c>
      <c r="D103" s="14">
        <v>608600</v>
      </c>
      <c r="E103" s="14">
        <v>735735</v>
      </c>
      <c r="F103" s="14">
        <v>472000</v>
      </c>
      <c r="G103" s="14">
        <v>570570</v>
      </c>
      <c r="H103" s="14">
        <v>333000</v>
      </c>
      <c r="I103" s="14">
        <v>410000</v>
      </c>
      <c r="J103" s="14">
        <v>12080</v>
      </c>
      <c r="K103" s="14">
        <v>15680</v>
      </c>
      <c r="N103" s="42">
        <f t="shared" si="18"/>
        <v>173000</v>
      </c>
      <c r="O103" s="43">
        <f t="shared" si="19"/>
        <v>0.17282717282717283</v>
      </c>
    </row>
    <row r="104" spans="1:15" x14ac:dyDescent="0.45">
      <c r="A104" s="12" t="s">
        <v>6002</v>
      </c>
      <c r="B104" s="14">
        <v>866000</v>
      </c>
      <c r="C104" s="14">
        <v>1048000</v>
      </c>
      <c r="D104" s="14">
        <v>636600</v>
      </c>
      <c r="E104" s="14">
        <v>770280</v>
      </c>
      <c r="F104" s="14">
        <v>493700</v>
      </c>
      <c r="G104" s="14">
        <v>597360</v>
      </c>
      <c r="H104" s="14">
        <v>357000</v>
      </c>
      <c r="I104" s="14">
        <v>440000</v>
      </c>
      <c r="J104" s="14">
        <v>13290</v>
      </c>
      <c r="K104" s="14">
        <v>17480</v>
      </c>
      <c r="N104" s="42">
        <f t="shared" si="18"/>
        <v>182000</v>
      </c>
      <c r="O104" s="43">
        <f t="shared" si="19"/>
        <v>0.17366412213740459</v>
      </c>
    </row>
    <row r="105" spans="1:15" x14ac:dyDescent="0.45">
      <c r="A105" s="12" t="s">
        <v>6030</v>
      </c>
      <c r="B105" s="14">
        <v>866000</v>
      </c>
      <c r="C105" s="14">
        <v>1056000</v>
      </c>
      <c r="D105" s="14">
        <v>636600</v>
      </c>
      <c r="E105" s="14">
        <v>776160</v>
      </c>
      <c r="F105" s="14">
        <v>493700</v>
      </c>
      <c r="G105" s="14">
        <v>601920</v>
      </c>
      <c r="H105" s="14">
        <v>363000</v>
      </c>
      <c r="I105" s="14">
        <v>447000</v>
      </c>
      <c r="J105" s="14">
        <v>13610</v>
      </c>
      <c r="K105" s="14">
        <v>18220</v>
      </c>
      <c r="N105" s="42">
        <f t="shared" si="18"/>
        <v>190000</v>
      </c>
      <c r="O105" s="43">
        <f t="shared" si="19"/>
        <v>0.17992424242424243</v>
      </c>
    </row>
    <row r="106" spans="1:15" x14ac:dyDescent="0.45">
      <c r="A106" s="12" t="s">
        <v>6077</v>
      </c>
      <c r="B106" s="14">
        <v>863000</v>
      </c>
      <c r="C106" s="14">
        <v>1058000</v>
      </c>
      <c r="D106" s="14">
        <v>634400</v>
      </c>
      <c r="E106" s="14">
        <v>777630</v>
      </c>
      <c r="F106" s="14">
        <v>492000</v>
      </c>
      <c r="G106" s="14">
        <v>603060</v>
      </c>
      <c r="H106" s="14">
        <v>348000</v>
      </c>
      <c r="I106" s="14">
        <v>429000</v>
      </c>
      <c r="J106" s="14">
        <v>13660</v>
      </c>
      <c r="K106" s="14">
        <v>18760</v>
      </c>
      <c r="N106" s="42">
        <f t="shared" si="18"/>
        <v>195000</v>
      </c>
      <c r="O106" s="43">
        <f t="shared" si="19"/>
        <v>0.18431001890359169</v>
      </c>
    </row>
    <row r="107" spans="1:15" x14ac:dyDescent="0.45">
      <c r="A107" s="12" t="s">
        <v>30352</v>
      </c>
      <c r="B107" s="14">
        <v>867000</v>
      </c>
      <c r="C107" s="14">
        <v>1062000</v>
      </c>
      <c r="D107" s="14">
        <v>637300</v>
      </c>
      <c r="E107" s="14">
        <v>780570</v>
      </c>
      <c r="F107" s="14">
        <v>494200</v>
      </c>
      <c r="G107" s="14">
        <v>605340</v>
      </c>
      <c r="H107" s="14">
        <v>346000</v>
      </c>
      <c r="I107" s="14">
        <v>426000</v>
      </c>
      <c r="J107" s="14">
        <v>13590</v>
      </c>
      <c r="K107" s="14">
        <v>18520</v>
      </c>
      <c r="N107" s="42">
        <f t="shared" si="18"/>
        <v>195000</v>
      </c>
      <c r="O107" s="43">
        <f t="shared" si="19"/>
        <v>0.18361581920903955</v>
      </c>
    </row>
    <row r="108" spans="1:15" x14ac:dyDescent="0.45">
      <c r="A108" s="12" t="s">
        <v>6120</v>
      </c>
      <c r="B108" s="14">
        <v>873000</v>
      </c>
      <c r="C108" s="14">
        <v>1072000</v>
      </c>
      <c r="D108" s="14">
        <v>641700</v>
      </c>
      <c r="E108" s="14">
        <v>787920</v>
      </c>
      <c r="F108" s="14">
        <v>497700</v>
      </c>
      <c r="G108" s="14">
        <v>611040</v>
      </c>
      <c r="H108" s="14">
        <v>364000</v>
      </c>
      <c r="I108" s="14">
        <v>449000</v>
      </c>
      <c r="J108" s="14">
        <v>14190</v>
      </c>
      <c r="K108" s="14">
        <v>19330</v>
      </c>
      <c r="N108" s="42">
        <f t="shared" si="18"/>
        <v>199000</v>
      </c>
      <c r="O108" s="43">
        <f t="shared" si="19"/>
        <v>0.18563432835820895</v>
      </c>
    </row>
    <row r="109" spans="1:15" x14ac:dyDescent="0.45">
      <c r="A109" s="12" t="s">
        <v>6149</v>
      </c>
      <c r="B109" s="14">
        <v>880000</v>
      </c>
      <c r="C109" s="14">
        <v>1079000</v>
      </c>
      <c r="D109" s="14">
        <v>646800</v>
      </c>
      <c r="E109" s="14">
        <v>793065</v>
      </c>
      <c r="F109" s="14">
        <v>501600</v>
      </c>
      <c r="G109" s="14">
        <v>615030</v>
      </c>
      <c r="H109" s="14">
        <v>367000</v>
      </c>
      <c r="I109" s="14">
        <v>452000</v>
      </c>
      <c r="J109" s="14">
        <v>14380</v>
      </c>
      <c r="K109" s="14">
        <v>19940</v>
      </c>
      <c r="N109" s="42">
        <f t="shared" ref="N109:N172" si="20">C109-B109</f>
        <v>199000</v>
      </c>
      <c r="O109" s="43">
        <f t="shared" ref="O109:O172" si="21">N109/C109</f>
        <v>0.18443002780352177</v>
      </c>
    </row>
    <row r="110" spans="1:15" x14ac:dyDescent="0.45">
      <c r="A110" s="12" t="s">
        <v>6184</v>
      </c>
      <c r="B110" s="14">
        <v>883000</v>
      </c>
      <c r="C110" s="14">
        <v>1073000</v>
      </c>
      <c r="D110" s="14">
        <v>649100</v>
      </c>
      <c r="E110" s="14">
        <v>788655</v>
      </c>
      <c r="F110" s="14">
        <v>503400</v>
      </c>
      <c r="G110" s="14">
        <v>611610</v>
      </c>
      <c r="H110" s="14">
        <v>364000</v>
      </c>
      <c r="I110" s="14">
        <v>449000</v>
      </c>
      <c r="J110" s="14">
        <v>14420</v>
      </c>
      <c r="K110" s="14">
        <v>20500</v>
      </c>
      <c r="N110" s="42">
        <f t="shared" si="20"/>
        <v>190000</v>
      </c>
      <c r="O110" s="43">
        <f t="shared" si="21"/>
        <v>0.17707362534948742</v>
      </c>
    </row>
    <row r="111" spans="1:15" x14ac:dyDescent="0.45">
      <c r="A111" s="12" t="s">
        <v>6241</v>
      </c>
      <c r="B111" s="14">
        <v>885000</v>
      </c>
      <c r="C111" s="14">
        <v>1073000</v>
      </c>
      <c r="D111" s="14">
        <v>650500</v>
      </c>
      <c r="E111" s="14">
        <v>788655</v>
      </c>
      <c r="F111" s="14">
        <v>504500</v>
      </c>
      <c r="G111" s="14">
        <v>611610</v>
      </c>
      <c r="H111" s="14">
        <v>369000</v>
      </c>
      <c r="I111" s="14">
        <v>454000</v>
      </c>
      <c r="J111" s="14">
        <v>14780</v>
      </c>
      <c r="K111" s="14">
        <v>21350</v>
      </c>
      <c r="N111" s="42">
        <f t="shared" si="20"/>
        <v>188000</v>
      </c>
      <c r="O111" s="43">
        <f t="shared" si="21"/>
        <v>0.17520969245107176</v>
      </c>
    </row>
    <row r="112" spans="1:15" x14ac:dyDescent="0.45">
      <c r="A112" s="12" t="s">
        <v>6270</v>
      </c>
      <c r="B112" s="14">
        <v>878000</v>
      </c>
      <c r="C112" s="14">
        <v>1077000</v>
      </c>
      <c r="D112" s="14">
        <v>645400</v>
      </c>
      <c r="E112" s="14">
        <v>791595</v>
      </c>
      <c r="F112" s="14">
        <v>500500</v>
      </c>
      <c r="G112" s="14">
        <v>613890</v>
      </c>
      <c r="H112" s="14">
        <v>363000</v>
      </c>
      <c r="I112" s="14">
        <v>447000</v>
      </c>
      <c r="J112" s="14">
        <v>14220</v>
      </c>
      <c r="K112" s="14">
        <v>20710</v>
      </c>
      <c r="N112" s="42">
        <f t="shared" si="20"/>
        <v>199000</v>
      </c>
      <c r="O112" s="43">
        <f t="shared" si="21"/>
        <v>0.18477251624883936</v>
      </c>
    </row>
    <row r="113" spans="1:15" x14ac:dyDescent="0.45">
      <c r="A113" s="12" t="s">
        <v>30353</v>
      </c>
      <c r="B113" s="14">
        <v>881000</v>
      </c>
      <c r="C113" s="14">
        <v>1080000</v>
      </c>
      <c r="D113" s="14">
        <v>647600</v>
      </c>
      <c r="E113" s="14">
        <v>793800</v>
      </c>
      <c r="F113" s="14">
        <v>502200</v>
      </c>
      <c r="G113" s="14">
        <v>615600</v>
      </c>
      <c r="H113" s="14">
        <v>361000</v>
      </c>
      <c r="I113" s="14">
        <v>444000</v>
      </c>
      <c r="J113" s="14">
        <v>14060</v>
      </c>
      <c r="K113" s="14">
        <v>21310</v>
      </c>
      <c r="N113" s="42">
        <f t="shared" si="20"/>
        <v>199000</v>
      </c>
      <c r="O113" s="43">
        <f t="shared" si="21"/>
        <v>0.18425925925925926</v>
      </c>
    </row>
    <row r="114" spans="1:15" x14ac:dyDescent="0.45">
      <c r="A114" s="12" t="s">
        <v>6289</v>
      </c>
      <c r="B114" s="14">
        <v>873000</v>
      </c>
      <c r="C114" s="14">
        <v>1060000</v>
      </c>
      <c r="D114" s="14">
        <v>641700</v>
      </c>
      <c r="E114" s="14">
        <v>779100</v>
      </c>
      <c r="F114" s="14">
        <v>497700</v>
      </c>
      <c r="G114" s="14">
        <v>604200</v>
      </c>
      <c r="H114" s="14">
        <v>361000</v>
      </c>
      <c r="I114" s="14">
        <v>445000</v>
      </c>
      <c r="J114" s="14">
        <v>13970</v>
      </c>
      <c r="K114" s="14">
        <v>21180</v>
      </c>
      <c r="N114" s="42">
        <f t="shared" si="20"/>
        <v>187000</v>
      </c>
      <c r="O114" s="43">
        <f t="shared" si="21"/>
        <v>0.17641509433962263</v>
      </c>
    </row>
    <row r="115" spans="1:15" x14ac:dyDescent="0.45">
      <c r="A115" s="12" t="s">
        <v>6340</v>
      </c>
      <c r="B115" s="14">
        <v>876000</v>
      </c>
      <c r="C115" s="14">
        <v>1066000</v>
      </c>
      <c r="D115" s="14">
        <v>643900</v>
      </c>
      <c r="E115" s="14">
        <v>783510</v>
      </c>
      <c r="F115" s="14">
        <v>499400</v>
      </c>
      <c r="G115" s="14">
        <v>607620</v>
      </c>
      <c r="H115" s="14">
        <v>360000</v>
      </c>
      <c r="I115" s="14">
        <v>443000</v>
      </c>
      <c r="J115" s="14">
        <v>13780</v>
      </c>
      <c r="K115" s="14">
        <v>21220</v>
      </c>
      <c r="N115" s="42">
        <f t="shared" si="20"/>
        <v>190000</v>
      </c>
      <c r="O115" s="43">
        <f t="shared" si="21"/>
        <v>0.17823639774859287</v>
      </c>
    </row>
    <row r="116" spans="1:15" x14ac:dyDescent="0.45">
      <c r="A116" s="12" t="s">
        <v>6379</v>
      </c>
      <c r="B116" s="14">
        <v>877000</v>
      </c>
      <c r="C116" s="14">
        <v>1076000</v>
      </c>
      <c r="D116" s="14">
        <v>644600</v>
      </c>
      <c r="E116" s="14">
        <v>790860</v>
      </c>
      <c r="F116" s="14">
        <v>499900</v>
      </c>
      <c r="G116" s="14">
        <v>613320</v>
      </c>
      <c r="H116" s="14">
        <v>358000</v>
      </c>
      <c r="I116" s="14">
        <v>441000</v>
      </c>
      <c r="J116" s="14">
        <v>14090</v>
      </c>
      <c r="K116" s="14">
        <v>22190</v>
      </c>
      <c r="N116" s="42">
        <f t="shared" si="20"/>
        <v>199000</v>
      </c>
      <c r="O116" s="43">
        <f t="shared" si="21"/>
        <v>0.18494423791821563</v>
      </c>
    </row>
    <row r="117" spans="1:15" x14ac:dyDescent="0.45">
      <c r="A117" s="12" t="s">
        <v>6445</v>
      </c>
      <c r="B117" s="14">
        <v>896000</v>
      </c>
      <c r="C117" s="14">
        <v>1104000</v>
      </c>
      <c r="D117" s="14">
        <v>658600</v>
      </c>
      <c r="E117" s="14">
        <v>811440</v>
      </c>
      <c r="F117" s="14">
        <v>510800</v>
      </c>
      <c r="G117" s="14">
        <v>629280</v>
      </c>
      <c r="H117" s="14">
        <v>371000</v>
      </c>
      <c r="I117" s="14">
        <v>457000</v>
      </c>
      <c r="J117" s="14">
        <v>14440</v>
      </c>
      <c r="K117" s="14">
        <v>23250</v>
      </c>
      <c r="N117" s="42">
        <f t="shared" si="20"/>
        <v>208000</v>
      </c>
      <c r="O117" s="43">
        <f t="shared" si="21"/>
        <v>0.18840579710144928</v>
      </c>
    </row>
    <row r="118" spans="1:15" x14ac:dyDescent="0.45">
      <c r="A118" s="12" t="s">
        <v>30354</v>
      </c>
      <c r="B118" s="14">
        <v>887000</v>
      </c>
      <c r="C118" s="14">
        <v>1100000</v>
      </c>
      <c r="D118" s="14">
        <v>652000</v>
      </c>
      <c r="E118" s="14">
        <v>808500</v>
      </c>
      <c r="F118" s="14">
        <v>505600</v>
      </c>
      <c r="G118" s="14">
        <v>627000</v>
      </c>
      <c r="H118" s="14">
        <v>395000</v>
      </c>
      <c r="I118" s="14">
        <v>487000</v>
      </c>
      <c r="J118" s="14">
        <v>15520</v>
      </c>
      <c r="K118" s="14">
        <v>25730</v>
      </c>
      <c r="N118" s="42">
        <f t="shared" si="20"/>
        <v>213000</v>
      </c>
      <c r="O118" s="43">
        <f t="shared" si="21"/>
        <v>0.19363636363636363</v>
      </c>
    </row>
    <row r="119" spans="1:15" x14ac:dyDescent="0.45">
      <c r="A119" s="12" t="s">
        <v>30355</v>
      </c>
      <c r="B119" s="14">
        <v>870000</v>
      </c>
      <c r="C119" s="14">
        <v>1063000</v>
      </c>
      <c r="D119" s="14">
        <v>639500</v>
      </c>
      <c r="E119" s="14">
        <v>781305</v>
      </c>
      <c r="F119" s="14">
        <v>495900</v>
      </c>
      <c r="G119" s="14">
        <v>605910</v>
      </c>
      <c r="H119" s="14">
        <v>370000</v>
      </c>
      <c r="I119" s="14">
        <v>477000</v>
      </c>
      <c r="J119" s="14">
        <v>14940</v>
      </c>
      <c r="K119" s="14">
        <v>24770</v>
      </c>
      <c r="N119" s="42">
        <f t="shared" si="20"/>
        <v>193000</v>
      </c>
      <c r="O119" s="43">
        <f t="shared" si="21"/>
        <v>0.18156161806208843</v>
      </c>
    </row>
    <row r="120" spans="1:15" x14ac:dyDescent="0.45">
      <c r="A120" s="12" t="s">
        <v>6494</v>
      </c>
      <c r="B120" s="14">
        <v>862000</v>
      </c>
      <c r="C120" s="14">
        <v>1052000</v>
      </c>
      <c r="D120" s="14">
        <v>633600</v>
      </c>
      <c r="E120" s="14">
        <v>773220</v>
      </c>
      <c r="F120" s="14">
        <v>491400</v>
      </c>
      <c r="G120" s="14">
        <v>599640</v>
      </c>
      <c r="H120" s="14">
        <v>393000</v>
      </c>
      <c r="I120" s="14">
        <v>483000</v>
      </c>
      <c r="J120" s="14">
        <v>14570</v>
      </c>
      <c r="K120" s="14">
        <v>24160</v>
      </c>
      <c r="N120" s="42">
        <f t="shared" si="20"/>
        <v>190000</v>
      </c>
      <c r="O120" s="43">
        <f t="shared" si="21"/>
        <v>0.1806083650190114</v>
      </c>
    </row>
    <row r="121" spans="1:15" x14ac:dyDescent="0.45">
      <c r="A121" s="12" t="s">
        <v>6601</v>
      </c>
      <c r="B121" s="14">
        <v>861000</v>
      </c>
      <c r="C121" s="14">
        <v>1041000</v>
      </c>
      <c r="D121" s="14">
        <v>632900</v>
      </c>
      <c r="E121" s="14">
        <v>765135</v>
      </c>
      <c r="F121" s="14">
        <v>490800</v>
      </c>
      <c r="G121" s="14">
        <v>593370</v>
      </c>
      <c r="H121" s="14">
        <v>373000</v>
      </c>
      <c r="I121" s="14">
        <v>459000</v>
      </c>
      <c r="J121" s="14">
        <v>14270</v>
      </c>
      <c r="K121" s="14">
        <v>23650</v>
      </c>
      <c r="N121" s="42">
        <f t="shared" si="20"/>
        <v>180000</v>
      </c>
      <c r="O121" s="43">
        <f t="shared" si="21"/>
        <v>0.1729106628242075</v>
      </c>
    </row>
    <row r="122" spans="1:15" x14ac:dyDescent="0.45">
      <c r="A122" s="12" t="s">
        <v>6650</v>
      </c>
      <c r="B122" s="14">
        <v>861000</v>
      </c>
      <c r="C122" s="14">
        <v>1049000</v>
      </c>
      <c r="D122" s="14">
        <v>632900</v>
      </c>
      <c r="E122" s="14">
        <v>771015</v>
      </c>
      <c r="F122" s="14">
        <v>490800</v>
      </c>
      <c r="G122" s="14">
        <v>597930</v>
      </c>
      <c r="H122" s="14">
        <v>365000</v>
      </c>
      <c r="I122" s="14">
        <v>450000</v>
      </c>
      <c r="J122" s="14">
        <v>14430</v>
      </c>
      <c r="K122" s="14">
        <v>23930</v>
      </c>
      <c r="N122" s="42">
        <f t="shared" si="20"/>
        <v>188000</v>
      </c>
      <c r="O122" s="43">
        <f t="shared" si="21"/>
        <v>0.17921830314585319</v>
      </c>
    </row>
    <row r="123" spans="1:15" x14ac:dyDescent="0.45">
      <c r="A123" s="12" t="s">
        <v>6697</v>
      </c>
      <c r="B123" s="14">
        <v>861000</v>
      </c>
      <c r="C123" s="14">
        <v>1054000</v>
      </c>
      <c r="D123" s="14">
        <v>632900</v>
      </c>
      <c r="E123" s="14">
        <v>774690</v>
      </c>
      <c r="F123" s="14">
        <v>490800</v>
      </c>
      <c r="G123" s="14">
        <v>600780</v>
      </c>
      <c r="H123" s="14">
        <v>355000</v>
      </c>
      <c r="I123" s="14">
        <v>437000</v>
      </c>
      <c r="J123" s="14">
        <v>14340</v>
      </c>
      <c r="K123" s="14">
        <v>23770</v>
      </c>
      <c r="N123" s="42">
        <f t="shared" si="20"/>
        <v>193000</v>
      </c>
      <c r="O123" s="43">
        <f t="shared" si="21"/>
        <v>0.18311195445920303</v>
      </c>
    </row>
    <row r="124" spans="1:15" x14ac:dyDescent="0.45">
      <c r="A124" s="12" t="s">
        <v>6757</v>
      </c>
      <c r="B124" s="14">
        <v>869000</v>
      </c>
      <c r="C124" s="14">
        <v>1042000</v>
      </c>
      <c r="D124" s="14">
        <v>638800</v>
      </c>
      <c r="E124" s="14">
        <v>765870</v>
      </c>
      <c r="F124" s="14">
        <v>495400</v>
      </c>
      <c r="G124" s="14">
        <v>593940</v>
      </c>
      <c r="H124" s="14">
        <v>351000</v>
      </c>
      <c r="I124" s="14">
        <v>433000</v>
      </c>
      <c r="J124" s="14">
        <v>13830</v>
      </c>
      <c r="K124" s="14">
        <v>22930</v>
      </c>
      <c r="N124" s="42">
        <f t="shared" si="20"/>
        <v>173000</v>
      </c>
      <c r="O124" s="43">
        <f t="shared" si="21"/>
        <v>0.16602687140115163</v>
      </c>
    </row>
    <row r="125" spans="1:15" x14ac:dyDescent="0.45">
      <c r="A125" s="12" t="s">
        <v>30356</v>
      </c>
      <c r="B125" s="14">
        <v>863000</v>
      </c>
      <c r="C125" s="14">
        <v>1040000</v>
      </c>
      <c r="D125" s="14">
        <v>634400</v>
      </c>
      <c r="E125" s="14">
        <v>764400</v>
      </c>
      <c r="F125" s="14">
        <v>492000</v>
      </c>
      <c r="G125" s="14">
        <v>592800</v>
      </c>
      <c r="H125" s="14">
        <v>355000</v>
      </c>
      <c r="I125" s="14">
        <v>437000</v>
      </c>
      <c r="J125" s="14">
        <v>13760</v>
      </c>
      <c r="K125" s="14">
        <v>22820</v>
      </c>
      <c r="N125" s="42">
        <f t="shared" si="20"/>
        <v>177000</v>
      </c>
      <c r="O125" s="43">
        <f t="shared" si="21"/>
        <v>0.1701923076923077</v>
      </c>
    </row>
    <row r="126" spans="1:15" x14ac:dyDescent="0.45">
      <c r="A126" s="12" t="s">
        <v>6850</v>
      </c>
      <c r="B126" s="14">
        <v>856000</v>
      </c>
      <c r="C126" s="14">
        <v>1027000</v>
      </c>
      <c r="D126" s="14">
        <v>629200</v>
      </c>
      <c r="E126" s="14">
        <v>754845</v>
      </c>
      <c r="F126" s="14">
        <v>488000</v>
      </c>
      <c r="G126" s="14">
        <v>585390</v>
      </c>
      <c r="H126" s="14">
        <v>347000</v>
      </c>
      <c r="I126" s="14">
        <v>428000</v>
      </c>
      <c r="J126" s="14">
        <v>13010</v>
      </c>
      <c r="K126" s="14">
        <v>21570</v>
      </c>
      <c r="N126" s="42">
        <f t="shared" si="20"/>
        <v>171000</v>
      </c>
      <c r="O126" s="43">
        <f t="shared" si="21"/>
        <v>0.1665043816942551</v>
      </c>
    </row>
    <row r="127" spans="1:15" x14ac:dyDescent="0.45">
      <c r="A127" s="12" t="s">
        <v>6907</v>
      </c>
      <c r="B127" s="14">
        <v>855000</v>
      </c>
      <c r="C127" s="14">
        <v>1021000</v>
      </c>
      <c r="D127" s="14">
        <v>628500</v>
      </c>
      <c r="E127" s="14">
        <v>750435</v>
      </c>
      <c r="F127" s="14">
        <v>487400</v>
      </c>
      <c r="G127" s="14">
        <v>581970</v>
      </c>
      <c r="H127" s="14">
        <v>342000</v>
      </c>
      <c r="I127" s="14">
        <v>421000</v>
      </c>
      <c r="J127" s="14">
        <v>12710</v>
      </c>
      <c r="K127" s="14">
        <v>21070</v>
      </c>
      <c r="N127" s="42">
        <f t="shared" si="20"/>
        <v>166000</v>
      </c>
      <c r="O127" s="43">
        <f t="shared" si="21"/>
        <v>0.16258570029382957</v>
      </c>
    </row>
    <row r="128" spans="1:15" x14ac:dyDescent="0.45">
      <c r="A128" s="12" t="s">
        <v>30357</v>
      </c>
      <c r="B128" s="14">
        <v>829000</v>
      </c>
      <c r="C128" s="14">
        <v>1005000</v>
      </c>
      <c r="D128" s="14">
        <v>609400</v>
      </c>
      <c r="E128" s="14">
        <v>738675</v>
      </c>
      <c r="F128" s="14">
        <v>472600</v>
      </c>
      <c r="G128" s="14">
        <v>572850</v>
      </c>
      <c r="H128" s="14">
        <v>338000</v>
      </c>
      <c r="I128" s="14">
        <v>416000</v>
      </c>
      <c r="J128" s="14">
        <v>12290</v>
      </c>
      <c r="K128" s="14">
        <v>20380</v>
      </c>
      <c r="N128" s="42">
        <f t="shared" si="20"/>
        <v>176000</v>
      </c>
      <c r="O128" s="43">
        <f t="shared" si="21"/>
        <v>0.17512437810945275</v>
      </c>
    </row>
    <row r="129" spans="1:15" x14ac:dyDescent="0.45">
      <c r="A129" s="12" t="s">
        <v>30358</v>
      </c>
      <c r="B129" s="14">
        <v>840000</v>
      </c>
      <c r="C129" s="14">
        <v>1011000</v>
      </c>
      <c r="D129" s="14">
        <v>617400</v>
      </c>
      <c r="E129" s="14">
        <v>743085</v>
      </c>
      <c r="F129" s="14">
        <v>478800</v>
      </c>
      <c r="G129" s="14">
        <v>576270</v>
      </c>
      <c r="H129" s="14">
        <v>332000</v>
      </c>
      <c r="I129" s="14">
        <v>409000</v>
      </c>
      <c r="J129" s="14">
        <v>12230</v>
      </c>
      <c r="K129" s="14">
        <v>20290</v>
      </c>
      <c r="N129" s="42">
        <f t="shared" si="20"/>
        <v>171000</v>
      </c>
      <c r="O129" s="43">
        <f t="shared" si="21"/>
        <v>0.16913946587537093</v>
      </c>
    </row>
    <row r="130" spans="1:15" x14ac:dyDescent="0.45">
      <c r="A130" s="12" t="s">
        <v>30359</v>
      </c>
      <c r="B130" s="14">
        <v>844000</v>
      </c>
      <c r="C130" s="14">
        <v>1020000</v>
      </c>
      <c r="D130" s="14">
        <v>620400</v>
      </c>
      <c r="E130" s="14">
        <v>749700</v>
      </c>
      <c r="F130" s="14">
        <v>481100</v>
      </c>
      <c r="G130" s="14">
        <v>581400</v>
      </c>
      <c r="H130" s="14">
        <v>337000</v>
      </c>
      <c r="I130" s="14">
        <v>415000</v>
      </c>
      <c r="J130" s="14">
        <v>12410</v>
      </c>
      <c r="K130" s="14">
        <v>20590</v>
      </c>
      <c r="N130" s="42">
        <f t="shared" si="20"/>
        <v>176000</v>
      </c>
      <c r="O130" s="43">
        <f t="shared" si="21"/>
        <v>0.17254901960784313</v>
      </c>
    </row>
    <row r="131" spans="1:15" x14ac:dyDescent="0.45">
      <c r="A131" s="12" t="s">
        <v>30360</v>
      </c>
      <c r="B131" s="14">
        <v>844000</v>
      </c>
      <c r="C131" s="14">
        <v>1024000</v>
      </c>
      <c r="D131" s="14">
        <v>620400</v>
      </c>
      <c r="E131" s="14">
        <v>752640</v>
      </c>
      <c r="F131" s="14">
        <v>481100</v>
      </c>
      <c r="G131" s="14">
        <v>583680</v>
      </c>
      <c r="H131" s="14">
        <v>338000</v>
      </c>
      <c r="I131" s="14">
        <v>417000</v>
      </c>
      <c r="J131" s="14">
        <v>12540</v>
      </c>
      <c r="K131" s="14">
        <v>20790</v>
      </c>
      <c r="N131" s="42">
        <f t="shared" si="20"/>
        <v>180000</v>
      </c>
      <c r="O131" s="43">
        <f t="shared" si="21"/>
        <v>0.17578125</v>
      </c>
    </row>
    <row r="132" spans="1:15" x14ac:dyDescent="0.45">
      <c r="A132" s="12" t="s">
        <v>6993</v>
      </c>
      <c r="B132" s="14">
        <v>841000</v>
      </c>
      <c r="C132" s="14">
        <v>1014000</v>
      </c>
      <c r="D132" s="14">
        <v>618200</v>
      </c>
      <c r="E132" s="14">
        <v>745290</v>
      </c>
      <c r="F132" s="14">
        <v>479400</v>
      </c>
      <c r="G132" s="14">
        <v>577980</v>
      </c>
      <c r="H132" s="14">
        <v>333000</v>
      </c>
      <c r="I132" s="14">
        <v>411000</v>
      </c>
      <c r="J132" s="14">
        <v>12520</v>
      </c>
      <c r="K132" s="14">
        <v>20760</v>
      </c>
      <c r="N132" s="42">
        <f t="shared" si="20"/>
        <v>173000</v>
      </c>
      <c r="O132" s="43">
        <f t="shared" si="21"/>
        <v>0.17061143984220908</v>
      </c>
    </row>
    <row r="133" spans="1:15" x14ac:dyDescent="0.45">
      <c r="A133" s="12" t="s">
        <v>7132</v>
      </c>
      <c r="B133" s="14">
        <v>857000</v>
      </c>
      <c r="C133" s="14">
        <v>1033000</v>
      </c>
      <c r="D133" s="14">
        <v>629900</v>
      </c>
      <c r="E133" s="14">
        <v>759255</v>
      </c>
      <c r="F133" s="14">
        <v>488500</v>
      </c>
      <c r="G133" s="14">
        <v>588810</v>
      </c>
      <c r="H133" s="14">
        <v>348000</v>
      </c>
      <c r="I133" s="14">
        <v>429000</v>
      </c>
      <c r="J133" s="14">
        <v>13380</v>
      </c>
      <c r="K133" s="14">
        <v>22180</v>
      </c>
      <c r="N133" s="42">
        <f t="shared" si="20"/>
        <v>176000</v>
      </c>
      <c r="O133" s="43">
        <f t="shared" si="21"/>
        <v>0.17037754114230397</v>
      </c>
    </row>
    <row r="134" spans="1:15" x14ac:dyDescent="0.45">
      <c r="A134" s="12" t="s">
        <v>7311</v>
      </c>
      <c r="B134" s="14">
        <v>857000</v>
      </c>
      <c r="C134" s="14">
        <v>1037000</v>
      </c>
      <c r="D134" s="14">
        <v>629900</v>
      </c>
      <c r="E134" s="14">
        <v>762195</v>
      </c>
      <c r="F134" s="14">
        <v>488500</v>
      </c>
      <c r="G134" s="14">
        <v>591090</v>
      </c>
      <c r="H134" s="14">
        <v>355000</v>
      </c>
      <c r="I134" s="14">
        <v>437000</v>
      </c>
      <c r="J134" s="14">
        <v>13530</v>
      </c>
      <c r="K134" s="14">
        <v>22430</v>
      </c>
      <c r="N134" s="42">
        <f t="shared" si="20"/>
        <v>180000</v>
      </c>
      <c r="O134" s="43">
        <f t="shared" si="21"/>
        <v>0.17357762777242045</v>
      </c>
    </row>
    <row r="135" spans="1:15" x14ac:dyDescent="0.45">
      <c r="A135" s="12" t="s">
        <v>7515</v>
      </c>
      <c r="B135" s="14">
        <v>860000</v>
      </c>
      <c r="C135" s="14">
        <v>1036000</v>
      </c>
      <c r="D135" s="14">
        <v>632100</v>
      </c>
      <c r="E135" s="14">
        <v>761460</v>
      </c>
      <c r="F135" s="14">
        <v>490200</v>
      </c>
      <c r="G135" s="14">
        <v>590520</v>
      </c>
      <c r="H135" s="14">
        <v>351000</v>
      </c>
      <c r="I135" s="14">
        <v>433000</v>
      </c>
      <c r="J135" s="14">
        <v>13480</v>
      </c>
      <c r="K135" s="14">
        <v>22350</v>
      </c>
      <c r="N135" s="42">
        <f t="shared" si="20"/>
        <v>176000</v>
      </c>
      <c r="O135" s="43">
        <f t="shared" si="21"/>
        <v>0.16988416988416988</v>
      </c>
    </row>
    <row r="136" spans="1:15" x14ac:dyDescent="0.45">
      <c r="A136" s="12" t="s">
        <v>7696</v>
      </c>
      <c r="B136" s="14">
        <v>867000</v>
      </c>
      <c r="C136" s="14">
        <v>1037000</v>
      </c>
      <c r="D136" s="14">
        <v>637300</v>
      </c>
      <c r="E136" s="14">
        <v>762195</v>
      </c>
      <c r="F136" s="14">
        <v>494200</v>
      </c>
      <c r="G136" s="14">
        <v>591090</v>
      </c>
      <c r="H136" s="14">
        <v>349000</v>
      </c>
      <c r="I136" s="14">
        <v>430000</v>
      </c>
      <c r="J136" s="14">
        <v>13400</v>
      </c>
      <c r="K136" s="14">
        <v>22210</v>
      </c>
      <c r="N136" s="42">
        <f t="shared" si="20"/>
        <v>170000</v>
      </c>
      <c r="O136" s="43">
        <f t="shared" si="21"/>
        <v>0.16393442622950818</v>
      </c>
    </row>
    <row r="137" spans="1:15" x14ac:dyDescent="0.45">
      <c r="A137" s="12" t="s">
        <v>30361</v>
      </c>
      <c r="B137" s="14">
        <v>847000</v>
      </c>
      <c r="C137" s="14">
        <v>1023000</v>
      </c>
      <c r="D137" s="14">
        <v>622600</v>
      </c>
      <c r="E137" s="14">
        <v>751905</v>
      </c>
      <c r="F137" s="14">
        <v>482800</v>
      </c>
      <c r="G137" s="14">
        <v>583110</v>
      </c>
      <c r="H137" s="14">
        <v>350000</v>
      </c>
      <c r="I137" s="14">
        <v>431000</v>
      </c>
      <c r="J137" s="14">
        <v>12830</v>
      </c>
      <c r="K137" s="14">
        <v>21280</v>
      </c>
      <c r="N137" s="42">
        <f t="shared" si="20"/>
        <v>176000</v>
      </c>
      <c r="O137" s="43">
        <f t="shared" si="21"/>
        <v>0.17204301075268819</v>
      </c>
    </row>
    <row r="138" spans="1:15" x14ac:dyDescent="0.45">
      <c r="A138" s="12" t="s">
        <v>7951</v>
      </c>
      <c r="B138" s="14">
        <v>837000</v>
      </c>
      <c r="C138" s="14">
        <v>1009000</v>
      </c>
      <c r="D138" s="14">
        <v>615200</v>
      </c>
      <c r="E138" s="14">
        <v>741615</v>
      </c>
      <c r="F138" s="14">
        <v>477100</v>
      </c>
      <c r="G138" s="14">
        <v>575130</v>
      </c>
      <c r="H138" s="14">
        <v>334000</v>
      </c>
      <c r="I138" s="14">
        <v>412000</v>
      </c>
      <c r="J138" s="14">
        <v>12330</v>
      </c>
      <c r="K138" s="14">
        <v>20440</v>
      </c>
      <c r="N138" s="42">
        <f t="shared" si="20"/>
        <v>172000</v>
      </c>
      <c r="O138" s="43">
        <f t="shared" si="21"/>
        <v>0.17046580773042616</v>
      </c>
    </row>
    <row r="139" spans="1:15" x14ac:dyDescent="0.45">
      <c r="A139" s="12" t="s">
        <v>8197</v>
      </c>
      <c r="B139" s="14">
        <v>837000</v>
      </c>
      <c r="C139" s="14">
        <v>1016000</v>
      </c>
      <c r="D139" s="14">
        <v>615200</v>
      </c>
      <c r="E139" s="14">
        <v>746760</v>
      </c>
      <c r="F139" s="14">
        <v>477100</v>
      </c>
      <c r="G139" s="14">
        <v>579120</v>
      </c>
      <c r="H139" s="14">
        <v>351000</v>
      </c>
      <c r="I139" s="14">
        <v>433000</v>
      </c>
      <c r="J139" s="14">
        <v>13070</v>
      </c>
      <c r="K139" s="14">
        <v>21670</v>
      </c>
      <c r="N139" s="42">
        <f t="shared" si="20"/>
        <v>179000</v>
      </c>
      <c r="O139" s="43">
        <f t="shared" si="21"/>
        <v>0.17618110236220472</v>
      </c>
    </row>
    <row r="140" spans="1:15" x14ac:dyDescent="0.45">
      <c r="A140" s="12" t="s">
        <v>8393</v>
      </c>
      <c r="B140" s="14">
        <v>872000</v>
      </c>
      <c r="C140" s="14">
        <v>1038000</v>
      </c>
      <c r="D140" s="14">
        <v>641000</v>
      </c>
      <c r="E140" s="14">
        <v>762930</v>
      </c>
      <c r="F140" s="14">
        <v>497100</v>
      </c>
      <c r="G140" s="14">
        <v>591660</v>
      </c>
      <c r="H140" s="14">
        <v>377000</v>
      </c>
      <c r="I140" s="14">
        <v>465000</v>
      </c>
      <c r="J140" s="14">
        <v>14370</v>
      </c>
      <c r="K140" s="14">
        <v>23830</v>
      </c>
      <c r="N140" s="42">
        <f t="shared" si="20"/>
        <v>166000</v>
      </c>
      <c r="O140" s="43">
        <f t="shared" si="21"/>
        <v>0.15992292870905589</v>
      </c>
    </row>
    <row r="141" spans="1:15" x14ac:dyDescent="0.45">
      <c r="A141" s="12" t="s">
        <v>8477</v>
      </c>
      <c r="B141" s="14">
        <v>842000</v>
      </c>
      <c r="C141" s="14">
        <v>1006000</v>
      </c>
      <c r="D141" s="14">
        <v>618900</v>
      </c>
      <c r="E141" s="14">
        <v>739410</v>
      </c>
      <c r="F141" s="14">
        <v>480000</v>
      </c>
      <c r="G141" s="14">
        <v>573420</v>
      </c>
      <c r="H141" s="14">
        <v>373000</v>
      </c>
      <c r="I141" s="14">
        <v>460000</v>
      </c>
      <c r="J141" s="14">
        <v>14260</v>
      </c>
      <c r="K141" s="14">
        <v>23640</v>
      </c>
      <c r="N141" s="42">
        <f t="shared" si="20"/>
        <v>164000</v>
      </c>
      <c r="O141" s="43">
        <f t="shared" si="21"/>
        <v>0.16302186878727634</v>
      </c>
    </row>
    <row r="142" spans="1:15" x14ac:dyDescent="0.45">
      <c r="A142" s="12" t="s">
        <v>8536</v>
      </c>
      <c r="B142" s="14">
        <v>780000</v>
      </c>
      <c r="C142" s="14">
        <v>943000</v>
      </c>
      <c r="D142" s="14">
        <v>573300</v>
      </c>
      <c r="E142" s="14">
        <v>693105</v>
      </c>
      <c r="F142" s="14">
        <v>444600</v>
      </c>
      <c r="G142" s="14">
        <v>537510</v>
      </c>
      <c r="H142" s="14">
        <v>329000</v>
      </c>
      <c r="I142" s="14">
        <v>406000</v>
      </c>
      <c r="J142" s="14">
        <v>12600</v>
      </c>
      <c r="K142" s="14">
        <v>21630</v>
      </c>
      <c r="N142" s="42">
        <f t="shared" si="20"/>
        <v>163000</v>
      </c>
      <c r="O142" s="43">
        <f t="shared" si="21"/>
        <v>0.1728525980911983</v>
      </c>
    </row>
    <row r="143" spans="1:15" x14ac:dyDescent="0.45">
      <c r="A143" s="12" t="s">
        <v>30362</v>
      </c>
      <c r="B143" s="14">
        <v>836000</v>
      </c>
      <c r="C143" s="14">
        <v>995000</v>
      </c>
      <c r="D143" s="14">
        <v>614500</v>
      </c>
      <c r="E143" s="14">
        <v>731325</v>
      </c>
      <c r="F143" s="14">
        <v>476600</v>
      </c>
      <c r="G143" s="14">
        <v>567150</v>
      </c>
      <c r="H143" s="14">
        <v>358000</v>
      </c>
      <c r="I143" s="14">
        <v>441000</v>
      </c>
      <c r="J143" s="14">
        <v>13830</v>
      </c>
      <c r="K143" s="14">
        <v>22110</v>
      </c>
      <c r="N143" s="42">
        <f t="shared" si="20"/>
        <v>159000</v>
      </c>
      <c r="O143" s="43">
        <f t="shared" si="21"/>
        <v>0.15979899497487438</v>
      </c>
    </row>
    <row r="144" spans="1:15" x14ac:dyDescent="0.45">
      <c r="A144" s="12" t="s">
        <v>8716</v>
      </c>
      <c r="B144" s="14">
        <v>864000</v>
      </c>
      <c r="C144" s="14">
        <v>1047000</v>
      </c>
      <c r="D144" s="14">
        <v>635100</v>
      </c>
      <c r="E144" s="14">
        <v>769545</v>
      </c>
      <c r="F144" s="14">
        <v>492500</v>
      </c>
      <c r="G144" s="14">
        <v>596790</v>
      </c>
      <c r="H144" s="14">
        <v>395000</v>
      </c>
      <c r="I144" s="14">
        <v>487000</v>
      </c>
      <c r="J144" s="14">
        <v>17100</v>
      </c>
      <c r="K144" s="14">
        <v>25930</v>
      </c>
      <c r="N144" s="42">
        <f t="shared" si="20"/>
        <v>183000</v>
      </c>
      <c r="O144" s="43">
        <f t="shared" si="21"/>
        <v>0.17478510028653296</v>
      </c>
    </row>
    <row r="145" spans="1:15" x14ac:dyDescent="0.45">
      <c r="A145" s="12" t="s">
        <v>8915</v>
      </c>
      <c r="B145" s="14">
        <v>934000</v>
      </c>
      <c r="C145" s="14">
        <v>1121000</v>
      </c>
      <c r="D145" s="14">
        <v>686500</v>
      </c>
      <c r="E145" s="14">
        <v>823935</v>
      </c>
      <c r="F145" s="14">
        <v>532400</v>
      </c>
      <c r="G145" s="14">
        <v>638970</v>
      </c>
      <c r="H145" s="14">
        <v>451000</v>
      </c>
      <c r="I145" s="14">
        <v>555000</v>
      </c>
      <c r="J145" s="14">
        <v>19220</v>
      </c>
      <c r="K145" s="14">
        <v>27310</v>
      </c>
      <c r="N145" s="42">
        <f t="shared" si="20"/>
        <v>187000</v>
      </c>
      <c r="O145" s="43">
        <f t="shared" si="21"/>
        <v>0.16681534344335414</v>
      </c>
    </row>
    <row r="146" spans="1:15" x14ac:dyDescent="0.45">
      <c r="A146" s="12" t="s">
        <v>9055</v>
      </c>
      <c r="B146" s="14">
        <v>884000</v>
      </c>
      <c r="C146" s="14">
        <v>1064000</v>
      </c>
      <c r="D146" s="14">
        <v>649800</v>
      </c>
      <c r="E146" s="14">
        <v>782040</v>
      </c>
      <c r="F146" s="14">
        <v>503900</v>
      </c>
      <c r="G146" s="14">
        <v>606480</v>
      </c>
      <c r="H146" s="14">
        <v>437000</v>
      </c>
      <c r="I146" s="14">
        <v>538000</v>
      </c>
      <c r="J146" s="14">
        <v>18360</v>
      </c>
      <c r="K146" s="14">
        <v>26090</v>
      </c>
      <c r="N146" s="42">
        <f t="shared" si="20"/>
        <v>180000</v>
      </c>
      <c r="O146" s="43">
        <f t="shared" si="21"/>
        <v>0.16917293233082706</v>
      </c>
    </row>
    <row r="147" spans="1:15" x14ac:dyDescent="0.45">
      <c r="A147" s="12" t="s">
        <v>9113</v>
      </c>
      <c r="B147" s="14">
        <v>863000</v>
      </c>
      <c r="C147" s="14">
        <v>1037000</v>
      </c>
      <c r="D147" s="14">
        <v>634400</v>
      </c>
      <c r="E147" s="14">
        <v>762195</v>
      </c>
      <c r="F147" s="14">
        <v>492000</v>
      </c>
      <c r="G147" s="14">
        <v>591090</v>
      </c>
      <c r="H147" s="14">
        <v>441000</v>
      </c>
      <c r="I147" s="14">
        <v>543000</v>
      </c>
      <c r="J147" s="14">
        <v>17890</v>
      </c>
      <c r="K147" s="14">
        <v>25420</v>
      </c>
      <c r="N147" s="42">
        <f t="shared" si="20"/>
        <v>174000</v>
      </c>
      <c r="O147" s="43">
        <f t="shared" si="21"/>
        <v>0.16779170684667311</v>
      </c>
    </row>
    <row r="148" spans="1:15" x14ac:dyDescent="0.45">
      <c r="A148" s="12" t="s">
        <v>9233</v>
      </c>
      <c r="B148" s="14">
        <v>864000</v>
      </c>
      <c r="C148" s="14">
        <v>1034000</v>
      </c>
      <c r="D148" s="14">
        <v>635100</v>
      </c>
      <c r="E148" s="14">
        <v>759990</v>
      </c>
      <c r="F148" s="14">
        <v>492500</v>
      </c>
      <c r="G148" s="14">
        <v>589380</v>
      </c>
      <c r="H148" s="14">
        <v>470000</v>
      </c>
      <c r="I148" s="14">
        <v>579000</v>
      </c>
      <c r="J148" s="14">
        <v>17470</v>
      </c>
      <c r="K148" s="14">
        <v>24820</v>
      </c>
      <c r="N148" s="42">
        <f t="shared" si="20"/>
        <v>170000</v>
      </c>
      <c r="O148" s="43">
        <f t="shared" si="21"/>
        <v>0.16441005802707931</v>
      </c>
    </row>
    <row r="149" spans="1:15" x14ac:dyDescent="0.45">
      <c r="A149" s="12" t="s">
        <v>30363</v>
      </c>
      <c r="B149" s="14">
        <v>846000</v>
      </c>
      <c r="C149" s="14">
        <v>1015000</v>
      </c>
      <c r="D149" s="14">
        <v>621900</v>
      </c>
      <c r="E149" s="14">
        <v>746025</v>
      </c>
      <c r="F149" s="14">
        <v>482300</v>
      </c>
      <c r="G149" s="14">
        <v>578550</v>
      </c>
      <c r="H149" s="14">
        <v>455000</v>
      </c>
      <c r="I149" s="14">
        <v>561000</v>
      </c>
      <c r="J149" s="14">
        <v>16730</v>
      </c>
      <c r="K149" s="14">
        <v>23780</v>
      </c>
      <c r="N149" s="42">
        <f t="shared" si="20"/>
        <v>169000</v>
      </c>
      <c r="O149" s="43">
        <f t="shared" si="21"/>
        <v>0.1665024630541872</v>
      </c>
    </row>
    <row r="150" spans="1:15" x14ac:dyDescent="0.45">
      <c r="A150" s="12" t="s">
        <v>9322</v>
      </c>
      <c r="B150" s="14">
        <v>853000</v>
      </c>
      <c r="C150" s="14">
        <v>1025000</v>
      </c>
      <c r="D150" s="14">
        <v>627000</v>
      </c>
      <c r="E150" s="14">
        <v>753375</v>
      </c>
      <c r="F150" s="14">
        <v>486300</v>
      </c>
      <c r="G150" s="14">
        <v>584250</v>
      </c>
      <c r="H150" s="14">
        <v>442000</v>
      </c>
      <c r="I150" s="14">
        <v>545000</v>
      </c>
      <c r="J150" s="14">
        <v>16300</v>
      </c>
      <c r="K150" s="14">
        <v>23170</v>
      </c>
      <c r="N150" s="42">
        <f t="shared" si="20"/>
        <v>172000</v>
      </c>
      <c r="O150" s="43">
        <f t="shared" si="21"/>
        <v>0.1678048780487805</v>
      </c>
    </row>
    <row r="151" spans="1:15" x14ac:dyDescent="0.45">
      <c r="A151" s="12" t="s">
        <v>9396</v>
      </c>
      <c r="B151" s="14">
        <v>835000</v>
      </c>
      <c r="C151" s="14">
        <v>999000</v>
      </c>
      <c r="D151" s="14">
        <v>613800</v>
      </c>
      <c r="E151" s="14">
        <v>734265</v>
      </c>
      <c r="F151" s="14">
        <v>476000</v>
      </c>
      <c r="G151" s="14">
        <v>569430</v>
      </c>
      <c r="H151" s="14">
        <v>411000</v>
      </c>
      <c r="I151" s="14">
        <v>506000</v>
      </c>
      <c r="J151" s="14">
        <v>15520</v>
      </c>
      <c r="K151" s="14">
        <v>22060</v>
      </c>
      <c r="N151" s="42">
        <f t="shared" si="20"/>
        <v>164000</v>
      </c>
      <c r="O151" s="43">
        <f t="shared" si="21"/>
        <v>0.16416416416416416</v>
      </c>
    </row>
    <row r="152" spans="1:15" x14ac:dyDescent="0.45">
      <c r="A152" s="12" t="s">
        <v>9464</v>
      </c>
      <c r="B152" s="14">
        <v>840000</v>
      </c>
      <c r="C152" s="14">
        <v>1009000</v>
      </c>
      <c r="D152" s="14">
        <v>617400</v>
      </c>
      <c r="E152" s="14">
        <v>741615</v>
      </c>
      <c r="F152" s="14">
        <v>478800</v>
      </c>
      <c r="G152" s="14">
        <v>575130</v>
      </c>
      <c r="H152" s="14">
        <v>410000</v>
      </c>
      <c r="I152" s="14">
        <v>505000</v>
      </c>
      <c r="J152" s="14">
        <v>15610</v>
      </c>
      <c r="K152" s="14">
        <v>22180</v>
      </c>
      <c r="N152" s="42">
        <f t="shared" si="20"/>
        <v>169000</v>
      </c>
      <c r="O152" s="43">
        <f t="shared" si="21"/>
        <v>0.16749256689791872</v>
      </c>
    </row>
    <row r="153" spans="1:15" x14ac:dyDescent="0.45">
      <c r="A153" s="12" t="s">
        <v>9537</v>
      </c>
      <c r="B153" s="14">
        <v>818000</v>
      </c>
      <c r="C153" s="14">
        <v>981000</v>
      </c>
      <c r="D153" s="14">
        <v>601300</v>
      </c>
      <c r="E153" s="14">
        <v>721035</v>
      </c>
      <c r="F153" s="14">
        <v>466300</v>
      </c>
      <c r="G153" s="14">
        <v>559170</v>
      </c>
      <c r="H153" s="14">
        <v>399000</v>
      </c>
      <c r="I153" s="14">
        <v>492000</v>
      </c>
      <c r="J153" s="14">
        <v>15670</v>
      </c>
      <c r="K153" s="14">
        <v>22270</v>
      </c>
      <c r="N153" s="42">
        <f t="shared" si="20"/>
        <v>163000</v>
      </c>
      <c r="O153" s="43">
        <f t="shared" si="21"/>
        <v>0.16615698267074414</v>
      </c>
    </row>
    <row r="154" spans="1:15" x14ac:dyDescent="0.45">
      <c r="A154" s="12" t="s">
        <v>9608</v>
      </c>
      <c r="B154" s="14">
        <v>807000</v>
      </c>
      <c r="C154" s="14">
        <v>971000</v>
      </c>
      <c r="D154" s="14">
        <v>593200</v>
      </c>
      <c r="E154" s="14">
        <v>713685</v>
      </c>
      <c r="F154" s="14">
        <v>460000</v>
      </c>
      <c r="G154" s="14">
        <v>553470</v>
      </c>
      <c r="H154" s="14">
        <v>396000</v>
      </c>
      <c r="I154" s="14">
        <v>488000</v>
      </c>
      <c r="J154" s="14">
        <v>15430</v>
      </c>
      <c r="K154" s="14">
        <v>21930</v>
      </c>
      <c r="N154" s="42">
        <f t="shared" si="20"/>
        <v>164000</v>
      </c>
      <c r="O154" s="43">
        <f t="shared" si="21"/>
        <v>0.16889804325437693</v>
      </c>
    </row>
    <row r="155" spans="1:15" x14ac:dyDescent="0.45">
      <c r="A155" s="12" t="s">
        <v>30364</v>
      </c>
      <c r="B155" s="14">
        <v>798000</v>
      </c>
      <c r="C155" s="14">
        <v>954000</v>
      </c>
      <c r="D155" s="14">
        <v>586600</v>
      </c>
      <c r="E155" s="14">
        <v>701190</v>
      </c>
      <c r="F155" s="14">
        <v>454900</v>
      </c>
      <c r="G155" s="14">
        <v>543780</v>
      </c>
      <c r="H155" s="14">
        <v>390000</v>
      </c>
      <c r="I155" s="14">
        <v>481000</v>
      </c>
      <c r="J155" s="14">
        <v>14890</v>
      </c>
      <c r="K155" s="14">
        <v>21160</v>
      </c>
      <c r="N155" s="42">
        <f t="shared" si="20"/>
        <v>156000</v>
      </c>
      <c r="O155" s="43">
        <f t="shared" si="21"/>
        <v>0.16352201257861634</v>
      </c>
    </row>
    <row r="156" spans="1:15" x14ac:dyDescent="0.45">
      <c r="A156" s="12" t="s">
        <v>9711</v>
      </c>
      <c r="B156" s="14">
        <v>801000</v>
      </c>
      <c r="C156" s="14">
        <v>955000</v>
      </c>
      <c r="D156" s="14">
        <v>588800</v>
      </c>
      <c r="E156" s="14">
        <v>701925</v>
      </c>
      <c r="F156" s="14">
        <v>456600</v>
      </c>
      <c r="G156" s="14">
        <v>544350</v>
      </c>
      <c r="H156" s="14">
        <v>399000</v>
      </c>
      <c r="I156" s="14">
        <v>491000</v>
      </c>
      <c r="J156" s="14">
        <v>15010</v>
      </c>
      <c r="K156" s="14">
        <v>21340</v>
      </c>
      <c r="N156" s="42">
        <f t="shared" si="20"/>
        <v>154000</v>
      </c>
      <c r="O156" s="43">
        <f t="shared" si="21"/>
        <v>0.16125654450261781</v>
      </c>
    </row>
    <row r="157" spans="1:15" x14ac:dyDescent="0.45">
      <c r="A157" s="12" t="s">
        <v>9762</v>
      </c>
      <c r="B157" s="14">
        <v>799000</v>
      </c>
      <c r="C157" s="14">
        <v>954000</v>
      </c>
      <c r="D157" s="14">
        <v>587300</v>
      </c>
      <c r="E157" s="14">
        <v>701190</v>
      </c>
      <c r="F157" s="14">
        <v>455500</v>
      </c>
      <c r="G157" s="14">
        <v>543780</v>
      </c>
      <c r="H157" s="14">
        <v>395000</v>
      </c>
      <c r="I157" s="14">
        <v>486000</v>
      </c>
      <c r="J157" s="14">
        <v>15240</v>
      </c>
      <c r="K157" s="14">
        <v>21660</v>
      </c>
      <c r="N157" s="42">
        <f t="shared" si="20"/>
        <v>155000</v>
      </c>
      <c r="O157" s="43">
        <f t="shared" si="21"/>
        <v>0.16247379454926625</v>
      </c>
    </row>
    <row r="158" spans="1:15" x14ac:dyDescent="0.45">
      <c r="A158" s="12" t="s">
        <v>9864</v>
      </c>
      <c r="B158" s="14">
        <v>804000</v>
      </c>
      <c r="C158" s="14">
        <v>964000</v>
      </c>
      <c r="D158" s="14">
        <v>591000</v>
      </c>
      <c r="E158" s="14">
        <v>708540</v>
      </c>
      <c r="F158" s="14">
        <v>458300</v>
      </c>
      <c r="G158" s="14">
        <v>549480</v>
      </c>
      <c r="H158" s="14">
        <v>409000</v>
      </c>
      <c r="I158" s="14">
        <v>504000</v>
      </c>
      <c r="J158" s="14">
        <v>15170</v>
      </c>
      <c r="K158" s="14">
        <v>21560</v>
      </c>
      <c r="N158" s="42">
        <f t="shared" si="20"/>
        <v>160000</v>
      </c>
      <c r="O158" s="43">
        <f t="shared" si="21"/>
        <v>0.16597510373443983</v>
      </c>
    </row>
    <row r="159" spans="1:15" x14ac:dyDescent="0.45">
      <c r="A159" s="12" t="s">
        <v>9960</v>
      </c>
      <c r="B159" s="14">
        <v>798000</v>
      </c>
      <c r="C159" s="14">
        <v>952000</v>
      </c>
      <c r="D159" s="14">
        <v>586600</v>
      </c>
      <c r="E159" s="14">
        <v>699720</v>
      </c>
      <c r="F159" s="14">
        <v>454900</v>
      </c>
      <c r="G159" s="14">
        <v>542640</v>
      </c>
      <c r="H159" s="14">
        <v>394000</v>
      </c>
      <c r="I159" s="14">
        <v>486000</v>
      </c>
      <c r="J159" s="14">
        <v>13940</v>
      </c>
      <c r="K159" s="14">
        <v>19820</v>
      </c>
      <c r="N159" s="42">
        <f t="shared" si="20"/>
        <v>154000</v>
      </c>
      <c r="O159" s="43">
        <f t="shared" si="21"/>
        <v>0.16176470588235295</v>
      </c>
    </row>
    <row r="160" spans="1:15" x14ac:dyDescent="0.45">
      <c r="A160" s="12" t="s">
        <v>10017</v>
      </c>
      <c r="B160" s="14">
        <v>794000</v>
      </c>
      <c r="C160" s="14">
        <v>948000</v>
      </c>
      <c r="D160" s="14">
        <v>583600</v>
      </c>
      <c r="E160" s="14">
        <v>696780</v>
      </c>
      <c r="F160" s="14">
        <v>452600</v>
      </c>
      <c r="G160" s="14">
        <v>540360</v>
      </c>
      <c r="H160" s="14">
        <v>395000</v>
      </c>
      <c r="I160" s="14">
        <v>486000</v>
      </c>
      <c r="J160" s="14">
        <v>13930</v>
      </c>
      <c r="K160" s="14">
        <v>19800</v>
      </c>
      <c r="N160" s="42">
        <f t="shared" si="20"/>
        <v>154000</v>
      </c>
      <c r="O160" s="43">
        <f t="shared" si="21"/>
        <v>0.16244725738396623</v>
      </c>
    </row>
    <row r="161" spans="1:15" x14ac:dyDescent="0.45">
      <c r="A161" s="12" t="s">
        <v>30365</v>
      </c>
      <c r="B161" s="14">
        <v>781000</v>
      </c>
      <c r="C161" s="14">
        <v>926000</v>
      </c>
      <c r="D161" s="14">
        <v>574100</v>
      </c>
      <c r="E161" s="14">
        <v>680610</v>
      </c>
      <c r="F161" s="14">
        <v>445200</v>
      </c>
      <c r="G161" s="14">
        <v>527820</v>
      </c>
      <c r="H161" s="14">
        <v>377000</v>
      </c>
      <c r="I161" s="14">
        <v>464000</v>
      </c>
      <c r="J161" s="14">
        <v>13090</v>
      </c>
      <c r="K161" s="14">
        <v>18610</v>
      </c>
      <c r="N161" s="42">
        <f t="shared" si="20"/>
        <v>145000</v>
      </c>
      <c r="O161" s="43">
        <f t="shared" si="21"/>
        <v>0.15658747300215983</v>
      </c>
    </row>
    <row r="162" spans="1:15" x14ac:dyDescent="0.45">
      <c r="A162" s="12" t="s">
        <v>10144</v>
      </c>
      <c r="B162" s="14">
        <v>774000</v>
      </c>
      <c r="C162" s="14">
        <v>917000</v>
      </c>
      <c r="D162" s="14">
        <v>568900</v>
      </c>
      <c r="E162" s="14">
        <v>673995</v>
      </c>
      <c r="F162" s="14">
        <v>441200</v>
      </c>
      <c r="G162" s="14">
        <v>522690</v>
      </c>
      <c r="H162" s="14">
        <v>372000</v>
      </c>
      <c r="I162" s="14">
        <v>458000</v>
      </c>
      <c r="J162" s="14">
        <v>12590</v>
      </c>
      <c r="K162" s="14">
        <v>17900</v>
      </c>
      <c r="N162" s="42">
        <f t="shared" si="20"/>
        <v>143000</v>
      </c>
      <c r="O162" s="43">
        <f t="shared" si="21"/>
        <v>0.15594329334787349</v>
      </c>
    </row>
    <row r="163" spans="1:15" x14ac:dyDescent="0.45">
      <c r="A163" s="12" t="s">
        <v>10213</v>
      </c>
      <c r="B163" s="14">
        <v>772000</v>
      </c>
      <c r="C163" s="14">
        <v>906000</v>
      </c>
      <c r="D163" s="14">
        <v>567500</v>
      </c>
      <c r="E163" s="14">
        <v>665910</v>
      </c>
      <c r="F163" s="14">
        <v>440100</v>
      </c>
      <c r="G163" s="14">
        <v>516420</v>
      </c>
      <c r="H163" s="14">
        <v>375000</v>
      </c>
      <c r="I163" s="14">
        <v>462000</v>
      </c>
      <c r="J163" s="14">
        <v>12670</v>
      </c>
      <c r="K163" s="14">
        <v>18010</v>
      </c>
      <c r="N163" s="42">
        <f t="shared" si="20"/>
        <v>134000</v>
      </c>
      <c r="O163" s="43">
        <f t="shared" si="21"/>
        <v>0.1479028697571744</v>
      </c>
    </row>
    <row r="164" spans="1:15" x14ac:dyDescent="0.45">
      <c r="A164" s="12" t="s">
        <v>10252</v>
      </c>
      <c r="B164" s="14">
        <v>777000</v>
      </c>
      <c r="C164" s="14">
        <v>911000</v>
      </c>
      <c r="D164" s="14">
        <v>571100</v>
      </c>
      <c r="E164" s="14">
        <v>669585</v>
      </c>
      <c r="F164" s="14">
        <v>442900</v>
      </c>
      <c r="G164" s="14">
        <v>519270</v>
      </c>
      <c r="H164" s="14">
        <v>388000</v>
      </c>
      <c r="I164" s="14">
        <v>477000</v>
      </c>
      <c r="J164" s="14">
        <v>12970</v>
      </c>
      <c r="K164" s="14">
        <v>18440</v>
      </c>
      <c r="N164" s="42">
        <f t="shared" si="20"/>
        <v>134000</v>
      </c>
      <c r="O164" s="43">
        <f t="shared" si="21"/>
        <v>0.14709110867178923</v>
      </c>
    </row>
    <row r="165" spans="1:15" x14ac:dyDescent="0.45">
      <c r="A165" s="12" t="s">
        <v>10304</v>
      </c>
      <c r="B165" s="14">
        <v>777000</v>
      </c>
      <c r="C165" s="14">
        <v>907000</v>
      </c>
      <c r="D165" s="14">
        <v>571100</v>
      </c>
      <c r="E165" s="14">
        <v>666645</v>
      </c>
      <c r="F165" s="14">
        <v>442900</v>
      </c>
      <c r="G165" s="14">
        <v>516990</v>
      </c>
      <c r="H165" s="14">
        <v>382000</v>
      </c>
      <c r="I165" s="14">
        <v>470000</v>
      </c>
      <c r="J165" s="14">
        <v>12620</v>
      </c>
      <c r="K165" s="14">
        <v>17940</v>
      </c>
      <c r="N165" s="42">
        <f t="shared" si="20"/>
        <v>130000</v>
      </c>
      <c r="O165" s="43">
        <f t="shared" si="21"/>
        <v>0.14332965821389196</v>
      </c>
    </row>
    <row r="166" spans="1:15" x14ac:dyDescent="0.45">
      <c r="A166" s="12" t="s">
        <v>10356</v>
      </c>
      <c r="B166" s="14">
        <v>768000</v>
      </c>
      <c r="C166" s="14">
        <v>899000</v>
      </c>
      <c r="D166" s="14">
        <v>564500</v>
      </c>
      <c r="E166" s="14">
        <v>660765</v>
      </c>
      <c r="F166" s="14">
        <v>437800</v>
      </c>
      <c r="G166" s="14">
        <v>512430</v>
      </c>
      <c r="H166" s="14">
        <v>360000</v>
      </c>
      <c r="I166" s="14">
        <v>443000</v>
      </c>
      <c r="J166" s="14">
        <v>12260</v>
      </c>
      <c r="K166" s="14">
        <v>17430</v>
      </c>
      <c r="N166" s="42">
        <f t="shared" si="20"/>
        <v>131000</v>
      </c>
      <c r="O166" s="43">
        <f t="shared" si="21"/>
        <v>0.14571746384872081</v>
      </c>
    </row>
    <row r="167" spans="1:15" x14ac:dyDescent="0.45">
      <c r="A167" s="12" t="s">
        <v>30366</v>
      </c>
      <c r="B167" s="14">
        <v>752000</v>
      </c>
      <c r="C167" s="14">
        <v>880000</v>
      </c>
      <c r="D167" s="14">
        <v>552800</v>
      </c>
      <c r="E167" s="14">
        <v>646800</v>
      </c>
      <c r="F167" s="14">
        <v>428700</v>
      </c>
      <c r="G167" s="14">
        <v>501600</v>
      </c>
      <c r="H167" s="14">
        <v>352000</v>
      </c>
      <c r="I167" s="14">
        <v>433000</v>
      </c>
      <c r="J167" s="14">
        <v>11780</v>
      </c>
      <c r="K167" s="14">
        <v>16470</v>
      </c>
      <c r="N167" s="42">
        <f t="shared" si="20"/>
        <v>128000</v>
      </c>
      <c r="O167" s="43">
        <f t="shared" si="21"/>
        <v>0.14545454545454545</v>
      </c>
    </row>
    <row r="168" spans="1:15" x14ac:dyDescent="0.45">
      <c r="A168" s="12" t="s">
        <v>10401</v>
      </c>
      <c r="B168" s="14">
        <v>753000</v>
      </c>
      <c r="C168" s="14">
        <v>893000</v>
      </c>
      <c r="D168" s="14">
        <v>553500</v>
      </c>
      <c r="E168" s="14">
        <v>656355</v>
      </c>
      <c r="F168" s="14">
        <v>429300</v>
      </c>
      <c r="G168" s="14">
        <v>509010</v>
      </c>
      <c r="H168" s="14">
        <v>350000</v>
      </c>
      <c r="I168" s="14">
        <v>431000</v>
      </c>
      <c r="J168" s="14">
        <v>12100</v>
      </c>
      <c r="K168" s="14">
        <v>16910</v>
      </c>
      <c r="N168" s="42">
        <f t="shared" si="20"/>
        <v>140000</v>
      </c>
      <c r="O168" s="43">
        <f t="shared" si="21"/>
        <v>0.15677491601343785</v>
      </c>
    </row>
    <row r="169" spans="1:15" x14ac:dyDescent="0.45">
      <c r="A169" s="12" t="s">
        <v>30367</v>
      </c>
      <c r="B169" s="14">
        <v>750000</v>
      </c>
      <c r="C169" s="14">
        <v>879000</v>
      </c>
      <c r="D169" s="14">
        <v>551300</v>
      </c>
      <c r="E169" s="14">
        <v>646065</v>
      </c>
      <c r="F169" s="14">
        <v>427500</v>
      </c>
      <c r="G169" s="14">
        <v>501030</v>
      </c>
      <c r="H169" s="14">
        <v>338000</v>
      </c>
      <c r="I169" s="14">
        <v>417000</v>
      </c>
      <c r="J169" s="14">
        <v>11580</v>
      </c>
      <c r="K169" s="14">
        <v>16180</v>
      </c>
      <c r="N169" s="42">
        <f t="shared" si="20"/>
        <v>129000</v>
      </c>
      <c r="O169" s="43">
        <f t="shared" si="21"/>
        <v>0.14675767918088736</v>
      </c>
    </row>
    <row r="170" spans="1:15" x14ac:dyDescent="0.45">
      <c r="A170" s="12" t="s">
        <v>30368</v>
      </c>
      <c r="B170" s="14">
        <v>750000</v>
      </c>
      <c r="C170" s="14">
        <v>883000</v>
      </c>
      <c r="D170" s="14">
        <v>551300</v>
      </c>
      <c r="E170" s="14">
        <v>649005</v>
      </c>
      <c r="F170" s="14">
        <v>427500</v>
      </c>
      <c r="G170" s="14">
        <v>503310</v>
      </c>
      <c r="H170" s="14">
        <v>326000</v>
      </c>
      <c r="I170" s="14">
        <v>402000</v>
      </c>
      <c r="J170" s="14">
        <v>11750</v>
      </c>
      <c r="K170" s="14">
        <v>16420</v>
      </c>
      <c r="N170" s="42">
        <f t="shared" si="20"/>
        <v>133000</v>
      </c>
      <c r="O170" s="43">
        <f t="shared" si="21"/>
        <v>0.15062287655719139</v>
      </c>
    </row>
    <row r="171" spans="1:15" x14ac:dyDescent="0.45">
      <c r="A171" s="12" t="s">
        <v>10412</v>
      </c>
      <c r="B171" s="14">
        <v>763000</v>
      </c>
      <c r="C171" s="14">
        <v>887000</v>
      </c>
      <c r="D171" s="14">
        <v>560900</v>
      </c>
      <c r="E171" s="14">
        <v>651945</v>
      </c>
      <c r="F171" s="14">
        <v>435000</v>
      </c>
      <c r="G171" s="14">
        <v>505590</v>
      </c>
      <c r="H171" s="14">
        <v>353000</v>
      </c>
      <c r="I171" s="14">
        <v>435000</v>
      </c>
      <c r="J171" s="14">
        <v>12130</v>
      </c>
      <c r="K171" s="14">
        <v>16960</v>
      </c>
      <c r="N171" s="42">
        <f t="shared" si="20"/>
        <v>124000</v>
      </c>
      <c r="O171" s="43">
        <f t="shared" si="21"/>
        <v>0.13979706877113868</v>
      </c>
    </row>
    <row r="172" spans="1:15" x14ac:dyDescent="0.45">
      <c r="A172" s="12" t="s">
        <v>10443</v>
      </c>
      <c r="B172" s="14">
        <v>770000</v>
      </c>
      <c r="C172" s="14">
        <v>911000</v>
      </c>
      <c r="D172" s="14">
        <v>566000</v>
      </c>
      <c r="E172" s="14">
        <v>669585</v>
      </c>
      <c r="F172" s="14">
        <v>438900</v>
      </c>
      <c r="G172" s="14">
        <v>519270</v>
      </c>
      <c r="H172" s="14">
        <v>398000</v>
      </c>
      <c r="I172" s="14">
        <v>490000</v>
      </c>
      <c r="J172" s="14">
        <v>13000</v>
      </c>
      <c r="K172" s="14">
        <v>18170</v>
      </c>
      <c r="N172" s="42">
        <f t="shared" si="20"/>
        <v>141000</v>
      </c>
      <c r="O172" s="43">
        <f t="shared" si="21"/>
        <v>0.15477497255762898</v>
      </c>
    </row>
    <row r="173" spans="1:15" x14ac:dyDescent="0.45">
      <c r="A173" s="12" t="s">
        <v>30369</v>
      </c>
      <c r="B173" s="14">
        <v>778000</v>
      </c>
      <c r="C173" s="14">
        <v>920000</v>
      </c>
      <c r="D173" s="14">
        <v>571900</v>
      </c>
      <c r="E173" s="14">
        <v>676200</v>
      </c>
      <c r="F173" s="14">
        <v>443500</v>
      </c>
      <c r="G173" s="14">
        <v>524400</v>
      </c>
      <c r="H173" s="14">
        <v>402000</v>
      </c>
      <c r="I173" s="14">
        <v>495000</v>
      </c>
      <c r="J173" s="14">
        <v>12830</v>
      </c>
      <c r="K173" s="14">
        <v>17930</v>
      </c>
      <c r="N173" s="42">
        <f t="shared" ref="N173:N236" si="22">C173-B173</f>
        <v>142000</v>
      </c>
      <c r="O173" s="43">
        <f t="shared" ref="O173:O236" si="23">N173/C173</f>
        <v>0.15434782608695652</v>
      </c>
    </row>
    <row r="174" spans="1:15" x14ac:dyDescent="0.45">
      <c r="A174" s="12" t="s">
        <v>10466</v>
      </c>
      <c r="B174" s="14">
        <v>773000</v>
      </c>
      <c r="C174" s="14">
        <v>918000</v>
      </c>
      <c r="D174" s="14">
        <v>568200</v>
      </c>
      <c r="E174" s="14">
        <v>674730</v>
      </c>
      <c r="F174" s="14">
        <v>440700</v>
      </c>
      <c r="G174" s="14">
        <v>523260</v>
      </c>
      <c r="H174" s="14">
        <v>401000</v>
      </c>
      <c r="I174" s="14">
        <v>493000</v>
      </c>
      <c r="J174" s="14">
        <v>12130</v>
      </c>
      <c r="K174" s="14">
        <v>16950</v>
      </c>
      <c r="N174" s="42">
        <f t="shared" si="22"/>
        <v>145000</v>
      </c>
      <c r="O174" s="43">
        <f t="shared" si="23"/>
        <v>0.15795206971677561</v>
      </c>
    </row>
    <row r="175" spans="1:15" x14ac:dyDescent="0.45">
      <c r="A175" s="12" t="s">
        <v>30370</v>
      </c>
      <c r="B175" s="14">
        <v>776000</v>
      </c>
      <c r="C175" s="14">
        <v>913000</v>
      </c>
      <c r="D175" s="14">
        <v>570400</v>
      </c>
      <c r="E175" s="14">
        <v>671055</v>
      </c>
      <c r="F175" s="14">
        <v>442400</v>
      </c>
      <c r="G175" s="14">
        <v>520410</v>
      </c>
      <c r="H175" s="14">
        <v>365000</v>
      </c>
      <c r="I175" s="14">
        <v>450000</v>
      </c>
      <c r="J175" s="14">
        <v>11710</v>
      </c>
      <c r="K175" s="14">
        <v>15950</v>
      </c>
      <c r="N175" s="42">
        <f t="shared" si="22"/>
        <v>137000</v>
      </c>
      <c r="O175" s="43">
        <f t="shared" si="23"/>
        <v>0.15005476451259583</v>
      </c>
    </row>
    <row r="176" spans="1:15" x14ac:dyDescent="0.45">
      <c r="A176" s="12" t="s">
        <v>10508</v>
      </c>
      <c r="B176" s="14">
        <v>779000</v>
      </c>
      <c r="C176" s="14">
        <v>929000</v>
      </c>
      <c r="D176" s="14">
        <v>572600</v>
      </c>
      <c r="E176" s="14">
        <v>682815</v>
      </c>
      <c r="F176" s="14">
        <v>444100</v>
      </c>
      <c r="G176" s="14">
        <v>529530</v>
      </c>
      <c r="H176" s="14">
        <v>389000</v>
      </c>
      <c r="I176" s="14">
        <v>479000</v>
      </c>
      <c r="J176" s="14">
        <v>11800</v>
      </c>
      <c r="K176" s="14">
        <v>16080</v>
      </c>
      <c r="N176" s="42">
        <f t="shared" si="22"/>
        <v>150000</v>
      </c>
      <c r="O176" s="43">
        <f t="shared" si="23"/>
        <v>0.16146393972012918</v>
      </c>
    </row>
    <row r="177" spans="1:15" x14ac:dyDescent="0.45">
      <c r="A177" s="12" t="s">
        <v>10543</v>
      </c>
      <c r="B177" s="14">
        <v>787000</v>
      </c>
      <c r="C177" s="14">
        <v>936000</v>
      </c>
      <c r="D177" s="14">
        <v>578500</v>
      </c>
      <c r="E177" s="14">
        <v>687960</v>
      </c>
      <c r="F177" s="14">
        <v>448600</v>
      </c>
      <c r="G177" s="14">
        <v>533520</v>
      </c>
      <c r="H177" s="14">
        <v>360000</v>
      </c>
      <c r="I177" s="14">
        <v>443000</v>
      </c>
      <c r="J177" s="14">
        <v>11550</v>
      </c>
      <c r="K177" s="14">
        <v>15470</v>
      </c>
      <c r="N177" s="42">
        <f t="shared" si="22"/>
        <v>149000</v>
      </c>
      <c r="O177" s="43">
        <f t="shared" si="23"/>
        <v>0.15918803418803418</v>
      </c>
    </row>
    <row r="178" spans="1:15" x14ac:dyDescent="0.45">
      <c r="A178" s="12" t="s">
        <v>10598</v>
      </c>
      <c r="B178" s="14">
        <v>766000</v>
      </c>
      <c r="C178" s="14">
        <v>919000</v>
      </c>
      <c r="D178" s="14">
        <v>563100</v>
      </c>
      <c r="E178" s="14">
        <v>675465</v>
      </c>
      <c r="F178" s="14">
        <v>436700</v>
      </c>
      <c r="G178" s="14">
        <v>523830</v>
      </c>
      <c r="H178" s="14">
        <v>347000</v>
      </c>
      <c r="I178" s="14">
        <v>427000</v>
      </c>
      <c r="J178" s="14">
        <v>11450</v>
      </c>
      <c r="K178" s="14">
        <v>15330</v>
      </c>
      <c r="N178" s="42">
        <f t="shared" si="22"/>
        <v>153000</v>
      </c>
      <c r="O178" s="43">
        <f t="shared" si="23"/>
        <v>0.16648531011969533</v>
      </c>
    </row>
    <row r="179" spans="1:15" x14ac:dyDescent="0.45">
      <c r="A179" s="12" t="s">
        <v>30371</v>
      </c>
      <c r="B179" s="14">
        <v>761000</v>
      </c>
      <c r="C179" s="14">
        <v>901000</v>
      </c>
      <c r="D179" s="14">
        <v>559400</v>
      </c>
      <c r="E179" s="14">
        <v>662235</v>
      </c>
      <c r="F179" s="14">
        <v>433800</v>
      </c>
      <c r="G179" s="14">
        <v>513570</v>
      </c>
      <c r="H179" s="14">
        <v>331000</v>
      </c>
      <c r="I179" s="14">
        <v>408000</v>
      </c>
      <c r="J179" s="14">
        <v>11140</v>
      </c>
      <c r="K179" s="14">
        <v>14920</v>
      </c>
      <c r="N179" s="42">
        <f t="shared" si="22"/>
        <v>140000</v>
      </c>
      <c r="O179" s="43">
        <f t="shared" si="23"/>
        <v>0.15538290788013318</v>
      </c>
    </row>
    <row r="180" spans="1:15" x14ac:dyDescent="0.45">
      <c r="A180" s="12" t="s">
        <v>10645</v>
      </c>
      <c r="B180" s="14">
        <v>761000</v>
      </c>
      <c r="C180" s="14">
        <v>900000</v>
      </c>
      <c r="D180" s="14">
        <v>559400</v>
      </c>
      <c r="E180" s="14">
        <v>661500</v>
      </c>
      <c r="F180" s="14">
        <v>433800</v>
      </c>
      <c r="G180" s="14">
        <v>513000</v>
      </c>
      <c r="H180" s="14">
        <v>326000</v>
      </c>
      <c r="I180" s="14">
        <v>401000</v>
      </c>
      <c r="J180" s="14">
        <v>10860</v>
      </c>
      <c r="K180" s="14">
        <v>14540</v>
      </c>
      <c r="N180" s="42">
        <f t="shared" si="22"/>
        <v>139000</v>
      </c>
      <c r="O180" s="43">
        <f t="shared" si="23"/>
        <v>0.15444444444444444</v>
      </c>
    </row>
    <row r="181" spans="1:15" x14ac:dyDescent="0.45">
      <c r="A181" s="12" t="s">
        <v>10684</v>
      </c>
      <c r="B181" s="14">
        <v>762000</v>
      </c>
      <c r="C181" s="14">
        <v>902000</v>
      </c>
      <c r="D181" s="14">
        <v>560100</v>
      </c>
      <c r="E181" s="14">
        <v>662970</v>
      </c>
      <c r="F181" s="14">
        <v>434400</v>
      </c>
      <c r="G181" s="14">
        <v>514140</v>
      </c>
      <c r="H181" s="14">
        <v>323000</v>
      </c>
      <c r="I181" s="14">
        <v>398000</v>
      </c>
      <c r="J181" s="14">
        <v>11020</v>
      </c>
      <c r="K181" s="14">
        <v>14750</v>
      </c>
      <c r="N181" s="42">
        <f t="shared" si="22"/>
        <v>140000</v>
      </c>
      <c r="O181" s="43">
        <f t="shared" si="23"/>
        <v>0.15521064301552107</v>
      </c>
    </row>
    <row r="182" spans="1:15" x14ac:dyDescent="0.45">
      <c r="A182" s="12" t="s">
        <v>10757</v>
      </c>
      <c r="B182" s="14">
        <v>762000</v>
      </c>
      <c r="C182" s="14">
        <v>901000</v>
      </c>
      <c r="D182" s="14">
        <v>560100</v>
      </c>
      <c r="E182" s="14">
        <v>662235</v>
      </c>
      <c r="F182" s="14">
        <v>434400</v>
      </c>
      <c r="G182" s="14">
        <v>513570</v>
      </c>
      <c r="H182" s="14">
        <v>319000</v>
      </c>
      <c r="I182" s="14">
        <v>388000</v>
      </c>
      <c r="J182" s="14">
        <v>10870</v>
      </c>
      <c r="K182" s="14">
        <v>14560</v>
      </c>
      <c r="N182" s="42">
        <f t="shared" si="22"/>
        <v>139000</v>
      </c>
      <c r="O182" s="43">
        <f t="shared" si="23"/>
        <v>0.15427302996670367</v>
      </c>
    </row>
    <row r="183" spans="1:15" x14ac:dyDescent="0.45">
      <c r="A183" s="12" t="s">
        <v>10800</v>
      </c>
      <c r="B183" s="14">
        <v>755000</v>
      </c>
      <c r="C183" s="14">
        <v>891000</v>
      </c>
      <c r="D183" s="14">
        <v>555000</v>
      </c>
      <c r="E183" s="14">
        <v>654885</v>
      </c>
      <c r="F183" s="14">
        <v>430400</v>
      </c>
      <c r="G183" s="14">
        <v>507870</v>
      </c>
      <c r="H183" s="14">
        <v>304000</v>
      </c>
      <c r="I183" s="14">
        <v>369000</v>
      </c>
      <c r="J183" s="14">
        <v>10470</v>
      </c>
      <c r="K183" s="14">
        <v>14020</v>
      </c>
      <c r="N183" s="42">
        <f t="shared" si="22"/>
        <v>136000</v>
      </c>
      <c r="O183" s="43">
        <f t="shared" si="23"/>
        <v>0.1526374859708193</v>
      </c>
    </row>
    <row r="184" spans="1:15" x14ac:dyDescent="0.45">
      <c r="A184" s="12" t="s">
        <v>10839</v>
      </c>
      <c r="B184" s="14">
        <v>759000</v>
      </c>
      <c r="C184" s="14">
        <v>899000</v>
      </c>
      <c r="D184" s="14">
        <v>557900</v>
      </c>
      <c r="E184" s="14">
        <v>660765</v>
      </c>
      <c r="F184" s="14">
        <v>432700</v>
      </c>
      <c r="G184" s="14">
        <v>512430</v>
      </c>
      <c r="H184" s="14">
        <v>293000</v>
      </c>
      <c r="I184" s="14">
        <v>356000</v>
      </c>
      <c r="J184" s="14">
        <v>10400</v>
      </c>
      <c r="K184" s="14">
        <v>13930</v>
      </c>
      <c r="N184" s="42">
        <f t="shared" si="22"/>
        <v>140000</v>
      </c>
      <c r="O184" s="43">
        <f t="shared" si="23"/>
        <v>0.15572858731924361</v>
      </c>
    </row>
    <row r="185" spans="1:15" x14ac:dyDescent="0.45">
      <c r="A185" s="12" t="s">
        <v>30372</v>
      </c>
      <c r="B185" s="14">
        <v>755000</v>
      </c>
      <c r="C185" s="14">
        <v>893000</v>
      </c>
      <c r="D185" s="14">
        <v>555000</v>
      </c>
      <c r="E185" s="14">
        <v>656355</v>
      </c>
      <c r="F185" s="14">
        <v>430400</v>
      </c>
      <c r="G185" s="14">
        <v>509010</v>
      </c>
      <c r="H185" s="14">
        <v>293000</v>
      </c>
      <c r="I185" s="14">
        <v>356000</v>
      </c>
      <c r="J185" s="14">
        <v>10280</v>
      </c>
      <c r="K185" s="14">
        <v>13760</v>
      </c>
      <c r="N185" s="42">
        <f t="shared" si="22"/>
        <v>138000</v>
      </c>
      <c r="O185" s="43">
        <f t="shared" si="23"/>
        <v>0.15453527435610304</v>
      </c>
    </row>
    <row r="186" spans="1:15" x14ac:dyDescent="0.45">
      <c r="A186" s="12" t="s">
        <v>10877</v>
      </c>
      <c r="B186" s="14">
        <v>750000</v>
      </c>
      <c r="C186" s="14">
        <v>888000</v>
      </c>
      <c r="D186" s="14">
        <v>551300</v>
      </c>
      <c r="E186" s="14">
        <v>652680</v>
      </c>
      <c r="F186" s="14">
        <v>427500</v>
      </c>
      <c r="G186" s="14">
        <v>506160</v>
      </c>
      <c r="H186" s="14">
        <v>286000</v>
      </c>
      <c r="I186" s="14">
        <v>347000</v>
      </c>
      <c r="J186" s="14">
        <v>10570</v>
      </c>
      <c r="K186" s="14">
        <v>14150</v>
      </c>
      <c r="N186" s="42">
        <f t="shared" si="22"/>
        <v>138000</v>
      </c>
      <c r="O186" s="43">
        <f t="shared" si="23"/>
        <v>0.1554054054054054</v>
      </c>
    </row>
    <row r="187" spans="1:15" x14ac:dyDescent="0.45">
      <c r="A187" s="12" t="s">
        <v>10900</v>
      </c>
      <c r="B187" s="14">
        <v>743000</v>
      </c>
      <c r="C187" s="14">
        <v>873000</v>
      </c>
      <c r="D187" s="14">
        <v>546200</v>
      </c>
      <c r="E187" s="14">
        <v>641655</v>
      </c>
      <c r="F187" s="14">
        <v>423600</v>
      </c>
      <c r="G187" s="14">
        <v>497610</v>
      </c>
      <c r="H187" s="14">
        <v>278000</v>
      </c>
      <c r="I187" s="14">
        <v>337000</v>
      </c>
      <c r="J187" s="14">
        <v>10270</v>
      </c>
      <c r="K187" s="14">
        <v>13750</v>
      </c>
      <c r="N187" s="42">
        <f t="shared" si="22"/>
        <v>130000</v>
      </c>
      <c r="O187" s="43">
        <f t="shared" si="23"/>
        <v>0.14891179839633448</v>
      </c>
    </row>
    <row r="188" spans="1:15" x14ac:dyDescent="0.45">
      <c r="A188" s="12" t="s">
        <v>10951</v>
      </c>
      <c r="B188" s="14">
        <v>740000</v>
      </c>
      <c r="C188" s="14">
        <v>872000</v>
      </c>
      <c r="D188" s="14">
        <v>543900</v>
      </c>
      <c r="E188" s="14">
        <v>640920</v>
      </c>
      <c r="F188" s="14">
        <v>421800</v>
      </c>
      <c r="G188" s="14">
        <v>497040</v>
      </c>
      <c r="H188" s="14">
        <v>280000</v>
      </c>
      <c r="I188" s="14">
        <v>340000</v>
      </c>
      <c r="J188" s="14">
        <v>10100</v>
      </c>
      <c r="K188" s="14">
        <v>13530</v>
      </c>
      <c r="N188" s="42">
        <f t="shared" si="22"/>
        <v>132000</v>
      </c>
      <c r="O188" s="43">
        <f t="shared" si="23"/>
        <v>0.15137614678899083</v>
      </c>
    </row>
    <row r="189" spans="1:15" x14ac:dyDescent="0.45">
      <c r="A189" s="12" t="s">
        <v>10986</v>
      </c>
      <c r="B189" s="14">
        <v>738000</v>
      </c>
      <c r="C189" s="14">
        <v>868000</v>
      </c>
      <c r="D189" s="14">
        <v>542500</v>
      </c>
      <c r="E189" s="14">
        <v>637980</v>
      </c>
      <c r="F189" s="14">
        <v>420700</v>
      </c>
      <c r="G189" s="14">
        <v>494760</v>
      </c>
      <c r="H189" s="14">
        <v>276000</v>
      </c>
      <c r="I189" s="14">
        <v>336000</v>
      </c>
      <c r="J189" s="14">
        <v>9610</v>
      </c>
      <c r="K189" s="14">
        <v>12980</v>
      </c>
      <c r="N189" s="42">
        <f t="shared" si="22"/>
        <v>130000</v>
      </c>
      <c r="O189" s="43">
        <f t="shared" si="23"/>
        <v>0.14976958525345621</v>
      </c>
    </row>
    <row r="190" spans="1:15" x14ac:dyDescent="0.45">
      <c r="A190" s="12" t="s">
        <v>11025</v>
      </c>
      <c r="B190" s="14">
        <v>740000</v>
      </c>
      <c r="C190" s="14">
        <v>871000</v>
      </c>
      <c r="D190" s="14">
        <v>543900</v>
      </c>
      <c r="E190" s="14">
        <v>640185</v>
      </c>
      <c r="F190" s="14">
        <v>421800</v>
      </c>
      <c r="G190" s="14">
        <v>496470</v>
      </c>
      <c r="H190" s="14">
        <v>275000</v>
      </c>
      <c r="I190" s="14">
        <v>335000</v>
      </c>
      <c r="J190" s="14">
        <v>9680</v>
      </c>
      <c r="K190" s="14">
        <v>13080</v>
      </c>
      <c r="N190" s="42">
        <f t="shared" si="22"/>
        <v>131000</v>
      </c>
      <c r="O190" s="43">
        <f t="shared" si="23"/>
        <v>0.15040183696900114</v>
      </c>
    </row>
    <row r="191" spans="1:15" x14ac:dyDescent="0.45">
      <c r="A191" s="12" t="s">
        <v>30373</v>
      </c>
      <c r="B191" s="14">
        <v>738000</v>
      </c>
      <c r="C191" s="14">
        <v>871000</v>
      </c>
      <c r="D191" s="14">
        <v>542500</v>
      </c>
      <c r="E191" s="14">
        <v>640185</v>
      </c>
      <c r="F191" s="14">
        <v>420700</v>
      </c>
      <c r="G191" s="14">
        <v>496470</v>
      </c>
      <c r="H191" s="14">
        <v>276000</v>
      </c>
      <c r="I191" s="14">
        <v>335000</v>
      </c>
      <c r="J191" s="14">
        <v>9660</v>
      </c>
      <c r="K191" s="14">
        <v>13050</v>
      </c>
      <c r="N191" s="42">
        <f t="shared" si="22"/>
        <v>133000</v>
      </c>
      <c r="O191" s="43">
        <f t="shared" si="23"/>
        <v>0.15269804822043628</v>
      </c>
    </row>
    <row r="192" spans="1:15" x14ac:dyDescent="0.45">
      <c r="A192" s="12" t="s">
        <v>11083</v>
      </c>
      <c r="B192" s="14">
        <v>738000</v>
      </c>
      <c r="C192" s="14">
        <v>874000</v>
      </c>
      <c r="D192" s="14">
        <v>542500</v>
      </c>
      <c r="E192" s="14">
        <v>642390</v>
      </c>
      <c r="F192" s="14">
        <v>420700</v>
      </c>
      <c r="G192" s="14">
        <v>498180</v>
      </c>
      <c r="H192" s="14">
        <v>277000</v>
      </c>
      <c r="I192" s="14">
        <v>336000</v>
      </c>
      <c r="J192" s="14">
        <v>9650</v>
      </c>
      <c r="K192" s="14">
        <v>13040</v>
      </c>
      <c r="N192" s="42">
        <f t="shared" si="22"/>
        <v>136000</v>
      </c>
      <c r="O192" s="43">
        <f t="shared" si="23"/>
        <v>0.15560640732265446</v>
      </c>
    </row>
    <row r="193" spans="1:15" x14ac:dyDescent="0.45">
      <c r="A193" s="12" t="s">
        <v>11283</v>
      </c>
      <c r="B193" s="14">
        <v>738000</v>
      </c>
      <c r="C193" s="14">
        <v>870000</v>
      </c>
      <c r="D193" s="14">
        <v>542500</v>
      </c>
      <c r="E193" s="14">
        <v>639450</v>
      </c>
      <c r="F193" s="14">
        <v>420700</v>
      </c>
      <c r="G193" s="14">
        <v>495900</v>
      </c>
      <c r="H193" s="14">
        <v>279000</v>
      </c>
      <c r="I193" s="14">
        <v>339000</v>
      </c>
      <c r="J193" s="14">
        <v>9650</v>
      </c>
      <c r="K193" s="14">
        <v>13040</v>
      </c>
      <c r="N193" s="42">
        <f t="shared" si="22"/>
        <v>132000</v>
      </c>
      <c r="O193" s="43">
        <f t="shared" si="23"/>
        <v>0.15172413793103448</v>
      </c>
    </row>
    <row r="194" spans="1:15" x14ac:dyDescent="0.45">
      <c r="A194" s="12" t="s">
        <v>11310</v>
      </c>
      <c r="B194" s="14">
        <v>738000</v>
      </c>
      <c r="C194" s="14">
        <v>874000</v>
      </c>
      <c r="D194" s="14">
        <v>542500</v>
      </c>
      <c r="E194" s="14">
        <v>642390</v>
      </c>
      <c r="F194" s="14">
        <v>420700</v>
      </c>
      <c r="G194" s="14">
        <v>498180</v>
      </c>
      <c r="H194" s="14">
        <v>275000</v>
      </c>
      <c r="I194" s="14">
        <v>334000</v>
      </c>
      <c r="J194" s="14">
        <v>9730</v>
      </c>
      <c r="K194" s="14">
        <v>13140</v>
      </c>
      <c r="N194" s="42">
        <f t="shared" si="22"/>
        <v>136000</v>
      </c>
      <c r="O194" s="43">
        <f t="shared" si="23"/>
        <v>0.15560640732265446</v>
      </c>
    </row>
    <row r="195" spans="1:15" x14ac:dyDescent="0.45">
      <c r="A195" s="12" t="s">
        <v>11362</v>
      </c>
      <c r="B195" s="14">
        <v>740000</v>
      </c>
      <c r="C195" s="14">
        <v>872000</v>
      </c>
      <c r="D195" s="14">
        <v>543900</v>
      </c>
      <c r="E195" s="14">
        <v>640920</v>
      </c>
      <c r="F195" s="14">
        <v>421800</v>
      </c>
      <c r="G195" s="14">
        <v>497040</v>
      </c>
      <c r="H195" s="14">
        <v>277000</v>
      </c>
      <c r="I195" s="14">
        <v>337000</v>
      </c>
      <c r="J195" s="14">
        <v>9390</v>
      </c>
      <c r="K195" s="14">
        <v>12690</v>
      </c>
      <c r="N195" s="42">
        <f t="shared" si="22"/>
        <v>132000</v>
      </c>
      <c r="O195" s="43">
        <f t="shared" si="23"/>
        <v>0.15137614678899083</v>
      </c>
    </row>
    <row r="196" spans="1:15" x14ac:dyDescent="0.45">
      <c r="A196" s="12" t="s">
        <v>11395</v>
      </c>
      <c r="B196" s="14">
        <v>745000</v>
      </c>
      <c r="C196" s="14">
        <v>878000</v>
      </c>
      <c r="D196" s="14">
        <v>547600</v>
      </c>
      <c r="E196" s="14">
        <v>645330</v>
      </c>
      <c r="F196" s="14">
        <v>424700</v>
      </c>
      <c r="G196" s="14">
        <v>500460</v>
      </c>
      <c r="H196" s="14">
        <v>284000</v>
      </c>
      <c r="I196" s="14">
        <v>345000</v>
      </c>
      <c r="J196" s="14">
        <v>9500</v>
      </c>
      <c r="K196" s="14">
        <v>12840</v>
      </c>
      <c r="N196" s="42">
        <f t="shared" si="22"/>
        <v>133000</v>
      </c>
      <c r="O196" s="43">
        <f t="shared" si="23"/>
        <v>0.15148063781321183</v>
      </c>
    </row>
    <row r="197" spans="1:15" x14ac:dyDescent="0.45">
      <c r="A197" s="12" t="s">
        <v>30374</v>
      </c>
      <c r="B197" s="14">
        <v>741000</v>
      </c>
      <c r="C197" s="14">
        <v>874000</v>
      </c>
      <c r="D197" s="14">
        <v>544700</v>
      </c>
      <c r="E197" s="14">
        <v>642390</v>
      </c>
      <c r="F197" s="14">
        <v>422400</v>
      </c>
      <c r="G197" s="14">
        <v>498180</v>
      </c>
      <c r="H197" s="14">
        <v>279000</v>
      </c>
      <c r="I197" s="14">
        <v>339000</v>
      </c>
      <c r="J197" s="14">
        <v>9360</v>
      </c>
      <c r="K197" s="14">
        <v>12920</v>
      </c>
      <c r="N197" s="42">
        <f t="shared" si="22"/>
        <v>133000</v>
      </c>
      <c r="O197" s="43">
        <f t="shared" si="23"/>
        <v>0.15217391304347827</v>
      </c>
    </row>
    <row r="198" spans="1:15" x14ac:dyDescent="0.45">
      <c r="A198" s="12" t="s">
        <v>11424</v>
      </c>
      <c r="B198" s="14">
        <v>733000</v>
      </c>
      <c r="C198" s="14">
        <v>862000</v>
      </c>
      <c r="D198" s="14">
        <v>538800</v>
      </c>
      <c r="E198" s="14">
        <v>633570</v>
      </c>
      <c r="F198" s="14">
        <v>417900</v>
      </c>
      <c r="G198" s="14">
        <v>491340</v>
      </c>
      <c r="H198" s="14">
        <v>269000</v>
      </c>
      <c r="I198" s="14">
        <v>327000</v>
      </c>
      <c r="J198" s="14">
        <v>8820</v>
      </c>
      <c r="K198" s="14">
        <v>12170</v>
      </c>
      <c r="N198" s="42">
        <f t="shared" si="22"/>
        <v>129000</v>
      </c>
      <c r="O198" s="43">
        <f t="shared" si="23"/>
        <v>0.14965197215777262</v>
      </c>
    </row>
    <row r="199" spans="1:15" x14ac:dyDescent="0.45">
      <c r="A199" s="12" t="s">
        <v>11608</v>
      </c>
      <c r="B199" s="14">
        <v>731000</v>
      </c>
      <c r="C199" s="14">
        <v>856000</v>
      </c>
      <c r="D199" s="14">
        <v>537300</v>
      </c>
      <c r="E199" s="14">
        <v>629160</v>
      </c>
      <c r="F199" s="14">
        <v>416700</v>
      </c>
      <c r="G199" s="14">
        <v>487920</v>
      </c>
      <c r="H199" s="14">
        <v>270000</v>
      </c>
      <c r="I199" s="14">
        <v>328000</v>
      </c>
      <c r="J199" s="14">
        <v>8710</v>
      </c>
      <c r="K199" s="14">
        <v>12030</v>
      </c>
      <c r="N199" s="42">
        <f t="shared" si="22"/>
        <v>125000</v>
      </c>
      <c r="O199" s="43">
        <f t="shared" si="23"/>
        <v>0.14602803738317757</v>
      </c>
    </row>
    <row r="200" spans="1:15" x14ac:dyDescent="0.45">
      <c r="A200" s="12" t="s">
        <v>11649</v>
      </c>
      <c r="B200" s="14">
        <v>732000</v>
      </c>
      <c r="C200" s="14">
        <v>861000</v>
      </c>
      <c r="D200" s="14">
        <v>538100</v>
      </c>
      <c r="E200" s="14">
        <v>632835</v>
      </c>
      <c r="F200" s="14">
        <v>417300</v>
      </c>
      <c r="G200" s="14">
        <v>490770</v>
      </c>
      <c r="H200" s="14">
        <v>262000</v>
      </c>
      <c r="I200" s="14">
        <v>318000</v>
      </c>
      <c r="J200" s="14">
        <v>8610</v>
      </c>
      <c r="K200" s="14">
        <v>11890</v>
      </c>
      <c r="N200" s="42">
        <f t="shared" si="22"/>
        <v>129000</v>
      </c>
      <c r="O200" s="43">
        <f t="shared" si="23"/>
        <v>0.14982578397212543</v>
      </c>
    </row>
    <row r="201" spans="1:15" x14ac:dyDescent="0.45">
      <c r="A201" s="12" t="s">
        <v>11701</v>
      </c>
      <c r="B201" s="14">
        <v>733000</v>
      </c>
      <c r="C201" s="14">
        <v>859000</v>
      </c>
      <c r="D201" s="14">
        <v>538800</v>
      </c>
      <c r="E201" s="14">
        <v>631365</v>
      </c>
      <c r="F201" s="14">
        <v>417900</v>
      </c>
      <c r="G201" s="14">
        <v>489630</v>
      </c>
      <c r="H201" s="14">
        <v>259000</v>
      </c>
      <c r="I201" s="14">
        <v>315000</v>
      </c>
      <c r="J201" s="14">
        <v>8490</v>
      </c>
      <c r="K201" s="14">
        <v>11730</v>
      </c>
      <c r="N201" s="42">
        <f t="shared" si="22"/>
        <v>126000</v>
      </c>
      <c r="O201" s="43">
        <f t="shared" si="23"/>
        <v>0.14668218859138532</v>
      </c>
    </row>
    <row r="202" spans="1:15" x14ac:dyDescent="0.45">
      <c r="A202" s="12" t="s">
        <v>11724</v>
      </c>
      <c r="B202" s="14">
        <v>725000</v>
      </c>
      <c r="C202" s="14">
        <v>842000</v>
      </c>
      <c r="D202" s="14">
        <v>532900</v>
      </c>
      <c r="E202" s="14">
        <v>618870</v>
      </c>
      <c r="F202" s="14">
        <v>413300</v>
      </c>
      <c r="G202" s="14">
        <v>479940</v>
      </c>
      <c r="H202" s="14">
        <v>255000</v>
      </c>
      <c r="I202" s="14">
        <v>310000</v>
      </c>
      <c r="J202" s="14">
        <v>8280</v>
      </c>
      <c r="K202" s="14">
        <v>11430</v>
      </c>
      <c r="N202" s="42">
        <f t="shared" si="22"/>
        <v>117000</v>
      </c>
      <c r="O202" s="43">
        <f t="shared" si="23"/>
        <v>0.13895486935866982</v>
      </c>
    </row>
    <row r="203" spans="1:15" x14ac:dyDescent="0.45">
      <c r="A203" s="12" t="s">
        <v>30375</v>
      </c>
      <c r="B203" s="14">
        <v>725000</v>
      </c>
      <c r="C203" s="14">
        <v>841000</v>
      </c>
      <c r="D203" s="14">
        <v>532900</v>
      </c>
      <c r="E203" s="14">
        <v>618135</v>
      </c>
      <c r="F203" s="14">
        <v>413300</v>
      </c>
      <c r="G203" s="14">
        <v>479370</v>
      </c>
      <c r="H203" s="14">
        <v>253000</v>
      </c>
      <c r="I203" s="14">
        <v>307000</v>
      </c>
      <c r="J203" s="14">
        <v>8270</v>
      </c>
      <c r="K203" s="14">
        <v>11420</v>
      </c>
      <c r="N203" s="42">
        <f t="shared" si="22"/>
        <v>116000</v>
      </c>
      <c r="O203" s="43">
        <f t="shared" si="23"/>
        <v>0.13793103448275862</v>
      </c>
    </row>
    <row r="204" spans="1:15" x14ac:dyDescent="0.45">
      <c r="A204" s="12" t="s">
        <v>11777</v>
      </c>
      <c r="B204" s="14">
        <v>724000</v>
      </c>
      <c r="C204" s="14">
        <v>838000</v>
      </c>
      <c r="D204" s="14">
        <v>532200</v>
      </c>
      <c r="E204" s="14">
        <v>615930</v>
      </c>
      <c r="F204" s="14">
        <v>412700</v>
      </c>
      <c r="G204" s="14">
        <v>477660</v>
      </c>
      <c r="H204" s="14">
        <v>253000</v>
      </c>
      <c r="I204" s="14">
        <v>308000</v>
      </c>
      <c r="J204" s="14">
        <v>8220</v>
      </c>
      <c r="K204" s="14">
        <v>11350</v>
      </c>
      <c r="N204" s="42">
        <f t="shared" si="22"/>
        <v>114000</v>
      </c>
      <c r="O204" s="43">
        <f t="shared" si="23"/>
        <v>0.13603818615751789</v>
      </c>
    </row>
    <row r="205" spans="1:15" x14ac:dyDescent="0.45">
      <c r="A205" s="12" t="s">
        <v>11853</v>
      </c>
      <c r="B205" s="14">
        <v>727000</v>
      </c>
      <c r="C205" s="14">
        <v>844000</v>
      </c>
      <c r="D205" s="14">
        <v>534400</v>
      </c>
      <c r="E205" s="14">
        <v>620340</v>
      </c>
      <c r="F205" s="14">
        <v>414400</v>
      </c>
      <c r="G205" s="14">
        <v>481080</v>
      </c>
      <c r="H205" s="14">
        <v>261000</v>
      </c>
      <c r="I205" s="14">
        <v>317000</v>
      </c>
      <c r="J205" s="14">
        <v>8500</v>
      </c>
      <c r="K205" s="14">
        <v>11740</v>
      </c>
      <c r="N205" s="42">
        <f t="shared" si="22"/>
        <v>117000</v>
      </c>
      <c r="O205" s="43">
        <f t="shared" si="23"/>
        <v>0.1386255924170616</v>
      </c>
    </row>
    <row r="206" spans="1:15" x14ac:dyDescent="0.45">
      <c r="A206" s="12" t="s">
        <v>11900</v>
      </c>
      <c r="B206" s="14">
        <v>725000</v>
      </c>
      <c r="C206" s="14">
        <v>845000</v>
      </c>
      <c r="D206" s="14">
        <v>532900</v>
      </c>
      <c r="E206" s="14">
        <v>621075</v>
      </c>
      <c r="F206" s="14">
        <v>413300</v>
      </c>
      <c r="G206" s="14">
        <v>481650</v>
      </c>
      <c r="H206" s="14">
        <v>258000</v>
      </c>
      <c r="I206" s="14">
        <v>313000</v>
      </c>
      <c r="J206" s="14">
        <v>8460</v>
      </c>
      <c r="K206" s="14">
        <v>11680</v>
      </c>
      <c r="N206" s="42">
        <f t="shared" si="22"/>
        <v>120000</v>
      </c>
      <c r="O206" s="43">
        <f t="shared" si="23"/>
        <v>0.14201183431952663</v>
      </c>
    </row>
    <row r="207" spans="1:15" x14ac:dyDescent="0.45">
      <c r="A207" s="12" t="s">
        <v>11938</v>
      </c>
      <c r="B207" s="14">
        <v>720000</v>
      </c>
      <c r="C207" s="14">
        <v>828000</v>
      </c>
      <c r="D207" s="14">
        <v>529200</v>
      </c>
      <c r="E207" s="14">
        <v>608580</v>
      </c>
      <c r="F207" s="14">
        <v>410400</v>
      </c>
      <c r="G207" s="14">
        <v>471960</v>
      </c>
      <c r="H207" s="14">
        <v>254000</v>
      </c>
      <c r="I207" s="14">
        <v>308000</v>
      </c>
      <c r="J207" s="14">
        <v>8180</v>
      </c>
      <c r="K207" s="14">
        <v>11290</v>
      </c>
      <c r="N207" s="42">
        <f t="shared" si="22"/>
        <v>108000</v>
      </c>
      <c r="O207" s="43">
        <f t="shared" si="23"/>
        <v>0.13043478260869565</v>
      </c>
    </row>
    <row r="208" spans="1:15" x14ac:dyDescent="0.45">
      <c r="A208" s="12" t="s">
        <v>12021</v>
      </c>
      <c r="B208" s="14">
        <v>730000</v>
      </c>
      <c r="C208" s="14">
        <v>841000</v>
      </c>
      <c r="D208" s="14">
        <v>536600</v>
      </c>
      <c r="E208" s="14">
        <v>618135</v>
      </c>
      <c r="F208" s="14">
        <v>416100</v>
      </c>
      <c r="G208" s="14">
        <v>479370</v>
      </c>
      <c r="H208" s="14">
        <v>256000</v>
      </c>
      <c r="I208" s="14">
        <v>311000</v>
      </c>
      <c r="J208" s="14">
        <v>8370</v>
      </c>
      <c r="K208" s="14">
        <v>11560</v>
      </c>
      <c r="N208" s="42">
        <f t="shared" si="22"/>
        <v>111000</v>
      </c>
      <c r="O208" s="43">
        <f t="shared" si="23"/>
        <v>0.13198573127229488</v>
      </c>
    </row>
    <row r="209" spans="1:15" x14ac:dyDescent="0.45">
      <c r="A209" s="12" t="s">
        <v>30376</v>
      </c>
      <c r="B209" s="14">
        <v>720000</v>
      </c>
      <c r="C209" s="14">
        <v>833000</v>
      </c>
      <c r="D209" s="14">
        <v>529200</v>
      </c>
      <c r="E209" s="14">
        <v>612255</v>
      </c>
      <c r="F209" s="14">
        <v>410400</v>
      </c>
      <c r="G209" s="14">
        <v>474810</v>
      </c>
      <c r="H209" s="14">
        <v>255000</v>
      </c>
      <c r="I209" s="14">
        <v>309000</v>
      </c>
      <c r="J209" s="14">
        <v>8230</v>
      </c>
      <c r="K209" s="14">
        <v>11370</v>
      </c>
      <c r="N209" s="42">
        <f t="shared" si="22"/>
        <v>113000</v>
      </c>
      <c r="O209" s="43">
        <f t="shared" si="23"/>
        <v>0.13565426170468187</v>
      </c>
    </row>
    <row r="210" spans="1:15" x14ac:dyDescent="0.45">
      <c r="A210" s="12" t="s">
        <v>12171</v>
      </c>
      <c r="B210" s="14">
        <v>740000</v>
      </c>
      <c r="C210" s="14">
        <v>864000</v>
      </c>
      <c r="D210" s="14">
        <v>543900</v>
      </c>
      <c r="E210" s="14">
        <v>635040</v>
      </c>
      <c r="F210" s="14">
        <v>421800</v>
      </c>
      <c r="G210" s="14">
        <v>492480</v>
      </c>
      <c r="H210" s="14">
        <v>266000</v>
      </c>
      <c r="I210" s="14">
        <v>323000</v>
      </c>
      <c r="J210" s="14">
        <v>8730</v>
      </c>
      <c r="K210" s="14">
        <v>12050</v>
      </c>
      <c r="N210" s="42">
        <f t="shared" si="22"/>
        <v>124000</v>
      </c>
      <c r="O210" s="43">
        <f t="shared" si="23"/>
        <v>0.14351851851851852</v>
      </c>
    </row>
    <row r="211" spans="1:15" x14ac:dyDescent="0.45">
      <c r="A211" s="12" t="s">
        <v>12326</v>
      </c>
      <c r="B211" s="14">
        <v>740000</v>
      </c>
      <c r="C211" s="14">
        <v>874000</v>
      </c>
      <c r="D211" s="14">
        <v>543900</v>
      </c>
      <c r="E211" s="14">
        <v>642390</v>
      </c>
      <c r="F211" s="14">
        <v>421800</v>
      </c>
      <c r="G211" s="14">
        <v>498180</v>
      </c>
      <c r="H211" s="14">
        <v>271000</v>
      </c>
      <c r="I211" s="14">
        <v>329000</v>
      </c>
      <c r="J211" s="14">
        <v>8940</v>
      </c>
      <c r="K211" s="14">
        <v>12340</v>
      </c>
      <c r="N211" s="42">
        <f t="shared" si="22"/>
        <v>134000</v>
      </c>
      <c r="O211" s="43">
        <f t="shared" si="23"/>
        <v>0.15331807780320367</v>
      </c>
    </row>
    <row r="212" spans="1:15" x14ac:dyDescent="0.45">
      <c r="A212" s="12" t="s">
        <v>12421</v>
      </c>
      <c r="B212" s="14">
        <v>730000</v>
      </c>
      <c r="C212" s="14">
        <v>859000</v>
      </c>
      <c r="D212" s="14">
        <v>536600</v>
      </c>
      <c r="E212" s="14">
        <v>631365</v>
      </c>
      <c r="F212" s="14">
        <v>416100</v>
      </c>
      <c r="G212" s="14">
        <v>489630</v>
      </c>
      <c r="H212" s="14">
        <v>264000</v>
      </c>
      <c r="I212" s="14">
        <v>320000</v>
      </c>
      <c r="J212" s="14">
        <v>8490</v>
      </c>
      <c r="K212" s="14">
        <v>11720</v>
      </c>
      <c r="N212" s="42">
        <f t="shared" si="22"/>
        <v>129000</v>
      </c>
      <c r="O212" s="43">
        <f t="shared" si="23"/>
        <v>0.15017462165308498</v>
      </c>
    </row>
    <row r="213" spans="1:15" x14ac:dyDescent="0.45">
      <c r="A213" s="12" t="s">
        <v>12543</v>
      </c>
      <c r="B213" s="14">
        <v>720000</v>
      </c>
      <c r="C213" s="14">
        <v>863000</v>
      </c>
      <c r="D213" s="14">
        <v>529200</v>
      </c>
      <c r="E213" s="14">
        <v>634305</v>
      </c>
      <c r="F213" s="14">
        <v>410400</v>
      </c>
      <c r="G213" s="14">
        <v>491910</v>
      </c>
      <c r="H213" s="14">
        <v>263000</v>
      </c>
      <c r="I213" s="14">
        <v>320000</v>
      </c>
      <c r="J213" s="14">
        <v>8360</v>
      </c>
      <c r="K213" s="14">
        <v>11540</v>
      </c>
      <c r="N213" s="42">
        <f t="shared" si="22"/>
        <v>143000</v>
      </c>
      <c r="O213" s="43">
        <f t="shared" si="23"/>
        <v>0.16570104287369641</v>
      </c>
    </row>
    <row r="214" spans="1:15" x14ac:dyDescent="0.45">
      <c r="A214" s="12" t="s">
        <v>12655</v>
      </c>
      <c r="B214" s="14">
        <v>715000</v>
      </c>
      <c r="C214" s="14">
        <v>838000</v>
      </c>
      <c r="D214" s="14">
        <v>525600</v>
      </c>
      <c r="E214" s="14">
        <v>615930</v>
      </c>
      <c r="F214" s="14">
        <v>407600</v>
      </c>
      <c r="G214" s="14">
        <v>477660</v>
      </c>
      <c r="H214" s="14">
        <v>260000</v>
      </c>
      <c r="I214" s="14">
        <v>316000</v>
      </c>
      <c r="J214" s="14">
        <v>8110</v>
      </c>
      <c r="K214" s="14">
        <v>11190</v>
      </c>
      <c r="N214" s="42">
        <f t="shared" si="22"/>
        <v>123000</v>
      </c>
      <c r="O214" s="43">
        <f t="shared" si="23"/>
        <v>0.1467780429594272</v>
      </c>
    </row>
    <row r="215" spans="1:15" x14ac:dyDescent="0.45">
      <c r="A215" s="12" t="s">
        <v>30377</v>
      </c>
      <c r="B215" s="14">
        <v>713000</v>
      </c>
      <c r="C215" s="14">
        <v>824000</v>
      </c>
      <c r="D215" s="14">
        <v>524100</v>
      </c>
      <c r="E215" s="14">
        <v>605640</v>
      </c>
      <c r="F215" s="14">
        <v>406500</v>
      </c>
      <c r="G215" s="14">
        <v>469680</v>
      </c>
      <c r="H215" s="14">
        <v>256000</v>
      </c>
      <c r="I215" s="14">
        <v>312000</v>
      </c>
      <c r="J215" s="14">
        <v>7910</v>
      </c>
      <c r="K215" s="14">
        <v>10930</v>
      </c>
      <c r="N215" s="42">
        <f t="shared" si="22"/>
        <v>111000</v>
      </c>
      <c r="O215" s="43">
        <f t="shared" si="23"/>
        <v>0.13470873786407767</v>
      </c>
    </row>
    <row r="216" spans="1:15" x14ac:dyDescent="0.45">
      <c r="A216" s="12" t="s">
        <v>12845</v>
      </c>
      <c r="B216" s="14">
        <v>710000</v>
      </c>
      <c r="C216" s="14">
        <v>823000</v>
      </c>
      <c r="D216" s="14">
        <v>521900</v>
      </c>
      <c r="E216" s="14">
        <v>604905</v>
      </c>
      <c r="F216" s="14">
        <v>404700</v>
      </c>
      <c r="G216" s="14">
        <v>469110</v>
      </c>
      <c r="H216" s="14">
        <v>255000</v>
      </c>
      <c r="I216" s="14">
        <v>310000</v>
      </c>
      <c r="J216" s="14">
        <v>7910</v>
      </c>
      <c r="K216" s="14">
        <v>10920</v>
      </c>
      <c r="N216" s="42">
        <f t="shared" si="22"/>
        <v>113000</v>
      </c>
      <c r="O216" s="43">
        <f t="shared" si="23"/>
        <v>0.13730255164034022</v>
      </c>
    </row>
    <row r="217" spans="1:15" x14ac:dyDescent="0.45">
      <c r="A217" s="12" t="s">
        <v>13101</v>
      </c>
      <c r="B217" s="14">
        <v>710000</v>
      </c>
      <c r="C217" s="14">
        <v>821000</v>
      </c>
      <c r="D217" s="14">
        <v>521900</v>
      </c>
      <c r="E217" s="14">
        <v>603435</v>
      </c>
      <c r="F217" s="14">
        <v>404700</v>
      </c>
      <c r="G217" s="14">
        <v>467970</v>
      </c>
      <c r="H217" s="14">
        <v>258000</v>
      </c>
      <c r="I217" s="14">
        <v>313000</v>
      </c>
      <c r="J217" s="14">
        <v>7890</v>
      </c>
      <c r="K217" s="14">
        <v>11090</v>
      </c>
      <c r="N217" s="42">
        <f t="shared" si="22"/>
        <v>111000</v>
      </c>
      <c r="O217" s="43">
        <f t="shared" si="23"/>
        <v>0.13520097442143728</v>
      </c>
    </row>
    <row r="218" spans="1:15" x14ac:dyDescent="0.45">
      <c r="A218" s="12" t="s">
        <v>13282</v>
      </c>
      <c r="B218" s="14">
        <v>707000</v>
      </c>
      <c r="C218" s="14">
        <v>813000</v>
      </c>
      <c r="D218" s="14">
        <v>519700</v>
      </c>
      <c r="E218" s="14">
        <v>597555</v>
      </c>
      <c r="F218" s="14">
        <v>403000</v>
      </c>
      <c r="G218" s="14">
        <v>463410</v>
      </c>
      <c r="H218" s="14">
        <v>254000</v>
      </c>
      <c r="I218" s="14">
        <v>308000</v>
      </c>
      <c r="J218" s="14">
        <v>7770</v>
      </c>
      <c r="K218" s="14">
        <v>10910</v>
      </c>
      <c r="N218" s="42">
        <f t="shared" si="22"/>
        <v>106000</v>
      </c>
      <c r="O218" s="43">
        <f t="shared" si="23"/>
        <v>0.13038130381303814</v>
      </c>
    </row>
    <row r="219" spans="1:15" x14ac:dyDescent="0.45">
      <c r="A219" s="12" t="s">
        <v>13409</v>
      </c>
      <c r="B219" s="14">
        <v>710000</v>
      </c>
      <c r="C219" s="14">
        <v>817000</v>
      </c>
      <c r="D219" s="14">
        <v>521900</v>
      </c>
      <c r="E219" s="14">
        <v>600495</v>
      </c>
      <c r="F219" s="14">
        <v>404700</v>
      </c>
      <c r="G219" s="14">
        <v>465690</v>
      </c>
      <c r="H219" s="14">
        <v>257000</v>
      </c>
      <c r="I219" s="14">
        <v>313000</v>
      </c>
      <c r="J219" s="14">
        <v>7770</v>
      </c>
      <c r="K219" s="14">
        <v>10910</v>
      </c>
      <c r="N219" s="42">
        <f t="shared" si="22"/>
        <v>107000</v>
      </c>
      <c r="O219" s="43">
        <f t="shared" si="23"/>
        <v>0.13096695226438188</v>
      </c>
    </row>
    <row r="220" spans="1:15" x14ac:dyDescent="0.45">
      <c r="A220" s="12" t="s">
        <v>13529</v>
      </c>
      <c r="B220" s="14">
        <v>700000</v>
      </c>
      <c r="C220" s="14">
        <v>813000</v>
      </c>
      <c r="D220" s="14">
        <v>514500</v>
      </c>
      <c r="E220" s="14">
        <v>597555</v>
      </c>
      <c r="F220" s="14">
        <v>399000</v>
      </c>
      <c r="G220" s="14">
        <v>463410</v>
      </c>
      <c r="H220" s="14">
        <v>258000</v>
      </c>
      <c r="I220" s="14">
        <v>314000</v>
      </c>
      <c r="J220" s="14">
        <v>7830</v>
      </c>
      <c r="K220" s="14">
        <v>11000</v>
      </c>
      <c r="N220" s="42">
        <f t="shared" si="22"/>
        <v>113000</v>
      </c>
      <c r="O220" s="43">
        <f t="shared" si="23"/>
        <v>0.13899138991389914</v>
      </c>
    </row>
    <row r="221" spans="1:15" x14ac:dyDescent="0.45">
      <c r="A221" s="12" t="s">
        <v>30378</v>
      </c>
      <c r="B221" s="14">
        <v>700000</v>
      </c>
      <c r="C221" s="14">
        <v>815000</v>
      </c>
      <c r="D221" s="14">
        <v>514500</v>
      </c>
      <c r="E221" s="14">
        <v>599025</v>
      </c>
      <c r="F221" s="14">
        <v>399000</v>
      </c>
      <c r="G221" s="14">
        <v>464550</v>
      </c>
      <c r="H221" s="14">
        <v>256000</v>
      </c>
      <c r="I221" s="14">
        <v>311000</v>
      </c>
      <c r="J221" s="14">
        <v>7840</v>
      </c>
      <c r="K221" s="14">
        <v>11010</v>
      </c>
      <c r="N221" s="42">
        <f t="shared" si="22"/>
        <v>115000</v>
      </c>
      <c r="O221" s="43">
        <f t="shared" si="23"/>
        <v>0.1411042944785276</v>
      </c>
    </row>
    <row r="222" spans="1:15" x14ac:dyDescent="0.45">
      <c r="A222" s="12" t="s">
        <v>13777</v>
      </c>
      <c r="B222" s="14">
        <v>700000</v>
      </c>
      <c r="C222" s="14">
        <v>818000</v>
      </c>
      <c r="D222" s="14">
        <v>514500</v>
      </c>
      <c r="E222" s="14">
        <v>601230</v>
      </c>
      <c r="F222" s="14">
        <v>399000</v>
      </c>
      <c r="G222" s="14">
        <v>466260</v>
      </c>
      <c r="H222" s="14">
        <v>262000</v>
      </c>
      <c r="I222" s="14">
        <v>318000</v>
      </c>
      <c r="J222" s="14">
        <v>7840</v>
      </c>
      <c r="K222" s="14">
        <v>11020</v>
      </c>
      <c r="N222" s="42">
        <f t="shared" si="22"/>
        <v>118000</v>
      </c>
      <c r="O222" s="43">
        <f t="shared" si="23"/>
        <v>0.14425427872860636</v>
      </c>
    </row>
    <row r="223" spans="1:15" x14ac:dyDescent="0.45">
      <c r="A223" s="12" t="s">
        <v>14149</v>
      </c>
      <c r="B223" s="14">
        <v>687000</v>
      </c>
      <c r="C223" s="14">
        <v>806000</v>
      </c>
      <c r="D223" s="14">
        <v>505000</v>
      </c>
      <c r="E223" s="14">
        <v>592410</v>
      </c>
      <c r="F223" s="14">
        <v>391600</v>
      </c>
      <c r="G223" s="14">
        <v>459420</v>
      </c>
      <c r="H223" s="14">
        <v>260000</v>
      </c>
      <c r="I223" s="14">
        <v>315000</v>
      </c>
      <c r="J223" s="14">
        <v>7660</v>
      </c>
      <c r="K223" s="14">
        <v>10760</v>
      </c>
      <c r="N223" s="42">
        <f t="shared" si="22"/>
        <v>119000</v>
      </c>
      <c r="O223" s="43">
        <f t="shared" si="23"/>
        <v>0.14764267990074442</v>
      </c>
    </row>
    <row r="224" spans="1:15" x14ac:dyDescent="0.45">
      <c r="A224" s="12" t="s">
        <v>14307</v>
      </c>
      <c r="B224" s="14">
        <v>690000</v>
      </c>
      <c r="C224" s="14">
        <v>821000</v>
      </c>
      <c r="D224" s="14">
        <v>507200</v>
      </c>
      <c r="E224" s="14">
        <v>603435</v>
      </c>
      <c r="F224" s="14">
        <v>393300</v>
      </c>
      <c r="G224" s="14">
        <v>467970</v>
      </c>
      <c r="H224" s="14">
        <v>262000</v>
      </c>
      <c r="I224" s="14">
        <v>318000</v>
      </c>
      <c r="J224" s="14">
        <v>7760</v>
      </c>
      <c r="K224" s="14">
        <v>10900</v>
      </c>
      <c r="N224" s="42">
        <f t="shared" si="22"/>
        <v>131000</v>
      </c>
      <c r="O224" s="43">
        <f t="shared" si="23"/>
        <v>0.15956151035322777</v>
      </c>
    </row>
    <row r="225" spans="1:15" x14ac:dyDescent="0.45">
      <c r="A225" s="12" t="s">
        <v>14459</v>
      </c>
      <c r="B225" s="14">
        <v>676000</v>
      </c>
      <c r="C225" s="14">
        <v>821000</v>
      </c>
      <c r="D225" s="14">
        <v>496900</v>
      </c>
      <c r="E225" s="14">
        <v>603435</v>
      </c>
      <c r="F225" s="14">
        <v>385400</v>
      </c>
      <c r="G225" s="14">
        <v>467970</v>
      </c>
      <c r="H225" s="14">
        <v>257000</v>
      </c>
      <c r="I225" s="14">
        <v>312000</v>
      </c>
      <c r="J225" s="14">
        <v>7550</v>
      </c>
      <c r="K225" s="14">
        <v>10610</v>
      </c>
      <c r="N225" s="42">
        <f t="shared" si="22"/>
        <v>145000</v>
      </c>
      <c r="O225" s="43">
        <f t="shared" si="23"/>
        <v>0.17661388550548113</v>
      </c>
    </row>
    <row r="226" spans="1:15" x14ac:dyDescent="0.45">
      <c r="A226" s="12" t="s">
        <v>14550</v>
      </c>
      <c r="B226" s="14">
        <v>720000</v>
      </c>
      <c r="C226" s="14">
        <v>846000</v>
      </c>
      <c r="D226" s="14">
        <v>529200</v>
      </c>
      <c r="E226" s="14">
        <v>621810</v>
      </c>
      <c r="F226" s="14">
        <v>410400</v>
      </c>
      <c r="G226" s="14">
        <v>482220</v>
      </c>
      <c r="H226" s="14">
        <v>261000</v>
      </c>
      <c r="I226" s="14">
        <v>317000</v>
      </c>
      <c r="J226" s="14">
        <v>7760</v>
      </c>
      <c r="K226" s="14">
        <v>10900</v>
      </c>
      <c r="N226" s="42">
        <f t="shared" si="22"/>
        <v>126000</v>
      </c>
      <c r="O226" s="43">
        <f t="shared" si="23"/>
        <v>0.14893617021276595</v>
      </c>
    </row>
    <row r="227" spans="1:15" x14ac:dyDescent="0.45">
      <c r="A227" s="12" t="s">
        <v>30379</v>
      </c>
      <c r="B227" s="14">
        <v>730000</v>
      </c>
      <c r="C227" s="14">
        <v>860000</v>
      </c>
      <c r="D227" s="14">
        <v>536600</v>
      </c>
      <c r="E227" s="14">
        <v>632100</v>
      </c>
      <c r="F227" s="14">
        <v>416100</v>
      </c>
      <c r="G227" s="14">
        <v>490200</v>
      </c>
      <c r="H227" s="14">
        <v>263000</v>
      </c>
      <c r="I227" s="14">
        <v>320000</v>
      </c>
      <c r="J227" s="14">
        <v>7870</v>
      </c>
      <c r="K227" s="14">
        <v>11050</v>
      </c>
      <c r="N227" s="42">
        <f t="shared" si="22"/>
        <v>130000</v>
      </c>
      <c r="O227" s="43">
        <f t="shared" si="23"/>
        <v>0.15116279069767441</v>
      </c>
    </row>
    <row r="228" spans="1:15" x14ac:dyDescent="0.45">
      <c r="A228" s="12" t="s">
        <v>14600</v>
      </c>
      <c r="B228" s="14">
        <v>732000</v>
      </c>
      <c r="C228" s="14">
        <v>860000</v>
      </c>
      <c r="D228" s="14">
        <v>538100</v>
      </c>
      <c r="E228" s="14">
        <v>632100</v>
      </c>
      <c r="F228" s="14">
        <v>417300</v>
      </c>
      <c r="G228" s="14">
        <v>490200</v>
      </c>
      <c r="H228" s="14">
        <v>267000</v>
      </c>
      <c r="I228" s="14">
        <v>325000</v>
      </c>
      <c r="J228" s="14">
        <v>7890</v>
      </c>
      <c r="K228" s="14">
        <v>11080</v>
      </c>
      <c r="N228" s="42">
        <f t="shared" si="22"/>
        <v>128000</v>
      </c>
      <c r="O228" s="43">
        <f t="shared" si="23"/>
        <v>0.14883720930232558</v>
      </c>
    </row>
    <row r="229" spans="1:15" x14ac:dyDescent="0.45">
      <c r="A229" s="12" t="s">
        <v>14689</v>
      </c>
      <c r="B229" s="14">
        <v>732000</v>
      </c>
      <c r="C229" s="14">
        <v>865000</v>
      </c>
      <c r="D229" s="14">
        <v>538100</v>
      </c>
      <c r="E229" s="14">
        <v>635775</v>
      </c>
      <c r="F229" s="14">
        <v>417300</v>
      </c>
      <c r="G229" s="14">
        <v>493050</v>
      </c>
      <c r="H229" s="14">
        <v>263000</v>
      </c>
      <c r="I229" s="14">
        <v>320000</v>
      </c>
      <c r="J229" s="14">
        <v>7920</v>
      </c>
      <c r="K229" s="14">
        <v>11120</v>
      </c>
      <c r="N229" s="42">
        <f t="shared" si="22"/>
        <v>133000</v>
      </c>
      <c r="O229" s="43">
        <f t="shared" si="23"/>
        <v>0.15375722543352602</v>
      </c>
    </row>
    <row r="230" spans="1:15" x14ac:dyDescent="0.45">
      <c r="A230" s="12" t="s">
        <v>14723</v>
      </c>
      <c r="B230" s="14">
        <v>735000</v>
      </c>
      <c r="C230" s="14">
        <v>868000</v>
      </c>
      <c r="D230" s="14">
        <v>540300</v>
      </c>
      <c r="E230" s="14">
        <v>637980</v>
      </c>
      <c r="F230" s="14">
        <v>419000</v>
      </c>
      <c r="G230" s="14">
        <v>494760</v>
      </c>
      <c r="H230" s="14">
        <v>250000</v>
      </c>
      <c r="I230" s="14">
        <v>304000</v>
      </c>
      <c r="J230" s="14">
        <v>7920</v>
      </c>
      <c r="K230" s="14">
        <v>11120</v>
      </c>
      <c r="N230" s="42">
        <f t="shared" si="22"/>
        <v>133000</v>
      </c>
      <c r="O230" s="43">
        <f t="shared" si="23"/>
        <v>0.15322580645161291</v>
      </c>
    </row>
    <row r="231" spans="1:15" x14ac:dyDescent="0.45">
      <c r="A231" s="12" t="s">
        <v>14783</v>
      </c>
      <c r="B231" s="14">
        <v>773000</v>
      </c>
      <c r="C231" s="14">
        <v>907000</v>
      </c>
      <c r="D231" s="14">
        <v>568200</v>
      </c>
      <c r="E231" s="14">
        <v>666645</v>
      </c>
      <c r="F231" s="14">
        <v>440700</v>
      </c>
      <c r="G231" s="14">
        <v>516990</v>
      </c>
      <c r="H231" s="14">
        <v>265000</v>
      </c>
      <c r="I231" s="14">
        <v>323000</v>
      </c>
      <c r="J231" s="14">
        <v>8350</v>
      </c>
      <c r="K231" s="14">
        <v>11720</v>
      </c>
      <c r="N231" s="42">
        <f t="shared" si="22"/>
        <v>134000</v>
      </c>
      <c r="O231" s="43">
        <f t="shared" si="23"/>
        <v>0.14773980154355015</v>
      </c>
    </row>
    <row r="232" spans="1:15" x14ac:dyDescent="0.45">
      <c r="A232" s="12" t="s">
        <v>14866</v>
      </c>
      <c r="B232" s="14">
        <v>770000</v>
      </c>
      <c r="C232" s="14">
        <v>894000</v>
      </c>
      <c r="D232" s="14">
        <v>566000</v>
      </c>
      <c r="E232" s="14">
        <v>657090</v>
      </c>
      <c r="F232" s="14">
        <v>438900</v>
      </c>
      <c r="G232" s="14">
        <v>509580</v>
      </c>
      <c r="H232" s="14">
        <v>256000</v>
      </c>
      <c r="I232" s="14">
        <v>318000</v>
      </c>
      <c r="J232" s="14">
        <v>8220</v>
      </c>
      <c r="K232" s="14">
        <v>11560</v>
      </c>
      <c r="N232" s="42">
        <f t="shared" si="22"/>
        <v>124000</v>
      </c>
      <c r="O232" s="43">
        <f t="shared" si="23"/>
        <v>0.13870246085011187</v>
      </c>
    </row>
    <row r="233" spans="1:15" x14ac:dyDescent="0.45">
      <c r="A233" s="12" t="s">
        <v>30380</v>
      </c>
      <c r="B233" s="14">
        <v>788000</v>
      </c>
      <c r="C233" s="14">
        <v>904000</v>
      </c>
      <c r="D233" s="14">
        <v>579200</v>
      </c>
      <c r="E233" s="14">
        <v>664440</v>
      </c>
      <c r="F233" s="14">
        <v>449200</v>
      </c>
      <c r="G233" s="14">
        <v>515280</v>
      </c>
      <c r="H233" s="14">
        <v>276000</v>
      </c>
      <c r="I233" s="14">
        <v>322000</v>
      </c>
      <c r="J233" s="14">
        <v>8500</v>
      </c>
      <c r="K233" s="14">
        <v>11780</v>
      </c>
      <c r="N233" s="42">
        <f t="shared" si="22"/>
        <v>116000</v>
      </c>
      <c r="O233" s="43">
        <f t="shared" si="23"/>
        <v>0.12831858407079647</v>
      </c>
    </row>
    <row r="234" spans="1:15" x14ac:dyDescent="0.45">
      <c r="A234" s="12" t="s">
        <v>14947</v>
      </c>
      <c r="B234" s="14">
        <v>790000</v>
      </c>
      <c r="C234" s="14">
        <v>907000</v>
      </c>
      <c r="D234" s="14">
        <v>580700</v>
      </c>
      <c r="E234" s="14">
        <v>666645</v>
      </c>
      <c r="F234" s="14">
        <v>450300</v>
      </c>
      <c r="G234" s="14">
        <v>516990</v>
      </c>
      <c r="H234" s="14">
        <v>276000</v>
      </c>
      <c r="I234" s="14">
        <v>336000</v>
      </c>
      <c r="J234" s="14">
        <v>8670</v>
      </c>
      <c r="K234" s="14">
        <v>12170</v>
      </c>
      <c r="N234" s="42">
        <f t="shared" si="22"/>
        <v>117000</v>
      </c>
      <c r="O234" s="43">
        <f t="shared" si="23"/>
        <v>0.12899669239250275</v>
      </c>
    </row>
    <row r="235" spans="1:15" x14ac:dyDescent="0.45">
      <c r="A235" s="12" t="s">
        <v>15058</v>
      </c>
      <c r="B235" s="14">
        <v>770000</v>
      </c>
      <c r="C235" s="14">
        <v>863000</v>
      </c>
      <c r="D235" s="14">
        <v>566000</v>
      </c>
      <c r="E235" s="14">
        <v>634305</v>
      </c>
      <c r="F235" s="14">
        <v>438900</v>
      </c>
      <c r="G235" s="14">
        <v>491910</v>
      </c>
      <c r="H235" s="14">
        <v>270000</v>
      </c>
      <c r="I235" s="14">
        <v>328000</v>
      </c>
      <c r="J235" s="14">
        <v>8490</v>
      </c>
      <c r="K235" s="14">
        <v>11620</v>
      </c>
      <c r="N235" s="42">
        <f t="shared" si="22"/>
        <v>93000</v>
      </c>
      <c r="O235" s="43">
        <f t="shared" si="23"/>
        <v>0.10776361529548088</v>
      </c>
    </row>
    <row r="236" spans="1:15" x14ac:dyDescent="0.45">
      <c r="A236" s="12" t="s">
        <v>15119</v>
      </c>
      <c r="B236" s="14">
        <v>765000</v>
      </c>
      <c r="C236" s="14">
        <v>855000</v>
      </c>
      <c r="D236" s="14">
        <v>562300</v>
      </c>
      <c r="E236" s="14">
        <v>628425</v>
      </c>
      <c r="F236" s="14">
        <v>436100</v>
      </c>
      <c r="G236" s="14">
        <v>487350</v>
      </c>
      <c r="H236" s="14">
        <v>269000</v>
      </c>
      <c r="I236" s="14">
        <v>327000</v>
      </c>
      <c r="J236" s="14">
        <v>8430</v>
      </c>
      <c r="K236" s="14">
        <v>11540</v>
      </c>
      <c r="N236" s="42">
        <f t="shared" si="22"/>
        <v>90000</v>
      </c>
      <c r="O236" s="43">
        <f t="shared" si="23"/>
        <v>0.10526315789473684</v>
      </c>
    </row>
    <row r="237" spans="1:15" x14ac:dyDescent="0.45">
      <c r="A237" s="12" t="s">
        <v>15223</v>
      </c>
      <c r="B237" s="14">
        <v>735000</v>
      </c>
      <c r="C237" s="14">
        <v>847000</v>
      </c>
      <c r="D237" s="14">
        <v>540300</v>
      </c>
      <c r="E237" s="14">
        <v>622545</v>
      </c>
      <c r="F237" s="14">
        <v>419000</v>
      </c>
      <c r="G237" s="14">
        <v>482790</v>
      </c>
      <c r="H237" s="14">
        <v>270000</v>
      </c>
      <c r="I237" s="14">
        <v>328000</v>
      </c>
      <c r="J237" s="14">
        <v>8430</v>
      </c>
      <c r="K237" s="14">
        <v>11540</v>
      </c>
      <c r="N237" s="42">
        <f t="shared" ref="N237:N300" si="24">C237-B237</f>
        <v>112000</v>
      </c>
      <c r="O237" s="43">
        <f t="shared" ref="O237:O300" si="25">N237/C237</f>
        <v>0.13223140495867769</v>
      </c>
    </row>
    <row r="238" spans="1:15" x14ac:dyDescent="0.45">
      <c r="A238" s="12" t="s">
        <v>15300</v>
      </c>
      <c r="B238" s="14">
        <v>720000</v>
      </c>
      <c r="C238" s="14">
        <v>831000</v>
      </c>
      <c r="D238" s="14">
        <v>529200</v>
      </c>
      <c r="E238" s="14">
        <v>610785</v>
      </c>
      <c r="F238" s="14">
        <v>410400</v>
      </c>
      <c r="G238" s="14">
        <v>473670</v>
      </c>
      <c r="H238" s="14">
        <v>268000</v>
      </c>
      <c r="I238" s="14">
        <v>325000</v>
      </c>
      <c r="J238" s="14">
        <v>8260</v>
      </c>
      <c r="K238" s="14">
        <v>11310</v>
      </c>
      <c r="N238" s="42">
        <f t="shared" si="24"/>
        <v>111000</v>
      </c>
      <c r="O238" s="43">
        <f t="shared" si="25"/>
        <v>0.13357400722021662</v>
      </c>
    </row>
    <row r="239" spans="1:15" x14ac:dyDescent="0.45">
      <c r="A239" s="12" t="s">
        <v>30381</v>
      </c>
      <c r="B239" s="14">
        <v>708000</v>
      </c>
      <c r="C239" s="14">
        <v>819000</v>
      </c>
      <c r="D239" s="14">
        <v>520400</v>
      </c>
      <c r="E239" s="14">
        <v>601965</v>
      </c>
      <c r="F239" s="14">
        <v>403600</v>
      </c>
      <c r="G239" s="14">
        <v>466830</v>
      </c>
      <c r="H239" s="14">
        <v>258000</v>
      </c>
      <c r="I239" s="14">
        <v>314000</v>
      </c>
      <c r="J239" s="14">
        <v>8090</v>
      </c>
      <c r="K239" s="14">
        <v>11070</v>
      </c>
      <c r="N239" s="42">
        <f t="shared" si="24"/>
        <v>111000</v>
      </c>
      <c r="O239" s="43">
        <f t="shared" si="25"/>
        <v>0.13553113553113552</v>
      </c>
    </row>
    <row r="240" spans="1:15" x14ac:dyDescent="0.45">
      <c r="A240" s="12" t="s">
        <v>15389</v>
      </c>
      <c r="B240" s="14">
        <v>705000</v>
      </c>
      <c r="C240" s="14">
        <v>813000</v>
      </c>
      <c r="D240" s="14">
        <v>518200</v>
      </c>
      <c r="E240" s="14">
        <v>597555</v>
      </c>
      <c r="F240" s="14">
        <v>401900</v>
      </c>
      <c r="G240" s="14">
        <v>463410</v>
      </c>
      <c r="H240" s="14">
        <v>267000</v>
      </c>
      <c r="I240" s="14">
        <v>324000</v>
      </c>
      <c r="J240" s="14">
        <v>8170</v>
      </c>
      <c r="K240" s="14">
        <v>11180</v>
      </c>
      <c r="N240" s="42">
        <f t="shared" si="24"/>
        <v>108000</v>
      </c>
      <c r="O240" s="43">
        <f t="shared" si="25"/>
        <v>0.13284132841328414</v>
      </c>
    </row>
    <row r="241" spans="1:15" x14ac:dyDescent="0.45">
      <c r="A241" s="12" t="s">
        <v>30382</v>
      </c>
      <c r="B241" s="14">
        <v>708000</v>
      </c>
      <c r="C241" s="14">
        <v>819000</v>
      </c>
      <c r="D241" s="14">
        <v>520400</v>
      </c>
      <c r="E241" s="14">
        <v>601965</v>
      </c>
      <c r="F241" s="14">
        <v>403600</v>
      </c>
      <c r="G241" s="14">
        <v>466830</v>
      </c>
      <c r="H241" s="14">
        <v>269000</v>
      </c>
      <c r="I241" s="14">
        <v>327000</v>
      </c>
      <c r="J241" s="14">
        <v>7860</v>
      </c>
      <c r="K241" s="14">
        <v>10760</v>
      </c>
      <c r="N241" s="42">
        <f t="shared" si="24"/>
        <v>111000</v>
      </c>
      <c r="O241" s="43">
        <f t="shared" si="25"/>
        <v>0.13553113553113552</v>
      </c>
    </row>
    <row r="242" spans="1:15" x14ac:dyDescent="0.45">
      <c r="A242" s="12" t="s">
        <v>30383</v>
      </c>
      <c r="B242" s="14">
        <v>705000</v>
      </c>
      <c r="C242" s="14">
        <v>819000</v>
      </c>
      <c r="D242" s="14">
        <v>518200</v>
      </c>
      <c r="E242" s="14">
        <v>601965</v>
      </c>
      <c r="F242" s="14">
        <v>401900</v>
      </c>
      <c r="G242" s="14">
        <v>466830</v>
      </c>
      <c r="H242" s="14">
        <v>267000</v>
      </c>
      <c r="I242" s="14">
        <v>324000</v>
      </c>
      <c r="J242" s="14">
        <v>7780</v>
      </c>
      <c r="K242" s="14">
        <v>10650</v>
      </c>
      <c r="N242" s="42">
        <f t="shared" si="24"/>
        <v>114000</v>
      </c>
      <c r="O242" s="43">
        <f t="shared" si="25"/>
        <v>0.1391941391941392</v>
      </c>
    </row>
    <row r="243" spans="1:15" x14ac:dyDescent="0.45">
      <c r="A243" s="12" t="s">
        <v>30384</v>
      </c>
      <c r="B243" s="14">
        <v>704000</v>
      </c>
      <c r="C243" s="14">
        <v>799000</v>
      </c>
      <c r="D243" s="14">
        <v>517500</v>
      </c>
      <c r="E243" s="14">
        <v>587265</v>
      </c>
      <c r="F243" s="14">
        <v>401300</v>
      </c>
      <c r="G243" s="14">
        <v>455430</v>
      </c>
      <c r="H243" s="14">
        <v>259000</v>
      </c>
      <c r="I243" s="14">
        <v>314000</v>
      </c>
      <c r="J243" s="14">
        <v>7680</v>
      </c>
      <c r="K243" s="14">
        <v>10510</v>
      </c>
      <c r="N243" s="42">
        <f t="shared" si="24"/>
        <v>95000</v>
      </c>
      <c r="O243" s="43">
        <f t="shared" si="25"/>
        <v>0.11889862327909888</v>
      </c>
    </row>
    <row r="244" spans="1:15" x14ac:dyDescent="0.45">
      <c r="A244" s="12" t="s">
        <v>30385</v>
      </c>
      <c r="B244" s="14">
        <v>694000</v>
      </c>
      <c r="C244" s="14">
        <v>797000</v>
      </c>
      <c r="D244" s="14">
        <v>510100</v>
      </c>
      <c r="E244" s="14">
        <v>585795</v>
      </c>
      <c r="F244" s="14">
        <v>395600</v>
      </c>
      <c r="G244" s="14">
        <v>454290</v>
      </c>
      <c r="H244" s="14">
        <v>260000</v>
      </c>
      <c r="I244" s="14">
        <v>316000</v>
      </c>
      <c r="J244" s="14">
        <v>7740</v>
      </c>
      <c r="K244" s="14">
        <v>10600</v>
      </c>
      <c r="N244" s="42">
        <f t="shared" si="24"/>
        <v>103000</v>
      </c>
      <c r="O244" s="43">
        <f t="shared" si="25"/>
        <v>0.12923462986198245</v>
      </c>
    </row>
    <row r="245" spans="1:15" x14ac:dyDescent="0.45">
      <c r="A245" s="12" t="s">
        <v>30386</v>
      </c>
      <c r="B245" s="14">
        <v>692000</v>
      </c>
      <c r="C245" s="14">
        <v>782000</v>
      </c>
      <c r="D245" s="14">
        <v>508700</v>
      </c>
      <c r="E245" s="14">
        <v>574770</v>
      </c>
      <c r="F245" s="14">
        <v>394500</v>
      </c>
      <c r="G245" s="14">
        <v>445740</v>
      </c>
      <c r="H245" s="14">
        <v>257000</v>
      </c>
      <c r="I245" s="14">
        <v>312000</v>
      </c>
      <c r="J245" s="14">
        <v>7600</v>
      </c>
      <c r="K245" s="14">
        <v>10400</v>
      </c>
      <c r="N245" s="42">
        <f t="shared" si="24"/>
        <v>90000</v>
      </c>
      <c r="O245" s="43">
        <f t="shared" si="25"/>
        <v>0.11508951406649616</v>
      </c>
    </row>
    <row r="246" spans="1:15" x14ac:dyDescent="0.45">
      <c r="A246" s="12" t="s">
        <v>30387</v>
      </c>
      <c r="B246" s="14">
        <v>687000</v>
      </c>
      <c r="C246" s="14">
        <v>775000</v>
      </c>
      <c r="D246" s="14">
        <v>505000</v>
      </c>
      <c r="E246" s="14">
        <v>569625</v>
      </c>
      <c r="F246" s="14">
        <v>391600</v>
      </c>
      <c r="G246" s="14">
        <v>441750</v>
      </c>
      <c r="H246" s="14">
        <v>251000</v>
      </c>
      <c r="I246" s="14">
        <v>305000</v>
      </c>
      <c r="J246" s="14">
        <v>7410</v>
      </c>
      <c r="K246" s="14">
        <v>10150</v>
      </c>
      <c r="N246" s="42">
        <f t="shared" si="24"/>
        <v>88000</v>
      </c>
      <c r="O246" s="43">
        <f t="shared" si="25"/>
        <v>0.1135483870967742</v>
      </c>
    </row>
    <row r="247" spans="1:15" x14ac:dyDescent="0.45">
      <c r="A247" s="12" t="s">
        <v>15506</v>
      </c>
      <c r="B247" s="14">
        <v>685000</v>
      </c>
      <c r="C247" s="14">
        <v>774000</v>
      </c>
      <c r="D247" s="14">
        <v>503500</v>
      </c>
      <c r="E247" s="14">
        <v>568890</v>
      </c>
      <c r="F247" s="14">
        <v>390500</v>
      </c>
      <c r="G247" s="14">
        <v>441180</v>
      </c>
      <c r="H247" s="14">
        <v>248000</v>
      </c>
      <c r="I247" s="14">
        <v>301000</v>
      </c>
      <c r="J247" s="14">
        <v>7440</v>
      </c>
      <c r="K247" s="14">
        <v>10190</v>
      </c>
      <c r="N247" s="42">
        <f t="shared" si="24"/>
        <v>89000</v>
      </c>
      <c r="O247" s="43">
        <f t="shared" si="25"/>
        <v>0.11498708010335917</v>
      </c>
    </row>
    <row r="248" spans="1:15" x14ac:dyDescent="0.45">
      <c r="A248" s="12" t="s">
        <v>15581</v>
      </c>
      <c r="B248" s="14">
        <v>685000</v>
      </c>
      <c r="C248" s="14">
        <v>777000</v>
      </c>
      <c r="D248" s="14">
        <v>503500</v>
      </c>
      <c r="E248" s="14">
        <v>571095</v>
      </c>
      <c r="F248" s="14">
        <v>390500</v>
      </c>
      <c r="G248" s="14">
        <v>442890</v>
      </c>
      <c r="H248" s="14">
        <v>252000</v>
      </c>
      <c r="I248" s="14">
        <v>306000</v>
      </c>
      <c r="J248" s="14">
        <v>7400</v>
      </c>
      <c r="K248" s="14">
        <v>10130</v>
      </c>
      <c r="N248" s="42">
        <f t="shared" si="24"/>
        <v>92000</v>
      </c>
      <c r="O248" s="43">
        <f t="shared" si="25"/>
        <v>0.11840411840411841</v>
      </c>
    </row>
    <row r="249" spans="1:15" x14ac:dyDescent="0.45">
      <c r="A249" s="12" t="s">
        <v>15661</v>
      </c>
      <c r="B249" s="14">
        <v>685000</v>
      </c>
      <c r="C249" s="14">
        <v>773000</v>
      </c>
      <c r="D249" s="14">
        <v>503500</v>
      </c>
      <c r="E249" s="14">
        <v>568155</v>
      </c>
      <c r="F249" s="14">
        <v>390500</v>
      </c>
      <c r="G249" s="14">
        <v>440610</v>
      </c>
      <c r="H249" s="14">
        <v>255000</v>
      </c>
      <c r="I249" s="14">
        <v>310000</v>
      </c>
      <c r="J249" s="14">
        <v>7380</v>
      </c>
      <c r="K249" s="14">
        <v>10100</v>
      </c>
      <c r="N249" s="42">
        <f t="shared" si="24"/>
        <v>88000</v>
      </c>
      <c r="O249" s="43">
        <f t="shared" si="25"/>
        <v>0.11384217335058215</v>
      </c>
    </row>
    <row r="250" spans="1:15" x14ac:dyDescent="0.45">
      <c r="A250" s="12" t="s">
        <v>15706</v>
      </c>
      <c r="B250" s="14">
        <v>680000</v>
      </c>
      <c r="C250" s="14">
        <v>759000</v>
      </c>
      <c r="D250" s="14">
        <v>499800</v>
      </c>
      <c r="E250" s="14">
        <v>557865</v>
      </c>
      <c r="F250" s="14">
        <v>387600</v>
      </c>
      <c r="G250" s="14">
        <v>432629</v>
      </c>
      <c r="H250" s="14">
        <v>258000</v>
      </c>
      <c r="I250" s="14">
        <v>314000</v>
      </c>
      <c r="J250" s="14">
        <v>7370</v>
      </c>
      <c r="K250" s="14">
        <v>10090</v>
      </c>
      <c r="N250" s="42">
        <f t="shared" si="24"/>
        <v>79000</v>
      </c>
      <c r="O250" s="43">
        <f t="shared" si="25"/>
        <v>0.10408432147562582</v>
      </c>
    </row>
    <row r="251" spans="1:15" x14ac:dyDescent="0.45">
      <c r="A251" s="12" t="s">
        <v>30388</v>
      </c>
      <c r="B251" s="14">
        <v>668000</v>
      </c>
      <c r="C251" s="14">
        <v>754000</v>
      </c>
      <c r="D251" s="14">
        <v>491000</v>
      </c>
      <c r="E251" s="14">
        <v>554190</v>
      </c>
      <c r="F251" s="14">
        <v>380800</v>
      </c>
      <c r="G251" s="14">
        <v>429779</v>
      </c>
      <c r="H251" s="14">
        <v>251000</v>
      </c>
      <c r="I251" s="14">
        <v>306000</v>
      </c>
      <c r="J251" s="14">
        <v>7300</v>
      </c>
      <c r="K251" s="14">
        <v>9990</v>
      </c>
      <c r="N251" s="42">
        <f t="shared" si="24"/>
        <v>86000</v>
      </c>
      <c r="O251" s="43">
        <f t="shared" si="25"/>
        <v>0.11405835543766578</v>
      </c>
    </row>
    <row r="252" spans="1:15" x14ac:dyDescent="0.45">
      <c r="A252" s="12" t="s">
        <v>15735</v>
      </c>
      <c r="B252" s="14">
        <v>668000</v>
      </c>
      <c r="C252" s="14">
        <v>751000</v>
      </c>
      <c r="D252" s="14">
        <v>491000</v>
      </c>
      <c r="E252" s="14">
        <v>551985</v>
      </c>
      <c r="F252" s="14">
        <v>380800</v>
      </c>
      <c r="G252" s="14">
        <v>428069</v>
      </c>
      <c r="H252" s="14">
        <v>247000</v>
      </c>
      <c r="I252" s="14">
        <v>301000</v>
      </c>
      <c r="J252" s="14">
        <v>7140</v>
      </c>
      <c r="K252" s="14">
        <v>9690</v>
      </c>
      <c r="N252" s="42">
        <f t="shared" si="24"/>
        <v>83000</v>
      </c>
      <c r="O252" s="43">
        <f t="shared" si="25"/>
        <v>0.11051930758988016</v>
      </c>
    </row>
    <row r="253" spans="1:15" x14ac:dyDescent="0.45">
      <c r="A253" s="12" t="s">
        <v>15806</v>
      </c>
      <c r="B253" s="14">
        <v>665000</v>
      </c>
      <c r="C253" s="14">
        <v>747000</v>
      </c>
      <c r="D253" s="14">
        <v>488800</v>
      </c>
      <c r="E253" s="14">
        <v>549045</v>
      </c>
      <c r="F253" s="14">
        <v>379100</v>
      </c>
      <c r="G253" s="14">
        <v>425789</v>
      </c>
      <c r="H253" s="14">
        <v>235000</v>
      </c>
      <c r="I253" s="14">
        <v>286000</v>
      </c>
      <c r="J253" s="14">
        <v>6920</v>
      </c>
      <c r="K253" s="14">
        <v>9390</v>
      </c>
      <c r="N253" s="42">
        <f t="shared" si="24"/>
        <v>82000</v>
      </c>
      <c r="O253" s="43">
        <f t="shared" si="25"/>
        <v>0.10977242302543508</v>
      </c>
    </row>
    <row r="254" spans="1:15" x14ac:dyDescent="0.45">
      <c r="A254" s="12" t="s">
        <v>15835</v>
      </c>
      <c r="B254" s="14">
        <v>670000</v>
      </c>
      <c r="C254" s="14">
        <v>750000</v>
      </c>
      <c r="D254" s="14">
        <v>492500</v>
      </c>
      <c r="E254" s="14">
        <v>551250</v>
      </c>
      <c r="F254" s="14">
        <v>381900</v>
      </c>
      <c r="G254" s="14">
        <v>427499</v>
      </c>
      <c r="H254" s="14">
        <v>236000</v>
      </c>
      <c r="I254" s="14">
        <v>287000</v>
      </c>
      <c r="J254" s="14">
        <v>6930</v>
      </c>
      <c r="K254" s="14">
        <v>9410</v>
      </c>
      <c r="N254" s="42">
        <f t="shared" si="24"/>
        <v>80000</v>
      </c>
      <c r="O254" s="43">
        <f t="shared" si="25"/>
        <v>0.10666666666666667</v>
      </c>
    </row>
    <row r="255" spans="1:15" x14ac:dyDescent="0.45">
      <c r="A255" s="12" t="s">
        <v>15913</v>
      </c>
      <c r="B255" s="14">
        <v>655000</v>
      </c>
      <c r="C255" s="14">
        <v>739000</v>
      </c>
      <c r="D255" s="14">
        <v>481500</v>
      </c>
      <c r="E255" s="14">
        <v>543165</v>
      </c>
      <c r="F255" s="14">
        <v>373400</v>
      </c>
      <c r="G255" s="14">
        <v>421229</v>
      </c>
      <c r="H255" s="14">
        <v>228000</v>
      </c>
      <c r="I255" s="14">
        <v>278000</v>
      </c>
      <c r="J255" s="14">
        <v>6890</v>
      </c>
      <c r="K255" s="14">
        <v>9350</v>
      </c>
      <c r="N255" s="42">
        <f t="shared" si="24"/>
        <v>84000</v>
      </c>
      <c r="O255" s="43">
        <f t="shared" si="25"/>
        <v>0.11366711772665765</v>
      </c>
    </row>
    <row r="256" spans="1:15" x14ac:dyDescent="0.45">
      <c r="A256" s="12" t="s">
        <v>15952</v>
      </c>
      <c r="B256" s="14">
        <v>645000</v>
      </c>
      <c r="C256" s="14">
        <v>729000</v>
      </c>
      <c r="D256" s="14">
        <v>474100</v>
      </c>
      <c r="E256" s="14">
        <v>535815</v>
      </c>
      <c r="F256" s="14">
        <v>367700</v>
      </c>
      <c r="G256" s="14">
        <v>415529</v>
      </c>
      <c r="H256" s="14">
        <v>225000</v>
      </c>
      <c r="I256" s="14">
        <v>274000</v>
      </c>
      <c r="J256" s="14">
        <v>6850</v>
      </c>
      <c r="K256" s="14">
        <v>9220</v>
      </c>
      <c r="N256" s="42">
        <f t="shared" si="24"/>
        <v>84000</v>
      </c>
      <c r="O256" s="43">
        <f t="shared" si="25"/>
        <v>0.11522633744855967</v>
      </c>
    </row>
    <row r="257" spans="1:15" x14ac:dyDescent="0.45">
      <c r="A257" s="12" t="s">
        <v>30389</v>
      </c>
      <c r="B257" s="14">
        <v>637000</v>
      </c>
      <c r="C257" s="14">
        <v>725000</v>
      </c>
      <c r="D257" s="14">
        <v>468200</v>
      </c>
      <c r="E257" s="14">
        <v>532875</v>
      </c>
      <c r="F257" s="14">
        <v>363100</v>
      </c>
      <c r="G257" s="14">
        <v>413249</v>
      </c>
      <c r="H257" s="14">
        <v>223000</v>
      </c>
      <c r="I257" s="14">
        <v>272000</v>
      </c>
      <c r="J257" s="14">
        <v>6770</v>
      </c>
      <c r="K257" s="14">
        <v>9110</v>
      </c>
      <c r="N257" s="42">
        <f t="shared" si="24"/>
        <v>88000</v>
      </c>
      <c r="O257" s="43">
        <f t="shared" si="25"/>
        <v>0.12137931034482759</v>
      </c>
    </row>
    <row r="258" spans="1:15" x14ac:dyDescent="0.45">
      <c r="A258" s="12" t="s">
        <v>15995</v>
      </c>
      <c r="B258" s="14">
        <v>635000</v>
      </c>
      <c r="C258" s="14">
        <v>716000</v>
      </c>
      <c r="D258" s="14">
        <v>466800</v>
      </c>
      <c r="E258" s="14">
        <v>526260</v>
      </c>
      <c r="F258" s="14">
        <v>362000</v>
      </c>
      <c r="G258" s="14">
        <v>408119</v>
      </c>
      <c r="H258" s="14">
        <v>220000</v>
      </c>
      <c r="I258" s="14">
        <v>268000</v>
      </c>
      <c r="J258" s="14">
        <v>6590</v>
      </c>
      <c r="K258" s="14">
        <v>8870</v>
      </c>
      <c r="N258" s="42">
        <f t="shared" si="24"/>
        <v>81000</v>
      </c>
      <c r="O258" s="43">
        <f t="shared" si="25"/>
        <v>0.11312849162011174</v>
      </c>
    </row>
    <row r="259" spans="1:15" x14ac:dyDescent="0.45">
      <c r="A259" s="12" t="s">
        <v>16055</v>
      </c>
      <c r="B259" s="14">
        <v>630000</v>
      </c>
      <c r="C259" s="14">
        <v>713000</v>
      </c>
      <c r="D259" s="14">
        <v>463100</v>
      </c>
      <c r="E259" s="14">
        <v>524055</v>
      </c>
      <c r="F259" s="14">
        <v>359100</v>
      </c>
      <c r="G259" s="14">
        <v>406409</v>
      </c>
      <c r="H259" s="14">
        <v>217000</v>
      </c>
      <c r="I259" s="14">
        <v>263000</v>
      </c>
      <c r="J259" s="14">
        <v>6460</v>
      </c>
      <c r="K259" s="14">
        <v>8690</v>
      </c>
      <c r="N259" s="42">
        <f t="shared" si="24"/>
        <v>83000</v>
      </c>
      <c r="O259" s="43">
        <f t="shared" si="25"/>
        <v>0.11640953716690042</v>
      </c>
    </row>
    <row r="260" spans="1:15" x14ac:dyDescent="0.45">
      <c r="A260" s="12" t="s">
        <v>16078</v>
      </c>
      <c r="B260" s="14">
        <v>626000</v>
      </c>
      <c r="C260" s="14">
        <v>709000</v>
      </c>
      <c r="D260" s="14">
        <v>460200</v>
      </c>
      <c r="E260" s="14">
        <v>521115</v>
      </c>
      <c r="F260" s="14">
        <v>356900</v>
      </c>
      <c r="G260" s="14">
        <v>404129</v>
      </c>
      <c r="H260" s="14">
        <v>217000</v>
      </c>
      <c r="I260" s="14">
        <v>264000</v>
      </c>
      <c r="J260" s="14">
        <v>6470</v>
      </c>
      <c r="K260" s="14">
        <v>8120</v>
      </c>
      <c r="N260" s="42">
        <f t="shared" si="24"/>
        <v>83000</v>
      </c>
      <c r="O260" s="43">
        <f t="shared" si="25"/>
        <v>0.11706629055007052</v>
      </c>
    </row>
    <row r="261" spans="1:15" x14ac:dyDescent="0.45">
      <c r="A261" s="12" t="s">
        <v>16050</v>
      </c>
      <c r="B261" s="14">
        <v>630000</v>
      </c>
      <c r="C261" s="14">
        <v>713000</v>
      </c>
      <c r="D261" s="14">
        <v>463100</v>
      </c>
      <c r="E261" s="14">
        <v>524055</v>
      </c>
      <c r="F261" s="14">
        <v>359100</v>
      </c>
      <c r="G261" s="14">
        <v>406409</v>
      </c>
      <c r="H261" s="14">
        <v>220000</v>
      </c>
      <c r="I261" s="14">
        <v>268000</v>
      </c>
      <c r="J261" s="14">
        <v>6630</v>
      </c>
      <c r="K261" s="14">
        <v>8330</v>
      </c>
      <c r="N261" s="42">
        <f t="shared" si="24"/>
        <v>83000</v>
      </c>
      <c r="O261" s="43">
        <f t="shared" si="25"/>
        <v>0.11640953716690042</v>
      </c>
    </row>
    <row r="262" spans="1:15" x14ac:dyDescent="0.45">
      <c r="A262" s="12" t="s">
        <v>16144</v>
      </c>
      <c r="B262" s="14">
        <v>619000</v>
      </c>
      <c r="C262" s="14">
        <v>709000</v>
      </c>
      <c r="D262" s="14">
        <v>455000</v>
      </c>
      <c r="E262" s="14">
        <v>521115</v>
      </c>
      <c r="F262" s="14">
        <v>352900</v>
      </c>
      <c r="G262" s="14">
        <v>404129</v>
      </c>
      <c r="H262" s="14">
        <v>222000</v>
      </c>
      <c r="I262" s="14">
        <v>270000</v>
      </c>
      <c r="J262" s="14">
        <v>6600</v>
      </c>
      <c r="K262" s="14">
        <v>8290</v>
      </c>
      <c r="N262" s="42">
        <f t="shared" si="24"/>
        <v>90000</v>
      </c>
      <c r="O262" s="43">
        <f t="shared" si="25"/>
        <v>0.12693935119887165</v>
      </c>
    </row>
    <row r="263" spans="1:15" x14ac:dyDescent="0.45">
      <c r="A263" s="12" t="s">
        <v>30390</v>
      </c>
      <c r="B263" s="14">
        <v>605000</v>
      </c>
      <c r="C263" s="14">
        <v>711000</v>
      </c>
      <c r="D263" s="14">
        <v>444700</v>
      </c>
      <c r="E263" s="14">
        <v>522585</v>
      </c>
      <c r="F263" s="14">
        <v>344900</v>
      </c>
      <c r="G263" s="14">
        <v>405269</v>
      </c>
      <c r="H263" s="14">
        <v>220000</v>
      </c>
      <c r="I263" s="14">
        <v>268000</v>
      </c>
      <c r="J263" s="14">
        <v>6610</v>
      </c>
      <c r="K263" s="14">
        <v>8310</v>
      </c>
      <c r="N263" s="42">
        <f t="shared" si="24"/>
        <v>106000</v>
      </c>
      <c r="O263" s="43">
        <f t="shared" si="25"/>
        <v>0.14908579465541491</v>
      </c>
    </row>
    <row r="264" spans="1:15" x14ac:dyDescent="0.45">
      <c r="A264" s="12" t="s">
        <v>16180</v>
      </c>
      <c r="B264" s="14">
        <v>605000</v>
      </c>
      <c r="C264" s="14">
        <v>709000</v>
      </c>
      <c r="D264" s="14">
        <v>444700</v>
      </c>
      <c r="E264" s="14">
        <v>521115</v>
      </c>
      <c r="F264" s="14">
        <v>344900</v>
      </c>
      <c r="G264" s="14">
        <v>404129</v>
      </c>
      <c r="H264" s="14">
        <v>219000</v>
      </c>
      <c r="I264" s="14">
        <v>266000</v>
      </c>
      <c r="J264" s="14">
        <v>6530</v>
      </c>
      <c r="K264" s="14">
        <v>8200</v>
      </c>
      <c r="N264" s="42">
        <f t="shared" si="24"/>
        <v>104000</v>
      </c>
      <c r="O264" s="43">
        <f t="shared" si="25"/>
        <v>0.1466854724964739</v>
      </c>
    </row>
    <row r="265" spans="1:15" x14ac:dyDescent="0.45">
      <c r="A265" s="12" t="s">
        <v>16253</v>
      </c>
      <c r="B265" s="14">
        <v>605000</v>
      </c>
      <c r="C265" s="14">
        <v>709000</v>
      </c>
      <c r="D265" s="14">
        <v>444700</v>
      </c>
      <c r="E265" s="14">
        <v>521115</v>
      </c>
      <c r="F265" s="14">
        <v>344900</v>
      </c>
      <c r="G265" s="14">
        <v>404129</v>
      </c>
      <c r="H265" s="14">
        <v>220000</v>
      </c>
      <c r="I265" s="14">
        <v>267000</v>
      </c>
      <c r="J265" s="14">
        <v>6430</v>
      </c>
      <c r="K265" s="14">
        <v>8080</v>
      </c>
      <c r="N265" s="42">
        <f t="shared" si="24"/>
        <v>104000</v>
      </c>
      <c r="O265" s="43">
        <f t="shared" si="25"/>
        <v>0.1466854724964739</v>
      </c>
    </row>
    <row r="266" spans="1:15" x14ac:dyDescent="0.45">
      <c r="A266" s="12" t="s">
        <v>16282</v>
      </c>
      <c r="B266" s="14">
        <v>600000</v>
      </c>
      <c r="C266" s="14">
        <v>707000</v>
      </c>
      <c r="D266" s="14">
        <v>441000</v>
      </c>
      <c r="E266" s="14">
        <v>519645</v>
      </c>
      <c r="F266" s="14">
        <v>342000</v>
      </c>
      <c r="G266" s="14">
        <v>402989</v>
      </c>
      <c r="H266" s="14">
        <v>218000</v>
      </c>
      <c r="I266" s="14">
        <v>265000</v>
      </c>
      <c r="J266" s="14">
        <v>6420</v>
      </c>
      <c r="K266" s="14">
        <v>8070</v>
      </c>
      <c r="N266" s="42">
        <f t="shared" si="24"/>
        <v>107000</v>
      </c>
      <c r="O266" s="43">
        <f t="shared" si="25"/>
        <v>0.15134370579915135</v>
      </c>
    </row>
    <row r="267" spans="1:15" x14ac:dyDescent="0.45">
      <c r="A267" s="12" t="s">
        <v>16333</v>
      </c>
      <c r="B267" s="14">
        <v>600000</v>
      </c>
      <c r="C267" s="14">
        <v>707000</v>
      </c>
      <c r="D267" s="14">
        <v>441000</v>
      </c>
      <c r="E267" s="14">
        <v>519645</v>
      </c>
      <c r="F267" s="14">
        <v>342000</v>
      </c>
      <c r="G267" s="14">
        <v>402989</v>
      </c>
      <c r="H267" s="14">
        <v>220000</v>
      </c>
      <c r="I267" s="14">
        <v>267000</v>
      </c>
      <c r="J267" s="14">
        <v>6450</v>
      </c>
      <c r="K267" s="14">
        <v>8100</v>
      </c>
      <c r="N267" s="42">
        <f t="shared" si="24"/>
        <v>107000</v>
      </c>
      <c r="O267" s="43">
        <f t="shared" si="25"/>
        <v>0.15134370579915135</v>
      </c>
    </row>
    <row r="268" spans="1:15" x14ac:dyDescent="0.45">
      <c r="A268" s="12" t="s">
        <v>16348</v>
      </c>
      <c r="B268" s="14">
        <v>589000</v>
      </c>
      <c r="C268" s="14">
        <v>700000</v>
      </c>
      <c r="D268" s="14">
        <v>433000</v>
      </c>
      <c r="E268" s="14">
        <v>514500</v>
      </c>
      <c r="F268" s="14">
        <v>335800</v>
      </c>
      <c r="G268" s="14">
        <v>398999</v>
      </c>
      <c r="H268" s="14">
        <v>221000</v>
      </c>
      <c r="I268" s="14">
        <v>269000</v>
      </c>
      <c r="J268" s="14">
        <v>6420</v>
      </c>
      <c r="K268" s="14">
        <v>8060</v>
      </c>
      <c r="N268" s="42">
        <f t="shared" si="24"/>
        <v>111000</v>
      </c>
      <c r="O268" s="43">
        <f t="shared" si="25"/>
        <v>0.15857142857142856</v>
      </c>
    </row>
    <row r="269" spans="1:15" x14ac:dyDescent="0.45">
      <c r="A269" s="12" t="s">
        <v>30391</v>
      </c>
      <c r="B269" s="14">
        <v>585000</v>
      </c>
      <c r="C269" s="14">
        <v>696000</v>
      </c>
      <c r="D269" s="14">
        <v>430000</v>
      </c>
      <c r="E269" s="14">
        <v>511560</v>
      </c>
      <c r="F269" s="14">
        <v>333500</v>
      </c>
      <c r="G269" s="14">
        <v>396719</v>
      </c>
      <c r="H269" s="14">
        <v>217000</v>
      </c>
      <c r="I269" s="14">
        <v>263000</v>
      </c>
      <c r="J269" s="14">
        <v>6390</v>
      </c>
      <c r="K269" s="14">
        <v>8040</v>
      </c>
      <c r="N269" s="42">
        <f t="shared" si="24"/>
        <v>111000</v>
      </c>
      <c r="O269" s="43">
        <f t="shared" si="25"/>
        <v>0.15948275862068967</v>
      </c>
    </row>
    <row r="270" spans="1:15" x14ac:dyDescent="0.45">
      <c r="A270" s="12" t="s">
        <v>16397</v>
      </c>
      <c r="B270" s="14">
        <v>583000</v>
      </c>
      <c r="C270" s="14">
        <v>693000</v>
      </c>
      <c r="D270" s="14">
        <v>428600</v>
      </c>
      <c r="E270" s="14">
        <v>509355</v>
      </c>
      <c r="F270" s="14">
        <v>332400</v>
      </c>
      <c r="G270" s="14">
        <v>395009</v>
      </c>
      <c r="H270" s="14">
        <v>219000</v>
      </c>
      <c r="I270" s="14">
        <v>266000</v>
      </c>
      <c r="J270" s="14">
        <v>6380</v>
      </c>
      <c r="K270" s="14">
        <v>8020</v>
      </c>
      <c r="N270" s="42">
        <f t="shared" si="24"/>
        <v>110000</v>
      </c>
      <c r="O270" s="43">
        <f t="shared" si="25"/>
        <v>0.15873015873015872</v>
      </c>
    </row>
    <row r="271" spans="1:15" x14ac:dyDescent="0.45">
      <c r="A271" s="12" t="s">
        <v>16466</v>
      </c>
      <c r="B271" s="14">
        <v>580000</v>
      </c>
      <c r="C271" s="14">
        <v>690000</v>
      </c>
      <c r="D271" s="14">
        <v>426300</v>
      </c>
      <c r="E271" s="14">
        <v>507150</v>
      </c>
      <c r="F271" s="14">
        <v>330600</v>
      </c>
      <c r="G271" s="14">
        <v>393299</v>
      </c>
      <c r="H271" s="14">
        <v>224000</v>
      </c>
      <c r="I271" s="14">
        <v>272000</v>
      </c>
      <c r="J271" s="14">
        <v>6370</v>
      </c>
      <c r="K271" s="14">
        <v>8010</v>
      </c>
      <c r="N271" s="42">
        <f t="shared" si="24"/>
        <v>110000</v>
      </c>
      <c r="O271" s="43">
        <f t="shared" si="25"/>
        <v>0.15942028985507245</v>
      </c>
    </row>
    <row r="272" spans="1:15" x14ac:dyDescent="0.45">
      <c r="A272" s="12" t="s">
        <v>16509</v>
      </c>
      <c r="B272" s="14">
        <v>580000</v>
      </c>
      <c r="C272" s="14">
        <v>694000</v>
      </c>
      <c r="D272" s="14">
        <v>426300</v>
      </c>
      <c r="E272" s="14">
        <v>510090</v>
      </c>
      <c r="F272" s="14">
        <v>330600</v>
      </c>
      <c r="G272" s="14">
        <v>395579</v>
      </c>
      <c r="H272" s="14">
        <v>224000</v>
      </c>
      <c r="I272" s="14">
        <v>272000</v>
      </c>
      <c r="J272" s="14">
        <v>6420</v>
      </c>
      <c r="K272" s="14">
        <v>8060</v>
      </c>
      <c r="N272" s="42">
        <f t="shared" si="24"/>
        <v>114000</v>
      </c>
      <c r="O272" s="43">
        <f t="shared" si="25"/>
        <v>0.16426512968299711</v>
      </c>
    </row>
    <row r="273" spans="1:15" x14ac:dyDescent="0.45">
      <c r="A273" s="12" t="s">
        <v>16532</v>
      </c>
      <c r="B273" s="14">
        <v>574000</v>
      </c>
      <c r="C273" s="14">
        <v>683000</v>
      </c>
      <c r="D273" s="14">
        <v>421900</v>
      </c>
      <c r="E273" s="14">
        <v>502005</v>
      </c>
      <c r="F273" s="14">
        <v>327200</v>
      </c>
      <c r="G273" s="14">
        <v>389309</v>
      </c>
      <c r="H273" s="14">
        <v>224000</v>
      </c>
      <c r="I273" s="14">
        <v>273000</v>
      </c>
      <c r="J273" s="14">
        <v>6390</v>
      </c>
      <c r="K273" s="14">
        <v>8030</v>
      </c>
      <c r="N273" s="42">
        <f t="shared" si="24"/>
        <v>109000</v>
      </c>
      <c r="O273" s="43">
        <f t="shared" si="25"/>
        <v>0.1595900439238653</v>
      </c>
    </row>
    <row r="274" spans="1:15" x14ac:dyDescent="0.45">
      <c r="A274" s="12" t="s">
        <v>16565</v>
      </c>
      <c r="B274" s="14">
        <v>572000</v>
      </c>
      <c r="C274" s="14">
        <v>681000</v>
      </c>
      <c r="D274" s="14">
        <v>420500</v>
      </c>
      <c r="E274" s="14">
        <v>500535</v>
      </c>
      <c r="F274" s="14">
        <v>326100</v>
      </c>
      <c r="G274" s="14">
        <v>388169</v>
      </c>
      <c r="H274" s="14">
        <v>218000</v>
      </c>
      <c r="I274" s="14">
        <v>265000</v>
      </c>
      <c r="J274" s="14">
        <v>6320</v>
      </c>
      <c r="K274" s="14">
        <v>7950</v>
      </c>
      <c r="N274" s="42">
        <f t="shared" si="24"/>
        <v>109000</v>
      </c>
      <c r="O274" s="43">
        <f t="shared" si="25"/>
        <v>0.16005873715124816</v>
      </c>
    </row>
    <row r="275" spans="1:15" x14ac:dyDescent="0.45">
      <c r="A275" s="12" t="s">
        <v>30392</v>
      </c>
      <c r="B275" s="14">
        <v>563000</v>
      </c>
      <c r="C275" s="14">
        <v>672000</v>
      </c>
      <c r="D275" s="14">
        <v>413900</v>
      </c>
      <c r="E275" s="14">
        <v>493920</v>
      </c>
      <c r="F275" s="14">
        <v>321000</v>
      </c>
      <c r="G275" s="14">
        <v>383039</v>
      </c>
      <c r="H275" s="14">
        <v>216000</v>
      </c>
      <c r="I275" s="14">
        <v>262000</v>
      </c>
      <c r="J275" s="14">
        <v>6200</v>
      </c>
      <c r="K275" s="14">
        <v>7790</v>
      </c>
      <c r="N275" s="42">
        <f t="shared" si="24"/>
        <v>109000</v>
      </c>
      <c r="O275" s="43">
        <f t="shared" si="25"/>
        <v>0.16220238095238096</v>
      </c>
    </row>
    <row r="276" spans="1:15" x14ac:dyDescent="0.45">
      <c r="A276" s="12" t="s">
        <v>16612</v>
      </c>
      <c r="B276" s="14">
        <v>560000</v>
      </c>
      <c r="C276" s="14">
        <v>664000</v>
      </c>
      <c r="D276" s="14">
        <v>411600</v>
      </c>
      <c r="E276" s="14">
        <v>488040</v>
      </c>
      <c r="F276" s="14">
        <v>319200</v>
      </c>
      <c r="G276" s="14">
        <v>378479</v>
      </c>
      <c r="H276" s="14">
        <v>214000</v>
      </c>
      <c r="I276" s="14">
        <v>260000</v>
      </c>
      <c r="J276" s="14">
        <v>6090</v>
      </c>
      <c r="K276" s="14">
        <v>7650</v>
      </c>
      <c r="N276" s="42">
        <f t="shared" si="24"/>
        <v>104000</v>
      </c>
      <c r="O276" s="43">
        <f t="shared" si="25"/>
        <v>0.15662650602409639</v>
      </c>
    </row>
    <row r="277" spans="1:15" x14ac:dyDescent="0.45">
      <c r="A277" s="12" t="s">
        <v>16693</v>
      </c>
      <c r="B277" s="14">
        <v>557000</v>
      </c>
      <c r="C277" s="14">
        <v>657000</v>
      </c>
      <c r="D277" s="14">
        <v>409400</v>
      </c>
      <c r="E277" s="14">
        <v>482895</v>
      </c>
      <c r="F277" s="14">
        <v>317500</v>
      </c>
      <c r="G277" s="14">
        <v>374489</v>
      </c>
      <c r="H277" s="14">
        <v>213000</v>
      </c>
      <c r="I277" s="14">
        <v>259000</v>
      </c>
      <c r="J277" s="14">
        <v>6050</v>
      </c>
      <c r="K277" s="14">
        <v>7600</v>
      </c>
      <c r="N277" s="42">
        <f t="shared" si="24"/>
        <v>100000</v>
      </c>
      <c r="O277" s="43">
        <f t="shared" si="25"/>
        <v>0.15220700152207001</v>
      </c>
    </row>
    <row r="278" spans="1:15" x14ac:dyDescent="0.45">
      <c r="A278" s="12" t="s">
        <v>16740</v>
      </c>
      <c r="B278" s="14">
        <v>558000</v>
      </c>
      <c r="C278" s="14">
        <v>661000</v>
      </c>
      <c r="D278" s="14">
        <v>410200</v>
      </c>
      <c r="E278" s="14">
        <v>485835</v>
      </c>
      <c r="F278" s="14">
        <v>318100</v>
      </c>
      <c r="G278" s="14">
        <v>376769</v>
      </c>
      <c r="H278" s="14">
        <v>214000</v>
      </c>
      <c r="I278" s="14">
        <v>261000</v>
      </c>
      <c r="J278" s="14">
        <v>6060</v>
      </c>
      <c r="K278" s="14">
        <v>7620</v>
      </c>
      <c r="N278" s="42">
        <f t="shared" si="24"/>
        <v>103000</v>
      </c>
      <c r="O278" s="43">
        <f t="shared" si="25"/>
        <v>0.15582450832072617</v>
      </c>
    </row>
    <row r="279" spans="1:15" x14ac:dyDescent="0.45">
      <c r="A279" s="12" t="s">
        <v>16767</v>
      </c>
      <c r="B279" s="14">
        <v>556000</v>
      </c>
      <c r="C279" s="14">
        <v>659000</v>
      </c>
      <c r="D279" s="14">
        <v>408700</v>
      </c>
      <c r="E279" s="14">
        <v>484365</v>
      </c>
      <c r="F279" s="14">
        <v>317000</v>
      </c>
      <c r="G279" s="14">
        <v>375629</v>
      </c>
      <c r="H279" s="14">
        <v>214000</v>
      </c>
      <c r="I279" s="14">
        <v>260000</v>
      </c>
      <c r="J279" s="14">
        <v>6090</v>
      </c>
      <c r="K279" s="14">
        <v>7650</v>
      </c>
      <c r="N279" s="42">
        <f t="shared" si="24"/>
        <v>103000</v>
      </c>
      <c r="O279" s="43">
        <f t="shared" si="25"/>
        <v>0.15629742033383914</v>
      </c>
    </row>
    <row r="280" spans="1:15" x14ac:dyDescent="0.45">
      <c r="A280" s="12" t="s">
        <v>16816</v>
      </c>
      <c r="B280" s="14">
        <v>552000</v>
      </c>
      <c r="C280" s="14">
        <v>652000</v>
      </c>
      <c r="D280" s="14">
        <v>405800</v>
      </c>
      <c r="E280" s="14">
        <v>479220</v>
      </c>
      <c r="F280" s="14">
        <v>314700</v>
      </c>
      <c r="G280" s="14">
        <v>371639</v>
      </c>
      <c r="H280" s="14">
        <v>214000</v>
      </c>
      <c r="I280" s="14">
        <v>261000</v>
      </c>
      <c r="J280" s="14">
        <v>6070</v>
      </c>
      <c r="K280" s="14">
        <v>7630</v>
      </c>
      <c r="N280" s="42">
        <f t="shared" si="24"/>
        <v>100000</v>
      </c>
      <c r="O280" s="43">
        <f t="shared" si="25"/>
        <v>0.15337423312883436</v>
      </c>
    </row>
    <row r="281" spans="1:15" x14ac:dyDescent="0.45">
      <c r="A281" s="12" t="s">
        <v>30393</v>
      </c>
      <c r="B281" s="14">
        <v>551000</v>
      </c>
      <c r="C281" s="14">
        <v>652000</v>
      </c>
      <c r="D281" s="14">
        <v>405000</v>
      </c>
      <c r="E281" s="14">
        <v>479220</v>
      </c>
      <c r="F281" s="14">
        <v>314100</v>
      </c>
      <c r="G281" s="14">
        <v>371639</v>
      </c>
      <c r="H281" s="14">
        <v>214000</v>
      </c>
      <c r="I281" s="14">
        <v>261000</v>
      </c>
      <c r="J281" s="14">
        <v>6060</v>
      </c>
      <c r="K281" s="14">
        <v>7610</v>
      </c>
      <c r="N281" s="42">
        <f t="shared" si="24"/>
        <v>101000</v>
      </c>
      <c r="O281" s="43">
        <f t="shared" si="25"/>
        <v>0.15490797546012269</v>
      </c>
    </row>
    <row r="282" spans="1:15" x14ac:dyDescent="0.45">
      <c r="A282" s="12" t="s">
        <v>16857</v>
      </c>
      <c r="B282" s="14">
        <v>550000</v>
      </c>
      <c r="C282" s="14">
        <v>652000</v>
      </c>
      <c r="D282" s="14">
        <v>404300</v>
      </c>
      <c r="E282" s="14">
        <v>479220</v>
      </c>
      <c r="F282" s="14">
        <v>313500</v>
      </c>
      <c r="G282" s="14">
        <v>371639</v>
      </c>
      <c r="H282" s="14">
        <v>215000</v>
      </c>
      <c r="I282" s="14">
        <v>261000</v>
      </c>
      <c r="J282" s="14">
        <v>6000</v>
      </c>
      <c r="K282" s="14">
        <v>7530</v>
      </c>
      <c r="N282" s="42">
        <f t="shared" si="24"/>
        <v>102000</v>
      </c>
      <c r="O282" s="43">
        <f t="shared" si="25"/>
        <v>0.15644171779141106</v>
      </c>
    </row>
    <row r="283" spans="1:15" x14ac:dyDescent="0.45">
      <c r="A283" s="12" t="s">
        <v>16900</v>
      </c>
      <c r="B283" s="14">
        <v>552000</v>
      </c>
      <c r="C283" s="14">
        <v>653000</v>
      </c>
      <c r="D283" s="14">
        <v>405800</v>
      </c>
      <c r="E283" s="14">
        <v>479955</v>
      </c>
      <c r="F283" s="14">
        <v>314700</v>
      </c>
      <c r="G283" s="14">
        <v>372209</v>
      </c>
      <c r="H283" s="14">
        <v>212000</v>
      </c>
      <c r="I283" s="14">
        <v>258000</v>
      </c>
      <c r="J283" s="14">
        <v>5950</v>
      </c>
      <c r="K283" s="14">
        <v>7480</v>
      </c>
      <c r="N283" s="42">
        <f t="shared" si="24"/>
        <v>101000</v>
      </c>
      <c r="O283" s="43">
        <f t="shared" si="25"/>
        <v>0.15467075038284839</v>
      </c>
    </row>
    <row r="284" spans="1:15" x14ac:dyDescent="0.45">
      <c r="A284" s="12" t="s">
        <v>16947</v>
      </c>
      <c r="B284" s="14">
        <v>550000</v>
      </c>
      <c r="C284" s="14">
        <v>648000</v>
      </c>
      <c r="D284" s="14">
        <v>404300</v>
      </c>
      <c r="E284" s="14">
        <v>476280</v>
      </c>
      <c r="F284" s="14">
        <v>313500</v>
      </c>
      <c r="G284" s="14">
        <v>369359</v>
      </c>
      <c r="H284" s="14">
        <v>209000</v>
      </c>
      <c r="I284" s="14">
        <v>254000</v>
      </c>
      <c r="J284" s="14">
        <v>5860</v>
      </c>
      <c r="K284" s="14">
        <v>7370</v>
      </c>
      <c r="N284" s="42">
        <f t="shared" si="24"/>
        <v>98000</v>
      </c>
      <c r="O284" s="43">
        <f t="shared" si="25"/>
        <v>0.15123456790123457</v>
      </c>
    </row>
    <row r="285" spans="1:15" x14ac:dyDescent="0.45">
      <c r="A285" s="12" t="s">
        <v>16988</v>
      </c>
      <c r="B285" s="14">
        <v>550000</v>
      </c>
      <c r="C285" s="14">
        <v>647000</v>
      </c>
      <c r="D285" s="14">
        <v>404300</v>
      </c>
      <c r="E285" s="14">
        <v>475545</v>
      </c>
      <c r="F285" s="14">
        <v>313500</v>
      </c>
      <c r="G285" s="14">
        <v>368789</v>
      </c>
      <c r="H285" s="14">
        <v>210000</v>
      </c>
      <c r="I285" s="14">
        <v>255000</v>
      </c>
      <c r="J285" s="14">
        <v>5950</v>
      </c>
      <c r="K285" s="14">
        <v>7470</v>
      </c>
      <c r="N285" s="42">
        <f t="shared" si="24"/>
        <v>97000</v>
      </c>
      <c r="O285" s="43">
        <f t="shared" si="25"/>
        <v>0.14992272024729522</v>
      </c>
    </row>
    <row r="286" spans="1:15" x14ac:dyDescent="0.45">
      <c r="A286" s="12" t="s">
        <v>17043</v>
      </c>
      <c r="B286" s="14">
        <v>551000</v>
      </c>
      <c r="C286" s="14">
        <v>649000</v>
      </c>
      <c r="D286" s="14">
        <v>405000</v>
      </c>
      <c r="E286" s="14">
        <v>477015</v>
      </c>
      <c r="F286" s="14">
        <v>314100</v>
      </c>
      <c r="G286" s="14">
        <v>369929</v>
      </c>
      <c r="H286" s="14">
        <v>212000</v>
      </c>
      <c r="I286" s="14">
        <v>257000</v>
      </c>
      <c r="J286" s="14">
        <v>5940</v>
      </c>
      <c r="K286" s="14">
        <v>7470</v>
      </c>
      <c r="N286" s="42">
        <f t="shared" si="24"/>
        <v>98000</v>
      </c>
      <c r="O286" s="43">
        <f t="shared" si="25"/>
        <v>0.15100154083204931</v>
      </c>
    </row>
    <row r="287" spans="1:15" x14ac:dyDescent="0.45">
      <c r="A287" s="12" t="s">
        <v>30394</v>
      </c>
      <c r="B287" s="14">
        <v>548000</v>
      </c>
      <c r="C287" s="14">
        <v>648000</v>
      </c>
      <c r="D287" s="14">
        <v>402800</v>
      </c>
      <c r="E287" s="14">
        <v>476280</v>
      </c>
      <c r="F287" s="14">
        <v>312400</v>
      </c>
      <c r="G287" s="14">
        <v>369359</v>
      </c>
      <c r="H287" s="14">
        <v>211000</v>
      </c>
      <c r="I287" s="14">
        <v>257000</v>
      </c>
      <c r="J287" s="14">
        <v>5940</v>
      </c>
      <c r="K287" s="14">
        <v>7470</v>
      </c>
      <c r="N287" s="42">
        <f t="shared" si="24"/>
        <v>100000</v>
      </c>
      <c r="O287" s="43">
        <f t="shared" si="25"/>
        <v>0.15432098765432098</v>
      </c>
    </row>
    <row r="288" spans="1:15" x14ac:dyDescent="0.45">
      <c r="A288" s="12" t="s">
        <v>30395</v>
      </c>
      <c r="B288" s="14">
        <v>548000</v>
      </c>
      <c r="C288" s="14">
        <v>648000</v>
      </c>
      <c r="D288" s="14">
        <v>402800</v>
      </c>
      <c r="E288" s="14">
        <v>476280</v>
      </c>
      <c r="F288" s="14">
        <v>312400</v>
      </c>
      <c r="G288" s="14">
        <v>369359</v>
      </c>
      <c r="H288" s="14">
        <v>214000</v>
      </c>
      <c r="I288" s="14">
        <v>261000</v>
      </c>
      <c r="J288" s="14">
        <v>5950</v>
      </c>
      <c r="K288" s="14">
        <v>7470</v>
      </c>
      <c r="N288" s="42">
        <f t="shared" si="24"/>
        <v>100000</v>
      </c>
      <c r="O288" s="43">
        <f t="shared" si="25"/>
        <v>0.15432098765432098</v>
      </c>
    </row>
    <row r="289" spans="1:15" x14ac:dyDescent="0.45">
      <c r="A289" s="12" t="s">
        <v>17297</v>
      </c>
      <c r="B289" s="14">
        <v>551000</v>
      </c>
      <c r="C289" s="14">
        <v>651000</v>
      </c>
      <c r="D289" s="14">
        <v>405000</v>
      </c>
      <c r="E289" s="14">
        <v>478485</v>
      </c>
      <c r="F289" s="14">
        <v>314100</v>
      </c>
      <c r="G289" s="14">
        <v>371069</v>
      </c>
      <c r="H289" s="14">
        <v>211000</v>
      </c>
      <c r="I289" s="14">
        <v>257000</v>
      </c>
      <c r="J289" s="14">
        <v>6030</v>
      </c>
      <c r="K289" s="14">
        <v>7570</v>
      </c>
      <c r="N289" s="42">
        <f t="shared" si="24"/>
        <v>100000</v>
      </c>
      <c r="O289" s="43">
        <f t="shared" si="25"/>
        <v>0.15360983102918588</v>
      </c>
    </row>
    <row r="290" spans="1:15" x14ac:dyDescent="0.45">
      <c r="A290" s="12" t="s">
        <v>17456</v>
      </c>
      <c r="B290" s="14">
        <v>548000</v>
      </c>
      <c r="C290" s="14">
        <v>647000</v>
      </c>
      <c r="D290" s="14">
        <v>402800</v>
      </c>
      <c r="E290" s="14">
        <v>475545</v>
      </c>
      <c r="F290" s="14">
        <v>312400</v>
      </c>
      <c r="G290" s="14">
        <v>368789</v>
      </c>
      <c r="H290" s="14">
        <v>211000</v>
      </c>
      <c r="I290" s="14">
        <v>256000</v>
      </c>
      <c r="J290" s="14">
        <v>5890</v>
      </c>
      <c r="K290" s="14">
        <v>7410</v>
      </c>
      <c r="N290" s="42">
        <f t="shared" si="24"/>
        <v>99000</v>
      </c>
      <c r="O290" s="43">
        <f t="shared" si="25"/>
        <v>0.15301391035548687</v>
      </c>
    </row>
    <row r="291" spans="1:15" x14ac:dyDescent="0.45">
      <c r="A291" s="12" t="s">
        <v>17565</v>
      </c>
      <c r="B291" s="14">
        <v>551000</v>
      </c>
      <c r="C291" s="14">
        <v>650000</v>
      </c>
      <c r="D291" s="14">
        <v>405000</v>
      </c>
      <c r="E291" s="14">
        <v>477750</v>
      </c>
      <c r="F291" s="14">
        <v>314100</v>
      </c>
      <c r="G291" s="14">
        <v>370499</v>
      </c>
      <c r="H291" s="14">
        <v>211000</v>
      </c>
      <c r="I291" s="14">
        <v>256000</v>
      </c>
      <c r="J291" s="14">
        <v>5920</v>
      </c>
      <c r="K291" s="14">
        <v>7450</v>
      </c>
      <c r="N291" s="42">
        <f t="shared" si="24"/>
        <v>99000</v>
      </c>
      <c r="O291" s="43">
        <f t="shared" si="25"/>
        <v>0.15230769230769231</v>
      </c>
    </row>
    <row r="292" spans="1:15" x14ac:dyDescent="0.45">
      <c r="A292" s="12" t="s">
        <v>17666</v>
      </c>
      <c r="B292" s="14">
        <v>553000</v>
      </c>
      <c r="C292" s="14">
        <v>654000</v>
      </c>
      <c r="D292" s="14">
        <v>406500</v>
      </c>
      <c r="E292" s="14">
        <v>480690</v>
      </c>
      <c r="F292" s="14">
        <v>315300</v>
      </c>
      <c r="G292" s="14">
        <v>372779</v>
      </c>
      <c r="H292" s="14">
        <v>209000</v>
      </c>
      <c r="I292" s="14">
        <v>254000</v>
      </c>
      <c r="J292" s="14">
        <v>5930</v>
      </c>
      <c r="K292" s="14">
        <v>7460</v>
      </c>
      <c r="N292" s="42">
        <f t="shared" si="24"/>
        <v>101000</v>
      </c>
      <c r="O292" s="43">
        <f t="shared" si="25"/>
        <v>0.15443425076452599</v>
      </c>
    </row>
    <row r="293" spans="1:15" x14ac:dyDescent="0.45">
      <c r="A293" s="12" t="s">
        <v>30396</v>
      </c>
      <c r="B293" s="14">
        <v>553000</v>
      </c>
      <c r="C293" s="14">
        <v>659000</v>
      </c>
      <c r="D293" s="14">
        <v>406500</v>
      </c>
      <c r="E293" s="14">
        <v>484365</v>
      </c>
      <c r="F293" s="14">
        <v>315300</v>
      </c>
      <c r="G293" s="14">
        <v>375629</v>
      </c>
      <c r="H293" s="14">
        <v>211000</v>
      </c>
      <c r="I293" s="14">
        <v>256000</v>
      </c>
      <c r="J293" s="14">
        <v>5990</v>
      </c>
      <c r="K293" s="14">
        <v>7530</v>
      </c>
      <c r="N293" s="42">
        <f t="shared" si="24"/>
        <v>106000</v>
      </c>
      <c r="O293" s="43">
        <f t="shared" si="25"/>
        <v>0.16084977238239756</v>
      </c>
    </row>
    <row r="294" spans="1:15" x14ac:dyDescent="0.45">
      <c r="A294" s="12" t="s">
        <v>17869</v>
      </c>
      <c r="B294" s="14">
        <v>553000</v>
      </c>
      <c r="C294" s="14">
        <v>660000</v>
      </c>
      <c r="D294" s="14">
        <v>406500</v>
      </c>
      <c r="E294" s="14">
        <v>485100</v>
      </c>
      <c r="F294" s="14">
        <v>315300</v>
      </c>
      <c r="G294" s="14">
        <v>376199</v>
      </c>
      <c r="H294" s="14">
        <v>212000</v>
      </c>
      <c r="I294" s="14">
        <v>257000</v>
      </c>
      <c r="J294" s="14">
        <v>6010</v>
      </c>
      <c r="K294" s="14">
        <v>7550</v>
      </c>
      <c r="N294" s="42">
        <f t="shared" si="24"/>
        <v>107000</v>
      </c>
      <c r="O294" s="43">
        <f t="shared" si="25"/>
        <v>0.16212121212121211</v>
      </c>
    </row>
    <row r="295" spans="1:15" x14ac:dyDescent="0.45">
      <c r="A295" s="12" t="s">
        <v>18114</v>
      </c>
      <c r="B295" s="14">
        <v>550000</v>
      </c>
      <c r="C295" s="14">
        <v>654000</v>
      </c>
      <c r="D295" s="14">
        <v>404300</v>
      </c>
      <c r="E295" s="14">
        <v>480690</v>
      </c>
      <c r="F295" s="14">
        <v>313500</v>
      </c>
      <c r="G295" s="14">
        <v>372779</v>
      </c>
      <c r="H295" s="14">
        <v>211000</v>
      </c>
      <c r="I295" s="14">
        <v>257000</v>
      </c>
      <c r="J295" s="14">
        <v>5910</v>
      </c>
      <c r="K295" s="14">
        <v>7430</v>
      </c>
      <c r="N295" s="42">
        <f t="shared" si="24"/>
        <v>104000</v>
      </c>
      <c r="O295" s="43">
        <f t="shared" si="25"/>
        <v>0.15902140672782875</v>
      </c>
    </row>
    <row r="296" spans="1:15" x14ac:dyDescent="0.45">
      <c r="A296" s="12" t="s">
        <v>18292</v>
      </c>
      <c r="B296" s="14">
        <v>550000</v>
      </c>
      <c r="C296" s="14">
        <v>656000</v>
      </c>
      <c r="D296" s="14">
        <v>404300</v>
      </c>
      <c r="E296" s="14">
        <v>482160</v>
      </c>
      <c r="F296" s="14">
        <v>313500</v>
      </c>
      <c r="G296" s="14">
        <v>373919</v>
      </c>
      <c r="H296" s="14">
        <v>207000</v>
      </c>
      <c r="I296" s="14">
        <v>252000</v>
      </c>
      <c r="J296" s="14">
        <v>5910</v>
      </c>
      <c r="K296" s="14">
        <v>7420</v>
      </c>
      <c r="N296" s="42">
        <f t="shared" si="24"/>
        <v>106000</v>
      </c>
      <c r="O296" s="43">
        <f t="shared" si="25"/>
        <v>0.16158536585365854</v>
      </c>
    </row>
    <row r="297" spans="1:15" x14ac:dyDescent="0.45">
      <c r="A297" s="12" t="s">
        <v>18408</v>
      </c>
      <c r="B297" s="14">
        <v>549000</v>
      </c>
      <c r="C297" s="14">
        <v>655000</v>
      </c>
      <c r="D297" s="14">
        <v>403600</v>
      </c>
      <c r="E297" s="14">
        <v>481425</v>
      </c>
      <c r="F297" s="14">
        <v>313000</v>
      </c>
      <c r="G297" s="14">
        <v>373349</v>
      </c>
      <c r="H297" s="14">
        <v>210000</v>
      </c>
      <c r="I297" s="14">
        <v>256000</v>
      </c>
      <c r="J297" s="14">
        <v>5870</v>
      </c>
      <c r="K297" s="14">
        <v>7370</v>
      </c>
      <c r="N297" s="42">
        <f t="shared" si="24"/>
        <v>106000</v>
      </c>
      <c r="O297" s="43">
        <f t="shared" si="25"/>
        <v>0.16183206106870229</v>
      </c>
    </row>
    <row r="298" spans="1:15" x14ac:dyDescent="0.45">
      <c r="A298" s="12" t="s">
        <v>18469</v>
      </c>
      <c r="B298" s="14">
        <v>548000</v>
      </c>
      <c r="C298" s="14">
        <v>650000</v>
      </c>
      <c r="D298" s="14">
        <v>402800</v>
      </c>
      <c r="E298" s="14">
        <v>477750</v>
      </c>
      <c r="F298" s="14">
        <v>312400</v>
      </c>
      <c r="G298" s="14">
        <v>370499</v>
      </c>
      <c r="H298" s="14">
        <v>207000</v>
      </c>
      <c r="I298" s="14">
        <v>252000</v>
      </c>
      <c r="J298" s="14">
        <v>5760</v>
      </c>
      <c r="K298" s="14">
        <v>7240</v>
      </c>
      <c r="N298" s="42">
        <f t="shared" si="24"/>
        <v>102000</v>
      </c>
      <c r="O298" s="43">
        <f t="shared" si="25"/>
        <v>0.15692307692307692</v>
      </c>
    </row>
    <row r="299" spans="1:15" x14ac:dyDescent="0.45">
      <c r="A299" s="12" t="s">
        <v>30397</v>
      </c>
      <c r="B299" s="14">
        <v>548000</v>
      </c>
      <c r="C299" s="14">
        <v>652000</v>
      </c>
      <c r="D299" s="14">
        <v>402800</v>
      </c>
      <c r="E299" s="14">
        <v>479220</v>
      </c>
      <c r="F299" s="14">
        <v>312400</v>
      </c>
      <c r="G299" s="14">
        <v>371639</v>
      </c>
      <c r="H299" s="14">
        <v>208000</v>
      </c>
      <c r="I299" s="14">
        <v>253000</v>
      </c>
      <c r="J299" s="14">
        <v>5790</v>
      </c>
      <c r="K299" s="14">
        <v>7280</v>
      </c>
      <c r="N299" s="42">
        <f t="shared" si="24"/>
        <v>104000</v>
      </c>
      <c r="O299" s="43">
        <f t="shared" si="25"/>
        <v>0.15950920245398773</v>
      </c>
    </row>
    <row r="300" spans="1:15" x14ac:dyDescent="0.45">
      <c r="A300" s="12" t="s">
        <v>18563</v>
      </c>
      <c r="B300" s="14">
        <v>545000</v>
      </c>
      <c r="C300" s="14">
        <v>644000</v>
      </c>
      <c r="D300" s="14">
        <v>400600</v>
      </c>
      <c r="E300" s="14">
        <v>473340</v>
      </c>
      <c r="F300" s="14">
        <v>310700</v>
      </c>
      <c r="G300" s="14">
        <v>367079</v>
      </c>
      <c r="H300" s="14">
        <v>206000</v>
      </c>
      <c r="I300" s="14">
        <v>251000</v>
      </c>
      <c r="J300" s="14">
        <v>5760</v>
      </c>
      <c r="K300" s="14">
        <v>7240</v>
      </c>
      <c r="N300" s="42">
        <f t="shared" si="24"/>
        <v>99000</v>
      </c>
      <c r="O300" s="43">
        <f t="shared" si="25"/>
        <v>0.15372670807453417</v>
      </c>
    </row>
    <row r="301" spans="1:15" x14ac:dyDescent="0.45">
      <c r="A301" s="12" t="s">
        <v>18850</v>
      </c>
      <c r="B301" s="14">
        <v>545000</v>
      </c>
      <c r="C301" s="14">
        <v>643000</v>
      </c>
      <c r="D301" s="14">
        <v>400600</v>
      </c>
      <c r="E301" s="14">
        <v>472605</v>
      </c>
      <c r="F301" s="14">
        <v>310700</v>
      </c>
      <c r="G301" s="14">
        <v>366509</v>
      </c>
      <c r="H301" s="14">
        <v>208000</v>
      </c>
      <c r="I301" s="14">
        <v>253000</v>
      </c>
      <c r="J301" s="14">
        <v>5790</v>
      </c>
      <c r="K301" s="14">
        <v>7270</v>
      </c>
      <c r="N301" s="42">
        <f t="shared" ref="N301:N364" si="26">C301-B301</f>
        <v>98000</v>
      </c>
      <c r="O301" s="43">
        <f t="shared" ref="O301:O364" si="27">N301/C301</f>
        <v>0.15241057542768274</v>
      </c>
    </row>
    <row r="302" spans="1:15" x14ac:dyDescent="0.45">
      <c r="A302" s="12" t="s">
        <v>19062</v>
      </c>
      <c r="B302" s="14">
        <v>545000</v>
      </c>
      <c r="C302" s="14">
        <v>643000</v>
      </c>
      <c r="D302" s="14">
        <v>400600</v>
      </c>
      <c r="E302" s="14">
        <v>472605</v>
      </c>
      <c r="F302" s="14">
        <v>310700</v>
      </c>
      <c r="G302" s="14">
        <v>366509</v>
      </c>
      <c r="H302" s="14">
        <v>219000</v>
      </c>
      <c r="I302" s="14">
        <v>267000</v>
      </c>
      <c r="J302" s="14">
        <v>5930</v>
      </c>
      <c r="K302" s="14">
        <v>7460</v>
      </c>
      <c r="N302" s="42">
        <f t="shared" si="26"/>
        <v>98000</v>
      </c>
      <c r="O302" s="43">
        <f t="shared" si="27"/>
        <v>0.15241057542768274</v>
      </c>
    </row>
    <row r="303" spans="1:15" x14ac:dyDescent="0.45">
      <c r="A303" s="12" t="s">
        <v>19167</v>
      </c>
      <c r="B303" s="14">
        <v>546000</v>
      </c>
      <c r="C303" s="14">
        <v>643000</v>
      </c>
      <c r="D303" s="14">
        <v>401400</v>
      </c>
      <c r="E303" s="14">
        <v>472605</v>
      </c>
      <c r="F303" s="14">
        <v>311300</v>
      </c>
      <c r="G303" s="14">
        <v>366509</v>
      </c>
      <c r="H303" s="14">
        <v>221000</v>
      </c>
      <c r="I303" s="14">
        <v>269000</v>
      </c>
      <c r="J303" s="14">
        <v>5960</v>
      </c>
      <c r="K303" s="14">
        <v>7490</v>
      </c>
      <c r="N303" s="42">
        <f t="shared" si="26"/>
        <v>97000</v>
      </c>
      <c r="O303" s="43">
        <f t="shared" si="27"/>
        <v>0.15085536547433903</v>
      </c>
    </row>
    <row r="304" spans="1:15" x14ac:dyDescent="0.45">
      <c r="A304" s="12" t="s">
        <v>19232</v>
      </c>
      <c r="B304" s="14">
        <v>547000</v>
      </c>
      <c r="C304" s="14">
        <v>643000</v>
      </c>
      <c r="D304" s="14">
        <v>402100</v>
      </c>
      <c r="E304" s="14">
        <v>472605</v>
      </c>
      <c r="F304" s="14">
        <v>311800</v>
      </c>
      <c r="G304" s="14">
        <v>366509</v>
      </c>
      <c r="H304" s="14">
        <v>222000</v>
      </c>
      <c r="I304" s="14">
        <v>270000</v>
      </c>
      <c r="J304" s="14">
        <v>5940</v>
      </c>
      <c r="K304" s="14">
        <v>7470</v>
      </c>
      <c r="N304" s="42">
        <f t="shared" si="26"/>
        <v>96000</v>
      </c>
      <c r="O304" s="43">
        <f t="shared" si="27"/>
        <v>0.14930015552099535</v>
      </c>
    </row>
    <row r="305" spans="1:15" x14ac:dyDescent="0.45">
      <c r="A305" s="12" t="s">
        <v>30398</v>
      </c>
      <c r="B305" s="14">
        <v>547000</v>
      </c>
      <c r="C305" s="14">
        <v>645000</v>
      </c>
      <c r="D305" s="14">
        <v>402100</v>
      </c>
      <c r="E305" s="14">
        <v>474075</v>
      </c>
      <c r="F305" s="14">
        <v>311800</v>
      </c>
      <c r="G305" s="14">
        <v>367649</v>
      </c>
      <c r="H305" s="14">
        <v>221000</v>
      </c>
      <c r="I305" s="14">
        <v>269000</v>
      </c>
      <c r="J305" s="14">
        <v>5940</v>
      </c>
      <c r="K305" s="14">
        <v>7470</v>
      </c>
      <c r="N305" s="42">
        <f t="shared" si="26"/>
        <v>98000</v>
      </c>
      <c r="O305" s="43">
        <f t="shared" si="27"/>
        <v>0.15193798449612403</v>
      </c>
    </row>
    <row r="306" spans="1:15" x14ac:dyDescent="0.45">
      <c r="A306" s="12" t="s">
        <v>19487</v>
      </c>
      <c r="B306" s="14">
        <v>548000</v>
      </c>
      <c r="C306" s="14">
        <v>646000</v>
      </c>
      <c r="D306" s="14">
        <v>402800</v>
      </c>
      <c r="E306" s="14">
        <v>474810</v>
      </c>
      <c r="F306" s="14">
        <v>312400</v>
      </c>
      <c r="G306" s="14">
        <v>368219</v>
      </c>
      <c r="H306" s="14">
        <v>221000</v>
      </c>
      <c r="I306" s="14">
        <v>268000</v>
      </c>
      <c r="J306" s="14">
        <v>6030</v>
      </c>
      <c r="K306" s="14">
        <v>7580</v>
      </c>
      <c r="N306" s="42">
        <f t="shared" si="26"/>
        <v>98000</v>
      </c>
      <c r="O306" s="43">
        <f t="shared" si="27"/>
        <v>0.15170278637770898</v>
      </c>
    </row>
    <row r="307" spans="1:15" x14ac:dyDescent="0.45">
      <c r="A307" s="12" t="s">
        <v>19722</v>
      </c>
      <c r="B307" s="14">
        <v>546000</v>
      </c>
      <c r="C307" s="14">
        <v>646000</v>
      </c>
      <c r="D307" s="14">
        <v>401400</v>
      </c>
      <c r="E307" s="14">
        <v>474810</v>
      </c>
      <c r="F307" s="14">
        <v>311300</v>
      </c>
      <c r="G307" s="14">
        <v>368219</v>
      </c>
      <c r="H307" s="14">
        <v>219000</v>
      </c>
      <c r="I307" s="14">
        <v>266000</v>
      </c>
      <c r="J307" s="14">
        <v>6010</v>
      </c>
      <c r="K307" s="14">
        <v>7560</v>
      </c>
      <c r="N307" s="42">
        <f t="shared" si="26"/>
        <v>100000</v>
      </c>
      <c r="O307" s="43">
        <f t="shared" si="27"/>
        <v>0.15479876160990713</v>
      </c>
    </row>
    <row r="308" spans="1:15" x14ac:dyDescent="0.45">
      <c r="A308" s="12" t="s">
        <v>19869</v>
      </c>
      <c r="B308" s="14">
        <v>554000</v>
      </c>
      <c r="C308" s="14">
        <v>661000</v>
      </c>
      <c r="D308" s="14">
        <v>407200</v>
      </c>
      <c r="E308" s="14">
        <v>485835</v>
      </c>
      <c r="F308" s="14">
        <v>315800</v>
      </c>
      <c r="G308" s="14">
        <v>376769</v>
      </c>
      <c r="H308" s="14">
        <v>226000</v>
      </c>
      <c r="I308" s="14">
        <v>275000</v>
      </c>
      <c r="J308" s="14">
        <v>6090</v>
      </c>
      <c r="K308" s="14">
        <v>7650</v>
      </c>
      <c r="N308" s="42">
        <f t="shared" si="26"/>
        <v>107000</v>
      </c>
      <c r="O308" s="43">
        <f t="shared" si="27"/>
        <v>0.16187594553706505</v>
      </c>
    </row>
    <row r="309" spans="1:15" x14ac:dyDescent="0.45">
      <c r="A309" s="12" t="s">
        <v>19912</v>
      </c>
      <c r="B309" s="14">
        <v>553000</v>
      </c>
      <c r="C309" s="14">
        <v>657000</v>
      </c>
      <c r="D309" s="14">
        <v>406500</v>
      </c>
      <c r="E309" s="14">
        <v>482895</v>
      </c>
      <c r="F309" s="14">
        <v>315300</v>
      </c>
      <c r="G309" s="14">
        <v>374489</v>
      </c>
      <c r="H309" s="14">
        <v>228000</v>
      </c>
      <c r="I309" s="14">
        <v>277000</v>
      </c>
      <c r="J309" s="14">
        <v>6060</v>
      </c>
      <c r="K309" s="14">
        <v>7610</v>
      </c>
      <c r="N309" s="42">
        <f t="shared" si="26"/>
        <v>104000</v>
      </c>
      <c r="O309" s="43">
        <f t="shared" si="27"/>
        <v>0.15829528158295281</v>
      </c>
    </row>
    <row r="310" spans="1:15" x14ac:dyDescent="0.45">
      <c r="A310" s="12" t="s">
        <v>19959</v>
      </c>
      <c r="B310" s="14">
        <v>550000</v>
      </c>
      <c r="C310" s="14">
        <v>653000</v>
      </c>
      <c r="D310" s="14">
        <v>404300</v>
      </c>
      <c r="E310" s="14">
        <v>479955</v>
      </c>
      <c r="F310" s="14">
        <v>313500</v>
      </c>
      <c r="G310" s="14">
        <v>372209</v>
      </c>
      <c r="H310" s="14">
        <v>226000</v>
      </c>
      <c r="I310" s="14">
        <v>275000</v>
      </c>
      <c r="J310" s="14">
        <v>5990</v>
      </c>
      <c r="K310" s="14">
        <v>7530</v>
      </c>
      <c r="N310" s="42">
        <f t="shared" si="26"/>
        <v>103000</v>
      </c>
      <c r="O310" s="43">
        <f t="shared" si="27"/>
        <v>0.15773353751914243</v>
      </c>
    </row>
    <row r="311" spans="1:15" x14ac:dyDescent="0.45">
      <c r="A311" s="12" t="s">
        <v>30399</v>
      </c>
      <c r="B311" s="14">
        <v>549000</v>
      </c>
      <c r="C311" s="14">
        <v>651000</v>
      </c>
      <c r="D311" s="14">
        <v>403600</v>
      </c>
      <c r="E311" s="14">
        <v>478485</v>
      </c>
      <c r="F311" s="14">
        <v>313000</v>
      </c>
      <c r="G311" s="14">
        <v>371069</v>
      </c>
      <c r="H311" s="14">
        <v>225000</v>
      </c>
      <c r="I311" s="14">
        <v>274000</v>
      </c>
      <c r="J311" s="14">
        <v>5980</v>
      </c>
      <c r="K311" s="14">
        <v>7510</v>
      </c>
      <c r="N311" s="42">
        <f t="shared" si="26"/>
        <v>102000</v>
      </c>
      <c r="O311" s="43">
        <f t="shared" si="27"/>
        <v>0.15668202764976957</v>
      </c>
    </row>
    <row r="312" spans="1:15" x14ac:dyDescent="0.45">
      <c r="A312" s="12" t="s">
        <v>20048</v>
      </c>
      <c r="B312" s="14">
        <v>547000</v>
      </c>
      <c r="C312" s="14">
        <v>651000</v>
      </c>
      <c r="D312" s="14">
        <v>402100</v>
      </c>
      <c r="E312" s="14">
        <v>478485</v>
      </c>
      <c r="F312" s="14">
        <v>311800</v>
      </c>
      <c r="G312" s="14">
        <v>371069</v>
      </c>
      <c r="H312" s="14">
        <v>231000</v>
      </c>
      <c r="I312" s="14">
        <v>281000</v>
      </c>
      <c r="J312" s="14">
        <v>5990</v>
      </c>
      <c r="K312" s="14">
        <v>7530</v>
      </c>
      <c r="N312" s="42">
        <f t="shared" si="26"/>
        <v>104000</v>
      </c>
      <c r="O312" s="43">
        <f t="shared" si="27"/>
        <v>0.1597542242703533</v>
      </c>
    </row>
    <row r="313" spans="1:15" x14ac:dyDescent="0.45">
      <c r="A313" s="12" t="s">
        <v>20105</v>
      </c>
      <c r="B313" s="14">
        <v>547000</v>
      </c>
      <c r="C313" s="14">
        <v>649000</v>
      </c>
      <c r="D313" s="14">
        <v>402100</v>
      </c>
      <c r="E313" s="14">
        <v>477015</v>
      </c>
      <c r="F313" s="14">
        <v>311800</v>
      </c>
      <c r="G313" s="14">
        <v>369929</v>
      </c>
      <c r="H313" s="14">
        <v>225000</v>
      </c>
      <c r="I313" s="14">
        <v>273000</v>
      </c>
      <c r="J313" s="14">
        <v>5930</v>
      </c>
      <c r="K313" s="14">
        <v>7450</v>
      </c>
      <c r="N313" s="42">
        <f t="shared" si="26"/>
        <v>102000</v>
      </c>
      <c r="O313" s="43">
        <f t="shared" si="27"/>
        <v>0.15716486902927582</v>
      </c>
    </row>
    <row r="314" spans="1:15" x14ac:dyDescent="0.45">
      <c r="A314" s="12" t="s">
        <v>20140</v>
      </c>
      <c r="B314" s="14">
        <v>547000</v>
      </c>
      <c r="C314" s="14">
        <v>646000</v>
      </c>
      <c r="D314" s="14">
        <v>402100</v>
      </c>
      <c r="E314" s="14">
        <v>474810</v>
      </c>
      <c r="F314" s="14">
        <v>311800</v>
      </c>
      <c r="G314" s="14">
        <v>368219</v>
      </c>
      <c r="H314" s="14">
        <v>217000</v>
      </c>
      <c r="I314" s="14">
        <v>264000</v>
      </c>
      <c r="J314" s="14">
        <v>5900</v>
      </c>
      <c r="K314" s="14">
        <v>7420</v>
      </c>
      <c r="N314" s="42">
        <f t="shared" si="26"/>
        <v>99000</v>
      </c>
      <c r="O314" s="43">
        <f t="shared" si="27"/>
        <v>0.15325077399380804</v>
      </c>
    </row>
    <row r="315" spans="1:15" x14ac:dyDescent="0.45">
      <c r="A315" s="12" t="s">
        <v>20216</v>
      </c>
      <c r="B315" s="14">
        <v>549000</v>
      </c>
      <c r="C315" s="14">
        <v>649000</v>
      </c>
      <c r="D315" s="14">
        <v>403600</v>
      </c>
      <c r="E315" s="14">
        <v>477015</v>
      </c>
      <c r="F315" s="14">
        <v>313000</v>
      </c>
      <c r="G315" s="14">
        <v>369929</v>
      </c>
      <c r="H315" s="14">
        <v>216000</v>
      </c>
      <c r="I315" s="14">
        <v>263000</v>
      </c>
      <c r="J315" s="14">
        <v>5950</v>
      </c>
      <c r="K315" s="14">
        <v>7510</v>
      </c>
      <c r="N315" s="42">
        <f t="shared" si="26"/>
        <v>100000</v>
      </c>
      <c r="O315" s="43">
        <f t="shared" si="27"/>
        <v>0.15408320493066255</v>
      </c>
    </row>
    <row r="316" spans="1:15" x14ac:dyDescent="0.45">
      <c r="A316" s="12" t="s">
        <v>20263</v>
      </c>
      <c r="B316" s="14">
        <v>549000</v>
      </c>
      <c r="C316" s="14">
        <v>648000</v>
      </c>
      <c r="D316" s="14">
        <v>403600</v>
      </c>
      <c r="E316" s="14">
        <v>476280</v>
      </c>
      <c r="F316" s="14">
        <v>313000</v>
      </c>
      <c r="G316" s="14">
        <v>369359</v>
      </c>
      <c r="H316" s="14">
        <v>217000</v>
      </c>
      <c r="I316" s="14">
        <v>265000</v>
      </c>
      <c r="J316" s="14">
        <v>5970</v>
      </c>
      <c r="K316" s="14">
        <v>7510</v>
      </c>
      <c r="N316" s="42">
        <f t="shared" si="26"/>
        <v>99000</v>
      </c>
      <c r="O316" s="43">
        <f t="shared" si="27"/>
        <v>0.15277777777777779</v>
      </c>
    </row>
    <row r="317" spans="1:15" x14ac:dyDescent="0.45">
      <c r="A317" s="12" t="s">
        <v>30400</v>
      </c>
      <c r="B317" s="14">
        <v>546000</v>
      </c>
      <c r="C317" s="14">
        <v>646000</v>
      </c>
      <c r="D317" s="14">
        <v>401400</v>
      </c>
      <c r="E317" s="14">
        <v>474810</v>
      </c>
      <c r="F317" s="14">
        <v>311300</v>
      </c>
      <c r="G317" s="14">
        <v>368219</v>
      </c>
      <c r="H317" s="14">
        <v>220000</v>
      </c>
      <c r="I317" s="14">
        <v>267000</v>
      </c>
      <c r="J317" s="14">
        <v>5950</v>
      </c>
      <c r="K317" s="14">
        <v>7480</v>
      </c>
      <c r="N317" s="42">
        <f t="shared" si="26"/>
        <v>100000</v>
      </c>
      <c r="O317" s="43">
        <f t="shared" si="27"/>
        <v>0.15479876160990713</v>
      </c>
    </row>
    <row r="318" spans="1:15" x14ac:dyDescent="0.45">
      <c r="A318" s="12" t="s">
        <v>20398</v>
      </c>
      <c r="B318" s="14">
        <v>543000</v>
      </c>
      <c r="C318" s="14">
        <v>640000</v>
      </c>
      <c r="D318" s="14">
        <v>399200</v>
      </c>
      <c r="E318" s="14">
        <v>470400</v>
      </c>
      <c r="F318" s="14">
        <v>309600</v>
      </c>
      <c r="G318" s="14">
        <v>364799</v>
      </c>
      <c r="H318" s="14">
        <v>212000</v>
      </c>
      <c r="I318" s="14">
        <v>258000</v>
      </c>
      <c r="J318" s="14">
        <v>5740</v>
      </c>
      <c r="K318" s="14">
        <v>7210</v>
      </c>
      <c r="N318" s="42">
        <f t="shared" si="26"/>
        <v>97000</v>
      </c>
      <c r="O318" s="43">
        <f t="shared" si="27"/>
        <v>0.15156249999999999</v>
      </c>
    </row>
    <row r="319" spans="1:15" x14ac:dyDescent="0.45">
      <c r="A319" s="12" t="s">
        <v>20513</v>
      </c>
      <c r="B319" s="14">
        <v>542000</v>
      </c>
      <c r="C319" s="14">
        <v>636000</v>
      </c>
      <c r="D319" s="14">
        <v>398400</v>
      </c>
      <c r="E319" s="14">
        <v>467460</v>
      </c>
      <c r="F319" s="14">
        <v>309000</v>
      </c>
      <c r="G319" s="14">
        <v>362519</v>
      </c>
      <c r="H319" s="14">
        <v>210000</v>
      </c>
      <c r="I319" s="14">
        <v>255000</v>
      </c>
      <c r="J319" s="14">
        <v>5620</v>
      </c>
      <c r="K319" s="14">
        <v>7060</v>
      </c>
      <c r="N319" s="42">
        <f t="shared" si="26"/>
        <v>94000</v>
      </c>
      <c r="O319" s="43">
        <f t="shared" si="27"/>
        <v>0.14779874213836477</v>
      </c>
    </row>
    <row r="320" spans="1:15" x14ac:dyDescent="0.45">
      <c r="A320" s="12" t="s">
        <v>20613</v>
      </c>
      <c r="B320" s="14">
        <v>540000</v>
      </c>
      <c r="C320" s="14">
        <v>634000</v>
      </c>
      <c r="D320" s="14">
        <v>396900</v>
      </c>
      <c r="E320" s="14">
        <v>465990</v>
      </c>
      <c r="F320" s="14">
        <v>307800</v>
      </c>
      <c r="G320" s="14">
        <v>361379</v>
      </c>
      <c r="H320" s="14">
        <v>213000</v>
      </c>
      <c r="I320" s="14">
        <v>258000</v>
      </c>
      <c r="J320" s="14">
        <v>5660</v>
      </c>
      <c r="K320" s="14">
        <v>7110</v>
      </c>
      <c r="N320" s="42">
        <f t="shared" si="26"/>
        <v>94000</v>
      </c>
      <c r="O320" s="43">
        <f t="shared" si="27"/>
        <v>0.14826498422712933</v>
      </c>
    </row>
    <row r="321" spans="1:15" x14ac:dyDescent="0.45">
      <c r="A321" s="12" t="s">
        <v>20706</v>
      </c>
      <c r="B321" s="14">
        <v>541000</v>
      </c>
      <c r="C321" s="14">
        <v>638000</v>
      </c>
      <c r="D321" s="14">
        <v>397700</v>
      </c>
      <c r="E321" s="14">
        <v>468930</v>
      </c>
      <c r="F321" s="14">
        <v>308400</v>
      </c>
      <c r="G321" s="14">
        <v>363659</v>
      </c>
      <c r="H321" s="14">
        <v>214000</v>
      </c>
      <c r="I321" s="14">
        <v>260000</v>
      </c>
      <c r="J321" s="14">
        <v>5670</v>
      </c>
      <c r="K321" s="14">
        <v>7130</v>
      </c>
      <c r="N321" s="42">
        <f t="shared" si="26"/>
        <v>97000</v>
      </c>
      <c r="O321" s="43">
        <f t="shared" si="27"/>
        <v>0.15203761755485892</v>
      </c>
    </row>
    <row r="322" spans="1:15" x14ac:dyDescent="0.45">
      <c r="A322" s="12" t="s">
        <v>20823</v>
      </c>
      <c r="B322" s="14">
        <v>541000</v>
      </c>
      <c r="C322" s="14">
        <v>634000</v>
      </c>
      <c r="D322" s="14">
        <v>397700</v>
      </c>
      <c r="E322" s="14">
        <v>465990</v>
      </c>
      <c r="F322" s="14">
        <v>308400</v>
      </c>
      <c r="G322" s="14">
        <v>361379</v>
      </c>
      <c r="H322" s="14">
        <v>215000</v>
      </c>
      <c r="I322" s="14">
        <v>262000</v>
      </c>
      <c r="J322" s="14">
        <v>5670</v>
      </c>
      <c r="K322" s="14">
        <v>7130</v>
      </c>
      <c r="N322" s="42">
        <f t="shared" si="26"/>
        <v>93000</v>
      </c>
      <c r="O322" s="43">
        <f t="shared" si="27"/>
        <v>0.14668769716088328</v>
      </c>
    </row>
    <row r="323" spans="1:15" x14ac:dyDescent="0.45">
      <c r="A323" s="12" t="s">
        <v>30401</v>
      </c>
      <c r="B323" s="14">
        <v>542000</v>
      </c>
      <c r="C323" s="14">
        <v>635000</v>
      </c>
      <c r="D323" s="14">
        <v>398400</v>
      </c>
      <c r="E323" s="14">
        <v>466725</v>
      </c>
      <c r="F323" s="14">
        <v>309000</v>
      </c>
      <c r="G323" s="14">
        <v>361949</v>
      </c>
      <c r="H323" s="14">
        <v>216000</v>
      </c>
      <c r="I323" s="14">
        <v>263000</v>
      </c>
      <c r="J323" s="14">
        <v>5660</v>
      </c>
      <c r="K323" s="14">
        <v>7110</v>
      </c>
      <c r="N323" s="42">
        <f t="shared" si="26"/>
        <v>93000</v>
      </c>
      <c r="O323" s="43">
        <f t="shared" si="27"/>
        <v>0.14645669291338584</v>
      </c>
    </row>
    <row r="324" spans="1:15" x14ac:dyDescent="0.45">
      <c r="A324" s="12" t="s">
        <v>20913</v>
      </c>
      <c r="B324" s="14">
        <v>542000</v>
      </c>
      <c r="C324" s="14">
        <v>636000</v>
      </c>
      <c r="D324" s="14">
        <v>398400</v>
      </c>
      <c r="E324" s="14">
        <v>467460</v>
      </c>
      <c r="F324" s="14">
        <v>309000</v>
      </c>
      <c r="G324" s="14">
        <v>362519</v>
      </c>
      <c r="H324" s="14">
        <v>214000</v>
      </c>
      <c r="I324" s="14">
        <v>261000</v>
      </c>
      <c r="J324" s="14">
        <v>5650</v>
      </c>
      <c r="K324" s="14">
        <v>7100</v>
      </c>
      <c r="N324" s="42">
        <f t="shared" si="26"/>
        <v>94000</v>
      </c>
      <c r="O324" s="43">
        <f t="shared" si="27"/>
        <v>0.14779874213836477</v>
      </c>
    </row>
    <row r="325" spans="1:15" x14ac:dyDescent="0.45">
      <c r="A325" s="12" t="s">
        <v>21018</v>
      </c>
      <c r="B325" s="14">
        <v>542000</v>
      </c>
      <c r="C325" s="14">
        <v>638000</v>
      </c>
      <c r="D325" s="14">
        <v>398400</v>
      </c>
      <c r="E325" s="14">
        <v>468930</v>
      </c>
      <c r="F325" s="14">
        <v>309000</v>
      </c>
      <c r="G325" s="14">
        <v>363659</v>
      </c>
      <c r="H325" s="14">
        <v>218000</v>
      </c>
      <c r="I325" s="14">
        <v>266000</v>
      </c>
      <c r="J325" s="14">
        <v>5620</v>
      </c>
      <c r="K325" s="14">
        <v>7070</v>
      </c>
      <c r="N325" s="42">
        <f t="shared" si="26"/>
        <v>96000</v>
      </c>
      <c r="O325" s="43">
        <f t="shared" si="27"/>
        <v>0.15047021943573669</v>
      </c>
    </row>
    <row r="326" spans="1:15" x14ac:dyDescent="0.45">
      <c r="A326" s="12" t="s">
        <v>21053</v>
      </c>
      <c r="B326" s="14">
        <v>542000</v>
      </c>
      <c r="C326" s="14">
        <v>633000</v>
      </c>
      <c r="D326" s="14">
        <v>398400</v>
      </c>
      <c r="E326" s="14">
        <v>465255</v>
      </c>
      <c r="F326" s="14">
        <v>309000</v>
      </c>
      <c r="G326" s="14">
        <v>360809</v>
      </c>
      <c r="H326" s="14">
        <v>210000</v>
      </c>
      <c r="I326" s="14">
        <v>255000</v>
      </c>
      <c r="J326" s="14">
        <v>5510</v>
      </c>
      <c r="K326" s="14">
        <v>6930</v>
      </c>
      <c r="N326" s="42">
        <f t="shared" si="26"/>
        <v>91000</v>
      </c>
      <c r="O326" s="43">
        <f t="shared" si="27"/>
        <v>0.14375987361769352</v>
      </c>
    </row>
    <row r="327" spans="1:15" x14ac:dyDescent="0.45">
      <c r="A327" s="12" t="s">
        <v>21082</v>
      </c>
      <c r="B327" s="14">
        <v>542000</v>
      </c>
      <c r="C327" s="14">
        <v>631000</v>
      </c>
      <c r="D327" s="14">
        <v>398400</v>
      </c>
      <c r="E327" s="14">
        <v>463785</v>
      </c>
      <c r="F327" s="14">
        <v>309000</v>
      </c>
      <c r="G327" s="14">
        <v>359669</v>
      </c>
      <c r="H327" s="14">
        <v>206000</v>
      </c>
      <c r="I327" s="14">
        <v>251000</v>
      </c>
      <c r="J327" s="14">
        <v>5520</v>
      </c>
      <c r="K327" s="14">
        <v>6940</v>
      </c>
      <c r="N327" s="42">
        <f t="shared" si="26"/>
        <v>89000</v>
      </c>
      <c r="O327" s="43">
        <f t="shared" si="27"/>
        <v>0.14104595879556259</v>
      </c>
    </row>
    <row r="328" spans="1:15" x14ac:dyDescent="0.45">
      <c r="A328" s="12" t="s">
        <v>21134</v>
      </c>
      <c r="B328" s="14">
        <v>535000</v>
      </c>
      <c r="C328" s="14">
        <v>621000</v>
      </c>
      <c r="D328" s="14">
        <v>393300</v>
      </c>
      <c r="E328" s="14">
        <v>456435</v>
      </c>
      <c r="F328" s="14">
        <v>305000</v>
      </c>
      <c r="G328" s="14">
        <v>353969</v>
      </c>
      <c r="H328" s="14">
        <v>208000</v>
      </c>
      <c r="I328" s="14">
        <v>254000</v>
      </c>
      <c r="J328" s="14">
        <v>5480</v>
      </c>
      <c r="K328" s="14">
        <v>6890</v>
      </c>
      <c r="N328" s="42">
        <f t="shared" si="26"/>
        <v>86000</v>
      </c>
      <c r="O328" s="43">
        <f t="shared" si="27"/>
        <v>0.13848631239935588</v>
      </c>
    </row>
    <row r="329" spans="1:15" x14ac:dyDescent="0.45">
      <c r="A329" s="12" t="s">
        <v>30402</v>
      </c>
      <c r="B329" s="14">
        <v>535000</v>
      </c>
      <c r="C329" s="14">
        <v>624000</v>
      </c>
      <c r="D329" s="14">
        <v>393300</v>
      </c>
      <c r="E329" s="14">
        <v>458640</v>
      </c>
      <c r="F329" s="14">
        <v>305000</v>
      </c>
      <c r="G329" s="14">
        <v>355679</v>
      </c>
      <c r="H329" s="14">
        <v>208000</v>
      </c>
      <c r="I329" s="14">
        <v>253000</v>
      </c>
      <c r="J329" s="14">
        <v>5530</v>
      </c>
      <c r="K329" s="14">
        <v>6950</v>
      </c>
      <c r="N329" s="42">
        <f t="shared" si="26"/>
        <v>89000</v>
      </c>
      <c r="O329" s="43">
        <f t="shared" si="27"/>
        <v>0.14262820512820512</v>
      </c>
    </row>
    <row r="330" spans="1:15" x14ac:dyDescent="0.45">
      <c r="A330" s="12" t="s">
        <v>30403</v>
      </c>
      <c r="B330" s="14">
        <v>535000</v>
      </c>
      <c r="C330" s="14">
        <v>624000</v>
      </c>
      <c r="D330" s="14">
        <v>393300</v>
      </c>
      <c r="E330" s="14">
        <v>458640</v>
      </c>
      <c r="F330" s="14">
        <v>305000</v>
      </c>
      <c r="G330" s="14">
        <v>355679</v>
      </c>
      <c r="H330" s="14">
        <v>208000</v>
      </c>
      <c r="I330" s="14">
        <v>253000</v>
      </c>
      <c r="J330" s="14">
        <v>5530</v>
      </c>
      <c r="K330" s="14">
        <v>6950</v>
      </c>
      <c r="N330" s="42">
        <f t="shared" si="26"/>
        <v>89000</v>
      </c>
      <c r="O330" s="43">
        <f t="shared" si="27"/>
        <v>0.14262820512820512</v>
      </c>
    </row>
    <row r="331" spans="1:15" x14ac:dyDescent="0.45">
      <c r="A331" s="12" t="s">
        <v>21201</v>
      </c>
      <c r="B331" s="14">
        <v>535000</v>
      </c>
      <c r="C331" s="14">
        <v>624000</v>
      </c>
      <c r="D331" s="14">
        <v>393300</v>
      </c>
      <c r="E331" s="14">
        <v>458640</v>
      </c>
      <c r="F331" s="14">
        <v>305000</v>
      </c>
      <c r="G331" s="14">
        <v>355679</v>
      </c>
      <c r="H331" s="14">
        <v>215000</v>
      </c>
      <c r="I331" s="14">
        <v>262000</v>
      </c>
      <c r="J331" s="14">
        <v>5580</v>
      </c>
      <c r="K331" s="14">
        <v>7010</v>
      </c>
      <c r="N331" s="42">
        <f t="shared" si="26"/>
        <v>89000</v>
      </c>
      <c r="O331" s="43">
        <f t="shared" si="27"/>
        <v>0.14262820512820512</v>
      </c>
    </row>
    <row r="332" spans="1:15" x14ac:dyDescent="0.45">
      <c r="A332" s="12" t="s">
        <v>21273</v>
      </c>
      <c r="B332" s="14">
        <v>544000</v>
      </c>
      <c r="C332" s="14">
        <v>633000</v>
      </c>
      <c r="D332" s="14">
        <v>399900</v>
      </c>
      <c r="E332" s="14">
        <v>465255</v>
      </c>
      <c r="F332" s="14">
        <v>310100</v>
      </c>
      <c r="G332" s="14">
        <v>360809</v>
      </c>
      <c r="H332" s="14">
        <v>211000</v>
      </c>
      <c r="I332" s="14">
        <v>257000</v>
      </c>
      <c r="J332" s="14">
        <v>5560</v>
      </c>
      <c r="K332" s="14">
        <v>6990</v>
      </c>
      <c r="N332" s="42">
        <f t="shared" si="26"/>
        <v>89000</v>
      </c>
      <c r="O332" s="43">
        <f t="shared" si="27"/>
        <v>0.14060031595576619</v>
      </c>
    </row>
    <row r="333" spans="1:15" x14ac:dyDescent="0.45">
      <c r="A333" s="12" t="s">
        <v>21313</v>
      </c>
      <c r="B333" s="14">
        <v>544000</v>
      </c>
      <c r="C333" s="14">
        <v>634000</v>
      </c>
      <c r="D333" s="14">
        <v>399900</v>
      </c>
      <c r="E333" s="14">
        <v>465990</v>
      </c>
      <c r="F333" s="14">
        <v>310100</v>
      </c>
      <c r="G333" s="14">
        <v>361379</v>
      </c>
      <c r="H333" s="14">
        <v>204000</v>
      </c>
      <c r="I333" s="14">
        <v>248000</v>
      </c>
      <c r="J333" s="14">
        <v>5520</v>
      </c>
      <c r="K333" s="14">
        <v>6940</v>
      </c>
      <c r="N333" s="42">
        <f t="shared" si="26"/>
        <v>90000</v>
      </c>
      <c r="O333" s="43">
        <f t="shared" si="27"/>
        <v>0.14195583596214512</v>
      </c>
    </row>
    <row r="334" spans="1:15" x14ac:dyDescent="0.45">
      <c r="A334" s="12" t="s">
        <v>21356</v>
      </c>
      <c r="B334" s="14">
        <v>540000</v>
      </c>
      <c r="C334" s="14">
        <v>633000</v>
      </c>
      <c r="D334" s="14">
        <v>396900</v>
      </c>
      <c r="E334" s="14">
        <v>465255</v>
      </c>
      <c r="F334" s="14">
        <v>307800</v>
      </c>
      <c r="G334" s="14">
        <v>360809</v>
      </c>
      <c r="H334" s="14">
        <v>202000</v>
      </c>
      <c r="I334" s="14">
        <v>246000</v>
      </c>
      <c r="J334" s="14">
        <v>5530</v>
      </c>
      <c r="K334" s="14">
        <v>6960</v>
      </c>
      <c r="N334" s="42">
        <f t="shared" si="26"/>
        <v>93000</v>
      </c>
      <c r="O334" s="43">
        <f t="shared" si="27"/>
        <v>0.14691943127962084</v>
      </c>
    </row>
    <row r="335" spans="1:15" x14ac:dyDescent="0.45">
      <c r="A335" s="12" t="s">
        <v>21402</v>
      </c>
      <c r="B335" s="14">
        <v>550000</v>
      </c>
      <c r="C335" s="14">
        <v>649000</v>
      </c>
      <c r="D335" s="14">
        <v>404300</v>
      </c>
      <c r="E335" s="14">
        <v>477015</v>
      </c>
      <c r="F335" s="14">
        <v>313500</v>
      </c>
      <c r="G335" s="14">
        <v>369929</v>
      </c>
      <c r="H335" s="14">
        <v>198000</v>
      </c>
      <c r="I335" s="14">
        <v>241000</v>
      </c>
      <c r="J335" s="14">
        <v>5600</v>
      </c>
      <c r="K335" s="14">
        <v>7040</v>
      </c>
      <c r="N335" s="42">
        <f t="shared" si="26"/>
        <v>99000</v>
      </c>
      <c r="O335" s="43">
        <f t="shared" si="27"/>
        <v>0.15254237288135594</v>
      </c>
    </row>
    <row r="336" spans="1:15" x14ac:dyDescent="0.45">
      <c r="A336" s="12" t="s">
        <v>30404</v>
      </c>
      <c r="B336" s="14">
        <v>546000</v>
      </c>
      <c r="C336" s="14">
        <v>646000</v>
      </c>
      <c r="D336" s="14">
        <v>401400</v>
      </c>
      <c r="E336" s="14">
        <v>474810</v>
      </c>
      <c r="F336" s="14">
        <v>311300</v>
      </c>
      <c r="G336" s="14">
        <v>368219</v>
      </c>
      <c r="H336" s="14">
        <v>198000</v>
      </c>
      <c r="I336" s="14">
        <v>241000</v>
      </c>
      <c r="J336" s="14">
        <v>5560</v>
      </c>
      <c r="K336" s="14">
        <v>6990</v>
      </c>
      <c r="N336" s="42">
        <f t="shared" si="26"/>
        <v>100000</v>
      </c>
      <c r="O336" s="43">
        <f t="shared" si="27"/>
        <v>0.15479876160990713</v>
      </c>
    </row>
    <row r="337" spans="1:15" x14ac:dyDescent="0.45">
      <c r="A337" s="12" t="s">
        <v>21465</v>
      </c>
      <c r="B337" s="14">
        <v>543000</v>
      </c>
      <c r="C337" s="14">
        <v>642000</v>
      </c>
      <c r="D337" s="14">
        <v>399200</v>
      </c>
      <c r="E337" s="14">
        <v>471870</v>
      </c>
      <c r="F337" s="14">
        <v>309600</v>
      </c>
      <c r="G337" s="14">
        <v>365939</v>
      </c>
      <c r="H337" s="14">
        <v>200000</v>
      </c>
      <c r="I337" s="14">
        <v>244000</v>
      </c>
      <c r="J337" s="14">
        <v>5510</v>
      </c>
      <c r="K337" s="14">
        <v>6920</v>
      </c>
      <c r="N337" s="42">
        <f t="shared" si="26"/>
        <v>99000</v>
      </c>
      <c r="O337" s="43">
        <f t="shared" si="27"/>
        <v>0.1542056074766355</v>
      </c>
    </row>
    <row r="338" spans="1:15" x14ac:dyDescent="0.45">
      <c r="A338" s="12" t="s">
        <v>21527</v>
      </c>
      <c r="B338" s="14">
        <v>548000</v>
      </c>
      <c r="C338" s="14">
        <v>652000</v>
      </c>
      <c r="D338" s="14">
        <v>402800</v>
      </c>
      <c r="E338" s="14">
        <v>479220</v>
      </c>
      <c r="F338" s="14">
        <v>312400</v>
      </c>
      <c r="G338" s="14">
        <v>371639</v>
      </c>
      <c r="H338" s="14">
        <v>210000</v>
      </c>
      <c r="I338" s="14">
        <v>256000</v>
      </c>
      <c r="J338" s="14">
        <v>5700</v>
      </c>
      <c r="K338" s="14">
        <v>7170</v>
      </c>
      <c r="N338" s="42">
        <f t="shared" si="26"/>
        <v>104000</v>
      </c>
      <c r="O338" s="43">
        <f t="shared" si="27"/>
        <v>0.15950920245398773</v>
      </c>
    </row>
    <row r="339" spans="1:15" x14ac:dyDescent="0.45">
      <c r="A339" s="12" t="s">
        <v>21572</v>
      </c>
      <c r="B339" s="14">
        <v>549000</v>
      </c>
      <c r="C339" s="14">
        <v>651000</v>
      </c>
      <c r="D339" s="14">
        <v>403600</v>
      </c>
      <c r="E339" s="14">
        <v>478485</v>
      </c>
      <c r="F339" s="14">
        <v>313000</v>
      </c>
      <c r="G339" s="14">
        <v>371069</v>
      </c>
      <c r="H339" s="14">
        <v>198000</v>
      </c>
      <c r="I339" s="14">
        <v>240000</v>
      </c>
      <c r="J339" s="14">
        <v>5750</v>
      </c>
      <c r="K339" s="14">
        <v>7230</v>
      </c>
      <c r="N339" s="42">
        <f t="shared" si="26"/>
        <v>102000</v>
      </c>
      <c r="O339" s="43">
        <f t="shared" si="27"/>
        <v>0.15668202764976957</v>
      </c>
    </row>
    <row r="340" spans="1:15" x14ac:dyDescent="0.45">
      <c r="A340" s="12" t="s">
        <v>21625</v>
      </c>
      <c r="B340" s="14">
        <v>549000</v>
      </c>
      <c r="C340" s="14">
        <v>646000</v>
      </c>
      <c r="D340" s="14">
        <v>403600</v>
      </c>
      <c r="E340" s="14">
        <v>474810</v>
      </c>
      <c r="F340" s="14">
        <v>313000</v>
      </c>
      <c r="G340" s="14">
        <v>368219</v>
      </c>
      <c r="H340" s="14">
        <v>192000</v>
      </c>
      <c r="I340" s="14">
        <v>234000</v>
      </c>
      <c r="J340" s="14">
        <v>5570</v>
      </c>
      <c r="K340" s="14">
        <v>7000</v>
      </c>
      <c r="N340" s="42">
        <f t="shared" si="26"/>
        <v>97000</v>
      </c>
      <c r="O340" s="43">
        <f t="shared" si="27"/>
        <v>0.15015479876160992</v>
      </c>
    </row>
    <row r="341" spans="1:15" x14ac:dyDescent="0.45">
      <c r="A341" s="12" t="s">
        <v>21650</v>
      </c>
      <c r="B341" s="14">
        <v>552000</v>
      </c>
      <c r="C341" s="14">
        <v>650000</v>
      </c>
      <c r="D341" s="14">
        <v>405800</v>
      </c>
      <c r="E341" s="14">
        <v>477750</v>
      </c>
      <c r="F341" s="14">
        <v>314700</v>
      </c>
      <c r="G341" s="14">
        <v>370499</v>
      </c>
      <c r="H341" s="14">
        <v>191000</v>
      </c>
      <c r="I341" s="14">
        <v>233000</v>
      </c>
      <c r="J341" s="14">
        <v>5570</v>
      </c>
      <c r="K341" s="14">
        <v>7000</v>
      </c>
      <c r="N341" s="42">
        <f t="shared" si="26"/>
        <v>98000</v>
      </c>
      <c r="O341" s="43">
        <f t="shared" si="27"/>
        <v>0.15076923076923077</v>
      </c>
    </row>
    <row r="342" spans="1:15" x14ac:dyDescent="0.45">
      <c r="A342" s="12" t="s">
        <v>30405</v>
      </c>
      <c r="B342" s="14">
        <v>551000</v>
      </c>
      <c r="C342" s="14">
        <v>655000</v>
      </c>
      <c r="D342" s="14">
        <v>405000</v>
      </c>
      <c r="E342" s="14">
        <v>481425</v>
      </c>
      <c r="F342" s="14">
        <v>314100</v>
      </c>
      <c r="G342" s="14">
        <v>373349</v>
      </c>
      <c r="H342" s="14">
        <v>191000</v>
      </c>
      <c r="I342" s="14">
        <v>232000</v>
      </c>
      <c r="J342" s="14">
        <v>5590</v>
      </c>
      <c r="K342" s="14">
        <v>7020</v>
      </c>
      <c r="N342" s="42">
        <f t="shared" si="26"/>
        <v>104000</v>
      </c>
      <c r="O342" s="43">
        <f t="shared" si="27"/>
        <v>0.15877862595419848</v>
      </c>
    </row>
    <row r="343" spans="1:15" x14ac:dyDescent="0.45">
      <c r="A343" s="12" t="s">
        <v>21695</v>
      </c>
      <c r="B343" s="14">
        <v>551000</v>
      </c>
      <c r="C343" s="14">
        <v>657000</v>
      </c>
      <c r="D343" s="14">
        <v>405000</v>
      </c>
      <c r="E343" s="14">
        <v>482895</v>
      </c>
      <c r="F343" s="14">
        <v>314100</v>
      </c>
      <c r="G343" s="14">
        <v>374489</v>
      </c>
      <c r="H343" s="14">
        <v>201000</v>
      </c>
      <c r="I343" s="14">
        <v>244000</v>
      </c>
      <c r="J343" s="14">
        <v>5590</v>
      </c>
      <c r="K343" s="14">
        <v>7030</v>
      </c>
      <c r="N343" s="42">
        <f t="shared" si="26"/>
        <v>106000</v>
      </c>
      <c r="O343" s="43">
        <f t="shared" si="27"/>
        <v>0.16133942161339421</v>
      </c>
    </row>
    <row r="344" spans="1:15" x14ac:dyDescent="0.45">
      <c r="A344" s="12" t="s">
        <v>21761</v>
      </c>
      <c r="B344" s="14">
        <v>541000</v>
      </c>
      <c r="C344" s="14">
        <v>635000</v>
      </c>
      <c r="D344" s="14">
        <v>397700</v>
      </c>
      <c r="E344" s="14">
        <v>466725</v>
      </c>
      <c r="F344" s="14">
        <v>308400</v>
      </c>
      <c r="G344" s="14">
        <v>361949</v>
      </c>
      <c r="H344" s="14">
        <v>193000</v>
      </c>
      <c r="I344" s="14">
        <v>235000</v>
      </c>
      <c r="J344" s="14">
        <v>5460</v>
      </c>
      <c r="K344" s="14">
        <v>6860</v>
      </c>
      <c r="N344" s="42">
        <f t="shared" si="26"/>
        <v>94000</v>
      </c>
      <c r="O344" s="43">
        <f t="shared" si="27"/>
        <v>0.14803149606299212</v>
      </c>
    </row>
    <row r="345" spans="1:15" x14ac:dyDescent="0.45">
      <c r="A345" s="12" t="s">
        <v>21788</v>
      </c>
      <c r="B345" s="14">
        <v>542000</v>
      </c>
      <c r="C345" s="14">
        <v>639000</v>
      </c>
      <c r="D345" s="14">
        <v>398400</v>
      </c>
      <c r="E345" s="14">
        <v>469665</v>
      </c>
      <c r="F345" s="14">
        <v>309000</v>
      </c>
      <c r="G345" s="14">
        <v>364229</v>
      </c>
      <c r="H345" s="14">
        <v>191000</v>
      </c>
      <c r="I345" s="14">
        <v>232000</v>
      </c>
      <c r="J345" s="14">
        <v>5650</v>
      </c>
      <c r="K345" s="14">
        <v>7100</v>
      </c>
      <c r="N345" s="42">
        <f t="shared" si="26"/>
        <v>97000</v>
      </c>
      <c r="O345" s="43">
        <f t="shared" si="27"/>
        <v>0.15179968701095461</v>
      </c>
    </row>
    <row r="346" spans="1:15" x14ac:dyDescent="0.45">
      <c r="A346" s="12" t="s">
        <v>21821</v>
      </c>
      <c r="B346" s="14">
        <v>538000</v>
      </c>
      <c r="C346" s="14">
        <v>633000</v>
      </c>
      <c r="D346" s="14">
        <v>395500</v>
      </c>
      <c r="E346" s="14">
        <v>465255</v>
      </c>
      <c r="F346" s="14">
        <v>306700</v>
      </c>
      <c r="G346" s="14">
        <v>360809</v>
      </c>
      <c r="H346" s="14">
        <v>188000</v>
      </c>
      <c r="I346" s="14">
        <v>229000</v>
      </c>
      <c r="J346" s="14">
        <v>5610</v>
      </c>
      <c r="K346" s="14">
        <v>7050</v>
      </c>
      <c r="N346" s="42">
        <f t="shared" si="26"/>
        <v>95000</v>
      </c>
      <c r="O346" s="43">
        <f t="shared" si="27"/>
        <v>0.1500789889415482</v>
      </c>
    </row>
    <row r="347" spans="1:15" x14ac:dyDescent="0.45">
      <c r="A347" s="12" t="s">
        <v>21866</v>
      </c>
      <c r="B347" s="14">
        <v>533000</v>
      </c>
      <c r="C347" s="14">
        <v>629000</v>
      </c>
      <c r="D347" s="14">
        <v>391800</v>
      </c>
      <c r="E347" s="14">
        <v>462315</v>
      </c>
      <c r="F347" s="14">
        <v>303900</v>
      </c>
      <c r="G347" s="14">
        <v>358529</v>
      </c>
      <c r="H347" s="14">
        <v>180000</v>
      </c>
      <c r="I347" s="14">
        <v>220000</v>
      </c>
      <c r="J347" s="14">
        <v>5520</v>
      </c>
      <c r="K347" s="14">
        <v>6940</v>
      </c>
      <c r="N347" s="42">
        <f t="shared" si="26"/>
        <v>96000</v>
      </c>
      <c r="O347" s="43">
        <f t="shared" si="27"/>
        <v>0.15262321144674085</v>
      </c>
    </row>
    <row r="348" spans="1:15" x14ac:dyDescent="0.45">
      <c r="A348" s="12" t="s">
        <v>30406</v>
      </c>
      <c r="B348" s="14">
        <v>534000</v>
      </c>
      <c r="C348" s="14">
        <v>629000</v>
      </c>
      <c r="D348" s="14">
        <v>392500</v>
      </c>
      <c r="E348" s="14">
        <v>462315</v>
      </c>
      <c r="F348" s="14">
        <v>304400</v>
      </c>
      <c r="G348" s="14">
        <v>358529</v>
      </c>
      <c r="H348" s="14">
        <v>181000</v>
      </c>
      <c r="I348" s="14">
        <v>221000</v>
      </c>
      <c r="J348" s="14">
        <v>5510</v>
      </c>
      <c r="K348" s="14">
        <v>6930</v>
      </c>
      <c r="N348" s="42">
        <f t="shared" si="26"/>
        <v>95000</v>
      </c>
      <c r="O348" s="43">
        <f t="shared" si="27"/>
        <v>0.15103338632750399</v>
      </c>
    </row>
    <row r="349" spans="1:15" x14ac:dyDescent="0.45">
      <c r="A349" s="12" t="s">
        <v>30407</v>
      </c>
      <c r="B349" s="14">
        <v>540000</v>
      </c>
      <c r="C349" s="14">
        <v>640000</v>
      </c>
      <c r="D349" s="14">
        <v>396900</v>
      </c>
      <c r="E349" s="14">
        <v>470400</v>
      </c>
      <c r="F349" s="14">
        <v>307800</v>
      </c>
      <c r="G349" s="14">
        <v>364799</v>
      </c>
      <c r="H349" s="14">
        <v>178000</v>
      </c>
      <c r="I349" s="14">
        <v>217000</v>
      </c>
      <c r="J349" s="14">
        <v>5520</v>
      </c>
      <c r="K349" s="14">
        <v>6940</v>
      </c>
      <c r="N349" s="42">
        <f t="shared" si="26"/>
        <v>100000</v>
      </c>
      <c r="O349" s="43">
        <f t="shared" si="27"/>
        <v>0.15625</v>
      </c>
    </row>
    <row r="350" spans="1:15" x14ac:dyDescent="0.45">
      <c r="A350" s="12" t="s">
        <v>21893</v>
      </c>
      <c r="B350" s="14">
        <v>542000</v>
      </c>
      <c r="C350" s="14">
        <v>642000</v>
      </c>
      <c r="D350" s="14">
        <v>398400</v>
      </c>
      <c r="E350" s="14">
        <v>471870</v>
      </c>
      <c r="F350" s="14">
        <v>309000</v>
      </c>
      <c r="G350" s="14">
        <v>365939</v>
      </c>
      <c r="H350" s="14">
        <v>169000</v>
      </c>
      <c r="I350" s="14">
        <v>206000</v>
      </c>
      <c r="J350" s="14">
        <v>5280</v>
      </c>
      <c r="K350" s="14">
        <v>6640</v>
      </c>
      <c r="N350" s="42">
        <f t="shared" si="26"/>
        <v>100000</v>
      </c>
      <c r="O350" s="43">
        <f t="shared" si="27"/>
        <v>0.1557632398753894</v>
      </c>
    </row>
    <row r="351" spans="1:15" x14ac:dyDescent="0.45">
      <c r="A351" s="12" t="s">
        <v>21907</v>
      </c>
      <c r="B351" s="14">
        <v>544000</v>
      </c>
      <c r="C351" s="14">
        <v>646000</v>
      </c>
      <c r="D351" s="14">
        <v>399900</v>
      </c>
      <c r="E351" s="14">
        <v>474810</v>
      </c>
      <c r="F351" s="14">
        <v>310100</v>
      </c>
      <c r="G351" s="14">
        <v>368219</v>
      </c>
      <c r="H351" s="14">
        <v>169000</v>
      </c>
      <c r="I351" s="14">
        <v>206000</v>
      </c>
      <c r="J351" s="14">
        <v>5340</v>
      </c>
      <c r="K351" s="14">
        <v>6710</v>
      </c>
      <c r="N351" s="42">
        <f t="shared" si="26"/>
        <v>102000</v>
      </c>
      <c r="O351" s="43">
        <f t="shared" si="27"/>
        <v>0.15789473684210525</v>
      </c>
    </row>
    <row r="352" spans="1:15" x14ac:dyDescent="0.45">
      <c r="A352" s="12" t="s">
        <v>30408</v>
      </c>
      <c r="B352" s="14">
        <v>546000</v>
      </c>
      <c r="C352" s="14">
        <v>650000</v>
      </c>
      <c r="D352" s="14">
        <v>401400</v>
      </c>
      <c r="E352" s="14">
        <v>477750</v>
      </c>
      <c r="F352" s="14">
        <v>311300</v>
      </c>
      <c r="G352" s="14">
        <v>370499</v>
      </c>
      <c r="H352" s="14">
        <v>167000</v>
      </c>
      <c r="I352" s="14">
        <v>203000</v>
      </c>
      <c r="J352" s="14">
        <v>5370</v>
      </c>
      <c r="K352" s="14">
        <v>6750</v>
      </c>
      <c r="N352" s="42">
        <f t="shared" si="26"/>
        <v>104000</v>
      </c>
      <c r="O352" s="43">
        <f t="shared" si="27"/>
        <v>0.16</v>
      </c>
    </row>
    <row r="353" spans="1:15" x14ac:dyDescent="0.45">
      <c r="A353" s="12" t="s">
        <v>21948</v>
      </c>
      <c r="B353" s="14">
        <v>540000</v>
      </c>
      <c r="C353" s="14">
        <v>644000</v>
      </c>
      <c r="D353" s="14">
        <v>396900</v>
      </c>
      <c r="E353" s="14">
        <v>473340</v>
      </c>
      <c r="F353" s="14">
        <v>307800</v>
      </c>
      <c r="G353" s="14">
        <v>367079</v>
      </c>
      <c r="H353" s="14">
        <v>164000</v>
      </c>
      <c r="I353" s="14">
        <v>200000</v>
      </c>
      <c r="J353" s="14">
        <v>5160</v>
      </c>
      <c r="K353" s="14">
        <v>6480</v>
      </c>
      <c r="N353" s="42">
        <f t="shared" si="26"/>
        <v>104000</v>
      </c>
      <c r="O353" s="43">
        <f t="shared" si="27"/>
        <v>0.16149068322981366</v>
      </c>
    </row>
    <row r="354" spans="1:15" x14ac:dyDescent="0.45">
      <c r="A354" s="12" t="s">
        <v>30409</v>
      </c>
      <c r="B354" s="14">
        <v>539000</v>
      </c>
      <c r="C354" s="14">
        <v>636000</v>
      </c>
      <c r="D354" s="14">
        <v>396200</v>
      </c>
      <c r="E354" s="14">
        <v>467460</v>
      </c>
      <c r="F354" s="14">
        <v>307300</v>
      </c>
      <c r="G354" s="14">
        <v>362519</v>
      </c>
      <c r="H354" s="14">
        <v>166000</v>
      </c>
      <c r="I354" s="14">
        <v>203000</v>
      </c>
      <c r="J354" s="14">
        <v>5140</v>
      </c>
      <c r="K354" s="14">
        <v>6460</v>
      </c>
      <c r="N354" s="42">
        <f t="shared" si="26"/>
        <v>97000</v>
      </c>
      <c r="O354" s="43">
        <f t="shared" si="27"/>
        <v>0.15251572327044025</v>
      </c>
    </row>
    <row r="355" spans="1:15" x14ac:dyDescent="0.45">
      <c r="A355" s="12" t="s">
        <v>21989</v>
      </c>
      <c r="B355" s="14">
        <v>539000</v>
      </c>
      <c r="C355" s="14">
        <v>636000</v>
      </c>
      <c r="D355" s="14">
        <v>396200</v>
      </c>
      <c r="E355" s="14">
        <v>467460</v>
      </c>
      <c r="F355" s="14">
        <v>307300</v>
      </c>
      <c r="G355" s="14">
        <v>362519</v>
      </c>
      <c r="H355" s="14">
        <v>169000</v>
      </c>
      <c r="I355" s="14">
        <v>206000</v>
      </c>
      <c r="J355" s="14">
        <v>5140</v>
      </c>
      <c r="K355" s="14">
        <v>6460</v>
      </c>
      <c r="N355" s="42">
        <f t="shared" si="26"/>
        <v>97000</v>
      </c>
      <c r="O355" s="43">
        <f t="shared" si="27"/>
        <v>0.15251572327044025</v>
      </c>
    </row>
    <row r="356" spans="1:15" x14ac:dyDescent="0.45">
      <c r="A356" s="12" t="s">
        <v>22108</v>
      </c>
      <c r="B356" s="14">
        <v>535000</v>
      </c>
      <c r="C356" s="14">
        <v>630000</v>
      </c>
      <c r="D356" s="14">
        <v>393300</v>
      </c>
      <c r="E356" s="14">
        <v>463050</v>
      </c>
      <c r="F356" s="14">
        <v>305000</v>
      </c>
      <c r="G356" s="14">
        <v>359099</v>
      </c>
      <c r="H356" s="14">
        <v>169000</v>
      </c>
      <c r="I356" s="14">
        <v>206000</v>
      </c>
      <c r="J356" s="14">
        <v>5130</v>
      </c>
      <c r="K356" s="14">
        <v>6450</v>
      </c>
      <c r="N356" s="42">
        <f t="shared" si="26"/>
        <v>95000</v>
      </c>
      <c r="O356" s="43">
        <f t="shared" si="27"/>
        <v>0.15079365079365079</v>
      </c>
    </row>
    <row r="357" spans="1:15" x14ac:dyDescent="0.45">
      <c r="A357" s="12" t="s">
        <v>22141</v>
      </c>
      <c r="B357" s="14">
        <v>539000</v>
      </c>
      <c r="C357" s="14">
        <v>634000</v>
      </c>
      <c r="D357" s="14">
        <v>396200</v>
      </c>
      <c r="E357" s="14">
        <v>465990</v>
      </c>
      <c r="F357" s="14">
        <v>307300</v>
      </c>
      <c r="G357" s="14">
        <v>361379</v>
      </c>
      <c r="H357" s="14">
        <v>169000</v>
      </c>
      <c r="I357" s="14">
        <v>206000</v>
      </c>
      <c r="J357" s="14">
        <v>5130</v>
      </c>
      <c r="K357" s="14">
        <v>6450</v>
      </c>
      <c r="N357" s="42">
        <f t="shared" si="26"/>
        <v>95000</v>
      </c>
      <c r="O357" s="43">
        <f t="shared" si="27"/>
        <v>0.14984227129337541</v>
      </c>
    </row>
    <row r="358" spans="1:15" x14ac:dyDescent="0.45">
      <c r="A358" s="12" t="s">
        <v>22202</v>
      </c>
      <c r="B358" s="14">
        <v>540000</v>
      </c>
      <c r="C358" s="14">
        <v>640000</v>
      </c>
      <c r="D358" s="14">
        <v>396900</v>
      </c>
      <c r="E358" s="14">
        <v>470400</v>
      </c>
      <c r="F358" s="14">
        <v>307800</v>
      </c>
      <c r="G358" s="14">
        <v>364799</v>
      </c>
      <c r="H358" s="14">
        <v>169000</v>
      </c>
      <c r="I358" s="14">
        <v>205000</v>
      </c>
      <c r="J358" s="14">
        <v>5160</v>
      </c>
      <c r="K358" s="14">
        <v>6480</v>
      </c>
      <c r="N358" s="42">
        <f t="shared" si="26"/>
        <v>100000</v>
      </c>
      <c r="O358" s="43">
        <f t="shared" si="27"/>
        <v>0.15625</v>
      </c>
    </row>
    <row r="359" spans="1:15" x14ac:dyDescent="0.45">
      <c r="A359" s="12" t="s">
        <v>22248</v>
      </c>
      <c r="B359" s="14">
        <v>541000</v>
      </c>
      <c r="C359" s="14">
        <v>638000</v>
      </c>
      <c r="D359" s="14">
        <v>397700</v>
      </c>
      <c r="E359" s="14">
        <v>468930</v>
      </c>
      <c r="F359" s="14">
        <v>308400</v>
      </c>
      <c r="G359" s="14">
        <v>363659</v>
      </c>
      <c r="H359" s="14">
        <v>171000</v>
      </c>
      <c r="I359" s="14">
        <v>208000</v>
      </c>
      <c r="J359" s="14">
        <v>5150</v>
      </c>
      <c r="K359" s="14">
        <v>6470</v>
      </c>
      <c r="N359" s="42">
        <f t="shared" si="26"/>
        <v>97000</v>
      </c>
      <c r="O359" s="43">
        <f t="shared" si="27"/>
        <v>0.15203761755485892</v>
      </c>
    </row>
    <row r="360" spans="1:15" x14ac:dyDescent="0.45">
      <c r="A360" s="12" t="s">
        <v>30410</v>
      </c>
      <c r="B360" s="14">
        <v>543000</v>
      </c>
      <c r="C360" s="14">
        <v>641000</v>
      </c>
      <c r="D360" s="14">
        <v>399200</v>
      </c>
      <c r="E360" s="14">
        <v>471135</v>
      </c>
      <c r="F360" s="14">
        <v>309600</v>
      </c>
      <c r="G360" s="14">
        <v>365369</v>
      </c>
      <c r="H360" s="14">
        <v>170000</v>
      </c>
      <c r="I360" s="14">
        <v>207000</v>
      </c>
      <c r="J360" s="14">
        <v>5150</v>
      </c>
      <c r="K360" s="14">
        <v>6480</v>
      </c>
      <c r="N360" s="42">
        <f t="shared" si="26"/>
        <v>98000</v>
      </c>
      <c r="O360" s="43">
        <f t="shared" si="27"/>
        <v>0.15288611544461778</v>
      </c>
    </row>
    <row r="361" spans="1:15" x14ac:dyDescent="0.45">
      <c r="A361" s="12" t="s">
        <v>22285</v>
      </c>
      <c r="B361" s="14">
        <v>540000</v>
      </c>
      <c r="C361" s="14">
        <v>639000</v>
      </c>
      <c r="D361" s="14">
        <v>396900</v>
      </c>
      <c r="E361" s="14">
        <v>469665</v>
      </c>
      <c r="F361" s="14">
        <v>307800</v>
      </c>
      <c r="G361" s="14">
        <v>364229</v>
      </c>
      <c r="H361" s="14">
        <v>171000</v>
      </c>
      <c r="I361" s="14">
        <v>208000</v>
      </c>
      <c r="J361" s="14">
        <v>5140</v>
      </c>
      <c r="K361" s="14">
        <v>6460</v>
      </c>
      <c r="N361" s="42">
        <f t="shared" si="26"/>
        <v>99000</v>
      </c>
      <c r="O361" s="43">
        <f t="shared" si="27"/>
        <v>0.15492957746478872</v>
      </c>
    </row>
    <row r="362" spans="1:15" x14ac:dyDescent="0.45">
      <c r="A362" s="12" t="s">
        <v>22355</v>
      </c>
      <c r="B362" s="14">
        <v>545000</v>
      </c>
      <c r="C362" s="14">
        <v>643000</v>
      </c>
      <c r="D362" s="14">
        <v>400600</v>
      </c>
      <c r="E362" s="14">
        <v>472605</v>
      </c>
      <c r="F362" s="14">
        <v>310700</v>
      </c>
      <c r="G362" s="14">
        <v>366509</v>
      </c>
      <c r="H362" s="14">
        <v>169000</v>
      </c>
      <c r="I362" s="14">
        <v>206000</v>
      </c>
      <c r="J362" s="14">
        <v>5200</v>
      </c>
      <c r="K362" s="14">
        <v>6540</v>
      </c>
      <c r="N362" s="42">
        <f t="shared" si="26"/>
        <v>98000</v>
      </c>
      <c r="O362" s="43">
        <f t="shared" si="27"/>
        <v>0.15241057542768274</v>
      </c>
    </row>
    <row r="363" spans="1:15" x14ac:dyDescent="0.45">
      <c r="A363" s="12" t="s">
        <v>22388</v>
      </c>
      <c r="B363" s="14">
        <v>543000</v>
      </c>
      <c r="C363" s="14">
        <v>643000</v>
      </c>
      <c r="D363" s="14">
        <v>399200</v>
      </c>
      <c r="E363" s="14">
        <v>472605</v>
      </c>
      <c r="F363" s="14">
        <v>309600</v>
      </c>
      <c r="G363" s="14">
        <v>366509</v>
      </c>
      <c r="H363" s="14">
        <v>164000</v>
      </c>
      <c r="I363" s="14">
        <v>200000</v>
      </c>
      <c r="J363" s="14">
        <v>5180</v>
      </c>
      <c r="K363" s="14">
        <v>6510</v>
      </c>
      <c r="N363" s="42">
        <f t="shared" si="26"/>
        <v>100000</v>
      </c>
      <c r="O363" s="43">
        <f t="shared" si="27"/>
        <v>0.15552099533437014</v>
      </c>
    </row>
    <row r="364" spans="1:15" x14ac:dyDescent="0.45">
      <c r="A364" s="12" t="s">
        <v>22424</v>
      </c>
      <c r="B364" s="14">
        <v>535000</v>
      </c>
      <c r="C364" s="14">
        <v>627000</v>
      </c>
      <c r="D364" s="14">
        <v>393300</v>
      </c>
      <c r="E364" s="14">
        <v>460845</v>
      </c>
      <c r="F364" s="14">
        <v>305000</v>
      </c>
      <c r="G364" s="14">
        <v>357389</v>
      </c>
      <c r="H364" s="14">
        <v>158000</v>
      </c>
      <c r="I364" s="14">
        <v>193000</v>
      </c>
      <c r="J364" s="14">
        <v>5070</v>
      </c>
      <c r="K364" s="14">
        <v>6380</v>
      </c>
      <c r="N364" s="42">
        <f t="shared" si="26"/>
        <v>92000</v>
      </c>
      <c r="O364" s="43">
        <f t="shared" si="27"/>
        <v>0.14673046251993621</v>
      </c>
    </row>
    <row r="365" spans="1:15" x14ac:dyDescent="0.45">
      <c r="A365" s="12" t="s">
        <v>22454</v>
      </c>
      <c r="B365" s="14">
        <v>537000</v>
      </c>
      <c r="C365" s="14">
        <v>635000</v>
      </c>
      <c r="D365" s="14">
        <v>394700</v>
      </c>
      <c r="E365" s="14">
        <v>466725</v>
      </c>
      <c r="F365" s="14">
        <v>306100</v>
      </c>
      <c r="G365" s="14">
        <v>361949</v>
      </c>
      <c r="H365" s="14">
        <v>158000</v>
      </c>
      <c r="I365" s="14">
        <v>193000</v>
      </c>
      <c r="J365" s="14">
        <v>5120</v>
      </c>
      <c r="K365" s="14">
        <v>6440</v>
      </c>
      <c r="N365" s="42">
        <f t="shared" ref="N365:N428" si="28">C365-B365</f>
        <v>98000</v>
      </c>
      <c r="O365" s="43">
        <f t="shared" ref="O365:O428" si="29">N365/C365</f>
        <v>0.15433070866141732</v>
      </c>
    </row>
    <row r="366" spans="1:15" x14ac:dyDescent="0.45">
      <c r="A366" s="12" t="s">
        <v>30411</v>
      </c>
      <c r="B366" s="14">
        <v>534000</v>
      </c>
      <c r="C366" s="14">
        <v>626000</v>
      </c>
      <c r="D366" s="14">
        <v>392500</v>
      </c>
      <c r="E366" s="14">
        <v>460110</v>
      </c>
      <c r="F366" s="14">
        <v>304400</v>
      </c>
      <c r="G366" s="14">
        <v>356819</v>
      </c>
      <c r="H366" s="14">
        <v>158000</v>
      </c>
      <c r="I366" s="14">
        <v>192000</v>
      </c>
      <c r="J366" s="14">
        <v>5090</v>
      </c>
      <c r="K366" s="14">
        <v>6390</v>
      </c>
      <c r="N366" s="42">
        <f t="shared" si="28"/>
        <v>92000</v>
      </c>
      <c r="O366" s="43">
        <f t="shared" si="29"/>
        <v>0.14696485623003194</v>
      </c>
    </row>
    <row r="367" spans="1:15" x14ac:dyDescent="0.45">
      <c r="A367" s="12" t="s">
        <v>22571</v>
      </c>
      <c r="B367" s="14">
        <v>535000</v>
      </c>
      <c r="C367" s="14">
        <v>632000</v>
      </c>
      <c r="D367" s="14">
        <v>393300</v>
      </c>
      <c r="E367" s="14">
        <v>464520</v>
      </c>
      <c r="F367" s="14">
        <v>305000</v>
      </c>
      <c r="G367" s="14">
        <v>360239</v>
      </c>
      <c r="H367" s="14">
        <v>158000</v>
      </c>
      <c r="I367" s="14">
        <v>192000</v>
      </c>
      <c r="J367" s="14">
        <v>5130</v>
      </c>
      <c r="K367" s="14">
        <v>6440</v>
      </c>
      <c r="N367" s="42">
        <f t="shared" si="28"/>
        <v>97000</v>
      </c>
      <c r="O367" s="43">
        <f t="shared" si="29"/>
        <v>0.15348101265822786</v>
      </c>
    </row>
    <row r="368" spans="1:15" x14ac:dyDescent="0.45">
      <c r="A368" s="12" t="s">
        <v>22735</v>
      </c>
      <c r="B368" s="14">
        <v>523000</v>
      </c>
      <c r="C368" s="14">
        <v>619000</v>
      </c>
      <c r="D368" s="14">
        <v>384500</v>
      </c>
      <c r="E368" s="14">
        <v>454965</v>
      </c>
      <c r="F368" s="14">
        <v>298200</v>
      </c>
      <c r="G368" s="14">
        <v>352829</v>
      </c>
      <c r="H368" s="14">
        <v>157000</v>
      </c>
      <c r="I368" s="14">
        <v>192000</v>
      </c>
      <c r="J368" s="14">
        <v>5050</v>
      </c>
      <c r="K368" s="14">
        <v>6350</v>
      </c>
      <c r="N368" s="42">
        <f t="shared" si="28"/>
        <v>96000</v>
      </c>
      <c r="O368" s="43">
        <f t="shared" si="29"/>
        <v>0.15508885298869143</v>
      </c>
    </row>
    <row r="369" spans="1:15" x14ac:dyDescent="0.45">
      <c r="A369" s="12" t="s">
        <v>22898</v>
      </c>
      <c r="B369" s="14">
        <v>540000</v>
      </c>
      <c r="C369" s="14">
        <v>643000</v>
      </c>
      <c r="D369" s="14">
        <v>396900</v>
      </c>
      <c r="E369" s="14">
        <v>472605</v>
      </c>
      <c r="F369" s="14">
        <v>307800</v>
      </c>
      <c r="G369" s="14">
        <v>366509</v>
      </c>
      <c r="H369" s="14">
        <v>160000</v>
      </c>
      <c r="I369" s="14">
        <v>194000</v>
      </c>
      <c r="J369" s="14">
        <v>5240</v>
      </c>
      <c r="K369" s="14">
        <v>6590</v>
      </c>
      <c r="N369" s="42">
        <f t="shared" si="28"/>
        <v>103000</v>
      </c>
      <c r="O369" s="43">
        <f t="shared" si="29"/>
        <v>0.16018662519440124</v>
      </c>
    </row>
    <row r="370" spans="1:15" x14ac:dyDescent="0.45">
      <c r="A370" s="12" t="s">
        <v>23050</v>
      </c>
      <c r="B370" s="14">
        <v>547000</v>
      </c>
      <c r="C370" s="14">
        <v>647000</v>
      </c>
      <c r="D370" s="14">
        <v>402100</v>
      </c>
      <c r="E370" s="14">
        <v>475545</v>
      </c>
      <c r="F370" s="14">
        <v>311800</v>
      </c>
      <c r="G370" s="14">
        <v>368789</v>
      </c>
      <c r="H370" s="14">
        <v>160000</v>
      </c>
      <c r="I370" s="14">
        <v>195000</v>
      </c>
      <c r="J370" s="14">
        <v>5290</v>
      </c>
      <c r="K370" s="14">
        <v>6650</v>
      </c>
      <c r="N370" s="42">
        <f t="shared" si="28"/>
        <v>100000</v>
      </c>
      <c r="O370" s="43">
        <f t="shared" si="29"/>
        <v>0.15455950540958269</v>
      </c>
    </row>
    <row r="371" spans="1:15" x14ac:dyDescent="0.45">
      <c r="A371" s="12" t="s">
        <v>23142</v>
      </c>
      <c r="B371" s="14">
        <v>540000</v>
      </c>
      <c r="C371" s="14">
        <v>642000</v>
      </c>
      <c r="D371" s="14">
        <v>396900</v>
      </c>
      <c r="E371" s="14">
        <v>471870</v>
      </c>
      <c r="F371" s="14">
        <v>307800</v>
      </c>
      <c r="G371" s="14">
        <v>365939</v>
      </c>
      <c r="H371" s="14">
        <v>160000</v>
      </c>
      <c r="I371" s="14">
        <v>195000</v>
      </c>
      <c r="J371" s="14">
        <v>5160</v>
      </c>
      <c r="K371" s="14">
        <v>6490</v>
      </c>
      <c r="N371" s="42">
        <f t="shared" si="28"/>
        <v>102000</v>
      </c>
      <c r="O371" s="43">
        <f t="shared" si="29"/>
        <v>0.15887850467289719</v>
      </c>
    </row>
    <row r="372" spans="1:15" x14ac:dyDescent="0.45">
      <c r="A372" s="12" t="s">
        <v>30412</v>
      </c>
      <c r="B372" s="14">
        <v>548000</v>
      </c>
      <c r="C372" s="14">
        <v>649000</v>
      </c>
      <c r="D372" s="14">
        <v>402800</v>
      </c>
      <c r="E372" s="14">
        <v>477015</v>
      </c>
      <c r="F372" s="14">
        <v>312400</v>
      </c>
      <c r="G372" s="14">
        <v>369929</v>
      </c>
      <c r="H372" s="14">
        <v>158000</v>
      </c>
      <c r="I372" s="14">
        <v>193000</v>
      </c>
      <c r="J372" s="14">
        <v>5140</v>
      </c>
      <c r="K372" s="14">
        <v>6470</v>
      </c>
      <c r="N372" s="42">
        <f t="shared" si="28"/>
        <v>101000</v>
      </c>
      <c r="O372" s="43">
        <f t="shared" si="29"/>
        <v>0.15562403697996918</v>
      </c>
    </row>
    <row r="373" spans="1:15" x14ac:dyDescent="0.45">
      <c r="A373" s="12" t="s">
        <v>23354</v>
      </c>
      <c r="B373" s="14">
        <v>548000</v>
      </c>
      <c r="C373" s="14">
        <v>652000</v>
      </c>
      <c r="D373" s="14">
        <v>402800</v>
      </c>
      <c r="E373" s="14">
        <v>479220</v>
      </c>
      <c r="F373" s="14">
        <v>312400</v>
      </c>
      <c r="G373" s="14">
        <v>371639</v>
      </c>
      <c r="H373" s="14">
        <v>157000</v>
      </c>
      <c r="I373" s="14">
        <v>192000</v>
      </c>
      <c r="J373" s="14">
        <v>5140</v>
      </c>
      <c r="K373" s="14">
        <v>6470</v>
      </c>
      <c r="N373" s="42">
        <f t="shared" si="28"/>
        <v>104000</v>
      </c>
      <c r="O373" s="43">
        <f t="shared" si="29"/>
        <v>0.15950920245398773</v>
      </c>
    </row>
    <row r="374" spans="1:15" x14ac:dyDescent="0.45">
      <c r="A374" s="12" t="s">
        <v>23573</v>
      </c>
      <c r="B374" s="14">
        <v>550000</v>
      </c>
      <c r="C374" s="14">
        <v>655000</v>
      </c>
      <c r="D374" s="14">
        <v>404300</v>
      </c>
      <c r="E374" s="14">
        <v>481425</v>
      </c>
      <c r="F374" s="14">
        <v>313500</v>
      </c>
      <c r="G374" s="14">
        <v>373349</v>
      </c>
      <c r="H374" s="14">
        <v>155000</v>
      </c>
      <c r="I374" s="14">
        <v>189000</v>
      </c>
      <c r="J374" s="14">
        <v>5100</v>
      </c>
      <c r="K374" s="14">
        <v>6410</v>
      </c>
      <c r="N374" s="42">
        <f t="shared" si="28"/>
        <v>105000</v>
      </c>
      <c r="O374" s="43">
        <f t="shared" si="29"/>
        <v>0.16030534351145037</v>
      </c>
    </row>
    <row r="375" spans="1:15" x14ac:dyDescent="0.45">
      <c r="A375" s="12" t="s">
        <v>23672</v>
      </c>
      <c r="B375" s="14">
        <v>559000</v>
      </c>
      <c r="C375" s="14">
        <v>662000</v>
      </c>
      <c r="D375" s="14">
        <v>410900</v>
      </c>
      <c r="E375" s="14">
        <v>486570</v>
      </c>
      <c r="F375" s="14">
        <v>318700</v>
      </c>
      <c r="G375" s="14">
        <v>377339</v>
      </c>
      <c r="H375" s="14">
        <v>156000</v>
      </c>
      <c r="I375" s="14">
        <v>190000</v>
      </c>
      <c r="J375" s="14">
        <v>5190</v>
      </c>
      <c r="K375" s="14">
        <v>6530</v>
      </c>
      <c r="N375" s="42">
        <f t="shared" si="28"/>
        <v>103000</v>
      </c>
      <c r="O375" s="43">
        <f t="shared" si="29"/>
        <v>0.1555891238670695</v>
      </c>
    </row>
    <row r="376" spans="1:15" x14ac:dyDescent="0.45">
      <c r="A376" s="12" t="s">
        <v>30413</v>
      </c>
      <c r="B376" s="14">
        <v>540000</v>
      </c>
      <c r="C376" s="14">
        <v>648000</v>
      </c>
      <c r="D376" s="14">
        <v>396900</v>
      </c>
      <c r="E376" s="14">
        <v>476280</v>
      </c>
      <c r="F376" s="14">
        <v>307800</v>
      </c>
      <c r="G376" s="14">
        <v>369359</v>
      </c>
      <c r="H376" s="14">
        <v>154000</v>
      </c>
      <c r="I376" s="14">
        <v>187000</v>
      </c>
      <c r="J376" s="14">
        <v>5140</v>
      </c>
      <c r="K376" s="14">
        <v>6460</v>
      </c>
      <c r="N376" s="42">
        <f t="shared" si="28"/>
        <v>108000</v>
      </c>
      <c r="O376" s="43">
        <f t="shared" si="29"/>
        <v>0.16666666666666666</v>
      </c>
    </row>
    <row r="377" spans="1:15" x14ac:dyDescent="0.45">
      <c r="A377" s="12" t="s">
        <v>30414</v>
      </c>
      <c r="B377" s="14">
        <v>536000</v>
      </c>
      <c r="C377" s="14">
        <v>640000</v>
      </c>
      <c r="D377" s="14">
        <v>394000</v>
      </c>
      <c r="E377" s="14">
        <v>470400</v>
      </c>
      <c r="F377" s="14">
        <v>305600</v>
      </c>
      <c r="G377" s="14">
        <v>364799</v>
      </c>
      <c r="H377" s="14">
        <v>153000</v>
      </c>
      <c r="I377" s="14">
        <v>187000</v>
      </c>
      <c r="J377" s="14">
        <v>5050</v>
      </c>
      <c r="K377" s="14">
        <v>6370</v>
      </c>
      <c r="N377" s="42">
        <f t="shared" si="28"/>
        <v>104000</v>
      </c>
      <c r="O377" s="43">
        <f t="shared" si="29"/>
        <v>0.16250000000000001</v>
      </c>
    </row>
    <row r="378" spans="1:15" x14ac:dyDescent="0.45">
      <c r="A378" s="12" t="s">
        <v>30415</v>
      </c>
      <c r="B378" s="14">
        <v>536000</v>
      </c>
      <c r="C378" s="14">
        <v>635000</v>
      </c>
      <c r="D378" s="14">
        <v>394000</v>
      </c>
      <c r="E378" s="14">
        <v>466725</v>
      </c>
      <c r="F378" s="14">
        <v>305600</v>
      </c>
      <c r="G378" s="14">
        <v>361949</v>
      </c>
      <c r="H378" s="14">
        <v>153000</v>
      </c>
      <c r="I378" s="14">
        <v>187000</v>
      </c>
      <c r="J378" s="14">
        <v>5050</v>
      </c>
      <c r="K378" s="14">
        <v>6350</v>
      </c>
      <c r="N378" s="42">
        <f t="shared" si="28"/>
        <v>99000</v>
      </c>
      <c r="O378" s="43">
        <f t="shared" si="29"/>
        <v>0.15590551181102363</v>
      </c>
    </row>
    <row r="379" spans="1:15" x14ac:dyDescent="0.45">
      <c r="A379" s="12" t="s">
        <v>23755</v>
      </c>
      <c r="B379" s="14">
        <v>542000</v>
      </c>
      <c r="C379" s="14">
        <v>652000</v>
      </c>
      <c r="D379" s="14">
        <v>398400</v>
      </c>
      <c r="E379" s="14">
        <v>479220</v>
      </c>
      <c r="F379" s="14">
        <v>309000</v>
      </c>
      <c r="G379" s="14">
        <v>371639</v>
      </c>
      <c r="H379" s="14">
        <v>158000</v>
      </c>
      <c r="I379" s="14">
        <v>193000</v>
      </c>
      <c r="J379" s="14">
        <v>5260</v>
      </c>
      <c r="K379" s="14">
        <v>6620</v>
      </c>
      <c r="N379" s="42">
        <f t="shared" si="28"/>
        <v>110000</v>
      </c>
      <c r="O379" s="43">
        <f t="shared" si="29"/>
        <v>0.16871165644171779</v>
      </c>
    </row>
    <row r="380" spans="1:15" x14ac:dyDescent="0.45">
      <c r="A380" s="12" t="s">
        <v>30416</v>
      </c>
      <c r="B380" s="14">
        <v>545000</v>
      </c>
      <c r="C380" s="14">
        <v>647000</v>
      </c>
      <c r="D380" s="14">
        <v>400600</v>
      </c>
      <c r="E380" s="14">
        <v>475545</v>
      </c>
      <c r="F380" s="14">
        <v>310700</v>
      </c>
      <c r="G380" s="14">
        <v>368789</v>
      </c>
      <c r="H380" s="14">
        <v>156000</v>
      </c>
      <c r="I380" s="14">
        <v>191000</v>
      </c>
      <c r="J380" s="14">
        <v>5200</v>
      </c>
      <c r="K380" s="14">
        <v>6530</v>
      </c>
      <c r="N380" s="42">
        <f t="shared" si="28"/>
        <v>102000</v>
      </c>
      <c r="O380" s="43">
        <f t="shared" si="29"/>
        <v>0.15765069551777433</v>
      </c>
    </row>
    <row r="381" spans="1:15" x14ac:dyDescent="0.45">
      <c r="A381" s="12" t="s">
        <v>24022</v>
      </c>
      <c r="B381" s="14">
        <v>553000</v>
      </c>
      <c r="C381" s="14">
        <v>661000</v>
      </c>
      <c r="D381" s="14">
        <v>406500</v>
      </c>
      <c r="E381" s="14">
        <v>485835</v>
      </c>
      <c r="F381" s="14">
        <v>315300</v>
      </c>
      <c r="G381" s="14">
        <v>376769</v>
      </c>
      <c r="H381" s="14">
        <v>159000</v>
      </c>
      <c r="I381" s="14">
        <v>194000</v>
      </c>
      <c r="J381" s="14">
        <v>5310</v>
      </c>
      <c r="K381" s="14">
        <v>6670</v>
      </c>
      <c r="N381" s="42">
        <f t="shared" si="28"/>
        <v>108000</v>
      </c>
      <c r="O381" s="43">
        <f t="shared" si="29"/>
        <v>0.16338880484114976</v>
      </c>
    </row>
    <row r="382" spans="1:15" x14ac:dyDescent="0.45">
      <c r="A382" s="12" t="s">
        <v>24255</v>
      </c>
      <c r="B382" s="14">
        <v>558000</v>
      </c>
      <c r="C382" s="14">
        <v>670000</v>
      </c>
      <c r="D382" s="14">
        <v>410200</v>
      </c>
      <c r="E382" s="14">
        <v>492450</v>
      </c>
      <c r="F382" s="14">
        <v>318100</v>
      </c>
      <c r="G382" s="14">
        <v>381899</v>
      </c>
      <c r="H382" s="14">
        <v>162000</v>
      </c>
      <c r="I382" s="14">
        <v>197000</v>
      </c>
      <c r="J382" s="14">
        <v>5370</v>
      </c>
      <c r="K382" s="14">
        <v>6750</v>
      </c>
      <c r="N382" s="42">
        <f t="shared" si="28"/>
        <v>112000</v>
      </c>
      <c r="O382" s="43">
        <f t="shared" si="29"/>
        <v>0.16716417910447762</v>
      </c>
    </row>
    <row r="383" spans="1:15" x14ac:dyDescent="0.45">
      <c r="A383" s="12" t="s">
        <v>24391</v>
      </c>
      <c r="B383" s="14">
        <v>553000</v>
      </c>
      <c r="C383" s="14">
        <v>665000</v>
      </c>
      <c r="D383" s="14">
        <v>406500</v>
      </c>
      <c r="E383" s="14">
        <v>488775</v>
      </c>
      <c r="F383" s="14">
        <v>315300</v>
      </c>
      <c r="G383" s="14">
        <v>379049</v>
      </c>
      <c r="H383" s="14">
        <v>159000</v>
      </c>
      <c r="I383" s="14">
        <v>194000</v>
      </c>
      <c r="J383" s="14">
        <v>5330</v>
      </c>
      <c r="K383" s="14">
        <v>6700</v>
      </c>
      <c r="N383" s="42">
        <f t="shared" si="28"/>
        <v>112000</v>
      </c>
      <c r="O383" s="43">
        <f t="shared" si="29"/>
        <v>0.16842105263157894</v>
      </c>
    </row>
    <row r="384" spans="1:15" x14ac:dyDescent="0.45">
      <c r="A384" s="12" t="s">
        <v>30417</v>
      </c>
      <c r="B384" s="14">
        <v>558000</v>
      </c>
      <c r="C384" s="14">
        <v>667000</v>
      </c>
      <c r="D384" s="14">
        <v>410200</v>
      </c>
      <c r="E384" s="14">
        <v>490245</v>
      </c>
      <c r="F384" s="14">
        <v>318100</v>
      </c>
      <c r="G384" s="14">
        <v>380189</v>
      </c>
      <c r="H384" s="14">
        <v>159000</v>
      </c>
      <c r="I384" s="14">
        <v>194000</v>
      </c>
      <c r="J384" s="14">
        <v>5360</v>
      </c>
      <c r="K384" s="14">
        <v>6740</v>
      </c>
      <c r="N384" s="42">
        <f t="shared" si="28"/>
        <v>109000</v>
      </c>
      <c r="O384" s="43">
        <f t="shared" si="29"/>
        <v>0.16341829085457271</v>
      </c>
    </row>
    <row r="385" spans="1:15" x14ac:dyDescent="0.45">
      <c r="A385" s="12" t="s">
        <v>24250</v>
      </c>
      <c r="B385" s="14">
        <v>558000</v>
      </c>
      <c r="C385" s="14">
        <v>671000</v>
      </c>
      <c r="D385" s="14">
        <v>410200</v>
      </c>
      <c r="E385" s="14">
        <v>493185</v>
      </c>
      <c r="F385" s="14">
        <v>318100</v>
      </c>
      <c r="G385" s="14">
        <v>382469</v>
      </c>
      <c r="H385" s="14">
        <v>159000</v>
      </c>
      <c r="I385" s="14">
        <v>193000</v>
      </c>
      <c r="J385" s="14">
        <v>5430</v>
      </c>
      <c r="K385" s="14">
        <v>6820</v>
      </c>
      <c r="N385" s="42">
        <f t="shared" si="28"/>
        <v>113000</v>
      </c>
      <c r="O385" s="43">
        <f t="shared" si="29"/>
        <v>0.16840536512667661</v>
      </c>
    </row>
    <row r="386" spans="1:15" x14ac:dyDescent="0.45">
      <c r="A386" s="12" t="s">
        <v>24853</v>
      </c>
      <c r="B386" s="14">
        <v>553000</v>
      </c>
      <c r="C386" s="14">
        <v>670000</v>
      </c>
      <c r="D386" s="14">
        <v>406500</v>
      </c>
      <c r="E386" s="14">
        <v>492450</v>
      </c>
      <c r="F386" s="14">
        <v>315300</v>
      </c>
      <c r="G386" s="14">
        <v>381899</v>
      </c>
      <c r="H386" s="14">
        <v>158000</v>
      </c>
      <c r="I386" s="14">
        <v>193000</v>
      </c>
      <c r="J386" s="14">
        <v>5380</v>
      </c>
      <c r="K386" s="14">
        <v>6770</v>
      </c>
      <c r="N386" s="42">
        <f t="shared" si="28"/>
        <v>117000</v>
      </c>
      <c r="O386" s="43">
        <f t="shared" si="29"/>
        <v>0.17462686567164179</v>
      </c>
    </row>
    <row r="387" spans="1:15" x14ac:dyDescent="0.45">
      <c r="A387" s="12" t="s">
        <v>24932</v>
      </c>
      <c r="B387" s="14">
        <v>548000</v>
      </c>
      <c r="C387" s="14">
        <v>660000</v>
      </c>
      <c r="D387" s="14">
        <v>402800</v>
      </c>
      <c r="E387" s="14">
        <v>485100</v>
      </c>
      <c r="F387" s="14">
        <v>312400</v>
      </c>
      <c r="G387" s="14">
        <v>376199</v>
      </c>
      <c r="H387" s="14">
        <v>157000</v>
      </c>
      <c r="I387" s="14">
        <v>191000</v>
      </c>
      <c r="J387" s="14">
        <v>5270</v>
      </c>
      <c r="K387" s="14">
        <v>6630</v>
      </c>
      <c r="N387" s="42">
        <f t="shared" si="28"/>
        <v>112000</v>
      </c>
      <c r="O387" s="43">
        <f t="shared" si="29"/>
        <v>0.16969696969696971</v>
      </c>
    </row>
    <row r="388" spans="1:15" x14ac:dyDescent="0.45">
      <c r="A388" s="12" t="s">
        <v>24981</v>
      </c>
      <c r="B388" s="14">
        <v>575000</v>
      </c>
      <c r="C388" s="14">
        <v>689000</v>
      </c>
      <c r="D388" s="14">
        <v>422700</v>
      </c>
      <c r="E388" s="14">
        <v>506415</v>
      </c>
      <c r="F388" s="14">
        <v>327800</v>
      </c>
      <c r="G388" s="14">
        <v>392729</v>
      </c>
      <c r="H388" s="14">
        <v>157000</v>
      </c>
      <c r="I388" s="14">
        <v>192000</v>
      </c>
      <c r="J388" s="14">
        <v>5230</v>
      </c>
      <c r="K388" s="14">
        <v>6580</v>
      </c>
      <c r="N388" s="42">
        <f t="shared" si="28"/>
        <v>114000</v>
      </c>
      <c r="O388" s="43">
        <f t="shared" si="29"/>
        <v>0.16545718432510886</v>
      </c>
    </row>
    <row r="389" spans="1:15" x14ac:dyDescent="0.45">
      <c r="A389" s="12" t="s">
        <v>25032</v>
      </c>
      <c r="B389" s="14">
        <v>557000</v>
      </c>
      <c r="C389" s="14">
        <v>670000</v>
      </c>
      <c r="D389" s="14">
        <v>409400</v>
      </c>
      <c r="E389" s="14">
        <v>492450</v>
      </c>
      <c r="F389" s="14">
        <v>317500</v>
      </c>
      <c r="G389" s="14">
        <v>381899</v>
      </c>
      <c r="H389" s="14">
        <v>156000</v>
      </c>
      <c r="I389" s="14">
        <v>191000</v>
      </c>
      <c r="J389" s="14">
        <v>5220</v>
      </c>
      <c r="K389" s="14">
        <v>6560</v>
      </c>
      <c r="N389" s="42">
        <f t="shared" si="28"/>
        <v>113000</v>
      </c>
      <c r="O389" s="43">
        <f t="shared" si="29"/>
        <v>0.16865671641791044</v>
      </c>
    </row>
    <row r="390" spans="1:15" x14ac:dyDescent="0.45">
      <c r="A390" s="12" t="s">
        <v>30418</v>
      </c>
      <c r="B390" s="14">
        <v>548000</v>
      </c>
      <c r="C390" s="14">
        <v>662000</v>
      </c>
      <c r="D390" s="14">
        <v>402800</v>
      </c>
      <c r="E390" s="14">
        <v>486570</v>
      </c>
      <c r="F390" s="14">
        <v>312400</v>
      </c>
      <c r="G390" s="14">
        <v>377339</v>
      </c>
      <c r="H390" s="14">
        <v>158000</v>
      </c>
      <c r="I390" s="14">
        <v>192000</v>
      </c>
      <c r="J390" s="14">
        <v>5230</v>
      </c>
      <c r="K390" s="14">
        <v>6570</v>
      </c>
      <c r="N390" s="42">
        <f t="shared" si="28"/>
        <v>114000</v>
      </c>
      <c r="O390" s="43">
        <f t="shared" si="29"/>
        <v>0.17220543806646527</v>
      </c>
    </row>
    <row r="391" spans="1:15" x14ac:dyDescent="0.45">
      <c r="A391" s="12" t="s">
        <v>25082</v>
      </c>
      <c r="B391" s="14">
        <v>548000</v>
      </c>
      <c r="C391" s="14">
        <v>661000</v>
      </c>
      <c r="D391" s="14">
        <v>402800</v>
      </c>
      <c r="E391" s="14">
        <v>485835</v>
      </c>
      <c r="F391" s="14">
        <v>312400</v>
      </c>
      <c r="G391" s="14">
        <v>376769</v>
      </c>
      <c r="H391" s="14">
        <v>158000</v>
      </c>
      <c r="I391" s="14">
        <v>192000</v>
      </c>
      <c r="J391" s="14">
        <v>5220</v>
      </c>
      <c r="K391" s="14">
        <v>6570</v>
      </c>
      <c r="N391" s="42">
        <f t="shared" si="28"/>
        <v>113000</v>
      </c>
      <c r="O391" s="43">
        <f t="shared" si="29"/>
        <v>0.17095310136157338</v>
      </c>
    </row>
    <row r="392" spans="1:15" x14ac:dyDescent="0.45">
      <c r="A392" s="12" t="s">
        <v>25120</v>
      </c>
      <c r="B392" s="14">
        <v>546000</v>
      </c>
      <c r="C392" s="14">
        <v>659000</v>
      </c>
      <c r="D392" s="14">
        <v>401400</v>
      </c>
      <c r="E392" s="14">
        <v>484365</v>
      </c>
      <c r="F392" s="14">
        <v>311300</v>
      </c>
      <c r="G392" s="14">
        <v>375629</v>
      </c>
      <c r="H392" s="14">
        <v>156000</v>
      </c>
      <c r="I392" s="14">
        <v>190000</v>
      </c>
      <c r="J392" s="14">
        <v>5180</v>
      </c>
      <c r="K392" s="14">
        <v>6510</v>
      </c>
      <c r="N392" s="42">
        <f t="shared" si="28"/>
        <v>113000</v>
      </c>
      <c r="O392" s="43">
        <f t="shared" si="29"/>
        <v>0.17147192716236723</v>
      </c>
    </row>
    <row r="393" spans="1:15" x14ac:dyDescent="0.45">
      <c r="A393" s="12" t="s">
        <v>25156</v>
      </c>
      <c r="B393" s="14">
        <v>546000</v>
      </c>
      <c r="C393" s="14">
        <v>656000</v>
      </c>
      <c r="D393" s="14">
        <v>401400</v>
      </c>
      <c r="E393" s="14">
        <v>482160</v>
      </c>
      <c r="F393" s="14">
        <v>311300</v>
      </c>
      <c r="G393" s="14">
        <v>373919</v>
      </c>
      <c r="H393" s="14">
        <v>156000</v>
      </c>
      <c r="I393" s="14">
        <v>190000</v>
      </c>
      <c r="J393" s="14">
        <v>5270</v>
      </c>
      <c r="K393" s="14">
        <v>6620</v>
      </c>
      <c r="N393" s="42">
        <f t="shared" si="28"/>
        <v>110000</v>
      </c>
      <c r="O393" s="43">
        <f t="shared" si="29"/>
        <v>0.1676829268292683</v>
      </c>
    </row>
    <row r="394" spans="1:15" x14ac:dyDescent="0.45">
      <c r="A394" s="12" t="s">
        <v>25213</v>
      </c>
      <c r="B394" s="14">
        <v>541000</v>
      </c>
      <c r="C394" s="14">
        <v>644000</v>
      </c>
      <c r="D394" s="14">
        <v>397700</v>
      </c>
      <c r="E394" s="14">
        <v>473340</v>
      </c>
      <c r="F394" s="14">
        <v>308400</v>
      </c>
      <c r="G394" s="14">
        <v>367079</v>
      </c>
      <c r="H394" s="14">
        <v>155000</v>
      </c>
      <c r="I394" s="14">
        <v>189000</v>
      </c>
      <c r="J394" s="14">
        <v>5210</v>
      </c>
      <c r="K394" s="14">
        <v>6550</v>
      </c>
      <c r="N394" s="42">
        <f t="shared" si="28"/>
        <v>103000</v>
      </c>
      <c r="O394" s="43">
        <f t="shared" si="29"/>
        <v>0.15993788819875776</v>
      </c>
    </row>
    <row r="395" spans="1:15" x14ac:dyDescent="0.45">
      <c r="A395" s="12" t="s">
        <v>25309</v>
      </c>
      <c r="B395" s="14">
        <v>541000</v>
      </c>
      <c r="C395" s="14">
        <v>647000</v>
      </c>
      <c r="D395" s="14">
        <v>397700</v>
      </c>
      <c r="E395" s="14">
        <v>475545</v>
      </c>
      <c r="F395" s="14">
        <v>308400</v>
      </c>
      <c r="G395" s="14">
        <v>368789</v>
      </c>
      <c r="H395" s="14">
        <v>155000</v>
      </c>
      <c r="I395" s="14">
        <v>189000</v>
      </c>
      <c r="J395" s="14">
        <v>5150</v>
      </c>
      <c r="K395" s="14">
        <v>6480</v>
      </c>
      <c r="N395" s="42">
        <f t="shared" si="28"/>
        <v>106000</v>
      </c>
      <c r="O395" s="43">
        <f t="shared" si="29"/>
        <v>0.16383307573415765</v>
      </c>
    </row>
    <row r="396" spans="1:15" x14ac:dyDescent="0.45">
      <c r="A396" s="12" t="s">
        <v>30419</v>
      </c>
      <c r="B396" s="14">
        <v>543000</v>
      </c>
      <c r="C396" s="14">
        <v>643000</v>
      </c>
      <c r="D396" s="14">
        <v>399200</v>
      </c>
      <c r="E396" s="14">
        <v>472605</v>
      </c>
      <c r="F396" s="14">
        <v>309600</v>
      </c>
      <c r="G396" s="14">
        <v>366509</v>
      </c>
      <c r="H396" s="14">
        <v>153000</v>
      </c>
      <c r="I396" s="14">
        <v>187000</v>
      </c>
      <c r="J396" s="14">
        <v>5170</v>
      </c>
      <c r="K396" s="14">
        <v>6500</v>
      </c>
      <c r="N396" s="42">
        <f t="shared" si="28"/>
        <v>100000</v>
      </c>
      <c r="O396" s="43">
        <f t="shared" si="29"/>
        <v>0.15552099533437014</v>
      </c>
    </row>
    <row r="397" spans="1:15" x14ac:dyDescent="0.45">
      <c r="A397" s="12" t="s">
        <v>25431</v>
      </c>
      <c r="B397" s="14">
        <v>546000</v>
      </c>
      <c r="C397" s="14">
        <v>654000</v>
      </c>
      <c r="D397" s="14">
        <v>401400</v>
      </c>
      <c r="E397" s="14">
        <v>480690</v>
      </c>
      <c r="F397" s="14">
        <v>311300</v>
      </c>
      <c r="G397" s="14">
        <v>372779</v>
      </c>
      <c r="H397" s="14">
        <v>155000</v>
      </c>
      <c r="I397" s="14">
        <v>189000</v>
      </c>
      <c r="J397" s="14">
        <v>5110</v>
      </c>
      <c r="K397" s="14">
        <v>6420</v>
      </c>
      <c r="N397" s="42">
        <f t="shared" si="28"/>
        <v>108000</v>
      </c>
      <c r="O397" s="43">
        <f t="shared" si="29"/>
        <v>0.16513761467889909</v>
      </c>
    </row>
    <row r="398" spans="1:15" x14ac:dyDescent="0.45">
      <c r="A398" s="12" t="s">
        <v>25496</v>
      </c>
      <c r="B398" s="14">
        <v>539000</v>
      </c>
      <c r="C398" s="14">
        <v>638000</v>
      </c>
      <c r="D398" s="14">
        <v>396200</v>
      </c>
      <c r="E398" s="14">
        <v>468930</v>
      </c>
      <c r="F398" s="14">
        <v>307300</v>
      </c>
      <c r="G398" s="14">
        <v>363659</v>
      </c>
      <c r="H398" s="14">
        <v>156000</v>
      </c>
      <c r="I398" s="14">
        <v>190000</v>
      </c>
      <c r="J398" s="14">
        <v>5130</v>
      </c>
      <c r="K398" s="14">
        <v>6450</v>
      </c>
      <c r="N398" s="42">
        <f t="shared" si="28"/>
        <v>99000</v>
      </c>
      <c r="O398" s="43">
        <f t="shared" si="29"/>
        <v>0.15517241379310345</v>
      </c>
    </row>
    <row r="399" spans="1:15" x14ac:dyDescent="0.45">
      <c r="A399" s="12" t="s">
        <v>25567</v>
      </c>
      <c r="B399" s="14">
        <v>532000</v>
      </c>
      <c r="C399" s="14">
        <v>629000</v>
      </c>
      <c r="D399" s="14">
        <v>391100</v>
      </c>
      <c r="E399" s="14">
        <v>462315</v>
      </c>
      <c r="F399" s="14">
        <v>303300</v>
      </c>
      <c r="G399" s="14">
        <v>358529</v>
      </c>
      <c r="H399" s="14">
        <v>156000</v>
      </c>
      <c r="I399" s="14">
        <v>190000</v>
      </c>
      <c r="J399" s="14">
        <v>5050</v>
      </c>
      <c r="K399" s="14">
        <v>6350</v>
      </c>
      <c r="N399" s="42">
        <f t="shared" si="28"/>
        <v>97000</v>
      </c>
      <c r="O399" s="43">
        <f t="shared" si="29"/>
        <v>0.15421303656597773</v>
      </c>
    </row>
    <row r="400" spans="1:15" x14ac:dyDescent="0.45">
      <c r="A400" s="12" t="s">
        <v>25632</v>
      </c>
      <c r="B400" s="14">
        <v>526000</v>
      </c>
      <c r="C400" s="14">
        <v>621000</v>
      </c>
      <c r="D400" s="14">
        <v>386700</v>
      </c>
      <c r="E400" s="14">
        <v>456435</v>
      </c>
      <c r="F400" s="14">
        <v>299900</v>
      </c>
      <c r="G400" s="14">
        <v>353969</v>
      </c>
      <c r="H400" s="14">
        <v>156000</v>
      </c>
      <c r="I400" s="14">
        <v>190000</v>
      </c>
      <c r="J400" s="14">
        <v>5020</v>
      </c>
      <c r="K400" s="14">
        <v>6310</v>
      </c>
      <c r="N400" s="42">
        <f t="shared" si="28"/>
        <v>95000</v>
      </c>
      <c r="O400" s="43">
        <f t="shared" si="29"/>
        <v>0.1529790660225443</v>
      </c>
    </row>
    <row r="401" spans="1:15" x14ac:dyDescent="0.45">
      <c r="A401" s="12" t="s">
        <v>25699</v>
      </c>
      <c r="B401" s="14">
        <v>525000</v>
      </c>
      <c r="C401" s="14">
        <v>621000</v>
      </c>
      <c r="D401" s="14">
        <v>385900</v>
      </c>
      <c r="E401" s="14">
        <v>456435</v>
      </c>
      <c r="F401" s="14">
        <v>299300</v>
      </c>
      <c r="G401" s="14">
        <v>353969</v>
      </c>
      <c r="H401" s="14">
        <v>155000</v>
      </c>
      <c r="I401" s="14">
        <v>189000</v>
      </c>
      <c r="J401" s="14">
        <v>4970</v>
      </c>
      <c r="K401" s="14">
        <v>6250</v>
      </c>
      <c r="N401" s="42">
        <f t="shared" si="28"/>
        <v>96000</v>
      </c>
      <c r="O401" s="43">
        <f t="shared" si="29"/>
        <v>0.15458937198067632</v>
      </c>
    </row>
    <row r="402" spans="1:15" x14ac:dyDescent="0.45">
      <c r="A402" s="12" t="s">
        <v>30420</v>
      </c>
      <c r="B402" s="14">
        <v>526000</v>
      </c>
      <c r="C402" s="14">
        <v>620000</v>
      </c>
      <c r="D402" s="14">
        <v>386700</v>
      </c>
      <c r="E402" s="14">
        <v>455700</v>
      </c>
      <c r="F402" s="14">
        <v>299900</v>
      </c>
      <c r="G402" s="14">
        <v>353399</v>
      </c>
      <c r="H402" s="14">
        <v>153000</v>
      </c>
      <c r="I402" s="14">
        <v>186000</v>
      </c>
      <c r="J402" s="14">
        <v>4860</v>
      </c>
      <c r="K402" s="14">
        <v>6120</v>
      </c>
      <c r="N402" s="42">
        <f t="shared" si="28"/>
        <v>94000</v>
      </c>
      <c r="O402" s="43">
        <f t="shared" si="29"/>
        <v>0.15161290322580645</v>
      </c>
    </row>
    <row r="403" spans="1:15" x14ac:dyDescent="0.45">
      <c r="A403" s="12" t="s">
        <v>25754</v>
      </c>
      <c r="B403" s="14">
        <v>528000</v>
      </c>
      <c r="C403" s="14">
        <v>624000</v>
      </c>
      <c r="D403" s="14">
        <v>388100</v>
      </c>
      <c r="E403" s="14">
        <v>458640</v>
      </c>
      <c r="F403" s="14">
        <v>301000</v>
      </c>
      <c r="G403" s="14">
        <v>355679</v>
      </c>
      <c r="H403" s="14">
        <v>157000</v>
      </c>
      <c r="I403" s="14">
        <v>191000</v>
      </c>
      <c r="J403" s="14">
        <v>5120</v>
      </c>
      <c r="K403" s="14">
        <v>6440</v>
      </c>
      <c r="N403" s="42">
        <f t="shared" si="28"/>
        <v>96000</v>
      </c>
      <c r="O403" s="43">
        <f t="shared" si="29"/>
        <v>0.15384615384615385</v>
      </c>
    </row>
    <row r="404" spans="1:15" x14ac:dyDescent="0.45">
      <c r="A404" s="12" t="s">
        <v>25783</v>
      </c>
      <c r="B404" s="14">
        <v>543000</v>
      </c>
      <c r="C404" s="14">
        <v>640000</v>
      </c>
      <c r="D404" s="14">
        <v>399200</v>
      </c>
      <c r="E404" s="14">
        <v>470400</v>
      </c>
      <c r="F404" s="14">
        <v>309600</v>
      </c>
      <c r="G404" s="14">
        <v>364799</v>
      </c>
      <c r="H404" s="14">
        <v>163000</v>
      </c>
      <c r="I404" s="14">
        <v>198000</v>
      </c>
      <c r="J404" s="14">
        <v>5470</v>
      </c>
      <c r="K404" s="14">
        <v>6870</v>
      </c>
      <c r="N404" s="42">
        <f t="shared" si="28"/>
        <v>97000</v>
      </c>
      <c r="O404" s="43">
        <f t="shared" si="29"/>
        <v>0.15156249999999999</v>
      </c>
    </row>
    <row r="405" spans="1:15" x14ac:dyDescent="0.45">
      <c r="A405" s="12" t="s">
        <v>25813</v>
      </c>
      <c r="B405" s="14">
        <v>540000</v>
      </c>
      <c r="C405" s="14">
        <v>638000</v>
      </c>
      <c r="D405" s="14">
        <v>396900</v>
      </c>
      <c r="E405" s="14">
        <v>468930</v>
      </c>
      <c r="F405" s="14">
        <v>307800</v>
      </c>
      <c r="G405" s="14">
        <v>363659</v>
      </c>
      <c r="H405" s="14">
        <v>165000</v>
      </c>
      <c r="I405" s="14">
        <v>204000</v>
      </c>
      <c r="J405" s="14">
        <v>5570</v>
      </c>
      <c r="K405" s="14">
        <v>7010</v>
      </c>
      <c r="N405" s="42">
        <f t="shared" si="28"/>
        <v>98000</v>
      </c>
      <c r="O405" s="43">
        <f t="shared" si="29"/>
        <v>0.15360501567398119</v>
      </c>
    </row>
    <row r="406" spans="1:15" x14ac:dyDescent="0.45">
      <c r="A406" s="12" t="s">
        <v>25882</v>
      </c>
      <c r="B406" s="14">
        <v>547000</v>
      </c>
      <c r="C406" s="14">
        <v>643000</v>
      </c>
      <c r="D406" s="14">
        <v>402100</v>
      </c>
      <c r="E406" s="14">
        <v>472605</v>
      </c>
      <c r="F406" s="14">
        <v>311800</v>
      </c>
      <c r="G406" s="14">
        <v>366509</v>
      </c>
      <c r="H406" s="14">
        <v>165000</v>
      </c>
      <c r="I406" s="14">
        <v>204000</v>
      </c>
      <c r="J406" s="14">
        <v>5620</v>
      </c>
      <c r="K406" s="14">
        <v>7070</v>
      </c>
      <c r="N406" s="42">
        <f t="shared" si="28"/>
        <v>96000</v>
      </c>
      <c r="O406" s="43">
        <f t="shared" si="29"/>
        <v>0.14930015552099535</v>
      </c>
    </row>
    <row r="407" spans="1:15" x14ac:dyDescent="0.45">
      <c r="A407" s="12" t="s">
        <v>25929</v>
      </c>
      <c r="B407" s="14">
        <v>542000</v>
      </c>
      <c r="C407" s="14">
        <v>642000</v>
      </c>
      <c r="D407" s="14">
        <v>398400</v>
      </c>
      <c r="E407" s="14">
        <v>471870</v>
      </c>
      <c r="F407" s="14">
        <v>309000</v>
      </c>
      <c r="G407" s="14">
        <v>365939</v>
      </c>
      <c r="H407" s="14">
        <v>167000</v>
      </c>
      <c r="I407" s="14">
        <v>206000</v>
      </c>
      <c r="J407" s="14">
        <v>5700</v>
      </c>
      <c r="K407" s="14">
        <v>7160</v>
      </c>
      <c r="N407" s="42">
        <f t="shared" si="28"/>
        <v>100000</v>
      </c>
      <c r="O407" s="43">
        <f t="shared" si="29"/>
        <v>0.1557632398753894</v>
      </c>
    </row>
    <row r="408" spans="1:15" x14ac:dyDescent="0.45">
      <c r="A408" s="12" t="s">
        <v>30421</v>
      </c>
      <c r="B408" s="14">
        <v>538000</v>
      </c>
      <c r="C408" s="14">
        <v>634000</v>
      </c>
      <c r="D408" s="14">
        <v>395500</v>
      </c>
      <c r="E408" s="14">
        <v>465990</v>
      </c>
      <c r="F408" s="14">
        <v>306700</v>
      </c>
      <c r="G408" s="14">
        <v>361379</v>
      </c>
      <c r="H408" s="14">
        <v>165000</v>
      </c>
      <c r="I408" s="14">
        <v>204000</v>
      </c>
      <c r="J408" s="14">
        <v>5650</v>
      </c>
      <c r="K408" s="14">
        <v>7100</v>
      </c>
      <c r="N408" s="42">
        <f t="shared" si="28"/>
        <v>96000</v>
      </c>
      <c r="O408" s="43">
        <f t="shared" si="29"/>
        <v>0.15141955835962145</v>
      </c>
    </row>
    <row r="409" spans="1:15" x14ac:dyDescent="0.45">
      <c r="A409" s="12" t="s">
        <v>25982</v>
      </c>
      <c r="B409" s="14">
        <v>534000</v>
      </c>
      <c r="C409" s="14">
        <v>631000</v>
      </c>
      <c r="D409" s="14">
        <v>392500</v>
      </c>
      <c r="E409" s="14">
        <v>463785</v>
      </c>
      <c r="F409" s="14">
        <v>304400</v>
      </c>
      <c r="G409" s="14">
        <v>359669</v>
      </c>
      <c r="H409" s="14">
        <v>165000</v>
      </c>
      <c r="I409" s="14">
        <v>204000</v>
      </c>
      <c r="J409" s="14">
        <v>5680</v>
      </c>
      <c r="K409" s="14">
        <v>7140</v>
      </c>
      <c r="N409" s="42">
        <f t="shared" si="28"/>
        <v>97000</v>
      </c>
      <c r="O409" s="43">
        <f t="shared" si="29"/>
        <v>0.15372424722662439</v>
      </c>
    </row>
    <row r="410" spans="1:15" x14ac:dyDescent="0.45">
      <c r="A410" s="12" t="s">
        <v>26003</v>
      </c>
      <c r="B410" s="14">
        <v>527000</v>
      </c>
      <c r="C410" s="14">
        <v>621000</v>
      </c>
      <c r="D410" s="14">
        <v>387400</v>
      </c>
      <c r="E410" s="14">
        <v>456435</v>
      </c>
      <c r="F410" s="14">
        <v>300400</v>
      </c>
      <c r="G410" s="14">
        <v>353969</v>
      </c>
      <c r="H410" s="14">
        <v>163000</v>
      </c>
      <c r="I410" s="14">
        <v>202000</v>
      </c>
      <c r="J410" s="14">
        <v>5570</v>
      </c>
      <c r="K410" s="14">
        <v>7000</v>
      </c>
      <c r="N410" s="42">
        <f t="shared" si="28"/>
        <v>94000</v>
      </c>
      <c r="O410" s="43">
        <f t="shared" si="29"/>
        <v>0.15136876006441224</v>
      </c>
    </row>
    <row r="411" spans="1:15" x14ac:dyDescent="0.45">
      <c r="A411" s="12" t="s">
        <v>26061</v>
      </c>
      <c r="B411" s="14">
        <v>525000</v>
      </c>
      <c r="C411" s="14">
        <v>619000</v>
      </c>
      <c r="D411" s="14">
        <v>385900</v>
      </c>
      <c r="E411" s="14">
        <v>454965</v>
      </c>
      <c r="F411" s="14">
        <v>299300</v>
      </c>
      <c r="G411" s="14">
        <v>352829</v>
      </c>
      <c r="H411" s="14">
        <v>163000</v>
      </c>
      <c r="I411" s="14">
        <v>201000</v>
      </c>
      <c r="J411" s="14">
        <v>5560</v>
      </c>
      <c r="K411" s="14">
        <v>6990</v>
      </c>
      <c r="N411" s="42">
        <f t="shared" si="28"/>
        <v>94000</v>
      </c>
      <c r="O411" s="43">
        <f t="shared" si="29"/>
        <v>0.15185783521809371</v>
      </c>
    </row>
    <row r="412" spans="1:15" x14ac:dyDescent="0.45">
      <c r="A412" s="12" t="s">
        <v>26097</v>
      </c>
      <c r="B412" s="14">
        <v>525000</v>
      </c>
      <c r="C412" s="14">
        <v>618000</v>
      </c>
      <c r="D412" s="14">
        <v>385900</v>
      </c>
      <c r="E412" s="14">
        <v>454230</v>
      </c>
      <c r="F412" s="14">
        <v>299300</v>
      </c>
      <c r="G412" s="14">
        <v>352259</v>
      </c>
      <c r="H412" s="14">
        <v>163000</v>
      </c>
      <c r="I412" s="14">
        <v>201000</v>
      </c>
      <c r="J412" s="14">
        <v>5450</v>
      </c>
      <c r="K412" s="14">
        <v>6860</v>
      </c>
      <c r="N412" s="42">
        <f t="shared" si="28"/>
        <v>93000</v>
      </c>
      <c r="O412" s="43">
        <f t="shared" si="29"/>
        <v>0.15048543689320387</v>
      </c>
    </row>
    <row r="413" spans="1:15" x14ac:dyDescent="0.45">
      <c r="A413" s="12" t="s">
        <v>26142</v>
      </c>
      <c r="B413" s="14">
        <v>528000</v>
      </c>
      <c r="C413" s="14">
        <v>620000</v>
      </c>
      <c r="D413" s="14">
        <v>388100</v>
      </c>
      <c r="E413" s="14">
        <v>455700</v>
      </c>
      <c r="F413" s="14">
        <v>301000</v>
      </c>
      <c r="G413" s="14">
        <v>353399</v>
      </c>
      <c r="H413" s="14">
        <v>164000</v>
      </c>
      <c r="I413" s="14">
        <v>203000</v>
      </c>
      <c r="J413" s="14">
        <v>5490</v>
      </c>
      <c r="K413" s="14">
        <v>6910</v>
      </c>
      <c r="N413" s="42">
        <f t="shared" si="28"/>
        <v>92000</v>
      </c>
      <c r="O413" s="43">
        <f t="shared" si="29"/>
        <v>0.14838709677419354</v>
      </c>
    </row>
    <row r="414" spans="1:15" x14ac:dyDescent="0.45">
      <c r="A414" s="12" t="s">
        <v>30422</v>
      </c>
      <c r="B414" s="14">
        <v>532000</v>
      </c>
      <c r="C414" s="14">
        <v>618000</v>
      </c>
      <c r="D414" s="14">
        <v>391100</v>
      </c>
      <c r="E414" s="14">
        <v>454230</v>
      </c>
      <c r="F414" s="14">
        <v>303300</v>
      </c>
      <c r="G414" s="14">
        <v>352259</v>
      </c>
      <c r="H414" s="14">
        <v>163000</v>
      </c>
      <c r="I414" s="14">
        <v>201000</v>
      </c>
      <c r="J414" s="14">
        <v>5450</v>
      </c>
      <c r="K414" s="14">
        <v>6850</v>
      </c>
      <c r="N414" s="42">
        <f t="shared" si="28"/>
        <v>86000</v>
      </c>
      <c r="O414" s="43">
        <f t="shared" si="29"/>
        <v>0.13915857605177995</v>
      </c>
    </row>
    <row r="415" spans="1:15" x14ac:dyDescent="0.45">
      <c r="A415" s="12" t="s">
        <v>26182</v>
      </c>
      <c r="B415" s="14">
        <v>533000</v>
      </c>
      <c r="C415" s="14">
        <v>620000</v>
      </c>
      <c r="D415" s="14">
        <v>391800</v>
      </c>
      <c r="E415" s="14">
        <v>455700</v>
      </c>
      <c r="F415" s="14">
        <v>303900</v>
      </c>
      <c r="G415" s="14">
        <v>353399</v>
      </c>
      <c r="H415" s="14">
        <v>164000</v>
      </c>
      <c r="I415" s="14">
        <v>203000</v>
      </c>
      <c r="J415" s="14">
        <v>5440</v>
      </c>
      <c r="K415" s="14">
        <v>6840</v>
      </c>
      <c r="N415" s="42">
        <f t="shared" si="28"/>
        <v>87000</v>
      </c>
      <c r="O415" s="43">
        <f t="shared" si="29"/>
        <v>0.14032258064516129</v>
      </c>
    </row>
    <row r="416" spans="1:15" x14ac:dyDescent="0.45">
      <c r="A416" s="12" t="s">
        <v>26217</v>
      </c>
      <c r="B416" s="14">
        <v>536000</v>
      </c>
      <c r="C416" s="14">
        <v>622000</v>
      </c>
      <c r="D416" s="14">
        <v>394000</v>
      </c>
      <c r="E416" s="14">
        <v>457170</v>
      </c>
      <c r="F416" s="14">
        <v>305600</v>
      </c>
      <c r="G416" s="14">
        <v>354539</v>
      </c>
      <c r="H416" s="14">
        <v>166000</v>
      </c>
      <c r="I416" s="14">
        <v>205000</v>
      </c>
      <c r="J416" s="14">
        <v>5550</v>
      </c>
      <c r="K416" s="14">
        <v>6980</v>
      </c>
      <c r="N416" s="42">
        <f t="shared" si="28"/>
        <v>86000</v>
      </c>
      <c r="O416" s="43">
        <f t="shared" si="29"/>
        <v>0.13826366559485531</v>
      </c>
    </row>
    <row r="417" spans="1:15" x14ac:dyDescent="0.45">
      <c r="A417" s="12" t="s">
        <v>26246</v>
      </c>
      <c r="B417" s="14">
        <v>532000</v>
      </c>
      <c r="C417" s="14">
        <v>618000</v>
      </c>
      <c r="D417" s="14">
        <v>391100</v>
      </c>
      <c r="E417" s="14">
        <v>454230</v>
      </c>
      <c r="F417" s="14">
        <v>303300</v>
      </c>
      <c r="G417" s="14">
        <v>352259</v>
      </c>
      <c r="H417" s="14">
        <v>165000</v>
      </c>
      <c r="I417" s="14">
        <v>203000</v>
      </c>
      <c r="J417" s="14">
        <v>5570</v>
      </c>
      <c r="K417" s="14">
        <v>7010</v>
      </c>
      <c r="N417" s="42">
        <f t="shared" si="28"/>
        <v>86000</v>
      </c>
      <c r="O417" s="43">
        <f t="shared" si="29"/>
        <v>0.13915857605177995</v>
      </c>
    </row>
    <row r="418" spans="1:15" x14ac:dyDescent="0.45">
      <c r="A418" s="12" t="s">
        <v>26299</v>
      </c>
      <c r="B418" s="14">
        <v>525000</v>
      </c>
      <c r="C418" s="14">
        <v>610000</v>
      </c>
      <c r="D418" s="14">
        <v>385900</v>
      </c>
      <c r="E418" s="14">
        <v>448350</v>
      </c>
      <c r="F418" s="14">
        <v>299300</v>
      </c>
      <c r="G418" s="14">
        <v>347699</v>
      </c>
      <c r="H418" s="14">
        <v>166000</v>
      </c>
      <c r="I418" s="14">
        <v>205000</v>
      </c>
      <c r="J418" s="14">
        <v>5530</v>
      </c>
      <c r="K418" s="14">
        <v>6950</v>
      </c>
      <c r="N418" s="42">
        <f t="shared" si="28"/>
        <v>85000</v>
      </c>
      <c r="O418" s="43">
        <f t="shared" si="29"/>
        <v>0.13934426229508196</v>
      </c>
    </row>
    <row r="419" spans="1:15" x14ac:dyDescent="0.45">
      <c r="A419" s="12" t="s">
        <v>26335</v>
      </c>
      <c r="B419" s="14">
        <v>518000</v>
      </c>
      <c r="C419" s="14">
        <v>605000</v>
      </c>
      <c r="D419" s="14">
        <v>380800</v>
      </c>
      <c r="E419" s="14">
        <v>444675</v>
      </c>
      <c r="F419" s="14">
        <v>295300</v>
      </c>
      <c r="G419" s="14">
        <v>344849</v>
      </c>
      <c r="H419" s="14">
        <v>164000</v>
      </c>
      <c r="I419" s="14">
        <v>203000</v>
      </c>
      <c r="J419" s="14">
        <v>5520</v>
      </c>
      <c r="K419" s="14">
        <v>6940</v>
      </c>
      <c r="N419" s="42">
        <f t="shared" si="28"/>
        <v>87000</v>
      </c>
      <c r="O419" s="43">
        <f t="shared" si="29"/>
        <v>0.14380165289256197</v>
      </c>
    </row>
    <row r="420" spans="1:15" x14ac:dyDescent="0.45">
      <c r="A420" s="12" t="s">
        <v>30423</v>
      </c>
      <c r="B420" s="14">
        <v>517000</v>
      </c>
      <c r="C420" s="14">
        <v>605000</v>
      </c>
      <c r="D420" s="14">
        <v>380000</v>
      </c>
      <c r="E420" s="14">
        <v>444675</v>
      </c>
      <c r="F420" s="14">
        <v>294700</v>
      </c>
      <c r="G420" s="14">
        <v>344849</v>
      </c>
      <c r="H420" s="14">
        <v>164000</v>
      </c>
      <c r="I420" s="14">
        <v>203000</v>
      </c>
      <c r="J420" s="14">
        <v>5520</v>
      </c>
      <c r="K420" s="14">
        <v>6940</v>
      </c>
      <c r="N420" s="42">
        <f t="shared" si="28"/>
        <v>88000</v>
      </c>
      <c r="O420" s="43">
        <f t="shared" si="29"/>
        <v>0.14545454545454545</v>
      </c>
    </row>
    <row r="421" spans="1:15" x14ac:dyDescent="0.45">
      <c r="A421" s="12" t="s">
        <v>26376</v>
      </c>
      <c r="B421" s="14">
        <v>520000</v>
      </c>
      <c r="C421" s="14">
        <v>607000</v>
      </c>
      <c r="D421" s="14">
        <v>382200</v>
      </c>
      <c r="E421" s="14">
        <v>446145</v>
      </c>
      <c r="F421" s="14">
        <v>296400</v>
      </c>
      <c r="G421" s="14">
        <v>345989</v>
      </c>
      <c r="H421" s="14">
        <v>165000</v>
      </c>
      <c r="I421" s="14">
        <v>204000</v>
      </c>
      <c r="J421" s="14">
        <v>5520</v>
      </c>
      <c r="K421" s="14">
        <v>6940</v>
      </c>
      <c r="N421" s="42">
        <f t="shared" si="28"/>
        <v>87000</v>
      </c>
      <c r="O421" s="43">
        <f t="shared" si="29"/>
        <v>0.14332784184514002</v>
      </c>
    </row>
    <row r="422" spans="1:15" x14ac:dyDescent="0.45">
      <c r="A422" s="12" t="s">
        <v>26391</v>
      </c>
      <c r="B422" s="14">
        <v>512000</v>
      </c>
      <c r="C422" s="14">
        <v>598000</v>
      </c>
      <c r="D422" s="14">
        <v>376400</v>
      </c>
      <c r="E422" s="14">
        <v>439530</v>
      </c>
      <c r="F422" s="14">
        <v>291900</v>
      </c>
      <c r="G422" s="14">
        <v>340859</v>
      </c>
      <c r="H422" s="14">
        <v>163000</v>
      </c>
      <c r="I422" s="14">
        <v>201000</v>
      </c>
      <c r="J422" s="14">
        <v>5420</v>
      </c>
      <c r="K422" s="14">
        <v>6820</v>
      </c>
      <c r="N422" s="42">
        <f t="shared" si="28"/>
        <v>86000</v>
      </c>
      <c r="O422" s="43">
        <f t="shared" si="29"/>
        <v>0.14381270903010032</v>
      </c>
    </row>
    <row r="423" spans="1:15" x14ac:dyDescent="0.45">
      <c r="A423" s="12" t="s">
        <v>26429</v>
      </c>
      <c r="B423" s="14">
        <v>508000</v>
      </c>
      <c r="C423" s="14">
        <v>592000</v>
      </c>
      <c r="D423" s="14">
        <v>373400</v>
      </c>
      <c r="E423" s="14">
        <v>435120</v>
      </c>
      <c r="F423" s="14">
        <v>289600</v>
      </c>
      <c r="G423" s="14">
        <v>337440</v>
      </c>
      <c r="H423" s="14">
        <v>162000</v>
      </c>
      <c r="I423" s="14">
        <v>200000</v>
      </c>
      <c r="J423" s="14">
        <v>5370</v>
      </c>
      <c r="K423" s="14">
        <v>6750</v>
      </c>
      <c r="N423" s="42">
        <f t="shared" si="28"/>
        <v>84000</v>
      </c>
      <c r="O423" s="43">
        <f t="shared" si="29"/>
        <v>0.14189189189189189</v>
      </c>
    </row>
    <row r="424" spans="1:15" x14ac:dyDescent="0.45">
      <c r="A424" s="12" t="s">
        <v>26460</v>
      </c>
      <c r="B424" s="14">
        <v>507000</v>
      </c>
      <c r="C424" s="14">
        <v>590000</v>
      </c>
      <c r="D424" s="14">
        <v>372700</v>
      </c>
      <c r="E424" s="14">
        <v>433650</v>
      </c>
      <c r="F424" s="14">
        <v>289000</v>
      </c>
      <c r="G424" s="14">
        <v>336300</v>
      </c>
      <c r="H424" s="14">
        <v>159000</v>
      </c>
      <c r="I424" s="14">
        <v>197000</v>
      </c>
      <c r="J424" s="14">
        <v>5280</v>
      </c>
      <c r="K424" s="14">
        <v>6640</v>
      </c>
      <c r="N424" s="42">
        <f t="shared" si="28"/>
        <v>83000</v>
      </c>
      <c r="O424" s="43">
        <f t="shared" si="29"/>
        <v>0.14067796610169492</v>
      </c>
    </row>
    <row r="425" spans="1:15" x14ac:dyDescent="0.45">
      <c r="A425" s="12" t="s">
        <v>26506</v>
      </c>
      <c r="B425" s="14">
        <v>510000</v>
      </c>
      <c r="C425" s="14">
        <v>592000</v>
      </c>
      <c r="D425" s="14">
        <v>374900</v>
      </c>
      <c r="E425" s="14">
        <v>435120</v>
      </c>
      <c r="F425" s="14">
        <v>290700</v>
      </c>
      <c r="G425" s="14">
        <v>337440</v>
      </c>
      <c r="H425" s="14">
        <v>160000</v>
      </c>
      <c r="I425" s="14">
        <v>197000</v>
      </c>
      <c r="J425" s="14">
        <v>5310</v>
      </c>
      <c r="K425" s="14">
        <v>6670</v>
      </c>
      <c r="N425" s="42">
        <f t="shared" si="28"/>
        <v>82000</v>
      </c>
      <c r="O425" s="43">
        <f t="shared" si="29"/>
        <v>0.13851351351351351</v>
      </c>
    </row>
    <row r="426" spans="1:15" x14ac:dyDescent="0.45">
      <c r="A426" s="12" t="s">
        <v>30424</v>
      </c>
      <c r="B426" s="14">
        <v>506000</v>
      </c>
      <c r="C426" s="14">
        <v>590000</v>
      </c>
      <c r="D426" s="14">
        <v>372000</v>
      </c>
      <c r="E426" s="14">
        <v>433650</v>
      </c>
      <c r="F426" s="14">
        <v>288500</v>
      </c>
      <c r="G426" s="14">
        <v>336300</v>
      </c>
      <c r="H426" s="14">
        <v>159000</v>
      </c>
      <c r="I426" s="14">
        <v>197000</v>
      </c>
      <c r="J426" s="14">
        <v>5310</v>
      </c>
      <c r="K426" s="14">
        <v>6680</v>
      </c>
      <c r="N426" s="42">
        <f t="shared" si="28"/>
        <v>84000</v>
      </c>
      <c r="O426" s="43">
        <f t="shared" si="29"/>
        <v>0.14237288135593221</v>
      </c>
    </row>
    <row r="427" spans="1:15" x14ac:dyDescent="0.45">
      <c r="A427" s="12" t="s">
        <v>26529</v>
      </c>
      <c r="B427" s="14">
        <v>505000</v>
      </c>
      <c r="C427" s="14">
        <v>587000</v>
      </c>
      <c r="D427" s="14">
        <v>371200</v>
      </c>
      <c r="E427" s="14">
        <v>431445</v>
      </c>
      <c r="F427" s="14">
        <v>287900</v>
      </c>
      <c r="G427" s="14">
        <v>334590</v>
      </c>
      <c r="H427" s="14">
        <v>159000</v>
      </c>
      <c r="I427" s="14">
        <v>197000</v>
      </c>
      <c r="J427" s="14">
        <v>5300</v>
      </c>
      <c r="K427" s="14">
        <v>6660</v>
      </c>
      <c r="N427" s="42">
        <f t="shared" si="28"/>
        <v>82000</v>
      </c>
      <c r="O427" s="43">
        <f t="shared" si="29"/>
        <v>0.13969335604770017</v>
      </c>
    </row>
    <row r="428" spans="1:15" x14ac:dyDescent="0.45">
      <c r="A428" s="12" t="s">
        <v>26564</v>
      </c>
      <c r="B428" s="14">
        <v>512000</v>
      </c>
      <c r="C428" s="14">
        <v>588000</v>
      </c>
      <c r="D428" s="14">
        <v>376400</v>
      </c>
      <c r="E428" s="14">
        <v>432180</v>
      </c>
      <c r="F428" s="14">
        <v>291900</v>
      </c>
      <c r="G428" s="14">
        <v>335160</v>
      </c>
      <c r="H428" s="14">
        <v>159000</v>
      </c>
      <c r="I428" s="14">
        <v>197000</v>
      </c>
      <c r="J428" s="14">
        <v>5290</v>
      </c>
      <c r="K428" s="14">
        <v>6650</v>
      </c>
      <c r="N428" s="42">
        <f t="shared" si="28"/>
        <v>76000</v>
      </c>
      <c r="O428" s="43">
        <f t="shared" si="29"/>
        <v>0.12925170068027211</v>
      </c>
    </row>
    <row r="429" spans="1:15" x14ac:dyDescent="0.45">
      <c r="A429" s="12" t="s">
        <v>26613</v>
      </c>
      <c r="B429" s="14">
        <v>520000</v>
      </c>
      <c r="C429" s="14">
        <v>592000</v>
      </c>
      <c r="D429" s="14">
        <v>382200</v>
      </c>
      <c r="E429" s="14">
        <v>435120</v>
      </c>
      <c r="F429" s="14">
        <v>296400</v>
      </c>
      <c r="G429" s="14">
        <v>337440</v>
      </c>
      <c r="H429" s="14">
        <v>159000</v>
      </c>
      <c r="I429" s="14">
        <v>197000</v>
      </c>
      <c r="J429" s="14">
        <v>5220</v>
      </c>
      <c r="K429" s="14">
        <v>6560</v>
      </c>
      <c r="N429" s="42">
        <f t="shared" ref="N429:N492" si="30">C429-B429</f>
        <v>72000</v>
      </c>
      <c r="O429" s="43">
        <f t="shared" ref="O429:O492" si="31">N429/C429</f>
        <v>0.12162162162162163</v>
      </c>
    </row>
    <row r="430" spans="1:15" x14ac:dyDescent="0.45">
      <c r="A430" s="12" t="s">
        <v>26644</v>
      </c>
      <c r="B430" s="14">
        <v>520000</v>
      </c>
      <c r="C430" s="14">
        <v>594000</v>
      </c>
      <c r="D430" s="14">
        <v>382200</v>
      </c>
      <c r="E430" s="14">
        <v>436590</v>
      </c>
      <c r="F430" s="14">
        <v>296400</v>
      </c>
      <c r="G430" s="14">
        <v>338580</v>
      </c>
      <c r="H430" s="14">
        <v>158000</v>
      </c>
      <c r="I430" s="14">
        <v>196000</v>
      </c>
      <c r="J430" s="14">
        <v>5220</v>
      </c>
      <c r="K430" s="14">
        <v>6570</v>
      </c>
      <c r="N430" s="42">
        <f t="shared" si="30"/>
        <v>74000</v>
      </c>
      <c r="O430" s="43">
        <f t="shared" si="31"/>
        <v>0.12457912457912458</v>
      </c>
    </row>
    <row r="431" spans="1:15" x14ac:dyDescent="0.45">
      <c r="A431" s="12" t="s">
        <v>30425</v>
      </c>
      <c r="B431" s="14">
        <v>512000</v>
      </c>
      <c r="C431" s="14">
        <v>586000</v>
      </c>
      <c r="D431" s="14">
        <v>376400</v>
      </c>
      <c r="E431" s="14">
        <v>430710</v>
      </c>
      <c r="F431" s="14">
        <v>291900</v>
      </c>
      <c r="G431" s="14">
        <v>334020</v>
      </c>
      <c r="H431" s="14">
        <v>159000</v>
      </c>
      <c r="I431" s="14">
        <v>196000</v>
      </c>
      <c r="J431" s="14">
        <v>5130</v>
      </c>
      <c r="K431" s="14">
        <v>6450</v>
      </c>
      <c r="N431" s="42">
        <f t="shared" si="30"/>
        <v>74000</v>
      </c>
      <c r="O431" s="43">
        <f t="shared" si="31"/>
        <v>0.12627986348122866</v>
      </c>
    </row>
    <row r="432" spans="1:15" x14ac:dyDescent="0.45">
      <c r="A432" s="12" t="s">
        <v>30426</v>
      </c>
      <c r="B432" s="14">
        <v>510000</v>
      </c>
      <c r="C432" s="14">
        <v>584000</v>
      </c>
      <c r="D432" s="14">
        <v>374900</v>
      </c>
      <c r="E432" s="14">
        <v>429240</v>
      </c>
      <c r="F432" s="14">
        <v>290700</v>
      </c>
      <c r="G432" s="14">
        <v>332880</v>
      </c>
      <c r="H432" s="14">
        <v>158000</v>
      </c>
      <c r="I432" s="14">
        <v>195000</v>
      </c>
      <c r="J432" s="14">
        <v>5120</v>
      </c>
      <c r="K432" s="14">
        <v>6440</v>
      </c>
      <c r="N432" s="42">
        <f t="shared" si="30"/>
        <v>74000</v>
      </c>
      <c r="O432" s="43">
        <f t="shared" si="31"/>
        <v>0.12671232876712329</v>
      </c>
    </row>
    <row r="433" spans="1:15" x14ac:dyDescent="0.45">
      <c r="A433" s="12" t="s">
        <v>26703</v>
      </c>
      <c r="B433" s="14">
        <v>510000</v>
      </c>
      <c r="C433" s="14">
        <v>582000</v>
      </c>
      <c r="D433" s="14">
        <v>374900</v>
      </c>
      <c r="E433" s="14">
        <v>427770</v>
      </c>
      <c r="F433" s="14">
        <v>290700</v>
      </c>
      <c r="G433" s="14">
        <v>331740</v>
      </c>
      <c r="H433" s="14">
        <v>157000</v>
      </c>
      <c r="I433" s="14">
        <v>194000</v>
      </c>
      <c r="J433" s="14">
        <v>5100</v>
      </c>
      <c r="K433" s="14">
        <v>6410</v>
      </c>
      <c r="N433" s="42">
        <f t="shared" si="30"/>
        <v>72000</v>
      </c>
      <c r="O433" s="43">
        <f t="shared" si="31"/>
        <v>0.12371134020618557</v>
      </c>
    </row>
    <row r="434" spans="1:15" x14ac:dyDescent="0.45">
      <c r="A434" s="12" t="s">
        <v>26716</v>
      </c>
      <c r="B434" s="14">
        <v>510000</v>
      </c>
      <c r="C434" s="14">
        <v>594000</v>
      </c>
      <c r="D434" s="14">
        <v>374900</v>
      </c>
      <c r="E434" s="14">
        <v>436590</v>
      </c>
      <c r="F434" s="14">
        <v>290700</v>
      </c>
      <c r="G434" s="14">
        <v>338580</v>
      </c>
      <c r="H434" s="14">
        <v>158000</v>
      </c>
      <c r="I434" s="14">
        <v>195000</v>
      </c>
      <c r="J434" s="14">
        <v>5150</v>
      </c>
      <c r="K434" s="14">
        <v>6470</v>
      </c>
      <c r="N434" s="42">
        <f t="shared" si="30"/>
        <v>84000</v>
      </c>
      <c r="O434" s="43">
        <f t="shared" si="31"/>
        <v>0.14141414141414141</v>
      </c>
    </row>
    <row r="435" spans="1:15" x14ac:dyDescent="0.45">
      <c r="A435" s="12" t="s">
        <v>26765</v>
      </c>
      <c r="B435" s="14">
        <v>510000</v>
      </c>
      <c r="C435" s="14">
        <v>591000</v>
      </c>
      <c r="D435" s="14">
        <v>374900</v>
      </c>
      <c r="E435" s="14">
        <v>434385</v>
      </c>
      <c r="F435" s="14">
        <v>290700</v>
      </c>
      <c r="G435" s="14">
        <v>336870</v>
      </c>
      <c r="H435" s="14">
        <v>157000</v>
      </c>
      <c r="I435" s="14">
        <v>194000</v>
      </c>
      <c r="J435" s="14">
        <v>5100</v>
      </c>
      <c r="K435" s="14">
        <v>6410</v>
      </c>
      <c r="N435" s="42">
        <f t="shared" si="30"/>
        <v>81000</v>
      </c>
      <c r="O435" s="43">
        <f t="shared" si="31"/>
        <v>0.13705583756345177</v>
      </c>
    </row>
    <row r="436" spans="1:15" x14ac:dyDescent="0.45">
      <c r="A436" s="12" t="s">
        <v>26824</v>
      </c>
      <c r="B436" s="14">
        <v>525000</v>
      </c>
      <c r="C436" s="14">
        <v>599000</v>
      </c>
      <c r="D436" s="14">
        <v>385900</v>
      </c>
      <c r="E436" s="14">
        <v>440265</v>
      </c>
      <c r="F436" s="14">
        <v>299300</v>
      </c>
      <c r="G436" s="14">
        <v>341429</v>
      </c>
      <c r="H436" s="14">
        <v>157000</v>
      </c>
      <c r="I436" s="14">
        <v>194000</v>
      </c>
      <c r="J436" s="14">
        <v>5200</v>
      </c>
      <c r="K436" s="14">
        <v>6530</v>
      </c>
      <c r="N436" s="42">
        <f t="shared" si="30"/>
        <v>74000</v>
      </c>
      <c r="O436" s="43">
        <f t="shared" si="31"/>
        <v>0.12353923205342238</v>
      </c>
    </row>
    <row r="437" spans="1:15" x14ac:dyDescent="0.45">
      <c r="A437" s="12" t="s">
        <v>26867</v>
      </c>
      <c r="B437" s="14">
        <v>510000</v>
      </c>
      <c r="C437" s="14">
        <v>597000</v>
      </c>
      <c r="D437" s="14">
        <v>374900</v>
      </c>
      <c r="E437" s="14">
        <v>438795</v>
      </c>
      <c r="F437" s="14">
        <v>290700</v>
      </c>
      <c r="G437" s="14">
        <v>340289</v>
      </c>
      <c r="H437" s="14">
        <v>159000</v>
      </c>
      <c r="I437" s="14">
        <v>196000</v>
      </c>
      <c r="J437" s="14">
        <v>5260</v>
      </c>
      <c r="K437" s="14">
        <v>6610</v>
      </c>
      <c r="N437" s="42">
        <f t="shared" si="30"/>
        <v>87000</v>
      </c>
      <c r="O437" s="43">
        <f t="shared" si="31"/>
        <v>0.14572864321608039</v>
      </c>
    </row>
    <row r="438" spans="1:15" x14ac:dyDescent="0.45">
      <c r="A438" s="12" t="s">
        <v>30427</v>
      </c>
      <c r="B438" s="14">
        <v>520000</v>
      </c>
      <c r="C438" s="14">
        <v>598000</v>
      </c>
      <c r="D438" s="14">
        <v>382200</v>
      </c>
      <c r="E438" s="14">
        <v>439530</v>
      </c>
      <c r="F438" s="14">
        <v>296400</v>
      </c>
      <c r="G438" s="14">
        <v>340859</v>
      </c>
      <c r="H438" s="14">
        <v>158000</v>
      </c>
      <c r="I438" s="14">
        <v>196000</v>
      </c>
      <c r="J438" s="14">
        <v>5260</v>
      </c>
      <c r="K438" s="14">
        <v>6610</v>
      </c>
      <c r="N438" s="42">
        <f t="shared" si="30"/>
        <v>78000</v>
      </c>
      <c r="O438" s="43">
        <f t="shared" si="31"/>
        <v>0.13043478260869565</v>
      </c>
    </row>
    <row r="439" spans="1:15" x14ac:dyDescent="0.45">
      <c r="A439" s="12" t="s">
        <v>26947</v>
      </c>
      <c r="B439" s="14">
        <v>515000</v>
      </c>
      <c r="C439" s="14">
        <v>596000</v>
      </c>
      <c r="D439" s="14">
        <v>378600</v>
      </c>
      <c r="E439" s="14">
        <v>438060</v>
      </c>
      <c r="F439" s="14">
        <v>293600</v>
      </c>
      <c r="G439" s="14">
        <v>339719</v>
      </c>
      <c r="H439" s="14">
        <v>158000</v>
      </c>
      <c r="I439" s="14">
        <v>196000</v>
      </c>
      <c r="J439" s="14">
        <v>5300</v>
      </c>
      <c r="K439" s="14">
        <v>6660</v>
      </c>
      <c r="N439" s="42">
        <f t="shared" si="30"/>
        <v>81000</v>
      </c>
      <c r="O439" s="43">
        <f t="shared" si="31"/>
        <v>0.13590604026845637</v>
      </c>
    </row>
    <row r="440" spans="1:15" x14ac:dyDescent="0.45">
      <c r="A440" s="12" t="s">
        <v>26992</v>
      </c>
      <c r="B440" s="14">
        <v>530000</v>
      </c>
      <c r="C440" s="14">
        <v>603000</v>
      </c>
      <c r="D440" s="14">
        <v>389600</v>
      </c>
      <c r="E440" s="14">
        <v>443205</v>
      </c>
      <c r="F440" s="14">
        <v>302100</v>
      </c>
      <c r="G440" s="14">
        <v>343709</v>
      </c>
      <c r="H440" s="14">
        <v>160000</v>
      </c>
      <c r="I440" s="14">
        <v>197000</v>
      </c>
      <c r="J440" s="14">
        <v>5320</v>
      </c>
      <c r="K440" s="14">
        <v>6680</v>
      </c>
      <c r="N440" s="42">
        <f t="shared" si="30"/>
        <v>73000</v>
      </c>
      <c r="O440" s="43">
        <f t="shared" si="31"/>
        <v>0.12106135986733002</v>
      </c>
    </row>
    <row r="441" spans="1:15" x14ac:dyDescent="0.45">
      <c r="A441" s="12" t="s">
        <v>27037</v>
      </c>
      <c r="B441" s="14">
        <v>535000</v>
      </c>
      <c r="C441" s="14">
        <v>602000</v>
      </c>
      <c r="D441" s="14">
        <v>393300</v>
      </c>
      <c r="E441" s="14">
        <v>442470</v>
      </c>
      <c r="F441" s="14">
        <v>305000</v>
      </c>
      <c r="G441" s="14">
        <v>343139</v>
      </c>
      <c r="H441" s="14">
        <v>160000</v>
      </c>
      <c r="I441" s="14">
        <v>198000</v>
      </c>
      <c r="J441" s="14">
        <v>5310</v>
      </c>
      <c r="K441" s="14">
        <v>6670</v>
      </c>
      <c r="N441" s="42">
        <f t="shared" si="30"/>
        <v>67000</v>
      </c>
      <c r="O441" s="43">
        <f t="shared" si="31"/>
        <v>0.11129568106312292</v>
      </c>
    </row>
    <row r="442" spans="1:15" x14ac:dyDescent="0.45">
      <c r="A442" s="12" t="s">
        <v>27078</v>
      </c>
      <c r="B442" s="14">
        <v>540000</v>
      </c>
      <c r="C442" s="14">
        <v>597000</v>
      </c>
      <c r="D442" s="14">
        <v>396900</v>
      </c>
      <c r="E442" s="14">
        <v>438795</v>
      </c>
      <c r="F442" s="14">
        <v>307800</v>
      </c>
      <c r="G442" s="14">
        <v>340289</v>
      </c>
      <c r="H442" s="14">
        <v>162000</v>
      </c>
      <c r="I442" s="14">
        <v>200000</v>
      </c>
      <c r="J442" s="14">
        <v>5260</v>
      </c>
      <c r="K442" s="14">
        <v>6610</v>
      </c>
      <c r="N442" s="42">
        <f t="shared" si="30"/>
        <v>57000</v>
      </c>
      <c r="O442" s="43">
        <f t="shared" si="31"/>
        <v>9.5477386934673364E-2</v>
      </c>
    </row>
    <row r="443" spans="1:15" x14ac:dyDescent="0.45">
      <c r="A443" s="12" t="s">
        <v>27132</v>
      </c>
      <c r="B443" s="14">
        <v>540000</v>
      </c>
      <c r="C443" s="14">
        <v>590000</v>
      </c>
      <c r="D443" s="14">
        <v>396900</v>
      </c>
      <c r="E443" s="14">
        <v>433650</v>
      </c>
      <c r="F443" s="14">
        <v>307800</v>
      </c>
      <c r="G443" s="14">
        <v>336300</v>
      </c>
      <c r="H443" s="14">
        <v>162000</v>
      </c>
      <c r="I443" s="14">
        <v>200000</v>
      </c>
      <c r="J443" s="14">
        <v>5240</v>
      </c>
      <c r="K443" s="14">
        <v>6590</v>
      </c>
      <c r="N443" s="42">
        <f t="shared" si="30"/>
        <v>50000</v>
      </c>
      <c r="O443" s="43">
        <f t="shared" si="31"/>
        <v>8.4745762711864403E-2</v>
      </c>
    </row>
    <row r="444" spans="1:15" x14ac:dyDescent="0.45">
      <c r="A444" s="12" t="s">
        <v>30428</v>
      </c>
      <c r="B444" s="14">
        <v>540000</v>
      </c>
      <c r="C444" s="14">
        <v>586000</v>
      </c>
      <c r="D444" s="14">
        <v>396900</v>
      </c>
      <c r="E444" s="14">
        <v>430710</v>
      </c>
      <c r="F444" s="14">
        <v>307800</v>
      </c>
      <c r="G444" s="14">
        <v>334020</v>
      </c>
      <c r="H444" s="14">
        <v>161000</v>
      </c>
      <c r="I444" s="14">
        <v>199000</v>
      </c>
      <c r="J444" s="14">
        <v>5220</v>
      </c>
      <c r="K444" s="14">
        <v>6560</v>
      </c>
      <c r="N444" s="42">
        <f t="shared" si="30"/>
        <v>46000</v>
      </c>
      <c r="O444" s="43">
        <f t="shared" si="31"/>
        <v>7.8498293515358364E-2</v>
      </c>
    </row>
    <row r="445" spans="1:15" x14ac:dyDescent="0.45">
      <c r="A445" s="12" t="s">
        <v>27223</v>
      </c>
      <c r="B445" s="14">
        <v>560000</v>
      </c>
      <c r="C445" s="14">
        <v>597000</v>
      </c>
      <c r="D445" s="14">
        <v>411600</v>
      </c>
      <c r="E445" s="14">
        <v>438795</v>
      </c>
      <c r="F445" s="14">
        <v>319200</v>
      </c>
      <c r="G445" s="14">
        <v>340289</v>
      </c>
      <c r="H445" s="14">
        <v>165000</v>
      </c>
      <c r="I445" s="14">
        <v>204000</v>
      </c>
      <c r="J445" s="14">
        <v>5350</v>
      </c>
      <c r="K445" s="14">
        <v>6720</v>
      </c>
      <c r="N445" s="42">
        <f t="shared" si="30"/>
        <v>37000</v>
      </c>
      <c r="O445" s="43">
        <f t="shared" si="31"/>
        <v>6.1976549413735343E-2</v>
      </c>
    </row>
    <row r="446" spans="1:15" x14ac:dyDescent="0.45">
      <c r="A446" s="12" t="s">
        <v>27330</v>
      </c>
      <c r="B446" s="14">
        <v>560000</v>
      </c>
      <c r="C446" s="14">
        <v>596000</v>
      </c>
      <c r="D446" s="14">
        <v>411600</v>
      </c>
      <c r="E446" s="14">
        <v>438060</v>
      </c>
      <c r="F446" s="14">
        <v>319200</v>
      </c>
      <c r="G446" s="14">
        <v>339719</v>
      </c>
      <c r="H446" s="14">
        <v>165000</v>
      </c>
      <c r="I446" s="14">
        <v>204000</v>
      </c>
      <c r="J446" s="14">
        <v>5290</v>
      </c>
      <c r="K446" s="14">
        <v>6650</v>
      </c>
      <c r="N446" s="42">
        <f t="shared" si="30"/>
        <v>36000</v>
      </c>
      <c r="O446" s="43">
        <f t="shared" si="31"/>
        <v>6.0402684563758392E-2</v>
      </c>
    </row>
    <row r="447" spans="1:15" x14ac:dyDescent="0.45">
      <c r="A447" s="12" t="s">
        <v>27469</v>
      </c>
      <c r="B447" s="14">
        <v>545000</v>
      </c>
      <c r="C447" s="14">
        <v>587000</v>
      </c>
      <c r="D447" s="14">
        <v>400600</v>
      </c>
      <c r="E447" s="14">
        <v>431445</v>
      </c>
      <c r="F447" s="14">
        <v>310700</v>
      </c>
      <c r="G447" s="14">
        <v>334590</v>
      </c>
      <c r="H447" s="14">
        <v>163000</v>
      </c>
      <c r="I447" s="14">
        <v>201000</v>
      </c>
      <c r="J447" s="14">
        <v>5210</v>
      </c>
      <c r="K447" s="14">
        <v>6550</v>
      </c>
      <c r="N447" s="42">
        <f t="shared" si="30"/>
        <v>42000</v>
      </c>
      <c r="O447" s="43">
        <f t="shared" si="31"/>
        <v>7.1550255536626917E-2</v>
      </c>
    </row>
    <row r="448" spans="1:15" x14ac:dyDescent="0.45">
      <c r="A448" s="12" t="s">
        <v>27668</v>
      </c>
      <c r="B448" s="14">
        <v>540000</v>
      </c>
      <c r="C448" s="14">
        <v>592000</v>
      </c>
      <c r="D448" s="14">
        <v>396900</v>
      </c>
      <c r="E448" s="14">
        <v>435120</v>
      </c>
      <c r="F448" s="14">
        <v>307800</v>
      </c>
      <c r="G448" s="14">
        <v>337440</v>
      </c>
      <c r="H448" s="14">
        <v>164000</v>
      </c>
      <c r="I448" s="14">
        <v>202000</v>
      </c>
      <c r="J448" s="14">
        <v>5220</v>
      </c>
      <c r="K448" s="14">
        <v>6560</v>
      </c>
      <c r="N448" s="42">
        <f t="shared" si="30"/>
        <v>52000</v>
      </c>
      <c r="O448" s="43">
        <f t="shared" si="31"/>
        <v>8.7837837837837843E-2</v>
      </c>
    </row>
    <row r="449" spans="1:15" x14ac:dyDescent="0.45">
      <c r="A449" s="12" t="s">
        <v>27800</v>
      </c>
      <c r="B449" s="14">
        <v>525000</v>
      </c>
      <c r="C449" s="14">
        <v>587000</v>
      </c>
      <c r="D449" s="14">
        <v>385900</v>
      </c>
      <c r="E449" s="14">
        <v>431445</v>
      </c>
      <c r="F449" s="14">
        <v>299300</v>
      </c>
      <c r="G449" s="14">
        <v>334590</v>
      </c>
      <c r="H449" s="14">
        <v>163000</v>
      </c>
      <c r="I449" s="14">
        <v>201000</v>
      </c>
      <c r="J449" s="14">
        <v>5250</v>
      </c>
      <c r="K449" s="14">
        <v>6600</v>
      </c>
      <c r="N449" s="42">
        <f t="shared" si="30"/>
        <v>62000</v>
      </c>
      <c r="O449" s="43">
        <f t="shared" si="31"/>
        <v>0.10562180579216354</v>
      </c>
    </row>
    <row r="450" spans="1:15" x14ac:dyDescent="0.45">
      <c r="A450" s="12" t="s">
        <v>30429</v>
      </c>
      <c r="B450" s="14">
        <v>520000</v>
      </c>
      <c r="C450" s="14">
        <v>582000</v>
      </c>
      <c r="D450" s="14">
        <v>382200</v>
      </c>
      <c r="E450" s="14">
        <v>427770</v>
      </c>
      <c r="F450" s="14">
        <v>296400</v>
      </c>
      <c r="G450" s="14">
        <v>331740</v>
      </c>
      <c r="H450" s="14">
        <v>162000</v>
      </c>
      <c r="I450" s="14">
        <v>201000</v>
      </c>
      <c r="J450" s="14">
        <v>5220</v>
      </c>
      <c r="K450" s="14">
        <v>6560</v>
      </c>
      <c r="N450" s="42">
        <f t="shared" si="30"/>
        <v>62000</v>
      </c>
      <c r="O450" s="43">
        <f t="shared" si="31"/>
        <v>0.10652920962199312</v>
      </c>
    </row>
    <row r="451" spans="1:15" x14ac:dyDescent="0.45">
      <c r="A451" s="12" t="s">
        <v>27991</v>
      </c>
      <c r="B451" s="14">
        <v>520000</v>
      </c>
      <c r="C451" s="14">
        <v>579000</v>
      </c>
      <c r="D451" s="14">
        <v>382200</v>
      </c>
      <c r="E451" s="14">
        <v>425565</v>
      </c>
      <c r="F451" s="14">
        <v>296400</v>
      </c>
      <c r="G451" s="14">
        <v>330030</v>
      </c>
      <c r="H451" s="14">
        <v>164000</v>
      </c>
      <c r="I451" s="14">
        <v>202000</v>
      </c>
      <c r="J451" s="14">
        <v>5260</v>
      </c>
      <c r="K451" s="14">
        <v>6610</v>
      </c>
      <c r="N451" s="42">
        <f t="shared" si="30"/>
        <v>59000</v>
      </c>
      <c r="O451" s="43">
        <f t="shared" si="31"/>
        <v>0.10189982728842832</v>
      </c>
    </row>
    <row r="452" spans="1:15" x14ac:dyDescent="0.45">
      <c r="A452" s="12" t="s">
        <v>28238</v>
      </c>
      <c r="B452" s="14">
        <v>515000</v>
      </c>
      <c r="C452" s="14">
        <v>575000</v>
      </c>
      <c r="D452" s="14">
        <v>378600</v>
      </c>
      <c r="E452" s="14">
        <v>422625</v>
      </c>
      <c r="F452" s="14">
        <v>293600</v>
      </c>
      <c r="G452" s="14">
        <v>327750</v>
      </c>
      <c r="H452" s="14">
        <v>163000</v>
      </c>
      <c r="I452" s="14">
        <v>201000</v>
      </c>
      <c r="J452" s="14">
        <v>5260</v>
      </c>
      <c r="K452" s="14">
        <v>6620</v>
      </c>
      <c r="N452" s="42">
        <f t="shared" si="30"/>
        <v>60000</v>
      </c>
      <c r="O452" s="43">
        <f t="shared" si="31"/>
        <v>0.10434782608695652</v>
      </c>
    </row>
    <row r="453" spans="1:15" x14ac:dyDescent="0.45">
      <c r="A453" s="12" t="s">
        <v>28401</v>
      </c>
      <c r="B453" s="14">
        <v>500000</v>
      </c>
      <c r="C453" s="14">
        <v>566000</v>
      </c>
      <c r="D453" s="14">
        <v>367500</v>
      </c>
      <c r="E453" s="14">
        <v>416010</v>
      </c>
      <c r="F453" s="14">
        <v>285000</v>
      </c>
      <c r="G453" s="14">
        <v>322620</v>
      </c>
      <c r="H453" s="14">
        <v>161000</v>
      </c>
      <c r="I453" s="14">
        <v>198000</v>
      </c>
      <c r="J453" s="14">
        <v>5260</v>
      </c>
      <c r="K453" s="14">
        <v>6610</v>
      </c>
      <c r="N453" s="42">
        <f t="shared" si="30"/>
        <v>66000</v>
      </c>
      <c r="O453" s="43">
        <f t="shared" si="31"/>
        <v>0.1166077738515901</v>
      </c>
    </row>
    <row r="454" spans="1:15" x14ac:dyDescent="0.45">
      <c r="A454" s="12" t="s">
        <v>28520</v>
      </c>
      <c r="B454" s="14">
        <v>497000</v>
      </c>
      <c r="C454" s="14">
        <v>564000</v>
      </c>
      <c r="D454" s="14">
        <v>365300</v>
      </c>
      <c r="E454" s="14">
        <v>414540</v>
      </c>
      <c r="F454" s="14">
        <v>283300</v>
      </c>
      <c r="G454" s="14">
        <v>321480</v>
      </c>
      <c r="H454" s="14">
        <v>162000</v>
      </c>
      <c r="I454" s="14">
        <v>200000</v>
      </c>
      <c r="J454" s="14">
        <v>5180</v>
      </c>
      <c r="K454" s="14">
        <v>6520</v>
      </c>
      <c r="N454" s="42">
        <f t="shared" si="30"/>
        <v>67000</v>
      </c>
      <c r="O454" s="43">
        <f t="shared" si="31"/>
        <v>0.11879432624113476</v>
      </c>
    </row>
    <row r="455" spans="1:15" x14ac:dyDescent="0.45">
      <c r="A455" s="12" t="s">
        <v>28643</v>
      </c>
      <c r="B455" s="14">
        <v>490000</v>
      </c>
      <c r="C455" s="14">
        <v>560000</v>
      </c>
      <c r="D455" s="14">
        <v>360200</v>
      </c>
      <c r="E455" s="14">
        <v>411600</v>
      </c>
      <c r="F455" s="14">
        <v>279300</v>
      </c>
      <c r="G455" s="14">
        <v>319200</v>
      </c>
      <c r="H455" s="14">
        <v>163000</v>
      </c>
      <c r="I455" s="14">
        <v>201000</v>
      </c>
      <c r="J455" s="14">
        <v>5130</v>
      </c>
      <c r="K455" s="14">
        <v>6440</v>
      </c>
      <c r="N455" s="42">
        <f t="shared" si="30"/>
        <v>70000</v>
      </c>
      <c r="O455" s="43">
        <f t="shared" si="31"/>
        <v>0.125</v>
      </c>
    </row>
    <row r="456" spans="1:15" x14ac:dyDescent="0.45">
      <c r="A456" s="12" t="s">
        <v>30430</v>
      </c>
      <c r="B456" s="14">
        <v>487000</v>
      </c>
      <c r="C456" s="14">
        <v>559000</v>
      </c>
      <c r="D456" s="14">
        <v>358000</v>
      </c>
      <c r="E456" s="14">
        <v>410865</v>
      </c>
      <c r="F456" s="14">
        <v>277600</v>
      </c>
      <c r="G456" s="14">
        <v>318630</v>
      </c>
      <c r="H456" s="14">
        <v>163000</v>
      </c>
      <c r="I456" s="14">
        <v>202000</v>
      </c>
      <c r="J456" s="14">
        <v>5140</v>
      </c>
      <c r="K456" s="14">
        <v>6460</v>
      </c>
      <c r="N456" s="42">
        <f t="shared" si="30"/>
        <v>72000</v>
      </c>
      <c r="O456" s="43">
        <f t="shared" si="31"/>
        <v>0.12880143112701253</v>
      </c>
    </row>
    <row r="457" spans="1:15" x14ac:dyDescent="0.45">
      <c r="A457" s="12" t="s">
        <v>28718</v>
      </c>
      <c r="B457" s="14">
        <v>486000</v>
      </c>
      <c r="C457" s="14">
        <v>557000</v>
      </c>
      <c r="D457" s="14">
        <v>357300</v>
      </c>
      <c r="E457" s="14">
        <v>409395</v>
      </c>
      <c r="F457" s="14">
        <v>277100</v>
      </c>
      <c r="G457" s="14">
        <v>317490</v>
      </c>
      <c r="H457" s="14">
        <v>161000</v>
      </c>
      <c r="I457" s="14">
        <v>199000</v>
      </c>
      <c r="J457" s="14">
        <v>5160</v>
      </c>
      <c r="K457" s="14">
        <v>6490</v>
      </c>
      <c r="N457" s="42">
        <f t="shared" si="30"/>
        <v>71000</v>
      </c>
      <c r="O457" s="43">
        <f t="shared" si="31"/>
        <v>0.12746858168761221</v>
      </c>
    </row>
    <row r="458" spans="1:15" x14ac:dyDescent="0.45">
      <c r="A458" s="12" t="s">
        <v>30431</v>
      </c>
      <c r="B458" s="14">
        <v>482000</v>
      </c>
      <c r="C458" s="14">
        <v>546000</v>
      </c>
      <c r="D458" s="14">
        <v>354300</v>
      </c>
      <c r="E458" s="14">
        <v>401310</v>
      </c>
      <c r="F458" s="14">
        <v>274800</v>
      </c>
      <c r="G458" s="14">
        <v>311220</v>
      </c>
      <c r="H458" s="14">
        <v>157000</v>
      </c>
      <c r="I458" s="14">
        <v>194000</v>
      </c>
      <c r="J458" s="14">
        <v>5020</v>
      </c>
      <c r="K458" s="14">
        <v>6310</v>
      </c>
      <c r="N458" s="42">
        <f t="shared" si="30"/>
        <v>64000</v>
      </c>
      <c r="O458" s="43">
        <f t="shared" si="31"/>
        <v>0.11721611721611722</v>
      </c>
    </row>
    <row r="459" spans="1:15" x14ac:dyDescent="0.45">
      <c r="A459" s="12" t="s">
        <v>30432</v>
      </c>
      <c r="B459" s="14">
        <v>483000</v>
      </c>
      <c r="C459" s="14">
        <v>549000</v>
      </c>
      <c r="D459" s="14">
        <v>355100</v>
      </c>
      <c r="E459" s="14">
        <v>403515</v>
      </c>
      <c r="F459" s="14">
        <v>275400</v>
      </c>
      <c r="G459" s="14">
        <v>312930</v>
      </c>
      <c r="H459" s="14">
        <v>155000</v>
      </c>
      <c r="I459" s="14">
        <v>192000</v>
      </c>
      <c r="J459" s="14">
        <v>4970</v>
      </c>
      <c r="K459" s="14">
        <v>6250</v>
      </c>
      <c r="N459" s="42">
        <f t="shared" si="30"/>
        <v>66000</v>
      </c>
      <c r="O459" s="43">
        <f t="shared" si="31"/>
        <v>0.12021857923497267</v>
      </c>
    </row>
    <row r="460" spans="1:15" x14ac:dyDescent="0.45">
      <c r="A460" s="12" t="s">
        <v>30433</v>
      </c>
      <c r="B460" s="14">
        <v>481000</v>
      </c>
      <c r="C460" s="14">
        <v>543000</v>
      </c>
      <c r="D460" s="14">
        <v>353600</v>
      </c>
      <c r="E460" s="14">
        <v>399105</v>
      </c>
      <c r="F460" s="14">
        <v>274200</v>
      </c>
      <c r="G460" s="14">
        <v>309510</v>
      </c>
      <c r="H460" s="14">
        <v>156000</v>
      </c>
      <c r="I460" s="14">
        <v>192000</v>
      </c>
      <c r="J460" s="14">
        <v>4900</v>
      </c>
      <c r="K460" s="14">
        <v>6160</v>
      </c>
      <c r="N460" s="42">
        <f t="shared" si="30"/>
        <v>62000</v>
      </c>
      <c r="O460" s="43">
        <f t="shared" si="31"/>
        <v>0.1141804788213628</v>
      </c>
    </row>
    <row r="461" spans="1:15" x14ac:dyDescent="0.45">
      <c r="A461" s="12" t="s">
        <v>30434</v>
      </c>
      <c r="B461" s="14">
        <v>480000</v>
      </c>
      <c r="C461" s="14">
        <v>543000</v>
      </c>
      <c r="D461" s="14">
        <v>352800</v>
      </c>
      <c r="E461" s="14">
        <v>399105</v>
      </c>
      <c r="F461" s="14">
        <v>273600</v>
      </c>
      <c r="G461" s="14">
        <v>309510</v>
      </c>
      <c r="H461" s="14">
        <v>154000</v>
      </c>
      <c r="I461" s="14">
        <v>191000</v>
      </c>
      <c r="J461" s="14">
        <v>4920</v>
      </c>
      <c r="K461" s="14">
        <v>6180</v>
      </c>
      <c r="N461" s="42">
        <f t="shared" si="30"/>
        <v>63000</v>
      </c>
      <c r="O461" s="43">
        <f t="shared" si="31"/>
        <v>0.11602209944751381</v>
      </c>
    </row>
    <row r="462" spans="1:15" x14ac:dyDescent="0.45">
      <c r="A462" s="12" t="s">
        <v>30435</v>
      </c>
      <c r="B462" s="14">
        <v>480000</v>
      </c>
      <c r="C462" s="14">
        <v>543000</v>
      </c>
      <c r="D462" s="14">
        <v>352800</v>
      </c>
      <c r="E462" s="14">
        <v>399105</v>
      </c>
      <c r="F462" s="14">
        <v>273600</v>
      </c>
      <c r="G462" s="14">
        <v>309510</v>
      </c>
      <c r="H462" s="14">
        <v>155000</v>
      </c>
      <c r="I462" s="14">
        <v>191000</v>
      </c>
      <c r="J462" s="14">
        <v>4930</v>
      </c>
      <c r="K462" s="14">
        <v>6200</v>
      </c>
      <c r="N462" s="42">
        <f t="shared" si="30"/>
        <v>63000</v>
      </c>
      <c r="O462" s="43">
        <f t="shared" si="31"/>
        <v>0.11602209944751381</v>
      </c>
    </row>
    <row r="463" spans="1:15" x14ac:dyDescent="0.45">
      <c r="A463" s="12" t="s">
        <v>28874</v>
      </c>
      <c r="B463" s="14">
        <v>482000</v>
      </c>
      <c r="C463" s="14">
        <v>543000</v>
      </c>
      <c r="D463" s="14">
        <v>354300</v>
      </c>
      <c r="E463" s="14">
        <v>399105</v>
      </c>
      <c r="F463" s="14">
        <v>274800</v>
      </c>
      <c r="G463" s="14">
        <v>309510</v>
      </c>
      <c r="H463" s="14">
        <v>155000</v>
      </c>
      <c r="I463" s="14">
        <v>191000</v>
      </c>
      <c r="J463" s="14">
        <v>4920</v>
      </c>
      <c r="K463" s="14">
        <v>6190</v>
      </c>
      <c r="N463" s="42">
        <f t="shared" si="30"/>
        <v>61000</v>
      </c>
      <c r="O463" s="43">
        <f t="shared" si="31"/>
        <v>0.11233885819521179</v>
      </c>
    </row>
    <row r="464" spans="1:15" x14ac:dyDescent="0.45">
      <c r="A464" s="12" t="s">
        <v>29037</v>
      </c>
      <c r="B464" s="14">
        <v>482000</v>
      </c>
      <c r="C464" s="14">
        <v>542000</v>
      </c>
      <c r="D464" s="14">
        <v>354300</v>
      </c>
      <c r="E464" s="14">
        <v>398370</v>
      </c>
      <c r="F464" s="14">
        <v>274800</v>
      </c>
      <c r="G464" s="14">
        <v>308940</v>
      </c>
      <c r="H464" s="14">
        <v>155000</v>
      </c>
      <c r="I464" s="14">
        <v>191000</v>
      </c>
      <c r="J464" s="14">
        <v>4990</v>
      </c>
      <c r="K464" s="14">
        <v>6270</v>
      </c>
      <c r="N464" s="42">
        <f t="shared" si="30"/>
        <v>60000</v>
      </c>
      <c r="O464" s="43">
        <f t="shared" si="31"/>
        <v>0.11070110701107011</v>
      </c>
    </row>
    <row r="465" spans="1:15" x14ac:dyDescent="0.45">
      <c r="A465" s="12" t="s">
        <v>29173</v>
      </c>
      <c r="B465" s="14">
        <v>482000</v>
      </c>
      <c r="C465" s="14">
        <v>542000</v>
      </c>
      <c r="D465" s="14">
        <v>354300</v>
      </c>
      <c r="E465" s="14">
        <v>398370</v>
      </c>
      <c r="F465" s="14">
        <v>274800</v>
      </c>
      <c r="G465" s="14">
        <v>308940</v>
      </c>
      <c r="H465" s="14">
        <v>155000</v>
      </c>
      <c r="I465" s="14">
        <v>192000</v>
      </c>
      <c r="J465" s="14">
        <v>5010</v>
      </c>
      <c r="K465" s="14">
        <v>6290</v>
      </c>
      <c r="N465" s="42">
        <f t="shared" si="30"/>
        <v>60000</v>
      </c>
      <c r="O465" s="43">
        <f t="shared" si="31"/>
        <v>0.11070110701107011</v>
      </c>
    </row>
    <row r="466" spans="1:15" x14ac:dyDescent="0.45">
      <c r="A466" s="12" t="s">
        <v>29210</v>
      </c>
      <c r="B466" s="14">
        <v>478000</v>
      </c>
      <c r="C466" s="14">
        <v>537000</v>
      </c>
      <c r="D466" s="14">
        <v>351400</v>
      </c>
      <c r="E466" s="14">
        <v>394695</v>
      </c>
      <c r="F466" s="14">
        <v>272500</v>
      </c>
      <c r="G466" s="14">
        <v>306090</v>
      </c>
      <c r="H466" s="14">
        <v>155000</v>
      </c>
      <c r="I466" s="14">
        <v>191000</v>
      </c>
      <c r="J466" s="14">
        <v>4940</v>
      </c>
      <c r="K466" s="14">
        <v>6220</v>
      </c>
      <c r="N466" s="42">
        <f t="shared" si="30"/>
        <v>59000</v>
      </c>
      <c r="O466" s="43">
        <f t="shared" si="31"/>
        <v>0.10986964618249534</v>
      </c>
    </row>
    <row r="467" spans="1:15" x14ac:dyDescent="0.45">
      <c r="A467" s="12" t="s">
        <v>29279</v>
      </c>
      <c r="B467" s="14">
        <v>477000</v>
      </c>
      <c r="C467" s="14">
        <v>538000</v>
      </c>
      <c r="D467" s="14">
        <v>350600</v>
      </c>
      <c r="E467" s="14">
        <v>395430</v>
      </c>
      <c r="F467" s="14">
        <v>271900</v>
      </c>
      <c r="G467" s="14">
        <v>306660</v>
      </c>
      <c r="H467" s="14">
        <v>156000</v>
      </c>
      <c r="I467" s="14">
        <v>192000</v>
      </c>
      <c r="J467" s="14">
        <v>4950</v>
      </c>
      <c r="K467" s="14">
        <v>6230</v>
      </c>
      <c r="N467" s="42">
        <f t="shared" si="30"/>
        <v>61000</v>
      </c>
      <c r="O467" s="43">
        <f t="shared" si="31"/>
        <v>0.11338289962825279</v>
      </c>
    </row>
    <row r="468" spans="1:15" x14ac:dyDescent="0.45">
      <c r="A468" s="12" t="s">
        <v>30436</v>
      </c>
      <c r="B468" s="14">
        <v>478000</v>
      </c>
      <c r="C468" s="14">
        <v>541000</v>
      </c>
      <c r="D468" s="14">
        <v>351400</v>
      </c>
      <c r="E468" s="14">
        <v>397635</v>
      </c>
      <c r="F468" s="14">
        <v>272500</v>
      </c>
      <c r="G468" s="14">
        <v>308370</v>
      </c>
      <c r="H468" s="14">
        <v>156000</v>
      </c>
      <c r="I468" s="14">
        <v>193000</v>
      </c>
      <c r="J468" s="14">
        <v>4990</v>
      </c>
      <c r="K468" s="14">
        <v>6270</v>
      </c>
      <c r="N468" s="42">
        <f t="shared" si="30"/>
        <v>63000</v>
      </c>
      <c r="O468" s="43">
        <f t="shared" si="31"/>
        <v>0.11645101663585952</v>
      </c>
    </row>
    <row r="469" spans="1:15" x14ac:dyDescent="0.45">
      <c r="A469" s="12" t="s">
        <v>29362</v>
      </c>
      <c r="B469" s="14">
        <v>480000</v>
      </c>
      <c r="C469" s="14">
        <v>541000</v>
      </c>
      <c r="D469" s="14">
        <v>352800</v>
      </c>
      <c r="E469" s="14">
        <v>397635</v>
      </c>
      <c r="F469" s="14">
        <v>273600</v>
      </c>
      <c r="G469" s="14">
        <v>308370</v>
      </c>
      <c r="H469" s="14">
        <v>155000</v>
      </c>
      <c r="I469" s="14">
        <v>191000</v>
      </c>
      <c r="J469" s="14">
        <v>5050</v>
      </c>
      <c r="K469" s="14">
        <v>6340</v>
      </c>
      <c r="N469" s="42">
        <f t="shared" si="30"/>
        <v>61000</v>
      </c>
      <c r="O469" s="43">
        <f t="shared" si="31"/>
        <v>0.11275415896487985</v>
      </c>
    </row>
    <row r="470" spans="1:15" x14ac:dyDescent="0.45">
      <c r="A470" s="12" t="s">
        <v>29418</v>
      </c>
      <c r="B470" s="14">
        <v>478000</v>
      </c>
      <c r="C470" s="14">
        <v>538000</v>
      </c>
      <c r="D470" s="14">
        <v>351400</v>
      </c>
      <c r="E470" s="14">
        <v>395430</v>
      </c>
      <c r="F470" s="14">
        <v>272500</v>
      </c>
      <c r="G470" s="14">
        <v>306660</v>
      </c>
      <c r="H470" s="14">
        <v>156000</v>
      </c>
      <c r="I470" s="14">
        <v>193000</v>
      </c>
      <c r="J470" s="14">
        <v>5020</v>
      </c>
      <c r="K470" s="14">
        <v>6310</v>
      </c>
      <c r="N470" s="42">
        <f t="shared" si="30"/>
        <v>60000</v>
      </c>
      <c r="O470" s="43">
        <f t="shared" si="31"/>
        <v>0.11152416356877323</v>
      </c>
    </row>
    <row r="471" spans="1:15" x14ac:dyDescent="0.45">
      <c r="A471" s="12" t="s">
        <v>29533</v>
      </c>
      <c r="B471" s="14">
        <v>476000</v>
      </c>
      <c r="C471" s="14">
        <v>535000</v>
      </c>
      <c r="D471" s="14">
        <v>349900</v>
      </c>
      <c r="E471" s="14">
        <v>393225</v>
      </c>
      <c r="F471" s="14">
        <v>271400</v>
      </c>
      <c r="G471" s="14">
        <v>304950</v>
      </c>
      <c r="H471" s="14">
        <v>156000</v>
      </c>
      <c r="I471" s="14">
        <v>193000</v>
      </c>
      <c r="J471" s="14">
        <v>4900</v>
      </c>
      <c r="K471" s="14">
        <v>6160</v>
      </c>
      <c r="N471" s="42">
        <f t="shared" si="30"/>
        <v>59000</v>
      </c>
      <c r="O471" s="43">
        <f t="shared" si="31"/>
        <v>0.1102803738317757</v>
      </c>
    </row>
    <row r="472" spans="1:15" x14ac:dyDescent="0.45">
      <c r="A472" s="12" t="s">
        <v>29626</v>
      </c>
      <c r="B472" s="14">
        <v>472000</v>
      </c>
      <c r="C472" s="14">
        <v>536000</v>
      </c>
      <c r="D472" s="14">
        <v>347000</v>
      </c>
      <c r="E472" s="14">
        <v>393960</v>
      </c>
      <c r="F472" s="14">
        <v>269100</v>
      </c>
      <c r="G472" s="14">
        <v>305520</v>
      </c>
      <c r="H472" s="14">
        <v>159000</v>
      </c>
      <c r="I472" s="14">
        <v>197000</v>
      </c>
      <c r="J472" s="14">
        <v>4890</v>
      </c>
      <c r="K472" s="14">
        <v>6150</v>
      </c>
      <c r="N472" s="42">
        <f t="shared" si="30"/>
        <v>64000</v>
      </c>
      <c r="O472" s="43">
        <f t="shared" si="31"/>
        <v>0.11940298507462686</v>
      </c>
    </row>
    <row r="473" spans="1:15" x14ac:dyDescent="0.45">
      <c r="A473" s="12" t="s">
        <v>29722</v>
      </c>
      <c r="B473" s="14">
        <v>476000</v>
      </c>
      <c r="C473" s="14">
        <v>542000</v>
      </c>
      <c r="D473" s="14">
        <v>349900</v>
      </c>
      <c r="E473" s="14">
        <v>398370</v>
      </c>
      <c r="F473" s="14">
        <v>271400</v>
      </c>
      <c r="G473" s="14">
        <v>308940</v>
      </c>
      <c r="H473" s="14">
        <v>161000</v>
      </c>
      <c r="I473" s="14">
        <v>199000</v>
      </c>
      <c r="J473" s="14">
        <v>5000</v>
      </c>
      <c r="K473" s="14">
        <v>6290</v>
      </c>
      <c r="N473" s="42">
        <f t="shared" si="30"/>
        <v>66000</v>
      </c>
      <c r="O473" s="43">
        <f t="shared" si="31"/>
        <v>0.12177121771217712</v>
      </c>
    </row>
    <row r="474" spans="1:15" x14ac:dyDescent="0.45">
      <c r="A474" s="12" t="s">
        <v>30437</v>
      </c>
      <c r="B474" s="14">
        <v>475000</v>
      </c>
      <c r="C474" s="14">
        <v>544000</v>
      </c>
      <c r="D474" s="14">
        <v>349200</v>
      </c>
      <c r="E474" s="14">
        <v>399840</v>
      </c>
      <c r="F474" s="14">
        <v>270800</v>
      </c>
      <c r="G474" s="14">
        <v>310080</v>
      </c>
      <c r="H474" s="14">
        <v>162000</v>
      </c>
      <c r="I474" s="14">
        <v>200000</v>
      </c>
      <c r="J474" s="14">
        <v>5060</v>
      </c>
      <c r="K474" s="14">
        <v>6360</v>
      </c>
      <c r="N474" s="42">
        <f t="shared" si="30"/>
        <v>69000</v>
      </c>
      <c r="O474" s="43">
        <f t="shared" si="31"/>
        <v>0.12683823529411764</v>
      </c>
    </row>
    <row r="475" spans="1:15" x14ac:dyDescent="0.45">
      <c r="A475" s="12" t="s">
        <v>29836</v>
      </c>
      <c r="B475" s="14">
        <v>474000</v>
      </c>
      <c r="C475" s="14">
        <v>538000</v>
      </c>
      <c r="D475" s="14">
        <v>348400</v>
      </c>
      <c r="E475" s="14">
        <v>395430</v>
      </c>
      <c r="F475" s="14">
        <v>270200</v>
      </c>
      <c r="G475" s="14">
        <v>306660</v>
      </c>
      <c r="H475" s="14">
        <v>160000</v>
      </c>
      <c r="I475" s="14">
        <v>198000</v>
      </c>
      <c r="J475" s="14">
        <v>4990</v>
      </c>
      <c r="K475" s="14">
        <v>6270</v>
      </c>
      <c r="N475" s="42">
        <f t="shared" si="30"/>
        <v>64000</v>
      </c>
      <c r="O475" s="43">
        <f t="shared" si="31"/>
        <v>0.11895910780669144</v>
      </c>
    </row>
    <row r="476" spans="1:15" x14ac:dyDescent="0.45">
      <c r="A476" s="12" t="s">
        <v>29917</v>
      </c>
      <c r="B476" s="14">
        <v>469000</v>
      </c>
      <c r="C476" s="14">
        <v>532000</v>
      </c>
      <c r="D476" s="14">
        <v>344800</v>
      </c>
      <c r="E476" s="14">
        <v>391020</v>
      </c>
      <c r="F476" s="14">
        <v>267400</v>
      </c>
      <c r="G476" s="14">
        <v>303240</v>
      </c>
      <c r="H476" s="14">
        <v>159000</v>
      </c>
      <c r="I476" s="14">
        <v>196000</v>
      </c>
      <c r="J476" s="14">
        <v>4940</v>
      </c>
      <c r="K476" s="14">
        <v>6200</v>
      </c>
      <c r="N476" s="42">
        <f t="shared" si="30"/>
        <v>63000</v>
      </c>
      <c r="O476" s="43">
        <f t="shared" si="31"/>
        <v>0.11842105263157894</v>
      </c>
    </row>
    <row r="477" spans="1:15" x14ac:dyDescent="0.45">
      <c r="A477" s="12" t="s">
        <v>30007</v>
      </c>
      <c r="B477" s="14">
        <v>465000</v>
      </c>
      <c r="C477" s="14">
        <v>528000</v>
      </c>
      <c r="D477" s="14">
        <v>341800</v>
      </c>
      <c r="E477" s="14">
        <v>388080</v>
      </c>
      <c r="F477" s="14">
        <v>265100</v>
      </c>
      <c r="G477" s="14">
        <v>300960</v>
      </c>
      <c r="H477" s="14">
        <v>157000</v>
      </c>
      <c r="I477" s="14">
        <v>194000</v>
      </c>
      <c r="J477" s="14">
        <v>4930</v>
      </c>
      <c r="K477" s="14">
        <v>6190</v>
      </c>
      <c r="N477" s="42">
        <f t="shared" si="30"/>
        <v>63000</v>
      </c>
      <c r="O477" s="43">
        <f t="shared" si="31"/>
        <v>0.11931818181818182</v>
      </c>
    </row>
    <row r="478" spans="1:15" x14ac:dyDescent="0.45">
      <c r="A478" s="12" t="s">
        <v>30055</v>
      </c>
      <c r="B478" s="14">
        <v>464000</v>
      </c>
      <c r="C478" s="14">
        <v>527000</v>
      </c>
      <c r="D478" s="14">
        <v>341100</v>
      </c>
      <c r="E478" s="14">
        <v>387345</v>
      </c>
      <c r="F478" s="14">
        <v>264500</v>
      </c>
      <c r="G478" s="14">
        <v>300390</v>
      </c>
      <c r="H478" s="14">
        <v>155000</v>
      </c>
      <c r="I478" s="14">
        <v>192000</v>
      </c>
      <c r="J478" s="14">
        <v>4910</v>
      </c>
      <c r="K478" s="14">
        <v>6180</v>
      </c>
      <c r="N478" s="42">
        <f t="shared" si="30"/>
        <v>63000</v>
      </c>
      <c r="O478" s="43">
        <f t="shared" si="31"/>
        <v>0.11954459203036052</v>
      </c>
    </row>
    <row r="479" spans="1:15" x14ac:dyDescent="0.45">
      <c r="A479" s="12" t="s">
        <v>30139</v>
      </c>
      <c r="B479" s="14">
        <v>463000</v>
      </c>
      <c r="C479" s="14">
        <v>533000</v>
      </c>
      <c r="D479" s="14">
        <v>340400</v>
      </c>
      <c r="E479" s="14">
        <v>391755</v>
      </c>
      <c r="F479" s="14">
        <v>264000</v>
      </c>
      <c r="G479" s="14">
        <v>303810</v>
      </c>
      <c r="H479" s="14">
        <v>157000</v>
      </c>
      <c r="I479" s="14">
        <v>194000</v>
      </c>
      <c r="J479" s="14">
        <v>4910</v>
      </c>
      <c r="K479" s="14">
        <v>6180</v>
      </c>
      <c r="N479" s="42">
        <f t="shared" si="30"/>
        <v>70000</v>
      </c>
      <c r="O479" s="43">
        <f t="shared" si="31"/>
        <v>0.13133208255159476</v>
      </c>
    </row>
    <row r="480" spans="1:15" x14ac:dyDescent="0.45">
      <c r="A480" s="12" t="s">
        <v>30438</v>
      </c>
      <c r="B480" s="14">
        <v>462000</v>
      </c>
      <c r="C480" s="14">
        <v>531000</v>
      </c>
      <c r="D480" s="14">
        <v>339600</v>
      </c>
      <c r="E480" s="14">
        <v>390285</v>
      </c>
      <c r="F480" s="14">
        <v>263400</v>
      </c>
      <c r="G480" s="14">
        <v>302670</v>
      </c>
      <c r="H480" s="14">
        <v>156000</v>
      </c>
      <c r="I480" s="14">
        <v>193000</v>
      </c>
      <c r="J480" s="14">
        <v>4900</v>
      </c>
      <c r="K480" s="14">
        <v>6160</v>
      </c>
      <c r="N480" s="42">
        <f t="shared" si="30"/>
        <v>69000</v>
      </c>
      <c r="O480" s="43">
        <f t="shared" si="31"/>
        <v>0.12994350282485875</v>
      </c>
    </row>
    <row r="481" spans="1:15" x14ac:dyDescent="0.45">
      <c r="A481" s="12" t="s">
        <v>30201</v>
      </c>
      <c r="B481" s="14">
        <v>464000</v>
      </c>
      <c r="C481" s="14">
        <v>535000</v>
      </c>
      <c r="D481" s="14">
        <v>341100</v>
      </c>
      <c r="E481" s="14">
        <v>393225</v>
      </c>
      <c r="F481" s="14">
        <v>264500</v>
      </c>
      <c r="G481" s="14">
        <v>304950</v>
      </c>
      <c r="H481" s="14">
        <v>155000</v>
      </c>
      <c r="I481" s="14">
        <v>191000</v>
      </c>
      <c r="J481" s="14">
        <v>4880</v>
      </c>
      <c r="K481" s="14">
        <v>6140</v>
      </c>
      <c r="N481" s="42">
        <f t="shared" si="30"/>
        <v>71000</v>
      </c>
      <c r="O481" s="43">
        <f t="shared" si="31"/>
        <v>0.13271028037383178</v>
      </c>
    </row>
    <row r="482" spans="1:15" x14ac:dyDescent="0.45">
      <c r="A482" s="12" t="s">
        <v>30237</v>
      </c>
      <c r="B482" s="14">
        <v>461000</v>
      </c>
      <c r="C482" s="14">
        <v>531000</v>
      </c>
      <c r="D482" s="14">
        <v>338900</v>
      </c>
      <c r="E482" s="14">
        <v>390285</v>
      </c>
      <c r="F482" s="14">
        <v>262800</v>
      </c>
      <c r="G482" s="14">
        <v>302670</v>
      </c>
      <c r="H482" s="14">
        <v>152000</v>
      </c>
      <c r="I482" s="14">
        <v>188000</v>
      </c>
      <c r="J482" s="14">
        <v>4810</v>
      </c>
      <c r="K482" s="14">
        <v>6050</v>
      </c>
      <c r="N482" s="42">
        <f t="shared" si="30"/>
        <v>70000</v>
      </c>
      <c r="O482" s="43">
        <f t="shared" si="31"/>
        <v>0.13182674199623351</v>
      </c>
    </row>
    <row r="483" spans="1:15" x14ac:dyDescent="0.45">
      <c r="A483" s="12" t="s">
        <v>30439</v>
      </c>
      <c r="B483" s="14">
        <v>463000</v>
      </c>
      <c r="C483" s="14">
        <v>533000</v>
      </c>
      <c r="D483" s="14">
        <v>340400</v>
      </c>
      <c r="E483" s="14">
        <v>391755</v>
      </c>
      <c r="F483" s="14">
        <v>264000</v>
      </c>
      <c r="G483" s="14">
        <v>303810</v>
      </c>
      <c r="H483" s="14">
        <v>152000</v>
      </c>
      <c r="I483" s="14">
        <v>188000</v>
      </c>
      <c r="J483" s="14">
        <v>4820</v>
      </c>
      <c r="K483" s="14">
        <v>6060</v>
      </c>
      <c r="N483" s="42">
        <f t="shared" si="30"/>
        <v>70000</v>
      </c>
      <c r="O483" s="43">
        <f t="shared" si="31"/>
        <v>0.13133208255159476</v>
      </c>
    </row>
    <row r="484" spans="1:15" x14ac:dyDescent="0.45">
      <c r="A484" s="12" t="s">
        <v>30440</v>
      </c>
      <c r="B484" s="14">
        <v>459000</v>
      </c>
      <c r="C484" s="14">
        <v>527000</v>
      </c>
      <c r="D484" s="14">
        <v>337400</v>
      </c>
      <c r="E484" s="14">
        <v>387345</v>
      </c>
      <c r="F484" s="14">
        <v>261700</v>
      </c>
      <c r="G484" s="14">
        <v>300390</v>
      </c>
      <c r="H484" s="14">
        <v>151000</v>
      </c>
      <c r="I484" s="14">
        <v>186000</v>
      </c>
      <c r="J484" s="14">
        <v>4800</v>
      </c>
      <c r="K484" s="14">
        <v>6030</v>
      </c>
      <c r="N484" s="42">
        <f t="shared" si="30"/>
        <v>68000</v>
      </c>
      <c r="O484" s="43">
        <f t="shared" si="31"/>
        <v>0.12903225806451613</v>
      </c>
    </row>
    <row r="485" spans="1:15" x14ac:dyDescent="0.45">
      <c r="A485" s="12" t="s">
        <v>30441</v>
      </c>
      <c r="B485" s="14">
        <v>461000</v>
      </c>
      <c r="C485" s="14">
        <v>528000</v>
      </c>
      <c r="D485" s="14">
        <v>338900</v>
      </c>
      <c r="E485" s="14">
        <v>388080</v>
      </c>
      <c r="F485" s="14">
        <v>262800</v>
      </c>
      <c r="G485" s="14">
        <v>300960</v>
      </c>
      <c r="H485" s="14">
        <v>153000</v>
      </c>
      <c r="I485" s="14">
        <v>190000</v>
      </c>
      <c r="J485" s="14">
        <v>4870</v>
      </c>
      <c r="K485" s="14">
        <v>6120</v>
      </c>
      <c r="N485" s="42">
        <f t="shared" si="30"/>
        <v>67000</v>
      </c>
      <c r="O485" s="43">
        <f t="shared" si="31"/>
        <v>0.12689393939393939</v>
      </c>
    </row>
    <row r="486" spans="1:15" x14ac:dyDescent="0.45">
      <c r="A486" s="12" t="s">
        <v>30442</v>
      </c>
      <c r="B486" s="14">
        <v>461000</v>
      </c>
      <c r="C486" s="14">
        <v>530000</v>
      </c>
      <c r="D486" s="14">
        <v>338900</v>
      </c>
      <c r="E486" s="14">
        <v>389550</v>
      </c>
      <c r="F486" s="14">
        <v>262800</v>
      </c>
      <c r="G486" s="14">
        <v>302100</v>
      </c>
      <c r="H486" s="14">
        <v>154000</v>
      </c>
      <c r="I486" s="14">
        <v>190000</v>
      </c>
      <c r="J486" s="14">
        <v>4880</v>
      </c>
      <c r="K486" s="14">
        <v>6130</v>
      </c>
      <c r="N486" s="42">
        <f t="shared" si="30"/>
        <v>69000</v>
      </c>
      <c r="O486" s="43">
        <f t="shared" si="31"/>
        <v>0.13018867924528302</v>
      </c>
    </row>
    <row r="487" spans="1:15" x14ac:dyDescent="0.45">
      <c r="A487" s="12" t="s">
        <v>30443</v>
      </c>
      <c r="B487" s="14">
        <v>462000</v>
      </c>
      <c r="C487" s="14">
        <v>535000</v>
      </c>
      <c r="D487" s="14">
        <v>339600</v>
      </c>
      <c r="E487" s="14">
        <v>393225</v>
      </c>
      <c r="F487" s="14">
        <v>263400</v>
      </c>
      <c r="G487" s="14">
        <v>304950</v>
      </c>
      <c r="H487" s="14">
        <v>158000</v>
      </c>
      <c r="I487" s="14">
        <v>195000</v>
      </c>
      <c r="J487" s="14">
        <v>4970</v>
      </c>
      <c r="K487" s="14">
        <v>6250</v>
      </c>
      <c r="N487" s="42">
        <f t="shared" si="30"/>
        <v>73000</v>
      </c>
      <c r="O487" s="43">
        <f t="shared" si="31"/>
        <v>0.13644859813084112</v>
      </c>
    </row>
    <row r="488" spans="1:15" x14ac:dyDescent="0.45">
      <c r="A488" s="12" t="s">
        <v>30444</v>
      </c>
      <c r="B488" s="14">
        <v>456000</v>
      </c>
      <c r="C488" s="14">
        <v>527000</v>
      </c>
      <c r="D488" s="14">
        <v>335200</v>
      </c>
      <c r="E488" s="14">
        <v>387345</v>
      </c>
      <c r="F488" s="14">
        <v>260000</v>
      </c>
      <c r="G488" s="14">
        <v>300390</v>
      </c>
      <c r="H488" s="14">
        <v>157000</v>
      </c>
      <c r="I488" s="14">
        <v>194000</v>
      </c>
      <c r="J488" s="14">
        <v>4900</v>
      </c>
      <c r="K488" s="14">
        <v>6160</v>
      </c>
      <c r="N488" s="42">
        <f t="shared" si="30"/>
        <v>71000</v>
      </c>
      <c r="O488" s="43">
        <f t="shared" si="31"/>
        <v>0.1347248576850095</v>
      </c>
    </row>
    <row r="489" spans="1:15" x14ac:dyDescent="0.45">
      <c r="A489" s="12" t="s">
        <v>30445</v>
      </c>
      <c r="B489" s="14">
        <v>455000</v>
      </c>
      <c r="C489" s="14">
        <v>524000</v>
      </c>
      <c r="D489" s="14">
        <v>334500</v>
      </c>
      <c r="E489" s="14">
        <v>385140</v>
      </c>
      <c r="F489" s="14">
        <v>259400</v>
      </c>
      <c r="G489" s="14">
        <v>298680</v>
      </c>
      <c r="H489" s="14">
        <v>157000</v>
      </c>
      <c r="I489" s="14">
        <v>194000</v>
      </c>
      <c r="J489" s="14">
        <v>4880</v>
      </c>
      <c r="K489" s="14">
        <v>6130</v>
      </c>
      <c r="N489" s="42">
        <f t="shared" si="30"/>
        <v>69000</v>
      </c>
      <c r="O489" s="43">
        <f t="shared" si="31"/>
        <v>0.1316793893129771</v>
      </c>
    </row>
    <row r="490" spans="1:15" x14ac:dyDescent="0.45">
      <c r="A490" s="12" t="s">
        <v>30446</v>
      </c>
      <c r="B490" s="14">
        <v>453000</v>
      </c>
      <c r="C490" s="14">
        <v>523000</v>
      </c>
      <c r="D490" s="14">
        <v>333000</v>
      </c>
      <c r="E490" s="14">
        <v>384405</v>
      </c>
      <c r="F490" s="14">
        <v>258300</v>
      </c>
      <c r="G490" s="14">
        <v>298110</v>
      </c>
      <c r="H490" s="14">
        <v>156000</v>
      </c>
      <c r="I490" s="14">
        <v>192000</v>
      </c>
      <c r="J490" s="14">
        <v>4860</v>
      </c>
      <c r="K490" s="14">
        <v>6110</v>
      </c>
      <c r="N490" s="42">
        <f t="shared" si="30"/>
        <v>70000</v>
      </c>
      <c r="O490" s="43">
        <f t="shared" si="31"/>
        <v>0.13384321223709369</v>
      </c>
    </row>
    <row r="491" spans="1:15" x14ac:dyDescent="0.45">
      <c r="A491" s="12" t="s">
        <v>30447</v>
      </c>
      <c r="B491" s="14">
        <v>451000</v>
      </c>
      <c r="C491" s="14">
        <v>522000</v>
      </c>
      <c r="D491" s="14">
        <v>331500</v>
      </c>
      <c r="E491" s="14">
        <v>383670</v>
      </c>
      <c r="F491" s="14">
        <v>257100</v>
      </c>
      <c r="G491" s="14">
        <v>297540</v>
      </c>
      <c r="H491" s="14">
        <v>154000</v>
      </c>
      <c r="I491" s="14">
        <v>190000</v>
      </c>
      <c r="J491" s="14">
        <v>4840</v>
      </c>
      <c r="K491" s="14">
        <v>6090</v>
      </c>
      <c r="N491" s="42">
        <f t="shared" si="30"/>
        <v>71000</v>
      </c>
      <c r="O491" s="43">
        <f t="shared" si="31"/>
        <v>0.13601532567049809</v>
      </c>
    </row>
    <row r="492" spans="1:15" x14ac:dyDescent="0.45">
      <c r="A492" s="12" t="s">
        <v>30448</v>
      </c>
      <c r="B492" s="14">
        <v>451000</v>
      </c>
      <c r="C492" s="14">
        <v>520000</v>
      </c>
      <c r="D492" s="14">
        <v>331500</v>
      </c>
      <c r="E492" s="14">
        <v>382200</v>
      </c>
      <c r="F492" s="14">
        <v>257100</v>
      </c>
      <c r="G492" s="14">
        <v>296400</v>
      </c>
      <c r="H492" s="14">
        <v>152000</v>
      </c>
      <c r="I492" s="14">
        <v>188000</v>
      </c>
      <c r="J492" s="14">
        <v>4820</v>
      </c>
      <c r="K492" s="14">
        <v>6050</v>
      </c>
      <c r="N492" s="42">
        <f t="shared" si="30"/>
        <v>69000</v>
      </c>
      <c r="O492" s="43">
        <f t="shared" si="31"/>
        <v>0.13269230769230769</v>
      </c>
    </row>
    <row r="493" spans="1:15" x14ac:dyDescent="0.45">
      <c r="A493" s="12" t="s">
        <v>30449</v>
      </c>
      <c r="B493" s="14">
        <v>448000</v>
      </c>
      <c r="C493" s="14">
        <v>516000</v>
      </c>
      <c r="D493" s="14">
        <v>329300</v>
      </c>
      <c r="E493" s="14">
        <v>379260</v>
      </c>
      <c r="F493" s="14">
        <v>255400</v>
      </c>
      <c r="G493" s="14">
        <v>294120</v>
      </c>
      <c r="H493" s="14">
        <v>152000</v>
      </c>
      <c r="I493" s="14">
        <v>188000</v>
      </c>
      <c r="J493" s="14">
        <v>4720</v>
      </c>
      <c r="K493" s="14">
        <v>5930</v>
      </c>
      <c r="N493" s="42">
        <f t="shared" ref="N493:N556" si="32">C493-B493</f>
        <v>68000</v>
      </c>
      <c r="O493" s="43">
        <f t="shared" ref="O493:O556" si="33">N493/C493</f>
        <v>0.13178294573643412</v>
      </c>
    </row>
    <row r="494" spans="1:15" x14ac:dyDescent="0.45">
      <c r="A494" s="12" t="s">
        <v>30450</v>
      </c>
      <c r="B494" s="14">
        <v>449000</v>
      </c>
      <c r="C494" s="14">
        <v>520000</v>
      </c>
      <c r="D494" s="14">
        <v>330100</v>
      </c>
      <c r="E494" s="14">
        <v>382200</v>
      </c>
      <c r="F494" s="14">
        <v>256000</v>
      </c>
      <c r="G494" s="14">
        <v>296400</v>
      </c>
      <c r="H494" s="14">
        <v>153000</v>
      </c>
      <c r="I494" s="14">
        <v>189000</v>
      </c>
      <c r="J494" s="14">
        <v>4820</v>
      </c>
      <c r="K494" s="14">
        <v>6070</v>
      </c>
      <c r="N494" s="42">
        <f t="shared" si="32"/>
        <v>71000</v>
      </c>
      <c r="O494" s="43">
        <f t="shared" si="33"/>
        <v>0.13653846153846153</v>
      </c>
    </row>
    <row r="495" spans="1:15" x14ac:dyDescent="0.45">
      <c r="A495" s="12" t="s">
        <v>30451</v>
      </c>
      <c r="B495" s="14">
        <v>449000</v>
      </c>
      <c r="C495" s="14">
        <v>522000</v>
      </c>
      <c r="D495" s="14">
        <v>330100</v>
      </c>
      <c r="E495" s="14">
        <v>383670</v>
      </c>
      <c r="F495" s="14">
        <v>256000</v>
      </c>
      <c r="G495" s="14">
        <v>297540</v>
      </c>
      <c r="H495" s="14">
        <v>154000</v>
      </c>
      <c r="I495" s="14">
        <v>190000</v>
      </c>
      <c r="J495" s="14">
        <v>4940</v>
      </c>
      <c r="K495" s="14">
        <v>6210</v>
      </c>
      <c r="N495" s="42">
        <f t="shared" si="32"/>
        <v>73000</v>
      </c>
      <c r="O495" s="43">
        <f t="shared" si="33"/>
        <v>0.13984674329501914</v>
      </c>
    </row>
    <row r="496" spans="1:15" x14ac:dyDescent="0.45">
      <c r="A496" s="12" t="s">
        <v>30452</v>
      </c>
      <c r="B496" s="14">
        <v>450000</v>
      </c>
      <c r="C496" s="14">
        <v>524000</v>
      </c>
      <c r="D496" s="14">
        <v>330800</v>
      </c>
      <c r="E496" s="14">
        <v>385140</v>
      </c>
      <c r="F496" s="14">
        <v>256500</v>
      </c>
      <c r="G496" s="14">
        <v>298680</v>
      </c>
      <c r="H496" s="14">
        <v>153000</v>
      </c>
      <c r="I496" s="14">
        <v>189000</v>
      </c>
      <c r="J496" s="14">
        <v>4940</v>
      </c>
      <c r="K496" s="14">
        <v>6210</v>
      </c>
      <c r="N496" s="42">
        <f t="shared" si="32"/>
        <v>74000</v>
      </c>
      <c r="O496" s="43">
        <f t="shared" si="33"/>
        <v>0.14122137404580154</v>
      </c>
    </row>
    <row r="497" spans="1:15" x14ac:dyDescent="0.45">
      <c r="A497" s="12" t="s">
        <v>30453</v>
      </c>
      <c r="B497" s="14">
        <v>449000</v>
      </c>
      <c r="C497" s="14">
        <v>522000</v>
      </c>
      <c r="D497" s="14">
        <v>330100</v>
      </c>
      <c r="E497" s="14">
        <v>383670</v>
      </c>
      <c r="F497" s="14">
        <v>256000</v>
      </c>
      <c r="G497" s="14">
        <v>297540</v>
      </c>
      <c r="H497" s="14">
        <v>150000</v>
      </c>
      <c r="I497" s="14">
        <v>186000</v>
      </c>
      <c r="J497" s="14">
        <v>4930</v>
      </c>
      <c r="K497" s="14">
        <v>6200</v>
      </c>
      <c r="N497" s="42">
        <f t="shared" si="32"/>
        <v>73000</v>
      </c>
      <c r="O497" s="43">
        <f t="shared" si="33"/>
        <v>0.13984674329501914</v>
      </c>
    </row>
    <row r="498" spans="1:15" x14ac:dyDescent="0.45">
      <c r="A498" s="12" t="s">
        <v>30454</v>
      </c>
      <c r="B498" s="14">
        <v>447000</v>
      </c>
      <c r="C498" s="14">
        <v>522000</v>
      </c>
      <c r="D498" s="14">
        <v>328600</v>
      </c>
      <c r="E498" s="14">
        <v>383670</v>
      </c>
      <c r="F498" s="14">
        <v>254800</v>
      </c>
      <c r="G498" s="14">
        <v>297540</v>
      </c>
      <c r="H498" s="14">
        <v>151000</v>
      </c>
      <c r="I498" s="14">
        <v>186000</v>
      </c>
      <c r="J498" s="14">
        <v>4940</v>
      </c>
      <c r="K498" s="14">
        <v>6210</v>
      </c>
      <c r="N498" s="42">
        <f t="shared" si="32"/>
        <v>75000</v>
      </c>
      <c r="O498" s="43">
        <f t="shared" si="33"/>
        <v>0.14367816091954022</v>
      </c>
    </row>
    <row r="499" spans="1:15" x14ac:dyDescent="0.45">
      <c r="A499" s="12" t="s">
        <v>30455</v>
      </c>
      <c r="B499" s="14">
        <v>451000</v>
      </c>
      <c r="C499" s="14">
        <v>528000</v>
      </c>
      <c r="D499" s="14">
        <v>331500</v>
      </c>
      <c r="E499" s="14">
        <v>388080</v>
      </c>
      <c r="F499" s="14">
        <v>257100</v>
      </c>
      <c r="G499" s="14">
        <v>300960</v>
      </c>
      <c r="H499" s="14">
        <v>152000</v>
      </c>
      <c r="I499" s="14">
        <v>188000</v>
      </c>
      <c r="J499" s="14">
        <v>5000</v>
      </c>
      <c r="K499" s="14">
        <v>6290</v>
      </c>
      <c r="N499" s="42">
        <f t="shared" si="32"/>
        <v>77000</v>
      </c>
      <c r="O499" s="43">
        <f t="shared" si="33"/>
        <v>0.14583333333333334</v>
      </c>
    </row>
    <row r="500" spans="1:15" x14ac:dyDescent="0.45">
      <c r="A500" s="12" t="s">
        <v>30456</v>
      </c>
      <c r="B500" s="14">
        <v>455000</v>
      </c>
      <c r="C500" s="14">
        <v>533000</v>
      </c>
      <c r="D500" s="14">
        <v>334500</v>
      </c>
      <c r="E500" s="14">
        <v>391755</v>
      </c>
      <c r="F500" s="14">
        <v>259400</v>
      </c>
      <c r="G500" s="14">
        <v>303810</v>
      </c>
      <c r="H500" s="14">
        <v>154000</v>
      </c>
      <c r="I500" s="14">
        <v>190000</v>
      </c>
      <c r="J500" s="14">
        <v>5150</v>
      </c>
      <c r="K500" s="14">
        <v>6480</v>
      </c>
      <c r="N500" s="42">
        <f t="shared" si="32"/>
        <v>78000</v>
      </c>
      <c r="O500" s="43">
        <f t="shared" si="33"/>
        <v>0.14634146341463414</v>
      </c>
    </row>
    <row r="501" spans="1:15" x14ac:dyDescent="0.45">
      <c r="A501" s="12" t="s">
        <v>30457</v>
      </c>
      <c r="B501" s="14">
        <v>451000</v>
      </c>
      <c r="C501" s="14">
        <v>529000</v>
      </c>
      <c r="D501" s="14">
        <v>331500</v>
      </c>
      <c r="E501" s="14">
        <v>388815</v>
      </c>
      <c r="F501" s="14">
        <v>257100</v>
      </c>
      <c r="G501" s="14">
        <v>301530</v>
      </c>
      <c r="H501" s="14">
        <v>153000</v>
      </c>
      <c r="I501" s="14">
        <v>189000</v>
      </c>
      <c r="J501" s="14">
        <v>5140</v>
      </c>
      <c r="K501" s="14">
        <v>6470</v>
      </c>
      <c r="N501" s="42">
        <f t="shared" si="32"/>
        <v>78000</v>
      </c>
      <c r="O501" s="43">
        <f t="shared" si="33"/>
        <v>0.14744801512287334</v>
      </c>
    </row>
    <row r="502" spans="1:15" x14ac:dyDescent="0.45">
      <c r="A502" s="12" t="s">
        <v>30458</v>
      </c>
      <c r="B502" s="14">
        <v>447000</v>
      </c>
      <c r="C502" s="14">
        <v>522000</v>
      </c>
      <c r="D502" s="14">
        <v>328600</v>
      </c>
      <c r="E502" s="14">
        <v>383670</v>
      </c>
      <c r="F502" s="14">
        <v>254800</v>
      </c>
      <c r="G502" s="14">
        <v>297540</v>
      </c>
      <c r="H502" s="14">
        <v>152000</v>
      </c>
      <c r="I502" s="14">
        <v>188000</v>
      </c>
      <c r="J502" s="14">
        <v>5130</v>
      </c>
      <c r="K502" s="14">
        <v>6450</v>
      </c>
      <c r="N502" s="42">
        <f t="shared" si="32"/>
        <v>75000</v>
      </c>
      <c r="O502" s="43">
        <f t="shared" si="33"/>
        <v>0.14367816091954022</v>
      </c>
    </row>
    <row r="503" spans="1:15" x14ac:dyDescent="0.45">
      <c r="A503" s="12" t="s">
        <v>30459</v>
      </c>
      <c r="B503" s="14">
        <v>445000</v>
      </c>
      <c r="C503" s="14">
        <v>521000</v>
      </c>
      <c r="D503" s="14">
        <v>327100</v>
      </c>
      <c r="E503" s="14">
        <v>382935</v>
      </c>
      <c r="F503" s="14">
        <v>253700</v>
      </c>
      <c r="G503" s="14">
        <v>296970</v>
      </c>
      <c r="H503" s="14">
        <v>152000</v>
      </c>
      <c r="I503" s="14">
        <v>188000</v>
      </c>
      <c r="J503" s="14">
        <v>5050</v>
      </c>
      <c r="K503" s="14">
        <v>6340</v>
      </c>
      <c r="N503" s="42">
        <f t="shared" si="32"/>
        <v>76000</v>
      </c>
      <c r="O503" s="43">
        <f t="shared" si="33"/>
        <v>0.14587332053742802</v>
      </c>
    </row>
    <row r="504" spans="1:15" x14ac:dyDescent="0.45">
      <c r="A504" s="12" t="s">
        <v>30460</v>
      </c>
      <c r="B504" s="14">
        <v>441000</v>
      </c>
      <c r="C504" s="14">
        <v>515000</v>
      </c>
      <c r="D504" s="14">
        <v>324200</v>
      </c>
      <c r="E504" s="14">
        <v>378525</v>
      </c>
      <c r="F504" s="14">
        <v>251400</v>
      </c>
      <c r="G504" s="14">
        <v>293550</v>
      </c>
      <c r="H504" s="14">
        <v>150000</v>
      </c>
      <c r="I504" s="14">
        <v>186000</v>
      </c>
      <c r="J504" s="14">
        <v>4970</v>
      </c>
      <c r="K504" s="14">
        <v>6250</v>
      </c>
      <c r="N504" s="42">
        <f t="shared" si="32"/>
        <v>74000</v>
      </c>
      <c r="O504" s="43">
        <f t="shared" si="33"/>
        <v>0.1436893203883495</v>
      </c>
    </row>
    <row r="505" spans="1:15" x14ac:dyDescent="0.45">
      <c r="A505" s="12" t="s">
        <v>30461</v>
      </c>
      <c r="B505" s="14">
        <v>441000</v>
      </c>
      <c r="C505" s="14">
        <v>513000</v>
      </c>
      <c r="D505" s="14">
        <v>324200</v>
      </c>
      <c r="E505" s="14">
        <v>377055</v>
      </c>
      <c r="F505" s="14">
        <v>251400</v>
      </c>
      <c r="G505" s="14">
        <v>292410</v>
      </c>
      <c r="H505" s="14">
        <v>152000</v>
      </c>
      <c r="I505" s="14">
        <v>188000</v>
      </c>
      <c r="J505" s="14">
        <v>5000</v>
      </c>
      <c r="K505" s="14">
        <v>6290</v>
      </c>
      <c r="N505" s="42">
        <f t="shared" si="32"/>
        <v>72000</v>
      </c>
      <c r="O505" s="43">
        <f t="shared" si="33"/>
        <v>0.14035087719298245</v>
      </c>
    </row>
    <row r="506" spans="1:15" x14ac:dyDescent="0.45">
      <c r="A506" s="12" t="s">
        <v>30462</v>
      </c>
      <c r="B506" s="14">
        <v>440000</v>
      </c>
      <c r="C506" s="14">
        <v>513000</v>
      </c>
      <c r="D506" s="14">
        <v>323400</v>
      </c>
      <c r="E506" s="14">
        <v>377055</v>
      </c>
      <c r="F506" s="14">
        <v>250800</v>
      </c>
      <c r="G506" s="14">
        <v>292410</v>
      </c>
      <c r="H506" s="14">
        <v>151000</v>
      </c>
      <c r="I506" s="14">
        <v>186000</v>
      </c>
      <c r="J506" s="14">
        <v>4980</v>
      </c>
      <c r="K506" s="14">
        <v>6260</v>
      </c>
      <c r="N506" s="42">
        <f t="shared" si="32"/>
        <v>73000</v>
      </c>
      <c r="O506" s="43">
        <f t="shared" si="33"/>
        <v>0.14230019493177387</v>
      </c>
    </row>
    <row r="507" spans="1:15" x14ac:dyDescent="0.45">
      <c r="A507" s="12" t="s">
        <v>30463</v>
      </c>
      <c r="B507" s="14">
        <v>440000</v>
      </c>
      <c r="C507" s="14">
        <v>512000</v>
      </c>
      <c r="D507" s="14">
        <v>323400</v>
      </c>
      <c r="E507" s="14">
        <v>376320</v>
      </c>
      <c r="F507" s="14">
        <v>250800</v>
      </c>
      <c r="G507" s="14">
        <v>291840</v>
      </c>
      <c r="H507" s="14">
        <v>153000</v>
      </c>
      <c r="I507" s="14">
        <v>189000</v>
      </c>
      <c r="J507" s="14">
        <v>4930</v>
      </c>
      <c r="K507" s="14">
        <v>6200</v>
      </c>
      <c r="N507" s="42">
        <f t="shared" si="32"/>
        <v>72000</v>
      </c>
      <c r="O507" s="43">
        <f t="shared" si="33"/>
        <v>0.140625</v>
      </c>
    </row>
    <row r="508" spans="1:15" x14ac:dyDescent="0.45">
      <c r="A508" s="12" t="s">
        <v>30464</v>
      </c>
      <c r="B508" s="14">
        <v>438000</v>
      </c>
      <c r="C508" s="14">
        <v>509000</v>
      </c>
      <c r="D508" s="14">
        <v>322000</v>
      </c>
      <c r="E508" s="14">
        <v>374115</v>
      </c>
      <c r="F508" s="14">
        <v>249700</v>
      </c>
      <c r="G508" s="14">
        <v>290130</v>
      </c>
      <c r="H508" s="14">
        <v>151000</v>
      </c>
      <c r="I508" s="14">
        <v>187000</v>
      </c>
      <c r="J508" s="14">
        <v>4830</v>
      </c>
      <c r="K508" s="14">
        <v>6070</v>
      </c>
      <c r="N508" s="42">
        <f t="shared" si="32"/>
        <v>71000</v>
      </c>
      <c r="O508" s="43">
        <f t="shared" si="33"/>
        <v>0.13948919449901767</v>
      </c>
    </row>
    <row r="509" spans="1:15" x14ac:dyDescent="0.45">
      <c r="A509" s="12" t="s">
        <v>30465</v>
      </c>
      <c r="B509" s="14">
        <v>436000</v>
      </c>
      <c r="C509" s="14">
        <v>506000</v>
      </c>
      <c r="D509" s="14">
        <v>320500</v>
      </c>
      <c r="E509" s="14">
        <v>371910</v>
      </c>
      <c r="F509" s="14">
        <v>248600</v>
      </c>
      <c r="G509" s="14">
        <v>288420</v>
      </c>
      <c r="H509" s="14">
        <v>150000</v>
      </c>
      <c r="I509" s="14">
        <v>185000</v>
      </c>
      <c r="J509" s="14">
        <v>4790</v>
      </c>
      <c r="K509" s="14">
        <v>6020</v>
      </c>
      <c r="N509" s="42">
        <f t="shared" si="32"/>
        <v>70000</v>
      </c>
      <c r="O509" s="43">
        <f t="shared" si="33"/>
        <v>0.13833992094861661</v>
      </c>
    </row>
    <row r="510" spans="1:15" x14ac:dyDescent="0.45">
      <c r="A510" s="12" t="s">
        <v>30466</v>
      </c>
      <c r="B510" s="14">
        <v>438000</v>
      </c>
      <c r="C510" s="14">
        <v>508000</v>
      </c>
      <c r="D510" s="14">
        <v>322000</v>
      </c>
      <c r="E510" s="14">
        <v>373380</v>
      </c>
      <c r="F510" s="14">
        <v>249700</v>
      </c>
      <c r="G510" s="14">
        <v>289560</v>
      </c>
      <c r="H510" s="14">
        <v>150000</v>
      </c>
      <c r="I510" s="14">
        <v>186000</v>
      </c>
      <c r="J510" s="14">
        <v>4810</v>
      </c>
      <c r="K510" s="14">
        <v>6050</v>
      </c>
      <c r="N510" s="42">
        <f t="shared" si="32"/>
        <v>70000</v>
      </c>
      <c r="O510" s="43">
        <f t="shared" si="33"/>
        <v>0.13779527559055119</v>
      </c>
    </row>
    <row r="511" spans="1:15" x14ac:dyDescent="0.45">
      <c r="A511" s="12" t="s">
        <v>30467</v>
      </c>
      <c r="B511" s="14">
        <v>439000</v>
      </c>
      <c r="C511" s="14">
        <v>509000</v>
      </c>
      <c r="D511" s="14">
        <v>322700</v>
      </c>
      <c r="E511" s="14">
        <v>374115</v>
      </c>
      <c r="F511" s="14">
        <v>250300</v>
      </c>
      <c r="G511" s="14">
        <v>290130</v>
      </c>
      <c r="H511" s="14">
        <v>149000</v>
      </c>
      <c r="I511" s="14">
        <v>184000</v>
      </c>
      <c r="J511" s="14">
        <v>4810</v>
      </c>
      <c r="K511" s="14">
        <v>6050</v>
      </c>
      <c r="N511" s="42">
        <f t="shared" si="32"/>
        <v>70000</v>
      </c>
      <c r="O511" s="43">
        <f t="shared" si="33"/>
        <v>0.13752455795677801</v>
      </c>
    </row>
    <row r="512" spans="1:15" x14ac:dyDescent="0.45">
      <c r="A512" s="12" t="s">
        <v>30468</v>
      </c>
      <c r="B512" s="14">
        <v>432000</v>
      </c>
      <c r="C512" s="14">
        <v>504000</v>
      </c>
      <c r="D512" s="14">
        <v>317600</v>
      </c>
      <c r="E512" s="14">
        <v>370440</v>
      </c>
      <c r="F512" s="14">
        <v>246300</v>
      </c>
      <c r="G512" s="14">
        <v>287280</v>
      </c>
      <c r="H512" s="14">
        <v>148000</v>
      </c>
      <c r="I512" s="14">
        <v>183000</v>
      </c>
      <c r="J512" s="14">
        <v>4700</v>
      </c>
      <c r="K512" s="14">
        <v>5910</v>
      </c>
      <c r="N512" s="42">
        <f t="shared" si="32"/>
        <v>72000</v>
      </c>
      <c r="O512" s="43">
        <f t="shared" si="33"/>
        <v>0.14285714285714285</v>
      </c>
    </row>
    <row r="513" spans="1:15" x14ac:dyDescent="0.45">
      <c r="A513" s="12" t="s">
        <v>30469</v>
      </c>
      <c r="B513" s="14">
        <v>434000</v>
      </c>
      <c r="C513" s="14">
        <v>506000</v>
      </c>
      <c r="D513" s="14">
        <v>319000</v>
      </c>
      <c r="E513" s="14">
        <v>371910</v>
      </c>
      <c r="F513" s="14">
        <v>247400</v>
      </c>
      <c r="G513" s="14">
        <v>288420</v>
      </c>
      <c r="H513" s="14">
        <v>147000</v>
      </c>
      <c r="I513" s="14">
        <v>182000</v>
      </c>
      <c r="J513" s="14">
        <v>4810</v>
      </c>
      <c r="K513" s="14">
        <v>6050</v>
      </c>
      <c r="N513" s="42">
        <f t="shared" si="32"/>
        <v>72000</v>
      </c>
      <c r="O513" s="43">
        <f t="shared" si="33"/>
        <v>0.14229249011857709</v>
      </c>
    </row>
    <row r="514" spans="1:15" x14ac:dyDescent="0.45">
      <c r="A514" s="12" t="s">
        <v>30470</v>
      </c>
      <c r="B514" s="14">
        <v>433000</v>
      </c>
      <c r="C514" s="14">
        <v>503000</v>
      </c>
      <c r="D514" s="14">
        <v>318300</v>
      </c>
      <c r="E514" s="14">
        <v>369705</v>
      </c>
      <c r="F514" s="14">
        <v>246900</v>
      </c>
      <c r="G514" s="14">
        <v>286710</v>
      </c>
      <c r="H514" s="14">
        <v>149000</v>
      </c>
      <c r="I514" s="14">
        <v>184000</v>
      </c>
      <c r="J514" s="14">
        <v>4770</v>
      </c>
      <c r="K514" s="14">
        <v>6000</v>
      </c>
      <c r="N514" s="42">
        <f t="shared" si="32"/>
        <v>70000</v>
      </c>
      <c r="O514" s="43">
        <f t="shared" si="33"/>
        <v>0.13916500994035785</v>
      </c>
    </row>
    <row r="515" spans="1:15" x14ac:dyDescent="0.45">
      <c r="A515" s="12" t="s">
        <v>30471</v>
      </c>
      <c r="B515" s="14">
        <v>441000</v>
      </c>
      <c r="C515" s="14">
        <v>513000</v>
      </c>
      <c r="D515" s="14">
        <v>324200</v>
      </c>
      <c r="E515" s="14">
        <v>377055</v>
      </c>
      <c r="F515" s="14">
        <v>251400</v>
      </c>
      <c r="G515" s="14">
        <v>292410</v>
      </c>
      <c r="H515" s="14">
        <v>152000</v>
      </c>
      <c r="I515" s="14">
        <v>187000</v>
      </c>
      <c r="J515" s="14">
        <v>4840</v>
      </c>
      <c r="K515" s="14">
        <v>6090</v>
      </c>
      <c r="N515" s="42">
        <f t="shared" si="32"/>
        <v>72000</v>
      </c>
      <c r="O515" s="43">
        <f t="shared" si="33"/>
        <v>0.14035087719298245</v>
      </c>
    </row>
    <row r="516" spans="1:15" x14ac:dyDescent="0.45">
      <c r="A516" s="12" t="s">
        <v>30472</v>
      </c>
      <c r="B516" s="14">
        <v>450000</v>
      </c>
      <c r="C516" s="14">
        <v>523000</v>
      </c>
      <c r="D516" s="14">
        <v>330800</v>
      </c>
      <c r="E516" s="14">
        <v>384405</v>
      </c>
      <c r="F516" s="14">
        <v>256500</v>
      </c>
      <c r="G516" s="14">
        <v>298110</v>
      </c>
      <c r="H516" s="14">
        <v>154000</v>
      </c>
      <c r="I516" s="14">
        <v>190000</v>
      </c>
      <c r="J516" s="14">
        <v>4950</v>
      </c>
      <c r="K516" s="14">
        <v>6230</v>
      </c>
      <c r="N516" s="42">
        <f t="shared" si="32"/>
        <v>73000</v>
      </c>
      <c r="O516" s="43">
        <f t="shared" si="33"/>
        <v>0.13957934990439771</v>
      </c>
    </row>
    <row r="517" spans="1:15" x14ac:dyDescent="0.45">
      <c r="A517" s="12" t="s">
        <v>30473</v>
      </c>
      <c r="B517" s="14">
        <v>445000</v>
      </c>
      <c r="C517" s="14">
        <v>518000</v>
      </c>
      <c r="D517" s="14">
        <v>327100</v>
      </c>
      <c r="E517" s="14">
        <v>380730</v>
      </c>
      <c r="F517" s="14">
        <v>253700</v>
      </c>
      <c r="G517" s="14">
        <v>295260</v>
      </c>
      <c r="H517" s="14">
        <v>154000</v>
      </c>
      <c r="I517" s="14">
        <v>191000</v>
      </c>
      <c r="J517" s="14">
        <v>4910</v>
      </c>
      <c r="K517" s="14">
        <v>6180</v>
      </c>
      <c r="N517" s="42">
        <f t="shared" si="32"/>
        <v>73000</v>
      </c>
      <c r="O517" s="43">
        <f t="shared" si="33"/>
        <v>0.14092664092664092</v>
      </c>
    </row>
    <row r="518" spans="1:15" x14ac:dyDescent="0.45">
      <c r="A518" s="12" t="s">
        <v>30474</v>
      </c>
      <c r="B518" s="14">
        <v>439000</v>
      </c>
      <c r="C518" s="14">
        <v>510000</v>
      </c>
      <c r="D518" s="14">
        <v>322700</v>
      </c>
      <c r="E518" s="14">
        <v>374850</v>
      </c>
      <c r="F518" s="14">
        <v>250300</v>
      </c>
      <c r="G518" s="14">
        <v>290700</v>
      </c>
      <c r="H518" s="14">
        <v>153000</v>
      </c>
      <c r="I518" s="14">
        <v>190000</v>
      </c>
      <c r="J518" s="14">
        <v>4920</v>
      </c>
      <c r="K518" s="14">
        <v>6180</v>
      </c>
      <c r="N518" s="42">
        <f t="shared" si="32"/>
        <v>71000</v>
      </c>
      <c r="O518" s="43">
        <f t="shared" si="33"/>
        <v>0.13921568627450981</v>
      </c>
    </row>
    <row r="519" spans="1:15" x14ac:dyDescent="0.45">
      <c r="A519" s="12" t="s">
        <v>30475</v>
      </c>
      <c r="B519" s="14">
        <v>437000</v>
      </c>
      <c r="C519" s="14">
        <v>504000</v>
      </c>
      <c r="D519" s="14">
        <v>321200</v>
      </c>
      <c r="E519" s="14">
        <v>370440</v>
      </c>
      <c r="F519" s="14">
        <v>249100</v>
      </c>
      <c r="G519" s="14">
        <v>287280</v>
      </c>
      <c r="H519" s="14">
        <v>154000</v>
      </c>
      <c r="I519" s="14">
        <v>190000</v>
      </c>
      <c r="J519" s="14">
        <v>4890</v>
      </c>
      <c r="K519" s="14">
        <v>6140</v>
      </c>
      <c r="N519" s="42">
        <f t="shared" si="32"/>
        <v>67000</v>
      </c>
      <c r="O519" s="43">
        <f t="shared" si="33"/>
        <v>0.13293650793650794</v>
      </c>
    </row>
    <row r="520" spans="1:15" x14ac:dyDescent="0.45">
      <c r="A520" s="12" t="s">
        <v>30476</v>
      </c>
      <c r="B520" s="14">
        <v>432000</v>
      </c>
      <c r="C520" s="14">
        <v>500000</v>
      </c>
      <c r="D520" s="14">
        <v>317600</v>
      </c>
      <c r="E520" s="14">
        <v>367500</v>
      </c>
      <c r="F520" s="14">
        <v>246300</v>
      </c>
      <c r="G520" s="14">
        <v>285000</v>
      </c>
      <c r="H520" s="14">
        <v>153000</v>
      </c>
      <c r="I520" s="14">
        <v>189000</v>
      </c>
      <c r="J520" s="14">
        <v>4900</v>
      </c>
      <c r="K520" s="14">
        <v>6170</v>
      </c>
      <c r="N520" s="42">
        <f t="shared" si="32"/>
        <v>68000</v>
      </c>
      <c r="O520" s="43">
        <f t="shared" si="33"/>
        <v>0.13600000000000001</v>
      </c>
    </row>
    <row r="521" spans="1:15" x14ac:dyDescent="0.45">
      <c r="A521" s="12" t="s">
        <v>30477</v>
      </c>
      <c r="B521" s="14">
        <v>426000</v>
      </c>
      <c r="C521" s="14">
        <v>496000</v>
      </c>
      <c r="D521" s="14">
        <v>313200</v>
      </c>
      <c r="E521" s="14">
        <v>364560</v>
      </c>
      <c r="F521" s="14">
        <v>242900</v>
      </c>
      <c r="G521" s="14">
        <v>282720</v>
      </c>
      <c r="H521" s="14">
        <v>151000</v>
      </c>
      <c r="I521" s="14">
        <v>187000</v>
      </c>
      <c r="J521" s="14">
        <v>4830</v>
      </c>
      <c r="K521" s="14">
        <v>6070</v>
      </c>
      <c r="N521" s="42">
        <f t="shared" si="32"/>
        <v>70000</v>
      </c>
      <c r="O521" s="43">
        <f t="shared" si="33"/>
        <v>0.14112903225806453</v>
      </c>
    </row>
    <row r="522" spans="1:15" x14ac:dyDescent="0.45">
      <c r="A522" s="12" t="s">
        <v>30478</v>
      </c>
      <c r="B522" s="14">
        <v>421000</v>
      </c>
      <c r="C522" s="14">
        <v>491000</v>
      </c>
      <c r="D522" s="14">
        <v>309500</v>
      </c>
      <c r="E522" s="14">
        <v>360885</v>
      </c>
      <c r="F522" s="14">
        <v>240000</v>
      </c>
      <c r="G522" s="14">
        <v>279870</v>
      </c>
      <c r="H522" s="14">
        <v>149000</v>
      </c>
      <c r="I522" s="14">
        <v>184000</v>
      </c>
      <c r="J522" s="14">
        <v>4750</v>
      </c>
      <c r="K522" s="14">
        <v>5980</v>
      </c>
      <c r="N522" s="42">
        <f t="shared" si="32"/>
        <v>70000</v>
      </c>
      <c r="O522" s="43">
        <f t="shared" si="33"/>
        <v>0.1425661914460285</v>
      </c>
    </row>
    <row r="523" spans="1:15" x14ac:dyDescent="0.45">
      <c r="A523" s="12" t="s">
        <v>30479</v>
      </c>
      <c r="B523" s="14">
        <v>421000</v>
      </c>
      <c r="C523" s="14">
        <v>495000</v>
      </c>
      <c r="D523" s="14">
        <v>309500</v>
      </c>
      <c r="E523" s="14">
        <v>363825</v>
      </c>
      <c r="F523" s="14">
        <v>240000</v>
      </c>
      <c r="G523" s="14">
        <v>282150</v>
      </c>
      <c r="H523" s="14">
        <v>150000</v>
      </c>
      <c r="I523" s="14">
        <v>185000</v>
      </c>
      <c r="J523" s="14">
        <v>4810</v>
      </c>
      <c r="K523" s="14">
        <v>6050</v>
      </c>
      <c r="N523" s="42">
        <f t="shared" si="32"/>
        <v>74000</v>
      </c>
      <c r="O523" s="43">
        <f t="shared" si="33"/>
        <v>0.14949494949494949</v>
      </c>
    </row>
    <row r="524" spans="1:15" x14ac:dyDescent="0.45">
      <c r="A524" s="12" t="s">
        <v>30480</v>
      </c>
      <c r="B524" s="14">
        <v>422000</v>
      </c>
      <c r="C524" s="14">
        <v>495000</v>
      </c>
      <c r="D524" s="14">
        <v>310200</v>
      </c>
      <c r="E524" s="14">
        <v>363825</v>
      </c>
      <c r="F524" s="14">
        <v>240600</v>
      </c>
      <c r="G524" s="14">
        <v>282150</v>
      </c>
      <c r="H524" s="14">
        <v>150000</v>
      </c>
      <c r="I524" s="14">
        <v>185000</v>
      </c>
      <c r="J524" s="14">
        <v>4810</v>
      </c>
      <c r="K524" s="14">
        <v>6040</v>
      </c>
      <c r="N524" s="42">
        <f t="shared" si="32"/>
        <v>73000</v>
      </c>
      <c r="O524" s="43">
        <f t="shared" si="33"/>
        <v>0.14747474747474748</v>
      </c>
    </row>
    <row r="525" spans="1:15" x14ac:dyDescent="0.45">
      <c r="A525" s="12" t="s">
        <v>30481</v>
      </c>
      <c r="B525" s="14">
        <v>434000</v>
      </c>
      <c r="C525" s="14">
        <v>503000</v>
      </c>
      <c r="D525" s="14">
        <v>319000</v>
      </c>
      <c r="E525" s="14">
        <v>369705</v>
      </c>
      <c r="F525" s="14">
        <v>247400</v>
      </c>
      <c r="G525" s="14">
        <v>286710</v>
      </c>
      <c r="H525" s="14">
        <v>152000</v>
      </c>
      <c r="I525" s="14">
        <v>188000</v>
      </c>
      <c r="J525" s="14">
        <v>4900</v>
      </c>
      <c r="K525" s="14">
        <v>6160</v>
      </c>
      <c r="N525" s="42">
        <f t="shared" si="32"/>
        <v>69000</v>
      </c>
      <c r="O525" s="43">
        <f t="shared" si="33"/>
        <v>0.13717693836978131</v>
      </c>
    </row>
    <row r="526" spans="1:15" x14ac:dyDescent="0.45">
      <c r="A526" s="12" t="s">
        <v>30482</v>
      </c>
      <c r="B526" s="14">
        <v>433000</v>
      </c>
      <c r="C526" s="14">
        <v>504000</v>
      </c>
      <c r="D526" s="14">
        <v>318300</v>
      </c>
      <c r="E526" s="14">
        <v>370440</v>
      </c>
      <c r="F526" s="14">
        <v>246900</v>
      </c>
      <c r="G526" s="14">
        <v>287280</v>
      </c>
      <c r="H526" s="14">
        <v>153000</v>
      </c>
      <c r="I526" s="14">
        <v>190000</v>
      </c>
      <c r="J526" s="14">
        <v>4840</v>
      </c>
      <c r="K526" s="14">
        <v>6090</v>
      </c>
      <c r="N526" s="42">
        <f t="shared" si="32"/>
        <v>71000</v>
      </c>
      <c r="O526" s="43">
        <f t="shared" si="33"/>
        <v>0.14087301587301587</v>
      </c>
    </row>
    <row r="527" spans="1:15" x14ac:dyDescent="0.45">
      <c r="A527" s="12" t="s">
        <v>30483</v>
      </c>
      <c r="B527" s="14">
        <v>445000</v>
      </c>
      <c r="C527" s="14">
        <v>515000</v>
      </c>
      <c r="D527" s="14">
        <v>327100</v>
      </c>
      <c r="E527" s="14">
        <v>378525</v>
      </c>
      <c r="F527" s="14">
        <v>253700</v>
      </c>
      <c r="G527" s="14">
        <v>293550</v>
      </c>
      <c r="H527" s="14">
        <v>155000</v>
      </c>
      <c r="I527" s="14">
        <v>192000</v>
      </c>
      <c r="J527" s="14">
        <v>4940</v>
      </c>
      <c r="K527" s="14">
        <v>6210</v>
      </c>
      <c r="N527" s="42">
        <f t="shared" si="32"/>
        <v>70000</v>
      </c>
      <c r="O527" s="43">
        <f t="shared" si="33"/>
        <v>0.13592233009708737</v>
      </c>
    </row>
    <row r="528" spans="1:15" x14ac:dyDescent="0.45">
      <c r="A528" s="12" t="s">
        <v>30484</v>
      </c>
      <c r="B528" s="14">
        <v>446000</v>
      </c>
      <c r="C528" s="14">
        <v>515000</v>
      </c>
      <c r="D528" s="14">
        <v>327900</v>
      </c>
      <c r="E528" s="14">
        <v>378525</v>
      </c>
      <c r="F528" s="14">
        <v>254300</v>
      </c>
      <c r="G528" s="14">
        <v>293550</v>
      </c>
      <c r="H528" s="14">
        <v>154000</v>
      </c>
      <c r="I528" s="14">
        <v>191000</v>
      </c>
      <c r="J528" s="14">
        <v>4930</v>
      </c>
      <c r="K528" s="14">
        <v>6200</v>
      </c>
      <c r="N528" s="42">
        <f t="shared" si="32"/>
        <v>69000</v>
      </c>
      <c r="O528" s="43">
        <f t="shared" si="33"/>
        <v>0.13398058252427184</v>
      </c>
    </row>
    <row r="529" spans="1:15" x14ac:dyDescent="0.45">
      <c r="A529" s="12" t="s">
        <v>30485</v>
      </c>
      <c r="B529" s="14">
        <v>446000</v>
      </c>
      <c r="C529" s="14">
        <v>515000</v>
      </c>
      <c r="D529" s="14">
        <v>327900</v>
      </c>
      <c r="E529" s="14">
        <v>378525</v>
      </c>
      <c r="F529" s="14">
        <v>254300</v>
      </c>
      <c r="G529" s="14">
        <v>293550</v>
      </c>
      <c r="H529" s="14">
        <v>157000</v>
      </c>
      <c r="I529" s="14">
        <v>195000</v>
      </c>
      <c r="J529" s="14">
        <v>4990</v>
      </c>
      <c r="K529" s="14">
        <v>6270</v>
      </c>
      <c r="N529" s="42">
        <f t="shared" si="32"/>
        <v>69000</v>
      </c>
      <c r="O529" s="43">
        <f t="shared" si="33"/>
        <v>0.13398058252427184</v>
      </c>
    </row>
    <row r="530" spans="1:15" x14ac:dyDescent="0.45">
      <c r="A530" s="12" t="s">
        <v>30486</v>
      </c>
      <c r="B530" s="14">
        <v>439000</v>
      </c>
      <c r="C530" s="14">
        <v>512000</v>
      </c>
      <c r="D530" s="14">
        <v>322700</v>
      </c>
      <c r="E530" s="14">
        <v>376320</v>
      </c>
      <c r="F530" s="14">
        <v>250300</v>
      </c>
      <c r="G530" s="14">
        <v>291840</v>
      </c>
      <c r="H530" s="14">
        <v>157000</v>
      </c>
      <c r="I530" s="14">
        <v>194000</v>
      </c>
      <c r="J530" s="14">
        <v>4930</v>
      </c>
      <c r="K530" s="14">
        <v>6190</v>
      </c>
      <c r="N530" s="42">
        <f t="shared" si="32"/>
        <v>73000</v>
      </c>
      <c r="O530" s="43">
        <f t="shared" si="33"/>
        <v>0.142578125</v>
      </c>
    </row>
    <row r="531" spans="1:15" x14ac:dyDescent="0.45">
      <c r="A531" s="12" t="s">
        <v>30487</v>
      </c>
      <c r="B531" s="14">
        <v>460000</v>
      </c>
      <c r="C531" s="14">
        <v>525000</v>
      </c>
      <c r="D531" s="14">
        <v>338100</v>
      </c>
      <c r="E531" s="14">
        <v>385875</v>
      </c>
      <c r="F531" s="14">
        <v>262200</v>
      </c>
      <c r="G531" s="14">
        <v>299250</v>
      </c>
      <c r="H531" s="14">
        <v>157000</v>
      </c>
      <c r="I531" s="14">
        <v>194000</v>
      </c>
      <c r="J531" s="14">
        <v>5080</v>
      </c>
      <c r="K531" s="14">
        <v>6390</v>
      </c>
      <c r="N531" s="42">
        <f t="shared" si="32"/>
        <v>65000</v>
      </c>
      <c r="O531" s="43">
        <f t="shared" si="33"/>
        <v>0.12380952380952381</v>
      </c>
    </row>
    <row r="532" spans="1:15" x14ac:dyDescent="0.45">
      <c r="A532" s="12" t="s">
        <v>30488</v>
      </c>
      <c r="B532" s="14">
        <v>458000</v>
      </c>
      <c r="C532" s="14">
        <v>517000</v>
      </c>
      <c r="D532" s="14">
        <v>336700</v>
      </c>
      <c r="E532" s="14">
        <v>379995</v>
      </c>
      <c r="F532" s="14">
        <v>261100</v>
      </c>
      <c r="G532" s="14">
        <v>294690</v>
      </c>
      <c r="H532" s="14">
        <v>153000</v>
      </c>
      <c r="I532" s="14">
        <v>189000</v>
      </c>
      <c r="J532" s="14">
        <v>5020</v>
      </c>
      <c r="K532" s="14">
        <v>6310</v>
      </c>
      <c r="N532" s="42">
        <f t="shared" si="32"/>
        <v>59000</v>
      </c>
      <c r="O532" s="43">
        <f t="shared" si="33"/>
        <v>0.11411992263056092</v>
      </c>
    </row>
    <row r="533" spans="1:15" x14ac:dyDescent="0.45">
      <c r="A533" s="12" t="s">
        <v>30489</v>
      </c>
      <c r="B533" s="14">
        <v>461000</v>
      </c>
      <c r="C533" s="14">
        <v>517000</v>
      </c>
      <c r="D533" s="14">
        <v>338900</v>
      </c>
      <c r="E533" s="14">
        <v>379995</v>
      </c>
      <c r="F533" s="14">
        <v>262800</v>
      </c>
      <c r="G533" s="14">
        <v>294690</v>
      </c>
      <c r="H533" s="14">
        <v>155000</v>
      </c>
      <c r="I533" s="14">
        <v>192000</v>
      </c>
      <c r="J533" s="14">
        <v>5030</v>
      </c>
      <c r="K533" s="14">
        <v>6320</v>
      </c>
      <c r="N533" s="42">
        <f t="shared" si="32"/>
        <v>56000</v>
      </c>
      <c r="O533" s="43">
        <f t="shared" si="33"/>
        <v>0.10831721470019343</v>
      </c>
    </row>
    <row r="534" spans="1:15" x14ac:dyDescent="0.45">
      <c r="A534" s="12" t="s">
        <v>30490</v>
      </c>
      <c r="B534" s="14">
        <v>463000</v>
      </c>
      <c r="C534" s="14">
        <v>521000</v>
      </c>
      <c r="D534" s="14">
        <v>340400</v>
      </c>
      <c r="E534" s="14">
        <v>382935</v>
      </c>
      <c r="F534" s="14">
        <v>264000</v>
      </c>
      <c r="G534" s="14">
        <v>296970</v>
      </c>
      <c r="H534" s="14">
        <v>156000</v>
      </c>
      <c r="I534" s="14">
        <v>193000</v>
      </c>
      <c r="J534" s="14">
        <v>5050</v>
      </c>
      <c r="K534" s="14">
        <v>6350</v>
      </c>
      <c r="N534" s="42">
        <f t="shared" si="32"/>
        <v>58000</v>
      </c>
      <c r="O534" s="43">
        <f t="shared" si="33"/>
        <v>0.11132437619961612</v>
      </c>
    </row>
    <row r="535" spans="1:15" x14ac:dyDescent="0.45">
      <c r="A535" s="12" t="s">
        <v>30491</v>
      </c>
      <c r="B535" s="14">
        <v>462000</v>
      </c>
      <c r="C535" s="14">
        <v>522000</v>
      </c>
      <c r="D535" s="14">
        <v>339600</v>
      </c>
      <c r="E535" s="14">
        <v>383670</v>
      </c>
      <c r="F535" s="14">
        <v>263400</v>
      </c>
      <c r="G535" s="14">
        <v>297540</v>
      </c>
      <c r="H535" s="14">
        <v>155000</v>
      </c>
      <c r="I535" s="14">
        <v>191000</v>
      </c>
      <c r="J535" s="14">
        <v>5080</v>
      </c>
      <c r="K535" s="14">
        <v>6390</v>
      </c>
      <c r="N535" s="42">
        <f t="shared" si="32"/>
        <v>60000</v>
      </c>
      <c r="O535" s="43">
        <f t="shared" si="33"/>
        <v>0.11494252873563218</v>
      </c>
    </row>
    <row r="536" spans="1:15" x14ac:dyDescent="0.45">
      <c r="A536" s="12" t="s">
        <v>30492</v>
      </c>
      <c r="B536" s="14">
        <v>467000</v>
      </c>
      <c r="C536" s="14">
        <v>528000</v>
      </c>
      <c r="D536" s="14">
        <v>343300</v>
      </c>
      <c r="E536" s="14">
        <v>388080</v>
      </c>
      <c r="F536" s="14">
        <v>266200</v>
      </c>
      <c r="G536" s="14">
        <v>300960</v>
      </c>
      <c r="H536" s="14">
        <v>158000</v>
      </c>
      <c r="I536" s="14">
        <v>195000</v>
      </c>
      <c r="J536" s="14">
        <v>5250</v>
      </c>
      <c r="K536" s="14">
        <v>6600</v>
      </c>
      <c r="N536" s="42">
        <f t="shared" si="32"/>
        <v>61000</v>
      </c>
      <c r="O536" s="43">
        <f t="shared" si="33"/>
        <v>0.11553030303030302</v>
      </c>
    </row>
    <row r="537" spans="1:15" x14ac:dyDescent="0.45">
      <c r="A537" s="12" t="s">
        <v>30493</v>
      </c>
      <c r="B537" s="14">
        <v>465000</v>
      </c>
      <c r="C537" s="14">
        <v>528000</v>
      </c>
      <c r="D537" s="14">
        <v>341800</v>
      </c>
      <c r="E537" s="14">
        <v>388080</v>
      </c>
      <c r="F537" s="14">
        <v>265100</v>
      </c>
      <c r="G537" s="14">
        <v>300960</v>
      </c>
      <c r="H537" s="14">
        <v>165000</v>
      </c>
      <c r="I537" s="14">
        <v>204000</v>
      </c>
      <c r="J537" s="14">
        <v>5360</v>
      </c>
      <c r="K537" s="14">
        <v>6740</v>
      </c>
      <c r="N537" s="42">
        <f t="shared" si="32"/>
        <v>63000</v>
      </c>
      <c r="O537" s="43">
        <f t="shared" si="33"/>
        <v>0.11931818181818182</v>
      </c>
    </row>
    <row r="538" spans="1:15" x14ac:dyDescent="0.45">
      <c r="A538" s="12" t="s">
        <v>30494</v>
      </c>
      <c r="B538" s="14">
        <v>463000</v>
      </c>
      <c r="C538" s="14">
        <v>524000</v>
      </c>
      <c r="D538" s="14">
        <v>340400</v>
      </c>
      <c r="E538" s="14">
        <v>385140</v>
      </c>
      <c r="F538" s="14">
        <v>264000</v>
      </c>
      <c r="G538" s="14">
        <v>298680</v>
      </c>
      <c r="H538" s="14">
        <v>165000</v>
      </c>
      <c r="I538" s="14">
        <v>203000</v>
      </c>
      <c r="J538" s="14">
        <v>5270</v>
      </c>
      <c r="K538" s="14">
        <v>6620</v>
      </c>
      <c r="N538" s="42">
        <f t="shared" si="32"/>
        <v>61000</v>
      </c>
      <c r="O538" s="43">
        <f t="shared" si="33"/>
        <v>0.11641221374045801</v>
      </c>
    </row>
    <row r="539" spans="1:15" x14ac:dyDescent="0.45">
      <c r="A539" s="12" t="s">
        <v>30495</v>
      </c>
      <c r="B539" s="14">
        <v>461000</v>
      </c>
      <c r="C539" s="14">
        <v>521000</v>
      </c>
      <c r="D539" s="14">
        <v>338900</v>
      </c>
      <c r="E539" s="14">
        <v>382935</v>
      </c>
      <c r="F539" s="14">
        <v>262800</v>
      </c>
      <c r="G539" s="14">
        <v>296970</v>
      </c>
      <c r="H539" s="14">
        <v>161000</v>
      </c>
      <c r="I539" s="14">
        <v>199000</v>
      </c>
      <c r="J539" s="14">
        <v>5230</v>
      </c>
      <c r="K539" s="14">
        <v>6570</v>
      </c>
      <c r="N539" s="42">
        <f t="shared" si="32"/>
        <v>60000</v>
      </c>
      <c r="O539" s="43">
        <f t="shared" si="33"/>
        <v>0.11516314779270634</v>
      </c>
    </row>
    <row r="540" spans="1:15" x14ac:dyDescent="0.45">
      <c r="A540" s="12" t="s">
        <v>30496</v>
      </c>
      <c r="B540" s="14">
        <v>467000</v>
      </c>
      <c r="C540" s="14">
        <v>525000</v>
      </c>
      <c r="D540" s="14">
        <v>343300</v>
      </c>
      <c r="E540" s="14">
        <v>385875</v>
      </c>
      <c r="F540" s="14">
        <v>266200</v>
      </c>
      <c r="G540" s="14">
        <v>299250</v>
      </c>
      <c r="H540" s="14">
        <v>162000</v>
      </c>
      <c r="I540" s="14">
        <v>200000</v>
      </c>
      <c r="J540" s="14">
        <v>5270</v>
      </c>
      <c r="K540" s="14">
        <v>6630</v>
      </c>
      <c r="N540" s="42">
        <f t="shared" si="32"/>
        <v>58000</v>
      </c>
      <c r="O540" s="43">
        <f t="shared" si="33"/>
        <v>0.11047619047619048</v>
      </c>
    </row>
    <row r="541" spans="1:15" x14ac:dyDescent="0.45">
      <c r="A541" s="12" t="s">
        <v>30497</v>
      </c>
      <c r="B541" s="14">
        <v>465000</v>
      </c>
      <c r="C541" s="14">
        <v>520000</v>
      </c>
      <c r="D541" s="14">
        <v>341800</v>
      </c>
      <c r="E541" s="14">
        <v>382200</v>
      </c>
      <c r="F541" s="14">
        <v>265100</v>
      </c>
      <c r="G541" s="14">
        <v>296400</v>
      </c>
      <c r="H541" s="14">
        <v>159000</v>
      </c>
      <c r="I541" s="14">
        <v>197000</v>
      </c>
      <c r="J541" s="14">
        <v>5230</v>
      </c>
      <c r="K541" s="14">
        <v>6580</v>
      </c>
      <c r="N541" s="42">
        <f t="shared" si="32"/>
        <v>55000</v>
      </c>
      <c r="O541" s="43">
        <f t="shared" si="33"/>
        <v>0.10576923076923077</v>
      </c>
    </row>
    <row r="542" spans="1:15" x14ac:dyDescent="0.45">
      <c r="A542" s="12" t="s">
        <v>30498</v>
      </c>
      <c r="B542" s="14">
        <v>464000</v>
      </c>
      <c r="C542" s="14">
        <v>519000</v>
      </c>
      <c r="D542" s="14">
        <v>341100</v>
      </c>
      <c r="E542" s="14">
        <v>381465</v>
      </c>
      <c r="F542" s="14">
        <v>264500</v>
      </c>
      <c r="G542" s="14">
        <v>295830</v>
      </c>
      <c r="H542" s="14">
        <v>162000</v>
      </c>
      <c r="I542" s="14">
        <v>200000</v>
      </c>
      <c r="J542" s="14">
        <v>5300</v>
      </c>
      <c r="K542" s="14">
        <v>6670</v>
      </c>
      <c r="N542" s="42">
        <f t="shared" si="32"/>
        <v>55000</v>
      </c>
      <c r="O542" s="43">
        <f t="shared" si="33"/>
        <v>0.10597302504816955</v>
      </c>
    </row>
    <row r="543" spans="1:15" x14ac:dyDescent="0.45">
      <c r="A543" s="12" t="s">
        <v>30499</v>
      </c>
      <c r="B543" s="14">
        <v>465000</v>
      </c>
      <c r="C543" s="14">
        <v>521000</v>
      </c>
      <c r="D543" s="14">
        <v>341800</v>
      </c>
      <c r="E543" s="14">
        <v>382935</v>
      </c>
      <c r="F543" s="14">
        <v>265100</v>
      </c>
      <c r="G543" s="14">
        <v>296970</v>
      </c>
      <c r="H543" s="14">
        <v>162000</v>
      </c>
      <c r="I543" s="14">
        <v>200000</v>
      </c>
      <c r="J543" s="14">
        <v>5390</v>
      </c>
      <c r="K543" s="14">
        <v>6780</v>
      </c>
      <c r="N543" s="42">
        <f t="shared" si="32"/>
        <v>56000</v>
      </c>
      <c r="O543" s="43">
        <f t="shared" si="33"/>
        <v>0.10748560460652591</v>
      </c>
    </row>
    <row r="544" spans="1:15" x14ac:dyDescent="0.45">
      <c r="A544" s="12" t="s">
        <v>30500</v>
      </c>
      <c r="B544" s="14">
        <v>459000</v>
      </c>
      <c r="C544" s="14">
        <v>516000</v>
      </c>
      <c r="D544" s="14">
        <v>337400</v>
      </c>
      <c r="E544" s="14">
        <v>379260</v>
      </c>
      <c r="F544" s="14">
        <v>261700</v>
      </c>
      <c r="G544" s="14">
        <v>294120</v>
      </c>
      <c r="H544" s="14">
        <v>158000</v>
      </c>
      <c r="I544" s="14">
        <v>196000</v>
      </c>
      <c r="J544" s="14">
        <v>5260</v>
      </c>
      <c r="K544" s="14">
        <v>6620</v>
      </c>
      <c r="N544" s="42">
        <f t="shared" si="32"/>
        <v>57000</v>
      </c>
      <c r="O544" s="43">
        <f t="shared" si="33"/>
        <v>0.11046511627906977</v>
      </c>
    </row>
    <row r="545" spans="1:15" x14ac:dyDescent="0.45">
      <c r="A545" s="12" t="s">
        <v>30501</v>
      </c>
      <c r="B545" s="14">
        <v>448000</v>
      </c>
      <c r="C545" s="14">
        <v>515000</v>
      </c>
      <c r="D545" s="14">
        <v>329300</v>
      </c>
      <c r="E545" s="14">
        <v>378525</v>
      </c>
      <c r="F545" s="14">
        <v>255400</v>
      </c>
      <c r="G545" s="14">
        <v>293550</v>
      </c>
      <c r="H545" s="14">
        <v>159000</v>
      </c>
      <c r="I545" s="14">
        <v>197000</v>
      </c>
      <c r="J545" s="14">
        <v>5280</v>
      </c>
      <c r="K545" s="14">
        <v>6630</v>
      </c>
      <c r="N545" s="42">
        <f t="shared" si="32"/>
        <v>67000</v>
      </c>
      <c r="O545" s="43">
        <f t="shared" si="33"/>
        <v>0.13009708737864079</v>
      </c>
    </row>
    <row r="546" spans="1:15" x14ac:dyDescent="0.45">
      <c r="A546" s="12" t="s">
        <v>30502</v>
      </c>
      <c r="B546" s="14">
        <v>443000</v>
      </c>
      <c r="C546" s="14">
        <v>511000</v>
      </c>
      <c r="D546" s="14">
        <v>325700</v>
      </c>
      <c r="E546" s="14">
        <v>375585</v>
      </c>
      <c r="F546" s="14">
        <v>252600</v>
      </c>
      <c r="G546" s="14">
        <v>291270</v>
      </c>
      <c r="H546" s="14">
        <v>158000</v>
      </c>
      <c r="I546" s="14">
        <v>195000</v>
      </c>
      <c r="J546" s="14">
        <v>5210</v>
      </c>
      <c r="K546" s="14">
        <v>6550</v>
      </c>
      <c r="N546" s="42">
        <f t="shared" si="32"/>
        <v>68000</v>
      </c>
      <c r="O546" s="43">
        <f t="shared" si="33"/>
        <v>0.13307240704500978</v>
      </c>
    </row>
    <row r="547" spans="1:15" x14ac:dyDescent="0.45">
      <c r="A547" s="12" t="s">
        <v>30503</v>
      </c>
      <c r="B547" s="14">
        <v>441000</v>
      </c>
      <c r="C547" s="14">
        <v>508000</v>
      </c>
      <c r="D547" s="14">
        <v>324200</v>
      </c>
      <c r="E547" s="14">
        <v>373380</v>
      </c>
      <c r="F547" s="14">
        <v>251400</v>
      </c>
      <c r="G547" s="14">
        <v>289560</v>
      </c>
      <c r="H547" s="14">
        <v>156000</v>
      </c>
      <c r="I547" s="14">
        <v>192000</v>
      </c>
      <c r="J547" s="14">
        <v>4930</v>
      </c>
      <c r="K547" s="14">
        <v>6200</v>
      </c>
      <c r="N547" s="42">
        <f t="shared" si="32"/>
        <v>67000</v>
      </c>
      <c r="O547" s="43">
        <f t="shared" si="33"/>
        <v>0.13188976377952755</v>
      </c>
    </row>
    <row r="548" spans="1:15" x14ac:dyDescent="0.45">
      <c r="A548" s="12" t="s">
        <v>30504</v>
      </c>
      <c r="B548" s="14">
        <v>437000</v>
      </c>
      <c r="C548" s="14">
        <v>504000</v>
      </c>
      <c r="D548" s="14">
        <v>321200</v>
      </c>
      <c r="E548" s="14">
        <v>370440</v>
      </c>
      <c r="F548" s="14">
        <v>249100</v>
      </c>
      <c r="G548" s="14">
        <v>287280</v>
      </c>
      <c r="H548" s="14">
        <v>155000</v>
      </c>
      <c r="I548" s="14">
        <v>192000</v>
      </c>
      <c r="J548" s="14">
        <v>4880</v>
      </c>
      <c r="K548" s="14">
        <v>6130</v>
      </c>
      <c r="N548" s="42">
        <f t="shared" si="32"/>
        <v>67000</v>
      </c>
      <c r="O548" s="43">
        <f t="shared" si="33"/>
        <v>0.13293650793650794</v>
      </c>
    </row>
    <row r="549" spans="1:15" x14ac:dyDescent="0.45">
      <c r="A549" s="12" t="s">
        <v>30505</v>
      </c>
      <c r="B549" s="14">
        <v>435000</v>
      </c>
      <c r="C549" s="14">
        <v>499000</v>
      </c>
      <c r="D549" s="14">
        <v>319800</v>
      </c>
      <c r="E549" s="14">
        <v>366765</v>
      </c>
      <c r="F549" s="14">
        <v>248000</v>
      </c>
      <c r="G549" s="14">
        <v>284430</v>
      </c>
      <c r="H549" s="14">
        <v>154000</v>
      </c>
      <c r="I549" s="14">
        <v>191000</v>
      </c>
      <c r="J549" s="14">
        <v>4870</v>
      </c>
      <c r="K549" s="14">
        <v>6120</v>
      </c>
      <c r="N549" s="42">
        <f t="shared" si="32"/>
        <v>64000</v>
      </c>
      <c r="O549" s="43">
        <f t="shared" si="33"/>
        <v>0.12825651302605209</v>
      </c>
    </row>
    <row r="550" spans="1:15" x14ac:dyDescent="0.45">
      <c r="A550" s="12" t="s">
        <v>30506</v>
      </c>
      <c r="B550" s="14">
        <v>434000</v>
      </c>
      <c r="C550" s="14">
        <v>493000</v>
      </c>
      <c r="D550" s="14">
        <v>319000</v>
      </c>
      <c r="E550" s="14">
        <v>362355</v>
      </c>
      <c r="F550" s="14">
        <v>247400</v>
      </c>
      <c r="G550" s="14">
        <v>281010</v>
      </c>
      <c r="H550" s="14">
        <v>154000</v>
      </c>
      <c r="I550" s="14">
        <v>190000</v>
      </c>
      <c r="J550" s="14">
        <v>4770</v>
      </c>
      <c r="K550" s="14">
        <v>5990</v>
      </c>
      <c r="N550" s="42">
        <f t="shared" si="32"/>
        <v>59000</v>
      </c>
      <c r="O550" s="43">
        <f t="shared" si="33"/>
        <v>0.11967545638945233</v>
      </c>
    </row>
    <row r="551" spans="1:15" x14ac:dyDescent="0.45">
      <c r="A551" s="12" t="s">
        <v>30507</v>
      </c>
      <c r="B551" s="14">
        <v>435000</v>
      </c>
      <c r="C551" s="14">
        <v>495000</v>
      </c>
      <c r="D551" s="14">
        <v>319800</v>
      </c>
      <c r="E551" s="14">
        <v>363825</v>
      </c>
      <c r="F551" s="14">
        <v>248000</v>
      </c>
      <c r="G551" s="14">
        <v>282150</v>
      </c>
      <c r="H551" s="14">
        <v>151000</v>
      </c>
      <c r="I551" s="14">
        <v>187000</v>
      </c>
      <c r="J551" s="14">
        <v>4820</v>
      </c>
      <c r="K551" s="14">
        <v>6060</v>
      </c>
      <c r="N551" s="42">
        <f t="shared" si="32"/>
        <v>60000</v>
      </c>
      <c r="O551" s="43">
        <f t="shared" si="33"/>
        <v>0.12121212121212122</v>
      </c>
    </row>
    <row r="552" spans="1:15" x14ac:dyDescent="0.45">
      <c r="A552" s="12" t="s">
        <v>30508</v>
      </c>
      <c r="B552" s="14">
        <v>434000</v>
      </c>
      <c r="C552" s="14">
        <v>492000</v>
      </c>
      <c r="D552" s="14">
        <v>319000</v>
      </c>
      <c r="E552" s="14">
        <v>361620</v>
      </c>
      <c r="F552" s="14">
        <v>247400</v>
      </c>
      <c r="G552" s="14">
        <v>280440</v>
      </c>
      <c r="H552" s="14">
        <v>151000</v>
      </c>
      <c r="I552" s="14">
        <v>187000</v>
      </c>
      <c r="J552" s="14">
        <v>4790</v>
      </c>
      <c r="K552" s="14">
        <v>6020</v>
      </c>
      <c r="N552" s="42">
        <f t="shared" si="32"/>
        <v>58000</v>
      </c>
      <c r="O552" s="43">
        <f t="shared" si="33"/>
        <v>0.11788617886178862</v>
      </c>
    </row>
    <row r="553" spans="1:15" x14ac:dyDescent="0.45">
      <c r="A553" s="12" t="s">
        <v>30509</v>
      </c>
      <c r="B553" s="14">
        <v>432000</v>
      </c>
      <c r="C553" s="14">
        <v>488000</v>
      </c>
      <c r="D553" s="14">
        <v>317600</v>
      </c>
      <c r="E553" s="14">
        <v>358680</v>
      </c>
      <c r="F553" s="14">
        <v>246300</v>
      </c>
      <c r="G553" s="14">
        <v>278160</v>
      </c>
      <c r="H553" s="14">
        <v>150000</v>
      </c>
      <c r="I553" s="14">
        <v>185000</v>
      </c>
      <c r="J553" s="14">
        <v>4740</v>
      </c>
      <c r="K553" s="14">
        <v>5960</v>
      </c>
      <c r="N553" s="42">
        <f t="shared" si="32"/>
        <v>56000</v>
      </c>
      <c r="O553" s="43">
        <f t="shared" si="33"/>
        <v>0.11475409836065574</v>
      </c>
    </row>
    <row r="554" spans="1:15" x14ac:dyDescent="0.45">
      <c r="A554" s="12" t="s">
        <v>30510</v>
      </c>
      <c r="B554" s="14">
        <v>429000</v>
      </c>
      <c r="C554" s="14">
        <v>483000</v>
      </c>
      <c r="D554" s="14">
        <v>315400</v>
      </c>
      <c r="E554" s="14">
        <v>355005</v>
      </c>
      <c r="F554" s="14">
        <v>244600</v>
      </c>
      <c r="G554" s="14">
        <v>275310</v>
      </c>
      <c r="H554" s="14">
        <v>147000</v>
      </c>
      <c r="I554" s="14">
        <v>182000</v>
      </c>
      <c r="J554" s="14">
        <v>4640</v>
      </c>
      <c r="K554" s="14">
        <v>5840</v>
      </c>
      <c r="N554" s="42">
        <f t="shared" si="32"/>
        <v>54000</v>
      </c>
      <c r="O554" s="43">
        <f t="shared" si="33"/>
        <v>0.11180124223602485</v>
      </c>
    </row>
    <row r="555" spans="1:15" x14ac:dyDescent="0.45">
      <c r="A555" s="12" t="s">
        <v>30511</v>
      </c>
      <c r="B555" s="14">
        <v>427000</v>
      </c>
      <c r="C555" s="14">
        <v>481000</v>
      </c>
      <c r="D555" s="14">
        <v>313900</v>
      </c>
      <c r="E555" s="14">
        <v>353535</v>
      </c>
      <c r="F555" s="14">
        <v>243400</v>
      </c>
      <c r="G555" s="14">
        <v>274170</v>
      </c>
      <c r="H555" s="14">
        <v>145000</v>
      </c>
      <c r="I555" s="14">
        <v>179000</v>
      </c>
      <c r="J555" s="14">
        <v>4610</v>
      </c>
      <c r="K555" s="14">
        <v>5790</v>
      </c>
      <c r="N555" s="42">
        <f t="shared" si="32"/>
        <v>54000</v>
      </c>
      <c r="O555" s="43">
        <f t="shared" si="33"/>
        <v>0.11226611226611227</v>
      </c>
    </row>
    <row r="556" spans="1:15" x14ac:dyDescent="0.45">
      <c r="A556" s="12" t="s">
        <v>30512</v>
      </c>
      <c r="B556" s="14">
        <v>430000</v>
      </c>
      <c r="C556" s="14">
        <v>487000</v>
      </c>
      <c r="D556" s="14">
        <v>316100</v>
      </c>
      <c r="E556" s="14">
        <v>357945</v>
      </c>
      <c r="F556" s="14">
        <v>245100</v>
      </c>
      <c r="G556" s="14">
        <v>277590</v>
      </c>
      <c r="H556" s="14">
        <v>149000</v>
      </c>
      <c r="I556" s="14">
        <v>184000</v>
      </c>
      <c r="J556" s="14">
        <v>4800</v>
      </c>
      <c r="K556" s="14">
        <v>6040</v>
      </c>
      <c r="N556" s="42">
        <f t="shared" si="32"/>
        <v>57000</v>
      </c>
      <c r="O556" s="43">
        <f t="shared" si="33"/>
        <v>0.11704312114989733</v>
      </c>
    </row>
    <row r="557" spans="1:15" x14ac:dyDescent="0.45">
      <c r="A557" s="12" t="s">
        <v>30513</v>
      </c>
      <c r="B557" s="14">
        <v>430000</v>
      </c>
      <c r="C557" s="14">
        <v>489000</v>
      </c>
      <c r="D557" s="14">
        <v>316100</v>
      </c>
      <c r="E557" s="14">
        <v>359415</v>
      </c>
      <c r="F557" s="14">
        <v>245100</v>
      </c>
      <c r="G557" s="14">
        <v>278730</v>
      </c>
      <c r="H557" s="14">
        <v>151000</v>
      </c>
      <c r="I557" s="14">
        <v>187000</v>
      </c>
      <c r="J557" s="14">
        <v>4870</v>
      </c>
      <c r="K557" s="14">
        <v>6120</v>
      </c>
      <c r="N557" s="42">
        <f t="shared" ref="N557:N620" si="34">C557-B557</f>
        <v>59000</v>
      </c>
      <c r="O557" s="43">
        <f t="shared" ref="O557:O620" si="35">N557/C557</f>
        <v>0.12065439672801637</v>
      </c>
    </row>
    <row r="558" spans="1:15" x14ac:dyDescent="0.45">
      <c r="A558" s="12" t="s">
        <v>30514</v>
      </c>
      <c r="B558" s="14">
        <v>428000</v>
      </c>
      <c r="C558" s="14">
        <v>490000</v>
      </c>
      <c r="D558" s="14">
        <v>314600</v>
      </c>
      <c r="E558" s="14">
        <v>360150</v>
      </c>
      <c r="F558" s="14">
        <v>244000</v>
      </c>
      <c r="G558" s="14">
        <v>279300</v>
      </c>
      <c r="H558" s="14">
        <v>152000</v>
      </c>
      <c r="I558" s="14">
        <v>187000</v>
      </c>
      <c r="J558" s="14">
        <v>4880</v>
      </c>
      <c r="K558" s="14">
        <v>6140</v>
      </c>
      <c r="N558" s="42">
        <f t="shared" si="34"/>
        <v>62000</v>
      </c>
      <c r="O558" s="43">
        <f t="shared" si="35"/>
        <v>0.12653061224489795</v>
      </c>
    </row>
    <row r="559" spans="1:15" x14ac:dyDescent="0.45">
      <c r="A559" s="12" t="s">
        <v>30515</v>
      </c>
      <c r="B559" s="14">
        <v>427000</v>
      </c>
      <c r="C559" s="14">
        <v>487000</v>
      </c>
      <c r="D559" s="14">
        <v>313900</v>
      </c>
      <c r="E559" s="14">
        <v>357945</v>
      </c>
      <c r="F559" s="14">
        <v>243400</v>
      </c>
      <c r="G559" s="14">
        <v>277590</v>
      </c>
      <c r="H559" s="14">
        <v>152000</v>
      </c>
      <c r="I559" s="14">
        <v>188000</v>
      </c>
      <c r="J559" s="14">
        <v>4840</v>
      </c>
      <c r="K559" s="14">
        <v>6080</v>
      </c>
      <c r="N559" s="42">
        <f t="shared" si="34"/>
        <v>60000</v>
      </c>
      <c r="O559" s="43">
        <f t="shared" si="35"/>
        <v>0.12320328542094455</v>
      </c>
    </row>
    <row r="560" spans="1:15" x14ac:dyDescent="0.45">
      <c r="A560" s="12" t="s">
        <v>30516</v>
      </c>
      <c r="B560" s="14">
        <v>423000</v>
      </c>
      <c r="C560" s="14">
        <v>484000</v>
      </c>
      <c r="D560" s="14">
        <v>311000</v>
      </c>
      <c r="E560" s="14">
        <v>355740</v>
      </c>
      <c r="F560" s="14">
        <v>241200</v>
      </c>
      <c r="G560" s="14">
        <v>275880</v>
      </c>
      <c r="H560" s="14">
        <v>151000</v>
      </c>
      <c r="I560" s="14">
        <v>187000</v>
      </c>
      <c r="J560" s="14">
        <v>4750</v>
      </c>
      <c r="K560" s="14">
        <v>5970</v>
      </c>
      <c r="N560" s="42">
        <f t="shared" si="34"/>
        <v>61000</v>
      </c>
      <c r="O560" s="43">
        <f t="shared" si="35"/>
        <v>0.12603305785123967</v>
      </c>
    </row>
    <row r="561" spans="1:15" x14ac:dyDescent="0.45">
      <c r="A561" s="12" t="s">
        <v>30517</v>
      </c>
      <c r="B561" s="14">
        <v>423000</v>
      </c>
      <c r="C561" s="14">
        <v>482000</v>
      </c>
      <c r="D561" s="14">
        <v>311000</v>
      </c>
      <c r="E561" s="14">
        <v>354270</v>
      </c>
      <c r="F561" s="14">
        <v>241200</v>
      </c>
      <c r="G561" s="14">
        <v>274740</v>
      </c>
      <c r="H561" s="14">
        <v>149000</v>
      </c>
      <c r="I561" s="14">
        <v>184000</v>
      </c>
      <c r="J561" s="14">
        <v>4660</v>
      </c>
      <c r="K561" s="14">
        <v>5870</v>
      </c>
      <c r="N561" s="42">
        <f t="shared" si="34"/>
        <v>59000</v>
      </c>
      <c r="O561" s="43">
        <f t="shared" si="35"/>
        <v>0.12240663900414937</v>
      </c>
    </row>
    <row r="562" spans="1:15" x14ac:dyDescent="0.45">
      <c r="A562" s="12" t="s">
        <v>30518</v>
      </c>
      <c r="B562" s="14">
        <v>421000</v>
      </c>
      <c r="C562" s="14">
        <v>477000</v>
      </c>
      <c r="D562" s="14">
        <v>309500</v>
      </c>
      <c r="E562" s="14">
        <v>350595</v>
      </c>
      <c r="F562" s="14">
        <v>240000</v>
      </c>
      <c r="G562" s="14">
        <v>271890</v>
      </c>
      <c r="H562" s="14">
        <v>148000</v>
      </c>
      <c r="I562" s="14">
        <v>183000</v>
      </c>
      <c r="J562" s="14">
        <v>4640</v>
      </c>
      <c r="K562" s="14">
        <v>5830</v>
      </c>
      <c r="N562" s="42">
        <f t="shared" si="34"/>
        <v>56000</v>
      </c>
      <c r="O562" s="43">
        <f t="shared" si="35"/>
        <v>0.11740041928721175</v>
      </c>
    </row>
    <row r="563" spans="1:15" x14ac:dyDescent="0.45">
      <c r="A563" s="12" t="s">
        <v>30519</v>
      </c>
      <c r="B563" s="14">
        <v>421000</v>
      </c>
      <c r="C563" s="14">
        <v>478000</v>
      </c>
      <c r="D563" s="14">
        <v>309500</v>
      </c>
      <c r="E563" s="14">
        <v>351330</v>
      </c>
      <c r="F563" s="14">
        <v>240000</v>
      </c>
      <c r="G563" s="14">
        <v>272460</v>
      </c>
      <c r="H563" s="14">
        <v>150000</v>
      </c>
      <c r="I563" s="14">
        <v>185000</v>
      </c>
      <c r="J563" s="14">
        <v>4670</v>
      </c>
      <c r="K563" s="14">
        <v>5870</v>
      </c>
      <c r="N563" s="42">
        <f t="shared" si="34"/>
        <v>57000</v>
      </c>
      <c r="O563" s="43">
        <f t="shared" si="35"/>
        <v>0.1192468619246862</v>
      </c>
    </row>
    <row r="564" spans="1:15" x14ac:dyDescent="0.45">
      <c r="A564" s="12" t="s">
        <v>30520</v>
      </c>
      <c r="B564" s="14">
        <v>419000</v>
      </c>
      <c r="C564" s="14">
        <v>478000</v>
      </c>
      <c r="D564" s="14">
        <v>308000</v>
      </c>
      <c r="E564" s="14">
        <v>351330</v>
      </c>
      <c r="F564" s="14">
        <v>238900</v>
      </c>
      <c r="G564" s="14">
        <v>272460</v>
      </c>
      <c r="H564" s="14">
        <v>149000</v>
      </c>
      <c r="I564" s="14">
        <v>185000</v>
      </c>
      <c r="J564" s="14">
        <v>4680</v>
      </c>
      <c r="K564" s="14">
        <v>5880</v>
      </c>
      <c r="N564" s="42">
        <f t="shared" si="34"/>
        <v>59000</v>
      </c>
      <c r="O564" s="43">
        <f t="shared" si="35"/>
        <v>0.12343096234309624</v>
      </c>
    </row>
    <row r="565" spans="1:15" x14ac:dyDescent="0.45">
      <c r="A565" s="12" t="s">
        <v>30521</v>
      </c>
      <c r="B565" s="14">
        <v>422000</v>
      </c>
      <c r="C565" s="14">
        <v>483000</v>
      </c>
      <c r="D565" s="14">
        <v>310200</v>
      </c>
      <c r="E565" s="14">
        <v>355005</v>
      </c>
      <c r="F565" s="14">
        <v>240600</v>
      </c>
      <c r="G565" s="14">
        <v>275310</v>
      </c>
      <c r="H565" s="14">
        <v>151000</v>
      </c>
      <c r="I565" s="14">
        <v>187000</v>
      </c>
      <c r="J565" s="14">
        <v>4740</v>
      </c>
      <c r="K565" s="14">
        <v>5960</v>
      </c>
      <c r="N565" s="42">
        <f t="shared" si="34"/>
        <v>61000</v>
      </c>
      <c r="O565" s="43">
        <f t="shared" si="35"/>
        <v>0.12629399585921325</v>
      </c>
    </row>
    <row r="566" spans="1:15" x14ac:dyDescent="0.45">
      <c r="A566" s="12" t="s">
        <v>30522</v>
      </c>
      <c r="B566" s="14">
        <v>422000</v>
      </c>
      <c r="C566" s="14">
        <v>485000</v>
      </c>
      <c r="D566" s="14">
        <v>310200</v>
      </c>
      <c r="E566" s="14">
        <v>356475</v>
      </c>
      <c r="F566" s="14">
        <v>240600</v>
      </c>
      <c r="G566" s="14">
        <v>276450</v>
      </c>
      <c r="H566" s="14">
        <v>150000</v>
      </c>
      <c r="I566" s="14">
        <v>186000</v>
      </c>
      <c r="J566" s="14">
        <v>4780</v>
      </c>
      <c r="K566" s="14">
        <v>6010</v>
      </c>
      <c r="N566" s="42">
        <f t="shared" si="34"/>
        <v>63000</v>
      </c>
      <c r="O566" s="43">
        <f t="shared" si="35"/>
        <v>0.12989690721649486</v>
      </c>
    </row>
    <row r="567" spans="1:15" x14ac:dyDescent="0.45">
      <c r="A567" s="12" t="s">
        <v>30523</v>
      </c>
      <c r="B567" s="14">
        <v>420000</v>
      </c>
      <c r="C567" s="14">
        <v>484000</v>
      </c>
      <c r="D567" s="14">
        <v>308700</v>
      </c>
      <c r="E567" s="14">
        <v>355740</v>
      </c>
      <c r="F567" s="14">
        <v>239400</v>
      </c>
      <c r="G567" s="14">
        <v>275880</v>
      </c>
      <c r="H567" s="14">
        <v>149000</v>
      </c>
      <c r="I567" s="14">
        <v>184000</v>
      </c>
      <c r="J567" s="14">
        <v>4790</v>
      </c>
      <c r="K567" s="14">
        <v>6020</v>
      </c>
      <c r="N567" s="42">
        <f t="shared" si="34"/>
        <v>64000</v>
      </c>
      <c r="O567" s="43">
        <f t="shared" si="35"/>
        <v>0.13223140495867769</v>
      </c>
    </row>
    <row r="568" spans="1:15" x14ac:dyDescent="0.45">
      <c r="A568" s="12" t="s">
        <v>30524</v>
      </c>
      <c r="B568" s="14">
        <v>419000</v>
      </c>
      <c r="C568" s="14">
        <v>482000</v>
      </c>
      <c r="D568" s="14">
        <v>308000</v>
      </c>
      <c r="E568" s="14">
        <v>354270</v>
      </c>
      <c r="F568" s="14">
        <v>238900</v>
      </c>
      <c r="G568" s="14">
        <v>274740</v>
      </c>
      <c r="H568" s="14">
        <v>146000</v>
      </c>
      <c r="I568" s="14">
        <v>181000</v>
      </c>
      <c r="J568" s="14">
        <v>4670</v>
      </c>
      <c r="K568" s="14">
        <v>5870</v>
      </c>
      <c r="N568" s="42">
        <f t="shared" si="34"/>
        <v>63000</v>
      </c>
      <c r="O568" s="43">
        <f t="shared" si="35"/>
        <v>0.13070539419087138</v>
      </c>
    </row>
    <row r="569" spans="1:15" x14ac:dyDescent="0.45">
      <c r="A569" s="12" t="s">
        <v>30525</v>
      </c>
      <c r="B569" s="14">
        <v>416000</v>
      </c>
      <c r="C569" s="14">
        <v>482000</v>
      </c>
      <c r="D569" s="14">
        <v>305800</v>
      </c>
      <c r="E569" s="14">
        <v>354270</v>
      </c>
      <c r="F569" s="14">
        <v>237200</v>
      </c>
      <c r="G569" s="14">
        <v>274740</v>
      </c>
      <c r="H569" s="14">
        <v>147000</v>
      </c>
      <c r="I569" s="14">
        <v>182000</v>
      </c>
      <c r="J569" s="14">
        <v>4680</v>
      </c>
      <c r="K569" s="14">
        <v>5890</v>
      </c>
      <c r="N569" s="42">
        <f t="shared" si="34"/>
        <v>66000</v>
      </c>
      <c r="O569" s="43">
        <f t="shared" si="35"/>
        <v>0.13692946058091288</v>
      </c>
    </row>
    <row r="570" spans="1:15" x14ac:dyDescent="0.45">
      <c r="A570" s="12" t="s">
        <v>30526</v>
      </c>
      <c r="B570" s="14">
        <v>413000</v>
      </c>
      <c r="C570" s="14">
        <v>479000</v>
      </c>
      <c r="D570" s="14">
        <v>303600</v>
      </c>
      <c r="E570" s="14">
        <v>352065</v>
      </c>
      <c r="F570" s="14">
        <v>235500</v>
      </c>
      <c r="G570" s="14">
        <v>273030</v>
      </c>
      <c r="H570" s="14">
        <v>148000</v>
      </c>
      <c r="I570" s="14">
        <v>183000</v>
      </c>
      <c r="J570" s="14">
        <v>4680</v>
      </c>
      <c r="K570" s="14">
        <v>5880</v>
      </c>
      <c r="N570" s="42">
        <f t="shared" si="34"/>
        <v>66000</v>
      </c>
      <c r="O570" s="43">
        <f t="shared" si="35"/>
        <v>0.13778705636743216</v>
      </c>
    </row>
    <row r="571" spans="1:15" x14ac:dyDescent="0.45">
      <c r="A571" s="12" t="s">
        <v>30527</v>
      </c>
      <c r="B571" s="14">
        <v>410000</v>
      </c>
      <c r="C571" s="14">
        <v>476000</v>
      </c>
      <c r="D571" s="14">
        <v>301400</v>
      </c>
      <c r="E571" s="14">
        <v>349860</v>
      </c>
      <c r="F571" s="14">
        <v>233700</v>
      </c>
      <c r="G571" s="14">
        <v>271320</v>
      </c>
      <c r="H571" s="14">
        <v>149000</v>
      </c>
      <c r="I571" s="14">
        <v>185000</v>
      </c>
      <c r="J571" s="14">
        <v>4670</v>
      </c>
      <c r="K571" s="14">
        <v>5870</v>
      </c>
      <c r="N571" s="42">
        <f t="shared" si="34"/>
        <v>66000</v>
      </c>
      <c r="O571" s="43">
        <f t="shared" si="35"/>
        <v>0.13865546218487396</v>
      </c>
    </row>
    <row r="572" spans="1:15" x14ac:dyDescent="0.45">
      <c r="A572" s="12" t="s">
        <v>30528</v>
      </c>
      <c r="B572" s="14">
        <v>407000</v>
      </c>
      <c r="C572" s="14">
        <v>468000</v>
      </c>
      <c r="D572" s="14">
        <v>299200</v>
      </c>
      <c r="E572" s="14">
        <v>343980</v>
      </c>
      <c r="F572" s="14">
        <v>232000</v>
      </c>
      <c r="G572" s="14">
        <v>266760</v>
      </c>
      <c r="H572" s="14">
        <v>147000</v>
      </c>
      <c r="I572" s="14">
        <v>182000</v>
      </c>
      <c r="J572" s="14">
        <v>4560</v>
      </c>
      <c r="K572" s="14">
        <v>5740</v>
      </c>
      <c r="N572" s="42">
        <f t="shared" si="34"/>
        <v>61000</v>
      </c>
      <c r="O572" s="43">
        <f t="shared" si="35"/>
        <v>0.13034188034188035</v>
      </c>
    </row>
    <row r="573" spans="1:15" x14ac:dyDescent="0.45">
      <c r="A573" s="12" t="s">
        <v>30529</v>
      </c>
      <c r="B573" s="14">
        <v>405000</v>
      </c>
      <c r="C573" s="14">
        <v>466000</v>
      </c>
      <c r="D573" s="14">
        <v>297700</v>
      </c>
      <c r="E573" s="14">
        <v>342510</v>
      </c>
      <c r="F573" s="14">
        <v>230900</v>
      </c>
      <c r="G573" s="14">
        <v>265620</v>
      </c>
      <c r="H573" s="14">
        <v>148000</v>
      </c>
      <c r="I573" s="14">
        <v>183000</v>
      </c>
      <c r="J573" s="14">
        <v>4560</v>
      </c>
      <c r="K573" s="14">
        <v>5730</v>
      </c>
      <c r="N573" s="42">
        <f t="shared" si="34"/>
        <v>61000</v>
      </c>
      <c r="O573" s="43">
        <f t="shared" si="35"/>
        <v>0.13090128755364808</v>
      </c>
    </row>
    <row r="574" spans="1:15" x14ac:dyDescent="0.45">
      <c r="A574" s="12" t="s">
        <v>30530</v>
      </c>
      <c r="B574" s="14">
        <v>407000</v>
      </c>
      <c r="C574" s="14">
        <v>468000</v>
      </c>
      <c r="D574" s="14">
        <v>299200</v>
      </c>
      <c r="E574" s="14">
        <v>343980</v>
      </c>
      <c r="F574" s="14">
        <v>232000</v>
      </c>
      <c r="G574" s="14">
        <v>266760</v>
      </c>
      <c r="H574" s="14">
        <v>148000</v>
      </c>
      <c r="I574" s="14">
        <v>183000</v>
      </c>
      <c r="J574" s="14">
        <v>4570</v>
      </c>
      <c r="K574" s="14">
        <v>5740</v>
      </c>
      <c r="N574" s="42">
        <f t="shared" si="34"/>
        <v>61000</v>
      </c>
      <c r="O574" s="43">
        <f t="shared" si="35"/>
        <v>0.13034188034188035</v>
      </c>
    </row>
    <row r="575" spans="1:15" x14ac:dyDescent="0.45">
      <c r="A575" s="12" t="s">
        <v>30531</v>
      </c>
      <c r="B575" s="14">
        <v>407000</v>
      </c>
      <c r="C575" s="14">
        <v>469000</v>
      </c>
      <c r="D575" s="14">
        <v>299200</v>
      </c>
      <c r="E575" s="14">
        <v>344715</v>
      </c>
      <c r="F575" s="14">
        <v>232000</v>
      </c>
      <c r="G575" s="14">
        <v>267330</v>
      </c>
      <c r="H575" s="14">
        <v>150000</v>
      </c>
      <c r="I575" s="14">
        <v>186000</v>
      </c>
      <c r="J575" s="14">
        <v>4610</v>
      </c>
      <c r="K575" s="14">
        <v>5790</v>
      </c>
      <c r="N575" s="42">
        <f t="shared" si="34"/>
        <v>62000</v>
      </c>
      <c r="O575" s="43">
        <f t="shared" si="35"/>
        <v>0.13219616204690832</v>
      </c>
    </row>
    <row r="576" spans="1:15" x14ac:dyDescent="0.45">
      <c r="A576" s="12" t="s">
        <v>30532</v>
      </c>
      <c r="B576" s="14">
        <v>407000</v>
      </c>
      <c r="C576" s="14">
        <v>470000</v>
      </c>
      <c r="D576" s="14">
        <v>299200</v>
      </c>
      <c r="E576" s="14">
        <v>345450</v>
      </c>
      <c r="F576" s="14">
        <v>232000</v>
      </c>
      <c r="G576" s="14">
        <v>267900</v>
      </c>
      <c r="H576" s="14">
        <v>151000</v>
      </c>
      <c r="I576" s="14">
        <v>186000</v>
      </c>
      <c r="J576" s="14">
        <v>4600</v>
      </c>
      <c r="K576" s="14">
        <v>5780</v>
      </c>
      <c r="N576" s="42">
        <f t="shared" si="34"/>
        <v>63000</v>
      </c>
      <c r="O576" s="43">
        <f t="shared" si="35"/>
        <v>0.13404255319148936</v>
      </c>
    </row>
    <row r="577" spans="1:15" x14ac:dyDescent="0.45">
      <c r="A577" s="12" t="s">
        <v>30533</v>
      </c>
      <c r="B577" s="14">
        <v>407000</v>
      </c>
      <c r="C577" s="14">
        <v>468000</v>
      </c>
      <c r="D577" s="14">
        <v>299200</v>
      </c>
      <c r="E577" s="14">
        <v>343980</v>
      </c>
      <c r="F577" s="14">
        <v>232000</v>
      </c>
      <c r="G577" s="14">
        <v>266760</v>
      </c>
      <c r="H577" s="14">
        <v>149000</v>
      </c>
      <c r="I577" s="14">
        <v>184000</v>
      </c>
      <c r="J577" s="14">
        <v>4490</v>
      </c>
      <c r="K577" s="14">
        <v>5650</v>
      </c>
      <c r="N577" s="42">
        <f t="shared" si="34"/>
        <v>61000</v>
      </c>
      <c r="O577" s="43">
        <f t="shared" si="35"/>
        <v>0.13034188034188035</v>
      </c>
    </row>
    <row r="578" spans="1:15" x14ac:dyDescent="0.45">
      <c r="A578" s="12" t="s">
        <v>30534</v>
      </c>
      <c r="B578" s="14">
        <v>406000</v>
      </c>
      <c r="C578" s="14">
        <v>461000</v>
      </c>
      <c r="D578" s="14">
        <v>298500</v>
      </c>
      <c r="E578" s="14">
        <v>338835</v>
      </c>
      <c r="F578" s="14">
        <v>231500</v>
      </c>
      <c r="G578" s="14">
        <v>262770</v>
      </c>
      <c r="H578" s="14">
        <v>146000</v>
      </c>
      <c r="I578" s="14">
        <v>180000</v>
      </c>
      <c r="J578" s="14">
        <v>4330</v>
      </c>
      <c r="K578" s="14">
        <v>5440</v>
      </c>
      <c r="N578" s="42">
        <f t="shared" si="34"/>
        <v>55000</v>
      </c>
      <c r="O578" s="43">
        <f t="shared" si="35"/>
        <v>0.1193058568329718</v>
      </c>
    </row>
    <row r="579" spans="1:15" x14ac:dyDescent="0.45">
      <c r="A579" s="12" t="s">
        <v>30535</v>
      </c>
      <c r="B579" s="14">
        <v>407000</v>
      </c>
      <c r="C579" s="14">
        <v>463000</v>
      </c>
      <c r="D579" s="14">
        <v>299200</v>
      </c>
      <c r="E579" s="14">
        <v>340305</v>
      </c>
      <c r="F579" s="14">
        <v>232000</v>
      </c>
      <c r="G579" s="14">
        <v>263910</v>
      </c>
      <c r="H579" s="14">
        <v>143000</v>
      </c>
      <c r="I579" s="14">
        <v>177000</v>
      </c>
      <c r="J579" s="14">
        <v>4290</v>
      </c>
      <c r="K579" s="14">
        <v>5400</v>
      </c>
      <c r="N579" s="42">
        <f t="shared" si="34"/>
        <v>56000</v>
      </c>
      <c r="O579" s="43">
        <f t="shared" si="35"/>
        <v>0.12095032397408208</v>
      </c>
    </row>
    <row r="580" spans="1:15" x14ac:dyDescent="0.45">
      <c r="A580" s="12" t="s">
        <v>30536</v>
      </c>
      <c r="B580" s="14">
        <v>406000</v>
      </c>
      <c r="C580" s="14">
        <v>462000</v>
      </c>
      <c r="D580" s="14">
        <v>298500</v>
      </c>
      <c r="E580" s="14">
        <v>339570</v>
      </c>
      <c r="F580" s="14">
        <v>231500</v>
      </c>
      <c r="G580" s="14">
        <v>263340</v>
      </c>
      <c r="H580" s="14">
        <v>144000</v>
      </c>
      <c r="I580" s="14">
        <v>178000</v>
      </c>
      <c r="J580" s="14">
        <v>4280</v>
      </c>
      <c r="K580" s="14">
        <v>5390</v>
      </c>
      <c r="N580" s="42">
        <f t="shared" si="34"/>
        <v>56000</v>
      </c>
      <c r="O580" s="43">
        <f t="shared" si="35"/>
        <v>0.12121212121212122</v>
      </c>
    </row>
    <row r="581" spans="1:15" x14ac:dyDescent="0.45">
      <c r="A581" s="12" t="s">
        <v>30537</v>
      </c>
      <c r="B581" s="14">
        <v>404000</v>
      </c>
      <c r="C581" s="14">
        <v>458000</v>
      </c>
      <c r="D581" s="14">
        <v>297000</v>
      </c>
      <c r="E581" s="14">
        <v>336630</v>
      </c>
      <c r="F581" s="14">
        <v>230300</v>
      </c>
      <c r="G581" s="14">
        <v>261059</v>
      </c>
      <c r="H581" s="14">
        <v>141000</v>
      </c>
      <c r="I581" s="14">
        <v>175000</v>
      </c>
      <c r="J581" s="14">
        <v>4220</v>
      </c>
      <c r="K581" s="14">
        <v>5310</v>
      </c>
      <c r="N581" s="42">
        <f t="shared" si="34"/>
        <v>54000</v>
      </c>
      <c r="O581" s="43">
        <f t="shared" si="35"/>
        <v>0.11790393013100436</v>
      </c>
    </row>
    <row r="582" spans="1:15" x14ac:dyDescent="0.45">
      <c r="A582" s="12" t="s">
        <v>30538</v>
      </c>
      <c r="B582" s="14">
        <v>404000</v>
      </c>
      <c r="C582" s="14">
        <v>459000</v>
      </c>
      <c r="D582" s="14">
        <v>297000</v>
      </c>
      <c r="E582" s="14">
        <v>337365</v>
      </c>
      <c r="F582" s="14">
        <v>230300</v>
      </c>
      <c r="G582" s="14">
        <v>261629</v>
      </c>
      <c r="H582" s="14">
        <v>141000</v>
      </c>
      <c r="I582" s="14">
        <v>174000</v>
      </c>
      <c r="J582" s="14">
        <v>4220</v>
      </c>
      <c r="K582" s="14">
        <v>5310</v>
      </c>
      <c r="N582" s="42">
        <f t="shared" si="34"/>
        <v>55000</v>
      </c>
      <c r="O582" s="43">
        <f t="shared" si="35"/>
        <v>0.11982570806100218</v>
      </c>
    </row>
    <row r="583" spans="1:15" x14ac:dyDescent="0.45">
      <c r="A583" s="12" t="s">
        <v>30539</v>
      </c>
      <c r="B583" s="14">
        <v>404000</v>
      </c>
      <c r="C583" s="14">
        <v>459000</v>
      </c>
      <c r="D583" s="14">
        <v>297000</v>
      </c>
      <c r="E583" s="14">
        <v>337365</v>
      </c>
      <c r="F583" s="14">
        <v>230300</v>
      </c>
      <c r="G583" s="14">
        <v>261629</v>
      </c>
      <c r="H583" s="14">
        <v>141000</v>
      </c>
      <c r="I583" s="14">
        <v>174000</v>
      </c>
      <c r="J583" s="14">
        <v>4320</v>
      </c>
      <c r="K583" s="14">
        <v>5430</v>
      </c>
      <c r="N583" s="42">
        <f t="shared" si="34"/>
        <v>55000</v>
      </c>
      <c r="O583" s="43">
        <f t="shared" si="35"/>
        <v>0.11982570806100218</v>
      </c>
    </row>
    <row r="584" spans="1:15" x14ac:dyDescent="0.45">
      <c r="A584" s="12" t="s">
        <v>30540</v>
      </c>
      <c r="B584" s="14">
        <v>403000</v>
      </c>
      <c r="C584" s="14">
        <v>457000</v>
      </c>
      <c r="D584" s="14">
        <v>296300</v>
      </c>
      <c r="E584" s="14">
        <v>335895</v>
      </c>
      <c r="F584" s="14">
        <v>229800</v>
      </c>
      <c r="G584" s="14">
        <v>260489</v>
      </c>
      <c r="H584" s="14">
        <v>138000</v>
      </c>
      <c r="I584" s="14">
        <v>170000</v>
      </c>
      <c r="J584" s="14">
        <v>4250</v>
      </c>
      <c r="K584" s="14">
        <v>5340</v>
      </c>
      <c r="N584" s="42">
        <f t="shared" si="34"/>
        <v>54000</v>
      </c>
      <c r="O584" s="43">
        <f t="shared" si="35"/>
        <v>0.11816192560175055</v>
      </c>
    </row>
    <row r="585" spans="1:15" x14ac:dyDescent="0.45">
      <c r="A585" s="12" t="s">
        <v>30541</v>
      </c>
      <c r="B585" s="14">
        <v>404000</v>
      </c>
      <c r="C585" s="14">
        <v>458000</v>
      </c>
      <c r="D585" s="14">
        <v>297000</v>
      </c>
      <c r="E585" s="14">
        <v>336630</v>
      </c>
      <c r="F585" s="14">
        <v>230300</v>
      </c>
      <c r="G585" s="14">
        <v>261059</v>
      </c>
      <c r="H585" s="14">
        <v>138000</v>
      </c>
      <c r="I585" s="14">
        <v>170000</v>
      </c>
      <c r="J585" s="14">
        <v>4230</v>
      </c>
      <c r="K585" s="14">
        <v>5320</v>
      </c>
      <c r="N585" s="42">
        <f t="shared" si="34"/>
        <v>54000</v>
      </c>
      <c r="O585" s="43">
        <f t="shared" si="35"/>
        <v>0.11790393013100436</v>
      </c>
    </row>
    <row r="586" spans="1:15" x14ac:dyDescent="0.45">
      <c r="A586" s="12" t="s">
        <v>30542</v>
      </c>
      <c r="B586" s="14">
        <v>405000</v>
      </c>
      <c r="C586" s="14">
        <v>459000</v>
      </c>
      <c r="D586" s="14">
        <v>297700</v>
      </c>
      <c r="E586" s="14">
        <v>337365</v>
      </c>
      <c r="F586" s="14">
        <v>230900</v>
      </c>
      <c r="G586" s="14">
        <v>261629</v>
      </c>
      <c r="H586" s="14">
        <v>140000</v>
      </c>
      <c r="I586" s="14">
        <v>174000</v>
      </c>
      <c r="J586" s="14">
        <v>4310</v>
      </c>
      <c r="K586" s="14">
        <v>5410</v>
      </c>
      <c r="N586" s="42">
        <f t="shared" si="34"/>
        <v>54000</v>
      </c>
      <c r="O586" s="43">
        <f t="shared" si="35"/>
        <v>0.11764705882352941</v>
      </c>
    </row>
    <row r="587" spans="1:15" x14ac:dyDescent="0.45">
      <c r="A587" s="12" t="s">
        <v>30543</v>
      </c>
      <c r="B587" s="14">
        <v>405000</v>
      </c>
      <c r="C587" s="14">
        <v>459000</v>
      </c>
      <c r="D587" s="14">
        <v>297700</v>
      </c>
      <c r="E587" s="14">
        <v>337365</v>
      </c>
      <c r="F587" s="14">
        <v>230900</v>
      </c>
      <c r="G587" s="14">
        <v>261629</v>
      </c>
      <c r="H587" s="14">
        <v>141000</v>
      </c>
      <c r="I587" s="14">
        <v>174000</v>
      </c>
      <c r="J587" s="14">
        <v>4360</v>
      </c>
      <c r="K587" s="14">
        <v>5480</v>
      </c>
      <c r="N587" s="42">
        <f t="shared" si="34"/>
        <v>54000</v>
      </c>
      <c r="O587" s="43">
        <f t="shared" si="35"/>
        <v>0.11764705882352941</v>
      </c>
    </row>
    <row r="588" spans="1:15" x14ac:dyDescent="0.45">
      <c r="A588" s="12" t="s">
        <v>30544</v>
      </c>
      <c r="B588" s="14">
        <v>405000</v>
      </c>
      <c r="C588" s="14">
        <v>459000</v>
      </c>
      <c r="D588" s="14">
        <v>297700</v>
      </c>
      <c r="E588" s="14">
        <v>337365</v>
      </c>
      <c r="F588" s="14">
        <v>230900</v>
      </c>
      <c r="G588" s="14">
        <v>261629</v>
      </c>
      <c r="H588" s="14">
        <v>141000</v>
      </c>
      <c r="I588" s="14">
        <v>175000</v>
      </c>
      <c r="J588" s="14">
        <v>4350</v>
      </c>
      <c r="K588" s="14">
        <v>5470</v>
      </c>
      <c r="N588" s="42">
        <f t="shared" si="34"/>
        <v>54000</v>
      </c>
      <c r="O588" s="43">
        <f t="shared" si="35"/>
        <v>0.11764705882352941</v>
      </c>
    </row>
    <row r="589" spans="1:15" x14ac:dyDescent="0.45">
      <c r="A589" s="12" t="s">
        <v>30545</v>
      </c>
      <c r="B589" s="14">
        <v>405000</v>
      </c>
      <c r="C589" s="14">
        <v>461000</v>
      </c>
      <c r="D589" s="14">
        <v>297700</v>
      </c>
      <c r="E589" s="14">
        <v>338835</v>
      </c>
      <c r="F589" s="14">
        <v>230900</v>
      </c>
      <c r="G589" s="14">
        <v>262770</v>
      </c>
      <c r="H589" s="14">
        <v>143000</v>
      </c>
      <c r="I589" s="14">
        <v>176000</v>
      </c>
      <c r="J589" s="14">
        <v>4420</v>
      </c>
      <c r="K589" s="14">
        <v>5560</v>
      </c>
      <c r="N589" s="42">
        <f t="shared" si="34"/>
        <v>56000</v>
      </c>
      <c r="O589" s="43">
        <f t="shared" si="35"/>
        <v>0.12147505422993492</v>
      </c>
    </row>
    <row r="590" spans="1:15" x14ac:dyDescent="0.45">
      <c r="A590" s="12" t="s">
        <v>30546</v>
      </c>
      <c r="B590" s="14">
        <v>405000</v>
      </c>
      <c r="C590" s="14">
        <v>460000</v>
      </c>
      <c r="D590" s="14">
        <v>297700</v>
      </c>
      <c r="E590" s="14">
        <v>338100</v>
      </c>
      <c r="F590" s="14">
        <v>230900</v>
      </c>
      <c r="G590" s="14">
        <v>262200</v>
      </c>
      <c r="H590" s="14">
        <v>142000</v>
      </c>
      <c r="I590" s="14">
        <v>176000</v>
      </c>
      <c r="J590" s="14">
        <v>4400</v>
      </c>
      <c r="K590" s="14">
        <v>5530</v>
      </c>
      <c r="N590" s="42">
        <f t="shared" si="34"/>
        <v>55000</v>
      </c>
      <c r="O590" s="43">
        <f t="shared" si="35"/>
        <v>0.11956521739130435</v>
      </c>
    </row>
    <row r="591" spans="1:15" x14ac:dyDescent="0.45">
      <c r="A591" s="12" t="s">
        <v>30547</v>
      </c>
      <c r="B591" s="14">
        <v>404000</v>
      </c>
      <c r="C591" s="14">
        <v>459000</v>
      </c>
      <c r="D591" s="14">
        <v>297000</v>
      </c>
      <c r="E591" s="14">
        <v>337365</v>
      </c>
      <c r="F591" s="14">
        <v>230300</v>
      </c>
      <c r="G591" s="14">
        <v>261629</v>
      </c>
      <c r="H591" s="14">
        <v>145000</v>
      </c>
      <c r="I591" s="14">
        <v>179000</v>
      </c>
      <c r="J591" s="14">
        <v>4490</v>
      </c>
      <c r="K591" s="14">
        <v>5650</v>
      </c>
      <c r="N591" s="42">
        <f t="shared" si="34"/>
        <v>55000</v>
      </c>
      <c r="O591" s="43">
        <f t="shared" si="35"/>
        <v>0.11982570806100218</v>
      </c>
    </row>
    <row r="592" spans="1:15" x14ac:dyDescent="0.45">
      <c r="A592" s="12" t="s">
        <v>30548</v>
      </c>
      <c r="B592" s="14">
        <v>403000</v>
      </c>
      <c r="C592" s="14">
        <v>457000</v>
      </c>
      <c r="D592" s="14">
        <v>296300</v>
      </c>
      <c r="E592" s="14">
        <v>335895</v>
      </c>
      <c r="F592" s="14">
        <v>229800</v>
      </c>
      <c r="G592" s="14">
        <v>260489</v>
      </c>
      <c r="H592" s="14">
        <v>145000</v>
      </c>
      <c r="I592" s="14">
        <v>179000</v>
      </c>
      <c r="J592" s="14">
        <v>4490</v>
      </c>
      <c r="K592" s="14">
        <v>5650</v>
      </c>
      <c r="N592" s="42">
        <f t="shared" si="34"/>
        <v>54000</v>
      </c>
      <c r="O592" s="43">
        <f t="shared" si="35"/>
        <v>0.11816192560175055</v>
      </c>
    </row>
    <row r="593" spans="1:15" x14ac:dyDescent="0.45">
      <c r="A593" s="12" t="s">
        <v>30549</v>
      </c>
      <c r="B593" s="14">
        <v>402000</v>
      </c>
      <c r="C593" s="14">
        <v>453000</v>
      </c>
      <c r="D593" s="14">
        <v>295500</v>
      </c>
      <c r="E593" s="14">
        <v>332955</v>
      </c>
      <c r="F593" s="14">
        <v>229200</v>
      </c>
      <c r="G593" s="14">
        <v>258209</v>
      </c>
      <c r="H593" s="14">
        <v>145000</v>
      </c>
      <c r="I593" s="14">
        <v>179000</v>
      </c>
      <c r="J593" s="14">
        <v>4430</v>
      </c>
      <c r="K593" s="14">
        <v>5570</v>
      </c>
      <c r="N593" s="42">
        <f t="shared" si="34"/>
        <v>51000</v>
      </c>
      <c r="O593" s="43">
        <f t="shared" si="35"/>
        <v>0.11258278145695365</v>
      </c>
    </row>
    <row r="594" spans="1:15" x14ac:dyDescent="0.45">
      <c r="A594" s="12" t="s">
        <v>30550</v>
      </c>
      <c r="B594" s="14">
        <v>402000</v>
      </c>
      <c r="C594" s="14">
        <v>454000</v>
      </c>
      <c r="D594" s="14">
        <v>295500</v>
      </c>
      <c r="E594" s="14">
        <v>333690</v>
      </c>
      <c r="F594" s="14">
        <v>229200</v>
      </c>
      <c r="G594" s="14">
        <v>258779</v>
      </c>
      <c r="H594" s="14">
        <v>145000</v>
      </c>
      <c r="I594" s="14">
        <v>180000</v>
      </c>
      <c r="J594" s="14">
        <v>4460</v>
      </c>
      <c r="K594" s="14">
        <v>5600</v>
      </c>
      <c r="N594" s="42">
        <f t="shared" si="34"/>
        <v>52000</v>
      </c>
      <c r="O594" s="43">
        <f t="shared" si="35"/>
        <v>0.11453744493392071</v>
      </c>
    </row>
    <row r="595" spans="1:15" x14ac:dyDescent="0.45">
      <c r="A595" s="12" t="s">
        <v>30551</v>
      </c>
      <c r="B595" s="14">
        <v>403000</v>
      </c>
      <c r="C595" s="14">
        <v>455000</v>
      </c>
      <c r="D595" s="14">
        <v>296300</v>
      </c>
      <c r="E595" s="14">
        <v>334425</v>
      </c>
      <c r="F595" s="14">
        <v>229800</v>
      </c>
      <c r="G595" s="14">
        <v>259349</v>
      </c>
      <c r="H595" s="14">
        <v>145000</v>
      </c>
      <c r="I595" s="14">
        <v>179000</v>
      </c>
      <c r="J595" s="14">
        <v>4390</v>
      </c>
      <c r="K595" s="14">
        <v>5520</v>
      </c>
      <c r="N595" s="42">
        <f t="shared" si="34"/>
        <v>52000</v>
      </c>
      <c r="O595" s="43">
        <f t="shared" si="35"/>
        <v>0.11428571428571428</v>
      </c>
    </row>
    <row r="596" spans="1:15" x14ac:dyDescent="0.45">
      <c r="A596" s="12" t="s">
        <v>30552</v>
      </c>
      <c r="B596" s="14">
        <v>403000</v>
      </c>
      <c r="C596" s="14">
        <v>457000</v>
      </c>
      <c r="D596" s="14">
        <v>296300</v>
      </c>
      <c r="E596" s="14">
        <v>335895</v>
      </c>
      <c r="F596" s="14">
        <v>229800</v>
      </c>
      <c r="G596" s="14">
        <v>260489</v>
      </c>
      <c r="H596" s="14">
        <v>146000</v>
      </c>
      <c r="I596" s="14">
        <v>181000</v>
      </c>
      <c r="J596" s="14">
        <v>4450</v>
      </c>
      <c r="K596" s="14">
        <v>5590</v>
      </c>
      <c r="N596" s="42">
        <f t="shared" si="34"/>
        <v>54000</v>
      </c>
      <c r="O596" s="43">
        <f t="shared" si="35"/>
        <v>0.11816192560175055</v>
      </c>
    </row>
    <row r="597" spans="1:15" x14ac:dyDescent="0.45">
      <c r="A597" s="12" t="s">
        <v>30553</v>
      </c>
      <c r="B597" s="14">
        <v>403000</v>
      </c>
      <c r="C597" s="14">
        <v>458000</v>
      </c>
      <c r="D597" s="14">
        <v>296300</v>
      </c>
      <c r="E597" s="14">
        <v>336630</v>
      </c>
      <c r="F597" s="14">
        <v>229800</v>
      </c>
      <c r="G597" s="14">
        <v>261059</v>
      </c>
      <c r="H597" s="14">
        <v>144000</v>
      </c>
      <c r="I597" s="14">
        <v>179000</v>
      </c>
      <c r="J597" s="14">
        <v>4450</v>
      </c>
      <c r="K597" s="14">
        <v>5590</v>
      </c>
      <c r="N597" s="42">
        <f t="shared" si="34"/>
        <v>55000</v>
      </c>
      <c r="O597" s="43">
        <f t="shared" si="35"/>
        <v>0.12008733624454149</v>
      </c>
    </row>
    <row r="598" spans="1:15" x14ac:dyDescent="0.45">
      <c r="A598" s="12" t="s">
        <v>30554</v>
      </c>
      <c r="B598" s="14">
        <v>400000</v>
      </c>
      <c r="C598" s="14">
        <v>455000</v>
      </c>
      <c r="D598" s="14">
        <v>294000</v>
      </c>
      <c r="E598" s="14">
        <v>334425</v>
      </c>
      <c r="F598" s="14">
        <v>228000</v>
      </c>
      <c r="G598" s="14">
        <v>259349</v>
      </c>
      <c r="H598" s="14">
        <v>145000</v>
      </c>
      <c r="I598" s="14">
        <v>179000</v>
      </c>
      <c r="J598" s="14">
        <v>4410</v>
      </c>
      <c r="K598" s="14">
        <v>5550</v>
      </c>
      <c r="N598" s="42">
        <f t="shared" si="34"/>
        <v>55000</v>
      </c>
      <c r="O598" s="43">
        <f t="shared" si="35"/>
        <v>0.12087912087912088</v>
      </c>
    </row>
    <row r="599" spans="1:15" x14ac:dyDescent="0.45">
      <c r="A599" s="12" t="s">
        <v>30555</v>
      </c>
      <c r="B599" s="14">
        <v>400000</v>
      </c>
      <c r="C599" s="14">
        <v>456000</v>
      </c>
      <c r="D599" s="14">
        <v>294000</v>
      </c>
      <c r="E599" s="14">
        <v>335160</v>
      </c>
      <c r="F599" s="14">
        <v>228000</v>
      </c>
      <c r="G599" s="14">
        <v>259919</v>
      </c>
      <c r="H599" s="14">
        <v>145000</v>
      </c>
      <c r="I599" s="14">
        <v>179000</v>
      </c>
      <c r="J599" s="14">
        <v>4370</v>
      </c>
      <c r="K599" s="14">
        <v>5500</v>
      </c>
      <c r="N599" s="42">
        <f t="shared" si="34"/>
        <v>56000</v>
      </c>
      <c r="O599" s="43">
        <f t="shared" si="35"/>
        <v>0.12280701754385964</v>
      </c>
    </row>
    <row r="600" spans="1:15" x14ac:dyDescent="0.45">
      <c r="A600" s="12" t="s">
        <v>30556</v>
      </c>
      <c r="B600" s="14">
        <v>400000</v>
      </c>
      <c r="C600" s="14">
        <v>460000</v>
      </c>
      <c r="D600" s="14">
        <v>294000</v>
      </c>
      <c r="E600" s="14">
        <v>338100</v>
      </c>
      <c r="F600" s="14">
        <v>228000</v>
      </c>
      <c r="G600" s="14">
        <v>262200</v>
      </c>
      <c r="H600" s="14">
        <v>147000</v>
      </c>
      <c r="I600" s="14">
        <v>181000</v>
      </c>
      <c r="J600" s="14">
        <v>4420</v>
      </c>
      <c r="K600" s="14">
        <v>5550</v>
      </c>
      <c r="N600" s="42">
        <f t="shared" si="34"/>
        <v>60000</v>
      </c>
      <c r="O600" s="43">
        <f t="shared" si="35"/>
        <v>0.13043478260869565</v>
      </c>
    </row>
    <row r="601" spans="1:15" x14ac:dyDescent="0.45">
      <c r="A601" s="12" t="s">
        <v>30557</v>
      </c>
      <c r="B601" s="14">
        <v>400000</v>
      </c>
      <c r="C601" s="14">
        <v>455000</v>
      </c>
      <c r="D601" s="14">
        <v>294000</v>
      </c>
      <c r="E601" s="14">
        <v>334425</v>
      </c>
      <c r="F601" s="14">
        <v>228000</v>
      </c>
      <c r="G601" s="14">
        <v>259349</v>
      </c>
      <c r="H601" s="14">
        <v>148000</v>
      </c>
      <c r="I601" s="14">
        <v>182000</v>
      </c>
      <c r="J601" s="14">
        <v>4350</v>
      </c>
      <c r="K601" s="14">
        <v>5470</v>
      </c>
      <c r="N601" s="42">
        <f t="shared" si="34"/>
        <v>55000</v>
      </c>
      <c r="O601" s="43">
        <f t="shared" si="35"/>
        <v>0.12087912087912088</v>
      </c>
    </row>
    <row r="602" spans="1:15" x14ac:dyDescent="0.45">
      <c r="A602" s="12" t="s">
        <v>30558</v>
      </c>
      <c r="B602" s="14">
        <v>399000</v>
      </c>
      <c r="C602" s="14">
        <v>452000</v>
      </c>
      <c r="D602" s="14">
        <v>293300</v>
      </c>
      <c r="E602" s="14">
        <v>332220</v>
      </c>
      <c r="F602" s="14">
        <v>227500</v>
      </c>
      <c r="G602" s="14">
        <v>257639</v>
      </c>
      <c r="H602" s="14">
        <v>143000</v>
      </c>
      <c r="I602" s="14">
        <v>177000</v>
      </c>
      <c r="J602" s="14">
        <v>4220</v>
      </c>
      <c r="K602" s="14">
        <v>5310</v>
      </c>
      <c r="N602" s="42">
        <f t="shared" si="34"/>
        <v>53000</v>
      </c>
      <c r="O602" s="43">
        <f t="shared" si="35"/>
        <v>0.11725663716814159</v>
      </c>
    </row>
    <row r="603" spans="1:15" x14ac:dyDescent="0.45">
      <c r="A603" s="12" t="s">
        <v>30559</v>
      </c>
      <c r="B603" s="14">
        <v>400000</v>
      </c>
      <c r="C603" s="14">
        <v>457000</v>
      </c>
      <c r="D603" s="14">
        <v>294000</v>
      </c>
      <c r="E603" s="14">
        <v>335895</v>
      </c>
      <c r="F603" s="14">
        <v>228000</v>
      </c>
      <c r="G603" s="14">
        <v>260489</v>
      </c>
      <c r="H603" s="14">
        <v>146000</v>
      </c>
      <c r="I603" s="14">
        <v>180000</v>
      </c>
      <c r="J603" s="14">
        <v>4270</v>
      </c>
      <c r="K603" s="14">
        <v>5380</v>
      </c>
      <c r="N603" s="42">
        <f t="shared" si="34"/>
        <v>57000</v>
      </c>
      <c r="O603" s="43">
        <f t="shared" si="35"/>
        <v>0.12472647702407003</v>
      </c>
    </row>
    <row r="604" spans="1:15" x14ac:dyDescent="0.45">
      <c r="A604" s="12" t="s">
        <v>30560</v>
      </c>
      <c r="B604" s="14">
        <v>400000</v>
      </c>
      <c r="C604" s="14">
        <v>460000</v>
      </c>
      <c r="D604" s="14">
        <v>294000</v>
      </c>
      <c r="E604" s="14">
        <v>338100</v>
      </c>
      <c r="F604" s="14">
        <v>228000</v>
      </c>
      <c r="G604" s="14">
        <v>262200</v>
      </c>
      <c r="H604" s="14">
        <v>146000</v>
      </c>
      <c r="I604" s="14">
        <v>181000</v>
      </c>
      <c r="J604" s="14">
        <v>4310</v>
      </c>
      <c r="K604" s="14">
        <v>5420</v>
      </c>
      <c r="N604" s="42">
        <f t="shared" si="34"/>
        <v>60000</v>
      </c>
      <c r="O604" s="43">
        <f t="shared" si="35"/>
        <v>0.13043478260869565</v>
      </c>
    </row>
    <row r="605" spans="1:15" x14ac:dyDescent="0.45">
      <c r="A605" s="12" t="s">
        <v>30561</v>
      </c>
      <c r="B605" s="14">
        <v>398000</v>
      </c>
      <c r="C605" s="14">
        <v>453000</v>
      </c>
      <c r="D605" s="14">
        <v>292600</v>
      </c>
      <c r="E605" s="14">
        <v>332955</v>
      </c>
      <c r="F605" s="14">
        <v>226900</v>
      </c>
      <c r="G605" s="14">
        <v>258209</v>
      </c>
      <c r="H605" s="14">
        <v>144000</v>
      </c>
      <c r="I605" s="14">
        <v>178000</v>
      </c>
      <c r="J605" s="14">
        <v>4250</v>
      </c>
      <c r="K605" s="14">
        <v>5340</v>
      </c>
      <c r="N605" s="42">
        <f t="shared" si="34"/>
        <v>55000</v>
      </c>
      <c r="O605" s="43">
        <f t="shared" si="35"/>
        <v>0.12141280353200883</v>
      </c>
    </row>
    <row r="606" spans="1:15" x14ac:dyDescent="0.45">
      <c r="A606" s="12" t="s">
        <v>30562</v>
      </c>
      <c r="B606" s="14">
        <v>398000</v>
      </c>
      <c r="C606" s="14">
        <v>452000</v>
      </c>
      <c r="D606" s="14">
        <v>292600</v>
      </c>
      <c r="E606" s="14">
        <v>332220</v>
      </c>
      <c r="F606" s="14">
        <v>226900</v>
      </c>
      <c r="G606" s="14">
        <v>257639</v>
      </c>
      <c r="H606" s="14">
        <v>144000</v>
      </c>
      <c r="I606" s="14">
        <v>177000</v>
      </c>
      <c r="J606" s="14">
        <v>4230</v>
      </c>
      <c r="K606" s="14">
        <v>5320</v>
      </c>
      <c r="N606" s="42">
        <f t="shared" si="34"/>
        <v>54000</v>
      </c>
      <c r="O606" s="43">
        <f t="shared" si="35"/>
        <v>0.11946902654867257</v>
      </c>
    </row>
    <row r="607" spans="1:15" x14ac:dyDescent="0.45">
      <c r="A607" s="12" t="s">
        <v>30563</v>
      </c>
      <c r="B607" s="14">
        <v>398000</v>
      </c>
      <c r="C607" s="14">
        <v>450000</v>
      </c>
      <c r="D607" s="14">
        <v>292600</v>
      </c>
      <c r="E607" s="14">
        <v>330750</v>
      </c>
      <c r="F607" s="14">
        <v>226900</v>
      </c>
      <c r="G607" s="14">
        <v>256499</v>
      </c>
      <c r="H607" s="14">
        <v>145000</v>
      </c>
      <c r="I607" s="14">
        <v>179000</v>
      </c>
      <c r="J607" s="14">
        <v>4230</v>
      </c>
      <c r="K607" s="14">
        <v>5320</v>
      </c>
      <c r="N607" s="42">
        <f t="shared" si="34"/>
        <v>52000</v>
      </c>
      <c r="O607" s="43">
        <f t="shared" si="35"/>
        <v>0.11555555555555555</v>
      </c>
    </row>
    <row r="608" spans="1:15" x14ac:dyDescent="0.45">
      <c r="A608" s="12" t="s">
        <v>30564</v>
      </c>
      <c r="B608" s="14">
        <v>398000</v>
      </c>
      <c r="C608" s="14">
        <v>448000</v>
      </c>
      <c r="D608" s="14">
        <v>292600</v>
      </c>
      <c r="E608" s="14">
        <v>329280</v>
      </c>
      <c r="F608" s="14">
        <v>226900</v>
      </c>
      <c r="G608" s="14">
        <v>255359</v>
      </c>
      <c r="H608" s="14">
        <v>145000</v>
      </c>
      <c r="I608" s="14">
        <v>179000</v>
      </c>
      <c r="J608" s="14">
        <v>4160</v>
      </c>
      <c r="K608" s="14">
        <v>5240</v>
      </c>
      <c r="N608" s="42">
        <f t="shared" si="34"/>
        <v>50000</v>
      </c>
      <c r="O608" s="43">
        <f t="shared" si="35"/>
        <v>0.11160714285714286</v>
      </c>
    </row>
    <row r="609" spans="1:15" x14ac:dyDescent="0.45">
      <c r="A609" s="12" t="s">
        <v>30565</v>
      </c>
      <c r="B609" s="14">
        <v>398000</v>
      </c>
      <c r="C609" s="14">
        <v>448000</v>
      </c>
      <c r="D609" s="14">
        <v>292600</v>
      </c>
      <c r="E609" s="14">
        <v>329280</v>
      </c>
      <c r="F609" s="14">
        <v>226900</v>
      </c>
      <c r="G609" s="14">
        <v>255359</v>
      </c>
      <c r="H609" s="14">
        <v>144000</v>
      </c>
      <c r="I609" s="14">
        <v>178000</v>
      </c>
      <c r="J609" s="14">
        <v>4230</v>
      </c>
      <c r="K609" s="14">
        <v>5310</v>
      </c>
      <c r="N609" s="42">
        <f t="shared" si="34"/>
        <v>50000</v>
      </c>
      <c r="O609" s="43">
        <f t="shared" si="35"/>
        <v>0.11160714285714286</v>
      </c>
    </row>
    <row r="610" spans="1:15" x14ac:dyDescent="0.45">
      <c r="A610" s="12" t="s">
        <v>30566</v>
      </c>
      <c r="B610" s="14">
        <v>399000</v>
      </c>
      <c r="C610" s="14">
        <v>450000</v>
      </c>
      <c r="D610" s="14">
        <v>293300</v>
      </c>
      <c r="E610" s="14">
        <v>330750</v>
      </c>
      <c r="F610" s="14">
        <v>227500</v>
      </c>
      <c r="G610" s="14">
        <v>256499</v>
      </c>
      <c r="H610" s="14">
        <v>143000</v>
      </c>
      <c r="I610" s="14">
        <v>177000</v>
      </c>
      <c r="J610" s="14">
        <v>4210</v>
      </c>
      <c r="K610" s="14">
        <v>5290</v>
      </c>
      <c r="N610" s="42">
        <f t="shared" si="34"/>
        <v>51000</v>
      </c>
      <c r="O610" s="43">
        <f t="shared" si="35"/>
        <v>0.11333333333333333</v>
      </c>
    </row>
    <row r="611" spans="1:15" x14ac:dyDescent="0.45">
      <c r="A611" s="12" t="s">
        <v>30567</v>
      </c>
      <c r="B611" s="14">
        <v>398000</v>
      </c>
      <c r="C611" s="14">
        <v>454000</v>
      </c>
      <c r="D611" s="14">
        <v>292600</v>
      </c>
      <c r="E611" s="14">
        <v>333690</v>
      </c>
      <c r="F611" s="14">
        <v>226900</v>
      </c>
      <c r="G611" s="14">
        <v>258779</v>
      </c>
      <c r="H611" s="14">
        <v>146000</v>
      </c>
      <c r="I611" s="14">
        <v>180000</v>
      </c>
      <c r="J611" s="14">
        <v>4360</v>
      </c>
      <c r="K611" s="14">
        <v>5480</v>
      </c>
      <c r="N611" s="42">
        <f t="shared" si="34"/>
        <v>56000</v>
      </c>
      <c r="O611" s="43">
        <f t="shared" si="35"/>
        <v>0.12334801762114538</v>
      </c>
    </row>
    <row r="612" spans="1:15" x14ac:dyDescent="0.45">
      <c r="A612" s="12" t="s">
        <v>30568</v>
      </c>
      <c r="B612" s="14">
        <v>397000</v>
      </c>
      <c r="C612" s="14">
        <v>452000</v>
      </c>
      <c r="D612" s="14">
        <v>291800</v>
      </c>
      <c r="E612" s="14">
        <v>332220</v>
      </c>
      <c r="F612" s="14">
        <v>226300</v>
      </c>
      <c r="G612" s="14">
        <v>257639</v>
      </c>
      <c r="H612" s="14">
        <v>148000</v>
      </c>
      <c r="I612" s="14">
        <v>183000</v>
      </c>
      <c r="J612" s="14">
        <v>4380</v>
      </c>
      <c r="K612" s="14">
        <v>5500</v>
      </c>
      <c r="N612" s="42">
        <f t="shared" si="34"/>
        <v>55000</v>
      </c>
      <c r="O612" s="43">
        <f t="shared" si="35"/>
        <v>0.12168141592920353</v>
      </c>
    </row>
    <row r="613" spans="1:15" x14ac:dyDescent="0.45">
      <c r="A613" s="12" t="s">
        <v>30569</v>
      </c>
      <c r="B613" s="14">
        <v>398000</v>
      </c>
      <c r="C613" s="14">
        <v>459000</v>
      </c>
      <c r="D613" s="14">
        <v>292600</v>
      </c>
      <c r="E613" s="14">
        <v>337365</v>
      </c>
      <c r="F613" s="14">
        <v>226900</v>
      </c>
      <c r="G613" s="14">
        <v>261629</v>
      </c>
      <c r="H613" s="14">
        <v>151000</v>
      </c>
      <c r="I613" s="14">
        <v>187000</v>
      </c>
      <c r="J613" s="14">
        <v>4460</v>
      </c>
      <c r="K613" s="14">
        <v>5610</v>
      </c>
      <c r="N613" s="42">
        <f t="shared" si="34"/>
        <v>61000</v>
      </c>
      <c r="O613" s="43">
        <f t="shared" si="35"/>
        <v>0.13289760348583879</v>
      </c>
    </row>
    <row r="614" spans="1:15" x14ac:dyDescent="0.45">
      <c r="A614" s="12" t="s">
        <v>30570</v>
      </c>
      <c r="B614" s="14">
        <v>397000</v>
      </c>
      <c r="C614" s="14">
        <v>453000</v>
      </c>
      <c r="D614" s="14">
        <v>291800</v>
      </c>
      <c r="E614" s="14">
        <v>332955</v>
      </c>
      <c r="F614" s="14">
        <v>226300</v>
      </c>
      <c r="G614" s="14">
        <v>258209</v>
      </c>
      <c r="H614" s="14">
        <v>151000</v>
      </c>
      <c r="I614" s="14">
        <v>186000</v>
      </c>
      <c r="J614" s="14">
        <v>4450</v>
      </c>
      <c r="K614" s="14">
        <v>5590</v>
      </c>
      <c r="N614" s="42">
        <f t="shared" si="34"/>
        <v>56000</v>
      </c>
      <c r="O614" s="43">
        <f t="shared" si="35"/>
        <v>0.12362030905077263</v>
      </c>
    </row>
    <row r="615" spans="1:15" x14ac:dyDescent="0.45">
      <c r="A615" s="12" t="s">
        <v>30571</v>
      </c>
      <c r="B615" s="14">
        <v>397000</v>
      </c>
      <c r="C615" s="14">
        <v>453000</v>
      </c>
      <c r="D615" s="14">
        <v>291800</v>
      </c>
      <c r="E615" s="14">
        <v>332955</v>
      </c>
      <c r="F615" s="14">
        <v>226300</v>
      </c>
      <c r="G615" s="14">
        <v>258209</v>
      </c>
      <c r="H615" s="14">
        <v>152000</v>
      </c>
      <c r="I615" s="14">
        <v>188000</v>
      </c>
      <c r="J615" s="14">
        <v>4440</v>
      </c>
      <c r="K615" s="14">
        <v>5590</v>
      </c>
      <c r="N615" s="42">
        <f t="shared" si="34"/>
        <v>56000</v>
      </c>
      <c r="O615" s="43">
        <f t="shared" si="35"/>
        <v>0.12362030905077263</v>
      </c>
    </row>
    <row r="616" spans="1:15" x14ac:dyDescent="0.45">
      <c r="A616" s="12" t="s">
        <v>30572</v>
      </c>
      <c r="B616" s="14">
        <v>397000</v>
      </c>
      <c r="C616" s="14">
        <v>450000</v>
      </c>
      <c r="D616" s="14">
        <v>291800</v>
      </c>
      <c r="E616" s="14">
        <v>330750</v>
      </c>
      <c r="F616" s="14">
        <v>226300</v>
      </c>
      <c r="G616" s="14">
        <v>256499</v>
      </c>
      <c r="H616" s="14">
        <v>149000</v>
      </c>
      <c r="I616" s="14">
        <v>185000</v>
      </c>
      <c r="J616" s="14">
        <v>4350</v>
      </c>
      <c r="K616" s="14">
        <v>5470</v>
      </c>
      <c r="N616" s="42">
        <f t="shared" si="34"/>
        <v>53000</v>
      </c>
      <c r="O616" s="43">
        <f t="shared" si="35"/>
        <v>0.11777777777777777</v>
      </c>
    </row>
    <row r="617" spans="1:15" x14ac:dyDescent="0.45">
      <c r="A617" s="12" t="s">
        <v>30573</v>
      </c>
      <c r="B617" s="14">
        <v>396000</v>
      </c>
      <c r="C617" s="14">
        <v>449000</v>
      </c>
      <c r="D617" s="14">
        <v>291100</v>
      </c>
      <c r="E617" s="14">
        <v>330015</v>
      </c>
      <c r="F617" s="14">
        <v>225800</v>
      </c>
      <c r="G617" s="14">
        <v>255929</v>
      </c>
      <c r="H617" s="14">
        <v>148000</v>
      </c>
      <c r="I617" s="14">
        <v>182000</v>
      </c>
      <c r="J617" s="14">
        <v>4340</v>
      </c>
      <c r="K617" s="14">
        <v>5460</v>
      </c>
      <c r="N617" s="42">
        <f t="shared" si="34"/>
        <v>53000</v>
      </c>
      <c r="O617" s="43">
        <f t="shared" si="35"/>
        <v>0.11804008908685969</v>
      </c>
    </row>
    <row r="618" spans="1:15" x14ac:dyDescent="0.45">
      <c r="A618" s="12" t="s">
        <v>30574</v>
      </c>
      <c r="B618" s="14">
        <v>395000</v>
      </c>
      <c r="C618" s="14">
        <v>450000</v>
      </c>
      <c r="D618" s="14">
        <v>290400</v>
      </c>
      <c r="E618" s="14">
        <v>330750</v>
      </c>
      <c r="F618" s="14">
        <v>225200</v>
      </c>
      <c r="G618" s="14">
        <v>256499</v>
      </c>
      <c r="H618" s="14">
        <v>148000</v>
      </c>
      <c r="I618" s="14">
        <v>183000</v>
      </c>
      <c r="J618" s="14">
        <v>4360</v>
      </c>
      <c r="K618" s="14">
        <v>5480</v>
      </c>
      <c r="N618" s="42">
        <f t="shared" si="34"/>
        <v>55000</v>
      </c>
      <c r="O618" s="43">
        <f t="shared" si="35"/>
        <v>0.12222222222222222</v>
      </c>
    </row>
    <row r="619" spans="1:15" x14ac:dyDescent="0.45">
      <c r="A619" s="12" t="s">
        <v>30575</v>
      </c>
      <c r="B619" s="14">
        <v>393000</v>
      </c>
      <c r="C619" s="14">
        <v>447000</v>
      </c>
      <c r="D619" s="14">
        <v>288900</v>
      </c>
      <c r="E619" s="14">
        <v>328545</v>
      </c>
      <c r="F619" s="14">
        <v>224100</v>
      </c>
      <c r="G619" s="14">
        <v>254789</v>
      </c>
      <c r="H619" s="14">
        <v>148000</v>
      </c>
      <c r="I619" s="14">
        <v>183000</v>
      </c>
      <c r="J619" s="14">
        <v>4340</v>
      </c>
      <c r="K619" s="14">
        <v>5460</v>
      </c>
      <c r="N619" s="42">
        <f t="shared" si="34"/>
        <v>54000</v>
      </c>
      <c r="O619" s="43">
        <f t="shared" si="35"/>
        <v>0.12080536912751678</v>
      </c>
    </row>
    <row r="620" spans="1:15" x14ac:dyDescent="0.45">
      <c r="A620" s="12" t="s">
        <v>30576</v>
      </c>
      <c r="B620" s="14">
        <v>394000</v>
      </c>
      <c r="C620" s="14">
        <v>448000</v>
      </c>
      <c r="D620" s="14">
        <v>289600</v>
      </c>
      <c r="E620" s="14">
        <v>329280</v>
      </c>
      <c r="F620" s="14">
        <v>224600</v>
      </c>
      <c r="G620" s="14">
        <v>255359</v>
      </c>
      <c r="H620" s="14">
        <v>148000</v>
      </c>
      <c r="I620" s="14">
        <v>183000</v>
      </c>
      <c r="J620" s="14">
        <v>4400</v>
      </c>
      <c r="K620" s="14">
        <v>5530</v>
      </c>
      <c r="N620" s="42">
        <f t="shared" si="34"/>
        <v>54000</v>
      </c>
      <c r="O620" s="43">
        <f t="shared" si="35"/>
        <v>0.12053571428571429</v>
      </c>
    </row>
    <row r="621" spans="1:15" x14ac:dyDescent="0.45">
      <c r="A621" s="12" t="s">
        <v>30577</v>
      </c>
      <c r="B621" s="14">
        <v>397000</v>
      </c>
      <c r="C621" s="14">
        <v>455000</v>
      </c>
      <c r="D621" s="14">
        <v>291800</v>
      </c>
      <c r="E621" s="14">
        <v>334425</v>
      </c>
      <c r="F621" s="14">
        <v>226300</v>
      </c>
      <c r="G621" s="14">
        <v>259349</v>
      </c>
      <c r="H621" s="14">
        <v>149000</v>
      </c>
      <c r="I621" s="14">
        <v>184000</v>
      </c>
      <c r="J621" s="14">
        <v>4570</v>
      </c>
      <c r="K621" s="14">
        <v>5750</v>
      </c>
      <c r="N621" s="42">
        <f t="shared" ref="N621:N684" si="36">C621-B621</f>
        <v>58000</v>
      </c>
      <c r="O621" s="43">
        <f t="shared" ref="O621:O684" si="37">N621/C621</f>
        <v>0.12747252747252746</v>
      </c>
    </row>
    <row r="622" spans="1:15" x14ac:dyDescent="0.45">
      <c r="A622" s="12" t="s">
        <v>30578</v>
      </c>
      <c r="B622" s="14">
        <v>396000</v>
      </c>
      <c r="C622" s="14">
        <v>452000</v>
      </c>
      <c r="D622" s="14">
        <v>291100</v>
      </c>
      <c r="E622" s="14">
        <v>332220</v>
      </c>
      <c r="F622" s="14">
        <v>225800</v>
      </c>
      <c r="G622" s="14">
        <v>257639</v>
      </c>
      <c r="H622" s="14">
        <v>149000</v>
      </c>
      <c r="I622" s="14">
        <v>184000</v>
      </c>
      <c r="J622" s="14">
        <v>4540</v>
      </c>
      <c r="K622" s="14">
        <v>5710</v>
      </c>
      <c r="N622" s="42">
        <f t="shared" si="36"/>
        <v>56000</v>
      </c>
      <c r="O622" s="43">
        <f t="shared" si="37"/>
        <v>0.12389380530973451</v>
      </c>
    </row>
    <row r="623" spans="1:15" x14ac:dyDescent="0.45">
      <c r="A623" s="12" t="s">
        <v>30579</v>
      </c>
      <c r="B623" s="14">
        <v>397000</v>
      </c>
      <c r="C623" s="14">
        <v>454000</v>
      </c>
      <c r="D623" s="14">
        <v>291800</v>
      </c>
      <c r="E623" s="14">
        <v>333690</v>
      </c>
      <c r="F623" s="14">
        <v>226300</v>
      </c>
      <c r="G623" s="14">
        <v>258779</v>
      </c>
      <c r="H623" s="14">
        <v>152000</v>
      </c>
      <c r="I623" s="14">
        <v>188000</v>
      </c>
      <c r="J623" s="14">
        <v>4590</v>
      </c>
      <c r="K623" s="14">
        <v>5770</v>
      </c>
      <c r="N623" s="42">
        <f t="shared" si="36"/>
        <v>57000</v>
      </c>
      <c r="O623" s="43">
        <f t="shared" si="37"/>
        <v>0.12555066079295155</v>
      </c>
    </row>
    <row r="624" spans="1:15" x14ac:dyDescent="0.45">
      <c r="A624" s="12" t="s">
        <v>30580</v>
      </c>
      <c r="B624" s="14">
        <v>397000</v>
      </c>
      <c r="C624" s="14">
        <v>454000</v>
      </c>
      <c r="D624" s="14">
        <v>291800</v>
      </c>
      <c r="E624" s="14">
        <v>333690</v>
      </c>
      <c r="F624" s="14">
        <v>226300</v>
      </c>
      <c r="G624" s="14">
        <v>258779</v>
      </c>
      <c r="H624" s="14">
        <v>153000</v>
      </c>
      <c r="I624" s="14">
        <v>189000</v>
      </c>
      <c r="J624" s="14">
        <v>4590</v>
      </c>
      <c r="K624" s="14">
        <v>5770</v>
      </c>
      <c r="N624" s="42">
        <f t="shared" si="36"/>
        <v>57000</v>
      </c>
      <c r="O624" s="43">
        <f t="shared" si="37"/>
        <v>0.12555066079295155</v>
      </c>
    </row>
    <row r="625" spans="1:15" x14ac:dyDescent="0.45">
      <c r="A625" s="12" t="s">
        <v>30581</v>
      </c>
      <c r="B625" s="14">
        <v>400000</v>
      </c>
      <c r="C625" s="14">
        <v>458000</v>
      </c>
      <c r="D625" s="14">
        <v>294000</v>
      </c>
      <c r="E625" s="14">
        <v>336630</v>
      </c>
      <c r="F625" s="14">
        <v>228000</v>
      </c>
      <c r="G625" s="14">
        <v>261059</v>
      </c>
      <c r="H625" s="14">
        <v>152000</v>
      </c>
      <c r="I625" s="14">
        <v>188000</v>
      </c>
      <c r="J625" s="14">
        <v>4620</v>
      </c>
      <c r="K625" s="14">
        <v>5810</v>
      </c>
      <c r="N625" s="42">
        <f t="shared" si="36"/>
        <v>58000</v>
      </c>
      <c r="O625" s="43">
        <f t="shared" si="37"/>
        <v>0.12663755458515283</v>
      </c>
    </row>
    <row r="626" spans="1:15" x14ac:dyDescent="0.45">
      <c r="A626" s="12" t="s">
        <v>30582</v>
      </c>
      <c r="B626" s="14">
        <v>403000</v>
      </c>
      <c r="C626" s="14">
        <v>463000</v>
      </c>
      <c r="D626" s="14">
        <v>296300</v>
      </c>
      <c r="E626" s="14">
        <v>340305</v>
      </c>
      <c r="F626" s="14">
        <v>229800</v>
      </c>
      <c r="G626" s="14">
        <v>263910</v>
      </c>
      <c r="H626" s="14">
        <v>158000</v>
      </c>
      <c r="I626" s="14">
        <v>195000</v>
      </c>
      <c r="J626" s="14">
        <v>4740</v>
      </c>
      <c r="K626" s="14">
        <v>5960</v>
      </c>
      <c r="N626" s="42">
        <f t="shared" si="36"/>
        <v>60000</v>
      </c>
      <c r="O626" s="43">
        <f t="shared" si="37"/>
        <v>0.12958963282937366</v>
      </c>
    </row>
    <row r="627" spans="1:15" x14ac:dyDescent="0.45">
      <c r="A627" s="12" t="s">
        <v>30583</v>
      </c>
      <c r="B627" s="14">
        <v>402000</v>
      </c>
      <c r="C627" s="14">
        <v>462000</v>
      </c>
      <c r="D627" s="14">
        <v>295500</v>
      </c>
      <c r="E627" s="14">
        <v>339570</v>
      </c>
      <c r="F627" s="14">
        <v>229200</v>
      </c>
      <c r="G627" s="14">
        <v>263340</v>
      </c>
      <c r="H627" s="14">
        <v>157000</v>
      </c>
      <c r="I627" s="14">
        <v>194000</v>
      </c>
      <c r="J627" s="14">
        <v>4810</v>
      </c>
      <c r="K627" s="14">
        <v>6040</v>
      </c>
      <c r="N627" s="42">
        <f t="shared" si="36"/>
        <v>60000</v>
      </c>
      <c r="O627" s="43">
        <f t="shared" si="37"/>
        <v>0.12987012987012986</v>
      </c>
    </row>
    <row r="628" spans="1:15" x14ac:dyDescent="0.45">
      <c r="A628" s="12" t="s">
        <v>30584</v>
      </c>
      <c r="B628" s="14">
        <v>398000</v>
      </c>
      <c r="C628" s="14">
        <v>457000</v>
      </c>
      <c r="D628" s="14">
        <v>292600</v>
      </c>
      <c r="E628" s="14">
        <v>335895</v>
      </c>
      <c r="F628" s="14">
        <v>226900</v>
      </c>
      <c r="G628" s="14">
        <v>260489</v>
      </c>
      <c r="H628" s="14">
        <v>156000</v>
      </c>
      <c r="I628" s="14">
        <v>193000</v>
      </c>
      <c r="J628" s="14">
        <v>4800</v>
      </c>
      <c r="K628" s="14">
        <v>6040</v>
      </c>
      <c r="N628" s="42">
        <f t="shared" si="36"/>
        <v>59000</v>
      </c>
      <c r="O628" s="43">
        <f t="shared" si="37"/>
        <v>0.12910284463894967</v>
      </c>
    </row>
    <row r="629" spans="1:15" x14ac:dyDescent="0.45">
      <c r="A629" s="12" t="s">
        <v>30585</v>
      </c>
      <c r="B629" s="14">
        <v>395000</v>
      </c>
      <c r="C629" s="14">
        <v>453000</v>
      </c>
      <c r="D629" s="14">
        <v>290400</v>
      </c>
      <c r="E629" s="14">
        <v>332955</v>
      </c>
      <c r="F629" s="14">
        <v>225200</v>
      </c>
      <c r="G629" s="14">
        <v>258209</v>
      </c>
      <c r="H629" s="14">
        <v>156000</v>
      </c>
      <c r="I629" s="14">
        <v>193000</v>
      </c>
      <c r="J629" s="14">
        <v>4810</v>
      </c>
      <c r="K629" s="14">
        <v>6050</v>
      </c>
      <c r="N629" s="42">
        <f t="shared" si="36"/>
        <v>58000</v>
      </c>
      <c r="O629" s="43">
        <f t="shared" si="37"/>
        <v>0.12803532008830021</v>
      </c>
    </row>
    <row r="630" spans="1:15" x14ac:dyDescent="0.45">
      <c r="A630" s="12" t="s">
        <v>30586</v>
      </c>
      <c r="B630" s="14">
        <v>392000</v>
      </c>
      <c r="C630" s="14">
        <v>451000</v>
      </c>
      <c r="D630" s="14">
        <v>288200</v>
      </c>
      <c r="E630" s="14">
        <v>331485</v>
      </c>
      <c r="F630" s="14">
        <v>223500</v>
      </c>
      <c r="G630" s="14">
        <v>257069</v>
      </c>
      <c r="H630" s="14">
        <v>157000</v>
      </c>
      <c r="I630" s="14">
        <v>194000</v>
      </c>
      <c r="J630" s="14">
        <v>4770</v>
      </c>
      <c r="K630" s="14">
        <v>6000</v>
      </c>
      <c r="N630" s="42">
        <f t="shared" si="36"/>
        <v>59000</v>
      </c>
      <c r="O630" s="43">
        <f t="shared" si="37"/>
        <v>0.13082039911308205</v>
      </c>
    </row>
    <row r="631" spans="1:15" x14ac:dyDescent="0.45">
      <c r="A631" s="12" t="s">
        <v>30587</v>
      </c>
      <c r="B631" s="14">
        <v>392000</v>
      </c>
      <c r="C631" s="14">
        <v>451000</v>
      </c>
      <c r="D631" s="14">
        <v>288200</v>
      </c>
      <c r="E631" s="14">
        <v>331485</v>
      </c>
      <c r="F631" s="14">
        <v>223500</v>
      </c>
      <c r="G631" s="14">
        <v>257069</v>
      </c>
      <c r="H631" s="14">
        <v>157000</v>
      </c>
      <c r="I631" s="14">
        <v>194000</v>
      </c>
      <c r="J631" s="14">
        <v>4840</v>
      </c>
      <c r="K631" s="14">
        <v>6090</v>
      </c>
      <c r="N631" s="42">
        <f t="shared" si="36"/>
        <v>59000</v>
      </c>
      <c r="O631" s="43">
        <f t="shared" si="37"/>
        <v>0.13082039911308205</v>
      </c>
    </row>
    <row r="632" spans="1:15" x14ac:dyDescent="0.45">
      <c r="A632" s="12" t="s">
        <v>30588</v>
      </c>
      <c r="B632" s="14">
        <v>390000</v>
      </c>
      <c r="C632" s="14">
        <v>446000</v>
      </c>
      <c r="D632" s="14">
        <v>286700</v>
      </c>
      <c r="E632" s="14">
        <v>327810</v>
      </c>
      <c r="F632" s="14">
        <v>222300</v>
      </c>
      <c r="G632" s="14">
        <v>254219</v>
      </c>
      <c r="H632" s="14">
        <v>156000</v>
      </c>
      <c r="I632" s="14">
        <v>192000</v>
      </c>
      <c r="J632" s="14">
        <v>4800</v>
      </c>
      <c r="K632" s="14">
        <v>6030</v>
      </c>
      <c r="N632" s="42">
        <f t="shared" si="36"/>
        <v>56000</v>
      </c>
      <c r="O632" s="43">
        <f t="shared" si="37"/>
        <v>0.12556053811659193</v>
      </c>
    </row>
    <row r="633" spans="1:15" x14ac:dyDescent="0.45">
      <c r="A633" s="12" t="s">
        <v>30589</v>
      </c>
      <c r="B633" s="14">
        <v>390000</v>
      </c>
      <c r="C633" s="14">
        <v>447000</v>
      </c>
      <c r="D633" s="14">
        <v>286700</v>
      </c>
      <c r="E633" s="14">
        <v>328545</v>
      </c>
      <c r="F633" s="14">
        <v>222300</v>
      </c>
      <c r="G633" s="14">
        <v>254789</v>
      </c>
      <c r="H633" s="14">
        <v>156000</v>
      </c>
      <c r="I633" s="14">
        <v>192000</v>
      </c>
      <c r="J633" s="14">
        <v>4830</v>
      </c>
      <c r="K633" s="14">
        <v>6070</v>
      </c>
      <c r="N633" s="42">
        <f t="shared" si="36"/>
        <v>57000</v>
      </c>
      <c r="O633" s="43">
        <f t="shared" si="37"/>
        <v>0.12751677852348994</v>
      </c>
    </row>
    <row r="634" spans="1:15" x14ac:dyDescent="0.45">
      <c r="A634" s="12" t="s">
        <v>30590</v>
      </c>
      <c r="B634" s="14">
        <v>388000</v>
      </c>
      <c r="C634" s="14">
        <v>445000</v>
      </c>
      <c r="D634" s="14">
        <v>285200</v>
      </c>
      <c r="E634" s="14">
        <v>327075</v>
      </c>
      <c r="F634" s="14">
        <v>221200</v>
      </c>
      <c r="G634" s="14">
        <v>253649</v>
      </c>
      <c r="H634" s="14">
        <v>158000</v>
      </c>
      <c r="I634" s="14">
        <v>195000</v>
      </c>
      <c r="J634" s="14">
        <v>4810</v>
      </c>
      <c r="K634" s="14">
        <v>6050</v>
      </c>
      <c r="N634" s="42">
        <f t="shared" si="36"/>
        <v>57000</v>
      </c>
      <c r="O634" s="43">
        <f t="shared" si="37"/>
        <v>0.12808988764044943</v>
      </c>
    </row>
    <row r="635" spans="1:15" x14ac:dyDescent="0.45">
      <c r="A635" s="12" t="s">
        <v>30591</v>
      </c>
      <c r="B635" s="14">
        <v>389000</v>
      </c>
      <c r="C635" s="14">
        <v>447000</v>
      </c>
      <c r="D635" s="14">
        <v>286000</v>
      </c>
      <c r="E635" s="14">
        <v>328545</v>
      </c>
      <c r="F635" s="14">
        <v>221800</v>
      </c>
      <c r="G635" s="14">
        <v>254789</v>
      </c>
      <c r="H635" s="14">
        <v>160000</v>
      </c>
      <c r="I635" s="14">
        <v>198000</v>
      </c>
      <c r="J635" s="14">
        <v>4830</v>
      </c>
      <c r="K635" s="14">
        <v>6080</v>
      </c>
      <c r="N635" s="42">
        <f t="shared" si="36"/>
        <v>58000</v>
      </c>
      <c r="O635" s="43">
        <f t="shared" si="37"/>
        <v>0.12975391498881431</v>
      </c>
    </row>
    <row r="636" spans="1:15" x14ac:dyDescent="0.45">
      <c r="A636" s="12" t="s">
        <v>30592</v>
      </c>
      <c r="B636" s="14">
        <v>388000</v>
      </c>
      <c r="C636" s="14">
        <v>448000</v>
      </c>
      <c r="D636" s="14">
        <v>285200</v>
      </c>
      <c r="E636" s="14">
        <v>329280</v>
      </c>
      <c r="F636" s="14">
        <v>221200</v>
      </c>
      <c r="G636" s="14">
        <v>255359</v>
      </c>
      <c r="H636" s="14">
        <v>161000</v>
      </c>
      <c r="I636" s="14">
        <v>199000</v>
      </c>
      <c r="J636" s="14">
        <v>4840</v>
      </c>
      <c r="K636" s="14">
        <v>6090</v>
      </c>
      <c r="N636" s="42">
        <f t="shared" si="36"/>
        <v>60000</v>
      </c>
      <c r="O636" s="43">
        <f t="shared" si="37"/>
        <v>0.13392857142857142</v>
      </c>
    </row>
    <row r="637" spans="1:15" x14ac:dyDescent="0.45">
      <c r="A637" s="12" t="s">
        <v>30593</v>
      </c>
      <c r="B637" s="14">
        <v>386000</v>
      </c>
      <c r="C637" s="14">
        <v>443000</v>
      </c>
      <c r="D637" s="14">
        <v>283800</v>
      </c>
      <c r="E637" s="14">
        <v>325605</v>
      </c>
      <c r="F637" s="14">
        <v>220100</v>
      </c>
      <c r="G637" s="14">
        <v>252509</v>
      </c>
      <c r="H637" s="14">
        <v>157000</v>
      </c>
      <c r="I637" s="14">
        <v>194000</v>
      </c>
      <c r="J637" s="14">
        <v>4740</v>
      </c>
      <c r="K637" s="14">
        <v>5960</v>
      </c>
      <c r="N637" s="42">
        <f t="shared" si="36"/>
        <v>57000</v>
      </c>
      <c r="O637" s="43">
        <f t="shared" si="37"/>
        <v>0.12866817155756208</v>
      </c>
    </row>
    <row r="638" spans="1:15" x14ac:dyDescent="0.45">
      <c r="A638" s="12" t="s">
        <v>30594</v>
      </c>
      <c r="B638" s="14">
        <v>385000</v>
      </c>
      <c r="C638" s="14">
        <v>444000</v>
      </c>
      <c r="D638" s="14">
        <v>283000</v>
      </c>
      <c r="E638" s="14">
        <v>326340</v>
      </c>
      <c r="F638" s="14">
        <v>219500</v>
      </c>
      <c r="G638" s="14">
        <v>253079</v>
      </c>
      <c r="H638" s="14">
        <v>157000</v>
      </c>
      <c r="I638" s="14">
        <v>194000</v>
      </c>
      <c r="J638" s="14">
        <v>4750</v>
      </c>
      <c r="K638" s="14">
        <v>5970</v>
      </c>
      <c r="N638" s="42">
        <f t="shared" si="36"/>
        <v>59000</v>
      </c>
      <c r="O638" s="43">
        <f t="shared" si="37"/>
        <v>0.13288288288288289</v>
      </c>
    </row>
    <row r="639" spans="1:15" x14ac:dyDescent="0.45">
      <c r="A639" s="12" t="s">
        <v>30595</v>
      </c>
      <c r="B639" s="14">
        <v>384000</v>
      </c>
      <c r="C639" s="14">
        <v>443000</v>
      </c>
      <c r="D639" s="14">
        <v>282300</v>
      </c>
      <c r="E639" s="14">
        <v>325605</v>
      </c>
      <c r="F639" s="14">
        <v>218900</v>
      </c>
      <c r="G639" s="14">
        <v>252509</v>
      </c>
      <c r="H639" s="14">
        <v>158000</v>
      </c>
      <c r="I639" s="14">
        <v>195000</v>
      </c>
      <c r="J639" s="14">
        <v>4690</v>
      </c>
      <c r="K639" s="14">
        <v>5890</v>
      </c>
      <c r="N639" s="42">
        <f t="shared" si="36"/>
        <v>59000</v>
      </c>
      <c r="O639" s="43">
        <f t="shared" si="37"/>
        <v>0.13318284424379231</v>
      </c>
    </row>
    <row r="640" spans="1:15" x14ac:dyDescent="0.45">
      <c r="A640" s="12" t="s">
        <v>30596</v>
      </c>
      <c r="B640" s="14">
        <v>384000</v>
      </c>
      <c r="C640" s="14">
        <v>441000</v>
      </c>
      <c r="D640" s="14">
        <v>282300</v>
      </c>
      <c r="E640" s="14">
        <v>324135</v>
      </c>
      <c r="F640" s="14">
        <v>218900</v>
      </c>
      <c r="G640" s="14">
        <v>251369</v>
      </c>
      <c r="H640" s="14">
        <v>155000</v>
      </c>
      <c r="I640" s="14">
        <v>191000</v>
      </c>
      <c r="J640" s="14">
        <v>4600</v>
      </c>
      <c r="K640" s="14">
        <v>5780</v>
      </c>
      <c r="N640" s="42">
        <f t="shared" si="36"/>
        <v>57000</v>
      </c>
      <c r="O640" s="43">
        <f t="shared" si="37"/>
        <v>0.12925170068027211</v>
      </c>
    </row>
    <row r="641" spans="1:15" x14ac:dyDescent="0.45">
      <c r="A641" s="12" t="s">
        <v>30597</v>
      </c>
      <c r="B641" s="14">
        <v>383000</v>
      </c>
      <c r="C641" s="14">
        <v>437000</v>
      </c>
      <c r="D641" s="14">
        <v>281600</v>
      </c>
      <c r="E641" s="14">
        <v>321195</v>
      </c>
      <c r="F641" s="14">
        <v>218400</v>
      </c>
      <c r="G641" s="14">
        <v>249089</v>
      </c>
      <c r="H641" s="14">
        <v>156000</v>
      </c>
      <c r="I641" s="14">
        <v>192000</v>
      </c>
      <c r="J641" s="14">
        <v>4510</v>
      </c>
      <c r="K641" s="14">
        <v>5670</v>
      </c>
      <c r="N641" s="42">
        <f t="shared" si="36"/>
        <v>54000</v>
      </c>
      <c r="O641" s="43">
        <f t="shared" si="37"/>
        <v>0.12356979405034325</v>
      </c>
    </row>
    <row r="642" spans="1:15" x14ac:dyDescent="0.45">
      <c r="A642" s="12" t="s">
        <v>30598</v>
      </c>
      <c r="B642" s="14">
        <v>383000</v>
      </c>
      <c r="C642" s="14">
        <v>438000</v>
      </c>
      <c r="D642" s="14">
        <v>281600</v>
      </c>
      <c r="E642" s="14">
        <v>321930</v>
      </c>
      <c r="F642" s="14">
        <v>218400</v>
      </c>
      <c r="G642" s="14">
        <v>249659</v>
      </c>
      <c r="H642" s="14">
        <v>156000</v>
      </c>
      <c r="I642" s="14">
        <v>193000</v>
      </c>
      <c r="J642" s="14">
        <v>4530</v>
      </c>
      <c r="K642" s="14">
        <v>5700</v>
      </c>
      <c r="N642" s="42">
        <f t="shared" si="36"/>
        <v>55000</v>
      </c>
      <c r="O642" s="43">
        <f t="shared" si="37"/>
        <v>0.12557077625570776</v>
      </c>
    </row>
    <row r="643" spans="1:15" x14ac:dyDescent="0.45">
      <c r="A643" s="12" t="s">
        <v>30599</v>
      </c>
      <c r="B643" s="14">
        <v>383000</v>
      </c>
      <c r="C643" s="14">
        <v>437000</v>
      </c>
      <c r="D643" s="14">
        <v>281600</v>
      </c>
      <c r="E643" s="14">
        <v>321195</v>
      </c>
      <c r="F643" s="14">
        <v>218400</v>
      </c>
      <c r="G643" s="14">
        <v>249089</v>
      </c>
      <c r="H643" s="14">
        <v>156000</v>
      </c>
      <c r="I643" s="14">
        <v>193000</v>
      </c>
      <c r="J643" s="14">
        <v>4520</v>
      </c>
      <c r="K643" s="14">
        <v>5690</v>
      </c>
      <c r="N643" s="42">
        <f t="shared" si="36"/>
        <v>54000</v>
      </c>
      <c r="O643" s="43">
        <f t="shared" si="37"/>
        <v>0.12356979405034325</v>
      </c>
    </row>
    <row r="644" spans="1:15" x14ac:dyDescent="0.45">
      <c r="A644" s="12" t="s">
        <v>30600</v>
      </c>
      <c r="B644" s="14">
        <v>382000</v>
      </c>
      <c r="C644" s="14">
        <v>436000</v>
      </c>
      <c r="D644" s="14">
        <v>280800</v>
      </c>
      <c r="E644" s="14">
        <v>320460</v>
      </c>
      <c r="F644" s="14">
        <v>217800</v>
      </c>
      <c r="G644" s="14">
        <v>248519</v>
      </c>
      <c r="H644" s="14">
        <v>160000</v>
      </c>
      <c r="I644" s="14">
        <v>197000</v>
      </c>
      <c r="J644" s="14">
        <v>4500</v>
      </c>
      <c r="K644" s="14">
        <v>5660</v>
      </c>
      <c r="N644" s="42">
        <f t="shared" si="36"/>
        <v>54000</v>
      </c>
      <c r="O644" s="43">
        <f t="shared" si="37"/>
        <v>0.12385321100917432</v>
      </c>
    </row>
    <row r="645" spans="1:15" x14ac:dyDescent="0.45">
      <c r="A645" s="12" t="s">
        <v>30601</v>
      </c>
      <c r="B645" s="14">
        <v>384000</v>
      </c>
      <c r="C645" s="14">
        <v>439000</v>
      </c>
      <c r="D645" s="14">
        <v>282300</v>
      </c>
      <c r="E645" s="14">
        <v>322665</v>
      </c>
      <c r="F645" s="14">
        <v>218900</v>
      </c>
      <c r="G645" s="14">
        <v>250229</v>
      </c>
      <c r="H645" s="14">
        <v>156000</v>
      </c>
      <c r="I645" s="14">
        <v>193000</v>
      </c>
      <c r="J645" s="14">
        <v>4520</v>
      </c>
      <c r="K645" s="14">
        <v>5680</v>
      </c>
      <c r="N645" s="42">
        <f t="shared" si="36"/>
        <v>55000</v>
      </c>
      <c r="O645" s="43">
        <f t="shared" si="37"/>
        <v>0.12528473804100229</v>
      </c>
    </row>
    <row r="646" spans="1:15" x14ac:dyDescent="0.45">
      <c r="A646" s="12" t="s">
        <v>30602</v>
      </c>
      <c r="B646" s="14">
        <v>386000</v>
      </c>
      <c r="C646" s="14">
        <v>440000</v>
      </c>
      <c r="D646" s="14">
        <v>283800</v>
      </c>
      <c r="E646" s="14">
        <v>323400</v>
      </c>
      <c r="F646" s="14">
        <v>220100</v>
      </c>
      <c r="G646" s="14">
        <v>250799</v>
      </c>
      <c r="H646" s="14">
        <v>158000</v>
      </c>
      <c r="I646" s="14">
        <v>195000</v>
      </c>
      <c r="J646" s="14">
        <v>4620</v>
      </c>
      <c r="K646" s="14">
        <v>5810</v>
      </c>
      <c r="N646" s="42">
        <f t="shared" si="36"/>
        <v>54000</v>
      </c>
      <c r="O646" s="43">
        <f t="shared" si="37"/>
        <v>0.12272727272727273</v>
      </c>
    </row>
    <row r="647" spans="1:15" x14ac:dyDescent="0.45">
      <c r="A647" s="12" t="s">
        <v>30603</v>
      </c>
      <c r="B647" s="14">
        <v>386000</v>
      </c>
      <c r="C647" s="14">
        <v>439000</v>
      </c>
      <c r="D647" s="14">
        <v>283800</v>
      </c>
      <c r="E647" s="14">
        <v>322665</v>
      </c>
      <c r="F647" s="14">
        <v>220100</v>
      </c>
      <c r="G647" s="14">
        <v>250229</v>
      </c>
      <c r="H647" s="14">
        <v>156000</v>
      </c>
      <c r="I647" s="14">
        <v>193000</v>
      </c>
      <c r="J647" s="14">
        <v>4610</v>
      </c>
      <c r="K647" s="14">
        <v>5800</v>
      </c>
      <c r="N647" s="42">
        <f t="shared" si="36"/>
        <v>53000</v>
      </c>
      <c r="O647" s="43">
        <f t="shared" si="37"/>
        <v>0.12072892938496584</v>
      </c>
    </row>
    <row r="648" spans="1:15" x14ac:dyDescent="0.45">
      <c r="A648" s="12" t="s">
        <v>30604</v>
      </c>
      <c r="B648" s="14">
        <v>383000</v>
      </c>
      <c r="C648" s="14">
        <v>439000</v>
      </c>
      <c r="D648" s="14">
        <v>281600</v>
      </c>
      <c r="E648" s="14">
        <v>322665</v>
      </c>
      <c r="F648" s="14">
        <v>218400</v>
      </c>
      <c r="G648" s="14">
        <v>250229</v>
      </c>
      <c r="H648" s="14">
        <v>157000</v>
      </c>
      <c r="I648" s="14">
        <v>194000</v>
      </c>
      <c r="J648" s="14">
        <v>4620</v>
      </c>
      <c r="K648" s="14">
        <v>5810</v>
      </c>
      <c r="N648" s="42">
        <f t="shared" si="36"/>
        <v>56000</v>
      </c>
      <c r="O648" s="43">
        <f t="shared" si="37"/>
        <v>0.12756264236902051</v>
      </c>
    </row>
    <row r="649" spans="1:15" x14ac:dyDescent="0.45">
      <c r="A649" s="12" t="s">
        <v>30605</v>
      </c>
      <c r="B649" s="14">
        <v>387000</v>
      </c>
      <c r="C649" s="14">
        <v>447000</v>
      </c>
      <c r="D649" s="14">
        <v>284500</v>
      </c>
      <c r="E649" s="14">
        <v>328545</v>
      </c>
      <c r="F649" s="14">
        <v>220600</v>
      </c>
      <c r="G649" s="14">
        <v>254789</v>
      </c>
      <c r="H649" s="14">
        <v>155000</v>
      </c>
      <c r="I649" s="14">
        <v>192000</v>
      </c>
      <c r="J649" s="14">
        <v>4810</v>
      </c>
      <c r="K649" s="14">
        <v>6050</v>
      </c>
      <c r="N649" s="42">
        <f t="shared" si="36"/>
        <v>60000</v>
      </c>
      <c r="O649" s="43">
        <f t="shared" si="37"/>
        <v>0.13422818791946309</v>
      </c>
    </row>
    <row r="650" spans="1:15" x14ac:dyDescent="0.45">
      <c r="A650" s="12" t="s">
        <v>30606</v>
      </c>
      <c r="B650" s="14">
        <v>386000</v>
      </c>
      <c r="C650" s="14">
        <v>442000</v>
      </c>
      <c r="D650" s="14">
        <v>283800</v>
      </c>
      <c r="E650" s="14">
        <v>324870</v>
      </c>
      <c r="F650" s="14">
        <v>220100</v>
      </c>
      <c r="G650" s="14">
        <v>251939</v>
      </c>
      <c r="H650" s="14">
        <v>155000</v>
      </c>
      <c r="I650" s="14">
        <v>192000</v>
      </c>
      <c r="J650" s="14">
        <v>4730</v>
      </c>
      <c r="K650" s="14">
        <v>5940</v>
      </c>
      <c r="N650" s="42">
        <f t="shared" si="36"/>
        <v>56000</v>
      </c>
      <c r="O650" s="43">
        <f t="shared" si="37"/>
        <v>0.12669683257918551</v>
      </c>
    </row>
    <row r="651" spans="1:15" x14ac:dyDescent="0.45">
      <c r="A651" s="12" t="s">
        <v>30607</v>
      </c>
      <c r="B651" s="14">
        <v>384000</v>
      </c>
      <c r="C651" s="14">
        <v>438000</v>
      </c>
      <c r="D651" s="14">
        <v>282300</v>
      </c>
      <c r="E651" s="14">
        <v>321930</v>
      </c>
      <c r="F651" s="14">
        <v>218900</v>
      </c>
      <c r="G651" s="14">
        <v>249659</v>
      </c>
      <c r="H651" s="14">
        <v>153000</v>
      </c>
      <c r="I651" s="14">
        <v>189000</v>
      </c>
      <c r="J651" s="14">
        <v>4570</v>
      </c>
      <c r="K651" s="14">
        <v>5750</v>
      </c>
      <c r="N651" s="42">
        <f t="shared" si="36"/>
        <v>54000</v>
      </c>
      <c r="O651" s="43">
        <f t="shared" si="37"/>
        <v>0.12328767123287671</v>
      </c>
    </row>
    <row r="652" spans="1:15" x14ac:dyDescent="0.45">
      <c r="A652" s="12" t="s">
        <v>30608</v>
      </c>
      <c r="B652" s="14">
        <v>384000</v>
      </c>
      <c r="C652" s="14">
        <v>436000</v>
      </c>
      <c r="D652" s="14">
        <v>282300</v>
      </c>
      <c r="E652" s="14">
        <v>320460</v>
      </c>
      <c r="F652" s="14">
        <v>218900</v>
      </c>
      <c r="G652" s="14">
        <v>248519</v>
      </c>
      <c r="H652" s="14">
        <v>153000</v>
      </c>
      <c r="I652" s="14">
        <v>189000</v>
      </c>
      <c r="J652" s="14">
        <v>4600</v>
      </c>
      <c r="K652" s="14">
        <v>5780</v>
      </c>
      <c r="N652" s="42">
        <f t="shared" si="36"/>
        <v>52000</v>
      </c>
      <c r="O652" s="43">
        <f t="shared" si="37"/>
        <v>0.11926605504587157</v>
      </c>
    </row>
    <row r="653" spans="1:15" x14ac:dyDescent="0.45">
      <c r="A653" s="12" t="s">
        <v>30609</v>
      </c>
      <c r="B653" s="14">
        <v>384000</v>
      </c>
      <c r="C653" s="14">
        <v>437000</v>
      </c>
      <c r="D653" s="14">
        <v>282300</v>
      </c>
      <c r="E653" s="14">
        <v>321195</v>
      </c>
      <c r="F653" s="14">
        <v>218900</v>
      </c>
      <c r="G653" s="14">
        <v>249089</v>
      </c>
      <c r="H653" s="14">
        <v>151000</v>
      </c>
      <c r="I653" s="14">
        <v>186000</v>
      </c>
      <c r="J653" s="14">
        <v>4590</v>
      </c>
      <c r="K653" s="14">
        <v>5770</v>
      </c>
      <c r="N653" s="42">
        <f t="shared" si="36"/>
        <v>53000</v>
      </c>
      <c r="O653" s="43">
        <f t="shared" si="37"/>
        <v>0.12128146453089245</v>
      </c>
    </row>
    <row r="654" spans="1:15" x14ac:dyDescent="0.45">
      <c r="A654" s="12" t="s">
        <v>30610</v>
      </c>
      <c r="B654" s="14">
        <v>383000</v>
      </c>
      <c r="C654" s="14">
        <v>440000</v>
      </c>
      <c r="D654" s="14">
        <v>281600</v>
      </c>
      <c r="E654" s="14">
        <v>323400</v>
      </c>
      <c r="F654" s="14">
        <v>218400</v>
      </c>
      <c r="G654" s="14">
        <v>250799</v>
      </c>
      <c r="H654" s="14">
        <v>151000</v>
      </c>
      <c r="I654" s="14">
        <v>187000</v>
      </c>
      <c r="J654" s="14">
        <v>4610</v>
      </c>
      <c r="K654" s="14">
        <v>5800</v>
      </c>
      <c r="N654" s="42">
        <f t="shared" si="36"/>
        <v>57000</v>
      </c>
      <c r="O654" s="43">
        <f t="shared" si="37"/>
        <v>0.12954545454545455</v>
      </c>
    </row>
    <row r="655" spans="1:15" x14ac:dyDescent="0.45">
      <c r="A655" s="12" t="s">
        <v>30611</v>
      </c>
      <c r="B655" s="14">
        <v>382000</v>
      </c>
      <c r="C655" s="14">
        <v>434000</v>
      </c>
      <c r="D655" s="14">
        <v>280800</v>
      </c>
      <c r="E655" s="14">
        <v>318990</v>
      </c>
      <c r="F655" s="14">
        <v>217800</v>
      </c>
      <c r="G655" s="14">
        <v>247379</v>
      </c>
      <c r="H655" s="14">
        <v>150000</v>
      </c>
      <c r="I655" s="14">
        <v>185000</v>
      </c>
      <c r="J655" s="14">
        <v>4510</v>
      </c>
      <c r="K655" s="14">
        <v>5680</v>
      </c>
      <c r="N655" s="42">
        <f t="shared" si="36"/>
        <v>52000</v>
      </c>
      <c r="O655" s="43">
        <f t="shared" si="37"/>
        <v>0.11981566820276497</v>
      </c>
    </row>
    <row r="656" spans="1:15" x14ac:dyDescent="0.45">
      <c r="A656" s="12" t="s">
        <v>30612</v>
      </c>
      <c r="B656" s="14">
        <v>382000</v>
      </c>
      <c r="C656" s="14">
        <v>432000</v>
      </c>
      <c r="D656" s="14">
        <v>280800</v>
      </c>
      <c r="E656" s="14">
        <v>317520</v>
      </c>
      <c r="F656" s="14">
        <v>217800</v>
      </c>
      <c r="G656" s="14">
        <v>246239</v>
      </c>
      <c r="H656" s="14">
        <v>149000</v>
      </c>
      <c r="I656" s="14">
        <v>184000</v>
      </c>
      <c r="J656" s="14">
        <v>4560</v>
      </c>
      <c r="K656" s="14">
        <v>5730</v>
      </c>
      <c r="N656" s="42">
        <f t="shared" si="36"/>
        <v>50000</v>
      </c>
      <c r="O656" s="43">
        <f t="shared" si="37"/>
        <v>0.11574074074074074</v>
      </c>
    </row>
    <row r="657" spans="1:15" x14ac:dyDescent="0.45">
      <c r="A657" s="12" t="s">
        <v>30613</v>
      </c>
      <c r="B657" s="14">
        <v>382000</v>
      </c>
      <c r="C657" s="14">
        <v>435000</v>
      </c>
      <c r="D657" s="14">
        <v>280800</v>
      </c>
      <c r="E657" s="14">
        <v>319725</v>
      </c>
      <c r="F657" s="14">
        <v>217800</v>
      </c>
      <c r="G657" s="14">
        <v>247949</v>
      </c>
      <c r="H657" s="14">
        <v>150000</v>
      </c>
      <c r="I657" s="14">
        <v>185000</v>
      </c>
      <c r="J657" s="14">
        <v>4550</v>
      </c>
      <c r="K657" s="14">
        <v>5730</v>
      </c>
      <c r="N657" s="42">
        <f t="shared" si="36"/>
        <v>53000</v>
      </c>
      <c r="O657" s="43">
        <f t="shared" si="37"/>
        <v>0.12183908045977011</v>
      </c>
    </row>
    <row r="658" spans="1:15" x14ac:dyDescent="0.45">
      <c r="A658" s="12" t="s">
        <v>30614</v>
      </c>
      <c r="B658" s="14">
        <v>381000</v>
      </c>
      <c r="C658" s="14">
        <v>433000</v>
      </c>
      <c r="D658" s="14">
        <v>280100</v>
      </c>
      <c r="E658" s="14">
        <v>318255</v>
      </c>
      <c r="F658" s="14">
        <v>217200</v>
      </c>
      <c r="G658" s="14">
        <v>246809</v>
      </c>
      <c r="H658" s="14">
        <v>151000</v>
      </c>
      <c r="I658" s="14">
        <v>187000</v>
      </c>
      <c r="J658" s="14">
        <v>4600</v>
      </c>
      <c r="K658" s="14">
        <v>5780</v>
      </c>
      <c r="N658" s="42">
        <f t="shared" si="36"/>
        <v>52000</v>
      </c>
      <c r="O658" s="43">
        <f t="shared" si="37"/>
        <v>0.12009237875288684</v>
      </c>
    </row>
    <row r="659" spans="1:15" x14ac:dyDescent="0.45">
      <c r="A659" s="12" t="s">
        <v>30615</v>
      </c>
      <c r="B659" s="14">
        <v>381000</v>
      </c>
      <c r="C659" s="14">
        <v>431000</v>
      </c>
      <c r="D659" s="14">
        <v>280100</v>
      </c>
      <c r="E659" s="14">
        <v>316785</v>
      </c>
      <c r="F659" s="14">
        <v>217200</v>
      </c>
      <c r="G659" s="14">
        <v>245669</v>
      </c>
      <c r="H659" s="14">
        <v>152000</v>
      </c>
      <c r="I659" s="14">
        <v>187000</v>
      </c>
      <c r="J659" s="14">
        <v>4540</v>
      </c>
      <c r="K659" s="14">
        <v>5710</v>
      </c>
      <c r="N659" s="42">
        <f t="shared" si="36"/>
        <v>50000</v>
      </c>
      <c r="O659" s="43">
        <f t="shared" si="37"/>
        <v>0.11600928074245939</v>
      </c>
    </row>
    <row r="660" spans="1:15" x14ac:dyDescent="0.45">
      <c r="A660" s="12" t="s">
        <v>30616</v>
      </c>
      <c r="B660" s="14">
        <v>382000</v>
      </c>
      <c r="C660" s="14">
        <v>432000</v>
      </c>
      <c r="D660" s="14">
        <v>280800</v>
      </c>
      <c r="E660" s="14">
        <v>317520</v>
      </c>
      <c r="F660" s="14">
        <v>217800</v>
      </c>
      <c r="G660" s="14">
        <v>246239</v>
      </c>
      <c r="H660" s="14">
        <v>152000</v>
      </c>
      <c r="I660" s="14">
        <v>187000</v>
      </c>
      <c r="J660" s="14">
        <v>4540</v>
      </c>
      <c r="K660" s="14">
        <v>5710</v>
      </c>
      <c r="N660" s="42">
        <f t="shared" si="36"/>
        <v>50000</v>
      </c>
      <c r="O660" s="43">
        <f t="shared" si="37"/>
        <v>0.11574074074074074</v>
      </c>
    </row>
    <row r="661" spans="1:15" x14ac:dyDescent="0.45">
      <c r="A661" s="12" t="s">
        <v>30617</v>
      </c>
      <c r="B661" s="14">
        <v>384000</v>
      </c>
      <c r="C661" s="14">
        <v>442000</v>
      </c>
      <c r="D661" s="14">
        <v>282300</v>
      </c>
      <c r="E661" s="14">
        <v>324870</v>
      </c>
      <c r="F661" s="14">
        <v>218900</v>
      </c>
      <c r="G661" s="14">
        <v>251939</v>
      </c>
      <c r="H661" s="14">
        <v>156000</v>
      </c>
      <c r="I661" s="14">
        <v>193000</v>
      </c>
      <c r="J661" s="14">
        <v>4820</v>
      </c>
      <c r="K661" s="14">
        <v>6060</v>
      </c>
      <c r="N661" s="42">
        <f t="shared" si="36"/>
        <v>58000</v>
      </c>
      <c r="O661" s="43">
        <f t="shared" si="37"/>
        <v>0.13122171945701358</v>
      </c>
    </row>
    <row r="662" spans="1:15" x14ac:dyDescent="0.45">
      <c r="A662" s="12" t="s">
        <v>30618</v>
      </c>
      <c r="B662" s="14">
        <v>384000</v>
      </c>
      <c r="C662" s="14">
        <v>441000</v>
      </c>
      <c r="D662" s="14">
        <v>282300</v>
      </c>
      <c r="E662" s="14">
        <v>324135</v>
      </c>
      <c r="F662" s="14">
        <v>218900</v>
      </c>
      <c r="G662" s="14">
        <v>251369</v>
      </c>
      <c r="H662" s="14">
        <v>155000</v>
      </c>
      <c r="I662" s="14">
        <v>192000</v>
      </c>
      <c r="J662" s="14">
        <v>4680</v>
      </c>
      <c r="K662" s="14">
        <v>5880</v>
      </c>
      <c r="N662" s="42">
        <f t="shared" si="36"/>
        <v>57000</v>
      </c>
      <c r="O662" s="43">
        <f t="shared" si="37"/>
        <v>0.12925170068027211</v>
      </c>
    </row>
    <row r="663" spans="1:15" x14ac:dyDescent="0.45">
      <c r="A663" s="12" t="s">
        <v>30619</v>
      </c>
      <c r="B663" s="14">
        <v>382000</v>
      </c>
      <c r="C663" s="14">
        <v>436000</v>
      </c>
      <c r="D663" s="14">
        <v>280800</v>
      </c>
      <c r="E663" s="14">
        <v>320460</v>
      </c>
      <c r="F663" s="14">
        <v>217800</v>
      </c>
      <c r="G663" s="14">
        <v>248519</v>
      </c>
      <c r="H663" s="14">
        <v>154000</v>
      </c>
      <c r="I663" s="14">
        <v>191000</v>
      </c>
      <c r="J663" s="14">
        <v>4580</v>
      </c>
      <c r="K663" s="14">
        <v>5760</v>
      </c>
      <c r="N663" s="42">
        <f t="shared" si="36"/>
        <v>54000</v>
      </c>
      <c r="O663" s="43">
        <f t="shared" si="37"/>
        <v>0.12385321100917432</v>
      </c>
    </row>
    <row r="664" spans="1:15" x14ac:dyDescent="0.45">
      <c r="A664" s="12" t="s">
        <v>30620</v>
      </c>
      <c r="B664" s="14">
        <v>383000</v>
      </c>
      <c r="C664" s="14">
        <v>439000</v>
      </c>
      <c r="D664" s="14">
        <v>281600</v>
      </c>
      <c r="E664" s="14">
        <v>322665</v>
      </c>
      <c r="F664" s="14">
        <v>218400</v>
      </c>
      <c r="G664" s="14">
        <v>250229</v>
      </c>
      <c r="H664" s="14">
        <v>159000</v>
      </c>
      <c r="I664" s="14">
        <v>196000</v>
      </c>
      <c r="J664" s="14">
        <v>4750</v>
      </c>
      <c r="K664" s="14">
        <v>5970</v>
      </c>
      <c r="N664" s="42">
        <f t="shared" si="36"/>
        <v>56000</v>
      </c>
      <c r="O664" s="43">
        <f t="shared" si="37"/>
        <v>0.12756264236902051</v>
      </c>
    </row>
    <row r="665" spans="1:15" x14ac:dyDescent="0.45">
      <c r="A665" s="12" t="s">
        <v>30621</v>
      </c>
      <c r="B665" s="14">
        <v>382000</v>
      </c>
      <c r="C665" s="14">
        <v>437000</v>
      </c>
      <c r="D665" s="14">
        <v>280800</v>
      </c>
      <c r="E665" s="14">
        <v>321195</v>
      </c>
      <c r="F665" s="14">
        <v>217800</v>
      </c>
      <c r="G665" s="14">
        <v>249089</v>
      </c>
      <c r="H665" s="14">
        <v>163000</v>
      </c>
      <c r="I665" s="14">
        <v>202000</v>
      </c>
      <c r="J665" s="14">
        <v>4710</v>
      </c>
      <c r="K665" s="14">
        <v>5920</v>
      </c>
      <c r="N665" s="42">
        <f t="shared" si="36"/>
        <v>55000</v>
      </c>
      <c r="O665" s="43">
        <f t="shared" si="37"/>
        <v>0.12585812356979406</v>
      </c>
    </row>
    <row r="666" spans="1:15" x14ac:dyDescent="0.45">
      <c r="A666" s="12" t="s">
        <v>30622</v>
      </c>
      <c r="B666" s="14">
        <v>384000</v>
      </c>
      <c r="C666" s="14">
        <v>439000</v>
      </c>
      <c r="D666" s="14">
        <v>282300</v>
      </c>
      <c r="E666" s="14">
        <v>322665</v>
      </c>
      <c r="F666" s="14">
        <v>218900</v>
      </c>
      <c r="G666" s="14">
        <v>250229</v>
      </c>
      <c r="H666" s="14">
        <v>163000</v>
      </c>
      <c r="I666" s="14">
        <v>201000</v>
      </c>
      <c r="J666" s="14">
        <v>4740</v>
      </c>
      <c r="K666" s="14">
        <v>5960</v>
      </c>
      <c r="N666" s="42">
        <f t="shared" si="36"/>
        <v>55000</v>
      </c>
      <c r="O666" s="43">
        <f t="shared" si="37"/>
        <v>0.12528473804100229</v>
      </c>
    </row>
    <row r="667" spans="1:15" x14ac:dyDescent="0.45">
      <c r="A667" s="12" t="s">
        <v>30623</v>
      </c>
      <c r="B667" s="14">
        <v>384000</v>
      </c>
      <c r="C667" s="14">
        <v>442000</v>
      </c>
      <c r="D667" s="14">
        <v>282300</v>
      </c>
      <c r="E667" s="14">
        <v>324870</v>
      </c>
      <c r="F667" s="14">
        <v>218900</v>
      </c>
      <c r="G667" s="14">
        <v>251939</v>
      </c>
      <c r="H667" s="14">
        <v>162000</v>
      </c>
      <c r="I667" s="14">
        <v>200000</v>
      </c>
      <c r="J667" s="14">
        <v>4870</v>
      </c>
      <c r="K667" s="14">
        <v>6120</v>
      </c>
      <c r="N667" s="42">
        <f t="shared" si="36"/>
        <v>58000</v>
      </c>
      <c r="O667" s="43">
        <f t="shared" si="37"/>
        <v>0.13122171945701358</v>
      </c>
    </row>
    <row r="668" spans="1:15" x14ac:dyDescent="0.45">
      <c r="A668" s="12" t="s">
        <v>30624</v>
      </c>
      <c r="B668" s="14">
        <v>383000</v>
      </c>
      <c r="C668" s="14">
        <v>437000</v>
      </c>
      <c r="D668" s="14">
        <v>281600</v>
      </c>
      <c r="E668" s="14">
        <v>321195</v>
      </c>
      <c r="F668" s="14">
        <v>218400</v>
      </c>
      <c r="G668" s="14">
        <v>249089</v>
      </c>
      <c r="H668" s="14">
        <v>162000</v>
      </c>
      <c r="I668" s="14">
        <v>200000</v>
      </c>
      <c r="J668" s="14">
        <v>4950</v>
      </c>
      <c r="K668" s="14">
        <v>6220</v>
      </c>
      <c r="N668" s="42">
        <f t="shared" si="36"/>
        <v>54000</v>
      </c>
      <c r="O668" s="43">
        <f t="shared" si="37"/>
        <v>0.12356979405034325</v>
      </c>
    </row>
    <row r="669" spans="1:15" x14ac:dyDescent="0.45">
      <c r="A669" s="12" t="s">
        <v>30625</v>
      </c>
      <c r="B669" s="14">
        <v>384000</v>
      </c>
      <c r="C669" s="14">
        <v>438000</v>
      </c>
      <c r="D669" s="14">
        <v>282300</v>
      </c>
      <c r="E669" s="14">
        <v>321930</v>
      </c>
      <c r="F669" s="14">
        <v>218900</v>
      </c>
      <c r="G669" s="14">
        <v>249659</v>
      </c>
      <c r="H669" s="14">
        <v>164000</v>
      </c>
      <c r="I669" s="14">
        <v>203000</v>
      </c>
      <c r="J669" s="14">
        <v>4920</v>
      </c>
      <c r="K669" s="14">
        <v>6190</v>
      </c>
      <c r="N669" s="42">
        <f t="shared" si="36"/>
        <v>54000</v>
      </c>
      <c r="O669" s="43">
        <f t="shared" si="37"/>
        <v>0.12328767123287671</v>
      </c>
    </row>
    <row r="670" spans="1:15" x14ac:dyDescent="0.45">
      <c r="A670" s="12" t="s">
        <v>30626</v>
      </c>
      <c r="B670" s="14">
        <v>384000</v>
      </c>
      <c r="C670" s="14">
        <v>436000</v>
      </c>
      <c r="D670" s="14">
        <v>282300</v>
      </c>
      <c r="E670" s="14">
        <v>320460</v>
      </c>
      <c r="F670" s="14">
        <v>218900</v>
      </c>
      <c r="G670" s="14">
        <v>248519</v>
      </c>
      <c r="H670" s="14">
        <v>163000</v>
      </c>
      <c r="I670" s="14">
        <v>201000</v>
      </c>
      <c r="J670" s="14">
        <v>4850</v>
      </c>
      <c r="K670" s="14">
        <v>6100</v>
      </c>
      <c r="N670" s="42">
        <f t="shared" si="36"/>
        <v>52000</v>
      </c>
      <c r="O670" s="43">
        <f t="shared" si="37"/>
        <v>0.11926605504587157</v>
      </c>
    </row>
    <row r="671" spans="1:15" x14ac:dyDescent="0.45">
      <c r="A671" s="12" t="s">
        <v>30627</v>
      </c>
      <c r="B671" s="14">
        <v>382000</v>
      </c>
      <c r="C671" s="14">
        <v>435000</v>
      </c>
      <c r="D671" s="14">
        <v>280800</v>
      </c>
      <c r="E671" s="14">
        <v>319725</v>
      </c>
      <c r="F671" s="14">
        <v>217800</v>
      </c>
      <c r="G671" s="14">
        <v>247949</v>
      </c>
      <c r="H671" s="14">
        <v>160000</v>
      </c>
      <c r="I671" s="14">
        <v>197000</v>
      </c>
      <c r="J671" s="14">
        <v>4690</v>
      </c>
      <c r="K671" s="14">
        <v>5900</v>
      </c>
      <c r="N671" s="42">
        <f t="shared" si="36"/>
        <v>53000</v>
      </c>
      <c r="O671" s="43">
        <f t="shared" si="37"/>
        <v>0.12183908045977011</v>
      </c>
    </row>
    <row r="672" spans="1:15" x14ac:dyDescent="0.45">
      <c r="A672" s="12" t="s">
        <v>30628</v>
      </c>
      <c r="B672" s="14">
        <v>380000</v>
      </c>
      <c r="C672" s="14">
        <v>435000</v>
      </c>
      <c r="D672" s="14">
        <v>279300</v>
      </c>
      <c r="E672" s="14">
        <v>319725</v>
      </c>
      <c r="F672" s="14">
        <v>216600</v>
      </c>
      <c r="G672" s="14">
        <v>247949</v>
      </c>
      <c r="H672" s="14">
        <v>160000</v>
      </c>
      <c r="I672" s="14">
        <v>197000</v>
      </c>
      <c r="J672" s="14">
        <v>4680</v>
      </c>
      <c r="K672" s="14">
        <v>5880</v>
      </c>
      <c r="N672" s="42">
        <f t="shared" si="36"/>
        <v>55000</v>
      </c>
      <c r="O672" s="43">
        <f t="shared" si="37"/>
        <v>0.12643678160919541</v>
      </c>
    </row>
    <row r="673" spans="1:15" x14ac:dyDescent="0.45">
      <c r="A673" s="12" t="s">
        <v>30629</v>
      </c>
      <c r="B673" s="14">
        <v>380000</v>
      </c>
      <c r="C673" s="14">
        <v>436000</v>
      </c>
      <c r="D673" s="14">
        <v>279300</v>
      </c>
      <c r="E673" s="14">
        <v>320460</v>
      </c>
      <c r="F673" s="14">
        <v>216600</v>
      </c>
      <c r="G673" s="14">
        <v>248519</v>
      </c>
      <c r="H673" s="14">
        <v>159000</v>
      </c>
      <c r="I673" s="14">
        <v>196000</v>
      </c>
      <c r="J673" s="14">
        <v>4710</v>
      </c>
      <c r="K673" s="14">
        <v>5920</v>
      </c>
      <c r="N673" s="42">
        <f t="shared" si="36"/>
        <v>56000</v>
      </c>
      <c r="O673" s="43">
        <f t="shared" si="37"/>
        <v>0.12844036697247707</v>
      </c>
    </row>
    <row r="674" spans="1:15" x14ac:dyDescent="0.45">
      <c r="A674" s="12" t="s">
        <v>30630</v>
      </c>
      <c r="B674" s="14">
        <v>381000</v>
      </c>
      <c r="C674" s="14">
        <v>443000</v>
      </c>
      <c r="D674" s="14">
        <v>280100</v>
      </c>
      <c r="E674" s="14">
        <v>325605</v>
      </c>
      <c r="F674" s="14">
        <v>217200</v>
      </c>
      <c r="G674" s="14">
        <v>252509</v>
      </c>
      <c r="H674" s="14">
        <v>161000</v>
      </c>
      <c r="I674" s="14">
        <v>199000</v>
      </c>
      <c r="J674" s="14">
        <v>4740</v>
      </c>
      <c r="K674" s="14">
        <v>5970</v>
      </c>
      <c r="N674" s="42">
        <f t="shared" si="36"/>
        <v>62000</v>
      </c>
      <c r="O674" s="43">
        <f t="shared" si="37"/>
        <v>0.1399548532731377</v>
      </c>
    </row>
    <row r="675" spans="1:15" x14ac:dyDescent="0.45">
      <c r="A675" s="12" t="s">
        <v>30631</v>
      </c>
      <c r="B675" s="14">
        <v>386000</v>
      </c>
      <c r="C675" s="14">
        <v>449000</v>
      </c>
      <c r="D675" s="14">
        <v>283800</v>
      </c>
      <c r="E675" s="14">
        <v>330015</v>
      </c>
      <c r="F675" s="14">
        <v>220100</v>
      </c>
      <c r="G675" s="14">
        <v>255929</v>
      </c>
      <c r="H675" s="14">
        <v>163000</v>
      </c>
      <c r="I675" s="14">
        <v>201000</v>
      </c>
      <c r="J675" s="14">
        <v>4920</v>
      </c>
      <c r="K675" s="14">
        <v>6180</v>
      </c>
      <c r="N675" s="42">
        <f t="shared" si="36"/>
        <v>63000</v>
      </c>
      <c r="O675" s="43">
        <f t="shared" si="37"/>
        <v>0.14031180400890869</v>
      </c>
    </row>
    <row r="676" spans="1:15" x14ac:dyDescent="0.45">
      <c r="A676" s="12" t="s">
        <v>30632</v>
      </c>
      <c r="B676" s="14">
        <v>388000</v>
      </c>
      <c r="C676" s="14">
        <v>448000</v>
      </c>
      <c r="D676" s="14">
        <v>285200</v>
      </c>
      <c r="E676" s="14">
        <v>329280</v>
      </c>
      <c r="F676" s="14">
        <v>221200</v>
      </c>
      <c r="G676" s="14">
        <v>255359</v>
      </c>
      <c r="H676" s="14">
        <v>161000</v>
      </c>
      <c r="I676" s="14">
        <v>199000</v>
      </c>
      <c r="J676" s="14">
        <v>4850</v>
      </c>
      <c r="K676" s="14">
        <v>6090</v>
      </c>
      <c r="N676" s="42">
        <f t="shared" si="36"/>
        <v>60000</v>
      </c>
      <c r="O676" s="43">
        <f t="shared" si="37"/>
        <v>0.13392857142857142</v>
      </c>
    </row>
    <row r="677" spans="1:15" x14ac:dyDescent="0.45">
      <c r="A677" s="12" t="s">
        <v>30633</v>
      </c>
      <c r="B677" s="14">
        <v>387000</v>
      </c>
      <c r="C677" s="14">
        <v>451000</v>
      </c>
      <c r="D677" s="14">
        <v>284500</v>
      </c>
      <c r="E677" s="14">
        <v>331485</v>
      </c>
      <c r="F677" s="14">
        <v>220600</v>
      </c>
      <c r="G677" s="14">
        <v>257069</v>
      </c>
      <c r="H677" s="14">
        <v>167000</v>
      </c>
      <c r="I677" s="14">
        <v>206000</v>
      </c>
      <c r="J677" s="14">
        <v>4890</v>
      </c>
      <c r="K677" s="14">
        <v>6150</v>
      </c>
      <c r="N677" s="42">
        <f t="shared" si="36"/>
        <v>64000</v>
      </c>
      <c r="O677" s="43">
        <f t="shared" si="37"/>
        <v>0.14190687361419069</v>
      </c>
    </row>
    <row r="678" spans="1:15" x14ac:dyDescent="0.45">
      <c r="A678" s="12" t="s">
        <v>30634</v>
      </c>
      <c r="B678" s="14">
        <v>384000</v>
      </c>
      <c r="C678" s="14">
        <v>445000</v>
      </c>
      <c r="D678" s="14">
        <v>282300</v>
      </c>
      <c r="E678" s="14">
        <v>327075</v>
      </c>
      <c r="F678" s="14">
        <v>218900</v>
      </c>
      <c r="G678" s="14">
        <v>253649</v>
      </c>
      <c r="H678" s="14">
        <v>167000</v>
      </c>
      <c r="I678" s="14">
        <v>206000</v>
      </c>
      <c r="J678" s="14">
        <v>4810</v>
      </c>
      <c r="K678" s="14">
        <v>6040</v>
      </c>
      <c r="N678" s="42">
        <f t="shared" si="36"/>
        <v>61000</v>
      </c>
      <c r="O678" s="43">
        <f t="shared" si="37"/>
        <v>0.13707865168539327</v>
      </c>
    </row>
    <row r="679" spans="1:15" x14ac:dyDescent="0.45">
      <c r="A679" s="12" t="s">
        <v>30635</v>
      </c>
      <c r="B679" s="14">
        <v>383000</v>
      </c>
      <c r="C679" s="14">
        <v>439000</v>
      </c>
      <c r="D679" s="14">
        <v>281600</v>
      </c>
      <c r="E679" s="14">
        <v>322665</v>
      </c>
      <c r="F679" s="14">
        <v>218400</v>
      </c>
      <c r="G679" s="14">
        <v>250229</v>
      </c>
      <c r="H679" s="14">
        <v>163000</v>
      </c>
      <c r="I679" s="14">
        <v>202000</v>
      </c>
      <c r="J679" s="14">
        <v>4520</v>
      </c>
      <c r="K679" s="14">
        <v>5680</v>
      </c>
      <c r="N679" s="42">
        <f t="shared" si="36"/>
        <v>56000</v>
      </c>
      <c r="O679" s="43">
        <f t="shared" si="37"/>
        <v>0.12756264236902051</v>
      </c>
    </row>
    <row r="680" spans="1:15" x14ac:dyDescent="0.45">
      <c r="A680" s="12" t="s">
        <v>30636</v>
      </c>
      <c r="B680" s="14">
        <v>382000</v>
      </c>
      <c r="C680" s="14">
        <v>438000</v>
      </c>
      <c r="D680" s="14">
        <v>280800</v>
      </c>
      <c r="E680" s="14">
        <v>321930</v>
      </c>
      <c r="F680" s="14">
        <v>217800</v>
      </c>
      <c r="G680" s="14">
        <v>249659</v>
      </c>
      <c r="H680" s="14">
        <v>164000</v>
      </c>
      <c r="I680" s="14">
        <v>202000</v>
      </c>
      <c r="J680" s="14">
        <v>4480</v>
      </c>
      <c r="K680" s="14">
        <v>5640</v>
      </c>
      <c r="N680" s="42">
        <f t="shared" si="36"/>
        <v>56000</v>
      </c>
      <c r="O680" s="43">
        <f t="shared" si="37"/>
        <v>0.12785388127853881</v>
      </c>
    </row>
    <row r="681" spans="1:15" x14ac:dyDescent="0.45">
      <c r="A681" s="12" t="s">
        <v>30637</v>
      </c>
      <c r="B681" s="14">
        <v>380000</v>
      </c>
      <c r="C681" s="14">
        <v>438000</v>
      </c>
      <c r="D681" s="14">
        <v>279300</v>
      </c>
      <c r="E681" s="14">
        <v>321930</v>
      </c>
      <c r="F681" s="14">
        <v>216600</v>
      </c>
      <c r="G681" s="14">
        <v>249659</v>
      </c>
      <c r="H681" s="14">
        <v>162000</v>
      </c>
      <c r="I681" s="14">
        <v>201000</v>
      </c>
      <c r="J681" s="14">
        <v>4390</v>
      </c>
      <c r="K681" s="14">
        <v>5520</v>
      </c>
      <c r="N681" s="42">
        <f t="shared" si="36"/>
        <v>58000</v>
      </c>
      <c r="O681" s="43">
        <f t="shared" si="37"/>
        <v>0.13242009132420091</v>
      </c>
    </row>
    <row r="682" spans="1:15" x14ac:dyDescent="0.45">
      <c r="A682" s="12" t="s">
        <v>30638</v>
      </c>
      <c r="B682" s="14">
        <v>380000</v>
      </c>
      <c r="C682" s="14">
        <v>435000</v>
      </c>
      <c r="D682" s="14">
        <v>279300</v>
      </c>
      <c r="E682" s="14">
        <v>319725</v>
      </c>
      <c r="F682" s="14">
        <v>216600</v>
      </c>
      <c r="G682" s="14">
        <v>247949</v>
      </c>
      <c r="H682" s="14">
        <v>156000</v>
      </c>
      <c r="I682" s="14">
        <v>193000</v>
      </c>
      <c r="J682" s="14">
        <v>4360</v>
      </c>
      <c r="K682" s="14">
        <v>5480</v>
      </c>
      <c r="N682" s="42">
        <f t="shared" si="36"/>
        <v>55000</v>
      </c>
      <c r="O682" s="43">
        <f t="shared" si="37"/>
        <v>0.12643678160919541</v>
      </c>
    </row>
    <row r="683" spans="1:15" x14ac:dyDescent="0.45">
      <c r="A683" s="12" t="s">
        <v>30639</v>
      </c>
      <c r="B683" s="14">
        <v>383000</v>
      </c>
      <c r="C683" s="14">
        <v>439000</v>
      </c>
      <c r="D683" s="14">
        <v>281600</v>
      </c>
      <c r="E683" s="14">
        <v>322665</v>
      </c>
      <c r="F683" s="14">
        <v>218400</v>
      </c>
      <c r="G683" s="14">
        <v>250229</v>
      </c>
      <c r="H683" s="14">
        <v>155000</v>
      </c>
      <c r="I683" s="14">
        <v>191000</v>
      </c>
      <c r="J683" s="14">
        <v>4330</v>
      </c>
      <c r="K683" s="14">
        <v>5450</v>
      </c>
      <c r="N683" s="42">
        <f t="shared" si="36"/>
        <v>56000</v>
      </c>
      <c r="O683" s="43">
        <f t="shared" si="37"/>
        <v>0.12756264236902051</v>
      </c>
    </row>
    <row r="684" spans="1:15" x14ac:dyDescent="0.45">
      <c r="A684" s="12" t="s">
        <v>30640</v>
      </c>
      <c r="B684" s="14">
        <v>383000</v>
      </c>
      <c r="C684" s="14">
        <v>441000</v>
      </c>
      <c r="D684" s="14">
        <v>281600</v>
      </c>
      <c r="E684" s="14">
        <v>324135</v>
      </c>
      <c r="F684" s="14">
        <v>218400</v>
      </c>
      <c r="G684" s="14">
        <v>251369</v>
      </c>
      <c r="H684" s="14">
        <v>155000</v>
      </c>
      <c r="I684" s="14">
        <v>192000</v>
      </c>
      <c r="J684" s="14">
        <v>4350</v>
      </c>
      <c r="K684" s="14">
        <v>5480</v>
      </c>
      <c r="N684" s="42">
        <f t="shared" si="36"/>
        <v>58000</v>
      </c>
      <c r="O684" s="43">
        <f t="shared" si="37"/>
        <v>0.13151927437641722</v>
      </c>
    </row>
    <row r="685" spans="1:15" x14ac:dyDescent="0.45">
      <c r="A685" s="12" t="s">
        <v>30641</v>
      </c>
      <c r="B685" s="14">
        <v>382000</v>
      </c>
      <c r="C685" s="14">
        <v>440000</v>
      </c>
      <c r="D685" s="14">
        <v>280800</v>
      </c>
      <c r="E685" s="14">
        <v>323400</v>
      </c>
      <c r="F685" s="14">
        <v>217800</v>
      </c>
      <c r="G685" s="14">
        <v>250799</v>
      </c>
      <c r="H685" s="14">
        <v>153000</v>
      </c>
      <c r="I685" s="14">
        <v>190000</v>
      </c>
      <c r="J685" s="14">
        <v>4390</v>
      </c>
      <c r="K685" s="14">
        <v>5520</v>
      </c>
      <c r="N685" s="42">
        <f t="shared" ref="N685:N748" si="38">C685-B685</f>
        <v>58000</v>
      </c>
      <c r="O685" s="43">
        <f t="shared" ref="O685:O748" si="39">N685/C685</f>
        <v>0.13181818181818181</v>
      </c>
    </row>
    <row r="686" spans="1:15" x14ac:dyDescent="0.45">
      <c r="A686" s="12" t="s">
        <v>30642</v>
      </c>
      <c r="B686" s="14">
        <v>377000</v>
      </c>
      <c r="C686" s="14">
        <v>430000</v>
      </c>
      <c r="D686" s="14">
        <v>277100</v>
      </c>
      <c r="E686" s="14">
        <v>316050</v>
      </c>
      <c r="F686" s="14">
        <v>214900</v>
      </c>
      <c r="G686" s="14">
        <v>245099</v>
      </c>
      <c r="H686" s="14">
        <v>151000</v>
      </c>
      <c r="I686" s="14">
        <v>187000</v>
      </c>
      <c r="J686" s="14">
        <v>4210</v>
      </c>
      <c r="K686" s="14">
        <v>5300</v>
      </c>
      <c r="N686" s="42">
        <f t="shared" si="38"/>
        <v>53000</v>
      </c>
      <c r="O686" s="43">
        <f t="shared" si="39"/>
        <v>0.12325581395348838</v>
      </c>
    </row>
    <row r="687" spans="1:15" x14ac:dyDescent="0.45">
      <c r="A687" s="12" t="s">
        <v>30643</v>
      </c>
      <c r="B687" s="14">
        <v>377000</v>
      </c>
      <c r="C687" s="14">
        <v>431000</v>
      </c>
      <c r="D687" s="14">
        <v>277100</v>
      </c>
      <c r="E687" s="14">
        <v>316785</v>
      </c>
      <c r="F687" s="14">
        <v>214900</v>
      </c>
      <c r="G687" s="14">
        <v>245669</v>
      </c>
      <c r="H687" s="14">
        <v>152000</v>
      </c>
      <c r="I687" s="14">
        <v>187000</v>
      </c>
      <c r="J687" s="14">
        <v>4210</v>
      </c>
      <c r="K687" s="14">
        <v>5290</v>
      </c>
      <c r="N687" s="42">
        <f t="shared" si="38"/>
        <v>54000</v>
      </c>
      <c r="O687" s="43">
        <f t="shared" si="39"/>
        <v>0.12529002320185614</v>
      </c>
    </row>
    <row r="688" spans="1:15" x14ac:dyDescent="0.45">
      <c r="A688" s="12" t="s">
        <v>30644</v>
      </c>
      <c r="B688" s="14">
        <v>375000</v>
      </c>
      <c r="C688" s="14">
        <v>430000</v>
      </c>
      <c r="D688" s="14">
        <v>275700</v>
      </c>
      <c r="E688" s="14">
        <v>316050</v>
      </c>
      <c r="F688" s="14">
        <v>213800</v>
      </c>
      <c r="G688" s="14">
        <v>245099</v>
      </c>
      <c r="H688" s="14">
        <v>148000</v>
      </c>
      <c r="I688" s="14">
        <v>182000</v>
      </c>
      <c r="J688" s="14">
        <v>4200</v>
      </c>
      <c r="K688" s="14">
        <v>5280</v>
      </c>
      <c r="N688" s="42">
        <f t="shared" si="38"/>
        <v>55000</v>
      </c>
      <c r="O688" s="43">
        <f t="shared" si="39"/>
        <v>0.12790697674418605</v>
      </c>
    </row>
    <row r="689" spans="1:15" x14ac:dyDescent="0.45">
      <c r="A689" s="12" t="s">
        <v>30645</v>
      </c>
      <c r="B689" s="14">
        <v>369000</v>
      </c>
      <c r="C689" s="14">
        <v>428000</v>
      </c>
      <c r="D689" s="14">
        <v>271300</v>
      </c>
      <c r="E689" s="14">
        <v>314580</v>
      </c>
      <c r="F689" s="14">
        <v>210400</v>
      </c>
      <c r="G689" s="14">
        <v>243959</v>
      </c>
      <c r="H689" s="14">
        <v>147000</v>
      </c>
      <c r="I689" s="14">
        <v>182000</v>
      </c>
      <c r="J689" s="14">
        <v>4120</v>
      </c>
      <c r="K689" s="14">
        <v>5180</v>
      </c>
      <c r="N689" s="42">
        <f t="shared" si="38"/>
        <v>59000</v>
      </c>
      <c r="O689" s="43">
        <f t="shared" si="39"/>
        <v>0.13785046728971961</v>
      </c>
    </row>
    <row r="690" spans="1:15" x14ac:dyDescent="0.45">
      <c r="A690" s="12" t="s">
        <v>30646</v>
      </c>
      <c r="B690" s="14">
        <v>368000</v>
      </c>
      <c r="C690" s="14">
        <v>426000</v>
      </c>
      <c r="D690" s="14">
        <v>270500</v>
      </c>
      <c r="E690" s="14">
        <v>313110</v>
      </c>
      <c r="F690" s="14">
        <v>209800</v>
      </c>
      <c r="G690" s="14">
        <v>242819</v>
      </c>
      <c r="H690" s="14">
        <v>148000</v>
      </c>
      <c r="I690" s="14">
        <v>182000</v>
      </c>
      <c r="J690" s="14">
        <v>4060</v>
      </c>
      <c r="K690" s="14">
        <v>5110</v>
      </c>
      <c r="N690" s="42">
        <f t="shared" si="38"/>
        <v>58000</v>
      </c>
      <c r="O690" s="43">
        <f t="shared" si="39"/>
        <v>0.13615023474178403</v>
      </c>
    </row>
    <row r="691" spans="1:15" x14ac:dyDescent="0.45">
      <c r="A691" s="12" t="s">
        <v>30647</v>
      </c>
      <c r="B691" s="14">
        <v>372000</v>
      </c>
      <c r="C691" s="14">
        <v>429000</v>
      </c>
      <c r="D691" s="14">
        <v>273500</v>
      </c>
      <c r="E691" s="14">
        <v>315315</v>
      </c>
      <c r="F691" s="14">
        <v>212100</v>
      </c>
      <c r="G691" s="14">
        <v>244529</v>
      </c>
      <c r="H691" s="14">
        <v>149000</v>
      </c>
      <c r="I691" s="14">
        <v>184000</v>
      </c>
      <c r="J691" s="14">
        <v>4110</v>
      </c>
      <c r="K691" s="14">
        <v>5170</v>
      </c>
      <c r="N691" s="42">
        <f t="shared" si="38"/>
        <v>57000</v>
      </c>
      <c r="O691" s="43">
        <f t="shared" si="39"/>
        <v>0.13286713286713286</v>
      </c>
    </row>
    <row r="692" spans="1:15" x14ac:dyDescent="0.45">
      <c r="A692" s="12" t="s">
        <v>30648</v>
      </c>
      <c r="B692" s="14">
        <v>377000</v>
      </c>
      <c r="C692" s="14">
        <v>435000</v>
      </c>
      <c r="D692" s="14">
        <v>277100</v>
      </c>
      <c r="E692" s="14">
        <v>319725</v>
      </c>
      <c r="F692" s="14">
        <v>214900</v>
      </c>
      <c r="G692" s="14">
        <v>247949</v>
      </c>
      <c r="H692" s="14">
        <v>150000</v>
      </c>
      <c r="I692" s="14">
        <v>185000</v>
      </c>
      <c r="J692" s="14">
        <v>4100</v>
      </c>
      <c r="K692" s="14">
        <v>5180</v>
      </c>
      <c r="N692" s="42">
        <f t="shared" si="38"/>
        <v>58000</v>
      </c>
      <c r="O692" s="43">
        <f t="shared" si="39"/>
        <v>0.13333333333333333</v>
      </c>
    </row>
    <row r="693" spans="1:15" x14ac:dyDescent="0.45">
      <c r="A693" s="12" t="s">
        <v>30649</v>
      </c>
      <c r="B693" s="14">
        <v>379000</v>
      </c>
      <c r="C693" s="14">
        <v>432000</v>
      </c>
      <c r="D693" s="14">
        <v>278600</v>
      </c>
      <c r="E693" s="14">
        <v>317520</v>
      </c>
      <c r="F693" s="14">
        <v>216100</v>
      </c>
      <c r="G693" s="14">
        <v>246239</v>
      </c>
      <c r="H693" s="14">
        <v>147000</v>
      </c>
      <c r="I693" s="14">
        <v>182000</v>
      </c>
      <c r="J693" s="14">
        <v>4110</v>
      </c>
      <c r="K693" s="14">
        <v>5170</v>
      </c>
      <c r="N693" s="42">
        <f t="shared" si="38"/>
        <v>53000</v>
      </c>
      <c r="O693" s="43">
        <f t="shared" si="39"/>
        <v>0.12268518518518519</v>
      </c>
    </row>
    <row r="694" spans="1:15" x14ac:dyDescent="0.45">
      <c r="A694" s="12" t="s">
        <v>30650</v>
      </c>
      <c r="B694" s="14">
        <v>379000</v>
      </c>
      <c r="C694" s="14">
        <v>437000</v>
      </c>
      <c r="D694" s="14">
        <v>278600</v>
      </c>
      <c r="E694" s="14">
        <v>321195</v>
      </c>
      <c r="F694" s="14">
        <v>216100</v>
      </c>
      <c r="G694" s="14">
        <v>249089</v>
      </c>
      <c r="H694" s="14">
        <v>148000</v>
      </c>
      <c r="I694" s="14">
        <v>183000</v>
      </c>
      <c r="J694" s="14">
        <v>4190</v>
      </c>
      <c r="K694" s="14">
        <v>5270</v>
      </c>
      <c r="N694" s="42">
        <f t="shared" si="38"/>
        <v>58000</v>
      </c>
      <c r="O694" s="43">
        <f t="shared" si="39"/>
        <v>0.13272311212814644</v>
      </c>
    </row>
    <row r="695" spans="1:15" x14ac:dyDescent="0.45">
      <c r="A695" s="12" t="s">
        <v>30651</v>
      </c>
      <c r="B695" s="14">
        <v>385000</v>
      </c>
      <c r="C695" s="14">
        <v>437000</v>
      </c>
      <c r="D695" s="14">
        <v>283000</v>
      </c>
      <c r="E695" s="14">
        <v>321195</v>
      </c>
      <c r="F695" s="14">
        <v>219500</v>
      </c>
      <c r="G695" s="14">
        <v>249089</v>
      </c>
      <c r="H695" s="14">
        <v>144000</v>
      </c>
      <c r="I695" s="14">
        <v>177000</v>
      </c>
      <c r="J695" s="14">
        <v>4220</v>
      </c>
      <c r="K695" s="14">
        <v>5310</v>
      </c>
      <c r="N695" s="42">
        <f t="shared" si="38"/>
        <v>52000</v>
      </c>
      <c r="O695" s="43">
        <f t="shared" si="39"/>
        <v>0.11899313501144165</v>
      </c>
    </row>
    <row r="696" spans="1:15" x14ac:dyDescent="0.45">
      <c r="A696" s="12" t="s">
        <v>30652</v>
      </c>
      <c r="B696" s="14">
        <v>387000</v>
      </c>
      <c r="C696" s="14">
        <v>439000</v>
      </c>
      <c r="D696" s="14">
        <v>284500</v>
      </c>
      <c r="E696" s="14">
        <v>322665</v>
      </c>
      <c r="F696" s="14">
        <v>220600</v>
      </c>
      <c r="G696" s="14">
        <v>250229</v>
      </c>
      <c r="H696" s="14">
        <v>143000</v>
      </c>
      <c r="I696" s="14">
        <v>177000</v>
      </c>
      <c r="J696" s="14">
        <v>4230</v>
      </c>
      <c r="K696" s="14">
        <v>5310</v>
      </c>
      <c r="N696" s="42">
        <f t="shared" si="38"/>
        <v>52000</v>
      </c>
      <c r="O696" s="43">
        <f t="shared" si="39"/>
        <v>0.11845102505694761</v>
      </c>
    </row>
    <row r="697" spans="1:15" x14ac:dyDescent="0.45">
      <c r="A697" s="12" t="s">
        <v>30653</v>
      </c>
      <c r="B697" s="14">
        <v>387000</v>
      </c>
      <c r="C697" s="14">
        <v>439000</v>
      </c>
      <c r="D697" s="14">
        <v>284500</v>
      </c>
      <c r="E697" s="14">
        <v>322665</v>
      </c>
      <c r="F697" s="14">
        <v>220600</v>
      </c>
      <c r="G697" s="14">
        <v>250229</v>
      </c>
      <c r="H697" s="14">
        <v>144000</v>
      </c>
      <c r="I697" s="14">
        <v>178000</v>
      </c>
      <c r="J697" s="14">
        <v>4290</v>
      </c>
      <c r="K697" s="14">
        <v>5400</v>
      </c>
      <c r="N697" s="42">
        <f t="shared" si="38"/>
        <v>52000</v>
      </c>
      <c r="O697" s="43">
        <f t="shared" si="39"/>
        <v>0.11845102505694761</v>
      </c>
    </row>
    <row r="698" spans="1:15" x14ac:dyDescent="0.45">
      <c r="A698" s="12" t="s">
        <v>30654</v>
      </c>
      <c r="B698" s="14">
        <v>387000</v>
      </c>
      <c r="C698" s="14">
        <v>435000</v>
      </c>
      <c r="D698" s="14">
        <v>284500</v>
      </c>
      <c r="E698" s="14">
        <v>319725</v>
      </c>
      <c r="F698" s="14">
        <v>220600</v>
      </c>
      <c r="G698" s="14">
        <v>247949</v>
      </c>
      <c r="H698" s="14">
        <v>141000</v>
      </c>
      <c r="I698" s="14">
        <v>175000</v>
      </c>
      <c r="J698" s="14">
        <v>4220</v>
      </c>
      <c r="K698" s="14">
        <v>5310</v>
      </c>
      <c r="N698" s="42">
        <f t="shared" si="38"/>
        <v>48000</v>
      </c>
      <c r="O698" s="43">
        <f t="shared" si="39"/>
        <v>0.1103448275862069</v>
      </c>
    </row>
    <row r="699" spans="1:15" x14ac:dyDescent="0.45">
      <c r="A699" s="12" t="s">
        <v>30655</v>
      </c>
      <c r="B699" s="14">
        <v>387000</v>
      </c>
      <c r="C699" s="14">
        <v>433000</v>
      </c>
      <c r="D699" s="14">
        <v>284500</v>
      </c>
      <c r="E699" s="14">
        <v>318255</v>
      </c>
      <c r="F699" s="14">
        <v>220600</v>
      </c>
      <c r="G699" s="14">
        <v>246809</v>
      </c>
      <c r="H699" s="14">
        <v>142000</v>
      </c>
      <c r="I699" s="14">
        <v>175000</v>
      </c>
      <c r="J699" s="14">
        <v>4200</v>
      </c>
      <c r="K699" s="14">
        <v>5280</v>
      </c>
      <c r="N699" s="42">
        <f t="shared" si="38"/>
        <v>46000</v>
      </c>
      <c r="O699" s="43">
        <f t="shared" si="39"/>
        <v>0.10623556581986143</v>
      </c>
    </row>
    <row r="700" spans="1:15" x14ac:dyDescent="0.45">
      <c r="A700" s="12" t="s">
        <v>30656</v>
      </c>
      <c r="B700" s="14">
        <v>387000</v>
      </c>
      <c r="C700" s="14">
        <v>432000</v>
      </c>
      <c r="D700" s="14">
        <v>284500</v>
      </c>
      <c r="E700" s="14">
        <v>317520</v>
      </c>
      <c r="F700" s="14">
        <v>220600</v>
      </c>
      <c r="G700" s="14">
        <v>246239</v>
      </c>
      <c r="H700" s="14">
        <v>143000</v>
      </c>
      <c r="I700" s="14">
        <v>177000</v>
      </c>
      <c r="J700" s="14">
        <v>4180</v>
      </c>
      <c r="K700" s="14">
        <v>5250</v>
      </c>
      <c r="N700" s="42">
        <f t="shared" si="38"/>
        <v>45000</v>
      </c>
      <c r="O700" s="43">
        <f t="shared" si="39"/>
        <v>0.10416666666666667</v>
      </c>
    </row>
    <row r="701" spans="1:15" x14ac:dyDescent="0.45">
      <c r="A701" s="12" t="s">
        <v>30657</v>
      </c>
      <c r="B701" s="14">
        <v>399000</v>
      </c>
      <c r="C701" s="14">
        <v>444000</v>
      </c>
      <c r="D701" s="14">
        <v>293300</v>
      </c>
      <c r="E701" s="14">
        <v>326340</v>
      </c>
      <c r="F701" s="14">
        <v>227500</v>
      </c>
      <c r="G701" s="14">
        <v>253079</v>
      </c>
      <c r="H701" s="14">
        <v>146000</v>
      </c>
      <c r="I701" s="14">
        <v>180000</v>
      </c>
      <c r="J701" s="14">
        <v>4320</v>
      </c>
      <c r="K701" s="14">
        <v>5440</v>
      </c>
      <c r="N701" s="42">
        <f t="shared" si="38"/>
        <v>45000</v>
      </c>
      <c r="O701" s="43">
        <f t="shared" si="39"/>
        <v>0.10135135135135136</v>
      </c>
    </row>
    <row r="702" spans="1:15" x14ac:dyDescent="0.45">
      <c r="A702" s="12" t="s">
        <v>30658</v>
      </c>
      <c r="B702" s="14">
        <v>402000</v>
      </c>
      <c r="C702" s="14">
        <v>448000</v>
      </c>
      <c r="D702" s="14">
        <v>295500</v>
      </c>
      <c r="E702" s="14">
        <v>329280</v>
      </c>
      <c r="F702" s="14">
        <v>229200</v>
      </c>
      <c r="G702" s="14">
        <v>255359</v>
      </c>
      <c r="H702" s="14">
        <v>146000</v>
      </c>
      <c r="I702" s="14">
        <v>180000</v>
      </c>
      <c r="J702" s="14">
        <v>4440</v>
      </c>
      <c r="K702" s="14">
        <v>5590</v>
      </c>
      <c r="N702" s="42">
        <f t="shared" si="38"/>
        <v>46000</v>
      </c>
      <c r="O702" s="43">
        <f t="shared" si="39"/>
        <v>0.10267857142857142</v>
      </c>
    </row>
    <row r="703" spans="1:15" x14ac:dyDescent="0.45">
      <c r="A703" s="12" t="s">
        <v>30659</v>
      </c>
      <c r="B703" s="14">
        <v>401000</v>
      </c>
      <c r="C703" s="14">
        <v>448000</v>
      </c>
      <c r="D703" s="14">
        <v>294800</v>
      </c>
      <c r="E703" s="14">
        <v>329280</v>
      </c>
      <c r="F703" s="14">
        <v>228600</v>
      </c>
      <c r="G703" s="14">
        <v>255359</v>
      </c>
      <c r="H703" s="14">
        <v>147000</v>
      </c>
      <c r="I703" s="14">
        <v>182000</v>
      </c>
      <c r="J703" s="14">
        <v>4390</v>
      </c>
      <c r="K703" s="14">
        <v>5520</v>
      </c>
      <c r="N703" s="42">
        <f t="shared" si="38"/>
        <v>47000</v>
      </c>
      <c r="O703" s="43">
        <f t="shared" si="39"/>
        <v>0.10491071428571429</v>
      </c>
    </row>
    <row r="704" spans="1:15" x14ac:dyDescent="0.45">
      <c r="A704" s="12" t="s">
        <v>30660</v>
      </c>
      <c r="B704" s="14">
        <v>398000</v>
      </c>
      <c r="C704" s="14">
        <v>444000</v>
      </c>
      <c r="D704" s="14">
        <v>292600</v>
      </c>
      <c r="E704" s="14">
        <v>326340</v>
      </c>
      <c r="F704" s="14">
        <v>226900</v>
      </c>
      <c r="G704" s="14">
        <v>253079</v>
      </c>
      <c r="H704" s="14">
        <v>147000</v>
      </c>
      <c r="I704" s="14">
        <v>182000</v>
      </c>
      <c r="J704" s="14">
        <v>4380</v>
      </c>
      <c r="K704" s="14">
        <v>5510</v>
      </c>
      <c r="N704" s="42">
        <f t="shared" si="38"/>
        <v>46000</v>
      </c>
      <c r="O704" s="43">
        <f t="shared" si="39"/>
        <v>0.1036036036036036</v>
      </c>
    </row>
    <row r="705" spans="1:15" x14ac:dyDescent="0.45">
      <c r="A705" s="12" t="s">
        <v>30661</v>
      </c>
      <c r="B705" s="14">
        <v>399000</v>
      </c>
      <c r="C705" s="14">
        <v>448000</v>
      </c>
      <c r="D705" s="14">
        <v>293300</v>
      </c>
      <c r="E705" s="14">
        <v>329280</v>
      </c>
      <c r="F705" s="14">
        <v>227500</v>
      </c>
      <c r="G705" s="14">
        <v>255359</v>
      </c>
      <c r="H705" s="14">
        <v>150000</v>
      </c>
      <c r="I705" s="14">
        <v>185000</v>
      </c>
      <c r="J705" s="14">
        <v>4390</v>
      </c>
      <c r="K705" s="14">
        <v>5520</v>
      </c>
      <c r="N705" s="42">
        <f t="shared" si="38"/>
        <v>49000</v>
      </c>
      <c r="O705" s="43">
        <f t="shared" si="39"/>
        <v>0.109375</v>
      </c>
    </row>
    <row r="706" spans="1:15" x14ac:dyDescent="0.45">
      <c r="A706" s="12" t="s">
        <v>30662</v>
      </c>
      <c r="B706" s="14">
        <v>392000</v>
      </c>
      <c r="C706" s="14">
        <v>452000</v>
      </c>
      <c r="D706" s="14">
        <v>288200</v>
      </c>
      <c r="E706" s="14">
        <v>332220</v>
      </c>
      <c r="F706" s="14">
        <v>223500</v>
      </c>
      <c r="G706" s="14">
        <v>257639</v>
      </c>
      <c r="H706" s="14">
        <v>153000</v>
      </c>
      <c r="I706" s="14">
        <v>189000</v>
      </c>
      <c r="J706" s="14">
        <v>4490</v>
      </c>
      <c r="K706" s="14">
        <v>5640</v>
      </c>
      <c r="N706" s="42">
        <f t="shared" si="38"/>
        <v>60000</v>
      </c>
      <c r="O706" s="43">
        <f t="shared" si="39"/>
        <v>0.13274336283185842</v>
      </c>
    </row>
    <row r="707" spans="1:15" x14ac:dyDescent="0.45">
      <c r="A707" s="12" t="s">
        <v>30663</v>
      </c>
      <c r="B707" s="14">
        <v>389000</v>
      </c>
      <c r="C707" s="14">
        <v>443000</v>
      </c>
      <c r="D707" s="14">
        <v>286000</v>
      </c>
      <c r="E707" s="14">
        <v>325605</v>
      </c>
      <c r="F707" s="14">
        <v>221800</v>
      </c>
      <c r="G707" s="14">
        <v>252509</v>
      </c>
      <c r="H707" s="14">
        <v>153000</v>
      </c>
      <c r="I707" s="14">
        <v>189000</v>
      </c>
      <c r="J707" s="14">
        <v>4380</v>
      </c>
      <c r="K707" s="14">
        <v>5500</v>
      </c>
      <c r="N707" s="42">
        <f t="shared" si="38"/>
        <v>54000</v>
      </c>
      <c r="O707" s="43">
        <f t="shared" si="39"/>
        <v>0.12189616252821671</v>
      </c>
    </row>
    <row r="708" spans="1:15" x14ac:dyDescent="0.45">
      <c r="A708" s="12" t="s">
        <v>30664</v>
      </c>
      <c r="B708" s="14">
        <v>388000</v>
      </c>
      <c r="C708" s="14">
        <v>441000</v>
      </c>
      <c r="D708" s="14">
        <v>285200</v>
      </c>
      <c r="E708" s="14">
        <v>324135</v>
      </c>
      <c r="F708" s="14">
        <v>221200</v>
      </c>
      <c r="G708" s="14">
        <v>251369</v>
      </c>
      <c r="H708" s="14">
        <v>153000</v>
      </c>
      <c r="I708" s="14">
        <v>189000</v>
      </c>
      <c r="J708" s="14">
        <v>4340</v>
      </c>
      <c r="K708" s="14">
        <v>5460</v>
      </c>
      <c r="N708" s="42">
        <f t="shared" si="38"/>
        <v>53000</v>
      </c>
      <c r="O708" s="43">
        <f t="shared" si="39"/>
        <v>0.12018140589569161</v>
      </c>
    </row>
    <row r="709" spans="1:15" x14ac:dyDescent="0.45">
      <c r="A709" s="12" t="s">
        <v>30665</v>
      </c>
      <c r="B709" s="14">
        <v>388000</v>
      </c>
      <c r="C709" s="14">
        <v>448000</v>
      </c>
      <c r="D709" s="14">
        <v>285200</v>
      </c>
      <c r="E709" s="14">
        <v>329280</v>
      </c>
      <c r="F709" s="14">
        <v>221200</v>
      </c>
      <c r="G709" s="14">
        <v>255360</v>
      </c>
      <c r="H709" s="14">
        <v>156000</v>
      </c>
      <c r="I709" s="14">
        <v>192000</v>
      </c>
      <c r="J709" s="14">
        <v>4490</v>
      </c>
      <c r="K709" s="14">
        <v>5650</v>
      </c>
      <c r="N709" s="42">
        <f t="shared" si="38"/>
        <v>60000</v>
      </c>
      <c r="O709" s="43">
        <f t="shared" si="39"/>
        <v>0.13392857142857142</v>
      </c>
    </row>
    <row r="710" spans="1:15" x14ac:dyDescent="0.45">
      <c r="A710" s="12" t="s">
        <v>30666</v>
      </c>
      <c r="B710" s="14">
        <v>385000</v>
      </c>
      <c r="C710" s="14">
        <v>436000</v>
      </c>
      <c r="D710" s="14">
        <v>283000</v>
      </c>
      <c r="E710" s="14">
        <v>320460</v>
      </c>
      <c r="F710" s="14">
        <v>219500</v>
      </c>
      <c r="G710" s="14">
        <v>248520</v>
      </c>
      <c r="H710" s="14">
        <v>150000</v>
      </c>
      <c r="I710" s="14">
        <v>186000</v>
      </c>
      <c r="J710" s="14">
        <v>4300</v>
      </c>
      <c r="K710" s="14">
        <v>5410</v>
      </c>
      <c r="N710" s="42">
        <f t="shared" si="38"/>
        <v>51000</v>
      </c>
      <c r="O710" s="43">
        <f t="shared" si="39"/>
        <v>0.11697247706422019</v>
      </c>
    </row>
    <row r="711" spans="1:15" x14ac:dyDescent="0.45">
      <c r="A711" s="12" t="s">
        <v>30667</v>
      </c>
      <c r="B711" s="14">
        <v>384000</v>
      </c>
      <c r="C711" s="14">
        <v>433000</v>
      </c>
      <c r="D711" s="14">
        <v>282200</v>
      </c>
      <c r="E711" s="14">
        <v>318255</v>
      </c>
      <c r="F711" s="14">
        <v>218900</v>
      </c>
      <c r="G711" s="14">
        <v>246810</v>
      </c>
      <c r="H711" s="14">
        <v>150000</v>
      </c>
      <c r="I711" s="14">
        <v>185000</v>
      </c>
      <c r="J711" s="14">
        <v>4290</v>
      </c>
      <c r="K711" s="14">
        <v>5400</v>
      </c>
      <c r="N711" s="42">
        <f t="shared" si="38"/>
        <v>49000</v>
      </c>
      <c r="O711" s="43">
        <f t="shared" si="39"/>
        <v>0.11316397228637413</v>
      </c>
    </row>
    <row r="712" spans="1:15" x14ac:dyDescent="0.45">
      <c r="A712" s="12" t="s">
        <v>30668</v>
      </c>
      <c r="B712" s="14">
        <v>383000</v>
      </c>
      <c r="C712" s="14">
        <v>433000</v>
      </c>
      <c r="D712" s="14">
        <v>281500</v>
      </c>
      <c r="E712" s="14">
        <v>318255</v>
      </c>
      <c r="F712" s="14">
        <v>218300</v>
      </c>
      <c r="G712" s="14">
        <v>246810</v>
      </c>
      <c r="H712" s="14">
        <v>150000</v>
      </c>
      <c r="I712" s="14">
        <v>185000</v>
      </c>
      <c r="J712" s="14">
        <v>4240</v>
      </c>
      <c r="K712" s="14">
        <v>5330</v>
      </c>
      <c r="N712" s="42">
        <f t="shared" si="38"/>
        <v>50000</v>
      </c>
      <c r="O712" s="43">
        <f t="shared" si="39"/>
        <v>0.11547344110854503</v>
      </c>
    </row>
    <row r="713" spans="1:15" x14ac:dyDescent="0.45">
      <c r="A713" s="12" t="s">
        <v>30669</v>
      </c>
      <c r="B713" s="14">
        <v>378000</v>
      </c>
      <c r="C713" s="14">
        <v>431000</v>
      </c>
      <c r="D713" s="14">
        <v>277800</v>
      </c>
      <c r="E713" s="14">
        <v>316785</v>
      </c>
      <c r="F713" s="14">
        <v>215500</v>
      </c>
      <c r="G713" s="14">
        <v>245670</v>
      </c>
      <c r="H713" s="14">
        <v>143000</v>
      </c>
      <c r="I713" s="14">
        <v>177000</v>
      </c>
      <c r="J713" s="14">
        <v>4190</v>
      </c>
      <c r="K713" s="14">
        <v>5270</v>
      </c>
      <c r="N713" s="42">
        <f t="shared" si="38"/>
        <v>53000</v>
      </c>
      <c r="O713" s="43">
        <f t="shared" si="39"/>
        <v>0.12296983758700696</v>
      </c>
    </row>
    <row r="714" spans="1:15" x14ac:dyDescent="0.45">
      <c r="A714" s="12" t="s">
        <v>30670</v>
      </c>
      <c r="B714" s="14">
        <v>378000</v>
      </c>
      <c r="C714" s="14">
        <v>423000</v>
      </c>
      <c r="D714" s="14">
        <v>277800</v>
      </c>
      <c r="E714" s="14">
        <v>310905</v>
      </c>
      <c r="F714" s="14">
        <v>215500</v>
      </c>
      <c r="G714" s="14">
        <v>241110</v>
      </c>
      <c r="H714" s="14">
        <v>142000</v>
      </c>
      <c r="I714" s="14">
        <v>176000</v>
      </c>
      <c r="J714" s="14">
        <v>4060</v>
      </c>
      <c r="K714" s="14">
        <v>5100</v>
      </c>
      <c r="N714" s="42">
        <f t="shared" si="38"/>
        <v>45000</v>
      </c>
      <c r="O714" s="43">
        <f t="shared" si="39"/>
        <v>0.10638297872340426</v>
      </c>
    </row>
    <row r="715" spans="1:15" x14ac:dyDescent="0.45">
      <c r="A715" s="12" t="s">
        <v>30671</v>
      </c>
      <c r="B715" s="14">
        <v>377000</v>
      </c>
      <c r="C715" s="14">
        <v>424000</v>
      </c>
      <c r="D715" s="14">
        <v>277100</v>
      </c>
      <c r="E715" s="14">
        <v>311640</v>
      </c>
      <c r="F715" s="14">
        <v>214900</v>
      </c>
      <c r="G715" s="14">
        <v>241680</v>
      </c>
      <c r="H715" s="14">
        <v>143000</v>
      </c>
      <c r="I715" s="14">
        <v>177000</v>
      </c>
      <c r="J715" s="14">
        <v>4120</v>
      </c>
      <c r="K715" s="14">
        <v>5180</v>
      </c>
      <c r="N715" s="42">
        <f t="shared" si="38"/>
        <v>47000</v>
      </c>
      <c r="O715" s="43">
        <f t="shared" si="39"/>
        <v>0.11084905660377359</v>
      </c>
    </row>
    <row r="716" spans="1:15" x14ac:dyDescent="0.45">
      <c r="A716" s="12" t="s">
        <v>30672</v>
      </c>
      <c r="B716" s="14">
        <v>376000</v>
      </c>
      <c r="C716" s="14">
        <v>422000</v>
      </c>
      <c r="D716" s="14">
        <v>276400</v>
      </c>
      <c r="E716" s="14">
        <v>310170</v>
      </c>
      <c r="F716" s="14">
        <v>214300</v>
      </c>
      <c r="G716" s="14">
        <v>240540</v>
      </c>
      <c r="H716" s="14">
        <v>141000</v>
      </c>
      <c r="I716" s="14">
        <v>175000</v>
      </c>
      <c r="J716" s="14">
        <v>3980</v>
      </c>
      <c r="K716" s="14">
        <v>5000</v>
      </c>
      <c r="N716" s="42">
        <f t="shared" si="38"/>
        <v>46000</v>
      </c>
      <c r="O716" s="43">
        <f t="shared" si="39"/>
        <v>0.10900473933649289</v>
      </c>
    </row>
    <row r="717" spans="1:15" x14ac:dyDescent="0.45">
      <c r="A717" s="12" t="s">
        <v>30673</v>
      </c>
      <c r="B717" s="14">
        <v>372000</v>
      </c>
      <c r="C717" s="14">
        <v>418000</v>
      </c>
      <c r="D717" s="14">
        <v>273400</v>
      </c>
      <c r="E717" s="14">
        <v>307230</v>
      </c>
      <c r="F717" s="14">
        <v>212000</v>
      </c>
      <c r="G717" s="14">
        <v>238260</v>
      </c>
      <c r="H717" s="14">
        <v>139000</v>
      </c>
      <c r="I717" s="14">
        <v>172000</v>
      </c>
      <c r="J717" s="14">
        <v>3840</v>
      </c>
      <c r="K717" s="14">
        <v>4830</v>
      </c>
      <c r="N717" s="42">
        <f t="shared" si="38"/>
        <v>46000</v>
      </c>
      <c r="O717" s="43">
        <f t="shared" si="39"/>
        <v>0.11004784688995216</v>
      </c>
    </row>
    <row r="718" spans="1:15" x14ac:dyDescent="0.45">
      <c r="A718" s="12" t="s">
        <v>30674</v>
      </c>
      <c r="B718" s="14">
        <v>372000</v>
      </c>
      <c r="C718" s="14">
        <v>416000</v>
      </c>
      <c r="D718" s="14">
        <v>273400</v>
      </c>
      <c r="E718" s="14">
        <v>305760</v>
      </c>
      <c r="F718" s="14">
        <v>212000</v>
      </c>
      <c r="G718" s="14">
        <v>237120</v>
      </c>
      <c r="H718" s="14">
        <v>140000</v>
      </c>
      <c r="I718" s="14">
        <v>173000</v>
      </c>
      <c r="J718" s="14">
        <v>3820</v>
      </c>
      <c r="K718" s="14">
        <v>4810</v>
      </c>
      <c r="N718" s="42">
        <f t="shared" si="38"/>
        <v>44000</v>
      </c>
      <c r="O718" s="43">
        <f t="shared" si="39"/>
        <v>0.10576923076923077</v>
      </c>
    </row>
    <row r="719" spans="1:15" x14ac:dyDescent="0.45">
      <c r="A719" s="12" t="s">
        <v>30675</v>
      </c>
      <c r="B719" s="14">
        <v>365000</v>
      </c>
      <c r="C719" s="14">
        <v>411000</v>
      </c>
      <c r="D719" s="14">
        <v>268300</v>
      </c>
      <c r="E719" s="14">
        <v>302085</v>
      </c>
      <c r="F719" s="14">
        <v>208100</v>
      </c>
      <c r="G719" s="14">
        <v>234270</v>
      </c>
      <c r="H719" s="14">
        <v>140000</v>
      </c>
      <c r="I719" s="14">
        <v>173000</v>
      </c>
      <c r="J719" s="14">
        <v>3800</v>
      </c>
      <c r="K719" s="14">
        <v>4780</v>
      </c>
      <c r="N719" s="42">
        <f t="shared" si="38"/>
        <v>46000</v>
      </c>
      <c r="O719" s="43">
        <f t="shared" si="39"/>
        <v>0.11192214111922141</v>
      </c>
    </row>
    <row r="720" spans="1:15" x14ac:dyDescent="0.45">
      <c r="A720" s="12" t="s">
        <v>30676</v>
      </c>
      <c r="B720" s="14">
        <v>365000</v>
      </c>
      <c r="C720" s="14">
        <v>411000</v>
      </c>
      <c r="D720" s="14">
        <v>268300</v>
      </c>
      <c r="E720" s="14">
        <v>302085</v>
      </c>
      <c r="F720" s="14">
        <v>208100</v>
      </c>
      <c r="G720" s="14">
        <v>234270</v>
      </c>
      <c r="H720" s="14">
        <v>140000</v>
      </c>
      <c r="I720" s="14">
        <v>173000</v>
      </c>
      <c r="J720" s="14">
        <v>3800</v>
      </c>
      <c r="K720" s="14">
        <v>4780</v>
      </c>
      <c r="N720" s="42">
        <f t="shared" si="38"/>
        <v>46000</v>
      </c>
      <c r="O720" s="43">
        <f t="shared" si="39"/>
        <v>0.11192214111922141</v>
      </c>
    </row>
    <row r="721" spans="1:15" x14ac:dyDescent="0.45">
      <c r="A721" s="12" t="s">
        <v>30677</v>
      </c>
      <c r="B721" s="14">
        <v>367000</v>
      </c>
      <c r="C721" s="14">
        <v>404000</v>
      </c>
      <c r="D721" s="14">
        <v>269700</v>
      </c>
      <c r="E721" s="14">
        <v>296940</v>
      </c>
      <c r="F721" s="14">
        <v>209200</v>
      </c>
      <c r="G721" s="14">
        <v>230280</v>
      </c>
      <c r="H721" s="14">
        <v>137000</v>
      </c>
      <c r="I721" s="14">
        <v>170000</v>
      </c>
      <c r="J721" s="14">
        <v>3740</v>
      </c>
      <c r="K721" s="14">
        <v>4700</v>
      </c>
      <c r="N721" s="42">
        <f t="shared" si="38"/>
        <v>37000</v>
      </c>
      <c r="O721" s="43">
        <f t="shared" si="39"/>
        <v>9.1584158415841582E-2</v>
      </c>
    </row>
    <row r="722" spans="1:15" x14ac:dyDescent="0.45">
      <c r="A722" s="12" t="s">
        <v>30678</v>
      </c>
      <c r="B722" s="14">
        <v>361000</v>
      </c>
      <c r="C722" s="14">
        <v>401000</v>
      </c>
      <c r="D722" s="14">
        <v>265300</v>
      </c>
      <c r="E722" s="14">
        <v>294735</v>
      </c>
      <c r="F722" s="14">
        <v>205800</v>
      </c>
      <c r="G722" s="14">
        <v>228570</v>
      </c>
      <c r="H722" s="14">
        <v>138000</v>
      </c>
      <c r="I722" s="14">
        <v>171000</v>
      </c>
      <c r="J722" s="14">
        <v>3710</v>
      </c>
      <c r="K722" s="14">
        <v>4670</v>
      </c>
      <c r="N722" s="42">
        <f t="shared" si="38"/>
        <v>40000</v>
      </c>
      <c r="O722" s="43">
        <f t="shared" si="39"/>
        <v>9.9750623441396513E-2</v>
      </c>
    </row>
    <row r="723" spans="1:15" x14ac:dyDescent="0.45">
      <c r="A723" s="12" t="s">
        <v>30679</v>
      </c>
      <c r="B723" s="14">
        <v>358000</v>
      </c>
      <c r="C723" s="14">
        <v>397000</v>
      </c>
      <c r="D723" s="14">
        <v>263100</v>
      </c>
      <c r="E723" s="14">
        <v>291795</v>
      </c>
      <c r="F723" s="14">
        <v>204100</v>
      </c>
      <c r="G723" s="14">
        <v>226290</v>
      </c>
      <c r="H723" s="14">
        <v>138000</v>
      </c>
      <c r="I723" s="14">
        <v>170000</v>
      </c>
      <c r="J723" s="14">
        <v>3720</v>
      </c>
      <c r="K723" s="14">
        <v>4680</v>
      </c>
      <c r="N723" s="42">
        <f t="shared" si="38"/>
        <v>39000</v>
      </c>
      <c r="O723" s="43">
        <f t="shared" si="39"/>
        <v>9.8236775818639793E-2</v>
      </c>
    </row>
    <row r="724" spans="1:15" x14ac:dyDescent="0.45">
      <c r="A724" s="12" t="s">
        <v>30680</v>
      </c>
      <c r="B724" s="14">
        <v>357000</v>
      </c>
      <c r="C724" s="14">
        <v>398000</v>
      </c>
      <c r="D724" s="14">
        <v>262400</v>
      </c>
      <c r="E724" s="14">
        <v>292530</v>
      </c>
      <c r="F724" s="14">
        <v>203500</v>
      </c>
      <c r="G724" s="14">
        <v>226860</v>
      </c>
      <c r="H724" s="14">
        <v>138000</v>
      </c>
      <c r="I724" s="14">
        <v>170000</v>
      </c>
      <c r="J724" s="14">
        <v>3730</v>
      </c>
      <c r="K724" s="14">
        <v>4690</v>
      </c>
      <c r="N724" s="42">
        <f t="shared" si="38"/>
        <v>41000</v>
      </c>
      <c r="O724" s="43">
        <f t="shared" si="39"/>
        <v>0.10301507537688442</v>
      </c>
    </row>
    <row r="725" spans="1:15" x14ac:dyDescent="0.45">
      <c r="A725" s="12" t="s">
        <v>30681</v>
      </c>
      <c r="B725" s="14">
        <v>356000</v>
      </c>
      <c r="C725" s="14">
        <v>399000</v>
      </c>
      <c r="D725" s="14">
        <v>261700</v>
      </c>
      <c r="E725" s="14">
        <v>293265</v>
      </c>
      <c r="F725" s="14">
        <v>202900</v>
      </c>
      <c r="G725" s="14">
        <v>227430</v>
      </c>
      <c r="H725" s="14">
        <v>137000</v>
      </c>
      <c r="I725" s="14">
        <v>170000</v>
      </c>
      <c r="J725" s="14">
        <v>3740</v>
      </c>
      <c r="K725" s="14">
        <v>4710</v>
      </c>
      <c r="N725" s="42">
        <f t="shared" si="38"/>
        <v>43000</v>
      </c>
      <c r="O725" s="43">
        <f t="shared" si="39"/>
        <v>0.10776942355889724</v>
      </c>
    </row>
    <row r="726" spans="1:15" x14ac:dyDescent="0.45">
      <c r="A726" s="12" t="s">
        <v>30682</v>
      </c>
      <c r="B726" s="14">
        <v>356000</v>
      </c>
      <c r="C726" s="14">
        <v>398000</v>
      </c>
      <c r="D726" s="14">
        <v>261700</v>
      </c>
      <c r="E726" s="14">
        <v>292530</v>
      </c>
      <c r="F726" s="14">
        <v>202900</v>
      </c>
      <c r="G726" s="14">
        <v>226860</v>
      </c>
      <c r="H726" s="14">
        <v>137000</v>
      </c>
      <c r="I726" s="14">
        <v>170000</v>
      </c>
      <c r="J726" s="14">
        <v>3720</v>
      </c>
      <c r="K726" s="14">
        <v>4670</v>
      </c>
      <c r="N726" s="42">
        <f t="shared" si="38"/>
        <v>42000</v>
      </c>
      <c r="O726" s="43">
        <f t="shared" si="39"/>
        <v>0.10552763819095477</v>
      </c>
    </row>
    <row r="727" spans="1:15" x14ac:dyDescent="0.45">
      <c r="A727" s="12" t="s">
        <v>30683</v>
      </c>
      <c r="B727" s="14">
        <v>355000</v>
      </c>
      <c r="C727" s="14">
        <v>400000</v>
      </c>
      <c r="D727" s="14">
        <v>260900</v>
      </c>
      <c r="E727" s="14">
        <v>294000</v>
      </c>
      <c r="F727" s="14">
        <v>202400</v>
      </c>
      <c r="G727" s="14">
        <v>228000</v>
      </c>
      <c r="H727" s="14">
        <v>138000</v>
      </c>
      <c r="I727" s="14">
        <v>171000</v>
      </c>
      <c r="J727" s="14">
        <v>3850</v>
      </c>
      <c r="K727" s="14">
        <v>4840</v>
      </c>
      <c r="N727" s="42">
        <f t="shared" si="38"/>
        <v>45000</v>
      </c>
      <c r="O727" s="43">
        <f t="shared" si="39"/>
        <v>0.1125</v>
      </c>
    </row>
    <row r="728" spans="1:15" x14ac:dyDescent="0.45">
      <c r="A728" s="12" t="s">
        <v>30684</v>
      </c>
      <c r="B728" s="14">
        <v>352000</v>
      </c>
      <c r="C728" s="14">
        <v>395000</v>
      </c>
      <c r="D728" s="14">
        <v>258700</v>
      </c>
      <c r="E728" s="14">
        <v>290325</v>
      </c>
      <c r="F728" s="14">
        <v>200600</v>
      </c>
      <c r="G728" s="14">
        <v>225150</v>
      </c>
      <c r="H728" s="14">
        <v>136000</v>
      </c>
      <c r="I728" s="14">
        <v>168000</v>
      </c>
      <c r="J728" s="14">
        <v>3750</v>
      </c>
      <c r="K728" s="14">
        <v>4710</v>
      </c>
      <c r="N728" s="42">
        <f t="shared" si="38"/>
        <v>43000</v>
      </c>
      <c r="O728" s="43">
        <f t="shared" si="39"/>
        <v>0.10886075949367088</v>
      </c>
    </row>
    <row r="729" spans="1:15" x14ac:dyDescent="0.45">
      <c r="A729" s="12" t="s">
        <v>30685</v>
      </c>
      <c r="B729" s="14">
        <v>352000</v>
      </c>
      <c r="C729" s="14">
        <v>396000</v>
      </c>
      <c r="D729" s="14">
        <v>258700</v>
      </c>
      <c r="E729" s="14">
        <v>291060</v>
      </c>
      <c r="F729" s="14">
        <v>200600</v>
      </c>
      <c r="G729" s="14">
        <v>225720</v>
      </c>
      <c r="H729" s="14">
        <v>139000</v>
      </c>
      <c r="I729" s="14">
        <v>172000</v>
      </c>
      <c r="J729" s="14">
        <v>3780</v>
      </c>
      <c r="K729" s="14">
        <v>4750</v>
      </c>
      <c r="N729" s="42">
        <f t="shared" si="38"/>
        <v>44000</v>
      </c>
      <c r="O729" s="43">
        <f t="shared" si="39"/>
        <v>0.1111111111111111</v>
      </c>
    </row>
    <row r="730" spans="1:15" x14ac:dyDescent="0.45">
      <c r="A730" s="12" t="s">
        <v>30686</v>
      </c>
      <c r="B730" s="14">
        <v>350000</v>
      </c>
      <c r="C730" s="14">
        <v>393000</v>
      </c>
      <c r="D730" s="14">
        <v>257300</v>
      </c>
      <c r="E730" s="14">
        <v>288855</v>
      </c>
      <c r="F730" s="14">
        <v>199500</v>
      </c>
      <c r="G730" s="14">
        <v>224010</v>
      </c>
      <c r="H730" s="14">
        <v>140000</v>
      </c>
      <c r="I730" s="14">
        <v>173000</v>
      </c>
      <c r="J730" s="14">
        <v>3770</v>
      </c>
      <c r="K730" s="14">
        <v>4740</v>
      </c>
      <c r="N730" s="42">
        <f t="shared" si="38"/>
        <v>43000</v>
      </c>
      <c r="O730" s="43">
        <f t="shared" si="39"/>
        <v>0.10941475826972011</v>
      </c>
    </row>
    <row r="731" spans="1:15" x14ac:dyDescent="0.45">
      <c r="A731" s="12" t="s">
        <v>30687</v>
      </c>
      <c r="B731" s="14">
        <v>350000</v>
      </c>
      <c r="C731" s="14">
        <v>393000</v>
      </c>
      <c r="D731" s="14">
        <v>257300</v>
      </c>
      <c r="E731" s="14">
        <v>288855</v>
      </c>
      <c r="F731" s="14">
        <v>199500</v>
      </c>
      <c r="G731" s="14">
        <v>224010</v>
      </c>
      <c r="H731" s="14">
        <v>142000</v>
      </c>
      <c r="I731" s="14">
        <v>176000</v>
      </c>
      <c r="J731" s="14">
        <v>3780</v>
      </c>
      <c r="K731" s="14">
        <v>4750</v>
      </c>
      <c r="N731" s="42">
        <f t="shared" si="38"/>
        <v>43000</v>
      </c>
      <c r="O731" s="43">
        <f t="shared" si="39"/>
        <v>0.10941475826972011</v>
      </c>
    </row>
    <row r="732" spans="1:15" x14ac:dyDescent="0.45">
      <c r="A732" s="12" t="s">
        <v>30688</v>
      </c>
      <c r="B732" s="14">
        <v>350000</v>
      </c>
      <c r="C732" s="14">
        <v>395000</v>
      </c>
      <c r="D732" s="14">
        <v>257300</v>
      </c>
      <c r="E732" s="14">
        <v>290325</v>
      </c>
      <c r="F732" s="14">
        <v>199500</v>
      </c>
      <c r="G732" s="14">
        <v>225150</v>
      </c>
      <c r="H732" s="14">
        <v>141000</v>
      </c>
      <c r="I732" s="14">
        <v>174000</v>
      </c>
      <c r="J732" s="14">
        <v>3760</v>
      </c>
      <c r="K732" s="14">
        <v>4730</v>
      </c>
      <c r="N732" s="42">
        <f t="shared" si="38"/>
        <v>45000</v>
      </c>
      <c r="O732" s="43">
        <f t="shared" si="39"/>
        <v>0.11392405063291139</v>
      </c>
    </row>
    <row r="733" spans="1:15" x14ac:dyDescent="0.45">
      <c r="A733" s="12" t="s">
        <v>30689</v>
      </c>
      <c r="B733" s="14">
        <v>350000</v>
      </c>
      <c r="C733" s="14">
        <v>391000</v>
      </c>
      <c r="D733" s="14">
        <v>257300</v>
      </c>
      <c r="E733" s="14">
        <v>287385</v>
      </c>
      <c r="F733" s="14">
        <v>199500</v>
      </c>
      <c r="G733" s="14">
        <v>222870</v>
      </c>
      <c r="H733" s="14">
        <v>141000</v>
      </c>
      <c r="I733" s="14">
        <v>174000</v>
      </c>
      <c r="J733" s="14">
        <v>3710</v>
      </c>
      <c r="K733" s="14">
        <v>4670</v>
      </c>
      <c r="N733" s="42">
        <f t="shared" si="38"/>
        <v>41000</v>
      </c>
      <c r="O733" s="43">
        <f t="shared" si="39"/>
        <v>0.10485933503836317</v>
      </c>
    </row>
    <row r="734" spans="1:15" x14ac:dyDescent="0.45">
      <c r="A734" s="12" t="s">
        <v>30690</v>
      </c>
      <c r="B734" s="14">
        <v>346000</v>
      </c>
      <c r="C734" s="14">
        <v>388000</v>
      </c>
      <c r="D734" s="14">
        <v>254300</v>
      </c>
      <c r="E734" s="14">
        <v>285180</v>
      </c>
      <c r="F734" s="14">
        <v>197200</v>
      </c>
      <c r="G734" s="14">
        <v>221160</v>
      </c>
      <c r="H734" s="14">
        <v>138000</v>
      </c>
      <c r="I734" s="14">
        <v>170000</v>
      </c>
      <c r="J734" s="14">
        <v>3570</v>
      </c>
      <c r="K734" s="14">
        <v>4490</v>
      </c>
      <c r="N734" s="42">
        <f t="shared" si="38"/>
        <v>42000</v>
      </c>
      <c r="O734" s="43">
        <f t="shared" si="39"/>
        <v>0.10824742268041238</v>
      </c>
    </row>
    <row r="735" spans="1:15" x14ac:dyDescent="0.45">
      <c r="A735" s="12" t="s">
        <v>30691</v>
      </c>
      <c r="B735" s="14">
        <v>346000</v>
      </c>
      <c r="C735" s="14">
        <v>390000</v>
      </c>
      <c r="D735" s="14">
        <v>254300</v>
      </c>
      <c r="E735" s="14">
        <v>286650</v>
      </c>
      <c r="F735" s="14">
        <v>197200</v>
      </c>
      <c r="G735" s="14">
        <v>222300</v>
      </c>
      <c r="H735" s="14">
        <v>138000</v>
      </c>
      <c r="I735" s="14">
        <v>171000</v>
      </c>
      <c r="J735" s="14">
        <v>3610</v>
      </c>
      <c r="K735" s="14">
        <v>4540</v>
      </c>
      <c r="N735" s="42">
        <f t="shared" si="38"/>
        <v>44000</v>
      </c>
      <c r="O735" s="43">
        <f t="shared" si="39"/>
        <v>0.11282051282051282</v>
      </c>
    </row>
    <row r="736" spans="1:15" x14ac:dyDescent="0.45">
      <c r="A736" s="12" t="s">
        <v>30692</v>
      </c>
      <c r="B736" s="14">
        <v>339000</v>
      </c>
      <c r="C736" s="14">
        <v>392000</v>
      </c>
      <c r="D736" s="14">
        <v>249200</v>
      </c>
      <c r="E736" s="14">
        <v>288120</v>
      </c>
      <c r="F736" s="14">
        <v>193200</v>
      </c>
      <c r="G736" s="14">
        <v>223440</v>
      </c>
      <c r="H736" s="14">
        <v>137000</v>
      </c>
      <c r="I736" s="14">
        <v>163000</v>
      </c>
      <c r="J736" s="14">
        <v>3590</v>
      </c>
      <c r="K736" s="14">
        <v>4520</v>
      </c>
      <c r="N736" s="42">
        <f t="shared" si="38"/>
        <v>53000</v>
      </c>
      <c r="O736" s="43">
        <f t="shared" si="39"/>
        <v>0.13520408163265307</v>
      </c>
    </row>
    <row r="737" spans="1:15" x14ac:dyDescent="0.45">
      <c r="A737" s="12" t="s">
        <v>30693</v>
      </c>
      <c r="B737" s="14">
        <v>338000</v>
      </c>
      <c r="C737" s="14">
        <v>393000</v>
      </c>
      <c r="D737" s="14">
        <v>248400</v>
      </c>
      <c r="E737" s="14">
        <v>288855</v>
      </c>
      <c r="F737" s="14">
        <v>192700</v>
      </c>
      <c r="G737" s="14">
        <v>224010</v>
      </c>
      <c r="H737" s="14">
        <v>136000</v>
      </c>
      <c r="I737" s="14">
        <v>163000</v>
      </c>
      <c r="J737" s="14">
        <v>3610</v>
      </c>
      <c r="K737" s="14">
        <v>4540</v>
      </c>
      <c r="N737" s="42">
        <f t="shared" si="38"/>
        <v>55000</v>
      </c>
      <c r="O737" s="43">
        <f t="shared" si="39"/>
        <v>0.13994910941475827</v>
      </c>
    </row>
    <row r="738" spans="1:15" x14ac:dyDescent="0.45">
      <c r="A738" s="12" t="s">
        <v>30694</v>
      </c>
      <c r="B738" s="14">
        <v>338000</v>
      </c>
      <c r="C738" s="14">
        <v>390000</v>
      </c>
      <c r="D738" s="14">
        <v>248400</v>
      </c>
      <c r="E738" s="14">
        <v>286650</v>
      </c>
      <c r="F738" s="14">
        <v>192700</v>
      </c>
      <c r="G738" s="14">
        <v>222300</v>
      </c>
      <c r="H738" s="14">
        <v>138000</v>
      </c>
      <c r="I738" s="14">
        <v>165000</v>
      </c>
      <c r="J738" s="14">
        <v>3620</v>
      </c>
      <c r="K738" s="14">
        <v>4550</v>
      </c>
      <c r="N738" s="42">
        <f t="shared" si="38"/>
        <v>52000</v>
      </c>
      <c r="O738" s="43">
        <f t="shared" si="39"/>
        <v>0.13333333333333333</v>
      </c>
    </row>
    <row r="739" spans="1:15" x14ac:dyDescent="0.45">
      <c r="A739" s="12" t="s">
        <v>30695</v>
      </c>
      <c r="B739" s="14">
        <v>337000</v>
      </c>
      <c r="C739" s="14">
        <v>392000</v>
      </c>
      <c r="D739" s="14">
        <v>247700</v>
      </c>
      <c r="E739" s="14">
        <v>288120</v>
      </c>
      <c r="F739" s="14">
        <v>192100</v>
      </c>
      <c r="G739" s="14">
        <v>223440</v>
      </c>
      <c r="H739" s="14">
        <v>137000</v>
      </c>
      <c r="I739" s="14">
        <v>164000</v>
      </c>
      <c r="J739" s="14">
        <v>3620</v>
      </c>
      <c r="K739" s="14">
        <v>4550</v>
      </c>
      <c r="N739" s="42">
        <f t="shared" si="38"/>
        <v>55000</v>
      </c>
      <c r="O739" s="43">
        <f t="shared" si="39"/>
        <v>0.14030612244897958</v>
      </c>
    </row>
    <row r="740" spans="1:15" x14ac:dyDescent="0.45">
      <c r="A740" s="12" t="s">
        <v>30696</v>
      </c>
      <c r="B740" s="14">
        <v>336000</v>
      </c>
      <c r="C740" s="14">
        <v>389000</v>
      </c>
      <c r="D740" s="14">
        <v>247000</v>
      </c>
      <c r="E740" s="14">
        <v>285915</v>
      </c>
      <c r="F740" s="14">
        <v>191500</v>
      </c>
      <c r="G740" s="14">
        <v>221730</v>
      </c>
      <c r="H740" s="14">
        <v>134000</v>
      </c>
      <c r="I740" s="14">
        <v>160000</v>
      </c>
      <c r="J740" s="14">
        <v>3560</v>
      </c>
      <c r="K740" s="14">
        <v>4480</v>
      </c>
      <c r="N740" s="42">
        <f t="shared" si="38"/>
        <v>53000</v>
      </c>
      <c r="O740" s="43">
        <f t="shared" si="39"/>
        <v>0.13624678663239073</v>
      </c>
    </row>
    <row r="741" spans="1:15" x14ac:dyDescent="0.45">
      <c r="A741" s="12" t="s">
        <v>30697</v>
      </c>
      <c r="B741" s="14">
        <v>334000</v>
      </c>
      <c r="C741" s="14">
        <v>387000</v>
      </c>
      <c r="D741" s="14">
        <v>245500</v>
      </c>
      <c r="E741" s="14">
        <v>284445</v>
      </c>
      <c r="F741" s="14">
        <v>190400</v>
      </c>
      <c r="G741" s="14">
        <v>220590</v>
      </c>
      <c r="H741" s="14">
        <v>135000</v>
      </c>
      <c r="I741" s="14">
        <v>161000</v>
      </c>
      <c r="J741" s="14">
        <v>3580</v>
      </c>
      <c r="K741" s="14">
        <v>4500</v>
      </c>
      <c r="N741" s="42">
        <f t="shared" si="38"/>
        <v>53000</v>
      </c>
      <c r="O741" s="43">
        <f t="shared" si="39"/>
        <v>0.13695090439276486</v>
      </c>
    </row>
    <row r="742" spans="1:15" x14ac:dyDescent="0.45">
      <c r="A742" s="12" t="s">
        <v>30698</v>
      </c>
      <c r="B742" s="14">
        <v>334000</v>
      </c>
      <c r="C742" s="14">
        <v>380000</v>
      </c>
      <c r="D742" s="14">
        <v>245500</v>
      </c>
      <c r="E742" s="14">
        <v>279300</v>
      </c>
      <c r="F742" s="14">
        <v>190400</v>
      </c>
      <c r="G742" s="14">
        <v>216600</v>
      </c>
      <c r="H742" s="14">
        <v>134000</v>
      </c>
      <c r="I742" s="14">
        <v>161000</v>
      </c>
      <c r="J742" s="14">
        <v>3470</v>
      </c>
      <c r="K742" s="14">
        <v>4370</v>
      </c>
      <c r="N742" s="42">
        <f t="shared" si="38"/>
        <v>46000</v>
      </c>
      <c r="O742" s="43">
        <f t="shared" si="39"/>
        <v>0.12105263157894737</v>
      </c>
    </row>
    <row r="743" spans="1:15" x14ac:dyDescent="0.45">
      <c r="A743" s="12" t="s">
        <v>30699</v>
      </c>
      <c r="B743" s="14">
        <v>333000</v>
      </c>
      <c r="C743" s="14">
        <v>381000</v>
      </c>
      <c r="D743" s="14">
        <v>244800</v>
      </c>
      <c r="E743" s="14">
        <v>280035</v>
      </c>
      <c r="F743" s="14">
        <v>189800</v>
      </c>
      <c r="G743" s="14">
        <v>217170</v>
      </c>
      <c r="H743" s="14">
        <v>134000</v>
      </c>
      <c r="I743" s="14">
        <v>160000</v>
      </c>
      <c r="J743" s="14">
        <v>3480</v>
      </c>
      <c r="K743" s="14">
        <v>4370</v>
      </c>
      <c r="N743" s="42">
        <f t="shared" si="38"/>
        <v>48000</v>
      </c>
      <c r="O743" s="43">
        <f t="shared" si="39"/>
        <v>0.12598425196850394</v>
      </c>
    </row>
    <row r="744" spans="1:15" x14ac:dyDescent="0.45">
      <c r="A744" s="12" t="s">
        <v>30700</v>
      </c>
      <c r="B744" s="14">
        <v>333000</v>
      </c>
      <c r="C744" s="14">
        <v>375000</v>
      </c>
      <c r="D744" s="14">
        <v>244800</v>
      </c>
      <c r="E744" s="14">
        <v>275625</v>
      </c>
      <c r="F744" s="14">
        <v>189800</v>
      </c>
      <c r="G744" s="14">
        <v>213750</v>
      </c>
      <c r="H744" s="14">
        <v>134000</v>
      </c>
      <c r="I744" s="14">
        <v>160000</v>
      </c>
      <c r="J744" s="14">
        <v>3410</v>
      </c>
      <c r="K744" s="14">
        <v>4290</v>
      </c>
      <c r="N744" s="42">
        <f t="shared" si="38"/>
        <v>42000</v>
      </c>
      <c r="O744" s="43">
        <f t="shared" si="39"/>
        <v>0.112</v>
      </c>
    </row>
    <row r="745" spans="1:15" x14ac:dyDescent="0.45">
      <c r="A745" s="12" t="s">
        <v>30701</v>
      </c>
      <c r="B745" s="14">
        <v>333000</v>
      </c>
      <c r="C745" s="14">
        <v>373000</v>
      </c>
      <c r="D745" s="14">
        <v>244800</v>
      </c>
      <c r="E745" s="14">
        <v>274155</v>
      </c>
      <c r="F745" s="14">
        <v>189800</v>
      </c>
      <c r="G745" s="14">
        <v>212610</v>
      </c>
      <c r="H745" s="14">
        <v>134000</v>
      </c>
      <c r="I745" s="14">
        <v>160000</v>
      </c>
      <c r="J745" s="14">
        <v>3380</v>
      </c>
      <c r="K745" s="14">
        <v>4250</v>
      </c>
      <c r="N745" s="42">
        <f t="shared" si="38"/>
        <v>40000</v>
      </c>
      <c r="O745" s="43">
        <f t="shared" si="39"/>
        <v>0.10723860589812333</v>
      </c>
    </row>
    <row r="746" spans="1:15" x14ac:dyDescent="0.45">
      <c r="A746" s="12" t="s">
        <v>30702</v>
      </c>
      <c r="B746" s="14">
        <v>333000</v>
      </c>
      <c r="C746" s="14">
        <v>371000</v>
      </c>
      <c r="D746" s="14">
        <v>244800</v>
      </c>
      <c r="E746" s="14">
        <v>272685</v>
      </c>
      <c r="F746" s="14">
        <v>189800</v>
      </c>
      <c r="G746" s="14">
        <v>211470</v>
      </c>
      <c r="H746" s="14">
        <v>135000</v>
      </c>
      <c r="I746" s="14">
        <v>162000</v>
      </c>
      <c r="J746" s="14">
        <v>3370</v>
      </c>
      <c r="K746" s="14">
        <v>4240</v>
      </c>
      <c r="N746" s="42">
        <f t="shared" si="38"/>
        <v>38000</v>
      </c>
      <c r="O746" s="43">
        <f t="shared" si="39"/>
        <v>0.10242587601078167</v>
      </c>
    </row>
    <row r="747" spans="1:15" x14ac:dyDescent="0.45">
      <c r="A747" s="12" t="s">
        <v>30703</v>
      </c>
      <c r="B747" s="14">
        <v>333000</v>
      </c>
      <c r="C747" s="14">
        <v>371000</v>
      </c>
      <c r="D747" s="14">
        <v>244800</v>
      </c>
      <c r="E747" s="14">
        <v>272685</v>
      </c>
      <c r="F747" s="14">
        <v>189800</v>
      </c>
      <c r="G747" s="14">
        <v>211470</v>
      </c>
      <c r="H747" s="14">
        <v>133000</v>
      </c>
      <c r="I747" s="14">
        <v>159000</v>
      </c>
      <c r="J747" s="14">
        <v>3380</v>
      </c>
      <c r="K747" s="14">
        <v>4250</v>
      </c>
      <c r="N747" s="42">
        <f t="shared" si="38"/>
        <v>38000</v>
      </c>
      <c r="O747" s="43">
        <f t="shared" si="39"/>
        <v>0.10242587601078167</v>
      </c>
    </row>
    <row r="748" spans="1:15" x14ac:dyDescent="0.45">
      <c r="A748" s="12" t="s">
        <v>30704</v>
      </c>
      <c r="B748" s="14">
        <v>333000</v>
      </c>
      <c r="C748" s="14">
        <v>371000</v>
      </c>
      <c r="D748" s="14">
        <v>244800</v>
      </c>
      <c r="E748" s="14">
        <v>272685</v>
      </c>
      <c r="F748" s="14">
        <v>189800</v>
      </c>
      <c r="G748" s="14">
        <v>211470</v>
      </c>
      <c r="H748" s="14">
        <v>136000</v>
      </c>
      <c r="I748" s="14">
        <v>162000</v>
      </c>
      <c r="J748" s="14">
        <v>3430</v>
      </c>
      <c r="K748" s="14">
        <v>4310</v>
      </c>
      <c r="N748" s="42">
        <f t="shared" si="38"/>
        <v>38000</v>
      </c>
      <c r="O748" s="43">
        <f t="shared" si="39"/>
        <v>0.10242587601078167</v>
      </c>
    </row>
    <row r="749" spans="1:15" x14ac:dyDescent="0.45">
      <c r="A749" s="12" t="s">
        <v>30705</v>
      </c>
      <c r="B749" s="14">
        <v>333000</v>
      </c>
      <c r="C749" s="14">
        <v>372000</v>
      </c>
      <c r="D749" s="14">
        <v>244800</v>
      </c>
      <c r="E749" s="14">
        <v>273420</v>
      </c>
      <c r="F749" s="14">
        <v>189900</v>
      </c>
      <c r="G749" s="14">
        <v>212039</v>
      </c>
      <c r="H749" s="14">
        <v>136000</v>
      </c>
      <c r="I749" s="14">
        <v>163000</v>
      </c>
      <c r="J749" s="14">
        <v>3440</v>
      </c>
      <c r="K749" s="14">
        <v>4330</v>
      </c>
      <c r="N749" s="42">
        <f t="shared" ref="N749:N812" si="40">C749-B749</f>
        <v>39000</v>
      </c>
      <c r="O749" s="43">
        <f t="shared" ref="O749:O812" si="41">N749/C749</f>
        <v>0.10483870967741936</v>
      </c>
    </row>
    <row r="750" spans="1:15" x14ac:dyDescent="0.45">
      <c r="A750" s="12" t="s">
        <v>30706</v>
      </c>
      <c r="B750" s="14">
        <v>332000</v>
      </c>
      <c r="C750" s="14">
        <v>369000</v>
      </c>
      <c r="D750" s="14">
        <v>244000</v>
      </c>
      <c r="E750" s="14">
        <v>271215</v>
      </c>
      <c r="F750" s="14">
        <v>189200</v>
      </c>
      <c r="G750" s="14">
        <v>210330</v>
      </c>
      <c r="H750" s="14">
        <v>136000</v>
      </c>
      <c r="I750" s="14">
        <v>163000</v>
      </c>
      <c r="J750" s="14">
        <v>3400</v>
      </c>
      <c r="K750" s="14">
        <v>4280</v>
      </c>
      <c r="N750" s="42">
        <f t="shared" si="40"/>
        <v>37000</v>
      </c>
      <c r="O750" s="43">
        <f t="shared" si="41"/>
        <v>0.1002710027100271</v>
      </c>
    </row>
    <row r="751" spans="1:15" x14ac:dyDescent="0.45">
      <c r="A751" s="12" t="s">
        <v>30707</v>
      </c>
      <c r="B751" s="14">
        <v>333000</v>
      </c>
      <c r="C751" s="14">
        <v>371000</v>
      </c>
      <c r="D751" s="14">
        <v>244800</v>
      </c>
      <c r="E751" s="14">
        <v>272685</v>
      </c>
      <c r="F751" s="14">
        <v>189800</v>
      </c>
      <c r="G751" s="14">
        <v>211470</v>
      </c>
      <c r="H751" s="14">
        <v>135000</v>
      </c>
      <c r="I751" s="14">
        <v>161000</v>
      </c>
      <c r="J751" s="14">
        <v>3440</v>
      </c>
      <c r="K751" s="14">
        <v>4330</v>
      </c>
      <c r="N751" s="42">
        <f t="shared" si="40"/>
        <v>38000</v>
      </c>
      <c r="O751" s="43">
        <f t="shared" si="41"/>
        <v>0.10242587601078167</v>
      </c>
    </row>
    <row r="752" spans="1:15" x14ac:dyDescent="0.45">
      <c r="A752" s="12" t="s">
        <v>30708</v>
      </c>
      <c r="B752" s="14">
        <v>333000</v>
      </c>
      <c r="C752" s="14">
        <v>371000</v>
      </c>
      <c r="D752" s="14">
        <v>244800</v>
      </c>
      <c r="E752" s="14">
        <v>272685</v>
      </c>
      <c r="F752" s="14">
        <v>189800</v>
      </c>
      <c r="G752" s="14">
        <v>211470</v>
      </c>
      <c r="H752" s="14">
        <v>138000</v>
      </c>
      <c r="I752" s="14">
        <v>165000</v>
      </c>
      <c r="J752" s="14">
        <v>3460</v>
      </c>
      <c r="K752" s="14">
        <v>4360</v>
      </c>
      <c r="N752" s="42">
        <f t="shared" si="40"/>
        <v>38000</v>
      </c>
      <c r="O752" s="43">
        <f t="shared" si="41"/>
        <v>0.10242587601078167</v>
      </c>
    </row>
    <row r="753" spans="1:15" x14ac:dyDescent="0.45">
      <c r="A753" s="12" t="s">
        <v>30709</v>
      </c>
      <c r="B753" s="14">
        <v>334000</v>
      </c>
      <c r="C753" s="14">
        <v>370000</v>
      </c>
      <c r="D753" s="14">
        <v>245500</v>
      </c>
      <c r="E753" s="14">
        <v>271950</v>
      </c>
      <c r="F753" s="14">
        <v>190400</v>
      </c>
      <c r="G753" s="14">
        <v>210900</v>
      </c>
      <c r="H753" s="14">
        <v>137000</v>
      </c>
      <c r="I753" s="14">
        <v>164000</v>
      </c>
      <c r="J753" s="14">
        <v>3460</v>
      </c>
      <c r="K753" s="14">
        <v>4360</v>
      </c>
      <c r="N753" s="42">
        <f t="shared" si="40"/>
        <v>36000</v>
      </c>
      <c r="O753" s="43">
        <f t="shared" si="41"/>
        <v>9.7297297297297303E-2</v>
      </c>
    </row>
    <row r="754" spans="1:15" x14ac:dyDescent="0.45">
      <c r="A754" s="12" t="s">
        <v>30710</v>
      </c>
      <c r="B754" s="14">
        <v>333000</v>
      </c>
      <c r="C754" s="14">
        <v>369000</v>
      </c>
      <c r="D754" s="14">
        <v>244800</v>
      </c>
      <c r="E754" s="14">
        <v>271215</v>
      </c>
      <c r="F754" s="14">
        <v>189800</v>
      </c>
      <c r="G754" s="14">
        <v>210330</v>
      </c>
      <c r="H754" s="14">
        <v>138000</v>
      </c>
      <c r="I754" s="14">
        <v>165000</v>
      </c>
      <c r="J754" s="14">
        <v>3520</v>
      </c>
      <c r="K754" s="14">
        <v>4430</v>
      </c>
      <c r="N754" s="42">
        <f t="shared" si="40"/>
        <v>36000</v>
      </c>
      <c r="O754" s="43">
        <f t="shared" si="41"/>
        <v>9.7560975609756101E-2</v>
      </c>
    </row>
    <row r="755" spans="1:15" x14ac:dyDescent="0.45">
      <c r="A755" s="12" t="s">
        <v>30711</v>
      </c>
      <c r="B755" s="14">
        <v>332000</v>
      </c>
      <c r="C755" s="14">
        <v>369000</v>
      </c>
      <c r="D755" s="14">
        <v>244000</v>
      </c>
      <c r="E755" s="14">
        <v>271215</v>
      </c>
      <c r="F755" s="14">
        <v>189200</v>
      </c>
      <c r="G755" s="14">
        <v>210330</v>
      </c>
      <c r="H755" s="14">
        <v>138000</v>
      </c>
      <c r="I755" s="14">
        <v>165000</v>
      </c>
      <c r="J755" s="14">
        <v>3520</v>
      </c>
      <c r="K755" s="14">
        <v>4420</v>
      </c>
      <c r="N755" s="42">
        <f t="shared" si="40"/>
        <v>37000</v>
      </c>
      <c r="O755" s="43">
        <f t="shared" si="41"/>
        <v>0.1002710027100271</v>
      </c>
    </row>
    <row r="756" spans="1:15" x14ac:dyDescent="0.45">
      <c r="A756" s="12" t="s">
        <v>30712</v>
      </c>
      <c r="B756" s="14">
        <v>332000</v>
      </c>
      <c r="C756" s="14">
        <v>367000</v>
      </c>
      <c r="D756" s="14">
        <v>244000</v>
      </c>
      <c r="E756" s="14">
        <v>269745</v>
      </c>
      <c r="F756" s="14">
        <v>189200</v>
      </c>
      <c r="G756" s="14">
        <v>209190</v>
      </c>
      <c r="H756" s="14">
        <v>136000</v>
      </c>
      <c r="I756" s="14">
        <v>163000</v>
      </c>
      <c r="J756" s="14">
        <v>3450</v>
      </c>
      <c r="K756" s="14">
        <v>4340</v>
      </c>
      <c r="N756" s="42">
        <f t="shared" si="40"/>
        <v>35000</v>
      </c>
      <c r="O756" s="43">
        <f t="shared" si="41"/>
        <v>9.5367847411444148E-2</v>
      </c>
    </row>
    <row r="757" spans="1:15" x14ac:dyDescent="0.45">
      <c r="A757" s="12" t="s">
        <v>30713</v>
      </c>
      <c r="B757" s="14">
        <v>331000</v>
      </c>
      <c r="C757" s="14">
        <v>365000</v>
      </c>
      <c r="D757" s="14">
        <v>243300</v>
      </c>
      <c r="E757" s="14">
        <v>268275</v>
      </c>
      <c r="F757" s="14">
        <v>188700</v>
      </c>
      <c r="G757" s="14">
        <v>208050</v>
      </c>
      <c r="H757" s="14">
        <v>135000</v>
      </c>
      <c r="I757" s="14">
        <v>162000</v>
      </c>
      <c r="J757" s="14">
        <v>3360</v>
      </c>
      <c r="K757" s="14">
        <v>4220</v>
      </c>
      <c r="N757" s="42">
        <f t="shared" si="40"/>
        <v>34000</v>
      </c>
      <c r="O757" s="43">
        <f t="shared" si="41"/>
        <v>9.3150684931506855E-2</v>
      </c>
    </row>
    <row r="758" spans="1:15" x14ac:dyDescent="0.45">
      <c r="A758" s="12" t="s">
        <v>30714</v>
      </c>
      <c r="B758" s="14">
        <v>331000</v>
      </c>
      <c r="C758" s="14">
        <v>366000</v>
      </c>
      <c r="D758" s="14">
        <v>243300</v>
      </c>
      <c r="E758" s="14">
        <v>269010</v>
      </c>
      <c r="F758" s="14">
        <v>188700</v>
      </c>
      <c r="G758" s="14">
        <v>208620</v>
      </c>
      <c r="H758" s="14">
        <v>133000</v>
      </c>
      <c r="I758" s="14">
        <v>160000</v>
      </c>
      <c r="J758" s="14">
        <v>3330</v>
      </c>
      <c r="K758" s="14">
        <v>4180</v>
      </c>
      <c r="N758" s="42">
        <f t="shared" si="40"/>
        <v>35000</v>
      </c>
      <c r="O758" s="43">
        <f t="shared" si="41"/>
        <v>9.5628415300546443E-2</v>
      </c>
    </row>
    <row r="759" spans="1:15" x14ac:dyDescent="0.45">
      <c r="A759" s="12" t="s">
        <v>30715</v>
      </c>
      <c r="B759" s="14">
        <v>332000</v>
      </c>
      <c r="C759" s="14">
        <v>368000</v>
      </c>
      <c r="D759" s="14">
        <v>244000</v>
      </c>
      <c r="E759" s="14">
        <v>270480</v>
      </c>
      <c r="F759" s="14">
        <v>189200</v>
      </c>
      <c r="G759" s="14">
        <v>209760</v>
      </c>
      <c r="H759" s="14">
        <v>135000</v>
      </c>
      <c r="I759" s="14">
        <v>161000</v>
      </c>
      <c r="J759" s="14">
        <v>3400</v>
      </c>
      <c r="K759" s="14">
        <v>4280</v>
      </c>
      <c r="N759" s="42">
        <f t="shared" si="40"/>
        <v>36000</v>
      </c>
      <c r="O759" s="43">
        <f t="shared" si="41"/>
        <v>9.7826086956521743E-2</v>
      </c>
    </row>
    <row r="760" spans="1:15" x14ac:dyDescent="0.45">
      <c r="A760" s="12" t="s">
        <v>30716</v>
      </c>
      <c r="B760" s="14">
        <v>331000</v>
      </c>
      <c r="C760" s="14">
        <v>370000</v>
      </c>
      <c r="D760" s="14">
        <v>243300</v>
      </c>
      <c r="E760" s="14">
        <v>271950</v>
      </c>
      <c r="F760" s="14">
        <v>188700</v>
      </c>
      <c r="G760" s="14">
        <v>210899</v>
      </c>
      <c r="H760" s="14">
        <v>133000</v>
      </c>
      <c r="I760" s="14">
        <v>159000</v>
      </c>
      <c r="J760" s="14">
        <v>3410</v>
      </c>
      <c r="K760" s="14">
        <v>4280</v>
      </c>
      <c r="N760" s="42">
        <f t="shared" si="40"/>
        <v>39000</v>
      </c>
      <c r="O760" s="43">
        <f t="shared" si="41"/>
        <v>0.10540540540540541</v>
      </c>
    </row>
    <row r="761" spans="1:15" x14ac:dyDescent="0.45">
      <c r="A761" s="12" t="s">
        <v>30717</v>
      </c>
      <c r="B761" s="14">
        <v>331000</v>
      </c>
      <c r="C761" s="14">
        <v>370000</v>
      </c>
      <c r="D761" s="14">
        <v>243300</v>
      </c>
      <c r="E761" s="14">
        <v>271950</v>
      </c>
      <c r="F761" s="14">
        <v>188700</v>
      </c>
      <c r="G761" s="14">
        <v>210899</v>
      </c>
      <c r="H761" s="14">
        <v>133000</v>
      </c>
      <c r="I761" s="14">
        <v>159000</v>
      </c>
      <c r="J761" s="14">
        <v>3400</v>
      </c>
      <c r="K761" s="14">
        <v>4270</v>
      </c>
      <c r="N761" s="42">
        <f t="shared" si="40"/>
        <v>39000</v>
      </c>
      <c r="O761" s="43">
        <f t="shared" si="41"/>
        <v>0.10540540540540541</v>
      </c>
    </row>
    <row r="762" spans="1:15" x14ac:dyDescent="0.45">
      <c r="A762" s="12" t="s">
        <v>30718</v>
      </c>
      <c r="B762" s="14">
        <v>331000</v>
      </c>
      <c r="C762" s="14">
        <v>372000</v>
      </c>
      <c r="D762" s="14">
        <v>243300</v>
      </c>
      <c r="E762" s="14">
        <v>273420</v>
      </c>
      <c r="F762" s="14">
        <v>188700</v>
      </c>
      <c r="G762" s="14">
        <v>212039</v>
      </c>
      <c r="H762" s="14">
        <v>135000</v>
      </c>
      <c r="I762" s="14">
        <v>162000</v>
      </c>
      <c r="J762" s="14">
        <v>3390</v>
      </c>
      <c r="K762" s="14">
        <v>4270</v>
      </c>
      <c r="N762" s="42">
        <f t="shared" si="40"/>
        <v>41000</v>
      </c>
      <c r="O762" s="43">
        <f t="shared" si="41"/>
        <v>0.11021505376344086</v>
      </c>
    </row>
    <row r="763" spans="1:15" x14ac:dyDescent="0.45">
      <c r="A763" s="12" t="s">
        <v>30719</v>
      </c>
      <c r="B763" s="14">
        <v>331000</v>
      </c>
      <c r="C763" s="14">
        <v>371000</v>
      </c>
      <c r="D763" s="14">
        <v>243300</v>
      </c>
      <c r="E763" s="14">
        <v>272685</v>
      </c>
      <c r="F763" s="14">
        <v>188700</v>
      </c>
      <c r="G763" s="14">
        <v>211470</v>
      </c>
      <c r="H763" s="14">
        <v>133000</v>
      </c>
      <c r="I763" s="14">
        <v>160000</v>
      </c>
      <c r="J763" s="14">
        <v>3320</v>
      </c>
      <c r="K763" s="14">
        <v>4180</v>
      </c>
      <c r="N763" s="42">
        <f t="shared" si="40"/>
        <v>40000</v>
      </c>
      <c r="O763" s="43">
        <f t="shared" si="41"/>
        <v>0.1078167115902965</v>
      </c>
    </row>
    <row r="764" spans="1:15" x14ac:dyDescent="0.45">
      <c r="A764" s="12" t="s">
        <v>30720</v>
      </c>
      <c r="B764" s="14">
        <v>331000</v>
      </c>
      <c r="C764" s="14">
        <v>370000</v>
      </c>
      <c r="D764" s="14">
        <v>243300</v>
      </c>
      <c r="E764" s="14">
        <v>271950</v>
      </c>
      <c r="F764" s="14">
        <v>188700</v>
      </c>
      <c r="G764" s="14">
        <v>210900</v>
      </c>
      <c r="H764" s="14">
        <v>136000</v>
      </c>
      <c r="I764" s="14">
        <v>163000</v>
      </c>
      <c r="J764" s="14">
        <v>3340</v>
      </c>
      <c r="K764" s="14">
        <v>4200</v>
      </c>
      <c r="N764" s="42">
        <f t="shared" si="40"/>
        <v>39000</v>
      </c>
      <c r="O764" s="43">
        <f t="shared" si="41"/>
        <v>0.10540540540540541</v>
      </c>
    </row>
    <row r="765" spans="1:15" x14ac:dyDescent="0.45">
      <c r="A765" s="12" t="s">
        <v>30721</v>
      </c>
      <c r="B765" s="14">
        <v>332000</v>
      </c>
      <c r="C765" s="14">
        <v>369000</v>
      </c>
      <c r="D765" s="14">
        <v>244000</v>
      </c>
      <c r="E765" s="14">
        <v>271215</v>
      </c>
      <c r="F765" s="14">
        <v>189200</v>
      </c>
      <c r="G765" s="14">
        <v>210330</v>
      </c>
      <c r="H765" s="14">
        <v>136000</v>
      </c>
      <c r="I765" s="14">
        <v>163000</v>
      </c>
      <c r="J765" s="14">
        <v>3350</v>
      </c>
      <c r="K765" s="14">
        <v>4210</v>
      </c>
      <c r="N765" s="42">
        <f t="shared" si="40"/>
        <v>37000</v>
      </c>
      <c r="O765" s="43">
        <f t="shared" si="41"/>
        <v>0.1002710027100271</v>
      </c>
    </row>
    <row r="766" spans="1:15" x14ac:dyDescent="0.45">
      <c r="A766" s="12" t="s">
        <v>30722</v>
      </c>
      <c r="B766" s="14">
        <v>333000</v>
      </c>
      <c r="C766" s="14">
        <v>372000</v>
      </c>
      <c r="D766" s="14">
        <v>244800</v>
      </c>
      <c r="E766" s="14">
        <v>273420</v>
      </c>
      <c r="F766" s="14">
        <v>189800</v>
      </c>
      <c r="G766" s="14">
        <v>212040</v>
      </c>
      <c r="H766" s="14">
        <v>136000</v>
      </c>
      <c r="I766" s="14">
        <v>163000</v>
      </c>
      <c r="J766" s="14">
        <v>3390</v>
      </c>
      <c r="K766" s="14">
        <v>4270</v>
      </c>
      <c r="N766" s="42">
        <f t="shared" si="40"/>
        <v>39000</v>
      </c>
      <c r="O766" s="43">
        <f t="shared" si="41"/>
        <v>0.10483870967741936</v>
      </c>
    </row>
    <row r="767" spans="1:15" x14ac:dyDescent="0.45">
      <c r="A767" s="12" t="s">
        <v>30723</v>
      </c>
      <c r="B767" s="14">
        <v>334000</v>
      </c>
      <c r="C767" s="14">
        <v>375000</v>
      </c>
      <c r="D767" s="14">
        <v>245500</v>
      </c>
      <c r="E767" s="14">
        <v>275625</v>
      </c>
      <c r="F767" s="14">
        <v>190400</v>
      </c>
      <c r="G767" s="14">
        <v>213750</v>
      </c>
      <c r="H767" s="14">
        <v>136000</v>
      </c>
      <c r="I767" s="14">
        <v>163000</v>
      </c>
      <c r="J767" s="14">
        <v>3420</v>
      </c>
      <c r="K767" s="14">
        <v>4300</v>
      </c>
      <c r="N767" s="42">
        <f t="shared" si="40"/>
        <v>41000</v>
      </c>
      <c r="O767" s="43">
        <f t="shared" si="41"/>
        <v>0.10933333333333334</v>
      </c>
    </row>
    <row r="768" spans="1:15" x14ac:dyDescent="0.45">
      <c r="A768" s="12" t="s">
        <v>30724</v>
      </c>
      <c r="B768" s="14">
        <v>334000</v>
      </c>
      <c r="C768" s="14">
        <v>374000</v>
      </c>
      <c r="D768" s="14">
        <v>245500</v>
      </c>
      <c r="E768" s="14">
        <v>274890</v>
      </c>
      <c r="F768" s="14">
        <v>190400</v>
      </c>
      <c r="G768" s="14">
        <v>213180</v>
      </c>
      <c r="H768" s="14">
        <v>138000</v>
      </c>
      <c r="I768" s="14">
        <v>165000</v>
      </c>
      <c r="J768" s="14">
        <v>3460</v>
      </c>
      <c r="K768" s="14">
        <v>4360</v>
      </c>
      <c r="N768" s="42">
        <f t="shared" si="40"/>
        <v>40000</v>
      </c>
      <c r="O768" s="43">
        <f t="shared" si="41"/>
        <v>0.10695187165775401</v>
      </c>
    </row>
    <row r="769" spans="1:15" x14ac:dyDescent="0.45">
      <c r="A769" s="12" t="s">
        <v>30725</v>
      </c>
      <c r="B769" s="14">
        <v>333000</v>
      </c>
      <c r="C769" s="14">
        <v>373000</v>
      </c>
      <c r="D769" s="14">
        <v>244800</v>
      </c>
      <c r="E769" s="14">
        <v>274155</v>
      </c>
      <c r="F769" s="14">
        <v>189800</v>
      </c>
      <c r="G769" s="14">
        <v>212610</v>
      </c>
      <c r="H769" s="14">
        <v>140000</v>
      </c>
      <c r="I769" s="14">
        <v>167000</v>
      </c>
      <c r="J769" s="14">
        <v>3440</v>
      </c>
      <c r="K769" s="14">
        <v>4330</v>
      </c>
      <c r="N769" s="42">
        <f t="shared" si="40"/>
        <v>40000</v>
      </c>
      <c r="O769" s="43">
        <f t="shared" si="41"/>
        <v>0.10723860589812333</v>
      </c>
    </row>
    <row r="770" spans="1:15" x14ac:dyDescent="0.45">
      <c r="A770" s="12" t="s">
        <v>30726</v>
      </c>
      <c r="B770" s="14">
        <v>333000</v>
      </c>
      <c r="C770" s="14">
        <v>372000</v>
      </c>
      <c r="D770" s="14">
        <v>244800</v>
      </c>
      <c r="E770" s="14">
        <v>273420</v>
      </c>
      <c r="F770" s="14">
        <v>189800</v>
      </c>
      <c r="G770" s="14">
        <v>212040</v>
      </c>
      <c r="H770" s="14">
        <v>139000</v>
      </c>
      <c r="I770" s="14">
        <v>167000</v>
      </c>
      <c r="J770" s="14">
        <v>3470</v>
      </c>
      <c r="K770" s="14">
        <v>4370</v>
      </c>
      <c r="N770" s="42">
        <f t="shared" si="40"/>
        <v>39000</v>
      </c>
      <c r="O770" s="43">
        <f t="shared" si="41"/>
        <v>0.10483870967741936</v>
      </c>
    </row>
    <row r="771" spans="1:15" x14ac:dyDescent="0.45">
      <c r="A771" s="12" t="s">
        <v>30727</v>
      </c>
      <c r="B771" s="14">
        <v>333000</v>
      </c>
      <c r="C771" s="14">
        <v>371000</v>
      </c>
      <c r="D771" s="14">
        <v>244800</v>
      </c>
      <c r="E771" s="14">
        <v>272685</v>
      </c>
      <c r="F771" s="14">
        <v>189800</v>
      </c>
      <c r="G771" s="14">
        <v>211470</v>
      </c>
      <c r="H771" s="14">
        <v>141000</v>
      </c>
      <c r="I771" s="14">
        <v>168000</v>
      </c>
      <c r="J771" s="14">
        <v>3480</v>
      </c>
      <c r="K771" s="14">
        <v>4380</v>
      </c>
      <c r="N771" s="42">
        <f t="shared" si="40"/>
        <v>38000</v>
      </c>
      <c r="O771" s="43">
        <f t="shared" si="41"/>
        <v>0.10242587601078167</v>
      </c>
    </row>
    <row r="772" spans="1:15" x14ac:dyDescent="0.45">
      <c r="A772" s="12" t="s">
        <v>30728</v>
      </c>
      <c r="B772" s="14">
        <v>332000</v>
      </c>
      <c r="C772" s="14">
        <v>371000</v>
      </c>
      <c r="D772" s="14">
        <v>244000</v>
      </c>
      <c r="E772" s="14">
        <v>272685</v>
      </c>
      <c r="F772" s="14">
        <v>189200</v>
      </c>
      <c r="G772" s="14">
        <v>211470</v>
      </c>
      <c r="H772" s="14">
        <v>139000</v>
      </c>
      <c r="I772" s="14">
        <v>166000</v>
      </c>
      <c r="J772" s="14">
        <v>3440</v>
      </c>
      <c r="K772" s="14">
        <v>4330</v>
      </c>
      <c r="N772" s="42">
        <f t="shared" si="40"/>
        <v>39000</v>
      </c>
      <c r="O772" s="43">
        <f t="shared" si="41"/>
        <v>0.10512129380053908</v>
      </c>
    </row>
    <row r="773" spans="1:15" x14ac:dyDescent="0.45">
      <c r="A773" s="12" t="s">
        <v>30729</v>
      </c>
      <c r="B773" s="14">
        <v>332000</v>
      </c>
      <c r="C773" s="14">
        <v>371000</v>
      </c>
      <c r="D773" s="14">
        <v>244100</v>
      </c>
      <c r="E773" s="14">
        <v>272685</v>
      </c>
      <c r="F773" s="14">
        <v>189300</v>
      </c>
      <c r="G773" s="14">
        <v>211469</v>
      </c>
      <c r="H773" s="14">
        <v>139000</v>
      </c>
      <c r="I773" s="14">
        <v>167000</v>
      </c>
      <c r="J773" s="14">
        <v>3430</v>
      </c>
      <c r="K773" s="14">
        <v>4310</v>
      </c>
      <c r="N773" s="42">
        <f t="shared" si="40"/>
        <v>39000</v>
      </c>
      <c r="O773" s="43">
        <f t="shared" si="41"/>
        <v>0.10512129380053908</v>
      </c>
    </row>
    <row r="774" spans="1:15" x14ac:dyDescent="0.45">
      <c r="A774" s="12" t="s">
        <v>30730</v>
      </c>
      <c r="B774" s="14">
        <v>332000</v>
      </c>
      <c r="C774" s="14">
        <v>371000</v>
      </c>
      <c r="D774" s="14">
        <v>244000</v>
      </c>
      <c r="E774" s="14">
        <v>272685</v>
      </c>
      <c r="F774" s="14">
        <v>189200</v>
      </c>
      <c r="G774" s="14">
        <v>211470</v>
      </c>
      <c r="H774" s="14">
        <v>136000</v>
      </c>
      <c r="I774" s="14">
        <v>163000</v>
      </c>
      <c r="J774" s="14">
        <v>3450</v>
      </c>
      <c r="K774" s="14">
        <v>4330</v>
      </c>
      <c r="N774" s="42">
        <f t="shared" si="40"/>
        <v>39000</v>
      </c>
      <c r="O774" s="43">
        <f t="shared" si="41"/>
        <v>0.10512129380053908</v>
      </c>
    </row>
    <row r="775" spans="1:15" x14ac:dyDescent="0.45">
      <c r="A775" s="12" t="s">
        <v>30731</v>
      </c>
      <c r="B775" s="14">
        <v>332000</v>
      </c>
      <c r="C775" s="14">
        <v>369000</v>
      </c>
      <c r="D775" s="14">
        <v>244000</v>
      </c>
      <c r="E775" s="14">
        <v>271215</v>
      </c>
      <c r="F775" s="14">
        <v>189200</v>
      </c>
      <c r="G775" s="14">
        <v>210330</v>
      </c>
      <c r="H775" s="14">
        <v>137000</v>
      </c>
      <c r="I775" s="14">
        <v>164000</v>
      </c>
      <c r="J775" s="14">
        <v>3410</v>
      </c>
      <c r="K775" s="14">
        <v>4290</v>
      </c>
      <c r="N775" s="42">
        <f t="shared" si="40"/>
        <v>37000</v>
      </c>
      <c r="O775" s="43">
        <f t="shared" si="41"/>
        <v>0.1002710027100271</v>
      </c>
    </row>
    <row r="776" spans="1:15" x14ac:dyDescent="0.45">
      <c r="A776" s="12" t="s">
        <v>30732</v>
      </c>
      <c r="B776" s="14">
        <v>333000</v>
      </c>
      <c r="C776" s="14">
        <v>372000</v>
      </c>
      <c r="D776" s="14">
        <v>244800</v>
      </c>
      <c r="E776" s="14">
        <v>273420</v>
      </c>
      <c r="F776" s="14">
        <v>189900</v>
      </c>
      <c r="G776" s="14">
        <v>212039</v>
      </c>
      <c r="H776" s="14">
        <v>138000</v>
      </c>
      <c r="I776" s="14">
        <v>165000</v>
      </c>
      <c r="J776" s="14">
        <v>3380</v>
      </c>
      <c r="K776" s="14">
        <v>4260</v>
      </c>
      <c r="N776" s="42">
        <f t="shared" si="40"/>
        <v>39000</v>
      </c>
      <c r="O776" s="43">
        <f t="shared" si="41"/>
        <v>0.10483870967741936</v>
      </c>
    </row>
    <row r="777" spans="1:15" x14ac:dyDescent="0.45">
      <c r="A777" s="12" t="s">
        <v>30733</v>
      </c>
      <c r="B777" s="14">
        <v>333000</v>
      </c>
      <c r="C777" s="14">
        <v>371000</v>
      </c>
      <c r="D777" s="14">
        <v>244800</v>
      </c>
      <c r="E777" s="14">
        <v>272685</v>
      </c>
      <c r="F777" s="14">
        <v>189900</v>
      </c>
      <c r="G777" s="14">
        <v>211469</v>
      </c>
      <c r="H777" s="14">
        <v>137000</v>
      </c>
      <c r="I777" s="14">
        <v>163000</v>
      </c>
      <c r="J777" s="14">
        <v>3330</v>
      </c>
      <c r="K777" s="14">
        <v>4190</v>
      </c>
      <c r="N777" s="42">
        <f t="shared" si="40"/>
        <v>38000</v>
      </c>
      <c r="O777" s="43">
        <f t="shared" si="41"/>
        <v>0.10242587601078167</v>
      </c>
    </row>
    <row r="778" spans="1:15" x14ac:dyDescent="0.45">
      <c r="A778" s="12" t="s">
        <v>30734</v>
      </c>
      <c r="B778" s="14">
        <v>332000</v>
      </c>
      <c r="C778" s="14">
        <v>372000</v>
      </c>
      <c r="D778" s="14">
        <v>244000</v>
      </c>
      <c r="E778" s="14">
        <v>273420</v>
      </c>
      <c r="F778" s="14">
        <v>189200</v>
      </c>
      <c r="G778" s="14">
        <v>212040</v>
      </c>
      <c r="H778" s="14">
        <v>137000</v>
      </c>
      <c r="I778" s="14">
        <v>164000</v>
      </c>
      <c r="J778" s="14">
        <v>3390</v>
      </c>
      <c r="K778" s="14">
        <v>4270</v>
      </c>
      <c r="N778" s="42">
        <f t="shared" si="40"/>
        <v>40000</v>
      </c>
      <c r="O778" s="43">
        <f t="shared" si="41"/>
        <v>0.10752688172043011</v>
      </c>
    </row>
    <row r="779" spans="1:15" x14ac:dyDescent="0.45">
      <c r="A779" s="12" t="s">
        <v>30735</v>
      </c>
      <c r="B779" s="14">
        <v>331000</v>
      </c>
      <c r="C779" s="14">
        <v>372000</v>
      </c>
      <c r="D779" s="14">
        <v>243300</v>
      </c>
      <c r="E779" s="14">
        <v>273420</v>
      </c>
      <c r="F779" s="14">
        <v>188700</v>
      </c>
      <c r="G779" s="14">
        <v>212039</v>
      </c>
      <c r="H779" s="14">
        <v>137000</v>
      </c>
      <c r="I779" s="14">
        <v>164000</v>
      </c>
      <c r="J779" s="14">
        <v>3400</v>
      </c>
      <c r="K779" s="14">
        <v>4270</v>
      </c>
      <c r="N779" s="42">
        <f t="shared" si="40"/>
        <v>41000</v>
      </c>
      <c r="O779" s="43">
        <f t="shared" si="41"/>
        <v>0.11021505376344086</v>
      </c>
    </row>
    <row r="780" spans="1:15" x14ac:dyDescent="0.45">
      <c r="A780" s="12" t="s">
        <v>30736</v>
      </c>
      <c r="B780" s="14">
        <v>331000</v>
      </c>
      <c r="C780" s="14">
        <v>371000</v>
      </c>
      <c r="D780" s="14">
        <v>243300</v>
      </c>
      <c r="E780" s="14">
        <v>272685</v>
      </c>
      <c r="F780" s="14">
        <v>188700</v>
      </c>
      <c r="G780" s="14">
        <v>211469</v>
      </c>
      <c r="H780" s="14">
        <v>139000</v>
      </c>
      <c r="I780" s="14">
        <v>166000</v>
      </c>
      <c r="J780" s="14">
        <v>3420</v>
      </c>
      <c r="K780" s="14">
        <v>4300</v>
      </c>
      <c r="N780" s="42">
        <f t="shared" si="40"/>
        <v>40000</v>
      </c>
      <c r="O780" s="43">
        <f t="shared" si="41"/>
        <v>0.1078167115902965</v>
      </c>
    </row>
    <row r="781" spans="1:15" x14ac:dyDescent="0.45">
      <c r="A781" s="12" t="s">
        <v>30737</v>
      </c>
      <c r="B781" s="14">
        <v>330000</v>
      </c>
      <c r="C781" s="14">
        <v>370000</v>
      </c>
      <c r="D781" s="14">
        <v>242600</v>
      </c>
      <c r="E781" s="14">
        <v>271950</v>
      </c>
      <c r="F781" s="14">
        <v>188100</v>
      </c>
      <c r="G781" s="14">
        <v>210899</v>
      </c>
      <c r="H781" s="14">
        <v>136000</v>
      </c>
      <c r="I781" s="14">
        <v>162000</v>
      </c>
      <c r="J781" s="14">
        <v>3420</v>
      </c>
      <c r="K781" s="14">
        <v>4300</v>
      </c>
      <c r="N781" s="42">
        <f t="shared" si="40"/>
        <v>40000</v>
      </c>
      <c r="O781" s="43">
        <f t="shared" si="41"/>
        <v>0.10810810810810811</v>
      </c>
    </row>
    <row r="782" spans="1:15" x14ac:dyDescent="0.45">
      <c r="A782" s="12" t="s">
        <v>30738</v>
      </c>
      <c r="B782" s="14">
        <v>332000</v>
      </c>
      <c r="C782" s="14">
        <v>374000</v>
      </c>
      <c r="D782" s="14">
        <v>244000</v>
      </c>
      <c r="E782" s="14">
        <v>274890</v>
      </c>
      <c r="F782" s="14">
        <v>189200</v>
      </c>
      <c r="G782" s="14">
        <v>213180</v>
      </c>
      <c r="H782" s="14">
        <v>137000</v>
      </c>
      <c r="I782" s="14">
        <v>164000</v>
      </c>
      <c r="J782" s="14">
        <v>3470</v>
      </c>
      <c r="K782" s="14">
        <v>4360</v>
      </c>
      <c r="N782" s="42">
        <f t="shared" si="40"/>
        <v>42000</v>
      </c>
      <c r="O782" s="43">
        <f t="shared" si="41"/>
        <v>0.11229946524064172</v>
      </c>
    </row>
    <row r="783" spans="1:15" x14ac:dyDescent="0.45">
      <c r="A783" s="12" t="s">
        <v>30739</v>
      </c>
      <c r="B783" s="14">
        <v>331000</v>
      </c>
      <c r="C783" s="14">
        <v>374000</v>
      </c>
      <c r="D783" s="14">
        <v>243300</v>
      </c>
      <c r="E783" s="14">
        <v>274890</v>
      </c>
      <c r="F783" s="14">
        <v>188700</v>
      </c>
      <c r="G783" s="14">
        <v>213179</v>
      </c>
      <c r="H783" s="14">
        <v>138000</v>
      </c>
      <c r="I783" s="14">
        <v>165000</v>
      </c>
      <c r="J783" s="14">
        <v>3460</v>
      </c>
      <c r="K783" s="14">
        <v>4360</v>
      </c>
      <c r="N783" s="42">
        <f t="shared" si="40"/>
        <v>43000</v>
      </c>
      <c r="O783" s="43">
        <f t="shared" si="41"/>
        <v>0.11497326203208556</v>
      </c>
    </row>
    <row r="784" spans="1:15" x14ac:dyDescent="0.45">
      <c r="A784" s="12" t="s">
        <v>30740</v>
      </c>
      <c r="B784" s="14">
        <v>328000</v>
      </c>
      <c r="C784" s="14">
        <v>372000</v>
      </c>
      <c r="D784" s="14">
        <v>241100</v>
      </c>
      <c r="E784" s="14">
        <v>273420</v>
      </c>
      <c r="F784" s="14">
        <v>187000</v>
      </c>
      <c r="G784" s="14">
        <v>212039</v>
      </c>
      <c r="H784" s="14">
        <v>137000</v>
      </c>
      <c r="I784" s="14">
        <v>165000</v>
      </c>
      <c r="J784" s="14">
        <v>3460</v>
      </c>
      <c r="K784" s="14">
        <v>4340</v>
      </c>
      <c r="N784" s="42">
        <f t="shared" si="40"/>
        <v>44000</v>
      </c>
      <c r="O784" s="43">
        <f t="shared" si="41"/>
        <v>0.11827956989247312</v>
      </c>
    </row>
    <row r="785" spans="1:15" x14ac:dyDescent="0.45">
      <c r="A785" s="12" t="s">
        <v>30741</v>
      </c>
      <c r="B785" s="14">
        <v>326000</v>
      </c>
      <c r="C785" s="14">
        <v>370000</v>
      </c>
      <c r="D785" s="14">
        <v>239700</v>
      </c>
      <c r="E785" s="14">
        <v>271950</v>
      </c>
      <c r="F785" s="14">
        <v>185900</v>
      </c>
      <c r="G785" s="14">
        <v>210899</v>
      </c>
      <c r="H785" s="14">
        <v>136000</v>
      </c>
      <c r="I785" s="14">
        <v>162000</v>
      </c>
      <c r="J785" s="14">
        <v>3430</v>
      </c>
      <c r="K785" s="14">
        <v>4330</v>
      </c>
      <c r="N785" s="42">
        <f t="shared" si="40"/>
        <v>44000</v>
      </c>
      <c r="O785" s="43">
        <f t="shared" si="41"/>
        <v>0.11891891891891893</v>
      </c>
    </row>
    <row r="786" spans="1:15" x14ac:dyDescent="0.45">
      <c r="A786" s="12" t="s">
        <v>30742</v>
      </c>
      <c r="B786" s="14">
        <v>325000</v>
      </c>
      <c r="C786" s="14">
        <v>367000</v>
      </c>
      <c r="D786" s="14">
        <v>238900</v>
      </c>
      <c r="E786" s="14">
        <v>269745</v>
      </c>
      <c r="F786" s="14">
        <v>185300</v>
      </c>
      <c r="G786" s="14">
        <v>209189</v>
      </c>
      <c r="H786" s="14">
        <v>137000</v>
      </c>
      <c r="I786" s="14">
        <v>165000</v>
      </c>
      <c r="J786" s="14">
        <v>3370</v>
      </c>
      <c r="K786" s="14">
        <v>4250</v>
      </c>
      <c r="N786" s="42">
        <f t="shared" si="40"/>
        <v>42000</v>
      </c>
      <c r="O786" s="43">
        <f t="shared" si="41"/>
        <v>0.11444141689373297</v>
      </c>
    </row>
    <row r="787" spans="1:15" x14ac:dyDescent="0.45">
      <c r="A787" s="12" t="s">
        <v>30743</v>
      </c>
      <c r="B787" s="14">
        <v>323000</v>
      </c>
      <c r="C787" s="14">
        <v>367000</v>
      </c>
      <c r="D787" s="14">
        <v>237500</v>
      </c>
      <c r="E787" s="14">
        <v>269745</v>
      </c>
      <c r="F787" s="14">
        <v>184200</v>
      </c>
      <c r="G787" s="14">
        <v>209189</v>
      </c>
      <c r="H787" s="14">
        <v>138000</v>
      </c>
      <c r="I787" s="14">
        <v>165000</v>
      </c>
      <c r="J787" s="14">
        <v>3410</v>
      </c>
      <c r="K787" s="14">
        <v>4280</v>
      </c>
      <c r="N787" s="42">
        <f t="shared" si="40"/>
        <v>44000</v>
      </c>
      <c r="O787" s="43">
        <f t="shared" si="41"/>
        <v>0.11989100817438691</v>
      </c>
    </row>
    <row r="788" spans="1:15" x14ac:dyDescent="0.45">
      <c r="A788" s="12" t="s">
        <v>30744</v>
      </c>
      <c r="B788" s="14">
        <v>323000</v>
      </c>
      <c r="C788" s="14">
        <v>368000</v>
      </c>
      <c r="D788" s="14">
        <v>237500</v>
      </c>
      <c r="E788" s="14">
        <v>270480</v>
      </c>
      <c r="F788" s="14">
        <v>184200</v>
      </c>
      <c r="G788" s="14">
        <v>209759</v>
      </c>
      <c r="H788" s="14">
        <v>141000</v>
      </c>
      <c r="I788" s="14">
        <v>168000</v>
      </c>
      <c r="J788" s="14">
        <v>3420</v>
      </c>
      <c r="K788" s="14">
        <v>4300</v>
      </c>
      <c r="N788" s="42">
        <f t="shared" si="40"/>
        <v>45000</v>
      </c>
      <c r="O788" s="43">
        <f t="shared" si="41"/>
        <v>0.12228260869565218</v>
      </c>
    </row>
    <row r="789" spans="1:15" x14ac:dyDescent="0.45">
      <c r="A789" s="12" t="s">
        <v>30745</v>
      </c>
      <c r="B789" s="14">
        <v>322000</v>
      </c>
      <c r="C789" s="14">
        <v>368000</v>
      </c>
      <c r="D789" s="14">
        <v>236700</v>
      </c>
      <c r="E789" s="14">
        <v>270480</v>
      </c>
      <c r="F789" s="14">
        <v>183600</v>
      </c>
      <c r="G789" s="14">
        <v>209759</v>
      </c>
      <c r="H789" s="14">
        <v>142000</v>
      </c>
      <c r="I789" s="14">
        <v>170000</v>
      </c>
      <c r="J789" s="14">
        <v>3430</v>
      </c>
      <c r="K789" s="14">
        <v>4330</v>
      </c>
      <c r="N789" s="42">
        <f t="shared" si="40"/>
        <v>46000</v>
      </c>
      <c r="O789" s="43">
        <f t="shared" si="41"/>
        <v>0.125</v>
      </c>
    </row>
    <row r="790" spans="1:15" x14ac:dyDescent="0.45">
      <c r="A790" s="12" t="s">
        <v>30746</v>
      </c>
      <c r="B790" s="14">
        <v>322000</v>
      </c>
      <c r="C790" s="14">
        <v>369000</v>
      </c>
      <c r="D790" s="14">
        <v>236700</v>
      </c>
      <c r="E790" s="14">
        <v>271215</v>
      </c>
      <c r="F790" s="14">
        <v>183600</v>
      </c>
      <c r="G790" s="14">
        <v>210329</v>
      </c>
      <c r="H790" s="14">
        <v>144000</v>
      </c>
      <c r="I790" s="14">
        <v>173000</v>
      </c>
      <c r="J790" s="14">
        <v>3430</v>
      </c>
      <c r="K790" s="14">
        <v>4310</v>
      </c>
      <c r="N790" s="42">
        <f t="shared" si="40"/>
        <v>47000</v>
      </c>
      <c r="O790" s="43">
        <f t="shared" si="41"/>
        <v>0.12737127371273713</v>
      </c>
    </row>
    <row r="791" spans="1:15" x14ac:dyDescent="0.45">
      <c r="A791" s="12" t="s">
        <v>30747</v>
      </c>
      <c r="B791" s="14">
        <v>321000</v>
      </c>
      <c r="C791" s="14">
        <v>369000</v>
      </c>
      <c r="D791" s="14">
        <v>236000</v>
      </c>
      <c r="E791" s="14">
        <v>271215</v>
      </c>
      <c r="F791" s="14">
        <v>183000</v>
      </c>
      <c r="G791" s="14">
        <v>210329</v>
      </c>
      <c r="H791" s="14">
        <v>144000</v>
      </c>
      <c r="I791" s="14">
        <v>173000</v>
      </c>
      <c r="J791" s="14">
        <v>3440</v>
      </c>
      <c r="K791" s="14">
        <v>4330</v>
      </c>
      <c r="N791" s="42">
        <f t="shared" si="40"/>
        <v>48000</v>
      </c>
      <c r="O791" s="43">
        <f t="shared" si="41"/>
        <v>0.13008130081300814</v>
      </c>
    </row>
    <row r="792" spans="1:15" x14ac:dyDescent="0.45">
      <c r="A792" s="12" t="s">
        <v>30748</v>
      </c>
      <c r="B792" s="14">
        <v>320000</v>
      </c>
      <c r="C792" s="14">
        <v>368000</v>
      </c>
      <c r="D792" s="14">
        <v>235200</v>
      </c>
      <c r="E792" s="14">
        <v>270480</v>
      </c>
      <c r="F792" s="14">
        <v>182400</v>
      </c>
      <c r="G792" s="14">
        <v>209759</v>
      </c>
      <c r="H792" s="14">
        <v>143000</v>
      </c>
      <c r="I792" s="14">
        <v>171000</v>
      </c>
      <c r="J792" s="14">
        <v>3410</v>
      </c>
      <c r="K792" s="14">
        <v>4280</v>
      </c>
      <c r="N792" s="42">
        <f t="shared" si="40"/>
        <v>48000</v>
      </c>
      <c r="O792" s="43">
        <f t="shared" si="41"/>
        <v>0.13043478260869565</v>
      </c>
    </row>
    <row r="793" spans="1:15" x14ac:dyDescent="0.45">
      <c r="A793" s="12" t="s">
        <v>30749</v>
      </c>
      <c r="B793" s="14">
        <v>319000</v>
      </c>
      <c r="C793" s="14">
        <v>368000</v>
      </c>
      <c r="D793" s="14">
        <v>234500</v>
      </c>
      <c r="E793" s="14">
        <v>270480</v>
      </c>
      <c r="F793" s="14">
        <v>181900</v>
      </c>
      <c r="G793" s="14">
        <v>209759</v>
      </c>
      <c r="H793" s="14">
        <v>145000</v>
      </c>
      <c r="I793" s="14">
        <v>173000</v>
      </c>
      <c r="J793" s="14">
        <v>3380</v>
      </c>
      <c r="K793" s="14">
        <v>4260</v>
      </c>
      <c r="N793" s="42">
        <f t="shared" si="40"/>
        <v>49000</v>
      </c>
      <c r="O793" s="43">
        <f t="shared" si="41"/>
        <v>0.13315217391304349</v>
      </c>
    </row>
    <row r="794" spans="1:15" x14ac:dyDescent="0.45">
      <c r="A794" s="12" t="s">
        <v>30750</v>
      </c>
      <c r="B794" s="14">
        <v>321000</v>
      </c>
      <c r="C794" s="14">
        <v>370000</v>
      </c>
      <c r="D794" s="14">
        <v>236000</v>
      </c>
      <c r="E794" s="14">
        <v>271950</v>
      </c>
      <c r="F794" s="14">
        <v>183000</v>
      </c>
      <c r="G794" s="14">
        <v>210899</v>
      </c>
      <c r="H794" s="14">
        <v>147000</v>
      </c>
      <c r="I794" s="14">
        <v>175000</v>
      </c>
      <c r="J794" s="14">
        <v>3490</v>
      </c>
      <c r="K794" s="14">
        <v>4390</v>
      </c>
      <c r="N794" s="42">
        <f t="shared" si="40"/>
        <v>49000</v>
      </c>
      <c r="O794" s="43">
        <f t="shared" si="41"/>
        <v>0.13243243243243244</v>
      </c>
    </row>
    <row r="795" spans="1:15" x14ac:dyDescent="0.45">
      <c r="A795" s="12" t="s">
        <v>30751</v>
      </c>
      <c r="B795" s="14">
        <v>320000</v>
      </c>
      <c r="C795" s="14">
        <v>368000</v>
      </c>
      <c r="D795" s="14">
        <v>235200</v>
      </c>
      <c r="E795" s="14">
        <v>270480</v>
      </c>
      <c r="F795" s="14">
        <v>182400</v>
      </c>
      <c r="G795" s="14">
        <v>209759</v>
      </c>
      <c r="H795" s="14">
        <v>146000</v>
      </c>
      <c r="I795" s="14">
        <v>174000</v>
      </c>
      <c r="J795" s="14">
        <v>3480</v>
      </c>
      <c r="K795" s="14">
        <v>4380</v>
      </c>
      <c r="N795" s="42">
        <f t="shared" si="40"/>
        <v>48000</v>
      </c>
      <c r="O795" s="43">
        <f t="shared" si="41"/>
        <v>0.13043478260869565</v>
      </c>
    </row>
    <row r="796" spans="1:15" x14ac:dyDescent="0.45">
      <c r="A796" s="12" t="s">
        <v>30752</v>
      </c>
      <c r="B796" s="14">
        <v>319000</v>
      </c>
      <c r="C796" s="14">
        <v>368000</v>
      </c>
      <c r="D796" s="14">
        <v>234500</v>
      </c>
      <c r="E796" s="14">
        <v>270480</v>
      </c>
      <c r="F796" s="14">
        <v>181900</v>
      </c>
      <c r="G796" s="14">
        <v>209759</v>
      </c>
      <c r="H796" s="14">
        <v>146000</v>
      </c>
      <c r="I796" s="14">
        <v>175000</v>
      </c>
      <c r="J796" s="14">
        <v>3480</v>
      </c>
      <c r="K796" s="14">
        <v>4370</v>
      </c>
      <c r="N796" s="42">
        <f t="shared" si="40"/>
        <v>49000</v>
      </c>
      <c r="O796" s="43">
        <f t="shared" si="41"/>
        <v>0.13315217391304349</v>
      </c>
    </row>
    <row r="797" spans="1:15" x14ac:dyDescent="0.45">
      <c r="A797" s="12" t="s">
        <v>30753</v>
      </c>
      <c r="B797" s="14">
        <v>319000</v>
      </c>
      <c r="C797" s="14">
        <v>368000</v>
      </c>
      <c r="D797" s="14">
        <v>234500</v>
      </c>
      <c r="E797" s="14">
        <v>270480</v>
      </c>
      <c r="F797" s="14">
        <v>181900</v>
      </c>
      <c r="G797" s="14">
        <v>209759</v>
      </c>
      <c r="H797" s="14">
        <v>148000</v>
      </c>
      <c r="I797" s="14">
        <v>178000</v>
      </c>
      <c r="J797" s="14">
        <v>3480</v>
      </c>
      <c r="K797" s="14">
        <v>4370</v>
      </c>
      <c r="N797" s="42">
        <f t="shared" si="40"/>
        <v>49000</v>
      </c>
      <c r="O797" s="43">
        <f t="shared" si="41"/>
        <v>0.13315217391304349</v>
      </c>
    </row>
    <row r="798" spans="1:15" x14ac:dyDescent="0.45">
      <c r="A798" s="12" t="s">
        <v>30754</v>
      </c>
      <c r="B798" s="14">
        <v>320000</v>
      </c>
      <c r="C798" s="14">
        <v>369000</v>
      </c>
      <c r="D798" s="14">
        <v>235200</v>
      </c>
      <c r="E798" s="14">
        <v>271215</v>
      </c>
      <c r="F798" s="14">
        <v>182400</v>
      </c>
      <c r="G798" s="14">
        <v>210329</v>
      </c>
      <c r="H798" s="14">
        <v>147000</v>
      </c>
      <c r="I798" s="14">
        <v>175000</v>
      </c>
      <c r="J798" s="14">
        <v>3550</v>
      </c>
      <c r="K798" s="14">
        <v>4460</v>
      </c>
      <c r="N798" s="42">
        <f t="shared" si="40"/>
        <v>49000</v>
      </c>
      <c r="O798" s="43">
        <f t="shared" si="41"/>
        <v>0.13279132791327913</v>
      </c>
    </row>
    <row r="799" spans="1:15" x14ac:dyDescent="0.45">
      <c r="A799" s="12" t="s">
        <v>30755</v>
      </c>
      <c r="B799" s="14">
        <v>319000</v>
      </c>
      <c r="C799" s="14">
        <v>367000</v>
      </c>
      <c r="D799" s="14">
        <v>234500</v>
      </c>
      <c r="E799" s="14">
        <v>269745</v>
      </c>
      <c r="F799" s="14">
        <v>181900</v>
      </c>
      <c r="G799" s="14">
        <v>209189</v>
      </c>
      <c r="H799" s="14">
        <v>144000</v>
      </c>
      <c r="I799" s="14">
        <v>173000</v>
      </c>
      <c r="J799" s="14">
        <v>3530</v>
      </c>
      <c r="K799" s="14">
        <v>4430</v>
      </c>
      <c r="N799" s="42">
        <f t="shared" si="40"/>
        <v>48000</v>
      </c>
      <c r="O799" s="43">
        <f t="shared" si="41"/>
        <v>0.13079019073569481</v>
      </c>
    </row>
    <row r="800" spans="1:15" x14ac:dyDescent="0.45">
      <c r="A800" s="12" t="s">
        <v>30756</v>
      </c>
      <c r="B800" s="14">
        <v>319000</v>
      </c>
      <c r="C800" s="14">
        <v>366000</v>
      </c>
      <c r="D800" s="14">
        <v>234500</v>
      </c>
      <c r="E800" s="14">
        <v>269010</v>
      </c>
      <c r="F800" s="14">
        <v>181900</v>
      </c>
      <c r="G800" s="14">
        <v>208619</v>
      </c>
      <c r="H800" s="14">
        <v>144000</v>
      </c>
      <c r="I800" s="14">
        <v>172000</v>
      </c>
      <c r="J800" s="14">
        <v>3540</v>
      </c>
      <c r="K800" s="14">
        <v>4460</v>
      </c>
      <c r="N800" s="42">
        <f t="shared" si="40"/>
        <v>47000</v>
      </c>
      <c r="O800" s="43">
        <f t="shared" si="41"/>
        <v>0.12841530054644809</v>
      </c>
    </row>
    <row r="801" spans="1:15" x14ac:dyDescent="0.45">
      <c r="A801" s="12" t="s">
        <v>30757</v>
      </c>
      <c r="B801" s="14">
        <v>318000</v>
      </c>
      <c r="C801" s="14">
        <v>366000</v>
      </c>
      <c r="D801" s="14">
        <v>233800</v>
      </c>
      <c r="E801" s="14">
        <v>269010</v>
      </c>
      <c r="F801" s="14">
        <v>181300</v>
      </c>
      <c r="G801" s="14">
        <v>208619</v>
      </c>
      <c r="H801" s="14">
        <v>144000</v>
      </c>
      <c r="I801" s="14">
        <v>172000</v>
      </c>
      <c r="J801" s="14">
        <v>3540</v>
      </c>
      <c r="K801" s="14">
        <v>4450</v>
      </c>
      <c r="N801" s="42">
        <f t="shared" si="40"/>
        <v>48000</v>
      </c>
      <c r="O801" s="43">
        <f t="shared" si="41"/>
        <v>0.13114754098360656</v>
      </c>
    </row>
    <row r="802" spans="1:15" x14ac:dyDescent="0.45">
      <c r="A802" s="12" t="s">
        <v>30758</v>
      </c>
      <c r="B802" s="14">
        <v>318000</v>
      </c>
      <c r="C802" s="14">
        <v>366000</v>
      </c>
      <c r="D802" s="14">
        <v>233800</v>
      </c>
      <c r="E802" s="14">
        <v>269010</v>
      </c>
      <c r="F802" s="14">
        <v>181300</v>
      </c>
      <c r="G802" s="14">
        <v>208619</v>
      </c>
      <c r="H802" s="14">
        <v>143000</v>
      </c>
      <c r="I802" s="14">
        <v>171000</v>
      </c>
      <c r="J802" s="14">
        <v>3570</v>
      </c>
      <c r="K802" s="14">
        <v>4490</v>
      </c>
      <c r="N802" s="42">
        <f t="shared" si="40"/>
        <v>48000</v>
      </c>
      <c r="O802" s="43">
        <f t="shared" si="41"/>
        <v>0.13114754098360656</v>
      </c>
    </row>
    <row r="803" spans="1:15" x14ac:dyDescent="0.45">
      <c r="A803" s="12" t="s">
        <v>30759</v>
      </c>
      <c r="B803" s="14">
        <v>317000</v>
      </c>
      <c r="C803" s="14">
        <v>364000</v>
      </c>
      <c r="D803" s="14">
        <v>233000</v>
      </c>
      <c r="E803" s="14">
        <v>267540</v>
      </c>
      <c r="F803" s="14">
        <v>180700</v>
      </c>
      <c r="G803" s="14">
        <v>207479</v>
      </c>
      <c r="H803" s="14">
        <v>143000</v>
      </c>
      <c r="I803" s="14">
        <v>171000</v>
      </c>
      <c r="J803" s="14">
        <v>3550</v>
      </c>
      <c r="K803" s="14">
        <v>4460</v>
      </c>
      <c r="N803" s="42">
        <f t="shared" si="40"/>
        <v>47000</v>
      </c>
      <c r="O803" s="43">
        <f t="shared" si="41"/>
        <v>0.12912087912087913</v>
      </c>
    </row>
    <row r="804" spans="1:15" x14ac:dyDescent="0.45">
      <c r="A804" s="12" t="s">
        <v>30760</v>
      </c>
      <c r="B804" s="14">
        <v>316000</v>
      </c>
      <c r="C804" s="14">
        <v>364000</v>
      </c>
      <c r="D804" s="14">
        <v>232300</v>
      </c>
      <c r="E804" s="14">
        <v>267540</v>
      </c>
      <c r="F804" s="14">
        <v>180200</v>
      </c>
      <c r="G804" s="14">
        <v>207479</v>
      </c>
      <c r="H804" s="14">
        <v>141000</v>
      </c>
      <c r="I804" s="14">
        <v>169000</v>
      </c>
      <c r="J804" s="14">
        <v>3520</v>
      </c>
      <c r="K804" s="14">
        <v>4430</v>
      </c>
      <c r="N804" s="42">
        <f t="shared" si="40"/>
        <v>48000</v>
      </c>
      <c r="O804" s="43">
        <f t="shared" si="41"/>
        <v>0.13186813186813187</v>
      </c>
    </row>
    <row r="805" spans="1:15" x14ac:dyDescent="0.45">
      <c r="A805" s="12" t="s">
        <v>30761</v>
      </c>
      <c r="B805" s="14">
        <v>316000</v>
      </c>
      <c r="C805" s="14">
        <v>364000</v>
      </c>
      <c r="D805" s="14">
        <v>232300</v>
      </c>
      <c r="E805" s="14">
        <v>267540</v>
      </c>
      <c r="F805" s="14">
        <v>180200</v>
      </c>
      <c r="G805" s="14">
        <v>207479</v>
      </c>
      <c r="H805" s="14">
        <v>141000</v>
      </c>
      <c r="I805" s="14">
        <v>168000</v>
      </c>
      <c r="J805" s="14">
        <v>3520</v>
      </c>
      <c r="K805" s="14">
        <v>4430</v>
      </c>
      <c r="N805" s="42">
        <f t="shared" si="40"/>
        <v>48000</v>
      </c>
      <c r="O805" s="43">
        <f t="shared" si="41"/>
        <v>0.13186813186813187</v>
      </c>
    </row>
    <row r="806" spans="1:15" x14ac:dyDescent="0.45">
      <c r="A806" s="12" t="s">
        <v>30762</v>
      </c>
      <c r="B806" s="14">
        <v>315000</v>
      </c>
      <c r="C806" s="14">
        <v>361000</v>
      </c>
      <c r="D806" s="14">
        <v>231600</v>
      </c>
      <c r="E806" s="14">
        <v>265335</v>
      </c>
      <c r="F806" s="14">
        <v>179600</v>
      </c>
      <c r="G806" s="14">
        <v>205769</v>
      </c>
      <c r="H806" s="14">
        <v>140000</v>
      </c>
      <c r="I806" s="14">
        <v>167000</v>
      </c>
      <c r="J806" s="14">
        <v>3490</v>
      </c>
      <c r="K806" s="14">
        <v>4390</v>
      </c>
      <c r="N806" s="42">
        <f t="shared" si="40"/>
        <v>46000</v>
      </c>
      <c r="O806" s="43">
        <f t="shared" si="41"/>
        <v>0.12742382271468145</v>
      </c>
    </row>
    <row r="807" spans="1:15" x14ac:dyDescent="0.45">
      <c r="A807" s="12" t="s">
        <v>30763</v>
      </c>
      <c r="B807" s="14">
        <v>315000</v>
      </c>
      <c r="C807" s="14">
        <v>361000</v>
      </c>
      <c r="D807" s="14">
        <v>231600</v>
      </c>
      <c r="E807" s="14">
        <v>265335</v>
      </c>
      <c r="F807" s="14">
        <v>179600</v>
      </c>
      <c r="G807" s="14">
        <v>205769</v>
      </c>
      <c r="H807" s="14">
        <v>140000</v>
      </c>
      <c r="I807" s="14">
        <v>167000</v>
      </c>
      <c r="J807" s="14">
        <v>3500</v>
      </c>
      <c r="K807" s="14">
        <v>4400</v>
      </c>
      <c r="N807" s="42">
        <f t="shared" si="40"/>
        <v>46000</v>
      </c>
      <c r="O807" s="43">
        <f t="shared" si="41"/>
        <v>0.12742382271468145</v>
      </c>
    </row>
    <row r="808" spans="1:15" x14ac:dyDescent="0.45">
      <c r="A808" s="12" t="s">
        <v>30764</v>
      </c>
      <c r="B808" s="14">
        <v>315000</v>
      </c>
      <c r="C808" s="14">
        <v>361000</v>
      </c>
      <c r="D808" s="14">
        <v>231600</v>
      </c>
      <c r="E808" s="14">
        <v>265335</v>
      </c>
      <c r="F808" s="14">
        <v>179600</v>
      </c>
      <c r="G808" s="14">
        <v>205769</v>
      </c>
      <c r="H808" s="14">
        <v>141000</v>
      </c>
      <c r="I808" s="14">
        <v>169000</v>
      </c>
      <c r="J808" s="14">
        <v>3500</v>
      </c>
      <c r="K808" s="14">
        <v>4410</v>
      </c>
      <c r="N808" s="42">
        <f t="shared" si="40"/>
        <v>46000</v>
      </c>
      <c r="O808" s="43">
        <f t="shared" si="41"/>
        <v>0.12742382271468145</v>
      </c>
    </row>
    <row r="809" spans="1:15" x14ac:dyDescent="0.45">
      <c r="A809" s="12" t="s">
        <v>30765</v>
      </c>
      <c r="B809" s="14">
        <v>315000</v>
      </c>
      <c r="C809" s="14">
        <v>362000</v>
      </c>
      <c r="D809" s="14">
        <v>231600</v>
      </c>
      <c r="E809" s="14">
        <v>266070</v>
      </c>
      <c r="F809" s="14">
        <v>179600</v>
      </c>
      <c r="G809" s="14">
        <v>206339</v>
      </c>
      <c r="H809" s="14">
        <v>139000</v>
      </c>
      <c r="I809" s="14">
        <v>166000</v>
      </c>
      <c r="J809" s="14">
        <v>3490</v>
      </c>
      <c r="K809" s="14">
        <v>4390</v>
      </c>
      <c r="N809" s="42">
        <f t="shared" si="40"/>
        <v>47000</v>
      </c>
      <c r="O809" s="43">
        <f t="shared" si="41"/>
        <v>0.12983425414364641</v>
      </c>
    </row>
    <row r="810" spans="1:15" x14ac:dyDescent="0.45">
      <c r="A810" s="12" t="s">
        <v>30766</v>
      </c>
      <c r="B810" s="14">
        <v>314000</v>
      </c>
      <c r="C810" s="14">
        <v>358000</v>
      </c>
      <c r="D810" s="14">
        <v>230800</v>
      </c>
      <c r="E810" s="14">
        <v>263130</v>
      </c>
      <c r="F810" s="14">
        <v>179000</v>
      </c>
      <c r="G810" s="14">
        <v>204059</v>
      </c>
      <c r="H810" s="14">
        <v>139000</v>
      </c>
      <c r="I810" s="14">
        <v>167000</v>
      </c>
      <c r="J810" s="14">
        <v>3370</v>
      </c>
      <c r="K810" s="14">
        <v>4250</v>
      </c>
      <c r="N810" s="42">
        <f t="shared" si="40"/>
        <v>44000</v>
      </c>
      <c r="O810" s="43">
        <f t="shared" si="41"/>
        <v>0.12290502793296089</v>
      </c>
    </row>
    <row r="811" spans="1:15" x14ac:dyDescent="0.45">
      <c r="A811" s="12" t="s">
        <v>30767</v>
      </c>
      <c r="B811" s="14">
        <v>314000</v>
      </c>
      <c r="C811" s="14">
        <v>359000</v>
      </c>
      <c r="D811" s="14">
        <v>230800</v>
      </c>
      <c r="E811" s="14">
        <v>263865</v>
      </c>
      <c r="F811" s="14">
        <v>179000</v>
      </c>
      <c r="G811" s="14">
        <v>204629</v>
      </c>
      <c r="H811" s="14">
        <v>137000</v>
      </c>
      <c r="I811" s="14">
        <v>164000</v>
      </c>
      <c r="J811" s="14">
        <v>3380</v>
      </c>
      <c r="K811" s="14">
        <v>4260</v>
      </c>
      <c r="N811" s="42">
        <f t="shared" si="40"/>
        <v>45000</v>
      </c>
      <c r="O811" s="43">
        <f t="shared" si="41"/>
        <v>0.12534818941504178</v>
      </c>
    </row>
    <row r="812" spans="1:15" x14ac:dyDescent="0.45">
      <c r="A812" s="12" t="s">
        <v>30768</v>
      </c>
      <c r="B812" s="14">
        <v>315000</v>
      </c>
      <c r="C812" s="14">
        <v>362000</v>
      </c>
      <c r="D812" s="14">
        <v>231600</v>
      </c>
      <c r="E812" s="14">
        <v>266070</v>
      </c>
      <c r="F812" s="14">
        <v>179600</v>
      </c>
      <c r="G812" s="14">
        <v>206339</v>
      </c>
      <c r="H812" s="14">
        <v>138000</v>
      </c>
      <c r="I812" s="14">
        <v>165000</v>
      </c>
      <c r="J812" s="14">
        <v>3410</v>
      </c>
      <c r="K812" s="14">
        <v>4280</v>
      </c>
      <c r="N812" s="42">
        <f t="shared" si="40"/>
        <v>47000</v>
      </c>
      <c r="O812" s="43">
        <f t="shared" si="41"/>
        <v>0.12983425414364641</v>
      </c>
    </row>
    <row r="813" spans="1:15" x14ac:dyDescent="0.45">
      <c r="A813" s="12" t="s">
        <v>30769</v>
      </c>
      <c r="B813" s="14">
        <v>315000</v>
      </c>
      <c r="C813" s="14">
        <v>363000</v>
      </c>
      <c r="D813" s="14">
        <v>231600</v>
      </c>
      <c r="E813" s="14">
        <v>266805</v>
      </c>
      <c r="F813" s="14">
        <v>179600</v>
      </c>
      <c r="G813" s="14">
        <v>206909</v>
      </c>
      <c r="H813" s="14">
        <v>138000</v>
      </c>
      <c r="I813" s="14">
        <v>165000</v>
      </c>
      <c r="J813" s="14">
        <v>3420</v>
      </c>
      <c r="K813" s="14">
        <v>4300</v>
      </c>
      <c r="N813" s="42">
        <f t="shared" ref="N813:N876" si="42">C813-B813</f>
        <v>48000</v>
      </c>
      <c r="O813" s="43">
        <f t="shared" ref="O813:O876" si="43">N813/C813</f>
        <v>0.13223140495867769</v>
      </c>
    </row>
    <row r="814" spans="1:15" x14ac:dyDescent="0.45">
      <c r="A814" s="12" t="s">
        <v>30770</v>
      </c>
      <c r="B814" s="14">
        <v>316000</v>
      </c>
      <c r="C814" s="14">
        <v>365000</v>
      </c>
      <c r="D814" s="14">
        <v>232300</v>
      </c>
      <c r="E814" s="14">
        <v>268275</v>
      </c>
      <c r="F814" s="14">
        <v>180200</v>
      </c>
      <c r="G814" s="14">
        <v>208049</v>
      </c>
      <c r="H814" s="14">
        <v>136000</v>
      </c>
      <c r="I814" s="14">
        <v>162000</v>
      </c>
      <c r="J814" s="14">
        <v>3510</v>
      </c>
      <c r="K814" s="14">
        <v>4410</v>
      </c>
      <c r="N814" s="42">
        <f t="shared" si="42"/>
        <v>49000</v>
      </c>
      <c r="O814" s="43">
        <f t="shared" si="43"/>
        <v>0.13424657534246576</v>
      </c>
    </row>
    <row r="815" spans="1:15" x14ac:dyDescent="0.45">
      <c r="A815" s="12" t="s">
        <v>30771</v>
      </c>
      <c r="B815" s="14">
        <v>316000</v>
      </c>
      <c r="C815" s="14">
        <v>369000</v>
      </c>
      <c r="D815" s="14">
        <v>232300</v>
      </c>
      <c r="E815" s="14">
        <v>271215</v>
      </c>
      <c r="F815" s="14">
        <v>180200</v>
      </c>
      <c r="G815" s="14">
        <v>210329</v>
      </c>
      <c r="H815" s="14">
        <v>134000</v>
      </c>
      <c r="I815" s="14">
        <v>161000</v>
      </c>
      <c r="J815" s="14">
        <v>3560</v>
      </c>
      <c r="K815" s="14">
        <v>4460</v>
      </c>
      <c r="N815" s="42">
        <f t="shared" si="42"/>
        <v>53000</v>
      </c>
      <c r="O815" s="43">
        <f t="shared" si="43"/>
        <v>0.14363143631436315</v>
      </c>
    </row>
    <row r="816" spans="1:15" x14ac:dyDescent="0.45">
      <c r="A816" s="12" t="s">
        <v>30772</v>
      </c>
      <c r="B816" s="14">
        <v>315000</v>
      </c>
      <c r="C816" s="14">
        <v>364000</v>
      </c>
      <c r="D816" s="14">
        <v>231600</v>
      </c>
      <c r="E816" s="14">
        <v>267540</v>
      </c>
      <c r="F816" s="14">
        <v>179600</v>
      </c>
      <c r="G816" s="14">
        <v>207479</v>
      </c>
      <c r="H816" s="14">
        <v>135000</v>
      </c>
      <c r="I816" s="14">
        <v>162000</v>
      </c>
      <c r="J816" s="14">
        <v>3580</v>
      </c>
      <c r="K816" s="14">
        <v>4500</v>
      </c>
      <c r="N816" s="42">
        <f t="shared" si="42"/>
        <v>49000</v>
      </c>
      <c r="O816" s="43">
        <f t="shared" si="43"/>
        <v>0.13461538461538461</v>
      </c>
    </row>
    <row r="817" spans="1:15" x14ac:dyDescent="0.45">
      <c r="A817" s="12" t="s">
        <v>30773</v>
      </c>
      <c r="B817" s="14">
        <v>316000</v>
      </c>
      <c r="C817" s="14">
        <v>366000</v>
      </c>
      <c r="D817" s="14">
        <v>232300</v>
      </c>
      <c r="E817" s="14">
        <v>269010</v>
      </c>
      <c r="F817" s="14">
        <v>180200</v>
      </c>
      <c r="G817" s="14">
        <v>208619</v>
      </c>
      <c r="H817" s="14">
        <v>137000</v>
      </c>
      <c r="I817" s="14">
        <v>165000</v>
      </c>
      <c r="J817" s="14">
        <v>3630</v>
      </c>
      <c r="K817" s="14">
        <v>4550</v>
      </c>
      <c r="N817" s="42">
        <f t="shared" si="42"/>
        <v>50000</v>
      </c>
      <c r="O817" s="43">
        <f t="shared" si="43"/>
        <v>0.13661202185792351</v>
      </c>
    </row>
    <row r="818" spans="1:15" x14ac:dyDescent="0.45">
      <c r="A818" s="12" t="s">
        <v>30774</v>
      </c>
      <c r="B818" s="14">
        <v>318000</v>
      </c>
      <c r="C818" s="14">
        <v>372000</v>
      </c>
      <c r="D818" s="14">
        <v>233800</v>
      </c>
      <c r="E818" s="14">
        <v>273420</v>
      </c>
      <c r="F818" s="14">
        <v>181300</v>
      </c>
      <c r="G818" s="14">
        <v>212039</v>
      </c>
      <c r="H818" s="14">
        <v>139000</v>
      </c>
      <c r="I818" s="14">
        <v>166000</v>
      </c>
      <c r="J818" s="14">
        <v>3740</v>
      </c>
      <c r="K818" s="14">
        <v>4700</v>
      </c>
      <c r="N818" s="42">
        <f t="shared" si="42"/>
        <v>54000</v>
      </c>
      <c r="O818" s="43">
        <f t="shared" si="43"/>
        <v>0.14516129032258066</v>
      </c>
    </row>
    <row r="819" spans="1:15" x14ac:dyDescent="0.45">
      <c r="A819" s="12" t="s">
        <v>30775</v>
      </c>
      <c r="B819" s="14">
        <v>316000</v>
      </c>
      <c r="C819" s="14">
        <v>368000</v>
      </c>
      <c r="D819" s="14">
        <v>232300</v>
      </c>
      <c r="E819" s="14">
        <v>270480</v>
      </c>
      <c r="F819" s="14">
        <v>180200</v>
      </c>
      <c r="G819" s="14">
        <v>209759</v>
      </c>
      <c r="H819" s="14">
        <v>138000</v>
      </c>
      <c r="I819" s="14">
        <v>165000</v>
      </c>
      <c r="J819" s="14">
        <v>3710</v>
      </c>
      <c r="K819" s="14">
        <v>4660</v>
      </c>
      <c r="N819" s="42">
        <f t="shared" si="42"/>
        <v>52000</v>
      </c>
      <c r="O819" s="43">
        <f t="shared" si="43"/>
        <v>0.14130434782608695</v>
      </c>
    </row>
    <row r="820" spans="1:15" x14ac:dyDescent="0.45">
      <c r="A820" s="12" t="s">
        <v>30776</v>
      </c>
      <c r="B820" s="14">
        <v>315000</v>
      </c>
      <c r="C820" s="14">
        <v>366000</v>
      </c>
      <c r="D820" s="14">
        <v>231600</v>
      </c>
      <c r="E820" s="14">
        <v>269010</v>
      </c>
      <c r="F820" s="14">
        <v>179600</v>
      </c>
      <c r="G820" s="14">
        <v>208619</v>
      </c>
      <c r="H820" s="14">
        <v>138000</v>
      </c>
      <c r="I820" s="14">
        <v>165000</v>
      </c>
      <c r="J820" s="14">
        <v>3720</v>
      </c>
      <c r="K820" s="14">
        <v>4670</v>
      </c>
      <c r="N820" s="42">
        <f t="shared" si="42"/>
        <v>51000</v>
      </c>
      <c r="O820" s="43">
        <f t="shared" si="43"/>
        <v>0.13934426229508196</v>
      </c>
    </row>
    <row r="821" spans="1:15" x14ac:dyDescent="0.45">
      <c r="A821" s="12" t="s">
        <v>30777</v>
      </c>
      <c r="B821" s="14">
        <v>315000</v>
      </c>
      <c r="C821" s="14">
        <v>364000</v>
      </c>
      <c r="D821" s="14">
        <v>231600</v>
      </c>
      <c r="E821" s="14">
        <v>267540</v>
      </c>
      <c r="F821" s="14">
        <v>179600</v>
      </c>
      <c r="G821" s="14">
        <v>207479</v>
      </c>
      <c r="H821" s="14">
        <v>137000</v>
      </c>
      <c r="I821" s="14">
        <v>165000</v>
      </c>
      <c r="J821" s="14">
        <v>3660</v>
      </c>
      <c r="K821" s="14">
        <v>4600</v>
      </c>
      <c r="N821" s="42">
        <f t="shared" si="42"/>
        <v>49000</v>
      </c>
      <c r="O821" s="43">
        <f t="shared" si="43"/>
        <v>0.13461538461538461</v>
      </c>
    </row>
    <row r="822" spans="1:15" x14ac:dyDescent="0.45">
      <c r="A822" s="12" t="s">
        <v>30778</v>
      </c>
      <c r="B822" s="14">
        <v>315000</v>
      </c>
      <c r="C822" s="14">
        <v>362000</v>
      </c>
      <c r="D822" s="14">
        <v>231600</v>
      </c>
      <c r="E822" s="14">
        <v>266070</v>
      </c>
      <c r="F822" s="14">
        <v>179600</v>
      </c>
      <c r="G822" s="14">
        <v>206339</v>
      </c>
      <c r="H822" s="14">
        <v>139000</v>
      </c>
      <c r="I822" s="14">
        <v>166000</v>
      </c>
      <c r="J822" s="14">
        <v>3640</v>
      </c>
      <c r="K822" s="14">
        <v>4580</v>
      </c>
      <c r="N822" s="42">
        <f t="shared" si="42"/>
        <v>47000</v>
      </c>
      <c r="O822" s="43">
        <f t="shared" si="43"/>
        <v>0.12983425414364641</v>
      </c>
    </row>
    <row r="823" spans="1:15" x14ac:dyDescent="0.45">
      <c r="A823" s="12" t="s">
        <v>30779</v>
      </c>
      <c r="B823" s="14">
        <v>314000</v>
      </c>
      <c r="C823" s="14">
        <v>358000</v>
      </c>
      <c r="D823" s="14">
        <v>230800</v>
      </c>
      <c r="E823" s="14">
        <v>263130</v>
      </c>
      <c r="F823" s="14">
        <v>179000</v>
      </c>
      <c r="G823" s="14">
        <v>204059</v>
      </c>
      <c r="H823" s="14">
        <v>136000</v>
      </c>
      <c r="I823" s="14">
        <v>163000</v>
      </c>
      <c r="J823" s="14">
        <v>3590</v>
      </c>
      <c r="K823" s="14">
        <v>4510</v>
      </c>
      <c r="N823" s="42">
        <f t="shared" si="42"/>
        <v>44000</v>
      </c>
      <c r="O823" s="43">
        <f t="shared" si="43"/>
        <v>0.12290502793296089</v>
      </c>
    </row>
    <row r="824" spans="1:15" x14ac:dyDescent="0.45">
      <c r="A824" s="12" t="s">
        <v>30780</v>
      </c>
      <c r="B824" s="14">
        <v>314000</v>
      </c>
      <c r="C824" s="14">
        <v>360000</v>
      </c>
      <c r="D824" s="14">
        <v>230800</v>
      </c>
      <c r="E824" s="14">
        <v>264600</v>
      </c>
      <c r="F824" s="14">
        <v>179000</v>
      </c>
      <c r="G824" s="14">
        <v>205199</v>
      </c>
      <c r="H824" s="14">
        <v>139000</v>
      </c>
      <c r="I824" s="14">
        <v>166000</v>
      </c>
      <c r="J824" s="14">
        <v>3620</v>
      </c>
      <c r="K824" s="14">
        <v>4550</v>
      </c>
      <c r="N824" s="42">
        <f t="shared" si="42"/>
        <v>46000</v>
      </c>
      <c r="O824" s="43">
        <f t="shared" si="43"/>
        <v>0.12777777777777777</v>
      </c>
    </row>
    <row r="825" spans="1:15" x14ac:dyDescent="0.45">
      <c r="A825" s="12" t="s">
        <v>30781</v>
      </c>
      <c r="B825" s="14">
        <v>314000</v>
      </c>
      <c r="C825" s="14">
        <v>359000</v>
      </c>
      <c r="D825" s="14">
        <v>230800</v>
      </c>
      <c r="E825" s="14">
        <v>263865</v>
      </c>
      <c r="F825" s="14">
        <v>179000</v>
      </c>
      <c r="G825" s="14">
        <v>204629</v>
      </c>
      <c r="H825" s="14">
        <v>138000</v>
      </c>
      <c r="I825" s="14">
        <v>166000</v>
      </c>
      <c r="J825" s="14">
        <v>3570</v>
      </c>
      <c r="K825" s="14">
        <v>4490</v>
      </c>
      <c r="N825" s="42">
        <f t="shared" si="42"/>
        <v>45000</v>
      </c>
      <c r="O825" s="43">
        <f t="shared" si="43"/>
        <v>0.12534818941504178</v>
      </c>
    </row>
    <row r="826" spans="1:15" x14ac:dyDescent="0.45">
      <c r="A826" s="12" t="s">
        <v>30782</v>
      </c>
      <c r="B826" s="14">
        <v>314000</v>
      </c>
      <c r="C826" s="14">
        <v>359000</v>
      </c>
      <c r="D826" s="14">
        <v>230800</v>
      </c>
      <c r="E826" s="14">
        <v>263865</v>
      </c>
      <c r="F826" s="14">
        <v>179000</v>
      </c>
      <c r="G826" s="14">
        <v>204629</v>
      </c>
      <c r="H826" s="14">
        <v>137000</v>
      </c>
      <c r="I826" s="14">
        <v>164000</v>
      </c>
      <c r="J826" s="14">
        <v>3490</v>
      </c>
      <c r="K826" s="14">
        <v>4390</v>
      </c>
      <c r="N826" s="42">
        <f t="shared" si="42"/>
        <v>45000</v>
      </c>
      <c r="O826" s="43">
        <f t="shared" si="43"/>
        <v>0.12534818941504178</v>
      </c>
    </row>
    <row r="827" spans="1:15" x14ac:dyDescent="0.45">
      <c r="A827" s="12" t="s">
        <v>30783</v>
      </c>
      <c r="B827" s="14">
        <v>314000</v>
      </c>
      <c r="C827" s="14">
        <v>356000</v>
      </c>
      <c r="D827" s="14">
        <v>230800</v>
      </c>
      <c r="E827" s="14">
        <v>261660</v>
      </c>
      <c r="F827" s="14">
        <v>179000</v>
      </c>
      <c r="G827" s="14">
        <v>202919</v>
      </c>
      <c r="H827" s="14">
        <v>137000</v>
      </c>
      <c r="I827" s="14">
        <v>164000</v>
      </c>
      <c r="J827" s="14">
        <v>3460</v>
      </c>
      <c r="K827" s="14">
        <v>4340</v>
      </c>
      <c r="N827" s="42">
        <f t="shared" si="42"/>
        <v>42000</v>
      </c>
      <c r="O827" s="43">
        <f t="shared" si="43"/>
        <v>0.11797752808988764</v>
      </c>
    </row>
    <row r="828" spans="1:15" x14ac:dyDescent="0.45">
      <c r="A828" s="12" t="s">
        <v>30784</v>
      </c>
      <c r="B828" s="14">
        <v>314000</v>
      </c>
      <c r="C828" s="14">
        <v>359000</v>
      </c>
      <c r="D828" s="14">
        <v>230800</v>
      </c>
      <c r="E828" s="14">
        <v>263865</v>
      </c>
      <c r="F828" s="14">
        <v>179000</v>
      </c>
      <c r="G828" s="14">
        <v>204629</v>
      </c>
      <c r="H828" s="14">
        <v>138000</v>
      </c>
      <c r="I828" s="14">
        <v>166000</v>
      </c>
      <c r="J828" s="14">
        <v>3490</v>
      </c>
      <c r="K828" s="14">
        <v>4390</v>
      </c>
      <c r="N828" s="42">
        <f t="shared" si="42"/>
        <v>45000</v>
      </c>
      <c r="O828" s="43">
        <f t="shared" si="43"/>
        <v>0.12534818941504178</v>
      </c>
    </row>
    <row r="829" spans="1:15" x14ac:dyDescent="0.45">
      <c r="A829" s="12" t="s">
        <v>30785</v>
      </c>
      <c r="B829" s="14">
        <v>313000</v>
      </c>
      <c r="C829" s="14">
        <v>353000</v>
      </c>
      <c r="D829" s="14">
        <v>230100</v>
      </c>
      <c r="E829" s="14">
        <v>259455</v>
      </c>
      <c r="F829" s="14">
        <v>178500</v>
      </c>
      <c r="G829" s="14">
        <v>201209</v>
      </c>
      <c r="H829" s="14">
        <v>135000</v>
      </c>
      <c r="I829" s="14">
        <v>162000</v>
      </c>
      <c r="J829" s="14">
        <v>3440</v>
      </c>
      <c r="K829" s="14">
        <v>4330</v>
      </c>
      <c r="N829" s="42">
        <f t="shared" si="42"/>
        <v>40000</v>
      </c>
      <c r="O829" s="43">
        <f t="shared" si="43"/>
        <v>0.11331444759206799</v>
      </c>
    </row>
    <row r="830" spans="1:15" x14ac:dyDescent="0.45">
      <c r="A830" s="12" t="s">
        <v>30786</v>
      </c>
      <c r="B830" s="14">
        <v>313000</v>
      </c>
      <c r="C830" s="14">
        <v>351000</v>
      </c>
      <c r="D830" s="14">
        <v>230100</v>
      </c>
      <c r="E830" s="14">
        <v>257985</v>
      </c>
      <c r="F830" s="14">
        <v>178500</v>
      </c>
      <c r="G830" s="14">
        <v>200069</v>
      </c>
      <c r="H830" s="14">
        <v>133000</v>
      </c>
      <c r="I830" s="14">
        <v>159000</v>
      </c>
      <c r="J830" s="14">
        <v>3440</v>
      </c>
      <c r="K830" s="14">
        <v>4330</v>
      </c>
      <c r="N830" s="42">
        <f t="shared" si="42"/>
        <v>38000</v>
      </c>
      <c r="O830" s="43">
        <f t="shared" si="43"/>
        <v>0.10826210826210826</v>
      </c>
    </row>
    <row r="831" spans="1:15" x14ac:dyDescent="0.45">
      <c r="A831" s="12" t="s">
        <v>30787</v>
      </c>
      <c r="B831" s="14">
        <v>313000</v>
      </c>
      <c r="C831" s="14">
        <v>353000</v>
      </c>
      <c r="D831" s="14">
        <v>230100</v>
      </c>
      <c r="E831" s="14">
        <v>259455</v>
      </c>
      <c r="F831" s="14">
        <v>178500</v>
      </c>
      <c r="G831" s="14">
        <v>201209</v>
      </c>
      <c r="H831" s="14">
        <v>133000</v>
      </c>
      <c r="I831" s="14">
        <v>159000</v>
      </c>
      <c r="J831" s="14">
        <v>3470</v>
      </c>
      <c r="K831" s="14">
        <v>4370</v>
      </c>
      <c r="N831" s="42">
        <f t="shared" si="42"/>
        <v>40000</v>
      </c>
      <c r="O831" s="43">
        <f t="shared" si="43"/>
        <v>0.11331444759206799</v>
      </c>
    </row>
    <row r="832" spans="1:15" x14ac:dyDescent="0.45">
      <c r="A832" s="12" t="s">
        <v>30788</v>
      </c>
      <c r="B832" s="14">
        <v>313000</v>
      </c>
      <c r="C832" s="14">
        <v>354000</v>
      </c>
      <c r="D832" s="14">
        <v>230100</v>
      </c>
      <c r="E832" s="14">
        <v>260190</v>
      </c>
      <c r="F832" s="14">
        <v>178500</v>
      </c>
      <c r="G832" s="14">
        <v>201779</v>
      </c>
      <c r="H832" s="14">
        <v>132000</v>
      </c>
      <c r="I832" s="14">
        <v>158000</v>
      </c>
      <c r="J832" s="14">
        <v>3480</v>
      </c>
      <c r="K832" s="14">
        <v>4360</v>
      </c>
      <c r="N832" s="42">
        <f t="shared" si="42"/>
        <v>41000</v>
      </c>
      <c r="O832" s="43">
        <f t="shared" si="43"/>
        <v>0.11581920903954802</v>
      </c>
    </row>
    <row r="833" spans="1:15" x14ac:dyDescent="0.45">
      <c r="A833" s="12" t="s">
        <v>30789</v>
      </c>
      <c r="B833" s="14">
        <v>312000</v>
      </c>
      <c r="C833" s="14">
        <v>352000</v>
      </c>
      <c r="D833" s="14">
        <v>229400</v>
      </c>
      <c r="E833" s="14">
        <v>258720</v>
      </c>
      <c r="F833" s="14">
        <v>177900</v>
      </c>
      <c r="G833" s="14">
        <v>200639</v>
      </c>
      <c r="H833" s="14">
        <v>134000</v>
      </c>
      <c r="I833" s="14">
        <v>160000</v>
      </c>
      <c r="J833" s="14">
        <v>3440</v>
      </c>
      <c r="K833" s="14">
        <v>4330</v>
      </c>
      <c r="N833" s="42">
        <f t="shared" si="42"/>
        <v>40000</v>
      </c>
      <c r="O833" s="43">
        <f t="shared" si="43"/>
        <v>0.11363636363636363</v>
      </c>
    </row>
    <row r="834" spans="1:15" x14ac:dyDescent="0.45">
      <c r="A834" s="12" t="s">
        <v>30790</v>
      </c>
      <c r="B834" s="14">
        <v>312000</v>
      </c>
      <c r="C834" s="14">
        <v>352000</v>
      </c>
      <c r="D834" s="14">
        <v>229400</v>
      </c>
      <c r="E834" s="14">
        <v>258720</v>
      </c>
      <c r="F834" s="14">
        <v>177900</v>
      </c>
      <c r="G834" s="14">
        <v>200639</v>
      </c>
      <c r="H834" s="14">
        <v>132000</v>
      </c>
      <c r="I834" s="14">
        <v>157000</v>
      </c>
      <c r="J834" s="14">
        <v>3390</v>
      </c>
      <c r="K834" s="14">
        <v>4270</v>
      </c>
      <c r="N834" s="42">
        <f t="shared" si="42"/>
        <v>40000</v>
      </c>
      <c r="O834" s="43">
        <f t="shared" si="43"/>
        <v>0.11363636363636363</v>
      </c>
    </row>
    <row r="835" spans="1:15" x14ac:dyDescent="0.45">
      <c r="A835" s="12" t="s">
        <v>30791</v>
      </c>
      <c r="B835" s="14">
        <v>313000</v>
      </c>
      <c r="C835" s="14">
        <v>355000</v>
      </c>
      <c r="D835" s="14">
        <v>230100</v>
      </c>
      <c r="E835" s="14">
        <v>260925</v>
      </c>
      <c r="F835" s="14">
        <v>178500</v>
      </c>
      <c r="G835" s="14">
        <v>202349</v>
      </c>
      <c r="H835" s="14">
        <v>131000</v>
      </c>
      <c r="I835" s="14">
        <v>157000</v>
      </c>
      <c r="J835" s="14">
        <v>3330</v>
      </c>
      <c r="K835" s="14">
        <v>4190</v>
      </c>
      <c r="N835" s="42">
        <f t="shared" si="42"/>
        <v>42000</v>
      </c>
      <c r="O835" s="43">
        <f t="shared" si="43"/>
        <v>0.11830985915492957</v>
      </c>
    </row>
    <row r="836" spans="1:15" x14ac:dyDescent="0.45">
      <c r="A836" s="12" t="s">
        <v>30792</v>
      </c>
      <c r="B836" s="14">
        <v>312000</v>
      </c>
      <c r="C836" s="14">
        <v>352000</v>
      </c>
      <c r="D836" s="14">
        <v>229400</v>
      </c>
      <c r="E836" s="14">
        <v>258720</v>
      </c>
      <c r="F836" s="14">
        <v>177900</v>
      </c>
      <c r="G836" s="14">
        <v>200639</v>
      </c>
      <c r="H836" s="14">
        <v>128000</v>
      </c>
      <c r="I836" s="14">
        <v>153000</v>
      </c>
      <c r="J836" s="14">
        <v>3310</v>
      </c>
      <c r="K836" s="14">
        <v>4170</v>
      </c>
      <c r="N836" s="42">
        <f t="shared" si="42"/>
        <v>40000</v>
      </c>
      <c r="O836" s="43">
        <f t="shared" si="43"/>
        <v>0.11363636363636363</v>
      </c>
    </row>
    <row r="837" spans="1:15" x14ac:dyDescent="0.45">
      <c r="A837" s="12" t="s">
        <v>30793</v>
      </c>
      <c r="B837" s="14">
        <v>312000</v>
      </c>
      <c r="C837" s="14">
        <v>351000</v>
      </c>
      <c r="D837" s="14">
        <v>229400</v>
      </c>
      <c r="E837" s="14">
        <v>257985</v>
      </c>
      <c r="F837" s="14">
        <v>177900</v>
      </c>
      <c r="G837" s="14">
        <v>200069</v>
      </c>
      <c r="H837" s="14">
        <v>126000</v>
      </c>
      <c r="I837" s="14">
        <v>152000</v>
      </c>
      <c r="J837" s="14">
        <v>3300</v>
      </c>
      <c r="K837" s="14">
        <v>4160</v>
      </c>
      <c r="N837" s="42">
        <f t="shared" si="42"/>
        <v>39000</v>
      </c>
      <c r="O837" s="43">
        <f t="shared" si="43"/>
        <v>0.1111111111111111</v>
      </c>
    </row>
    <row r="838" spans="1:15" x14ac:dyDescent="0.45">
      <c r="A838" s="12" t="s">
        <v>30794</v>
      </c>
      <c r="B838" s="14">
        <v>313000</v>
      </c>
      <c r="C838" s="14">
        <v>354000</v>
      </c>
      <c r="D838" s="14">
        <v>230100</v>
      </c>
      <c r="E838" s="14">
        <v>260190</v>
      </c>
      <c r="F838" s="14">
        <v>178500</v>
      </c>
      <c r="G838" s="14">
        <v>201779</v>
      </c>
      <c r="H838" s="14">
        <v>129000</v>
      </c>
      <c r="I838" s="14">
        <v>154000</v>
      </c>
      <c r="J838" s="14">
        <v>3360</v>
      </c>
      <c r="K838" s="14">
        <v>4220</v>
      </c>
      <c r="N838" s="42">
        <f t="shared" si="42"/>
        <v>41000</v>
      </c>
      <c r="O838" s="43">
        <f t="shared" si="43"/>
        <v>0.11581920903954802</v>
      </c>
    </row>
    <row r="839" spans="1:15" x14ac:dyDescent="0.45">
      <c r="A839" s="12" t="s">
        <v>30795</v>
      </c>
      <c r="B839" s="14">
        <v>312000</v>
      </c>
      <c r="C839" s="14">
        <v>350000</v>
      </c>
      <c r="D839" s="14">
        <v>229400</v>
      </c>
      <c r="E839" s="14">
        <v>257250</v>
      </c>
      <c r="F839" s="14">
        <v>177900</v>
      </c>
      <c r="G839" s="14">
        <v>199499</v>
      </c>
      <c r="H839" s="14">
        <v>130000</v>
      </c>
      <c r="I839" s="14">
        <v>155000</v>
      </c>
      <c r="J839" s="14">
        <v>3300</v>
      </c>
      <c r="K839" s="14">
        <v>4160</v>
      </c>
      <c r="N839" s="42">
        <f t="shared" si="42"/>
        <v>38000</v>
      </c>
      <c r="O839" s="43">
        <f t="shared" si="43"/>
        <v>0.10857142857142857</v>
      </c>
    </row>
    <row r="840" spans="1:15" x14ac:dyDescent="0.45">
      <c r="A840" s="12" t="s">
        <v>30796</v>
      </c>
      <c r="B840" s="14">
        <v>313000</v>
      </c>
      <c r="C840" s="14">
        <v>355000</v>
      </c>
      <c r="D840" s="14">
        <v>230100</v>
      </c>
      <c r="E840" s="14">
        <v>260925</v>
      </c>
      <c r="F840" s="14">
        <v>178500</v>
      </c>
      <c r="G840" s="14">
        <v>202349</v>
      </c>
      <c r="H840" s="14">
        <v>133000</v>
      </c>
      <c r="I840" s="14">
        <v>159000</v>
      </c>
      <c r="J840" s="14">
        <v>3310</v>
      </c>
      <c r="K840" s="14">
        <v>4170</v>
      </c>
      <c r="N840" s="42">
        <f t="shared" si="42"/>
        <v>42000</v>
      </c>
      <c r="O840" s="43">
        <f t="shared" si="43"/>
        <v>0.11830985915492957</v>
      </c>
    </row>
    <row r="841" spans="1:15" x14ac:dyDescent="0.45">
      <c r="A841" s="12" t="s">
        <v>30797</v>
      </c>
      <c r="B841" s="14">
        <v>312000</v>
      </c>
      <c r="C841" s="14">
        <v>355000</v>
      </c>
      <c r="D841" s="14">
        <v>229400</v>
      </c>
      <c r="E841" s="14">
        <v>260925</v>
      </c>
      <c r="F841" s="14">
        <v>177900</v>
      </c>
      <c r="G841" s="14">
        <v>202349</v>
      </c>
      <c r="H841" s="14">
        <v>135000</v>
      </c>
      <c r="I841" s="14">
        <v>161000</v>
      </c>
      <c r="J841" s="14">
        <v>3370</v>
      </c>
      <c r="K841" s="14">
        <v>4240</v>
      </c>
      <c r="N841" s="42">
        <f t="shared" si="42"/>
        <v>43000</v>
      </c>
      <c r="O841" s="43">
        <f t="shared" si="43"/>
        <v>0.12112676056338029</v>
      </c>
    </row>
    <row r="842" spans="1:15" x14ac:dyDescent="0.45">
      <c r="A842" s="12" t="s">
        <v>30798</v>
      </c>
      <c r="B842" s="14">
        <v>312000</v>
      </c>
      <c r="C842" s="14">
        <v>354000</v>
      </c>
      <c r="D842" s="14">
        <v>229400</v>
      </c>
      <c r="E842" s="14">
        <v>260190</v>
      </c>
      <c r="F842" s="14">
        <v>177900</v>
      </c>
      <c r="G842" s="14">
        <v>201779</v>
      </c>
      <c r="H842" s="14">
        <v>137000</v>
      </c>
      <c r="I842" s="14">
        <v>164000</v>
      </c>
      <c r="J842" s="14">
        <v>3380</v>
      </c>
      <c r="K842" s="14">
        <v>4250</v>
      </c>
      <c r="N842" s="42">
        <f t="shared" si="42"/>
        <v>42000</v>
      </c>
      <c r="O842" s="43">
        <f t="shared" si="43"/>
        <v>0.11864406779661017</v>
      </c>
    </row>
    <row r="843" spans="1:15" x14ac:dyDescent="0.45">
      <c r="A843" s="12" t="s">
        <v>30799</v>
      </c>
      <c r="B843" s="14">
        <v>313000</v>
      </c>
      <c r="C843" s="14">
        <v>359000</v>
      </c>
      <c r="D843" s="14">
        <v>230100</v>
      </c>
      <c r="E843" s="14">
        <v>263865</v>
      </c>
      <c r="F843" s="14">
        <v>178500</v>
      </c>
      <c r="G843" s="14">
        <v>204629</v>
      </c>
      <c r="H843" s="14">
        <v>139000</v>
      </c>
      <c r="I843" s="14">
        <v>167000</v>
      </c>
      <c r="J843" s="14">
        <v>3430</v>
      </c>
      <c r="K843" s="14">
        <v>4310</v>
      </c>
      <c r="N843" s="42">
        <f t="shared" si="42"/>
        <v>46000</v>
      </c>
      <c r="O843" s="43">
        <f t="shared" si="43"/>
        <v>0.12813370473537605</v>
      </c>
    </row>
    <row r="844" spans="1:15" x14ac:dyDescent="0.45">
      <c r="A844" s="12" t="s">
        <v>30800</v>
      </c>
      <c r="B844" s="14">
        <v>313000</v>
      </c>
      <c r="C844" s="14">
        <v>360000</v>
      </c>
      <c r="D844" s="14">
        <v>230100</v>
      </c>
      <c r="E844" s="14">
        <v>264600</v>
      </c>
      <c r="F844" s="14">
        <v>178500</v>
      </c>
      <c r="G844" s="14">
        <v>205199</v>
      </c>
      <c r="H844" s="14">
        <v>139000</v>
      </c>
      <c r="I844" s="14">
        <v>167000</v>
      </c>
      <c r="J844" s="14">
        <v>3380</v>
      </c>
      <c r="K844" s="14">
        <v>4250</v>
      </c>
      <c r="N844" s="42">
        <f t="shared" si="42"/>
        <v>47000</v>
      </c>
      <c r="O844" s="43">
        <f t="shared" si="43"/>
        <v>0.13055555555555556</v>
      </c>
    </row>
    <row r="845" spans="1:15" x14ac:dyDescent="0.45">
      <c r="A845" s="12" t="s">
        <v>30801</v>
      </c>
      <c r="B845" s="14">
        <v>314000</v>
      </c>
      <c r="C845" s="14">
        <v>366000</v>
      </c>
      <c r="D845" s="14">
        <v>230800</v>
      </c>
      <c r="E845" s="14">
        <v>269010</v>
      </c>
      <c r="F845" s="14">
        <v>179000</v>
      </c>
      <c r="G845" s="14">
        <v>208619</v>
      </c>
      <c r="H845" s="14">
        <v>142000</v>
      </c>
      <c r="I845" s="14">
        <v>170000</v>
      </c>
      <c r="J845" s="14">
        <v>3480</v>
      </c>
      <c r="K845" s="14">
        <v>4380</v>
      </c>
      <c r="N845" s="42">
        <f t="shared" si="42"/>
        <v>52000</v>
      </c>
      <c r="O845" s="43">
        <f t="shared" si="43"/>
        <v>0.14207650273224043</v>
      </c>
    </row>
    <row r="846" spans="1:15" x14ac:dyDescent="0.45">
      <c r="A846" s="12" t="s">
        <v>30802</v>
      </c>
      <c r="B846" s="14">
        <v>315000</v>
      </c>
      <c r="C846" s="14">
        <v>369000</v>
      </c>
      <c r="D846" s="14">
        <v>231600</v>
      </c>
      <c r="E846" s="14">
        <v>271215</v>
      </c>
      <c r="F846" s="14">
        <v>179600</v>
      </c>
      <c r="G846" s="14">
        <v>210329</v>
      </c>
      <c r="H846" s="14">
        <v>144000</v>
      </c>
      <c r="I846" s="14">
        <v>172000</v>
      </c>
      <c r="J846" s="14">
        <v>3490</v>
      </c>
      <c r="K846" s="14">
        <v>4390</v>
      </c>
      <c r="N846" s="42">
        <f t="shared" si="42"/>
        <v>54000</v>
      </c>
      <c r="O846" s="43">
        <f t="shared" si="43"/>
        <v>0.14634146341463414</v>
      </c>
    </row>
    <row r="847" spans="1:15" x14ac:dyDescent="0.45">
      <c r="A847" s="12" t="s">
        <v>30803</v>
      </c>
      <c r="B847" s="14">
        <v>315000</v>
      </c>
      <c r="C847" s="14">
        <v>370000</v>
      </c>
      <c r="D847" s="14">
        <v>231600</v>
      </c>
      <c r="E847" s="14">
        <v>271950</v>
      </c>
      <c r="F847" s="14">
        <v>179600</v>
      </c>
      <c r="G847" s="14">
        <v>210899</v>
      </c>
      <c r="H847" s="14">
        <v>144000</v>
      </c>
      <c r="I847" s="14">
        <v>172000</v>
      </c>
      <c r="J847" s="14">
        <v>3520</v>
      </c>
      <c r="K847" s="14">
        <v>4430</v>
      </c>
      <c r="N847" s="42">
        <f t="shared" si="42"/>
        <v>55000</v>
      </c>
      <c r="O847" s="43">
        <f t="shared" si="43"/>
        <v>0.14864864864864866</v>
      </c>
    </row>
    <row r="848" spans="1:15" x14ac:dyDescent="0.45">
      <c r="A848" s="12" t="s">
        <v>30804</v>
      </c>
      <c r="B848" s="14">
        <v>317000</v>
      </c>
      <c r="C848" s="14">
        <v>371000</v>
      </c>
      <c r="D848" s="14">
        <v>233000</v>
      </c>
      <c r="E848" s="14">
        <v>272685</v>
      </c>
      <c r="F848" s="14">
        <v>180700</v>
      </c>
      <c r="G848" s="14">
        <v>211469</v>
      </c>
      <c r="H848" s="14">
        <v>139000</v>
      </c>
      <c r="I848" s="14">
        <v>166000</v>
      </c>
      <c r="J848" s="14">
        <v>3520</v>
      </c>
      <c r="K848" s="14">
        <v>4420</v>
      </c>
      <c r="N848" s="42">
        <f t="shared" si="42"/>
        <v>54000</v>
      </c>
      <c r="O848" s="43">
        <f t="shared" si="43"/>
        <v>0.14555256064690028</v>
      </c>
    </row>
    <row r="849" spans="1:15" x14ac:dyDescent="0.45">
      <c r="A849" s="12" t="s">
        <v>30805</v>
      </c>
      <c r="B849" s="14">
        <v>317000</v>
      </c>
      <c r="C849" s="14">
        <v>374000</v>
      </c>
      <c r="D849" s="14">
        <v>233000</v>
      </c>
      <c r="E849" s="14">
        <v>274890</v>
      </c>
      <c r="F849" s="14">
        <v>180700</v>
      </c>
      <c r="G849" s="14">
        <v>213179</v>
      </c>
      <c r="H849" s="14">
        <v>140000</v>
      </c>
      <c r="I849" s="14">
        <v>167000</v>
      </c>
      <c r="J849" s="14">
        <v>3540</v>
      </c>
      <c r="K849" s="14">
        <v>4460</v>
      </c>
      <c r="N849" s="42">
        <f t="shared" si="42"/>
        <v>57000</v>
      </c>
      <c r="O849" s="43">
        <f t="shared" si="43"/>
        <v>0.15240641711229946</v>
      </c>
    </row>
    <row r="850" spans="1:15" x14ac:dyDescent="0.45">
      <c r="A850" s="12" t="s">
        <v>30806</v>
      </c>
      <c r="B850" s="14">
        <v>315000</v>
      </c>
      <c r="C850" s="14">
        <v>370000</v>
      </c>
      <c r="D850" s="14">
        <v>231600</v>
      </c>
      <c r="E850" s="14">
        <v>271950</v>
      </c>
      <c r="F850" s="14">
        <v>179600</v>
      </c>
      <c r="G850" s="14">
        <v>210899</v>
      </c>
      <c r="H850" s="14">
        <v>140000</v>
      </c>
      <c r="I850" s="14">
        <v>167000</v>
      </c>
      <c r="J850" s="14">
        <v>3480</v>
      </c>
      <c r="K850" s="14">
        <v>4380</v>
      </c>
      <c r="N850" s="42">
        <f t="shared" si="42"/>
        <v>55000</v>
      </c>
      <c r="O850" s="43">
        <f t="shared" si="43"/>
        <v>0.14864864864864866</v>
      </c>
    </row>
    <row r="851" spans="1:15" x14ac:dyDescent="0.45">
      <c r="A851" s="12" t="s">
        <v>30807</v>
      </c>
      <c r="B851" s="14">
        <v>315000</v>
      </c>
      <c r="C851" s="14">
        <v>370000</v>
      </c>
      <c r="D851" s="14">
        <v>231600</v>
      </c>
      <c r="E851" s="14">
        <v>271950</v>
      </c>
      <c r="F851" s="14">
        <v>179600</v>
      </c>
      <c r="G851" s="14">
        <v>210899</v>
      </c>
      <c r="H851" s="14">
        <v>139000</v>
      </c>
      <c r="I851" s="14">
        <v>167000</v>
      </c>
      <c r="J851" s="14">
        <v>3510</v>
      </c>
      <c r="K851" s="14">
        <v>4410</v>
      </c>
      <c r="N851" s="42">
        <f t="shared" si="42"/>
        <v>55000</v>
      </c>
      <c r="O851" s="43">
        <f t="shared" si="43"/>
        <v>0.14864864864864866</v>
      </c>
    </row>
    <row r="852" spans="1:15" x14ac:dyDescent="0.45">
      <c r="A852" s="12" t="s">
        <v>30808</v>
      </c>
      <c r="B852" s="14">
        <v>314000</v>
      </c>
      <c r="C852" s="14">
        <v>365000</v>
      </c>
      <c r="D852" s="14">
        <v>230800</v>
      </c>
      <c r="E852" s="14">
        <v>268275</v>
      </c>
      <c r="F852" s="14">
        <v>179000</v>
      </c>
      <c r="G852" s="14">
        <v>208049</v>
      </c>
      <c r="H852" s="14">
        <v>136000</v>
      </c>
      <c r="I852" s="14">
        <v>163000</v>
      </c>
      <c r="J852" s="14">
        <v>3480</v>
      </c>
      <c r="K852" s="14">
        <v>4380</v>
      </c>
      <c r="N852" s="42">
        <f t="shared" si="42"/>
        <v>51000</v>
      </c>
      <c r="O852" s="43">
        <f t="shared" si="43"/>
        <v>0.13972602739726028</v>
      </c>
    </row>
    <row r="853" spans="1:15" x14ac:dyDescent="0.45">
      <c r="A853" s="12" t="s">
        <v>30809</v>
      </c>
      <c r="B853" s="14">
        <v>313000</v>
      </c>
      <c r="C853" s="14">
        <v>364000</v>
      </c>
      <c r="D853" s="14">
        <v>230100</v>
      </c>
      <c r="E853" s="14">
        <v>267540</v>
      </c>
      <c r="F853" s="14">
        <v>178500</v>
      </c>
      <c r="G853" s="14">
        <v>207479</v>
      </c>
      <c r="H853" s="14">
        <v>137000</v>
      </c>
      <c r="I853" s="14">
        <v>164000</v>
      </c>
      <c r="J853" s="14">
        <v>3480</v>
      </c>
      <c r="K853" s="14">
        <v>4380</v>
      </c>
      <c r="N853" s="42">
        <f t="shared" si="42"/>
        <v>51000</v>
      </c>
      <c r="O853" s="43">
        <f t="shared" si="43"/>
        <v>0.14010989010989011</v>
      </c>
    </row>
    <row r="854" spans="1:15" x14ac:dyDescent="0.45">
      <c r="A854" s="12" t="s">
        <v>30810</v>
      </c>
      <c r="B854" s="14">
        <v>314000</v>
      </c>
      <c r="C854" s="14">
        <v>367000</v>
      </c>
      <c r="D854" s="14">
        <v>230800</v>
      </c>
      <c r="E854" s="14">
        <v>269745</v>
      </c>
      <c r="F854" s="14">
        <v>179000</v>
      </c>
      <c r="G854" s="14">
        <v>209189</v>
      </c>
      <c r="H854" s="14">
        <v>138000</v>
      </c>
      <c r="I854" s="14">
        <v>165000</v>
      </c>
      <c r="J854" s="14">
        <v>3550</v>
      </c>
      <c r="K854" s="14">
        <v>4460</v>
      </c>
      <c r="N854" s="42">
        <f t="shared" si="42"/>
        <v>53000</v>
      </c>
      <c r="O854" s="43">
        <f t="shared" si="43"/>
        <v>0.1444141689373297</v>
      </c>
    </row>
    <row r="855" spans="1:15" x14ac:dyDescent="0.45">
      <c r="A855" s="12" t="s">
        <v>30811</v>
      </c>
      <c r="B855" s="14">
        <v>314000</v>
      </c>
      <c r="C855" s="14">
        <v>367000</v>
      </c>
      <c r="D855" s="14">
        <v>230800</v>
      </c>
      <c r="E855" s="14">
        <v>269745</v>
      </c>
      <c r="F855" s="14">
        <v>179000</v>
      </c>
      <c r="G855" s="14">
        <v>209189</v>
      </c>
      <c r="H855" s="14">
        <v>138000</v>
      </c>
      <c r="I855" s="14">
        <v>165000</v>
      </c>
      <c r="J855" s="14">
        <v>3560</v>
      </c>
      <c r="K855" s="14">
        <v>4460</v>
      </c>
      <c r="N855" s="42">
        <f t="shared" si="42"/>
        <v>53000</v>
      </c>
      <c r="O855" s="43">
        <f t="shared" si="43"/>
        <v>0.1444141689373297</v>
      </c>
    </row>
    <row r="856" spans="1:15" x14ac:dyDescent="0.45">
      <c r="A856" s="12" t="s">
        <v>30812</v>
      </c>
      <c r="B856" s="14">
        <v>314000</v>
      </c>
      <c r="C856" s="14">
        <v>367000</v>
      </c>
      <c r="D856" s="14">
        <v>230800</v>
      </c>
      <c r="E856" s="14">
        <v>269745</v>
      </c>
      <c r="F856" s="14">
        <v>179000</v>
      </c>
      <c r="G856" s="14">
        <v>209189</v>
      </c>
      <c r="H856" s="14">
        <v>137000</v>
      </c>
      <c r="I856" s="14">
        <v>163000</v>
      </c>
      <c r="J856" s="14">
        <v>3490</v>
      </c>
      <c r="K856" s="14">
        <v>4390</v>
      </c>
      <c r="N856" s="42">
        <f t="shared" si="42"/>
        <v>53000</v>
      </c>
      <c r="O856" s="43">
        <f t="shared" si="43"/>
        <v>0.1444141689373297</v>
      </c>
    </row>
    <row r="857" spans="1:15" x14ac:dyDescent="0.45">
      <c r="A857" s="12" t="s">
        <v>30813</v>
      </c>
      <c r="B857" s="14">
        <v>313000</v>
      </c>
      <c r="C857" s="14">
        <v>364000</v>
      </c>
      <c r="D857" s="14">
        <v>230100</v>
      </c>
      <c r="E857" s="14">
        <v>267540</v>
      </c>
      <c r="F857" s="14">
        <v>178500</v>
      </c>
      <c r="G857" s="14">
        <v>207479</v>
      </c>
      <c r="H857" s="14">
        <v>137000</v>
      </c>
      <c r="I857" s="14">
        <v>164000</v>
      </c>
      <c r="J857" s="14">
        <v>3490</v>
      </c>
      <c r="K857" s="14">
        <v>4390</v>
      </c>
      <c r="N857" s="42">
        <f t="shared" si="42"/>
        <v>51000</v>
      </c>
      <c r="O857" s="43">
        <f t="shared" si="43"/>
        <v>0.14010989010989011</v>
      </c>
    </row>
    <row r="858" spans="1:15" x14ac:dyDescent="0.45">
      <c r="A858" s="12" t="s">
        <v>30814</v>
      </c>
      <c r="B858" s="14">
        <v>313000</v>
      </c>
      <c r="C858" s="14">
        <v>359000</v>
      </c>
      <c r="D858" s="14">
        <v>230100</v>
      </c>
      <c r="E858" s="14">
        <v>263865</v>
      </c>
      <c r="F858" s="14">
        <v>178500</v>
      </c>
      <c r="G858" s="14">
        <v>204629</v>
      </c>
      <c r="H858" s="14">
        <v>139000</v>
      </c>
      <c r="I858" s="14">
        <v>166000</v>
      </c>
      <c r="J858" s="14">
        <v>3500</v>
      </c>
      <c r="K858" s="14">
        <v>4400</v>
      </c>
      <c r="N858" s="42">
        <f t="shared" si="42"/>
        <v>46000</v>
      </c>
      <c r="O858" s="43">
        <f t="shared" si="43"/>
        <v>0.12813370473537605</v>
      </c>
    </row>
    <row r="859" spans="1:15" x14ac:dyDescent="0.45">
      <c r="A859" s="12" t="s">
        <v>30815</v>
      </c>
      <c r="B859" s="14">
        <v>313000</v>
      </c>
      <c r="C859" s="14">
        <v>356000</v>
      </c>
      <c r="D859" s="14">
        <v>230100</v>
      </c>
      <c r="E859" s="14">
        <v>261660</v>
      </c>
      <c r="F859" s="14">
        <v>178500</v>
      </c>
      <c r="G859" s="14">
        <v>202919</v>
      </c>
      <c r="H859" s="14">
        <v>137000</v>
      </c>
      <c r="I859" s="14">
        <v>164000</v>
      </c>
      <c r="J859" s="14">
        <v>3430</v>
      </c>
      <c r="K859" s="14">
        <v>4310</v>
      </c>
      <c r="N859" s="42">
        <f t="shared" si="42"/>
        <v>43000</v>
      </c>
      <c r="O859" s="43">
        <f t="shared" si="43"/>
        <v>0.12078651685393259</v>
      </c>
    </row>
    <row r="860" spans="1:15" x14ac:dyDescent="0.45">
      <c r="A860" s="12" t="s">
        <v>30816</v>
      </c>
      <c r="B860" s="14">
        <v>313000</v>
      </c>
      <c r="C860" s="14">
        <v>356000</v>
      </c>
      <c r="D860" s="14">
        <v>225400</v>
      </c>
      <c r="E860" s="14">
        <v>293700</v>
      </c>
      <c r="F860" s="14">
        <v>173800</v>
      </c>
      <c r="G860" s="14">
        <v>229086</v>
      </c>
      <c r="H860" s="14">
        <v>135000</v>
      </c>
      <c r="I860" s="14">
        <v>162000</v>
      </c>
      <c r="J860" s="14">
        <v>3440</v>
      </c>
      <c r="K860" s="14">
        <v>4330</v>
      </c>
      <c r="N860" s="42">
        <f t="shared" si="42"/>
        <v>43000</v>
      </c>
      <c r="O860" s="43">
        <f t="shared" si="43"/>
        <v>0.12078651685393259</v>
      </c>
    </row>
    <row r="861" spans="1:15" x14ac:dyDescent="0.45">
      <c r="A861" s="12" t="s">
        <v>30817</v>
      </c>
      <c r="B861" s="14">
        <v>311000</v>
      </c>
      <c r="C861" s="14">
        <v>360000</v>
      </c>
      <c r="D861" s="14">
        <v>224000</v>
      </c>
      <c r="E861" s="14">
        <v>297000</v>
      </c>
      <c r="F861" s="14">
        <v>172700</v>
      </c>
      <c r="G861" s="14">
        <v>231660</v>
      </c>
      <c r="H861" s="14">
        <v>136000</v>
      </c>
      <c r="I861" s="14">
        <v>163000</v>
      </c>
      <c r="J861" s="14">
        <v>3470</v>
      </c>
      <c r="K861" s="14">
        <v>4360</v>
      </c>
      <c r="N861" s="42">
        <f t="shared" si="42"/>
        <v>49000</v>
      </c>
      <c r="O861" s="43">
        <f t="shared" si="43"/>
        <v>0.1361111111111111</v>
      </c>
    </row>
    <row r="862" spans="1:15" x14ac:dyDescent="0.45">
      <c r="A862" s="12" t="s">
        <v>30818</v>
      </c>
      <c r="B862" s="14">
        <v>310000</v>
      </c>
      <c r="C862" s="14">
        <v>348000</v>
      </c>
      <c r="D862" s="14">
        <v>223200</v>
      </c>
      <c r="E862" s="14">
        <v>287100</v>
      </c>
      <c r="F862" s="14">
        <v>172100</v>
      </c>
      <c r="G862" s="14">
        <v>223938</v>
      </c>
      <c r="H862" s="14">
        <v>134000</v>
      </c>
      <c r="I862" s="14">
        <v>160000</v>
      </c>
      <c r="J862" s="14">
        <v>3330</v>
      </c>
      <c r="K862" s="14">
        <v>4180</v>
      </c>
      <c r="N862" s="42">
        <f t="shared" si="42"/>
        <v>38000</v>
      </c>
      <c r="O862" s="43">
        <f t="shared" si="43"/>
        <v>0.10919540229885058</v>
      </c>
    </row>
    <row r="863" spans="1:15" x14ac:dyDescent="0.45">
      <c r="A863" s="12" t="s">
        <v>30819</v>
      </c>
      <c r="B863" s="14">
        <v>309000</v>
      </c>
      <c r="C863" s="14">
        <v>346000</v>
      </c>
      <c r="D863" s="14">
        <v>222500</v>
      </c>
      <c r="E863" s="14">
        <v>285450</v>
      </c>
      <c r="F863" s="14">
        <v>171500</v>
      </c>
      <c r="G863" s="14">
        <v>222651</v>
      </c>
      <c r="H863" s="14">
        <v>136000</v>
      </c>
      <c r="I863" s="14">
        <v>162000</v>
      </c>
      <c r="J863" s="14">
        <v>3330</v>
      </c>
      <c r="K863" s="14">
        <v>4180</v>
      </c>
      <c r="N863" s="42">
        <f t="shared" si="42"/>
        <v>37000</v>
      </c>
      <c r="O863" s="43">
        <f t="shared" si="43"/>
        <v>0.1069364161849711</v>
      </c>
    </row>
    <row r="864" spans="1:15" x14ac:dyDescent="0.45">
      <c r="A864" s="12" t="s">
        <v>30820</v>
      </c>
      <c r="B864" s="14">
        <v>308000</v>
      </c>
      <c r="C864" s="14">
        <v>343000</v>
      </c>
      <c r="D864" s="14">
        <v>221800</v>
      </c>
      <c r="E864" s="14">
        <v>282975</v>
      </c>
      <c r="F864" s="14">
        <v>171000</v>
      </c>
      <c r="G864" s="14">
        <v>220720</v>
      </c>
      <c r="H864" s="14">
        <v>135000</v>
      </c>
      <c r="I864" s="14">
        <v>161000</v>
      </c>
      <c r="J864" s="14">
        <v>3300</v>
      </c>
      <c r="K864" s="14">
        <v>4150</v>
      </c>
      <c r="N864" s="42">
        <f t="shared" si="42"/>
        <v>35000</v>
      </c>
      <c r="O864" s="43">
        <f t="shared" si="43"/>
        <v>0.10204081632653061</v>
      </c>
    </row>
    <row r="865" spans="1:15" x14ac:dyDescent="0.45">
      <c r="A865" s="12" t="s">
        <v>30821</v>
      </c>
      <c r="B865" s="14">
        <v>308000</v>
      </c>
      <c r="C865" s="14">
        <v>345000</v>
      </c>
      <c r="D865" s="14">
        <v>221800</v>
      </c>
      <c r="E865" s="14">
        <v>284625</v>
      </c>
      <c r="F865" s="14">
        <v>171000</v>
      </c>
      <c r="G865" s="14">
        <v>222007</v>
      </c>
      <c r="H865" s="14">
        <v>136000</v>
      </c>
      <c r="I865" s="14">
        <v>163000</v>
      </c>
      <c r="J865" s="14">
        <v>3310</v>
      </c>
      <c r="K865" s="14">
        <v>4170</v>
      </c>
      <c r="N865" s="42">
        <f t="shared" si="42"/>
        <v>37000</v>
      </c>
      <c r="O865" s="43">
        <f t="shared" si="43"/>
        <v>0.1072463768115942</v>
      </c>
    </row>
    <row r="866" spans="1:15" x14ac:dyDescent="0.45">
      <c r="A866" s="12" t="s">
        <v>30822</v>
      </c>
      <c r="B866" s="14">
        <v>307000</v>
      </c>
      <c r="C866" s="14">
        <v>340000</v>
      </c>
      <c r="D866" s="14">
        <v>221100</v>
      </c>
      <c r="E866" s="14">
        <v>280500</v>
      </c>
      <c r="F866" s="14">
        <v>170400</v>
      </c>
      <c r="G866" s="14">
        <v>218790</v>
      </c>
      <c r="H866" s="14">
        <v>135000</v>
      </c>
      <c r="I866" s="14">
        <v>161000</v>
      </c>
      <c r="J866" s="14">
        <v>3280</v>
      </c>
      <c r="K866" s="14">
        <v>4130</v>
      </c>
      <c r="N866" s="42">
        <f t="shared" si="42"/>
        <v>33000</v>
      </c>
      <c r="O866" s="43">
        <f t="shared" si="43"/>
        <v>9.7058823529411767E-2</v>
      </c>
    </row>
    <row r="867" spans="1:15" x14ac:dyDescent="0.45">
      <c r="A867" s="12" t="s">
        <v>30823</v>
      </c>
      <c r="B867" s="14">
        <v>306000</v>
      </c>
      <c r="C867" s="14">
        <v>340000</v>
      </c>
      <c r="D867" s="14">
        <v>220400</v>
      </c>
      <c r="E867" s="14">
        <v>280500</v>
      </c>
      <c r="F867" s="14">
        <v>169900</v>
      </c>
      <c r="G867" s="14">
        <v>218790</v>
      </c>
      <c r="H867" s="14">
        <v>135000</v>
      </c>
      <c r="I867" s="14">
        <v>161000</v>
      </c>
      <c r="J867" s="14">
        <v>3280</v>
      </c>
      <c r="K867" s="14">
        <v>4130</v>
      </c>
      <c r="N867" s="42">
        <f t="shared" si="42"/>
        <v>34000</v>
      </c>
      <c r="O867" s="43">
        <f t="shared" si="43"/>
        <v>0.1</v>
      </c>
    </row>
    <row r="868" spans="1:15" x14ac:dyDescent="0.45">
      <c r="A868" s="12" t="s">
        <v>30824</v>
      </c>
      <c r="B868" s="14">
        <v>305000</v>
      </c>
      <c r="C868" s="14">
        <v>338000</v>
      </c>
      <c r="D868" s="14">
        <v>219600</v>
      </c>
      <c r="E868" s="14">
        <v>278850</v>
      </c>
      <c r="F868" s="14">
        <v>169300</v>
      </c>
      <c r="G868" s="14">
        <v>217503</v>
      </c>
      <c r="H868" s="14">
        <v>132000</v>
      </c>
      <c r="I868" s="14">
        <v>158000</v>
      </c>
      <c r="J868" s="14">
        <v>3180</v>
      </c>
      <c r="K868" s="14">
        <v>4000</v>
      </c>
      <c r="N868" s="42">
        <f t="shared" si="42"/>
        <v>33000</v>
      </c>
      <c r="O868" s="43">
        <f t="shared" si="43"/>
        <v>9.7633136094674555E-2</v>
      </c>
    </row>
    <row r="869" spans="1:15" x14ac:dyDescent="0.45">
      <c r="A869" s="12" t="s">
        <v>30825</v>
      </c>
      <c r="B869" s="14">
        <v>306000</v>
      </c>
      <c r="C869" s="14">
        <v>340000</v>
      </c>
      <c r="D869" s="14">
        <v>220400</v>
      </c>
      <c r="E869" s="14">
        <v>280500</v>
      </c>
      <c r="F869" s="14">
        <v>169900</v>
      </c>
      <c r="G869" s="14">
        <v>218790</v>
      </c>
      <c r="H869" s="14">
        <v>133000</v>
      </c>
      <c r="I869" s="14">
        <v>160000</v>
      </c>
      <c r="J869" s="14">
        <v>3200</v>
      </c>
      <c r="K869" s="14">
        <v>4030</v>
      </c>
      <c r="N869" s="42">
        <f t="shared" si="42"/>
        <v>34000</v>
      </c>
      <c r="O869" s="43">
        <f t="shared" si="43"/>
        <v>0.1</v>
      </c>
    </row>
    <row r="870" spans="1:15" x14ac:dyDescent="0.45">
      <c r="A870" s="12" t="s">
        <v>30826</v>
      </c>
      <c r="B870" s="14">
        <v>305000</v>
      </c>
      <c r="C870" s="14">
        <v>342000</v>
      </c>
      <c r="D870" s="14">
        <v>219600</v>
      </c>
      <c r="E870" s="14">
        <v>282150</v>
      </c>
      <c r="F870" s="14">
        <v>169300</v>
      </c>
      <c r="G870" s="14">
        <v>220077</v>
      </c>
      <c r="H870" s="14">
        <v>134000</v>
      </c>
      <c r="I870" s="14">
        <v>161000</v>
      </c>
      <c r="J870" s="14">
        <v>3240</v>
      </c>
      <c r="K870" s="14">
        <v>4080</v>
      </c>
      <c r="N870" s="42">
        <f t="shared" si="42"/>
        <v>37000</v>
      </c>
      <c r="O870" s="43">
        <f t="shared" si="43"/>
        <v>0.10818713450292397</v>
      </c>
    </row>
    <row r="871" spans="1:15" x14ac:dyDescent="0.45">
      <c r="A871" s="12" t="s">
        <v>30827</v>
      </c>
      <c r="B871" s="14">
        <v>305000</v>
      </c>
      <c r="C871" s="14">
        <v>341000</v>
      </c>
      <c r="D871" s="14">
        <v>219600</v>
      </c>
      <c r="E871" s="14">
        <v>281325</v>
      </c>
      <c r="F871" s="14">
        <v>169300</v>
      </c>
      <c r="G871" s="14">
        <v>219433</v>
      </c>
      <c r="H871" s="14">
        <v>136000</v>
      </c>
      <c r="I871" s="14">
        <v>162000</v>
      </c>
      <c r="J871" s="14">
        <v>3170</v>
      </c>
      <c r="K871" s="14">
        <v>4010</v>
      </c>
      <c r="N871" s="42">
        <f t="shared" si="42"/>
        <v>36000</v>
      </c>
      <c r="O871" s="43">
        <f t="shared" si="43"/>
        <v>0.10557184750733138</v>
      </c>
    </row>
    <row r="872" spans="1:15" x14ac:dyDescent="0.45">
      <c r="A872" s="12" t="s">
        <v>30828</v>
      </c>
      <c r="B872" s="14">
        <v>307000</v>
      </c>
      <c r="C872" s="14">
        <v>344000</v>
      </c>
      <c r="D872" s="14">
        <v>221100</v>
      </c>
      <c r="E872" s="14">
        <v>283800</v>
      </c>
      <c r="F872" s="14">
        <v>170400</v>
      </c>
      <c r="G872" s="14">
        <v>221364</v>
      </c>
      <c r="H872" s="14">
        <v>140000</v>
      </c>
      <c r="I872" s="14">
        <v>167000</v>
      </c>
      <c r="J872" s="14">
        <v>3320</v>
      </c>
      <c r="K872" s="14">
        <v>4210</v>
      </c>
      <c r="N872" s="42">
        <f t="shared" si="42"/>
        <v>37000</v>
      </c>
      <c r="O872" s="43">
        <f t="shared" si="43"/>
        <v>0.10755813953488372</v>
      </c>
    </row>
    <row r="873" spans="1:15" x14ac:dyDescent="0.45">
      <c r="A873" s="12" t="s">
        <v>30829</v>
      </c>
      <c r="B873" s="14">
        <v>307000</v>
      </c>
      <c r="C873" s="14">
        <v>344000</v>
      </c>
      <c r="D873" s="14">
        <v>221100</v>
      </c>
      <c r="E873" s="14">
        <v>283800</v>
      </c>
      <c r="F873" s="14">
        <v>170400</v>
      </c>
      <c r="G873" s="14">
        <v>221364</v>
      </c>
      <c r="H873" s="14">
        <v>139000</v>
      </c>
      <c r="I873" s="14">
        <v>167000</v>
      </c>
      <c r="J873" s="14">
        <v>3350</v>
      </c>
      <c r="K873" s="14">
        <v>4250</v>
      </c>
      <c r="N873" s="42">
        <f t="shared" si="42"/>
        <v>37000</v>
      </c>
      <c r="O873" s="43">
        <f t="shared" si="43"/>
        <v>0.10755813953488372</v>
      </c>
    </row>
    <row r="874" spans="1:15" x14ac:dyDescent="0.45">
      <c r="A874" s="12" t="s">
        <v>30830</v>
      </c>
      <c r="B874" s="14">
        <v>309000</v>
      </c>
      <c r="C874" s="14">
        <v>347000</v>
      </c>
      <c r="D874" s="14">
        <v>222500</v>
      </c>
      <c r="E874" s="14">
        <v>286275</v>
      </c>
      <c r="F874" s="14">
        <v>171500</v>
      </c>
      <c r="G874" s="14">
        <v>223294</v>
      </c>
      <c r="H874" s="14">
        <v>140000</v>
      </c>
      <c r="I874" s="14">
        <v>167000</v>
      </c>
      <c r="J874" s="14">
        <v>3420</v>
      </c>
      <c r="K874" s="14">
        <v>4330</v>
      </c>
      <c r="N874" s="42">
        <f t="shared" si="42"/>
        <v>38000</v>
      </c>
      <c r="O874" s="43">
        <f t="shared" si="43"/>
        <v>0.10951008645533142</v>
      </c>
    </row>
    <row r="875" spans="1:15" x14ac:dyDescent="0.45">
      <c r="A875" s="12" t="s">
        <v>30831</v>
      </c>
      <c r="B875" s="14">
        <v>310000</v>
      </c>
      <c r="C875" s="14">
        <v>350000</v>
      </c>
      <c r="D875" s="14">
        <v>223200</v>
      </c>
      <c r="E875" s="14">
        <v>288750</v>
      </c>
      <c r="F875" s="14">
        <v>172100</v>
      </c>
      <c r="G875" s="14">
        <v>225225</v>
      </c>
      <c r="H875" s="14">
        <v>138000</v>
      </c>
      <c r="I875" s="14">
        <v>165000</v>
      </c>
      <c r="J875" s="14">
        <v>3420</v>
      </c>
      <c r="K875" s="14">
        <v>4330</v>
      </c>
      <c r="N875" s="42">
        <f t="shared" si="42"/>
        <v>40000</v>
      </c>
      <c r="O875" s="43">
        <f t="shared" si="43"/>
        <v>0.11428571428571428</v>
      </c>
    </row>
    <row r="876" spans="1:15" x14ac:dyDescent="0.45">
      <c r="A876" s="12" t="s">
        <v>30832</v>
      </c>
      <c r="B876" s="14">
        <v>312000</v>
      </c>
      <c r="C876" s="14">
        <v>353000</v>
      </c>
      <c r="D876" s="14">
        <v>224700</v>
      </c>
      <c r="E876" s="14">
        <v>291225</v>
      </c>
      <c r="F876" s="14">
        <v>173200</v>
      </c>
      <c r="G876" s="14">
        <v>227155</v>
      </c>
      <c r="H876" s="14">
        <v>139000</v>
      </c>
      <c r="I876" s="14">
        <v>167000</v>
      </c>
      <c r="J876" s="14">
        <v>3440</v>
      </c>
      <c r="K876" s="14">
        <v>4360</v>
      </c>
      <c r="N876" s="42">
        <f t="shared" si="42"/>
        <v>41000</v>
      </c>
      <c r="O876" s="43">
        <f t="shared" si="43"/>
        <v>0.11614730878186968</v>
      </c>
    </row>
    <row r="877" spans="1:15" x14ac:dyDescent="0.45">
      <c r="A877" s="12" t="s">
        <v>30833</v>
      </c>
      <c r="B877" s="14">
        <v>312000</v>
      </c>
      <c r="C877" s="14">
        <v>355000</v>
      </c>
      <c r="D877" s="14">
        <v>224700</v>
      </c>
      <c r="E877" s="14">
        <v>292875</v>
      </c>
      <c r="F877" s="14">
        <v>173200</v>
      </c>
      <c r="G877" s="14">
        <v>228442</v>
      </c>
      <c r="H877" s="14">
        <v>139000</v>
      </c>
      <c r="I877" s="14">
        <v>167000</v>
      </c>
      <c r="J877" s="14">
        <v>3460</v>
      </c>
      <c r="K877" s="14">
        <v>4380</v>
      </c>
      <c r="N877" s="42">
        <f t="shared" ref="N877:N940" si="44">C877-B877</f>
        <v>43000</v>
      </c>
      <c r="O877" s="43">
        <f t="shared" ref="O877:O940" si="45">N877/C877</f>
        <v>0.12112676056338029</v>
      </c>
    </row>
    <row r="878" spans="1:15" x14ac:dyDescent="0.45">
      <c r="A878" s="12" t="s">
        <v>30834</v>
      </c>
      <c r="B878" s="14">
        <v>312000</v>
      </c>
      <c r="C878" s="14">
        <v>354000</v>
      </c>
      <c r="D878" s="14">
        <v>224700</v>
      </c>
      <c r="E878" s="14">
        <v>292050</v>
      </c>
      <c r="F878" s="14">
        <v>173200</v>
      </c>
      <c r="G878" s="14">
        <v>227799</v>
      </c>
      <c r="H878" s="14">
        <v>141000</v>
      </c>
      <c r="I878" s="14">
        <v>168000</v>
      </c>
      <c r="J878" s="14">
        <v>3520</v>
      </c>
      <c r="K878" s="14">
        <v>4460</v>
      </c>
      <c r="N878" s="42">
        <f t="shared" si="44"/>
        <v>42000</v>
      </c>
      <c r="O878" s="43">
        <f t="shared" si="45"/>
        <v>0.11864406779661017</v>
      </c>
    </row>
    <row r="879" spans="1:15" x14ac:dyDescent="0.45">
      <c r="A879" s="12" t="s">
        <v>30835</v>
      </c>
      <c r="B879" s="14">
        <v>313000</v>
      </c>
      <c r="C879" s="14">
        <v>354000</v>
      </c>
      <c r="D879" s="14">
        <v>225400</v>
      </c>
      <c r="E879" s="14">
        <v>292050</v>
      </c>
      <c r="F879" s="14">
        <v>173800</v>
      </c>
      <c r="G879" s="14">
        <v>227799</v>
      </c>
      <c r="H879" s="14">
        <v>138000</v>
      </c>
      <c r="I879" s="14">
        <v>169000</v>
      </c>
      <c r="J879" s="14">
        <v>3520</v>
      </c>
      <c r="K879" s="14">
        <v>4460</v>
      </c>
      <c r="N879" s="42">
        <f t="shared" si="44"/>
        <v>41000</v>
      </c>
      <c r="O879" s="43">
        <f t="shared" si="45"/>
        <v>0.11581920903954802</v>
      </c>
    </row>
    <row r="880" spans="1:15" x14ac:dyDescent="0.45">
      <c r="A880" s="12" t="s">
        <v>30836</v>
      </c>
      <c r="B880" s="14">
        <v>313000</v>
      </c>
      <c r="C880" s="14">
        <v>354000</v>
      </c>
      <c r="D880" s="14">
        <v>225400</v>
      </c>
      <c r="E880" s="14">
        <v>292050</v>
      </c>
      <c r="F880" s="14">
        <v>173800</v>
      </c>
      <c r="G880" s="14">
        <v>227799</v>
      </c>
      <c r="H880" s="14">
        <v>138000</v>
      </c>
      <c r="I880" s="14">
        <v>169000</v>
      </c>
      <c r="J880" s="14">
        <v>3510</v>
      </c>
      <c r="K880" s="14">
        <v>4450</v>
      </c>
      <c r="N880" s="42">
        <f t="shared" si="44"/>
        <v>41000</v>
      </c>
      <c r="O880" s="43">
        <f t="shared" si="45"/>
        <v>0.11581920903954802</v>
      </c>
    </row>
    <row r="881" spans="1:15" x14ac:dyDescent="0.45">
      <c r="A881" s="12" t="s">
        <v>30837</v>
      </c>
      <c r="B881" s="14">
        <v>314000</v>
      </c>
      <c r="C881" s="14">
        <v>356000</v>
      </c>
      <c r="D881" s="14">
        <v>226100</v>
      </c>
      <c r="E881" s="14">
        <v>293700</v>
      </c>
      <c r="F881" s="14">
        <v>174300</v>
      </c>
      <c r="G881" s="14">
        <v>229086</v>
      </c>
      <c r="H881" s="14">
        <v>138000</v>
      </c>
      <c r="I881" s="14">
        <v>169000</v>
      </c>
      <c r="J881" s="14">
        <v>3430</v>
      </c>
      <c r="K881" s="14">
        <v>4410</v>
      </c>
      <c r="N881" s="42">
        <f t="shared" si="44"/>
        <v>42000</v>
      </c>
      <c r="O881" s="43">
        <f t="shared" si="45"/>
        <v>0.11797752808988764</v>
      </c>
    </row>
    <row r="882" spans="1:15" x14ac:dyDescent="0.45">
      <c r="A882" s="12" t="s">
        <v>30838</v>
      </c>
      <c r="B882" s="14">
        <v>313000</v>
      </c>
      <c r="C882" s="14">
        <v>353000</v>
      </c>
      <c r="D882" s="14">
        <v>225400</v>
      </c>
      <c r="E882" s="14">
        <v>291225</v>
      </c>
      <c r="F882" s="14">
        <v>173800</v>
      </c>
      <c r="G882" s="14">
        <v>227155</v>
      </c>
      <c r="H882" s="14">
        <v>139000</v>
      </c>
      <c r="I882" s="14">
        <v>170000</v>
      </c>
      <c r="J882" s="14">
        <v>3400</v>
      </c>
      <c r="K882" s="14">
        <v>4370</v>
      </c>
      <c r="N882" s="42">
        <f t="shared" si="44"/>
        <v>40000</v>
      </c>
      <c r="O882" s="43">
        <f t="shared" si="45"/>
        <v>0.11331444759206799</v>
      </c>
    </row>
    <row r="883" spans="1:15" x14ac:dyDescent="0.45">
      <c r="A883" s="12" t="s">
        <v>30839</v>
      </c>
      <c r="B883" s="14">
        <v>312000</v>
      </c>
      <c r="C883" s="14">
        <v>353000</v>
      </c>
      <c r="D883" s="14">
        <v>224700</v>
      </c>
      <c r="E883" s="14">
        <v>291225</v>
      </c>
      <c r="F883" s="14">
        <v>173200</v>
      </c>
      <c r="G883" s="14">
        <v>227155</v>
      </c>
      <c r="H883" s="14">
        <v>138000</v>
      </c>
      <c r="I883" s="14">
        <v>168000</v>
      </c>
      <c r="J883" s="14">
        <v>3390</v>
      </c>
      <c r="K883" s="14">
        <v>4360</v>
      </c>
      <c r="N883" s="42">
        <f t="shared" si="44"/>
        <v>41000</v>
      </c>
      <c r="O883" s="43">
        <f t="shared" si="45"/>
        <v>0.11614730878186968</v>
      </c>
    </row>
    <row r="884" spans="1:15" x14ac:dyDescent="0.45">
      <c r="A884" s="12" t="s">
        <v>30840</v>
      </c>
      <c r="B884" s="14">
        <v>312000</v>
      </c>
      <c r="C884" s="14">
        <v>351000</v>
      </c>
      <c r="D884" s="14">
        <v>224700</v>
      </c>
      <c r="E884" s="14">
        <v>289575</v>
      </c>
      <c r="F884" s="14">
        <v>173200</v>
      </c>
      <c r="G884" s="14">
        <v>225868</v>
      </c>
      <c r="H884" s="14">
        <v>137000</v>
      </c>
      <c r="I884" s="14">
        <v>168000</v>
      </c>
      <c r="J884" s="14">
        <v>3370</v>
      </c>
      <c r="K884" s="14">
        <v>4330</v>
      </c>
      <c r="N884" s="42">
        <f t="shared" si="44"/>
        <v>39000</v>
      </c>
      <c r="O884" s="43">
        <f t="shared" si="45"/>
        <v>0.1111111111111111</v>
      </c>
    </row>
    <row r="885" spans="1:15" x14ac:dyDescent="0.45">
      <c r="A885" s="12" t="s">
        <v>30841</v>
      </c>
      <c r="B885" s="14">
        <v>311000</v>
      </c>
      <c r="C885" s="14">
        <v>352000</v>
      </c>
      <c r="D885" s="14">
        <v>224000</v>
      </c>
      <c r="E885" s="14">
        <v>290400</v>
      </c>
      <c r="F885" s="14">
        <v>172700</v>
      </c>
      <c r="G885" s="14">
        <v>226512</v>
      </c>
      <c r="H885" s="14">
        <v>137000</v>
      </c>
      <c r="I885" s="14">
        <v>168000</v>
      </c>
      <c r="J885" s="14">
        <v>3380</v>
      </c>
      <c r="K885" s="14">
        <v>4340</v>
      </c>
      <c r="N885" s="42">
        <f t="shared" si="44"/>
        <v>41000</v>
      </c>
      <c r="O885" s="43">
        <f t="shared" si="45"/>
        <v>0.11647727272727272</v>
      </c>
    </row>
    <row r="886" spans="1:15" x14ac:dyDescent="0.45">
      <c r="A886" s="12" t="s">
        <v>30842</v>
      </c>
      <c r="B886" s="14">
        <v>310000</v>
      </c>
      <c r="C886" s="14">
        <v>350000</v>
      </c>
      <c r="D886" s="14">
        <v>223200</v>
      </c>
      <c r="E886" s="14">
        <v>288750</v>
      </c>
      <c r="F886" s="14">
        <v>172100</v>
      </c>
      <c r="G886" s="14">
        <v>225225</v>
      </c>
      <c r="H886" s="14">
        <v>135000</v>
      </c>
      <c r="I886" s="14">
        <v>165000</v>
      </c>
      <c r="J886" s="14">
        <v>3320</v>
      </c>
      <c r="K886" s="14">
        <v>4260</v>
      </c>
      <c r="N886" s="42">
        <f t="shared" si="44"/>
        <v>40000</v>
      </c>
      <c r="O886" s="43">
        <f t="shared" si="45"/>
        <v>0.11428571428571428</v>
      </c>
    </row>
    <row r="887" spans="1:15" x14ac:dyDescent="0.45">
      <c r="A887" s="12" t="s">
        <v>30843</v>
      </c>
      <c r="B887" s="14">
        <v>309000</v>
      </c>
      <c r="C887" s="14">
        <v>349000</v>
      </c>
      <c r="D887" s="14">
        <v>222500</v>
      </c>
      <c r="E887" s="14">
        <v>287925</v>
      </c>
      <c r="F887" s="14">
        <v>171500</v>
      </c>
      <c r="G887" s="14">
        <v>224581</v>
      </c>
      <c r="H887" s="14">
        <v>133000</v>
      </c>
      <c r="I887" s="14">
        <v>163000</v>
      </c>
      <c r="J887" s="14">
        <v>3300</v>
      </c>
      <c r="K887" s="14">
        <v>4230</v>
      </c>
      <c r="N887" s="42">
        <f t="shared" si="44"/>
        <v>40000</v>
      </c>
      <c r="O887" s="43">
        <f t="shared" si="45"/>
        <v>0.11461318051575932</v>
      </c>
    </row>
    <row r="888" spans="1:15" x14ac:dyDescent="0.45">
      <c r="A888" s="12" t="s">
        <v>30844</v>
      </c>
      <c r="B888" s="14">
        <v>309000</v>
      </c>
      <c r="C888" s="14">
        <v>349000</v>
      </c>
      <c r="D888" s="14">
        <v>222500</v>
      </c>
      <c r="E888" s="14">
        <v>287925</v>
      </c>
      <c r="F888" s="14">
        <v>171500</v>
      </c>
      <c r="G888" s="14">
        <v>224581</v>
      </c>
      <c r="H888" s="14">
        <v>135000</v>
      </c>
      <c r="I888" s="14">
        <v>165000</v>
      </c>
      <c r="J888" s="14">
        <v>3370</v>
      </c>
      <c r="K888" s="14">
        <v>4330</v>
      </c>
      <c r="N888" s="42">
        <f t="shared" si="44"/>
        <v>40000</v>
      </c>
      <c r="O888" s="43">
        <f t="shared" si="45"/>
        <v>0.11461318051575932</v>
      </c>
    </row>
    <row r="889" spans="1:15" x14ac:dyDescent="0.45">
      <c r="A889" s="12" t="s">
        <v>30845</v>
      </c>
      <c r="B889" s="14">
        <v>310000</v>
      </c>
      <c r="C889" s="14">
        <v>351000</v>
      </c>
      <c r="D889" s="14">
        <v>223200</v>
      </c>
      <c r="E889" s="14">
        <v>289575</v>
      </c>
      <c r="F889" s="14">
        <v>172100</v>
      </c>
      <c r="G889" s="14">
        <v>225868</v>
      </c>
      <c r="H889" s="14">
        <v>133000</v>
      </c>
      <c r="I889" s="14">
        <v>162000</v>
      </c>
      <c r="J889" s="14">
        <v>3380</v>
      </c>
      <c r="K889" s="14">
        <v>4340</v>
      </c>
      <c r="N889" s="42">
        <f t="shared" si="44"/>
        <v>41000</v>
      </c>
      <c r="O889" s="43">
        <f t="shared" si="45"/>
        <v>0.11680911680911681</v>
      </c>
    </row>
    <row r="890" spans="1:15" x14ac:dyDescent="0.45">
      <c r="A890" s="12" t="s">
        <v>30846</v>
      </c>
      <c r="B890" s="14">
        <v>311000</v>
      </c>
      <c r="C890" s="14">
        <v>352000</v>
      </c>
      <c r="D890" s="14">
        <v>224000</v>
      </c>
      <c r="E890" s="14">
        <v>290400</v>
      </c>
      <c r="F890" s="14">
        <v>172700</v>
      </c>
      <c r="G890" s="14">
        <v>226512</v>
      </c>
      <c r="H890" s="14">
        <v>133000</v>
      </c>
      <c r="I890" s="14">
        <v>163000</v>
      </c>
      <c r="J890" s="14">
        <v>3380</v>
      </c>
      <c r="K890" s="14">
        <v>4340</v>
      </c>
      <c r="N890" s="42">
        <f t="shared" si="44"/>
        <v>41000</v>
      </c>
      <c r="O890" s="43">
        <f t="shared" si="45"/>
        <v>0.11647727272727272</v>
      </c>
    </row>
    <row r="891" spans="1:15" x14ac:dyDescent="0.45">
      <c r="A891" s="12" t="s">
        <v>30847</v>
      </c>
      <c r="B891" s="14">
        <v>311000</v>
      </c>
      <c r="C891" s="14">
        <v>353000</v>
      </c>
      <c r="D891" s="14">
        <v>224000</v>
      </c>
      <c r="E891" s="14">
        <v>291225</v>
      </c>
      <c r="F891" s="14">
        <v>172700</v>
      </c>
      <c r="G891" s="14">
        <v>227155</v>
      </c>
      <c r="H891" s="14">
        <v>133000</v>
      </c>
      <c r="I891" s="14">
        <v>163000</v>
      </c>
      <c r="J891" s="14">
        <v>3380</v>
      </c>
      <c r="K891" s="14">
        <v>4340</v>
      </c>
      <c r="N891" s="42">
        <f t="shared" si="44"/>
        <v>42000</v>
      </c>
      <c r="O891" s="43">
        <f t="shared" si="45"/>
        <v>0.11898016997167139</v>
      </c>
    </row>
    <row r="892" spans="1:15" x14ac:dyDescent="0.45">
      <c r="A892" s="12" t="s">
        <v>30848</v>
      </c>
      <c r="B892" s="14">
        <v>311000</v>
      </c>
      <c r="C892" s="14">
        <v>353000</v>
      </c>
      <c r="D892" s="14">
        <v>224000</v>
      </c>
      <c r="E892" s="14">
        <v>291225</v>
      </c>
      <c r="F892" s="14">
        <v>172700</v>
      </c>
      <c r="G892" s="14">
        <v>227155</v>
      </c>
      <c r="H892" s="14">
        <v>135000</v>
      </c>
      <c r="I892" s="14">
        <v>166000</v>
      </c>
      <c r="J892" s="14">
        <v>3380</v>
      </c>
      <c r="K892" s="14">
        <v>4360</v>
      </c>
      <c r="N892" s="42">
        <f t="shared" si="44"/>
        <v>42000</v>
      </c>
      <c r="O892" s="43">
        <f t="shared" si="45"/>
        <v>0.11898016997167139</v>
      </c>
    </row>
    <row r="893" spans="1:15" x14ac:dyDescent="0.45">
      <c r="A893" s="12" t="s">
        <v>30849</v>
      </c>
      <c r="B893" s="14">
        <v>311000</v>
      </c>
      <c r="C893" s="14">
        <v>352500</v>
      </c>
      <c r="D893" s="14">
        <v>224000</v>
      </c>
      <c r="E893" s="14">
        <v>290812</v>
      </c>
      <c r="F893" s="14">
        <v>172700</v>
      </c>
      <c r="G893" s="14">
        <v>226833</v>
      </c>
      <c r="H893" s="14">
        <v>136000</v>
      </c>
      <c r="I893" s="14">
        <v>166000</v>
      </c>
      <c r="J893" s="14">
        <v>3400</v>
      </c>
      <c r="K893" s="14">
        <v>4390</v>
      </c>
      <c r="N893" s="42">
        <f t="shared" si="44"/>
        <v>41500</v>
      </c>
      <c r="O893" s="43">
        <f t="shared" si="45"/>
        <v>0.11773049645390071</v>
      </c>
    </row>
    <row r="894" spans="1:15" x14ac:dyDescent="0.45">
      <c r="A894" s="12" t="s">
        <v>30850</v>
      </c>
      <c r="B894" s="14">
        <v>311000</v>
      </c>
      <c r="C894" s="14">
        <v>354000</v>
      </c>
      <c r="D894" s="14">
        <v>224000</v>
      </c>
      <c r="E894" s="14">
        <v>292050</v>
      </c>
      <c r="F894" s="14">
        <v>172700</v>
      </c>
      <c r="G894" s="14">
        <v>227799</v>
      </c>
      <c r="H894" s="14">
        <v>138000</v>
      </c>
      <c r="I894" s="14">
        <v>169000</v>
      </c>
      <c r="J894" s="14">
        <v>3460</v>
      </c>
      <c r="K894" s="14">
        <v>4460</v>
      </c>
      <c r="N894" s="42">
        <f t="shared" si="44"/>
        <v>43000</v>
      </c>
      <c r="O894" s="43">
        <f t="shared" si="45"/>
        <v>0.12146892655367232</v>
      </c>
    </row>
    <row r="895" spans="1:15" x14ac:dyDescent="0.45">
      <c r="A895" s="12" t="s">
        <v>30851</v>
      </c>
      <c r="B895" s="14">
        <v>310000</v>
      </c>
      <c r="C895" s="14">
        <v>355000</v>
      </c>
      <c r="D895" s="14">
        <v>223200</v>
      </c>
      <c r="E895" s="14">
        <v>292875</v>
      </c>
      <c r="F895" s="14">
        <v>172100</v>
      </c>
      <c r="G895" s="14">
        <v>228442</v>
      </c>
      <c r="H895" s="14">
        <v>140000</v>
      </c>
      <c r="I895" s="14">
        <v>171000</v>
      </c>
      <c r="J895" s="14">
        <v>3470</v>
      </c>
      <c r="K895" s="14">
        <v>4460</v>
      </c>
      <c r="N895" s="42">
        <f t="shared" si="44"/>
        <v>45000</v>
      </c>
      <c r="O895" s="43">
        <f t="shared" si="45"/>
        <v>0.12676056338028169</v>
      </c>
    </row>
    <row r="896" spans="1:15" x14ac:dyDescent="0.45">
      <c r="A896" s="12" t="s">
        <v>30852</v>
      </c>
      <c r="B896" s="14">
        <v>310000</v>
      </c>
      <c r="C896" s="14">
        <v>353000</v>
      </c>
      <c r="D896" s="14">
        <v>223200</v>
      </c>
      <c r="E896" s="14">
        <v>291225</v>
      </c>
      <c r="F896" s="14">
        <v>172100</v>
      </c>
      <c r="G896" s="14">
        <v>227155</v>
      </c>
      <c r="H896" s="14">
        <v>141000</v>
      </c>
      <c r="I896" s="14">
        <v>173000</v>
      </c>
      <c r="J896" s="14">
        <v>3520</v>
      </c>
      <c r="K896" s="14">
        <v>4530</v>
      </c>
      <c r="N896" s="42">
        <f t="shared" si="44"/>
        <v>43000</v>
      </c>
      <c r="O896" s="43">
        <f t="shared" si="45"/>
        <v>0.12181303116147309</v>
      </c>
    </row>
    <row r="897" spans="1:15" x14ac:dyDescent="0.45">
      <c r="A897" s="12" t="s">
        <v>30853</v>
      </c>
      <c r="B897" s="14">
        <v>310000</v>
      </c>
      <c r="C897" s="14">
        <v>353000</v>
      </c>
      <c r="D897" s="14">
        <v>223200</v>
      </c>
      <c r="E897" s="14">
        <v>291225</v>
      </c>
      <c r="F897" s="14">
        <v>172100</v>
      </c>
      <c r="G897" s="14">
        <v>227155</v>
      </c>
      <c r="H897" s="14">
        <v>142000</v>
      </c>
      <c r="I897" s="14">
        <v>173000</v>
      </c>
      <c r="J897" s="14">
        <v>3520</v>
      </c>
      <c r="K897" s="14">
        <v>4530</v>
      </c>
      <c r="N897" s="42">
        <f t="shared" si="44"/>
        <v>43000</v>
      </c>
      <c r="O897" s="43">
        <f t="shared" si="45"/>
        <v>0.12181303116147309</v>
      </c>
    </row>
    <row r="898" spans="1:15" x14ac:dyDescent="0.45">
      <c r="A898" s="12" t="s">
        <v>30854</v>
      </c>
      <c r="B898" s="14">
        <v>310000</v>
      </c>
      <c r="C898" s="14">
        <v>352000</v>
      </c>
      <c r="D898" s="14">
        <v>223200</v>
      </c>
      <c r="E898" s="14">
        <v>290400</v>
      </c>
      <c r="F898" s="14">
        <v>172100</v>
      </c>
      <c r="G898" s="14">
        <v>226512</v>
      </c>
      <c r="H898" s="14">
        <v>142000</v>
      </c>
      <c r="I898" s="14">
        <v>174000</v>
      </c>
      <c r="J898" s="14">
        <v>3550</v>
      </c>
      <c r="K898" s="14">
        <v>4580</v>
      </c>
      <c r="N898" s="42">
        <f t="shared" si="44"/>
        <v>42000</v>
      </c>
      <c r="O898" s="43">
        <f t="shared" si="45"/>
        <v>0.11931818181818182</v>
      </c>
    </row>
    <row r="899" spans="1:15" x14ac:dyDescent="0.45">
      <c r="A899" s="12" t="s">
        <v>30855</v>
      </c>
      <c r="B899" s="14">
        <v>311000</v>
      </c>
      <c r="C899" s="14">
        <v>354000</v>
      </c>
      <c r="D899" s="14">
        <v>224000</v>
      </c>
      <c r="E899" s="14">
        <v>292050</v>
      </c>
      <c r="F899" s="14">
        <v>172700</v>
      </c>
      <c r="G899" s="14">
        <v>227799</v>
      </c>
      <c r="H899" s="14">
        <v>145000</v>
      </c>
      <c r="I899" s="14">
        <v>176000</v>
      </c>
      <c r="J899" s="14">
        <v>3590</v>
      </c>
      <c r="K899" s="14">
        <v>4620</v>
      </c>
      <c r="N899" s="42">
        <f t="shared" si="44"/>
        <v>43000</v>
      </c>
      <c r="O899" s="43">
        <f t="shared" si="45"/>
        <v>0.12146892655367232</v>
      </c>
    </row>
    <row r="900" spans="1:15" x14ac:dyDescent="0.45">
      <c r="A900" s="12" t="s">
        <v>30856</v>
      </c>
      <c r="B900" s="14">
        <v>310000</v>
      </c>
      <c r="C900" s="14">
        <v>353000</v>
      </c>
      <c r="D900" s="14">
        <v>223200</v>
      </c>
      <c r="E900" s="14">
        <v>291225</v>
      </c>
      <c r="F900" s="14">
        <v>172100</v>
      </c>
      <c r="G900" s="14">
        <v>227155</v>
      </c>
      <c r="H900" s="14">
        <v>144000</v>
      </c>
      <c r="I900" s="14">
        <v>176000</v>
      </c>
      <c r="J900" s="14">
        <v>3590</v>
      </c>
      <c r="K900" s="14">
        <v>4620</v>
      </c>
      <c r="N900" s="42">
        <f t="shared" si="44"/>
        <v>43000</v>
      </c>
      <c r="O900" s="43">
        <f t="shared" si="45"/>
        <v>0.12181303116147309</v>
      </c>
    </row>
    <row r="901" spans="1:15" x14ac:dyDescent="0.45">
      <c r="A901" s="12" t="s">
        <v>30857</v>
      </c>
      <c r="B901" s="14">
        <v>309000</v>
      </c>
      <c r="C901" s="14">
        <v>350000</v>
      </c>
      <c r="D901" s="14">
        <v>222500</v>
      </c>
      <c r="E901" s="14">
        <v>288750</v>
      </c>
      <c r="F901" s="14">
        <v>171500</v>
      </c>
      <c r="G901" s="14">
        <v>225225</v>
      </c>
      <c r="H901" s="14">
        <v>142000</v>
      </c>
      <c r="I901" s="14">
        <v>174000</v>
      </c>
      <c r="J901" s="14">
        <v>3570</v>
      </c>
      <c r="K901" s="14">
        <v>4540</v>
      </c>
      <c r="N901" s="42">
        <f t="shared" si="44"/>
        <v>41000</v>
      </c>
      <c r="O901" s="43">
        <f t="shared" si="45"/>
        <v>0.11714285714285715</v>
      </c>
    </row>
    <row r="902" spans="1:15" x14ac:dyDescent="0.45">
      <c r="A902" s="12" t="s">
        <v>30858</v>
      </c>
      <c r="B902" s="14">
        <v>308000</v>
      </c>
      <c r="C902" s="14">
        <v>349000</v>
      </c>
      <c r="D902" s="14">
        <v>221800</v>
      </c>
      <c r="E902" s="14">
        <v>287925</v>
      </c>
      <c r="F902" s="14">
        <v>171000</v>
      </c>
      <c r="G902" s="14">
        <v>224581</v>
      </c>
      <c r="H902" s="14">
        <v>139000</v>
      </c>
      <c r="I902" s="14">
        <v>170000</v>
      </c>
      <c r="J902" s="14">
        <v>3580</v>
      </c>
      <c r="K902" s="14">
        <v>4550</v>
      </c>
      <c r="N902" s="42">
        <f t="shared" si="44"/>
        <v>41000</v>
      </c>
      <c r="O902" s="43">
        <f t="shared" si="45"/>
        <v>0.1174785100286533</v>
      </c>
    </row>
    <row r="903" spans="1:15" x14ac:dyDescent="0.45">
      <c r="A903" s="12" t="s">
        <v>30859</v>
      </c>
      <c r="B903" s="14">
        <v>308000</v>
      </c>
      <c r="C903" s="14">
        <v>350000</v>
      </c>
      <c r="D903" s="14">
        <v>221800</v>
      </c>
      <c r="E903" s="14">
        <v>288750</v>
      </c>
      <c r="F903" s="14">
        <v>171000</v>
      </c>
      <c r="G903" s="14">
        <v>225225</v>
      </c>
      <c r="H903" s="14">
        <v>140000</v>
      </c>
      <c r="I903" s="14">
        <v>171000</v>
      </c>
      <c r="J903" s="14">
        <v>3580</v>
      </c>
      <c r="K903" s="14">
        <v>4560</v>
      </c>
      <c r="N903" s="42">
        <f t="shared" si="44"/>
        <v>42000</v>
      </c>
      <c r="O903" s="43">
        <f t="shared" si="45"/>
        <v>0.12</v>
      </c>
    </row>
    <row r="904" spans="1:15" x14ac:dyDescent="0.45">
      <c r="A904" s="12" t="s">
        <v>30860</v>
      </c>
      <c r="B904" s="14">
        <v>309000</v>
      </c>
      <c r="C904" s="14">
        <v>349000</v>
      </c>
      <c r="D904" s="14">
        <v>222500</v>
      </c>
      <c r="E904" s="14">
        <v>287925</v>
      </c>
      <c r="F904" s="14">
        <v>171500</v>
      </c>
      <c r="G904" s="14">
        <v>224581</v>
      </c>
      <c r="H904" s="14">
        <v>138000</v>
      </c>
      <c r="I904" s="14">
        <v>169000</v>
      </c>
      <c r="J904" s="14">
        <v>3550</v>
      </c>
      <c r="K904" s="14">
        <v>4520</v>
      </c>
      <c r="N904" s="42">
        <f t="shared" si="44"/>
        <v>40000</v>
      </c>
      <c r="O904" s="43">
        <f t="shared" si="45"/>
        <v>0.11461318051575932</v>
      </c>
    </row>
    <row r="905" spans="1:15" x14ac:dyDescent="0.45">
      <c r="A905" s="12" t="s">
        <v>30861</v>
      </c>
      <c r="B905" s="14">
        <v>309000</v>
      </c>
      <c r="C905" s="14">
        <v>350000</v>
      </c>
      <c r="D905" s="14">
        <v>222500</v>
      </c>
      <c r="E905" s="14">
        <v>288750</v>
      </c>
      <c r="F905" s="14">
        <v>171500</v>
      </c>
      <c r="G905" s="14">
        <v>225225</v>
      </c>
      <c r="H905" s="14">
        <v>138000</v>
      </c>
      <c r="I905" s="14">
        <v>168000</v>
      </c>
      <c r="J905" s="14">
        <v>3570</v>
      </c>
      <c r="K905" s="14">
        <v>4550</v>
      </c>
      <c r="N905" s="42">
        <f t="shared" si="44"/>
        <v>41000</v>
      </c>
      <c r="O905" s="43">
        <f t="shared" si="45"/>
        <v>0.11714285714285715</v>
      </c>
    </row>
    <row r="906" spans="1:15" x14ac:dyDescent="0.45">
      <c r="A906" s="12" t="s">
        <v>30862</v>
      </c>
      <c r="B906" s="14">
        <v>308000</v>
      </c>
      <c r="C906" s="14">
        <v>350000</v>
      </c>
      <c r="D906" s="14">
        <v>221800</v>
      </c>
      <c r="E906" s="14">
        <v>288750</v>
      </c>
      <c r="F906" s="14">
        <v>171000</v>
      </c>
      <c r="G906" s="14">
        <v>225225</v>
      </c>
      <c r="H906" s="14">
        <v>138000</v>
      </c>
      <c r="I906" s="14">
        <v>169000</v>
      </c>
      <c r="J906" s="14">
        <v>3500</v>
      </c>
      <c r="K906" s="14">
        <v>4460</v>
      </c>
      <c r="N906" s="42">
        <f t="shared" si="44"/>
        <v>42000</v>
      </c>
      <c r="O906" s="43">
        <f t="shared" si="45"/>
        <v>0.12</v>
      </c>
    </row>
    <row r="907" spans="1:15" x14ac:dyDescent="0.45">
      <c r="A907" s="12" t="s">
        <v>30863</v>
      </c>
      <c r="B907" s="14">
        <v>308000</v>
      </c>
      <c r="C907" s="14">
        <v>350000</v>
      </c>
      <c r="D907" s="14">
        <v>221800</v>
      </c>
      <c r="E907" s="14">
        <v>288750</v>
      </c>
      <c r="F907" s="14">
        <v>171000</v>
      </c>
      <c r="G907" s="14">
        <v>225225</v>
      </c>
      <c r="H907" s="14">
        <v>136000</v>
      </c>
      <c r="I907" s="14">
        <v>167000</v>
      </c>
      <c r="J907" s="14">
        <v>3500</v>
      </c>
      <c r="K907" s="14">
        <v>4440</v>
      </c>
      <c r="N907" s="42">
        <f t="shared" si="44"/>
        <v>42000</v>
      </c>
      <c r="O907" s="43">
        <f t="shared" si="45"/>
        <v>0.12</v>
      </c>
    </row>
    <row r="908" spans="1:15" x14ac:dyDescent="0.45">
      <c r="A908" s="12" t="s">
        <v>30864</v>
      </c>
      <c r="B908" s="14">
        <v>307000</v>
      </c>
      <c r="C908" s="14">
        <v>349000</v>
      </c>
      <c r="D908" s="14">
        <v>221100</v>
      </c>
      <c r="E908" s="14">
        <v>287925</v>
      </c>
      <c r="F908" s="14">
        <v>170400</v>
      </c>
      <c r="G908" s="14">
        <v>224581</v>
      </c>
      <c r="H908" s="14">
        <v>137000</v>
      </c>
      <c r="I908" s="14">
        <v>167000</v>
      </c>
      <c r="J908" s="14">
        <v>3410</v>
      </c>
      <c r="K908" s="14">
        <v>4340</v>
      </c>
      <c r="N908" s="42">
        <f t="shared" si="44"/>
        <v>42000</v>
      </c>
      <c r="O908" s="43">
        <f t="shared" si="45"/>
        <v>0.12034383954154727</v>
      </c>
    </row>
    <row r="909" spans="1:15" x14ac:dyDescent="0.45">
      <c r="A909" s="12" t="s">
        <v>30865</v>
      </c>
      <c r="B909" s="14">
        <v>306000</v>
      </c>
      <c r="C909" s="14">
        <v>349000</v>
      </c>
      <c r="D909" s="14">
        <v>220400</v>
      </c>
      <c r="E909" s="14">
        <v>287925</v>
      </c>
      <c r="F909" s="14">
        <v>169900</v>
      </c>
      <c r="G909" s="14">
        <v>224581</v>
      </c>
      <c r="H909" s="14">
        <v>136000</v>
      </c>
      <c r="I909" s="14">
        <v>167000</v>
      </c>
      <c r="J909" s="14">
        <v>3400</v>
      </c>
      <c r="K909" s="14">
        <v>4330</v>
      </c>
      <c r="N909" s="42">
        <f t="shared" si="44"/>
        <v>43000</v>
      </c>
      <c r="O909" s="43">
        <f t="shared" si="45"/>
        <v>0.12320916905444126</v>
      </c>
    </row>
    <row r="910" spans="1:15" x14ac:dyDescent="0.45">
      <c r="A910" s="12" t="s">
        <v>30866</v>
      </c>
      <c r="B910" s="14">
        <v>307000</v>
      </c>
      <c r="C910" s="14">
        <v>350000</v>
      </c>
      <c r="D910" s="14">
        <v>221100</v>
      </c>
      <c r="E910" s="14">
        <v>288750</v>
      </c>
      <c r="F910" s="14">
        <v>170400</v>
      </c>
      <c r="G910" s="14">
        <v>225225</v>
      </c>
      <c r="H910" s="14">
        <v>132000</v>
      </c>
      <c r="I910" s="14">
        <v>162000</v>
      </c>
      <c r="J910" s="14">
        <v>3360</v>
      </c>
      <c r="K910" s="14">
        <v>4270</v>
      </c>
      <c r="N910" s="42">
        <f t="shared" si="44"/>
        <v>43000</v>
      </c>
      <c r="O910" s="43">
        <f t="shared" si="45"/>
        <v>0.12285714285714286</v>
      </c>
    </row>
    <row r="911" spans="1:15" x14ac:dyDescent="0.45">
      <c r="A911" s="12" t="s">
        <v>30867</v>
      </c>
      <c r="B911" s="14">
        <v>307000</v>
      </c>
      <c r="C911" s="14">
        <v>351000</v>
      </c>
      <c r="D911" s="14">
        <v>221100</v>
      </c>
      <c r="E911" s="14">
        <v>289575</v>
      </c>
      <c r="F911" s="14">
        <v>170400</v>
      </c>
      <c r="G911" s="14">
        <v>225868</v>
      </c>
      <c r="H911" s="14">
        <v>133000</v>
      </c>
      <c r="I911" s="14">
        <v>163000</v>
      </c>
      <c r="J911" s="14">
        <v>3360</v>
      </c>
      <c r="K911" s="14">
        <v>4280</v>
      </c>
      <c r="N911" s="42">
        <f t="shared" si="44"/>
        <v>44000</v>
      </c>
      <c r="O911" s="43">
        <f t="shared" si="45"/>
        <v>0.12535612535612536</v>
      </c>
    </row>
    <row r="912" spans="1:15" x14ac:dyDescent="0.45">
      <c r="A912" s="12" t="s">
        <v>30868</v>
      </c>
      <c r="B912" s="14">
        <v>306000</v>
      </c>
      <c r="C912" s="14">
        <v>350000</v>
      </c>
      <c r="D912" s="14">
        <v>220400</v>
      </c>
      <c r="E912" s="14">
        <v>288750</v>
      </c>
      <c r="F912" s="14">
        <v>169900</v>
      </c>
      <c r="G912" s="14">
        <v>225225</v>
      </c>
      <c r="H912" s="14">
        <v>134000</v>
      </c>
      <c r="I912" s="14">
        <v>164000</v>
      </c>
      <c r="J912" s="14">
        <v>3360</v>
      </c>
      <c r="K912" s="14">
        <v>4275</v>
      </c>
      <c r="N912" s="42">
        <f t="shared" si="44"/>
        <v>44000</v>
      </c>
      <c r="O912" s="43">
        <f t="shared" si="45"/>
        <v>0.12571428571428572</v>
      </c>
    </row>
    <row r="913" spans="1:15" x14ac:dyDescent="0.45">
      <c r="A913" s="12" t="s">
        <v>30869</v>
      </c>
      <c r="B913" s="14">
        <v>306000</v>
      </c>
      <c r="C913" s="14">
        <v>350000</v>
      </c>
      <c r="D913" s="14">
        <v>220400</v>
      </c>
      <c r="E913" s="14">
        <v>288750</v>
      </c>
      <c r="F913" s="14">
        <v>169900</v>
      </c>
      <c r="G913" s="14">
        <v>225225</v>
      </c>
      <c r="H913" s="14">
        <v>136000</v>
      </c>
      <c r="I913" s="14">
        <v>166000</v>
      </c>
      <c r="J913" s="14">
        <v>3360</v>
      </c>
      <c r="K913" s="14">
        <v>4280</v>
      </c>
      <c r="N913" s="42">
        <f t="shared" si="44"/>
        <v>44000</v>
      </c>
      <c r="O913" s="43">
        <f t="shared" si="45"/>
        <v>0.12571428571428572</v>
      </c>
    </row>
    <row r="914" spans="1:15" x14ac:dyDescent="0.45">
      <c r="A914" s="12" t="s">
        <v>30870</v>
      </c>
      <c r="B914" s="14">
        <v>306000</v>
      </c>
      <c r="C914" s="14">
        <v>350500</v>
      </c>
      <c r="D914" s="14">
        <v>220400</v>
      </c>
      <c r="E914" s="14">
        <v>289162</v>
      </c>
      <c r="F914" s="14">
        <v>169900</v>
      </c>
      <c r="G914" s="14">
        <v>225546</v>
      </c>
      <c r="H914" s="14">
        <v>135000</v>
      </c>
      <c r="I914" s="14">
        <v>166000</v>
      </c>
      <c r="J914" s="14">
        <v>3370</v>
      </c>
      <c r="K914" s="14">
        <v>4290</v>
      </c>
      <c r="N914" s="42">
        <f t="shared" si="44"/>
        <v>44500</v>
      </c>
      <c r="O914" s="43">
        <f t="shared" si="45"/>
        <v>0.12696148359486448</v>
      </c>
    </row>
    <row r="915" spans="1:15" x14ac:dyDescent="0.45">
      <c r="A915" s="12" t="s">
        <v>30871</v>
      </c>
      <c r="B915" s="14">
        <v>305000</v>
      </c>
      <c r="C915" s="14">
        <v>348000</v>
      </c>
      <c r="D915" s="14">
        <v>219600</v>
      </c>
      <c r="E915" s="14">
        <v>287100</v>
      </c>
      <c r="F915" s="14">
        <v>169300</v>
      </c>
      <c r="G915" s="14">
        <v>223938</v>
      </c>
      <c r="H915" s="14">
        <v>131000</v>
      </c>
      <c r="I915" s="14">
        <v>160000</v>
      </c>
      <c r="J915" s="14">
        <v>3330</v>
      </c>
      <c r="K915" s="14">
        <v>4250</v>
      </c>
      <c r="N915" s="42">
        <f t="shared" si="44"/>
        <v>43000</v>
      </c>
      <c r="O915" s="43">
        <f t="shared" si="45"/>
        <v>0.1235632183908046</v>
      </c>
    </row>
    <row r="916" spans="1:15" x14ac:dyDescent="0.45">
      <c r="A916" s="12" t="s">
        <v>30872</v>
      </c>
      <c r="B916" s="14">
        <v>307000</v>
      </c>
      <c r="C916" s="14">
        <v>351000</v>
      </c>
      <c r="D916" s="14">
        <v>221100</v>
      </c>
      <c r="E916" s="14">
        <v>289575</v>
      </c>
      <c r="F916" s="14">
        <v>170400</v>
      </c>
      <c r="G916" s="14">
        <v>225868</v>
      </c>
      <c r="H916" s="14">
        <v>135000</v>
      </c>
      <c r="I916" s="14">
        <v>165000</v>
      </c>
      <c r="J916" s="14">
        <v>3390</v>
      </c>
      <c r="K916" s="14">
        <v>4320</v>
      </c>
      <c r="N916" s="42">
        <f t="shared" si="44"/>
        <v>44000</v>
      </c>
      <c r="O916" s="43">
        <f t="shared" si="45"/>
        <v>0.12535612535612536</v>
      </c>
    </row>
    <row r="917" spans="1:15" x14ac:dyDescent="0.45">
      <c r="A917" s="12" t="s">
        <v>30873</v>
      </c>
      <c r="B917" s="14">
        <v>307000</v>
      </c>
      <c r="C917" s="14">
        <v>348000</v>
      </c>
      <c r="D917" s="14">
        <v>221100</v>
      </c>
      <c r="E917" s="14">
        <v>287100</v>
      </c>
      <c r="F917" s="14">
        <v>170400</v>
      </c>
      <c r="G917" s="14">
        <v>223938</v>
      </c>
      <c r="H917" s="14">
        <v>135000</v>
      </c>
      <c r="I917" s="14">
        <v>165000</v>
      </c>
      <c r="J917" s="14">
        <v>3420</v>
      </c>
      <c r="K917" s="14">
        <v>4360</v>
      </c>
      <c r="N917" s="42">
        <f t="shared" si="44"/>
        <v>41000</v>
      </c>
      <c r="O917" s="43">
        <f t="shared" si="45"/>
        <v>0.11781609195402298</v>
      </c>
    </row>
    <row r="918" spans="1:15" x14ac:dyDescent="0.45">
      <c r="A918" s="12" t="s">
        <v>30874</v>
      </c>
      <c r="B918" s="14">
        <v>307000</v>
      </c>
      <c r="C918" s="14">
        <v>349000</v>
      </c>
      <c r="D918" s="14">
        <v>221100</v>
      </c>
      <c r="E918" s="14">
        <v>287925</v>
      </c>
      <c r="F918" s="14">
        <v>170400</v>
      </c>
      <c r="G918" s="14">
        <v>224581</v>
      </c>
      <c r="H918" s="14">
        <v>134000</v>
      </c>
      <c r="I918" s="14">
        <v>164000</v>
      </c>
      <c r="J918" s="14">
        <v>3440</v>
      </c>
      <c r="K918" s="14">
        <v>4380</v>
      </c>
      <c r="N918" s="42">
        <f t="shared" si="44"/>
        <v>42000</v>
      </c>
      <c r="O918" s="43">
        <f t="shared" si="45"/>
        <v>0.12034383954154727</v>
      </c>
    </row>
    <row r="919" spans="1:15" x14ac:dyDescent="0.45">
      <c r="A919" s="12" t="s">
        <v>30875</v>
      </c>
      <c r="B919" s="14">
        <v>307000</v>
      </c>
      <c r="C919" s="14">
        <v>348000</v>
      </c>
      <c r="D919" s="14">
        <v>221100</v>
      </c>
      <c r="E919" s="14">
        <v>287100</v>
      </c>
      <c r="F919" s="14">
        <v>170400</v>
      </c>
      <c r="G919" s="14">
        <v>223938</v>
      </c>
      <c r="H919" s="14">
        <v>133000</v>
      </c>
      <c r="I919" s="14">
        <v>163000</v>
      </c>
      <c r="J919" s="14">
        <v>3420</v>
      </c>
      <c r="K919" s="14">
        <v>4370</v>
      </c>
      <c r="N919" s="42">
        <f t="shared" si="44"/>
        <v>41000</v>
      </c>
      <c r="O919" s="43">
        <f t="shared" si="45"/>
        <v>0.11781609195402298</v>
      </c>
    </row>
    <row r="920" spans="1:15" x14ac:dyDescent="0.45">
      <c r="A920" s="12" t="s">
        <v>30876</v>
      </c>
      <c r="B920" s="14">
        <v>307000</v>
      </c>
      <c r="C920" s="14">
        <v>346500</v>
      </c>
      <c r="D920" s="14">
        <v>221100</v>
      </c>
      <c r="E920" s="14">
        <v>285862</v>
      </c>
      <c r="F920" s="14">
        <v>170400</v>
      </c>
      <c r="G920" s="14">
        <v>222972</v>
      </c>
      <c r="H920" s="14">
        <v>133000</v>
      </c>
      <c r="I920" s="14">
        <v>163000</v>
      </c>
      <c r="J920" s="14">
        <v>3420</v>
      </c>
      <c r="K920" s="14">
        <v>4360</v>
      </c>
      <c r="N920" s="42">
        <f t="shared" si="44"/>
        <v>39500</v>
      </c>
      <c r="O920" s="43">
        <f t="shared" si="45"/>
        <v>0.113997113997114</v>
      </c>
    </row>
    <row r="921" spans="1:15" x14ac:dyDescent="0.45">
      <c r="A921" s="12" t="s">
        <v>30877</v>
      </c>
      <c r="B921" s="14">
        <v>307000</v>
      </c>
      <c r="C921" s="14">
        <v>347500</v>
      </c>
      <c r="D921" s="14">
        <v>221100</v>
      </c>
      <c r="E921" s="14">
        <v>286687</v>
      </c>
      <c r="F921" s="14">
        <v>170400</v>
      </c>
      <c r="G921" s="14">
        <v>223616</v>
      </c>
      <c r="H921" s="14">
        <v>135000</v>
      </c>
      <c r="I921" s="14">
        <v>165000</v>
      </c>
      <c r="J921" s="14">
        <v>3520</v>
      </c>
      <c r="K921" s="14">
        <v>4480</v>
      </c>
      <c r="N921" s="42">
        <f t="shared" si="44"/>
        <v>40500</v>
      </c>
      <c r="O921" s="43">
        <f t="shared" si="45"/>
        <v>0.11654676258992806</v>
      </c>
    </row>
    <row r="922" spans="1:15" x14ac:dyDescent="0.45">
      <c r="A922" s="12" t="s">
        <v>30878</v>
      </c>
      <c r="B922" s="14">
        <v>306000</v>
      </c>
      <c r="C922" s="14">
        <v>343500</v>
      </c>
      <c r="D922" s="14">
        <v>220400</v>
      </c>
      <c r="E922" s="14">
        <v>283387</v>
      </c>
      <c r="F922" s="14">
        <v>169900</v>
      </c>
      <c r="G922" s="14">
        <v>221042</v>
      </c>
      <c r="H922" s="14">
        <v>131000</v>
      </c>
      <c r="I922" s="14">
        <v>161000</v>
      </c>
      <c r="J922" s="14">
        <v>3440</v>
      </c>
      <c r="K922" s="14">
        <v>4380</v>
      </c>
      <c r="N922" s="42">
        <f t="shared" si="44"/>
        <v>37500</v>
      </c>
      <c r="O922" s="43">
        <f t="shared" si="45"/>
        <v>0.1091703056768559</v>
      </c>
    </row>
    <row r="923" spans="1:15" x14ac:dyDescent="0.45">
      <c r="A923" s="12" t="s">
        <v>30879</v>
      </c>
      <c r="B923" s="14">
        <v>305000</v>
      </c>
      <c r="C923" s="14">
        <v>344000</v>
      </c>
      <c r="D923" s="14">
        <v>219600</v>
      </c>
      <c r="E923" s="14">
        <v>283800</v>
      </c>
      <c r="F923" s="14">
        <v>169300</v>
      </c>
      <c r="G923" s="14">
        <v>221364</v>
      </c>
      <c r="H923" s="14">
        <v>133000</v>
      </c>
      <c r="I923" s="14">
        <v>163000</v>
      </c>
      <c r="J923" s="14">
        <v>3460</v>
      </c>
      <c r="K923" s="14">
        <v>4400</v>
      </c>
      <c r="N923" s="42">
        <f t="shared" si="44"/>
        <v>39000</v>
      </c>
      <c r="O923" s="43">
        <f t="shared" si="45"/>
        <v>0.11337209302325581</v>
      </c>
    </row>
    <row r="924" spans="1:15" x14ac:dyDescent="0.45">
      <c r="A924" s="12" t="s">
        <v>30880</v>
      </c>
      <c r="B924" s="14">
        <v>306000</v>
      </c>
      <c r="C924" s="14">
        <v>348000</v>
      </c>
      <c r="D924" s="14">
        <v>220400</v>
      </c>
      <c r="E924" s="14">
        <v>287100</v>
      </c>
      <c r="F924" s="14">
        <v>169900</v>
      </c>
      <c r="G924" s="14">
        <v>223938</v>
      </c>
      <c r="H924" s="14">
        <v>138000</v>
      </c>
      <c r="I924" s="14">
        <v>169000</v>
      </c>
      <c r="J924" s="14">
        <v>3560</v>
      </c>
      <c r="K924" s="14">
        <v>4540</v>
      </c>
      <c r="N924" s="42">
        <f t="shared" si="44"/>
        <v>42000</v>
      </c>
      <c r="O924" s="43">
        <f t="shared" si="45"/>
        <v>0.1206896551724138</v>
      </c>
    </row>
    <row r="925" spans="1:15" x14ac:dyDescent="0.45">
      <c r="A925" s="12" t="s">
        <v>30881</v>
      </c>
      <c r="B925" s="14">
        <v>307000</v>
      </c>
      <c r="C925" s="14">
        <v>346000</v>
      </c>
      <c r="D925" s="14">
        <v>221100</v>
      </c>
      <c r="E925" s="14">
        <v>285450</v>
      </c>
      <c r="F925" s="14">
        <v>170400</v>
      </c>
      <c r="G925" s="14">
        <v>222651</v>
      </c>
      <c r="H925" s="14">
        <v>138000</v>
      </c>
      <c r="I925" s="14">
        <v>168000</v>
      </c>
      <c r="J925" s="14">
        <v>3510</v>
      </c>
      <c r="K925" s="14">
        <v>4470</v>
      </c>
      <c r="N925" s="42">
        <f t="shared" si="44"/>
        <v>39000</v>
      </c>
      <c r="O925" s="43">
        <f t="shared" si="45"/>
        <v>0.11271676300578035</v>
      </c>
    </row>
    <row r="926" spans="1:15" x14ac:dyDescent="0.45">
      <c r="A926" s="12" t="s">
        <v>30882</v>
      </c>
      <c r="B926" s="14">
        <v>309000</v>
      </c>
      <c r="C926" s="14">
        <v>347000</v>
      </c>
      <c r="D926" s="14">
        <v>222500</v>
      </c>
      <c r="E926" s="14">
        <v>286275</v>
      </c>
      <c r="F926" s="14">
        <v>171500</v>
      </c>
      <c r="G926" s="14">
        <v>223294</v>
      </c>
      <c r="H926" s="14">
        <v>137000</v>
      </c>
      <c r="I926" s="14">
        <v>167000</v>
      </c>
      <c r="J926" s="14">
        <v>3520</v>
      </c>
      <c r="K926" s="14">
        <v>4470</v>
      </c>
      <c r="N926" s="42">
        <f t="shared" si="44"/>
        <v>38000</v>
      </c>
      <c r="O926" s="43">
        <f t="shared" si="45"/>
        <v>0.10951008645533142</v>
      </c>
    </row>
    <row r="927" spans="1:15" x14ac:dyDescent="0.45">
      <c r="A927" s="12" t="s">
        <v>30883</v>
      </c>
      <c r="B927" s="14">
        <v>309000</v>
      </c>
      <c r="C927" s="14">
        <v>348000</v>
      </c>
      <c r="D927" s="14">
        <v>222500</v>
      </c>
      <c r="E927" s="14">
        <v>287100</v>
      </c>
      <c r="F927" s="14">
        <v>171500</v>
      </c>
      <c r="G927" s="14">
        <v>223938</v>
      </c>
      <c r="H927" s="14">
        <v>138000</v>
      </c>
      <c r="I927" s="14">
        <v>169000</v>
      </c>
      <c r="J927" s="14">
        <v>3520</v>
      </c>
      <c r="K927" s="14">
        <v>4490</v>
      </c>
      <c r="N927" s="42">
        <f t="shared" si="44"/>
        <v>39000</v>
      </c>
      <c r="O927" s="43">
        <f t="shared" si="45"/>
        <v>0.11206896551724138</v>
      </c>
    </row>
    <row r="928" spans="1:15" x14ac:dyDescent="0.45">
      <c r="A928" s="12" t="s">
        <v>30884</v>
      </c>
      <c r="B928" s="14">
        <v>309000</v>
      </c>
      <c r="C928" s="14">
        <v>348000</v>
      </c>
      <c r="D928" s="14">
        <v>222500</v>
      </c>
      <c r="E928" s="14">
        <v>287100</v>
      </c>
      <c r="F928" s="14">
        <v>171500</v>
      </c>
      <c r="G928" s="14">
        <v>223938</v>
      </c>
      <c r="H928" s="14">
        <v>137000</v>
      </c>
      <c r="I928" s="14">
        <v>167000</v>
      </c>
      <c r="J928" s="14">
        <v>3550</v>
      </c>
      <c r="K928" s="14">
        <v>4530</v>
      </c>
      <c r="N928" s="42">
        <f t="shared" si="44"/>
        <v>39000</v>
      </c>
      <c r="O928" s="43">
        <f t="shared" si="45"/>
        <v>0.11206896551724138</v>
      </c>
    </row>
    <row r="929" spans="1:15" x14ac:dyDescent="0.45">
      <c r="A929" s="12" t="s">
        <v>30885</v>
      </c>
      <c r="B929" s="14">
        <v>307000</v>
      </c>
      <c r="C929" s="14">
        <v>345000</v>
      </c>
      <c r="D929" s="14">
        <v>221100</v>
      </c>
      <c r="E929" s="14">
        <v>284625</v>
      </c>
      <c r="F929" s="14">
        <v>170400</v>
      </c>
      <c r="G929" s="14">
        <v>222007</v>
      </c>
      <c r="H929" s="14">
        <v>139000</v>
      </c>
      <c r="I929" s="14">
        <v>170000</v>
      </c>
      <c r="J929" s="14">
        <v>3530</v>
      </c>
      <c r="K929" s="14">
        <v>4490</v>
      </c>
      <c r="N929" s="42">
        <f t="shared" si="44"/>
        <v>38000</v>
      </c>
      <c r="O929" s="43">
        <f t="shared" si="45"/>
        <v>0.11014492753623188</v>
      </c>
    </row>
    <row r="930" spans="1:15" x14ac:dyDescent="0.45">
      <c r="A930" s="12" t="s">
        <v>30886</v>
      </c>
      <c r="B930" s="14">
        <v>306000</v>
      </c>
      <c r="C930" s="14">
        <v>341000</v>
      </c>
      <c r="D930" s="14">
        <v>220400</v>
      </c>
      <c r="E930" s="14">
        <v>281325</v>
      </c>
      <c r="F930" s="14">
        <v>169900</v>
      </c>
      <c r="G930" s="14">
        <v>219433</v>
      </c>
      <c r="H930" s="14">
        <v>137000</v>
      </c>
      <c r="I930" s="14">
        <v>168000</v>
      </c>
      <c r="J930" s="14">
        <v>3490</v>
      </c>
      <c r="K930" s="14">
        <v>4440</v>
      </c>
      <c r="N930" s="42">
        <f t="shared" si="44"/>
        <v>35000</v>
      </c>
      <c r="O930" s="43">
        <f t="shared" si="45"/>
        <v>0.10263929618768329</v>
      </c>
    </row>
    <row r="931" spans="1:15" x14ac:dyDescent="0.45">
      <c r="A931" s="12" t="s">
        <v>30887</v>
      </c>
      <c r="B931" s="14">
        <v>304000</v>
      </c>
      <c r="C931" s="14">
        <v>341500</v>
      </c>
      <c r="D931" s="14">
        <v>218900</v>
      </c>
      <c r="E931" s="14">
        <v>281737</v>
      </c>
      <c r="F931" s="14">
        <v>168800</v>
      </c>
      <c r="G931" s="14">
        <v>219755</v>
      </c>
      <c r="H931" s="14">
        <v>137000</v>
      </c>
      <c r="I931" s="14">
        <v>167000</v>
      </c>
      <c r="J931" s="14">
        <v>3510</v>
      </c>
      <c r="K931" s="14">
        <v>4470</v>
      </c>
      <c r="N931" s="42">
        <f t="shared" si="44"/>
        <v>37500</v>
      </c>
      <c r="O931" s="43">
        <f t="shared" si="45"/>
        <v>0.10980966325036604</v>
      </c>
    </row>
    <row r="932" spans="1:15" x14ac:dyDescent="0.45">
      <c r="A932" s="12" t="s">
        <v>30888</v>
      </c>
      <c r="B932" s="14">
        <v>304000</v>
      </c>
      <c r="C932" s="14">
        <v>342000</v>
      </c>
      <c r="D932" s="14">
        <v>218900</v>
      </c>
      <c r="E932" s="14">
        <v>282150</v>
      </c>
      <c r="F932" s="14">
        <v>168800</v>
      </c>
      <c r="G932" s="14">
        <v>220077</v>
      </c>
      <c r="H932" s="14">
        <v>138000</v>
      </c>
      <c r="I932" s="14">
        <v>168000</v>
      </c>
      <c r="J932" s="14">
        <v>3410</v>
      </c>
      <c r="K932" s="14">
        <v>4490</v>
      </c>
      <c r="N932" s="42">
        <f t="shared" si="44"/>
        <v>38000</v>
      </c>
      <c r="O932" s="43">
        <f t="shared" si="45"/>
        <v>0.1111111111111111</v>
      </c>
    </row>
    <row r="933" spans="1:15" x14ac:dyDescent="0.45">
      <c r="A933" s="12" t="s">
        <v>30889</v>
      </c>
      <c r="B933" s="14">
        <v>304000</v>
      </c>
      <c r="C933" s="14">
        <v>341500</v>
      </c>
      <c r="D933" s="14">
        <v>218900</v>
      </c>
      <c r="E933" s="14">
        <v>281737</v>
      </c>
      <c r="F933" s="14">
        <v>168800</v>
      </c>
      <c r="G933" s="14">
        <v>219755</v>
      </c>
      <c r="H933" s="14">
        <v>137000</v>
      </c>
      <c r="I933" s="14">
        <v>167000</v>
      </c>
      <c r="J933" s="14">
        <v>3500</v>
      </c>
      <c r="K933" s="14">
        <v>4440</v>
      </c>
      <c r="N933" s="42">
        <f t="shared" si="44"/>
        <v>37500</v>
      </c>
      <c r="O933" s="43">
        <f t="shared" si="45"/>
        <v>0.10980966325036604</v>
      </c>
    </row>
    <row r="934" spans="1:15" x14ac:dyDescent="0.45">
      <c r="A934" s="12" t="s">
        <v>30890</v>
      </c>
      <c r="B934" s="14">
        <v>305000</v>
      </c>
      <c r="C934" s="14">
        <v>344000</v>
      </c>
      <c r="D934" s="14">
        <v>219600</v>
      </c>
      <c r="E934" s="14">
        <v>283800</v>
      </c>
      <c r="F934" s="14">
        <v>169300</v>
      </c>
      <c r="G934" s="14">
        <v>221364</v>
      </c>
      <c r="H934" s="14">
        <v>136000</v>
      </c>
      <c r="I934" s="14">
        <v>166000</v>
      </c>
      <c r="J934" s="14">
        <v>3430</v>
      </c>
      <c r="K934" s="14">
        <v>4370</v>
      </c>
      <c r="N934" s="42">
        <f t="shared" si="44"/>
        <v>39000</v>
      </c>
      <c r="O934" s="43">
        <f t="shared" si="45"/>
        <v>0.11337209302325581</v>
      </c>
    </row>
    <row r="935" spans="1:15" x14ac:dyDescent="0.45">
      <c r="A935" s="12" t="s">
        <v>30891</v>
      </c>
      <c r="B935" s="14">
        <v>304000</v>
      </c>
      <c r="C935" s="14">
        <v>345000</v>
      </c>
      <c r="D935" s="14">
        <v>218900</v>
      </c>
      <c r="E935" s="14">
        <v>284625</v>
      </c>
      <c r="F935" s="14">
        <v>168800</v>
      </c>
      <c r="G935" s="14">
        <v>222007</v>
      </c>
      <c r="H935" s="14">
        <v>134000</v>
      </c>
      <c r="I935" s="14">
        <v>163000</v>
      </c>
      <c r="J935" s="14">
        <v>3330</v>
      </c>
      <c r="K935" s="14">
        <v>4250</v>
      </c>
      <c r="N935" s="42">
        <f t="shared" si="44"/>
        <v>41000</v>
      </c>
      <c r="O935" s="43">
        <f t="shared" si="45"/>
        <v>0.11884057971014493</v>
      </c>
    </row>
    <row r="936" spans="1:15" x14ac:dyDescent="0.45">
      <c r="A936" s="12" t="s">
        <v>30892</v>
      </c>
      <c r="B936" s="14">
        <v>303500</v>
      </c>
      <c r="C936" s="14">
        <v>346000</v>
      </c>
      <c r="D936" s="14">
        <v>218600</v>
      </c>
      <c r="E936" s="14">
        <v>285450</v>
      </c>
      <c r="F936" s="14">
        <v>168500</v>
      </c>
      <c r="G936" s="14">
        <v>222651</v>
      </c>
      <c r="H936" s="14">
        <v>132000</v>
      </c>
      <c r="I936" s="14">
        <v>162000</v>
      </c>
      <c r="J936" s="14">
        <v>3350</v>
      </c>
      <c r="K936" s="14">
        <v>4260</v>
      </c>
      <c r="N936" s="42">
        <f t="shared" si="44"/>
        <v>42500</v>
      </c>
      <c r="O936" s="43">
        <f t="shared" si="45"/>
        <v>0.12283236994219653</v>
      </c>
    </row>
    <row r="937" spans="1:15" x14ac:dyDescent="0.45">
      <c r="A937" s="12" t="s">
        <v>30893</v>
      </c>
      <c r="B937" s="14">
        <v>303000</v>
      </c>
      <c r="C937" s="14">
        <v>345000</v>
      </c>
      <c r="D937" s="14">
        <v>218200</v>
      </c>
      <c r="E937" s="14">
        <v>284625</v>
      </c>
      <c r="F937" s="14">
        <v>168200</v>
      </c>
      <c r="G937" s="14">
        <v>222007</v>
      </c>
      <c r="H937" s="14">
        <v>132000</v>
      </c>
      <c r="I937" s="14">
        <v>161000</v>
      </c>
      <c r="J937" s="14">
        <v>3340</v>
      </c>
      <c r="K937" s="14">
        <v>4260</v>
      </c>
      <c r="N937" s="42">
        <f t="shared" si="44"/>
        <v>42000</v>
      </c>
      <c r="O937" s="43">
        <f t="shared" si="45"/>
        <v>0.12173913043478261</v>
      </c>
    </row>
    <row r="938" spans="1:15" x14ac:dyDescent="0.45">
      <c r="A938" s="12" t="s">
        <v>30894</v>
      </c>
      <c r="B938" s="14">
        <v>303000</v>
      </c>
      <c r="C938" s="14">
        <v>345000</v>
      </c>
      <c r="D938" s="14">
        <v>218200</v>
      </c>
      <c r="E938" s="14">
        <v>284625</v>
      </c>
      <c r="F938" s="14">
        <v>168200</v>
      </c>
      <c r="G938" s="14">
        <v>222007</v>
      </c>
      <c r="H938" s="14">
        <v>132000</v>
      </c>
      <c r="I938" s="14">
        <v>161000</v>
      </c>
      <c r="J938" s="14">
        <v>3310</v>
      </c>
      <c r="K938" s="14">
        <v>4220</v>
      </c>
      <c r="N938" s="42">
        <f t="shared" si="44"/>
        <v>42000</v>
      </c>
      <c r="O938" s="43">
        <f t="shared" si="45"/>
        <v>0.12173913043478261</v>
      </c>
    </row>
    <row r="939" spans="1:15" x14ac:dyDescent="0.45">
      <c r="A939" s="12" t="s">
        <v>30895</v>
      </c>
      <c r="B939" s="14">
        <v>303000</v>
      </c>
      <c r="C939" s="14">
        <v>345000</v>
      </c>
      <c r="D939" s="14">
        <v>218200</v>
      </c>
      <c r="E939" s="14">
        <v>284625</v>
      </c>
      <c r="F939" s="14">
        <v>168200</v>
      </c>
      <c r="G939" s="14">
        <v>222007</v>
      </c>
      <c r="H939" s="14">
        <v>134000</v>
      </c>
      <c r="I939" s="14">
        <v>164000</v>
      </c>
      <c r="J939" s="14">
        <v>3370</v>
      </c>
      <c r="K939" s="14">
        <v>4290</v>
      </c>
      <c r="N939" s="42">
        <f t="shared" si="44"/>
        <v>42000</v>
      </c>
      <c r="O939" s="43">
        <f t="shared" si="45"/>
        <v>0.12173913043478261</v>
      </c>
    </row>
    <row r="940" spans="1:15" x14ac:dyDescent="0.45">
      <c r="A940" s="12" t="s">
        <v>30896</v>
      </c>
      <c r="B940" s="14">
        <v>303000</v>
      </c>
      <c r="C940" s="14">
        <v>345000</v>
      </c>
      <c r="D940" s="14">
        <v>218200</v>
      </c>
      <c r="E940" s="14">
        <v>284625</v>
      </c>
      <c r="F940" s="14">
        <v>168200</v>
      </c>
      <c r="G940" s="14">
        <v>222007</v>
      </c>
      <c r="H940" s="14">
        <v>133000</v>
      </c>
      <c r="I940" s="14">
        <v>163000</v>
      </c>
      <c r="J940" s="14">
        <v>3330</v>
      </c>
      <c r="K940" s="14">
        <v>4240</v>
      </c>
      <c r="N940" s="42">
        <f t="shared" si="44"/>
        <v>42000</v>
      </c>
      <c r="O940" s="43">
        <f t="shared" si="45"/>
        <v>0.12173913043478261</v>
      </c>
    </row>
    <row r="941" spans="1:15" x14ac:dyDescent="0.45">
      <c r="A941" s="12" t="s">
        <v>30897</v>
      </c>
      <c r="B941" s="14">
        <v>301000</v>
      </c>
      <c r="C941" s="14">
        <v>347000</v>
      </c>
      <c r="D941" s="14">
        <v>216800</v>
      </c>
      <c r="E941" s="14">
        <v>286275</v>
      </c>
      <c r="F941" s="14">
        <v>167100</v>
      </c>
      <c r="G941" s="14">
        <v>223294</v>
      </c>
      <c r="H941" s="14">
        <v>132000</v>
      </c>
      <c r="I941" s="14">
        <v>162000</v>
      </c>
      <c r="J941" s="14">
        <v>3320</v>
      </c>
      <c r="K941" s="14">
        <v>4230</v>
      </c>
      <c r="N941" s="42">
        <f t="shared" ref="N941:N1004" si="46">C941-B941</f>
        <v>46000</v>
      </c>
      <c r="O941" s="43">
        <f t="shared" ref="O941:O1004" si="47">N941/C941</f>
        <v>0.13256484149855907</v>
      </c>
    </row>
    <row r="942" spans="1:15" x14ac:dyDescent="0.45">
      <c r="A942" s="12" t="s">
        <v>30898</v>
      </c>
      <c r="B942" s="14">
        <v>301000</v>
      </c>
      <c r="C942" s="14">
        <v>348000</v>
      </c>
      <c r="D942" s="14">
        <v>216800</v>
      </c>
      <c r="E942" s="14">
        <v>287100</v>
      </c>
      <c r="F942" s="14">
        <v>167100</v>
      </c>
      <c r="G942" s="14">
        <v>223938</v>
      </c>
      <c r="H942" s="14">
        <v>133000</v>
      </c>
      <c r="I942" s="14">
        <v>163000</v>
      </c>
      <c r="J942" s="14">
        <v>3350</v>
      </c>
      <c r="K942" s="14">
        <v>4260</v>
      </c>
      <c r="N942" s="42">
        <f t="shared" si="46"/>
        <v>47000</v>
      </c>
      <c r="O942" s="43">
        <f t="shared" si="47"/>
        <v>0.13505747126436782</v>
      </c>
    </row>
    <row r="943" spans="1:15" x14ac:dyDescent="0.45">
      <c r="A943" s="12" t="s">
        <v>30899</v>
      </c>
      <c r="B943" s="14">
        <v>301000</v>
      </c>
      <c r="C943" s="14">
        <v>347000</v>
      </c>
      <c r="D943" s="14">
        <v>216800</v>
      </c>
      <c r="E943" s="14">
        <v>286275</v>
      </c>
      <c r="F943" s="14">
        <v>167100</v>
      </c>
      <c r="G943" s="14">
        <v>223294</v>
      </c>
      <c r="H943" s="14">
        <v>133000</v>
      </c>
      <c r="I943" s="14">
        <v>163000</v>
      </c>
      <c r="J943" s="14">
        <v>3320</v>
      </c>
      <c r="K943" s="14">
        <v>4220</v>
      </c>
      <c r="N943" s="42">
        <f t="shared" si="46"/>
        <v>46000</v>
      </c>
      <c r="O943" s="43">
        <f t="shared" si="47"/>
        <v>0.13256484149855907</v>
      </c>
    </row>
    <row r="944" spans="1:15" x14ac:dyDescent="0.45">
      <c r="A944" s="12" t="s">
        <v>30900</v>
      </c>
      <c r="B944" s="14">
        <v>299000</v>
      </c>
      <c r="C944" s="14">
        <v>345000</v>
      </c>
      <c r="D944" s="14">
        <v>215300</v>
      </c>
      <c r="E944" s="14">
        <v>284625</v>
      </c>
      <c r="F944" s="14">
        <v>166000</v>
      </c>
      <c r="G944" s="14">
        <v>222007</v>
      </c>
      <c r="H944" s="14">
        <v>133000</v>
      </c>
      <c r="I944" s="14">
        <v>163000</v>
      </c>
      <c r="J944" s="14">
        <v>3320</v>
      </c>
      <c r="K944" s="14">
        <v>4220</v>
      </c>
      <c r="N944" s="42">
        <f t="shared" si="46"/>
        <v>46000</v>
      </c>
      <c r="O944" s="43">
        <f t="shared" si="47"/>
        <v>0.13333333333333333</v>
      </c>
    </row>
    <row r="945" spans="1:15" x14ac:dyDescent="0.45">
      <c r="A945" s="12" t="s">
        <v>30901</v>
      </c>
      <c r="B945" s="14">
        <v>298000</v>
      </c>
      <c r="C945" s="14">
        <v>345000</v>
      </c>
      <c r="D945" s="14">
        <v>214600</v>
      </c>
      <c r="E945" s="14">
        <v>284625</v>
      </c>
      <c r="F945" s="14">
        <v>165400</v>
      </c>
      <c r="G945" s="14">
        <v>222007</v>
      </c>
      <c r="H945" s="14">
        <v>134000</v>
      </c>
      <c r="I945" s="14">
        <v>164000</v>
      </c>
      <c r="J945" s="14">
        <v>3330</v>
      </c>
      <c r="K945" s="14">
        <v>4250</v>
      </c>
      <c r="N945" s="42">
        <f t="shared" si="46"/>
        <v>47000</v>
      </c>
      <c r="O945" s="43">
        <f t="shared" si="47"/>
        <v>0.13623188405797101</v>
      </c>
    </row>
    <row r="946" spans="1:15" x14ac:dyDescent="0.45">
      <c r="A946" s="12" t="s">
        <v>30902</v>
      </c>
      <c r="B946" s="14">
        <v>300000</v>
      </c>
      <c r="C946" s="14">
        <v>347000</v>
      </c>
      <c r="D946" s="14">
        <v>216000</v>
      </c>
      <c r="E946" s="14">
        <v>286275</v>
      </c>
      <c r="F946" s="14">
        <v>166500</v>
      </c>
      <c r="G946" s="14">
        <v>223294</v>
      </c>
      <c r="H946" s="14">
        <v>135000</v>
      </c>
      <c r="I946" s="14">
        <v>166000</v>
      </c>
      <c r="J946" s="14">
        <v>3320</v>
      </c>
      <c r="K946" s="14">
        <v>4220</v>
      </c>
      <c r="N946" s="42">
        <f t="shared" si="46"/>
        <v>47000</v>
      </c>
      <c r="O946" s="43">
        <f t="shared" si="47"/>
        <v>0.13544668587896252</v>
      </c>
    </row>
    <row r="947" spans="1:15" x14ac:dyDescent="0.45">
      <c r="A947" s="12" t="s">
        <v>30903</v>
      </c>
      <c r="B947" s="14">
        <v>300000</v>
      </c>
      <c r="C947" s="14">
        <v>346500</v>
      </c>
      <c r="D947" s="14">
        <v>216000</v>
      </c>
      <c r="E947" s="14">
        <v>285862</v>
      </c>
      <c r="F947" s="14">
        <v>166500</v>
      </c>
      <c r="G947" s="14">
        <v>222972</v>
      </c>
      <c r="H947" s="14">
        <v>134000</v>
      </c>
      <c r="I947" s="14">
        <v>164000</v>
      </c>
      <c r="J947" s="14">
        <v>3270</v>
      </c>
      <c r="K947" s="14">
        <v>4170</v>
      </c>
      <c r="N947" s="42">
        <f t="shared" si="46"/>
        <v>46500</v>
      </c>
      <c r="O947" s="43">
        <f t="shared" si="47"/>
        <v>0.13419913419913421</v>
      </c>
    </row>
    <row r="948" spans="1:15" x14ac:dyDescent="0.45">
      <c r="A948" s="12" t="s">
        <v>30904</v>
      </c>
      <c r="B948" s="14">
        <v>298000</v>
      </c>
      <c r="C948" s="14">
        <v>344000</v>
      </c>
      <c r="D948" s="14">
        <v>214600</v>
      </c>
      <c r="E948" s="14">
        <v>283800</v>
      </c>
      <c r="F948" s="14">
        <v>165400</v>
      </c>
      <c r="G948" s="14">
        <v>221364</v>
      </c>
      <c r="H948" s="14">
        <v>135000</v>
      </c>
      <c r="I948" s="14">
        <v>166000</v>
      </c>
      <c r="J948" s="14">
        <v>3250</v>
      </c>
      <c r="K948" s="14">
        <v>4140</v>
      </c>
      <c r="N948" s="42">
        <f t="shared" si="46"/>
        <v>46000</v>
      </c>
      <c r="O948" s="43">
        <f t="shared" si="47"/>
        <v>0.13372093023255813</v>
      </c>
    </row>
    <row r="949" spans="1:15" x14ac:dyDescent="0.45">
      <c r="A949" s="12" t="s">
        <v>30905</v>
      </c>
      <c r="B949" s="14">
        <v>298000</v>
      </c>
      <c r="C949" s="14">
        <v>345000</v>
      </c>
      <c r="D949" s="14">
        <v>214600</v>
      </c>
      <c r="E949" s="14">
        <v>284625</v>
      </c>
      <c r="F949" s="14">
        <v>165400</v>
      </c>
      <c r="G949" s="14">
        <v>222007</v>
      </c>
      <c r="H949" s="14">
        <v>138000</v>
      </c>
      <c r="I949" s="14">
        <v>169000</v>
      </c>
      <c r="J949" s="14">
        <v>3330</v>
      </c>
      <c r="K949" s="14">
        <v>4250</v>
      </c>
      <c r="N949" s="42">
        <f t="shared" si="46"/>
        <v>47000</v>
      </c>
      <c r="O949" s="43">
        <f t="shared" si="47"/>
        <v>0.13623188405797101</v>
      </c>
    </row>
    <row r="950" spans="1:15" x14ac:dyDescent="0.45">
      <c r="A950" s="12" t="s">
        <v>30906</v>
      </c>
      <c r="B950" s="14">
        <v>299000</v>
      </c>
      <c r="C950" s="14">
        <v>345500</v>
      </c>
      <c r="D950" s="14">
        <v>215300</v>
      </c>
      <c r="E950" s="14">
        <v>285037</v>
      </c>
      <c r="F950" s="14">
        <v>166000</v>
      </c>
      <c r="G950" s="14">
        <v>222329</v>
      </c>
      <c r="H950" s="14">
        <v>140000</v>
      </c>
      <c r="I950" s="14">
        <v>171000</v>
      </c>
      <c r="J950" s="14">
        <v>3360</v>
      </c>
      <c r="K950" s="14">
        <v>4380</v>
      </c>
      <c r="N950" s="42">
        <f t="shared" si="46"/>
        <v>46500</v>
      </c>
      <c r="O950" s="43">
        <f t="shared" si="47"/>
        <v>0.1345875542691751</v>
      </c>
    </row>
    <row r="951" spans="1:15" x14ac:dyDescent="0.45">
      <c r="A951" s="12" t="s">
        <v>30907</v>
      </c>
      <c r="B951" s="14">
        <v>297000</v>
      </c>
      <c r="C951" s="14">
        <v>345000</v>
      </c>
      <c r="D951" s="14">
        <v>213900</v>
      </c>
      <c r="E951" s="14">
        <v>284625</v>
      </c>
      <c r="F951" s="14">
        <v>164900</v>
      </c>
      <c r="G951" s="14">
        <v>222007</v>
      </c>
      <c r="H951" s="14">
        <v>140000</v>
      </c>
      <c r="I951" s="14">
        <v>171000</v>
      </c>
      <c r="J951" s="14">
        <v>3370</v>
      </c>
      <c r="K951" s="14">
        <v>4390</v>
      </c>
      <c r="N951" s="42">
        <f t="shared" si="46"/>
        <v>48000</v>
      </c>
      <c r="O951" s="43">
        <f t="shared" si="47"/>
        <v>0.1391304347826087</v>
      </c>
    </row>
    <row r="952" spans="1:15" x14ac:dyDescent="0.45">
      <c r="A952" s="12" t="s">
        <v>30908</v>
      </c>
      <c r="B952" s="14">
        <v>294000</v>
      </c>
      <c r="C952" s="14">
        <v>342000</v>
      </c>
      <c r="D952" s="14">
        <v>211700</v>
      </c>
      <c r="E952" s="14">
        <v>282150</v>
      </c>
      <c r="F952" s="14">
        <v>163200</v>
      </c>
      <c r="G952" s="14">
        <v>220077</v>
      </c>
      <c r="H952" s="14">
        <v>140000</v>
      </c>
      <c r="I952" s="14">
        <v>170000</v>
      </c>
      <c r="J952" s="14">
        <v>3320</v>
      </c>
      <c r="K952" s="14">
        <v>4320</v>
      </c>
      <c r="N952" s="42">
        <f t="shared" si="46"/>
        <v>48000</v>
      </c>
      <c r="O952" s="43">
        <f t="shared" si="47"/>
        <v>0.14035087719298245</v>
      </c>
    </row>
    <row r="953" spans="1:15" x14ac:dyDescent="0.45">
      <c r="A953" s="12" t="s">
        <v>30909</v>
      </c>
      <c r="B953" s="14">
        <v>294000</v>
      </c>
      <c r="C953" s="14">
        <v>343000</v>
      </c>
      <c r="D953" s="14">
        <v>211700</v>
      </c>
      <c r="E953" s="14">
        <v>282975</v>
      </c>
      <c r="F953" s="14">
        <v>163200</v>
      </c>
      <c r="G953" s="14">
        <v>220720</v>
      </c>
      <c r="H953" s="14">
        <v>140000</v>
      </c>
      <c r="I953" s="14">
        <v>170000</v>
      </c>
      <c r="J953" s="14">
        <v>3280</v>
      </c>
      <c r="K953" s="14">
        <v>4320</v>
      </c>
      <c r="N953" s="42">
        <f t="shared" si="46"/>
        <v>49000</v>
      </c>
      <c r="O953" s="43">
        <f t="shared" si="47"/>
        <v>0.14285714285714285</v>
      </c>
    </row>
    <row r="954" spans="1:15" x14ac:dyDescent="0.45">
      <c r="A954" s="12" t="s">
        <v>30910</v>
      </c>
      <c r="B954" s="14">
        <v>297000</v>
      </c>
      <c r="C954" s="14">
        <v>345000</v>
      </c>
      <c r="D954" s="14">
        <v>213900</v>
      </c>
      <c r="E954" s="14">
        <v>284625</v>
      </c>
      <c r="F954" s="14">
        <v>164900</v>
      </c>
      <c r="G954" s="14">
        <v>222007</v>
      </c>
      <c r="H954" s="14">
        <v>142000</v>
      </c>
      <c r="I954" s="14">
        <v>174000</v>
      </c>
      <c r="J954" s="14">
        <v>3320</v>
      </c>
      <c r="K954" s="14">
        <v>4370</v>
      </c>
      <c r="N954" s="42">
        <f t="shared" si="46"/>
        <v>48000</v>
      </c>
      <c r="O954" s="43">
        <f t="shared" si="47"/>
        <v>0.1391304347826087</v>
      </c>
    </row>
    <row r="955" spans="1:15" x14ac:dyDescent="0.45">
      <c r="A955" s="12" t="s">
        <v>30911</v>
      </c>
      <c r="B955" s="14">
        <v>300000</v>
      </c>
      <c r="C955" s="14">
        <v>348000</v>
      </c>
      <c r="D955" s="14">
        <v>216000</v>
      </c>
      <c r="E955" s="14">
        <v>287100</v>
      </c>
      <c r="F955" s="14">
        <v>166500</v>
      </c>
      <c r="G955" s="14">
        <v>223938</v>
      </c>
      <c r="H955" s="14">
        <v>145000</v>
      </c>
      <c r="I955" s="14">
        <v>177000</v>
      </c>
      <c r="J955" s="14">
        <v>3330</v>
      </c>
      <c r="K955" s="14">
        <v>4430</v>
      </c>
      <c r="N955" s="42">
        <f t="shared" si="46"/>
        <v>48000</v>
      </c>
      <c r="O955" s="43">
        <f t="shared" si="47"/>
        <v>0.13793103448275862</v>
      </c>
    </row>
    <row r="956" spans="1:15" x14ac:dyDescent="0.45">
      <c r="A956" s="12" t="s">
        <v>30912</v>
      </c>
      <c r="B956" s="14">
        <v>300000</v>
      </c>
      <c r="C956" s="14">
        <v>348000</v>
      </c>
      <c r="D956" s="14">
        <v>216000</v>
      </c>
      <c r="E956" s="14">
        <v>287100</v>
      </c>
      <c r="F956" s="14">
        <v>166500</v>
      </c>
      <c r="G956" s="14">
        <v>223938</v>
      </c>
      <c r="H956" s="14">
        <v>145000</v>
      </c>
      <c r="I956" s="14">
        <v>177000</v>
      </c>
      <c r="J956" s="14">
        <v>3340</v>
      </c>
      <c r="K956" s="14">
        <v>4430</v>
      </c>
      <c r="N956" s="42">
        <f t="shared" si="46"/>
        <v>48000</v>
      </c>
      <c r="O956" s="43">
        <f t="shared" si="47"/>
        <v>0.13793103448275862</v>
      </c>
    </row>
    <row r="957" spans="1:15" x14ac:dyDescent="0.45">
      <c r="A957" s="12" t="s">
        <v>30913</v>
      </c>
      <c r="B957" s="14">
        <v>303000</v>
      </c>
      <c r="C957" s="14">
        <v>350000</v>
      </c>
      <c r="D957" s="14">
        <v>218200</v>
      </c>
      <c r="E957" s="14">
        <v>288750</v>
      </c>
      <c r="F957" s="14">
        <v>168200</v>
      </c>
      <c r="G957" s="14">
        <v>225225</v>
      </c>
      <c r="H957" s="14">
        <v>146000</v>
      </c>
      <c r="I957" s="14">
        <v>179000</v>
      </c>
      <c r="J957" s="14">
        <v>3310</v>
      </c>
      <c r="K957" s="14">
        <v>4440</v>
      </c>
      <c r="N957" s="42">
        <f t="shared" si="46"/>
        <v>47000</v>
      </c>
      <c r="O957" s="43">
        <f t="shared" si="47"/>
        <v>0.13428571428571429</v>
      </c>
    </row>
    <row r="958" spans="1:15" x14ac:dyDescent="0.45">
      <c r="A958" s="12" t="s">
        <v>30914</v>
      </c>
      <c r="B958" s="14">
        <v>301000</v>
      </c>
      <c r="C958" s="14">
        <v>352000</v>
      </c>
      <c r="D958" s="14">
        <v>216800</v>
      </c>
      <c r="E958" s="14">
        <v>290400</v>
      </c>
      <c r="F958" s="14">
        <v>167100</v>
      </c>
      <c r="G958" s="14">
        <v>226512</v>
      </c>
      <c r="H958" s="14">
        <v>151000</v>
      </c>
      <c r="I958" s="14">
        <v>184000</v>
      </c>
      <c r="J958" s="14">
        <v>3230</v>
      </c>
      <c r="K958" s="14">
        <v>4340</v>
      </c>
      <c r="N958" s="42">
        <f t="shared" si="46"/>
        <v>51000</v>
      </c>
      <c r="O958" s="43">
        <f t="shared" si="47"/>
        <v>0.14488636363636365</v>
      </c>
    </row>
    <row r="959" spans="1:15" x14ac:dyDescent="0.45">
      <c r="A959" s="12" t="s">
        <v>30915</v>
      </c>
      <c r="B959" s="14">
        <v>302000</v>
      </c>
      <c r="C959" s="14">
        <v>351500</v>
      </c>
      <c r="D959" s="14">
        <v>217500</v>
      </c>
      <c r="E959" s="14">
        <v>289987</v>
      </c>
      <c r="F959" s="14">
        <v>167700</v>
      </c>
      <c r="G959" s="14">
        <v>226190</v>
      </c>
      <c r="H959" s="14">
        <v>149000</v>
      </c>
      <c r="I959" s="14">
        <v>183000</v>
      </c>
      <c r="J959" s="14">
        <v>3240</v>
      </c>
      <c r="K959" s="14">
        <v>4360</v>
      </c>
      <c r="N959" s="42">
        <f t="shared" si="46"/>
        <v>49500</v>
      </c>
      <c r="O959" s="43">
        <f t="shared" si="47"/>
        <v>0.14082503556187767</v>
      </c>
    </row>
    <row r="960" spans="1:15" x14ac:dyDescent="0.45">
      <c r="A960" s="12" t="s">
        <v>30916</v>
      </c>
      <c r="B960" s="14">
        <v>302000</v>
      </c>
      <c r="C960" s="14">
        <v>351000</v>
      </c>
      <c r="D960" s="14">
        <v>217500</v>
      </c>
      <c r="E960" s="14">
        <v>289575</v>
      </c>
      <c r="F960" s="14">
        <v>167700</v>
      </c>
      <c r="G960" s="14">
        <v>225868</v>
      </c>
      <c r="H960" s="14">
        <v>147000</v>
      </c>
      <c r="I960" s="14">
        <v>180000</v>
      </c>
      <c r="J960" s="14">
        <v>3250</v>
      </c>
      <c r="K960" s="14">
        <v>4370</v>
      </c>
      <c r="N960" s="42">
        <f t="shared" si="46"/>
        <v>49000</v>
      </c>
      <c r="O960" s="43">
        <f t="shared" si="47"/>
        <v>0.1396011396011396</v>
      </c>
    </row>
    <row r="961" spans="1:15" x14ac:dyDescent="0.45">
      <c r="A961" s="12" t="s">
        <v>30917</v>
      </c>
      <c r="B961" s="14">
        <v>302000</v>
      </c>
      <c r="C961" s="14">
        <v>351000</v>
      </c>
      <c r="D961" s="14">
        <v>217500</v>
      </c>
      <c r="E961" s="14">
        <v>289575</v>
      </c>
      <c r="F961" s="14">
        <v>167700</v>
      </c>
      <c r="G961" s="14">
        <v>225868</v>
      </c>
      <c r="H961" s="14">
        <v>146000</v>
      </c>
      <c r="I961" s="14">
        <v>179000</v>
      </c>
      <c r="J961" s="14">
        <v>3250</v>
      </c>
      <c r="K961" s="14">
        <v>4370</v>
      </c>
      <c r="N961" s="42">
        <f t="shared" si="46"/>
        <v>49000</v>
      </c>
      <c r="O961" s="43">
        <f t="shared" si="47"/>
        <v>0.1396011396011396</v>
      </c>
    </row>
    <row r="962" spans="1:15" x14ac:dyDescent="0.45">
      <c r="A962" s="12" t="s">
        <v>30918</v>
      </c>
      <c r="B962" s="14">
        <v>306000</v>
      </c>
      <c r="C962" s="14">
        <v>357000</v>
      </c>
      <c r="D962" s="14">
        <v>220400</v>
      </c>
      <c r="E962" s="14">
        <v>294525</v>
      </c>
      <c r="F962" s="14">
        <v>169900</v>
      </c>
      <c r="G962" s="14">
        <v>229729</v>
      </c>
      <c r="H962" s="14">
        <v>147000</v>
      </c>
      <c r="I962" s="14">
        <v>180000</v>
      </c>
      <c r="J962" s="14">
        <v>3270</v>
      </c>
      <c r="K962" s="14">
        <v>4400</v>
      </c>
      <c r="N962" s="42">
        <f t="shared" si="46"/>
        <v>51000</v>
      </c>
      <c r="O962" s="43">
        <f t="shared" si="47"/>
        <v>0.14285714285714285</v>
      </c>
    </row>
    <row r="963" spans="1:15" x14ac:dyDescent="0.45">
      <c r="A963" s="12" t="s">
        <v>30919</v>
      </c>
      <c r="B963" s="14">
        <v>304000</v>
      </c>
      <c r="C963" s="14">
        <v>353000</v>
      </c>
      <c r="D963" s="14">
        <v>218900</v>
      </c>
      <c r="E963" s="14">
        <v>291225</v>
      </c>
      <c r="F963" s="14">
        <v>168800</v>
      </c>
      <c r="G963" s="14">
        <v>227155</v>
      </c>
      <c r="H963" s="14">
        <v>152000</v>
      </c>
      <c r="I963" s="14">
        <v>186000</v>
      </c>
      <c r="J963" s="14">
        <v>3220</v>
      </c>
      <c r="K963" s="14">
        <v>4340</v>
      </c>
      <c r="N963" s="42">
        <f t="shared" si="46"/>
        <v>49000</v>
      </c>
      <c r="O963" s="43">
        <f t="shared" si="47"/>
        <v>0.13881019830028329</v>
      </c>
    </row>
    <row r="964" spans="1:15" x14ac:dyDescent="0.45">
      <c r="A964" s="12" t="s">
        <v>30920</v>
      </c>
      <c r="B964" s="14">
        <v>305000</v>
      </c>
      <c r="C964" s="14">
        <v>354000</v>
      </c>
      <c r="D964" s="14">
        <v>219600</v>
      </c>
      <c r="E964" s="14">
        <v>292050</v>
      </c>
      <c r="F964" s="14">
        <v>169300</v>
      </c>
      <c r="G964" s="14">
        <v>227799</v>
      </c>
      <c r="H964" s="14">
        <v>151000</v>
      </c>
      <c r="I964" s="14">
        <v>185000</v>
      </c>
      <c r="J964" s="14">
        <v>3240</v>
      </c>
      <c r="K964" s="14">
        <v>4370</v>
      </c>
      <c r="N964" s="42">
        <f t="shared" si="46"/>
        <v>49000</v>
      </c>
      <c r="O964" s="43">
        <f t="shared" si="47"/>
        <v>0.1384180790960452</v>
      </c>
    </row>
    <row r="965" spans="1:15" x14ac:dyDescent="0.45">
      <c r="A965" s="12" t="s">
        <v>30921</v>
      </c>
      <c r="B965" s="14">
        <v>305000</v>
      </c>
      <c r="C965" s="14">
        <v>355000</v>
      </c>
      <c r="D965" s="14">
        <v>219600</v>
      </c>
      <c r="E965" s="14">
        <v>292875</v>
      </c>
      <c r="F965" s="14">
        <v>169300</v>
      </c>
      <c r="G965" s="14">
        <v>228442</v>
      </c>
      <c r="H965" s="14">
        <v>151000</v>
      </c>
      <c r="I965" s="14">
        <v>185000</v>
      </c>
      <c r="J965" s="14">
        <v>3250</v>
      </c>
      <c r="K965" s="14">
        <v>4380</v>
      </c>
      <c r="N965" s="42">
        <f t="shared" si="46"/>
        <v>50000</v>
      </c>
      <c r="O965" s="43">
        <f t="shared" si="47"/>
        <v>0.14084507042253522</v>
      </c>
    </row>
    <row r="966" spans="1:15" x14ac:dyDescent="0.45">
      <c r="A966" s="12" t="s">
        <v>30922</v>
      </c>
      <c r="B966" s="14">
        <v>305000</v>
      </c>
      <c r="C966" s="14">
        <v>355000</v>
      </c>
      <c r="D966" s="14">
        <v>219600</v>
      </c>
      <c r="E966" s="14">
        <v>292875</v>
      </c>
      <c r="F966" s="14">
        <v>169300</v>
      </c>
      <c r="G966" s="14">
        <v>228442</v>
      </c>
      <c r="H966" s="14">
        <v>152000</v>
      </c>
      <c r="I966" s="14">
        <v>186000</v>
      </c>
      <c r="J966" s="14">
        <v>3180</v>
      </c>
      <c r="K966" s="14">
        <v>4310</v>
      </c>
      <c r="N966" s="42">
        <f t="shared" si="46"/>
        <v>50000</v>
      </c>
      <c r="O966" s="43">
        <f t="shared" si="47"/>
        <v>0.14084507042253522</v>
      </c>
    </row>
    <row r="967" spans="1:15" x14ac:dyDescent="0.45">
      <c r="A967" s="12" t="s">
        <v>30923</v>
      </c>
      <c r="B967" s="14">
        <v>308000</v>
      </c>
      <c r="C967" s="14">
        <v>358000</v>
      </c>
      <c r="D967" s="14">
        <v>221800</v>
      </c>
      <c r="E967" s="14">
        <v>295350</v>
      </c>
      <c r="F967" s="14">
        <v>171000</v>
      </c>
      <c r="G967" s="14">
        <v>230373</v>
      </c>
      <c r="H967" s="14">
        <v>156000</v>
      </c>
      <c r="I967" s="14">
        <v>189000</v>
      </c>
      <c r="J967" s="14">
        <v>3260</v>
      </c>
      <c r="K967" s="14">
        <v>4390</v>
      </c>
      <c r="N967" s="42">
        <f t="shared" si="46"/>
        <v>50000</v>
      </c>
      <c r="O967" s="43">
        <f t="shared" si="47"/>
        <v>0.13966480446927373</v>
      </c>
    </row>
    <row r="968" spans="1:15" x14ac:dyDescent="0.45">
      <c r="A968" s="12" t="s">
        <v>30924</v>
      </c>
      <c r="B968" s="14">
        <v>306000</v>
      </c>
      <c r="C968" s="14">
        <v>355000</v>
      </c>
      <c r="D968" s="14">
        <v>220400</v>
      </c>
      <c r="E968" s="14">
        <v>292875</v>
      </c>
      <c r="F968" s="14">
        <v>169900</v>
      </c>
      <c r="G968" s="14">
        <v>228442</v>
      </c>
      <c r="H968" s="14">
        <v>156000</v>
      </c>
      <c r="I968" s="14">
        <v>190000</v>
      </c>
      <c r="J968" s="14">
        <v>3260</v>
      </c>
      <c r="K968" s="14">
        <v>4380</v>
      </c>
      <c r="N968" s="42">
        <f t="shared" si="46"/>
        <v>49000</v>
      </c>
      <c r="O968" s="43">
        <f t="shared" si="47"/>
        <v>0.13802816901408452</v>
      </c>
    </row>
    <row r="969" spans="1:15" x14ac:dyDescent="0.45">
      <c r="A969" s="12" t="s">
        <v>30925</v>
      </c>
      <c r="B969" s="14">
        <v>309000</v>
      </c>
      <c r="C969" s="14">
        <v>357500</v>
      </c>
      <c r="D969" s="14">
        <v>222500</v>
      </c>
      <c r="E969" s="14">
        <v>294937</v>
      </c>
      <c r="F969" s="14">
        <v>171500</v>
      </c>
      <c r="G969" s="14">
        <v>230051</v>
      </c>
      <c r="H969" s="14">
        <v>156000</v>
      </c>
      <c r="I969" s="14">
        <v>190000</v>
      </c>
      <c r="J969" s="14">
        <v>3280</v>
      </c>
      <c r="K969" s="14">
        <v>4430</v>
      </c>
      <c r="N969" s="42">
        <f t="shared" si="46"/>
        <v>48500</v>
      </c>
      <c r="O969" s="43">
        <f t="shared" si="47"/>
        <v>0.13566433566433567</v>
      </c>
    </row>
    <row r="970" spans="1:15" x14ac:dyDescent="0.45">
      <c r="A970" s="12" t="s">
        <v>30926</v>
      </c>
      <c r="B970" s="14">
        <v>309000</v>
      </c>
      <c r="C970" s="14">
        <v>360000</v>
      </c>
      <c r="D970" s="14">
        <v>222500</v>
      </c>
      <c r="E970" s="14">
        <v>297000</v>
      </c>
      <c r="F970" s="14">
        <v>171500</v>
      </c>
      <c r="G970" s="14">
        <v>231660</v>
      </c>
      <c r="H970" s="14">
        <v>157000</v>
      </c>
      <c r="I970" s="14">
        <v>192000</v>
      </c>
      <c r="J970" s="14">
        <v>3330</v>
      </c>
      <c r="K970" s="14">
        <v>4480</v>
      </c>
      <c r="N970" s="42">
        <f t="shared" si="46"/>
        <v>51000</v>
      </c>
      <c r="O970" s="43">
        <f t="shared" si="47"/>
        <v>0.14166666666666666</v>
      </c>
    </row>
    <row r="971" spans="1:15" x14ac:dyDescent="0.45">
      <c r="A971" s="12" t="s">
        <v>30927</v>
      </c>
      <c r="B971" s="14">
        <v>309000</v>
      </c>
      <c r="C971" s="14">
        <v>358500</v>
      </c>
      <c r="D971" s="14">
        <v>222500</v>
      </c>
      <c r="E971" s="14">
        <v>295762</v>
      </c>
      <c r="F971" s="14">
        <v>171500</v>
      </c>
      <c r="G971" s="14">
        <v>230694</v>
      </c>
      <c r="H971" s="14">
        <v>156000</v>
      </c>
      <c r="I971" s="14">
        <v>191000</v>
      </c>
      <c r="J971" s="14">
        <v>3290</v>
      </c>
      <c r="K971" s="14">
        <v>4450</v>
      </c>
      <c r="N971" s="42">
        <f t="shared" si="46"/>
        <v>49500</v>
      </c>
      <c r="O971" s="43">
        <f t="shared" si="47"/>
        <v>0.13807531380753138</v>
      </c>
    </row>
    <row r="972" spans="1:15" x14ac:dyDescent="0.45">
      <c r="A972" s="12" t="s">
        <v>30928</v>
      </c>
      <c r="B972" s="14">
        <v>312000</v>
      </c>
      <c r="C972" s="14">
        <v>364000</v>
      </c>
      <c r="D972" s="14">
        <v>224700</v>
      </c>
      <c r="E972" s="14">
        <v>300300</v>
      </c>
      <c r="F972" s="14">
        <v>173200</v>
      </c>
      <c r="G972" s="14">
        <v>234234</v>
      </c>
      <c r="H972" s="14">
        <v>159000</v>
      </c>
      <c r="I972" s="14">
        <v>195000</v>
      </c>
      <c r="J972" s="14">
        <v>3340</v>
      </c>
      <c r="K972" s="14">
        <v>4490</v>
      </c>
      <c r="N972" s="42">
        <f t="shared" si="46"/>
        <v>52000</v>
      </c>
      <c r="O972" s="43">
        <f t="shared" si="47"/>
        <v>0.14285714285714285</v>
      </c>
    </row>
    <row r="973" spans="1:15" x14ac:dyDescent="0.45">
      <c r="A973" s="12" t="s">
        <v>30929</v>
      </c>
      <c r="B973" s="14">
        <v>312000</v>
      </c>
      <c r="C973" s="14">
        <v>366500</v>
      </c>
      <c r="D973" s="14">
        <v>224700</v>
      </c>
      <c r="E973" s="14">
        <v>302362</v>
      </c>
      <c r="F973" s="14">
        <v>173200</v>
      </c>
      <c r="G973" s="14">
        <v>235842</v>
      </c>
      <c r="H973" s="14">
        <v>159000</v>
      </c>
      <c r="I973" s="14">
        <v>194000</v>
      </c>
      <c r="J973" s="14">
        <v>3350</v>
      </c>
      <c r="K973" s="14">
        <v>4500</v>
      </c>
      <c r="N973" s="42">
        <f t="shared" si="46"/>
        <v>54500</v>
      </c>
      <c r="O973" s="43">
        <f t="shared" si="47"/>
        <v>0.14870395634379263</v>
      </c>
    </row>
    <row r="974" spans="1:15" x14ac:dyDescent="0.45">
      <c r="A974" s="12" t="s">
        <v>30930</v>
      </c>
      <c r="B974" s="14">
        <v>313000</v>
      </c>
      <c r="C974" s="14">
        <v>368500</v>
      </c>
      <c r="D974" s="14">
        <v>225400</v>
      </c>
      <c r="E974" s="14">
        <v>304012</v>
      </c>
      <c r="F974" s="14">
        <v>173800</v>
      </c>
      <c r="G974" s="14">
        <v>237129</v>
      </c>
      <c r="H974" s="14">
        <v>158000</v>
      </c>
      <c r="I974" s="14">
        <v>193000</v>
      </c>
      <c r="J974" s="14">
        <v>3370</v>
      </c>
      <c r="K974" s="14">
        <v>4540</v>
      </c>
      <c r="N974" s="42">
        <f t="shared" si="46"/>
        <v>55500</v>
      </c>
      <c r="O974" s="43">
        <f t="shared" si="47"/>
        <v>0.15061058344640435</v>
      </c>
    </row>
    <row r="975" spans="1:15" x14ac:dyDescent="0.45">
      <c r="A975" s="12" t="s">
        <v>30931</v>
      </c>
      <c r="B975" s="14">
        <v>313000</v>
      </c>
      <c r="C975" s="14">
        <v>370000</v>
      </c>
      <c r="D975" s="14">
        <v>225400</v>
      </c>
      <c r="E975" s="14">
        <v>305250</v>
      </c>
      <c r="F975" s="14">
        <v>173800</v>
      </c>
      <c r="G975" s="14">
        <v>238095</v>
      </c>
      <c r="H975" s="14">
        <v>157000</v>
      </c>
      <c r="I975" s="14">
        <v>193000</v>
      </c>
      <c r="J975" s="14">
        <v>3370</v>
      </c>
      <c r="K975" s="14">
        <v>4570</v>
      </c>
      <c r="N975" s="42">
        <f t="shared" si="46"/>
        <v>57000</v>
      </c>
      <c r="O975" s="43">
        <f t="shared" si="47"/>
        <v>0.15405405405405406</v>
      </c>
    </row>
    <row r="976" spans="1:15" x14ac:dyDescent="0.45">
      <c r="A976" s="12" t="s">
        <v>30932</v>
      </c>
      <c r="B976" s="14">
        <v>312000</v>
      </c>
      <c r="C976" s="14">
        <v>368000</v>
      </c>
      <c r="D976" s="14">
        <v>224700</v>
      </c>
      <c r="E976" s="14">
        <v>303600</v>
      </c>
      <c r="F976" s="14">
        <v>173200</v>
      </c>
      <c r="G976" s="14">
        <v>236808</v>
      </c>
      <c r="H976" s="14">
        <v>161000</v>
      </c>
      <c r="I976" s="14">
        <v>198000</v>
      </c>
      <c r="J976" s="14">
        <v>3370</v>
      </c>
      <c r="K976" s="14">
        <v>4580</v>
      </c>
      <c r="N976" s="42">
        <f t="shared" si="46"/>
        <v>56000</v>
      </c>
      <c r="O976" s="43">
        <f t="shared" si="47"/>
        <v>0.15217391304347827</v>
      </c>
    </row>
    <row r="977" spans="1:15" x14ac:dyDescent="0.45">
      <c r="A977" s="12" t="s">
        <v>30933</v>
      </c>
      <c r="B977" s="14">
        <v>313000</v>
      </c>
      <c r="C977" s="14">
        <v>368500</v>
      </c>
      <c r="D977" s="14">
        <v>225400</v>
      </c>
      <c r="E977" s="14">
        <v>304012</v>
      </c>
      <c r="F977" s="14">
        <v>173800</v>
      </c>
      <c r="G977" s="14">
        <v>237129</v>
      </c>
      <c r="H977" s="14">
        <v>164000</v>
      </c>
      <c r="I977" s="14">
        <v>200000</v>
      </c>
      <c r="J977" s="14">
        <v>3570</v>
      </c>
      <c r="K977" s="14">
        <v>4790</v>
      </c>
      <c r="N977" s="42">
        <f t="shared" si="46"/>
        <v>55500</v>
      </c>
      <c r="O977" s="43">
        <f t="shared" si="47"/>
        <v>0.15061058344640435</v>
      </c>
    </row>
    <row r="978" spans="1:15" x14ac:dyDescent="0.45">
      <c r="A978" s="12" t="s">
        <v>30934</v>
      </c>
      <c r="B978" s="14">
        <v>310000</v>
      </c>
      <c r="C978" s="14">
        <v>367000</v>
      </c>
      <c r="D978" s="14">
        <v>223200</v>
      </c>
      <c r="E978" s="14">
        <v>302775</v>
      </c>
      <c r="F978" s="14">
        <v>172100</v>
      </c>
      <c r="G978" s="14">
        <v>236164</v>
      </c>
      <c r="H978" s="14">
        <v>162000</v>
      </c>
      <c r="I978" s="14">
        <v>194000</v>
      </c>
      <c r="J978" s="14">
        <v>3560</v>
      </c>
      <c r="K978" s="14">
        <v>4780</v>
      </c>
      <c r="N978" s="42">
        <f t="shared" si="46"/>
        <v>57000</v>
      </c>
      <c r="O978" s="43">
        <f t="shared" si="47"/>
        <v>0.15531335149863759</v>
      </c>
    </row>
    <row r="979" spans="1:15" x14ac:dyDescent="0.45">
      <c r="A979" s="12" t="s">
        <v>30935</v>
      </c>
      <c r="B979" s="14">
        <v>310000</v>
      </c>
      <c r="C979" s="14">
        <v>366500</v>
      </c>
      <c r="D979" s="14">
        <v>223200</v>
      </c>
      <c r="E979" s="14">
        <v>302362</v>
      </c>
      <c r="F979" s="14">
        <v>172100</v>
      </c>
      <c r="G979" s="14">
        <v>235842</v>
      </c>
      <c r="H979" s="14">
        <v>160000</v>
      </c>
      <c r="I979" s="14">
        <v>191000</v>
      </c>
      <c r="J979" s="14">
        <v>3570</v>
      </c>
      <c r="K979" s="14">
        <v>4790</v>
      </c>
      <c r="N979" s="42">
        <f t="shared" si="46"/>
        <v>56500</v>
      </c>
      <c r="O979" s="43">
        <f t="shared" si="47"/>
        <v>0.15416098226466576</v>
      </c>
    </row>
    <row r="980" spans="1:15" x14ac:dyDescent="0.45">
      <c r="A980" s="12" t="s">
        <v>30936</v>
      </c>
      <c r="B980" s="14">
        <v>308000</v>
      </c>
      <c r="C980" s="14">
        <v>366000</v>
      </c>
      <c r="D980" s="14">
        <v>221800</v>
      </c>
      <c r="E980" s="14">
        <v>301950</v>
      </c>
      <c r="F980" s="14">
        <v>171000</v>
      </c>
      <c r="G980" s="14">
        <v>235521</v>
      </c>
      <c r="H980" s="14">
        <v>159000</v>
      </c>
      <c r="I980" s="14">
        <v>190000</v>
      </c>
      <c r="J980" s="14">
        <v>3560</v>
      </c>
      <c r="K980" s="14">
        <v>4790</v>
      </c>
      <c r="N980" s="42">
        <f t="shared" si="46"/>
        <v>58000</v>
      </c>
      <c r="O980" s="43">
        <f t="shared" si="47"/>
        <v>0.15846994535519127</v>
      </c>
    </row>
    <row r="981" spans="1:15" x14ac:dyDescent="0.45">
      <c r="A981" s="12" t="s">
        <v>30937</v>
      </c>
      <c r="B981" s="14">
        <v>312000</v>
      </c>
      <c r="C981" s="14">
        <v>371000</v>
      </c>
      <c r="D981" s="14">
        <v>224700</v>
      </c>
      <c r="E981" s="14">
        <v>306075</v>
      </c>
      <c r="F981" s="14">
        <v>173200</v>
      </c>
      <c r="G981" s="14">
        <v>238738</v>
      </c>
      <c r="H981" s="14">
        <v>157000</v>
      </c>
      <c r="I981" s="14">
        <v>188000</v>
      </c>
      <c r="J981" s="14">
        <v>3610</v>
      </c>
      <c r="K981" s="14">
        <v>4840</v>
      </c>
      <c r="N981" s="42">
        <f t="shared" si="46"/>
        <v>59000</v>
      </c>
      <c r="O981" s="43">
        <f t="shared" si="47"/>
        <v>0.15902964959568733</v>
      </c>
    </row>
    <row r="982" spans="1:15" x14ac:dyDescent="0.45">
      <c r="A982" s="12" t="s">
        <v>30938</v>
      </c>
      <c r="B982" s="14">
        <v>312000</v>
      </c>
      <c r="C982" s="14">
        <v>369500</v>
      </c>
      <c r="D982" s="14">
        <v>224700</v>
      </c>
      <c r="E982" s="14">
        <v>304837</v>
      </c>
      <c r="F982" s="14">
        <v>173200</v>
      </c>
      <c r="G982" s="14">
        <v>237773</v>
      </c>
      <c r="H982" s="14">
        <v>162000</v>
      </c>
      <c r="I982" s="14">
        <v>194000</v>
      </c>
      <c r="J982" s="14">
        <v>3560</v>
      </c>
      <c r="K982" s="14">
        <v>4770</v>
      </c>
      <c r="N982" s="42">
        <f t="shared" si="46"/>
        <v>57500</v>
      </c>
      <c r="O982" s="43">
        <f t="shared" si="47"/>
        <v>0.15561569688768606</v>
      </c>
    </row>
    <row r="983" spans="1:15" x14ac:dyDescent="0.45">
      <c r="A983" s="12" t="s">
        <v>30939</v>
      </c>
      <c r="B983" s="14">
        <v>308000</v>
      </c>
      <c r="C983" s="14">
        <v>365000</v>
      </c>
      <c r="D983" s="14">
        <v>221800</v>
      </c>
      <c r="E983" s="14">
        <v>301125</v>
      </c>
      <c r="F983" s="14">
        <v>171000</v>
      </c>
      <c r="G983" s="14">
        <v>234877</v>
      </c>
      <c r="H983" s="14">
        <v>161000</v>
      </c>
      <c r="I983" s="14">
        <v>192000</v>
      </c>
      <c r="J983" s="14">
        <v>3530</v>
      </c>
      <c r="K983" s="14">
        <v>4730</v>
      </c>
      <c r="N983" s="42">
        <f t="shared" si="46"/>
        <v>57000</v>
      </c>
      <c r="O983" s="43">
        <f t="shared" si="47"/>
        <v>0.15616438356164383</v>
      </c>
    </row>
    <row r="984" spans="1:15" x14ac:dyDescent="0.45">
      <c r="A984" s="12" t="s">
        <v>30940</v>
      </c>
      <c r="B984" s="14">
        <v>308000</v>
      </c>
      <c r="C984" s="14">
        <v>365000</v>
      </c>
      <c r="D984" s="14">
        <v>221800</v>
      </c>
      <c r="E984" s="14">
        <v>301125</v>
      </c>
      <c r="F984" s="14">
        <v>171000</v>
      </c>
      <c r="G984" s="14">
        <v>234877</v>
      </c>
      <c r="H984" s="14">
        <v>162000</v>
      </c>
      <c r="I984" s="14">
        <v>194000</v>
      </c>
      <c r="J984" s="14">
        <v>3520</v>
      </c>
      <c r="K984" s="14">
        <v>4720</v>
      </c>
      <c r="N984" s="42">
        <f t="shared" si="46"/>
        <v>57000</v>
      </c>
      <c r="O984" s="43">
        <f t="shared" si="47"/>
        <v>0.15616438356164383</v>
      </c>
    </row>
    <row r="985" spans="1:15" x14ac:dyDescent="0.45">
      <c r="A985" s="12" t="s">
        <v>30941</v>
      </c>
      <c r="B985" s="14">
        <v>308000</v>
      </c>
      <c r="C985" s="14">
        <v>365500</v>
      </c>
      <c r="D985" s="14">
        <v>221800</v>
      </c>
      <c r="E985" s="14">
        <v>301537</v>
      </c>
      <c r="F985" s="14">
        <v>171000</v>
      </c>
      <c r="G985" s="14">
        <v>235199</v>
      </c>
      <c r="H985" s="14">
        <v>164000</v>
      </c>
      <c r="I985" s="14">
        <v>196000</v>
      </c>
      <c r="J985" s="14">
        <v>3530</v>
      </c>
      <c r="K985" s="14">
        <v>4730</v>
      </c>
      <c r="N985" s="42">
        <f t="shared" si="46"/>
        <v>57500</v>
      </c>
      <c r="O985" s="43">
        <f t="shared" si="47"/>
        <v>0.15731874145006841</v>
      </c>
    </row>
    <row r="986" spans="1:15" x14ac:dyDescent="0.45">
      <c r="A986" s="12" t="s">
        <v>30942</v>
      </c>
      <c r="B986" s="14">
        <v>308000</v>
      </c>
      <c r="C986" s="14">
        <v>365000</v>
      </c>
      <c r="D986" s="14">
        <v>221800</v>
      </c>
      <c r="E986" s="14">
        <v>301125</v>
      </c>
      <c r="F986" s="14">
        <v>171000</v>
      </c>
      <c r="G986" s="14">
        <v>234877</v>
      </c>
      <c r="H986" s="14">
        <v>165000</v>
      </c>
      <c r="I986" s="14">
        <v>197000</v>
      </c>
      <c r="J986" s="14">
        <v>3510</v>
      </c>
      <c r="K986" s="14">
        <v>4710</v>
      </c>
      <c r="N986" s="42">
        <f t="shared" si="46"/>
        <v>57000</v>
      </c>
      <c r="O986" s="43">
        <f t="shared" si="47"/>
        <v>0.15616438356164383</v>
      </c>
    </row>
    <row r="987" spans="1:15" x14ac:dyDescent="0.45">
      <c r="A987" s="12" t="s">
        <v>30943</v>
      </c>
      <c r="B987" s="14">
        <v>309000</v>
      </c>
      <c r="C987" s="14">
        <v>367500</v>
      </c>
      <c r="D987" s="14">
        <v>222500</v>
      </c>
      <c r="E987" s="14">
        <v>303187</v>
      </c>
      <c r="F987" s="14">
        <v>171500</v>
      </c>
      <c r="G987" s="14">
        <v>236486</v>
      </c>
      <c r="H987" s="14">
        <v>167000</v>
      </c>
      <c r="I987" s="14">
        <v>199000</v>
      </c>
      <c r="J987" s="14">
        <v>3530</v>
      </c>
      <c r="K987" s="14">
        <v>4730</v>
      </c>
      <c r="N987" s="42">
        <f t="shared" si="46"/>
        <v>58500</v>
      </c>
      <c r="O987" s="43">
        <f t="shared" si="47"/>
        <v>0.15918367346938775</v>
      </c>
    </row>
    <row r="988" spans="1:15" x14ac:dyDescent="0.45">
      <c r="A988" s="12" t="s">
        <v>30944</v>
      </c>
      <c r="B988" s="14">
        <v>309000</v>
      </c>
      <c r="C988" s="14">
        <v>366500</v>
      </c>
      <c r="D988" s="14">
        <v>222500</v>
      </c>
      <c r="E988" s="14">
        <v>302362</v>
      </c>
      <c r="F988" s="14">
        <v>171500</v>
      </c>
      <c r="G988" s="14">
        <v>235842</v>
      </c>
      <c r="H988" s="14">
        <v>166000</v>
      </c>
      <c r="I988" s="14">
        <v>199000</v>
      </c>
      <c r="J988" s="14">
        <v>3520</v>
      </c>
      <c r="K988" s="14">
        <v>4730</v>
      </c>
      <c r="N988" s="42">
        <f t="shared" si="46"/>
        <v>57500</v>
      </c>
      <c r="O988" s="43">
        <f t="shared" si="47"/>
        <v>0.15688949522510232</v>
      </c>
    </row>
    <row r="989" spans="1:15" x14ac:dyDescent="0.45">
      <c r="A989" s="12" t="s">
        <v>30945</v>
      </c>
      <c r="B989" s="14">
        <v>307000</v>
      </c>
      <c r="C989" s="14">
        <v>365000</v>
      </c>
      <c r="D989" s="14">
        <v>221100</v>
      </c>
      <c r="E989" s="14">
        <v>301125</v>
      </c>
      <c r="F989" s="14">
        <v>170400</v>
      </c>
      <c r="G989" s="14">
        <v>234877</v>
      </c>
      <c r="H989" s="14">
        <v>165000</v>
      </c>
      <c r="I989" s="14">
        <v>198000</v>
      </c>
      <c r="J989" s="14">
        <v>3540</v>
      </c>
      <c r="K989" s="14">
        <v>4740</v>
      </c>
      <c r="N989" s="42">
        <f t="shared" si="46"/>
        <v>58000</v>
      </c>
      <c r="O989" s="43">
        <f t="shared" si="47"/>
        <v>0.15890410958904111</v>
      </c>
    </row>
    <row r="990" spans="1:15" x14ac:dyDescent="0.45">
      <c r="A990" s="12" t="s">
        <v>30946</v>
      </c>
      <c r="B990" s="14">
        <v>306000</v>
      </c>
      <c r="C990" s="14">
        <v>363000</v>
      </c>
      <c r="D990" s="14">
        <v>220400</v>
      </c>
      <c r="E990" s="14">
        <v>299475</v>
      </c>
      <c r="F990" s="14">
        <v>169900</v>
      </c>
      <c r="G990" s="14">
        <v>233590</v>
      </c>
      <c r="H990" s="14">
        <v>167000</v>
      </c>
      <c r="I990" s="14">
        <v>200000</v>
      </c>
      <c r="J990" s="14">
        <v>3490</v>
      </c>
      <c r="K990" s="14">
        <v>4690</v>
      </c>
      <c r="N990" s="42">
        <f t="shared" si="46"/>
        <v>57000</v>
      </c>
      <c r="O990" s="43">
        <f t="shared" si="47"/>
        <v>0.15702479338842976</v>
      </c>
    </row>
    <row r="991" spans="1:15" x14ac:dyDescent="0.45">
      <c r="A991" s="12" t="s">
        <v>30947</v>
      </c>
      <c r="B991" s="14">
        <v>306000</v>
      </c>
      <c r="C991" s="14">
        <v>363000</v>
      </c>
      <c r="D991" s="14">
        <v>220400</v>
      </c>
      <c r="E991" s="14">
        <v>299475</v>
      </c>
      <c r="F991" s="14">
        <v>169900</v>
      </c>
      <c r="G991" s="14">
        <v>233590</v>
      </c>
      <c r="H991" s="14">
        <v>169000</v>
      </c>
      <c r="I991" s="14">
        <v>203000</v>
      </c>
      <c r="J991" s="14">
        <v>3430</v>
      </c>
      <c r="K991" s="14">
        <v>4730</v>
      </c>
      <c r="N991" s="42">
        <f t="shared" si="46"/>
        <v>57000</v>
      </c>
      <c r="O991" s="43">
        <f t="shared" si="47"/>
        <v>0.15702479338842976</v>
      </c>
    </row>
    <row r="992" spans="1:15" x14ac:dyDescent="0.45">
      <c r="A992" s="12" t="s">
        <v>30948</v>
      </c>
      <c r="B992" s="14">
        <v>307000</v>
      </c>
      <c r="C992" s="14">
        <v>363000</v>
      </c>
      <c r="D992" s="14">
        <v>221100</v>
      </c>
      <c r="E992" s="14">
        <v>299475</v>
      </c>
      <c r="F992" s="14">
        <v>170400</v>
      </c>
      <c r="G992" s="14">
        <v>233590</v>
      </c>
      <c r="H992" s="14">
        <v>163000</v>
      </c>
      <c r="I992" s="14">
        <v>195000</v>
      </c>
      <c r="J992" s="14">
        <v>3510</v>
      </c>
      <c r="K992" s="14">
        <v>4710</v>
      </c>
      <c r="N992" s="42">
        <f t="shared" si="46"/>
        <v>56000</v>
      </c>
      <c r="O992" s="43">
        <f t="shared" si="47"/>
        <v>0.15426997245179064</v>
      </c>
    </row>
    <row r="993" spans="1:15" x14ac:dyDescent="0.45">
      <c r="A993" s="12" t="s">
        <v>30949</v>
      </c>
      <c r="B993" s="14">
        <v>306000</v>
      </c>
      <c r="C993" s="14">
        <v>363000</v>
      </c>
      <c r="D993" s="14">
        <v>220400</v>
      </c>
      <c r="E993" s="14">
        <v>299475</v>
      </c>
      <c r="F993" s="14">
        <v>169900</v>
      </c>
      <c r="G993" s="14">
        <v>233590</v>
      </c>
      <c r="H993" s="14">
        <v>162000</v>
      </c>
      <c r="I993" s="14">
        <v>194000</v>
      </c>
      <c r="J993" s="14">
        <v>3500</v>
      </c>
      <c r="K993" s="14">
        <v>4700</v>
      </c>
      <c r="N993" s="42">
        <f t="shared" si="46"/>
        <v>57000</v>
      </c>
      <c r="O993" s="43">
        <f t="shared" si="47"/>
        <v>0.15702479338842976</v>
      </c>
    </row>
    <row r="994" spans="1:15" x14ac:dyDescent="0.45">
      <c r="A994" s="12" t="s">
        <v>30950</v>
      </c>
      <c r="B994" s="14">
        <v>305000</v>
      </c>
      <c r="C994" s="14">
        <v>362000</v>
      </c>
      <c r="D994" s="14">
        <v>219600</v>
      </c>
      <c r="E994" s="14">
        <v>298650</v>
      </c>
      <c r="F994" s="14">
        <v>169300</v>
      </c>
      <c r="G994" s="14">
        <v>232947</v>
      </c>
      <c r="H994" s="14">
        <v>155000</v>
      </c>
      <c r="I994" s="14">
        <v>185000</v>
      </c>
      <c r="J994" s="14">
        <v>3510</v>
      </c>
      <c r="K994" s="14">
        <v>4710</v>
      </c>
      <c r="N994" s="42">
        <f t="shared" si="46"/>
        <v>57000</v>
      </c>
      <c r="O994" s="43">
        <f t="shared" si="47"/>
        <v>0.15745856353591159</v>
      </c>
    </row>
    <row r="995" spans="1:15" x14ac:dyDescent="0.45">
      <c r="A995" s="12" t="s">
        <v>30951</v>
      </c>
      <c r="B995" s="14">
        <v>301000</v>
      </c>
      <c r="C995" s="14">
        <v>360000</v>
      </c>
      <c r="D995" s="14">
        <v>216800</v>
      </c>
      <c r="E995" s="14">
        <v>297000</v>
      </c>
      <c r="F995" s="14">
        <v>167100</v>
      </c>
      <c r="G995" s="14">
        <v>231660</v>
      </c>
      <c r="H995" s="14">
        <v>155000</v>
      </c>
      <c r="I995" s="14">
        <v>185000</v>
      </c>
      <c r="J995" s="14">
        <v>3490</v>
      </c>
      <c r="K995" s="14">
        <v>4690</v>
      </c>
      <c r="N995" s="42">
        <f t="shared" si="46"/>
        <v>59000</v>
      </c>
      <c r="O995" s="43">
        <f t="shared" si="47"/>
        <v>0.16388888888888889</v>
      </c>
    </row>
    <row r="996" spans="1:15" x14ac:dyDescent="0.45">
      <c r="A996" s="12" t="s">
        <v>30952</v>
      </c>
      <c r="B996" s="14">
        <v>305000</v>
      </c>
      <c r="C996" s="14">
        <v>364000</v>
      </c>
      <c r="D996" s="14">
        <v>219600</v>
      </c>
      <c r="E996" s="14">
        <v>300300</v>
      </c>
      <c r="F996" s="14">
        <v>169300</v>
      </c>
      <c r="G996" s="14">
        <v>234234</v>
      </c>
      <c r="H996" s="14">
        <v>155000</v>
      </c>
      <c r="I996" s="14">
        <v>185000</v>
      </c>
      <c r="J996" s="14">
        <v>3550</v>
      </c>
      <c r="K996" s="14">
        <v>4750</v>
      </c>
      <c r="N996" s="42">
        <f t="shared" si="46"/>
        <v>59000</v>
      </c>
      <c r="O996" s="43">
        <f t="shared" si="47"/>
        <v>0.16208791208791209</v>
      </c>
    </row>
    <row r="997" spans="1:15" x14ac:dyDescent="0.45">
      <c r="A997" s="12" t="s">
        <v>30953</v>
      </c>
      <c r="B997" s="14">
        <v>304000</v>
      </c>
      <c r="C997" s="14">
        <v>364000</v>
      </c>
      <c r="D997" s="14">
        <v>218900</v>
      </c>
      <c r="E997" s="14">
        <v>300300</v>
      </c>
      <c r="F997" s="14">
        <v>168800</v>
      </c>
      <c r="G997" s="14">
        <v>234234</v>
      </c>
      <c r="H997" s="14">
        <v>152000</v>
      </c>
      <c r="I997" s="14">
        <v>182000</v>
      </c>
      <c r="J997" s="14">
        <v>3530</v>
      </c>
      <c r="K997" s="14">
        <v>4730</v>
      </c>
      <c r="N997" s="42">
        <f t="shared" si="46"/>
        <v>60000</v>
      </c>
      <c r="O997" s="43">
        <f t="shared" si="47"/>
        <v>0.16483516483516483</v>
      </c>
    </row>
    <row r="998" spans="1:15" x14ac:dyDescent="0.45">
      <c r="A998" s="12" t="s">
        <v>30954</v>
      </c>
      <c r="B998" s="14">
        <v>305000</v>
      </c>
      <c r="C998" s="14">
        <v>367000</v>
      </c>
      <c r="D998" s="14">
        <v>219600</v>
      </c>
      <c r="E998" s="14">
        <v>302775</v>
      </c>
      <c r="F998" s="14">
        <v>169300</v>
      </c>
      <c r="G998" s="14">
        <v>236164</v>
      </c>
      <c r="H998" s="14">
        <v>151000</v>
      </c>
      <c r="I998" s="14">
        <v>181000</v>
      </c>
      <c r="J998" s="14">
        <v>3540</v>
      </c>
      <c r="K998" s="14">
        <v>4740</v>
      </c>
      <c r="N998" s="42">
        <f t="shared" si="46"/>
        <v>62000</v>
      </c>
      <c r="O998" s="43">
        <f t="shared" si="47"/>
        <v>0.16893732970027248</v>
      </c>
    </row>
    <row r="999" spans="1:15" x14ac:dyDescent="0.45">
      <c r="A999" s="12" t="s">
        <v>30955</v>
      </c>
      <c r="B999" s="14">
        <v>304000</v>
      </c>
      <c r="C999" s="14">
        <v>361000</v>
      </c>
      <c r="D999" s="14">
        <v>218900</v>
      </c>
      <c r="E999" s="14">
        <v>297825</v>
      </c>
      <c r="F999" s="14">
        <v>168800</v>
      </c>
      <c r="G999" s="14">
        <v>232303</v>
      </c>
      <c r="H999" s="14">
        <v>151000</v>
      </c>
      <c r="I999" s="14">
        <v>180000</v>
      </c>
      <c r="J999" s="14">
        <v>3430</v>
      </c>
      <c r="K999" s="14">
        <v>4590</v>
      </c>
      <c r="N999" s="42">
        <f t="shared" si="46"/>
        <v>57000</v>
      </c>
      <c r="O999" s="43">
        <f t="shared" si="47"/>
        <v>0.15789473684210525</v>
      </c>
    </row>
    <row r="1000" spans="1:15" x14ac:dyDescent="0.45">
      <c r="A1000" s="12" t="s">
        <v>30956</v>
      </c>
      <c r="B1000" s="14">
        <v>305000</v>
      </c>
      <c r="C1000" s="14">
        <v>363000</v>
      </c>
      <c r="D1000" s="14">
        <v>219600</v>
      </c>
      <c r="E1000" s="14">
        <v>299475</v>
      </c>
      <c r="F1000" s="14">
        <v>169300</v>
      </c>
      <c r="G1000" s="14">
        <v>233590</v>
      </c>
      <c r="H1000" s="14">
        <v>151000</v>
      </c>
      <c r="I1000" s="14">
        <v>181000</v>
      </c>
      <c r="J1000" s="14">
        <v>3470</v>
      </c>
      <c r="K1000" s="14">
        <v>4650</v>
      </c>
      <c r="N1000" s="42">
        <f t="shared" si="46"/>
        <v>58000</v>
      </c>
      <c r="O1000" s="43">
        <f t="shared" si="47"/>
        <v>0.15977961432506887</v>
      </c>
    </row>
    <row r="1001" spans="1:15" x14ac:dyDescent="0.45">
      <c r="A1001" s="12" t="s">
        <v>30957</v>
      </c>
      <c r="B1001" s="14">
        <v>305000</v>
      </c>
      <c r="C1001" s="14">
        <v>363500</v>
      </c>
      <c r="D1001" s="14">
        <v>219600</v>
      </c>
      <c r="E1001" s="14">
        <v>299887</v>
      </c>
      <c r="F1001" s="14">
        <v>169300</v>
      </c>
      <c r="G1001" s="14">
        <v>233912</v>
      </c>
      <c r="H1001" s="14">
        <v>151000</v>
      </c>
      <c r="I1001" s="14">
        <v>181000</v>
      </c>
      <c r="J1001" s="14">
        <v>3480</v>
      </c>
      <c r="K1001" s="14">
        <v>4650</v>
      </c>
      <c r="N1001" s="42">
        <f t="shared" si="46"/>
        <v>58500</v>
      </c>
      <c r="O1001" s="43">
        <f t="shared" si="47"/>
        <v>0.1609353507565337</v>
      </c>
    </row>
    <row r="1002" spans="1:15" x14ac:dyDescent="0.45">
      <c r="A1002" s="12" t="s">
        <v>30958</v>
      </c>
      <c r="B1002" s="14">
        <v>305000</v>
      </c>
      <c r="C1002" s="14">
        <v>364000</v>
      </c>
      <c r="D1002" s="14">
        <v>219600</v>
      </c>
      <c r="E1002" s="14">
        <v>300300</v>
      </c>
      <c r="F1002" s="14">
        <v>169300</v>
      </c>
      <c r="G1002" s="14">
        <v>234234</v>
      </c>
      <c r="H1002" s="14">
        <v>150000</v>
      </c>
      <c r="I1002" s="14">
        <v>179000</v>
      </c>
      <c r="J1002" s="14">
        <v>3440</v>
      </c>
      <c r="K1002" s="14">
        <v>4590</v>
      </c>
      <c r="N1002" s="42">
        <f t="shared" si="46"/>
        <v>59000</v>
      </c>
      <c r="O1002" s="43">
        <f t="shared" si="47"/>
        <v>0.16208791208791209</v>
      </c>
    </row>
    <row r="1003" spans="1:15" x14ac:dyDescent="0.45">
      <c r="A1003" s="12" t="s">
        <v>30959</v>
      </c>
      <c r="B1003" s="14">
        <v>305000</v>
      </c>
      <c r="C1003" s="14">
        <v>364000</v>
      </c>
      <c r="D1003" s="14">
        <v>219600</v>
      </c>
      <c r="E1003" s="14">
        <v>300300</v>
      </c>
      <c r="F1003" s="14">
        <v>169300</v>
      </c>
      <c r="G1003" s="14">
        <v>234234</v>
      </c>
      <c r="H1003" s="14">
        <v>152000</v>
      </c>
      <c r="I1003" s="14">
        <v>182000</v>
      </c>
      <c r="J1003" s="14">
        <v>3550</v>
      </c>
      <c r="K1003" s="14">
        <v>4630</v>
      </c>
      <c r="N1003" s="42">
        <f t="shared" si="46"/>
        <v>59000</v>
      </c>
      <c r="O1003" s="43">
        <f t="shared" si="47"/>
        <v>0.16208791208791209</v>
      </c>
    </row>
    <row r="1004" spans="1:15" x14ac:dyDescent="0.45">
      <c r="A1004" s="12" t="s">
        <v>30960</v>
      </c>
      <c r="B1004" s="14">
        <v>303000</v>
      </c>
      <c r="C1004" s="14">
        <v>357000</v>
      </c>
      <c r="D1004" s="14">
        <v>218200</v>
      </c>
      <c r="E1004" s="14">
        <v>294525</v>
      </c>
      <c r="F1004" s="14">
        <v>168200</v>
      </c>
      <c r="G1004" s="14">
        <v>229729</v>
      </c>
      <c r="H1004" s="14">
        <v>147000</v>
      </c>
      <c r="I1004" s="14">
        <v>176000</v>
      </c>
      <c r="J1004" s="14">
        <v>3380</v>
      </c>
      <c r="K1004" s="14">
        <v>4420</v>
      </c>
      <c r="N1004" s="42">
        <f t="shared" si="46"/>
        <v>54000</v>
      </c>
      <c r="O1004" s="43">
        <f t="shared" si="47"/>
        <v>0.15126050420168066</v>
      </c>
    </row>
    <row r="1005" spans="1:15" x14ac:dyDescent="0.45">
      <c r="A1005" s="12" t="s">
        <v>30961</v>
      </c>
      <c r="B1005" s="14">
        <v>301000</v>
      </c>
      <c r="C1005" s="14">
        <v>354000</v>
      </c>
      <c r="D1005" s="14">
        <v>216800</v>
      </c>
      <c r="E1005" s="14">
        <v>292050</v>
      </c>
      <c r="F1005" s="14">
        <v>167100</v>
      </c>
      <c r="G1005" s="14">
        <v>227799</v>
      </c>
      <c r="H1005" s="14">
        <v>148000</v>
      </c>
      <c r="I1005" s="14">
        <v>176000</v>
      </c>
      <c r="J1005" s="14">
        <v>3400</v>
      </c>
      <c r="K1005" s="14">
        <v>4440</v>
      </c>
      <c r="N1005" s="42">
        <f t="shared" ref="N1005:N1068" si="48">C1005-B1005</f>
        <v>53000</v>
      </c>
      <c r="O1005" s="43">
        <f t="shared" ref="O1005:O1068" si="49">N1005/C1005</f>
        <v>0.14971751412429379</v>
      </c>
    </row>
    <row r="1006" spans="1:15" x14ac:dyDescent="0.45">
      <c r="A1006" s="12" t="s">
        <v>30962</v>
      </c>
      <c r="B1006" s="14">
        <v>300000</v>
      </c>
      <c r="C1006" s="14">
        <v>351000</v>
      </c>
      <c r="D1006" s="14">
        <v>216000</v>
      </c>
      <c r="E1006" s="14">
        <v>289575</v>
      </c>
      <c r="F1006" s="14">
        <v>166500</v>
      </c>
      <c r="G1006" s="14">
        <v>225868</v>
      </c>
      <c r="H1006" s="14">
        <v>144000</v>
      </c>
      <c r="I1006" s="14">
        <v>171000</v>
      </c>
      <c r="J1006" s="14">
        <v>3290</v>
      </c>
      <c r="K1006" s="14">
        <v>4300</v>
      </c>
      <c r="N1006" s="42">
        <f t="shared" si="48"/>
        <v>51000</v>
      </c>
      <c r="O1006" s="43">
        <f t="shared" si="49"/>
        <v>0.14529914529914531</v>
      </c>
    </row>
    <row r="1007" spans="1:15" x14ac:dyDescent="0.45">
      <c r="A1007" s="12" t="s">
        <v>30963</v>
      </c>
      <c r="B1007" s="14">
        <v>299000</v>
      </c>
      <c r="C1007" s="14">
        <v>352000</v>
      </c>
      <c r="D1007" s="14">
        <v>215300</v>
      </c>
      <c r="E1007" s="14">
        <v>290400</v>
      </c>
      <c r="F1007" s="14">
        <v>166000</v>
      </c>
      <c r="G1007" s="14">
        <v>226512</v>
      </c>
      <c r="H1007" s="14">
        <v>142000</v>
      </c>
      <c r="I1007" s="14">
        <v>170000</v>
      </c>
      <c r="J1007" s="14">
        <v>3260</v>
      </c>
      <c r="K1007" s="14">
        <v>4260</v>
      </c>
      <c r="N1007" s="42">
        <f t="shared" si="48"/>
        <v>53000</v>
      </c>
      <c r="O1007" s="43">
        <f t="shared" si="49"/>
        <v>0.15056818181818182</v>
      </c>
    </row>
    <row r="1008" spans="1:15" x14ac:dyDescent="0.45">
      <c r="A1008" s="12" t="s">
        <v>30964</v>
      </c>
      <c r="B1008" s="14">
        <v>298000</v>
      </c>
      <c r="C1008" s="14">
        <v>350000</v>
      </c>
      <c r="D1008" s="14">
        <v>214600</v>
      </c>
      <c r="E1008" s="14">
        <v>288750</v>
      </c>
      <c r="F1008" s="14">
        <v>165400</v>
      </c>
      <c r="G1008" s="14">
        <v>225225</v>
      </c>
      <c r="H1008" s="14">
        <v>144000</v>
      </c>
      <c r="I1008" s="14">
        <v>172000</v>
      </c>
      <c r="J1008" s="14">
        <v>3230</v>
      </c>
      <c r="K1008" s="14">
        <v>4220</v>
      </c>
      <c r="N1008" s="42">
        <f t="shared" si="48"/>
        <v>52000</v>
      </c>
      <c r="O1008" s="43">
        <f t="shared" si="49"/>
        <v>0.14857142857142858</v>
      </c>
    </row>
    <row r="1009" spans="1:15" x14ac:dyDescent="0.45">
      <c r="A1009" s="12" t="s">
        <v>30965</v>
      </c>
      <c r="B1009" s="14">
        <v>300000</v>
      </c>
      <c r="C1009" s="14">
        <v>352500</v>
      </c>
      <c r="D1009" s="14">
        <v>216000</v>
      </c>
      <c r="E1009" s="14">
        <v>290812</v>
      </c>
      <c r="F1009" s="14">
        <v>166500</v>
      </c>
      <c r="G1009" s="14">
        <v>226833</v>
      </c>
      <c r="H1009" s="14">
        <v>145000</v>
      </c>
      <c r="I1009" s="14">
        <v>173000</v>
      </c>
      <c r="J1009" s="14">
        <v>3240</v>
      </c>
      <c r="K1009" s="14">
        <v>4250</v>
      </c>
      <c r="N1009" s="42">
        <f t="shared" si="48"/>
        <v>52500</v>
      </c>
      <c r="O1009" s="43">
        <f t="shared" si="49"/>
        <v>0.14893617021276595</v>
      </c>
    </row>
    <row r="1010" spans="1:15" x14ac:dyDescent="0.45">
      <c r="A1010" s="12" t="s">
        <v>30966</v>
      </c>
      <c r="B1010" s="14">
        <v>300000</v>
      </c>
      <c r="C1010" s="14">
        <v>352500</v>
      </c>
      <c r="D1010" s="14">
        <v>216000</v>
      </c>
      <c r="E1010" s="14">
        <v>290812</v>
      </c>
      <c r="F1010" s="14">
        <v>166500</v>
      </c>
      <c r="G1010" s="14">
        <v>226833</v>
      </c>
      <c r="H1010" s="14">
        <v>145000</v>
      </c>
      <c r="I1010" s="14">
        <v>173000</v>
      </c>
      <c r="J1010" s="14">
        <v>3240</v>
      </c>
      <c r="K1010" s="14">
        <v>4250</v>
      </c>
      <c r="N1010" s="42">
        <f t="shared" si="48"/>
        <v>52500</v>
      </c>
      <c r="O1010" s="43">
        <f t="shared" si="49"/>
        <v>0.14893617021276595</v>
      </c>
    </row>
    <row r="1011" spans="1:15" x14ac:dyDescent="0.45">
      <c r="A1011" s="12" t="s">
        <v>30967</v>
      </c>
      <c r="B1011" s="14">
        <v>299000</v>
      </c>
      <c r="C1011" s="14">
        <v>353500</v>
      </c>
      <c r="D1011" s="14">
        <v>215300</v>
      </c>
      <c r="E1011" s="14">
        <v>291637</v>
      </c>
      <c r="F1011" s="14">
        <v>166000</v>
      </c>
      <c r="G1011" s="14">
        <v>227477</v>
      </c>
      <c r="H1011" s="14">
        <v>145000</v>
      </c>
      <c r="I1011" s="14">
        <v>173000</v>
      </c>
      <c r="J1011" s="14">
        <v>3210</v>
      </c>
      <c r="K1011" s="14">
        <v>4190</v>
      </c>
      <c r="N1011" s="42">
        <f t="shared" si="48"/>
        <v>54500</v>
      </c>
      <c r="O1011" s="43">
        <f t="shared" si="49"/>
        <v>0.15417256011315417</v>
      </c>
    </row>
    <row r="1012" spans="1:15" x14ac:dyDescent="0.45">
      <c r="A1012" s="12" t="s">
        <v>30968</v>
      </c>
      <c r="B1012" s="14">
        <v>296000</v>
      </c>
      <c r="C1012" s="14">
        <v>348500</v>
      </c>
      <c r="D1012" s="14">
        <v>213200</v>
      </c>
      <c r="E1012" s="14">
        <v>287512</v>
      </c>
      <c r="F1012" s="14">
        <v>164300</v>
      </c>
      <c r="G1012" s="14">
        <v>224259</v>
      </c>
      <c r="H1012" s="14">
        <v>144000</v>
      </c>
      <c r="I1012" s="14">
        <v>173000</v>
      </c>
      <c r="J1012" s="14">
        <v>3170</v>
      </c>
      <c r="K1012" s="14">
        <v>4160</v>
      </c>
      <c r="N1012" s="42">
        <f t="shared" si="48"/>
        <v>52500</v>
      </c>
      <c r="O1012" s="43">
        <f t="shared" si="49"/>
        <v>0.15064562410329985</v>
      </c>
    </row>
    <row r="1013" spans="1:15" x14ac:dyDescent="0.45">
      <c r="A1013" s="12" t="s">
        <v>30969</v>
      </c>
      <c r="B1013" s="14">
        <v>297000</v>
      </c>
      <c r="C1013" s="14">
        <v>349000</v>
      </c>
      <c r="D1013" s="14">
        <v>213900</v>
      </c>
      <c r="E1013" s="14">
        <v>287925</v>
      </c>
      <c r="F1013" s="14">
        <v>164900</v>
      </c>
      <c r="G1013" s="14">
        <v>224581</v>
      </c>
      <c r="H1013" s="14">
        <v>145000</v>
      </c>
      <c r="I1013" s="14">
        <v>173000</v>
      </c>
      <c r="J1013" s="14">
        <v>3150</v>
      </c>
      <c r="K1013" s="14">
        <v>4130</v>
      </c>
      <c r="N1013" s="42">
        <f t="shared" si="48"/>
        <v>52000</v>
      </c>
      <c r="O1013" s="43">
        <f t="shared" si="49"/>
        <v>0.14899713467048711</v>
      </c>
    </row>
    <row r="1014" spans="1:15" x14ac:dyDescent="0.45">
      <c r="A1014" s="12" t="s">
        <v>30970</v>
      </c>
      <c r="B1014" s="14">
        <v>300000</v>
      </c>
      <c r="C1014" s="14">
        <v>356000</v>
      </c>
      <c r="D1014" s="14">
        <v>216000</v>
      </c>
      <c r="E1014" s="14">
        <v>293700</v>
      </c>
      <c r="F1014" s="14">
        <v>166500</v>
      </c>
      <c r="G1014" s="14">
        <v>229086</v>
      </c>
      <c r="H1014" s="14">
        <v>147000</v>
      </c>
      <c r="I1014" s="14">
        <v>176000</v>
      </c>
      <c r="J1014" s="14">
        <v>3150</v>
      </c>
      <c r="K1014" s="14">
        <v>4170</v>
      </c>
      <c r="N1014" s="42">
        <f t="shared" si="48"/>
        <v>56000</v>
      </c>
      <c r="O1014" s="43">
        <f t="shared" si="49"/>
        <v>0.15730337078651685</v>
      </c>
    </row>
    <row r="1015" spans="1:15" x14ac:dyDescent="0.45">
      <c r="A1015" s="12" t="s">
        <v>30971</v>
      </c>
      <c r="B1015" s="14">
        <v>298000</v>
      </c>
      <c r="C1015" s="14">
        <v>358000</v>
      </c>
      <c r="D1015" s="14">
        <v>214600</v>
      </c>
      <c r="E1015" s="14">
        <v>295350</v>
      </c>
      <c r="F1015" s="14">
        <v>165400</v>
      </c>
      <c r="G1015" s="14">
        <v>230373</v>
      </c>
      <c r="H1015" s="14">
        <v>145000</v>
      </c>
      <c r="I1015" s="14">
        <v>174000</v>
      </c>
      <c r="J1015" s="14">
        <v>3120</v>
      </c>
      <c r="K1015" s="14">
        <v>4200</v>
      </c>
      <c r="N1015" s="42">
        <f t="shared" si="48"/>
        <v>60000</v>
      </c>
      <c r="O1015" s="43">
        <f t="shared" si="49"/>
        <v>0.16759776536312848</v>
      </c>
    </row>
    <row r="1016" spans="1:15" x14ac:dyDescent="0.45">
      <c r="A1016" s="12" t="s">
        <v>30972</v>
      </c>
      <c r="B1016" s="14">
        <v>295000</v>
      </c>
      <c r="C1016" s="14">
        <v>346000</v>
      </c>
      <c r="D1016" s="14">
        <v>212400</v>
      </c>
      <c r="E1016" s="14">
        <v>285450</v>
      </c>
      <c r="F1016" s="14">
        <v>163800</v>
      </c>
      <c r="G1016" s="14">
        <v>222651</v>
      </c>
      <c r="H1016" s="14">
        <v>145000</v>
      </c>
      <c r="I1016" s="14">
        <v>174000</v>
      </c>
      <c r="J1016" s="14">
        <v>3060</v>
      </c>
      <c r="K1016" s="14">
        <v>4010</v>
      </c>
      <c r="N1016" s="42">
        <f t="shared" si="48"/>
        <v>51000</v>
      </c>
      <c r="O1016" s="43">
        <f t="shared" si="49"/>
        <v>0.14739884393063585</v>
      </c>
    </row>
    <row r="1017" spans="1:15" x14ac:dyDescent="0.45">
      <c r="A1017" s="12" t="s">
        <v>30973</v>
      </c>
      <c r="B1017" s="14">
        <v>293000</v>
      </c>
      <c r="C1017" s="14">
        <v>341000</v>
      </c>
      <c r="D1017" s="14">
        <v>211000</v>
      </c>
      <c r="E1017" s="14">
        <v>281325</v>
      </c>
      <c r="F1017" s="14">
        <v>162700</v>
      </c>
      <c r="G1017" s="14">
        <v>219433</v>
      </c>
      <c r="H1017" s="14">
        <v>146000</v>
      </c>
      <c r="I1017" s="14">
        <v>174000</v>
      </c>
      <c r="J1017" s="14">
        <v>3050</v>
      </c>
      <c r="K1017" s="14">
        <v>3990</v>
      </c>
      <c r="N1017" s="42">
        <f t="shared" si="48"/>
        <v>48000</v>
      </c>
      <c r="O1017" s="43">
        <f t="shared" si="49"/>
        <v>0.14076246334310852</v>
      </c>
    </row>
    <row r="1018" spans="1:15" x14ac:dyDescent="0.45">
      <c r="A1018" s="12" t="s">
        <v>30974</v>
      </c>
      <c r="B1018" s="14">
        <v>292000</v>
      </c>
      <c r="C1018" s="14">
        <v>339000</v>
      </c>
      <c r="D1018" s="14">
        <v>210300</v>
      </c>
      <c r="E1018" s="14">
        <v>279675</v>
      </c>
      <c r="F1018" s="14">
        <v>162100</v>
      </c>
      <c r="G1018" s="14">
        <v>218146</v>
      </c>
      <c r="H1018" s="14">
        <v>144000</v>
      </c>
      <c r="I1018" s="14">
        <v>172000</v>
      </c>
      <c r="J1018" s="14">
        <v>2910</v>
      </c>
      <c r="K1018" s="14">
        <v>3830</v>
      </c>
      <c r="N1018" s="42">
        <f t="shared" si="48"/>
        <v>47000</v>
      </c>
      <c r="O1018" s="43">
        <f t="shared" si="49"/>
        <v>0.13864306784660768</v>
      </c>
    </row>
    <row r="1019" spans="1:15" x14ac:dyDescent="0.45">
      <c r="A1019" s="12" t="s">
        <v>30975</v>
      </c>
      <c r="B1019" s="14">
        <v>292000</v>
      </c>
      <c r="C1019" s="14">
        <v>340000</v>
      </c>
      <c r="D1019" s="14">
        <v>210300</v>
      </c>
      <c r="E1019" s="14">
        <v>280500</v>
      </c>
      <c r="F1019" s="14">
        <v>162100</v>
      </c>
      <c r="G1019" s="14">
        <v>218790</v>
      </c>
      <c r="H1019" s="14">
        <v>144000</v>
      </c>
      <c r="I1019" s="14">
        <v>173000</v>
      </c>
      <c r="J1019" s="14">
        <v>2920</v>
      </c>
      <c r="K1019" s="14">
        <v>3830</v>
      </c>
      <c r="N1019" s="42">
        <f t="shared" si="48"/>
        <v>48000</v>
      </c>
      <c r="O1019" s="43">
        <f t="shared" si="49"/>
        <v>0.14117647058823529</v>
      </c>
    </row>
    <row r="1020" spans="1:15" x14ac:dyDescent="0.45">
      <c r="A1020" s="12" t="s">
        <v>30976</v>
      </c>
      <c r="B1020" s="14">
        <v>292000</v>
      </c>
      <c r="C1020" s="14">
        <v>335000</v>
      </c>
      <c r="D1020" s="14">
        <v>210300</v>
      </c>
      <c r="E1020" s="14">
        <v>276375</v>
      </c>
      <c r="F1020" s="14">
        <v>162100</v>
      </c>
      <c r="G1020" s="14">
        <v>215572</v>
      </c>
      <c r="H1020" s="14">
        <v>143000</v>
      </c>
      <c r="I1020" s="14">
        <v>171000</v>
      </c>
      <c r="J1020" s="14">
        <v>2870</v>
      </c>
      <c r="K1020" s="14">
        <v>3760</v>
      </c>
      <c r="N1020" s="42">
        <f t="shared" si="48"/>
        <v>43000</v>
      </c>
      <c r="O1020" s="43">
        <f t="shared" si="49"/>
        <v>0.12835820895522387</v>
      </c>
    </row>
    <row r="1021" spans="1:15" x14ac:dyDescent="0.45">
      <c r="A1021" s="12" t="s">
        <v>30977</v>
      </c>
      <c r="B1021" s="14">
        <v>290000</v>
      </c>
      <c r="C1021" s="14">
        <v>331000</v>
      </c>
      <c r="D1021" s="14">
        <v>208800</v>
      </c>
      <c r="E1021" s="14">
        <v>273075</v>
      </c>
      <c r="F1021" s="14">
        <v>161000</v>
      </c>
      <c r="G1021" s="14">
        <v>212998</v>
      </c>
      <c r="H1021" s="14">
        <v>141000</v>
      </c>
      <c r="I1021" s="14">
        <v>169000</v>
      </c>
      <c r="J1021" s="14">
        <v>2850</v>
      </c>
      <c r="K1021" s="14">
        <v>3740</v>
      </c>
      <c r="N1021" s="42">
        <f t="shared" si="48"/>
        <v>41000</v>
      </c>
      <c r="O1021" s="43">
        <f t="shared" si="49"/>
        <v>0.12386706948640483</v>
      </c>
    </row>
    <row r="1022" spans="1:15" x14ac:dyDescent="0.45">
      <c r="A1022" s="12" t="s">
        <v>30978</v>
      </c>
      <c r="B1022" s="14">
        <v>288000</v>
      </c>
      <c r="C1022" s="14">
        <v>331000</v>
      </c>
      <c r="D1022" s="14">
        <v>207400</v>
      </c>
      <c r="E1022" s="14">
        <v>273075</v>
      </c>
      <c r="F1022" s="14">
        <v>159900</v>
      </c>
      <c r="G1022" s="14">
        <v>212998</v>
      </c>
      <c r="H1022" s="14">
        <v>141000</v>
      </c>
      <c r="I1022" s="14">
        <v>168000</v>
      </c>
      <c r="J1022" s="14">
        <v>2850</v>
      </c>
      <c r="K1022" s="14">
        <v>3740</v>
      </c>
      <c r="N1022" s="42">
        <f t="shared" si="48"/>
        <v>43000</v>
      </c>
      <c r="O1022" s="43">
        <f t="shared" si="49"/>
        <v>0.12990936555891239</v>
      </c>
    </row>
    <row r="1023" spans="1:15" x14ac:dyDescent="0.45">
      <c r="A1023" s="12" t="s">
        <v>30979</v>
      </c>
      <c r="B1023" s="14">
        <v>289000</v>
      </c>
      <c r="C1023" s="14">
        <v>331000</v>
      </c>
      <c r="D1023" s="14">
        <v>208100</v>
      </c>
      <c r="E1023" s="14">
        <v>273075</v>
      </c>
      <c r="F1023" s="14">
        <v>160400</v>
      </c>
      <c r="G1023" s="14">
        <v>212998</v>
      </c>
      <c r="H1023" s="14">
        <v>144000</v>
      </c>
      <c r="I1023" s="14">
        <v>172000</v>
      </c>
      <c r="J1023" s="14">
        <v>2940</v>
      </c>
      <c r="K1023" s="14">
        <v>3870</v>
      </c>
      <c r="N1023" s="42">
        <f t="shared" si="48"/>
        <v>42000</v>
      </c>
      <c r="O1023" s="43">
        <f t="shared" si="49"/>
        <v>0.12688821752265861</v>
      </c>
    </row>
    <row r="1024" spans="1:15" x14ac:dyDescent="0.45">
      <c r="A1024" s="12" t="s">
        <v>30980</v>
      </c>
      <c r="B1024" s="14">
        <v>289000</v>
      </c>
      <c r="C1024" s="14">
        <v>331500</v>
      </c>
      <c r="D1024" s="14">
        <v>208100</v>
      </c>
      <c r="E1024" s="14">
        <v>273487</v>
      </c>
      <c r="F1024" s="14">
        <v>160400</v>
      </c>
      <c r="G1024" s="14">
        <v>213320</v>
      </c>
      <c r="H1024" s="14">
        <v>144000</v>
      </c>
      <c r="I1024" s="14">
        <v>172000</v>
      </c>
      <c r="J1024" s="14">
        <v>2960</v>
      </c>
      <c r="K1024" s="14">
        <v>3890</v>
      </c>
      <c r="N1024" s="42">
        <f t="shared" si="48"/>
        <v>42500</v>
      </c>
      <c r="O1024" s="43">
        <f t="shared" si="49"/>
        <v>0.12820512820512819</v>
      </c>
    </row>
    <row r="1025" spans="1:15" x14ac:dyDescent="0.45">
      <c r="A1025" s="12" t="s">
        <v>30981</v>
      </c>
      <c r="B1025" s="14">
        <v>289000</v>
      </c>
      <c r="C1025" s="14">
        <v>332000</v>
      </c>
      <c r="D1025" s="14">
        <v>208100</v>
      </c>
      <c r="E1025" s="14">
        <v>273900</v>
      </c>
      <c r="F1025" s="14">
        <v>160400</v>
      </c>
      <c r="G1025" s="14">
        <v>213642</v>
      </c>
      <c r="H1025" s="14">
        <v>144000</v>
      </c>
      <c r="I1025" s="14">
        <v>172000</v>
      </c>
      <c r="J1025" s="14">
        <v>2970</v>
      </c>
      <c r="K1025" s="14">
        <v>3900</v>
      </c>
      <c r="N1025" s="42">
        <f t="shared" si="48"/>
        <v>43000</v>
      </c>
      <c r="O1025" s="43">
        <f t="shared" si="49"/>
        <v>0.12951807228915663</v>
      </c>
    </row>
    <row r="1026" spans="1:15" x14ac:dyDescent="0.45">
      <c r="A1026" s="12" t="s">
        <v>30982</v>
      </c>
      <c r="B1026" s="14">
        <v>289000</v>
      </c>
      <c r="C1026" s="14">
        <v>331000</v>
      </c>
      <c r="D1026" s="14">
        <v>208100</v>
      </c>
      <c r="E1026" s="14">
        <v>273075</v>
      </c>
      <c r="F1026" s="14">
        <v>160400</v>
      </c>
      <c r="G1026" s="14">
        <v>212998</v>
      </c>
      <c r="H1026" s="14">
        <v>143000</v>
      </c>
      <c r="I1026" s="14">
        <v>171000</v>
      </c>
      <c r="J1026" s="14">
        <v>2950</v>
      </c>
      <c r="K1026" s="14">
        <v>3870</v>
      </c>
      <c r="N1026" s="42">
        <f t="shared" si="48"/>
        <v>42000</v>
      </c>
      <c r="O1026" s="43">
        <f t="shared" si="49"/>
        <v>0.12688821752265861</v>
      </c>
    </row>
    <row r="1027" spans="1:15" x14ac:dyDescent="0.45">
      <c r="A1027" s="12" t="s">
        <v>30983</v>
      </c>
      <c r="B1027" s="14">
        <v>289000</v>
      </c>
      <c r="C1027" s="14">
        <v>332500</v>
      </c>
      <c r="D1027" s="14">
        <v>208100</v>
      </c>
      <c r="E1027" s="14">
        <v>274312</v>
      </c>
      <c r="F1027" s="14">
        <v>160400</v>
      </c>
      <c r="G1027" s="14">
        <v>213963</v>
      </c>
      <c r="H1027" s="14">
        <v>142000</v>
      </c>
      <c r="I1027" s="14">
        <v>169000</v>
      </c>
      <c r="J1027" s="14">
        <v>2960</v>
      </c>
      <c r="K1027" s="14">
        <v>3890</v>
      </c>
      <c r="N1027" s="42">
        <f t="shared" si="48"/>
        <v>43500</v>
      </c>
      <c r="O1027" s="43">
        <f t="shared" si="49"/>
        <v>0.13082706766917293</v>
      </c>
    </row>
    <row r="1028" spans="1:15" x14ac:dyDescent="0.45">
      <c r="A1028" s="12" t="s">
        <v>30984</v>
      </c>
      <c r="B1028" s="14">
        <v>290000</v>
      </c>
      <c r="C1028" s="14">
        <v>333000</v>
      </c>
      <c r="D1028" s="14">
        <v>208800</v>
      </c>
      <c r="E1028" s="14">
        <v>274725</v>
      </c>
      <c r="F1028" s="14">
        <v>161000</v>
      </c>
      <c r="G1028" s="14">
        <v>214285</v>
      </c>
      <c r="H1028" s="14">
        <v>143000</v>
      </c>
      <c r="I1028" s="14">
        <v>171000</v>
      </c>
      <c r="J1028" s="14">
        <v>2970</v>
      </c>
      <c r="K1028" s="14">
        <v>3890</v>
      </c>
      <c r="N1028" s="42">
        <f t="shared" si="48"/>
        <v>43000</v>
      </c>
      <c r="O1028" s="43">
        <f t="shared" si="49"/>
        <v>0.12912912912912913</v>
      </c>
    </row>
    <row r="1029" spans="1:15" x14ac:dyDescent="0.45">
      <c r="A1029" s="12" t="s">
        <v>30985</v>
      </c>
      <c r="B1029" s="14">
        <v>290000</v>
      </c>
      <c r="C1029" s="14">
        <v>331500</v>
      </c>
      <c r="D1029" s="14">
        <v>208800</v>
      </c>
      <c r="E1029" s="14">
        <v>273487</v>
      </c>
      <c r="F1029" s="14">
        <v>161000</v>
      </c>
      <c r="G1029" s="14">
        <v>213320</v>
      </c>
      <c r="H1029" s="14">
        <v>142000</v>
      </c>
      <c r="I1029" s="14">
        <v>170000</v>
      </c>
      <c r="J1029" s="14">
        <v>2940</v>
      </c>
      <c r="K1029" s="14">
        <v>3860</v>
      </c>
      <c r="N1029" s="42">
        <f t="shared" si="48"/>
        <v>41500</v>
      </c>
      <c r="O1029" s="43">
        <f t="shared" si="49"/>
        <v>0.12518853695324283</v>
      </c>
    </row>
    <row r="1030" spans="1:15" x14ac:dyDescent="0.45">
      <c r="A1030" s="12" t="s">
        <v>30986</v>
      </c>
      <c r="B1030" s="14">
        <v>289000</v>
      </c>
      <c r="C1030" s="14">
        <v>329000</v>
      </c>
      <c r="D1030" s="14">
        <v>208100</v>
      </c>
      <c r="E1030" s="14">
        <v>271425</v>
      </c>
      <c r="F1030" s="14">
        <v>160400</v>
      </c>
      <c r="G1030" s="14">
        <v>211711</v>
      </c>
      <c r="H1030" s="14">
        <v>136000</v>
      </c>
      <c r="I1030" s="14">
        <v>164000</v>
      </c>
      <c r="J1030" s="14">
        <v>2940</v>
      </c>
      <c r="K1030" s="14">
        <v>3880</v>
      </c>
      <c r="N1030" s="42">
        <f t="shared" si="48"/>
        <v>40000</v>
      </c>
      <c r="O1030" s="43">
        <f t="shared" si="49"/>
        <v>0.12158054711246201</v>
      </c>
    </row>
    <row r="1031" spans="1:15" x14ac:dyDescent="0.45">
      <c r="A1031" s="12" t="s">
        <v>30987</v>
      </c>
      <c r="B1031" s="14">
        <v>288000</v>
      </c>
      <c r="C1031" s="14">
        <v>328500</v>
      </c>
      <c r="D1031" s="14">
        <v>207400</v>
      </c>
      <c r="E1031" s="14">
        <v>271012</v>
      </c>
      <c r="F1031" s="14">
        <v>159900</v>
      </c>
      <c r="G1031" s="14">
        <v>211389</v>
      </c>
      <c r="H1031" s="14">
        <v>141000</v>
      </c>
      <c r="I1031" s="14">
        <v>168000</v>
      </c>
      <c r="J1031" s="14">
        <v>2990</v>
      </c>
      <c r="K1031" s="14">
        <v>3930</v>
      </c>
      <c r="N1031" s="42">
        <f t="shared" si="48"/>
        <v>40500</v>
      </c>
      <c r="O1031" s="43">
        <f t="shared" si="49"/>
        <v>0.12328767123287671</v>
      </c>
    </row>
    <row r="1032" spans="1:15" x14ac:dyDescent="0.45">
      <c r="A1032" s="12" t="s">
        <v>30988</v>
      </c>
      <c r="B1032" s="14">
        <v>290000</v>
      </c>
      <c r="C1032" s="14">
        <v>328500</v>
      </c>
      <c r="D1032" s="14">
        <v>208800</v>
      </c>
      <c r="E1032" s="14">
        <v>271012</v>
      </c>
      <c r="F1032" s="14">
        <v>161000</v>
      </c>
      <c r="G1032" s="14">
        <v>211389</v>
      </c>
      <c r="H1032" s="14">
        <v>141000</v>
      </c>
      <c r="I1032" s="14">
        <v>169000</v>
      </c>
      <c r="J1032" s="14">
        <v>3030</v>
      </c>
      <c r="K1032" s="14">
        <v>3980</v>
      </c>
      <c r="N1032" s="42">
        <f t="shared" si="48"/>
        <v>38500</v>
      </c>
      <c r="O1032" s="43">
        <f t="shared" si="49"/>
        <v>0.11719939117199391</v>
      </c>
    </row>
    <row r="1033" spans="1:15" x14ac:dyDescent="0.45">
      <c r="A1033" s="12" t="s">
        <v>30989</v>
      </c>
      <c r="B1033" s="14">
        <v>292000</v>
      </c>
      <c r="C1033" s="14">
        <v>330000</v>
      </c>
      <c r="D1033" s="14">
        <v>210300</v>
      </c>
      <c r="E1033" s="14">
        <v>272250</v>
      </c>
      <c r="F1033" s="14">
        <v>162100</v>
      </c>
      <c r="G1033" s="14">
        <v>212355</v>
      </c>
      <c r="H1033" s="14">
        <v>137000</v>
      </c>
      <c r="I1033" s="14">
        <v>164000</v>
      </c>
      <c r="J1033" s="14">
        <v>3050</v>
      </c>
      <c r="K1033" s="14">
        <v>4000</v>
      </c>
      <c r="N1033" s="42">
        <f t="shared" si="48"/>
        <v>38000</v>
      </c>
      <c r="O1033" s="43">
        <f t="shared" si="49"/>
        <v>0.11515151515151516</v>
      </c>
    </row>
    <row r="1034" spans="1:15" x14ac:dyDescent="0.45">
      <c r="A1034" s="12" t="s">
        <v>30990</v>
      </c>
      <c r="B1034" s="14">
        <v>292500</v>
      </c>
      <c r="C1034" s="14">
        <v>329500</v>
      </c>
      <c r="D1034" s="14">
        <v>210600</v>
      </c>
      <c r="E1034" s="14">
        <v>271837</v>
      </c>
      <c r="F1034" s="14">
        <v>162400</v>
      </c>
      <c r="G1034" s="14">
        <v>212033</v>
      </c>
      <c r="H1034" s="14">
        <v>135000</v>
      </c>
      <c r="I1034" s="14">
        <v>162000</v>
      </c>
      <c r="J1034" s="14">
        <v>3020</v>
      </c>
      <c r="K1034" s="14">
        <v>3970</v>
      </c>
      <c r="N1034" s="42">
        <f t="shared" si="48"/>
        <v>37000</v>
      </c>
      <c r="O1034" s="43">
        <f t="shared" si="49"/>
        <v>0.11229135053110774</v>
      </c>
    </row>
    <row r="1035" spans="1:15" x14ac:dyDescent="0.45">
      <c r="A1035" s="12" t="s">
        <v>30991</v>
      </c>
      <c r="B1035" s="14">
        <v>292500</v>
      </c>
      <c r="C1035" s="14">
        <v>329500</v>
      </c>
      <c r="D1035" s="14">
        <v>210600</v>
      </c>
      <c r="E1035" s="14">
        <v>271837</v>
      </c>
      <c r="F1035" s="14">
        <v>162400</v>
      </c>
      <c r="G1035" s="14">
        <v>212033</v>
      </c>
      <c r="H1035" s="14">
        <v>135000</v>
      </c>
      <c r="I1035" s="14">
        <v>162000</v>
      </c>
      <c r="J1035" s="14">
        <v>3030</v>
      </c>
      <c r="K1035" s="14">
        <v>3980</v>
      </c>
      <c r="N1035" s="42">
        <f t="shared" si="48"/>
        <v>37000</v>
      </c>
      <c r="O1035" s="43">
        <f t="shared" si="49"/>
        <v>0.11229135053110774</v>
      </c>
    </row>
    <row r="1036" spans="1:15" x14ac:dyDescent="0.45">
      <c r="A1036" s="12" t="s">
        <v>30992</v>
      </c>
      <c r="B1036" s="14">
        <v>292000</v>
      </c>
      <c r="C1036" s="14">
        <v>327500</v>
      </c>
      <c r="D1036" s="14">
        <v>210300</v>
      </c>
      <c r="E1036" s="14">
        <v>270187</v>
      </c>
      <c r="F1036" s="14">
        <v>162100</v>
      </c>
      <c r="G1036" s="14">
        <v>210746</v>
      </c>
      <c r="H1036" s="14">
        <v>135000</v>
      </c>
      <c r="I1036" s="14">
        <v>162000</v>
      </c>
      <c r="J1036" s="14">
        <v>2990</v>
      </c>
      <c r="K1036" s="14">
        <v>3940</v>
      </c>
      <c r="N1036" s="42">
        <f t="shared" si="48"/>
        <v>35500</v>
      </c>
      <c r="O1036" s="43">
        <f t="shared" si="49"/>
        <v>0.10839694656488549</v>
      </c>
    </row>
    <row r="1037" spans="1:15" x14ac:dyDescent="0.45">
      <c r="A1037" s="12" t="s">
        <v>30993</v>
      </c>
      <c r="B1037" s="14">
        <v>292000</v>
      </c>
      <c r="C1037" s="14">
        <v>327000</v>
      </c>
      <c r="D1037" s="14">
        <v>210300</v>
      </c>
      <c r="E1037" s="14">
        <v>269775</v>
      </c>
      <c r="F1037" s="14">
        <v>162100</v>
      </c>
      <c r="G1037" s="14">
        <v>210424</v>
      </c>
      <c r="H1037" s="14">
        <v>134000</v>
      </c>
      <c r="I1037" s="14">
        <v>161000</v>
      </c>
      <c r="J1037" s="14">
        <v>3000</v>
      </c>
      <c r="K1037" s="14">
        <v>3950</v>
      </c>
      <c r="N1037" s="42">
        <f t="shared" si="48"/>
        <v>35000</v>
      </c>
      <c r="O1037" s="43">
        <f t="shared" si="49"/>
        <v>0.10703363914373089</v>
      </c>
    </row>
    <row r="1038" spans="1:15" x14ac:dyDescent="0.45">
      <c r="A1038" s="12" t="s">
        <v>30994</v>
      </c>
      <c r="B1038" s="14">
        <v>293000</v>
      </c>
      <c r="C1038" s="14">
        <v>328000</v>
      </c>
      <c r="D1038" s="14">
        <v>211000</v>
      </c>
      <c r="E1038" s="14">
        <v>270600</v>
      </c>
      <c r="F1038" s="14">
        <v>162700</v>
      </c>
      <c r="G1038" s="14">
        <v>211068</v>
      </c>
      <c r="H1038" s="14">
        <v>135000</v>
      </c>
      <c r="I1038" s="14">
        <v>162000</v>
      </c>
      <c r="J1038" s="14">
        <v>3000</v>
      </c>
      <c r="K1038" s="14">
        <v>3950</v>
      </c>
      <c r="N1038" s="42">
        <f t="shared" si="48"/>
        <v>35000</v>
      </c>
      <c r="O1038" s="43">
        <f t="shared" si="49"/>
        <v>0.10670731707317073</v>
      </c>
    </row>
    <row r="1039" spans="1:15" x14ac:dyDescent="0.45">
      <c r="A1039" s="12" t="s">
        <v>30995</v>
      </c>
      <c r="B1039" s="14">
        <v>293000</v>
      </c>
      <c r="C1039" s="14">
        <v>326500</v>
      </c>
      <c r="D1039" s="14">
        <v>211000</v>
      </c>
      <c r="E1039" s="14">
        <v>269362</v>
      </c>
      <c r="F1039" s="14">
        <v>162700</v>
      </c>
      <c r="G1039" s="14">
        <v>210102</v>
      </c>
      <c r="H1039" s="14">
        <v>139000</v>
      </c>
      <c r="I1039" s="14">
        <v>166000</v>
      </c>
      <c r="J1039" s="14">
        <v>3010</v>
      </c>
      <c r="K1039" s="14">
        <v>3950</v>
      </c>
      <c r="N1039" s="42">
        <f t="shared" si="48"/>
        <v>33500</v>
      </c>
      <c r="O1039" s="43">
        <f t="shared" si="49"/>
        <v>0.10260336906584992</v>
      </c>
    </row>
    <row r="1040" spans="1:15" x14ac:dyDescent="0.45">
      <c r="A1040" s="12" t="s">
        <v>30996</v>
      </c>
      <c r="B1040" s="14">
        <v>293000</v>
      </c>
      <c r="C1040" s="14">
        <v>327000</v>
      </c>
      <c r="D1040" s="14">
        <v>211000</v>
      </c>
      <c r="E1040" s="14">
        <v>269775</v>
      </c>
      <c r="F1040" s="14">
        <v>162700</v>
      </c>
      <c r="G1040" s="14">
        <v>210424</v>
      </c>
      <c r="H1040" s="14">
        <v>136000</v>
      </c>
      <c r="I1040" s="14">
        <v>163000</v>
      </c>
      <c r="J1040" s="14">
        <v>3010</v>
      </c>
      <c r="K1040" s="14">
        <v>3950</v>
      </c>
      <c r="N1040" s="42">
        <f t="shared" si="48"/>
        <v>34000</v>
      </c>
      <c r="O1040" s="43">
        <f t="shared" si="49"/>
        <v>0.10397553516819572</v>
      </c>
    </row>
    <row r="1041" spans="1:15" x14ac:dyDescent="0.45">
      <c r="A1041" s="12" t="s">
        <v>30997</v>
      </c>
      <c r="B1041" s="14">
        <v>295000</v>
      </c>
      <c r="C1041" s="14">
        <v>327500</v>
      </c>
      <c r="D1041" s="14">
        <v>212400</v>
      </c>
      <c r="E1041" s="14">
        <v>270187</v>
      </c>
      <c r="F1041" s="14">
        <v>163800</v>
      </c>
      <c r="G1041" s="14">
        <v>210746</v>
      </c>
      <c r="H1041" s="14">
        <v>139000</v>
      </c>
      <c r="I1041" s="14">
        <v>167000</v>
      </c>
      <c r="J1041" s="14">
        <v>3040</v>
      </c>
      <c r="K1041" s="14">
        <v>3980</v>
      </c>
      <c r="N1041" s="42">
        <f t="shared" si="48"/>
        <v>32500</v>
      </c>
      <c r="O1041" s="43">
        <f t="shared" si="49"/>
        <v>9.9236641221374045E-2</v>
      </c>
    </row>
    <row r="1042" spans="1:15" x14ac:dyDescent="0.45">
      <c r="A1042" s="12" t="s">
        <v>30998</v>
      </c>
      <c r="B1042" s="14">
        <v>294500</v>
      </c>
      <c r="C1042" s="14">
        <v>327000</v>
      </c>
      <c r="D1042" s="14">
        <v>212100</v>
      </c>
      <c r="E1042" s="14">
        <v>269775</v>
      </c>
      <c r="F1042" s="14">
        <v>163500</v>
      </c>
      <c r="G1042" s="14">
        <v>210424</v>
      </c>
      <c r="H1042" s="14">
        <v>140000</v>
      </c>
      <c r="I1042" s="14">
        <v>168000</v>
      </c>
      <c r="J1042" s="14">
        <v>3050</v>
      </c>
      <c r="K1042" s="14">
        <v>4000</v>
      </c>
      <c r="N1042" s="42">
        <f t="shared" si="48"/>
        <v>32500</v>
      </c>
      <c r="O1042" s="43">
        <f t="shared" si="49"/>
        <v>9.9388379204892963E-2</v>
      </c>
    </row>
    <row r="1043" spans="1:15" x14ac:dyDescent="0.45">
      <c r="A1043" s="12" t="s">
        <v>30999</v>
      </c>
      <c r="B1043" s="14">
        <v>293500</v>
      </c>
      <c r="C1043" s="14">
        <v>325500</v>
      </c>
      <c r="D1043" s="14">
        <v>211400</v>
      </c>
      <c r="E1043" s="14">
        <v>268537</v>
      </c>
      <c r="F1043" s="14">
        <v>162900</v>
      </c>
      <c r="G1043" s="14">
        <v>209459</v>
      </c>
      <c r="H1043" s="14">
        <v>139000</v>
      </c>
      <c r="I1043" s="14">
        <v>166000</v>
      </c>
      <c r="J1043" s="14">
        <v>3040</v>
      </c>
      <c r="K1043" s="14">
        <v>3980</v>
      </c>
      <c r="N1043" s="42">
        <f t="shared" si="48"/>
        <v>32000</v>
      </c>
      <c r="O1043" s="43">
        <f t="shared" si="49"/>
        <v>9.8310291858678955E-2</v>
      </c>
    </row>
    <row r="1044" spans="1:15" x14ac:dyDescent="0.45">
      <c r="A1044" s="12" t="s">
        <v>31000</v>
      </c>
      <c r="B1044" s="14">
        <v>293000</v>
      </c>
      <c r="C1044" s="14">
        <v>323500</v>
      </c>
      <c r="D1044" s="14">
        <v>211000</v>
      </c>
      <c r="E1044" s="14">
        <v>266887</v>
      </c>
      <c r="F1044" s="14">
        <v>162700</v>
      </c>
      <c r="G1044" s="14">
        <v>208172</v>
      </c>
      <c r="H1044" s="14">
        <v>139000</v>
      </c>
      <c r="I1044" s="14">
        <v>166000</v>
      </c>
      <c r="J1044" s="14">
        <v>2910</v>
      </c>
      <c r="K1044" s="14">
        <v>3980</v>
      </c>
      <c r="N1044" s="42">
        <f t="shared" si="48"/>
        <v>30500</v>
      </c>
      <c r="O1044" s="43">
        <f t="shared" si="49"/>
        <v>9.428129829984544E-2</v>
      </c>
    </row>
    <row r="1045" spans="1:15" x14ac:dyDescent="0.45">
      <c r="A1045" s="12" t="s">
        <v>31001</v>
      </c>
      <c r="B1045" s="14">
        <v>294000</v>
      </c>
      <c r="C1045" s="14">
        <v>326000</v>
      </c>
      <c r="D1045" s="14">
        <v>211700</v>
      </c>
      <c r="E1045" s="14">
        <v>268950</v>
      </c>
      <c r="F1045" s="14">
        <v>163200</v>
      </c>
      <c r="G1045" s="14">
        <v>209781</v>
      </c>
      <c r="H1045" s="14">
        <v>143000</v>
      </c>
      <c r="I1045" s="14">
        <v>171000</v>
      </c>
      <c r="J1045" s="14">
        <v>3110</v>
      </c>
      <c r="K1045" s="14">
        <v>4100</v>
      </c>
      <c r="N1045" s="42">
        <f t="shared" si="48"/>
        <v>32000</v>
      </c>
      <c r="O1045" s="43">
        <f t="shared" si="49"/>
        <v>9.815950920245399E-2</v>
      </c>
    </row>
    <row r="1046" spans="1:15" x14ac:dyDescent="0.45">
      <c r="A1046" s="12" t="s">
        <v>31002</v>
      </c>
      <c r="B1046" s="14">
        <v>295000</v>
      </c>
      <c r="C1046" s="14">
        <v>328000</v>
      </c>
      <c r="D1046" s="14">
        <v>212400</v>
      </c>
      <c r="E1046" s="14">
        <v>270600</v>
      </c>
      <c r="F1046" s="14">
        <v>163800</v>
      </c>
      <c r="G1046" s="14">
        <v>211068</v>
      </c>
      <c r="H1046" s="14">
        <v>141000</v>
      </c>
      <c r="I1046" s="14">
        <v>169000</v>
      </c>
      <c r="J1046" s="14">
        <v>3140</v>
      </c>
      <c r="K1046" s="14">
        <v>4120</v>
      </c>
      <c r="N1046" s="42">
        <f t="shared" si="48"/>
        <v>33000</v>
      </c>
      <c r="O1046" s="43">
        <f t="shared" si="49"/>
        <v>0.10060975609756098</v>
      </c>
    </row>
    <row r="1047" spans="1:15" x14ac:dyDescent="0.45">
      <c r="A1047" s="12" t="s">
        <v>31003</v>
      </c>
      <c r="B1047" s="14">
        <v>295000</v>
      </c>
      <c r="C1047" s="14">
        <v>327000</v>
      </c>
      <c r="D1047" s="14">
        <v>212400</v>
      </c>
      <c r="E1047" s="14">
        <v>269775</v>
      </c>
      <c r="F1047" s="14">
        <v>163800</v>
      </c>
      <c r="G1047" s="14">
        <v>210424</v>
      </c>
      <c r="H1047" s="14">
        <v>141000</v>
      </c>
      <c r="I1047" s="14">
        <v>169000</v>
      </c>
      <c r="J1047" s="14">
        <v>3120</v>
      </c>
      <c r="K1047" s="14">
        <v>4100</v>
      </c>
      <c r="N1047" s="42">
        <f t="shared" si="48"/>
        <v>32000</v>
      </c>
      <c r="O1047" s="43">
        <f t="shared" si="49"/>
        <v>9.7859327217125383E-2</v>
      </c>
    </row>
    <row r="1048" spans="1:15" x14ac:dyDescent="0.45">
      <c r="A1048" s="12" t="s">
        <v>31004</v>
      </c>
      <c r="B1048" s="14">
        <v>295000</v>
      </c>
      <c r="C1048" s="14">
        <v>327500</v>
      </c>
      <c r="D1048" s="14">
        <v>212400</v>
      </c>
      <c r="E1048" s="14">
        <v>270187</v>
      </c>
      <c r="F1048" s="14">
        <v>163800</v>
      </c>
      <c r="G1048" s="14">
        <v>210746</v>
      </c>
      <c r="H1048" s="14">
        <v>142000</v>
      </c>
      <c r="I1048" s="14">
        <v>170000</v>
      </c>
      <c r="J1048" s="14">
        <v>3130</v>
      </c>
      <c r="K1048" s="14">
        <v>4120</v>
      </c>
      <c r="N1048" s="42">
        <f t="shared" si="48"/>
        <v>32500</v>
      </c>
      <c r="O1048" s="43">
        <f t="shared" si="49"/>
        <v>9.9236641221374045E-2</v>
      </c>
    </row>
    <row r="1049" spans="1:15" x14ac:dyDescent="0.45">
      <c r="A1049" s="12" t="s">
        <v>31005</v>
      </c>
      <c r="B1049" s="14">
        <v>295000</v>
      </c>
      <c r="C1049" s="14">
        <v>329000</v>
      </c>
      <c r="D1049" s="14">
        <v>212400</v>
      </c>
      <c r="E1049" s="14">
        <v>271425</v>
      </c>
      <c r="F1049" s="14">
        <v>163800</v>
      </c>
      <c r="G1049" s="14">
        <v>211711</v>
      </c>
      <c r="H1049" s="14">
        <v>142000</v>
      </c>
      <c r="I1049" s="14">
        <v>170000</v>
      </c>
      <c r="J1049" s="14">
        <v>3140</v>
      </c>
      <c r="K1049" s="14">
        <v>4130</v>
      </c>
      <c r="N1049" s="42">
        <f t="shared" si="48"/>
        <v>34000</v>
      </c>
      <c r="O1049" s="43">
        <f t="shared" si="49"/>
        <v>0.10334346504559271</v>
      </c>
    </row>
    <row r="1050" spans="1:15" x14ac:dyDescent="0.45">
      <c r="A1050" s="12" t="s">
        <v>31006</v>
      </c>
      <c r="B1050" s="14">
        <v>295000</v>
      </c>
      <c r="C1050" s="14">
        <v>328000</v>
      </c>
      <c r="D1050" s="14">
        <v>212400</v>
      </c>
      <c r="E1050" s="14">
        <v>270600</v>
      </c>
      <c r="F1050" s="14">
        <v>163800</v>
      </c>
      <c r="G1050" s="14">
        <v>211068</v>
      </c>
      <c r="H1050" s="14">
        <v>142000</v>
      </c>
      <c r="I1050" s="14">
        <v>171000</v>
      </c>
      <c r="J1050" s="14">
        <v>3170</v>
      </c>
      <c r="K1050" s="14">
        <v>4160</v>
      </c>
      <c r="N1050" s="42">
        <f t="shared" si="48"/>
        <v>33000</v>
      </c>
      <c r="O1050" s="43">
        <f t="shared" si="49"/>
        <v>0.10060975609756098</v>
      </c>
    </row>
    <row r="1051" spans="1:15" x14ac:dyDescent="0.45">
      <c r="A1051" s="12" t="s">
        <v>31007</v>
      </c>
      <c r="B1051" s="14">
        <v>296000</v>
      </c>
      <c r="C1051" s="14">
        <v>331000</v>
      </c>
      <c r="D1051" s="14">
        <v>213200</v>
      </c>
      <c r="E1051" s="14">
        <v>273075</v>
      </c>
      <c r="F1051" s="14">
        <v>164300</v>
      </c>
      <c r="G1051" s="14">
        <v>212998</v>
      </c>
      <c r="H1051" s="14">
        <v>146000</v>
      </c>
      <c r="I1051" s="14">
        <v>175000</v>
      </c>
      <c r="J1051" s="14">
        <v>3170</v>
      </c>
      <c r="K1051" s="14">
        <v>4160</v>
      </c>
      <c r="N1051" s="42">
        <f t="shared" si="48"/>
        <v>35000</v>
      </c>
      <c r="O1051" s="43">
        <f t="shared" si="49"/>
        <v>0.10574018126888217</v>
      </c>
    </row>
    <row r="1052" spans="1:15" x14ac:dyDescent="0.45">
      <c r="A1052" s="12" t="s">
        <v>31008</v>
      </c>
      <c r="B1052" s="14">
        <v>296000</v>
      </c>
      <c r="C1052" s="14">
        <v>329000</v>
      </c>
      <c r="D1052" s="14">
        <v>213200</v>
      </c>
      <c r="E1052" s="14">
        <v>271425</v>
      </c>
      <c r="F1052" s="14">
        <v>164300</v>
      </c>
      <c r="G1052" s="14">
        <v>211711</v>
      </c>
      <c r="H1052" s="14">
        <v>148000</v>
      </c>
      <c r="I1052" s="14">
        <v>177000</v>
      </c>
      <c r="J1052" s="14">
        <v>3130</v>
      </c>
      <c r="K1052" s="14">
        <v>4120</v>
      </c>
      <c r="N1052" s="42">
        <f t="shared" si="48"/>
        <v>33000</v>
      </c>
      <c r="O1052" s="43">
        <f t="shared" si="49"/>
        <v>0.10030395136778116</v>
      </c>
    </row>
    <row r="1053" spans="1:15" x14ac:dyDescent="0.45">
      <c r="A1053" s="12" t="s">
        <v>31009</v>
      </c>
      <c r="B1053" s="14">
        <v>295000</v>
      </c>
      <c r="C1053" s="14">
        <v>330000</v>
      </c>
      <c r="D1053" s="14">
        <v>212400</v>
      </c>
      <c r="E1053" s="14">
        <v>272250</v>
      </c>
      <c r="F1053" s="14">
        <v>163800</v>
      </c>
      <c r="G1053" s="14">
        <v>212355</v>
      </c>
      <c r="H1053" s="14">
        <v>147000</v>
      </c>
      <c r="I1053" s="14">
        <v>176000</v>
      </c>
      <c r="J1053" s="14">
        <v>3120</v>
      </c>
      <c r="K1053" s="14">
        <v>4110</v>
      </c>
      <c r="N1053" s="42">
        <f t="shared" si="48"/>
        <v>35000</v>
      </c>
      <c r="O1053" s="43">
        <f t="shared" si="49"/>
        <v>0.10606060606060606</v>
      </c>
    </row>
    <row r="1054" spans="1:15" x14ac:dyDescent="0.45">
      <c r="A1054" s="12" t="s">
        <v>31010</v>
      </c>
      <c r="B1054" s="14">
        <v>295000</v>
      </c>
      <c r="C1054" s="14">
        <v>329000</v>
      </c>
      <c r="D1054" s="14">
        <v>212400</v>
      </c>
      <c r="E1054" s="14">
        <v>271425</v>
      </c>
      <c r="F1054" s="14">
        <v>163800</v>
      </c>
      <c r="G1054" s="14">
        <v>211711</v>
      </c>
      <c r="H1054" s="14">
        <v>146000</v>
      </c>
      <c r="I1054" s="14">
        <v>175000</v>
      </c>
      <c r="J1054" s="14">
        <v>3190</v>
      </c>
      <c r="K1054" s="14">
        <v>4170</v>
      </c>
      <c r="N1054" s="42">
        <f t="shared" si="48"/>
        <v>34000</v>
      </c>
      <c r="O1054" s="43">
        <f t="shared" si="49"/>
        <v>0.10334346504559271</v>
      </c>
    </row>
    <row r="1055" spans="1:15" x14ac:dyDescent="0.45">
      <c r="A1055" s="12" t="s">
        <v>31011</v>
      </c>
      <c r="B1055" s="14">
        <v>295000</v>
      </c>
      <c r="C1055" s="14">
        <v>329000</v>
      </c>
      <c r="D1055" s="14">
        <v>212400</v>
      </c>
      <c r="E1055" s="14">
        <v>271425</v>
      </c>
      <c r="F1055" s="14">
        <v>163800</v>
      </c>
      <c r="G1055" s="14">
        <v>211711</v>
      </c>
      <c r="H1055" s="14">
        <v>145000</v>
      </c>
      <c r="I1055" s="14">
        <v>173000</v>
      </c>
      <c r="J1055" s="14">
        <v>3170</v>
      </c>
      <c r="K1055" s="14">
        <v>4160</v>
      </c>
      <c r="N1055" s="42">
        <f t="shared" si="48"/>
        <v>34000</v>
      </c>
      <c r="O1055" s="43">
        <f t="shared" si="49"/>
        <v>0.10334346504559271</v>
      </c>
    </row>
    <row r="1056" spans="1:15" x14ac:dyDescent="0.45">
      <c r="A1056" s="12" t="s">
        <v>31012</v>
      </c>
      <c r="B1056" s="14">
        <v>294000</v>
      </c>
      <c r="C1056" s="14">
        <v>326000</v>
      </c>
      <c r="D1056" s="14">
        <v>211700</v>
      </c>
      <c r="E1056" s="14">
        <v>268950</v>
      </c>
      <c r="F1056" s="14">
        <v>163200</v>
      </c>
      <c r="G1056" s="14">
        <v>209781</v>
      </c>
      <c r="H1056" s="14">
        <v>146000</v>
      </c>
      <c r="I1056" s="14">
        <v>175000</v>
      </c>
      <c r="J1056" s="14">
        <v>3120</v>
      </c>
      <c r="K1056" s="14">
        <v>4120</v>
      </c>
      <c r="N1056" s="42">
        <f t="shared" si="48"/>
        <v>32000</v>
      </c>
      <c r="O1056" s="43">
        <f t="shared" si="49"/>
        <v>9.815950920245399E-2</v>
      </c>
    </row>
    <row r="1057" spans="1:15" x14ac:dyDescent="0.45">
      <c r="A1057" s="12" t="s">
        <v>31013</v>
      </c>
      <c r="B1057" s="14">
        <v>294000</v>
      </c>
      <c r="C1057" s="14">
        <v>326000</v>
      </c>
      <c r="D1057" s="14">
        <v>211700</v>
      </c>
      <c r="E1057" s="14">
        <v>268950</v>
      </c>
      <c r="F1057" s="14">
        <v>163200</v>
      </c>
      <c r="G1057" s="14">
        <v>209781</v>
      </c>
      <c r="H1057" s="14">
        <v>146000</v>
      </c>
      <c r="I1057" s="14">
        <v>175000</v>
      </c>
      <c r="J1057" s="14">
        <v>3190</v>
      </c>
      <c r="K1057" s="14">
        <v>4190</v>
      </c>
      <c r="N1057" s="42">
        <f t="shared" si="48"/>
        <v>32000</v>
      </c>
      <c r="O1057" s="43">
        <f t="shared" si="49"/>
        <v>9.815950920245399E-2</v>
      </c>
    </row>
    <row r="1058" spans="1:15" x14ac:dyDescent="0.45">
      <c r="A1058" s="12" t="s">
        <v>31014</v>
      </c>
      <c r="B1058" s="14">
        <v>295000</v>
      </c>
      <c r="C1058" s="14">
        <v>327000</v>
      </c>
      <c r="D1058" s="14">
        <v>212400</v>
      </c>
      <c r="E1058" s="14">
        <v>269775</v>
      </c>
      <c r="F1058" s="14">
        <v>163800</v>
      </c>
      <c r="G1058" s="14">
        <v>210424</v>
      </c>
      <c r="H1058" s="14">
        <v>149000</v>
      </c>
      <c r="I1058" s="14">
        <v>179000</v>
      </c>
      <c r="J1058" s="14">
        <v>3220</v>
      </c>
      <c r="K1058" s="14">
        <v>4220</v>
      </c>
      <c r="N1058" s="42">
        <f t="shared" si="48"/>
        <v>32000</v>
      </c>
      <c r="O1058" s="43">
        <f t="shared" si="49"/>
        <v>9.7859327217125383E-2</v>
      </c>
    </row>
    <row r="1059" spans="1:15" x14ac:dyDescent="0.45">
      <c r="A1059" s="12" t="s">
        <v>31015</v>
      </c>
      <c r="B1059" s="14">
        <v>296000</v>
      </c>
      <c r="C1059" s="14">
        <v>328500</v>
      </c>
      <c r="D1059" s="14">
        <v>213200</v>
      </c>
      <c r="E1059" s="14">
        <v>271012</v>
      </c>
      <c r="F1059" s="14">
        <v>164300</v>
      </c>
      <c r="G1059" s="14">
        <v>211389</v>
      </c>
      <c r="H1059" s="14">
        <v>150000</v>
      </c>
      <c r="I1059" s="14">
        <v>180000</v>
      </c>
      <c r="J1059" s="14">
        <v>3240</v>
      </c>
      <c r="K1059" s="14">
        <v>4250</v>
      </c>
      <c r="N1059" s="42">
        <f t="shared" si="48"/>
        <v>32500</v>
      </c>
      <c r="O1059" s="43">
        <f t="shared" si="49"/>
        <v>9.8934550989345504E-2</v>
      </c>
    </row>
    <row r="1060" spans="1:15" x14ac:dyDescent="0.45">
      <c r="A1060" s="12" t="s">
        <v>31016</v>
      </c>
      <c r="B1060" s="14">
        <v>296000</v>
      </c>
      <c r="C1060" s="14">
        <v>329500</v>
      </c>
      <c r="D1060" s="14">
        <v>213200</v>
      </c>
      <c r="E1060" s="14">
        <v>271837</v>
      </c>
      <c r="F1060" s="14">
        <v>164300</v>
      </c>
      <c r="G1060" s="14">
        <v>212033</v>
      </c>
      <c r="H1060" s="14">
        <v>151000</v>
      </c>
      <c r="I1060" s="14">
        <v>181000</v>
      </c>
      <c r="J1060" s="14">
        <v>3250</v>
      </c>
      <c r="K1060" s="14">
        <v>4250</v>
      </c>
      <c r="N1060" s="42">
        <f t="shared" si="48"/>
        <v>33500</v>
      </c>
      <c r="O1060" s="43">
        <f t="shared" si="49"/>
        <v>0.10166919575113809</v>
      </c>
    </row>
    <row r="1061" spans="1:15" x14ac:dyDescent="0.45">
      <c r="A1061" s="12" t="s">
        <v>31017</v>
      </c>
      <c r="B1061" s="14">
        <v>296000</v>
      </c>
      <c r="C1061" s="14">
        <v>326000</v>
      </c>
      <c r="D1061" s="14">
        <v>213200</v>
      </c>
      <c r="E1061" s="14">
        <v>268950</v>
      </c>
      <c r="F1061" s="14">
        <v>164300</v>
      </c>
      <c r="G1061" s="14">
        <v>209781</v>
      </c>
      <c r="H1061" s="14">
        <v>151000</v>
      </c>
      <c r="I1061" s="14">
        <v>182000</v>
      </c>
      <c r="J1061" s="14">
        <v>3180</v>
      </c>
      <c r="K1061" s="14">
        <v>4170</v>
      </c>
      <c r="N1061" s="42">
        <f t="shared" si="48"/>
        <v>30000</v>
      </c>
      <c r="O1061" s="43">
        <f t="shared" si="49"/>
        <v>9.202453987730061E-2</v>
      </c>
    </row>
    <row r="1062" spans="1:15" x14ac:dyDescent="0.45">
      <c r="A1062" s="12" t="s">
        <v>31018</v>
      </c>
      <c r="B1062" s="14">
        <v>296000</v>
      </c>
      <c r="C1062" s="14">
        <v>324000</v>
      </c>
      <c r="D1062" s="14">
        <v>213200</v>
      </c>
      <c r="E1062" s="14">
        <v>267300</v>
      </c>
      <c r="F1062" s="14">
        <v>164300</v>
      </c>
      <c r="G1062" s="14">
        <v>208494</v>
      </c>
      <c r="H1062" s="14">
        <v>152000</v>
      </c>
      <c r="I1062" s="14">
        <v>182000</v>
      </c>
      <c r="J1062" s="14">
        <v>3140</v>
      </c>
      <c r="K1062" s="14">
        <v>4130</v>
      </c>
      <c r="N1062" s="42">
        <f t="shared" si="48"/>
        <v>28000</v>
      </c>
      <c r="O1062" s="43">
        <f t="shared" si="49"/>
        <v>8.6419753086419748E-2</v>
      </c>
    </row>
    <row r="1063" spans="1:15" x14ac:dyDescent="0.45">
      <c r="A1063" s="12" t="s">
        <v>31019</v>
      </c>
      <c r="B1063" s="14">
        <v>295500</v>
      </c>
      <c r="C1063" s="14">
        <v>324000</v>
      </c>
      <c r="D1063" s="14">
        <v>212800</v>
      </c>
      <c r="E1063" s="14">
        <v>267300</v>
      </c>
      <c r="F1063" s="14">
        <v>164100</v>
      </c>
      <c r="G1063" s="14">
        <v>208494</v>
      </c>
      <c r="H1063" s="14">
        <v>153000</v>
      </c>
      <c r="I1063" s="14">
        <v>183000</v>
      </c>
      <c r="J1063" s="14">
        <v>3170</v>
      </c>
      <c r="K1063" s="14">
        <v>4170</v>
      </c>
      <c r="N1063" s="42">
        <f t="shared" si="48"/>
        <v>28500</v>
      </c>
      <c r="O1063" s="43">
        <f t="shared" si="49"/>
        <v>8.7962962962962965E-2</v>
      </c>
    </row>
    <row r="1064" spans="1:15" x14ac:dyDescent="0.45">
      <c r="A1064" s="12" t="s">
        <v>31020</v>
      </c>
      <c r="B1064" s="14">
        <v>293500</v>
      </c>
      <c r="C1064" s="14">
        <v>322000</v>
      </c>
      <c r="D1064" s="14">
        <v>211400</v>
      </c>
      <c r="E1064" s="14">
        <v>265650</v>
      </c>
      <c r="F1064" s="14">
        <v>162900</v>
      </c>
      <c r="G1064" s="14">
        <v>207207</v>
      </c>
      <c r="H1064" s="14">
        <v>153000</v>
      </c>
      <c r="I1064" s="14">
        <v>182000</v>
      </c>
      <c r="J1064" s="14">
        <v>3160</v>
      </c>
      <c r="K1064" s="14">
        <v>4170</v>
      </c>
      <c r="N1064" s="42">
        <f t="shared" si="48"/>
        <v>28500</v>
      </c>
      <c r="O1064" s="43">
        <f t="shared" si="49"/>
        <v>8.8509316770186336E-2</v>
      </c>
    </row>
    <row r="1065" spans="1:15" x14ac:dyDescent="0.45">
      <c r="A1065" s="12" t="s">
        <v>31021</v>
      </c>
      <c r="B1065" s="14">
        <v>293000</v>
      </c>
      <c r="C1065" s="14">
        <v>324000</v>
      </c>
      <c r="D1065" s="14">
        <v>211000</v>
      </c>
      <c r="E1065" s="14">
        <v>267300</v>
      </c>
      <c r="F1065" s="14">
        <v>162700</v>
      </c>
      <c r="G1065" s="14">
        <v>208494</v>
      </c>
      <c r="H1065" s="14">
        <v>156000</v>
      </c>
      <c r="I1065" s="14">
        <v>186000</v>
      </c>
      <c r="J1065" s="14">
        <v>3230</v>
      </c>
      <c r="K1065" s="14">
        <v>4230</v>
      </c>
      <c r="N1065" s="42">
        <f t="shared" si="48"/>
        <v>31000</v>
      </c>
      <c r="O1065" s="43">
        <f t="shared" si="49"/>
        <v>9.5679012345679007E-2</v>
      </c>
    </row>
    <row r="1066" spans="1:15" x14ac:dyDescent="0.45">
      <c r="A1066" s="12" t="s">
        <v>31022</v>
      </c>
      <c r="B1066" s="14">
        <v>293000</v>
      </c>
      <c r="C1066" s="14">
        <v>327500</v>
      </c>
      <c r="D1066" s="14">
        <v>211000</v>
      </c>
      <c r="E1066" s="14">
        <v>270187</v>
      </c>
      <c r="F1066" s="14">
        <v>162700</v>
      </c>
      <c r="G1066" s="14">
        <v>210746</v>
      </c>
      <c r="H1066" s="14">
        <v>158000</v>
      </c>
      <c r="I1066" s="14">
        <v>189000</v>
      </c>
      <c r="J1066" s="14">
        <v>3270</v>
      </c>
      <c r="K1066" s="14">
        <v>4280</v>
      </c>
      <c r="N1066" s="42">
        <f t="shared" si="48"/>
        <v>34500</v>
      </c>
      <c r="O1066" s="43">
        <f t="shared" si="49"/>
        <v>0.10534351145038168</v>
      </c>
    </row>
    <row r="1067" spans="1:15" x14ac:dyDescent="0.45">
      <c r="A1067" s="12" t="s">
        <v>31023</v>
      </c>
      <c r="B1067" s="14">
        <v>292000</v>
      </c>
      <c r="C1067" s="14">
        <v>322500</v>
      </c>
      <c r="D1067" s="14">
        <v>210300</v>
      </c>
      <c r="E1067" s="14">
        <v>266062</v>
      </c>
      <c r="F1067" s="14">
        <v>162100</v>
      </c>
      <c r="G1067" s="14">
        <v>207528</v>
      </c>
      <c r="H1067" s="14">
        <v>153000</v>
      </c>
      <c r="I1067" s="14">
        <v>183000</v>
      </c>
      <c r="J1067" s="14">
        <v>3180</v>
      </c>
      <c r="K1067" s="14">
        <v>4190</v>
      </c>
      <c r="N1067" s="42">
        <f t="shared" si="48"/>
        <v>30500</v>
      </c>
      <c r="O1067" s="43">
        <f t="shared" si="49"/>
        <v>9.4573643410852712E-2</v>
      </c>
    </row>
    <row r="1068" spans="1:15" x14ac:dyDescent="0.45">
      <c r="A1068" s="12" t="s">
        <v>31024</v>
      </c>
      <c r="B1068" s="14">
        <v>292500</v>
      </c>
      <c r="C1068" s="14">
        <v>325500</v>
      </c>
      <c r="D1068" s="14">
        <v>210600</v>
      </c>
      <c r="E1068" s="14">
        <v>268537</v>
      </c>
      <c r="F1068" s="14">
        <v>162400</v>
      </c>
      <c r="G1068" s="14">
        <v>209459</v>
      </c>
      <c r="H1068" s="14">
        <v>155000</v>
      </c>
      <c r="I1068" s="14">
        <v>186000</v>
      </c>
      <c r="J1068" s="14">
        <v>3260</v>
      </c>
      <c r="K1068" s="14">
        <v>4290</v>
      </c>
      <c r="N1068" s="42">
        <f t="shared" si="48"/>
        <v>33000</v>
      </c>
      <c r="O1068" s="43">
        <f t="shared" si="49"/>
        <v>0.10138248847926268</v>
      </c>
    </row>
    <row r="1069" spans="1:15" x14ac:dyDescent="0.45">
      <c r="A1069" s="12" t="s">
        <v>31025</v>
      </c>
      <c r="B1069" s="14">
        <v>288500</v>
      </c>
      <c r="C1069" s="14">
        <v>325500</v>
      </c>
      <c r="D1069" s="14">
        <v>207800</v>
      </c>
      <c r="E1069" s="14">
        <v>268537</v>
      </c>
      <c r="F1069" s="14">
        <v>160200</v>
      </c>
      <c r="G1069" s="14">
        <v>209459</v>
      </c>
      <c r="H1069" s="14">
        <v>158000</v>
      </c>
      <c r="I1069" s="14">
        <v>189000</v>
      </c>
      <c r="J1069" s="14">
        <v>3370</v>
      </c>
      <c r="K1069" s="14">
        <v>4400</v>
      </c>
      <c r="N1069" s="42">
        <f t="shared" ref="N1069:N1132" si="50">C1069-B1069</f>
        <v>37000</v>
      </c>
      <c r="O1069" s="43">
        <f t="shared" ref="O1069:O1132" si="51">N1069/C1069</f>
        <v>0.11367127496159754</v>
      </c>
    </row>
    <row r="1070" spans="1:15" x14ac:dyDescent="0.45">
      <c r="A1070" s="12" t="s">
        <v>31026</v>
      </c>
      <c r="B1070" s="14">
        <v>288000</v>
      </c>
      <c r="C1070" s="14">
        <v>322500</v>
      </c>
      <c r="D1070" s="14">
        <v>207400</v>
      </c>
      <c r="E1070" s="14">
        <v>266062</v>
      </c>
      <c r="F1070" s="14">
        <v>159900</v>
      </c>
      <c r="G1070" s="14">
        <v>207528</v>
      </c>
      <c r="H1070" s="14">
        <v>155000</v>
      </c>
      <c r="I1070" s="14">
        <v>188000</v>
      </c>
      <c r="J1070" s="14">
        <v>3300</v>
      </c>
      <c r="K1070" s="14">
        <v>4330</v>
      </c>
      <c r="N1070" s="42">
        <f t="shared" si="50"/>
        <v>34500</v>
      </c>
      <c r="O1070" s="43">
        <f t="shared" si="51"/>
        <v>0.10697674418604651</v>
      </c>
    </row>
    <row r="1071" spans="1:15" x14ac:dyDescent="0.45">
      <c r="A1071" s="12" t="s">
        <v>31027</v>
      </c>
      <c r="B1071" s="14">
        <v>287000</v>
      </c>
      <c r="C1071" s="14">
        <v>320000</v>
      </c>
      <c r="D1071" s="14">
        <v>206700</v>
      </c>
      <c r="E1071" s="14">
        <v>264000</v>
      </c>
      <c r="F1071" s="14">
        <v>159300</v>
      </c>
      <c r="G1071" s="14">
        <v>205920</v>
      </c>
      <c r="H1071" s="14">
        <v>155000</v>
      </c>
      <c r="I1071" s="14">
        <v>187000</v>
      </c>
      <c r="J1071" s="14">
        <v>3270</v>
      </c>
      <c r="K1071" s="14">
        <v>4300</v>
      </c>
      <c r="N1071" s="42">
        <f t="shared" si="50"/>
        <v>33000</v>
      </c>
      <c r="O1071" s="43">
        <f t="shared" si="51"/>
        <v>0.10312499999999999</v>
      </c>
    </row>
    <row r="1072" spans="1:15" x14ac:dyDescent="0.45">
      <c r="A1072" s="12" t="s">
        <v>31028</v>
      </c>
      <c r="B1072" s="14">
        <v>287000</v>
      </c>
      <c r="C1072" s="14">
        <v>318500</v>
      </c>
      <c r="D1072" s="14">
        <v>206700</v>
      </c>
      <c r="E1072" s="14">
        <v>262762</v>
      </c>
      <c r="F1072" s="14">
        <v>159300</v>
      </c>
      <c r="G1072" s="14">
        <v>204954</v>
      </c>
      <c r="H1072" s="14">
        <v>151000</v>
      </c>
      <c r="I1072" s="14">
        <v>183000</v>
      </c>
      <c r="J1072" s="14">
        <v>3260</v>
      </c>
      <c r="K1072" s="14">
        <v>4270</v>
      </c>
      <c r="N1072" s="42">
        <f t="shared" si="50"/>
        <v>31500</v>
      </c>
      <c r="O1072" s="43">
        <f t="shared" si="51"/>
        <v>9.8901098901098897E-2</v>
      </c>
    </row>
    <row r="1073" spans="1:15" x14ac:dyDescent="0.45">
      <c r="A1073" s="12" t="s">
        <v>31029</v>
      </c>
      <c r="B1073" s="14">
        <v>286500</v>
      </c>
      <c r="C1073" s="14">
        <v>317500</v>
      </c>
      <c r="D1073" s="14">
        <v>206300</v>
      </c>
      <c r="E1073" s="14">
        <v>261937</v>
      </c>
      <c r="F1073" s="14">
        <v>159100</v>
      </c>
      <c r="G1073" s="14">
        <v>204311</v>
      </c>
      <c r="H1073" s="14">
        <v>145000</v>
      </c>
      <c r="I1073" s="14">
        <v>176000</v>
      </c>
      <c r="J1073" s="14">
        <v>3220</v>
      </c>
      <c r="K1073" s="14">
        <v>4240</v>
      </c>
      <c r="N1073" s="42">
        <f t="shared" si="50"/>
        <v>31000</v>
      </c>
      <c r="O1073" s="43">
        <f t="shared" si="51"/>
        <v>9.763779527559055E-2</v>
      </c>
    </row>
    <row r="1074" spans="1:15" x14ac:dyDescent="0.45">
      <c r="A1074" s="12" t="s">
        <v>31030</v>
      </c>
      <c r="B1074" s="14">
        <v>287000</v>
      </c>
      <c r="C1074" s="14">
        <v>319000</v>
      </c>
      <c r="D1074" s="14">
        <v>206700</v>
      </c>
      <c r="E1074" s="14">
        <v>263175</v>
      </c>
      <c r="F1074" s="14">
        <v>159300</v>
      </c>
      <c r="G1074" s="14">
        <v>205276</v>
      </c>
      <c r="H1074" s="14">
        <v>147000</v>
      </c>
      <c r="I1074" s="14">
        <v>178000</v>
      </c>
      <c r="J1074" s="14">
        <v>3290</v>
      </c>
      <c r="K1074" s="14">
        <v>4300</v>
      </c>
      <c r="N1074" s="42">
        <f t="shared" si="50"/>
        <v>32000</v>
      </c>
      <c r="O1074" s="43">
        <f t="shared" si="51"/>
        <v>0.10031347962382445</v>
      </c>
    </row>
    <row r="1075" spans="1:15" x14ac:dyDescent="0.45">
      <c r="A1075" s="12" t="s">
        <v>31031</v>
      </c>
      <c r="B1075" s="14">
        <v>286000</v>
      </c>
      <c r="C1075" s="14">
        <v>318500</v>
      </c>
      <c r="D1075" s="14">
        <v>206000</v>
      </c>
      <c r="E1075" s="14">
        <v>262762</v>
      </c>
      <c r="F1075" s="14">
        <v>158800</v>
      </c>
      <c r="G1075" s="14">
        <v>204954</v>
      </c>
      <c r="H1075" s="14">
        <v>149000</v>
      </c>
      <c r="I1075" s="14">
        <v>180000</v>
      </c>
      <c r="J1075" s="14">
        <v>3260</v>
      </c>
      <c r="K1075" s="14">
        <v>4290</v>
      </c>
      <c r="N1075" s="42">
        <f t="shared" si="50"/>
        <v>32500</v>
      </c>
      <c r="O1075" s="43">
        <f t="shared" si="51"/>
        <v>0.10204081632653061</v>
      </c>
    </row>
    <row r="1076" spans="1:15" x14ac:dyDescent="0.45">
      <c r="A1076" s="12" t="s">
        <v>31032</v>
      </c>
      <c r="B1076" s="14">
        <v>285000</v>
      </c>
      <c r="C1076" s="14">
        <v>319500</v>
      </c>
      <c r="D1076" s="14">
        <v>205200</v>
      </c>
      <c r="E1076" s="14">
        <v>263587</v>
      </c>
      <c r="F1076" s="14">
        <v>158200</v>
      </c>
      <c r="G1076" s="14">
        <v>205598</v>
      </c>
      <c r="H1076" s="14">
        <v>150000</v>
      </c>
      <c r="I1076" s="14">
        <v>181000</v>
      </c>
      <c r="J1076" s="14">
        <v>3280</v>
      </c>
      <c r="K1076" s="14">
        <v>4300</v>
      </c>
      <c r="N1076" s="42">
        <f t="shared" si="50"/>
        <v>34500</v>
      </c>
      <c r="O1076" s="43">
        <f t="shared" si="51"/>
        <v>0.107981220657277</v>
      </c>
    </row>
    <row r="1077" spans="1:15" x14ac:dyDescent="0.45">
      <c r="A1077" s="12" t="s">
        <v>31033</v>
      </c>
      <c r="B1077" s="14">
        <v>285000</v>
      </c>
      <c r="C1077" s="14">
        <v>319000</v>
      </c>
      <c r="D1077" s="14">
        <v>205200</v>
      </c>
      <c r="E1077" s="14">
        <v>263175</v>
      </c>
      <c r="F1077" s="14">
        <v>158200</v>
      </c>
      <c r="G1077" s="14">
        <v>205276</v>
      </c>
      <c r="H1077" s="14">
        <v>143000</v>
      </c>
      <c r="I1077" s="14">
        <v>173000</v>
      </c>
      <c r="J1077" s="14">
        <v>3260</v>
      </c>
      <c r="K1077" s="14">
        <v>4270</v>
      </c>
      <c r="N1077" s="42">
        <f t="shared" si="50"/>
        <v>34000</v>
      </c>
      <c r="O1077" s="43">
        <f t="shared" si="51"/>
        <v>0.10658307210031348</v>
      </c>
    </row>
    <row r="1078" spans="1:15" x14ac:dyDescent="0.45">
      <c r="A1078" s="12" t="s">
        <v>31034</v>
      </c>
      <c r="B1078" s="14">
        <v>286000</v>
      </c>
      <c r="C1078" s="14">
        <v>320500</v>
      </c>
      <c r="D1078" s="14">
        <v>206000</v>
      </c>
      <c r="E1078" s="14">
        <v>264412</v>
      </c>
      <c r="F1078" s="14">
        <v>158800</v>
      </c>
      <c r="G1078" s="14">
        <v>206241</v>
      </c>
      <c r="H1078" s="14">
        <v>146000</v>
      </c>
      <c r="I1078" s="14">
        <v>177000</v>
      </c>
      <c r="J1078" s="14">
        <v>3300</v>
      </c>
      <c r="K1078" s="14">
        <v>4330</v>
      </c>
      <c r="N1078" s="42">
        <f t="shared" si="50"/>
        <v>34500</v>
      </c>
      <c r="O1078" s="43">
        <f t="shared" si="51"/>
        <v>0.10764430577223089</v>
      </c>
    </row>
    <row r="1079" spans="1:15" x14ac:dyDescent="0.45">
      <c r="A1079" s="12" t="s">
        <v>31035</v>
      </c>
      <c r="B1079" s="14">
        <v>286500</v>
      </c>
      <c r="C1079" s="14">
        <v>323500</v>
      </c>
      <c r="D1079" s="14">
        <v>206300</v>
      </c>
      <c r="E1079" s="14">
        <v>266887</v>
      </c>
      <c r="F1079" s="14">
        <v>159100</v>
      </c>
      <c r="G1079" s="14">
        <v>208172</v>
      </c>
      <c r="H1079" s="14">
        <v>148000</v>
      </c>
      <c r="I1079" s="14">
        <v>179000</v>
      </c>
      <c r="J1079" s="14">
        <v>3340</v>
      </c>
      <c r="K1079" s="14">
        <v>4370</v>
      </c>
      <c r="N1079" s="42">
        <f t="shared" si="50"/>
        <v>37000</v>
      </c>
      <c r="O1079" s="43">
        <f t="shared" si="51"/>
        <v>0.11437403400309119</v>
      </c>
    </row>
    <row r="1080" spans="1:15" x14ac:dyDescent="0.45">
      <c r="A1080" s="12" t="s">
        <v>31036</v>
      </c>
      <c r="B1080" s="14">
        <v>286000</v>
      </c>
      <c r="C1080" s="14">
        <v>324000</v>
      </c>
      <c r="D1080" s="14">
        <v>206000</v>
      </c>
      <c r="E1080" s="14">
        <v>267300</v>
      </c>
      <c r="F1080" s="14">
        <v>158800</v>
      </c>
      <c r="G1080" s="14">
        <v>208494</v>
      </c>
      <c r="H1080" s="14">
        <v>147000</v>
      </c>
      <c r="I1080" s="14">
        <v>178000</v>
      </c>
      <c r="J1080" s="14">
        <v>3260</v>
      </c>
      <c r="K1080" s="14">
        <v>4270</v>
      </c>
      <c r="N1080" s="42">
        <f t="shared" si="50"/>
        <v>38000</v>
      </c>
      <c r="O1080" s="43">
        <f t="shared" si="51"/>
        <v>0.11728395061728394</v>
      </c>
    </row>
    <row r="1081" spans="1:15" x14ac:dyDescent="0.45">
      <c r="A1081" s="12" t="s">
        <v>31037</v>
      </c>
      <c r="B1081" s="14">
        <v>287000</v>
      </c>
      <c r="C1081" s="14">
        <v>325000</v>
      </c>
      <c r="D1081" s="14">
        <v>206700</v>
      </c>
      <c r="E1081" s="14">
        <v>268125</v>
      </c>
      <c r="F1081" s="14">
        <v>159300</v>
      </c>
      <c r="G1081" s="14">
        <v>209137</v>
      </c>
      <c r="H1081" s="14">
        <v>148000</v>
      </c>
      <c r="I1081" s="14">
        <v>179000</v>
      </c>
      <c r="J1081" s="14">
        <v>3280</v>
      </c>
      <c r="K1081" s="14">
        <v>4300</v>
      </c>
      <c r="N1081" s="42">
        <f t="shared" si="50"/>
        <v>38000</v>
      </c>
      <c r="O1081" s="43">
        <f t="shared" si="51"/>
        <v>0.11692307692307692</v>
      </c>
    </row>
    <row r="1082" spans="1:15" x14ac:dyDescent="0.45">
      <c r="A1082" s="12" t="s">
        <v>31038</v>
      </c>
      <c r="B1082" s="14">
        <v>287000</v>
      </c>
      <c r="C1082" s="14">
        <v>322500</v>
      </c>
      <c r="D1082" s="14">
        <v>206700</v>
      </c>
      <c r="E1082" s="14">
        <v>266062</v>
      </c>
      <c r="F1082" s="14">
        <v>159300</v>
      </c>
      <c r="G1082" s="14">
        <v>207528</v>
      </c>
      <c r="H1082" s="14">
        <v>150000</v>
      </c>
      <c r="I1082" s="14">
        <v>182000</v>
      </c>
      <c r="J1082" s="14">
        <v>3270</v>
      </c>
      <c r="K1082" s="14">
        <v>4290</v>
      </c>
      <c r="N1082" s="42">
        <f t="shared" si="50"/>
        <v>35500</v>
      </c>
      <c r="O1082" s="43">
        <f t="shared" si="51"/>
        <v>0.11007751937984496</v>
      </c>
    </row>
    <row r="1083" spans="1:15" x14ac:dyDescent="0.45">
      <c r="A1083" s="12" t="s">
        <v>31039</v>
      </c>
      <c r="B1083" s="14">
        <v>286500</v>
      </c>
      <c r="C1083" s="14">
        <v>323000</v>
      </c>
      <c r="D1083" s="14">
        <v>206300</v>
      </c>
      <c r="E1083" s="14">
        <v>266475</v>
      </c>
      <c r="F1083" s="14">
        <v>159100</v>
      </c>
      <c r="G1083" s="14">
        <v>207850</v>
      </c>
      <c r="H1083" s="14">
        <v>150000</v>
      </c>
      <c r="I1083" s="14">
        <v>182000</v>
      </c>
      <c r="J1083" s="14">
        <v>3270</v>
      </c>
      <c r="K1083" s="14">
        <v>4300</v>
      </c>
      <c r="N1083" s="42">
        <f t="shared" si="50"/>
        <v>36500</v>
      </c>
      <c r="O1083" s="43">
        <f t="shared" si="51"/>
        <v>0.1130030959752322</v>
      </c>
    </row>
    <row r="1084" spans="1:15" x14ac:dyDescent="0.45">
      <c r="A1084" s="12" t="s">
        <v>31040</v>
      </c>
      <c r="B1084" s="14">
        <v>285500</v>
      </c>
      <c r="C1084" s="14">
        <v>322500</v>
      </c>
      <c r="D1084" s="14">
        <v>205600</v>
      </c>
      <c r="E1084" s="14">
        <v>266062</v>
      </c>
      <c r="F1084" s="14">
        <v>158500</v>
      </c>
      <c r="G1084" s="14">
        <v>207528</v>
      </c>
      <c r="H1084" s="14">
        <v>149000</v>
      </c>
      <c r="I1084" s="14">
        <v>180000</v>
      </c>
      <c r="J1084" s="14">
        <v>3290</v>
      </c>
      <c r="K1084" s="14">
        <v>4320</v>
      </c>
      <c r="N1084" s="42">
        <f t="shared" si="50"/>
        <v>37000</v>
      </c>
      <c r="O1084" s="43">
        <f t="shared" si="51"/>
        <v>0.11472868217054263</v>
      </c>
    </row>
    <row r="1085" spans="1:15" x14ac:dyDescent="0.45">
      <c r="A1085" s="12" t="s">
        <v>31041</v>
      </c>
      <c r="B1085" s="14">
        <v>286500</v>
      </c>
      <c r="C1085" s="14">
        <v>323500</v>
      </c>
      <c r="D1085" s="14">
        <v>206300</v>
      </c>
      <c r="E1085" s="14">
        <v>266887</v>
      </c>
      <c r="F1085" s="14">
        <v>159100</v>
      </c>
      <c r="G1085" s="14">
        <v>208172</v>
      </c>
      <c r="H1085" s="14">
        <v>151000</v>
      </c>
      <c r="I1085" s="14">
        <v>183000</v>
      </c>
      <c r="J1085" s="14">
        <v>3290</v>
      </c>
      <c r="K1085" s="14">
        <v>4300</v>
      </c>
      <c r="N1085" s="42">
        <f t="shared" si="50"/>
        <v>37000</v>
      </c>
      <c r="O1085" s="43">
        <f t="shared" si="51"/>
        <v>0.11437403400309119</v>
      </c>
    </row>
    <row r="1086" spans="1:15" x14ac:dyDescent="0.45">
      <c r="A1086" s="12" t="s">
        <v>31042</v>
      </c>
      <c r="B1086" s="14">
        <v>286500</v>
      </c>
      <c r="C1086" s="14">
        <v>324500</v>
      </c>
      <c r="D1086" s="14">
        <v>206300</v>
      </c>
      <c r="E1086" s="14">
        <v>267712</v>
      </c>
      <c r="F1086" s="14">
        <v>159100</v>
      </c>
      <c r="G1086" s="14">
        <v>208815</v>
      </c>
      <c r="H1086" s="14">
        <v>152000</v>
      </c>
      <c r="I1086" s="14">
        <v>184000</v>
      </c>
      <c r="J1086" s="14">
        <v>3340</v>
      </c>
      <c r="K1086" s="14">
        <v>4330</v>
      </c>
      <c r="N1086" s="42">
        <f t="shared" si="50"/>
        <v>38000</v>
      </c>
      <c r="O1086" s="43">
        <f t="shared" si="51"/>
        <v>0.11710323574730354</v>
      </c>
    </row>
    <row r="1087" spans="1:15" x14ac:dyDescent="0.45">
      <c r="A1087" s="12" t="s">
        <v>31043</v>
      </c>
      <c r="B1087" s="14">
        <v>287000</v>
      </c>
      <c r="C1087" s="14">
        <v>326000</v>
      </c>
      <c r="D1087" s="14">
        <v>206700</v>
      </c>
      <c r="E1087" s="14">
        <v>268950</v>
      </c>
      <c r="F1087" s="14">
        <v>159300</v>
      </c>
      <c r="G1087" s="14">
        <v>209781</v>
      </c>
      <c r="H1087" s="14">
        <v>151000</v>
      </c>
      <c r="I1087" s="14">
        <v>182000</v>
      </c>
      <c r="J1087" s="14">
        <v>3370</v>
      </c>
      <c r="K1087" s="14">
        <v>4220</v>
      </c>
      <c r="N1087" s="42">
        <f t="shared" si="50"/>
        <v>39000</v>
      </c>
      <c r="O1087" s="43">
        <f t="shared" si="51"/>
        <v>0.1196319018404908</v>
      </c>
    </row>
    <row r="1088" spans="1:15" x14ac:dyDescent="0.45">
      <c r="A1088" s="12" t="s">
        <v>31044</v>
      </c>
      <c r="B1088" s="14">
        <v>286500</v>
      </c>
      <c r="C1088" s="14">
        <v>324000</v>
      </c>
      <c r="D1088" s="14">
        <v>206300</v>
      </c>
      <c r="E1088" s="14">
        <v>267300</v>
      </c>
      <c r="F1088" s="14">
        <v>159100</v>
      </c>
      <c r="G1088" s="14">
        <v>208494</v>
      </c>
      <c r="H1088" s="14">
        <v>149000</v>
      </c>
      <c r="I1088" s="14">
        <v>180000</v>
      </c>
      <c r="J1088" s="14">
        <v>3280</v>
      </c>
      <c r="K1088" s="14">
        <v>4140</v>
      </c>
      <c r="N1088" s="42">
        <f t="shared" si="50"/>
        <v>37500</v>
      </c>
      <c r="O1088" s="43">
        <f t="shared" si="51"/>
        <v>0.11574074074074074</v>
      </c>
    </row>
    <row r="1089" spans="1:15" x14ac:dyDescent="0.45">
      <c r="A1089" s="12" t="s">
        <v>31045</v>
      </c>
      <c r="B1089" s="14">
        <v>286000</v>
      </c>
      <c r="C1089" s="14">
        <v>322500</v>
      </c>
      <c r="D1089" s="14">
        <v>206000</v>
      </c>
      <c r="E1089" s="14">
        <v>266062</v>
      </c>
      <c r="F1089" s="14">
        <v>158800</v>
      </c>
      <c r="G1089" s="14">
        <v>207528</v>
      </c>
      <c r="H1089" s="14">
        <v>151000</v>
      </c>
      <c r="I1089" s="14">
        <v>183000</v>
      </c>
      <c r="J1089" s="14">
        <v>3400</v>
      </c>
      <c r="K1089" s="14">
        <v>4260</v>
      </c>
      <c r="N1089" s="42">
        <f t="shared" si="50"/>
        <v>36500</v>
      </c>
      <c r="O1089" s="43">
        <f t="shared" si="51"/>
        <v>0.11317829457364341</v>
      </c>
    </row>
    <row r="1090" spans="1:15" x14ac:dyDescent="0.45">
      <c r="A1090" s="12" t="s">
        <v>31046</v>
      </c>
      <c r="B1090" s="14">
        <v>286000</v>
      </c>
      <c r="C1090" s="14">
        <v>324500</v>
      </c>
      <c r="D1090" s="14">
        <v>206000</v>
      </c>
      <c r="E1090" s="14">
        <v>267712</v>
      </c>
      <c r="F1090" s="14">
        <v>158800</v>
      </c>
      <c r="G1090" s="14">
        <v>208815</v>
      </c>
      <c r="H1090" s="14">
        <v>151000</v>
      </c>
      <c r="I1090" s="14">
        <v>183000</v>
      </c>
      <c r="J1090" s="14">
        <v>3400</v>
      </c>
      <c r="K1090" s="14">
        <v>4260</v>
      </c>
      <c r="N1090" s="42">
        <f t="shared" si="50"/>
        <v>38500</v>
      </c>
      <c r="O1090" s="43">
        <f t="shared" si="51"/>
        <v>0.11864406779661017</v>
      </c>
    </row>
    <row r="1091" spans="1:15" x14ac:dyDescent="0.45">
      <c r="A1091" s="12" t="s">
        <v>31047</v>
      </c>
      <c r="B1091" s="14">
        <v>287000</v>
      </c>
      <c r="C1091" s="14">
        <v>323000</v>
      </c>
      <c r="D1091" s="14">
        <v>206700</v>
      </c>
      <c r="E1091" s="14">
        <v>266475</v>
      </c>
      <c r="F1091" s="14">
        <v>159300</v>
      </c>
      <c r="G1091" s="14">
        <v>207850</v>
      </c>
      <c r="H1091" s="14">
        <v>154000</v>
      </c>
      <c r="I1091" s="14">
        <v>186000</v>
      </c>
      <c r="J1091" s="14">
        <v>3310</v>
      </c>
      <c r="K1091" s="14">
        <v>4150</v>
      </c>
      <c r="N1091" s="42">
        <f t="shared" si="50"/>
        <v>36000</v>
      </c>
      <c r="O1091" s="43">
        <f t="shared" si="51"/>
        <v>0.11145510835913312</v>
      </c>
    </row>
    <row r="1092" spans="1:15" x14ac:dyDescent="0.45">
      <c r="A1092" s="12" t="s">
        <v>31048</v>
      </c>
      <c r="B1092" s="14">
        <v>285000</v>
      </c>
      <c r="C1092" s="14">
        <v>321500</v>
      </c>
      <c r="D1092" s="14">
        <v>205200</v>
      </c>
      <c r="E1092" s="14">
        <v>265237</v>
      </c>
      <c r="F1092" s="14">
        <v>158200</v>
      </c>
      <c r="G1092" s="14">
        <v>206885</v>
      </c>
      <c r="H1092" s="14">
        <v>155000</v>
      </c>
      <c r="I1092" s="14">
        <v>187000</v>
      </c>
      <c r="J1092" s="14">
        <v>3290</v>
      </c>
      <c r="K1092" s="14">
        <v>4120</v>
      </c>
      <c r="N1092" s="42">
        <f t="shared" si="50"/>
        <v>36500</v>
      </c>
      <c r="O1092" s="43">
        <f t="shared" si="51"/>
        <v>0.11353032659409021</v>
      </c>
    </row>
    <row r="1093" spans="1:15" x14ac:dyDescent="0.45">
      <c r="A1093" s="12" t="s">
        <v>31049</v>
      </c>
      <c r="B1093" s="14">
        <v>286000</v>
      </c>
      <c r="C1093" s="14">
        <v>320500</v>
      </c>
      <c r="D1093" s="14">
        <v>206000</v>
      </c>
      <c r="E1093" s="14">
        <v>264412</v>
      </c>
      <c r="F1093" s="14">
        <v>158800</v>
      </c>
      <c r="G1093" s="14">
        <v>206241</v>
      </c>
      <c r="H1093" s="14">
        <v>152000</v>
      </c>
      <c r="I1093" s="14">
        <v>183000</v>
      </c>
      <c r="J1093" s="14">
        <v>3170</v>
      </c>
      <c r="K1093" s="14">
        <v>3970</v>
      </c>
      <c r="N1093" s="42">
        <f t="shared" si="50"/>
        <v>34500</v>
      </c>
      <c r="O1093" s="43">
        <f t="shared" si="51"/>
        <v>0.10764430577223089</v>
      </c>
    </row>
    <row r="1094" spans="1:15" x14ac:dyDescent="0.45">
      <c r="A1094" s="12" t="s">
        <v>31050</v>
      </c>
      <c r="B1094" s="14">
        <v>288000</v>
      </c>
      <c r="C1094" s="14">
        <v>322000</v>
      </c>
      <c r="D1094" s="14">
        <v>207400</v>
      </c>
      <c r="E1094" s="14">
        <v>265650</v>
      </c>
      <c r="F1094" s="14">
        <v>159900</v>
      </c>
      <c r="G1094" s="14">
        <v>207207</v>
      </c>
      <c r="H1094" s="14">
        <v>152000</v>
      </c>
      <c r="I1094" s="14">
        <v>184000</v>
      </c>
      <c r="J1094" s="14">
        <v>3180</v>
      </c>
      <c r="K1094" s="14">
        <v>3990</v>
      </c>
      <c r="N1094" s="42">
        <f t="shared" si="50"/>
        <v>34000</v>
      </c>
      <c r="O1094" s="43">
        <f t="shared" si="51"/>
        <v>0.10559006211180125</v>
      </c>
    </row>
    <row r="1095" spans="1:15" x14ac:dyDescent="0.45">
      <c r="A1095" s="12" t="s">
        <v>31051</v>
      </c>
      <c r="B1095" s="14">
        <v>289000</v>
      </c>
      <c r="C1095" s="14">
        <v>324500</v>
      </c>
      <c r="D1095" s="14">
        <v>208100</v>
      </c>
      <c r="E1095" s="14">
        <v>267712</v>
      </c>
      <c r="F1095" s="14">
        <v>160400</v>
      </c>
      <c r="G1095" s="14">
        <v>208815</v>
      </c>
      <c r="H1095" s="14">
        <v>149000</v>
      </c>
      <c r="I1095" s="14">
        <v>180000</v>
      </c>
      <c r="J1095" s="14">
        <v>3200</v>
      </c>
      <c r="K1095" s="14">
        <v>4030</v>
      </c>
      <c r="N1095" s="42">
        <f t="shared" si="50"/>
        <v>35500</v>
      </c>
      <c r="O1095" s="43">
        <f t="shared" si="51"/>
        <v>0.10939907550077041</v>
      </c>
    </row>
    <row r="1096" spans="1:15" x14ac:dyDescent="0.45">
      <c r="A1096" s="12" t="s">
        <v>31052</v>
      </c>
      <c r="B1096" s="14">
        <v>289000</v>
      </c>
      <c r="C1096" s="14">
        <v>325000</v>
      </c>
      <c r="D1096" s="14">
        <v>208100</v>
      </c>
      <c r="E1096" s="14">
        <v>268125</v>
      </c>
      <c r="F1096" s="14">
        <v>160400</v>
      </c>
      <c r="G1096" s="14">
        <v>209137</v>
      </c>
      <c r="H1096" s="14">
        <v>149000</v>
      </c>
      <c r="I1096" s="14">
        <v>181000</v>
      </c>
      <c r="J1096" s="14">
        <v>3190</v>
      </c>
      <c r="K1096" s="14">
        <v>4090</v>
      </c>
      <c r="N1096" s="42">
        <f t="shared" si="50"/>
        <v>36000</v>
      </c>
      <c r="O1096" s="43">
        <f t="shared" si="51"/>
        <v>0.11076923076923077</v>
      </c>
    </row>
    <row r="1097" spans="1:15" x14ac:dyDescent="0.45">
      <c r="A1097" s="12" t="s">
        <v>31053</v>
      </c>
      <c r="B1097" s="14">
        <v>289000</v>
      </c>
      <c r="C1097" s="14">
        <v>323000</v>
      </c>
      <c r="D1097" s="14">
        <v>208100</v>
      </c>
      <c r="E1097" s="14">
        <v>266475</v>
      </c>
      <c r="F1097" s="14">
        <v>160400</v>
      </c>
      <c r="G1097" s="14">
        <v>207850</v>
      </c>
      <c r="H1097" s="14">
        <v>151000</v>
      </c>
      <c r="I1097" s="14">
        <v>183000</v>
      </c>
      <c r="J1097" s="14">
        <v>3260</v>
      </c>
      <c r="K1097" s="14">
        <v>4060</v>
      </c>
      <c r="N1097" s="42">
        <f t="shared" si="50"/>
        <v>34000</v>
      </c>
      <c r="O1097" s="43">
        <f t="shared" si="51"/>
        <v>0.10526315789473684</v>
      </c>
    </row>
    <row r="1098" spans="1:15" x14ac:dyDescent="0.45">
      <c r="A1098" s="12" t="s">
        <v>31054</v>
      </c>
      <c r="B1098" s="14">
        <v>290000</v>
      </c>
      <c r="C1098" s="14">
        <v>325000</v>
      </c>
      <c r="D1098" s="14">
        <v>208800</v>
      </c>
      <c r="E1098" s="14">
        <v>268125</v>
      </c>
      <c r="F1098" s="14">
        <v>161000</v>
      </c>
      <c r="G1098" s="14">
        <v>209137</v>
      </c>
      <c r="H1098" s="14">
        <v>153000</v>
      </c>
      <c r="I1098" s="14">
        <v>185000</v>
      </c>
      <c r="J1098" s="14">
        <v>3240</v>
      </c>
      <c r="K1098" s="14">
        <v>4020</v>
      </c>
      <c r="N1098" s="42">
        <f t="shared" si="50"/>
        <v>35000</v>
      </c>
      <c r="O1098" s="43">
        <f t="shared" si="51"/>
        <v>0.1076923076923077</v>
      </c>
    </row>
    <row r="1099" spans="1:15" x14ac:dyDescent="0.45">
      <c r="A1099" s="12" t="s">
        <v>31055</v>
      </c>
      <c r="B1099" s="14">
        <v>290500</v>
      </c>
      <c r="C1099" s="14">
        <v>326500</v>
      </c>
      <c r="D1099" s="14">
        <v>209200</v>
      </c>
      <c r="E1099" s="14">
        <v>269362</v>
      </c>
      <c r="F1099" s="14">
        <v>161300</v>
      </c>
      <c r="G1099" s="14">
        <v>210102</v>
      </c>
      <c r="H1099" s="14">
        <v>153000</v>
      </c>
      <c r="I1099" s="14">
        <v>185000</v>
      </c>
      <c r="J1099" s="14">
        <v>3230</v>
      </c>
      <c r="K1099" s="14">
        <v>4010</v>
      </c>
      <c r="N1099" s="42">
        <f t="shared" si="50"/>
        <v>36000</v>
      </c>
      <c r="O1099" s="43">
        <f t="shared" si="51"/>
        <v>0.11026033690658499</v>
      </c>
    </row>
    <row r="1100" spans="1:15" x14ac:dyDescent="0.45">
      <c r="A1100" s="12" t="s">
        <v>31056</v>
      </c>
      <c r="B1100" s="14">
        <v>290000</v>
      </c>
      <c r="C1100" s="14">
        <v>327000</v>
      </c>
      <c r="D1100" s="14">
        <v>208800</v>
      </c>
      <c r="E1100" s="14">
        <v>269775</v>
      </c>
      <c r="F1100" s="14">
        <v>161000</v>
      </c>
      <c r="G1100" s="14">
        <v>210424</v>
      </c>
      <c r="H1100" s="14">
        <v>150000</v>
      </c>
      <c r="I1100" s="14">
        <v>181000</v>
      </c>
      <c r="J1100" s="14">
        <v>3190</v>
      </c>
      <c r="K1100" s="14">
        <v>3970</v>
      </c>
      <c r="N1100" s="42">
        <f t="shared" si="50"/>
        <v>37000</v>
      </c>
      <c r="O1100" s="43">
        <f t="shared" si="51"/>
        <v>0.11314984709480122</v>
      </c>
    </row>
    <row r="1101" spans="1:15" x14ac:dyDescent="0.45">
      <c r="A1101" s="12" t="s">
        <v>31057</v>
      </c>
      <c r="B1101" s="14">
        <v>290000</v>
      </c>
      <c r="C1101" s="14">
        <v>325000</v>
      </c>
      <c r="D1101" s="14">
        <v>208800</v>
      </c>
      <c r="E1101" s="14">
        <v>268125</v>
      </c>
      <c r="F1101" s="14">
        <v>161000</v>
      </c>
      <c r="G1101" s="14">
        <v>209137</v>
      </c>
      <c r="H1101" s="14">
        <v>150000</v>
      </c>
      <c r="I1101" s="14">
        <v>181000</v>
      </c>
      <c r="J1101" s="14">
        <v>3180</v>
      </c>
      <c r="K1101" s="14">
        <v>3970</v>
      </c>
      <c r="N1101" s="42">
        <f t="shared" si="50"/>
        <v>35000</v>
      </c>
      <c r="O1101" s="43">
        <f t="shared" si="51"/>
        <v>0.1076923076923077</v>
      </c>
    </row>
    <row r="1102" spans="1:15" x14ac:dyDescent="0.45">
      <c r="A1102" s="12" t="s">
        <v>31058</v>
      </c>
      <c r="B1102" s="14">
        <v>291000</v>
      </c>
      <c r="C1102" s="14">
        <v>326500</v>
      </c>
      <c r="D1102" s="14">
        <v>209600</v>
      </c>
      <c r="E1102" s="14">
        <v>269362</v>
      </c>
      <c r="F1102" s="14">
        <v>161600</v>
      </c>
      <c r="G1102" s="14">
        <v>210102</v>
      </c>
      <c r="H1102" s="14">
        <v>151000</v>
      </c>
      <c r="I1102" s="14">
        <v>182000</v>
      </c>
      <c r="J1102" s="14">
        <v>3200</v>
      </c>
      <c r="K1102" s="14">
        <v>3990</v>
      </c>
      <c r="N1102" s="42">
        <f t="shared" si="50"/>
        <v>35500</v>
      </c>
      <c r="O1102" s="43">
        <f t="shared" si="51"/>
        <v>0.10872894333843798</v>
      </c>
    </row>
    <row r="1103" spans="1:15" x14ac:dyDescent="0.45">
      <c r="A1103" s="12" t="s">
        <v>31059</v>
      </c>
      <c r="B1103" s="14">
        <v>292500</v>
      </c>
      <c r="C1103" s="14">
        <v>326500</v>
      </c>
      <c r="D1103" s="14">
        <v>210600</v>
      </c>
      <c r="E1103" s="14">
        <v>269362</v>
      </c>
      <c r="F1103" s="14">
        <v>162400</v>
      </c>
      <c r="G1103" s="14">
        <v>210102</v>
      </c>
      <c r="H1103" s="14">
        <v>152000</v>
      </c>
      <c r="I1103" s="14">
        <v>183000</v>
      </c>
      <c r="J1103" s="14">
        <v>3240</v>
      </c>
      <c r="K1103" s="14">
        <v>4030</v>
      </c>
      <c r="N1103" s="42">
        <f t="shared" si="50"/>
        <v>34000</v>
      </c>
      <c r="O1103" s="43">
        <f t="shared" si="51"/>
        <v>0.10413476263399694</v>
      </c>
    </row>
    <row r="1104" spans="1:15" x14ac:dyDescent="0.45">
      <c r="A1104" s="12" t="s">
        <v>31060</v>
      </c>
      <c r="B1104" s="14">
        <v>291500</v>
      </c>
      <c r="C1104" s="14">
        <v>325000</v>
      </c>
      <c r="D1104" s="14">
        <v>209900</v>
      </c>
      <c r="E1104" s="14">
        <v>268125</v>
      </c>
      <c r="F1104" s="14">
        <v>161800</v>
      </c>
      <c r="G1104" s="14">
        <v>209137</v>
      </c>
      <c r="H1104" s="14">
        <v>153000</v>
      </c>
      <c r="I1104" s="14">
        <v>185000</v>
      </c>
      <c r="J1104" s="14">
        <v>3250</v>
      </c>
      <c r="K1104" s="14">
        <v>4040</v>
      </c>
      <c r="N1104" s="42">
        <f t="shared" si="50"/>
        <v>33500</v>
      </c>
      <c r="O1104" s="43">
        <f t="shared" si="51"/>
        <v>0.10307692307692308</v>
      </c>
    </row>
    <row r="1105" spans="1:15" x14ac:dyDescent="0.45">
      <c r="A1105" s="12" t="s">
        <v>31061</v>
      </c>
      <c r="B1105" s="14">
        <v>291000</v>
      </c>
      <c r="C1105" s="14">
        <v>324000</v>
      </c>
      <c r="D1105" s="14">
        <v>209600</v>
      </c>
      <c r="E1105" s="14">
        <v>267300</v>
      </c>
      <c r="F1105" s="14">
        <v>161600</v>
      </c>
      <c r="G1105" s="14">
        <v>208494</v>
      </c>
      <c r="H1105" s="14">
        <v>153000</v>
      </c>
      <c r="I1105" s="14">
        <v>185000</v>
      </c>
      <c r="J1105" s="14">
        <v>3300</v>
      </c>
      <c r="K1105" s="14">
        <v>4100</v>
      </c>
      <c r="N1105" s="42">
        <f t="shared" si="50"/>
        <v>33000</v>
      </c>
      <c r="O1105" s="43">
        <f t="shared" si="51"/>
        <v>0.10185185185185185</v>
      </c>
    </row>
    <row r="1106" spans="1:15" x14ac:dyDescent="0.45">
      <c r="A1106" s="12" t="s">
        <v>31062</v>
      </c>
      <c r="B1106" s="14">
        <v>291000</v>
      </c>
      <c r="C1106" s="14">
        <v>323000</v>
      </c>
      <c r="D1106" s="14">
        <v>209600</v>
      </c>
      <c r="E1106" s="14">
        <v>266475</v>
      </c>
      <c r="F1106" s="14">
        <v>161600</v>
      </c>
      <c r="G1106" s="14">
        <v>207850</v>
      </c>
      <c r="H1106" s="14">
        <v>155000</v>
      </c>
      <c r="I1106" s="14">
        <v>187000</v>
      </c>
      <c r="J1106" s="14">
        <v>3260</v>
      </c>
      <c r="K1106" s="14">
        <v>4050</v>
      </c>
      <c r="N1106" s="42">
        <f t="shared" si="50"/>
        <v>32000</v>
      </c>
      <c r="O1106" s="43">
        <f t="shared" si="51"/>
        <v>9.9071207430340563E-2</v>
      </c>
    </row>
    <row r="1107" spans="1:15" x14ac:dyDescent="0.45">
      <c r="A1107" s="12" t="s">
        <v>31063</v>
      </c>
      <c r="B1107" s="14">
        <v>291000</v>
      </c>
      <c r="C1107" s="14">
        <v>325000</v>
      </c>
      <c r="D1107" s="14">
        <v>209600</v>
      </c>
      <c r="E1107" s="14">
        <v>268125</v>
      </c>
      <c r="F1107" s="14">
        <v>161600</v>
      </c>
      <c r="G1107" s="14">
        <v>209137</v>
      </c>
      <c r="H1107" s="14">
        <v>156000</v>
      </c>
      <c r="I1107" s="14">
        <v>188000</v>
      </c>
      <c r="J1107" s="14">
        <v>3300</v>
      </c>
      <c r="K1107" s="14">
        <v>4120</v>
      </c>
      <c r="N1107" s="42">
        <f t="shared" si="50"/>
        <v>34000</v>
      </c>
      <c r="O1107" s="43">
        <f t="shared" si="51"/>
        <v>0.10461538461538461</v>
      </c>
    </row>
    <row r="1108" spans="1:15" x14ac:dyDescent="0.45">
      <c r="A1108" s="12" t="s">
        <v>31064</v>
      </c>
      <c r="B1108" s="14">
        <v>290500</v>
      </c>
      <c r="C1108" s="14">
        <v>322500</v>
      </c>
      <c r="D1108" s="14">
        <v>209200</v>
      </c>
      <c r="E1108" s="14">
        <v>266062</v>
      </c>
      <c r="F1108" s="14">
        <v>161300</v>
      </c>
      <c r="G1108" s="14">
        <v>207528</v>
      </c>
      <c r="H1108" s="14">
        <v>156000</v>
      </c>
      <c r="I1108" s="14">
        <v>189000</v>
      </c>
      <c r="J1108" s="14">
        <v>3300</v>
      </c>
      <c r="K1108" s="14">
        <v>4120</v>
      </c>
      <c r="N1108" s="42">
        <f t="shared" si="50"/>
        <v>32000</v>
      </c>
      <c r="O1108" s="43">
        <f t="shared" si="51"/>
        <v>9.9224806201550386E-2</v>
      </c>
    </row>
    <row r="1109" spans="1:15" x14ac:dyDescent="0.45">
      <c r="A1109" s="12" t="s">
        <v>31065</v>
      </c>
      <c r="B1109" s="14">
        <v>290000</v>
      </c>
      <c r="C1109" s="14">
        <v>320500</v>
      </c>
      <c r="D1109" s="14">
        <v>208800</v>
      </c>
      <c r="E1109" s="14">
        <v>264412</v>
      </c>
      <c r="F1109" s="14">
        <v>161000</v>
      </c>
      <c r="G1109" s="14">
        <v>206241</v>
      </c>
      <c r="H1109" s="14">
        <v>154000</v>
      </c>
      <c r="I1109" s="14">
        <v>184000</v>
      </c>
      <c r="J1109" s="14">
        <v>3220</v>
      </c>
      <c r="K1109" s="14">
        <v>4050</v>
      </c>
      <c r="N1109" s="42">
        <f t="shared" si="50"/>
        <v>30500</v>
      </c>
      <c r="O1109" s="43">
        <f t="shared" si="51"/>
        <v>9.5163806552262087E-2</v>
      </c>
    </row>
    <row r="1110" spans="1:15" x14ac:dyDescent="0.45">
      <c r="A1110" s="12" t="s">
        <v>31066</v>
      </c>
      <c r="B1110" s="14">
        <v>292000</v>
      </c>
      <c r="C1110" s="14">
        <v>324500</v>
      </c>
      <c r="D1110" s="14">
        <v>210300</v>
      </c>
      <c r="E1110" s="14">
        <v>267712</v>
      </c>
      <c r="F1110" s="14">
        <v>162100</v>
      </c>
      <c r="G1110" s="14">
        <v>208815</v>
      </c>
      <c r="H1110" s="14">
        <v>152000</v>
      </c>
      <c r="I1110" s="14">
        <v>182000</v>
      </c>
      <c r="J1110" s="14">
        <v>3240</v>
      </c>
      <c r="K1110" s="14">
        <v>4100</v>
      </c>
      <c r="N1110" s="42">
        <f t="shared" si="50"/>
        <v>32500</v>
      </c>
      <c r="O1110" s="43">
        <f t="shared" si="51"/>
        <v>0.10015408320493066</v>
      </c>
    </row>
    <row r="1111" spans="1:15" x14ac:dyDescent="0.45">
      <c r="A1111" s="12" t="s">
        <v>31067</v>
      </c>
      <c r="B1111" s="14">
        <v>291000</v>
      </c>
      <c r="C1111" s="14">
        <v>329000</v>
      </c>
      <c r="D1111" s="14">
        <v>209600</v>
      </c>
      <c r="E1111" s="14">
        <v>271425</v>
      </c>
      <c r="F1111" s="14">
        <v>161600</v>
      </c>
      <c r="G1111" s="14">
        <v>211711</v>
      </c>
      <c r="H1111" s="14">
        <v>155000</v>
      </c>
      <c r="I1111" s="14">
        <v>185000</v>
      </c>
      <c r="J1111" s="14">
        <v>3300</v>
      </c>
      <c r="K1111" s="14">
        <v>4170</v>
      </c>
      <c r="N1111" s="42">
        <f t="shared" si="50"/>
        <v>38000</v>
      </c>
      <c r="O1111" s="43">
        <f t="shared" si="51"/>
        <v>0.11550151975683891</v>
      </c>
    </row>
    <row r="1112" spans="1:15" x14ac:dyDescent="0.45">
      <c r="A1112" s="12" t="s">
        <v>31068</v>
      </c>
      <c r="B1112" s="14">
        <v>291000</v>
      </c>
      <c r="C1112" s="14">
        <v>323000</v>
      </c>
      <c r="D1112" s="14">
        <v>209600</v>
      </c>
      <c r="E1112" s="14">
        <v>266475</v>
      </c>
      <c r="F1112" s="14">
        <v>161600</v>
      </c>
      <c r="G1112" s="14">
        <v>207850</v>
      </c>
      <c r="H1112" s="14">
        <v>151000</v>
      </c>
      <c r="I1112" s="14">
        <v>181000</v>
      </c>
      <c r="J1112" s="14">
        <v>3140</v>
      </c>
      <c r="K1112" s="14">
        <v>3880</v>
      </c>
      <c r="N1112" s="42">
        <f t="shared" si="50"/>
        <v>32000</v>
      </c>
      <c r="O1112" s="43">
        <f t="shared" si="51"/>
        <v>9.9071207430340563E-2</v>
      </c>
    </row>
    <row r="1113" spans="1:15" x14ac:dyDescent="0.45">
      <c r="A1113" s="12" t="s">
        <v>31069</v>
      </c>
      <c r="B1113" s="14">
        <v>292500</v>
      </c>
      <c r="C1113" s="14">
        <v>323500</v>
      </c>
      <c r="D1113" s="14">
        <v>210600</v>
      </c>
      <c r="E1113" s="14">
        <v>266887</v>
      </c>
      <c r="F1113" s="14">
        <v>162400</v>
      </c>
      <c r="G1113" s="14">
        <v>208172</v>
      </c>
      <c r="H1113" s="14">
        <v>153000</v>
      </c>
      <c r="I1113" s="14">
        <v>183000</v>
      </c>
      <c r="J1113" s="14">
        <v>3200</v>
      </c>
      <c r="K1113" s="14">
        <v>3960</v>
      </c>
      <c r="N1113" s="42">
        <f t="shared" si="50"/>
        <v>31000</v>
      </c>
      <c r="O1113" s="43">
        <f t="shared" si="51"/>
        <v>9.5826893353941262E-2</v>
      </c>
    </row>
    <row r="1114" spans="1:15" x14ac:dyDescent="0.45">
      <c r="A1114" s="12" t="s">
        <v>31070</v>
      </c>
      <c r="B1114" s="14">
        <v>293000</v>
      </c>
      <c r="C1114" s="14">
        <v>323000</v>
      </c>
      <c r="D1114" s="14">
        <v>211000</v>
      </c>
      <c r="E1114" s="14">
        <v>266475</v>
      </c>
      <c r="F1114" s="14">
        <v>162700</v>
      </c>
      <c r="G1114" s="14">
        <v>207850</v>
      </c>
      <c r="H1114" s="14">
        <v>153000</v>
      </c>
      <c r="I1114" s="14">
        <v>183000</v>
      </c>
      <c r="J1114" s="14">
        <v>3140</v>
      </c>
      <c r="K1114" s="14">
        <v>3880</v>
      </c>
      <c r="N1114" s="42">
        <f t="shared" si="50"/>
        <v>30000</v>
      </c>
      <c r="O1114" s="43">
        <f t="shared" si="51"/>
        <v>9.2879256965944276E-2</v>
      </c>
    </row>
    <row r="1115" spans="1:15" x14ac:dyDescent="0.45">
      <c r="A1115" s="12" t="s">
        <v>31071</v>
      </c>
      <c r="B1115" s="14">
        <v>293500</v>
      </c>
      <c r="C1115" s="14">
        <v>324500</v>
      </c>
      <c r="D1115" s="14">
        <v>211400</v>
      </c>
      <c r="E1115" s="14">
        <v>267712</v>
      </c>
      <c r="F1115" s="14">
        <v>162900</v>
      </c>
      <c r="G1115" s="14">
        <v>208815</v>
      </c>
      <c r="H1115" s="14">
        <v>154000</v>
      </c>
      <c r="I1115" s="14">
        <v>184000</v>
      </c>
      <c r="J1115" s="14">
        <v>3160</v>
      </c>
      <c r="K1115" s="14">
        <v>3900</v>
      </c>
      <c r="N1115" s="42">
        <f t="shared" si="50"/>
        <v>31000</v>
      </c>
      <c r="O1115" s="43">
        <f t="shared" si="51"/>
        <v>9.5531587057010786E-2</v>
      </c>
    </row>
    <row r="1116" spans="1:15" x14ac:dyDescent="0.45">
      <c r="A1116" s="12" t="s">
        <v>31072</v>
      </c>
      <c r="B1116" s="14">
        <v>294000</v>
      </c>
      <c r="C1116" s="14">
        <v>327000</v>
      </c>
      <c r="D1116" s="14">
        <v>211700</v>
      </c>
      <c r="E1116" s="14">
        <v>269775</v>
      </c>
      <c r="F1116" s="14">
        <v>163200</v>
      </c>
      <c r="G1116" s="14">
        <v>210424</v>
      </c>
      <c r="H1116" s="14">
        <v>155000</v>
      </c>
      <c r="I1116" s="14">
        <v>186000</v>
      </c>
      <c r="J1116" s="14">
        <v>3190</v>
      </c>
      <c r="K1116" s="14">
        <v>3940</v>
      </c>
      <c r="N1116" s="42">
        <f t="shared" si="50"/>
        <v>33000</v>
      </c>
      <c r="O1116" s="43">
        <f t="shared" si="51"/>
        <v>0.10091743119266056</v>
      </c>
    </row>
    <row r="1117" spans="1:15" x14ac:dyDescent="0.45">
      <c r="A1117" s="12" t="s">
        <v>31073</v>
      </c>
      <c r="B1117" s="14">
        <v>295000</v>
      </c>
      <c r="C1117" s="14">
        <v>327000</v>
      </c>
      <c r="D1117" s="14">
        <v>212400</v>
      </c>
      <c r="E1117" s="14">
        <v>269775</v>
      </c>
      <c r="F1117" s="14">
        <v>163800</v>
      </c>
      <c r="G1117" s="14">
        <v>210424</v>
      </c>
      <c r="H1117" s="14">
        <v>153000</v>
      </c>
      <c r="I1117" s="14">
        <v>182000</v>
      </c>
      <c r="J1117" s="14">
        <v>3190</v>
      </c>
      <c r="K1117" s="14">
        <v>3940</v>
      </c>
      <c r="N1117" s="42">
        <f t="shared" si="50"/>
        <v>32000</v>
      </c>
      <c r="O1117" s="43">
        <f t="shared" si="51"/>
        <v>9.7859327217125383E-2</v>
      </c>
    </row>
    <row r="1118" spans="1:15" x14ac:dyDescent="0.45">
      <c r="A1118" s="12" t="s">
        <v>31074</v>
      </c>
      <c r="B1118" s="14">
        <v>296000</v>
      </c>
      <c r="C1118" s="14">
        <v>327000</v>
      </c>
      <c r="D1118" s="14">
        <v>213200</v>
      </c>
      <c r="E1118" s="14">
        <v>269775</v>
      </c>
      <c r="F1118" s="14">
        <v>164300</v>
      </c>
      <c r="G1118" s="14">
        <v>210424</v>
      </c>
      <c r="H1118" s="14">
        <v>150000</v>
      </c>
      <c r="I1118" s="14">
        <v>180000</v>
      </c>
      <c r="J1118" s="14">
        <v>3160</v>
      </c>
      <c r="K1118" s="14">
        <v>3920</v>
      </c>
      <c r="N1118" s="42">
        <f t="shared" si="50"/>
        <v>31000</v>
      </c>
      <c r="O1118" s="43">
        <f t="shared" si="51"/>
        <v>9.480122324159021E-2</v>
      </c>
    </row>
    <row r="1119" spans="1:15" x14ac:dyDescent="0.45">
      <c r="A1119" s="12" t="s">
        <v>31075</v>
      </c>
      <c r="B1119" s="14">
        <v>296500</v>
      </c>
      <c r="C1119" s="14">
        <v>330000</v>
      </c>
      <c r="D1119" s="14">
        <v>213500</v>
      </c>
      <c r="E1119" s="14">
        <v>272250</v>
      </c>
      <c r="F1119" s="14">
        <v>164600</v>
      </c>
      <c r="G1119" s="14">
        <v>212355</v>
      </c>
      <c r="H1119" s="14">
        <v>153000</v>
      </c>
      <c r="I1119" s="14">
        <v>183000</v>
      </c>
      <c r="J1119" s="14">
        <v>3180</v>
      </c>
      <c r="K1119" s="14">
        <v>3940</v>
      </c>
      <c r="N1119" s="42">
        <f t="shared" si="50"/>
        <v>33500</v>
      </c>
      <c r="O1119" s="43">
        <f t="shared" si="51"/>
        <v>0.10151515151515152</v>
      </c>
    </row>
    <row r="1120" spans="1:15" x14ac:dyDescent="0.45">
      <c r="A1120" s="12" t="s">
        <v>31076</v>
      </c>
      <c r="B1120" s="14">
        <v>295500</v>
      </c>
      <c r="C1120" s="14">
        <v>330500</v>
      </c>
      <c r="D1120" s="14">
        <v>212800</v>
      </c>
      <c r="E1120" s="14">
        <v>272662</v>
      </c>
      <c r="F1120" s="14">
        <v>164100</v>
      </c>
      <c r="G1120" s="14">
        <v>212676</v>
      </c>
      <c r="H1120" s="14">
        <v>153000</v>
      </c>
      <c r="I1120" s="14">
        <v>182000</v>
      </c>
      <c r="J1120" s="14">
        <v>3190</v>
      </c>
      <c r="K1120" s="14">
        <v>3960</v>
      </c>
      <c r="N1120" s="42">
        <f t="shared" si="50"/>
        <v>35000</v>
      </c>
      <c r="O1120" s="43">
        <f t="shared" si="51"/>
        <v>0.1059001512859304</v>
      </c>
    </row>
    <row r="1121" spans="1:15" x14ac:dyDescent="0.45">
      <c r="A1121" s="12" t="s">
        <v>31077</v>
      </c>
      <c r="B1121" s="14">
        <v>295000</v>
      </c>
      <c r="C1121" s="14">
        <v>324000</v>
      </c>
      <c r="D1121" s="14">
        <v>212400</v>
      </c>
      <c r="E1121" s="14">
        <v>267300</v>
      </c>
      <c r="F1121" s="14">
        <v>163800</v>
      </c>
      <c r="G1121" s="14">
        <v>208494</v>
      </c>
      <c r="H1121" s="14">
        <v>148000</v>
      </c>
      <c r="I1121" s="14">
        <v>177000</v>
      </c>
      <c r="J1121" s="14">
        <v>3080</v>
      </c>
      <c r="K1121" s="14">
        <v>3790</v>
      </c>
      <c r="N1121" s="42">
        <f t="shared" si="50"/>
        <v>29000</v>
      </c>
      <c r="O1121" s="43">
        <f t="shared" si="51"/>
        <v>8.9506172839506168E-2</v>
      </c>
    </row>
    <row r="1122" spans="1:15" x14ac:dyDescent="0.45">
      <c r="A1122" s="12" t="s">
        <v>31078</v>
      </c>
      <c r="B1122" s="14">
        <v>295500</v>
      </c>
      <c r="C1122" s="14">
        <v>324000</v>
      </c>
      <c r="D1122" s="14">
        <v>212800</v>
      </c>
      <c r="E1122" s="14">
        <v>267300</v>
      </c>
      <c r="F1122" s="14">
        <v>164100</v>
      </c>
      <c r="G1122" s="14">
        <v>208494</v>
      </c>
      <c r="H1122" s="14">
        <v>146000</v>
      </c>
      <c r="I1122" s="14">
        <v>174000</v>
      </c>
      <c r="J1122" s="14">
        <v>3060</v>
      </c>
      <c r="K1122" s="14">
        <v>3780</v>
      </c>
      <c r="N1122" s="42">
        <f t="shared" si="50"/>
        <v>28500</v>
      </c>
      <c r="O1122" s="43">
        <f t="shared" si="51"/>
        <v>8.7962962962962965E-2</v>
      </c>
    </row>
    <row r="1123" spans="1:15" x14ac:dyDescent="0.45">
      <c r="A1123" s="12" t="s">
        <v>31079</v>
      </c>
      <c r="B1123" s="14">
        <v>295500</v>
      </c>
      <c r="C1123" s="14">
        <v>327500</v>
      </c>
      <c r="D1123" s="14">
        <v>212800</v>
      </c>
      <c r="E1123" s="14">
        <v>270187</v>
      </c>
      <c r="F1123" s="14">
        <v>164100</v>
      </c>
      <c r="G1123" s="14">
        <v>210746</v>
      </c>
      <c r="H1123" s="14">
        <v>148000</v>
      </c>
      <c r="I1123" s="14">
        <v>177000</v>
      </c>
      <c r="J1123" s="14">
        <v>3080</v>
      </c>
      <c r="K1123" s="14">
        <v>3800</v>
      </c>
      <c r="N1123" s="42">
        <f t="shared" si="50"/>
        <v>32000</v>
      </c>
      <c r="O1123" s="43">
        <f t="shared" si="51"/>
        <v>9.7709923664122136E-2</v>
      </c>
    </row>
    <row r="1124" spans="1:15" x14ac:dyDescent="0.45">
      <c r="A1124" s="12" t="s">
        <v>31080</v>
      </c>
      <c r="B1124" s="14">
        <v>296000</v>
      </c>
      <c r="C1124" s="14">
        <v>328500</v>
      </c>
      <c r="D1124" s="14">
        <v>213200</v>
      </c>
      <c r="E1124" s="14">
        <v>271012</v>
      </c>
      <c r="F1124" s="14">
        <v>164300</v>
      </c>
      <c r="G1124" s="14">
        <v>211389</v>
      </c>
      <c r="H1124" s="14">
        <v>149000</v>
      </c>
      <c r="I1124" s="14">
        <v>178000</v>
      </c>
      <c r="J1124" s="14">
        <v>3050</v>
      </c>
      <c r="K1124" s="14">
        <v>3770</v>
      </c>
      <c r="N1124" s="42">
        <f t="shared" si="50"/>
        <v>32500</v>
      </c>
      <c r="O1124" s="43">
        <f t="shared" si="51"/>
        <v>9.8934550989345504E-2</v>
      </c>
    </row>
    <row r="1125" spans="1:15" x14ac:dyDescent="0.45">
      <c r="A1125" s="12" t="s">
        <v>31081</v>
      </c>
      <c r="B1125" s="14">
        <v>296000</v>
      </c>
      <c r="C1125" s="14">
        <v>328000</v>
      </c>
      <c r="D1125" s="14">
        <v>213200</v>
      </c>
      <c r="E1125" s="14">
        <v>270600</v>
      </c>
      <c r="F1125" s="14">
        <v>164300</v>
      </c>
      <c r="G1125" s="14">
        <v>211068</v>
      </c>
      <c r="H1125" s="14">
        <v>148000</v>
      </c>
      <c r="I1125" s="14">
        <v>177000</v>
      </c>
      <c r="J1125" s="14">
        <v>3040</v>
      </c>
      <c r="K1125" s="14">
        <v>3770</v>
      </c>
      <c r="N1125" s="42">
        <f t="shared" si="50"/>
        <v>32000</v>
      </c>
      <c r="O1125" s="43">
        <f t="shared" si="51"/>
        <v>9.7560975609756101E-2</v>
      </c>
    </row>
    <row r="1126" spans="1:15" x14ac:dyDescent="0.45">
      <c r="A1126" s="12" t="s">
        <v>31082</v>
      </c>
      <c r="B1126" s="14">
        <v>295500</v>
      </c>
      <c r="C1126" s="14">
        <v>330500</v>
      </c>
      <c r="D1126" s="14">
        <v>212800</v>
      </c>
      <c r="E1126" s="14">
        <v>272662</v>
      </c>
      <c r="F1126" s="14">
        <v>164100</v>
      </c>
      <c r="G1126" s="14">
        <v>212676</v>
      </c>
      <c r="H1126" s="14">
        <v>144000</v>
      </c>
      <c r="I1126" s="14">
        <v>172000</v>
      </c>
      <c r="J1126" s="14">
        <v>3130</v>
      </c>
      <c r="K1126" s="14">
        <v>3870</v>
      </c>
      <c r="N1126" s="42">
        <f t="shared" si="50"/>
        <v>35000</v>
      </c>
      <c r="O1126" s="43">
        <f t="shared" si="51"/>
        <v>0.1059001512859304</v>
      </c>
    </row>
    <row r="1127" spans="1:15" x14ac:dyDescent="0.45">
      <c r="A1127" s="12" t="s">
        <v>31083</v>
      </c>
      <c r="B1127" s="14">
        <v>295500</v>
      </c>
      <c r="C1127" s="14">
        <v>331000</v>
      </c>
      <c r="D1127" s="14">
        <v>212800</v>
      </c>
      <c r="E1127" s="14">
        <v>273075</v>
      </c>
      <c r="F1127" s="14">
        <v>164100</v>
      </c>
      <c r="G1127" s="14">
        <v>212998</v>
      </c>
      <c r="H1127" s="14">
        <v>147000</v>
      </c>
      <c r="I1127" s="14">
        <v>175000</v>
      </c>
      <c r="J1127" s="14">
        <v>3240</v>
      </c>
      <c r="K1127" s="14">
        <v>3980</v>
      </c>
      <c r="N1127" s="42">
        <f t="shared" si="50"/>
        <v>35500</v>
      </c>
      <c r="O1127" s="43">
        <f t="shared" si="51"/>
        <v>0.10725075528700906</v>
      </c>
    </row>
    <row r="1128" spans="1:15" x14ac:dyDescent="0.45">
      <c r="A1128" s="12" t="s">
        <v>31084</v>
      </c>
      <c r="B1128" s="14">
        <v>296500</v>
      </c>
      <c r="C1128" s="14">
        <v>333000</v>
      </c>
      <c r="D1128" s="14">
        <v>213500</v>
      </c>
      <c r="E1128" s="14">
        <v>274725</v>
      </c>
      <c r="F1128" s="14">
        <v>164600</v>
      </c>
      <c r="G1128" s="14">
        <v>214285</v>
      </c>
      <c r="H1128" s="14">
        <v>148000</v>
      </c>
      <c r="I1128" s="14">
        <v>177000</v>
      </c>
      <c r="J1128" s="14">
        <v>3290</v>
      </c>
      <c r="K1128" s="14">
        <v>4050</v>
      </c>
      <c r="N1128" s="42">
        <f t="shared" si="50"/>
        <v>36500</v>
      </c>
      <c r="O1128" s="43">
        <f t="shared" si="51"/>
        <v>0.10960960960960961</v>
      </c>
    </row>
    <row r="1129" spans="1:15" x14ac:dyDescent="0.45">
      <c r="A1129" s="12" t="s">
        <v>31085</v>
      </c>
      <c r="B1129" s="14">
        <v>296500</v>
      </c>
      <c r="C1129" s="14">
        <v>333000</v>
      </c>
      <c r="D1129" s="14">
        <v>213500</v>
      </c>
      <c r="E1129" s="14">
        <v>274725</v>
      </c>
      <c r="F1129" s="14">
        <v>164600</v>
      </c>
      <c r="G1129" s="14">
        <v>214285</v>
      </c>
      <c r="H1129" s="14">
        <v>148000</v>
      </c>
      <c r="I1129" s="14">
        <v>177000</v>
      </c>
      <c r="J1129" s="14">
        <v>3290</v>
      </c>
      <c r="K1129" s="14">
        <v>4050</v>
      </c>
      <c r="N1129" s="42">
        <f t="shared" si="50"/>
        <v>36500</v>
      </c>
      <c r="O1129" s="43">
        <f t="shared" si="51"/>
        <v>0.10960960960960961</v>
      </c>
    </row>
    <row r="1130" spans="1:15" x14ac:dyDescent="0.45">
      <c r="A1130" s="12" t="s">
        <v>31086</v>
      </c>
      <c r="B1130" s="14">
        <v>296500</v>
      </c>
      <c r="C1130" s="14">
        <v>334000</v>
      </c>
      <c r="D1130" s="14">
        <v>213500</v>
      </c>
      <c r="E1130" s="14">
        <v>275550</v>
      </c>
      <c r="F1130" s="14">
        <v>164600</v>
      </c>
      <c r="G1130" s="14">
        <v>214929</v>
      </c>
      <c r="H1130" s="14">
        <v>147000</v>
      </c>
      <c r="I1130" s="14">
        <v>176000</v>
      </c>
      <c r="J1130" s="14">
        <v>3340</v>
      </c>
      <c r="K1130" s="14">
        <v>4100</v>
      </c>
      <c r="N1130" s="42">
        <f t="shared" si="50"/>
        <v>37500</v>
      </c>
      <c r="O1130" s="43">
        <f t="shared" si="51"/>
        <v>0.1122754491017964</v>
      </c>
    </row>
    <row r="1131" spans="1:15" x14ac:dyDescent="0.45">
      <c r="A1131" s="12" t="s">
        <v>31087</v>
      </c>
      <c r="B1131" s="14">
        <v>297500</v>
      </c>
      <c r="C1131" s="14">
        <v>336500</v>
      </c>
      <c r="D1131" s="14">
        <v>214200</v>
      </c>
      <c r="E1131" s="14">
        <v>277612</v>
      </c>
      <c r="F1131" s="14">
        <v>165200</v>
      </c>
      <c r="G1131" s="14">
        <v>216537</v>
      </c>
      <c r="H1131" s="14">
        <v>149000</v>
      </c>
      <c r="I1131" s="14">
        <v>179000</v>
      </c>
      <c r="J1131" s="14">
        <v>3400</v>
      </c>
      <c r="K1131" s="14">
        <v>4150</v>
      </c>
      <c r="N1131" s="42">
        <f t="shared" si="50"/>
        <v>39000</v>
      </c>
      <c r="O1131" s="43">
        <f t="shared" si="51"/>
        <v>0.11589895988112928</v>
      </c>
    </row>
    <row r="1132" spans="1:15" x14ac:dyDescent="0.45">
      <c r="A1132" s="12" t="s">
        <v>31088</v>
      </c>
      <c r="B1132" s="14">
        <v>297000</v>
      </c>
      <c r="C1132" s="14">
        <v>335500</v>
      </c>
      <c r="D1132" s="14">
        <v>213900</v>
      </c>
      <c r="E1132" s="14">
        <v>276787</v>
      </c>
      <c r="F1132" s="14">
        <v>164900</v>
      </c>
      <c r="G1132" s="14">
        <v>215894</v>
      </c>
      <c r="H1132" s="14">
        <v>148000</v>
      </c>
      <c r="I1132" s="14">
        <v>177000</v>
      </c>
      <c r="J1132" s="14">
        <v>3440</v>
      </c>
      <c r="K1132" s="14">
        <v>4200</v>
      </c>
      <c r="N1132" s="42">
        <f t="shared" si="50"/>
        <v>38500</v>
      </c>
      <c r="O1132" s="43">
        <f t="shared" si="51"/>
        <v>0.11475409836065574</v>
      </c>
    </row>
    <row r="1133" spans="1:15" x14ac:dyDescent="0.45">
      <c r="A1133" s="12" t="s">
        <v>31089</v>
      </c>
      <c r="B1133" s="14">
        <v>296500</v>
      </c>
      <c r="C1133" s="14">
        <v>333000</v>
      </c>
      <c r="D1133" s="14">
        <v>213500</v>
      </c>
      <c r="E1133" s="14">
        <v>274725</v>
      </c>
      <c r="F1133" s="14">
        <v>164600</v>
      </c>
      <c r="G1133" s="14">
        <v>214285</v>
      </c>
      <c r="H1133" s="14">
        <v>142000</v>
      </c>
      <c r="I1133" s="14">
        <v>170000</v>
      </c>
      <c r="J1133" s="14">
        <v>3180</v>
      </c>
      <c r="K1133" s="14">
        <v>3890</v>
      </c>
      <c r="N1133" s="42">
        <f t="shared" ref="N1133:N1196" si="52">C1133-B1133</f>
        <v>36500</v>
      </c>
      <c r="O1133" s="43">
        <f t="shared" ref="O1133:O1196" si="53">N1133/C1133</f>
        <v>0.10960960960960961</v>
      </c>
    </row>
    <row r="1134" spans="1:15" x14ac:dyDescent="0.45">
      <c r="A1134" s="12" t="s">
        <v>31090</v>
      </c>
      <c r="B1134" s="14">
        <v>296500</v>
      </c>
      <c r="C1134" s="14">
        <v>331000</v>
      </c>
      <c r="D1134" s="14">
        <v>213500</v>
      </c>
      <c r="E1134" s="14">
        <v>273075</v>
      </c>
      <c r="F1134" s="14">
        <v>164600</v>
      </c>
      <c r="G1134" s="14">
        <v>212998</v>
      </c>
      <c r="H1134" s="14">
        <v>142000</v>
      </c>
      <c r="I1134" s="14">
        <v>169000</v>
      </c>
      <c r="J1134" s="14">
        <v>3160</v>
      </c>
      <c r="K1134" s="14">
        <v>3870</v>
      </c>
      <c r="N1134" s="42">
        <f t="shared" si="52"/>
        <v>34500</v>
      </c>
      <c r="O1134" s="43">
        <f t="shared" si="53"/>
        <v>0.10422960725075529</v>
      </c>
    </row>
    <row r="1135" spans="1:15" x14ac:dyDescent="0.45">
      <c r="A1135" s="12" t="s">
        <v>31091</v>
      </c>
      <c r="B1135" s="14">
        <v>296000</v>
      </c>
      <c r="C1135" s="14">
        <v>328500</v>
      </c>
      <c r="D1135" s="14">
        <v>213200</v>
      </c>
      <c r="E1135" s="14">
        <v>271012</v>
      </c>
      <c r="F1135" s="14">
        <v>164300</v>
      </c>
      <c r="G1135" s="14">
        <v>211389</v>
      </c>
      <c r="H1135" s="14">
        <v>141000</v>
      </c>
      <c r="I1135" s="14">
        <v>168000</v>
      </c>
      <c r="J1135" s="14">
        <v>3110</v>
      </c>
      <c r="K1135" s="14">
        <v>3810</v>
      </c>
      <c r="N1135" s="42">
        <f t="shared" si="52"/>
        <v>32500</v>
      </c>
      <c r="O1135" s="43">
        <f t="shared" si="53"/>
        <v>9.8934550989345504E-2</v>
      </c>
    </row>
    <row r="1136" spans="1:15" x14ac:dyDescent="0.45">
      <c r="A1136" s="12" t="s">
        <v>31092</v>
      </c>
      <c r="B1136" s="14">
        <v>295000</v>
      </c>
      <c r="C1136" s="14">
        <v>324000</v>
      </c>
      <c r="D1136" s="14">
        <v>212400</v>
      </c>
      <c r="E1136" s="14">
        <v>267300</v>
      </c>
      <c r="F1136" s="14">
        <v>163800</v>
      </c>
      <c r="G1136" s="14">
        <v>208494</v>
      </c>
      <c r="H1136" s="14">
        <v>138000</v>
      </c>
      <c r="I1136" s="14">
        <v>165000</v>
      </c>
      <c r="J1136" s="14">
        <v>3020</v>
      </c>
      <c r="K1136" s="14">
        <v>3700</v>
      </c>
      <c r="N1136" s="42">
        <f t="shared" si="52"/>
        <v>29000</v>
      </c>
      <c r="O1136" s="43">
        <f t="shared" si="53"/>
        <v>8.9506172839506168E-2</v>
      </c>
    </row>
    <row r="1137" spans="1:15" x14ac:dyDescent="0.45">
      <c r="A1137" s="12" t="s">
        <v>31093</v>
      </c>
      <c r="B1137" s="14">
        <v>295000</v>
      </c>
      <c r="C1137" s="14">
        <v>323000</v>
      </c>
      <c r="D1137" s="14">
        <v>212400</v>
      </c>
      <c r="E1137" s="14">
        <v>266475</v>
      </c>
      <c r="F1137" s="14">
        <v>163800</v>
      </c>
      <c r="G1137" s="14">
        <v>207850</v>
      </c>
      <c r="H1137" s="14">
        <v>139000</v>
      </c>
      <c r="I1137" s="14">
        <v>167000</v>
      </c>
      <c r="J1137" s="14">
        <v>3050</v>
      </c>
      <c r="K1137" s="14">
        <v>3750</v>
      </c>
      <c r="N1137" s="42">
        <f t="shared" si="52"/>
        <v>28000</v>
      </c>
      <c r="O1137" s="43">
        <f t="shared" si="53"/>
        <v>8.6687306501547989E-2</v>
      </c>
    </row>
    <row r="1138" spans="1:15" x14ac:dyDescent="0.45">
      <c r="A1138" s="12" t="s">
        <v>31094</v>
      </c>
      <c r="B1138" s="14">
        <v>295500</v>
      </c>
      <c r="C1138" s="14">
        <v>325000</v>
      </c>
      <c r="D1138" s="14">
        <v>212800</v>
      </c>
      <c r="E1138" s="14">
        <v>268125</v>
      </c>
      <c r="F1138" s="14">
        <v>164100</v>
      </c>
      <c r="G1138" s="14">
        <v>209137</v>
      </c>
      <c r="H1138" s="14">
        <v>140000</v>
      </c>
      <c r="I1138" s="14">
        <v>168000</v>
      </c>
      <c r="J1138" s="14">
        <v>3060</v>
      </c>
      <c r="K1138" s="14">
        <v>3760</v>
      </c>
      <c r="N1138" s="42">
        <f t="shared" si="52"/>
        <v>29500</v>
      </c>
      <c r="O1138" s="43">
        <f t="shared" si="53"/>
        <v>9.0769230769230769E-2</v>
      </c>
    </row>
    <row r="1139" spans="1:15" x14ac:dyDescent="0.45">
      <c r="A1139" s="12" t="s">
        <v>31095</v>
      </c>
      <c r="B1139" s="14">
        <v>296000</v>
      </c>
      <c r="C1139" s="14">
        <v>325000</v>
      </c>
      <c r="D1139" s="14">
        <v>213200</v>
      </c>
      <c r="E1139" s="14">
        <v>268125</v>
      </c>
      <c r="F1139" s="14">
        <v>164300</v>
      </c>
      <c r="G1139" s="14">
        <v>209137</v>
      </c>
      <c r="H1139" s="14">
        <v>139000</v>
      </c>
      <c r="I1139" s="14">
        <v>167000</v>
      </c>
      <c r="J1139" s="14">
        <v>2990</v>
      </c>
      <c r="K1139" s="14">
        <v>3810</v>
      </c>
      <c r="N1139" s="42">
        <f t="shared" si="52"/>
        <v>29000</v>
      </c>
      <c r="O1139" s="43">
        <f t="shared" si="53"/>
        <v>8.9230769230769225E-2</v>
      </c>
    </row>
    <row r="1140" spans="1:15" x14ac:dyDescent="0.45">
      <c r="A1140" s="12" t="s">
        <v>31096</v>
      </c>
      <c r="B1140" s="14">
        <v>296500</v>
      </c>
      <c r="C1140" s="14">
        <v>326500</v>
      </c>
      <c r="D1140" s="14">
        <v>213500</v>
      </c>
      <c r="E1140" s="14">
        <v>269362</v>
      </c>
      <c r="F1140" s="14">
        <v>164600</v>
      </c>
      <c r="G1140" s="14">
        <v>210102</v>
      </c>
      <c r="H1140" s="14">
        <v>145000</v>
      </c>
      <c r="I1140" s="14">
        <v>173000</v>
      </c>
      <c r="J1140" s="14">
        <v>3190</v>
      </c>
      <c r="K1140" s="14">
        <v>3900</v>
      </c>
      <c r="N1140" s="42">
        <f t="shared" si="52"/>
        <v>30000</v>
      </c>
      <c r="O1140" s="43">
        <f t="shared" si="53"/>
        <v>9.1883614088820828E-2</v>
      </c>
    </row>
    <row r="1141" spans="1:15" x14ac:dyDescent="0.45">
      <c r="A1141" s="12" t="s">
        <v>31097</v>
      </c>
      <c r="B1141" s="14">
        <v>295000</v>
      </c>
      <c r="C1141" s="14">
        <v>323000</v>
      </c>
      <c r="D1141" s="14">
        <v>212400</v>
      </c>
      <c r="E1141" s="14">
        <v>266475</v>
      </c>
      <c r="F1141" s="14">
        <v>163800</v>
      </c>
      <c r="G1141" s="14">
        <v>207850</v>
      </c>
      <c r="H1141" s="14">
        <v>148000</v>
      </c>
      <c r="I1141" s="14">
        <v>176000</v>
      </c>
      <c r="J1141" s="14">
        <v>3110</v>
      </c>
      <c r="K1141" s="14">
        <v>3820</v>
      </c>
      <c r="N1141" s="42">
        <f t="shared" si="52"/>
        <v>28000</v>
      </c>
      <c r="O1141" s="43">
        <f t="shared" si="53"/>
        <v>8.6687306501547989E-2</v>
      </c>
    </row>
    <row r="1142" spans="1:15" x14ac:dyDescent="0.45">
      <c r="A1142" s="12" t="s">
        <v>31098</v>
      </c>
      <c r="B1142" s="14">
        <v>295500</v>
      </c>
      <c r="C1142" s="14">
        <v>323000</v>
      </c>
      <c r="D1142" s="14">
        <v>212800</v>
      </c>
      <c r="E1142" s="14">
        <v>266475</v>
      </c>
      <c r="F1142" s="14">
        <v>164100</v>
      </c>
      <c r="G1142" s="14">
        <v>207850</v>
      </c>
      <c r="H1142" s="14">
        <v>146000</v>
      </c>
      <c r="I1142" s="14">
        <v>174000</v>
      </c>
      <c r="J1142" s="14">
        <v>3130</v>
      </c>
      <c r="K1142" s="14">
        <v>3850</v>
      </c>
      <c r="N1142" s="42">
        <f t="shared" si="52"/>
        <v>27500</v>
      </c>
      <c r="O1142" s="43">
        <f t="shared" si="53"/>
        <v>8.5139318885448914E-2</v>
      </c>
    </row>
    <row r="1143" spans="1:15" x14ac:dyDescent="0.45">
      <c r="A1143" s="12" t="s">
        <v>31099</v>
      </c>
      <c r="B1143" s="14">
        <v>295500</v>
      </c>
      <c r="C1143" s="14">
        <v>322500</v>
      </c>
      <c r="D1143" s="14">
        <v>212800</v>
      </c>
      <c r="E1143" s="14">
        <v>266062</v>
      </c>
      <c r="F1143" s="14">
        <v>164100</v>
      </c>
      <c r="G1143" s="14">
        <v>207528</v>
      </c>
      <c r="H1143" s="14">
        <v>144000</v>
      </c>
      <c r="I1143" s="14">
        <v>172000</v>
      </c>
      <c r="J1143" s="14">
        <v>3120</v>
      </c>
      <c r="K1143" s="14">
        <v>3840</v>
      </c>
      <c r="N1143" s="42">
        <f t="shared" si="52"/>
        <v>27000</v>
      </c>
      <c r="O1143" s="43">
        <f t="shared" si="53"/>
        <v>8.3720930232558138E-2</v>
      </c>
    </row>
    <row r="1144" spans="1:15" x14ac:dyDescent="0.45">
      <c r="A1144" s="12" t="s">
        <v>31100</v>
      </c>
      <c r="B1144" s="14">
        <v>295500</v>
      </c>
      <c r="C1144" s="14">
        <v>323000</v>
      </c>
      <c r="D1144" s="14">
        <v>212800</v>
      </c>
      <c r="E1144" s="14">
        <v>266475</v>
      </c>
      <c r="F1144" s="14">
        <v>164100</v>
      </c>
      <c r="G1144" s="14">
        <v>207850</v>
      </c>
      <c r="H1144" s="14">
        <v>144000</v>
      </c>
      <c r="I1144" s="14">
        <v>172000</v>
      </c>
      <c r="J1144" s="14">
        <v>3140</v>
      </c>
      <c r="K1144" s="14">
        <v>3850</v>
      </c>
      <c r="N1144" s="42">
        <f t="shared" si="52"/>
        <v>27500</v>
      </c>
      <c r="O1144" s="43">
        <f t="shared" si="53"/>
        <v>8.5139318885448914E-2</v>
      </c>
    </row>
    <row r="1145" spans="1:15" x14ac:dyDescent="0.45">
      <c r="A1145" s="12" t="s">
        <v>31101</v>
      </c>
      <c r="B1145" s="14">
        <v>296500</v>
      </c>
      <c r="C1145" s="14">
        <v>326500</v>
      </c>
      <c r="D1145" s="14">
        <v>213500</v>
      </c>
      <c r="E1145" s="14">
        <v>269362</v>
      </c>
      <c r="F1145" s="14">
        <v>164600</v>
      </c>
      <c r="G1145" s="14">
        <v>210102</v>
      </c>
      <c r="H1145" s="14">
        <v>143000</v>
      </c>
      <c r="I1145" s="14">
        <v>171000</v>
      </c>
      <c r="J1145" s="14">
        <v>3120</v>
      </c>
      <c r="K1145" s="14">
        <v>3840</v>
      </c>
      <c r="N1145" s="42">
        <f t="shared" si="52"/>
        <v>30000</v>
      </c>
      <c r="O1145" s="43">
        <f t="shared" si="53"/>
        <v>9.1883614088820828E-2</v>
      </c>
    </row>
    <row r="1146" spans="1:15" x14ac:dyDescent="0.45">
      <c r="A1146" s="12" t="s">
        <v>31102</v>
      </c>
      <c r="B1146" s="14">
        <v>297000</v>
      </c>
      <c r="C1146" s="14">
        <v>328500</v>
      </c>
      <c r="D1146" s="14">
        <v>213900</v>
      </c>
      <c r="E1146" s="14">
        <v>271012</v>
      </c>
      <c r="F1146" s="14">
        <v>164900</v>
      </c>
      <c r="G1146" s="14">
        <v>211389</v>
      </c>
      <c r="H1146" s="14">
        <v>140000</v>
      </c>
      <c r="I1146" s="14">
        <v>167000</v>
      </c>
      <c r="J1146" s="14">
        <v>3110</v>
      </c>
      <c r="K1146" s="14">
        <v>3810</v>
      </c>
      <c r="N1146" s="42">
        <f t="shared" si="52"/>
        <v>31500</v>
      </c>
      <c r="O1146" s="43">
        <f t="shared" si="53"/>
        <v>9.5890410958904104E-2</v>
      </c>
    </row>
    <row r="1147" spans="1:15" x14ac:dyDescent="0.45">
      <c r="A1147" s="12" t="s">
        <v>31103</v>
      </c>
      <c r="B1147" s="14">
        <v>298000</v>
      </c>
      <c r="C1147" s="14">
        <v>329000</v>
      </c>
      <c r="D1147" s="14">
        <v>214600</v>
      </c>
      <c r="E1147" s="14">
        <v>271425</v>
      </c>
      <c r="F1147" s="14">
        <v>165400</v>
      </c>
      <c r="G1147" s="14">
        <v>211711</v>
      </c>
      <c r="H1147" s="14">
        <v>139000</v>
      </c>
      <c r="I1147" s="14">
        <v>166000</v>
      </c>
      <c r="J1147" s="14">
        <v>3010</v>
      </c>
      <c r="K1147" s="14">
        <v>3650</v>
      </c>
      <c r="N1147" s="42">
        <f t="shared" si="52"/>
        <v>31000</v>
      </c>
      <c r="O1147" s="43">
        <f t="shared" si="53"/>
        <v>9.4224924012158054E-2</v>
      </c>
    </row>
    <row r="1148" spans="1:15" x14ac:dyDescent="0.45">
      <c r="A1148" s="12" t="s">
        <v>31104</v>
      </c>
      <c r="B1148" s="14">
        <v>298000</v>
      </c>
      <c r="C1148" s="14">
        <v>329000</v>
      </c>
      <c r="D1148" s="14">
        <v>214600</v>
      </c>
      <c r="E1148" s="14">
        <v>271425</v>
      </c>
      <c r="F1148" s="14">
        <v>165400</v>
      </c>
      <c r="G1148" s="14">
        <v>211711</v>
      </c>
      <c r="H1148" s="14">
        <v>139000</v>
      </c>
      <c r="I1148" s="14">
        <v>166000</v>
      </c>
      <c r="J1148" s="14">
        <v>3010</v>
      </c>
      <c r="K1148" s="14">
        <v>3650</v>
      </c>
      <c r="N1148" s="42">
        <f t="shared" si="52"/>
        <v>31000</v>
      </c>
      <c r="O1148" s="43">
        <f t="shared" si="53"/>
        <v>9.4224924012158054E-2</v>
      </c>
    </row>
    <row r="1149" spans="1:15" x14ac:dyDescent="0.45">
      <c r="A1149" s="12" t="s">
        <v>31105</v>
      </c>
      <c r="B1149" s="14">
        <v>298000</v>
      </c>
      <c r="C1149" s="14">
        <v>329000</v>
      </c>
      <c r="D1149" s="14">
        <v>214600</v>
      </c>
      <c r="E1149" s="14">
        <v>271425</v>
      </c>
      <c r="F1149" s="14">
        <v>165400</v>
      </c>
      <c r="G1149" s="14">
        <v>211711</v>
      </c>
      <c r="H1149" s="14">
        <v>139000</v>
      </c>
      <c r="I1149" s="14">
        <v>166000</v>
      </c>
      <c r="J1149" s="14">
        <v>3010</v>
      </c>
      <c r="K1149" s="14">
        <v>3650</v>
      </c>
      <c r="N1149" s="42">
        <f t="shared" si="52"/>
        <v>31000</v>
      </c>
      <c r="O1149" s="43">
        <f t="shared" si="53"/>
        <v>9.4224924012158054E-2</v>
      </c>
    </row>
    <row r="1150" spans="1:15" x14ac:dyDescent="0.45">
      <c r="A1150" s="12" t="s">
        <v>31106</v>
      </c>
      <c r="B1150" s="14">
        <v>298000</v>
      </c>
      <c r="C1150" s="14">
        <v>329000</v>
      </c>
      <c r="D1150" s="14">
        <v>214600</v>
      </c>
      <c r="E1150" s="14">
        <v>271425</v>
      </c>
      <c r="F1150" s="14">
        <v>165400</v>
      </c>
      <c r="G1150" s="14">
        <v>211711</v>
      </c>
      <c r="H1150" s="14">
        <v>136000</v>
      </c>
      <c r="I1150" s="14">
        <v>163000</v>
      </c>
      <c r="J1150" s="14">
        <v>2970</v>
      </c>
      <c r="K1150" s="14">
        <v>3600</v>
      </c>
      <c r="N1150" s="42">
        <f t="shared" si="52"/>
        <v>31000</v>
      </c>
      <c r="O1150" s="43">
        <f t="shared" si="53"/>
        <v>9.4224924012158054E-2</v>
      </c>
    </row>
    <row r="1151" spans="1:15" x14ac:dyDescent="0.45">
      <c r="A1151" s="12" t="s">
        <v>31107</v>
      </c>
      <c r="B1151" s="14">
        <v>297500</v>
      </c>
      <c r="C1151" s="14">
        <v>327000</v>
      </c>
      <c r="D1151" s="14">
        <v>214200</v>
      </c>
      <c r="E1151" s="14">
        <v>269775</v>
      </c>
      <c r="F1151" s="14">
        <v>165200</v>
      </c>
      <c r="G1151" s="14">
        <v>210424</v>
      </c>
      <c r="H1151" s="14">
        <v>134000</v>
      </c>
      <c r="I1151" s="14">
        <v>160000</v>
      </c>
      <c r="J1151" s="14">
        <v>2930</v>
      </c>
      <c r="K1151" s="14">
        <v>3560</v>
      </c>
      <c r="N1151" s="42">
        <f t="shared" si="52"/>
        <v>29500</v>
      </c>
      <c r="O1151" s="43">
        <f t="shared" si="53"/>
        <v>9.0214067278287458E-2</v>
      </c>
    </row>
    <row r="1152" spans="1:15" x14ac:dyDescent="0.45">
      <c r="A1152" s="12" t="s">
        <v>31108</v>
      </c>
      <c r="B1152" s="14">
        <v>297000</v>
      </c>
      <c r="C1152" s="14">
        <v>324500</v>
      </c>
      <c r="D1152" s="14">
        <v>213900</v>
      </c>
      <c r="E1152" s="14">
        <v>267712</v>
      </c>
      <c r="F1152" s="14">
        <v>164900</v>
      </c>
      <c r="G1152" s="14">
        <v>208815</v>
      </c>
      <c r="H1152" s="14">
        <v>131000</v>
      </c>
      <c r="I1152" s="14">
        <v>156000</v>
      </c>
      <c r="J1152" s="14">
        <v>2880</v>
      </c>
      <c r="K1152" s="14">
        <v>3510</v>
      </c>
      <c r="N1152" s="42">
        <f t="shared" si="52"/>
        <v>27500</v>
      </c>
      <c r="O1152" s="43">
        <f t="shared" si="53"/>
        <v>8.4745762711864403E-2</v>
      </c>
    </row>
    <row r="1153" spans="1:15" x14ac:dyDescent="0.45">
      <c r="A1153" s="12" t="s">
        <v>31109</v>
      </c>
      <c r="B1153" s="14">
        <v>296500</v>
      </c>
      <c r="C1153" s="14">
        <v>324000</v>
      </c>
      <c r="D1153" s="14">
        <v>213500</v>
      </c>
      <c r="E1153" s="14">
        <v>267300</v>
      </c>
      <c r="F1153" s="14">
        <v>164600</v>
      </c>
      <c r="G1153" s="14">
        <v>208494</v>
      </c>
      <c r="H1153" s="14">
        <v>130000</v>
      </c>
      <c r="I1153" s="14">
        <v>156000</v>
      </c>
      <c r="J1153" s="14">
        <v>2870</v>
      </c>
      <c r="K1153" s="14">
        <v>3490</v>
      </c>
      <c r="N1153" s="42">
        <f t="shared" si="52"/>
        <v>27500</v>
      </c>
      <c r="O1153" s="43">
        <f t="shared" si="53"/>
        <v>8.4876543209876545E-2</v>
      </c>
    </row>
    <row r="1154" spans="1:15" x14ac:dyDescent="0.45">
      <c r="A1154" s="12" t="s">
        <v>31110</v>
      </c>
      <c r="B1154" s="14">
        <v>295500</v>
      </c>
      <c r="C1154" s="14">
        <v>320000</v>
      </c>
      <c r="D1154" s="14">
        <v>212800</v>
      </c>
      <c r="E1154" s="14">
        <v>264000</v>
      </c>
      <c r="F1154" s="14">
        <v>164100</v>
      </c>
      <c r="G1154" s="14">
        <v>205920</v>
      </c>
      <c r="H1154" s="14">
        <v>129000</v>
      </c>
      <c r="I1154" s="14">
        <v>154000</v>
      </c>
      <c r="J1154" s="14">
        <v>2790</v>
      </c>
      <c r="K1154" s="14">
        <v>3420</v>
      </c>
      <c r="N1154" s="42">
        <f t="shared" si="52"/>
        <v>24500</v>
      </c>
      <c r="O1154" s="43">
        <f t="shared" si="53"/>
        <v>7.6562500000000006E-2</v>
      </c>
    </row>
    <row r="1155" spans="1:15" x14ac:dyDescent="0.45">
      <c r="A1155" s="12" t="s">
        <v>31111</v>
      </c>
      <c r="B1155" s="14">
        <v>295000</v>
      </c>
      <c r="C1155" s="14">
        <v>321500</v>
      </c>
      <c r="D1155" s="14">
        <v>212400</v>
      </c>
      <c r="E1155" s="14">
        <v>265237</v>
      </c>
      <c r="F1155" s="14">
        <v>163800</v>
      </c>
      <c r="G1155" s="14">
        <v>206885</v>
      </c>
      <c r="H1155" s="14">
        <v>130000</v>
      </c>
      <c r="I1155" s="14">
        <v>156000</v>
      </c>
      <c r="J1155" s="14">
        <v>2890</v>
      </c>
      <c r="K1155" s="14">
        <v>3520</v>
      </c>
      <c r="N1155" s="42">
        <f t="shared" si="52"/>
        <v>26500</v>
      </c>
      <c r="O1155" s="43">
        <f t="shared" si="53"/>
        <v>8.2426127527216175E-2</v>
      </c>
    </row>
    <row r="1156" spans="1:15" x14ac:dyDescent="0.45">
      <c r="A1156" s="12" t="s">
        <v>31112</v>
      </c>
      <c r="B1156" s="14">
        <v>295500</v>
      </c>
      <c r="C1156" s="14">
        <v>324500</v>
      </c>
      <c r="D1156" s="14">
        <v>212800</v>
      </c>
      <c r="E1156" s="14">
        <v>267712</v>
      </c>
      <c r="F1156" s="14">
        <v>164100</v>
      </c>
      <c r="G1156" s="14">
        <v>208815</v>
      </c>
      <c r="H1156" s="14">
        <v>132000</v>
      </c>
      <c r="I1156" s="14">
        <v>158000</v>
      </c>
      <c r="J1156" s="14">
        <v>2940</v>
      </c>
      <c r="K1156" s="14">
        <v>3570</v>
      </c>
      <c r="N1156" s="42">
        <f t="shared" si="52"/>
        <v>29000</v>
      </c>
      <c r="O1156" s="43">
        <f t="shared" si="53"/>
        <v>8.9368258859784278E-2</v>
      </c>
    </row>
    <row r="1157" spans="1:15" x14ac:dyDescent="0.45">
      <c r="A1157" s="12" t="s">
        <v>31113</v>
      </c>
      <c r="B1157" s="14">
        <v>295000</v>
      </c>
      <c r="C1157" s="14">
        <v>322500</v>
      </c>
      <c r="D1157" s="14">
        <v>212400</v>
      </c>
      <c r="E1157" s="14">
        <v>266062</v>
      </c>
      <c r="F1157" s="14">
        <v>163800</v>
      </c>
      <c r="G1157" s="14">
        <v>207528</v>
      </c>
      <c r="H1157" s="14">
        <v>131000</v>
      </c>
      <c r="I1157" s="14">
        <v>157000</v>
      </c>
      <c r="J1157" s="14">
        <v>2920</v>
      </c>
      <c r="K1157" s="14">
        <v>3560</v>
      </c>
      <c r="N1157" s="42">
        <f t="shared" si="52"/>
        <v>27500</v>
      </c>
      <c r="O1157" s="43">
        <f t="shared" si="53"/>
        <v>8.5271317829457363E-2</v>
      </c>
    </row>
    <row r="1158" spans="1:15" x14ac:dyDescent="0.45">
      <c r="A1158" s="12" t="s">
        <v>31114</v>
      </c>
      <c r="B1158" s="14">
        <v>295500</v>
      </c>
      <c r="C1158" s="14">
        <v>324000</v>
      </c>
      <c r="D1158" s="14">
        <v>212800</v>
      </c>
      <c r="E1158" s="14">
        <v>267300</v>
      </c>
      <c r="F1158" s="14">
        <v>164100</v>
      </c>
      <c r="G1158" s="14">
        <v>208494</v>
      </c>
      <c r="H1158" s="14">
        <v>132000</v>
      </c>
      <c r="I1158" s="14">
        <v>158000</v>
      </c>
      <c r="J1158" s="14">
        <v>2960</v>
      </c>
      <c r="K1158" s="14">
        <v>3600</v>
      </c>
      <c r="N1158" s="42">
        <f t="shared" si="52"/>
        <v>28500</v>
      </c>
      <c r="O1158" s="43">
        <f t="shared" si="53"/>
        <v>8.7962962962962965E-2</v>
      </c>
    </row>
    <row r="1159" spans="1:15" x14ac:dyDescent="0.45">
      <c r="A1159" s="12" t="s">
        <v>31115</v>
      </c>
      <c r="B1159" s="14">
        <v>297000</v>
      </c>
      <c r="C1159" s="14">
        <v>325000</v>
      </c>
      <c r="D1159" s="14">
        <v>213900</v>
      </c>
      <c r="E1159" s="14">
        <v>268125</v>
      </c>
      <c r="F1159" s="14">
        <v>164900</v>
      </c>
      <c r="G1159" s="14">
        <v>209137</v>
      </c>
      <c r="H1159" s="14">
        <v>134000</v>
      </c>
      <c r="I1159" s="14">
        <v>160000</v>
      </c>
      <c r="J1159" s="14">
        <v>2980</v>
      </c>
      <c r="K1159" s="14">
        <v>3610</v>
      </c>
      <c r="N1159" s="42">
        <f t="shared" si="52"/>
        <v>28000</v>
      </c>
      <c r="O1159" s="43">
        <f t="shared" si="53"/>
        <v>8.615384615384615E-2</v>
      </c>
    </row>
    <row r="1160" spans="1:15" x14ac:dyDescent="0.45">
      <c r="A1160" s="12" t="s">
        <v>31116</v>
      </c>
      <c r="B1160" s="14">
        <v>297500</v>
      </c>
      <c r="C1160" s="14">
        <v>326000</v>
      </c>
      <c r="D1160" s="14">
        <v>214200</v>
      </c>
      <c r="E1160" s="14">
        <v>268950</v>
      </c>
      <c r="F1160" s="14">
        <v>165200</v>
      </c>
      <c r="G1160" s="14">
        <v>209781</v>
      </c>
      <c r="H1160" s="14">
        <v>135000</v>
      </c>
      <c r="I1160" s="14">
        <v>161000</v>
      </c>
      <c r="J1160" s="14">
        <v>2990</v>
      </c>
      <c r="K1160" s="14">
        <v>3640</v>
      </c>
      <c r="N1160" s="42">
        <f t="shared" si="52"/>
        <v>28500</v>
      </c>
      <c r="O1160" s="43">
        <f t="shared" si="53"/>
        <v>8.7423312883435578E-2</v>
      </c>
    </row>
    <row r="1161" spans="1:15" x14ac:dyDescent="0.45">
      <c r="A1161" s="12" t="s">
        <v>31117</v>
      </c>
      <c r="B1161" s="14">
        <v>296500</v>
      </c>
      <c r="C1161" s="14">
        <v>323000</v>
      </c>
      <c r="D1161" s="14">
        <v>213500</v>
      </c>
      <c r="E1161" s="14">
        <v>266475</v>
      </c>
      <c r="F1161" s="14">
        <v>164600</v>
      </c>
      <c r="G1161" s="14">
        <v>207850</v>
      </c>
      <c r="H1161" s="14">
        <v>134000</v>
      </c>
      <c r="I1161" s="14">
        <v>160000</v>
      </c>
      <c r="J1161" s="14">
        <v>2950</v>
      </c>
      <c r="K1161" s="14">
        <v>3600</v>
      </c>
      <c r="N1161" s="42">
        <f t="shared" si="52"/>
        <v>26500</v>
      </c>
      <c r="O1161" s="43">
        <f t="shared" si="53"/>
        <v>8.2043343653250778E-2</v>
      </c>
    </row>
    <row r="1162" spans="1:15" x14ac:dyDescent="0.45">
      <c r="A1162" s="12" t="s">
        <v>31118</v>
      </c>
      <c r="B1162" s="14">
        <v>297000</v>
      </c>
      <c r="C1162" s="14">
        <v>324000</v>
      </c>
      <c r="D1162" s="14">
        <v>213900</v>
      </c>
      <c r="E1162" s="14">
        <v>267300</v>
      </c>
      <c r="F1162" s="14">
        <v>164900</v>
      </c>
      <c r="G1162" s="14">
        <v>208494</v>
      </c>
      <c r="H1162" s="14">
        <v>136000</v>
      </c>
      <c r="I1162" s="14">
        <v>163000</v>
      </c>
      <c r="J1162" s="14">
        <v>2950</v>
      </c>
      <c r="K1162" s="14">
        <v>3600</v>
      </c>
      <c r="N1162" s="42">
        <f t="shared" si="52"/>
        <v>27000</v>
      </c>
      <c r="O1162" s="43">
        <f t="shared" si="53"/>
        <v>8.3333333333333329E-2</v>
      </c>
    </row>
    <row r="1163" spans="1:15" x14ac:dyDescent="0.45">
      <c r="A1163" s="12" t="s">
        <v>31119</v>
      </c>
      <c r="B1163" s="14">
        <v>297000</v>
      </c>
      <c r="C1163" s="14">
        <v>324000</v>
      </c>
      <c r="D1163" s="14">
        <v>213900</v>
      </c>
      <c r="E1163" s="14">
        <v>267300</v>
      </c>
      <c r="F1163" s="14">
        <v>164900</v>
      </c>
      <c r="G1163" s="14">
        <v>208494</v>
      </c>
      <c r="H1163" s="14">
        <v>136000</v>
      </c>
      <c r="I1163" s="14">
        <v>163000</v>
      </c>
      <c r="J1163" s="14">
        <v>2960</v>
      </c>
      <c r="K1163" s="14">
        <v>3610</v>
      </c>
      <c r="N1163" s="42">
        <f t="shared" si="52"/>
        <v>27000</v>
      </c>
      <c r="O1163" s="43">
        <f t="shared" si="53"/>
        <v>8.3333333333333329E-2</v>
      </c>
    </row>
    <row r="1164" spans="1:15" x14ac:dyDescent="0.45">
      <c r="A1164" s="12" t="s">
        <v>31120</v>
      </c>
      <c r="B1164" s="14">
        <v>297000</v>
      </c>
      <c r="C1164" s="14">
        <v>323000</v>
      </c>
      <c r="D1164" s="14">
        <v>213900</v>
      </c>
      <c r="E1164" s="14">
        <v>266475</v>
      </c>
      <c r="F1164" s="14">
        <v>164900</v>
      </c>
      <c r="G1164" s="14">
        <v>207850</v>
      </c>
      <c r="H1164" s="14">
        <v>137000</v>
      </c>
      <c r="I1164" s="14">
        <v>164000</v>
      </c>
      <c r="J1164" s="14">
        <v>3000</v>
      </c>
      <c r="K1164" s="14">
        <v>3650</v>
      </c>
      <c r="N1164" s="42">
        <f t="shared" si="52"/>
        <v>26000</v>
      </c>
      <c r="O1164" s="43">
        <f t="shared" si="53"/>
        <v>8.0495356037151702E-2</v>
      </c>
    </row>
    <row r="1165" spans="1:15" x14ac:dyDescent="0.45">
      <c r="A1165" s="12" t="s">
        <v>31121</v>
      </c>
      <c r="B1165" s="14">
        <v>296500</v>
      </c>
      <c r="C1165" s="14">
        <v>323000</v>
      </c>
      <c r="D1165" s="14">
        <v>213500</v>
      </c>
      <c r="E1165" s="14">
        <v>266475</v>
      </c>
      <c r="F1165" s="14">
        <v>164600</v>
      </c>
      <c r="G1165" s="14">
        <v>207850</v>
      </c>
      <c r="H1165" s="14">
        <v>140000</v>
      </c>
      <c r="I1165" s="14">
        <v>167000</v>
      </c>
      <c r="J1165" s="14">
        <v>3070</v>
      </c>
      <c r="K1165" s="14">
        <v>3730</v>
      </c>
      <c r="N1165" s="42">
        <f t="shared" si="52"/>
        <v>26500</v>
      </c>
      <c r="O1165" s="43">
        <f t="shared" si="53"/>
        <v>8.2043343653250778E-2</v>
      </c>
    </row>
    <row r="1166" spans="1:15" x14ac:dyDescent="0.45">
      <c r="A1166" s="12" t="s">
        <v>31122</v>
      </c>
      <c r="B1166" s="14">
        <v>295500</v>
      </c>
      <c r="C1166" s="14">
        <v>324000</v>
      </c>
      <c r="D1166" s="14">
        <v>212800</v>
      </c>
      <c r="E1166" s="14">
        <v>267300</v>
      </c>
      <c r="F1166" s="14">
        <v>164100</v>
      </c>
      <c r="G1166" s="14">
        <v>208494</v>
      </c>
      <c r="H1166" s="14">
        <v>139000</v>
      </c>
      <c r="I1166" s="14">
        <v>166000</v>
      </c>
      <c r="J1166" s="14">
        <v>3090</v>
      </c>
      <c r="K1166" s="14">
        <v>3760</v>
      </c>
      <c r="N1166" s="42">
        <f t="shared" si="52"/>
        <v>28500</v>
      </c>
      <c r="O1166" s="43">
        <f t="shared" si="53"/>
        <v>8.7962962962962965E-2</v>
      </c>
    </row>
    <row r="1167" spans="1:15" x14ac:dyDescent="0.45">
      <c r="A1167" s="12" t="s">
        <v>31123</v>
      </c>
      <c r="B1167" s="14">
        <v>295500</v>
      </c>
      <c r="C1167" s="14">
        <v>326000</v>
      </c>
      <c r="D1167" s="14">
        <v>212800</v>
      </c>
      <c r="E1167" s="14">
        <v>268950</v>
      </c>
      <c r="F1167" s="14">
        <v>164100</v>
      </c>
      <c r="G1167" s="14">
        <v>209781</v>
      </c>
      <c r="H1167" s="14">
        <v>143000</v>
      </c>
      <c r="I1167" s="14">
        <v>171000</v>
      </c>
      <c r="J1167" s="14">
        <v>3170</v>
      </c>
      <c r="K1167" s="14">
        <v>3840</v>
      </c>
      <c r="N1167" s="42">
        <f t="shared" si="52"/>
        <v>30500</v>
      </c>
      <c r="O1167" s="43">
        <f t="shared" si="53"/>
        <v>9.3558282208588958E-2</v>
      </c>
    </row>
    <row r="1168" spans="1:15" x14ac:dyDescent="0.45">
      <c r="A1168" s="12" t="s">
        <v>31124</v>
      </c>
      <c r="B1168" s="14">
        <v>295500</v>
      </c>
      <c r="C1168" s="14">
        <v>326000</v>
      </c>
      <c r="D1168" s="14">
        <v>212800</v>
      </c>
      <c r="E1168" s="14">
        <v>268950</v>
      </c>
      <c r="F1168" s="14">
        <v>164100</v>
      </c>
      <c r="G1168" s="14">
        <v>209781</v>
      </c>
      <c r="H1168" s="14">
        <v>143000</v>
      </c>
      <c r="I1168" s="14">
        <v>171000</v>
      </c>
      <c r="J1168" s="14">
        <v>3170</v>
      </c>
      <c r="K1168" s="14">
        <v>3840</v>
      </c>
      <c r="N1168" s="42">
        <f t="shared" si="52"/>
        <v>30500</v>
      </c>
      <c r="O1168" s="43">
        <f t="shared" si="53"/>
        <v>9.3558282208588958E-2</v>
      </c>
    </row>
    <row r="1169" spans="1:15" x14ac:dyDescent="0.45">
      <c r="A1169" s="12" t="s">
        <v>31125</v>
      </c>
      <c r="B1169" s="14">
        <v>295000</v>
      </c>
      <c r="C1169" s="14">
        <v>323000</v>
      </c>
      <c r="D1169" s="14">
        <v>212400</v>
      </c>
      <c r="E1169" s="14">
        <v>266475</v>
      </c>
      <c r="F1169" s="14">
        <v>163800</v>
      </c>
      <c r="G1169" s="14">
        <v>207850</v>
      </c>
      <c r="H1169" s="14">
        <v>142000</v>
      </c>
      <c r="I1169" s="14">
        <v>169000</v>
      </c>
      <c r="J1169" s="14">
        <v>3080</v>
      </c>
      <c r="K1169" s="14">
        <v>3730</v>
      </c>
      <c r="N1169" s="42">
        <f t="shared" si="52"/>
        <v>28000</v>
      </c>
      <c r="O1169" s="43">
        <f t="shared" si="53"/>
        <v>8.6687306501547989E-2</v>
      </c>
    </row>
    <row r="1170" spans="1:15" x14ac:dyDescent="0.45">
      <c r="A1170" s="12" t="s">
        <v>31126</v>
      </c>
      <c r="B1170" s="14">
        <v>295000</v>
      </c>
      <c r="C1170" s="14">
        <v>322500</v>
      </c>
      <c r="D1170" s="14">
        <v>212400</v>
      </c>
      <c r="E1170" s="14">
        <v>266062</v>
      </c>
      <c r="F1170" s="14">
        <v>163800</v>
      </c>
      <c r="G1170" s="14">
        <v>207528</v>
      </c>
      <c r="H1170" s="14">
        <v>140000</v>
      </c>
      <c r="I1170" s="14">
        <v>167000</v>
      </c>
      <c r="J1170" s="14">
        <v>3110</v>
      </c>
      <c r="K1170" s="14">
        <v>3770</v>
      </c>
      <c r="N1170" s="42">
        <f t="shared" si="52"/>
        <v>27500</v>
      </c>
      <c r="O1170" s="43">
        <f t="shared" si="53"/>
        <v>8.5271317829457363E-2</v>
      </c>
    </row>
    <row r="1171" spans="1:15" x14ac:dyDescent="0.45">
      <c r="A1171" s="12" t="s">
        <v>31127</v>
      </c>
      <c r="B1171" s="14">
        <v>296000</v>
      </c>
      <c r="C1171" s="14">
        <v>325000</v>
      </c>
      <c r="D1171" s="14">
        <v>213200</v>
      </c>
      <c r="E1171" s="14">
        <v>268125</v>
      </c>
      <c r="F1171" s="14">
        <v>164300</v>
      </c>
      <c r="G1171" s="14">
        <v>209137</v>
      </c>
      <c r="H1171" s="14">
        <v>139000</v>
      </c>
      <c r="I1171" s="14">
        <v>166000</v>
      </c>
      <c r="J1171" s="14">
        <v>3120</v>
      </c>
      <c r="K1171" s="14">
        <v>3780</v>
      </c>
      <c r="N1171" s="42">
        <f t="shared" si="52"/>
        <v>29000</v>
      </c>
      <c r="O1171" s="43">
        <f t="shared" si="53"/>
        <v>8.9230769230769225E-2</v>
      </c>
    </row>
    <row r="1172" spans="1:15" x14ac:dyDescent="0.45">
      <c r="A1172" s="12" t="s">
        <v>31128</v>
      </c>
      <c r="B1172" s="14">
        <v>295000</v>
      </c>
      <c r="C1172" s="14">
        <v>323000</v>
      </c>
      <c r="D1172" s="14">
        <v>212400</v>
      </c>
      <c r="E1172" s="14">
        <v>266475</v>
      </c>
      <c r="F1172" s="14">
        <v>163800</v>
      </c>
      <c r="G1172" s="14">
        <v>207850</v>
      </c>
      <c r="H1172" s="14">
        <v>140000</v>
      </c>
      <c r="I1172" s="14">
        <v>167000</v>
      </c>
      <c r="J1172" s="14">
        <v>3130</v>
      </c>
      <c r="K1172" s="14">
        <v>3790</v>
      </c>
      <c r="N1172" s="42">
        <f t="shared" si="52"/>
        <v>28000</v>
      </c>
      <c r="O1172" s="43">
        <f t="shared" si="53"/>
        <v>8.6687306501547989E-2</v>
      </c>
    </row>
    <row r="1173" spans="1:15" x14ac:dyDescent="0.45">
      <c r="A1173" s="12" t="s">
        <v>31129</v>
      </c>
      <c r="B1173" s="14">
        <v>294500</v>
      </c>
      <c r="C1173" s="14">
        <v>321000</v>
      </c>
      <c r="D1173" s="14">
        <v>212100</v>
      </c>
      <c r="E1173" s="14">
        <v>264825</v>
      </c>
      <c r="F1173" s="14">
        <v>163500</v>
      </c>
      <c r="G1173" s="14">
        <v>206563</v>
      </c>
      <c r="H1173" s="14">
        <v>138000</v>
      </c>
      <c r="I1173" s="14">
        <v>165000</v>
      </c>
      <c r="J1173" s="14">
        <v>3010</v>
      </c>
      <c r="K1173" s="14">
        <v>3660</v>
      </c>
      <c r="N1173" s="42">
        <f t="shared" si="52"/>
        <v>26500</v>
      </c>
      <c r="O1173" s="43">
        <f t="shared" si="53"/>
        <v>8.2554517133956382E-2</v>
      </c>
    </row>
    <row r="1174" spans="1:15" x14ac:dyDescent="0.45">
      <c r="A1174" s="12" t="s">
        <v>31130</v>
      </c>
      <c r="B1174" s="14">
        <v>295000</v>
      </c>
      <c r="C1174" s="14">
        <v>321500</v>
      </c>
      <c r="D1174" s="14">
        <v>212400</v>
      </c>
      <c r="E1174" s="14">
        <v>265237</v>
      </c>
      <c r="F1174" s="14">
        <v>163800</v>
      </c>
      <c r="G1174" s="14">
        <v>206885</v>
      </c>
      <c r="H1174" s="14">
        <v>138000</v>
      </c>
      <c r="I1174" s="14">
        <v>165000</v>
      </c>
      <c r="J1174" s="14">
        <v>3020</v>
      </c>
      <c r="K1174" s="14">
        <v>3670</v>
      </c>
      <c r="N1174" s="42">
        <f t="shared" si="52"/>
        <v>26500</v>
      </c>
      <c r="O1174" s="43">
        <f t="shared" si="53"/>
        <v>8.2426127527216175E-2</v>
      </c>
    </row>
    <row r="1175" spans="1:15" x14ac:dyDescent="0.45">
      <c r="A1175" s="12" t="s">
        <v>31131</v>
      </c>
      <c r="B1175" s="14">
        <v>295500</v>
      </c>
      <c r="C1175" s="14">
        <v>323000</v>
      </c>
      <c r="D1175" s="14">
        <v>212800</v>
      </c>
      <c r="E1175" s="14">
        <v>266475</v>
      </c>
      <c r="F1175" s="14">
        <v>164100</v>
      </c>
      <c r="G1175" s="14">
        <v>207850</v>
      </c>
      <c r="H1175" s="14">
        <v>138000</v>
      </c>
      <c r="I1175" s="14">
        <v>165000</v>
      </c>
      <c r="J1175" s="14">
        <v>3060</v>
      </c>
      <c r="K1175" s="14">
        <v>3700</v>
      </c>
      <c r="N1175" s="42">
        <f t="shared" si="52"/>
        <v>27500</v>
      </c>
      <c r="O1175" s="43">
        <f t="shared" si="53"/>
        <v>8.5139318885448914E-2</v>
      </c>
    </row>
    <row r="1176" spans="1:15" x14ac:dyDescent="0.45">
      <c r="A1176" s="12" t="s">
        <v>31132</v>
      </c>
      <c r="B1176" s="14">
        <v>295000</v>
      </c>
      <c r="C1176" s="14">
        <v>321500</v>
      </c>
      <c r="D1176" s="14">
        <v>212400</v>
      </c>
      <c r="E1176" s="14">
        <v>265237</v>
      </c>
      <c r="F1176" s="14">
        <v>163800</v>
      </c>
      <c r="G1176" s="14">
        <v>206885</v>
      </c>
      <c r="H1176" s="14">
        <v>134000</v>
      </c>
      <c r="I1176" s="14">
        <v>160000</v>
      </c>
      <c r="J1176" s="14">
        <v>3050</v>
      </c>
      <c r="K1176" s="14">
        <v>3700</v>
      </c>
      <c r="N1176" s="42">
        <f t="shared" si="52"/>
        <v>26500</v>
      </c>
      <c r="O1176" s="43">
        <f t="shared" si="53"/>
        <v>8.2426127527216175E-2</v>
      </c>
    </row>
    <row r="1177" spans="1:15" x14ac:dyDescent="0.45">
      <c r="A1177" s="12" t="s">
        <v>31133</v>
      </c>
      <c r="B1177" s="14">
        <v>295000</v>
      </c>
      <c r="C1177" s="14">
        <v>321000</v>
      </c>
      <c r="D1177" s="14">
        <v>212400</v>
      </c>
      <c r="E1177" s="14">
        <v>264825</v>
      </c>
      <c r="F1177" s="14">
        <v>163800</v>
      </c>
      <c r="G1177" s="14">
        <v>206563</v>
      </c>
      <c r="H1177" s="14">
        <v>134000</v>
      </c>
      <c r="I1177" s="14">
        <v>160000</v>
      </c>
      <c r="J1177" s="14">
        <v>3050</v>
      </c>
      <c r="K1177" s="14">
        <v>3700</v>
      </c>
      <c r="N1177" s="42">
        <f t="shared" si="52"/>
        <v>26000</v>
      </c>
      <c r="O1177" s="43">
        <f t="shared" si="53"/>
        <v>8.0996884735202487E-2</v>
      </c>
    </row>
    <row r="1178" spans="1:15" x14ac:dyDescent="0.45">
      <c r="A1178" s="12" t="s">
        <v>31134</v>
      </c>
      <c r="B1178" s="14">
        <v>295500</v>
      </c>
      <c r="C1178" s="14">
        <v>322000</v>
      </c>
      <c r="D1178" s="14">
        <v>212800</v>
      </c>
      <c r="E1178" s="14">
        <v>265650</v>
      </c>
      <c r="F1178" s="14">
        <v>164100</v>
      </c>
      <c r="G1178" s="14">
        <v>207207</v>
      </c>
      <c r="H1178" s="14">
        <v>136000</v>
      </c>
      <c r="I1178" s="14">
        <v>162000</v>
      </c>
      <c r="J1178" s="14">
        <v>3100</v>
      </c>
      <c r="K1178" s="14">
        <v>3750</v>
      </c>
      <c r="N1178" s="42">
        <f t="shared" si="52"/>
        <v>26500</v>
      </c>
      <c r="O1178" s="43">
        <f t="shared" si="53"/>
        <v>8.2298136645962736E-2</v>
      </c>
    </row>
    <row r="1179" spans="1:15" x14ac:dyDescent="0.45">
      <c r="A1179" s="12" t="s">
        <v>31135</v>
      </c>
      <c r="B1179" s="14">
        <v>295000</v>
      </c>
      <c r="C1179" s="14">
        <v>321000</v>
      </c>
      <c r="D1179" s="14">
        <v>212400</v>
      </c>
      <c r="E1179" s="14">
        <v>264825</v>
      </c>
      <c r="F1179" s="14">
        <v>163800</v>
      </c>
      <c r="G1179" s="14">
        <v>206563</v>
      </c>
      <c r="H1179" s="14">
        <v>133000</v>
      </c>
      <c r="I1179" s="14">
        <v>159000</v>
      </c>
      <c r="J1179" s="14">
        <v>3100</v>
      </c>
      <c r="K1179" s="14">
        <v>3760</v>
      </c>
      <c r="N1179" s="42">
        <f t="shared" si="52"/>
        <v>26000</v>
      </c>
      <c r="O1179" s="43">
        <f t="shared" si="53"/>
        <v>8.0996884735202487E-2</v>
      </c>
    </row>
    <row r="1180" spans="1:15" x14ac:dyDescent="0.45">
      <c r="A1180" s="12" t="s">
        <v>31136</v>
      </c>
      <c r="B1180" s="14">
        <v>292000</v>
      </c>
      <c r="C1180" s="14">
        <v>314500</v>
      </c>
      <c r="D1180" s="14">
        <v>210300</v>
      </c>
      <c r="E1180" s="14">
        <v>259462</v>
      </c>
      <c r="F1180" s="14">
        <v>162100</v>
      </c>
      <c r="G1180" s="14">
        <v>202380</v>
      </c>
      <c r="H1180" s="14">
        <v>132000</v>
      </c>
      <c r="I1180" s="14">
        <v>158000</v>
      </c>
      <c r="J1180" s="14">
        <v>2950</v>
      </c>
      <c r="K1180" s="14">
        <v>3540</v>
      </c>
      <c r="N1180" s="42">
        <f t="shared" si="52"/>
        <v>22500</v>
      </c>
      <c r="O1180" s="43">
        <f t="shared" si="53"/>
        <v>7.1542130365659776E-2</v>
      </c>
    </row>
    <row r="1181" spans="1:15" x14ac:dyDescent="0.45">
      <c r="A1181" s="12" t="s">
        <v>31137</v>
      </c>
      <c r="B1181" s="14">
        <v>291500</v>
      </c>
      <c r="C1181" s="14">
        <v>313000</v>
      </c>
      <c r="D1181" s="14">
        <v>209900</v>
      </c>
      <c r="E1181" s="14">
        <v>258225</v>
      </c>
      <c r="F1181" s="14">
        <v>161800</v>
      </c>
      <c r="G1181" s="14">
        <v>201415</v>
      </c>
      <c r="H1181" s="14">
        <v>131000</v>
      </c>
      <c r="I1181" s="14">
        <v>156000</v>
      </c>
      <c r="J1181" s="14">
        <v>2880</v>
      </c>
      <c r="K1181" s="14">
        <v>3460</v>
      </c>
      <c r="N1181" s="42">
        <f t="shared" si="52"/>
        <v>21500</v>
      </c>
      <c r="O1181" s="43">
        <f t="shared" si="53"/>
        <v>6.8690095846645371E-2</v>
      </c>
    </row>
    <row r="1182" spans="1:15" x14ac:dyDescent="0.45">
      <c r="A1182" s="12" t="s">
        <v>31138</v>
      </c>
      <c r="B1182" s="14">
        <v>291500</v>
      </c>
      <c r="C1182" s="14">
        <v>314000</v>
      </c>
      <c r="D1182" s="14">
        <v>209900</v>
      </c>
      <c r="E1182" s="14">
        <v>259050</v>
      </c>
      <c r="F1182" s="14">
        <v>161800</v>
      </c>
      <c r="G1182" s="14">
        <v>202059</v>
      </c>
      <c r="H1182" s="14">
        <v>132000</v>
      </c>
      <c r="I1182" s="14">
        <v>158000</v>
      </c>
      <c r="J1182" s="14">
        <v>2850</v>
      </c>
      <c r="K1182" s="14">
        <v>3430</v>
      </c>
      <c r="N1182" s="42">
        <f t="shared" si="52"/>
        <v>22500</v>
      </c>
      <c r="O1182" s="43">
        <f t="shared" si="53"/>
        <v>7.1656050955414011E-2</v>
      </c>
    </row>
    <row r="1183" spans="1:15" x14ac:dyDescent="0.45">
      <c r="A1183" s="12" t="s">
        <v>31139</v>
      </c>
      <c r="B1183" s="14">
        <v>292500</v>
      </c>
      <c r="C1183" s="14">
        <v>314000</v>
      </c>
      <c r="D1183" s="14">
        <v>210600</v>
      </c>
      <c r="E1183" s="14">
        <v>259050</v>
      </c>
      <c r="F1183" s="14">
        <v>162400</v>
      </c>
      <c r="G1183" s="14">
        <v>202059</v>
      </c>
      <c r="H1183" s="14">
        <v>130000</v>
      </c>
      <c r="I1183" s="14">
        <v>155000</v>
      </c>
      <c r="J1183" s="14">
        <v>2840</v>
      </c>
      <c r="K1183" s="14">
        <v>3420</v>
      </c>
      <c r="N1183" s="42">
        <f t="shared" si="52"/>
        <v>21500</v>
      </c>
      <c r="O1183" s="43">
        <f t="shared" si="53"/>
        <v>6.8471337579617833E-2</v>
      </c>
    </row>
    <row r="1184" spans="1:15" x14ac:dyDescent="0.45">
      <c r="A1184" s="12" t="s">
        <v>31140</v>
      </c>
      <c r="B1184" s="14">
        <v>292500</v>
      </c>
      <c r="C1184" s="14">
        <v>315000</v>
      </c>
      <c r="D1184" s="14">
        <v>210600</v>
      </c>
      <c r="E1184" s="14">
        <v>259875</v>
      </c>
      <c r="F1184" s="14">
        <v>162400</v>
      </c>
      <c r="G1184" s="14">
        <v>202702</v>
      </c>
      <c r="H1184" s="14">
        <v>130000</v>
      </c>
      <c r="I1184" s="14">
        <v>156000</v>
      </c>
      <c r="J1184" s="14">
        <v>2770</v>
      </c>
      <c r="K1184" s="14">
        <v>3460</v>
      </c>
      <c r="N1184" s="42">
        <f t="shared" si="52"/>
        <v>22500</v>
      </c>
      <c r="O1184" s="43">
        <f t="shared" si="53"/>
        <v>7.1428571428571425E-2</v>
      </c>
    </row>
    <row r="1185" spans="1:15" x14ac:dyDescent="0.45">
      <c r="A1185" s="12" t="s">
        <v>31141</v>
      </c>
      <c r="B1185" s="14">
        <v>291500</v>
      </c>
      <c r="C1185" s="14">
        <v>308500</v>
      </c>
      <c r="D1185" s="14">
        <v>209900</v>
      </c>
      <c r="E1185" s="14">
        <v>254512</v>
      </c>
      <c r="F1185" s="14">
        <v>161800</v>
      </c>
      <c r="G1185" s="14">
        <v>198519</v>
      </c>
      <c r="H1185" s="14">
        <v>127000</v>
      </c>
      <c r="I1185" s="14">
        <v>153000</v>
      </c>
      <c r="J1185" s="14">
        <v>2850</v>
      </c>
      <c r="K1185" s="14">
        <v>3440</v>
      </c>
      <c r="N1185" s="42">
        <f t="shared" si="52"/>
        <v>17000</v>
      </c>
      <c r="O1185" s="43">
        <f t="shared" si="53"/>
        <v>5.5105348460291734E-2</v>
      </c>
    </row>
    <row r="1186" spans="1:15" x14ac:dyDescent="0.45">
      <c r="A1186" s="12" t="s">
        <v>31142</v>
      </c>
      <c r="B1186" s="14">
        <v>292500</v>
      </c>
      <c r="C1186" s="14">
        <v>312000</v>
      </c>
      <c r="D1186" s="14">
        <v>210600</v>
      </c>
      <c r="E1186" s="14">
        <v>257400</v>
      </c>
      <c r="F1186" s="14">
        <v>162400</v>
      </c>
      <c r="G1186" s="14">
        <v>200772</v>
      </c>
      <c r="H1186" s="14">
        <v>131000</v>
      </c>
      <c r="I1186" s="14">
        <v>157000</v>
      </c>
      <c r="J1186" s="14">
        <v>2890</v>
      </c>
      <c r="K1186" s="14">
        <v>3480</v>
      </c>
      <c r="N1186" s="42">
        <f t="shared" si="52"/>
        <v>19500</v>
      </c>
      <c r="O1186" s="43">
        <f t="shared" si="53"/>
        <v>6.25E-2</v>
      </c>
    </row>
    <row r="1187" spans="1:15" x14ac:dyDescent="0.45">
      <c r="A1187" s="12" t="s">
        <v>31143</v>
      </c>
      <c r="B1187" s="14">
        <v>293500</v>
      </c>
      <c r="C1187" s="14">
        <v>312000</v>
      </c>
      <c r="D1187" s="14">
        <v>211400</v>
      </c>
      <c r="E1187" s="14">
        <v>257400</v>
      </c>
      <c r="F1187" s="14">
        <v>162900</v>
      </c>
      <c r="G1187" s="14">
        <v>200772</v>
      </c>
      <c r="H1187" s="14">
        <v>129000</v>
      </c>
      <c r="I1187" s="14">
        <v>154000</v>
      </c>
      <c r="J1187" s="14">
        <v>2890</v>
      </c>
      <c r="K1187" s="14">
        <v>3470</v>
      </c>
      <c r="N1187" s="42">
        <f t="shared" si="52"/>
        <v>18500</v>
      </c>
      <c r="O1187" s="43">
        <f t="shared" si="53"/>
        <v>5.9294871794871792E-2</v>
      </c>
    </row>
    <row r="1188" spans="1:15" x14ac:dyDescent="0.45">
      <c r="A1188" s="12" t="s">
        <v>31144</v>
      </c>
      <c r="B1188" s="14">
        <v>294500</v>
      </c>
      <c r="C1188" s="14">
        <v>314000</v>
      </c>
      <c r="D1188" s="14">
        <v>212100</v>
      </c>
      <c r="E1188" s="14">
        <v>259050</v>
      </c>
      <c r="F1188" s="14">
        <v>163500</v>
      </c>
      <c r="G1188" s="14">
        <v>202059</v>
      </c>
      <c r="H1188" s="14">
        <v>128000</v>
      </c>
      <c r="I1188" s="14">
        <v>153000</v>
      </c>
      <c r="J1188" s="14">
        <v>2910</v>
      </c>
      <c r="K1188" s="14">
        <v>3490</v>
      </c>
      <c r="N1188" s="42">
        <f t="shared" si="52"/>
        <v>19500</v>
      </c>
      <c r="O1188" s="43">
        <f t="shared" si="53"/>
        <v>6.2101910828025478E-2</v>
      </c>
    </row>
    <row r="1189" spans="1:15" x14ac:dyDescent="0.45">
      <c r="A1189" s="12" t="s">
        <v>31145</v>
      </c>
      <c r="B1189" s="14">
        <v>294000</v>
      </c>
      <c r="C1189" s="14">
        <v>315000</v>
      </c>
      <c r="D1189" s="14">
        <v>211700</v>
      </c>
      <c r="E1189" s="14">
        <v>259875</v>
      </c>
      <c r="F1189" s="14">
        <v>163200</v>
      </c>
      <c r="G1189" s="14">
        <v>202702</v>
      </c>
      <c r="H1189" s="14">
        <v>128000</v>
      </c>
      <c r="I1189" s="14">
        <v>153000</v>
      </c>
      <c r="J1189" s="14">
        <v>2910</v>
      </c>
      <c r="K1189" s="14">
        <v>3510</v>
      </c>
      <c r="N1189" s="42">
        <f t="shared" si="52"/>
        <v>21000</v>
      </c>
      <c r="O1189" s="43">
        <f t="shared" si="53"/>
        <v>6.6666666666666666E-2</v>
      </c>
    </row>
    <row r="1190" spans="1:15" x14ac:dyDescent="0.45">
      <c r="A1190" s="12" t="s">
        <v>31146</v>
      </c>
      <c r="B1190" s="14">
        <v>294000</v>
      </c>
      <c r="C1190" s="14">
        <v>314500</v>
      </c>
      <c r="D1190" s="14">
        <v>211700</v>
      </c>
      <c r="E1190" s="14">
        <v>259462</v>
      </c>
      <c r="F1190" s="14">
        <v>163200</v>
      </c>
      <c r="G1190" s="14">
        <v>202380</v>
      </c>
      <c r="H1190" s="14">
        <v>127000</v>
      </c>
      <c r="I1190" s="14">
        <v>152000</v>
      </c>
      <c r="J1190" s="14">
        <v>2860</v>
      </c>
      <c r="K1190" s="14">
        <v>3460</v>
      </c>
      <c r="N1190" s="42">
        <f t="shared" si="52"/>
        <v>20500</v>
      </c>
      <c r="O1190" s="43">
        <f t="shared" si="53"/>
        <v>6.518282988871224E-2</v>
      </c>
    </row>
    <row r="1191" spans="1:15" x14ac:dyDescent="0.45">
      <c r="A1191" s="12" t="s">
        <v>31147</v>
      </c>
      <c r="B1191" s="14">
        <v>294500</v>
      </c>
      <c r="C1191" s="14">
        <v>315000</v>
      </c>
      <c r="D1191" s="14">
        <v>212100</v>
      </c>
      <c r="E1191" s="14">
        <v>259875</v>
      </c>
      <c r="F1191" s="14">
        <v>163500</v>
      </c>
      <c r="G1191" s="14">
        <v>202702</v>
      </c>
      <c r="H1191" s="14">
        <v>127000</v>
      </c>
      <c r="I1191" s="14">
        <v>152000</v>
      </c>
      <c r="J1191" s="14">
        <v>2940</v>
      </c>
      <c r="K1191" s="14">
        <v>3540</v>
      </c>
      <c r="N1191" s="42">
        <f t="shared" si="52"/>
        <v>20500</v>
      </c>
      <c r="O1191" s="43">
        <f t="shared" si="53"/>
        <v>6.5079365079365084E-2</v>
      </c>
    </row>
    <row r="1192" spans="1:15" x14ac:dyDescent="0.45">
      <c r="A1192" s="12" t="s">
        <v>31148</v>
      </c>
      <c r="B1192" s="14">
        <v>294000</v>
      </c>
      <c r="C1192" s="14">
        <v>314000</v>
      </c>
      <c r="D1192" s="14">
        <v>211700</v>
      </c>
      <c r="E1192" s="14">
        <v>259050</v>
      </c>
      <c r="F1192" s="14">
        <v>163200</v>
      </c>
      <c r="G1192" s="14">
        <v>202059</v>
      </c>
      <c r="H1192" s="14">
        <v>126000</v>
      </c>
      <c r="I1192" s="14">
        <v>151000</v>
      </c>
      <c r="J1192" s="14">
        <v>2910</v>
      </c>
      <c r="K1192" s="14">
        <v>3510</v>
      </c>
      <c r="N1192" s="42">
        <f t="shared" si="52"/>
        <v>20000</v>
      </c>
      <c r="O1192" s="43">
        <f t="shared" si="53"/>
        <v>6.3694267515923567E-2</v>
      </c>
    </row>
    <row r="1193" spans="1:15" x14ac:dyDescent="0.45">
      <c r="A1193" s="12" t="s">
        <v>31149</v>
      </c>
      <c r="B1193" s="14">
        <v>294500</v>
      </c>
      <c r="C1193" s="14">
        <v>316000</v>
      </c>
      <c r="D1193" s="14">
        <v>212100</v>
      </c>
      <c r="E1193" s="14">
        <v>260700</v>
      </c>
      <c r="F1193" s="14">
        <v>163500</v>
      </c>
      <c r="G1193" s="14">
        <v>203346</v>
      </c>
      <c r="H1193" s="14">
        <v>129000</v>
      </c>
      <c r="I1193" s="14">
        <v>155000</v>
      </c>
      <c r="J1193" s="14">
        <v>2940</v>
      </c>
      <c r="K1193" s="14">
        <v>3540</v>
      </c>
      <c r="N1193" s="42">
        <f t="shared" si="52"/>
        <v>21500</v>
      </c>
      <c r="O1193" s="43">
        <f t="shared" si="53"/>
        <v>6.8037974683544306E-2</v>
      </c>
    </row>
    <row r="1194" spans="1:15" x14ac:dyDescent="0.45">
      <c r="A1194" s="12" t="s">
        <v>31150</v>
      </c>
      <c r="B1194" s="14">
        <v>293000</v>
      </c>
      <c r="C1194" s="14">
        <v>315000</v>
      </c>
      <c r="D1194" s="14">
        <v>211000</v>
      </c>
      <c r="E1194" s="14">
        <v>259875</v>
      </c>
      <c r="F1194" s="14">
        <v>162700</v>
      </c>
      <c r="G1194" s="14">
        <v>202702</v>
      </c>
      <c r="H1194" s="14">
        <v>132000</v>
      </c>
      <c r="I1194" s="14">
        <v>158000</v>
      </c>
      <c r="J1194" s="14">
        <v>2960</v>
      </c>
      <c r="K1194" s="14">
        <v>3560</v>
      </c>
      <c r="N1194" s="42">
        <f t="shared" si="52"/>
        <v>22000</v>
      </c>
      <c r="O1194" s="43">
        <f t="shared" si="53"/>
        <v>6.9841269841269843E-2</v>
      </c>
    </row>
    <row r="1195" spans="1:15" x14ac:dyDescent="0.45">
      <c r="A1195" s="12" t="s">
        <v>31151</v>
      </c>
      <c r="B1195" s="14">
        <v>295500</v>
      </c>
      <c r="C1195" s="14">
        <v>316000</v>
      </c>
      <c r="D1195" s="14">
        <v>212800</v>
      </c>
      <c r="E1195" s="14">
        <v>260700</v>
      </c>
      <c r="F1195" s="14">
        <v>164100</v>
      </c>
      <c r="G1195" s="14">
        <v>203346</v>
      </c>
      <c r="H1195" s="14">
        <v>127000</v>
      </c>
      <c r="I1195" s="14">
        <v>152000</v>
      </c>
      <c r="J1195" s="14">
        <v>2950</v>
      </c>
      <c r="K1195" s="14">
        <v>3560</v>
      </c>
      <c r="N1195" s="42">
        <f t="shared" si="52"/>
        <v>20500</v>
      </c>
      <c r="O1195" s="43">
        <f t="shared" si="53"/>
        <v>6.4873417721518986E-2</v>
      </c>
    </row>
    <row r="1196" spans="1:15" x14ac:dyDescent="0.45">
      <c r="A1196" s="12" t="s">
        <v>31152</v>
      </c>
      <c r="B1196" s="14">
        <v>297500</v>
      </c>
      <c r="C1196" s="14">
        <v>322000</v>
      </c>
      <c r="D1196" s="14">
        <v>214200</v>
      </c>
      <c r="E1196" s="14">
        <v>265650</v>
      </c>
      <c r="F1196" s="14">
        <v>165200</v>
      </c>
      <c r="G1196" s="14">
        <v>207207</v>
      </c>
      <c r="H1196" s="14">
        <v>130000</v>
      </c>
      <c r="I1196" s="14">
        <v>155000</v>
      </c>
      <c r="J1196" s="14">
        <v>2970</v>
      </c>
      <c r="K1196" s="14">
        <v>3580</v>
      </c>
      <c r="N1196" s="42">
        <f t="shared" si="52"/>
        <v>24500</v>
      </c>
      <c r="O1196" s="43">
        <f t="shared" si="53"/>
        <v>7.6086956521739135E-2</v>
      </c>
    </row>
    <row r="1197" spans="1:15" x14ac:dyDescent="0.45">
      <c r="A1197" s="12" t="s">
        <v>31153</v>
      </c>
      <c r="B1197" s="14">
        <v>298500</v>
      </c>
      <c r="C1197" s="14">
        <v>326000</v>
      </c>
      <c r="D1197" s="14">
        <v>215000</v>
      </c>
      <c r="E1197" s="14">
        <v>268950</v>
      </c>
      <c r="F1197" s="14">
        <v>165700</v>
      </c>
      <c r="G1197" s="14">
        <v>209781</v>
      </c>
      <c r="H1197" s="14">
        <v>131000</v>
      </c>
      <c r="I1197" s="14">
        <v>156000</v>
      </c>
      <c r="J1197" s="14">
        <v>3070</v>
      </c>
      <c r="K1197" s="14">
        <v>3680</v>
      </c>
      <c r="N1197" s="42">
        <f t="shared" ref="N1197:N1260" si="54">C1197-B1197</f>
        <v>27500</v>
      </c>
      <c r="O1197" s="43">
        <f t="shared" ref="O1197:O1260" si="55">N1197/C1197</f>
        <v>8.4355828220858894E-2</v>
      </c>
    </row>
    <row r="1198" spans="1:15" x14ac:dyDescent="0.45">
      <c r="A1198" s="12" t="s">
        <v>31154</v>
      </c>
      <c r="B1198" s="14">
        <v>298000</v>
      </c>
      <c r="C1198" s="14">
        <v>325500</v>
      </c>
      <c r="D1198" s="14">
        <v>214600</v>
      </c>
      <c r="E1198" s="14">
        <v>268537</v>
      </c>
      <c r="F1198" s="14">
        <v>165400</v>
      </c>
      <c r="G1198" s="14">
        <v>209459</v>
      </c>
      <c r="H1198" s="14">
        <v>131000</v>
      </c>
      <c r="I1198" s="14">
        <v>156000</v>
      </c>
      <c r="J1198" s="14">
        <v>3030</v>
      </c>
      <c r="K1198" s="14">
        <v>3630</v>
      </c>
      <c r="N1198" s="42">
        <f t="shared" si="54"/>
        <v>27500</v>
      </c>
      <c r="O1198" s="43">
        <f t="shared" si="55"/>
        <v>8.4485407066052232E-2</v>
      </c>
    </row>
    <row r="1199" spans="1:15" x14ac:dyDescent="0.45">
      <c r="A1199" s="12" t="s">
        <v>31155</v>
      </c>
      <c r="B1199" s="14">
        <v>298000</v>
      </c>
      <c r="C1199" s="14">
        <v>326000</v>
      </c>
      <c r="D1199" s="14">
        <v>214600</v>
      </c>
      <c r="E1199" s="14">
        <v>268950</v>
      </c>
      <c r="F1199" s="14">
        <v>165400</v>
      </c>
      <c r="G1199" s="14">
        <v>209781</v>
      </c>
      <c r="H1199" s="14">
        <v>131000</v>
      </c>
      <c r="I1199" s="14">
        <v>156000</v>
      </c>
      <c r="J1199" s="14">
        <v>3030</v>
      </c>
      <c r="K1199" s="14">
        <v>3640</v>
      </c>
      <c r="N1199" s="42">
        <f t="shared" si="54"/>
        <v>28000</v>
      </c>
      <c r="O1199" s="43">
        <f t="shared" si="55"/>
        <v>8.5889570552147243E-2</v>
      </c>
    </row>
    <row r="1200" spans="1:15" x14ac:dyDescent="0.45">
      <c r="A1200" s="12" t="s">
        <v>31156</v>
      </c>
      <c r="B1200" s="14">
        <v>298000</v>
      </c>
      <c r="C1200" s="14">
        <v>324000</v>
      </c>
      <c r="D1200" s="14">
        <v>214600</v>
      </c>
      <c r="E1200" s="14">
        <v>267300</v>
      </c>
      <c r="F1200" s="14">
        <v>165400</v>
      </c>
      <c r="G1200" s="14">
        <v>208494</v>
      </c>
      <c r="H1200" s="14">
        <v>132000</v>
      </c>
      <c r="I1200" s="14">
        <v>158000</v>
      </c>
      <c r="J1200" s="14">
        <v>3060</v>
      </c>
      <c r="K1200" s="14">
        <v>3680</v>
      </c>
      <c r="N1200" s="42">
        <f t="shared" si="54"/>
        <v>26000</v>
      </c>
      <c r="O1200" s="43">
        <f t="shared" si="55"/>
        <v>8.0246913580246909E-2</v>
      </c>
    </row>
    <row r="1201" spans="1:15" x14ac:dyDescent="0.45">
      <c r="A1201" s="12" t="s">
        <v>31157</v>
      </c>
      <c r="B1201" s="14">
        <v>298000</v>
      </c>
      <c r="C1201" s="14">
        <v>327000</v>
      </c>
      <c r="D1201" s="14">
        <v>214600</v>
      </c>
      <c r="E1201" s="14">
        <v>269775</v>
      </c>
      <c r="F1201" s="14">
        <v>165400</v>
      </c>
      <c r="G1201" s="14">
        <v>210424</v>
      </c>
      <c r="H1201" s="14">
        <v>136000</v>
      </c>
      <c r="I1201" s="14">
        <v>159000</v>
      </c>
      <c r="J1201" s="14">
        <v>3150</v>
      </c>
      <c r="K1201" s="14">
        <v>3770</v>
      </c>
      <c r="N1201" s="42">
        <f t="shared" si="54"/>
        <v>29000</v>
      </c>
      <c r="O1201" s="43">
        <f t="shared" si="55"/>
        <v>8.8685015290519878E-2</v>
      </c>
    </row>
    <row r="1202" spans="1:15" x14ac:dyDescent="0.45">
      <c r="A1202" s="12" t="s">
        <v>31158</v>
      </c>
      <c r="B1202" s="14">
        <v>296000</v>
      </c>
      <c r="C1202" s="14">
        <v>326000</v>
      </c>
      <c r="D1202" s="14">
        <v>213200</v>
      </c>
      <c r="E1202" s="14">
        <v>268950</v>
      </c>
      <c r="F1202" s="14">
        <v>164300</v>
      </c>
      <c r="G1202" s="14">
        <v>209781</v>
      </c>
      <c r="H1202" s="14">
        <v>134000</v>
      </c>
      <c r="I1202" s="14">
        <v>157000</v>
      </c>
      <c r="J1202" s="14">
        <v>3200</v>
      </c>
      <c r="K1202" s="14">
        <v>3840</v>
      </c>
      <c r="N1202" s="42">
        <f t="shared" si="54"/>
        <v>30000</v>
      </c>
      <c r="O1202" s="43">
        <f t="shared" si="55"/>
        <v>9.202453987730061E-2</v>
      </c>
    </row>
    <row r="1203" spans="1:15" x14ac:dyDescent="0.45">
      <c r="A1203" s="12" t="s">
        <v>31159</v>
      </c>
      <c r="B1203" s="14">
        <v>297500</v>
      </c>
      <c r="C1203" s="14">
        <v>327000</v>
      </c>
      <c r="D1203" s="14">
        <v>214200</v>
      </c>
      <c r="E1203" s="14">
        <v>269775</v>
      </c>
      <c r="F1203" s="14">
        <v>165200</v>
      </c>
      <c r="G1203" s="14">
        <v>210424</v>
      </c>
      <c r="H1203" s="14">
        <v>133000</v>
      </c>
      <c r="I1203" s="14">
        <v>157000</v>
      </c>
      <c r="J1203" s="14">
        <v>3210</v>
      </c>
      <c r="K1203" s="14">
        <v>3850</v>
      </c>
      <c r="N1203" s="42">
        <f t="shared" si="54"/>
        <v>29500</v>
      </c>
      <c r="O1203" s="43">
        <f t="shared" si="55"/>
        <v>9.0214067278287458E-2</v>
      </c>
    </row>
    <row r="1204" spans="1:15" x14ac:dyDescent="0.45">
      <c r="A1204" s="12" t="s">
        <v>31160</v>
      </c>
      <c r="B1204" s="14">
        <v>297500</v>
      </c>
      <c r="C1204" s="14">
        <v>328000</v>
      </c>
      <c r="D1204" s="14">
        <v>214200</v>
      </c>
      <c r="E1204" s="14">
        <v>270600</v>
      </c>
      <c r="F1204" s="14">
        <v>165200</v>
      </c>
      <c r="G1204" s="14">
        <v>211068</v>
      </c>
      <c r="H1204" s="14">
        <v>134000</v>
      </c>
      <c r="I1204" s="14">
        <v>157000</v>
      </c>
      <c r="J1204" s="14">
        <v>3200</v>
      </c>
      <c r="K1204" s="14">
        <v>3850</v>
      </c>
      <c r="N1204" s="42">
        <f t="shared" si="54"/>
        <v>30500</v>
      </c>
      <c r="O1204" s="43">
        <f t="shared" si="55"/>
        <v>9.298780487804878E-2</v>
      </c>
    </row>
    <row r="1205" spans="1:15" x14ac:dyDescent="0.45">
      <c r="A1205" s="12" t="s">
        <v>31161</v>
      </c>
      <c r="B1205" s="14">
        <v>297500</v>
      </c>
      <c r="C1205" s="14">
        <v>328000</v>
      </c>
      <c r="D1205" s="14">
        <v>214200</v>
      </c>
      <c r="E1205" s="14">
        <v>270600</v>
      </c>
      <c r="F1205" s="14">
        <v>165200</v>
      </c>
      <c r="G1205" s="14">
        <v>211068</v>
      </c>
      <c r="H1205" s="14">
        <v>135000</v>
      </c>
      <c r="I1205" s="14">
        <v>159000</v>
      </c>
      <c r="J1205" s="14">
        <v>3180</v>
      </c>
      <c r="K1205" s="14">
        <v>3820</v>
      </c>
      <c r="N1205" s="42">
        <f t="shared" si="54"/>
        <v>30500</v>
      </c>
      <c r="O1205" s="43">
        <f t="shared" si="55"/>
        <v>9.298780487804878E-2</v>
      </c>
    </row>
    <row r="1206" spans="1:15" x14ac:dyDescent="0.45">
      <c r="A1206" s="12" t="s">
        <v>31162</v>
      </c>
      <c r="B1206" s="14">
        <v>297000</v>
      </c>
      <c r="C1206" s="14">
        <v>330000</v>
      </c>
      <c r="D1206" s="14">
        <v>213900</v>
      </c>
      <c r="E1206" s="14">
        <v>272250</v>
      </c>
      <c r="F1206" s="14">
        <v>164900</v>
      </c>
      <c r="G1206" s="14">
        <v>212355</v>
      </c>
      <c r="H1206" s="14">
        <v>138000</v>
      </c>
      <c r="I1206" s="14">
        <v>162000</v>
      </c>
      <c r="J1206" s="14">
        <v>3250</v>
      </c>
      <c r="K1206" s="14">
        <v>3900</v>
      </c>
      <c r="N1206" s="42">
        <f t="shared" si="54"/>
        <v>33000</v>
      </c>
      <c r="O1206" s="43">
        <f t="shared" si="55"/>
        <v>0.1</v>
      </c>
    </row>
    <row r="1207" spans="1:15" x14ac:dyDescent="0.45">
      <c r="A1207" s="12" t="s">
        <v>31163</v>
      </c>
      <c r="B1207" s="14">
        <v>297000</v>
      </c>
      <c r="C1207" s="14">
        <v>329000</v>
      </c>
      <c r="D1207" s="14">
        <v>213900</v>
      </c>
      <c r="E1207" s="14">
        <v>271425</v>
      </c>
      <c r="F1207" s="14">
        <v>164900</v>
      </c>
      <c r="G1207" s="14">
        <v>211711</v>
      </c>
      <c r="H1207" s="14">
        <v>137000</v>
      </c>
      <c r="I1207" s="14">
        <v>161000</v>
      </c>
      <c r="J1207" s="14">
        <v>3260</v>
      </c>
      <c r="K1207" s="14">
        <v>3910</v>
      </c>
      <c r="N1207" s="42">
        <f t="shared" si="54"/>
        <v>32000</v>
      </c>
      <c r="O1207" s="43">
        <f t="shared" si="55"/>
        <v>9.7264437689969604E-2</v>
      </c>
    </row>
    <row r="1208" spans="1:15" x14ac:dyDescent="0.45">
      <c r="A1208" s="12" t="s">
        <v>31164</v>
      </c>
      <c r="B1208" s="14">
        <v>300000</v>
      </c>
      <c r="C1208" s="14">
        <v>329000</v>
      </c>
      <c r="D1208" s="14">
        <v>216000</v>
      </c>
      <c r="E1208" s="14">
        <v>271425</v>
      </c>
      <c r="F1208" s="14">
        <v>166500</v>
      </c>
      <c r="G1208" s="14">
        <v>211711</v>
      </c>
      <c r="H1208" s="14">
        <v>137000</v>
      </c>
      <c r="I1208" s="14">
        <v>161000</v>
      </c>
      <c r="J1208" s="14">
        <v>3270</v>
      </c>
      <c r="K1208" s="14">
        <v>3920</v>
      </c>
      <c r="N1208" s="42">
        <f t="shared" si="54"/>
        <v>29000</v>
      </c>
      <c r="O1208" s="43">
        <f t="shared" si="55"/>
        <v>8.8145896656534953E-2</v>
      </c>
    </row>
    <row r="1209" spans="1:15" x14ac:dyDescent="0.45">
      <c r="A1209" s="12" t="s">
        <v>31165</v>
      </c>
      <c r="B1209" s="14">
        <v>300000</v>
      </c>
      <c r="C1209" s="14">
        <v>330000</v>
      </c>
      <c r="D1209" s="14">
        <v>216000</v>
      </c>
      <c r="E1209" s="14">
        <v>272250</v>
      </c>
      <c r="F1209" s="14">
        <v>166500</v>
      </c>
      <c r="G1209" s="14">
        <v>212355</v>
      </c>
      <c r="H1209" s="14">
        <v>137000</v>
      </c>
      <c r="I1209" s="14">
        <v>161000</v>
      </c>
      <c r="J1209" s="14">
        <v>3280</v>
      </c>
      <c r="K1209" s="14">
        <v>3930</v>
      </c>
      <c r="N1209" s="42">
        <f t="shared" si="54"/>
        <v>30000</v>
      </c>
      <c r="O1209" s="43">
        <f t="shared" si="55"/>
        <v>9.0909090909090912E-2</v>
      </c>
    </row>
    <row r="1210" spans="1:15" x14ac:dyDescent="0.45">
      <c r="A1210" s="12" t="s">
        <v>31166</v>
      </c>
      <c r="B1210" s="14">
        <v>299000</v>
      </c>
      <c r="C1210" s="14">
        <v>327000</v>
      </c>
      <c r="D1210" s="14">
        <v>215300</v>
      </c>
      <c r="E1210" s="14">
        <v>269775</v>
      </c>
      <c r="F1210" s="14">
        <v>166000</v>
      </c>
      <c r="G1210" s="14">
        <v>210424</v>
      </c>
      <c r="H1210" s="14">
        <v>137000</v>
      </c>
      <c r="I1210" s="14">
        <v>161000</v>
      </c>
      <c r="J1210" s="14">
        <v>3260</v>
      </c>
      <c r="K1210" s="14">
        <v>3910</v>
      </c>
      <c r="N1210" s="42">
        <f t="shared" si="54"/>
        <v>28000</v>
      </c>
      <c r="O1210" s="43">
        <f t="shared" si="55"/>
        <v>8.5626911314984705E-2</v>
      </c>
    </row>
    <row r="1211" spans="1:15" x14ac:dyDescent="0.45">
      <c r="A1211" s="12" t="s">
        <v>31167</v>
      </c>
      <c r="B1211" s="14">
        <v>298500</v>
      </c>
      <c r="C1211" s="14">
        <v>325000</v>
      </c>
      <c r="D1211" s="14">
        <v>215000</v>
      </c>
      <c r="E1211" s="14">
        <v>268125</v>
      </c>
      <c r="F1211" s="14">
        <v>165700</v>
      </c>
      <c r="G1211" s="14">
        <v>209137</v>
      </c>
      <c r="H1211" s="14">
        <v>137000</v>
      </c>
      <c r="I1211" s="14">
        <v>161000</v>
      </c>
      <c r="J1211" s="14">
        <v>3210</v>
      </c>
      <c r="K1211" s="14">
        <v>3850</v>
      </c>
      <c r="N1211" s="42">
        <f t="shared" si="54"/>
        <v>26500</v>
      </c>
      <c r="O1211" s="43">
        <f t="shared" si="55"/>
        <v>8.1538461538461532E-2</v>
      </c>
    </row>
    <row r="1212" spans="1:15" x14ac:dyDescent="0.45">
      <c r="A1212" s="12" t="s">
        <v>31168</v>
      </c>
      <c r="B1212" s="14">
        <v>298500</v>
      </c>
      <c r="C1212" s="14">
        <v>326000</v>
      </c>
      <c r="D1212" s="14">
        <v>215000</v>
      </c>
      <c r="E1212" s="14">
        <v>268950</v>
      </c>
      <c r="F1212" s="14">
        <v>165700</v>
      </c>
      <c r="G1212" s="14">
        <v>209781</v>
      </c>
      <c r="H1212" s="14">
        <v>138000</v>
      </c>
      <c r="I1212" s="14">
        <v>162000</v>
      </c>
      <c r="J1212" s="14">
        <v>3190</v>
      </c>
      <c r="K1212" s="14">
        <v>3820</v>
      </c>
      <c r="N1212" s="42">
        <f t="shared" si="54"/>
        <v>27500</v>
      </c>
      <c r="O1212" s="43">
        <f t="shared" si="55"/>
        <v>8.4355828220858894E-2</v>
      </c>
    </row>
    <row r="1213" spans="1:15" x14ac:dyDescent="0.45">
      <c r="A1213" s="12" t="s">
        <v>31169</v>
      </c>
      <c r="B1213" s="14">
        <v>299000</v>
      </c>
      <c r="C1213" s="14">
        <v>332000</v>
      </c>
      <c r="D1213" s="14">
        <v>215300</v>
      </c>
      <c r="E1213" s="14">
        <v>273900</v>
      </c>
      <c r="F1213" s="14">
        <v>166000</v>
      </c>
      <c r="G1213" s="14">
        <v>213642</v>
      </c>
      <c r="H1213" s="14">
        <v>141000</v>
      </c>
      <c r="I1213" s="14">
        <v>166000</v>
      </c>
      <c r="J1213" s="14">
        <v>3270</v>
      </c>
      <c r="K1213" s="14">
        <v>3910</v>
      </c>
      <c r="N1213" s="42">
        <f t="shared" si="54"/>
        <v>33000</v>
      </c>
      <c r="O1213" s="43">
        <f t="shared" si="55"/>
        <v>9.9397590361445784E-2</v>
      </c>
    </row>
    <row r="1214" spans="1:15" x14ac:dyDescent="0.45">
      <c r="A1214" s="12" t="s">
        <v>31170</v>
      </c>
      <c r="B1214" s="14">
        <v>298000</v>
      </c>
      <c r="C1214" s="14">
        <v>332000</v>
      </c>
      <c r="D1214" s="14">
        <v>214600</v>
      </c>
      <c r="E1214" s="14">
        <v>273900</v>
      </c>
      <c r="F1214" s="14">
        <v>165400</v>
      </c>
      <c r="G1214" s="14">
        <v>213642</v>
      </c>
      <c r="H1214" s="14">
        <v>142000</v>
      </c>
      <c r="I1214" s="14">
        <v>167000</v>
      </c>
      <c r="J1214" s="14">
        <v>3280</v>
      </c>
      <c r="K1214" s="14">
        <v>3930</v>
      </c>
      <c r="N1214" s="42">
        <f t="shared" si="54"/>
        <v>34000</v>
      </c>
      <c r="O1214" s="43">
        <f t="shared" si="55"/>
        <v>0.10240963855421686</v>
      </c>
    </row>
    <row r="1215" spans="1:15" x14ac:dyDescent="0.45">
      <c r="A1215" s="12" t="s">
        <v>31171</v>
      </c>
      <c r="B1215" s="14">
        <v>295000</v>
      </c>
      <c r="C1215" s="14">
        <v>321500</v>
      </c>
      <c r="D1215" s="14">
        <v>212400</v>
      </c>
      <c r="E1215" s="14">
        <v>265237</v>
      </c>
      <c r="F1215" s="14">
        <v>163800</v>
      </c>
      <c r="G1215" s="14">
        <v>206885</v>
      </c>
      <c r="H1215" s="14">
        <v>144000</v>
      </c>
      <c r="I1215" s="14">
        <v>169000</v>
      </c>
      <c r="J1215" s="14">
        <v>3240</v>
      </c>
      <c r="K1215" s="14">
        <v>3880</v>
      </c>
      <c r="N1215" s="42">
        <f t="shared" si="54"/>
        <v>26500</v>
      </c>
      <c r="O1215" s="43">
        <f t="shared" si="55"/>
        <v>8.2426127527216175E-2</v>
      </c>
    </row>
    <row r="1216" spans="1:15" x14ac:dyDescent="0.45">
      <c r="A1216" s="12" t="s">
        <v>31172</v>
      </c>
      <c r="B1216" s="14">
        <v>294000</v>
      </c>
      <c r="C1216" s="14">
        <v>319500</v>
      </c>
      <c r="D1216" s="14">
        <v>211700</v>
      </c>
      <c r="E1216" s="14">
        <v>263587</v>
      </c>
      <c r="F1216" s="14">
        <v>163200</v>
      </c>
      <c r="G1216" s="14">
        <v>205598</v>
      </c>
      <c r="H1216" s="14">
        <v>144000</v>
      </c>
      <c r="I1216" s="14">
        <v>169000</v>
      </c>
      <c r="J1216" s="14">
        <v>3260</v>
      </c>
      <c r="K1216" s="14">
        <v>3900</v>
      </c>
      <c r="N1216" s="42">
        <f t="shared" si="54"/>
        <v>25500</v>
      </c>
      <c r="O1216" s="43">
        <f t="shared" si="55"/>
        <v>7.9812206572769953E-2</v>
      </c>
    </row>
    <row r="1217" spans="1:15" x14ac:dyDescent="0.45">
      <c r="A1217" s="12" t="s">
        <v>31173</v>
      </c>
      <c r="B1217" s="14">
        <v>294000</v>
      </c>
      <c r="C1217" s="14">
        <v>319000</v>
      </c>
      <c r="D1217" s="14">
        <v>211700</v>
      </c>
      <c r="E1217" s="14">
        <v>263175</v>
      </c>
      <c r="F1217" s="14">
        <v>163200</v>
      </c>
      <c r="G1217" s="14">
        <v>205276</v>
      </c>
      <c r="H1217" s="14">
        <v>144000</v>
      </c>
      <c r="I1217" s="14">
        <v>169000</v>
      </c>
      <c r="J1217" s="14">
        <v>3240</v>
      </c>
      <c r="K1217" s="14">
        <v>3880</v>
      </c>
      <c r="N1217" s="42">
        <f t="shared" si="54"/>
        <v>25000</v>
      </c>
      <c r="O1217" s="43">
        <f t="shared" si="55"/>
        <v>7.8369905956112859E-2</v>
      </c>
    </row>
    <row r="1218" spans="1:15" x14ac:dyDescent="0.45">
      <c r="A1218" s="12" t="s">
        <v>31174</v>
      </c>
      <c r="B1218" s="14">
        <v>294000</v>
      </c>
      <c r="C1218" s="14">
        <v>319000</v>
      </c>
      <c r="D1218" s="14">
        <v>211700</v>
      </c>
      <c r="E1218" s="14">
        <v>263175</v>
      </c>
      <c r="F1218" s="14">
        <v>163200</v>
      </c>
      <c r="G1218" s="14">
        <v>205276</v>
      </c>
      <c r="H1218" s="14">
        <v>145000</v>
      </c>
      <c r="I1218" s="14">
        <v>170000</v>
      </c>
      <c r="J1218" s="14">
        <v>3210</v>
      </c>
      <c r="K1218" s="14">
        <v>3850</v>
      </c>
      <c r="N1218" s="42">
        <f t="shared" si="54"/>
        <v>25000</v>
      </c>
      <c r="O1218" s="43">
        <f t="shared" si="55"/>
        <v>7.8369905956112859E-2</v>
      </c>
    </row>
    <row r="1219" spans="1:15" x14ac:dyDescent="0.45">
      <c r="A1219" s="12" t="s">
        <v>31175</v>
      </c>
      <c r="B1219" s="14">
        <v>294000</v>
      </c>
      <c r="C1219" s="14">
        <v>318000</v>
      </c>
      <c r="D1219" s="14">
        <v>211700</v>
      </c>
      <c r="E1219" s="14">
        <v>262350</v>
      </c>
      <c r="F1219" s="14">
        <v>163200</v>
      </c>
      <c r="G1219" s="14">
        <v>204633</v>
      </c>
      <c r="H1219" s="14">
        <v>144000</v>
      </c>
      <c r="I1219" s="14">
        <v>169000</v>
      </c>
      <c r="J1219" s="14">
        <v>3200</v>
      </c>
      <c r="K1219" s="14">
        <v>3840</v>
      </c>
      <c r="N1219" s="42">
        <f t="shared" si="54"/>
        <v>24000</v>
      </c>
      <c r="O1219" s="43">
        <f t="shared" si="55"/>
        <v>7.5471698113207544E-2</v>
      </c>
    </row>
    <row r="1220" spans="1:15" x14ac:dyDescent="0.45">
      <c r="A1220" s="12" t="s">
        <v>31176</v>
      </c>
      <c r="B1220" s="14">
        <v>294000</v>
      </c>
      <c r="C1220" s="14">
        <v>319500</v>
      </c>
      <c r="D1220" s="14">
        <v>211700</v>
      </c>
      <c r="E1220" s="14">
        <v>263587</v>
      </c>
      <c r="F1220" s="14">
        <v>163200</v>
      </c>
      <c r="G1220" s="14">
        <v>205598</v>
      </c>
      <c r="H1220" s="14">
        <v>145000</v>
      </c>
      <c r="I1220" s="14">
        <v>170000</v>
      </c>
      <c r="J1220" s="14">
        <v>3260</v>
      </c>
      <c r="K1220" s="14">
        <v>3900</v>
      </c>
      <c r="N1220" s="42">
        <f t="shared" si="54"/>
        <v>25500</v>
      </c>
      <c r="O1220" s="43">
        <f t="shared" si="55"/>
        <v>7.9812206572769953E-2</v>
      </c>
    </row>
    <row r="1221" spans="1:15" x14ac:dyDescent="0.45">
      <c r="A1221" s="12" t="s">
        <v>31177</v>
      </c>
      <c r="B1221" s="14">
        <v>293000</v>
      </c>
      <c r="C1221" s="14">
        <v>318500</v>
      </c>
      <c r="D1221" s="14">
        <v>211000</v>
      </c>
      <c r="E1221" s="14">
        <v>262762</v>
      </c>
      <c r="F1221" s="14">
        <v>162700</v>
      </c>
      <c r="G1221" s="14">
        <v>204954</v>
      </c>
      <c r="H1221" s="14">
        <v>142000</v>
      </c>
      <c r="I1221" s="14">
        <v>167000</v>
      </c>
      <c r="J1221" s="14">
        <v>3200</v>
      </c>
      <c r="K1221" s="14">
        <v>3840</v>
      </c>
      <c r="N1221" s="42">
        <f t="shared" si="54"/>
        <v>25500</v>
      </c>
      <c r="O1221" s="43">
        <f t="shared" si="55"/>
        <v>8.0062794348508631E-2</v>
      </c>
    </row>
    <row r="1222" spans="1:15" x14ac:dyDescent="0.45">
      <c r="A1222" s="12" t="s">
        <v>31178</v>
      </c>
      <c r="B1222" s="14">
        <v>292000</v>
      </c>
      <c r="C1222" s="14">
        <v>315000</v>
      </c>
      <c r="D1222" s="14">
        <v>210300</v>
      </c>
      <c r="E1222" s="14">
        <v>259875</v>
      </c>
      <c r="F1222" s="14">
        <v>162100</v>
      </c>
      <c r="G1222" s="14">
        <v>202702</v>
      </c>
      <c r="H1222" s="14">
        <v>137000</v>
      </c>
      <c r="I1222" s="14">
        <v>161000</v>
      </c>
      <c r="J1222" s="14">
        <v>3140</v>
      </c>
      <c r="K1222" s="14">
        <v>3760</v>
      </c>
      <c r="N1222" s="42">
        <f t="shared" si="54"/>
        <v>23000</v>
      </c>
      <c r="O1222" s="43">
        <f t="shared" si="55"/>
        <v>7.301587301587302E-2</v>
      </c>
    </row>
    <row r="1223" spans="1:15" x14ac:dyDescent="0.45">
      <c r="A1223" s="12" t="s">
        <v>31179</v>
      </c>
      <c r="B1223" s="14">
        <v>292500</v>
      </c>
      <c r="C1223" s="14">
        <v>318000</v>
      </c>
      <c r="D1223" s="14">
        <v>210600</v>
      </c>
      <c r="E1223" s="14">
        <v>262350</v>
      </c>
      <c r="F1223" s="14">
        <v>162400</v>
      </c>
      <c r="G1223" s="14">
        <v>204633</v>
      </c>
      <c r="H1223" s="14">
        <v>135000</v>
      </c>
      <c r="I1223" s="14">
        <v>159000</v>
      </c>
      <c r="J1223" s="14">
        <v>3230</v>
      </c>
      <c r="K1223" s="14">
        <v>3850</v>
      </c>
      <c r="N1223" s="42">
        <f t="shared" si="54"/>
        <v>25500</v>
      </c>
      <c r="O1223" s="43">
        <f t="shared" si="55"/>
        <v>8.0188679245283015E-2</v>
      </c>
    </row>
    <row r="1224" spans="1:15" x14ac:dyDescent="0.45">
      <c r="A1224" s="12" t="s">
        <v>31180</v>
      </c>
      <c r="B1224" s="14">
        <v>293000</v>
      </c>
      <c r="C1224" s="14">
        <v>320000</v>
      </c>
      <c r="D1224" s="14">
        <v>211000</v>
      </c>
      <c r="E1224" s="14">
        <v>264000</v>
      </c>
      <c r="F1224" s="14">
        <v>162700</v>
      </c>
      <c r="G1224" s="14">
        <v>205920</v>
      </c>
      <c r="H1224" s="14">
        <v>137000</v>
      </c>
      <c r="I1224" s="14">
        <v>161000</v>
      </c>
      <c r="J1224" s="14">
        <v>3250</v>
      </c>
      <c r="K1224" s="14">
        <v>3890</v>
      </c>
      <c r="N1224" s="42">
        <f t="shared" si="54"/>
        <v>27000</v>
      </c>
      <c r="O1224" s="43">
        <f t="shared" si="55"/>
        <v>8.4375000000000006E-2</v>
      </c>
    </row>
    <row r="1225" spans="1:15" x14ac:dyDescent="0.45">
      <c r="A1225" s="12" t="s">
        <v>31181</v>
      </c>
      <c r="B1225" s="14">
        <v>293500</v>
      </c>
      <c r="C1225" s="14">
        <v>320000</v>
      </c>
      <c r="D1225" s="14">
        <v>211400</v>
      </c>
      <c r="E1225" s="14">
        <v>264000</v>
      </c>
      <c r="F1225" s="14">
        <v>162900</v>
      </c>
      <c r="G1225" s="14">
        <v>205920</v>
      </c>
      <c r="H1225" s="14">
        <v>136000</v>
      </c>
      <c r="I1225" s="14">
        <v>160000</v>
      </c>
      <c r="J1225" s="14">
        <v>3230</v>
      </c>
      <c r="K1225" s="14">
        <v>3870</v>
      </c>
      <c r="N1225" s="42">
        <f t="shared" si="54"/>
        <v>26500</v>
      </c>
      <c r="O1225" s="43">
        <f t="shared" si="55"/>
        <v>8.2812499999999997E-2</v>
      </c>
    </row>
    <row r="1226" spans="1:15" x14ac:dyDescent="0.45">
      <c r="A1226" s="12" t="s">
        <v>31182</v>
      </c>
      <c r="B1226" s="14">
        <v>293500</v>
      </c>
      <c r="C1226" s="14">
        <v>322000</v>
      </c>
      <c r="D1226" s="14">
        <v>211400</v>
      </c>
      <c r="E1226" s="14">
        <v>265650</v>
      </c>
      <c r="F1226" s="14">
        <v>162900</v>
      </c>
      <c r="G1226" s="14">
        <v>207207</v>
      </c>
      <c r="H1226" s="14">
        <v>136000</v>
      </c>
      <c r="I1226" s="14">
        <v>160000</v>
      </c>
      <c r="J1226" s="14">
        <v>3230</v>
      </c>
      <c r="K1226" s="14">
        <v>3870</v>
      </c>
      <c r="N1226" s="42">
        <f t="shared" si="54"/>
        <v>28500</v>
      </c>
      <c r="O1226" s="43">
        <f t="shared" si="55"/>
        <v>8.8509316770186336E-2</v>
      </c>
    </row>
    <row r="1227" spans="1:15" x14ac:dyDescent="0.45">
      <c r="A1227" s="12" t="s">
        <v>31183</v>
      </c>
      <c r="B1227" s="14">
        <v>293500</v>
      </c>
      <c r="C1227" s="14">
        <v>323000</v>
      </c>
      <c r="D1227" s="14">
        <v>211400</v>
      </c>
      <c r="E1227" s="14">
        <v>266475</v>
      </c>
      <c r="F1227" s="14">
        <v>162900</v>
      </c>
      <c r="G1227" s="14">
        <v>207850</v>
      </c>
      <c r="H1227" s="14">
        <v>137000</v>
      </c>
      <c r="I1227" s="14">
        <v>161000</v>
      </c>
      <c r="J1227" s="14">
        <v>3260</v>
      </c>
      <c r="K1227" s="14">
        <v>3900</v>
      </c>
      <c r="N1227" s="42">
        <f t="shared" si="54"/>
        <v>29500</v>
      </c>
      <c r="O1227" s="43">
        <f t="shared" si="55"/>
        <v>9.1331269349845201E-2</v>
      </c>
    </row>
    <row r="1228" spans="1:15" x14ac:dyDescent="0.45">
      <c r="A1228" s="12" t="s">
        <v>31184</v>
      </c>
      <c r="B1228" s="14">
        <v>293500</v>
      </c>
      <c r="C1228" s="14">
        <v>323000</v>
      </c>
      <c r="D1228" s="14">
        <v>211400</v>
      </c>
      <c r="E1228" s="14">
        <v>266475</v>
      </c>
      <c r="F1228" s="14">
        <v>162900</v>
      </c>
      <c r="G1228" s="14">
        <v>207850</v>
      </c>
      <c r="H1228" s="14">
        <v>138000</v>
      </c>
      <c r="I1228" s="14">
        <v>161000</v>
      </c>
      <c r="J1228" s="14">
        <v>3220</v>
      </c>
      <c r="K1228" s="14">
        <v>3790</v>
      </c>
      <c r="N1228" s="42">
        <f t="shared" si="54"/>
        <v>29500</v>
      </c>
      <c r="O1228" s="43">
        <f t="shared" si="55"/>
        <v>9.1331269349845201E-2</v>
      </c>
    </row>
    <row r="1229" spans="1:15" x14ac:dyDescent="0.45">
      <c r="A1229" s="12" t="s">
        <v>31185</v>
      </c>
      <c r="B1229" s="14">
        <v>293500</v>
      </c>
      <c r="C1229" s="14">
        <v>323000</v>
      </c>
      <c r="D1229" s="14">
        <v>211400</v>
      </c>
      <c r="E1229" s="14">
        <v>266475</v>
      </c>
      <c r="F1229" s="14">
        <v>162900</v>
      </c>
      <c r="G1229" s="14">
        <v>207850</v>
      </c>
      <c r="H1229" s="14">
        <v>138000</v>
      </c>
      <c r="I1229" s="14">
        <v>172000</v>
      </c>
      <c r="J1229" s="14">
        <v>3250</v>
      </c>
      <c r="K1229" s="14">
        <v>3820</v>
      </c>
      <c r="N1229" s="42">
        <f t="shared" si="54"/>
        <v>29500</v>
      </c>
      <c r="O1229" s="43">
        <f t="shared" si="55"/>
        <v>9.1331269349845201E-2</v>
      </c>
    </row>
    <row r="1230" spans="1:15" x14ac:dyDescent="0.45">
      <c r="A1230" s="12" t="s">
        <v>31186</v>
      </c>
      <c r="B1230" s="14">
        <v>293500</v>
      </c>
      <c r="C1230" s="14">
        <v>324000</v>
      </c>
      <c r="D1230" s="14">
        <v>211400</v>
      </c>
      <c r="E1230" s="14">
        <v>267300</v>
      </c>
      <c r="F1230" s="14">
        <v>162900</v>
      </c>
      <c r="G1230" s="14">
        <v>208494</v>
      </c>
      <c r="H1230" s="14">
        <v>139000</v>
      </c>
      <c r="I1230" s="14">
        <v>172000</v>
      </c>
      <c r="J1230" s="14">
        <v>3250</v>
      </c>
      <c r="K1230" s="14">
        <v>3820</v>
      </c>
      <c r="N1230" s="42">
        <f t="shared" si="54"/>
        <v>30500</v>
      </c>
      <c r="O1230" s="43">
        <f t="shared" si="55"/>
        <v>9.4135802469135804E-2</v>
      </c>
    </row>
    <row r="1231" spans="1:15" x14ac:dyDescent="0.45">
      <c r="A1231" s="12" t="s">
        <v>31187</v>
      </c>
      <c r="B1231" s="14">
        <v>293000</v>
      </c>
      <c r="C1231" s="14">
        <v>323000</v>
      </c>
      <c r="D1231" s="14">
        <v>211000</v>
      </c>
      <c r="E1231" s="14">
        <v>266475</v>
      </c>
      <c r="F1231" s="14">
        <v>162700</v>
      </c>
      <c r="G1231" s="14">
        <v>207850</v>
      </c>
      <c r="H1231" s="14">
        <v>139000</v>
      </c>
      <c r="I1231" s="14">
        <v>172000</v>
      </c>
      <c r="J1231" s="14">
        <v>3250</v>
      </c>
      <c r="K1231" s="14">
        <v>3830</v>
      </c>
      <c r="N1231" s="42">
        <f t="shared" si="54"/>
        <v>30000</v>
      </c>
      <c r="O1231" s="43">
        <f t="shared" si="55"/>
        <v>9.2879256965944276E-2</v>
      </c>
    </row>
    <row r="1232" spans="1:15" x14ac:dyDescent="0.45">
      <c r="A1232" s="12" t="s">
        <v>31188</v>
      </c>
      <c r="B1232" s="14">
        <v>292000</v>
      </c>
      <c r="C1232" s="14">
        <v>318000</v>
      </c>
      <c r="D1232" s="14">
        <v>210300</v>
      </c>
      <c r="E1232" s="14">
        <v>262350</v>
      </c>
      <c r="F1232" s="14">
        <v>162100</v>
      </c>
      <c r="G1232" s="14">
        <v>204633</v>
      </c>
      <c r="H1232" s="14">
        <v>138000</v>
      </c>
      <c r="I1232" s="14">
        <v>171000</v>
      </c>
      <c r="J1232" s="14">
        <v>3230</v>
      </c>
      <c r="K1232" s="14">
        <v>3790</v>
      </c>
      <c r="N1232" s="42">
        <f t="shared" si="54"/>
        <v>26000</v>
      </c>
      <c r="O1232" s="43">
        <f t="shared" si="55"/>
        <v>8.1761006289308172E-2</v>
      </c>
    </row>
    <row r="1233" spans="1:15" x14ac:dyDescent="0.45">
      <c r="A1233" s="12" t="s">
        <v>31189</v>
      </c>
      <c r="B1233" s="14">
        <v>292000</v>
      </c>
      <c r="C1233" s="14">
        <v>322000</v>
      </c>
      <c r="D1233" s="14">
        <v>210300</v>
      </c>
      <c r="E1233" s="14">
        <v>265650</v>
      </c>
      <c r="F1233" s="14">
        <v>162100</v>
      </c>
      <c r="G1233" s="14">
        <v>207207</v>
      </c>
      <c r="H1233" s="14">
        <v>138000</v>
      </c>
      <c r="I1233" s="14">
        <v>171000</v>
      </c>
      <c r="J1233" s="14">
        <v>3240</v>
      </c>
      <c r="K1233" s="14">
        <v>3800</v>
      </c>
      <c r="N1233" s="42">
        <f t="shared" si="54"/>
        <v>30000</v>
      </c>
      <c r="O1233" s="43">
        <f t="shared" si="55"/>
        <v>9.3167701863354033E-2</v>
      </c>
    </row>
    <row r="1234" spans="1:15" x14ac:dyDescent="0.45">
      <c r="A1234" s="12" t="s">
        <v>31190</v>
      </c>
      <c r="B1234" s="14">
        <v>291500</v>
      </c>
      <c r="C1234" s="14">
        <v>321500</v>
      </c>
      <c r="D1234" s="14">
        <v>209900</v>
      </c>
      <c r="E1234" s="14">
        <v>265237</v>
      </c>
      <c r="F1234" s="14">
        <v>161800</v>
      </c>
      <c r="G1234" s="14">
        <v>206885</v>
      </c>
      <c r="H1234" s="14">
        <v>138000</v>
      </c>
      <c r="I1234" s="14">
        <v>171000</v>
      </c>
      <c r="J1234" s="14">
        <v>3300</v>
      </c>
      <c r="K1234" s="14">
        <v>3740</v>
      </c>
      <c r="N1234" s="42">
        <f t="shared" si="54"/>
        <v>30000</v>
      </c>
      <c r="O1234" s="43">
        <f t="shared" si="55"/>
        <v>9.3312597200622086E-2</v>
      </c>
    </row>
    <row r="1235" spans="1:15" x14ac:dyDescent="0.45">
      <c r="A1235" s="12" t="s">
        <v>31191</v>
      </c>
      <c r="B1235" s="14">
        <v>293000</v>
      </c>
      <c r="C1235" s="14">
        <v>323000</v>
      </c>
      <c r="D1235" s="14">
        <v>211000</v>
      </c>
      <c r="E1235" s="14">
        <v>266475</v>
      </c>
      <c r="F1235" s="14">
        <v>162700</v>
      </c>
      <c r="G1235" s="14">
        <v>207850</v>
      </c>
      <c r="H1235" s="14">
        <v>140000</v>
      </c>
      <c r="I1235" s="14">
        <v>173000</v>
      </c>
      <c r="J1235" s="14">
        <v>3300</v>
      </c>
      <c r="K1235" s="14">
        <v>3710</v>
      </c>
      <c r="N1235" s="42">
        <f t="shared" si="54"/>
        <v>30000</v>
      </c>
      <c r="O1235" s="43">
        <f t="shared" si="55"/>
        <v>9.2879256965944276E-2</v>
      </c>
    </row>
    <row r="1236" spans="1:15" x14ac:dyDescent="0.45">
      <c r="A1236" s="12" t="s">
        <v>31192</v>
      </c>
      <c r="B1236" s="14">
        <v>292000</v>
      </c>
      <c r="C1236" s="14">
        <v>325000</v>
      </c>
      <c r="D1236" s="14">
        <v>210300</v>
      </c>
      <c r="E1236" s="14">
        <v>268125</v>
      </c>
      <c r="F1236" s="14">
        <v>162100</v>
      </c>
      <c r="G1236" s="14">
        <v>209137</v>
      </c>
      <c r="H1236" s="14">
        <v>143000</v>
      </c>
      <c r="I1236" s="14">
        <v>178000</v>
      </c>
      <c r="J1236" s="14">
        <v>3320</v>
      </c>
      <c r="K1236" s="14">
        <v>3820</v>
      </c>
      <c r="N1236" s="42">
        <f t="shared" si="54"/>
        <v>33000</v>
      </c>
      <c r="O1236" s="43">
        <f t="shared" si="55"/>
        <v>0.10153846153846154</v>
      </c>
    </row>
    <row r="1237" spans="1:15" x14ac:dyDescent="0.45">
      <c r="A1237" s="12" t="s">
        <v>31193</v>
      </c>
      <c r="B1237" s="14">
        <v>293000</v>
      </c>
      <c r="C1237" s="14">
        <v>327000</v>
      </c>
      <c r="D1237" s="14">
        <v>211000</v>
      </c>
      <c r="E1237" s="14">
        <v>269775</v>
      </c>
      <c r="F1237" s="14">
        <v>162700</v>
      </c>
      <c r="G1237" s="14">
        <v>210424</v>
      </c>
      <c r="H1237" s="14">
        <v>139000</v>
      </c>
      <c r="I1237" s="14">
        <v>173000</v>
      </c>
      <c r="J1237" s="14">
        <v>3350</v>
      </c>
      <c r="K1237" s="14">
        <v>3880</v>
      </c>
      <c r="N1237" s="42">
        <f t="shared" si="54"/>
        <v>34000</v>
      </c>
      <c r="O1237" s="43">
        <f t="shared" si="55"/>
        <v>0.10397553516819572</v>
      </c>
    </row>
    <row r="1238" spans="1:15" x14ac:dyDescent="0.45">
      <c r="A1238" s="12" t="s">
        <v>31194</v>
      </c>
      <c r="B1238" s="14">
        <v>293000</v>
      </c>
      <c r="C1238" s="14">
        <v>328500</v>
      </c>
      <c r="D1238" s="14">
        <v>211000</v>
      </c>
      <c r="E1238" s="14">
        <v>271012</v>
      </c>
      <c r="F1238" s="14">
        <v>162700</v>
      </c>
      <c r="G1238" s="14">
        <v>211389</v>
      </c>
      <c r="H1238" s="14">
        <v>138000</v>
      </c>
      <c r="I1238" s="14">
        <v>171000</v>
      </c>
      <c r="J1238" s="14">
        <v>3350</v>
      </c>
      <c r="K1238" s="14">
        <v>3910</v>
      </c>
      <c r="N1238" s="42">
        <f t="shared" si="54"/>
        <v>35500</v>
      </c>
      <c r="O1238" s="43">
        <f t="shared" si="55"/>
        <v>0.1080669710806697</v>
      </c>
    </row>
    <row r="1239" spans="1:15" x14ac:dyDescent="0.45">
      <c r="A1239" s="12" t="s">
        <v>31195</v>
      </c>
      <c r="B1239" s="14">
        <v>292000</v>
      </c>
      <c r="C1239" s="14">
        <v>328500</v>
      </c>
      <c r="D1239" s="14">
        <v>210300</v>
      </c>
      <c r="E1239" s="14">
        <v>271012</v>
      </c>
      <c r="F1239" s="14">
        <v>162100</v>
      </c>
      <c r="G1239" s="14">
        <v>211389</v>
      </c>
      <c r="H1239" s="14">
        <v>139000</v>
      </c>
      <c r="I1239" s="14">
        <v>172000</v>
      </c>
      <c r="J1239" s="14">
        <v>3260</v>
      </c>
      <c r="K1239" s="14">
        <v>3920</v>
      </c>
      <c r="N1239" s="42">
        <f t="shared" si="54"/>
        <v>36500</v>
      </c>
      <c r="O1239" s="43">
        <f t="shared" si="55"/>
        <v>0.1111111111111111</v>
      </c>
    </row>
    <row r="1240" spans="1:15" x14ac:dyDescent="0.45">
      <c r="A1240" s="12" t="s">
        <v>31196</v>
      </c>
      <c r="B1240" s="14">
        <v>292000</v>
      </c>
      <c r="C1240" s="14">
        <v>328000</v>
      </c>
      <c r="D1240" s="14">
        <v>210300</v>
      </c>
      <c r="E1240" s="14">
        <v>270600</v>
      </c>
      <c r="F1240" s="14">
        <v>162100</v>
      </c>
      <c r="G1240" s="14">
        <v>211068</v>
      </c>
      <c r="H1240" s="14">
        <v>140000</v>
      </c>
      <c r="I1240" s="14">
        <v>173000</v>
      </c>
      <c r="J1240" s="14">
        <v>3280</v>
      </c>
      <c r="K1240" s="14">
        <v>3960</v>
      </c>
      <c r="N1240" s="42">
        <f t="shared" si="54"/>
        <v>36000</v>
      </c>
      <c r="O1240" s="43">
        <f t="shared" si="55"/>
        <v>0.10975609756097561</v>
      </c>
    </row>
    <row r="1241" spans="1:15" x14ac:dyDescent="0.45">
      <c r="A1241" s="12" t="s">
        <v>31197</v>
      </c>
      <c r="B1241" s="14">
        <v>292000</v>
      </c>
      <c r="C1241" s="14">
        <v>330000</v>
      </c>
      <c r="D1241" s="14">
        <v>210300</v>
      </c>
      <c r="E1241" s="14">
        <v>272250</v>
      </c>
      <c r="F1241" s="14">
        <v>162100</v>
      </c>
      <c r="G1241" s="14">
        <v>212355</v>
      </c>
      <c r="H1241" s="14">
        <v>145000</v>
      </c>
      <c r="I1241" s="14">
        <v>180000</v>
      </c>
      <c r="J1241" s="14">
        <v>3380</v>
      </c>
      <c r="K1241" s="14">
        <v>4060</v>
      </c>
      <c r="N1241" s="42">
        <f t="shared" si="54"/>
        <v>38000</v>
      </c>
      <c r="O1241" s="43">
        <f t="shared" si="55"/>
        <v>0.11515151515151516</v>
      </c>
    </row>
    <row r="1242" spans="1:15" x14ac:dyDescent="0.45">
      <c r="A1242" s="12" t="s">
        <v>31198</v>
      </c>
      <c r="B1242" s="14">
        <v>291500</v>
      </c>
      <c r="C1242" s="14">
        <v>326000</v>
      </c>
      <c r="D1242" s="14">
        <v>209900</v>
      </c>
      <c r="E1242" s="14">
        <v>268950</v>
      </c>
      <c r="F1242" s="14">
        <v>161800</v>
      </c>
      <c r="G1242" s="14">
        <v>209781</v>
      </c>
      <c r="H1242" s="14">
        <v>136000</v>
      </c>
      <c r="I1242" s="14">
        <v>168000</v>
      </c>
      <c r="J1242" s="14">
        <v>3290</v>
      </c>
      <c r="K1242" s="14">
        <v>3960</v>
      </c>
      <c r="N1242" s="42">
        <f t="shared" si="54"/>
        <v>34500</v>
      </c>
      <c r="O1242" s="43">
        <f t="shared" si="55"/>
        <v>0.10582822085889571</v>
      </c>
    </row>
    <row r="1243" spans="1:15" x14ac:dyDescent="0.45">
      <c r="A1243" s="12" t="s">
        <v>31199</v>
      </c>
      <c r="B1243" s="14">
        <v>291500</v>
      </c>
      <c r="C1243" s="14">
        <v>328000</v>
      </c>
      <c r="D1243" s="14">
        <v>209900</v>
      </c>
      <c r="E1243" s="14">
        <v>270600</v>
      </c>
      <c r="F1243" s="14">
        <v>161800</v>
      </c>
      <c r="G1243" s="14">
        <v>211068</v>
      </c>
      <c r="H1243" s="14">
        <v>134000</v>
      </c>
      <c r="I1243" s="14">
        <v>166000</v>
      </c>
      <c r="J1243" s="14">
        <v>3290</v>
      </c>
      <c r="K1243" s="14">
        <v>3960</v>
      </c>
      <c r="N1243" s="42">
        <f t="shared" si="54"/>
        <v>36500</v>
      </c>
      <c r="O1243" s="43">
        <f t="shared" si="55"/>
        <v>0.11128048780487805</v>
      </c>
    </row>
    <row r="1244" spans="1:15" x14ac:dyDescent="0.45">
      <c r="A1244" s="12" t="s">
        <v>31200</v>
      </c>
      <c r="B1244" s="14">
        <v>291500</v>
      </c>
      <c r="C1244" s="14">
        <v>329000</v>
      </c>
      <c r="D1244" s="14">
        <v>209900</v>
      </c>
      <c r="E1244" s="14">
        <v>271425</v>
      </c>
      <c r="F1244" s="14">
        <v>161800</v>
      </c>
      <c r="G1244" s="14">
        <v>211711</v>
      </c>
      <c r="H1244" s="14">
        <v>135000</v>
      </c>
      <c r="I1244" s="14">
        <v>166000</v>
      </c>
      <c r="J1244" s="14">
        <v>3310</v>
      </c>
      <c r="K1244" s="14">
        <v>3980</v>
      </c>
      <c r="N1244" s="42">
        <f t="shared" si="54"/>
        <v>37500</v>
      </c>
      <c r="O1244" s="43">
        <f t="shared" si="55"/>
        <v>0.11398176291793313</v>
      </c>
    </row>
    <row r="1245" spans="1:15" x14ac:dyDescent="0.45">
      <c r="A1245" s="12" t="s">
        <v>31201</v>
      </c>
      <c r="B1245" s="14">
        <v>291500</v>
      </c>
      <c r="C1245" s="14">
        <v>331000</v>
      </c>
      <c r="D1245" s="14">
        <v>209900</v>
      </c>
      <c r="E1245" s="14">
        <v>273075</v>
      </c>
      <c r="F1245" s="14">
        <v>161800</v>
      </c>
      <c r="G1245" s="14">
        <v>212998</v>
      </c>
      <c r="H1245" s="14">
        <v>133000</v>
      </c>
      <c r="I1245" s="14">
        <v>165000</v>
      </c>
      <c r="J1245" s="14">
        <v>3380</v>
      </c>
      <c r="K1245" s="14">
        <v>4070</v>
      </c>
      <c r="N1245" s="42">
        <f t="shared" si="54"/>
        <v>39500</v>
      </c>
      <c r="O1245" s="43">
        <f t="shared" si="55"/>
        <v>0.11933534743202417</v>
      </c>
    </row>
    <row r="1246" spans="1:15" x14ac:dyDescent="0.45">
      <c r="A1246" s="12" t="s">
        <v>31202</v>
      </c>
      <c r="B1246" s="14">
        <v>290500</v>
      </c>
      <c r="C1246" s="14">
        <v>329000</v>
      </c>
      <c r="D1246" s="14">
        <v>209200</v>
      </c>
      <c r="E1246" s="14">
        <v>271425</v>
      </c>
      <c r="F1246" s="14">
        <v>161300</v>
      </c>
      <c r="G1246" s="14">
        <v>211711</v>
      </c>
      <c r="H1246" s="14">
        <v>133000</v>
      </c>
      <c r="I1246" s="14">
        <v>164000</v>
      </c>
      <c r="J1246" s="14">
        <v>3300</v>
      </c>
      <c r="K1246" s="14">
        <v>4100</v>
      </c>
      <c r="N1246" s="42">
        <f t="shared" si="54"/>
        <v>38500</v>
      </c>
      <c r="O1246" s="43">
        <f t="shared" si="55"/>
        <v>0.11702127659574468</v>
      </c>
    </row>
    <row r="1247" spans="1:15" x14ac:dyDescent="0.45">
      <c r="A1247" s="12" t="s">
        <v>31203</v>
      </c>
      <c r="B1247" s="14">
        <v>289000</v>
      </c>
      <c r="C1247" s="14">
        <v>329000</v>
      </c>
      <c r="D1247" s="14">
        <v>208100</v>
      </c>
      <c r="E1247" s="14">
        <v>271425</v>
      </c>
      <c r="F1247" s="14">
        <v>160400</v>
      </c>
      <c r="G1247" s="14">
        <v>211711</v>
      </c>
      <c r="H1247" s="14">
        <v>132000</v>
      </c>
      <c r="I1247" s="14">
        <v>163000</v>
      </c>
      <c r="J1247" s="14">
        <v>3300</v>
      </c>
      <c r="K1247" s="14">
        <v>4100</v>
      </c>
      <c r="N1247" s="42">
        <f t="shared" si="54"/>
        <v>40000</v>
      </c>
      <c r="O1247" s="43">
        <f t="shared" si="55"/>
        <v>0.12158054711246201</v>
      </c>
    </row>
    <row r="1248" spans="1:15" x14ac:dyDescent="0.45">
      <c r="A1248" s="12" t="s">
        <v>31204</v>
      </c>
      <c r="B1248" s="14">
        <v>290000</v>
      </c>
      <c r="C1248" s="14">
        <v>330000</v>
      </c>
      <c r="D1248" s="14">
        <v>208800</v>
      </c>
      <c r="E1248" s="14">
        <v>272250</v>
      </c>
      <c r="F1248" s="14">
        <v>161000</v>
      </c>
      <c r="G1248" s="14">
        <v>212355</v>
      </c>
      <c r="H1248" s="14">
        <v>132000</v>
      </c>
      <c r="I1248" s="14">
        <v>163000</v>
      </c>
      <c r="J1248" s="14">
        <v>3340</v>
      </c>
      <c r="K1248" s="14">
        <v>4150</v>
      </c>
      <c r="N1248" s="42">
        <f t="shared" si="54"/>
        <v>40000</v>
      </c>
      <c r="O1248" s="43">
        <f t="shared" si="55"/>
        <v>0.12121212121212122</v>
      </c>
    </row>
    <row r="1249" spans="1:15" x14ac:dyDescent="0.45">
      <c r="A1249" s="12" t="s">
        <v>31205</v>
      </c>
      <c r="B1249" s="14">
        <v>290000</v>
      </c>
      <c r="C1249" s="14">
        <v>331000</v>
      </c>
      <c r="D1249" s="14">
        <v>208800</v>
      </c>
      <c r="E1249" s="14">
        <v>273075</v>
      </c>
      <c r="F1249" s="14">
        <v>161000</v>
      </c>
      <c r="G1249" s="14">
        <v>212998</v>
      </c>
      <c r="H1249" s="14">
        <v>139000</v>
      </c>
      <c r="I1249" s="14">
        <v>172000</v>
      </c>
      <c r="J1249" s="14">
        <v>3450</v>
      </c>
      <c r="K1249" s="14">
        <v>4280</v>
      </c>
      <c r="N1249" s="42">
        <f t="shared" si="54"/>
        <v>41000</v>
      </c>
      <c r="O1249" s="43">
        <f t="shared" si="55"/>
        <v>0.12386706948640483</v>
      </c>
    </row>
    <row r="1250" spans="1:15" x14ac:dyDescent="0.45">
      <c r="A1250" s="12" t="s">
        <v>31206</v>
      </c>
      <c r="B1250" s="14">
        <v>291500</v>
      </c>
      <c r="C1250" s="14">
        <v>335500</v>
      </c>
      <c r="D1250" s="14">
        <v>209900</v>
      </c>
      <c r="E1250" s="14">
        <v>276787</v>
      </c>
      <c r="F1250" s="14">
        <v>161800</v>
      </c>
      <c r="G1250" s="14">
        <v>215894</v>
      </c>
      <c r="H1250" s="14">
        <v>144000</v>
      </c>
      <c r="I1250" s="14">
        <v>179000</v>
      </c>
      <c r="J1250" s="14">
        <v>3570</v>
      </c>
      <c r="K1250" s="14">
        <v>4430</v>
      </c>
      <c r="N1250" s="42">
        <f t="shared" si="54"/>
        <v>44000</v>
      </c>
      <c r="O1250" s="43">
        <f t="shared" si="55"/>
        <v>0.13114754098360656</v>
      </c>
    </row>
    <row r="1251" spans="1:15" x14ac:dyDescent="0.45">
      <c r="A1251" s="12" t="s">
        <v>31207</v>
      </c>
      <c r="B1251" s="14">
        <v>291500</v>
      </c>
      <c r="C1251" s="14">
        <v>336000</v>
      </c>
      <c r="D1251" s="14">
        <v>209900</v>
      </c>
      <c r="E1251" s="14">
        <v>277200</v>
      </c>
      <c r="F1251" s="14">
        <v>161800</v>
      </c>
      <c r="G1251" s="14">
        <v>216216</v>
      </c>
      <c r="H1251" s="14">
        <v>141000</v>
      </c>
      <c r="I1251" s="14">
        <v>175000</v>
      </c>
      <c r="J1251" s="14">
        <v>3550</v>
      </c>
      <c r="K1251" s="14">
        <v>4400</v>
      </c>
      <c r="N1251" s="42">
        <f t="shared" si="54"/>
        <v>44500</v>
      </c>
      <c r="O1251" s="43">
        <f t="shared" si="55"/>
        <v>0.13244047619047619</v>
      </c>
    </row>
    <row r="1252" spans="1:15" x14ac:dyDescent="0.45">
      <c r="A1252" s="12" t="s">
        <v>31208</v>
      </c>
      <c r="B1252" s="14">
        <v>290000</v>
      </c>
      <c r="C1252" s="14">
        <v>332500</v>
      </c>
      <c r="D1252" s="14">
        <v>208800</v>
      </c>
      <c r="E1252" s="14">
        <v>274312</v>
      </c>
      <c r="F1252" s="14">
        <v>161000</v>
      </c>
      <c r="G1252" s="14">
        <v>213963</v>
      </c>
      <c r="H1252" s="14">
        <v>138000</v>
      </c>
      <c r="I1252" s="14">
        <v>172000</v>
      </c>
      <c r="J1252" s="14">
        <v>3520</v>
      </c>
      <c r="K1252" s="14">
        <v>4360</v>
      </c>
      <c r="N1252" s="42">
        <f t="shared" si="54"/>
        <v>42500</v>
      </c>
      <c r="O1252" s="43">
        <f t="shared" si="55"/>
        <v>0.12781954887218044</v>
      </c>
    </row>
    <row r="1253" spans="1:15" x14ac:dyDescent="0.45">
      <c r="A1253" s="12" t="s">
        <v>31209</v>
      </c>
      <c r="B1253" s="14">
        <v>290000</v>
      </c>
      <c r="C1253" s="14">
        <v>332500</v>
      </c>
      <c r="D1253" s="14">
        <v>208800</v>
      </c>
      <c r="E1253" s="14">
        <v>274312</v>
      </c>
      <c r="F1253" s="14">
        <v>161000</v>
      </c>
      <c r="G1253" s="14">
        <v>213963</v>
      </c>
      <c r="H1253" s="14">
        <v>139000</v>
      </c>
      <c r="I1253" s="14">
        <v>172000</v>
      </c>
      <c r="J1253" s="14">
        <v>3510</v>
      </c>
      <c r="K1253" s="14">
        <v>4350</v>
      </c>
      <c r="N1253" s="42">
        <f t="shared" si="54"/>
        <v>42500</v>
      </c>
      <c r="O1253" s="43">
        <f t="shared" si="55"/>
        <v>0.12781954887218044</v>
      </c>
    </row>
    <row r="1254" spans="1:15" x14ac:dyDescent="0.45">
      <c r="A1254" s="12" t="s">
        <v>31210</v>
      </c>
      <c r="B1254" s="14">
        <v>290000</v>
      </c>
      <c r="C1254" s="14">
        <v>331500</v>
      </c>
      <c r="D1254" s="14">
        <v>208800</v>
      </c>
      <c r="E1254" s="14">
        <v>273487</v>
      </c>
      <c r="F1254" s="14">
        <v>161000</v>
      </c>
      <c r="G1254" s="14">
        <v>213320</v>
      </c>
      <c r="H1254" s="14">
        <v>138000</v>
      </c>
      <c r="I1254" s="14">
        <v>171000</v>
      </c>
      <c r="J1254" s="14">
        <v>3490</v>
      </c>
      <c r="K1254" s="14">
        <v>4330</v>
      </c>
      <c r="N1254" s="42">
        <f t="shared" si="54"/>
        <v>41500</v>
      </c>
      <c r="O1254" s="43">
        <f t="shared" si="55"/>
        <v>0.12518853695324283</v>
      </c>
    </row>
    <row r="1255" spans="1:15" x14ac:dyDescent="0.45">
      <c r="A1255" s="12" t="s">
        <v>31211</v>
      </c>
      <c r="B1255" s="14">
        <v>290000</v>
      </c>
      <c r="C1255" s="14">
        <v>331000</v>
      </c>
      <c r="D1255" s="14">
        <v>208800</v>
      </c>
      <c r="E1255" s="14">
        <v>273075</v>
      </c>
      <c r="F1255" s="14">
        <v>161000</v>
      </c>
      <c r="G1255" s="14">
        <v>212998</v>
      </c>
      <c r="H1255" s="14">
        <v>136000</v>
      </c>
      <c r="I1255" s="14">
        <v>168000</v>
      </c>
      <c r="J1255" s="14">
        <v>3470</v>
      </c>
      <c r="K1255" s="14">
        <v>4300</v>
      </c>
      <c r="N1255" s="42">
        <f t="shared" si="54"/>
        <v>41000</v>
      </c>
      <c r="O1255" s="43">
        <f t="shared" si="55"/>
        <v>0.12386706948640483</v>
      </c>
    </row>
    <row r="1256" spans="1:15" x14ac:dyDescent="0.45">
      <c r="A1256" s="12" t="s">
        <v>31212</v>
      </c>
      <c r="B1256" s="14">
        <v>290000</v>
      </c>
      <c r="C1256" s="14">
        <v>332000</v>
      </c>
      <c r="D1256" s="14">
        <v>208800</v>
      </c>
      <c r="E1256" s="14">
        <v>273900</v>
      </c>
      <c r="F1256" s="14">
        <v>161000</v>
      </c>
      <c r="G1256" s="14">
        <v>213642</v>
      </c>
      <c r="H1256" s="14">
        <v>139000</v>
      </c>
      <c r="I1256" s="14">
        <v>172000</v>
      </c>
      <c r="J1256" s="14">
        <v>3460</v>
      </c>
      <c r="K1256" s="14">
        <v>4290</v>
      </c>
      <c r="N1256" s="42">
        <f t="shared" si="54"/>
        <v>42000</v>
      </c>
      <c r="O1256" s="43">
        <f t="shared" si="55"/>
        <v>0.12650602409638553</v>
      </c>
    </row>
    <row r="1257" spans="1:15" x14ac:dyDescent="0.45">
      <c r="A1257" s="12" t="s">
        <v>31213</v>
      </c>
      <c r="B1257" s="14">
        <v>288000</v>
      </c>
      <c r="C1257" s="14">
        <v>328000</v>
      </c>
      <c r="D1257" s="14">
        <v>207400</v>
      </c>
      <c r="E1257" s="14">
        <v>270600</v>
      </c>
      <c r="F1257" s="14">
        <v>159900</v>
      </c>
      <c r="G1257" s="14">
        <v>211068</v>
      </c>
      <c r="H1257" s="14">
        <v>136000</v>
      </c>
      <c r="I1257" s="14">
        <v>169000</v>
      </c>
      <c r="J1257" s="14">
        <v>3380</v>
      </c>
      <c r="K1257" s="14">
        <v>4200</v>
      </c>
      <c r="N1257" s="42">
        <f t="shared" si="54"/>
        <v>40000</v>
      </c>
      <c r="O1257" s="43">
        <f t="shared" si="55"/>
        <v>0.12195121951219512</v>
      </c>
    </row>
    <row r="1258" spans="1:15" x14ac:dyDescent="0.45">
      <c r="A1258" s="12" t="s">
        <v>31214</v>
      </c>
      <c r="B1258" s="14">
        <v>287500</v>
      </c>
      <c r="C1258" s="14">
        <v>324000</v>
      </c>
      <c r="D1258" s="14">
        <v>207000</v>
      </c>
      <c r="E1258" s="14">
        <v>267300</v>
      </c>
      <c r="F1258" s="14">
        <v>159600</v>
      </c>
      <c r="G1258" s="14">
        <v>208494</v>
      </c>
      <c r="H1258" s="14">
        <v>133000</v>
      </c>
      <c r="I1258" s="14">
        <v>166000</v>
      </c>
      <c r="J1258" s="14">
        <v>3350</v>
      </c>
      <c r="K1258" s="14">
        <v>4150</v>
      </c>
      <c r="N1258" s="42">
        <f t="shared" si="54"/>
        <v>36500</v>
      </c>
      <c r="O1258" s="43">
        <f t="shared" si="55"/>
        <v>0.11265432098765432</v>
      </c>
    </row>
    <row r="1259" spans="1:15" x14ac:dyDescent="0.45">
      <c r="A1259" s="12" t="s">
        <v>31215</v>
      </c>
      <c r="B1259" s="14">
        <v>287000</v>
      </c>
      <c r="C1259" s="14">
        <v>321500</v>
      </c>
      <c r="D1259" s="14">
        <v>206700</v>
      </c>
      <c r="E1259" s="14">
        <v>265237</v>
      </c>
      <c r="F1259" s="14">
        <v>159300</v>
      </c>
      <c r="G1259" s="14">
        <v>206885</v>
      </c>
      <c r="H1259" s="14">
        <v>133000</v>
      </c>
      <c r="I1259" s="14">
        <v>164000</v>
      </c>
      <c r="J1259" s="14">
        <v>3310</v>
      </c>
      <c r="K1259" s="14">
        <v>4100</v>
      </c>
      <c r="N1259" s="42">
        <f t="shared" si="54"/>
        <v>34500</v>
      </c>
      <c r="O1259" s="43">
        <f t="shared" si="55"/>
        <v>0.10730948678071539</v>
      </c>
    </row>
    <row r="1260" spans="1:15" x14ac:dyDescent="0.45">
      <c r="A1260" s="12" t="s">
        <v>31216</v>
      </c>
      <c r="B1260" s="14">
        <v>286500</v>
      </c>
      <c r="C1260" s="14">
        <v>321500</v>
      </c>
      <c r="D1260" s="14">
        <v>206300</v>
      </c>
      <c r="E1260" s="14">
        <v>265237</v>
      </c>
      <c r="F1260" s="14">
        <v>159100</v>
      </c>
      <c r="G1260" s="14">
        <v>206885</v>
      </c>
      <c r="H1260" s="14">
        <v>135000</v>
      </c>
      <c r="I1260" s="14">
        <v>167000</v>
      </c>
      <c r="J1260" s="14">
        <v>3290</v>
      </c>
      <c r="K1260" s="14">
        <v>4080</v>
      </c>
      <c r="N1260" s="42">
        <f t="shared" si="54"/>
        <v>35000</v>
      </c>
      <c r="O1260" s="43">
        <f t="shared" si="55"/>
        <v>0.1088646967340591</v>
      </c>
    </row>
    <row r="1261" spans="1:15" x14ac:dyDescent="0.45">
      <c r="A1261" s="12" t="s">
        <v>31217</v>
      </c>
      <c r="B1261" s="14">
        <v>286000</v>
      </c>
      <c r="C1261" s="14">
        <v>321000</v>
      </c>
      <c r="D1261" s="14">
        <v>206000</v>
      </c>
      <c r="E1261" s="14">
        <v>264825</v>
      </c>
      <c r="F1261" s="14">
        <v>158800</v>
      </c>
      <c r="G1261" s="14">
        <v>206563</v>
      </c>
      <c r="H1261" s="14">
        <v>136000</v>
      </c>
      <c r="I1261" s="14">
        <v>168000</v>
      </c>
      <c r="J1261" s="14">
        <v>3290</v>
      </c>
      <c r="K1261" s="14">
        <v>4080</v>
      </c>
      <c r="N1261" s="42">
        <f t="shared" ref="N1261:N1324" si="56">C1261-B1261</f>
        <v>35000</v>
      </c>
      <c r="O1261" s="43">
        <f t="shared" ref="O1261:O1324" si="57">N1261/C1261</f>
        <v>0.10903426791277258</v>
      </c>
    </row>
    <row r="1262" spans="1:15" x14ac:dyDescent="0.45">
      <c r="A1262" s="12" t="s">
        <v>31218</v>
      </c>
      <c r="B1262" s="14">
        <v>286000</v>
      </c>
      <c r="C1262" s="14">
        <v>323000</v>
      </c>
      <c r="D1262" s="14">
        <v>206000</v>
      </c>
      <c r="E1262" s="14">
        <v>266475</v>
      </c>
      <c r="F1262" s="14">
        <v>158800</v>
      </c>
      <c r="G1262" s="14">
        <v>207850</v>
      </c>
      <c r="H1262" s="14">
        <v>137000</v>
      </c>
      <c r="I1262" s="14">
        <v>170000</v>
      </c>
      <c r="J1262" s="14">
        <v>3340</v>
      </c>
      <c r="K1262" s="14">
        <v>4130</v>
      </c>
      <c r="N1262" s="42">
        <f t="shared" si="56"/>
        <v>37000</v>
      </c>
      <c r="O1262" s="43">
        <f t="shared" si="57"/>
        <v>0.11455108359133127</v>
      </c>
    </row>
    <row r="1263" spans="1:15" x14ac:dyDescent="0.45">
      <c r="A1263" s="12" t="s">
        <v>31219</v>
      </c>
      <c r="B1263" s="14">
        <v>286000</v>
      </c>
      <c r="C1263" s="14">
        <v>323000</v>
      </c>
      <c r="D1263" s="14">
        <v>206000</v>
      </c>
      <c r="E1263" s="14">
        <v>266475</v>
      </c>
      <c r="F1263" s="14">
        <v>158800</v>
      </c>
      <c r="G1263" s="14">
        <v>207850</v>
      </c>
      <c r="H1263" s="14">
        <v>136000</v>
      </c>
      <c r="I1263" s="14">
        <v>169000</v>
      </c>
      <c r="J1263" s="14">
        <v>3350</v>
      </c>
      <c r="K1263" s="14">
        <v>4140</v>
      </c>
      <c r="N1263" s="42">
        <f t="shared" si="56"/>
        <v>37000</v>
      </c>
      <c r="O1263" s="43">
        <f t="shared" si="57"/>
        <v>0.11455108359133127</v>
      </c>
    </row>
    <row r="1264" spans="1:15" x14ac:dyDescent="0.45">
      <c r="A1264" s="12" t="s">
        <v>31220</v>
      </c>
      <c r="B1264" s="14">
        <v>285000</v>
      </c>
      <c r="C1264" s="14">
        <v>320000</v>
      </c>
      <c r="D1264" s="14">
        <v>205200</v>
      </c>
      <c r="E1264" s="14">
        <v>264000</v>
      </c>
      <c r="F1264" s="14">
        <v>158200</v>
      </c>
      <c r="G1264" s="14">
        <v>205920</v>
      </c>
      <c r="H1264" s="14">
        <v>136000</v>
      </c>
      <c r="I1264" s="14">
        <v>168000</v>
      </c>
      <c r="J1264" s="14">
        <v>3320</v>
      </c>
      <c r="K1264" s="14">
        <v>4110</v>
      </c>
      <c r="N1264" s="42">
        <f t="shared" si="56"/>
        <v>35000</v>
      </c>
      <c r="O1264" s="43">
        <f t="shared" si="57"/>
        <v>0.109375</v>
      </c>
    </row>
    <row r="1265" spans="1:15" x14ac:dyDescent="0.45">
      <c r="A1265" s="12" t="s">
        <v>31221</v>
      </c>
      <c r="B1265" s="14">
        <v>284000</v>
      </c>
      <c r="C1265" s="14">
        <v>320000</v>
      </c>
      <c r="D1265" s="14">
        <v>204500</v>
      </c>
      <c r="E1265" s="14">
        <v>264000</v>
      </c>
      <c r="F1265" s="14">
        <v>157700</v>
      </c>
      <c r="G1265" s="14">
        <v>205920</v>
      </c>
      <c r="H1265" s="14">
        <v>137000</v>
      </c>
      <c r="I1265" s="14">
        <v>170000</v>
      </c>
      <c r="J1265" s="14">
        <v>3340</v>
      </c>
      <c r="K1265" s="14">
        <v>4130</v>
      </c>
      <c r="N1265" s="42">
        <f t="shared" si="56"/>
        <v>36000</v>
      </c>
      <c r="O1265" s="43">
        <f t="shared" si="57"/>
        <v>0.1125</v>
      </c>
    </row>
    <row r="1266" spans="1:15" x14ac:dyDescent="0.45">
      <c r="A1266" s="12" t="s">
        <v>31222</v>
      </c>
      <c r="B1266" s="14">
        <v>283000</v>
      </c>
      <c r="C1266" s="14">
        <v>323000</v>
      </c>
      <c r="D1266" s="14">
        <v>203800</v>
      </c>
      <c r="E1266" s="14">
        <v>266475</v>
      </c>
      <c r="F1266" s="14">
        <v>157100</v>
      </c>
      <c r="G1266" s="14">
        <v>207850</v>
      </c>
      <c r="H1266" s="14">
        <v>137000</v>
      </c>
      <c r="I1266" s="14">
        <v>170000</v>
      </c>
      <c r="J1266" s="14">
        <v>3390</v>
      </c>
      <c r="K1266" s="14">
        <v>4190</v>
      </c>
      <c r="N1266" s="42">
        <f t="shared" si="56"/>
        <v>40000</v>
      </c>
      <c r="O1266" s="43">
        <f t="shared" si="57"/>
        <v>0.1238390092879257</v>
      </c>
    </row>
    <row r="1267" spans="1:15" x14ac:dyDescent="0.45">
      <c r="A1267" s="12" t="s">
        <v>31223</v>
      </c>
      <c r="B1267" s="14">
        <v>285000</v>
      </c>
      <c r="C1267" s="14">
        <v>329000</v>
      </c>
      <c r="D1267" s="14">
        <v>205200</v>
      </c>
      <c r="E1267" s="14">
        <v>271425</v>
      </c>
      <c r="F1267" s="14">
        <v>158200</v>
      </c>
      <c r="G1267" s="14">
        <v>211711</v>
      </c>
      <c r="H1267" s="14">
        <v>140000</v>
      </c>
      <c r="I1267" s="14">
        <v>173000</v>
      </c>
      <c r="J1267" s="14">
        <v>3480</v>
      </c>
      <c r="K1267" s="14">
        <v>4310</v>
      </c>
      <c r="N1267" s="42">
        <f t="shared" si="56"/>
        <v>44000</v>
      </c>
      <c r="O1267" s="43">
        <f t="shared" si="57"/>
        <v>0.1337386018237082</v>
      </c>
    </row>
    <row r="1268" spans="1:15" x14ac:dyDescent="0.45">
      <c r="A1268" s="12" t="s">
        <v>31224</v>
      </c>
      <c r="B1268" s="14">
        <v>284000</v>
      </c>
      <c r="C1268" s="14">
        <v>324000</v>
      </c>
      <c r="D1268" s="14">
        <v>204500</v>
      </c>
      <c r="E1268" s="14">
        <v>267300</v>
      </c>
      <c r="F1268" s="14">
        <v>157700</v>
      </c>
      <c r="G1268" s="14">
        <v>208494</v>
      </c>
      <c r="H1268" s="14">
        <v>141000</v>
      </c>
      <c r="I1268" s="14">
        <v>175000</v>
      </c>
      <c r="J1268" s="14">
        <v>3380</v>
      </c>
      <c r="K1268" s="14">
        <v>4190</v>
      </c>
      <c r="N1268" s="42">
        <f t="shared" si="56"/>
        <v>40000</v>
      </c>
      <c r="O1268" s="43">
        <f t="shared" si="57"/>
        <v>0.12345679012345678</v>
      </c>
    </row>
    <row r="1269" spans="1:15" x14ac:dyDescent="0.45">
      <c r="A1269" s="12" t="s">
        <v>31225</v>
      </c>
      <c r="B1269" s="14">
        <v>284000</v>
      </c>
      <c r="C1269" s="14">
        <v>323000</v>
      </c>
      <c r="D1269" s="14">
        <v>204500</v>
      </c>
      <c r="E1269" s="14">
        <v>266475</v>
      </c>
      <c r="F1269" s="14">
        <v>157700</v>
      </c>
      <c r="G1269" s="14">
        <v>207850</v>
      </c>
      <c r="H1269" s="14">
        <v>144000</v>
      </c>
      <c r="I1269" s="14">
        <v>179000</v>
      </c>
      <c r="J1269" s="14">
        <v>3450</v>
      </c>
      <c r="K1269" s="14">
        <v>4230</v>
      </c>
      <c r="N1269" s="42">
        <f t="shared" si="56"/>
        <v>39000</v>
      </c>
      <c r="O1269" s="43">
        <f t="shared" si="57"/>
        <v>0.12074303405572756</v>
      </c>
    </row>
    <row r="1270" spans="1:15" x14ac:dyDescent="0.45">
      <c r="A1270" s="12" t="s">
        <v>31226</v>
      </c>
      <c r="B1270" s="14">
        <v>283000</v>
      </c>
      <c r="C1270" s="14">
        <v>320000</v>
      </c>
      <c r="D1270" s="14">
        <v>203800</v>
      </c>
      <c r="E1270" s="14">
        <v>264000</v>
      </c>
      <c r="F1270" s="14">
        <v>157100</v>
      </c>
      <c r="G1270" s="14">
        <v>205920</v>
      </c>
      <c r="H1270" s="14">
        <v>143000</v>
      </c>
      <c r="I1270" s="14">
        <v>178000</v>
      </c>
      <c r="J1270" s="14">
        <v>3380</v>
      </c>
      <c r="K1270" s="14">
        <v>4180</v>
      </c>
      <c r="N1270" s="42">
        <f t="shared" si="56"/>
        <v>37000</v>
      </c>
      <c r="O1270" s="43">
        <f t="shared" si="57"/>
        <v>0.11562500000000001</v>
      </c>
    </row>
    <row r="1271" spans="1:15" x14ac:dyDescent="0.45">
      <c r="A1271" s="12" t="s">
        <v>31227</v>
      </c>
      <c r="B1271" s="14">
        <v>283000</v>
      </c>
      <c r="C1271" s="14">
        <v>320000</v>
      </c>
      <c r="D1271" s="14">
        <v>203800</v>
      </c>
      <c r="E1271" s="14">
        <v>264000</v>
      </c>
      <c r="F1271" s="14">
        <v>157100</v>
      </c>
      <c r="G1271" s="14">
        <v>205920</v>
      </c>
      <c r="H1271" s="14">
        <v>142000</v>
      </c>
      <c r="I1271" s="14">
        <v>176000</v>
      </c>
      <c r="J1271" s="14">
        <v>3270</v>
      </c>
      <c r="K1271" s="14">
        <v>4180</v>
      </c>
      <c r="N1271" s="42">
        <f t="shared" si="56"/>
        <v>37000</v>
      </c>
      <c r="O1271" s="43">
        <f t="shared" si="57"/>
        <v>0.11562500000000001</v>
      </c>
    </row>
    <row r="1272" spans="1:15" x14ac:dyDescent="0.45">
      <c r="A1272" s="12" t="s">
        <v>31228</v>
      </c>
      <c r="B1272" s="14">
        <v>284000</v>
      </c>
      <c r="C1272" s="14">
        <v>321500</v>
      </c>
      <c r="D1272" s="14">
        <v>204500</v>
      </c>
      <c r="E1272" s="14">
        <v>265237</v>
      </c>
      <c r="F1272" s="14">
        <v>157700</v>
      </c>
      <c r="G1272" s="14">
        <v>206885</v>
      </c>
      <c r="H1272" s="14">
        <v>141000</v>
      </c>
      <c r="I1272" s="14">
        <v>175000</v>
      </c>
      <c r="J1272" s="14">
        <v>3400</v>
      </c>
      <c r="K1272" s="14">
        <v>4220</v>
      </c>
      <c r="N1272" s="42">
        <f t="shared" si="56"/>
        <v>37500</v>
      </c>
      <c r="O1272" s="43">
        <f t="shared" si="57"/>
        <v>0.1166407465007776</v>
      </c>
    </row>
    <row r="1273" spans="1:15" x14ac:dyDescent="0.45">
      <c r="A1273" s="12" t="s">
        <v>31229</v>
      </c>
      <c r="B1273" s="14">
        <v>284000</v>
      </c>
      <c r="C1273" s="14">
        <v>323000</v>
      </c>
      <c r="D1273" s="14">
        <v>204500</v>
      </c>
      <c r="E1273" s="14">
        <v>266475</v>
      </c>
      <c r="F1273" s="14">
        <v>157700</v>
      </c>
      <c r="G1273" s="14">
        <v>207850</v>
      </c>
      <c r="H1273" s="14">
        <v>141000</v>
      </c>
      <c r="I1273" s="14">
        <v>175000</v>
      </c>
      <c r="J1273" s="14">
        <v>3410</v>
      </c>
      <c r="K1273" s="14">
        <v>4220</v>
      </c>
      <c r="N1273" s="42">
        <f t="shared" si="56"/>
        <v>39000</v>
      </c>
      <c r="O1273" s="43">
        <f t="shared" si="57"/>
        <v>0.12074303405572756</v>
      </c>
    </row>
    <row r="1274" spans="1:15" x14ac:dyDescent="0.45">
      <c r="A1274" s="12" t="s">
        <v>31230</v>
      </c>
      <c r="B1274" s="14">
        <v>286000</v>
      </c>
      <c r="C1274" s="14">
        <v>330000</v>
      </c>
      <c r="D1274" s="14">
        <v>206000</v>
      </c>
      <c r="E1274" s="14">
        <v>272250</v>
      </c>
      <c r="F1274" s="14">
        <v>158800</v>
      </c>
      <c r="G1274" s="14">
        <v>212355</v>
      </c>
      <c r="H1274" s="14">
        <v>145000</v>
      </c>
      <c r="I1274" s="14">
        <v>181000</v>
      </c>
      <c r="J1274" s="14">
        <v>3430</v>
      </c>
      <c r="K1274" s="14">
        <v>4240</v>
      </c>
      <c r="N1274" s="42">
        <f t="shared" si="56"/>
        <v>44000</v>
      </c>
      <c r="O1274" s="43">
        <f t="shared" si="57"/>
        <v>0.13333333333333333</v>
      </c>
    </row>
    <row r="1275" spans="1:15" x14ac:dyDescent="0.45">
      <c r="A1275" s="12" t="s">
        <v>31231</v>
      </c>
      <c r="B1275" s="14">
        <v>287500</v>
      </c>
      <c r="C1275" s="14">
        <v>334000</v>
      </c>
      <c r="D1275" s="14">
        <v>207000</v>
      </c>
      <c r="E1275" s="14">
        <v>275550</v>
      </c>
      <c r="F1275" s="14">
        <v>159600</v>
      </c>
      <c r="G1275" s="14">
        <v>214929</v>
      </c>
      <c r="H1275" s="14">
        <v>150000</v>
      </c>
      <c r="I1275" s="14">
        <v>187000</v>
      </c>
      <c r="J1275" s="14">
        <v>3550</v>
      </c>
      <c r="K1275" s="14">
        <v>4390</v>
      </c>
      <c r="N1275" s="42">
        <f t="shared" si="56"/>
        <v>46500</v>
      </c>
      <c r="O1275" s="43">
        <f t="shared" si="57"/>
        <v>0.13922155688622753</v>
      </c>
    </row>
    <row r="1276" spans="1:15" x14ac:dyDescent="0.45">
      <c r="A1276" s="12" t="s">
        <v>31232</v>
      </c>
      <c r="B1276" s="14">
        <v>287500</v>
      </c>
      <c r="C1276" s="14">
        <v>335000</v>
      </c>
      <c r="D1276" s="14">
        <v>207000</v>
      </c>
      <c r="E1276" s="14">
        <v>276375</v>
      </c>
      <c r="F1276" s="14">
        <v>159600</v>
      </c>
      <c r="G1276" s="14">
        <v>215572</v>
      </c>
      <c r="H1276" s="14">
        <v>152000</v>
      </c>
      <c r="I1276" s="14">
        <v>187000</v>
      </c>
      <c r="J1276" s="14">
        <v>3550</v>
      </c>
      <c r="K1276" s="14">
        <v>4410</v>
      </c>
      <c r="N1276" s="42">
        <f t="shared" si="56"/>
        <v>47500</v>
      </c>
      <c r="O1276" s="43">
        <f t="shared" si="57"/>
        <v>0.1417910447761194</v>
      </c>
    </row>
    <row r="1277" spans="1:15" x14ac:dyDescent="0.45">
      <c r="A1277" s="12" t="s">
        <v>31233</v>
      </c>
      <c r="B1277" s="14">
        <v>287000</v>
      </c>
      <c r="C1277" s="14">
        <v>333000</v>
      </c>
      <c r="D1277" s="14">
        <v>206700</v>
      </c>
      <c r="E1277" s="14">
        <v>274725</v>
      </c>
      <c r="F1277" s="14">
        <v>159300</v>
      </c>
      <c r="G1277" s="14">
        <v>214285</v>
      </c>
      <c r="H1277" s="14">
        <v>151000</v>
      </c>
      <c r="I1277" s="14">
        <v>186000</v>
      </c>
      <c r="J1277" s="14">
        <v>3480</v>
      </c>
      <c r="K1277" s="14">
        <v>4320</v>
      </c>
      <c r="N1277" s="42">
        <f t="shared" si="56"/>
        <v>46000</v>
      </c>
      <c r="O1277" s="43">
        <f t="shared" si="57"/>
        <v>0.13813813813813813</v>
      </c>
    </row>
    <row r="1278" spans="1:15" x14ac:dyDescent="0.45">
      <c r="A1278" s="12" t="s">
        <v>31234</v>
      </c>
      <c r="B1278" s="14">
        <v>291000</v>
      </c>
      <c r="C1278" s="14">
        <v>344000</v>
      </c>
      <c r="D1278" s="14">
        <v>209600</v>
      </c>
      <c r="E1278" s="14">
        <v>283800</v>
      </c>
      <c r="F1278" s="14">
        <v>161600</v>
      </c>
      <c r="G1278" s="14">
        <v>221364</v>
      </c>
      <c r="H1278" s="14">
        <v>167000</v>
      </c>
      <c r="I1278" s="14">
        <v>206000</v>
      </c>
      <c r="J1278" s="14">
        <v>3660</v>
      </c>
      <c r="K1278" s="14">
        <v>4530</v>
      </c>
      <c r="N1278" s="42">
        <f t="shared" si="56"/>
        <v>53000</v>
      </c>
      <c r="O1278" s="43">
        <f t="shared" si="57"/>
        <v>0.15406976744186046</v>
      </c>
    </row>
    <row r="1279" spans="1:15" x14ac:dyDescent="0.45">
      <c r="A1279" s="12" t="s">
        <v>31235</v>
      </c>
      <c r="B1279" s="14">
        <v>288000</v>
      </c>
      <c r="C1279" s="14">
        <v>333000</v>
      </c>
      <c r="D1279" s="14">
        <v>207400</v>
      </c>
      <c r="E1279" s="14">
        <v>274725</v>
      </c>
      <c r="F1279" s="14">
        <v>159900</v>
      </c>
      <c r="G1279" s="14">
        <v>214285</v>
      </c>
      <c r="H1279" s="14">
        <v>162000</v>
      </c>
      <c r="I1279" s="14">
        <v>200000</v>
      </c>
      <c r="J1279" s="14">
        <v>3540</v>
      </c>
      <c r="K1279" s="14">
        <v>4380</v>
      </c>
      <c r="N1279" s="42">
        <f t="shared" si="56"/>
        <v>45000</v>
      </c>
      <c r="O1279" s="43">
        <f t="shared" si="57"/>
        <v>0.13513513513513514</v>
      </c>
    </row>
    <row r="1280" spans="1:15" x14ac:dyDescent="0.45">
      <c r="A1280" s="12" t="s">
        <v>31236</v>
      </c>
      <c r="B1280" s="14">
        <v>286500</v>
      </c>
      <c r="C1280" s="14">
        <v>331000</v>
      </c>
      <c r="D1280" s="14">
        <v>206300</v>
      </c>
      <c r="E1280" s="14">
        <v>273075</v>
      </c>
      <c r="F1280" s="14">
        <v>159100</v>
      </c>
      <c r="G1280" s="14">
        <v>212998</v>
      </c>
      <c r="H1280" s="14">
        <v>161000</v>
      </c>
      <c r="I1280" s="14">
        <v>194000</v>
      </c>
      <c r="J1280" s="14">
        <v>3480</v>
      </c>
      <c r="K1280" s="14">
        <v>4310</v>
      </c>
      <c r="N1280" s="42">
        <f t="shared" si="56"/>
        <v>44500</v>
      </c>
      <c r="O1280" s="43">
        <f t="shared" si="57"/>
        <v>0.13444108761329304</v>
      </c>
    </row>
    <row r="1281" spans="1:15" x14ac:dyDescent="0.45">
      <c r="A1281" s="12" t="s">
        <v>31237</v>
      </c>
      <c r="B1281" s="14">
        <v>285500</v>
      </c>
      <c r="C1281" s="14">
        <v>325500</v>
      </c>
      <c r="D1281" s="14">
        <v>205600</v>
      </c>
      <c r="E1281" s="14">
        <v>268537</v>
      </c>
      <c r="F1281" s="14">
        <v>158500</v>
      </c>
      <c r="G1281" s="14">
        <v>209459</v>
      </c>
      <c r="H1281" s="14">
        <v>154000</v>
      </c>
      <c r="I1281" s="14">
        <v>186000</v>
      </c>
      <c r="J1281" s="14">
        <v>3400</v>
      </c>
      <c r="K1281" s="14">
        <v>4210</v>
      </c>
      <c r="N1281" s="42">
        <f t="shared" si="56"/>
        <v>40000</v>
      </c>
      <c r="O1281" s="43">
        <f t="shared" si="57"/>
        <v>0.12288786482334869</v>
      </c>
    </row>
    <row r="1282" spans="1:15" x14ac:dyDescent="0.45">
      <c r="A1282" s="12" t="s">
        <v>31238</v>
      </c>
      <c r="B1282" s="14">
        <v>286000</v>
      </c>
      <c r="C1282" s="14">
        <v>321500</v>
      </c>
      <c r="D1282" s="14">
        <v>206000</v>
      </c>
      <c r="E1282" s="14">
        <v>265237</v>
      </c>
      <c r="F1282" s="14">
        <v>158800</v>
      </c>
      <c r="G1282" s="14">
        <v>206885</v>
      </c>
      <c r="H1282" s="14">
        <v>152000</v>
      </c>
      <c r="I1282" s="14">
        <v>183000</v>
      </c>
      <c r="J1282" s="14">
        <v>3480</v>
      </c>
      <c r="K1282" s="14">
        <v>4180</v>
      </c>
      <c r="N1282" s="42">
        <f t="shared" si="56"/>
        <v>35500</v>
      </c>
      <c r="O1282" s="43">
        <f t="shared" si="57"/>
        <v>0.1104199066874028</v>
      </c>
    </row>
    <row r="1283" spans="1:15" x14ac:dyDescent="0.45">
      <c r="A1283" s="12" t="s">
        <v>31239</v>
      </c>
      <c r="B1283" s="14">
        <v>286500</v>
      </c>
      <c r="C1283" s="14">
        <v>318000</v>
      </c>
      <c r="D1283" s="14">
        <v>206300</v>
      </c>
      <c r="E1283" s="14">
        <v>262350</v>
      </c>
      <c r="F1283" s="14">
        <v>159100</v>
      </c>
      <c r="G1283" s="14">
        <v>204633</v>
      </c>
      <c r="H1283" s="14">
        <v>148000</v>
      </c>
      <c r="I1283" s="14">
        <v>178000</v>
      </c>
      <c r="J1283" s="14">
        <v>3370</v>
      </c>
      <c r="K1283" s="14">
        <v>4030</v>
      </c>
      <c r="N1283" s="42">
        <f t="shared" si="56"/>
        <v>31500</v>
      </c>
      <c r="O1283" s="43">
        <f t="shared" si="57"/>
        <v>9.9056603773584911E-2</v>
      </c>
    </row>
    <row r="1284" spans="1:15" x14ac:dyDescent="0.45">
      <c r="A1284" s="12" t="s">
        <v>31240</v>
      </c>
      <c r="B1284" s="14">
        <v>286500</v>
      </c>
      <c r="C1284" s="14">
        <v>316000</v>
      </c>
      <c r="D1284" s="14">
        <v>206300</v>
      </c>
      <c r="E1284" s="14">
        <v>260700</v>
      </c>
      <c r="F1284" s="14">
        <v>159100</v>
      </c>
      <c r="G1284" s="14">
        <v>203346</v>
      </c>
      <c r="H1284" s="14">
        <v>150000</v>
      </c>
      <c r="I1284" s="14">
        <v>180000</v>
      </c>
      <c r="J1284" s="14">
        <v>3350</v>
      </c>
      <c r="K1284" s="14">
        <v>4010</v>
      </c>
      <c r="N1284" s="42">
        <f t="shared" si="56"/>
        <v>29500</v>
      </c>
      <c r="O1284" s="43">
        <f t="shared" si="57"/>
        <v>9.3354430379746833E-2</v>
      </c>
    </row>
    <row r="1285" spans="1:15" x14ac:dyDescent="0.45">
      <c r="A1285" s="12" t="s">
        <v>31241</v>
      </c>
      <c r="B1285" s="14">
        <v>287000</v>
      </c>
      <c r="C1285" s="14">
        <v>320000</v>
      </c>
      <c r="D1285" s="14">
        <v>206700</v>
      </c>
      <c r="E1285" s="14">
        <v>264000</v>
      </c>
      <c r="F1285" s="14">
        <v>159300</v>
      </c>
      <c r="G1285" s="14">
        <v>205920</v>
      </c>
      <c r="H1285" s="14">
        <v>150000</v>
      </c>
      <c r="I1285" s="14">
        <v>181000</v>
      </c>
      <c r="J1285" s="14">
        <v>3350</v>
      </c>
      <c r="K1285" s="14">
        <v>4020</v>
      </c>
      <c r="N1285" s="42">
        <f t="shared" si="56"/>
        <v>33000</v>
      </c>
      <c r="O1285" s="43">
        <f t="shared" si="57"/>
        <v>0.10312499999999999</v>
      </c>
    </row>
    <row r="1286" spans="1:15" x14ac:dyDescent="0.45">
      <c r="A1286" s="12" t="s">
        <v>31242</v>
      </c>
      <c r="B1286" s="14">
        <v>286000</v>
      </c>
      <c r="C1286" s="14">
        <v>314000</v>
      </c>
      <c r="D1286" s="14">
        <v>206000</v>
      </c>
      <c r="E1286" s="14">
        <v>259050</v>
      </c>
      <c r="F1286" s="14">
        <v>158800</v>
      </c>
      <c r="G1286" s="14">
        <v>202059</v>
      </c>
      <c r="H1286" s="14">
        <v>151000</v>
      </c>
      <c r="I1286" s="14">
        <v>182000</v>
      </c>
      <c r="J1286" s="14">
        <v>3340</v>
      </c>
      <c r="K1286" s="14">
        <v>3960</v>
      </c>
      <c r="N1286" s="42">
        <f t="shared" si="56"/>
        <v>28000</v>
      </c>
      <c r="O1286" s="43">
        <f t="shared" si="57"/>
        <v>8.9171974522292988E-2</v>
      </c>
    </row>
    <row r="1287" spans="1:15" x14ac:dyDescent="0.45">
      <c r="A1287" s="12" t="s">
        <v>31243</v>
      </c>
      <c r="B1287" s="14">
        <v>286500</v>
      </c>
      <c r="C1287" s="14">
        <v>316000</v>
      </c>
      <c r="D1287" s="14">
        <v>206300</v>
      </c>
      <c r="E1287" s="14">
        <v>260700</v>
      </c>
      <c r="F1287" s="14">
        <v>159100</v>
      </c>
      <c r="G1287" s="14">
        <v>203346</v>
      </c>
      <c r="H1287" s="14">
        <v>152000</v>
      </c>
      <c r="I1287" s="14">
        <v>184000</v>
      </c>
      <c r="J1287" s="14">
        <v>3330</v>
      </c>
      <c r="K1287" s="14">
        <v>3940</v>
      </c>
      <c r="N1287" s="42">
        <f t="shared" si="56"/>
        <v>29500</v>
      </c>
      <c r="O1287" s="43">
        <f t="shared" si="57"/>
        <v>9.3354430379746833E-2</v>
      </c>
    </row>
    <row r="1288" spans="1:15" x14ac:dyDescent="0.45">
      <c r="A1288" s="12" t="s">
        <v>31244</v>
      </c>
      <c r="B1288" s="14">
        <v>287000</v>
      </c>
      <c r="C1288" s="14">
        <v>315000</v>
      </c>
      <c r="D1288" s="14">
        <v>206700</v>
      </c>
      <c r="E1288" s="14">
        <v>259875</v>
      </c>
      <c r="F1288" s="14">
        <v>159300</v>
      </c>
      <c r="G1288" s="14">
        <v>202702</v>
      </c>
      <c r="H1288" s="14">
        <v>153000</v>
      </c>
      <c r="I1288" s="14">
        <v>181000</v>
      </c>
      <c r="J1288" s="14">
        <v>3330</v>
      </c>
      <c r="K1288" s="14">
        <v>3940</v>
      </c>
      <c r="N1288" s="42">
        <f t="shared" si="56"/>
        <v>28000</v>
      </c>
      <c r="O1288" s="43">
        <f t="shared" si="57"/>
        <v>8.8888888888888892E-2</v>
      </c>
    </row>
    <row r="1289" spans="1:15" x14ac:dyDescent="0.45">
      <c r="A1289" s="12" t="s">
        <v>31245</v>
      </c>
      <c r="B1289" s="14">
        <v>287000</v>
      </c>
      <c r="C1289" s="14">
        <v>314000</v>
      </c>
      <c r="D1289" s="14">
        <v>206700</v>
      </c>
      <c r="E1289" s="14">
        <v>259050</v>
      </c>
      <c r="F1289" s="14">
        <v>159300</v>
      </c>
      <c r="G1289" s="14">
        <v>202059</v>
      </c>
      <c r="H1289" s="14">
        <v>157000</v>
      </c>
      <c r="I1289" s="14">
        <v>186000</v>
      </c>
      <c r="J1289" s="14">
        <v>3300</v>
      </c>
      <c r="K1289" s="14">
        <v>3920</v>
      </c>
      <c r="N1289" s="42">
        <f t="shared" si="56"/>
        <v>27000</v>
      </c>
      <c r="O1289" s="43">
        <f t="shared" si="57"/>
        <v>8.598726114649681E-2</v>
      </c>
    </row>
    <row r="1290" spans="1:15" x14ac:dyDescent="0.45">
      <c r="A1290" s="12" t="s">
        <v>31246</v>
      </c>
      <c r="B1290" s="14">
        <v>286000</v>
      </c>
      <c r="C1290" s="14">
        <v>309000</v>
      </c>
      <c r="D1290" s="14">
        <v>206000</v>
      </c>
      <c r="E1290" s="14">
        <v>254925</v>
      </c>
      <c r="F1290" s="14">
        <v>158800</v>
      </c>
      <c r="G1290" s="14">
        <v>198841</v>
      </c>
      <c r="H1290" s="14">
        <v>147000</v>
      </c>
      <c r="I1290" s="14">
        <v>173000</v>
      </c>
      <c r="J1290" s="14">
        <v>3240</v>
      </c>
      <c r="K1290" s="14">
        <v>3850</v>
      </c>
      <c r="N1290" s="42">
        <f t="shared" si="56"/>
        <v>23000</v>
      </c>
      <c r="O1290" s="43">
        <f t="shared" si="57"/>
        <v>7.4433656957928807E-2</v>
      </c>
    </row>
    <row r="1291" spans="1:15" x14ac:dyDescent="0.45">
      <c r="A1291" s="12" t="s">
        <v>31247</v>
      </c>
      <c r="B1291" s="14">
        <v>287500</v>
      </c>
      <c r="C1291" s="14">
        <v>312500</v>
      </c>
      <c r="D1291" s="14">
        <v>207000</v>
      </c>
      <c r="E1291" s="14">
        <v>257812</v>
      </c>
      <c r="F1291" s="14">
        <v>159600</v>
      </c>
      <c r="G1291" s="14">
        <v>201093</v>
      </c>
      <c r="H1291" s="14">
        <v>148000</v>
      </c>
      <c r="I1291" s="14">
        <v>175000</v>
      </c>
      <c r="J1291" s="14">
        <v>3320</v>
      </c>
      <c r="K1291" s="14">
        <v>3940</v>
      </c>
      <c r="N1291" s="42">
        <f t="shared" si="56"/>
        <v>25000</v>
      </c>
      <c r="O1291" s="43">
        <f t="shared" si="57"/>
        <v>0.08</v>
      </c>
    </row>
    <row r="1292" spans="1:15" x14ac:dyDescent="0.45">
      <c r="A1292" s="12" t="s">
        <v>31248</v>
      </c>
      <c r="B1292" s="14">
        <v>286500</v>
      </c>
      <c r="C1292" s="14">
        <v>310000</v>
      </c>
      <c r="D1292" s="14">
        <v>206300</v>
      </c>
      <c r="E1292" s="14">
        <v>255750</v>
      </c>
      <c r="F1292" s="14">
        <v>159100</v>
      </c>
      <c r="G1292" s="14">
        <v>199485</v>
      </c>
      <c r="H1292" s="14">
        <v>149000</v>
      </c>
      <c r="I1292" s="14">
        <v>175000</v>
      </c>
      <c r="J1292" s="14">
        <v>3290</v>
      </c>
      <c r="K1292" s="14">
        <v>3900</v>
      </c>
      <c r="N1292" s="42">
        <f t="shared" si="56"/>
        <v>23500</v>
      </c>
      <c r="O1292" s="43">
        <f t="shared" si="57"/>
        <v>7.5806451612903225E-2</v>
      </c>
    </row>
    <row r="1293" spans="1:15" x14ac:dyDescent="0.45">
      <c r="A1293" s="12" t="s">
        <v>31249</v>
      </c>
      <c r="B1293" s="14">
        <v>285500</v>
      </c>
      <c r="C1293" s="14">
        <v>305500</v>
      </c>
      <c r="D1293" s="14">
        <v>205600</v>
      </c>
      <c r="E1293" s="14">
        <v>252037</v>
      </c>
      <c r="F1293" s="14">
        <v>158500</v>
      </c>
      <c r="G1293" s="14">
        <v>196589</v>
      </c>
      <c r="H1293" s="14">
        <v>146000</v>
      </c>
      <c r="I1293" s="14">
        <v>172000</v>
      </c>
      <c r="J1293" s="14">
        <v>3220</v>
      </c>
      <c r="K1293" s="14">
        <v>3820</v>
      </c>
      <c r="N1293" s="42">
        <f t="shared" si="56"/>
        <v>20000</v>
      </c>
      <c r="O1293" s="43">
        <f t="shared" si="57"/>
        <v>6.5466448445171854E-2</v>
      </c>
    </row>
    <row r="1294" spans="1:15" x14ac:dyDescent="0.45">
      <c r="A1294" s="12" t="s">
        <v>31250</v>
      </c>
      <c r="B1294" s="14">
        <v>285000</v>
      </c>
      <c r="C1294" s="14">
        <v>305000</v>
      </c>
      <c r="D1294" s="14">
        <v>205200</v>
      </c>
      <c r="E1294" s="14">
        <v>251625</v>
      </c>
      <c r="F1294" s="14">
        <v>158200</v>
      </c>
      <c r="G1294" s="14">
        <v>196267</v>
      </c>
      <c r="H1294" s="14">
        <v>148000</v>
      </c>
      <c r="I1294" s="14">
        <v>174000</v>
      </c>
      <c r="J1294" s="14">
        <v>3220</v>
      </c>
      <c r="K1294" s="14">
        <v>3820</v>
      </c>
      <c r="N1294" s="42">
        <f t="shared" si="56"/>
        <v>20000</v>
      </c>
      <c r="O1294" s="43">
        <f t="shared" si="57"/>
        <v>6.5573770491803282E-2</v>
      </c>
    </row>
    <row r="1295" spans="1:15" x14ac:dyDescent="0.45">
      <c r="A1295" s="12" t="s">
        <v>31251</v>
      </c>
      <c r="B1295" s="14">
        <v>285000</v>
      </c>
      <c r="C1295" s="14">
        <v>305000</v>
      </c>
      <c r="D1295" s="14">
        <v>205200</v>
      </c>
      <c r="E1295" s="14">
        <v>251625</v>
      </c>
      <c r="F1295" s="14">
        <v>158200</v>
      </c>
      <c r="G1295" s="14">
        <v>196267</v>
      </c>
      <c r="H1295" s="14">
        <v>148000</v>
      </c>
      <c r="I1295" s="14">
        <v>175000</v>
      </c>
      <c r="J1295" s="14">
        <v>3220</v>
      </c>
      <c r="K1295" s="14">
        <v>3820</v>
      </c>
      <c r="N1295" s="42">
        <f t="shared" si="56"/>
        <v>20000</v>
      </c>
      <c r="O1295" s="43">
        <f t="shared" si="57"/>
        <v>6.5573770491803282E-2</v>
      </c>
    </row>
    <row r="1296" spans="1:15" x14ac:dyDescent="0.45">
      <c r="A1296" s="12" t="s">
        <v>31252</v>
      </c>
      <c r="B1296" s="14">
        <v>284500</v>
      </c>
      <c r="C1296" s="14">
        <v>304500</v>
      </c>
      <c r="D1296" s="14">
        <v>204900</v>
      </c>
      <c r="E1296" s="14">
        <v>251212</v>
      </c>
      <c r="F1296" s="14">
        <v>157900</v>
      </c>
      <c r="G1296" s="14">
        <v>195945</v>
      </c>
      <c r="H1296" s="14">
        <v>148000</v>
      </c>
      <c r="I1296" s="14">
        <v>174000</v>
      </c>
      <c r="J1296" s="14">
        <v>3220</v>
      </c>
      <c r="K1296" s="14">
        <v>3810</v>
      </c>
      <c r="N1296" s="42">
        <f t="shared" si="56"/>
        <v>20000</v>
      </c>
      <c r="O1296" s="43">
        <f t="shared" si="57"/>
        <v>6.5681444991789822E-2</v>
      </c>
    </row>
    <row r="1297" spans="1:15" x14ac:dyDescent="0.45">
      <c r="A1297" s="12" t="s">
        <v>31253</v>
      </c>
      <c r="B1297" s="14">
        <v>284500</v>
      </c>
      <c r="C1297" s="14">
        <v>304000</v>
      </c>
      <c r="D1297" s="14">
        <v>204900</v>
      </c>
      <c r="E1297" s="14">
        <v>250800</v>
      </c>
      <c r="F1297" s="14">
        <v>157900</v>
      </c>
      <c r="G1297" s="14">
        <v>195624</v>
      </c>
      <c r="H1297" s="14">
        <v>147000</v>
      </c>
      <c r="I1297" s="14">
        <v>173000</v>
      </c>
      <c r="J1297" s="14">
        <v>3200</v>
      </c>
      <c r="K1297" s="14">
        <v>3780</v>
      </c>
      <c r="N1297" s="42">
        <f t="shared" si="56"/>
        <v>19500</v>
      </c>
      <c r="O1297" s="43">
        <f t="shared" si="57"/>
        <v>6.4144736842105268E-2</v>
      </c>
    </row>
    <row r="1298" spans="1:15" x14ac:dyDescent="0.45">
      <c r="A1298" s="12" t="s">
        <v>31254</v>
      </c>
      <c r="B1298" s="14">
        <v>284000</v>
      </c>
      <c r="C1298" s="14">
        <v>303000</v>
      </c>
      <c r="D1298" s="14">
        <v>204500</v>
      </c>
      <c r="E1298" s="14">
        <v>249975</v>
      </c>
      <c r="F1298" s="14">
        <v>157700</v>
      </c>
      <c r="G1298" s="14">
        <v>194980</v>
      </c>
      <c r="H1298" s="14">
        <v>148000</v>
      </c>
      <c r="I1298" s="14">
        <v>174000</v>
      </c>
      <c r="J1298" s="14">
        <v>3150</v>
      </c>
      <c r="K1298" s="14">
        <v>3720</v>
      </c>
      <c r="N1298" s="42">
        <f t="shared" si="56"/>
        <v>19000</v>
      </c>
      <c r="O1298" s="43">
        <f t="shared" si="57"/>
        <v>6.2706270627062702E-2</v>
      </c>
    </row>
    <row r="1299" spans="1:15" x14ac:dyDescent="0.45">
      <c r="A1299" s="12" t="s">
        <v>31255</v>
      </c>
      <c r="B1299" s="14">
        <v>284000</v>
      </c>
      <c r="C1299" s="14">
        <v>302500</v>
      </c>
      <c r="D1299" s="14">
        <v>204500</v>
      </c>
      <c r="E1299" s="14">
        <v>249562</v>
      </c>
      <c r="F1299" s="14">
        <v>157700</v>
      </c>
      <c r="G1299" s="14">
        <v>194658</v>
      </c>
      <c r="H1299" s="14">
        <v>148000</v>
      </c>
      <c r="I1299" s="14">
        <v>174000</v>
      </c>
      <c r="J1299" s="14">
        <v>3120</v>
      </c>
      <c r="K1299" s="14">
        <v>3700</v>
      </c>
      <c r="N1299" s="42">
        <f t="shared" si="56"/>
        <v>18500</v>
      </c>
      <c r="O1299" s="43">
        <f t="shared" si="57"/>
        <v>6.1157024793388429E-2</v>
      </c>
    </row>
    <row r="1300" spans="1:15" x14ac:dyDescent="0.45">
      <c r="A1300" s="12" t="s">
        <v>31256</v>
      </c>
      <c r="B1300" s="14">
        <v>284000</v>
      </c>
      <c r="C1300" s="14">
        <v>302500</v>
      </c>
      <c r="D1300" s="14">
        <v>204500</v>
      </c>
      <c r="E1300" s="14">
        <v>249562</v>
      </c>
      <c r="F1300" s="14">
        <v>157700</v>
      </c>
      <c r="G1300" s="14">
        <v>194658</v>
      </c>
      <c r="H1300" s="14">
        <v>149000</v>
      </c>
      <c r="I1300" s="14">
        <v>175000</v>
      </c>
      <c r="J1300" s="14">
        <v>3120</v>
      </c>
      <c r="K1300" s="14">
        <v>3700</v>
      </c>
      <c r="N1300" s="42">
        <f t="shared" si="56"/>
        <v>18500</v>
      </c>
      <c r="O1300" s="43">
        <f t="shared" si="57"/>
        <v>6.1157024793388429E-2</v>
      </c>
    </row>
    <row r="1301" spans="1:15" x14ac:dyDescent="0.45">
      <c r="A1301" s="12" t="s">
        <v>31257</v>
      </c>
      <c r="B1301" s="14">
        <v>284000</v>
      </c>
      <c r="C1301" s="14">
        <v>303500</v>
      </c>
      <c r="D1301" s="14">
        <v>204500</v>
      </c>
      <c r="E1301" s="14">
        <v>250387</v>
      </c>
      <c r="F1301" s="14">
        <v>157700</v>
      </c>
      <c r="G1301" s="14">
        <v>195302</v>
      </c>
      <c r="H1301" s="14">
        <v>149000</v>
      </c>
      <c r="I1301" s="14">
        <v>176000</v>
      </c>
      <c r="J1301" s="14">
        <v>3160</v>
      </c>
      <c r="K1301" s="14">
        <v>3760</v>
      </c>
      <c r="N1301" s="42">
        <f t="shared" si="56"/>
        <v>19500</v>
      </c>
      <c r="O1301" s="43">
        <f t="shared" si="57"/>
        <v>6.4250411861614495E-2</v>
      </c>
    </row>
    <row r="1302" spans="1:15" x14ac:dyDescent="0.45">
      <c r="A1302" s="12" t="s">
        <v>31258</v>
      </c>
      <c r="B1302" s="14">
        <v>284000</v>
      </c>
      <c r="C1302" s="14">
        <v>303500</v>
      </c>
      <c r="D1302" s="14">
        <v>204500</v>
      </c>
      <c r="E1302" s="14">
        <v>250387</v>
      </c>
      <c r="F1302" s="14">
        <v>157700</v>
      </c>
      <c r="G1302" s="14">
        <v>195302</v>
      </c>
      <c r="H1302" s="14">
        <v>149000</v>
      </c>
      <c r="I1302" s="14">
        <v>176000</v>
      </c>
      <c r="J1302" s="14">
        <v>3170</v>
      </c>
      <c r="K1302" s="14">
        <v>3760</v>
      </c>
      <c r="N1302" s="42">
        <f t="shared" si="56"/>
        <v>19500</v>
      </c>
      <c r="O1302" s="43">
        <f t="shared" si="57"/>
        <v>6.4250411861614495E-2</v>
      </c>
    </row>
    <row r="1303" spans="1:15" x14ac:dyDescent="0.45">
      <c r="A1303" s="12" t="s">
        <v>31259</v>
      </c>
      <c r="B1303" s="14">
        <v>283500</v>
      </c>
      <c r="C1303" s="14">
        <v>303000</v>
      </c>
      <c r="D1303" s="14">
        <v>204200</v>
      </c>
      <c r="E1303" s="14">
        <v>249975</v>
      </c>
      <c r="F1303" s="14">
        <v>157400</v>
      </c>
      <c r="G1303" s="14">
        <v>194980</v>
      </c>
      <c r="H1303" s="14">
        <v>147000</v>
      </c>
      <c r="I1303" s="14">
        <v>173000</v>
      </c>
      <c r="J1303" s="14">
        <v>3150</v>
      </c>
      <c r="K1303" s="14">
        <v>3730</v>
      </c>
      <c r="N1303" s="42">
        <f t="shared" si="56"/>
        <v>19500</v>
      </c>
      <c r="O1303" s="43">
        <f t="shared" si="57"/>
        <v>6.4356435643564358E-2</v>
      </c>
    </row>
    <row r="1304" spans="1:15" x14ac:dyDescent="0.45">
      <c r="A1304" s="12" t="s">
        <v>31260</v>
      </c>
      <c r="B1304" s="14">
        <v>283500</v>
      </c>
      <c r="C1304" s="14">
        <v>303000</v>
      </c>
      <c r="D1304" s="14">
        <v>204200</v>
      </c>
      <c r="E1304" s="14">
        <v>249975</v>
      </c>
      <c r="F1304" s="14">
        <v>157400</v>
      </c>
      <c r="G1304" s="14">
        <v>194980</v>
      </c>
      <c r="H1304" s="14">
        <v>147000</v>
      </c>
      <c r="I1304" s="14">
        <v>173000</v>
      </c>
      <c r="J1304" s="14">
        <v>3150</v>
      </c>
      <c r="K1304" s="14">
        <v>3730</v>
      </c>
      <c r="N1304" s="42">
        <f t="shared" si="56"/>
        <v>19500</v>
      </c>
      <c r="O1304" s="43">
        <f t="shared" si="57"/>
        <v>6.4356435643564358E-2</v>
      </c>
    </row>
    <row r="1305" spans="1:15" x14ac:dyDescent="0.45">
      <c r="A1305" s="12" t="s">
        <v>31261</v>
      </c>
      <c r="B1305" s="14">
        <v>283500</v>
      </c>
      <c r="C1305" s="14">
        <v>305000</v>
      </c>
      <c r="D1305" s="14">
        <v>204200</v>
      </c>
      <c r="E1305" s="14">
        <v>251625</v>
      </c>
      <c r="F1305" s="14">
        <v>157400</v>
      </c>
      <c r="G1305" s="14">
        <v>196267</v>
      </c>
      <c r="H1305" s="14">
        <v>149000</v>
      </c>
      <c r="I1305" s="14">
        <v>176000</v>
      </c>
      <c r="J1305" s="14">
        <v>3270</v>
      </c>
      <c r="K1305" s="14">
        <v>3890</v>
      </c>
      <c r="N1305" s="42">
        <f t="shared" si="56"/>
        <v>21500</v>
      </c>
      <c r="O1305" s="43">
        <f t="shared" si="57"/>
        <v>7.0491803278688522E-2</v>
      </c>
    </row>
    <row r="1306" spans="1:15" x14ac:dyDescent="0.45">
      <c r="A1306" s="12" t="s">
        <v>31262</v>
      </c>
      <c r="B1306" s="14">
        <v>285500</v>
      </c>
      <c r="C1306" s="14">
        <v>307000</v>
      </c>
      <c r="D1306" s="14">
        <v>205600</v>
      </c>
      <c r="E1306" s="14">
        <v>253275</v>
      </c>
      <c r="F1306" s="14">
        <v>158500</v>
      </c>
      <c r="G1306" s="14">
        <v>197554</v>
      </c>
      <c r="H1306" s="14">
        <v>148000</v>
      </c>
      <c r="I1306" s="14">
        <v>174000</v>
      </c>
      <c r="J1306" s="14">
        <v>3290</v>
      </c>
      <c r="K1306" s="14">
        <v>3920</v>
      </c>
      <c r="N1306" s="42">
        <f t="shared" si="56"/>
        <v>21500</v>
      </c>
      <c r="O1306" s="43">
        <f t="shared" si="57"/>
        <v>7.0032573289902283E-2</v>
      </c>
    </row>
    <row r="1307" spans="1:15" x14ac:dyDescent="0.45">
      <c r="A1307" s="12" t="s">
        <v>31263</v>
      </c>
      <c r="B1307" s="14">
        <v>285500</v>
      </c>
      <c r="C1307" s="14">
        <v>306000</v>
      </c>
      <c r="D1307" s="14">
        <v>205600</v>
      </c>
      <c r="E1307" s="14">
        <v>252450</v>
      </c>
      <c r="F1307" s="14">
        <v>158500</v>
      </c>
      <c r="G1307" s="14">
        <v>196911</v>
      </c>
      <c r="H1307" s="14">
        <v>147000</v>
      </c>
      <c r="I1307" s="14">
        <v>173000</v>
      </c>
      <c r="J1307" s="14">
        <v>3290</v>
      </c>
      <c r="K1307" s="14">
        <v>3920</v>
      </c>
      <c r="N1307" s="42">
        <f t="shared" si="56"/>
        <v>20500</v>
      </c>
      <c r="O1307" s="43">
        <f t="shared" si="57"/>
        <v>6.699346405228758E-2</v>
      </c>
    </row>
    <row r="1308" spans="1:15" x14ac:dyDescent="0.45">
      <c r="A1308" s="12" t="s">
        <v>31264</v>
      </c>
      <c r="B1308" s="14">
        <v>285000</v>
      </c>
      <c r="C1308" s="14">
        <v>304000</v>
      </c>
      <c r="D1308" s="14">
        <v>205200</v>
      </c>
      <c r="E1308" s="14">
        <v>250800</v>
      </c>
      <c r="F1308" s="14">
        <v>158200</v>
      </c>
      <c r="G1308" s="14">
        <v>195624</v>
      </c>
      <c r="H1308" s="14">
        <v>147000</v>
      </c>
      <c r="I1308" s="14">
        <v>173000</v>
      </c>
      <c r="J1308" s="14">
        <v>3250</v>
      </c>
      <c r="K1308" s="14">
        <v>3980</v>
      </c>
      <c r="N1308" s="42">
        <f t="shared" si="56"/>
        <v>19000</v>
      </c>
      <c r="O1308" s="43">
        <f t="shared" si="57"/>
        <v>6.25E-2</v>
      </c>
    </row>
    <row r="1309" spans="1:15" x14ac:dyDescent="0.45">
      <c r="A1309" s="12" t="s">
        <v>31265</v>
      </c>
      <c r="B1309" s="14">
        <v>285000</v>
      </c>
      <c r="C1309" s="14">
        <v>304000</v>
      </c>
      <c r="D1309" s="14">
        <v>205200</v>
      </c>
      <c r="E1309" s="14">
        <v>250800</v>
      </c>
      <c r="F1309" s="14">
        <v>158200</v>
      </c>
      <c r="G1309" s="14">
        <v>195624</v>
      </c>
      <c r="H1309" s="14">
        <v>147000</v>
      </c>
      <c r="I1309" s="14">
        <v>173000</v>
      </c>
      <c r="J1309" s="14">
        <v>3350</v>
      </c>
      <c r="K1309" s="14">
        <v>3980</v>
      </c>
      <c r="N1309" s="42">
        <f t="shared" si="56"/>
        <v>19000</v>
      </c>
      <c r="O1309" s="43">
        <f t="shared" si="57"/>
        <v>6.25E-2</v>
      </c>
    </row>
    <row r="1310" spans="1:15" x14ac:dyDescent="0.45">
      <c r="A1310" s="12" t="s">
        <v>31266</v>
      </c>
      <c r="B1310" s="14">
        <v>285000</v>
      </c>
      <c r="C1310" s="14">
        <v>304000</v>
      </c>
      <c r="D1310" s="14">
        <v>205200</v>
      </c>
      <c r="E1310" s="14">
        <v>250800</v>
      </c>
      <c r="F1310" s="14">
        <v>158200</v>
      </c>
      <c r="G1310" s="14">
        <v>195624</v>
      </c>
      <c r="H1310" s="14">
        <v>148000</v>
      </c>
      <c r="I1310" s="14">
        <v>175000</v>
      </c>
      <c r="J1310" s="14">
        <v>3370</v>
      </c>
      <c r="K1310" s="14">
        <v>3990</v>
      </c>
      <c r="N1310" s="42">
        <f t="shared" si="56"/>
        <v>19000</v>
      </c>
      <c r="O1310" s="43">
        <f t="shared" si="57"/>
        <v>6.25E-2</v>
      </c>
    </row>
    <row r="1311" spans="1:15" x14ac:dyDescent="0.45">
      <c r="A1311" s="12" t="s">
        <v>31267</v>
      </c>
      <c r="B1311" s="14">
        <v>284500</v>
      </c>
      <c r="C1311" s="14">
        <v>303000</v>
      </c>
      <c r="D1311" s="14">
        <v>204900</v>
      </c>
      <c r="E1311" s="14">
        <v>249975</v>
      </c>
      <c r="F1311" s="14">
        <v>157900</v>
      </c>
      <c r="G1311" s="14">
        <v>194980</v>
      </c>
      <c r="H1311" s="14">
        <v>146000</v>
      </c>
      <c r="I1311" s="14">
        <v>172000</v>
      </c>
      <c r="J1311" s="14">
        <v>3330</v>
      </c>
      <c r="K1311" s="14">
        <v>3930</v>
      </c>
      <c r="N1311" s="42">
        <f t="shared" si="56"/>
        <v>18500</v>
      </c>
      <c r="O1311" s="43">
        <f t="shared" si="57"/>
        <v>6.1056105610561059E-2</v>
      </c>
    </row>
    <row r="1312" spans="1:15" x14ac:dyDescent="0.45">
      <c r="A1312" s="12" t="s">
        <v>31268</v>
      </c>
      <c r="B1312" s="14">
        <v>283000</v>
      </c>
      <c r="C1312" s="14">
        <v>301000</v>
      </c>
      <c r="D1312" s="14">
        <v>203800</v>
      </c>
      <c r="E1312" s="14">
        <v>248325</v>
      </c>
      <c r="F1312" s="14">
        <v>157100</v>
      </c>
      <c r="G1312" s="14">
        <v>193693</v>
      </c>
      <c r="H1312" s="14">
        <v>140000</v>
      </c>
      <c r="I1312" s="14">
        <v>164000</v>
      </c>
      <c r="J1312" s="14">
        <v>3240</v>
      </c>
      <c r="K1312" s="14">
        <v>3820</v>
      </c>
      <c r="N1312" s="42">
        <f t="shared" si="56"/>
        <v>18000</v>
      </c>
      <c r="O1312" s="43">
        <f t="shared" si="57"/>
        <v>5.9800664451827246E-2</v>
      </c>
    </row>
    <row r="1313" spans="1:15" x14ac:dyDescent="0.45">
      <c r="A1313" s="12" t="s">
        <v>31269</v>
      </c>
      <c r="B1313" s="14">
        <v>283000</v>
      </c>
      <c r="C1313" s="14">
        <v>302000</v>
      </c>
      <c r="D1313" s="14">
        <v>203800</v>
      </c>
      <c r="E1313" s="14">
        <v>249150</v>
      </c>
      <c r="F1313" s="14">
        <v>157100</v>
      </c>
      <c r="G1313" s="14">
        <v>194337</v>
      </c>
      <c r="H1313" s="14">
        <v>139000</v>
      </c>
      <c r="I1313" s="14">
        <v>163000</v>
      </c>
      <c r="J1313" s="14">
        <v>3180</v>
      </c>
      <c r="K1313" s="14">
        <v>3760</v>
      </c>
      <c r="N1313" s="42">
        <f t="shared" si="56"/>
        <v>19000</v>
      </c>
      <c r="O1313" s="43">
        <f t="shared" si="57"/>
        <v>6.2913907284768214E-2</v>
      </c>
    </row>
    <row r="1314" spans="1:15" x14ac:dyDescent="0.45">
      <c r="A1314" s="12" t="s">
        <v>31270</v>
      </c>
      <c r="B1314" s="14">
        <v>283000</v>
      </c>
      <c r="C1314" s="14">
        <v>301500</v>
      </c>
      <c r="D1314" s="14">
        <v>203800</v>
      </c>
      <c r="E1314" s="14">
        <v>248737</v>
      </c>
      <c r="F1314" s="14">
        <v>157100</v>
      </c>
      <c r="G1314" s="14">
        <v>194015</v>
      </c>
      <c r="H1314" s="14">
        <v>139000</v>
      </c>
      <c r="I1314" s="14">
        <v>163000</v>
      </c>
      <c r="J1314" s="14">
        <v>3170</v>
      </c>
      <c r="K1314" s="14">
        <v>3760</v>
      </c>
      <c r="N1314" s="42">
        <f t="shared" si="56"/>
        <v>18500</v>
      </c>
      <c r="O1314" s="43">
        <f t="shared" si="57"/>
        <v>6.1359867330016582E-2</v>
      </c>
    </row>
    <row r="1315" spans="1:15" x14ac:dyDescent="0.45">
      <c r="A1315" s="12" t="s">
        <v>31271</v>
      </c>
      <c r="B1315" s="14">
        <v>284000</v>
      </c>
      <c r="C1315" s="14">
        <v>301500</v>
      </c>
      <c r="D1315" s="14">
        <v>204500</v>
      </c>
      <c r="E1315" s="14">
        <v>248737</v>
      </c>
      <c r="F1315" s="14">
        <v>157700</v>
      </c>
      <c r="G1315" s="14">
        <v>194015</v>
      </c>
      <c r="H1315" s="14">
        <v>139000</v>
      </c>
      <c r="I1315" s="14">
        <v>163000</v>
      </c>
      <c r="J1315" s="14">
        <v>3170</v>
      </c>
      <c r="K1315" s="14">
        <v>3760</v>
      </c>
      <c r="N1315" s="42">
        <f t="shared" si="56"/>
        <v>17500</v>
      </c>
      <c r="O1315" s="43">
        <f t="shared" si="57"/>
        <v>5.8043117744610281E-2</v>
      </c>
    </row>
    <row r="1316" spans="1:15" x14ac:dyDescent="0.45">
      <c r="A1316" s="12" t="s">
        <v>31272</v>
      </c>
      <c r="B1316" s="14">
        <v>284000</v>
      </c>
      <c r="C1316" s="14">
        <v>301500</v>
      </c>
      <c r="D1316" s="14">
        <v>204500</v>
      </c>
      <c r="E1316" s="14">
        <v>248737</v>
      </c>
      <c r="F1316" s="14">
        <v>157700</v>
      </c>
      <c r="G1316" s="14">
        <v>194015</v>
      </c>
      <c r="H1316" s="14">
        <v>139000</v>
      </c>
      <c r="I1316" s="14">
        <v>164000</v>
      </c>
      <c r="J1316" s="14">
        <v>3190</v>
      </c>
      <c r="K1316" s="14">
        <v>3770</v>
      </c>
      <c r="N1316" s="42">
        <f t="shared" si="56"/>
        <v>17500</v>
      </c>
      <c r="O1316" s="43">
        <f t="shared" si="57"/>
        <v>5.8043117744610281E-2</v>
      </c>
    </row>
    <row r="1317" spans="1:15" x14ac:dyDescent="0.45">
      <c r="A1317" s="12" t="s">
        <v>31273</v>
      </c>
      <c r="B1317" s="14">
        <v>284000</v>
      </c>
      <c r="C1317" s="14">
        <v>302500</v>
      </c>
      <c r="D1317" s="14">
        <v>204500</v>
      </c>
      <c r="E1317" s="14">
        <v>249562</v>
      </c>
      <c r="F1317" s="14">
        <v>157700</v>
      </c>
      <c r="G1317" s="14">
        <v>194658</v>
      </c>
      <c r="H1317" s="14">
        <v>139000</v>
      </c>
      <c r="I1317" s="14">
        <v>163000</v>
      </c>
      <c r="J1317" s="14">
        <v>3150</v>
      </c>
      <c r="K1317" s="14">
        <v>3720</v>
      </c>
      <c r="N1317" s="42">
        <f t="shared" si="56"/>
        <v>18500</v>
      </c>
      <c r="O1317" s="43">
        <f t="shared" si="57"/>
        <v>6.1157024793388429E-2</v>
      </c>
    </row>
    <row r="1318" spans="1:15" x14ac:dyDescent="0.45">
      <c r="A1318" s="12" t="s">
        <v>31274</v>
      </c>
      <c r="B1318" s="14">
        <v>283000</v>
      </c>
      <c r="C1318" s="14">
        <v>301000</v>
      </c>
      <c r="D1318" s="14">
        <v>203800</v>
      </c>
      <c r="E1318" s="14">
        <v>248325</v>
      </c>
      <c r="F1318" s="14">
        <v>157100</v>
      </c>
      <c r="G1318" s="14">
        <v>193693</v>
      </c>
      <c r="H1318" s="14">
        <v>137000</v>
      </c>
      <c r="I1318" s="14">
        <v>160000</v>
      </c>
      <c r="J1318" s="14">
        <v>3120</v>
      </c>
      <c r="K1318" s="14">
        <v>3690</v>
      </c>
      <c r="N1318" s="42">
        <f t="shared" si="56"/>
        <v>18000</v>
      </c>
      <c r="O1318" s="43">
        <f t="shared" si="57"/>
        <v>5.9800664451827246E-2</v>
      </c>
    </row>
    <row r="1319" spans="1:15" x14ac:dyDescent="0.45">
      <c r="A1319" s="12" t="s">
        <v>31275</v>
      </c>
      <c r="B1319" s="14">
        <v>282500</v>
      </c>
      <c r="C1319" s="14">
        <v>300000</v>
      </c>
      <c r="D1319" s="14">
        <v>203400</v>
      </c>
      <c r="E1319" s="14">
        <v>247500</v>
      </c>
      <c r="F1319" s="14">
        <v>156800</v>
      </c>
      <c r="G1319" s="14">
        <v>193050</v>
      </c>
      <c r="H1319" s="14">
        <v>138000</v>
      </c>
      <c r="I1319" s="14">
        <v>162000</v>
      </c>
      <c r="J1319" s="14">
        <v>3110</v>
      </c>
      <c r="K1319" s="14">
        <v>3670</v>
      </c>
      <c r="N1319" s="42">
        <f t="shared" si="56"/>
        <v>17500</v>
      </c>
      <c r="O1319" s="43">
        <f t="shared" si="57"/>
        <v>5.8333333333333334E-2</v>
      </c>
    </row>
    <row r="1320" spans="1:15" x14ac:dyDescent="0.45">
      <c r="A1320" s="12" t="s">
        <v>31276</v>
      </c>
      <c r="B1320" s="14">
        <v>283000</v>
      </c>
      <c r="C1320" s="14">
        <v>301500</v>
      </c>
      <c r="D1320" s="14">
        <v>203800</v>
      </c>
      <c r="E1320" s="14">
        <v>248737</v>
      </c>
      <c r="F1320" s="14">
        <v>157100</v>
      </c>
      <c r="G1320" s="14">
        <v>194015</v>
      </c>
      <c r="H1320" s="14">
        <v>138000</v>
      </c>
      <c r="I1320" s="14">
        <v>162000</v>
      </c>
      <c r="J1320" s="14">
        <v>3120</v>
      </c>
      <c r="K1320" s="14">
        <v>3680</v>
      </c>
      <c r="N1320" s="42">
        <f t="shared" si="56"/>
        <v>18500</v>
      </c>
      <c r="O1320" s="43">
        <f t="shared" si="57"/>
        <v>6.1359867330016582E-2</v>
      </c>
    </row>
    <row r="1321" spans="1:15" x14ac:dyDescent="0.45">
      <c r="A1321" s="12" t="s">
        <v>31277</v>
      </c>
      <c r="B1321" s="14">
        <v>282500</v>
      </c>
      <c r="C1321" s="14">
        <v>301000</v>
      </c>
      <c r="D1321" s="14">
        <v>203400</v>
      </c>
      <c r="E1321" s="14">
        <v>248325</v>
      </c>
      <c r="F1321" s="14">
        <v>156800</v>
      </c>
      <c r="G1321" s="14">
        <v>193693</v>
      </c>
      <c r="H1321" s="14">
        <v>140000</v>
      </c>
      <c r="I1321" s="14">
        <v>164000</v>
      </c>
      <c r="J1321" s="14">
        <v>3100</v>
      </c>
      <c r="K1321" s="14">
        <v>3670</v>
      </c>
      <c r="N1321" s="42">
        <f t="shared" si="56"/>
        <v>18500</v>
      </c>
      <c r="O1321" s="43">
        <f t="shared" si="57"/>
        <v>6.1461794019933555E-2</v>
      </c>
    </row>
    <row r="1322" spans="1:15" x14ac:dyDescent="0.45">
      <c r="A1322" s="12" t="s">
        <v>31278</v>
      </c>
      <c r="B1322" s="14">
        <v>283500</v>
      </c>
      <c r="C1322" s="14">
        <v>302000</v>
      </c>
      <c r="D1322" s="14">
        <v>204200</v>
      </c>
      <c r="E1322" s="14">
        <v>249150</v>
      </c>
      <c r="F1322" s="14">
        <v>157400</v>
      </c>
      <c r="G1322" s="14">
        <v>194337</v>
      </c>
      <c r="H1322" s="14">
        <v>142000</v>
      </c>
      <c r="I1322" s="14">
        <v>166000</v>
      </c>
      <c r="J1322" s="14">
        <v>3170</v>
      </c>
      <c r="K1322" s="14">
        <v>3760</v>
      </c>
      <c r="N1322" s="42">
        <f t="shared" si="56"/>
        <v>18500</v>
      </c>
      <c r="O1322" s="43">
        <f t="shared" si="57"/>
        <v>6.1258278145695365E-2</v>
      </c>
    </row>
    <row r="1323" spans="1:15" x14ac:dyDescent="0.45">
      <c r="A1323" s="12" t="s">
        <v>31279</v>
      </c>
      <c r="B1323" s="14">
        <v>283500</v>
      </c>
      <c r="C1323" s="14">
        <v>302000</v>
      </c>
      <c r="D1323" s="14">
        <v>204200</v>
      </c>
      <c r="E1323" s="14">
        <v>249150</v>
      </c>
      <c r="F1323" s="14">
        <v>157400</v>
      </c>
      <c r="G1323" s="14">
        <v>194337</v>
      </c>
      <c r="H1323" s="14">
        <v>140000</v>
      </c>
      <c r="I1323" s="14">
        <v>164000</v>
      </c>
      <c r="J1323" s="14">
        <v>3200</v>
      </c>
      <c r="K1323" s="14">
        <v>3790</v>
      </c>
      <c r="N1323" s="42">
        <f t="shared" si="56"/>
        <v>18500</v>
      </c>
      <c r="O1323" s="43">
        <f t="shared" si="57"/>
        <v>6.1258278145695365E-2</v>
      </c>
    </row>
    <row r="1324" spans="1:15" x14ac:dyDescent="0.45">
      <c r="A1324" s="12" t="s">
        <v>31280</v>
      </c>
      <c r="B1324" s="14">
        <v>282500</v>
      </c>
      <c r="C1324" s="14">
        <v>300500</v>
      </c>
      <c r="D1324" s="14">
        <v>203400</v>
      </c>
      <c r="E1324" s="14">
        <v>247912</v>
      </c>
      <c r="F1324" s="14">
        <v>156800</v>
      </c>
      <c r="G1324" s="14">
        <v>193371</v>
      </c>
      <c r="H1324" s="14">
        <v>137000</v>
      </c>
      <c r="I1324" s="14">
        <v>161000</v>
      </c>
      <c r="J1324" s="14">
        <v>3170</v>
      </c>
      <c r="K1324" s="14">
        <v>3760</v>
      </c>
      <c r="N1324" s="42">
        <f t="shared" si="56"/>
        <v>18000</v>
      </c>
      <c r="O1324" s="43">
        <f t="shared" si="57"/>
        <v>5.9900166389351084E-2</v>
      </c>
    </row>
    <row r="1325" spans="1:15" x14ac:dyDescent="0.45">
      <c r="A1325" s="12" t="s">
        <v>31281</v>
      </c>
      <c r="B1325" s="14">
        <v>284000</v>
      </c>
      <c r="C1325" s="14">
        <v>303000</v>
      </c>
      <c r="D1325" s="14">
        <v>204500</v>
      </c>
      <c r="E1325" s="14">
        <v>249975</v>
      </c>
      <c r="F1325" s="14">
        <v>157700</v>
      </c>
      <c r="G1325" s="14">
        <v>194980</v>
      </c>
      <c r="H1325" s="14">
        <v>139000</v>
      </c>
      <c r="I1325" s="14">
        <v>163000</v>
      </c>
      <c r="J1325" s="14">
        <v>3210</v>
      </c>
      <c r="K1325" s="14">
        <v>3800</v>
      </c>
      <c r="N1325" s="42">
        <f t="shared" ref="N1325:N1388" si="58">C1325-B1325</f>
        <v>19000</v>
      </c>
      <c r="O1325" s="43">
        <f t="shared" ref="O1325:O1388" si="59">N1325/C1325</f>
        <v>6.2706270627062702E-2</v>
      </c>
    </row>
    <row r="1326" spans="1:15" x14ac:dyDescent="0.45">
      <c r="A1326" s="12" t="s">
        <v>31282</v>
      </c>
      <c r="B1326" s="14">
        <v>284000</v>
      </c>
      <c r="C1326" s="14">
        <v>303000</v>
      </c>
      <c r="D1326" s="14">
        <v>204500</v>
      </c>
      <c r="E1326" s="14">
        <v>249975</v>
      </c>
      <c r="F1326" s="14">
        <v>157700</v>
      </c>
      <c r="G1326" s="14">
        <v>194980</v>
      </c>
      <c r="H1326" s="14">
        <v>138000</v>
      </c>
      <c r="I1326" s="14">
        <v>162000</v>
      </c>
      <c r="J1326" s="14">
        <v>3210</v>
      </c>
      <c r="K1326" s="14">
        <v>3800</v>
      </c>
      <c r="N1326" s="42">
        <f t="shared" si="58"/>
        <v>19000</v>
      </c>
      <c r="O1326" s="43">
        <f t="shared" si="59"/>
        <v>6.2706270627062702E-2</v>
      </c>
    </row>
    <row r="1327" spans="1:15" x14ac:dyDescent="0.45">
      <c r="A1327" s="12" t="s">
        <v>31283</v>
      </c>
      <c r="B1327" s="14">
        <v>283000</v>
      </c>
      <c r="C1327" s="14">
        <v>302000</v>
      </c>
      <c r="D1327" s="14">
        <v>203800</v>
      </c>
      <c r="E1327" s="14">
        <v>249150</v>
      </c>
      <c r="F1327" s="14">
        <v>157100</v>
      </c>
      <c r="G1327" s="14">
        <v>194337</v>
      </c>
      <c r="H1327" s="14">
        <v>138000</v>
      </c>
      <c r="I1327" s="14">
        <v>161000</v>
      </c>
      <c r="J1327" s="14">
        <v>3190</v>
      </c>
      <c r="K1327" s="14">
        <v>3770</v>
      </c>
      <c r="N1327" s="42">
        <f t="shared" si="58"/>
        <v>19000</v>
      </c>
      <c r="O1327" s="43">
        <f t="shared" si="59"/>
        <v>6.2913907284768214E-2</v>
      </c>
    </row>
    <row r="1328" spans="1:15" x14ac:dyDescent="0.45">
      <c r="A1328" s="12" t="s">
        <v>31284</v>
      </c>
      <c r="B1328" s="14">
        <v>282000</v>
      </c>
      <c r="C1328" s="14">
        <v>298000</v>
      </c>
      <c r="D1328" s="14">
        <v>203100</v>
      </c>
      <c r="E1328" s="14">
        <v>245850</v>
      </c>
      <c r="F1328" s="14">
        <v>156600</v>
      </c>
      <c r="G1328" s="14">
        <v>191763</v>
      </c>
      <c r="H1328" s="14">
        <v>138000</v>
      </c>
      <c r="I1328" s="14">
        <v>162000</v>
      </c>
      <c r="J1328" s="14">
        <v>3130</v>
      </c>
      <c r="K1328" s="14">
        <v>3700</v>
      </c>
      <c r="N1328" s="42">
        <f t="shared" si="58"/>
        <v>16000</v>
      </c>
      <c r="O1328" s="43">
        <f t="shared" si="59"/>
        <v>5.3691275167785234E-2</v>
      </c>
    </row>
    <row r="1329" spans="1:15" x14ac:dyDescent="0.45">
      <c r="A1329" s="12" t="s">
        <v>31285</v>
      </c>
      <c r="B1329" s="14">
        <v>282000</v>
      </c>
      <c r="C1329" s="14">
        <v>299000</v>
      </c>
      <c r="D1329" s="14">
        <v>203100</v>
      </c>
      <c r="E1329" s="14">
        <v>246675</v>
      </c>
      <c r="F1329" s="14">
        <v>156600</v>
      </c>
      <c r="G1329" s="14">
        <v>192406</v>
      </c>
      <c r="H1329" s="14">
        <v>138000</v>
      </c>
      <c r="I1329" s="14">
        <v>162000</v>
      </c>
      <c r="J1329" s="14">
        <v>3170</v>
      </c>
      <c r="K1329" s="14">
        <v>3750</v>
      </c>
      <c r="N1329" s="42">
        <f t="shared" si="58"/>
        <v>17000</v>
      </c>
      <c r="O1329" s="43">
        <f t="shared" si="59"/>
        <v>5.6856187290969896E-2</v>
      </c>
    </row>
    <row r="1330" spans="1:15" x14ac:dyDescent="0.45">
      <c r="A1330" s="12" t="s">
        <v>31286</v>
      </c>
      <c r="B1330" s="14">
        <v>282000</v>
      </c>
      <c r="C1330" s="14">
        <v>299000</v>
      </c>
      <c r="D1330" s="14">
        <v>203100</v>
      </c>
      <c r="E1330" s="14">
        <v>246675</v>
      </c>
      <c r="F1330" s="14">
        <v>156600</v>
      </c>
      <c r="G1330" s="14">
        <v>192406</v>
      </c>
      <c r="H1330" s="14">
        <v>138000</v>
      </c>
      <c r="I1330" s="14">
        <v>162000</v>
      </c>
      <c r="J1330" s="14">
        <v>3150</v>
      </c>
      <c r="K1330" s="14">
        <v>3720</v>
      </c>
      <c r="N1330" s="42">
        <f t="shared" si="58"/>
        <v>17000</v>
      </c>
      <c r="O1330" s="43">
        <f t="shared" si="59"/>
        <v>5.6856187290969896E-2</v>
      </c>
    </row>
    <row r="1331" spans="1:15" x14ac:dyDescent="0.45">
      <c r="A1331" s="12" t="s">
        <v>31287</v>
      </c>
      <c r="B1331" s="14">
        <v>282000</v>
      </c>
      <c r="C1331" s="14">
        <v>299500</v>
      </c>
      <c r="D1331" s="14">
        <v>203100</v>
      </c>
      <c r="E1331" s="14">
        <v>247087</v>
      </c>
      <c r="F1331" s="14">
        <v>156600</v>
      </c>
      <c r="G1331" s="14">
        <v>192728</v>
      </c>
      <c r="H1331" s="14">
        <v>139000</v>
      </c>
      <c r="I1331" s="14">
        <v>163000</v>
      </c>
      <c r="J1331" s="14">
        <v>3170</v>
      </c>
      <c r="K1331" s="14">
        <v>3750</v>
      </c>
      <c r="N1331" s="42">
        <f t="shared" si="58"/>
        <v>17500</v>
      </c>
      <c r="O1331" s="43">
        <f t="shared" si="59"/>
        <v>5.8430717863105178E-2</v>
      </c>
    </row>
    <row r="1332" spans="1:15" x14ac:dyDescent="0.45">
      <c r="A1332" s="12" t="s">
        <v>31288</v>
      </c>
      <c r="B1332" s="14">
        <v>282000</v>
      </c>
      <c r="C1332" s="14">
        <v>300000</v>
      </c>
      <c r="D1332" s="14">
        <v>203100</v>
      </c>
      <c r="E1332" s="14">
        <v>247500</v>
      </c>
      <c r="F1332" s="14">
        <v>156600</v>
      </c>
      <c r="G1332" s="14">
        <v>193050</v>
      </c>
      <c r="H1332" s="14">
        <v>138000</v>
      </c>
      <c r="I1332" s="14">
        <v>162000</v>
      </c>
      <c r="J1332" s="14">
        <v>3160</v>
      </c>
      <c r="K1332" s="14">
        <v>3730</v>
      </c>
      <c r="N1332" s="42">
        <f t="shared" si="58"/>
        <v>18000</v>
      </c>
      <c r="O1332" s="43">
        <f t="shared" si="59"/>
        <v>0.06</v>
      </c>
    </row>
    <row r="1333" spans="1:15" x14ac:dyDescent="0.45">
      <c r="A1333" s="12" t="s">
        <v>31289</v>
      </c>
      <c r="B1333" s="14">
        <v>281500</v>
      </c>
      <c r="C1333" s="14">
        <v>299000</v>
      </c>
      <c r="D1333" s="14">
        <v>202700</v>
      </c>
      <c r="E1333" s="14">
        <v>246675</v>
      </c>
      <c r="F1333" s="14">
        <v>156300</v>
      </c>
      <c r="G1333" s="14">
        <v>192406</v>
      </c>
      <c r="H1333" s="14">
        <v>138000</v>
      </c>
      <c r="I1333" s="14">
        <v>161000</v>
      </c>
      <c r="J1333" s="14">
        <v>3140</v>
      </c>
      <c r="K1333" s="14">
        <v>3700</v>
      </c>
      <c r="N1333" s="42">
        <f t="shared" si="58"/>
        <v>17500</v>
      </c>
      <c r="O1333" s="43">
        <f t="shared" si="59"/>
        <v>5.8528428093645488E-2</v>
      </c>
    </row>
    <row r="1334" spans="1:15" x14ac:dyDescent="0.45">
      <c r="A1334" s="12" t="s">
        <v>31290</v>
      </c>
      <c r="B1334" s="14">
        <v>281000</v>
      </c>
      <c r="C1334" s="14">
        <v>297500</v>
      </c>
      <c r="D1334" s="14">
        <v>202400</v>
      </c>
      <c r="E1334" s="14">
        <v>245437</v>
      </c>
      <c r="F1334" s="14">
        <v>156000</v>
      </c>
      <c r="G1334" s="14">
        <v>191441</v>
      </c>
      <c r="H1334" s="14">
        <v>134000</v>
      </c>
      <c r="I1334" s="14">
        <v>156000</v>
      </c>
      <c r="J1334" s="14">
        <v>3110</v>
      </c>
      <c r="K1334" s="14">
        <v>3670</v>
      </c>
      <c r="N1334" s="42">
        <f t="shared" si="58"/>
        <v>16500</v>
      </c>
      <c r="O1334" s="43">
        <f t="shared" si="59"/>
        <v>5.5462184873949577E-2</v>
      </c>
    </row>
    <row r="1335" spans="1:15" x14ac:dyDescent="0.45">
      <c r="A1335" s="12" t="s">
        <v>31291</v>
      </c>
      <c r="B1335" s="14">
        <v>281000</v>
      </c>
      <c r="C1335" s="14">
        <v>297500</v>
      </c>
      <c r="D1335" s="14">
        <v>202400</v>
      </c>
      <c r="E1335" s="14">
        <v>245437</v>
      </c>
      <c r="F1335" s="14">
        <v>156000</v>
      </c>
      <c r="G1335" s="14">
        <v>191441</v>
      </c>
      <c r="H1335" s="14">
        <v>133000</v>
      </c>
      <c r="I1335" s="14">
        <v>155000</v>
      </c>
      <c r="J1335" s="14">
        <v>3070</v>
      </c>
      <c r="K1335" s="14">
        <v>3640</v>
      </c>
      <c r="N1335" s="42">
        <f t="shared" si="58"/>
        <v>16500</v>
      </c>
      <c r="O1335" s="43">
        <f t="shared" si="59"/>
        <v>5.5462184873949577E-2</v>
      </c>
    </row>
    <row r="1336" spans="1:15" x14ac:dyDescent="0.45">
      <c r="A1336" s="12" t="s">
        <v>31292</v>
      </c>
      <c r="B1336" s="14">
        <v>281000</v>
      </c>
      <c r="C1336" s="14">
        <v>298500</v>
      </c>
      <c r="D1336" s="14">
        <v>202400</v>
      </c>
      <c r="E1336" s="14">
        <v>246262</v>
      </c>
      <c r="F1336" s="14">
        <v>156000</v>
      </c>
      <c r="G1336" s="14">
        <v>192084</v>
      </c>
      <c r="H1336" s="14">
        <v>133000</v>
      </c>
      <c r="I1336" s="14">
        <v>156000</v>
      </c>
      <c r="J1336" s="14">
        <v>3080</v>
      </c>
      <c r="K1336" s="14">
        <v>3660</v>
      </c>
      <c r="N1336" s="42">
        <f t="shared" si="58"/>
        <v>17500</v>
      </c>
      <c r="O1336" s="43">
        <f t="shared" si="59"/>
        <v>5.8626465661641543E-2</v>
      </c>
    </row>
    <row r="1337" spans="1:15" x14ac:dyDescent="0.45">
      <c r="A1337" s="12" t="s">
        <v>31293</v>
      </c>
      <c r="B1337" s="14">
        <v>281000</v>
      </c>
      <c r="C1337" s="14">
        <v>298500</v>
      </c>
      <c r="D1337" s="14">
        <v>202400</v>
      </c>
      <c r="E1337" s="14">
        <v>246262</v>
      </c>
      <c r="F1337" s="14">
        <v>156000</v>
      </c>
      <c r="G1337" s="14">
        <v>192084</v>
      </c>
      <c r="H1337" s="14">
        <v>133000</v>
      </c>
      <c r="I1337" s="14">
        <v>156000</v>
      </c>
      <c r="J1337" s="14">
        <v>3080</v>
      </c>
      <c r="K1337" s="14">
        <v>3660</v>
      </c>
      <c r="N1337" s="42">
        <f t="shared" si="58"/>
        <v>17500</v>
      </c>
      <c r="O1337" s="43">
        <f t="shared" si="59"/>
        <v>5.8626465661641543E-2</v>
      </c>
    </row>
    <row r="1338" spans="1:15" x14ac:dyDescent="0.45">
      <c r="A1338" s="12" t="s">
        <v>31294</v>
      </c>
      <c r="B1338" s="14">
        <v>280500</v>
      </c>
      <c r="C1338" s="14">
        <v>298000</v>
      </c>
      <c r="D1338" s="14">
        <v>202000</v>
      </c>
      <c r="E1338" s="14">
        <v>245850</v>
      </c>
      <c r="F1338" s="14">
        <v>155700</v>
      </c>
      <c r="G1338" s="14">
        <v>191763</v>
      </c>
      <c r="H1338" s="14">
        <v>134000</v>
      </c>
      <c r="I1338" s="14">
        <v>156000</v>
      </c>
      <c r="J1338" s="14">
        <v>3090</v>
      </c>
      <c r="K1338" s="14">
        <v>3660</v>
      </c>
      <c r="N1338" s="42">
        <f t="shared" si="58"/>
        <v>17500</v>
      </c>
      <c r="O1338" s="43">
        <f t="shared" si="59"/>
        <v>5.8724832214765099E-2</v>
      </c>
    </row>
    <row r="1339" spans="1:15" x14ac:dyDescent="0.45">
      <c r="A1339" s="12" t="s">
        <v>31295</v>
      </c>
      <c r="B1339" s="14">
        <v>279000</v>
      </c>
      <c r="C1339" s="14">
        <v>293500</v>
      </c>
      <c r="D1339" s="14">
        <v>200900</v>
      </c>
      <c r="E1339" s="14">
        <v>242137</v>
      </c>
      <c r="F1339" s="14">
        <v>154900</v>
      </c>
      <c r="G1339" s="14">
        <v>188867</v>
      </c>
      <c r="H1339" s="14">
        <v>132000</v>
      </c>
      <c r="I1339" s="14">
        <v>154000</v>
      </c>
      <c r="J1339" s="14">
        <v>3050</v>
      </c>
      <c r="K1339" s="14">
        <v>3590</v>
      </c>
      <c r="N1339" s="42">
        <f t="shared" si="58"/>
        <v>14500</v>
      </c>
      <c r="O1339" s="43">
        <f t="shared" si="59"/>
        <v>4.9403747870528106E-2</v>
      </c>
    </row>
    <row r="1340" spans="1:15" x14ac:dyDescent="0.45">
      <c r="A1340" s="12" t="s">
        <v>31296</v>
      </c>
      <c r="B1340" s="14">
        <v>280000</v>
      </c>
      <c r="C1340" s="14">
        <v>295000</v>
      </c>
      <c r="D1340" s="14">
        <v>201600</v>
      </c>
      <c r="E1340" s="14">
        <v>243375</v>
      </c>
      <c r="F1340" s="14">
        <v>155400</v>
      </c>
      <c r="G1340" s="14">
        <v>189832</v>
      </c>
      <c r="H1340" s="14">
        <v>132000</v>
      </c>
      <c r="I1340" s="14">
        <v>155000</v>
      </c>
      <c r="J1340" s="14">
        <v>3060</v>
      </c>
      <c r="K1340" s="14">
        <v>3640</v>
      </c>
      <c r="N1340" s="42">
        <f t="shared" si="58"/>
        <v>15000</v>
      </c>
      <c r="O1340" s="43">
        <f t="shared" si="59"/>
        <v>5.0847457627118647E-2</v>
      </c>
    </row>
    <row r="1341" spans="1:15" x14ac:dyDescent="0.45">
      <c r="A1341" s="12" t="s">
        <v>31297</v>
      </c>
      <c r="B1341" s="14">
        <v>280000</v>
      </c>
      <c r="C1341" s="14">
        <v>293500</v>
      </c>
      <c r="D1341" s="14">
        <v>201600</v>
      </c>
      <c r="E1341" s="14">
        <v>242137</v>
      </c>
      <c r="F1341" s="14">
        <v>155400</v>
      </c>
      <c r="G1341" s="14">
        <v>188867</v>
      </c>
      <c r="H1341" s="14">
        <v>134000</v>
      </c>
      <c r="I1341" s="14">
        <v>157000</v>
      </c>
      <c r="J1341" s="14">
        <v>3040</v>
      </c>
      <c r="K1341" s="14">
        <v>3610</v>
      </c>
      <c r="N1341" s="42">
        <f t="shared" si="58"/>
        <v>13500</v>
      </c>
      <c r="O1341" s="43">
        <f t="shared" si="59"/>
        <v>4.5996592844974447E-2</v>
      </c>
    </row>
    <row r="1342" spans="1:15" x14ac:dyDescent="0.45">
      <c r="A1342" s="12" t="s">
        <v>31298</v>
      </c>
      <c r="B1342" s="14">
        <v>280000</v>
      </c>
      <c r="C1342" s="14">
        <v>293500</v>
      </c>
      <c r="D1342" s="14">
        <v>201600</v>
      </c>
      <c r="E1342" s="14">
        <v>242137</v>
      </c>
      <c r="F1342" s="14">
        <v>155400</v>
      </c>
      <c r="G1342" s="14">
        <v>188867</v>
      </c>
      <c r="H1342" s="14">
        <v>134000</v>
      </c>
      <c r="I1342" s="14">
        <v>157000</v>
      </c>
      <c r="J1342" s="14">
        <v>3040</v>
      </c>
      <c r="K1342" s="14">
        <v>3610</v>
      </c>
      <c r="N1342" s="42">
        <f t="shared" si="58"/>
        <v>13500</v>
      </c>
      <c r="O1342" s="43">
        <f t="shared" si="59"/>
        <v>4.5996592844974447E-2</v>
      </c>
    </row>
    <row r="1343" spans="1:15" x14ac:dyDescent="0.45">
      <c r="A1343" s="12" t="s">
        <v>31299</v>
      </c>
      <c r="B1343" s="14">
        <v>279000</v>
      </c>
      <c r="C1343" s="14">
        <v>292500</v>
      </c>
      <c r="D1343" s="14">
        <v>200900</v>
      </c>
      <c r="E1343" s="14">
        <v>241312</v>
      </c>
      <c r="F1343" s="14">
        <v>154900</v>
      </c>
      <c r="G1343" s="14">
        <v>188223</v>
      </c>
      <c r="H1343" s="14">
        <v>133000</v>
      </c>
      <c r="I1343" s="14">
        <v>155000</v>
      </c>
      <c r="J1343" s="14">
        <v>3000</v>
      </c>
      <c r="K1343" s="14">
        <v>3570</v>
      </c>
      <c r="N1343" s="42">
        <f t="shared" si="58"/>
        <v>13500</v>
      </c>
      <c r="O1343" s="43">
        <f t="shared" si="59"/>
        <v>4.6153846153846156E-2</v>
      </c>
    </row>
    <row r="1344" spans="1:15" x14ac:dyDescent="0.45">
      <c r="A1344" s="12" t="s">
        <v>31300</v>
      </c>
      <c r="B1344" s="14">
        <v>279000</v>
      </c>
      <c r="C1344" s="14">
        <v>293000</v>
      </c>
      <c r="D1344" s="14">
        <v>200900</v>
      </c>
      <c r="E1344" s="14">
        <v>241725</v>
      </c>
      <c r="F1344" s="14">
        <v>154900</v>
      </c>
      <c r="G1344" s="14">
        <v>188545</v>
      </c>
      <c r="H1344" s="14">
        <v>135000</v>
      </c>
      <c r="I1344" s="14">
        <v>158000</v>
      </c>
      <c r="J1344" s="14">
        <v>3060</v>
      </c>
      <c r="K1344" s="14">
        <v>3630</v>
      </c>
      <c r="N1344" s="42">
        <f t="shared" si="58"/>
        <v>14000</v>
      </c>
      <c r="O1344" s="43">
        <f t="shared" si="59"/>
        <v>4.778156996587031E-2</v>
      </c>
    </row>
    <row r="1345" spans="1:15" x14ac:dyDescent="0.45">
      <c r="A1345" s="12" t="s">
        <v>31301</v>
      </c>
      <c r="B1345" s="14">
        <v>279000</v>
      </c>
      <c r="C1345" s="14">
        <v>294000</v>
      </c>
      <c r="D1345" s="14">
        <v>200900</v>
      </c>
      <c r="E1345" s="14">
        <v>242550</v>
      </c>
      <c r="F1345" s="14">
        <v>154900</v>
      </c>
      <c r="G1345" s="14">
        <v>189189</v>
      </c>
      <c r="H1345" s="14">
        <v>136000</v>
      </c>
      <c r="I1345" s="14">
        <v>160000</v>
      </c>
      <c r="J1345" s="14">
        <v>3070</v>
      </c>
      <c r="K1345" s="14">
        <v>3650</v>
      </c>
      <c r="N1345" s="42">
        <f t="shared" si="58"/>
        <v>15000</v>
      </c>
      <c r="O1345" s="43">
        <f t="shared" si="59"/>
        <v>5.1020408163265307E-2</v>
      </c>
    </row>
    <row r="1346" spans="1:15" x14ac:dyDescent="0.45">
      <c r="A1346" s="12" t="s">
        <v>31302</v>
      </c>
      <c r="B1346" s="14">
        <v>279000</v>
      </c>
      <c r="C1346" s="14">
        <v>294000</v>
      </c>
      <c r="D1346" s="14">
        <v>200900</v>
      </c>
      <c r="E1346" s="14">
        <v>242550</v>
      </c>
      <c r="F1346" s="14">
        <v>154900</v>
      </c>
      <c r="G1346" s="14">
        <v>189189</v>
      </c>
      <c r="H1346" s="14">
        <v>133000</v>
      </c>
      <c r="I1346" s="14">
        <v>156000</v>
      </c>
      <c r="J1346" s="14">
        <v>3070</v>
      </c>
      <c r="K1346" s="14">
        <v>3650</v>
      </c>
      <c r="N1346" s="42">
        <f t="shared" si="58"/>
        <v>15000</v>
      </c>
      <c r="O1346" s="43">
        <f t="shared" si="59"/>
        <v>5.1020408163265307E-2</v>
      </c>
    </row>
    <row r="1347" spans="1:15" x14ac:dyDescent="0.45">
      <c r="A1347" s="12" t="s">
        <v>31303</v>
      </c>
      <c r="B1347" s="14">
        <v>280000</v>
      </c>
      <c r="C1347" s="14">
        <v>294500</v>
      </c>
      <c r="D1347" s="14">
        <v>201600</v>
      </c>
      <c r="E1347" s="14">
        <v>242962</v>
      </c>
      <c r="F1347" s="14">
        <v>155400</v>
      </c>
      <c r="G1347" s="14">
        <v>189510</v>
      </c>
      <c r="H1347" s="14">
        <v>134000</v>
      </c>
      <c r="I1347" s="14">
        <v>157000</v>
      </c>
      <c r="J1347" s="14">
        <v>3100</v>
      </c>
      <c r="K1347" s="14">
        <v>3690</v>
      </c>
      <c r="N1347" s="42">
        <f t="shared" si="58"/>
        <v>14500</v>
      </c>
      <c r="O1347" s="43">
        <f t="shared" si="59"/>
        <v>4.9235993208828523E-2</v>
      </c>
    </row>
    <row r="1348" spans="1:15" x14ac:dyDescent="0.45">
      <c r="A1348" s="12" t="s">
        <v>31304</v>
      </c>
      <c r="B1348" s="14">
        <v>279500</v>
      </c>
      <c r="C1348" s="14">
        <v>294500</v>
      </c>
      <c r="D1348" s="14">
        <v>201300</v>
      </c>
      <c r="E1348" s="14">
        <v>242962</v>
      </c>
      <c r="F1348" s="14">
        <v>155200</v>
      </c>
      <c r="G1348" s="14">
        <v>189510</v>
      </c>
      <c r="H1348" s="14">
        <v>133000</v>
      </c>
      <c r="I1348" s="14">
        <v>155000</v>
      </c>
      <c r="J1348" s="14">
        <v>3090</v>
      </c>
      <c r="K1348" s="14">
        <v>3660</v>
      </c>
      <c r="N1348" s="42">
        <f t="shared" si="58"/>
        <v>15000</v>
      </c>
      <c r="O1348" s="43">
        <f t="shared" si="59"/>
        <v>5.0933786078098474E-2</v>
      </c>
    </row>
    <row r="1349" spans="1:15" x14ac:dyDescent="0.45">
      <c r="A1349" s="12" t="s">
        <v>31305</v>
      </c>
      <c r="B1349" s="14">
        <v>278500</v>
      </c>
      <c r="C1349" s="14">
        <v>293000</v>
      </c>
      <c r="D1349" s="14">
        <v>200600</v>
      </c>
      <c r="E1349" s="14">
        <v>241725</v>
      </c>
      <c r="F1349" s="14">
        <v>154600</v>
      </c>
      <c r="G1349" s="14">
        <v>188545</v>
      </c>
      <c r="H1349" s="14">
        <v>132000</v>
      </c>
      <c r="I1349" s="14">
        <v>155000</v>
      </c>
      <c r="J1349" s="14">
        <v>3060</v>
      </c>
      <c r="K1349" s="14">
        <v>3640</v>
      </c>
      <c r="N1349" s="42">
        <f t="shared" si="58"/>
        <v>14500</v>
      </c>
      <c r="O1349" s="43">
        <f t="shared" si="59"/>
        <v>4.9488054607508533E-2</v>
      </c>
    </row>
    <row r="1350" spans="1:15" x14ac:dyDescent="0.45">
      <c r="A1350" s="12" t="s">
        <v>31306</v>
      </c>
      <c r="B1350" s="14">
        <v>278500</v>
      </c>
      <c r="C1350" s="14">
        <v>293000</v>
      </c>
      <c r="D1350" s="14">
        <v>200600</v>
      </c>
      <c r="E1350" s="14">
        <v>241725</v>
      </c>
      <c r="F1350" s="14">
        <v>154600</v>
      </c>
      <c r="G1350" s="14">
        <v>188545</v>
      </c>
      <c r="H1350" s="14">
        <v>133000</v>
      </c>
      <c r="I1350" s="14">
        <v>156000</v>
      </c>
      <c r="J1350" s="14">
        <v>3060</v>
      </c>
      <c r="K1350" s="14">
        <v>3650</v>
      </c>
      <c r="N1350" s="42">
        <f t="shared" si="58"/>
        <v>14500</v>
      </c>
      <c r="O1350" s="43">
        <f t="shared" si="59"/>
        <v>4.9488054607508533E-2</v>
      </c>
    </row>
    <row r="1351" spans="1:15" x14ac:dyDescent="0.45">
      <c r="A1351" s="12" t="s">
        <v>31307</v>
      </c>
      <c r="B1351" s="14">
        <v>278500</v>
      </c>
      <c r="C1351" s="14">
        <v>294000</v>
      </c>
      <c r="D1351" s="14">
        <v>200600</v>
      </c>
      <c r="E1351" s="14">
        <v>242550</v>
      </c>
      <c r="F1351" s="14">
        <v>154600</v>
      </c>
      <c r="G1351" s="14">
        <v>189189</v>
      </c>
      <c r="H1351" s="14">
        <v>134000</v>
      </c>
      <c r="I1351" s="14">
        <v>157000</v>
      </c>
      <c r="J1351" s="14">
        <v>3140</v>
      </c>
      <c r="K1351" s="14">
        <v>3720</v>
      </c>
      <c r="N1351" s="42">
        <f t="shared" si="58"/>
        <v>15500</v>
      </c>
      <c r="O1351" s="43">
        <f t="shared" si="59"/>
        <v>5.2721088435374153E-2</v>
      </c>
    </row>
    <row r="1352" spans="1:15" x14ac:dyDescent="0.45">
      <c r="A1352" s="12" t="s">
        <v>31308</v>
      </c>
      <c r="B1352" s="14">
        <v>280000</v>
      </c>
      <c r="C1352" s="14">
        <v>296000</v>
      </c>
      <c r="D1352" s="14">
        <v>201600</v>
      </c>
      <c r="E1352" s="14">
        <v>244200</v>
      </c>
      <c r="F1352" s="14">
        <v>155400</v>
      </c>
      <c r="G1352" s="14">
        <v>190476</v>
      </c>
      <c r="H1352" s="14">
        <v>138000</v>
      </c>
      <c r="I1352" s="14">
        <v>162000</v>
      </c>
      <c r="J1352" s="14">
        <v>3160</v>
      </c>
      <c r="K1352" s="14">
        <v>3760</v>
      </c>
      <c r="N1352" s="42">
        <f t="shared" si="58"/>
        <v>16000</v>
      </c>
      <c r="O1352" s="43">
        <f t="shared" si="59"/>
        <v>5.4054054054054057E-2</v>
      </c>
    </row>
    <row r="1353" spans="1:15" x14ac:dyDescent="0.45">
      <c r="A1353" s="12" t="s">
        <v>31309</v>
      </c>
      <c r="B1353" s="14">
        <v>281500</v>
      </c>
      <c r="C1353" s="14">
        <v>298000</v>
      </c>
      <c r="D1353" s="14">
        <v>202700</v>
      </c>
      <c r="E1353" s="14">
        <v>245850</v>
      </c>
      <c r="F1353" s="14">
        <v>156300</v>
      </c>
      <c r="G1353" s="14">
        <v>191763</v>
      </c>
      <c r="H1353" s="14">
        <v>137000</v>
      </c>
      <c r="I1353" s="14">
        <v>161000</v>
      </c>
      <c r="J1353" s="14">
        <v>3220</v>
      </c>
      <c r="K1353" s="14">
        <v>3820</v>
      </c>
      <c r="N1353" s="42">
        <f t="shared" si="58"/>
        <v>16500</v>
      </c>
      <c r="O1353" s="43">
        <f t="shared" si="59"/>
        <v>5.5369127516778527E-2</v>
      </c>
    </row>
    <row r="1354" spans="1:15" x14ac:dyDescent="0.45">
      <c r="A1354" s="12" t="s">
        <v>31310</v>
      </c>
      <c r="B1354" s="14">
        <v>281500</v>
      </c>
      <c r="C1354" s="14">
        <v>298000</v>
      </c>
      <c r="D1354" s="14">
        <v>202700</v>
      </c>
      <c r="E1354" s="14">
        <v>245850</v>
      </c>
      <c r="F1354" s="14">
        <v>156300</v>
      </c>
      <c r="G1354" s="14">
        <v>191763</v>
      </c>
      <c r="H1354" s="14">
        <v>137000</v>
      </c>
      <c r="I1354" s="14">
        <v>161000</v>
      </c>
      <c r="J1354" s="14">
        <v>3140</v>
      </c>
      <c r="K1354" s="14">
        <v>3820</v>
      </c>
      <c r="N1354" s="42">
        <f t="shared" si="58"/>
        <v>16500</v>
      </c>
      <c r="O1354" s="43">
        <f t="shared" si="59"/>
        <v>5.5369127516778527E-2</v>
      </c>
    </row>
    <row r="1355" spans="1:15" x14ac:dyDescent="0.45">
      <c r="A1355" s="12" t="s">
        <v>31311</v>
      </c>
      <c r="B1355" s="14">
        <v>281000</v>
      </c>
      <c r="C1355" s="14">
        <v>296000</v>
      </c>
      <c r="D1355" s="14">
        <v>202400</v>
      </c>
      <c r="E1355" s="14">
        <v>244200</v>
      </c>
      <c r="F1355" s="14">
        <v>156000</v>
      </c>
      <c r="G1355" s="14">
        <v>190476</v>
      </c>
      <c r="H1355" s="14">
        <v>140000</v>
      </c>
      <c r="I1355" s="14">
        <v>165000</v>
      </c>
      <c r="J1355" s="14">
        <v>3250</v>
      </c>
      <c r="K1355" s="14">
        <v>3870</v>
      </c>
      <c r="N1355" s="42">
        <f t="shared" si="58"/>
        <v>15000</v>
      </c>
      <c r="O1355" s="43">
        <f t="shared" si="59"/>
        <v>5.0675675675675678E-2</v>
      </c>
    </row>
    <row r="1356" spans="1:15" x14ac:dyDescent="0.45">
      <c r="A1356" s="12" t="s">
        <v>31312</v>
      </c>
      <c r="B1356" s="14">
        <v>281000</v>
      </c>
      <c r="C1356" s="14">
        <v>297000</v>
      </c>
      <c r="D1356" s="14">
        <v>202400</v>
      </c>
      <c r="E1356" s="14">
        <v>245025</v>
      </c>
      <c r="F1356" s="14">
        <v>156000</v>
      </c>
      <c r="G1356" s="14">
        <v>191119</v>
      </c>
      <c r="H1356" s="14">
        <v>140000</v>
      </c>
      <c r="I1356" s="14">
        <v>165000</v>
      </c>
      <c r="J1356" s="14">
        <v>3260</v>
      </c>
      <c r="K1356" s="14">
        <v>3880</v>
      </c>
      <c r="N1356" s="42">
        <f t="shared" si="58"/>
        <v>16000</v>
      </c>
      <c r="O1356" s="43">
        <f t="shared" si="59"/>
        <v>5.387205387205387E-2</v>
      </c>
    </row>
    <row r="1357" spans="1:15" x14ac:dyDescent="0.45">
      <c r="A1357" s="12" t="s">
        <v>31313</v>
      </c>
      <c r="B1357" s="14">
        <v>282500</v>
      </c>
      <c r="C1357" s="14">
        <v>300000</v>
      </c>
      <c r="D1357" s="14">
        <v>203400</v>
      </c>
      <c r="E1357" s="14">
        <v>247500</v>
      </c>
      <c r="F1357" s="14">
        <v>156800</v>
      </c>
      <c r="G1357" s="14">
        <v>193050</v>
      </c>
      <c r="H1357" s="14">
        <v>145000</v>
      </c>
      <c r="I1357" s="14">
        <v>171000</v>
      </c>
      <c r="J1357" s="14">
        <v>3320</v>
      </c>
      <c r="K1357" s="14">
        <v>3970</v>
      </c>
      <c r="N1357" s="42">
        <f t="shared" si="58"/>
        <v>17500</v>
      </c>
      <c r="O1357" s="43">
        <f t="shared" si="59"/>
        <v>5.8333333333333334E-2</v>
      </c>
    </row>
    <row r="1358" spans="1:15" x14ac:dyDescent="0.45">
      <c r="A1358" s="12" t="s">
        <v>31314</v>
      </c>
      <c r="B1358" s="14">
        <v>284000</v>
      </c>
      <c r="C1358" s="14">
        <v>304000</v>
      </c>
      <c r="D1358" s="14">
        <v>204500</v>
      </c>
      <c r="E1358" s="14">
        <v>250800</v>
      </c>
      <c r="F1358" s="14">
        <v>157700</v>
      </c>
      <c r="G1358" s="14">
        <v>195624</v>
      </c>
      <c r="H1358" s="14">
        <v>147000</v>
      </c>
      <c r="I1358" s="14">
        <v>173000</v>
      </c>
      <c r="J1358" s="14">
        <v>3360</v>
      </c>
      <c r="K1358" s="14">
        <v>4020</v>
      </c>
      <c r="N1358" s="42">
        <f t="shared" si="58"/>
        <v>20000</v>
      </c>
      <c r="O1358" s="43">
        <f t="shared" si="59"/>
        <v>6.5789473684210523E-2</v>
      </c>
    </row>
    <row r="1359" spans="1:15" x14ac:dyDescent="0.45">
      <c r="A1359" s="12" t="s">
        <v>31315</v>
      </c>
      <c r="B1359" s="14">
        <v>283500</v>
      </c>
      <c r="C1359" s="14">
        <v>304000</v>
      </c>
      <c r="D1359" s="14">
        <v>204200</v>
      </c>
      <c r="E1359" s="14">
        <v>250800</v>
      </c>
      <c r="F1359" s="14">
        <v>157400</v>
      </c>
      <c r="G1359" s="14">
        <v>195624</v>
      </c>
      <c r="H1359" s="14">
        <v>147000</v>
      </c>
      <c r="I1359" s="14">
        <v>173000</v>
      </c>
      <c r="J1359" s="14">
        <v>3360</v>
      </c>
      <c r="K1359" s="14">
        <v>4020</v>
      </c>
      <c r="N1359" s="42">
        <f t="shared" si="58"/>
        <v>20500</v>
      </c>
      <c r="O1359" s="43">
        <f t="shared" si="59"/>
        <v>6.7434210526315791E-2</v>
      </c>
    </row>
    <row r="1360" spans="1:15" x14ac:dyDescent="0.45">
      <c r="A1360" s="12" t="s">
        <v>31316</v>
      </c>
      <c r="B1360" s="14">
        <v>283500</v>
      </c>
      <c r="C1360" s="14">
        <v>304000</v>
      </c>
      <c r="D1360" s="14">
        <v>204200</v>
      </c>
      <c r="E1360" s="14">
        <v>250800</v>
      </c>
      <c r="F1360" s="14">
        <v>157400</v>
      </c>
      <c r="G1360" s="14">
        <v>195624</v>
      </c>
      <c r="H1360" s="14">
        <v>149000</v>
      </c>
      <c r="I1360" s="14">
        <v>176000</v>
      </c>
      <c r="J1360" s="14">
        <v>3380</v>
      </c>
      <c r="K1360" s="14">
        <v>4050</v>
      </c>
      <c r="N1360" s="42">
        <f t="shared" si="58"/>
        <v>20500</v>
      </c>
      <c r="O1360" s="43">
        <f t="shared" si="59"/>
        <v>6.7434210526315791E-2</v>
      </c>
    </row>
    <row r="1361" spans="1:15" x14ac:dyDescent="0.45">
      <c r="A1361" s="12" t="s">
        <v>31317</v>
      </c>
      <c r="B1361" s="14">
        <v>283500</v>
      </c>
      <c r="C1361" s="14">
        <v>305000</v>
      </c>
      <c r="D1361" s="14">
        <v>204200</v>
      </c>
      <c r="E1361" s="14">
        <v>251625</v>
      </c>
      <c r="F1361" s="14">
        <v>157400</v>
      </c>
      <c r="G1361" s="14">
        <v>196267</v>
      </c>
      <c r="H1361" s="14">
        <v>150000</v>
      </c>
      <c r="I1361" s="14">
        <v>177000</v>
      </c>
      <c r="J1361" s="14">
        <v>3400</v>
      </c>
      <c r="K1361" s="14">
        <v>4080</v>
      </c>
      <c r="N1361" s="42">
        <f t="shared" si="58"/>
        <v>21500</v>
      </c>
      <c r="O1361" s="43">
        <f t="shared" si="59"/>
        <v>7.0491803278688522E-2</v>
      </c>
    </row>
    <row r="1362" spans="1:15" x14ac:dyDescent="0.45">
      <c r="A1362" s="12" t="s">
        <v>31318</v>
      </c>
      <c r="B1362" s="14">
        <v>283500</v>
      </c>
      <c r="C1362" s="14">
        <v>303500</v>
      </c>
      <c r="D1362" s="14">
        <v>204200</v>
      </c>
      <c r="E1362" s="14">
        <v>250387</v>
      </c>
      <c r="F1362" s="14">
        <v>157400</v>
      </c>
      <c r="G1362" s="14">
        <v>195302</v>
      </c>
      <c r="H1362" s="14">
        <v>151000</v>
      </c>
      <c r="I1362" s="14">
        <v>178000</v>
      </c>
      <c r="J1362" s="14">
        <v>3320</v>
      </c>
      <c r="K1362" s="14">
        <v>4030</v>
      </c>
      <c r="N1362" s="42">
        <f t="shared" si="58"/>
        <v>20000</v>
      </c>
      <c r="O1362" s="43">
        <f t="shared" si="59"/>
        <v>6.589785831960461E-2</v>
      </c>
    </row>
    <row r="1363" spans="1:15" x14ac:dyDescent="0.45">
      <c r="A1363" s="12" t="s">
        <v>31319</v>
      </c>
      <c r="B1363" s="14">
        <v>283500</v>
      </c>
      <c r="C1363" s="14">
        <v>304000</v>
      </c>
      <c r="D1363" s="14">
        <v>204200</v>
      </c>
      <c r="E1363" s="14">
        <v>250800</v>
      </c>
      <c r="F1363" s="14">
        <v>157400</v>
      </c>
      <c r="G1363" s="14">
        <v>195624</v>
      </c>
      <c r="H1363" s="14">
        <v>154000</v>
      </c>
      <c r="I1363" s="14">
        <v>182000</v>
      </c>
      <c r="J1363" s="14">
        <v>3370</v>
      </c>
      <c r="K1363" s="14">
        <v>4080</v>
      </c>
      <c r="N1363" s="42">
        <f t="shared" si="58"/>
        <v>20500</v>
      </c>
      <c r="O1363" s="43">
        <f t="shared" si="59"/>
        <v>6.7434210526315791E-2</v>
      </c>
    </row>
    <row r="1364" spans="1:15" x14ac:dyDescent="0.45">
      <c r="A1364" s="12" t="s">
        <v>31320</v>
      </c>
      <c r="B1364" s="14">
        <v>283500</v>
      </c>
      <c r="C1364" s="14">
        <v>304000</v>
      </c>
      <c r="D1364" s="14">
        <v>204200</v>
      </c>
      <c r="E1364" s="14">
        <v>250800</v>
      </c>
      <c r="F1364" s="14">
        <v>157400</v>
      </c>
      <c r="G1364" s="14">
        <v>195624</v>
      </c>
      <c r="H1364" s="14">
        <v>154000</v>
      </c>
      <c r="I1364" s="14">
        <v>182000</v>
      </c>
      <c r="J1364" s="14">
        <v>3400</v>
      </c>
      <c r="K1364" s="14">
        <v>4110</v>
      </c>
      <c r="N1364" s="42">
        <f t="shared" si="58"/>
        <v>20500</v>
      </c>
      <c r="O1364" s="43">
        <f t="shared" si="59"/>
        <v>6.7434210526315791E-2</v>
      </c>
    </row>
    <row r="1365" spans="1:15" x14ac:dyDescent="0.45">
      <c r="A1365" s="12" t="s">
        <v>31321</v>
      </c>
      <c r="B1365" s="14">
        <v>282500</v>
      </c>
      <c r="C1365" s="14">
        <v>303500</v>
      </c>
      <c r="D1365" s="14">
        <v>203400</v>
      </c>
      <c r="E1365" s="14">
        <v>250387</v>
      </c>
      <c r="F1365" s="14">
        <v>156800</v>
      </c>
      <c r="G1365" s="14">
        <v>195302</v>
      </c>
      <c r="H1365" s="14">
        <v>153000</v>
      </c>
      <c r="I1365" s="14">
        <v>181000</v>
      </c>
      <c r="J1365" s="14">
        <v>3400</v>
      </c>
      <c r="K1365" s="14">
        <v>4100</v>
      </c>
      <c r="N1365" s="42">
        <f t="shared" si="58"/>
        <v>21000</v>
      </c>
      <c r="O1365" s="43">
        <f t="shared" si="59"/>
        <v>6.919275123558484E-2</v>
      </c>
    </row>
    <row r="1366" spans="1:15" x14ac:dyDescent="0.45">
      <c r="A1366" s="12" t="s">
        <v>31322</v>
      </c>
      <c r="B1366" s="14">
        <v>282000</v>
      </c>
      <c r="C1366" s="14">
        <v>303000</v>
      </c>
      <c r="D1366" s="14">
        <v>203100</v>
      </c>
      <c r="E1366" s="14">
        <v>249975</v>
      </c>
      <c r="F1366" s="14">
        <v>156600</v>
      </c>
      <c r="G1366" s="14">
        <v>194980</v>
      </c>
      <c r="H1366" s="14">
        <v>154000</v>
      </c>
      <c r="I1366" s="14">
        <v>182000</v>
      </c>
      <c r="J1366" s="14">
        <v>3400</v>
      </c>
      <c r="K1366" s="14">
        <v>4080</v>
      </c>
      <c r="N1366" s="42">
        <f t="shared" si="58"/>
        <v>21000</v>
      </c>
      <c r="O1366" s="43">
        <f t="shared" si="59"/>
        <v>6.9306930693069313E-2</v>
      </c>
    </row>
    <row r="1367" spans="1:15" x14ac:dyDescent="0.45">
      <c r="A1367" s="12" t="s">
        <v>31323</v>
      </c>
      <c r="B1367" s="14">
        <v>282000</v>
      </c>
      <c r="C1367" s="14">
        <v>303000</v>
      </c>
      <c r="D1367" s="14">
        <v>203100</v>
      </c>
      <c r="E1367" s="14">
        <v>249975</v>
      </c>
      <c r="F1367" s="14">
        <v>156600</v>
      </c>
      <c r="G1367" s="14">
        <v>194980</v>
      </c>
      <c r="H1367" s="14">
        <v>152000</v>
      </c>
      <c r="I1367" s="14">
        <v>179000</v>
      </c>
      <c r="J1367" s="14">
        <v>3370</v>
      </c>
      <c r="K1367" s="14">
        <v>4010</v>
      </c>
      <c r="N1367" s="42">
        <f t="shared" si="58"/>
        <v>21000</v>
      </c>
      <c r="O1367" s="43">
        <f t="shared" si="59"/>
        <v>6.9306930693069313E-2</v>
      </c>
    </row>
    <row r="1368" spans="1:15" x14ac:dyDescent="0.45">
      <c r="A1368" s="12" t="s">
        <v>31324</v>
      </c>
      <c r="B1368" s="14">
        <v>279000</v>
      </c>
      <c r="C1368" s="14">
        <v>299000</v>
      </c>
      <c r="D1368" s="14">
        <v>200900</v>
      </c>
      <c r="E1368" s="14">
        <v>246675</v>
      </c>
      <c r="F1368" s="14">
        <v>154900</v>
      </c>
      <c r="G1368" s="14">
        <v>192406</v>
      </c>
      <c r="H1368" s="14">
        <v>149000</v>
      </c>
      <c r="I1368" s="14">
        <v>176000</v>
      </c>
      <c r="J1368" s="14">
        <v>3340</v>
      </c>
      <c r="K1368" s="14">
        <v>3960</v>
      </c>
      <c r="N1368" s="42">
        <f t="shared" si="58"/>
        <v>20000</v>
      </c>
      <c r="O1368" s="43">
        <f t="shared" si="59"/>
        <v>6.6889632107023408E-2</v>
      </c>
    </row>
    <row r="1369" spans="1:15" x14ac:dyDescent="0.45">
      <c r="A1369" s="12" t="s">
        <v>31325</v>
      </c>
      <c r="B1369" s="14">
        <v>278000</v>
      </c>
      <c r="C1369" s="14">
        <v>299000</v>
      </c>
      <c r="D1369" s="14">
        <v>200200</v>
      </c>
      <c r="E1369" s="14">
        <v>246675</v>
      </c>
      <c r="F1369" s="14">
        <v>154300</v>
      </c>
      <c r="G1369" s="14">
        <v>192406</v>
      </c>
      <c r="H1369" s="14">
        <v>148000</v>
      </c>
      <c r="I1369" s="14">
        <v>174000</v>
      </c>
      <c r="J1369" s="14">
        <v>3280</v>
      </c>
      <c r="K1369" s="14">
        <v>3930</v>
      </c>
      <c r="N1369" s="42">
        <f t="shared" si="58"/>
        <v>21000</v>
      </c>
      <c r="O1369" s="43">
        <f t="shared" si="59"/>
        <v>7.0234113712374577E-2</v>
      </c>
    </row>
    <row r="1370" spans="1:15" x14ac:dyDescent="0.45">
      <c r="A1370" s="12" t="s">
        <v>31326</v>
      </c>
      <c r="B1370" s="14">
        <v>276500</v>
      </c>
      <c r="C1370" s="14">
        <v>299000</v>
      </c>
      <c r="D1370" s="14">
        <v>199100</v>
      </c>
      <c r="E1370" s="14">
        <v>246675</v>
      </c>
      <c r="F1370" s="14">
        <v>153500</v>
      </c>
      <c r="G1370" s="14">
        <v>192406</v>
      </c>
      <c r="H1370" s="14">
        <v>147000</v>
      </c>
      <c r="I1370" s="14">
        <v>173000</v>
      </c>
      <c r="J1370" s="14">
        <v>3320</v>
      </c>
      <c r="K1370" s="14">
        <v>3930</v>
      </c>
      <c r="N1370" s="42">
        <f t="shared" si="58"/>
        <v>22500</v>
      </c>
      <c r="O1370" s="43">
        <f t="shared" si="59"/>
        <v>7.5250836120401343E-2</v>
      </c>
    </row>
    <row r="1371" spans="1:15" x14ac:dyDescent="0.45">
      <c r="A1371" s="12" t="s">
        <v>31327</v>
      </c>
      <c r="B1371" s="14">
        <v>276500</v>
      </c>
      <c r="C1371" s="14">
        <v>299000</v>
      </c>
      <c r="D1371" s="14">
        <v>199100</v>
      </c>
      <c r="E1371" s="14">
        <v>246675</v>
      </c>
      <c r="F1371" s="14">
        <v>153500</v>
      </c>
      <c r="G1371" s="14">
        <v>192406</v>
      </c>
      <c r="H1371" s="14">
        <v>147000</v>
      </c>
      <c r="I1371" s="14">
        <v>173000</v>
      </c>
      <c r="J1371" s="14">
        <v>3340</v>
      </c>
      <c r="K1371" s="14">
        <v>3930</v>
      </c>
      <c r="N1371" s="42">
        <f t="shared" si="58"/>
        <v>22500</v>
      </c>
      <c r="O1371" s="43">
        <f t="shared" si="59"/>
        <v>7.5250836120401343E-2</v>
      </c>
    </row>
    <row r="1372" spans="1:15" x14ac:dyDescent="0.45">
      <c r="A1372" s="12" t="s">
        <v>31328</v>
      </c>
      <c r="B1372" s="14">
        <v>275500</v>
      </c>
      <c r="C1372" s="14">
        <v>296000</v>
      </c>
      <c r="D1372" s="14">
        <v>198400</v>
      </c>
      <c r="E1372" s="14">
        <v>244200</v>
      </c>
      <c r="F1372" s="14">
        <v>153000</v>
      </c>
      <c r="G1372" s="14">
        <v>190476</v>
      </c>
      <c r="H1372" s="14">
        <v>147000</v>
      </c>
      <c r="I1372" s="14">
        <v>173000</v>
      </c>
      <c r="J1372" s="14">
        <v>3250</v>
      </c>
      <c r="K1372" s="14">
        <v>3850</v>
      </c>
      <c r="N1372" s="42">
        <f t="shared" si="58"/>
        <v>20500</v>
      </c>
      <c r="O1372" s="43">
        <f t="shared" si="59"/>
        <v>6.9256756756756757E-2</v>
      </c>
    </row>
    <row r="1373" spans="1:15" x14ac:dyDescent="0.45">
      <c r="A1373" s="12" t="s">
        <v>31329</v>
      </c>
      <c r="B1373" s="14">
        <v>274500</v>
      </c>
      <c r="C1373" s="14">
        <v>293000</v>
      </c>
      <c r="D1373" s="14">
        <v>197700</v>
      </c>
      <c r="E1373" s="14">
        <v>241725</v>
      </c>
      <c r="F1373" s="14">
        <v>152400</v>
      </c>
      <c r="G1373" s="14">
        <v>188545</v>
      </c>
      <c r="H1373" s="14">
        <v>147000</v>
      </c>
      <c r="I1373" s="14">
        <v>173000</v>
      </c>
      <c r="J1373" s="14">
        <v>3250</v>
      </c>
      <c r="K1373" s="14">
        <v>3820</v>
      </c>
      <c r="N1373" s="42">
        <f t="shared" si="58"/>
        <v>18500</v>
      </c>
      <c r="O1373" s="43">
        <f t="shared" si="59"/>
        <v>6.313993174061433E-2</v>
      </c>
    </row>
    <row r="1374" spans="1:15" x14ac:dyDescent="0.45">
      <c r="A1374" s="12" t="s">
        <v>31330</v>
      </c>
      <c r="B1374" s="14">
        <v>275000</v>
      </c>
      <c r="C1374" s="14">
        <v>293500</v>
      </c>
      <c r="D1374" s="14">
        <v>198000</v>
      </c>
      <c r="E1374" s="14">
        <v>242137</v>
      </c>
      <c r="F1374" s="14">
        <v>152700</v>
      </c>
      <c r="G1374" s="14">
        <v>188867</v>
      </c>
      <c r="H1374" s="14">
        <v>147000</v>
      </c>
      <c r="I1374" s="14">
        <v>173000</v>
      </c>
      <c r="J1374" s="14">
        <v>3220</v>
      </c>
      <c r="K1374" s="14">
        <v>3820</v>
      </c>
      <c r="N1374" s="42">
        <f t="shared" si="58"/>
        <v>18500</v>
      </c>
      <c r="O1374" s="43">
        <f t="shared" si="59"/>
        <v>6.3032367972742753E-2</v>
      </c>
    </row>
    <row r="1375" spans="1:15" x14ac:dyDescent="0.45">
      <c r="A1375" s="12" t="s">
        <v>31331</v>
      </c>
      <c r="B1375" s="14">
        <v>275000</v>
      </c>
      <c r="C1375" s="14">
        <v>293500</v>
      </c>
      <c r="D1375" s="14">
        <v>198000</v>
      </c>
      <c r="E1375" s="14">
        <v>242137</v>
      </c>
      <c r="F1375" s="14">
        <v>152700</v>
      </c>
      <c r="G1375" s="14">
        <v>188867</v>
      </c>
      <c r="H1375" s="14">
        <v>150000</v>
      </c>
      <c r="I1375" s="14">
        <v>177000</v>
      </c>
      <c r="J1375" s="14">
        <v>3280</v>
      </c>
      <c r="K1375" s="14">
        <v>3890</v>
      </c>
      <c r="N1375" s="42">
        <f t="shared" si="58"/>
        <v>18500</v>
      </c>
      <c r="O1375" s="43">
        <f t="shared" si="59"/>
        <v>6.3032367972742753E-2</v>
      </c>
    </row>
    <row r="1376" spans="1:15" x14ac:dyDescent="0.45">
      <c r="A1376" s="12" t="s">
        <v>31332</v>
      </c>
      <c r="B1376" s="14">
        <v>274500</v>
      </c>
      <c r="C1376" s="14">
        <v>292000</v>
      </c>
      <c r="D1376" s="14">
        <v>197700</v>
      </c>
      <c r="E1376" s="14">
        <v>240900</v>
      </c>
      <c r="F1376" s="14">
        <v>152400</v>
      </c>
      <c r="G1376" s="14">
        <v>187902</v>
      </c>
      <c r="H1376" s="14">
        <v>144000</v>
      </c>
      <c r="I1376" s="14">
        <v>169000</v>
      </c>
      <c r="J1376" s="14">
        <v>3240</v>
      </c>
      <c r="K1376" s="14">
        <v>3840</v>
      </c>
      <c r="N1376" s="42">
        <f t="shared" si="58"/>
        <v>17500</v>
      </c>
      <c r="O1376" s="43">
        <f t="shared" si="59"/>
        <v>5.9931506849315065E-2</v>
      </c>
    </row>
    <row r="1377" spans="1:15" x14ac:dyDescent="0.45">
      <c r="A1377" s="12" t="s">
        <v>31333</v>
      </c>
      <c r="B1377" s="14">
        <v>274500</v>
      </c>
      <c r="C1377" s="14">
        <v>292000</v>
      </c>
      <c r="D1377" s="14">
        <v>197700</v>
      </c>
      <c r="E1377" s="14">
        <v>240900</v>
      </c>
      <c r="F1377" s="14">
        <v>152400</v>
      </c>
      <c r="G1377" s="14">
        <v>187902</v>
      </c>
      <c r="H1377" s="14">
        <v>144000</v>
      </c>
      <c r="I1377" s="14">
        <v>169000</v>
      </c>
      <c r="J1377" s="14">
        <v>3240</v>
      </c>
      <c r="K1377" s="14">
        <v>3840</v>
      </c>
      <c r="N1377" s="42">
        <f t="shared" si="58"/>
        <v>17500</v>
      </c>
      <c r="O1377" s="43">
        <f t="shared" si="59"/>
        <v>5.9931506849315065E-2</v>
      </c>
    </row>
    <row r="1378" spans="1:15" x14ac:dyDescent="0.45">
      <c r="A1378" s="12" t="s">
        <v>31334</v>
      </c>
      <c r="B1378" s="14">
        <v>275000</v>
      </c>
      <c r="C1378" s="14">
        <v>292500</v>
      </c>
      <c r="D1378" s="14">
        <v>198000</v>
      </c>
      <c r="E1378" s="14">
        <v>241312</v>
      </c>
      <c r="F1378" s="14">
        <v>152700</v>
      </c>
      <c r="G1378" s="14">
        <v>188223</v>
      </c>
      <c r="H1378" s="14">
        <v>143000</v>
      </c>
      <c r="I1378" s="14">
        <v>168000</v>
      </c>
      <c r="J1378" s="14">
        <v>3260</v>
      </c>
      <c r="K1378" s="14">
        <v>3850</v>
      </c>
      <c r="N1378" s="42">
        <f t="shared" si="58"/>
        <v>17500</v>
      </c>
      <c r="O1378" s="43">
        <f t="shared" si="59"/>
        <v>5.9829059829059832E-2</v>
      </c>
    </row>
    <row r="1379" spans="1:15" x14ac:dyDescent="0.45">
      <c r="A1379" s="12" t="s">
        <v>31335</v>
      </c>
      <c r="B1379" s="14">
        <v>275000</v>
      </c>
      <c r="C1379" s="14">
        <v>292500</v>
      </c>
      <c r="D1379" s="14">
        <v>198000</v>
      </c>
      <c r="E1379" s="14">
        <v>241312</v>
      </c>
      <c r="F1379" s="14">
        <v>152700</v>
      </c>
      <c r="G1379" s="14">
        <v>188223</v>
      </c>
      <c r="H1379" s="14">
        <v>142000</v>
      </c>
      <c r="I1379" s="14">
        <v>167000</v>
      </c>
      <c r="J1379" s="14">
        <v>3260</v>
      </c>
      <c r="K1379" s="14">
        <v>3850</v>
      </c>
      <c r="N1379" s="42">
        <f t="shared" si="58"/>
        <v>17500</v>
      </c>
      <c r="O1379" s="43">
        <f t="shared" si="59"/>
        <v>5.9829059829059832E-2</v>
      </c>
    </row>
    <row r="1380" spans="1:15" x14ac:dyDescent="0.45">
      <c r="A1380" s="12" t="s">
        <v>31336</v>
      </c>
      <c r="B1380" s="14">
        <v>274500</v>
      </c>
      <c r="C1380" s="14">
        <v>292000</v>
      </c>
      <c r="D1380" s="14">
        <v>197700</v>
      </c>
      <c r="E1380" s="14">
        <v>240900</v>
      </c>
      <c r="F1380" s="14">
        <v>152400</v>
      </c>
      <c r="G1380" s="14">
        <v>187902</v>
      </c>
      <c r="H1380" s="14">
        <v>144000</v>
      </c>
      <c r="I1380" s="14">
        <v>170000</v>
      </c>
      <c r="J1380" s="14">
        <v>3270</v>
      </c>
      <c r="K1380" s="14">
        <v>3870</v>
      </c>
      <c r="N1380" s="42">
        <f t="shared" si="58"/>
        <v>17500</v>
      </c>
      <c r="O1380" s="43">
        <f t="shared" si="59"/>
        <v>5.9931506849315065E-2</v>
      </c>
    </row>
    <row r="1381" spans="1:15" x14ac:dyDescent="0.45">
      <c r="A1381" s="12" t="s">
        <v>31337</v>
      </c>
      <c r="B1381" s="14">
        <v>275000</v>
      </c>
      <c r="C1381" s="14">
        <v>293000</v>
      </c>
      <c r="D1381" s="14">
        <v>198000</v>
      </c>
      <c r="E1381" s="14">
        <v>241725</v>
      </c>
      <c r="F1381" s="14">
        <v>152700</v>
      </c>
      <c r="G1381" s="14">
        <v>188545</v>
      </c>
      <c r="H1381" s="14">
        <v>148000</v>
      </c>
      <c r="I1381" s="14">
        <v>175000</v>
      </c>
      <c r="J1381" s="14">
        <v>3320</v>
      </c>
      <c r="K1381" s="14">
        <v>3930</v>
      </c>
      <c r="N1381" s="42">
        <f t="shared" si="58"/>
        <v>18000</v>
      </c>
      <c r="O1381" s="43">
        <f t="shared" si="59"/>
        <v>6.1433447098976107E-2</v>
      </c>
    </row>
    <row r="1382" spans="1:15" x14ac:dyDescent="0.45">
      <c r="A1382" s="12" t="s">
        <v>31338</v>
      </c>
      <c r="B1382" s="14">
        <v>275000</v>
      </c>
      <c r="C1382" s="14">
        <v>293000</v>
      </c>
      <c r="D1382" s="14">
        <v>198000</v>
      </c>
      <c r="E1382" s="14">
        <v>241725</v>
      </c>
      <c r="F1382" s="14">
        <v>152700</v>
      </c>
      <c r="G1382" s="14">
        <v>188545</v>
      </c>
      <c r="H1382" s="14">
        <v>148000</v>
      </c>
      <c r="I1382" s="14">
        <v>174000</v>
      </c>
      <c r="J1382" s="14">
        <v>3330</v>
      </c>
      <c r="K1382" s="14">
        <v>3940</v>
      </c>
      <c r="N1382" s="42">
        <f t="shared" si="58"/>
        <v>18000</v>
      </c>
      <c r="O1382" s="43">
        <f t="shared" si="59"/>
        <v>6.1433447098976107E-2</v>
      </c>
    </row>
    <row r="1383" spans="1:15" x14ac:dyDescent="0.45">
      <c r="A1383" s="12" t="s">
        <v>31339</v>
      </c>
      <c r="B1383" s="14">
        <v>275000</v>
      </c>
      <c r="C1383" s="14">
        <v>293000</v>
      </c>
      <c r="D1383" s="14">
        <v>198000</v>
      </c>
      <c r="E1383" s="14">
        <v>241725</v>
      </c>
      <c r="F1383" s="14">
        <v>152700</v>
      </c>
      <c r="G1383" s="14">
        <v>188545</v>
      </c>
      <c r="H1383" s="14">
        <v>147000</v>
      </c>
      <c r="I1383" s="14">
        <v>173000</v>
      </c>
      <c r="J1383" s="14">
        <v>3320</v>
      </c>
      <c r="K1383" s="14">
        <v>3920</v>
      </c>
      <c r="N1383" s="42">
        <f t="shared" si="58"/>
        <v>18000</v>
      </c>
      <c r="O1383" s="43">
        <f t="shared" si="59"/>
        <v>6.1433447098976107E-2</v>
      </c>
    </row>
    <row r="1384" spans="1:15" x14ac:dyDescent="0.45">
      <c r="A1384" s="12" t="s">
        <v>31340</v>
      </c>
      <c r="B1384" s="14">
        <v>275000</v>
      </c>
      <c r="C1384" s="14">
        <v>292000</v>
      </c>
      <c r="D1384" s="14">
        <v>198000</v>
      </c>
      <c r="E1384" s="14">
        <v>240900</v>
      </c>
      <c r="F1384" s="14">
        <v>152700</v>
      </c>
      <c r="G1384" s="14">
        <v>187902</v>
      </c>
      <c r="H1384" s="14">
        <v>149000</v>
      </c>
      <c r="I1384" s="14">
        <v>176000</v>
      </c>
      <c r="J1384" s="14">
        <v>3310</v>
      </c>
      <c r="K1384" s="14">
        <v>3910</v>
      </c>
      <c r="N1384" s="42">
        <f t="shared" si="58"/>
        <v>17000</v>
      </c>
      <c r="O1384" s="43">
        <f t="shared" si="59"/>
        <v>5.8219178082191778E-2</v>
      </c>
    </row>
    <row r="1385" spans="1:15" x14ac:dyDescent="0.45">
      <c r="A1385" s="12" t="s">
        <v>31341</v>
      </c>
      <c r="B1385" s="14">
        <v>274500</v>
      </c>
      <c r="C1385" s="14">
        <v>291000</v>
      </c>
      <c r="D1385" s="14">
        <v>197700</v>
      </c>
      <c r="E1385" s="14">
        <v>240075</v>
      </c>
      <c r="F1385" s="14">
        <v>152400</v>
      </c>
      <c r="G1385" s="14">
        <v>187258</v>
      </c>
      <c r="H1385" s="14">
        <v>148000</v>
      </c>
      <c r="I1385" s="14">
        <v>174000</v>
      </c>
      <c r="J1385" s="14">
        <v>3310</v>
      </c>
      <c r="K1385" s="14">
        <v>3920</v>
      </c>
      <c r="N1385" s="42">
        <f t="shared" si="58"/>
        <v>16500</v>
      </c>
      <c r="O1385" s="43">
        <f t="shared" si="59"/>
        <v>5.6701030927835051E-2</v>
      </c>
    </row>
    <row r="1386" spans="1:15" x14ac:dyDescent="0.45">
      <c r="A1386" s="12" t="s">
        <v>31342</v>
      </c>
      <c r="B1386" s="14">
        <v>274000</v>
      </c>
      <c r="C1386" s="14">
        <v>290000</v>
      </c>
      <c r="D1386" s="14">
        <v>197300</v>
      </c>
      <c r="E1386" s="14">
        <v>239250</v>
      </c>
      <c r="F1386" s="14">
        <v>152100</v>
      </c>
      <c r="G1386" s="14">
        <v>186615</v>
      </c>
      <c r="H1386" s="14">
        <v>147000</v>
      </c>
      <c r="I1386" s="14">
        <v>173000</v>
      </c>
      <c r="J1386" s="14">
        <v>3220</v>
      </c>
      <c r="K1386" s="14">
        <v>3810</v>
      </c>
      <c r="N1386" s="42">
        <f t="shared" si="58"/>
        <v>16000</v>
      </c>
      <c r="O1386" s="43">
        <f t="shared" si="59"/>
        <v>5.5172413793103448E-2</v>
      </c>
    </row>
    <row r="1387" spans="1:15" x14ac:dyDescent="0.45">
      <c r="A1387" s="12" t="s">
        <v>31343</v>
      </c>
      <c r="B1387" s="14">
        <v>274500</v>
      </c>
      <c r="C1387" s="14">
        <v>292000</v>
      </c>
      <c r="D1387" s="14">
        <v>197700</v>
      </c>
      <c r="E1387" s="14">
        <v>240900</v>
      </c>
      <c r="F1387" s="14">
        <v>152400</v>
      </c>
      <c r="G1387" s="14">
        <v>187902</v>
      </c>
      <c r="H1387" s="14">
        <v>150000</v>
      </c>
      <c r="I1387" s="14">
        <v>177000</v>
      </c>
      <c r="J1387" s="14">
        <v>3210</v>
      </c>
      <c r="K1387" s="14">
        <v>3800</v>
      </c>
      <c r="N1387" s="42">
        <f t="shared" si="58"/>
        <v>17500</v>
      </c>
      <c r="O1387" s="43">
        <f t="shared" si="59"/>
        <v>5.9931506849315065E-2</v>
      </c>
    </row>
    <row r="1388" spans="1:15" x14ac:dyDescent="0.45">
      <c r="A1388" s="12" t="s">
        <v>31344</v>
      </c>
      <c r="B1388" s="14">
        <v>274000</v>
      </c>
      <c r="C1388" s="14">
        <v>292000</v>
      </c>
      <c r="D1388" s="14">
        <v>197300</v>
      </c>
      <c r="E1388" s="14">
        <v>240900</v>
      </c>
      <c r="F1388" s="14">
        <v>152100</v>
      </c>
      <c r="G1388" s="14">
        <v>187902</v>
      </c>
      <c r="H1388" s="14">
        <v>150000</v>
      </c>
      <c r="I1388" s="14">
        <v>177000</v>
      </c>
      <c r="J1388" s="14">
        <v>3200</v>
      </c>
      <c r="K1388" s="14">
        <v>3790</v>
      </c>
      <c r="N1388" s="42">
        <f t="shared" si="58"/>
        <v>18000</v>
      </c>
      <c r="O1388" s="43">
        <f t="shared" si="59"/>
        <v>6.1643835616438353E-2</v>
      </c>
    </row>
    <row r="1389" spans="1:15" x14ac:dyDescent="0.45">
      <c r="A1389" s="12" t="s">
        <v>31345</v>
      </c>
      <c r="B1389" s="14">
        <v>275500</v>
      </c>
      <c r="C1389" s="14">
        <v>295000</v>
      </c>
      <c r="D1389" s="14">
        <v>198400</v>
      </c>
      <c r="E1389" s="14">
        <v>243375</v>
      </c>
      <c r="F1389" s="14">
        <v>153000</v>
      </c>
      <c r="G1389" s="14">
        <v>189832</v>
      </c>
      <c r="H1389" s="14">
        <v>145000</v>
      </c>
      <c r="I1389" s="14">
        <v>171000</v>
      </c>
      <c r="J1389" s="14">
        <v>3180</v>
      </c>
      <c r="K1389" s="14">
        <v>3760</v>
      </c>
      <c r="N1389" s="42">
        <f t="shared" ref="N1389:N1452" si="60">C1389-B1389</f>
        <v>19500</v>
      </c>
      <c r="O1389" s="43">
        <f t="shared" ref="O1389:O1452" si="61">N1389/C1389</f>
        <v>6.6101694915254236E-2</v>
      </c>
    </row>
    <row r="1390" spans="1:15" x14ac:dyDescent="0.45">
      <c r="A1390" s="12" t="s">
        <v>31346</v>
      </c>
      <c r="B1390" s="14">
        <v>274500</v>
      </c>
      <c r="C1390" s="14">
        <v>292500</v>
      </c>
      <c r="D1390" s="14">
        <v>197700</v>
      </c>
      <c r="E1390" s="14">
        <v>241312</v>
      </c>
      <c r="F1390" s="14">
        <v>152400</v>
      </c>
      <c r="G1390" s="14">
        <v>188223</v>
      </c>
      <c r="H1390" s="14">
        <v>144000</v>
      </c>
      <c r="I1390" s="14">
        <v>170000</v>
      </c>
      <c r="J1390" s="14">
        <v>3130</v>
      </c>
      <c r="K1390" s="14">
        <v>3700</v>
      </c>
      <c r="N1390" s="42">
        <f t="shared" si="60"/>
        <v>18000</v>
      </c>
      <c r="O1390" s="43">
        <f t="shared" si="61"/>
        <v>6.1538461538461542E-2</v>
      </c>
    </row>
    <row r="1391" spans="1:15" x14ac:dyDescent="0.45">
      <c r="A1391" s="12" t="s">
        <v>31347</v>
      </c>
      <c r="B1391" s="14">
        <v>274500</v>
      </c>
      <c r="C1391" s="14">
        <v>292500</v>
      </c>
      <c r="D1391" s="14">
        <v>197700</v>
      </c>
      <c r="E1391" s="14">
        <v>241312</v>
      </c>
      <c r="F1391" s="14">
        <v>152400</v>
      </c>
      <c r="G1391" s="14">
        <v>188223</v>
      </c>
      <c r="H1391" s="14">
        <v>146000</v>
      </c>
      <c r="I1391" s="14">
        <v>172000</v>
      </c>
      <c r="J1391" s="14">
        <v>3140</v>
      </c>
      <c r="K1391" s="14">
        <v>3720</v>
      </c>
      <c r="N1391" s="42">
        <f t="shared" si="60"/>
        <v>18000</v>
      </c>
      <c r="O1391" s="43">
        <f t="shared" si="61"/>
        <v>6.1538461538461542E-2</v>
      </c>
    </row>
    <row r="1392" spans="1:15" x14ac:dyDescent="0.45">
      <c r="A1392" s="12" t="s">
        <v>31348</v>
      </c>
      <c r="B1392" s="14">
        <v>273500</v>
      </c>
      <c r="C1392" s="14">
        <v>292000</v>
      </c>
      <c r="D1392" s="14">
        <v>197000</v>
      </c>
      <c r="E1392" s="14">
        <v>240900</v>
      </c>
      <c r="F1392" s="14">
        <v>151800</v>
      </c>
      <c r="G1392" s="14">
        <v>187902</v>
      </c>
      <c r="H1392" s="14">
        <v>147000</v>
      </c>
      <c r="I1392" s="14">
        <v>173000</v>
      </c>
      <c r="J1392" s="14">
        <v>3150</v>
      </c>
      <c r="K1392" s="14">
        <v>3720</v>
      </c>
      <c r="N1392" s="42">
        <f t="shared" si="60"/>
        <v>18500</v>
      </c>
      <c r="O1392" s="43">
        <f t="shared" si="61"/>
        <v>6.3356164383561647E-2</v>
      </c>
    </row>
    <row r="1393" spans="1:15" x14ac:dyDescent="0.45">
      <c r="A1393" s="12" t="s">
        <v>31349</v>
      </c>
      <c r="B1393" s="14">
        <v>273500</v>
      </c>
      <c r="C1393" s="14">
        <v>292000</v>
      </c>
      <c r="D1393" s="14">
        <v>197000</v>
      </c>
      <c r="E1393" s="14">
        <v>240900</v>
      </c>
      <c r="F1393" s="14">
        <v>151800</v>
      </c>
      <c r="G1393" s="14">
        <v>187902</v>
      </c>
      <c r="H1393" s="14">
        <v>147000</v>
      </c>
      <c r="I1393" s="14">
        <v>173000</v>
      </c>
      <c r="J1393" s="14">
        <v>3150</v>
      </c>
      <c r="K1393" s="14">
        <v>3720</v>
      </c>
      <c r="N1393" s="42">
        <f t="shared" si="60"/>
        <v>18500</v>
      </c>
      <c r="O1393" s="43">
        <f t="shared" si="61"/>
        <v>6.3356164383561647E-2</v>
      </c>
    </row>
    <row r="1394" spans="1:15" x14ac:dyDescent="0.45">
      <c r="A1394" s="12" t="s">
        <v>31350</v>
      </c>
      <c r="B1394" s="14">
        <v>273500</v>
      </c>
      <c r="C1394" s="14">
        <v>291500</v>
      </c>
      <c r="D1394" s="14">
        <v>197000</v>
      </c>
      <c r="E1394" s="14">
        <v>240487</v>
      </c>
      <c r="F1394" s="14">
        <v>151800</v>
      </c>
      <c r="G1394" s="14">
        <v>187580</v>
      </c>
      <c r="H1394" s="14">
        <v>141000</v>
      </c>
      <c r="I1394" s="14">
        <v>166000</v>
      </c>
      <c r="J1394" s="14">
        <v>3120</v>
      </c>
      <c r="K1394" s="14">
        <v>3680</v>
      </c>
      <c r="N1394" s="42">
        <f t="shared" si="60"/>
        <v>18000</v>
      </c>
      <c r="O1394" s="43">
        <f t="shared" si="61"/>
        <v>6.1749571183533448E-2</v>
      </c>
    </row>
    <row r="1395" spans="1:15" x14ac:dyDescent="0.45">
      <c r="A1395" s="12" t="s">
        <v>31351</v>
      </c>
      <c r="B1395" s="14">
        <v>273000</v>
      </c>
      <c r="C1395" s="14">
        <v>291000</v>
      </c>
      <c r="D1395" s="14">
        <v>196600</v>
      </c>
      <c r="E1395" s="14">
        <v>240075</v>
      </c>
      <c r="F1395" s="14">
        <v>151600</v>
      </c>
      <c r="G1395" s="14">
        <v>187258</v>
      </c>
      <c r="H1395" s="14">
        <v>141000</v>
      </c>
      <c r="I1395" s="14">
        <v>166000</v>
      </c>
      <c r="J1395" s="14">
        <v>3130</v>
      </c>
      <c r="K1395" s="14">
        <v>3700</v>
      </c>
      <c r="N1395" s="42">
        <f t="shared" si="60"/>
        <v>18000</v>
      </c>
      <c r="O1395" s="43">
        <f t="shared" si="61"/>
        <v>6.1855670103092786E-2</v>
      </c>
    </row>
    <row r="1396" spans="1:15" x14ac:dyDescent="0.45">
      <c r="A1396" s="12" t="s">
        <v>31352</v>
      </c>
      <c r="B1396" s="14">
        <v>272500</v>
      </c>
      <c r="C1396" s="14">
        <v>290000</v>
      </c>
      <c r="D1396" s="14">
        <v>196200</v>
      </c>
      <c r="E1396" s="14">
        <v>239250</v>
      </c>
      <c r="F1396" s="14">
        <v>151300</v>
      </c>
      <c r="G1396" s="14">
        <v>186615</v>
      </c>
      <c r="H1396" s="14">
        <v>137000</v>
      </c>
      <c r="I1396" s="14">
        <v>160000</v>
      </c>
      <c r="J1396" s="14">
        <v>3110</v>
      </c>
      <c r="K1396" s="14">
        <v>3680</v>
      </c>
      <c r="N1396" s="42">
        <f t="shared" si="60"/>
        <v>17500</v>
      </c>
      <c r="O1396" s="43">
        <f t="shared" si="61"/>
        <v>6.0344827586206899E-2</v>
      </c>
    </row>
    <row r="1397" spans="1:15" x14ac:dyDescent="0.45">
      <c r="A1397" s="12" t="s">
        <v>31353</v>
      </c>
      <c r="B1397" s="14">
        <v>272500</v>
      </c>
      <c r="C1397" s="14">
        <v>291000</v>
      </c>
      <c r="D1397" s="14">
        <v>196200</v>
      </c>
      <c r="E1397" s="14">
        <v>240075</v>
      </c>
      <c r="F1397" s="14">
        <v>151300</v>
      </c>
      <c r="G1397" s="14">
        <v>187258</v>
      </c>
      <c r="H1397" s="14">
        <v>137000</v>
      </c>
      <c r="I1397" s="14">
        <v>161000</v>
      </c>
      <c r="J1397" s="14">
        <v>3110</v>
      </c>
      <c r="K1397" s="14">
        <v>3670</v>
      </c>
      <c r="N1397" s="42">
        <f t="shared" si="60"/>
        <v>18500</v>
      </c>
      <c r="O1397" s="43">
        <f t="shared" si="61"/>
        <v>6.3573883161512024E-2</v>
      </c>
    </row>
    <row r="1398" spans="1:15" x14ac:dyDescent="0.45">
      <c r="A1398" s="12" t="s">
        <v>31354</v>
      </c>
      <c r="B1398" s="14">
        <v>272500</v>
      </c>
      <c r="C1398" s="14">
        <v>291000</v>
      </c>
      <c r="D1398" s="14">
        <v>196200</v>
      </c>
      <c r="E1398" s="14">
        <v>240075</v>
      </c>
      <c r="F1398" s="14">
        <v>151300</v>
      </c>
      <c r="G1398" s="14">
        <v>187258</v>
      </c>
      <c r="H1398" s="14">
        <v>139000</v>
      </c>
      <c r="I1398" s="14">
        <v>164000</v>
      </c>
      <c r="J1398" s="14">
        <v>3120</v>
      </c>
      <c r="K1398" s="14">
        <v>3680</v>
      </c>
      <c r="N1398" s="42">
        <f t="shared" si="60"/>
        <v>18500</v>
      </c>
      <c r="O1398" s="43">
        <f t="shared" si="61"/>
        <v>6.3573883161512024E-2</v>
      </c>
    </row>
    <row r="1399" spans="1:15" x14ac:dyDescent="0.45">
      <c r="A1399" s="12" t="s">
        <v>31355</v>
      </c>
      <c r="B1399" s="14">
        <v>272000</v>
      </c>
      <c r="C1399" s="14">
        <v>290000</v>
      </c>
      <c r="D1399" s="14">
        <v>195900</v>
      </c>
      <c r="E1399" s="14">
        <v>239250</v>
      </c>
      <c r="F1399" s="14">
        <v>151000</v>
      </c>
      <c r="G1399" s="14">
        <v>186615</v>
      </c>
      <c r="H1399" s="14">
        <v>139000</v>
      </c>
      <c r="I1399" s="14">
        <v>163000</v>
      </c>
      <c r="J1399" s="14">
        <v>3100</v>
      </c>
      <c r="K1399" s="14">
        <v>3650</v>
      </c>
      <c r="N1399" s="42">
        <f t="shared" si="60"/>
        <v>18000</v>
      </c>
      <c r="O1399" s="43">
        <f t="shared" si="61"/>
        <v>6.2068965517241378E-2</v>
      </c>
    </row>
    <row r="1400" spans="1:15" x14ac:dyDescent="0.45">
      <c r="A1400" s="12" t="s">
        <v>31356</v>
      </c>
      <c r="B1400" s="14">
        <v>271500</v>
      </c>
      <c r="C1400" s="14">
        <v>288500</v>
      </c>
      <c r="D1400" s="14">
        <v>195500</v>
      </c>
      <c r="E1400" s="14">
        <v>238012</v>
      </c>
      <c r="F1400" s="14">
        <v>150700</v>
      </c>
      <c r="G1400" s="14">
        <v>185649</v>
      </c>
      <c r="H1400" s="14">
        <v>137000</v>
      </c>
      <c r="I1400" s="14">
        <v>161000</v>
      </c>
      <c r="J1400" s="14">
        <v>3040</v>
      </c>
      <c r="K1400" s="14">
        <v>3590</v>
      </c>
      <c r="N1400" s="42">
        <f t="shared" si="60"/>
        <v>17000</v>
      </c>
      <c r="O1400" s="43">
        <f t="shared" si="61"/>
        <v>5.8925476603119586E-2</v>
      </c>
    </row>
    <row r="1401" spans="1:15" x14ac:dyDescent="0.45">
      <c r="A1401" s="12" t="s">
        <v>31357</v>
      </c>
      <c r="B1401" s="14">
        <v>270500</v>
      </c>
      <c r="C1401" s="14">
        <v>285500</v>
      </c>
      <c r="D1401" s="14">
        <v>194800</v>
      </c>
      <c r="E1401" s="14">
        <v>235537</v>
      </c>
      <c r="F1401" s="14">
        <v>150200</v>
      </c>
      <c r="G1401" s="14">
        <v>183719</v>
      </c>
      <c r="H1401" s="14">
        <v>137000</v>
      </c>
      <c r="I1401" s="14">
        <v>160000</v>
      </c>
      <c r="J1401" s="14">
        <v>2970</v>
      </c>
      <c r="K1401" s="14">
        <v>3520</v>
      </c>
      <c r="N1401" s="42">
        <f t="shared" si="60"/>
        <v>15000</v>
      </c>
      <c r="O1401" s="43">
        <f t="shared" si="61"/>
        <v>5.2539404553415062E-2</v>
      </c>
    </row>
    <row r="1402" spans="1:15" x14ac:dyDescent="0.45">
      <c r="A1402" s="12" t="s">
        <v>31358</v>
      </c>
      <c r="B1402" s="14">
        <v>271500</v>
      </c>
      <c r="C1402" s="14">
        <v>286500</v>
      </c>
      <c r="D1402" s="14">
        <v>195500</v>
      </c>
      <c r="E1402" s="14">
        <v>236362</v>
      </c>
      <c r="F1402" s="14">
        <v>150700</v>
      </c>
      <c r="G1402" s="14">
        <v>184362</v>
      </c>
      <c r="H1402" s="14">
        <v>139000</v>
      </c>
      <c r="I1402" s="14">
        <v>163000</v>
      </c>
      <c r="J1402" s="14">
        <v>3100</v>
      </c>
      <c r="K1402" s="14">
        <v>3660</v>
      </c>
      <c r="N1402" s="42">
        <f t="shared" si="60"/>
        <v>15000</v>
      </c>
      <c r="O1402" s="43">
        <f t="shared" si="61"/>
        <v>5.2356020942408377E-2</v>
      </c>
    </row>
    <row r="1403" spans="1:15" x14ac:dyDescent="0.45">
      <c r="A1403" s="12" t="s">
        <v>31359</v>
      </c>
      <c r="B1403" s="14">
        <v>272000</v>
      </c>
      <c r="C1403" s="14">
        <v>287500</v>
      </c>
      <c r="D1403" s="14">
        <v>195900</v>
      </c>
      <c r="E1403" s="14">
        <v>237187</v>
      </c>
      <c r="F1403" s="14">
        <v>151000</v>
      </c>
      <c r="G1403" s="14">
        <v>185006</v>
      </c>
      <c r="H1403" s="14">
        <v>139000</v>
      </c>
      <c r="I1403" s="14">
        <v>163000</v>
      </c>
      <c r="J1403" s="14">
        <v>3100</v>
      </c>
      <c r="K1403" s="14">
        <v>3660</v>
      </c>
      <c r="N1403" s="42">
        <f t="shared" si="60"/>
        <v>15500</v>
      </c>
      <c r="O1403" s="43">
        <f t="shared" si="61"/>
        <v>5.3913043478260869E-2</v>
      </c>
    </row>
    <row r="1404" spans="1:15" x14ac:dyDescent="0.45">
      <c r="A1404" s="12" t="s">
        <v>31360</v>
      </c>
      <c r="B1404" s="14">
        <v>272000</v>
      </c>
      <c r="C1404" s="14">
        <v>287500</v>
      </c>
      <c r="D1404" s="14">
        <v>195900</v>
      </c>
      <c r="E1404" s="14">
        <v>237187</v>
      </c>
      <c r="F1404" s="14">
        <v>151000</v>
      </c>
      <c r="G1404" s="14">
        <v>185006</v>
      </c>
      <c r="H1404" s="14">
        <v>140000</v>
      </c>
      <c r="I1404" s="14">
        <v>164000</v>
      </c>
      <c r="J1404" s="14">
        <v>3070</v>
      </c>
      <c r="K1404" s="14">
        <v>3630</v>
      </c>
      <c r="N1404" s="42">
        <f t="shared" si="60"/>
        <v>15500</v>
      </c>
      <c r="O1404" s="43">
        <f t="shared" si="61"/>
        <v>5.3913043478260869E-2</v>
      </c>
    </row>
    <row r="1405" spans="1:15" x14ac:dyDescent="0.45">
      <c r="A1405" s="12" t="s">
        <v>31361</v>
      </c>
      <c r="B1405" s="14">
        <v>271500</v>
      </c>
      <c r="C1405" s="14">
        <v>288000</v>
      </c>
      <c r="D1405" s="14">
        <v>195500</v>
      </c>
      <c r="E1405" s="14">
        <v>237600</v>
      </c>
      <c r="F1405" s="14">
        <v>150700</v>
      </c>
      <c r="G1405" s="14">
        <v>185328</v>
      </c>
      <c r="H1405" s="14">
        <v>139000</v>
      </c>
      <c r="I1405" s="14">
        <v>164000</v>
      </c>
      <c r="J1405" s="14">
        <v>2960</v>
      </c>
      <c r="K1405" s="14">
        <v>3630</v>
      </c>
      <c r="N1405" s="42">
        <f t="shared" si="60"/>
        <v>16500</v>
      </c>
      <c r="O1405" s="43">
        <f t="shared" si="61"/>
        <v>5.7291666666666664E-2</v>
      </c>
    </row>
    <row r="1406" spans="1:15" x14ac:dyDescent="0.45">
      <c r="A1406" s="12" t="s">
        <v>31362</v>
      </c>
      <c r="B1406" s="14">
        <v>271500</v>
      </c>
      <c r="C1406" s="14">
        <v>288500</v>
      </c>
      <c r="D1406" s="14">
        <v>195500</v>
      </c>
      <c r="E1406" s="14">
        <v>238012</v>
      </c>
      <c r="F1406" s="14">
        <v>150700</v>
      </c>
      <c r="G1406" s="14">
        <v>185649</v>
      </c>
      <c r="H1406" s="14">
        <v>139000</v>
      </c>
      <c r="I1406" s="14">
        <v>163000</v>
      </c>
      <c r="J1406" s="14">
        <v>3090</v>
      </c>
      <c r="K1406" s="14">
        <v>3650</v>
      </c>
      <c r="N1406" s="42">
        <f t="shared" si="60"/>
        <v>17000</v>
      </c>
      <c r="O1406" s="43">
        <f t="shared" si="61"/>
        <v>5.8925476603119586E-2</v>
      </c>
    </row>
    <row r="1407" spans="1:15" x14ac:dyDescent="0.45">
      <c r="A1407" s="12" t="s">
        <v>31363</v>
      </c>
      <c r="B1407" s="14">
        <v>273000</v>
      </c>
      <c r="C1407" s="14">
        <v>292000</v>
      </c>
      <c r="D1407" s="14">
        <v>196600</v>
      </c>
      <c r="E1407" s="14">
        <v>240900</v>
      </c>
      <c r="F1407" s="14">
        <v>151600</v>
      </c>
      <c r="G1407" s="14">
        <v>187902</v>
      </c>
      <c r="H1407" s="14">
        <v>142000</v>
      </c>
      <c r="I1407" s="14">
        <v>166000</v>
      </c>
      <c r="J1407" s="14">
        <v>3110</v>
      </c>
      <c r="K1407" s="14">
        <v>3670</v>
      </c>
      <c r="N1407" s="42">
        <f t="shared" si="60"/>
        <v>19000</v>
      </c>
      <c r="O1407" s="43">
        <f t="shared" si="61"/>
        <v>6.5068493150684928E-2</v>
      </c>
    </row>
    <row r="1408" spans="1:15" x14ac:dyDescent="0.45">
      <c r="A1408" s="12" t="s">
        <v>31364</v>
      </c>
      <c r="B1408" s="14">
        <v>272500</v>
      </c>
      <c r="C1408" s="14">
        <v>292000</v>
      </c>
      <c r="D1408" s="14">
        <v>196200</v>
      </c>
      <c r="E1408" s="14">
        <v>240900</v>
      </c>
      <c r="F1408" s="14">
        <v>151300</v>
      </c>
      <c r="G1408" s="14">
        <v>187902</v>
      </c>
      <c r="H1408" s="14">
        <v>136000</v>
      </c>
      <c r="I1408" s="14">
        <v>159000</v>
      </c>
      <c r="J1408" s="14">
        <v>3130</v>
      </c>
      <c r="K1408" s="14">
        <v>3690</v>
      </c>
      <c r="N1408" s="42">
        <f t="shared" si="60"/>
        <v>19500</v>
      </c>
      <c r="O1408" s="43">
        <f t="shared" si="61"/>
        <v>6.6780821917808222E-2</v>
      </c>
    </row>
    <row r="1409" spans="1:15" x14ac:dyDescent="0.45">
      <c r="A1409" s="12" t="s">
        <v>31365</v>
      </c>
      <c r="B1409" s="14">
        <v>272500</v>
      </c>
      <c r="C1409" s="14">
        <v>291500</v>
      </c>
      <c r="D1409" s="14">
        <v>196200</v>
      </c>
      <c r="E1409" s="14">
        <v>240487</v>
      </c>
      <c r="F1409" s="14">
        <v>151300</v>
      </c>
      <c r="G1409" s="14">
        <v>187580</v>
      </c>
      <c r="H1409" s="14">
        <v>131000</v>
      </c>
      <c r="I1409" s="14">
        <v>154000</v>
      </c>
      <c r="J1409" s="14">
        <v>3080</v>
      </c>
      <c r="K1409" s="14">
        <v>3640</v>
      </c>
      <c r="N1409" s="42">
        <f t="shared" si="60"/>
        <v>19000</v>
      </c>
      <c r="O1409" s="43">
        <f t="shared" si="61"/>
        <v>6.5180102915951971E-2</v>
      </c>
    </row>
    <row r="1410" spans="1:15" x14ac:dyDescent="0.45">
      <c r="A1410" s="12" t="s">
        <v>31366</v>
      </c>
      <c r="B1410" s="14">
        <v>271000</v>
      </c>
      <c r="C1410" s="14">
        <v>288000</v>
      </c>
      <c r="D1410" s="14">
        <v>195200</v>
      </c>
      <c r="E1410" s="14">
        <v>237600</v>
      </c>
      <c r="F1410" s="14">
        <v>150500</v>
      </c>
      <c r="G1410" s="14">
        <v>185328</v>
      </c>
      <c r="H1410" s="14">
        <v>133000</v>
      </c>
      <c r="I1410" s="14">
        <v>156000</v>
      </c>
      <c r="J1410" s="14">
        <v>3050</v>
      </c>
      <c r="K1410" s="14">
        <v>3610</v>
      </c>
      <c r="N1410" s="42">
        <f t="shared" si="60"/>
        <v>17000</v>
      </c>
      <c r="O1410" s="43">
        <f t="shared" si="61"/>
        <v>5.9027777777777776E-2</v>
      </c>
    </row>
    <row r="1411" spans="1:15" x14ac:dyDescent="0.45">
      <c r="A1411" s="12" t="s">
        <v>31367</v>
      </c>
      <c r="B1411" s="14">
        <v>271000</v>
      </c>
      <c r="C1411" s="14">
        <v>288000</v>
      </c>
      <c r="D1411" s="14">
        <v>195200</v>
      </c>
      <c r="E1411" s="14">
        <v>237600</v>
      </c>
      <c r="F1411" s="14">
        <v>150500</v>
      </c>
      <c r="G1411" s="14">
        <v>185328</v>
      </c>
      <c r="H1411" s="14">
        <v>133000</v>
      </c>
      <c r="I1411" s="14">
        <v>155000</v>
      </c>
      <c r="J1411" s="14">
        <v>3060</v>
      </c>
      <c r="K1411" s="14">
        <v>3630</v>
      </c>
      <c r="N1411" s="42">
        <f t="shared" si="60"/>
        <v>17000</v>
      </c>
      <c r="O1411" s="43">
        <f t="shared" si="61"/>
        <v>5.9027777777777776E-2</v>
      </c>
    </row>
    <row r="1412" spans="1:15" x14ac:dyDescent="0.45">
      <c r="A1412" s="12" t="s">
        <v>31368</v>
      </c>
      <c r="B1412" s="14">
        <v>272000</v>
      </c>
      <c r="C1412" s="14">
        <v>288500</v>
      </c>
      <c r="D1412" s="14">
        <v>195900</v>
      </c>
      <c r="E1412" s="14">
        <v>238012</v>
      </c>
      <c r="F1412" s="14">
        <v>151000</v>
      </c>
      <c r="G1412" s="14">
        <v>185649</v>
      </c>
      <c r="H1412" s="14">
        <v>133000</v>
      </c>
      <c r="I1412" s="14">
        <v>156000</v>
      </c>
      <c r="J1412" s="14">
        <v>3140</v>
      </c>
      <c r="K1412" s="14">
        <v>3720</v>
      </c>
      <c r="N1412" s="42">
        <f t="shared" si="60"/>
        <v>16500</v>
      </c>
      <c r="O1412" s="43">
        <f t="shared" si="61"/>
        <v>5.7192374350086658E-2</v>
      </c>
    </row>
    <row r="1413" spans="1:15" x14ac:dyDescent="0.45">
      <c r="A1413" s="12" t="s">
        <v>31369</v>
      </c>
      <c r="B1413" s="14">
        <v>273000</v>
      </c>
      <c r="C1413" s="14">
        <v>291000</v>
      </c>
      <c r="D1413" s="14">
        <v>196600</v>
      </c>
      <c r="E1413" s="14">
        <v>240075</v>
      </c>
      <c r="F1413" s="14">
        <v>151600</v>
      </c>
      <c r="G1413" s="14">
        <v>187258</v>
      </c>
      <c r="H1413" s="14">
        <v>133000</v>
      </c>
      <c r="I1413" s="14">
        <v>156000</v>
      </c>
      <c r="J1413" s="14">
        <v>3230</v>
      </c>
      <c r="K1413" s="14">
        <v>3810</v>
      </c>
      <c r="N1413" s="42">
        <f t="shared" si="60"/>
        <v>18000</v>
      </c>
      <c r="O1413" s="43">
        <f t="shared" si="61"/>
        <v>6.1855670103092786E-2</v>
      </c>
    </row>
    <row r="1414" spans="1:15" x14ac:dyDescent="0.45">
      <c r="A1414" s="12" t="s">
        <v>31370</v>
      </c>
      <c r="B1414" s="14">
        <v>273500</v>
      </c>
      <c r="C1414" s="14">
        <v>293000</v>
      </c>
      <c r="D1414" s="14">
        <v>197000</v>
      </c>
      <c r="E1414" s="14">
        <v>241725</v>
      </c>
      <c r="F1414" s="14">
        <v>151800</v>
      </c>
      <c r="G1414" s="14">
        <v>188545</v>
      </c>
      <c r="H1414" s="14">
        <v>132000</v>
      </c>
      <c r="I1414" s="14">
        <v>155000</v>
      </c>
      <c r="J1414" s="14">
        <v>3240</v>
      </c>
      <c r="K1414" s="14">
        <v>3820</v>
      </c>
      <c r="N1414" s="42">
        <f t="shared" si="60"/>
        <v>19500</v>
      </c>
      <c r="O1414" s="43">
        <f t="shared" si="61"/>
        <v>6.655290102389079E-2</v>
      </c>
    </row>
    <row r="1415" spans="1:15" x14ac:dyDescent="0.45">
      <c r="A1415" s="12" t="s">
        <v>31371</v>
      </c>
      <c r="B1415" s="14">
        <v>273000</v>
      </c>
      <c r="C1415" s="14">
        <v>292000</v>
      </c>
      <c r="D1415" s="14">
        <v>196600</v>
      </c>
      <c r="E1415" s="14">
        <v>240900</v>
      </c>
      <c r="F1415" s="14">
        <v>151600</v>
      </c>
      <c r="G1415" s="14">
        <v>187902</v>
      </c>
      <c r="H1415" s="14">
        <v>136000</v>
      </c>
      <c r="I1415" s="14">
        <v>159000</v>
      </c>
      <c r="J1415" s="14">
        <v>3220</v>
      </c>
      <c r="K1415" s="14">
        <v>3800</v>
      </c>
      <c r="N1415" s="42">
        <f t="shared" si="60"/>
        <v>19000</v>
      </c>
      <c r="O1415" s="43">
        <f t="shared" si="61"/>
        <v>6.5068493150684928E-2</v>
      </c>
    </row>
    <row r="1416" spans="1:15" x14ac:dyDescent="0.45">
      <c r="A1416" s="12" t="s">
        <v>31372</v>
      </c>
      <c r="B1416" s="14">
        <v>272500</v>
      </c>
      <c r="C1416" s="14">
        <v>291500</v>
      </c>
      <c r="D1416" s="14">
        <v>196200</v>
      </c>
      <c r="E1416" s="14">
        <v>240487</v>
      </c>
      <c r="F1416" s="14">
        <v>151300</v>
      </c>
      <c r="G1416" s="14">
        <v>187580</v>
      </c>
      <c r="H1416" s="14">
        <v>135000</v>
      </c>
      <c r="I1416" s="14">
        <v>158000</v>
      </c>
      <c r="J1416" s="14">
        <v>3230</v>
      </c>
      <c r="K1416" s="14">
        <v>3810</v>
      </c>
      <c r="N1416" s="42">
        <f t="shared" si="60"/>
        <v>19000</v>
      </c>
      <c r="O1416" s="43">
        <f t="shared" si="61"/>
        <v>6.5180102915951971E-2</v>
      </c>
    </row>
    <row r="1417" spans="1:15" x14ac:dyDescent="0.45">
      <c r="A1417" s="12" t="s">
        <v>31373</v>
      </c>
      <c r="B1417" s="14">
        <v>272500</v>
      </c>
      <c r="C1417" s="14">
        <v>291500</v>
      </c>
      <c r="D1417" s="14">
        <v>196200</v>
      </c>
      <c r="E1417" s="14">
        <v>240487</v>
      </c>
      <c r="F1417" s="14">
        <v>151300</v>
      </c>
      <c r="G1417" s="14">
        <v>187580</v>
      </c>
      <c r="H1417" s="14">
        <v>134000</v>
      </c>
      <c r="I1417" s="14">
        <v>157000</v>
      </c>
      <c r="J1417" s="14">
        <v>3220</v>
      </c>
      <c r="K1417" s="14">
        <v>3800</v>
      </c>
      <c r="N1417" s="42">
        <f t="shared" si="60"/>
        <v>19000</v>
      </c>
      <c r="O1417" s="43">
        <f t="shared" si="61"/>
        <v>6.5180102915951971E-2</v>
      </c>
    </row>
    <row r="1418" spans="1:15" x14ac:dyDescent="0.45">
      <c r="A1418" s="12" t="s">
        <v>31374</v>
      </c>
      <c r="B1418" s="14">
        <v>273000</v>
      </c>
      <c r="C1418" s="14">
        <v>292000</v>
      </c>
      <c r="D1418" s="14">
        <v>196600</v>
      </c>
      <c r="E1418" s="14">
        <v>240900</v>
      </c>
      <c r="F1418" s="14">
        <v>151600</v>
      </c>
      <c r="G1418" s="14">
        <v>187902</v>
      </c>
      <c r="H1418" s="14">
        <v>138000</v>
      </c>
      <c r="I1418" s="14">
        <v>161000</v>
      </c>
      <c r="J1418" s="14">
        <v>3260</v>
      </c>
      <c r="K1418" s="14">
        <v>3850</v>
      </c>
      <c r="N1418" s="42">
        <f t="shared" si="60"/>
        <v>19000</v>
      </c>
      <c r="O1418" s="43">
        <f t="shared" si="61"/>
        <v>6.5068493150684928E-2</v>
      </c>
    </row>
    <row r="1419" spans="1:15" x14ac:dyDescent="0.45">
      <c r="A1419" s="12" t="s">
        <v>31375</v>
      </c>
      <c r="B1419" s="14">
        <v>272500</v>
      </c>
      <c r="C1419" s="14">
        <v>291000</v>
      </c>
      <c r="D1419" s="14">
        <v>196200</v>
      </c>
      <c r="E1419" s="14">
        <v>240075</v>
      </c>
      <c r="F1419" s="14">
        <v>151300</v>
      </c>
      <c r="G1419" s="14">
        <v>187258</v>
      </c>
      <c r="H1419" s="14">
        <v>137000</v>
      </c>
      <c r="I1419" s="14">
        <v>160000</v>
      </c>
      <c r="J1419" s="14">
        <v>3240</v>
      </c>
      <c r="K1419" s="14">
        <v>3820</v>
      </c>
      <c r="N1419" s="42">
        <f t="shared" si="60"/>
        <v>18500</v>
      </c>
      <c r="O1419" s="43">
        <f t="shared" si="61"/>
        <v>6.3573883161512024E-2</v>
      </c>
    </row>
    <row r="1420" spans="1:15" x14ac:dyDescent="0.45">
      <c r="A1420" s="12" t="s">
        <v>31376</v>
      </c>
      <c r="B1420" s="14">
        <v>272500</v>
      </c>
      <c r="C1420" s="14">
        <v>291500</v>
      </c>
      <c r="D1420" s="14">
        <v>196200</v>
      </c>
      <c r="E1420" s="14">
        <v>240487</v>
      </c>
      <c r="F1420" s="14">
        <v>151300</v>
      </c>
      <c r="G1420" s="14">
        <v>187580</v>
      </c>
      <c r="H1420" s="14">
        <v>140000</v>
      </c>
      <c r="I1420" s="14">
        <v>165000</v>
      </c>
      <c r="J1420" s="14">
        <v>3290</v>
      </c>
      <c r="K1420" s="14">
        <v>3880</v>
      </c>
      <c r="N1420" s="42">
        <f t="shared" si="60"/>
        <v>19000</v>
      </c>
      <c r="O1420" s="43">
        <f t="shared" si="61"/>
        <v>6.5180102915951971E-2</v>
      </c>
    </row>
    <row r="1421" spans="1:15" x14ac:dyDescent="0.45">
      <c r="A1421" s="12" t="s">
        <v>31377</v>
      </c>
      <c r="B1421" s="14">
        <v>273500</v>
      </c>
      <c r="C1421" s="14">
        <v>293000</v>
      </c>
      <c r="D1421" s="14">
        <v>197000</v>
      </c>
      <c r="E1421" s="14">
        <v>241725</v>
      </c>
      <c r="F1421" s="14">
        <v>151800</v>
      </c>
      <c r="G1421" s="14">
        <v>188545</v>
      </c>
      <c r="H1421" s="14">
        <v>142000</v>
      </c>
      <c r="I1421" s="14">
        <v>166000</v>
      </c>
      <c r="J1421" s="14">
        <v>3310</v>
      </c>
      <c r="K1421" s="14">
        <v>3900</v>
      </c>
      <c r="N1421" s="42">
        <f t="shared" si="60"/>
        <v>19500</v>
      </c>
      <c r="O1421" s="43">
        <f t="shared" si="61"/>
        <v>6.655290102389079E-2</v>
      </c>
    </row>
    <row r="1422" spans="1:15" x14ac:dyDescent="0.45">
      <c r="A1422" s="12" t="s">
        <v>31378</v>
      </c>
      <c r="B1422" s="14">
        <v>273000</v>
      </c>
      <c r="C1422" s="14">
        <v>293000</v>
      </c>
      <c r="D1422" s="14">
        <v>196600</v>
      </c>
      <c r="E1422" s="14">
        <v>241725</v>
      </c>
      <c r="F1422" s="14">
        <v>151600</v>
      </c>
      <c r="G1422" s="14">
        <v>188545</v>
      </c>
      <c r="H1422" s="14">
        <v>142000</v>
      </c>
      <c r="I1422" s="14">
        <v>167000</v>
      </c>
      <c r="J1422" s="14">
        <v>3320</v>
      </c>
      <c r="K1422" s="14">
        <v>3920</v>
      </c>
      <c r="N1422" s="42">
        <f t="shared" si="60"/>
        <v>20000</v>
      </c>
      <c r="O1422" s="43">
        <f t="shared" si="61"/>
        <v>6.8259385665529013E-2</v>
      </c>
    </row>
    <row r="1423" spans="1:15" x14ac:dyDescent="0.45">
      <c r="A1423" s="12" t="s">
        <v>31379</v>
      </c>
      <c r="B1423" s="14">
        <v>273000</v>
      </c>
      <c r="C1423" s="14">
        <v>293000</v>
      </c>
      <c r="D1423" s="14">
        <v>196600</v>
      </c>
      <c r="E1423" s="14">
        <v>241725</v>
      </c>
      <c r="F1423" s="14">
        <v>151600</v>
      </c>
      <c r="G1423" s="14">
        <v>188545</v>
      </c>
      <c r="H1423" s="14">
        <v>142000</v>
      </c>
      <c r="I1423" s="14">
        <v>166000</v>
      </c>
      <c r="J1423" s="14">
        <v>3310</v>
      </c>
      <c r="K1423" s="14">
        <v>3910</v>
      </c>
      <c r="N1423" s="42">
        <f t="shared" si="60"/>
        <v>20000</v>
      </c>
      <c r="O1423" s="43">
        <f t="shared" si="61"/>
        <v>6.8259385665529013E-2</v>
      </c>
    </row>
    <row r="1424" spans="1:15" x14ac:dyDescent="0.45">
      <c r="A1424" s="12" t="s">
        <v>31380</v>
      </c>
      <c r="B1424" s="14">
        <v>272000</v>
      </c>
      <c r="C1424" s="14">
        <v>292000</v>
      </c>
      <c r="D1424" s="14">
        <v>195900</v>
      </c>
      <c r="E1424" s="14">
        <v>240900</v>
      </c>
      <c r="F1424" s="14">
        <v>151000</v>
      </c>
      <c r="G1424" s="14">
        <v>187902</v>
      </c>
      <c r="H1424" s="14">
        <v>139000</v>
      </c>
      <c r="I1424" s="14">
        <v>163000</v>
      </c>
      <c r="J1424" s="14">
        <v>3210</v>
      </c>
      <c r="K1424" s="14">
        <v>3790</v>
      </c>
      <c r="N1424" s="42">
        <f t="shared" si="60"/>
        <v>20000</v>
      </c>
      <c r="O1424" s="43">
        <f t="shared" si="61"/>
        <v>6.8493150684931503E-2</v>
      </c>
    </row>
    <row r="1425" spans="1:15" x14ac:dyDescent="0.45">
      <c r="A1425" s="12" t="s">
        <v>31381</v>
      </c>
      <c r="B1425" s="14">
        <v>272500</v>
      </c>
      <c r="C1425" s="14">
        <v>292500</v>
      </c>
      <c r="D1425" s="14">
        <v>196200</v>
      </c>
      <c r="E1425" s="14">
        <v>241312</v>
      </c>
      <c r="F1425" s="14">
        <v>151300</v>
      </c>
      <c r="G1425" s="14">
        <v>188223</v>
      </c>
      <c r="H1425" s="14">
        <v>139000</v>
      </c>
      <c r="I1425" s="14">
        <v>163000</v>
      </c>
      <c r="J1425" s="14">
        <v>3250</v>
      </c>
      <c r="K1425" s="14">
        <v>3830</v>
      </c>
      <c r="N1425" s="42">
        <f t="shared" si="60"/>
        <v>20000</v>
      </c>
      <c r="O1425" s="43">
        <f t="shared" si="61"/>
        <v>6.8376068376068383E-2</v>
      </c>
    </row>
    <row r="1426" spans="1:15" x14ac:dyDescent="0.45">
      <c r="A1426" s="12" t="s">
        <v>31382</v>
      </c>
      <c r="B1426" s="14">
        <v>271500</v>
      </c>
      <c r="C1426" s="14">
        <v>292500</v>
      </c>
      <c r="D1426" s="14">
        <v>195500</v>
      </c>
      <c r="E1426" s="14">
        <v>241312</v>
      </c>
      <c r="F1426" s="14">
        <v>150700</v>
      </c>
      <c r="G1426" s="14">
        <v>188223</v>
      </c>
      <c r="H1426" s="14">
        <v>141000</v>
      </c>
      <c r="I1426" s="14">
        <v>165000</v>
      </c>
      <c r="J1426" s="14">
        <v>3200</v>
      </c>
      <c r="K1426" s="14">
        <v>3780</v>
      </c>
      <c r="N1426" s="42">
        <f t="shared" si="60"/>
        <v>21000</v>
      </c>
      <c r="O1426" s="43">
        <f t="shared" si="61"/>
        <v>7.179487179487179E-2</v>
      </c>
    </row>
    <row r="1427" spans="1:15" x14ac:dyDescent="0.45">
      <c r="A1427" s="12" t="s">
        <v>31383</v>
      </c>
      <c r="B1427" s="14">
        <v>272500</v>
      </c>
      <c r="C1427" s="14">
        <v>293000</v>
      </c>
      <c r="D1427" s="14">
        <v>196200</v>
      </c>
      <c r="E1427" s="14">
        <v>241725</v>
      </c>
      <c r="F1427" s="14">
        <v>151300</v>
      </c>
      <c r="G1427" s="14">
        <v>188545</v>
      </c>
      <c r="H1427" s="14">
        <v>141000</v>
      </c>
      <c r="I1427" s="14">
        <v>165000</v>
      </c>
      <c r="J1427" s="14">
        <v>3250</v>
      </c>
      <c r="K1427" s="14">
        <v>3830</v>
      </c>
      <c r="N1427" s="42">
        <f t="shared" si="60"/>
        <v>20500</v>
      </c>
      <c r="O1427" s="43">
        <f t="shared" si="61"/>
        <v>6.9965870307167236E-2</v>
      </c>
    </row>
    <row r="1428" spans="1:15" x14ac:dyDescent="0.45">
      <c r="A1428" s="12" t="s">
        <v>31384</v>
      </c>
      <c r="B1428" s="14">
        <v>272500</v>
      </c>
      <c r="C1428" s="14">
        <v>294000</v>
      </c>
      <c r="D1428" s="14">
        <v>196200</v>
      </c>
      <c r="E1428" s="14">
        <v>242550</v>
      </c>
      <c r="F1428" s="14">
        <v>151300</v>
      </c>
      <c r="G1428" s="14">
        <v>189189</v>
      </c>
      <c r="H1428" s="14">
        <v>142000</v>
      </c>
      <c r="I1428" s="14">
        <v>166000</v>
      </c>
      <c r="J1428" s="14">
        <v>3250</v>
      </c>
      <c r="K1428" s="14">
        <v>3830</v>
      </c>
      <c r="N1428" s="42">
        <f t="shared" si="60"/>
        <v>21500</v>
      </c>
      <c r="O1428" s="43">
        <f t="shared" si="61"/>
        <v>7.312925170068027E-2</v>
      </c>
    </row>
    <row r="1429" spans="1:15" x14ac:dyDescent="0.45">
      <c r="A1429" s="12" t="s">
        <v>31385</v>
      </c>
      <c r="B1429" s="14">
        <v>272500</v>
      </c>
      <c r="C1429" s="14">
        <v>293000</v>
      </c>
      <c r="D1429" s="14">
        <v>196200</v>
      </c>
      <c r="E1429" s="14">
        <v>241725</v>
      </c>
      <c r="F1429" s="14">
        <v>151300</v>
      </c>
      <c r="G1429" s="14">
        <v>188545</v>
      </c>
      <c r="H1429" s="14">
        <v>141000</v>
      </c>
      <c r="I1429" s="14">
        <v>165000</v>
      </c>
      <c r="J1429" s="14">
        <v>3240</v>
      </c>
      <c r="K1429" s="14">
        <v>3820</v>
      </c>
      <c r="N1429" s="42">
        <f t="shared" si="60"/>
        <v>20500</v>
      </c>
      <c r="O1429" s="43">
        <f t="shared" si="61"/>
        <v>6.9965870307167236E-2</v>
      </c>
    </row>
    <row r="1430" spans="1:15" x14ac:dyDescent="0.45">
      <c r="A1430" s="12" t="s">
        <v>31386</v>
      </c>
      <c r="B1430" s="14">
        <v>271500</v>
      </c>
      <c r="C1430" s="14">
        <v>290000</v>
      </c>
      <c r="D1430" s="14">
        <v>195500</v>
      </c>
      <c r="E1430" s="14">
        <v>239250</v>
      </c>
      <c r="F1430" s="14">
        <v>150700</v>
      </c>
      <c r="G1430" s="14">
        <v>186615</v>
      </c>
      <c r="H1430" s="14">
        <v>139000</v>
      </c>
      <c r="I1430" s="14">
        <v>164000</v>
      </c>
      <c r="J1430" s="14">
        <v>3220</v>
      </c>
      <c r="K1430" s="14">
        <v>3810</v>
      </c>
      <c r="N1430" s="42">
        <f t="shared" si="60"/>
        <v>18500</v>
      </c>
      <c r="O1430" s="43">
        <f t="shared" si="61"/>
        <v>6.3793103448275865E-2</v>
      </c>
    </row>
    <row r="1431" spans="1:15" x14ac:dyDescent="0.45">
      <c r="A1431" s="12" t="s">
        <v>31387</v>
      </c>
      <c r="B1431" s="14">
        <v>271500</v>
      </c>
      <c r="C1431" s="14">
        <v>291000</v>
      </c>
      <c r="D1431" s="14">
        <v>195500</v>
      </c>
      <c r="E1431" s="14">
        <v>240075</v>
      </c>
      <c r="F1431" s="14">
        <v>150700</v>
      </c>
      <c r="G1431" s="14">
        <v>187258</v>
      </c>
      <c r="H1431" s="14">
        <v>141000</v>
      </c>
      <c r="I1431" s="14">
        <v>166000</v>
      </c>
      <c r="J1431" s="14">
        <v>3180</v>
      </c>
      <c r="K1431" s="14">
        <v>3790</v>
      </c>
      <c r="N1431" s="42">
        <f t="shared" si="60"/>
        <v>19500</v>
      </c>
      <c r="O1431" s="43">
        <f t="shared" si="61"/>
        <v>6.7010309278350513E-2</v>
      </c>
    </row>
    <row r="1432" spans="1:15" x14ac:dyDescent="0.45">
      <c r="A1432" s="12" t="s">
        <v>31388</v>
      </c>
      <c r="B1432" s="14">
        <v>272500</v>
      </c>
      <c r="C1432" s="14">
        <v>293000</v>
      </c>
      <c r="D1432" s="14">
        <v>196200</v>
      </c>
      <c r="E1432" s="14">
        <v>241725</v>
      </c>
      <c r="F1432" s="14">
        <v>151300</v>
      </c>
      <c r="G1432" s="14">
        <v>188545</v>
      </c>
      <c r="H1432" s="14">
        <v>143000</v>
      </c>
      <c r="I1432" s="14">
        <v>168000</v>
      </c>
      <c r="J1432" s="14">
        <v>3170</v>
      </c>
      <c r="K1432" s="14">
        <v>3780</v>
      </c>
      <c r="N1432" s="42">
        <f t="shared" si="60"/>
        <v>20500</v>
      </c>
      <c r="O1432" s="43">
        <f t="shared" si="61"/>
        <v>6.9965870307167236E-2</v>
      </c>
    </row>
    <row r="1433" spans="1:15" x14ac:dyDescent="0.45">
      <c r="A1433" s="12" t="s">
        <v>31389</v>
      </c>
      <c r="B1433" s="14">
        <v>272500</v>
      </c>
      <c r="C1433" s="14">
        <v>291500</v>
      </c>
      <c r="D1433" s="14">
        <v>196200</v>
      </c>
      <c r="E1433" s="14">
        <v>240487</v>
      </c>
      <c r="F1433" s="14">
        <v>151300</v>
      </c>
      <c r="G1433" s="14">
        <v>187580</v>
      </c>
      <c r="H1433" s="14">
        <v>140000</v>
      </c>
      <c r="I1433" s="14">
        <v>165000</v>
      </c>
      <c r="J1433" s="14">
        <v>3110</v>
      </c>
      <c r="K1433" s="14">
        <v>3710</v>
      </c>
      <c r="N1433" s="42">
        <f t="shared" si="60"/>
        <v>19000</v>
      </c>
      <c r="O1433" s="43">
        <f t="shared" si="61"/>
        <v>6.5180102915951971E-2</v>
      </c>
    </row>
    <row r="1434" spans="1:15" x14ac:dyDescent="0.45">
      <c r="A1434" s="12" t="s">
        <v>31390</v>
      </c>
      <c r="B1434" s="14">
        <v>272500</v>
      </c>
      <c r="C1434" s="14">
        <v>292500</v>
      </c>
      <c r="D1434" s="14">
        <v>196200</v>
      </c>
      <c r="E1434" s="14">
        <v>241312</v>
      </c>
      <c r="F1434" s="14">
        <v>151300</v>
      </c>
      <c r="G1434" s="14">
        <v>188223</v>
      </c>
      <c r="H1434" s="14">
        <v>141000</v>
      </c>
      <c r="I1434" s="14">
        <v>166000</v>
      </c>
      <c r="J1434" s="14">
        <v>3110</v>
      </c>
      <c r="K1434" s="14">
        <v>3700</v>
      </c>
      <c r="N1434" s="42">
        <f t="shared" si="60"/>
        <v>20000</v>
      </c>
      <c r="O1434" s="43">
        <f t="shared" si="61"/>
        <v>6.8376068376068383E-2</v>
      </c>
    </row>
    <row r="1435" spans="1:15" x14ac:dyDescent="0.45">
      <c r="A1435" s="12" t="s">
        <v>31391</v>
      </c>
      <c r="B1435" s="14">
        <v>271500</v>
      </c>
      <c r="C1435" s="14">
        <v>291000</v>
      </c>
      <c r="D1435" s="14">
        <v>195500</v>
      </c>
      <c r="E1435" s="14">
        <v>240075</v>
      </c>
      <c r="F1435" s="14">
        <v>150700</v>
      </c>
      <c r="G1435" s="14">
        <v>187258</v>
      </c>
      <c r="H1435" s="14">
        <v>140000</v>
      </c>
      <c r="I1435" s="14">
        <v>165000</v>
      </c>
      <c r="J1435" s="14">
        <v>3150</v>
      </c>
      <c r="K1435" s="14">
        <v>3760</v>
      </c>
      <c r="N1435" s="42">
        <f t="shared" si="60"/>
        <v>19500</v>
      </c>
      <c r="O1435" s="43">
        <f t="shared" si="61"/>
        <v>6.7010309278350513E-2</v>
      </c>
    </row>
    <row r="1436" spans="1:15" x14ac:dyDescent="0.45">
      <c r="A1436" s="12" t="s">
        <v>31392</v>
      </c>
      <c r="B1436" s="14">
        <v>271500</v>
      </c>
      <c r="C1436" s="14">
        <v>292500</v>
      </c>
      <c r="D1436" s="14">
        <v>195500</v>
      </c>
      <c r="E1436" s="14">
        <v>241312</v>
      </c>
      <c r="F1436" s="14">
        <v>150700</v>
      </c>
      <c r="G1436" s="14">
        <v>188223</v>
      </c>
      <c r="H1436" s="14">
        <v>141000</v>
      </c>
      <c r="I1436" s="14">
        <v>166000</v>
      </c>
      <c r="J1436" s="14">
        <v>3200</v>
      </c>
      <c r="K1436" s="14">
        <v>3810</v>
      </c>
      <c r="N1436" s="42">
        <f t="shared" si="60"/>
        <v>21000</v>
      </c>
      <c r="O1436" s="43">
        <f t="shared" si="61"/>
        <v>7.179487179487179E-2</v>
      </c>
    </row>
    <row r="1437" spans="1:15" x14ac:dyDescent="0.45">
      <c r="A1437" s="12" t="s">
        <v>31393</v>
      </c>
      <c r="B1437" s="14">
        <v>270000</v>
      </c>
      <c r="C1437" s="14">
        <v>289500</v>
      </c>
      <c r="D1437" s="14">
        <v>194400</v>
      </c>
      <c r="E1437" s="14">
        <v>238837</v>
      </c>
      <c r="F1437" s="14">
        <v>149900</v>
      </c>
      <c r="G1437" s="14">
        <v>186293</v>
      </c>
      <c r="H1437" s="14">
        <v>143000</v>
      </c>
      <c r="I1437" s="14">
        <v>168000</v>
      </c>
      <c r="J1437" s="14">
        <v>3160</v>
      </c>
      <c r="K1437" s="14">
        <v>3780</v>
      </c>
      <c r="N1437" s="42">
        <f t="shared" si="60"/>
        <v>19500</v>
      </c>
      <c r="O1437" s="43">
        <f t="shared" si="61"/>
        <v>6.7357512953367879E-2</v>
      </c>
    </row>
    <row r="1438" spans="1:15" x14ac:dyDescent="0.45">
      <c r="A1438" s="12" t="s">
        <v>31394</v>
      </c>
      <c r="B1438" s="14">
        <v>270000</v>
      </c>
      <c r="C1438" s="14">
        <v>289000</v>
      </c>
      <c r="D1438" s="14">
        <v>194400</v>
      </c>
      <c r="E1438" s="14">
        <v>238425</v>
      </c>
      <c r="F1438" s="14">
        <v>149900</v>
      </c>
      <c r="G1438" s="14">
        <v>185971</v>
      </c>
      <c r="H1438" s="14">
        <v>144000</v>
      </c>
      <c r="I1438" s="14">
        <v>169000</v>
      </c>
      <c r="J1438" s="14">
        <v>3170</v>
      </c>
      <c r="K1438" s="14">
        <v>3780</v>
      </c>
      <c r="N1438" s="42">
        <f t="shared" si="60"/>
        <v>19000</v>
      </c>
      <c r="O1438" s="43">
        <f t="shared" si="61"/>
        <v>6.5743944636678195E-2</v>
      </c>
    </row>
    <row r="1439" spans="1:15" x14ac:dyDescent="0.45">
      <c r="A1439" s="12" t="s">
        <v>31395</v>
      </c>
      <c r="B1439" s="14">
        <v>269500</v>
      </c>
      <c r="C1439" s="14">
        <v>287000</v>
      </c>
      <c r="D1439" s="14">
        <v>194100</v>
      </c>
      <c r="E1439" s="14">
        <v>236775</v>
      </c>
      <c r="F1439" s="14">
        <v>149600</v>
      </c>
      <c r="G1439" s="14">
        <v>184684</v>
      </c>
      <c r="H1439" s="14">
        <v>143000</v>
      </c>
      <c r="I1439" s="14">
        <v>168000</v>
      </c>
      <c r="J1439" s="14">
        <v>3120</v>
      </c>
      <c r="K1439" s="14">
        <v>3730</v>
      </c>
      <c r="N1439" s="42">
        <f t="shared" si="60"/>
        <v>17500</v>
      </c>
      <c r="O1439" s="43">
        <f t="shared" si="61"/>
        <v>6.097560975609756E-2</v>
      </c>
    </row>
    <row r="1440" spans="1:15" x14ac:dyDescent="0.45">
      <c r="A1440" s="12" t="s">
        <v>31396</v>
      </c>
      <c r="B1440" s="14">
        <v>266000</v>
      </c>
      <c r="C1440" s="14">
        <v>281000</v>
      </c>
      <c r="D1440" s="14">
        <v>191600</v>
      </c>
      <c r="E1440" s="14">
        <v>231825</v>
      </c>
      <c r="F1440" s="14">
        <v>147700</v>
      </c>
      <c r="G1440" s="14">
        <v>180823</v>
      </c>
      <c r="H1440" s="14">
        <v>139000</v>
      </c>
      <c r="I1440" s="14">
        <v>163000</v>
      </c>
      <c r="J1440" s="14">
        <v>3110</v>
      </c>
      <c r="K1440" s="14">
        <v>3720</v>
      </c>
      <c r="N1440" s="42">
        <f t="shared" si="60"/>
        <v>15000</v>
      </c>
      <c r="O1440" s="43">
        <f t="shared" si="61"/>
        <v>5.3380782918149468E-2</v>
      </c>
    </row>
    <row r="1441" spans="1:15" x14ac:dyDescent="0.45">
      <c r="A1441" s="12" t="s">
        <v>31397</v>
      </c>
      <c r="B1441" s="14">
        <v>265000</v>
      </c>
      <c r="C1441" s="14">
        <v>280000</v>
      </c>
      <c r="D1441" s="14">
        <v>190800</v>
      </c>
      <c r="E1441" s="14">
        <v>231000</v>
      </c>
      <c r="F1441" s="14">
        <v>147100</v>
      </c>
      <c r="G1441" s="14">
        <v>180180</v>
      </c>
      <c r="H1441" s="14">
        <v>136000</v>
      </c>
      <c r="I1441" s="14">
        <v>160000</v>
      </c>
      <c r="J1441" s="14">
        <v>3120</v>
      </c>
      <c r="K1441" s="14">
        <v>3730</v>
      </c>
      <c r="N1441" s="42">
        <f t="shared" si="60"/>
        <v>15000</v>
      </c>
      <c r="O1441" s="43">
        <f t="shared" si="61"/>
        <v>5.3571428571428568E-2</v>
      </c>
    </row>
    <row r="1442" spans="1:15" x14ac:dyDescent="0.45">
      <c r="A1442" s="12" t="s">
        <v>31398</v>
      </c>
      <c r="B1442" s="14">
        <v>264500</v>
      </c>
      <c r="C1442" s="14">
        <v>280000</v>
      </c>
      <c r="D1442" s="14">
        <v>190500</v>
      </c>
      <c r="E1442" s="14">
        <v>231000</v>
      </c>
      <c r="F1442" s="14">
        <v>146800</v>
      </c>
      <c r="G1442" s="14">
        <v>180180</v>
      </c>
      <c r="H1442" s="14">
        <v>134000</v>
      </c>
      <c r="I1442" s="14">
        <v>157000</v>
      </c>
      <c r="J1442" s="14">
        <v>3150</v>
      </c>
      <c r="K1442" s="14">
        <v>3750</v>
      </c>
      <c r="N1442" s="42">
        <f t="shared" si="60"/>
        <v>15500</v>
      </c>
      <c r="O1442" s="43">
        <f t="shared" si="61"/>
        <v>5.5357142857142855E-2</v>
      </c>
    </row>
    <row r="1443" spans="1:15" x14ac:dyDescent="0.45">
      <c r="A1443" s="12" t="s">
        <v>31399</v>
      </c>
      <c r="B1443" s="14">
        <v>267000</v>
      </c>
      <c r="C1443" s="14">
        <v>283500</v>
      </c>
      <c r="D1443" s="14">
        <v>192300</v>
      </c>
      <c r="E1443" s="14">
        <v>233887</v>
      </c>
      <c r="F1443" s="14">
        <v>148200</v>
      </c>
      <c r="G1443" s="14">
        <v>182432</v>
      </c>
      <c r="H1443" s="14">
        <v>135000</v>
      </c>
      <c r="I1443" s="14">
        <v>157000</v>
      </c>
      <c r="J1443" s="14">
        <v>3210</v>
      </c>
      <c r="K1443" s="14">
        <v>3850</v>
      </c>
      <c r="N1443" s="42">
        <f t="shared" si="60"/>
        <v>16500</v>
      </c>
      <c r="O1443" s="43">
        <f t="shared" si="61"/>
        <v>5.8201058201058198E-2</v>
      </c>
    </row>
    <row r="1444" spans="1:15" x14ac:dyDescent="0.45">
      <c r="A1444" s="12" t="s">
        <v>31400</v>
      </c>
      <c r="B1444" s="14">
        <v>270500</v>
      </c>
      <c r="C1444" s="14">
        <v>287500</v>
      </c>
      <c r="D1444" s="14">
        <v>194800</v>
      </c>
      <c r="E1444" s="14">
        <v>237187</v>
      </c>
      <c r="F1444" s="14">
        <v>150200</v>
      </c>
      <c r="G1444" s="14">
        <v>185006</v>
      </c>
      <c r="H1444" s="14">
        <v>137000</v>
      </c>
      <c r="I1444" s="14">
        <v>161000</v>
      </c>
      <c r="J1444" s="14">
        <v>3290</v>
      </c>
      <c r="K1444" s="14">
        <v>3930</v>
      </c>
      <c r="N1444" s="42">
        <f t="shared" si="60"/>
        <v>17000</v>
      </c>
      <c r="O1444" s="43">
        <f t="shared" si="61"/>
        <v>5.9130434782608696E-2</v>
      </c>
    </row>
    <row r="1445" spans="1:15" x14ac:dyDescent="0.45">
      <c r="A1445" s="12" t="s">
        <v>31401</v>
      </c>
      <c r="B1445" s="14">
        <v>271000</v>
      </c>
      <c r="C1445" s="14">
        <v>290000</v>
      </c>
      <c r="D1445" s="14">
        <v>195200</v>
      </c>
      <c r="E1445" s="14">
        <v>239250</v>
      </c>
      <c r="F1445" s="14">
        <v>150500</v>
      </c>
      <c r="G1445" s="14">
        <v>186615</v>
      </c>
      <c r="H1445" s="14">
        <v>144000</v>
      </c>
      <c r="I1445" s="14">
        <v>170000</v>
      </c>
      <c r="J1445" s="14">
        <v>3370</v>
      </c>
      <c r="K1445" s="14">
        <v>4010</v>
      </c>
      <c r="N1445" s="42">
        <f t="shared" si="60"/>
        <v>19000</v>
      </c>
      <c r="O1445" s="43">
        <f t="shared" si="61"/>
        <v>6.5517241379310351E-2</v>
      </c>
    </row>
    <row r="1446" spans="1:15" x14ac:dyDescent="0.45">
      <c r="A1446" s="12" t="s">
        <v>31402</v>
      </c>
      <c r="B1446" s="14">
        <v>271000</v>
      </c>
      <c r="C1446" s="14">
        <v>290500</v>
      </c>
      <c r="D1446" s="14">
        <v>195200</v>
      </c>
      <c r="E1446" s="14">
        <v>239662</v>
      </c>
      <c r="F1446" s="14">
        <v>150500</v>
      </c>
      <c r="G1446" s="14">
        <v>186936</v>
      </c>
      <c r="H1446" s="14">
        <v>146000</v>
      </c>
      <c r="I1446" s="14">
        <v>172000</v>
      </c>
      <c r="J1446" s="14">
        <v>3350</v>
      </c>
      <c r="K1446" s="14">
        <v>3990</v>
      </c>
      <c r="N1446" s="42">
        <f t="shared" si="60"/>
        <v>19500</v>
      </c>
      <c r="O1446" s="43">
        <f t="shared" si="61"/>
        <v>6.7125645438898457E-2</v>
      </c>
    </row>
    <row r="1447" spans="1:15" x14ac:dyDescent="0.45">
      <c r="A1447" s="12" t="s">
        <v>31403</v>
      </c>
      <c r="B1447" s="14">
        <v>271000</v>
      </c>
      <c r="C1447" s="14">
        <v>291000</v>
      </c>
      <c r="D1447" s="14">
        <v>195200</v>
      </c>
      <c r="E1447" s="14">
        <v>240075</v>
      </c>
      <c r="F1447" s="14">
        <v>150500</v>
      </c>
      <c r="G1447" s="14">
        <v>187258</v>
      </c>
      <c r="H1447" s="14">
        <v>146000</v>
      </c>
      <c r="I1447" s="14">
        <v>172000</v>
      </c>
      <c r="J1447" s="14">
        <v>3370</v>
      </c>
      <c r="K1447" s="14">
        <v>4010</v>
      </c>
      <c r="N1447" s="42">
        <f t="shared" si="60"/>
        <v>20000</v>
      </c>
      <c r="O1447" s="43">
        <f t="shared" si="61"/>
        <v>6.8728522336769765E-2</v>
      </c>
    </row>
    <row r="1448" spans="1:15" x14ac:dyDescent="0.45">
      <c r="A1448" s="12" t="s">
        <v>31404</v>
      </c>
      <c r="B1448" s="14">
        <v>271000</v>
      </c>
      <c r="C1448" s="14">
        <v>291500</v>
      </c>
      <c r="D1448" s="14">
        <v>195200</v>
      </c>
      <c r="E1448" s="14">
        <v>240487</v>
      </c>
      <c r="F1448" s="14">
        <v>150500</v>
      </c>
      <c r="G1448" s="14">
        <v>187580</v>
      </c>
      <c r="H1448" s="14">
        <v>145000</v>
      </c>
      <c r="I1448" s="14">
        <v>171000</v>
      </c>
      <c r="J1448" s="14">
        <v>3370</v>
      </c>
      <c r="K1448" s="14">
        <v>4020</v>
      </c>
      <c r="N1448" s="42">
        <f t="shared" si="60"/>
        <v>20500</v>
      </c>
      <c r="O1448" s="43">
        <f t="shared" si="61"/>
        <v>7.0325900514579764E-2</v>
      </c>
    </row>
    <row r="1449" spans="1:15" x14ac:dyDescent="0.45">
      <c r="A1449" s="12" t="s">
        <v>31405</v>
      </c>
      <c r="B1449" s="14">
        <v>271500</v>
      </c>
      <c r="C1449" s="14">
        <v>290500</v>
      </c>
      <c r="D1449" s="14">
        <v>195500</v>
      </c>
      <c r="E1449" s="14">
        <v>239662</v>
      </c>
      <c r="F1449" s="14">
        <v>150700</v>
      </c>
      <c r="G1449" s="14">
        <v>186936</v>
      </c>
      <c r="H1449" s="14">
        <v>148000</v>
      </c>
      <c r="I1449" s="14">
        <v>175000</v>
      </c>
      <c r="J1449" s="14">
        <v>3320</v>
      </c>
      <c r="K1449" s="14">
        <v>3950</v>
      </c>
      <c r="N1449" s="42">
        <f t="shared" si="60"/>
        <v>19000</v>
      </c>
      <c r="O1449" s="43">
        <f t="shared" si="61"/>
        <v>6.5404475043029264E-2</v>
      </c>
    </row>
    <row r="1450" spans="1:15" x14ac:dyDescent="0.45">
      <c r="A1450" s="12" t="s">
        <v>31406</v>
      </c>
      <c r="B1450" s="14">
        <v>272500</v>
      </c>
      <c r="C1450" s="14">
        <v>290500</v>
      </c>
      <c r="D1450" s="14">
        <v>196200</v>
      </c>
      <c r="E1450" s="14">
        <v>239662</v>
      </c>
      <c r="F1450" s="14">
        <v>151300</v>
      </c>
      <c r="G1450" s="14">
        <v>186936</v>
      </c>
      <c r="H1450" s="14">
        <v>147000</v>
      </c>
      <c r="I1450" s="14">
        <v>173000</v>
      </c>
      <c r="J1450" s="14">
        <v>3290</v>
      </c>
      <c r="K1450" s="14">
        <v>3920</v>
      </c>
      <c r="N1450" s="42">
        <f t="shared" si="60"/>
        <v>18000</v>
      </c>
      <c r="O1450" s="43">
        <f t="shared" si="61"/>
        <v>6.1962134251290879E-2</v>
      </c>
    </row>
    <row r="1451" spans="1:15" x14ac:dyDescent="0.45">
      <c r="A1451" s="12" t="s">
        <v>31407</v>
      </c>
      <c r="B1451" s="14">
        <v>271500</v>
      </c>
      <c r="C1451" s="14">
        <v>289000</v>
      </c>
      <c r="D1451" s="14">
        <v>195500</v>
      </c>
      <c r="E1451" s="14">
        <v>238425</v>
      </c>
      <c r="F1451" s="14">
        <v>150700</v>
      </c>
      <c r="G1451" s="14">
        <v>185971</v>
      </c>
      <c r="H1451" s="14">
        <v>148000</v>
      </c>
      <c r="I1451" s="14">
        <v>174000</v>
      </c>
      <c r="J1451" s="14">
        <v>3330</v>
      </c>
      <c r="K1451" s="14">
        <v>3970</v>
      </c>
      <c r="N1451" s="42">
        <f t="shared" si="60"/>
        <v>17500</v>
      </c>
      <c r="O1451" s="43">
        <f t="shared" si="61"/>
        <v>6.0553633217993078E-2</v>
      </c>
    </row>
    <row r="1452" spans="1:15" x14ac:dyDescent="0.45">
      <c r="A1452" s="12" t="s">
        <v>31408</v>
      </c>
      <c r="B1452" s="14">
        <v>272500</v>
      </c>
      <c r="C1452" s="14">
        <v>290000</v>
      </c>
      <c r="D1452" s="14">
        <v>196200</v>
      </c>
      <c r="E1452" s="14">
        <v>239250</v>
      </c>
      <c r="F1452" s="14">
        <v>151300</v>
      </c>
      <c r="G1452" s="14">
        <v>186615</v>
      </c>
      <c r="H1452" s="14">
        <v>148000</v>
      </c>
      <c r="I1452" s="14">
        <v>174000</v>
      </c>
      <c r="J1452" s="14">
        <v>3250</v>
      </c>
      <c r="K1452" s="14">
        <v>3980</v>
      </c>
      <c r="N1452" s="42">
        <f t="shared" si="60"/>
        <v>17500</v>
      </c>
      <c r="O1452" s="43">
        <f t="shared" si="61"/>
        <v>6.0344827586206899E-2</v>
      </c>
    </row>
    <row r="1453" spans="1:15" x14ac:dyDescent="0.45">
      <c r="A1453" s="12" t="s">
        <v>31409</v>
      </c>
      <c r="B1453" s="14">
        <v>272500</v>
      </c>
      <c r="C1453" s="14">
        <v>290000</v>
      </c>
      <c r="D1453" s="14">
        <v>196200</v>
      </c>
      <c r="E1453" s="14">
        <v>239250</v>
      </c>
      <c r="F1453" s="14">
        <v>151300</v>
      </c>
      <c r="G1453" s="14">
        <v>186615</v>
      </c>
      <c r="H1453" s="14">
        <v>151000</v>
      </c>
      <c r="I1453" s="14">
        <v>178000</v>
      </c>
      <c r="J1453" s="14">
        <v>3360</v>
      </c>
      <c r="K1453" s="14">
        <v>4000</v>
      </c>
      <c r="N1453" s="42">
        <f t="shared" ref="N1453:N1516" si="62">C1453-B1453</f>
        <v>17500</v>
      </c>
      <c r="O1453" s="43">
        <f t="shared" ref="O1453:O1516" si="63">N1453/C1453</f>
        <v>6.0344827586206899E-2</v>
      </c>
    </row>
    <row r="1454" spans="1:15" x14ac:dyDescent="0.45">
      <c r="A1454" s="12" t="s">
        <v>31410</v>
      </c>
      <c r="B1454" s="14">
        <v>271500</v>
      </c>
      <c r="C1454" s="14">
        <v>289000</v>
      </c>
      <c r="D1454" s="14">
        <v>195500</v>
      </c>
      <c r="E1454" s="14">
        <v>238425</v>
      </c>
      <c r="F1454" s="14">
        <v>150700</v>
      </c>
      <c r="G1454" s="14">
        <v>185971</v>
      </c>
      <c r="H1454" s="14">
        <v>149000</v>
      </c>
      <c r="I1454" s="14">
        <v>176000</v>
      </c>
      <c r="J1454" s="14">
        <v>3330</v>
      </c>
      <c r="K1454" s="14">
        <v>3970</v>
      </c>
      <c r="N1454" s="42">
        <f t="shared" si="62"/>
        <v>17500</v>
      </c>
      <c r="O1454" s="43">
        <f t="shared" si="63"/>
        <v>6.0553633217993078E-2</v>
      </c>
    </row>
    <row r="1455" spans="1:15" x14ac:dyDescent="0.45">
      <c r="A1455" s="12" t="s">
        <v>31411</v>
      </c>
      <c r="B1455" s="14">
        <v>272000</v>
      </c>
      <c r="C1455" s="14">
        <v>290500</v>
      </c>
      <c r="D1455" s="14">
        <v>195900</v>
      </c>
      <c r="E1455" s="14">
        <v>239662</v>
      </c>
      <c r="F1455" s="14">
        <v>151000</v>
      </c>
      <c r="G1455" s="14">
        <v>186936</v>
      </c>
      <c r="H1455" s="14">
        <v>148000</v>
      </c>
      <c r="I1455" s="14">
        <v>175000</v>
      </c>
      <c r="J1455" s="14">
        <v>3320</v>
      </c>
      <c r="K1455" s="14">
        <v>3970</v>
      </c>
      <c r="N1455" s="42">
        <f t="shared" si="62"/>
        <v>18500</v>
      </c>
      <c r="O1455" s="43">
        <f t="shared" si="63"/>
        <v>6.3683304647160072E-2</v>
      </c>
    </row>
    <row r="1456" spans="1:15" x14ac:dyDescent="0.45">
      <c r="A1456" s="12" t="s">
        <v>31412</v>
      </c>
      <c r="B1456" s="14">
        <v>272000</v>
      </c>
      <c r="C1456" s="14">
        <v>289500</v>
      </c>
      <c r="D1456" s="14">
        <v>195900</v>
      </c>
      <c r="E1456" s="14">
        <v>238837</v>
      </c>
      <c r="F1456" s="14">
        <v>151000</v>
      </c>
      <c r="G1456" s="14">
        <v>186293</v>
      </c>
      <c r="H1456" s="14">
        <v>152000</v>
      </c>
      <c r="I1456" s="14">
        <v>179000</v>
      </c>
      <c r="J1456" s="14">
        <v>3400</v>
      </c>
      <c r="K1456" s="14">
        <v>4020</v>
      </c>
      <c r="N1456" s="42">
        <f t="shared" si="62"/>
        <v>17500</v>
      </c>
      <c r="O1456" s="43">
        <f t="shared" si="63"/>
        <v>6.0449050086355788E-2</v>
      </c>
    </row>
    <row r="1457" spans="1:15" x14ac:dyDescent="0.45">
      <c r="A1457" s="12" t="s">
        <v>31413</v>
      </c>
      <c r="B1457" s="14">
        <v>273000</v>
      </c>
      <c r="C1457" s="14">
        <v>290500</v>
      </c>
      <c r="D1457" s="14">
        <v>196600</v>
      </c>
      <c r="E1457" s="14">
        <v>239662</v>
      </c>
      <c r="F1457" s="14">
        <v>151600</v>
      </c>
      <c r="G1457" s="14">
        <v>186936</v>
      </c>
      <c r="H1457" s="14">
        <v>156000</v>
      </c>
      <c r="I1457" s="14">
        <v>184000</v>
      </c>
      <c r="J1457" s="14">
        <v>3480</v>
      </c>
      <c r="K1457" s="14">
        <v>4100</v>
      </c>
      <c r="N1457" s="42">
        <f t="shared" si="62"/>
        <v>17500</v>
      </c>
      <c r="O1457" s="43">
        <f t="shared" si="63"/>
        <v>6.0240963855421686E-2</v>
      </c>
    </row>
    <row r="1458" spans="1:15" x14ac:dyDescent="0.45">
      <c r="A1458" s="12" t="s">
        <v>31414</v>
      </c>
      <c r="B1458" s="14">
        <v>272500</v>
      </c>
      <c r="C1458" s="14">
        <v>291500</v>
      </c>
      <c r="D1458" s="14">
        <v>196200</v>
      </c>
      <c r="E1458" s="14">
        <v>240487</v>
      </c>
      <c r="F1458" s="14">
        <v>151300</v>
      </c>
      <c r="G1458" s="14">
        <v>187580</v>
      </c>
      <c r="H1458" s="14">
        <v>155000</v>
      </c>
      <c r="I1458" s="14">
        <v>183000</v>
      </c>
      <c r="J1458" s="14">
        <v>3480</v>
      </c>
      <c r="K1458" s="14">
        <v>4100</v>
      </c>
      <c r="N1458" s="42">
        <f t="shared" si="62"/>
        <v>19000</v>
      </c>
      <c r="O1458" s="43">
        <f t="shared" si="63"/>
        <v>6.5180102915951971E-2</v>
      </c>
    </row>
    <row r="1459" spans="1:15" x14ac:dyDescent="0.45">
      <c r="A1459" s="12" t="s">
        <v>31415</v>
      </c>
      <c r="B1459" s="14">
        <v>271000</v>
      </c>
      <c r="C1459" s="14">
        <v>289000</v>
      </c>
      <c r="D1459" s="14">
        <v>195200</v>
      </c>
      <c r="E1459" s="14">
        <v>238425</v>
      </c>
      <c r="F1459" s="14">
        <v>150500</v>
      </c>
      <c r="G1459" s="14">
        <v>185971</v>
      </c>
      <c r="H1459" s="14">
        <v>152000</v>
      </c>
      <c r="I1459" s="14">
        <v>180000</v>
      </c>
      <c r="J1459" s="14">
        <v>3460</v>
      </c>
      <c r="K1459" s="14">
        <v>4080</v>
      </c>
      <c r="N1459" s="42">
        <f t="shared" si="62"/>
        <v>18000</v>
      </c>
      <c r="O1459" s="43">
        <f t="shared" si="63"/>
        <v>6.228373702422145E-2</v>
      </c>
    </row>
    <row r="1460" spans="1:15" x14ac:dyDescent="0.45">
      <c r="A1460" s="12" t="s">
        <v>31416</v>
      </c>
      <c r="B1460" s="14">
        <v>270000</v>
      </c>
      <c r="C1460" s="14">
        <v>288500</v>
      </c>
      <c r="D1460" s="14">
        <v>194400</v>
      </c>
      <c r="E1460" s="14">
        <v>238012</v>
      </c>
      <c r="F1460" s="14">
        <v>149900</v>
      </c>
      <c r="G1460" s="14">
        <v>185649</v>
      </c>
      <c r="H1460" s="14">
        <v>154000</v>
      </c>
      <c r="I1460" s="14">
        <v>181000</v>
      </c>
      <c r="J1460" s="14">
        <v>3490</v>
      </c>
      <c r="K1460" s="14">
        <v>4110</v>
      </c>
      <c r="N1460" s="42">
        <f t="shared" si="62"/>
        <v>18500</v>
      </c>
      <c r="O1460" s="43">
        <f t="shared" si="63"/>
        <v>6.4124783362218371E-2</v>
      </c>
    </row>
    <row r="1461" spans="1:15" x14ac:dyDescent="0.45">
      <c r="A1461" s="12" t="s">
        <v>31417</v>
      </c>
      <c r="B1461" s="14">
        <v>270000</v>
      </c>
      <c r="C1461" s="14">
        <v>288500</v>
      </c>
      <c r="D1461" s="14">
        <v>194400</v>
      </c>
      <c r="E1461" s="14">
        <v>238012</v>
      </c>
      <c r="F1461" s="14">
        <v>149900</v>
      </c>
      <c r="G1461" s="14">
        <v>185649</v>
      </c>
      <c r="H1461" s="14">
        <v>151000</v>
      </c>
      <c r="I1461" s="14">
        <v>178000</v>
      </c>
      <c r="J1461" s="14">
        <v>3470</v>
      </c>
      <c r="K1461" s="14">
        <v>4080</v>
      </c>
      <c r="N1461" s="42">
        <f t="shared" si="62"/>
        <v>18500</v>
      </c>
      <c r="O1461" s="43">
        <f t="shared" si="63"/>
        <v>6.4124783362218371E-2</v>
      </c>
    </row>
    <row r="1462" spans="1:15" x14ac:dyDescent="0.45">
      <c r="A1462" s="12" t="s">
        <v>31418</v>
      </c>
      <c r="B1462" s="14">
        <v>269500</v>
      </c>
      <c r="C1462" s="14">
        <v>289000</v>
      </c>
      <c r="D1462" s="14">
        <v>194100</v>
      </c>
      <c r="E1462" s="14">
        <v>238425</v>
      </c>
      <c r="F1462" s="14">
        <v>149600</v>
      </c>
      <c r="G1462" s="14">
        <v>185971</v>
      </c>
      <c r="H1462" s="14">
        <v>152000</v>
      </c>
      <c r="I1462" s="14">
        <v>179000</v>
      </c>
      <c r="J1462" s="14">
        <v>3470</v>
      </c>
      <c r="K1462" s="14">
        <v>4080</v>
      </c>
      <c r="N1462" s="42">
        <f t="shared" si="62"/>
        <v>19500</v>
      </c>
      <c r="O1462" s="43">
        <f t="shared" si="63"/>
        <v>6.7474048442906581E-2</v>
      </c>
    </row>
    <row r="1463" spans="1:15" x14ac:dyDescent="0.45">
      <c r="A1463" s="12" t="s">
        <v>31419</v>
      </c>
      <c r="B1463" s="14">
        <v>269500</v>
      </c>
      <c r="C1463" s="14">
        <v>289000</v>
      </c>
      <c r="D1463" s="14">
        <v>194100</v>
      </c>
      <c r="E1463" s="14">
        <v>238425</v>
      </c>
      <c r="F1463" s="14">
        <v>149600</v>
      </c>
      <c r="G1463" s="14">
        <v>185971</v>
      </c>
      <c r="H1463" s="14">
        <v>148000</v>
      </c>
      <c r="I1463" s="14">
        <v>175000</v>
      </c>
      <c r="J1463" s="14">
        <v>3460</v>
      </c>
      <c r="K1463" s="14">
        <v>4090</v>
      </c>
      <c r="N1463" s="42">
        <f t="shared" si="62"/>
        <v>19500</v>
      </c>
      <c r="O1463" s="43">
        <f t="shared" si="63"/>
        <v>6.7474048442906581E-2</v>
      </c>
    </row>
    <row r="1464" spans="1:15" x14ac:dyDescent="0.45">
      <c r="A1464" s="12" t="s">
        <v>31420</v>
      </c>
      <c r="B1464" s="14">
        <v>269000</v>
      </c>
      <c r="C1464" s="14">
        <v>286000</v>
      </c>
      <c r="D1464" s="14">
        <v>193700</v>
      </c>
      <c r="E1464" s="14">
        <v>235950</v>
      </c>
      <c r="F1464" s="14">
        <v>149300</v>
      </c>
      <c r="G1464" s="14">
        <v>184041</v>
      </c>
      <c r="H1464" s="14">
        <v>149000</v>
      </c>
      <c r="I1464" s="14">
        <v>175000</v>
      </c>
      <c r="J1464" s="14">
        <v>3480</v>
      </c>
      <c r="K1464" s="14">
        <v>4090</v>
      </c>
      <c r="N1464" s="42">
        <f t="shared" si="62"/>
        <v>17000</v>
      </c>
      <c r="O1464" s="43">
        <f t="shared" si="63"/>
        <v>5.944055944055944E-2</v>
      </c>
    </row>
    <row r="1465" spans="1:15" x14ac:dyDescent="0.45">
      <c r="A1465" s="12" t="s">
        <v>31421</v>
      </c>
      <c r="B1465" s="14">
        <v>266000</v>
      </c>
      <c r="C1465" s="14">
        <v>285000</v>
      </c>
      <c r="D1465" s="14">
        <v>191600</v>
      </c>
      <c r="E1465" s="14">
        <v>235125</v>
      </c>
      <c r="F1465" s="14">
        <v>147700</v>
      </c>
      <c r="G1465" s="14">
        <v>183397</v>
      </c>
      <c r="H1465" s="14">
        <v>151000</v>
      </c>
      <c r="I1465" s="14">
        <v>178000</v>
      </c>
      <c r="J1465" s="14">
        <v>3500</v>
      </c>
      <c r="K1465" s="14">
        <v>4120</v>
      </c>
      <c r="N1465" s="42">
        <f t="shared" si="62"/>
        <v>19000</v>
      </c>
      <c r="O1465" s="43">
        <f t="shared" si="63"/>
        <v>6.6666666666666666E-2</v>
      </c>
    </row>
    <row r="1466" spans="1:15" x14ac:dyDescent="0.45">
      <c r="A1466" s="12" t="s">
        <v>31422</v>
      </c>
      <c r="B1466" s="14">
        <v>265000</v>
      </c>
      <c r="C1466" s="14">
        <v>283000</v>
      </c>
      <c r="D1466" s="14">
        <v>190800</v>
      </c>
      <c r="E1466" s="14">
        <v>233475</v>
      </c>
      <c r="F1466" s="14">
        <v>147100</v>
      </c>
      <c r="G1466" s="14">
        <v>182110</v>
      </c>
      <c r="H1466" s="14">
        <v>149000</v>
      </c>
      <c r="I1466" s="14">
        <v>176000</v>
      </c>
      <c r="J1466" s="14">
        <v>3430</v>
      </c>
      <c r="K1466" s="14">
        <v>4100</v>
      </c>
      <c r="N1466" s="42">
        <f t="shared" si="62"/>
        <v>18000</v>
      </c>
      <c r="O1466" s="43">
        <f t="shared" si="63"/>
        <v>6.3604240282685506E-2</v>
      </c>
    </row>
    <row r="1467" spans="1:15" x14ac:dyDescent="0.45">
      <c r="A1467" s="12" t="s">
        <v>31423</v>
      </c>
      <c r="B1467" s="14">
        <v>264000</v>
      </c>
      <c r="C1467" s="14">
        <v>282000</v>
      </c>
      <c r="D1467" s="14">
        <v>190100</v>
      </c>
      <c r="E1467" s="14">
        <v>232650</v>
      </c>
      <c r="F1467" s="14">
        <v>146600</v>
      </c>
      <c r="G1467" s="14">
        <v>181467</v>
      </c>
      <c r="H1467" s="14">
        <v>148000</v>
      </c>
      <c r="I1467" s="14">
        <v>174000</v>
      </c>
      <c r="J1467" s="14">
        <v>3410</v>
      </c>
      <c r="K1467" s="14">
        <v>4080</v>
      </c>
      <c r="N1467" s="42">
        <f t="shared" si="62"/>
        <v>18000</v>
      </c>
      <c r="O1467" s="43">
        <f t="shared" si="63"/>
        <v>6.3829787234042548E-2</v>
      </c>
    </row>
    <row r="1468" spans="1:15" x14ac:dyDescent="0.45">
      <c r="A1468" s="12" t="s">
        <v>31424</v>
      </c>
      <c r="B1468" s="14">
        <v>265000</v>
      </c>
      <c r="C1468" s="14">
        <v>282000</v>
      </c>
      <c r="D1468" s="14">
        <v>190800</v>
      </c>
      <c r="E1468" s="14">
        <v>232650</v>
      </c>
      <c r="F1468" s="14">
        <v>147100</v>
      </c>
      <c r="G1468" s="14">
        <v>181467</v>
      </c>
      <c r="H1468" s="14">
        <v>148000</v>
      </c>
      <c r="I1468" s="14">
        <v>174000</v>
      </c>
      <c r="J1468" s="14">
        <v>3410</v>
      </c>
      <c r="K1468" s="14">
        <v>4080</v>
      </c>
      <c r="N1468" s="42">
        <f t="shared" si="62"/>
        <v>17000</v>
      </c>
      <c r="O1468" s="43">
        <f t="shared" si="63"/>
        <v>6.0283687943262408E-2</v>
      </c>
    </row>
    <row r="1469" spans="1:15" x14ac:dyDescent="0.45">
      <c r="A1469" s="12" t="s">
        <v>31425</v>
      </c>
      <c r="B1469" s="14">
        <v>263500</v>
      </c>
      <c r="C1469" s="14">
        <v>281000</v>
      </c>
      <c r="D1469" s="14">
        <v>189800</v>
      </c>
      <c r="E1469" s="14">
        <v>231825</v>
      </c>
      <c r="F1469" s="14">
        <v>146300</v>
      </c>
      <c r="G1469" s="14">
        <v>180823</v>
      </c>
      <c r="H1469" s="14">
        <v>147000</v>
      </c>
      <c r="I1469" s="14">
        <v>173000</v>
      </c>
      <c r="J1469" s="14">
        <v>3390</v>
      </c>
      <c r="K1469" s="14">
        <v>4060</v>
      </c>
      <c r="N1469" s="42">
        <f t="shared" si="62"/>
        <v>17500</v>
      </c>
      <c r="O1469" s="43">
        <f t="shared" si="63"/>
        <v>6.2277580071174378E-2</v>
      </c>
    </row>
    <row r="1470" spans="1:15" x14ac:dyDescent="0.45">
      <c r="A1470" s="12" t="s">
        <v>31426</v>
      </c>
      <c r="B1470" s="14">
        <v>262000</v>
      </c>
      <c r="C1470" s="14">
        <v>278000</v>
      </c>
      <c r="D1470" s="14">
        <v>188700</v>
      </c>
      <c r="E1470" s="14">
        <v>229350</v>
      </c>
      <c r="F1470" s="14">
        <v>145500</v>
      </c>
      <c r="G1470" s="14">
        <v>178893</v>
      </c>
      <c r="H1470" s="14">
        <v>145000</v>
      </c>
      <c r="I1470" s="14">
        <v>171000</v>
      </c>
      <c r="J1470" s="14">
        <v>3310</v>
      </c>
      <c r="K1470" s="14">
        <v>3980</v>
      </c>
      <c r="N1470" s="42">
        <f t="shared" si="62"/>
        <v>16000</v>
      </c>
      <c r="O1470" s="43">
        <f t="shared" si="63"/>
        <v>5.7553956834532377E-2</v>
      </c>
    </row>
    <row r="1471" spans="1:15" x14ac:dyDescent="0.45">
      <c r="A1471" s="12" t="s">
        <v>31427</v>
      </c>
      <c r="B1471" s="14">
        <v>263500</v>
      </c>
      <c r="C1471" s="14">
        <v>280500</v>
      </c>
      <c r="D1471" s="14">
        <v>189800</v>
      </c>
      <c r="E1471" s="14">
        <v>231412</v>
      </c>
      <c r="F1471" s="14">
        <v>146300</v>
      </c>
      <c r="G1471" s="14">
        <v>180501</v>
      </c>
      <c r="H1471" s="14">
        <v>148000</v>
      </c>
      <c r="I1471" s="14">
        <v>175000</v>
      </c>
      <c r="J1471" s="14">
        <v>3350</v>
      </c>
      <c r="K1471" s="14">
        <v>4020</v>
      </c>
      <c r="N1471" s="42">
        <f t="shared" si="62"/>
        <v>17000</v>
      </c>
      <c r="O1471" s="43">
        <f t="shared" si="63"/>
        <v>6.0606060606060608E-2</v>
      </c>
    </row>
    <row r="1472" spans="1:15" x14ac:dyDescent="0.45">
      <c r="A1472" s="12" t="s">
        <v>31428</v>
      </c>
      <c r="B1472" s="14">
        <v>263500</v>
      </c>
      <c r="C1472" s="14">
        <v>280500</v>
      </c>
      <c r="D1472" s="14">
        <v>189800</v>
      </c>
      <c r="E1472" s="14">
        <v>231412</v>
      </c>
      <c r="F1472" s="14">
        <v>146300</v>
      </c>
      <c r="G1472" s="14">
        <v>180501</v>
      </c>
      <c r="H1472" s="14">
        <v>151000</v>
      </c>
      <c r="I1472" s="14">
        <v>178000</v>
      </c>
      <c r="J1472" s="14">
        <v>3350</v>
      </c>
      <c r="K1472" s="14">
        <v>4020</v>
      </c>
      <c r="N1472" s="42">
        <f t="shared" si="62"/>
        <v>17000</v>
      </c>
      <c r="O1472" s="43">
        <f t="shared" si="63"/>
        <v>6.0606060606060608E-2</v>
      </c>
    </row>
    <row r="1473" spans="1:15" x14ac:dyDescent="0.45">
      <c r="A1473" s="12" t="s">
        <v>31429</v>
      </c>
      <c r="B1473" s="14">
        <v>264000</v>
      </c>
      <c r="C1473" s="14">
        <v>280500</v>
      </c>
      <c r="D1473" s="14">
        <v>190100</v>
      </c>
      <c r="E1473" s="14">
        <v>231412</v>
      </c>
      <c r="F1473" s="14">
        <v>146600</v>
      </c>
      <c r="G1473" s="14">
        <v>180501</v>
      </c>
      <c r="H1473" s="14">
        <v>150000</v>
      </c>
      <c r="I1473" s="14">
        <v>177000</v>
      </c>
      <c r="J1473" s="14">
        <v>3350</v>
      </c>
      <c r="K1473" s="14">
        <v>4010</v>
      </c>
      <c r="N1473" s="42">
        <f t="shared" si="62"/>
        <v>16500</v>
      </c>
      <c r="O1473" s="43">
        <f t="shared" si="63"/>
        <v>5.8823529411764705E-2</v>
      </c>
    </row>
    <row r="1474" spans="1:15" x14ac:dyDescent="0.45">
      <c r="A1474" s="12" t="s">
        <v>31430</v>
      </c>
      <c r="B1474" s="14">
        <v>265500</v>
      </c>
      <c r="C1474" s="14">
        <v>282000</v>
      </c>
      <c r="D1474" s="14">
        <v>191200</v>
      </c>
      <c r="E1474" s="14">
        <v>232650</v>
      </c>
      <c r="F1474" s="14">
        <v>147400</v>
      </c>
      <c r="G1474" s="14">
        <v>181467</v>
      </c>
      <c r="H1474" s="14">
        <v>148000</v>
      </c>
      <c r="I1474" s="14">
        <v>175000</v>
      </c>
      <c r="J1474" s="14">
        <v>3350</v>
      </c>
      <c r="K1474" s="14">
        <v>4020</v>
      </c>
      <c r="N1474" s="42">
        <f t="shared" si="62"/>
        <v>16500</v>
      </c>
      <c r="O1474" s="43">
        <f t="shared" si="63"/>
        <v>5.8510638297872342E-2</v>
      </c>
    </row>
    <row r="1475" spans="1:15" x14ac:dyDescent="0.45">
      <c r="A1475" s="12" t="s">
        <v>31431</v>
      </c>
      <c r="B1475" s="14">
        <v>265500</v>
      </c>
      <c r="C1475" s="14">
        <v>282500</v>
      </c>
      <c r="D1475" s="14">
        <v>191200</v>
      </c>
      <c r="E1475" s="14">
        <v>233062</v>
      </c>
      <c r="F1475" s="14">
        <v>147400</v>
      </c>
      <c r="G1475" s="14">
        <v>181788</v>
      </c>
      <c r="H1475" s="14">
        <v>148000</v>
      </c>
      <c r="I1475" s="14">
        <v>175000</v>
      </c>
      <c r="J1475" s="14">
        <v>3350</v>
      </c>
      <c r="K1475" s="14">
        <v>4020</v>
      </c>
      <c r="N1475" s="42">
        <f t="shared" si="62"/>
        <v>17000</v>
      </c>
      <c r="O1475" s="43">
        <f t="shared" si="63"/>
        <v>6.0176991150442477E-2</v>
      </c>
    </row>
    <row r="1476" spans="1:15" x14ac:dyDescent="0.45">
      <c r="A1476" s="12" t="s">
        <v>31432</v>
      </c>
      <c r="B1476" s="14">
        <v>265000</v>
      </c>
      <c r="C1476" s="14">
        <v>282500</v>
      </c>
      <c r="D1476" s="14">
        <v>190800</v>
      </c>
      <c r="E1476" s="14">
        <v>233062</v>
      </c>
      <c r="F1476" s="14">
        <v>147100</v>
      </c>
      <c r="G1476" s="14">
        <v>181788</v>
      </c>
      <c r="H1476" s="14">
        <v>145000</v>
      </c>
      <c r="I1476" s="14">
        <v>170000</v>
      </c>
      <c r="J1476" s="14">
        <v>3340</v>
      </c>
      <c r="K1476" s="14">
        <v>4010</v>
      </c>
      <c r="N1476" s="42">
        <f t="shared" si="62"/>
        <v>17500</v>
      </c>
      <c r="O1476" s="43">
        <f t="shared" si="63"/>
        <v>6.1946902654867256E-2</v>
      </c>
    </row>
    <row r="1477" spans="1:15" x14ac:dyDescent="0.45">
      <c r="A1477" s="12" t="s">
        <v>31433</v>
      </c>
      <c r="B1477" s="14">
        <v>264500</v>
      </c>
      <c r="C1477" s="14">
        <v>280000</v>
      </c>
      <c r="D1477" s="14">
        <v>190500</v>
      </c>
      <c r="E1477" s="14">
        <v>231000</v>
      </c>
      <c r="F1477" s="14">
        <v>146800</v>
      </c>
      <c r="G1477" s="14">
        <v>180180</v>
      </c>
      <c r="H1477" s="14">
        <v>141000</v>
      </c>
      <c r="I1477" s="14">
        <v>166000</v>
      </c>
      <c r="J1477" s="14">
        <v>3330</v>
      </c>
      <c r="K1477" s="14">
        <v>4050</v>
      </c>
      <c r="N1477" s="42">
        <f t="shared" si="62"/>
        <v>15500</v>
      </c>
      <c r="O1477" s="43">
        <f t="shared" si="63"/>
        <v>5.5357142857142855E-2</v>
      </c>
    </row>
    <row r="1478" spans="1:15" x14ac:dyDescent="0.45">
      <c r="A1478" s="12" t="s">
        <v>31434</v>
      </c>
      <c r="B1478" s="14">
        <v>269000</v>
      </c>
      <c r="C1478" s="14">
        <v>287000</v>
      </c>
      <c r="D1478" s="14">
        <v>193700</v>
      </c>
      <c r="E1478" s="14">
        <v>236775</v>
      </c>
      <c r="F1478" s="14">
        <v>149300</v>
      </c>
      <c r="G1478" s="14">
        <v>184684</v>
      </c>
      <c r="H1478" s="14">
        <v>152000</v>
      </c>
      <c r="I1478" s="14">
        <v>180000</v>
      </c>
      <c r="J1478" s="14">
        <v>3510</v>
      </c>
      <c r="K1478" s="14">
        <v>4250</v>
      </c>
      <c r="N1478" s="42">
        <f t="shared" si="62"/>
        <v>18000</v>
      </c>
      <c r="O1478" s="43">
        <f t="shared" si="63"/>
        <v>6.2717770034843204E-2</v>
      </c>
    </row>
    <row r="1479" spans="1:15" x14ac:dyDescent="0.45">
      <c r="A1479" s="12" t="s">
        <v>31435</v>
      </c>
      <c r="B1479" s="14">
        <v>269000</v>
      </c>
      <c r="C1479" s="14">
        <v>290000</v>
      </c>
      <c r="D1479" s="14">
        <v>193700</v>
      </c>
      <c r="E1479" s="14">
        <v>239250</v>
      </c>
      <c r="F1479" s="14">
        <v>149300</v>
      </c>
      <c r="G1479" s="14">
        <v>186615</v>
      </c>
      <c r="H1479" s="14">
        <v>156000</v>
      </c>
      <c r="I1479" s="14">
        <v>184000</v>
      </c>
      <c r="J1479" s="14">
        <v>3540</v>
      </c>
      <c r="K1479" s="14">
        <v>4290</v>
      </c>
      <c r="N1479" s="42">
        <f t="shared" si="62"/>
        <v>21000</v>
      </c>
      <c r="O1479" s="43">
        <f t="shared" si="63"/>
        <v>7.2413793103448282E-2</v>
      </c>
    </row>
    <row r="1480" spans="1:15" x14ac:dyDescent="0.45">
      <c r="A1480" s="12" t="s">
        <v>31436</v>
      </c>
      <c r="B1480" s="14">
        <v>271000</v>
      </c>
      <c r="C1480" s="14">
        <v>291500</v>
      </c>
      <c r="D1480" s="14">
        <v>195200</v>
      </c>
      <c r="E1480" s="14">
        <v>240487</v>
      </c>
      <c r="F1480" s="14">
        <v>150500</v>
      </c>
      <c r="G1480" s="14">
        <v>187580</v>
      </c>
      <c r="H1480" s="14">
        <v>154000</v>
      </c>
      <c r="I1480" s="14">
        <v>181000</v>
      </c>
      <c r="J1480" s="14">
        <v>3550</v>
      </c>
      <c r="K1480" s="14">
        <v>4300</v>
      </c>
      <c r="N1480" s="42">
        <f t="shared" si="62"/>
        <v>20500</v>
      </c>
      <c r="O1480" s="43">
        <f t="shared" si="63"/>
        <v>7.0325900514579764E-2</v>
      </c>
    </row>
    <row r="1481" spans="1:15" x14ac:dyDescent="0.45">
      <c r="A1481" s="12" t="s">
        <v>31437</v>
      </c>
      <c r="B1481" s="14">
        <v>272000</v>
      </c>
      <c r="C1481" s="14">
        <v>293000</v>
      </c>
      <c r="D1481" s="14">
        <v>195900</v>
      </c>
      <c r="E1481" s="14">
        <v>241725</v>
      </c>
      <c r="F1481" s="14">
        <v>151000</v>
      </c>
      <c r="G1481" s="14">
        <v>188545</v>
      </c>
      <c r="H1481" s="14">
        <v>154000</v>
      </c>
      <c r="I1481" s="14">
        <v>181000</v>
      </c>
      <c r="J1481" s="14">
        <v>3540</v>
      </c>
      <c r="K1481" s="14">
        <v>4280</v>
      </c>
      <c r="N1481" s="42">
        <f t="shared" si="62"/>
        <v>21000</v>
      </c>
      <c r="O1481" s="43">
        <f t="shared" si="63"/>
        <v>7.1672354948805458E-2</v>
      </c>
    </row>
    <row r="1482" spans="1:15" x14ac:dyDescent="0.45">
      <c r="A1482" s="12" t="s">
        <v>31438</v>
      </c>
      <c r="B1482" s="14">
        <v>272500</v>
      </c>
      <c r="C1482" s="14">
        <v>293000</v>
      </c>
      <c r="D1482" s="14">
        <v>196200</v>
      </c>
      <c r="E1482" s="14">
        <v>241725</v>
      </c>
      <c r="F1482" s="14">
        <v>151300</v>
      </c>
      <c r="G1482" s="14">
        <v>188545</v>
      </c>
      <c r="H1482" s="14">
        <v>155000</v>
      </c>
      <c r="I1482" s="14">
        <v>183000</v>
      </c>
      <c r="J1482" s="14">
        <v>3510</v>
      </c>
      <c r="K1482" s="14">
        <v>4250</v>
      </c>
      <c r="N1482" s="42">
        <f t="shared" si="62"/>
        <v>20500</v>
      </c>
      <c r="O1482" s="43">
        <f t="shared" si="63"/>
        <v>6.9965870307167236E-2</v>
      </c>
    </row>
    <row r="1483" spans="1:15" x14ac:dyDescent="0.45">
      <c r="A1483" s="12" t="s">
        <v>31439</v>
      </c>
      <c r="B1483" s="14">
        <v>274000</v>
      </c>
      <c r="C1483" s="14">
        <v>293000</v>
      </c>
      <c r="D1483" s="14">
        <v>197300</v>
      </c>
      <c r="E1483" s="14">
        <v>241725</v>
      </c>
      <c r="F1483" s="14">
        <v>152100</v>
      </c>
      <c r="G1483" s="14">
        <v>188545</v>
      </c>
      <c r="H1483" s="14">
        <v>156000</v>
      </c>
      <c r="I1483" s="14">
        <v>184000</v>
      </c>
      <c r="J1483" s="14">
        <v>3530</v>
      </c>
      <c r="K1483" s="14">
        <v>4270</v>
      </c>
      <c r="N1483" s="42">
        <f t="shared" si="62"/>
        <v>19000</v>
      </c>
      <c r="O1483" s="43">
        <f t="shared" si="63"/>
        <v>6.4846416382252553E-2</v>
      </c>
    </row>
    <row r="1484" spans="1:15" x14ac:dyDescent="0.45">
      <c r="A1484" s="12" t="s">
        <v>31440</v>
      </c>
      <c r="B1484" s="14">
        <v>274000</v>
      </c>
      <c r="C1484" s="14">
        <v>292000</v>
      </c>
      <c r="D1484" s="14">
        <v>197300</v>
      </c>
      <c r="E1484" s="14">
        <v>240900</v>
      </c>
      <c r="F1484" s="14">
        <v>152100</v>
      </c>
      <c r="G1484" s="14">
        <v>187902</v>
      </c>
      <c r="H1484" s="14">
        <v>155000</v>
      </c>
      <c r="I1484" s="14">
        <v>183000</v>
      </c>
      <c r="J1484" s="14">
        <v>3510</v>
      </c>
      <c r="K1484" s="14">
        <v>4260</v>
      </c>
      <c r="N1484" s="42">
        <f t="shared" si="62"/>
        <v>18000</v>
      </c>
      <c r="O1484" s="43">
        <f t="shared" si="63"/>
        <v>6.1643835616438353E-2</v>
      </c>
    </row>
    <row r="1485" spans="1:15" x14ac:dyDescent="0.45">
      <c r="A1485" s="12" t="s">
        <v>31441</v>
      </c>
      <c r="B1485" s="14">
        <v>273000</v>
      </c>
      <c r="C1485" s="14">
        <v>291000</v>
      </c>
      <c r="D1485" s="14">
        <v>196600</v>
      </c>
      <c r="E1485" s="14">
        <v>240075</v>
      </c>
      <c r="F1485" s="14">
        <v>151600</v>
      </c>
      <c r="G1485" s="14">
        <v>187258</v>
      </c>
      <c r="H1485" s="14">
        <v>155000</v>
      </c>
      <c r="I1485" s="14">
        <v>183000</v>
      </c>
      <c r="J1485" s="14">
        <v>3490</v>
      </c>
      <c r="K1485" s="14">
        <v>4230</v>
      </c>
      <c r="N1485" s="42">
        <f t="shared" si="62"/>
        <v>18000</v>
      </c>
      <c r="O1485" s="43">
        <f t="shared" si="63"/>
        <v>6.1855670103092786E-2</v>
      </c>
    </row>
    <row r="1486" spans="1:15" x14ac:dyDescent="0.45">
      <c r="A1486" s="12" t="s">
        <v>31442</v>
      </c>
      <c r="B1486" s="14">
        <v>275000</v>
      </c>
      <c r="C1486" s="14">
        <v>294500</v>
      </c>
      <c r="D1486" s="14">
        <v>198000</v>
      </c>
      <c r="E1486" s="14">
        <v>242962</v>
      </c>
      <c r="F1486" s="14">
        <v>152700</v>
      </c>
      <c r="G1486" s="14">
        <v>189510</v>
      </c>
      <c r="H1486" s="14">
        <v>159000</v>
      </c>
      <c r="I1486" s="14">
        <v>188000</v>
      </c>
      <c r="J1486" s="14">
        <v>3560</v>
      </c>
      <c r="K1486" s="14">
        <v>4310</v>
      </c>
      <c r="N1486" s="42">
        <f t="shared" si="62"/>
        <v>19500</v>
      </c>
      <c r="O1486" s="43">
        <f t="shared" si="63"/>
        <v>6.6213921901528014E-2</v>
      </c>
    </row>
    <row r="1487" spans="1:15" x14ac:dyDescent="0.45">
      <c r="A1487" s="12" t="s">
        <v>31443</v>
      </c>
      <c r="B1487" s="14">
        <v>275000</v>
      </c>
      <c r="C1487" s="14">
        <v>292500</v>
      </c>
      <c r="D1487" s="14">
        <v>198000</v>
      </c>
      <c r="E1487" s="14">
        <v>241312</v>
      </c>
      <c r="F1487" s="14">
        <v>152700</v>
      </c>
      <c r="G1487" s="14">
        <v>188223</v>
      </c>
      <c r="H1487" s="14">
        <v>159000</v>
      </c>
      <c r="I1487" s="14">
        <v>188000</v>
      </c>
      <c r="J1487" s="14">
        <v>3510</v>
      </c>
      <c r="K1487" s="14">
        <v>4250</v>
      </c>
      <c r="N1487" s="42">
        <f t="shared" si="62"/>
        <v>17500</v>
      </c>
      <c r="O1487" s="43">
        <f t="shared" si="63"/>
        <v>5.9829059829059832E-2</v>
      </c>
    </row>
    <row r="1488" spans="1:15" x14ac:dyDescent="0.45">
      <c r="A1488" s="12" t="s">
        <v>31444</v>
      </c>
      <c r="B1488" s="14">
        <v>275000</v>
      </c>
      <c r="C1488" s="14">
        <v>293500</v>
      </c>
      <c r="D1488" s="14">
        <v>198000</v>
      </c>
      <c r="E1488" s="14">
        <v>242137</v>
      </c>
      <c r="F1488" s="14">
        <v>152700</v>
      </c>
      <c r="G1488" s="14">
        <v>188867</v>
      </c>
      <c r="H1488" s="14">
        <v>158000</v>
      </c>
      <c r="I1488" s="14">
        <v>187000</v>
      </c>
      <c r="J1488" s="14">
        <v>3540</v>
      </c>
      <c r="K1488" s="14">
        <v>4280</v>
      </c>
      <c r="N1488" s="42">
        <f t="shared" si="62"/>
        <v>18500</v>
      </c>
      <c r="O1488" s="43">
        <f t="shared" si="63"/>
        <v>6.3032367972742753E-2</v>
      </c>
    </row>
    <row r="1489" spans="1:15" x14ac:dyDescent="0.45">
      <c r="A1489" s="12" t="s">
        <v>31445</v>
      </c>
      <c r="B1489" s="14">
        <v>275500</v>
      </c>
      <c r="C1489" s="14">
        <v>294500</v>
      </c>
      <c r="D1489" s="14">
        <v>198400</v>
      </c>
      <c r="E1489" s="14">
        <v>242962</v>
      </c>
      <c r="F1489" s="14">
        <v>153000</v>
      </c>
      <c r="G1489" s="14">
        <v>189510</v>
      </c>
      <c r="H1489" s="14">
        <v>158000</v>
      </c>
      <c r="I1489" s="14">
        <v>187000</v>
      </c>
      <c r="J1489" s="14">
        <v>3480</v>
      </c>
      <c r="K1489" s="14">
        <v>4280</v>
      </c>
      <c r="N1489" s="42">
        <f t="shared" si="62"/>
        <v>19000</v>
      </c>
      <c r="O1489" s="43">
        <f t="shared" si="63"/>
        <v>6.4516129032258063E-2</v>
      </c>
    </row>
    <row r="1490" spans="1:15" x14ac:dyDescent="0.45">
      <c r="A1490" s="12" t="s">
        <v>31446</v>
      </c>
      <c r="B1490" s="14">
        <v>275000</v>
      </c>
      <c r="C1490" s="14">
        <v>293500</v>
      </c>
      <c r="D1490" s="14">
        <v>198000</v>
      </c>
      <c r="E1490" s="14">
        <v>242137</v>
      </c>
      <c r="F1490" s="14">
        <v>152700</v>
      </c>
      <c r="G1490" s="14">
        <v>188867</v>
      </c>
      <c r="H1490" s="14">
        <v>158000</v>
      </c>
      <c r="I1490" s="14">
        <v>187000</v>
      </c>
      <c r="J1490" s="14">
        <v>3520</v>
      </c>
      <c r="K1490" s="14">
        <v>4260</v>
      </c>
      <c r="N1490" s="42">
        <f t="shared" si="62"/>
        <v>18500</v>
      </c>
      <c r="O1490" s="43">
        <f t="shared" si="63"/>
        <v>6.3032367972742753E-2</v>
      </c>
    </row>
    <row r="1491" spans="1:15" x14ac:dyDescent="0.45">
      <c r="A1491" s="12" t="s">
        <v>31447</v>
      </c>
      <c r="B1491" s="14">
        <v>276000</v>
      </c>
      <c r="C1491" s="14">
        <v>294500</v>
      </c>
      <c r="D1491" s="14">
        <v>198800</v>
      </c>
      <c r="E1491" s="14">
        <v>242962</v>
      </c>
      <c r="F1491" s="14">
        <v>153200</v>
      </c>
      <c r="G1491" s="14">
        <v>189510</v>
      </c>
      <c r="H1491" s="14">
        <v>160000</v>
      </c>
      <c r="I1491" s="14">
        <v>189000</v>
      </c>
      <c r="J1491" s="14">
        <v>3520</v>
      </c>
      <c r="K1491" s="14">
        <v>4260</v>
      </c>
      <c r="N1491" s="42">
        <f t="shared" si="62"/>
        <v>18500</v>
      </c>
      <c r="O1491" s="43">
        <f t="shared" si="63"/>
        <v>6.2818336162988112E-2</v>
      </c>
    </row>
    <row r="1492" spans="1:15" x14ac:dyDescent="0.45">
      <c r="A1492" s="12" t="s">
        <v>31448</v>
      </c>
      <c r="B1492" s="14">
        <v>275500</v>
      </c>
      <c r="C1492" s="14">
        <v>295500</v>
      </c>
      <c r="D1492" s="14">
        <v>198400</v>
      </c>
      <c r="E1492" s="14">
        <v>243787</v>
      </c>
      <c r="F1492" s="14">
        <v>153000</v>
      </c>
      <c r="G1492" s="14">
        <v>190154</v>
      </c>
      <c r="H1492" s="14">
        <v>162000</v>
      </c>
      <c r="I1492" s="14">
        <v>191000</v>
      </c>
      <c r="J1492" s="14">
        <v>3580</v>
      </c>
      <c r="K1492" s="14">
        <v>4330</v>
      </c>
      <c r="N1492" s="42">
        <f t="shared" si="62"/>
        <v>20000</v>
      </c>
      <c r="O1492" s="43">
        <f t="shared" si="63"/>
        <v>6.7681895093062605E-2</v>
      </c>
    </row>
    <row r="1493" spans="1:15" x14ac:dyDescent="0.45">
      <c r="A1493" s="12" t="s">
        <v>31449</v>
      </c>
      <c r="B1493" s="14">
        <v>273000</v>
      </c>
      <c r="C1493" s="14">
        <v>293000</v>
      </c>
      <c r="D1493" s="14">
        <v>196600</v>
      </c>
      <c r="E1493" s="14">
        <v>241725</v>
      </c>
      <c r="F1493" s="14">
        <v>151600</v>
      </c>
      <c r="G1493" s="14">
        <v>188545</v>
      </c>
      <c r="H1493" s="14">
        <v>158000</v>
      </c>
      <c r="I1493" s="14">
        <v>187000</v>
      </c>
      <c r="J1493" s="14">
        <v>3540</v>
      </c>
      <c r="K1493" s="14">
        <v>4280</v>
      </c>
      <c r="N1493" s="42">
        <f t="shared" si="62"/>
        <v>20000</v>
      </c>
      <c r="O1493" s="43">
        <f t="shared" si="63"/>
        <v>6.8259385665529013E-2</v>
      </c>
    </row>
    <row r="1494" spans="1:15" x14ac:dyDescent="0.45">
      <c r="A1494" s="12" t="s">
        <v>31450</v>
      </c>
      <c r="B1494" s="14">
        <v>274000</v>
      </c>
      <c r="C1494" s="14">
        <v>295000</v>
      </c>
      <c r="D1494" s="14">
        <v>197300</v>
      </c>
      <c r="E1494" s="14">
        <v>243375</v>
      </c>
      <c r="F1494" s="14">
        <v>152100</v>
      </c>
      <c r="G1494" s="14">
        <v>189832</v>
      </c>
      <c r="H1494" s="14">
        <v>159000</v>
      </c>
      <c r="I1494" s="14">
        <v>188000</v>
      </c>
      <c r="J1494" s="14">
        <v>3540</v>
      </c>
      <c r="K1494" s="14">
        <v>4280</v>
      </c>
      <c r="N1494" s="42">
        <f t="shared" si="62"/>
        <v>21000</v>
      </c>
      <c r="O1494" s="43">
        <f t="shared" si="63"/>
        <v>7.1186440677966104E-2</v>
      </c>
    </row>
    <row r="1495" spans="1:15" x14ac:dyDescent="0.45">
      <c r="A1495" s="12" t="s">
        <v>31451</v>
      </c>
      <c r="B1495" s="14">
        <v>274000</v>
      </c>
      <c r="C1495" s="14">
        <v>295000</v>
      </c>
      <c r="D1495" s="14">
        <v>197300</v>
      </c>
      <c r="E1495" s="14">
        <v>243375</v>
      </c>
      <c r="F1495" s="14">
        <v>152100</v>
      </c>
      <c r="G1495" s="14">
        <v>189832</v>
      </c>
      <c r="H1495" s="14">
        <v>158000</v>
      </c>
      <c r="I1495" s="14">
        <v>187000</v>
      </c>
      <c r="J1495" s="14">
        <v>3550</v>
      </c>
      <c r="K1495" s="14">
        <v>4280</v>
      </c>
      <c r="N1495" s="42">
        <f t="shared" si="62"/>
        <v>21000</v>
      </c>
      <c r="O1495" s="43">
        <f t="shared" si="63"/>
        <v>7.1186440677966104E-2</v>
      </c>
    </row>
    <row r="1496" spans="1:15" x14ac:dyDescent="0.45">
      <c r="A1496" s="12" t="s">
        <v>31452</v>
      </c>
      <c r="B1496" s="14">
        <v>273500</v>
      </c>
      <c r="C1496" s="14">
        <v>293000</v>
      </c>
      <c r="D1496" s="14">
        <v>197000</v>
      </c>
      <c r="E1496" s="14">
        <v>241725</v>
      </c>
      <c r="F1496" s="14">
        <v>151800</v>
      </c>
      <c r="G1496" s="14">
        <v>188545</v>
      </c>
      <c r="H1496" s="14">
        <v>162000</v>
      </c>
      <c r="I1496" s="14">
        <v>192000</v>
      </c>
      <c r="J1496" s="14">
        <v>3560</v>
      </c>
      <c r="K1496" s="14">
        <v>4310</v>
      </c>
      <c r="N1496" s="42">
        <f t="shared" si="62"/>
        <v>19500</v>
      </c>
      <c r="O1496" s="43">
        <f t="shared" si="63"/>
        <v>6.655290102389079E-2</v>
      </c>
    </row>
    <row r="1497" spans="1:15" x14ac:dyDescent="0.45">
      <c r="A1497" s="12" t="s">
        <v>31453</v>
      </c>
      <c r="B1497" s="14">
        <v>273500</v>
      </c>
      <c r="C1497" s="14">
        <v>295000</v>
      </c>
      <c r="D1497" s="14">
        <v>197000</v>
      </c>
      <c r="E1497" s="14">
        <v>243375</v>
      </c>
      <c r="F1497" s="14">
        <v>151800</v>
      </c>
      <c r="G1497" s="14">
        <v>189832</v>
      </c>
      <c r="H1497" s="14">
        <v>162000</v>
      </c>
      <c r="I1497" s="14">
        <v>192000</v>
      </c>
      <c r="J1497" s="14">
        <v>3560</v>
      </c>
      <c r="K1497" s="14">
        <v>4310</v>
      </c>
      <c r="N1497" s="42">
        <f t="shared" si="62"/>
        <v>21500</v>
      </c>
      <c r="O1497" s="43">
        <f t="shared" si="63"/>
        <v>7.2881355932203393E-2</v>
      </c>
    </row>
    <row r="1498" spans="1:15" x14ac:dyDescent="0.45">
      <c r="A1498" s="12" t="s">
        <v>31454</v>
      </c>
      <c r="B1498" s="14">
        <v>272500</v>
      </c>
      <c r="C1498" s="14">
        <v>293000</v>
      </c>
      <c r="D1498" s="14">
        <v>196200</v>
      </c>
      <c r="E1498" s="14">
        <v>241725</v>
      </c>
      <c r="F1498" s="14">
        <v>151300</v>
      </c>
      <c r="G1498" s="14">
        <v>188545</v>
      </c>
      <c r="H1498" s="14">
        <v>165000</v>
      </c>
      <c r="I1498" s="14">
        <v>195000</v>
      </c>
      <c r="J1498" s="14">
        <v>3620</v>
      </c>
      <c r="K1498" s="14">
        <v>4380</v>
      </c>
      <c r="N1498" s="42">
        <f t="shared" si="62"/>
        <v>20500</v>
      </c>
      <c r="O1498" s="43">
        <f t="shared" si="63"/>
        <v>6.9965870307167236E-2</v>
      </c>
    </row>
    <row r="1499" spans="1:15" x14ac:dyDescent="0.45">
      <c r="A1499" s="12" t="s">
        <v>31455</v>
      </c>
      <c r="B1499" s="14">
        <v>272000</v>
      </c>
      <c r="C1499" s="14">
        <v>292000</v>
      </c>
      <c r="D1499" s="14">
        <v>195900</v>
      </c>
      <c r="E1499" s="14">
        <v>240900</v>
      </c>
      <c r="F1499" s="14">
        <v>151000</v>
      </c>
      <c r="G1499" s="14">
        <v>187902</v>
      </c>
      <c r="H1499" s="14">
        <v>168000</v>
      </c>
      <c r="I1499" s="14">
        <v>198000</v>
      </c>
      <c r="J1499" s="14">
        <v>3570</v>
      </c>
      <c r="K1499" s="14">
        <v>4310</v>
      </c>
      <c r="N1499" s="42">
        <f t="shared" si="62"/>
        <v>20000</v>
      </c>
      <c r="O1499" s="43">
        <f t="shared" si="63"/>
        <v>6.8493150684931503E-2</v>
      </c>
    </row>
    <row r="1500" spans="1:15" x14ac:dyDescent="0.45">
      <c r="A1500" s="12" t="s">
        <v>31456</v>
      </c>
      <c r="B1500" s="14">
        <v>268000</v>
      </c>
      <c r="C1500" s="14">
        <v>289000</v>
      </c>
      <c r="D1500" s="14">
        <v>193000</v>
      </c>
      <c r="E1500" s="14">
        <v>238425</v>
      </c>
      <c r="F1500" s="14">
        <v>148800</v>
      </c>
      <c r="G1500" s="14">
        <v>185971</v>
      </c>
      <c r="H1500" s="14">
        <v>166000</v>
      </c>
      <c r="I1500" s="14">
        <v>196000</v>
      </c>
      <c r="J1500" s="14">
        <v>3520</v>
      </c>
      <c r="K1500" s="14">
        <v>4260</v>
      </c>
      <c r="N1500" s="42">
        <f t="shared" si="62"/>
        <v>21000</v>
      </c>
      <c r="O1500" s="43">
        <f t="shared" si="63"/>
        <v>7.2664359861591699E-2</v>
      </c>
    </row>
    <row r="1501" spans="1:15" x14ac:dyDescent="0.45">
      <c r="A1501" s="12" t="s">
        <v>31457</v>
      </c>
      <c r="B1501" s="14">
        <v>266000</v>
      </c>
      <c r="C1501" s="14">
        <v>285500</v>
      </c>
      <c r="D1501" s="14">
        <v>191600</v>
      </c>
      <c r="E1501" s="14">
        <v>235537</v>
      </c>
      <c r="F1501" s="14">
        <v>147700</v>
      </c>
      <c r="G1501" s="14">
        <v>183719</v>
      </c>
      <c r="H1501" s="14">
        <v>165000</v>
      </c>
      <c r="I1501" s="14">
        <v>195000</v>
      </c>
      <c r="J1501" s="14">
        <v>3480</v>
      </c>
      <c r="K1501" s="14">
        <v>4220</v>
      </c>
      <c r="N1501" s="42">
        <f t="shared" si="62"/>
        <v>19500</v>
      </c>
      <c r="O1501" s="43">
        <f t="shared" si="63"/>
        <v>6.8301225919439573E-2</v>
      </c>
    </row>
    <row r="1502" spans="1:15" x14ac:dyDescent="0.45">
      <c r="A1502" s="12" t="s">
        <v>31458</v>
      </c>
      <c r="B1502" s="14">
        <v>266000</v>
      </c>
      <c r="C1502" s="14">
        <v>286500</v>
      </c>
      <c r="D1502" s="14">
        <v>191600</v>
      </c>
      <c r="E1502" s="14">
        <v>236362</v>
      </c>
      <c r="F1502" s="14">
        <v>147700</v>
      </c>
      <c r="G1502" s="14">
        <v>184362</v>
      </c>
      <c r="H1502" s="14">
        <v>166000</v>
      </c>
      <c r="I1502" s="14">
        <v>196000</v>
      </c>
      <c r="J1502" s="14">
        <v>3520</v>
      </c>
      <c r="K1502" s="14">
        <v>4260</v>
      </c>
      <c r="N1502" s="42">
        <f t="shared" si="62"/>
        <v>20500</v>
      </c>
      <c r="O1502" s="43">
        <f t="shared" si="63"/>
        <v>7.1553228621291445E-2</v>
      </c>
    </row>
    <row r="1503" spans="1:15" x14ac:dyDescent="0.45">
      <c r="A1503" s="12" t="s">
        <v>31459</v>
      </c>
      <c r="B1503" s="14">
        <v>266000</v>
      </c>
      <c r="C1503" s="14">
        <v>285500</v>
      </c>
      <c r="D1503" s="14">
        <v>191600</v>
      </c>
      <c r="E1503" s="14">
        <v>235537</v>
      </c>
      <c r="F1503" s="14">
        <v>147700</v>
      </c>
      <c r="G1503" s="14">
        <v>183719</v>
      </c>
      <c r="H1503" s="14">
        <v>167000</v>
      </c>
      <c r="I1503" s="14">
        <v>198000</v>
      </c>
      <c r="J1503" s="14">
        <v>3470</v>
      </c>
      <c r="K1503" s="14">
        <v>4200</v>
      </c>
      <c r="N1503" s="42">
        <f t="shared" si="62"/>
        <v>19500</v>
      </c>
      <c r="O1503" s="43">
        <f t="shared" si="63"/>
        <v>6.8301225919439573E-2</v>
      </c>
    </row>
    <row r="1504" spans="1:15" x14ac:dyDescent="0.45">
      <c r="A1504" s="12" t="s">
        <v>31460</v>
      </c>
      <c r="B1504" s="14">
        <v>265500</v>
      </c>
      <c r="C1504" s="14">
        <v>285000</v>
      </c>
      <c r="D1504" s="14">
        <v>191200</v>
      </c>
      <c r="E1504" s="14">
        <v>235125</v>
      </c>
      <c r="F1504" s="14">
        <v>147400</v>
      </c>
      <c r="G1504" s="14">
        <v>183397</v>
      </c>
      <c r="H1504" s="14">
        <v>168000</v>
      </c>
      <c r="I1504" s="14">
        <v>199000</v>
      </c>
      <c r="J1504" s="14">
        <v>3510</v>
      </c>
      <c r="K1504" s="14">
        <v>4250</v>
      </c>
      <c r="N1504" s="42">
        <f t="shared" si="62"/>
        <v>19500</v>
      </c>
      <c r="O1504" s="43">
        <f t="shared" si="63"/>
        <v>6.8421052631578952E-2</v>
      </c>
    </row>
    <row r="1505" spans="1:15" x14ac:dyDescent="0.45">
      <c r="A1505" s="12" t="s">
        <v>31461</v>
      </c>
      <c r="B1505" s="14">
        <v>263500</v>
      </c>
      <c r="C1505" s="14">
        <v>284000</v>
      </c>
      <c r="D1505" s="14">
        <v>189800</v>
      </c>
      <c r="E1505" s="14">
        <v>234300</v>
      </c>
      <c r="F1505" s="14">
        <v>146300</v>
      </c>
      <c r="G1505" s="14">
        <v>182754</v>
      </c>
      <c r="H1505" s="14">
        <v>167000</v>
      </c>
      <c r="I1505" s="14">
        <v>197000</v>
      </c>
      <c r="J1505" s="14">
        <v>3480</v>
      </c>
      <c r="K1505" s="14">
        <v>4220</v>
      </c>
      <c r="N1505" s="42">
        <f t="shared" si="62"/>
        <v>20500</v>
      </c>
      <c r="O1505" s="43">
        <f t="shared" si="63"/>
        <v>7.2183098591549297E-2</v>
      </c>
    </row>
    <row r="1506" spans="1:15" x14ac:dyDescent="0.45">
      <c r="A1506" s="12" t="s">
        <v>31462</v>
      </c>
      <c r="B1506" s="14">
        <v>263000</v>
      </c>
      <c r="C1506" s="14">
        <v>284000</v>
      </c>
      <c r="D1506" s="14">
        <v>189400</v>
      </c>
      <c r="E1506" s="14">
        <v>234300</v>
      </c>
      <c r="F1506" s="14">
        <v>146000</v>
      </c>
      <c r="G1506" s="14">
        <v>182754</v>
      </c>
      <c r="H1506" s="14">
        <v>169000</v>
      </c>
      <c r="I1506" s="14">
        <v>200000</v>
      </c>
      <c r="J1506" s="14">
        <v>3500</v>
      </c>
      <c r="K1506" s="14">
        <v>4240</v>
      </c>
      <c r="N1506" s="42">
        <f t="shared" si="62"/>
        <v>21000</v>
      </c>
      <c r="O1506" s="43">
        <f t="shared" si="63"/>
        <v>7.3943661971830985E-2</v>
      </c>
    </row>
    <row r="1507" spans="1:15" x14ac:dyDescent="0.45">
      <c r="A1507" s="12" t="s">
        <v>31463</v>
      </c>
      <c r="B1507" s="14">
        <v>260500</v>
      </c>
      <c r="C1507" s="14">
        <v>279500</v>
      </c>
      <c r="D1507" s="14">
        <v>187600</v>
      </c>
      <c r="E1507" s="14">
        <v>230587</v>
      </c>
      <c r="F1507" s="14">
        <v>144600</v>
      </c>
      <c r="G1507" s="14">
        <v>179858</v>
      </c>
      <c r="H1507" s="14">
        <v>166000</v>
      </c>
      <c r="I1507" s="14">
        <v>197000</v>
      </c>
      <c r="J1507" s="14">
        <v>3390</v>
      </c>
      <c r="K1507" s="14">
        <v>4100</v>
      </c>
      <c r="N1507" s="42">
        <f t="shared" si="62"/>
        <v>19000</v>
      </c>
      <c r="O1507" s="43">
        <f t="shared" si="63"/>
        <v>6.7978533094812166E-2</v>
      </c>
    </row>
    <row r="1508" spans="1:15" x14ac:dyDescent="0.45">
      <c r="A1508" s="12" t="s">
        <v>31464</v>
      </c>
      <c r="B1508" s="14">
        <v>260000</v>
      </c>
      <c r="C1508" s="14">
        <v>278500</v>
      </c>
      <c r="D1508" s="14">
        <v>187200</v>
      </c>
      <c r="E1508" s="14">
        <v>229762</v>
      </c>
      <c r="F1508" s="14">
        <v>144300</v>
      </c>
      <c r="G1508" s="14">
        <v>179214</v>
      </c>
      <c r="H1508" s="14">
        <v>163000</v>
      </c>
      <c r="I1508" s="14">
        <v>192000</v>
      </c>
      <c r="J1508" s="14">
        <v>3330</v>
      </c>
      <c r="K1508" s="14">
        <v>4030</v>
      </c>
      <c r="N1508" s="42">
        <f t="shared" si="62"/>
        <v>18500</v>
      </c>
      <c r="O1508" s="43">
        <f t="shared" si="63"/>
        <v>6.6427289048473961E-2</v>
      </c>
    </row>
    <row r="1509" spans="1:15" x14ac:dyDescent="0.45">
      <c r="A1509" s="12" t="s">
        <v>31465</v>
      </c>
      <c r="B1509" s="14">
        <v>259500</v>
      </c>
      <c r="C1509" s="14">
        <v>276000</v>
      </c>
      <c r="D1509" s="14">
        <v>186900</v>
      </c>
      <c r="E1509" s="14">
        <v>227700</v>
      </c>
      <c r="F1509" s="14">
        <v>144100</v>
      </c>
      <c r="G1509" s="14">
        <v>177606</v>
      </c>
      <c r="H1509" s="14">
        <v>161000</v>
      </c>
      <c r="I1509" s="14">
        <v>190000</v>
      </c>
      <c r="J1509" s="14">
        <v>3300</v>
      </c>
      <c r="K1509" s="14">
        <v>4000</v>
      </c>
      <c r="N1509" s="42">
        <f t="shared" si="62"/>
        <v>16500</v>
      </c>
      <c r="O1509" s="43">
        <f t="shared" si="63"/>
        <v>5.9782608695652176E-2</v>
      </c>
    </row>
    <row r="1510" spans="1:15" x14ac:dyDescent="0.45">
      <c r="A1510" s="12" t="s">
        <v>31466</v>
      </c>
      <c r="B1510" s="14">
        <v>258000</v>
      </c>
      <c r="C1510" s="14">
        <v>273500</v>
      </c>
      <c r="D1510" s="14">
        <v>185800</v>
      </c>
      <c r="E1510" s="14">
        <v>225637</v>
      </c>
      <c r="F1510" s="14">
        <v>143200</v>
      </c>
      <c r="G1510" s="14">
        <v>175997</v>
      </c>
      <c r="H1510" s="14">
        <v>160000</v>
      </c>
      <c r="I1510" s="14">
        <v>189000</v>
      </c>
      <c r="J1510" s="14">
        <v>3260</v>
      </c>
      <c r="K1510" s="14">
        <v>3950</v>
      </c>
      <c r="N1510" s="42">
        <f t="shared" si="62"/>
        <v>15500</v>
      </c>
      <c r="O1510" s="43">
        <f t="shared" si="63"/>
        <v>5.6672760511882997E-2</v>
      </c>
    </row>
    <row r="1511" spans="1:15" x14ac:dyDescent="0.45">
      <c r="A1511" s="12" t="s">
        <v>31467</v>
      </c>
      <c r="B1511" s="14">
        <v>259500</v>
      </c>
      <c r="C1511" s="14">
        <v>276000</v>
      </c>
      <c r="D1511" s="14">
        <v>186900</v>
      </c>
      <c r="E1511" s="14">
        <v>227700</v>
      </c>
      <c r="F1511" s="14">
        <v>144100</v>
      </c>
      <c r="G1511" s="14">
        <v>177606</v>
      </c>
      <c r="H1511" s="14">
        <v>162000</v>
      </c>
      <c r="I1511" s="14">
        <v>192000</v>
      </c>
      <c r="J1511" s="14">
        <v>3320</v>
      </c>
      <c r="K1511" s="14">
        <v>4010</v>
      </c>
      <c r="N1511" s="42">
        <f t="shared" si="62"/>
        <v>16500</v>
      </c>
      <c r="O1511" s="43">
        <f t="shared" si="63"/>
        <v>5.9782608695652176E-2</v>
      </c>
    </row>
    <row r="1512" spans="1:15" x14ac:dyDescent="0.45">
      <c r="A1512" s="12" t="s">
        <v>31468</v>
      </c>
      <c r="B1512" s="14">
        <v>259500</v>
      </c>
      <c r="C1512" s="14">
        <v>275500</v>
      </c>
      <c r="D1512" s="14">
        <v>186900</v>
      </c>
      <c r="E1512" s="14">
        <v>227287</v>
      </c>
      <c r="F1512" s="14">
        <v>144100</v>
      </c>
      <c r="G1512" s="14">
        <v>177284</v>
      </c>
      <c r="H1512" s="14">
        <v>166000</v>
      </c>
      <c r="I1512" s="14">
        <v>197000</v>
      </c>
      <c r="J1512" s="14">
        <v>3310</v>
      </c>
      <c r="K1512" s="14">
        <v>4010</v>
      </c>
      <c r="N1512" s="42">
        <f t="shared" si="62"/>
        <v>16000</v>
      </c>
      <c r="O1512" s="43">
        <f t="shared" si="63"/>
        <v>5.8076225045372049E-2</v>
      </c>
    </row>
    <row r="1513" spans="1:15" x14ac:dyDescent="0.45">
      <c r="A1513" s="12" t="s">
        <v>31469</v>
      </c>
      <c r="B1513" s="14">
        <v>260000</v>
      </c>
      <c r="C1513" s="14">
        <v>276500</v>
      </c>
      <c r="D1513" s="14">
        <v>187200</v>
      </c>
      <c r="E1513" s="14">
        <v>228112</v>
      </c>
      <c r="F1513" s="14">
        <v>144300</v>
      </c>
      <c r="G1513" s="14">
        <v>177927</v>
      </c>
      <c r="H1513" s="14">
        <v>165000</v>
      </c>
      <c r="I1513" s="14">
        <v>195000</v>
      </c>
      <c r="J1513" s="14">
        <v>3300</v>
      </c>
      <c r="K1513" s="14">
        <v>4000</v>
      </c>
      <c r="N1513" s="42">
        <f t="shared" si="62"/>
        <v>16500</v>
      </c>
      <c r="O1513" s="43">
        <f t="shared" si="63"/>
        <v>5.9674502712477394E-2</v>
      </c>
    </row>
    <row r="1514" spans="1:15" x14ac:dyDescent="0.45">
      <c r="A1514" s="12" t="s">
        <v>31470</v>
      </c>
      <c r="B1514" s="14">
        <v>260000</v>
      </c>
      <c r="C1514" s="14">
        <v>277000</v>
      </c>
      <c r="D1514" s="14">
        <v>187200</v>
      </c>
      <c r="E1514" s="14">
        <v>228525</v>
      </c>
      <c r="F1514" s="14">
        <v>144300</v>
      </c>
      <c r="G1514" s="14">
        <v>178249</v>
      </c>
      <c r="H1514" s="14">
        <v>165000</v>
      </c>
      <c r="I1514" s="14">
        <v>194000</v>
      </c>
      <c r="J1514" s="14">
        <v>3300</v>
      </c>
      <c r="K1514" s="14">
        <v>4000</v>
      </c>
      <c r="N1514" s="42">
        <f t="shared" si="62"/>
        <v>17000</v>
      </c>
      <c r="O1514" s="43">
        <f t="shared" si="63"/>
        <v>6.1371841155234655E-2</v>
      </c>
    </row>
    <row r="1515" spans="1:15" x14ac:dyDescent="0.45">
      <c r="A1515" s="12" t="s">
        <v>31471</v>
      </c>
      <c r="B1515" s="14">
        <v>260500</v>
      </c>
      <c r="C1515" s="14">
        <v>278500</v>
      </c>
      <c r="D1515" s="14">
        <v>187600</v>
      </c>
      <c r="E1515" s="14">
        <v>229762</v>
      </c>
      <c r="F1515" s="14">
        <v>144600</v>
      </c>
      <c r="G1515" s="14">
        <v>179214</v>
      </c>
      <c r="H1515" s="14">
        <v>162000</v>
      </c>
      <c r="I1515" s="14">
        <v>191000</v>
      </c>
      <c r="J1515" s="14">
        <v>3320</v>
      </c>
      <c r="K1515" s="14">
        <v>4020</v>
      </c>
      <c r="N1515" s="42">
        <f t="shared" si="62"/>
        <v>18000</v>
      </c>
      <c r="O1515" s="43">
        <f t="shared" si="63"/>
        <v>6.4631956912028721E-2</v>
      </c>
    </row>
    <row r="1516" spans="1:15" x14ac:dyDescent="0.45">
      <c r="A1516" s="12" t="s">
        <v>31472</v>
      </c>
      <c r="B1516" s="14">
        <v>260500</v>
      </c>
      <c r="C1516" s="14">
        <v>279000</v>
      </c>
      <c r="D1516" s="14">
        <v>187600</v>
      </c>
      <c r="E1516" s="14">
        <v>230175</v>
      </c>
      <c r="F1516" s="14">
        <v>144600</v>
      </c>
      <c r="G1516" s="14">
        <v>179536</v>
      </c>
      <c r="H1516" s="14">
        <v>163000</v>
      </c>
      <c r="I1516" s="14">
        <v>192000</v>
      </c>
      <c r="J1516" s="14">
        <v>3360</v>
      </c>
      <c r="K1516" s="14">
        <v>4070</v>
      </c>
      <c r="N1516" s="42">
        <f t="shared" si="62"/>
        <v>18500</v>
      </c>
      <c r="O1516" s="43">
        <f t="shared" si="63"/>
        <v>6.6308243727598568E-2</v>
      </c>
    </row>
    <row r="1517" spans="1:15" x14ac:dyDescent="0.45">
      <c r="A1517" s="12" t="s">
        <v>31473</v>
      </c>
      <c r="B1517" s="14">
        <v>259000</v>
      </c>
      <c r="C1517" s="14">
        <v>276500</v>
      </c>
      <c r="D1517" s="14">
        <v>186500</v>
      </c>
      <c r="E1517" s="14">
        <v>228112</v>
      </c>
      <c r="F1517" s="14">
        <v>143800</v>
      </c>
      <c r="G1517" s="14">
        <v>177927</v>
      </c>
      <c r="H1517" s="14">
        <v>159000</v>
      </c>
      <c r="I1517" s="14">
        <v>188000</v>
      </c>
      <c r="J1517" s="14">
        <v>3270</v>
      </c>
      <c r="K1517" s="14">
        <v>3970</v>
      </c>
      <c r="N1517" s="42">
        <f t="shared" ref="N1517:N1580" si="64">C1517-B1517</f>
        <v>17500</v>
      </c>
      <c r="O1517" s="43">
        <f t="shared" ref="O1517:O1580" si="65">N1517/C1517</f>
        <v>6.3291139240506333E-2</v>
      </c>
    </row>
    <row r="1518" spans="1:15" x14ac:dyDescent="0.45">
      <c r="A1518" s="12" t="s">
        <v>31474</v>
      </c>
      <c r="B1518" s="14">
        <v>258500</v>
      </c>
      <c r="C1518" s="14">
        <v>275000</v>
      </c>
      <c r="D1518" s="14">
        <v>186200</v>
      </c>
      <c r="E1518" s="14">
        <v>226875</v>
      </c>
      <c r="F1518" s="14">
        <v>143500</v>
      </c>
      <c r="G1518" s="14">
        <v>176962</v>
      </c>
      <c r="H1518" s="14">
        <v>161000</v>
      </c>
      <c r="I1518" s="14">
        <v>190000</v>
      </c>
      <c r="J1518" s="14">
        <v>3280</v>
      </c>
      <c r="K1518" s="14">
        <v>3980</v>
      </c>
      <c r="N1518" s="42">
        <f t="shared" si="64"/>
        <v>16500</v>
      </c>
      <c r="O1518" s="43">
        <f t="shared" si="65"/>
        <v>0.06</v>
      </c>
    </row>
    <row r="1519" spans="1:15" x14ac:dyDescent="0.45">
      <c r="A1519" s="12" t="s">
        <v>31475</v>
      </c>
      <c r="B1519" s="14">
        <v>259500</v>
      </c>
      <c r="C1519" s="14">
        <v>277500</v>
      </c>
      <c r="D1519" s="14">
        <v>186900</v>
      </c>
      <c r="E1519" s="14">
        <v>228937</v>
      </c>
      <c r="F1519" s="14">
        <v>144100</v>
      </c>
      <c r="G1519" s="14">
        <v>178571</v>
      </c>
      <c r="H1519" s="14">
        <v>162000</v>
      </c>
      <c r="I1519" s="14">
        <v>191000</v>
      </c>
      <c r="J1519" s="14">
        <v>3300</v>
      </c>
      <c r="K1519" s="14">
        <v>4010</v>
      </c>
      <c r="N1519" s="42">
        <f t="shared" si="64"/>
        <v>18000</v>
      </c>
      <c r="O1519" s="43">
        <f t="shared" si="65"/>
        <v>6.4864864864864868E-2</v>
      </c>
    </row>
    <row r="1520" spans="1:15" x14ac:dyDescent="0.45">
      <c r="A1520" s="12" t="s">
        <v>31476</v>
      </c>
      <c r="B1520" s="14">
        <v>259000</v>
      </c>
      <c r="C1520" s="14">
        <v>277000</v>
      </c>
      <c r="D1520" s="14">
        <v>186500</v>
      </c>
      <c r="E1520" s="14">
        <v>228525</v>
      </c>
      <c r="F1520" s="14">
        <v>143800</v>
      </c>
      <c r="G1520" s="14">
        <v>178249</v>
      </c>
      <c r="H1520" s="14">
        <v>161000</v>
      </c>
      <c r="I1520" s="14">
        <v>190000</v>
      </c>
      <c r="J1520" s="14">
        <v>3300</v>
      </c>
      <c r="K1520" s="14">
        <v>4000</v>
      </c>
      <c r="N1520" s="42">
        <f t="shared" si="64"/>
        <v>18000</v>
      </c>
      <c r="O1520" s="43">
        <f t="shared" si="65"/>
        <v>6.4981949458483748E-2</v>
      </c>
    </row>
    <row r="1521" spans="1:15" x14ac:dyDescent="0.45">
      <c r="A1521" s="12" t="s">
        <v>31477</v>
      </c>
      <c r="B1521" s="14">
        <v>258500</v>
      </c>
      <c r="C1521" s="14">
        <v>275000</v>
      </c>
      <c r="D1521" s="14">
        <v>186200</v>
      </c>
      <c r="E1521" s="14">
        <v>226875</v>
      </c>
      <c r="F1521" s="14">
        <v>143500</v>
      </c>
      <c r="G1521" s="14">
        <v>176962</v>
      </c>
      <c r="H1521" s="14">
        <v>161000</v>
      </c>
      <c r="I1521" s="14">
        <v>190000</v>
      </c>
      <c r="J1521" s="14">
        <v>3280</v>
      </c>
      <c r="K1521" s="14">
        <v>3980</v>
      </c>
      <c r="N1521" s="42">
        <f t="shared" si="64"/>
        <v>16500</v>
      </c>
      <c r="O1521" s="43">
        <f t="shared" si="65"/>
        <v>0.06</v>
      </c>
    </row>
    <row r="1522" spans="1:15" x14ac:dyDescent="0.45">
      <c r="A1522" s="12" t="s">
        <v>31478</v>
      </c>
      <c r="B1522" s="14">
        <v>256000</v>
      </c>
      <c r="C1522" s="14">
        <v>271000</v>
      </c>
      <c r="D1522" s="14">
        <v>184400</v>
      </c>
      <c r="E1522" s="14">
        <v>223575</v>
      </c>
      <c r="F1522" s="14">
        <v>142100</v>
      </c>
      <c r="G1522" s="14">
        <v>174388</v>
      </c>
      <c r="H1522" s="14">
        <v>157000</v>
      </c>
      <c r="I1522" s="14">
        <v>186000</v>
      </c>
      <c r="J1522" s="14">
        <v>3230</v>
      </c>
      <c r="K1522" s="14">
        <v>3910</v>
      </c>
      <c r="N1522" s="42">
        <f t="shared" si="64"/>
        <v>15000</v>
      </c>
      <c r="O1522" s="43">
        <f t="shared" si="65"/>
        <v>5.5350553505535055E-2</v>
      </c>
    </row>
    <row r="1523" spans="1:15" x14ac:dyDescent="0.45">
      <c r="A1523" s="12" t="s">
        <v>31479</v>
      </c>
      <c r="B1523" s="14">
        <v>257500</v>
      </c>
      <c r="C1523" s="14">
        <v>272500</v>
      </c>
      <c r="D1523" s="14">
        <v>185400</v>
      </c>
      <c r="E1523" s="14">
        <v>224812</v>
      </c>
      <c r="F1523" s="14">
        <v>143000</v>
      </c>
      <c r="G1523" s="14">
        <v>175353</v>
      </c>
      <c r="H1523" s="14">
        <v>157000</v>
      </c>
      <c r="I1523" s="14">
        <v>185000</v>
      </c>
      <c r="J1523" s="14">
        <v>3220</v>
      </c>
      <c r="K1523" s="14">
        <v>3910</v>
      </c>
      <c r="N1523" s="42">
        <f t="shared" si="64"/>
        <v>15000</v>
      </c>
      <c r="O1523" s="43">
        <f t="shared" si="65"/>
        <v>5.5045871559633031E-2</v>
      </c>
    </row>
    <row r="1524" spans="1:15" x14ac:dyDescent="0.45">
      <c r="A1524" s="12" t="s">
        <v>31480</v>
      </c>
      <c r="B1524" s="14">
        <v>257500</v>
      </c>
      <c r="C1524" s="14">
        <v>273000</v>
      </c>
      <c r="D1524" s="14">
        <v>185400</v>
      </c>
      <c r="E1524" s="14">
        <v>225225</v>
      </c>
      <c r="F1524" s="14">
        <v>143000</v>
      </c>
      <c r="G1524" s="14">
        <v>175675</v>
      </c>
      <c r="H1524" s="14">
        <v>161000</v>
      </c>
      <c r="I1524" s="14">
        <v>191000</v>
      </c>
      <c r="J1524" s="14">
        <v>3210</v>
      </c>
      <c r="K1524" s="14">
        <v>3900</v>
      </c>
      <c r="N1524" s="42">
        <f t="shared" si="64"/>
        <v>15500</v>
      </c>
      <c r="O1524" s="43">
        <f t="shared" si="65"/>
        <v>5.6776556776556776E-2</v>
      </c>
    </row>
    <row r="1525" spans="1:15" x14ac:dyDescent="0.45">
      <c r="A1525" s="12" t="s">
        <v>31481</v>
      </c>
      <c r="B1525" s="14">
        <v>257500</v>
      </c>
      <c r="C1525" s="14">
        <v>273000</v>
      </c>
      <c r="D1525" s="14">
        <v>185400</v>
      </c>
      <c r="E1525" s="14">
        <v>225225</v>
      </c>
      <c r="F1525" s="14">
        <v>143000</v>
      </c>
      <c r="G1525" s="14">
        <v>175675</v>
      </c>
      <c r="H1525" s="14">
        <v>161000</v>
      </c>
      <c r="I1525" s="14">
        <v>195000</v>
      </c>
      <c r="J1525" s="14">
        <v>3170</v>
      </c>
      <c r="K1525" s="14">
        <v>3900</v>
      </c>
      <c r="N1525" s="42">
        <f t="shared" si="64"/>
        <v>15500</v>
      </c>
      <c r="O1525" s="43">
        <f t="shared" si="65"/>
        <v>5.6776556776556776E-2</v>
      </c>
    </row>
    <row r="1526" spans="1:15" x14ac:dyDescent="0.45">
      <c r="A1526" s="12" t="s">
        <v>31482</v>
      </c>
      <c r="B1526" s="14">
        <v>257500</v>
      </c>
      <c r="C1526" s="14">
        <v>273000</v>
      </c>
      <c r="D1526" s="14">
        <v>185400</v>
      </c>
      <c r="E1526" s="14">
        <v>225225</v>
      </c>
      <c r="F1526" s="14">
        <v>143000</v>
      </c>
      <c r="G1526" s="14">
        <v>175675</v>
      </c>
      <c r="H1526" s="14">
        <v>164000</v>
      </c>
      <c r="I1526" s="14">
        <v>195000</v>
      </c>
      <c r="J1526" s="14">
        <v>3220</v>
      </c>
      <c r="K1526" s="14">
        <v>3900</v>
      </c>
      <c r="N1526" s="42">
        <f t="shared" si="64"/>
        <v>15500</v>
      </c>
      <c r="O1526" s="43">
        <f t="shared" si="65"/>
        <v>5.6776556776556776E-2</v>
      </c>
    </row>
    <row r="1527" spans="1:15" x14ac:dyDescent="0.45">
      <c r="A1527" s="12" t="s">
        <v>31483</v>
      </c>
      <c r="B1527" s="14">
        <v>257000</v>
      </c>
      <c r="C1527" s="14">
        <v>271500</v>
      </c>
      <c r="D1527" s="14">
        <v>185100</v>
      </c>
      <c r="E1527" s="14">
        <v>223987</v>
      </c>
      <c r="F1527" s="14">
        <v>142700</v>
      </c>
      <c r="G1527" s="14">
        <v>174710</v>
      </c>
      <c r="H1527" s="14">
        <v>164000</v>
      </c>
      <c r="I1527" s="14">
        <v>195000</v>
      </c>
      <c r="J1527" s="14">
        <v>3190</v>
      </c>
      <c r="K1527" s="14">
        <v>3870</v>
      </c>
      <c r="N1527" s="42">
        <f t="shared" si="64"/>
        <v>14500</v>
      </c>
      <c r="O1527" s="43">
        <f t="shared" si="65"/>
        <v>5.3406998158379376E-2</v>
      </c>
    </row>
    <row r="1528" spans="1:15" x14ac:dyDescent="0.45">
      <c r="A1528" s="12" t="s">
        <v>31484</v>
      </c>
      <c r="B1528" s="14">
        <v>257000</v>
      </c>
      <c r="C1528" s="14">
        <v>271000</v>
      </c>
      <c r="D1528" s="14">
        <v>185100</v>
      </c>
      <c r="E1528" s="14">
        <v>223575</v>
      </c>
      <c r="F1528" s="14">
        <v>142700</v>
      </c>
      <c r="G1528" s="14">
        <v>174388</v>
      </c>
      <c r="H1528" s="14">
        <v>167000</v>
      </c>
      <c r="I1528" s="14">
        <v>197000</v>
      </c>
      <c r="J1528" s="14">
        <v>3180</v>
      </c>
      <c r="K1528" s="14">
        <v>3860</v>
      </c>
      <c r="N1528" s="42">
        <f t="shared" si="64"/>
        <v>14000</v>
      </c>
      <c r="O1528" s="43">
        <f t="shared" si="65"/>
        <v>5.1660516605166053E-2</v>
      </c>
    </row>
    <row r="1529" spans="1:15" x14ac:dyDescent="0.45">
      <c r="A1529" s="12" t="s">
        <v>31485</v>
      </c>
      <c r="B1529" s="14">
        <v>257000</v>
      </c>
      <c r="C1529" s="14">
        <v>272500</v>
      </c>
      <c r="D1529" s="14">
        <v>185100</v>
      </c>
      <c r="E1529" s="14">
        <v>224812</v>
      </c>
      <c r="F1529" s="14">
        <v>142700</v>
      </c>
      <c r="G1529" s="14">
        <v>175353</v>
      </c>
      <c r="H1529" s="14">
        <v>164000</v>
      </c>
      <c r="I1529" s="14">
        <v>194000</v>
      </c>
      <c r="J1529" s="14">
        <v>3180</v>
      </c>
      <c r="K1529" s="14">
        <v>3880</v>
      </c>
      <c r="N1529" s="42">
        <f t="shared" si="64"/>
        <v>15500</v>
      </c>
      <c r="O1529" s="43">
        <f t="shared" si="65"/>
        <v>5.6880733944954132E-2</v>
      </c>
    </row>
    <row r="1530" spans="1:15" x14ac:dyDescent="0.45">
      <c r="A1530" s="12" t="s">
        <v>31486</v>
      </c>
      <c r="B1530" s="14">
        <v>258000</v>
      </c>
      <c r="C1530" s="14">
        <v>274000</v>
      </c>
      <c r="D1530" s="14">
        <v>185800</v>
      </c>
      <c r="E1530" s="14">
        <v>226050</v>
      </c>
      <c r="F1530" s="14">
        <v>143200</v>
      </c>
      <c r="G1530" s="14">
        <v>176319</v>
      </c>
      <c r="H1530" s="14">
        <v>164000</v>
      </c>
      <c r="I1530" s="14">
        <v>194000</v>
      </c>
      <c r="J1530" s="14">
        <v>3210</v>
      </c>
      <c r="K1530" s="14">
        <v>3910</v>
      </c>
      <c r="N1530" s="42">
        <f t="shared" si="64"/>
        <v>16000</v>
      </c>
      <c r="O1530" s="43">
        <f t="shared" si="65"/>
        <v>5.8394160583941604E-2</v>
      </c>
    </row>
    <row r="1531" spans="1:15" x14ac:dyDescent="0.45">
      <c r="A1531" s="12" t="s">
        <v>31487</v>
      </c>
      <c r="B1531" s="14">
        <v>257500</v>
      </c>
      <c r="C1531" s="14">
        <v>274000</v>
      </c>
      <c r="D1531" s="14">
        <v>185400</v>
      </c>
      <c r="E1531" s="14">
        <v>226050</v>
      </c>
      <c r="F1531" s="14">
        <v>143000</v>
      </c>
      <c r="G1531" s="14">
        <v>176319</v>
      </c>
      <c r="H1531" s="14">
        <v>164000</v>
      </c>
      <c r="I1531" s="14">
        <v>194000</v>
      </c>
      <c r="J1531" s="14">
        <v>3200</v>
      </c>
      <c r="K1531" s="14">
        <v>3900</v>
      </c>
      <c r="N1531" s="42">
        <f t="shared" si="64"/>
        <v>16500</v>
      </c>
      <c r="O1531" s="43">
        <f t="shared" si="65"/>
        <v>6.0218978102189784E-2</v>
      </c>
    </row>
    <row r="1532" spans="1:15" x14ac:dyDescent="0.45">
      <c r="A1532" s="12" t="s">
        <v>31488</v>
      </c>
      <c r="B1532" s="14">
        <v>256000</v>
      </c>
      <c r="C1532" s="14">
        <v>270500</v>
      </c>
      <c r="D1532" s="14">
        <v>184400</v>
      </c>
      <c r="E1532" s="14">
        <v>223162</v>
      </c>
      <c r="F1532" s="14">
        <v>142100</v>
      </c>
      <c r="G1532" s="14">
        <v>174066</v>
      </c>
      <c r="H1532" s="14">
        <v>160000</v>
      </c>
      <c r="I1532" s="14">
        <v>189000</v>
      </c>
      <c r="J1532" s="14">
        <v>3120</v>
      </c>
      <c r="K1532" s="14">
        <v>3780</v>
      </c>
      <c r="N1532" s="42">
        <f t="shared" si="64"/>
        <v>14500</v>
      </c>
      <c r="O1532" s="43">
        <f t="shared" si="65"/>
        <v>5.3604436229205174E-2</v>
      </c>
    </row>
    <row r="1533" spans="1:15" x14ac:dyDescent="0.45">
      <c r="A1533" s="12" t="s">
        <v>31489</v>
      </c>
      <c r="B1533" s="14">
        <v>252000</v>
      </c>
      <c r="C1533" s="14">
        <v>266500</v>
      </c>
      <c r="D1533" s="14">
        <v>181500</v>
      </c>
      <c r="E1533" s="14">
        <v>219862</v>
      </c>
      <c r="F1533" s="14">
        <v>139900</v>
      </c>
      <c r="G1533" s="14">
        <v>171492</v>
      </c>
      <c r="H1533" s="14">
        <v>157000</v>
      </c>
      <c r="I1533" s="14">
        <v>186000</v>
      </c>
      <c r="J1533" s="14">
        <v>3060</v>
      </c>
      <c r="K1533" s="14">
        <v>3710</v>
      </c>
      <c r="N1533" s="42">
        <f t="shared" si="64"/>
        <v>14500</v>
      </c>
      <c r="O1533" s="43">
        <f t="shared" si="65"/>
        <v>5.4409005628517824E-2</v>
      </c>
    </row>
    <row r="1534" spans="1:15" x14ac:dyDescent="0.45">
      <c r="A1534" s="12" t="s">
        <v>31490</v>
      </c>
      <c r="B1534" s="14">
        <v>256000</v>
      </c>
      <c r="C1534" s="14">
        <v>270000</v>
      </c>
      <c r="D1534" s="14">
        <v>184400</v>
      </c>
      <c r="E1534" s="14">
        <v>222750</v>
      </c>
      <c r="F1534" s="14">
        <v>142100</v>
      </c>
      <c r="G1534" s="14">
        <v>173745</v>
      </c>
      <c r="H1534" s="14">
        <v>159000</v>
      </c>
      <c r="I1534" s="14">
        <v>188000</v>
      </c>
      <c r="J1534" s="14">
        <v>3170</v>
      </c>
      <c r="K1534" s="14">
        <v>3840</v>
      </c>
      <c r="N1534" s="42">
        <f t="shared" si="64"/>
        <v>14000</v>
      </c>
      <c r="O1534" s="43">
        <f t="shared" si="65"/>
        <v>5.185185185185185E-2</v>
      </c>
    </row>
    <row r="1535" spans="1:15" x14ac:dyDescent="0.45">
      <c r="A1535" s="12" t="s">
        <v>31491</v>
      </c>
      <c r="B1535" s="14">
        <v>258000</v>
      </c>
      <c r="C1535" s="14">
        <v>273000</v>
      </c>
      <c r="D1535" s="14">
        <v>185800</v>
      </c>
      <c r="E1535" s="14">
        <v>225225</v>
      </c>
      <c r="F1535" s="14">
        <v>143200</v>
      </c>
      <c r="G1535" s="14">
        <v>175675</v>
      </c>
      <c r="H1535" s="14">
        <v>160000</v>
      </c>
      <c r="I1535" s="14">
        <v>189000</v>
      </c>
      <c r="J1535" s="14">
        <v>3210</v>
      </c>
      <c r="K1535" s="14">
        <v>3890</v>
      </c>
      <c r="N1535" s="42">
        <f t="shared" si="64"/>
        <v>15000</v>
      </c>
      <c r="O1535" s="43">
        <f t="shared" si="65"/>
        <v>5.4945054945054944E-2</v>
      </c>
    </row>
    <row r="1536" spans="1:15" x14ac:dyDescent="0.45">
      <c r="A1536" s="12" t="s">
        <v>31492</v>
      </c>
      <c r="B1536" s="14">
        <v>258000</v>
      </c>
      <c r="C1536" s="14">
        <v>273000</v>
      </c>
      <c r="D1536" s="14">
        <v>185800</v>
      </c>
      <c r="E1536" s="14">
        <v>225225</v>
      </c>
      <c r="F1536" s="14">
        <v>143200</v>
      </c>
      <c r="G1536" s="14">
        <v>175675</v>
      </c>
      <c r="H1536" s="14">
        <v>160000</v>
      </c>
      <c r="I1536" s="14">
        <v>189000</v>
      </c>
      <c r="J1536" s="14">
        <v>3220</v>
      </c>
      <c r="K1536" s="14">
        <v>3900</v>
      </c>
      <c r="N1536" s="42">
        <f t="shared" si="64"/>
        <v>15000</v>
      </c>
      <c r="O1536" s="43">
        <f t="shared" si="65"/>
        <v>5.4945054945054944E-2</v>
      </c>
    </row>
    <row r="1537" spans="1:15" x14ac:dyDescent="0.45">
      <c r="A1537" s="12" t="s">
        <v>31493</v>
      </c>
      <c r="B1537" s="14">
        <v>257500</v>
      </c>
      <c r="C1537" s="14">
        <v>272500</v>
      </c>
      <c r="D1537" s="14">
        <v>185400</v>
      </c>
      <c r="E1537" s="14">
        <v>224812</v>
      </c>
      <c r="F1537" s="14">
        <v>143000</v>
      </c>
      <c r="G1537" s="14">
        <v>175353</v>
      </c>
      <c r="H1537" s="14">
        <v>156000</v>
      </c>
      <c r="I1537" s="14">
        <v>184000</v>
      </c>
      <c r="J1537" s="14">
        <v>3220</v>
      </c>
      <c r="K1537" s="14">
        <v>3900</v>
      </c>
      <c r="N1537" s="42">
        <f t="shared" si="64"/>
        <v>15000</v>
      </c>
      <c r="O1537" s="43">
        <f t="shared" si="65"/>
        <v>5.5045871559633031E-2</v>
      </c>
    </row>
    <row r="1538" spans="1:15" x14ac:dyDescent="0.45">
      <c r="A1538" s="12" t="s">
        <v>31494</v>
      </c>
      <c r="B1538" s="14">
        <v>259500</v>
      </c>
      <c r="C1538" s="14">
        <v>275000</v>
      </c>
      <c r="D1538" s="14">
        <v>186900</v>
      </c>
      <c r="E1538" s="14">
        <v>226875</v>
      </c>
      <c r="F1538" s="14">
        <v>144100</v>
      </c>
      <c r="G1538" s="14">
        <v>176962</v>
      </c>
      <c r="H1538" s="14">
        <v>160000</v>
      </c>
      <c r="I1538" s="14">
        <v>189000</v>
      </c>
      <c r="J1538" s="14">
        <v>3230</v>
      </c>
      <c r="K1538" s="14">
        <v>3910</v>
      </c>
      <c r="N1538" s="42">
        <f t="shared" si="64"/>
        <v>15500</v>
      </c>
      <c r="O1538" s="43">
        <f t="shared" si="65"/>
        <v>5.6363636363636366E-2</v>
      </c>
    </row>
    <row r="1539" spans="1:15" x14ac:dyDescent="0.45">
      <c r="A1539" s="12" t="s">
        <v>31495</v>
      </c>
      <c r="B1539" s="14">
        <v>258500</v>
      </c>
      <c r="C1539" s="14">
        <v>274000</v>
      </c>
      <c r="D1539" s="14">
        <v>186200</v>
      </c>
      <c r="E1539" s="14">
        <v>226050</v>
      </c>
      <c r="F1539" s="14">
        <v>143500</v>
      </c>
      <c r="G1539" s="14">
        <v>176319</v>
      </c>
      <c r="H1539" s="14">
        <v>158000</v>
      </c>
      <c r="I1539" s="14">
        <v>187000</v>
      </c>
      <c r="J1539" s="14">
        <v>3250</v>
      </c>
      <c r="K1539" s="14">
        <v>3930</v>
      </c>
      <c r="N1539" s="42">
        <f t="shared" si="64"/>
        <v>15500</v>
      </c>
      <c r="O1539" s="43">
        <f t="shared" si="65"/>
        <v>5.6569343065693431E-2</v>
      </c>
    </row>
    <row r="1540" spans="1:15" x14ac:dyDescent="0.45">
      <c r="A1540" s="12" t="s">
        <v>31496</v>
      </c>
      <c r="B1540" s="14">
        <v>259000</v>
      </c>
      <c r="C1540" s="14">
        <v>273500</v>
      </c>
      <c r="D1540" s="14">
        <v>186500</v>
      </c>
      <c r="E1540" s="14">
        <v>225637</v>
      </c>
      <c r="F1540" s="14">
        <v>143800</v>
      </c>
      <c r="G1540" s="14">
        <v>175997</v>
      </c>
      <c r="H1540" s="14">
        <v>160000</v>
      </c>
      <c r="I1540" s="14">
        <v>189000</v>
      </c>
      <c r="J1540" s="14">
        <v>3290</v>
      </c>
      <c r="K1540" s="14">
        <v>3990</v>
      </c>
      <c r="N1540" s="42">
        <f t="shared" si="64"/>
        <v>14500</v>
      </c>
      <c r="O1540" s="43">
        <f t="shared" si="65"/>
        <v>5.3016453382084092E-2</v>
      </c>
    </row>
    <row r="1541" spans="1:15" x14ac:dyDescent="0.45">
      <c r="A1541" s="12" t="s">
        <v>31497</v>
      </c>
      <c r="B1541" s="14">
        <v>260000</v>
      </c>
      <c r="C1541" s="14">
        <v>275000</v>
      </c>
      <c r="D1541" s="14">
        <v>187200</v>
      </c>
      <c r="E1541" s="14">
        <v>226875</v>
      </c>
      <c r="F1541" s="14">
        <v>144300</v>
      </c>
      <c r="G1541" s="14">
        <v>176962</v>
      </c>
      <c r="H1541" s="14">
        <v>162000</v>
      </c>
      <c r="I1541" s="14">
        <v>192000</v>
      </c>
      <c r="J1541" s="14">
        <v>3380</v>
      </c>
      <c r="K1541" s="14">
        <v>4090</v>
      </c>
      <c r="N1541" s="42">
        <f t="shared" si="64"/>
        <v>15000</v>
      </c>
      <c r="O1541" s="43">
        <f t="shared" si="65"/>
        <v>5.4545454545454543E-2</v>
      </c>
    </row>
    <row r="1542" spans="1:15" x14ac:dyDescent="0.45">
      <c r="A1542" s="12" t="s">
        <v>31498</v>
      </c>
      <c r="B1542" s="14">
        <v>259000</v>
      </c>
      <c r="C1542" s="14">
        <v>274000</v>
      </c>
      <c r="D1542" s="14">
        <v>186500</v>
      </c>
      <c r="E1542" s="14">
        <v>226050</v>
      </c>
      <c r="F1542" s="14">
        <v>143800</v>
      </c>
      <c r="G1542" s="14">
        <v>176319</v>
      </c>
      <c r="H1542" s="14">
        <v>165000</v>
      </c>
      <c r="I1542" s="14">
        <v>195000</v>
      </c>
      <c r="J1542" s="14">
        <v>3390</v>
      </c>
      <c r="K1542" s="14">
        <v>4100</v>
      </c>
      <c r="N1542" s="42">
        <f t="shared" si="64"/>
        <v>15000</v>
      </c>
      <c r="O1542" s="43">
        <f t="shared" si="65"/>
        <v>5.4744525547445258E-2</v>
      </c>
    </row>
    <row r="1543" spans="1:15" x14ac:dyDescent="0.45">
      <c r="A1543" s="12" t="s">
        <v>31499</v>
      </c>
      <c r="B1543" s="14">
        <v>258000</v>
      </c>
      <c r="C1543" s="14">
        <v>273000</v>
      </c>
      <c r="D1543" s="14">
        <v>185800</v>
      </c>
      <c r="E1543" s="14">
        <v>225225</v>
      </c>
      <c r="F1543" s="14">
        <v>143200</v>
      </c>
      <c r="G1543" s="14">
        <v>175675</v>
      </c>
      <c r="H1543" s="14">
        <v>165000</v>
      </c>
      <c r="I1543" s="14">
        <v>195000</v>
      </c>
      <c r="J1543" s="14">
        <v>3330</v>
      </c>
      <c r="K1543" s="14">
        <v>4020</v>
      </c>
      <c r="N1543" s="42">
        <f t="shared" si="64"/>
        <v>15000</v>
      </c>
      <c r="O1543" s="43">
        <f t="shared" si="65"/>
        <v>5.4945054945054944E-2</v>
      </c>
    </row>
    <row r="1544" spans="1:15" x14ac:dyDescent="0.45">
      <c r="A1544" s="12" t="s">
        <v>31500</v>
      </c>
      <c r="B1544" s="14">
        <v>257500</v>
      </c>
      <c r="C1544" s="14">
        <v>273500</v>
      </c>
      <c r="D1544" s="14">
        <v>185400</v>
      </c>
      <c r="E1544" s="14">
        <v>225637</v>
      </c>
      <c r="F1544" s="14">
        <v>143000</v>
      </c>
      <c r="G1544" s="14">
        <v>175997</v>
      </c>
      <c r="H1544" s="14">
        <v>165000</v>
      </c>
      <c r="I1544" s="14">
        <v>195000</v>
      </c>
      <c r="J1544" s="14">
        <v>3390</v>
      </c>
      <c r="K1544" s="14">
        <v>4100</v>
      </c>
      <c r="N1544" s="42">
        <f t="shared" si="64"/>
        <v>16000</v>
      </c>
      <c r="O1544" s="43">
        <f t="shared" si="65"/>
        <v>5.850091407678245E-2</v>
      </c>
    </row>
    <row r="1545" spans="1:15" x14ac:dyDescent="0.45">
      <c r="A1545" s="12" t="s">
        <v>31501</v>
      </c>
      <c r="B1545" s="14">
        <v>258500</v>
      </c>
      <c r="C1545" s="14">
        <v>273500</v>
      </c>
      <c r="D1545" s="14">
        <v>186200</v>
      </c>
      <c r="E1545" s="14">
        <v>225637</v>
      </c>
      <c r="F1545" s="14">
        <v>143500</v>
      </c>
      <c r="G1545" s="14">
        <v>175997</v>
      </c>
      <c r="H1545" s="14">
        <v>165000</v>
      </c>
      <c r="I1545" s="14">
        <v>195000</v>
      </c>
      <c r="J1545" s="14">
        <v>3360</v>
      </c>
      <c r="K1545" s="14">
        <v>4060</v>
      </c>
      <c r="N1545" s="42">
        <f t="shared" si="64"/>
        <v>15000</v>
      </c>
      <c r="O1545" s="43">
        <f t="shared" si="65"/>
        <v>5.4844606946983544E-2</v>
      </c>
    </row>
    <row r="1546" spans="1:15" x14ac:dyDescent="0.45">
      <c r="A1546" s="12" t="s">
        <v>31502</v>
      </c>
      <c r="B1546" s="14">
        <v>258500</v>
      </c>
      <c r="C1546" s="14">
        <v>274000</v>
      </c>
      <c r="D1546" s="14">
        <v>186200</v>
      </c>
      <c r="E1546" s="14">
        <v>226050</v>
      </c>
      <c r="F1546" s="14">
        <v>143500</v>
      </c>
      <c r="G1546" s="14">
        <v>176319</v>
      </c>
      <c r="H1546" s="14">
        <v>164000</v>
      </c>
      <c r="I1546" s="14">
        <v>194000</v>
      </c>
      <c r="J1546" s="14">
        <v>3360</v>
      </c>
      <c r="K1546" s="14">
        <v>4060</v>
      </c>
      <c r="N1546" s="42">
        <f t="shared" si="64"/>
        <v>15500</v>
      </c>
      <c r="O1546" s="43">
        <f t="shared" si="65"/>
        <v>5.6569343065693431E-2</v>
      </c>
    </row>
    <row r="1547" spans="1:15" x14ac:dyDescent="0.45">
      <c r="A1547" s="12" t="s">
        <v>31503</v>
      </c>
      <c r="B1547" s="14">
        <v>257500</v>
      </c>
      <c r="C1547" s="14">
        <v>272000</v>
      </c>
      <c r="D1547" s="14">
        <v>185400</v>
      </c>
      <c r="E1547" s="14">
        <v>224400</v>
      </c>
      <c r="F1547" s="14">
        <v>143000</v>
      </c>
      <c r="G1547" s="14">
        <v>175032</v>
      </c>
      <c r="H1547" s="14">
        <v>164000</v>
      </c>
      <c r="I1547" s="14">
        <v>194000</v>
      </c>
      <c r="J1547" s="14">
        <v>3360</v>
      </c>
      <c r="K1547" s="14">
        <v>4060</v>
      </c>
      <c r="N1547" s="42">
        <f t="shared" si="64"/>
        <v>14500</v>
      </c>
      <c r="O1547" s="43">
        <f t="shared" si="65"/>
        <v>5.3308823529411763E-2</v>
      </c>
    </row>
    <row r="1548" spans="1:15" x14ac:dyDescent="0.45">
      <c r="A1548" s="12" t="s">
        <v>31504</v>
      </c>
      <c r="B1548" s="14">
        <v>259000</v>
      </c>
      <c r="C1548" s="14">
        <v>274000</v>
      </c>
      <c r="D1548" s="14">
        <v>186500</v>
      </c>
      <c r="E1548" s="14">
        <v>226050</v>
      </c>
      <c r="F1548" s="14">
        <v>143800</v>
      </c>
      <c r="G1548" s="14">
        <v>176319</v>
      </c>
      <c r="H1548" s="14">
        <v>163000</v>
      </c>
      <c r="I1548" s="14">
        <v>192000</v>
      </c>
      <c r="J1548" s="14">
        <v>3380</v>
      </c>
      <c r="K1548" s="14">
        <v>4090</v>
      </c>
      <c r="N1548" s="42">
        <f t="shared" si="64"/>
        <v>15000</v>
      </c>
      <c r="O1548" s="43">
        <f t="shared" si="65"/>
        <v>5.4744525547445258E-2</v>
      </c>
    </row>
    <row r="1549" spans="1:15" x14ac:dyDescent="0.45">
      <c r="A1549" s="12" t="s">
        <v>31505</v>
      </c>
      <c r="B1549" s="14">
        <v>258000</v>
      </c>
      <c r="C1549" s="14">
        <v>272500</v>
      </c>
      <c r="D1549" s="14">
        <v>185800</v>
      </c>
      <c r="E1549" s="14">
        <v>224812</v>
      </c>
      <c r="F1549" s="14">
        <v>143200</v>
      </c>
      <c r="G1549" s="14">
        <v>175353</v>
      </c>
      <c r="H1549" s="14">
        <v>160000</v>
      </c>
      <c r="I1549" s="14">
        <v>189000</v>
      </c>
      <c r="J1549" s="14">
        <v>3360</v>
      </c>
      <c r="K1549" s="14">
        <v>4060</v>
      </c>
      <c r="N1549" s="42">
        <f t="shared" si="64"/>
        <v>14500</v>
      </c>
      <c r="O1549" s="43">
        <f t="shared" si="65"/>
        <v>5.321100917431193E-2</v>
      </c>
    </row>
    <row r="1550" spans="1:15" x14ac:dyDescent="0.45">
      <c r="A1550" s="12" t="s">
        <v>31506</v>
      </c>
      <c r="B1550" s="14">
        <v>257500</v>
      </c>
      <c r="C1550" s="14">
        <v>270500</v>
      </c>
      <c r="D1550" s="14">
        <v>185400</v>
      </c>
      <c r="E1550" s="14">
        <v>223162</v>
      </c>
      <c r="F1550" s="14">
        <v>143000</v>
      </c>
      <c r="G1550" s="14">
        <v>174066</v>
      </c>
      <c r="H1550" s="14">
        <v>155000</v>
      </c>
      <c r="I1550" s="14">
        <v>183000</v>
      </c>
      <c r="J1550" s="14">
        <v>3320</v>
      </c>
      <c r="K1550" s="14">
        <v>4010</v>
      </c>
      <c r="N1550" s="42">
        <f t="shared" si="64"/>
        <v>13000</v>
      </c>
      <c r="O1550" s="43">
        <f t="shared" si="65"/>
        <v>4.8059149722735672E-2</v>
      </c>
    </row>
    <row r="1551" spans="1:15" x14ac:dyDescent="0.45">
      <c r="A1551" s="12" t="s">
        <v>31507</v>
      </c>
      <c r="B1551" s="14">
        <v>255500</v>
      </c>
      <c r="C1551" s="14">
        <v>269000</v>
      </c>
      <c r="D1551" s="14">
        <v>184000</v>
      </c>
      <c r="E1551" s="14">
        <v>221925</v>
      </c>
      <c r="F1551" s="14">
        <v>141900</v>
      </c>
      <c r="G1551" s="14">
        <v>173101</v>
      </c>
      <c r="H1551" s="14">
        <v>153000</v>
      </c>
      <c r="I1551" s="14">
        <v>180000</v>
      </c>
      <c r="J1551" s="14">
        <v>3230</v>
      </c>
      <c r="K1551" s="14">
        <v>3920</v>
      </c>
      <c r="N1551" s="42">
        <f t="shared" si="64"/>
        <v>13500</v>
      </c>
      <c r="O1551" s="43">
        <f t="shared" si="65"/>
        <v>5.0185873605947957E-2</v>
      </c>
    </row>
    <row r="1552" spans="1:15" x14ac:dyDescent="0.45">
      <c r="A1552" s="12" t="s">
        <v>31508</v>
      </c>
      <c r="B1552" s="14">
        <v>256500</v>
      </c>
      <c r="C1552" s="14">
        <v>269000</v>
      </c>
      <c r="D1552" s="14">
        <v>184700</v>
      </c>
      <c r="E1552" s="14">
        <v>221925</v>
      </c>
      <c r="F1552" s="14">
        <v>142400</v>
      </c>
      <c r="G1552" s="14">
        <v>173101</v>
      </c>
      <c r="H1552" s="14">
        <v>151000</v>
      </c>
      <c r="I1552" s="14">
        <v>178000</v>
      </c>
      <c r="J1552" s="14">
        <v>3250</v>
      </c>
      <c r="K1552" s="14">
        <v>3940</v>
      </c>
      <c r="N1552" s="42">
        <f t="shared" si="64"/>
        <v>12500</v>
      </c>
      <c r="O1552" s="43">
        <f t="shared" si="65"/>
        <v>4.6468401486988845E-2</v>
      </c>
    </row>
    <row r="1553" spans="1:15" x14ac:dyDescent="0.45">
      <c r="A1553" s="12" t="s">
        <v>31509</v>
      </c>
      <c r="B1553" s="14">
        <v>257000</v>
      </c>
      <c r="C1553" s="14">
        <v>270500</v>
      </c>
      <c r="D1553" s="14">
        <v>185100</v>
      </c>
      <c r="E1553" s="14">
        <v>223162</v>
      </c>
      <c r="F1553" s="14">
        <v>142700</v>
      </c>
      <c r="G1553" s="14">
        <v>174066</v>
      </c>
      <c r="H1553" s="14">
        <v>157000</v>
      </c>
      <c r="I1553" s="14">
        <v>185000</v>
      </c>
      <c r="J1553" s="14">
        <v>3340</v>
      </c>
      <c r="K1553" s="14">
        <v>4050</v>
      </c>
      <c r="N1553" s="42">
        <f t="shared" si="64"/>
        <v>13500</v>
      </c>
      <c r="O1553" s="43">
        <f t="shared" si="65"/>
        <v>4.9907578558225509E-2</v>
      </c>
    </row>
    <row r="1554" spans="1:15" x14ac:dyDescent="0.45">
      <c r="A1554" s="12" t="s">
        <v>31510</v>
      </c>
      <c r="B1554" s="14">
        <v>257000</v>
      </c>
      <c r="C1554" s="14">
        <v>272500</v>
      </c>
      <c r="D1554" s="14">
        <v>185100</v>
      </c>
      <c r="E1554" s="14">
        <v>224812</v>
      </c>
      <c r="F1554" s="14">
        <v>142700</v>
      </c>
      <c r="G1554" s="14">
        <v>175353</v>
      </c>
      <c r="H1554" s="14">
        <v>161000</v>
      </c>
      <c r="I1554" s="14">
        <v>190000</v>
      </c>
      <c r="J1554" s="14">
        <v>3420</v>
      </c>
      <c r="K1554" s="14">
        <v>4130</v>
      </c>
      <c r="N1554" s="42">
        <f t="shared" si="64"/>
        <v>15500</v>
      </c>
      <c r="O1554" s="43">
        <f t="shared" si="65"/>
        <v>5.6880733944954132E-2</v>
      </c>
    </row>
    <row r="1555" spans="1:15" x14ac:dyDescent="0.45">
      <c r="A1555" s="12" t="s">
        <v>31511</v>
      </c>
      <c r="B1555" s="14">
        <v>255000</v>
      </c>
      <c r="C1555" s="14">
        <v>272000</v>
      </c>
      <c r="D1555" s="14">
        <v>183600</v>
      </c>
      <c r="E1555" s="14">
        <v>224400</v>
      </c>
      <c r="F1555" s="14">
        <v>141600</v>
      </c>
      <c r="G1555" s="14">
        <v>175032</v>
      </c>
      <c r="H1555" s="14">
        <v>160000</v>
      </c>
      <c r="I1555" s="14">
        <v>188000</v>
      </c>
      <c r="J1555" s="14">
        <v>3370</v>
      </c>
      <c r="K1555" s="14">
        <v>4100</v>
      </c>
      <c r="N1555" s="42">
        <f t="shared" si="64"/>
        <v>17000</v>
      </c>
      <c r="O1555" s="43">
        <f t="shared" si="65"/>
        <v>6.25E-2</v>
      </c>
    </row>
    <row r="1556" spans="1:15" x14ac:dyDescent="0.45">
      <c r="A1556" s="12" t="s">
        <v>31512</v>
      </c>
      <c r="B1556" s="14">
        <v>261000</v>
      </c>
      <c r="C1556" s="14">
        <v>274000</v>
      </c>
      <c r="D1556" s="14">
        <v>188000</v>
      </c>
      <c r="E1556" s="14">
        <v>226050</v>
      </c>
      <c r="F1556" s="14">
        <v>144900</v>
      </c>
      <c r="G1556" s="14">
        <v>176319</v>
      </c>
      <c r="H1556" s="14">
        <v>163000</v>
      </c>
      <c r="I1556" s="14">
        <v>192000</v>
      </c>
      <c r="J1556" s="14">
        <v>3430</v>
      </c>
      <c r="K1556" s="14">
        <v>4150</v>
      </c>
      <c r="N1556" s="42">
        <f t="shared" si="64"/>
        <v>13000</v>
      </c>
      <c r="O1556" s="43">
        <f t="shared" si="65"/>
        <v>4.7445255474452552E-2</v>
      </c>
    </row>
    <row r="1557" spans="1:15" x14ac:dyDescent="0.45">
      <c r="A1557" s="12" t="s">
        <v>31513</v>
      </c>
      <c r="B1557" s="14">
        <v>261000</v>
      </c>
      <c r="C1557" s="14">
        <v>273500</v>
      </c>
      <c r="D1557" s="14">
        <v>188000</v>
      </c>
      <c r="E1557" s="14">
        <v>225637</v>
      </c>
      <c r="F1557" s="14">
        <v>144900</v>
      </c>
      <c r="G1557" s="14">
        <v>175997</v>
      </c>
      <c r="H1557" s="14">
        <v>161000</v>
      </c>
      <c r="I1557" s="14">
        <v>189000</v>
      </c>
      <c r="J1557" s="14">
        <v>3410</v>
      </c>
      <c r="K1557" s="14">
        <v>4140</v>
      </c>
      <c r="N1557" s="42">
        <f t="shared" si="64"/>
        <v>12500</v>
      </c>
      <c r="O1557" s="43">
        <f t="shared" si="65"/>
        <v>4.5703839122486288E-2</v>
      </c>
    </row>
    <row r="1558" spans="1:15" x14ac:dyDescent="0.45">
      <c r="A1558" s="12" t="s">
        <v>31514</v>
      </c>
      <c r="B1558" s="14">
        <v>263000</v>
      </c>
      <c r="C1558" s="14">
        <v>276500</v>
      </c>
      <c r="D1558" s="14">
        <v>189400</v>
      </c>
      <c r="E1558" s="14">
        <v>228112</v>
      </c>
      <c r="F1558" s="14">
        <v>146000</v>
      </c>
      <c r="G1558" s="14">
        <v>177927</v>
      </c>
      <c r="H1558" s="14">
        <v>163000</v>
      </c>
      <c r="I1558" s="14">
        <v>192000</v>
      </c>
      <c r="J1558" s="14">
        <v>3500</v>
      </c>
      <c r="K1558" s="14">
        <v>4230</v>
      </c>
      <c r="N1558" s="42">
        <f t="shared" si="64"/>
        <v>13500</v>
      </c>
      <c r="O1558" s="43">
        <f t="shared" si="65"/>
        <v>4.8824593128390596E-2</v>
      </c>
    </row>
    <row r="1559" spans="1:15" x14ac:dyDescent="0.45">
      <c r="A1559" s="12" t="s">
        <v>31515</v>
      </c>
      <c r="B1559" s="14">
        <v>265000</v>
      </c>
      <c r="C1559" s="14">
        <v>279000</v>
      </c>
      <c r="D1559" s="14">
        <v>190800</v>
      </c>
      <c r="E1559" s="14">
        <v>230175</v>
      </c>
      <c r="F1559" s="14">
        <v>147100</v>
      </c>
      <c r="G1559" s="14">
        <v>179536</v>
      </c>
      <c r="H1559" s="14">
        <v>170000</v>
      </c>
      <c r="I1559" s="14">
        <v>201000</v>
      </c>
      <c r="J1559" s="14">
        <v>3460</v>
      </c>
      <c r="K1559" s="14">
        <v>4220</v>
      </c>
      <c r="N1559" s="42">
        <f t="shared" si="64"/>
        <v>14000</v>
      </c>
      <c r="O1559" s="43">
        <f t="shared" si="65"/>
        <v>5.0179211469534052E-2</v>
      </c>
    </row>
    <row r="1560" spans="1:15" x14ac:dyDescent="0.45">
      <c r="A1560" s="12" t="s">
        <v>31516</v>
      </c>
      <c r="B1560" s="14">
        <v>264000</v>
      </c>
      <c r="C1560" s="14">
        <v>281000</v>
      </c>
      <c r="D1560" s="14">
        <v>190100</v>
      </c>
      <c r="E1560" s="14">
        <v>231825</v>
      </c>
      <c r="F1560" s="14">
        <v>146600</v>
      </c>
      <c r="G1560" s="14">
        <v>180823</v>
      </c>
      <c r="H1560" s="14">
        <v>170000</v>
      </c>
      <c r="I1560" s="14">
        <v>201000</v>
      </c>
      <c r="J1560" s="14">
        <v>3530</v>
      </c>
      <c r="K1560" s="14">
        <v>4330</v>
      </c>
      <c r="N1560" s="42">
        <f t="shared" si="64"/>
        <v>17000</v>
      </c>
      <c r="O1560" s="43">
        <f t="shared" si="65"/>
        <v>6.0498220640569395E-2</v>
      </c>
    </row>
    <row r="1561" spans="1:15" x14ac:dyDescent="0.45">
      <c r="A1561" s="12" t="s">
        <v>31517</v>
      </c>
      <c r="B1561" s="14">
        <v>260500</v>
      </c>
      <c r="C1561" s="14">
        <v>275000</v>
      </c>
      <c r="D1561" s="14">
        <v>187600</v>
      </c>
      <c r="E1561" s="14">
        <v>226875</v>
      </c>
      <c r="F1561" s="14">
        <v>144600</v>
      </c>
      <c r="G1561" s="14">
        <v>176962</v>
      </c>
      <c r="H1561" s="14">
        <v>169000</v>
      </c>
      <c r="I1561" s="14">
        <v>200000</v>
      </c>
      <c r="J1561" s="14">
        <v>3440</v>
      </c>
      <c r="K1561" s="14">
        <v>4140</v>
      </c>
      <c r="N1561" s="42">
        <f t="shared" si="64"/>
        <v>14500</v>
      </c>
      <c r="O1561" s="43">
        <f t="shared" si="65"/>
        <v>5.2727272727272727E-2</v>
      </c>
    </row>
    <row r="1562" spans="1:15" x14ac:dyDescent="0.45">
      <c r="A1562" s="12" t="s">
        <v>31518</v>
      </c>
      <c r="B1562" s="14">
        <v>260000</v>
      </c>
      <c r="C1562" s="14">
        <v>274000</v>
      </c>
      <c r="D1562" s="14">
        <v>187200</v>
      </c>
      <c r="E1562" s="14">
        <v>226050</v>
      </c>
      <c r="F1562" s="14">
        <v>144300</v>
      </c>
      <c r="G1562" s="14">
        <v>176319</v>
      </c>
      <c r="H1562" s="14">
        <v>167000</v>
      </c>
      <c r="I1562" s="14">
        <v>198000</v>
      </c>
      <c r="J1562" s="14">
        <v>3350</v>
      </c>
      <c r="K1562" s="14">
        <v>4080</v>
      </c>
      <c r="N1562" s="42">
        <f t="shared" si="64"/>
        <v>14000</v>
      </c>
      <c r="O1562" s="43">
        <f t="shared" si="65"/>
        <v>5.1094890510948905E-2</v>
      </c>
    </row>
    <row r="1563" spans="1:15" x14ac:dyDescent="0.45">
      <c r="A1563" s="12" t="s">
        <v>31519</v>
      </c>
      <c r="B1563" s="14">
        <v>262000</v>
      </c>
      <c r="C1563" s="14">
        <v>275000</v>
      </c>
      <c r="D1563" s="14">
        <v>188700</v>
      </c>
      <c r="E1563" s="14">
        <v>226875</v>
      </c>
      <c r="F1563" s="14">
        <v>145500</v>
      </c>
      <c r="G1563" s="14">
        <v>176962</v>
      </c>
      <c r="H1563" s="14">
        <v>169000</v>
      </c>
      <c r="I1563" s="14">
        <v>199000</v>
      </c>
      <c r="J1563" s="14">
        <v>3450</v>
      </c>
      <c r="K1563" s="14">
        <v>4160</v>
      </c>
      <c r="N1563" s="42">
        <f t="shared" si="64"/>
        <v>13000</v>
      </c>
      <c r="O1563" s="43">
        <f t="shared" si="65"/>
        <v>4.7272727272727272E-2</v>
      </c>
    </row>
    <row r="1564" spans="1:15" x14ac:dyDescent="0.45">
      <c r="A1564" s="12" t="s">
        <v>31520</v>
      </c>
      <c r="B1564" s="14">
        <v>265000</v>
      </c>
      <c r="C1564" s="14">
        <v>279000</v>
      </c>
      <c r="D1564" s="14">
        <v>190800</v>
      </c>
      <c r="E1564" s="14">
        <v>230175</v>
      </c>
      <c r="F1564" s="14">
        <v>147100</v>
      </c>
      <c r="G1564" s="14">
        <v>179536</v>
      </c>
      <c r="H1564" s="14">
        <v>175000</v>
      </c>
      <c r="I1564" s="14">
        <v>207000</v>
      </c>
      <c r="J1564" s="14">
        <v>3470</v>
      </c>
      <c r="K1564" s="14">
        <v>4180</v>
      </c>
      <c r="N1564" s="42">
        <f t="shared" si="64"/>
        <v>14000</v>
      </c>
      <c r="O1564" s="43">
        <f t="shared" si="65"/>
        <v>5.0179211469534052E-2</v>
      </c>
    </row>
    <row r="1565" spans="1:15" x14ac:dyDescent="0.45">
      <c r="A1565" s="12" t="s">
        <v>31521</v>
      </c>
      <c r="B1565" s="14">
        <v>266000</v>
      </c>
      <c r="C1565" s="14">
        <v>279500</v>
      </c>
      <c r="D1565" s="14">
        <v>191600</v>
      </c>
      <c r="E1565" s="14">
        <v>230587</v>
      </c>
      <c r="F1565" s="14">
        <v>147700</v>
      </c>
      <c r="G1565" s="14">
        <v>179858</v>
      </c>
      <c r="H1565" s="14">
        <v>168000</v>
      </c>
      <c r="I1565" s="14">
        <v>198000</v>
      </c>
      <c r="J1565" s="14">
        <v>3460</v>
      </c>
      <c r="K1565" s="14">
        <v>4170</v>
      </c>
      <c r="N1565" s="42">
        <f t="shared" si="64"/>
        <v>13500</v>
      </c>
      <c r="O1565" s="43">
        <f t="shared" si="65"/>
        <v>4.8300536672629693E-2</v>
      </c>
    </row>
    <row r="1566" spans="1:15" x14ac:dyDescent="0.45">
      <c r="A1566" s="12" t="s">
        <v>31522</v>
      </c>
      <c r="B1566" s="14">
        <v>266500</v>
      </c>
      <c r="C1566" s="14">
        <v>281000</v>
      </c>
      <c r="D1566" s="14">
        <v>191900</v>
      </c>
      <c r="E1566" s="14">
        <v>231825</v>
      </c>
      <c r="F1566" s="14">
        <v>148000</v>
      </c>
      <c r="G1566" s="14">
        <v>180823</v>
      </c>
      <c r="H1566" s="14">
        <v>166000</v>
      </c>
      <c r="I1566" s="14">
        <v>196000</v>
      </c>
      <c r="J1566" s="14">
        <v>3450</v>
      </c>
      <c r="K1566" s="14">
        <v>4160</v>
      </c>
      <c r="N1566" s="42">
        <f t="shared" si="64"/>
        <v>14500</v>
      </c>
      <c r="O1566" s="43">
        <f t="shared" si="65"/>
        <v>5.1601423487544484E-2</v>
      </c>
    </row>
    <row r="1567" spans="1:15" x14ac:dyDescent="0.45">
      <c r="A1567" s="12" t="s">
        <v>31523</v>
      </c>
      <c r="B1567" s="14">
        <v>268000</v>
      </c>
      <c r="C1567" s="14">
        <v>283500</v>
      </c>
      <c r="D1567" s="14">
        <v>193000</v>
      </c>
      <c r="E1567" s="14">
        <v>233887</v>
      </c>
      <c r="F1567" s="14">
        <v>148800</v>
      </c>
      <c r="G1567" s="14">
        <v>182432</v>
      </c>
      <c r="H1567" s="14">
        <v>165000</v>
      </c>
      <c r="I1567" s="14">
        <v>195000</v>
      </c>
      <c r="J1567" s="14">
        <v>3410</v>
      </c>
      <c r="K1567" s="14">
        <v>4110</v>
      </c>
      <c r="N1567" s="42">
        <f t="shared" si="64"/>
        <v>15500</v>
      </c>
      <c r="O1567" s="43">
        <f t="shared" si="65"/>
        <v>5.4673721340388004E-2</v>
      </c>
    </row>
    <row r="1568" spans="1:15" x14ac:dyDescent="0.45">
      <c r="A1568" s="12" t="s">
        <v>31524</v>
      </c>
      <c r="B1568" s="14">
        <v>268000</v>
      </c>
      <c r="C1568" s="14">
        <v>283500</v>
      </c>
      <c r="D1568" s="14">
        <v>193000</v>
      </c>
      <c r="E1568" s="14">
        <v>233887</v>
      </c>
      <c r="F1568" s="14">
        <v>148800</v>
      </c>
      <c r="G1568" s="14">
        <v>182432</v>
      </c>
      <c r="H1568" s="14">
        <v>158000</v>
      </c>
      <c r="I1568" s="14">
        <v>186000</v>
      </c>
      <c r="J1568" s="14">
        <v>3450</v>
      </c>
      <c r="K1568" s="14">
        <v>4170</v>
      </c>
      <c r="N1568" s="42">
        <f t="shared" si="64"/>
        <v>15500</v>
      </c>
      <c r="O1568" s="43">
        <f t="shared" si="65"/>
        <v>5.4673721340388004E-2</v>
      </c>
    </row>
    <row r="1569" spans="1:15" x14ac:dyDescent="0.45">
      <c r="A1569" s="12" t="s">
        <v>31525</v>
      </c>
      <c r="B1569" s="14">
        <v>268500</v>
      </c>
      <c r="C1569" s="14">
        <v>279000</v>
      </c>
      <c r="D1569" s="14">
        <v>193400</v>
      </c>
      <c r="E1569" s="14">
        <v>230175</v>
      </c>
      <c r="F1569" s="14">
        <v>149100</v>
      </c>
      <c r="G1569" s="14">
        <v>179536</v>
      </c>
      <c r="H1569" s="14">
        <v>152000</v>
      </c>
      <c r="I1569" s="14">
        <v>178000</v>
      </c>
      <c r="J1569" s="14">
        <v>3470</v>
      </c>
      <c r="K1569" s="14">
        <v>3950</v>
      </c>
      <c r="N1569" s="42">
        <f t="shared" si="64"/>
        <v>10500</v>
      </c>
      <c r="O1569" s="43">
        <f t="shared" si="65"/>
        <v>3.7634408602150539E-2</v>
      </c>
    </row>
    <row r="1570" spans="1:15" x14ac:dyDescent="0.45">
      <c r="A1570" s="12" t="s">
        <v>31526</v>
      </c>
      <c r="B1570" s="14">
        <v>268000</v>
      </c>
      <c r="C1570" s="14">
        <v>278000</v>
      </c>
      <c r="D1570" s="14">
        <v>193000</v>
      </c>
      <c r="E1570" s="14">
        <v>229350</v>
      </c>
      <c r="F1570" s="14">
        <v>148800</v>
      </c>
      <c r="G1570" s="14">
        <v>178893</v>
      </c>
      <c r="H1570" s="14">
        <v>149000</v>
      </c>
      <c r="I1570" s="14">
        <v>176000</v>
      </c>
      <c r="J1570" s="14">
        <v>3420</v>
      </c>
      <c r="K1570" s="14">
        <v>3900</v>
      </c>
      <c r="N1570" s="42">
        <f t="shared" si="64"/>
        <v>10000</v>
      </c>
      <c r="O1570" s="43">
        <f t="shared" si="65"/>
        <v>3.5971223021582732E-2</v>
      </c>
    </row>
    <row r="1571" spans="1:15" x14ac:dyDescent="0.45">
      <c r="A1571" s="12" t="s">
        <v>31527</v>
      </c>
      <c r="B1571" s="14">
        <v>267000</v>
      </c>
      <c r="C1571" s="14">
        <v>267500</v>
      </c>
      <c r="D1571" s="14">
        <v>192300</v>
      </c>
      <c r="E1571" s="14">
        <v>220687</v>
      </c>
      <c r="F1571" s="14">
        <v>148200</v>
      </c>
      <c r="G1571" s="14">
        <v>172136</v>
      </c>
      <c r="H1571" s="14">
        <v>149000</v>
      </c>
      <c r="I1571" s="14">
        <v>171000</v>
      </c>
      <c r="J1571" s="14">
        <v>3390</v>
      </c>
      <c r="K1571" s="14">
        <v>3720</v>
      </c>
      <c r="N1571" s="42">
        <f t="shared" si="64"/>
        <v>500</v>
      </c>
      <c r="O1571" s="43">
        <f t="shared" si="65"/>
        <v>1.869158878504673E-3</v>
      </c>
    </row>
    <row r="1572" spans="1:15" x14ac:dyDescent="0.45">
      <c r="A1572" s="12" t="s">
        <v>31528</v>
      </c>
      <c r="B1572" s="14">
        <v>266500</v>
      </c>
      <c r="C1572" s="14">
        <v>267000</v>
      </c>
      <c r="D1572" s="14">
        <v>191900</v>
      </c>
      <c r="E1572" s="14">
        <v>220275</v>
      </c>
      <c r="F1572" s="14">
        <v>148000</v>
      </c>
      <c r="G1572" s="14">
        <v>171814</v>
      </c>
      <c r="H1572" s="14">
        <v>146000</v>
      </c>
      <c r="I1572" s="14">
        <v>168000</v>
      </c>
      <c r="J1572" s="14">
        <v>3380</v>
      </c>
      <c r="K1572" s="14">
        <v>3710</v>
      </c>
      <c r="N1572" s="42">
        <f t="shared" si="64"/>
        <v>500</v>
      </c>
      <c r="O1572" s="43">
        <f t="shared" si="65"/>
        <v>1.8726591760299626E-3</v>
      </c>
    </row>
    <row r="1573" spans="1:15" x14ac:dyDescent="0.45">
      <c r="A1573" s="12" t="s">
        <v>31529</v>
      </c>
      <c r="B1573" s="14">
        <v>267000</v>
      </c>
      <c r="C1573" s="14">
        <v>267500</v>
      </c>
      <c r="D1573" s="14">
        <v>192300</v>
      </c>
      <c r="E1573" s="14">
        <v>220687</v>
      </c>
      <c r="F1573" s="14">
        <v>148200</v>
      </c>
      <c r="G1573" s="14">
        <v>172136</v>
      </c>
      <c r="H1573" s="14">
        <v>146000</v>
      </c>
      <c r="I1573" s="14">
        <v>168000</v>
      </c>
      <c r="J1573" s="14">
        <v>3410</v>
      </c>
      <c r="K1573" s="14">
        <v>3740</v>
      </c>
      <c r="N1573" s="42">
        <f t="shared" si="64"/>
        <v>500</v>
      </c>
      <c r="O1573" s="43">
        <f t="shared" si="65"/>
        <v>1.869158878504673E-3</v>
      </c>
    </row>
    <row r="1574" spans="1:15" x14ac:dyDescent="0.45">
      <c r="A1574" s="12" t="s">
        <v>31530</v>
      </c>
      <c r="B1574" s="14">
        <v>270000</v>
      </c>
      <c r="C1574" s="14">
        <v>270500</v>
      </c>
      <c r="D1574" s="14">
        <v>194400</v>
      </c>
      <c r="E1574" s="14">
        <v>223162</v>
      </c>
      <c r="F1574" s="14">
        <v>149900</v>
      </c>
      <c r="G1574" s="14">
        <v>174066</v>
      </c>
      <c r="H1574" s="14">
        <v>150000</v>
      </c>
      <c r="I1574" s="14">
        <v>172000</v>
      </c>
      <c r="J1574" s="14">
        <v>3630</v>
      </c>
      <c r="K1574" s="14">
        <v>3970</v>
      </c>
      <c r="N1574" s="42">
        <f t="shared" si="64"/>
        <v>500</v>
      </c>
      <c r="O1574" s="43">
        <f t="shared" si="65"/>
        <v>1.8484288354898336E-3</v>
      </c>
    </row>
    <row r="1575" spans="1:15" x14ac:dyDescent="0.45">
      <c r="A1575" s="12" t="s">
        <v>31531</v>
      </c>
      <c r="B1575" s="14">
        <v>269000</v>
      </c>
      <c r="C1575" s="14">
        <v>269500</v>
      </c>
      <c r="D1575" s="14">
        <v>193700</v>
      </c>
      <c r="E1575" s="14">
        <v>222337</v>
      </c>
      <c r="F1575" s="14">
        <v>149300</v>
      </c>
      <c r="G1575" s="14">
        <v>173423</v>
      </c>
      <c r="H1575" s="14">
        <v>144000</v>
      </c>
      <c r="I1575" s="14">
        <v>166000</v>
      </c>
      <c r="J1575" s="14">
        <v>3400</v>
      </c>
      <c r="K1575" s="14">
        <v>3780</v>
      </c>
      <c r="N1575" s="42">
        <f t="shared" si="64"/>
        <v>500</v>
      </c>
      <c r="O1575" s="43">
        <f t="shared" si="65"/>
        <v>1.8552875695732839E-3</v>
      </c>
    </row>
    <row r="1576" spans="1:15" x14ac:dyDescent="0.45">
      <c r="A1576" s="12" t="s">
        <v>31532</v>
      </c>
      <c r="B1576" s="14">
        <v>268000</v>
      </c>
      <c r="C1576" s="14">
        <v>268500</v>
      </c>
      <c r="D1576" s="14">
        <v>193000</v>
      </c>
      <c r="E1576" s="14">
        <v>221512</v>
      </c>
      <c r="F1576" s="14">
        <v>148800</v>
      </c>
      <c r="G1576" s="14">
        <v>172779</v>
      </c>
      <c r="H1576" s="14">
        <v>143000</v>
      </c>
      <c r="I1576" s="14">
        <v>165000</v>
      </c>
      <c r="J1576" s="14">
        <v>3330</v>
      </c>
      <c r="K1576" s="14">
        <v>3650</v>
      </c>
      <c r="N1576" s="42">
        <f t="shared" si="64"/>
        <v>500</v>
      </c>
      <c r="O1576" s="43">
        <f t="shared" si="65"/>
        <v>1.8621973929236499E-3</v>
      </c>
    </row>
    <row r="1577" spans="1:15" x14ac:dyDescent="0.45">
      <c r="A1577" s="12" t="s">
        <v>31533</v>
      </c>
      <c r="B1577" s="14">
        <v>266000</v>
      </c>
      <c r="C1577" s="14">
        <v>266500</v>
      </c>
      <c r="D1577" s="14">
        <v>191600</v>
      </c>
      <c r="E1577" s="14">
        <v>219862</v>
      </c>
      <c r="F1577" s="14">
        <v>147700</v>
      </c>
      <c r="G1577" s="14">
        <v>171492</v>
      </c>
      <c r="H1577" s="14">
        <v>141000</v>
      </c>
      <c r="I1577" s="14">
        <v>163000</v>
      </c>
      <c r="J1577" s="14">
        <v>3230</v>
      </c>
      <c r="K1577" s="14">
        <v>3500</v>
      </c>
      <c r="N1577" s="42">
        <f t="shared" si="64"/>
        <v>500</v>
      </c>
      <c r="O1577" s="43">
        <f t="shared" si="65"/>
        <v>1.876172607879925E-3</v>
      </c>
    </row>
    <row r="1578" spans="1:15" x14ac:dyDescent="0.45">
      <c r="A1578" s="12" t="s">
        <v>31534</v>
      </c>
      <c r="B1578" s="14">
        <v>265000</v>
      </c>
      <c r="C1578" s="14">
        <v>265500</v>
      </c>
      <c r="D1578" s="14">
        <v>190800</v>
      </c>
      <c r="E1578" s="14">
        <v>219037</v>
      </c>
      <c r="F1578" s="14">
        <v>147100</v>
      </c>
      <c r="G1578" s="14">
        <v>170849</v>
      </c>
      <c r="H1578" s="14">
        <v>145000</v>
      </c>
      <c r="I1578" s="14">
        <v>167000</v>
      </c>
      <c r="J1578" s="14">
        <v>3250</v>
      </c>
      <c r="K1578" s="14">
        <v>3500</v>
      </c>
      <c r="N1578" s="42">
        <f t="shared" si="64"/>
        <v>500</v>
      </c>
      <c r="O1578" s="43">
        <f t="shared" si="65"/>
        <v>1.8832391713747645E-3</v>
      </c>
    </row>
    <row r="1579" spans="1:15" x14ac:dyDescent="0.45">
      <c r="A1579" s="12" t="s">
        <v>31535</v>
      </c>
      <c r="B1579" s="14">
        <v>265500</v>
      </c>
      <c r="C1579" s="14">
        <v>266000</v>
      </c>
      <c r="D1579" s="14">
        <v>191200</v>
      </c>
      <c r="E1579" s="14">
        <v>219450</v>
      </c>
      <c r="F1579" s="14">
        <v>147400</v>
      </c>
      <c r="G1579" s="14">
        <v>171171</v>
      </c>
      <c r="H1579" s="14">
        <v>146000</v>
      </c>
      <c r="I1579" s="14">
        <v>168000</v>
      </c>
      <c r="J1579" s="14">
        <v>3250</v>
      </c>
      <c r="K1579" s="14">
        <v>3480</v>
      </c>
      <c r="N1579" s="42">
        <f t="shared" si="64"/>
        <v>500</v>
      </c>
      <c r="O1579" s="43">
        <f t="shared" si="65"/>
        <v>1.8796992481203006E-3</v>
      </c>
    </row>
    <row r="1580" spans="1:15" x14ac:dyDescent="0.45">
      <c r="A1580" s="12" t="s">
        <v>31536</v>
      </c>
      <c r="B1580" s="14">
        <v>264000</v>
      </c>
      <c r="C1580" s="14">
        <v>266000</v>
      </c>
      <c r="D1580" s="14">
        <v>190100</v>
      </c>
      <c r="E1580" s="14">
        <v>219450</v>
      </c>
      <c r="F1580" s="14">
        <v>146600</v>
      </c>
      <c r="G1580" s="14">
        <v>171171</v>
      </c>
      <c r="H1580" s="14">
        <v>146000</v>
      </c>
      <c r="I1580" s="14">
        <v>168000</v>
      </c>
      <c r="J1580" s="14">
        <v>3210</v>
      </c>
      <c r="K1580" s="14">
        <v>3520</v>
      </c>
      <c r="N1580" s="42">
        <f t="shared" si="64"/>
        <v>2000</v>
      </c>
      <c r="O1580" s="43">
        <f t="shared" si="65"/>
        <v>7.5187969924812026E-3</v>
      </c>
    </row>
    <row r="1581" spans="1:15" x14ac:dyDescent="0.45">
      <c r="A1581" s="12" t="s">
        <v>31537</v>
      </c>
      <c r="B1581" s="14">
        <v>268000</v>
      </c>
      <c r="C1581" s="14">
        <v>269000</v>
      </c>
      <c r="D1581" s="14">
        <v>193000</v>
      </c>
      <c r="E1581" s="14">
        <v>221925</v>
      </c>
      <c r="F1581" s="14">
        <v>148800</v>
      </c>
      <c r="G1581" s="14">
        <v>173101</v>
      </c>
      <c r="H1581" s="14">
        <v>147000</v>
      </c>
      <c r="I1581" s="14">
        <v>169000</v>
      </c>
      <c r="J1581" s="14">
        <v>3200</v>
      </c>
      <c r="K1581" s="14">
        <v>3510</v>
      </c>
      <c r="N1581" s="42">
        <f t="shared" ref="N1581:N1644" si="66">C1581-B1581</f>
        <v>1000</v>
      </c>
      <c r="O1581" s="43">
        <f t="shared" ref="O1581:O1644" si="67">N1581/C1581</f>
        <v>3.7174721189591076E-3</v>
      </c>
    </row>
    <row r="1582" spans="1:15" x14ac:dyDescent="0.45">
      <c r="A1582" s="12" t="s">
        <v>31538</v>
      </c>
      <c r="B1582" s="14">
        <v>269000</v>
      </c>
      <c r="C1582" s="14">
        <v>271000</v>
      </c>
      <c r="D1582" s="14">
        <v>193700</v>
      </c>
      <c r="E1582" s="14">
        <v>223575</v>
      </c>
      <c r="F1582" s="14">
        <v>149300</v>
      </c>
      <c r="G1582" s="14">
        <v>174388</v>
      </c>
      <c r="H1582" s="14">
        <v>146000</v>
      </c>
      <c r="I1582" s="14">
        <v>168000</v>
      </c>
      <c r="J1582" s="14">
        <v>3250</v>
      </c>
      <c r="K1582" s="14">
        <v>3560</v>
      </c>
      <c r="N1582" s="42">
        <f t="shared" si="66"/>
        <v>2000</v>
      </c>
      <c r="O1582" s="43">
        <f t="shared" si="67"/>
        <v>7.3800738007380072E-3</v>
      </c>
    </row>
    <row r="1583" spans="1:15" x14ac:dyDescent="0.45">
      <c r="A1583" s="12" t="s">
        <v>31539</v>
      </c>
      <c r="B1583" s="14">
        <v>268000</v>
      </c>
      <c r="C1583" s="14">
        <v>269000</v>
      </c>
      <c r="D1583" s="14">
        <v>193000</v>
      </c>
      <c r="E1583" s="14">
        <v>221925</v>
      </c>
      <c r="F1583" s="14">
        <v>148800</v>
      </c>
      <c r="G1583" s="14">
        <v>173101</v>
      </c>
      <c r="H1583" s="14">
        <v>145000</v>
      </c>
      <c r="I1583" s="14">
        <v>167000</v>
      </c>
      <c r="J1583" s="14">
        <v>3200</v>
      </c>
      <c r="K1583" s="14">
        <v>3470</v>
      </c>
      <c r="N1583" s="42">
        <f t="shared" si="66"/>
        <v>1000</v>
      </c>
      <c r="O1583" s="43">
        <f t="shared" si="67"/>
        <v>3.7174721189591076E-3</v>
      </c>
    </row>
    <row r="1584" spans="1:15" x14ac:dyDescent="0.45">
      <c r="A1584" s="12" t="s">
        <v>31540</v>
      </c>
      <c r="B1584" s="14">
        <v>266000</v>
      </c>
      <c r="C1584" s="14">
        <v>267000</v>
      </c>
      <c r="D1584" s="14">
        <v>191600</v>
      </c>
      <c r="E1584" s="14">
        <v>220275</v>
      </c>
      <c r="F1584" s="14">
        <v>147700</v>
      </c>
      <c r="G1584" s="14">
        <v>171814</v>
      </c>
      <c r="H1584" s="14">
        <v>143000</v>
      </c>
      <c r="I1584" s="14">
        <v>165000</v>
      </c>
      <c r="J1584" s="14">
        <v>3140</v>
      </c>
      <c r="K1584" s="14">
        <v>3450</v>
      </c>
      <c r="N1584" s="42">
        <f t="shared" si="66"/>
        <v>1000</v>
      </c>
      <c r="O1584" s="43">
        <f t="shared" si="67"/>
        <v>3.7453183520599251E-3</v>
      </c>
    </row>
    <row r="1585" spans="1:15" x14ac:dyDescent="0.45">
      <c r="A1585" s="12" t="s">
        <v>31541</v>
      </c>
      <c r="B1585" s="14">
        <v>266000</v>
      </c>
      <c r="C1585" s="14">
        <v>267000</v>
      </c>
      <c r="D1585" s="14">
        <v>191600</v>
      </c>
      <c r="E1585" s="14">
        <v>220275</v>
      </c>
      <c r="F1585" s="14">
        <v>147700</v>
      </c>
      <c r="G1585" s="14">
        <v>171814</v>
      </c>
      <c r="H1585" s="14">
        <v>142000</v>
      </c>
      <c r="I1585" s="14">
        <v>164000</v>
      </c>
      <c r="J1585" s="14">
        <v>3100</v>
      </c>
      <c r="K1585" s="14">
        <v>3410</v>
      </c>
      <c r="N1585" s="42">
        <f t="shared" si="66"/>
        <v>1000</v>
      </c>
      <c r="O1585" s="43">
        <f t="shared" si="67"/>
        <v>3.7453183520599251E-3</v>
      </c>
    </row>
    <row r="1586" spans="1:15" x14ac:dyDescent="0.45">
      <c r="A1586" s="12" t="s">
        <v>31542</v>
      </c>
      <c r="B1586" s="14">
        <v>266000</v>
      </c>
      <c r="C1586" s="14">
        <v>267000</v>
      </c>
      <c r="D1586" s="14">
        <v>191600</v>
      </c>
      <c r="E1586" s="14">
        <v>220275</v>
      </c>
      <c r="F1586" s="14">
        <v>147700</v>
      </c>
      <c r="G1586" s="14">
        <v>171814</v>
      </c>
      <c r="H1586" s="14">
        <v>146000</v>
      </c>
      <c r="I1586" s="14">
        <v>167000</v>
      </c>
      <c r="J1586" s="14">
        <v>3190</v>
      </c>
      <c r="K1586" s="14">
        <v>3500</v>
      </c>
      <c r="N1586" s="42">
        <f t="shared" si="66"/>
        <v>1000</v>
      </c>
      <c r="O1586" s="43">
        <f t="shared" si="67"/>
        <v>3.7453183520599251E-3</v>
      </c>
    </row>
    <row r="1587" spans="1:15" x14ac:dyDescent="0.45">
      <c r="A1587" s="12" t="s">
        <v>31543</v>
      </c>
      <c r="B1587" s="14">
        <v>267000</v>
      </c>
      <c r="C1587" s="14">
        <v>268000</v>
      </c>
      <c r="D1587" s="14">
        <v>192300</v>
      </c>
      <c r="E1587" s="14">
        <v>221100</v>
      </c>
      <c r="F1587" s="14">
        <v>148200</v>
      </c>
      <c r="G1587" s="14">
        <v>172458</v>
      </c>
      <c r="H1587" s="14">
        <v>146000</v>
      </c>
      <c r="I1587" s="14">
        <v>167000</v>
      </c>
      <c r="J1587" s="14">
        <v>3170</v>
      </c>
      <c r="K1587" s="14">
        <v>3490</v>
      </c>
      <c r="N1587" s="42">
        <f t="shared" si="66"/>
        <v>1000</v>
      </c>
      <c r="O1587" s="43">
        <f t="shared" si="67"/>
        <v>3.7313432835820895E-3</v>
      </c>
    </row>
    <row r="1588" spans="1:15" x14ac:dyDescent="0.45">
      <c r="A1588" s="12" t="s">
        <v>31544</v>
      </c>
      <c r="B1588" s="14">
        <v>267000</v>
      </c>
      <c r="C1588" s="14">
        <v>268000</v>
      </c>
      <c r="D1588" s="14">
        <v>192300</v>
      </c>
      <c r="E1588" s="14">
        <v>221100</v>
      </c>
      <c r="F1588" s="14">
        <v>148200</v>
      </c>
      <c r="G1588" s="14">
        <v>172458</v>
      </c>
      <c r="H1588" s="14">
        <v>142000</v>
      </c>
      <c r="I1588" s="14">
        <v>163000</v>
      </c>
      <c r="J1588" s="14">
        <v>3170</v>
      </c>
      <c r="K1588" s="14">
        <v>3490</v>
      </c>
      <c r="N1588" s="42">
        <f t="shared" si="66"/>
        <v>1000</v>
      </c>
      <c r="O1588" s="43">
        <f t="shared" si="67"/>
        <v>3.7313432835820895E-3</v>
      </c>
    </row>
    <row r="1589" spans="1:15" x14ac:dyDescent="0.45">
      <c r="A1589" s="12" t="s">
        <v>31545</v>
      </c>
      <c r="B1589" s="14">
        <v>264000</v>
      </c>
      <c r="C1589" s="14">
        <v>265000</v>
      </c>
      <c r="D1589" s="14">
        <v>190100</v>
      </c>
      <c r="E1589" s="14">
        <v>218625</v>
      </c>
      <c r="F1589" s="14">
        <v>146600</v>
      </c>
      <c r="G1589" s="14">
        <v>170527</v>
      </c>
      <c r="H1589" s="14">
        <v>137000</v>
      </c>
      <c r="I1589" s="14">
        <v>158000</v>
      </c>
      <c r="J1589" s="14">
        <v>3120</v>
      </c>
      <c r="K1589" s="14">
        <v>3440</v>
      </c>
      <c r="N1589" s="42">
        <f t="shared" si="66"/>
        <v>1000</v>
      </c>
      <c r="O1589" s="43">
        <f t="shared" si="67"/>
        <v>3.7735849056603774E-3</v>
      </c>
    </row>
    <row r="1590" spans="1:15" x14ac:dyDescent="0.45">
      <c r="A1590" s="12" t="s">
        <v>31546</v>
      </c>
      <c r="B1590" s="14">
        <v>263000</v>
      </c>
      <c r="C1590" s="14">
        <v>267000</v>
      </c>
      <c r="D1590" s="14">
        <v>189400</v>
      </c>
      <c r="E1590" s="14">
        <v>220275</v>
      </c>
      <c r="F1590" s="14">
        <v>146000</v>
      </c>
      <c r="G1590" s="14">
        <v>171814</v>
      </c>
      <c r="H1590" s="14">
        <v>141000</v>
      </c>
      <c r="I1590" s="14">
        <v>162000</v>
      </c>
      <c r="J1590" s="14">
        <v>3160</v>
      </c>
      <c r="K1590" s="14">
        <v>3590</v>
      </c>
      <c r="N1590" s="42">
        <f t="shared" si="66"/>
        <v>4000</v>
      </c>
      <c r="O1590" s="43">
        <f t="shared" si="67"/>
        <v>1.4981273408239701E-2</v>
      </c>
    </row>
    <row r="1591" spans="1:15" x14ac:dyDescent="0.45">
      <c r="A1591" s="12" t="s">
        <v>31547</v>
      </c>
      <c r="B1591" s="14">
        <v>269000</v>
      </c>
      <c r="C1591" s="14">
        <v>272000</v>
      </c>
      <c r="D1591" s="14">
        <v>193700</v>
      </c>
      <c r="E1591" s="14">
        <v>224400</v>
      </c>
      <c r="F1591" s="14">
        <v>149300</v>
      </c>
      <c r="G1591" s="14">
        <v>175032</v>
      </c>
      <c r="H1591" s="14">
        <v>144000</v>
      </c>
      <c r="I1591" s="14">
        <v>165000</v>
      </c>
      <c r="J1591" s="14">
        <v>3360</v>
      </c>
      <c r="K1591" s="14">
        <v>3740</v>
      </c>
      <c r="N1591" s="42">
        <f t="shared" si="66"/>
        <v>3000</v>
      </c>
      <c r="O1591" s="43">
        <f t="shared" si="67"/>
        <v>1.1029411764705883E-2</v>
      </c>
    </row>
    <row r="1592" spans="1:15" x14ac:dyDescent="0.45">
      <c r="A1592" s="12" t="s">
        <v>31548</v>
      </c>
      <c r="B1592" s="14">
        <v>270000</v>
      </c>
      <c r="C1592" s="14">
        <v>275000</v>
      </c>
      <c r="D1592" s="14">
        <v>194400</v>
      </c>
      <c r="E1592" s="14">
        <v>226875</v>
      </c>
      <c r="F1592" s="14">
        <v>149900</v>
      </c>
      <c r="G1592" s="14">
        <v>176962</v>
      </c>
      <c r="H1592" s="14">
        <v>145000</v>
      </c>
      <c r="I1592" s="14">
        <v>166000</v>
      </c>
      <c r="J1592" s="14">
        <v>3410</v>
      </c>
      <c r="K1592" s="14">
        <v>3790</v>
      </c>
      <c r="N1592" s="42">
        <f t="shared" si="66"/>
        <v>5000</v>
      </c>
      <c r="O1592" s="43">
        <f t="shared" si="67"/>
        <v>1.8181818181818181E-2</v>
      </c>
    </row>
    <row r="1593" spans="1:15" x14ac:dyDescent="0.45">
      <c r="A1593" s="12" t="s">
        <v>31549</v>
      </c>
      <c r="B1593" s="14">
        <v>268000</v>
      </c>
      <c r="C1593" s="14">
        <v>273000</v>
      </c>
      <c r="D1593" s="14">
        <v>193000</v>
      </c>
      <c r="E1593" s="14">
        <v>225225</v>
      </c>
      <c r="F1593" s="14">
        <v>148800</v>
      </c>
      <c r="G1593" s="14">
        <v>175675</v>
      </c>
      <c r="H1593" s="14">
        <v>138000</v>
      </c>
      <c r="I1593" s="14">
        <v>159000</v>
      </c>
      <c r="J1593" s="14">
        <v>3350</v>
      </c>
      <c r="K1593" s="14">
        <v>3730</v>
      </c>
      <c r="N1593" s="42">
        <f t="shared" si="66"/>
        <v>5000</v>
      </c>
      <c r="O1593" s="43">
        <f t="shared" si="67"/>
        <v>1.8315018315018316E-2</v>
      </c>
    </row>
    <row r="1594" spans="1:15" x14ac:dyDescent="0.45">
      <c r="A1594" s="12" t="s">
        <v>31550</v>
      </c>
      <c r="B1594" s="14">
        <v>264500</v>
      </c>
      <c r="C1594" s="14">
        <v>268000</v>
      </c>
      <c r="D1594" s="14">
        <v>190500</v>
      </c>
      <c r="E1594" s="14">
        <v>221100</v>
      </c>
      <c r="F1594" s="14">
        <v>146800</v>
      </c>
      <c r="G1594" s="14">
        <v>172458</v>
      </c>
      <c r="H1594" s="14">
        <v>140000</v>
      </c>
      <c r="I1594" s="14">
        <v>161000</v>
      </c>
      <c r="J1594" s="14">
        <v>3270</v>
      </c>
      <c r="K1594" s="14">
        <v>3640</v>
      </c>
      <c r="N1594" s="42">
        <f t="shared" si="66"/>
        <v>3500</v>
      </c>
      <c r="O1594" s="43">
        <f t="shared" si="67"/>
        <v>1.3059701492537313E-2</v>
      </c>
    </row>
    <row r="1595" spans="1:15" x14ac:dyDescent="0.45">
      <c r="A1595" s="12" t="s">
        <v>31551</v>
      </c>
      <c r="B1595" s="14">
        <v>264500</v>
      </c>
      <c r="C1595" s="14">
        <v>268000</v>
      </c>
      <c r="D1595" s="14">
        <v>190500</v>
      </c>
      <c r="E1595" s="14">
        <v>221100</v>
      </c>
      <c r="F1595" s="14">
        <v>146800</v>
      </c>
      <c r="G1595" s="14">
        <v>172458</v>
      </c>
      <c r="H1595" s="14">
        <v>140000</v>
      </c>
      <c r="I1595" s="14">
        <v>161000</v>
      </c>
      <c r="J1595" s="14">
        <v>3270</v>
      </c>
      <c r="K1595" s="14">
        <v>3640</v>
      </c>
      <c r="N1595" s="42">
        <f t="shared" si="66"/>
        <v>3500</v>
      </c>
      <c r="O1595" s="43">
        <f t="shared" si="67"/>
        <v>1.3059701492537313E-2</v>
      </c>
    </row>
    <row r="1596" spans="1:15" x14ac:dyDescent="0.45">
      <c r="A1596" s="12" t="s">
        <v>31552</v>
      </c>
      <c r="B1596" s="14">
        <v>264000</v>
      </c>
      <c r="C1596" s="14">
        <v>267000</v>
      </c>
      <c r="D1596" s="14">
        <v>190100</v>
      </c>
      <c r="E1596" s="14">
        <v>220275</v>
      </c>
      <c r="F1596" s="14">
        <v>146600</v>
      </c>
      <c r="G1596" s="14">
        <v>171814</v>
      </c>
      <c r="H1596" s="14">
        <v>138000</v>
      </c>
      <c r="I1596" s="14">
        <v>159000</v>
      </c>
      <c r="J1596" s="14">
        <v>3270</v>
      </c>
      <c r="K1596" s="14">
        <v>3630</v>
      </c>
      <c r="N1596" s="42">
        <f t="shared" si="66"/>
        <v>3000</v>
      </c>
      <c r="O1596" s="43">
        <f t="shared" si="67"/>
        <v>1.1235955056179775E-2</v>
      </c>
    </row>
    <row r="1597" spans="1:15" x14ac:dyDescent="0.45">
      <c r="A1597" s="12" t="s">
        <v>31553</v>
      </c>
      <c r="B1597" s="14">
        <v>264000</v>
      </c>
      <c r="C1597" s="14">
        <v>267000</v>
      </c>
      <c r="D1597" s="14">
        <v>190100</v>
      </c>
      <c r="E1597" s="14">
        <v>220275</v>
      </c>
      <c r="F1597" s="14">
        <v>146600</v>
      </c>
      <c r="G1597" s="14">
        <v>171814</v>
      </c>
      <c r="H1597" s="14">
        <v>138000</v>
      </c>
      <c r="I1597" s="14">
        <v>159000</v>
      </c>
      <c r="J1597" s="14">
        <v>3260</v>
      </c>
      <c r="K1597" s="14">
        <v>3620</v>
      </c>
      <c r="N1597" s="42">
        <f t="shared" si="66"/>
        <v>3000</v>
      </c>
      <c r="O1597" s="43">
        <f t="shared" si="67"/>
        <v>1.1235955056179775E-2</v>
      </c>
    </row>
    <row r="1598" spans="1:15" x14ac:dyDescent="0.45">
      <c r="A1598" s="12" t="s">
        <v>31554</v>
      </c>
      <c r="B1598" s="14">
        <v>264000</v>
      </c>
      <c r="C1598" s="14">
        <v>267000</v>
      </c>
      <c r="D1598" s="14">
        <v>190100</v>
      </c>
      <c r="E1598" s="14">
        <v>220275</v>
      </c>
      <c r="F1598" s="14">
        <v>146600</v>
      </c>
      <c r="G1598" s="14">
        <v>171814</v>
      </c>
      <c r="H1598" s="14">
        <v>136000</v>
      </c>
      <c r="I1598" s="14">
        <v>157000</v>
      </c>
      <c r="J1598" s="14">
        <v>3300</v>
      </c>
      <c r="K1598" s="14">
        <v>3670</v>
      </c>
      <c r="N1598" s="42">
        <f t="shared" si="66"/>
        <v>3000</v>
      </c>
      <c r="O1598" s="43">
        <f t="shared" si="67"/>
        <v>1.1235955056179775E-2</v>
      </c>
    </row>
    <row r="1599" spans="1:15" x14ac:dyDescent="0.45">
      <c r="A1599" s="12" t="s">
        <v>31555</v>
      </c>
      <c r="B1599" s="14">
        <v>264000</v>
      </c>
      <c r="C1599" s="14">
        <v>269000</v>
      </c>
      <c r="D1599" s="14">
        <v>190100</v>
      </c>
      <c r="E1599" s="14">
        <v>221925</v>
      </c>
      <c r="F1599" s="14">
        <v>146600</v>
      </c>
      <c r="G1599" s="14">
        <v>173101</v>
      </c>
      <c r="H1599" s="14">
        <v>136000</v>
      </c>
      <c r="I1599" s="14">
        <v>157000</v>
      </c>
      <c r="J1599" s="14">
        <v>3320</v>
      </c>
      <c r="K1599" s="14">
        <v>3690</v>
      </c>
      <c r="N1599" s="42">
        <f t="shared" si="66"/>
        <v>5000</v>
      </c>
      <c r="O1599" s="43">
        <f t="shared" si="67"/>
        <v>1.858736059479554E-2</v>
      </c>
    </row>
    <row r="1600" spans="1:15" x14ac:dyDescent="0.45">
      <c r="A1600" s="12" t="s">
        <v>31556</v>
      </c>
      <c r="B1600" s="14">
        <v>261500</v>
      </c>
      <c r="C1600" s="14">
        <v>268500</v>
      </c>
      <c r="D1600" s="14">
        <v>188300</v>
      </c>
      <c r="E1600" s="14">
        <v>221512</v>
      </c>
      <c r="F1600" s="14">
        <v>145200</v>
      </c>
      <c r="G1600" s="14">
        <v>172779</v>
      </c>
      <c r="H1600" s="14">
        <v>135000</v>
      </c>
      <c r="I1600" s="14">
        <v>156000</v>
      </c>
      <c r="J1600" s="14">
        <v>3240</v>
      </c>
      <c r="K1600" s="14">
        <v>3610</v>
      </c>
      <c r="N1600" s="42">
        <f t="shared" si="66"/>
        <v>7000</v>
      </c>
      <c r="O1600" s="43">
        <f t="shared" si="67"/>
        <v>2.6070763500931099E-2</v>
      </c>
    </row>
    <row r="1601" spans="1:15" x14ac:dyDescent="0.45">
      <c r="A1601" s="12" t="s">
        <v>31557</v>
      </c>
      <c r="B1601" s="14">
        <v>261500</v>
      </c>
      <c r="C1601" s="14">
        <v>268500</v>
      </c>
      <c r="D1601" s="14">
        <v>188300</v>
      </c>
      <c r="E1601" s="14">
        <v>221512</v>
      </c>
      <c r="F1601" s="14">
        <v>145200</v>
      </c>
      <c r="G1601" s="14">
        <v>172779</v>
      </c>
      <c r="H1601" s="14">
        <v>135000</v>
      </c>
      <c r="I1601" s="14">
        <v>156000</v>
      </c>
      <c r="J1601" s="14">
        <v>3240</v>
      </c>
      <c r="K1601" s="14">
        <v>3610</v>
      </c>
      <c r="N1601" s="42">
        <f t="shared" si="66"/>
        <v>7000</v>
      </c>
      <c r="O1601" s="43">
        <f t="shared" si="67"/>
        <v>2.6070763500931099E-2</v>
      </c>
    </row>
    <row r="1602" spans="1:15" x14ac:dyDescent="0.45">
      <c r="A1602" s="12" t="s">
        <v>31558</v>
      </c>
      <c r="B1602" s="14">
        <v>261500</v>
      </c>
      <c r="C1602" s="14">
        <v>268500</v>
      </c>
      <c r="D1602" s="14">
        <v>188300</v>
      </c>
      <c r="E1602" s="14">
        <v>221512</v>
      </c>
      <c r="F1602" s="14">
        <v>145200</v>
      </c>
      <c r="G1602" s="14">
        <v>172779</v>
      </c>
      <c r="H1602" s="14">
        <v>134000</v>
      </c>
      <c r="I1602" s="14">
        <v>155000</v>
      </c>
      <c r="J1602" s="14">
        <v>3230</v>
      </c>
      <c r="K1602" s="14">
        <v>3600</v>
      </c>
      <c r="N1602" s="42">
        <f t="shared" si="66"/>
        <v>7000</v>
      </c>
      <c r="O1602" s="43">
        <f t="shared" si="67"/>
        <v>2.6070763500931099E-2</v>
      </c>
    </row>
    <row r="1603" spans="1:15" x14ac:dyDescent="0.45">
      <c r="A1603" s="12" t="s">
        <v>31559</v>
      </c>
      <c r="B1603" s="14">
        <v>261000</v>
      </c>
      <c r="C1603" s="14">
        <v>268000</v>
      </c>
      <c r="D1603" s="14">
        <v>188000</v>
      </c>
      <c r="E1603" s="14">
        <v>221100</v>
      </c>
      <c r="F1603" s="14">
        <v>144900</v>
      </c>
      <c r="G1603" s="14">
        <v>172458</v>
      </c>
      <c r="H1603" s="14">
        <v>133000</v>
      </c>
      <c r="I1603" s="14">
        <v>154000</v>
      </c>
      <c r="J1603" s="14">
        <v>3200</v>
      </c>
      <c r="K1603" s="14">
        <v>3560</v>
      </c>
      <c r="N1603" s="42">
        <f t="shared" si="66"/>
        <v>7000</v>
      </c>
      <c r="O1603" s="43">
        <f t="shared" si="67"/>
        <v>2.6119402985074626E-2</v>
      </c>
    </row>
    <row r="1604" spans="1:15" x14ac:dyDescent="0.45">
      <c r="A1604" s="12" t="s">
        <v>31560</v>
      </c>
      <c r="B1604" s="14">
        <v>262000</v>
      </c>
      <c r="C1604" s="14">
        <v>272000</v>
      </c>
      <c r="D1604" s="14">
        <v>188700</v>
      </c>
      <c r="E1604" s="14">
        <v>224400</v>
      </c>
      <c r="F1604" s="14">
        <v>145500</v>
      </c>
      <c r="G1604" s="14">
        <v>175032</v>
      </c>
      <c r="H1604" s="14">
        <v>138000</v>
      </c>
      <c r="I1604" s="14">
        <v>159000</v>
      </c>
      <c r="J1604" s="14">
        <v>3420</v>
      </c>
      <c r="K1604" s="14">
        <v>3800</v>
      </c>
      <c r="N1604" s="42">
        <f t="shared" si="66"/>
        <v>10000</v>
      </c>
      <c r="O1604" s="43">
        <f t="shared" si="67"/>
        <v>3.6764705882352942E-2</v>
      </c>
    </row>
    <row r="1605" spans="1:15" x14ac:dyDescent="0.45">
      <c r="A1605" s="12" t="s">
        <v>31561</v>
      </c>
      <c r="B1605" s="14">
        <v>260000</v>
      </c>
      <c r="C1605" s="14">
        <v>267000</v>
      </c>
      <c r="D1605" s="14">
        <v>187200</v>
      </c>
      <c r="E1605" s="14">
        <v>220275</v>
      </c>
      <c r="F1605" s="14">
        <v>144300</v>
      </c>
      <c r="G1605" s="14">
        <v>171814</v>
      </c>
      <c r="H1605" s="14">
        <v>137000</v>
      </c>
      <c r="I1605" s="14">
        <v>158000</v>
      </c>
      <c r="J1605" s="14">
        <v>3230</v>
      </c>
      <c r="K1605" s="14">
        <v>3590</v>
      </c>
      <c r="N1605" s="42">
        <f t="shared" si="66"/>
        <v>7000</v>
      </c>
      <c r="O1605" s="43">
        <f t="shared" si="67"/>
        <v>2.6217228464419477E-2</v>
      </c>
    </row>
    <row r="1606" spans="1:15" x14ac:dyDescent="0.45">
      <c r="A1606" s="12" t="s">
        <v>31562</v>
      </c>
      <c r="B1606" s="14">
        <v>257000</v>
      </c>
      <c r="C1606" s="14">
        <v>265000</v>
      </c>
      <c r="D1606" s="14">
        <v>185100</v>
      </c>
      <c r="E1606" s="14">
        <v>218625</v>
      </c>
      <c r="F1606" s="14">
        <v>142700</v>
      </c>
      <c r="G1606" s="14">
        <v>170527</v>
      </c>
      <c r="H1606" s="14">
        <v>137000</v>
      </c>
      <c r="I1606" s="14">
        <v>158000</v>
      </c>
      <c r="J1606" s="14">
        <v>3190</v>
      </c>
      <c r="K1606" s="14">
        <v>3550</v>
      </c>
      <c r="N1606" s="42">
        <f t="shared" si="66"/>
        <v>8000</v>
      </c>
      <c r="O1606" s="43">
        <f t="shared" si="67"/>
        <v>3.0188679245283019E-2</v>
      </c>
    </row>
    <row r="1607" spans="1:15" x14ac:dyDescent="0.45">
      <c r="A1607" s="12" t="s">
        <v>31563</v>
      </c>
      <c r="B1607" s="14">
        <v>259000</v>
      </c>
      <c r="C1607" s="14">
        <v>262000</v>
      </c>
      <c r="D1607" s="14">
        <v>186500</v>
      </c>
      <c r="E1607" s="14">
        <v>216150</v>
      </c>
      <c r="F1607" s="14">
        <v>143800</v>
      </c>
      <c r="G1607" s="14">
        <v>168597</v>
      </c>
      <c r="H1607" s="14">
        <v>136000</v>
      </c>
      <c r="I1607" s="14">
        <v>157000</v>
      </c>
      <c r="J1607" s="14">
        <v>3060</v>
      </c>
      <c r="K1607" s="14">
        <v>3410</v>
      </c>
      <c r="N1607" s="42">
        <f t="shared" si="66"/>
        <v>3000</v>
      </c>
      <c r="O1607" s="43">
        <f t="shared" si="67"/>
        <v>1.1450381679389313E-2</v>
      </c>
    </row>
    <row r="1608" spans="1:15" x14ac:dyDescent="0.45">
      <c r="A1608" s="12" t="s">
        <v>31564</v>
      </c>
      <c r="B1608" s="14">
        <v>254000</v>
      </c>
      <c r="C1608" s="14">
        <v>259000</v>
      </c>
      <c r="D1608" s="14">
        <v>182900</v>
      </c>
      <c r="E1608" s="14">
        <v>213675</v>
      </c>
      <c r="F1608" s="14">
        <v>141000</v>
      </c>
      <c r="G1608" s="14">
        <v>166666</v>
      </c>
      <c r="H1608" s="14">
        <v>132000</v>
      </c>
      <c r="I1608" s="14">
        <v>153000</v>
      </c>
      <c r="J1608" s="14">
        <v>2970</v>
      </c>
      <c r="K1608" s="14">
        <v>3310</v>
      </c>
      <c r="N1608" s="42">
        <f t="shared" si="66"/>
        <v>5000</v>
      </c>
      <c r="O1608" s="43">
        <f t="shared" si="67"/>
        <v>1.9305019305019305E-2</v>
      </c>
    </row>
    <row r="1609" spans="1:15" x14ac:dyDescent="0.45">
      <c r="A1609" s="12" t="s">
        <v>31565</v>
      </c>
      <c r="B1609" s="14">
        <v>253000</v>
      </c>
      <c r="C1609" s="14">
        <v>259500</v>
      </c>
      <c r="D1609" s="14">
        <v>182200</v>
      </c>
      <c r="E1609" s="14">
        <v>214087</v>
      </c>
      <c r="F1609" s="14">
        <v>140500</v>
      </c>
      <c r="G1609" s="14">
        <v>166988</v>
      </c>
      <c r="H1609" s="14">
        <v>132000</v>
      </c>
      <c r="I1609" s="14">
        <v>153000</v>
      </c>
      <c r="J1609" s="14">
        <v>2970</v>
      </c>
      <c r="K1609" s="14">
        <v>3310</v>
      </c>
      <c r="N1609" s="42">
        <f t="shared" si="66"/>
        <v>6500</v>
      </c>
      <c r="O1609" s="43">
        <f t="shared" si="67"/>
        <v>2.5048169556840076E-2</v>
      </c>
    </row>
    <row r="1610" spans="1:15" x14ac:dyDescent="0.45">
      <c r="A1610" s="12" t="s">
        <v>31566</v>
      </c>
      <c r="B1610" s="14">
        <v>253000</v>
      </c>
      <c r="C1610" s="14">
        <v>258000</v>
      </c>
      <c r="D1610" s="14">
        <v>182200</v>
      </c>
      <c r="E1610" s="14">
        <v>212850</v>
      </c>
      <c r="F1610" s="14">
        <v>140500</v>
      </c>
      <c r="G1610" s="14">
        <v>166023</v>
      </c>
      <c r="H1610" s="14">
        <v>133000</v>
      </c>
      <c r="I1610" s="14">
        <v>154000</v>
      </c>
      <c r="J1610" s="14">
        <v>2960</v>
      </c>
      <c r="K1610" s="14">
        <v>3300</v>
      </c>
      <c r="N1610" s="42">
        <f t="shared" si="66"/>
        <v>5000</v>
      </c>
      <c r="O1610" s="43">
        <f t="shared" si="67"/>
        <v>1.937984496124031E-2</v>
      </c>
    </row>
    <row r="1611" spans="1:15" x14ac:dyDescent="0.45">
      <c r="A1611" s="12" t="s">
        <v>31567</v>
      </c>
      <c r="B1611" s="14">
        <v>252000</v>
      </c>
      <c r="C1611" s="14">
        <v>258000</v>
      </c>
      <c r="D1611" s="14">
        <v>181500</v>
      </c>
      <c r="E1611" s="14">
        <v>212850</v>
      </c>
      <c r="F1611" s="14">
        <v>139900</v>
      </c>
      <c r="G1611" s="14">
        <v>166023</v>
      </c>
      <c r="H1611" s="14">
        <v>129000</v>
      </c>
      <c r="I1611" s="14">
        <v>150000</v>
      </c>
      <c r="J1611" s="14">
        <v>2940</v>
      </c>
      <c r="K1611" s="14">
        <v>3290</v>
      </c>
      <c r="N1611" s="42">
        <f t="shared" si="66"/>
        <v>6000</v>
      </c>
      <c r="O1611" s="43">
        <f t="shared" si="67"/>
        <v>2.3255813953488372E-2</v>
      </c>
    </row>
    <row r="1612" spans="1:15" x14ac:dyDescent="0.45">
      <c r="A1612" s="12" t="s">
        <v>31568</v>
      </c>
      <c r="B1612" s="14">
        <v>252500</v>
      </c>
      <c r="C1612" s="14">
        <v>261500</v>
      </c>
      <c r="D1612" s="14">
        <v>181800</v>
      </c>
      <c r="E1612" s="14">
        <v>215737</v>
      </c>
      <c r="F1612" s="14">
        <v>140200</v>
      </c>
      <c r="G1612" s="14">
        <v>168275</v>
      </c>
      <c r="H1612" s="14">
        <v>132000</v>
      </c>
      <c r="I1612" s="14">
        <v>153000</v>
      </c>
      <c r="J1612" s="14">
        <v>3010</v>
      </c>
      <c r="K1612" s="14">
        <v>3360</v>
      </c>
      <c r="N1612" s="42">
        <f t="shared" si="66"/>
        <v>9000</v>
      </c>
      <c r="O1612" s="43">
        <f t="shared" si="67"/>
        <v>3.4416826003824091E-2</v>
      </c>
    </row>
    <row r="1613" spans="1:15" x14ac:dyDescent="0.45">
      <c r="A1613" s="12" t="s">
        <v>31569</v>
      </c>
      <c r="B1613" s="14">
        <v>252500</v>
      </c>
      <c r="C1613" s="14">
        <v>261500</v>
      </c>
      <c r="D1613" s="14">
        <v>181800</v>
      </c>
      <c r="E1613" s="14">
        <v>215737</v>
      </c>
      <c r="F1613" s="14">
        <v>140200</v>
      </c>
      <c r="G1613" s="14">
        <v>168275</v>
      </c>
      <c r="H1613" s="14">
        <v>132000</v>
      </c>
      <c r="I1613" s="14">
        <v>153000</v>
      </c>
      <c r="J1613" s="14">
        <v>3040</v>
      </c>
      <c r="K1613" s="14">
        <v>3390</v>
      </c>
      <c r="N1613" s="42">
        <f t="shared" si="66"/>
        <v>9000</v>
      </c>
      <c r="O1613" s="43">
        <f t="shared" si="67"/>
        <v>3.4416826003824091E-2</v>
      </c>
    </row>
    <row r="1614" spans="1:15" x14ac:dyDescent="0.45">
      <c r="A1614" s="12" t="s">
        <v>31570</v>
      </c>
      <c r="B1614" s="14">
        <v>248000</v>
      </c>
      <c r="C1614" s="14">
        <v>257500</v>
      </c>
      <c r="D1614" s="14">
        <v>178600</v>
      </c>
      <c r="E1614" s="14">
        <v>212437</v>
      </c>
      <c r="F1614" s="14">
        <v>137700</v>
      </c>
      <c r="G1614" s="14">
        <v>165701</v>
      </c>
      <c r="H1614" s="14">
        <v>137000</v>
      </c>
      <c r="I1614" s="14">
        <v>158000</v>
      </c>
      <c r="J1614" s="14">
        <v>2970</v>
      </c>
      <c r="K1614" s="14">
        <v>3310</v>
      </c>
      <c r="N1614" s="42">
        <f t="shared" si="66"/>
        <v>9500</v>
      </c>
      <c r="O1614" s="43">
        <f t="shared" si="67"/>
        <v>3.6893203883495145E-2</v>
      </c>
    </row>
    <row r="1615" spans="1:15" x14ac:dyDescent="0.45">
      <c r="A1615" s="12" t="s">
        <v>31571</v>
      </c>
      <c r="B1615" s="14">
        <v>248000</v>
      </c>
      <c r="C1615" s="14">
        <v>258500</v>
      </c>
      <c r="D1615" s="14">
        <v>178600</v>
      </c>
      <c r="E1615" s="14">
        <v>213262</v>
      </c>
      <c r="F1615" s="14">
        <v>137700</v>
      </c>
      <c r="G1615" s="14">
        <v>166344</v>
      </c>
      <c r="H1615" s="14">
        <v>138000</v>
      </c>
      <c r="I1615" s="14">
        <v>159000</v>
      </c>
      <c r="J1615" s="14">
        <v>2980</v>
      </c>
      <c r="K1615" s="14">
        <v>3320</v>
      </c>
      <c r="N1615" s="42">
        <f t="shared" si="66"/>
        <v>10500</v>
      </c>
      <c r="O1615" s="43">
        <f t="shared" si="67"/>
        <v>4.0618955512572531E-2</v>
      </c>
    </row>
    <row r="1616" spans="1:15" x14ac:dyDescent="0.45">
      <c r="A1616" s="12" t="s">
        <v>31572</v>
      </c>
      <c r="B1616" s="14">
        <v>248500</v>
      </c>
      <c r="C1616" s="14">
        <v>259500</v>
      </c>
      <c r="D1616" s="14">
        <v>179000</v>
      </c>
      <c r="E1616" s="14">
        <v>214087</v>
      </c>
      <c r="F1616" s="14">
        <v>138000</v>
      </c>
      <c r="G1616" s="14">
        <v>166988</v>
      </c>
      <c r="H1616" s="14">
        <v>135000</v>
      </c>
      <c r="I1616" s="14">
        <v>155000</v>
      </c>
      <c r="J1616" s="14">
        <v>2980</v>
      </c>
      <c r="K1616" s="14">
        <v>3320</v>
      </c>
      <c r="N1616" s="42">
        <f t="shared" si="66"/>
        <v>11000</v>
      </c>
      <c r="O1616" s="43">
        <f t="shared" si="67"/>
        <v>4.238921001926782E-2</v>
      </c>
    </row>
    <row r="1617" spans="1:15" x14ac:dyDescent="0.45">
      <c r="A1617" s="12" t="s">
        <v>31573</v>
      </c>
      <c r="B1617" s="14">
        <v>248000</v>
      </c>
      <c r="C1617" s="14">
        <v>260000</v>
      </c>
      <c r="D1617" s="14">
        <v>178600</v>
      </c>
      <c r="E1617" s="14">
        <v>214500</v>
      </c>
      <c r="F1617" s="14">
        <v>137700</v>
      </c>
      <c r="G1617" s="14">
        <v>167310</v>
      </c>
      <c r="H1617" s="14">
        <v>133000</v>
      </c>
      <c r="I1617" s="14">
        <v>153000</v>
      </c>
      <c r="J1617" s="14">
        <v>2990</v>
      </c>
      <c r="K1617" s="14">
        <v>3330</v>
      </c>
      <c r="N1617" s="42">
        <f t="shared" si="66"/>
        <v>12000</v>
      </c>
      <c r="O1617" s="43">
        <f t="shared" si="67"/>
        <v>4.6153846153846156E-2</v>
      </c>
    </row>
    <row r="1618" spans="1:15" x14ac:dyDescent="0.45">
      <c r="A1618" s="12" t="s">
        <v>31574</v>
      </c>
      <c r="B1618" s="14">
        <v>245000</v>
      </c>
      <c r="C1618" s="14">
        <v>259000</v>
      </c>
      <c r="D1618" s="14">
        <v>176400</v>
      </c>
      <c r="E1618" s="14">
        <v>213675</v>
      </c>
      <c r="F1618" s="14">
        <v>136000</v>
      </c>
      <c r="G1618" s="14">
        <v>166666</v>
      </c>
      <c r="H1618" s="14">
        <v>132000</v>
      </c>
      <c r="I1618" s="14">
        <v>152000</v>
      </c>
      <c r="J1618" s="14">
        <v>2990</v>
      </c>
      <c r="K1618" s="14">
        <v>3340</v>
      </c>
      <c r="N1618" s="42">
        <f t="shared" si="66"/>
        <v>14000</v>
      </c>
      <c r="O1618" s="43">
        <f t="shared" si="67"/>
        <v>5.4054054054054057E-2</v>
      </c>
    </row>
    <row r="1619" spans="1:15" x14ac:dyDescent="0.45">
      <c r="A1619" s="12" t="s">
        <v>31575</v>
      </c>
      <c r="B1619" s="14">
        <v>242000</v>
      </c>
      <c r="C1619" s="14">
        <v>253500</v>
      </c>
      <c r="D1619" s="14">
        <v>174300</v>
      </c>
      <c r="E1619" s="14">
        <v>209137</v>
      </c>
      <c r="F1619" s="14">
        <v>134400</v>
      </c>
      <c r="G1619" s="14">
        <v>163127</v>
      </c>
      <c r="H1619" s="14">
        <v>127000</v>
      </c>
      <c r="I1619" s="14">
        <v>147000</v>
      </c>
      <c r="J1619" s="14">
        <v>2760</v>
      </c>
      <c r="K1619" s="14">
        <v>3080</v>
      </c>
      <c r="N1619" s="42">
        <f t="shared" si="66"/>
        <v>11500</v>
      </c>
      <c r="O1619" s="43">
        <f t="shared" si="67"/>
        <v>4.5364891518737675E-2</v>
      </c>
    </row>
    <row r="1620" spans="1:15" x14ac:dyDescent="0.45">
      <c r="A1620" s="12" t="s">
        <v>31576</v>
      </c>
      <c r="B1620" s="14">
        <v>248000</v>
      </c>
      <c r="C1620" s="14">
        <v>256500</v>
      </c>
      <c r="D1620" s="14">
        <v>178600</v>
      </c>
      <c r="E1620" s="14">
        <v>211612</v>
      </c>
      <c r="F1620" s="14">
        <v>137700</v>
      </c>
      <c r="G1620" s="14">
        <v>165057</v>
      </c>
      <c r="H1620" s="14">
        <v>128000</v>
      </c>
      <c r="I1620" s="14">
        <v>148000</v>
      </c>
      <c r="J1620" s="14">
        <v>2840</v>
      </c>
      <c r="K1620" s="14">
        <v>3180</v>
      </c>
      <c r="N1620" s="42">
        <f t="shared" si="66"/>
        <v>8500</v>
      </c>
      <c r="O1620" s="43">
        <f t="shared" si="67"/>
        <v>3.3138401559454189E-2</v>
      </c>
    </row>
    <row r="1621" spans="1:15" x14ac:dyDescent="0.45">
      <c r="A1621" s="12" t="s">
        <v>31577</v>
      </c>
      <c r="B1621" s="14">
        <v>250000</v>
      </c>
      <c r="C1621" s="14">
        <v>259000</v>
      </c>
      <c r="D1621" s="14">
        <v>180000</v>
      </c>
      <c r="E1621" s="14">
        <v>213675</v>
      </c>
      <c r="F1621" s="14">
        <v>138800</v>
      </c>
      <c r="G1621" s="14">
        <v>166666</v>
      </c>
      <c r="H1621" s="14">
        <v>127000</v>
      </c>
      <c r="I1621" s="14">
        <v>147000</v>
      </c>
      <c r="J1621" s="14">
        <v>2920</v>
      </c>
      <c r="K1621" s="14">
        <v>3260</v>
      </c>
      <c r="N1621" s="42">
        <f t="shared" si="66"/>
        <v>9000</v>
      </c>
      <c r="O1621" s="43">
        <f t="shared" si="67"/>
        <v>3.4749034749034749E-2</v>
      </c>
    </row>
    <row r="1622" spans="1:15" x14ac:dyDescent="0.45">
      <c r="A1622" s="12" t="s">
        <v>31578</v>
      </c>
      <c r="B1622" s="14">
        <v>250000</v>
      </c>
      <c r="C1622" s="14">
        <v>258000</v>
      </c>
      <c r="D1622" s="14">
        <v>180000</v>
      </c>
      <c r="E1622" s="14">
        <v>212850</v>
      </c>
      <c r="F1622" s="14">
        <v>138800</v>
      </c>
      <c r="G1622" s="14">
        <v>166023</v>
      </c>
      <c r="H1622" s="14">
        <v>127000</v>
      </c>
      <c r="I1622" s="14">
        <v>147000</v>
      </c>
      <c r="J1622" s="14">
        <v>2910</v>
      </c>
      <c r="K1622" s="14">
        <v>3250</v>
      </c>
      <c r="N1622" s="42">
        <f t="shared" si="66"/>
        <v>8000</v>
      </c>
      <c r="O1622" s="43">
        <f t="shared" si="67"/>
        <v>3.1007751937984496E-2</v>
      </c>
    </row>
    <row r="1623" spans="1:15" x14ac:dyDescent="0.45">
      <c r="A1623" s="12" t="s">
        <v>31579</v>
      </c>
      <c r="B1623" s="14">
        <v>254000</v>
      </c>
      <c r="C1623" s="14">
        <v>262500</v>
      </c>
      <c r="D1623" s="14">
        <v>182900</v>
      </c>
      <c r="E1623" s="14">
        <v>216562</v>
      </c>
      <c r="F1623" s="14">
        <v>141000</v>
      </c>
      <c r="G1623" s="14">
        <v>168918</v>
      </c>
      <c r="H1623" s="14">
        <v>123000</v>
      </c>
      <c r="I1623" s="14">
        <v>143000</v>
      </c>
      <c r="J1623" s="14">
        <v>2950</v>
      </c>
      <c r="K1623" s="14">
        <v>3290</v>
      </c>
      <c r="N1623" s="42">
        <f t="shared" si="66"/>
        <v>8500</v>
      </c>
      <c r="O1623" s="43">
        <f t="shared" si="67"/>
        <v>3.2380952380952378E-2</v>
      </c>
    </row>
    <row r="1624" spans="1:15" x14ac:dyDescent="0.45">
      <c r="A1624" s="12" t="s">
        <v>31580</v>
      </c>
      <c r="B1624" s="14">
        <v>259000</v>
      </c>
      <c r="C1624" s="14">
        <v>268500</v>
      </c>
      <c r="D1624" s="14">
        <v>186500</v>
      </c>
      <c r="E1624" s="14">
        <v>221512</v>
      </c>
      <c r="F1624" s="14">
        <v>143800</v>
      </c>
      <c r="G1624" s="14">
        <v>172779</v>
      </c>
      <c r="H1624" s="14">
        <v>126000</v>
      </c>
      <c r="I1624" s="14">
        <v>146000</v>
      </c>
      <c r="J1624" s="14">
        <v>3070</v>
      </c>
      <c r="K1624" s="14">
        <v>3420</v>
      </c>
      <c r="N1624" s="42">
        <f t="shared" si="66"/>
        <v>9500</v>
      </c>
      <c r="O1624" s="43">
        <f t="shared" si="67"/>
        <v>3.5381750465549346E-2</v>
      </c>
    </row>
    <row r="1625" spans="1:15" x14ac:dyDescent="0.45">
      <c r="A1625" s="12" t="s">
        <v>31581</v>
      </c>
      <c r="B1625" s="14">
        <v>259000</v>
      </c>
      <c r="C1625" s="14">
        <v>268000</v>
      </c>
      <c r="D1625" s="14">
        <v>186500</v>
      </c>
      <c r="E1625" s="14">
        <v>221100</v>
      </c>
      <c r="F1625" s="14">
        <v>143800</v>
      </c>
      <c r="G1625" s="14">
        <v>172458</v>
      </c>
      <c r="H1625" s="14">
        <v>126000</v>
      </c>
      <c r="I1625" s="14">
        <v>146000</v>
      </c>
      <c r="J1625" s="14">
        <v>3060</v>
      </c>
      <c r="K1625" s="14">
        <v>3410</v>
      </c>
      <c r="N1625" s="42">
        <f t="shared" si="66"/>
        <v>9000</v>
      </c>
      <c r="O1625" s="43">
        <f t="shared" si="67"/>
        <v>3.3582089552238806E-2</v>
      </c>
    </row>
    <row r="1626" spans="1:15" x14ac:dyDescent="0.45">
      <c r="A1626" s="12" t="s">
        <v>31582</v>
      </c>
      <c r="B1626" s="14">
        <v>258000</v>
      </c>
      <c r="C1626" s="14">
        <v>267500</v>
      </c>
      <c r="D1626" s="14">
        <v>185800</v>
      </c>
      <c r="E1626" s="14">
        <v>220687</v>
      </c>
      <c r="F1626" s="14">
        <v>143200</v>
      </c>
      <c r="G1626" s="14">
        <v>172136</v>
      </c>
      <c r="H1626" s="14">
        <v>124000</v>
      </c>
      <c r="I1626" s="14">
        <v>144000</v>
      </c>
      <c r="J1626" s="14">
        <v>3050</v>
      </c>
      <c r="K1626" s="14">
        <v>3400</v>
      </c>
      <c r="N1626" s="42">
        <f t="shared" si="66"/>
        <v>9500</v>
      </c>
      <c r="O1626" s="43">
        <f t="shared" si="67"/>
        <v>3.5514018691588788E-2</v>
      </c>
    </row>
    <row r="1627" spans="1:15" x14ac:dyDescent="0.45">
      <c r="A1627" s="12" t="s">
        <v>31583</v>
      </c>
      <c r="B1627" s="14">
        <v>258000</v>
      </c>
      <c r="C1627" s="14">
        <v>269000</v>
      </c>
      <c r="D1627" s="14">
        <v>185800</v>
      </c>
      <c r="E1627" s="14">
        <v>221925</v>
      </c>
      <c r="F1627" s="14">
        <v>143200</v>
      </c>
      <c r="G1627" s="14">
        <v>173101</v>
      </c>
      <c r="H1627" s="14">
        <v>122000</v>
      </c>
      <c r="I1627" s="14">
        <v>142000</v>
      </c>
      <c r="J1627" s="14">
        <v>3070</v>
      </c>
      <c r="K1627" s="14">
        <v>3420</v>
      </c>
      <c r="N1627" s="42">
        <f t="shared" si="66"/>
        <v>11000</v>
      </c>
      <c r="O1627" s="43">
        <f t="shared" si="67"/>
        <v>4.0892193308550186E-2</v>
      </c>
    </row>
    <row r="1628" spans="1:15" x14ac:dyDescent="0.45">
      <c r="A1628" s="12" t="s">
        <v>31584</v>
      </c>
      <c r="B1628" s="14">
        <v>258000</v>
      </c>
      <c r="C1628" s="14">
        <v>271000</v>
      </c>
      <c r="D1628" s="14">
        <v>185800</v>
      </c>
      <c r="E1628" s="14">
        <v>223575</v>
      </c>
      <c r="F1628" s="14">
        <v>143200</v>
      </c>
      <c r="G1628" s="14">
        <v>174388</v>
      </c>
      <c r="H1628" s="14">
        <v>121000</v>
      </c>
      <c r="I1628" s="14">
        <v>141000</v>
      </c>
      <c r="J1628" s="14">
        <v>3120</v>
      </c>
      <c r="K1628" s="14">
        <v>3470</v>
      </c>
      <c r="N1628" s="42">
        <f t="shared" si="66"/>
        <v>13000</v>
      </c>
      <c r="O1628" s="43">
        <f t="shared" si="67"/>
        <v>4.797047970479705E-2</v>
      </c>
    </row>
    <row r="1629" spans="1:15" x14ac:dyDescent="0.45">
      <c r="A1629" s="12" t="s">
        <v>31585</v>
      </c>
      <c r="B1629" s="14">
        <v>257500</v>
      </c>
      <c r="C1629" s="14">
        <v>272000</v>
      </c>
      <c r="D1629" s="14">
        <v>185400</v>
      </c>
      <c r="E1629" s="14">
        <v>224400</v>
      </c>
      <c r="F1629" s="14">
        <v>143000</v>
      </c>
      <c r="G1629" s="14">
        <v>175032</v>
      </c>
      <c r="H1629" s="14">
        <v>117000</v>
      </c>
      <c r="I1629" s="14">
        <v>137000</v>
      </c>
      <c r="J1629" s="14">
        <v>3150</v>
      </c>
      <c r="K1629" s="14">
        <v>3500</v>
      </c>
      <c r="N1629" s="42">
        <f t="shared" si="66"/>
        <v>14500</v>
      </c>
      <c r="O1629" s="43">
        <f t="shared" si="67"/>
        <v>5.3308823529411763E-2</v>
      </c>
    </row>
    <row r="1630" spans="1:15" x14ac:dyDescent="0.45">
      <c r="A1630" s="12" t="s">
        <v>31586</v>
      </c>
      <c r="B1630" s="14">
        <v>257500</v>
      </c>
      <c r="C1630" s="14">
        <v>271000</v>
      </c>
      <c r="D1630" s="14">
        <v>185400</v>
      </c>
      <c r="E1630" s="14">
        <v>223575</v>
      </c>
      <c r="F1630" s="14">
        <v>143000</v>
      </c>
      <c r="G1630" s="14">
        <v>174388</v>
      </c>
      <c r="H1630" s="14">
        <v>116000</v>
      </c>
      <c r="I1630" s="14">
        <v>136000</v>
      </c>
      <c r="J1630" s="14">
        <v>3110</v>
      </c>
      <c r="K1630" s="14">
        <v>3460</v>
      </c>
      <c r="N1630" s="42">
        <f t="shared" si="66"/>
        <v>13500</v>
      </c>
      <c r="O1630" s="43">
        <f t="shared" si="67"/>
        <v>4.9815498154981548E-2</v>
      </c>
    </row>
    <row r="1631" spans="1:15" x14ac:dyDescent="0.45">
      <c r="A1631" s="12" t="s">
        <v>31587</v>
      </c>
      <c r="B1631" s="14">
        <v>257500</v>
      </c>
      <c r="C1631" s="14">
        <v>270500</v>
      </c>
      <c r="D1631" s="14">
        <v>185400</v>
      </c>
      <c r="E1631" s="14">
        <v>223162</v>
      </c>
      <c r="F1631" s="14">
        <v>143000</v>
      </c>
      <c r="G1631" s="14">
        <v>174066</v>
      </c>
      <c r="H1631" s="14">
        <v>115000</v>
      </c>
      <c r="I1631" s="14">
        <v>135000</v>
      </c>
      <c r="J1631" s="14">
        <v>3070</v>
      </c>
      <c r="K1631" s="14">
        <v>3420</v>
      </c>
      <c r="N1631" s="42">
        <f t="shared" si="66"/>
        <v>13000</v>
      </c>
      <c r="O1631" s="43">
        <f t="shared" si="67"/>
        <v>4.8059149722735672E-2</v>
      </c>
    </row>
    <row r="1632" spans="1:15" x14ac:dyDescent="0.45">
      <c r="A1632" s="12" t="s">
        <v>31588</v>
      </c>
      <c r="B1632" s="14">
        <v>257000</v>
      </c>
      <c r="C1632" s="14">
        <v>270000</v>
      </c>
      <c r="D1632" s="14">
        <v>185100</v>
      </c>
      <c r="E1632" s="14">
        <v>222750</v>
      </c>
      <c r="F1632" s="14">
        <v>142700</v>
      </c>
      <c r="G1632" s="14">
        <v>173745</v>
      </c>
      <c r="H1632" s="14">
        <v>113000</v>
      </c>
      <c r="I1632" s="14">
        <v>133000</v>
      </c>
      <c r="J1632" s="14">
        <v>3070</v>
      </c>
      <c r="K1632" s="14">
        <v>3420</v>
      </c>
      <c r="N1632" s="42">
        <f t="shared" si="66"/>
        <v>13000</v>
      </c>
      <c r="O1632" s="43">
        <f t="shared" si="67"/>
        <v>4.8148148148148148E-2</v>
      </c>
    </row>
    <row r="1633" spans="1:15" x14ac:dyDescent="0.45">
      <c r="A1633" s="12" t="s">
        <v>31589</v>
      </c>
      <c r="B1633" s="14">
        <v>257000</v>
      </c>
      <c r="C1633" s="14">
        <v>272000</v>
      </c>
      <c r="D1633" s="14">
        <v>185100</v>
      </c>
      <c r="E1633" s="14">
        <v>224400</v>
      </c>
      <c r="F1633" s="14">
        <v>142700</v>
      </c>
      <c r="G1633" s="14">
        <v>175032</v>
      </c>
      <c r="H1633" s="14">
        <v>116000</v>
      </c>
      <c r="I1633" s="14">
        <v>136000</v>
      </c>
      <c r="J1633" s="14">
        <v>3070</v>
      </c>
      <c r="K1633" s="14">
        <v>3420</v>
      </c>
      <c r="N1633" s="42">
        <f t="shared" si="66"/>
        <v>15000</v>
      </c>
      <c r="O1633" s="43">
        <f t="shared" si="67"/>
        <v>5.514705882352941E-2</v>
      </c>
    </row>
    <row r="1634" spans="1:15" x14ac:dyDescent="0.45">
      <c r="A1634" s="12" t="s">
        <v>31590</v>
      </c>
      <c r="B1634" s="14">
        <v>262000</v>
      </c>
      <c r="C1634" s="14">
        <v>282500</v>
      </c>
      <c r="D1634" s="14">
        <v>188700</v>
      </c>
      <c r="E1634" s="14">
        <v>233062</v>
      </c>
      <c r="F1634" s="14">
        <v>145500</v>
      </c>
      <c r="G1634" s="14">
        <v>181788</v>
      </c>
      <c r="H1634" s="14">
        <v>119000</v>
      </c>
      <c r="I1634" s="14">
        <v>139000</v>
      </c>
      <c r="J1634" s="14">
        <v>3270</v>
      </c>
      <c r="K1634" s="14">
        <v>3630</v>
      </c>
      <c r="N1634" s="42">
        <f t="shared" si="66"/>
        <v>20500</v>
      </c>
      <c r="O1634" s="43">
        <f t="shared" si="67"/>
        <v>7.2566371681415928E-2</v>
      </c>
    </row>
    <row r="1635" spans="1:15" x14ac:dyDescent="0.45">
      <c r="A1635" s="12" t="s">
        <v>31591</v>
      </c>
      <c r="B1635" s="14">
        <v>262500</v>
      </c>
      <c r="C1635" s="14">
        <v>283500</v>
      </c>
      <c r="D1635" s="14">
        <v>189000</v>
      </c>
      <c r="E1635" s="14">
        <v>233887</v>
      </c>
      <c r="F1635" s="14">
        <v>145700</v>
      </c>
      <c r="G1635" s="14">
        <v>182432</v>
      </c>
      <c r="H1635" s="14">
        <v>118000</v>
      </c>
      <c r="I1635" s="14">
        <v>138000</v>
      </c>
      <c r="J1635" s="14">
        <v>3280</v>
      </c>
      <c r="K1635" s="14">
        <v>3640</v>
      </c>
      <c r="N1635" s="42">
        <f t="shared" si="66"/>
        <v>21000</v>
      </c>
      <c r="O1635" s="43">
        <f t="shared" si="67"/>
        <v>7.407407407407407E-2</v>
      </c>
    </row>
    <row r="1636" spans="1:15" x14ac:dyDescent="0.45">
      <c r="A1636" s="12" t="s">
        <v>31592</v>
      </c>
      <c r="B1636" s="14">
        <v>261000</v>
      </c>
      <c r="C1636" s="14">
        <v>279000</v>
      </c>
      <c r="D1636" s="14">
        <v>188000</v>
      </c>
      <c r="E1636" s="14">
        <v>230175</v>
      </c>
      <c r="F1636" s="14">
        <v>144900</v>
      </c>
      <c r="G1636" s="14">
        <v>179536</v>
      </c>
      <c r="H1636" s="14">
        <v>116000</v>
      </c>
      <c r="I1636" s="14">
        <v>136000</v>
      </c>
      <c r="J1636" s="14">
        <v>3080</v>
      </c>
      <c r="K1636" s="14">
        <v>3430</v>
      </c>
      <c r="N1636" s="42">
        <f t="shared" si="66"/>
        <v>18000</v>
      </c>
      <c r="O1636" s="43">
        <f t="shared" si="67"/>
        <v>6.4516129032258063E-2</v>
      </c>
    </row>
    <row r="1637" spans="1:15" x14ac:dyDescent="0.45">
      <c r="A1637" s="12" t="s">
        <v>31593</v>
      </c>
      <c r="B1637" s="14">
        <v>261000</v>
      </c>
      <c r="C1637" s="14">
        <v>279000</v>
      </c>
      <c r="D1637" s="14">
        <v>188000</v>
      </c>
      <c r="E1637" s="14">
        <v>230175</v>
      </c>
      <c r="F1637" s="14">
        <v>144900</v>
      </c>
      <c r="G1637" s="14">
        <v>179536</v>
      </c>
      <c r="H1637" s="14">
        <v>115000</v>
      </c>
      <c r="I1637" s="14">
        <v>135000</v>
      </c>
      <c r="J1637" s="14">
        <v>3120</v>
      </c>
      <c r="K1637" s="14">
        <v>3470</v>
      </c>
      <c r="N1637" s="42">
        <f t="shared" si="66"/>
        <v>18000</v>
      </c>
      <c r="O1637" s="43">
        <f t="shared" si="67"/>
        <v>6.4516129032258063E-2</v>
      </c>
    </row>
    <row r="1638" spans="1:15" x14ac:dyDescent="0.45">
      <c r="A1638" s="12" t="s">
        <v>31594</v>
      </c>
      <c r="B1638" s="14">
        <v>260000</v>
      </c>
      <c r="C1638" s="14">
        <v>277500</v>
      </c>
      <c r="D1638" s="14">
        <v>187200</v>
      </c>
      <c r="E1638" s="14">
        <v>228937</v>
      </c>
      <c r="F1638" s="14">
        <v>144300</v>
      </c>
      <c r="G1638" s="14">
        <v>178571</v>
      </c>
      <c r="H1638" s="14">
        <v>114000</v>
      </c>
      <c r="I1638" s="14">
        <v>134000</v>
      </c>
      <c r="J1638" s="14">
        <v>3090</v>
      </c>
      <c r="K1638" s="14">
        <v>3440</v>
      </c>
      <c r="N1638" s="42">
        <f t="shared" si="66"/>
        <v>17500</v>
      </c>
      <c r="O1638" s="43">
        <f t="shared" si="67"/>
        <v>6.3063063063063057E-2</v>
      </c>
    </row>
    <row r="1639" spans="1:15" x14ac:dyDescent="0.45">
      <c r="A1639" s="12" t="s">
        <v>31595</v>
      </c>
      <c r="B1639" s="14">
        <v>259000</v>
      </c>
      <c r="C1639" s="14">
        <v>276000</v>
      </c>
      <c r="D1639" s="14">
        <v>186500</v>
      </c>
      <c r="E1639" s="14">
        <v>227700</v>
      </c>
      <c r="F1639" s="14">
        <v>143800</v>
      </c>
      <c r="G1639" s="14">
        <v>177606</v>
      </c>
      <c r="H1639" s="14">
        <v>113000</v>
      </c>
      <c r="I1639" s="14">
        <v>133000</v>
      </c>
      <c r="J1639" s="14">
        <v>3070</v>
      </c>
      <c r="K1639" s="14">
        <v>3430</v>
      </c>
      <c r="N1639" s="42">
        <f t="shared" si="66"/>
        <v>17000</v>
      </c>
      <c r="O1639" s="43">
        <f t="shared" si="67"/>
        <v>6.1594202898550728E-2</v>
      </c>
    </row>
    <row r="1640" spans="1:15" x14ac:dyDescent="0.45">
      <c r="A1640" s="12" t="s">
        <v>31596</v>
      </c>
      <c r="B1640" s="14">
        <v>257000</v>
      </c>
      <c r="C1640" s="14">
        <v>277000</v>
      </c>
      <c r="D1640" s="14">
        <v>185100</v>
      </c>
      <c r="E1640" s="14">
        <v>228525</v>
      </c>
      <c r="F1640" s="14">
        <v>142700</v>
      </c>
      <c r="G1640" s="14">
        <v>178249</v>
      </c>
      <c r="H1640" s="14">
        <v>114000</v>
      </c>
      <c r="I1640" s="14">
        <v>134000</v>
      </c>
      <c r="J1640" s="14">
        <v>3040</v>
      </c>
      <c r="K1640" s="14">
        <v>3400</v>
      </c>
      <c r="N1640" s="42">
        <f t="shared" si="66"/>
        <v>20000</v>
      </c>
      <c r="O1640" s="43">
        <f t="shared" si="67"/>
        <v>7.2202166064981949E-2</v>
      </c>
    </row>
    <row r="1641" spans="1:15" x14ac:dyDescent="0.45">
      <c r="A1641" s="12" t="s">
        <v>31597</v>
      </c>
      <c r="B1641" s="14">
        <v>256500</v>
      </c>
      <c r="C1641" s="14">
        <v>275500</v>
      </c>
      <c r="D1641" s="14">
        <v>184700</v>
      </c>
      <c r="E1641" s="14">
        <v>227287</v>
      </c>
      <c r="F1641" s="14">
        <v>142400</v>
      </c>
      <c r="G1641" s="14">
        <v>177284</v>
      </c>
      <c r="H1641" s="14">
        <v>116000</v>
      </c>
      <c r="I1641" s="14">
        <v>136000</v>
      </c>
      <c r="J1641" s="14">
        <v>3000</v>
      </c>
      <c r="K1641" s="14">
        <v>3360</v>
      </c>
      <c r="N1641" s="42">
        <f t="shared" si="66"/>
        <v>19000</v>
      </c>
      <c r="O1641" s="43">
        <f t="shared" si="67"/>
        <v>6.8965517241379309E-2</v>
      </c>
    </row>
    <row r="1642" spans="1:15" x14ac:dyDescent="0.45">
      <c r="A1642" s="12" t="s">
        <v>31598</v>
      </c>
      <c r="B1642" s="14">
        <v>258500</v>
      </c>
      <c r="C1642" s="14">
        <v>278500</v>
      </c>
      <c r="D1642" s="14">
        <v>186200</v>
      </c>
      <c r="E1642" s="14">
        <v>229762</v>
      </c>
      <c r="F1642" s="14">
        <v>143500</v>
      </c>
      <c r="G1642" s="14">
        <v>179214</v>
      </c>
      <c r="H1642" s="14">
        <v>117000</v>
      </c>
      <c r="I1642" s="14">
        <v>137000</v>
      </c>
      <c r="J1642" s="14">
        <v>3100</v>
      </c>
      <c r="K1642" s="14">
        <v>3480</v>
      </c>
      <c r="N1642" s="42">
        <f t="shared" si="66"/>
        <v>20000</v>
      </c>
      <c r="O1642" s="43">
        <f t="shared" si="67"/>
        <v>7.1813285457809697E-2</v>
      </c>
    </row>
    <row r="1643" spans="1:15" x14ac:dyDescent="0.45">
      <c r="A1643" s="12" t="s">
        <v>31599</v>
      </c>
      <c r="B1643" s="14">
        <v>258500</v>
      </c>
      <c r="C1643" s="14">
        <v>278500</v>
      </c>
      <c r="D1643" s="14">
        <v>186200</v>
      </c>
      <c r="E1643" s="14">
        <v>229762</v>
      </c>
      <c r="F1643" s="14">
        <v>143500</v>
      </c>
      <c r="G1643" s="14">
        <v>179214</v>
      </c>
      <c r="H1643" s="14">
        <v>117000</v>
      </c>
      <c r="I1643" s="14">
        <v>137000</v>
      </c>
      <c r="J1643" s="14">
        <v>2980</v>
      </c>
      <c r="K1643" s="14">
        <v>3480</v>
      </c>
      <c r="N1643" s="42">
        <f t="shared" si="66"/>
        <v>20000</v>
      </c>
      <c r="O1643" s="43">
        <f t="shared" si="67"/>
        <v>7.1813285457809697E-2</v>
      </c>
    </row>
    <row r="1644" spans="1:15" x14ac:dyDescent="0.45">
      <c r="A1644" s="12" t="s">
        <v>31600</v>
      </c>
      <c r="B1644" s="14">
        <v>258000</v>
      </c>
      <c r="C1644" s="14">
        <v>278000</v>
      </c>
      <c r="D1644" s="14">
        <v>185800</v>
      </c>
      <c r="E1644" s="14">
        <v>229350</v>
      </c>
      <c r="F1644" s="14">
        <v>143200</v>
      </c>
      <c r="G1644" s="14">
        <v>179365</v>
      </c>
      <c r="H1644" s="14">
        <v>120000</v>
      </c>
      <c r="I1644" s="14">
        <v>140000</v>
      </c>
      <c r="J1644" s="14">
        <v>3000</v>
      </c>
      <c r="K1644" s="14">
        <v>3500</v>
      </c>
      <c r="N1644" s="42">
        <f t="shared" si="66"/>
        <v>20000</v>
      </c>
      <c r="O1644" s="43">
        <f t="shared" si="67"/>
        <v>7.1942446043165464E-2</v>
      </c>
    </row>
    <row r="1645" spans="1:15" x14ac:dyDescent="0.45">
      <c r="A1645" s="12" t="s">
        <v>31601</v>
      </c>
      <c r="B1645" s="14">
        <v>259000</v>
      </c>
      <c r="C1645" s="14">
        <v>279000</v>
      </c>
      <c r="D1645" s="14">
        <v>186500</v>
      </c>
      <c r="E1645" s="14">
        <v>230175</v>
      </c>
      <c r="F1645" s="14">
        <v>143800</v>
      </c>
      <c r="G1645" s="14">
        <v>180010</v>
      </c>
      <c r="H1645" s="14">
        <v>121000</v>
      </c>
      <c r="I1645" s="14">
        <v>141000</v>
      </c>
      <c r="J1645" s="14">
        <v>3020</v>
      </c>
      <c r="K1645" s="14">
        <v>3520</v>
      </c>
      <c r="N1645" s="42">
        <f t="shared" ref="N1645:N1708" si="68">C1645-B1645</f>
        <v>20000</v>
      </c>
      <c r="O1645" s="43">
        <f t="shared" ref="O1645:O1708" si="69">N1645/C1645</f>
        <v>7.1684587813620068E-2</v>
      </c>
    </row>
    <row r="1646" spans="1:15" x14ac:dyDescent="0.45">
      <c r="A1646" s="12" t="s">
        <v>31602</v>
      </c>
      <c r="B1646" s="14">
        <v>260000</v>
      </c>
      <c r="C1646" s="14">
        <v>280000</v>
      </c>
      <c r="D1646" s="14">
        <v>187200</v>
      </c>
      <c r="E1646" s="14">
        <v>231000</v>
      </c>
      <c r="F1646" s="14">
        <v>144400</v>
      </c>
      <c r="G1646" s="14">
        <v>180656</v>
      </c>
      <c r="H1646" s="14">
        <v>118000</v>
      </c>
      <c r="I1646" s="14">
        <v>138000</v>
      </c>
      <c r="J1646" s="14">
        <v>3040</v>
      </c>
      <c r="K1646" s="14">
        <v>3540</v>
      </c>
      <c r="N1646" s="42">
        <f t="shared" si="68"/>
        <v>20000</v>
      </c>
      <c r="O1646" s="43">
        <f t="shared" si="69"/>
        <v>7.1428571428571425E-2</v>
      </c>
    </row>
    <row r="1647" spans="1:15" x14ac:dyDescent="0.45">
      <c r="A1647" s="12" t="s">
        <v>31603</v>
      </c>
      <c r="B1647" s="14">
        <v>260000</v>
      </c>
      <c r="C1647" s="14">
        <v>281500</v>
      </c>
      <c r="D1647" s="14">
        <v>187200</v>
      </c>
      <c r="E1647" s="14">
        <v>232237</v>
      </c>
      <c r="F1647" s="14">
        <v>144400</v>
      </c>
      <c r="G1647" s="14">
        <v>181623</v>
      </c>
      <c r="H1647" s="14">
        <v>119000</v>
      </c>
      <c r="I1647" s="14">
        <v>139000</v>
      </c>
      <c r="J1647" s="14">
        <v>3080</v>
      </c>
      <c r="K1647" s="14">
        <v>3580</v>
      </c>
      <c r="N1647" s="42">
        <f t="shared" si="68"/>
        <v>21500</v>
      </c>
      <c r="O1647" s="43">
        <f t="shared" si="69"/>
        <v>7.6376554174067496E-2</v>
      </c>
    </row>
    <row r="1648" spans="1:15" x14ac:dyDescent="0.45">
      <c r="A1648" s="12" t="s">
        <v>31604</v>
      </c>
      <c r="B1648" s="14">
        <v>260000</v>
      </c>
      <c r="C1648" s="14">
        <v>281000</v>
      </c>
      <c r="D1648" s="14">
        <v>187200</v>
      </c>
      <c r="E1648" s="14">
        <v>231825</v>
      </c>
      <c r="F1648" s="14">
        <v>144400</v>
      </c>
      <c r="G1648" s="14">
        <v>181301</v>
      </c>
      <c r="H1648" s="14">
        <v>117000</v>
      </c>
      <c r="I1648" s="14">
        <v>137000</v>
      </c>
      <c r="J1648" s="14">
        <v>3070</v>
      </c>
      <c r="K1648" s="14">
        <v>3570</v>
      </c>
      <c r="N1648" s="42">
        <f t="shared" si="68"/>
        <v>21000</v>
      </c>
      <c r="O1648" s="43">
        <f t="shared" si="69"/>
        <v>7.4733096085409248E-2</v>
      </c>
    </row>
    <row r="1649" spans="1:15" x14ac:dyDescent="0.45">
      <c r="A1649" s="12" t="s">
        <v>31605</v>
      </c>
      <c r="B1649" s="14">
        <v>260000</v>
      </c>
      <c r="C1649" s="14">
        <v>280500</v>
      </c>
      <c r="D1649" s="14">
        <v>187200</v>
      </c>
      <c r="E1649" s="14">
        <v>231412</v>
      </c>
      <c r="F1649" s="14">
        <v>144400</v>
      </c>
      <c r="G1649" s="14">
        <v>180978</v>
      </c>
      <c r="H1649" s="14">
        <v>115000</v>
      </c>
      <c r="I1649" s="14">
        <v>135000</v>
      </c>
      <c r="J1649" s="14">
        <v>3020</v>
      </c>
      <c r="K1649" s="14">
        <v>3520</v>
      </c>
      <c r="N1649" s="42">
        <f t="shared" si="68"/>
        <v>20500</v>
      </c>
      <c r="O1649" s="43">
        <f t="shared" si="69"/>
        <v>7.3083778966131913E-2</v>
      </c>
    </row>
    <row r="1650" spans="1:15" x14ac:dyDescent="0.45">
      <c r="A1650" s="12" t="s">
        <v>31606</v>
      </c>
      <c r="B1650" s="14">
        <v>260000</v>
      </c>
      <c r="C1650" s="14">
        <v>281000</v>
      </c>
      <c r="D1650" s="14">
        <v>187200</v>
      </c>
      <c r="E1650" s="14">
        <v>231825</v>
      </c>
      <c r="F1650" s="14">
        <v>144400</v>
      </c>
      <c r="G1650" s="14">
        <v>181301</v>
      </c>
      <c r="H1650" s="14">
        <v>117000</v>
      </c>
      <c r="I1650" s="14">
        <v>137000</v>
      </c>
      <c r="J1650" s="14">
        <v>3000</v>
      </c>
      <c r="K1650" s="14">
        <v>3580</v>
      </c>
      <c r="N1650" s="42">
        <f t="shared" si="68"/>
        <v>21000</v>
      </c>
      <c r="O1650" s="43">
        <f t="shared" si="69"/>
        <v>7.4733096085409248E-2</v>
      </c>
    </row>
    <row r="1651" spans="1:15" x14ac:dyDescent="0.45">
      <c r="A1651" s="12" t="s">
        <v>31607</v>
      </c>
      <c r="B1651" s="14">
        <v>259000</v>
      </c>
      <c r="C1651" s="14">
        <v>282000</v>
      </c>
      <c r="D1651" s="14">
        <v>186500</v>
      </c>
      <c r="E1651" s="14">
        <v>232650</v>
      </c>
      <c r="F1651" s="14">
        <v>143800</v>
      </c>
      <c r="G1651" s="14">
        <v>181946</v>
      </c>
      <c r="H1651" s="14">
        <v>117000</v>
      </c>
      <c r="I1651" s="14">
        <v>137000</v>
      </c>
      <c r="J1651" s="14">
        <v>3010</v>
      </c>
      <c r="K1651" s="14">
        <v>3590</v>
      </c>
      <c r="N1651" s="42">
        <f t="shared" si="68"/>
        <v>23000</v>
      </c>
      <c r="O1651" s="43">
        <f t="shared" si="69"/>
        <v>8.1560283687943269E-2</v>
      </c>
    </row>
    <row r="1652" spans="1:15" x14ac:dyDescent="0.45">
      <c r="A1652" s="12" t="s">
        <v>31608</v>
      </c>
      <c r="B1652" s="14">
        <v>258000</v>
      </c>
      <c r="C1652" s="14">
        <v>281000</v>
      </c>
      <c r="D1652" s="14">
        <v>185800</v>
      </c>
      <c r="E1652" s="14">
        <v>231825</v>
      </c>
      <c r="F1652" s="14">
        <v>143200</v>
      </c>
      <c r="G1652" s="14">
        <v>181301</v>
      </c>
      <c r="H1652" s="14">
        <v>115000</v>
      </c>
      <c r="I1652" s="14">
        <v>135000</v>
      </c>
      <c r="J1652" s="14">
        <v>3000</v>
      </c>
      <c r="K1652" s="14">
        <v>3580</v>
      </c>
      <c r="N1652" s="42">
        <f t="shared" si="68"/>
        <v>23000</v>
      </c>
      <c r="O1652" s="43">
        <f t="shared" si="69"/>
        <v>8.1850533807829182E-2</v>
      </c>
    </row>
    <row r="1653" spans="1:15" x14ac:dyDescent="0.45">
      <c r="A1653" s="12" t="s">
        <v>31609</v>
      </c>
      <c r="B1653" s="14">
        <v>261000</v>
      </c>
      <c r="C1653" s="14">
        <v>284500</v>
      </c>
      <c r="D1653" s="14">
        <v>188000</v>
      </c>
      <c r="E1653" s="14">
        <v>234712</v>
      </c>
      <c r="F1653" s="14">
        <v>144900</v>
      </c>
      <c r="G1653" s="14">
        <v>183559</v>
      </c>
      <c r="H1653" s="14">
        <v>119000</v>
      </c>
      <c r="I1653" s="14">
        <v>139000</v>
      </c>
      <c r="J1653" s="14">
        <v>3120</v>
      </c>
      <c r="K1653" s="14">
        <v>3700</v>
      </c>
      <c r="N1653" s="42">
        <f t="shared" si="68"/>
        <v>23500</v>
      </c>
      <c r="O1653" s="43">
        <f t="shared" si="69"/>
        <v>8.2601054481546574E-2</v>
      </c>
    </row>
    <row r="1654" spans="1:15" x14ac:dyDescent="0.45">
      <c r="A1654" s="12" t="s">
        <v>31610</v>
      </c>
      <c r="B1654" s="14">
        <v>262000</v>
      </c>
      <c r="C1654" s="14">
        <v>285500</v>
      </c>
      <c r="D1654" s="14">
        <v>188700</v>
      </c>
      <c r="E1654" s="14">
        <v>235537</v>
      </c>
      <c r="F1654" s="14">
        <v>145500</v>
      </c>
      <c r="G1654" s="14">
        <v>184204</v>
      </c>
      <c r="H1654" s="14">
        <v>120000</v>
      </c>
      <c r="I1654" s="14">
        <v>140000</v>
      </c>
      <c r="J1654" s="14">
        <v>3140</v>
      </c>
      <c r="K1654" s="14">
        <v>3720</v>
      </c>
      <c r="N1654" s="42">
        <f t="shared" si="68"/>
        <v>23500</v>
      </c>
      <c r="O1654" s="43">
        <f t="shared" si="69"/>
        <v>8.2311733800350256E-2</v>
      </c>
    </row>
    <row r="1655" spans="1:15" x14ac:dyDescent="0.45">
      <c r="A1655" s="12" t="s">
        <v>31611</v>
      </c>
      <c r="B1655" s="14">
        <v>261000</v>
      </c>
      <c r="C1655" s="14">
        <v>285500</v>
      </c>
      <c r="D1655" s="14">
        <v>188000</v>
      </c>
      <c r="E1655" s="14">
        <v>235537</v>
      </c>
      <c r="F1655" s="14">
        <v>144900</v>
      </c>
      <c r="G1655" s="14">
        <v>184204</v>
      </c>
      <c r="H1655" s="14">
        <v>121000</v>
      </c>
      <c r="I1655" s="14">
        <v>141000</v>
      </c>
      <c r="J1655" s="14">
        <v>3140</v>
      </c>
      <c r="K1655" s="14">
        <v>3720</v>
      </c>
      <c r="N1655" s="42">
        <f t="shared" si="68"/>
        <v>24500</v>
      </c>
      <c r="O1655" s="43">
        <f t="shared" si="69"/>
        <v>8.5814360770577927E-2</v>
      </c>
    </row>
    <row r="1656" spans="1:15" x14ac:dyDescent="0.45">
      <c r="A1656" s="12" t="s">
        <v>31612</v>
      </c>
      <c r="B1656" s="14">
        <v>260000</v>
      </c>
      <c r="C1656" s="14">
        <v>283500</v>
      </c>
      <c r="D1656" s="14">
        <v>187200</v>
      </c>
      <c r="E1656" s="14">
        <v>233887</v>
      </c>
      <c r="F1656" s="14">
        <v>144400</v>
      </c>
      <c r="G1656" s="14">
        <v>182914</v>
      </c>
      <c r="H1656" s="14">
        <v>119000</v>
      </c>
      <c r="I1656" s="14">
        <v>139000</v>
      </c>
      <c r="J1656" s="14">
        <v>3010</v>
      </c>
      <c r="K1656" s="14">
        <v>3590</v>
      </c>
      <c r="N1656" s="42">
        <f t="shared" si="68"/>
        <v>23500</v>
      </c>
      <c r="O1656" s="43">
        <f t="shared" si="69"/>
        <v>8.2892416225749554E-2</v>
      </c>
    </row>
    <row r="1657" spans="1:15" x14ac:dyDescent="0.45">
      <c r="A1657" s="12" t="s">
        <v>31613</v>
      </c>
      <c r="B1657" s="14">
        <v>259000</v>
      </c>
      <c r="C1657" s="14">
        <v>282000</v>
      </c>
      <c r="D1657" s="14">
        <v>186500</v>
      </c>
      <c r="E1657" s="14">
        <v>232650</v>
      </c>
      <c r="F1657" s="14">
        <v>143800</v>
      </c>
      <c r="G1657" s="14">
        <v>181946</v>
      </c>
      <c r="H1657" s="14">
        <v>118000</v>
      </c>
      <c r="I1657" s="14">
        <v>138000</v>
      </c>
      <c r="J1657" s="14">
        <v>2980</v>
      </c>
      <c r="K1657" s="14">
        <v>3560</v>
      </c>
      <c r="N1657" s="42">
        <f t="shared" si="68"/>
        <v>23000</v>
      </c>
      <c r="O1657" s="43">
        <f t="shared" si="69"/>
        <v>8.1560283687943269E-2</v>
      </c>
    </row>
    <row r="1658" spans="1:15" x14ac:dyDescent="0.45">
      <c r="A1658" s="12" t="s">
        <v>31614</v>
      </c>
      <c r="B1658" s="14">
        <v>261500</v>
      </c>
      <c r="C1658" s="14">
        <v>286500</v>
      </c>
      <c r="D1658" s="14">
        <v>188300</v>
      </c>
      <c r="E1658" s="14">
        <v>236362</v>
      </c>
      <c r="F1658" s="14">
        <v>145200</v>
      </c>
      <c r="G1658" s="14">
        <v>184849</v>
      </c>
      <c r="H1658" s="14">
        <v>124000</v>
      </c>
      <c r="I1658" s="14">
        <v>144000</v>
      </c>
      <c r="J1658" s="14">
        <v>3060</v>
      </c>
      <c r="K1658" s="14">
        <v>3640</v>
      </c>
      <c r="N1658" s="42">
        <f t="shared" si="68"/>
        <v>25000</v>
      </c>
      <c r="O1658" s="43">
        <f t="shared" si="69"/>
        <v>8.7260034904013961E-2</v>
      </c>
    </row>
    <row r="1659" spans="1:15" x14ac:dyDescent="0.45">
      <c r="A1659" s="12" t="s">
        <v>31615</v>
      </c>
      <c r="B1659" s="14">
        <v>260000</v>
      </c>
      <c r="C1659" s="14">
        <v>285000</v>
      </c>
      <c r="D1659" s="14">
        <v>187200</v>
      </c>
      <c r="E1659" s="14">
        <v>235125</v>
      </c>
      <c r="F1659" s="14">
        <v>144400</v>
      </c>
      <c r="G1659" s="14">
        <v>183882</v>
      </c>
      <c r="H1659" s="14">
        <v>120000</v>
      </c>
      <c r="I1659" s="14">
        <v>140000</v>
      </c>
      <c r="J1659" s="14">
        <v>3000</v>
      </c>
      <c r="K1659" s="14">
        <v>3580</v>
      </c>
      <c r="N1659" s="42">
        <f t="shared" si="68"/>
        <v>25000</v>
      </c>
      <c r="O1659" s="43">
        <f t="shared" si="69"/>
        <v>8.771929824561403E-2</v>
      </c>
    </row>
    <row r="1660" spans="1:15" x14ac:dyDescent="0.45">
      <c r="A1660" s="12" t="s">
        <v>31616</v>
      </c>
      <c r="B1660" s="14">
        <v>259000</v>
      </c>
      <c r="C1660" s="14">
        <v>287000</v>
      </c>
      <c r="D1660" s="14">
        <v>186500</v>
      </c>
      <c r="E1660" s="14">
        <v>236775</v>
      </c>
      <c r="F1660" s="14">
        <v>143800</v>
      </c>
      <c r="G1660" s="14">
        <v>185172</v>
      </c>
      <c r="H1660" s="14">
        <v>123000</v>
      </c>
      <c r="I1660" s="14">
        <v>143000</v>
      </c>
      <c r="J1660" s="14">
        <v>3000</v>
      </c>
      <c r="K1660" s="14">
        <v>3580</v>
      </c>
      <c r="N1660" s="42">
        <f t="shared" si="68"/>
        <v>28000</v>
      </c>
      <c r="O1660" s="43">
        <f t="shared" si="69"/>
        <v>9.7560975609756101E-2</v>
      </c>
    </row>
    <row r="1661" spans="1:15" x14ac:dyDescent="0.45">
      <c r="A1661" s="12" t="s">
        <v>31617</v>
      </c>
      <c r="B1661" s="14">
        <v>259000</v>
      </c>
      <c r="C1661" s="14">
        <v>287000</v>
      </c>
      <c r="D1661" s="14">
        <v>186500</v>
      </c>
      <c r="E1661" s="14">
        <v>236775</v>
      </c>
      <c r="F1661" s="14">
        <v>143800</v>
      </c>
      <c r="G1661" s="14">
        <v>185172</v>
      </c>
      <c r="H1661" s="14">
        <v>124000</v>
      </c>
      <c r="I1661" s="14">
        <v>144000</v>
      </c>
      <c r="J1661" s="14">
        <v>2990</v>
      </c>
      <c r="K1661" s="14">
        <v>3570</v>
      </c>
      <c r="N1661" s="42">
        <f t="shared" si="68"/>
        <v>28000</v>
      </c>
      <c r="O1661" s="43">
        <f t="shared" si="69"/>
        <v>9.7560975609756101E-2</v>
      </c>
    </row>
    <row r="1662" spans="1:15" x14ac:dyDescent="0.45">
      <c r="A1662" s="12" t="s">
        <v>31618</v>
      </c>
      <c r="B1662" s="14">
        <v>259000</v>
      </c>
      <c r="C1662" s="14">
        <v>285000</v>
      </c>
      <c r="D1662" s="14">
        <v>186500</v>
      </c>
      <c r="E1662" s="14">
        <v>235125</v>
      </c>
      <c r="F1662" s="14">
        <v>143800</v>
      </c>
      <c r="G1662" s="14">
        <v>183882</v>
      </c>
      <c r="H1662" s="14">
        <v>124000</v>
      </c>
      <c r="I1662" s="14">
        <v>144000</v>
      </c>
      <c r="J1662" s="14">
        <v>2940</v>
      </c>
      <c r="K1662" s="14">
        <v>3520</v>
      </c>
      <c r="N1662" s="42">
        <f t="shared" si="68"/>
        <v>26000</v>
      </c>
      <c r="O1662" s="43">
        <f t="shared" si="69"/>
        <v>9.1228070175438603E-2</v>
      </c>
    </row>
    <row r="1663" spans="1:15" x14ac:dyDescent="0.45">
      <c r="A1663" s="12" t="s">
        <v>31619</v>
      </c>
      <c r="B1663" s="14">
        <v>261000</v>
      </c>
      <c r="C1663" s="14">
        <v>287000</v>
      </c>
      <c r="D1663" s="14">
        <v>188000</v>
      </c>
      <c r="E1663" s="14">
        <v>236775</v>
      </c>
      <c r="F1663" s="14">
        <v>144900</v>
      </c>
      <c r="G1663" s="14">
        <v>185172</v>
      </c>
      <c r="H1663" s="14">
        <v>123000</v>
      </c>
      <c r="I1663" s="14">
        <v>143000</v>
      </c>
      <c r="J1663" s="14">
        <v>3080</v>
      </c>
      <c r="K1663" s="14">
        <v>3660</v>
      </c>
      <c r="N1663" s="42">
        <f t="shared" si="68"/>
        <v>26000</v>
      </c>
      <c r="O1663" s="43">
        <f t="shared" si="69"/>
        <v>9.0592334494773524E-2</v>
      </c>
    </row>
    <row r="1664" spans="1:15" x14ac:dyDescent="0.45">
      <c r="A1664" s="12" t="s">
        <v>31620</v>
      </c>
      <c r="B1664" s="14">
        <v>260000</v>
      </c>
      <c r="C1664" s="14">
        <v>285000</v>
      </c>
      <c r="D1664" s="14">
        <v>187200</v>
      </c>
      <c r="E1664" s="14">
        <v>235125</v>
      </c>
      <c r="F1664" s="14">
        <v>144400</v>
      </c>
      <c r="G1664" s="14">
        <v>183882</v>
      </c>
      <c r="H1664" s="14">
        <v>122000</v>
      </c>
      <c r="I1664" s="14">
        <v>142000</v>
      </c>
      <c r="J1664" s="14">
        <v>3020</v>
      </c>
      <c r="K1664" s="14">
        <v>3600</v>
      </c>
      <c r="N1664" s="42">
        <f t="shared" si="68"/>
        <v>25000</v>
      </c>
      <c r="O1664" s="43">
        <f t="shared" si="69"/>
        <v>8.771929824561403E-2</v>
      </c>
    </row>
    <row r="1665" spans="1:15" x14ac:dyDescent="0.45">
      <c r="A1665" s="12" t="s">
        <v>31621</v>
      </c>
      <c r="B1665" s="14">
        <v>258500</v>
      </c>
      <c r="C1665" s="14">
        <v>283000</v>
      </c>
      <c r="D1665" s="14">
        <v>186200</v>
      </c>
      <c r="E1665" s="14">
        <v>233475</v>
      </c>
      <c r="F1665" s="14">
        <v>143500</v>
      </c>
      <c r="G1665" s="14">
        <v>182591</v>
      </c>
      <c r="H1665" s="14">
        <v>118000</v>
      </c>
      <c r="I1665" s="14">
        <v>138000</v>
      </c>
      <c r="J1665" s="14">
        <v>2900</v>
      </c>
      <c r="K1665" s="14">
        <v>3480</v>
      </c>
      <c r="N1665" s="42">
        <f t="shared" si="68"/>
        <v>24500</v>
      </c>
      <c r="O1665" s="43">
        <f t="shared" si="69"/>
        <v>8.6572438162544174E-2</v>
      </c>
    </row>
    <row r="1666" spans="1:15" x14ac:dyDescent="0.45">
      <c r="A1666" s="12" t="s">
        <v>31622</v>
      </c>
      <c r="B1666" s="14">
        <v>257500</v>
      </c>
      <c r="C1666" s="14">
        <v>283000</v>
      </c>
      <c r="D1666" s="14">
        <v>185400</v>
      </c>
      <c r="E1666" s="14">
        <v>233475</v>
      </c>
      <c r="F1666" s="14">
        <v>143000</v>
      </c>
      <c r="G1666" s="14">
        <v>182591</v>
      </c>
      <c r="H1666" s="14">
        <v>118000</v>
      </c>
      <c r="I1666" s="14">
        <v>138000</v>
      </c>
      <c r="J1666" s="14">
        <v>2900</v>
      </c>
      <c r="K1666" s="14">
        <v>3480</v>
      </c>
      <c r="N1666" s="42">
        <f t="shared" si="68"/>
        <v>25500</v>
      </c>
      <c r="O1666" s="43">
        <f t="shared" si="69"/>
        <v>9.0106007067137811E-2</v>
      </c>
    </row>
    <row r="1667" spans="1:15" x14ac:dyDescent="0.45">
      <c r="A1667" s="12" t="s">
        <v>31623</v>
      </c>
      <c r="B1667" s="14">
        <v>255000</v>
      </c>
      <c r="C1667" s="14">
        <v>282000</v>
      </c>
      <c r="D1667" s="14">
        <v>183600</v>
      </c>
      <c r="E1667" s="14">
        <v>232650</v>
      </c>
      <c r="F1667" s="14">
        <v>141600</v>
      </c>
      <c r="G1667" s="14">
        <v>181946</v>
      </c>
      <c r="H1667" s="14">
        <v>118000</v>
      </c>
      <c r="I1667" s="14">
        <v>138000</v>
      </c>
      <c r="J1667" s="14">
        <v>2810</v>
      </c>
      <c r="K1667" s="14">
        <v>3390</v>
      </c>
      <c r="N1667" s="42">
        <f t="shared" si="68"/>
        <v>27000</v>
      </c>
      <c r="O1667" s="43">
        <f t="shared" si="69"/>
        <v>9.5744680851063829E-2</v>
      </c>
    </row>
    <row r="1668" spans="1:15" x14ac:dyDescent="0.45">
      <c r="A1668" s="12" t="s">
        <v>31624</v>
      </c>
      <c r="B1668" s="14">
        <v>262500</v>
      </c>
      <c r="C1668" s="14">
        <v>288000</v>
      </c>
      <c r="D1668" s="14">
        <v>189000</v>
      </c>
      <c r="E1668" s="14">
        <v>237600</v>
      </c>
      <c r="F1668" s="14">
        <v>145700</v>
      </c>
      <c r="G1668" s="14">
        <v>185817</v>
      </c>
      <c r="H1668" s="14">
        <v>121000</v>
      </c>
      <c r="I1668" s="14">
        <v>141000</v>
      </c>
      <c r="J1668" s="14">
        <v>3100</v>
      </c>
      <c r="K1668" s="14">
        <v>3680</v>
      </c>
      <c r="N1668" s="42">
        <f t="shared" si="68"/>
        <v>25500</v>
      </c>
      <c r="O1668" s="43">
        <f t="shared" si="69"/>
        <v>8.8541666666666671E-2</v>
      </c>
    </row>
    <row r="1669" spans="1:15" x14ac:dyDescent="0.45">
      <c r="A1669" s="12" t="s">
        <v>31625</v>
      </c>
      <c r="B1669" s="14">
        <v>265500</v>
      </c>
      <c r="C1669" s="14">
        <v>292000</v>
      </c>
      <c r="D1669" s="14">
        <v>191200</v>
      </c>
      <c r="E1669" s="14">
        <v>240900</v>
      </c>
      <c r="F1669" s="14">
        <v>147400</v>
      </c>
      <c r="G1669" s="14">
        <v>188398</v>
      </c>
      <c r="H1669" s="14">
        <v>130000</v>
      </c>
      <c r="I1669" s="14">
        <v>150000</v>
      </c>
      <c r="J1669" s="14">
        <v>3430</v>
      </c>
      <c r="K1669" s="14">
        <v>4010</v>
      </c>
      <c r="N1669" s="42">
        <f t="shared" si="68"/>
        <v>26500</v>
      </c>
      <c r="O1669" s="43">
        <f t="shared" si="69"/>
        <v>9.0753424657534248E-2</v>
      </c>
    </row>
    <row r="1670" spans="1:15" x14ac:dyDescent="0.45">
      <c r="A1670" s="12" t="s">
        <v>31626</v>
      </c>
      <c r="B1670" s="14">
        <v>266500</v>
      </c>
      <c r="C1670" s="14">
        <v>294000</v>
      </c>
      <c r="D1670" s="14">
        <v>191900</v>
      </c>
      <c r="E1670" s="14">
        <v>242550</v>
      </c>
      <c r="F1670" s="14">
        <v>148000</v>
      </c>
      <c r="G1670" s="14">
        <v>189688</v>
      </c>
      <c r="H1670" s="14">
        <v>130000</v>
      </c>
      <c r="I1670" s="14">
        <v>150000</v>
      </c>
      <c r="J1670" s="14">
        <v>3460</v>
      </c>
      <c r="K1670" s="14">
        <v>4040</v>
      </c>
      <c r="N1670" s="42">
        <f t="shared" si="68"/>
        <v>27500</v>
      </c>
      <c r="O1670" s="43">
        <f t="shared" si="69"/>
        <v>9.3537414965986401E-2</v>
      </c>
    </row>
    <row r="1671" spans="1:15" x14ac:dyDescent="0.45">
      <c r="A1671" s="12" t="s">
        <v>31627</v>
      </c>
      <c r="B1671" s="14">
        <v>266500</v>
      </c>
      <c r="C1671" s="14">
        <v>294500</v>
      </c>
      <c r="D1671" s="14">
        <v>191900</v>
      </c>
      <c r="E1671" s="14">
        <v>242962</v>
      </c>
      <c r="F1671" s="14">
        <v>148000</v>
      </c>
      <c r="G1671" s="14">
        <v>190011</v>
      </c>
      <c r="H1671" s="14">
        <v>131000</v>
      </c>
      <c r="I1671" s="14">
        <v>151000</v>
      </c>
      <c r="J1671" s="14">
        <v>3510</v>
      </c>
      <c r="K1671" s="14">
        <v>4090</v>
      </c>
      <c r="N1671" s="42">
        <f t="shared" si="68"/>
        <v>28000</v>
      </c>
      <c r="O1671" s="43">
        <f t="shared" si="69"/>
        <v>9.5076400679117143E-2</v>
      </c>
    </row>
    <row r="1672" spans="1:15" x14ac:dyDescent="0.45">
      <c r="A1672" s="12" t="s">
        <v>31628</v>
      </c>
      <c r="B1672" s="14">
        <v>267500</v>
      </c>
      <c r="C1672" s="14">
        <v>297000</v>
      </c>
      <c r="D1672" s="14">
        <v>192600</v>
      </c>
      <c r="E1672" s="14">
        <v>245025</v>
      </c>
      <c r="F1672" s="14">
        <v>148500</v>
      </c>
      <c r="G1672" s="14">
        <v>191624</v>
      </c>
      <c r="H1672" s="14">
        <v>135000</v>
      </c>
      <c r="I1672" s="14">
        <v>155000</v>
      </c>
      <c r="J1672" s="14">
        <v>3540</v>
      </c>
      <c r="K1672" s="14">
        <v>4120</v>
      </c>
      <c r="N1672" s="42">
        <f t="shared" si="68"/>
        <v>29500</v>
      </c>
      <c r="O1672" s="43">
        <f t="shared" si="69"/>
        <v>9.9326599326599332E-2</v>
      </c>
    </row>
    <row r="1673" spans="1:15" x14ac:dyDescent="0.45">
      <c r="A1673" s="12" t="s">
        <v>31629</v>
      </c>
      <c r="B1673" s="14">
        <v>269000</v>
      </c>
      <c r="C1673" s="14">
        <v>298000</v>
      </c>
      <c r="D1673" s="14">
        <v>193700</v>
      </c>
      <c r="E1673" s="14">
        <v>245850</v>
      </c>
      <c r="F1673" s="14">
        <v>149300</v>
      </c>
      <c r="G1673" s="14">
        <v>192269</v>
      </c>
      <c r="H1673" s="14">
        <v>137000</v>
      </c>
      <c r="I1673" s="14">
        <v>157000</v>
      </c>
      <c r="J1673" s="14">
        <v>3560</v>
      </c>
      <c r="K1673" s="14">
        <v>4140</v>
      </c>
      <c r="N1673" s="42">
        <f t="shared" si="68"/>
        <v>29000</v>
      </c>
      <c r="O1673" s="43">
        <f t="shared" si="69"/>
        <v>9.7315436241610737E-2</v>
      </c>
    </row>
    <row r="1674" spans="1:15" x14ac:dyDescent="0.45">
      <c r="A1674" s="12" t="s">
        <v>31630</v>
      </c>
      <c r="B1674" s="14">
        <v>269000</v>
      </c>
      <c r="C1674" s="14">
        <v>299000</v>
      </c>
      <c r="D1674" s="14">
        <v>193700</v>
      </c>
      <c r="E1674" s="14">
        <v>246675</v>
      </c>
      <c r="F1674" s="14">
        <v>149300</v>
      </c>
      <c r="G1674" s="14">
        <v>192914</v>
      </c>
      <c r="H1674" s="14">
        <v>136000</v>
      </c>
      <c r="I1674" s="14">
        <v>156000</v>
      </c>
      <c r="J1674" s="14">
        <v>3570</v>
      </c>
      <c r="K1674" s="14">
        <v>4150</v>
      </c>
      <c r="N1674" s="42">
        <f t="shared" si="68"/>
        <v>30000</v>
      </c>
      <c r="O1674" s="43">
        <f t="shared" si="69"/>
        <v>0.10033444816053512</v>
      </c>
    </row>
    <row r="1675" spans="1:15" x14ac:dyDescent="0.45">
      <c r="A1675" s="12" t="s">
        <v>31631</v>
      </c>
      <c r="B1675" s="14">
        <v>268500</v>
      </c>
      <c r="C1675" s="14">
        <v>297500</v>
      </c>
      <c r="D1675" s="14">
        <v>193400</v>
      </c>
      <c r="E1675" s="14">
        <v>245437</v>
      </c>
      <c r="F1675" s="14">
        <v>149100</v>
      </c>
      <c r="G1675" s="14">
        <v>191947</v>
      </c>
      <c r="H1675" s="14">
        <v>133000</v>
      </c>
      <c r="I1675" s="14">
        <v>153000</v>
      </c>
      <c r="J1675" s="14">
        <v>3510</v>
      </c>
      <c r="K1675" s="14">
        <v>4090</v>
      </c>
      <c r="N1675" s="42">
        <f t="shared" si="68"/>
        <v>29000</v>
      </c>
      <c r="O1675" s="43">
        <f t="shared" si="69"/>
        <v>9.7478991596638656E-2</v>
      </c>
    </row>
    <row r="1676" spans="1:15" x14ac:dyDescent="0.45">
      <c r="A1676" s="12" t="s">
        <v>31632</v>
      </c>
      <c r="B1676" s="14">
        <v>268500</v>
      </c>
      <c r="C1676" s="14">
        <v>299000</v>
      </c>
      <c r="D1676" s="14">
        <v>193400</v>
      </c>
      <c r="E1676" s="14">
        <v>246675</v>
      </c>
      <c r="F1676" s="14">
        <v>149100</v>
      </c>
      <c r="G1676" s="14">
        <v>192914</v>
      </c>
      <c r="H1676" s="14">
        <v>132000</v>
      </c>
      <c r="I1676" s="14">
        <v>152000</v>
      </c>
      <c r="J1676" s="14">
        <v>3540</v>
      </c>
      <c r="K1676" s="14">
        <v>4120</v>
      </c>
      <c r="N1676" s="42">
        <f t="shared" si="68"/>
        <v>30500</v>
      </c>
      <c r="O1676" s="43">
        <f t="shared" si="69"/>
        <v>0.1020066889632107</v>
      </c>
    </row>
    <row r="1677" spans="1:15" x14ac:dyDescent="0.45">
      <c r="A1677" s="12" t="s">
        <v>31633</v>
      </c>
      <c r="B1677" s="14">
        <v>268500</v>
      </c>
      <c r="C1677" s="14">
        <v>299000</v>
      </c>
      <c r="D1677" s="14">
        <v>193400</v>
      </c>
      <c r="E1677" s="14">
        <v>246675</v>
      </c>
      <c r="F1677" s="14">
        <v>149100</v>
      </c>
      <c r="G1677" s="14">
        <v>192914</v>
      </c>
      <c r="H1677" s="14">
        <v>132000</v>
      </c>
      <c r="I1677" s="14">
        <v>152000</v>
      </c>
      <c r="J1677" s="14">
        <v>3550</v>
      </c>
      <c r="K1677" s="14">
        <v>4130</v>
      </c>
      <c r="N1677" s="42">
        <f t="shared" si="68"/>
        <v>30500</v>
      </c>
      <c r="O1677" s="43">
        <f t="shared" si="69"/>
        <v>0.1020066889632107</v>
      </c>
    </row>
    <row r="1678" spans="1:15" x14ac:dyDescent="0.45">
      <c r="A1678" s="12" t="s">
        <v>31634</v>
      </c>
      <c r="B1678" s="14">
        <v>267500</v>
      </c>
      <c r="C1678" s="14">
        <v>298000</v>
      </c>
      <c r="D1678" s="14">
        <v>192600</v>
      </c>
      <c r="E1678" s="14">
        <v>245850</v>
      </c>
      <c r="F1678" s="14">
        <v>148500</v>
      </c>
      <c r="G1678" s="14">
        <v>192269</v>
      </c>
      <c r="H1678" s="14">
        <v>130000</v>
      </c>
      <c r="I1678" s="14">
        <v>150000</v>
      </c>
      <c r="J1678" s="14">
        <v>3540</v>
      </c>
      <c r="K1678" s="14">
        <v>4120</v>
      </c>
      <c r="N1678" s="42">
        <f t="shared" si="68"/>
        <v>30500</v>
      </c>
      <c r="O1678" s="43">
        <f t="shared" si="69"/>
        <v>0.10234899328859061</v>
      </c>
    </row>
    <row r="1679" spans="1:15" x14ac:dyDescent="0.45">
      <c r="A1679" s="12" t="s">
        <v>31635</v>
      </c>
      <c r="B1679" s="14">
        <v>266500</v>
      </c>
      <c r="C1679" s="14">
        <v>297000</v>
      </c>
      <c r="D1679" s="14">
        <v>191900</v>
      </c>
      <c r="E1679" s="14">
        <v>245025</v>
      </c>
      <c r="F1679" s="14">
        <v>148000</v>
      </c>
      <c r="G1679" s="14">
        <v>191624</v>
      </c>
      <c r="H1679" s="14">
        <v>129000</v>
      </c>
      <c r="I1679" s="14">
        <v>149000</v>
      </c>
      <c r="J1679" s="14">
        <v>3530</v>
      </c>
      <c r="K1679" s="14">
        <v>4110</v>
      </c>
      <c r="N1679" s="42">
        <f t="shared" si="68"/>
        <v>30500</v>
      </c>
      <c r="O1679" s="43">
        <f t="shared" si="69"/>
        <v>0.1026936026936027</v>
      </c>
    </row>
    <row r="1680" spans="1:15" x14ac:dyDescent="0.45">
      <c r="A1680" s="12" t="s">
        <v>31636</v>
      </c>
      <c r="B1680" s="14">
        <v>266500</v>
      </c>
      <c r="C1680" s="14">
        <v>296000</v>
      </c>
      <c r="D1680" s="14">
        <v>191900</v>
      </c>
      <c r="E1680" s="14">
        <v>244200</v>
      </c>
      <c r="F1680" s="14">
        <v>148000</v>
      </c>
      <c r="G1680" s="14">
        <v>190979</v>
      </c>
      <c r="H1680" s="14">
        <v>129000</v>
      </c>
      <c r="I1680" s="14">
        <v>149000</v>
      </c>
      <c r="J1680" s="14">
        <v>3540</v>
      </c>
      <c r="K1680" s="14">
        <v>4120</v>
      </c>
      <c r="N1680" s="42">
        <f t="shared" si="68"/>
        <v>29500</v>
      </c>
      <c r="O1680" s="43">
        <f t="shared" si="69"/>
        <v>9.9662162162162157E-2</v>
      </c>
    </row>
    <row r="1681" spans="1:15" x14ac:dyDescent="0.45">
      <c r="A1681" s="12" t="s">
        <v>31637</v>
      </c>
      <c r="B1681" s="14">
        <v>267500</v>
      </c>
      <c r="C1681" s="14">
        <v>297000</v>
      </c>
      <c r="D1681" s="14">
        <v>192600</v>
      </c>
      <c r="E1681" s="14">
        <v>245025</v>
      </c>
      <c r="F1681" s="14">
        <v>148500</v>
      </c>
      <c r="G1681" s="14">
        <v>191624</v>
      </c>
      <c r="H1681" s="14">
        <v>128000</v>
      </c>
      <c r="I1681" s="14">
        <v>148000</v>
      </c>
      <c r="J1681" s="14">
        <v>3540</v>
      </c>
      <c r="K1681" s="14">
        <v>4120</v>
      </c>
      <c r="N1681" s="42">
        <f t="shared" si="68"/>
        <v>29500</v>
      </c>
      <c r="O1681" s="43">
        <f t="shared" si="69"/>
        <v>9.9326599326599332E-2</v>
      </c>
    </row>
    <row r="1682" spans="1:15" x14ac:dyDescent="0.45">
      <c r="A1682" s="12" t="s">
        <v>31638</v>
      </c>
      <c r="B1682" s="14">
        <v>267500</v>
      </c>
      <c r="C1682" s="14">
        <v>297000</v>
      </c>
      <c r="D1682" s="14">
        <v>192600</v>
      </c>
      <c r="E1682" s="14">
        <v>245025</v>
      </c>
      <c r="F1682" s="14">
        <v>148500</v>
      </c>
      <c r="G1682" s="14">
        <v>191624</v>
      </c>
      <c r="H1682" s="14">
        <v>127000</v>
      </c>
      <c r="I1682" s="14">
        <v>147000</v>
      </c>
      <c r="J1682" s="14">
        <v>3560</v>
      </c>
      <c r="K1682" s="14">
        <v>4140</v>
      </c>
      <c r="N1682" s="42">
        <f t="shared" si="68"/>
        <v>29500</v>
      </c>
      <c r="O1682" s="43">
        <f t="shared" si="69"/>
        <v>9.9326599326599332E-2</v>
      </c>
    </row>
    <row r="1683" spans="1:15" x14ac:dyDescent="0.45">
      <c r="A1683" s="12" t="s">
        <v>31639</v>
      </c>
      <c r="B1683" s="14">
        <v>268500</v>
      </c>
      <c r="C1683" s="14">
        <v>298000</v>
      </c>
      <c r="D1683" s="14">
        <v>193400</v>
      </c>
      <c r="E1683" s="14">
        <v>245850</v>
      </c>
      <c r="F1683" s="14">
        <v>149100</v>
      </c>
      <c r="G1683" s="14">
        <v>192269</v>
      </c>
      <c r="H1683" s="14">
        <v>127000</v>
      </c>
      <c r="I1683" s="14">
        <v>147000</v>
      </c>
      <c r="J1683" s="14">
        <v>3540</v>
      </c>
      <c r="K1683" s="14">
        <v>4120</v>
      </c>
      <c r="N1683" s="42">
        <f t="shared" si="68"/>
        <v>29500</v>
      </c>
      <c r="O1683" s="43">
        <f t="shared" si="69"/>
        <v>9.8993288590604023E-2</v>
      </c>
    </row>
    <row r="1684" spans="1:15" x14ac:dyDescent="0.45">
      <c r="A1684" s="12" t="s">
        <v>31640</v>
      </c>
      <c r="B1684" s="14">
        <v>270500</v>
      </c>
      <c r="C1684" s="14">
        <v>301500</v>
      </c>
      <c r="D1684" s="14">
        <v>194800</v>
      </c>
      <c r="E1684" s="14">
        <v>248737</v>
      </c>
      <c r="F1684" s="14">
        <v>150200</v>
      </c>
      <c r="G1684" s="14">
        <v>194527</v>
      </c>
      <c r="H1684" s="14">
        <v>134000</v>
      </c>
      <c r="I1684" s="14">
        <v>154000</v>
      </c>
      <c r="J1684" s="14">
        <v>3730</v>
      </c>
      <c r="K1684" s="14">
        <v>4310</v>
      </c>
      <c r="N1684" s="42">
        <f t="shared" si="68"/>
        <v>31000</v>
      </c>
      <c r="O1684" s="43">
        <f t="shared" si="69"/>
        <v>0.10281923714759536</v>
      </c>
    </row>
    <row r="1685" spans="1:15" x14ac:dyDescent="0.45">
      <c r="A1685" s="12" t="s">
        <v>31641</v>
      </c>
      <c r="B1685" s="14">
        <v>271500</v>
      </c>
      <c r="C1685" s="14">
        <v>303000</v>
      </c>
      <c r="D1685" s="14">
        <v>195500</v>
      </c>
      <c r="E1685" s="14">
        <v>249975</v>
      </c>
      <c r="F1685" s="14">
        <v>150700</v>
      </c>
      <c r="G1685" s="14">
        <v>195495</v>
      </c>
      <c r="H1685" s="14">
        <v>133000</v>
      </c>
      <c r="I1685" s="14">
        <v>153000</v>
      </c>
      <c r="J1685" s="14">
        <v>3800</v>
      </c>
      <c r="K1685" s="14">
        <v>4380</v>
      </c>
      <c r="N1685" s="42">
        <f t="shared" si="68"/>
        <v>31500</v>
      </c>
      <c r="O1685" s="43">
        <f t="shared" si="69"/>
        <v>0.10396039603960396</v>
      </c>
    </row>
    <row r="1686" spans="1:15" x14ac:dyDescent="0.45">
      <c r="A1686" s="12" t="s">
        <v>31642</v>
      </c>
      <c r="B1686" s="14">
        <v>268000</v>
      </c>
      <c r="C1686" s="14">
        <v>300500</v>
      </c>
      <c r="D1686" s="14">
        <v>193000</v>
      </c>
      <c r="E1686" s="14">
        <v>247912</v>
      </c>
      <c r="F1686" s="14">
        <v>148800</v>
      </c>
      <c r="G1686" s="14">
        <v>193882</v>
      </c>
      <c r="H1686" s="14">
        <v>133000</v>
      </c>
      <c r="I1686" s="14">
        <v>153000</v>
      </c>
      <c r="J1686" s="14">
        <v>3680</v>
      </c>
      <c r="K1686" s="14">
        <v>4260</v>
      </c>
      <c r="N1686" s="42">
        <f t="shared" si="68"/>
        <v>32500</v>
      </c>
      <c r="O1686" s="43">
        <f t="shared" si="69"/>
        <v>0.10815307820299501</v>
      </c>
    </row>
    <row r="1687" spans="1:15" x14ac:dyDescent="0.45">
      <c r="A1687" s="12" t="s">
        <v>31643</v>
      </c>
      <c r="B1687" s="14">
        <v>267000</v>
      </c>
      <c r="C1687" s="14">
        <v>300000</v>
      </c>
      <c r="D1687" s="14">
        <v>192300</v>
      </c>
      <c r="E1687" s="14">
        <v>247500</v>
      </c>
      <c r="F1687" s="14">
        <v>148200</v>
      </c>
      <c r="G1687" s="14">
        <v>193560</v>
      </c>
      <c r="H1687" s="14">
        <v>131000</v>
      </c>
      <c r="I1687" s="14">
        <v>151000</v>
      </c>
      <c r="J1687" s="14">
        <v>3710</v>
      </c>
      <c r="K1687" s="14">
        <v>4210</v>
      </c>
      <c r="N1687" s="42">
        <f t="shared" si="68"/>
        <v>33000</v>
      </c>
      <c r="O1687" s="43">
        <f t="shared" si="69"/>
        <v>0.11</v>
      </c>
    </row>
    <row r="1688" spans="1:15" x14ac:dyDescent="0.45">
      <c r="A1688" s="12" t="s">
        <v>31644</v>
      </c>
      <c r="B1688" s="14">
        <v>264000</v>
      </c>
      <c r="C1688" s="14">
        <v>298000</v>
      </c>
      <c r="D1688" s="14">
        <v>190100</v>
      </c>
      <c r="E1688" s="14">
        <v>245850</v>
      </c>
      <c r="F1688" s="14">
        <v>146600</v>
      </c>
      <c r="G1688" s="14">
        <v>192269</v>
      </c>
      <c r="H1688" s="14">
        <v>133000</v>
      </c>
      <c r="I1688" s="14">
        <v>153000</v>
      </c>
      <c r="J1688" s="14">
        <v>3690</v>
      </c>
      <c r="K1688" s="14">
        <v>4190</v>
      </c>
      <c r="N1688" s="42">
        <f t="shared" si="68"/>
        <v>34000</v>
      </c>
      <c r="O1688" s="43">
        <f t="shared" si="69"/>
        <v>0.11409395973154363</v>
      </c>
    </row>
    <row r="1689" spans="1:15" x14ac:dyDescent="0.45">
      <c r="A1689" s="12" t="s">
        <v>31645</v>
      </c>
      <c r="B1689" s="14">
        <v>263000</v>
      </c>
      <c r="C1689" s="14">
        <v>295000</v>
      </c>
      <c r="D1689" s="14">
        <v>189400</v>
      </c>
      <c r="E1689" s="14">
        <v>243375</v>
      </c>
      <c r="F1689" s="14">
        <v>146000</v>
      </c>
      <c r="G1689" s="14">
        <v>190334</v>
      </c>
      <c r="H1689" s="14">
        <v>131000</v>
      </c>
      <c r="I1689" s="14">
        <v>151000</v>
      </c>
      <c r="J1689" s="14">
        <v>3540</v>
      </c>
      <c r="K1689" s="14">
        <v>4040</v>
      </c>
      <c r="N1689" s="42">
        <f t="shared" si="68"/>
        <v>32000</v>
      </c>
      <c r="O1689" s="43">
        <f t="shared" si="69"/>
        <v>0.10847457627118644</v>
      </c>
    </row>
    <row r="1690" spans="1:15" x14ac:dyDescent="0.45">
      <c r="A1690" s="12" t="s">
        <v>31646</v>
      </c>
      <c r="B1690" s="14">
        <v>266000</v>
      </c>
      <c r="C1690" s="14">
        <v>297000</v>
      </c>
      <c r="D1690" s="14">
        <v>191600</v>
      </c>
      <c r="E1690" s="14">
        <v>245025</v>
      </c>
      <c r="F1690" s="14">
        <v>147700</v>
      </c>
      <c r="G1690" s="14">
        <v>191624</v>
      </c>
      <c r="H1690" s="14">
        <v>131000</v>
      </c>
      <c r="I1690" s="14">
        <v>151000</v>
      </c>
      <c r="J1690" s="14">
        <v>3590</v>
      </c>
      <c r="K1690" s="14">
        <v>4090</v>
      </c>
      <c r="N1690" s="42">
        <f t="shared" si="68"/>
        <v>31000</v>
      </c>
      <c r="O1690" s="43">
        <f t="shared" si="69"/>
        <v>0.10437710437710437</v>
      </c>
    </row>
    <row r="1691" spans="1:15" x14ac:dyDescent="0.45">
      <c r="A1691" s="12" t="s">
        <v>31647</v>
      </c>
      <c r="B1691" s="14">
        <v>267000</v>
      </c>
      <c r="C1691" s="14">
        <v>298000</v>
      </c>
      <c r="D1691" s="14">
        <v>192300</v>
      </c>
      <c r="E1691" s="14">
        <v>245850</v>
      </c>
      <c r="F1691" s="14">
        <v>148200</v>
      </c>
      <c r="G1691" s="14">
        <v>192269</v>
      </c>
      <c r="H1691" s="14">
        <v>131000</v>
      </c>
      <c r="I1691" s="14">
        <v>151000</v>
      </c>
      <c r="J1691" s="14">
        <v>3590</v>
      </c>
      <c r="K1691" s="14">
        <v>4090</v>
      </c>
      <c r="N1691" s="42">
        <f t="shared" si="68"/>
        <v>31000</v>
      </c>
      <c r="O1691" s="43">
        <f t="shared" si="69"/>
        <v>0.1040268456375839</v>
      </c>
    </row>
    <row r="1692" spans="1:15" x14ac:dyDescent="0.45">
      <c r="A1692" s="12" t="s">
        <v>31648</v>
      </c>
      <c r="B1692" s="14">
        <v>268500</v>
      </c>
      <c r="C1692" s="14">
        <v>301000</v>
      </c>
      <c r="D1692" s="14">
        <v>193400</v>
      </c>
      <c r="E1692" s="14">
        <v>248325</v>
      </c>
      <c r="F1692" s="14">
        <v>149100</v>
      </c>
      <c r="G1692" s="14">
        <v>194205</v>
      </c>
      <c r="H1692" s="14">
        <v>131000</v>
      </c>
      <c r="I1692" s="14">
        <v>151000</v>
      </c>
      <c r="J1692" s="14">
        <v>3640</v>
      </c>
      <c r="K1692" s="14">
        <v>4140</v>
      </c>
      <c r="N1692" s="42">
        <f t="shared" si="68"/>
        <v>32500</v>
      </c>
      <c r="O1692" s="43">
        <f t="shared" si="69"/>
        <v>0.1079734219269103</v>
      </c>
    </row>
    <row r="1693" spans="1:15" x14ac:dyDescent="0.45">
      <c r="A1693" s="12" t="s">
        <v>31649</v>
      </c>
      <c r="B1693" s="14">
        <v>268000</v>
      </c>
      <c r="C1693" s="14">
        <v>301000</v>
      </c>
      <c r="D1693" s="14">
        <v>193000</v>
      </c>
      <c r="E1693" s="14">
        <v>248325</v>
      </c>
      <c r="F1693" s="14">
        <v>148800</v>
      </c>
      <c r="G1693" s="14">
        <v>194205</v>
      </c>
      <c r="H1693" s="14">
        <v>131000</v>
      </c>
      <c r="I1693" s="14">
        <v>151000</v>
      </c>
      <c r="J1693" s="14">
        <v>3700</v>
      </c>
      <c r="K1693" s="14">
        <v>4200</v>
      </c>
      <c r="N1693" s="42">
        <f t="shared" si="68"/>
        <v>33000</v>
      </c>
      <c r="O1693" s="43">
        <f t="shared" si="69"/>
        <v>0.10963455149501661</v>
      </c>
    </row>
    <row r="1694" spans="1:15" x14ac:dyDescent="0.45">
      <c r="A1694" s="12" t="s">
        <v>31650</v>
      </c>
      <c r="B1694" s="14">
        <v>270000</v>
      </c>
      <c r="C1694" s="14">
        <v>304000</v>
      </c>
      <c r="D1694" s="14">
        <v>194400</v>
      </c>
      <c r="E1694" s="14">
        <v>250800</v>
      </c>
      <c r="F1694" s="14">
        <v>149900</v>
      </c>
      <c r="G1694" s="14">
        <v>196140</v>
      </c>
      <c r="H1694" s="14">
        <v>134000</v>
      </c>
      <c r="I1694" s="14">
        <v>155000</v>
      </c>
      <c r="J1694" s="14">
        <v>3790</v>
      </c>
      <c r="K1694" s="14">
        <v>4220</v>
      </c>
      <c r="N1694" s="42">
        <f t="shared" si="68"/>
        <v>34000</v>
      </c>
      <c r="O1694" s="43">
        <f t="shared" si="69"/>
        <v>0.1118421052631579</v>
      </c>
    </row>
    <row r="1695" spans="1:15" x14ac:dyDescent="0.45">
      <c r="A1695" s="12" t="s">
        <v>31651</v>
      </c>
      <c r="B1695" s="14">
        <v>274000</v>
      </c>
      <c r="C1695" s="14">
        <v>307000</v>
      </c>
      <c r="D1695" s="14">
        <v>197300</v>
      </c>
      <c r="E1695" s="14">
        <v>253275</v>
      </c>
      <c r="F1695" s="14">
        <v>152100</v>
      </c>
      <c r="G1695" s="14">
        <v>198076</v>
      </c>
      <c r="H1695" s="14">
        <v>137000</v>
      </c>
      <c r="I1695" s="14">
        <v>158000</v>
      </c>
      <c r="J1695" s="14">
        <v>3870</v>
      </c>
      <c r="K1695" s="14">
        <v>4300</v>
      </c>
      <c r="N1695" s="42">
        <f t="shared" si="68"/>
        <v>33000</v>
      </c>
      <c r="O1695" s="43">
        <f t="shared" si="69"/>
        <v>0.10749185667752444</v>
      </c>
    </row>
    <row r="1696" spans="1:15" x14ac:dyDescent="0.45">
      <c r="A1696" s="12" t="s">
        <v>31652</v>
      </c>
      <c r="B1696" s="14">
        <v>268000</v>
      </c>
      <c r="C1696" s="14">
        <v>300000</v>
      </c>
      <c r="D1696" s="14">
        <v>193000</v>
      </c>
      <c r="E1696" s="14">
        <v>247500</v>
      </c>
      <c r="F1696" s="14">
        <v>148800</v>
      </c>
      <c r="G1696" s="14">
        <v>193560</v>
      </c>
      <c r="H1696" s="14">
        <v>136000</v>
      </c>
      <c r="I1696" s="14">
        <v>156000</v>
      </c>
      <c r="J1696" s="14">
        <v>3700</v>
      </c>
      <c r="K1696" s="14">
        <v>4130</v>
      </c>
      <c r="N1696" s="42">
        <f t="shared" si="68"/>
        <v>32000</v>
      </c>
      <c r="O1696" s="43">
        <f t="shared" si="69"/>
        <v>0.10666666666666667</v>
      </c>
    </row>
    <row r="1697" spans="1:15" x14ac:dyDescent="0.45">
      <c r="A1697" s="12" t="s">
        <v>31653</v>
      </c>
      <c r="B1697" s="14">
        <v>268000</v>
      </c>
      <c r="C1697" s="14">
        <v>300000</v>
      </c>
      <c r="D1697" s="14">
        <v>193000</v>
      </c>
      <c r="E1697" s="14">
        <v>247500</v>
      </c>
      <c r="F1697" s="14">
        <v>148800</v>
      </c>
      <c r="G1697" s="14">
        <v>193560</v>
      </c>
      <c r="H1697" s="14">
        <v>134000</v>
      </c>
      <c r="I1697" s="14">
        <v>154000</v>
      </c>
      <c r="J1697" s="14">
        <v>3670</v>
      </c>
      <c r="K1697" s="14">
        <v>4100</v>
      </c>
      <c r="N1697" s="42">
        <f t="shared" si="68"/>
        <v>32000</v>
      </c>
      <c r="O1697" s="43">
        <f t="shared" si="69"/>
        <v>0.10666666666666667</v>
      </c>
    </row>
    <row r="1698" spans="1:15" x14ac:dyDescent="0.45">
      <c r="A1698" s="12" t="s">
        <v>31654</v>
      </c>
      <c r="B1698" s="14">
        <v>268000</v>
      </c>
      <c r="C1698" s="14">
        <v>300000</v>
      </c>
      <c r="D1698" s="14">
        <v>193000</v>
      </c>
      <c r="E1698" s="14">
        <v>247500</v>
      </c>
      <c r="F1698" s="14">
        <v>148800</v>
      </c>
      <c r="G1698" s="14">
        <v>193560</v>
      </c>
      <c r="H1698" s="14">
        <v>136000</v>
      </c>
      <c r="I1698" s="14">
        <v>156000</v>
      </c>
      <c r="J1698" s="14">
        <v>3780</v>
      </c>
      <c r="K1698" s="14">
        <v>4210</v>
      </c>
      <c r="N1698" s="42">
        <f t="shared" si="68"/>
        <v>32000</v>
      </c>
      <c r="O1698" s="43">
        <f t="shared" si="69"/>
        <v>0.10666666666666667</v>
      </c>
    </row>
    <row r="1699" spans="1:15" x14ac:dyDescent="0.45">
      <c r="A1699" s="12" t="s">
        <v>31655</v>
      </c>
      <c r="B1699" s="14">
        <v>264000</v>
      </c>
      <c r="C1699" s="14">
        <v>298000</v>
      </c>
      <c r="D1699" s="14">
        <v>190100</v>
      </c>
      <c r="E1699" s="14">
        <v>245850</v>
      </c>
      <c r="F1699" s="14">
        <v>146600</v>
      </c>
      <c r="G1699" s="14">
        <v>192269</v>
      </c>
      <c r="H1699" s="14">
        <v>136000</v>
      </c>
      <c r="I1699" s="14">
        <v>156000</v>
      </c>
      <c r="J1699" s="14">
        <v>3610</v>
      </c>
      <c r="K1699" s="14">
        <v>4040</v>
      </c>
      <c r="N1699" s="42">
        <f t="shared" si="68"/>
        <v>34000</v>
      </c>
      <c r="O1699" s="43">
        <f t="shared" si="69"/>
        <v>0.11409395973154363</v>
      </c>
    </row>
    <row r="1700" spans="1:15" x14ac:dyDescent="0.45">
      <c r="A1700" s="12" t="s">
        <v>31656</v>
      </c>
      <c r="B1700" s="14">
        <v>274000</v>
      </c>
      <c r="C1700" s="14">
        <v>308000</v>
      </c>
      <c r="D1700" s="14">
        <v>197300</v>
      </c>
      <c r="E1700" s="14">
        <v>254100</v>
      </c>
      <c r="F1700" s="14">
        <v>152100</v>
      </c>
      <c r="G1700" s="14">
        <v>198721</v>
      </c>
      <c r="H1700" s="14">
        <v>139000</v>
      </c>
      <c r="I1700" s="14">
        <v>159000</v>
      </c>
      <c r="J1700" s="14">
        <v>3960</v>
      </c>
      <c r="K1700" s="14">
        <v>4390</v>
      </c>
      <c r="N1700" s="42">
        <f t="shared" si="68"/>
        <v>34000</v>
      </c>
      <c r="O1700" s="43">
        <f t="shared" si="69"/>
        <v>0.11038961038961038</v>
      </c>
    </row>
    <row r="1701" spans="1:15" x14ac:dyDescent="0.45">
      <c r="A1701" s="12" t="s">
        <v>31657</v>
      </c>
      <c r="B1701" s="14">
        <v>281000</v>
      </c>
      <c r="C1701" s="14">
        <v>312000</v>
      </c>
      <c r="D1701" s="14">
        <v>202400</v>
      </c>
      <c r="E1701" s="14">
        <v>257400</v>
      </c>
      <c r="F1701" s="14">
        <v>156000</v>
      </c>
      <c r="G1701" s="14">
        <v>201302</v>
      </c>
      <c r="H1701" s="14">
        <v>139000</v>
      </c>
      <c r="I1701" s="14">
        <v>159000</v>
      </c>
      <c r="J1701" s="14">
        <v>3920</v>
      </c>
      <c r="K1701" s="14">
        <v>4350</v>
      </c>
      <c r="N1701" s="42">
        <f t="shared" si="68"/>
        <v>31000</v>
      </c>
      <c r="O1701" s="43">
        <f t="shared" si="69"/>
        <v>9.9358974358974353E-2</v>
      </c>
    </row>
    <row r="1702" spans="1:15" x14ac:dyDescent="0.45">
      <c r="A1702" s="12" t="s">
        <v>31658</v>
      </c>
      <c r="B1702" s="14">
        <v>283000</v>
      </c>
      <c r="C1702" s="14">
        <v>313000</v>
      </c>
      <c r="D1702" s="14">
        <v>203800</v>
      </c>
      <c r="E1702" s="14">
        <v>258225</v>
      </c>
      <c r="F1702" s="14">
        <v>157100</v>
      </c>
      <c r="G1702" s="14">
        <v>201947</v>
      </c>
      <c r="H1702" s="14">
        <v>139000</v>
      </c>
      <c r="I1702" s="14">
        <v>159000</v>
      </c>
      <c r="J1702" s="14">
        <v>3930</v>
      </c>
      <c r="K1702" s="14">
        <v>4360</v>
      </c>
      <c r="N1702" s="42">
        <f t="shared" si="68"/>
        <v>30000</v>
      </c>
      <c r="O1702" s="43">
        <f t="shared" si="69"/>
        <v>9.5846645367412137E-2</v>
      </c>
    </row>
    <row r="1703" spans="1:15" x14ac:dyDescent="0.45">
      <c r="A1703" s="12" t="s">
        <v>31659</v>
      </c>
      <c r="B1703" s="14">
        <v>285000</v>
      </c>
      <c r="C1703" s="14">
        <v>315000</v>
      </c>
      <c r="D1703" s="14">
        <v>205200</v>
      </c>
      <c r="E1703" s="14">
        <v>259875</v>
      </c>
      <c r="F1703" s="14">
        <v>158200</v>
      </c>
      <c r="G1703" s="14">
        <v>203238</v>
      </c>
      <c r="H1703" s="14">
        <v>137000</v>
      </c>
      <c r="I1703" s="14">
        <v>157000</v>
      </c>
      <c r="J1703" s="14">
        <v>3900</v>
      </c>
      <c r="K1703" s="14">
        <v>4330</v>
      </c>
      <c r="N1703" s="42">
        <f t="shared" si="68"/>
        <v>30000</v>
      </c>
      <c r="O1703" s="43">
        <f t="shared" si="69"/>
        <v>9.5238095238095233E-2</v>
      </c>
    </row>
    <row r="1704" spans="1:15" x14ac:dyDescent="0.45">
      <c r="A1704" s="12" t="s">
        <v>31660</v>
      </c>
      <c r="B1704" s="14">
        <v>280000</v>
      </c>
      <c r="C1704" s="14">
        <v>312500</v>
      </c>
      <c r="D1704" s="14">
        <v>201600</v>
      </c>
      <c r="E1704" s="14">
        <v>257812</v>
      </c>
      <c r="F1704" s="14">
        <v>155400</v>
      </c>
      <c r="G1704" s="14">
        <v>201625</v>
      </c>
      <c r="H1704" s="14">
        <v>137000</v>
      </c>
      <c r="I1704" s="14">
        <v>157000</v>
      </c>
      <c r="J1704" s="14">
        <v>3730</v>
      </c>
      <c r="K1704" s="14">
        <v>4080</v>
      </c>
      <c r="N1704" s="42">
        <f t="shared" si="68"/>
        <v>32500</v>
      </c>
      <c r="O1704" s="43">
        <f t="shared" si="69"/>
        <v>0.104</v>
      </c>
    </row>
    <row r="1705" spans="1:15" x14ac:dyDescent="0.45">
      <c r="A1705" s="12" t="s">
        <v>31661</v>
      </c>
      <c r="B1705" s="14">
        <v>278000</v>
      </c>
      <c r="C1705" s="14">
        <v>304000</v>
      </c>
      <c r="D1705" s="14">
        <v>200200</v>
      </c>
      <c r="E1705" s="14">
        <v>250800</v>
      </c>
      <c r="F1705" s="14">
        <v>154300</v>
      </c>
      <c r="G1705" s="14">
        <v>196140</v>
      </c>
      <c r="H1705" s="14">
        <v>132000</v>
      </c>
      <c r="I1705" s="14">
        <v>152000</v>
      </c>
      <c r="J1705" s="14">
        <v>3390</v>
      </c>
      <c r="K1705" s="14">
        <v>3740</v>
      </c>
      <c r="N1705" s="42">
        <f t="shared" si="68"/>
        <v>26000</v>
      </c>
      <c r="O1705" s="43">
        <f t="shared" si="69"/>
        <v>8.5526315789473686E-2</v>
      </c>
    </row>
    <row r="1706" spans="1:15" x14ac:dyDescent="0.45">
      <c r="A1706" s="12" t="s">
        <v>31662</v>
      </c>
      <c r="B1706" s="14">
        <v>278000</v>
      </c>
      <c r="C1706" s="14">
        <v>305000</v>
      </c>
      <c r="D1706" s="14">
        <v>200200</v>
      </c>
      <c r="E1706" s="14">
        <v>251625</v>
      </c>
      <c r="F1706" s="14">
        <v>154300</v>
      </c>
      <c r="G1706" s="14">
        <v>196786</v>
      </c>
      <c r="H1706" s="14">
        <v>129000</v>
      </c>
      <c r="I1706" s="14">
        <v>149000</v>
      </c>
      <c r="J1706" s="14">
        <v>3430</v>
      </c>
      <c r="K1706" s="14">
        <v>3780</v>
      </c>
      <c r="N1706" s="42">
        <f t="shared" si="68"/>
        <v>27000</v>
      </c>
      <c r="O1706" s="43">
        <f t="shared" si="69"/>
        <v>8.8524590163934422E-2</v>
      </c>
    </row>
    <row r="1707" spans="1:15" x14ac:dyDescent="0.45">
      <c r="A1707" s="12" t="s">
        <v>31663</v>
      </c>
      <c r="B1707" s="14">
        <v>278000</v>
      </c>
      <c r="C1707" s="14">
        <v>305500</v>
      </c>
      <c r="D1707" s="14">
        <v>200200</v>
      </c>
      <c r="E1707" s="14">
        <v>252037</v>
      </c>
      <c r="F1707" s="14">
        <v>154300</v>
      </c>
      <c r="G1707" s="14">
        <v>197108</v>
      </c>
      <c r="H1707" s="14">
        <v>130000</v>
      </c>
      <c r="I1707" s="14">
        <v>150000</v>
      </c>
      <c r="J1707" s="14">
        <v>3430</v>
      </c>
      <c r="K1707" s="14">
        <v>3780</v>
      </c>
      <c r="N1707" s="42">
        <f t="shared" si="68"/>
        <v>27500</v>
      </c>
      <c r="O1707" s="43">
        <f t="shared" si="69"/>
        <v>9.0016366612111293E-2</v>
      </c>
    </row>
    <row r="1708" spans="1:15" x14ac:dyDescent="0.45">
      <c r="A1708" s="12" t="s">
        <v>31664</v>
      </c>
      <c r="B1708" s="14">
        <v>277000</v>
      </c>
      <c r="C1708" s="14">
        <v>302000</v>
      </c>
      <c r="D1708" s="14">
        <v>199500</v>
      </c>
      <c r="E1708" s="14">
        <v>249150</v>
      </c>
      <c r="F1708" s="14">
        <v>153800</v>
      </c>
      <c r="G1708" s="14">
        <v>194850</v>
      </c>
      <c r="H1708" s="14">
        <v>133000</v>
      </c>
      <c r="I1708" s="14">
        <v>153000</v>
      </c>
      <c r="J1708" s="14">
        <v>3390</v>
      </c>
      <c r="K1708" s="14">
        <v>3740</v>
      </c>
      <c r="N1708" s="42">
        <f t="shared" si="68"/>
        <v>25000</v>
      </c>
      <c r="O1708" s="43">
        <f t="shared" si="69"/>
        <v>8.2781456953642391E-2</v>
      </c>
    </row>
    <row r="1709" spans="1:15" x14ac:dyDescent="0.45">
      <c r="A1709" s="12" t="s">
        <v>31665</v>
      </c>
      <c r="B1709" s="14">
        <v>280000</v>
      </c>
      <c r="C1709" s="14">
        <v>302500</v>
      </c>
      <c r="D1709" s="14">
        <v>201600</v>
      </c>
      <c r="E1709" s="14">
        <v>249562</v>
      </c>
      <c r="F1709" s="14">
        <v>155400</v>
      </c>
      <c r="G1709" s="14">
        <v>195173</v>
      </c>
      <c r="H1709" s="14">
        <v>137000</v>
      </c>
      <c r="I1709" s="14">
        <v>157000</v>
      </c>
      <c r="J1709" s="14">
        <v>3610</v>
      </c>
      <c r="K1709" s="14">
        <v>3960</v>
      </c>
      <c r="N1709" s="42">
        <f t="shared" ref="N1709:N1772" si="70">C1709-B1709</f>
        <v>22500</v>
      </c>
      <c r="O1709" s="43">
        <f t="shared" ref="O1709:O1772" si="71">N1709/C1709</f>
        <v>7.43801652892562E-2</v>
      </c>
    </row>
    <row r="1710" spans="1:15" x14ac:dyDescent="0.45">
      <c r="A1710" s="12" t="s">
        <v>31666</v>
      </c>
      <c r="B1710" s="14">
        <v>270000</v>
      </c>
      <c r="C1710" s="14">
        <v>295000</v>
      </c>
      <c r="D1710" s="14">
        <v>194400</v>
      </c>
      <c r="E1710" s="14">
        <v>243375</v>
      </c>
      <c r="F1710" s="14">
        <v>149900</v>
      </c>
      <c r="G1710" s="14">
        <v>190334</v>
      </c>
      <c r="H1710" s="14">
        <v>131000</v>
      </c>
      <c r="I1710" s="14">
        <v>151000</v>
      </c>
      <c r="J1710" s="14">
        <v>3180</v>
      </c>
      <c r="K1710" s="14">
        <v>3530</v>
      </c>
      <c r="N1710" s="42">
        <f t="shared" si="70"/>
        <v>25000</v>
      </c>
      <c r="O1710" s="43">
        <f t="shared" si="71"/>
        <v>8.4745762711864403E-2</v>
      </c>
    </row>
    <row r="1711" spans="1:15" x14ac:dyDescent="0.45">
      <c r="A1711" s="12" t="s">
        <v>31667</v>
      </c>
      <c r="B1711" s="14">
        <v>267000</v>
      </c>
      <c r="C1711" s="14">
        <v>292000</v>
      </c>
      <c r="D1711" s="14">
        <v>192300</v>
      </c>
      <c r="E1711" s="14">
        <v>240900</v>
      </c>
      <c r="F1711" s="14">
        <v>148200</v>
      </c>
      <c r="G1711" s="14">
        <v>188398</v>
      </c>
      <c r="H1711" s="14">
        <v>131000</v>
      </c>
      <c r="I1711" s="14">
        <v>151000</v>
      </c>
      <c r="J1711" s="14">
        <v>3210</v>
      </c>
      <c r="K1711" s="14">
        <v>3560</v>
      </c>
      <c r="N1711" s="42">
        <f t="shared" si="70"/>
        <v>25000</v>
      </c>
      <c r="O1711" s="43">
        <f t="shared" si="71"/>
        <v>8.5616438356164379E-2</v>
      </c>
    </row>
    <row r="1712" spans="1:15" x14ac:dyDescent="0.45">
      <c r="A1712" s="12" t="s">
        <v>31668</v>
      </c>
      <c r="B1712" s="14">
        <v>265000</v>
      </c>
      <c r="C1712" s="14">
        <v>286000</v>
      </c>
      <c r="D1712" s="14">
        <v>190800</v>
      </c>
      <c r="E1712" s="14">
        <v>235950</v>
      </c>
      <c r="F1712" s="14">
        <v>147100</v>
      </c>
      <c r="G1712" s="14">
        <v>184527</v>
      </c>
      <c r="H1712" s="14">
        <v>126000</v>
      </c>
      <c r="I1712" s="14">
        <v>146000</v>
      </c>
      <c r="J1712" s="14">
        <v>3130</v>
      </c>
      <c r="K1712" s="14">
        <v>3480</v>
      </c>
      <c r="N1712" s="42">
        <f t="shared" si="70"/>
        <v>21000</v>
      </c>
      <c r="O1712" s="43">
        <f t="shared" si="71"/>
        <v>7.3426573426573424E-2</v>
      </c>
    </row>
    <row r="1713" spans="1:15" x14ac:dyDescent="0.45">
      <c r="A1713" s="12" t="s">
        <v>31669</v>
      </c>
      <c r="B1713" s="14">
        <v>262000</v>
      </c>
      <c r="C1713" s="14">
        <v>282000</v>
      </c>
      <c r="D1713" s="14">
        <v>188700</v>
      </c>
      <c r="E1713" s="14">
        <v>232650</v>
      </c>
      <c r="F1713" s="14">
        <v>145500</v>
      </c>
      <c r="G1713" s="14">
        <v>181946</v>
      </c>
      <c r="H1713" s="14">
        <v>119000</v>
      </c>
      <c r="I1713" s="14">
        <v>139000</v>
      </c>
      <c r="J1713" s="14">
        <v>2650</v>
      </c>
      <c r="K1713" s="14">
        <v>3000</v>
      </c>
      <c r="N1713" s="42">
        <f t="shared" si="70"/>
        <v>20000</v>
      </c>
      <c r="O1713" s="43">
        <f t="shared" si="71"/>
        <v>7.0921985815602842E-2</v>
      </c>
    </row>
    <row r="1714" spans="1:15" x14ac:dyDescent="0.45">
      <c r="A1714" s="12" t="s">
        <v>31670</v>
      </c>
      <c r="B1714" s="14">
        <v>262000</v>
      </c>
      <c r="C1714" s="14">
        <v>282500</v>
      </c>
      <c r="D1714" s="14">
        <v>188700</v>
      </c>
      <c r="E1714" s="14">
        <v>233062</v>
      </c>
      <c r="F1714" s="14">
        <v>145500</v>
      </c>
      <c r="G1714" s="14">
        <v>182269</v>
      </c>
      <c r="H1714" s="14">
        <v>119000</v>
      </c>
      <c r="I1714" s="14">
        <v>139000</v>
      </c>
      <c r="J1714" s="14">
        <v>2660</v>
      </c>
      <c r="K1714" s="14">
        <v>3010</v>
      </c>
      <c r="N1714" s="42">
        <f t="shared" si="70"/>
        <v>20500</v>
      </c>
      <c r="O1714" s="43">
        <f t="shared" si="71"/>
        <v>7.2566371681415928E-2</v>
      </c>
    </row>
    <row r="1715" spans="1:15" x14ac:dyDescent="0.45">
      <c r="A1715" s="12" t="s">
        <v>31671</v>
      </c>
      <c r="B1715" s="14">
        <v>261500</v>
      </c>
      <c r="C1715" s="14">
        <v>281000</v>
      </c>
      <c r="D1715" s="14">
        <v>188300</v>
      </c>
      <c r="E1715" s="14">
        <v>231825</v>
      </c>
      <c r="F1715" s="14">
        <v>145200</v>
      </c>
      <c r="G1715" s="14">
        <v>181301</v>
      </c>
      <c r="H1715" s="14">
        <v>117000</v>
      </c>
      <c r="I1715" s="14">
        <v>137000</v>
      </c>
      <c r="J1715" s="14">
        <v>2640</v>
      </c>
      <c r="K1715" s="14">
        <v>2990</v>
      </c>
      <c r="N1715" s="42">
        <f t="shared" si="70"/>
        <v>19500</v>
      </c>
      <c r="O1715" s="43">
        <f t="shared" si="71"/>
        <v>6.9395017793594305E-2</v>
      </c>
    </row>
    <row r="1716" spans="1:15" x14ac:dyDescent="0.45">
      <c r="A1716" s="12" t="s">
        <v>31672</v>
      </c>
      <c r="B1716" s="14">
        <v>259000</v>
      </c>
      <c r="C1716" s="14">
        <v>281000</v>
      </c>
      <c r="D1716" s="14">
        <v>186500</v>
      </c>
      <c r="E1716" s="14">
        <v>231825</v>
      </c>
      <c r="F1716" s="14">
        <v>143800</v>
      </c>
      <c r="G1716" s="14">
        <v>181301</v>
      </c>
      <c r="H1716" s="14">
        <v>117000</v>
      </c>
      <c r="I1716" s="14">
        <v>137000</v>
      </c>
      <c r="J1716" s="14">
        <v>2650</v>
      </c>
      <c r="K1716" s="14">
        <v>3000</v>
      </c>
      <c r="N1716" s="42">
        <f t="shared" si="70"/>
        <v>22000</v>
      </c>
      <c r="O1716" s="43">
        <f t="shared" si="71"/>
        <v>7.8291814946619215E-2</v>
      </c>
    </row>
    <row r="1717" spans="1:15" x14ac:dyDescent="0.45">
      <c r="A1717" s="12" t="s">
        <v>31673</v>
      </c>
      <c r="B1717" s="14">
        <v>257000</v>
      </c>
      <c r="C1717" s="14">
        <v>280500</v>
      </c>
      <c r="D1717" s="14">
        <v>185100</v>
      </c>
      <c r="E1717" s="14">
        <v>231412</v>
      </c>
      <c r="F1717" s="14">
        <v>142700</v>
      </c>
      <c r="G1717" s="14">
        <v>180978</v>
      </c>
      <c r="H1717" s="14">
        <v>118000</v>
      </c>
      <c r="I1717" s="14">
        <v>138000</v>
      </c>
      <c r="J1717" s="14">
        <v>2640</v>
      </c>
      <c r="K1717" s="14">
        <v>2990</v>
      </c>
      <c r="N1717" s="42">
        <f t="shared" si="70"/>
        <v>23500</v>
      </c>
      <c r="O1717" s="43">
        <f t="shared" si="71"/>
        <v>8.3778966131907315E-2</v>
      </c>
    </row>
    <row r="1718" spans="1:15" x14ac:dyDescent="0.45">
      <c r="A1718" s="12" t="s">
        <v>31674</v>
      </c>
      <c r="B1718" s="14">
        <v>256500</v>
      </c>
      <c r="C1718" s="14">
        <v>280000</v>
      </c>
      <c r="D1718" s="14">
        <v>184700</v>
      </c>
      <c r="E1718" s="14">
        <v>231000</v>
      </c>
      <c r="F1718" s="14">
        <v>142400</v>
      </c>
      <c r="G1718" s="14">
        <v>180656</v>
      </c>
      <c r="H1718" s="14">
        <v>119000</v>
      </c>
      <c r="I1718" s="14">
        <v>139000</v>
      </c>
      <c r="J1718" s="14">
        <v>2620</v>
      </c>
      <c r="K1718" s="14">
        <v>2970</v>
      </c>
      <c r="N1718" s="42">
        <f t="shared" si="70"/>
        <v>23500</v>
      </c>
      <c r="O1718" s="43">
        <f t="shared" si="71"/>
        <v>8.3928571428571422E-2</v>
      </c>
    </row>
    <row r="1719" spans="1:15" x14ac:dyDescent="0.45">
      <c r="A1719" s="12" t="s">
        <v>31675</v>
      </c>
      <c r="B1719" s="14">
        <v>255500</v>
      </c>
      <c r="C1719" s="14">
        <v>279500</v>
      </c>
      <c r="D1719" s="14">
        <v>184000</v>
      </c>
      <c r="E1719" s="14">
        <v>230587</v>
      </c>
      <c r="F1719" s="14">
        <v>141900</v>
      </c>
      <c r="G1719" s="14">
        <v>180333</v>
      </c>
      <c r="H1719" s="14">
        <v>117000</v>
      </c>
      <c r="I1719" s="14">
        <v>137000</v>
      </c>
      <c r="J1719" s="14">
        <v>2560</v>
      </c>
      <c r="K1719" s="14">
        <v>2910</v>
      </c>
      <c r="N1719" s="42">
        <f t="shared" si="70"/>
        <v>24000</v>
      </c>
      <c r="O1719" s="43">
        <f t="shared" si="71"/>
        <v>8.5867620751341675E-2</v>
      </c>
    </row>
    <row r="1720" spans="1:15" x14ac:dyDescent="0.45">
      <c r="A1720" s="12" t="s">
        <v>31676</v>
      </c>
      <c r="B1720" s="14">
        <v>255000</v>
      </c>
      <c r="C1720" s="14">
        <v>279000</v>
      </c>
      <c r="D1720" s="14">
        <v>183600</v>
      </c>
      <c r="E1720" s="14">
        <v>230175</v>
      </c>
      <c r="F1720" s="14">
        <v>141600</v>
      </c>
      <c r="G1720" s="14">
        <v>180010</v>
      </c>
      <c r="H1720" s="14">
        <v>119000</v>
      </c>
      <c r="I1720" s="14">
        <v>139000</v>
      </c>
      <c r="J1720" s="14">
        <v>2550</v>
      </c>
      <c r="K1720" s="14">
        <v>2900</v>
      </c>
      <c r="N1720" s="42">
        <f t="shared" si="70"/>
        <v>24000</v>
      </c>
      <c r="O1720" s="43">
        <f t="shared" si="71"/>
        <v>8.6021505376344093E-2</v>
      </c>
    </row>
    <row r="1721" spans="1:15" x14ac:dyDescent="0.45">
      <c r="A1721" s="12" t="s">
        <v>31677</v>
      </c>
      <c r="B1721" s="14">
        <v>254000</v>
      </c>
      <c r="C1721" s="14">
        <v>279500</v>
      </c>
      <c r="D1721" s="14">
        <v>182900</v>
      </c>
      <c r="E1721" s="14">
        <v>230587</v>
      </c>
      <c r="F1721" s="14">
        <v>141000</v>
      </c>
      <c r="G1721" s="14">
        <v>180333</v>
      </c>
      <c r="H1721" s="14">
        <v>121000</v>
      </c>
      <c r="I1721" s="14">
        <v>141000</v>
      </c>
      <c r="J1721" s="14">
        <v>2560</v>
      </c>
      <c r="K1721" s="14">
        <v>2910</v>
      </c>
      <c r="N1721" s="42">
        <f t="shared" si="70"/>
        <v>25500</v>
      </c>
      <c r="O1721" s="43">
        <f t="shared" si="71"/>
        <v>9.1234347048300538E-2</v>
      </c>
    </row>
    <row r="1722" spans="1:15" x14ac:dyDescent="0.45">
      <c r="A1722" s="12" t="s">
        <v>31678</v>
      </c>
      <c r="B1722" s="14">
        <v>252000</v>
      </c>
      <c r="C1722" s="14">
        <v>277000</v>
      </c>
      <c r="D1722" s="14">
        <v>181500</v>
      </c>
      <c r="E1722" s="14">
        <v>228525</v>
      </c>
      <c r="F1722" s="14">
        <v>139900</v>
      </c>
      <c r="G1722" s="14">
        <v>178720</v>
      </c>
      <c r="H1722" s="14">
        <v>119000</v>
      </c>
      <c r="I1722" s="14">
        <v>139000</v>
      </c>
      <c r="J1722" s="14">
        <v>2470</v>
      </c>
      <c r="K1722" s="14">
        <v>2820</v>
      </c>
      <c r="N1722" s="42">
        <f t="shared" si="70"/>
        <v>25000</v>
      </c>
      <c r="O1722" s="43">
        <f t="shared" si="71"/>
        <v>9.0252707581227443E-2</v>
      </c>
    </row>
    <row r="1723" spans="1:15" x14ac:dyDescent="0.45">
      <c r="A1723" s="12" t="s">
        <v>31679</v>
      </c>
      <c r="B1723" s="14">
        <v>250000</v>
      </c>
      <c r="C1723" s="14">
        <v>274500</v>
      </c>
      <c r="D1723" s="14">
        <v>180000</v>
      </c>
      <c r="E1723" s="14">
        <v>226462</v>
      </c>
      <c r="F1723" s="14">
        <v>138800</v>
      </c>
      <c r="G1723" s="14">
        <v>177107</v>
      </c>
      <c r="H1723" s="14">
        <v>117000</v>
      </c>
      <c r="I1723" s="14">
        <v>137000</v>
      </c>
      <c r="J1723" s="14">
        <v>2470</v>
      </c>
      <c r="K1723" s="14">
        <v>2820</v>
      </c>
      <c r="N1723" s="42">
        <f t="shared" si="70"/>
        <v>24500</v>
      </c>
      <c r="O1723" s="43">
        <f t="shared" si="71"/>
        <v>8.9253187613843349E-2</v>
      </c>
    </row>
    <row r="1724" spans="1:15" x14ac:dyDescent="0.45">
      <c r="A1724" s="12" t="s">
        <v>31680</v>
      </c>
      <c r="B1724" s="14">
        <v>250000</v>
      </c>
      <c r="C1724" s="14">
        <v>274500</v>
      </c>
      <c r="D1724" s="14">
        <v>180000</v>
      </c>
      <c r="E1724" s="14">
        <v>226462</v>
      </c>
      <c r="F1724" s="14">
        <v>138800</v>
      </c>
      <c r="G1724" s="14">
        <v>177107</v>
      </c>
      <c r="H1724" s="14">
        <v>115000</v>
      </c>
      <c r="I1724" s="14">
        <v>135000</v>
      </c>
      <c r="J1724" s="14">
        <v>2440</v>
      </c>
      <c r="K1724" s="14">
        <v>2790</v>
      </c>
      <c r="N1724" s="42">
        <f t="shared" si="70"/>
        <v>24500</v>
      </c>
      <c r="O1724" s="43">
        <f t="shared" si="71"/>
        <v>8.9253187613843349E-2</v>
      </c>
    </row>
    <row r="1725" spans="1:15" x14ac:dyDescent="0.45">
      <c r="A1725" s="12" t="s">
        <v>31681</v>
      </c>
      <c r="B1725" s="14">
        <v>250000</v>
      </c>
      <c r="C1725" s="14">
        <v>275000</v>
      </c>
      <c r="D1725" s="14">
        <v>180000</v>
      </c>
      <c r="E1725" s="14">
        <v>226875</v>
      </c>
      <c r="F1725" s="14">
        <v>138800</v>
      </c>
      <c r="G1725" s="14">
        <v>177430</v>
      </c>
      <c r="H1725" s="14">
        <v>115000</v>
      </c>
      <c r="I1725" s="14">
        <v>135000</v>
      </c>
      <c r="J1725" s="14">
        <v>2460</v>
      </c>
      <c r="K1725" s="14">
        <v>2810</v>
      </c>
      <c r="N1725" s="42">
        <f t="shared" si="70"/>
        <v>25000</v>
      </c>
      <c r="O1725" s="43">
        <f t="shared" si="71"/>
        <v>9.0909090909090912E-2</v>
      </c>
    </row>
    <row r="1726" spans="1:15" x14ac:dyDescent="0.45">
      <c r="A1726" s="12" t="s">
        <v>31682</v>
      </c>
      <c r="B1726" s="14">
        <v>250000</v>
      </c>
      <c r="C1726" s="14">
        <v>275000</v>
      </c>
      <c r="D1726" s="14">
        <v>180000</v>
      </c>
      <c r="E1726" s="14">
        <v>226875</v>
      </c>
      <c r="F1726" s="14">
        <v>138800</v>
      </c>
      <c r="G1726" s="14">
        <v>177430</v>
      </c>
      <c r="H1726" s="14">
        <v>115000</v>
      </c>
      <c r="I1726" s="14">
        <v>135000</v>
      </c>
      <c r="J1726" s="14">
        <v>2440</v>
      </c>
      <c r="K1726" s="14">
        <v>2790</v>
      </c>
      <c r="N1726" s="42">
        <f t="shared" si="70"/>
        <v>25000</v>
      </c>
      <c r="O1726" s="43">
        <f t="shared" si="71"/>
        <v>9.0909090909090912E-2</v>
      </c>
    </row>
    <row r="1727" spans="1:15" x14ac:dyDescent="0.45">
      <c r="A1727" s="12" t="s">
        <v>31683</v>
      </c>
      <c r="B1727" s="14">
        <v>250000</v>
      </c>
      <c r="C1727" s="14">
        <v>274500</v>
      </c>
      <c r="D1727" s="14">
        <v>180000</v>
      </c>
      <c r="E1727" s="14">
        <v>226462</v>
      </c>
      <c r="F1727" s="14">
        <v>138800</v>
      </c>
      <c r="G1727" s="14">
        <v>177107</v>
      </c>
      <c r="H1727" s="14">
        <v>117000</v>
      </c>
      <c r="I1727" s="14">
        <v>137000</v>
      </c>
      <c r="J1727" s="14">
        <v>2450</v>
      </c>
      <c r="K1727" s="14">
        <v>2800</v>
      </c>
      <c r="N1727" s="42">
        <f t="shared" si="70"/>
        <v>24500</v>
      </c>
      <c r="O1727" s="43">
        <f t="shared" si="71"/>
        <v>8.9253187613843349E-2</v>
      </c>
    </row>
    <row r="1728" spans="1:15" x14ac:dyDescent="0.45">
      <c r="A1728" s="12" t="s">
        <v>31684</v>
      </c>
      <c r="B1728" s="14">
        <v>251000</v>
      </c>
      <c r="C1728" s="14">
        <v>276000</v>
      </c>
      <c r="D1728" s="14">
        <v>180800</v>
      </c>
      <c r="E1728" s="14">
        <v>227700</v>
      </c>
      <c r="F1728" s="14">
        <v>139400</v>
      </c>
      <c r="G1728" s="14">
        <v>178075</v>
      </c>
      <c r="H1728" s="14">
        <v>118000</v>
      </c>
      <c r="I1728" s="14">
        <v>138000</v>
      </c>
      <c r="J1728" s="14">
        <v>2470</v>
      </c>
      <c r="K1728" s="14">
        <v>2820</v>
      </c>
      <c r="N1728" s="42">
        <f t="shared" si="70"/>
        <v>25000</v>
      </c>
      <c r="O1728" s="43">
        <f t="shared" si="71"/>
        <v>9.0579710144927536E-2</v>
      </c>
    </row>
    <row r="1729" spans="1:15" x14ac:dyDescent="0.45">
      <c r="A1729" s="12" t="s">
        <v>31685</v>
      </c>
      <c r="B1729" s="14">
        <v>250000</v>
      </c>
      <c r="C1729" s="14">
        <v>275500</v>
      </c>
      <c r="D1729" s="14">
        <v>180000</v>
      </c>
      <c r="E1729" s="14">
        <v>227287</v>
      </c>
      <c r="F1729" s="14">
        <v>138800</v>
      </c>
      <c r="G1729" s="14">
        <v>177752</v>
      </c>
      <c r="H1729" s="14">
        <v>115000</v>
      </c>
      <c r="I1729" s="14">
        <v>135000</v>
      </c>
      <c r="J1729" s="14">
        <v>2430</v>
      </c>
      <c r="K1729" s="14">
        <v>2780</v>
      </c>
      <c r="N1729" s="42">
        <f t="shared" si="70"/>
        <v>25500</v>
      </c>
      <c r="O1729" s="43">
        <f t="shared" si="71"/>
        <v>9.2558983666061703E-2</v>
      </c>
    </row>
    <row r="1730" spans="1:15" x14ac:dyDescent="0.45">
      <c r="A1730" s="12" t="s">
        <v>31686</v>
      </c>
      <c r="B1730" s="14">
        <v>250000</v>
      </c>
      <c r="C1730" s="14">
        <v>275500</v>
      </c>
      <c r="D1730" s="14">
        <v>180000</v>
      </c>
      <c r="E1730" s="14">
        <v>227287</v>
      </c>
      <c r="F1730" s="14">
        <v>138800</v>
      </c>
      <c r="G1730" s="14">
        <v>177752</v>
      </c>
      <c r="H1730" s="14">
        <v>116000</v>
      </c>
      <c r="I1730" s="14">
        <v>136000</v>
      </c>
      <c r="J1730" s="14">
        <v>2410</v>
      </c>
      <c r="K1730" s="14">
        <v>2760</v>
      </c>
      <c r="N1730" s="42">
        <f t="shared" si="70"/>
        <v>25500</v>
      </c>
      <c r="O1730" s="43">
        <f t="shared" si="71"/>
        <v>9.2558983666061703E-2</v>
      </c>
    </row>
    <row r="1731" spans="1:15" x14ac:dyDescent="0.45">
      <c r="A1731" s="12" t="s">
        <v>31687</v>
      </c>
      <c r="B1731" s="14">
        <v>249000</v>
      </c>
      <c r="C1731" s="14">
        <v>273500</v>
      </c>
      <c r="D1731" s="14">
        <v>179300</v>
      </c>
      <c r="E1731" s="14">
        <v>225637</v>
      </c>
      <c r="F1731" s="14">
        <v>138200</v>
      </c>
      <c r="G1731" s="14">
        <v>176462</v>
      </c>
      <c r="H1731" s="14">
        <v>113000</v>
      </c>
      <c r="I1731" s="14">
        <v>133000</v>
      </c>
      <c r="J1731" s="14">
        <v>2400</v>
      </c>
      <c r="K1731" s="14">
        <v>2750</v>
      </c>
      <c r="N1731" s="42">
        <f t="shared" si="70"/>
        <v>24500</v>
      </c>
      <c r="O1731" s="43">
        <f t="shared" si="71"/>
        <v>8.957952468007313E-2</v>
      </c>
    </row>
    <row r="1732" spans="1:15" x14ac:dyDescent="0.45">
      <c r="A1732" s="12" t="s">
        <v>31688</v>
      </c>
      <c r="B1732" s="14">
        <v>250000</v>
      </c>
      <c r="C1732" s="14">
        <v>274500</v>
      </c>
      <c r="D1732" s="14">
        <v>180000</v>
      </c>
      <c r="E1732" s="14">
        <v>226462</v>
      </c>
      <c r="F1732" s="14">
        <v>138800</v>
      </c>
      <c r="G1732" s="14">
        <v>177107</v>
      </c>
      <c r="H1732" s="14">
        <v>114000</v>
      </c>
      <c r="I1732" s="14">
        <v>134000</v>
      </c>
      <c r="J1732" s="14">
        <v>2390</v>
      </c>
      <c r="K1732" s="14">
        <v>2740</v>
      </c>
      <c r="N1732" s="42">
        <f t="shared" si="70"/>
        <v>24500</v>
      </c>
      <c r="O1732" s="43">
        <f t="shared" si="71"/>
        <v>8.9253187613843349E-2</v>
      </c>
    </row>
    <row r="1733" spans="1:15" x14ac:dyDescent="0.45">
      <c r="A1733" s="12" t="s">
        <v>31689</v>
      </c>
      <c r="B1733" s="14">
        <v>250000</v>
      </c>
      <c r="C1733" s="14">
        <v>276000</v>
      </c>
      <c r="D1733" s="14">
        <v>180000</v>
      </c>
      <c r="E1733" s="14">
        <v>227700</v>
      </c>
      <c r="F1733" s="14">
        <v>138800</v>
      </c>
      <c r="G1733" s="14">
        <v>178075</v>
      </c>
      <c r="H1733" s="14">
        <v>118000</v>
      </c>
      <c r="I1733" s="14">
        <v>138000</v>
      </c>
      <c r="J1733" s="14">
        <v>2440</v>
      </c>
      <c r="K1733" s="14">
        <v>2790</v>
      </c>
      <c r="N1733" s="42">
        <f t="shared" si="70"/>
        <v>26000</v>
      </c>
      <c r="O1733" s="43">
        <f t="shared" si="71"/>
        <v>9.420289855072464E-2</v>
      </c>
    </row>
    <row r="1734" spans="1:15" x14ac:dyDescent="0.45">
      <c r="A1734" s="12" t="s">
        <v>31690</v>
      </c>
      <c r="B1734" s="14">
        <v>249000</v>
      </c>
      <c r="C1734" s="14">
        <v>274000</v>
      </c>
      <c r="D1734" s="14">
        <v>179300</v>
      </c>
      <c r="E1734" s="14">
        <v>226050</v>
      </c>
      <c r="F1734" s="14">
        <v>138200</v>
      </c>
      <c r="G1734" s="14">
        <v>176784</v>
      </c>
      <c r="H1734" s="14">
        <v>117000</v>
      </c>
      <c r="I1734" s="14">
        <v>137000</v>
      </c>
      <c r="J1734" s="14">
        <v>2420</v>
      </c>
      <c r="K1734" s="14">
        <v>2770</v>
      </c>
      <c r="N1734" s="42">
        <f t="shared" si="70"/>
        <v>25000</v>
      </c>
      <c r="O1734" s="43">
        <f t="shared" si="71"/>
        <v>9.1240875912408759E-2</v>
      </c>
    </row>
    <row r="1735" spans="1:15" x14ac:dyDescent="0.45">
      <c r="A1735" s="12" t="s">
        <v>31691</v>
      </c>
      <c r="B1735" s="14">
        <v>250000</v>
      </c>
      <c r="C1735" s="14">
        <v>274000</v>
      </c>
      <c r="D1735" s="14">
        <v>180000</v>
      </c>
      <c r="E1735" s="14">
        <v>226050</v>
      </c>
      <c r="F1735" s="14">
        <v>138800</v>
      </c>
      <c r="G1735" s="14">
        <v>176784</v>
      </c>
      <c r="H1735" s="14">
        <v>116000</v>
      </c>
      <c r="I1735" s="14">
        <v>136000</v>
      </c>
      <c r="J1735" s="14">
        <v>2440</v>
      </c>
      <c r="K1735" s="14">
        <v>2790</v>
      </c>
      <c r="N1735" s="42">
        <f t="shared" si="70"/>
        <v>24000</v>
      </c>
      <c r="O1735" s="43">
        <f t="shared" si="71"/>
        <v>8.7591240875912413E-2</v>
      </c>
    </row>
    <row r="1736" spans="1:15" x14ac:dyDescent="0.45">
      <c r="A1736" s="12" t="s">
        <v>31692</v>
      </c>
      <c r="B1736" s="14">
        <v>248500</v>
      </c>
      <c r="C1736" s="14">
        <v>273000</v>
      </c>
      <c r="D1736" s="14">
        <v>179000</v>
      </c>
      <c r="E1736" s="14">
        <v>225225</v>
      </c>
      <c r="F1736" s="14">
        <v>138000</v>
      </c>
      <c r="G1736" s="14">
        <v>176139</v>
      </c>
      <c r="H1736" s="14">
        <v>115000</v>
      </c>
      <c r="I1736" s="14">
        <v>135000</v>
      </c>
      <c r="J1736" s="14">
        <v>2410</v>
      </c>
      <c r="K1736" s="14">
        <v>2760</v>
      </c>
      <c r="N1736" s="42">
        <f t="shared" si="70"/>
        <v>24500</v>
      </c>
      <c r="O1736" s="43">
        <f t="shared" si="71"/>
        <v>8.9743589743589744E-2</v>
      </c>
    </row>
    <row r="1737" spans="1:15" x14ac:dyDescent="0.45">
      <c r="A1737" s="12" t="s">
        <v>31693</v>
      </c>
      <c r="B1737" s="14">
        <v>246500</v>
      </c>
      <c r="C1737" s="14">
        <v>270500</v>
      </c>
      <c r="D1737" s="14">
        <v>177500</v>
      </c>
      <c r="E1737" s="14">
        <v>223162</v>
      </c>
      <c r="F1737" s="14">
        <v>136900</v>
      </c>
      <c r="G1737" s="14">
        <v>174526</v>
      </c>
      <c r="H1737" s="14">
        <v>115000</v>
      </c>
      <c r="I1737" s="14">
        <v>135000</v>
      </c>
      <c r="J1737" s="14">
        <v>2380</v>
      </c>
      <c r="K1737" s="14">
        <v>2730</v>
      </c>
      <c r="N1737" s="42">
        <f t="shared" si="70"/>
        <v>24000</v>
      </c>
      <c r="O1737" s="43">
        <f t="shared" si="71"/>
        <v>8.8724584103512014E-2</v>
      </c>
    </row>
    <row r="1738" spans="1:15" x14ac:dyDescent="0.45">
      <c r="A1738" s="12" t="s">
        <v>31694</v>
      </c>
      <c r="B1738" s="14">
        <v>246500</v>
      </c>
      <c r="C1738" s="14">
        <v>271500</v>
      </c>
      <c r="D1738" s="14">
        <v>177500</v>
      </c>
      <c r="E1738" s="14">
        <v>223987</v>
      </c>
      <c r="F1738" s="14">
        <v>136900</v>
      </c>
      <c r="G1738" s="14">
        <v>175171</v>
      </c>
      <c r="H1738" s="14">
        <v>117000</v>
      </c>
      <c r="I1738" s="14">
        <v>137000</v>
      </c>
      <c r="J1738" s="14">
        <v>2390</v>
      </c>
      <c r="K1738" s="14">
        <v>2740</v>
      </c>
      <c r="N1738" s="42">
        <f t="shared" si="70"/>
        <v>25000</v>
      </c>
      <c r="O1738" s="43">
        <f t="shared" si="71"/>
        <v>9.2081031307550645E-2</v>
      </c>
    </row>
    <row r="1739" spans="1:15" x14ac:dyDescent="0.45">
      <c r="A1739" s="12" t="s">
        <v>31695</v>
      </c>
      <c r="B1739" s="14">
        <v>248000</v>
      </c>
      <c r="C1739" s="14">
        <v>271000</v>
      </c>
      <c r="D1739" s="14">
        <v>178600</v>
      </c>
      <c r="E1739" s="14">
        <v>223575</v>
      </c>
      <c r="F1739" s="14">
        <v>137700</v>
      </c>
      <c r="G1739" s="14">
        <v>174849</v>
      </c>
      <c r="H1739" s="14">
        <v>118000</v>
      </c>
      <c r="I1739" s="14">
        <v>138000</v>
      </c>
      <c r="J1739" s="14">
        <v>2390</v>
      </c>
      <c r="K1739" s="14">
        <v>2740</v>
      </c>
      <c r="N1739" s="42">
        <f t="shared" si="70"/>
        <v>23000</v>
      </c>
      <c r="O1739" s="43">
        <f t="shared" si="71"/>
        <v>8.4870848708487087E-2</v>
      </c>
    </row>
    <row r="1740" spans="1:15" x14ac:dyDescent="0.45">
      <c r="A1740" s="12" t="s">
        <v>31696</v>
      </c>
      <c r="B1740" s="14">
        <v>247000</v>
      </c>
      <c r="C1740" s="14">
        <v>270000</v>
      </c>
      <c r="D1740" s="14">
        <v>177900</v>
      </c>
      <c r="E1740" s="14">
        <v>222750</v>
      </c>
      <c r="F1740" s="14">
        <v>137100</v>
      </c>
      <c r="G1740" s="14">
        <v>174204</v>
      </c>
      <c r="H1740" s="14">
        <v>116000</v>
      </c>
      <c r="I1740" s="14">
        <v>136000</v>
      </c>
      <c r="J1740" s="14">
        <v>2350</v>
      </c>
      <c r="K1740" s="14">
        <v>2700</v>
      </c>
      <c r="N1740" s="42">
        <f t="shared" si="70"/>
        <v>23000</v>
      </c>
      <c r="O1740" s="43">
        <f t="shared" si="71"/>
        <v>8.5185185185185183E-2</v>
      </c>
    </row>
    <row r="1741" spans="1:15" x14ac:dyDescent="0.45">
      <c r="A1741" s="12" t="s">
        <v>31697</v>
      </c>
      <c r="B1741" s="14">
        <v>248000</v>
      </c>
      <c r="C1741" s="14">
        <v>271000</v>
      </c>
      <c r="D1741" s="14">
        <v>178600</v>
      </c>
      <c r="E1741" s="14">
        <v>223575</v>
      </c>
      <c r="F1741" s="14">
        <v>137700</v>
      </c>
      <c r="G1741" s="14">
        <v>174849</v>
      </c>
      <c r="H1741" s="14">
        <v>116000</v>
      </c>
      <c r="I1741" s="14">
        <v>136000</v>
      </c>
      <c r="J1741" s="14">
        <v>2390</v>
      </c>
      <c r="K1741" s="14">
        <v>2740</v>
      </c>
      <c r="N1741" s="42">
        <f t="shared" si="70"/>
        <v>23000</v>
      </c>
      <c r="O1741" s="43">
        <f t="shared" si="71"/>
        <v>8.4870848708487087E-2</v>
      </c>
    </row>
    <row r="1742" spans="1:15" x14ac:dyDescent="0.45">
      <c r="A1742" s="12" t="s">
        <v>31698</v>
      </c>
      <c r="B1742" s="14">
        <v>247000</v>
      </c>
      <c r="C1742" s="14">
        <v>269500</v>
      </c>
      <c r="D1742" s="14">
        <v>177900</v>
      </c>
      <c r="E1742" s="14">
        <v>222337</v>
      </c>
      <c r="F1742" s="14">
        <v>137100</v>
      </c>
      <c r="G1742" s="14">
        <v>173881</v>
      </c>
      <c r="H1742" s="14">
        <v>114000</v>
      </c>
      <c r="I1742" s="14">
        <v>134000</v>
      </c>
      <c r="J1742" s="14">
        <v>2400</v>
      </c>
      <c r="K1742" s="14">
        <v>2750</v>
      </c>
      <c r="N1742" s="42">
        <f t="shared" si="70"/>
        <v>22500</v>
      </c>
      <c r="O1742" s="43">
        <f t="shared" si="71"/>
        <v>8.3487940630797772E-2</v>
      </c>
    </row>
    <row r="1743" spans="1:15" x14ac:dyDescent="0.45">
      <c r="A1743" s="12" t="s">
        <v>31699</v>
      </c>
      <c r="B1743" s="14">
        <v>247000</v>
      </c>
      <c r="C1743" s="14">
        <v>269500</v>
      </c>
      <c r="D1743" s="14">
        <v>177900</v>
      </c>
      <c r="E1743" s="14">
        <v>222337</v>
      </c>
      <c r="F1743" s="14">
        <v>137100</v>
      </c>
      <c r="G1743" s="14">
        <v>173881</v>
      </c>
      <c r="H1743" s="14">
        <v>114000</v>
      </c>
      <c r="I1743" s="14">
        <v>134000</v>
      </c>
      <c r="J1743" s="14">
        <v>2400</v>
      </c>
      <c r="K1743" s="14">
        <v>2750</v>
      </c>
      <c r="N1743" s="42">
        <f t="shared" si="70"/>
        <v>22500</v>
      </c>
      <c r="O1743" s="43">
        <f t="shared" si="71"/>
        <v>8.3487940630797772E-2</v>
      </c>
    </row>
    <row r="1744" spans="1:15" x14ac:dyDescent="0.45">
      <c r="A1744" s="12" t="s">
        <v>31700</v>
      </c>
      <c r="B1744" s="14">
        <v>245000</v>
      </c>
      <c r="C1744" s="14">
        <v>267000</v>
      </c>
      <c r="D1744" s="14">
        <v>176400</v>
      </c>
      <c r="E1744" s="14">
        <v>220275</v>
      </c>
      <c r="F1744" s="14">
        <v>136000</v>
      </c>
      <c r="G1744" s="14">
        <v>172268</v>
      </c>
      <c r="H1744" s="14">
        <v>118000</v>
      </c>
      <c r="I1744" s="14">
        <v>138000</v>
      </c>
      <c r="J1744" s="14">
        <v>2420</v>
      </c>
      <c r="K1744" s="14">
        <v>2770</v>
      </c>
      <c r="N1744" s="42">
        <f t="shared" si="70"/>
        <v>22000</v>
      </c>
      <c r="O1744" s="43">
        <f t="shared" si="71"/>
        <v>8.2397003745318345E-2</v>
      </c>
    </row>
    <row r="1745" spans="1:15" x14ac:dyDescent="0.45">
      <c r="A1745" s="12" t="s">
        <v>31701</v>
      </c>
      <c r="B1745" s="14">
        <v>243500</v>
      </c>
      <c r="C1745" s="14">
        <v>266000</v>
      </c>
      <c r="D1745" s="14">
        <v>175400</v>
      </c>
      <c r="E1745" s="14">
        <v>219450</v>
      </c>
      <c r="F1745" s="14">
        <v>135200</v>
      </c>
      <c r="G1745" s="14">
        <v>171623</v>
      </c>
      <c r="H1745" s="14">
        <v>118000</v>
      </c>
      <c r="I1745" s="14">
        <v>138000</v>
      </c>
      <c r="J1745" s="14">
        <v>2370</v>
      </c>
      <c r="K1745" s="14">
        <v>2720</v>
      </c>
      <c r="N1745" s="42">
        <f t="shared" si="70"/>
        <v>22500</v>
      </c>
      <c r="O1745" s="43">
        <f t="shared" si="71"/>
        <v>8.4586466165413529E-2</v>
      </c>
    </row>
    <row r="1746" spans="1:15" x14ac:dyDescent="0.45">
      <c r="A1746" s="12" t="s">
        <v>31702</v>
      </c>
      <c r="B1746" s="14">
        <v>242500</v>
      </c>
      <c r="C1746" s="14">
        <v>264000</v>
      </c>
      <c r="D1746" s="14">
        <v>174600</v>
      </c>
      <c r="E1746" s="14">
        <v>217800</v>
      </c>
      <c r="F1746" s="14">
        <v>134600</v>
      </c>
      <c r="G1746" s="14">
        <v>170332</v>
      </c>
      <c r="H1746" s="14">
        <v>118000</v>
      </c>
      <c r="I1746" s="14">
        <v>138000</v>
      </c>
      <c r="J1746" s="14">
        <v>2390</v>
      </c>
      <c r="K1746" s="14">
        <v>2740</v>
      </c>
      <c r="N1746" s="42">
        <f t="shared" si="70"/>
        <v>21500</v>
      </c>
      <c r="O1746" s="43">
        <f t="shared" si="71"/>
        <v>8.1439393939393936E-2</v>
      </c>
    </row>
    <row r="1747" spans="1:15" x14ac:dyDescent="0.45">
      <c r="A1747" s="12" t="s">
        <v>31703</v>
      </c>
      <c r="B1747" s="14">
        <v>240000</v>
      </c>
      <c r="C1747" s="14">
        <v>262000</v>
      </c>
      <c r="D1747" s="14">
        <v>172800</v>
      </c>
      <c r="E1747" s="14">
        <v>216150</v>
      </c>
      <c r="F1747" s="14">
        <v>133200</v>
      </c>
      <c r="G1747" s="14">
        <v>169042</v>
      </c>
      <c r="H1747" s="14">
        <v>120000</v>
      </c>
      <c r="I1747" s="14">
        <v>140000</v>
      </c>
      <c r="J1747" s="14">
        <v>2370</v>
      </c>
      <c r="K1747" s="14">
        <v>2720</v>
      </c>
      <c r="N1747" s="42">
        <f t="shared" si="70"/>
        <v>22000</v>
      </c>
      <c r="O1747" s="43">
        <f t="shared" si="71"/>
        <v>8.3969465648854963E-2</v>
      </c>
    </row>
    <row r="1748" spans="1:15" x14ac:dyDescent="0.45">
      <c r="A1748" s="12" t="s">
        <v>31704</v>
      </c>
      <c r="B1748" s="14">
        <v>246000</v>
      </c>
      <c r="C1748" s="14">
        <v>267000</v>
      </c>
      <c r="D1748" s="14">
        <v>177200</v>
      </c>
      <c r="E1748" s="14">
        <v>220275</v>
      </c>
      <c r="F1748" s="14">
        <v>136600</v>
      </c>
      <c r="G1748" s="14">
        <v>172268</v>
      </c>
      <c r="H1748" s="14">
        <v>120000</v>
      </c>
      <c r="I1748" s="14">
        <v>140000</v>
      </c>
      <c r="J1748" s="14">
        <v>2430</v>
      </c>
      <c r="K1748" s="14">
        <v>2780</v>
      </c>
      <c r="N1748" s="42">
        <f t="shared" si="70"/>
        <v>21000</v>
      </c>
      <c r="O1748" s="43">
        <f t="shared" si="71"/>
        <v>7.8651685393258425E-2</v>
      </c>
    </row>
    <row r="1749" spans="1:15" x14ac:dyDescent="0.45">
      <c r="A1749" s="12" t="s">
        <v>31705</v>
      </c>
      <c r="B1749" s="14">
        <v>247500</v>
      </c>
      <c r="C1749" s="14">
        <v>270500</v>
      </c>
      <c r="D1749" s="14">
        <v>178200</v>
      </c>
      <c r="E1749" s="14">
        <v>223162</v>
      </c>
      <c r="F1749" s="14">
        <v>137400</v>
      </c>
      <c r="G1749" s="14">
        <v>174526</v>
      </c>
      <c r="H1749" s="14">
        <v>122000</v>
      </c>
      <c r="I1749" s="14">
        <v>142000</v>
      </c>
      <c r="J1749" s="14">
        <v>2480</v>
      </c>
      <c r="K1749" s="14">
        <v>2830</v>
      </c>
      <c r="N1749" s="42">
        <f t="shared" si="70"/>
        <v>23000</v>
      </c>
      <c r="O1749" s="43">
        <f t="shared" si="71"/>
        <v>8.5027726432532341E-2</v>
      </c>
    </row>
    <row r="1750" spans="1:15" x14ac:dyDescent="0.45">
      <c r="A1750" s="12" t="s">
        <v>31706</v>
      </c>
      <c r="B1750" s="14">
        <v>249500</v>
      </c>
      <c r="C1750" s="14">
        <v>274000</v>
      </c>
      <c r="D1750" s="14">
        <v>179700</v>
      </c>
      <c r="E1750" s="14">
        <v>226050</v>
      </c>
      <c r="F1750" s="14">
        <v>138500</v>
      </c>
      <c r="G1750" s="14">
        <v>176784</v>
      </c>
      <c r="H1750" s="14">
        <v>124000</v>
      </c>
      <c r="I1750" s="14">
        <v>144000</v>
      </c>
      <c r="J1750" s="14">
        <v>2540</v>
      </c>
      <c r="K1750" s="14">
        <v>2890</v>
      </c>
      <c r="N1750" s="42">
        <f t="shared" si="70"/>
        <v>24500</v>
      </c>
      <c r="O1750" s="43">
        <f t="shared" si="71"/>
        <v>8.9416058394160586E-2</v>
      </c>
    </row>
    <row r="1751" spans="1:15" x14ac:dyDescent="0.45">
      <c r="A1751" s="12" t="s">
        <v>31707</v>
      </c>
      <c r="B1751" s="14">
        <v>248000</v>
      </c>
      <c r="C1751" s="14">
        <v>274500</v>
      </c>
      <c r="D1751" s="14">
        <v>178600</v>
      </c>
      <c r="E1751" s="14">
        <v>226462</v>
      </c>
      <c r="F1751" s="14">
        <v>137700</v>
      </c>
      <c r="G1751" s="14">
        <v>177107</v>
      </c>
      <c r="H1751" s="14">
        <v>123000</v>
      </c>
      <c r="I1751" s="14">
        <v>143000</v>
      </c>
      <c r="J1751" s="14">
        <v>2490</v>
      </c>
      <c r="K1751" s="14">
        <v>2840</v>
      </c>
      <c r="N1751" s="42">
        <f t="shared" si="70"/>
        <v>26500</v>
      </c>
      <c r="O1751" s="43">
        <f t="shared" si="71"/>
        <v>9.6539162112932606E-2</v>
      </c>
    </row>
    <row r="1752" spans="1:15" x14ac:dyDescent="0.45">
      <c r="A1752" s="12" t="s">
        <v>31708</v>
      </c>
      <c r="B1752" s="14">
        <v>248500</v>
      </c>
      <c r="C1752" s="14">
        <v>274500</v>
      </c>
      <c r="D1752" s="14">
        <v>179000</v>
      </c>
      <c r="E1752" s="14">
        <v>226462</v>
      </c>
      <c r="F1752" s="14">
        <v>138000</v>
      </c>
      <c r="G1752" s="14">
        <v>177107</v>
      </c>
      <c r="H1752" s="14">
        <v>123000</v>
      </c>
      <c r="I1752" s="14">
        <v>143000</v>
      </c>
      <c r="J1752" s="14">
        <v>2440</v>
      </c>
      <c r="K1752" s="14">
        <v>2790</v>
      </c>
      <c r="N1752" s="42">
        <f t="shared" si="70"/>
        <v>26000</v>
      </c>
      <c r="O1752" s="43">
        <f t="shared" si="71"/>
        <v>9.4717668488160295E-2</v>
      </c>
    </row>
    <row r="1753" spans="1:15" x14ac:dyDescent="0.45">
      <c r="A1753" s="12" t="s">
        <v>31709</v>
      </c>
      <c r="B1753" s="14">
        <v>245500</v>
      </c>
      <c r="C1753" s="14">
        <v>273000</v>
      </c>
      <c r="D1753" s="14">
        <v>176800</v>
      </c>
      <c r="E1753" s="14">
        <v>225225</v>
      </c>
      <c r="F1753" s="14">
        <v>136300</v>
      </c>
      <c r="G1753" s="14">
        <v>176139</v>
      </c>
      <c r="H1753" s="14">
        <v>122000</v>
      </c>
      <c r="I1753" s="14">
        <v>142000</v>
      </c>
      <c r="J1753" s="14">
        <v>2420</v>
      </c>
      <c r="K1753" s="14">
        <v>2770</v>
      </c>
      <c r="N1753" s="42">
        <f t="shared" si="70"/>
        <v>27500</v>
      </c>
      <c r="O1753" s="43">
        <f t="shared" si="71"/>
        <v>0.10073260073260074</v>
      </c>
    </row>
    <row r="1754" spans="1:15" x14ac:dyDescent="0.45">
      <c r="A1754" s="12" t="s">
        <v>31710</v>
      </c>
      <c r="B1754" s="14">
        <v>247000</v>
      </c>
      <c r="C1754" s="14">
        <v>275500</v>
      </c>
      <c r="D1754" s="14">
        <v>177900</v>
      </c>
      <c r="E1754" s="14">
        <v>227287</v>
      </c>
      <c r="F1754" s="14">
        <v>137100</v>
      </c>
      <c r="G1754" s="14">
        <v>177752</v>
      </c>
      <c r="H1754" s="14">
        <v>124000</v>
      </c>
      <c r="I1754" s="14">
        <v>144000</v>
      </c>
      <c r="J1754" s="14">
        <v>2430</v>
      </c>
      <c r="K1754" s="14">
        <v>2780</v>
      </c>
      <c r="N1754" s="42">
        <f t="shared" si="70"/>
        <v>28500</v>
      </c>
      <c r="O1754" s="43">
        <f t="shared" si="71"/>
        <v>0.10344827586206896</v>
      </c>
    </row>
    <row r="1755" spans="1:15" x14ac:dyDescent="0.45">
      <c r="A1755" s="12" t="s">
        <v>31711</v>
      </c>
      <c r="B1755" s="14">
        <v>246500</v>
      </c>
      <c r="C1755" s="14">
        <v>275500</v>
      </c>
      <c r="D1755" s="14">
        <v>177500</v>
      </c>
      <c r="E1755" s="14">
        <v>227287</v>
      </c>
      <c r="F1755" s="14">
        <v>136900</v>
      </c>
      <c r="G1755" s="14">
        <v>177752</v>
      </c>
      <c r="H1755" s="14">
        <v>122000</v>
      </c>
      <c r="I1755" s="14">
        <v>142000</v>
      </c>
      <c r="J1755" s="14">
        <v>2440</v>
      </c>
      <c r="K1755" s="14">
        <v>2790</v>
      </c>
      <c r="N1755" s="42">
        <f t="shared" si="70"/>
        <v>29000</v>
      </c>
      <c r="O1755" s="43">
        <f t="shared" si="71"/>
        <v>0.10526315789473684</v>
      </c>
    </row>
    <row r="1756" spans="1:15" x14ac:dyDescent="0.45">
      <c r="A1756" s="12" t="s">
        <v>31712</v>
      </c>
      <c r="B1756" s="14">
        <v>247500</v>
      </c>
      <c r="C1756" s="14">
        <v>276500</v>
      </c>
      <c r="D1756" s="14">
        <v>178200</v>
      </c>
      <c r="E1756" s="14">
        <v>228112</v>
      </c>
      <c r="F1756" s="14">
        <v>137400</v>
      </c>
      <c r="G1756" s="14">
        <v>178397</v>
      </c>
      <c r="H1756" s="14">
        <v>124000</v>
      </c>
      <c r="I1756" s="14">
        <v>145000</v>
      </c>
      <c r="J1756" s="14">
        <v>2450</v>
      </c>
      <c r="K1756" s="14">
        <v>2800</v>
      </c>
      <c r="N1756" s="42">
        <f t="shared" si="70"/>
        <v>29000</v>
      </c>
      <c r="O1756" s="43">
        <f t="shared" si="71"/>
        <v>0.10488245931283906</v>
      </c>
    </row>
    <row r="1757" spans="1:15" x14ac:dyDescent="0.45">
      <c r="A1757" s="12" t="s">
        <v>31713</v>
      </c>
      <c r="B1757" s="14">
        <v>247000</v>
      </c>
      <c r="C1757" s="14">
        <v>275000</v>
      </c>
      <c r="D1757" s="14">
        <v>177900</v>
      </c>
      <c r="E1757" s="14">
        <v>226875</v>
      </c>
      <c r="F1757" s="14">
        <v>137100</v>
      </c>
      <c r="G1757" s="14">
        <v>177430</v>
      </c>
      <c r="H1757" s="14">
        <v>124000</v>
      </c>
      <c r="I1757" s="14">
        <v>145000</v>
      </c>
      <c r="J1757" s="14">
        <v>2460</v>
      </c>
      <c r="K1757" s="14">
        <v>2810</v>
      </c>
      <c r="N1757" s="42">
        <f t="shared" si="70"/>
        <v>28000</v>
      </c>
      <c r="O1757" s="43">
        <f t="shared" si="71"/>
        <v>0.10181818181818182</v>
      </c>
    </row>
    <row r="1758" spans="1:15" x14ac:dyDescent="0.45">
      <c r="A1758" s="12" t="s">
        <v>31714</v>
      </c>
      <c r="B1758" s="14">
        <v>246500</v>
      </c>
      <c r="C1758" s="14">
        <v>274500</v>
      </c>
      <c r="D1758" s="14">
        <v>177500</v>
      </c>
      <c r="E1758" s="14">
        <v>226462</v>
      </c>
      <c r="F1758" s="14">
        <v>136900</v>
      </c>
      <c r="G1758" s="14">
        <v>177107</v>
      </c>
      <c r="H1758" s="14">
        <v>121000</v>
      </c>
      <c r="I1758" s="14">
        <v>142000</v>
      </c>
      <c r="J1758" s="14">
        <v>2450</v>
      </c>
      <c r="K1758" s="14">
        <v>2800</v>
      </c>
      <c r="N1758" s="42">
        <f t="shared" si="70"/>
        <v>28000</v>
      </c>
      <c r="O1758" s="43">
        <f t="shared" si="71"/>
        <v>0.10200364298724955</v>
      </c>
    </row>
    <row r="1759" spans="1:15" x14ac:dyDescent="0.45">
      <c r="A1759" s="12" t="s">
        <v>31715</v>
      </c>
      <c r="B1759" s="14">
        <v>245500</v>
      </c>
      <c r="C1759" s="14">
        <v>273000</v>
      </c>
      <c r="D1759" s="14">
        <v>176800</v>
      </c>
      <c r="E1759" s="14">
        <v>225225</v>
      </c>
      <c r="F1759" s="14">
        <v>136300</v>
      </c>
      <c r="G1759" s="14">
        <v>176139</v>
      </c>
      <c r="H1759" s="14">
        <v>117000</v>
      </c>
      <c r="I1759" s="14">
        <v>138000</v>
      </c>
      <c r="J1759" s="14">
        <v>2410</v>
      </c>
      <c r="K1759" s="14">
        <v>2760</v>
      </c>
      <c r="N1759" s="42">
        <f t="shared" si="70"/>
        <v>27500</v>
      </c>
      <c r="O1759" s="43">
        <f t="shared" si="71"/>
        <v>0.10073260073260074</v>
      </c>
    </row>
    <row r="1760" spans="1:15" x14ac:dyDescent="0.45">
      <c r="A1760" s="12" t="s">
        <v>31716</v>
      </c>
      <c r="B1760" s="14">
        <v>247000</v>
      </c>
      <c r="C1760" s="14">
        <v>275000</v>
      </c>
      <c r="D1760" s="14">
        <v>177900</v>
      </c>
      <c r="E1760" s="14">
        <v>226875</v>
      </c>
      <c r="F1760" s="14">
        <v>137100</v>
      </c>
      <c r="G1760" s="14">
        <v>177430</v>
      </c>
      <c r="H1760" s="14">
        <v>118000</v>
      </c>
      <c r="I1760" s="14">
        <v>139000</v>
      </c>
      <c r="J1760" s="14">
        <v>2410</v>
      </c>
      <c r="K1760" s="14">
        <v>2760</v>
      </c>
      <c r="N1760" s="42">
        <f t="shared" si="70"/>
        <v>28000</v>
      </c>
      <c r="O1760" s="43">
        <f t="shared" si="71"/>
        <v>0.10181818181818182</v>
      </c>
    </row>
    <row r="1761" spans="1:15" x14ac:dyDescent="0.45">
      <c r="A1761" s="12" t="s">
        <v>31717</v>
      </c>
      <c r="B1761" s="14">
        <v>246500</v>
      </c>
      <c r="C1761" s="14">
        <v>273500</v>
      </c>
      <c r="D1761" s="14">
        <v>177500</v>
      </c>
      <c r="E1761" s="14">
        <v>225637</v>
      </c>
      <c r="F1761" s="14">
        <v>136900</v>
      </c>
      <c r="G1761" s="14">
        <v>176462</v>
      </c>
      <c r="H1761" s="14">
        <v>115000</v>
      </c>
      <c r="I1761" s="14">
        <v>136000</v>
      </c>
      <c r="J1761" s="14">
        <v>2350</v>
      </c>
      <c r="K1761" s="14">
        <v>2700</v>
      </c>
      <c r="N1761" s="42">
        <f t="shared" si="70"/>
        <v>27000</v>
      </c>
      <c r="O1761" s="43">
        <f t="shared" si="71"/>
        <v>9.8720292504570387E-2</v>
      </c>
    </row>
    <row r="1762" spans="1:15" x14ac:dyDescent="0.45">
      <c r="A1762" s="12" t="s">
        <v>31718</v>
      </c>
      <c r="B1762" s="14">
        <v>243000</v>
      </c>
      <c r="C1762" s="14">
        <v>268500</v>
      </c>
      <c r="D1762" s="14">
        <v>175000</v>
      </c>
      <c r="E1762" s="14">
        <v>221512</v>
      </c>
      <c r="F1762" s="14">
        <v>134900</v>
      </c>
      <c r="G1762" s="14">
        <v>173236</v>
      </c>
      <c r="H1762" s="14">
        <v>108000</v>
      </c>
      <c r="I1762" s="14">
        <v>129000</v>
      </c>
      <c r="J1762" s="14">
        <v>2190</v>
      </c>
      <c r="K1762" s="14">
        <v>2540</v>
      </c>
      <c r="N1762" s="42">
        <f t="shared" si="70"/>
        <v>25500</v>
      </c>
      <c r="O1762" s="43">
        <f t="shared" si="71"/>
        <v>9.4972067039106142E-2</v>
      </c>
    </row>
    <row r="1763" spans="1:15" x14ac:dyDescent="0.45">
      <c r="A1763" s="12" t="s">
        <v>31719</v>
      </c>
      <c r="B1763" s="14">
        <v>242000</v>
      </c>
      <c r="C1763" s="14">
        <v>266000</v>
      </c>
      <c r="D1763" s="14">
        <v>174300</v>
      </c>
      <c r="E1763" s="14">
        <v>219450</v>
      </c>
      <c r="F1763" s="14">
        <v>134400</v>
      </c>
      <c r="G1763" s="14">
        <v>171623</v>
      </c>
      <c r="H1763" s="14">
        <v>109000</v>
      </c>
      <c r="I1763" s="14">
        <v>130000</v>
      </c>
      <c r="J1763" s="14">
        <v>2200</v>
      </c>
      <c r="K1763" s="14">
        <v>2550</v>
      </c>
      <c r="N1763" s="42">
        <f t="shared" si="70"/>
        <v>24000</v>
      </c>
      <c r="O1763" s="43">
        <f t="shared" si="71"/>
        <v>9.0225563909774431E-2</v>
      </c>
    </row>
    <row r="1764" spans="1:15" x14ac:dyDescent="0.45">
      <c r="A1764" s="12" t="s">
        <v>31720</v>
      </c>
      <c r="B1764" s="14">
        <v>241000</v>
      </c>
      <c r="C1764" s="14">
        <v>265000</v>
      </c>
      <c r="D1764" s="14">
        <v>173600</v>
      </c>
      <c r="E1764" s="14">
        <v>218625</v>
      </c>
      <c r="F1764" s="14">
        <v>133800</v>
      </c>
      <c r="G1764" s="14">
        <v>170978</v>
      </c>
      <c r="H1764" s="14">
        <v>109000</v>
      </c>
      <c r="I1764" s="14">
        <v>130000</v>
      </c>
      <c r="J1764" s="14">
        <v>2200</v>
      </c>
      <c r="K1764" s="14">
        <v>2550</v>
      </c>
      <c r="N1764" s="42">
        <f t="shared" si="70"/>
        <v>24000</v>
      </c>
      <c r="O1764" s="43">
        <f t="shared" si="71"/>
        <v>9.056603773584905E-2</v>
      </c>
    </row>
    <row r="1765" spans="1:15" x14ac:dyDescent="0.45">
      <c r="A1765" s="12" t="s">
        <v>31721</v>
      </c>
      <c r="B1765" s="14">
        <v>241000</v>
      </c>
      <c r="C1765" s="14">
        <v>266000</v>
      </c>
      <c r="D1765" s="14">
        <v>173600</v>
      </c>
      <c r="E1765" s="14">
        <v>219450</v>
      </c>
      <c r="F1765" s="14">
        <v>133800</v>
      </c>
      <c r="G1765" s="14">
        <v>171623</v>
      </c>
      <c r="H1765" s="14">
        <v>112000</v>
      </c>
      <c r="I1765" s="14">
        <v>133000</v>
      </c>
      <c r="J1765" s="14">
        <v>2230</v>
      </c>
      <c r="K1765" s="14">
        <v>2580</v>
      </c>
      <c r="N1765" s="42">
        <f t="shared" si="70"/>
        <v>25000</v>
      </c>
      <c r="O1765" s="43">
        <f t="shared" si="71"/>
        <v>9.3984962406015032E-2</v>
      </c>
    </row>
    <row r="1766" spans="1:15" x14ac:dyDescent="0.45">
      <c r="A1766" s="12" t="s">
        <v>31722</v>
      </c>
      <c r="B1766" s="14">
        <v>241000</v>
      </c>
      <c r="C1766" s="14">
        <v>268000</v>
      </c>
      <c r="D1766" s="14">
        <v>173600</v>
      </c>
      <c r="E1766" s="14">
        <v>221100</v>
      </c>
      <c r="F1766" s="14">
        <v>133800</v>
      </c>
      <c r="G1766" s="14">
        <v>172913</v>
      </c>
      <c r="H1766" s="14">
        <v>110000</v>
      </c>
      <c r="I1766" s="14">
        <v>131000</v>
      </c>
      <c r="J1766" s="14">
        <v>2240</v>
      </c>
      <c r="K1766" s="14">
        <v>2590</v>
      </c>
      <c r="N1766" s="42">
        <f t="shared" si="70"/>
        <v>27000</v>
      </c>
      <c r="O1766" s="43">
        <f t="shared" si="71"/>
        <v>0.10074626865671642</v>
      </c>
    </row>
    <row r="1767" spans="1:15" x14ac:dyDescent="0.45">
      <c r="A1767" s="12" t="s">
        <v>31723</v>
      </c>
      <c r="B1767" s="14">
        <v>241000</v>
      </c>
      <c r="C1767" s="14">
        <v>268000</v>
      </c>
      <c r="D1767" s="14">
        <v>173600</v>
      </c>
      <c r="E1767" s="14">
        <v>221100</v>
      </c>
      <c r="F1767" s="14">
        <v>133800</v>
      </c>
      <c r="G1767" s="14">
        <v>172913</v>
      </c>
      <c r="H1767" s="14">
        <v>110000</v>
      </c>
      <c r="I1767" s="14">
        <v>131000</v>
      </c>
      <c r="J1767" s="14">
        <v>2200</v>
      </c>
      <c r="K1767" s="14">
        <v>2550</v>
      </c>
      <c r="N1767" s="42">
        <f t="shared" si="70"/>
        <v>27000</v>
      </c>
      <c r="O1767" s="43">
        <f t="shared" si="71"/>
        <v>0.10074626865671642</v>
      </c>
    </row>
    <row r="1768" spans="1:15" x14ac:dyDescent="0.45">
      <c r="A1768" s="12" t="s">
        <v>31724</v>
      </c>
      <c r="B1768" s="14">
        <v>240000</v>
      </c>
      <c r="C1768" s="14">
        <v>267000</v>
      </c>
      <c r="D1768" s="14">
        <v>172800</v>
      </c>
      <c r="E1768" s="14">
        <v>220275</v>
      </c>
      <c r="F1768" s="14">
        <v>133200</v>
      </c>
      <c r="G1768" s="14">
        <v>172268</v>
      </c>
      <c r="H1768" s="14">
        <v>110000</v>
      </c>
      <c r="I1768" s="14">
        <v>131000</v>
      </c>
      <c r="J1768" s="14">
        <v>2170</v>
      </c>
      <c r="K1768" s="14">
        <v>2520</v>
      </c>
      <c r="N1768" s="42">
        <f t="shared" si="70"/>
        <v>27000</v>
      </c>
      <c r="O1768" s="43">
        <f t="shared" si="71"/>
        <v>0.10112359550561797</v>
      </c>
    </row>
    <row r="1769" spans="1:15" x14ac:dyDescent="0.45">
      <c r="A1769" s="12" t="s">
        <v>31725</v>
      </c>
      <c r="B1769" s="14">
        <v>240000</v>
      </c>
      <c r="C1769" s="14">
        <v>268000</v>
      </c>
      <c r="D1769" s="14">
        <v>172800</v>
      </c>
      <c r="E1769" s="14">
        <v>221100</v>
      </c>
      <c r="F1769" s="14">
        <v>133200</v>
      </c>
      <c r="G1769" s="14">
        <v>172913</v>
      </c>
      <c r="H1769" s="14">
        <v>110000</v>
      </c>
      <c r="I1769" s="14">
        <v>131000</v>
      </c>
      <c r="J1769" s="14">
        <v>2160</v>
      </c>
      <c r="K1769" s="14">
        <v>2510</v>
      </c>
      <c r="N1769" s="42">
        <f t="shared" si="70"/>
        <v>28000</v>
      </c>
      <c r="O1769" s="43">
        <f t="shared" si="71"/>
        <v>0.1044776119402985</v>
      </c>
    </row>
    <row r="1770" spans="1:15" x14ac:dyDescent="0.45">
      <c r="A1770" s="12" t="s">
        <v>31726</v>
      </c>
      <c r="B1770" s="14">
        <v>240000</v>
      </c>
      <c r="C1770" s="14">
        <v>267500</v>
      </c>
      <c r="D1770" s="14">
        <v>172800</v>
      </c>
      <c r="E1770" s="14">
        <v>220687</v>
      </c>
      <c r="F1770" s="14">
        <v>133200</v>
      </c>
      <c r="G1770" s="14">
        <v>172591</v>
      </c>
      <c r="H1770" s="14">
        <v>110000</v>
      </c>
      <c r="I1770" s="14">
        <v>131000</v>
      </c>
      <c r="J1770" s="14">
        <v>2160</v>
      </c>
      <c r="K1770" s="14">
        <v>2510</v>
      </c>
      <c r="N1770" s="42">
        <f t="shared" si="70"/>
        <v>27500</v>
      </c>
      <c r="O1770" s="43">
        <f t="shared" si="71"/>
        <v>0.10280373831775701</v>
      </c>
    </row>
    <row r="1771" spans="1:15" x14ac:dyDescent="0.45">
      <c r="A1771" s="12" t="s">
        <v>31727</v>
      </c>
      <c r="B1771" s="14">
        <v>240000</v>
      </c>
      <c r="C1771" s="14">
        <v>267500</v>
      </c>
      <c r="D1771" s="14">
        <v>172800</v>
      </c>
      <c r="E1771" s="14">
        <v>220687</v>
      </c>
      <c r="F1771" s="14">
        <v>133200</v>
      </c>
      <c r="G1771" s="14">
        <v>172591</v>
      </c>
      <c r="H1771" s="14">
        <v>110000</v>
      </c>
      <c r="I1771" s="14">
        <v>131000</v>
      </c>
      <c r="J1771" s="14">
        <v>2160</v>
      </c>
      <c r="K1771" s="14">
        <v>2510</v>
      </c>
      <c r="N1771" s="42">
        <f t="shared" si="70"/>
        <v>27500</v>
      </c>
      <c r="O1771" s="43">
        <f t="shared" si="71"/>
        <v>0.10280373831775701</v>
      </c>
    </row>
    <row r="1772" spans="1:15" x14ac:dyDescent="0.45">
      <c r="A1772" s="12" t="s">
        <v>31728</v>
      </c>
      <c r="B1772" s="14">
        <v>238500</v>
      </c>
      <c r="C1772" s="14">
        <v>266500</v>
      </c>
      <c r="D1772" s="14">
        <v>171800</v>
      </c>
      <c r="E1772" s="14">
        <v>219862</v>
      </c>
      <c r="F1772" s="14">
        <v>132400</v>
      </c>
      <c r="G1772" s="14">
        <v>171945</v>
      </c>
      <c r="H1772" s="14">
        <v>110000</v>
      </c>
      <c r="I1772" s="14">
        <v>131000</v>
      </c>
      <c r="J1772" s="14">
        <v>2170</v>
      </c>
      <c r="K1772" s="14">
        <v>2520</v>
      </c>
      <c r="N1772" s="42">
        <f t="shared" si="70"/>
        <v>28000</v>
      </c>
      <c r="O1772" s="43">
        <f t="shared" si="71"/>
        <v>0.1050656660412758</v>
      </c>
    </row>
    <row r="1773" spans="1:15" x14ac:dyDescent="0.45">
      <c r="A1773" s="12" t="s">
        <v>31729</v>
      </c>
      <c r="B1773" s="14">
        <v>238000</v>
      </c>
      <c r="C1773" s="14">
        <v>266500</v>
      </c>
      <c r="D1773" s="14">
        <v>171400</v>
      </c>
      <c r="E1773" s="14">
        <v>219862</v>
      </c>
      <c r="F1773" s="14">
        <v>132100</v>
      </c>
      <c r="G1773" s="14">
        <v>171945</v>
      </c>
      <c r="H1773" s="14">
        <v>111000</v>
      </c>
      <c r="I1773" s="14">
        <v>132000</v>
      </c>
      <c r="J1773" s="14">
        <v>2150</v>
      </c>
      <c r="K1773" s="14">
        <v>2500</v>
      </c>
      <c r="N1773" s="42">
        <f t="shared" ref="N1773:N1836" si="72">C1773-B1773</f>
        <v>28500</v>
      </c>
      <c r="O1773" s="43">
        <f t="shared" ref="O1773:O1836" si="73">N1773/C1773</f>
        <v>0.10694183864915573</v>
      </c>
    </row>
    <row r="1774" spans="1:15" x14ac:dyDescent="0.45">
      <c r="A1774" s="12" t="s">
        <v>31730</v>
      </c>
      <c r="B1774" s="14">
        <v>241000</v>
      </c>
      <c r="C1774" s="14">
        <v>269000</v>
      </c>
      <c r="D1774" s="14">
        <v>173600</v>
      </c>
      <c r="E1774" s="14">
        <v>221925</v>
      </c>
      <c r="F1774" s="14">
        <v>133800</v>
      </c>
      <c r="G1774" s="14">
        <v>173558</v>
      </c>
      <c r="H1774" s="14">
        <v>111000</v>
      </c>
      <c r="I1774" s="14">
        <v>132000</v>
      </c>
      <c r="J1774" s="14">
        <v>2190</v>
      </c>
      <c r="K1774" s="14">
        <v>2540</v>
      </c>
      <c r="N1774" s="42">
        <f t="shared" si="72"/>
        <v>28000</v>
      </c>
      <c r="O1774" s="43">
        <f t="shared" si="73"/>
        <v>0.10408921933085502</v>
      </c>
    </row>
    <row r="1775" spans="1:15" x14ac:dyDescent="0.45">
      <c r="A1775" s="12" t="s">
        <v>31731</v>
      </c>
      <c r="B1775" s="14">
        <v>241000</v>
      </c>
      <c r="C1775" s="14">
        <v>269000</v>
      </c>
      <c r="D1775" s="14">
        <v>173600</v>
      </c>
      <c r="E1775" s="14">
        <v>221925</v>
      </c>
      <c r="F1775" s="14">
        <v>133800</v>
      </c>
      <c r="G1775" s="14">
        <v>173558</v>
      </c>
      <c r="H1775" s="14">
        <v>111000</v>
      </c>
      <c r="I1775" s="14">
        <v>132000</v>
      </c>
      <c r="J1775" s="14">
        <v>2190</v>
      </c>
      <c r="K1775" s="14">
        <v>2540</v>
      </c>
      <c r="N1775" s="42">
        <f t="shared" si="72"/>
        <v>28000</v>
      </c>
      <c r="O1775" s="43">
        <f t="shared" si="73"/>
        <v>0.10408921933085502</v>
      </c>
    </row>
    <row r="1776" spans="1:15" x14ac:dyDescent="0.45">
      <c r="A1776" s="12" t="s">
        <v>31732</v>
      </c>
      <c r="B1776" s="14">
        <v>241500</v>
      </c>
      <c r="C1776" s="14">
        <v>270500</v>
      </c>
      <c r="D1776" s="14">
        <v>173900</v>
      </c>
      <c r="E1776" s="14">
        <v>223162</v>
      </c>
      <c r="F1776" s="14">
        <v>134100</v>
      </c>
      <c r="G1776" s="14">
        <v>174526</v>
      </c>
      <c r="H1776" s="14">
        <v>111000</v>
      </c>
      <c r="I1776" s="14">
        <v>132000</v>
      </c>
      <c r="J1776" s="14">
        <v>2200</v>
      </c>
      <c r="K1776" s="14">
        <v>2550</v>
      </c>
      <c r="N1776" s="42">
        <f t="shared" si="72"/>
        <v>29000</v>
      </c>
      <c r="O1776" s="43">
        <f t="shared" si="73"/>
        <v>0.10720887245841035</v>
      </c>
    </row>
    <row r="1777" spans="1:15" x14ac:dyDescent="0.45">
      <c r="A1777" s="12" t="s">
        <v>31733</v>
      </c>
      <c r="B1777" s="14">
        <v>243500</v>
      </c>
      <c r="C1777" s="14">
        <v>273000</v>
      </c>
      <c r="D1777" s="14">
        <v>175400</v>
      </c>
      <c r="E1777" s="14">
        <v>225225</v>
      </c>
      <c r="F1777" s="14">
        <v>135200</v>
      </c>
      <c r="G1777" s="14">
        <v>176139</v>
      </c>
      <c r="H1777" s="14">
        <v>112000</v>
      </c>
      <c r="I1777" s="14">
        <v>133000</v>
      </c>
      <c r="J1777" s="14">
        <v>2230</v>
      </c>
      <c r="K1777" s="14">
        <v>2580</v>
      </c>
      <c r="N1777" s="42">
        <f t="shared" si="72"/>
        <v>29500</v>
      </c>
      <c r="O1777" s="43">
        <f t="shared" si="73"/>
        <v>0.10805860805860806</v>
      </c>
    </row>
    <row r="1778" spans="1:15" x14ac:dyDescent="0.45">
      <c r="A1778" s="12" t="s">
        <v>31734</v>
      </c>
      <c r="B1778" s="14">
        <v>243500</v>
      </c>
      <c r="C1778" s="14">
        <v>273000</v>
      </c>
      <c r="D1778" s="14">
        <v>175400</v>
      </c>
      <c r="E1778" s="14">
        <v>225225</v>
      </c>
      <c r="F1778" s="14">
        <v>135200</v>
      </c>
      <c r="G1778" s="14">
        <v>176139</v>
      </c>
      <c r="H1778" s="14">
        <v>112000</v>
      </c>
      <c r="I1778" s="14">
        <v>133000</v>
      </c>
      <c r="J1778" s="14">
        <v>2230</v>
      </c>
      <c r="K1778" s="14">
        <v>2580</v>
      </c>
      <c r="N1778" s="42">
        <f t="shared" si="72"/>
        <v>29500</v>
      </c>
      <c r="O1778" s="43">
        <f t="shared" si="73"/>
        <v>0.10805860805860806</v>
      </c>
    </row>
    <row r="1779" spans="1:15" x14ac:dyDescent="0.45">
      <c r="A1779" s="12" t="s">
        <v>31735</v>
      </c>
      <c r="B1779" s="14">
        <v>243500</v>
      </c>
      <c r="C1779" s="14">
        <v>273000</v>
      </c>
      <c r="D1779" s="14">
        <v>175400</v>
      </c>
      <c r="E1779" s="14">
        <v>225225</v>
      </c>
      <c r="F1779" s="14">
        <v>135200</v>
      </c>
      <c r="G1779" s="14">
        <v>176139</v>
      </c>
      <c r="H1779" s="14">
        <v>112000</v>
      </c>
      <c r="I1779" s="14">
        <v>133000</v>
      </c>
      <c r="J1779" s="14">
        <v>2230</v>
      </c>
      <c r="K1779" s="14">
        <v>2580</v>
      </c>
      <c r="N1779" s="42">
        <f t="shared" si="72"/>
        <v>29500</v>
      </c>
      <c r="O1779" s="43">
        <f t="shared" si="73"/>
        <v>0.10805860805860806</v>
      </c>
    </row>
    <row r="1780" spans="1:15" x14ac:dyDescent="0.45">
      <c r="A1780" s="12" t="s">
        <v>31736</v>
      </c>
      <c r="B1780" s="14">
        <v>241000</v>
      </c>
      <c r="C1780" s="14">
        <v>271500</v>
      </c>
      <c r="D1780" s="14">
        <v>173600</v>
      </c>
      <c r="E1780" s="14">
        <v>223987</v>
      </c>
      <c r="F1780" s="14">
        <v>133800</v>
      </c>
      <c r="G1780" s="14">
        <v>175171</v>
      </c>
      <c r="H1780" s="14">
        <v>110000</v>
      </c>
      <c r="I1780" s="14">
        <v>131000</v>
      </c>
      <c r="J1780" s="14">
        <v>2200</v>
      </c>
      <c r="K1780" s="14">
        <v>2550</v>
      </c>
      <c r="N1780" s="42">
        <f t="shared" si="72"/>
        <v>30500</v>
      </c>
      <c r="O1780" s="43">
        <f t="shared" si="73"/>
        <v>0.11233885819521179</v>
      </c>
    </row>
    <row r="1781" spans="1:15" x14ac:dyDescent="0.45">
      <c r="A1781" s="12" t="s">
        <v>31737</v>
      </c>
      <c r="B1781" s="14">
        <v>238500</v>
      </c>
      <c r="C1781" s="14">
        <v>268500</v>
      </c>
      <c r="D1781" s="14">
        <v>171800</v>
      </c>
      <c r="E1781" s="14">
        <v>221512</v>
      </c>
      <c r="F1781" s="14">
        <v>132400</v>
      </c>
      <c r="G1781" s="14">
        <v>173236</v>
      </c>
      <c r="H1781" s="14">
        <v>110000</v>
      </c>
      <c r="I1781" s="14">
        <v>131000</v>
      </c>
      <c r="J1781" s="14">
        <v>2180</v>
      </c>
      <c r="K1781" s="14">
        <v>2530</v>
      </c>
      <c r="N1781" s="42">
        <f t="shared" si="72"/>
        <v>30000</v>
      </c>
      <c r="O1781" s="43">
        <f t="shared" si="73"/>
        <v>0.11173184357541899</v>
      </c>
    </row>
    <row r="1782" spans="1:15" x14ac:dyDescent="0.45">
      <c r="A1782" s="12" t="s">
        <v>31738</v>
      </c>
      <c r="B1782" s="14">
        <v>237000</v>
      </c>
      <c r="C1782" s="14">
        <v>264000</v>
      </c>
      <c r="D1782" s="14">
        <v>170700</v>
      </c>
      <c r="E1782" s="14">
        <v>217800</v>
      </c>
      <c r="F1782" s="14">
        <v>131600</v>
      </c>
      <c r="G1782" s="14">
        <v>170332</v>
      </c>
      <c r="H1782" s="14">
        <v>112000</v>
      </c>
      <c r="I1782" s="14">
        <v>133000</v>
      </c>
      <c r="J1782" s="14">
        <v>2200</v>
      </c>
      <c r="K1782" s="14">
        <v>2550</v>
      </c>
      <c r="N1782" s="42">
        <f t="shared" si="72"/>
        <v>27000</v>
      </c>
      <c r="O1782" s="43">
        <f t="shared" si="73"/>
        <v>0.10227272727272728</v>
      </c>
    </row>
    <row r="1783" spans="1:15" x14ac:dyDescent="0.45">
      <c r="A1783" s="12" t="s">
        <v>31739</v>
      </c>
      <c r="B1783" s="14">
        <v>237000</v>
      </c>
      <c r="C1783" s="14">
        <v>265000</v>
      </c>
      <c r="D1783" s="14">
        <v>170700</v>
      </c>
      <c r="E1783" s="14">
        <v>218625</v>
      </c>
      <c r="F1783" s="14">
        <v>131600</v>
      </c>
      <c r="G1783" s="14">
        <v>170978</v>
      </c>
      <c r="H1783" s="14">
        <v>112000</v>
      </c>
      <c r="I1783" s="14">
        <v>133000</v>
      </c>
      <c r="J1783" s="14">
        <v>2180</v>
      </c>
      <c r="K1783" s="14">
        <v>2530</v>
      </c>
      <c r="N1783" s="42">
        <f t="shared" si="72"/>
        <v>28000</v>
      </c>
      <c r="O1783" s="43">
        <f t="shared" si="73"/>
        <v>0.10566037735849057</v>
      </c>
    </row>
    <row r="1784" spans="1:15" x14ac:dyDescent="0.45">
      <c r="A1784" s="12" t="s">
        <v>31740</v>
      </c>
      <c r="B1784" s="14">
        <v>240000</v>
      </c>
      <c r="C1784" s="14">
        <v>271000</v>
      </c>
      <c r="D1784" s="14">
        <v>172800</v>
      </c>
      <c r="E1784" s="14">
        <v>223575</v>
      </c>
      <c r="F1784" s="14">
        <v>133200</v>
      </c>
      <c r="G1784" s="14">
        <v>174849</v>
      </c>
      <c r="H1784" s="14">
        <v>113000</v>
      </c>
      <c r="I1784" s="14">
        <v>134000</v>
      </c>
      <c r="J1784" s="14">
        <v>2240</v>
      </c>
      <c r="K1784" s="14">
        <v>2590</v>
      </c>
      <c r="N1784" s="42">
        <f t="shared" si="72"/>
        <v>31000</v>
      </c>
      <c r="O1784" s="43">
        <f t="shared" si="73"/>
        <v>0.11439114391143912</v>
      </c>
    </row>
    <row r="1785" spans="1:15" x14ac:dyDescent="0.45">
      <c r="A1785" s="12" t="s">
        <v>31741</v>
      </c>
      <c r="B1785" s="14">
        <v>238500</v>
      </c>
      <c r="C1785" s="14">
        <v>268500</v>
      </c>
      <c r="D1785" s="14">
        <v>171800</v>
      </c>
      <c r="E1785" s="14">
        <v>221512</v>
      </c>
      <c r="F1785" s="14">
        <v>132400</v>
      </c>
      <c r="G1785" s="14">
        <v>173236</v>
      </c>
      <c r="H1785" s="14">
        <v>113000</v>
      </c>
      <c r="I1785" s="14">
        <v>134000</v>
      </c>
      <c r="J1785" s="14">
        <v>2250</v>
      </c>
      <c r="K1785" s="14">
        <v>2600</v>
      </c>
      <c r="N1785" s="42">
        <f t="shared" si="72"/>
        <v>30000</v>
      </c>
      <c r="O1785" s="43">
        <f t="shared" si="73"/>
        <v>0.11173184357541899</v>
      </c>
    </row>
    <row r="1786" spans="1:15" x14ac:dyDescent="0.45">
      <c r="A1786" s="12" t="s">
        <v>31742</v>
      </c>
      <c r="B1786" s="14">
        <v>238000</v>
      </c>
      <c r="C1786" s="14">
        <v>267500</v>
      </c>
      <c r="D1786" s="14">
        <v>171400</v>
      </c>
      <c r="E1786" s="14">
        <v>220687</v>
      </c>
      <c r="F1786" s="14">
        <v>132100</v>
      </c>
      <c r="G1786" s="14">
        <v>172591</v>
      </c>
      <c r="H1786" s="14">
        <v>107000</v>
      </c>
      <c r="I1786" s="14">
        <v>128000</v>
      </c>
      <c r="J1786" s="14">
        <v>2220</v>
      </c>
      <c r="K1786" s="14">
        <v>2570</v>
      </c>
      <c r="N1786" s="42">
        <f t="shared" si="72"/>
        <v>29500</v>
      </c>
      <c r="O1786" s="43">
        <f t="shared" si="73"/>
        <v>0.1102803738317757</v>
      </c>
    </row>
    <row r="1787" spans="1:15" x14ac:dyDescent="0.45">
      <c r="A1787" s="12" t="s">
        <v>31743</v>
      </c>
      <c r="B1787" s="14">
        <v>236000</v>
      </c>
      <c r="C1787" s="14">
        <v>264000</v>
      </c>
      <c r="D1787" s="14">
        <v>170000</v>
      </c>
      <c r="E1787" s="14">
        <v>217800</v>
      </c>
      <c r="F1787" s="14">
        <v>131000</v>
      </c>
      <c r="G1787" s="14">
        <v>170332</v>
      </c>
      <c r="H1787" s="14">
        <v>107000</v>
      </c>
      <c r="I1787" s="14">
        <v>128000</v>
      </c>
      <c r="J1787" s="14">
        <v>2210</v>
      </c>
      <c r="K1787" s="14">
        <v>2560</v>
      </c>
      <c r="N1787" s="42">
        <f t="shared" si="72"/>
        <v>28000</v>
      </c>
      <c r="O1787" s="43">
        <f t="shared" si="73"/>
        <v>0.10606060606060606</v>
      </c>
    </row>
    <row r="1788" spans="1:15" x14ac:dyDescent="0.45">
      <c r="A1788" s="12" t="s">
        <v>31744</v>
      </c>
      <c r="B1788" s="14">
        <v>235000</v>
      </c>
      <c r="C1788" s="14">
        <v>263000</v>
      </c>
      <c r="D1788" s="14">
        <v>169200</v>
      </c>
      <c r="E1788" s="14">
        <v>216975</v>
      </c>
      <c r="F1788" s="14">
        <v>130500</v>
      </c>
      <c r="G1788" s="14">
        <v>169687</v>
      </c>
      <c r="H1788" s="14">
        <v>107000</v>
      </c>
      <c r="I1788" s="14">
        <v>128000</v>
      </c>
      <c r="J1788" s="14">
        <v>2210</v>
      </c>
      <c r="K1788" s="14">
        <v>2560</v>
      </c>
      <c r="N1788" s="42">
        <f t="shared" si="72"/>
        <v>28000</v>
      </c>
      <c r="O1788" s="43">
        <f t="shared" si="73"/>
        <v>0.10646387832699619</v>
      </c>
    </row>
    <row r="1789" spans="1:15" x14ac:dyDescent="0.45">
      <c r="A1789" s="12" t="s">
        <v>31745</v>
      </c>
      <c r="B1789" s="14">
        <v>234500</v>
      </c>
      <c r="C1789" s="14">
        <v>263500</v>
      </c>
      <c r="D1789" s="14">
        <v>168900</v>
      </c>
      <c r="E1789" s="14">
        <v>217387</v>
      </c>
      <c r="F1789" s="14">
        <v>130200</v>
      </c>
      <c r="G1789" s="14">
        <v>170010</v>
      </c>
      <c r="H1789" s="14">
        <v>107000</v>
      </c>
      <c r="I1789" s="14">
        <v>128000</v>
      </c>
      <c r="J1789" s="14">
        <v>2210</v>
      </c>
      <c r="K1789" s="14">
        <v>2560</v>
      </c>
      <c r="N1789" s="42">
        <f t="shared" si="72"/>
        <v>29000</v>
      </c>
      <c r="O1789" s="43">
        <f t="shared" si="73"/>
        <v>0.11005692599620494</v>
      </c>
    </row>
    <row r="1790" spans="1:15" x14ac:dyDescent="0.45">
      <c r="A1790" s="12" t="s">
        <v>31746</v>
      </c>
      <c r="B1790" s="14">
        <v>233500</v>
      </c>
      <c r="C1790" s="14">
        <v>259500</v>
      </c>
      <c r="D1790" s="14">
        <v>168200</v>
      </c>
      <c r="E1790" s="14">
        <v>214087</v>
      </c>
      <c r="F1790" s="14">
        <v>129600</v>
      </c>
      <c r="G1790" s="14">
        <v>167429</v>
      </c>
      <c r="H1790" s="14">
        <v>104000</v>
      </c>
      <c r="I1790" s="14">
        <v>125000</v>
      </c>
      <c r="J1790" s="14">
        <v>2150</v>
      </c>
      <c r="K1790" s="14">
        <v>2500</v>
      </c>
      <c r="N1790" s="42">
        <f t="shared" si="72"/>
        <v>26000</v>
      </c>
      <c r="O1790" s="43">
        <f t="shared" si="73"/>
        <v>0.1001926782273603</v>
      </c>
    </row>
    <row r="1791" spans="1:15" x14ac:dyDescent="0.45">
      <c r="A1791" s="12" t="s">
        <v>31747</v>
      </c>
      <c r="B1791" s="14">
        <v>234000</v>
      </c>
      <c r="C1791" s="14">
        <v>260500</v>
      </c>
      <c r="D1791" s="14">
        <v>168500</v>
      </c>
      <c r="E1791" s="14">
        <v>214912</v>
      </c>
      <c r="F1791" s="14">
        <v>129900</v>
      </c>
      <c r="G1791" s="14">
        <v>168074</v>
      </c>
      <c r="H1791" s="14">
        <v>103000</v>
      </c>
      <c r="I1791" s="14">
        <v>124000</v>
      </c>
      <c r="J1791" s="14">
        <v>2190</v>
      </c>
      <c r="K1791" s="14">
        <v>2540</v>
      </c>
      <c r="N1791" s="42">
        <f t="shared" si="72"/>
        <v>26500</v>
      </c>
      <c r="O1791" s="43">
        <f t="shared" si="73"/>
        <v>0.1017274472168906</v>
      </c>
    </row>
    <row r="1792" spans="1:15" x14ac:dyDescent="0.45">
      <c r="A1792" s="12" t="s">
        <v>31748</v>
      </c>
      <c r="B1792" s="14">
        <v>232000</v>
      </c>
      <c r="C1792" s="14">
        <v>257500</v>
      </c>
      <c r="D1792" s="14">
        <v>167100</v>
      </c>
      <c r="E1792" s="14">
        <v>212437</v>
      </c>
      <c r="F1792" s="14">
        <v>128800</v>
      </c>
      <c r="G1792" s="14">
        <v>166139</v>
      </c>
      <c r="H1792" s="14">
        <v>104000</v>
      </c>
      <c r="I1792" s="14">
        <v>125000</v>
      </c>
      <c r="J1792" s="14">
        <v>2080</v>
      </c>
      <c r="K1792" s="14">
        <v>2430</v>
      </c>
      <c r="N1792" s="42">
        <f t="shared" si="72"/>
        <v>25500</v>
      </c>
      <c r="O1792" s="43">
        <f t="shared" si="73"/>
        <v>9.9029126213592236E-2</v>
      </c>
    </row>
    <row r="1793" spans="1:15" x14ac:dyDescent="0.45">
      <c r="A1793" s="12" t="s">
        <v>31749</v>
      </c>
      <c r="B1793" s="14">
        <v>231000</v>
      </c>
      <c r="C1793" s="14">
        <v>258000</v>
      </c>
      <c r="D1793" s="14">
        <v>166400</v>
      </c>
      <c r="E1793" s="14">
        <v>212850</v>
      </c>
      <c r="F1793" s="14">
        <v>128300</v>
      </c>
      <c r="G1793" s="14">
        <v>166461</v>
      </c>
      <c r="H1793" s="14">
        <v>103000</v>
      </c>
      <c r="I1793" s="14">
        <v>124000</v>
      </c>
      <c r="J1793" s="14">
        <v>2080</v>
      </c>
      <c r="K1793" s="14">
        <v>2430</v>
      </c>
      <c r="N1793" s="42">
        <f t="shared" si="72"/>
        <v>27000</v>
      </c>
      <c r="O1793" s="43">
        <f t="shared" si="73"/>
        <v>0.10465116279069768</v>
      </c>
    </row>
    <row r="1794" spans="1:15" x14ac:dyDescent="0.45">
      <c r="A1794" s="12" t="s">
        <v>31750</v>
      </c>
      <c r="B1794" s="14">
        <v>230500</v>
      </c>
      <c r="C1794" s="14">
        <v>255500</v>
      </c>
      <c r="D1794" s="14">
        <v>166000</v>
      </c>
      <c r="E1794" s="14">
        <v>210787</v>
      </c>
      <c r="F1794" s="14">
        <v>128000</v>
      </c>
      <c r="G1794" s="14">
        <v>164848</v>
      </c>
      <c r="H1794" s="14">
        <v>105000</v>
      </c>
      <c r="I1794" s="14">
        <v>126000</v>
      </c>
      <c r="J1794" s="14">
        <v>2070</v>
      </c>
      <c r="K1794" s="14">
        <v>2420</v>
      </c>
      <c r="N1794" s="42">
        <f t="shared" si="72"/>
        <v>25000</v>
      </c>
      <c r="O1794" s="43">
        <f t="shared" si="73"/>
        <v>9.7847358121330719E-2</v>
      </c>
    </row>
    <row r="1795" spans="1:15" x14ac:dyDescent="0.45">
      <c r="A1795" s="12" t="s">
        <v>31751</v>
      </c>
      <c r="B1795" s="14">
        <v>229000</v>
      </c>
      <c r="C1795" s="14">
        <v>254000</v>
      </c>
      <c r="D1795" s="14">
        <v>164900</v>
      </c>
      <c r="E1795" s="14">
        <v>209550</v>
      </c>
      <c r="F1795" s="14">
        <v>127100</v>
      </c>
      <c r="G1795" s="14">
        <v>163880</v>
      </c>
      <c r="H1795" s="14">
        <v>105000</v>
      </c>
      <c r="I1795" s="14">
        <v>126000</v>
      </c>
      <c r="J1795" s="14">
        <v>1990</v>
      </c>
      <c r="K1795" s="14">
        <v>2340</v>
      </c>
      <c r="N1795" s="42">
        <f t="shared" si="72"/>
        <v>25000</v>
      </c>
      <c r="O1795" s="43">
        <f t="shared" si="73"/>
        <v>9.8425196850393706E-2</v>
      </c>
    </row>
    <row r="1796" spans="1:15" x14ac:dyDescent="0.45">
      <c r="A1796" s="12" t="s">
        <v>31752</v>
      </c>
      <c r="B1796" s="14">
        <v>229000</v>
      </c>
      <c r="C1796" s="14">
        <v>254500</v>
      </c>
      <c r="D1796" s="14">
        <v>164900</v>
      </c>
      <c r="E1796" s="14">
        <v>209962</v>
      </c>
      <c r="F1796" s="14">
        <v>127100</v>
      </c>
      <c r="G1796" s="14">
        <v>164203</v>
      </c>
      <c r="H1796" s="14">
        <v>105000</v>
      </c>
      <c r="I1796" s="14">
        <v>126000</v>
      </c>
      <c r="J1796" s="14">
        <v>1970</v>
      </c>
      <c r="K1796" s="14">
        <v>2320</v>
      </c>
      <c r="N1796" s="42">
        <f t="shared" si="72"/>
        <v>25500</v>
      </c>
      <c r="O1796" s="43">
        <f t="shared" si="73"/>
        <v>0.10019646365422397</v>
      </c>
    </row>
    <row r="1797" spans="1:15" x14ac:dyDescent="0.45">
      <c r="A1797" s="12" t="s">
        <v>31753</v>
      </c>
      <c r="B1797" s="14">
        <v>228000</v>
      </c>
      <c r="C1797" s="14">
        <v>254000</v>
      </c>
      <c r="D1797" s="14">
        <v>164200</v>
      </c>
      <c r="E1797" s="14">
        <v>209550</v>
      </c>
      <c r="F1797" s="14">
        <v>126600</v>
      </c>
      <c r="G1797" s="14">
        <v>163880</v>
      </c>
      <c r="H1797" s="14">
        <v>105000</v>
      </c>
      <c r="I1797" s="14">
        <v>126000</v>
      </c>
      <c r="J1797" s="14">
        <v>2020</v>
      </c>
      <c r="K1797" s="14">
        <v>2370</v>
      </c>
      <c r="N1797" s="42">
        <f t="shared" si="72"/>
        <v>26000</v>
      </c>
      <c r="O1797" s="43">
        <f t="shared" si="73"/>
        <v>0.10236220472440945</v>
      </c>
    </row>
    <row r="1798" spans="1:15" x14ac:dyDescent="0.45">
      <c r="A1798" s="12" t="s">
        <v>31754</v>
      </c>
      <c r="B1798" s="14">
        <v>227000</v>
      </c>
      <c r="C1798" s="14">
        <v>254000</v>
      </c>
      <c r="D1798" s="14">
        <v>163500</v>
      </c>
      <c r="E1798" s="14">
        <v>209550</v>
      </c>
      <c r="F1798" s="14">
        <v>126000</v>
      </c>
      <c r="G1798" s="14">
        <v>163880</v>
      </c>
      <c r="H1798" s="14">
        <v>103000</v>
      </c>
      <c r="I1798" s="14">
        <v>124000</v>
      </c>
      <c r="J1798" s="14">
        <v>2050</v>
      </c>
      <c r="K1798" s="14">
        <v>2400</v>
      </c>
      <c r="N1798" s="42">
        <f t="shared" si="72"/>
        <v>27000</v>
      </c>
      <c r="O1798" s="43">
        <f t="shared" si="73"/>
        <v>0.1062992125984252</v>
      </c>
    </row>
    <row r="1799" spans="1:15" x14ac:dyDescent="0.45">
      <c r="A1799" s="12" t="s">
        <v>31755</v>
      </c>
      <c r="B1799" s="14">
        <v>227000</v>
      </c>
      <c r="C1799" s="14">
        <v>254000</v>
      </c>
      <c r="D1799" s="14">
        <v>163500</v>
      </c>
      <c r="E1799" s="14">
        <v>209550</v>
      </c>
      <c r="F1799" s="14">
        <v>126000</v>
      </c>
      <c r="G1799" s="14">
        <v>163880</v>
      </c>
      <c r="H1799" s="14">
        <v>103000</v>
      </c>
      <c r="I1799" s="14">
        <v>124000</v>
      </c>
      <c r="J1799" s="14">
        <v>2050</v>
      </c>
      <c r="K1799" s="14">
        <v>2400</v>
      </c>
      <c r="N1799" s="42">
        <f t="shared" si="72"/>
        <v>27000</v>
      </c>
      <c r="O1799" s="43">
        <f t="shared" si="73"/>
        <v>0.1062992125984252</v>
      </c>
    </row>
    <row r="1800" spans="1:15" x14ac:dyDescent="0.45">
      <c r="A1800" s="12" t="s">
        <v>31756</v>
      </c>
      <c r="B1800" s="14">
        <v>227000</v>
      </c>
      <c r="C1800" s="14">
        <v>254000</v>
      </c>
      <c r="D1800" s="14">
        <v>163500</v>
      </c>
      <c r="E1800" s="14">
        <v>209550</v>
      </c>
      <c r="F1800" s="14">
        <v>126000</v>
      </c>
      <c r="G1800" s="14">
        <v>163880</v>
      </c>
      <c r="H1800" s="14">
        <v>103000</v>
      </c>
      <c r="I1800" s="14">
        <v>124000</v>
      </c>
      <c r="J1800" s="14">
        <v>2040</v>
      </c>
      <c r="K1800" s="14">
        <v>2390</v>
      </c>
      <c r="N1800" s="42">
        <f t="shared" si="72"/>
        <v>27000</v>
      </c>
      <c r="O1800" s="43">
        <f t="shared" si="73"/>
        <v>0.1062992125984252</v>
      </c>
    </row>
    <row r="1801" spans="1:15" x14ac:dyDescent="0.45">
      <c r="A1801" s="12" t="s">
        <v>31757</v>
      </c>
      <c r="B1801" s="14">
        <v>228000</v>
      </c>
      <c r="C1801" s="14">
        <v>258000</v>
      </c>
      <c r="D1801" s="14">
        <v>164200</v>
      </c>
      <c r="E1801" s="14">
        <v>212850</v>
      </c>
      <c r="F1801" s="14">
        <v>126600</v>
      </c>
      <c r="G1801" s="14">
        <v>166461</v>
      </c>
      <c r="H1801" s="14">
        <v>101000</v>
      </c>
      <c r="I1801" s="14">
        <v>122000</v>
      </c>
      <c r="J1801" s="14">
        <v>2060</v>
      </c>
      <c r="K1801" s="14">
        <v>2410</v>
      </c>
      <c r="N1801" s="42">
        <f t="shared" si="72"/>
        <v>30000</v>
      </c>
      <c r="O1801" s="43">
        <f t="shared" si="73"/>
        <v>0.11627906976744186</v>
      </c>
    </row>
    <row r="1802" spans="1:15" x14ac:dyDescent="0.45">
      <c r="A1802" s="12" t="s">
        <v>31758</v>
      </c>
      <c r="B1802" s="14">
        <v>223000</v>
      </c>
      <c r="C1802" s="14">
        <v>245500</v>
      </c>
      <c r="D1802" s="14">
        <v>160600</v>
      </c>
      <c r="E1802" s="14">
        <v>202537</v>
      </c>
      <c r="F1802" s="14">
        <v>123800</v>
      </c>
      <c r="G1802" s="14">
        <v>158396</v>
      </c>
      <c r="H1802" s="14">
        <v>88000</v>
      </c>
      <c r="I1802" s="14">
        <v>109000</v>
      </c>
      <c r="J1802" s="14">
        <v>1830</v>
      </c>
      <c r="K1802" s="14">
        <v>2180</v>
      </c>
      <c r="N1802" s="42">
        <f t="shared" si="72"/>
        <v>22500</v>
      </c>
      <c r="O1802" s="43">
        <f t="shared" si="73"/>
        <v>9.1649694501018328E-2</v>
      </c>
    </row>
    <row r="1803" spans="1:15" x14ac:dyDescent="0.45">
      <c r="A1803" s="12" t="s">
        <v>31759</v>
      </c>
      <c r="B1803" s="14">
        <v>221500</v>
      </c>
      <c r="C1803" s="14">
        <v>243500</v>
      </c>
      <c r="D1803" s="14">
        <v>159500</v>
      </c>
      <c r="E1803" s="14">
        <v>200887</v>
      </c>
      <c r="F1803" s="14">
        <v>123000</v>
      </c>
      <c r="G1803" s="14">
        <v>157106</v>
      </c>
      <c r="H1803" s="14">
        <v>85000</v>
      </c>
      <c r="I1803" s="14">
        <v>106000</v>
      </c>
      <c r="J1803" s="14">
        <v>1790</v>
      </c>
      <c r="K1803" s="14">
        <v>2140</v>
      </c>
      <c r="N1803" s="42">
        <f t="shared" si="72"/>
        <v>22000</v>
      </c>
      <c r="O1803" s="43">
        <f t="shared" si="73"/>
        <v>9.034907597535935E-2</v>
      </c>
    </row>
    <row r="1804" spans="1:15" x14ac:dyDescent="0.45">
      <c r="A1804" s="12" t="s">
        <v>31760</v>
      </c>
      <c r="B1804" s="14">
        <v>223000</v>
      </c>
      <c r="C1804" s="14">
        <v>245500</v>
      </c>
      <c r="D1804" s="14">
        <v>160600</v>
      </c>
      <c r="E1804" s="14">
        <v>202537</v>
      </c>
      <c r="F1804" s="14">
        <v>123800</v>
      </c>
      <c r="G1804" s="14">
        <v>158396</v>
      </c>
      <c r="H1804" s="14">
        <v>87000</v>
      </c>
      <c r="I1804" s="14">
        <v>111000</v>
      </c>
      <c r="J1804" s="14">
        <v>1760</v>
      </c>
      <c r="K1804" s="14">
        <v>2110</v>
      </c>
      <c r="N1804" s="42">
        <f t="shared" si="72"/>
        <v>22500</v>
      </c>
      <c r="O1804" s="43">
        <f t="shared" si="73"/>
        <v>9.1649694501018328E-2</v>
      </c>
    </row>
    <row r="1805" spans="1:15" x14ac:dyDescent="0.45">
      <c r="A1805" s="12" t="s">
        <v>31761</v>
      </c>
      <c r="B1805" s="14">
        <v>222000</v>
      </c>
      <c r="C1805" s="14">
        <v>242000</v>
      </c>
      <c r="D1805" s="14">
        <v>159900</v>
      </c>
      <c r="E1805" s="14">
        <v>199650</v>
      </c>
      <c r="F1805" s="14">
        <v>123300</v>
      </c>
      <c r="G1805" s="14">
        <v>156138</v>
      </c>
      <c r="H1805" s="14">
        <v>94000</v>
      </c>
      <c r="I1805" s="14">
        <v>118000</v>
      </c>
      <c r="J1805" s="14">
        <v>1800</v>
      </c>
      <c r="K1805" s="14">
        <v>2150</v>
      </c>
      <c r="N1805" s="42">
        <f t="shared" si="72"/>
        <v>20000</v>
      </c>
      <c r="O1805" s="43">
        <f t="shared" si="73"/>
        <v>8.2644628099173556E-2</v>
      </c>
    </row>
    <row r="1806" spans="1:15" x14ac:dyDescent="0.45">
      <c r="A1806" s="12" t="s">
        <v>31762</v>
      </c>
      <c r="B1806" s="14">
        <v>219000</v>
      </c>
      <c r="C1806" s="14">
        <v>241000</v>
      </c>
      <c r="D1806" s="14">
        <v>157700</v>
      </c>
      <c r="E1806" s="14">
        <v>198825</v>
      </c>
      <c r="F1806" s="14">
        <v>121600</v>
      </c>
      <c r="G1806" s="14">
        <v>155493</v>
      </c>
      <c r="H1806" s="14">
        <v>103000</v>
      </c>
      <c r="I1806" s="14">
        <v>127000</v>
      </c>
      <c r="J1806" s="14">
        <v>1970</v>
      </c>
      <c r="K1806" s="14">
        <v>2320</v>
      </c>
      <c r="N1806" s="42">
        <f t="shared" si="72"/>
        <v>22000</v>
      </c>
      <c r="O1806" s="43">
        <f t="shared" si="73"/>
        <v>9.1286307053941904E-2</v>
      </c>
    </row>
    <row r="1807" spans="1:15" x14ac:dyDescent="0.45">
      <c r="A1807" s="12" t="s">
        <v>31763</v>
      </c>
      <c r="B1807" s="14">
        <v>223000</v>
      </c>
      <c r="C1807" s="14">
        <v>250000</v>
      </c>
      <c r="D1807" s="14">
        <v>160600</v>
      </c>
      <c r="E1807" s="14">
        <v>206250</v>
      </c>
      <c r="F1807" s="14">
        <v>123800</v>
      </c>
      <c r="G1807" s="14">
        <v>161300</v>
      </c>
      <c r="H1807" s="14">
        <v>104000</v>
      </c>
      <c r="I1807" s="14">
        <v>131000</v>
      </c>
      <c r="J1807" s="14">
        <v>2000</v>
      </c>
      <c r="K1807" s="14">
        <v>2450</v>
      </c>
      <c r="N1807" s="42">
        <f t="shared" si="72"/>
        <v>27000</v>
      </c>
      <c r="O1807" s="43">
        <f t="shared" si="73"/>
        <v>0.108</v>
      </c>
    </row>
    <row r="1808" spans="1:15" x14ac:dyDescent="0.45">
      <c r="A1808" s="12" t="s">
        <v>31764</v>
      </c>
      <c r="B1808" s="14">
        <v>227000</v>
      </c>
      <c r="C1808" s="14">
        <v>255000</v>
      </c>
      <c r="D1808" s="14">
        <v>163500</v>
      </c>
      <c r="E1808" s="14">
        <v>210375</v>
      </c>
      <c r="F1808" s="14">
        <v>126000</v>
      </c>
      <c r="G1808" s="14">
        <v>164526</v>
      </c>
      <c r="H1808" s="14">
        <v>116000</v>
      </c>
      <c r="I1808" s="14">
        <v>143000</v>
      </c>
      <c r="J1808" s="14">
        <v>2110</v>
      </c>
      <c r="K1808" s="14">
        <v>2560</v>
      </c>
      <c r="N1808" s="42">
        <f t="shared" si="72"/>
        <v>28000</v>
      </c>
      <c r="O1808" s="43">
        <f t="shared" si="73"/>
        <v>0.10980392156862745</v>
      </c>
    </row>
    <row r="1809" spans="1:15" x14ac:dyDescent="0.45">
      <c r="A1809" s="12" t="s">
        <v>31765</v>
      </c>
      <c r="B1809" s="14">
        <v>227000</v>
      </c>
      <c r="C1809" s="14">
        <v>256000</v>
      </c>
      <c r="D1809" s="14">
        <v>163500</v>
      </c>
      <c r="E1809" s="14">
        <v>211200</v>
      </c>
      <c r="F1809" s="14">
        <v>126000</v>
      </c>
      <c r="G1809" s="14">
        <v>165171</v>
      </c>
      <c r="H1809" s="14">
        <v>117000</v>
      </c>
      <c r="I1809" s="14">
        <v>144000</v>
      </c>
      <c r="J1809" s="14">
        <v>2130</v>
      </c>
      <c r="K1809" s="14">
        <v>2580</v>
      </c>
      <c r="N1809" s="42">
        <f t="shared" si="72"/>
        <v>29000</v>
      </c>
      <c r="O1809" s="43">
        <f t="shared" si="73"/>
        <v>0.11328125</v>
      </c>
    </row>
    <row r="1810" spans="1:15" x14ac:dyDescent="0.45">
      <c r="A1810" s="12" t="s">
        <v>31766</v>
      </c>
      <c r="B1810" s="14">
        <v>228000</v>
      </c>
      <c r="C1810" s="14">
        <v>257000</v>
      </c>
      <c r="D1810" s="14">
        <v>164200</v>
      </c>
      <c r="E1810" s="14">
        <v>212025</v>
      </c>
      <c r="F1810" s="14">
        <v>126600</v>
      </c>
      <c r="G1810" s="14">
        <v>165816</v>
      </c>
      <c r="H1810" s="14">
        <v>117000</v>
      </c>
      <c r="I1810" s="14">
        <v>144000</v>
      </c>
      <c r="J1810" s="14">
        <v>2120</v>
      </c>
      <c r="K1810" s="14">
        <v>2570</v>
      </c>
      <c r="N1810" s="42">
        <f t="shared" si="72"/>
        <v>29000</v>
      </c>
      <c r="O1810" s="43">
        <f t="shared" si="73"/>
        <v>0.11284046692607004</v>
      </c>
    </row>
    <row r="1811" spans="1:15" x14ac:dyDescent="0.45">
      <c r="A1811" s="12" t="s">
        <v>31767</v>
      </c>
      <c r="B1811" s="14">
        <v>230000</v>
      </c>
      <c r="C1811" s="14">
        <v>260500</v>
      </c>
      <c r="D1811" s="14">
        <v>165600</v>
      </c>
      <c r="E1811" s="14">
        <v>214912</v>
      </c>
      <c r="F1811" s="14">
        <v>127700</v>
      </c>
      <c r="G1811" s="14">
        <v>168074</v>
      </c>
      <c r="H1811" s="14">
        <v>120000</v>
      </c>
      <c r="I1811" s="14">
        <v>147000</v>
      </c>
      <c r="J1811" s="14">
        <v>2180</v>
      </c>
      <c r="K1811" s="14">
        <v>2630</v>
      </c>
      <c r="N1811" s="42">
        <f t="shared" si="72"/>
        <v>30500</v>
      </c>
      <c r="O1811" s="43">
        <f t="shared" si="73"/>
        <v>0.11708253358925144</v>
      </c>
    </row>
    <row r="1812" spans="1:15" x14ac:dyDescent="0.45">
      <c r="A1812" s="12" t="s">
        <v>31768</v>
      </c>
      <c r="B1812" s="14">
        <v>227000</v>
      </c>
      <c r="C1812" s="14">
        <v>255500</v>
      </c>
      <c r="D1812" s="14">
        <v>163500</v>
      </c>
      <c r="E1812" s="14">
        <v>210787</v>
      </c>
      <c r="F1812" s="14">
        <v>126000</v>
      </c>
      <c r="G1812" s="14">
        <v>164848</v>
      </c>
      <c r="H1812" s="14">
        <v>122000</v>
      </c>
      <c r="I1812" s="14">
        <v>149000</v>
      </c>
      <c r="J1812" s="14">
        <v>2180</v>
      </c>
      <c r="K1812" s="14">
        <v>2630</v>
      </c>
      <c r="N1812" s="42">
        <f t="shared" si="72"/>
        <v>28500</v>
      </c>
      <c r="O1812" s="43">
        <f t="shared" si="73"/>
        <v>0.11154598825831702</v>
      </c>
    </row>
    <row r="1813" spans="1:15" x14ac:dyDescent="0.45">
      <c r="A1813" s="12" t="s">
        <v>31769</v>
      </c>
      <c r="B1813" s="14">
        <v>227000</v>
      </c>
      <c r="C1813" s="14">
        <v>255500</v>
      </c>
      <c r="D1813" s="14">
        <v>163500</v>
      </c>
      <c r="E1813" s="14">
        <v>210787</v>
      </c>
      <c r="F1813" s="14">
        <v>126000</v>
      </c>
      <c r="G1813" s="14">
        <v>164848</v>
      </c>
      <c r="H1813" s="14">
        <v>118000</v>
      </c>
      <c r="I1813" s="14">
        <v>143000</v>
      </c>
      <c r="J1813" s="14">
        <v>2180</v>
      </c>
      <c r="K1813" s="14">
        <v>2630</v>
      </c>
      <c r="N1813" s="42">
        <f t="shared" si="72"/>
        <v>28500</v>
      </c>
      <c r="O1813" s="43">
        <f t="shared" si="73"/>
        <v>0.11154598825831702</v>
      </c>
    </row>
    <row r="1814" spans="1:15" x14ac:dyDescent="0.45">
      <c r="A1814" s="12" t="s">
        <v>31770</v>
      </c>
      <c r="B1814" s="14">
        <v>223000</v>
      </c>
      <c r="C1814" s="14">
        <v>249500</v>
      </c>
      <c r="D1814" s="14">
        <v>160600</v>
      </c>
      <c r="E1814" s="14">
        <v>205837</v>
      </c>
      <c r="F1814" s="14">
        <v>123800</v>
      </c>
      <c r="G1814" s="14">
        <v>160977</v>
      </c>
      <c r="H1814" s="14">
        <v>118000</v>
      </c>
      <c r="I1814" s="14">
        <v>143000</v>
      </c>
      <c r="J1814" s="14">
        <v>2140</v>
      </c>
      <c r="K1814" s="14">
        <v>2590</v>
      </c>
      <c r="N1814" s="42">
        <f t="shared" si="72"/>
        <v>26500</v>
      </c>
      <c r="O1814" s="43">
        <f t="shared" si="73"/>
        <v>0.10621242484969939</v>
      </c>
    </row>
    <row r="1815" spans="1:15" x14ac:dyDescent="0.45">
      <c r="A1815" s="12" t="s">
        <v>31771</v>
      </c>
      <c r="B1815" s="14">
        <v>222000</v>
      </c>
      <c r="C1815" s="14">
        <v>250500</v>
      </c>
      <c r="D1815" s="14">
        <v>159900</v>
      </c>
      <c r="E1815" s="14">
        <v>206662</v>
      </c>
      <c r="F1815" s="14">
        <v>123300</v>
      </c>
      <c r="G1815" s="14">
        <v>161622</v>
      </c>
      <c r="H1815" s="14">
        <v>119000</v>
      </c>
      <c r="I1815" s="14">
        <v>144000</v>
      </c>
      <c r="J1815" s="14">
        <v>2150</v>
      </c>
      <c r="K1815" s="14">
        <v>2600</v>
      </c>
      <c r="N1815" s="42">
        <f t="shared" si="72"/>
        <v>28500</v>
      </c>
      <c r="O1815" s="43">
        <f t="shared" si="73"/>
        <v>0.11377245508982035</v>
      </c>
    </row>
    <row r="1816" spans="1:15" x14ac:dyDescent="0.45">
      <c r="A1816" s="12" t="s">
        <v>31772</v>
      </c>
      <c r="B1816" s="14">
        <v>219500</v>
      </c>
      <c r="C1816" s="14">
        <v>246500</v>
      </c>
      <c r="D1816" s="14">
        <v>158100</v>
      </c>
      <c r="E1816" s="14">
        <v>203362</v>
      </c>
      <c r="F1816" s="14">
        <v>121900</v>
      </c>
      <c r="G1816" s="14">
        <v>159041</v>
      </c>
      <c r="H1816" s="14">
        <v>118000</v>
      </c>
      <c r="I1816" s="14">
        <v>143000</v>
      </c>
      <c r="J1816" s="14">
        <v>2100</v>
      </c>
      <c r="K1816" s="14">
        <v>2550</v>
      </c>
      <c r="N1816" s="42">
        <f t="shared" si="72"/>
        <v>27000</v>
      </c>
      <c r="O1816" s="43">
        <f t="shared" si="73"/>
        <v>0.10953346855983773</v>
      </c>
    </row>
    <row r="1817" spans="1:15" x14ac:dyDescent="0.45">
      <c r="A1817" s="12" t="s">
        <v>31773</v>
      </c>
      <c r="B1817" s="14">
        <v>219000</v>
      </c>
      <c r="C1817" s="14">
        <v>248000</v>
      </c>
      <c r="D1817" s="14">
        <v>157700</v>
      </c>
      <c r="E1817" s="14">
        <v>204600</v>
      </c>
      <c r="F1817" s="14">
        <v>121600</v>
      </c>
      <c r="G1817" s="14">
        <v>160009</v>
      </c>
      <c r="H1817" s="14">
        <v>119000</v>
      </c>
      <c r="I1817" s="14">
        <v>144000</v>
      </c>
      <c r="J1817" s="14">
        <v>2110</v>
      </c>
      <c r="K1817" s="14">
        <v>2560</v>
      </c>
      <c r="N1817" s="42">
        <f t="shared" si="72"/>
        <v>29000</v>
      </c>
      <c r="O1817" s="43">
        <f t="shared" si="73"/>
        <v>0.11693548387096774</v>
      </c>
    </row>
    <row r="1818" spans="1:15" x14ac:dyDescent="0.45">
      <c r="A1818" s="12" t="s">
        <v>31774</v>
      </c>
      <c r="B1818" s="14">
        <v>219000</v>
      </c>
      <c r="C1818" s="14">
        <v>248000</v>
      </c>
      <c r="D1818" s="14">
        <v>157700</v>
      </c>
      <c r="E1818" s="14">
        <v>204600</v>
      </c>
      <c r="F1818" s="14">
        <v>121600</v>
      </c>
      <c r="G1818" s="14">
        <v>160009</v>
      </c>
      <c r="H1818" s="14">
        <v>118000</v>
      </c>
      <c r="I1818" s="14">
        <v>143000</v>
      </c>
      <c r="J1818" s="14">
        <v>2120</v>
      </c>
      <c r="K1818" s="14">
        <v>2570</v>
      </c>
      <c r="N1818" s="42">
        <f t="shared" si="72"/>
        <v>29000</v>
      </c>
      <c r="O1818" s="43">
        <f t="shared" si="73"/>
        <v>0.11693548387096774</v>
      </c>
    </row>
    <row r="1819" spans="1:15" x14ac:dyDescent="0.45">
      <c r="A1819" s="12" t="s">
        <v>31775</v>
      </c>
      <c r="B1819" s="14">
        <v>219000</v>
      </c>
      <c r="C1819" s="14">
        <v>248000</v>
      </c>
      <c r="D1819" s="14">
        <v>157700</v>
      </c>
      <c r="E1819" s="14">
        <v>204600</v>
      </c>
      <c r="F1819" s="14">
        <v>121600</v>
      </c>
      <c r="G1819" s="14">
        <v>160009</v>
      </c>
      <c r="H1819" s="14">
        <v>118000</v>
      </c>
      <c r="I1819" s="14">
        <v>143000</v>
      </c>
      <c r="J1819" s="14">
        <v>2120</v>
      </c>
      <c r="K1819" s="14">
        <v>2570</v>
      </c>
      <c r="N1819" s="42">
        <f t="shared" si="72"/>
        <v>29000</v>
      </c>
      <c r="O1819" s="43">
        <f t="shared" si="73"/>
        <v>0.11693548387096774</v>
      </c>
    </row>
    <row r="1820" spans="1:15" x14ac:dyDescent="0.45">
      <c r="A1820" s="12" t="s">
        <v>31776</v>
      </c>
      <c r="B1820" s="14">
        <v>227000</v>
      </c>
      <c r="C1820" s="14">
        <v>258000</v>
      </c>
      <c r="D1820" s="14">
        <v>163500</v>
      </c>
      <c r="E1820" s="14">
        <v>212850</v>
      </c>
      <c r="F1820" s="14">
        <v>126000</v>
      </c>
      <c r="G1820" s="14">
        <v>166461</v>
      </c>
      <c r="H1820" s="14">
        <v>125000</v>
      </c>
      <c r="I1820" s="14">
        <v>150000</v>
      </c>
      <c r="J1820" s="14">
        <v>2290</v>
      </c>
      <c r="K1820" s="14">
        <v>2740</v>
      </c>
      <c r="N1820" s="42">
        <f t="shared" si="72"/>
        <v>31000</v>
      </c>
      <c r="O1820" s="43">
        <f t="shared" si="73"/>
        <v>0.12015503875968993</v>
      </c>
    </row>
    <row r="1821" spans="1:15" x14ac:dyDescent="0.45">
      <c r="A1821" s="12" t="s">
        <v>31777</v>
      </c>
      <c r="B1821" s="14">
        <v>227000</v>
      </c>
      <c r="C1821" s="14">
        <v>257500</v>
      </c>
      <c r="D1821" s="14">
        <v>163500</v>
      </c>
      <c r="E1821" s="14">
        <v>212437</v>
      </c>
      <c r="F1821" s="14">
        <v>126000</v>
      </c>
      <c r="G1821" s="14">
        <v>166139</v>
      </c>
      <c r="H1821" s="14">
        <v>128000</v>
      </c>
      <c r="I1821" s="14">
        <v>153000</v>
      </c>
      <c r="J1821" s="14">
        <v>2330</v>
      </c>
      <c r="K1821" s="14">
        <v>2780</v>
      </c>
      <c r="N1821" s="42">
        <f t="shared" si="72"/>
        <v>30500</v>
      </c>
      <c r="O1821" s="43">
        <f t="shared" si="73"/>
        <v>0.11844660194174757</v>
      </c>
    </row>
    <row r="1822" spans="1:15" x14ac:dyDescent="0.45">
      <c r="A1822" s="12" t="s">
        <v>31778</v>
      </c>
      <c r="B1822" s="14">
        <v>227000</v>
      </c>
      <c r="C1822" s="14">
        <v>257500</v>
      </c>
      <c r="D1822" s="14">
        <v>163500</v>
      </c>
      <c r="E1822" s="14">
        <v>212437</v>
      </c>
      <c r="F1822" s="14">
        <v>126000</v>
      </c>
      <c r="G1822" s="14">
        <v>166139</v>
      </c>
      <c r="H1822" s="14">
        <v>131000</v>
      </c>
      <c r="I1822" s="14">
        <v>156000</v>
      </c>
      <c r="J1822" s="14">
        <v>2340</v>
      </c>
      <c r="K1822" s="14">
        <v>2790</v>
      </c>
      <c r="N1822" s="42">
        <f t="shared" si="72"/>
        <v>30500</v>
      </c>
      <c r="O1822" s="43">
        <f t="shared" si="73"/>
        <v>0.11844660194174757</v>
      </c>
    </row>
    <row r="1823" spans="1:15" x14ac:dyDescent="0.45">
      <c r="A1823" s="12" t="s">
        <v>31779</v>
      </c>
      <c r="B1823" s="14">
        <v>229500</v>
      </c>
      <c r="C1823" s="14">
        <v>264000</v>
      </c>
      <c r="D1823" s="14">
        <v>165300</v>
      </c>
      <c r="E1823" s="14">
        <v>217800</v>
      </c>
      <c r="F1823" s="14">
        <v>127400</v>
      </c>
      <c r="G1823" s="14">
        <v>170332</v>
      </c>
      <c r="H1823" s="14">
        <v>139000</v>
      </c>
      <c r="I1823" s="14">
        <v>164000</v>
      </c>
      <c r="J1823" s="14">
        <v>2450</v>
      </c>
      <c r="K1823" s="14">
        <v>2900</v>
      </c>
      <c r="N1823" s="42">
        <f t="shared" si="72"/>
        <v>34500</v>
      </c>
      <c r="O1823" s="43">
        <f t="shared" si="73"/>
        <v>0.13068181818181818</v>
      </c>
    </row>
    <row r="1824" spans="1:15" x14ac:dyDescent="0.45">
      <c r="A1824" s="12" t="s">
        <v>31780</v>
      </c>
      <c r="B1824" s="14">
        <v>226500</v>
      </c>
      <c r="C1824" s="14">
        <v>256500</v>
      </c>
      <c r="D1824" s="14">
        <v>163100</v>
      </c>
      <c r="E1824" s="14">
        <v>211612</v>
      </c>
      <c r="F1824" s="14">
        <v>125800</v>
      </c>
      <c r="G1824" s="14">
        <v>165493</v>
      </c>
      <c r="H1824" s="14">
        <v>137000</v>
      </c>
      <c r="I1824" s="14">
        <v>162000</v>
      </c>
      <c r="J1824" s="14">
        <v>2400</v>
      </c>
      <c r="K1824" s="14">
        <v>2850</v>
      </c>
      <c r="N1824" s="42">
        <f t="shared" si="72"/>
        <v>30000</v>
      </c>
      <c r="O1824" s="43">
        <f t="shared" si="73"/>
        <v>0.11695906432748537</v>
      </c>
    </row>
    <row r="1825" spans="1:15" x14ac:dyDescent="0.45">
      <c r="A1825" s="12" t="s">
        <v>31781</v>
      </c>
      <c r="B1825" s="14">
        <v>222500</v>
      </c>
      <c r="C1825" s="14">
        <v>250000</v>
      </c>
      <c r="D1825" s="14">
        <v>160200</v>
      </c>
      <c r="E1825" s="14">
        <v>206250</v>
      </c>
      <c r="F1825" s="14">
        <v>123500</v>
      </c>
      <c r="G1825" s="14">
        <v>161300</v>
      </c>
      <c r="H1825" s="14">
        <v>140000</v>
      </c>
      <c r="I1825" s="14">
        <v>165000</v>
      </c>
      <c r="J1825" s="14">
        <v>2350</v>
      </c>
      <c r="K1825" s="14">
        <v>2800</v>
      </c>
      <c r="N1825" s="42">
        <f t="shared" si="72"/>
        <v>27500</v>
      </c>
      <c r="O1825" s="43">
        <f t="shared" si="73"/>
        <v>0.11</v>
      </c>
    </row>
    <row r="1826" spans="1:15" x14ac:dyDescent="0.45">
      <c r="A1826" s="12" t="s">
        <v>31782</v>
      </c>
      <c r="B1826" s="14">
        <v>221500</v>
      </c>
      <c r="C1826" s="14">
        <v>247000</v>
      </c>
      <c r="D1826" s="14">
        <v>159500</v>
      </c>
      <c r="E1826" s="14">
        <v>203775</v>
      </c>
      <c r="F1826" s="14">
        <v>123000</v>
      </c>
      <c r="G1826" s="14">
        <v>159364</v>
      </c>
      <c r="H1826" s="14">
        <v>138000</v>
      </c>
      <c r="I1826" s="14">
        <v>163000</v>
      </c>
      <c r="J1826" s="14">
        <v>2290</v>
      </c>
      <c r="K1826" s="14">
        <v>2740</v>
      </c>
      <c r="N1826" s="42">
        <f t="shared" si="72"/>
        <v>25500</v>
      </c>
      <c r="O1826" s="43">
        <f t="shared" si="73"/>
        <v>0.10323886639676114</v>
      </c>
    </row>
    <row r="1827" spans="1:15" x14ac:dyDescent="0.45">
      <c r="A1827" s="12" t="s">
        <v>31783</v>
      </c>
      <c r="B1827" s="14">
        <v>218500</v>
      </c>
      <c r="C1827" s="14">
        <v>242500</v>
      </c>
      <c r="D1827" s="14">
        <v>157400</v>
      </c>
      <c r="E1827" s="14">
        <v>200062</v>
      </c>
      <c r="F1827" s="14">
        <v>121300</v>
      </c>
      <c r="G1827" s="14">
        <v>156461</v>
      </c>
      <c r="H1827" s="14">
        <v>136000</v>
      </c>
      <c r="I1827" s="14">
        <v>157000</v>
      </c>
      <c r="J1827" s="14">
        <v>2220</v>
      </c>
      <c r="K1827" s="14">
        <v>2670</v>
      </c>
      <c r="N1827" s="42">
        <f t="shared" si="72"/>
        <v>24000</v>
      </c>
      <c r="O1827" s="43">
        <f t="shared" si="73"/>
        <v>9.8969072164948449E-2</v>
      </c>
    </row>
    <row r="1828" spans="1:15" x14ac:dyDescent="0.45">
      <c r="A1828" s="12" t="s">
        <v>31784</v>
      </c>
      <c r="B1828" s="14">
        <v>218500</v>
      </c>
      <c r="C1828" s="14">
        <v>243000</v>
      </c>
      <c r="D1828" s="14">
        <v>157400</v>
      </c>
      <c r="E1828" s="14">
        <v>200475</v>
      </c>
      <c r="F1828" s="14">
        <v>121300</v>
      </c>
      <c r="G1828" s="14">
        <v>156783</v>
      </c>
      <c r="H1828" s="14">
        <v>137000</v>
      </c>
      <c r="I1828" s="14">
        <v>158000</v>
      </c>
      <c r="J1828" s="14">
        <v>2220</v>
      </c>
      <c r="K1828" s="14">
        <v>2670</v>
      </c>
      <c r="N1828" s="42">
        <f t="shared" si="72"/>
        <v>24500</v>
      </c>
      <c r="O1828" s="43">
        <f t="shared" si="73"/>
        <v>0.10082304526748971</v>
      </c>
    </row>
    <row r="1829" spans="1:15" x14ac:dyDescent="0.45">
      <c r="A1829" s="12" t="s">
        <v>31785</v>
      </c>
      <c r="B1829" s="14">
        <v>217500</v>
      </c>
      <c r="C1829" s="14">
        <v>242000</v>
      </c>
      <c r="D1829" s="14">
        <v>156600</v>
      </c>
      <c r="E1829" s="14">
        <v>199650</v>
      </c>
      <c r="F1829" s="14">
        <v>120800</v>
      </c>
      <c r="G1829" s="14">
        <v>156138</v>
      </c>
      <c r="H1829" s="14">
        <v>138000</v>
      </c>
      <c r="I1829" s="14">
        <v>159000</v>
      </c>
      <c r="J1829" s="14">
        <v>2210</v>
      </c>
      <c r="K1829" s="14">
        <v>2660</v>
      </c>
      <c r="N1829" s="42">
        <f t="shared" si="72"/>
        <v>24500</v>
      </c>
      <c r="O1829" s="43">
        <f t="shared" si="73"/>
        <v>0.1012396694214876</v>
      </c>
    </row>
    <row r="1830" spans="1:15" x14ac:dyDescent="0.45">
      <c r="A1830" s="12" t="s">
        <v>31786</v>
      </c>
      <c r="B1830" s="14">
        <v>216500</v>
      </c>
      <c r="C1830" s="14">
        <v>240000</v>
      </c>
      <c r="D1830" s="14">
        <v>155900</v>
      </c>
      <c r="E1830" s="14">
        <v>198000</v>
      </c>
      <c r="F1830" s="14">
        <v>120200</v>
      </c>
      <c r="G1830" s="14">
        <v>154848</v>
      </c>
      <c r="H1830" s="14">
        <v>137000</v>
      </c>
      <c r="I1830" s="14">
        <v>158000</v>
      </c>
      <c r="J1830" s="14">
        <v>2200</v>
      </c>
      <c r="K1830" s="14">
        <v>2650</v>
      </c>
      <c r="N1830" s="42">
        <f t="shared" si="72"/>
        <v>23500</v>
      </c>
      <c r="O1830" s="43">
        <f t="shared" si="73"/>
        <v>9.7916666666666666E-2</v>
      </c>
    </row>
    <row r="1831" spans="1:15" x14ac:dyDescent="0.45">
      <c r="A1831" s="12" t="s">
        <v>31787</v>
      </c>
      <c r="B1831" s="14">
        <v>217500</v>
      </c>
      <c r="C1831" s="14">
        <v>241000</v>
      </c>
      <c r="D1831" s="14">
        <v>156600</v>
      </c>
      <c r="E1831" s="14">
        <v>198825</v>
      </c>
      <c r="F1831" s="14">
        <v>120800</v>
      </c>
      <c r="G1831" s="14">
        <v>155493</v>
      </c>
      <c r="H1831" s="14">
        <v>137000</v>
      </c>
      <c r="I1831" s="14">
        <v>158000</v>
      </c>
      <c r="J1831" s="14">
        <v>2220</v>
      </c>
      <c r="K1831" s="14">
        <v>2670</v>
      </c>
      <c r="N1831" s="42">
        <f t="shared" si="72"/>
        <v>23500</v>
      </c>
      <c r="O1831" s="43">
        <f t="shared" si="73"/>
        <v>9.7510373443983403E-2</v>
      </c>
    </row>
    <row r="1832" spans="1:15" x14ac:dyDescent="0.45">
      <c r="A1832" s="12" t="s">
        <v>31788</v>
      </c>
      <c r="B1832" s="14">
        <v>218000</v>
      </c>
      <c r="C1832" s="14">
        <v>242000</v>
      </c>
      <c r="D1832" s="14">
        <v>157000</v>
      </c>
      <c r="E1832" s="14">
        <v>199650</v>
      </c>
      <c r="F1832" s="14">
        <v>121000</v>
      </c>
      <c r="G1832" s="14">
        <v>156138</v>
      </c>
      <c r="H1832" s="14">
        <v>138000</v>
      </c>
      <c r="I1832" s="14">
        <v>159000</v>
      </c>
      <c r="J1832" s="14">
        <v>2230</v>
      </c>
      <c r="K1832" s="14">
        <v>2680</v>
      </c>
      <c r="N1832" s="42">
        <f t="shared" si="72"/>
        <v>24000</v>
      </c>
      <c r="O1832" s="43">
        <f t="shared" si="73"/>
        <v>9.9173553719008267E-2</v>
      </c>
    </row>
    <row r="1833" spans="1:15" x14ac:dyDescent="0.45">
      <c r="A1833" s="12" t="s">
        <v>31789</v>
      </c>
      <c r="B1833" s="14">
        <v>218000</v>
      </c>
      <c r="C1833" s="14">
        <v>243000</v>
      </c>
      <c r="D1833" s="14">
        <v>157000</v>
      </c>
      <c r="E1833" s="14">
        <v>200475</v>
      </c>
      <c r="F1833" s="14">
        <v>121000</v>
      </c>
      <c r="G1833" s="14">
        <v>156783</v>
      </c>
      <c r="H1833" s="14">
        <v>138000</v>
      </c>
      <c r="I1833" s="14">
        <v>159000</v>
      </c>
      <c r="J1833" s="14">
        <v>2240</v>
      </c>
      <c r="K1833" s="14">
        <v>2690</v>
      </c>
      <c r="N1833" s="42">
        <f t="shared" si="72"/>
        <v>25000</v>
      </c>
      <c r="O1833" s="43">
        <f t="shared" si="73"/>
        <v>0.102880658436214</v>
      </c>
    </row>
    <row r="1834" spans="1:15" x14ac:dyDescent="0.45">
      <c r="A1834" s="12" t="s">
        <v>31790</v>
      </c>
      <c r="B1834" s="14">
        <v>217000</v>
      </c>
      <c r="C1834" s="14">
        <v>241000</v>
      </c>
      <c r="D1834" s="14">
        <v>156300</v>
      </c>
      <c r="E1834" s="14">
        <v>198825</v>
      </c>
      <c r="F1834" s="14">
        <v>120500</v>
      </c>
      <c r="G1834" s="14">
        <v>155493</v>
      </c>
      <c r="H1834" s="14">
        <v>137000</v>
      </c>
      <c r="I1834" s="14">
        <v>158000</v>
      </c>
      <c r="J1834" s="14">
        <v>2230</v>
      </c>
      <c r="K1834" s="14">
        <v>2680</v>
      </c>
      <c r="N1834" s="42">
        <f t="shared" si="72"/>
        <v>24000</v>
      </c>
      <c r="O1834" s="43">
        <f t="shared" si="73"/>
        <v>9.9585062240663894E-2</v>
      </c>
    </row>
    <row r="1835" spans="1:15" x14ac:dyDescent="0.45">
      <c r="A1835" s="12" t="s">
        <v>31791</v>
      </c>
      <c r="B1835" s="14">
        <v>216500</v>
      </c>
      <c r="C1835" s="14">
        <v>240000</v>
      </c>
      <c r="D1835" s="14">
        <v>155900</v>
      </c>
      <c r="E1835" s="14">
        <v>198000</v>
      </c>
      <c r="F1835" s="14">
        <v>120200</v>
      </c>
      <c r="G1835" s="14">
        <v>154848</v>
      </c>
      <c r="H1835" s="14">
        <v>136000</v>
      </c>
      <c r="I1835" s="14">
        <v>157000</v>
      </c>
      <c r="J1835" s="14">
        <v>2200</v>
      </c>
      <c r="K1835" s="14">
        <v>2650</v>
      </c>
      <c r="N1835" s="42">
        <f t="shared" si="72"/>
        <v>23500</v>
      </c>
      <c r="O1835" s="43">
        <f t="shared" si="73"/>
        <v>9.7916666666666666E-2</v>
      </c>
    </row>
    <row r="1836" spans="1:15" x14ac:dyDescent="0.45">
      <c r="A1836" s="12" t="s">
        <v>31792</v>
      </c>
      <c r="B1836" s="14">
        <v>218000</v>
      </c>
      <c r="C1836" s="14">
        <v>244000</v>
      </c>
      <c r="D1836" s="14">
        <v>157000</v>
      </c>
      <c r="E1836" s="14">
        <v>201300</v>
      </c>
      <c r="F1836" s="14">
        <v>121000</v>
      </c>
      <c r="G1836" s="14">
        <v>157428</v>
      </c>
      <c r="H1836" s="14">
        <v>138000</v>
      </c>
      <c r="I1836" s="14">
        <v>159000</v>
      </c>
      <c r="J1836" s="14">
        <v>2220</v>
      </c>
      <c r="K1836" s="14">
        <v>2670</v>
      </c>
      <c r="N1836" s="42">
        <f t="shared" si="72"/>
        <v>26000</v>
      </c>
      <c r="O1836" s="43">
        <f t="shared" si="73"/>
        <v>0.10655737704918032</v>
      </c>
    </row>
    <row r="1837" spans="1:15" x14ac:dyDescent="0.45">
      <c r="A1837" s="12" t="s">
        <v>31793</v>
      </c>
      <c r="B1837" s="14">
        <v>219500</v>
      </c>
      <c r="C1837" s="14">
        <v>246000</v>
      </c>
      <c r="D1837" s="14">
        <v>158100</v>
      </c>
      <c r="E1837" s="14">
        <v>202950</v>
      </c>
      <c r="F1837" s="14">
        <v>121900</v>
      </c>
      <c r="G1837" s="14">
        <v>158719</v>
      </c>
      <c r="H1837" s="14">
        <v>138000</v>
      </c>
      <c r="I1837" s="14">
        <v>159000</v>
      </c>
      <c r="J1837" s="14">
        <v>2290</v>
      </c>
      <c r="K1837" s="14">
        <v>2740</v>
      </c>
      <c r="N1837" s="42">
        <f t="shared" ref="N1837:N1857" si="74">C1837-B1837</f>
        <v>26500</v>
      </c>
      <c r="O1837" s="43">
        <f t="shared" ref="O1837:O1857" si="75">N1837/C1837</f>
        <v>0.10772357723577236</v>
      </c>
    </row>
    <row r="1838" spans="1:15" x14ac:dyDescent="0.45">
      <c r="A1838" s="12" t="s">
        <v>31794</v>
      </c>
      <c r="B1838" s="14">
        <v>218000</v>
      </c>
      <c r="C1838" s="14">
        <v>243500</v>
      </c>
      <c r="D1838" s="14">
        <v>157000</v>
      </c>
      <c r="E1838" s="14">
        <v>200887</v>
      </c>
      <c r="F1838" s="14">
        <v>121000</v>
      </c>
      <c r="G1838" s="14">
        <v>157106</v>
      </c>
      <c r="H1838" s="14">
        <v>138000</v>
      </c>
      <c r="I1838" s="14">
        <v>159000</v>
      </c>
      <c r="J1838" s="14">
        <v>2220</v>
      </c>
      <c r="K1838" s="14">
        <v>2670</v>
      </c>
      <c r="N1838" s="42">
        <f t="shared" si="74"/>
        <v>25500</v>
      </c>
      <c r="O1838" s="43">
        <f t="shared" si="75"/>
        <v>0.10472279260780287</v>
      </c>
    </row>
    <row r="1839" spans="1:15" x14ac:dyDescent="0.45">
      <c r="A1839" s="12" t="s">
        <v>31795</v>
      </c>
      <c r="B1839" s="14">
        <v>216000</v>
      </c>
      <c r="C1839" s="14">
        <v>240000</v>
      </c>
      <c r="D1839" s="14">
        <v>155600</v>
      </c>
      <c r="E1839" s="14">
        <v>198000</v>
      </c>
      <c r="F1839" s="14">
        <v>119900</v>
      </c>
      <c r="G1839" s="14">
        <v>154848</v>
      </c>
      <c r="H1839" s="14">
        <v>140000</v>
      </c>
      <c r="I1839" s="14">
        <v>161000</v>
      </c>
      <c r="J1839" s="14">
        <v>2170</v>
      </c>
      <c r="K1839" s="14">
        <v>2620</v>
      </c>
      <c r="N1839" s="42">
        <f t="shared" si="74"/>
        <v>24000</v>
      </c>
      <c r="O1839" s="43">
        <f t="shared" si="75"/>
        <v>0.1</v>
      </c>
    </row>
    <row r="1840" spans="1:15" x14ac:dyDescent="0.45">
      <c r="A1840" s="12" t="s">
        <v>31796</v>
      </c>
      <c r="B1840" s="14">
        <v>217000</v>
      </c>
      <c r="C1840" s="14">
        <v>241000</v>
      </c>
      <c r="D1840" s="14">
        <v>156300</v>
      </c>
      <c r="E1840" s="14">
        <v>198825</v>
      </c>
      <c r="F1840" s="14">
        <v>120500</v>
      </c>
      <c r="G1840" s="14">
        <v>155493</v>
      </c>
      <c r="H1840" s="14">
        <v>139000</v>
      </c>
      <c r="I1840" s="14">
        <v>160000</v>
      </c>
      <c r="J1840" s="14">
        <v>2250</v>
      </c>
      <c r="K1840" s="14">
        <v>2700</v>
      </c>
      <c r="N1840" s="42">
        <f t="shared" si="74"/>
        <v>24000</v>
      </c>
      <c r="O1840" s="43">
        <f t="shared" si="75"/>
        <v>9.9585062240663894E-2</v>
      </c>
    </row>
    <row r="1841" spans="1:15" x14ac:dyDescent="0.45">
      <c r="A1841" s="12" t="s">
        <v>31797</v>
      </c>
      <c r="B1841" s="14">
        <v>215500</v>
      </c>
      <c r="C1841" s="14">
        <v>240000</v>
      </c>
      <c r="D1841" s="14">
        <v>155200</v>
      </c>
      <c r="E1841" s="14">
        <v>198000</v>
      </c>
      <c r="F1841" s="14">
        <v>119700</v>
      </c>
      <c r="G1841" s="14">
        <v>154848</v>
      </c>
      <c r="H1841" s="14">
        <v>140000</v>
      </c>
      <c r="I1841" s="14">
        <v>161000</v>
      </c>
      <c r="J1841" s="14">
        <v>2260</v>
      </c>
      <c r="K1841" s="14">
        <v>2710</v>
      </c>
      <c r="N1841" s="42">
        <f t="shared" si="74"/>
        <v>24500</v>
      </c>
      <c r="O1841" s="43">
        <f t="shared" si="75"/>
        <v>0.10208333333333333</v>
      </c>
    </row>
    <row r="1842" spans="1:15" x14ac:dyDescent="0.45">
      <c r="A1842" s="12" t="s">
        <v>31798</v>
      </c>
      <c r="B1842" s="14">
        <v>215000</v>
      </c>
      <c r="C1842" s="14">
        <v>238500</v>
      </c>
      <c r="D1842" s="14">
        <v>154800</v>
      </c>
      <c r="E1842" s="14">
        <v>196762</v>
      </c>
      <c r="F1842" s="14">
        <v>119400</v>
      </c>
      <c r="G1842" s="14">
        <v>153880</v>
      </c>
      <c r="H1842" s="14">
        <v>141000</v>
      </c>
      <c r="I1842" s="14">
        <v>163000</v>
      </c>
      <c r="J1842" s="14">
        <v>2240</v>
      </c>
      <c r="K1842" s="14">
        <v>2690</v>
      </c>
      <c r="N1842" s="42">
        <f t="shared" si="74"/>
        <v>23500</v>
      </c>
      <c r="O1842" s="43">
        <f t="shared" si="75"/>
        <v>9.853249475890985E-2</v>
      </c>
    </row>
    <row r="1843" spans="1:15" x14ac:dyDescent="0.45">
      <c r="A1843" s="12" t="s">
        <v>31799</v>
      </c>
      <c r="B1843" s="14">
        <v>213500</v>
      </c>
      <c r="C1843" s="14">
        <v>236500</v>
      </c>
      <c r="D1843" s="14">
        <v>153800</v>
      </c>
      <c r="E1843" s="14">
        <v>195112</v>
      </c>
      <c r="F1843" s="14">
        <v>118500</v>
      </c>
      <c r="G1843" s="14">
        <v>152589</v>
      </c>
      <c r="H1843" s="14">
        <v>142000</v>
      </c>
      <c r="I1843" s="14">
        <v>164000</v>
      </c>
      <c r="J1843" s="14">
        <v>2210</v>
      </c>
      <c r="K1843" s="14">
        <v>2650</v>
      </c>
      <c r="N1843" s="42">
        <f t="shared" si="74"/>
        <v>23000</v>
      </c>
      <c r="O1843" s="43">
        <f t="shared" si="75"/>
        <v>9.7251585623678652E-2</v>
      </c>
    </row>
    <row r="1844" spans="1:15" x14ac:dyDescent="0.45">
      <c r="A1844" s="12" t="s">
        <v>31800</v>
      </c>
      <c r="B1844" s="14">
        <v>213000</v>
      </c>
      <c r="C1844" s="14">
        <v>234500</v>
      </c>
      <c r="D1844" s="14">
        <v>153400</v>
      </c>
      <c r="E1844" s="14">
        <v>193462</v>
      </c>
      <c r="F1844" s="14">
        <v>118300</v>
      </c>
      <c r="G1844" s="14">
        <v>151299</v>
      </c>
      <c r="H1844" s="14">
        <v>138000</v>
      </c>
      <c r="I1844" s="14">
        <v>160000</v>
      </c>
      <c r="J1844" s="14">
        <v>2190</v>
      </c>
      <c r="K1844" s="14">
        <v>2630</v>
      </c>
      <c r="N1844" s="42">
        <f t="shared" si="74"/>
        <v>21500</v>
      </c>
      <c r="O1844" s="43">
        <f t="shared" si="75"/>
        <v>9.1684434968017064E-2</v>
      </c>
    </row>
    <row r="1845" spans="1:15" x14ac:dyDescent="0.45">
      <c r="A1845" s="12" t="s">
        <v>31801</v>
      </c>
      <c r="B1845" s="14">
        <v>212500</v>
      </c>
      <c r="C1845" s="14">
        <v>234500</v>
      </c>
      <c r="D1845" s="14">
        <v>153000</v>
      </c>
      <c r="E1845" s="14">
        <v>193462</v>
      </c>
      <c r="F1845" s="14">
        <v>118000</v>
      </c>
      <c r="G1845" s="14">
        <v>151299</v>
      </c>
      <c r="H1845" s="14">
        <v>142000</v>
      </c>
      <c r="I1845" s="14">
        <v>164000</v>
      </c>
      <c r="J1845" s="14">
        <v>2220</v>
      </c>
      <c r="K1845" s="14">
        <v>2660</v>
      </c>
      <c r="N1845" s="42">
        <f t="shared" si="74"/>
        <v>22000</v>
      </c>
      <c r="O1845" s="43">
        <f t="shared" si="75"/>
        <v>9.3816631130063971E-2</v>
      </c>
    </row>
    <row r="1846" spans="1:15" x14ac:dyDescent="0.45">
      <c r="A1846" s="12" t="s">
        <v>31802</v>
      </c>
      <c r="B1846" s="14">
        <v>212500</v>
      </c>
      <c r="C1846" s="14">
        <v>234500</v>
      </c>
      <c r="D1846" s="14">
        <v>153000</v>
      </c>
      <c r="E1846" s="14">
        <v>193462</v>
      </c>
      <c r="F1846" s="14">
        <v>118000</v>
      </c>
      <c r="G1846" s="14">
        <v>151299</v>
      </c>
      <c r="H1846" s="14">
        <v>142000</v>
      </c>
      <c r="I1846" s="14">
        <v>164000</v>
      </c>
      <c r="J1846" s="14">
        <v>2220</v>
      </c>
      <c r="K1846" s="14">
        <v>2660</v>
      </c>
      <c r="N1846" s="42">
        <f t="shared" si="74"/>
        <v>22000</v>
      </c>
      <c r="O1846" s="43">
        <f t="shared" si="75"/>
        <v>9.3816631130063971E-2</v>
      </c>
    </row>
    <row r="1847" spans="1:15" x14ac:dyDescent="0.45">
      <c r="A1847" s="12" t="s">
        <v>31803</v>
      </c>
      <c r="B1847" s="14">
        <v>212000</v>
      </c>
      <c r="C1847" s="14">
        <v>233000</v>
      </c>
      <c r="D1847" s="14">
        <v>152700</v>
      </c>
      <c r="E1847" s="14">
        <v>192225</v>
      </c>
      <c r="F1847" s="14">
        <v>117700</v>
      </c>
      <c r="G1847" s="14">
        <v>150331</v>
      </c>
      <c r="H1847" s="14">
        <v>139000</v>
      </c>
      <c r="I1847" s="14">
        <v>160000</v>
      </c>
      <c r="J1847" s="14">
        <v>2200</v>
      </c>
      <c r="K1847" s="14">
        <v>2640</v>
      </c>
      <c r="N1847" s="42">
        <f t="shared" si="74"/>
        <v>21000</v>
      </c>
      <c r="O1847" s="43">
        <f t="shared" si="75"/>
        <v>9.012875536480687E-2</v>
      </c>
    </row>
    <row r="1848" spans="1:15" x14ac:dyDescent="0.45">
      <c r="A1848" s="12" t="s">
        <v>31804</v>
      </c>
      <c r="B1848" s="14">
        <v>212000</v>
      </c>
      <c r="C1848" s="14">
        <v>234000</v>
      </c>
      <c r="D1848" s="14">
        <v>152700</v>
      </c>
      <c r="E1848" s="14">
        <v>193050</v>
      </c>
      <c r="F1848" s="14">
        <v>117700</v>
      </c>
      <c r="G1848" s="14">
        <v>150976</v>
      </c>
      <c r="H1848" s="14">
        <v>142000</v>
      </c>
      <c r="I1848" s="14">
        <v>163000</v>
      </c>
      <c r="J1848" s="14">
        <v>2210</v>
      </c>
      <c r="K1848" s="14">
        <v>2650</v>
      </c>
      <c r="N1848" s="42">
        <f t="shared" si="74"/>
        <v>22000</v>
      </c>
      <c r="O1848" s="43">
        <f t="shared" si="75"/>
        <v>9.4017094017094016E-2</v>
      </c>
    </row>
    <row r="1849" spans="1:15" x14ac:dyDescent="0.45">
      <c r="A1849" s="12" t="s">
        <v>31805</v>
      </c>
      <c r="B1849" s="14">
        <v>211500</v>
      </c>
      <c r="C1849" s="14">
        <v>232500</v>
      </c>
      <c r="D1849" s="14">
        <v>152300</v>
      </c>
      <c r="E1849" s="14">
        <v>191812</v>
      </c>
      <c r="F1849" s="14">
        <v>117400</v>
      </c>
      <c r="G1849" s="14">
        <v>150009</v>
      </c>
      <c r="H1849" s="14">
        <v>136000</v>
      </c>
      <c r="I1849" s="14">
        <v>157000</v>
      </c>
      <c r="J1849" s="14">
        <v>2190</v>
      </c>
      <c r="K1849" s="14">
        <v>2630</v>
      </c>
      <c r="N1849" s="42">
        <f t="shared" si="74"/>
        <v>21000</v>
      </c>
      <c r="O1849" s="43">
        <f t="shared" si="75"/>
        <v>9.0322580645161285E-2</v>
      </c>
    </row>
    <row r="1850" spans="1:15" x14ac:dyDescent="0.45">
      <c r="A1850" s="12" t="s">
        <v>31806</v>
      </c>
      <c r="B1850" s="14">
        <v>212000</v>
      </c>
      <c r="C1850" s="14">
        <v>233000</v>
      </c>
      <c r="D1850" s="14">
        <v>152700</v>
      </c>
      <c r="E1850" s="14">
        <v>192225</v>
      </c>
      <c r="F1850" s="14">
        <v>117700</v>
      </c>
      <c r="G1850" s="14">
        <v>150331</v>
      </c>
      <c r="H1850" s="14">
        <v>135000</v>
      </c>
      <c r="I1850" s="14">
        <v>156000</v>
      </c>
      <c r="J1850" s="14">
        <v>2220</v>
      </c>
      <c r="K1850" s="14">
        <v>2660</v>
      </c>
      <c r="N1850" s="42">
        <f t="shared" si="74"/>
        <v>21000</v>
      </c>
      <c r="O1850" s="43">
        <f t="shared" si="75"/>
        <v>9.012875536480687E-2</v>
      </c>
    </row>
    <row r="1851" spans="1:15" x14ac:dyDescent="0.45">
      <c r="A1851" s="12" t="s">
        <v>31807</v>
      </c>
      <c r="B1851" s="14">
        <v>213000</v>
      </c>
      <c r="C1851" s="14">
        <v>235000</v>
      </c>
      <c r="D1851" s="14">
        <v>153400</v>
      </c>
      <c r="E1851" s="14">
        <v>193875</v>
      </c>
      <c r="F1851" s="14">
        <v>118300</v>
      </c>
      <c r="G1851" s="14">
        <v>151622</v>
      </c>
      <c r="H1851" s="14">
        <v>135000</v>
      </c>
      <c r="I1851" s="14">
        <v>156000</v>
      </c>
      <c r="J1851" s="14">
        <v>2230</v>
      </c>
      <c r="K1851" s="14">
        <v>2670</v>
      </c>
      <c r="N1851" s="42">
        <f t="shared" si="74"/>
        <v>22000</v>
      </c>
      <c r="O1851" s="43">
        <f t="shared" si="75"/>
        <v>9.3617021276595741E-2</v>
      </c>
    </row>
    <row r="1852" spans="1:15" x14ac:dyDescent="0.45">
      <c r="A1852" s="12" t="s">
        <v>31808</v>
      </c>
      <c r="B1852" s="14">
        <v>211500</v>
      </c>
      <c r="C1852" s="14">
        <v>233000</v>
      </c>
      <c r="D1852" s="14">
        <v>152300</v>
      </c>
      <c r="E1852" s="14">
        <v>192225</v>
      </c>
      <c r="F1852" s="14">
        <v>117400</v>
      </c>
      <c r="G1852" s="14">
        <v>150331</v>
      </c>
      <c r="H1852" s="14">
        <v>134000</v>
      </c>
      <c r="I1852" s="14">
        <v>154000</v>
      </c>
      <c r="J1852" s="14">
        <v>2200</v>
      </c>
      <c r="K1852" s="14">
        <v>2640</v>
      </c>
      <c r="N1852" s="42">
        <f t="shared" si="74"/>
        <v>21500</v>
      </c>
      <c r="O1852" s="43">
        <f t="shared" si="75"/>
        <v>9.2274678111587988E-2</v>
      </c>
    </row>
    <row r="1853" spans="1:15" x14ac:dyDescent="0.45">
      <c r="A1853" s="12" t="s">
        <v>31809</v>
      </c>
      <c r="B1853" s="14">
        <v>218000</v>
      </c>
      <c r="C1853" s="14">
        <v>241000</v>
      </c>
      <c r="D1853" s="14">
        <v>157000</v>
      </c>
      <c r="E1853" s="14">
        <v>198825</v>
      </c>
      <c r="F1853" s="14">
        <v>121000</v>
      </c>
      <c r="G1853" s="14">
        <v>155493</v>
      </c>
      <c r="H1853" s="14">
        <v>136000</v>
      </c>
      <c r="I1853" s="14">
        <v>156000</v>
      </c>
      <c r="J1853" s="14">
        <v>2260</v>
      </c>
      <c r="K1853" s="14">
        <v>2700</v>
      </c>
      <c r="N1853" s="42">
        <f t="shared" si="74"/>
        <v>23000</v>
      </c>
      <c r="O1853" s="43">
        <f t="shared" si="75"/>
        <v>9.5435684647302899E-2</v>
      </c>
    </row>
    <row r="1854" spans="1:15" x14ac:dyDescent="0.45">
      <c r="A1854" s="12" t="s">
        <v>31810</v>
      </c>
      <c r="B1854" s="14">
        <v>215500</v>
      </c>
      <c r="C1854" s="14">
        <v>239500</v>
      </c>
      <c r="D1854" s="14">
        <v>155200</v>
      </c>
      <c r="E1854" s="14">
        <v>197587</v>
      </c>
      <c r="F1854" s="14">
        <v>119700</v>
      </c>
      <c r="G1854" s="14">
        <v>154525</v>
      </c>
      <c r="H1854" s="14">
        <v>139000</v>
      </c>
      <c r="I1854" s="14">
        <v>159000</v>
      </c>
      <c r="J1854" s="14">
        <v>2310</v>
      </c>
      <c r="K1854" s="14">
        <v>2750</v>
      </c>
      <c r="N1854" s="42">
        <f t="shared" si="74"/>
        <v>24000</v>
      </c>
      <c r="O1854" s="43">
        <f t="shared" si="75"/>
        <v>0.10020876826722339</v>
      </c>
    </row>
    <row r="1855" spans="1:15" x14ac:dyDescent="0.45">
      <c r="A1855" s="12" t="s">
        <v>31811</v>
      </c>
      <c r="B1855" s="14">
        <v>211000</v>
      </c>
      <c r="C1855" s="14">
        <v>234500</v>
      </c>
      <c r="D1855" s="14">
        <v>152000</v>
      </c>
      <c r="E1855" s="14">
        <v>193462</v>
      </c>
      <c r="F1855" s="14">
        <v>117200</v>
      </c>
      <c r="G1855" s="14">
        <v>151299</v>
      </c>
      <c r="H1855" s="14">
        <v>137000</v>
      </c>
      <c r="I1855" s="14">
        <v>157000</v>
      </c>
      <c r="J1855" s="14">
        <v>2290</v>
      </c>
      <c r="K1855" s="14">
        <v>2730</v>
      </c>
      <c r="N1855" s="42">
        <f t="shared" si="74"/>
        <v>23500</v>
      </c>
      <c r="O1855" s="43">
        <f t="shared" si="75"/>
        <v>0.10021321961620469</v>
      </c>
    </row>
    <row r="1856" spans="1:15" x14ac:dyDescent="0.45">
      <c r="A1856" s="12" t="s">
        <v>31812</v>
      </c>
      <c r="B1856" s="14">
        <v>209000</v>
      </c>
      <c r="C1856" s="14">
        <v>227500</v>
      </c>
      <c r="D1856" s="14">
        <v>150500</v>
      </c>
      <c r="E1856" s="14">
        <v>187687</v>
      </c>
      <c r="F1856" s="14">
        <v>116000</v>
      </c>
      <c r="G1856" s="14">
        <v>146783</v>
      </c>
      <c r="H1856" s="14">
        <v>133000</v>
      </c>
      <c r="I1856" s="14">
        <v>154000</v>
      </c>
      <c r="J1856" s="14">
        <v>2270</v>
      </c>
      <c r="K1856" s="14">
        <v>2710</v>
      </c>
      <c r="N1856" s="42">
        <f t="shared" si="74"/>
        <v>18500</v>
      </c>
      <c r="O1856" s="43">
        <f t="shared" si="75"/>
        <v>8.1318681318681321E-2</v>
      </c>
    </row>
    <row r="1857" spans="1:15" x14ac:dyDescent="0.45">
      <c r="A1857" s="12" t="s">
        <v>31813</v>
      </c>
      <c r="B1857" s="14">
        <v>209500</v>
      </c>
      <c r="C1857" s="14">
        <v>228500</v>
      </c>
      <c r="D1857" s="14">
        <v>150900</v>
      </c>
      <c r="E1857" s="14">
        <v>188512</v>
      </c>
      <c r="F1857" s="14">
        <v>116300</v>
      </c>
      <c r="G1857" s="14">
        <v>147428</v>
      </c>
      <c r="H1857" s="14">
        <v>132000</v>
      </c>
      <c r="I1857" s="14">
        <v>153000</v>
      </c>
      <c r="J1857" s="14">
        <v>2310</v>
      </c>
      <c r="K1857" s="14">
        <v>2750</v>
      </c>
      <c r="N1857" s="42">
        <f t="shared" si="74"/>
        <v>19000</v>
      </c>
      <c r="O1857" s="43">
        <f t="shared" si="75"/>
        <v>8.3150984682713341E-2</v>
      </c>
    </row>
  </sheetData>
  <autoFilter ref="A1:K1" xr:uid="{00000000-0009-0000-0000-000006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756"/>
  <sheetViews>
    <sheetView tabSelected="1" workbookViewId="0">
      <pane ySplit="1" topLeftCell="A4630" activePane="bottomLeft" state="frozen"/>
      <selection activeCell="A6" sqref="A6"/>
      <selection pane="bottomLeft" activeCell="C4653" sqref="C4653"/>
    </sheetView>
  </sheetViews>
  <sheetFormatPr defaultRowHeight="17" x14ac:dyDescent="0.45"/>
  <cols>
    <col min="1" max="1" width="12" customWidth="1"/>
    <col min="2" max="2" width="10" customWidth="1"/>
    <col min="3" max="3" width="16" customWidth="1"/>
    <col min="4" max="4" width="14.9140625" customWidth="1"/>
    <col min="5" max="5" width="10" customWidth="1"/>
    <col min="6" max="6" width="12" customWidth="1"/>
    <col min="7" max="7" width="14" customWidth="1"/>
    <col min="8" max="8" width="65" customWidth="1"/>
    <col min="9" max="11" width="6" customWidth="1"/>
  </cols>
  <sheetData>
    <row r="1" spans="1:12" ht="22" customHeight="1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39" t="s">
        <v>9</v>
      </c>
      <c r="K1" s="11" t="s">
        <v>10</v>
      </c>
      <c r="L1" s="19" t="s">
        <v>11</v>
      </c>
    </row>
    <row r="2" spans="1:12" x14ac:dyDescent="0.45">
      <c r="A2" s="12" t="s">
        <v>35920</v>
      </c>
      <c r="B2" s="12" t="s">
        <v>6400</v>
      </c>
      <c r="C2" s="13" t="s">
        <v>6401</v>
      </c>
      <c r="D2" s="13" t="s">
        <v>65</v>
      </c>
      <c r="E2" s="12" t="s">
        <v>35</v>
      </c>
      <c r="F2" s="14">
        <v>22000</v>
      </c>
      <c r="G2" s="14">
        <v>10730</v>
      </c>
      <c r="H2" s="13" t="s">
        <v>35921</v>
      </c>
      <c r="I2" s="40" t="s">
        <v>18</v>
      </c>
      <c r="J2" s="40" t="str">
        <f>HYPERLINK("https://stock.pstatic.net/stock-research/company/57/20260820_company_273097000.pdf","PDF")</f>
        <v>PDF</v>
      </c>
      <c r="K2" s="12" t="s">
        <v>35922</v>
      </c>
      <c r="L2" s="36">
        <v>1.050326188257223</v>
      </c>
    </row>
    <row r="3" spans="1:12" x14ac:dyDescent="0.45">
      <c r="A3" s="12" t="s">
        <v>35920</v>
      </c>
      <c r="B3" s="12" t="s">
        <v>1455</v>
      </c>
      <c r="C3" s="13" t="s">
        <v>1456</v>
      </c>
      <c r="D3" s="13" t="s">
        <v>65</v>
      </c>
      <c r="E3" s="12" t="s">
        <v>35</v>
      </c>
      <c r="F3" s="14">
        <v>2500</v>
      </c>
      <c r="G3" s="14">
        <v>2025</v>
      </c>
      <c r="H3" s="13" t="s">
        <v>35923</v>
      </c>
      <c r="I3" s="40" t="s">
        <v>18</v>
      </c>
      <c r="J3" s="40" t="str">
        <f>HYPERLINK("https://stock.pstatic.net/stock-research/company/57/20260820_company_573916000.pdf","PDF")</f>
        <v>PDF</v>
      </c>
      <c r="K3" s="12" t="s">
        <v>35924</v>
      </c>
      <c r="L3" s="36">
        <v>0.23456790123456789</v>
      </c>
    </row>
    <row r="4" spans="1:12" x14ac:dyDescent="0.45">
      <c r="A4" s="12" t="s">
        <v>35920</v>
      </c>
      <c r="B4" s="12" t="s">
        <v>1912</v>
      </c>
      <c r="C4" s="13" t="s">
        <v>1913</v>
      </c>
      <c r="D4" s="13" t="s">
        <v>23</v>
      </c>
      <c r="E4" s="12" t="s">
        <v>16</v>
      </c>
      <c r="F4" s="14">
        <v>37000</v>
      </c>
      <c r="G4" s="14">
        <v>22600</v>
      </c>
      <c r="H4" s="13" t="s">
        <v>35925</v>
      </c>
      <c r="I4" s="40" t="s">
        <v>18</v>
      </c>
      <c r="J4" s="40" t="str">
        <f>HYPERLINK("https://stock.pstatic.net/stock-research/company/21/20260820_company_389799000.pdf","PDF")</f>
        <v>PDF</v>
      </c>
      <c r="K4" s="12" t="s">
        <v>35926</v>
      </c>
      <c r="L4" s="36">
        <v>0.63716814159292035</v>
      </c>
    </row>
    <row r="5" spans="1:12" x14ac:dyDescent="0.45">
      <c r="A5" s="12" t="s">
        <v>35920</v>
      </c>
      <c r="B5" s="12" t="s">
        <v>3972</v>
      </c>
      <c r="C5" s="13" t="s">
        <v>3973</v>
      </c>
      <c r="D5" s="13" t="s">
        <v>53</v>
      </c>
      <c r="E5" s="12" t="s">
        <v>16</v>
      </c>
      <c r="F5" s="14">
        <v>141000</v>
      </c>
      <c r="G5" s="14">
        <v>65000</v>
      </c>
      <c r="H5" s="13" t="s">
        <v>35927</v>
      </c>
      <c r="I5" s="40" t="s">
        <v>18</v>
      </c>
      <c r="J5" s="40" t="str">
        <f>HYPERLINK("https://stock.pstatic.net/stock-research/company/40/20260820_company_175675000.pdf","PDF")</f>
        <v>PDF</v>
      </c>
      <c r="K5" s="12" t="s">
        <v>35928</v>
      </c>
      <c r="L5" s="36">
        <v>1.1692307692307691</v>
      </c>
    </row>
    <row r="6" spans="1:12" x14ac:dyDescent="0.45">
      <c r="A6" s="12" t="s">
        <v>35920</v>
      </c>
      <c r="B6" s="12" t="s">
        <v>12635</v>
      </c>
      <c r="C6" s="13" t="s">
        <v>12636</v>
      </c>
      <c r="D6" s="13" t="s">
        <v>44</v>
      </c>
      <c r="E6" s="12" t="s">
        <v>642</v>
      </c>
      <c r="F6" s="14">
        <v>70000</v>
      </c>
      <c r="G6" s="14">
        <v>68400</v>
      </c>
      <c r="H6" s="13" t="s">
        <v>35929</v>
      </c>
      <c r="I6" s="40" t="s">
        <v>18</v>
      </c>
      <c r="J6" s="40" t="str">
        <f>HYPERLINK("https://stock.pstatic.net/stock-research/company/39/20260820_company_617146000.pdf","PDF")</f>
        <v>PDF</v>
      </c>
      <c r="K6" s="12" t="s">
        <v>35930</v>
      </c>
      <c r="L6" s="36">
        <v>2.3391812865497071E-2</v>
      </c>
    </row>
    <row r="7" spans="1:12" x14ac:dyDescent="0.45">
      <c r="A7" s="12" t="s">
        <v>35920</v>
      </c>
      <c r="B7" s="12" t="s">
        <v>35931</v>
      </c>
      <c r="C7" s="13" t="s">
        <v>35932</v>
      </c>
      <c r="D7" s="13" t="s">
        <v>124</v>
      </c>
      <c r="E7" s="12" t="s">
        <v>50</v>
      </c>
      <c r="F7" s="13"/>
      <c r="G7" s="13"/>
      <c r="H7" s="13" t="s">
        <v>35933</v>
      </c>
      <c r="I7" s="40" t="s">
        <v>18</v>
      </c>
      <c r="J7" s="40" t="str">
        <f>HYPERLINK("https://stock.pstatic.net/stock-research/company/74/20260820_company_427141000.pdf","PDF")</f>
        <v>PDF</v>
      </c>
      <c r="K7" s="12" t="s">
        <v>35934</v>
      </c>
      <c r="L7" s="12"/>
    </row>
    <row r="8" spans="1:12" x14ac:dyDescent="0.45">
      <c r="A8" s="12" t="s">
        <v>35920</v>
      </c>
      <c r="B8" s="12" t="s">
        <v>344</v>
      </c>
      <c r="C8" s="13" t="s">
        <v>345</v>
      </c>
      <c r="D8" s="13" t="s">
        <v>53</v>
      </c>
      <c r="E8" s="12" t="s">
        <v>16</v>
      </c>
      <c r="F8" s="14">
        <v>18000</v>
      </c>
      <c r="G8" s="14">
        <v>10240</v>
      </c>
      <c r="H8" s="13" t="s">
        <v>35935</v>
      </c>
      <c r="I8" s="40" t="s">
        <v>18</v>
      </c>
      <c r="J8" s="40" t="str">
        <f>HYPERLINK("https://stock.pstatic.net/stock-research/company/40/20260820_company_88009000.pdf","PDF")</f>
        <v>PDF</v>
      </c>
      <c r="K8" s="12" t="s">
        <v>35936</v>
      </c>
      <c r="L8" s="36">
        <v>0.7578125</v>
      </c>
    </row>
    <row r="9" spans="1:12" x14ac:dyDescent="0.45">
      <c r="A9" s="12" t="s">
        <v>35920</v>
      </c>
      <c r="B9" s="12" t="s">
        <v>3395</v>
      </c>
      <c r="C9" s="13" t="s">
        <v>3396</v>
      </c>
      <c r="D9" s="13" t="s">
        <v>53</v>
      </c>
      <c r="E9" s="12" t="s">
        <v>16</v>
      </c>
      <c r="F9" s="14">
        <v>42000</v>
      </c>
      <c r="G9" s="14">
        <v>29250</v>
      </c>
      <c r="H9" s="13" t="s">
        <v>35937</v>
      </c>
      <c r="I9" s="40" t="s">
        <v>18</v>
      </c>
      <c r="J9" s="40" t="str">
        <f>HYPERLINK("https://stock.pstatic.net/stock-research/company/40/20260820_company_118753000.pdf","PDF")</f>
        <v>PDF</v>
      </c>
      <c r="K9" s="12" t="s">
        <v>35938</v>
      </c>
      <c r="L9" s="36">
        <v>0.4358974358974359</v>
      </c>
    </row>
    <row r="10" spans="1:12" x14ac:dyDescent="0.45">
      <c r="A10" s="12" t="s">
        <v>35917</v>
      </c>
      <c r="B10" s="12" t="s">
        <v>1789</v>
      </c>
      <c r="C10" s="13" t="s">
        <v>1790</v>
      </c>
      <c r="D10" s="13" t="s">
        <v>65</v>
      </c>
      <c r="E10" s="12" t="s">
        <v>35</v>
      </c>
      <c r="F10" s="14">
        <v>200000</v>
      </c>
      <c r="G10" s="14">
        <v>143000</v>
      </c>
      <c r="H10" s="13" t="s">
        <v>35939</v>
      </c>
      <c r="I10" s="40" t="s">
        <v>18</v>
      </c>
      <c r="J10" s="40" t="str">
        <f>HYPERLINK("https://stock.pstatic.net/stock-research/company/57/20260819_company_189634000.pdf","PDF")</f>
        <v>PDF</v>
      </c>
      <c r="K10" s="12" t="s">
        <v>35940</v>
      </c>
      <c r="L10" s="36">
        <v>0.39860139860139859</v>
      </c>
    </row>
    <row r="11" spans="1:12" x14ac:dyDescent="0.45">
      <c r="A11" s="12" t="s">
        <v>35917</v>
      </c>
      <c r="B11" s="12" t="s">
        <v>1128</v>
      </c>
      <c r="C11" s="13" t="s">
        <v>1129</v>
      </c>
      <c r="D11" s="13" t="s">
        <v>65</v>
      </c>
      <c r="E11" s="12" t="s">
        <v>35</v>
      </c>
      <c r="F11" s="14">
        <v>180000</v>
      </c>
      <c r="G11" s="14">
        <v>102900</v>
      </c>
      <c r="H11" s="13" t="s">
        <v>35941</v>
      </c>
      <c r="I11" s="40" t="s">
        <v>18</v>
      </c>
      <c r="J11" s="40" t="str">
        <f>HYPERLINK("https://stock.pstatic.net/stock-research/company/57/20260819_company_211973000.pdf","PDF")</f>
        <v>PDF</v>
      </c>
      <c r="K11" s="12" t="s">
        <v>35942</v>
      </c>
      <c r="L11" s="36">
        <v>0.74927113702623904</v>
      </c>
    </row>
    <row r="12" spans="1:12" x14ac:dyDescent="0.45">
      <c r="A12" s="12" t="s">
        <v>35917</v>
      </c>
      <c r="B12" s="12" t="s">
        <v>4172</v>
      </c>
      <c r="C12" s="13" t="s">
        <v>4173</v>
      </c>
      <c r="D12" s="13" t="s">
        <v>65</v>
      </c>
      <c r="E12" s="12" t="s">
        <v>50</v>
      </c>
      <c r="F12" s="13"/>
      <c r="G12" s="14">
        <v>8360</v>
      </c>
      <c r="H12" s="13" t="s">
        <v>35943</v>
      </c>
      <c r="I12" s="40" t="s">
        <v>18</v>
      </c>
      <c r="J12" s="40" t="str">
        <f>HYPERLINK("https://stock.pstatic.net/stock-research/company/57/20260819_company_877441000.pdf","PDF")</f>
        <v>PDF</v>
      </c>
      <c r="K12" s="12" t="s">
        <v>35944</v>
      </c>
      <c r="L12" s="12"/>
    </row>
    <row r="13" spans="1:12" x14ac:dyDescent="0.45">
      <c r="A13" s="12" t="s">
        <v>35917</v>
      </c>
      <c r="B13" s="12" t="s">
        <v>446</v>
      </c>
      <c r="C13" s="13" t="s">
        <v>447</v>
      </c>
      <c r="D13" s="13" t="s">
        <v>57</v>
      </c>
      <c r="E13" s="12" t="s">
        <v>35</v>
      </c>
      <c r="F13" s="14">
        <v>27000</v>
      </c>
      <c r="G13" s="14">
        <v>14150</v>
      </c>
      <c r="H13" s="13" t="s">
        <v>35945</v>
      </c>
      <c r="I13" s="40" t="s">
        <v>18</v>
      </c>
      <c r="J13" s="40" t="str">
        <f>HYPERLINK("https://stock.pstatic.net/stock-research/company/16/20260819_company_889306000.pdf","PDF")</f>
        <v>PDF</v>
      </c>
      <c r="K13" s="12" t="s">
        <v>35946</v>
      </c>
      <c r="L13" s="36">
        <v>0.90812720848056538</v>
      </c>
    </row>
    <row r="14" spans="1:12" x14ac:dyDescent="0.45">
      <c r="A14" s="12" t="s">
        <v>35917</v>
      </c>
      <c r="B14" s="12" t="s">
        <v>764</v>
      </c>
      <c r="C14" s="13" t="s">
        <v>765</v>
      </c>
      <c r="D14" s="13" t="s">
        <v>57</v>
      </c>
      <c r="E14" s="12" t="s">
        <v>35</v>
      </c>
      <c r="F14" s="14">
        <v>55000</v>
      </c>
      <c r="G14" s="14">
        <v>44500</v>
      </c>
      <c r="H14" s="13" t="s">
        <v>35947</v>
      </c>
      <c r="I14" s="40" t="s">
        <v>18</v>
      </c>
      <c r="J14" s="40" t="str">
        <f>HYPERLINK("https://stock.pstatic.net/stock-research/company/16/20260819_company_948594000.pdf","PDF")</f>
        <v>PDF</v>
      </c>
      <c r="K14" s="12" t="s">
        <v>35948</v>
      </c>
      <c r="L14" s="36">
        <v>0.2359550561797753</v>
      </c>
    </row>
    <row r="15" spans="1:12" x14ac:dyDescent="0.45">
      <c r="A15" s="12" t="s">
        <v>35917</v>
      </c>
      <c r="B15" s="12" t="s">
        <v>764</v>
      </c>
      <c r="C15" s="13" t="s">
        <v>765</v>
      </c>
      <c r="D15" s="13" t="s">
        <v>57</v>
      </c>
      <c r="E15" s="12" t="s">
        <v>35</v>
      </c>
      <c r="F15" s="14">
        <v>55000</v>
      </c>
      <c r="G15" s="14">
        <v>44500</v>
      </c>
      <c r="H15" s="13" t="s">
        <v>35947</v>
      </c>
      <c r="I15" s="40" t="s">
        <v>18</v>
      </c>
      <c r="J15" s="40" t="str">
        <f>HYPERLINK("https://stock.pstatic.net/stock-research/company/16/20260819_company_511460000.pdf","PDF")</f>
        <v>PDF</v>
      </c>
      <c r="K15" s="12" t="s">
        <v>35949</v>
      </c>
      <c r="L15" s="36">
        <v>0.2359550561797753</v>
      </c>
    </row>
    <row r="16" spans="1:12" x14ac:dyDescent="0.45">
      <c r="A16" s="12" t="s">
        <v>35917</v>
      </c>
      <c r="B16" s="12" t="s">
        <v>6168</v>
      </c>
      <c r="C16" s="13" t="s">
        <v>6169</v>
      </c>
      <c r="D16" s="13" t="s">
        <v>158</v>
      </c>
      <c r="E16" s="12" t="s">
        <v>50</v>
      </c>
      <c r="F16" s="13"/>
      <c r="G16" s="14">
        <v>15770</v>
      </c>
      <c r="H16" s="13" t="s">
        <v>35950</v>
      </c>
      <c r="I16" s="40" t="s">
        <v>18</v>
      </c>
      <c r="J16" s="40" t="str">
        <f>HYPERLINK("https://stock.pstatic.net/stock-research/company/18/20260819_company_392048000.pdf","PDF")</f>
        <v>PDF</v>
      </c>
      <c r="K16" s="12" t="s">
        <v>35951</v>
      </c>
      <c r="L16" s="12"/>
    </row>
    <row r="17" spans="1:12" x14ac:dyDescent="0.45">
      <c r="A17" s="12" t="s">
        <v>35917</v>
      </c>
      <c r="B17" s="12" t="s">
        <v>410</v>
      </c>
      <c r="C17" s="13" t="s">
        <v>411</v>
      </c>
      <c r="D17" s="13" t="s">
        <v>158</v>
      </c>
      <c r="E17" s="12" t="s">
        <v>50</v>
      </c>
      <c r="F17" s="13"/>
      <c r="G17" s="14">
        <v>6140</v>
      </c>
      <c r="H17" s="13" t="s">
        <v>35952</v>
      </c>
      <c r="I17" s="40" t="s">
        <v>18</v>
      </c>
      <c r="J17" s="40" t="str">
        <f>HYPERLINK("https://stock.pstatic.net/stock-research/company/18/20260819_company_739079000.pdf","PDF")</f>
        <v>PDF</v>
      </c>
      <c r="K17" s="12" t="s">
        <v>35953</v>
      </c>
      <c r="L17" s="12"/>
    </row>
    <row r="18" spans="1:12" x14ac:dyDescent="0.45">
      <c r="A18" s="12" t="s">
        <v>35917</v>
      </c>
      <c r="B18" s="12" t="s">
        <v>264</v>
      </c>
      <c r="C18" s="13" t="s">
        <v>265</v>
      </c>
      <c r="D18" s="13" t="s">
        <v>83</v>
      </c>
      <c r="E18" s="12" t="s">
        <v>35</v>
      </c>
      <c r="F18" s="14">
        <v>630000</v>
      </c>
      <c r="G18" s="14">
        <v>323500</v>
      </c>
      <c r="H18" s="13" t="s">
        <v>35954</v>
      </c>
      <c r="I18" s="40" t="s">
        <v>18</v>
      </c>
      <c r="J18" s="40" t="str">
        <f>HYPERLINK("https://stock.pstatic.net/stock-research/company/15/20260819_company_869383000.pdf","PDF")</f>
        <v>PDF</v>
      </c>
      <c r="K18" s="12" t="s">
        <v>35955</v>
      </c>
      <c r="L18" s="36">
        <v>0.94744976816074189</v>
      </c>
    </row>
    <row r="19" spans="1:12" x14ac:dyDescent="0.45">
      <c r="A19" s="12" t="s">
        <v>35917</v>
      </c>
      <c r="B19" s="12" t="s">
        <v>21</v>
      </c>
      <c r="C19" s="13" t="s">
        <v>22</v>
      </c>
      <c r="D19" s="13" t="s">
        <v>83</v>
      </c>
      <c r="E19" s="12" t="s">
        <v>35</v>
      </c>
      <c r="F19" s="14">
        <v>59000</v>
      </c>
      <c r="G19" s="14">
        <v>45350</v>
      </c>
      <c r="H19" s="13" t="s">
        <v>35956</v>
      </c>
      <c r="I19" s="40" t="s">
        <v>18</v>
      </c>
      <c r="J19" s="40" t="str">
        <f>HYPERLINK("https://stock.pstatic.net/stock-research/company/15/20260819_company_592348000.pdf","PDF")</f>
        <v>PDF</v>
      </c>
      <c r="K19" s="12" t="s">
        <v>35957</v>
      </c>
      <c r="L19" s="36">
        <v>0.30099228224917313</v>
      </c>
    </row>
    <row r="20" spans="1:12" x14ac:dyDescent="0.45">
      <c r="A20" s="12" t="s">
        <v>35917</v>
      </c>
      <c r="B20" s="12" t="s">
        <v>677</v>
      </c>
      <c r="C20" s="13" t="s">
        <v>678</v>
      </c>
      <c r="D20" s="13" t="s">
        <v>83</v>
      </c>
      <c r="E20" s="12" t="s">
        <v>35</v>
      </c>
      <c r="F20" s="14">
        <v>12000</v>
      </c>
      <c r="G20" s="14">
        <v>9140</v>
      </c>
      <c r="H20" s="13" t="s">
        <v>35958</v>
      </c>
      <c r="I20" s="40" t="s">
        <v>18</v>
      </c>
      <c r="J20" s="40" t="str">
        <f>HYPERLINK("https://stock.pstatic.net/stock-research/company/15/20260819_company_717819000.pdf","PDF")</f>
        <v>PDF</v>
      </c>
      <c r="K20" s="12" t="s">
        <v>35959</v>
      </c>
      <c r="L20" s="36">
        <v>0.31291028446389502</v>
      </c>
    </row>
    <row r="21" spans="1:12" x14ac:dyDescent="0.45">
      <c r="A21" s="12" t="s">
        <v>35917</v>
      </c>
      <c r="B21" s="12" t="s">
        <v>812</v>
      </c>
      <c r="C21" s="13" t="s">
        <v>813</v>
      </c>
      <c r="D21" s="13" t="s">
        <v>83</v>
      </c>
      <c r="E21" s="12" t="s">
        <v>35</v>
      </c>
      <c r="F21" s="14">
        <v>140000</v>
      </c>
      <c r="G21" s="14">
        <v>85900</v>
      </c>
      <c r="H21" s="13" t="s">
        <v>35960</v>
      </c>
      <c r="I21" s="40" t="s">
        <v>18</v>
      </c>
      <c r="J21" s="40" t="str">
        <f>HYPERLINK("https://stock.pstatic.net/stock-research/company/15/20260819_company_613819000.pdf","PDF")</f>
        <v>PDF</v>
      </c>
      <c r="K21" s="12" t="s">
        <v>35961</v>
      </c>
      <c r="L21" s="36">
        <v>0.62980209545983701</v>
      </c>
    </row>
    <row r="22" spans="1:12" x14ac:dyDescent="0.45">
      <c r="A22" s="12" t="s">
        <v>35917</v>
      </c>
      <c r="B22" s="12" t="s">
        <v>1274</v>
      </c>
      <c r="C22" s="13" t="s">
        <v>1275</v>
      </c>
      <c r="D22" s="13" t="s">
        <v>83</v>
      </c>
      <c r="E22" s="12" t="s">
        <v>35</v>
      </c>
      <c r="F22" s="14">
        <v>200000</v>
      </c>
      <c r="G22" s="14">
        <v>176800</v>
      </c>
      <c r="H22" s="13" t="s">
        <v>35962</v>
      </c>
      <c r="I22" s="40" t="s">
        <v>18</v>
      </c>
      <c r="J22" s="40" t="str">
        <f>HYPERLINK("https://stock.pstatic.net/stock-research/company/15/20260819_company_133509000.pdf","PDF")</f>
        <v>PDF</v>
      </c>
      <c r="K22" s="12" t="s">
        <v>35963</v>
      </c>
      <c r="L22" s="36">
        <v>0.13122171945701361</v>
      </c>
    </row>
    <row r="23" spans="1:12" x14ac:dyDescent="0.45">
      <c r="A23" s="12" t="s">
        <v>35917</v>
      </c>
      <c r="B23" s="12" t="s">
        <v>1407</v>
      </c>
      <c r="C23" s="13" t="s">
        <v>1408</v>
      </c>
      <c r="D23" s="13" t="s">
        <v>34</v>
      </c>
      <c r="E23" s="12" t="s">
        <v>35</v>
      </c>
      <c r="F23" s="14">
        <v>110000</v>
      </c>
      <c r="G23" s="14">
        <v>69900</v>
      </c>
      <c r="H23" s="13" t="s">
        <v>35964</v>
      </c>
      <c r="I23" s="40" t="s">
        <v>18</v>
      </c>
      <c r="J23" s="40" t="str">
        <f>HYPERLINK("https://stock.pstatic.net/stock-research/company/61/20260819_company_187412000.pdf","PDF")</f>
        <v>PDF</v>
      </c>
      <c r="K23" s="12" t="s">
        <v>35965</v>
      </c>
      <c r="L23" s="36">
        <v>0.57367668097281832</v>
      </c>
    </row>
    <row r="24" spans="1:12" x14ac:dyDescent="0.45">
      <c r="A24" s="12" t="s">
        <v>35917</v>
      </c>
      <c r="B24" s="12" t="s">
        <v>1407</v>
      </c>
      <c r="C24" s="13" t="s">
        <v>1408</v>
      </c>
      <c r="D24" s="13" t="s">
        <v>23</v>
      </c>
      <c r="E24" s="12" t="s">
        <v>16</v>
      </c>
      <c r="F24" s="14">
        <v>101000</v>
      </c>
      <c r="G24" s="14">
        <v>69900</v>
      </c>
      <c r="H24" s="13" t="s">
        <v>35966</v>
      </c>
      <c r="I24" s="40" t="s">
        <v>18</v>
      </c>
      <c r="J24" s="40" t="str">
        <f>HYPERLINK("https://stock.pstatic.net/stock-research/company/21/20260819_company_627377000.pdf","PDF")</f>
        <v>PDF</v>
      </c>
      <c r="K24" s="12" t="s">
        <v>35967</v>
      </c>
      <c r="L24" s="36">
        <v>0.44492131616595137</v>
      </c>
    </row>
    <row r="25" spans="1:12" x14ac:dyDescent="0.45">
      <c r="A25" s="12" t="s">
        <v>35917</v>
      </c>
      <c r="B25" s="12" t="s">
        <v>5495</v>
      </c>
      <c r="C25" s="13" t="s">
        <v>5496</v>
      </c>
      <c r="D25" s="13" t="s">
        <v>92</v>
      </c>
      <c r="E25" s="12" t="s">
        <v>50</v>
      </c>
      <c r="F25" s="13"/>
      <c r="G25" s="14">
        <v>7170</v>
      </c>
      <c r="H25" s="13" t="s">
        <v>35968</v>
      </c>
      <c r="I25" s="40" t="s">
        <v>18</v>
      </c>
      <c r="J25" s="40" t="str">
        <f>HYPERLINK("https://stock.pstatic.net/stock-research/company/63/20260819_company_5407000.pdf","PDF")</f>
        <v>PDF</v>
      </c>
      <c r="K25" s="12" t="s">
        <v>35969</v>
      </c>
      <c r="L25" s="12"/>
    </row>
    <row r="26" spans="1:12" x14ac:dyDescent="0.45">
      <c r="A26" s="12" t="s">
        <v>35917</v>
      </c>
      <c r="B26" s="12" t="s">
        <v>585</v>
      </c>
      <c r="C26" s="13" t="s">
        <v>586</v>
      </c>
      <c r="D26" s="13" t="s">
        <v>23</v>
      </c>
      <c r="E26" s="12" t="s">
        <v>16</v>
      </c>
      <c r="F26" s="14">
        <v>110000</v>
      </c>
      <c r="G26" s="14">
        <v>58900</v>
      </c>
      <c r="H26" s="13" t="s">
        <v>35970</v>
      </c>
      <c r="I26" s="40" t="s">
        <v>18</v>
      </c>
      <c r="J26" s="40" t="str">
        <f>HYPERLINK("https://stock.pstatic.net/stock-research/company/21/20260819_company_413460000.pdf","PDF")</f>
        <v>PDF</v>
      </c>
      <c r="K26" s="12" t="s">
        <v>35971</v>
      </c>
      <c r="L26" s="36">
        <v>0.86757215619694394</v>
      </c>
    </row>
    <row r="27" spans="1:12" x14ac:dyDescent="0.45">
      <c r="A27" s="12" t="s">
        <v>35917</v>
      </c>
      <c r="B27" s="12" t="s">
        <v>1483</v>
      </c>
      <c r="C27" s="13" t="s">
        <v>1484</v>
      </c>
      <c r="D27" s="13" t="s">
        <v>92</v>
      </c>
      <c r="E27" s="12" t="s">
        <v>35</v>
      </c>
      <c r="F27" s="14">
        <v>30000</v>
      </c>
      <c r="G27" s="14">
        <v>18080</v>
      </c>
      <c r="H27" s="13" t="s">
        <v>35972</v>
      </c>
      <c r="I27" s="40" t="s">
        <v>18</v>
      </c>
      <c r="J27" s="40" t="str">
        <f>HYPERLINK("https://stock.pstatic.net/stock-research/company/63/20260819_company_28672000.pdf","PDF")</f>
        <v>PDF</v>
      </c>
      <c r="K27" s="12" t="s">
        <v>35973</v>
      </c>
      <c r="L27" s="36">
        <v>0.65929203539823011</v>
      </c>
    </row>
    <row r="28" spans="1:12" x14ac:dyDescent="0.45">
      <c r="A28" s="12" t="s">
        <v>35917</v>
      </c>
      <c r="B28" s="12" t="s">
        <v>1487</v>
      </c>
      <c r="C28" s="13" t="s">
        <v>1488</v>
      </c>
      <c r="D28" s="13" t="s">
        <v>92</v>
      </c>
      <c r="E28" s="12" t="s">
        <v>35</v>
      </c>
      <c r="F28" s="14">
        <v>10000</v>
      </c>
      <c r="G28" s="14">
        <v>5320</v>
      </c>
      <c r="H28" s="13" t="s">
        <v>35974</v>
      </c>
      <c r="I28" s="40" t="s">
        <v>18</v>
      </c>
      <c r="J28" s="40" t="str">
        <f>HYPERLINK("https://stock.pstatic.net/stock-research/company/63/20260819_company_575116000.pdf","PDF")</f>
        <v>PDF</v>
      </c>
      <c r="K28" s="12" t="s">
        <v>35975</v>
      </c>
      <c r="L28" s="36">
        <v>0.87969924812030076</v>
      </c>
    </row>
    <row r="29" spans="1:12" x14ac:dyDescent="0.45">
      <c r="A29" s="12" t="s">
        <v>35917</v>
      </c>
      <c r="B29" s="12" t="s">
        <v>35976</v>
      </c>
      <c r="C29" s="13" t="s">
        <v>35977</v>
      </c>
      <c r="D29" s="13" t="s">
        <v>34</v>
      </c>
      <c r="E29" s="12" t="s">
        <v>35</v>
      </c>
      <c r="F29" s="14">
        <v>9600</v>
      </c>
      <c r="G29" s="14">
        <v>8250</v>
      </c>
      <c r="H29" s="13" t="s">
        <v>35978</v>
      </c>
      <c r="I29" s="40" t="s">
        <v>18</v>
      </c>
      <c r="J29" s="40" t="str">
        <f>HYPERLINK("https://stock.pstatic.net/stock-research/company/61/20260819_company_745550000.pdf","PDF")</f>
        <v>PDF</v>
      </c>
      <c r="K29" s="12" t="s">
        <v>35979</v>
      </c>
      <c r="L29" s="36">
        <v>0.16363636363636361</v>
      </c>
    </row>
    <row r="30" spans="1:12" x14ac:dyDescent="0.45">
      <c r="A30" s="12" t="s">
        <v>35917</v>
      </c>
      <c r="B30" s="12" t="s">
        <v>1212</v>
      </c>
      <c r="C30" s="13" t="s">
        <v>1213</v>
      </c>
      <c r="D30" s="13" t="s">
        <v>92</v>
      </c>
      <c r="E30" s="12" t="s">
        <v>35</v>
      </c>
      <c r="F30" s="14">
        <v>35000</v>
      </c>
      <c r="G30" s="14">
        <v>21900</v>
      </c>
      <c r="H30" s="13" t="s">
        <v>35980</v>
      </c>
      <c r="I30" s="40" t="s">
        <v>18</v>
      </c>
      <c r="J30" s="40" t="str">
        <f>HYPERLINK("https://stock.pstatic.net/stock-research/company/63/20260819_company_363484000.pdf","PDF")</f>
        <v>PDF</v>
      </c>
      <c r="K30" s="12" t="s">
        <v>35981</v>
      </c>
      <c r="L30" s="36">
        <v>0.59817351598173518</v>
      </c>
    </row>
    <row r="31" spans="1:12" x14ac:dyDescent="0.45">
      <c r="A31" s="12" t="s">
        <v>35917</v>
      </c>
      <c r="B31" s="12" t="s">
        <v>1526</v>
      </c>
      <c r="C31" s="13" t="s">
        <v>1527</v>
      </c>
      <c r="D31" s="13" t="s">
        <v>23</v>
      </c>
      <c r="E31" s="12" t="s">
        <v>16</v>
      </c>
      <c r="F31" s="14">
        <v>15000</v>
      </c>
      <c r="G31" s="14">
        <v>10610</v>
      </c>
      <c r="H31" s="13" t="s">
        <v>35982</v>
      </c>
      <c r="I31" s="40" t="s">
        <v>18</v>
      </c>
      <c r="J31" s="40" t="str">
        <f>HYPERLINK("https://stock.pstatic.net/stock-research/company/21/20260819_company_564320000.pdf","PDF")</f>
        <v>PDF</v>
      </c>
      <c r="K31" s="12" t="s">
        <v>35983</v>
      </c>
      <c r="L31" s="36">
        <v>0.41376060320452401</v>
      </c>
    </row>
    <row r="32" spans="1:12" x14ac:dyDescent="0.45">
      <c r="A32" s="12" t="s">
        <v>35917</v>
      </c>
      <c r="B32" s="12" t="s">
        <v>11448</v>
      </c>
      <c r="C32" s="13" t="s">
        <v>11449</v>
      </c>
      <c r="D32" s="13" t="s">
        <v>34</v>
      </c>
      <c r="E32" s="12" t="s">
        <v>50</v>
      </c>
      <c r="F32" s="13"/>
      <c r="G32" s="14">
        <v>55100</v>
      </c>
      <c r="H32" s="13" t="s">
        <v>35984</v>
      </c>
      <c r="I32" s="40" t="s">
        <v>18</v>
      </c>
      <c r="J32" s="40" t="str">
        <f>HYPERLINK("https://stock.pstatic.net/stock-research/company/61/20260819_company_479732000.pdf","PDF")</f>
        <v>PDF</v>
      </c>
      <c r="K32" s="12" t="s">
        <v>35985</v>
      </c>
      <c r="L32" s="12"/>
    </row>
    <row r="33" spans="1:12" x14ac:dyDescent="0.45">
      <c r="A33" s="12" t="s">
        <v>35917</v>
      </c>
      <c r="B33" s="12" t="s">
        <v>816</v>
      </c>
      <c r="C33" s="13" t="s">
        <v>817</v>
      </c>
      <c r="D33" s="13" t="s">
        <v>23</v>
      </c>
      <c r="E33" s="12" t="s">
        <v>50</v>
      </c>
      <c r="F33" s="13"/>
      <c r="G33" s="14">
        <v>30650</v>
      </c>
      <c r="H33" s="13" t="s">
        <v>35986</v>
      </c>
      <c r="I33" s="40" t="s">
        <v>18</v>
      </c>
      <c r="J33" s="40" t="str">
        <f>HYPERLINK("https://stock.pstatic.net/stock-research/company/-/20260819_company_654580000.pdf","PDF")</f>
        <v>PDF</v>
      </c>
      <c r="K33" s="12" t="s">
        <v>35987</v>
      </c>
      <c r="L33" s="12"/>
    </row>
    <row r="34" spans="1:12" x14ac:dyDescent="0.45">
      <c r="A34" s="12" t="s">
        <v>35917</v>
      </c>
      <c r="B34" s="12" t="s">
        <v>2658</v>
      </c>
      <c r="C34" s="13" t="s">
        <v>2659</v>
      </c>
      <c r="D34" s="13" t="s">
        <v>34</v>
      </c>
      <c r="E34" s="12" t="s">
        <v>35</v>
      </c>
      <c r="F34" s="14">
        <v>140000</v>
      </c>
      <c r="G34" s="14">
        <v>79600</v>
      </c>
      <c r="H34" s="13" t="s">
        <v>35988</v>
      </c>
      <c r="I34" s="40" t="s">
        <v>18</v>
      </c>
      <c r="J34" s="40" t="str">
        <f>HYPERLINK("https://stock.pstatic.net/stock-research/company/61/20260819_company_903879000.pdf","PDF")</f>
        <v>PDF</v>
      </c>
      <c r="K34" s="12" t="s">
        <v>35989</v>
      </c>
      <c r="L34" s="36">
        <v>0.75879396984924619</v>
      </c>
    </row>
    <row r="35" spans="1:12" x14ac:dyDescent="0.45">
      <c r="A35" s="12" t="s">
        <v>35917</v>
      </c>
      <c r="B35" s="12" t="s">
        <v>264</v>
      </c>
      <c r="C35" s="13" t="s">
        <v>265</v>
      </c>
      <c r="D35" s="13" t="s">
        <v>44</v>
      </c>
      <c r="E35" s="12" t="s">
        <v>35</v>
      </c>
      <c r="F35" s="14">
        <v>500000</v>
      </c>
      <c r="G35" s="14">
        <v>343500</v>
      </c>
      <c r="H35" s="13" t="s">
        <v>35990</v>
      </c>
      <c r="I35" s="40" t="s">
        <v>18</v>
      </c>
      <c r="J35" s="40" t="str">
        <f>HYPERLINK("https://stock.pstatic.net/stock-research/company/39/20260819_company_578073000.pdf","PDF")</f>
        <v>PDF</v>
      </c>
      <c r="K35" s="12" t="s">
        <v>35991</v>
      </c>
      <c r="L35" s="36">
        <v>0.45560407569141192</v>
      </c>
    </row>
    <row r="36" spans="1:12" x14ac:dyDescent="0.45">
      <c r="A36" s="12" t="s">
        <v>35917</v>
      </c>
      <c r="B36" s="12" t="s">
        <v>1128</v>
      </c>
      <c r="C36" s="13" t="s">
        <v>1129</v>
      </c>
      <c r="D36" s="13" t="s">
        <v>44</v>
      </c>
      <c r="E36" s="12" t="s">
        <v>35</v>
      </c>
      <c r="F36" s="14">
        <v>190000</v>
      </c>
      <c r="G36" s="14">
        <v>102900</v>
      </c>
      <c r="H36" s="13" t="s">
        <v>35992</v>
      </c>
      <c r="I36" s="40" t="s">
        <v>18</v>
      </c>
      <c r="J36" s="40" t="str">
        <f>HYPERLINK("https://stock.pstatic.net/stock-research/company/39/20260819_company_551675000.pdf","PDF")</f>
        <v>PDF</v>
      </c>
      <c r="K36" s="12" t="s">
        <v>35993</v>
      </c>
      <c r="L36" s="36">
        <v>0.84645286686103016</v>
      </c>
    </row>
    <row r="37" spans="1:12" x14ac:dyDescent="0.45">
      <c r="A37" s="12" t="s">
        <v>35917</v>
      </c>
      <c r="B37" s="12" t="s">
        <v>1477</v>
      </c>
      <c r="C37" s="13" t="s">
        <v>1478</v>
      </c>
      <c r="D37" s="13" t="s">
        <v>44</v>
      </c>
      <c r="E37" s="12" t="s">
        <v>35</v>
      </c>
      <c r="F37" s="14">
        <v>48000</v>
      </c>
      <c r="G37" s="14">
        <v>30750</v>
      </c>
      <c r="H37" s="13" t="s">
        <v>35994</v>
      </c>
      <c r="I37" s="40" t="s">
        <v>18</v>
      </c>
      <c r="J37" s="40" t="str">
        <f>HYPERLINK("https://stock.pstatic.net/stock-research/company/39/20260819_company_250602000.pdf","PDF")</f>
        <v>PDF</v>
      </c>
      <c r="K37" s="12" t="s">
        <v>35995</v>
      </c>
      <c r="L37" s="36">
        <v>0.56097560975609762</v>
      </c>
    </row>
    <row r="38" spans="1:12" x14ac:dyDescent="0.45">
      <c r="A38" s="12" t="s">
        <v>35917</v>
      </c>
      <c r="B38" s="12" t="s">
        <v>899</v>
      </c>
      <c r="C38" s="13" t="s">
        <v>900</v>
      </c>
      <c r="D38" s="13" t="s">
        <v>44</v>
      </c>
      <c r="E38" s="12" t="s">
        <v>35</v>
      </c>
      <c r="F38" s="14">
        <v>61000</v>
      </c>
      <c r="G38" s="14">
        <v>32700</v>
      </c>
      <c r="H38" s="13" t="s">
        <v>35996</v>
      </c>
      <c r="I38" s="40" t="s">
        <v>18</v>
      </c>
      <c r="J38" s="40" t="str">
        <f>HYPERLINK("https://stock.pstatic.net/stock-research/company/39/20260819_company_723855000.pdf","PDF")</f>
        <v>PDF</v>
      </c>
      <c r="K38" s="12" t="s">
        <v>35997</v>
      </c>
      <c r="L38" s="36">
        <v>0.86544342507645255</v>
      </c>
    </row>
    <row r="39" spans="1:12" x14ac:dyDescent="0.45">
      <c r="A39" s="12" t="s">
        <v>35917</v>
      </c>
      <c r="B39" s="12" t="s">
        <v>243</v>
      </c>
      <c r="C39" s="13" t="s">
        <v>244</v>
      </c>
      <c r="D39" s="13" t="s">
        <v>124</v>
      </c>
      <c r="E39" s="12" t="s">
        <v>50</v>
      </c>
      <c r="F39" s="13"/>
      <c r="G39" s="13"/>
      <c r="H39" s="13" t="s">
        <v>35998</v>
      </c>
      <c r="I39" s="40" t="s">
        <v>18</v>
      </c>
      <c r="J39" s="40" t="str">
        <f>HYPERLINK("https://stock.pstatic.net/stock-research/company/74/20260819_company_783007000.pdf","PDF")</f>
        <v>PDF</v>
      </c>
      <c r="K39" s="12" t="s">
        <v>35999</v>
      </c>
      <c r="L39" s="12"/>
    </row>
    <row r="40" spans="1:12" x14ac:dyDescent="0.45">
      <c r="A40" s="12" t="s">
        <v>35917</v>
      </c>
      <c r="B40" s="12" t="s">
        <v>14194</v>
      </c>
      <c r="C40" s="13" t="s">
        <v>14195</v>
      </c>
      <c r="D40" s="13" t="s">
        <v>124</v>
      </c>
      <c r="E40" s="12" t="s">
        <v>50</v>
      </c>
      <c r="F40" s="13"/>
      <c r="G40" s="13"/>
      <c r="H40" s="13" t="s">
        <v>36000</v>
      </c>
      <c r="I40" s="40" t="s">
        <v>18</v>
      </c>
      <c r="J40" s="40" t="str">
        <f>HYPERLINK("https://stock.pstatic.net/stock-research/company/74/20260819_company_163670000.pdf","PDF")</f>
        <v>PDF</v>
      </c>
      <c r="K40" s="12" t="s">
        <v>36001</v>
      </c>
      <c r="L40" s="12"/>
    </row>
    <row r="41" spans="1:12" x14ac:dyDescent="0.45">
      <c r="A41" s="12" t="s">
        <v>35917</v>
      </c>
      <c r="B41" s="12" t="s">
        <v>19908</v>
      </c>
      <c r="C41" s="13" t="s">
        <v>19909</v>
      </c>
      <c r="D41" s="13" t="s">
        <v>124</v>
      </c>
      <c r="E41" s="12" t="s">
        <v>50</v>
      </c>
      <c r="F41" s="13"/>
      <c r="G41" s="13"/>
      <c r="H41" s="13" t="s">
        <v>36002</v>
      </c>
      <c r="I41" s="40" t="s">
        <v>18</v>
      </c>
      <c r="J41" s="40" t="str">
        <f>HYPERLINK("https://stock.pstatic.net/stock-research/company/74/20260819_company_170337000.pdf","PDF")</f>
        <v>PDF</v>
      </c>
      <c r="K41" s="12" t="s">
        <v>36003</v>
      </c>
      <c r="L41" s="12"/>
    </row>
    <row r="42" spans="1:12" x14ac:dyDescent="0.45">
      <c r="A42" s="12" t="s">
        <v>35917</v>
      </c>
      <c r="B42" s="12" t="s">
        <v>1162</v>
      </c>
      <c r="C42" s="13" t="s">
        <v>1163</v>
      </c>
      <c r="D42" s="13" t="s">
        <v>15</v>
      </c>
      <c r="E42" s="12" t="s">
        <v>16</v>
      </c>
      <c r="F42" s="14">
        <v>166000</v>
      </c>
      <c r="G42" s="14">
        <v>138100</v>
      </c>
      <c r="H42" s="13" t="s">
        <v>36004</v>
      </c>
      <c r="I42" s="40" t="s">
        <v>18</v>
      </c>
      <c r="J42" s="40" t="str">
        <f>HYPERLINK("https://stock.pstatic.net/stock-research/company/56/20260819_company_366830000.pdf","PDF")</f>
        <v>PDF</v>
      </c>
      <c r="K42" s="12" t="s">
        <v>36005</v>
      </c>
      <c r="L42" s="36">
        <v>0.20202751629254159</v>
      </c>
    </row>
    <row r="43" spans="1:12" x14ac:dyDescent="0.45">
      <c r="A43" s="12" t="s">
        <v>35917</v>
      </c>
      <c r="B43" s="12" t="s">
        <v>264</v>
      </c>
      <c r="C43" s="13" t="s">
        <v>265</v>
      </c>
      <c r="D43" s="13" t="s">
        <v>15</v>
      </c>
      <c r="E43" s="12" t="s">
        <v>16</v>
      </c>
      <c r="F43" s="14">
        <v>452000</v>
      </c>
      <c r="G43" s="14">
        <v>323500</v>
      </c>
      <c r="H43" s="13" t="s">
        <v>36006</v>
      </c>
      <c r="I43" s="40" t="s">
        <v>18</v>
      </c>
      <c r="J43" s="40" t="str">
        <f>HYPERLINK("https://stock.pstatic.net/stock-research/company/56/20260819_company_733348000.pdf","PDF")</f>
        <v>PDF</v>
      </c>
      <c r="K43" s="12" t="s">
        <v>36007</v>
      </c>
      <c r="L43" s="36">
        <v>0.39721792890262753</v>
      </c>
    </row>
    <row r="44" spans="1:12" x14ac:dyDescent="0.45">
      <c r="A44" s="12" t="s">
        <v>35918</v>
      </c>
      <c r="B44" s="12" t="s">
        <v>1734</v>
      </c>
      <c r="C44" s="13" t="s">
        <v>1735</v>
      </c>
      <c r="D44" s="13" t="s">
        <v>853</v>
      </c>
      <c r="E44" s="12" t="s">
        <v>35</v>
      </c>
      <c r="F44" s="14">
        <v>54000</v>
      </c>
      <c r="G44" s="14">
        <v>35750</v>
      </c>
      <c r="H44" s="13" t="s">
        <v>36008</v>
      </c>
      <c r="I44" s="40" t="s">
        <v>18</v>
      </c>
      <c r="J44" s="40" t="str">
        <f>HYPERLINK("https://stock.pstatic.net/stock-research/company/17/20260818_company_791597000.pdf","PDF")</f>
        <v>PDF</v>
      </c>
      <c r="K44" s="12" t="s">
        <v>36009</v>
      </c>
      <c r="L44" s="36">
        <v>0.51048951048951052</v>
      </c>
    </row>
    <row r="45" spans="1:12" x14ac:dyDescent="0.45">
      <c r="A45" s="12" t="s">
        <v>35918</v>
      </c>
      <c r="B45" s="12" t="s">
        <v>698</v>
      </c>
      <c r="C45" s="13" t="s">
        <v>699</v>
      </c>
      <c r="D45" s="13" t="s">
        <v>57</v>
      </c>
      <c r="E45" s="12" t="s">
        <v>35</v>
      </c>
      <c r="F45" s="14">
        <v>800000</v>
      </c>
      <c r="G45" s="14">
        <v>585000</v>
      </c>
      <c r="H45" s="13" t="s">
        <v>36010</v>
      </c>
      <c r="I45" s="40" t="s">
        <v>18</v>
      </c>
      <c r="J45" s="40" t="str">
        <f>HYPERLINK("https://stock.pstatic.net/stock-research/company/16/20260818_company_254605000.pdf","PDF")</f>
        <v>PDF</v>
      </c>
      <c r="K45" s="12" t="s">
        <v>36011</v>
      </c>
      <c r="L45" s="36">
        <v>0.36752136752136749</v>
      </c>
    </row>
    <row r="46" spans="1:12" x14ac:dyDescent="0.45">
      <c r="A46" s="12" t="s">
        <v>35918</v>
      </c>
      <c r="B46" s="12" t="s">
        <v>1162</v>
      </c>
      <c r="C46" s="13" t="s">
        <v>1163</v>
      </c>
      <c r="D46" s="13" t="s">
        <v>57</v>
      </c>
      <c r="E46" s="12" t="s">
        <v>35</v>
      </c>
      <c r="F46" s="14">
        <v>210000</v>
      </c>
      <c r="G46" s="14">
        <v>138100</v>
      </c>
      <c r="H46" s="13" t="s">
        <v>36012</v>
      </c>
      <c r="I46" s="40" t="s">
        <v>18</v>
      </c>
      <c r="J46" s="40" t="str">
        <f>HYPERLINK("https://stock.pstatic.net/stock-research/company/16/20260818_company_194961000.pdf","PDF")</f>
        <v>PDF</v>
      </c>
      <c r="K46" s="12" t="s">
        <v>36013</v>
      </c>
      <c r="L46" s="36">
        <v>0.52063721940622743</v>
      </c>
    </row>
    <row r="47" spans="1:12" x14ac:dyDescent="0.45">
      <c r="A47" s="12" t="s">
        <v>35918</v>
      </c>
      <c r="B47" s="12" t="s">
        <v>812</v>
      </c>
      <c r="C47" s="13" t="s">
        <v>813</v>
      </c>
      <c r="D47" s="13" t="s">
        <v>57</v>
      </c>
      <c r="E47" s="12" t="s">
        <v>35</v>
      </c>
      <c r="F47" s="14">
        <v>130000</v>
      </c>
      <c r="G47" s="14">
        <v>85900</v>
      </c>
      <c r="H47" s="13" t="s">
        <v>36014</v>
      </c>
      <c r="I47" s="40" t="s">
        <v>18</v>
      </c>
      <c r="J47" s="40" t="str">
        <f>HYPERLINK("https://stock.pstatic.net/stock-research/company/16/20260818_company_56315000.pdf","PDF")</f>
        <v>PDF</v>
      </c>
      <c r="K47" s="12" t="s">
        <v>36015</v>
      </c>
      <c r="L47" s="36">
        <v>0.51338766006984871</v>
      </c>
    </row>
    <row r="48" spans="1:12" x14ac:dyDescent="0.45">
      <c r="A48" s="12" t="s">
        <v>35918</v>
      </c>
      <c r="B48" s="12" t="s">
        <v>264</v>
      </c>
      <c r="C48" s="13" t="s">
        <v>265</v>
      </c>
      <c r="D48" s="13" t="s">
        <v>57</v>
      </c>
      <c r="E48" s="12" t="s">
        <v>35</v>
      </c>
      <c r="F48" s="14">
        <v>542000</v>
      </c>
      <c r="G48" s="14">
        <v>323500</v>
      </c>
      <c r="H48" s="13" t="s">
        <v>36016</v>
      </c>
      <c r="I48" s="40" t="s">
        <v>18</v>
      </c>
      <c r="J48" s="40" t="str">
        <f>HYPERLINK("https://stock.pstatic.net/stock-research/company/16/20260818_company_198782000.pdf","PDF")</f>
        <v>PDF</v>
      </c>
      <c r="K48" s="12" t="s">
        <v>36017</v>
      </c>
      <c r="L48" s="36">
        <v>0.67542503863987635</v>
      </c>
    </row>
    <row r="49" spans="1:12" x14ac:dyDescent="0.45">
      <c r="A49" s="12" t="s">
        <v>35918</v>
      </c>
      <c r="B49" s="12" t="s">
        <v>677</v>
      </c>
      <c r="C49" s="13" t="s">
        <v>678</v>
      </c>
      <c r="D49" s="13" t="s">
        <v>57</v>
      </c>
      <c r="E49" s="12" t="s">
        <v>35</v>
      </c>
      <c r="F49" s="14">
        <v>12000</v>
      </c>
      <c r="G49" s="14">
        <v>9140</v>
      </c>
      <c r="H49" s="13" t="s">
        <v>36018</v>
      </c>
      <c r="I49" s="40" t="s">
        <v>18</v>
      </c>
      <c r="J49" s="40" t="str">
        <f>HYPERLINK("https://stock.pstatic.net/stock-research/company/16/20260818_company_733573000.pdf","PDF")</f>
        <v>PDF</v>
      </c>
      <c r="K49" s="12" t="s">
        <v>36019</v>
      </c>
      <c r="L49" s="36">
        <v>0.31291028446389502</v>
      </c>
    </row>
    <row r="50" spans="1:12" x14ac:dyDescent="0.45">
      <c r="A50" s="12" t="s">
        <v>35918</v>
      </c>
      <c r="B50" s="12" t="s">
        <v>824</v>
      </c>
      <c r="C50" s="13" t="s">
        <v>825</v>
      </c>
      <c r="D50" s="13" t="s">
        <v>57</v>
      </c>
      <c r="E50" s="12" t="s">
        <v>35</v>
      </c>
      <c r="F50" s="14">
        <v>78000</v>
      </c>
      <c r="G50" s="14">
        <v>42500</v>
      </c>
      <c r="H50" s="13" t="s">
        <v>36020</v>
      </c>
      <c r="I50" s="40" t="s">
        <v>18</v>
      </c>
      <c r="J50" s="40" t="str">
        <f>HYPERLINK("https://stock.pstatic.net/stock-research/company/16/20260818_company_482029000.pdf","PDF")</f>
        <v>PDF</v>
      </c>
      <c r="K50" s="12" t="s">
        <v>36021</v>
      </c>
      <c r="L50" s="36">
        <v>0.83529411764705885</v>
      </c>
    </row>
    <row r="51" spans="1:12" x14ac:dyDescent="0.45">
      <c r="A51" s="12" t="s">
        <v>35918</v>
      </c>
      <c r="B51" s="12" t="s">
        <v>1686</v>
      </c>
      <c r="C51" s="13" t="s">
        <v>1687</v>
      </c>
      <c r="D51" s="13" t="s">
        <v>57</v>
      </c>
      <c r="E51" s="12" t="s">
        <v>35</v>
      </c>
      <c r="F51" s="14">
        <v>1800000</v>
      </c>
      <c r="G51" s="14">
        <v>1270000</v>
      </c>
      <c r="H51" s="13" t="s">
        <v>36022</v>
      </c>
      <c r="I51" s="40" t="s">
        <v>18</v>
      </c>
      <c r="J51" s="40" t="str">
        <f>HYPERLINK("https://stock.pstatic.net/stock-research/company/16/20260818_company_558182000.pdf","PDF")</f>
        <v>PDF</v>
      </c>
      <c r="K51" s="12" t="s">
        <v>36023</v>
      </c>
      <c r="L51" s="36">
        <v>0.41732283464566933</v>
      </c>
    </row>
    <row r="52" spans="1:12" x14ac:dyDescent="0.45">
      <c r="A52" s="12" t="s">
        <v>35918</v>
      </c>
      <c r="B52" s="12" t="s">
        <v>5705</v>
      </c>
      <c r="C52" s="13" t="s">
        <v>5706</v>
      </c>
      <c r="D52" s="13" t="s">
        <v>57</v>
      </c>
      <c r="E52" s="12" t="s">
        <v>50</v>
      </c>
      <c r="F52" s="13"/>
      <c r="G52" s="14">
        <v>68700</v>
      </c>
      <c r="H52" s="13" t="s">
        <v>36024</v>
      </c>
      <c r="I52" s="40" t="s">
        <v>18</v>
      </c>
      <c r="J52" s="40" t="str">
        <f>HYPERLINK("https://stock.pstatic.net/stock-research/company/16/20260818_company_434164000.pdf","PDF")</f>
        <v>PDF</v>
      </c>
      <c r="K52" s="12" t="s">
        <v>36025</v>
      </c>
      <c r="L52" s="12"/>
    </row>
    <row r="53" spans="1:12" x14ac:dyDescent="0.45">
      <c r="A53" s="12" t="s">
        <v>35918</v>
      </c>
      <c r="B53" s="12" t="s">
        <v>2777</v>
      </c>
      <c r="C53" s="13" t="s">
        <v>2778</v>
      </c>
      <c r="D53" s="13" t="s">
        <v>57</v>
      </c>
      <c r="E53" s="12" t="s">
        <v>35</v>
      </c>
      <c r="F53" s="14">
        <v>570000</v>
      </c>
      <c r="G53" s="14">
        <v>449000</v>
      </c>
      <c r="H53" s="13" t="s">
        <v>36026</v>
      </c>
      <c r="I53" s="40" t="s">
        <v>18</v>
      </c>
      <c r="J53" s="40" t="str">
        <f>HYPERLINK("https://stock.pstatic.net/stock-research/company/16/20260818_company_263423000.pdf","PDF")</f>
        <v>PDF</v>
      </c>
      <c r="K53" s="12" t="s">
        <v>36027</v>
      </c>
      <c r="L53" s="36">
        <v>0.26948775055679292</v>
      </c>
    </row>
    <row r="54" spans="1:12" x14ac:dyDescent="0.45">
      <c r="A54" s="12" t="s">
        <v>35918</v>
      </c>
      <c r="B54" s="12" t="s">
        <v>5767</v>
      </c>
      <c r="C54" s="13" t="s">
        <v>5768</v>
      </c>
      <c r="D54" s="13" t="s">
        <v>57</v>
      </c>
      <c r="E54" s="12" t="s">
        <v>35</v>
      </c>
      <c r="F54" s="14">
        <v>43000</v>
      </c>
      <c r="G54" s="14">
        <v>27600</v>
      </c>
      <c r="H54" s="13" t="s">
        <v>36028</v>
      </c>
      <c r="I54" s="40" t="s">
        <v>18</v>
      </c>
      <c r="J54" s="40" t="str">
        <f>HYPERLINK("https://stock.pstatic.net/stock-research/company/16/20260818_company_25121000.pdf","PDF")</f>
        <v>PDF</v>
      </c>
      <c r="K54" s="12" t="s">
        <v>36029</v>
      </c>
      <c r="L54" s="36">
        <v>0.55797101449275366</v>
      </c>
    </row>
    <row r="55" spans="1:12" x14ac:dyDescent="0.45">
      <c r="A55" s="12" t="s">
        <v>35918</v>
      </c>
      <c r="B55" s="12" t="s">
        <v>1308</v>
      </c>
      <c r="C55" s="13" t="s">
        <v>1309</v>
      </c>
      <c r="D55" s="13" t="s">
        <v>57</v>
      </c>
      <c r="E55" s="12" t="s">
        <v>35</v>
      </c>
      <c r="F55" s="14">
        <v>550000</v>
      </c>
      <c r="G55" s="14">
        <v>389500</v>
      </c>
      <c r="H55" s="13" t="s">
        <v>36030</v>
      </c>
      <c r="I55" s="40" t="s">
        <v>18</v>
      </c>
      <c r="J55" s="40" t="str">
        <f>HYPERLINK("https://stock.pstatic.net/stock-research/company/16/20260818_company_615187000.pdf","PDF")</f>
        <v>PDF</v>
      </c>
      <c r="K55" s="12" t="s">
        <v>36031</v>
      </c>
      <c r="L55" s="36">
        <v>0.41206675224646983</v>
      </c>
    </row>
    <row r="56" spans="1:12" x14ac:dyDescent="0.45">
      <c r="A56" s="12" t="s">
        <v>35918</v>
      </c>
      <c r="B56" s="12" t="s">
        <v>5705</v>
      </c>
      <c r="C56" s="13" t="s">
        <v>5706</v>
      </c>
      <c r="D56" s="13" t="s">
        <v>276</v>
      </c>
      <c r="E56" s="12" t="s">
        <v>16</v>
      </c>
      <c r="F56" s="14">
        <v>120000</v>
      </c>
      <c r="G56" s="14">
        <v>82400</v>
      </c>
      <c r="H56" s="13" t="s">
        <v>36032</v>
      </c>
      <c r="I56" s="40" t="s">
        <v>18</v>
      </c>
      <c r="J56" s="40" t="str">
        <f>HYPERLINK("https://stock.pstatic.net/stock-research/company/66/20260818_company_902709000.pdf","PDF")</f>
        <v>PDF</v>
      </c>
      <c r="K56" s="12" t="s">
        <v>36033</v>
      </c>
      <c r="L56" s="36">
        <v>0.4563106796116505</v>
      </c>
    </row>
    <row r="57" spans="1:12" x14ac:dyDescent="0.45">
      <c r="A57" s="12" t="s">
        <v>35918</v>
      </c>
      <c r="B57" s="12" t="s">
        <v>1246</v>
      </c>
      <c r="C57" s="13" t="s">
        <v>1247</v>
      </c>
      <c r="D57" s="13" t="s">
        <v>276</v>
      </c>
      <c r="E57" s="12" t="s">
        <v>16</v>
      </c>
      <c r="F57" s="14">
        <v>25000</v>
      </c>
      <c r="G57" s="14">
        <v>14560</v>
      </c>
      <c r="H57" s="13" t="s">
        <v>36034</v>
      </c>
      <c r="I57" s="40" t="s">
        <v>18</v>
      </c>
      <c r="J57" s="40" t="str">
        <f>HYPERLINK("https://stock.pstatic.net/stock-research/company/66/20260818_company_49147000.pdf","PDF")</f>
        <v>PDF</v>
      </c>
      <c r="K57" s="12" t="s">
        <v>36035</v>
      </c>
      <c r="L57" s="36">
        <v>0.71703296703296704</v>
      </c>
    </row>
    <row r="58" spans="1:12" x14ac:dyDescent="0.45">
      <c r="A58" s="12" t="s">
        <v>35918</v>
      </c>
      <c r="B58" s="12" t="s">
        <v>665</v>
      </c>
      <c r="C58" s="13" t="s">
        <v>666</v>
      </c>
      <c r="D58" s="13" t="s">
        <v>276</v>
      </c>
      <c r="E58" s="12" t="s">
        <v>16</v>
      </c>
      <c r="F58" s="14">
        <v>37000</v>
      </c>
      <c r="G58" s="14">
        <v>17900</v>
      </c>
      <c r="H58" s="13" t="s">
        <v>36036</v>
      </c>
      <c r="I58" s="40" t="s">
        <v>18</v>
      </c>
      <c r="J58" s="40" t="str">
        <f>HYPERLINK("https://stock.pstatic.net/stock-research/company/66/20260818_company_403111000.pdf","PDF")</f>
        <v>PDF</v>
      </c>
      <c r="K58" s="12" t="s">
        <v>36037</v>
      </c>
      <c r="L58" s="36">
        <v>1.0670391061452511</v>
      </c>
    </row>
    <row r="59" spans="1:12" x14ac:dyDescent="0.45">
      <c r="A59" s="12" t="s">
        <v>35918</v>
      </c>
      <c r="B59" s="12" t="s">
        <v>1132</v>
      </c>
      <c r="C59" s="13" t="s">
        <v>1133</v>
      </c>
      <c r="D59" s="13" t="s">
        <v>276</v>
      </c>
      <c r="E59" s="12" t="s">
        <v>16</v>
      </c>
      <c r="F59" s="14">
        <v>38000</v>
      </c>
      <c r="G59" s="14">
        <v>17350</v>
      </c>
      <c r="H59" s="13" t="s">
        <v>36038</v>
      </c>
      <c r="I59" s="40" t="s">
        <v>18</v>
      </c>
      <c r="J59" s="40" t="str">
        <f>HYPERLINK("https://stock.pstatic.net/stock-research/company/66/20260818_company_545455000.pdf","PDF")</f>
        <v>PDF</v>
      </c>
      <c r="K59" s="12" t="s">
        <v>36039</v>
      </c>
      <c r="L59" s="36">
        <v>1.190201729106628</v>
      </c>
    </row>
    <row r="60" spans="1:12" x14ac:dyDescent="0.45">
      <c r="A60" s="12" t="s">
        <v>35918</v>
      </c>
      <c r="B60" s="12" t="s">
        <v>1162</v>
      </c>
      <c r="C60" s="13" t="s">
        <v>1163</v>
      </c>
      <c r="D60" s="13" t="s">
        <v>276</v>
      </c>
      <c r="E60" s="12" t="s">
        <v>16</v>
      </c>
      <c r="F60" s="14">
        <v>310000</v>
      </c>
      <c r="G60" s="14">
        <v>138100</v>
      </c>
      <c r="H60" s="13" t="s">
        <v>36040</v>
      </c>
      <c r="I60" s="40" t="s">
        <v>18</v>
      </c>
      <c r="J60" s="40" t="str">
        <f>HYPERLINK("https://stock.pstatic.net/stock-research/company/66/20260818_company_715642000.pdf","PDF")</f>
        <v>PDF</v>
      </c>
      <c r="K60" s="12" t="s">
        <v>36041</v>
      </c>
      <c r="L60" s="36">
        <v>1.24475018102824</v>
      </c>
    </row>
    <row r="61" spans="1:12" x14ac:dyDescent="0.45">
      <c r="A61" s="12" t="s">
        <v>35918</v>
      </c>
      <c r="B61" s="12" t="s">
        <v>1686</v>
      </c>
      <c r="C61" s="13" t="s">
        <v>1687</v>
      </c>
      <c r="D61" s="13" t="s">
        <v>60</v>
      </c>
      <c r="E61" s="12" t="s">
        <v>35</v>
      </c>
      <c r="F61" s="14">
        <v>1860000</v>
      </c>
      <c r="G61" s="14">
        <v>1270000</v>
      </c>
      <c r="H61" s="13" t="s">
        <v>36042</v>
      </c>
      <c r="I61" s="40" t="s">
        <v>18</v>
      </c>
      <c r="J61" s="40" t="str">
        <f>HYPERLINK("https://stock.pstatic.net/stock-research/company/62/20260818_company_481495000.pdf","PDF")</f>
        <v>PDF</v>
      </c>
      <c r="K61" s="12" t="s">
        <v>36043</v>
      </c>
      <c r="L61" s="36">
        <v>0.46456692913385828</v>
      </c>
    </row>
    <row r="62" spans="1:12" x14ac:dyDescent="0.45">
      <c r="A62" s="12" t="s">
        <v>35918</v>
      </c>
      <c r="B62" s="12" t="s">
        <v>21</v>
      </c>
      <c r="C62" s="13" t="s">
        <v>22</v>
      </c>
      <c r="D62" s="13" t="s">
        <v>60</v>
      </c>
      <c r="E62" s="12" t="s">
        <v>35</v>
      </c>
      <c r="F62" s="14">
        <v>55000</v>
      </c>
      <c r="G62" s="14">
        <v>45350</v>
      </c>
      <c r="H62" s="13" t="s">
        <v>36044</v>
      </c>
      <c r="I62" s="40" t="s">
        <v>18</v>
      </c>
      <c r="J62" s="40" t="str">
        <f>HYPERLINK("https://stock.pstatic.net/stock-research/company/62/20260818_company_300686000.pdf","PDF")</f>
        <v>PDF</v>
      </c>
      <c r="K62" s="12" t="s">
        <v>36045</v>
      </c>
      <c r="L62" s="36">
        <v>0.21278941565600881</v>
      </c>
    </row>
    <row r="63" spans="1:12" x14ac:dyDescent="0.45">
      <c r="A63" s="12" t="s">
        <v>35918</v>
      </c>
      <c r="B63" s="12" t="s">
        <v>14931</v>
      </c>
      <c r="C63" s="13" t="s">
        <v>14932</v>
      </c>
      <c r="D63" s="13" t="s">
        <v>60</v>
      </c>
      <c r="E63" s="12" t="s">
        <v>35</v>
      </c>
      <c r="F63" s="14">
        <v>16000</v>
      </c>
      <c r="G63" s="14">
        <v>12590</v>
      </c>
      <c r="H63" s="13" t="s">
        <v>36046</v>
      </c>
      <c r="I63" s="40" t="s">
        <v>18</v>
      </c>
      <c r="J63" s="40" t="str">
        <f>HYPERLINK("https://stock.pstatic.net/stock-research/company/62/20260818_company_347454000.pdf","PDF")</f>
        <v>PDF</v>
      </c>
      <c r="K63" s="12" t="s">
        <v>36047</v>
      </c>
      <c r="L63" s="36">
        <v>0.27084988085782369</v>
      </c>
    </row>
    <row r="64" spans="1:12" x14ac:dyDescent="0.45">
      <c r="A64" s="12" t="s">
        <v>35918</v>
      </c>
      <c r="B64" s="12" t="s">
        <v>1781</v>
      </c>
      <c r="C64" s="13" t="s">
        <v>1782</v>
      </c>
      <c r="D64" s="13" t="s">
        <v>60</v>
      </c>
      <c r="E64" s="12" t="s">
        <v>35</v>
      </c>
      <c r="F64" s="14">
        <v>350000</v>
      </c>
      <c r="G64" s="14">
        <v>215000</v>
      </c>
      <c r="H64" s="13" t="s">
        <v>36048</v>
      </c>
      <c r="I64" s="40" t="s">
        <v>18</v>
      </c>
      <c r="J64" s="40" t="str">
        <f>HYPERLINK("https://stock.pstatic.net/stock-research/company/62/20260818_company_43313000.pdf","PDF")</f>
        <v>PDF</v>
      </c>
      <c r="K64" s="12" t="s">
        <v>36049</v>
      </c>
      <c r="L64" s="36">
        <v>0.62790697674418605</v>
      </c>
    </row>
    <row r="65" spans="1:12" x14ac:dyDescent="0.45">
      <c r="A65" s="12" t="s">
        <v>35918</v>
      </c>
      <c r="B65" s="12" t="s">
        <v>698</v>
      </c>
      <c r="C65" s="13" t="s">
        <v>699</v>
      </c>
      <c r="D65" s="13" t="s">
        <v>65</v>
      </c>
      <c r="E65" s="12" t="s">
        <v>35</v>
      </c>
      <c r="F65" s="14">
        <v>770000</v>
      </c>
      <c r="G65" s="14">
        <v>585000</v>
      </c>
      <c r="H65" s="13" t="s">
        <v>36050</v>
      </c>
      <c r="I65" s="40" t="s">
        <v>18</v>
      </c>
      <c r="J65" s="40" t="str">
        <f>HYPERLINK("https://stock.pstatic.net/stock-research/company/57/20260818_company_633579000.pdf","PDF")</f>
        <v>PDF</v>
      </c>
      <c r="K65" s="12" t="s">
        <v>36051</v>
      </c>
      <c r="L65" s="36">
        <v>0.31623931623931623</v>
      </c>
    </row>
    <row r="66" spans="1:12" x14ac:dyDescent="0.45">
      <c r="A66" s="12" t="s">
        <v>35918</v>
      </c>
      <c r="B66" s="12" t="s">
        <v>1162</v>
      </c>
      <c r="C66" s="13" t="s">
        <v>1163</v>
      </c>
      <c r="D66" s="13" t="s">
        <v>65</v>
      </c>
      <c r="E66" s="12" t="s">
        <v>35</v>
      </c>
      <c r="F66" s="14">
        <v>200000</v>
      </c>
      <c r="G66" s="14">
        <v>138100</v>
      </c>
      <c r="H66" s="13" t="s">
        <v>36052</v>
      </c>
      <c r="I66" s="40" t="s">
        <v>18</v>
      </c>
      <c r="J66" s="40" t="str">
        <f>HYPERLINK("https://stock.pstatic.net/stock-research/company/57/20260818_company_538037000.pdf","PDF")</f>
        <v>PDF</v>
      </c>
      <c r="K66" s="12" t="s">
        <v>36053</v>
      </c>
      <c r="L66" s="36">
        <v>0.44822592324402599</v>
      </c>
    </row>
    <row r="67" spans="1:12" x14ac:dyDescent="0.45">
      <c r="A67" s="12" t="s">
        <v>35918</v>
      </c>
      <c r="B67" s="12" t="s">
        <v>21</v>
      </c>
      <c r="C67" s="13" t="s">
        <v>22</v>
      </c>
      <c r="D67" s="13" t="s">
        <v>65</v>
      </c>
      <c r="E67" s="12" t="s">
        <v>35</v>
      </c>
      <c r="F67" s="14">
        <v>57000</v>
      </c>
      <c r="G67" s="14">
        <v>45350</v>
      </c>
      <c r="H67" s="13" t="s">
        <v>36054</v>
      </c>
      <c r="I67" s="40" t="s">
        <v>18</v>
      </c>
      <c r="J67" s="40" t="str">
        <f>HYPERLINK("https://stock.pstatic.net/stock-research/company/57/20260818_company_693529000.pdf","PDF")</f>
        <v>PDF</v>
      </c>
      <c r="K67" s="12" t="s">
        <v>36055</v>
      </c>
      <c r="L67" s="36">
        <v>0.25689084895259101</v>
      </c>
    </row>
    <row r="68" spans="1:12" x14ac:dyDescent="0.45">
      <c r="A68" s="12" t="s">
        <v>35918</v>
      </c>
      <c r="B68" s="12" t="s">
        <v>1300</v>
      </c>
      <c r="C68" s="13" t="s">
        <v>1301</v>
      </c>
      <c r="D68" s="13" t="s">
        <v>65</v>
      </c>
      <c r="E68" s="12" t="s">
        <v>35</v>
      </c>
      <c r="F68" s="14">
        <v>200000</v>
      </c>
      <c r="G68" s="14">
        <v>132800</v>
      </c>
      <c r="H68" s="13" t="s">
        <v>36056</v>
      </c>
      <c r="I68" s="40" t="s">
        <v>18</v>
      </c>
      <c r="J68" s="40" t="str">
        <f>HYPERLINK("https://stock.pstatic.net/stock-research/company/57/20260818_company_920297000.pdf","PDF")</f>
        <v>PDF</v>
      </c>
      <c r="K68" s="12" t="s">
        <v>36057</v>
      </c>
      <c r="L68" s="36">
        <v>0.50602409638554213</v>
      </c>
    </row>
    <row r="69" spans="1:12" x14ac:dyDescent="0.45">
      <c r="A69" s="12" t="s">
        <v>35918</v>
      </c>
      <c r="B69" s="12" t="s">
        <v>4206</v>
      </c>
      <c r="C69" s="13" t="s">
        <v>4207</v>
      </c>
      <c r="D69" s="13" t="s">
        <v>65</v>
      </c>
      <c r="E69" s="12" t="s">
        <v>35</v>
      </c>
      <c r="F69" s="14">
        <v>80000</v>
      </c>
      <c r="G69" s="14">
        <v>58900</v>
      </c>
      <c r="H69" s="13" t="s">
        <v>36058</v>
      </c>
      <c r="I69" s="40" t="s">
        <v>18</v>
      </c>
      <c r="J69" s="40" t="str">
        <f>HYPERLINK("https://stock.pstatic.net/stock-research/company/57/20260818_company_452591000.pdf","PDF")</f>
        <v>PDF</v>
      </c>
      <c r="K69" s="12" t="s">
        <v>36059</v>
      </c>
      <c r="L69" s="36">
        <v>0.35823429541595919</v>
      </c>
    </row>
    <row r="70" spans="1:12" x14ac:dyDescent="0.45">
      <c r="A70" s="12" t="s">
        <v>35918</v>
      </c>
      <c r="B70" s="12" t="s">
        <v>1286</v>
      </c>
      <c r="C70" s="13" t="s">
        <v>1287</v>
      </c>
      <c r="D70" s="13" t="s">
        <v>65</v>
      </c>
      <c r="E70" s="12" t="s">
        <v>35</v>
      </c>
      <c r="F70" s="14">
        <v>85000</v>
      </c>
      <c r="G70" s="14">
        <v>61600</v>
      </c>
      <c r="H70" s="13" t="s">
        <v>36060</v>
      </c>
      <c r="I70" s="40" t="s">
        <v>18</v>
      </c>
      <c r="J70" s="40" t="str">
        <f>HYPERLINK("https://stock.pstatic.net/stock-research/company/57/20260818_company_489621000.pdf","PDF")</f>
        <v>PDF</v>
      </c>
      <c r="K70" s="12" t="s">
        <v>36061</v>
      </c>
      <c r="L70" s="36">
        <v>0.37987012987012991</v>
      </c>
    </row>
    <row r="71" spans="1:12" x14ac:dyDescent="0.45">
      <c r="A71" s="12" t="s">
        <v>35918</v>
      </c>
      <c r="B71" s="12" t="s">
        <v>6131</v>
      </c>
      <c r="C71" s="13" t="s">
        <v>6132</v>
      </c>
      <c r="D71" s="13" t="s">
        <v>65</v>
      </c>
      <c r="E71" s="12" t="s">
        <v>35</v>
      </c>
      <c r="F71" s="14">
        <v>15000</v>
      </c>
      <c r="G71" s="14">
        <v>11550</v>
      </c>
      <c r="H71" s="13" t="s">
        <v>36062</v>
      </c>
      <c r="I71" s="40" t="s">
        <v>18</v>
      </c>
      <c r="J71" s="40" t="str">
        <f>HYPERLINK("https://stock.pstatic.net/stock-research/company/57/20260818_company_370358000.pdf","PDF")</f>
        <v>PDF</v>
      </c>
      <c r="K71" s="12" t="s">
        <v>36063</v>
      </c>
      <c r="L71" s="36">
        <v>0.29870129870129869</v>
      </c>
    </row>
    <row r="72" spans="1:12" x14ac:dyDescent="0.45">
      <c r="A72" s="12" t="s">
        <v>35918</v>
      </c>
      <c r="B72" s="12" t="s">
        <v>661</v>
      </c>
      <c r="C72" s="13" t="s">
        <v>662</v>
      </c>
      <c r="D72" s="13" t="s">
        <v>65</v>
      </c>
      <c r="E72" s="12" t="s">
        <v>35</v>
      </c>
      <c r="F72" s="14">
        <v>18000</v>
      </c>
      <c r="G72" s="14">
        <v>12020</v>
      </c>
      <c r="H72" s="13" t="s">
        <v>36064</v>
      </c>
      <c r="I72" s="40" t="s">
        <v>18</v>
      </c>
      <c r="J72" s="40" t="str">
        <f>HYPERLINK("https://stock.pstatic.net/stock-research/company/57/20260818_company_574402000.pdf","PDF")</f>
        <v>PDF</v>
      </c>
      <c r="K72" s="12" t="s">
        <v>36065</v>
      </c>
      <c r="L72" s="36">
        <v>0.49750415973377698</v>
      </c>
    </row>
    <row r="73" spans="1:12" x14ac:dyDescent="0.45">
      <c r="A73" s="12" t="s">
        <v>35918</v>
      </c>
      <c r="B73" s="12" t="s">
        <v>344</v>
      </c>
      <c r="C73" s="13" t="s">
        <v>345</v>
      </c>
      <c r="D73" s="13" t="s">
        <v>65</v>
      </c>
      <c r="E73" s="12" t="s">
        <v>35</v>
      </c>
      <c r="F73" s="14">
        <v>18000</v>
      </c>
      <c r="G73" s="14">
        <v>10120</v>
      </c>
      <c r="H73" s="13" t="s">
        <v>36066</v>
      </c>
      <c r="I73" s="40" t="s">
        <v>18</v>
      </c>
      <c r="J73" s="40" t="str">
        <f>HYPERLINK("https://stock.pstatic.net/stock-research/company/57/20260818_company_643400000.pdf","PDF")</f>
        <v>PDF</v>
      </c>
      <c r="K73" s="12" t="s">
        <v>36067</v>
      </c>
      <c r="L73" s="36">
        <v>0.77865612648221338</v>
      </c>
    </row>
    <row r="74" spans="1:12" x14ac:dyDescent="0.45">
      <c r="A74" s="12" t="s">
        <v>35918</v>
      </c>
      <c r="B74" s="12" t="s">
        <v>1308</v>
      </c>
      <c r="C74" s="13" t="s">
        <v>1309</v>
      </c>
      <c r="D74" s="13" t="s">
        <v>65</v>
      </c>
      <c r="E74" s="12" t="s">
        <v>35</v>
      </c>
      <c r="F74" s="14">
        <v>540000</v>
      </c>
      <c r="G74" s="14">
        <v>437500</v>
      </c>
      <c r="H74" s="13" t="s">
        <v>36068</v>
      </c>
      <c r="I74" s="40" t="s">
        <v>18</v>
      </c>
      <c r="J74" s="40" t="str">
        <f>HYPERLINK("https://stock.pstatic.net/stock-research/company/57/20260818_company_522311000.pdf","PDF")</f>
        <v>PDF</v>
      </c>
      <c r="K74" s="12" t="s">
        <v>36069</v>
      </c>
      <c r="L74" s="36">
        <v>0.23428571428571429</v>
      </c>
    </row>
    <row r="75" spans="1:12" x14ac:dyDescent="0.45">
      <c r="A75" s="12" t="s">
        <v>35918</v>
      </c>
      <c r="B75" s="12" t="s">
        <v>1415</v>
      </c>
      <c r="C75" s="13" t="s">
        <v>1416</v>
      </c>
      <c r="D75" s="13" t="s">
        <v>65</v>
      </c>
      <c r="E75" s="12" t="s">
        <v>35</v>
      </c>
      <c r="F75" s="14">
        <v>10000</v>
      </c>
      <c r="G75" s="14">
        <v>7590</v>
      </c>
      <c r="H75" s="13" t="s">
        <v>36070</v>
      </c>
      <c r="I75" s="40" t="s">
        <v>18</v>
      </c>
      <c r="J75" s="40" t="str">
        <f>HYPERLINK("https://stock.pstatic.net/stock-research/company/57/20260818_company_868550000.pdf","PDF")</f>
        <v>PDF</v>
      </c>
      <c r="K75" s="12" t="s">
        <v>36071</v>
      </c>
      <c r="L75" s="36">
        <v>0.31752305665349151</v>
      </c>
    </row>
    <row r="76" spans="1:12" x14ac:dyDescent="0.45">
      <c r="A76" s="12" t="s">
        <v>35918</v>
      </c>
      <c r="B76" s="12" t="s">
        <v>356</v>
      </c>
      <c r="C76" s="13" t="s">
        <v>357</v>
      </c>
      <c r="D76" s="13" t="s">
        <v>158</v>
      </c>
      <c r="E76" s="12" t="s">
        <v>35</v>
      </c>
      <c r="F76" s="14">
        <v>90000</v>
      </c>
      <c r="G76" s="14">
        <v>31400</v>
      </c>
      <c r="H76" s="13" t="s">
        <v>36072</v>
      </c>
      <c r="I76" s="40" t="s">
        <v>18</v>
      </c>
      <c r="J76" s="40" t="str">
        <f>HYPERLINK("https://stock.pstatic.net/stock-research/company/18/20260818_company_597735000.pdf","PDF")</f>
        <v>PDF</v>
      </c>
      <c r="K76" s="12" t="s">
        <v>36073</v>
      </c>
      <c r="L76" s="36">
        <v>1.866242038216561</v>
      </c>
    </row>
    <row r="77" spans="1:12" x14ac:dyDescent="0.45">
      <c r="A77" s="12" t="s">
        <v>35918</v>
      </c>
      <c r="B77" s="12" t="s">
        <v>1686</v>
      </c>
      <c r="C77" s="13" t="s">
        <v>1687</v>
      </c>
      <c r="D77" s="13" t="s">
        <v>158</v>
      </c>
      <c r="E77" s="12" t="s">
        <v>35</v>
      </c>
      <c r="F77" s="14">
        <v>2000000</v>
      </c>
      <c r="G77" s="14">
        <v>1270000</v>
      </c>
      <c r="H77" s="13" t="s">
        <v>36074</v>
      </c>
      <c r="I77" s="40" t="s">
        <v>18</v>
      </c>
      <c r="J77" s="40" t="str">
        <f>HYPERLINK("https://stock.pstatic.net/stock-research/company/18/20260818_company_654881000.pdf","PDF")</f>
        <v>PDF</v>
      </c>
      <c r="K77" s="12" t="s">
        <v>36075</v>
      </c>
      <c r="L77" s="36">
        <v>0.57480314960629919</v>
      </c>
    </row>
    <row r="78" spans="1:12" x14ac:dyDescent="0.45">
      <c r="A78" s="12" t="s">
        <v>35918</v>
      </c>
      <c r="B78" s="12" t="s">
        <v>1308</v>
      </c>
      <c r="C78" s="13" t="s">
        <v>1309</v>
      </c>
      <c r="D78" s="13" t="s">
        <v>158</v>
      </c>
      <c r="E78" s="12" t="s">
        <v>35</v>
      </c>
      <c r="F78" s="14">
        <v>570000</v>
      </c>
      <c r="G78" s="14">
        <v>437500</v>
      </c>
      <c r="H78" s="13" t="s">
        <v>36076</v>
      </c>
      <c r="I78" s="40" t="s">
        <v>18</v>
      </c>
      <c r="J78" s="40" t="str">
        <f>HYPERLINK("https://stock.pstatic.net/stock-research/company/18/20260818_company_691767000.pdf","PDF")</f>
        <v>PDF</v>
      </c>
      <c r="K78" s="12" t="s">
        <v>36077</v>
      </c>
      <c r="L78" s="36">
        <v>0.30285714285714288</v>
      </c>
    </row>
    <row r="79" spans="1:12" x14ac:dyDescent="0.45">
      <c r="A79" s="12" t="s">
        <v>35918</v>
      </c>
      <c r="B79" s="12" t="s">
        <v>326</v>
      </c>
      <c r="C79" s="13" t="s">
        <v>327</v>
      </c>
      <c r="D79" s="13" t="s">
        <v>158</v>
      </c>
      <c r="E79" s="12" t="s">
        <v>50</v>
      </c>
      <c r="F79" s="13"/>
      <c r="G79" s="14">
        <v>21050</v>
      </c>
      <c r="H79" s="13" t="s">
        <v>36078</v>
      </c>
      <c r="I79" s="40" t="s">
        <v>18</v>
      </c>
      <c r="J79" s="40" t="str">
        <f>HYPERLINK("https://stock.pstatic.net/stock-research/company/18/20260818_company_539636000.pdf","PDF")</f>
        <v>PDF</v>
      </c>
      <c r="K79" s="12" t="s">
        <v>36079</v>
      </c>
      <c r="L79" s="12"/>
    </row>
    <row r="80" spans="1:12" x14ac:dyDescent="0.45">
      <c r="A80" s="12" t="s">
        <v>35918</v>
      </c>
      <c r="B80" s="12" t="s">
        <v>1694</v>
      </c>
      <c r="C80" s="13" t="s">
        <v>1695</v>
      </c>
      <c r="D80" s="13" t="s">
        <v>158</v>
      </c>
      <c r="E80" s="12" t="s">
        <v>35</v>
      </c>
      <c r="F80" s="14">
        <v>50000</v>
      </c>
      <c r="G80" s="14">
        <v>37500</v>
      </c>
      <c r="H80" s="13" t="s">
        <v>36080</v>
      </c>
      <c r="I80" s="40" t="s">
        <v>18</v>
      </c>
      <c r="J80" s="40" t="str">
        <f>HYPERLINK("https://stock.pstatic.net/stock-research/company/18/20260818_company_845731000.pdf","PDF")</f>
        <v>PDF</v>
      </c>
      <c r="K80" s="12" t="s">
        <v>36081</v>
      </c>
      <c r="L80" s="36">
        <v>0.33333333333333331</v>
      </c>
    </row>
    <row r="81" spans="1:12" x14ac:dyDescent="0.45">
      <c r="A81" s="12" t="s">
        <v>35918</v>
      </c>
      <c r="B81" s="12" t="s">
        <v>764</v>
      </c>
      <c r="C81" s="13" t="s">
        <v>765</v>
      </c>
      <c r="D81" s="13" t="s">
        <v>158</v>
      </c>
      <c r="E81" s="12" t="s">
        <v>35</v>
      </c>
      <c r="F81" s="14">
        <v>56000</v>
      </c>
      <c r="G81" s="14">
        <v>42850</v>
      </c>
      <c r="H81" s="13" t="s">
        <v>36082</v>
      </c>
      <c r="I81" s="40" t="s">
        <v>18</v>
      </c>
      <c r="J81" s="40" t="str">
        <f>HYPERLINK("https://stock.pstatic.net/stock-research/company/18/20260818_company_40777000.pdf","PDF")</f>
        <v>PDF</v>
      </c>
      <c r="K81" s="12" t="s">
        <v>36083</v>
      </c>
      <c r="L81" s="36">
        <v>0.30688448074679109</v>
      </c>
    </row>
    <row r="82" spans="1:12" x14ac:dyDescent="0.45">
      <c r="A82" s="12" t="s">
        <v>35918</v>
      </c>
      <c r="B82" s="12" t="s">
        <v>2205</v>
      </c>
      <c r="C82" s="13" t="s">
        <v>2206</v>
      </c>
      <c r="D82" s="13" t="s">
        <v>158</v>
      </c>
      <c r="E82" s="12" t="s">
        <v>35</v>
      </c>
      <c r="F82" s="14">
        <v>96000</v>
      </c>
      <c r="G82" s="14">
        <v>55300</v>
      </c>
      <c r="H82" s="13" t="s">
        <v>36084</v>
      </c>
      <c r="I82" s="40" t="s">
        <v>18</v>
      </c>
      <c r="J82" s="40" t="str">
        <f>HYPERLINK("https://stock.pstatic.net/stock-research/company/18/20260818_company_9996000.pdf","PDF")</f>
        <v>PDF</v>
      </c>
      <c r="K82" s="12" t="s">
        <v>36085</v>
      </c>
      <c r="L82" s="36">
        <v>0.73598553345388784</v>
      </c>
    </row>
    <row r="83" spans="1:12" x14ac:dyDescent="0.45">
      <c r="A83" s="12" t="s">
        <v>35918</v>
      </c>
      <c r="B83" s="12" t="s">
        <v>142</v>
      </c>
      <c r="C83" s="13" t="s">
        <v>143</v>
      </c>
      <c r="D83" s="13" t="s">
        <v>158</v>
      </c>
      <c r="E83" s="12" t="s">
        <v>50</v>
      </c>
      <c r="F83" s="13"/>
      <c r="G83" s="14">
        <v>27300</v>
      </c>
      <c r="H83" s="13" t="s">
        <v>36086</v>
      </c>
      <c r="I83" s="40" t="s">
        <v>18</v>
      </c>
      <c r="J83" s="40" t="str">
        <f>HYPERLINK("https://stock.pstatic.net/stock-research/company/18/20260818_company_725777000.pdf","PDF")</f>
        <v>PDF</v>
      </c>
      <c r="K83" s="12" t="s">
        <v>36087</v>
      </c>
      <c r="L83" s="12"/>
    </row>
    <row r="84" spans="1:12" x14ac:dyDescent="0.45">
      <c r="A84" s="12" t="s">
        <v>35918</v>
      </c>
      <c r="B84" s="12" t="s">
        <v>90</v>
      </c>
      <c r="C84" s="13" t="s">
        <v>91</v>
      </c>
      <c r="D84" s="13" t="s">
        <v>92</v>
      </c>
      <c r="E84" s="12" t="s">
        <v>35</v>
      </c>
      <c r="F84" s="14">
        <v>67500</v>
      </c>
      <c r="G84" s="14">
        <v>36950</v>
      </c>
      <c r="H84" s="13" t="s">
        <v>36088</v>
      </c>
      <c r="I84" s="40" t="s">
        <v>18</v>
      </c>
      <c r="J84" s="40" t="str">
        <f>HYPERLINK("https://stock.pstatic.net/stock-research/company/63/20260818_company_369624000.pdf","PDF")</f>
        <v>PDF</v>
      </c>
      <c r="K84" s="12" t="s">
        <v>36089</v>
      </c>
      <c r="L84" s="36">
        <v>0.82679296346414077</v>
      </c>
    </row>
    <row r="85" spans="1:12" x14ac:dyDescent="0.45">
      <c r="A85" s="12" t="s">
        <v>35918</v>
      </c>
      <c r="B85" s="12" t="s">
        <v>272</v>
      </c>
      <c r="C85" s="13" t="s">
        <v>273</v>
      </c>
      <c r="D85" s="13" t="s">
        <v>15</v>
      </c>
      <c r="E85" s="12" t="s">
        <v>16</v>
      </c>
      <c r="F85" s="14">
        <v>600000</v>
      </c>
      <c r="G85" s="14">
        <v>398000</v>
      </c>
      <c r="H85" s="13" t="s">
        <v>36090</v>
      </c>
      <c r="I85" s="40" t="s">
        <v>18</v>
      </c>
      <c r="J85" s="40" t="str">
        <f>HYPERLINK("https://stock.pstatic.net/stock-research/company/56/20260818_company_30395000.pdf","PDF")</f>
        <v>PDF</v>
      </c>
      <c r="K85" s="12" t="s">
        <v>36091</v>
      </c>
      <c r="L85" s="36">
        <v>0.50753768844221103</v>
      </c>
    </row>
    <row r="86" spans="1:12" x14ac:dyDescent="0.45">
      <c r="A86" s="12" t="s">
        <v>35918</v>
      </c>
      <c r="B86" s="12" t="s">
        <v>2546</v>
      </c>
      <c r="C86" s="13" t="s">
        <v>2547</v>
      </c>
      <c r="D86" s="13" t="s">
        <v>34</v>
      </c>
      <c r="E86" s="12" t="s">
        <v>35</v>
      </c>
      <c r="F86" s="14">
        <v>155000</v>
      </c>
      <c r="G86" s="14">
        <v>120100</v>
      </c>
      <c r="H86" s="13" t="s">
        <v>36092</v>
      </c>
      <c r="I86" s="40" t="s">
        <v>18</v>
      </c>
      <c r="J86" s="40" t="str">
        <f>HYPERLINK("https://stock.pstatic.net/stock-research/company/61/20260818_company_845033000.pdf","PDF")</f>
        <v>PDF</v>
      </c>
      <c r="K86" s="12" t="s">
        <v>36093</v>
      </c>
      <c r="L86" s="36">
        <v>0.29059117402164858</v>
      </c>
    </row>
    <row r="87" spans="1:12" x14ac:dyDescent="0.45">
      <c r="A87" s="12" t="s">
        <v>35918</v>
      </c>
      <c r="B87" s="12" t="s">
        <v>1389</v>
      </c>
      <c r="C87" s="13" t="s">
        <v>1390</v>
      </c>
      <c r="D87" s="13" t="s">
        <v>92</v>
      </c>
      <c r="E87" s="12" t="s">
        <v>35</v>
      </c>
      <c r="F87" s="14">
        <v>16000</v>
      </c>
      <c r="G87" s="14">
        <v>10840</v>
      </c>
      <c r="H87" s="13" t="s">
        <v>36094</v>
      </c>
      <c r="I87" s="40" t="s">
        <v>18</v>
      </c>
      <c r="J87" s="40" t="str">
        <f>HYPERLINK("https://stock.pstatic.net/stock-research/company/63/20260818_company_567358000.pdf","PDF")</f>
        <v>PDF</v>
      </c>
      <c r="K87" s="12" t="s">
        <v>36095</v>
      </c>
      <c r="L87" s="36">
        <v>0.47601476014760152</v>
      </c>
    </row>
    <row r="88" spans="1:12" x14ac:dyDescent="0.45">
      <c r="A88" s="12" t="s">
        <v>35918</v>
      </c>
      <c r="B88" s="12" t="s">
        <v>1198</v>
      </c>
      <c r="C88" s="13" t="s">
        <v>1199</v>
      </c>
      <c r="D88" s="13" t="s">
        <v>92</v>
      </c>
      <c r="E88" s="12" t="s">
        <v>50</v>
      </c>
      <c r="F88" s="13"/>
      <c r="G88" s="14">
        <v>11200</v>
      </c>
      <c r="H88" s="13" t="s">
        <v>36096</v>
      </c>
      <c r="I88" s="40" t="s">
        <v>18</v>
      </c>
      <c r="J88" s="40" t="str">
        <f>HYPERLINK("https://stock.pstatic.net/stock-research/company/63/20260818_company_867323000.pdf","PDF")</f>
        <v>PDF</v>
      </c>
      <c r="K88" s="12" t="s">
        <v>36097</v>
      </c>
      <c r="L88" s="12"/>
    </row>
    <row r="89" spans="1:12" x14ac:dyDescent="0.45">
      <c r="A89" s="12" t="s">
        <v>35918</v>
      </c>
      <c r="B89" s="12" t="s">
        <v>1912</v>
      </c>
      <c r="C89" s="13" t="s">
        <v>1913</v>
      </c>
      <c r="D89" s="13" t="s">
        <v>15</v>
      </c>
      <c r="E89" s="12" t="s">
        <v>50</v>
      </c>
      <c r="F89" s="13"/>
      <c r="G89" s="14">
        <v>23950</v>
      </c>
      <c r="H89" s="13" t="s">
        <v>36098</v>
      </c>
      <c r="I89" s="40" t="s">
        <v>18</v>
      </c>
      <c r="J89" s="40" t="str">
        <f>HYPERLINK("https://stock.pstatic.net/stock-research/company/56/20260818_company_94114000.pdf","PDF")</f>
        <v>PDF</v>
      </c>
      <c r="K89" s="12" t="s">
        <v>36099</v>
      </c>
      <c r="L89" s="12"/>
    </row>
    <row r="90" spans="1:12" x14ac:dyDescent="0.45">
      <c r="A90" s="12" t="s">
        <v>35918</v>
      </c>
      <c r="B90" s="12" t="s">
        <v>985</v>
      </c>
      <c r="C90" s="13" t="s">
        <v>986</v>
      </c>
      <c r="D90" s="13" t="s">
        <v>92</v>
      </c>
      <c r="E90" s="12" t="s">
        <v>35</v>
      </c>
      <c r="F90" s="14">
        <v>7000</v>
      </c>
      <c r="G90" s="14">
        <v>4520</v>
      </c>
      <c r="H90" s="13" t="s">
        <v>36100</v>
      </c>
      <c r="I90" s="40" t="s">
        <v>18</v>
      </c>
      <c r="J90" s="40" t="str">
        <f>HYPERLINK("https://stock.pstatic.net/stock-research/company/63/20260818_company_564238000.pdf","PDF")</f>
        <v>PDF</v>
      </c>
      <c r="K90" s="12" t="s">
        <v>36101</v>
      </c>
      <c r="L90" s="36">
        <v>0.54867256637168138</v>
      </c>
    </row>
    <row r="91" spans="1:12" x14ac:dyDescent="0.45">
      <c r="A91" s="12" t="s">
        <v>35918</v>
      </c>
      <c r="B91" s="12" t="s">
        <v>977</v>
      </c>
      <c r="C91" s="13" t="s">
        <v>978</v>
      </c>
      <c r="D91" s="13" t="s">
        <v>92</v>
      </c>
      <c r="E91" s="12" t="s">
        <v>50</v>
      </c>
      <c r="F91" s="13"/>
      <c r="G91" s="14">
        <v>5490</v>
      </c>
      <c r="H91" s="13" t="s">
        <v>36102</v>
      </c>
      <c r="I91" s="40" t="s">
        <v>18</v>
      </c>
      <c r="J91" s="40" t="str">
        <f>HYPERLINK("https://stock.pstatic.net/stock-research/company/63/20260818_company_437832000.pdf","PDF")</f>
        <v>PDF</v>
      </c>
      <c r="K91" s="12" t="s">
        <v>36103</v>
      </c>
      <c r="L91" s="12"/>
    </row>
    <row r="92" spans="1:12" x14ac:dyDescent="0.45">
      <c r="A92" s="12" t="s">
        <v>35918</v>
      </c>
      <c r="B92" s="12" t="s">
        <v>824</v>
      </c>
      <c r="C92" s="13" t="s">
        <v>825</v>
      </c>
      <c r="D92" s="13" t="s">
        <v>92</v>
      </c>
      <c r="E92" s="12" t="s">
        <v>35</v>
      </c>
      <c r="F92" s="14">
        <v>60000</v>
      </c>
      <c r="G92" s="14">
        <v>42500</v>
      </c>
      <c r="H92" s="13" t="s">
        <v>36104</v>
      </c>
      <c r="I92" s="40" t="s">
        <v>18</v>
      </c>
      <c r="J92" s="40" t="str">
        <f>HYPERLINK("https://stock.pstatic.net/stock-research/company/63/20260818_company_289822000.pdf","PDF")</f>
        <v>PDF</v>
      </c>
      <c r="K92" s="12" t="s">
        <v>36105</v>
      </c>
      <c r="L92" s="36">
        <v>0.41176470588235292</v>
      </c>
    </row>
    <row r="93" spans="1:12" x14ac:dyDescent="0.45">
      <c r="A93" s="12" t="s">
        <v>35918</v>
      </c>
      <c r="B93" s="12" t="s">
        <v>1503</v>
      </c>
      <c r="C93" s="13" t="s">
        <v>1504</v>
      </c>
      <c r="D93" s="13" t="s">
        <v>92</v>
      </c>
      <c r="E93" s="12" t="s">
        <v>35</v>
      </c>
      <c r="F93" s="14">
        <v>10800</v>
      </c>
      <c r="G93" s="14">
        <v>7290</v>
      </c>
      <c r="H93" s="13" t="s">
        <v>36106</v>
      </c>
      <c r="I93" s="40" t="s">
        <v>18</v>
      </c>
      <c r="J93" s="40" t="str">
        <f>HYPERLINK("https://stock.pstatic.net/stock-research/company/63/20260818_company_500943000.pdf","PDF")</f>
        <v>PDF</v>
      </c>
      <c r="K93" s="12" t="s">
        <v>36107</v>
      </c>
      <c r="L93" s="36">
        <v>0.48148148148148151</v>
      </c>
    </row>
    <row r="94" spans="1:12" x14ac:dyDescent="0.45">
      <c r="A94" s="12" t="s">
        <v>35918</v>
      </c>
      <c r="B94" s="12" t="s">
        <v>1686</v>
      </c>
      <c r="C94" s="13" t="s">
        <v>1687</v>
      </c>
      <c r="D94" s="13" t="s">
        <v>23</v>
      </c>
      <c r="E94" s="12" t="s">
        <v>16</v>
      </c>
      <c r="F94" s="14">
        <v>1750000</v>
      </c>
      <c r="G94" s="14">
        <v>1270000</v>
      </c>
      <c r="H94" s="13" t="s">
        <v>36108</v>
      </c>
      <c r="I94" s="40" t="s">
        <v>18</v>
      </c>
      <c r="J94" s="40" t="str">
        <f>HYPERLINK("https://stock.pstatic.net/stock-research/company/21/20260818_company_52129000.pdf","PDF")</f>
        <v>PDF</v>
      </c>
      <c r="K94" s="12" t="s">
        <v>36109</v>
      </c>
      <c r="L94" s="36">
        <v>0.37795275590551181</v>
      </c>
    </row>
    <row r="95" spans="1:12" x14ac:dyDescent="0.45">
      <c r="A95" s="12" t="s">
        <v>35918</v>
      </c>
      <c r="B95" s="12" t="s">
        <v>1308</v>
      </c>
      <c r="C95" s="13" t="s">
        <v>1309</v>
      </c>
      <c r="D95" s="13" t="s">
        <v>23</v>
      </c>
      <c r="E95" s="12" t="s">
        <v>16</v>
      </c>
      <c r="F95" s="14">
        <v>600000</v>
      </c>
      <c r="G95" s="14">
        <v>437500</v>
      </c>
      <c r="H95" s="13" t="s">
        <v>36110</v>
      </c>
      <c r="I95" s="40" t="s">
        <v>18</v>
      </c>
      <c r="J95" s="40" t="str">
        <f>HYPERLINK("https://stock.pstatic.net/stock-research/company/21/20260818_company_269622000.pdf","PDF")</f>
        <v>PDF</v>
      </c>
      <c r="K95" s="12" t="s">
        <v>36111</v>
      </c>
      <c r="L95" s="36">
        <v>0.37142857142857139</v>
      </c>
    </row>
    <row r="96" spans="1:12" x14ac:dyDescent="0.45">
      <c r="A96" s="12" t="s">
        <v>35918</v>
      </c>
      <c r="B96" s="12" t="s">
        <v>21</v>
      </c>
      <c r="C96" s="13" t="s">
        <v>22</v>
      </c>
      <c r="D96" s="13" t="s">
        <v>23</v>
      </c>
      <c r="E96" s="12" t="s">
        <v>16</v>
      </c>
      <c r="F96" s="14">
        <v>63000</v>
      </c>
      <c r="G96" s="14">
        <v>45350</v>
      </c>
      <c r="H96" s="13" t="s">
        <v>36112</v>
      </c>
      <c r="I96" s="40" t="s">
        <v>18</v>
      </c>
      <c r="J96" s="40" t="str">
        <f>HYPERLINK("https://stock.pstatic.net/stock-research/company/21/20260818_company_543028000.pdf","PDF")</f>
        <v>PDF</v>
      </c>
      <c r="K96" s="12" t="s">
        <v>36113</v>
      </c>
      <c r="L96" s="36">
        <v>0.38919514884233741</v>
      </c>
    </row>
    <row r="97" spans="1:12" x14ac:dyDescent="0.45">
      <c r="A97" s="12" t="s">
        <v>35918</v>
      </c>
      <c r="B97" s="12" t="s">
        <v>1415</v>
      </c>
      <c r="C97" s="13" t="s">
        <v>1416</v>
      </c>
      <c r="D97" s="13" t="s">
        <v>23</v>
      </c>
      <c r="E97" s="12" t="s">
        <v>16</v>
      </c>
      <c r="F97" s="14">
        <v>9500</v>
      </c>
      <c r="G97" s="14">
        <v>7590</v>
      </c>
      <c r="H97" s="13" t="s">
        <v>36114</v>
      </c>
      <c r="I97" s="40" t="s">
        <v>18</v>
      </c>
      <c r="J97" s="40" t="str">
        <f>HYPERLINK("https://stock.pstatic.net/stock-research/company/21/20260818_company_382289000.pdf","PDF")</f>
        <v>PDF</v>
      </c>
      <c r="K97" s="12" t="s">
        <v>36115</v>
      </c>
      <c r="L97" s="36">
        <v>0.25164690382081689</v>
      </c>
    </row>
    <row r="98" spans="1:12" x14ac:dyDescent="0.45">
      <c r="A98" s="12" t="s">
        <v>35918</v>
      </c>
      <c r="B98" s="12" t="s">
        <v>985</v>
      </c>
      <c r="C98" s="13" t="s">
        <v>986</v>
      </c>
      <c r="D98" s="13" t="s">
        <v>23</v>
      </c>
      <c r="E98" s="12" t="s">
        <v>16</v>
      </c>
      <c r="F98" s="14">
        <v>6500</v>
      </c>
      <c r="G98" s="14">
        <v>4520</v>
      </c>
      <c r="H98" s="13" t="s">
        <v>36116</v>
      </c>
      <c r="I98" s="40" t="s">
        <v>18</v>
      </c>
      <c r="J98" s="40" t="str">
        <f>HYPERLINK("https://stock.pstatic.net/stock-research/company/21/20260818_company_805771000.pdf","PDF")</f>
        <v>PDF</v>
      </c>
      <c r="K98" s="12" t="s">
        <v>36117</v>
      </c>
      <c r="L98" s="36">
        <v>0.43805309734513281</v>
      </c>
    </row>
    <row r="99" spans="1:12" x14ac:dyDescent="0.45">
      <c r="A99" s="12" t="s">
        <v>35918</v>
      </c>
      <c r="B99" s="12" t="s">
        <v>1455</v>
      </c>
      <c r="C99" s="13" t="s">
        <v>1456</v>
      </c>
      <c r="D99" s="13" t="s">
        <v>23</v>
      </c>
      <c r="E99" s="12" t="s">
        <v>16</v>
      </c>
      <c r="F99" s="14">
        <v>3000</v>
      </c>
      <c r="G99" s="14">
        <v>2035</v>
      </c>
      <c r="H99" s="13" t="s">
        <v>36118</v>
      </c>
      <c r="I99" s="40" t="s">
        <v>18</v>
      </c>
      <c r="J99" s="40" t="str">
        <f>HYPERLINK("https://stock.pstatic.net/stock-research/company/21/20260818_company_656272000.pdf","PDF")</f>
        <v>PDF</v>
      </c>
      <c r="K99" s="12" t="s">
        <v>36119</v>
      </c>
      <c r="L99" s="36">
        <v>0.47420147420147418</v>
      </c>
    </row>
    <row r="100" spans="1:12" x14ac:dyDescent="0.45">
      <c r="A100" s="12" t="s">
        <v>35918</v>
      </c>
      <c r="B100" s="12" t="s">
        <v>264</v>
      </c>
      <c r="C100" s="13" t="s">
        <v>265</v>
      </c>
      <c r="D100" s="13" t="s">
        <v>23</v>
      </c>
      <c r="E100" s="12" t="s">
        <v>16</v>
      </c>
      <c r="F100" s="14">
        <v>600000</v>
      </c>
      <c r="G100" s="14">
        <v>323500</v>
      </c>
      <c r="H100" s="13" t="s">
        <v>36120</v>
      </c>
      <c r="I100" s="40" t="s">
        <v>18</v>
      </c>
      <c r="J100" s="40" t="str">
        <f>HYPERLINK("https://stock.pstatic.net/stock-research/company/21/20260818_company_931254000.pdf","PDF")</f>
        <v>PDF</v>
      </c>
      <c r="K100" s="12" t="s">
        <v>36121</v>
      </c>
      <c r="L100" s="36">
        <v>0.85471406491499224</v>
      </c>
    </row>
    <row r="101" spans="1:12" x14ac:dyDescent="0.45">
      <c r="A101" s="12" t="s">
        <v>35918</v>
      </c>
      <c r="B101" s="12" t="s">
        <v>748</v>
      </c>
      <c r="C101" s="13" t="s">
        <v>749</v>
      </c>
      <c r="D101" s="13" t="s">
        <v>23</v>
      </c>
      <c r="E101" s="12" t="s">
        <v>16</v>
      </c>
      <c r="F101" s="14">
        <v>15000</v>
      </c>
      <c r="G101" s="14">
        <v>10630</v>
      </c>
      <c r="H101" s="13" t="s">
        <v>36122</v>
      </c>
      <c r="I101" s="40" t="s">
        <v>18</v>
      </c>
      <c r="J101" s="40" t="str">
        <f>HYPERLINK("https://stock.pstatic.net/stock-research/company/21/20260818_company_814494000.pdf","PDF")</f>
        <v>PDF</v>
      </c>
      <c r="K101" s="12" t="s">
        <v>36123</v>
      </c>
      <c r="L101" s="36">
        <v>0.41110065851364058</v>
      </c>
    </row>
    <row r="102" spans="1:12" x14ac:dyDescent="0.45">
      <c r="A102" s="12" t="s">
        <v>35918</v>
      </c>
      <c r="B102" s="12" t="s">
        <v>6541</v>
      </c>
      <c r="C102" s="13" t="s">
        <v>6542</v>
      </c>
      <c r="D102" s="13" t="s">
        <v>23</v>
      </c>
      <c r="E102" s="12" t="s">
        <v>16</v>
      </c>
      <c r="F102" s="14">
        <v>190000</v>
      </c>
      <c r="G102" s="14">
        <v>111200</v>
      </c>
      <c r="H102" s="13" t="s">
        <v>36124</v>
      </c>
      <c r="I102" s="40" t="s">
        <v>18</v>
      </c>
      <c r="J102" s="40" t="str">
        <f>HYPERLINK("https://stock.pstatic.net/stock-research/company/21/20260818_company_567596000.pdf","PDF")</f>
        <v>PDF</v>
      </c>
      <c r="K102" s="12" t="s">
        <v>36125</v>
      </c>
      <c r="L102" s="36">
        <v>0.70863309352517989</v>
      </c>
    </row>
    <row r="103" spans="1:12" x14ac:dyDescent="0.45">
      <c r="A103" s="12" t="s">
        <v>35918</v>
      </c>
      <c r="B103" s="12" t="s">
        <v>1065</v>
      </c>
      <c r="C103" s="13" t="s">
        <v>1066</v>
      </c>
      <c r="D103" s="13" t="s">
        <v>23</v>
      </c>
      <c r="E103" s="12" t="s">
        <v>16</v>
      </c>
      <c r="F103" s="14">
        <v>360000</v>
      </c>
      <c r="G103" s="14">
        <v>244000</v>
      </c>
      <c r="H103" s="13" t="s">
        <v>36126</v>
      </c>
      <c r="I103" s="40" t="s">
        <v>18</v>
      </c>
      <c r="J103" s="40" t="str">
        <f>HYPERLINK("https://stock.pstatic.net/stock-research/company/21/20260818_company_706100000.pdf","PDF")</f>
        <v>PDF</v>
      </c>
      <c r="K103" s="12" t="s">
        <v>36127</v>
      </c>
      <c r="L103" s="36">
        <v>0.47540983606557369</v>
      </c>
    </row>
    <row r="104" spans="1:12" x14ac:dyDescent="0.45">
      <c r="A104" s="12" t="s">
        <v>35918</v>
      </c>
      <c r="B104" s="12" t="s">
        <v>1463</v>
      </c>
      <c r="C104" s="13" t="s">
        <v>1464</v>
      </c>
      <c r="D104" s="13" t="s">
        <v>23</v>
      </c>
      <c r="E104" s="12" t="s">
        <v>16</v>
      </c>
      <c r="F104" s="14">
        <v>400000</v>
      </c>
      <c r="G104" s="14">
        <v>260000</v>
      </c>
      <c r="H104" s="13" t="s">
        <v>36128</v>
      </c>
      <c r="I104" s="40" t="s">
        <v>18</v>
      </c>
      <c r="J104" s="40" t="str">
        <f>HYPERLINK("https://stock.pstatic.net/stock-research/company/21/20260818_company_664946000.pdf","PDF")</f>
        <v>PDF</v>
      </c>
      <c r="K104" s="12" t="s">
        <v>36129</v>
      </c>
      <c r="L104" s="36">
        <v>0.53846153846153844</v>
      </c>
    </row>
    <row r="105" spans="1:12" x14ac:dyDescent="0.45">
      <c r="A105" s="12" t="s">
        <v>35918</v>
      </c>
      <c r="B105" s="12" t="s">
        <v>3895</v>
      </c>
      <c r="C105" s="13" t="s">
        <v>3896</v>
      </c>
      <c r="D105" s="13" t="s">
        <v>179</v>
      </c>
      <c r="E105" s="12" t="s">
        <v>50</v>
      </c>
      <c r="F105" s="13"/>
      <c r="G105" s="14">
        <v>11730</v>
      </c>
      <c r="H105" s="13" t="s">
        <v>36130</v>
      </c>
      <c r="I105" s="40" t="s">
        <v>18</v>
      </c>
      <c r="J105" s="40" t="str">
        <f>HYPERLINK("https://stock.pstatic.net/stock-research/company/64/20260818_company_797279000.pdf","PDF")</f>
        <v>PDF</v>
      </c>
      <c r="K105" s="12" t="s">
        <v>36131</v>
      </c>
      <c r="L105" s="12"/>
    </row>
    <row r="106" spans="1:12" x14ac:dyDescent="0.45">
      <c r="A106" s="12" t="s">
        <v>35918</v>
      </c>
      <c r="B106" s="12" t="s">
        <v>1459</v>
      </c>
      <c r="C106" s="13" t="s">
        <v>1460</v>
      </c>
      <c r="D106" s="13" t="s">
        <v>23</v>
      </c>
      <c r="E106" s="12" t="s">
        <v>16</v>
      </c>
      <c r="F106" s="14">
        <v>580000</v>
      </c>
      <c r="G106" s="14">
        <v>404000</v>
      </c>
      <c r="H106" s="13" t="s">
        <v>36132</v>
      </c>
      <c r="I106" s="40" t="s">
        <v>18</v>
      </c>
      <c r="J106" s="40" t="str">
        <f>HYPERLINK("https://stock.pstatic.net/stock-research/company/21/20260818_company_934485000.pdf","PDF")</f>
        <v>PDF</v>
      </c>
      <c r="K106" s="12" t="s">
        <v>36133</v>
      </c>
      <c r="L106" s="36">
        <v>0.43564356435643559</v>
      </c>
    </row>
    <row r="107" spans="1:12" x14ac:dyDescent="0.45">
      <c r="A107" s="12" t="s">
        <v>35918</v>
      </c>
      <c r="B107" s="12" t="s">
        <v>7516</v>
      </c>
      <c r="C107" s="13" t="s">
        <v>7517</v>
      </c>
      <c r="D107" s="13" t="s">
        <v>23</v>
      </c>
      <c r="E107" s="12" t="s">
        <v>16</v>
      </c>
      <c r="F107" s="14">
        <v>17000</v>
      </c>
      <c r="G107" s="14">
        <v>10640</v>
      </c>
      <c r="H107" s="13" t="s">
        <v>36134</v>
      </c>
      <c r="I107" s="40" t="s">
        <v>18</v>
      </c>
      <c r="J107" s="40" t="str">
        <f>HYPERLINK("https://stock.pstatic.net/stock-research/company/21/20260818_company_311662000.pdf","PDF")</f>
        <v>PDF</v>
      </c>
      <c r="K107" s="12" t="s">
        <v>36135</v>
      </c>
      <c r="L107" s="36">
        <v>0.59774436090225569</v>
      </c>
    </row>
    <row r="108" spans="1:12" x14ac:dyDescent="0.45">
      <c r="A108" s="12" t="s">
        <v>35918</v>
      </c>
      <c r="B108" s="12" t="s">
        <v>29662</v>
      </c>
      <c r="C108" s="13" t="s">
        <v>29663</v>
      </c>
      <c r="D108" s="13" t="s">
        <v>23</v>
      </c>
      <c r="E108" s="12" t="s">
        <v>385</v>
      </c>
      <c r="F108" s="13"/>
      <c r="G108" s="14">
        <v>20850</v>
      </c>
      <c r="H108" s="13" t="s">
        <v>36136</v>
      </c>
      <c r="I108" s="40" t="s">
        <v>18</v>
      </c>
      <c r="J108" s="40" t="str">
        <f>HYPERLINK("https://stock.pstatic.net/stock-research/company/21/20260818_company_755534000.pdf","PDF")</f>
        <v>PDF</v>
      </c>
      <c r="K108" s="12" t="s">
        <v>36137</v>
      </c>
      <c r="L108" s="12"/>
    </row>
    <row r="109" spans="1:12" x14ac:dyDescent="0.45">
      <c r="A109" s="12" t="s">
        <v>35918</v>
      </c>
      <c r="B109" s="12" t="s">
        <v>146</v>
      </c>
      <c r="C109" s="13" t="s">
        <v>147</v>
      </c>
      <c r="D109" s="13" t="s">
        <v>23</v>
      </c>
      <c r="E109" s="12" t="s">
        <v>16</v>
      </c>
      <c r="F109" s="14">
        <v>160000</v>
      </c>
      <c r="G109" s="14">
        <v>134100</v>
      </c>
      <c r="H109" s="13" t="s">
        <v>36138</v>
      </c>
      <c r="I109" s="40" t="s">
        <v>18</v>
      </c>
      <c r="J109" s="40" t="str">
        <f>HYPERLINK("https://stock.pstatic.net/stock-research/company/21/20260818_company_950573000.pdf","PDF")</f>
        <v>PDF</v>
      </c>
      <c r="K109" s="12" t="s">
        <v>36139</v>
      </c>
      <c r="L109" s="36">
        <v>0.19313944817300521</v>
      </c>
    </row>
    <row r="110" spans="1:12" x14ac:dyDescent="0.45">
      <c r="A110" s="12" t="s">
        <v>35918</v>
      </c>
      <c r="B110" s="12" t="s">
        <v>1491</v>
      </c>
      <c r="C110" s="13" t="s">
        <v>1492</v>
      </c>
      <c r="D110" s="13" t="s">
        <v>92</v>
      </c>
      <c r="E110" s="12" t="s">
        <v>35</v>
      </c>
      <c r="F110" s="14">
        <v>30000</v>
      </c>
      <c r="G110" s="14">
        <v>15080</v>
      </c>
      <c r="H110" s="13" t="s">
        <v>36140</v>
      </c>
      <c r="I110" s="40" t="s">
        <v>18</v>
      </c>
      <c r="J110" s="40" t="str">
        <f>HYPERLINK("https://stock.pstatic.net/stock-research/company/63/20260818_company_500497000.pdf","PDF")</f>
        <v>PDF</v>
      </c>
      <c r="K110" s="12" t="s">
        <v>36141</v>
      </c>
      <c r="L110" s="36">
        <v>0.98938992042440321</v>
      </c>
    </row>
    <row r="111" spans="1:12" x14ac:dyDescent="0.45">
      <c r="A111" s="12" t="s">
        <v>35918</v>
      </c>
      <c r="B111" s="12" t="s">
        <v>706</v>
      </c>
      <c r="C111" s="13" t="s">
        <v>707</v>
      </c>
      <c r="D111" s="13" t="s">
        <v>53</v>
      </c>
      <c r="E111" s="12" t="s">
        <v>16</v>
      </c>
      <c r="F111" s="14">
        <v>13000</v>
      </c>
      <c r="G111" s="14">
        <v>7970</v>
      </c>
      <c r="H111" s="13" t="s">
        <v>36142</v>
      </c>
      <c r="I111" s="40" t="s">
        <v>18</v>
      </c>
      <c r="J111" s="40" t="str">
        <f>HYPERLINK("https://stock.pstatic.net/stock-research/company/40/20260818_company_310657000.pdf","PDF")</f>
        <v>PDF</v>
      </c>
      <c r="K111" s="12" t="s">
        <v>36143</v>
      </c>
      <c r="L111" s="36">
        <v>0.6311166875784191</v>
      </c>
    </row>
    <row r="112" spans="1:12" x14ac:dyDescent="0.45">
      <c r="A112" s="12" t="s">
        <v>35918</v>
      </c>
      <c r="B112" s="12" t="s">
        <v>1499</v>
      </c>
      <c r="C112" s="13" t="s">
        <v>1500</v>
      </c>
      <c r="D112" s="13" t="s">
        <v>92</v>
      </c>
      <c r="E112" s="12" t="s">
        <v>35</v>
      </c>
      <c r="F112" s="14">
        <v>20000</v>
      </c>
      <c r="G112" s="14">
        <v>12400</v>
      </c>
      <c r="H112" s="13" t="s">
        <v>36144</v>
      </c>
      <c r="I112" s="40" t="s">
        <v>18</v>
      </c>
      <c r="J112" s="40" t="str">
        <f>HYPERLINK("https://stock.pstatic.net/stock-research/company/63/20260818_company_124658000.pdf","PDF")</f>
        <v>PDF</v>
      </c>
      <c r="K112" s="12" t="s">
        <v>36145</v>
      </c>
      <c r="L112" s="36">
        <v>0.61290322580645162</v>
      </c>
    </row>
    <row r="113" spans="1:12" x14ac:dyDescent="0.45">
      <c r="A113" s="12" t="s">
        <v>35918</v>
      </c>
      <c r="B113" s="12" t="s">
        <v>1407</v>
      </c>
      <c r="C113" s="13" t="s">
        <v>1408</v>
      </c>
      <c r="D113" s="13" t="s">
        <v>92</v>
      </c>
      <c r="E113" s="12" t="s">
        <v>35</v>
      </c>
      <c r="F113" s="14">
        <v>140000</v>
      </c>
      <c r="G113" s="14">
        <v>79000</v>
      </c>
      <c r="H113" s="13" t="s">
        <v>36146</v>
      </c>
      <c r="I113" s="40" t="s">
        <v>18</v>
      </c>
      <c r="J113" s="40" t="str">
        <f>HYPERLINK("https://stock.pstatic.net/stock-research/company/63/20260818_company_261837000.pdf","PDF")</f>
        <v>PDF</v>
      </c>
      <c r="K113" s="12" t="s">
        <v>36147</v>
      </c>
      <c r="L113" s="36">
        <v>0.77215189873417722</v>
      </c>
    </row>
    <row r="114" spans="1:12" x14ac:dyDescent="0.45">
      <c r="A114" s="12" t="s">
        <v>35918</v>
      </c>
      <c r="B114" s="12" t="s">
        <v>2631</v>
      </c>
      <c r="C114" s="13" t="s">
        <v>2632</v>
      </c>
      <c r="D114" s="13" t="s">
        <v>34</v>
      </c>
      <c r="E114" s="12" t="s">
        <v>50</v>
      </c>
      <c r="F114" s="13"/>
      <c r="G114" s="14">
        <v>12290</v>
      </c>
      <c r="H114" s="13" t="s">
        <v>36148</v>
      </c>
      <c r="I114" s="40" t="s">
        <v>18</v>
      </c>
      <c r="J114" s="40" t="str">
        <f>HYPERLINK("https://stock.pstatic.net/stock-research/company/61/20260818_company_15701000.pdf","PDF")</f>
        <v>PDF</v>
      </c>
      <c r="K114" s="12" t="s">
        <v>36149</v>
      </c>
      <c r="L114" s="12"/>
    </row>
    <row r="115" spans="1:12" x14ac:dyDescent="0.45">
      <c r="A115" s="12" t="s">
        <v>35918</v>
      </c>
      <c r="B115" s="12" t="s">
        <v>2024</v>
      </c>
      <c r="C115" s="13" t="s">
        <v>2025</v>
      </c>
      <c r="D115" s="13" t="s">
        <v>34</v>
      </c>
      <c r="E115" s="12" t="s">
        <v>35</v>
      </c>
      <c r="F115" s="14">
        <v>52000</v>
      </c>
      <c r="G115" s="14">
        <v>40500</v>
      </c>
      <c r="H115" s="13" t="s">
        <v>36150</v>
      </c>
      <c r="I115" s="40" t="s">
        <v>18</v>
      </c>
      <c r="J115" s="40" t="str">
        <f>HYPERLINK("https://stock.pstatic.net/stock-research/company/61/20260818_company_129454000.pdf","PDF")</f>
        <v>PDF</v>
      </c>
      <c r="K115" s="12" t="s">
        <v>36151</v>
      </c>
      <c r="L115" s="36">
        <v>0.2839506172839506</v>
      </c>
    </row>
    <row r="116" spans="1:12" x14ac:dyDescent="0.45">
      <c r="A116" s="12" t="s">
        <v>35918</v>
      </c>
      <c r="B116" s="12" t="s">
        <v>3403</v>
      </c>
      <c r="C116" s="13" t="s">
        <v>3404</v>
      </c>
      <c r="D116" s="13" t="s">
        <v>34</v>
      </c>
      <c r="E116" s="12" t="s">
        <v>35</v>
      </c>
      <c r="F116" s="14">
        <v>57000</v>
      </c>
      <c r="G116" s="14">
        <v>48300</v>
      </c>
      <c r="H116" s="13" t="s">
        <v>36152</v>
      </c>
      <c r="I116" s="40" t="s">
        <v>18</v>
      </c>
      <c r="J116" s="40" t="str">
        <f>HYPERLINK("https://stock.pstatic.net/stock-research/company/61/20260818_company_596204000.pdf","PDF")</f>
        <v>PDF</v>
      </c>
      <c r="K116" s="12" t="s">
        <v>36153</v>
      </c>
      <c r="L116" s="36">
        <v>0.18012422360248451</v>
      </c>
    </row>
    <row r="117" spans="1:12" x14ac:dyDescent="0.45">
      <c r="A117" s="12" t="s">
        <v>35918</v>
      </c>
      <c r="B117" s="12" t="s">
        <v>106</v>
      </c>
      <c r="C117" s="13" t="s">
        <v>107</v>
      </c>
      <c r="D117" s="13" t="s">
        <v>34</v>
      </c>
      <c r="E117" s="12" t="s">
        <v>50</v>
      </c>
      <c r="F117" s="13"/>
      <c r="G117" s="14">
        <v>27400</v>
      </c>
      <c r="H117" s="13" t="s">
        <v>36154</v>
      </c>
      <c r="I117" s="40" t="s">
        <v>18</v>
      </c>
      <c r="J117" s="40" t="str">
        <f>HYPERLINK("https://stock.pstatic.net/stock-research/company/61/20260818_company_909209000.pdf","PDF")</f>
        <v>PDF</v>
      </c>
      <c r="K117" s="12" t="s">
        <v>36155</v>
      </c>
      <c r="L117" s="12"/>
    </row>
    <row r="118" spans="1:12" x14ac:dyDescent="0.45">
      <c r="A118" s="12" t="s">
        <v>35918</v>
      </c>
      <c r="B118" s="12" t="s">
        <v>356</v>
      </c>
      <c r="C118" s="13" t="s">
        <v>357</v>
      </c>
      <c r="D118" s="13" t="s">
        <v>44</v>
      </c>
      <c r="E118" s="12" t="s">
        <v>35</v>
      </c>
      <c r="F118" s="14">
        <v>53000</v>
      </c>
      <c r="G118" s="14">
        <v>31400</v>
      </c>
      <c r="H118" s="13" t="s">
        <v>36156</v>
      </c>
      <c r="I118" s="40" t="s">
        <v>18</v>
      </c>
      <c r="J118" s="40" t="str">
        <f>HYPERLINK("https://stock.pstatic.net/stock-research/company/39/20260818_company_412884000.pdf","PDF")</f>
        <v>PDF</v>
      </c>
      <c r="K118" s="12" t="s">
        <v>36157</v>
      </c>
      <c r="L118" s="36">
        <v>0.68789808917197448</v>
      </c>
    </row>
    <row r="119" spans="1:12" x14ac:dyDescent="0.45">
      <c r="A119" s="12" t="s">
        <v>35918</v>
      </c>
      <c r="B119" s="12" t="s">
        <v>21</v>
      </c>
      <c r="C119" s="13" t="s">
        <v>22</v>
      </c>
      <c r="D119" s="13" t="s">
        <v>34</v>
      </c>
      <c r="E119" s="12" t="s">
        <v>35</v>
      </c>
      <c r="F119" s="14">
        <v>58000</v>
      </c>
      <c r="G119" s="14">
        <v>45350</v>
      </c>
      <c r="H119" s="13" t="s">
        <v>36158</v>
      </c>
      <c r="I119" s="40" t="s">
        <v>18</v>
      </c>
      <c r="J119" s="40" t="str">
        <f>HYPERLINK("https://stock.pstatic.net/stock-research/company/61/20260818_company_372129000.pdf","PDF")</f>
        <v>PDF</v>
      </c>
      <c r="K119" s="12" t="s">
        <v>36159</v>
      </c>
      <c r="L119" s="36">
        <v>0.27894156560088201</v>
      </c>
    </row>
    <row r="120" spans="1:12" x14ac:dyDescent="0.45">
      <c r="A120" s="12" t="s">
        <v>35918</v>
      </c>
      <c r="B120" s="12" t="s">
        <v>1328</v>
      </c>
      <c r="C120" s="13" t="s">
        <v>1329</v>
      </c>
      <c r="D120" s="13" t="s">
        <v>34</v>
      </c>
      <c r="E120" s="12" t="s">
        <v>35</v>
      </c>
      <c r="F120" s="14">
        <v>18000</v>
      </c>
      <c r="G120" s="14">
        <v>15290</v>
      </c>
      <c r="H120" s="13" t="s">
        <v>36160</v>
      </c>
      <c r="I120" s="40" t="s">
        <v>18</v>
      </c>
      <c r="J120" s="40" t="str">
        <f>HYPERLINK("https://stock.pstatic.net/stock-research/company/61/20260818_company_878600000.pdf","PDF")</f>
        <v>PDF</v>
      </c>
      <c r="K120" s="12" t="s">
        <v>36161</v>
      </c>
      <c r="L120" s="36">
        <v>0.17724002616088949</v>
      </c>
    </row>
    <row r="121" spans="1:12" x14ac:dyDescent="0.45">
      <c r="A121" s="12" t="s">
        <v>35918</v>
      </c>
      <c r="B121" s="12" t="s">
        <v>1308</v>
      </c>
      <c r="C121" s="13" t="s">
        <v>1309</v>
      </c>
      <c r="D121" s="13" t="s">
        <v>44</v>
      </c>
      <c r="E121" s="12" t="s">
        <v>35</v>
      </c>
      <c r="F121" s="14">
        <v>580000</v>
      </c>
      <c r="G121" s="14">
        <v>437500</v>
      </c>
      <c r="H121" s="13" t="s">
        <v>36162</v>
      </c>
      <c r="I121" s="40" t="s">
        <v>18</v>
      </c>
      <c r="J121" s="40" t="str">
        <f>HYPERLINK("https://stock.pstatic.net/stock-research/company/39/20260818_company_148460000.pdf","PDF")</f>
        <v>PDF</v>
      </c>
      <c r="K121" s="12" t="s">
        <v>36163</v>
      </c>
      <c r="L121" s="36">
        <v>0.32571428571428568</v>
      </c>
    </row>
    <row r="122" spans="1:12" x14ac:dyDescent="0.45">
      <c r="A122" s="12" t="s">
        <v>35918</v>
      </c>
      <c r="B122" s="12" t="s">
        <v>1686</v>
      </c>
      <c r="C122" s="13" t="s">
        <v>1687</v>
      </c>
      <c r="D122" s="13" t="s">
        <v>44</v>
      </c>
      <c r="E122" s="12" t="s">
        <v>35</v>
      </c>
      <c r="F122" s="14">
        <v>1850000</v>
      </c>
      <c r="G122" s="14">
        <v>1270000</v>
      </c>
      <c r="H122" s="13" t="s">
        <v>36164</v>
      </c>
      <c r="I122" s="40" t="s">
        <v>18</v>
      </c>
      <c r="J122" s="40" t="str">
        <f>HYPERLINK("https://stock.pstatic.net/stock-research/company/39/20260818_company_226082000.pdf","PDF")</f>
        <v>PDF</v>
      </c>
      <c r="K122" s="12" t="s">
        <v>36165</v>
      </c>
      <c r="L122" s="36">
        <v>0.45669291338582679</v>
      </c>
    </row>
    <row r="123" spans="1:12" x14ac:dyDescent="0.45">
      <c r="A123" s="12" t="s">
        <v>35918</v>
      </c>
      <c r="B123" s="12" t="s">
        <v>2105</v>
      </c>
      <c r="C123" s="13" t="s">
        <v>2106</v>
      </c>
      <c r="D123" s="13" t="s">
        <v>44</v>
      </c>
      <c r="E123" s="12" t="s">
        <v>35</v>
      </c>
      <c r="F123" s="14">
        <v>65000</v>
      </c>
      <c r="G123" s="14">
        <v>31700</v>
      </c>
      <c r="H123" s="13" t="s">
        <v>36166</v>
      </c>
      <c r="I123" s="40" t="s">
        <v>18</v>
      </c>
      <c r="J123" s="40" t="str">
        <f>HYPERLINK("https://stock.pstatic.net/stock-research/company/39/20260818_company_11028000.pdf","PDF")</f>
        <v>PDF</v>
      </c>
      <c r="K123" s="12" t="s">
        <v>36167</v>
      </c>
      <c r="L123" s="36">
        <v>1.0504731861198739</v>
      </c>
    </row>
    <row r="124" spans="1:12" x14ac:dyDescent="0.45">
      <c r="A124" s="12" t="s">
        <v>35918</v>
      </c>
      <c r="B124" s="12" t="s">
        <v>4864</v>
      </c>
      <c r="C124" s="13" t="s">
        <v>4865</v>
      </c>
      <c r="D124" s="13" t="s">
        <v>44</v>
      </c>
      <c r="E124" s="12" t="s">
        <v>35</v>
      </c>
      <c r="F124" s="14">
        <v>47000</v>
      </c>
      <c r="G124" s="14">
        <v>32100</v>
      </c>
      <c r="H124" s="13" t="s">
        <v>36168</v>
      </c>
      <c r="I124" s="40" t="s">
        <v>18</v>
      </c>
      <c r="J124" s="40" t="str">
        <f>HYPERLINK("https://stock.pstatic.net/stock-research/company/39/20260818_company_66295000.pdf","PDF")</f>
        <v>PDF</v>
      </c>
      <c r="K124" s="12" t="s">
        <v>36169</v>
      </c>
      <c r="L124" s="36">
        <v>0.46417445482866038</v>
      </c>
    </row>
    <row r="125" spans="1:12" x14ac:dyDescent="0.45">
      <c r="A125" s="12" t="s">
        <v>35918</v>
      </c>
      <c r="B125" s="12" t="s">
        <v>21409</v>
      </c>
      <c r="C125" s="13" t="s">
        <v>36170</v>
      </c>
      <c r="D125" s="13" t="s">
        <v>124</v>
      </c>
      <c r="E125" s="12" t="s">
        <v>50</v>
      </c>
      <c r="F125" s="13"/>
      <c r="G125" s="13"/>
      <c r="H125" s="13" t="s">
        <v>36171</v>
      </c>
      <c r="I125" s="40" t="s">
        <v>18</v>
      </c>
      <c r="J125" s="40" t="str">
        <f>HYPERLINK("https://stock.pstatic.net/stock-research/company/74/20260818_company_572470000.pdf","PDF")</f>
        <v>PDF</v>
      </c>
      <c r="K125" s="12" t="s">
        <v>36172</v>
      </c>
      <c r="L125" s="12"/>
    </row>
    <row r="126" spans="1:12" x14ac:dyDescent="0.45">
      <c r="A126" s="12" t="s">
        <v>35918</v>
      </c>
      <c r="B126" s="12" t="s">
        <v>585</v>
      </c>
      <c r="C126" s="13" t="s">
        <v>586</v>
      </c>
      <c r="D126" s="13" t="s">
        <v>53</v>
      </c>
      <c r="E126" s="12" t="s">
        <v>16</v>
      </c>
      <c r="F126" s="14">
        <v>110000</v>
      </c>
      <c r="G126" s="14">
        <v>61300</v>
      </c>
      <c r="H126" s="13" t="s">
        <v>36173</v>
      </c>
      <c r="I126" s="40" t="s">
        <v>18</v>
      </c>
      <c r="J126" s="40" t="str">
        <f>HYPERLINK("https://stock.pstatic.net/stock-research/company/40/20260818_company_577849000.pdf","PDF")</f>
        <v>PDF</v>
      </c>
      <c r="K126" s="12" t="s">
        <v>36174</v>
      </c>
      <c r="L126" s="36">
        <v>0.79445350734094622</v>
      </c>
    </row>
    <row r="127" spans="1:12" x14ac:dyDescent="0.45">
      <c r="A127" s="12" t="s">
        <v>35664</v>
      </c>
      <c r="B127" s="12" t="s">
        <v>1906</v>
      </c>
      <c r="C127" s="13" t="s">
        <v>1907</v>
      </c>
      <c r="D127" s="13" t="s">
        <v>23</v>
      </c>
      <c r="E127" s="12" t="s">
        <v>385</v>
      </c>
      <c r="F127" s="13"/>
      <c r="G127" s="14">
        <v>31550</v>
      </c>
      <c r="H127" s="13" t="s">
        <v>35665</v>
      </c>
      <c r="I127" s="40" t="s">
        <v>18</v>
      </c>
      <c r="J127" s="40" t="str">
        <f>HYPERLINK("https://stock.pstatic.net/stock-research/company/21/20260813_company_715411000.pdf","PDF")</f>
        <v>PDF</v>
      </c>
      <c r="K127" s="12" t="s">
        <v>35666</v>
      </c>
      <c r="L127" s="12"/>
    </row>
    <row r="128" spans="1:12" x14ac:dyDescent="0.45">
      <c r="A128" s="12" t="s">
        <v>35664</v>
      </c>
      <c r="B128" s="12" t="s">
        <v>888</v>
      </c>
      <c r="C128" s="13" t="s">
        <v>889</v>
      </c>
      <c r="D128" s="13" t="s">
        <v>23</v>
      </c>
      <c r="E128" s="12" t="s">
        <v>16</v>
      </c>
      <c r="F128" s="14">
        <v>110000</v>
      </c>
      <c r="G128" s="14">
        <v>62000</v>
      </c>
      <c r="H128" s="13" t="s">
        <v>35667</v>
      </c>
      <c r="I128" s="40" t="s">
        <v>18</v>
      </c>
      <c r="J128" s="40" t="str">
        <f>HYPERLINK("https://stock.pstatic.net/stock-research/company/21/20260813_company_877022000.pdf","PDF")</f>
        <v>PDF</v>
      </c>
      <c r="K128" s="12" t="s">
        <v>35668</v>
      </c>
      <c r="L128" s="36">
        <v>0.77419354838709675</v>
      </c>
    </row>
    <row r="129" spans="1:12" x14ac:dyDescent="0.45">
      <c r="A129" s="12" t="s">
        <v>35664</v>
      </c>
      <c r="B129" s="12" t="s">
        <v>375</v>
      </c>
      <c r="C129" s="13" t="s">
        <v>376</v>
      </c>
      <c r="D129" s="13" t="s">
        <v>23</v>
      </c>
      <c r="E129" s="12" t="s">
        <v>16</v>
      </c>
      <c r="F129" s="14">
        <v>23000</v>
      </c>
      <c r="G129" s="14">
        <v>19260</v>
      </c>
      <c r="H129" s="13" t="s">
        <v>35669</v>
      </c>
      <c r="I129" s="40" t="s">
        <v>18</v>
      </c>
      <c r="J129" s="40" t="str">
        <f>HYPERLINK("https://stock.pstatic.net/stock-research/company/21/20260813_company_237363000.pdf","PDF")</f>
        <v>PDF</v>
      </c>
      <c r="K129" s="12" t="s">
        <v>35670</v>
      </c>
      <c r="L129" s="36">
        <v>0.19418483904465211</v>
      </c>
    </row>
    <row r="130" spans="1:12" x14ac:dyDescent="0.45">
      <c r="A130" s="12" t="s">
        <v>35664</v>
      </c>
      <c r="B130" s="12" t="s">
        <v>1140</v>
      </c>
      <c r="C130" s="13" t="s">
        <v>1141</v>
      </c>
      <c r="D130" s="13" t="s">
        <v>23</v>
      </c>
      <c r="E130" s="12" t="s">
        <v>16</v>
      </c>
      <c r="F130" s="14">
        <v>45000</v>
      </c>
      <c r="G130" s="14">
        <v>35450</v>
      </c>
      <c r="H130" s="13" t="s">
        <v>35671</v>
      </c>
      <c r="I130" s="40" t="s">
        <v>18</v>
      </c>
      <c r="J130" s="40" t="str">
        <f>HYPERLINK("https://stock.pstatic.net/stock-research/company/21/20260813_company_87457000.pdf","PDF")</f>
        <v>PDF</v>
      </c>
      <c r="K130" s="12" t="s">
        <v>35672</v>
      </c>
      <c r="L130" s="36">
        <v>0.26939351198871653</v>
      </c>
    </row>
    <row r="131" spans="1:12" x14ac:dyDescent="0.45">
      <c r="A131" s="12" t="s">
        <v>35664</v>
      </c>
      <c r="B131" s="12" t="s">
        <v>533</v>
      </c>
      <c r="C131" s="13" t="s">
        <v>534</v>
      </c>
      <c r="D131" s="13" t="s">
        <v>53</v>
      </c>
      <c r="E131" s="12" t="s">
        <v>16</v>
      </c>
      <c r="F131" s="14">
        <v>75000</v>
      </c>
      <c r="G131" s="14">
        <v>52700</v>
      </c>
      <c r="H131" s="13" t="s">
        <v>35673</v>
      </c>
      <c r="I131" s="40" t="s">
        <v>18</v>
      </c>
      <c r="J131" s="40" t="str">
        <f>HYPERLINK("https://stock.pstatic.net/stock-research/company/40/20260813_company_947322000.pdf","PDF")</f>
        <v>PDF</v>
      </c>
      <c r="K131" s="12" t="s">
        <v>35674</v>
      </c>
      <c r="L131" s="36">
        <v>0.42314990512333972</v>
      </c>
    </row>
    <row r="132" spans="1:12" x14ac:dyDescent="0.45">
      <c r="A132" s="12" t="s">
        <v>35664</v>
      </c>
      <c r="B132" s="12" t="s">
        <v>1023</v>
      </c>
      <c r="C132" s="13" t="s">
        <v>15</v>
      </c>
      <c r="D132" s="13" t="s">
        <v>179</v>
      </c>
      <c r="E132" s="12" t="s">
        <v>16</v>
      </c>
      <c r="F132" s="14">
        <v>42000</v>
      </c>
      <c r="G132" s="14">
        <v>36500</v>
      </c>
      <c r="H132" s="13" t="s">
        <v>35675</v>
      </c>
      <c r="I132" s="40" t="s">
        <v>18</v>
      </c>
      <c r="J132" s="40" t="str">
        <f>HYPERLINK("https://stock.pstatic.net/stock-research/company/64/20260813_company_264239000.pdf","PDF")</f>
        <v>PDF</v>
      </c>
      <c r="K132" s="12" t="s">
        <v>35676</v>
      </c>
      <c r="L132" s="36">
        <v>0.15068493150684931</v>
      </c>
    </row>
    <row r="133" spans="1:12" x14ac:dyDescent="0.45">
      <c r="A133" s="12" t="s">
        <v>35664</v>
      </c>
      <c r="B133" s="12" t="s">
        <v>259</v>
      </c>
      <c r="C133" s="13" t="s">
        <v>260</v>
      </c>
      <c r="D133" s="13" t="s">
        <v>44</v>
      </c>
      <c r="E133" s="12" t="s">
        <v>35</v>
      </c>
      <c r="F133" s="14">
        <v>60000</v>
      </c>
      <c r="G133" s="14">
        <v>46000</v>
      </c>
      <c r="H133" s="13" t="s">
        <v>35677</v>
      </c>
      <c r="I133" s="40" t="s">
        <v>18</v>
      </c>
      <c r="J133" s="40" t="str">
        <f>HYPERLINK("https://stock.pstatic.net/stock-research/company/39/20260813_company_89570000.pdf","PDF")</f>
        <v>PDF</v>
      </c>
      <c r="K133" s="12" t="s">
        <v>35678</v>
      </c>
      <c r="L133" s="36">
        <v>0.30434782608695649</v>
      </c>
    </row>
    <row r="134" spans="1:12" x14ac:dyDescent="0.45">
      <c r="A134" s="12" t="s">
        <v>35664</v>
      </c>
      <c r="B134" s="12" t="s">
        <v>1036</v>
      </c>
      <c r="C134" s="13" t="s">
        <v>1037</v>
      </c>
      <c r="D134" s="13" t="s">
        <v>44</v>
      </c>
      <c r="E134" s="12" t="s">
        <v>45</v>
      </c>
      <c r="F134" s="14">
        <v>10000</v>
      </c>
      <c r="G134" s="14">
        <v>8840</v>
      </c>
      <c r="H134" s="13" t="s">
        <v>35679</v>
      </c>
      <c r="I134" s="40" t="s">
        <v>18</v>
      </c>
      <c r="J134" s="40" t="str">
        <f>HYPERLINK("https://stock.pstatic.net/stock-research/company/39/20260813_company_538870000.pdf","PDF")</f>
        <v>PDF</v>
      </c>
      <c r="K134" s="12" t="s">
        <v>35680</v>
      </c>
      <c r="L134" s="36">
        <v>0.13122171945701361</v>
      </c>
    </row>
    <row r="135" spans="1:12" x14ac:dyDescent="0.45">
      <c r="A135" s="12" t="s">
        <v>35664</v>
      </c>
      <c r="B135" s="12" t="s">
        <v>86</v>
      </c>
      <c r="C135" s="13" t="s">
        <v>87</v>
      </c>
      <c r="D135" s="13" t="s">
        <v>44</v>
      </c>
      <c r="E135" s="12" t="s">
        <v>35</v>
      </c>
      <c r="F135" s="14">
        <v>170000</v>
      </c>
      <c r="G135" s="14">
        <v>119000</v>
      </c>
      <c r="H135" s="13" t="s">
        <v>35681</v>
      </c>
      <c r="I135" s="40" t="s">
        <v>18</v>
      </c>
      <c r="J135" s="40" t="str">
        <f>HYPERLINK("https://stock.pstatic.net/stock-research/company/39/20260813_company_421385000.pdf","PDF")</f>
        <v>PDF</v>
      </c>
      <c r="K135" s="12" t="s">
        <v>35682</v>
      </c>
      <c r="L135" s="36">
        <v>0.42857142857142849</v>
      </c>
    </row>
    <row r="136" spans="1:12" x14ac:dyDescent="0.45">
      <c r="A136" s="12" t="s">
        <v>35664</v>
      </c>
      <c r="B136" s="12" t="s">
        <v>1252</v>
      </c>
      <c r="C136" s="13" t="s">
        <v>1253</v>
      </c>
      <c r="D136" s="13" t="s">
        <v>44</v>
      </c>
      <c r="E136" s="12" t="s">
        <v>35</v>
      </c>
      <c r="F136" s="14">
        <v>9000</v>
      </c>
      <c r="G136" s="14">
        <v>6200</v>
      </c>
      <c r="H136" s="13" t="s">
        <v>35683</v>
      </c>
      <c r="I136" s="40" t="s">
        <v>18</v>
      </c>
      <c r="J136" s="40" t="str">
        <f>HYPERLINK("https://stock.pstatic.net/stock-research/company/39/20260813_company_109909000.pdf","PDF")</f>
        <v>PDF</v>
      </c>
      <c r="K136" s="12" t="s">
        <v>35684</v>
      </c>
      <c r="L136" s="36">
        <v>0.45161290322580638</v>
      </c>
    </row>
    <row r="137" spans="1:12" x14ac:dyDescent="0.45">
      <c r="A137" s="12" t="s">
        <v>35664</v>
      </c>
      <c r="B137" s="12" t="s">
        <v>533</v>
      </c>
      <c r="C137" s="13" t="s">
        <v>534</v>
      </c>
      <c r="D137" s="13" t="s">
        <v>179</v>
      </c>
      <c r="E137" s="12" t="s">
        <v>16</v>
      </c>
      <c r="F137" s="14">
        <v>72000</v>
      </c>
      <c r="G137" s="14">
        <v>52700</v>
      </c>
      <c r="H137" s="13" t="s">
        <v>35685</v>
      </c>
      <c r="I137" s="40" t="s">
        <v>18</v>
      </c>
      <c r="J137" s="40" t="str">
        <f>HYPERLINK("https://stock.pstatic.net/stock-research/company/64/20260813_company_347388000.pdf","PDF")</f>
        <v>PDF</v>
      </c>
      <c r="K137" s="12" t="s">
        <v>35686</v>
      </c>
      <c r="L137" s="36">
        <v>0.36622390891840612</v>
      </c>
    </row>
    <row r="138" spans="1:12" x14ac:dyDescent="0.45">
      <c r="A138" s="12" t="s">
        <v>35664</v>
      </c>
      <c r="B138" s="12" t="s">
        <v>533</v>
      </c>
      <c r="C138" s="13" t="s">
        <v>534</v>
      </c>
      <c r="D138" s="13" t="s">
        <v>15</v>
      </c>
      <c r="E138" s="12" t="s">
        <v>16</v>
      </c>
      <c r="F138" s="14">
        <v>73000</v>
      </c>
      <c r="G138" s="14">
        <v>52700</v>
      </c>
      <c r="H138" s="13" t="s">
        <v>35687</v>
      </c>
      <c r="I138" s="40" t="s">
        <v>18</v>
      </c>
      <c r="J138" s="40" t="str">
        <f>HYPERLINK("https://stock.pstatic.net/stock-research/company/56/20260813_company_846460000.pdf","PDF")</f>
        <v>PDF</v>
      </c>
      <c r="K138" s="12" t="s">
        <v>35688</v>
      </c>
      <c r="L138" s="36">
        <v>0.38519924098671732</v>
      </c>
    </row>
    <row r="139" spans="1:12" x14ac:dyDescent="0.45">
      <c r="A139" s="12" t="s">
        <v>35664</v>
      </c>
      <c r="B139" s="12" t="s">
        <v>1694</v>
      </c>
      <c r="C139" s="13" t="s">
        <v>1695</v>
      </c>
      <c r="D139" s="13" t="s">
        <v>44</v>
      </c>
      <c r="E139" s="12" t="s">
        <v>35</v>
      </c>
      <c r="F139" s="14">
        <v>54000</v>
      </c>
      <c r="G139" s="14">
        <v>43800</v>
      </c>
      <c r="H139" s="13" t="s">
        <v>35689</v>
      </c>
      <c r="I139" s="40" t="s">
        <v>18</v>
      </c>
      <c r="J139" s="40" t="str">
        <f>HYPERLINK("https://stock.pstatic.net/stock-research/company/39/20260813_company_571883000.pdf","PDF")</f>
        <v>PDF</v>
      </c>
      <c r="K139" s="12" t="s">
        <v>35690</v>
      </c>
      <c r="L139" s="36">
        <v>0.23287671232876711</v>
      </c>
    </row>
    <row r="140" spans="1:12" x14ac:dyDescent="0.45">
      <c r="A140" s="12" t="s">
        <v>35664</v>
      </c>
      <c r="B140" s="12" t="s">
        <v>35691</v>
      </c>
      <c r="C140" s="13" t="s">
        <v>35692</v>
      </c>
      <c r="D140" s="13" t="s">
        <v>124</v>
      </c>
      <c r="E140" s="12" t="s">
        <v>50</v>
      </c>
      <c r="F140" s="13"/>
      <c r="G140" s="13"/>
      <c r="H140" s="13" t="s">
        <v>35693</v>
      </c>
      <c r="I140" s="40" t="s">
        <v>18</v>
      </c>
      <c r="J140" s="40" t="str">
        <f>HYPERLINK("https://stock.pstatic.net/stock-research/company/74/20260813_company_131554000.pdf","PDF")</f>
        <v>PDF</v>
      </c>
      <c r="K140" s="12" t="s">
        <v>35694</v>
      </c>
      <c r="L140" s="12"/>
    </row>
    <row r="141" spans="1:12" x14ac:dyDescent="0.45">
      <c r="A141" s="12" t="s">
        <v>35664</v>
      </c>
      <c r="B141" s="12" t="s">
        <v>1946</v>
      </c>
      <c r="C141" s="13" t="s">
        <v>1947</v>
      </c>
      <c r="D141" s="13" t="s">
        <v>15</v>
      </c>
      <c r="E141" s="12" t="s">
        <v>16</v>
      </c>
      <c r="F141" s="14">
        <v>18000</v>
      </c>
      <c r="G141" s="14">
        <v>14250</v>
      </c>
      <c r="H141" s="13" t="s">
        <v>35695</v>
      </c>
      <c r="I141" s="40" t="s">
        <v>18</v>
      </c>
      <c r="J141" s="40" t="str">
        <f>HYPERLINK("https://stock.pstatic.net/stock-research/company/56/20260813_company_156975000.pdf","PDF")</f>
        <v>PDF</v>
      </c>
      <c r="K141" s="12" t="s">
        <v>35696</v>
      </c>
      <c r="L141" s="36">
        <v>0.26315789473684209</v>
      </c>
    </row>
    <row r="142" spans="1:12" x14ac:dyDescent="0.45">
      <c r="A142" s="12" t="s">
        <v>35664</v>
      </c>
      <c r="B142" s="12" t="s">
        <v>756</v>
      </c>
      <c r="C142" s="13" t="s">
        <v>757</v>
      </c>
      <c r="D142" s="13" t="s">
        <v>53</v>
      </c>
      <c r="E142" s="12" t="s">
        <v>16</v>
      </c>
      <c r="F142" s="14">
        <v>180000</v>
      </c>
      <c r="G142" s="14">
        <v>132500</v>
      </c>
      <c r="H142" s="13" t="s">
        <v>35697</v>
      </c>
      <c r="I142" s="40" t="s">
        <v>18</v>
      </c>
      <c r="J142" s="40" t="str">
        <f>HYPERLINK("https://stock.pstatic.net/stock-research/company/40/20260813_company_964577000.pdf","PDF")</f>
        <v>PDF</v>
      </c>
      <c r="K142" s="12" t="s">
        <v>35698</v>
      </c>
      <c r="L142" s="36">
        <v>0.35849056603773582</v>
      </c>
    </row>
    <row r="143" spans="1:12" x14ac:dyDescent="0.45">
      <c r="A143" s="12" t="s">
        <v>35663</v>
      </c>
      <c r="B143" s="12" t="s">
        <v>756</v>
      </c>
      <c r="C143" s="13" t="s">
        <v>757</v>
      </c>
      <c r="D143" s="13" t="s">
        <v>57</v>
      </c>
      <c r="E143" s="12" t="s">
        <v>35</v>
      </c>
      <c r="F143" s="14">
        <v>150000</v>
      </c>
      <c r="G143" s="14">
        <v>107900</v>
      </c>
      <c r="H143" s="13" t="s">
        <v>35699</v>
      </c>
      <c r="I143" s="40" t="s">
        <v>18</v>
      </c>
      <c r="J143" s="40" t="str">
        <f>HYPERLINK("https://stock.pstatic.net/stock-research/company/16/20260812_company_120998000.pdf","PDF")</f>
        <v>PDF</v>
      </c>
      <c r="K143" s="12" t="s">
        <v>35700</v>
      </c>
      <c r="L143" s="36">
        <v>0.39017608897126971</v>
      </c>
    </row>
    <row r="144" spans="1:12" x14ac:dyDescent="0.45">
      <c r="A144" s="12" t="s">
        <v>35663</v>
      </c>
      <c r="B144" s="12" t="s">
        <v>1656</v>
      </c>
      <c r="C144" s="13" t="s">
        <v>1657</v>
      </c>
      <c r="D144" s="13" t="s">
        <v>60</v>
      </c>
      <c r="E144" s="12" t="s">
        <v>35</v>
      </c>
      <c r="F144" s="14">
        <v>645000</v>
      </c>
      <c r="G144" s="14">
        <v>428500</v>
      </c>
      <c r="H144" s="13" t="s">
        <v>35701</v>
      </c>
      <c r="I144" s="40" t="s">
        <v>18</v>
      </c>
      <c r="J144" s="40" t="str">
        <f>HYPERLINK("https://stock.pstatic.net/stock-research/company/62/20260812_company_206306000.pdf","PDF")</f>
        <v>PDF</v>
      </c>
      <c r="K144" s="12" t="s">
        <v>35702</v>
      </c>
      <c r="L144" s="36">
        <v>0.50525087514585765</v>
      </c>
    </row>
    <row r="145" spans="1:12" x14ac:dyDescent="0.45">
      <c r="A145" s="12" t="s">
        <v>35663</v>
      </c>
      <c r="B145" s="12" t="s">
        <v>1051</v>
      </c>
      <c r="C145" s="13" t="s">
        <v>1052</v>
      </c>
      <c r="D145" s="13" t="s">
        <v>276</v>
      </c>
      <c r="E145" s="12" t="s">
        <v>16</v>
      </c>
      <c r="F145" s="14">
        <v>92000</v>
      </c>
      <c r="G145" s="14">
        <v>65500</v>
      </c>
      <c r="H145" s="13" t="s">
        <v>35703</v>
      </c>
      <c r="I145" s="40" t="s">
        <v>18</v>
      </c>
      <c r="J145" s="40" t="str">
        <f>HYPERLINK("https://stock.pstatic.net/stock-research/company/66/20260812_company_877712000.pdf","PDF")</f>
        <v>PDF</v>
      </c>
      <c r="K145" s="12" t="s">
        <v>35704</v>
      </c>
      <c r="L145" s="36">
        <v>0.40458015267175568</v>
      </c>
    </row>
    <row r="146" spans="1:12" x14ac:dyDescent="0.45">
      <c r="A146" s="12" t="s">
        <v>35663</v>
      </c>
      <c r="B146" s="12" t="s">
        <v>6914</v>
      </c>
      <c r="C146" s="13" t="s">
        <v>6915</v>
      </c>
      <c r="D146" s="13" t="s">
        <v>60</v>
      </c>
      <c r="E146" s="12" t="s">
        <v>50</v>
      </c>
      <c r="F146" s="13"/>
      <c r="G146" s="14">
        <v>51200</v>
      </c>
      <c r="H146" s="13" t="s">
        <v>35705</v>
      </c>
      <c r="I146" s="40" t="s">
        <v>18</v>
      </c>
      <c r="J146" s="40" t="str">
        <f>HYPERLINK("https://stock.pstatic.net/stock-research/company/62/20260812_company_444971000.pdf","PDF")</f>
        <v>PDF</v>
      </c>
      <c r="K146" s="12" t="s">
        <v>35706</v>
      </c>
      <c r="L146" s="12"/>
    </row>
    <row r="147" spans="1:12" x14ac:dyDescent="0.45">
      <c r="A147" s="12" t="s">
        <v>35663</v>
      </c>
      <c r="B147" s="12" t="s">
        <v>768</v>
      </c>
      <c r="C147" s="13" t="s">
        <v>769</v>
      </c>
      <c r="D147" s="13" t="s">
        <v>60</v>
      </c>
      <c r="E147" s="12" t="s">
        <v>35</v>
      </c>
      <c r="F147" s="14">
        <v>310000</v>
      </c>
      <c r="G147" s="14">
        <v>210000</v>
      </c>
      <c r="H147" s="13" t="s">
        <v>35707</v>
      </c>
      <c r="I147" s="40" t="s">
        <v>18</v>
      </c>
      <c r="J147" s="40" t="str">
        <f>HYPERLINK("https://stock.pstatic.net/stock-research/company/62/20260812_company_396462000.pdf","PDF")</f>
        <v>PDF</v>
      </c>
      <c r="K147" s="12" t="s">
        <v>35708</v>
      </c>
      <c r="L147" s="36">
        <v>0.47619047619047622</v>
      </c>
    </row>
    <row r="148" spans="1:12" x14ac:dyDescent="0.45">
      <c r="A148" s="12" t="s">
        <v>35663</v>
      </c>
      <c r="B148" s="12" t="s">
        <v>156</v>
      </c>
      <c r="C148" s="13" t="s">
        <v>157</v>
      </c>
      <c r="D148" s="13" t="s">
        <v>276</v>
      </c>
      <c r="E148" s="12" t="s">
        <v>16</v>
      </c>
      <c r="F148" s="14">
        <v>5000</v>
      </c>
      <c r="G148" s="14">
        <v>3785</v>
      </c>
      <c r="H148" s="13" t="s">
        <v>35709</v>
      </c>
      <c r="I148" s="40" t="s">
        <v>18</v>
      </c>
      <c r="J148" s="40" t="str">
        <f>HYPERLINK("https://stock.pstatic.net/stock-research/company/66/20260812_company_858145000.pdf","PDF")</f>
        <v>PDF</v>
      </c>
      <c r="K148" s="12" t="s">
        <v>35710</v>
      </c>
      <c r="L148" s="36">
        <v>0.32100396301188899</v>
      </c>
    </row>
    <row r="149" spans="1:12" x14ac:dyDescent="0.45">
      <c r="A149" s="12" t="s">
        <v>35663</v>
      </c>
      <c r="B149" s="12" t="s">
        <v>1682</v>
      </c>
      <c r="C149" s="13" t="s">
        <v>1683</v>
      </c>
      <c r="D149" s="13" t="s">
        <v>60</v>
      </c>
      <c r="E149" s="12" t="s">
        <v>35</v>
      </c>
      <c r="F149" s="14">
        <v>375000</v>
      </c>
      <c r="G149" s="14">
        <v>255500</v>
      </c>
      <c r="H149" s="13" t="s">
        <v>35711</v>
      </c>
      <c r="I149" s="40" t="s">
        <v>18</v>
      </c>
      <c r="J149" s="40" t="str">
        <f>HYPERLINK("https://stock.pstatic.net/stock-research/company/62/20260812_company_892633000.pdf","PDF")</f>
        <v>PDF</v>
      </c>
      <c r="K149" s="12" t="s">
        <v>35712</v>
      </c>
      <c r="L149" s="36">
        <v>0.46771037181996078</v>
      </c>
    </row>
    <row r="150" spans="1:12" x14ac:dyDescent="0.45">
      <c r="A150" s="12" t="s">
        <v>35663</v>
      </c>
      <c r="B150" s="12" t="s">
        <v>6914</v>
      </c>
      <c r="C150" s="13" t="s">
        <v>6915</v>
      </c>
      <c r="D150" s="13" t="s">
        <v>57</v>
      </c>
      <c r="E150" s="12" t="s">
        <v>35</v>
      </c>
      <c r="F150" s="14">
        <v>78000</v>
      </c>
      <c r="G150" s="14">
        <v>51200</v>
      </c>
      <c r="H150" s="13" t="s">
        <v>35713</v>
      </c>
      <c r="I150" s="40" t="s">
        <v>18</v>
      </c>
      <c r="J150" s="40" t="str">
        <f>HYPERLINK("https://stock.pstatic.net/stock-research/company/16/20260812_company_261288000.pdf","PDF")</f>
        <v>PDF</v>
      </c>
      <c r="K150" s="12" t="s">
        <v>35714</v>
      </c>
      <c r="L150" s="36">
        <v>0.5234375</v>
      </c>
    </row>
    <row r="151" spans="1:12" x14ac:dyDescent="0.45">
      <c r="A151" s="12" t="s">
        <v>35663</v>
      </c>
      <c r="B151" s="12" t="s">
        <v>98</v>
      </c>
      <c r="C151" s="13" t="s">
        <v>99</v>
      </c>
      <c r="D151" s="13" t="s">
        <v>60</v>
      </c>
      <c r="E151" s="12" t="s">
        <v>35</v>
      </c>
      <c r="F151" s="14">
        <v>64000</v>
      </c>
      <c r="G151" s="14">
        <v>54200</v>
      </c>
      <c r="H151" s="13" t="s">
        <v>35715</v>
      </c>
      <c r="I151" s="40" t="s">
        <v>18</v>
      </c>
      <c r="J151" s="40" t="str">
        <f>HYPERLINK("https://stock.pstatic.net/stock-research/company/62/20260812_company_532627000.pdf","PDF")</f>
        <v>PDF</v>
      </c>
      <c r="K151" s="12" t="s">
        <v>35716</v>
      </c>
      <c r="L151" s="36">
        <v>0.1808118081180812</v>
      </c>
    </row>
    <row r="152" spans="1:12" x14ac:dyDescent="0.45">
      <c r="A152" s="12" t="s">
        <v>35663</v>
      </c>
      <c r="B152" s="12" t="s">
        <v>1051</v>
      </c>
      <c r="C152" s="13" t="s">
        <v>1052</v>
      </c>
      <c r="D152" s="13" t="s">
        <v>57</v>
      </c>
      <c r="E152" s="12" t="s">
        <v>35</v>
      </c>
      <c r="F152" s="14">
        <v>96000</v>
      </c>
      <c r="G152" s="14">
        <v>65500</v>
      </c>
      <c r="H152" s="13" t="s">
        <v>35717</v>
      </c>
      <c r="I152" s="40" t="s">
        <v>18</v>
      </c>
      <c r="J152" s="40" t="str">
        <f>HYPERLINK("https://stock.pstatic.net/stock-research/company/16/20260812_company_760028000.pdf","PDF")</f>
        <v>PDF</v>
      </c>
      <c r="K152" s="12" t="s">
        <v>35718</v>
      </c>
      <c r="L152" s="36">
        <v>0.46564885496183211</v>
      </c>
    </row>
    <row r="153" spans="1:12" x14ac:dyDescent="0.45">
      <c r="A153" s="12" t="s">
        <v>35663</v>
      </c>
      <c r="B153" s="12" t="s">
        <v>1656</v>
      </c>
      <c r="C153" s="13" t="s">
        <v>1657</v>
      </c>
      <c r="D153" s="13" t="s">
        <v>57</v>
      </c>
      <c r="E153" s="12" t="s">
        <v>35</v>
      </c>
      <c r="F153" s="14">
        <v>690000</v>
      </c>
      <c r="G153" s="14">
        <v>428500</v>
      </c>
      <c r="H153" s="13" t="s">
        <v>35719</v>
      </c>
      <c r="I153" s="40" t="s">
        <v>18</v>
      </c>
      <c r="J153" s="40" t="str">
        <f>HYPERLINK("https://stock.pstatic.net/stock-research/company/16/20260812_company_768812000.pdf","PDF")</f>
        <v>PDF</v>
      </c>
      <c r="K153" s="12" t="s">
        <v>35720</v>
      </c>
      <c r="L153" s="36">
        <v>0.61026837806301049</v>
      </c>
    </row>
    <row r="154" spans="1:12" x14ac:dyDescent="0.45">
      <c r="A154" s="12" t="s">
        <v>35663</v>
      </c>
      <c r="B154" s="12" t="s">
        <v>1656</v>
      </c>
      <c r="C154" s="13" t="s">
        <v>1657</v>
      </c>
      <c r="D154" s="13" t="s">
        <v>65</v>
      </c>
      <c r="E154" s="12" t="s">
        <v>35</v>
      </c>
      <c r="F154" s="14">
        <v>600000</v>
      </c>
      <c r="G154" s="14">
        <v>428500</v>
      </c>
      <c r="H154" s="13" t="s">
        <v>35721</v>
      </c>
      <c r="I154" s="40" t="s">
        <v>18</v>
      </c>
      <c r="J154" s="40" t="str">
        <f>HYPERLINK("https://stock.pstatic.net/stock-research/company/57/20260812_company_748780000.pdf","PDF")</f>
        <v>PDF</v>
      </c>
      <c r="K154" s="12" t="s">
        <v>35722</v>
      </c>
      <c r="L154" s="36">
        <v>0.40023337222870481</v>
      </c>
    </row>
    <row r="155" spans="1:12" x14ac:dyDescent="0.45">
      <c r="A155" s="12" t="s">
        <v>35663</v>
      </c>
      <c r="B155" s="12" t="s">
        <v>1047</v>
      </c>
      <c r="C155" s="13" t="s">
        <v>1048</v>
      </c>
      <c r="D155" s="13" t="s">
        <v>57</v>
      </c>
      <c r="E155" s="12" t="s">
        <v>35</v>
      </c>
      <c r="F155" s="14">
        <v>22000</v>
      </c>
      <c r="G155" s="14">
        <v>10740</v>
      </c>
      <c r="H155" s="13" t="s">
        <v>35723</v>
      </c>
      <c r="I155" s="40" t="s">
        <v>18</v>
      </c>
      <c r="J155" s="40" t="str">
        <f>HYPERLINK("https://stock.pstatic.net/stock-research/company/16/20260812_company_116578000.pdf","PDF")</f>
        <v>PDF</v>
      </c>
      <c r="K155" s="12" t="s">
        <v>35724</v>
      </c>
      <c r="L155" s="36">
        <v>1.048417132216015</v>
      </c>
    </row>
    <row r="156" spans="1:12" x14ac:dyDescent="0.45">
      <c r="A156" s="12" t="s">
        <v>35663</v>
      </c>
      <c r="B156" s="12" t="s">
        <v>768</v>
      </c>
      <c r="C156" s="13" t="s">
        <v>769</v>
      </c>
      <c r="D156" s="13" t="s">
        <v>65</v>
      </c>
      <c r="E156" s="12" t="s">
        <v>35</v>
      </c>
      <c r="F156" s="14">
        <v>305000</v>
      </c>
      <c r="G156" s="14">
        <v>210000</v>
      </c>
      <c r="H156" s="13" t="s">
        <v>35725</v>
      </c>
      <c r="I156" s="40" t="s">
        <v>18</v>
      </c>
      <c r="J156" s="40" t="str">
        <f>HYPERLINK("https://stock.pstatic.net/stock-research/company/57/20260812_company_903109000.pdf","PDF")</f>
        <v>PDF</v>
      </c>
      <c r="K156" s="12" t="s">
        <v>35726</v>
      </c>
      <c r="L156" s="36">
        <v>0.45238095238095238</v>
      </c>
    </row>
    <row r="157" spans="1:12" x14ac:dyDescent="0.45">
      <c r="A157" s="12" t="s">
        <v>35663</v>
      </c>
      <c r="B157" s="12" t="s">
        <v>768</v>
      </c>
      <c r="C157" s="13" t="s">
        <v>769</v>
      </c>
      <c r="D157" s="13" t="s">
        <v>57</v>
      </c>
      <c r="E157" s="12" t="s">
        <v>35</v>
      </c>
      <c r="F157" s="14">
        <v>270000</v>
      </c>
      <c r="G157" s="14">
        <v>210000</v>
      </c>
      <c r="H157" s="13" t="s">
        <v>35727</v>
      </c>
      <c r="I157" s="40" t="s">
        <v>18</v>
      </c>
      <c r="J157" s="40" t="str">
        <f>HYPERLINK("https://stock.pstatic.net/stock-research/company/16/20260812_company_680330000.pdf","PDF")</f>
        <v>PDF</v>
      </c>
      <c r="K157" s="12" t="s">
        <v>35728</v>
      </c>
      <c r="L157" s="36">
        <v>0.2857142857142857</v>
      </c>
    </row>
    <row r="158" spans="1:12" x14ac:dyDescent="0.45">
      <c r="A158" s="12" t="s">
        <v>35663</v>
      </c>
      <c r="B158" s="12" t="s">
        <v>6914</v>
      </c>
      <c r="C158" s="13" t="s">
        <v>6915</v>
      </c>
      <c r="D158" s="13" t="s">
        <v>65</v>
      </c>
      <c r="E158" s="12" t="s">
        <v>50</v>
      </c>
      <c r="F158" s="13"/>
      <c r="G158" s="14">
        <v>51200</v>
      </c>
      <c r="H158" s="13" t="s">
        <v>35729</v>
      </c>
      <c r="I158" s="40" t="s">
        <v>18</v>
      </c>
      <c r="J158" s="40" t="str">
        <f>HYPERLINK("https://stock.pstatic.net/stock-research/company/57/20260812_company_426479000.pdf","PDF")</f>
        <v>PDF</v>
      </c>
      <c r="K158" s="12" t="s">
        <v>35730</v>
      </c>
      <c r="L158" s="12"/>
    </row>
    <row r="159" spans="1:12" x14ac:dyDescent="0.45">
      <c r="A159" s="12" t="s">
        <v>35663</v>
      </c>
      <c r="B159" s="12" t="s">
        <v>1682</v>
      </c>
      <c r="C159" s="13" t="s">
        <v>1683</v>
      </c>
      <c r="D159" s="13" t="s">
        <v>65</v>
      </c>
      <c r="E159" s="12" t="s">
        <v>35</v>
      </c>
      <c r="F159" s="14">
        <v>420000</v>
      </c>
      <c r="G159" s="14">
        <v>255500</v>
      </c>
      <c r="H159" s="13" t="s">
        <v>35731</v>
      </c>
      <c r="I159" s="40" t="s">
        <v>18</v>
      </c>
      <c r="J159" s="40" t="str">
        <f>HYPERLINK("https://stock.pstatic.net/stock-research/company/57/20260812_company_683673000.pdf","PDF")</f>
        <v>PDF</v>
      </c>
      <c r="K159" s="12" t="s">
        <v>35732</v>
      </c>
      <c r="L159" s="36">
        <v>0.64383561643835618</v>
      </c>
    </row>
    <row r="160" spans="1:12" x14ac:dyDescent="0.45">
      <c r="A160" s="12" t="s">
        <v>35663</v>
      </c>
      <c r="B160" s="12" t="s">
        <v>1930</v>
      </c>
      <c r="C160" s="13" t="s">
        <v>1931</v>
      </c>
      <c r="D160" s="13" t="s">
        <v>57</v>
      </c>
      <c r="E160" s="12" t="s">
        <v>35</v>
      </c>
      <c r="F160" s="14">
        <v>260000</v>
      </c>
      <c r="G160" s="14">
        <v>205500</v>
      </c>
      <c r="H160" s="13" t="s">
        <v>35733</v>
      </c>
      <c r="I160" s="40" t="s">
        <v>18</v>
      </c>
      <c r="J160" s="40" t="str">
        <f>HYPERLINK("https://stock.pstatic.net/stock-research/company/16/20260812_company_231918000.pdf","PDF")</f>
        <v>PDF</v>
      </c>
      <c r="K160" s="12" t="s">
        <v>35734</v>
      </c>
      <c r="L160" s="36">
        <v>0.26520681265206808</v>
      </c>
    </row>
    <row r="161" spans="1:12" x14ac:dyDescent="0.45">
      <c r="A161" s="12" t="s">
        <v>35663</v>
      </c>
      <c r="B161" s="12" t="s">
        <v>1051</v>
      </c>
      <c r="C161" s="13" t="s">
        <v>1052</v>
      </c>
      <c r="D161" s="13" t="s">
        <v>65</v>
      </c>
      <c r="E161" s="12" t="s">
        <v>35</v>
      </c>
      <c r="F161" s="14">
        <v>85000</v>
      </c>
      <c r="G161" s="14">
        <v>65500</v>
      </c>
      <c r="H161" s="13" t="s">
        <v>35735</v>
      </c>
      <c r="I161" s="40" t="s">
        <v>18</v>
      </c>
      <c r="J161" s="40" t="str">
        <f>HYPERLINK("https://stock.pstatic.net/stock-research/company/57/20260812_company_12209000.pdf","PDF")</f>
        <v>PDF</v>
      </c>
      <c r="K161" s="12" t="s">
        <v>35736</v>
      </c>
      <c r="L161" s="36">
        <v>0.29770992366412208</v>
      </c>
    </row>
    <row r="162" spans="1:12" x14ac:dyDescent="0.45">
      <c r="A162" s="12" t="s">
        <v>35663</v>
      </c>
      <c r="B162" s="12" t="s">
        <v>880</v>
      </c>
      <c r="C162" s="13" t="s">
        <v>881</v>
      </c>
      <c r="D162" s="13" t="s">
        <v>65</v>
      </c>
      <c r="E162" s="12" t="s">
        <v>35</v>
      </c>
      <c r="F162" s="14">
        <v>13000</v>
      </c>
      <c r="G162" s="14">
        <v>9520</v>
      </c>
      <c r="H162" s="13" t="s">
        <v>35737</v>
      </c>
      <c r="I162" s="40" t="s">
        <v>18</v>
      </c>
      <c r="J162" s="40" t="str">
        <f>HYPERLINK("https://stock.pstatic.net/stock-research/company/57/20260812_company_311317000.pdf","PDF")</f>
        <v>PDF</v>
      </c>
      <c r="K162" s="12" t="s">
        <v>35738</v>
      </c>
      <c r="L162" s="36">
        <v>0.36554621848739488</v>
      </c>
    </row>
    <row r="163" spans="1:12" x14ac:dyDescent="0.45">
      <c r="A163" s="12" t="s">
        <v>35663</v>
      </c>
      <c r="B163" s="12" t="s">
        <v>2369</v>
      </c>
      <c r="C163" s="13" t="s">
        <v>2370</v>
      </c>
      <c r="D163" s="13" t="s">
        <v>65</v>
      </c>
      <c r="E163" s="12" t="s">
        <v>35</v>
      </c>
      <c r="F163" s="14">
        <v>667000</v>
      </c>
      <c r="G163" s="14">
        <v>459500</v>
      </c>
      <c r="H163" s="13" t="s">
        <v>35739</v>
      </c>
      <c r="I163" s="40" t="s">
        <v>18</v>
      </c>
      <c r="J163" s="40" t="str">
        <f>HYPERLINK("https://stock.pstatic.net/stock-research/company/57/20260812_company_717536000.pdf","PDF")</f>
        <v>PDF</v>
      </c>
      <c r="K163" s="12" t="s">
        <v>35740</v>
      </c>
      <c r="L163" s="36">
        <v>0.45157780195865072</v>
      </c>
    </row>
    <row r="164" spans="1:12" x14ac:dyDescent="0.45">
      <c r="A164" s="12" t="s">
        <v>35663</v>
      </c>
      <c r="B164" s="12" t="s">
        <v>1930</v>
      </c>
      <c r="C164" s="13" t="s">
        <v>1931</v>
      </c>
      <c r="D164" s="13" t="s">
        <v>65</v>
      </c>
      <c r="E164" s="12" t="s">
        <v>35</v>
      </c>
      <c r="F164" s="14">
        <v>370000</v>
      </c>
      <c r="G164" s="14">
        <v>188000</v>
      </c>
      <c r="H164" s="13" t="s">
        <v>35741</v>
      </c>
      <c r="I164" s="40" t="s">
        <v>18</v>
      </c>
      <c r="J164" s="40" t="str">
        <f>HYPERLINK("https://stock.pstatic.net/stock-research/company/57/20260812_company_231880000.pdf","PDF")</f>
        <v>PDF</v>
      </c>
      <c r="K164" s="12" t="s">
        <v>35742</v>
      </c>
      <c r="L164" s="36">
        <v>0.96808510638297873</v>
      </c>
    </row>
    <row r="165" spans="1:12" x14ac:dyDescent="0.45">
      <c r="A165" s="12" t="s">
        <v>35663</v>
      </c>
      <c r="B165" s="12" t="s">
        <v>1773</v>
      </c>
      <c r="C165" s="13" t="s">
        <v>1774</v>
      </c>
      <c r="D165" s="13" t="s">
        <v>65</v>
      </c>
      <c r="E165" s="12" t="s">
        <v>35</v>
      </c>
      <c r="F165" s="14">
        <v>120000</v>
      </c>
      <c r="G165" s="14">
        <v>77400</v>
      </c>
      <c r="H165" s="13" t="s">
        <v>35743</v>
      </c>
      <c r="I165" s="40" t="s">
        <v>18</v>
      </c>
      <c r="J165" s="40" t="str">
        <f>HYPERLINK("https://stock.pstatic.net/stock-research/company/57/20260812_company_454124000.pdf","PDF")</f>
        <v>PDF</v>
      </c>
      <c r="K165" s="12" t="s">
        <v>35744</v>
      </c>
      <c r="L165" s="36">
        <v>0.55038759689922478</v>
      </c>
    </row>
    <row r="166" spans="1:12" x14ac:dyDescent="0.45">
      <c r="A166" s="12" t="s">
        <v>35663</v>
      </c>
      <c r="B166" s="12" t="s">
        <v>1682</v>
      </c>
      <c r="C166" s="13" t="s">
        <v>1683</v>
      </c>
      <c r="D166" s="13" t="s">
        <v>158</v>
      </c>
      <c r="E166" s="12" t="s">
        <v>35</v>
      </c>
      <c r="F166" s="14">
        <v>370000</v>
      </c>
      <c r="G166" s="14">
        <v>255500</v>
      </c>
      <c r="H166" s="13" t="s">
        <v>35745</v>
      </c>
      <c r="I166" s="40" t="s">
        <v>18</v>
      </c>
      <c r="J166" s="40" t="str">
        <f>HYPERLINK("https://stock.pstatic.net/stock-research/company/18/20260812_company_716128000.pdf","PDF")</f>
        <v>PDF</v>
      </c>
      <c r="K166" s="12" t="s">
        <v>35746</v>
      </c>
      <c r="L166" s="36">
        <v>0.44814090019569469</v>
      </c>
    </row>
    <row r="167" spans="1:12" x14ac:dyDescent="0.45">
      <c r="A167" s="12" t="s">
        <v>35663</v>
      </c>
      <c r="B167" s="12" t="s">
        <v>768</v>
      </c>
      <c r="C167" s="13" t="s">
        <v>769</v>
      </c>
      <c r="D167" s="13" t="s">
        <v>158</v>
      </c>
      <c r="E167" s="12" t="s">
        <v>35</v>
      </c>
      <c r="F167" s="14">
        <v>273000</v>
      </c>
      <c r="G167" s="14">
        <v>210000</v>
      </c>
      <c r="H167" s="13" t="s">
        <v>35747</v>
      </c>
      <c r="I167" s="40" t="s">
        <v>18</v>
      </c>
      <c r="J167" s="40" t="str">
        <f>HYPERLINK("https://stock.pstatic.net/stock-research/company/18/20260812_company_767106000.pdf","PDF")</f>
        <v>PDF</v>
      </c>
      <c r="K167" s="12" t="s">
        <v>35748</v>
      </c>
      <c r="L167" s="36">
        <v>0.3</v>
      </c>
    </row>
    <row r="168" spans="1:12" x14ac:dyDescent="0.45">
      <c r="A168" s="12" t="s">
        <v>35663</v>
      </c>
      <c r="B168" s="12" t="s">
        <v>1344</v>
      </c>
      <c r="C168" s="13" t="s">
        <v>1345</v>
      </c>
      <c r="D168" s="13" t="s">
        <v>158</v>
      </c>
      <c r="E168" s="12" t="s">
        <v>35</v>
      </c>
      <c r="F168" s="14">
        <v>125000</v>
      </c>
      <c r="G168" s="14">
        <v>61800</v>
      </c>
      <c r="H168" s="13" t="s">
        <v>35749</v>
      </c>
      <c r="I168" s="40" t="s">
        <v>18</v>
      </c>
      <c r="J168" s="40" t="str">
        <f>HYPERLINK("https://stock.pstatic.net/stock-research/company/18/20260812_company_587325000.pdf","PDF")</f>
        <v>PDF</v>
      </c>
      <c r="K168" s="12" t="s">
        <v>35750</v>
      </c>
      <c r="L168" s="36">
        <v>1.022653721682848</v>
      </c>
    </row>
    <row r="169" spans="1:12" x14ac:dyDescent="0.45">
      <c r="A169" s="12" t="s">
        <v>35663</v>
      </c>
      <c r="B169" s="12" t="s">
        <v>6914</v>
      </c>
      <c r="C169" s="13" t="s">
        <v>6915</v>
      </c>
      <c r="D169" s="13" t="s">
        <v>158</v>
      </c>
      <c r="E169" s="12" t="s">
        <v>50</v>
      </c>
      <c r="F169" s="13"/>
      <c r="G169" s="14">
        <v>51200</v>
      </c>
      <c r="H169" s="13" t="s">
        <v>35751</v>
      </c>
      <c r="I169" s="40" t="s">
        <v>18</v>
      </c>
      <c r="J169" s="40" t="str">
        <f>HYPERLINK("https://stock.pstatic.net/stock-research/company/18/20260812_company_301185000.pdf","PDF")</f>
        <v>PDF</v>
      </c>
      <c r="K169" s="12" t="s">
        <v>35752</v>
      </c>
      <c r="L169" s="12"/>
    </row>
    <row r="170" spans="1:12" x14ac:dyDescent="0.45">
      <c r="A170" s="12" t="s">
        <v>35663</v>
      </c>
      <c r="B170" s="12" t="s">
        <v>1773</v>
      </c>
      <c r="C170" s="13" t="s">
        <v>1774</v>
      </c>
      <c r="D170" s="13" t="s">
        <v>158</v>
      </c>
      <c r="E170" s="12" t="s">
        <v>35</v>
      </c>
      <c r="F170" s="14">
        <v>120000</v>
      </c>
      <c r="G170" s="14">
        <v>77400</v>
      </c>
      <c r="H170" s="13" t="s">
        <v>35753</v>
      </c>
      <c r="I170" s="40" t="s">
        <v>18</v>
      </c>
      <c r="J170" s="40" t="str">
        <f>HYPERLINK("https://stock.pstatic.net/stock-research/company/18/20260812_company_429620000.pdf","PDF")</f>
        <v>PDF</v>
      </c>
      <c r="K170" s="12" t="s">
        <v>35754</v>
      </c>
      <c r="L170" s="36">
        <v>0.55038759689922478</v>
      </c>
    </row>
    <row r="171" spans="1:12" x14ac:dyDescent="0.45">
      <c r="A171" s="12" t="s">
        <v>35663</v>
      </c>
      <c r="B171" s="12" t="s">
        <v>1930</v>
      </c>
      <c r="C171" s="13" t="s">
        <v>1931</v>
      </c>
      <c r="D171" s="13" t="s">
        <v>158</v>
      </c>
      <c r="E171" s="12" t="s">
        <v>35</v>
      </c>
      <c r="F171" s="14">
        <v>260000</v>
      </c>
      <c r="G171" s="14">
        <v>188000</v>
      </c>
      <c r="H171" s="13" t="s">
        <v>35755</v>
      </c>
      <c r="I171" s="40" t="s">
        <v>18</v>
      </c>
      <c r="J171" s="40" t="str">
        <f>HYPERLINK("https://stock.pstatic.net/stock-research/company/18/20260812_company_853092000.pdf","PDF")</f>
        <v>PDF</v>
      </c>
      <c r="K171" s="12" t="s">
        <v>35756</v>
      </c>
      <c r="L171" s="36">
        <v>0.38297872340425532</v>
      </c>
    </row>
    <row r="172" spans="1:12" x14ac:dyDescent="0.45">
      <c r="A172" s="12" t="s">
        <v>35663</v>
      </c>
      <c r="B172" s="12" t="s">
        <v>7072</v>
      </c>
      <c r="C172" s="13" t="s">
        <v>7073</v>
      </c>
      <c r="D172" s="13" t="s">
        <v>83</v>
      </c>
      <c r="E172" s="12" t="s">
        <v>642</v>
      </c>
      <c r="F172" s="14">
        <v>9500</v>
      </c>
      <c r="G172" s="14">
        <v>9810</v>
      </c>
      <c r="H172" s="13" t="s">
        <v>35757</v>
      </c>
      <c r="I172" s="40" t="s">
        <v>18</v>
      </c>
      <c r="J172" s="40" t="str">
        <f>HYPERLINK("https://stock.pstatic.net/stock-research/company/15/20260812_company_87655000.pdf","PDF")</f>
        <v>PDF</v>
      </c>
      <c r="K172" s="12" t="s">
        <v>35758</v>
      </c>
      <c r="L172" s="36">
        <v>-3.1600407747196739E-2</v>
      </c>
    </row>
    <row r="173" spans="1:12" x14ac:dyDescent="0.45">
      <c r="A173" s="12" t="s">
        <v>35663</v>
      </c>
      <c r="B173" s="12" t="s">
        <v>3403</v>
      </c>
      <c r="C173" s="13" t="s">
        <v>3404</v>
      </c>
      <c r="D173" s="13" t="s">
        <v>83</v>
      </c>
      <c r="E173" s="12" t="s">
        <v>35</v>
      </c>
      <c r="F173" s="14">
        <v>62000</v>
      </c>
      <c r="G173" s="14">
        <v>46800</v>
      </c>
      <c r="H173" s="13" t="s">
        <v>35759</v>
      </c>
      <c r="I173" s="40" t="s">
        <v>18</v>
      </c>
      <c r="J173" s="40" t="str">
        <f>HYPERLINK("https://stock.pstatic.net/stock-research/company/15/20260812_company_674223000.pdf","PDF")</f>
        <v>PDF</v>
      </c>
      <c r="K173" s="12" t="s">
        <v>35760</v>
      </c>
      <c r="L173" s="36">
        <v>0.3247863247863248</v>
      </c>
    </row>
    <row r="174" spans="1:12" x14ac:dyDescent="0.45">
      <c r="A174" s="12" t="s">
        <v>35663</v>
      </c>
      <c r="B174" s="12" t="s">
        <v>1656</v>
      </c>
      <c r="C174" s="13" t="s">
        <v>1657</v>
      </c>
      <c r="D174" s="13" t="s">
        <v>83</v>
      </c>
      <c r="E174" s="12" t="s">
        <v>35</v>
      </c>
      <c r="F174" s="14">
        <v>1000000</v>
      </c>
      <c r="G174" s="14">
        <v>428500</v>
      </c>
      <c r="H174" s="13" t="s">
        <v>35761</v>
      </c>
      <c r="I174" s="40" t="s">
        <v>18</v>
      </c>
      <c r="J174" s="40" t="str">
        <f>HYPERLINK("https://stock.pstatic.net/stock-research/company/15/20260812_company_925697000.pdf","PDF")</f>
        <v>PDF</v>
      </c>
      <c r="K174" s="12" t="s">
        <v>35762</v>
      </c>
      <c r="L174" s="36">
        <v>1.3337222870478409</v>
      </c>
    </row>
    <row r="175" spans="1:12" x14ac:dyDescent="0.45">
      <c r="A175" s="12" t="s">
        <v>35663</v>
      </c>
      <c r="B175" s="12" t="s">
        <v>1883</v>
      </c>
      <c r="C175" s="13" t="s">
        <v>1884</v>
      </c>
      <c r="D175" s="13" t="s">
        <v>83</v>
      </c>
      <c r="E175" s="12" t="s">
        <v>35</v>
      </c>
      <c r="F175" s="14">
        <v>37000</v>
      </c>
      <c r="G175" s="14">
        <v>22150</v>
      </c>
      <c r="H175" s="13" t="s">
        <v>35763</v>
      </c>
      <c r="I175" s="40" t="s">
        <v>18</v>
      </c>
      <c r="J175" s="40" t="str">
        <f>HYPERLINK("https://stock.pstatic.net/stock-research/company/15/20260812_company_484017000.pdf","PDF")</f>
        <v>PDF</v>
      </c>
      <c r="K175" s="12" t="s">
        <v>35764</v>
      </c>
      <c r="L175" s="36">
        <v>0.67042889390519189</v>
      </c>
    </row>
    <row r="176" spans="1:12" x14ac:dyDescent="0.45">
      <c r="A176" s="12" t="s">
        <v>35663</v>
      </c>
      <c r="B176" s="12" t="s">
        <v>1906</v>
      </c>
      <c r="C176" s="13" t="s">
        <v>1907</v>
      </c>
      <c r="D176" s="13" t="s">
        <v>15</v>
      </c>
      <c r="E176" s="12" t="s">
        <v>5386</v>
      </c>
      <c r="F176" s="14">
        <v>30000</v>
      </c>
      <c r="G176" s="14">
        <v>36900</v>
      </c>
      <c r="H176" s="13" t="s">
        <v>35765</v>
      </c>
      <c r="I176" s="40" t="s">
        <v>18</v>
      </c>
      <c r="J176" s="40" t="str">
        <f>HYPERLINK("https://stock.pstatic.net/stock-research/company/56/20260812_company_513024000.pdf","PDF")</f>
        <v>PDF</v>
      </c>
      <c r="K176" s="12" t="s">
        <v>35766</v>
      </c>
      <c r="L176" s="36">
        <v>-0.18699186991869921</v>
      </c>
    </row>
    <row r="177" spans="1:12" x14ac:dyDescent="0.45">
      <c r="A177" s="12" t="s">
        <v>35663</v>
      </c>
      <c r="B177" s="12" t="s">
        <v>2024</v>
      </c>
      <c r="C177" s="13" t="s">
        <v>2025</v>
      </c>
      <c r="D177" s="13" t="s">
        <v>15</v>
      </c>
      <c r="E177" s="12" t="s">
        <v>35</v>
      </c>
      <c r="F177" s="14">
        <v>51000</v>
      </c>
      <c r="G177" s="14">
        <v>42300</v>
      </c>
      <c r="H177" s="13" t="s">
        <v>35767</v>
      </c>
      <c r="I177" s="40" t="s">
        <v>18</v>
      </c>
      <c r="J177" s="40" t="str">
        <f>HYPERLINK("https://stock.pstatic.net/stock-research/company/56/20260812_company_718296000.pdf","PDF")</f>
        <v>PDF</v>
      </c>
      <c r="K177" s="12" t="s">
        <v>35768</v>
      </c>
      <c r="L177" s="36">
        <v>0.20567375886524819</v>
      </c>
    </row>
    <row r="178" spans="1:12" x14ac:dyDescent="0.45">
      <c r="A178" s="12" t="s">
        <v>35663</v>
      </c>
      <c r="B178" s="12" t="s">
        <v>1344</v>
      </c>
      <c r="C178" s="13" t="s">
        <v>1345</v>
      </c>
      <c r="D178" s="13" t="s">
        <v>15</v>
      </c>
      <c r="E178" s="12" t="s">
        <v>16</v>
      </c>
      <c r="F178" s="14">
        <v>114000</v>
      </c>
      <c r="G178" s="14">
        <v>61800</v>
      </c>
      <c r="H178" s="13" t="s">
        <v>35769</v>
      </c>
      <c r="I178" s="40" t="s">
        <v>18</v>
      </c>
      <c r="J178" s="40" t="str">
        <f>HYPERLINK("https://stock.pstatic.net/stock-research/company/56/20260812_company_656752000.pdf","PDF")</f>
        <v>PDF</v>
      </c>
      <c r="K178" s="12" t="s">
        <v>35770</v>
      </c>
      <c r="L178" s="36">
        <v>0.84466019417475724</v>
      </c>
    </row>
    <row r="179" spans="1:12" x14ac:dyDescent="0.45">
      <c r="A179" s="12" t="s">
        <v>35663</v>
      </c>
      <c r="B179" s="12" t="s">
        <v>768</v>
      </c>
      <c r="C179" s="13" t="s">
        <v>769</v>
      </c>
      <c r="D179" s="13" t="s">
        <v>92</v>
      </c>
      <c r="E179" s="12" t="s">
        <v>35</v>
      </c>
      <c r="F179" s="14">
        <v>280000</v>
      </c>
      <c r="G179" s="14">
        <v>210000</v>
      </c>
      <c r="H179" s="13" t="s">
        <v>35771</v>
      </c>
      <c r="I179" s="40" t="s">
        <v>18</v>
      </c>
      <c r="J179" s="40" t="str">
        <f>HYPERLINK("https://stock.pstatic.net/stock-research/company/63/20260812_company_658500000.pdf","PDF")</f>
        <v>PDF</v>
      </c>
      <c r="K179" s="12" t="s">
        <v>35772</v>
      </c>
      <c r="L179" s="36">
        <v>0.33333333333333331</v>
      </c>
    </row>
    <row r="180" spans="1:12" x14ac:dyDescent="0.45">
      <c r="A180" s="12" t="s">
        <v>35663</v>
      </c>
      <c r="B180" s="12" t="s">
        <v>132</v>
      </c>
      <c r="C180" s="13" t="s">
        <v>133</v>
      </c>
      <c r="D180" s="13" t="s">
        <v>92</v>
      </c>
      <c r="E180" s="12" t="s">
        <v>35</v>
      </c>
      <c r="F180" s="14">
        <v>190000</v>
      </c>
      <c r="G180" s="14">
        <v>101300</v>
      </c>
      <c r="H180" s="13" t="s">
        <v>35773</v>
      </c>
      <c r="I180" s="40" t="s">
        <v>18</v>
      </c>
      <c r="J180" s="40" t="str">
        <f>HYPERLINK("https://stock.pstatic.net/stock-research/company/63/20260812_company_569126000.pdf","PDF")</f>
        <v>PDF</v>
      </c>
      <c r="K180" s="12" t="s">
        <v>35774</v>
      </c>
      <c r="L180" s="36">
        <v>0.87561697926949655</v>
      </c>
    </row>
    <row r="181" spans="1:12" x14ac:dyDescent="0.45">
      <c r="A181" s="12" t="s">
        <v>35663</v>
      </c>
      <c r="B181" s="12" t="s">
        <v>2105</v>
      </c>
      <c r="C181" s="13" t="s">
        <v>2106</v>
      </c>
      <c r="D181" s="13" t="s">
        <v>15</v>
      </c>
      <c r="E181" s="12" t="s">
        <v>16</v>
      </c>
      <c r="F181" s="14">
        <v>45000</v>
      </c>
      <c r="G181" s="14">
        <v>33650</v>
      </c>
      <c r="H181" s="13" t="s">
        <v>35775</v>
      </c>
      <c r="I181" s="40" t="s">
        <v>18</v>
      </c>
      <c r="J181" s="40" t="str">
        <f>HYPERLINK("https://stock.pstatic.net/stock-research/company/56/20260812_company_619416000.pdf","PDF")</f>
        <v>PDF</v>
      </c>
      <c r="K181" s="12" t="s">
        <v>35776</v>
      </c>
      <c r="L181" s="36">
        <v>0.33729569093610701</v>
      </c>
    </row>
    <row r="182" spans="1:12" x14ac:dyDescent="0.45">
      <c r="A182" s="12" t="s">
        <v>35663</v>
      </c>
      <c r="B182" s="12" t="s">
        <v>1656</v>
      </c>
      <c r="C182" s="13" t="s">
        <v>1657</v>
      </c>
      <c r="D182" s="13" t="s">
        <v>92</v>
      </c>
      <c r="E182" s="12" t="s">
        <v>35</v>
      </c>
      <c r="F182" s="14">
        <v>680000</v>
      </c>
      <c r="G182" s="14">
        <v>428500</v>
      </c>
      <c r="H182" s="13" t="s">
        <v>35777</v>
      </c>
      <c r="I182" s="40" t="s">
        <v>18</v>
      </c>
      <c r="J182" s="40" t="str">
        <f>HYPERLINK("https://stock.pstatic.net/stock-research/company/63/20260812_company_630727000.pdf","PDF")</f>
        <v>PDF</v>
      </c>
      <c r="K182" s="12" t="s">
        <v>35778</v>
      </c>
      <c r="L182" s="36">
        <v>0.58693115519253214</v>
      </c>
    </row>
    <row r="183" spans="1:12" x14ac:dyDescent="0.45">
      <c r="A183" s="12" t="s">
        <v>35663</v>
      </c>
      <c r="B183" s="12" t="s">
        <v>1224</v>
      </c>
      <c r="C183" s="13" t="s">
        <v>83</v>
      </c>
      <c r="D183" s="13" t="s">
        <v>179</v>
      </c>
      <c r="E183" s="12" t="s">
        <v>16</v>
      </c>
      <c r="F183" s="14">
        <v>40000</v>
      </c>
      <c r="G183" s="14">
        <v>26300</v>
      </c>
      <c r="H183" s="13" t="s">
        <v>35779</v>
      </c>
      <c r="I183" s="40" t="s">
        <v>18</v>
      </c>
      <c r="J183" s="40" t="str">
        <f>HYPERLINK("https://stock.pstatic.net/stock-research/company/64/20260812_company_303653000.pdf","PDF")</f>
        <v>PDF</v>
      </c>
      <c r="K183" s="12" t="s">
        <v>35780</v>
      </c>
      <c r="L183" s="36">
        <v>0.52091254752851712</v>
      </c>
    </row>
    <row r="184" spans="1:12" x14ac:dyDescent="0.45">
      <c r="A184" s="12" t="s">
        <v>35663</v>
      </c>
      <c r="B184" s="12" t="s">
        <v>768</v>
      </c>
      <c r="C184" s="13" t="s">
        <v>769</v>
      </c>
      <c r="D184" s="13" t="s">
        <v>179</v>
      </c>
      <c r="E184" s="12" t="s">
        <v>16</v>
      </c>
      <c r="F184" s="14">
        <v>290000</v>
      </c>
      <c r="G184" s="14">
        <v>210000</v>
      </c>
      <c r="H184" s="13" t="s">
        <v>35781</v>
      </c>
      <c r="I184" s="40" t="s">
        <v>18</v>
      </c>
      <c r="J184" s="40" t="str">
        <f>HYPERLINK("https://stock.pstatic.net/stock-research/company/64/20260812_company_940285000.pdf","PDF")</f>
        <v>PDF</v>
      </c>
      <c r="K184" s="12" t="s">
        <v>35782</v>
      </c>
      <c r="L184" s="36">
        <v>0.38095238095238088</v>
      </c>
    </row>
    <row r="185" spans="1:12" x14ac:dyDescent="0.45">
      <c r="A185" s="12" t="s">
        <v>35663</v>
      </c>
      <c r="B185" s="12" t="s">
        <v>999</v>
      </c>
      <c r="C185" s="13" t="s">
        <v>1000</v>
      </c>
      <c r="D185" s="13" t="s">
        <v>23</v>
      </c>
      <c r="E185" s="12" t="s">
        <v>16</v>
      </c>
      <c r="F185" s="14">
        <v>37000</v>
      </c>
      <c r="G185" s="14">
        <v>27350</v>
      </c>
      <c r="H185" s="13" t="s">
        <v>35783</v>
      </c>
      <c r="I185" s="40" t="s">
        <v>18</v>
      </c>
      <c r="J185" s="40" t="str">
        <f>HYPERLINK("https://stock.pstatic.net/stock-research/company/21/20260812_company_136515000.pdf","PDF")</f>
        <v>PDF</v>
      </c>
      <c r="K185" s="12" t="s">
        <v>35784</v>
      </c>
      <c r="L185" s="36">
        <v>0.35283363802559409</v>
      </c>
    </row>
    <row r="186" spans="1:12" x14ac:dyDescent="0.45">
      <c r="A186" s="12" t="s">
        <v>35663</v>
      </c>
      <c r="B186" s="12" t="s">
        <v>1817</v>
      </c>
      <c r="C186" s="13" t="s">
        <v>1818</v>
      </c>
      <c r="D186" s="13" t="s">
        <v>92</v>
      </c>
      <c r="E186" s="12" t="s">
        <v>35</v>
      </c>
      <c r="F186" s="14">
        <v>138000</v>
      </c>
      <c r="G186" s="14">
        <v>97500</v>
      </c>
      <c r="H186" s="13" t="s">
        <v>35785</v>
      </c>
      <c r="I186" s="40" t="s">
        <v>18</v>
      </c>
      <c r="J186" s="40" t="str">
        <f>HYPERLINK("https://stock.pstatic.net/stock-research/company/63/20260812_company_2401000.pdf","PDF")</f>
        <v>PDF</v>
      </c>
      <c r="K186" s="12" t="s">
        <v>35786</v>
      </c>
      <c r="L186" s="36">
        <v>0.41538461538461541</v>
      </c>
    </row>
    <row r="187" spans="1:12" x14ac:dyDescent="0.45">
      <c r="A187" s="12" t="s">
        <v>35663</v>
      </c>
      <c r="B187" s="12" t="s">
        <v>880</v>
      </c>
      <c r="C187" s="13" t="s">
        <v>881</v>
      </c>
      <c r="D187" s="13" t="s">
        <v>92</v>
      </c>
      <c r="E187" s="12" t="s">
        <v>35</v>
      </c>
      <c r="F187" s="14">
        <v>13000</v>
      </c>
      <c r="G187" s="14">
        <v>9520</v>
      </c>
      <c r="H187" s="13" t="s">
        <v>35787</v>
      </c>
      <c r="I187" s="40" t="s">
        <v>18</v>
      </c>
      <c r="J187" s="40" t="str">
        <f>HYPERLINK("https://stock.pstatic.net/stock-research/company/63/20260812_company_865855000.pdf","PDF")</f>
        <v>PDF</v>
      </c>
      <c r="K187" s="12" t="s">
        <v>35788</v>
      </c>
      <c r="L187" s="36">
        <v>0.36554621848739488</v>
      </c>
    </row>
    <row r="188" spans="1:12" x14ac:dyDescent="0.45">
      <c r="A188" s="12" t="s">
        <v>35663</v>
      </c>
      <c r="B188" s="12" t="s">
        <v>1906</v>
      </c>
      <c r="C188" s="13" t="s">
        <v>1907</v>
      </c>
      <c r="D188" s="13" t="s">
        <v>92</v>
      </c>
      <c r="E188" s="12" t="s">
        <v>35</v>
      </c>
      <c r="F188" s="14">
        <v>50000</v>
      </c>
      <c r="G188" s="14">
        <v>36900</v>
      </c>
      <c r="H188" s="13" t="s">
        <v>35789</v>
      </c>
      <c r="I188" s="40" t="s">
        <v>18</v>
      </c>
      <c r="J188" s="40" t="str">
        <f>HYPERLINK("https://stock.pstatic.net/stock-research/company/63/20260812_company_629619000.pdf","PDF")</f>
        <v>PDF</v>
      </c>
      <c r="K188" s="12" t="s">
        <v>35790</v>
      </c>
      <c r="L188" s="36">
        <v>0.35501355013550129</v>
      </c>
    </row>
    <row r="189" spans="1:12" x14ac:dyDescent="0.45">
      <c r="A189" s="12" t="s">
        <v>35663</v>
      </c>
      <c r="B189" s="12" t="s">
        <v>1682</v>
      </c>
      <c r="C189" s="13" t="s">
        <v>1683</v>
      </c>
      <c r="D189" s="13" t="s">
        <v>92</v>
      </c>
      <c r="E189" s="12" t="s">
        <v>35</v>
      </c>
      <c r="F189" s="14">
        <v>380000</v>
      </c>
      <c r="G189" s="14">
        <v>255500</v>
      </c>
      <c r="H189" s="13" t="s">
        <v>35791</v>
      </c>
      <c r="I189" s="40" t="s">
        <v>18</v>
      </c>
      <c r="J189" s="40" t="str">
        <f>HYPERLINK("https://stock.pstatic.net/stock-research/company/63/20260812_company_641217000.pdf","PDF")</f>
        <v>PDF</v>
      </c>
      <c r="K189" s="12" t="s">
        <v>35792</v>
      </c>
      <c r="L189" s="36">
        <v>0.48727984344422698</v>
      </c>
    </row>
    <row r="190" spans="1:12" x14ac:dyDescent="0.45">
      <c r="A190" s="12" t="s">
        <v>35663</v>
      </c>
      <c r="B190" s="12" t="s">
        <v>503</v>
      </c>
      <c r="C190" s="13" t="s">
        <v>504</v>
      </c>
      <c r="D190" s="13" t="s">
        <v>23</v>
      </c>
      <c r="E190" s="12" t="s">
        <v>16</v>
      </c>
      <c r="F190" s="14">
        <v>110000</v>
      </c>
      <c r="G190" s="14">
        <v>77000</v>
      </c>
      <c r="H190" s="13" t="s">
        <v>35793</v>
      </c>
      <c r="I190" s="40" t="s">
        <v>18</v>
      </c>
      <c r="J190" s="40" t="str">
        <f>HYPERLINK("https://stock.pstatic.net/stock-research/company/21/20260812_company_564406000.pdf","PDF")</f>
        <v>PDF</v>
      </c>
      <c r="K190" s="12" t="s">
        <v>35794</v>
      </c>
      <c r="L190" s="36">
        <v>0.42857142857142849</v>
      </c>
    </row>
    <row r="191" spans="1:12" x14ac:dyDescent="0.45">
      <c r="A191" s="12" t="s">
        <v>35663</v>
      </c>
      <c r="B191" s="12" t="s">
        <v>1773</v>
      </c>
      <c r="C191" s="13" t="s">
        <v>1774</v>
      </c>
      <c r="D191" s="13" t="s">
        <v>23</v>
      </c>
      <c r="E191" s="12" t="s">
        <v>16</v>
      </c>
      <c r="F191" s="14">
        <v>110000</v>
      </c>
      <c r="G191" s="14">
        <v>77400</v>
      </c>
      <c r="H191" s="13" t="s">
        <v>35795</v>
      </c>
      <c r="I191" s="40" t="s">
        <v>18</v>
      </c>
      <c r="J191" s="40" t="str">
        <f>HYPERLINK("https://stock.pstatic.net/stock-research/company/21/20260812_company_541086000.pdf","PDF")</f>
        <v>PDF</v>
      </c>
      <c r="K191" s="12" t="s">
        <v>35796</v>
      </c>
      <c r="L191" s="36">
        <v>0.42118863049095612</v>
      </c>
    </row>
    <row r="192" spans="1:12" x14ac:dyDescent="0.45">
      <c r="A192" s="12" t="s">
        <v>35663</v>
      </c>
      <c r="B192" s="12" t="s">
        <v>2024</v>
      </c>
      <c r="C192" s="13" t="s">
        <v>2025</v>
      </c>
      <c r="D192" s="13" t="s">
        <v>23</v>
      </c>
      <c r="E192" s="12" t="s">
        <v>50</v>
      </c>
      <c r="F192" s="14">
        <v>45000</v>
      </c>
      <c r="G192" s="14">
        <v>42300</v>
      </c>
      <c r="H192" s="13" t="s">
        <v>35797</v>
      </c>
      <c r="I192" s="40" t="s">
        <v>18</v>
      </c>
      <c r="J192" s="40" t="str">
        <f>HYPERLINK("https://stock.pstatic.net/stock-research/company/21/20260812_company_736295000.pdf","PDF")</f>
        <v>PDF</v>
      </c>
      <c r="K192" s="12" t="s">
        <v>35798</v>
      </c>
      <c r="L192" s="36">
        <v>6.3829787234042548E-2</v>
      </c>
    </row>
    <row r="193" spans="1:12" x14ac:dyDescent="0.45">
      <c r="A193" s="12" t="s">
        <v>35663</v>
      </c>
      <c r="B193" s="12" t="s">
        <v>1773</v>
      </c>
      <c r="C193" s="13" t="s">
        <v>1774</v>
      </c>
      <c r="D193" s="13" t="s">
        <v>34</v>
      </c>
      <c r="E193" s="12" t="s">
        <v>35</v>
      </c>
      <c r="F193" s="14">
        <v>110000</v>
      </c>
      <c r="G193" s="14">
        <v>77400</v>
      </c>
      <c r="H193" s="13" t="s">
        <v>35799</v>
      </c>
      <c r="I193" s="40" t="s">
        <v>18</v>
      </c>
      <c r="J193" s="40" t="str">
        <f>HYPERLINK("https://stock.pstatic.net/stock-research/company/61/20260812_company_469633000.pdf","PDF")</f>
        <v>PDF</v>
      </c>
      <c r="K193" s="12" t="s">
        <v>35800</v>
      </c>
      <c r="L193" s="36">
        <v>0.42118863049095612</v>
      </c>
    </row>
    <row r="194" spans="1:12" x14ac:dyDescent="0.45">
      <c r="A194" s="12" t="s">
        <v>35663</v>
      </c>
      <c r="B194" s="12" t="s">
        <v>1051</v>
      </c>
      <c r="C194" s="13" t="s">
        <v>1052</v>
      </c>
      <c r="D194" s="13" t="s">
        <v>92</v>
      </c>
      <c r="E194" s="12" t="s">
        <v>35</v>
      </c>
      <c r="F194" s="14">
        <v>80000</v>
      </c>
      <c r="G194" s="14">
        <v>65500</v>
      </c>
      <c r="H194" s="13" t="s">
        <v>35801</v>
      </c>
      <c r="I194" s="40" t="s">
        <v>18</v>
      </c>
      <c r="J194" s="40" t="str">
        <f>HYPERLINK("https://stock.pstatic.net/stock-research/company/63/20260812_company_880121000.pdf","PDF")</f>
        <v>PDF</v>
      </c>
      <c r="K194" s="12" t="s">
        <v>35802</v>
      </c>
      <c r="L194" s="36">
        <v>0.2213740458015267</v>
      </c>
    </row>
    <row r="195" spans="1:12" x14ac:dyDescent="0.45">
      <c r="A195" s="12" t="s">
        <v>35663</v>
      </c>
      <c r="B195" s="12" t="s">
        <v>1656</v>
      </c>
      <c r="C195" s="13" t="s">
        <v>1657</v>
      </c>
      <c r="D195" s="13" t="s">
        <v>44</v>
      </c>
      <c r="E195" s="12" t="s">
        <v>35</v>
      </c>
      <c r="F195" s="14">
        <v>780000</v>
      </c>
      <c r="G195" s="14">
        <v>428500</v>
      </c>
      <c r="H195" s="13" t="s">
        <v>35803</v>
      </c>
      <c r="I195" s="40" t="s">
        <v>18</v>
      </c>
      <c r="J195" s="40" t="str">
        <f>HYPERLINK("https://stock.pstatic.net/stock-research/company/39/20260812_company_295947000.pdf","PDF")</f>
        <v>PDF</v>
      </c>
      <c r="K195" s="12" t="s">
        <v>35804</v>
      </c>
      <c r="L195" s="36">
        <v>0.82030338389731627</v>
      </c>
    </row>
    <row r="196" spans="1:12" x14ac:dyDescent="0.45">
      <c r="A196" s="12" t="s">
        <v>35663</v>
      </c>
      <c r="B196" s="12" t="s">
        <v>1930</v>
      </c>
      <c r="C196" s="13" t="s">
        <v>1931</v>
      </c>
      <c r="D196" s="13" t="s">
        <v>44</v>
      </c>
      <c r="E196" s="12" t="s">
        <v>35</v>
      </c>
      <c r="F196" s="14">
        <v>260000</v>
      </c>
      <c r="G196" s="14">
        <v>188000</v>
      </c>
      <c r="H196" s="13" t="s">
        <v>35805</v>
      </c>
      <c r="I196" s="40" t="s">
        <v>18</v>
      </c>
      <c r="J196" s="40" t="str">
        <f>HYPERLINK("https://stock.pstatic.net/stock-research/company/39/20260812_company_711172000.pdf","PDF")</f>
        <v>PDF</v>
      </c>
      <c r="K196" s="12" t="s">
        <v>35806</v>
      </c>
      <c r="L196" s="36">
        <v>0.38297872340425532</v>
      </c>
    </row>
    <row r="197" spans="1:12" x14ac:dyDescent="0.45">
      <c r="A197" s="12" t="s">
        <v>35663</v>
      </c>
      <c r="B197" s="12" t="s">
        <v>98</v>
      </c>
      <c r="C197" s="13" t="s">
        <v>99</v>
      </c>
      <c r="D197" s="13" t="s">
        <v>23</v>
      </c>
      <c r="E197" s="12" t="s">
        <v>16</v>
      </c>
      <c r="F197" s="14">
        <v>63000</v>
      </c>
      <c r="G197" s="14">
        <v>54200</v>
      </c>
      <c r="H197" s="13" t="s">
        <v>35807</v>
      </c>
      <c r="I197" s="40" t="s">
        <v>18</v>
      </c>
      <c r="J197" s="40" t="str">
        <f>HYPERLINK("https://stock.pstatic.net/stock-research/company/21/20260812_company_548447000.pdf","PDF")</f>
        <v>PDF</v>
      </c>
      <c r="K197" s="12" t="s">
        <v>35808</v>
      </c>
      <c r="L197" s="36">
        <v>0.16236162361623621</v>
      </c>
    </row>
    <row r="198" spans="1:12" x14ac:dyDescent="0.45">
      <c r="A198" s="12" t="s">
        <v>35663</v>
      </c>
      <c r="B198" s="12" t="s">
        <v>1656</v>
      </c>
      <c r="C198" s="13" t="s">
        <v>1657</v>
      </c>
      <c r="D198" s="13" t="s">
        <v>23</v>
      </c>
      <c r="E198" s="12" t="s">
        <v>16</v>
      </c>
      <c r="F198" s="14">
        <v>700000</v>
      </c>
      <c r="G198" s="14">
        <v>428500</v>
      </c>
      <c r="H198" s="13" t="s">
        <v>35809</v>
      </c>
      <c r="I198" s="40" t="s">
        <v>18</v>
      </c>
      <c r="J198" s="40" t="str">
        <f>HYPERLINK("https://stock.pstatic.net/stock-research/company/21/20260812_company_279092000.pdf","PDF")</f>
        <v>PDF</v>
      </c>
      <c r="K198" s="12" t="s">
        <v>35810</v>
      </c>
      <c r="L198" s="36">
        <v>0.63360560093348894</v>
      </c>
    </row>
    <row r="199" spans="1:12" x14ac:dyDescent="0.45">
      <c r="A199" s="12" t="s">
        <v>35663</v>
      </c>
      <c r="B199" s="12" t="s">
        <v>2105</v>
      </c>
      <c r="C199" s="13" t="s">
        <v>2106</v>
      </c>
      <c r="D199" s="13" t="s">
        <v>23</v>
      </c>
      <c r="E199" s="12" t="s">
        <v>16</v>
      </c>
      <c r="F199" s="14">
        <v>41000</v>
      </c>
      <c r="G199" s="14">
        <v>33650</v>
      </c>
      <c r="H199" s="13" t="s">
        <v>35811</v>
      </c>
      <c r="I199" s="40" t="s">
        <v>18</v>
      </c>
      <c r="J199" s="40" t="str">
        <f>HYPERLINK("https://stock.pstatic.net/stock-research/company/21/20260812_company_701864000.pdf","PDF")</f>
        <v>PDF</v>
      </c>
      <c r="K199" s="12" t="s">
        <v>35812</v>
      </c>
      <c r="L199" s="36">
        <v>0.2184249628528975</v>
      </c>
    </row>
    <row r="200" spans="1:12" x14ac:dyDescent="0.45">
      <c r="A200" s="12" t="s">
        <v>35663</v>
      </c>
      <c r="B200" s="12" t="s">
        <v>1930</v>
      </c>
      <c r="C200" s="13" t="s">
        <v>1931</v>
      </c>
      <c r="D200" s="13" t="s">
        <v>23</v>
      </c>
      <c r="E200" s="12" t="s">
        <v>16</v>
      </c>
      <c r="F200" s="14">
        <v>260000</v>
      </c>
      <c r="G200" s="14">
        <v>188000</v>
      </c>
      <c r="H200" s="13" t="s">
        <v>35813</v>
      </c>
      <c r="I200" s="40" t="s">
        <v>18</v>
      </c>
      <c r="J200" s="40" t="str">
        <f>HYPERLINK("https://stock.pstatic.net/stock-research/company/21/20260812_company_537317000.pdf","PDF")</f>
        <v>PDF</v>
      </c>
      <c r="K200" s="12" t="s">
        <v>35814</v>
      </c>
      <c r="L200" s="36">
        <v>0.38297872340425532</v>
      </c>
    </row>
    <row r="201" spans="1:12" x14ac:dyDescent="0.45">
      <c r="A201" s="12" t="s">
        <v>35663</v>
      </c>
      <c r="B201" s="12" t="s">
        <v>1966</v>
      </c>
      <c r="C201" s="13" t="s">
        <v>1967</v>
      </c>
      <c r="D201" s="13" t="s">
        <v>92</v>
      </c>
      <c r="E201" s="12" t="s">
        <v>35</v>
      </c>
      <c r="F201" s="14">
        <v>7800</v>
      </c>
      <c r="G201" s="14">
        <v>5890</v>
      </c>
      <c r="H201" s="13" t="s">
        <v>35815</v>
      </c>
      <c r="I201" s="40" t="s">
        <v>18</v>
      </c>
      <c r="J201" s="40" t="str">
        <f>HYPERLINK("https://stock.pstatic.net/stock-research/company/63/20260812_company_528725000.pdf","PDF")</f>
        <v>PDF</v>
      </c>
      <c r="K201" s="12" t="s">
        <v>35816</v>
      </c>
      <c r="L201" s="36">
        <v>0.32427843803056028</v>
      </c>
    </row>
    <row r="202" spans="1:12" x14ac:dyDescent="0.45">
      <c r="A202" s="12" t="s">
        <v>35663</v>
      </c>
      <c r="B202" s="12" t="s">
        <v>768</v>
      </c>
      <c r="C202" s="13" t="s">
        <v>769</v>
      </c>
      <c r="D202" s="13" t="s">
        <v>23</v>
      </c>
      <c r="E202" s="12" t="s">
        <v>16</v>
      </c>
      <c r="F202" s="14">
        <v>280000</v>
      </c>
      <c r="G202" s="14">
        <v>210000</v>
      </c>
      <c r="H202" s="13" t="s">
        <v>35817</v>
      </c>
      <c r="I202" s="40" t="s">
        <v>18</v>
      </c>
      <c r="J202" s="40" t="str">
        <f>HYPERLINK("https://stock.pstatic.net/stock-research/company/21/20260812_company_755665000.pdf","PDF")</f>
        <v>PDF</v>
      </c>
      <c r="K202" s="12" t="s">
        <v>35818</v>
      </c>
      <c r="L202" s="36">
        <v>0.33333333333333331</v>
      </c>
    </row>
    <row r="203" spans="1:12" x14ac:dyDescent="0.45">
      <c r="A203" s="12" t="s">
        <v>35663</v>
      </c>
      <c r="B203" s="12" t="s">
        <v>1883</v>
      </c>
      <c r="C203" s="13" t="s">
        <v>1884</v>
      </c>
      <c r="D203" s="13" t="s">
        <v>92</v>
      </c>
      <c r="E203" s="12" t="s">
        <v>35</v>
      </c>
      <c r="F203" s="14">
        <v>31000</v>
      </c>
      <c r="G203" s="14">
        <v>22150</v>
      </c>
      <c r="H203" s="13" t="s">
        <v>35819</v>
      </c>
      <c r="I203" s="40" t="s">
        <v>18</v>
      </c>
      <c r="J203" s="40" t="str">
        <f>HYPERLINK("https://stock.pstatic.net/stock-research/company/63/20260812_company_396855000.pdf","PDF")</f>
        <v>PDF</v>
      </c>
      <c r="K203" s="12" t="s">
        <v>35820</v>
      </c>
      <c r="L203" s="36">
        <v>0.39954853273137703</v>
      </c>
    </row>
    <row r="204" spans="1:12" x14ac:dyDescent="0.45">
      <c r="A204" s="12" t="s">
        <v>35663</v>
      </c>
      <c r="B204" s="12" t="s">
        <v>1051</v>
      </c>
      <c r="C204" s="13" t="s">
        <v>1052</v>
      </c>
      <c r="D204" s="13" t="s">
        <v>23</v>
      </c>
      <c r="E204" s="12" t="s">
        <v>16</v>
      </c>
      <c r="F204" s="14">
        <v>79000</v>
      </c>
      <c r="G204" s="14">
        <v>65500</v>
      </c>
      <c r="H204" s="13" t="s">
        <v>35821</v>
      </c>
      <c r="I204" s="40" t="s">
        <v>18</v>
      </c>
      <c r="J204" s="40" t="str">
        <f>HYPERLINK("https://stock.pstatic.net/stock-research/company/21/20260812_company_541420000.pdf","PDF")</f>
        <v>PDF</v>
      </c>
      <c r="K204" s="12" t="s">
        <v>35822</v>
      </c>
      <c r="L204" s="36">
        <v>0.20610687022900759</v>
      </c>
    </row>
    <row r="205" spans="1:12" x14ac:dyDescent="0.45">
      <c r="A205" s="12" t="s">
        <v>35663</v>
      </c>
      <c r="B205" s="12" t="s">
        <v>1682</v>
      </c>
      <c r="C205" s="13" t="s">
        <v>1683</v>
      </c>
      <c r="D205" s="13" t="s">
        <v>23</v>
      </c>
      <c r="E205" s="12" t="s">
        <v>16</v>
      </c>
      <c r="F205" s="14">
        <v>330000</v>
      </c>
      <c r="G205" s="14">
        <v>255500</v>
      </c>
      <c r="H205" s="13" t="s">
        <v>35823</v>
      </c>
      <c r="I205" s="40" t="s">
        <v>18</v>
      </c>
      <c r="J205" s="40" t="str">
        <f>HYPERLINK("https://stock.pstatic.net/stock-research/company/21/20260812_company_891898000.pdf","PDF")</f>
        <v>PDF</v>
      </c>
      <c r="K205" s="12" t="s">
        <v>35824</v>
      </c>
      <c r="L205" s="36">
        <v>0.29158512720156549</v>
      </c>
    </row>
    <row r="206" spans="1:12" x14ac:dyDescent="0.45">
      <c r="A206" s="12" t="s">
        <v>35663</v>
      </c>
      <c r="B206" s="12" t="s">
        <v>237</v>
      </c>
      <c r="C206" s="13" t="s">
        <v>238</v>
      </c>
      <c r="D206" s="13" t="s">
        <v>53</v>
      </c>
      <c r="E206" s="12" t="s">
        <v>16</v>
      </c>
      <c r="F206" s="14">
        <v>67000</v>
      </c>
      <c r="G206" s="14">
        <v>37400</v>
      </c>
      <c r="H206" s="13" t="s">
        <v>35825</v>
      </c>
      <c r="I206" s="40" t="s">
        <v>18</v>
      </c>
      <c r="J206" s="40" t="str">
        <f>HYPERLINK("https://stock.pstatic.net/stock-research/company/40/20260812_company_918296000.pdf","PDF")</f>
        <v>PDF</v>
      </c>
      <c r="K206" s="12" t="s">
        <v>35826</v>
      </c>
      <c r="L206" s="36">
        <v>0.79144385026737973</v>
      </c>
    </row>
    <row r="207" spans="1:12" x14ac:dyDescent="0.45">
      <c r="A207" s="12" t="s">
        <v>35663</v>
      </c>
      <c r="B207" s="12" t="s">
        <v>569</v>
      </c>
      <c r="C207" s="13" t="s">
        <v>570</v>
      </c>
      <c r="D207" s="13" t="s">
        <v>179</v>
      </c>
      <c r="E207" s="12" t="s">
        <v>50</v>
      </c>
      <c r="F207" s="13"/>
      <c r="G207" s="14">
        <v>15350</v>
      </c>
      <c r="H207" s="13" t="s">
        <v>35827</v>
      </c>
      <c r="I207" s="40" t="s">
        <v>18</v>
      </c>
      <c r="J207" s="40" t="str">
        <f>HYPERLINK("https://stock.pstatic.net/stock-research/company/64/20260812_company_816464000.pdf","PDF")</f>
        <v>PDF</v>
      </c>
      <c r="K207" s="12" t="s">
        <v>35828</v>
      </c>
      <c r="L207" s="12"/>
    </row>
    <row r="208" spans="1:12" x14ac:dyDescent="0.45">
      <c r="A208" s="12" t="s">
        <v>35663</v>
      </c>
      <c r="B208" s="12" t="s">
        <v>24085</v>
      </c>
      <c r="C208" s="13" t="s">
        <v>24086</v>
      </c>
      <c r="D208" s="13" t="s">
        <v>124</v>
      </c>
      <c r="E208" s="12" t="s">
        <v>50</v>
      </c>
      <c r="F208" s="13"/>
      <c r="G208" s="13"/>
      <c r="H208" s="13" t="s">
        <v>35829</v>
      </c>
      <c r="I208" s="40" t="s">
        <v>18</v>
      </c>
      <c r="J208" s="40" t="str">
        <f>HYPERLINK("https://stock.pstatic.net/stock-research/company/74/20260812_company_473347000.pdf","PDF")</f>
        <v>PDF</v>
      </c>
      <c r="K208" s="12" t="s">
        <v>35830</v>
      </c>
      <c r="L208" s="12"/>
    </row>
    <row r="209" spans="1:12" x14ac:dyDescent="0.45">
      <c r="A209" s="12" t="s">
        <v>35663</v>
      </c>
      <c r="B209" s="12" t="s">
        <v>1682</v>
      </c>
      <c r="C209" s="13" t="s">
        <v>1683</v>
      </c>
      <c r="D209" s="13" t="s">
        <v>15</v>
      </c>
      <c r="E209" s="12" t="s">
        <v>16</v>
      </c>
      <c r="F209" s="14">
        <v>400000</v>
      </c>
      <c r="G209" s="14">
        <v>255500</v>
      </c>
      <c r="H209" s="13" t="s">
        <v>35831</v>
      </c>
      <c r="I209" s="40" t="s">
        <v>18</v>
      </c>
      <c r="J209" s="40" t="str">
        <f>HYPERLINK("https://stock.pstatic.net/stock-research/company/56/20260812_company_973764000.pdf","PDF")</f>
        <v>PDF</v>
      </c>
      <c r="K209" s="12" t="s">
        <v>35832</v>
      </c>
      <c r="L209" s="36">
        <v>0.56555772994129161</v>
      </c>
    </row>
    <row r="210" spans="1:12" x14ac:dyDescent="0.45">
      <c r="A210" s="12" t="s">
        <v>35663</v>
      </c>
      <c r="B210" s="12" t="s">
        <v>1656</v>
      </c>
      <c r="C210" s="13" t="s">
        <v>1657</v>
      </c>
      <c r="D210" s="13" t="s">
        <v>53</v>
      </c>
      <c r="E210" s="12" t="s">
        <v>16</v>
      </c>
      <c r="F210" s="14">
        <v>780000</v>
      </c>
      <c r="G210" s="14">
        <v>428500</v>
      </c>
      <c r="H210" s="13" t="s">
        <v>35833</v>
      </c>
      <c r="I210" s="40" t="s">
        <v>18</v>
      </c>
      <c r="J210" s="40" t="str">
        <f>HYPERLINK("https://stock.pstatic.net/stock-research/company/40/20260812_company_136249000.pdf","PDF")</f>
        <v>PDF</v>
      </c>
      <c r="K210" s="12" t="s">
        <v>35834</v>
      </c>
      <c r="L210" s="36">
        <v>0.82030338389731627</v>
      </c>
    </row>
    <row r="211" spans="1:12" x14ac:dyDescent="0.45">
      <c r="A211" s="12" t="s">
        <v>35663</v>
      </c>
      <c r="B211" s="12" t="s">
        <v>1773</v>
      </c>
      <c r="C211" s="13" t="s">
        <v>1774</v>
      </c>
      <c r="D211" s="13" t="s">
        <v>15</v>
      </c>
      <c r="E211" s="12" t="s">
        <v>16</v>
      </c>
      <c r="F211" s="14">
        <v>130000</v>
      </c>
      <c r="G211" s="14">
        <v>78700</v>
      </c>
      <c r="H211" s="13" t="s">
        <v>35835</v>
      </c>
      <c r="I211" s="40" t="s">
        <v>18</v>
      </c>
      <c r="J211" s="40" t="str">
        <f>HYPERLINK("https://stock.pstatic.net/stock-research/company/56/20260812_company_916877000.pdf","PDF")</f>
        <v>PDF</v>
      </c>
      <c r="K211" s="12" t="s">
        <v>35836</v>
      </c>
      <c r="L211" s="36">
        <v>0.65184243964421851</v>
      </c>
    </row>
    <row r="212" spans="1:12" x14ac:dyDescent="0.45">
      <c r="A212" s="12" t="s">
        <v>35663</v>
      </c>
      <c r="B212" s="12" t="s">
        <v>1734</v>
      </c>
      <c r="C212" s="13" t="s">
        <v>1735</v>
      </c>
      <c r="D212" s="13" t="s">
        <v>1271</v>
      </c>
      <c r="E212" s="12" t="s">
        <v>35</v>
      </c>
      <c r="F212" s="14">
        <v>50000</v>
      </c>
      <c r="G212" s="14">
        <v>35750</v>
      </c>
      <c r="H212" s="13" t="s">
        <v>35837</v>
      </c>
      <c r="I212" s="40" t="s">
        <v>18</v>
      </c>
      <c r="J212" s="40" t="str">
        <f>HYPERLINK("https://stock.pstatic.net/stock-research/company/78/20260812_company_35834000.pdf","PDF")</f>
        <v>PDF</v>
      </c>
      <c r="K212" s="12" t="s">
        <v>35838</v>
      </c>
      <c r="L212" s="36">
        <v>0.39860139860139859</v>
      </c>
    </row>
    <row r="213" spans="1:12" x14ac:dyDescent="0.45">
      <c r="A213" s="12" t="s">
        <v>35663</v>
      </c>
      <c r="B213" s="12" t="s">
        <v>3014</v>
      </c>
      <c r="C213" s="13" t="s">
        <v>3015</v>
      </c>
      <c r="D213" s="13" t="s">
        <v>1271</v>
      </c>
      <c r="E213" s="12" t="s">
        <v>35</v>
      </c>
      <c r="F213" s="14">
        <v>95000</v>
      </c>
      <c r="G213" s="14">
        <v>71200</v>
      </c>
      <c r="H213" s="13" t="s">
        <v>35839</v>
      </c>
      <c r="I213" s="40" t="s">
        <v>18</v>
      </c>
      <c r="J213" s="40" t="str">
        <f>HYPERLINK("https://stock.pstatic.net/stock-research/company/78/20260812_company_757932000.pdf","PDF")</f>
        <v>PDF</v>
      </c>
      <c r="K213" s="12" t="s">
        <v>35840</v>
      </c>
      <c r="L213" s="36">
        <v>0.3342696629213483</v>
      </c>
    </row>
    <row r="214" spans="1:12" x14ac:dyDescent="0.45">
      <c r="A214" s="12" t="s">
        <v>35663</v>
      </c>
      <c r="B214" s="12" t="s">
        <v>1849</v>
      </c>
      <c r="C214" s="13" t="s">
        <v>1850</v>
      </c>
      <c r="D214" s="13" t="s">
        <v>1271</v>
      </c>
      <c r="E214" s="12" t="s">
        <v>35</v>
      </c>
      <c r="F214" s="14">
        <v>25000</v>
      </c>
      <c r="G214" s="14">
        <v>19320</v>
      </c>
      <c r="H214" s="13" t="s">
        <v>35841</v>
      </c>
      <c r="I214" s="40" t="s">
        <v>18</v>
      </c>
      <c r="J214" s="40" t="str">
        <f>HYPERLINK("https://stock.pstatic.net/stock-research/company/78/20260812_company_503808000.pdf","PDF")</f>
        <v>PDF</v>
      </c>
      <c r="K214" s="12" t="s">
        <v>35842</v>
      </c>
      <c r="L214" s="36">
        <v>0.2939958592132505</v>
      </c>
    </row>
    <row r="215" spans="1:12" x14ac:dyDescent="0.45">
      <c r="A215" s="12" t="s">
        <v>35663</v>
      </c>
      <c r="B215" s="12" t="s">
        <v>1648</v>
      </c>
      <c r="C215" s="13" t="s">
        <v>1649</v>
      </c>
      <c r="D215" s="13" t="s">
        <v>1271</v>
      </c>
      <c r="E215" s="12" t="s">
        <v>35</v>
      </c>
      <c r="F215" s="14">
        <v>105000</v>
      </c>
      <c r="G215" s="14">
        <v>73700</v>
      </c>
      <c r="H215" s="13" t="s">
        <v>35843</v>
      </c>
      <c r="I215" s="40" t="s">
        <v>18</v>
      </c>
      <c r="J215" s="40" t="str">
        <f>HYPERLINK("https://stock.pstatic.net/stock-research/company/78/20260812_company_355932000.pdf","PDF")</f>
        <v>PDF</v>
      </c>
      <c r="K215" s="12" t="s">
        <v>35844</v>
      </c>
      <c r="L215" s="36">
        <v>0.42469470827679778</v>
      </c>
    </row>
    <row r="216" spans="1:12" x14ac:dyDescent="0.45">
      <c r="A216" s="12" t="s">
        <v>35663</v>
      </c>
      <c r="B216" s="12" t="s">
        <v>1350</v>
      </c>
      <c r="C216" s="13" t="s">
        <v>1351</v>
      </c>
      <c r="D216" s="13" t="s">
        <v>1271</v>
      </c>
      <c r="E216" s="12" t="s">
        <v>35</v>
      </c>
      <c r="F216" s="14">
        <v>30000</v>
      </c>
      <c r="G216" s="14">
        <v>21850</v>
      </c>
      <c r="H216" s="13" t="s">
        <v>35845</v>
      </c>
      <c r="I216" s="40" t="s">
        <v>18</v>
      </c>
      <c r="J216" s="40" t="str">
        <f>HYPERLINK("https://stock.pstatic.net/stock-research/company/78/20260812_company_5879000.pdf","PDF")</f>
        <v>PDF</v>
      </c>
      <c r="K216" s="12" t="s">
        <v>35846</v>
      </c>
      <c r="L216" s="36">
        <v>0.37299771167048063</v>
      </c>
    </row>
    <row r="217" spans="1:12" x14ac:dyDescent="0.45">
      <c r="A217" s="12" t="s">
        <v>35663</v>
      </c>
      <c r="B217" s="12" t="s">
        <v>541</v>
      </c>
      <c r="C217" s="13" t="s">
        <v>542</v>
      </c>
      <c r="D217" s="13" t="s">
        <v>1271</v>
      </c>
      <c r="E217" s="12" t="s">
        <v>35</v>
      </c>
      <c r="F217" s="14">
        <v>115000</v>
      </c>
      <c r="G217" s="14">
        <v>93000</v>
      </c>
      <c r="H217" s="13" t="s">
        <v>35847</v>
      </c>
      <c r="I217" s="40" t="s">
        <v>18</v>
      </c>
      <c r="J217" s="40" t="str">
        <f>HYPERLINK("https://stock.pstatic.net/stock-research/company/78/20260812_company_655764000.pdf","PDF")</f>
        <v>PDF</v>
      </c>
      <c r="K217" s="12" t="s">
        <v>35848</v>
      </c>
      <c r="L217" s="36">
        <v>0.23655913978494619</v>
      </c>
    </row>
    <row r="218" spans="1:12" x14ac:dyDescent="0.45">
      <c r="A218" s="12" t="s">
        <v>35663</v>
      </c>
      <c r="B218" s="12" t="s">
        <v>537</v>
      </c>
      <c r="C218" s="13" t="s">
        <v>538</v>
      </c>
      <c r="D218" s="13" t="s">
        <v>1271</v>
      </c>
      <c r="E218" s="12" t="s">
        <v>35</v>
      </c>
      <c r="F218" s="14">
        <v>21000</v>
      </c>
      <c r="G218" s="14">
        <v>15000</v>
      </c>
      <c r="H218" s="13" t="s">
        <v>35849</v>
      </c>
      <c r="I218" s="40" t="s">
        <v>18</v>
      </c>
      <c r="J218" s="40" t="str">
        <f>HYPERLINK("https://stock.pstatic.net/stock-research/company/78/20260812_company_549011000.pdf","PDF")</f>
        <v>PDF</v>
      </c>
      <c r="K218" s="12" t="s">
        <v>35850</v>
      </c>
      <c r="L218" s="36">
        <v>0.4</v>
      </c>
    </row>
    <row r="219" spans="1:12" x14ac:dyDescent="0.45">
      <c r="A219" s="12" t="s">
        <v>35663</v>
      </c>
      <c r="B219" s="12" t="s">
        <v>1184</v>
      </c>
      <c r="C219" s="13" t="s">
        <v>1185</v>
      </c>
      <c r="D219" s="13" t="s">
        <v>1271</v>
      </c>
      <c r="E219" s="12" t="s">
        <v>35</v>
      </c>
      <c r="F219" s="14">
        <v>35000</v>
      </c>
      <c r="G219" s="14">
        <v>28350</v>
      </c>
      <c r="H219" s="13" t="s">
        <v>35851</v>
      </c>
      <c r="I219" s="40" t="s">
        <v>18</v>
      </c>
      <c r="J219" s="40" t="str">
        <f>HYPERLINK("https://stock.pstatic.net/stock-research/company/78/20260812_company_213373000.pdf","PDF")</f>
        <v>PDF</v>
      </c>
      <c r="K219" s="12" t="s">
        <v>35852</v>
      </c>
      <c r="L219" s="36">
        <v>0.23456790123456789</v>
      </c>
    </row>
    <row r="220" spans="1:12" x14ac:dyDescent="0.45">
      <c r="A220" s="12" t="s">
        <v>35663</v>
      </c>
      <c r="B220" s="12" t="s">
        <v>1678</v>
      </c>
      <c r="C220" s="13" t="s">
        <v>1679</v>
      </c>
      <c r="D220" s="13" t="s">
        <v>1271</v>
      </c>
      <c r="E220" s="12" t="s">
        <v>35</v>
      </c>
      <c r="F220" s="14">
        <v>47000</v>
      </c>
      <c r="G220" s="14">
        <v>34100</v>
      </c>
      <c r="H220" s="13" t="s">
        <v>35853</v>
      </c>
      <c r="I220" s="40" t="s">
        <v>18</v>
      </c>
      <c r="J220" s="40" t="str">
        <f>HYPERLINK("https://stock.pstatic.net/stock-research/company/78/20260812_company_621518000.pdf","PDF")</f>
        <v>PDF</v>
      </c>
      <c r="K220" s="12" t="s">
        <v>35854</v>
      </c>
      <c r="L220" s="36">
        <v>0.3782991202346041</v>
      </c>
    </row>
    <row r="221" spans="1:12" x14ac:dyDescent="0.45">
      <c r="A221" s="12" t="s">
        <v>35663</v>
      </c>
      <c r="B221" s="12" t="s">
        <v>1097</v>
      </c>
      <c r="C221" s="13" t="s">
        <v>1098</v>
      </c>
      <c r="D221" s="13" t="s">
        <v>1271</v>
      </c>
      <c r="E221" s="12" t="s">
        <v>35</v>
      </c>
      <c r="F221" s="14">
        <v>185000</v>
      </c>
      <c r="G221" s="14">
        <v>133500</v>
      </c>
      <c r="H221" s="13" t="s">
        <v>35855</v>
      </c>
      <c r="I221" s="40" t="s">
        <v>18</v>
      </c>
      <c r="J221" s="40" t="str">
        <f>HYPERLINK("https://stock.pstatic.net/stock-research/company/78/20260812_company_383198000.pdf","PDF")</f>
        <v>PDF</v>
      </c>
      <c r="K221" s="12" t="s">
        <v>35856</v>
      </c>
      <c r="L221" s="36">
        <v>0.38576779026217228</v>
      </c>
    </row>
    <row r="222" spans="1:12" x14ac:dyDescent="0.45">
      <c r="A222" s="12" t="s">
        <v>35415</v>
      </c>
      <c r="B222" s="12" t="s">
        <v>98</v>
      </c>
      <c r="C222" s="13" t="s">
        <v>99</v>
      </c>
      <c r="D222" s="13" t="s">
        <v>57</v>
      </c>
      <c r="E222" s="12" t="s">
        <v>35</v>
      </c>
      <c r="F222" s="14">
        <v>65000</v>
      </c>
      <c r="G222" s="14">
        <v>41750</v>
      </c>
      <c r="H222" s="13" t="s">
        <v>35857</v>
      </c>
      <c r="I222" s="40" t="s">
        <v>18</v>
      </c>
      <c r="J222" s="40" t="str">
        <f>HYPERLINK("https://stock.pstatic.net/stock-research/company/16/20260811_company_147255000.pdf","PDF")</f>
        <v>PDF</v>
      </c>
      <c r="K222" s="12" t="s">
        <v>35858</v>
      </c>
      <c r="L222" s="36">
        <v>0.55688622754491013</v>
      </c>
    </row>
    <row r="223" spans="1:12" x14ac:dyDescent="0.45">
      <c r="A223" s="12" t="s">
        <v>35415</v>
      </c>
      <c r="B223" s="12" t="s">
        <v>2191</v>
      </c>
      <c r="C223" s="13" t="s">
        <v>2192</v>
      </c>
      <c r="D223" s="13" t="s">
        <v>57</v>
      </c>
      <c r="E223" s="12" t="s">
        <v>35</v>
      </c>
      <c r="F223" s="14">
        <v>130000</v>
      </c>
      <c r="G223" s="14">
        <v>95000</v>
      </c>
      <c r="H223" s="13" t="s">
        <v>35859</v>
      </c>
      <c r="I223" s="40" t="s">
        <v>18</v>
      </c>
      <c r="J223" s="40" t="str">
        <f>HYPERLINK("https://stock.pstatic.net/stock-research/company/16/20260811_company_253308000.pdf","PDF")</f>
        <v>PDF</v>
      </c>
      <c r="K223" s="12" t="s">
        <v>35860</v>
      </c>
      <c r="L223" s="36">
        <v>0.36842105263157893</v>
      </c>
    </row>
    <row r="224" spans="1:12" x14ac:dyDescent="0.45">
      <c r="A224" s="12" t="s">
        <v>35415</v>
      </c>
      <c r="B224" s="12" t="s">
        <v>2576</v>
      </c>
      <c r="C224" s="13" t="s">
        <v>2577</v>
      </c>
      <c r="D224" s="13" t="s">
        <v>57</v>
      </c>
      <c r="E224" s="12" t="s">
        <v>35</v>
      </c>
      <c r="F224" s="14">
        <v>1593000</v>
      </c>
      <c r="G224" s="14">
        <v>1235000</v>
      </c>
      <c r="H224" s="13" t="s">
        <v>35861</v>
      </c>
      <c r="I224" s="40" t="s">
        <v>18</v>
      </c>
      <c r="J224" s="40" t="str">
        <f>HYPERLINK("https://stock.pstatic.net/stock-research/company/16/20260811_company_418437000.pdf","PDF")</f>
        <v>PDF</v>
      </c>
      <c r="K224" s="12" t="s">
        <v>35862</v>
      </c>
      <c r="L224" s="36">
        <v>0.28987854251012152</v>
      </c>
    </row>
    <row r="225" spans="1:12" x14ac:dyDescent="0.45">
      <c r="A225" s="12" t="s">
        <v>35415</v>
      </c>
      <c r="B225" s="12" t="s">
        <v>1120</v>
      </c>
      <c r="C225" s="13" t="s">
        <v>1121</v>
      </c>
      <c r="D225" s="13" t="s">
        <v>57</v>
      </c>
      <c r="E225" s="12" t="s">
        <v>35</v>
      </c>
      <c r="F225" s="14">
        <v>180000</v>
      </c>
      <c r="G225" s="14">
        <v>137600</v>
      </c>
      <c r="H225" s="13" t="s">
        <v>35863</v>
      </c>
      <c r="I225" s="40" t="s">
        <v>18</v>
      </c>
      <c r="J225" s="40" t="str">
        <f>HYPERLINK("https://stock.pstatic.net/stock-research/company/16/20260811_company_368805000.pdf","PDF")</f>
        <v>PDF</v>
      </c>
      <c r="K225" s="12" t="s">
        <v>35864</v>
      </c>
      <c r="L225" s="36">
        <v>0.30813953488372092</v>
      </c>
    </row>
    <row r="226" spans="1:12" x14ac:dyDescent="0.45">
      <c r="A226" s="12" t="s">
        <v>35415</v>
      </c>
      <c r="B226" s="12" t="s">
        <v>2191</v>
      </c>
      <c r="C226" s="13" t="s">
        <v>2192</v>
      </c>
      <c r="D226" s="13" t="s">
        <v>60</v>
      </c>
      <c r="E226" s="12" t="s">
        <v>35</v>
      </c>
      <c r="F226" s="14">
        <v>150000</v>
      </c>
      <c r="G226" s="14">
        <v>95000</v>
      </c>
      <c r="H226" s="13" t="s">
        <v>35865</v>
      </c>
      <c r="I226" s="40" t="s">
        <v>18</v>
      </c>
      <c r="J226" s="40" t="str">
        <f>HYPERLINK("https://stock.pstatic.net/stock-research/company/62/20260811_company_162245000.pdf","PDF")</f>
        <v>PDF</v>
      </c>
      <c r="K226" s="12" t="s">
        <v>35866</v>
      </c>
      <c r="L226" s="36">
        <v>0.57894736842105265</v>
      </c>
    </row>
    <row r="227" spans="1:12" x14ac:dyDescent="0.45">
      <c r="A227" s="12" t="s">
        <v>35415</v>
      </c>
      <c r="B227" s="12" t="s">
        <v>1120</v>
      </c>
      <c r="C227" s="13" t="s">
        <v>1121</v>
      </c>
      <c r="D227" s="13" t="s">
        <v>60</v>
      </c>
      <c r="E227" s="12" t="s">
        <v>35</v>
      </c>
      <c r="F227" s="14">
        <v>190000</v>
      </c>
      <c r="G227" s="14">
        <v>137500</v>
      </c>
      <c r="H227" s="13" t="s">
        <v>35867</v>
      </c>
      <c r="I227" s="40" t="s">
        <v>18</v>
      </c>
      <c r="J227" s="40" t="str">
        <f>HYPERLINK("https://stock.pstatic.net/stock-research/company/62/20260811_company_986263000.pdf","PDF")</f>
        <v>PDF</v>
      </c>
      <c r="K227" s="12" t="s">
        <v>35868</v>
      </c>
      <c r="L227" s="36">
        <v>0.38181818181818178</v>
      </c>
    </row>
    <row r="228" spans="1:12" x14ac:dyDescent="0.45">
      <c r="A228" s="12" t="s">
        <v>35415</v>
      </c>
      <c r="B228" s="12" t="s">
        <v>32</v>
      </c>
      <c r="C228" s="13" t="s">
        <v>33</v>
      </c>
      <c r="D228" s="13" t="s">
        <v>65</v>
      </c>
      <c r="E228" s="12" t="s">
        <v>35</v>
      </c>
      <c r="F228" s="14">
        <v>3000000</v>
      </c>
      <c r="G228" s="14">
        <v>1274000</v>
      </c>
      <c r="H228" s="13" t="s">
        <v>35869</v>
      </c>
      <c r="I228" s="40" t="s">
        <v>18</v>
      </c>
      <c r="J228" s="40" t="str">
        <f>HYPERLINK("https://stock.pstatic.net/stock-research/company/57/20260811_company_927724000.pdf","PDF")</f>
        <v>PDF</v>
      </c>
      <c r="K228" s="12" t="s">
        <v>35870</v>
      </c>
      <c r="L228" s="36">
        <v>1.354788069073783</v>
      </c>
    </row>
    <row r="229" spans="1:12" x14ac:dyDescent="0.45">
      <c r="A229" s="12" t="s">
        <v>35415</v>
      </c>
      <c r="B229" s="12" t="s">
        <v>1540</v>
      </c>
      <c r="C229" s="13" t="s">
        <v>1541</v>
      </c>
      <c r="D229" s="13" t="s">
        <v>65</v>
      </c>
      <c r="E229" s="12" t="s">
        <v>35</v>
      </c>
      <c r="F229" s="14">
        <v>68000</v>
      </c>
      <c r="G229" s="14">
        <v>46100</v>
      </c>
      <c r="H229" s="13" t="s">
        <v>35871</v>
      </c>
      <c r="I229" s="40" t="s">
        <v>18</v>
      </c>
      <c r="J229" s="40" t="str">
        <f>HYPERLINK("https://stock.pstatic.net/stock-research/company/57/20260811_company_188279000.pdf","PDF")</f>
        <v>PDF</v>
      </c>
      <c r="K229" s="12" t="s">
        <v>35872</v>
      </c>
      <c r="L229" s="36">
        <v>0.47505422993492408</v>
      </c>
    </row>
    <row r="230" spans="1:12" x14ac:dyDescent="0.45">
      <c r="A230" s="12" t="s">
        <v>35415</v>
      </c>
      <c r="B230" s="12" t="s">
        <v>2217</v>
      </c>
      <c r="C230" s="13" t="s">
        <v>2218</v>
      </c>
      <c r="D230" s="13" t="s">
        <v>65</v>
      </c>
      <c r="E230" s="12" t="s">
        <v>35</v>
      </c>
      <c r="F230" s="14">
        <v>140000</v>
      </c>
      <c r="G230" s="14">
        <v>72000</v>
      </c>
      <c r="H230" s="13" t="s">
        <v>35873</v>
      </c>
      <c r="I230" s="40" t="s">
        <v>18</v>
      </c>
      <c r="J230" s="40" t="str">
        <f>HYPERLINK("https://stock.pstatic.net/stock-research/company/57/20260811_company_88130000.pdf","PDF")</f>
        <v>PDF</v>
      </c>
      <c r="K230" s="12" t="s">
        <v>35874</v>
      </c>
      <c r="L230" s="36">
        <v>0.94444444444444442</v>
      </c>
    </row>
    <row r="231" spans="1:12" x14ac:dyDescent="0.45">
      <c r="A231" s="12" t="s">
        <v>35415</v>
      </c>
      <c r="B231" s="12" t="s">
        <v>732</v>
      </c>
      <c r="C231" s="13" t="s">
        <v>733</v>
      </c>
      <c r="D231" s="13" t="s">
        <v>65</v>
      </c>
      <c r="E231" s="12" t="s">
        <v>35</v>
      </c>
      <c r="F231" s="14">
        <v>150000</v>
      </c>
      <c r="G231" s="14">
        <v>88700</v>
      </c>
      <c r="H231" s="13" t="s">
        <v>35875</v>
      </c>
      <c r="I231" s="40" t="s">
        <v>18</v>
      </c>
      <c r="J231" s="40" t="str">
        <f>HYPERLINK("https://stock.pstatic.net/stock-research/company/57/20260811_company_887034000.pdf","PDF")</f>
        <v>PDF</v>
      </c>
      <c r="K231" s="12" t="s">
        <v>35876</v>
      </c>
      <c r="L231" s="36">
        <v>0.69109357384441938</v>
      </c>
    </row>
    <row r="232" spans="1:12" x14ac:dyDescent="0.45">
      <c r="A232" s="12" t="s">
        <v>35415</v>
      </c>
      <c r="B232" s="12" t="s">
        <v>2191</v>
      </c>
      <c r="C232" s="13" t="s">
        <v>2192</v>
      </c>
      <c r="D232" s="13" t="s">
        <v>65</v>
      </c>
      <c r="E232" s="12" t="s">
        <v>50</v>
      </c>
      <c r="F232" s="13"/>
      <c r="G232" s="14">
        <v>95000</v>
      </c>
      <c r="H232" s="13" t="s">
        <v>35877</v>
      </c>
      <c r="I232" s="40" t="s">
        <v>18</v>
      </c>
      <c r="J232" s="40" t="str">
        <f>HYPERLINK("https://stock.pstatic.net/stock-research/company/57/20260811_company_167638000.pdf","PDF")</f>
        <v>PDF</v>
      </c>
      <c r="K232" s="12" t="s">
        <v>35878</v>
      </c>
      <c r="L232" s="12"/>
    </row>
    <row r="233" spans="1:12" x14ac:dyDescent="0.45">
      <c r="A233" s="12" t="s">
        <v>35415</v>
      </c>
      <c r="B233" s="12" t="s">
        <v>489</v>
      </c>
      <c r="C233" s="13" t="s">
        <v>490</v>
      </c>
      <c r="D233" s="13" t="s">
        <v>158</v>
      </c>
      <c r="E233" s="12" t="s">
        <v>35</v>
      </c>
      <c r="F233" s="14">
        <v>75000</v>
      </c>
      <c r="G233" s="14">
        <v>56300</v>
      </c>
      <c r="H233" s="13" t="s">
        <v>35879</v>
      </c>
      <c r="I233" s="40" t="s">
        <v>18</v>
      </c>
      <c r="J233" s="40" t="str">
        <f>HYPERLINK("https://stock.pstatic.net/stock-research/company/18/20260811_company_444884000.pdf","PDF")</f>
        <v>PDF</v>
      </c>
      <c r="K233" s="12" t="s">
        <v>35880</v>
      </c>
      <c r="L233" s="36">
        <v>0.3321492007104796</v>
      </c>
    </row>
    <row r="234" spans="1:12" x14ac:dyDescent="0.45">
      <c r="A234" s="12" t="s">
        <v>35415</v>
      </c>
      <c r="B234" s="12" t="s">
        <v>4567</v>
      </c>
      <c r="C234" s="13" t="s">
        <v>4568</v>
      </c>
      <c r="D234" s="13" t="s">
        <v>158</v>
      </c>
      <c r="E234" s="12" t="s">
        <v>35</v>
      </c>
      <c r="F234" s="14">
        <v>180000</v>
      </c>
      <c r="G234" s="14">
        <v>107600</v>
      </c>
      <c r="H234" s="13" t="s">
        <v>35881</v>
      </c>
      <c r="I234" s="40" t="s">
        <v>18</v>
      </c>
      <c r="J234" s="40" t="str">
        <f>HYPERLINK("https://stock.pstatic.net/stock-research/company/18/20260811_company_317452000.pdf","PDF")</f>
        <v>PDF</v>
      </c>
      <c r="K234" s="12" t="s">
        <v>35882</v>
      </c>
      <c r="L234" s="36">
        <v>0.67286245353159846</v>
      </c>
    </row>
    <row r="235" spans="1:12" x14ac:dyDescent="0.45">
      <c r="A235" s="12" t="s">
        <v>35415</v>
      </c>
      <c r="B235" s="12" t="s">
        <v>32</v>
      </c>
      <c r="C235" s="13" t="s">
        <v>33</v>
      </c>
      <c r="D235" s="13" t="s">
        <v>158</v>
      </c>
      <c r="E235" s="12" t="s">
        <v>35</v>
      </c>
      <c r="F235" s="14">
        <v>2300000</v>
      </c>
      <c r="G235" s="14">
        <v>1274000</v>
      </c>
      <c r="H235" s="13" t="s">
        <v>35883</v>
      </c>
      <c r="I235" s="40" t="s">
        <v>18</v>
      </c>
      <c r="J235" s="40" t="str">
        <f>HYPERLINK("https://stock.pstatic.net/stock-research/company/18/20260811_company_266835000.pdf","PDF")</f>
        <v>PDF</v>
      </c>
      <c r="K235" s="12" t="s">
        <v>35884</v>
      </c>
      <c r="L235" s="36">
        <v>0.80533751962323386</v>
      </c>
    </row>
    <row r="236" spans="1:12" x14ac:dyDescent="0.45">
      <c r="A236" s="12" t="s">
        <v>35415</v>
      </c>
      <c r="B236" s="12" t="s">
        <v>2199</v>
      </c>
      <c r="C236" s="13" t="s">
        <v>2200</v>
      </c>
      <c r="D236" s="13" t="s">
        <v>83</v>
      </c>
      <c r="E236" s="12" t="s">
        <v>35</v>
      </c>
      <c r="F236" s="14">
        <v>53000</v>
      </c>
      <c r="G236" s="14">
        <v>42800</v>
      </c>
      <c r="H236" s="13" t="s">
        <v>35885</v>
      </c>
      <c r="I236" s="40" t="s">
        <v>18</v>
      </c>
      <c r="J236" s="40" t="str">
        <f>HYPERLINK("https://stock.pstatic.net/stock-research/company/15/20260811_company_64251000.pdf","PDF")</f>
        <v>PDF</v>
      </c>
      <c r="K236" s="12" t="s">
        <v>35886</v>
      </c>
      <c r="L236" s="36">
        <v>0.23831775700934579</v>
      </c>
    </row>
    <row r="237" spans="1:12" x14ac:dyDescent="0.45">
      <c r="A237" s="12" t="s">
        <v>35415</v>
      </c>
      <c r="B237" s="12" t="s">
        <v>110</v>
      </c>
      <c r="C237" s="13" t="s">
        <v>111</v>
      </c>
      <c r="D237" s="13" t="s">
        <v>83</v>
      </c>
      <c r="E237" s="12" t="s">
        <v>35</v>
      </c>
      <c r="F237" s="14">
        <v>170000</v>
      </c>
      <c r="G237" s="14">
        <v>115900</v>
      </c>
      <c r="H237" s="13" t="s">
        <v>35887</v>
      </c>
      <c r="I237" s="40" t="s">
        <v>18</v>
      </c>
      <c r="J237" s="40" t="str">
        <f>HYPERLINK("https://stock.pstatic.net/stock-research/company/15/20260811_company_330159000.pdf","PDF")</f>
        <v>PDF</v>
      </c>
      <c r="K237" s="12" t="s">
        <v>35888</v>
      </c>
      <c r="L237" s="36">
        <v>0.46678170836928379</v>
      </c>
    </row>
    <row r="238" spans="1:12" x14ac:dyDescent="0.45">
      <c r="A238" s="12" t="s">
        <v>35415</v>
      </c>
      <c r="B238" s="12" t="s">
        <v>102</v>
      </c>
      <c r="C238" s="13" t="s">
        <v>103</v>
      </c>
      <c r="D238" s="13" t="s">
        <v>83</v>
      </c>
      <c r="E238" s="12" t="s">
        <v>35</v>
      </c>
      <c r="F238" s="14">
        <v>41000</v>
      </c>
      <c r="G238" s="14">
        <v>15510</v>
      </c>
      <c r="H238" s="13" t="s">
        <v>35889</v>
      </c>
      <c r="I238" s="40" t="s">
        <v>18</v>
      </c>
      <c r="J238" s="40" t="str">
        <f>HYPERLINK("https://stock.pstatic.net/stock-research/company/15/20260811_company_77075000.pdf","PDF")</f>
        <v>PDF</v>
      </c>
      <c r="K238" s="12" t="s">
        <v>35890</v>
      </c>
      <c r="L238" s="36">
        <v>1.6434558349451971</v>
      </c>
    </row>
    <row r="239" spans="1:12" x14ac:dyDescent="0.45">
      <c r="A239" s="12" t="s">
        <v>35415</v>
      </c>
      <c r="B239" s="12" t="s">
        <v>1540</v>
      </c>
      <c r="C239" s="13" t="s">
        <v>1541</v>
      </c>
      <c r="D239" s="13" t="s">
        <v>83</v>
      </c>
      <c r="E239" s="12" t="s">
        <v>35</v>
      </c>
      <c r="F239" s="14">
        <v>64000</v>
      </c>
      <c r="G239" s="14">
        <v>46100</v>
      </c>
      <c r="H239" s="13" t="s">
        <v>35891</v>
      </c>
      <c r="I239" s="40" t="s">
        <v>18</v>
      </c>
      <c r="J239" s="40" t="str">
        <f>HYPERLINK("https://stock.pstatic.net/stock-research/company/15/20260811_company_834221000.pdf","PDF")</f>
        <v>PDF</v>
      </c>
      <c r="K239" s="12" t="s">
        <v>35892</v>
      </c>
      <c r="L239" s="36">
        <v>0.38828633405639912</v>
      </c>
    </row>
    <row r="240" spans="1:12" x14ac:dyDescent="0.45">
      <c r="A240" s="12" t="s">
        <v>35415</v>
      </c>
      <c r="B240" s="12" t="s">
        <v>1212</v>
      </c>
      <c r="C240" s="13" t="s">
        <v>1213</v>
      </c>
      <c r="D240" s="13" t="s">
        <v>23</v>
      </c>
      <c r="E240" s="12" t="s">
        <v>50</v>
      </c>
      <c r="F240" s="13"/>
      <c r="G240" s="14">
        <v>26150</v>
      </c>
      <c r="H240" s="13" t="s">
        <v>35893</v>
      </c>
      <c r="I240" s="40" t="s">
        <v>18</v>
      </c>
      <c r="J240" s="40" t="str">
        <f>HYPERLINK("https://stock.pstatic.net/stock-research/company/21/20260811_company_398726000.pdf","PDF")</f>
        <v>PDF</v>
      </c>
      <c r="K240" s="12" t="s">
        <v>35894</v>
      </c>
      <c r="L240" s="12"/>
    </row>
    <row r="241" spans="1:12" x14ac:dyDescent="0.45">
      <c r="A241" s="12" t="s">
        <v>35415</v>
      </c>
      <c r="B241" s="12" t="s">
        <v>334</v>
      </c>
      <c r="C241" s="13" t="s">
        <v>335</v>
      </c>
      <c r="D241" s="13" t="s">
        <v>15</v>
      </c>
      <c r="E241" s="12" t="s">
        <v>16</v>
      </c>
      <c r="F241" s="14">
        <v>2800000</v>
      </c>
      <c r="G241" s="14">
        <v>1420000</v>
      </c>
      <c r="H241" s="13" t="s">
        <v>35895</v>
      </c>
      <c r="I241" s="40" t="s">
        <v>18</v>
      </c>
      <c r="J241" s="40" t="str">
        <f>HYPERLINK("https://stock.pstatic.net/stock-research/company/56/20260811_company_362199000.pdf","PDF")</f>
        <v>PDF</v>
      </c>
      <c r="K241" s="12" t="s">
        <v>35896</v>
      </c>
      <c r="L241" s="36">
        <v>0.971830985915493</v>
      </c>
    </row>
    <row r="242" spans="1:12" x14ac:dyDescent="0.45">
      <c r="A242" s="12" t="s">
        <v>35415</v>
      </c>
      <c r="B242" s="12" t="s">
        <v>13</v>
      </c>
      <c r="C242" s="13" t="s">
        <v>14</v>
      </c>
      <c r="D242" s="13" t="s">
        <v>15</v>
      </c>
      <c r="E242" s="12" t="s">
        <v>16</v>
      </c>
      <c r="F242" s="14">
        <v>370000</v>
      </c>
      <c r="G242" s="14">
        <v>230000</v>
      </c>
      <c r="H242" s="13" t="s">
        <v>35897</v>
      </c>
      <c r="I242" s="40" t="s">
        <v>18</v>
      </c>
      <c r="J242" s="40" t="str">
        <f>HYPERLINK("https://stock.pstatic.net/stock-research/company/56/20260811_company_224552000.pdf","PDF")</f>
        <v>PDF</v>
      </c>
      <c r="K242" s="12" t="s">
        <v>35898</v>
      </c>
      <c r="L242" s="36">
        <v>0.60869565217391308</v>
      </c>
    </row>
    <row r="243" spans="1:12" x14ac:dyDescent="0.45">
      <c r="A243" s="12" t="s">
        <v>35415</v>
      </c>
      <c r="B243" s="12" t="s">
        <v>1097</v>
      </c>
      <c r="C243" s="13" t="s">
        <v>1098</v>
      </c>
      <c r="D243" s="13" t="s">
        <v>92</v>
      </c>
      <c r="E243" s="12" t="s">
        <v>35</v>
      </c>
      <c r="F243" s="14">
        <v>210000</v>
      </c>
      <c r="G243" s="14">
        <v>151000</v>
      </c>
      <c r="H243" s="13" t="s">
        <v>35899</v>
      </c>
      <c r="I243" s="40" t="s">
        <v>18</v>
      </c>
      <c r="J243" s="40" t="str">
        <f>HYPERLINK("https://stock.pstatic.net/stock-research/company/63/20260811_company_429021000.pdf","PDF")</f>
        <v>PDF</v>
      </c>
      <c r="K243" s="12" t="s">
        <v>35900</v>
      </c>
      <c r="L243" s="36">
        <v>0.39072847682119211</v>
      </c>
    </row>
    <row r="244" spans="1:12" x14ac:dyDescent="0.45">
      <c r="A244" s="12" t="s">
        <v>35415</v>
      </c>
      <c r="B244" s="12" t="s">
        <v>1540</v>
      </c>
      <c r="C244" s="13" t="s">
        <v>1541</v>
      </c>
      <c r="D244" s="13" t="s">
        <v>92</v>
      </c>
      <c r="E244" s="12" t="s">
        <v>35</v>
      </c>
      <c r="F244" s="14">
        <v>55000</v>
      </c>
      <c r="G244" s="14">
        <v>46100</v>
      </c>
      <c r="H244" s="13" t="s">
        <v>35901</v>
      </c>
      <c r="I244" s="40" t="s">
        <v>18</v>
      </c>
      <c r="J244" s="40" t="str">
        <f>HYPERLINK("https://stock.pstatic.net/stock-research/company/63/20260811_company_782915000.pdf","PDF")</f>
        <v>PDF</v>
      </c>
      <c r="K244" s="12" t="s">
        <v>35902</v>
      </c>
      <c r="L244" s="36">
        <v>0.19305856832971799</v>
      </c>
    </row>
    <row r="245" spans="1:12" x14ac:dyDescent="0.45">
      <c r="A245" s="12" t="s">
        <v>35415</v>
      </c>
      <c r="B245" s="12" t="s">
        <v>2217</v>
      </c>
      <c r="C245" s="13" t="s">
        <v>2218</v>
      </c>
      <c r="D245" s="13" t="s">
        <v>92</v>
      </c>
      <c r="E245" s="12" t="s">
        <v>35</v>
      </c>
      <c r="F245" s="14">
        <v>120000</v>
      </c>
      <c r="G245" s="14">
        <v>72000</v>
      </c>
      <c r="H245" s="13" t="s">
        <v>35903</v>
      </c>
      <c r="I245" s="40" t="s">
        <v>18</v>
      </c>
      <c r="J245" s="40" t="str">
        <f>HYPERLINK("https://stock.pstatic.net/stock-research/company/63/20260811_company_184169000.pdf","PDF")</f>
        <v>PDF</v>
      </c>
      <c r="K245" s="12" t="s">
        <v>35904</v>
      </c>
      <c r="L245" s="36">
        <v>0.66666666666666663</v>
      </c>
    </row>
    <row r="246" spans="1:12" x14ac:dyDescent="0.45">
      <c r="A246" s="12" t="s">
        <v>35415</v>
      </c>
      <c r="B246" s="12" t="s">
        <v>1734</v>
      </c>
      <c r="C246" s="13" t="s">
        <v>1735</v>
      </c>
      <c r="D246" s="13" t="s">
        <v>92</v>
      </c>
      <c r="E246" s="12" t="s">
        <v>35</v>
      </c>
      <c r="F246" s="14">
        <v>59000</v>
      </c>
      <c r="G246" s="14">
        <v>35700</v>
      </c>
      <c r="H246" s="13" t="s">
        <v>35905</v>
      </c>
      <c r="I246" s="40" t="s">
        <v>18</v>
      </c>
      <c r="J246" s="40" t="str">
        <f>HYPERLINK("https://stock.pstatic.net/stock-research/company/63/20260811_company_889659000.pdf","PDF")</f>
        <v>PDF</v>
      </c>
      <c r="K246" s="12" t="s">
        <v>35906</v>
      </c>
      <c r="L246" s="36">
        <v>0.65266106442577032</v>
      </c>
    </row>
    <row r="247" spans="1:12" x14ac:dyDescent="0.45">
      <c r="A247" s="12" t="s">
        <v>35415</v>
      </c>
      <c r="B247" s="12" t="s">
        <v>2308</v>
      </c>
      <c r="C247" s="13" t="s">
        <v>2309</v>
      </c>
      <c r="D247" s="13" t="s">
        <v>23</v>
      </c>
      <c r="E247" s="12" t="s">
        <v>16</v>
      </c>
      <c r="F247" s="14">
        <v>23000</v>
      </c>
      <c r="G247" s="14">
        <v>15220</v>
      </c>
      <c r="H247" s="13" t="s">
        <v>35907</v>
      </c>
      <c r="I247" s="40" t="s">
        <v>18</v>
      </c>
      <c r="J247" s="40" t="str">
        <f>HYPERLINK("https://stock.pstatic.net/stock-research/company/21/20260811_company_215567000.pdf","PDF")</f>
        <v>PDF</v>
      </c>
      <c r="K247" s="12" t="s">
        <v>35908</v>
      </c>
      <c r="L247" s="36">
        <v>0.51116951379763464</v>
      </c>
    </row>
    <row r="248" spans="1:12" x14ac:dyDescent="0.45">
      <c r="A248" s="12" t="s">
        <v>35415</v>
      </c>
      <c r="B248" s="12" t="s">
        <v>2933</v>
      </c>
      <c r="C248" s="13" t="s">
        <v>2934</v>
      </c>
      <c r="D248" s="13" t="s">
        <v>23</v>
      </c>
      <c r="E248" s="12" t="s">
        <v>16</v>
      </c>
      <c r="F248" s="14">
        <v>310000</v>
      </c>
      <c r="G248" s="14">
        <v>183800</v>
      </c>
      <c r="H248" s="13" t="s">
        <v>35909</v>
      </c>
      <c r="I248" s="40" t="s">
        <v>18</v>
      </c>
      <c r="J248" s="40" t="str">
        <f>HYPERLINK("https://stock.pstatic.net/stock-research/company/21/20260811_company_816130000.pdf","PDF")</f>
        <v>PDF</v>
      </c>
      <c r="K248" s="12" t="s">
        <v>35910</v>
      </c>
      <c r="L248" s="36">
        <v>0.68661588683351471</v>
      </c>
    </row>
    <row r="249" spans="1:12" x14ac:dyDescent="0.45">
      <c r="A249" s="12" t="s">
        <v>35415</v>
      </c>
      <c r="B249" s="12" t="s">
        <v>1540</v>
      </c>
      <c r="C249" s="13" t="s">
        <v>1541</v>
      </c>
      <c r="D249" s="13" t="s">
        <v>23</v>
      </c>
      <c r="E249" s="12" t="s">
        <v>16</v>
      </c>
      <c r="F249" s="14">
        <v>75000</v>
      </c>
      <c r="G249" s="14">
        <v>46100</v>
      </c>
      <c r="H249" s="13" t="s">
        <v>35911</v>
      </c>
      <c r="I249" s="40" t="s">
        <v>18</v>
      </c>
      <c r="J249" s="40" t="str">
        <f>HYPERLINK("https://stock.pstatic.net/stock-research/company/21/20260811_company_151219000.pdf","PDF")</f>
        <v>PDF</v>
      </c>
      <c r="K249" s="12" t="s">
        <v>35912</v>
      </c>
      <c r="L249" s="36">
        <v>0.6268980477223427</v>
      </c>
    </row>
    <row r="250" spans="1:12" x14ac:dyDescent="0.45">
      <c r="A250" s="12" t="s">
        <v>35415</v>
      </c>
      <c r="B250" s="12" t="s">
        <v>1120</v>
      </c>
      <c r="C250" s="13" t="s">
        <v>1121</v>
      </c>
      <c r="D250" s="13" t="s">
        <v>23</v>
      </c>
      <c r="E250" s="12" t="s">
        <v>16</v>
      </c>
      <c r="F250" s="14">
        <v>160000</v>
      </c>
      <c r="G250" s="14">
        <v>137500</v>
      </c>
      <c r="H250" s="13" t="s">
        <v>35913</v>
      </c>
      <c r="I250" s="40" t="s">
        <v>18</v>
      </c>
      <c r="J250" s="40" t="str">
        <f>HYPERLINK("https://stock.pstatic.net/stock-research/company/21/20260811_company_994210000.pdf","PDF")</f>
        <v>PDF</v>
      </c>
      <c r="K250" s="12" t="s">
        <v>35914</v>
      </c>
      <c r="L250" s="36">
        <v>0.16363636363636361</v>
      </c>
    </row>
    <row r="251" spans="1:12" x14ac:dyDescent="0.45">
      <c r="A251" s="12" t="s">
        <v>35415</v>
      </c>
      <c r="B251" s="12" t="s">
        <v>110</v>
      </c>
      <c r="C251" s="13" t="s">
        <v>111</v>
      </c>
      <c r="D251" s="13" t="s">
        <v>34</v>
      </c>
      <c r="E251" s="12" t="s">
        <v>35</v>
      </c>
      <c r="F251" s="14">
        <v>185000</v>
      </c>
      <c r="G251" s="14">
        <v>110000</v>
      </c>
      <c r="H251" s="13" t="s">
        <v>35915</v>
      </c>
      <c r="I251" s="40" t="s">
        <v>18</v>
      </c>
      <c r="J251" s="40" t="str">
        <f>HYPERLINK("https://stock.pstatic.net/stock-research/company/61/20260811_company_248427000.pdf","PDF")</f>
        <v>PDF</v>
      </c>
      <c r="K251" s="12" t="s">
        <v>35916</v>
      </c>
      <c r="L251" s="36">
        <v>0.68181818181818177</v>
      </c>
    </row>
    <row r="252" spans="1:12" x14ac:dyDescent="0.45">
      <c r="A252" s="12" t="s">
        <v>35415</v>
      </c>
      <c r="B252" s="12" t="s">
        <v>1648</v>
      </c>
      <c r="C252" s="13" t="s">
        <v>1649</v>
      </c>
      <c r="D252" s="13" t="s">
        <v>34</v>
      </c>
      <c r="E252" s="12" t="s">
        <v>35</v>
      </c>
      <c r="F252" s="14">
        <v>120000</v>
      </c>
      <c r="G252" s="14">
        <v>76300</v>
      </c>
      <c r="H252" s="13" t="s">
        <v>35416</v>
      </c>
      <c r="I252" s="40" t="s">
        <v>18</v>
      </c>
      <c r="J252" s="40" t="str">
        <f>HYPERLINK("https://stock.pstatic.net/stock-research/company/61/20260811_company_708700000.pdf","PDF")</f>
        <v>PDF</v>
      </c>
      <c r="K252" s="12" t="s">
        <v>35417</v>
      </c>
      <c r="L252" s="36">
        <v>0.57273918741808649</v>
      </c>
    </row>
    <row r="253" spans="1:12" x14ac:dyDescent="0.45">
      <c r="A253" s="12" t="s">
        <v>35415</v>
      </c>
      <c r="B253" s="12" t="s">
        <v>2217</v>
      </c>
      <c r="C253" s="13" t="s">
        <v>2218</v>
      </c>
      <c r="D253" s="13" t="s">
        <v>34</v>
      </c>
      <c r="E253" s="12" t="s">
        <v>35</v>
      </c>
      <c r="F253" s="14">
        <v>135000</v>
      </c>
      <c r="G253" s="14">
        <v>72000</v>
      </c>
      <c r="H253" s="13" t="s">
        <v>35418</v>
      </c>
      <c r="I253" s="40" t="s">
        <v>18</v>
      </c>
      <c r="J253" s="40" t="str">
        <f>HYPERLINK("https://stock.pstatic.net/stock-research/company/61/20260811_company_728123000.pdf","PDF")</f>
        <v>PDF</v>
      </c>
      <c r="K253" s="12" t="s">
        <v>35419</v>
      </c>
      <c r="L253" s="36">
        <v>0.875</v>
      </c>
    </row>
    <row r="254" spans="1:12" x14ac:dyDescent="0.45">
      <c r="A254" s="12" t="s">
        <v>35415</v>
      </c>
      <c r="B254" s="12" t="s">
        <v>489</v>
      </c>
      <c r="C254" s="13" t="s">
        <v>490</v>
      </c>
      <c r="D254" s="13" t="s">
        <v>23</v>
      </c>
      <c r="E254" s="12" t="s">
        <v>16</v>
      </c>
      <c r="F254" s="14">
        <v>90000</v>
      </c>
      <c r="G254" s="14">
        <v>56300</v>
      </c>
      <c r="H254" s="13" t="s">
        <v>15561</v>
      </c>
      <c r="I254" s="40" t="s">
        <v>18</v>
      </c>
      <c r="J254" s="40" t="str">
        <f>HYPERLINK("https://stock.pstatic.net/stock-research/company/21/20260811_company_698889000.pdf","PDF")</f>
        <v>PDF</v>
      </c>
      <c r="K254" s="12" t="s">
        <v>35420</v>
      </c>
      <c r="L254" s="36">
        <v>0.59857904085257552</v>
      </c>
    </row>
    <row r="255" spans="1:12" x14ac:dyDescent="0.45">
      <c r="A255" s="12" t="s">
        <v>35415</v>
      </c>
      <c r="B255" s="12" t="s">
        <v>1216</v>
      </c>
      <c r="C255" s="13" t="s">
        <v>1217</v>
      </c>
      <c r="D255" s="13" t="s">
        <v>23</v>
      </c>
      <c r="E255" s="12" t="s">
        <v>16</v>
      </c>
      <c r="F255" s="14">
        <v>35000</v>
      </c>
      <c r="G255" s="14">
        <v>22450</v>
      </c>
      <c r="H255" s="13" t="s">
        <v>35421</v>
      </c>
      <c r="I255" s="40" t="s">
        <v>18</v>
      </c>
      <c r="J255" s="40" t="str">
        <f>HYPERLINK("https://stock.pstatic.net/stock-research/company/21/20260811_company_856108000.pdf","PDF")</f>
        <v>PDF</v>
      </c>
      <c r="K255" s="12" t="s">
        <v>35422</v>
      </c>
      <c r="L255" s="36">
        <v>0.55902004454342979</v>
      </c>
    </row>
    <row r="256" spans="1:12" x14ac:dyDescent="0.45">
      <c r="A256" s="12" t="s">
        <v>35415</v>
      </c>
      <c r="B256" s="12" t="s">
        <v>1936</v>
      </c>
      <c r="C256" s="13" t="s">
        <v>1937</v>
      </c>
      <c r="D256" s="13" t="s">
        <v>44</v>
      </c>
      <c r="E256" s="12" t="s">
        <v>35</v>
      </c>
      <c r="F256" s="14">
        <v>10500</v>
      </c>
      <c r="G256" s="14">
        <v>6490</v>
      </c>
      <c r="H256" s="13" t="s">
        <v>35423</v>
      </c>
      <c r="I256" s="40" t="s">
        <v>18</v>
      </c>
      <c r="J256" s="40" t="str">
        <f>HYPERLINK("https://stock.pstatic.net/stock-research/company/39/20260811_company_985462000.pdf","PDF")</f>
        <v>PDF</v>
      </c>
      <c r="K256" s="12" t="s">
        <v>35424</v>
      </c>
      <c r="L256" s="36">
        <v>0.61787365177195686</v>
      </c>
    </row>
    <row r="257" spans="1:12" x14ac:dyDescent="0.45">
      <c r="A257" s="12" t="s">
        <v>35415</v>
      </c>
      <c r="B257" s="12" t="s">
        <v>1278</v>
      </c>
      <c r="C257" s="13" t="s">
        <v>1279</v>
      </c>
      <c r="D257" s="13" t="s">
        <v>44</v>
      </c>
      <c r="E257" s="12" t="s">
        <v>35</v>
      </c>
      <c r="F257" s="14">
        <v>310000</v>
      </c>
      <c r="G257" s="14">
        <v>193900</v>
      </c>
      <c r="H257" s="13" t="s">
        <v>35425</v>
      </c>
      <c r="I257" s="40" t="s">
        <v>18</v>
      </c>
      <c r="J257" s="40" t="str">
        <f>HYPERLINK("https://stock.pstatic.net/stock-research/company/39/20260811_company_909105000.pdf","PDF")</f>
        <v>PDF</v>
      </c>
      <c r="K257" s="12" t="s">
        <v>35426</v>
      </c>
      <c r="L257" s="36">
        <v>0.59876224858174321</v>
      </c>
    </row>
    <row r="258" spans="1:12" x14ac:dyDescent="0.45">
      <c r="A258" s="12" t="s">
        <v>35415</v>
      </c>
      <c r="B258" s="12" t="s">
        <v>6515</v>
      </c>
      <c r="C258" s="13" t="s">
        <v>6516</v>
      </c>
      <c r="D258" s="13" t="s">
        <v>44</v>
      </c>
      <c r="E258" s="12" t="s">
        <v>50</v>
      </c>
      <c r="F258" s="13"/>
      <c r="G258" s="14">
        <v>10000</v>
      </c>
      <c r="H258" s="13" t="s">
        <v>35427</v>
      </c>
      <c r="I258" s="40" t="s">
        <v>18</v>
      </c>
      <c r="J258" s="40" t="str">
        <f>HYPERLINK("https://stock.pstatic.net/stock-research/company/39/20260811_company_683043000.pdf","PDF")</f>
        <v>PDF</v>
      </c>
      <c r="K258" s="12" t="s">
        <v>35428</v>
      </c>
      <c r="L258" s="12"/>
    </row>
    <row r="259" spans="1:12" x14ac:dyDescent="0.45">
      <c r="A259" s="12" t="s">
        <v>35415</v>
      </c>
      <c r="B259" s="12" t="s">
        <v>17845</v>
      </c>
      <c r="C259" s="13" t="s">
        <v>17846</v>
      </c>
      <c r="D259" s="13" t="s">
        <v>124</v>
      </c>
      <c r="E259" s="12" t="s">
        <v>50</v>
      </c>
      <c r="F259" s="13"/>
      <c r="G259" s="13"/>
      <c r="H259" s="13" t="s">
        <v>35429</v>
      </c>
      <c r="I259" s="40" t="s">
        <v>18</v>
      </c>
      <c r="J259" s="40" t="str">
        <f>HYPERLINK("https://stock.pstatic.net/stock-research/company/74/20260811_company_173520000.pdf","PDF")</f>
        <v>PDF</v>
      </c>
      <c r="K259" s="12" t="s">
        <v>35430</v>
      </c>
      <c r="L259" s="12"/>
    </row>
    <row r="260" spans="1:12" x14ac:dyDescent="0.45">
      <c r="A260" s="12" t="s">
        <v>35415</v>
      </c>
      <c r="B260" s="12" t="s">
        <v>344</v>
      </c>
      <c r="C260" s="13" t="s">
        <v>345</v>
      </c>
      <c r="D260" s="13" t="s">
        <v>124</v>
      </c>
      <c r="E260" s="12" t="s">
        <v>50</v>
      </c>
      <c r="F260" s="13"/>
      <c r="G260" s="13"/>
      <c r="H260" s="13" t="s">
        <v>35431</v>
      </c>
      <c r="I260" s="40" t="s">
        <v>18</v>
      </c>
      <c r="J260" s="40" t="str">
        <f>HYPERLINK("https://stock.pstatic.net/stock-research/company/74/20260811_company_87961000.pdf","PDF")</f>
        <v>PDF</v>
      </c>
      <c r="K260" s="12" t="s">
        <v>35432</v>
      </c>
      <c r="L260" s="12"/>
    </row>
    <row r="261" spans="1:12" x14ac:dyDescent="0.45">
      <c r="A261" s="12" t="s">
        <v>35415</v>
      </c>
      <c r="B261" s="12" t="s">
        <v>1184</v>
      </c>
      <c r="C261" s="13" t="s">
        <v>1185</v>
      </c>
      <c r="D261" s="13" t="s">
        <v>53</v>
      </c>
      <c r="E261" s="12" t="s">
        <v>16</v>
      </c>
      <c r="F261" s="14">
        <v>35000</v>
      </c>
      <c r="G261" s="14">
        <v>28400</v>
      </c>
      <c r="H261" s="13" t="s">
        <v>35433</v>
      </c>
      <c r="I261" s="40" t="s">
        <v>18</v>
      </c>
      <c r="J261" s="40" t="str">
        <f>HYPERLINK("https://stock.pstatic.net/stock-research/company/40/20260811_company_186312000.pdf","PDF")</f>
        <v>PDF</v>
      </c>
      <c r="K261" s="12" t="s">
        <v>35434</v>
      </c>
      <c r="L261" s="36">
        <v>0.23239436619718309</v>
      </c>
    </row>
    <row r="262" spans="1:12" x14ac:dyDescent="0.45">
      <c r="A262" s="12" t="s">
        <v>35415</v>
      </c>
      <c r="B262" s="12" t="s">
        <v>1562</v>
      </c>
      <c r="C262" s="13" t="s">
        <v>34563</v>
      </c>
      <c r="D262" s="13" t="s">
        <v>53</v>
      </c>
      <c r="E262" s="12" t="s">
        <v>16</v>
      </c>
      <c r="F262" s="14">
        <v>33000</v>
      </c>
      <c r="G262" s="14">
        <v>19000</v>
      </c>
      <c r="H262" s="13" t="s">
        <v>35435</v>
      </c>
      <c r="I262" s="40" t="s">
        <v>18</v>
      </c>
      <c r="J262" s="40" t="str">
        <f>HYPERLINK("https://stock.pstatic.net/stock-research/company/40/20260811_company_299088000.pdf","PDF")</f>
        <v>PDF</v>
      </c>
      <c r="K262" s="12" t="s">
        <v>35436</v>
      </c>
      <c r="L262" s="36">
        <v>0.73684210526315785</v>
      </c>
    </row>
    <row r="263" spans="1:12" x14ac:dyDescent="0.45">
      <c r="A263" s="12" t="s">
        <v>35415</v>
      </c>
      <c r="B263" s="12" t="s">
        <v>1666</v>
      </c>
      <c r="C263" s="13" t="s">
        <v>1667</v>
      </c>
      <c r="D263" s="13" t="s">
        <v>53</v>
      </c>
      <c r="E263" s="12" t="s">
        <v>16</v>
      </c>
      <c r="F263" s="14">
        <v>58000</v>
      </c>
      <c r="G263" s="14">
        <v>40250</v>
      </c>
      <c r="H263" s="13" t="s">
        <v>35437</v>
      </c>
      <c r="I263" s="40" t="s">
        <v>18</v>
      </c>
      <c r="J263" s="40" t="str">
        <f>HYPERLINK("https://stock.pstatic.net/stock-research/company/40/20260811_company_738609000.pdf","PDF")</f>
        <v>PDF</v>
      </c>
      <c r="K263" s="12" t="s">
        <v>35438</v>
      </c>
      <c r="L263" s="36">
        <v>0.44099378881987578</v>
      </c>
    </row>
    <row r="264" spans="1:12" x14ac:dyDescent="0.45">
      <c r="A264" s="12" t="s">
        <v>35439</v>
      </c>
      <c r="B264" s="12" t="s">
        <v>1652</v>
      </c>
      <c r="C264" s="13" t="s">
        <v>1653</v>
      </c>
      <c r="D264" s="13" t="s">
        <v>60</v>
      </c>
      <c r="E264" s="12" t="s">
        <v>35</v>
      </c>
      <c r="F264" s="14">
        <v>77000</v>
      </c>
      <c r="G264" s="14">
        <v>43850</v>
      </c>
      <c r="H264" s="13" t="s">
        <v>35440</v>
      </c>
      <c r="I264" s="40" t="s">
        <v>18</v>
      </c>
      <c r="J264" s="40" t="str">
        <f>HYPERLINK("https://stock.pstatic.net/stock-research/company/62/20260810_company_160874000.pdf","PDF")</f>
        <v>PDF</v>
      </c>
      <c r="K264" s="12" t="s">
        <v>35441</v>
      </c>
      <c r="L264" s="36">
        <v>0.75598631698973773</v>
      </c>
    </row>
    <row r="265" spans="1:12" x14ac:dyDescent="0.45">
      <c r="A265" s="12" t="s">
        <v>35439</v>
      </c>
      <c r="B265" s="12" t="s">
        <v>1184</v>
      </c>
      <c r="C265" s="13" t="s">
        <v>1185</v>
      </c>
      <c r="D265" s="13" t="s">
        <v>60</v>
      </c>
      <c r="E265" s="12" t="s">
        <v>35</v>
      </c>
      <c r="F265" s="14">
        <v>36000</v>
      </c>
      <c r="G265" s="14">
        <v>28350</v>
      </c>
      <c r="H265" s="13" t="s">
        <v>35442</v>
      </c>
      <c r="I265" s="40" t="s">
        <v>18</v>
      </c>
      <c r="J265" s="40" t="str">
        <f>HYPERLINK("https://stock.pstatic.net/stock-research/company/62/20260810_company_689559000.pdf","PDF")</f>
        <v>PDF</v>
      </c>
      <c r="K265" s="12" t="s">
        <v>35443</v>
      </c>
      <c r="L265" s="36">
        <v>0.26984126984126983</v>
      </c>
    </row>
    <row r="266" spans="1:12" x14ac:dyDescent="0.45">
      <c r="A266" s="12" t="s">
        <v>35439</v>
      </c>
      <c r="B266" s="12" t="s">
        <v>27</v>
      </c>
      <c r="C266" s="13" t="s">
        <v>28</v>
      </c>
      <c r="D266" s="13" t="s">
        <v>60</v>
      </c>
      <c r="E266" s="12" t="s">
        <v>35</v>
      </c>
      <c r="F266" s="14">
        <v>150000</v>
      </c>
      <c r="G266" s="14">
        <v>99700</v>
      </c>
      <c r="H266" s="13" t="s">
        <v>35444</v>
      </c>
      <c r="I266" s="40" t="s">
        <v>18</v>
      </c>
      <c r="J266" s="40" t="str">
        <f>HYPERLINK("https://stock.pstatic.net/stock-research/company/62/20260810_company_354456000.pdf","PDF")</f>
        <v>PDF</v>
      </c>
      <c r="K266" s="12" t="s">
        <v>35445</v>
      </c>
      <c r="L266" s="36">
        <v>0.5045135406218656</v>
      </c>
    </row>
    <row r="267" spans="1:12" x14ac:dyDescent="0.45">
      <c r="A267" s="12" t="s">
        <v>35439</v>
      </c>
      <c r="B267" s="12" t="s">
        <v>2933</v>
      </c>
      <c r="C267" s="13" t="s">
        <v>2934</v>
      </c>
      <c r="D267" s="13" t="s">
        <v>60</v>
      </c>
      <c r="E267" s="12" t="s">
        <v>35</v>
      </c>
      <c r="F267" s="14">
        <v>250000</v>
      </c>
      <c r="G267" s="14">
        <v>157300</v>
      </c>
      <c r="H267" s="13" t="s">
        <v>35446</v>
      </c>
      <c r="I267" s="40" t="s">
        <v>18</v>
      </c>
      <c r="J267" s="40" t="str">
        <f>HYPERLINK("https://stock.pstatic.net/stock-research/company/62/20260810_company_848239000.pdf","PDF")</f>
        <v>PDF</v>
      </c>
      <c r="K267" s="12" t="s">
        <v>35447</v>
      </c>
      <c r="L267" s="36">
        <v>0.58931977113795297</v>
      </c>
    </row>
    <row r="268" spans="1:12" x14ac:dyDescent="0.45">
      <c r="A268" s="12" t="s">
        <v>35439</v>
      </c>
      <c r="B268" s="12" t="s">
        <v>132</v>
      </c>
      <c r="C268" s="13" t="s">
        <v>133</v>
      </c>
      <c r="D268" s="13" t="s">
        <v>60</v>
      </c>
      <c r="E268" s="12" t="s">
        <v>35</v>
      </c>
      <c r="F268" s="14">
        <v>160000</v>
      </c>
      <c r="G268" s="14">
        <v>101800</v>
      </c>
      <c r="H268" s="13" t="s">
        <v>35448</v>
      </c>
      <c r="I268" s="40" t="s">
        <v>18</v>
      </c>
      <c r="J268" s="40" t="str">
        <f>HYPERLINK("https://stock.pstatic.net/stock-research/company/62/20260810_company_995153000.pdf","PDF")</f>
        <v>PDF</v>
      </c>
      <c r="K268" s="12" t="s">
        <v>35449</v>
      </c>
      <c r="L268" s="36">
        <v>0.57170923379174854</v>
      </c>
    </row>
    <row r="269" spans="1:12" x14ac:dyDescent="0.45">
      <c r="A269" s="12" t="s">
        <v>35439</v>
      </c>
      <c r="B269" s="12" t="s">
        <v>272</v>
      </c>
      <c r="C269" s="13" t="s">
        <v>273</v>
      </c>
      <c r="D269" s="13" t="s">
        <v>60</v>
      </c>
      <c r="E269" s="12" t="s">
        <v>35</v>
      </c>
      <c r="F269" s="14">
        <v>530000</v>
      </c>
      <c r="G269" s="14">
        <v>378500</v>
      </c>
      <c r="H269" s="13" t="s">
        <v>35450</v>
      </c>
      <c r="I269" s="40" t="s">
        <v>18</v>
      </c>
      <c r="J269" s="40" t="str">
        <f>HYPERLINK("https://stock.pstatic.net/stock-research/company/62/20260810_company_650332000.pdf","PDF")</f>
        <v>PDF</v>
      </c>
      <c r="K269" s="12" t="s">
        <v>35451</v>
      </c>
      <c r="L269" s="36">
        <v>0.40026420079260239</v>
      </c>
    </row>
    <row r="270" spans="1:12" x14ac:dyDescent="0.45">
      <c r="A270" s="12" t="s">
        <v>35439</v>
      </c>
      <c r="B270" s="12" t="s">
        <v>370</v>
      </c>
      <c r="C270" s="13" t="s">
        <v>371</v>
      </c>
      <c r="D270" s="13" t="s">
        <v>60</v>
      </c>
      <c r="E270" s="12" t="s">
        <v>35</v>
      </c>
      <c r="F270" s="14">
        <v>60000</v>
      </c>
      <c r="G270" s="14">
        <v>41550</v>
      </c>
      <c r="H270" s="13" t="s">
        <v>35452</v>
      </c>
      <c r="I270" s="40" t="s">
        <v>18</v>
      </c>
      <c r="J270" s="40" t="str">
        <f>HYPERLINK("https://stock.pstatic.net/stock-research/company/62/20260810_company_752114000.pdf","PDF")</f>
        <v>PDF</v>
      </c>
      <c r="K270" s="12" t="s">
        <v>35453</v>
      </c>
      <c r="L270" s="36">
        <v>0.44404332129963903</v>
      </c>
    </row>
    <row r="271" spans="1:12" x14ac:dyDescent="0.45">
      <c r="A271" s="12" t="s">
        <v>35439</v>
      </c>
      <c r="B271" s="12" t="s">
        <v>2613</v>
      </c>
      <c r="C271" s="13" t="s">
        <v>2614</v>
      </c>
      <c r="D271" s="13" t="s">
        <v>60</v>
      </c>
      <c r="E271" s="12" t="s">
        <v>35</v>
      </c>
      <c r="F271" s="14">
        <v>350000</v>
      </c>
      <c r="G271" s="14">
        <v>273500</v>
      </c>
      <c r="H271" s="13" t="s">
        <v>35454</v>
      </c>
      <c r="I271" s="40" t="s">
        <v>18</v>
      </c>
      <c r="J271" s="40" t="str">
        <f>HYPERLINK("https://stock.pstatic.net/stock-research/company/62/20260810_company_346109000.pdf","PDF")</f>
        <v>PDF</v>
      </c>
      <c r="K271" s="12" t="s">
        <v>35455</v>
      </c>
      <c r="L271" s="36">
        <v>0.27970749542961609</v>
      </c>
    </row>
    <row r="272" spans="1:12" x14ac:dyDescent="0.45">
      <c r="A272" s="12" t="s">
        <v>35439</v>
      </c>
      <c r="B272" s="12" t="s">
        <v>2187</v>
      </c>
      <c r="C272" s="13" t="s">
        <v>2188</v>
      </c>
      <c r="D272" s="13" t="s">
        <v>276</v>
      </c>
      <c r="E272" s="12" t="s">
        <v>16</v>
      </c>
      <c r="F272" s="14">
        <v>170000</v>
      </c>
      <c r="G272" s="14">
        <v>116900</v>
      </c>
      <c r="H272" s="13" t="s">
        <v>35456</v>
      </c>
      <c r="I272" s="40" t="s">
        <v>18</v>
      </c>
      <c r="J272" s="40" t="str">
        <f>HYPERLINK("https://stock.pstatic.net/stock-research/company/66/20260810_company_409882000.pdf","PDF")</f>
        <v>PDF</v>
      </c>
      <c r="K272" s="12" t="s">
        <v>35457</v>
      </c>
      <c r="L272" s="36">
        <v>0.4542343883661249</v>
      </c>
    </row>
    <row r="273" spans="1:12" x14ac:dyDescent="0.45">
      <c r="A273" s="12" t="s">
        <v>35439</v>
      </c>
      <c r="B273" s="12" t="s">
        <v>2187</v>
      </c>
      <c r="C273" s="13" t="s">
        <v>2188</v>
      </c>
      <c r="D273" s="13" t="s">
        <v>60</v>
      </c>
      <c r="E273" s="12" t="s">
        <v>35</v>
      </c>
      <c r="F273" s="14">
        <v>175000</v>
      </c>
      <c r="G273" s="14">
        <v>116900</v>
      </c>
      <c r="H273" s="13" t="s">
        <v>35458</v>
      </c>
      <c r="I273" s="40" t="s">
        <v>18</v>
      </c>
      <c r="J273" s="40" t="str">
        <f>HYPERLINK("https://stock.pstatic.net/stock-research/company/62/20260810_company_279449000.pdf","PDF")</f>
        <v>PDF</v>
      </c>
      <c r="K273" s="12" t="s">
        <v>35459</v>
      </c>
      <c r="L273" s="36">
        <v>0.49700598802395213</v>
      </c>
    </row>
    <row r="274" spans="1:12" x14ac:dyDescent="0.45">
      <c r="A274" s="12" t="s">
        <v>35439</v>
      </c>
      <c r="B274" s="12" t="s">
        <v>42</v>
      </c>
      <c r="C274" s="13" t="s">
        <v>43</v>
      </c>
      <c r="D274" s="13" t="s">
        <v>60</v>
      </c>
      <c r="E274" s="12" t="s">
        <v>35</v>
      </c>
      <c r="F274" s="14">
        <v>390000</v>
      </c>
      <c r="G274" s="14">
        <v>210000</v>
      </c>
      <c r="H274" s="13" t="s">
        <v>35460</v>
      </c>
      <c r="I274" s="40" t="s">
        <v>18</v>
      </c>
      <c r="J274" s="40" t="str">
        <f>HYPERLINK("https://stock.pstatic.net/stock-research/company/62/20260810_company_482159000.pdf","PDF")</f>
        <v>PDF</v>
      </c>
      <c r="K274" s="12" t="s">
        <v>35461</v>
      </c>
      <c r="L274" s="36">
        <v>0.8571428571428571</v>
      </c>
    </row>
    <row r="275" spans="1:12" x14ac:dyDescent="0.45">
      <c r="A275" s="12" t="s">
        <v>35439</v>
      </c>
      <c r="B275" s="12" t="s">
        <v>370</v>
      </c>
      <c r="C275" s="13" t="s">
        <v>371</v>
      </c>
      <c r="D275" s="13" t="s">
        <v>276</v>
      </c>
      <c r="E275" s="12" t="s">
        <v>16</v>
      </c>
      <c r="F275" s="14">
        <v>60000</v>
      </c>
      <c r="G275" s="14">
        <v>41550</v>
      </c>
      <c r="H275" s="13" t="s">
        <v>35462</v>
      </c>
      <c r="I275" s="40" t="s">
        <v>18</v>
      </c>
      <c r="J275" s="40" t="str">
        <f>HYPERLINK("https://stock.pstatic.net/stock-research/company/66/20260810_company_251706000.pdf","PDF")</f>
        <v>PDF</v>
      </c>
      <c r="K275" s="12" t="s">
        <v>35463</v>
      </c>
      <c r="L275" s="36">
        <v>0.44404332129963903</v>
      </c>
    </row>
    <row r="276" spans="1:12" x14ac:dyDescent="0.45">
      <c r="A276" s="12" t="s">
        <v>35439</v>
      </c>
      <c r="B276" s="12" t="s">
        <v>3978</v>
      </c>
      <c r="C276" s="13" t="s">
        <v>3979</v>
      </c>
      <c r="D276" s="13" t="s">
        <v>65</v>
      </c>
      <c r="E276" s="12" t="s">
        <v>35</v>
      </c>
      <c r="F276" s="14">
        <v>65000</v>
      </c>
      <c r="G276" s="14">
        <v>32850</v>
      </c>
      <c r="H276" s="13" t="s">
        <v>35464</v>
      </c>
      <c r="I276" s="40" t="s">
        <v>18</v>
      </c>
      <c r="J276" s="40" t="str">
        <f>HYPERLINK("https://stock.pstatic.net/stock-research/company/57/20260810_company_786070000.pdf","PDF")</f>
        <v>PDF</v>
      </c>
      <c r="K276" s="12" t="s">
        <v>35465</v>
      </c>
      <c r="L276" s="36">
        <v>0.9786910197869102</v>
      </c>
    </row>
    <row r="277" spans="1:12" x14ac:dyDescent="0.45">
      <c r="A277" s="12" t="s">
        <v>35439</v>
      </c>
      <c r="B277" s="12" t="s">
        <v>2449</v>
      </c>
      <c r="C277" s="13" t="s">
        <v>2450</v>
      </c>
      <c r="D277" s="13" t="s">
        <v>276</v>
      </c>
      <c r="E277" s="12" t="s">
        <v>16</v>
      </c>
      <c r="F277" s="14">
        <v>12000</v>
      </c>
      <c r="G277" s="14">
        <v>8630</v>
      </c>
      <c r="H277" s="13" t="s">
        <v>35466</v>
      </c>
      <c r="I277" s="40" t="s">
        <v>18</v>
      </c>
      <c r="J277" s="40" t="str">
        <f>HYPERLINK("https://stock.pstatic.net/stock-research/company/66/20260810_company_909603000.pdf","PDF")</f>
        <v>PDF</v>
      </c>
      <c r="K277" s="12" t="s">
        <v>35467</v>
      </c>
      <c r="L277" s="36">
        <v>0.39049826187717268</v>
      </c>
    </row>
    <row r="278" spans="1:12" x14ac:dyDescent="0.45">
      <c r="A278" s="12" t="s">
        <v>35439</v>
      </c>
      <c r="B278" s="12" t="s">
        <v>1548</v>
      </c>
      <c r="C278" s="13" t="s">
        <v>1549</v>
      </c>
      <c r="D278" s="13" t="s">
        <v>65</v>
      </c>
      <c r="E278" s="12" t="s">
        <v>35</v>
      </c>
      <c r="F278" s="14">
        <v>1860000</v>
      </c>
      <c r="G278" s="14">
        <v>1037000</v>
      </c>
      <c r="H278" s="13" t="s">
        <v>35468</v>
      </c>
      <c r="I278" s="40" t="s">
        <v>18</v>
      </c>
      <c r="J278" s="40" t="str">
        <f>HYPERLINK("https://stock.pstatic.net/stock-research/company/57/20260810_company_141836000.pdf","PDF")</f>
        <v>PDF</v>
      </c>
      <c r="K278" s="12" t="s">
        <v>35469</v>
      </c>
      <c r="L278" s="36">
        <v>0.79363548698167796</v>
      </c>
    </row>
    <row r="279" spans="1:12" x14ac:dyDescent="0.45">
      <c r="A279" s="12" t="s">
        <v>35439</v>
      </c>
      <c r="B279" s="12" t="s">
        <v>42</v>
      </c>
      <c r="C279" s="13" t="s">
        <v>43</v>
      </c>
      <c r="D279" s="13" t="s">
        <v>65</v>
      </c>
      <c r="E279" s="12" t="s">
        <v>35</v>
      </c>
      <c r="F279" s="14">
        <v>400000</v>
      </c>
      <c r="G279" s="14">
        <v>210000</v>
      </c>
      <c r="H279" s="13" t="s">
        <v>35470</v>
      </c>
      <c r="I279" s="40" t="s">
        <v>18</v>
      </c>
      <c r="J279" s="40" t="str">
        <f>HYPERLINK("https://stock.pstatic.net/stock-research/company/57/20260810_company_154289000.pdf","PDF")</f>
        <v>PDF</v>
      </c>
      <c r="K279" s="12" t="s">
        <v>35471</v>
      </c>
      <c r="L279" s="36">
        <v>0.90476190476190477</v>
      </c>
    </row>
    <row r="280" spans="1:12" x14ac:dyDescent="0.45">
      <c r="A280" s="12" t="s">
        <v>35439</v>
      </c>
      <c r="B280" s="12" t="s">
        <v>1652</v>
      </c>
      <c r="C280" s="13" t="s">
        <v>1653</v>
      </c>
      <c r="D280" s="13" t="s">
        <v>276</v>
      </c>
      <c r="E280" s="12" t="s">
        <v>16</v>
      </c>
      <c r="F280" s="14">
        <v>81000</v>
      </c>
      <c r="G280" s="14">
        <v>43850</v>
      </c>
      <c r="H280" s="13" t="s">
        <v>35472</v>
      </c>
      <c r="I280" s="40" t="s">
        <v>18</v>
      </c>
      <c r="J280" s="40" t="str">
        <f>HYPERLINK("https://stock.pstatic.net/stock-research/company/66/20260810_company_113004000.pdf","PDF")</f>
        <v>PDF</v>
      </c>
      <c r="K280" s="12" t="s">
        <v>35473</v>
      </c>
      <c r="L280" s="36">
        <v>0.8472063854047891</v>
      </c>
    </row>
    <row r="281" spans="1:12" x14ac:dyDescent="0.45">
      <c r="A281" s="12" t="s">
        <v>35439</v>
      </c>
      <c r="B281" s="12" t="s">
        <v>1184</v>
      </c>
      <c r="C281" s="13" t="s">
        <v>1185</v>
      </c>
      <c r="D281" s="13" t="s">
        <v>65</v>
      </c>
      <c r="E281" s="12" t="s">
        <v>35</v>
      </c>
      <c r="F281" s="14">
        <v>35000</v>
      </c>
      <c r="G281" s="14">
        <v>28350</v>
      </c>
      <c r="H281" s="13" t="s">
        <v>35474</v>
      </c>
      <c r="I281" s="40" t="s">
        <v>18</v>
      </c>
      <c r="J281" s="40" t="str">
        <f>HYPERLINK("https://stock.pstatic.net/stock-research/company/57/20260810_company_368640000.pdf","PDF")</f>
        <v>PDF</v>
      </c>
      <c r="K281" s="12" t="s">
        <v>35475</v>
      </c>
      <c r="L281" s="36">
        <v>0.23456790123456789</v>
      </c>
    </row>
    <row r="282" spans="1:12" x14ac:dyDescent="0.45">
      <c r="A282" s="12" t="s">
        <v>35439</v>
      </c>
      <c r="B282" s="12" t="s">
        <v>2449</v>
      </c>
      <c r="C282" s="13" t="s">
        <v>2450</v>
      </c>
      <c r="D282" s="13" t="s">
        <v>65</v>
      </c>
      <c r="E282" s="12" t="s">
        <v>50</v>
      </c>
      <c r="F282" s="13"/>
      <c r="G282" s="14">
        <v>8630</v>
      </c>
      <c r="H282" s="13" t="s">
        <v>35476</v>
      </c>
      <c r="I282" s="40" t="s">
        <v>18</v>
      </c>
      <c r="J282" s="40" t="str">
        <f>HYPERLINK("https://stock.pstatic.net/stock-research/company/57/20260810_company_75135000.pdf","PDF")</f>
        <v>PDF</v>
      </c>
      <c r="K282" s="12" t="s">
        <v>35477</v>
      </c>
      <c r="L282" s="12"/>
    </row>
    <row r="283" spans="1:12" x14ac:dyDescent="0.45">
      <c r="A283" s="12" t="s">
        <v>35439</v>
      </c>
      <c r="B283" s="12" t="s">
        <v>426</v>
      </c>
      <c r="C283" s="13" t="s">
        <v>427</v>
      </c>
      <c r="D283" s="13" t="s">
        <v>65</v>
      </c>
      <c r="E283" s="12" t="s">
        <v>35</v>
      </c>
      <c r="F283" s="14">
        <v>18000</v>
      </c>
      <c r="G283" s="14">
        <v>10100</v>
      </c>
      <c r="H283" s="13" t="s">
        <v>35478</v>
      </c>
      <c r="I283" s="40" t="s">
        <v>18</v>
      </c>
      <c r="J283" s="40" t="str">
        <f>HYPERLINK("https://stock.pstatic.net/stock-research/company/57/20260810_company_284658000.pdf","PDF")</f>
        <v>PDF</v>
      </c>
      <c r="K283" s="12" t="s">
        <v>35479</v>
      </c>
      <c r="L283" s="36">
        <v>0.78217821782178221</v>
      </c>
    </row>
    <row r="284" spans="1:12" x14ac:dyDescent="0.45">
      <c r="A284" s="12" t="s">
        <v>35439</v>
      </c>
      <c r="B284" s="12" t="s">
        <v>370</v>
      </c>
      <c r="C284" s="13" t="s">
        <v>371</v>
      </c>
      <c r="D284" s="13" t="s">
        <v>65</v>
      </c>
      <c r="E284" s="12" t="s">
        <v>35</v>
      </c>
      <c r="F284" s="14">
        <v>63000</v>
      </c>
      <c r="G284" s="14">
        <v>41550</v>
      </c>
      <c r="H284" s="13" t="s">
        <v>35480</v>
      </c>
      <c r="I284" s="40" t="s">
        <v>18</v>
      </c>
      <c r="J284" s="40" t="str">
        <f>HYPERLINK("https://stock.pstatic.net/stock-research/company/57/20260810_company_275379000.pdf","PDF")</f>
        <v>PDF</v>
      </c>
      <c r="K284" s="12" t="s">
        <v>35481</v>
      </c>
      <c r="L284" s="36">
        <v>0.51624548736462095</v>
      </c>
    </row>
    <row r="285" spans="1:12" x14ac:dyDescent="0.45">
      <c r="A285" s="12" t="s">
        <v>35439</v>
      </c>
      <c r="B285" s="12" t="s">
        <v>2205</v>
      </c>
      <c r="C285" s="13" t="s">
        <v>2206</v>
      </c>
      <c r="D285" s="13" t="s">
        <v>65</v>
      </c>
      <c r="E285" s="12" t="s">
        <v>35</v>
      </c>
      <c r="F285" s="14">
        <v>110000</v>
      </c>
      <c r="G285" s="14">
        <v>58600</v>
      </c>
      <c r="H285" s="13" t="s">
        <v>35482</v>
      </c>
      <c r="I285" s="40" t="s">
        <v>18</v>
      </c>
      <c r="J285" s="40" t="str">
        <f>HYPERLINK("https://stock.pstatic.net/stock-research/company/57/20260810_company_491290000.pdf","PDF")</f>
        <v>PDF</v>
      </c>
      <c r="K285" s="12" t="s">
        <v>35483</v>
      </c>
      <c r="L285" s="36">
        <v>0.87713310580204773</v>
      </c>
    </row>
    <row r="286" spans="1:12" x14ac:dyDescent="0.45">
      <c r="A286" s="12" t="s">
        <v>35439</v>
      </c>
      <c r="B286" s="12" t="s">
        <v>2231</v>
      </c>
      <c r="C286" s="13" t="s">
        <v>2232</v>
      </c>
      <c r="D286" s="13" t="s">
        <v>57</v>
      </c>
      <c r="E286" s="12" t="s">
        <v>35</v>
      </c>
      <c r="F286" s="14">
        <v>160000</v>
      </c>
      <c r="G286" s="14">
        <v>95700</v>
      </c>
      <c r="H286" s="13" t="s">
        <v>35484</v>
      </c>
      <c r="I286" s="40" t="s">
        <v>18</v>
      </c>
      <c r="J286" s="40" t="str">
        <f>HYPERLINK("https://stock.pstatic.net/stock-research/company/16/20260810_company_172532000.pdf","PDF")</f>
        <v>PDF</v>
      </c>
      <c r="K286" s="12" t="s">
        <v>35485</v>
      </c>
      <c r="L286" s="36">
        <v>0.67189132706374088</v>
      </c>
    </row>
    <row r="287" spans="1:12" x14ac:dyDescent="0.45">
      <c r="A287" s="12" t="s">
        <v>35439</v>
      </c>
      <c r="B287" s="12" t="s">
        <v>1670</v>
      </c>
      <c r="C287" s="13" t="s">
        <v>1671</v>
      </c>
      <c r="D287" s="13" t="s">
        <v>65</v>
      </c>
      <c r="E287" s="12" t="s">
        <v>35</v>
      </c>
      <c r="F287" s="14">
        <v>180000</v>
      </c>
      <c r="G287" s="14">
        <v>129600</v>
      </c>
      <c r="H287" s="13" t="s">
        <v>35486</v>
      </c>
      <c r="I287" s="40" t="s">
        <v>18</v>
      </c>
      <c r="J287" s="40" t="str">
        <f>HYPERLINK("https://stock.pstatic.net/stock-research/company/57/20260810_company_222984000.pdf","PDF")</f>
        <v>PDF</v>
      </c>
      <c r="K287" s="12" t="s">
        <v>35487</v>
      </c>
      <c r="L287" s="36">
        <v>0.3888888888888889</v>
      </c>
    </row>
    <row r="288" spans="1:12" x14ac:dyDescent="0.45">
      <c r="A288" s="12" t="s">
        <v>35439</v>
      </c>
      <c r="B288" s="12" t="s">
        <v>2187</v>
      </c>
      <c r="C288" s="13" t="s">
        <v>2188</v>
      </c>
      <c r="D288" s="13" t="s">
        <v>57</v>
      </c>
      <c r="E288" s="12" t="s">
        <v>35</v>
      </c>
      <c r="F288" s="14">
        <v>170000</v>
      </c>
      <c r="G288" s="14">
        <v>116900</v>
      </c>
      <c r="H288" s="13" t="s">
        <v>35488</v>
      </c>
      <c r="I288" s="40" t="s">
        <v>18</v>
      </c>
      <c r="J288" s="40" t="str">
        <f>HYPERLINK("https://stock.pstatic.net/stock-research/company/16/20260810_company_548419000.pdf","PDF")</f>
        <v>PDF</v>
      </c>
      <c r="K288" s="12" t="s">
        <v>35489</v>
      </c>
      <c r="L288" s="36">
        <v>0.4542343883661249</v>
      </c>
    </row>
    <row r="289" spans="1:12" x14ac:dyDescent="0.45">
      <c r="A289" s="12" t="s">
        <v>35439</v>
      </c>
      <c r="B289" s="12" t="s">
        <v>1734</v>
      </c>
      <c r="C289" s="13" t="s">
        <v>1735</v>
      </c>
      <c r="D289" s="13" t="s">
        <v>65</v>
      </c>
      <c r="E289" s="12" t="s">
        <v>35</v>
      </c>
      <c r="F289" s="14">
        <v>55000</v>
      </c>
      <c r="G289" s="14">
        <v>35750</v>
      </c>
      <c r="H289" s="13" t="s">
        <v>35490</v>
      </c>
      <c r="I289" s="40" t="s">
        <v>18</v>
      </c>
      <c r="J289" s="40" t="str">
        <f>HYPERLINK("https://stock.pstatic.net/stock-research/company/57/20260810_company_373428000.pdf","PDF")</f>
        <v>PDF</v>
      </c>
      <c r="K289" s="12" t="s">
        <v>35491</v>
      </c>
      <c r="L289" s="36">
        <v>0.53846153846153844</v>
      </c>
    </row>
    <row r="290" spans="1:12" x14ac:dyDescent="0.45">
      <c r="A290" s="12" t="s">
        <v>35439</v>
      </c>
      <c r="B290" s="12" t="s">
        <v>1652</v>
      </c>
      <c r="C290" s="13" t="s">
        <v>1653</v>
      </c>
      <c r="D290" s="13" t="s">
        <v>65</v>
      </c>
      <c r="E290" s="12" t="s">
        <v>35</v>
      </c>
      <c r="F290" s="14">
        <v>80000</v>
      </c>
      <c r="G290" s="14">
        <v>43850</v>
      </c>
      <c r="H290" s="13" t="s">
        <v>35492</v>
      </c>
      <c r="I290" s="40" t="s">
        <v>18</v>
      </c>
      <c r="J290" s="40" t="str">
        <f>HYPERLINK("https://stock.pstatic.net/stock-research/company/57/20260810_company_315201000.pdf","PDF")</f>
        <v>PDF</v>
      </c>
      <c r="K290" s="12" t="s">
        <v>35493</v>
      </c>
      <c r="L290" s="36">
        <v>0.82440136830102617</v>
      </c>
    </row>
    <row r="291" spans="1:12" x14ac:dyDescent="0.45">
      <c r="A291" s="12" t="s">
        <v>35439</v>
      </c>
      <c r="B291" s="12" t="s">
        <v>42</v>
      </c>
      <c r="C291" s="13" t="s">
        <v>43</v>
      </c>
      <c r="D291" s="13" t="s">
        <v>57</v>
      </c>
      <c r="E291" s="12" t="s">
        <v>35</v>
      </c>
      <c r="F291" s="14">
        <v>300000</v>
      </c>
      <c r="G291" s="14">
        <v>226000</v>
      </c>
      <c r="H291" s="13" t="s">
        <v>35494</v>
      </c>
      <c r="I291" s="40" t="s">
        <v>18</v>
      </c>
      <c r="J291" s="40" t="str">
        <f>HYPERLINK("https://stock.pstatic.net/stock-research/company/57/20260810_company_615013000.pdf","PDF")</f>
        <v>PDF</v>
      </c>
      <c r="K291" s="12" t="s">
        <v>35495</v>
      </c>
      <c r="L291" s="36">
        <v>0.32743362831858408</v>
      </c>
    </row>
    <row r="292" spans="1:12" x14ac:dyDescent="0.45">
      <c r="A292" s="12" t="s">
        <v>35439</v>
      </c>
      <c r="B292" s="12" t="s">
        <v>1144</v>
      </c>
      <c r="C292" s="13" t="s">
        <v>1145</v>
      </c>
      <c r="D292" s="13" t="s">
        <v>65</v>
      </c>
      <c r="E292" s="12" t="s">
        <v>35</v>
      </c>
      <c r="F292" s="14">
        <v>220000</v>
      </c>
      <c r="G292" s="14">
        <v>101900</v>
      </c>
      <c r="H292" s="13" t="s">
        <v>35496</v>
      </c>
      <c r="I292" s="40" t="s">
        <v>18</v>
      </c>
      <c r="J292" s="40" t="str">
        <f>HYPERLINK("https://stock.pstatic.net/stock-research/company/57/20260810_company_493659000.pdf","PDF")</f>
        <v>PDF</v>
      </c>
      <c r="K292" s="12" t="s">
        <v>35497</v>
      </c>
      <c r="L292" s="36">
        <v>1.158979391560353</v>
      </c>
    </row>
    <row r="293" spans="1:12" x14ac:dyDescent="0.45">
      <c r="A293" s="12" t="s">
        <v>35439</v>
      </c>
      <c r="B293" s="12" t="s">
        <v>2187</v>
      </c>
      <c r="C293" s="13" t="s">
        <v>2188</v>
      </c>
      <c r="D293" s="13" t="s">
        <v>65</v>
      </c>
      <c r="E293" s="12" t="s">
        <v>35</v>
      </c>
      <c r="F293" s="14">
        <v>200000</v>
      </c>
      <c r="G293" s="14">
        <v>116900</v>
      </c>
      <c r="H293" s="13" t="s">
        <v>35498</v>
      </c>
      <c r="I293" s="40" t="s">
        <v>18</v>
      </c>
      <c r="J293" s="40" t="str">
        <f>HYPERLINK("https://stock.pstatic.net/stock-research/company/57/20260810_company_124934000.pdf","PDF")</f>
        <v>PDF</v>
      </c>
      <c r="K293" s="12" t="s">
        <v>35499</v>
      </c>
      <c r="L293" s="36">
        <v>0.71086398631308811</v>
      </c>
    </row>
    <row r="294" spans="1:12" x14ac:dyDescent="0.45">
      <c r="A294" s="12" t="s">
        <v>35439</v>
      </c>
      <c r="B294" s="12" t="s">
        <v>3101</v>
      </c>
      <c r="C294" s="13" t="s">
        <v>3102</v>
      </c>
      <c r="D294" s="13" t="s">
        <v>158</v>
      </c>
      <c r="E294" s="12" t="s">
        <v>35</v>
      </c>
      <c r="F294" s="14">
        <v>270000</v>
      </c>
      <c r="G294" s="14">
        <v>107000</v>
      </c>
      <c r="H294" s="13" t="s">
        <v>35500</v>
      </c>
      <c r="I294" s="40" t="s">
        <v>18</v>
      </c>
      <c r="J294" s="40" t="str">
        <f>HYPERLINK("https://stock.pstatic.net/stock-research/company/18/20260810_company_2884000.pdf","PDF")</f>
        <v>PDF</v>
      </c>
      <c r="K294" s="12" t="s">
        <v>35501</v>
      </c>
      <c r="L294" s="36">
        <v>1.523364485981308</v>
      </c>
    </row>
    <row r="295" spans="1:12" x14ac:dyDescent="0.45">
      <c r="A295" s="12" t="s">
        <v>35439</v>
      </c>
      <c r="B295" s="12" t="s">
        <v>398</v>
      </c>
      <c r="C295" s="13" t="s">
        <v>399</v>
      </c>
      <c r="D295" s="13" t="s">
        <v>158</v>
      </c>
      <c r="E295" s="12" t="s">
        <v>35</v>
      </c>
      <c r="F295" s="14">
        <v>226000</v>
      </c>
      <c r="G295" s="14">
        <v>155800</v>
      </c>
      <c r="H295" s="13" t="s">
        <v>35502</v>
      </c>
      <c r="I295" s="40" t="s">
        <v>18</v>
      </c>
      <c r="J295" s="40" t="str">
        <f>HYPERLINK("https://stock.pstatic.net/stock-research/company/18/20260810_company_327295000.pdf","PDF")</f>
        <v>PDF</v>
      </c>
      <c r="K295" s="12" t="s">
        <v>35503</v>
      </c>
      <c r="L295" s="36">
        <v>0.45057766367137347</v>
      </c>
    </row>
    <row r="296" spans="1:12" x14ac:dyDescent="0.45">
      <c r="A296" s="12" t="s">
        <v>35439</v>
      </c>
      <c r="B296" s="12" t="s">
        <v>42</v>
      </c>
      <c r="C296" s="13" t="s">
        <v>43</v>
      </c>
      <c r="D296" s="13" t="s">
        <v>158</v>
      </c>
      <c r="E296" s="12" t="s">
        <v>35</v>
      </c>
      <c r="F296" s="14">
        <v>290000</v>
      </c>
      <c r="G296" s="14">
        <v>210000</v>
      </c>
      <c r="H296" s="13" t="s">
        <v>35504</v>
      </c>
      <c r="I296" s="40" t="s">
        <v>18</v>
      </c>
      <c r="J296" s="40" t="str">
        <f>HYPERLINK("https://stock.pstatic.net/stock-research/company/18/20260810_company_912526000.pdf","PDF")</f>
        <v>PDF</v>
      </c>
      <c r="K296" s="12" t="s">
        <v>35505</v>
      </c>
      <c r="L296" s="36">
        <v>0.38095238095238088</v>
      </c>
    </row>
    <row r="297" spans="1:12" x14ac:dyDescent="0.45">
      <c r="A297" s="12" t="s">
        <v>35439</v>
      </c>
      <c r="B297" s="12" t="s">
        <v>272</v>
      </c>
      <c r="C297" s="13" t="s">
        <v>273</v>
      </c>
      <c r="D297" s="13" t="s">
        <v>158</v>
      </c>
      <c r="E297" s="12" t="s">
        <v>35</v>
      </c>
      <c r="F297" s="14">
        <v>450000</v>
      </c>
      <c r="G297" s="14">
        <v>378500</v>
      </c>
      <c r="H297" s="13" t="s">
        <v>35506</v>
      </c>
      <c r="I297" s="40" t="s">
        <v>18</v>
      </c>
      <c r="J297" s="40" t="str">
        <f>HYPERLINK("https://stock.pstatic.net/stock-research/company/18/20260810_company_836587000.pdf","PDF")</f>
        <v>PDF</v>
      </c>
      <c r="K297" s="12" t="s">
        <v>35507</v>
      </c>
      <c r="L297" s="36">
        <v>0.1889035667107001</v>
      </c>
    </row>
    <row r="298" spans="1:12" x14ac:dyDescent="0.45">
      <c r="A298" s="12" t="s">
        <v>35439</v>
      </c>
      <c r="B298" s="12" t="s">
        <v>2933</v>
      </c>
      <c r="C298" s="13" t="s">
        <v>2934</v>
      </c>
      <c r="D298" s="13" t="s">
        <v>158</v>
      </c>
      <c r="E298" s="12" t="s">
        <v>35</v>
      </c>
      <c r="F298" s="14">
        <v>360000</v>
      </c>
      <c r="G298" s="14">
        <v>157300</v>
      </c>
      <c r="H298" s="13" t="s">
        <v>35508</v>
      </c>
      <c r="I298" s="40" t="s">
        <v>18</v>
      </c>
      <c r="J298" s="40" t="str">
        <f>HYPERLINK("https://stock.pstatic.net/stock-research/company/18/20260810_company_939632000.pdf","PDF")</f>
        <v>PDF</v>
      </c>
      <c r="K298" s="12" t="s">
        <v>35509</v>
      </c>
      <c r="L298" s="36">
        <v>1.2886204704386519</v>
      </c>
    </row>
    <row r="299" spans="1:12" x14ac:dyDescent="0.45">
      <c r="A299" s="12" t="s">
        <v>35439</v>
      </c>
      <c r="B299" s="12" t="s">
        <v>2187</v>
      </c>
      <c r="C299" s="13" t="s">
        <v>2188</v>
      </c>
      <c r="D299" s="13" t="s">
        <v>158</v>
      </c>
      <c r="E299" s="12" t="s">
        <v>35</v>
      </c>
      <c r="F299" s="14">
        <v>165000</v>
      </c>
      <c r="G299" s="14">
        <v>116900</v>
      </c>
      <c r="H299" s="13" t="s">
        <v>35510</v>
      </c>
      <c r="I299" s="40" t="s">
        <v>18</v>
      </c>
      <c r="J299" s="40" t="str">
        <f>HYPERLINK("https://stock.pstatic.net/stock-research/company/18/20260810_company_896139000.pdf","PDF")</f>
        <v>PDF</v>
      </c>
      <c r="K299" s="12" t="s">
        <v>35511</v>
      </c>
      <c r="L299" s="36">
        <v>0.41146278870829772</v>
      </c>
    </row>
    <row r="300" spans="1:12" x14ac:dyDescent="0.45">
      <c r="A300" s="12" t="s">
        <v>35439</v>
      </c>
      <c r="B300" s="12" t="s">
        <v>2040</v>
      </c>
      <c r="C300" s="13" t="s">
        <v>2041</v>
      </c>
      <c r="D300" s="13" t="s">
        <v>158</v>
      </c>
      <c r="E300" s="12" t="s">
        <v>35</v>
      </c>
      <c r="F300" s="14">
        <v>134000</v>
      </c>
      <c r="G300" s="14">
        <v>61000</v>
      </c>
      <c r="H300" s="13" t="s">
        <v>35512</v>
      </c>
      <c r="I300" s="40" t="s">
        <v>18</v>
      </c>
      <c r="J300" s="40" t="str">
        <f>HYPERLINK("https://stock.pstatic.net/stock-research/company/18/20260810_company_74142000.pdf","PDF")</f>
        <v>PDF</v>
      </c>
      <c r="K300" s="12" t="s">
        <v>35513</v>
      </c>
      <c r="L300" s="36">
        <v>1.1967213114754101</v>
      </c>
    </row>
    <row r="301" spans="1:12" x14ac:dyDescent="0.45">
      <c r="A301" s="12" t="s">
        <v>35439</v>
      </c>
      <c r="B301" s="12" t="s">
        <v>2308</v>
      </c>
      <c r="C301" s="13" t="s">
        <v>2309</v>
      </c>
      <c r="D301" s="13" t="s">
        <v>158</v>
      </c>
      <c r="E301" s="12" t="s">
        <v>50</v>
      </c>
      <c r="F301" s="13"/>
      <c r="G301" s="14">
        <v>14460</v>
      </c>
      <c r="H301" s="13" t="s">
        <v>35514</v>
      </c>
      <c r="I301" s="40" t="s">
        <v>18</v>
      </c>
      <c r="J301" s="40" t="str">
        <f>HYPERLINK("https://stock.pstatic.net/stock-research/company/18/20260810_company_83732000.pdf","PDF")</f>
        <v>PDF</v>
      </c>
      <c r="K301" s="12" t="s">
        <v>35515</v>
      </c>
      <c r="L301" s="12"/>
    </row>
    <row r="302" spans="1:12" x14ac:dyDescent="0.45">
      <c r="A302" s="12" t="s">
        <v>35439</v>
      </c>
      <c r="B302" s="12" t="s">
        <v>4617</v>
      </c>
      <c r="C302" s="13" t="s">
        <v>4618</v>
      </c>
      <c r="D302" s="13" t="s">
        <v>158</v>
      </c>
      <c r="E302" s="12" t="s">
        <v>50</v>
      </c>
      <c r="F302" s="13"/>
      <c r="G302" s="14">
        <v>19660</v>
      </c>
      <c r="H302" s="13" t="s">
        <v>35516</v>
      </c>
      <c r="I302" s="40" t="s">
        <v>18</v>
      </c>
      <c r="J302" s="40" t="str">
        <f>HYPERLINK("https://stock.pstatic.net/stock-research/company/18/20260810_company_390834000.pdf","PDF")</f>
        <v>PDF</v>
      </c>
      <c r="K302" s="12" t="s">
        <v>35517</v>
      </c>
      <c r="L302" s="12"/>
    </row>
    <row r="303" spans="1:12" x14ac:dyDescent="0.45">
      <c r="A303" s="12" t="s">
        <v>35439</v>
      </c>
      <c r="B303" s="12" t="s">
        <v>1144</v>
      </c>
      <c r="C303" s="13" t="s">
        <v>1145</v>
      </c>
      <c r="D303" s="13" t="s">
        <v>92</v>
      </c>
      <c r="E303" s="12" t="s">
        <v>35</v>
      </c>
      <c r="F303" s="14">
        <v>200000</v>
      </c>
      <c r="G303" s="14">
        <v>101900</v>
      </c>
      <c r="H303" s="13" t="s">
        <v>35518</v>
      </c>
      <c r="I303" s="40" t="s">
        <v>18</v>
      </c>
      <c r="J303" s="40" t="str">
        <f>HYPERLINK("https://stock.pstatic.net/stock-research/company/63/20260810_company_101936000.pdf","PDF")</f>
        <v>PDF</v>
      </c>
      <c r="K303" s="12" t="s">
        <v>35519</v>
      </c>
      <c r="L303" s="36">
        <v>0.96270853778213938</v>
      </c>
    </row>
    <row r="304" spans="1:12" x14ac:dyDescent="0.45">
      <c r="A304" s="12" t="s">
        <v>35439</v>
      </c>
      <c r="B304" s="12" t="s">
        <v>1184</v>
      </c>
      <c r="C304" s="13" t="s">
        <v>1185</v>
      </c>
      <c r="D304" s="13" t="s">
        <v>92</v>
      </c>
      <c r="E304" s="12" t="s">
        <v>35</v>
      </c>
      <c r="F304" s="14">
        <v>37000</v>
      </c>
      <c r="G304" s="14">
        <v>28350</v>
      </c>
      <c r="H304" s="13" t="s">
        <v>35520</v>
      </c>
      <c r="I304" s="40" t="s">
        <v>18</v>
      </c>
      <c r="J304" s="40" t="str">
        <f>HYPERLINK("https://stock.pstatic.net/stock-research/company/63/20260810_company_153486000.pdf","PDF")</f>
        <v>PDF</v>
      </c>
      <c r="K304" s="12" t="s">
        <v>35521</v>
      </c>
      <c r="L304" s="36">
        <v>0.30511463844797182</v>
      </c>
    </row>
    <row r="305" spans="1:12" x14ac:dyDescent="0.45">
      <c r="A305" s="12" t="s">
        <v>35439</v>
      </c>
      <c r="B305" s="12" t="s">
        <v>2225</v>
      </c>
      <c r="C305" s="13" t="s">
        <v>2226</v>
      </c>
      <c r="D305" s="13" t="s">
        <v>83</v>
      </c>
      <c r="E305" s="12" t="s">
        <v>35</v>
      </c>
      <c r="F305" s="14">
        <v>990000</v>
      </c>
      <c r="G305" s="14">
        <v>702000</v>
      </c>
      <c r="H305" s="13" t="s">
        <v>35522</v>
      </c>
      <c r="I305" s="40" t="s">
        <v>18</v>
      </c>
      <c r="J305" s="40" t="str">
        <f>HYPERLINK("https://stock.pstatic.net/stock-research/company/15/20260810_company_653831000.pdf","PDF")</f>
        <v>PDF</v>
      </c>
      <c r="K305" s="12" t="s">
        <v>35523</v>
      </c>
      <c r="L305" s="36">
        <v>0.41025641025641019</v>
      </c>
    </row>
    <row r="306" spans="1:12" x14ac:dyDescent="0.45">
      <c r="A306" s="12" t="s">
        <v>35439</v>
      </c>
      <c r="B306" s="12" t="s">
        <v>35524</v>
      </c>
      <c r="C306" s="13" t="s">
        <v>35525</v>
      </c>
      <c r="D306" s="13" t="s">
        <v>83</v>
      </c>
      <c r="E306" s="12" t="s">
        <v>50</v>
      </c>
      <c r="F306" s="13"/>
      <c r="G306" s="14">
        <v>20750</v>
      </c>
      <c r="H306" s="13" t="s">
        <v>35526</v>
      </c>
      <c r="I306" s="40" t="s">
        <v>18</v>
      </c>
      <c r="J306" s="40" t="str">
        <f>HYPERLINK("https://stock.pstatic.net/stock-research/company/15/20260810_company_460390000.pdf","PDF")</f>
        <v>PDF</v>
      </c>
      <c r="K306" s="12" t="s">
        <v>35527</v>
      </c>
      <c r="L306" s="12"/>
    </row>
    <row r="307" spans="1:12" x14ac:dyDescent="0.45">
      <c r="A307" s="12" t="s">
        <v>35439</v>
      </c>
      <c r="B307" s="12" t="s">
        <v>2286</v>
      </c>
      <c r="C307" s="13" t="s">
        <v>2287</v>
      </c>
      <c r="D307" s="13" t="s">
        <v>83</v>
      </c>
      <c r="E307" s="12" t="s">
        <v>35</v>
      </c>
      <c r="F307" s="14">
        <v>7000</v>
      </c>
      <c r="G307" s="14">
        <v>5560</v>
      </c>
      <c r="H307" s="13" t="s">
        <v>35528</v>
      </c>
      <c r="I307" s="40" t="s">
        <v>18</v>
      </c>
      <c r="J307" s="40" t="str">
        <f>HYPERLINK("https://stock.pstatic.net/stock-research/company/15/20260810_company_911326000.pdf","PDF")</f>
        <v>PDF</v>
      </c>
      <c r="K307" s="12" t="s">
        <v>35529</v>
      </c>
      <c r="L307" s="36">
        <v>0.25899280575539568</v>
      </c>
    </row>
    <row r="308" spans="1:12" x14ac:dyDescent="0.45">
      <c r="A308" s="12" t="s">
        <v>35439</v>
      </c>
      <c r="B308" s="12" t="s">
        <v>908</v>
      </c>
      <c r="C308" s="13" t="s">
        <v>909</v>
      </c>
      <c r="D308" s="13" t="s">
        <v>83</v>
      </c>
      <c r="E308" s="12" t="s">
        <v>35</v>
      </c>
      <c r="F308" s="14">
        <v>370000</v>
      </c>
      <c r="G308" s="14">
        <v>221500</v>
      </c>
      <c r="H308" s="13" t="s">
        <v>35530</v>
      </c>
      <c r="I308" s="40" t="s">
        <v>18</v>
      </c>
      <c r="J308" s="40" t="str">
        <f>HYPERLINK("https://stock.pstatic.net/stock-research/company/15/20260810_company_887588000.pdf","PDF")</f>
        <v>PDF</v>
      </c>
      <c r="K308" s="12" t="s">
        <v>35531</v>
      </c>
      <c r="L308" s="36">
        <v>0.67042889390519189</v>
      </c>
    </row>
    <row r="309" spans="1:12" x14ac:dyDescent="0.45">
      <c r="A309" s="12" t="s">
        <v>35439</v>
      </c>
      <c r="B309" s="12" t="s">
        <v>916</v>
      </c>
      <c r="C309" s="13" t="s">
        <v>917</v>
      </c>
      <c r="D309" s="13" t="s">
        <v>83</v>
      </c>
      <c r="E309" s="12" t="s">
        <v>35</v>
      </c>
      <c r="F309" s="14">
        <v>47000</v>
      </c>
      <c r="G309" s="14">
        <v>39900</v>
      </c>
      <c r="H309" s="13" t="s">
        <v>35532</v>
      </c>
      <c r="I309" s="40" t="s">
        <v>18</v>
      </c>
      <c r="J309" s="40" t="str">
        <f>HYPERLINK("https://stock.pstatic.net/stock-research/company/15/20260810_company_437617000.pdf","PDF")</f>
        <v>PDF</v>
      </c>
      <c r="K309" s="12" t="s">
        <v>35533</v>
      </c>
      <c r="L309" s="36">
        <v>0.17794486215538849</v>
      </c>
    </row>
    <row r="310" spans="1:12" x14ac:dyDescent="0.45">
      <c r="A310" s="12" t="s">
        <v>35439</v>
      </c>
      <c r="B310" s="12" t="s">
        <v>42</v>
      </c>
      <c r="C310" s="13" t="s">
        <v>43</v>
      </c>
      <c r="D310" s="13" t="s">
        <v>83</v>
      </c>
      <c r="E310" s="12" t="s">
        <v>35</v>
      </c>
      <c r="F310" s="14">
        <v>320000</v>
      </c>
      <c r="G310" s="14">
        <v>210000</v>
      </c>
      <c r="H310" s="13" t="s">
        <v>35534</v>
      </c>
      <c r="I310" s="40" t="s">
        <v>18</v>
      </c>
      <c r="J310" s="40" t="str">
        <f>HYPERLINK("https://stock.pstatic.net/stock-research/company/15/20260810_company_439700000.pdf","PDF")</f>
        <v>PDF</v>
      </c>
      <c r="K310" s="12" t="s">
        <v>35535</v>
      </c>
      <c r="L310" s="36">
        <v>0.52380952380952384</v>
      </c>
    </row>
    <row r="311" spans="1:12" x14ac:dyDescent="0.45">
      <c r="A311" s="12" t="s">
        <v>35439</v>
      </c>
      <c r="B311" s="12" t="s">
        <v>912</v>
      </c>
      <c r="C311" s="13" t="s">
        <v>913</v>
      </c>
      <c r="D311" s="13" t="s">
        <v>83</v>
      </c>
      <c r="E311" s="12" t="s">
        <v>35</v>
      </c>
      <c r="F311" s="14">
        <v>92000</v>
      </c>
      <c r="G311" s="14">
        <v>72600</v>
      </c>
      <c r="H311" s="13" t="s">
        <v>35536</v>
      </c>
      <c r="I311" s="40" t="s">
        <v>18</v>
      </c>
      <c r="J311" s="40" t="str">
        <f>HYPERLINK("https://stock.pstatic.net/stock-research/company/15/20260810_company_92671000.pdf","PDF")</f>
        <v>PDF</v>
      </c>
      <c r="K311" s="12" t="s">
        <v>35537</v>
      </c>
      <c r="L311" s="36">
        <v>0.26721763085399453</v>
      </c>
    </row>
    <row r="312" spans="1:12" x14ac:dyDescent="0.45">
      <c r="A312" s="12" t="s">
        <v>35439</v>
      </c>
      <c r="B312" s="12" t="s">
        <v>272</v>
      </c>
      <c r="C312" s="13" t="s">
        <v>273</v>
      </c>
      <c r="D312" s="13" t="s">
        <v>83</v>
      </c>
      <c r="E312" s="12" t="s">
        <v>35</v>
      </c>
      <c r="F312" s="14">
        <v>620000</v>
      </c>
      <c r="G312" s="14">
        <v>378500</v>
      </c>
      <c r="H312" s="13" t="s">
        <v>35538</v>
      </c>
      <c r="I312" s="40" t="s">
        <v>18</v>
      </c>
      <c r="J312" s="40" t="str">
        <f>HYPERLINK("https://stock.pstatic.net/stock-research/company/15/20260810_company_734979000.pdf","PDF")</f>
        <v>PDF</v>
      </c>
      <c r="K312" s="12" t="s">
        <v>35539</v>
      </c>
      <c r="L312" s="36">
        <v>0.6380449141347424</v>
      </c>
    </row>
    <row r="313" spans="1:12" x14ac:dyDescent="0.45">
      <c r="A313" s="12" t="s">
        <v>35439</v>
      </c>
      <c r="B313" s="12" t="s">
        <v>1144</v>
      </c>
      <c r="C313" s="13" t="s">
        <v>1145</v>
      </c>
      <c r="D313" s="13" t="s">
        <v>83</v>
      </c>
      <c r="E313" s="12" t="s">
        <v>35</v>
      </c>
      <c r="F313" s="14">
        <v>160000</v>
      </c>
      <c r="G313" s="14">
        <v>101900</v>
      </c>
      <c r="H313" s="13" t="s">
        <v>35540</v>
      </c>
      <c r="I313" s="40" t="s">
        <v>18</v>
      </c>
      <c r="J313" s="40" t="str">
        <f>HYPERLINK("https://stock.pstatic.net/stock-research/company/15/20260810_company_2224000.pdf","PDF")</f>
        <v>PDF</v>
      </c>
      <c r="K313" s="12" t="s">
        <v>35541</v>
      </c>
      <c r="L313" s="36">
        <v>0.57016683022571146</v>
      </c>
    </row>
    <row r="314" spans="1:12" x14ac:dyDescent="0.45">
      <c r="A314" s="12" t="s">
        <v>35439</v>
      </c>
      <c r="B314" s="12" t="s">
        <v>268</v>
      </c>
      <c r="C314" s="13" t="s">
        <v>269</v>
      </c>
      <c r="D314" s="13" t="s">
        <v>83</v>
      </c>
      <c r="E314" s="12" t="s">
        <v>35</v>
      </c>
      <c r="F314" s="14">
        <v>410000</v>
      </c>
      <c r="G314" s="14">
        <v>305000</v>
      </c>
      <c r="H314" s="13" t="s">
        <v>35542</v>
      </c>
      <c r="I314" s="40" t="s">
        <v>18</v>
      </c>
      <c r="J314" s="40" t="str">
        <f>HYPERLINK("https://stock.pstatic.net/stock-research/company/15/20260810_company_178054000.pdf","PDF")</f>
        <v>PDF</v>
      </c>
      <c r="K314" s="12" t="s">
        <v>35543</v>
      </c>
      <c r="L314" s="36">
        <v>0.34426229508196721</v>
      </c>
    </row>
    <row r="315" spans="1:12" x14ac:dyDescent="0.45">
      <c r="A315" s="12" t="s">
        <v>35439</v>
      </c>
      <c r="B315" s="12" t="s">
        <v>1184</v>
      </c>
      <c r="C315" s="13" t="s">
        <v>1185</v>
      </c>
      <c r="D315" s="13" t="s">
        <v>83</v>
      </c>
      <c r="E315" s="12" t="s">
        <v>35</v>
      </c>
      <c r="F315" s="14">
        <v>33000</v>
      </c>
      <c r="G315" s="14">
        <v>28350</v>
      </c>
      <c r="H315" s="13" t="s">
        <v>35544</v>
      </c>
      <c r="I315" s="40" t="s">
        <v>18</v>
      </c>
      <c r="J315" s="40" t="str">
        <f>HYPERLINK("https://stock.pstatic.net/stock-research/company/15/20260810_company_192130000.pdf","PDF")</f>
        <v>PDF</v>
      </c>
      <c r="K315" s="12" t="s">
        <v>35545</v>
      </c>
      <c r="L315" s="36">
        <v>0.16402116402116401</v>
      </c>
    </row>
    <row r="316" spans="1:12" x14ac:dyDescent="0.45">
      <c r="A316" s="12" t="s">
        <v>35439</v>
      </c>
      <c r="B316" s="12" t="s">
        <v>27</v>
      </c>
      <c r="C316" s="13" t="s">
        <v>28</v>
      </c>
      <c r="D316" s="13" t="s">
        <v>83</v>
      </c>
      <c r="E316" s="12" t="s">
        <v>35</v>
      </c>
      <c r="F316" s="14">
        <v>200000</v>
      </c>
      <c r="G316" s="14">
        <v>99700</v>
      </c>
      <c r="H316" s="13" t="s">
        <v>35546</v>
      </c>
      <c r="I316" s="40" t="s">
        <v>18</v>
      </c>
      <c r="J316" s="40" t="str">
        <f>HYPERLINK("https://stock.pstatic.net/stock-research/company/15/20260810_company_504273000.pdf","PDF")</f>
        <v>PDF</v>
      </c>
      <c r="K316" s="12" t="s">
        <v>35547</v>
      </c>
      <c r="L316" s="36">
        <v>1.006018054162487</v>
      </c>
    </row>
    <row r="317" spans="1:12" x14ac:dyDescent="0.45">
      <c r="A317" s="12" t="s">
        <v>35439</v>
      </c>
      <c r="B317" s="12" t="s">
        <v>3230</v>
      </c>
      <c r="C317" s="13" t="s">
        <v>3231</v>
      </c>
      <c r="D317" s="13" t="s">
        <v>83</v>
      </c>
      <c r="E317" s="12" t="s">
        <v>35</v>
      </c>
      <c r="F317" s="14">
        <v>4200000</v>
      </c>
      <c r="G317" s="14">
        <v>2495000</v>
      </c>
      <c r="H317" s="13" t="s">
        <v>34758</v>
      </c>
      <c r="I317" s="40" t="s">
        <v>18</v>
      </c>
      <c r="J317" s="40" t="str">
        <f>HYPERLINK("https://stock.pstatic.net/stock-research/company/15/20260810_company_548013000.pdf","PDF")</f>
        <v>PDF</v>
      </c>
      <c r="K317" s="12" t="s">
        <v>35548</v>
      </c>
      <c r="L317" s="36">
        <v>0.68336673346693388</v>
      </c>
    </row>
    <row r="318" spans="1:12" x14ac:dyDescent="0.45">
      <c r="A318" s="12" t="s">
        <v>35439</v>
      </c>
      <c r="B318" s="12" t="s">
        <v>1093</v>
      </c>
      <c r="C318" s="13" t="s">
        <v>1094</v>
      </c>
      <c r="D318" s="13" t="s">
        <v>83</v>
      </c>
      <c r="E318" s="12" t="s">
        <v>35</v>
      </c>
      <c r="F318" s="14">
        <v>560000</v>
      </c>
      <c r="G318" s="14">
        <v>389000</v>
      </c>
      <c r="H318" s="13" t="s">
        <v>35549</v>
      </c>
      <c r="I318" s="40" t="s">
        <v>18</v>
      </c>
      <c r="J318" s="40" t="str">
        <f>HYPERLINK("https://stock.pstatic.net/stock-research/company/15/20260810_company_869705000.pdf","PDF")</f>
        <v>PDF</v>
      </c>
      <c r="K318" s="12" t="s">
        <v>35550</v>
      </c>
      <c r="L318" s="36">
        <v>0.43958868894601538</v>
      </c>
    </row>
    <row r="319" spans="1:12" x14ac:dyDescent="0.45">
      <c r="A319" s="12" t="s">
        <v>35439</v>
      </c>
      <c r="B319" s="12" t="s">
        <v>2873</v>
      </c>
      <c r="C319" s="13" t="s">
        <v>2874</v>
      </c>
      <c r="D319" s="13" t="s">
        <v>83</v>
      </c>
      <c r="E319" s="12" t="s">
        <v>35</v>
      </c>
      <c r="F319" s="14">
        <v>200000</v>
      </c>
      <c r="G319" s="14">
        <v>148300</v>
      </c>
      <c r="H319" s="13" t="s">
        <v>35234</v>
      </c>
      <c r="I319" s="40" t="s">
        <v>18</v>
      </c>
      <c r="J319" s="40" t="str">
        <f>HYPERLINK("https://stock.pstatic.net/stock-research/company/15/20260810_company_631924000.pdf","PDF")</f>
        <v>PDF</v>
      </c>
      <c r="K319" s="12" t="s">
        <v>35551</v>
      </c>
      <c r="L319" s="36">
        <v>0.34861766689143631</v>
      </c>
    </row>
    <row r="320" spans="1:12" x14ac:dyDescent="0.45">
      <c r="A320" s="12" t="s">
        <v>35439</v>
      </c>
      <c r="B320" s="12" t="s">
        <v>27</v>
      </c>
      <c r="C320" s="13" t="s">
        <v>28</v>
      </c>
      <c r="D320" s="13" t="s">
        <v>92</v>
      </c>
      <c r="E320" s="12" t="s">
        <v>35</v>
      </c>
      <c r="F320" s="14">
        <v>170000</v>
      </c>
      <c r="G320" s="14">
        <v>99700</v>
      </c>
      <c r="H320" s="13" t="s">
        <v>35552</v>
      </c>
      <c r="I320" s="40" t="s">
        <v>18</v>
      </c>
      <c r="J320" s="40" t="str">
        <f>HYPERLINK("https://stock.pstatic.net/stock-research/company/63/20260810_company_953231000.pdf","PDF")</f>
        <v>PDF</v>
      </c>
      <c r="K320" s="12" t="s">
        <v>35553</v>
      </c>
      <c r="L320" s="36">
        <v>0.70511534603811432</v>
      </c>
    </row>
    <row r="321" spans="1:12" x14ac:dyDescent="0.45">
      <c r="A321" s="12" t="s">
        <v>35439</v>
      </c>
      <c r="B321" s="12" t="s">
        <v>2040</v>
      </c>
      <c r="C321" s="13" t="s">
        <v>2041</v>
      </c>
      <c r="D321" s="13" t="s">
        <v>15</v>
      </c>
      <c r="E321" s="12" t="s">
        <v>385</v>
      </c>
      <c r="F321" s="14">
        <v>63000</v>
      </c>
      <c r="G321" s="14">
        <v>61000</v>
      </c>
      <c r="H321" s="13" t="s">
        <v>35554</v>
      </c>
      <c r="I321" s="40" t="s">
        <v>18</v>
      </c>
      <c r="J321" s="40" t="str">
        <f>HYPERLINK("https://stock.pstatic.net/stock-research/company/56/20260810_company_263837000.pdf","PDF")</f>
        <v>PDF</v>
      </c>
      <c r="K321" s="12" t="s">
        <v>35555</v>
      </c>
      <c r="L321" s="36">
        <v>3.2786885245901641E-2</v>
      </c>
    </row>
    <row r="322" spans="1:12" x14ac:dyDescent="0.45">
      <c r="A322" s="12" t="s">
        <v>35439</v>
      </c>
      <c r="B322" s="12" t="s">
        <v>426</v>
      </c>
      <c r="C322" s="13" t="s">
        <v>427</v>
      </c>
      <c r="D322" s="13" t="s">
        <v>92</v>
      </c>
      <c r="E322" s="12" t="s">
        <v>35</v>
      </c>
      <c r="F322" s="14">
        <v>17000</v>
      </c>
      <c r="G322" s="14">
        <v>10100</v>
      </c>
      <c r="H322" s="13" t="s">
        <v>23268</v>
      </c>
      <c r="I322" s="40" t="s">
        <v>18</v>
      </c>
      <c r="J322" s="40" t="str">
        <f>HYPERLINK("https://stock.pstatic.net/stock-research/company/63/20260810_company_137662000.pdf","PDF")</f>
        <v>PDF</v>
      </c>
      <c r="K322" s="12" t="s">
        <v>35556</v>
      </c>
      <c r="L322" s="36">
        <v>0.68316831683168322</v>
      </c>
    </row>
    <row r="323" spans="1:12" x14ac:dyDescent="0.45">
      <c r="A323" s="12" t="s">
        <v>35439</v>
      </c>
      <c r="B323" s="12" t="s">
        <v>2312</v>
      </c>
      <c r="C323" s="13" t="s">
        <v>2313</v>
      </c>
      <c r="D323" s="13" t="s">
        <v>15</v>
      </c>
      <c r="E323" s="12" t="s">
        <v>16</v>
      </c>
      <c r="F323" s="14">
        <v>44000</v>
      </c>
      <c r="G323" s="14">
        <v>28900</v>
      </c>
      <c r="H323" s="13" t="s">
        <v>35557</v>
      </c>
      <c r="I323" s="40" t="s">
        <v>18</v>
      </c>
      <c r="J323" s="40" t="str">
        <f>HYPERLINK("https://stock.pstatic.net/stock-research/company/56/20260810_company_664049000.pdf","PDF")</f>
        <v>PDF</v>
      </c>
      <c r="K323" s="12" t="s">
        <v>35558</v>
      </c>
      <c r="L323" s="36">
        <v>0.52249134948096887</v>
      </c>
    </row>
    <row r="324" spans="1:12" x14ac:dyDescent="0.45">
      <c r="A324" s="12" t="s">
        <v>35439</v>
      </c>
      <c r="B324" s="12" t="s">
        <v>42</v>
      </c>
      <c r="C324" s="13" t="s">
        <v>43</v>
      </c>
      <c r="D324" s="13" t="s">
        <v>92</v>
      </c>
      <c r="E324" s="12" t="s">
        <v>35</v>
      </c>
      <c r="F324" s="14">
        <v>320000</v>
      </c>
      <c r="G324" s="14">
        <v>210000</v>
      </c>
      <c r="H324" s="13" t="s">
        <v>35559</v>
      </c>
      <c r="I324" s="40" t="s">
        <v>18</v>
      </c>
      <c r="J324" s="40" t="str">
        <f>HYPERLINK("https://stock.pstatic.net/stock-research/company/63/20260810_company_298598000.pdf","PDF")</f>
        <v>PDF</v>
      </c>
      <c r="K324" s="12" t="s">
        <v>35560</v>
      </c>
      <c r="L324" s="36">
        <v>0.52380952380952384</v>
      </c>
    </row>
    <row r="325" spans="1:12" x14ac:dyDescent="0.45">
      <c r="A325" s="12" t="s">
        <v>35439</v>
      </c>
      <c r="B325" s="12" t="s">
        <v>370</v>
      </c>
      <c r="C325" s="13" t="s">
        <v>371</v>
      </c>
      <c r="D325" s="13" t="s">
        <v>179</v>
      </c>
      <c r="E325" s="12" t="s">
        <v>16</v>
      </c>
      <c r="F325" s="14">
        <v>63000</v>
      </c>
      <c r="G325" s="14">
        <v>41550</v>
      </c>
      <c r="H325" s="13" t="s">
        <v>35561</v>
      </c>
      <c r="I325" s="40" t="s">
        <v>18</v>
      </c>
      <c r="J325" s="40" t="str">
        <f>HYPERLINK("https://stock.pstatic.net/stock-research/company/64/20260810_company_840846000.pdf","PDF")</f>
        <v>PDF</v>
      </c>
      <c r="K325" s="12" t="s">
        <v>35562</v>
      </c>
      <c r="L325" s="36">
        <v>0.51624548736462095</v>
      </c>
    </row>
    <row r="326" spans="1:12" x14ac:dyDescent="0.45">
      <c r="A326" s="12" t="s">
        <v>35439</v>
      </c>
      <c r="B326" s="12" t="s">
        <v>2933</v>
      </c>
      <c r="C326" s="13" t="s">
        <v>2934</v>
      </c>
      <c r="D326" s="13" t="s">
        <v>179</v>
      </c>
      <c r="E326" s="12" t="s">
        <v>16</v>
      </c>
      <c r="F326" s="14">
        <v>320000</v>
      </c>
      <c r="G326" s="14">
        <v>157300</v>
      </c>
      <c r="H326" s="13" t="s">
        <v>22838</v>
      </c>
      <c r="I326" s="40" t="s">
        <v>18</v>
      </c>
      <c r="J326" s="40" t="str">
        <f>HYPERLINK("https://stock.pstatic.net/stock-research/company/64/20260810_company_708922000.pdf","PDF")</f>
        <v>PDF</v>
      </c>
      <c r="K326" s="12" t="s">
        <v>35563</v>
      </c>
      <c r="L326" s="36">
        <v>1.03432930705658</v>
      </c>
    </row>
    <row r="327" spans="1:12" x14ac:dyDescent="0.45">
      <c r="A327" s="12" t="s">
        <v>35439</v>
      </c>
      <c r="B327" s="12" t="s">
        <v>370</v>
      </c>
      <c r="C327" s="13" t="s">
        <v>371</v>
      </c>
      <c r="D327" s="13" t="s">
        <v>92</v>
      </c>
      <c r="E327" s="12" t="s">
        <v>35</v>
      </c>
      <c r="F327" s="14">
        <v>63000</v>
      </c>
      <c r="G327" s="14">
        <v>41550</v>
      </c>
      <c r="H327" s="13" t="s">
        <v>35564</v>
      </c>
      <c r="I327" s="40" t="s">
        <v>18</v>
      </c>
      <c r="J327" s="40" t="str">
        <f>HYPERLINK("https://stock.pstatic.net/stock-research/company/63/20260810_company_249405000.pdf","PDF")</f>
        <v>PDF</v>
      </c>
      <c r="K327" s="12" t="s">
        <v>35565</v>
      </c>
      <c r="L327" s="36">
        <v>0.51624548736462095</v>
      </c>
    </row>
    <row r="328" spans="1:12" x14ac:dyDescent="0.45">
      <c r="A328" s="12" t="s">
        <v>35439</v>
      </c>
      <c r="B328" s="12" t="s">
        <v>816</v>
      </c>
      <c r="C328" s="13" t="s">
        <v>817</v>
      </c>
      <c r="D328" s="13" t="s">
        <v>34</v>
      </c>
      <c r="E328" s="12" t="s">
        <v>50</v>
      </c>
      <c r="F328" s="13"/>
      <c r="G328" s="14">
        <v>31000</v>
      </c>
      <c r="H328" s="13" t="s">
        <v>35566</v>
      </c>
      <c r="I328" s="40" t="s">
        <v>18</v>
      </c>
      <c r="J328" s="40" t="str">
        <f>HYPERLINK("https://stock.pstatic.net/stock-research/company/61/20260810_company_680446000.pdf","PDF")</f>
        <v>PDF</v>
      </c>
      <c r="K328" s="12" t="s">
        <v>35567</v>
      </c>
      <c r="L328" s="12"/>
    </row>
    <row r="329" spans="1:12" x14ac:dyDescent="0.45">
      <c r="A329" s="12" t="s">
        <v>35439</v>
      </c>
      <c r="B329" s="12" t="s">
        <v>2688</v>
      </c>
      <c r="C329" s="13" t="s">
        <v>2689</v>
      </c>
      <c r="D329" s="13" t="s">
        <v>34</v>
      </c>
      <c r="E329" s="12" t="s">
        <v>35</v>
      </c>
      <c r="F329" s="14">
        <v>96000</v>
      </c>
      <c r="G329" s="14">
        <v>76600</v>
      </c>
      <c r="H329" s="13" t="s">
        <v>35568</v>
      </c>
      <c r="I329" s="40" t="s">
        <v>18</v>
      </c>
      <c r="J329" s="40" t="str">
        <f>HYPERLINK("https://stock.pstatic.net/stock-research/company/61/20260810_company_989833000.pdf","PDF")</f>
        <v>PDF</v>
      </c>
      <c r="K329" s="12" t="s">
        <v>35569</v>
      </c>
      <c r="L329" s="36">
        <v>0.25326370757180161</v>
      </c>
    </row>
    <row r="330" spans="1:12" x14ac:dyDescent="0.45">
      <c r="A330" s="12" t="s">
        <v>35439</v>
      </c>
      <c r="B330" s="12" t="s">
        <v>585</v>
      </c>
      <c r="C330" s="13" t="s">
        <v>586</v>
      </c>
      <c r="D330" s="13" t="s">
        <v>34</v>
      </c>
      <c r="E330" s="12" t="s">
        <v>50</v>
      </c>
      <c r="F330" s="13"/>
      <c r="G330" s="14">
        <v>49900</v>
      </c>
      <c r="H330" s="13" t="s">
        <v>35570</v>
      </c>
      <c r="I330" s="40" t="s">
        <v>18</v>
      </c>
      <c r="J330" s="40" t="str">
        <f>HYPERLINK("https://stock.pstatic.net/stock-research/company/61/20260810_company_934579000.pdf","PDF")</f>
        <v>PDF</v>
      </c>
      <c r="K330" s="12" t="s">
        <v>35571</v>
      </c>
      <c r="L330" s="12"/>
    </row>
    <row r="331" spans="1:12" x14ac:dyDescent="0.45">
      <c r="A331" s="12" t="s">
        <v>35439</v>
      </c>
      <c r="B331" s="12" t="s">
        <v>5517</v>
      </c>
      <c r="C331" s="13" t="s">
        <v>5518</v>
      </c>
      <c r="D331" s="13" t="s">
        <v>23</v>
      </c>
      <c r="E331" s="12" t="s">
        <v>50</v>
      </c>
      <c r="F331" s="13"/>
      <c r="G331" s="14">
        <v>9900</v>
      </c>
      <c r="H331" s="13" t="s">
        <v>35572</v>
      </c>
      <c r="I331" s="40" t="s">
        <v>18</v>
      </c>
      <c r="J331" s="40" t="str">
        <f>HYPERLINK("https://stock.pstatic.net/stock-research/company/21/20260810_company_866381000.pdf","PDF")</f>
        <v>PDF</v>
      </c>
      <c r="K331" s="12" t="s">
        <v>35573</v>
      </c>
      <c r="L331" s="12"/>
    </row>
    <row r="332" spans="1:12" x14ac:dyDescent="0.45">
      <c r="A332" s="12" t="s">
        <v>35439</v>
      </c>
      <c r="B332" s="12" t="s">
        <v>916</v>
      </c>
      <c r="C332" s="13" t="s">
        <v>917</v>
      </c>
      <c r="D332" s="13" t="s">
        <v>92</v>
      </c>
      <c r="E332" s="12" t="s">
        <v>35</v>
      </c>
      <c r="F332" s="14">
        <v>58000</v>
      </c>
      <c r="G332" s="14">
        <v>39900</v>
      </c>
      <c r="H332" s="13" t="s">
        <v>35574</v>
      </c>
      <c r="I332" s="40" t="s">
        <v>18</v>
      </c>
      <c r="J332" s="40" t="str">
        <f>HYPERLINK("https://stock.pstatic.net/stock-research/company/63/20260810_company_814342000.pdf","PDF")</f>
        <v>PDF</v>
      </c>
      <c r="K332" s="12" t="s">
        <v>35575</v>
      </c>
      <c r="L332" s="36">
        <v>0.45363408521303261</v>
      </c>
    </row>
    <row r="333" spans="1:12" x14ac:dyDescent="0.45">
      <c r="A333" s="12" t="s">
        <v>35439</v>
      </c>
      <c r="B333" s="12" t="s">
        <v>272</v>
      </c>
      <c r="C333" s="13" t="s">
        <v>273</v>
      </c>
      <c r="D333" s="13" t="s">
        <v>53</v>
      </c>
      <c r="E333" s="12" t="s">
        <v>16</v>
      </c>
      <c r="F333" s="14">
        <v>530000</v>
      </c>
      <c r="G333" s="14">
        <v>378500</v>
      </c>
      <c r="H333" s="13" t="s">
        <v>35576</v>
      </c>
      <c r="I333" s="40" t="s">
        <v>18</v>
      </c>
      <c r="J333" s="40" t="str">
        <f>HYPERLINK("https://stock.pstatic.net/stock-research/company/40/20260810_company_475367000.pdf","PDF")</f>
        <v>PDF</v>
      </c>
      <c r="K333" s="12" t="s">
        <v>35577</v>
      </c>
      <c r="L333" s="36">
        <v>0.40026420079260239</v>
      </c>
    </row>
    <row r="334" spans="1:12" x14ac:dyDescent="0.45">
      <c r="A334" s="12" t="s">
        <v>35439</v>
      </c>
      <c r="B334" s="12" t="s">
        <v>3628</v>
      </c>
      <c r="C334" s="13" t="s">
        <v>3629</v>
      </c>
      <c r="D334" s="13" t="s">
        <v>34</v>
      </c>
      <c r="E334" s="12" t="s">
        <v>50</v>
      </c>
      <c r="F334" s="13"/>
      <c r="G334" s="14">
        <v>15350</v>
      </c>
      <c r="H334" s="13" t="s">
        <v>35578</v>
      </c>
      <c r="I334" s="40" t="s">
        <v>18</v>
      </c>
      <c r="J334" s="40" t="str">
        <f>HYPERLINK("https://stock.pstatic.net/stock-research/company/61/20260810_company_907222000.pdf","PDF")</f>
        <v>PDF</v>
      </c>
      <c r="K334" s="12" t="s">
        <v>35579</v>
      </c>
      <c r="L334" s="12"/>
    </row>
    <row r="335" spans="1:12" x14ac:dyDescent="0.45">
      <c r="A335" s="12" t="s">
        <v>35439</v>
      </c>
      <c r="B335" s="12" t="s">
        <v>2187</v>
      </c>
      <c r="C335" s="13" t="s">
        <v>2188</v>
      </c>
      <c r="D335" s="13" t="s">
        <v>23</v>
      </c>
      <c r="E335" s="12" t="s">
        <v>16</v>
      </c>
      <c r="F335" s="14">
        <v>170000</v>
      </c>
      <c r="G335" s="14">
        <v>116900</v>
      </c>
      <c r="H335" s="13" t="s">
        <v>35580</v>
      </c>
      <c r="I335" s="40" t="s">
        <v>18</v>
      </c>
      <c r="J335" s="40" t="str">
        <f>HYPERLINK("https://stock.pstatic.net/stock-research/company/21/20260810_company_71279000.pdf","PDF")</f>
        <v>PDF</v>
      </c>
      <c r="K335" s="12" t="s">
        <v>35581</v>
      </c>
      <c r="L335" s="36">
        <v>0.4542343883661249</v>
      </c>
    </row>
    <row r="336" spans="1:12" x14ac:dyDescent="0.45">
      <c r="A336" s="12" t="s">
        <v>35439</v>
      </c>
      <c r="B336" s="12" t="s">
        <v>2040</v>
      </c>
      <c r="C336" s="13" t="s">
        <v>2041</v>
      </c>
      <c r="D336" s="13" t="s">
        <v>23</v>
      </c>
      <c r="E336" s="12" t="s">
        <v>16</v>
      </c>
      <c r="F336" s="14">
        <v>100000</v>
      </c>
      <c r="G336" s="14">
        <v>61000</v>
      </c>
      <c r="H336" s="13" t="s">
        <v>35582</v>
      </c>
      <c r="I336" s="40" t="s">
        <v>18</v>
      </c>
      <c r="J336" s="40" t="str">
        <f>HYPERLINK("https://stock.pstatic.net/stock-research/company/21/20260810_company_521265000.pdf","PDF")</f>
        <v>PDF</v>
      </c>
      <c r="K336" s="12" t="s">
        <v>35583</v>
      </c>
      <c r="L336" s="36">
        <v>0.63934426229508201</v>
      </c>
    </row>
    <row r="337" spans="1:12" x14ac:dyDescent="0.45">
      <c r="A337" s="12" t="s">
        <v>35439</v>
      </c>
      <c r="B337" s="12" t="s">
        <v>2205</v>
      </c>
      <c r="C337" s="13" t="s">
        <v>2206</v>
      </c>
      <c r="D337" s="13" t="s">
        <v>23</v>
      </c>
      <c r="E337" s="12" t="s">
        <v>16</v>
      </c>
      <c r="F337" s="14">
        <v>100000</v>
      </c>
      <c r="G337" s="14">
        <v>58600</v>
      </c>
      <c r="H337" s="13" t="s">
        <v>35584</v>
      </c>
      <c r="I337" s="40" t="s">
        <v>18</v>
      </c>
      <c r="J337" s="40" t="str">
        <f>HYPERLINK("https://stock.pstatic.net/stock-research/company/21/20260810_company_76315000.pdf","PDF")</f>
        <v>PDF</v>
      </c>
      <c r="K337" s="12" t="s">
        <v>35585</v>
      </c>
      <c r="L337" s="36">
        <v>0.70648464163822522</v>
      </c>
    </row>
    <row r="338" spans="1:12" x14ac:dyDescent="0.45">
      <c r="A338" s="12" t="s">
        <v>35439</v>
      </c>
      <c r="B338" s="12" t="s">
        <v>468</v>
      </c>
      <c r="C338" s="13" t="s">
        <v>469</v>
      </c>
      <c r="D338" s="13" t="s">
        <v>23</v>
      </c>
      <c r="E338" s="12" t="s">
        <v>16</v>
      </c>
      <c r="F338" s="14">
        <v>34000</v>
      </c>
      <c r="G338" s="14">
        <v>17400</v>
      </c>
      <c r="H338" s="13" t="s">
        <v>35586</v>
      </c>
      <c r="I338" s="40" t="s">
        <v>18</v>
      </c>
      <c r="J338" s="40" t="str">
        <f>HYPERLINK("https://stock.pstatic.net/stock-research/company/21/20260810_company_205115000.pdf","PDF")</f>
        <v>PDF</v>
      </c>
      <c r="K338" s="12" t="s">
        <v>35587</v>
      </c>
      <c r="L338" s="36">
        <v>0.95402298850574707</v>
      </c>
    </row>
    <row r="339" spans="1:12" x14ac:dyDescent="0.45">
      <c r="A339" s="12" t="s">
        <v>35439</v>
      </c>
      <c r="B339" s="12" t="s">
        <v>1652</v>
      </c>
      <c r="C339" s="13" t="s">
        <v>1653</v>
      </c>
      <c r="D339" s="13" t="s">
        <v>92</v>
      </c>
      <c r="E339" s="12" t="s">
        <v>35</v>
      </c>
      <c r="F339" s="14">
        <v>80000</v>
      </c>
      <c r="G339" s="14">
        <v>43850</v>
      </c>
      <c r="H339" s="13" t="s">
        <v>35588</v>
      </c>
      <c r="I339" s="40" t="s">
        <v>18</v>
      </c>
      <c r="J339" s="40" t="str">
        <f>HYPERLINK("https://stock.pstatic.net/stock-research/company/63/20260810_company_883727000.pdf","PDF")</f>
        <v>PDF</v>
      </c>
      <c r="K339" s="12" t="s">
        <v>35589</v>
      </c>
      <c r="L339" s="36">
        <v>0.82440136830102617</v>
      </c>
    </row>
    <row r="340" spans="1:12" x14ac:dyDescent="0.45">
      <c r="A340" s="12" t="s">
        <v>35439</v>
      </c>
      <c r="B340" s="12" t="s">
        <v>2225</v>
      </c>
      <c r="C340" s="13" t="s">
        <v>2226</v>
      </c>
      <c r="D340" s="13" t="s">
        <v>179</v>
      </c>
      <c r="E340" s="12" t="s">
        <v>16</v>
      </c>
      <c r="F340" s="14">
        <v>1300000</v>
      </c>
      <c r="G340" s="14">
        <v>741000</v>
      </c>
      <c r="H340" s="13" t="s">
        <v>35590</v>
      </c>
      <c r="I340" s="40" t="s">
        <v>18</v>
      </c>
      <c r="J340" s="40" t="str">
        <f>HYPERLINK("https://stock.pstatic.net/stock-research/company/64/20260810_company_570346000.pdf","PDF")</f>
        <v>PDF</v>
      </c>
      <c r="K340" s="12" t="s">
        <v>35591</v>
      </c>
      <c r="L340" s="36">
        <v>0.75438596491228072</v>
      </c>
    </row>
    <row r="341" spans="1:12" x14ac:dyDescent="0.45">
      <c r="A341" s="12" t="s">
        <v>35439</v>
      </c>
      <c r="B341" s="12" t="s">
        <v>1101</v>
      </c>
      <c r="C341" s="13" t="s">
        <v>1102</v>
      </c>
      <c r="D341" s="13" t="s">
        <v>23</v>
      </c>
      <c r="E341" s="12" t="s">
        <v>16</v>
      </c>
      <c r="F341" s="14">
        <v>38000</v>
      </c>
      <c r="G341" s="14">
        <v>23300</v>
      </c>
      <c r="H341" s="13" t="s">
        <v>12442</v>
      </c>
      <c r="I341" s="40" t="s">
        <v>18</v>
      </c>
      <c r="J341" s="40" t="str">
        <f>HYPERLINK("https://stock.pstatic.net/stock-research/company/21/20260810_company_99166000.pdf","PDF")</f>
        <v>PDF</v>
      </c>
      <c r="K341" s="12" t="s">
        <v>35592</v>
      </c>
      <c r="L341" s="36">
        <v>0.63090128755364805</v>
      </c>
    </row>
    <row r="342" spans="1:12" x14ac:dyDescent="0.45">
      <c r="A342" s="12" t="s">
        <v>35439</v>
      </c>
      <c r="B342" s="12" t="s">
        <v>537</v>
      </c>
      <c r="C342" s="13" t="s">
        <v>538</v>
      </c>
      <c r="D342" s="13" t="s">
        <v>34</v>
      </c>
      <c r="E342" s="12" t="s">
        <v>35</v>
      </c>
      <c r="F342" s="14">
        <v>19500</v>
      </c>
      <c r="G342" s="14">
        <v>15000</v>
      </c>
      <c r="H342" s="13" t="s">
        <v>35593</v>
      </c>
      <c r="I342" s="40" t="s">
        <v>18</v>
      </c>
      <c r="J342" s="40" t="str">
        <f>HYPERLINK("https://stock.pstatic.net/stock-research/company/61/20260810_company_654601000.pdf","PDF")</f>
        <v>PDF</v>
      </c>
      <c r="K342" s="12" t="s">
        <v>35594</v>
      </c>
      <c r="L342" s="36">
        <v>0.3</v>
      </c>
    </row>
    <row r="343" spans="1:12" x14ac:dyDescent="0.45">
      <c r="A343" s="12" t="s">
        <v>35439</v>
      </c>
      <c r="B343" s="12" t="s">
        <v>272</v>
      </c>
      <c r="C343" s="13" t="s">
        <v>273</v>
      </c>
      <c r="D343" s="13" t="s">
        <v>23</v>
      </c>
      <c r="E343" s="12" t="s">
        <v>16</v>
      </c>
      <c r="F343" s="14">
        <v>510000</v>
      </c>
      <c r="G343" s="14">
        <v>378500</v>
      </c>
      <c r="H343" s="13" t="s">
        <v>35595</v>
      </c>
      <c r="I343" s="40" t="s">
        <v>18</v>
      </c>
      <c r="J343" s="40" t="str">
        <f>HYPERLINK("https://stock.pstatic.net/stock-research/company/21/20260810_company_783488000.pdf","PDF")</f>
        <v>PDF</v>
      </c>
      <c r="K343" s="12" t="s">
        <v>35596</v>
      </c>
      <c r="L343" s="36">
        <v>0.34742404227212681</v>
      </c>
    </row>
    <row r="344" spans="1:12" x14ac:dyDescent="0.45">
      <c r="A344" s="12" t="s">
        <v>35439</v>
      </c>
      <c r="B344" s="12" t="s">
        <v>541</v>
      </c>
      <c r="C344" s="13" t="s">
        <v>542</v>
      </c>
      <c r="D344" s="13" t="s">
        <v>34</v>
      </c>
      <c r="E344" s="12" t="s">
        <v>35</v>
      </c>
      <c r="F344" s="14">
        <v>112000</v>
      </c>
      <c r="G344" s="14">
        <v>88200</v>
      </c>
      <c r="H344" s="13" t="s">
        <v>35597</v>
      </c>
      <c r="I344" s="40" t="s">
        <v>18</v>
      </c>
      <c r="J344" s="40" t="str">
        <f>HYPERLINK("https://stock.pstatic.net/stock-research/company/61/20260810_company_720661000.pdf","PDF")</f>
        <v>PDF</v>
      </c>
      <c r="K344" s="12" t="s">
        <v>35598</v>
      </c>
      <c r="L344" s="36">
        <v>0.26984126984126983</v>
      </c>
    </row>
    <row r="345" spans="1:12" x14ac:dyDescent="0.45">
      <c r="A345" s="12" t="s">
        <v>35439</v>
      </c>
      <c r="B345" s="12" t="s">
        <v>1136</v>
      </c>
      <c r="C345" s="13" t="s">
        <v>1137</v>
      </c>
      <c r="D345" s="13" t="s">
        <v>179</v>
      </c>
      <c r="E345" s="12" t="s">
        <v>16</v>
      </c>
      <c r="F345" s="14">
        <v>49000</v>
      </c>
      <c r="G345" s="14">
        <v>23100</v>
      </c>
      <c r="H345" s="13" t="s">
        <v>35599</v>
      </c>
      <c r="I345" s="40" t="s">
        <v>18</v>
      </c>
      <c r="J345" s="40" t="str">
        <f>HYPERLINK("https://stock.pstatic.net/stock-research/company/64/20260810_company_30347000.pdf","PDF")</f>
        <v>PDF</v>
      </c>
      <c r="K345" s="12" t="s">
        <v>35600</v>
      </c>
      <c r="L345" s="36">
        <v>1.1212121212121211</v>
      </c>
    </row>
    <row r="346" spans="1:12" x14ac:dyDescent="0.45">
      <c r="A346" s="12" t="s">
        <v>35439</v>
      </c>
      <c r="B346" s="12" t="s">
        <v>2040</v>
      </c>
      <c r="C346" s="13" t="s">
        <v>2041</v>
      </c>
      <c r="D346" s="13" t="s">
        <v>92</v>
      </c>
      <c r="E346" s="12" t="s">
        <v>35</v>
      </c>
      <c r="F346" s="14">
        <v>106000</v>
      </c>
      <c r="G346" s="14">
        <v>61000</v>
      </c>
      <c r="H346" s="13" t="s">
        <v>35601</v>
      </c>
      <c r="I346" s="40" t="s">
        <v>18</v>
      </c>
      <c r="J346" s="40" t="str">
        <f>HYPERLINK("https://stock.pstatic.net/stock-research/company/63/20260810_company_332951000.pdf","PDF")</f>
        <v>PDF</v>
      </c>
      <c r="K346" s="12" t="s">
        <v>35602</v>
      </c>
      <c r="L346" s="36">
        <v>0.73770491803278693</v>
      </c>
    </row>
    <row r="347" spans="1:12" x14ac:dyDescent="0.45">
      <c r="A347" s="12" t="s">
        <v>35439</v>
      </c>
      <c r="B347" s="12" t="s">
        <v>1670</v>
      </c>
      <c r="C347" s="13" t="s">
        <v>1671</v>
      </c>
      <c r="D347" s="13" t="s">
        <v>23</v>
      </c>
      <c r="E347" s="12" t="s">
        <v>16</v>
      </c>
      <c r="F347" s="14">
        <v>200000</v>
      </c>
      <c r="G347" s="14">
        <v>129600</v>
      </c>
      <c r="H347" s="13" t="s">
        <v>35603</v>
      </c>
      <c r="I347" s="40" t="s">
        <v>18</v>
      </c>
      <c r="J347" s="40" t="str">
        <f>HYPERLINK("https://stock.pstatic.net/stock-research/company/21/20260810_company_284484000.pdf","PDF")</f>
        <v>PDF</v>
      </c>
      <c r="K347" s="12" t="s">
        <v>35604</v>
      </c>
      <c r="L347" s="36">
        <v>0.54320987654320985</v>
      </c>
    </row>
    <row r="348" spans="1:12" x14ac:dyDescent="0.45">
      <c r="A348" s="12" t="s">
        <v>35439</v>
      </c>
      <c r="B348" s="12" t="s">
        <v>1734</v>
      </c>
      <c r="C348" s="13" t="s">
        <v>1735</v>
      </c>
      <c r="D348" s="13" t="s">
        <v>23</v>
      </c>
      <c r="E348" s="12" t="s">
        <v>16</v>
      </c>
      <c r="F348" s="14">
        <v>42000</v>
      </c>
      <c r="G348" s="14">
        <v>35750</v>
      </c>
      <c r="H348" s="13" t="s">
        <v>35605</v>
      </c>
      <c r="I348" s="40" t="s">
        <v>18</v>
      </c>
      <c r="J348" s="40" t="str">
        <f>HYPERLINK("https://stock.pstatic.net/stock-research/company/21/20260810_company_304005000.pdf","PDF")</f>
        <v>PDF</v>
      </c>
      <c r="K348" s="12" t="s">
        <v>35606</v>
      </c>
      <c r="L348" s="36">
        <v>0.17482517482517479</v>
      </c>
    </row>
    <row r="349" spans="1:12" x14ac:dyDescent="0.45">
      <c r="A349" s="12" t="s">
        <v>35439</v>
      </c>
      <c r="B349" s="12" t="s">
        <v>27</v>
      </c>
      <c r="C349" s="13" t="s">
        <v>28</v>
      </c>
      <c r="D349" s="13" t="s">
        <v>23</v>
      </c>
      <c r="E349" s="12" t="s">
        <v>16</v>
      </c>
      <c r="F349" s="14">
        <v>165000</v>
      </c>
      <c r="G349" s="14">
        <v>99700</v>
      </c>
      <c r="H349" s="13" t="s">
        <v>35607</v>
      </c>
      <c r="I349" s="40" t="s">
        <v>18</v>
      </c>
      <c r="J349" s="40" t="str">
        <f>HYPERLINK("https://stock.pstatic.net/stock-research/company/21/20260810_company_699659000.pdf","PDF")</f>
        <v>PDF</v>
      </c>
      <c r="K349" s="12" t="s">
        <v>35608</v>
      </c>
      <c r="L349" s="36">
        <v>0.65496489468405217</v>
      </c>
    </row>
    <row r="350" spans="1:12" x14ac:dyDescent="0.45">
      <c r="A350" s="12" t="s">
        <v>35439</v>
      </c>
      <c r="B350" s="12" t="s">
        <v>1184</v>
      </c>
      <c r="C350" s="13" t="s">
        <v>1185</v>
      </c>
      <c r="D350" s="13" t="s">
        <v>23</v>
      </c>
      <c r="E350" s="12" t="s">
        <v>16</v>
      </c>
      <c r="F350" s="14">
        <v>33000</v>
      </c>
      <c r="G350" s="14">
        <v>28350</v>
      </c>
      <c r="H350" s="13" t="s">
        <v>35609</v>
      </c>
      <c r="I350" s="40" t="s">
        <v>18</v>
      </c>
      <c r="J350" s="40" t="str">
        <f>HYPERLINK("https://stock.pstatic.net/stock-research/company/21/20260810_company_970064000.pdf","PDF")</f>
        <v>PDF</v>
      </c>
      <c r="K350" s="12" t="s">
        <v>35610</v>
      </c>
      <c r="L350" s="36">
        <v>0.16402116402116401</v>
      </c>
    </row>
    <row r="351" spans="1:12" x14ac:dyDescent="0.45">
      <c r="A351" s="12" t="s">
        <v>35439</v>
      </c>
      <c r="B351" s="12" t="s">
        <v>42</v>
      </c>
      <c r="C351" s="13" t="s">
        <v>43</v>
      </c>
      <c r="D351" s="13" t="s">
        <v>23</v>
      </c>
      <c r="E351" s="12" t="s">
        <v>16</v>
      </c>
      <c r="F351" s="14">
        <v>270000</v>
      </c>
      <c r="G351" s="14">
        <v>210000</v>
      </c>
      <c r="H351" s="13" t="s">
        <v>35611</v>
      </c>
      <c r="I351" s="40" t="s">
        <v>18</v>
      </c>
      <c r="J351" s="40" t="str">
        <f>HYPERLINK("https://stock.pstatic.net/stock-research/company/21/20260810_company_866643000.pdf","PDF")</f>
        <v>PDF</v>
      </c>
      <c r="K351" s="12" t="s">
        <v>35612</v>
      </c>
      <c r="L351" s="36">
        <v>0.2857142857142857</v>
      </c>
    </row>
    <row r="352" spans="1:12" x14ac:dyDescent="0.45">
      <c r="A352" s="12" t="s">
        <v>35439</v>
      </c>
      <c r="B352" s="12" t="s">
        <v>2231</v>
      </c>
      <c r="C352" s="13" t="s">
        <v>2232</v>
      </c>
      <c r="D352" s="13" t="s">
        <v>23</v>
      </c>
      <c r="E352" s="12" t="s">
        <v>16</v>
      </c>
      <c r="F352" s="14">
        <v>115000</v>
      </c>
      <c r="G352" s="14">
        <v>95700</v>
      </c>
      <c r="H352" s="13" t="s">
        <v>35613</v>
      </c>
      <c r="I352" s="40" t="s">
        <v>18</v>
      </c>
      <c r="J352" s="40" t="str">
        <f>HYPERLINK("https://stock.pstatic.net/stock-research/company/21/20260810_company_548692000.pdf","PDF")</f>
        <v>PDF</v>
      </c>
      <c r="K352" s="12" t="s">
        <v>35614</v>
      </c>
      <c r="L352" s="36">
        <v>0.2016718913270637</v>
      </c>
    </row>
    <row r="353" spans="1:12" x14ac:dyDescent="0.45">
      <c r="A353" s="12" t="s">
        <v>35439</v>
      </c>
      <c r="B353" s="12" t="s">
        <v>1670</v>
      </c>
      <c r="C353" s="13" t="s">
        <v>1671</v>
      </c>
      <c r="D353" s="13" t="s">
        <v>92</v>
      </c>
      <c r="E353" s="12" t="s">
        <v>35</v>
      </c>
      <c r="F353" s="14">
        <v>177000</v>
      </c>
      <c r="G353" s="14">
        <v>129600</v>
      </c>
      <c r="H353" s="13" t="s">
        <v>35615</v>
      </c>
      <c r="I353" s="40" t="s">
        <v>18</v>
      </c>
      <c r="J353" s="40" t="str">
        <f>HYPERLINK("https://stock.pstatic.net/stock-research/company/63/20260810_company_205784000.pdf","PDF")</f>
        <v>PDF</v>
      </c>
      <c r="K353" s="12" t="s">
        <v>35616</v>
      </c>
      <c r="L353" s="36">
        <v>0.36574074074074081</v>
      </c>
    </row>
    <row r="354" spans="1:12" x14ac:dyDescent="0.45">
      <c r="A354" s="12" t="s">
        <v>35439</v>
      </c>
      <c r="B354" s="12" t="s">
        <v>114</v>
      </c>
      <c r="C354" s="13" t="s">
        <v>115</v>
      </c>
      <c r="D354" s="13" t="s">
        <v>53</v>
      </c>
      <c r="E354" s="12" t="s">
        <v>16</v>
      </c>
      <c r="F354" s="14">
        <v>20000</v>
      </c>
      <c r="G354" s="14">
        <v>13030</v>
      </c>
      <c r="H354" s="13" t="s">
        <v>35617</v>
      </c>
      <c r="I354" s="40" t="s">
        <v>18</v>
      </c>
      <c r="J354" s="40" t="str">
        <f>HYPERLINK("https://stock.pstatic.net/stock-research/company/40/20260810_company_278849000.pdf","PDF")</f>
        <v>PDF</v>
      </c>
      <c r="K354" s="12" t="s">
        <v>35618</v>
      </c>
      <c r="L354" s="36">
        <v>0.5349194167306216</v>
      </c>
    </row>
    <row r="355" spans="1:12" x14ac:dyDescent="0.45">
      <c r="A355" s="12" t="s">
        <v>35439</v>
      </c>
      <c r="B355" s="12" t="s">
        <v>27</v>
      </c>
      <c r="C355" s="13" t="s">
        <v>28</v>
      </c>
      <c r="D355" s="13" t="s">
        <v>44</v>
      </c>
      <c r="E355" s="12" t="s">
        <v>35</v>
      </c>
      <c r="F355" s="14">
        <v>210000</v>
      </c>
      <c r="G355" s="14">
        <v>99700</v>
      </c>
      <c r="H355" s="13" t="s">
        <v>35619</v>
      </c>
      <c r="I355" s="40" t="s">
        <v>18</v>
      </c>
      <c r="J355" s="40" t="str">
        <f>HYPERLINK("https://stock.pstatic.net/stock-research/company/39/20260810_company_242638000.pdf","PDF")</f>
        <v>PDF</v>
      </c>
      <c r="K355" s="12" t="s">
        <v>35620</v>
      </c>
      <c r="L355" s="36">
        <v>1.106318956870612</v>
      </c>
    </row>
    <row r="356" spans="1:12" x14ac:dyDescent="0.45">
      <c r="A356" s="12" t="s">
        <v>35439</v>
      </c>
      <c r="B356" s="12" t="s">
        <v>1184</v>
      </c>
      <c r="C356" s="13" t="s">
        <v>1185</v>
      </c>
      <c r="D356" s="13" t="s">
        <v>44</v>
      </c>
      <c r="E356" s="12" t="s">
        <v>35</v>
      </c>
      <c r="F356" s="14">
        <v>35000</v>
      </c>
      <c r="G356" s="14">
        <v>28350</v>
      </c>
      <c r="H356" s="13" t="s">
        <v>35621</v>
      </c>
      <c r="I356" s="40" t="s">
        <v>18</v>
      </c>
      <c r="J356" s="40" t="str">
        <f>HYPERLINK("https://stock.pstatic.net/stock-research/company/39/20260810_company_773998000.pdf","PDF")</f>
        <v>PDF</v>
      </c>
      <c r="K356" s="12" t="s">
        <v>35622</v>
      </c>
      <c r="L356" s="36">
        <v>0.23456790123456789</v>
      </c>
    </row>
    <row r="357" spans="1:12" x14ac:dyDescent="0.45">
      <c r="A357" s="12" t="s">
        <v>35439</v>
      </c>
      <c r="B357" s="12" t="s">
        <v>2187</v>
      </c>
      <c r="C357" s="13" t="s">
        <v>2188</v>
      </c>
      <c r="D357" s="13" t="s">
        <v>44</v>
      </c>
      <c r="E357" s="12" t="s">
        <v>35</v>
      </c>
      <c r="F357" s="14">
        <v>170000</v>
      </c>
      <c r="G357" s="14">
        <v>116900</v>
      </c>
      <c r="H357" s="13" t="s">
        <v>35623</v>
      </c>
      <c r="I357" s="40" t="s">
        <v>18</v>
      </c>
      <c r="J357" s="40" t="str">
        <f>HYPERLINK("https://stock.pstatic.net/stock-research/company/39/20260810_company_375461000.pdf","PDF")</f>
        <v>PDF</v>
      </c>
      <c r="K357" s="12" t="s">
        <v>35624</v>
      </c>
      <c r="L357" s="36">
        <v>0.4542343883661249</v>
      </c>
    </row>
    <row r="358" spans="1:12" x14ac:dyDescent="0.45">
      <c r="A358" s="12" t="s">
        <v>35439</v>
      </c>
      <c r="B358" s="12" t="s">
        <v>370</v>
      </c>
      <c r="C358" s="13" t="s">
        <v>371</v>
      </c>
      <c r="D358" s="13" t="s">
        <v>44</v>
      </c>
      <c r="E358" s="12" t="s">
        <v>35</v>
      </c>
      <c r="F358" s="14">
        <v>60000</v>
      </c>
      <c r="G358" s="14">
        <v>41550</v>
      </c>
      <c r="H358" s="13" t="s">
        <v>35625</v>
      </c>
      <c r="I358" s="40" t="s">
        <v>18</v>
      </c>
      <c r="J358" s="40" t="str">
        <f>HYPERLINK("https://stock.pstatic.net/stock-research/company/39/20260810_company_324406000.pdf","PDF")</f>
        <v>PDF</v>
      </c>
      <c r="K358" s="12" t="s">
        <v>35626</v>
      </c>
      <c r="L358" s="36">
        <v>0.44404332129963903</v>
      </c>
    </row>
    <row r="359" spans="1:12" x14ac:dyDescent="0.45">
      <c r="A359" s="12" t="s">
        <v>35439</v>
      </c>
      <c r="B359" s="12" t="s">
        <v>2040</v>
      </c>
      <c r="C359" s="13" t="s">
        <v>2041</v>
      </c>
      <c r="D359" s="13" t="s">
        <v>34</v>
      </c>
      <c r="E359" s="12" t="s">
        <v>35</v>
      </c>
      <c r="F359" s="14">
        <v>100000</v>
      </c>
      <c r="G359" s="14">
        <v>61000</v>
      </c>
      <c r="H359" s="13" t="s">
        <v>35627</v>
      </c>
      <c r="I359" s="40" t="s">
        <v>18</v>
      </c>
      <c r="J359" s="40" t="str">
        <f>HYPERLINK("https://stock.pstatic.net/stock-research/company/61/20260810_company_892880000.pdf","PDF")</f>
        <v>PDF</v>
      </c>
      <c r="K359" s="12" t="s">
        <v>35628</v>
      </c>
      <c r="L359" s="36">
        <v>0.63934426229508201</v>
      </c>
    </row>
    <row r="360" spans="1:12" x14ac:dyDescent="0.45">
      <c r="A360" s="12" t="s">
        <v>35439</v>
      </c>
      <c r="B360" s="12" t="s">
        <v>1670</v>
      </c>
      <c r="C360" s="13" t="s">
        <v>1671</v>
      </c>
      <c r="D360" s="13" t="s">
        <v>34</v>
      </c>
      <c r="E360" s="12" t="s">
        <v>35</v>
      </c>
      <c r="F360" s="14">
        <v>170000</v>
      </c>
      <c r="G360" s="14">
        <v>129600</v>
      </c>
      <c r="H360" s="13" t="s">
        <v>35629</v>
      </c>
      <c r="I360" s="40" t="s">
        <v>18</v>
      </c>
      <c r="J360" s="40" t="str">
        <f>HYPERLINK("https://stock.pstatic.net/stock-research/company/61/20260810_company_752948000.pdf","PDF")</f>
        <v>PDF</v>
      </c>
      <c r="K360" s="12" t="s">
        <v>35630</v>
      </c>
      <c r="L360" s="36">
        <v>0.31172839506172839</v>
      </c>
    </row>
    <row r="361" spans="1:12" x14ac:dyDescent="0.45">
      <c r="A361" s="12" t="s">
        <v>35439</v>
      </c>
      <c r="B361" s="12" t="s">
        <v>1648</v>
      </c>
      <c r="C361" s="13" t="s">
        <v>1649</v>
      </c>
      <c r="D361" s="13" t="s">
        <v>44</v>
      </c>
      <c r="E361" s="12" t="s">
        <v>35</v>
      </c>
      <c r="F361" s="14">
        <v>110000</v>
      </c>
      <c r="G361" s="14">
        <v>75600</v>
      </c>
      <c r="H361" s="13" t="s">
        <v>35631</v>
      </c>
      <c r="I361" s="40" t="s">
        <v>18</v>
      </c>
      <c r="J361" s="40" t="str">
        <f>HYPERLINK("https://stock.pstatic.net/stock-research/company/39/20260810_company_332371000.pdf","PDF")</f>
        <v>PDF</v>
      </c>
      <c r="K361" s="12" t="s">
        <v>35632</v>
      </c>
      <c r="L361" s="36">
        <v>0.455026455026455</v>
      </c>
    </row>
    <row r="362" spans="1:12" x14ac:dyDescent="0.45">
      <c r="A362" s="12" t="s">
        <v>35439</v>
      </c>
      <c r="B362" s="12" t="s">
        <v>4206</v>
      </c>
      <c r="C362" s="13" t="s">
        <v>4207</v>
      </c>
      <c r="D362" s="13" t="s">
        <v>44</v>
      </c>
      <c r="E362" s="12" t="s">
        <v>35</v>
      </c>
      <c r="F362" s="14">
        <v>59000</v>
      </c>
      <c r="G362" s="14">
        <v>47600</v>
      </c>
      <c r="H362" s="13" t="s">
        <v>35633</v>
      </c>
      <c r="I362" s="40" t="s">
        <v>18</v>
      </c>
      <c r="J362" s="40" t="str">
        <f>HYPERLINK("https://stock.pstatic.net/stock-research/company/39/20260810_company_368521000.pdf","PDF")</f>
        <v>PDF</v>
      </c>
      <c r="K362" s="12" t="s">
        <v>35634</v>
      </c>
      <c r="L362" s="36">
        <v>0.23949579831932771</v>
      </c>
    </row>
    <row r="363" spans="1:12" x14ac:dyDescent="0.45">
      <c r="A363" s="12" t="s">
        <v>35439</v>
      </c>
      <c r="B363" s="12" t="s">
        <v>1652</v>
      </c>
      <c r="C363" s="13" t="s">
        <v>1653</v>
      </c>
      <c r="D363" s="13" t="s">
        <v>44</v>
      </c>
      <c r="E363" s="12" t="s">
        <v>35</v>
      </c>
      <c r="F363" s="14">
        <v>76000</v>
      </c>
      <c r="G363" s="14">
        <v>43850</v>
      </c>
      <c r="H363" s="13" t="s">
        <v>35635</v>
      </c>
      <c r="I363" s="40" t="s">
        <v>18</v>
      </c>
      <c r="J363" s="40" t="str">
        <f>HYPERLINK("https://stock.pstatic.net/stock-research/company/39/20260810_company_103905000.pdf","PDF")</f>
        <v>PDF</v>
      </c>
      <c r="K363" s="12" t="s">
        <v>35636</v>
      </c>
      <c r="L363" s="36">
        <v>0.73318129988597491</v>
      </c>
    </row>
    <row r="364" spans="1:12" x14ac:dyDescent="0.45">
      <c r="A364" s="12" t="s">
        <v>35439</v>
      </c>
      <c r="B364" s="12" t="s">
        <v>272</v>
      </c>
      <c r="C364" s="13" t="s">
        <v>273</v>
      </c>
      <c r="D364" s="13" t="s">
        <v>44</v>
      </c>
      <c r="E364" s="12" t="s">
        <v>35</v>
      </c>
      <c r="F364" s="14">
        <v>520000</v>
      </c>
      <c r="G364" s="14">
        <v>378500</v>
      </c>
      <c r="H364" s="13" t="s">
        <v>35637</v>
      </c>
      <c r="I364" s="40" t="s">
        <v>18</v>
      </c>
      <c r="J364" s="40" t="str">
        <f>HYPERLINK("https://stock.pstatic.net/stock-research/company/39/20260810_company_144360000.pdf","PDF")</f>
        <v>PDF</v>
      </c>
      <c r="K364" s="12" t="s">
        <v>35638</v>
      </c>
      <c r="L364" s="36">
        <v>0.37384412153236463</v>
      </c>
    </row>
    <row r="365" spans="1:12" x14ac:dyDescent="0.45">
      <c r="A365" s="12" t="s">
        <v>35439</v>
      </c>
      <c r="B365" s="12" t="s">
        <v>1176</v>
      </c>
      <c r="C365" s="13" t="s">
        <v>1177</v>
      </c>
      <c r="D365" s="13" t="s">
        <v>179</v>
      </c>
      <c r="E365" s="12" t="s">
        <v>16</v>
      </c>
      <c r="F365" s="14">
        <v>20000</v>
      </c>
      <c r="G365" s="14">
        <v>12190</v>
      </c>
      <c r="H365" s="13" t="s">
        <v>35639</v>
      </c>
      <c r="I365" s="40" t="s">
        <v>18</v>
      </c>
      <c r="J365" s="40" t="str">
        <f>HYPERLINK("https://stock.pstatic.net/stock-research/company/64/20260810_company_483126000.pdf","PDF")</f>
        <v>PDF</v>
      </c>
      <c r="K365" s="12" t="s">
        <v>35640</v>
      </c>
      <c r="L365" s="36">
        <v>0.64068908941755542</v>
      </c>
    </row>
    <row r="366" spans="1:12" x14ac:dyDescent="0.45">
      <c r="A366" s="12" t="s">
        <v>35439</v>
      </c>
      <c r="B366" s="12" t="s">
        <v>468</v>
      </c>
      <c r="C366" s="13" t="s">
        <v>469</v>
      </c>
      <c r="D366" s="13" t="s">
        <v>92</v>
      </c>
      <c r="E366" s="12" t="s">
        <v>35</v>
      </c>
      <c r="F366" s="14">
        <v>30000</v>
      </c>
      <c r="G366" s="14">
        <v>17400</v>
      </c>
      <c r="H366" s="13" t="s">
        <v>35641</v>
      </c>
      <c r="I366" s="40" t="s">
        <v>18</v>
      </c>
      <c r="J366" s="40" t="str">
        <f>HYPERLINK("https://stock.pstatic.net/stock-research/company/63/20260810_company_228634000.pdf","PDF")</f>
        <v>PDF</v>
      </c>
      <c r="K366" s="12" t="s">
        <v>35642</v>
      </c>
      <c r="L366" s="36">
        <v>0.72413793103448276</v>
      </c>
    </row>
    <row r="367" spans="1:12" x14ac:dyDescent="0.45">
      <c r="A367" s="12" t="s">
        <v>35439</v>
      </c>
      <c r="B367" s="12" t="s">
        <v>2308</v>
      </c>
      <c r="C367" s="13" t="s">
        <v>2309</v>
      </c>
      <c r="D367" s="13" t="s">
        <v>92</v>
      </c>
      <c r="E367" s="12" t="s">
        <v>35</v>
      </c>
      <c r="F367" s="14">
        <v>21000</v>
      </c>
      <c r="G367" s="14">
        <v>14460</v>
      </c>
      <c r="H367" s="13" t="s">
        <v>35643</v>
      </c>
      <c r="I367" s="40" t="s">
        <v>18</v>
      </c>
      <c r="J367" s="40" t="str">
        <f>HYPERLINK("https://stock.pstatic.net/stock-research/company/63/20260810_company_155137000.pdf","PDF")</f>
        <v>PDF</v>
      </c>
      <c r="K367" s="12" t="s">
        <v>35644</v>
      </c>
      <c r="L367" s="36">
        <v>0.45228215767634861</v>
      </c>
    </row>
    <row r="368" spans="1:12" x14ac:dyDescent="0.45">
      <c r="A368" s="12" t="s">
        <v>35439</v>
      </c>
      <c r="B368" s="12" t="s">
        <v>1918</v>
      </c>
      <c r="C368" s="13" t="s">
        <v>1919</v>
      </c>
      <c r="D368" s="13" t="s">
        <v>92</v>
      </c>
      <c r="E368" s="12" t="s">
        <v>35</v>
      </c>
      <c r="F368" s="14">
        <v>6300</v>
      </c>
      <c r="G368" s="14">
        <v>3780</v>
      </c>
      <c r="H368" s="13" t="s">
        <v>35645</v>
      </c>
      <c r="I368" s="40" t="s">
        <v>18</v>
      </c>
      <c r="J368" s="40" t="str">
        <f>HYPERLINK("https://stock.pstatic.net/stock-research/company/63/20260810_company_191945000.pdf","PDF")</f>
        <v>PDF</v>
      </c>
      <c r="K368" s="12" t="s">
        <v>35646</v>
      </c>
      <c r="L368" s="36">
        <v>0.66666666666666663</v>
      </c>
    </row>
    <row r="369" spans="1:12" x14ac:dyDescent="0.45">
      <c r="A369" s="12" t="s">
        <v>35439</v>
      </c>
      <c r="B369" s="12" t="s">
        <v>35647</v>
      </c>
      <c r="C369" s="13" t="s">
        <v>35648</v>
      </c>
      <c r="D369" s="13" t="s">
        <v>124</v>
      </c>
      <c r="E369" s="12" t="s">
        <v>50</v>
      </c>
      <c r="F369" s="13"/>
      <c r="G369" s="13"/>
      <c r="H369" s="13" t="s">
        <v>35649</v>
      </c>
      <c r="I369" s="40" t="s">
        <v>18</v>
      </c>
      <c r="J369" s="40" t="str">
        <f>HYPERLINK("https://stock.pstatic.net/stock-research/company/74/20260810_company_126309000.pdf","PDF")</f>
        <v>PDF</v>
      </c>
      <c r="K369" s="12" t="s">
        <v>35650</v>
      </c>
      <c r="L369" s="12"/>
    </row>
    <row r="370" spans="1:12" x14ac:dyDescent="0.45">
      <c r="A370" s="12" t="s">
        <v>35439</v>
      </c>
      <c r="B370" s="12" t="s">
        <v>1670</v>
      </c>
      <c r="C370" s="13" t="s">
        <v>1671</v>
      </c>
      <c r="D370" s="13" t="s">
        <v>15</v>
      </c>
      <c r="E370" s="12" t="s">
        <v>16</v>
      </c>
      <c r="F370" s="14">
        <v>160000</v>
      </c>
      <c r="G370" s="14">
        <v>129600</v>
      </c>
      <c r="H370" s="13" t="s">
        <v>35651</v>
      </c>
      <c r="I370" s="40" t="s">
        <v>18</v>
      </c>
      <c r="J370" s="40" t="str">
        <f>HYPERLINK("https://stock.pstatic.net/stock-research/company/56/20260810_company_454190000.pdf","PDF")</f>
        <v>PDF</v>
      </c>
      <c r="K370" s="12" t="s">
        <v>35652</v>
      </c>
      <c r="L370" s="36">
        <v>0.23456790123456789</v>
      </c>
    </row>
    <row r="371" spans="1:12" x14ac:dyDescent="0.45">
      <c r="A371" s="12" t="s">
        <v>35439</v>
      </c>
      <c r="B371" s="12" t="s">
        <v>2933</v>
      </c>
      <c r="C371" s="13" t="s">
        <v>2934</v>
      </c>
      <c r="D371" s="13" t="s">
        <v>15</v>
      </c>
      <c r="E371" s="12" t="s">
        <v>16</v>
      </c>
      <c r="F371" s="14">
        <v>250000</v>
      </c>
      <c r="G371" s="14">
        <v>157300</v>
      </c>
      <c r="H371" s="13" t="s">
        <v>35653</v>
      </c>
      <c r="I371" s="40" t="s">
        <v>18</v>
      </c>
      <c r="J371" s="40" t="str">
        <f>HYPERLINK("https://stock.pstatic.net/stock-research/company/56/20260810_company_599102000.pdf","PDF")</f>
        <v>PDF</v>
      </c>
      <c r="K371" s="12" t="s">
        <v>35654</v>
      </c>
      <c r="L371" s="36">
        <v>0.58931977113795297</v>
      </c>
    </row>
    <row r="372" spans="1:12" x14ac:dyDescent="0.45">
      <c r="A372" s="12" t="s">
        <v>35439</v>
      </c>
      <c r="B372" s="12" t="s">
        <v>1652</v>
      </c>
      <c r="C372" s="13" t="s">
        <v>1653</v>
      </c>
      <c r="D372" s="13" t="s">
        <v>15</v>
      </c>
      <c r="E372" s="12" t="s">
        <v>16</v>
      </c>
      <c r="F372" s="14">
        <v>74000</v>
      </c>
      <c r="G372" s="14">
        <v>43850</v>
      </c>
      <c r="H372" s="13" t="s">
        <v>35655</v>
      </c>
      <c r="I372" s="40" t="s">
        <v>18</v>
      </c>
      <c r="J372" s="40" t="str">
        <f>HYPERLINK("https://stock.pstatic.net/stock-research/company/56/20260810_company_427469000.pdf","PDF")</f>
        <v>PDF</v>
      </c>
      <c r="K372" s="12" t="s">
        <v>35656</v>
      </c>
      <c r="L372" s="36">
        <v>0.68757126567844928</v>
      </c>
    </row>
    <row r="373" spans="1:12" x14ac:dyDescent="0.45">
      <c r="A373" s="12" t="s">
        <v>35439</v>
      </c>
      <c r="B373" s="12" t="s">
        <v>2933</v>
      </c>
      <c r="C373" s="13" t="s">
        <v>2934</v>
      </c>
      <c r="D373" s="13" t="s">
        <v>53</v>
      </c>
      <c r="E373" s="12" t="s">
        <v>16</v>
      </c>
      <c r="F373" s="14">
        <v>220000</v>
      </c>
      <c r="G373" s="14">
        <v>157300</v>
      </c>
      <c r="H373" s="13" t="s">
        <v>35657</v>
      </c>
      <c r="I373" s="40" t="s">
        <v>18</v>
      </c>
      <c r="J373" s="40" t="str">
        <f>HYPERLINK("https://stock.pstatic.net/stock-research/company/40/20260810_company_242788000.pdf","PDF")</f>
        <v>PDF</v>
      </c>
      <c r="K373" s="12" t="s">
        <v>35658</v>
      </c>
      <c r="L373" s="36">
        <v>0.39860139860139859</v>
      </c>
    </row>
    <row r="374" spans="1:12" x14ac:dyDescent="0.45">
      <c r="A374" s="12" t="s">
        <v>35439</v>
      </c>
      <c r="B374" s="12" t="s">
        <v>42</v>
      </c>
      <c r="C374" s="13" t="s">
        <v>43</v>
      </c>
      <c r="D374" s="13" t="s">
        <v>15</v>
      </c>
      <c r="E374" s="12" t="s">
        <v>16</v>
      </c>
      <c r="F374" s="14">
        <v>280000</v>
      </c>
      <c r="G374" s="14">
        <v>226000</v>
      </c>
      <c r="H374" s="13" t="s">
        <v>35659</v>
      </c>
      <c r="I374" s="40" t="s">
        <v>18</v>
      </c>
      <c r="J374" s="40" t="str">
        <f>HYPERLINK("https://stock.pstatic.net/stock-research/company/56/20260810_company_146838000.pdf","PDF")</f>
        <v>PDF</v>
      </c>
      <c r="K374" s="12" t="s">
        <v>35660</v>
      </c>
      <c r="L374" s="36">
        <v>0.23893805309734509</v>
      </c>
    </row>
    <row r="375" spans="1:12" x14ac:dyDescent="0.45">
      <c r="A375" s="12" t="s">
        <v>35439</v>
      </c>
      <c r="B375" s="12" t="s">
        <v>5805</v>
      </c>
      <c r="C375" s="13" t="s">
        <v>5806</v>
      </c>
      <c r="D375" s="13" t="s">
        <v>124</v>
      </c>
      <c r="E375" s="12" t="s">
        <v>50</v>
      </c>
      <c r="F375" s="13"/>
      <c r="G375" s="13"/>
      <c r="H375" s="13" t="s">
        <v>35661</v>
      </c>
      <c r="I375" s="40" t="s">
        <v>18</v>
      </c>
      <c r="J375" s="40" t="str">
        <f>HYPERLINK("https://stock.pstatic.net/stock-research/company/74/20260810_company_721069000.pdf","PDF")</f>
        <v>PDF</v>
      </c>
      <c r="K375" s="12" t="s">
        <v>35662</v>
      </c>
      <c r="L375" s="12"/>
    </row>
    <row r="376" spans="1:12" x14ac:dyDescent="0.45">
      <c r="A376" s="12" t="s">
        <v>34939</v>
      </c>
      <c r="B376" s="12" t="s">
        <v>27</v>
      </c>
      <c r="C376" s="13" t="s">
        <v>28</v>
      </c>
      <c r="D376" s="13" t="s">
        <v>57</v>
      </c>
      <c r="E376" s="12" t="s">
        <v>35</v>
      </c>
      <c r="F376" s="14">
        <v>200000</v>
      </c>
      <c r="G376" s="14">
        <v>114500</v>
      </c>
      <c r="H376" s="13" t="s">
        <v>35262</v>
      </c>
      <c r="I376" s="40" t="s">
        <v>18</v>
      </c>
      <c r="J376" s="40" t="str">
        <f>HYPERLINK("https://stock.pstatic.net/stock-research/company/16/20260807_company_558332000.pdf","PDF")</f>
        <v>PDF</v>
      </c>
      <c r="K376" s="12" t="s">
        <v>35263</v>
      </c>
      <c r="L376" s="36">
        <v>0.74672489082969429</v>
      </c>
    </row>
    <row r="377" spans="1:12" x14ac:dyDescent="0.45">
      <c r="A377" s="12" t="s">
        <v>34939</v>
      </c>
      <c r="B377" s="12" t="s">
        <v>1602</v>
      </c>
      <c r="C377" s="13" t="s">
        <v>1603</v>
      </c>
      <c r="D377" s="13" t="s">
        <v>276</v>
      </c>
      <c r="E377" s="12" t="s">
        <v>16</v>
      </c>
      <c r="F377" s="14">
        <v>74000</v>
      </c>
      <c r="G377" s="14">
        <v>31250</v>
      </c>
      <c r="H377" s="13" t="s">
        <v>35264</v>
      </c>
      <c r="I377" s="40" t="s">
        <v>18</v>
      </c>
      <c r="J377" s="40" t="str">
        <f>HYPERLINK("https://stock.pstatic.net/stock-research/company/66/20260807_company_500551000.pdf","PDF")</f>
        <v>PDF</v>
      </c>
      <c r="K377" s="12" t="s">
        <v>35265</v>
      </c>
      <c r="L377" s="36">
        <v>1.3680000000000001</v>
      </c>
    </row>
    <row r="378" spans="1:12" x14ac:dyDescent="0.45">
      <c r="A378" s="12" t="s">
        <v>34939</v>
      </c>
      <c r="B378" s="12" t="s">
        <v>2425</v>
      </c>
      <c r="C378" s="13" t="s">
        <v>2426</v>
      </c>
      <c r="D378" s="13" t="s">
        <v>276</v>
      </c>
      <c r="E378" s="12" t="s">
        <v>16</v>
      </c>
      <c r="F378" s="14">
        <v>250000</v>
      </c>
      <c r="G378" s="14">
        <v>182700</v>
      </c>
      <c r="H378" s="13" t="s">
        <v>35266</v>
      </c>
      <c r="I378" s="40" t="s">
        <v>18</v>
      </c>
      <c r="J378" s="40" t="str">
        <f>HYPERLINK("https://stock.pstatic.net/stock-research/company/66/20260807_company_502223000.pdf","PDF")</f>
        <v>PDF</v>
      </c>
      <c r="K378" s="12" t="s">
        <v>35267</v>
      </c>
      <c r="L378" s="36">
        <v>0.36836343732895449</v>
      </c>
    </row>
    <row r="379" spans="1:12" x14ac:dyDescent="0.45">
      <c r="A379" s="12" t="s">
        <v>34939</v>
      </c>
      <c r="B379" s="12" t="s">
        <v>2225</v>
      </c>
      <c r="C379" s="13" t="s">
        <v>2226</v>
      </c>
      <c r="D379" s="13" t="s">
        <v>276</v>
      </c>
      <c r="E379" s="12" t="s">
        <v>16</v>
      </c>
      <c r="F379" s="14">
        <v>1250000</v>
      </c>
      <c r="G379" s="14">
        <v>702000</v>
      </c>
      <c r="H379" s="13" t="s">
        <v>35268</v>
      </c>
      <c r="I379" s="40" t="s">
        <v>18</v>
      </c>
      <c r="J379" s="40" t="str">
        <f>HYPERLINK("https://stock.pstatic.net/stock-research/company/66/20260807_company_321552000.pdf","PDF")</f>
        <v>PDF</v>
      </c>
      <c r="K379" s="12" t="s">
        <v>35269</v>
      </c>
      <c r="L379" s="36">
        <v>0.78062678062678059</v>
      </c>
    </row>
    <row r="380" spans="1:12" x14ac:dyDescent="0.45">
      <c r="A380" s="12" t="s">
        <v>34939</v>
      </c>
      <c r="B380" s="12" t="s">
        <v>2425</v>
      </c>
      <c r="C380" s="13" t="s">
        <v>2426</v>
      </c>
      <c r="D380" s="13" t="s">
        <v>57</v>
      </c>
      <c r="E380" s="12" t="s">
        <v>35</v>
      </c>
      <c r="F380" s="14">
        <v>250000</v>
      </c>
      <c r="G380" s="14">
        <v>182700</v>
      </c>
      <c r="H380" s="13" t="s">
        <v>35270</v>
      </c>
      <c r="I380" s="40" t="s">
        <v>18</v>
      </c>
      <c r="J380" s="40" t="str">
        <f>HYPERLINK("https://stock.pstatic.net/stock-research/company/16/20260807_company_595921000.pdf","PDF")</f>
        <v>PDF</v>
      </c>
      <c r="K380" s="12" t="s">
        <v>35271</v>
      </c>
      <c r="L380" s="36">
        <v>0.36836343732895449</v>
      </c>
    </row>
    <row r="381" spans="1:12" x14ac:dyDescent="0.45">
      <c r="A381" s="12" t="s">
        <v>34939</v>
      </c>
      <c r="B381" s="12" t="s">
        <v>1278</v>
      </c>
      <c r="C381" s="13" t="s">
        <v>1279</v>
      </c>
      <c r="D381" s="13" t="s">
        <v>60</v>
      </c>
      <c r="E381" s="12" t="s">
        <v>35</v>
      </c>
      <c r="F381" s="14">
        <v>300000</v>
      </c>
      <c r="G381" s="14">
        <v>204000</v>
      </c>
      <c r="H381" s="13" t="s">
        <v>35272</v>
      </c>
      <c r="I381" s="40" t="s">
        <v>18</v>
      </c>
      <c r="J381" s="40" t="str">
        <f>HYPERLINK("https://stock.pstatic.net/stock-research/company/62/20260807_company_580524000.pdf","PDF")</f>
        <v>PDF</v>
      </c>
      <c r="K381" s="12" t="s">
        <v>35273</v>
      </c>
      <c r="L381" s="36">
        <v>0.47058823529411759</v>
      </c>
    </row>
    <row r="382" spans="1:12" x14ac:dyDescent="0.45">
      <c r="A382" s="12" t="s">
        <v>34939</v>
      </c>
      <c r="B382" s="12" t="s">
        <v>2425</v>
      </c>
      <c r="C382" s="13" t="s">
        <v>2426</v>
      </c>
      <c r="D382" s="13" t="s">
        <v>60</v>
      </c>
      <c r="E382" s="12" t="s">
        <v>35</v>
      </c>
      <c r="F382" s="14">
        <v>250000</v>
      </c>
      <c r="G382" s="14">
        <v>182700</v>
      </c>
      <c r="H382" s="13" t="s">
        <v>35274</v>
      </c>
      <c r="I382" s="40" t="s">
        <v>18</v>
      </c>
      <c r="J382" s="40" t="str">
        <f>HYPERLINK("https://stock.pstatic.net/stock-research/company/62/20260807_company_980618000.pdf","PDF")</f>
        <v>PDF</v>
      </c>
      <c r="K382" s="12" t="s">
        <v>35275</v>
      </c>
      <c r="L382" s="36">
        <v>0.36836343732895449</v>
      </c>
    </row>
    <row r="383" spans="1:12" x14ac:dyDescent="0.45">
      <c r="A383" s="12" t="s">
        <v>34939</v>
      </c>
      <c r="B383" s="12" t="s">
        <v>1097</v>
      </c>
      <c r="C383" s="13" t="s">
        <v>1098</v>
      </c>
      <c r="D383" s="13" t="s">
        <v>57</v>
      </c>
      <c r="E383" s="12" t="s">
        <v>35</v>
      </c>
      <c r="F383" s="14">
        <v>210000</v>
      </c>
      <c r="G383" s="14">
        <v>133500</v>
      </c>
      <c r="H383" s="13" t="s">
        <v>35276</v>
      </c>
      <c r="I383" s="40" t="s">
        <v>18</v>
      </c>
      <c r="J383" s="40" t="str">
        <f>HYPERLINK("https://stock.pstatic.net/stock-research/company/16/20260807_company_215517000.pdf","PDF")</f>
        <v>PDF</v>
      </c>
      <c r="K383" s="12" t="s">
        <v>35277</v>
      </c>
      <c r="L383" s="36">
        <v>0.5730337078651685</v>
      </c>
    </row>
    <row r="384" spans="1:12" x14ac:dyDescent="0.45">
      <c r="A384" s="12" t="s">
        <v>34939</v>
      </c>
      <c r="B384" s="12" t="s">
        <v>916</v>
      </c>
      <c r="C384" s="13" t="s">
        <v>917</v>
      </c>
      <c r="D384" s="13" t="s">
        <v>60</v>
      </c>
      <c r="E384" s="12" t="s">
        <v>35</v>
      </c>
      <c r="F384" s="14">
        <v>57000</v>
      </c>
      <c r="G384" s="14">
        <v>38300</v>
      </c>
      <c r="H384" s="13" t="s">
        <v>35278</v>
      </c>
      <c r="I384" s="40" t="s">
        <v>18</v>
      </c>
      <c r="J384" s="40" t="str">
        <f>HYPERLINK("https://stock.pstatic.net/stock-research/company/62/20260807_company_89006000.pdf","PDF")</f>
        <v>PDF</v>
      </c>
      <c r="K384" s="12" t="s">
        <v>35279</v>
      </c>
      <c r="L384" s="36">
        <v>0.48825065274151441</v>
      </c>
    </row>
    <row r="385" spans="1:12" x14ac:dyDescent="0.45">
      <c r="A385" s="12" t="s">
        <v>34939</v>
      </c>
      <c r="B385" s="12" t="s">
        <v>916</v>
      </c>
      <c r="C385" s="13" t="s">
        <v>917</v>
      </c>
      <c r="D385" s="13" t="s">
        <v>57</v>
      </c>
      <c r="E385" s="12" t="s">
        <v>35</v>
      </c>
      <c r="F385" s="14">
        <v>62000</v>
      </c>
      <c r="G385" s="14">
        <v>38150</v>
      </c>
      <c r="H385" s="13" t="s">
        <v>35280</v>
      </c>
      <c r="I385" s="40" t="s">
        <v>18</v>
      </c>
      <c r="J385" s="40" t="str">
        <f>HYPERLINK("https://stock.pstatic.net/stock-research/company/16/20260807_company_175519000.pdf","PDF")</f>
        <v>PDF</v>
      </c>
      <c r="K385" s="12" t="s">
        <v>35281</v>
      </c>
      <c r="L385" s="36">
        <v>0.62516382699868933</v>
      </c>
    </row>
    <row r="386" spans="1:12" x14ac:dyDescent="0.45">
      <c r="A386" s="12" t="s">
        <v>34939</v>
      </c>
      <c r="B386" s="12" t="s">
        <v>1278</v>
      </c>
      <c r="C386" s="13" t="s">
        <v>1279</v>
      </c>
      <c r="D386" s="13" t="s">
        <v>65</v>
      </c>
      <c r="E386" s="12" t="s">
        <v>35</v>
      </c>
      <c r="F386" s="14">
        <v>330000</v>
      </c>
      <c r="G386" s="14">
        <v>204000</v>
      </c>
      <c r="H386" s="13" t="s">
        <v>35282</v>
      </c>
      <c r="I386" s="40" t="s">
        <v>18</v>
      </c>
      <c r="J386" s="40" t="str">
        <f>HYPERLINK("https://stock.pstatic.net/stock-research/company/57/20260807_company_609680000.pdf","PDF")</f>
        <v>PDF</v>
      </c>
      <c r="K386" s="12" t="s">
        <v>35283</v>
      </c>
      <c r="L386" s="36">
        <v>0.61764705882352944</v>
      </c>
    </row>
    <row r="387" spans="1:12" x14ac:dyDescent="0.45">
      <c r="A387" s="12" t="s">
        <v>34939</v>
      </c>
      <c r="B387" s="12" t="s">
        <v>916</v>
      </c>
      <c r="C387" s="13" t="s">
        <v>917</v>
      </c>
      <c r="D387" s="13" t="s">
        <v>65</v>
      </c>
      <c r="E387" s="12" t="s">
        <v>35</v>
      </c>
      <c r="F387" s="14">
        <v>58000</v>
      </c>
      <c r="G387" s="14">
        <v>38300</v>
      </c>
      <c r="H387" s="13" t="s">
        <v>35284</v>
      </c>
      <c r="I387" s="40" t="s">
        <v>18</v>
      </c>
      <c r="J387" s="40" t="str">
        <f>HYPERLINK("https://stock.pstatic.net/stock-research/company/57/20260807_company_951539000.pdf","PDF")</f>
        <v>PDF</v>
      </c>
      <c r="K387" s="12" t="s">
        <v>35285</v>
      </c>
      <c r="L387" s="36">
        <v>0.51436031331592691</v>
      </c>
    </row>
    <row r="388" spans="1:12" x14ac:dyDescent="0.45">
      <c r="A388" s="12" t="s">
        <v>34939</v>
      </c>
      <c r="B388" s="12" t="s">
        <v>1097</v>
      </c>
      <c r="C388" s="13" t="s">
        <v>1098</v>
      </c>
      <c r="D388" s="13" t="s">
        <v>65</v>
      </c>
      <c r="E388" s="12" t="s">
        <v>35</v>
      </c>
      <c r="F388" s="14">
        <v>172000</v>
      </c>
      <c r="G388" s="14">
        <v>133500</v>
      </c>
      <c r="H388" s="13" t="s">
        <v>35286</v>
      </c>
      <c r="I388" s="40" t="s">
        <v>18</v>
      </c>
      <c r="J388" s="40" t="str">
        <f>HYPERLINK("https://stock.pstatic.net/stock-research/company/57/20260807_company_205297000.pdf","PDF")</f>
        <v>PDF</v>
      </c>
      <c r="K388" s="12" t="s">
        <v>35287</v>
      </c>
      <c r="L388" s="36">
        <v>0.28838951310861421</v>
      </c>
    </row>
    <row r="389" spans="1:12" x14ac:dyDescent="0.45">
      <c r="A389" s="12" t="s">
        <v>34939</v>
      </c>
      <c r="B389" s="12" t="s">
        <v>1678</v>
      </c>
      <c r="C389" s="13" t="s">
        <v>1679</v>
      </c>
      <c r="D389" s="13" t="s">
        <v>65</v>
      </c>
      <c r="E389" s="12" t="s">
        <v>35</v>
      </c>
      <c r="F389" s="14">
        <v>53000</v>
      </c>
      <c r="G389" s="14">
        <v>34100</v>
      </c>
      <c r="H389" s="13" t="s">
        <v>35288</v>
      </c>
      <c r="I389" s="40" t="s">
        <v>18</v>
      </c>
      <c r="J389" s="40" t="str">
        <f>HYPERLINK("https://stock.pstatic.net/stock-research/company/57/20260807_company_441912000.pdf","PDF")</f>
        <v>PDF</v>
      </c>
      <c r="K389" s="12" t="s">
        <v>35289</v>
      </c>
      <c r="L389" s="36">
        <v>0.55425219941348969</v>
      </c>
    </row>
    <row r="390" spans="1:12" x14ac:dyDescent="0.45">
      <c r="A390" s="12" t="s">
        <v>34939</v>
      </c>
      <c r="B390" s="12" t="s">
        <v>1660</v>
      </c>
      <c r="C390" s="13" t="s">
        <v>1661</v>
      </c>
      <c r="D390" s="13" t="s">
        <v>65</v>
      </c>
      <c r="E390" s="12" t="s">
        <v>35</v>
      </c>
      <c r="F390" s="14">
        <v>37000</v>
      </c>
      <c r="G390" s="14">
        <v>24500</v>
      </c>
      <c r="H390" s="13" t="s">
        <v>35290</v>
      </c>
      <c r="I390" s="40" t="s">
        <v>18</v>
      </c>
      <c r="J390" s="40" t="str">
        <f>HYPERLINK("https://stock.pstatic.net/stock-research/company/57/20260807_company_780181000.pdf","PDF")</f>
        <v>PDF</v>
      </c>
      <c r="K390" s="12" t="s">
        <v>35291</v>
      </c>
      <c r="L390" s="36">
        <v>0.51020408163265307</v>
      </c>
    </row>
    <row r="391" spans="1:12" x14ac:dyDescent="0.45">
      <c r="A391" s="12" t="s">
        <v>34939</v>
      </c>
      <c r="B391" s="12" t="s">
        <v>537</v>
      </c>
      <c r="C391" s="13" t="s">
        <v>538</v>
      </c>
      <c r="D391" s="13" t="s">
        <v>65</v>
      </c>
      <c r="E391" s="12" t="s">
        <v>35</v>
      </c>
      <c r="F391" s="14">
        <v>20000</v>
      </c>
      <c r="G391" s="14">
        <v>15000</v>
      </c>
      <c r="H391" s="13" t="s">
        <v>35026</v>
      </c>
      <c r="I391" s="40" t="s">
        <v>18</v>
      </c>
      <c r="J391" s="40" t="str">
        <f>HYPERLINK("https://stock.pstatic.net/stock-research/company/57/20260807_company_67586000.pdf","PDF")</f>
        <v>PDF</v>
      </c>
      <c r="K391" s="12" t="s">
        <v>35292</v>
      </c>
      <c r="L391" s="36">
        <v>0.33333333333333331</v>
      </c>
    </row>
    <row r="392" spans="1:12" x14ac:dyDescent="0.45">
      <c r="A392" s="12" t="s">
        <v>34939</v>
      </c>
      <c r="B392" s="12" t="s">
        <v>537</v>
      </c>
      <c r="C392" s="13" t="s">
        <v>538</v>
      </c>
      <c r="D392" s="13" t="s">
        <v>65</v>
      </c>
      <c r="E392" s="12" t="s">
        <v>35</v>
      </c>
      <c r="F392" s="14">
        <v>20000</v>
      </c>
      <c r="G392" s="14">
        <v>15000</v>
      </c>
      <c r="H392" s="13" t="s">
        <v>35293</v>
      </c>
      <c r="I392" s="40" t="s">
        <v>18</v>
      </c>
      <c r="J392" s="40" t="str">
        <f>HYPERLINK("https://stock.pstatic.net/stock-research/company/57/20260807_company_110461000.pdf","PDF")</f>
        <v>PDF</v>
      </c>
      <c r="K392" s="12" t="s">
        <v>35294</v>
      </c>
      <c r="L392" s="36">
        <v>0.33333333333333331</v>
      </c>
    </row>
    <row r="393" spans="1:12" x14ac:dyDescent="0.45">
      <c r="A393" s="12" t="s">
        <v>34939</v>
      </c>
      <c r="B393" s="12" t="s">
        <v>2795</v>
      </c>
      <c r="C393" s="13" t="s">
        <v>2796</v>
      </c>
      <c r="D393" s="13" t="s">
        <v>65</v>
      </c>
      <c r="E393" s="12" t="s">
        <v>35</v>
      </c>
      <c r="F393" s="14">
        <v>9000</v>
      </c>
      <c r="G393" s="14">
        <v>5850</v>
      </c>
      <c r="H393" s="13" t="s">
        <v>35295</v>
      </c>
      <c r="I393" s="40" t="s">
        <v>18</v>
      </c>
      <c r="J393" s="40" t="str">
        <f>HYPERLINK("https://stock.pstatic.net/stock-research/company/57/20260807_company_154910000.pdf","PDF")</f>
        <v>PDF</v>
      </c>
      <c r="K393" s="12" t="s">
        <v>35296</v>
      </c>
      <c r="L393" s="36">
        <v>0.53846153846153844</v>
      </c>
    </row>
    <row r="394" spans="1:12" x14ac:dyDescent="0.45">
      <c r="A394" s="12" t="s">
        <v>34939</v>
      </c>
      <c r="B394" s="12" t="s">
        <v>2225</v>
      </c>
      <c r="C394" s="13" t="s">
        <v>2226</v>
      </c>
      <c r="D394" s="13" t="s">
        <v>158</v>
      </c>
      <c r="E394" s="12" t="s">
        <v>35</v>
      </c>
      <c r="F394" s="14">
        <v>1050000</v>
      </c>
      <c r="G394" s="14">
        <v>702000</v>
      </c>
      <c r="H394" s="13" t="s">
        <v>35297</v>
      </c>
      <c r="I394" s="40" t="s">
        <v>18</v>
      </c>
      <c r="J394" s="40" t="str">
        <f>HYPERLINK("https://stock.pstatic.net/stock-research/company/18/20260807_company_111922000.pdf","PDF")</f>
        <v>PDF</v>
      </c>
      <c r="K394" s="12" t="s">
        <v>35298</v>
      </c>
      <c r="L394" s="36">
        <v>0.49572649572649569</v>
      </c>
    </row>
    <row r="395" spans="1:12" x14ac:dyDescent="0.45">
      <c r="A395" s="12" t="s">
        <v>34939</v>
      </c>
      <c r="B395" s="12" t="s">
        <v>916</v>
      </c>
      <c r="C395" s="13" t="s">
        <v>917</v>
      </c>
      <c r="D395" s="13" t="s">
        <v>158</v>
      </c>
      <c r="E395" s="12" t="s">
        <v>35</v>
      </c>
      <c r="F395" s="14">
        <v>62000</v>
      </c>
      <c r="G395" s="14">
        <v>38300</v>
      </c>
      <c r="H395" s="13" t="s">
        <v>35299</v>
      </c>
      <c r="I395" s="40" t="s">
        <v>18</v>
      </c>
      <c r="J395" s="40" t="str">
        <f>HYPERLINK("https://stock.pstatic.net/stock-research/company/18/20260807_company_961348000.pdf","PDF")</f>
        <v>PDF</v>
      </c>
      <c r="K395" s="12" t="s">
        <v>35300</v>
      </c>
      <c r="L395" s="36">
        <v>0.61879895561357701</v>
      </c>
    </row>
    <row r="396" spans="1:12" x14ac:dyDescent="0.45">
      <c r="A396" s="12" t="s">
        <v>34939</v>
      </c>
      <c r="B396" s="12" t="s">
        <v>2425</v>
      </c>
      <c r="C396" s="13" t="s">
        <v>2426</v>
      </c>
      <c r="D396" s="13" t="s">
        <v>158</v>
      </c>
      <c r="E396" s="12" t="s">
        <v>35</v>
      </c>
      <c r="F396" s="14">
        <v>250000</v>
      </c>
      <c r="G396" s="14">
        <v>182700</v>
      </c>
      <c r="H396" s="13" t="s">
        <v>35301</v>
      </c>
      <c r="I396" s="40" t="s">
        <v>18</v>
      </c>
      <c r="J396" s="40" t="str">
        <f>HYPERLINK("https://stock.pstatic.net/stock-research/company/18/20260807_company_558442000.pdf","PDF")</f>
        <v>PDF</v>
      </c>
      <c r="K396" s="12" t="s">
        <v>35302</v>
      </c>
      <c r="L396" s="36">
        <v>0.36836343732895449</v>
      </c>
    </row>
    <row r="397" spans="1:12" x14ac:dyDescent="0.45">
      <c r="A397" s="12" t="s">
        <v>34939</v>
      </c>
      <c r="B397" s="12" t="s">
        <v>537</v>
      </c>
      <c r="C397" s="13" t="s">
        <v>538</v>
      </c>
      <c r="D397" s="13" t="s">
        <v>158</v>
      </c>
      <c r="E397" s="12" t="s">
        <v>35</v>
      </c>
      <c r="F397" s="14">
        <v>21000</v>
      </c>
      <c r="G397" s="14">
        <v>15000</v>
      </c>
      <c r="H397" s="13" t="s">
        <v>35303</v>
      </c>
      <c r="I397" s="40" t="s">
        <v>18</v>
      </c>
      <c r="J397" s="40" t="str">
        <f>HYPERLINK("https://stock.pstatic.net/stock-research/company/18/20260807_company_94228000.pdf","PDF")</f>
        <v>PDF</v>
      </c>
      <c r="K397" s="12" t="s">
        <v>35304</v>
      </c>
      <c r="L397" s="36">
        <v>0.4</v>
      </c>
    </row>
    <row r="398" spans="1:12" x14ac:dyDescent="0.45">
      <c r="A398" s="12" t="s">
        <v>34939</v>
      </c>
      <c r="B398" s="12" t="s">
        <v>1270</v>
      </c>
      <c r="C398" s="13" t="s">
        <v>1271</v>
      </c>
      <c r="D398" s="13" t="s">
        <v>83</v>
      </c>
      <c r="E398" s="12" t="s">
        <v>642</v>
      </c>
      <c r="F398" s="14">
        <v>113000</v>
      </c>
      <c r="G398" s="14">
        <v>97600</v>
      </c>
      <c r="H398" s="13" t="s">
        <v>35305</v>
      </c>
      <c r="I398" s="40" t="s">
        <v>18</v>
      </c>
      <c r="J398" s="40" t="str">
        <f>HYPERLINK("https://stock.pstatic.net/stock-research/company/15/20260807_company_521073000.pdf","PDF")</f>
        <v>PDF</v>
      </c>
      <c r="K398" s="12" t="s">
        <v>35306</v>
      </c>
      <c r="L398" s="36">
        <v>0.15778688524590159</v>
      </c>
    </row>
    <row r="399" spans="1:12" x14ac:dyDescent="0.45">
      <c r="A399" s="12" t="s">
        <v>34939</v>
      </c>
      <c r="B399" s="12" t="s">
        <v>2650</v>
      </c>
      <c r="C399" s="13" t="s">
        <v>2651</v>
      </c>
      <c r="D399" s="13" t="s">
        <v>83</v>
      </c>
      <c r="E399" s="12" t="s">
        <v>642</v>
      </c>
      <c r="F399" s="14">
        <v>26000</v>
      </c>
      <c r="G399" s="14">
        <v>21550</v>
      </c>
      <c r="H399" s="13" t="s">
        <v>35307</v>
      </c>
      <c r="I399" s="40" t="s">
        <v>18</v>
      </c>
      <c r="J399" s="40" t="str">
        <f>HYPERLINK("https://stock.pstatic.net/stock-research/company/15/20260807_company_778797000.pdf","PDF")</f>
        <v>PDF</v>
      </c>
      <c r="K399" s="12" t="s">
        <v>35308</v>
      </c>
      <c r="L399" s="36">
        <v>0.2064965197215777</v>
      </c>
    </row>
    <row r="400" spans="1:12" x14ac:dyDescent="0.45">
      <c r="A400" s="12" t="s">
        <v>34939</v>
      </c>
      <c r="B400" s="12" t="s">
        <v>1097</v>
      </c>
      <c r="C400" s="13" t="s">
        <v>1098</v>
      </c>
      <c r="D400" s="13" t="s">
        <v>83</v>
      </c>
      <c r="E400" s="12" t="s">
        <v>35</v>
      </c>
      <c r="F400" s="14">
        <v>200000</v>
      </c>
      <c r="G400" s="14">
        <v>133500</v>
      </c>
      <c r="H400" s="13" t="s">
        <v>35309</v>
      </c>
      <c r="I400" s="40" t="s">
        <v>18</v>
      </c>
      <c r="J400" s="40" t="str">
        <f>HYPERLINK("https://stock.pstatic.net/stock-research/company/15/20260807_company_157983000.pdf","PDF")</f>
        <v>PDF</v>
      </c>
      <c r="K400" s="12" t="s">
        <v>35310</v>
      </c>
      <c r="L400" s="36">
        <v>0.49812734082396998</v>
      </c>
    </row>
    <row r="401" spans="1:12" x14ac:dyDescent="0.45">
      <c r="A401" s="12" t="s">
        <v>34939</v>
      </c>
      <c r="B401" s="12" t="s">
        <v>2613</v>
      </c>
      <c r="C401" s="13" t="s">
        <v>2614</v>
      </c>
      <c r="D401" s="13" t="s">
        <v>83</v>
      </c>
      <c r="E401" s="12" t="s">
        <v>35</v>
      </c>
      <c r="F401" s="14">
        <v>400000</v>
      </c>
      <c r="G401" s="14">
        <v>279000</v>
      </c>
      <c r="H401" s="13" t="s">
        <v>35311</v>
      </c>
      <c r="I401" s="40" t="s">
        <v>18</v>
      </c>
      <c r="J401" s="40" t="str">
        <f>HYPERLINK("https://stock.pstatic.net/stock-research/company/15/20260807_company_668419000.pdf","PDF")</f>
        <v>PDF</v>
      </c>
      <c r="K401" s="12" t="s">
        <v>35312</v>
      </c>
      <c r="L401" s="36">
        <v>0.43369175627240142</v>
      </c>
    </row>
    <row r="402" spans="1:12" x14ac:dyDescent="0.45">
      <c r="A402" s="12" t="s">
        <v>34939</v>
      </c>
      <c r="B402" s="12" t="s">
        <v>1660</v>
      </c>
      <c r="C402" s="13" t="s">
        <v>1661</v>
      </c>
      <c r="D402" s="13" t="s">
        <v>83</v>
      </c>
      <c r="E402" s="12" t="s">
        <v>35</v>
      </c>
      <c r="F402" s="14">
        <v>39000</v>
      </c>
      <c r="G402" s="14">
        <v>24500</v>
      </c>
      <c r="H402" s="13" t="s">
        <v>35313</v>
      </c>
      <c r="I402" s="40" t="s">
        <v>18</v>
      </c>
      <c r="J402" s="40" t="str">
        <f>HYPERLINK("https://stock.pstatic.net/stock-research/company/15/20260807_company_986980000.pdf","PDF")</f>
        <v>PDF</v>
      </c>
      <c r="K402" s="12" t="s">
        <v>35314</v>
      </c>
      <c r="L402" s="36">
        <v>0.59183673469387754</v>
      </c>
    </row>
    <row r="403" spans="1:12" x14ac:dyDescent="0.45">
      <c r="A403" s="12" t="s">
        <v>34939</v>
      </c>
      <c r="B403" s="12" t="s">
        <v>1678</v>
      </c>
      <c r="C403" s="13" t="s">
        <v>1679</v>
      </c>
      <c r="D403" s="13" t="s">
        <v>83</v>
      </c>
      <c r="E403" s="12" t="s">
        <v>35</v>
      </c>
      <c r="F403" s="14">
        <v>56000</v>
      </c>
      <c r="G403" s="14">
        <v>34100</v>
      </c>
      <c r="H403" s="13" t="s">
        <v>35315</v>
      </c>
      <c r="I403" s="40" t="s">
        <v>18</v>
      </c>
      <c r="J403" s="40" t="str">
        <f>HYPERLINK("https://stock.pstatic.net/stock-research/company/15/20260807_company_116168000.pdf","PDF")</f>
        <v>PDF</v>
      </c>
      <c r="K403" s="12" t="s">
        <v>35316</v>
      </c>
      <c r="L403" s="36">
        <v>0.64222873900293254</v>
      </c>
    </row>
    <row r="404" spans="1:12" x14ac:dyDescent="0.45">
      <c r="A404" s="12" t="s">
        <v>34939</v>
      </c>
      <c r="B404" s="12" t="s">
        <v>537</v>
      </c>
      <c r="C404" s="13" t="s">
        <v>538</v>
      </c>
      <c r="D404" s="13" t="s">
        <v>83</v>
      </c>
      <c r="E404" s="12" t="s">
        <v>35</v>
      </c>
      <c r="F404" s="14">
        <v>20000</v>
      </c>
      <c r="G404" s="14">
        <v>15000</v>
      </c>
      <c r="H404" s="13" t="s">
        <v>35317</v>
      </c>
      <c r="I404" s="40" t="s">
        <v>18</v>
      </c>
      <c r="J404" s="40" t="str">
        <f>HYPERLINK("https://stock.pstatic.net/stock-research/company/15/20260807_company_264194000.pdf","PDF")</f>
        <v>PDF</v>
      </c>
      <c r="K404" s="12" t="s">
        <v>35318</v>
      </c>
      <c r="L404" s="36">
        <v>0.33333333333333331</v>
      </c>
    </row>
    <row r="405" spans="1:12" x14ac:dyDescent="0.45">
      <c r="A405" s="12" t="s">
        <v>34939</v>
      </c>
      <c r="B405" s="12" t="s">
        <v>1278</v>
      </c>
      <c r="C405" s="13" t="s">
        <v>1279</v>
      </c>
      <c r="D405" s="13" t="s">
        <v>83</v>
      </c>
      <c r="E405" s="12" t="s">
        <v>35</v>
      </c>
      <c r="F405" s="14">
        <v>286000</v>
      </c>
      <c r="G405" s="14">
        <v>204000</v>
      </c>
      <c r="H405" s="13" t="s">
        <v>35319</v>
      </c>
      <c r="I405" s="40" t="s">
        <v>18</v>
      </c>
      <c r="J405" s="40" t="str">
        <f>HYPERLINK("https://stock.pstatic.net/stock-research/company/15/20260807_company_72733000.pdf","PDF")</f>
        <v>PDF</v>
      </c>
      <c r="K405" s="12" t="s">
        <v>35320</v>
      </c>
      <c r="L405" s="36">
        <v>0.40196078431372551</v>
      </c>
    </row>
    <row r="406" spans="1:12" x14ac:dyDescent="0.45">
      <c r="A406" s="12" t="s">
        <v>34939</v>
      </c>
      <c r="B406" s="12" t="s">
        <v>2613</v>
      </c>
      <c r="C406" s="13" t="s">
        <v>2614</v>
      </c>
      <c r="D406" s="13" t="s">
        <v>15</v>
      </c>
      <c r="E406" s="12" t="s">
        <v>16</v>
      </c>
      <c r="F406" s="14">
        <v>350000</v>
      </c>
      <c r="G406" s="14">
        <v>279000</v>
      </c>
      <c r="H406" s="13" t="s">
        <v>35321</v>
      </c>
      <c r="I406" s="40" t="s">
        <v>18</v>
      </c>
      <c r="J406" s="40" t="str">
        <f>HYPERLINK("https://stock.pstatic.net/stock-research/company/56/20260807_company_18239000.pdf","PDF")</f>
        <v>PDF</v>
      </c>
      <c r="K406" s="12" t="s">
        <v>35322</v>
      </c>
      <c r="L406" s="36">
        <v>0.25448028673835132</v>
      </c>
    </row>
    <row r="407" spans="1:12" x14ac:dyDescent="0.45">
      <c r="A407" s="12" t="s">
        <v>34939</v>
      </c>
      <c r="B407" s="12" t="s">
        <v>732</v>
      </c>
      <c r="C407" s="13" t="s">
        <v>733</v>
      </c>
      <c r="D407" s="13" t="s">
        <v>15</v>
      </c>
      <c r="E407" s="12" t="s">
        <v>16</v>
      </c>
      <c r="F407" s="14">
        <v>150000</v>
      </c>
      <c r="G407" s="14">
        <v>83500</v>
      </c>
      <c r="H407" s="13" t="s">
        <v>35323</v>
      </c>
      <c r="I407" s="40" t="s">
        <v>18</v>
      </c>
      <c r="J407" s="40" t="str">
        <f>HYPERLINK("https://stock.pstatic.net/stock-research/company/56/20260807_company_611783000.pdf","PDF")</f>
        <v>PDF</v>
      </c>
      <c r="K407" s="12" t="s">
        <v>35324</v>
      </c>
      <c r="L407" s="36">
        <v>0.79640718562874246</v>
      </c>
    </row>
    <row r="408" spans="1:12" x14ac:dyDescent="0.45">
      <c r="A408" s="12" t="s">
        <v>34939</v>
      </c>
      <c r="B408" s="12" t="s">
        <v>2304</v>
      </c>
      <c r="C408" s="13" t="s">
        <v>2305</v>
      </c>
      <c r="D408" s="13" t="s">
        <v>92</v>
      </c>
      <c r="E408" s="12" t="s">
        <v>35</v>
      </c>
      <c r="F408" s="14">
        <v>20000</v>
      </c>
      <c r="G408" s="14">
        <v>9790</v>
      </c>
      <c r="H408" s="13" t="s">
        <v>35325</v>
      </c>
      <c r="I408" s="40" t="s">
        <v>18</v>
      </c>
      <c r="J408" s="40" t="str">
        <f>HYPERLINK("https://stock.pstatic.net/stock-research/company/63/20260807_company_554176000.pdf","PDF")</f>
        <v>PDF</v>
      </c>
      <c r="K408" s="12" t="s">
        <v>35326</v>
      </c>
      <c r="L408" s="36">
        <v>1.042900919305414</v>
      </c>
    </row>
    <row r="409" spans="1:12" x14ac:dyDescent="0.45">
      <c r="A409" s="12" t="s">
        <v>34939</v>
      </c>
      <c r="B409" s="12" t="s">
        <v>35327</v>
      </c>
      <c r="C409" s="13" t="s">
        <v>35328</v>
      </c>
      <c r="D409" s="13" t="s">
        <v>124</v>
      </c>
      <c r="E409" s="12" t="s">
        <v>50</v>
      </c>
      <c r="F409" s="13"/>
      <c r="G409" s="13"/>
      <c r="H409" s="13" t="s">
        <v>35329</v>
      </c>
      <c r="I409" s="40" t="s">
        <v>18</v>
      </c>
      <c r="J409" s="40" t="str">
        <f>HYPERLINK("https://stock.pstatic.net/stock-research/company/74/20260807_company_591141000.pdf","PDF")</f>
        <v>PDF</v>
      </c>
      <c r="K409" s="12" t="s">
        <v>35330</v>
      </c>
      <c r="L409" s="12"/>
    </row>
    <row r="410" spans="1:12" x14ac:dyDescent="0.45">
      <c r="A410" s="12" t="s">
        <v>34939</v>
      </c>
      <c r="B410" s="12" t="s">
        <v>1912</v>
      </c>
      <c r="C410" s="13" t="s">
        <v>1913</v>
      </c>
      <c r="D410" s="13" t="s">
        <v>15</v>
      </c>
      <c r="E410" s="12" t="s">
        <v>50</v>
      </c>
      <c r="F410" s="13"/>
      <c r="G410" s="14">
        <v>23900</v>
      </c>
      <c r="H410" s="13" t="s">
        <v>35331</v>
      </c>
      <c r="I410" s="40" t="s">
        <v>18</v>
      </c>
      <c r="J410" s="40" t="str">
        <f>HYPERLINK("https://stock.pstatic.net/stock-research/company/56/20260807_company_976144000.pdf","PDF")</f>
        <v>PDF</v>
      </c>
      <c r="K410" s="12" t="s">
        <v>35332</v>
      </c>
      <c r="L410" s="12"/>
    </row>
    <row r="411" spans="1:12" x14ac:dyDescent="0.45">
      <c r="A411" s="12" t="s">
        <v>34939</v>
      </c>
      <c r="B411" s="12" t="s">
        <v>2550</v>
      </c>
      <c r="C411" s="13" t="s">
        <v>2551</v>
      </c>
      <c r="D411" s="13" t="s">
        <v>92</v>
      </c>
      <c r="E411" s="12" t="s">
        <v>35</v>
      </c>
      <c r="F411" s="14">
        <v>19000</v>
      </c>
      <c r="G411" s="14">
        <v>10300</v>
      </c>
      <c r="H411" s="13" t="s">
        <v>35333</v>
      </c>
      <c r="I411" s="40" t="s">
        <v>18</v>
      </c>
      <c r="J411" s="40" t="str">
        <f>HYPERLINK("https://stock.pstatic.net/stock-research/company/63/20260807_company_422901000.pdf","PDF")</f>
        <v>PDF</v>
      </c>
      <c r="K411" s="12" t="s">
        <v>35334</v>
      </c>
      <c r="L411" s="36">
        <v>0.84466019417475724</v>
      </c>
    </row>
    <row r="412" spans="1:12" x14ac:dyDescent="0.45">
      <c r="A412" s="12" t="s">
        <v>34939</v>
      </c>
      <c r="B412" s="12" t="s">
        <v>2883</v>
      </c>
      <c r="C412" s="13" t="s">
        <v>2884</v>
      </c>
      <c r="D412" s="13" t="s">
        <v>92</v>
      </c>
      <c r="E412" s="12" t="s">
        <v>35</v>
      </c>
      <c r="F412" s="14">
        <v>70000</v>
      </c>
      <c r="G412" s="14">
        <v>36850</v>
      </c>
      <c r="H412" s="13" t="s">
        <v>35335</v>
      </c>
      <c r="I412" s="40" t="s">
        <v>18</v>
      </c>
      <c r="J412" s="40" t="str">
        <f>HYPERLINK("https://stock.pstatic.net/stock-research/company/63/20260807_company_879890000.pdf","PDF")</f>
        <v>PDF</v>
      </c>
      <c r="K412" s="12" t="s">
        <v>35336</v>
      </c>
      <c r="L412" s="36">
        <v>0.89959294436906379</v>
      </c>
    </row>
    <row r="413" spans="1:12" x14ac:dyDescent="0.45">
      <c r="A413" s="12" t="s">
        <v>34939</v>
      </c>
      <c r="B413" s="12" t="s">
        <v>2365</v>
      </c>
      <c r="C413" s="13" t="s">
        <v>2366</v>
      </c>
      <c r="D413" s="13" t="s">
        <v>53</v>
      </c>
      <c r="E413" s="12" t="s">
        <v>16</v>
      </c>
      <c r="F413" s="14">
        <v>130000</v>
      </c>
      <c r="G413" s="14">
        <v>79800</v>
      </c>
      <c r="H413" s="13" t="s">
        <v>35337</v>
      </c>
      <c r="I413" s="40" t="s">
        <v>18</v>
      </c>
      <c r="J413" s="40" t="str">
        <f>HYPERLINK("https://stock.pstatic.net/stock-research/company/40/20260807_company_912875000.pdf","PDF")</f>
        <v>PDF</v>
      </c>
      <c r="K413" s="12" t="s">
        <v>35338</v>
      </c>
      <c r="L413" s="36">
        <v>0.62907268170426067</v>
      </c>
    </row>
    <row r="414" spans="1:12" x14ac:dyDescent="0.45">
      <c r="A414" s="12" t="s">
        <v>34939</v>
      </c>
      <c r="B414" s="12" t="s">
        <v>1042</v>
      </c>
      <c r="C414" s="13" t="s">
        <v>1043</v>
      </c>
      <c r="D414" s="13" t="s">
        <v>53</v>
      </c>
      <c r="E414" s="12" t="s">
        <v>16</v>
      </c>
      <c r="F414" s="14">
        <v>46000</v>
      </c>
      <c r="G414" s="14">
        <v>23500</v>
      </c>
      <c r="H414" s="13" t="s">
        <v>35339</v>
      </c>
      <c r="I414" s="40" t="s">
        <v>18</v>
      </c>
      <c r="J414" s="40" t="str">
        <f>HYPERLINK("https://stock.pstatic.net/stock-research/company/40/20260807_company_454100000.pdf","PDF")</f>
        <v>PDF</v>
      </c>
      <c r="K414" s="12" t="s">
        <v>35340</v>
      </c>
      <c r="L414" s="36">
        <v>0.95744680851063835</v>
      </c>
    </row>
    <row r="415" spans="1:12" x14ac:dyDescent="0.45">
      <c r="A415" s="12" t="s">
        <v>34939</v>
      </c>
      <c r="B415" s="12" t="s">
        <v>2225</v>
      </c>
      <c r="C415" s="13" t="s">
        <v>2226</v>
      </c>
      <c r="D415" s="13" t="s">
        <v>92</v>
      </c>
      <c r="E415" s="12" t="s">
        <v>35</v>
      </c>
      <c r="F415" s="14">
        <v>1200000</v>
      </c>
      <c r="G415" s="14">
        <v>702000</v>
      </c>
      <c r="H415" s="13" t="s">
        <v>35341</v>
      </c>
      <c r="I415" s="40" t="s">
        <v>18</v>
      </c>
      <c r="J415" s="40" t="str">
        <f>HYPERLINK("https://stock.pstatic.net/stock-research/company/63/20260807_company_587851000.pdf","PDF")</f>
        <v>PDF</v>
      </c>
      <c r="K415" s="12" t="s">
        <v>35342</v>
      </c>
      <c r="L415" s="36">
        <v>0.70940170940170943</v>
      </c>
    </row>
    <row r="416" spans="1:12" x14ac:dyDescent="0.45">
      <c r="A416" s="12" t="s">
        <v>34939</v>
      </c>
      <c r="B416" s="12" t="s">
        <v>1097</v>
      </c>
      <c r="C416" s="13" t="s">
        <v>1098</v>
      </c>
      <c r="D416" s="13" t="s">
        <v>53</v>
      </c>
      <c r="E416" s="12" t="s">
        <v>16</v>
      </c>
      <c r="F416" s="14">
        <v>190000</v>
      </c>
      <c r="G416" s="14">
        <v>133500</v>
      </c>
      <c r="H416" s="13" t="s">
        <v>35343</v>
      </c>
      <c r="I416" s="40" t="s">
        <v>18</v>
      </c>
      <c r="J416" s="40" t="str">
        <f>HYPERLINK("https://stock.pstatic.net/stock-research/company/40/20260807_company_107782000.pdf","PDF")</f>
        <v>PDF</v>
      </c>
      <c r="K416" s="12" t="s">
        <v>35344</v>
      </c>
      <c r="L416" s="36">
        <v>0.42322097378277151</v>
      </c>
    </row>
    <row r="417" spans="1:12" x14ac:dyDescent="0.45">
      <c r="A417" s="12" t="s">
        <v>34939</v>
      </c>
      <c r="B417" s="12" t="s">
        <v>2613</v>
      </c>
      <c r="C417" s="13" t="s">
        <v>2614</v>
      </c>
      <c r="D417" s="13" t="s">
        <v>23</v>
      </c>
      <c r="E417" s="12" t="s">
        <v>16</v>
      </c>
      <c r="F417" s="14">
        <v>410000</v>
      </c>
      <c r="G417" s="14">
        <v>279000</v>
      </c>
      <c r="H417" s="13" t="s">
        <v>35345</v>
      </c>
      <c r="I417" s="40" t="s">
        <v>18</v>
      </c>
      <c r="J417" s="40" t="str">
        <f>HYPERLINK("https://stock.pstatic.net/stock-research/company/21/20260807_company_232162000.pdf","PDF")</f>
        <v>PDF</v>
      </c>
      <c r="K417" s="12" t="s">
        <v>35346</v>
      </c>
      <c r="L417" s="36">
        <v>0.46953405017921152</v>
      </c>
    </row>
    <row r="418" spans="1:12" x14ac:dyDescent="0.45">
      <c r="A418" s="12" t="s">
        <v>34939</v>
      </c>
      <c r="B418" s="12" t="s">
        <v>2365</v>
      </c>
      <c r="C418" s="13" t="s">
        <v>2366</v>
      </c>
      <c r="D418" s="13" t="s">
        <v>23</v>
      </c>
      <c r="E418" s="12" t="s">
        <v>16</v>
      </c>
      <c r="F418" s="14">
        <v>140000</v>
      </c>
      <c r="G418" s="14">
        <v>79800</v>
      </c>
      <c r="H418" s="13" t="s">
        <v>35347</v>
      </c>
      <c r="I418" s="40" t="s">
        <v>18</v>
      </c>
      <c r="J418" s="40" t="str">
        <f>HYPERLINK("https://stock.pstatic.net/stock-research/company/21/20260807_company_650027000.pdf","PDF")</f>
        <v>PDF</v>
      </c>
      <c r="K418" s="12" t="s">
        <v>35348</v>
      </c>
      <c r="L418" s="36">
        <v>0.75438596491228072</v>
      </c>
    </row>
    <row r="419" spans="1:12" x14ac:dyDescent="0.45">
      <c r="A419" s="12" t="s">
        <v>34939</v>
      </c>
      <c r="B419" s="12" t="s">
        <v>2346</v>
      </c>
      <c r="C419" s="13" t="s">
        <v>2347</v>
      </c>
      <c r="D419" s="13" t="s">
        <v>179</v>
      </c>
      <c r="E419" s="12" t="s">
        <v>16</v>
      </c>
      <c r="F419" s="14">
        <v>190000</v>
      </c>
      <c r="G419" s="14">
        <v>92600</v>
      </c>
      <c r="H419" s="13" t="s">
        <v>35349</v>
      </c>
      <c r="I419" s="40" t="s">
        <v>18</v>
      </c>
      <c r="J419" s="40" t="str">
        <f>HYPERLINK("https://stock.pstatic.net/stock-research/company/64/20260807_company_439027000.pdf","PDF")</f>
        <v>PDF</v>
      </c>
      <c r="K419" s="12" t="s">
        <v>35350</v>
      </c>
      <c r="L419" s="36">
        <v>1.05183585313175</v>
      </c>
    </row>
    <row r="420" spans="1:12" x14ac:dyDescent="0.45">
      <c r="A420" s="12" t="s">
        <v>34939</v>
      </c>
      <c r="B420" s="12" t="s">
        <v>916</v>
      </c>
      <c r="C420" s="13" t="s">
        <v>917</v>
      </c>
      <c r="D420" s="13" t="s">
        <v>23</v>
      </c>
      <c r="E420" s="12" t="s">
        <v>16</v>
      </c>
      <c r="F420" s="14">
        <v>61000</v>
      </c>
      <c r="G420" s="14">
        <v>38300</v>
      </c>
      <c r="H420" s="13" t="s">
        <v>35351</v>
      </c>
      <c r="I420" s="40" t="s">
        <v>18</v>
      </c>
      <c r="J420" s="40" t="str">
        <f>HYPERLINK("https://stock.pstatic.net/stock-research/company/21/20260807_company_69448000.pdf","PDF")</f>
        <v>PDF</v>
      </c>
      <c r="K420" s="12" t="s">
        <v>35352</v>
      </c>
      <c r="L420" s="36">
        <v>0.59268929503916445</v>
      </c>
    </row>
    <row r="421" spans="1:12" x14ac:dyDescent="0.45">
      <c r="A421" s="12" t="s">
        <v>34939</v>
      </c>
      <c r="B421" s="12" t="s">
        <v>1666</v>
      </c>
      <c r="C421" s="13" t="s">
        <v>1667</v>
      </c>
      <c r="D421" s="13" t="s">
        <v>23</v>
      </c>
      <c r="E421" s="12" t="s">
        <v>16</v>
      </c>
      <c r="F421" s="14">
        <v>58000</v>
      </c>
      <c r="G421" s="14">
        <v>39000</v>
      </c>
      <c r="H421" s="13" t="s">
        <v>35353</v>
      </c>
      <c r="I421" s="40" t="s">
        <v>18</v>
      </c>
      <c r="J421" s="40" t="str">
        <f>HYPERLINK("https://stock.pstatic.net/stock-research/company/21/20260807_company_156054000.pdf","PDF")</f>
        <v>PDF</v>
      </c>
      <c r="K421" s="12" t="s">
        <v>35354</v>
      </c>
      <c r="L421" s="36">
        <v>0.48717948717948723</v>
      </c>
    </row>
    <row r="422" spans="1:12" x14ac:dyDescent="0.45">
      <c r="A422" s="12" t="s">
        <v>34939</v>
      </c>
      <c r="B422" s="12" t="s">
        <v>6632</v>
      </c>
      <c r="C422" s="13" t="s">
        <v>6633</v>
      </c>
      <c r="D422" s="13" t="s">
        <v>23</v>
      </c>
      <c r="E422" s="12" t="s">
        <v>385</v>
      </c>
      <c r="F422" s="13"/>
      <c r="G422" s="14">
        <v>12470</v>
      </c>
      <c r="H422" s="13" t="s">
        <v>35355</v>
      </c>
      <c r="I422" s="40" t="s">
        <v>18</v>
      </c>
      <c r="J422" s="40" t="str">
        <f>HYPERLINK("https://stock.pstatic.net/stock-research/company/21/20260807_company_480780000.pdf","PDF")</f>
        <v>PDF</v>
      </c>
      <c r="K422" s="12" t="s">
        <v>35356</v>
      </c>
      <c r="L422" s="12"/>
    </row>
    <row r="423" spans="1:12" x14ac:dyDescent="0.45">
      <c r="A423" s="12" t="s">
        <v>34939</v>
      </c>
      <c r="B423" s="12" t="s">
        <v>1660</v>
      </c>
      <c r="C423" s="13" t="s">
        <v>1661</v>
      </c>
      <c r="D423" s="13" t="s">
        <v>92</v>
      </c>
      <c r="E423" s="12" t="s">
        <v>35</v>
      </c>
      <c r="F423" s="14">
        <v>31000</v>
      </c>
      <c r="G423" s="14">
        <v>24500</v>
      </c>
      <c r="H423" s="13" t="s">
        <v>35357</v>
      </c>
      <c r="I423" s="40" t="s">
        <v>18</v>
      </c>
      <c r="J423" s="40" t="str">
        <f>HYPERLINK("https://stock.pstatic.net/stock-research/company/63/20260807_company_868752000.pdf","PDF")</f>
        <v>PDF</v>
      </c>
      <c r="K423" s="12" t="s">
        <v>35358</v>
      </c>
      <c r="L423" s="36">
        <v>0.26530612244897961</v>
      </c>
    </row>
    <row r="424" spans="1:12" x14ac:dyDescent="0.45">
      <c r="A424" s="12" t="s">
        <v>34939</v>
      </c>
      <c r="B424" s="12" t="s">
        <v>2576</v>
      </c>
      <c r="C424" s="13" t="s">
        <v>2577</v>
      </c>
      <c r="D424" s="13" t="s">
        <v>23</v>
      </c>
      <c r="E424" s="12" t="s">
        <v>16</v>
      </c>
      <c r="F424" s="14">
        <v>1600000</v>
      </c>
      <c r="G424" s="14">
        <v>1234000</v>
      </c>
      <c r="H424" s="13" t="s">
        <v>35359</v>
      </c>
      <c r="I424" s="40" t="s">
        <v>18</v>
      </c>
      <c r="J424" s="40" t="str">
        <f>HYPERLINK("https://stock.pstatic.net/stock-research/company/21/20260807_company_42789000.pdf","PDF")</f>
        <v>PDF</v>
      </c>
      <c r="K424" s="12" t="s">
        <v>35360</v>
      </c>
      <c r="L424" s="36">
        <v>0.29659643435980548</v>
      </c>
    </row>
    <row r="425" spans="1:12" x14ac:dyDescent="0.45">
      <c r="A425" s="12" t="s">
        <v>34939</v>
      </c>
      <c r="B425" s="12" t="s">
        <v>1678</v>
      </c>
      <c r="C425" s="13" t="s">
        <v>1679</v>
      </c>
      <c r="D425" s="13" t="s">
        <v>92</v>
      </c>
      <c r="E425" s="12" t="s">
        <v>35</v>
      </c>
      <c r="F425" s="14">
        <v>48000</v>
      </c>
      <c r="G425" s="14">
        <v>34100</v>
      </c>
      <c r="H425" s="13" t="s">
        <v>35361</v>
      </c>
      <c r="I425" s="40" t="s">
        <v>18</v>
      </c>
      <c r="J425" s="40" t="str">
        <f>HYPERLINK("https://stock.pstatic.net/stock-research/company/63/20260807_company_593163000.pdf","PDF")</f>
        <v>PDF</v>
      </c>
      <c r="K425" s="12" t="s">
        <v>35362</v>
      </c>
      <c r="L425" s="36">
        <v>0.40762463343108513</v>
      </c>
    </row>
    <row r="426" spans="1:12" x14ac:dyDescent="0.45">
      <c r="A426" s="12" t="s">
        <v>34939</v>
      </c>
      <c r="B426" s="12" t="s">
        <v>2613</v>
      </c>
      <c r="C426" s="13" t="s">
        <v>2614</v>
      </c>
      <c r="D426" s="13" t="s">
        <v>53</v>
      </c>
      <c r="E426" s="12" t="s">
        <v>16</v>
      </c>
      <c r="F426" s="14">
        <v>380000</v>
      </c>
      <c r="G426" s="14">
        <v>279000</v>
      </c>
      <c r="H426" s="13" t="s">
        <v>35363</v>
      </c>
      <c r="I426" s="40" t="s">
        <v>18</v>
      </c>
      <c r="J426" s="40" t="str">
        <f>HYPERLINK("https://stock.pstatic.net/stock-research/company/40/20260807_company_61754000.pdf","PDF")</f>
        <v>PDF</v>
      </c>
      <c r="K426" s="12" t="s">
        <v>35364</v>
      </c>
      <c r="L426" s="36">
        <v>0.36200716845878128</v>
      </c>
    </row>
    <row r="427" spans="1:12" x14ac:dyDescent="0.45">
      <c r="A427" s="12" t="s">
        <v>34939</v>
      </c>
      <c r="B427" s="12" t="s">
        <v>2801</v>
      </c>
      <c r="C427" s="13" t="s">
        <v>2802</v>
      </c>
      <c r="D427" s="13" t="s">
        <v>23</v>
      </c>
      <c r="E427" s="12" t="s">
        <v>16</v>
      </c>
      <c r="F427" s="14">
        <v>37000</v>
      </c>
      <c r="G427" s="14">
        <v>26650</v>
      </c>
      <c r="H427" s="13" t="s">
        <v>35365</v>
      </c>
      <c r="I427" s="40" t="s">
        <v>18</v>
      </c>
      <c r="J427" s="40" t="str">
        <f>HYPERLINK("https://stock.pstatic.net/stock-research/company/21/20260807_company_575062000.pdf","PDF")</f>
        <v>PDF</v>
      </c>
      <c r="K427" s="12" t="s">
        <v>35366</v>
      </c>
      <c r="L427" s="36">
        <v>0.38836772983114448</v>
      </c>
    </row>
    <row r="428" spans="1:12" x14ac:dyDescent="0.45">
      <c r="A428" s="12" t="s">
        <v>34939</v>
      </c>
      <c r="B428" s="12" t="s">
        <v>35367</v>
      </c>
      <c r="C428" s="13" t="s">
        <v>35368</v>
      </c>
      <c r="D428" s="13" t="s">
        <v>44</v>
      </c>
      <c r="E428" s="12" t="s">
        <v>50</v>
      </c>
      <c r="F428" s="13"/>
      <c r="G428" s="14">
        <v>31900</v>
      </c>
      <c r="H428" s="13" t="s">
        <v>35369</v>
      </c>
      <c r="I428" s="40" t="s">
        <v>18</v>
      </c>
      <c r="J428" s="40" t="str">
        <f>HYPERLINK("https://stock.pstatic.net/stock-research/company/39/20260807_company_977167000.pdf","PDF")</f>
        <v>PDF</v>
      </c>
      <c r="K428" s="12" t="s">
        <v>35370</v>
      </c>
      <c r="L428" s="12"/>
    </row>
    <row r="429" spans="1:12" x14ac:dyDescent="0.45">
      <c r="A429" s="12" t="s">
        <v>34939</v>
      </c>
      <c r="B429" s="12" t="s">
        <v>537</v>
      </c>
      <c r="C429" s="13" t="s">
        <v>538</v>
      </c>
      <c r="D429" s="13" t="s">
        <v>92</v>
      </c>
      <c r="E429" s="12" t="s">
        <v>35</v>
      </c>
      <c r="F429" s="14">
        <v>19000</v>
      </c>
      <c r="G429" s="14">
        <v>15000</v>
      </c>
      <c r="H429" s="13" t="s">
        <v>35371</v>
      </c>
      <c r="I429" s="40" t="s">
        <v>18</v>
      </c>
      <c r="J429" s="40" t="str">
        <f>HYPERLINK("https://stock.pstatic.net/stock-research/company/63/20260807_company_700443000.pdf","PDF")</f>
        <v>PDF</v>
      </c>
      <c r="K429" s="12" t="s">
        <v>35372</v>
      </c>
      <c r="L429" s="36">
        <v>0.26666666666666672</v>
      </c>
    </row>
    <row r="430" spans="1:12" x14ac:dyDescent="0.45">
      <c r="A430" s="12" t="s">
        <v>34939</v>
      </c>
      <c r="B430" s="12" t="s">
        <v>33970</v>
      </c>
      <c r="C430" s="13" t="s">
        <v>33971</v>
      </c>
      <c r="D430" s="13" t="s">
        <v>179</v>
      </c>
      <c r="E430" s="12" t="s">
        <v>50</v>
      </c>
      <c r="F430" s="13"/>
      <c r="G430" s="14">
        <v>10500</v>
      </c>
      <c r="H430" s="13" t="s">
        <v>35373</v>
      </c>
      <c r="I430" s="40" t="s">
        <v>18</v>
      </c>
      <c r="J430" s="40" t="str">
        <f>HYPERLINK("https://stock.pstatic.net/stock-research/company/64/20260807_company_832997000.pdf","PDF")</f>
        <v>PDF</v>
      </c>
      <c r="K430" s="12" t="s">
        <v>35374</v>
      </c>
      <c r="L430" s="12"/>
    </row>
    <row r="431" spans="1:12" x14ac:dyDescent="0.45">
      <c r="A431" s="12" t="s">
        <v>34939</v>
      </c>
      <c r="B431" s="12" t="s">
        <v>1097</v>
      </c>
      <c r="C431" s="13" t="s">
        <v>1098</v>
      </c>
      <c r="D431" s="13" t="s">
        <v>23</v>
      </c>
      <c r="E431" s="12" t="s">
        <v>16</v>
      </c>
      <c r="F431" s="14">
        <v>180000</v>
      </c>
      <c r="G431" s="14">
        <v>133500</v>
      </c>
      <c r="H431" s="13" t="s">
        <v>35375</v>
      </c>
      <c r="I431" s="40" t="s">
        <v>18</v>
      </c>
      <c r="J431" s="40" t="str">
        <f>HYPERLINK("https://stock.pstatic.net/stock-research/company/21/20260807_company_613591000.pdf","PDF")</f>
        <v>PDF</v>
      </c>
      <c r="K431" s="12" t="s">
        <v>35376</v>
      </c>
      <c r="L431" s="36">
        <v>0.34831460674157311</v>
      </c>
    </row>
    <row r="432" spans="1:12" x14ac:dyDescent="0.45">
      <c r="A432" s="12" t="s">
        <v>34939</v>
      </c>
      <c r="B432" s="12" t="s">
        <v>2225</v>
      </c>
      <c r="C432" s="13" t="s">
        <v>2226</v>
      </c>
      <c r="D432" s="13" t="s">
        <v>23</v>
      </c>
      <c r="E432" s="12" t="s">
        <v>16</v>
      </c>
      <c r="F432" s="14">
        <v>980000</v>
      </c>
      <c r="G432" s="14">
        <v>702000</v>
      </c>
      <c r="H432" s="13" t="s">
        <v>35377</v>
      </c>
      <c r="I432" s="40" t="s">
        <v>18</v>
      </c>
      <c r="J432" s="40" t="str">
        <f>HYPERLINK("https://stock.pstatic.net/stock-research/company/21/20260807_company_364916000.pdf","PDF")</f>
        <v>PDF</v>
      </c>
      <c r="K432" s="12" t="s">
        <v>35378</v>
      </c>
      <c r="L432" s="36">
        <v>0.39601139601139601</v>
      </c>
    </row>
    <row r="433" spans="1:12" x14ac:dyDescent="0.45">
      <c r="A433" s="12" t="s">
        <v>34939</v>
      </c>
      <c r="B433" s="12" t="s">
        <v>2425</v>
      </c>
      <c r="C433" s="13" t="s">
        <v>2426</v>
      </c>
      <c r="D433" s="13" t="s">
        <v>23</v>
      </c>
      <c r="E433" s="12" t="s">
        <v>16</v>
      </c>
      <c r="F433" s="14">
        <v>230000</v>
      </c>
      <c r="G433" s="14">
        <v>182700</v>
      </c>
      <c r="H433" s="13" t="s">
        <v>35379</v>
      </c>
      <c r="I433" s="40" t="s">
        <v>18</v>
      </c>
      <c r="J433" s="40" t="str">
        <f>HYPERLINK("https://stock.pstatic.net/stock-research/company/21/20260807_company_114630000.pdf","PDF")</f>
        <v>PDF</v>
      </c>
      <c r="K433" s="12" t="s">
        <v>35380</v>
      </c>
      <c r="L433" s="36">
        <v>0.25889436234263818</v>
      </c>
    </row>
    <row r="434" spans="1:12" x14ac:dyDescent="0.45">
      <c r="A434" s="12" t="s">
        <v>34939</v>
      </c>
      <c r="B434" s="12" t="s">
        <v>1602</v>
      </c>
      <c r="C434" s="13" t="s">
        <v>1603</v>
      </c>
      <c r="D434" s="13" t="s">
        <v>23</v>
      </c>
      <c r="E434" s="12" t="s">
        <v>16</v>
      </c>
      <c r="F434" s="14">
        <v>59000</v>
      </c>
      <c r="G434" s="14">
        <v>31250</v>
      </c>
      <c r="H434" s="13" t="s">
        <v>35381</v>
      </c>
      <c r="I434" s="40" t="s">
        <v>18</v>
      </c>
      <c r="J434" s="40" t="str">
        <f>HYPERLINK("https://stock.pstatic.net/stock-research/company/21/20260807_company_823629000.pdf","PDF")</f>
        <v>PDF</v>
      </c>
      <c r="K434" s="12" t="s">
        <v>35382</v>
      </c>
      <c r="L434" s="36">
        <v>0.88800000000000001</v>
      </c>
    </row>
    <row r="435" spans="1:12" x14ac:dyDescent="0.45">
      <c r="A435" s="12" t="s">
        <v>34939</v>
      </c>
      <c r="B435" s="12" t="s">
        <v>537</v>
      </c>
      <c r="C435" s="13" t="s">
        <v>538</v>
      </c>
      <c r="D435" s="13" t="s">
        <v>23</v>
      </c>
      <c r="E435" s="12" t="s">
        <v>16</v>
      </c>
      <c r="F435" s="14">
        <v>21000</v>
      </c>
      <c r="G435" s="14">
        <v>15000</v>
      </c>
      <c r="H435" s="13" t="s">
        <v>35383</v>
      </c>
      <c r="I435" s="40" t="s">
        <v>18</v>
      </c>
      <c r="J435" s="40" t="str">
        <f>HYPERLINK("https://stock.pstatic.net/stock-research/company/21/20260807_company_260290000.pdf","PDF")</f>
        <v>PDF</v>
      </c>
      <c r="K435" s="12" t="s">
        <v>35384</v>
      </c>
      <c r="L435" s="36">
        <v>0.4</v>
      </c>
    </row>
    <row r="436" spans="1:12" x14ac:dyDescent="0.45">
      <c r="A436" s="12" t="s">
        <v>34939</v>
      </c>
      <c r="B436" s="12" t="s">
        <v>1278</v>
      </c>
      <c r="C436" s="13" t="s">
        <v>1279</v>
      </c>
      <c r="D436" s="13" t="s">
        <v>23</v>
      </c>
      <c r="E436" s="12" t="s">
        <v>16</v>
      </c>
      <c r="F436" s="14">
        <v>300000</v>
      </c>
      <c r="G436" s="14">
        <v>204000</v>
      </c>
      <c r="H436" s="13" t="s">
        <v>35385</v>
      </c>
      <c r="I436" s="40" t="s">
        <v>18</v>
      </c>
      <c r="J436" s="40" t="str">
        <f>HYPERLINK("https://stock.pstatic.net/stock-research/company/21/20260807_company_293163000.pdf","PDF")</f>
        <v>PDF</v>
      </c>
      <c r="K436" s="12" t="s">
        <v>35386</v>
      </c>
      <c r="L436" s="36">
        <v>0.47058823529411759</v>
      </c>
    </row>
    <row r="437" spans="1:12" x14ac:dyDescent="0.45">
      <c r="A437" s="12" t="s">
        <v>34939</v>
      </c>
      <c r="B437" s="12" t="s">
        <v>2225</v>
      </c>
      <c r="C437" s="13" t="s">
        <v>2226</v>
      </c>
      <c r="D437" s="13" t="s">
        <v>34</v>
      </c>
      <c r="E437" s="12" t="s">
        <v>35</v>
      </c>
      <c r="F437" s="14">
        <v>1230000</v>
      </c>
      <c r="G437" s="14">
        <v>702000</v>
      </c>
      <c r="H437" s="13" t="s">
        <v>35387</v>
      </c>
      <c r="I437" s="40" t="s">
        <v>18</v>
      </c>
      <c r="J437" s="40" t="str">
        <f>HYPERLINK("https://stock.pstatic.net/stock-research/company/61/20260807_company_826905000.pdf","PDF")</f>
        <v>PDF</v>
      </c>
      <c r="K437" s="12" t="s">
        <v>35388</v>
      </c>
      <c r="L437" s="36">
        <v>0.75213675213675213</v>
      </c>
    </row>
    <row r="438" spans="1:12" x14ac:dyDescent="0.45">
      <c r="A438" s="12" t="s">
        <v>34939</v>
      </c>
      <c r="B438" s="12" t="s">
        <v>2425</v>
      </c>
      <c r="C438" s="13" t="s">
        <v>2426</v>
      </c>
      <c r="D438" s="13" t="s">
        <v>44</v>
      </c>
      <c r="E438" s="12" t="s">
        <v>35</v>
      </c>
      <c r="F438" s="14">
        <v>250000</v>
      </c>
      <c r="G438" s="14">
        <v>182700</v>
      </c>
      <c r="H438" s="13" t="s">
        <v>35389</v>
      </c>
      <c r="I438" s="40" t="s">
        <v>18</v>
      </c>
      <c r="J438" s="40" t="str">
        <f>HYPERLINK("https://stock.pstatic.net/stock-research/company/39/20260807_company_772131000.pdf","PDF")</f>
        <v>PDF</v>
      </c>
      <c r="K438" s="12" t="s">
        <v>35390</v>
      </c>
      <c r="L438" s="36">
        <v>0.36836343732895449</v>
      </c>
    </row>
    <row r="439" spans="1:12" x14ac:dyDescent="0.45">
      <c r="A439" s="12" t="s">
        <v>34939</v>
      </c>
      <c r="B439" s="12" t="s">
        <v>2365</v>
      </c>
      <c r="C439" s="13" t="s">
        <v>2366</v>
      </c>
      <c r="D439" s="13" t="s">
        <v>44</v>
      </c>
      <c r="E439" s="12" t="s">
        <v>35</v>
      </c>
      <c r="F439" s="14">
        <v>160000</v>
      </c>
      <c r="G439" s="14">
        <v>79800</v>
      </c>
      <c r="H439" s="13" t="s">
        <v>35391</v>
      </c>
      <c r="I439" s="40" t="s">
        <v>18</v>
      </c>
      <c r="J439" s="40" t="str">
        <f>HYPERLINK("https://stock.pstatic.net/stock-research/company/39/20260807_company_606636000.pdf","PDF")</f>
        <v>PDF</v>
      </c>
      <c r="K439" s="12" t="s">
        <v>35392</v>
      </c>
      <c r="L439" s="36">
        <v>1.0050125313283209</v>
      </c>
    </row>
    <row r="440" spans="1:12" x14ac:dyDescent="0.45">
      <c r="A440" s="12" t="s">
        <v>34939</v>
      </c>
      <c r="B440" s="12" t="s">
        <v>1660</v>
      </c>
      <c r="C440" s="13" t="s">
        <v>1661</v>
      </c>
      <c r="D440" s="13" t="s">
        <v>44</v>
      </c>
      <c r="E440" s="12" t="s">
        <v>35</v>
      </c>
      <c r="F440" s="14">
        <v>41000</v>
      </c>
      <c r="G440" s="14">
        <v>24500</v>
      </c>
      <c r="H440" s="13" t="s">
        <v>35393</v>
      </c>
      <c r="I440" s="40" t="s">
        <v>18</v>
      </c>
      <c r="J440" s="40" t="str">
        <f>HYPERLINK("https://stock.pstatic.net/stock-research/company/39/20260807_company_256041000.pdf","PDF")</f>
        <v>PDF</v>
      </c>
      <c r="K440" s="12" t="s">
        <v>35394</v>
      </c>
      <c r="L440" s="36">
        <v>0.67346938775510201</v>
      </c>
    </row>
    <row r="441" spans="1:12" x14ac:dyDescent="0.45">
      <c r="A441" s="12" t="s">
        <v>34939</v>
      </c>
      <c r="B441" s="12" t="s">
        <v>1678</v>
      </c>
      <c r="C441" s="13" t="s">
        <v>1679</v>
      </c>
      <c r="D441" s="13" t="s">
        <v>44</v>
      </c>
      <c r="E441" s="12" t="s">
        <v>35</v>
      </c>
      <c r="F441" s="14">
        <v>52000</v>
      </c>
      <c r="G441" s="14">
        <v>34100</v>
      </c>
      <c r="H441" s="13" t="s">
        <v>35395</v>
      </c>
      <c r="I441" s="40" t="s">
        <v>18</v>
      </c>
      <c r="J441" s="40" t="str">
        <f>HYPERLINK("https://stock.pstatic.net/stock-research/company/39/20260807_company_35668000.pdf","PDF")</f>
        <v>PDF</v>
      </c>
      <c r="K441" s="12" t="s">
        <v>35396</v>
      </c>
      <c r="L441" s="36">
        <v>0.52492668621700878</v>
      </c>
    </row>
    <row r="442" spans="1:12" x14ac:dyDescent="0.45">
      <c r="A442" s="12" t="s">
        <v>34939</v>
      </c>
      <c r="B442" s="12" t="s">
        <v>2365</v>
      </c>
      <c r="C442" s="13" t="s">
        <v>2366</v>
      </c>
      <c r="D442" s="13" t="s">
        <v>34</v>
      </c>
      <c r="E442" s="12" t="s">
        <v>35</v>
      </c>
      <c r="F442" s="14">
        <v>120000</v>
      </c>
      <c r="G442" s="14">
        <v>79800</v>
      </c>
      <c r="H442" s="13" t="s">
        <v>35397</v>
      </c>
      <c r="I442" s="40" t="s">
        <v>18</v>
      </c>
      <c r="J442" s="40" t="str">
        <f>HYPERLINK("https://stock.pstatic.net/stock-research/company/61/20260807_company_574584000.pdf","PDF")</f>
        <v>PDF</v>
      </c>
      <c r="K442" s="12" t="s">
        <v>35398</v>
      </c>
      <c r="L442" s="36">
        <v>0.50375939849624063</v>
      </c>
    </row>
    <row r="443" spans="1:12" x14ac:dyDescent="0.45">
      <c r="A443" s="12" t="s">
        <v>34939</v>
      </c>
      <c r="B443" s="12" t="s">
        <v>868</v>
      </c>
      <c r="C443" s="13" t="s">
        <v>869</v>
      </c>
      <c r="D443" s="13" t="s">
        <v>34</v>
      </c>
      <c r="E443" s="12" t="s">
        <v>35</v>
      </c>
      <c r="F443" s="14">
        <v>61500</v>
      </c>
      <c r="G443" s="14">
        <v>34000</v>
      </c>
      <c r="H443" s="13" t="s">
        <v>35399</v>
      </c>
      <c r="I443" s="40" t="s">
        <v>18</v>
      </c>
      <c r="J443" s="40" t="str">
        <f>HYPERLINK("https://stock.pstatic.net/stock-research/company/61/20260807_company_877285000.pdf","PDF")</f>
        <v>PDF</v>
      </c>
      <c r="K443" s="12" t="s">
        <v>35400</v>
      </c>
      <c r="L443" s="36">
        <v>0.80882352941176472</v>
      </c>
    </row>
    <row r="444" spans="1:12" x14ac:dyDescent="0.45">
      <c r="A444" s="12" t="s">
        <v>34939</v>
      </c>
      <c r="B444" s="12" t="s">
        <v>1042</v>
      </c>
      <c r="C444" s="13" t="s">
        <v>1043</v>
      </c>
      <c r="D444" s="13" t="s">
        <v>44</v>
      </c>
      <c r="E444" s="12" t="s">
        <v>50</v>
      </c>
      <c r="F444" s="13"/>
      <c r="G444" s="14">
        <v>23500</v>
      </c>
      <c r="H444" s="13" t="s">
        <v>35401</v>
      </c>
      <c r="I444" s="40" t="s">
        <v>18</v>
      </c>
      <c r="J444" s="40" t="str">
        <f>HYPERLINK("https://stock.pstatic.net/stock-research/company/39/20260807_company_845100000.pdf","PDF")</f>
        <v>PDF</v>
      </c>
      <c r="K444" s="12" t="s">
        <v>35402</v>
      </c>
      <c r="L444" s="12"/>
    </row>
    <row r="445" spans="1:12" x14ac:dyDescent="0.45">
      <c r="A445" s="12" t="s">
        <v>34939</v>
      </c>
      <c r="B445" s="12" t="s">
        <v>1602</v>
      </c>
      <c r="C445" s="13" t="s">
        <v>1603</v>
      </c>
      <c r="D445" s="13" t="s">
        <v>44</v>
      </c>
      <c r="E445" s="12" t="s">
        <v>35</v>
      </c>
      <c r="F445" s="14">
        <v>54000</v>
      </c>
      <c r="G445" s="14">
        <v>31250</v>
      </c>
      <c r="H445" s="13" t="s">
        <v>35403</v>
      </c>
      <c r="I445" s="40" t="s">
        <v>18</v>
      </c>
      <c r="J445" s="40" t="str">
        <f>HYPERLINK("https://stock.pstatic.net/stock-research/company/39/20260807_company_439233000.pdf","PDF")</f>
        <v>PDF</v>
      </c>
      <c r="K445" s="12" t="s">
        <v>35404</v>
      </c>
      <c r="L445" s="36">
        <v>0.72799999999999998</v>
      </c>
    </row>
    <row r="446" spans="1:12" x14ac:dyDescent="0.45">
      <c r="A446" s="12" t="s">
        <v>34939</v>
      </c>
      <c r="B446" s="12" t="s">
        <v>1278</v>
      </c>
      <c r="C446" s="13" t="s">
        <v>1279</v>
      </c>
      <c r="D446" s="13" t="s">
        <v>34</v>
      </c>
      <c r="E446" s="12" t="s">
        <v>35</v>
      </c>
      <c r="F446" s="14">
        <v>284000</v>
      </c>
      <c r="G446" s="14">
        <v>204000</v>
      </c>
      <c r="H446" s="13" t="s">
        <v>35405</v>
      </c>
      <c r="I446" s="40" t="s">
        <v>18</v>
      </c>
      <c r="J446" s="40" t="str">
        <f>HYPERLINK("https://stock.pstatic.net/stock-research/company/61/20260807_company_166057000.pdf","PDF")</f>
        <v>PDF</v>
      </c>
      <c r="K446" s="12" t="s">
        <v>35406</v>
      </c>
      <c r="L446" s="36">
        <v>0.39215686274509798</v>
      </c>
    </row>
    <row r="447" spans="1:12" x14ac:dyDescent="0.45">
      <c r="A447" s="12" t="s">
        <v>34939</v>
      </c>
      <c r="B447" s="12" t="s">
        <v>2576</v>
      </c>
      <c r="C447" s="13" t="s">
        <v>2577</v>
      </c>
      <c r="D447" s="13" t="s">
        <v>34</v>
      </c>
      <c r="E447" s="12" t="s">
        <v>35</v>
      </c>
      <c r="F447" s="14">
        <v>1630000</v>
      </c>
      <c r="G447" s="14">
        <v>1234000</v>
      </c>
      <c r="H447" s="13" t="s">
        <v>35407</v>
      </c>
      <c r="I447" s="40" t="s">
        <v>18</v>
      </c>
      <c r="J447" s="40" t="str">
        <f>HYPERLINK("https://stock.pstatic.net/stock-research/company/61/20260807_company_507434000.pdf","PDF")</f>
        <v>PDF</v>
      </c>
      <c r="K447" s="12" t="s">
        <v>35408</v>
      </c>
      <c r="L447" s="36">
        <v>0.32090761750405189</v>
      </c>
    </row>
    <row r="448" spans="1:12" x14ac:dyDescent="0.45">
      <c r="A448" s="12" t="s">
        <v>34939</v>
      </c>
      <c r="B448" s="12" t="s">
        <v>1278</v>
      </c>
      <c r="C448" s="13" t="s">
        <v>1279</v>
      </c>
      <c r="D448" s="13" t="s">
        <v>179</v>
      </c>
      <c r="E448" s="12" t="s">
        <v>16</v>
      </c>
      <c r="F448" s="14">
        <v>410000</v>
      </c>
      <c r="G448" s="14">
        <v>204000</v>
      </c>
      <c r="H448" s="13" t="s">
        <v>35409</v>
      </c>
      <c r="I448" s="40" t="s">
        <v>18</v>
      </c>
      <c r="J448" s="40" t="str">
        <f>HYPERLINK("https://stock.pstatic.net/stock-research/company/64/20260807_company_389215000.pdf","PDF")</f>
        <v>PDF</v>
      </c>
      <c r="K448" s="12" t="s">
        <v>35410</v>
      </c>
      <c r="L448" s="36">
        <v>1.009803921568627</v>
      </c>
    </row>
    <row r="449" spans="1:12" x14ac:dyDescent="0.45">
      <c r="A449" s="12" t="s">
        <v>34939</v>
      </c>
      <c r="B449" s="12" t="s">
        <v>1097</v>
      </c>
      <c r="C449" s="13" t="s">
        <v>1098</v>
      </c>
      <c r="D449" s="13" t="s">
        <v>44</v>
      </c>
      <c r="E449" s="12" t="s">
        <v>35</v>
      </c>
      <c r="F449" s="14">
        <v>180000</v>
      </c>
      <c r="G449" s="14">
        <v>133500</v>
      </c>
      <c r="H449" s="13" t="s">
        <v>35411</v>
      </c>
      <c r="I449" s="40" t="s">
        <v>18</v>
      </c>
      <c r="J449" s="40" t="str">
        <f>HYPERLINK("https://stock.pstatic.net/stock-research/company/39/20260807_company_790437000.pdf","PDF")</f>
        <v>PDF</v>
      </c>
      <c r="K449" s="12" t="s">
        <v>35412</v>
      </c>
      <c r="L449" s="36">
        <v>0.34831460674157311</v>
      </c>
    </row>
    <row r="450" spans="1:12" x14ac:dyDescent="0.45">
      <c r="A450" s="12" t="s">
        <v>34939</v>
      </c>
      <c r="B450" s="12" t="s">
        <v>537</v>
      </c>
      <c r="C450" s="13" t="s">
        <v>538</v>
      </c>
      <c r="D450" s="13" t="s">
        <v>179</v>
      </c>
      <c r="E450" s="12" t="s">
        <v>16</v>
      </c>
      <c r="F450" s="14">
        <v>19000</v>
      </c>
      <c r="G450" s="14">
        <v>15000</v>
      </c>
      <c r="H450" s="13" t="s">
        <v>35413</v>
      </c>
      <c r="I450" s="40" t="s">
        <v>18</v>
      </c>
      <c r="J450" s="40" t="str">
        <f>HYPERLINK("https://stock.pstatic.net/stock-research/company/64/20260807_company_379830000.pdf","PDF")</f>
        <v>PDF</v>
      </c>
      <c r="K450" s="12" t="s">
        <v>35414</v>
      </c>
      <c r="L450" s="36">
        <v>0.26666666666666672</v>
      </c>
    </row>
    <row r="451" spans="1:12" x14ac:dyDescent="0.45">
      <c r="A451" s="12" t="s">
        <v>34939</v>
      </c>
      <c r="B451" s="12" t="s">
        <v>2613</v>
      </c>
      <c r="C451" s="13" t="s">
        <v>2614</v>
      </c>
      <c r="D451" s="13" t="s">
        <v>44</v>
      </c>
      <c r="E451" s="12" t="s">
        <v>35</v>
      </c>
      <c r="F451" s="14">
        <v>430000</v>
      </c>
      <c r="G451" s="14">
        <v>279000</v>
      </c>
      <c r="H451" s="13" t="s">
        <v>34940</v>
      </c>
      <c r="I451" s="40" t="s">
        <v>18</v>
      </c>
      <c r="J451" s="40" t="str">
        <f>HYPERLINK("https://stock.pstatic.net/stock-research/company/39/20260807_company_482314000.pdf","PDF")</f>
        <v>PDF</v>
      </c>
      <c r="K451" s="12" t="s">
        <v>34941</v>
      </c>
      <c r="L451" s="36">
        <v>0.54121863799283154</v>
      </c>
    </row>
    <row r="452" spans="1:12" x14ac:dyDescent="0.45">
      <c r="A452" s="12" t="s">
        <v>34939</v>
      </c>
      <c r="B452" s="12" t="s">
        <v>565</v>
      </c>
      <c r="C452" s="13" t="s">
        <v>566</v>
      </c>
      <c r="D452" s="13" t="s">
        <v>44</v>
      </c>
      <c r="E452" s="12" t="s">
        <v>50</v>
      </c>
      <c r="F452" s="13"/>
      <c r="G452" s="14">
        <v>70000</v>
      </c>
      <c r="H452" s="13" t="s">
        <v>34942</v>
      </c>
      <c r="I452" s="40" t="s">
        <v>18</v>
      </c>
      <c r="J452" s="40" t="str">
        <f>HYPERLINK("https://stock.pstatic.net/stock-research/company/39/20260807_company_929183000.pdf","PDF")</f>
        <v>PDF</v>
      </c>
      <c r="K452" s="12" t="s">
        <v>34943</v>
      </c>
      <c r="L452" s="12"/>
    </row>
    <row r="453" spans="1:12" x14ac:dyDescent="0.45">
      <c r="A453" s="12" t="s">
        <v>34939</v>
      </c>
      <c r="B453" s="12" t="s">
        <v>25602</v>
      </c>
      <c r="C453" s="13" t="s">
        <v>25603</v>
      </c>
      <c r="D453" s="13" t="s">
        <v>44</v>
      </c>
      <c r="E453" s="12" t="s">
        <v>50</v>
      </c>
      <c r="F453" s="13"/>
      <c r="G453" s="14">
        <v>155100</v>
      </c>
      <c r="H453" s="13" t="s">
        <v>34944</v>
      </c>
      <c r="I453" s="40" t="s">
        <v>18</v>
      </c>
      <c r="J453" s="40" t="str">
        <f>HYPERLINK("https://stock.pstatic.net/stock-research/company/39/20260807_company_185177000.pdf","PDF")</f>
        <v>PDF</v>
      </c>
      <c r="K453" s="12" t="s">
        <v>34945</v>
      </c>
      <c r="L453" s="12"/>
    </row>
    <row r="454" spans="1:12" x14ac:dyDescent="0.45">
      <c r="A454" s="12" t="s">
        <v>34939</v>
      </c>
      <c r="B454" s="12" t="s">
        <v>2225</v>
      </c>
      <c r="C454" s="13" t="s">
        <v>2226</v>
      </c>
      <c r="D454" s="13" t="s">
        <v>44</v>
      </c>
      <c r="E454" s="12" t="s">
        <v>35</v>
      </c>
      <c r="F454" s="14">
        <v>1350000</v>
      </c>
      <c r="G454" s="14">
        <v>702000</v>
      </c>
      <c r="H454" s="13" t="s">
        <v>34946</v>
      </c>
      <c r="I454" s="40" t="s">
        <v>18</v>
      </c>
      <c r="J454" s="40" t="str">
        <f>HYPERLINK("https://stock.pstatic.net/stock-research/company/39/20260807_company_76438000.pdf","PDF")</f>
        <v>PDF</v>
      </c>
      <c r="K454" s="12" t="s">
        <v>34947</v>
      </c>
      <c r="L454" s="36">
        <v>0.92307692307692313</v>
      </c>
    </row>
    <row r="455" spans="1:12" x14ac:dyDescent="0.45">
      <c r="A455" s="12" t="s">
        <v>34939</v>
      </c>
      <c r="B455" s="12" t="s">
        <v>34948</v>
      </c>
      <c r="C455" s="13" t="s">
        <v>34949</v>
      </c>
      <c r="D455" s="13" t="s">
        <v>124</v>
      </c>
      <c r="E455" s="12" t="s">
        <v>50</v>
      </c>
      <c r="F455" s="13"/>
      <c r="G455" s="13"/>
      <c r="H455" s="13" t="s">
        <v>34950</v>
      </c>
      <c r="I455" s="40" t="s">
        <v>18</v>
      </c>
      <c r="J455" s="40" t="str">
        <f>HYPERLINK("https://stock.pstatic.net/stock-research/company/74/20260807_company_196816000.pdf","PDF")</f>
        <v>PDF</v>
      </c>
      <c r="K455" s="12" t="s">
        <v>34951</v>
      </c>
      <c r="L455" s="12"/>
    </row>
    <row r="456" spans="1:12" x14ac:dyDescent="0.45">
      <c r="A456" s="12" t="s">
        <v>34939</v>
      </c>
      <c r="B456" s="12" t="s">
        <v>4846</v>
      </c>
      <c r="C456" s="13" t="s">
        <v>4847</v>
      </c>
      <c r="D456" s="13" t="s">
        <v>53</v>
      </c>
      <c r="E456" s="12" t="s">
        <v>16</v>
      </c>
      <c r="F456" s="14">
        <v>65000</v>
      </c>
      <c r="G456" s="14">
        <v>46000</v>
      </c>
      <c r="H456" s="13" t="s">
        <v>34952</v>
      </c>
      <c r="I456" s="40" t="s">
        <v>18</v>
      </c>
      <c r="J456" s="40" t="str">
        <f>HYPERLINK("https://stock.pstatic.net/stock-research/company/40/20260807_company_292662000.pdf","PDF")</f>
        <v>PDF</v>
      </c>
      <c r="K456" s="12" t="s">
        <v>34953</v>
      </c>
      <c r="L456" s="36">
        <v>0.41304347826086962</v>
      </c>
    </row>
    <row r="457" spans="1:12" x14ac:dyDescent="0.45">
      <c r="A457" s="12" t="s">
        <v>34939</v>
      </c>
      <c r="B457" s="12" t="s">
        <v>3403</v>
      </c>
      <c r="C457" s="13" t="s">
        <v>3404</v>
      </c>
      <c r="D457" s="13" t="s">
        <v>53</v>
      </c>
      <c r="E457" s="12" t="s">
        <v>16</v>
      </c>
      <c r="F457" s="14">
        <v>76000</v>
      </c>
      <c r="G457" s="14">
        <v>45550</v>
      </c>
      <c r="H457" s="13" t="s">
        <v>2215</v>
      </c>
      <c r="I457" s="40" t="s">
        <v>18</v>
      </c>
      <c r="J457" s="40" t="str">
        <f>HYPERLINK("https://stock.pstatic.net/stock-research/company/40/20260807_company_479341000.pdf","PDF")</f>
        <v>PDF</v>
      </c>
      <c r="K457" s="12" t="s">
        <v>34954</v>
      </c>
      <c r="L457" s="36">
        <v>0.66849615806805707</v>
      </c>
    </row>
    <row r="458" spans="1:12" x14ac:dyDescent="0.45">
      <c r="A458" s="12" t="s">
        <v>34939</v>
      </c>
      <c r="B458" s="12" t="s">
        <v>565</v>
      </c>
      <c r="C458" s="13" t="s">
        <v>566</v>
      </c>
      <c r="D458" s="13" t="s">
        <v>15</v>
      </c>
      <c r="E458" s="12" t="s">
        <v>16</v>
      </c>
      <c r="F458" s="14">
        <v>100000</v>
      </c>
      <c r="G458" s="14">
        <v>70000</v>
      </c>
      <c r="H458" s="13" t="s">
        <v>34955</v>
      </c>
      <c r="I458" s="40" t="s">
        <v>18</v>
      </c>
      <c r="J458" s="40" t="str">
        <f>HYPERLINK("https://stock.pstatic.net/stock-research/company/56/20260807_company_702250000.pdf","PDF")</f>
        <v>PDF</v>
      </c>
      <c r="K458" s="12" t="s">
        <v>34956</v>
      </c>
      <c r="L458" s="36">
        <v>0.42857142857142849</v>
      </c>
    </row>
    <row r="459" spans="1:12" x14ac:dyDescent="0.45">
      <c r="A459" s="12" t="s">
        <v>34939</v>
      </c>
      <c r="B459" s="12" t="s">
        <v>32768</v>
      </c>
      <c r="C459" s="13" t="s">
        <v>32769</v>
      </c>
      <c r="D459" s="13" t="s">
        <v>207</v>
      </c>
      <c r="E459" s="12" t="s">
        <v>50</v>
      </c>
      <c r="F459" s="13"/>
      <c r="G459" s="13"/>
      <c r="H459" s="13" t="s">
        <v>34957</v>
      </c>
      <c r="I459" s="40" t="s">
        <v>18</v>
      </c>
      <c r="J459" s="40" t="str">
        <f>HYPERLINK("https://stock.pstatic.net/stock-research/company/75/20260807_company_880453000.pdf","PDF")</f>
        <v>PDF</v>
      </c>
      <c r="K459" s="12" t="s">
        <v>34958</v>
      </c>
      <c r="L459" s="12"/>
    </row>
    <row r="460" spans="1:12" x14ac:dyDescent="0.45">
      <c r="A460" s="12" t="s">
        <v>34939</v>
      </c>
      <c r="B460" s="12" t="s">
        <v>34959</v>
      </c>
      <c r="C460" s="13" t="s">
        <v>34960</v>
      </c>
      <c r="D460" s="13" t="s">
        <v>202</v>
      </c>
      <c r="E460" s="12" t="s">
        <v>50</v>
      </c>
      <c r="F460" s="13"/>
      <c r="G460" s="13"/>
      <c r="H460" s="13" t="s">
        <v>34961</v>
      </c>
      <c r="I460" s="40" t="s">
        <v>18</v>
      </c>
      <c r="J460" s="40" t="str">
        <f>HYPERLINK("https://stock.pstatic.net/stock-research/company/69/20260807_company_520325000.pdf","PDF")</f>
        <v>PDF</v>
      </c>
      <c r="K460" s="12" t="s">
        <v>34962</v>
      </c>
      <c r="L460" s="12"/>
    </row>
    <row r="461" spans="1:12" x14ac:dyDescent="0.45">
      <c r="A461" s="12" t="s">
        <v>34939</v>
      </c>
      <c r="B461" s="12" t="s">
        <v>34963</v>
      </c>
      <c r="C461" s="13" t="s">
        <v>34964</v>
      </c>
      <c r="D461" s="13" t="s">
        <v>202</v>
      </c>
      <c r="E461" s="12" t="s">
        <v>50</v>
      </c>
      <c r="F461" s="13"/>
      <c r="G461" s="13"/>
      <c r="H461" s="13" t="s">
        <v>34965</v>
      </c>
      <c r="I461" s="40" t="s">
        <v>18</v>
      </c>
      <c r="J461" s="40" t="str">
        <f>HYPERLINK("https://stock.pstatic.net/stock-research/company/69/20260807_company_130937000.pdf","PDF")</f>
        <v>PDF</v>
      </c>
      <c r="K461" s="12" t="s">
        <v>34966</v>
      </c>
      <c r="L461" s="12"/>
    </row>
    <row r="462" spans="1:12" x14ac:dyDescent="0.45">
      <c r="A462" s="12" t="s">
        <v>34939</v>
      </c>
      <c r="B462" s="12" t="s">
        <v>34967</v>
      </c>
      <c r="C462" s="13" t="s">
        <v>34968</v>
      </c>
      <c r="D462" s="13" t="s">
        <v>202</v>
      </c>
      <c r="E462" s="12" t="s">
        <v>50</v>
      </c>
      <c r="F462" s="13"/>
      <c r="G462" s="13"/>
      <c r="H462" s="13" t="s">
        <v>34969</v>
      </c>
      <c r="I462" s="40" t="s">
        <v>18</v>
      </c>
      <c r="J462" s="40" t="str">
        <f>HYPERLINK("https://stock.pstatic.net/stock-research/company/69/20260807_company_272490000.pdf","PDF")</f>
        <v>PDF</v>
      </c>
      <c r="K462" s="12" t="s">
        <v>34970</v>
      </c>
      <c r="L462" s="12"/>
    </row>
    <row r="463" spans="1:12" x14ac:dyDescent="0.45">
      <c r="A463" s="12" t="s">
        <v>34939</v>
      </c>
      <c r="B463" s="12" t="s">
        <v>34971</v>
      </c>
      <c r="C463" s="13" t="s">
        <v>34972</v>
      </c>
      <c r="D463" s="13" t="s">
        <v>202</v>
      </c>
      <c r="E463" s="12" t="s">
        <v>50</v>
      </c>
      <c r="F463" s="13"/>
      <c r="G463" s="13"/>
      <c r="H463" s="13" t="s">
        <v>34973</v>
      </c>
      <c r="I463" s="40" t="s">
        <v>18</v>
      </c>
      <c r="J463" s="40" t="str">
        <f>HYPERLINK("https://stock.pstatic.net/stock-research/company/69/20260807_company_665700000.pdf","PDF")</f>
        <v>PDF</v>
      </c>
      <c r="K463" s="12" t="s">
        <v>34974</v>
      </c>
      <c r="L463" s="12"/>
    </row>
    <row r="464" spans="1:12" x14ac:dyDescent="0.45">
      <c r="A464" s="12" t="s">
        <v>34939</v>
      </c>
      <c r="B464" s="12" t="s">
        <v>34975</v>
      </c>
      <c r="C464" s="13" t="s">
        <v>34976</v>
      </c>
      <c r="D464" s="13" t="s">
        <v>202</v>
      </c>
      <c r="E464" s="12" t="s">
        <v>50</v>
      </c>
      <c r="F464" s="13"/>
      <c r="G464" s="13"/>
      <c r="H464" s="13" t="s">
        <v>34977</v>
      </c>
      <c r="I464" s="40" t="s">
        <v>18</v>
      </c>
      <c r="J464" s="40" t="str">
        <f>HYPERLINK("https://stock.pstatic.net/stock-research/company/69/20260807_company_242842000.pdf","PDF")</f>
        <v>PDF</v>
      </c>
      <c r="K464" s="12" t="s">
        <v>34978</v>
      </c>
      <c r="L464" s="12"/>
    </row>
    <row r="465" spans="1:12" x14ac:dyDescent="0.45">
      <c r="A465" s="12" t="s">
        <v>34939</v>
      </c>
      <c r="B465" s="12" t="s">
        <v>537</v>
      </c>
      <c r="C465" s="13" t="s">
        <v>538</v>
      </c>
      <c r="D465" s="13" t="s">
        <v>15</v>
      </c>
      <c r="E465" s="12" t="s">
        <v>16</v>
      </c>
      <c r="F465" s="14">
        <v>19000</v>
      </c>
      <c r="G465" s="14">
        <v>14920</v>
      </c>
      <c r="H465" s="13" t="s">
        <v>34979</v>
      </c>
      <c r="I465" s="40" t="s">
        <v>18</v>
      </c>
      <c r="J465" s="40" t="str">
        <f>HYPERLINK("https://stock.pstatic.net/stock-research/company/56/20260807_company_104515000.pdf","PDF")</f>
        <v>PDF</v>
      </c>
      <c r="K465" s="12" t="s">
        <v>34980</v>
      </c>
      <c r="L465" s="36">
        <v>0.27345844504021449</v>
      </c>
    </row>
    <row r="466" spans="1:12" x14ac:dyDescent="0.45">
      <c r="A466" s="12" t="s">
        <v>34939</v>
      </c>
      <c r="B466" s="12" t="s">
        <v>1602</v>
      </c>
      <c r="C466" s="13" t="s">
        <v>1603</v>
      </c>
      <c r="D466" s="13" t="s">
        <v>92</v>
      </c>
      <c r="E466" s="12" t="s">
        <v>35</v>
      </c>
      <c r="F466" s="14">
        <v>60000</v>
      </c>
      <c r="G466" s="14">
        <v>31250</v>
      </c>
      <c r="H466" s="13" t="s">
        <v>34981</v>
      </c>
      <c r="I466" s="40" t="s">
        <v>18</v>
      </c>
      <c r="J466" s="40" t="str">
        <f>HYPERLINK("https://stock.pstatic.net/stock-research/company/63/20260807_company_849360000.pdf","PDF")</f>
        <v>PDF</v>
      </c>
      <c r="K466" s="12" t="s">
        <v>34982</v>
      </c>
      <c r="L466" s="36">
        <v>0.92</v>
      </c>
    </row>
    <row r="467" spans="1:12" x14ac:dyDescent="0.45">
      <c r="A467" s="12" t="s">
        <v>34938</v>
      </c>
      <c r="B467" s="12" t="s">
        <v>916</v>
      </c>
      <c r="C467" s="13" t="s">
        <v>917</v>
      </c>
      <c r="D467" s="13" t="s">
        <v>15</v>
      </c>
      <c r="E467" s="12" t="s">
        <v>16</v>
      </c>
      <c r="F467" s="14">
        <v>52000</v>
      </c>
      <c r="G467" s="14">
        <v>38150</v>
      </c>
      <c r="H467" s="13" t="s">
        <v>34983</v>
      </c>
      <c r="I467" s="40" t="s">
        <v>18</v>
      </c>
      <c r="J467" s="40" t="str">
        <f>HYPERLINK("https://stock.pstatic.net/stock-research/company/56/20260806_company_808523000.pdf","PDF")</f>
        <v>PDF</v>
      </c>
      <c r="K467" s="12" t="s">
        <v>34984</v>
      </c>
      <c r="L467" s="36">
        <v>0.36304062909567503</v>
      </c>
    </row>
    <row r="468" spans="1:12" x14ac:dyDescent="0.45">
      <c r="A468" s="12" t="s">
        <v>34938</v>
      </c>
      <c r="B468" s="12" t="s">
        <v>2199</v>
      </c>
      <c r="C468" s="13" t="s">
        <v>2200</v>
      </c>
      <c r="D468" s="13" t="s">
        <v>23</v>
      </c>
      <c r="E468" s="12" t="s">
        <v>16</v>
      </c>
      <c r="F468" s="14">
        <v>47000</v>
      </c>
      <c r="G468" s="14">
        <v>39400</v>
      </c>
      <c r="H468" s="13" t="s">
        <v>34985</v>
      </c>
      <c r="I468" s="40" t="s">
        <v>18</v>
      </c>
      <c r="J468" s="40" t="str">
        <f>HYPERLINK("https://stock.pstatic.net/stock-research/company/21/20260806_company_783655000.pdf","PDF")</f>
        <v>PDF</v>
      </c>
      <c r="K468" s="12" t="s">
        <v>34986</v>
      </c>
      <c r="L468" s="36">
        <v>0.19289340101522839</v>
      </c>
    </row>
    <row r="469" spans="1:12" x14ac:dyDescent="0.45">
      <c r="A469" s="12" t="s">
        <v>34938</v>
      </c>
      <c r="B469" s="12" t="s">
        <v>1666</v>
      </c>
      <c r="C469" s="13" t="s">
        <v>1667</v>
      </c>
      <c r="D469" s="13" t="s">
        <v>57</v>
      </c>
      <c r="E469" s="12" t="s">
        <v>35</v>
      </c>
      <c r="F469" s="14">
        <v>56000</v>
      </c>
      <c r="G469" s="14">
        <v>37950</v>
      </c>
      <c r="H469" s="13" t="s">
        <v>8855</v>
      </c>
      <c r="I469" s="40" t="s">
        <v>18</v>
      </c>
      <c r="J469" s="40" t="str">
        <f>HYPERLINK("https://stock.pstatic.net/stock-research/company/16/20260806_company_825713000.pdf","PDF")</f>
        <v>PDF</v>
      </c>
      <c r="K469" s="12" t="s">
        <v>34987</v>
      </c>
      <c r="L469" s="36">
        <v>0.4756258234519104</v>
      </c>
    </row>
    <row r="470" spans="1:12" x14ac:dyDescent="0.45">
      <c r="A470" s="12" t="s">
        <v>34938</v>
      </c>
      <c r="B470" s="12" t="s">
        <v>132</v>
      </c>
      <c r="C470" s="13" t="s">
        <v>133</v>
      </c>
      <c r="D470" s="13" t="s">
        <v>57</v>
      </c>
      <c r="E470" s="12" t="s">
        <v>35</v>
      </c>
      <c r="F470" s="14">
        <v>190000</v>
      </c>
      <c r="G470" s="14">
        <v>110100</v>
      </c>
      <c r="H470" s="13" t="s">
        <v>34988</v>
      </c>
      <c r="I470" s="40" t="s">
        <v>18</v>
      </c>
      <c r="J470" s="40" t="str">
        <f>HYPERLINK("https://stock.pstatic.net/stock-research/company/-/20260806_company_763935000.pdf","PDF")</f>
        <v>PDF</v>
      </c>
      <c r="K470" s="12" t="s">
        <v>34989</v>
      </c>
      <c r="L470" s="36">
        <v>0.72570390554041775</v>
      </c>
    </row>
    <row r="471" spans="1:12" x14ac:dyDescent="0.45">
      <c r="A471" s="12" t="s">
        <v>34938</v>
      </c>
      <c r="B471" s="12" t="s">
        <v>2781</v>
      </c>
      <c r="C471" s="13" t="s">
        <v>2782</v>
      </c>
      <c r="D471" s="13" t="s">
        <v>276</v>
      </c>
      <c r="E471" s="12" t="s">
        <v>16</v>
      </c>
      <c r="F471" s="14">
        <v>160000</v>
      </c>
      <c r="G471" s="14">
        <v>100300</v>
      </c>
      <c r="H471" s="13" t="s">
        <v>34990</v>
      </c>
      <c r="I471" s="40" t="s">
        <v>18</v>
      </c>
      <c r="J471" s="40" t="str">
        <f>HYPERLINK("https://stock.pstatic.net/stock-research/company/66/20260806_company_964672000.pdf","PDF")</f>
        <v>PDF</v>
      </c>
      <c r="K471" s="12" t="s">
        <v>34991</v>
      </c>
      <c r="L471" s="36">
        <v>0.59521435692921232</v>
      </c>
    </row>
    <row r="472" spans="1:12" x14ac:dyDescent="0.45">
      <c r="A472" s="12" t="s">
        <v>34938</v>
      </c>
      <c r="B472" s="12" t="s">
        <v>495</v>
      </c>
      <c r="C472" s="13" t="s">
        <v>496</v>
      </c>
      <c r="D472" s="13" t="s">
        <v>57</v>
      </c>
      <c r="E472" s="12" t="s">
        <v>35</v>
      </c>
      <c r="F472" s="14">
        <v>550000</v>
      </c>
      <c r="G472" s="14">
        <v>357500</v>
      </c>
      <c r="H472" s="13" t="s">
        <v>34992</v>
      </c>
      <c r="I472" s="40" t="s">
        <v>18</v>
      </c>
      <c r="J472" s="40" t="str">
        <f>HYPERLINK("https://stock.pstatic.net/stock-research/company/16/20260806_company_351378000.pdf","PDF")</f>
        <v>PDF</v>
      </c>
      <c r="K472" s="12" t="s">
        <v>34993</v>
      </c>
      <c r="L472" s="36">
        <v>0.53846153846153844</v>
      </c>
    </row>
    <row r="473" spans="1:12" x14ac:dyDescent="0.45">
      <c r="A473" s="12" t="s">
        <v>34938</v>
      </c>
      <c r="B473" s="12" t="s">
        <v>495</v>
      </c>
      <c r="C473" s="13" t="s">
        <v>496</v>
      </c>
      <c r="D473" s="13" t="s">
        <v>60</v>
      </c>
      <c r="E473" s="12" t="s">
        <v>35</v>
      </c>
      <c r="F473" s="14">
        <v>550000</v>
      </c>
      <c r="G473" s="14">
        <v>357500</v>
      </c>
      <c r="H473" s="13" t="s">
        <v>34994</v>
      </c>
      <c r="I473" s="40" t="s">
        <v>18</v>
      </c>
      <c r="J473" s="40" t="str">
        <f>HYPERLINK("https://stock.pstatic.net/stock-research/company/62/20260806_company_982943000.pdf","PDF")</f>
        <v>PDF</v>
      </c>
      <c r="K473" s="12" t="s">
        <v>34995</v>
      </c>
      <c r="L473" s="36">
        <v>0.53846153846153844</v>
      </c>
    </row>
    <row r="474" spans="1:12" x14ac:dyDescent="0.45">
      <c r="A474" s="12" t="s">
        <v>34938</v>
      </c>
      <c r="B474" s="12" t="s">
        <v>2781</v>
      </c>
      <c r="C474" s="13" t="s">
        <v>2782</v>
      </c>
      <c r="D474" s="13" t="s">
        <v>57</v>
      </c>
      <c r="E474" s="12" t="s">
        <v>159</v>
      </c>
      <c r="F474" s="14">
        <v>110000</v>
      </c>
      <c r="G474" s="14">
        <v>100300</v>
      </c>
      <c r="H474" s="13" t="s">
        <v>34996</v>
      </c>
      <c r="I474" s="40" t="s">
        <v>18</v>
      </c>
      <c r="J474" s="40" t="str">
        <f>HYPERLINK("https://stock.pstatic.net/stock-research/company/16/20260806_company_414433000.pdf","PDF")</f>
        <v>PDF</v>
      </c>
      <c r="K474" s="12" t="s">
        <v>34997</v>
      </c>
      <c r="L474" s="36">
        <v>9.6709870388833497E-2</v>
      </c>
    </row>
    <row r="475" spans="1:12" x14ac:dyDescent="0.45">
      <c r="A475" s="12" t="s">
        <v>34938</v>
      </c>
      <c r="B475" s="12" t="s">
        <v>2781</v>
      </c>
      <c r="C475" s="13" t="s">
        <v>2782</v>
      </c>
      <c r="D475" s="13" t="s">
        <v>60</v>
      </c>
      <c r="E475" s="12" t="s">
        <v>35</v>
      </c>
      <c r="F475" s="14">
        <v>125000</v>
      </c>
      <c r="G475" s="14">
        <v>100300</v>
      </c>
      <c r="H475" s="13" t="s">
        <v>34998</v>
      </c>
      <c r="I475" s="40" t="s">
        <v>18</v>
      </c>
      <c r="J475" s="40" t="str">
        <f>HYPERLINK("https://stock.pstatic.net/stock-research/company/62/20260806_company_885608000.pdf","PDF")</f>
        <v>PDF</v>
      </c>
      <c r="K475" s="12" t="s">
        <v>34999</v>
      </c>
      <c r="L475" s="36">
        <v>0.24626121635094719</v>
      </c>
    </row>
    <row r="476" spans="1:12" x14ac:dyDescent="0.45">
      <c r="A476" s="12" t="s">
        <v>34938</v>
      </c>
      <c r="B476" s="12" t="s">
        <v>4308</v>
      </c>
      <c r="C476" s="13" t="s">
        <v>4309</v>
      </c>
      <c r="D476" s="13" t="s">
        <v>57</v>
      </c>
      <c r="E476" s="12" t="s">
        <v>35</v>
      </c>
      <c r="F476" s="14">
        <v>10000</v>
      </c>
      <c r="G476" s="14">
        <v>7530</v>
      </c>
      <c r="H476" s="13" t="s">
        <v>35000</v>
      </c>
      <c r="I476" s="40" t="s">
        <v>18</v>
      </c>
      <c r="J476" s="40" t="str">
        <f>HYPERLINK("https://stock.pstatic.net/stock-research/company/16/20260806_company_231690000.pdf","PDF")</f>
        <v>PDF</v>
      </c>
      <c r="K476" s="12" t="s">
        <v>35001</v>
      </c>
      <c r="L476" s="36">
        <v>0.32802124833997343</v>
      </c>
    </row>
    <row r="477" spans="1:12" x14ac:dyDescent="0.45">
      <c r="A477" s="12" t="s">
        <v>34938</v>
      </c>
      <c r="B477" s="12" t="s">
        <v>2650</v>
      </c>
      <c r="C477" s="13" t="s">
        <v>2651</v>
      </c>
      <c r="D477" s="13" t="s">
        <v>60</v>
      </c>
      <c r="E477" s="12" t="s">
        <v>35</v>
      </c>
      <c r="F477" s="14">
        <v>32000</v>
      </c>
      <c r="G477" s="14">
        <v>21550</v>
      </c>
      <c r="H477" s="13" t="s">
        <v>35002</v>
      </c>
      <c r="I477" s="40" t="s">
        <v>18</v>
      </c>
      <c r="J477" s="40" t="str">
        <f>HYPERLINK("https://stock.pstatic.net/stock-research/company/62/20260806_company_206188000.pdf","PDF")</f>
        <v>PDF</v>
      </c>
      <c r="K477" s="12" t="s">
        <v>35003</v>
      </c>
      <c r="L477" s="36">
        <v>0.48491879350348033</v>
      </c>
    </row>
    <row r="478" spans="1:12" x14ac:dyDescent="0.45">
      <c r="A478" s="12" t="s">
        <v>34938</v>
      </c>
      <c r="B478" s="12" t="s">
        <v>2650</v>
      </c>
      <c r="C478" s="13" t="s">
        <v>2651</v>
      </c>
      <c r="D478" s="13" t="s">
        <v>57</v>
      </c>
      <c r="E478" s="12" t="s">
        <v>159</v>
      </c>
      <c r="F478" s="14">
        <v>26000</v>
      </c>
      <c r="G478" s="14">
        <v>21850</v>
      </c>
      <c r="H478" s="13" t="s">
        <v>35004</v>
      </c>
      <c r="I478" s="40" t="s">
        <v>18</v>
      </c>
      <c r="J478" s="40" t="str">
        <f>HYPERLINK("https://stock.pstatic.net/stock-research/company/16/20260806_company_73043000.pdf","PDF")</f>
        <v>PDF</v>
      </c>
      <c r="K478" s="12" t="s">
        <v>35005</v>
      </c>
      <c r="L478" s="36">
        <v>0.1899313501144165</v>
      </c>
    </row>
    <row r="479" spans="1:12" x14ac:dyDescent="0.45">
      <c r="A479" s="12" t="s">
        <v>34938</v>
      </c>
      <c r="B479" s="12" t="s">
        <v>110</v>
      </c>
      <c r="C479" s="13" t="s">
        <v>111</v>
      </c>
      <c r="D479" s="13" t="s">
        <v>60</v>
      </c>
      <c r="E479" s="12" t="s">
        <v>35</v>
      </c>
      <c r="F479" s="14">
        <v>180000</v>
      </c>
      <c r="G479" s="14">
        <v>103000</v>
      </c>
      <c r="H479" s="13" t="s">
        <v>35006</v>
      </c>
      <c r="I479" s="40" t="s">
        <v>18</v>
      </c>
      <c r="J479" s="40" t="str">
        <f>HYPERLINK("https://stock.pstatic.net/stock-research/company/62/20260806_company_477596000.pdf","PDF")</f>
        <v>PDF</v>
      </c>
      <c r="K479" s="12" t="s">
        <v>35007</v>
      </c>
      <c r="L479" s="36">
        <v>0.74757281553398058</v>
      </c>
    </row>
    <row r="480" spans="1:12" x14ac:dyDescent="0.45">
      <c r="A480" s="12" t="s">
        <v>34938</v>
      </c>
      <c r="B480" s="12" t="s">
        <v>732</v>
      </c>
      <c r="C480" s="13" t="s">
        <v>733</v>
      </c>
      <c r="D480" s="13" t="s">
        <v>60</v>
      </c>
      <c r="E480" s="12" t="s">
        <v>35</v>
      </c>
      <c r="F480" s="14">
        <v>150000</v>
      </c>
      <c r="G480" s="14">
        <v>82000</v>
      </c>
      <c r="H480" s="13" t="s">
        <v>35008</v>
      </c>
      <c r="I480" s="40" t="s">
        <v>18</v>
      </c>
      <c r="J480" s="40" t="str">
        <f>HYPERLINK("https://stock.pstatic.net/stock-research/company/62/20260806_company_542276000.pdf","PDF")</f>
        <v>PDF</v>
      </c>
      <c r="K480" s="12" t="s">
        <v>35009</v>
      </c>
      <c r="L480" s="36">
        <v>0.82926829268292679</v>
      </c>
    </row>
    <row r="481" spans="1:12" x14ac:dyDescent="0.45">
      <c r="A481" s="12" t="s">
        <v>34938</v>
      </c>
      <c r="B481" s="12" t="s">
        <v>1036</v>
      </c>
      <c r="C481" s="13" t="s">
        <v>1037</v>
      </c>
      <c r="D481" s="13" t="s">
        <v>57</v>
      </c>
      <c r="E481" s="12" t="s">
        <v>35</v>
      </c>
      <c r="F481" s="14">
        <v>10000</v>
      </c>
      <c r="G481" s="14">
        <v>8340</v>
      </c>
      <c r="H481" s="13" t="s">
        <v>35010</v>
      </c>
      <c r="I481" s="40" t="s">
        <v>18</v>
      </c>
      <c r="J481" s="40" t="str">
        <f>HYPERLINK("https://stock.pstatic.net/stock-research/company/16/20260806_company_607788000.pdf","PDF")</f>
        <v>PDF</v>
      </c>
      <c r="K481" s="12" t="s">
        <v>35011</v>
      </c>
      <c r="L481" s="36">
        <v>0.19904076738609111</v>
      </c>
    </row>
    <row r="482" spans="1:12" x14ac:dyDescent="0.45">
      <c r="A482" s="12" t="s">
        <v>34938</v>
      </c>
      <c r="B482" s="12" t="s">
        <v>110</v>
      </c>
      <c r="C482" s="13" t="s">
        <v>111</v>
      </c>
      <c r="D482" s="13" t="s">
        <v>65</v>
      </c>
      <c r="E482" s="12" t="s">
        <v>35</v>
      </c>
      <c r="F482" s="14">
        <v>170000</v>
      </c>
      <c r="G482" s="14">
        <v>103000</v>
      </c>
      <c r="H482" s="13" t="s">
        <v>35012</v>
      </c>
      <c r="I482" s="40" t="s">
        <v>18</v>
      </c>
      <c r="J482" s="40" t="str">
        <f>HYPERLINK("https://stock.pstatic.net/stock-research/company/57/20260806_company_640783000.pdf","PDF")</f>
        <v>PDF</v>
      </c>
      <c r="K482" s="12" t="s">
        <v>35013</v>
      </c>
      <c r="L482" s="36">
        <v>0.65048543689320393</v>
      </c>
    </row>
    <row r="483" spans="1:12" x14ac:dyDescent="0.45">
      <c r="A483" s="12" t="s">
        <v>34938</v>
      </c>
      <c r="B483" s="12" t="s">
        <v>495</v>
      </c>
      <c r="C483" s="13" t="s">
        <v>496</v>
      </c>
      <c r="D483" s="13" t="s">
        <v>65</v>
      </c>
      <c r="E483" s="12" t="s">
        <v>35</v>
      </c>
      <c r="F483" s="14">
        <v>510000</v>
      </c>
      <c r="G483" s="14">
        <v>357500</v>
      </c>
      <c r="H483" s="13" t="s">
        <v>35014</v>
      </c>
      <c r="I483" s="40" t="s">
        <v>18</v>
      </c>
      <c r="J483" s="40" t="str">
        <f>HYPERLINK("https://stock.pstatic.net/stock-research/company/57/20260806_company_241194000.pdf","PDF")</f>
        <v>PDF</v>
      </c>
      <c r="K483" s="12" t="s">
        <v>35015</v>
      </c>
      <c r="L483" s="36">
        <v>0.42657342657342662</v>
      </c>
    </row>
    <row r="484" spans="1:12" x14ac:dyDescent="0.45">
      <c r="A484" s="12" t="s">
        <v>34938</v>
      </c>
      <c r="B484" s="12" t="s">
        <v>132</v>
      </c>
      <c r="C484" s="13" t="s">
        <v>133</v>
      </c>
      <c r="D484" s="13" t="s">
        <v>65</v>
      </c>
      <c r="E484" s="12" t="s">
        <v>35</v>
      </c>
      <c r="F484" s="14">
        <v>180000</v>
      </c>
      <c r="G484" s="14">
        <v>110100</v>
      </c>
      <c r="H484" s="13" t="s">
        <v>35016</v>
      </c>
      <c r="I484" s="40" t="s">
        <v>18</v>
      </c>
      <c r="J484" s="40" t="str">
        <f>HYPERLINK("https://stock.pstatic.net/stock-research/company/57/20260806_company_786940000.pdf","PDF")</f>
        <v>PDF</v>
      </c>
      <c r="K484" s="12" t="s">
        <v>35017</v>
      </c>
      <c r="L484" s="36">
        <v>0.63487738419618533</v>
      </c>
    </row>
    <row r="485" spans="1:12" x14ac:dyDescent="0.45">
      <c r="A485" s="12" t="s">
        <v>34938</v>
      </c>
      <c r="B485" s="12" t="s">
        <v>1741</v>
      </c>
      <c r="C485" s="13" t="s">
        <v>1742</v>
      </c>
      <c r="D485" s="13" t="s">
        <v>65</v>
      </c>
      <c r="E485" s="12" t="s">
        <v>35</v>
      </c>
      <c r="F485" s="14">
        <v>53000</v>
      </c>
      <c r="G485" s="14">
        <v>31500</v>
      </c>
      <c r="H485" s="13" t="s">
        <v>35018</v>
      </c>
      <c r="I485" s="40" t="s">
        <v>18</v>
      </c>
      <c r="J485" s="40" t="str">
        <f>HYPERLINK("https://stock.pstatic.net/stock-research/company/57/20260806_company_739401000.pdf","PDF")</f>
        <v>PDF</v>
      </c>
      <c r="K485" s="12" t="s">
        <v>35019</v>
      </c>
      <c r="L485" s="36">
        <v>0.68253968253968256</v>
      </c>
    </row>
    <row r="486" spans="1:12" x14ac:dyDescent="0.45">
      <c r="A486" s="12" t="s">
        <v>34938</v>
      </c>
      <c r="B486" s="12" t="s">
        <v>1648</v>
      </c>
      <c r="C486" s="13" t="s">
        <v>1649</v>
      </c>
      <c r="D486" s="13" t="s">
        <v>65</v>
      </c>
      <c r="E486" s="12" t="s">
        <v>35</v>
      </c>
      <c r="F486" s="14">
        <v>124000</v>
      </c>
      <c r="G486" s="14">
        <v>73700</v>
      </c>
      <c r="H486" s="13" t="s">
        <v>35020</v>
      </c>
      <c r="I486" s="40" t="s">
        <v>18</v>
      </c>
      <c r="J486" s="40" t="str">
        <f>HYPERLINK("https://stock.pstatic.net/stock-research/company/57/20260806_company_905273000.pdf","PDF")</f>
        <v>PDF</v>
      </c>
      <c r="K486" s="12" t="s">
        <v>35021</v>
      </c>
      <c r="L486" s="36">
        <v>0.6824966078697422</v>
      </c>
    </row>
    <row r="487" spans="1:12" x14ac:dyDescent="0.45">
      <c r="A487" s="12" t="s">
        <v>34938</v>
      </c>
      <c r="B487" s="12" t="s">
        <v>268</v>
      </c>
      <c r="C487" s="13" t="s">
        <v>269</v>
      </c>
      <c r="D487" s="13" t="s">
        <v>65</v>
      </c>
      <c r="E487" s="12" t="s">
        <v>35</v>
      </c>
      <c r="F487" s="14">
        <v>580000</v>
      </c>
      <c r="G487" s="14">
        <v>277000</v>
      </c>
      <c r="H487" s="13" t="s">
        <v>35022</v>
      </c>
      <c r="I487" s="40" t="s">
        <v>18</v>
      </c>
      <c r="J487" s="40" t="str">
        <f>HYPERLINK("https://stock.pstatic.net/stock-research/company/57/20260806_company_929262000.pdf","PDF")</f>
        <v>PDF</v>
      </c>
      <c r="K487" s="12" t="s">
        <v>35023</v>
      </c>
      <c r="L487" s="36">
        <v>1.093862815884477</v>
      </c>
    </row>
    <row r="488" spans="1:12" x14ac:dyDescent="0.45">
      <c r="A488" s="12" t="s">
        <v>34938</v>
      </c>
      <c r="B488" s="12" t="s">
        <v>2199</v>
      </c>
      <c r="C488" s="13" t="s">
        <v>2200</v>
      </c>
      <c r="D488" s="13" t="s">
        <v>65</v>
      </c>
      <c r="E488" s="12" t="s">
        <v>35</v>
      </c>
      <c r="F488" s="14">
        <v>44000</v>
      </c>
      <c r="G488" s="14">
        <v>39400</v>
      </c>
      <c r="H488" s="13" t="s">
        <v>35024</v>
      </c>
      <c r="I488" s="40" t="s">
        <v>18</v>
      </c>
      <c r="J488" s="40" t="str">
        <f>HYPERLINK("https://stock.pstatic.net/stock-research/company/57/20260806_company_140860000.pdf","PDF")</f>
        <v>PDF</v>
      </c>
      <c r="K488" s="12" t="s">
        <v>35025</v>
      </c>
      <c r="L488" s="36">
        <v>0.116751269035533</v>
      </c>
    </row>
    <row r="489" spans="1:12" x14ac:dyDescent="0.45">
      <c r="A489" s="12" t="s">
        <v>34938</v>
      </c>
      <c r="B489" s="12" t="s">
        <v>541</v>
      </c>
      <c r="C489" s="13" t="s">
        <v>542</v>
      </c>
      <c r="D489" s="13" t="s">
        <v>65</v>
      </c>
      <c r="E489" s="12" t="s">
        <v>35</v>
      </c>
      <c r="F489" s="14">
        <v>140000</v>
      </c>
      <c r="G489" s="14">
        <v>93000</v>
      </c>
      <c r="H489" s="13" t="s">
        <v>35026</v>
      </c>
      <c r="I489" s="40" t="s">
        <v>18</v>
      </c>
      <c r="J489" s="40" t="str">
        <f>HYPERLINK("https://stock.pstatic.net/stock-research/company/57/20260806_company_496556000.pdf","PDF")</f>
        <v>PDF</v>
      </c>
      <c r="K489" s="12" t="s">
        <v>35027</v>
      </c>
      <c r="L489" s="36">
        <v>0.5053763440860215</v>
      </c>
    </row>
    <row r="490" spans="1:12" x14ac:dyDescent="0.45">
      <c r="A490" s="12" t="s">
        <v>34938</v>
      </c>
      <c r="B490" s="12" t="s">
        <v>541</v>
      </c>
      <c r="C490" s="13" t="s">
        <v>542</v>
      </c>
      <c r="D490" s="13" t="s">
        <v>65</v>
      </c>
      <c r="E490" s="12" t="s">
        <v>35</v>
      </c>
      <c r="F490" s="14">
        <v>140000</v>
      </c>
      <c r="G490" s="14">
        <v>93000</v>
      </c>
      <c r="H490" s="13" t="s">
        <v>35028</v>
      </c>
      <c r="I490" s="40" t="s">
        <v>18</v>
      </c>
      <c r="J490" s="40" t="str">
        <f>HYPERLINK("https://stock.pstatic.net/stock-research/company/57/20260806_company_503230000.pdf","PDF")</f>
        <v>PDF</v>
      </c>
      <c r="K490" s="12" t="s">
        <v>35029</v>
      </c>
      <c r="L490" s="36">
        <v>0.5053763440860215</v>
      </c>
    </row>
    <row r="491" spans="1:12" x14ac:dyDescent="0.45">
      <c r="A491" s="12" t="s">
        <v>34938</v>
      </c>
      <c r="B491" s="12" t="s">
        <v>1674</v>
      </c>
      <c r="C491" s="13" t="s">
        <v>1675</v>
      </c>
      <c r="D491" s="13" t="s">
        <v>65</v>
      </c>
      <c r="E491" s="12" t="s">
        <v>35</v>
      </c>
      <c r="F491" s="14">
        <v>730000</v>
      </c>
      <c r="G491" s="14">
        <v>432000</v>
      </c>
      <c r="H491" s="13" t="s">
        <v>35030</v>
      </c>
      <c r="I491" s="40" t="s">
        <v>18</v>
      </c>
      <c r="J491" s="40" t="str">
        <f>HYPERLINK("https://stock.pstatic.net/stock-research/company/57/20260806_company_919271000.pdf","PDF")</f>
        <v>PDF</v>
      </c>
      <c r="K491" s="12" t="s">
        <v>35031</v>
      </c>
      <c r="L491" s="36">
        <v>0.68981481481481477</v>
      </c>
    </row>
    <row r="492" spans="1:12" x14ac:dyDescent="0.45">
      <c r="A492" s="12" t="s">
        <v>34938</v>
      </c>
      <c r="B492" s="12" t="s">
        <v>1666</v>
      </c>
      <c r="C492" s="13" t="s">
        <v>1667</v>
      </c>
      <c r="D492" s="13" t="s">
        <v>65</v>
      </c>
      <c r="E492" s="12" t="s">
        <v>35</v>
      </c>
      <c r="F492" s="14">
        <v>50000</v>
      </c>
      <c r="G492" s="14">
        <v>37950</v>
      </c>
      <c r="H492" s="13" t="s">
        <v>35032</v>
      </c>
      <c r="I492" s="40" t="s">
        <v>18</v>
      </c>
      <c r="J492" s="40" t="str">
        <f>HYPERLINK("https://stock.pstatic.net/stock-research/company/57/20260806_company_514993000.pdf","PDF")</f>
        <v>PDF</v>
      </c>
      <c r="K492" s="12" t="s">
        <v>35033</v>
      </c>
      <c r="L492" s="36">
        <v>0.31752305665349151</v>
      </c>
    </row>
    <row r="493" spans="1:12" x14ac:dyDescent="0.45">
      <c r="A493" s="12" t="s">
        <v>34938</v>
      </c>
      <c r="B493" s="12" t="s">
        <v>2650</v>
      </c>
      <c r="C493" s="13" t="s">
        <v>2651</v>
      </c>
      <c r="D493" s="13" t="s">
        <v>65</v>
      </c>
      <c r="E493" s="12" t="s">
        <v>35</v>
      </c>
      <c r="F493" s="14">
        <v>35000</v>
      </c>
      <c r="G493" s="14">
        <v>21550</v>
      </c>
      <c r="H493" s="13" t="s">
        <v>35034</v>
      </c>
      <c r="I493" s="40" t="s">
        <v>18</v>
      </c>
      <c r="J493" s="40" t="str">
        <f>HYPERLINK("https://stock.pstatic.net/stock-research/company/57/20260806_company_256315000.pdf","PDF")</f>
        <v>PDF</v>
      </c>
      <c r="K493" s="12" t="s">
        <v>35035</v>
      </c>
      <c r="L493" s="36">
        <v>0.62412993039443154</v>
      </c>
    </row>
    <row r="494" spans="1:12" x14ac:dyDescent="0.45">
      <c r="A494" s="12" t="s">
        <v>34938</v>
      </c>
      <c r="B494" s="12" t="s">
        <v>957</v>
      </c>
      <c r="C494" s="13" t="s">
        <v>958</v>
      </c>
      <c r="D494" s="13" t="s">
        <v>65</v>
      </c>
      <c r="E494" s="12" t="s">
        <v>35</v>
      </c>
      <c r="F494" s="14">
        <v>365000</v>
      </c>
      <c r="G494" s="14">
        <v>213500</v>
      </c>
      <c r="H494" s="13" t="s">
        <v>35036</v>
      </c>
      <c r="I494" s="40" t="s">
        <v>18</v>
      </c>
      <c r="J494" s="40" t="str">
        <f>HYPERLINK("https://stock.pstatic.net/stock-research/company/57/20260806_company_613734000.pdf","PDF")</f>
        <v>PDF</v>
      </c>
      <c r="K494" s="12" t="s">
        <v>35037</v>
      </c>
      <c r="L494" s="36">
        <v>0.70960187353629978</v>
      </c>
    </row>
    <row r="495" spans="1:12" x14ac:dyDescent="0.45">
      <c r="A495" s="12" t="s">
        <v>34938</v>
      </c>
      <c r="B495" s="12" t="s">
        <v>1666</v>
      </c>
      <c r="C495" s="13" t="s">
        <v>1667</v>
      </c>
      <c r="D495" s="13" t="s">
        <v>158</v>
      </c>
      <c r="E495" s="12" t="s">
        <v>35</v>
      </c>
      <c r="F495" s="14">
        <v>52000</v>
      </c>
      <c r="G495" s="14">
        <v>37950</v>
      </c>
      <c r="H495" s="13" t="s">
        <v>35038</v>
      </c>
      <c r="I495" s="40" t="s">
        <v>18</v>
      </c>
      <c r="J495" s="40" t="str">
        <f>HYPERLINK("https://stock.pstatic.net/stock-research/company/18/20260806_company_444376000.pdf","PDF")</f>
        <v>PDF</v>
      </c>
      <c r="K495" s="12" t="s">
        <v>35039</v>
      </c>
      <c r="L495" s="36">
        <v>0.3702239789196311</v>
      </c>
    </row>
    <row r="496" spans="1:12" x14ac:dyDescent="0.45">
      <c r="A496" s="12" t="s">
        <v>34938</v>
      </c>
      <c r="B496" s="12" t="s">
        <v>657</v>
      </c>
      <c r="C496" s="13" t="s">
        <v>658</v>
      </c>
      <c r="D496" s="13" t="s">
        <v>158</v>
      </c>
      <c r="E496" s="12" t="s">
        <v>35</v>
      </c>
      <c r="F496" s="14">
        <v>30000</v>
      </c>
      <c r="G496" s="14">
        <v>18280</v>
      </c>
      <c r="H496" s="13" t="s">
        <v>35040</v>
      </c>
      <c r="I496" s="40" t="s">
        <v>18</v>
      </c>
      <c r="J496" s="40" t="str">
        <f>HYPERLINK("https://stock.pstatic.net/stock-research/company/18/20260806_company_628621000.pdf","PDF")</f>
        <v>PDF</v>
      </c>
      <c r="K496" s="12" t="s">
        <v>35041</v>
      </c>
      <c r="L496" s="36">
        <v>0.64113785557986869</v>
      </c>
    </row>
    <row r="497" spans="1:12" x14ac:dyDescent="0.45">
      <c r="A497" s="12" t="s">
        <v>34938</v>
      </c>
      <c r="B497" s="12" t="s">
        <v>414</v>
      </c>
      <c r="C497" s="13" t="s">
        <v>415</v>
      </c>
      <c r="D497" s="13" t="s">
        <v>158</v>
      </c>
      <c r="E497" s="12" t="s">
        <v>50</v>
      </c>
      <c r="F497" s="13"/>
      <c r="G497" s="14">
        <v>14900</v>
      </c>
      <c r="H497" s="13" t="s">
        <v>35042</v>
      </c>
      <c r="I497" s="40" t="s">
        <v>18</v>
      </c>
      <c r="J497" s="40" t="str">
        <f>HYPERLINK("https://stock.pstatic.net/stock-research/company/18/20260806_company_276049000.pdf","PDF")</f>
        <v>PDF</v>
      </c>
      <c r="K497" s="12" t="s">
        <v>35043</v>
      </c>
      <c r="L497" s="12"/>
    </row>
    <row r="498" spans="1:12" x14ac:dyDescent="0.45">
      <c r="A498" s="12" t="s">
        <v>34938</v>
      </c>
      <c r="B498" s="12" t="s">
        <v>1648</v>
      </c>
      <c r="C498" s="13" t="s">
        <v>1649</v>
      </c>
      <c r="D498" s="13" t="s">
        <v>158</v>
      </c>
      <c r="E498" s="12" t="s">
        <v>35</v>
      </c>
      <c r="F498" s="14">
        <v>110000</v>
      </c>
      <c r="G498" s="14">
        <v>73700</v>
      </c>
      <c r="H498" s="13" t="s">
        <v>35044</v>
      </c>
      <c r="I498" s="40" t="s">
        <v>18</v>
      </c>
      <c r="J498" s="40" t="str">
        <f>HYPERLINK("https://stock.pstatic.net/stock-research/company/18/20260806_company_466773000.pdf","PDF")</f>
        <v>PDF</v>
      </c>
      <c r="K498" s="12" t="s">
        <v>35045</v>
      </c>
      <c r="L498" s="36">
        <v>0.4925373134328358</v>
      </c>
    </row>
    <row r="499" spans="1:12" x14ac:dyDescent="0.45">
      <c r="A499" s="12" t="s">
        <v>34938</v>
      </c>
      <c r="B499" s="12" t="s">
        <v>541</v>
      </c>
      <c r="C499" s="13" t="s">
        <v>542</v>
      </c>
      <c r="D499" s="13" t="s">
        <v>158</v>
      </c>
      <c r="E499" s="12" t="s">
        <v>35</v>
      </c>
      <c r="F499" s="14">
        <v>118000</v>
      </c>
      <c r="G499" s="14">
        <v>93000</v>
      </c>
      <c r="H499" s="13" t="s">
        <v>35046</v>
      </c>
      <c r="I499" s="40" t="s">
        <v>18</v>
      </c>
      <c r="J499" s="40" t="str">
        <f>HYPERLINK("https://stock.pstatic.net/stock-research/company/18/20260806_company_176755000.pdf","PDF")</f>
        <v>PDF</v>
      </c>
      <c r="K499" s="12" t="s">
        <v>35047</v>
      </c>
      <c r="L499" s="36">
        <v>0.26881720430107531</v>
      </c>
    </row>
    <row r="500" spans="1:12" x14ac:dyDescent="0.45">
      <c r="A500" s="12" t="s">
        <v>34938</v>
      </c>
      <c r="B500" s="12" t="s">
        <v>495</v>
      </c>
      <c r="C500" s="13" t="s">
        <v>496</v>
      </c>
      <c r="D500" s="13" t="s">
        <v>158</v>
      </c>
      <c r="E500" s="12" t="s">
        <v>35</v>
      </c>
      <c r="F500" s="14">
        <v>540000</v>
      </c>
      <c r="G500" s="14">
        <v>359500</v>
      </c>
      <c r="H500" s="13" t="s">
        <v>35048</v>
      </c>
      <c r="I500" s="40" t="s">
        <v>18</v>
      </c>
      <c r="J500" s="40" t="str">
        <f>HYPERLINK("https://stock.pstatic.net/stock-research/company/18/20260806_company_238687000.pdf","PDF")</f>
        <v>PDF</v>
      </c>
      <c r="K500" s="12" t="s">
        <v>35049</v>
      </c>
      <c r="L500" s="36">
        <v>0.50208623087621695</v>
      </c>
    </row>
    <row r="501" spans="1:12" x14ac:dyDescent="0.45">
      <c r="A501" s="12" t="s">
        <v>34938</v>
      </c>
      <c r="B501" s="12" t="s">
        <v>495</v>
      </c>
      <c r="C501" s="13" t="s">
        <v>496</v>
      </c>
      <c r="D501" s="13" t="s">
        <v>179</v>
      </c>
      <c r="E501" s="12" t="s">
        <v>16</v>
      </c>
      <c r="F501" s="14">
        <v>560000</v>
      </c>
      <c r="G501" s="14">
        <v>357500</v>
      </c>
      <c r="H501" s="13" t="s">
        <v>35050</v>
      </c>
      <c r="I501" s="40" t="s">
        <v>18</v>
      </c>
      <c r="J501" s="40" t="str">
        <f>HYPERLINK("https://stock.pstatic.net/stock-research/company/64/20260806_company_169138000.pdf","PDF")</f>
        <v>PDF</v>
      </c>
      <c r="K501" s="12" t="s">
        <v>35051</v>
      </c>
      <c r="L501" s="36">
        <v>0.56643356643356646</v>
      </c>
    </row>
    <row r="502" spans="1:12" x14ac:dyDescent="0.45">
      <c r="A502" s="12" t="s">
        <v>34938</v>
      </c>
      <c r="B502" s="12" t="s">
        <v>1648</v>
      </c>
      <c r="C502" s="13" t="s">
        <v>1649</v>
      </c>
      <c r="D502" s="13" t="s">
        <v>179</v>
      </c>
      <c r="E502" s="12" t="s">
        <v>16</v>
      </c>
      <c r="F502" s="14">
        <v>120000</v>
      </c>
      <c r="G502" s="14">
        <v>73700</v>
      </c>
      <c r="H502" s="13" t="s">
        <v>35052</v>
      </c>
      <c r="I502" s="40" t="s">
        <v>18</v>
      </c>
      <c r="J502" s="40" t="str">
        <f>HYPERLINK("https://stock.pstatic.net/stock-research/company/64/20260806_company_795870000.pdf","PDF")</f>
        <v>PDF</v>
      </c>
      <c r="K502" s="12" t="s">
        <v>35053</v>
      </c>
      <c r="L502" s="36">
        <v>0.62822252374491183</v>
      </c>
    </row>
    <row r="503" spans="1:12" x14ac:dyDescent="0.45">
      <c r="A503" s="12" t="s">
        <v>34938</v>
      </c>
      <c r="B503" s="12" t="s">
        <v>1190</v>
      </c>
      <c r="C503" s="13" t="s">
        <v>1191</v>
      </c>
      <c r="D503" s="13" t="s">
        <v>83</v>
      </c>
      <c r="E503" s="12" t="s">
        <v>35</v>
      </c>
      <c r="F503" s="14">
        <v>163000</v>
      </c>
      <c r="G503" s="14">
        <v>83800</v>
      </c>
      <c r="H503" s="13" t="s">
        <v>35054</v>
      </c>
      <c r="I503" s="40" t="s">
        <v>18</v>
      </c>
      <c r="J503" s="40" t="str">
        <f>HYPERLINK("https://stock.pstatic.net/stock-research/company/15/20260806_company_1635000.pdf","PDF")</f>
        <v>PDF</v>
      </c>
      <c r="K503" s="12" t="s">
        <v>35055</v>
      </c>
      <c r="L503" s="36">
        <v>0.94510739856801906</v>
      </c>
    </row>
    <row r="504" spans="1:12" x14ac:dyDescent="0.45">
      <c r="A504" s="12" t="s">
        <v>34938</v>
      </c>
      <c r="B504" s="12" t="s">
        <v>1093</v>
      </c>
      <c r="C504" s="13" t="s">
        <v>1094</v>
      </c>
      <c r="D504" s="13" t="s">
        <v>83</v>
      </c>
      <c r="E504" s="12" t="s">
        <v>35</v>
      </c>
      <c r="F504" s="14">
        <v>560000</v>
      </c>
      <c r="G504" s="14">
        <v>389000</v>
      </c>
      <c r="H504" s="13" t="s">
        <v>35056</v>
      </c>
      <c r="I504" s="40" t="s">
        <v>18</v>
      </c>
      <c r="J504" s="40" t="str">
        <f>HYPERLINK("https://stock.pstatic.net/stock-research/company/15/20260806_company_55508000.pdf","PDF")</f>
        <v>PDF</v>
      </c>
      <c r="K504" s="12" t="s">
        <v>35057</v>
      </c>
      <c r="L504" s="36">
        <v>0.43958868894601538</v>
      </c>
    </row>
    <row r="505" spans="1:12" x14ac:dyDescent="0.45">
      <c r="A505" s="12" t="s">
        <v>34938</v>
      </c>
      <c r="B505" s="12" t="s">
        <v>541</v>
      </c>
      <c r="C505" s="13" t="s">
        <v>542</v>
      </c>
      <c r="D505" s="13" t="s">
        <v>83</v>
      </c>
      <c r="E505" s="12" t="s">
        <v>35</v>
      </c>
      <c r="F505" s="14">
        <v>110000</v>
      </c>
      <c r="G505" s="14">
        <v>93000</v>
      </c>
      <c r="H505" s="13" t="s">
        <v>35058</v>
      </c>
      <c r="I505" s="40" t="s">
        <v>18</v>
      </c>
      <c r="J505" s="40" t="str">
        <f>HYPERLINK("https://stock.pstatic.net/stock-research/company/15/20260806_company_52808000.pdf","PDF")</f>
        <v>PDF</v>
      </c>
      <c r="K505" s="12" t="s">
        <v>35059</v>
      </c>
      <c r="L505" s="36">
        <v>0.18279569892473119</v>
      </c>
    </row>
    <row r="506" spans="1:12" x14ac:dyDescent="0.45">
      <c r="A506" s="12" t="s">
        <v>34938</v>
      </c>
      <c r="B506" s="12" t="s">
        <v>132</v>
      </c>
      <c r="C506" s="13" t="s">
        <v>133</v>
      </c>
      <c r="D506" s="13" t="s">
        <v>83</v>
      </c>
      <c r="E506" s="12" t="s">
        <v>35</v>
      </c>
      <c r="F506" s="14">
        <v>220000</v>
      </c>
      <c r="G506" s="14">
        <v>110100</v>
      </c>
      <c r="H506" s="13" t="s">
        <v>35060</v>
      </c>
      <c r="I506" s="40" t="s">
        <v>18</v>
      </c>
      <c r="J506" s="40" t="str">
        <f>HYPERLINK("https://stock.pstatic.net/stock-research/company/15/20260806_company_610552000.pdf","PDF")</f>
        <v>PDF</v>
      </c>
      <c r="K506" s="12" t="s">
        <v>35061</v>
      </c>
      <c r="L506" s="36">
        <v>0.99818346957311532</v>
      </c>
    </row>
    <row r="507" spans="1:12" x14ac:dyDescent="0.45">
      <c r="A507" s="12" t="s">
        <v>34938</v>
      </c>
      <c r="B507" s="12" t="s">
        <v>541</v>
      </c>
      <c r="C507" s="13" t="s">
        <v>542</v>
      </c>
      <c r="D507" s="13" t="s">
        <v>179</v>
      </c>
      <c r="E507" s="12" t="s">
        <v>16</v>
      </c>
      <c r="F507" s="14">
        <v>120000</v>
      </c>
      <c r="G507" s="14">
        <v>93000</v>
      </c>
      <c r="H507" s="13" t="s">
        <v>35062</v>
      </c>
      <c r="I507" s="40" t="s">
        <v>18</v>
      </c>
      <c r="J507" s="40" t="str">
        <f>HYPERLINK("https://stock.pstatic.net/stock-research/company/64/20260806_company_684074000.pdf","PDF")</f>
        <v>PDF</v>
      </c>
      <c r="K507" s="12" t="s">
        <v>35063</v>
      </c>
      <c r="L507" s="36">
        <v>0.29032258064516131</v>
      </c>
    </row>
    <row r="508" spans="1:12" x14ac:dyDescent="0.45">
      <c r="A508" s="12" t="s">
        <v>34938</v>
      </c>
      <c r="B508" s="12" t="s">
        <v>541</v>
      </c>
      <c r="C508" s="13" t="s">
        <v>542</v>
      </c>
      <c r="D508" s="13" t="s">
        <v>23</v>
      </c>
      <c r="E508" s="12" t="s">
        <v>16</v>
      </c>
      <c r="F508" s="14">
        <v>112000</v>
      </c>
      <c r="G508" s="14">
        <v>93000</v>
      </c>
      <c r="H508" s="13" t="s">
        <v>35064</v>
      </c>
      <c r="I508" s="40" t="s">
        <v>18</v>
      </c>
      <c r="J508" s="40" t="str">
        <f>HYPERLINK("https://stock.pstatic.net/stock-research/company/21/20260806_company_685164000.pdf","PDF")</f>
        <v>PDF</v>
      </c>
      <c r="K508" s="12" t="s">
        <v>35065</v>
      </c>
      <c r="L508" s="36">
        <v>0.20430107526881719</v>
      </c>
    </row>
    <row r="509" spans="1:12" x14ac:dyDescent="0.45">
      <c r="A509" s="12" t="s">
        <v>34938</v>
      </c>
      <c r="B509" s="12" t="s">
        <v>3403</v>
      </c>
      <c r="C509" s="13" t="s">
        <v>3404</v>
      </c>
      <c r="D509" s="13" t="s">
        <v>179</v>
      </c>
      <c r="E509" s="12" t="s">
        <v>16</v>
      </c>
      <c r="F509" s="14">
        <v>90000</v>
      </c>
      <c r="G509" s="14">
        <v>47600</v>
      </c>
      <c r="H509" s="13" t="s">
        <v>35066</v>
      </c>
      <c r="I509" s="40" t="s">
        <v>18</v>
      </c>
      <c r="J509" s="40" t="str">
        <f>HYPERLINK("https://stock.pstatic.net/stock-research/company/64/20260806_company_273041000.pdf","PDF")</f>
        <v>PDF</v>
      </c>
      <c r="K509" s="12" t="s">
        <v>35067</v>
      </c>
      <c r="L509" s="36">
        <v>0.89075630252100846</v>
      </c>
    </row>
    <row r="510" spans="1:12" x14ac:dyDescent="0.45">
      <c r="A510" s="12" t="s">
        <v>34938</v>
      </c>
      <c r="B510" s="12" t="s">
        <v>1036</v>
      </c>
      <c r="C510" s="13" t="s">
        <v>1037</v>
      </c>
      <c r="D510" s="13" t="s">
        <v>92</v>
      </c>
      <c r="E510" s="12" t="s">
        <v>159</v>
      </c>
      <c r="F510" s="14">
        <v>7600</v>
      </c>
      <c r="G510" s="14">
        <v>7770</v>
      </c>
      <c r="H510" s="13" t="s">
        <v>35068</v>
      </c>
      <c r="I510" s="40" t="s">
        <v>18</v>
      </c>
      <c r="J510" s="40" t="str">
        <f>HYPERLINK("https://stock.pstatic.net/stock-research/company/63/20260806_company_829053000.pdf","PDF")</f>
        <v>PDF</v>
      </c>
      <c r="K510" s="12" t="s">
        <v>35069</v>
      </c>
      <c r="L510" s="36">
        <v>-2.1879021879021882E-2</v>
      </c>
    </row>
    <row r="511" spans="1:12" x14ac:dyDescent="0.45">
      <c r="A511" s="12" t="s">
        <v>34938</v>
      </c>
      <c r="B511" s="12" t="s">
        <v>1666</v>
      </c>
      <c r="C511" s="13" t="s">
        <v>1667</v>
      </c>
      <c r="D511" s="13" t="s">
        <v>92</v>
      </c>
      <c r="E511" s="12" t="s">
        <v>35</v>
      </c>
      <c r="F511" s="14">
        <v>55000</v>
      </c>
      <c r="G511" s="14">
        <v>337950</v>
      </c>
      <c r="H511" s="13" t="s">
        <v>35070</v>
      </c>
      <c r="I511" s="40" t="s">
        <v>18</v>
      </c>
      <c r="J511" s="40" t="str">
        <f>HYPERLINK("https://stock.pstatic.net/stock-research/company/63/20260806_company_977057000.pdf","PDF")</f>
        <v>PDF</v>
      </c>
      <c r="K511" s="12" t="s">
        <v>35071</v>
      </c>
      <c r="L511" s="36">
        <v>-0.83725403166148837</v>
      </c>
    </row>
    <row r="512" spans="1:12" x14ac:dyDescent="0.45">
      <c r="A512" s="12" t="s">
        <v>34938</v>
      </c>
      <c r="B512" s="12" t="s">
        <v>35072</v>
      </c>
      <c r="C512" s="13" t="s">
        <v>35073</v>
      </c>
      <c r="D512" s="13" t="s">
        <v>179</v>
      </c>
      <c r="E512" s="12" t="s">
        <v>50</v>
      </c>
      <c r="F512" s="13"/>
      <c r="G512" s="14">
        <v>2080</v>
      </c>
      <c r="H512" s="13" t="s">
        <v>35074</v>
      </c>
      <c r="I512" s="40" t="s">
        <v>18</v>
      </c>
      <c r="J512" s="40" t="str">
        <f>HYPERLINK("https://stock.pstatic.net/stock-research/company/64/20260806_company_49861000.pdf","PDF")</f>
        <v>PDF</v>
      </c>
      <c r="K512" s="12" t="s">
        <v>35075</v>
      </c>
      <c r="L512" s="12"/>
    </row>
    <row r="513" spans="1:12" x14ac:dyDescent="0.45">
      <c r="A513" s="12" t="s">
        <v>34938</v>
      </c>
      <c r="B513" s="12" t="s">
        <v>6806</v>
      </c>
      <c r="C513" s="13" t="s">
        <v>6807</v>
      </c>
      <c r="D513" s="13" t="s">
        <v>179</v>
      </c>
      <c r="E513" s="12" t="s">
        <v>50</v>
      </c>
      <c r="F513" s="13"/>
      <c r="G513" s="14">
        <v>19240</v>
      </c>
      <c r="H513" s="13" t="s">
        <v>35076</v>
      </c>
      <c r="I513" s="40" t="s">
        <v>18</v>
      </c>
      <c r="J513" s="40" t="str">
        <f>HYPERLINK("https://stock.pstatic.net/stock-research/company/64/20260806_company_459509000.pdf","PDF")</f>
        <v>PDF</v>
      </c>
      <c r="K513" s="12" t="s">
        <v>35077</v>
      </c>
      <c r="L513" s="12"/>
    </row>
    <row r="514" spans="1:12" x14ac:dyDescent="0.45">
      <c r="A514" s="12" t="s">
        <v>34938</v>
      </c>
      <c r="B514" s="12" t="s">
        <v>268</v>
      </c>
      <c r="C514" s="13" t="s">
        <v>269</v>
      </c>
      <c r="D514" s="13" t="s">
        <v>23</v>
      </c>
      <c r="E514" s="12" t="s">
        <v>16</v>
      </c>
      <c r="F514" s="14">
        <v>480000</v>
      </c>
      <c r="G514" s="14">
        <v>277000</v>
      </c>
      <c r="H514" s="13" t="s">
        <v>35078</v>
      </c>
      <c r="I514" s="40" t="s">
        <v>18</v>
      </c>
      <c r="J514" s="40" t="str">
        <f>HYPERLINK("https://stock.pstatic.net/stock-research/company/21/20260806_company_944267000.pdf","PDF")</f>
        <v>PDF</v>
      </c>
      <c r="K514" s="12" t="s">
        <v>35079</v>
      </c>
      <c r="L514" s="36">
        <v>0.73285198555956677</v>
      </c>
    </row>
    <row r="515" spans="1:12" x14ac:dyDescent="0.45">
      <c r="A515" s="12" t="s">
        <v>34938</v>
      </c>
      <c r="B515" s="12" t="s">
        <v>1666</v>
      </c>
      <c r="C515" s="13" t="s">
        <v>1667</v>
      </c>
      <c r="D515" s="13" t="s">
        <v>15</v>
      </c>
      <c r="E515" s="12" t="s">
        <v>16</v>
      </c>
      <c r="F515" s="14">
        <v>50000</v>
      </c>
      <c r="G515" s="14">
        <v>37950</v>
      </c>
      <c r="H515" s="13" t="s">
        <v>35080</v>
      </c>
      <c r="I515" s="40" t="s">
        <v>18</v>
      </c>
      <c r="J515" s="40" t="str">
        <f>HYPERLINK("https://stock.pstatic.net/stock-research/company/56/20260806_company_940203000.pdf","PDF")</f>
        <v>PDF</v>
      </c>
      <c r="K515" s="12" t="s">
        <v>35081</v>
      </c>
      <c r="L515" s="36">
        <v>0.31752305665349151</v>
      </c>
    </row>
    <row r="516" spans="1:12" x14ac:dyDescent="0.45">
      <c r="A516" s="12" t="s">
        <v>34938</v>
      </c>
      <c r="B516" s="12" t="s">
        <v>1237</v>
      </c>
      <c r="C516" s="13" t="s">
        <v>1238</v>
      </c>
      <c r="D516" s="13" t="s">
        <v>34</v>
      </c>
      <c r="E516" s="12" t="s">
        <v>35</v>
      </c>
      <c r="F516" s="14">
        <v>7000</v>
      </c>
      <c r="G516" s="14">
        <v>4375</v>
      </c>
      <c r="H516" s="13" t="s">
        <v>35082</v>
      </c>
      <c r="I516" s="40" t="s">
        <v>18</v>
      </c>
      <c r="J516" s="40" t="str">
        <f>HYPERLINK("https://stock.pstatic.net/stock-research/company/61/20260806_company_179819000.pdf","PDF")</f>
        <v>PDF</v>
      </c>
      <c r="K516" s="12" t="s">
        <v>35083</v>
      </c>
      <c r="L516" s="36">
        <v>0.6</v>
      </c>
    </row>
    <row r="517" spans="1:12" x14ac:dyDescent="0.45">
      <c r="A517" s="12" t="s">
        <v>34938</v>
      </c>
      <c r="B517" s="12" t="s">
        <v>7598</v>
      </c>
      <c r="C517" s="13" t="s">
        <v>7599</v>
      </c>
      <c r="D517" s="13" t="s">
        <v>179</v>
      </c>
      <c r="E517" s="12" t="s">
        <v>50</v>
      </c>
      <c r="F517" s="13"/>
      <c r="G517" s="14">
        <v>33050</v>
      </c>
      <c r="H517" s="13" t="s">
        <v>35084</v>
      </c>
      <c r="I517" s="40" t="s">
        <v>18</v>
      </c>
      <c r="J517" s="40" t="str">
        <f>HYPERLINK("https://stock.pstatic.net/stock-research/company/64/20260806_company_126987000.pdf","PDF")</f>
        <v>PDF</v>
      </c>
      <c r="K517" s="12" t="s">
        <v>35085</v>
      </c>
      <c r="L517" s="12"/>
    </row>
    <row r="518" spans="1:12" x14ac:dyDescent="0.45">
      <c r="A518" s="12" t="s">
        <v>34938</v>
      </c>
      <c r="B518" s="12" t="s">
        <v>1849</v>
      </c>
      <c r="C518" s="13" t="s">
        <v>1850</v>
      </c>
      <c r="D518" s="13" t="s">
        <v>92</v>
      </c>
      <c r="E518" s="12" t="s">
        <v>35</v>
      </c>
      <c r="F518" s="14">
        <v>26000</v>
      </c>
      <c r="G518" s="14">
        <v>19320</v>
      </c>
      <c r="H518" s="13" t="s">
        <v>35086</v>
      </c>
      <c r="I518" s="40" t="s">
        <v>18</v>
      </c>
      <c r="J518" s="40" t="str">
        <f>HYPERLINK("https://stock.pstatic.net/stock-research/company/63/20260806_company_525652000.pdf","PDF")</f>
        <v>PDF</v>
      </c>
      <c r="K518" s="12" t="s">
        <v>35087</v>
      </c>
      <c r="L518" s="36">
        <v>0.34575569358178049</v>
      </c>
    </row>
    <row r="519" spans="1:12" x14ac:dyDescent="0.45">
      <c r="A519" s="12" t="s">
        <v>34938</v>
      </c>
      <c r="B519" s="12" t="s">
        <v>14931</v>
      </c>
      <c r="C519" s="13" t="s">
        <v>14932</v>
      </c>
      <c r="D519" s="13" t="s">
        <v>179</v>
      </c>
      <c r="E519" s="12" t="s">
        <v>50</v>
      </c>
      <c r="F519" s="13"/>
      <c r="G519" s="14">
        <v>8830</v>
      </c>
      <c r="H519" s="13" t="s">
        <v>35088</v>
      </c>
      <c r="I519" s="40" t="s">
        <v>18</v>
      </c>
      <c r="J519" s="40" t="str">
        <f>HYPERLINK("https://stock.pstatic.net/stock-research/company/64/20260806_company_376457000.pdf","PDF")</f>
        <v>PDF</v>
      </c>
      <c r="K519" s="12" t="s">
        <v>35089</v>
      </c>
      <c r="L519" s="12"/>
    </row>
    <row r="520" spans="1:12" x14ac:dyDescent="0.45">
      <c r="A520" s="12" t="s">
        <v>34938</v>
      </c>
      <c r="B520" s="12" t="s">
        <v>541</v>
      </c>
      <c r="C520" s="13" t="s">
        <v>542</v>
      </c>
      <c r="D520" s="13" t="s">
        <v>92</v>
      </c>
      <c r="E520" s="12" t="s">
        <v>159</v>
      </c>
      <c r="F520" s="14">
        <v>94000</v>
      </c>
      <c r="G520" s="14">
        <v>93000</v>
      </c>
      <c r="H520" s="13" t="s">
        <v>35090</v>
      </c>
      <c r="I520" s="40" t="s">
        <v>18</v>
      </c>
      <c r="J520" s="40" t="str">
        <f>HYPERLINK("https://stock.pstatic.net/stock-research/company/63/20260806_company_571216000.pdf","PDF")</f>
        <v>PDF</v>
      </c>
      <c r="K520" s="12" t="s">
        <v>35091</v>
      </c>
      <c r="L520" s="36">
        <v>1.075268817204301E-2</v>
      </c>
    </row>
    <row r="521" spans="1:12" x14ac:dyDescent="0.45">
      <c r="A521" s="12" t="s">
        <v>34938</v>
      </c>
      <c r="B521" s="12" t="s">
        <v>1648</v>
      </c>
      <c r="C521" s="13" t="s">
        <v>1649</v>
      </c>
      <c r="D521" s="13" t="s">
        <v>92</v>
      </c>
      <c r="E521" s="12" t="s">
        <v>35</v>
      </c>
      <c r="F521" s="14">
        <v>110000</v>
      </c>
      <c r="G521" s="14">
        <v>73700</v>
      </c>
      <c r="H521" s="13" t="s">
        <v>35092</v>
      </c>
      <c r="I521" s="40" t="s">
        <v>18</v>
      </c>
      <c r="J521" s="40" t="str">
        <f>HYPERLINK("https://stock.pstatic.net/stock-research/company/63/20260806_company_259989000.pdf","PDF")</f>
        <v>PDF</v>
      </c>
      <c r="K521" s="12" t="s">
        <v>35093</v>
      </c>
      <c r="L521" s="36">
        <v>0.4925373134328358</v>
      </c>
    </row>
    <row r="522" spans="1:12" x14ac:dyDescent="0.45">
      <c r="A522" s="12" t="s">
        <v>34938</v>
      </c>
      <c r="B522" s="12" t="s">
        <v>6519</v>
      </c>
      <c r="C522" s="13" t="s">
        <v>6520</v>
      </c>
      <c r="D522" s="13" t="s">
        <v>179</v>
      </c>
      <c r="E522" s="12" t="s">
        <v>50</v>
      </c>
      <c r="F522" s="13"/>
      <c r="G522" s="14">
        <v>7370</v>
      </c>
      <c r="H522" s="13" t="s">
        <v>35094</v>
      </c>
      <c r="I522" s="40" t="s">
        <v>18</v>
      </c>
      <c r="J522" s="40" t="str">
        <f>HYPERLINK("https://stock.pstatic.net/stock-research/company/64/20260806_company_533228000.pdf","PDF")</f>
        <v>PDF</v>
      </c>
      <c r="K522" s="12" t="s">
        <v>35095</v>
      </c>
      <c r="L522" s="12"/>
    </row>
    <row r="523" spans="1:12" x14ac:dyDescent="0.45">
      <c r="A523" s="12" t="s">
        <v>34938</v>
      </c>
      <c r="B523" s="12" t="s">
        <v>2807</v>
      </c>
      <c r="C523" s="13" t="s">
        <v>2808</v>
      </c>
      <c r="D523" s="13" t="s">
        <v>179</v>
      </c>
      <c r="E523" s="12" t="s">
        <v>50</v>
      </c>
      <c r="F523" s="13"/>
      <c r="G523" s="14">
        <v>6010</v>
      </c>
      <c r="H523" s="13" t="s">
        <v>35096</v>
      </c>
      <c r="I523" s="40" t="s">
        <v>18</v>
      </c>
      <c r="J523" s="40" t="str">
        <f>HYPERLINK("https://stock.pstatic.net/stock-research/company/64/20260806_company_708946000.pdf","PDF")</f>
        <v>PDF</v>
      </c>
      <c r="K523" s="12" t="s">
        <v>35097</v>
      </c>
      <c r="L523" s="12"/>
    </row>
    <row r="524" spans="1:12" x14ac:dyDescent="0.45">
      <c r="A524" s="12" t="s">
        <v>34938</v>
      </c>
      <c r="B524" s="12" t="s">
        <v>35098</v>
      </c>
      <c r="C524" s="13" t="s">
        <v>35099</v>
      </c>
      <c r="D524" s="13" t="s">
        <v>179</v>
      </c>
      <c r="E524" s="12" t="s">
        <v>50</v>
      </c>
      <c r="F524" s="13"/>
      <c r="G524" s="14">
        <v>8630</v>
      </c>
      <c r="H524" s="13" t="s">
        <v>35100</v>
      </c>
      <c r="I524" s="40" t="s">
        <v>18</v>
      </c>
      <c r="J524" s="40" t="str">
        <f>HYPERLINK("https://stock.pstatic.net/stock-research/company/64/20260806_company_380560000.pdf","PDF")</f>
        <v>PDF</v>
      </c>
      <c r="K524" s="12" t="s">
        <v>35101</v>
      </c>
      <c r="L524" s="12"/>
    </row>
    <row r="525" spans="1:12" x14ac:dyDescent="0.45">
      <c r="A525" s="12" t="s">
        <v>34938</v>
      </c>
      <c r="B525" s="12" t="s">
        <v>110</v>
      </c>
      <c r="C525" s="13" t="s">
        <v>111</v>
      </c>
      <c r="D525" s="13" t="s">
        <v>34</v>
      </c>
      <c r="E525" s="12" t="s">
        <v>35</v>
      </c>
      <c r="F525" s="14">
        <v>185000</v>
      </c>
      <c r="G525" s="14">
        <v>103000</v>
      </c>
      <c r="H525" s="13" t="s">
        <v>35102</v>
      </c>
      <c r="I525" s="40" t="s">
        <v>18</v>
      </c>
      <c r="J525" s="40" t="str">
        <f>HYPERLINK("https://stock.pstatic.net/stock-research/company/61/20260806_company_250647000.pdf","PDF")</f>
        <v>PDF</v>
      </c>
      <c r="K525" s="12" t="s">
        <v>35103</v>
      </c>
      <c r="L525" s="36">
        <v>0.79611650485436891</v>
      </c>
    </row>
    <row r="526" spans="1:12" x14ac:dyDescent="0.45">
      <c r="A526" s="12" t="s">
        <v>34938</v>
      </c>
      <c r="B526" s="12" t="s">
        <v>6347</v>
      </c>
      <c r="C526" s="13" t="s">
        <v>6348</v>
      </c>
      <c r="D526" s="13" t="s">
        <v>23</v>
      </c>
      <c r="E526" s="12" t="s">
        <v>16</v>
      </c>
      <c r="F526" s="14">
        <v>74000</v>
      </c>
      <c r="G526" s="14">
        <v>57300</v>
      </c>
      <c r="H526" s="13" t="s">
        <v>35104</v>
      </c>
      <c r="I526" s="40" t="s">
        <v>18</v>
      </c>
      <c r="J526" s="40" t="str">
        <f>HYPERLINK("https://stock.pstatic.net/stock-research/company/21/20260806_company_519222000.pdf","PDF")</f>
        <v>PDF</v>
      </c>
      <c r="K526" s="12" t="s">
        <v>35105</v>
      </c>
      <c r="L526" s="36">
        <v>0.29144851657940662</v>
      </c>
    </row>
    <row r="527" spans="1:12" x14ac:dyDescent="0.45">
      <c r="A527" s="12" t="s">
        <v>34938</v>
      </c>
      <c r="B527" s="12" t="s">
        <v>2650</v>
      </c>
      <c r="C527" s="13" t="s">
        <v>2651</v>
      </c>
      <c r="D527" s="13" t="s">
        <v>23</v>
      </c>
      <c r="E527" s="12" t="s">
        <v>16</v>
      </c>
      <c r="F527" s="14">
        <v>29000</v>
      </c>
      <c r="G527" s="14">
        <v>21550</v>
      </c>
      <c r="H527" s="13" t="s">
        <v>35106</v>
      </c>
      <c r="I527" s="40" t="s">
        <v>18</v>
      </c>
      <c r="J527" s="40" t="str">
        <f>HYPERLINK("https://stock.pstatic.net/stock-research/company/21/20260806_company_672753000.pdf","PDF")</f>
        <v>PDF</v>
      </c>
      <c r="K527" s="12" t="s">
        <v>35107</v>
      </c>
      <c r="L527" s="36">
        <v>0.345707656612529</v>
      </c>
    </row>
    <row r="528" spans="1:12" x14ac:dyDescent="0.45">
      <c r="A528" s="12" t="s">
        <v>34938</v>
      </c>
      <c r="B528" s="12" t="s">
        <v>31997</v>
      </c>
      <c r="C528" s="13" t="s">
        <v>31998</v>
      </c>
      <c r="D528" s="13" t="s">
        <v>179</v>
      </c>
      <c r="E528" s="12" t="s">
        <v>50</v>
      </c>
      <c r="F528" s="13"/>
      <c r="G528" s="14">
        <v>6690</v>
      </c>
      <c r="H528" s="13" t="s">
        <v>35108</v>
      </c>
      <c r="I528" s="40" t="s">
        <v>18</v>
      </c>
      <c r="J528" s="40" t="str">
        <f>HYPERLINK("https://stock.pstatic.net/stock-research/company/64/20260806_company_261247000.pdf","PDF")</f>
        <v>PDF</v>
      </c>
      <c r="K528" s="12" t="s">
        <v>35109</v>
      </c>
      <c r="L528" s="12"/>
    </row>
    <row r="529" spans="1:12" x14ac:dyDescent="0.45">
      <c r="A529" s="12" t="s">
        <v>34938</v>
      </c>
      <c r="B529" s="12" t="s">
        <v>2781</v>
      </c>
      <c r="C529" s="13" t="s">
        <v>2782</v>
      </c>
      <c r="D529" s="13" t="s">
        <v>23</v>
      </c>
      <c r="E529" s="12" t="s">
        <v>16</v>
      </c>
      <c r="F529" s="14">
        <v>145000</v>
      </c>
      <c r="G529" s="14">
        <v>100300</v>
      </c>
      <c r="H529" s="13" t="s">
        <v>35110</v>
      </c>
      <c r="I529" s="40" t="s">
        <v>18</v>
      </c>
      <c r="J529" s="40" t="str">
        <f>HYPERLINK("https://stock.pstatic.net/stock-research/company/21/20260806_company_238277000.pdf","PDF")</f>
        <v>PDF</v>
      </c>
      <c r="K529" s="12" t="s">
        <v>35111</v>
      </c>
      <c r="L529" s="36">
        <v>0.4456630109670987</v>
      </c>
    </row>
    <row r="530" spans="1:12" x14ac:dyDescent="0.45">
      <c r="A530" s="12" t="s">
        <v>34938</v>
      </c>
      <c r="B530" s="12" t="s">
        <v>132</v>
      </c>
      <c r="C530" s="13" t="s">
        <v>133</v>
      </c>
      <c r="D530" s="13" t="s">
        <v>23</v>
      </c>
      <c r="E530" s="12" t="s">
        <v>16</v>
      </c>
      <c r="F530" s="14">
        <v>180000</v>
      </c>
      <c r="G530" s="14">
        <v>110100</v>
      </c>
      <c r="H530" s="13" t="s">
        <v>15383</v>
      </c>
      <c r="I530" s="40" t="s">
        <v>18</v>
      </c>
      <c r="J530" s="40" t="str">
        <f>HYPERLINK("https://stock.pstatic.net/stock-research/company/21/20260806_company_516225000.pdf","PDF")</f>
        <v>PDF</v>
      </c>
      <c r="K530" s="12" t="s">
        <v>35112</v>
      </c>
      <c r="L530" s="36">
        <v>0.63487738419618533</v>
      </c>
    </row>
    <row r="531" spans="1:12" x14ac:dyDescent="0.45">
      <c r="A531" s="12" t="s">
        <v>34938</v>
      </c>
      <c r="B531" s="12" t="s">
        <v>3403</v>
      </c>
      <c r="C531" s="13" t="s">
        <v>3404</v>
      </c>
      <c r="D531" s="13" t="s">
        <v>23</v>
      </c>
      <c r="E531" s="12" t="s">
        <v>16</v>
      </c>
      <c r="F531" s="14">
        <v>72000</v>
      </c>
      <c r="G531" s="14">
        <v>47600</v>
      </c>
      <c r="H531" s="13" t="s">
        <v>35113</v>
      </c>
      <c r="I531" s="40" t="s">
        <v>18</v>
      </c>
      <c r="J531" s="40" t="str">
        <f>HYPERLINK("https://stock.pstatic.net/stock-research/company/21/20260806_company_72066000.pdf","PDF")</f>
        <v>PDF</v>
      </c>
      <c r="K531" s="12" t="s">
        <v>35114</v>
      </c>
      <c r="L531" s="36">
        <v>0.51260504201680668</v>
      </c>
    </row>
    <row r="532" spans="1:12" x14ac:dyDescent="0.45">
      <c r="A532" s="12" t="s">
        <v>34938</v>
      </c>
      <c r="B532" s="12" t="s">
        <v>957</v>
      </c>
      <c r="C532" s="13" t="s">
        <v>958</v>
      </c>
      <c r="D532" s="13" t="s">
        <v>34</v>
      </c>
      <c r="E532" s="12" t="s">
        <v>35</v>
      </c>
      <c r="F532" s="14">
        <v>330000</v>
      </c>
      <c r="G532" s="14">
        <v>213500</v>
      </c>
      <c r="H532" s="13" t="s">
        <v>35115</v>
      </c>
      <c r="I532" s="40" t="s">
        <v>18</v>
      </c>
      <c r="J532" s="40" t="str">
        <f>HYPERLINK("https://stock.pstatic.net/stock-research/company/61/20260806_company_550063000.pdf","PDF")</f>
        <v>PDF</v>
      </c>
      <c r="K532" s="12" t="s">
        <v>35116</v>
      </c>
      <c r="L532" s="36">
        <v>0.54566744730679162</v>
      </c>
    </row>
    <row r="533" spans="1:12" x14ac:dyDescent="0.45">
      <c r="A533" s="12" t="s">
        <v>34938</v>
      </c>
      <c r="B533" s="12" t="s">
        <v>2925</v>
      </c>
      <c r="C533" s="13" t="s">
        <v>2926</v>
      </c>
      <c r="D533" s="13" t="s">
        <v>179</v>
      </c>
      <c r="E533" s="12" t="s">
        <v>50</v>
      </c>
      <c r="F533" s="13"/>
      <c r="G533" s="14">
        <v>10060</v>
      </c>
      <c r="H533" s="13" t="s">
        <v>35117</v>
      </c>
      <c r="I533" s="40" t="s">
        <v>18</v>
      </c>
      <c r="J533" s="40" t="str">
        <f>HYPERLINK("https://stock.pstatic.net/stock-research/company/64/20260806_company_572618000.pdf","PDF")</f>
        <v>PDF</v>
      </c>
      <c r="K533" s="12" t="s">
        <v>35118</v>
      </c>
      <c r="L533" s="12"/>
    </row>
    <row r="534" spans="1:12" x14ac:dyDescent="0.45">
      <c r="A534" s="12" t="s">
        <v>34938</v>
      </c>
      <c r="B534" s="12" t="s">
        <v>110</v>
      </c>
      <c r="C534" s="13" t="s">
        <v>111</v>
      </c>
      <c r="D534" s="13" t="s">
        <v>44</v>
      </c>
      <c r="E534" s="12" t="s">
        <v>35</v>
      </c>
      <c r="F534" s="14">
        <v>190000</v>
      </c>
      <c r="G534" s="14">
        <v>103000</v>
      </c>
      <c r="H534" s="13" t="s">
        <v>35119</v>
      </c>
      <c r="I534" s="40" t="s">
        <v>18</v>
      </c>
      <c r="J534" s="40" t="str">
        <f>HYPERLINK("https://stock.pstatic.net/stock-research/company/39/20260806_company_249538000.pdf","PDF")</f>
        <v>PDF</v>
      </c>
      <c r="K534" s="12" t="s">
        <v>35120</v>
      </c>
      <c r="L534" s="36">
        <v>0.84466019417475724</v>
      </c>
    </row>
    <row r="535" spans="1:12" x14ac:dyDescent="0.45">
      <c r="A535" s="12" t="s">
        <v>34938</v>
      </c>
      <c r="B535" s="12" t="s">
        <v>156</v>
      </c>
      <c r="C535" s="13" t="s">
        <v>157</v>
      </c>
      <c r="D535" s="13" t="s">
        <v>44</v>
      </c>
      <c r="E535" s="12" t="s">
        <v>35</v>
      </c>
      <c r="F535" s="14">
        <v>6500</v>
      </c>
      <c r="G535" s="14">
        <v>3530</v>
      </c>
      <c r="H535" s="13" t="s">
        <v>35121</v>
      </c>
      <c r="I535" s="40" t="s">
        <v>18</v>
      </c>
      <c r="J535" s="40" t="str">
        <f>HYPERLINK("https://stock.pstatic.net/stock-research/company/39/20260806_company_43463000.pdf","PDF")</f>
        <v>PDF</v>
      </c>
      <c r="K535" s="12" t="s">
        <v>35122</v>
      </c>
      <c r="L535" s="36">
        <v>0.84135977337110479</v>
      </c>
    </row>
    <row r="536" spans="1:12" x14ac:dyDescent="0.45">
      <c r="A536" s="12" t="s">
        <v>34938</v>
      </c>
      <c r="B536" s="12" t="s">
        <v>35123</v>
      </c>
      <c r="C536" s="13" t="s">
        <v>35124</v>
      </c>
      <c r="D536" s="13" t="s">
        <v>179</v>
      </c>
      <c r="E536" s="12" t="s">
        <v>50</v>
      </c>
      <c r="F536" s="13"/>
      <c r="G536" s="14">
        <v>1225</v>
      </c>
      <c r="H536" s="13" t="s">
        <v>35125</v>
      </c>
      <c r="I536" s="40" t="s">
        <v>18</v>
      </c>
      <c r="J536" s="40" t="str">
        <f>HYPERLINK("https://stock.pstatic.net/stock-research/company/64/20260806_company_392425000.pdf","PDF")</f>
        <v>PDF</v>
      </c>
      <c r="K536" s="12" t="s">
        <v>35126</v>
      </c>
      <c r="L536" s="12"/>
    </row>
    <row r="537" spans="1:12" x14ac:dyDescent="0.45">
      <c r="A537" s="12" t="s">
        <v>34938</v>
      </c>
      <c r="B537" s="12" t="s">
        <v>132</v>
      </c>
      <c r="C537" s="13" t="s">
        <v>133</v>
      </c>
      <c r="D537" s="13" t="s">
        <v>44</v>
      </c>
      <c r="E537" s="12" t="s">
        <v>35</v>
      </c>
      <c r="F537" s="14">
        <v>200000</v>
      </c>
      <c r="G537" s="14">
        <v>110100</v>
      </c>
      <c r="H537" s="13" t="s">
        <v>35127</v>
      </c>
      <c r="I537" s="40" t="s">
        <v>18</v>
      </c>
      <c r="J537" s="40" t="str">
        <f>HYPERLINK("https://stock.pstatic.net/stock-research/company/39/20260806_company_235978000.pdf","PDF")</f>
        <v>PDF</v>
      </c>
      <c r="K537" s="12" t="s">
        <v>35128</v>
      </c>
      <c r="L537" s="36">
        <v>0.81653042688465027</v>
      </c>
    </row>
    <row r="538" spans="1:12" x14ac:dyDescent="0.45">
      <c r="A538" s="12" t="s">
        <v>34938</v>
      </c>
      <c r="B538" s="12" t="s">
        <v>2781</v>
      </c>
      <c r="C538" s="13" t="s">
        <v>2782</v>
      </c>
      <c r="D538" s="13" t="s">
        <v>44</v>
      </c>
      <c r="E538" s="12" t="s">
        <v>50</v>
      </c>
      <c r="F538" s="13"/>
      <c r="G538" s="14">
        <v>100300</v>
      </c>
      <c r="H538" s="13" t="s">
        <v>35129</v>
      </c>
      <c r="I538" s="40" t="s">
        <v>18</v>
      </c>
      <c r="J538" s="40" t="str">
        <f>HYPERLINK("https://stock.pstatic.net/stock-research/company/39/20260806_company_606654000.pdf","PDF")</f>
        <v>PDF</v>
      </c>
      <c r="K538" s="12" t="s">
        <v>35130</v>
      </c>
      <c r="L538" s="12"/>
    </row>
    <row r="539" spans="1:12" x14ac:dyDescent="0.45">
      <c r="A539" s="12" t="s">
        <v>34938</v>
      </c>
      <c r="B539" s="12" t="s">
        <v>828</v>
      </c>
      <c r="C539" s="13" t="s">
        <v>829</v>
      </c>
      <c r="D539" s="13" t="s">
        <v>179</v>
      </c>
      <c r="E539" s="12" t="s">
        <v>16</v>
      </c>
      <c r="F539" s="14">
        <v>77000</v>
      </c>
      <c r="G539" s="14">
        <v>31350</v>
      </c>
      <c r="H539" s="13" t="s">
        <v>35131</v>
      </c>
      <c r="I539" s="40" t="s">
        <v>18</v>
      </c>
      <c r="J539" s="40" t="str">
        <f>HYPERLINK("https://stock.pstatic.net/stock-research/company/64/20260806_company_353972000.pdf","PDF")</f>
        <v>PDF</v>
      </c>
      <c r="K539" s="12" t="s">
        <v>35132</v>
      </c>
      <c r="L539" s="36">
        <v>1.4561403508771931</v>
      </c>
    </row>
    <row r="540" spans="1:12" x14ac:dyDescent="0.45">
      <c r="A540" s="12" t="s">
        <v>34938</v>
      </c>
      <c r="B540" s="12" t="s">
        <v>495</v>
      </c>
      <c r="C540" s="13" t="s">
        <v>496</v>
      </c>
      <c r="D540" s="13" t="s">
        <v>92</v>
      </c>
      <c r="E540" s="12" t="s">
        <v>35</v>
      </c>
      <c r="F540" s="14">
        <v>530000</v>
      </c>
      <c r="G540" s="14">
        <v>357500</v>
      </c>
      <c r="H540" s="13" t="s">
        <v>35133</v>
      </c>
      <c r="I540" s="40" t="s">
        <v>18</v>
      </c>
      <c r="J540" s="40" t="str">
        <f>HYPERLINK("https://stock.pstatic.net/stock-research/company/63/20260806_company_261997000.pdf","PDF")</f>
        <v>PDF</v>
      </c>
      <c r="K540" s="12" t="s">
        <v>35134</v>
      </c>
      <c r="L540" s="36">
        <v>0.4825174825174825</v>
      </c>
    </row>
    <row r="541" spans="1:12" x14ac:dyDescent="0.45">
      <c r="A541" s="12" t="s">
        <v>34938</v>
      </c>
      <c r="B541" s="12" t="s">
        <v>732</v>
      </c>
      <c r="C541" s="13" t="s">
        <v>733</v>
      </c>
      <c r="D541" s="13" t="s">
        <v>44</v>
      </c>
      <c r="E541" s="12" t="s">
        <v>35</v>
      </c>
      <c r="F541" s="14">
        <v>120000</v>
      </c>
      <c r="G541" s="14">
        <v>82000</v>
      </c>
      <c r="H541" s="13" t="s">
        <v>35135</v>
      </c>
      <c r="I541" s="40" t="s">
        <v>18</v>
      </c>
      <c r="J541" s="40" t="str">
        <f>HYPERLINK("https://stock.pstatic.net/stock-research/company/39/20260806_company_961146000.pdf","PDF")</f>
        <v>PDF</v>
      </c>
      <c r="K541" s="12" t="s">
        <v>35136</v>
      </c>
      <c r="L541" s="36">
        <v>0.46341463414634149</v>
      </c>
    </row>
    <row r="542" spans="1:12" x14ac:dyDescent="0.45">
      <c r="A542" s="12" t="s">
        <v>34938</v>
      </c>
      <c r="B542" s="12" t="s">
        <v>426</v>
      </c>
      <c r="C542" s="13" t="s">
        <v>427</v>
      </c>
      <c r="D542" s="13" t="s">
        <v>179</v>
      </c>
      <c r="E542" s="12" t="s">
        <v>16</v>
      </c>
      <c r="F542" s="14">
        <v>25000</v>
      </c>
      <c r="G542" s="14">
        <v>9780</v>
      </c>
      <c r="H542" s="13" t="s">
        <v>35137</v>
      </c>
      <c r="I542" s="40" t="s">
        <v>18</v>
      </c>
      <c r="J542" s="40" t="str">
        <f>HYPERLINK("https://stock.pstatic.net/stock-research/company/64/20260806_company_427360000.pdf","PDF")</f>
        <v>PDF</v>
      </c>
      <c r="K542" s="12" t="s">
        <v>35138</v>
      </c>
      <c r="L542" s="36">
        <v>1.556237218813906</v>
      </c>
    </row>
    <row r="543" spans="1:12" x14ac:dyDescent="0.45">
      <c r="A543" s="12" t="s">
        <v>34938</v>
      </c>
      <c r="B543" s="12" t="s">
        <v>344</v>
      </c>
      <c r="C543" s="13" t="s">
        <v>345</v>
      </c>
      <c r="D543" s="13" t="s">
        <v>179</v>
      </c>
      <c r="E543" s="12" t="s">
        <v>16</v>
      </c>
      <c r="F543" s="14">
        <v>20000</v>
      </c>
      <c r="G543" s="14">
        <v>10370</v>
      </c>
      <c r="H543" s="13" t="s">
        <v>35139</v>
      </c>
      <c r="I543" s="40" t="s">
        <v>18</v>
      </c>
      <c r="J543" s="40" t="str">
        <f>HYPERLINK("https://stock.pstatic.net/stock-research/company/64/20260806_company_951266000.pdf","PDF")</f>
        <v>PDF</v>
      </c>
      <c r="K543" s="12" t="s">
        <v>35140</v>
      </c>
      <c r="L543" s="36">
        <v>0.92864030858244939</v>
      </c>
    </row>
    <row r="544" spans="1:12" x14ac:dyDescent="0.45">
      <c r="A544" s="12" t="s">
        <v>34938</v>
      </c>
      <c r="B544" s="12" t="s">
        <v>1019</v>
      </c>
      <c r="C544" s="13" t="s">
        <v>1020</v>
      </c>
      <c r="D544" s="13" t="s">
        <v>179</v>
      </c>
      <c r="E544" s="12" t="s">
        <v>16</v>
      </c>
      <c r="F544" s="14">
        <v>31000</v>
      </c>
      <c r="G544" s="14">
        <v>12280</v>
      </c>
      <c r="H544" s="13" t="s">
        <v>35141</v>
      </c>
      <c r="I544" s="40" t="s">
        <v>18</v>
      </c>
      <c r="J544" s="40" t="str">
        <f>HYPERLINK("https://stock.pstatic.net/stock-research/company/64/20260806_company_99820000.pdf","PDF")</f>
        <v>PDF</v>
      </c>
      <c r="K544" s="12" t="s">
        <v>35142</v>
      </c>
      <c r="L544" s="36">
        <v>1.5244299674267101</v>
      </c>
    </row>
    <row r="545" spans="1:12" x14ac:dyDescent="0.45">
      <c r="A545" s="12" t="s">
        <v>34938</v>
      </c>
      <c r="B545" s="12" t="s">
        <v>10915</v>
      </c>
      <c r="C545" s="13" t="s">
        <v>10916</v>
      </c>
      <c r="D545" s="13" t="s">
        <v>124</v>
      </c>
      <c r="E545" s="12" t="s">
        <v>50</v>
      </c>
      <c r="F545" s="13"/>
      <c r="G545" s="13"/>
      <c r="H545" s="13" t="s">
        <v>35143</v>
      </c>
      <c r="I545" s="40" t="s">
        <v>18</v>
      </c>
      <c r="J545" s="40" t="str">
        <f>HYPERLINK("https://stock.pstatic.net/stock-research/company/74/20260807_company_522053000.pdf","PDF")</f>
        <v>PDF</v>
      </c>
      <c r="K545" s="12" t="s">
        <v>35144</v>
      </c>
      <c r="L545" s="12"/>
    </row>
    <row r="546" spans="1:12" x14ac:dyDescent="0.45">
      <c r="A546" s="12" t="s">
        <v>34938</v>
      </c>
      <c r="B546" s="12" t="s">
        <v>565</v>
      </c>
      <c r="C546" s="13" t="s">
        <v>566</v>
      </c>
      <c r="D546" s="13" t="s">
        <v>44</v>
      </c>
      <c r="E546" s="12" t="s">
        <v>50</v>
      </c>
      <c r="F546" s="13"/>
      <c r="G546" s="14">
        <v>57600</v>
      </c>
      <c r="H546" s="13" t="s">
        <v>35145</v>
      </c>
      <c r="I546" s="40" t="s">
        <v>18</v>
      </c>
      <c r="J546" s="40" t="str">
        <f>HYPERLINK("https://stock.pstatic.net/stock-research/company/39/20260806_company_348337000.pdf","PDF")</f>
        <v>PDF</v>
      </c>
      <c r="K546" s="12" t="s">
        <v>35146</v>
      </c>
      <c r="L546" s="12"/>
    </row>
    <row r="547" spans="1:12" x14ac:dyDescent="0.45">
      <c r="A547" s="12" t="s">
        <v>34938</v>
      </c>
      <c r="B547" s="12" t="s">
        <v>1350</v>
      </c>
      <c r="C547" s="13" t="s">
        <v>1351</v>
      </c>
      <c r="D547" s="13" t="s">
        <v>44</v>
      </c>
      <c r="E547" s="12" t="s">
        <v>35</v>
      </c>
      <c r="F547" s="14">
        <v>30000</v>
      </c>
      <c r="G547" s="14">
        <v>21850</v>
      </c>
      <c r="H547" s="13" t="s">
        <v>35147</v>
      </c>
      <c r="I547" s="40" t="s">
        <v>18</v>
      </c>
      <c r="J547" s="40" t="str">
        <f>HYPERLINK("https://stock.pstatic.net/stock-research/company/39/20260806_company_276485000.pdf","PDF")</f>
        <v>PDF</v>
      </c>
      <c r="K547" s="12" t="s">
        <v>35148</v>
      </c>
      <c r="L547" s="36">
        <v>0.37299771167048063</v>
      </c>
    </row>
    <row r="548" spans="1:12" x14ac:dyDescent="0.45">
      <c r="A548" s="12" t="s">
        <v>34938</v>
      </c>
      <c r="B548" s="12" t="s">
        <v>3018</v>
      </c>
      <c r="C548" s="13" t="s">
        <v>3019</v>
      </c>
      <c r="D548" s="13" t="s">
        <v>44</v>
      </c>
      <c r="E548" s="12" t="s">
        <v>35</v>
      </c>
      <c r="F548" s="14">
        <v>18000</v>
      </c>
      <c r="G548" s="14">
        <v>14500</v>
      </c>
      <c r="H548" s="13" t="s">
        <v>35149</v>
      </c>
      <c r="I548" s="40" t="s">
        <v>18</v>
      </c>
      <c r="J548" s="40" t="str">
        <f>HYPERLINK("https://stock.pstatic.net/stock-research/company/39/20260806_company_436469000.pdf","PDF")</f>
        <v>PDF</v>
      </c>
      <c r="K548" s="12" t="s">
        <v>35150</v>
      </c>
      <c r="L548" s="36">
        <v>0.2413793103448276</v>
      </c>
    </row>
    <row r="549" spans="1:12" x14ac:dyDescent="0.45">
      <c r="A549" s="12" t="s">
        <v>34938</v>
      </c>
      <c r="B549" s="12" t="s">
        <v>2382</v>
      </c>
      <c r="C549" s="13" t="s">
        <v>2383</v>
      </c>
      <c r="D549" s="13" t="s">
        <v>44</v>
      </c>
      <c r="E549" s="12" t="s">
        <v>35</v>
      </c>
      <c r="F549" s="14">
        <v>70000</v>
      </c>
      <c r="G549" s="14">
        <v>40250</v>
      </c>
      <c r="H549" s="13" t="s">
        <v>35151</v>
      </c>
      <c r="I549" s="40" t="s">
        <v>18</v>
      </c>
      <c r="J549" s="40" t="str">
        <f>HYPERLINK("https://stock.pstatic.net/stock-research/company/39/20260806_company_560230000.pdf","PDF")</f>
        <v>PDF</v>
      </c>
      <c r="K549" s="12" t="s">
        <v>35152</v>
      </c>
      <c r="L549" s="36">
        <v>0.73913043478260865</v>
      </c>
    </row>
    <row r="550" spans="1:12" x14ac:dyDescent="0.45">
      <c r="A550" s="12" t="s">
        <v>34938</v>
      </c>
      <c r="B550" s="12" t="s">
        <v>3204</v>
      </c>
      <c r="C550" s="13" t="s">
        <v>3205</v>
      </c>
      <c r="D550" s="13" t="s">
        <v>44</v>
      </c>
      <c r="E550" s="12" t="s">
        <v>35</v>
      </c>
      <c r="F550" s="14">
        <v>23000</v>
      </c>
      <c r="G550" s="14">
        <v>15200</v>
      </c>
      <c r="H550" s="13" t="s">
        <v>35153</v>
      </c>
      <c r="I550" s="40" t="s">
        <v>18</v>
      </c>
      <c r="J550" s="40" t="str">
        <f>HYPERLINK("https://stock.pstatic.net/stock-research/company/39/20260806_company_220721000.pdf","PDF")</f>
        <v>PDF</v>
      </c>
      <c r="K550" s="12" t="s">
        <v>35154</v>
      </c>
      <c r="L550" s="36">
        <v>0.51315789473684215</v>
      </c>
    </row>
    <row r="551" spans="1:12" x14ac:dyDescent="0.45">
      <c r="A551" s="12" t="s">
        <v>34938</v>
      </c>
      <c r="B551" s="12" t="s">
        <v>3308</v>
      </c>
      <c r="C551" s="13" t="s">
        <v>3309</v>
      </c>
      <c r="D551" s="13" t="s">
        <v>44</v>
      </c>
      <c r="E551" s="12" t="s">
        <v>50</v>
      </c>
      <c r="F551" s="13"/>
      <c r="G551" s="14">
        <v>2855</v>
      </c>
      <c r="H551" s="13" t="s">
        <v>35155</v>
      </c>
      <c r="I551" s="40" t="s">
        <v>18</v>
      </c>
      <c r="J551" s="40" t="str">
        <f>HYPERLINK("https://stock.pstatic.net/stock-research/company/39/20260806_company_914929000.pdf","PDF")</f>
        <v>PDF</v>
      </c>
      <c r="K551" s="12" t="s">
        <v>35156</v>
      </c>
      <c r="L551" s="12"/>
    </row>
    <row r="552" spans="1:12" x14ac:dyDescent="0.45">
      <c r="A552" s="12" t="s">
        <v>34938</v>
      </c>
      <c r="B552" s="12" t="s">
        <v>3478</v>
      </c>
      <c r="C552" s="13" t="s">
        <v>3479</v>
      </c>
      <c r="D552" s="13" t="s">
        <v>44</v>
      </c>
      <c r="E552" s="12" t="s">
        <v>35</v>
      </c>
      <c r="F552" s="14">
        <v>46000</v>
      </c>
      <c r="G552" s="14">
        <v>24800</v>
      </c>
      <c r="H552" s="13" t="s">
        <v>35157</v>
      </c>
      <c r="I552" s="40" t="s">
        <v>18</v>
      </c>
      <c r="J552" s="40" t="str">
        <f>HYPERLINK("https://stock.pstatic.net/stock-research/company/39/20260806_company_496903000.pdf","PDF")</f>
        <v>PDF</v>
      </c>
      <c r="K552" s="12" t="s">
        <v>35158</v>
      </c>
      <c r="L552" s="36">
        <v>0.85483870967741937</v>
      </c>
    </row>
    <row r="553" spans="1:12" x14ac:dyDescent="0.45">
      <c r="A553" s="12" t="s">
        <v>34938</v>
      </c>
      <c r="B553" s="12" t="s">
        <v>102</v>
      </c>
      <c r="C553" s="13" t="s">
        <v>103</v>
      </c>
      <c r="D553" s="13" t="s">
        <v>44</v>
      </c>
      <c r="E553" s="12" t="s">
        <v>35</v>
      </c>
      <c r="F553" s="14">
        <v>24000</v>
      </c>
      <c r="G553" s="14">
        <v>15600</v>
      </c>
      <c r="H553" s="13" t="s">
        <v>35159</v>
      </c>
      <c r="I553" s="40" t="s">
        <v>18</v>
      </c>
      <c r="J553" s="40" t="str">
        <f>HYPERLINK("https://stock.pstatic.net/stock-research/company/39/20260806_company_930026000.pdf","PDF")</f>
        <v>PDF</v>
      </c>
      <c r="K553" s="12" t="s">
        <v>35160</v>
      </c>
      <c r="L553" s="36">
        <v>0.53846153846153844</v>
      </c>
    </row>
    <row r="554" spans="1:12" x14ac:dyDescent="0.45">
      <c r="A554" s="12" t="s">
        <v>34938</v>
      </c>
      <c r="B554" s="12" t="s">
        <v>35161</v>
      </c>
      <c r="C554" s="13" t="s">
        <v>35162</v>
      </c>
      <c r="D554" s="13" t="s">
        <v>44</v>
      </c>
      <c r="E554" s="12" t="s">
        <v>50</v>
      </c>
      <c r="F554" s="13"/>
      <c r="G554" s="14">
        <v>6100</v>
      </c>
      <c r="H554" s="13" t="s">
        <v>35163</v>
      </c>
      <c r="I554" s="40" t="s">
        <v>18</v>
      </c>
      <c r="J554" s="40" t="str">
        <f>HYPERLINK("https://stock.pstatic.net/stock-research/company/39/20260806_company_444311000.pdf","PDF")</f>
        <v>PDF</v>
      </c>
      <c r="K554" s="12" t="s">
        <v>35164</v>
      </c>
      <c r="L554" s="12"/>
    </row>
    <row r="555" spans="1:12" x14ac:dyDescent="0.45">
      <c r="A555" s="12" t="s">
        <v>34938</v>
      </c>
      <c r="B555" s="12" t="s">
        <v>1208</v>
      </c>
      <c r="C555" s="13" t="s">
        <v>1209</v>
      </c>
      <c r="D555" s="13" t="s">
        <v>44</v>
      </c>
      <c r="E555" s="12" t="s">
        <v>35</v>
      </c>
      <c r="F555" s="14">
        <v>100000</v>
      </c>
      <c r="G555" s="14">
        <v>43500</v>
      </c>
      <c r="H555" s="13" t="s">
        <v>35165</v>
      </c>
      <c r="I555" s="40" t="s">
        <v>18</v>
      </c>
      <c r="J555" s="40" t="str">
        <f>HYPERLINK("https://stock.pstatic.net/stock-research/company/39/20260806_company_338524000.pdf","PDF")</f>
        <v>PDF</v>
      </c>
      <c r="K555" s="12" t="s">
        <v>35166</v>
      </c>
      <c r="L555" s="36">
        <v>1.298850574712644</v>
      </c>
    </row>
    <row r="556" spans="1:12" x14ac:dyDescent="0.45">
      <c r="A556" s="12" t="s">
        <v>34938</v>
      </c>
      <c r="B556" s="12" t="s">
        <v>132</v>
      </c>
      <c r="C556" s="13" t="s">
        <v>133</v>
      </c>
      <c r="D556" s="13" t="s">
        <v>53</v>
      </c>
      <c r="E556" s="12" t="s">
        <v>16</v>
      </c>
      <c r="F556" s="14">
        <v>168000</v>
      </c>
      <c r="G556" s="14">
        <v>110100</v>
      </c>
      <c r="H556" s="13" t="s">
        <v>35167</v>
      </c>
      <c r="I556" s="40" t="s">
        <v>18</v>
      </c>
      <c r="J556" s="40" t="str">
        <f>HYPERLINK("https://stock.pstatic.net/stock-research/company/40/20260806_company_393537000.pdf","PDF")</f>
        <v>PDF</v>
      </c>
      <c r="K556" s="12" t="s">
        <v>35168</v>
      </c>
      <c r="L556" s="36">
        <v>0.52588555858310626</v>
      </c>
    </row>
    <row r="557" spans="1:12" x14ac:dyDescent="0.45">
      <c r="A557" s="12" t="s">
        <v>34938</v>
      </c>
      <c r="B557" s="12" t="s">
        <v>541</v>
      </c>
      <c r="C557" s="13" t="s">
        <v>542</v>
      </c>
      <c r="D557" s="13" t="s">
        <v>15</v>
      </c>
      <c r="E557" s="12" t="s">
        <v>16</v>
      </c>
      <c r="F557" s="14">
        <v>120000</v>
      </c>
      <c r="G557" s="14">
        <v>93000</v>
      </c>
      <c r="H557" s="13" t="s">
        <v>35169</v>
      </c>
      <c r="I557" s="40" t="s">
        <v>18</v>
      </c>
      <c r="J557" s="40" t="str">
        <f>HYPERLINK("https://stock.pstatic.net/stock-research/company/56/20260806_company_171182000.pdf","PDF")</f>
        <v>PDF</v>
      </c>
      <c r="K557" s="12" t="s">
        <v>35170</v>
      </c>
      <c r="L557" s="36">
        <v>0.29032258064516131</v>
      </c>
    </row>
    <row r="558" spans="1:12" x14ac:dyDescent="0.45">
      <c r="A558" s="12" t="s">
        <v>34938</v>
      </c>
      <c r="B558" s="12" t="s">
        <v>495</v>
      </c>
      <c r="C558" s="13" t="s">
        <v>496</v>
      </c>
      <c r="D558" s="13" t="s">
        <v>53</v>
      </c>
      <c r="E558" s="12" t="s">
        <v>16</v>
      </c>
      <c r="F558" s="14">
        <v>550000</v>
      </c>
      <c r="G558" s="14">
        <v>357500</v>
      </c>
      <c r="H558" s="13" t="s">
        <v>35171</v>
      </c>
      <c r="I558" s="40" t="s">
        <v>18</v>
      </c>
      <c r="J558" s="40" t="str">
        <f>HYPERLINK("https://stock.pstatic.net/stock-research/company/40/20260806_company_137877000.pdf","PDF")</f>
        <v>PDF</v>
      </c>
      <c r="K558" s="12" t="s">
        <v>35172</v>
      </c>
      <c r="L558" s="36">
        <v>0.53846153846153844</v>
      </c>
    </row>
    <row r="559" spans="1:12" x14ac:dyDescent="0.45">
      <c r="A559" s="12" t="s">
        <v>34938</v>
      </c>
      <c r="B559" s="12" t="s">
        <v>42</v>
      </c>
      <c r="C559" s="13" t="s">
        <v>43</v>
      </c>
      <c r="D559" s="13" t="s">
        <v>53</v>
      </c>
      <c r="E559" s="12" t="s">
        <v>16</v>
      </c>
      <c r="F559" s="14">
        <v>320000</v>
      </c>
      <c r="G559" s="14">
        <v>225500</v>
      </c>
      <c r="H559" s="13" t="s">
        <v>35173</v>
      </c>
      <c r="I559" s="40" t="s">
        <v>18</v>
      </c>
      <c r="J559" s="40" t="str">
        <f>HYPERLINK("https://stock.pstatic.net/stock-research/company/40/20260806_company_499514000.pdf","PDF")</f>
        <v>PDF</v>
      </c>
      <c r="K559" s="12" t="s">
        <v>35174</v>
      </c>
      <c r="L559" s="36">
        <v>0.41906873614190687</v>
      </c>
    </row>
    <row r="560" spans="1:12" x14ac:dyDescent="0.45">
      <c r="A560" s="12" t="s">
        <v>34938</v>
      </c>
      <c r="B560" s="12" t="s">
        <v>1036</v>
      </c>
      <c r="C560" s="13" t="s">
        <v>1037</v>
      </c>
      <c r="D560" s="13" t="s">
        <v>15</v>
      </c>
      <c r="E560" s="12" t="s">
        <v>385</v>
      </c>
      <c r="F560" s="14">
        <v>9000</v>
      </c>
      <c r="G560" s="14">
        <v>8340</v>
      </c>
      <c r="H560" s="13" t="s">
        <v>35175</v>
      </c>
      <c r="I560" s="40" t="s">
        <v>18</v>
      </c>
      <c r="J560" s="40" t="str">
        <f>HYPERLINK("https://stock.pstatic.net/stock-research/company/56/20260806_company_111647000.pdf","PDF")</f>
        <v>PDF</v>
      </c>
      <c r="K560" s="12" t="s">
        <v>35176</v>
      </c>
      <c r="L560" s="36">
        <v>7.9136690647482008E-2</v>
      </c>
    </row>
    <row r="561" spans="1:12" x14ac:dyDescent="0.45">
      <c r="A561" s="12" t="s">
        <v>34938</v>
      </c>
      <c r="B561" s="12" t="s">
        <v>1162</v>
      </c>
      <c r="C561" s="13" t="s">
        <v>1163</v>
      </c>
      <c r="D561" s="13" t="s">
        <v>44</v>
      </c>
      <c r="E561" s="12" t="s">
        <v>35</v>
      </c>
      <c r="F561" s="14">
        <v>220000</v>
      </c>
      <c r="G561" s="14">
        <v>131100</v>
      </c>
      <c r="H561" s="13" t="s">
        <v>35177</v>
      </c>
      <c r="I561" s="40" t="s">
        <v>18</v>
      </c>
      <c r="J561" s="40" t="str">
        <f>HYPERLINK("https://stock.pstatic.net/stock-research/company/39/20260806_company_521761000.pdf","PDF")</f>
        <v>PDF</v>
      </c>
      <c r="K561" s="12" t="s">
        <v>35178</v>
      </c>
      <c r="L561" s="36">
        <v>0.67810831426392071</v>
      </c>
    </row>
    <row r="562" spans="1:12" x14ac:dyDescent="0.45">
      <c r="A562" s="12" t="s">
        <v>34938</v>
      </c>
      <c r="B562" s="12" t="s">
        <v>1548</v>
      </c>
      <c r="C562" s="13" t="s">
        <v>1549</v>
      </c>
      <c r="D562" s="13" t="s">
        <v>44</v>
      </c>
      <c r="E562" s="12" t="s">
        <v>35</v>
      </c>
      <c r="F562" s="14">
        <v>1580000</v>
      </c>
      <c r="G562" s="14">
        <v>917000</v>
      </c>
      <c r="H562" s="13" t="s">
        <v>35179</v>
      </c>
      <c r="I562" s="40" t="s">
        <v>18</v>
      </c>
      <c r="J562" s="40" t="str">
        <f>HYPERLINK("https://stock.pstatic.net/stock-research/company/39/20260806_company_120507000.pdf","PDF")</f>
        <v>PDF</v>
      </c>
      <c r="K562" s="12" t="s">
        <v>35180</v>
      </c>
      <c r="L562" s="36">
        <v>0.72300981461286806</v>
      </c>
    </row>
    <row r="563" spans="1:12" x14ac:dyDescent="0.45">
      <c r="A563" s="12" t="s">
        <v>34938</v>
      </c>
      <c r="B563" s="12" t="s">
        <v>31997</v>
      </c>
      <c r="C563" s="13" t="s">
        <v>31998</v>
      </c>
      <c r="D563" s="13" t="s">
        <v>44</v>
      </c>
      <c r="E563" s="12" t="s">
        <v>50</v>
      </c>
      <c r="F563" s="13"/>
      <c r="G563" s="14">
        <v>5500</v>
      </c>
      <c r="H563" s="13" t="s">
        <v>35181</v>
      </c>
      <c r="I563" s="40" t="s">
        <v>18</v>
      </c>
      <c r="J563" s="40" t="str">
        <f>HYPERLINK("https://stock.pstatic.net/stock-research/company/39/20260806_company_901899000.pdf","PDF")</f>
        <v>PDF</v>
      </c>
      <c r="K563" s="12" t="s">
        <v>35182</v>
      </c>
      <c r="L563" s="12"/>
    </row>
    <row r="564" spans="1:12" x14ac:dyDescent="0.45">
      <c r="A564" s="12" t="s">
        <v>34938</v>
      </c>
      <c r="B564" s="12" t="s">
        <v>2414</v>
      </c>
      <c r="C564" s="13" t="s">
        <v>2415</v>
      </c>
      <c r="D564" s="13" t="s">
        <v>44</v>
      </c>
      <c r="E564" s="12" t="s">
        <v>50</v>
      </c>
      <c r="F564" s="13"/>
      <c r="G564" s="14">
        <v>1170000</v>
      </c>
      <c r="H564" s="13" t="s">
        <v>35183</v>
      </c>
      <c r="I564" s="40" t="s">
        <v>18</v>
      </c>
      <c r="J564" s="40" t="str">
        <f>HYPERLINK("https://stock.pstatic.net/stock-research/company/39/20260806_company_620593000.pdf","PDF")</f>
        <v>PDF</v>
      </c>
      <c r="K564" s="12" t="s">
        <v>35184</v>
      </c>
      <c r="L564" s="12"/>
    </row>
    <row r="565" spans="1:12" x14ac:dyDescent="0.45">
      <c r="A565" s="12" t="s">
        <v>34938</v>
      </c>
      <c r="B565" s="12" t="s">
        <v>4567</v>
      </c>
      <c r="C565" s="13" t="s">
        <v>4568</v>
      </c>
      <c r="D565" s="13" t="s">
        <v>44</v>
      </c>
      <c r="E565" s="12" t="s">
        <v>35</v>
      </c>
      <c r="F565" s="14">
        <v>240000</v>
      </c>
      <c r="G565" s="14">
        <v>96800</v>
      </c>
      <c r="H565" s="13" t="s">
        <v>35185</v>
      </c>
      <c r="I565" s="40" t="s">
        <v>18</v>
      </c>
      <c r="J565" s="40" t="str">
        <f>HYPERLINK("https://stock.pstatic.net/stock-research/company/39/20260806_company_848048000.pdf","PDF")</f>
        <v>PDF</v>
      </c>
      <c r="K565" s="12" t="s">
        <v>35186</v>
      </c>
      <c r="L565" s="36">
        <v>1.479338842975207</v>
      </c>
    </row>
    <row r="566" spans="1:12" x14ac:dyDescent="0.45">
      <c r="A566" s="12" t="s">
        <v>34938</v>
      </c>
      <c r="B566" s="12" t="s">
        <v>255</v>
      </c>
      <c r="C566" s="13" t="s">
        <v>256</v>
      </c>
      <c r="D566" s="13" t="s">
        <v>44</v>
      </c>
      <c r="E566" s="12" t="s">
        <v>35</v>
      </c>
      <c r="F566" s="14">
        <v>35000</v>
      </c>
      <c r="G566" s="14">
        <v>24700</v>
      </c>
      <c r="H566" s="13" t="s">
        <v>35187</v>
      </c>
      <c r="I566" s="40" t="s">
        <v>18</v>
      </c>
      <c r="J566" s="40" t="str">
        <f>HYPERLINK("https://stock.pstatic.net/stock-research/company/39/20260806_company_832727000.pdf","PDF")</f>
        <v>PDF</v>
      </c>
      <c r="K566" s="12" t="s">
        <v>35188</v>
      </c>
      <c r="L566" s="36">
        <v>0.41700404858299589</v>
      </c>
    </row>
    <row r="567" spans="1:12" x14ac:dyDescent="0.45">
      <c r="A567" s="12" t="s">
        <v>34938</v>
      </c>
      <c r="B567" s="12" t="s">
        <v>1431</v>
      </c>
      <c r="C567" s="13" t="s">
        <v>1432</v>
      </c>
      <c r="D567" s="13" t="s">
        <v>44</v>
      </c>
      <c r="E567" s="12" t="s">
        <v>35</v>
      </c>
      <c r="F567" s="14">
        <v>400000</v>
      </c>
      <c r="G567" s="14">
        <v>199600</v>
      </c>
      <c r="H567" s="13" t="s">
        <v>35189</v>
      </c>
      <c r="I567" s="40" t="s">
        <v>18</v>
      </c>
      <c r="J567" s="40" t="str">
        <f>HYPERLINK("https://stock.pstatic.net/stock-research/company/39/20260806_company_600239000.pdf","PDF")</f>
        <v>PDF</v>
      </c>
      <c r="K567" s="12" t="s">
        <v>35190</v>
      </c>
      <c r="L567" s="36">
        <v>1.0040080160320639</v>
      </c>
    </row>
    <row r="568" spans="1:12" x14ac:dyDescent="0.45">
      <c r="A568" s="12" t="s">
        <v>34938</v>
      </c>
      <c r="B568" s="12" t="s">
        <v>3101</v>
      </c>
      <c r="C568" s="13" t="s">
        <v>3102</v>
      </c>
      <c r="D568" s="13" t="s">
        <v>44</v>
      </c>
      <c r="E568" s="12" t="s">
        <v>45</v>
      </c>
      <c r="F568" s="14">
        <v>123000</v>
      </c>
      <c r="G568" s="14">
        <v>103500</v>
      </c>
      <c r="H568" s="13" t="s">
        <v>35191</v>
      </c>
      <c r="I568" s="40" t="s">
        <v>18</v>
      </c>
      <c r="J568" s="40" t="str">
        <f>HYPERLINK("https://stock.pstatic.net/stock-research/company/39/20260806_company_725131000.pdf","PDF")</f>
        <v>PDF</v>
      </c>
      <c r="K568" s="12" t="s">
        <v>35192</v>
      </c>
      <c r="L568" s="36">
        <v>0.18840579710144931</v>
      </c>
    </row>
    <row r="569" spans="1:12" x14ac:dyDescent="0.45">
      <c r="A569" s="12" t="s">
        <v>34938</v>
      </c>
      <c r="B569" s="12" t="s">
        <v>3014</v>
      </c>
      <c r="C569" s="13" t="s">
        <v>3015</v>
      </c>
      <c r="D569" s="13" t="s">
        <v>44</v>
      </c>
      <c r="E569" s="12" t="s">
        <v>35</v>
      </c>
      <c r="F569" s="14">
        <v>130000</v>
      </c>
      <c r="G569" s="14">
        <v>71200</v>
      </c>
      <c r="H569" s="13" t="s">
        <v>35193</v>
      </c>
      <c r="I569" s="40" t="s">
        <v>18</v>
      </c>
      <c r="J569" s="40" t="str">
        <f>HYPERLINK("https://stock.pstatic.net/stock-research/company/39/20260806_company_711673000.pdf","PDF")</f>
        <v>PDF</v>
      </c>
      <c r="K569" s="12" t="s">
        <v>35194</v>
      </c>
      <c r="L569" s="36">
        <v>0.8258426966292135</v>
      </c>
    </row>
    <row r="570" spans="1:12" x14ac:dyDescent="0.45">
      <c r="A570" s="12" t="s">
        <v>34708</v>
      </c>
      <c r="B570" s="12" t="s">
        <v>3123</v>
      </c>
      <c r="C570" s="13" t="s">
        <v>3124</v>
      </c>
      <c r="D570" s="13" t="s">
        <v>23</v>
      </c>
      <c r="E570" s="12" t="s">
        <v>16</v>
      </c>
      <c r="F570" s="14">
        <v>53000</v>
      </c>
      <c r="G570" s="14">
        <v>40750</v>
      </c>
      <c r="H570" s="13" t="s">
        <v>35195</v>
      </c>
      <c r="I570" s="40" t="s">
        <v>18</v>
      </c>
      <c r="J570" s="40" t="str">
        <f>HYPERLINK("https://stock.pstatic.net/stock-research/company/21/20260805_company_980445000.pdf","PDF")</f>
        <v>PDF</v>
      </c>
      <c r="K570" s="12" t="s">
        <v>35196</v>
      </c>
      <c r="L570" s="36">
        <v>0.30061349693251532</v>
      </c>
    </row>
    <row r="571" spans="1:12" x14ac:dyDescent="0.45">
      <c r="A571" s="12" t="s">
        <v>34708</v>
      </c>
      <c r="B571" s="12" t="s">
        <v>450</v>
      </c>
      <c r="C571" s="13" t="s">
        <v>451</v>
      </c>
      <c r="D571" s="13" t="s">
        <v>57</v>
      </c>
      <c r="E571" s="12" t="s">
        <v>35</v>
      </c>
      <c r="F571" s="14">
        <v>350000</v>
      </c>
      <c r="G571" s="14">
        <v>291500</v>
      </c>
      <c r="H571" s="13" t="s">
        <v>35197</v>
      </c>
      <c r="I571" s="40" t="s">
        <v>18</v>
      </c>
      <c r="J571" s="40" t="str">
        <f>HYPERLINK("https://stock.pstatic.net/stock-research/company/16/20260805_company_575658000.pdf","PDF")</f>
        <v>PDF</v>
      </c>
      <c r="K571" s="12" t="s">
        <v>35198</v>
      </c>
      <c r="L571" s="36">
        <v>0.20068610634648371</v>
      </c>
    </row>
    <row r="572" spans="1:12" x14ac:dyDescent="0.45">
      <c r="A572" s="12" t="s">
        <v>34708</v>
      </c>
      <c r="B572" s="12" t="s">
        <v>1350</v>
      </c>
      <c r="C572" s="13" t="s">
        <v>1351</v>
      </c>
      <c r="D572" s="13" t="s">
        <v>276</v>
      </c>
      <c r="E572" s="12" t="s">
        <v>16</v>
      </c>
      <c r="F572" s="14">
        <v>33000</v>
      </c>
      <c r="G572" s="14">
        <v>21850</v>
      </c>
      <c r="H572" s="13" t="s">
        <v>35199</v>
      </c>
      <c r="I572" s="40" t="s">
        <v>18</v>
      </c>
      <c r="J572" s="40" t="str">
        <f>HYPERLINK("https://stock.pstatic.net/stock-research/company/66/20260805_company_512067000.pdf","PDF")</f>
        <v>PDF</v>
      </c>
      <c r="K572" s="12" t="s">
        <v>35200</v>
      </c>
      <c r="L572" s="36">
        <v>0.51029748283752863</v>
      </c>
    </row>
    <row r="573" spans="1:12" x14ac:dyDescent="0.45">
      <c r="A573" s="12" t="s">
        <v>34708</v>
      </c>
      <c r="B573" s="12" t="s">
        <v>102</v>
      </c>
      <c r="C573" s="13" t="s">
        <v>103</v>
      </c>
      <c r="D573" s="13" t="s">
        <v>276</v>
      </c>
      <c r="E573" s="12" t="s">
        <v>16</v>
      </c>
      <c r="F573" s="14">
        <v>37000</v>
      </c>
      <c r="G573" s="14">
        <v>15200</v>
      </c>
      <c r="H573" s="13" t="s">
        <v>35201</v>
      </c>
      <c r="I573" s="40" t="s">
        <v>18</v>
      </c>
      <c r="J573" s="40" t="str">
        <f>HYPERLINK("https://stock.pstatic.net/stock-research/company/66/20260805_company_508822000.pdf","PDF")</f>
        <v>PDF</v>
      </c>
      <c r="K573" s="12" t="s">
        <v>35202</v>
      </c>
      <c r="L573" s="36">
        <v>1.4342105263157889</v>
      </c>
    </row>
    <row r="574" spans="1:12" x14ac:dyDescent="0.45">
      <c r="A574" s="12" t="s">
        <v>34708</v>
      </c>
      <c r="B574" s="12" t="s">
        <v>102</v>
      </c>
      <c r="C574" s="13" t="s">
        <v>103</v>
      </c>
      <c r="D574" s="13" t="s">
        <v>60</v>
      </c>
      <c r="E574" s="12" t="s">
        <v>35</v>
      </c>
      <c r="F574" s="14">
        <v>24000</v>
      </c>
      <c r="G574" s="14">
        <v>15200</v>
      </c>
      <c r="H574" s="13" t="s">
        <v>35203</v>
      </c>
      <c r="I574" s="40" t="s">
        <v>18</v>
      </c>
      <c r="J574" s="40" t="str">
        <f>HYPERLINK("https://stock.pstatic.net/stock-research/company/62/20260805_company_182455000.pdf","PDF")</f>
        <v>PDF</v>
      </c>
      <c r="K574" s="12" t="s">
        <v>35204</v>
      </c>
      <c r="L574" s="36">
        <v>0.57894736842105265</v>
      </c>
    </row>
    <row r="575" spans="1:12" x14ac:dyDescent="0.45">
      <c r="A575" s="12" t="s">
        <v>34708</v>
      </c>
      <c r="B575" s="12" t="s">
        <v>2662</v>
      </c>
      <c r="C575" s="13" t="s">
        <v>2663</v>
      </c>
      <c r="D575" s="13" t="s">
        <v>60</v>
      </c>
      <c r="E575" s="12" t="s">
        <v>50</v>
      </c>
      <c r="F575" s="14">
        <v>58000</v>
      </c>
      <c r="G575" s="14">
        <v>43800</v>
      </c>
      <c r="H575" s="13" t="s">
        <v>35205</v>
      </c>
      <c r="I575" s="40" t="s">
        <v>18</v>
      </c>
      <c r="J575" s="40" t="str">
        <f>HYPERLINK("https://stock.pstatic.net/stock-research/company/62/20260805_company_635317000.pdf","PDF")</f>
        <v>PDF</v>
      </c>
      <c r="K575" s="12" t="s">
        <v>35206</v>
      </c>
      <c r="L575" s="36">
        <v>0.32420091324200911</v>
      </c>
    </row>
    <row r="576" spans="1:12" x14ac:dyDescent="0.45">
      <c r="A576" s="12" t="s">
        <v>34708</v>
      </c>
      <c r="B576" s="12" t="s">
        <v>1270</v>
      </c>
      <c r="C576" s="13" t="s">
        <v>1271</v>
      </c>
      <c r="D576" s="13" t="s">
        <v>60</v>
      </c>
      <c r="E576" s="12" t="s">
        <v>35</v>
      </c>
      <c r="F576" s="14">
        <v>155000</v>
      </c>
      <c r="G576" s="14">
        <v>98600</v>
      </c>
      <c r="H576" s="13" t="s">
        <v>35207</v>
      </c>
      <c r="I576" s="40" t="s">
        <v>18</v>
      </c>
      <c r="J576" s="40" t="str">
        <f>HYPERLINK("https://stock.pstatic.net/stock-research/company/62/20260805_company_974565000.pdf","PDF")</f>
        <v>PDF</v>
      </c>
      <c r="K576" s="12" t="s">
        <v>35208</v>
      </c>
      <c r="L576" s="36">
        <v>0.57200811359026371</v>
      </c>
    </row>
    <row r="577" spans="1:12" x14ac:dyDescent="0.45">
      <c r="A577" s="12" t="s">
        <v>34708</v>
      </c>
      <c r="B577" s="12" t="s">
        <v>1445</v>
      </c>
      <c r="C577" s="13" t="s">
        <v>1446</v>
      </c>
      <c r="D577" s="13" t="s">
        <v>60</v>
      </c>
      <c r="E577" s="12" t="s">
        <v>50</v>
      </c>
      <c r="F577" s="13"/>
      <c r="G577" s="14">
        <v>26400</v>
      </c>
      <c r="H577" s="13" t="s">
        <v>35209</v>
      </c>
      <c r="I577" s="40" t="s">
        <v>18</v>
      </c>
      <c r="J577" s="40" t="str">
        <f>HYPERLINK("https://stock.pstatic.net/stock-research/company/62/20260805_company_899217000.pdf","PDF")</f>
        <v>PDF</v>
      </c>
      <c r="K577" s="12" t="s">
        <v>35210</v>
      </c>
      <c r="L577" s="12"/>
    </row>
    <row r="578" spans="1:12" x14ac:dyDescent="0.45">
      <c r="A578" s="12" t="s">
        <v>34708</v>
      </c>
      <c r="B578" s="12" t="s">
        <v>3204</v>
      </c>
      <c r="C578" s="13" t="s">
        <v>3205</v>
      </c>
      <c r="D578" s="13" t="s">
        <v>60</v>
      </c>
      <c r="E578" s="12" t="s">
        <v>35</v>
      </c>
      <c r="F578" s="14">
        <v>24000</v>
      </c>
      <c r="G578" s="14">
        <v>15200</v>
      </c>
      <c r="H578" s="13" t="s">
        <v>35211</v>
      </c>
      <c r="I578" s="40" t="s">
        <v>18</v>
      </c>
      <c r="J578" s="40" t="str">
        <f>HYPERLINK("https://stock.pstatic.net/stock-research/company/62/20260805_company_841140000.pdf","PDF")</f>
        <v>PDF</v>
      </c>
      <c r="K578" s="12" t="s">
        <v>35212</v>
      </c>
      <c r="L578" s="36">
        <v>0.57894736842105265</v>
      </c>
    </row>
    <row r="579" spans="1:12" x14ac:dyDescent="0.45">
      <c r="A579" s="12" t="s">
        <v>34708</v>
      </c>
      <c r="B579" s="12" t="s">
        <v>2382</v>
      </c>
      <c r="C579" s="13" t="s">
        <v>2383</v>
      </c>
      <c r="D579" s="13" t="s">
        <v>65</v>
      </c>
      <c r="E579" s="12" t="s">
        <v>35</v>
      </c>
      <c r="F579" s="14">
        <v>67000</v>
      </c>
      <c r="G579" s="14">
        <v>40250</v>
      </c>
      <c r="H579" s="13" t="s">
        <v>35213</v>
      </c>
      <c r="I579" s="40" t="s">
        <v>18</v>
      </c>
      <c r="J579" s="40" t="str">
        <f>HYPERLINK("https://stock.pstatic.net/stock-research/company/57/20260805_company_821063000.pdf","PDF")</f>
        <v>PDF</v>
      </c>
      <c r="K579" s="12" t="s">
        <v>35214</v>
      </c>
      <c r="L579" s="36">
        <v>0.6645962732919255</v>
      </c>
    </row>
    <row r="580" spans="1:12" x14ac:dyDescent="0.45">
      <c r="A580" s="12" t="s">
        <v>34708</v>
      </c>
      <c r="B580" s="12" t="s">
        <v>3018</v>
      </c>
      <c r="C580" s="13" t="s">
        <v>3019</v>
      </c>
      <c r="D580" s="13" t="s">
        <v>65</v>
      </c>
      <c r="E580" s="12" t="s">
        <v>35</v>
      </c>
      <c r="F580" s="14">
        <v>19000</v>
      </c>
      <c r="G580" s="14">
        <v>14500</v>
      </c>
      <c r="H580" s="13" t="s">
        <v>35215</v>
      </c>
      <c r="I580" s="40" t="s">
        <v>18</v>
      </c>
      <c r="J580" s="40" t="str">
        <f>HYPERLINK("https://stock.pstatic.net/stock-research/company/57/20260805_company_590945000.pdf","PDF")</f>
        <v>PDF</v>
      </c>
      <c r="K580" s="12" t="s">
        <v>35216</v>
      </c>
      <c r="L580" s="36">
        <v>0.31034482758620691</v>
      </c>
    </row>
    <row r="581" spans="1:12" x14ac:dyDescent="0.45">
      <c r="A581" s="12" t="s">
        <v>34708</v>
      </c>
      <c r="B581" s="12" t="s">
        <v>1270</v>
      </c>
      <c r="C581" s="13" t="s">
        <v>1271</v>
      </c>
      <c r="D581" s="13" t="s">
        <v>65</v>
      </c>
      <c r="E581" s="12" t="s">
        <v>35</v>
      </c>
      <c r="F581" s="14">
        <v>175000</v>
      </c>
      <c r="G581" s="14">
        <v>98600</v>
      </c>
      <c r="H581" s="13" t="s">
        <v>35217</v>
      </c>
      <c r="I581" s="40" t="s">
        <v>18</v>
      </c>
      <c r="J581" s="40" t="str">
        <f>HYPERLINK("https://stock.pstatic.net/stock-research/company/57/20260805_company_815922000.pdf","PDF")</f>
        <v>PDF</v>
      </c>
      <c r="K581" s="12" t="s">
        <v>35218</v>
      </c>
      <c r="L581" s="36">
        <v>0.77484787018255574</v>
      </c>
    </row>
    <row r="582" spans="1:12" x14ac:dyDescent="0.45">
      <c r="A582" s="12" t="s">
        <v>34708</v>
      </c>
      <c r="B582" s="12" t="s">
        <v>1270</v>
      </c>
      <c r="C582" s="13" t="s">
        <v>1271</v>
      </c>
      <c r="D582" s="13" t="s">
        <v>65</v>
      </c>
      <c r="E582" s="12" t="s">
        <v>35</v>
      </c>
      <c r="F582" s="14">
        <v>175000</v>
      </c>
      <c r="G582" s="14">
        <v>98600</v>
      </c>
      <c r="H582" s="13" t="s">
        <v>34521</v>
      </c>
      <c r="I582" s="40" t="s">
        <v>18</v>
      </c>
      <c r="J582" s="40" t="str">
        <f>HYPERLINK("https://stock.pstatic.net/stock-research/company/57/20260805_company_386627000.pdf","PDF")</f>
        <v>PDF</v>
      </c>
      <c r="K582" s="12" t="s">
        <v>35219</v>
      </c>
      <c r="L582" s="36">
        <v>0.77484787018255574</v>
      </c>
    </row>
    <row r="583" spans="1:12" x14ac:dyDescent="0.45">
      <c r="A583" s="12" t="s">
        <v>34708</v>
      </c>
      <c r="B583" s="12" t="s">
        <v>1009</v>
      </c>
      <c r="C583" s="13" t="s">
        <v>1010</v>
      </c>
      <c r="D583" s="13" t="s">
        <v>65</v>
      </c>
      <c r="E583" s="12" t="s">
        <v>35</v>
      </c>
      <c r="F583" s="14">
        <v>220000</v>
      </c>
      <c r="G583" s="14">
        <v>109900</v>
      </c>
      <c r="H583" s="13" t="s">
        <v>35220</v>
      </c>
      <c r="I583" s="40" t="s">
        <v>18</v>
      </c>
      <c r="J583" s="40" t="str">
        <f>HYPERLINK("https://stock.pstatic.net/stock-research/company/57/20260805_company_35306000.pdf","PDF")</f>
        <v>PDF</v>
      </c>
      <c r="K583" s="12" t="s">
        <v>35221</v>
      </c>
      <c r="L583" s="36">
        <v>1.001819836214741</v>
      </c>
    </row>
    <row r="584" spans="1:12" x14ac:dyDescent="0.45">
      <c r="A584" s="12" t="s">
        <v>34708</v>
      </c>
      <c r="B584" s="12" t="s">
        <v>3204</v>
      </c>
      <c r="C584" s="13" t="s">
        <v>3205</v>
      </c>
      <c r="D584" s="13" t="s">
        <v>65</v>
      </c>
      <c r="E584" s="12" t="s">
        <v>35</v>
      </c>
      <c r="F584" s="14">
        <v>20000</v>
      </c>
      <c r="G584" s="14">
        <v>15200</v>
      </c>
      <c r="H584" s="13" t="s">
        <v>35222</v>
      </c>
      <c r="I584" s="40" t="s">
        <v>18</v>
      </c>
      <c r="J584" s="40" t="str">
        <f>HYPERLINK("https://stock.pstatic.net/stock-research/company/57/20260805_company_516392000.pdf","PDF")</f>
        <v>PDF</v>
      </c>
      <c r="K584" s="12" t="s">
        <v>35223</v>
      </c>
      <c r="L584" s="36">
        <v>0.31578947368421051</v>
      </c>
    </row>
    <row r="585" spans="1:12" x14ac:dyDescent="0.45">
      <c r="A585" s="12" t="s">
        <v>34708</v>
      </c>
      <c r="B585" s="12" t="s">
        <v>2688</v>
      </c>
      <c r="C585" s="13" t="s">
        <v>2689</v>
      </c>
      <c r="D585" s="13" t="s">
        <v>158</v>
      </c>
      <c r="E585" s="12" t="s">
        <v>35</v>
      </c>
      <c r="F585" s="14">
        <v>90000</v>
      </c>
      <c r="G585" s="14">
        <v>72300</v>
      </c>
      <c r="H585" s="13" t="s">
        <v>35224</v>
      </c>
      <c r="I585" s="40" t="s">
        <v>18</v>
      </c>
      <c r="J585" s="40" t="str">
        <f>HYPERLINK("https://stock.pstatic.net/stock-research/company/18/20260805_company_660578000.pdf","PDF")</f>
        <v>PDF</v>
      </c>
      <c r="K585" s="12" t="s">
        <v>35225</v>
      </c>
      <c r="L585" s="36">
        <v>0.24481327800829869</v>
      </c>
    </row>
    <row r="586" spans="1:12" x14ac:dyDescent="0.45">
      <c r="A586" s="12" t="s">
        <v>34708</v>
      </c>
      <c r="B586" s="12" t="s">
        <v>3204</v>
      </c>
      <c r="C586" s="13" t="s">
        <v>3205</v>
      </c>
      <c r="D586" s="13" t="s">
        <v>15</v>
      </c>
      <c r="E586" s="12" t="s">
        <v>16</v>
      </c>
      <c r="F586" s="14">
        <v>24000</v>
      </c>
      <c r="G586" s="14">
        <v>15200</v>
      </c>
      <c r="H586" s="13" t="s">
        <v>35226</v>
      </c>
      <c r="I586" s="40" t="s">
        <v>18</v>
      </c>
      <c r="J586" s="40" t="str">
        <f>HYPERLINK("https://stock.pstatic.net/stock-research/company/56/20260805_company_306959000.pdf","PDF")</f>
        <v>PDF</v>
      </c>
      <c r="K586" s="12" t="s">
        <v>35227</v>
      </c>
      <c r="L586" s="36">
        <v>0.57894736842105265</v>
      </c>
    </row>
    <row r="587" spans="1:12" x14ac:dyDescent="0.45">
      <c r="A587" s="12" t="s">
        <v>34708</v>
      </c>
      <c r="B587" s="12" t="s">
        <v>3204</v>
      </c>
      <c r="C587" s="13" t="s">
        <v>3205</v>
      </c>
      <c r="D587" s="13" t="s">
        <v>83</v>
      </c>
      <c r="E587" s="12" t="s">
        <v>35</v>
      </c>
      <c r="F587" s="14">
        <v>22000</v>
      </c>
      <c r="G587" s="14">
        <v>15200</v>
      </c>
      <c r="H587" s="13" t="s">
        <v>35228</v>
      </c>
      <c r="I587" s="40" t="s">
        <v>18</v>
      </c>
      <c r="J587" s="40" t="str">
        <f>HYPERLINK("https://stock.pstatic.net/stock-research/company/15/20260805_company_24138000.pdf","PDF")</f>
        <v>PDF</v>
      </c>
      <c r="K587" s="12" t="s">
        <v>35229</v>
      </c>
      <c r="L587" s="36">
        <v>0.44736842105263158</v>
      </c>
    </row>
    <row r="588" spans="1:12" x14ac:dyDescent="0.45">
      <c r="A588" s="12" t="s">
        <v>34708</v>
      </c>
      <c r="B588" s="12" t="s">
        <v>2795</v>
      </c>
      <c r="C588" s="13" t="s">
        <v>2796</v>
      </c>
      <c r="D588" s="13" t="s">
        <v>83</v>
      </c>
      <c r="E588" s="12" t="s">
        <v>35</v>
      </c>
      <c r="F588" s="14">
        <v>8000</v>
      </c>
      <c r="G588" s="14">
        <v>5640</v>
      </c>
      <c r="H588" s="13" t="s">
        <v>35230</v>
      </c>
      <c r="I588" s="40" t="s">
        <v>18</v>
      </c>
      <c r="J588" s="40" t="str">
        <f>HYPERLINK("https://stock.pstatic.net/stock-research/company/15/20260805_company_283948000.pdf","PDF")</f>
        <v>PDF</v>
      </c>
      <c r="K588" s="12" t="s">
        <v>35231</v>
      </c>
      <c r="L588" s="36">
        <v>0.41843971631205668</v>
      </c>
    </row>
    <row r="589" spans="1:12" x14ac:dyDescent="0.45">
      <c r="A589" s="12" t="s">
        <v>34708</v>
      </c>
      <c r="B589" s="12" t="s">
        <v>2488</v>
      </c>
      <c r="C589" s="13" t="s">
        <v>2489</v>
      </c>
      <c r="D589" s="13" t="s">
        <v>83</v>
      </c>
      <c r="E589" s="12" t="s">
        <v>50</v>
      </c>
      <c r="F589" s="13"/>
      <c r="G589" s="14">
        <v>52600</v>
      </c>
      <c r="H589" s="13" t="s">
        <v>35232</v>
      </c>
      <c r="I589" s="40" t="s">
        <v>18</v>
      </c>
      <c r="J589" s="40" t="str">
        <f>HYPERLINK("https://stock.pstatic.net/stock-research/company/15/20260805_company_653577000.pdf","PDF")</f>
        <v>PDF</v>
      </c>
      <c r="K589" s="12" t="s">
        <v>35233</v>
      </c>
      <c r="L589" s="12"/>
    </row>
    <row r="590" spans="1:12" x14ac:dyDescent="0.45">
      <c r="A590" s="12" t="s">
        <v>34708</v>
      </c>
      <c r="B590" s="12" t="s">
        <v>2873</v>
      </c>
      <c r="C590" s="13" t="s">
        <v>2874</v>
      </c>
      <c r="D590" s="13" t="s">
        <v>83</v>
      </c>
      <c r="E590" s="12" t="s">
        <v>35</v>
      </c>
      <c r="F590" s="14">
        <v>200000</v>
      </c>
      <c r="G590" s="14">
        <v>148300</v>
      </c>
      <c r="H590" s="13" t="s">
        <v>35234</v>
      </c>
      <c r="I590" s="40" t="s">
        <v>18</v>
      </c>
      <c r="J590" s="40" t="str">
        <f>HYPERLINK("https://stock.pstatic.net/stock-research/company/15/20260805_company_954791000.pdf","PDF")</f>
        <v>PDF</v>
      </c>
      <c r="K590" s="12" t="s">
        <v>35235</v>
      </c>
      <c r="L590" s="36">
        <v>0.34861766689143631</v>
      </c>
    </row>
    <row r="591" spans="1:12" x14ac:dyDescent="0.45">
      <c r="A591" s="12" t="s">
        <v>34708</v>
      </c>
      <c r="B591" s="12" t="s">
        <v>2378</v>
      </c>
      <c r="C591" s="13" t="s">
        <v>2379</v>
      </c>
      <c r="D591" s="13" t="s">
        <v>83</v>
      </c>
      <c r="E591" s="12" t="s">
        <v>35</v>
      </c>
      <c r="F591" s="14">
        <v>550000</v>
      </c>
      <c r="G591" s="14">
        <v>328000</v>
      </c>
      <c r="H591" s="13" t="s">
        <v>35236</v>
      </c>
      <c r="I591" s="40" t="s">
        <v>18</v>
      </c>
      <c r="J591" s="40" t="str">
        <f>HYPERLINK("https://stock.pstatic.net/stock-research/company/15/20260805_company_890085000.pdf","PDF")</f>
        <v>PDF</v>
      </c>
      <c r="K591" s="12" t="s">
        <v>35237</v>
      </c>
      <c r="L591" s="36">
        <v>0.67682926829268297</v>
      </c>
    </row>
    <row r="592" spans="1:12" x14ac:dyDescent="0.45">
      <c r="A592" s="12" t="s">
        <v>34708</v>
      </c>
      <c r="B592" s="12" t="s">
        <v>3018</v>
      </c>
      <c r="C592" s="13" t="s">
        <v>3019</v>
      </c>
      <c r="D592" s="13" t="s">
        <v>92</v>
      </c>
      <c r="E592" s="12" t="s">
        <v>35</v>
      </c>
      <c r="F592" s="14">
        <v>20000</v>
      </c>
      <c r="G592" s="14">
        <v>14500</v>
      </c>
      <c r="H592" s="13" t="s">
        <v>35238</v>
      </c>
      <c r="I592" s="40" t="s">
        <v>18</v>
      </c>
      <c r="J592" s="40" t="str">
        <f>HYPERLINK("https://stock.pstatic.net/stock-research/company/63/20260805_company_771474000.pdf","PDF")</f>
        <v>PDF</v>
      </c>
      <c r="K592" s="12" t="s">
        <v>35239</v>
      </c>
      <c r="L592" s="36">
        <v>0.37931034482758619</v>
      </c>
    </row>
    <row r="593" spans="1:12" x14ac:dyDescent="0.45">
      <c r="A593" s="12" t="s">
        <v>34708</v>
      </c>
      <c r="B593" s="12" t="s">
        <v>1270</v>
      </c>
      <c r="C593" s="13" t="s">
        <v>1271</v>
      </c>
      <c r="D593" s="13" t="s">
        <v>23</v>
      </c>
      <c r="E593" s="12" t="s">
        <v>16</v>
      </c>
      <c r="F593" s="14">
        <v>130000</v>
      </c>
      <c r="G593" s="14">
        <v>98600</v>
      </c>
      <c r="H593" s="13" t="s">
        <v>35240</v>
      </c>
      <c r="I593" s="40" t="s">
        <v>18</v>
      </c>
      <c r="J593" s="40" t="str">
        <f>HYPERLINK("https://stock.pstatic.net/stock-research/company/21/20260805_company_178699000.pdf","PDF")</f>
        <v>PDF</v>
      </c>
      <c r="K593" s="12" t="s">
        <v>35241</v>
      </c>
      <c r="L593" s="36">
        <v>0.31845841784989859</v>
      </c>
    </row>
    <row r="594" spans="1:12" x14ac:dyDescent="0.45">
      <c r="A594" s="12" t="s">
        <v>34708</v>
      </c>
      <c r="B594" s="12" t="s">
        <v>2662</v>
      </c>
      <c r="C594" s="13" t="s">
        <v>2663</v>
      </c>
      <c r="D594" s="13" t="s">
        <v>23</v>
      </c>
      <c r="E594" s="12" t="s">
        <v>385</v>
      </c>
      <c r="F594" s="13"/>
      <c r="G594" s="14">
        <v>43800</v>
      </c>
      <c r="H594" s="13" t="s">
        <v>35242</v>
      </c>
      <c r="I594" s="40" t="s">
        <v>18</v>
      </c>
      <c r="J594" s="40" t="str">
        <f>HYPERLINK("https://stock.pstatic.net/stock-research/company/21/20260805_company_538792000.pdf","PDF")</f>
        <v>PDF</v>
      </c>
      <c r="K594" s="12" t="s">
        <v>35243</v>
      </c>
      <c r="L594" s="12"/>
    </row>
    <row r="595" spans="1:12" x14ac:dyDescent="0.45">
      <c r="A595" s="12" t="s">
        <v>34708</v>
      </c>
      <c r="B595" s="12" t="s">
        <v>3204</v>
      </c>
      <c r="C595" s="13" t="s">
        <v>3205</v>
      </c>
      <c r="D595" s="13" t="s">
        <v>92</v>
      </c>
      <c r="E595" s="12" t="s">
        <v>35</v>
      </c>
      <c r="F595" s="14">
        <v>24000</v>
      </c>
      <c r="G595" s="14">
        <v>15200</v>
      </c>
      <c r="H595" s="13" t="s">
        <v>35244</v>
      </c>
      <c r="I595" s="40" t="s">
        <v>18</v>
      </c>
      <c r="J595" s="40" t="str">
        <f>HYPERLINK("https://stock.pstatic.net/stock-research/company/63/20260805_company_273826000.pdf","PDF")</f>
        <v>PDF</v>
      </c>
      <c r="K595" s="12" t="s">
        <v>35245</v>
      </c>
      <c r="L595" s="36">
        <v>0.57894736842105265</v>
      </c>
    </row>
    <row r="596" spans="1:12" x14ac:dyDescent="0.45">
      <c r="A596" s="12" t="s">
        <v>34708</v>
      </c>
      <c r="B596" s="12" t="s">
        <v>414</v>
      </c>
      <c r="C596" s="13" t="s">
        <v>415</v>
      </c>
      <c r="D596" s="13" t="s">
        <v>92</v>
      </c>
      <c r="E596" s="12" t="s">
        <v>50</v>
      </c>
      <c r="F596" s="13"/>
      <c r="G596" s="14">
        <v>14580</v>
      </c>
      <c r="H596" s="13" t="s">
        <v>35246</v>
      </c>
      <c r="I596" s="40" t="s">
        <v>18</v>
      </c>
      <c r="J596" s="40" t="str">
        <f>HYPERLINK("https://stock.pstatic.net/stock-research/company/63/20260805_company_227470000.pdf","PDF")</f>
        <v>PDF</v>
      </c>
      <c r="K596" s="12" t="s">
        <v>35247</v>
      </c>
      <c r="L596" s="12"/>
    </row>
    <row r="597" spans="1:12" x14ac:dyDescent="0.45">
      <c r="A597" s="12" t="s">
        <v>34708</v>
      </c>
      <c r="B597" s="12" t="s">
        <v>3365</v>
      </c>
      <c r="C597" s="13" t="s">
        <v>3366</v>
      </c>
      <c r="D597" s="13" t="s">
        <v>179</v>
      </c>
      <c r="E597" s="12" t="s">
        <v>16</v>
      </c>
      <c r="F597" s="14">
        <v>104000</v>
      </c>
      <c r="G597" s="14">
        <v>78100</v>
      </c>
      <c r="H597" s="13" t="s">
        <v>35248</v>
      </c>
      <c r="I597" s="40" t="s">
        <v>18</v>
      </c>
      <c r="J597" s="40" t="str">
        <f>HYPERLINK("https://stock.pstatic.net/stock-research/company/64/20260805_company_909208000.pdf","PDF")</f>
        <v>PDF</v>
      </c>
      <c r="K597" s="12" t="s">
        <v>35249</v>
      </c>
      <c r="L597" s="36">
        <v>0.33162612035851469</v>
      </c>
    </row>
    <row r="598" spans="1:12" x14ac:dyDescent="0.45">
      <c r="A598" s="12" t="s">
        <v>34708</v>
      </c>
      <c r="B598" s="12" t="s">
        <v>1350</v>
      </c>
      <c r="C598" s="13" t="s">
        <v>1351</v>
      </c>
      <c r="D598" s="13" t="s">
        <v>34</v>
      </c>
      <c r="E598" s="12" t="s">
        <v>35</v>
      </c>
      <c r="F598" s="14">
        <v>32000</v>
      </c>
      <c r="G598" s="14">
        <v>21850</v>
      </c>
      <c r="H598" s="13" t="s">
        <v>35250</v>
      </c>
      <c r="I598" s="40" t="s">
        <v>18</v>
      </c>
      <c r="J598" s="40" t="str">
        <f>HYPERLINK("https://stock.pstatic.net/stock-research/company/61/20260805_company_165602000.pdf","PDF")</f>
        <v>PDF</v>
      </c>
      <c r="K598" s="12" t="s">
        <v>35251</v>
      </c>
      <c r="L598" s="36">
        <v>0.46453089244851259</v>
      </c>
    </row>
    <row r="599" spans="1:12" x14ac:dyDescent="0.45">
      <c r="A599" s="12" t="s">
        <v>34708</v>
      </c>
      <c r="B599" s="12" t="s">
        <v>3204</v>
      </c>
      <c r="C599" s="13" t="s">
        <v>3205</v>
      </c>
      <c r="D599" s="13" t="s">
        <v>34</v>
      </c>
      <c r="E599" s="12" t="s">
        <v>35</v>
      </c>
      <c r="F599" s="14">
        <v>18500</v>
      </c>
      <c r="G599" s="14">
        <v>15200</v>
      </c>
      <c r="H599" s="13" t="s">
        <v>35252</v>
      </c>
      <c r="I599" s="40" t="s">
        <v>18</v>
      </c>
      <c r="J599" s="40" t="str">
        <f>HYPERLINK("https://stock.pstatic.net/stock-research/company/61/20260805_company_700240000.pdf","PDF")</f>
        <v>PDF</v>
      </c>
      <c r="K599" s="12" t="s">
        <v>35253</v>
      </c>
      <c r="L599" s="36">
        <v>0.21710526315789469</v>
      </c>
    </row>
    <row r="600" spans="1:12" x14ac:dyDescent="0.45">
      <c r="A600" s="12" t="s">
        <v>34708</v>
      </c>
      <c r="B600" s="12" t="s">
        <v>1270</v>
      </c>
      <c r="C600" s="13" t="s">
        <v>1271</v>
      </c>
      <c r="D600" s="13" t="s">
        <v>34</v>
      </c>
      <c r="E600" s="12" t="s">
        <v>35</v>
      </c>
      <c r="F600" s="14">
        <v>130000</v>
      </c>
      <c r="G600" s="14">
        <v>98600</v>
      </c>
      <c r="H600" s="13" t="s">
        <v>35254</v>
      </c>
      <c r="I600" s="40" t="s">
        <v>18</v>
      </c>
      <c r="J600" s="40" t="str">
        <f>HYPERLINK("https://stock.pstatic.net/stock-research/company/61/20260805_company_936608000.pdf","PDF")</f>
        <v>PDF</v>
      </c>
      <c r="K600" s="12" t="s">
        <v>35255</v>
      </c>
      <c r="L600" s="36">
        <v>0.31845841784989859</v>
      </c>
    </row>
    <row r="601" spans="1:12" x14ac:dyDescent="0.45">
      <c r="A601" s="12" t="s">
        <v>34708</v>
      </c>
      <c r="B601" s="12" t="s">
        <v>102</v>
      </c>
      <c r="C601" s="13" t="s">
        <v>103</v>
      </c>
      <c r="D601" s="13" t="s">
        <v>34</v>
      </c>
      <c r="E601" s="12" t="s">
        <v>35</v>
      </c>
      <c r="F601" s="14">
        <v>28000</v>
      </c>
      <c r="G601" s="14">
        <v>15200</v>
      </c>
      <c r="H601" s="13" t="s">
        <v>35256</v>
      </c>
      <c r="I601" s="40" t="s">
        <v>18</v>
      </c>
      <c r="J601" s="40" t="str">
        <f>HYPERLINK("https://stock.pstatic.net/stock-research/company/61/20260805_company_578944000.pdf","PDF")</f>
        <v>PDF</v>
      </c>
      <c r="K601" s="12" t="s">
        <v>35257</v>
      </c>
      <c r="L601" s="36">
        <v>0.84210526315789469</v>
      </c>
    </row>
    <row r="602" spans="1:12" x14ac:dyDescent="0.45">
      <c r="A602" s="12" t="s">
        <v>34708</v>
      </c>
      <c r="B602" s="12" t="s">
        <v>398</v>
      </c>
      <c r="C602" s="13" t="s">
        <v>399</v>
      </c>
      <c r="D602" s="13" t="s">
        <v>179</v>
      </c>
      <c r="E602" s="12" t="s">
        <v>16</v>
      </c>
      <c r="F602" s="14">
        <v>300000</v>
      </c>
      <c r="G602" s="14">
        <v>142800</v>
      </c>
      <c r="H602" s="13" t="s">
        <v>35258</v>
      </c>
      <c r="I602" s="40" t="s">
        <v>18</v>
      </c>
      <c r="J602" s="40" t="str">
        <f>HYPERLINK("https://stock.pstatic.net/stock-research/company/64/20260805_company_346742000.pdf","PDF")</f>
        <v>PDF</v>
      </c>
      <c r="K602" s="12" t="s">
        <v>35259</v>
      </c>
      <c r="L602" s="36">
        <v>1.1008403361344541</v>
      </c>
    </row>
    <row r="603" spans="1:12" x14ac:dyDescent="0.45">
      <c r="A603" s="12" t="s">
        <v>34708</v>
      </c>
      <c r="B603" s="12" t="s">
        <v>366</v>
      </c>
      <c r="C603" s="13" t="s">
        <v>367</v>
      </c>
      <c r="D603" s="13" t="s">
        <v>34</v>
      </c>
      <c r="E603" s="12" t="s">
        <v>35</v>
      </c>
      <c r="F603" s="14">
        <v>25000</v>
      </c>
      <c r="G603" s="14">
        <v>16470</v>
      </c>
      <c r="H603" s="13" t="s">
        <v>35260</v>
      </c>
      <c r="I603" s="40" t="s">
        <v>18</v>
      </c>
      <c r="J603" s="40" t="str">
        <f>HYPERLINK("https://stock.pstatic.net/stock-research/company/61/20260805_company_590860000.pdf","PDF")</f>
        <v>PDF</v>
      </c>
      <c r="K603" s="12" t="s">
        <v>35261</v>
      </c>
      <c r="L603" s="36">
        <v>0.51791135397692778</v>
      </c>
    </row>
    <row r="604" spans="1:12" x14ac:dyDescent="0.45">
      <c r="A604" s="12" t="s">
        <v>34708</v>
      </c>
      <c r="B604" s="12" t="s">
        <v>752</v>
      </c>
      <c r="C604" s="13" t="s">
        <v>753</v>
      </c>
      <c r="D604" s="13" t="s">
        <v>53</v>
      </c>
      <c r="E604" s="12" t="s">
        <v>16</v>
      </c>
      <c r="F604" s="14">
        <v>180000</v>
      </c>
      <c r="G604" s="14">
        <v>131500</v>
      </c>
      <c r="H604" s="13" t="s">
        <v>34709</v>
      </c>
      <c r="I604" s="40" t="s">
        <v>18</v>
      </c>
      <c r="J604" s="40" t="str">
        <f>HYPERLINK("https://stock.pstatic.net/stock-research/company/40/20260805_company_999212000.pdf","PDF")</f>
        <v>PDF</v>
      </c>
      <c r="K604" s="12" t="s">
        <v>34710</v>
      </c>
      <c r="L604" s="36">
        <v>0.36882129277566539</v>
      </c>
    </row>
    <row r="605" spans="1:12" x14ac:dyDescent="0.45">
      <c r="A605" s="12" t="s">
        <v>34708</v>
      </c>
      <c r="B605" s="12" t="s">
        <v>1270</v>
      </c>
      <c r="C605" s="13" t="s">
        <v>1271</v>
      </c>
      <c r="D605" s="13" t="s">
        <v>179</v>
      </c>
      <c r="E605" s="12" t="s">
        <v>16</v>
      </c>
      <c r="F605" s="14">
        <v>158000</v>
      </c>
      <c r="G605" s="14">
        <v>98600</v>
      </c>
      <c r="H605" s="13" t="s">
        <v>34711</v>
      </c>
      <c r="I605" s="40" t="s">
        <v>18</v>
      </c>
      <c r="J605" s="40" t="str">
        <f>HYPERLINK("https://stock.pstatic.net/stock-research/company/64/20260805_company_90550000.pdf","PDF")</f>
        <v>PDF</v>
      </c>
      <c r="K605" s="12" t="s">
        <v>34712</v>
      </c>
      <c r="L605" s="36">
        <v>0.60243407707910746</v>
      </c>
    </row>
    <row r="606" spans="1:12" x14ac:dyDescent="0.45">
      <c r="A606" s="12" t="s">
        <v>34708</v>
      </c>
      <c r="B606" s="12" t="s">
        <v>3204</v>
      </c>
      <c r="C606" s="13" t="s">
        <v>3205</v>
      </c>
      <c r="D606" s="13" t="s">
        <v>53</v>
      </c>
      <c r="E606" s="12" t="s">
        <v>16</v>
      </c>
      <c r="F606" s="14">
        <v>31000</v>
      </c>
      <c r="G606" s="14">
        <v>15200</v>
      </c>
      <c r="H606" s="13" t="s">
        <v>34713</v>
      </c>
      <c r="I606" s="40" t="s">
        <v>18</v>
      </c>
      <c r="J606" s="40" t="str">
        <f>HYPERLINK("https://stock.pstatic.net/stock-research/company/40/20260805_company_339845000.pdf","PDF")</f>
        <v>PDF</v>
      </c>
      <c r="K606" s="12" t="s">
        <v>34714</v>
      </c>
      <c r="L606" s="36">
        <v>1.0394736842105261</v>
      </c>
    </row>
    <row r="607" spans="1:12" x14ac:dyDescent="0.45">
      <c r="A607" s="12" t="s">
        <v>34708</v>
      </c>
      <c r="B607" s="12" t="s">
        <v>32223</v>
      </c>
      <c r="C607" s="13" t="s">
        <v>32224</v>
      </c>
      <c r="D607" s="13" t="s">
        <v>124</v>
      </c>
      <c r="E607" s="12" t="s">
        <v>50</v>
      </c>
      <c r="F607" s="13"/>
      <c r="G607" s="13"/>
      <c r="H607" s="13" t="s">
        <v>34715</v>
      </c>
      <c r="I607" s="40" t="s">
        <v>18</v>
      </c>
      <c r="J607" s="40" t="str">
        <f>HYPERLINK("https://stock.pstatic.net/stock-research/company/74/20260805_company_385030000.pdf","PDF")</f>
        <v>PDF</v>
      </c>
      <c r="K607" s="12" t="s">
        <v>34716</v>
      </c>
      <c r="L607" s="12"/>
    </row>
    <row r="608" spans="1:12" x14ac:dyDescent="0.45">
      <c r="A608" s="12" t="s">
        <v>34708</v>
      </c>
      <c r="B608" s="12" t="s">
        <v>34717</v>
      </c>
      <c r="C608" s="13" t="s">
        <v>34718</v>
      </c>
      <c r="D608" s="13" t="s">
        <v>124</v>
      </c>
      <c r="E608" s="12" t="s">
        <v>50</v>
      </c>
      <c r="F608" s="13"/>
      <c r="G608" s="13"/>
      <c r="H608" s="13" t="s">
        <v>34719</v>
      </c>
      <c r="I608" s="40" t="s">
        <v>18</v>
      </c>
      <c r="J608" s="40" t="str">
        <f>HYPERLINK("https://stock.pstatic.net/stock-research/company/74/20260805_company_769642000.pdf","PDF")</f>
        <v>PDF</v>
      </c>
      <c r="K608" s="12" t="s">
        <v>34720</v>
      </c>
      <c r="L608" s="12"/>
    </row>
    <row r="609" spans="1:12" x14ac:dyDescent="0.45">
      <c r="A609" s="12" t="s">
        <v>34708</v>
      </c>
      <c r="B609" s="12" t="s">
        <v>2312</v>
      </c>
      <c r="C609" s="13" t="s">
        <v>2313</v>
      </c>
      <c r="D609" s="13" t="s">
        <v>124</v>
      </c>
      <c r="E609" s="12" t="s">
        <v>50</v>
      </c>
      <c r="F609" s="13"/>
      <c r="G609" s="13"/>
      <c r="H609" s="13" t="s">
        <v>34721</v>
      </c>
      <c r="I609" s="40" t="s">
        <v>18</v>
      </c>
      <c r="J609" s="40" t="str">
        <f>HYPERLINK("https://stock.pstatic.net/stock-research/company/74/20260805_company_456019000.pdf","PDF")</f>
        <v>PDF</v>
      </c>
      <c r="K609" s="12" t="s">
        <v>34722</v>
      </c>
      <c r="L609" s="12"/>
    </row>
    <row r="610" spans="1:12" x14ac:dyDescent="0.45">
      <c r="A610" s="12" t="s">
        <v>34708</v>
      </c>
      <c r="B610" s="12" t="s">
        <v>2382</v>
      </c>
      <c r="C610" s="13" t="s">
        <v>2383</v>
      </c>
      <c r="D610" s="13" t="s">
        <v>53</v>
      </c>
      <c r="E610" s="12" t="s">
        <v>16</v>
      </c>
      <c r="F610" s="14">
        <v>82000</v>
      </c>
      <c r="G610" s="14">
        <v>40250</v>
      </c>
      <c r="H610" s="13" t="s">
        <v>34723</v>
      </c>
      <c r="I610" s="40" t="s">
        <v>18</v>
      </c>
      <c r="J610" s="40" t="str">
        <f>HYPERLINK("https://stock.pstatic.net/stock-research/company/40/20260805_company_646849000.pdf","PDF")</f>
        <v>PDF</v>
      </c>
      <c r="K610" s="12" t="s">
        <v>34724</v>
      </c>
      <c r="L610" s="36">
        <v>1.0372670807453419</v>
      </c>
    </row>
    <row r="611" spans="1:12" x14ac:dyDescent="0.45">
      <c r="A611" s="12" t="s">
        <v>34708</v>
      </c>
      <c r="B611" s="12" t="s">
        <v>2740</v>
      </c>
      <c r="C611" s="13" t="s">
        <v>2741</v>
      </c>
      <c r="D611" s="13" t="s">
        <v>53</v>
      </c>
      <c r="E611" s="12" t="s">
        <v>16</v>
      </c>
      <c r="F611" s="14">
        <v>25000</v>
      </c>
      <c r="G611" s="14">
        <v>18610</v>
      </c>
      <c r="H611" s="13" t="s">
        <v>34725</v>
      </c>
      <c r="I611" s="40" t="s">
        <v>18</v>
      </c>
      <c r="J611" s="40" t="str">
        <f>HYPERLINK("https://stock.pstatic.net/stock-research/company/40/20260805_company_276651000.pdf","PDF")</f>
        <v>PDF</v>
      </c>
      <c r="K611" s="12" t="s">
        <v>34726</v>
      </c>
      <c r="L611" s="36">
        <v>0.34336378291241271</v>
      </c>
    </row>
    <row r="612" spans="1:12" x14ac:dyDescent="0.45">
      <c r="A612" s="12" t="s">
        <v>34708</v>
      </c>
      <c r="B612" s="12" t="s">
        <v>334</v>
      </c>
      <c r="C612" s="13" t="s">
        <v>335</v>
      </c>
      <c r="D612" s="13" t="s">
        <v>714</v>
      </c>
      <c r="E612" s="12" t="s">
        <v>35</v>
      </c>
      <c r="F612" s="14">
        <v>3300000</v>
      </c>
      <c r="G612" s="14">
        <v>1845000</v>
      </c>
      <c r="H612" s="13" t="s">
        <v>34727</v>
      </c>
      <c r="I612" s="40" t="s">
        <v>18</v>
      </c>
      <c r="J612" s="40" t="str">
        <f>HYPERLINK("https://stock.pstatic.net/stock-research/company/38/20260805_company_459981000.pdf","PDF")</f>
        <v>PDF</v>
      </c>
      <c r="K612" s="12" t="s">
        <v>34728</v>
      </c>
      <c r="L612" s="36">
        <v>0.78861788617886175</v>
      </c>
    </row>
    <row r="613" spans="1:12" x14ac:dyDescent="0.45">
      <c r="A613" s="12" t="s">
        <v>34708</v>
      </c>
      <c r="B613" s="12" t="s">
        <v>13</v>
      </c>
      <c r="C613" s="13" t="s">
        <v>14</v>
      </c>
      <c r="D613" s="13" t="s">
        <v>714</v>
      </c>
      <c r="E613" s="12" t="s">
        <v>35</v>
      </c>
      <c r="F613" s="14">
        <v>440000</v>
      </c>
      <c r="G613" s="14">
        <v>207000</v>
      </c>
      <c r="H613" s="13" t="s">
        <v>34729</v>
      </c>
      <c r="I613" s="40" t="s">
        <v>18</v>
      </c>
      <c r="J613" s="40" t="str">
        <f>HYPERLINK("https://stock.pstatic.net/stock-research/company/38/20260805_company_622985000.pdf","PDF")</f>
        <v>PDF</v>
      </c>
      <c r="K613" s="12" t="s">
        <v>34730</v>
      </c>
      <c r="L613" s="36">
        <v>1.125603864734299</v>
      </c>
    </row>
    <row r="614" spans="1:12" x14ac:dyDescent="0.45">
      <c r="A614" s="12" t="s">
        <v>34708</v>
      </c>
      <c r="B614" s="12" t="s">
        <v>21731</v>
      </c>
      <c r="C614" s="13" t="s">
        <v>21732</v>
      </c>
      <c r="D614" s="13" t="s">
        <v>53</v>
      </c>
      <c r="E614" s="12" t="s">
        <v>16</v>
      </c>
      <c r="F614" s="14">
        <v>64000</v>
      </c>
      <c r="G614" s="14">
        <v>41050</v>
      </c>
      <c r="H614" s="13" t="s">
        <v>34731</v>
      </c>
      <c r="I614" s="40" t="s">
        <v>18</v>
      </c>
      <c r="J614" s="40" t="str">
        <f>HYPERLINK("https://stock.pstatic.net/stock-research/company/40/20260805_company_393039000.pdf","PDF")</f>
        <v>PDF</v>
      </c>
      <c r="K614" s="12" t="s">
        <v>34732</v>
      </c>
      <c r="L614" s="36">
        <v>0.55907429963459199</v>
      </c>
    </row>
    <row r="615" spans="1:12" x14ac:dyDescent="0.45">
      <c r="A615" s="12" t="s">
        <v>34733</v>
      </c>
      <c r="B615" s="12" t="s">
        <v>3478</v>
      </c>
      <c r="C615" s="13" t="s">
        <v>3479</v>
      </c>
      <c r="D615" s="13" t="s">
        <v>57</v>
      </c>
      <c r="E615" s="12" t="s">
        <v>35</v>
      </c>
      <c r="F615" s="14">
        <v>43000</v>
      </c>
      <c r="G615" s="14">
        <v>24800</v>
      </c>
      <c r="H615" s="13" t="s">
        <v>34734</v>
      </c>
      <c r="I615" s="40" t="s">
        <v>18</v>
      </c>
      <c r="J615" s="40" t="str">
        <f>HYPERLINK("https://stock.pstatic.net/stock-research/company/16/20260804_company_144517000.pdf","PDF")</f>
        <v>PDF</v>
      </c>
      <c r="K615" s="12" t="s">
        <v>34735</v>
      </c>
      <c r="L615" s="36">
        <v>0.7338709677419355</v>
      </c>
    </row>
    <row r="616" spans="1:12" x14ac:dyDescent="0.45">
      <c r="A616" s="12" t="s">
        <v>34733</v>
      </c>
      <c r="B616" s="12" t="s">
        <v>366</v>
      </c>
      <c r="C616" s="13" t="s">
        <v>367</v>
      </c>
      <c r="D616" s="13" t="s">
        <v>57</v>
      </c>
      <c r="E616" s="12" t="s">
        <v>35</v>
      </c>
      <c r="F616" s="14">
        <v>28000</v>
      </c>
      <c r="G616" s="14">
        <v>17460</v>
      </c>
      <c r="H616" s="13" t="s">
        <v>34736</v>
      </c>
      <c r="I616" s="40" t="s">
        <v>18</v>
      </c>
      <c r="J616" s="40" t="str">
        <f>HYPERLINK("https://stock.pstatic.net/stock-research/company/16/20260804_company_706392000.pdf","PDF")</f>
        <v>PDF</v>
      </c>
      <c r="K616" s="12" t="s">
        <v>34737</v>
      </c>
      <c r="L616" s="36">
        <v>0.60366552119129435</v>
      </c>
    </row>
    <row r="617" spans="1:12" x14ac:dyDescent="0.45">
      <c r="A617" s="12" t="s">
        <v>34733</v>
      </c>
      <c r="B617" s="12" t="s">
        <v>442</v>
      </c>
      <c r="C617" s="13" t="s">
        <v>443</v>
      </c>
      <c r="D617" s="13" t="s">
        <v>57</v>
      </c>
      <c r="E617" s="12" t="s">
        <v>35</v>
      </c>
      <c r="F617" s="14">
        <v>16800</v>
      </c>
      <c r="G617" s="14">
        <v>9930</v>
      </c>
      <c r="H617" s="13" t="s">
        <v>34738</v>
      </c>
      <c r="I617" s="40" t="s">
        <v>18</v>
      </c>
      <c r="J617" s="40" t="str">
        <f>HYPERLINK("https://stock.pstatic.net/stock-research/company/16/20260804_company_435559000.pdf","PDF")</f>
        <v>PDF</v>
      </c>
      <c r="K617" s="12" t="s">
        <v>34739</v>
      </c>
      <c r="L617" s="36">
        <v>0.69184290030211482</v>
      </c>
    </row>
    <row r="618" spans="1:12" x14ac:dyDescent="0.45">
      <c r="A618" s="12" t="s">
        <v>34733</v>
      </c>
      <c r="B618" s="12" t="s">
        <v>2658</v>
      </c>
      <c r="C618" s="13" t="s">
        <v>2659</v>
      </c>
      <c r="D618" s="13" t="s">
        <v>60</v>
      </c>
      <c r="E618" s="12" t="s">
        <v>35</v>
      </c>
      <c r="F618" s="14">
        <v>130000</v>
      </c>
      <c r="G618" s="14">
        <v>73600</v>
      </c>
      <c r="H618" s="13" t="s">
        <v>34740</v>
      </c>
      <c r="I618" s="40" t="s">
        <v>18</v>
      </c>
      <c r="J618" s="40" t="str">
        <f>HYPERLINK("https://stock.pstatic.net/stock-research/company/62/20260804_company_730207000.pdf","PDF")</f>
        <v>PDF</v>
      </c>
      <c r="K618" s="12" t="s">
        <v>34741</v>
      </c>
      <c r="L618" s="36">
        <v>0.76630434782608692</v>
      </c>
    </row>
    <row r="619" spans="1:12" x14ac:dyDescent="0.45">
      <c r="A619" s="12" t="s">
        <v>34733</v>
      </c>
      <c r="B619" s="12" t="s">
        <v>3478</v>
      </c>
      <c r="C619" s="13" t="s">
        <v>3479</v>
      </c>
      <c r="D619" s="13" t="s">
        <v>65</v>
      </c>
      <c r="E619" s="12" t="s">
        <v>35</v>
      </c>
      <c r="F619" s="14">
        <v>50000</v>
      </c>
      <c r="G619" s="14">
        <v>24800</v>
      </c>
      <c r="H619" s="13" t="s">
        <v>34742</v>
      </c>
      <c r="I619" s="40" t="s">
        <v>18</v>
      </c>
      <c r="J619" s="40" t="str">
        <f>HYPERLINK("https://stock.pstatic.net/stock-research/company/57/20260804_company_459549000.pdf","PDF")</f>
        <v>PDF</v>
      </c>
      <c r="K619" s="12" t="s">
        <v>34743</v>
      </c>
      <c r="L619" s="36">
        <v>1.0161290322580649</v>
      </c>
    </row>
    <row r="620" spans="1:12" x14ac:dyDescent="0.45">
      <c r="A620" s="12" t="s">
        <v>34733</v>
      </c>
      <c r="B620" s="12" t="s">
        <v>3113</v>
      </c>
      <c r="C620" s="13" t="s">
        <v>3114</v>
      </c>
      <c r="D620" s="13" t="s">
        <v>65</v>
      </c>
      <c r="E620" s="12" t="s">
        <v>35</v>
      </c>
      <c r="F620" s="14">
        <v>66000</v>
      </c>
      <c r="G620" s="14">
        <v>33550</v>
      </c>
      <c r="H620" s="13" t="s">
        <v>34744</v>
      </c>
      <c r="I620" s="40" t="s">
        <v>18</v>
      </c>
      <c r="J620" s="40" t="str">
        <f>HYPERLINK("https://stock.pstatic.net/stock-research/company/57/20260804_company_282588000.pdf","PDF")</f>
        <v>PDF</v>
      </c>
      <c r="K620" s="12" t="s">
        <v>34745</v>
      </c>
      <c r="L620" s="36">
        <v>0.96721311475409832</v>
      </c>
    </row>
    <row r="621" spans="1:12" x14ac:dyDescent="0.45">
      <c r="A621" s="12" t="s">
        <v>34733</v>
      </c>
      <c r="B621" s="12" t="s">
        <v>2089</v>
      </c>
      <c r="C621" s="13" t="s">
        <v>2090</v>
      </c>
      <c r="D621" s="13" t="s">
        <v>65</v>
      </c>
      <c r="E621" s="12" t="s">
        <v>35</v>
      </c>
      <c r="F621" s="14">
        <v>220000</v>
      </c>
      <c r="G621" s="14">
        <v>121700</v>
      </c>
      <c r="H621" s="13" t="s">
        <v>34746</v>
      </c>
      <c r="I621" s="40" t="s">
        <v>18</v>
      </c>
      <c r="J621" s="40" t="str">
        <f>HYPERLINK("https://stock.pstatic.net/stock-research/company/57/20260804_company_376693000.pdf","PDF")</f>
        <v>PDF</v>
      </c>
      <c r="K621" s="12" t="s">
        <v>34747</v>
      </c>
      <c r="L621" s="36">
        <v>0.80772391125718979</v>
      </c>
    </row>
    <row r="622" spans="1:12" x14ac:dyDescent="0.45">
      <c r="A622" s="12" t="s">
        <v>34733</v>
      </c>
      <c r="B622" s="12" t="s">
        <v>2243</v>
      </c>
      <c r="C622" s="13" t="s">
        <v>2244</v>
      </c>
      <c r="D622" s="13" t="s">
        <v>158</v>
      </c>
      <c r="E622" s="12" t="s">
        <v>50</v>
      </c>
      <c r="F622" s="13"/>
      <c r="G622" s="14">
        <v>7980</v>
      </c>
      <c r="H622" s="13" t="s">
        <v>34748</v>
      </c>
      <c r="I622" s="40" t="s">
        <v>18</v>
      </c>
      <c r="J622" s="40" t="str">
        <f>HYPERLINK("https://stock.pstatic.net/stock-research/company/18/20260804_company_479264000.pdf","PDF")</f>
        <v>PDF</v>
      </c>
      <c r="K622" s="12" t="s">
        <v>34749</v>
      </c>
      <c r="L622" s="12"/>
    </row>
    <row r="623" spans="1:12" x14ac:dyDescent="0.45">
      <c r="A623" s="12" t="s">
        <v>34733</v>
      </c>
      <c r="B623" s="12" t="s">
        <v>2849</v>
      </c>
      <c r="C623" s="13" t="s">
        <v>2850</v>
      </c>
      <c r="D623" s="13" t="s">
        <v>158</v>
      </c>
      <c r="E623" s="12" t="s">
        <v>50</v>
      </c>
      <c r="F623" s="13"/>
      <c r="G623" s="14">
        <v>4855</v>
      </c>
      <c r="H623" s="13" t="s">
        <v>34750</v>
      </c>
      <c r="I623" s="40" t="s">
        <v>18</v>
      </c>
      <c r="J623" s="40" t="str">
        <f>HYPERLINK("https://stock.pstatic.net/stock-research/company/18/20260804_company_235017000.pdf","PDF")</f>
        <v>PDF</v>
      </c>
      <c r="K623" s="12" t="s">
        <v>34751</v>
      </c>
      <c r="L623" s="12"/>
    </row>
    <row r="624" spans="1:12" x14ac:dyDescent="0.45">
      <c r="A624" s="12" t="s">
        <v>34733</v>
      </c>
      <c r="B624" s="12" t="s">
        <v>3478</v>
      </c>
      <c r="C624" s="13" t="s">
        <v>3479</v>
      </c>
      <c r="D624" s="13" t="s">
        <v>15</v>
      </c>
      <c r="E624" s="12" t="s">
        <v>16</v>
      </c>
      <c r="F624" s="14">
        <v>47000</v>
      </c>
      <c r="G624" s="14">
        <v>24800</v>
      </c>
      <c r="H624" s="13" t="s">
        <v>34752</v>
      </c>
      <c r="I624" s="40" t="s">
        <v>18</v>
      </c>
      <c r="J624" s="40" t="str">
        <f>HYPERLINK("https://stock.pstatic.net/stock-research/company/56/20260804_company_24444000.pdf","PDF")</f>
        <v>PDF</v>
      </c>
      <c r="K624" s="12" t="s">
        <v>34753</v>
      </c>
      <c r="L624" s="36">
        <v>0.89516129032258063</v>
      </c>
    </row>
    <row r="625" spans="1:12" x14ac:dyDescent="0.45">
      <c r="A625" s="12" t="s">
        <v>34733</v>
      </c>
      <c r="B625" s="12" t="s">
        <v>3478</v>
      </c>
      <c r="C625" s="13" t="s">
        <v>3479</v>
      </c>
      <c r="D625" s="13" t="s">
        <v>83</v>
      </c>
      <c r="E625" s="12" t="s">
        <v>35</v>
      </c>
      <c r="F625" s="14">
        <v>44600</v>
      </c>
      <c r="G625" s="14">
        <v>24800</v>
      </c>
      <c r="H625" s="13" t="s">
        <v>34754</v>
      </c>
      <c r="I625" s="40" t="s">
        <v>18</v>
      </c>
      <c r="J625" s="40" t="str">
        <f>HYPERLINK("https://stock.pstatic.net/stock-research/company/15/20260804_company_290327000.pdf","PDF")</f>
        <v>PDF</v>
      </c>
      <c r="K625" s="12" t="s">
        <v>34755</v>
      </c>
      <c r="L625" s="36">
        <v>0.79838709677419351</v>
      </c>
    </row>
    <row r="626" spans="1:12" x14ac:dyDescent="0.45">
      <c r="A626" s="12" t="s">
        <v>34733</v>
      </c>
      <c r="B626" s="12" t="s">
        <v>366</v>
      </c>
      <c r="C626" s="13" t="s">
        <v>367</v>
      </c>
      <c r="D626" s="13" t="s">
        <v>83</v>
      </c>
      <c r="E626" s="12" t="s">
        <v>35</v>
      </c>
      <c r="F626" s="14">
        <v>30000</v>
      </c>
      <c r="G626" s="14">
        <v>17460</v>
      </c>
      <c r="H626" s="13" t="s">
        <v>34756</v>
      </c>
      <c r="I626" s="40" t="s">
        <v>18</v>
      </c>
      <c r="J626" s="40" t="str">
        <f>HYPERLINK("https://stock.pstatic.net/stock-research/company/15/20260804_company_820523000.pdf","PDF")</f>
        <v>PDF</v>
      </c>
      <c r="K626" s="12" t="s">
        <v>34757</v>
      </c>
      <c r="L626" s="36">
        <v>0.71821305841924399</v>
      </c>
    </row>
    <row r="627" spans="1:12" x14ac:dyDescent="0.45">
      <c r="A627" s="12" t="s">
        <v>34733</v>
      </c>
      <c r="B627" s="12" t="s">
        <v>3230</v>
      </c>
      <c r="C627" s="13" t="s">
        <v>3231</v>
      </c>
      <c r="D627" s="13" t="s">
        <v>83</v>
      </c>
      <c r="E627" s="12" t="s">
        <v>35</v>
      </c>
      <c r="F627" s="14">
        <v>4200000</v>
      </c>
      <c r="G627" s="14">
        <v>2495000</v>
      </c>
      <c r="H627" s="13" t="s">
        <v>34758</v>
      </c>
      <c r="I627" s="40" t="s">
        <v>18</v>
      </c>
      <c r="J627" s="40" t="str">
        <f>HYPERLINK("https://stock.pstatic.net/stock-research/company/15/20260804_company_392561000.pdf","PDF")</f>
        <v>PDF</v>
      </c>
      <c r="K627" s="12" t="s">
        <v>34759</v>
      </c>
      <c r="L627" s="36">
        <v>0.68336673346693388</v>
      </c>
    </row>
    <row r="628" spans="1:12" x14ac:dyDescent="0.45">
      <c r="A628" s="12" t="s">
        <v>34733</v>
      </c>
      <c r="B628" s="12" t="s">
        <v>3451</v>
      </c>
      <c r="C628" s="13" t="s">
        <v>3452</v>
      </c>
      <c r="D628" s="13" t="s">
        <v>23</v>
      </c>
      <c r="E628" s="12" t="s">
        <v>16</v>
      </c>
      <c r="F628" s="14">
        <v>260000</v>
      </c>
      <c r="G628" s="14">
        <v>160200</v>
      </c>
      <c r="H628" s="13" t="s">
        <v>34760</v>
      </c>
      <c r="I628" s="40" t="s">
        <v>18</v>
      </c>
      <c r="J628" s="40" t="str">
        <f>HYPERLINK("https://stock.pstatic.net/stock-research/company/21/20260804_company_637295000.pdf","PDF")</f>
        <v>PDF</v>
      </c>
      <c r="K628" s="12" t="s">
        <v>34761</v>
      </c>
      <c r="L628" s="36">
        <v>0.62297128589263417</v>
      </c>
    </row>
    <row r="629" spans="1:12" x14ac:dyDescent="0.45">
      <c r="A629" s="12" t="s">
        <v>34733</v>
      </c>
      <c r="B629" s="12" t="s">
        <v>1745</v>
      </c>
      <c r="C629" s="13" t="s">
        <v>1746</v>
      </c>
      <c r="D629" s="13" t="s">
        <v>23</v>
      </c>
      <c r="E629" s="12" t="s">
        <v>16</v>
      </c>
      <c r="F629" s="14">
        <v>120000</v>
      </c>
      <c r="G629" s="14">
        <v>72400</v>
      </c>
      <c r="H629" s="13" t="s">
        <v>34762</v>
      </c>
      <c r="I629" s="40" t="s">
        <v>18</v>
      </c>
      <c r="J629" s="40" t="str">
        <f>HYPERLINK("https://stock.pstatic.net/stock-research/company/21/20260804_company_177754000.pdf","PDF")</f>
        <v>PDF</v>
      </c>
      <c r="K629" s="12" t="s">
        <v>34763</v>
      </c>
      <c r="L629" s="36">
        <v>0.65745856353591159</v>
      </c>
    </row>
    <row r="630" spans="1:12" x14ac:dyDescent="0.45">
      <c r="A630" s="12" t="s">
        <v>34733</v>
      </c>
      <c r="B630" s="12" t="s">
        <v>2089</v>
      </c>
      <c r="C630" s="13" t="s">
        <v>2090</v>
      </c>
      <c r="D630" s="13" t="s">
        <v>34</v>
      </c>
      <c r="E630" s="12" t="s">
        <v>35</v>
      </c>
      <c r="F630" s="14">
        <v>170000</v>
      </c>
      <c r="G630" s="14">
        <v>121700</v>
      </c>
      <c r="H630" s="13" t="s">
        <v>34764</v>
      </c>
      <c r="I630" s="40" t="s">
        <v>18</v>
      </c>
      <c r="J630" s="40" t="str">
        <f>HYPERLINK("https://stock.pstatic.net/stock-research/company/61/20260804_company_534927000.pdf","PDF")</f>
        <v>PDF</v>
      </c>
      <c r="K630" s="12" t="s">
        <v>34765</v>
      </c>
      <c r="L630" s="36">
        <v>0.39687756778964672</v>
      </c>
    </row>
    <row r="631" spans="1:12" x14ac:dyDescent="0.45">
      <c r="A631" s="12" t="s">
        <v>34733</v>
      </c>
      <c r="B631" s="12" t="s">
        <v>1530</v>
      </c>
      <c r="C631" s="13" t="s">
        <v>1531</v>
      </c>
      <c r="D631" s="13" t="s">
        <v>179</v>
      </c>
      <c r="E631" s="12" t="s">
        <v>16</v>
      </c>
      <c r="F631" s="14">
        <v>21500</v>
      </c>
      <c r="G631" s="14">
        <v>13380</v>
      </c>
      <c r="H631" s="13" t="s">
        <v>34766</v>
      </c>
      <c r="I631" s="40" t="s">
        <v>18</v>
      </c>
      <c r="J631" s="40" t="str">
        <f>HYPERLINK("https://stock.pstatic.net/stock-research/company/64/20260804_company_483832000.pdf","PDF")</f>
        <v>PDF</v>
      </c>
      <c r="K631" s="12" t="s">
        <v>34767</v>
      </c>
      <c r="L631" s="36">
        <v>0.60687593423019437</v>
      </c>
    </row>
    <row r="632" spans="1:12" x14ac:dyDescent="0.45">
      <c r="A632" s="12" t="s">
        <v>34733</v>
      </c>
      <c r="B632" s="12" t="s">
        <v>3113</v>
      </c>
      <c r="C632" s="13" t="s">
        <v>3114</v>
      </c>
      <c r="D632" s="13" t="s">
        <v>92</v>
      </c>
      <c r="E632" s="12" t="s">
        <v>35</v>
      </c>
      <c r="F632" s="14">
        <v>50000</v>
      </c>
      <c r="G632" s="14">
        <v>33550</v>
      </c>
      <c r="H632" s="13" t="s">
        <v>34768</v>
      </c>
      <c r="I632" s="40" t="s">
        <v>18</v>
      </c>
      <c r="J632" s="40" t="str">
        <f>HYPERLINK("https://stock.pstatic.net/stock-research/company/63/20260804_company_24202000.pdf","PDF")</f>
        <v>PDF</v>
      </c>
      <c r="K632" s="12" t="s">
        <v>34769</v>
      </c>
      <c r="L632" s="36">
        <v>0.49031296572280181</v>
      </c>
    </row>
    <row r="633" spans="1:12" x14ac:dyDescent="0.45">
      <c r="A633" s="12" t="s">
        <v>34733</v>
      </c>
      <c r="B633" s="12" t="s">
        <v>2089</v>
      </c>
      <c r="C633" s="13" t="s">
        <v>2090</v>
      </c>
      <c r="D633" s="13" t="s">
        <v>92</v>
      </c>
      <c r="E633" s="12" t="s">
        <v>35</v>
      </c>
      <c r="F633" s="14">
        <v>148000</v>
      </c>
      <c r="G633" s="14">
        <v>121700</v>
      </c>
      <c r="H633" s="13" t="s">
        <v>34770</v>
      </c>
      <c r="I633" s="40" t="s">
        <v>18</v>
      </c>
      <c r="J633" s="40" t="str">
        <f>HYPERLINK("https://stock.pstatic.net/stock-research/company/63/20260804_company_957028000.pdf","PDF")</f>
        <v>PDF</v>
      </c>
      <c r="K633" s="12" t="s">
        <v>34771</v>
      </c>
      <c r="L633" s="36">
        <v>0.2161051766639277</v>
      </c>
    </row>
    <row r="634" spans="1:12" x14ac:dyDescent="0.45">
      <c r="A634" s="12" t="s">
        <v>34733</v>
      </c>
      <c r="B634" s="12" t="s">
        <v>3113</v>
      </c>
      <c r="C634" s="13" t="s">
        <v>3114</v>
      </c>
      <c r="D634" s="13" t="s">
        <v>15</v>
      </c>
      <c r="E634" s="12" t="s">
        <v>16</v>
      </c>
      <c r="F634" s="14">
        <v>56000</v>
      </c>
      <c r="G634" s="14">
        <v>33550</v>
      </c>
      <c r="H634" s="13" t="s">
        <v>34772</v>
      </c>
      <c r="I634" s="40" t="s">
        <v>18</v>
      </c>
      <c r="J634" s="40" t="str">
        <f>HYPERLINK("https://stock.pstatic.net/stock-research/company/56/20260804_company_518283000.pdf","PDF")</f>
        <v>PDF</v>
      </c>
      <c r="K634" s="12" t="s">
        <v>34773</v>
      </c>
      <c r="L634" s="36">
        <v>0.66915052160953803</v>
      </c>
    </row>
    <row r="635" spans="1:12" x14ac:dyDescent="0.45">
      <c r="A635" s="12" t="s">
        <v>34733</v>
      </c>
      <c r="B635" s="12" t="s">
        <v>3478</v>
      </c>
      <c r="C635" s="13" t="s">
        <v>3479</v>
      </c>
      <c r="D635" s="13" t="s">
        <v>34</v>
      </c>
      <c r="E635" s="12" t="s">
        <v>35</v>
      </c>
      <c r="F635" s="14">
        <v>40000</v>
      </c>
      <c r="G635" s="14">
        <v>24800</v>
      </c>
      <c r="H635" s="13" t="s">
        <v>34774</v>
      </c>
      <c r="I635" s="40" t="s">
        <v>18</v>
      </c>
      <c r="J635" s="40" t="str">
        <f>HYPERLINK("https://stock.pstatic.net/stock-research/company/61/20260804_company_202593000.pdf","PDF")</f>
        <v>PDF</v>
      </c>
      <c r="K635" s="12" t="s">
        <v>34775</v>
      </c>
      <c r="L635" s="36">
        <v>0.61290322580645162</v>
      </c>
    </row>
    <row r="636" spans="1:12" x14ac:dyDescent="0.45">
      <c r="A636" s="12" t="s">
        <v>34733</v>
      </c>
      <c r="B636" s="12" t="s">
        <v>2644</v>
      </c>
      <c r="C636" s="13" t="s">
        <v>2645</v>
      </c>
      <c r="D636" s="13" t="s">
        <v>92</v>
      </c>
      <c r="E636" s="12" t="s">
        <v>35</v>
      </c>
      <c r="F636" s="14">
        <v>34000</v>
      </c>
      <c r="G636" s="14">
        <v>24200</v>
      </c>
      <c r="H636" s="13" t="s">
        <v>34776</v>
      </c>
      <c r="I636" s="40" t="s">
        <v>18</v>
      </c>
      <c r="J636" s="40" t="str">
        <f>HYPERLINK("https://stock.pstatic.net/stock-research/company/63/20260804_company_279513000.pdf","PDF")</f>
        <v>PDF</v>
      </c>
      <c r="K636" s="12" t="s">
        <v>34777</v>
      </c>
      <c r="L636" s="36">
        <v>0.4049586776859504</v>
      </c>
    </row>
    <row r="637" spans="1:12" x14ac:dyDescent="0.45">
      <c r="A637" s="12" t="s">
        <v>34733</v>
      </c>
      <c r="B637" s="12" t="s">
        <v>3113</v>
      </c>
      <c r="C637" s="13" t="s">
        <v>3114</v>
      </c>
      <c r="D637" s="13" t="s">
        <v>23</v>
      </c>
      <c r="E637" s="12" t="s">
        <v>16</v>
      </c>
      <c r="F637" s="14">
        <v>66000</v>
      </c>
      <c r="G637" s="14">
        <v>33550</v>
      </c>
      <c r="H637" s="13" t="s">
        <v>34778</v>
      </c>
      <c r="I637" s="40" t="s">
        <v>18</v>
      </c>
      <c r="J637" s="40" t="str">
        <f>HYPERLINK("https://stock.pstatic.net/stock-research/company/21/20260804_company_618439000.pdf","PDF")</f>
        <v>PDF</v>
      </c>
      <c r="K637" s="12" t="s">
        <v>34779</v>
      </c>
      <c r="L637" s="36">
        <v>0.96721311475409832</v>
      </c>
    </row>
    <row r="638" spans="1:12" x14ac:dyDescent="0.45">
      <c r="A638" s="12" t="s">
        <v>34733</v>
      </c>
      <c r="B638" s="12" t="s">
        <v>3478</v>
      </c>
      <c r="C638" s="13" t="s">
        <v>3479</v>
      </c>
      <c r="D638" s="13" t="s">
        <v>23</v>
      </c>
      <c r="E638" s="12" t="s">
        <v>16</v>
      </c>
      <c r="F638" s="14">
        <v>44000</v>
      </c>
      <c r="G638" s="14">
        <v>24800</v>
      </c>
      <c r="H638" s="13" t="s">
        <v>34780</v>
      </c>
      <c r="I638" s="40" t="s">
        <v>18</v>
      </c>
      <c r="J638" s="40" t="str">
        <f>HYPERLINK("https://stock.pstatic.net/stock-research/company/21/20260804_company_316279000.pdf","PDF")</f>
        <v>PDF</v>
      </c>
      <c r="K638" s="12" t="s">
        <v>34781</v>
      </c>
      <c r="L638" s="36">
        <v>0.77419354838709675</v>
      </c>
    </row>
    <row r="639" spans="1:12" x14ac:dyDescent="0.45">
      <c r="A639" s="12" t="s">
        <v>34733</v>
      </c>
      <c r="B639" s="12" t="s">
        <v>2089</v>
      </c>
      <c r="C639" s="13" t="s">
        <v>2090</v>
      </c>
      <c r="D639" s="13" t="s">
        <v>23</v>
      </c>
      <c r="E639" s="12" t="s">
        <v>16</v>
      </c>
      <c r="F639" s="14">
        <v>180000</v>
      </c>
      <c r="G639" s="14">
        <v>121700</v>
      </c>
      <c r="H639" s="13" t="s">
        <v>34782</v>
      </c>
      <c r="I639" s="40" t="s">
        <v>18</v>
      </c>
      <c r="J639" s="40" t="str">
        <f>HYPERLINK("https://stock.pstatic.net/stock-research/company/21/20260804_company_487647000.pdf","PDF")</f>
        <v>PDF</v>
      </c>
      <c r="K639" s="12" t="s">
        <v>34783</v>
      </c>
      <c r="L639" s="36">
        <v>0.47904683648315532</v>
      </c>
    </row>
    <row r="640" spans="1:12" x14ac:dyDescent="0.45">
      <c r="A640" s="12" t="s">
        <v>34733</v>
      </c>
      <c r="B640" s="12" t="s">
        <v>2089</v>
      </c>
      <c r="C640" s="13" t="s">
        <v>2090</v>
      </c>
      <c r="D640" s="13" t="s">
        <v>15</v>
      </c>
      <c r="E640" s="12" t="s">
        <v>16</v>
      </c>
      <c r="F640" s="14">
        <v>150000</v>
      </c>
      <c r="G640" s="14">
        <v>121700</v>
      </c>
      <c r="H640" s="13" t="s">
        <v>34784</v>
      </c>
      <c r="I640" s="40" t="s">
        <v>18</v>
      </c>
      <c r="J640" s="40" t="str">
        <f>HYPERLINK("https://stock.pstatic.net/stock-research/company/56/20260804_company_251989000.pdf","PDF")</f>
        <v>PDF</v>
      </c>
      <c r="K640" s="12" t="s">
        <v>34785</v>
      </c>
      <c r="L640" s="36">
        <v>0.23253903040262941</v>
      </c>
    </row>
    <row r="641" spans="1:12" x14ac:dyDescent="0.45">
      <c r="A641" s="12" t="s">
        <v>34679</v>
      </c>
      <c r="B641" s="12" t="s">
        <v>3014</v>
      </c>
      <c r="C641" s="13" t="s">
        <v>3015</v>
      </c>
      <c r="D641" s="13" t="s">
        <v>57</v>
      </c>
      <c r="E641" s="12" t="s">
        <v>35</v>
      </c>
      <c r="F641" s="14">
        <v>103000</v>
      </c>
      <c r="G641" s="14">
        <v>71200</v>
      </c>
      <c r="H641" s="13" t="s">
        <v>34786</v>
      </c>
      <c r="I641" s="40" t="s">
        <v>18</v>
      </c>
      <c r="J641" s="40" t="str">
        <f>HYPERLINK("https://stock.pstatic.net/stock-research/company/16/20260803_company_304617000.pdf","PDF")</f>
        <v>PDF</v>
      </c>
      <c r="K641" s="12" t="s">
        <v>34787</v>
      </c>
      <c r="L641" s="36">
        <v>0.44662921348314599</v>
      </c>
    </row>
    <row r="642" spans="1:12" x14ac:dyDescent="0.45">
      <c r="A642" s="12" t="s">
        <v>34679</v>
      </c>
      <c r="B642" s="12" t="s">
        <v>2960</v>
      </c>
      <c r="C642" s="13" t="s">
        <v>2961</v>
      </c>
      <c r="D642" s="13" t="s">
        <v>57</v>
      </c>
      <c r="E642" s="12" t="s">
        <v>35</v>
      </c>
      <c r="F642" s="14">
        <v>75000</v>
      </c>
      <c r="G642" s="14">
        <v>43550</v>
      </c>
      <c r="H642" s="13" t="s">
        <v>34788</v>
      </c>
      <c r="I642" s="40" t="s">
        <v>18</v>
      </c>
      <c r="J642" s="40" t="str">
        <f>HYPERLINK("https://stock.pstatic.net/stock-research/company/16/20260803_company_801680000.pdf","PDF")</f>
        <v>PDF</v>
      </c>
      <c r="K642" s="12" t="s">
        <v>34789</v>
      </c>
      <c r="L642" s="36">
        <v>0.72215843857634898</v>
      </c>
    </row>
    <row r="643" spans="1:12" x14ac:dyDescent="0.45">
      <c r="A643" s="12" t="s">
        <v>34679</v>
      </c>
      <c r="B643" s="12" t="s">
        <v>170</v>
      </c>
      <c r="C643" s="13" t="s">
        <v>171</v>
      </c>
      <c r="D643" s="13" t="s">
        <v>57</v>
      </c>
      <c r="E643" s="12" t="s">
        <v>35</v>
      </c>
      <c r="F643" s="14">
        <v>100000</v>
      </c>
      <c r="G643" s="14">
        <v>80500</v>
      </c>
      <c r="H643" s="13" t="s">
        <v>34790</v>
      </c>
      <c r="I643" s="40" t="s">
        <v>18</v>
      </c>
      <c r="J643" s="40" t="str">
        <f>HYPERLINK("https://stock.pstatic.net/stock-research/company/16/20260803_company_313268000.pdf","PDF")</f>
        <v>PDF</v>
      </c>
      <c r="K643" s="12" t="s">
        <v>34791</v>
      </c>
      <c r="L643" s="36">
        <v>0.24223602484472051</v>
      </c>
    </row>
    <row r="644" spans="1:12" x14ac:dyDescent="0.45">
      <c r="A644" s="12" t="s">
        <v>34679</v>
      </c>
      <c r="B644" s="12" t="s">
        <v>156</v>
      </c>
      <c r="C644" s="13" t="s">
        <v>157</v>
      </c>
      <c r="D644" s="13" t="s">
        <v>57</v>
      </c>
      <c r="E644" s="12" t="s">
        <v>35</v>
      </c>
      <c r="F644" s="14">
        <v>5100</v>
      </c>
      <c r="G644" s="14">
        <v>3305</v>
      </c>
      <c r="H644" s="13" t="s">
        <v>34792</v>
      </c>
      <c r="I644" s="40" t="s">
        <v>18</v>
      </c>
      <c r="J644" s="40" t="str">
        <f>HYPERLINK("https://stock.pstatic.net/stock-research/company/16/20260803_company_468374000.pdf","PDF")</f>
        <v>PDF</v>
      </c>
      <c r="K644" s="12" t="s">
        <v>34793</v>
      </c>
      <c r="L644" s="36">
        <v>0.5431164901664145</v>
      </c>
    </row>
    <row r="645" spans="1:12" x14ac:dyDescent="0.45">
      <c r="A645" s="12" t="s">
        <v>34679</v>
      </c>
      <c r="B645" s="12" t="s">
        <v>3164</v>
      </c>
      <c r="C645" s="13" t="s">
        <v>3165</v>
      </c>
      <c r="D645" s="13" t="s">
        <v>57</v>
      </c>
      <c r="E645" s="12" t="s">
        <v>35</v>
      </c>
      <c r="F645" s="14">
        <v>200000</v>
      </c>
      <c r="G645" s="14">
        <v>94600</v>
      </c>
      <c r="H645" s="13" t="s">
        <v>34794</v>
      </c>
      <c r="I645" s="40" t="s">
        <v>18</v>
      </c>
      <c r="J645" s="40" t="str">
        <f>HYPERLINK("https://stock.pstatic.net/stock-research/company/16/20260803_company_594800000.pdf","PDF")</f>
        <v>PDF</v>
      </c>
      <c r="K645" s="12" t="s">
        <v>34795</v>
      </c>
      <c r="L645" s="36">
        <v>1.114164904862579</v>
      </c>
    </row>
    <row r="646" spans="1:12" x14ac:dyDescent="0.45">
      <c r="A646" s="12" t="s">
        <v>34679</v>
      </c>
      <c r="B646" s="12" t="s">
        <v>3101</v>
      </c>
      <c r="C646" s="13" t="s">
        <v>3102</v>
      </c>
      <c r="D646" s="13" t="s">
        <v>276</v>
      </c>
      <c r="E646" s="12" t="s">
        <v>16</v>
      </c>
      <c r="F646" s="14">
        <v>250000</v>
      </c>
      <c r="G646" s="14">
        <v>103500</v>
      </c>
      <c r="H646" s="13" t="s">
        <v>34796</v>
      </c>
      <c r="I646" s="40" t="s">
        <v>18</v>
      </c>
      <c r="J646" s="40" t="str">
        <f>HYPERLINK("https://stock.pstatic.net/stock-research/company/66/20260803_company_922849000.pdf","PDF")</f>
        <v>PDF</v>
      </c>
      <c r="K646" s="12" t="s">
        <v>34797</v>
      </c>
      <c r="L646" s="36">
        <v>1.4154589371980679</v>
      </c>
    </row>
    <row r="647" spans="1:12" x14ac:dyDescent="0.45">
      <c r="A647" s="12" t="s">
        <v>34679</v>
      </c>
      <c r="B647" s="12" t="s">
        <v>1548</v>
      </c>
      <c r="C647" s="13" t="s">
        <v>1549</v>
      </c>
      <c r="D647" s="13" t="s">
        <v>276</v>
      </c>
      <c r="E647" s="12" t="s">
        <v>16</v>
      </c>
      <c r="F647" s="14">
        <v>1670000</v>
      </c>
      <c r="G647" s="14">
        <v>917000</v>
      </c>
      <c r="H647" s="13" t="s">
        <v>34798</v>
      </c>
      <c r="I647" s="40" t="s">
        <v>18</v>
      </c>
      <c r="J647" s="40" t="str">
        <f>HYPERLINK("https://stock.pstatic.net/stock-research/company/66/20260803_company_598988000.pdf","PDF")</f>
        <v>PDF</v>
      </c>
      <c r="K647" s="12" t="s">
        <v>34799</v>
      </c>
      <c r="L647" s="36">
        <v>0.82115594329334785</v>
      </c>
    </row>
    <row r="648" spans="1:12" x14ac:dyDescent="0.45">
      <c r="A648" s="12" t="s">
        <v>34679</v>
      </c>
      <c r="B648" s="12" t="s">
        <v>3831</v>
      </c>
      <c r="C648" s="13" t="s">
        <v>3832</v>
      </c>
      <c r="D648" s="13" t="s">
        <v>276</v>
      </c>
      <c r="E648" s="12" t="s">
        <v>16</v>
      </c>
      <c r="F648" s="14">
        <v>81000</v>
      </c>
      <c r="G648" s="14">
        <v>44700</v>
      </c>
      <c r="H648" s="13" t="s">
        <v>34800</v>
      </c>
      <c r="I648" s="40" t="s">
        <v>18</v>
      </c>
      <c r="J648" s="40" t="str">
        <f>HYPERLINK("https://stock.pstatic.net/stock-research/company/66/20260803_company_325906000.pdf","PDF")</f>
        <v>PDF</v>
      </c>
      <c r="K648" s="12" t="s">
        <v>34801</v>
      </c>
      <c r="L648" s="36">
        <v>0.81208053691275173</v>
      </c>
    </row>
    <row r="649" spans="1:12" x14ac:dyDescent="0.45">
      <c r="A649" s="12" t="s">
        <v>34679</v>
      </c>
      <c r="B649" s="12" t="s">
        <v>2369</v>
      </c>
      <c r="C649" s="13" t="s">
        <v>2370</v>
      </c>
      <c r="D649" s="13" t="s">
        <v>276</v>
      </c>
      <c r="E649" s="12" t="s">
        <v>16</v>
      </c>
      <c r="F649" s="14">
        <v>840000</v>
      </c>
      <c r="G649" s="14">
        <v>397000</v>
      </c>
      <c r="H649" s="13" t="s">
        <v>34802</v>
      </c>
      <c r="I649" s="40" t="s">
        <v>18</v>
      </c>
      <c r="J649" s="40" t="str">
        <f>HYPERLINK("https://stock.pstatic.net/stock-research/company/66/20260803_company_398808000.pdf","PDF")</f>
        <v>PDF</v>
      </c>
      <c r="K649" s="12" t="s">
        <v>34803</v>
      </c>
      <c r="L649" s="36">
        <v>1.1158690176322421</v>
      </c>
    </row>
    <row r="650" spans="1:12" x14ac:dyDescent="0.45">
      <c r="A650" s="12" t="s">
        <v>34679</v>
      </c>
      <c r="B650" s="12" t="s">
        <v>2960</v>
      </c>
      <c r="C650" s="13" t="s">
        <v>2961</v>
      </c>
      <c r="D650" s="13" t="s">
        <v>60</v>
      </c>
      <c r="E650" s="12" t="s">
        <v>35</v>
      </c>
      <c r="F650" s="14">
        <v>64000</v>
      </c>
      <c r="G650" s="14">
        <v>43550</v>
      </c>
      <c r="H650" s="13" t="s">
        <v>34804</v>
      </c>
      <c r="I650" s="40" t="s">
        <v>18</v>
      </c>
      <c r="J650" s="40" t="str">
        <f>HYPERLINK("https://stock.pstatic.net/stock-research/company/62/20260803_company_239925000.pdf","PDF")</f>
        <v>PDF</v>
      </c>
      <c r="K650" s="12" t="s">
        <v>34805</v>
      </c>
      <c r="L650" s="36">
        <v>0.46957520091848448</v>
      </c>
    </row>
    <row r="651" spans="1:12" x14ac:dyDescent="0.45">
      <c r="A651" s="12" t="s">
        <v>34679</v>
      </c>
      <c r="B651" s="12" t="s">
        <v>156</v>
      </c>
      <c r="C651" s="13" t="s">
        <v>157</v>
      </c>
      <c r="D651" s="13" t="s">
        <v>60</v>
      </c>
      <c r="E651" s="12" t="s">
        <v>35</v>
      </c>
      <c r="F651" s="14">
        <v>5200</v>
      </c>
      <c r="G651" s="14">
        <v>3305</v>
      </c>
      <c r="H651" s="13" t="s">
        <v>34806</v>
      </c>
      <c r="I651" s="40" t="s">
        <v>18</v>
      </c>
      <c r="J651" s="40" t="str">
        <f>HYPERLINK("https://stock.pstatic.net/stock-research/company/62/20260803_company_364053000.pdf","PDF")</f>
        <v>PDF</v>
      </c>
      <c r="K651" s="12" t="s">
        <v>34807</v>
      </c>
      <c r="L651" s="36">
        <v>0.57337367624810898</v>
      </c>
    </row>
    <row r="652" spans="1:12" x14ac:dyDescent="0.45">
      <c r="A652" s="12" t="s">
        <v>34679</v>
      </c>
      <c r="B652" s="12" t="s">
        <v>4567</v>
      </c>
      <c r="C652" s="13" t="s">
        <v>4568</v>
      </c>
      <c r="D652" s="13" t="s">
        <v>60</v>
      </c>
      <c r="E652" s="12" t="s">
        <v>35</v>
      </c>
      <c r="F652" s="14">
        <v>180000</v>
      </c>
      <c r="G652" s="14">
        <v>96800</v>
      </c>
      <c r="H652" s="13" t="s">
        <v>34808</v>
      </c>
      <c r="I652" s="40" t="s">
        <v>18</v>
      </c>
      <c r="J652" s="40" t="str">
        <f>HYPERLINK("https://stock.pstatic.net/stock-research/company/62/20260803_company_261600000.pdf","PDF")</f>
        <v>PDF</v>
      </c>
      <c r="K652" s="12" t="s">
        <v>34809</v>
      </c>
      <c r="L652" s="36">
        <v>0.85950413223140498</v>
      </c>
    </row>
    <row r="653" spans="1:12" x14ac:dyDescent="0.45">
      <c r="A653" s="12" t="s">
        <v>34679</v>
      </c>
      <c r="B653" s="12" t="s">
        <v>912</v>
      </c>
      <c r="C653" s="13" t="s">
        <v>913</v>
      </c>
      <c r="D653" s="13" t="s">
        <v>60</v>
      </c>
      <c r="E653" s="12" t="s">
        <v>35</v>
      </c>
      <c r="F653" s="14">
        <v>89000</v>
      </c>
      <c r="G653" s="14">
        <v>62500</v>
      </c>
      <c r="H653" s="13" t="s">
        <v>34810</v>
      </c>
      <c r="I653" s="40" t="s">
        <v>18</v>
      </c>
      <c r="J653" s="40" t="str">
        <f>HYPERLINK("https://stock.pstatic.net/stock-research/company/62/20260803_company_272087000.pdf","PDF")</f>
        <v>PDF</v>
      </c>
      <c r="K653" s="12" t="s">
        <v>34811</v>
      </c>
      <c r="L653" s="36">
        <v>0.42399999999999999</v>
      </c>
    </row>
    <row r="654" spans="1:12" x14ac:dyDescent="0.45">
      <c r="A654" s="12" t="s">
        <v>34679</v>
      </c>
      <c r="B654" s="12" t="s">
        <v>3164</v>
      </c>
      <c r="C654" s="13" t="s">
        <v>3165</v>
      </c>
      <c r="D654" s="13" t="s">
        <v>60</v>
      </c>
      <c r="E654" s="12" t="s">
        <v>35</v>
      </c>
      <c r="F654" s="14">
        <v>180000</v>
      </c>
      <c r="G654" s="14">
        <v>94600</v>
      </c>
      <c r="H654" s="13" t="s">
        <v>34812</v>
      </c>
      <c r="I654" s="40" t="s">
        <v>18</v>
      </c>
      <c r="J654" s="40" t="str">
        <f>HYPERLINK("https://stock.pstatic.net/stock-research/company/62/20260803_company_274286000.pdf","PDF")</f>
        <v>PDF</v>
      </c>
      <c r="K654" s="12" t="s">
        <v>34813</v>
      </c>
      <c r="L654" s="36">
        <v>0.90274841437632136</v>
      </c>
    </row>
    <row r="655" spans="1:12" x14ac:dyDescent="0.45">
      <c r="A655" s="12" t="s">
        <v>34679</v>
      </c>
      <c r="B655" s="12" t="s">
        <v>3230</v>
      </c>
      <c r="C655" s="13" t="s">
        <v>3231</v>
      </c>
      <c r="D655" s="13" t="s">
        <v>60</v>
      </c>
      <c r="E655" s="12" t="s">
        <v>35</v>
      </c>
      <c r="F655" s="14">
        <v>4100000</v>
      </c>
      <c r="G655" s="14">
        <v>2417000</v>
      </c>
      <c r="H655" s="13" t="s">
        <v>34814</v>
      </c>
      <c r="I655" s="40" t="s">
        <v>18</v>
      </c>
      <c r="J655" s="40" t="str">
        <f>HYPERLINK("https://stock.pstatic.net/stock-research/company/62/20260803_company_54084000.pdf","PDF")</f>
        <v>PDF</v>
      </c>
      <c r="K655" s="12" t="s">
        <v>34815</v>
      </c>
      <c r="L655" s="36">
        <v>0.69631774927596191</v>
      </c>
    </row>
    <row r="656" spans="1:12" x14ac:dyDescent="0.45">
      <c r="A656" s="12" t="s">
        <v>34679</v>
      </c>
      <c r="B656" s="12" t="s">
        <v>4567</v>
      </c>
      <c r="C656" s="13" t="s">
        <v>4568</v>
      </c>
      <c r="D656" s="13" t="s">
        <v>65</v>
      </c>
      <c r="E656" s="12" t="s">
        <v>35</v>
      </c>
      <c r="F656" s="14">
        <v>250000</v>
      </c>
      <c r="G656" s="14">
        <v>96800</v>
      </c>
      <c r="H656" s="13" t="s">
        <v>34816</v>
      </c>
      <c r="I656" s="40" t="s">
        <v>18</v>
      </c>
      <c r="J656" s="40" t="str">
        <f>HYPERLINK("https://stock.pstatic.net/stock-research/company/57/20260803_company_405711000.pdf","PDF")</f>
        <v>PDF</v>
      </c>
      <c r="K656" s="12" t="s">
        <v>34817</v>
      </c>
      <c r="L656" s="36">
        <v>1.5826446280991739</v>
      </c>
    </row>
    <row r="657" spans="1:12" x14ac:dyDescent="0.45">
      <c r="A657" s="12" t="s">
        <v>34679</v>
      </c>
      <c r="B657" s="12" t="s">
        <v>3536</v>
      </c>
      <c r="C657" s="13" t="s">
        <v>3537</v>
      </c>
      <c r="D657" s="13" t="s">
        <v>65</v>
      </c>
      <c r="E657" s="12" t="s">
        <v>35</v>
      </c>
      <c r="F657" s="14">
        <v>590000</v>
      </c>
      <c r="G657" s="14">
        <v>308000</v>
      </c>
      <c r="H657" s="13" t="s">
        <v>34818</v>
      </c>
      <c r="I657" s="40" t="s">
        <v>18</v>
      </c>
      <c r="J657" s="40" t="str">
        <f>HYPERLINK("https://stock.pstatic.net/stock-research/company/57/20260803_company_357873000.pdf","PDF")</f>
        <v>PDF</v>
      </c>
      <c r="K657" s="12" t="s">
        <v>34819</v>
      </c>
      <c r="L657" s="36">
        <v>0.91558441558441561</v>
      </c>
    </row>
    <row r="658" spans="1:12" x14ac:dyDescent="0.45">
      <c r="A658" s="12" t="s">
        <v>34679</v>
      </c>
      <c r="B658" s="12" t="s">
        <v>2887</v>
      </c>
      <c r="C658" s="13" t="s">
        <v>2888</v>
      </c>
      <c r="D658" s="13" t="s">
        <v>65</v>
      </c>
      <c r="E658" s="12" t="s">
        <v>1738</v>
      </c>
      <c r="F658" s="14">
        <v>300000</v>
      </c>
      <c r="G658" s="14">
        <v>258000</v>
      </c>
      <c r="H658" s="13" t="s">
        <v>34820</v>
      </c>
      <c r="I658" s="40" t="s">
        <v>18</v>
      </c>
      <c r="J658" s="40" t="str">
        <f>HYPERLINK("https://stock.pstatic.net/stock-research/company/57/20260803_company_271256000.pdf","PDF")</f>
        <v>PDF</v>
      </c>
      <c r="K658" s="12" t="s">
        <v>34821</v>
      </c>
      <c r="L658" s="36">
        <v>0.16279069767441859</v>
      </c>
    </row>
    <row r="659" spans="1:12" x14ac:dyDescent="0.45">
      <c r="A659" s="12" t="s">
        <v>34679</v>
      </c>
      <c r="B659" s="12" t="s">
        <v>3014</v>
      </c>
      <c r="C659" s="13" t="s">
        <v>3015</v>
      </c>
      <c r="D659" s="13" t="s">
        <v>65</v>
      </c>
      <c r="E659" s="12" t="s">
        <v>35</v>
      </c>
      <c r="F659" s="14">
        <v>110000</v>
      </c>
      <c r="G659" s="14">
        <v>71200</v>
      </c>
      <c r="H659" s="13" t="s">
        <v>34822</v>
      </c>
      <c r="I659" s="40" t="s">
        <v>18</v>
      </c>
      <c r="J659" s="40" t="str">
        <f>HYPERLINK("https://stock.pstatic.net/stock-research/company/57/20260803_company_377125000.pdf","PDF")</f>
        <v>PDF</v>
      </c>
      <c r="K659" s="12" t="s">
        <v>34823</v>
      </c>
      <c r="L659" s="36">
        <v>0.5449438202247191</v>
      </c>
    </row>
    <row r="660" spans="1:12" x14ac:dyDescent="0.45">
      <c r="A660" s="12" t="s">
        <v>34679</v>
      </c>
      <c r="B660" s="12" t="s">
        <v>2795</v>
      </c>
      <c r="C660" s="13" t="s">
        <v>2796</v>
      </c>
      <c r="D660" s="13" t="s">
        <v>65</v>
      </c>
      <c r="E660" s="12" t="s">
        <v>35</v>
      </c>
      <c r="F660" s="14">
        <v>9000</v>
      </c>
      <c r="G660" s="14">
        <v>5470</v>
      </c>
      <c r="H660" s="13" t="s">
        <v>34824</v>
      </c>
      <c r="I660" s="40" t="s">
        <v>18</v>
      </c>
      <c r="J660" s="40" t="str">
        <f>HYPERLINK("https://stock.pstatic.net/stock-research/company/57/20260803_company_366601000.pdf","PDF")</f>
        <v>PDF</v>
      </c>
      <c r="K660" s="12" t="s">
        <v>34825</v>
      </c>
      <c r="L660" s="36">
        <v>0.6453382084095064</v>
      </c>
    </row>
    <row r="661" spans="1:12" x14ac:dyDescent="0.45">
      <c r="A661" s="12" t="s">
        <v>34679</v>
      </c>
      <c r="B661" s="12" t="s">
        <v>156</v>
      </c>
      <c r="C661" s="13" t="s">
        <v>157</v>
      </c>
      <c r="D661" s="13" t="s">
        <v>65</v>
      </c>
      <c r="E661" s="12" t="s">
        <v>1738</v>
      </c>
      <c r="F661" s="14">
        <v>3900</v>
      </c>
      <c r="G661" s="14">
        <v>3305</v>
      </c>
      <c r="H661" s="13" t="s">
        <v>34826</v>
      </c>
      <c r="I661" s="40" t="s">
        <v>18</v>
      </c>
      <c r="J661" s="40" t="str">
        <f>HYPERLINK("https://stock.pstatic.net/stock-research/company/57/20260803_company_755642000.pdf","PDF")</f>
        <v>PDF</v>
      </c>
      <c r="K661" s="12" t="s">
        <v>34827</v>
      </c>
      <c r="L661" s="36">
        <v>0.1800302571860817</v>
      </c>
    </row>
    <row r="662" spans="1:12" x14ac:dyDescent="0.45">
      <c r="A662" s="12" t="s">
        <v>34679</v>
      </c>
      <c r="B662" s="12" t="s">
        <v>5767</v>
      </c>
      <c r="C662" s="13" t="s">
        <v>5768</v>
      </c>
      <c r="D662" s="13" t="s">
        <v>65</v>
      </c>
      <c r="E662" s="12" t="s">
        <v>35</v>
      </c>
      <c r="F662" s="14">
        <v>40000</v>
      </c>
      <c r="G662" s="14">
        <v>26500</v>
      </c>
      <c r="H662" s="13" t="s">
        <v>34828</v>
      </c>
      <c r="I662" s="40" t="s">
        <v>18</v>
      </c>
      <c r="J662" s="40" t="str">
        <f>HYPERLINK("https://stock.pstatic.net/stock-research/company/57/20260803_company_59016000.pdf","PDF")</f>
        <v>PDF</v>
      </c>
      <c r="K662" s="12" t="s">
        <v>34829</v>
      </c>
      <c r="L662" s="36">
        <v>0.50943396226415094</v>
      </c>
    </row>
    <row r="663" spans="1:12" x14ac:dyDescent="0.45">
      <c r="A663" s="12" t="s">
        <v>34679</v>
      </c>
      <c r="B663" s="12" t="s">
        <v>3230</v>
      </c>
      <c r="C663" s="13" t="s">
        <v>3231</v>
      </c>
      <c r="D663" s="13" t="s">
        <v>65</v>
      </c>
      <c r="E663" s="12" t="s">
        <v>35</v>
      </c>
      <c r="F663" s="14">
        <v>4300000</v>
      </c>
      <c r="G663" s="14">
        <v>2417000</v>
      </c>
      <c r="H663" s="13" t="s">
        <v>34830</v>
      </c>
      <c r="I663" s="40" t="s">
        <v>18</v>
      </c>
      <c r="J663" s="40" t="str">
        <f>HYPERLINK("https://stock.pstatic.net/stock-research/company/57/20260803_company_219785000.pdf","PDF")</f>
        <v>PDF</v>
      </c>
      <c r="K663" s="12" t="s">
        <v>34831</v>
      </c>
      <c r="L663" s="36">
        <v>0.77906495655771613</v>
      </c>
    </row>
    <row r="664" spans="1:12" x14ac:dyDescent="0.45">
      <c r="A664" s="12" t="s">
        <v>34679</v>
      </c>
      <c r="B664" s="12" t="s">
        <v>3101</v>
      </c>
      <c r="C664" s="13" t="s">
        <v>3102</v>
      </c>
      <c r="D664" s="13" t="s">
        <v>65</v>
      </c>
      <c r="E664" s="12" t="s">
        <v>35</v>
      </c>
      <c r="F664" s="14">
        <v>154000</v>
      </c>
      <c r="G664" s="14">
        <v>103500</v>
      </c>
      <c r="H664" s="13" t="s">
        <v>34832</v>
      </c>
      <c r="I664" s="40" t="s">
        <v>18</v>
      </c>
      <c r="J664" s="40" t="str">
        <f>HYPERLINK("https://stock.pstatic.net/stock-research/company/57/20260803_company_955756000.pdf","PDF")</f>
        <v>PDF</v>
      </c>
      <c r="K664" s="12" t="s">
        <v>34833</v>
      </c>
      <c r="L664" s="36">
        <v>0.48792270531400972</v>
      </c>
    </row>
    <row r="665" spans="1:12" x14ac:dyDescent="0.45">
      <c r="A665" s="12" t="s">
        <v>34679</v>
      </c>
      <c r="B665" s="12" t="s">
        <v>398</v>
      </c>
      <c r="C665" s="13" t="s">
        <v>399</v>
      </c>
      <c r="D665" s="13" t="s">
        <v>65</v>
      </c>
      <c r="E665" s="12" t="s">
        <v>35</v>
      </c>
      <c r="F665" s="14">
        <v>171000</v>
      </c>
      <c r="G665" s="14">
        <v>137700</v>
      </c>
      <c r="H665" s="13" t="s">
        <v>34834</v>
      </c>
      <c r="I665" s="40" t="s">
        <v>18</v>
      </c>
      <c r="J665" s="40" t="str">
        <f>HYPERLINK("https://stock.pstatic.net/stock-research/company/57/20260803_company_489209000.pdf","PDF")</f>
        <v>PDF</v>
      </c>
      <c r="K665" s="12" t="s">
        <v>34835</v>
      </c>
      <c r="L665" s="36">
        <v>0.2418300653594771</v>
      </c>
    </row>
    <row r="666" spans="1:12" x14ac:dyDescent="0.45">
      <c r="A666" s="12" t="s">
        <v>34679</v>
      </c>
      <c r="B666" s="12" t="s">
        <v>9369</v>
      </c>
      <c r="C666" s="13" t="s">
        <v>9370</v>
      </c>
      <c r="D666" s="13" t="s">
        <v>65</v>
      </c>
      <c r="E666" s="12" t="s">
        <v>35</v>
      </c>
      <c r="F666" s="14">
        <v>48000</v>
      </c>
      <c r="G666" s="14">
        <v>31050</v>
      </c>
      <c r="H666" s="13" t="s">
        <v>34836</v>
      </c>
      <c r="I666" s="40" t="s">
        <v>18</v>
      </c>
      <c r="J666" s="40" t="str">
        <f>HYPERLINK("https://stock.pstatic.net/stock-research/company/57/20260803_company_957585000.pdf","PDF")</f>
        <v>PDF</v>
      </c>
      <c r="K666" s="12" t="s">
        <v>34837</v>
      </c>
      <c r="L666" s="36">
        <v>0.54589371980676327</v>
      </c>
    </row>
    <row r="667" spans="1:12" x14ac:dyDescent="0.45">
      <c r="A667" s="12" t="s">
        <v>34679</v>
      </c>
      <c r="B667" s="12" t="s">
        <v>3164</v>
      </c>
      <c r="C667" s="13" t="s">
        <v>3165</v>
      </c>
      <c r="D667" s="13" t="s">
        <v>65</v>
      </c>
      <c r="E667" s="12" t="s">
        <v>35</v>
      </c>
      <c r="F667" s="14">
        <v>135000</v>
      </c>
      <c r="G667" s="14">
        <v>94600</v>
      </c>
      <c r="H667" s="13" t="s">
        <v>34838</v>
      </c>
      <c r="I667" s="40" t="s">
        <v>18</v>
      </c>
      <c r="J667" s="40" t="str">
        <f>HYPERLINK("https://stock.pstatic.net/stock-research/company/57/20260803_company_832428000.pdf","PDF")</f>
        <v>PDF</v>
      </c>
      <c r="K667" s="12" t="s">
        <v>34839</v>
      </c>
      <c r="L667" s="36">
        <v>0.42706131078224102</v>
      </c>
    </row>
    <row r="668" spans="1:12" x14ac:dyDescent="0.45">
      <c r="A668" s="12" t="s">
        <v>34679</v>
      </c>
      <c r="B668" s="12" t="s">
        <v>1548</v>
      </c>
      <c r="C668" s="13" t="s">
        <v>1549</v>
      </c>
      <c r="D668" s="13" t="s">
        <v>158</v>
      </c>
      <c r="E668" s="12" t="s">
        <v>35</v>
      </c>
      <c r="F668" s="14">
        <v>1480000</v>
      </c>
      <c r="G668" s="14">
        <v>917000</v>
      </c>
      <c r="H668" s="13" t="s">
        <v>34840</v>
      </c>
      <c r="I668" s="40" t="s">
        <v>18</v>
      </c>
      <c r="J668" s="40" t="str">
        <f>HYPERLINK("https://stock.pstatic.net/stock-research/company/18/20260803_company_802514000.pdf","PDF")</f>
        <v>PDF</v>
      </c>
      <c r="K668" s="12" t="s">
        <v>34841</v>
      </c>
      <c r="L668" s="36">
        <v>0.613958560523446</v>
      </c>
    </row>
    <row r="669" spans="1:12" x14ac:dyDescent="0.45">
      <c r="A669" s="12" t="s">
        <v>34679</v>
      </c>
      <c r="B669" s="12" t="s">
        <v>5597</v>
      </c>
      <c r="C669" s="13" t="s">
        <v>5598</v>
      </c>
      <c r="D669" s="13" t="s">
        <v>158</v>
      </c>
      <c r="E669" s="12" t="s">
        <v>35</v>
      </c>
      <c r="F669" s="14">
        <v>141000</v>
      </c>
      <c r="G669" s="14">
        <v>50100</v>
      </c>
      <c r="H669" s="13" t="s">
        <v>34842</v>
      </c>
      <c r="I669" s="40" t="s">
        <v>18</v>
      </c>
      <c r="J669" s="40" t="str">
        <f>HYPERLINK("https://stock.pstatic.net/stock-research/company/18/20260803_company_449583000.pdf","PDF")</f>
        <v>PDF</v>
      </c>
      <c r="K669" s="12" t="s">
        <v>34843</v>
      </c>
      <c r="L669" s="36">
        <v>1.8143712574850299</v>
      </c>
    </row>
    <row r="670" spans="1:12" x14ac:dyDescent="0.45">
      <c r="A670" s="12" t="s">
        <v>34679</v>
      </c>
      <c r="B670" s="12" t="s">
        <v>322</v>
      </c>
      <c r="C670" s="13" t="s">
        <v>323</v>
      </c>
      <c r="D670" s="13" t="s">
        <v>158</v>
      </c>
      <c r="E670" s="12" t="s">
        <v>50</v>
      </c>
      <c r="F670" s="13"/>
      <c r="G670" s="14">
        <v>51900</v>
      </c>
      <c r="H670" s="13" t="s">
        <v>34844</v>
      </c>
      <c r="I670" s="40" t="s">
        <v>18</v>
      </c>
      <c r="J670" s="40" t="str">
        <f>HYPERLINK("https://stock.pstatic.net/stock-research/company/18/20260803_company_645073000.pdf","PDF")</f>
        <v>PDF</v>
      </c>
      <c r="K670" s="12" t="s">
        <v>34845</v>
      </c>
      <c r="L670" s="12"/>
    </row>
    <row r="671" spans="1:12" x14ac:dyDescent="0.45">
      <c r="A671" s="12" t="s">
        <v>34679</v>
      </c>
      <c r="B671" s="12" t="s">
        <v>4567</v>
      </c>
      <c r="C671" s="13" t="s">
        <v>4568</v>
      </c>
      <c r="D671" s="13" t="s">
        <v>158</v>
      </c>
      <c r="E671" s="12" t="s">
        <v>35</v>
      </c>
      <c r="F671" s="14">
        <v>180000</v>
      </c>
      <c r="G671" s="14">
        <v>96800</v>
      </c>
      <c r="H671" s="13" t="s">
        <v>34846</v>
      </c>
      <c r="I671" s="40" t="s">
        <v>18</v>
      </c>
      <c r="J671" s="40" t="str">
        <f>HYPERLINK("https://stock.pstatic.net/stock-research/company/18/20260803_company_891481000.pdf","PDF")</f>
        <v>PDF</v>
      </c>
      <c r="K671" s="12" t="s">
        <v>34847</v>
      </c>
      <c r="L671" s="36">
        <v>0.85950413223140498</v>
      </c>
    </row>
    <row r="672" spans="1:12" x14ac:dyDescent="0.45">
      <c r="A672" s="12" t="s">
        <v>34679</v>
      </c>
      <c r="B672" s="12" t="s">
        <v>3230</v>
      </c>
      <c r="C672" s="13" t="s">
        <v>3231</v>
      </c>
      <c r="D672" s="13" t="s">
        <v>158</v>
      </c>
      <c r="E672" s="12" t="s">
        <v>35</v>
      </c>
      <c r="F672" s="14">
        <v>5000000</v>
      </c>
      <c r="G672" s="14">
        <v>2417000</v>
      </c>
      <c r="H672" s="13" t="s">
        <v>34848</v>
      </c>
      <c r="I672" s="40" t="s">
        <v>18</v>
      </c>
      <c r="J672" s="40" t="str">
        <f>HYPERLINK("https://stock.pstatic.net/stock-research/company/18/20260803_company_82728000.pdf","PDF")</f>
        <v>PDF</v>
      </c>
      <c r="K672" s="12" t="s">
        <v>34849</v>
      </c>
      <c r="L672" s="36">
        <v>1.0686801820438561</v>
      </c>
    </row>
    <row r="673" spans="1:12" x14ac:dyDescent="0.45">
      <c r="A673" s="12" t="s">
        <v>34679</v>
      </c>
      <c r="B673" s="12" t="s">
        <v>2795</v>
      </c>
      <c r="C673" s="13" t="s">
        <v>2796</v>
      </c>
      <c r="D673" s="13" t="s">
        <v>158</v>
      </c>
      <c r="E673" s="12" t="s">
        <v>35</v>
      </c>
      <c r="F673" s="14">
        <v>8000</v>
      </c>
      <c r="G673" s="14">
        <v>5470</v>
      </c>
      <c r="H673" s="13" t="s">
        <v>34850</v>
      </c>
      <c r="I673" s="40" t="s">
        <v>18</v>
      </c>
      <c r="J673" s="40" t="str">
        <f>HYPERLINK("https://stock.pstatic.net/stock-research/company/18/20260803_company_482259000.pdf","PDF")</f>
        <v>PDF</v>
      </c>
      <c r="K673" s="12" t="s">
        <v>34851</v>
      </c>
      <c r="L673" s="36">
        <v>0.46252285191956122</v>
      </c>
    </row>
    <row r="674" spans="1:12" x14ac:dyDescent="0.45">
      <c r="A674" s="12" t="s">
        <v>34679</v>
      </c>
      <c r="B674" s="12" t="s">
        <v>434</v>
      </c>
      <c r="C674" s="13" t="s">
        <v>435</v>
      </c>
      <c r="D674" s="13" t="s">
        <v>158</v>
      </c>
      <c r="E674" s="12" t="s">
        <v>35</v>
      </c>
      <c r="F674" s="14">
        <v>178000</v>
      </c>
      <c r="G674" s="14">
        <v>134000</v>
      </c>
      <c r="H674" s="13" t="s">
        <v>34852</v>
      </c>
      <c r="I674" s="40" t="s">
        <v>18</v>
      </c>
      <c r="J674" s="40" t="str">
        <f>HYPERLINK("https://stock.pstatic.net/stock-research/company/18/20260803_company_950035000.pdf","PDF")</f>
        <v>PDF</v>
      </c>
      <c r="K674" s="12" t="s">
        <v>34853</v>
      </c>
      <c r="L674" s="36">
        <v>0.32835820895522388</v>
      </c>
    </row>
    <row r="675" spans="1:12" x14ac:dyDescent="0.45">
      <c r="A675" s="12" t="s">
        <v>34679</v>
      </c>
      <c r="B675" s="12" t="s">
        <v>1431</v>
      </c>
      <c r="C675" s="13" t="s">
        <v>1432</v>
      </c>
      <c r="D675" s="13" t="s">
        <v>15</v>
      </c>
      <c r="E675" s="12" t="s">
        <v>35</v>
      </c>
      <c r="F675" s="14">
        <v>280000</v>
      </c>
      <c r="G675" s="14">
        <v>199600</v>
      </c>
      <c r="H675" s="13" t="s">
        <v>34854</v>
      </c>
      <c r="I675" s="40" t="s">
        <v>18</v>
      </c>
      <c r="J675" s="40" t="str">
        <f>HYPERLINK("https://stock.pstatic.net/stock-research/company/56/20260803_company_680588000.pdf","PDF")</f>
        <v>PDF</v>
      </c>
      <c r="K675" s="12" t="s">
        <v>34855</v>
      </c>
      <c r="L675" s="36">
        <v>0.4028056112224449</v>
      </c>
    </row>
    <row r="676" spans="1:12" x14ac:dyDescent="0.45">
      <c r="A676" s="12" t="s">
        <v>34679</v>
      </c>
      <c r="B676" s="12" t="s">
        <v>3230</v>
      </c>
      <c r="C676" s="13" t="s">
        <v>3231</v>
      </c>
      <c r="D676" s="13" t="s">
        <v>15</v>
      </c>
      <c r="E676" s="12" t="s">
        <v>16</v>
      </c>
      <c r="F676" s="14">
        <v>5000000</v>
      </c>
      <c r="G676" s="14">
        <v>2417000</v>
      </c>
      <c r="H676" s="13" t="s">
        <v>34856</v>
      </c>
      <c r="I676" s="40" t="s">
        <v>18</v>
      </c>
      <c r="J676" s="40" t="str">
        <f>HYPERLINK("https://stock.pstatic.net/stock-research/company/56/20260803_company_96706000.pdf","PDF")</f>
        <v>PDF</v>
      </c>
      <c r="K676" s="12" t="s">
        <v>34857</v>
      </c>
      <c r="L676" s="36">
        <v>1.0686801820438561</v>
      </c>
    </row>
    <row r="677" spans="1:12" x14ac:dyDescent="0.45">
      <c r="A677" s="12" t="s">
        <v>34679</v>
      </c>
      <c r="B677" s="12" t="s">
        <v>2887</v>
      </c>
      <c r="C677" s="13" t="s">
        <v>2888</v>
      </c>
      <c r="D677" s="13" t="s">
        <v>92</v>
      </c>
      <c r="E677" s="12" t="s">
        <v>35</v>
      </c>
      <c r="F677" s="14">
        <v>380000</v>
      </c>
      <c r="G677" s="14">
        <v>258000</v>
      </c>
      <c r="H677" s="13" t="s">
        <v>34858</v>
      </c>
      <c r="I677" s="40" t="s">
        <v>18</v>
      </c>
      <c r="J677" s="40" t="str">
        <f>HYPERLINK("https://stock.pstatic.net/stock-research/company/63/20260803_company_626111000.pdf","PDF")</f>
        <v>PDF</v>
      </c>
      <c r="K677" s="12" t="s">
        <v>34859</v>
      </c>
      <c r="L677" s="36">
        <v>0.47286821705426357</v>
      </c>
    </row>
    <row r="678" spans="1:12" x14ac:dyDescent="0.45">
      <c r="A678" s="12" t="s">
        <v>34679</v>
      </c>
      <c r="B678" s="12" t="s">
        <v>2414</v>
      </c>
      <c r="C678" s="13" t="s">
        <v>2415</v>
      </c>
      <c r="D678" s="13" t="s">
        <v>92</v>
      </c>
      <c r="E678" s="12" t="s">
        <v>35</v>
      </c>
      <c r="F678" s="14">
        <v>2680000</v>
      </c>
      <c r="G678" s="14">
        <v>1170000</v>
      </c>
      <c r="H678" s="13" t="s">
        <v>34860</v>
      </c>
      <c r="I678" s="40" t="s">
        <v>18</v>
      </c>
      <c r="J678" s="40" t="str">
        <f>HYPERLINK("https://stock.pstatic.net/stock-research/company/63/20260803_company_675310000.pdf","PDF")</f>
        <v>PDF</v>
      </c>
      <c r="K678" s="12" t="s">
        <v>34861</v>
      </c>
      <c r="L678" s="36">
        <v>1.2905982905982909</v>
      </c>
    </row>
    <row r="679" spans="1:12" x14ac:dyDescent="0.45">
      <c r="A679" s="12" t="s">
        <v>34679</v>
      </c>
      <c r="B679" s="12" t="s">
        <v>3164</v>
      </c>
      <c r="C679" s="13" t="s">
        <v>3165</v>
      </c>
      <c r="D679" s="13" t="s">
        <v>15</v>
      </c>
      <c r="E679" s="12" t="s">
        <v>16</v>
      </c>
      <c r="F679" s="14">
        <v>175000</v>
      </c>
      <c r="G679" s="14">
        <v>94600</v>
      </c>
      <c r="H679" s="13" t="s">
        <v>34862</v>
      </c>
      <c r="I679" s="40" t="s">
        <v>18</v>
      </c>
      <c r="J679" s="40" t="str">
        <f>HYPERLINK("https://stock.pstatic.net/stock-research/company/56/20260803_company_134563000.pdf","PDF")</f>
        <v>PDF</v>
      </c>
      <c r="K679" s="12" t="s">
        <v>34863</v>
      </c>
      <c r="L679" s="36">
        <v>0.84989429175475684</v>
      </c>
    </row>
    <row r="680" spans="1:12" x14ac:dyDescent="0.45">
      <c r="A680" s="12" t="s">
        <v>34679</v>
      </c>
      <c r="B680" s="12" t="s">
        <v>2658</v>
      </c>
      <c r="C680" s="13" t="s">
        <v>2659</v>
      </c>
      <c r="D680" s="13" t="s">
        <v>179</v>
      </c>
      <c r="E680" s="12" t="s">
        <v>16</v>
      </c>
      <c r="F680" s="14">
        <v>125000</v>
      </c>
      <c r="G680" s="14">
        <v>73500</v>
      </c>
      <c r="H680" s="13" t="s">
        <v>34864</v>
      </c>
      <c r="I680" s="40" t="s">
        <v>18</v>
      </c>
      <c r="J680" s="40" t="str">
        <f>HYPERLINK("https://stock.pstatic.net/stock-research/company/64/20260803_company_126897000.pdf","PDF")</f>
        <v>PDF</v>
      </c>
      <c r="K680" s="12" t="s">
        <v>34865</v>
      </c>
      <c r="L680" s="36">
        <v>0.70068027210884354</v>
      </c>
    </row>
    <row r="681" spans="1:12" x14ac:dyDescent="0.45">
      <c r="A681" s="12" t="s">
        <v>34679</v>
      </c>
      <c r="B681" s="12" t="s">
        <v>2795</v>
      </c>
      <c r="C681" s="13" t="s">
        <v>2796</v>
      </c>
      <c r="D681" s="13" t="s">
        <v>23</v>
      </c>
      <c r="E681" s="12" t="s">
        <v>16</v>
      </c>
      <c r="F681" s="14">
        <v>8000</v>
      </c>
      <c r="G681" s="14">
        <v>5470</v>
      </c>
      <c r="H681" s="13" t="s">
        <v>34866</v>
      </c>
      <c r="I681" s="40" t="s">
        <v>18</v>
      </c>
      <c r="J681" s="40" t="str">
        <f>HYPERLINK("https://stock.pstatic.net/stock-research/company/21/20260803_company_802332000.pdf","PDF")</f>
        <v>PDF</v>
      </c>
      <c r="K681" s="12" t="s">
        <v>34867</v>
      </c>
      <c r="L681" s="36">
        <v>0.46252285191956122</v>
      </c>
    </row>
    <row r="682" spans="1:12" x14ac:dyDescent="0.45">
      <c r="A682" s="12" t="s">
        <v>34679</v>
      </c>
      <c r="B682" s="12" t="s">
        <v>740</v>
      </c>
      <c r="C682" s="13" t="s">
        <v>741</v>
      </c>
      <c r="D682" s="13" t="s">
        <v>92</v>
      </c>
      <c r="E682" s="12" t="s">
        <v>35</v>
      </c>
      <c r="F682" s="14">
        <v>900000</v>
      </c>
      <c r="G682" s="14">
        <v>514000</v>
      </c>
      <c r="H682" s="13" t="s">
        <v>34868</v>
      </c>
      <c r="I682" s="40" t="s">
        <v>18</v>
      </c>
      <c r="J682" s="40" t="str">
        <f>HYPERLINK("https://stock.pstatic.net/stock-research/company/63/20260803_company_376869000.pdf","PDF")</f>
        <v>PDF</v>
      </c>
      <c r="K682" s="12" t="s">
        <v>34869</v>
      </c>
      <c r="L682" s="36">
        <v>0.75097276264591439</v>
      </c>
    </row>
    <row r="683" spans="1:12" x14ac:dyDescent="0.45">
      <c r="A683" s="12" t="s">
        <v>34679</v>
      </c>
      <c r="B683" s="12" t="s">
        <v>691</v>
      </c>
      <c r="C683" s="13" t="s">
        <v>20</v>
      </c>
      <c r="D683" s="13" t="s">
        <v>179</v>
      </c>
      <c r="E683" s="12" t="s">
        <v>16</v>
      </c>
      <c r="F683" s="14">
        <v>247823</v>
      </c>
      <c r="G683" s="14">
        <v>186700</v>
      </c>
      <c r="H683" s="13" t="s">
        <v>34870</v>
      </c>
      <c r="I683" s="40" t="s">
        <v>18</v>
      </c>
      <c r="J683" s="40" t="str">
        <f>HYPERLINK("https://stock.pstatic.net/stock-research/company/64/20260803_company_180761000.pdf","PDF")</f>
        <v>PDF</v>
      </c>
      <c r="K683" s="12" t="s">
        <v>34871</v>
      </c>
      <c r="L683" s="36">
        <v>0.32738618103910022</v>
      </c>
    </row>
    <row r="684" spans="1:12" x14ac:dyDescent="0.45">
      <c r="A684" s="12" t="s">
        <v>34679</v>
      </c>
      <c r="B684" s="12" t="s">
        <v>156</v>
      </c>
      <c r="C684" s="13" t="s">
        <v>157</v>
      </c>
      <c r="D684" s="13" t="s">
        <v>92</v>
      </c>
      <c r="E684" s="12" t="s">
        <v>35</v>
      </c>
      <c r="F684" s="14">
        <v>5250</v>
      </c>
      <c r="G684" s="14">
        <v>3305</v>
      </c>
      <c r="H684" s="13" t="s">
        <v>34872</v>
      </c>
      <c r="I684" s="40" t="s">
        <v>18</v>
      </c>
      <c r="J684" s="40" t="str">
        <f>HYPERLINK("https://stock.pstatic.net/stock-research/company/63/20260803_company_522497000.pdf","PDF")</f>
        <v>PDF</v>
      </c>
      <c r="K684" s="12" t="s">
        <v>34873</v>
      </c>
      <c r="L684" s="36">
        <v>0.5885022692889561</v>
      </c>
    </row>
    <row r="685" spans="1:12" x14ac:dyDescent="0.45">
      <c r="A685" s="12" t="s">
        <v>34679</v>
      </c>
      <c r="B685" s="12" t="s">
        <v>3230</v>
      </c>
      <c r="C685" s="13" t="s">
        <v>3231</v>
      </c>
      <c r="D685" s="13" t="s">
        <v>179</v>
      </c>
      <c r="E685" s="12" t="s">
        <v>16</v>
      </c>
      <c r="F685" s="14">
        <v>4000000</v>
      </c>
      <c r="G685" s="14">
        <v>2417000</v>
      </c>
      <c r="H685" s="13" t="s">
        <v>34874</v>
      </c>
      <c r="I685" s="40" t="s">
        <v>18</v>
      </c>
      <c r="J685" s="40" t="str">
        <f>HYPERLINK("https://stock.pstatic.net/stock-research/company/64/20260803_company_574038000.pdf","PDF")</f>
        <v>PDF</v>
      </c>
      <c r="K685" s="12" t="s">
        <v>34875</v>
      </c>
      <c r="L685" s="36">
        <v>0.65494414563508485</v>
      </c>
    </row>
    <row r="686" spans="1:12" x14ac:dyDescent="0.45">
      <c r="A686" s="12" t="s">
        <v>34679</v>
      </c>
      <c r="B686" s="12" t="s">
        <v>3101</v>
      </c>
      <c r="C686" s="13" t="s">
        <v>3102</v>
      </c>
      <c r="D686" s="13" t="s">
        <v>92</v>
      </c>
      <c r="E686" s="12" t="s">
        <v>35</v>
      </c>
      <c r="F686" s="14">
        <v>200000</v>
      </c>
      <c r="G686" s="14">
        <v>103500</v>
      </c>
      <c r="H686" s="13" t="s">
        <v>34876</v>
      </c>
      <c r="I686" s="40" t="s">
        <v>18</v>
      </c>
      <c r="J686" s="40" t="str">
        <f>HYPERLINK("https://stock.pstatic.net/stock-research/company/63/20260803_company_182196000.pdf","PDF")</f>
        <v>PDF</v>
      </c>
      <c r="K686" s="12" t="s">
        <v>34877</v>
      </c>
      <c r="L686" s="36">
        <v>0.93236714975845414</v>
      </c>
    </row>
    <row r="687" spans="1:12" x14ac:dyDescent="0.45">
      <c r="A687" s="12" t="s">
        <v>34679</v>
      </c>
      <c r="B687" s="12" t="s">
        <v>3391</v>
      </c>
      <c r="C687" s="13" t="s">
        <v>3392</v>
      </c>
      <c r="D687" s="13" t="s">
        <v>179</v>
      </c>
      <c r="E687" s="12" t="s">
        <v>16</v>
      </c>
      <c r="F687" s="14">
        <v>10300</v>
      </c>
      <c r="G687" s="14">
        <v>4900</v>
      </c>
      <c r="H687" s="13" t="s">
        <v>34878</v>
      </c>
      <c r="I687" s="40" t="s">
        <v>18</v>
      </c>
      <c r="J687" s="40" t="str">
        <f>HYPERLINK("https://stock.pstatic.net/stock-research/company/64/20260803_company_244933000.pdf","PDF")</f>
        <v>PDF</v>
      </c>
      <c r="K687" s="12" t="s">
        <v>34879</v>
      </c>
      <c r="L687" s="36">
        <v>1.1020408163265309</v>
      </c>
    </row>
    <row r="688" spans="1:12" x14ac:dyDescent="0.45">
      <c r="A688" s="12" t="s">
        <v>34679</v>
      </c>
      <c r="B688" s="12" t="s">
        <v>434</v>
      </c>
      <c r="C688" s="13" t="s">
        <v>435</v>
      </c>
      <c r="D688" s="13" t="s">
        <v>92</v>
      </c>
      <c r="E688" s="12" t="s">
        <v>35</v>
      </c>
      <c r="F688" s="14">
        <v>170000</v>
      </c>
      <c r="G688" s="14">
        <v>130000</v>
      </c>
      <c r="H688" s="13" t="s">
        <v>34880</v>
      </c>
      <c r="I688" s="40" t="s">
        <v>18</v>
      </c>
      <c r="J688" s="40" t="str">
        <f>HYPERLINK("https://stock.pstatic.net/stock-research/company/63/20260803_company_708132000.pdf","PDF")</f>
        <v>PDF</v>
      </c>
      <c r="K688" s="12" t="s">
        <v>34881</v>
      </c>
      <c r="L688" s="36">
        <v>0.30769230769230771</v>
      </c>
    </row>
    <row r="689" spans="1:12" x14ac:dyDescent="0.45">
      <c r="A689" s="12" t="s">
        <v>34679</v>
      </c>
      <c r="B689" s="12" t="s">
        <v>170</v>
      </c>
      <c r="C689" s="13" t="s">
        <v>171</v>
      </c>
      <c r="D689" s="13" t="s">
        <v>92</v>
      </c>
      <c r="E689" s="12" t="s">
        <v>35</v>
      </c>
      <c r="F689" s="14">
        <v>100000</v>
      </c>
      <c r="G689" s="14">
        <v>80500</v>
      </c>
      <c r="H689" s="13" t="s">
        <v>34882</v>
      </c>
      <c r="I689" s="40" t="s">
        <v>18</v>
      </c>
      <c r="J689" s="40" t="str">
        <f>HYPERLINK("https://stock.pstatic.net/stock-research/company/63/20260803_company_273202000.pdf","PDF")</f>
        <v>PDF</v>
      </c>
      <c r="K689" s="12" t="s">
        <v>34883</v>
      </c>
      <c r="L689" s="36">
        <v>0.24223602484472051</v>
      </c>
    </row>
    <row r="690" spans="1:12" x14ac:dyDescent="0.45">
      <c r="A690" s="12" t="s">
        <v>34679</v>
      </c>
      <c r="B690" s="12" t="s">
        <v>1548</v>
      </c>
      <c r="C690" s="13" t="s">
        <v>1549</v>
      </c>
      <c r="D690" s="13" t="s">
        <v>92</v>
      </c>
      <c r="E690" s="12" t="s">
        <v>35</v>
      </c>
      <c r="F690" s="14">
        <v>1860000</v>
      </c>
      <c r="G690" s="14">
        <v>917000</v>
      </c>
      <c r="H690" s="13" t="s">
        <v>34884</v>
      </c>
      <c r="I690" s="40" t="s">
        <v>18</v>
      </c>
      <c r="J690" s="40" t="str">
        <f>HYPERLINK("https://stock.pstatic.net/stock-research/company/63/20260803_company_203156000.pdf","PDF")</f>
        <v>PDF</v>
      </c>
      <c r="K690" s="12" t="s">
        <v>34885</v>
      </c>
      <c r="L690" s="36">
        <v>1.02835332606325</v>
      </c>
    </row>
    <row r="691" spans="1:12" x14ac:dyDescent="0.45">
      <c r="A691" s="12" t="s">
        <v>34679</v>
      </c>
      <c r="B691" s="12" t="s">
        <v>912</v>
      </c>
      <c r="C691" s="13" t="s">
        <v>913</v>
      </c>
      <c r="D691" s="13" t="s">
        <v>92</v>
      </c>
      <c r="E691" s="12" t="s">
        <v>35</v>
      </c>
      <c r="F691" s="14">
        <v>111000</v>
      </c>
      <c r="G691" s="14">
        <v>62500</v>
      </c>
      <c r="H691" s="13" t="s">
        <v>34886</v>
      </c>
      <c r="I691" s="40" t="s">
        <v>18</v>
      </c>
      <c r="J691" s="40" t="str">
        <f>HYPERLINK("https://stock.pstatic.net/stock-research/company/63/20260803_company_358317000.pdf","PDF")</f>
        <v>PDF</v>
      </c>
      <c r="K691" s="12" t="s">
        <v>34887</v>
      </c>
      <c r="L691" s="36">
        <v>0.77600000000000002</v>
      </c>
    </row>
    <row r="692" spans="1:12" x14ac:dyDescent="0.45">
      <c r="A692" s="12" t="s">
        <v>34679</v>
      </c>
      <c r="B692" s="12" t="s">
        <v>1548</v>
      </c>
      <c r="C692" s="13" t="s">
        <v>1549</v>
      </c>
      <c r="D692" s="13" t="s">
        <v>179</v>
      </c>
      <c r="E692" s="12" t="s">
        <v>16</v>
      </c>
      <c r="F692" s="14">
        <v>1600000</v>
      </c>
      <c r="G692" s="14">
        <v>917000</v>
      </c>
      <c r="H692" s="13" t="s">
        <v>34888</v>
      </c>
      <c r="I692" s="40" t="s">
        <v>18</v>
      </c>
      <c r="J692" s="40" t="str">
        <f>HYPERLINK("https://stock.pstatic.net/stock-research/company/64/20260803_company_829358000.pdf","PDF")</f>
        <v>PDF</v>
      </c>
      <c r="K692" s="12" t="s">
        <v>34889</v>
      </c>
      <c r="L692" s="36">
        <v>0.74482006543075241</v>
      </c>
    </row>
    <row r="693" spans="1:12" x14ac:dyDescent="0.45">
      <c r="A693" s="12" t="s">
        <v>34679</v>
      </c>
      <c r="B693" s="12" t="s">
        <v>1507</v>
      </c>
      <c r="C693" s="13" t="s">
        <v>1508</v>
      </c>
      <c r="D693" s="13" t="s">
        <v>92</v>
      </c>
      <c r="E693" s="12" t="s">
        <v>35</v>
      </c>
      <c r="F693" s="14">
        <v>11000</v>
      </c>
      <c r="G693" s="14">
        <v>7300</v>
      </c>
      <c r="H693" s="13" t="s">
        <v>34890</v>
      </c>
      <c r="I693" s="40" t="s">
        <v>18</v>
      </c>
      <c r="J693" s="40" t="str">
        <f>HYPERLINK("https://stock.pstatic.net/stock-research/company/63/20260803_company_636494000.pdf","PDF")</f>
        <v>PDF</v>
      </c>
      <c r="K693" s="12" t="s">
        <v>34891</v>
      </c>
      <c r="L693" s="36">
        <v>0.50684931506849318</v>
      </c>
    </row>
    <row r="694" spans="1:12" x14ac:dyDescent="0.45">
      <c r="A694" s="12" t="s">
        <v>34679</v>
      </c>
      <c r="B694" s="12" t="s">
        <v>334</v>
      </c>
      <c r="C694" s="13" t="s">
        <v>335</v>
      </c>
      <c r="D694" s="13" t="s">
        <v>179</v>
      </c>
      <c r="E694" s="12" t="s">
        <v>16</v>
      </c>
      <c r="F694" s="14">
        <v>4000000</v>
      </c>
      <c r="G694" s="14">
        <v>1718000</v>
      </c>
      <c r="H694" s="13" t="s">
        <v>34892</v>
      </c>
      <c r="I694" s="40" t="s">
        <v>18</v>
      </c>
      <c r="J694" s="40" t="str">
        <f>HYPERLINK("https://stock.pstatic.net/stock-research/company/64/20260803_company_221834000.pdf","PDF")</f>
        <v>PDF</v>
      </c>
      <c r="K694" s="12" t="s">
        <v>34893</v>
      </c>
      <c r="L694" s="36">
        <v>1.3282887077997669</v>
      </c>
    </row>
    <row r="695" spans="1:12" x14ac:dyDescent="0.45">
      <c r="A695" s="12" t="s">
        <v>34679</v>
      </c>
      <c r="B695" s="12" t="s">
        <v>3014</v>
      </c>
      <c r="C695" s="13" t="s">
        <v>3015</v>
      </c>
      <c r="D695" s="13" t="s">
        <v>34</v>
      </c>
      <c r="E695" s="12" t="s">
        <v>35</v>
      </c>
      <c r="F695" s="14">
        <v>85000</v>
      </c>
      <c r="G695" s="14">
        <v>71200</v>
      </c>
      <c r="H695" s="13" t="s">
        <v>34894</v>
      </c>
      <c r="I695" s="40" t="s">
        <v>18</v>
      </c>
      <c r="J695" s="40" t="str">
        <f>HYPERLINK("https://stock.pstatic.net/stock-research/company/61/20260803_company_187400000.pdf","PDF")</f>
        <v>PDF</v>
      </c>
      <c r="K695" s="12" t="s">
        <v>34895</v>
      </c>
      <c r="L695" s="36">
        <v>0.1938202247191011</v>
      </c>
    </row>
    <row r="696" spans="1:12" x14ac:dyDescent="0.45">
      <c r="A696" s="12" t="s">
        <v>34679</v>
      </c>
      <c r="B696" s="12" t="s">
        <v>1548</v>
      </c>
      <c r="C696" s="13" t="s">
        <v>1549</v>
      </c>
      <c r="D696" s="13" t="s">
        <v>23</v>
      </c>
      <c r="E696" s="12" t="s">
        <v>16</v>
      </c>
      <c r="F696" s="14">
        <v>1380000</v>
      </c>
      <c r="G696" s="14">
        <v>917000</v>
      </c>
      <c r="H696" s="13" t="s">
        <v>34896</v>
      </c>
      <c r="I696" s="40" t="s">
        <v>18</v>
      </c>
      <c r="J696" s="40" t="str">
        <f>HYPERLINK("https://stock.pstatic.net/stock-research/company/21/20260803_company_763205000.pdf","PDF")</f>
        <v>PDF</v>
      </c>
      <c r="K696" s="12" t="s">
        <v>34897</v>
      </c>
      <c r="L696" s="36">
        <v>0.50490730643402404</v>
      </c>
    </row>
    <row r="697" spans="1:12" x14ac:dyDescent="0.45">
      <c r="A697" s="12" t="s">
        <v>34679</v>
      </c>
      <c r="B697" s="12" t="s">
        <v>3230</v>
      </c>
      <c r="C697" s="13" t="s">
        <v>3231</v>
      </c>
      <c r="D697" s="13" t="s">
        <v>23</v>
      </c>
      <c r="E697" s="12" t="s">
        <v>16</v>
      </c>
      <c r="F697" s="14">
        <v>3400000</v>
      </c>
      <c r="G697" s="14">
        <v>2417000</v>
      </c>
      <c r="H697" s="13" t="s">
        <v>34898</v>
      </c>
      <c r="I697" s="40" t="s">
        <v>18</v>
      </c>
      <c r="J697" s="40" t="str">
        <f>HYPERLINK("https://stock.pstatic.net/stock-research/company/21/20260803_company_677971000.pdf","PDF")</f>
        <v>PDF</v>
      </c>
      <c r="K697" s="12" t="s">
        <v>34899</v>
      </c>
      <c r="L697" s="36">
        <v>0.40670252378982208</v>
      </c>
    </row>
    <row r="698" spans="1:12" x14ac:dyDescent="0.45">
      <c r="A698" s="12" t="s">
        <v>34679</v>
      </c>
      <c r="B698" s="12" t="s">
        <v>3164</v>
      </c>
      <c r="C698" s="13" t="s">
        <v>3165</v>
      </c>
      <c r="D698" s="13" t="s">
        <v>23</v>
      </c>
      <c r="E698" s="12" t="s">
        <v>16</v>
      </c>
      <c r="F698" s="14">
        <v>170000</v>
      </c>
      <c r="G698" s="14">
        <v>94600</v>
      </c>
      <c r="H698" s="13" t="s">
        <v>34900</v>
      </c>
      <c r="I698" s="40" t="s">
        <v>18</v>
      </c>
      <c r="J698" s="40" t="str">
        <f>HYPERLINK("https://stock.pstatic.net/stock-research/company/21/20260803_company_733803000.pdf","PDF")</f>
        <v>PDF</v>
      </c>
      <c r="K698" s="12" t="s">
        <v>34901</v>
      </c>
      <c r="L698" s="36">
        <v>0.79704016913319242</v>
      </c>
    </row>
    <row r="699" spans="1:12" x14ac:dyDescent="0.45">
      <c r="A699" s="12" t="s">
        <v>34679</v>
      </c>
      <c r="B699" s="12" t="s">
        <v>3014</v>
      </c>
      <c r="C699" s="13" t="s">
        <v>3015</v>
      </c>
      <c r="D699" s="13" t="s">
        <v>23</v>
      </c>
      <c r="E699" s="12" t="s">
        <v>16</v>
      </c>
      <c r="F699" s="14">
        <v>130000</v>
      </c>
      <c r="G699" s="14">
        <v>71200</v>
      </c>
      <c r="H699" s="13" t="s">
        <v>34902</v>
      </c>
      <c r="I699" s="40" t="s">
        <v>18</v>
      </c>
      <c r="J699" s="40" t="str">
        <f>HYPERLINK("https://stock.pstatic.net/stock-research/company/21/20260803_company_43637000.pdf","PDF")</f>
        <v>PDF</v>
      </c>
      <c r="K699" s="12" t="s">
        <v>34903</v>
      </c>
      <c r="L699" s="36">
        <v>0.8258426966292135</v>
      </c>
    </row>
    <row r="700" spans="1:12" x14ac:dyDescent="0.45">
      <c r="A700" s="12" t="s">
        <v>34679</v>
      </c>
      <c r="B700" s="12" t="s">
        <v>2758</v>
      </c>
      <c r="C700" s="13" t="s">
        <v>2759</v>
      </c>
      <c r="D700" s="13" t="s">
        <v>23</v>
      </c>
      <c r="E700" s="12" t="s">
        <v>16</v>
      </c>
      <c r="F700" s="14">
        <v>490000</v>
      </c>
      <c r="G700" s="14">
        <v>312500</v>
      </c>
      <c r="H700" s="13" t="s">
        <v>34904</v>
      </c>
      <c r="I700" s="40" t="s">
        <v>18</v>
      </c>
      <c r="J700" s="40" t="str">
        <f>HYPERLINK("https://stock.pstatic.net/stock-research/company/21/20260803_company_838091000.pdf","PDF")</f>
        <v>PDF</v>
      </c>
      <c r="K700" s="12" t="s">
        <v>34905</v>
      </c>
      <c r="L700" s="36">
        <v>0.56799999999999995</v>
      </c>
    </row>
    <row r="701" spans="1:12" x14ac:dyDescent="0.45">
      <c r="A701" s="12" t="s">
        <v>34679</v>
      </c>
      <c r="B701" s="12" t="s">
        <v>3101</v>
      </c>
      <c r="C701" s="13" t="s">
        <v>3102</v>
      </c>
      <c r="D701" s="13" t="s">
        <v>23</v>
      </c>
      <c r="E701" s="12" t="s">
        <v>16</v>
      </c>
      <c r="F701" s="14">
        <v>160000</v>
      </c>
      <c r="G701" s="14">
        <v>103500</v>
      </c>
      <c r="H701" s="13" t="s">
        <v>34906</v>
      </c>
      <c r="I701" s="40" t="s">
        <v>18</v>
      </c>
      <c r="J701" s="40" t="str">
        <f>HYPERLINK("https://stock.pstatic.net/stock-research/company/21/20260803_company_440748000.pdf","PDF")</f>
        <v>PDF</v>
      </c>
      <c r="K701" s="12" t="s">
        <v>34907</v>
      </c>
      <c r="L701" s="36">
        <v>0.54589371980676327</v>
      </c>
    </row>
    <row r="702" spans="1:12" x14ac:dyDescent="0.45">
      <c r="A702" s="12" t="s">
        <v>34679</v>
      </c>
      <c r="B702" s="12" t="s">
        <v>3079</v>
      </c>
      <c r="C702" s="13" t="s">
        <v>3080</v>
      </c>
      <c r="D702" s="13" t="s">
        <v>23</v>
      </c>
      <c r="E702" s="12" t="s">
        <v>16</v>
      </c>
      <c r="F702" s="14">
        <v>60000</v>
      </c>
      <c r="G702" s="14">
        <v>33300</v>
      </c>
      <c r="H702" s="13" t="s">
        <v>34908</v>
      </c>
      <c r="I702" s="40" t="s">
        <v>18</v>
      </c>
      <c r="J702" s="40" t="str">
        <f>HYPERLINK("https://stock.pstatic.net/stock-research/company/21/20260803_company_754167000.pdf","PDF")</f>
        <v>PDF</v>
      </c>
      <c r="K702" s="12" t="s">
        <v>34909</v>
      </c>
      <c r="L702" s="36">
        <v>0.80180180180180183</v>
      </c>
    </row>
    <row r="703" spans="1:12" x14ac:dyDescent="0.45">
      <c r="A703" s="12" t="s">
        <v>34679</v>
      </c>
      <c r="B703" s="12" t="s">
        <v>557</v>
      </c>
      <c r="C703" s="13" t="s">
        <v>558</v>
      </c>
      <c r="D703" s="13" t="s">
        <v>34</v>
      </c>
      <c r="E703" s="12" t="s">
        <v>35</v>
      </c>
      <c r="F703" s="14">
        <v>140000</v>
      </c>
      <c r="G703" s="14">
        <v>88200</v>
      </c>
      <c r="H703" s="13" t="s">
        <v>34910</v>
      </c>
      <c r="I703" s="40" t="s">
        <v>18</v>
      </c>
      <c r="J703" s="40" t="str">
        <f>HYPERLINK("https://stock.pstatic.net/stock-research/company/61/20260803_company_844111000.pdf","PDF")</f>
        <v>PDF</v>
      </c>
      <c r="K703" s="12" t="s">
        <v>34911</v>
      </c>
      <c r="L703" s="36">
        <v>0.58730158730158732</v>
      </c>
    </row>
    <row r="704" spans="1:12" x14ac:dyDescent="0.45">
      <c r="A704" s="12" t="s">
        <v>34679</v>
      </c>
      <c r="B704" s="12" t="s">
        <v>3164</v>
      </c>
      <c r="C704" s="13" t="s">
        <v>3165</v>
      </c>
      <c r="D704" s="13" t="s">
        <v>92</v>
      </c>
      <c r="E704" s="12" t="s">
        <v>35</v>
      </c>
      <c r="F704" s="14">
        <v>154000</v>
      </c>
      <c r="G704" s="14">
        <v>94600</v>
      </c>
      <c r="H704" s="13" t="s">
        <v>34912</v>
      </c>
      <c r="I704" s="40" t="s">
        <v>18</v>
      </c>
      <c r="J704" s="40" t="str">
        <f>HYPERLINK("https://stock.pstatic.net/stock-research/company/63/20260803_company_194050000.pdf","PDF")</f>
        <v>PDF</v>
      </c>
      <c r="K704" s="12" t="s">
        <v>34913</v>
      </c>
      <c r="L704" s="36">
        <v>0.62790697674418605</v>
      </c>
    </row>
    <row r="705" spans="1:12" x14ac:dyDescent="0.45">
      <c r="A705" s="12" t="s">
        <v>34679</v>
      </c>
      <c r="B705" s="12" t="s">
        <v>3395</v>
      </c>
      <c r="C705" s="13" t="s">
        <v>3396</v>
      </c>
      <c r="D705" s="13" t="s">
        <v>34</v>
      </c>
      <c r="E705" s="12" t="s">
        <v>35</v>
      </c>
      <c r="F705" s="14">
        <v>39000</v>
      </c>
      <c r="G705" s="14">
        <v>27250</v>
      </c>
      <c r="H705" s="13" t="s">
        <v>34914</v>
      </c>
      <c r="I705" s="40" t="s">
        <v>18</v>
      </c>
      <c r="J705" s="40" t="str">
        <f>HYPERLINK("https://stock.pstatic.net/stock-research/company/61/20260803_company_429847000.pdf","PDF")</f>
        <v>PDF</v>
      </c>
      <c r="K705" s="12" t="s">
        <v>34915</v>
      </c>
      <c r="L705" s="36">
        <v>0.43119266055045868</v>
      </c>
    </row>
    <row r="706" spans="1:12" x14ac:dyDescent="0.45">
      <c r="A706" s="12" t="s">
        <v>34679</v>
      </c>
      <c r="B706" s="12" t="s">
        <v>3536</v>
      </c>
      <c r="C706" s="13" t="s">
        <v>3537</v>
      </c>
      <c r="D706" s="13" t="s">
        <v>23</v>
      </c>
      <c r="E706" s="12" t="s">
        <v>16</v>
      </c>
      <c r="F706" s="14">
        <v>600000</v>
      </c>
      <c r="G706" s="14">
        <v>308000</v>
      </c>
      <c r="H706" s="13" t="s">
        <v>34916</v>
      </c>
      <c r="I706" s="40" t="s">
        <v>18</v>
      </c>
      <c r="J706" s="40" t="str">
        <f>HYPERLINK("https://stock.pstatic.net/stock-research/company/21/20260803_company_524247000.pdf","PDF")</f>
        <v>PDF</v>
      </c>
      <c r="K706" s="12" t="s">
        <v>34917</v>
      </c>
      <c r="L706" s="36">
        <v>0.94805194805194803</v>
      </c>
    </row>
    <row r="707" spans="1:12" x14ac:dyDescent="0.45">
      <c r="A707" s="12" t="s">
        <v>34679</v>
      </c>
      <c r="B707" s="12" t="s">
        <v>2887</v>
      </c>
      <c r="C707" s="13" t="s">
        <v>2888</v>
      </c>
      <c r="D707" s="13" t="s">
        <v>23</v>
      </c>
      <c r="E707" s="12" t="s">
        <v>16</v>
      </c>
      <c r="F707" s="14">
        <v>450000</v>
      </c>
      <c r="G707" s="14">
        <v>258000</v>
      </c>
      <c r="H707" s="13" t="s">
        <v>34918</v>
      </c>
      <c r="I707" s="40" t="s">
        <v>18</v>
      </c>
      <c r="J707" s="40" t="str">
        <f>HYPERLINK("https://stock.pstatic.net/stock-research/company/21/20260803_company_772151000.pdf","PDF")</f>
        <v>PDF</v>
      </c>
      <c r="K707" s="12" t="s">
        <v>34919</v>
      </c>
      <c r="L707" s="36">
        <v>0.7441860465116279</v>
      </c>
    </row>
    <row r="708" spans="1:12" x14ac:dyDescent="0.45">
      <c r="A708" s="12" t="s">
        <v>34679</v>
      </c>
      <c r="B708" s="12" t="s">
        <v>2950</v>
      </c>
      <c r="C708" s="13" t="s">
        <v>2951</v>
      </c>
      <c r="D708" s="13" t="s">
        <v>34</v>
      </c>
      <c r="E708" s="12" t="s">
        <v>50</v>
      </c>
      <c r="F708" s="13"/>
      <c r="G708" s="14">
        <v>67100</v>
      </c>
      <c r="H708" s="13" t="s">
        <v>34920</v>
      </c>
      <c r="I708" s="40" t="s">
        <v>18</v>
      </c>
      <c r="J708" s="40" t="str">
        <f>HYPERLINK("https://stock.pstatic.net/stock-research/company/61/20260803_company_763810000.pdf","PDF")</f>
        <v>PDF</v>
      </c>
      <c r="K708" s="12" t="s">
        <v>34921</v>
      </c>
      <c r="L708" s="12"/>
    </row>
    <row r="709" spans="1:12" x14ac:dyDescent="0.45">
      <c r="A709" s="12" t="s">
        <v>34679</v>
      </c>
      <c r="B709" s="12" t="s">
        <v>3164</v>
      </c>
      <c r="C709" s="13" t="s">
        <v>3165</v>
      </c>
      <c r="D709" s="13" t="s">
        <v>34</v>
      </c>
      <c r="E709" s="12" t="s">
        <v>35</v>
      </c>
      <c r="F709" s="14">
        <v>150000</v>
      </c>
      <c r="G709" s="14">
        <v>94600</v>
      </c>
      <c r="H709" s="13" t="s">
        <v>34922</v>
      </c>
      <c r="I709" s="40" t="s">
        <v>18</v>
      </c>
      <c r="J709" s="40" t="str">
        <f>HYPERLINK("https://stock.pstatic.net/stock-research/company/61/20260803_company_187286000.pdf","PDF")</f>
        <v>PDF</v>
      </c>
      <c r="K709" s="12" t="s">
        <v>34923</v>
      </c>
      <c r="L709" s="36">
        <v>0.58562367864693443</v>
      </c>
    </row>
    <row r="710" spans="1:12" x14ac:dyDescent="0.45">
      <c r="A710" s="12" t="s">
        <v>34679</v>
      </c>
      <c r="B710" s="12" t="s">
        <v>2795</v>
      </c>
      <c r="C710" s="13" t="s">
        <v>2796</v>
      </c>
      <c r="D710" s="13" t="s">
        <v>34</v>
      </c>
      <c r="E710" s="12" t="s">
        <v>35</v>
      </c>
      <c r="F710" s="14">
        <v>8000</v>
      </c>
      <c r="G710" s="14">
        <v>5470</v>
      </c>
      <c r="H710" s="13" t="s">
        <v>34924</v>
      </c>
      <c r="I710" s="40" t="s">
        <v>18</v>
      </c>
      <c r="J710" s="40" t="str">
        <f>HYPERLINK("https://stock.pstatic.net/stock-research/company/61/20260803_company_395838000.pdf","PDF")</f>
        <v>PDF</v>
      </c>
      <c r="K710" s="12" t="s">
        <v>34925</v>
      </c>
      <c r="L710" s="36">
        <v>0.46252285191956122</v>
      </c>
    </row>
    <row r="711" spans="1:12" x14ac:dyDescent="0.45">
      <c r="A711" s="12" t="s">
        <v>34679</v>
      </c>
      <c r="B711" s="12" t="s">
        <v>3101</v>
      </c>
      <c r="C711" s="13" t="s">
        <v>3102</v>
      </c>
      <c r="D711" s="13" t="s">
        <v>34</v>
      </c>
      <c r="E711" s="12" t="s">
        <v>159</v>
      </c>
      <c r="F711" s="14">
        <v>100000</v>
      </c>
      <c r="G711" s="14">
        <v>103500</v>
      </c>
      <c r="H711" s="13" t="s">
        <v>34926</v>
      </c>
      <c r="I711" s="40" t="s">
        <v>18</v>
      </c>
      <c r="J711" s="40" t="str">
        <f>HYPERLINK("https://stock.pstatic.net/stock-research/company/61/20260803_company_173032000.pdf","PDF")</f>
        <v>PDF</v>
      </c>
      <c r="K711" s="12" t="s">
        <v>34927</v>
      </c>
      <c r="L711" s="36">
        <v>-3.3816425120772937E-2</v>
      </c>
    </row>
    <row r="712" spans="1:12" x14ac:dyDescent="0.45">
      <c r="A712" s="12" t="s">
        <v>34679</v>
      </c>
      <c r="B712" s="12" t="s">
        <v>3230</v>
      </c>
      <c r="C712" s="13" t="s">
        <v>3231</v>
      </c>
      <c r="D712" s="13" t="s">
        <v>53</v>
      </c>
      <c r="E712" s="12" t="s">
        <v>16</v>
      </c>
      <c r="F712" s="14">
        <v>4100000</v>
      </c>
      <c r="G712" s="14">
        <v>2417000</v>
      </c>
      <c r="H712" s="13" t="s">
        <v>34928</v>
      </c>
      <c r="I712" s="40" t="s">
        <v>18</v>
      </c>
      <c r="J712" s="40" t="str">
        <f>HYPERLINK("https://stock.pstatic.net/stock-research/company/40/20260803_company_194529000.pdf","PDF")</f>
        <v>PDF</v>
      </c>
      <c r="K712" s="12" t="s">
        <v>34929</v>
      </c>
      <c r="L712" s="36">
        <v>0.69631774927596191</v>
      </c>
    </row>
    <row r="713" spans="1:12" x14ac:dyDescent="0.45">
      <c r="A713" s="12" t="s">
        <v>34679</v>
      </c>
      <c r="B713" s="12" t="s">
        <v>2960</v>
      </c>
      <c r="C713" s="13" t="s">
        <v>2961</v>
      </c>
      <c r="D713" s="13" t="s">
        <v>23</v>
      </c>
      <c r="E713" s="12" t="s">
        <v>16</v>
      </c>
      <c r="F713" s="14">
        <v>65000</v>
      </c>
      <c r="G713" s="14">
        <v>43550</v>
      </c>
      <c r="H713" s="13" t="s">
        <v>34930</v>
      </c>
      <c r="I713" s="40" t="s">
        <v>18</v>
      </c>
      <c r="J713" s="40" t="str">
        <f>HYPERLINK("https://stock.pstatic.net/stock-research/company/21/20260803_company_641611000.pdf","PDF")</f>
        <v>PDF</v>
      </c>
      <c r="K713" s="12" t="s">
        <v>34931</v>
      </c>
      <c r="L713" s="36">
        <v>0.4925373134328358</v>
      </c>
    </row>
    <row r="714" spans="1:12" x14ac:dyDescent="0.45">
      <c r="A714" s="12" t="s">
        <v>34679</v>
      </c>
      <c r="B714" s="12" t="s">
        <v>2956</v>
      </c>
      <c r="C714" s="13" t="s">
        <v>2957</v>
      </c>
      <c r="D714" s="13" t="s">
        <v>53</v>
      </c>
      <c r="E714" s="12" t="s">
        <v>16</v>
      </c>
      <c r="F714" s="14">
        <v>45000</v>
      </c>
      <c r="G714" s="14">
        <v>23450</v>
      </c>
      <c r="H714" s="13" t="s">
        <v>34932</v>
      </c>
      <c r="I714" s="40" t="s">
        <v>18</v>
      </c>
      <c r="J714" s="40" t="str">
        <f>HYPERLINK("https://stock.pstatic.net/stock-research/company/40/20260803_company_558626000.pdf","PDF")</f>
        <v>PDF</v>
      </c>
      <c r="K714" s="12" t="s">
        <v>34933</v>
      </c>
      <c r="L714" s="36">
        <v>0.91897654584221744</v>
      </c>
    </row>
    <row r="715" spans="1:12" x14ac:dyDescent="0.45">
      <c r="A715" s="12" t="s">
        <v>34679</v>
      </c>
      <c r="B715" s="12" t="s">
        <v>3395</v>
      </c>
      <c r="C715" s="13" t="s">
        <v>3396</v>
      </c>
      <c r="D715" s="13" t="s">
        <v>23</v>
      </c>
      <c r="E715" s="12" t="s">
        <v>16</v>
      </c>
      <c r="F715" s="14">
        <v>38000</v>
      </c>
      <c r="G715" s="14">
        <v>27250</v>
      </c>
      <c r="H715" s="13" t="s">
        <v>34934</v>
      </c>
      <c r="I715" s="40" t="s">
        <v>18</v>
      </c>
      <c r="J715" s="40" t="str">
        <f>HYPERLINK("https://stock.pstatic.net/stock-research/company/21/20260803_company_450725000.pdf","PDF")</f>
        <v>PDF</v>
      </c>
      <c r="K715" s="12" t="s">
        <v>34935</v>
      </c>
      <c r="L715" s="36">
        <v>0.39449541284403672</v>
      </c>
    </row>
    <row r="716" spans="1:12" x14ac:dyDescent="0.45">
      <c r="A716" s="12" t="s">
        <v>34679</v>
      </c>
      <c r="B716" s="12" t="s">
        <v>3164</v>
      </c>
      <c r="C716" s="13" t="s">
        <v>3165</v>
      </c>
      <c r="D716" s="13" t="s">
        <v>53</v>
      </c>
      <c r="E716" s="12" t="s">
        <v>16</v>
      </c>
      <c r="F716" s="14">
        <v>160000</v>
      </c>
      <c r="G716" s="14">
        <v>94600</v>
      </c>
      <c r="H716" s="13" t="s">
        <v>34936</v>
      </c>
      <c r="I716" s="40" t="s">
        <v>18</v>
      </c>
      <c r="J716" s="40" t="str">
        <f>HYPERLINK("https://stock.pstatic.net/stock-research/company/40/20260803_company_890815000.pdf","PDF")</f>
        <v>PDF</v>
      </c>
      <c r="K716" s="12" t="s">
        <v>34937</v>
      </c>
      <c r="L716" s="36">
        <v>0.69133192389006337</v>
      </c>
    </row>
    <row r="717" spans="1:12" x14ac:dyDescent="0.45">
      <c r="A717" s="12" t="s">
        <v>34679</v>
      </c>
      <c r="B717" s="12" t="s">
        <v>3101</v>
      </c>
      <c r="C717" s="13" t="s">
        <v>3102</v>
      </c>
      <c r="D717" s="13" t="s">
        <v>53</v>
      </c>
      <c r="E717" s="12" t="s">
        <v>50</v>
      </c>
      <c r="F717" s="14">
        <v>115000</v>
      </c>
      <c r="G717" s="14">
        <v>103500</v>
      </c>
      <c r="H717" s="13" t="s">
        <v>34680</v>
      </c>
      <c r="I717" s="40" t="s">
        <v>18</v>
      </c>
      <c r="J717" s="40" t="str">
        <f>HYPERLINK("https://stock.pstatic.net/stock-research/company/40/20260803_company_329418000.pdf","PDF")</f>
        <v>PDF</v>
      </c>
      <c r="K717" s="12" t="s">
        <v>34681</v>
      </c>
      <c r="L717" s="36">
        <v>0.1111111111111111</v>
      </c>
    </row>
    <row r="718" spans="1:12" x14ac:dyDescent="0.45">
      <c r="A718" s="12" t="s">
        <v>34679</v>
      </c>
      <c r="B718" s="12" t="s">
        <v>2960</v>
      </c>
      <c r="C718" s="13" t="s">
        <v>2961</v>
      </c>
      <c r="D718" s="13" t="s">
        <v>53</v>
      </c>
      <c r="E718" s="12" t="s">
        <v>16</v>
      </c>
      <c r="F718" s="14">
        <v>81000</v>
      </c>
      <c r="G718" s="14">
        <v>43550</v>
      </c>
      <c r="H718" s="13" t="s">
        <v>34682</v>
      </c>
      <c r="I718" s="40" t="s">
        <v>18</v>
      </c>
      <c r="J718" s="40" t="str">
        <f>HYPERLINK("https://stock.pstatic.net/stock-research/company/40/20260803_company_423116000.pdf","PDF")</f>
        <v>PDF</v>
      </c>
      <c r="K718" s="12" t="s">
        <v>34683</v>
      </c>
      <c r="L718" s="36">
        <v>0.85993111366245689</v>
      </c>
    </row>
    <row r="719" spans="1:12" x14ac:dyDescent="0.45">
      <c r="A719" s="12" t="s">
        <v>34679</v>
      </c>
      <c r="B719" s="12" t="s">
        <v>1530</v>
      </c>
      <c r="C719" s="13" t="s">
        <v>1531</v>
      </c>
      <c r="D719" s="13" t="s">
        <v>34</v>
      </c>
      <c r="E719" s="12" t="s">
        <v>159</v>
      </c>
      <c r="F719" s="14">
        <v>15000</v>
      </c>
      <c r="G719" s="14">
        <v>13260</v>
      </c>
      <c r="H719" s="13" t="s">
        <v>34684</v>
      </c>
      <c r="I719" s="40" t="s">
        <v>18</v>
      </c>
      <c r="J719" s="40" t="str">
        <f>HYPERLINK("https://stock.pstatic.net/stock-research/company/61/20260803_company_796222000.pdf","PDF")</f>
        <v>PDF</v>
      </c>
      <c r="K719" s="12" t="s">
        <v>34685</v>
      </c>
      <c r="L719" s="36">
        <v>0.13122171945701361</v>
      </c>
    </row>
    <row r="720" spans="1:12" x14ac:dyDescent="0.45">
      <c r="A720" s="12" t="s">
        <v>34679</v>
      </c>
      <c r="B720" s="12" t="s">
        <v>2887</v>
      </c>
      <c r="C720" s="13" t="s">
        <v>2888</v>
      </c>
      <c r="D720" s="13" t="s">
        <v>34</v>
      </c>
      <c r="E720" s="12" t="s">
        <v>35</v>
      </c>
      <c r="F720" s="14">
        <v>370000</v>
      </c>
      <c r="G720" s="14">
        <v>258000</v>
      </c>
      <c r="H720" s="13" t="s">
        <v>34686</v>
      </c>
      <c r="I720" s="40" t="s">
        <v>18</v>
      </c>
      <c r="J720" s="40" t="str">
        <f>HYPERLINK("https://stock.pstatic.net/stock-research/company/61/20260803_company_909738000.pdf","PDF")</f>
        <v>PDF</v>
      </c>
      <c r="K720" s="12" t="s">
        <v>34687</v>
      </c>
      <c r="L720" s="36">
        <v>0.43410852713178288</v>
      </c>
    </row>
    <row r="721" spans="1:12" x14ac:dyDescent="0.45">
      <c r="A721" s="12" t="s">
        <v>34679</v>
      </c>
      <c r="B721" s="12" t="s">
        <v>1548</v>
      </c>
      <c r="C721" s="13" t="s">
        <v>1549</v>
      </c>
      <c r="D721" s="13" t="s">
        <v>34</v>
      </c>
      <c r="E721" s="12" t="s">
        <v>35</v>
      </c>
      <c r="F721" s="14">
        <v>1490000</v>
      </c>
      <c r="G721" s="14">
        <v>917000</v>
      </c>
      <c r="H721" s="13" t="s">
        <v>34688</v>
      </c>
      <c r="I721" s="40" t="s">
        <v>18</v>
      </c>
      <c r="J721" s="40" t="str">
        <f>HYPERLINK("https://stock.pstatic.net/stock-research/company/61/20260803_company_369898000.pdf","PDF")</f>
        <v>PDF</v>
      </c>
      <c r="K721" s="12" t="s">
        <v>34689</v>
      </c>
      <c r="L721" s="36">
        <v>0.62486368593238817</v>
      </c>
    </row>
    <row r="722" spans="1:12" x14ac:dyDescent="0.45">
      <c r="A722" s="12" t="s">
        <v>34679</v>
      </c>
      <c r="B722" s="12" t="s">
        <v>3536</v>
      </c>
      <c r="C722" s="13" t="s">
        <v>3537</v>
      </c>
      <c r="D722" s="13" t="s">
        <v>34</v>
      </c>
      <c r="E722" s="12" t="s">
        <v>35</v>
      </c>
      <c r="F722" s="14">
        <v>530000</v>
      </c>
      <c r="G722" s="14">
        <v>308000</v>
      </c>
      <c r="H722" s="13" t="s">
        <v>34690</v>
      </c>
      <c r="I722" s="40" t="s">
        <v>18</v>
      </c>
      <c r="J722" s="40" t="str">
        <f>HYPERLINK("https://stock.pstatic.net/stock-research/company/61/20260803_company_166183000.pdf","PDF")</f>
        <v>PDF</v>
      </c>
      <c r="K722" s="12" t="s">
        <v>34691</v>
      </c>
      <c r="L722" s="36">
        <v>0.72077922077922074</v>
      </c>
    </row>
    <row r="723" spans="1:12" x14ac:dyDescent="0.45">
      <c r="A723" s="12" t="s">
        <v>34679</v>
      </c>
      <c r="B723" s="12" t="s">
        <v>4567</v>
      </c>
      <c r="C723" s="13" t="s">
        <v>4568</v>
      </c>
      <c r="D723" s="13" t="s">
        <v>34</v>
      </c>
      <c r="E723" s="12" t="s">
        <v>35</v>
      </c>
      <c r="F723" s="14">
        <v>150000</v>
      </c>
      <c r="G723" s="14">
        <v>96800</v>
      </c>
      <c r="H723" s="13" t="s">
        <v>34692</v>
      </c>
      <c r="I723" s="40" t="s">
        <v>18</v>
      </c>
      <c r="J723" s="40" t="str">
        <f>HYPERLINK("https://stock.pstatic.net/stock-research/company/61/20260803_company_595815000.pdf","PDF")</f>
        <v>PDF</v>
      </c>
      <c r="K723" s="12" t="s">
        <v>34693</v>
      </c>
      <c r="L723" s="36">
        <v>0.54958677685950408</v>
      </c>
    </row>
    <row r="724" spans="1:12" x14ac:dyDescent="0.45">
      <c r="A724" s="12" t="s">
        <v>34679</v>
      </c>
      <c r="B724" s="12" t="s">
        <v>698</v>
      </c>
      <c r="C724" s="13" t="s">
        <v>699</v>
      </c>
      <c r="D724" s="13" t="s">
        <v>179</v>
      </c>
      <c r="E724" s="12" t="s">
        <v>50</v>
      </c>
      <c r="F724" s="13"/>
      <c r="G724" s="14">
        <v>557000</v>
      </c>
      <c r="H724" s="13" t="s">
        <v>34694</v>
      </c>
      <c r="I724" s="40" t="s">
        <v>18</v>
      </c>
      <c r="J724" s="40" t="str">
        <f>HYPERLINK("https://stock.pstatic.net/stock-research/company/64/20260803_company_485669000.pdf","PDF")</f>
        <v>PDF</v>
      </c>
      <c r="K724" s="12" t="s">
        <v>34695</v>
      </c>
      <c r="L724" s="12"/>
    </row>
    <row r="725" spans="1:12" x14ac:dyDescent="0.45">
      <c r="A725" s="12" t="s">
        <v>34679</v>
      </c>
      <c r="B725" s="12" t="s">
        <v>34696</v>
      </c>
      <c r="C725" s="13" t="s">
        <v>34697</v>
      </c>
      <c r="D725" s="13" t="s">
        <v>124</v>
      </c>
      <c r="E725" s="12" t="s">
        <v>50</v>
      </c>
      <c r="F725" s="13"/>
      <c r="G725" s="13"/>
      <c r="H725" s="13" t="s">
        <v>34698</v>
      </c>
      <c r="I725" s="40" t="s">
        <v>18</v>
      </c>
      <c r="J725" s="40" t="str">
        <f>HYPERLINK("https://stock.pstatic.net/stock-research/company/74/20260803_company_208728000.pdf","PDF")</f>
        <v>PDF</v>
      </c>
      <c r="K725" s="12" t="s">
        <v>34699</v>
      </c>
      <c r="L725" s="12"/>
    </row>
    <row r="726" spans="1:12" x14ac:dyDescent="0.45">
      <c r="A726" s="12" t="s">
        <v>34679</v>
      </c>
      <c r="B726" s="12" t="s">
        <v>2887</v>
      </c>
      <c r="C726" s="13" t="s">
        <v>2888</v>
      </c>
      <c r="D726" s="13" t="s">
        <v>15</v>
      </c>
      <c r="E726" s="12" t="s">
        <v>16</v>
      </c>
      <c r="F726" s="14">
        <v>440000</v>
      </c>
      <c r="G726" s="14">
        <v>258000</v>
      </c>
      <c r="H726" s="13" t="s">
        <v>34700</v>
      </c>
      <c r="I726" s="40" t="s">
        <v>18</v>
      </c>
      <c r="J726" s="40" t="str">
        <f>HYPERLINK("https://stock.pstatic.net/stock-research/company/56/20260803_company_427182000.pdf","PDF")</f>
        <v>PDF</v>
      </c>
      <c r="K726" s="12" t="s">
        <v>34701</v>
      </c>
      <c r="L726" s="36">
        <v>0.70542635658914732</v>
      </c>
    </row>
    <row r="727" spans="1:12" x14ac:dyDescent="0.45">
      <c r="A727" s="12" t="s">
        <v>34679</v>
      </c>
      <c r="B727" s="12" t="s">
        <v>2795</v>
      </c>
      <c r="C727" s="13" t="s">
        <v>2796</v>
      </c>
      <c r="D727" s="13" t="s">
        <v>15</v>
      </c>
      <c r="E727" s="12" t="s">
        <v>16</v>
      </c>
      <c r="F727" s="14">
        <v>8000</v>
      </c>
      <c r="G727" s="14">
        <v>5470</v>
      </c>
      <c r="H727" s="13" t="s">
        <v>34702</v>
      </c>
      <c r="I727" s="40" t="s">
        <v>18</v>
      </c>
      <c r="J727" s="40" t="str">
        <f>HYPERLINK("https://stock.pstatic.net/stock-research/company/56/20260803_company_53182000.pdf","PDF")</f>
        <v>PDF</v>
      </c>
      <c r="K727" s="12" t="s">
        <v>34703</v>
      </c>
      <c r="L727" s="36">
        <v>0.46252285191956122</v>
      </c>
    </row>
    <row r="728" spans="1:12" x14ac:dyDescent="0.45">
      <c r="A728" s="12" t="s">
        <v>34679</v>
      </c>
      <c r="B728" s="12" t="s">
        <v>912</v>
      </c>
      <c r="C728" s="13" t="s">
        <v>913</v>
      </c>
      <c r="D728" s="13" t="s">
        <v>15</v>
      </c>
      <c r="E728" s="12" t="s">
        <v>16</v>
      </c>
      <c r="F728" s="14">
        <v>100000</v>
      </c>
      <c r="G728" s="14">
        <v>58200</v>
      </c>
      <c r="H728" s="13" t="s">
        <v>34704</v>
      </c>
      <c r="I728" s="40" t="s">
        <v>18</v>
      </c>
      <c r="J728" s="40" t="str">
        <f>HYPERLINK("https://stock.pstatic.net/stock-research/company/56/20260803_company_412166000.pdf","PDF")</f>
        <v>PDF</v>
      </c>
      <c r="K728" s="12" t="s">
        <v>34705</v>
      </c>
      <c r="L728" s="36">
        <v>0.71821305841924399</v>
      </c>
    </row>
    <row r="729" spans="1:12" x14ac:dyDescent="0.45">
      <c r="A729" s="12" t="s">
        <v>34679</v>
      </c>
      <c r="B729" s="12" t="s">
        <v>32</v>
      </c>
      <c r="C729" s="13" t="s">
        <v>33</v>
      </c>
      <c r="D729" s="13" t="s">
        <v>15</v>
      </c>
      <c r="E729" s="12" t="s">
        <v>16</v>
      </c>
      <c r="F729" s="14">
        <v>2800000</v>
      </c>
      <c r="G729" s="14">
        <v>879000</v>
      </c>
      <c r="H729" s="13" t="s">
        <v>34706</v>
      </c>
      <c r="I729" s="40" t="s">
        <v>18</v>
      </c>
      <c r="J729" s="40" t="str">
        <f>HYPERLINK("https://stock.pstatic.net/stock-research/company/56/20260803_company_667084000.pdf","PDF")</f>
        <v>PDF</v>
      </c>
      <c r="K729" s="12" t="s">
        <v>34707</v>
      </c>
      <c r="L729" s="36">
        <v>2.1854379977246872</v>
      </c>
    </row>
    <row r="730" spans="1:12" x14ac:dyDescent="0.45">
      <c r="A730" s="12" t="s">
        <v>34245</v>
      </c>
      <c r="B730" s="12" t="s">
        <v>3154</v>
      </c>
      <c r="C730" s="13" t="s">
        <v>3155</v>
      </c>
      <c r="D730" s="13" t="s">
        <v>57</v>
      </c>
      <c r="E730" s="12" t="s">
        <v>35</v>
      </c>
      <c r="F730" s="14">
        <v>10000</v>
      </c>
      <c r="G730" s="14">
        <v>6080</v>
      </c>
      <c r="H730" s="13" t="s">
        <v>34438</v>
      </c>
      <c r="I730" s="40" t="s">
        <v>18</v>
      </c>
      <c r="J730" s="40" t="str">
        <f>HYPERLINK("https://stock.pstatic.net/stock-research/company/16/20260731_company_220079000.pdf","PDF")</f>
        <v>PDF</v>
      </c>
      <c r="K730" s="12" t="s">
        <v>34439</v>
      </c>
      <c r="L730" s="36">
        <v>0.64473684210526316</v>
      </c>
    </row>
    <row r="731" spans="1:12" x14ac:dyDescent="0.45">
      <c r="A731" s="12" t="s">
        <v>34245</v>
      </c>
      <c r="B731" s="12" t="s">
        <v>784</v>
      </c>
      <c r="C731" s="13" t="s">
        <v>785</v>
      </c>
      <c r="D731" s="13" t="s">
        <v>15</v>
      </c>
      <c r="E731" s="12" t="s">
        <v>16</v>
      </c>
      <c r="F731" s="14">
        <v>7000</v>
      </c>
      <c r="G731" s="14">
        <v>4960</v>
      </c>
      <c r="H731" s="13" t="s">
        <v>34440</v>
      </c>
      <c r="I731" s="40" t="s">
        <v>18</v>
      </c>
      <c r="J731" s="40" t="str">
        <f>HYPERLINK("https://stock.pstatic.net/stock-research/company/56/20260731_company_823505000.pdf","PDF")</f>
        <v>PDF</v>
      </c>
      <c r="K731" s="12" t="s">
        <v>34441</v>
      </c>
      <c r="L731" s="36">
        <v>0.41129032258064518</v>
      </c>
    </row>
    <row r="732" spans="1:12" x14ac:dyDescent="0.45">
      <c r="A732" s="12" t="s">
        <v>34245</v>
      </c>
      <c r="B732" s="12" t="s">
        <v>557</v>
      </c>
      <c r="C732" s="13" t="s">
        <v>558</v>
      </c>
      <c r="D732" s="13" t="s">
        <v>15</v>
      </c>
      <c r="E732" s="12" t="s">
        <v>50</v>
      </c>
      <c r="F732" s="13"/>
      <c r="G732" s="14">
        <v>85800</v>
      </c>
      <c r="H732" s="13" t="s">
        <v>34442</v>
      </c>
      <c r="I732" s="40" t="s">
        <v>18</v>
      </c>
      <c r="J732" s="40" t="str">
        <f>HYPERLINK("https://stock.pstatic.net/stock-research/company/56/20260731_company_702051000.pdf","PDF")</f>
        <v>PDF</v>
      </c>
      <c r="K732" s="12" t="s">
        <v>34443</v>
      </c>
      <c r="L732" s="12"/>
    </row>
    <row r="733" spans="1:12" x14ac:dyDescent="0.45">
      <c r="A733" s="12" t="s">
        <v>34245</v>
      </c>
      <c r="B733" s="12" t="s">
        <v>174</v>
      </c>
      <c r="C733" s="13" t="s">
        <v>44</v>
      </c>
      <c r="D733" s="13" t="s">
        <v>60</v>
      </c>
      <c r="E733" s="12" t="s">
        <v>35</v>
      </c>
      <c r="F733" s="14">
        <v>405000</v>
      </c>
      <c r="G733" s="14">
        <v>258500</v>
      </c>
      <c r="H733" s="13" t="s">
        <v>34444</v>
      </c>
      <c r="I733" s="40" t="s">
        <v>18</v>
      </c>
      <c r="J733" s="40" t="str">
        <f>HYPERLINK("https://stock.pstatic.net/stock-research/company/62/20260731_company_581728000.pdf","PDF")</f>
        <v>PDF</v>
      </c>
      <c r="K733" s="12" t="s">
        <v>34445</v>
      </c>
      <c r="L733" s="36">
        <v>0.5667311411992263</v>
      </c>
    </row>
    <row r="734" spans="1:12" x14ac:dyDescent="0.45">
      <c r="A734" s="12" t="s">
        <v>34245</v>
      </c>
      <c r="B734" s="12" t="s">
        <v>1781</v>
      </c>
      <c r="C734" s="13" t="s">
        <v>1782</v>
      </c>
      <c r="D734" s="13" t="s">
        <v>276</v>
      </c>
      <c r="E734" s="12" t="s">
        <v>16</v>
      </c>
      <c r="F734" s="14">
        <v>270000</v>
      </c>
      <c r="G734" s="14">
        <v>148000</v>
      </c>
      <c r="H734" s="13" t="s">
        <v>34446</v>
      </c>
      <c r="I734" s="40" t="s">
        <v>18</v>
      </c>
      <c r="J734" s="40" t="str">
        <f>HYPERLINK("https://stock.pstatic.net/stock-research/company/66/20260731_company_499450000.pdf","PDF")</f>
        <v>PDF</v>
      </c>
      <c r="K734" s="12" t="s">
        <v>34447</v>
      </c>
      <c r="L734" s="36">
        <v>0.82432432432432434</v>
      </c>
    </row>
    <row r="735" spans="1:12" x14ac:dyDescent="0.45">
      <c r="A735" s="12" t="s">
        <v>34245</v>
      </c>
      <c r="B735" s="12" t="s">
        <v>3168</v>
      </c>
      <c r="C735" s="13" t="s">
        <v>3169</v>
      </c>
      <c r="D735" s="13" t="s">
        <v>60</v>
      </c>
      <c r="E735" s="12" t="s">
        <v>35</v>
      </c>
      <c r="F735" s="14">
        <v>24000</v>
      </c>
      <c r="G735" s="14">
        <v>16510</v>
      </c>
      <c r="H735" s="13" t="s">
        <v>34448</v>
      </c>
      <c r="I735" s="40" t="s">
        <v>18</v>
      </c>
      <c r="J735" s="40" t="str">
        <f>HYPERLINK("https://stock.pstatic.net/stock-research/company/62/20260731_company_633174000.pdf","PDF")</f>
        <v>PDF</v>
      </c>
      <c r="K735" s="12" t="s">
        <v>34449</v>
      </c>
      <c r="L735" s="36">
        <v>0.45366444579043003</v>
      </c>
    </row>
    <row r="736" spans="1:12" x14ac:dyDescent="0.45">
      <c r="A736" s="12" t="s">
        <v>34245</v>
      </c>
      <c r="B736" s="12" t="s">
        <v>2944</v>
      </c>
      <c r="C736" s="13" t="s">
        <v>2945</v>
      </c>
      <c r="D736" s="13" t="s">
        <v>60</v>
      </c>
      <c r="E736" s="12" t="s">
        <v>35</v>
      </c>
      <c r="F736" s="14">
        <v>22500</v>
      </c>
      <c r="G736" s="14">
        <v>14800</v>
      </c>
      <c r="H736" s="13" t="s">
        <v>34450</v>
      </c>
      <c r="I736" s="40" t="s">
        <v>18</v>
      </c>
      <c r="J736" s="40" t="str">
        <f>HYPERLINK("https://stock.pstatic.net/stock-research/company/62/20260731_company_496759000.pdf","PDF")</f>
        <v>PDF</v>
      </c>
      <c r="K736" s="12" t="s">
        <v>34451</v>
      </c>
      <c r="L736" s="36">
        <v>0.52027027027027029</v>
      </c>
    </row>
    <row r="737" spans="1:12" x14ac:dyDescent="0.45">
      <c r="A737" s="12" t="s">
        <v>34245</v>
      </c>
      <c r="B737" s="12" t="s">
        <v>3492</v>
      </c>
      <c r="C737" s="13" t="s">
        <v>3493</v>
      </c>
      <c r="D737" s="13" t="s">
        <v>60</v>
      </c>
      <c r="E737" s="12" t="s">
        <v>35</v>
      </c>
      <c r="F737" s="14">
        <v>27000</v>
      </c>
      <c r="G737" s="14">
        <v>20450</v>
      </c>
      <c r="H737" s="13" t="s">
        <v>34452</v>
      </c>
      <c r="I737" s="40" t="s">
        <v>18</v>
      </c>
      <c r="J737" s="40" t="str">
        <f>HYPERLINK("https://stock.pstatic.net/stock-research/company/62/20260731_company_490286000.pdf","PDF")</f>
        <v>PDF</v>
      </c>
      <c r="K737" s="12" t="s">
        <v>34453</v>
      </c>
      <c r="L737" s="36">
        <v>0.32029339853300731</v>
      </c>
    </row>
    <row r="738" spans="1:12" x14ac:dyDescent="0.45">
      <c r="A738" s="12" t="s">
        <v>34245</v>
      </c>
      <c r="B738" s="12" t="s">
        <v>3154</v>
      </c>
      <c r="C738" s="13" t="s">
        <v>3155</v>
      </c>
      <c r="D738" s="13" t="s">
        <v>276</v>
      </c>
      <c r="E738" s="12" t="s">
        <v>16</v>
      </c>
      <c r="F738" s="14">
        <v>9700</v>
      </c>
      <c r="G738" s="14">
        <v>6080</v>
      </c>
      <c r="H738" s="13" t="s">
        <v>34454</v>
      </c>
      <c r="I738" s="40" t="s">
        <v>18</v>
      </c>
      <c r="J738" s="40" t="str">
        <f>HYPERLINK("https://stock.pstatic.net/stock-research/company/66/20260731_company_176315000.pdf","PDF")</f>
        <v>PDF</v>
      </c>
      <c r="K738" s="12" t="s">
        <v>34455</v>
      </c>
      <c r="L738" s="36">
        <v>0.59539473684210531</v>
      </c>
    </row>
    <row r="739" spans="1:12" x14ac:dyDescent="0.45">
      <c r="A739" s="12" t="s">
        <v>34245</v>
      </c>
      <c r="B739" s="12" t="s">
        <v>434</v>
      </c>
      <c r="C739" s="13" t="s">
        <v>435</v>
      </c>
      <c r="D739" s="13" t="s">
        <v>60</v>
      </c>
      <c r="E739" s="12" t="s">
        <v>35</v>
      </c>
      <c r="F739" s="14">
        <v>210000</v>
      </c>
      <c r="G739" s="14">
        <v>134000</v>
      </c>
      <c r="H739" s="13" t="s">
        <v>34456</v>
      </c>
      <c r="I739" s="40" t="s">
        <v>18</v>
      </c>
      <c r="J739" s="40" t="str">
        <f>HYPERLINK("https://stock.pstatic.net/stock-research/company/62/20260731_company_35373000.pdf","PDF")</f>
        <v>PDF</v>
      </c>
      <c r="K739" s="12" t="s">
        <v>34457</v>
      </c>
      <c r="L739" s="36">
        <v>0.56716417910447758</v>
      </c>
    </row>
    <row r="740" spans="1:12" x14ac:dyDescent="0.45">
      <c r="A740" s="12" t="s">
        <v>34245</v>
      </c>
      <c r="B740" s="12" t="s">
        <v>398</v>
      </c>
      <c r="C740" s="13" t="s">
        <v>399</v>
      </c>
      <c r="D740" s="13" t="s">
        <v>276</v>
      </c>
      <c r="E740" s="12" t="s">
        <v>16</v>
      </c>
      <c r="F740" s="14">
        <v>290000</v>
      </c>
      <c r="G740" s="14">
        <v>130200</v>
      </c>
      <c r="H740" s="13" t="s">
        <v>34458</v>
      </c>
      <c r="I740" s="40" t="s">
        <v>18</v>
      </c>
      <c r="J740" s="40" t="str">
        <f>HYPERLINK("https://stock.pstatic.net/stock-research/company/66/20260731_company_908391000.pdf","PDF")</f>
        <v>PDF</v>
      </c>
      <c r="K740" s="12" t="s">
        <v>34459</v>
      </c>
      <c r="L740" s="36">
        <v>1.2273425499231949</v>
      </c>
    </row>
    <row r="741" spans="1:12" x14ac:dyDescent="0.45">
      <c r="A741" s="12" t="s">
        <v>34245</v>
      </c>
      <c r="B741" s="12" t="s">
        <v>908</v>
      </c>
      <c r="C741" s="13" t="s">
        <v>909</v>
      </c>
      <c r="D741" s="13" t="s">
        <v>60</v>
      </c>
      <c r="E741" s="12" t="s">
        <v>35</v>
      </c>
      <c r="F741" s="14">
        <v>250000</v>
      </c>
      <c r="G741" s="14">
        <v>198700</v>
      </c>
      <c r="H741" s="13" t="s">
        <v>34460</v>
      </c>
      <c r="I741" s="40" t="s">
        <v>18</v>
      </c>
      <c r="J741" s="40" t="str">
        <f>HYPERLINK("https://stock.pstatic.net/stock-research/company/62/20260731_company_135240000.pdf","PDF")</f>
        <v>PDF</v>
      </c>
      <c r="K741" s="12" t="s">
        <v>34461</v>
      </c>
      <c r="L741" s="36">
        <v>0.25817815802717659</v>
      </c>
    </row>
    <row r="742" spans="1:12" x14ac:dyDescent="0.45">
      <c r="A742" s="12" t="s">
        <v>34245</v>
      </c>
      <c r="B742" s="12" t="s">
        <v>2378</v>
      </c>
      <c r="C742" s="13" t="s">
        <v>2379</v>
      </c>
      <c r="D742" s="13" t="s">
        <v>276</v>
      </c>
      <c r="E742" s="12" t="s">
        <v>16</v>
      </c>
      <c r="F742" s="14">
        <v>600000</v>
      </c>
      <c r="G742" s="14">
        <v>320000</v>
      </c>
      <c r="H742" s="13" t="s">
        <v>34462</v>
      </c>
      <c r="I742" s="40" t="s">
        <v>18</v>
      </c>
      <c r="J742" s="40" t="str">
        <f>HYPERLINK("https://stock.pstatic.net/stock-research/company/66/20260731_company_531646000.pdf","PDF")</f>
        <v>PDF</v>
      </c>
      <c r="K742" s="12" t="s">
        <v>34463</v>
      </c>
      <c r="L742" s="36">
        <v>0.875</v>
      </c>
    </row>
    <row r="743" spans="1:12" x14ac:dyDescent="0.45">
      <c r="A743" s="12" t="s">
        <v>34245</v>
      </c>
      <c r="B743" s="12" t="s">
        <v>2982</v>
      </c>
      <c r="C743" s="13" t="s">
        <v>2983</v>
      </c>
      <c r="D743" s="13" t="s">
        <v>60</v>
      </c>
      <c r="E743" s="12" t="s">
        <v>35</v>
      </c>
      <c r="F743" s="14">
        <v>73000</v>
      </c>
      <c r="G743" s="14">
        <v>54100</v>
      </c>
      <c r="H743" s="13" t="s">
        <v>34464</v>
      </c>
      <c r="I743" s="40" t="s">
        <v>18</v>
      </c>
      <c r="J743" s="40" t="str">
        <f>HYPERLINK("https://stock.pstatic.net/stock-research/company/62/20260731_company_729047000.pdf","PDF")</f>
        <v>PDF</v>
      </c>
      <c r="K743" s="12" t="s">
        <v>34465</v>
      </c>
      <c r="L743" s="36">
        <v>0.34935304990757848</v>
      </c>
    </row>
    <row r="744" spans="1:12" x14ac:dyDescent="0.45">
      <c r="A744" s="12" t="s">
        <v>34245</v>
      </c>
      <c r="B744" s="12" t="s">
        <v>3831</v>
      </c>
      <c r="C744" s="13" t="s">
        <v>3832</v>
      </c>
      <c r="D744" s="13" t="s">
        <v>60</v>
      </c>
      <c r="E744" s="12" t="s">
        <v>35</v>
      </c>
      <c r="F744" s="14">
        <v>63000</v>
      </c>
      <c r="G744" s="14">
        <v>39750</v>
      </c>
      <c r="H744" s="13" t="s">
        <v>34466</v>
      </c>
      <c r="I744" s="40" t="s">
        <v>18</v>
      </c>
      <c r="J744" s="40" t="str">
        <f>HYPERLINK("https://stock.pstatic.net/stock-research/company/62/20260731_company_800037000.pdf","PDF")</f>
        <v>PDF</v>
      </c>
      <c r="K744" s="12" t="s">
        <v>34467</v>
      </c>
      <c r="L744" s="36">
        <v>0.58490566037735847</v>
      </c>
    </row>
    <row r="745" spans="1:12" x14ac:dyDescent="0.45">
      <c r="A745" s="12" t="s">
        <v>34245</v>
      </c>
      <c r="B745" s="12" t="s">
        <v>2266</v>
      </c>
      <c r="C745" s="13" t="s">
        <v>2267</v>
      </c>
      <c r="D745" s="13" t="s">
        <v>276</v>
      </c>
      <c r="E745" s="12" t="s">
        <v>16</v>
      </c>
      <c r="F745" s="14">
        <v>186000</v>
      </c>
      <c r="G745" s="14">
        <v>120700</v>
      </c>
      <c r="H745" s="13" t="s">
        <v>34468</v>
      </c>
      <c r="I745" s="40" t="s">
        <v>18</v>
      </c>
      <c r="J745" s="40" t="str">
        <f>HYPERLINK("https://stock.pstatic.net/stock-research/company/66/20260731_company_39672000.pdf","PDF")</f>
        <v>PDF</v>
      </c>
      <c r="K745" s="12" t="s">
        <v>34469</v>
      </c>
      <c r="L745" s="36">
        <v>0.54101077050538526</v>
      </c>
    </row>
    <row r="746" spans="1:12" x14ac:dyDescent="0.45">
      <c r="A746" s="12" t="s">
        <v>34245</v>
      </c>
      <c r="B746" s="12" t="s">
        <v>13</v>
      </c>
      <c r="C746" s="13" t="s">
        <v>14</v>
      </c>
      <c r="D746" s="13" t="s">
        <v>60</v>
      </c>
      <c r="E746" s="12" t="s">
        <v>35</v>
      </c>
      <c r="F746" s="14">
        <v>500000</v>
      </c>
      <c r="G746" s="14">
        <v>207000</v>
      </c>
      <c r="H746" s="13" t="s">
        <v>34470</v>
      </c>
      <c r="I746" s="40" t="s">
        <v>18</v>
      </c>
      <c r="J746" s="40" t="str">
        <f>HYPERLINK("https://stock.pstatic.net/stock-research/company/62/20260731_company_495921000.pdf","PDF")</f>
        <v>PDF</v>
      </c>
      <c r="K746" s="12" t="s">
        <v>34471</v>
      </c>
      <c r="L746" s="36">
        <v>1.4154589371980679</v>
      </c>
    </row>
    <row r="747" spans="1:12" x14ac:dyDescent="0.45">
      <c r="A747" s="12" t="s">
        <v>34245</v>
      </c>
      <c r="B747" s="12" t="s">
        <v>32</v>
      </c>
      <c r="C747" s="13" t="s">
        <v>33</v>
      </c>
      <c r="D747" s="13" t="s">
        <v>60</v>
      </c>
      <c r="E747" s="12" t="s">
        <v>35</v>
      </c>
      <c r="F747" s="14">
        <v>3000000</v>
      </c>
      <c r="G747" s="14">
        <v>879000</v>
      </c>
      <c r="H747" s="13" t="s">
        <v>34472</v>
      </c>
      <c r="I747" s="40" t="s">
        <v>18</v>
      </c>
      <c r="J747" s="40" t="str">
        <f>HYPERLINK("https://stock.pstatic.net/stock-research/company/62/20260731_company_976816000.pdf","PDF")</f>
        <v>PDF</v>
      </c>
      <c r="K747" s="12" t="s">
        <v>34473</v>
      </c>
      <c r="L747" s="36">
        <v>2.4129692832764511</v>
      </c>
    </row>
    <row r="748" spans="1:12" x14ac:dyDescent="0.45">
      <c r="A748" s="12" t="s">
        <v>34245</v>
      </c>
      <c r="B748" s="12" t="s">
        <v>32</v>
      </c>
      <c r="C748" s="13" t="s">
        <v>33</v>
      </c>
      <c r="D748" s="13" t="s">
        <v>276</v>
      </c>
      <c r="E748" s="12" t="s">
        <v>16</v>
      </c>
      <c r="F748" s="14">
        <v>1600000</v>
      </c>
      <c r="G748" s="14">
        <v>879000</v>
      </c>
      <c r="H748" s="13" t="s">
        <v>34474</v>
      </c>
      <c r="I748" s="40" t="s">
        <v>18</v>
      </c>
      <c r="J748" s="40" t="str">
        <f>HYPERLINK("https://stock.pstatic.net/stock-research/company/66/20260731_company_407973000.pdf","PDF")</f>
        <v>PDF</v>
      </c>
      <c r="K748" s="12" t="s">
        <v>34475</v>
      </c>
      <c r="L748" s="36">
        <v>0.82025028441410697</v>
      </c>
    </row>
    <row r="749" spans="1:12" x14ac:dyDescent="0.45">
      <c r="A749" s="12" t="s">
        <v>34245</v>
      </c>
      <c r="B749" s="12" t="s">
        <v>3831</v>
      </c>
      <c r="C749" s="13" t="s">
        <v>3832</v>
      </c>
      <c r="D749" s="13" t="s">
        <v>65</v>
      </c>
      <c r="E749" s="12" t="s">
        <v>35</v>
      </c>
      <c r="F749" s="14">
        <v>69000</v>
      </c>
      <c r="G749" s="14">
        <v>39750</v>
      </c>
      <c r="H749" s="13" t="s">
        <v>34476</v>
      </c>
      <c r="I749" s="40" t="s">
        <v>18</v>
      </c>
      <c r="J749" s="40" t="str">
        <f>HYPERLINK("https://stock.pstatic.net/stock-research/company/57/20260731_company_886681000.pdf","PDF")</f>
        <v>PDF</v>
      </c>
      <c r="K749" s="12" t="s">
        <v>34477</v>
      </c>
      <c r="L749" s="36">
        <v>0.73584905660377353</v>
      </c>
    </row>
    <row r="750" spans="1:12" x14ac:dyDescent="0.45">
      <c r="A750" s="12" t="s">
        <v>34245</v>
      </c>
      <c r="B750" s="12" t="s">
        <v>13</v>
      </c>
      <c r="C750" s="13" t="s">
        <v>14</v>
      </c>
      <c r="D750" s="13" t="s">
        <v>276</v>
      </c>
      <c r="E750" s="12" t="s">
        <v>16</v>
      </c>
      <c r="F750" s="14">
        <v>530000</v>
      </c>
      <c r="G750" s="14">
        <v>208500</v>
      </c>
      <c r="H750" s="13" t="s">
        <v>34478</v>
      </c>
      <c r="I750" s="40" t="s">
        <v>18</v>
      </c>
      <c r="J750" s="40" t="str">
        <f>HYPERLINK("https://stock.pstatic.net/stock-research/company/66/20260731_company_314064000.pdf","PDF")</f>
        <v>PDF</v>
      </c>
      <c r="K750" s="12" t="s">
        <v>34479</v>
      </c>
      <c r="L750" s="36">
        <v>1.5419664268585129</v>
      </c>
    </row>
    <row r="751" spans="1:12" x14ac:dyDescent="0.45">
      <c r="A751" s="12" t="s">
        <v>34245</v>
      </c>
      <c r="B751" s="12" t="s">
        <v>3024</v>
      </c>
      <c r="C751" s="13" t="s">
        <v>3025</v>
      </c>
      <c r="D751" s="13" t="s">
        <v>65</v>
      </c>
      <c r="E751" s="12" t="s">
        <v>35</v>
      </c>
      <c r="F751" s="14">
        <v>105000</v>
      </c>
      <c r="G751" s="14">
        <v>51100</v>
      </c>
      <c r="H751" s="13" t="s">
        <v>2803</v>
      </c>
      <c r="I751" s="40" t="s">
        <v>18</v>
      </c>
      <c r="J751" s="40" t="str">
        <f>HYPERLINK("https://stock.pstatic.net/stock-research/company/57/20260731_company_227607000.pdf","PDF")</f>
        <v>PDF</v>
      </c>
      <c r="K751" s="12" t="s">
        <v>34480</v>
      </c>
      <c r="L751" s="36">
        <v>1.054794520547945</v>
      </c>
    </row>
    <row r="752" spans="1:12" x14ac:dyDescent="0.45">
      <c r="A752" s="12" t="s">
        <v>34245</v>
      </c>
      <c r="B752" s="12" t="s">
        <v>2801</v>
      </c>
      <c r="C752" s="13" t="s">
        <v>2802</v>
      </c>
      <c r="D752" s="13" t="s">
        <v>65</v>
      </c>
      <c r="E752" s="12" t="s">
        <v>35</v>
      </c>
      <c r="F752" s="14">
        <v>38000</v>
      </c>
      <c r="G752" s="14">
        <v>25000</v>
      </c>
      <c r="H752" s="13" t="s">
        <v>34481</v>
      </c>
      <c r="I752" s="40" t="s">
        <v>18</v>
      </c>
      <c r="J752" s="40" t="str">
        <f>HYPERLINK("https://stock.pstatic.net/stock-research/company/57/20260731_company_957622000.pdf","PDF")</f>
        <v>PDF</v>
      </c>
      <c r="K752" s="12" t="s">
        <v>34482</v>
      </c>
      <c r="L752" s="36">
        <v>0.52</v>
      </c>
    </row>
    <row r="753" spans="1:12" x14ac:dyDescent="0.45">
      <c r="A753" s="12" t="s">
        <v>34245</v>
      </c>
      <c r="B753" s="12" t="s">
        <v>4668</v>
      </c>
      <c r="C753" s="13" t="s">
        <v>4669</v>
      </c>
      <c r="D753" s="13" t="s">
        <v>65</v>
      </c>
      <c r="E753" s="12" t="s">
        <v>35</v>
      </c>
      <c r="F753" s="14">
        <v>60000</v>
      </c>
      <c r="G753" s="14">
        <v>20800</v>
      </c>
      <c r="H753" s="13" t="s">
        <v>34483</v>
      </c>
      <c r="I753" s="40" t="s">
        <v>18</v>
      </c>
      <c r="J753" s="40" t="str">
        <f>HYPERLINK("https://stock.pstatic.net/stock-research/company/57/20260731_company_252014000.pdf","PDF")</f>
        <v>PDF</v>
      </c>
      <c r="K753" s="12" t="s">
        <v>34484</v>
      </c>
      <c r="L753" s="36">
        <v>1.884615384615385</v>
      </c>
    </row>
    <row r="754" spans="1:12" x14ac:dyDescent="0.45">
      <c r="A754" s="12" t="s">
        <v>34245</v>
      </c>
      <c r="B754" s="12" t="s">
        <v>434</v>
      </c>
      <c r="C754" s="13" t="s">
        <v>435</v>
      </c>
      <c r="D754" s="13" t="s">
        <v>65</v>
      </c>
      <c r="E754" s="12" t="s">
        <v>35</v>
      </c>
      <c r="F754" s="14">
        <v>170000</v>
      </c>
      <c r="G754" s="14">
        <v>134000</v>
      </c>
      <c r="H754" s="13" t="s">
        <v>34485</v>
      </c>
      <c r="I754" s="40" t="s">
        <v>18</v>
      </c>
      <c r="J754" s="40" t="str">
        <f>HYPERLINK("https://stock.pstatic.net/stock-research/company/57/20260731_company_354171000.pdf","PDF")</f>
        <v>PDF</v>
      </c>
      <c r="K754" s="12" t="s">
        <v>34486</v>
      </c>
      <c r="L754" s="36">
        <v>0.26865671641791039</v>
      </c>
    </row>
    <row r="755" spans="1:12" x14ac:dyDescent="0.45">
      <c r="A755" s="12" t="s">
        <v>34245</v>
      </c>
      <c r="B755" s="12" t="s">
        <v>3831</v>
      </c>
      <c r="C755" s="13" t="s">
        <v>3832</v>
      </c>
      <c r="D755" s="13" t="s">
        <v>57</v>
      </c>
      <c r="E755" s="12" t="s">
        <v>35</v>
      </c>
      <c r="F755" s="14">
        <v>83000</v>
      </c>
      <c r="G755" s="14">
        <v>39750</v>
      </c>
      <c r="H755" s="13" t="s">
        <v>34487</v>
      </c>
      <c r="I755" s="40" t="s">
        <v>18</v>
      </c>
      <c r="J755" s="40" t="str">
        <f>HYPERLINK("https://stock.pstatic.net/stock-research/company/16/20260731_company_8394000.pdf","PDF")</f>
        <v>PDF</v>
      </c>
      <c r="K755" s="12" t="s">
        <v>34488</v>
      </c>
      <c r="L755" s="36">
        <v>1.088050314465409</v>
      </c>
    </row>
    <row r="756" spans="1:12" x14ac:dyDescent="0.45">
      <c r="A756" s="12" t="s">
        <v>34245</v>
      </c>
      <c r="B756" s="12" t="s">
        <v>1690</v>
      </c>
      <c r="C756" s="13" t="s">
        <v>1691</v>
      </c>
      <c r="D756" s="13" t="s">
        <v>65</v>
      </c>
      <c r="E756" s="12" t="s">
        <v>35</v>
      </c>
      <c r="F756" s="14">
        <v>200000</v>
      </c>
      <c r="G756" s="14">
        <v>116600</v>
      </c>
      <c r="H756" s="13" t="s">
        <v>34489</v>
      </c>
      <c r="I756" s="40" t="s">
        <v>18</v>
      </c>
      <c r="J756" s="40" t="str">
        <f>HYPERLINK("https://stock.pstatic.net/stock-research/company/57/20260731_company_905279000.pdf","PDF")</f>
        <v>PDF</v>
      </c>
      <c r="K756" s="12" t="s">
        <v>34490</v>
      </c>
      <c r="L756" s="36">
        <v>0.71526586620926247</v>
      </c>
    </row>
    <row r="757" spans="1:12" x14ac:dyDescent="0.45">
      <c r="A757" s="12" t="s">
        <v>34245</v>
      </c>
      <c r="B757" s="12" t="s">
        <v>2758</v>
      </c>
      <c r="C757" s="13" t="s">
        <v>2759</v>
      </c>
      <c r="D757" s="13" t="s">
        <v>65</v>
      </c>
      <c r="E757" s="12" t="s">
        <v>35</v>
      </c>
      <c r="F757" s="14">
        <v>740000</v>
      </c>
      <c r="G757" s="14">
        <v>300500</v>
      </c>
      <c r="H757" s="13" t="s">
        <v>34491</v>
      </c>
      <c r="I757" s="40" t="s">
        <v>18</v>
      </c>
      <c r="J757" s="40" t="str">
        <f>HYPERLINK("https://stock.pstatic.net/stock-research/company/57/20260731_company_835028000.pdf","PDF")</f>
        <v>PDF</v>
      </c>
      <c r="K757" s="12" t="s">
        <v>34492</v>
      </c>
      <c r="L757" s="36">
        <v>1.4625623960066561</v>
      </c>
    </row>
    <row r="758" spans="1:12" x14ac:dyDescent="0.45">
      <c r="A758" s="12" t="s">
        <v>34245</v>
      </c>
      <c r="B758" s="12" t="s">
        <v>3079</v>
      </c>
      <c r="C758" s="13" t="s">
        <v>3080</v>
      </c>
      <c r="D758" s="13" t="s">
        <v>65</v>
      </c>
      <c r="E758" s="12" t="s">
        <v>35</v>
      </c>
      <c r="F758" s="14">
        <v>62000</v>
      </c>
      <c r="G758" s="14">
        <v>31900</v>
      </c>
      <c r="H758" s="13" t="s">
        <v>34493</v>
      </c>
      <c r="I758" s="40" t="s">
        <v>18</v>
      </c>
      <c r="J758" s="40" t="str">
        <f>HYPERLINK("https://stock.pstatic.net/stock-research/company/57/20260731_company_784369000.pdf","PDF")</f>
        <v>PDF</v>
      </c>
      <c r="K758" s="12" t="s">
        <v>34494</v>
      </c>
      <c r="L758" s="36">
        <v>0.94357366771159878</v>
      </c>
    </row>
    <row r="759" spans="1:12" x14ac:dyDescent="0.45">
      <c r="A759" s="12" t="s">
        <v>34245</v>
      </c>
      <c r="B759" s="12" t="s">
        <v>2758</v>
      </c>
      <c r="C759" s="13" t="s">
        <v>2759</v>
      </c>
      <c r="D759" s="13" t="s">
        <v>57</v>
      </c>
      <c r="E759" s="12" t="s">
        <v>35</v>
      </c>
      <c r="F759" s="14">
        <v>550000</v>
      </c>
      <c r="G759" s="14">
        <v>300500</v>
      </c>
      <c r="H759" s="13" t="s">
        <v>34495</v>
      </c>
      <c r="I759" s="40" t="s">
        <v>18</v>
      </c>
      <c r="J759" s="40" t="str">
        <f>HYPERLINK("https://stock.pstatic.net/stock-research/company/16/20260731_company_338376000.pdf","PDF")</f>
        <v>PDF</v>
      </c>
      <c r="K759" s="12" t="s">
        <v>34496</v>
      </c>
      <c r="L759" s="36">
        <v>0.83028286189683864</v>
      </c>
    </row>
    <row r="760" spans="1:12" x14ac:dyDescent="0.45">
      <c r="A760" s="12" t="s">
        <v>34245</v>
      </c>
      <c r="B760" s="12" t="s">
        <v>908</v>
      </c>
      <c r="C760" s="13" t="s">
        <v>909</v>
      </c>
      <c r="D760" s="13" t="s">
        <v>65</v>
      </c>
      <c r="E760" s="12" t="s">
        <v>35</v>
      </c>
      <c r="F760" s="14">
        <v>240000</v>
      </c>
      <c r="G760" s="14">
        <v>198700</v>
      </c>
      <c r="H760" s="13" t="s">
        <v>34497</v>
      </c>
      <c r="I760" s="40" t="s">
        <v>18</v>
      </c>
      <c r="J760" s="40" t="str">
        <f>HYPERLINK("https://stock.pstatic.net/stock-research/company/57/20260731_company_263121000.pdf","PDF")</f>
        <v>PDF</v>
      </c>
      <c r="K760" s="12" t="s">
        <v>34498</v>
      </c>
      <c r="L760" s="36">
        <v>0.2078510317060896</v>
      </c>
    </row>
    <row r="761" spans="1:12" x14ac:dyDescent="0.45">
      <c r="A761" s="12" t="s">
        <v>34245</v>
      </c>
      <c r="B761" s="12" t="s">
        <v>174</v>
      </c>
      <c r="C761" s="13" t="s">
        <v>44</v>
      </c>
      <c r="D761" s="13" t="s">
        <v>65</v>
      </c>
      <c r="E761" s="12" t="s">
        <v>35</v>
      </c>
      <c r="F761" s="14">
        <v>570000</v>
      </c>
      <c r="G761" s="14">
        <v>258500</v>
      </c>
      <c r="H761" s="13" t="s">
        <v>34499</v>
      </c>
      <c r="I761" s="40" t="s">
        <v>18</v>
      </c>
      <c r="J761" s="40" t="str">
        <f>HYPERLINK("https://stock.pstatic.net/stock-research/company/57/20260731_company_669399000.pdf","PDF")</f>
        <v>PDF</v>
      </c>
      <c r="K761" s="12" t="s">
        <v>34500</v>
      </c>
      <c r="L761" s="36">
        <v>1.205029013539652</v>
      </c>
    </row>
    <row r="762" spans="1:12" x14ac:dyDescent="0.45">
      <c r="A762" s="12" t="s">
        <v>34245</v>
      </c>
      <c r="B762" s="12" t="s">
        <v>13</v>
      </c>
      <c r="C762" s="13" t="s">
        <v>14</v>
      </c>
      <c r="D762" s="13" t="s">
        <v>57</v>
      </c>
      <c r="E762" s="12" t="s">
        <v>35</v>
      </c>
      <c r="F762" s="14">
        <v>580000</v>
      </c>
      <c r="G762" s="14">
        <v>207000</v>
      </c>
      <c r="H762" s="13" t="s">
        <v>34501</v>
      </c>
      <c r="I762" s="40" t="s">
        <v>18</v>
      </c>
      <c r="J762" s="40" t="str">
        <f>HYPERLINK("https://stock.pstatic.net/stock-research/company/16/20260731_company_957460000.pdf","PDF")</f>
        <v>PDF</v>
      </c>
      <c r="K762" s="12" t="s">
        <v>34502</v>
      </c>
      <c r="L762" s="36">
        <v>1.801932367149758</v>
      </c>
    </row>
    <row r="763" spans="1:12" x14ac:dyDescent="0.45">
      <c r="A763" s="12" t="s">
        <v>34245</v>
      </c>
      <c r="B763" s="12" t="s">
        <v>2982</v>
      </c>
      <c r="C763" s="13" t="s">
        <v>2983</v>
      </c>
      <c r="D763" s="13" t="s">
        <v>65</v>
      </c>
      <c r="E763" s="12" t="s">
        <v>35</v>
      </c>
      <c r="F763" s="14">
        <v>80000</v>
      </c>
      <c r="G763" s="14">
        <v>54100</v>
      </c>
      <c r="H763" s="13" t="s">
        <v>34503</v>
      </c>
      <c r="I763" s="40" t="s">
        <v>18</v>
      </c>
      <c r="J763" s="40" t="str">
        <f>HYPERLINK("https://stock.pstatic.net/stock-research/company/57/20260731_company_98816000.pdf","PDF")</f>
        <v>PDF</v>
      </c>
      <c r="K763" s="12" t="s">
        <v>34504</v>
      </c>
      <c r="L763" s="36">
        <v>0.47874306839186692</v>
      </c>
    </row>
    <row r="764" spans="1:12" x14ac:dyDescent="0.45">
      <c r="A764" s="12" t="s">
        <v>34245</v>
      </c>
      <c r="B764" s="12" t="s">
        <v>3154</v>
      </c>
      <c r="C764" s="13" t="s">
        <v>3155</v>
      </c>
      <c r="D764" s="13" t="s">
        <v>65</v>
      </c>
      <c r="E764" s="12" t="s">
        <v>35</v>
      </c>
      <c r="F764" s="14">
        <v>8300</v>
      </c>
      <c r="G764" s="14">
        <v>6080</v>
      </c>
      <c r="H764" s="13" t="s">
        <v>34505</v>
      </c>
      <c r="I764" s="40" t="s">
        <v>18</v>
      </c>
      <c r="J764" s="40" t="str">
        <f>HYPERLINK("https://stock.pstatic.net/stock-research/company/57/20260731_company_297371000.pdf","PDF")</f>
        <v>PDF</v>
      </c>
      <c r="K764" s="12" t="s">
        <v>34506</v>
      </c>
      <c r="L764" s="36">
        <v>0.36513157894736842</v>
      </c>
    </row>
    <row r="765" spans="1:12" x14ac:dyDescent="0.45">
      <c r="A765" s="12" t="s">
        <v>34245</v>
      </c>
      <c r="B765" s="12" t="s">
        <v>2982</v>
      </c>
      <c r="C765" s="13" t="s">
        <v>2983</v>
      </c>
      <c r="D765" s="13" t="s">
        <v>57</v>
      </c>
      <c r="E765" s="12" t="s">
        <v>35</v>
      </c>
      <c r="F765" s="14">
        <v>110000</v>
      </c>
      <c r="G765" s="14">
        <v>54100</v>
      </c>
      <c r="H765" s="13" t="s">
        <v>34507</v>
      </c>
      <c r="I765" s="40" t="s">
        <v>18</v>
      </c>
      <c r="J765" s="40" t="str">
        <f>HYPERLINK("https://stock.pstatic.net/stock-research/company/16/20260731_company_150034000.pdf","PDF")</f>
        <v>PDF</v>
      </c>
      <c r="K765" s="12" t="s">
        <v>34508</v>
      </c>
      <c r="L765" s="36">
        <v>1.033271719038817</v>
      </c>
    </row>
    <row r="766" spans="1:12" x14ac:dyDescent="0.45">
      <c r="A766" s="12" t="s">
        <v>34245</v>
      </c>
      <c r="B766" s="12" t="s">
        <v>2378</v>
      </c>
      <c r="C766" s="13" t="s">
        <v>2379</v>
      </c>
      <c r="D766" s="13" t="s">
        <v>65</v>
      </c>
      <c r="E766" s="12" t="s">
        <v>35</v>
      </c>
      <c r="F766" s="14">
        <v>480000</v>
      </c>
      <c r="G766" s="14">
        <v>320000</v>
      </c>
      <c r="H766" s="13" t="s">
        <v>34509</v>
      </c>
      <c r="I766" s="40" t="s">
        <v>18</v>
      </c>
      <c r="J766" s="40" t="str">
        <f>HYPERLINK("https://stock.pstatic.net/stock-research/company/57/20260731_company_2192000.pdf","PDF")</f>
        <v>PDF</v>
      </c>
      <c r="K766" s="12" t="s">
        <v>34510</v>
      </c>
      <c r="L766" s="36">
        <v>0.5</v>
      </c>
    </row>
    <row r="767" spans="1:12" x14ac:dyDescent="0.45">
      <c r="A767" s="12" t="s">
        <v>34245</v>
      </c>
      <c r="B767" s="12" t="s">
        <v>1781</v>
      </c>
      <c r="C767" s="13" t="s">
        <v>1782</v>
      </c>
      <c r="D767" s="13" t="s">
        <v>65</v>
      </c>
      <c r="E767" s="12" t="s">
        <v>35</v>
      </c>
      <c r="F767" s="14">
        <v>260000</v>
      </c>
      <c r="G767" s="14">
        <v>148000</v>
      </c>
      <c r="H767" s="13" t="s">
        <v>34511</v>
      </c>
      <c r="I767" s="40" t="s">
        <v>18</v>
      </c>
      <c r="J767" s="40" t="str">
        <f>HYPERLINK("https://stock.pstatic.net/stock-research/company/57/20260731_company_25386000.pdf","PDF")</f>
        <v>PDF</v>
      </c>
      <c r="K767" s="12" t="s">
        <v>34512</v>
      </c>
      <c r="L767" s="36">
        <v>0.7567567567567568</v>
      </c>
    </row>
    <row r="768" spans="1:12" x14ac:dyDescent="0.45">
      <c r="A768" s="12" t="s">
        <v>34245</v>
      </c>
      <c r="B768" s="12" t="s">
        <v>72</v>
      </c>
      <c r="C768" s="13" t="s">
        <v>73</v>
      </c>
      <c r="D768" s="13" t="s">
        <v>57</v>
      </c>
      <c r="E768" s="12" t="s">
        <v>35</v>
      </c>
      <c r="F768" s="14">
        <v>520000</v>
      </c>
      <c r="G768" s="14">
        <v>285500</v>
      </c>
      <c r="H768" s="13" t="s">
        <v>34513</v>
      </c>
      <c r="I768" s="40" t="s">
        <v>18</v>
      </c>
      <c r="J768" s="40" t="str">
        <f>HYPERLINK("https://stock.pstatic.net/stock-research/company/16/20260731_company_224030000.pdf","PDF")</f>
        <v>PDF</v>
      </c>
      <c r="K768" s="12" t="s">
        <v>34514</v>
      </c>
      <c r="L768" s="36">
        <v>0.8213660245183888</v>
      </c>
    </row>
    <row r="769" spans="1:12" x14ac:dyDescent="0.45">
      <c r="A769" s="12" t="s">
        <v>34245</v>
      </c>
      <c r="B769" s="12" t="s">
        <v>32</v>
      </c>
      <c r="C769" s="13" t="s">
        <v>33</v>
      </c>
      <c r="D769" s="13" t="s">
        <v>65</v>
      </c>
      <c r="E769" s="12" t="s">
        <v>35</v>
      </c>
      <c r="F769" s="14">
        <v>3000000</v>
      </c>
      <c r="G769" s="14">
        <v>879000</v>
      </c>
      <c r="H769" s="13" t="s">
        <v>34515</v>
      </c>
      <c r="I769" s="40" t="s">
        <v>18</v>
      </c>
      <c r="J769" s="40" t="str">
        <f>HYPERLINK("https://stock.pstatic.net/stock-research/company/57/20260731_company_779484000.pdf","PDF")</f>
        <v>PDF</v>
      </c>
      <c r="K769" s="12" t="s">
        <v>34516</v>
      </c>
      <c r="L769" s="36">
        <v>2.4129692832764511</v>
      </c>
    </row>
    <row r="770" spans="1:12" x14ac:dyDescent="0.45">
      <c r="A770" s="12" t="s">
        <v>34245</v>
      </c>
      <c r="B770" s="12" t="s">
        <v>13</v>
      </c>
      <c r="C770" s="13" t="s">
        <v>14</v>
      </c>
      <c r="D770" s="13" t="s">
        <v>65</v>
      </c>
      <c r="E770" s="12" t="s">
        <v>35</v>
      </c>
      <c r="F770" s="14">
        <v>480000</v>
      </c>
      <c r="G770" s="14">
        <v>207000</v>
      </c>
      <c r="H770" s="13" t="s">
        <v>34517</v>
      </c>
      <c r="I770" s="40" t="s">
        <v>18</v>
      </c>
      <c r="J770" s="40" t="str">
        <f>HYPERLINK("https://stock.pstatic.net/stock-research/company/57/20260731_company_870310000.pdf","PDF")</f>
        <v>PDF</v>
      </c>
      <c r="K770" s="12" t="s">
        <v>34518</v>
      </c>
      <c r="L770" s="36">
        <v>1.318840579710145</v>
      </c>
    </row>
    <row r="771" spans="1:12" x14ac:dyDescent="0.45">
      <c r="A771" s="12" t="s">
        <v>34245</v>
      </c>
      <c r="B771" s="12" t="s">
        <v>2369</v>
      </c>
      <c r="C771" s="13" t="s">
        <v>2370</v>
      </c>
      <c r="D771" s="13" t="s">
        <v>65</v>
      </c>
      <c r="E771" s="12" t="s">
        <v>35</v>
      </c>
      <c r="F771" s="14">
        <v>667000</v>
      </c>
      <c r="G771" s="14">
        <v>358500</v>
      </c>
      <c r="H771" s="13" t="s">
        <v>34519</v>
      </c>
      <c r="I771" s="40" t="s">
        <v>18</v>
      </c>
      <c r="J771" s="40" t="str">
        <f>HYPERLINK("https://stock.pstatic.net/stock-research/company/57/20260731_company_140594000.pdf","PDF")</f>
        <v>PDF</v>
      </c>
      <c r="K771" s="12" t="s">
        <v>34520</v>
      </c>
      <c r="L771" s="36">
        <v>0.86052998605299857</v>
      </c>
    </row>
    <row r="772" spans="1:12" x14ac:dyDescent="0.45">
      <c r="A772" s="12" t="s">
        <v>34245</v>
      </c>
      <c r="B772" s="12" t="s">
        <v>174</v>
      </c>
      <c r="C772" s="13" t="s">
        <v>44</v>
      </c>
      <c r="D772" s="13" t="s">
        <v>65</v>
      </c>
      <c r="E772" s="12" t="s">
        <v>35</v>
      </c>
      <c r="F772" s="14">
        <v>570000</v>
      </c>
      <c r="G772" s="14">
        <v>256500</v>
      </c>
      <c r="H772" s="13" t="s">
        <v>34521</v>
      </c>
      <c r="I772" s="40" t="s">
        <v>18</v>
      </c>
      <c r="J772" s="40" t="str">
        <f>HYPERLINK("https://stock.pstatic.net/stock-research/company/57/20260731_company_361159000.pdf","PDF")</f>
        <v>PDF</v>
      </c>
      <c r="K772" s="12" t="s">
        <v>34522</v>
      </c>
      <c r="L772" s="36">
        <v>1.2222222222222221</v>
      </c>
    </row>
    <row r="773" spans="1:12" x14ac:dyDescent="0.45">
      <c r="A773" s="12" t="s">
        <v>34245</v>
      </c>
      <c r="B773" s="12" t="s">
        <v>3024</v>
      </c>
      <c r="C773" s="13" t="s">
        <v>3025</v>
      </c>
      <c r="D773" s="13" t="s">
        <v>158</v>
      </c>
      <c r="E773" s="12" t="s">
        <v>35</v>
      </c>
      <c r="F773" s="14">
        <v>112000</v>
      </c>
      <c r="G773" s="14">
        <v>51100</v>
      </c>
      <c r="H773" s="13" t="s">
        <v>34523</v>
      </c>
      <c r="I773" s="40" t="s">
        <v>18</v>
      </c>
      <c r="J773" s="40" t="str">
        <f>HYPERLINK("https://stock.pstatic.net/stock-research/company/18/20260731_company_127020000.pdf","PDF")</f>
        <v>PDF</v>
      </c>
      <c r="K773" s="12" t="s">
        <v>34524</v>
      </c>
      <c r="L773" s="36">
        <v>1.1917808219178081</v>
      </c>
    </row>
    <row r="774" spans="1:12" x14ac:dyDescent="0.45">
      <c r="A774" s="12" t="s">
        <v>34245</v>
      </c>
      <c r="B774" s="12" t="s">
        <v>4668</v>
      </c>
      <c r="C774" s="13" t="s">
        <v>4669</v>
      </c>
      <c r="D774" s="13" t="s">
        <v>158</v>
      </c>
      <c r="E774" s="12" t="s">
        <v>35</v>
      </c>
      <c r="F774" s="14">
        <v>48500</v>
      </c>
      <c r="G774" s="14">
        <v>20800</v>
      </c>
      <c r="H774" s="13" t="s">
        <v>34525</v>
      </c>
      <c r="I774" s="40" t="s">
        <v>18</v>
      </c>
      <c r="J774" s="40" t="str">
        <f>HYPERLINK("https://stock.pstatic.net/stock-research/company/18/20260731_company_25093000.pdf","PDF")</f>
        <v>PDF</v>
      </c>
      <c r="K774" s="12" t="s">
        <v>34526</v>
      </c>
      <c r="L774" s="36">
        <v>1.3317307692307689</v>
      </c>
    </row>
    <row r="775" spans="1:12" x14ac:dyDescent="0.45">
      <c r="A775" s="12" t="s">
        <v>34245</v>
      </c>
      <c r="B775" s="12" t="s">
        <v>32</v>
      </c>
      <c r="C775" s="13" t="s">
        <v>33</v>
      </c>
      <c r="D775" s="13" t="s">
        <v>158</v>
      </c>
      <c r="E775" s="12" t="s">
        <v>35</v>
      </c>
      <c r="F775" s="14">
        <v>2300000</v>
      </c>
      <c r="G775" s="14">
        <v>879000</v>
      </c>
      <c r="H775" s="13" t="s">
        <v>34527</v>
      </c>
      <c r="I775" s="40" t="s">
        <v>18</v>
      </c>
      <c r="J775" s="40" t="str">
        <f>HYPERLINK("https://stock.pstatic.net/stock-research/company/18/20260731_company_985646000.pdf","PDF")</f>
        <v>PDF</v>
      </c>
      <c r="K775" s="12" t="s">
        <v>34528</v>
      </c>
      <c r="L775" s="36">
        <v>1.6166097838452791</v>
      </c>
    </row>
    <row r="776" spans="1:12" x14ac:dyDescent="0.45">
      <c r="A776" s="12" t="s">
        <v>34245</v>
      </c>
      <c r="B776" s="12" t="s">
        <v>8114</v>
      </c>
      <c r="C776" s="13" t="s">
        <v>8115</v>
      </c>
      <c r="D776" s="13" t="s">
        <v>158</v>
      </c>
      <c r="E776" s="12" t="s">
        <v>50</v>
      </c>
      <c r="F776" s="13"/>
      <c r="G776" s="14">
        <v>23050</v>
      </c>
      <c r="H776" s="13" t="s">
        <v>34529</v>
      </c>
      <c r="I776" s="40" t="s">
        <v>18</v>
      </c>
      <c r="J776" s="40" t="str">
        <f>HYPERLINK("https://stock.pstatic.net/stock-research/company/18/20260731_company_339609000.pdf","PDF")</f>
        <v>PDF</v>
      </c>
      <c r="K776" s="12" t="s">
        <v>34530</v>
      </c>
      <c r="L776" s="12"/>
    </row>
    <row r="777" spans="1:12" x14ac:dyDescent="0.45">
      <c r="A777" s="12" t="s">
        <v>34245</v>
      </c>
      <c r="B777" s="12" t="s">
        <v>537</v>
      </c>
      <c r="C777" s="13" t="s">
        <v>538</v>
      </c>
      <c r="D777" s="13" t="s">
        <v>83</v>
      </c>
      <c r="E777" s="12" t="s">
        <v>35</v>
      </c>
      <c r="F777" s="14">
        <v>20000</v>
      </c>
      <c r="G777" s="14">
        <v>14410</v>
      </c>
      <c r="H777" s="13" t="s">
        <v>34531</v>
      </c>
      <c r="I777" s="40" t="s">
        <v>18</v>
      </c>
      <c r="J777" s="40" t="str">
        <f>HYPERLINK("https://stock.pstatic.net/stock-research/company/15/20260731_company_643531000.pdf","PDF")</f>
        <v>PDF</v>
      </c>
      <c r="K777" s="12" t="s">
        <v>34532</v>
      </c>
      <c r="L777" s="36">
        <v>0.38792505204718952</v>
      </c>
    </row>
    <row r="778" spans="1:12" x14ac:dyDescent="0.45">
      <c r="A778" s="12" t="s">
        <v>34245</v>
      </c>
      <c r="B778" s="12" t="s">
        <v>174</v>
      </c>
      <c r="C778" s="13" t="s">
        <v>44</v>
      </c>
      <c r="D778" s="13" t="s">
        <v>83</v>
      </c>
      <c r="E778" s="12" t="s">
        <v>35</v>
      </c>
      <c r="F778" s="14">
        <v>370000</v>
      </c>
      <c r="G778" s="14">
        <v>256500</v>
      </c>
      <c r="H778" s="13" t="s">
        <v>34533</v>
      </c>
      <c r="I778" s="40" t="s">
        <v>18</v>
      </c>
      <c r="J778" s="40" t="str">
        <f>HYPERLINK("https://stock.pstatic.net/stock-research/company/15/20260731_company_225893000.pdf","PDF")</f>
        <v>PDF</v>
      </c>
      <c r="K778" s="12" t="s">
        <v>34534</v>
      </c>
      <c r="L778" s="36">
        <v>0.442495126705653</v>
      </c>
    </row>
    <row r="779" spans="1:12" x14ac:dyDescent="0.45">
      <c r="A779" s="12" t="s">
        <v>34245</v>
      </c>
      <c r="B779" s="12" t="s">
        <v>32</v>
      </c>
      <c r="C779" s="13" t="s">
        <v>33</v>
      </c>
      <c r="D779" s="13" t="s">
        <v>83</v>
      </c>
      <c r="E779" s="12" t="s">
        <v>35</v>
      </c>
      <c r="F779" s="14">
        <v>2800000</v>
      </c>
      <c r="G779" s="14">
        <v>879000</v>
      </c>
      <c r="H779" s="13" t="s">
        <v>34535</v>
      </c>
      <c r="I779" s="40" t="s">
        <v>18</v>
      </c>
      <c r="J779" s="40" t="str">
        <f>HYPERLINK("https://stock.pstatic.net/stock-research/company/15/20260731_company_601523000.pdf","PDF")</f>
        <v>PDF</v>
      </c>
      <c r="K779" s="12" t="s">
        <v>34536</v>
      </c>
      <c r="L779" s="36">
        <v>2.1854379977246872</v>
      </c>
    </row>
    <row r="780" spans="1:12" x14ac:dyDescent="0.45">
      <c r="A780" s="12" t="s">
        <v>34245</v>
      </c>
      <c r="B780" s="12" t="s">
        <v>1781</v>
      </c>
      <c r="C780" s="13" t="s">
        <v>1782</v>
      </c>
      <c r="D780" s="13" t="s">
        <v>83</v>
      </c>
      <c r="E780" s="12" t="s">
        <v>35</v>
      </c>
      <c r="F780" s="14">
        <v>240000</v>
      </c>
      <c r="G780" s="14">
        <v>148000</v>
      </c>
      <c r="H780" s="13" t="s">
        <v>34537</v>
      </c>
      <c r="I780" s="40" t="s">
        <v>18</v>
      </c>
      <c r="J780" s="40" t="str">
        <f>HYPERLINK("https://stock.pstatic.net/stock-research/company/15/20260731_company_442496000.pdf","PDF")</f>
        <v>PDF</v>
      </c>
      <c r="K780" s="12" t="s">
        <v>34538</v>
      </c>
      <c r="L780" s="36">
        <v>0.6216216216216216</v>
      </c>
    </row>
    <row r="781" spans="1:12" x14ac:dyDescent="0.45">
      <c r="A781" s="12" t="s">
        <v>34245</v>
      </c>
      <c r="B781" s="12" t="s">
        <v>13</v>
      </c>
      <c r="C781" s="13" t="s">
        <v>14</v>
      </c>
      <c r="D781" s="13" t="s">
        <v>83</v>
      </c>
      <c r="E781" s="12" t="s">
        <v>35</v>
      </c>
      <c r="F781" s="14">
        <v>560000</v>
      </c>
      <c r="G781" s="14">
        <v>207000</v>
      </c>
      <c r="H781" s="13" t="s">
        <v>34539</v>
      </c>
      <c r="I781" s="40" t="s">
        <v>18</v>
      </c>
      <c r="J781" s="40" t="str">
        <f>HYPERLINK("https://stock.pstatic.net/stock-research/company/15/20260731_company_341399000.pdf","PDF")</f>
        <v>PDF</v>
      </c>
      <c r="K781" s="12" t="s">
        <v>34540</v>
      </c>
      <c r="L781" s="36">
        <v>1.705314009661836</v>
      </c>
    </row>
    <row r="782" spans="1:12" x14ac:dyDescent="0.45">
      <c r="A782" s="12" t="s">
        <v>34245</v>
      </c>
      <c r="B782" s="12" t="s">
        <v>2369</v>
      </c>
      <c r="C782" s="13" t="s">
        <v>2370</v>
      </c>
      <c r="D782" s="13" t="s">
        <v>83</v>
      </c>
      <c r="E782" s="12" t="s">
        <v>35</v>
      </c>
      <c r="F782" s="14">
        <v>690000</v>
      </c>
      <c r="G782" s="14">
        <v>358500</v>
      </c>
      <c r="H782" s="13" t="s">
        <v>34541</v>
      </c>
      <c r="I782" s="40" t="s">
        <v>18</v>
      </c>
      <c r="J782" s="40" t="str">
        <f>HYPERLINK("https://stock.pstatic.net/stock-research/company/15/20260731_company_917421000.pdf","PDF")</f>
        <v>PDF</v>
      </c>
      <c r="K782" s="12" t="s">
        <v>34542</v>
      </c>
      <c r="L782" s="36">
        <v>0.92468619246861927</v>
      </c>
    </row>
    <row r="783" spans="1:12" x14ac:dyDescent="0.45">
      <c r="A783" s="12" t="s">
        <v>34245</v>
      </c>
      <c r="B783" s="12" t="s">
        <v>398</v>
      </c>
      <c r="C783" s="13" t="s">
        <v>399</v>
      </c>
      <c r="D783" s="13" t="s">
        <v>83</v>
      </c>
      <c r="E783" s="12" t="s">
        <v>35</v>
      </c>
      <c r="F783" s="14">
        <v>230000</v>
      </c>
      <c r="G783" s="14">
        <v>130200</v>
      </c>
      <c r="H783" s="13" t="s">
        <v>34543</v>
      </c>
      <c r="I783" s="40" t="s">
        <v>18</v>
      </c>
      <c r="J783" s="40" t="str">
        <f>HYPERLINK("https://stock.pstatic.net/stock-research/company/15/20260731_company_523222000.pdf","PDF")</f>
        <v>PDF</v>
      </c>
      <c r="K783" s="12" t="s">
        <v>34544</v>
      </c>
      <c r="L783" s="36">
        <v>0.76651305683563753</v>
      </c>
    </row>
    <row r="784" spans="1:12" x14ac:dyDescent="0.45">
      <c r="A784" s="12" t="s">
        <v>34245</v>
      </c>
      <c r="B784" s="12" t="s">
        <v>2777</v>
      </c>
      <c r="C784" s="13" t="s">
        <v>2778</v>
      </c>
      <c r="D784" s="13" t="s">
        <v>83</v>
      </c>
      <c r="E784" s="12" t="s">
        <v>35</v>
      </c>
      <c r="F784" s="14">
        <v>580000</v>
      </c>
      <c r="G784" s="14">
        <v>315500</v>
      </c>
      <c r="H784" s="13" t="s">
        <v>34545</v>
      </c>
      <c r="I784" s="40" t="s">
        <v>18</v>
      </c>
      <c r="J784" s="40" t="str">
        <f>HYPERLINK("https://stock.pstatic.net/stock-research/company/15/20260731_company_645118000.pdf","PDF")</f>
        <v>PDF</v>
      </c>
      <c r="K784" s="12" t="s">
        <v>34546</v>
      </c>
      <c r="L784" s="36">
        <v>0.83835182250396201</v>
      </c>
    </row>
    <row r="785" spans="1:12" x14ac:dyDescent="0.45">
      <c r="A785" s="12" t="s">
        <v>34245</v>
      </c>
      <c r="B785" s="12" t="s">
        <v>2982</v>
      </c>
      <c r="C785" s="13" t="s">
        <v>2983</v>
      </c>
      <c r="D785" s="13" t="s">
        <v>15</v>
      </c>
      <c r="E785" s="12" t="s">
        <v>16</v>
      </c>
      <c r="F785" s="14">
        <v>100000</v>
      </c>
      <c r="G785" s="14">
        <v>54100</v>
      </c>
      <c r="H785" s="13" t="s">
        <v>34547</v>
      </c>
      <c r="I785" s="40" t="s">
        <v>18</v>
      </c>
      <c r="J785" s="40" t="str">
        <f>HYPERLINK("https://stock.pstatic.net/stock-research/company/56/20260731_company_731579000.pdf","PDF")</f>
        <v>PDF</v>
      </c>
      <c r="K785" s="12" t="s">
        <v>34548</v>
      </c>
      <c r="L785" s="36">
        <v>0.84842883548983361</v>
      </c>
    </row>
    <row r="786" spans="1:12" x14ac:dyDescent="0.45">
      <c r="A786" s="12" t="s">
        <v>34245</v>
      </c>
      <c r="B786" s="12" t="s">
        <v>9369</v>
      </c>
      <c r="C786" s="13" t="s">
        <v>9370</v>
      </c>
      <c r="D786" s="13" t="s">
        <v>15</v>
      </c>
      <c r="E786" s="12" t="s">
        <v>16</v>
      </c>
      <c r="F786" s="14">
        <v>46000</v>
      </c>
      <c r="G786" s="14">
        <v>32800</v>
      </c>
      <c r="H786" s="13" t="s">
        <v>34549</v>
      </c>
      <c r="I786" s="40" t="s">
        <v>18</v>
      </c>
      <c r="J786" s="40" t="str">
        <f>HYPERLINK("https://stock.pstatic.net/stock-research/company/56/20260731_company_629528000.pdf","PDF")</f>
        <v>PDF</v>
      </c>
      <c r="K786" s="12" t="s">
        <v>34550</v>
      </c>
      <c r="L786" s="36">
        <v>0.40243902439024393</v>
      </c>
    </row>
    <row r="787" spans="1:12" x14ac:dyDescent="0.45">
      <c r="A787" s="12" t="s">
        <v>34245</v>
      </c>
      <c r="B787" s="12" t="s">
        <v>2378</v>
      </c>
      <c r="C787" s="13" t="s">
        <v>2379</v>
      </c>
      <c r="D787" s="13" t="s">
        <v>15</v>
      </c>
      <c r="E787" s="12" t="s">
        <v>16</v>
      </c>
      <c r="F787" s="14">
        <v>510000</v>
      </c>
      <c r="G787" s="14">
        <v>320000</v>
      </c>
      <c r="H787" s="13" t="s">
        <v>34551</v>
      </c>
      <c r="I787" s="40" t="s">
        <v>18</v>
      </c>
      <c r="J787" s="40" t="str">
        <f>HYPERLINK("https://stock.pstatic.net/stock-research/company/56/20260731_company_573791000.pdf","PDF")</f>
        <v>PDF</v>
      </c>
      <c r="K787" s="12" t="s">
        <v>34552</v>
      </c>
      <c r="L787" s="36">
        <v>0.59375</v>
      </c>
    </row>
    <row r="788" spans="1:12" x14ac:dyDescent="0.45">
      <c r="A788" s="12" t="s">
        <v>34245</v>
      </c>
      <c r="B788" s="12" t="s">
        <v>2658</v>
      </c>
      <c r="C788" s="13" t="s">
        <v>2659</v>
      </c>
      <c r="D788" s="13" t="s">
        <v>15</v>
      </c>
      <c r="E788" s="12" t="s">
        <v>16</v>
      </c>
      <c r="F788" s="14">
        <v>145000</v>
      </c>
      <c r="G788" s="14">
        <v>74000</v>
      </c>
      <c r="H788" s="13" t="s">
        <v>34553</v>
      </c>
      <c r="I788" s="40" t="s">
        <v>18</v>
      </c>
      <c r="J788" s="40" t="str">
        <f>HYPERLINK("https://stock.pstatic.net/stock-research/company/56/20260731_company_201400000.pdf","PDF")</f>
        <v>PDF</v>
      </c>
      <c r="K788" s="12" t="s">
        <v>34554</v>
      </c>
      <c r="L788" s="36">
        <v>0.95945945945945943</v>
      </c>
    </row>
    <row r="789" spans="1:12" x14ac:dyDescent="0.45">
      <c r="A789" s="12" t="s">
        <v>34245</v>
      </c>
      <c r="B789" s="12" t="s">
        <v>908</v>
      </c>
      <c r="C789" s="13" t="s">
        <v>909</v>
      </c>
      <c r="D789" s="13" t="s">
        <v>15</v>
      </c>
      <c r="E789" s="12" t="s">
        <v>16</v>
      </c>
      <c r="F789" s="14">
        <v>260000</v>
      </c>
      <c r="G789" s="14">
        <v>198700</v>
      </c>
      <c r="H789" s="13" t="s">
        <v>34555</v>
      </c>
      <c r="I789" s="40" t="s">
        <v>18</v>
      </c>
      <c r="J789" s="40" t="str">
        <f>HYPERLINK("https://stock.pstatic.net/stock-research/company/56/20260731_company_542262000.pdf","PDF")</f>
        <v>PDF</v>
      </c>
      <c r="K789" s="12" t="s">
        <v>34556</v>
      </c>
      <c r="L789" s="36">
        <v>0.30850528434826369</v>
      </c>
    </row>
    <row r="790" spans="1:12" x14ac:dyDescent="0.45">
      <c r="A790" s="12" t="s">
        <v>34245</v>
      </c>
      <c r="B790" s="12" t="s">
        <v>2369</v>
      </c>
      <c r="C790" s="13" t="s">
        <v>2370</v>
      </c>
      <c r="D790" s="13" t="s">
        <v>15</v>
      </c>
      <c r="E790" s="12" t="s">
        <v>16</v>
      </c>
      <c r="F790" s="14">
        <v>1000000</v>
      </c>
      <c r="G790" s="14">
        <v>358500</v>
      </c>
      <c r="H790" s="13" t="s">
        <v>34557</v>
      </c>
      <c r="I790" s="40" t="s">
        <v>18</v>
      </c>
      <c r="J790" s="40" t="str">
        <f>HYPERLINK("https://stock.pstatic.net/stock-research/company/56/20260731_company_199751000.pdf","PDF")</f>
        <v>PDF</v>
      </c>
      <c r="K790" s="12" t="s">
        <v>34558</v>
      </c>
      <c r="L790" s="36">
        <v>1.7894002789400281</v>
      </c>
    </row>
    <row r="791" spans="1:12" x14ac:dyDescent="0.45">
      <c r="A791" s="12" t="s">
        <v>34245</v>
      </c>
      <c r="B791" s="12" t="s">
        <v>856</v>
      </c>
      <c r="C791" s="13" t="s">
        <v>857</v>
      </c>
      <c r="D791" s="13" t="s">
        <v>179</v>
      </c>
      <c r="E791" s="12" t="s">
        <v>16</v>
      </c>
      <c r="F791" s="14">
        <v>210000</v>
      </c>
      <c r="G791" s="14">
        <v>125400</v>
      </c>
      <c r="H791" s="13" t="s">
        <v>34559</v>
      </c>
      <c r="I791" s="40" t="s">
        <v>18</v>
      </c>
      <c r="J791" s="40" t="str">
        <f>HYPERLINK("https://stock.pstatic.net/stock-research/company/64/20260731_company_726977000.pdf","PDF")</f>
        <v>PDF</v>
      </c>
      <c r="K791" s="12" t="s">
        <v>34560</v>
      </c>
      <c r="L791" s="36">
        <v>0.67464114832535882</v>
      </c>
    </row>
    <row r="792" spans="1:12" x14ac:dyDescent="0.45">
      <c r="A792" s="12" t="s">
        <v>34245</v>
      </c>
      <c r="B792" s="12" t="s">
        <v>3813</v>
      </c>
      <c r="C792" s="13" t="s">
        <v>3814</v>
      </c>
      <c r="D792" s="13" t="s">
        <v>53</v>
      </c>
      <c r="E792" s="12" t="s">
        <v>16</v>
      </c>
      <c r="F792" s="14">
        <v>17000</v>
      </c>
      <c r="G792" s="14">
        <v>8540</v>
      </c>
      <c r="H792" s="13" t="s">
        <v>34561</v>
      </c>
      <c r="I792" s="40" t="s">
        <v>18</v>
      </c>
      <c r="J792" s="40" t="str">
        <f>HYPERLINK("https://stock.pstatic.net/stock-research/company/40/20260731_company_575660000.pdf","PDF")</f>
        <v>PDF</v>
      </c>
      <c r="K792" s="12" t="s">
        <v>34562</v>
      </c>
      <c r="L792" s="36">
        <v>0.99063231850117095</v>
      </c>
    </row>
    <row r="793" spans="1:12" x14ac:dyDescent="0.45">
      <c r="A793" s="12" t="s">
        <v>34245</v>
      </c>
      <c r="B793" s="12" t="s">
        <v>1562</v>
      </c>
      <c r="C793" s="13" t="s">
        <v>34563</v>
      </c>
      <c r="D793" s="13" t="s">
        <v>92</v>
      </c>
      <c r="E793" s="12" t="s">
        <v>35</v>
      </c>
      <c r="F793" s="14">
        <v>35000</v>
      </c>
      <c r="G793" s="14">
        <v>15840</v>
      </c>
      <c r="H793" s="13" t="s">
        <v>34564</v>
      </c>
      <c r="I793" s="40" t="s">
        <v>18</v>
      </c>
      <c r="J793" s="40" t="str">
        <f>HYPERLINK("https://stock.pstatic.net/stock-research/company/63/20260731_company_999936000.pdf","PDF")</f>
        <v>PDF</v>
      </c>
      <c r="K793" s="12" t="s">
        <v>34565</v>
      </c>
      <c r="L793" s="36">
        <v>1.20959595959596</v>
      </c>
    </row>
    <row r="794" spans="1:12" x14ac:dyDescent="0.45">
      <c r="A794" s="12" t="s">
        <v>34245</v>
      </c>
      <c r="B794" s="12" t="s">
        <v>1566</v>
      </c>
      <c r="C794" s="13" t="s">
        <v>1567</v>
      </c>
      <c r="D794" s="13" t="s">
        <v>92</v>
      </c>
      <c r="E794" s="12" t="s">
        <v>50</v>
      </c>
      <c r="F794" s="13"/>
      <c r="G794" s="14">
        <v>1608</v>
      </c>
      <c r="H794" s="13" t="s">
        <v>34566</v>
      </c>
      <c r="I794" s="40" t="s">
        <v>18</v>
      </c>
      <c r="J794" s="40" t="str">
        <f>HYPERLINK("https://stock.pstatic.net/stock-research/company/63/20260731_company_968098000.pdf","PDF")</f>
        <v>PDF</v>
      </c>
      <c r="K794" s="12" t="s">
        <v>34567</v>
      </c>
      <c r="L794" s="12"/>
    </row>
    <row r="795" spans="1:12" x14ac:dyDescent="0.45">
      <c r="A795" s="12" t="s">
        <v>34245</v>
      </c>
      <c r="B795" s="12" t="s">
        <v>3296</v>
      </c>
      <c r="C795" s="13" t="s">
        <v>3297</v>
      </c>
      <c r="D795" s="13" t="s">
        <v>179</v>
      </c>
      <c r="E795" s="12" t="s">
        <v>16</v>
      </c>
      <c r="F795" s="14">
        <v>65000</v>
      </c>
      <c r="G795" s="14">
        <v>34900</v>
      </c>
      <c r="H795" s="13" t="s">
        <v>34568</v>
      </c>
      <c r="I795" s="40" t="s">
        <v>18</v>
      </c>
      <c r="J795" s="40" t="str">
        <f>HYPERLINK("https://stock.pstatic.net/stock-research/company/64/20260731_company_308868000.pdf","PDF")</f>
        <v>PDF</v>
      </c>
      <c r="K795" s="12" t="s">
        <v>34569</v>
      </c>
      <c r="L795" s="36">
        <v>0.86246418338108888</v>
      </c>
    </row>
    <row r="796" spans="1:12" x14ac:dyDescent="0.45">
      <c r="A796" s="12" t="s">
        <v>34245</v>
      </c>
      <c r="B796" s="12" t="s">
        <v>3831</v>
      </c>
      <c r="C796" s="13" t="s">
        <v>3832</v>
      </c>
      <c r="D796" s="13" t="s">
        <v>15</v>
      </c>
      <c r="E796" s="12" t="s">
        <v>16</v>
      </c>
      <c r="F796" s="14">
        <v>72000</v>
      </c>
      <c r="G796" s="14">
        <v>39750</v>
      </c>
      <c r="H796" s="13" t="s">
        <v>34570</v>
      </c>
      <c r="I796" s="40" t="s">
        <v>18</v>
      </c>
      <c r="J796" s="40" t="str">
        <f>HYPERLINK("https://stock.pstatic.net/stock-research/company/56/20260731_company_724934000.pdf","PDF")</f>
        <v>PDF</v>
      </c>
      <c r="K796" s="12" t="s">
        <v>34571</v>
      </c>
      <c r="L796" s="36">
        <v>0.81132075471698117</v>
      </c>
    </row>
    <row r="797" spans="1:12" x14ac:dyDescent="0.45">
      <c r="A797" s="12" t="s">
        <v>34245</v>
      </c>
      <c r="B797" s="12" t="s">
        <v>2982</v>
      </c>
      <c r="C797" s="13" t="s">
        <v>2983</v>
      </c>
      <c r="D797" s="13" t="s">
        <v>92</v>
      </c>
      <c r="E797" s="12" t="s">
        <v>35</v>
      </c>
      <c r="F797" s="14">
        <v>121000</v>
      </c>
      <c r="G797" s="14">
        <v>54100</v>
      </c>
      <c r="H797" s="13" t="s">
        <v>34572</v>
      </c>
      <c r="I797" s="40" t="s">
        <v>18</v>
      </c>
      <c r="J797" s="40" t="str">
        <f>HYPERLINK("https://stock.pstatic.net/stock-research/company/63/20260731_company_941603000.pdf","PDF")</f>
        <v>PDF</v>
      </c>
      <c r="K797" s="12" t="s">
        <v>34573</v>
      </c>
      <c r="L797" s="36">
        <v>1.236598890942699</v>
      </c>
    </row>
    <row r="798" spans="1:12" x14ac:dyDescent="0.45">
      <c r="A798" s="12" t="s">
        <v>34245</v>
      </c>
      <c r="B798" s="12" t="s">
        <v>1208</v>
      </c>
      <c r="C798" s="13" t="s">
        <v>1209</v>
      </c>
      <c r="D798" s="13" t="s">
        <v>179</v>
      </c>
      <c r="E798" s="12" t="s">
        <v>16</v>
      </c>
      <c r="F798" s="14">
        <v>80000</v>
      </c>
      <c r="G798" s="14">
        <v>35000</v>
      </c>
      <c r="H798" s="13" t="s">
        <v>34574</v>
      </c>
      <c r="I798" s="40" t="s">
        <v>18</v>
      </c>
      <c r="J798" s="40" t="str">
        <f>HYPERLINK("https://stock.pstatic.net/stock-research/company/64/20260731_company_575706000.pdf","PDF")</f>
        <v>PDF</v>
      </c>
      <c r="K798" s="12" t="s">
        <v>34575</v>
      </c>
      <c r="L798" s="36">
        <v>1.285714285714286</v>
      </c>
    </row>
    <row r="799" spans="1:12" x14ac:dyDescent="0.45">
      <c r="A799" s="12" t="s">
        <v>34245</v>
      </c>
      <c r="B799" s="12" t="s">
        <v>434</v>
      </c>
      <c r="C799" s="13" t="s">
        <v>435</v>
      </c>
      <c r="D799" s="13" t="s">
        <v>23</v>
      </c>
      <c r="E799" s="12" t="s">
        <v>16</v>
      </c>
      <c r="F799" s="14">
        <v>195000</v>
      </c>
      <c r="G799" s="14">
        <v>134000</v>
      </c>
      <c r="H799" s="13" t="s">
        <v>34576</v>
      </c>
      <c r="I799" s="40" t="s">
        <v>18</v>
      </c>
      <c r="J799" s="40" t="str">
        <f>HYPERLINK("https://stock.pstatic.net/stock-research/company/21/20260731_company_991129000.pdf","PDF")</f>
        <v>PDF</v>
      </c>
      <c r="K799" s="12" t="s">
        <v>34577</v>
      </c>
      <c r="L799" s="36">
        <v>0.45522388059701491</v>
      </c>
    </row>
    <row r="800" spans="1:12" x14ac:dyDescent="0.45">
      <c r="A800" s="12" t="s">
        <v>34245</v>
      </c>
      <c r="B800" s="12" t="s">
        <v>856</v>
      </c>
      <c r="C800" s="13" t="s">
        <v>857</v>
      </c>
      <c r="D800" s="13" t="s">
        <v>15</v>
      </c>
      <c r="E800" s="12" t="s">
        <v>16</v>
      </c>
      <c r="F800" s="14">
        <v>200000</v>
      </c>
      <c r="G800" s="14">
        <v>125400</v>
      </c>
      <c r="H800" s="13" t="s">
        <v>34578</v>
      </c>
      <c r="I800" s="40" t="s">
        <v>18</v>
      </c>
      <c r="J800" s="40" t="str">
        <f>HYPERLINK("https://stock.pstatic.net/stock-research/company/56/20260731_company_360611000.pdf","PDF")</f>
        <v>PDF</v>
      </c>
      <c r="K800" s="12" t="s">
        <v>34579</v>
      </c>
      <c r="L800" s="36">
        <v>0.59489633173843703</v>
      </c>
    </row>
    <row r="801" spans="1:12" x14ac:dyDescent="0.45">
      <c r="A801" s="12" t="s">
        <v>34245</v>
      </c>
      <c r="B801" s="12" t="s">
        <v>21731</v>
      </c>
      <c r="C801" s="13" t="s">
        <v>21732</v>
      </c>
      <c r="D801" s="13" t="s">
        <v>23</v>
      </c>
      <c r="E801" s="12" t="s">
        <v>16</v>
      </c>
      <c r="F801" s="14">
        <v>63000</v>
      </c>
      <c r="G801" s="14">
        <v>36800</v>
      </c>
      <c r="H801" s="13" t="s">
        <v>34580</v>
      </c>
      <c r="I801" s="40" t="s">
        <v>18</v>
      </c>
      <c r="J801" s="40" t="str">
        <f>HYPERLINK("https://stock.pstatic.net/stock-research/company/21/20260731_company_634726000.pdf","PDF")</f>
        <v>PDF</v>
      </c>
      <c r="K801" s="12" t="s">
        <v>34581</v>
      </c>
      <c r="L801" s="36">
        <v>0.71195652173913049</v>
      </c>
    </row>
    <row r="802" spans="1:12" x14ac:dyDescent="0.45">
      <c r="A802" s="12" t="s">
        <v>34245</v>
      </c>
      <c r="B802" s="12" t="s">
        <v>2658</v>
      </c>
      <c r="C802" s="13" t="s">
        <v>2659</v>
      </c>
      <c r="D802" s="13" t="s">
        <v>23</v>
      </c>
      <c r="E802" s="12" t="s">
        <v>16</v>
      </c>
      <c r="F802" s="14">
        <v>120000</v>
      </c>
      <c r="G802" s="14">
        <v>74000</v>
      </c>
      <c r="H802" s="13" t="s">
        <v>34582</v>
      </c>
      <c r="I802" s="40" t="s">
        <v>18</v>
      </c>
      <c r="J802" s="40" t="str">
        <f>HYPERLINK("https://stock.pstatic.net/stock-research/company/21/20260731_company_435251000.pdf","PDF")</f>
        <v>PDF</v>
      </c>
      <c r="K802" s="12" t="s">
        <v>34583</v>
      </c>
      <c r="L802" s="36">
        <v>0.6216216216216216</v>
      </c>
    </row>
    <row r="803" spans="1:12" x14ac:dyDescent="0.45">
      <c r="A803" s="12" t="s">
        <v>34245</v>
      </c>
      <c r="B803" s="12" t="s">
        <v>1781</v>
      </c>
      <c r="C803" s="13" t="s">
        <v>1782</v>
      </c>
      <c r="D803" s="13" t="s">
        <v>23</v>
      </c>
      <c r="E803" s="12" t="s">
        <v>16</v>
      </c>
      <c r="F803" s="14">
        <v>180000</v>
      </c>
      <c r="G803" s="14">
        <v>148000</v>
      </c>
      <c r="H803" s="13" t="s">
        <v>34584</v>
      </c>
      <c r="I803" s="40" t="s">
        <v>18</v>
      </c>
      <c r="J803" s="40" t="str">
        <f>HYPERLINK("https://stock.pstatic.net/stock-research/company/21/20260731_company_599094000.pdf","PDF")</f>
        <v>PDF</v>
      </c>
      <c r="K803" s="12" t="s">
        <v>34585</v>
      </c>
      <c r="L803" s="36">
        <v>0.2162162162162162</v>
      </c>
    </row>
    <row r="804" spans="1:12" x14ac:dyDescent="0.45">
      <c r="A804" s="12" t="s">
        <v>34245</v>
      </c>
      <c r="B804" s="12" t="s">
        <v>434</v>
      </c>
      <c r="C804" s="13" t="s">
        <v>435</v>
      </c>
      <c r="D804" s="13" t="s">
        <v>179</v>
      </c>
      <c r="E804" s="12" t="s">
        <v>16</v>
      </c>
      <c r="F804" s="14">
        <v>180000</v>
      </c>
      <c r="G804" s="14">
        <v>134000</v>
      </c>
      <c r="H804" s="13" t="s">
        <v>34586</v>
      </c>
      <c r="I804" s="40" t="s">
        <v>18</v>
      </c>
      <c r="J804" s="40" t="str">
        <f>HYPERLINK("https://stock.pstatic.net/stock-research/company/64/20260731_company_738629000.pdf","PDF")</f>
        <v>PDF</v>
      </c>
      <c r="K804" s="12" t="s">
        <v>34587</v>
      </c>
      <c r="L804" s="36">
        <v>0.34328358208955218</v>
      </c>
    </row>
    <row r="805" spans="1:12" x14ac:dyDescent="0.45">
      <c r="A805" s="12" t="s">
        <v>34245</v>
      </c>
      <c r="B805" s="12" t="s">
        <v>32</v>
      </c>
      <c r="C805" s="13" t="s">
        <v>33</v>
      </c>
      <c r="D805" s="13" t="s">
        <v>23</v>
      </c>
      <c r="E805" s="12" t="s">
        <v>16</v>
      </c>
      <c r="F805" s="14">
        <v>2200000</v>
      </c>
      <c r="G805" s="14">
        <v>879000</v>
      </c>
      <c r="H805" s="13" t="s">
        <v>34588</v>
      </c>
      <c r="I805" s="40" t="s">
        <v>18</v>
      </c>
      <c r="J805" s="40" t="str">
        <f>HYPERLINK("https://stock.pstatic.net/stock-research/company/21/20260731_company_564076000.pdf","PDF")</f>
        <v>PDF</v>
      </c>
      <c r="K805" s="12" t="s">
        <v>34589</v>
      </c>
      <c r="L805" s="36">
        <v>1.5028441410693969</v>
      </c>
    </row>
    <row r="806" spans="1:12" x14ac:dyDescent="0.45">
      <c r="A806" s="12" t="s">
        <v>34245</v>
      </c>
      <c r="B806" s="12" t="s">
        <v>13</v>
      </c>
      <c r="C806" s="13" t="s">
        <v>14</v>
      </c>
      <c r="D806" s="13" t="s">
        <v>53</v>
      </c>
      <c r="E806" s="12" t="s">
        <v>16</v>
      </c>
      <c r="F806" s="14">
        <v>460000</v>
      </c>
      <c r="G806" s="14">
        <v>207000</v>
      </c>
      <c r="H806" s="13" t="s">
        <v>34590</v>
      </c>
      <c r="I806" s="40" t="s">
        <v>18</v>
      </c>
      <c r="J806" s="40" t="str">
        <f>HYPERLINK("https://stock.pstatic.net/stock-research/company/40/20260731_company_286371000.pdf","PDF")</f>
        <v>PDF</v>
      </c>
      <c r="K806" s="12" t="s">
        <v>34591</v>
      </c>
      <c r="L806" s="36">
        <v>1.2222222222222221</v>
      </c>
    </row>
    <row r="807" spans="1:12" x14ac:dyDescent="0.45">
      <c r="A807" s="12" t="s">
        <v>34245</v>
      </c>
      <c r="B807" s="12" t="s">
        <v>13</v>
      </c>
      <c r="C807" s="13" t="s">
        <v>14</v>
      </c>
      <c r="D807" s="13" t="s">
        <v>23</v>
      </c>
      <c r="E807" s="12" t="s">
        <v>16</v>
      </c>
      <c r="F807" s="14">
        <v>450000</v>
      </c>
      <c r="G807" s="14">
        <v>207000</v>
      </c>
      <c r="H807" s="13" t="s">
        <v>34592</v>
      </c>
      <c r="I807" s="40" t="s">
        <v>18</v>
      </c>
      <c r="J807" s="40" t="str">
        <f>HYPERLINK("https://stock.pstatic.net/stock-research/company/21/20260731_company_913399000.pdf","PDF")</f>
        <v>PDF</v>
      </c>
      <c r="K807" s="12" t="s">
        <v>34593</v>
      </c>
      <c r="L807" s="36">
        <v>1.173913043478261</v>
      </c>
    </row>
    <row r="808" spans="1:12" x14ac:dyDescent="0.45">
      <c r="A808" s="12" t="s">
        <v>34245</v>
      </c>
      <c r="B808" s="12" t="s">
        <v>1694</v>
      </c>
      <c r="C808" s="13" t="s">
        <v>1695</v>
      </c>
      <c r="D808" s="13" t="s">
        <v>23</v>
      </c>
      <c r="E808" s="12" t="s">
        <v>35</v>
      </c>
      <c r="F808" s="14">
        <v>62000</v>
      </c>
      <c r="G808" s="14">
        <v>37550</v>
      </c>
      <c r="H808" s="13" t="s">
        <v>34594</v>
      </c>
      <c r="I808" s="40" t="s">
        <v>18</v>
      </c>
      <c r="J808" s="40" t="str">
        <f>HYPERLINK("https://stock.pstatic.net/stock-research/company/21/20260731_company_963085000.pdf","PDF")</f>
        <v>PDF</v>
      </c>
      <c r="K808" s="12" t="s">
        <v>34595</v>
      </c>
      <c r="L808" s="36">
        <v>0.65113182423435423</v>
      </c>
    </row>
    <row r="809" spans="1:12" x14ac:dyDescent="0.45">
      <c r="A809" s="12" t="s">
        <v>34245</v>
      </c>
      <c r="B809" s="12" t="s">
        <v>174</v>
      </c>
      <c r="C809" s="13" t="s">
        <v>44</v>
      </c>
      <c r="D809" s="13" t="s">
        <v>23</v>
      </c>
      <c r="E809" s="12" t="s">
        <v>16</v>
      </c>
      <c r="F809" s="14">
        <v>420000</v>
      </c>
      <c r="G809" s="14">
        <v>258500</v>
      </c>
      <c r="H809" s="13" t="s">
        <v>34596</v>
      </c>
      <c r="I809" s="40" t="s">
        <v>18</v>
      </c>
      <c r="J809" s="40" t="str">
        <f>HYPERLINK("https://stock.pstatic.net/stock-research/company/21/20260731_company_421334000.pdf","PDF")</f>
        <v>PDF</v>
      </c>
      <c r="K809" s="12" t="s">
        <v>34597</v>
      </c>
      <c r="L809" s="36">
        <v>0.62475822050290131</v>
      </c>
    </row>
    <row r="810" spans="1:12" x14ac:dyDescent="0.45">
      <c r="A810" s="12" t="s">
        <v>34245</v>
      </c>
      <c r="B810" s="12" t="s">
        <v>13</v>
      </c>
      <c r="C810" s="13" t="s">
        <v>14</v>
      </c>
      <c r="D810" s="13" t="s">
        <v>92</v>
      </c>
      <c r="E810" s="12" t="s">
        <v>6960</v>
      </c>
      <c r="F810" s="14">
        <v>560000</v>
      </c>
      <c r="G810" s="14">
        <v>207000</v>
      </c>
      <c r="H810" s="13" t="s">
        <v>34598</v>
      </c>
      <c r="I810" s="40" t="s">
        <v>18</v>
      </c>
      <c r="J810" s="40" t="str">
        <f>HYPERLINK("https://stock.pstatic.net/stock-research/company/63/20260731_company_135018000.pdf","PDF")</f>
        <v>PDF</v>
      </c>
      <c r="K810" s="12" t="s">
        <v>34599</v>
      </c>
      <c r="L810" s="36">
        <v>1.705314009661836</v>
      </c>
    </row>
    <row r="811" spans="1:12" x14ac:dyDescent="0.45">
      <c r="A811" s="12" t="s">
        <v>34245</v>
      </c>
      <c r="B811" s="12" t="s">
        <v>2546</v>
      </c>
      <c r="C811" s="13" t="s">
        <v>2547</v>
      </c>
      <c r="D811" s="13" t="s">
        <v>34</v>
      </c>
      <c r="E811" s="12" t="s">
        <v>35</v>
      </c>
      <c r="F811" s="14">
        <v>120000</v>
      </c>
      <c r="G811" s="14">
        <v>84200</v>
      </c>
      <c r="H811" s="13" t="s">
        <v>34600</v>
      </c>
      <c r="I811" s="40" t="s">
        <v>18</v>
      </c>
      <c r="J811" s="40" t="str">
        <f>HYPERLINK("https://stock.pstatic.net/stock-research/company/61/20260731_company_927182000.pdf","PDF")</f>
        <v>PDF</v>
      </c>
      <c r="K811" s="12" t="s">
        <v>34601</v>
      </c>
      <c r="L811" s="36">
        <v>0.42517814726840852</v>
      </c>
    </row>
    <row r="812" spans="1:12" x14ac:dyDescent="0.45">
      <c r="A812" s="12" t="s">
        <v>34245</v>
      </c>
      <c r="B812" s="12" t="s">
        <v>32</v>
      </c>
      <c r="C812" s="13" t="s">
        <v>33</v>
      </c>
      <c r="D812" s="13" t="s">
        <v>53</v>
      </c>
      <c r="E812" s="12" t="s">
        <v>16</v>
      </c>
      <c r="F812" s="14">
        <v>1750000</v>
      </c>
      <c r="G812" s="14">
        <v>879000</v>
      </c>
      <c r="H812" s="13" t="s">
        <v>34602</v>
      </c>
      <c r="I812" s="40" t="s">
        <v>18</v>
      </c>
      <c r="J812" s="40" t="str">
        <f>HYPERLINK("https://stock.pstatic.net/stock-research/company/40/20260731_company_376953000.pdf","PDF")</f>
        <v>PDF</v>
      </c>
      <c r="K812" s="12" t="s">
        <v>34603</v>
      </c>
      <c r="L812" s="36">
        <v>0.99089874857792948</v>
      </c>
    </row>
    <row r="813" spans="1:12" x14ac:dyDescent="0.45">
      <c r="A813" s="12" t="s">
        <v>34245</v>
      </c>
      <c r="B813" s="12" t="s">
        <v>2982</v>
      </c>
      <c r="C813" s="13" t="s">
        <v>2983</v>
      </c>
      <c r="D813" s="13" t="s">
        <v>34</v>
      </c>
      <c r="E813" s="12" t="s">
        <v>35</v>
      </c>
      <c r="F813" s="14">
        <v>90000</v>
      </c>
      <c r="G813" s="14">
        <v>54100</v>
      </c>
      <c r="H813" s="13" t="s">
        <v>34604</v>
      </c>
      <c r="I813" s="40" t="s">
        <v>18</v>
      </c>
      <c r="J813" s="40" t="str">
        <f>HYPERLINK("https://stock.pstatic.net/stock-research/company/61/20260731_company_861041000.pdf","PDF")</f>
        <v>PDF</v>
      </c>
      <c r="K813" s="12" t="s">
        <v>34605</v>
      </c>
      <c r="L813" s="36">
        <v>0.66358595194085024</v>
      </c>
    </row>
    <row r="814" spans="1:12" x14ac:dyDescent="0.45">
      <c r="A814" s="12" t="s">
        <v>34245</v>
      </c>
      <c r="B814" s="12" t="s">
        <v>334</v>
      </c>
      <c r="C814" s="13" t="s">
        <v>335</v>
      </c>
      <c r="D814" s="13" t="s">
        <v>92</v>
      </c>
      <c r="E814" s="12" t="s">
        <v>6960</v>
      </c>
      <c r="F814" s="14">
        <v>3700000</v>
      </c>
      <c r="G814" s="14">
        <v>1322000</v>
      </c>
      <c r="H814" s="13" t="s">
        <v>34606</v>
      </c>
      <c r="I814" s="40" t="s">
        <v>18</v>
      </c>
      <c r="J814" s="40" t="str">
        <f>HYPERLINK("https://stock.pstatic.net/stock-research/company/63/20260731_company_823288000.pdf","PDF")</f>
        <v>PDF</v>
      </c>
      <c r="K814" s="12" t="s">
        <v>34607</v>
      </c>
      <c r="L814" s="36">
        <v>1.798789712556732</v>
      </c>
    </row>
    <row r="815" spans="1:12" x14ac:dyDescent="0.45">
      <c r="A815" s="12" t="s">
        <v>34245</v>
      </c>
      <c r="B815" s="12" t="s">
        <v>3831</v>
      </c>
      <c r="C815" s="13" t="s">
        <v>3832</v>
      </c>
      <c r="D815" s="13" t="s">
        <v>92</v>
      </c>
      <c r="E815" s="12" t="s">
        <v>35</v>
      </c>
      <c r="F815" s="14">
        <v>75000</v>
      </c>
      <c r="G815" s="14">
        <v>39750</v>
      </c>
      <c r="H815" s="13" t="s">
        <v>34608</v>
      </c>
      <c r="I815" s="40" t="s">
        <v>18</v>
      </c>
      <c r="J815" s="40" t="str">
        <f>HYPERLINK("https://stock.pstatic.net/stock-research/company/63/20260731_company_452490000.pdf","PDF")</f>
        <v>PDF</v>
      </c>
      <c r="K815" s="12" t="s">
        <v>34609</v>
      </c>
      <c r="L815" s="36">
        <v>0.8867924528301887</v>
      </c>
    </row>
    <row r="816" spans="1:12" x14ac:dyDescent="0.45">
      <c r="A816" s="12" t="s">
        <v>34245</v>
      </c>
      <c r="B816" s="12" t="s">
        <v>2982</v>
      </c>
      <c r="C816" s="13" t="s">
        <v>2983</v>
      </c>
      <c r="D816" s="13" t="s">
        <v>23</v>
      </c>
      <c r="E816" s="12" t="s">
        <v>16</v>
      </c>
      <c r="F816" s="14">
        <v>90000</v>
      </c>
      <c r="G816" s="14">
        <v>54100</v>
      </c>
      <c r="H816" s="13" t="s">
        <v>34610</v>
      </c>
      <c r="I816" s="40" t="s">
        <v>18</v>
      </c>
      <c r="J816" s="40" t="str">
        <f>HYPERLINK("https://stock.pstatic.net/stock-research/company/21/20260731_company_753154000.pdf","PDF")</f>
        <v>PDF</v>
      </c>
      <c r="K816" s="12" t="s">
        <v>34611</v>
      </c>
      <c r="L816" s="36">
        <v>0.66358595194085024</v>
      </c>
    </row>
    <row r="817" spans="1:12" x14ac:dyDescent="0.45">
      <c r="A817" s="12" t="s">
        <v>34245</v>
      </c>
      <c r="B817" s="12" t="s">
        <v>1690</v>
      </c>
      <c r="C817" s="13" t="s">
        <v>1691</v>
      </c>
      <c r="D817" s="13" t="s">
        <v>92</v>
      </c>
      <c r="E817" s="12" t="s">
        <v>35</v>
      </c>
      <c r="F817" s="14">
        <v>171000</v>
      </c>
      <c r="G817" s="14">
        <v>116600</v>
      </c>
      <c r="H817" s="13" t="s">
        <v>34612</v>
      </c>
      <c r="I817" s="40" t="s">
        <v>18</v>
      </c>
      <c r="J817" s="40" t="str">
        <f>HYPERLINK("https://stock.pstatic.net/stock-research/company/63/20260731_company_959506000.pdf","PDF")</f>
        <v>PDF</v>
      </c>
      <c r="K817" s="12" t="s">
        <v>34613</v>
      </c>
      <c r="L817" s="36">
        <v>0.46655231560891941</v>
      </c>
    </row>
    <row r="818" spans="1:12" x14ac:dyDescent="0.45">
      <c r="A818" s="12" t="s">
        <v>34245</v>
      </c>
      <c r="B818" s="12" t="s">
        <v>344</v>
      </c>
      <c r="C818" s="13" t="s">
        <v>345</v>
      </c>
      <c r="D818" s="13" t="s">
        <v>23</v>
      </c>
      <c r="E818" s="12" t="s">
        <v>16</v>
      </c>
      <c r="F818" s="14">
        <v>15000</v>
      </c>
      <c r="G818" s="14">
        <v>9500</v>
      </c>
      <c r="H818" s="13" t="s">
        <v>34614</v>
      </c>
      <c r="I818" s="40" t="s">
        <v>18</v>
      </c>
      <c r="J818" s="40" t="str">
        <f>HYPERLINK("https://stock.pstatic.net/stock-research/company/21/20260731_company_118001000.pdf","PDF")</f>
        <v>PDF</v>
      </c>
      <c r="K818" s="12" t="s">
        <v>34615</v>
      </c>
      <c r="L818" s="36">
        <v>0.57894736842105265</v>
      </c>
    </row>
    <row r="819" spans="1:12" x14ac:dyDescent="0.45">
      <c r="A819" s="12" t="s">
        <v>34245</v>
      </c>
      <c r="B819" s="12" t="s">
        <v>1530</v>
      </c>
      <c r="C819" s="13" t="s">
        <v>1531</v>
      </c>
      <c r="D819" s="13" t="s">
        <v>23</v>
      </c>
      <c r="E819" s="12" t="s">
        <v>50</v>
      </c>
      <c r="F819" s="14">
        <v>14000</v>
      </c>
      <c r="G819" s="14">
        <v>13080</v>
      </c>
      <c r="H819" s="13" t="s">
        <v>34616</v>
      </c>
      <c r="I819" s="40" t="s">
        <v>18</v>
      </c>
      <c r="J819" s="40" t="str">
        <f>HYPERLINK("https://stock.pstatic.net/stock-research/company/21/20260731_company_45497000.pdf","PDF")</f>
        <v>PDF</v>
      </c>
      <c r="K819" s="12" t="s">
        <v>34617</v>
      </c>
      <c r="L819" s="36">
        <v>7.0336391437308868E-2</v>
      </c>
    </row>
    <row r="820" spans="1:12" x14ac:dyDescent="0.45">
      <c r="A820" s="12" t="s">
        <v>34245</v>
      </c>
      <c r="B820" s="12" t="s">
        <v>1781</v>
      </c>
      <c r="C820" s="13" t="s">
        <v>1782</v>
      </c>
      <c r="D820" s="13" t="s">
        <v>53</v>
      </c>
      <c r="E820" s="12" t="s">
        <v>16</v>
      </c>
      <c r="F820" s="14">
        <v>180000</v>
      </c>
      <c r="G820" s="14">
        <v>148000</v>
      </c>
      <c r="H820" s="13" t="s">
        <v>34618</v>
      </c>
      <c r="I820" s="40" t="s">
        <v>18</v>
      </c>
      <c r="J820" s="40" t="str">
        <f>HYPERLINK("https://stock.pstatic.net/stock-research/company/40/20260731_company_344542000.pdf","PDF")</f>
        <v>PDF</v>
      </c>
      <c r="K820" s="12" t="s">
        <v>34619</v>
      </c>
      <c r="L820" s="36">
        <v>0.2162162162162162</v>
      </c>
    </row>
    <row r="821" spans="1:12" x14ac:dyDescent="0.45">
      <c r="A821" s="12" t="s">
        <v>34245</v>
      </c>
      <c r="B821" s="12" t="s">
        <v>2378</v>
      </c>
      <c r="C821" s="13" t="s">
        <v>2379</v>
      </c>
      <c r="D821" s="13" t="s">
        <v>92</v>
      </c>
      <c r="E821" s="12" t="s">
        <v>35</v>
      </c>
      <c r="F821" s="14">
        <v>470000</v>
      </c>
      <c r="G821" s="14">
        <v>320000</v>
      </c>
      <c r="H821" s="13" t="s">
        <v>34620</v>
      </c>
      <c r="I821" s="40" t="s">
        <v>18</v>
      </c>
      <c r="J821" s="40" t="str">
        <f>HYPERLINK("https://stock.pstatic.net/stock-research/company/63/20260731_company_851002000.pdf","PDF")</f>
        <v>PDF</v>
      </c>
      <c r="K821" s="12" t="s">
        <v>34621</v>
      </c>
      <c r="L821" s="36">
        <v>0.46875</v>
      </c>
    </row>
    <row r="822" spans="1:12" x14ac:dyDescent="0.45">
      <c r="A822" s="12" t="s">
        <v>34245</v>
      </c>
      <c r="B822" s="12" t="s">
        <v>3024</v>
      </c>
      <c r="C822" s="13" t="s">
        <v>3025</v>
      </c>
      <c r="D822" s="13" t="s">
        <v>92</v>
      </c>
      <c r="E822" s="12" t="s">
        <v>35</v>
      </c>
      <c r="F822" s="14">
        <v>80000</v>
      </c>
      <c r="G822" s="14">
        <v>51100</v>
      </c>
      <c r="H822" s="13" t="s">
        <v>34622</v>
      </c>
      <c r="I822" s="40" t="s">
        <v>18</v>
      </c>
      <c r="J822" s="40" t="str">
        <f>HYPERLINK("https://stock.pstatic.net/stock-research/company/63/20260731_company_937154000.pdf","PDF")</f>
        <v>PDF</v>
      </c>
      <c r="K822" s="12" t="s">
        <v>34623</v>
      </c>
      <c r="L822" s="36">
        <v>0.56555772994129161</v>
      </c>
    </row>
    <row r="823" spans="1:12" x14ac:dyDescent="0.45">
      <c r="A823" s="12" t="s">
        <v>34245</v>
      </c>
      <c r="B823" s="12" t="s">
        <v>2982</v>
      </c>
      <c r="C823" s="13" t="s">
        <v>2983</v>
      </c>
      <c r="D823" s="13" t="s">
        <v>53</v>
      </c>
      <c r="E823" s="12" t="s">
        <v>16</v>
      </c>
      <c r="F823" s="14">
        <v>107000</v>
      </c>
      <c r="G823" s="14">
        <v>54100</v>
      </c>
      <c r="H823" s="13" t="s">
        <v>34624</v>
      </c>
      <c r="I823" s="40" t="s">
        <v>18</v>
      </c>
      <c r="J823" s="40" t="str">
        <f>HYPERLINK("https://stock.pstatic.net/stock-research/company/40/20260731_company_79398000.pdf","PDF")</f>
        <v>PDF</v>
      </c>
      <c r="K823" s="12" t="s">
        <v>34625</v>
      </c>
      <c r="L823" s="36">
        <v>0.97781885397412205</v>
      </c>
    </row>
    <row r="824" spans="1:12" x14ac:dyDescent="0.45">
      <c r="A824" s="12" t="s">
        <v>34245</v>
      </c>
      <c r="B824" s="12" t="s">
        <v>1690</v>
      </c>
      <c r="C824" s="13" t="s">
        <v>1691</v>
      </c>
      <c r="D824" s="13" t="s">
        <v>23</v>
      </c>
      <c r="E824" s="12" t="s">
        <v>16</v>
      </c>
      <c r="F824" s="14">
        <v>190000</v>
      </c>
      <c r="G824" s="14">
        <v>116600</v>
      </c>
      <c r="H824" s="13" t="s">
        <v>34626</v>
      </c>
      <c r="I824" s="40" t="s">
        <v>18</v>
      </c>
      <c r="J824" s="40" t="str">
        <f>HYPERLINK("https://stock.pstatic.net/stock-research/company/21/20260731_company_938701000.pdf","PDF")</f>
        <v>PDF</v>
      </c>
      <c r="K824" s="12" t="s">
        <v>34627</v>
      </c>
      <c r="L824" s="36">
        <v>0.6295025728987993</v>
      </c>
    </row>
    <row r="825" spans="1:12" x14ac:dyDescent="0.45">
      <c r="A825" s="12" t="s">
        <v>34245</v>
      </c>
      <c r="B825" s="12" t="s">
        <v>1781</v>
      </c>
      <c r="C825" s="13" t="s">
        <v>1782</v>
      </c>
      <c r="D825" s="13" t="s">
        <v>179</v>
      </c>
      <c r="E825" s="12" t="s">
        <v>16</v>
      </c>
      <c r="F825" s="14">
        <v>180000</v>
      </c>
      <c r="G825" s="14">
        <v>148000</v>
      </c>
      <c r="H825" s="13" t="s">
        <v>34628</v>
      </c>
      <c r="I825" s="40" t="s">
        <v>18</v>
      </c>
      <c r="J825" s="40" t="str">
        <f>HYPERLINK("https://stock.pstatic.net/stock-research/company/64/20260731_company_99923000.pdf","PDF")</f>
        <v>PDF</v>
      </c>
      <c r="K825" s="12" t="s">
        <v>34629</v>
      </c>
      <c r="L825" s="36">
        <v>0.2162162162162162</v>
      </c>
    </row>
    <row r="826" spans="1:12" x14ac:dyDescent="0.45">
      <c r="A826" s="12" t="s">
        <v>34245</v>
      </c>
      <c r="B826" s="12" t="s">
        <v>2378</v>
      </c>
      <c r="C826" s="13" t="s">
        <v>2379</v>
      </c>
      <c r="D826" s="13" t="s">
        <v>53</v>
      </c>
      <c r="E826" s="12" t="s">
        <v>16</v>
      </c>
      <c r="F826" s="14">
        <v>560000</v>
      </c>
      <c r="G826" s="14">
        <v>320000</v>
      </c>
      <c r="H826" s="13" t="s">
        <v>34630</v>
      </c>
      <c r="I826" s="40" t="s">
        <v>18</v>
      </c>
      <c r="J826" s="40" t="str">
        <f>HYPERLINK("https://stock.pstatic.net/stock-research/company/40/20260731_company_898977000.pdf","PDF")</f>
        <v>PDF</v>
      </c>
      <c r="K826" s="12" t="s">
        <v>34631</v>
      </c>
      <c r="L826" s="36">
        <v>0.75</v>
      </c>
    </row>
    <row r="827" spans="1:12" x14ac:dyDescent="0.45">
      <c r="A827" s="12" t="s">
        <v>34245</v>
      </c>
      <c r="B827" s="12" t="s">
        <v>2369</v>
      </c>
      <c r="C827" s="13" t="s">
        <v>2370</v>
      </c>
      <c r="D827" s="13" t="s">
        <v>53</v>
      </c>
      <c r="E827" s="12" t="s">
        <v>16</v>
      </c>
      <c r="F827" s="14">
        <v>800000</v>
      </c>
      <c r="G827" s="14">
        <v>358500</v>
      </c>
      <c r="H827" s="13" t="s">
        <v>34632</v>
      </c>
      <c r="I827" s="40" t="s">
        <v>18</v>
      </c>
      <c r="J827" s="40" t="str">
        <f>HYPERLINK("https://stock.pstatic.net/stock-research/company/40/20260731_company_845660000.pdf","PDF")</f>
        <v>PDF</v>
      </c>
      <c r="K827" s="12" t="s">
        <v>34633</v>
      </c>
      <c r="L827" s="36">
        <v>1.2315202231520219</v>
      </c>
    </row>
    <row r="828" spans="1:12" x14ac:dyDescent="0.45">
      <c r="A828" s="12" t="s">
        <v>34245</v>
      </c>
      <c r="B828" s="12" t="s">
        <v>398</v>
      </c>
      <c r="C828" s="13" t="s">
        <v>399</v>
      </c>
      <c r="D828" s="13" t="s">
        <v>53</v>
      </c>
      <c r="E828" s="12" t="s">
        <v>50</v>
      </c>
      <c r="F828" s="14">
        <v>150000</v>
      </c>
      <c r="G828" s="14">
        <v>130200</v>
      </c>
      <c r="H828" s="13" t="s">
        <v>34634</v>
      </c>
      <c r="I828" s="40" t="s">
        <v>18</v>
      </c>
      <c r="J828" s="40" t="str">
        <f>HYPERLINK("https://stock.pstatic.net/stock-research/company/40/20260731_company_676653000.pdf","PDF")</f>
        <v>PDF</v>
      </c>
      <c r="K828" s="12" t="s">
        <v>34635</v>
      </c>
      <c r="L828" s="36">
        <v>0.15207373271889399</v>
      </c>
    </row>
    <row r="829" spans="1:12" x14ac:dyDescent="0.45">
      <c r="A829" s="12" t="s">
        <v>34245</v>
      </c>
      <c r="B829" s="12" t="s">
        <v>32</v>
      </c>
      <c r="C829" s="13" t="s">
        <v>33</v>
      </c>
      <c r="D829" s="13" t="s">
        <v>179</v>
      </c>
      <c r="E829" s="12" t="s">
        <v>16</v>
      </c>
      <c r="F829" s="14">
        <v>2000000</v>
      </c>
      <c r="G829" s="14">
        <v>879000</v>
      </c>
      <c r="H829" s="13" t="s">
        <v>34636</v>
      </c>
      <c r="I829" s="40" t="s">
        <v>18</v>
      </c>
      <c r="J829" s="40" t="str">
        <f>HYPERLINK("https://stock.pstatic.net/stock-research/company/64/20260731_company_715203000.pdf","PDF")</f>
        <v>PDF</v>
      </c>
      <c r="K829" s="12" t="s">
        <v>34637</v>
      </c>
      <c r="L829" s="36">
        <v>1.2753128555176341</v>
      </c>
    </row>
    <row r="830" spans="1:12" x14ac:dyDescent="0.45">
      <c r="A830" s="12" t="s">
        <v>34245</v>
      </c>
      <c r="B830" s="12" t="s">
        <v>3831</v>
      </c>
      <c r="C830" s="13" t="s">
        <v>3832</v>
      </c>
      <c r="D830" s="13" t="s">
        <v>34</v>
      </c>
      <c r="E830" s="12" t="s">
        <v>35</v>
      </c>
      <c r="F830" s="14">
        <v>65000</v>
      </c>
      <c r="G830" s="14">
        <v>39750</v>
      </c>
      <c r="H830" s="13" t="s">
        <v>34638</v>
      </c>
      <c r="I830" s="40" t="s">
        <v>18</v>
      </c>
      <c r="J830" s="40" t="str">
        <f>HYPERLINK("https://stock.pstatic.net/stock-research/company/61/20260731_company_442083000.pdf","PDF")</f>
        <v>PDF</v>
      </c>
      <c r="K830" s="12" t="s">
        <v>34639</v>
      </c>
      <c r="L830" s="36">
        <v>0.63522012578616349</v>
      </c>
    </row>
    <row r="831" spans="1:12" x14ac:dyDescent="0.45">
      <c r="A831" s="12" t="s">
        <v>34245</v>
      </c>
      <c r="B831" s="12" t="s">
        <v>398</v>
      </c>
      <c r="C831" s="13" t="s">
        <v>399</v>
      </c>
      <c r="D831" s="13" t="s">
        <v>44</v>
      </c>
      <c r="E831" s="12" t="s">
        <v>45</v>
      </c>
      <c r="F831" s="14">
        <v>155000</v>
      </c>
      <c r="G831" s="14">
        <v>130200</v>
      </c>
      <c r="H831" s="13" t="s">
        <v>34640</v>
      </c>
      <c r="I831" s="40" t="s">
        <v>18</v>
      </c>
      <c r="J831" s="40" t="str">
        <f>HYPERLINK("https://stock.pstatic.net/stock-research/company/39/20260731_company_935598000.pdf","PDF")</f>
        <v>PDF</v>
      </c>
      <c r="K831" s="12" t="s">
        <v>34641</v>
      </c>
      <c r="L831" s="36">
        <v>0.19047619047619049</v>
      </c>
    </row>
    <row r="832" spans="1:12" x14ac:dyDescent="0.45">
      <c r="A832" s="12" t="s">
        <v>34245</v>
      </c>
      <c r="B832" s="12" t="s">
        <v>3024</v>
      </c>
      <c r="C832" s="13" t="s">
        <v>3025</v>
      </c>
      <c r="D832" s="13" t="s">
        <v>23</v>
      </c>
      <c r="E832" s="12" t="s">
        <v>16</v>
      </c>
      <c r="F832" s="14">
        <v>82000</v>
      </c>
      <c r="G832" s="14">
        <v>51100</v>
      </c>
      <c r="H832" s="13" t="s">
        <v>34642</v>
      </c>
      <c r="I832" s="40" t="s">
        <v>18</v>
      </c>
      <c r="J832" s="40" t="str">
        <f>HYPERLINK("https://stock.pstatic.net/stock-research/company/21/20260731_company_219746000.pdf","PDF")</f>
        <v>PDF</v>
      </c>
      <c r="K832" s="12" t="s">
        <v>34643</v>
      </c>
      <c r="L832" s="36">
        <v>0.6046966731898239</v>
      </c>
    </row>
    <row r="833" spans="1:12" x14ac:dyDescent="0.45">
      <c r="A833" s="12" t="s">
        <v>34245</v>
      </c>
      <c r="B833" s="12" t="s">
        <v>174</v>
      </c>
      <c r="C833" s="13" t="s">
        <v>44</v>
      </c>
      <c r="D833" s="13" t="s">
        <v>34</v>
      </c>
      <c r="E833" s="12" t="s">
        <v>35</v>
      </c>
      <c r="F833" s="14">
        <v>380000</v>
      </c>
      <c r="G833" s="14">
        <v>256500</v>
      </c>
      <c r="H833" s="13" t="s">
        <v>34644</v>
      </c>
      <c r="I833" s="40" t="s">
        <v>18</v>
      </c>
      <c r="J833" s="40" t="str">
        <f>HYPERLINK("https://stock.pstatic.net/stock-research/company/61/20260731_company_290990000.pdf","PDF")</f>
        <v>PDF</v>
      </c>
      <c r="K833" s="12" t="s">
        <v>34645</v>
      </c>
      <c r="L833" s="36">
        <v>0.48148148148148151</v>
      </c>
    </row>
    <row r="834" spans="1:12" x14ac:dyDescent="0.45">
      <c r="A834" s="12" t="s">
        <v>34245</v>
      </c>
      <c r="B834" s="12" t="s">
        <v>3079</v>
      </c>
      <c r="C834" s="13" t="s">
        <v>3080</v>
      </c>
      <c r="D834" s="13" t="s">
        <v>34</v>
      </c>
      <c r="E834" s="12" t="s">
        <v>35</v>
      </c>
      <c r="F834" s="14">
        <v>50000</v>
      </c>
      <c r="G834" s="14">
        <v>31900</v>
      </c>
      <c r="H834" s="13" t="s">
        <v>34646</v>
      </c>
      <c r="I834" s="40" t="s">
        <v>18</v>
      </c>
      <c r="J834" s="40" t="str">
        <f>HYPERLINK("https://stock.pstatic.net/stock-research/company/61/20260731_company_857250000.pdf","PDF")</f>
        <v>PDF</v>
      </c>
      <c r="K834" s="12" t="s">
        <v>34647</v>
      </c>
      <c r="L834" s="36">
        <v>0.56739811912225702</v>
      </c>
    </row>
    <row r="835" spans="1:12" x14ac:dyDescent="0.45">
      <c r="A835" s="12" t="s">
        <v>34245</v>
      </c>
      <c r="B835" s="12" t="s">
        <v>2378</v>
      </c>
      <c r="C835" s="13" t="s">
        <v>2379</v>
      </c>
      <c r="D835" s="13" t="s">
        <v>23</v>
      </c>
      <c r="E835" s="12" t="s">
        <v>16</v>
      </c>
      <c r="F835" s="14">
        <v>500000</v>
      </c>
      <c r="G835" s="14">
        <v>320000</v>
      </c>
      <c r="H835" s="13" t="s">
        <v>34648</v>
      </c>
      <c r="I835" s="40" t="s">
        <v>18</v>
      </c>
      <c r="J835" s="40" t="str">
        <f>HYPERLINK("https://stock.pstatic.net/stock-research/company/21/20260731_company_785619000.pdf","PDF")</f>
        <v>PDF</v>
      </c>
      <c r="K835" s="12" t="s">
        <v>34649</v>
      </c>
      <c r="L835" s="36">
        <v>0.5625</v>
      </c>
    </row>
    <row r="836" spans="1:12" x14ac:dyDescent="0.45">
      <c r="A836" s="12" t="s">
        <v>34245</v>
      </c>
      <c r="B836" s="12" t="s">
        <v>2369</v>
      </c>
      <c r="C836" s="13" t="s">
        <v>2370</v>
      </c>
      <c r="D836" s="13" t="s">
        <v>23</v>
      </c>
      <c r="E836" s="12" t="s">
        <v>16</v>
      </c>
      <c r="F836" s="14">
        <v>620000</v>
      </c>
      <c r="G836" s="14">
        <v>358500</v>
      </c>
      <c r="H836" s="13" t="s">
        <v>33414</v>
      </c>
      <c r="I836" s="40" t="s">
        <v>18</v>
      </c>
      <c r="J836" s="40" t="str">
        <f>HYPERLINK("https://stock.pstatic.net/stock-research/company/21/20260731_company_906055000.pdf","PDF")</f>
        <v>PDF</v>
      </c>
      <c r="K836" s="12" t="s">
        <v>34650</v>
      </c>
      <c r="L836" s="36">
        <v>0.72942817294281725</v>
      </c>
    </row>
    <row r="837" spans="1:12" x14ac:dyDescent="0.45">
      <c r="A837" s="12" t="s">
        <v>34245</v>
      </c>
      <c r="B837" s="12" t="s">
        <v>2378</v>
      </c>
      <c r="C837" s="13" t="s">
        <v>2379</v>
      </c>
      <c r="D837" s="13" t="s">
        <v>44</v>
      </c>
      <c r="E837" s="12" t="s">
        <v>35</v>
      </c>
      <c r="F837" s="14">
        <v>500000</v>
      </c>
      <c r="G837" s="14">
        <v>320000</v>
      </c>
      <c r="H837" s="13" t="s">
        <v>34651</v>
      </c>
      <c r="I837" s="40" t="s">
        <v>18</v>
      </c>
      <c r="J837" s="40" t="str">
        <f>HYPERLINK("https://stock.pstatic.net/stock-research/company/39/20260731_company_767234000.pdf","PDF")</f>
        <v>PDF</v>
      </c>
      <c r="K837" s="12" t="s">
        <v>34652</v>
      </c>
      <c r="L837" s="36">
        <v>0.5625</v>
      </c>
    </row>
    <row r="838" spans="1:12" x14ac:dyDescent="0.45">
      <c r="A838" s="12" t="s">
        <v>34245</v>
      </c>
      <c r="B838" s="12" t="s">
        <v>2758</v>
      </c>
      <c r="C838" s="13" t="s">
        <v>2759</v>
      </c>
      <c r="D838" s="13" t="s">
        <v>34</v>
      </c>
      <c r="E838" s="12" t="s">
        <v>35</v>
      </c>
      <c r="F838" s="14">
        <v>400000</v>
      </c>
      <c r="G838" s="14">
        <v>300500</v>
      </c>
      <c r="H838" s="13" t="s">
        <v>34653</v>
      </c>
      <c r="I838" s="40" t="s">
        <v>18</v>
      </c>
      <c r="J838" s="40" t="str">
        <f>HYPERLINK("https://stock.pstatic.net/stock-research/company/61/20260731_company_137061000.pdf","PDF")</f>
        <v>PDF</v>
      </c>
      <c r="K838" s="12" t="s">
        <v>34654</v>
      </c>
      <c r="L838" s="36">
        <v>0.33111480865224618</v>
      </c>
    </row>
    <row r="839" spans="1:12" x14ac:dyDescent="0.45">
      <c r="A839" s="12" t="s">
        <v>34245</v>
      </c>
      <c r="B839" s="12" t="s">
        <v>2369</v>
      </c>
      <c r="C839" s="13" t="s">
        <v>2370</v>
      </c>
      <c r="D839" s="13" t="s">
        <v>44</v>
      </c>
      <c r="E839" s="12" t="s">
        <v>35</v>
      </c>
      <c r="F839" s="14">
        <v>670000</v>
      </c>
      <c r="G839" s="14">
        <v>358500</v>
      </c>
      <c r="H839" s="13" t="s">
        <v>34655</v>
      </c>
      <c r="I839" s="40" t="s">
        <v>18</v>
      </c>
      <c r="J839" s="40" t="str">
        <f>HYPERLINK("https://stock.pstatic.net/stock-research/company/39/20260731_company_257399000.pdf","PDF")</f>
        <v>PDF</v>
      </c>
      <c r="K839" s="12" t="s">
        <v>34656</v>
      </c>
      <c r="L839" s="36">
        <v>0.86889818688981868</v>
      </c>
    </row>
    <row r="840" spans="1:12" x14ac:dyDescent="0.45">
      <c r="A840" s="12" t="s">
        <v>34245</v>
      </c>
      <c r="B840" s="12" t="s">
        <v>2378</v>
      </c>
      <c r="C840" s="13" t="s">
        <v>2379</v>
      </c>
      <c r="D840" s="13" t="s">
        <v>34</v>
      </c>
      <c r="E840" s="12" t="s">
        <v>35</v>
      </c>
      <c r="F840" s="14">
        <v>550000</v>
      </c>
      <c r="G840" s="14">
        <v>320000</v>
      </c>
      <c r="H840" s="13" t="s">
        <v>34657</v>
      </c>
      <c r="I840" s="40" t="s">
        <v>18</v>
      </c>
      <c r="J840" s="40" t="str">
        <f>HYPERLINK("https://stock.pstatic.net/stock-research/company/61/20260731_company_635164000.pdf","PDF")</f>
        <v>PDF</v>
      </c>
      <c r="K840" s="12" t="s">
        <v>34658</v>
      </c>
      <c r="L840" s="36">
        <v>0.71875</v>
      </c>
    </row>
    <row r="841" spans="1:12" x14ac:dyDescent="0.45">
      <c r="A841" s="12" t="s">
        <v>34245</v>
      </c>
      <c r="B841" s="12" t="s">
        <v>32</v>
      </c>
      <c r="C841" s="13" t="s">
        <v>33</v>
      </c>
      <c r="D841" s="13" t="s">
        <v>34</v>
      </c>
      <c r="E841" s="12" t="s">
        <v>35</v>
      </c>
      <c r="F841" s="14">
        <v>2000000</v>
      </c>
      <c r="G841" s="14">
        <v>879000</v>
      </c>
      <c r="H841" s="13" t="s">
        <v>34659</v>
      </c>
      <c r="I841" s="40" t="s">
        <v>18</v>
      </c>
      <c r="J841" s="40" t="str">
        <f>HYPERLINK("https://stock.pstatic.net/stock-research/company/61/20260731_company_102915000.pdf","PDF")</f>
        <v>PDF</v>
      </c>
      <c r="K841" s="12" t="s">
        <v>34660</v>
      </c>
      <c r="L841" s="36">
        <v>1.2753128555176341</v>
      </c>
    </row>
    <row r="842" spans="1:12" x14ac:dyDescent="0.45">
      <c r="A842" s="12" t="s">
        <v>34245</v>
      </c>
      <c r="B842" s="12" t="s">
        <v>2369</v>
      </c>
      <c r="C842" s="13" t="s">
        <v>2370</v>
      </c>
      <c r="D842" s="13" t="s">
        <v>34</v>
      </c>
      <c r="E842" s="12" t="s">
        <v>35</v>
      </c>
      <c r="F842" s="14">
        <v>590000</v>
      </c>
      <c r="G842" s="14">
        <v>358500</v>
      </c>
      <c r="H842" s="13" t="s">
        <v>34661</v>
      </c>
      <c r="I842" s="40" t="s">
        <v>18</v>
      </c>
      <c r="J842" s="40" t="str">
        <f>HYPERLINK("https://stock.pstatic.net/stock-research/company/61/20260731_company_100907000.pdf","PDF")</f>
        <v>PDF</v>
      </c>
      <c r="K842" s="12" t="s">
        <v>34662</v>
      </c>
      <c r="L842" s="36">
        <v>0.64574616457461642</v>
      </c>
    </row>
    <row r="843" spans="1:12" x14ac:dyDescent="0.45">
      <c r="A843" s="12" t="s">
        <v>34245</v>
      </c>
      <c r="B843" s="12" t="s">
        <v>1690</v>
      </c>
      <c r="C843" s="13" t="s">
        <v>1691</v>
      </c>
      <c r="D843" s="13" t="s">
        <v>34</v>
      </c>
      <c r="E843" s="12" t="s">
        <v>35</v>
      </c>
      <c r="F843" s="14">
        <v>190000</v>
      </c>
      <c r="G843" s="14">
        <v>116600</v>
      </c>
      <c r="H843" s="13" t="s">
        <v>34663</v>
      </c>
      <c r="I843" s="40" t="s">
        <v>18</v>
      </c>
      <c r="J843" s="40" t="str">
        <f>HYPERLINK("https://stock.pstatic.net/stock-research/company/61/20260731_company_252654000.pdf","PDF")</f>
        <v>PDF</v>
      </c>
      <c r="K843" s="12" t="s">
        <v>34664</v>
      </c>
      <c r="L843" s="36">
        <v>0.6295025728987993</v>
      </c>
    </row>
    <row r="844" spans="1:12" x14ac:dyDescent="0.45">
      <c r="A844" s="12" t="s">
        <v>34245</v>
      </c>
      <c r="B844" s="12" t="s">
        <v>3280</v>
      </c>
      <c r="C844" s="13" t="s">
        <v>3281</v>
      </c>
      <c r="D844" s="13" t="s">
        <v>34</v>
      </c>
      <c r="E844" s="12" t="s">
        <v>35</v>
      </c>
      <c r="F844" s="14">
        <v>62000</v>
      </c>
      <c r="G844" s="14">
        <v>45500</v>
      </c>
      <c r="H844" s="13" t="s">
        <v>34665</v>
      </c>
      <c r="I844" s="40" t="s">
        <v>18</v>
      </c>
      <c r="J844" s="40" t="str">
        <f>HYPERLINK("https://stock.pstatic.net/stock-research/company/61/20260731_company_947080000.pdf","PDF")</f>
        <v>PDF</v>
      </c>
      <c r="K844" s="12" t="s">
        <v>34666</v>
      </c>
      <c r="L844" s="36">
        <v>0.36263736263736263</v>
      </c>
    </row>
    <row r="845" spans="1:12" x14ac:dyDescent="0.45">
      <c r="A845" s="12" t="s">
        <v>34245</v>
      </c>
      <c r="B845" s="12" t="s">
        <v>3451</v>
      </c>
      <c r="C845" s="13" t="s">
        <v>3452</v>
      </c>
      <c r="D845" s="13" t="s">
        <v>34</v>
      </c>
      <c r="E845" s="12" t="s">
        <v>35</v>
      </c>
      <c r="F845" s="14">
        <v>270000</v>
      </c>
      <c r="G845" s="14">
        <v>147200</v>
      </c>
      <c r="H845" s="13" t="s">
        <v>34667</v>
      </c>
      <c r="I845" s="40" t="s">
        <v>18</v>
      </c>
      <c r="J845" s="40" t="str">
        <f>HYPERLINK("https://stock.pstatic.net/stock-research/company/61/20260731_company_783608000.pdf","PDF")</f>
        <v>PDF</v>
      </c>
      <c r="K845" s="12" t="s">
        <v>34668</v>
      </c>
      <c r="L845" s="36">
        <v>0.83423913043478259</v>
      </c>
    </row>
    <row r="846" spans="1:12" x14ac:dyDescent="0.45">
      <c r="A846" s="12" t="s">
        <v>34245</v>
      </c>
      <c r="B846" s="12" t="s">
        <v>398</v>
      </c>
      <c r="C846" s="13" t="s">
        <v>399</v>
      </c>
      <c r="D846" s="13" t="s">
        <v>23</v>
      </c>
      <c r="E846" s="12" t="s">
        <v>16</v>
      </c>
      <c r="F846" s="14">
        <v>160000</v>
      </c>
      <c r="G846" s="14">
        <v>130200</v>
      </c>
      <c r="H846" s="13" t="s">
        <v>34669</v>
      </c>
      <c r="I846" s="40" t="s">
        <v>18</v>
      </c>
      <c r="J846" s="40" t="str">
        <f>HYPERLINK("https://stock.pstatic.net/stock-research/company/21/20260731_company_143967000.pdf","PDF")</f>
        <v>PDF</v>
      </c>
      <c r="K846" s="12" t="s">
        <v>34670</v>
      </c>
      <c r="L846" s="36">
        <v>0.22887864823348689</v>
      </c>
    </row>
    <row r="847" spans="1:12" x14ac:dyDescent="0.45">
      <c r="A847" s="12" t="s">
        <v>34245</v>
      </c>
      <c r="B847" s="12" t="s">
        <v>32</v>
      </c>
      <c r="C847" s="13" t="s">
        <v>33</v>
      </c>
      <c r="D847" s="13" t="s">
        <v>44</v>
      </c>
      <c r="E847" s="12" t="s">
        <v>35</v>
      </c>
      <c r="F847" s="14">
        <v>2800000</v>
      </c>
      <c r="G847" s="14">
        <v>879000</v>
      </c>
      <c r="H847" s="13" t="s">
        <v>34671</v>
      </c>
      <c r="I847" s="40" t="s">
        <v>18</v>
      </c>
      <c r="J847" s="40" t="str">
        <f>HYPERLINK("https://stock.pstatic.net/stock-research/company/39/20260731_company_124440000.pdf","PDF")</f>
        <v>PDF</v>
      </c>
      <c r="K847" s="12" t="s">
        <v>34672</v>
      </c>
      <c r="L847" s="36">
        <v>2.1854379977246872</v>
      </c>
    </row>
    <row r="848" spans="1:12" x14ac:dyDescent="0.45">
      <c r="A848" s="12" t="s">
        <v>34245</v>
      </c>
      <c r="B848" s="12" t="s">
        <v>174</v>
      </c>
      <c r="C848" s="13" t="s">
        <v>44</v>
      </c>
      <c r="D848" s="13" t="s">
        <v>179</v>
      </c>
      <c r="E848" s="12" t="s">
        <v>16</v>
      </c>
      <c r="F848" s="14">
        <v>500000</v>
      </c>
      <c r="G848" s="14">
        <v>258500</v>
      </c>
      <c r="H848" s="13" t="s">
        <v>34673</v>
      </c>
      <c r="I848" s="40" t="s">
        <v>18</v>
      </c>
      <c r="J848" s="40" t="str">
        <f>HYPERLINK("https://stock.pstatic.net/stock-research/company/64/20260731_company_745366000.pdf","PDF")</f>
        <v>PDF</v>
      </c>
      <c r="K848" s="12" t="s">
        <v>34674</v>
      </c>
      <c r="L848" s="36">
        <v>0.93423597678916825</v>
      </c>
    </row>
    <row r="849" spans="1:12" x14ac:dyDescent="0.45">
      <c r="A849" s="12" t="s">
        <v>34245</v>
      </c>
      <c r="B849" s="12" t="s">
        <v>3024</v>
      </c>
      <c r="C849" s="13" t="s">
        <v>3025</v>
      </c>
      <c r="D849" s="13" t="s">
        <v>44</v>
      </c>
      <c r="E849" s="12" t="s">
        <v>35</v>
      </c>
      <c r="F849" s="14">
        <v>80000</v>
      </c>
      <c r="G849" s="14">
        <v>51100</v>
      </c>
      <c r="H849" s="13" t="s">
        <v>34675</v>
      </c>
      <c r="I849" s="40" t="s">
        <v>18</v>
      </c>
      <c r="J849" s="40" t="str">
        <f>HYPERLINK("https://stock.pstatic.net/stock-research/company/39/20260731_company_749391000.pdf","PDF")</f>
        <v>PDF</v>
      </c>
      <c r="K849" s="12" t="s">
        <v>34676</v>
      </c>
      <c r="L849" s="36">
        <v>0.56555772994129161</v>
      </c>
    </row>
    <row r="850" spans="1:12" x14ac:dyDescent="0.45">
      <c r="A850" s="12" t="s">
        <v>34245</v>
      </c>
      <c r="B850" s="12" t="s">
        <v>2982</v>
      </c>
      <c r="C850" s="13" t="s">
        <v>2983</v>
      </c>
      <c r="D850" s="13" t="s">
        <v>44</v>
      </c>
      <c r="E850" s="12" t="s">
        <v>35</v>
      </c>
      <c r="F850" s="14">
        <v>120000</v>
      </c>
      <c r="G850" s="14">
        <v>54100</v>
      </c>
      <c r="H850" s="13" t="s">
        <v>34677</v>
      </c>
      <c r="I850" s="40" t="s">
        <v>18</v>
      </c>
      <c r="J850" s="40" t="str">
        <f>HYPERLINK("https://stock.pstatic.net/stock-research/company/39/20260731_company_986453000.pdf","PDF")</f>
        <v>PDF</v>
      </c>
      <c r="K850" s="12" t="s">
        <v>34678</v>
      </c>
      <c r="L850" s="36">
        <v>1.2181146025878</v>
      </c>
    </row>
    <row r="851" spans="1:12" x14ac:dyDescent="0.45">
      <c r="A851" s="12" t="s">
        <v>34245</v>
      </c>
      <c r="B851" s="12" t="s">
        <v>1407</v>
      </c>
      <c r="C851" s="13" t="s">
        <v>1408</v>
      </c>
      <c r="D851" s="13" t="s">
        <v>44</v>
      </c>
      <c r="E851" s="12" t="s">
        <v>35</v>
      </c>
      <c r="F851" s="14">
        <v>161000</v>
      </c>
      <c r="G851" s="14">
        <v>49250</v>
      </c>
      <c r="H851" s="13" t="s">
        <v>34246</v>
      </c>
      <c r="I851" s="40" t="s">
        <v>18</v>
      </c>
      <c r="J851" s="40" t="str">
        <f>HYPERLINK("https://stock.pstatic.net/stock-research/company/39/20260731_company_933573000.pdf","PDF")</f>
        <v>PDF</v>
      </c>
      <c r="K851" s="12" t="s">
        <v>34247</v>
      </c>
      <c r="L851" s="36">
        <v>2.2690355329949239</v>
      </c>
    </row>
    <row r="852" spans="1:12" x14ac:dyDescent="0.45">
      <c r="A852" s="12" t="s">
        <v>34245</v>
      </c>
      <c r="B852" s="12" t="s">
        <v>352</v>
      </c>
      <c r="C852" s="13" t="s">
        <v>353</v>
      </c>
      <c r="D852" s="13" t="s">
        <v>44</v>
      </c>
      <c r="E852" s="12" t="s">
        <v>35</v>
      </c>
      <c r="F852" s="14">
        <v>295000</v>
      </c>
      <c r="G852" s="14">
        <v>120500</v>
      </c>
      <c r="H852" s="13" t="s">
        <v>34248</v>
      </c>
      <c r="I852" s="40" t="s">
        <v>18</v>
      </c>
      <c r="J852" s="40" t="str">
        <f>HYPERLINK("https://stock.pstatic.net/stock-research/company/39/20260731_company_418366000.pdf","PDF")</f>
        <v>PDF</v>
      </c>
      <c r="K852" s="12" t="s">
        <v>34249</v>
      </c>
      <c r="L852" s="36">
        <v>1.448132780082988</v>
      </c>
    </row>
    <row r="853" spans="1:12" x14ac:dyDescent="0.45">
      <c r="A853" s="12" t="s">
        <v>34245</v>
      </c>
      <c r="B853" s="12" t="s">
        <v>2758</v>
      </c>
      <c r="C853" s="13" t="s">
        <v>2759</v>
      </c>
      <c r="D853" s="13" t="s">
        <v>44</v>
      </c>
      <c r="E853" s="12" t="s">
        <v>35</v>
      </c>
      <c r="F853" s="14">
        <v>520000</v>
      </c>
      <c r="G853" s="14">
        <v>300500</v>
      </c>
      <c r="H853" s="13" t="s">
        <v>34250</v>
      </c>
      <c r="I853" s="40" t="s">
        <v>18</v>
      </c>
      <c r="J853" s="40" t="str">
        <f>HYPERLINK("https://stock.pstatic.net/stock-research/company/39/20260731_company_496657000.pdf","PDF")</f>
        <v>PDF</v>
      </c>
      <c r="K853" s="12" t="s">
        <v>34251</v>
      </c>
      <c r="L853" s="36">
        <v>0.73044925124792015</v>
      </c>
    </row>
    <row r="854" spans="1:12" x14ac:dyDescent="0.45">
      <c r="A854" s="12" t="s">
        <v>34245</v>
      </c>
      <c r="B854" s="12" t="s">
        <v>13</v>
      </c>
      <c r="C854" s="13" t="s">
        <v>14</v>
      </c>
      <c r="D854" s="13" t="s">
        <v>44</v>
      </c>
      <c r="E854" s="12" t="s">
        <v>35</v>
      </c>
      <c r="F854" s="14">
        <v>390000</v>
      </c>
      <c r="G854" s="14">
        <v>207000</v>
      </c>
      <c r="H854" s="13" t="s">
        <v>34252</v>
      </c>
      <c r="I854" s="40" t="s">
        <v>18</v>
      </c>
      <c r="J854" s="40" t="str">
        <f>HYPERLINK("https://stock.pstatic.net/stock-research/company/39/20260731_company_465619000.pdf","PDF")</f>
        <v>PDF</v>
      </c>
      <c r="K854" s="12" t="s">
        <v>34253</v>
      </c>
      <c r="L854" s="36">
        <v>0.88405797101449279</v>
      </c>
    </row>
    <row r="855" spans="1:12" x14ac:dyDescent="0.45">
      <c r="A855" s="12" t="s">
        <v>34245</v>
      </c>
      <c r="B855" s="12" t="s">
        <v>3024</v>
      </c>
      <c r="C855" s="13" t="s">
        <v>3025</v>
      </c>
      <c r="D855" s="13" t="s">
        <v>15</v>
      </c>
      <c r="E855" s="12" t="s">
        <v>16</v>
      </c>
      <c r="F855" s="14">
        <v>110000</v>
      </c>
      <c r="G855" s="14">
        <v>51100</v>
      </c>
      <c r="H855" s="13" t="s">
        <v>34254</v>
      </c>
      <c r="I855" s="40" t="s">
        <v>18</v>
      </c>
      <c r="J855" s="40" t="str">
        <f>HYPERLINK("https://stock.pstatic.net/stock-research/company/56/20260731_company_548145000.pdf","PDF")</f>
        <v>PDF</v>
      </c>
      <c r="K855" s="12" t="s">
        <v>34255</v>
      </c>
      <c r="L855" s="36">
        <v>1.152641878669276</v>
      </c>
    </row>
    <row r="856" spans="1:12" x14ac:dyDescent="0.45">
      <c r="A856" s="12" t="s">
        <v>34245</v>
      </c>
      <c r="B856" s="12" t="s">
        <v>1162</v>
      </c>
      <c r="C856" s="13" t="s">
        <v>1163</v>
      </c>
      <c r="D856" s="13" t="s">
        <v>15</v>
      </c>
      <c r="E856" s="12" t="s">
        <v>16</v>
      </c>
      <c r="F856" s="14">
        <v>156000</v>
      </c>
      <c r="G856" s="14">
        <v>124400</v>
      </c>
      <c r="H856" s="13" t="s">
        <v>34256</v>
      </c>
      <c r="I856" s="40" t="s">
        <v>18</v>
      </c>
      <c r="J856" s="40" t="str">
        <f>HYPERLINK("https://stock.pstatic.net/stock-research/company/56/20260731_company_61693000.pdf","PDF")</f>
        <v>PDF</v>
      </c>
      <c r="K856" s="12" t="s">
        <v>34257</v>
      </c>
      <c r="L856" s="36">
        <v>0.25401929260450162</v>
      </c>
    </row>
    <row r="857" spans="1:12" x14ac:dyDescent="0.45">
      <c r="A857" s="12" t="s">
        <v>34245</v>
      </c>
      <c r="B857" s="12" t="s">
        <v>264</v>
      </c>
      <c r="C857" s="13" t="s">
        <v>265</v>
      </c>
      <c r="D857" s="13" t="s">
        <v>15</v>
      </c>
      <c r="E857" s="12" t="s">
        <v>16</v>
      </c>
      <c r="F857" s="14">
        <v>316000</v>
      </c>
      <c r="G857" s="14">
        <v>243500</v>
      </c>
      <c r="H857" s="13" t="s">
        <v>34258</v>
      </c>
      <c r="I857" s="40" t="s">
        <v>18</v>
      </c>
      <c r="J857" s="40" t="str">
        <f>HYPERLINK("https://stock.pstatic.net/stock-research/company/56/20260731_company_915437000.pdf","PDF")</f>
        <v>PDF</v>
      </c>
      <c r="K857" s="12" t="s">
        <v>34259</v>
      </c>
      <c r="L857" s="36">
        <v>0.29774127310061599</v>
      </c>
    </row>
    <row r="858" spans="1:12" x14ac:dyDescent="0.45">
      <c r="A858" s="12" t="s">
        <v>34245</v>
      </c>
      <c r="B858" s="12" t="s">
        <v>1190</v>
      </c>
      <c r="C858" s="13" t="s">
        <v>1191</v>
      </c>
      <c r="D858" s="13" t="s">
        <v>15</v>
      </c>
      <c r="E858" s="12" t="s">
        <v>16</v>
      </c>
      <c r="F858" s="14">
        <v>107000</v>
      </c>
      <c r="G858" s="14">
        <v>83800</v>
      </c>
      <c r="H858" s="13" t="s">
        <v>34260</v>
      </c>
      <c r="I858" s="40" t="s">
        <v>18</v>
      </c>
      <c r="J858" s="40" t="str">
        <f>HYPERLINK("https://stock.pstatic.net/stock-research/company/56/20260731_company_803717000.pdf","PDF")</f>
        <v>PDF</v>
      </c>
      <c r="K858" s="12" t="s">
        <v>34261</v>
      </c>
      <c r="L858" s="36">
        <v>0.27684964200477319</v>
      </c>
    </row>
    <row r="859" spans="1:12" x14ac:dyDescent="0.45">
      <c r="A859" s="12" t="s">
        <v>34245</v>
      </c>
      <c r="B859" s="12" t="s">
        <v>1431</v>
      </c>
      <c r="C859" s="13" t="s">
        <v>1432</v>
      </c>
      <c r="D859" s="13" t="s">
        <v>15</v>
      </c>
      <c r="E859" s="12" t="s">
        <v>16</v>
      </c>
      <c r="F859" s="14">
        <v>245000</v>
      </c>
      <c r="G859" s="14">
        <v>187700</v>
      </c>
      <c r="H859" s="13" t="s">
        <v>34262</v>
      </c>
      <c r="I859" s="40" t="s">
        <v>18</v>
      </c>
      <c r="J859" s="40" t="str">
        <f>HYPERLINK("https://stock.pstatic.net/stock-research/company/56/20260731_company_441296000.pdf","PDF")</f>
        <v>PDF</v>
      </c>
      <c r="K859" s="12" t="s">
        <v>34263</v>
      </c>
      <c r="L859" s="36">
        <v>0.30527437400106561</v>
      </c>
    </row>
    <row r="860" spans="1:12" x14ac:dyDescent="0.45">
      <c r="A860" s="12" t="s">
        <v>34245</v>
      </c>
      <c r="B860" s="12" t="s">
        <v>5597</v>
      </c>
      <c r="C860" s="13" t="s">
        <v>5598</v>
      </c>
      <c r="D860" s="13" t="s">
        <v>23</v>
      </c>
      <c r="E860" s="12" t="s">
        <v>50</v>
      </c>
      <c r="F860" s="13"/>
      <c r="G860" s="14">
        <v>49050</v>
      </c>
      <c r="H860" s="13" t="s">
        <v>34264</v>
      </c>
      <c r="I860" s="40" t="s">
        <v>18</v>
      </c>
      <c r="J860" s="40" t="str">
        <f>HYPERLINK("https://stock.pstatic.net/stock-research/company/21/20260731_company_321532000.pdf","PDF")</f>
        <v>PDF</v>
      </c>
      <c r="K860" s="12" t="s">
        <v>34265</v>
      </c>
      <c r="L860" s="12"/>
    </row>
    <row r="861" spans="1:12" x14ac:dyDescent="0.45">
      <c r="A861" s="12" t="s">
        <v>34245</v>
      </c>
      <c r="B861" s="12" t="s">
        <v>362</v>
      </c>
      <c r="C861" s="13" t="s">
        <v>363</v>
      </c>
      <c r="D861" s="13" t="s">
        <v>15</v>
      </c>
      <c r="E861" s="12" t="s">
        <v>16</v>
      </c>
      <c r="F861" s="14">
        <v>120000</v>
      </c>
      <c r="G861" s="14">
        <v>92200</v>
      </c>
      <c r="H861" s="13" t="s">
        <v>34266</v>
      </c>
      <c r="I861" s="40" t="s">
        <v>18</v>
      </c>
      <c r="J861" s="40" t="str">
        <f>HYPERLINK("https://stock.pstatic.net/stock-research/company/56/20260731_company_676099000.pdf","PDF")</f>
        <v>PDF</v>
      </c>
      <c r="K861" s="12" t="s">
        <v>34267</v>
      </c>
      <c r="L861" s="36">
        <v>0.30151843817787422</v>
      </c>
    </row>
    <row r="862" spans="1:12" x14ac:dyDescent="0.45">
      <c r="A862" s="12" t="s">
        <v>34245</v>
      </c>
      <c r="B862" s="12" t="s">
        <v>16428</v>
      </c>
      <c r="C862" s="13" t="s">
        <v>16429</v>
      </c>
      <c r="D862" s="13" t="s">
        <v>202</v>
      </c>
      <c r="E862" s="12" t="s">
        <v>50</v>
      </c>
      <c r="F862" s="13"/>
      <c r="G862" s="13"/>
      <c r="H862" s="13" t="s">
        <v>34268</v>
      </c>
      <c r="I862" s="40" t="s">
        <v>18</v>
      </c>
      <c r="J862" s="40" t="str">
        <f>HYPERLINK("https://stock.pstatic.net/stock-research/company/69/20260731_company_411353000.pdf","PDF")</f>
        <v>PDF</v>
      </c>
      <c r="K862" s="12" t="s">
        <v>34269</v>
      </c>
      <c r="L862" s="12"/>
    </row>
    <row r="863" spans="1:12" x14ac:dyDescent="0.45">
      <c r="A863" s="12" t="s">
        <v>34245</v>
      </c>
      <c r="B863" s="12" t="s">
        <v>34270</v>
      </c>
      <c r="C863" s="13" t="s">
        <v>34271</v>
      </c>
      <c r="D863" s="13" t="s">
        <v>202</v>
      </c>
      <c r="E863" s="12" t="s">
        <v>50</v>
      </c>
      <c r="F863" s="13"/>
      <c r="G863" s="13"/>
      <c r="H863" s="13" t="s">
        <v>34272</v>
      </c>
      <c r="I863" s="40" t="s">
        <v>18</v>
      </c>
      <c r="J863" s="40" t="str">
        <f>HYPERLINK("https://stock.pstatic.net/stock-research/company/69/20260731_company_809884000.pdf","PDF")</f>
        <v>PDF</v>
      </c>
      <c r="K863" s="12" t="s">
        <v>34273</v>
      </c>
      <c r="L863" s="12"/>
    </row>
    <row r="864" spans="1:12" x14ac:dyDescent="0.45">
      <c r="A864" s="12" t="s">
        <v>34245</v>
      </c>
      <c r="B864" s="12" t="s">
        <v>34274</v>
      </c>
      <c r="C864" s="13" t="s">
        <v>34275</v>
      </c>
      <c r="D864" s="13" t="s">
        <v>202</v>
      </c>
      <c r="E864" s="12" t="s">
        <v>50</v>
      </c>
      <c r="F864" s="13"/>
      <c r="G864" s="13"/>
      <c r="H864" s="13" t="s">
        <v>34276</v>
      </c>
      <c r="I864" s="40" t="s">
        <v>18</v>
      </c>
      <c r="J864" s="40" t="str">
        <f>HYPERLINK("https://stock.pstatic.net/stock-research/company/69/20260731_company_815509000.pdf","PDF")</f>
        <v>PDF</v>
      </c>
      <c r="K864" s="12" t="s">
        <v>34277</v>
      </c>
      <c r="L864" s="12"/>
    </row>
    <row r="865" spans="1:12" x14ac:dyDescent="0.45">
      <c r="A865" s="12" t="s">
        <v>34245</v>
      </c>
      <c r="B865" s="12" t="s">
        <v>34278</v>
      </c>
      <c r="C865" s="13" t="s">
        <v>34279</v>
      </c>
      <c r="D865" s="13" t="s">
        <v>207</v>
      </c>
      <c r="E865" s="12" t="s">
        <v>50</v>
      </c>
      <c r="F865" s="13"/>
      <c r="G865" s="13"/>
      <c r="H865" s="13" t="s">
        <v>34280</v>
      </c>
      <c r="I865" s="40" t="s">
        <v>18</v>
      </c>
      <c r="J865" s="40" t="str">
        <f>HYPERLINK("https://stock.pstatic.net/stock-research/company/75/20260731_company_543205000.pdf","PDF")</f>
        <v>PDF</v>
      </c>
      <c r="K865" s="12" t="s">
        <v>34281</v>
      </c>
      <c r="L865" s="12"/>
    </row>
    <row r="866" spans="1:12" x14ac:dyDescent="0.45">
      <c r="A866" s="12" t="s">
        <v>34245</v>
      </c>
      <c r="B866" s="12" t="s">
        <v>34282</v>
      </c>
      <c r="C866" s="13" t="s">
        <v>34283</v>
      </c>
      <c r="D866" s="13" t="s">
        <v>207</v>
      </c>
      <c r="E866" s="12" t="s">
        <v>50</v>
      </c>
      <c r="F866" s="13"/>
      <c r="G866" s="13"/>
      <c r="H866" s="13" t="s">
        <v>34284</v>
      </c>
      <c r="I866" s="40" t="s">
        <v>18</v>
      </c>
      <c r="J866" s="40" t="str">
        <f>HYPERLINK("https://stock.pstatic.net/stock-research/company/75/20260731_company_184541000.pdf","PDF")</f>
        <v>PDF</v>
      </c>
      <c r="K866" s="12" t="s">
        <v>34285</v>
      </c>
      <c r="L866" s="12"/>
    </row>
    <row r="867" spans="1:12" x14ac:dyDescent="0.45">
      <c r="A867" s="12" t="s">
        <v>34245</v>
      </c>
      <c r="B867" s="12" t="s">
        <v>34286</v>
      </c>
      <c r="C867" s="13" t="s">
        <v>34287</v>
      </c>
      <c r="D867" s="13" t="s">
        <v>207</v>
      </c>
      <c r="E867" s="12" t="s">
        <v>50</v>
      </c>
      <c r="F867" s="13"/>
      <c r="G867" s="13"/>
      <c r="H867" s="13" t="s">
        <v>34288</v>
      </c>
      <c r="I867" s="40" t="s">
        <v>18</v>
      </c>
      <c r="J867" s="40" t="str">
        <f>HYPERLINK("https://stock.pstatic.net/stock-research/company/75/20260731_company_198606000.pdf","PDF")</f>
        <v>PDF</v>
      </c>
      <c r="K867" s="12" t="s">
        <v>34289</v>
      </c>
      <c r="L867" s="12"/>
    </row>
    <row r="868" spans="1:12" x14ac:dyDescent="0.45">
      <c r="A868" s="12" t="s">
        <v>34245</v>
      </c>
      <c r="B868" s="12" t="s">
        <v>34290</v>
      </c>
      <c r="C868" s="13" t="s">
        <v>34291</v>
      </c>
      <c r="D868" s="13" t="s">
        <v>207</v>
      </c>
      <c r="E868" s="12" t="s">
        <v>50</v>
      </c>
      <c r="F868" s="13"/>
      <c r="G868" s="13"/>
      <c r="H868" s="13" t="s">
        <v>34292</v>
      </c>
      <c r="I868" s="40" t="s">
        <v>18</v>
      </c>
      <c r="J868" s="40" t="str">
        <f>HYPERLINK("https://stock.pstatic.net/stock-research/company/75/20260731_company_464252000.pdf","PDF")</f>
        <v>PDF</v>
      </c>
      <c r="K868" s="12" t="s">
        <v>34293</v>
      </c>
      <c r="L868" s="12"/>
    </row>
    <row r="869" spans="1:12" x14ac:dyDescent="0.45">
      <c r="A869" s="12" t="s">
        <v>34245</v>
      </c>
      <c r="B869" s="12" t="s">
        <v>489</v>
      </c>
      <c r="C869" s="13" t="s">
        <v>490</v>
      </c>
      <c r="D869" s="13" t="s">
        <v>15</v>
      </c>
      <c r="E869" s="12" t="s">
        <v>16</v>
      </c>
      <c r="F869" s="14">
        <v>80000</v>
      </c>
      <c r="G869" s="14">
        <v>40150</v>
      </c>
      <c r="H869" s="13" t="s">
        <v>34294</v>
      </c>
      <c r="I869" s="40" t="s">
        <v>18</v>
      </c>
      <c r="J869" s="40" t="str">
        <f>HYPERLINK("https://stock.pstatic.net/stock-research/company/56/20260731_company_790577000.pdf","PDF")</f>
        <v>PDF</v>
      </c>
      <c r="K869" s="12" t="s">
        <v>34295</v>
      </c>
      <c r="L869" s="36">
        <v>0.99252801992528017</v>
      </c>
    </row>
    <row r="870" spans="1:12" x14ac:dyDescent="0.45">
      <c r="A870" s="12" t="s">
        <v>33976</v>
      </c>
      <c r="B870" s="12" t="s">
        <v>2956</v>
      </c>
      <c r="C870" s="13" t="s">
        <v>2957</v>
      </c>
      <c r="D870" s="13" t="s">
        <v>15</v>
      </c>
      <c r="E870" s="12" t="s">
        <v>16</v>
      </c>
      <c r="F870" s="14">
        <v>49000</v>
      </c>
      <c r="G870" s="14">
        <v>22200</v>
      </c>
      <c r="H870" s="13" t="s">
        <v>34296</v>
      </c>
      <c r="I870" s="40" t="s">
        <v>18</v>
      </c>
      <c r="J870" s="40" t="str">
        <f>HYPERLINK("https://stock.pstatic.net/stock-research/company/56/20260730_company_253840000.pdf","PDF")</f>
        <v>PDF</v>
      </c>
      <c r="K870" s="12" t="s">
        <v>34297</v>
      </c>
      <c r="L870" s="36">
        <v>1.2072072072072071</v>
      </c>
    </row>
    <row r="871" spans="1:12" x14ac:dyDescent="0.45">
      <c r="A871" s="12" t="s">
        <v>33976</v>
      </c>
      <c r="B871" s="12" t="s">
        <v>519</v>
      </c>
      <c r="C871" s="13" t="s">
        <v>520</v>
      </c>
      <c r="D871" s="13" t="s">
        <v>276</v>
      </c>
      <c r="E871" s="12" t="s">
        <v>16</v>
      </c>
      <c r="F871" s="14">
        <v>840000</v>
      </c>
      <c r="G871" s="14">
        <v>353500</v>
      </c>
      <c r="H871" s="13" t="s">
        <v>34298</v>
      </c>
      <c r="I871" s="40" t="s">
        <v>18</v>
      </c>
      <c r="J871" s="40" t="str">
        <f>HYPERLINK("https://stock.pstatic.net/stock-research/company/16/20260730_company_832462000.pdf","PDF")</f>
        <v>PDF</v>
      </c>
      <c r="K871" s="12" t="s">
        <v>34299</v>
      </c>
      <c r="L871" s="36">
        <v>1.3762376237623759</v>
      </c>
    </row>
    <row r="872" spans="1:12" x14ac:dyDescent="0.45">
      <c r="A872" s="12" t="s">
        <v>33976</v>
      </c>
      <c r="B872" s="12" t="s">
        <v>330</v>
      </c>
      <c r="C872" s="13" t="s">
        <v>331</v>
      </c>
      <c r="D872" s="13" t="s">
        <v>60</v>
      </c>
      <c r="E872" s="12" t="s">
        <v>35</v>
      </c>
      <c r="F872" s="14">
        <v>43000</v>
      </c>
      <c r="G872" s="14">
        <v>22850</v>
      </c>
      <c r="H872" s="13" t="s">
        <v>34300</v>
      </c>
      <c r="I872" s="40" t="s">
        <v>18</v>
      </c>
      <c r="J872" s="40" t="str">
        <f>HYPERLINK("https://stock.pstatic.net/stock-research/company/62/20260730_company_381054000.pdf","PDF")</f>
        <v>PDF</v>
      </c>
      <c r="K872" s="12" t="s">
        <v>34301</v>
      </c>
      <c r="L872" s="36">
        <v>0.88183807439824946</v>
      </c>
    </row>
    <row r="873" spans="1:12" x14ac:dyDescent="0.45">
      <c r="A873" s="12" t="s">
        <v>33976</v>
      </c>
      <c r="B873" s="12" t="s">
        <v>489</v>
      </c>
      <c r="C873" s="13" t="s">
        <v>490</v>
      </c>
      <c r="D873" s="13" t="s">
        <v>60</v>
      </c>
      <c r="E873" s="12" t="s">
        <v>35</v>
      </c>
      <c r="F873" s="14">
        <v>85000</v>
      </c>
      <c r="G873" s="14">
        <v>40150</v>
      </c>
      <c r="H873" s="13" t="s">
        <v>34302</v>
      </c>
      <c r="I873" s="40" t="s">
        <v>18</v>
      </c>
      <c r="J873" s="40" t="str">
        <f>HYPERLINK("https://stock.pstatic.net/stock-research/company/62/20260730_company_325256000.pdf","PDF")</f>
        <v>PDF</v>
      </c>
      <c r="K873" s="12" t="s">
        <v>34303</v>
      </c>
      <c r="L873" s="36">
        <v>1.11706102117061</v>
      </c>
    </row>
    <row r="874" spans="1:12" x14ac:dyDescent="0.45">
      <c r="A874" s="12" t="s">
        <v>33976</v>
      </c>
      <c r="B874" s="12" t="s">
        <v>2435</v>
      </c>
      <c r="C874" s="13" t="s">
        <v>2436</v>
      </c>
      <c r="D874" s="13" t="s">
        <v>276</v>
      </c>
      <c r="E874" s="12" t="s">
        <v>16</v>
      </c>
      <c r="F874" s="14">
        <v>900000</v>
      </c>
      <c r="G874" s="14">
        <v>434000</v>
      </c>
      <c r="H874" s="13" t="s">
        <v>34304</v>
      </c>
      <c r="I874" s="40" t="s">
        <v>18</v>
      </c>
      <c r="J874" s="40" t="str">
        <f>HYPERLINK("https://stock.pstatic.net/stock-research/company/66/20260730_company_456373000.pdf","PDF")</f>
        <v>PDF</v>
      </c>
      <c r="K874" s="12" t="s">
        <v>34305</v>
      </c>
      <c r="L874" s="36">
        <v>1.0737327188940089</v>
      </c>
    </row>
    <row r="875" spans="1:12" x14ac:dyDescent="0.45">
      <c r="A875" s="12" t="s">
        <v>33976</v>
      </c>
      <c r="B875" s="12" t="s">
        <v>450</v>
      </c>
      <c r="C875" s="13" t="s">
        <v>451</v>
      </c>
      <c r="D875" s="13" t="s">
        <v>60</v>
      </c>
      <c r="E875" s="12" t="s">
        <v>50</v>
      </c>
      <c r="F875" s="14">
        <v>310000</v>
      </c>
      <c r="G875" s="14">
        <v>236000</v>
      </c>
      <c r="H875" s="13" t="s">
        <v>34306</v>
      </c>
      <c r="I875" s="40" t="s">
        <v>18</v>
      </c>
      <c r="J875" s="40" t="str">
        <f>HYPERLINK("https://stock.pstatic.net/stock-research/company/62/20260730_company_47892000.pdf","PDF")</f>
        <v>PDF</v>
      </c>
      <c r="K875" s="12" t="s">
        <v>34307</v>
      </c>
      <c r="L875" s="36">
        <v>0.3135593220338983</v>
      </c>
    </row>
    <row r="876" spans="1:12" x14ac:dyDescent="0.45">
      <c r="A876" s="12" t="s">
        <v>33976</v>
      </c>
      <c r="B876" s="12" t="s">
        <v>334</v>
      </c>
      <c r="C876" s="13" t="s">
        <v>335</v>
      </c>
      <c r="D876" s="13" t="s">
        <v>276</v>
      </c>
      <c r="E876" s="12" t="s">
        <v>16</v>
      </c>
      <c r="F876" s="14">
        <v>3100000</v>
      </c>
      <c r="G876" s="14">
        <v>1550000</v>
      </c>
      <c r="H876" s="13" t="s">
        <v>34308</v>
      </c>
      <c r="I876" s="40" t="s">
        <v>18</v>
      </c>
      <c r="J876" s="40" t="str">
        <f>HYPERLINK("https://stock.pstatic.net/stock-research/company/66/20260730_company_569900000.pdf","PDF")</f>
        <v>PDF</v>
      </c>
      <c r="K876" s="12" t="s">
        <v>34309</v>
      </c>
      <c r="L876" s="36">
        <v>1</v>
      </c>
    </row>
    <row r="877" spans="1:12" x14ac:dyDescent="0.45">
      <c r="A877" s="12" t="s">
        <v>33976</v>
      </c>
      <c r="B877" s="12" t="s">
        <v>2522</v>
      </c>
      <c r="C877" s="13" t="s">
        <v>2523</v>
      </c>
      <c r="D877" s="13" t="s">
        <v>60</v>
      </c>
      <c r="E877" s="12" t="s">
        <v>35</v>
      </c>
      <c r="F877" s="14">
        <v>390000</v>
      </c>
      <c r="G877" s="14">
        <v>244000</v>
      </c>
      <c r="H877" s="13" t="s">
        <v>34310</v>
      </c>
      <c r="I877" s="40" t="s">
        <v>18</v>
      </c>
      <c r="J877" s="40" t="str">
        <f>HYPERLINK("https://stock.pstatic.net/stock-research/company/62/20260730_company_512625000.pdf","PDF")</f>
        <v>PDF</v>
      </c>
      <c r="K877" s="12" t="s">
        <v>34311</v>
      </c>
      <c r="L877" s="36">
        <v>0.59836065573770492</v>
      </c>
    </row>
    <row r="878" spans="1:12" x14ac:dyDescent="0.45">
      <c r="A878" s="12" t="s">
        <v>33976</v>
      </c>
      <c r="B878" s="12" t="s">
        <v>856</v>
      </c>
      <c r="C878" s="13" t="s">
        <v>857</v>
      </c>
      <c r="D878" s="13" t="s">
        <v>60</v>
      </c>
      <c r="E878" s="12" t="s">
        <v>35</v>
      </c>
      <c r="F878" s="14">
        <v>200000</v>
      </c>
      <c r="G878" s="14">
        <v>122100</v>
      </c>
      <c r="H878" s="13" t="s">
        <v>34312</v>
      </c>
      <c r="I878" s="40" t="s">
        <v>18</v>
      </c>
      <c r="J878" s="40" t="str">
        <f>HYPERLINK("https://stock.pstatic.net/stock-research/company/62/20260730_company_600782000.pdf","PDF")</f>
        <v>PDF</v>
      </c>
      <c r="K878" s="12" t="s">
        <v>34313</v>
      </c>
      <c r="L878" s="36">
        <v>0.63800163800163801</v>
      </c>
    </row>
    <row r="879" spans="1:12" x14ac:dyDescent="0.45">
      <c r="A879" s="12" t="s">
        <v>33976</v>
      </c>
      <c r="B879" s="12" t="s">
        <v>2956</v>
      </c>
      <c r="C879" s="13" t="s">
        <v>2957</v>
      </c>
      <c r="D879" s="13" t="s">
        <v>60</v>
      </c>
      <c r="E879" s="12" t="s">
        <v>35</v>
      </c>
      <c r="F879" s="14">
        <v>34000</v>
      </c>
      <c r="G879" s="14">
        <v>22200</v>
      </c>
      <c r="H879" s="13" t="s">
        <v>34314</v>
      </c>
      <c r="I879" s="40" t="s">
        <v>18</v>
      </c>
      <c r="J879" s="40" t="str">
        <f>HYPERLINK("https://stock.pstatic.net/stock-research/company/62/20260730_company_325970000.pdf","PDF")</f>
        <v>PDF</v>
      </c>
      <c r="K879" s="12" t="s">
        <v>34315</v>
      </c>
      <c r="L879" s="36">
        <v>0.53153153153153154</v>
      </c>
    </row>
    <row r="880" spans="1:12" x14ac:dyDescent="0.45">
      <c r="A880" s="12" t="s">
        <v>33976</v>
      </c>
      <c r="B880" s="12" t="s">
        <v>2777</v>
      </c>
      <c r="C880" s="13" t="s">
        <v>2778</v>
      </c>
      <c r="D880" s="13" t="s">
        <v>60</v>
      </c>
      <c r="E880" s="12" t="s">
        <v>35</v>
      </c>
      <c r="F880" s="14">
        <v>540000</v>
      </c>
      <c r="G880" s="14">
        <v>338000</v>
      </c>
      <c r="H880" s="13" t="s">
        <v>34316</v>
      </c>
      <c r="I880" s="40" t="s">
        <v>18</v>
      </c>
      <c r="J880" s="40" t="str">
        <f>HYPERLINK("https://stock.pstatic.net/stock-research/company/62/20260730_company_91375000.pdf","PDF")</f>
        <v>PDF</v>
      </c>
      <c r="K880" s="12" t="s">
        <v>34317</v>
      </c>
      <c r="L880" s="36">
        <v>0.59763313609467461</v>
      </c>
    </row>
    <row r="881" spans="1:12" x14ac:dyDescent="0.45">
      <c r="A881" s="12" t="s">
        <v>33976</v>
      </c>
      <c r="B881" s="12" t="s">
        <v>334</v>
      </c>
      <c r="C881" s="13" t="s">
        <v>335</v>
      </c>
      <c r="D881" s="13" t="s">
        <v>60</v>
      </c>
      <c r="E881" s="12" t="s">
        <v>35</v>
      </c>
      <c r="F881" s="14">
        <v>4000000</v>
      </c>
      <c r="G881" s="14">
        <v>1041000</v>
      </c>
      <c r="H881" s="13" t="s">
        <v>34318</v>
      </c>
      <c r="I881" s="40" t="s">
        <v>18</v>
      </c>
      <c r="J881" s="40" t="str">
        <f>HYPERLINK("https://stock.pstatic.net/stock-research/company/62/20260730_company_806984000.pdf","PDF")</f>
        <v>PDF</v>
      </c>
      <c r="K881" s="12" t="s">
        <v>34319</v>
      </c>
      <c r="L881" s="36">
        <v>2.8424591738712781</v>
      </c>
    </row>
    <row r="882" spans="1:12" x14ac:dyDescent="0.45">
      <c r="A882" s="12" t="s">
        <v>33976</v>
      </c>
      <c r="B882" s="12" t="s">
        <v>334</v>
      </c>
      <c r="C882" s="13" t="s">
        <v>335</v>
      </c>
      <c r="D882" s="13" t="s">
        <v>57</v>
      </c>
      <c r="E882" s="12" t="s">
        <v>35</v>
      </c>
      <c r="F882" s="14">
        <v>3150000</v>
      </c>
      <c r="G882" s="14">
        <v>1401000</v>
      </c>
      <c r="H882" s="13" t="s">
        <v>34320</v>
      </c>
      <c r="I882" s="40" t="s">
        <v>18</v>
      </c>
      <c r="J882" s="40" t="str">
        <f>HYPERLINK("https://stock.pstatic.net/stock-research/company/64/20260730_company_386354000.pdf","PDF")</f>
        <v>PDF</v>
      </c>
      <c r="K882" s="12" t="s">
        <v>34321</v>
      </c>
      <c r="L882" s="36">
        <v>1.2483940042826549</v>
      </c>
    </row>
    <row r="883" spans="1:12" x14ac:dyDescent="0.45">
      <c r="A883" s="12" t="s">
        <v>33976</v>
      </c>
      <c r="B883" s="12" t="s">
        <v>450</v>
      </c>
      <c r="C883" s="13" t="s">
        <v>451</v>
      </c>
      <c r="D883" s="13" t="s">
        <v>65</v>
      </c>
      <c r="E883" s="12" t="s">
        <v>50</v>
      </c>
      <c r="F883" s="13"/>
      <c r="G883" s="14">
        <v>263000</v>
      </c>
      <c r="H883" s="13" t="s">
        <v>34322</v>
      </c>
      <c r="I883" s="40" t="s">
        <v>18</v>
      </c>
      <c r="J883" s="40" t="str">
        <f>HYPERLINK("https://stock.pstatic.net/stock-research/company/57/20260730_company_315238000.pdf","PDF")</f>
        <v>PDF</v>
      </c>
      <c r="K883" s="12" t="s">
        <v>34323</v>
      </c>
      <c r="L883" s="12"/>
    </row>
    <row r="884" spans="1:12" x14ac:dyDescent="0.45">
      <c r="A884" s="12" t="s">
        <v>33976</v>
      </c>
      <c r="B884" s="12" t="s">
        <v>2956</v>
      </c>
      <c r="C884" s="13" t="s">
        <v>2957</v>
      </c>
      <c r="D884" s="13" t="s">
        <v>57</v>
      </c>
      <c r="E884" s="12" t="s">
        <v>35</v>
      </c>
      <c r="F884" s="14">
        <v>41000</v>
      </c>
      <c r="G884" s="14">
        <v>22200</v>
      </c>
      <c r="H884" s="13" t="s">
        <v>34324</v>
      </c>
      <c r="I884" s="40" t="s">
        <v>18</v>
      </c>
      <c r="J884" s="40" t="str">
        <f>HYPERLINK("https://stock.pstatic.net/stock-research/company/16/20260730_company_882635000.pdf","PDF")</f>
        <v>PDF</v>
      </c>
      <c r="K884" s="12" t="s">
        <v>34325</v>
      </c>
      <c r="L884" s="36">
        <v>0.84684684684684686</v>
      </c>
    </row>
    <row r="885" spans="1:12" x14ac:dyDescent="0.45">
      <c r="A885" s="12" t="s">
        <v>33976</v>
      </c>
      <c r="B885" s="12" t="s">
        <v>1936</v>
      </c>
      <c r="C885" s="13" t="s">
        <v>1937</v>
      </c>
      <c r="D885" s="13" t="s">
        <v>65</v>
      </c>
      <c r="E885" s="12" t="s">
        <v>35</v>
      </c>
      <c r="F885" s="14">
        <v>10500</v>
      </c>
      <c r="G885" s="14">
        <v>6460</v>
      </c>
      <c r="H885" s="13" t="s">
        <v>34326</v>
      </c>
      <c r="I885" s="40" t="s">
        <v>18</v>
      </c>
      <c r="J885" s="40" t="str">
        <f>HYPERLINK("https://stock.pstatic.net/stock-research/company/57/20260730_company_573814000.pdf","PDF")</f>
        <v>PDF</v>
      </c>
      <c r="K885" s="12" t="s">
        <v>34327</v>
      </c>
      <c r="L885" s="36">
        <v>0.62538699690402477</v>
      </c>
    </row>
    <row r="886" spans="1:12" x14ac:dyDescent="0.45">
      <c r="A886" s="12" t="s">
        <v>33976</v>
      </c>
      <c r="B886" s="12" t="s">
        <v>2522</v>
      </c>
      <c r="C886" s="13" t="s">
        <v>2523</v>
      </c>
      <c r="D886" s="13" t="s">
        <v>65</v>
      </c>
      <c r="E886" s="12" t="s">
        <v>35</v>
      </c>
      <c r="F886" s="14">
        <v>460000</v>
      </c>
      <c r="G886" s="14">
        <v>244000</v>
      </c>
      <c r="H886" s="13" t="s">
        <v>34328</v>
      </c>
      <c r="I886" s="40" t="s">
        <v>18</v>
      </c>
      <c r="J886" s="40" t="str">
        <f>HYPERLINK("https://stock.pstatic.net/stock-research/company/57/20260730_company_695942000.pdf","PDF")</f>
        <v>PDF</v>
      </c>
      <c r="K886" s="12" t="s">
        <v>34329</v>
      </c>
      <c r="L886" s="36">
        <v>0.88524590163934425</v>
      </c>
    </row>
    <row r="887" spans="1:12" x14ac:dyDescent="0.45">
      <c r="A887" s="12" t="s">
        <v>33976</v>
      </c>
      <c r="B887" s="12" t="s">
        <v>334</v>
      </c>
      <c r="C887" s="13" t="s">
        <v>335</v>
      </c>
      <c r="D887" s="13" t="s">
        <v>65</v>
      </c>
      <c r="E887" s="12" t="s">
        <v>35</v>
      </c>
      <c r="F887" s="14">
        <v>3600000</v>
      </c>
      <c r="G887" s="14">
        <v>1401000</v>
      </c>
      <c r="H887" s="13" t="s">
        <v>34330</v>
      </c>
      <c r="I887" s="40" t="s">
        <v>18</v>
      </c>
      <c r="J887" s="40" t="str">
        <f>HYPERLINK("https://stock.pstatic.net/stock-research/company/57/20260730_company_541787000.pdf","PDF")</f>
        <v>PDF</v>
      </c>
      <c r="K887" s="12" t="s">
        <v>34331</v>
      </c>
      <c r="L887" s="36">
        <v>1.5695931477516061</v>
      </c>
    </row>
    <row r="888" spans="1:12" x14ac:dyDescent="0.45">
      <c r="A888" s="12" t="s">
        <v>33976</v>
      </c>
      <c r="B888" s="12" t="s">
        <v>72</v>
      </c>
      <c r="C888" s="13" t="s">
        <v>73</v>
      </c>
      <c r="D888" s="13" t="s">
        <v>65</v>
      </c>
      <c r="E888" s="12" t="s">
        <v>35</v>
      </c>
      <c r="F888" s="14">
        <v>420000</v>
      </c>
      <c r="G888" s="14">
        <v>285500</v>
      </c>
      <c r="H888" s="13" t="s">
        <v>34332</v>
      </c>
      <c r="I888" s="40" t="s">
        <v>18</v>
      </c>
      <c r="J888" s="40" t="str">
        <f>HYPERLINK("https://stock.pstatic.net/stock-research/company/57/20260730_company_954042000.pdf","PDF")</f>
        <v>PDF</v>
      </c>
      <c r="K888" s="12" t="s">
        <v>34333</v>
      </c>
      <c r="L888" s="36">
        <v>0.47110332749562173</v>
      </c>
    </row>
    <row r="889" spans="1:12" x14ac:dyDescent="0.45">
      <c r="A889" s="12" t="s">
        <v>33976</v>
      </c>
      <c r="B889" s="12" t="s">
        <v>2956</v>
      </c>
      <c r="C889" s="13" t="s">
        <v>2957</v>
      </c>
      <c r="D889" s="13" t="s">
        <v>65</v>
      </c>
      <c r="E889" s="12" t="s">
        <v>35</v>
      </c>
      <c r="F889" s="14">
        <v>36000</v>
      </c>
      <c r="G889" s="14">
        <v>22200</v>
      </c>
      <c r="H889" s="13" t="s">
        <v>34334</v>
      </c>
      <c r="I889" s="40" t="s">
        <v>18</v>
      </c>
      <c r="J889" s="40" t="str">
        <f>HYPERLINK("https://stock.pstatic.net/stock-research/company/57/20260730_company_779409000.pdf","PDF")</f>
        <v>PDF</v>
      </c>
      <c r="K889" s="12" t="s">
        <v>34335</v>
      </c>
      <c r="L889" s="36">
        <v>0.6216216216216216</v>
      </c>
    </row>
    <row r="890" spans="1:12" x14ac:dyDescent="0.45">
      <c r="A890" s="12" t="s">
        <v>33976</v>
      </c>
      <c r="B890" s="12" t="s">
        <v>330</v>
      </c>
      <c r="C890" s="13" t="s">
        <v>331</v>
      </c>
      <c r="D890" s="13" t="s">
        <v>65</v>
      </c>
      <c r="E890" s="12" t="s">
        <v>35</v>
      </c>
      <c r="F890" s="14">
        <v>60000</v>
      </c>
      <c r="G890" s="14">
        <v>22850</v>
      </c>
      <c r="H890" s="13" t="s">
        <v>34336</v>
      </c>
      <c r="I890" s="40" t="s">
        <v>18</v>
      </c>
      <c r="J890" s="40" t="str">
        <f>HYPERLINK("https://stock.pstatic.net/stock-research/company/57/20260730_company_479749000.pdf","PDF")</f>
        <v>PDF</v>
      </c>
      <c r="K890" s="12" t="s">
        <v>34337</v>
      </c>
      <c r="L890" s="36">
        <v>1.62582056892779</v>
      </c>
    </row>
    <row r="891" spans="1:12" x14ac:dyDescent="0.45">
      <c r="A891" s="12" t="s">
        <v>33976</v>
      </c>
      <c r="B891" s="12" t="s">
        <v>2435</v>
      </c>
      <c r="C891" s="13" t="s">
        <v>2436</v>
      </c>
      <c r="D891" s="13" t="s">
        <v>158</v>
      </c>
      <c r="E891" s="12" t="s">
        <v>35</v>
      </c>
      <c r="F891" s="14">
        <v>842000</v>
      </c>
      <c r="G891" s="14">
        <v>434000</v>
      </c>
      <c r="H891" s="13" t="s">
        <v>34338</v>
      </c>
      <c r="I891" s="40" t="s">
        <v>18</v>
      </c>
      <c r="J891" s="40" t="str">
        <f>HYPERLINK("https://stock.pstatic.net/stock-research/company/18/20260730_company_679705000.pdf","PDF")</f>
        <v>PDF</v>
      </c>
      <c r="K891" s="12" t="s">
        <v>34339</v>
      </c>
      <c r="L891" s="36">
        <v>0.94009216589861755</v>
      </c>
    </row>
    <row r="892" spans="1:12" x14ac:dyDescent="0.45">
      <c r="A892" s="12" t="s">
        <v>33976</v>
      </c>
      <c r="B892" s="12" t="s">
        <v>2522</v>
      </c>
      <c r="C892" s="13" t="s">
        <v>2523</v>
      </c>
      <c r="D892" s="13" t="s">
        <v>158</v>
      </c>
      <c r="E892" s="12" t="s">
        <v>35</v>
      </c>
      <c r="F892" s="14">
        <v>380000</v>
      </c>
      <c r="G892" s="14">
        <v>244000</v>
      </c>
      <c r="H892" s="13" t="s">
        <v>34340</v>
      </c>
      <c r="I892" s="40" t="s">
        <v>18</v>
      </c>
      <c r="J892" s="40" t="str">
        <f>HYPERLINK("https://stock.pstatic.net/stock-research/company/18/20260730_company_845570000.pdf","PDF")</f>
        <v>PDF</v>
      </c>
      <c r="K892" s="12" t="s">
        <v>34341</v>
      </c>
      <c r="L892" s="36">
        <v>0.55737704918032782</v>
      </c>
    </row>
    <row r="893" spans="1:12" x14ac:dyDescent="0.45">
      <c r="A893" s="12" t="s">
        <v>33976</v>
      </c>
      <c r="B893" s="12" t="s">
        <v>2944</v>
      </c>
      <c r="C893" s="13" t="s">
        <v>2945</v>
      </c>
      <c r="D893" s="13" t="s">
        <v>158</v>
      </c>
      <c r="E893" s="12" t="s">
        <v>35</v>
      </c>
      <c r="F893" s="14">
        <v>23000</v>
      </c>
      <c r="G893" s="14">
        <v>14960</v>
      </c>
      <c r="H893" s="13" t="s">
        <v>34342</v>
      </c>
      <c r="I893" s="40" t="s">
        <v>18</v>
      </c>
      <c r="J893" s="40" t="str">
        <f>HYPERLINK("https://stock.pstatic.net/stock-research/company/18/20260730_company_990240000.pdf","PDF")</f>
        <v>PDF</v>
      </c>
      <c r="K893" s="12" t="s">
        <v>34343</v>
      </c>
      <c r="L893" s="36">
        <v>0.53743315508021394</v>
      </c>
    </row>
    <row r="894" spans="1:12" x14ac:dyDescent="0.45">
      <c r="A894" s="12" t="s">
        <v>33976</v>
      </c>
      <c r="B894" s="12" t="s">
        <v>2956</v>
      </c>
      <c r="C894" s="13" t="s">
        <v>2957</v>
      </c>
      <c r="D894" s="13" t="s">
        <v>83</v>
      </c>
      <c r="E894" s="12" t="s">
        <v>35</v>
      </c>
      <c r="F894" s="14">
        <v>36000</v>
      </c>
      <c r="G894" s="14">
        <v>22200</v>
      </c>
      <c r="H894" s="13" t="s">
        <v>34344</v>
      </c>
      <c r="I894" s="40" t="s">
        <v>18</v>
      </c>
      <c r="J894" s="40" t="str">
        <f>HYPERLINK("https://stock.pstatic.net/stock-research/company/15/20260730_company_33954000.pdf","PDF")</f>
        <v>PDF</v>
      </c>
      <c r="K894" s="12" t="s">
        <v>34345</v>
      </c>
      <c r="L894" s="36">
        <v>0.6216216216216216</v>
      </c>
    </row>
    <row r="895" spans="1:12" x14ac:dyDescent="0.45">
      <c r="A895" s="12" t="s">
        <v>33976</v>
      </c>
      <c r="B895" s="12" t="s">
        <v>2950</v>
      </c>
      <c r="C895" s="13" t="s">
        <v>2951</v>
      </c>
      <c r="D895" s="13" t="s">
        <v>83</v>
      </c>
      <c r="E895" s="12" t="s">
        <v>35</v>
      </c>
      <c r="F895" s="14">
        <v>110000</v>
      </c>
      <c r="G895" s="14">
        <v>60800</v>
      </c>
      <c r="H895" s="13" t="s">
        <v>34346</v>
      </c>
      <c r="I895" s="40" t="s">
        <v>18</v>
      </c>
      <c r="J895" s="40" t="str">
        <f>HYPERLINK("https://stock.pstatic.net/stock-research/company/15/20260730_company_7788000.pdf","PDF")</f>
        <v>PDF</v>
      </c>
      <c r="K895" s="12" t="s">
        <v>34347</v>
      </c>
      <c r="L895" s="36">
        <v>0.80921052631578949</v>
      </c>
    </row>
    <row r="896" spans="1:12" x14ac:dyDescent="0.45">
      <c r="A896" s="12" t="s">
        <v>33976</v>
      </c>
      <c r="B896" s="12" t="s">
        <v>2266</v>
      </c>
      <c r="C896" s="13" t="s">
        <v>2267</v>
      </c>
      <c r="D896" s="13" t="s">
        <v>83</v>
      </c>
      <c r="E896" s="12" t="s">
        <v>35</v>
      </c>
      <c r="F896" s="14">
        <v>165000</v>
      </c>
      <c r="G896" s="14">
        <v>117500</v>
      </c>
      <c r="H896" s="13" t="s">
        <v>34348</v>
      </c>
      <c r="I896" s="40" t="s">
        <v>18</v>
      </c>
      <c r="J896" s="40" t="str">
        <f>HYPERLINK("https://stock.pstatic.net/stock-research/company/15/20260730_company_388071000.pdf","PDF")</f>
        <v>PDF</v>
      </c>
      <c r="K896" s="12" t="s">
        <v>34349</v>
      </c>
      <c r="L896" s="36">
        <v>0.40425531914893609</v>
      </c>
    </row>
    <row r="897" spans="1:12" x14ac:dyDescent="0.45">
      <c r="A897" s="12" t="s">
        <v>33976</v>
      </c>
      <c r="B897" s="12" t="s">
        <v>334</v>
      </c>
      <c r="C897" s="13" t="s">
        <v>335</v>
      </c>
      <c r="D897" s="13" t="s">
        <v>83</v>
      </c>
      <c r="E897" s="12" t="s">
        <v>35</v>
      </c>
      <c r="F897" s="14">
        <v>3200000</v>
      </c>
      <c r="G897" s="14">
        <v>1401000</v>
      </c>
      <c r="H897" s="13" t="s">
        <v>34350</v>
      </c>
      <c r="I897" s="40" t="s">
        <v>18</v>
      </c>
      <c r="J897" s="40" t="str">
        <f>HYPERLINK("https://stock.pstatic.net/stock-research/company/15/20260730_company_635185000.pdf","PDF")</f>
        <v>PDF</v>
      </c>
      <c r="K897" s="12" t="s">
        <v>34351</v>
      </c>
      <c r="L897" s="36">
        <v>1.284082798001428</v>
      </c>
    </row>
    <row r="898" spans="1:12" x14ac:dyDescent="0.45">
      <c r="A898" s="12" t="s">
        <v>33976</v>
      </c>
      <c r="B898" s="12" t="s">
        <v>72</v>
      </c>
      <c r="C898" s="13" t="s">
        <v>73</v>
      </c>
      <c r="D898" s="13" t="s">
        <v>15</v>
      </c>
      <c r="E898" s="12" t="s">
        <v>16</v>
      </c>
      <c r="F898" s="14">
        <v>490000</v>
      </c>
      <c r="G898" s="14">
        <v>285500</v>
      </c>
      <c r="H898" s="13" t="s">
        <v>34352</v>
      </c>
      <c r="I898" s="40" t="s">
        <v>18</v>
      </c>
      <c r="J898" s="40" t="str">
        <f>HYPERLINK("https://stock.pstatic.net/stock-research/company/56/20260730_company_836995000.pdf","PDF")</f>
        <v>PDF</v>
      </c>
      <c r="K898" s="12" t="s">
        <v>34353</v>
      </c>
      <c r="L898" s="36">
        <v>0.71628721541155871</v>
      </c>
    </row>
    <row r="899" spans="1:12" x14ac:dyDescent="0.45">
      <c r="A899" s="12" t="s">
        <v>33976</v>
      </c>
      <c r="B899" s="12" t="s">
        <v>1936</v>
      </c>
      <c r="C899" s="13" t="s">
        <v>1937</v>
      </c>
      <c r="D899" s="13" t="s">
        <v>92</v>
      </c>
      <c r="E899" s="12" t="s">
        <v>35</v>
      </c>
      <c r="F899" s="14">
        <v>10000</v>
      </c>
      <c r="G899" s="14">
        <v>6460</v>
      </c>
      <c r="H899" s="13" t="s">
        <v>34354</v>
      </c>
      <c r="I899" s="40" t="s">
        <v>18</v>
      </c>
      <c r="J899" s="40" t="str">
        <f>HYPERLINK("https://stock.pstatic.net/stock-research/company/63/20260730_company_150280000.pdf","PDF")</f>
        <v>PDF</v>
      </c>
      <c r="K899" s="12" t="s">
        <v>34355</v>
      </c>
      <c r="L899" s="36">
        <v>0.54798761609907121</v>
      </c>
    </row>
    <row r="900" spans="1:12" x14ac:dyDescent="0.45">
      <c r="A900" s="12" t="s">
        <v>33976</v>
      </c>
      <c r="B900" s="12" t="s">
        <v>2435</v>
      </c>
      <c r="C900" s="13" t="s">
        <v>2436</v>
      </c>
      <c r="D900" s="13" t="s">
        <v>92</v>
      </c>
      <c r="E900" s="12" t="s">
        <v>35</v>
      </c>
      <c r="F900" s="14">
        <v>1000000</v>
      </c>
      <c r="G900" s="14">
        <v>434400</v>
      </c>
      <c r="H900" s="13" t="s">
        <v>34356</v>
      </c>
      <c r="I900" s="40" t="s">
        <v>18</v>
      </c>
      <c r="J900" s="40" t="str">
        <f>HYPERLINK("https://stock.pstatic.net/stock-research/company/63/20260730_company_329907000.pdf","PDF")</f>
        <v>PDF</v>
      </c>
      <c r="K900" s="12" t="s">
        <v>34357</v>
      </c>
      <c r="L900" s="36">
        <v>1.302025782688766</v>
      </c>
    </row>
    <row r="901" spans="1:12" x14ac:dyDescent="0.45">
      <c r="A901" s="12" t="s">
        <v>33976</v>
      </c>
      <c r="B901" s="12" t="s">
        <v>2266</v>
      </c>
      <c r="C901" s="13" t="s">
        <v>2267</v>
      </c>
      <c r="D901" s="13" t="s">
        <v>92</v>
      </c>
      <c r="E901" s="12" t="s">
        <v>35</v>
      </c>
      <c r="F901" s="14">
        <v>159000</v>
      </c>
      <c r="G901" s="14">
        <v>117500</v>
      </c>
      <c r="H901" s="13" t="s">
        <v>34358</v>
      </c>
      <c r="I901" s="40" t="s">
        <v>18</v>
      </c>
      <c r="J901" s="40" t="str">
        <f>HYPERLINK("https://stock.pstatic.net/stock-research/company/63/20260730_company_597591000.pdf","PDF")</f>
        <v>PDF</v>
      </c>
      <c r="K901" s="12" t="s">
        <v>34359</v>
      </c>
      <c r="L901" s="36">
        <v>0.35319148936170208</v>
      </c>
    </row>
    <row r="902" spans="1:12" x14ac:dyDescent="0.45">
      <c r="A902" s="12" t="s">
        <v>33976</v>
      </c>
      <c r="B902" s="12" t="s">
        <v>450</v>
      </c>
      <c r="C902" s="13" t="s">
        <v>451</v>
      </c>
      <c r="D902" s="13" t="s">
        <v>92</v>
      </c>
      <c r="E902" s="12" t="s">
        <v>35</v>
      </c>
      <c r="F902" s="14">
        <v>320000</v>
      </c>
      <c r="G902" s="14">
        <v>263000</v>
      </c>
      <c r="H902" s="13" t="s">
        <v>34360</v>
      </c>
      <c r="I902" s="40" t="s">
        <v>18</v>
      </c>
      <c r="J902" s="40" t="str">
        <f>HYPERLINK("https://stock.pstatic.net/stock-research/company/63/20260730_company_221320000.pdf","PDF")</f>
        <v>PDF</v>
      </c>
      <c r="K902" s="12" t="s">
        <v>34361</v>
      </c>
      <c r="L902" s="36">
        <v>0.21673003802281371</v>
      </c>
    </row>
    <row r="903" spans="1:12" x14ac:dyDescent="0.45">
      <c r="A903" s="12" t="s">
        <v>33976</v>
      </c>
      <c r="B903" s="12" t="s">
        <v>330</v>
      </c>
      <c r="C903" s="13" t="s">
        <v>331</v>
      </c>
      <c r="D903" s="13" t="s">
        <v>15</v>
      </c>
      <c r="E903" s="12" t="s">
        <v>16</v>
      </c>
      <c r="F903" s="14">
        <v>38000</v>
      </c>
      <c r="G903" s="14">
        <v>22850</v>
      </c>
      <c r="H903" s="13" t="s">
        <v>34362</v>
      </c>
      <c r="I903" s="40" t="s">
        <v>18</v>
      </c>
      <c r="J903" s="40" t="str">
        <f>HYPERLINK("https://stock.pstatic.net/stock-research/company/56/20260730_company_605764000.pdf","PDF")</f>
        <v>PDF</v>
      </c>
      <c r="K903" s="12" t="s">
        <v>34363</v>
      </c>
      <c r="L903" s="36">
        <v>0.66301969365426694</v>
      </c>
    </row>
    <row r="904" spans="1:12" x14ac:dyDescent="0.45">
      <c r="A904" s="12" t="s">
        <v>33976</v>
      </c>
      <c r="B904" s="12" t="s">
        <v>2777</v>
      </c>
      <c r="C904" s="13" t="s">
        <v>2778</v>
      </c>
      <c r="D904" s="13" t="s">
        <v>92</v>
      </c>
      <c r="E904" s="12" t="s">
        <v>35</v>
      </c>
      <c r="F904" s="14">
        <v>730000</v>
      </c>
      <c r="G904" s="14">
        <v>338000</v>
      </c>
      <c r="H904" s="13" t="s">
        <v>34364</v>
      </c>
      <c r="I904" s="40" t="s">
        <v>18</v>
      </c>
      <c r="J904" s="40" t="str">
        <f>HYPERLINK("https://stock.pstatic.net/stock-research/company/63/20260730_company_489787000.pdf","PDF")</f>
        <v>PDF</v>
      </c>
      <c r="K904" s="12" t="s">
        <v>34365</v>
      </c>
      <c r="L904" s="36">
        <v>1.1597633136094669</v>
      </c>
    </row>
    <row r="905" spans="1:12" x14ac:dyDescent="0.45">
      <c r="A905" s="12" t="s">
        <v>33976</v>
      </c>
      <c r="B905" s="12" t="s">
        <v>330</v>
      </c>
      <c r="C905" s="13" t="s">
        <v>331</v>
      </c>
      <c r="D905" s="13" t="s">
        <v>92</v>
      </c>
      <c r="E905" s="12" t="s">
        <v>35</v>
      </c>
      <c r="F905" s="14">
        <v>60000</v>
      </c>
      <c r="G905" s="14">
        <v>22850</v>
      </c>
      <c r="H905" s="13" t="s">
        <v>34366</v>
      </c>
      <c r="I905" s="40" t="s">
        <v>18</v>
      </c>
      <c r="J905" s="40" t="str">
        <f>HYPERLINK("https://stock.pstatic.net/stock-research/company/63/20260730_company_843223000.pdf","PDF")</f>
        <v>PDF</v>
      </c>
      <c r="K905" s="12" t="s">
        <v>34367</v>
      </c>
      <c r="L905" s="36">
        <v>1.62582056892779</v>
      </c>
    </row>
    <row r="906" spans="1:12" x14ac:dyDescent="0.45">
      <c r="A906" s="12" t="s">
        <v>33976</v>
      </c>
      <c r="B906" s="12" t="s">
        <v>72</v>
      </c>
      <c r="C906" s="13" t="s">
        <v>73</v>
      </c>
      <c r="D906" s="13" t="s">
        <v>92</v>
      </c>
      <c r="E906" s="12" t="s">
        <v>35</v>
      </c>
      <c r="F906" s="14">
        <v>420000</v>
      </c>
      <c r="G906" s="14">
        <v>285500</v>
      </c>
      <c r="H906" s="13" t="s">
        <v>34368</v>
      </c>
      <c r="I906" s="40" t="s">
        <v>18</v>
      </c>
      <c r="J906" s="40" t="str">
        <f>HYPERLINK("https://stock.pstatic.net/stock-research/company/63/20260730_company_94201000.pdf","PDF")</f>
        <v>PDF</v>
      </c>
      <c r="K906" s="12" t="s">
        <v>34369</v>
      </c>
      <c r="L906" s="36">
        <v>0.47110332749562173</v>
      </c>
    </row>
    <row r="907" spans="1:12" x14ac:dyDescent="0.45">
      <c r="A907" s="12" t="s">
        <v>33976</v>
      </c>
      <c r="B907" s="12" t="s">
        <v>2956</v>
      </c>
      <c r="C907" s="13" t="s">
        <v>2957</v>
      </c>
      <c r="D907" s="13" t="s">
        <v>92</v>
      </c>
      <c r="E907" s="12" t="s">
        <v>35</v>
      </c>
      <c r="F907" s="14">
        <v>34000</v>
      </c>
      <c r="G907" s="14">
        <v>22200</v>
      </c>
      <c r="H907" s="13" t="s">
        <v>34370</v>
      </c>
      <c r="I907" s="40" t="s">
        <v>18</v>
      </c>
      <c r="J907" s="40" t="str">
        <f>HYPERLINK("https://stock.pstatic.net/stock-research/company/63/20260730_company_512789000.pdf","PDF")</f>
        <v>PDF</v>
      </c>
      <c r="K907" s="12" t="s">
        <v>34371</v>
      </c>
      <c r="L907" s="36">
        <v>0.53153153153153154</v>
      </c>
    </row>
    <row r="908" spans="1:12" x14ac:dyDescent="0.45">
      <c r="A908" s="12" t="s">
        <v>33976</v>
      </c>
      <c r="B908" s="12" t="s">
        <v>2522</v>
      </c>
      <c r="C908" s="13" t="s">
        <v>2523</v>
      </c>
      <c r="D908" s="13" t="s">
        <v>92</v>
      </c>
      <c r="E908" s="12" t="s">
        <v>35</v>
      </c>
      <c r="F908" s="14">
        <v>400000</v>
      </c>
      <c r="G908" s="14">
        <v>244000</v>
      </c>
      <c r="H908" s="13" t="s">
        <v>34372</v>
      </c>
      <c r="I908" s="40" t="s">
        <v>18</v>
      </c>
      <c r="J908" s="40" t="str">
        <f>HYPERLINK("https://stock.pstatic.net/stock-research/company/63/20260730_company_942778000.pdf","PDF")</f>
        <v>PDF</v>
      </c>
      <c r="K908" s="12" t="s">
        <v>34373</v>
      </c>
      <c r="L908" s="36">
        <v>0.63934426229508201</v>
      </c>
    </row>
    <row r="909" spans="1:12" x14ac:dyDescent="0.45">
      <c r="A909" s="12" t="s">
        <v>33976</v>
      </c>
      <c r="B909" s="12" t="s">
        <v>63</v>
      </c>
      <c r="C909" s="13" t="s">
        <v>64</v>
      </c>
      <c r="D909" s="13" t="s">
        <v>23</v>
      </c>
      <c r="E909" s="12" t="s">
        <v>16</v>
      </c>
      <c r="F909" s="14">
        <v>510000</v>
      </c>
      <c r="G909" s="14">
        <v>322000</v>
      </c>
      <c r="H909" s="13" t="s">
        <v>34374</v>
      </c>
      <c r="I909" s="40" t="s">
        <v>18</v>
      </c>
      <c r="J909" s="40" t="str">
        <f>HYPERLINK("https://stock.pstatic.net/stock-research/company/21/20260730_company_522017000.pdf","PDF")</f>
        <v>PDF</v>
      </c>
      <c r="K909" s="12" t="s">
        <v>34375</v>
      </c>
      <c r="L909" s="36">
        <v>0.58385093167701863</v>
      </c>
    </row>
    <row r="910" spans="1:12" x14ac:dyDescent="0.45">
      <c r="A910" s="12" t="s">
        <v>33976</v>
      </c>
      <c r="B910" s="12" t="s">
        <v>2956</v>
      </c>
      <c r="C910" s="13" t="s">
        <v>2957</v>
      </c>
      <c r="D910" s="13" t="s">
        <v>53</v>
      </c>
      <c r="E910" s="12" t="s">
        <v>16</v>
      </c>
      <c r="F910" s="14">
        <v>45000</v>
      </c>
      <c r="G910" s="14">
        <v>22200</v>
      </c>
      <c r="H910" s="13" t="s">
        <v>34376</v>
      </c>
      <c r="I910" s="40" t="s">
        <v>18</v>
      </c>
      <c r="J910" s="40" t="str">
        <f>HYPERLINK("https://stock.pstatic.net/stock-research/company/40/20260730_company_639817000.pdf","PDF")</f>
        <v>PDF</v>
      </c>
      <c r="K910" s="12" t="s">
        <v>34377</v>
      </c>
      <c r="L910" s="36">
        <v>1.027027027027027</v>
      </c>
    </row>
    <row r="911" spans="1:12" x14ac:dyDescent="0.45">
      <c r="A911" s="12" t="s">
        <v>33976</v>
      </c>
      <c r="B911" s="12" t="s">
        <v>1552</v>
      </c>
      <c r="C911" s="13" t="s">
        <v>1553</v>
      </c>
      <c r="D911" s="13" t="s">
        <v>23</v>
      </c>
      <c r="E911" s="12" t="s">
        <v>16</v>
      </c>
      <c r="F911" s="14">
        <v>180000</v>
      </c>
      <c r="G911" s="14">
        <v>118300</v>
      </c>
      <c r="H911" s="13" t="s">
        <v>34378</v>
      </c>
      <c r="I911" s="40" t="s">
        <v>18</v>
      </c>
      <c r="J911" s="40" t="str">
        <f>HYPERLINK("https://stock.pstatic.net/stock-research/company/21/20260730_company_788596000.pdf","PDF")</f>
        <v>PDF</v>
      </c>
      <c r="K911" s="12" t="s">
        <v>34379</v>
      </c>
      <c r="L911" s="36">
        <v>0.52155536770921385</v>
      </c>
    </row>
    <row r="912" spans="1:12" x14ac:dyDescent="0.45">
      <c r="A912" s="12" t="s">
        <v>33976</v>
      </c>
      <c r="B912" s="12" t="s">
        <v>334</v>
      </c>
      <c r="C912" s="13" t="s">
        <v>335</v>
      </c>
      <c r="D912" s="13" t="s">
        <v>23</v>
      </c>
      <c r="E912" s="12" t="s">
        <v>16</v>
      </c>
      <c r="F912" s="14">
        <v>2700000</v>
      </c>
      <c r="G912" s="14">
        <v>1401000</v>
      </c>
      <c r="H912" s="13" t="s">
        <v>34380</v>
      </c>
      <c r="I912" s="40" t="s">
        <v>18</v>
      </c>
      <c r="J912" s="40" t="str">
        <f>HYPERLINK("https://stock.pstatic.net/stock-research/company/21/20260730_company_859330000.pdf","PDF")</f>
        <v>PDF</v>
      </c>
      <c r="K912" s="12" t="s">
        <v>34381</v>
      </c>
      <c r="L912" s="36">
        <v>0.9271948608137045</v>
      </c>
    </row>
    <row r="913" spans="1:12" x14ac:dyDescent="0.45">
      <c r="A913" s="12" t="s">
        <v>33976</v>
      </c>
      <c r="B913" s="12" t="s">
        <v>3296</v>
      </c>
      <c r="C913" s="13" t="s">
        <v>3297</v>
      </c>
      <c r="D913" s="13" t="s">
        <v>34</v>
      </c>
      <c r="E913" s="12" t="s">
        <v>35</v>
      </c>
      <c r="F913" s="14">
        <v>60000</v>
      </c>
      <c r="G913" s="14">
        <v>36000</v>
      </c>
      <c r="H913" s="13" t="s">
        <v>34382</v>
      </c>
      <c r="I913" s="40" t="s">
        <v>18</v>
      </c>
      <c r="J913" s="40" t="str">
        <f>HYPERLINK("https://stock.pstatic.net/stock-research/company/61/20260730_company_83217000.pdf","PDF")</f>
        <v>PDF</v>
      </c>
      <c r="K913" s="12" t="s">
        <v>34383</v>
      </c>
      <c r="L913" s="36">
        <v>0.66666666666666663</v>
      </c>
    </row>
    <row r="914" spans="1:12" x14ac:dyDescent="0.45">
      <c r="A914" s="12" t="s">
        <v>33976</v>
      </c>
      <c r="B914" s="12" t="s">
        <v>856</v>
      </c>
      <c r="C914" s="13" t="s">
        <v>857</v>
      </c>
      <c r="D914" s="13" t="s">
        <v>34</v>
      </c>
      <c r="E914" s="12" t="s">
        <v>35</v>
      </c>
      <c r="F914" s="14">
        <v>180000</v>
      </c>
      <c r="G914" s="14">
        <v>122100</v>
      </c>
      <c r="H914" s="13" t="s">
        <v>34384</v>
      </c>
      <c r="I914" s="40" t="s">
        <v>18</v>
      </c>
      <c r="J914" s="40" t="str">
        <f>HYPERLINK("https://stock.pstatic.net/stock-research/company/61/20260730_company_980174000.pdf","PDF")</f>
        <v>PDF</v>
      </c>
      <c r="K914" s="12" t="s">
        <v>34385</v>
      </c>
      <c r="L914" s="36">
        <v>0.47420147420147418</v>
      </c>
    </row>
    <row r="915" spans="1:12" x14ac:dyDescent="0.45">
      <c r="A915" s="12" t="s">
        <v>33976</v>
      </c>
      <c r="B915" s="12" t="s">
        <v>2956</v>
      </c>
      <c r="C915" s="13" t="s">
        <v>2957</v>
      </c>
      <c r="D915" s="13" t="s">
        <v>34</v>
      </c>
      <c r="E915" s="12" t="s">
        <v>35</v>
      </c>
      <c r="F915" s="14">
        <v>35000</v>
      </c>
      <c r="G915" s="14">
        <v>22200</v>
      </c>
      <c r="H915" s="13" t="s">
        <v>34386</v>
      </c>
      <c r="I915" s="40" t="s">
        <v>18</v>
      </c>
      <c r="J915" s="40" t="str">
        <f>HYPERLINK("https://stock.pstatic.net/stock-research/company/61/20260730_company_815885000.pdf","PDF")</f>
        <v>PDF</v>
      </c>
      <c r="K915" s="12" t="s">
        <v>34387</v>
      </c>
      <c r="L915" s="36">
        <v>0.57657657657657657</v>
      </c>
    </row>
    <row r="916" spans="1:12" x14ac:dyDescent="0.45">
      <c r="A916" s="12" t="s">
        <v>33976</v>
      </c>
      <c r="B916" s="12" t="s">
        <v>2435</v>
      </c>
      <c r="C916" s="13" t="s">
        <v>2436</v>
      </c>
      <c r="D916" s="13" t="s">
        <v>34</v>
      </c>
      <c r="E916" s="12" t="s">
        <v>35</v>
      </c>
      <c r="F916" s="14">
        <v>860000</v>
      </c>
      <c r="G916" s="14">
        <v>434000</v>
      </c>
      <c r="H916" s="13" t="s">
        <v>34388</v>
      </c>
      <c r="I916" s="40" t="s">
        <v>18</v>
      </c>
      <c r="J916" s="40" t="str">
        <f>HYPERLINK("https://stock.pstatic.net/stock-research/company/61/20260730_company_22645000.pdf","PDF")</f>
        <v>PDF</v>
      </c>
      <c r="K916" s="12" t="s">
        <v>34389</v>
      </c>
      <c r="L916" s="36">
        <v>0.98156682027649766</v>
      </c>
    </row>
    <row r="917" spans="1:12" x14ac:dyDescent="0.45">
      <c r="A917" s="12" t="s">
        <v>33976</v>
      </c>
      <c r="B917" s="12" t="s">
        <v>2266</v>
      </c>
      <c r="C917" s="13" t="s">
        <v>2267</v>
      </c>
      <c r="D917" s="13" t="s">
        <v>34</v>
      </c>
      <c r="E917" s="12" t="s">
        <v>35</v>
      </c>
      <c r="F917" s="14">
        <v>151000</v>
      </c>
      <c r="G917" s="14">
        <v>117500</v>
      </c>
      <c r="H917" s="13" t="s">
        <v>34390</v>
      </c>
      <c r="I917" s="40" t="s">
        <v>18</v>
      </c>
      <c r="J917" s="40" t="str">
        <f>HYPERLINK("https://stock.pstatic.net/stock-research/company/61/20260730_company_414931000.pdf","PDF")</f>
        <v>PDF</v>
      </c>
      <c r="K917" s="12" t="s">
        <v>34391</v>
      </c>
      <c r="L917" s="36">
        <v>0.28510638297872343</v>
      </c>
    </row>
    <row r="918" spans="1:12" x14ac:dyDescent="0.45">
      <c r="A918" s="12" t="s">
        <v>33976</v>
      </c>
      <c r="B918" s="12" t="s">
        <v>330</v>
      </c>
      <c r="C918" s="13" t="s">
        <v>331</v>
      </c>
      <c r="D918" s="13" t="s">
        <v>34</v>
      </c>
      <c r="E918" s="12" t="s">
        <v>35</v>
      </c>
      <c r="F918" s="14">
        <v>40000</v>
      </c>
      <c r="G918" s="14">
        <v>22850</v>
      </c>
      <c r="H918" s="13" t="s">
        <v>34392</v>
      </c>
      <c r="I918" s="40" t="s">
        <v>18</v>
      </c>
      <c r="J918" s="40" t="str">
        <f>HYPERLINK("https://stock.pstatic.net/stock-research/company/61/20260730_company_333051000.pdf","PDF")</f>
        <v>PDF</v>
      </c>
      <c r="K918" s="12" t="s">
        <v>34393</v>
      </c>
      <c r="L918" s="36">
        <v>0.75054704595185995</v>
      </c>
    </row>
    <row r="919" spans="1:12" x14ac:dyDescent="0.45">
      <c r="A919" s="12" t="s">
        <v>33976</v>
      </c>
      <c r="B919" s="12" t="s">
        <v>2266</v>
      </c>
      <c r="C919" s="13" t="s">
        <v>2267</v>
      </c>
      <c r="D919" s="13" t="s">
        <v>179</v>
      </c>
      <c r="E919" s="12" t="s">
        <v>16</v>
      </c>
      <c r="F919" s="14">
        <v>190000</v>
      </c>
      <c r="G919" s="14">
        <v>117500</v>
      </c>
      <c r="H919" s="13" t="s">
        <v>34394</v>
      </c>
      <c r="I919" s="40" t="s">
        <v>18</v>
      </c>
      <c r="J919" s="40" t="str">
        <f>HYPERLINK("https://stock.pstatic.net/stock-research/company/64/20260730_company_416213000.pdf","PDF")</f>
        <v>PDF</v>
      </c>
      <c r="K919" s="12" t="s">
        <v>34395</v>
      </c>
      <c r="L919" s="36">
        <v>0.61702127659574468</v>
      </c>
    </row>
    <row r="920" spans="1:12" x14ac:dyDescent="0.45">
      <c r="A920" s="12" t="s">
        <v>33976</v>
      </c>
      <c r="B920" s="12" t="s">
        <v>450</v>
      </c>
      <c r="C920" s="13" t="s">
        <v>451</v>
      </c>
      <c r="D920" s="13" t="s">
        <v>23</v>
      </c>
      <c r="E920" s="12" t="s">
        <v>16</v>
      </c>
      <c r="F920" s="14">
        <v>335000</v>
      </c>
      <c r="G920" s="14">
        <v>263000</v>
      </c>
      <c r="H920" s="13" t="s">
        <v>34396</v>
      </c>
      <c r="I920" s="40" t="s">
        <v>18</v>
      </c>
      <c r="J920" s="40" t="str">
        <f>HYPERLINK("https://stock.pstatic.net/stock-research/company/21/20260730_company_945418000.pdf","PDF")</f>
        <v>PDF</v>
      </c>
      <c r="K920" s="12" t="s">
        <v>34397</v>
      </c>
      <c r="L920" s="36">
        <v>0.27376425855513309</v>
      </c>
    </row>
    <row r="921" spans="1:12" x14ac:dyDescent="0.45">
      <c r="A921" s="12" t="s">
        <v>33976</v>
      </c>
      <c r="B921" s="12" t="s">
        <v>334</v>
      </c>
      <c r="C921" s="13" t="s">
        <v>335</v>
      </c>
      <c r="D921" s="13" t="s">
        <v>53</v>
      </c>
      <c r="E921" s="12" t="s">
        <v>16</v>
      </c>
      <c r="F921" s="14">
        <v>4000000</v>
      </c>
      <c r="G921" s="14">
        <v>1401000</v>
      </c>
      <c r="H921" s="13" t="s">
        <v>34398</v>
      </c>
      <c r="I921" s="40" t="s">
        <v>18</v>
      </c>
      <c r="J921" s="40" t="str">
        <f>HYPERLINK("https://stock.pstatic.net/stock-research/company/40/20260730_company_74724000.pdf","PDF")</f>
        <v>PDF</v>
      </c>
      <c r="K921" s="12" t="s">
        <v>34399</v>
      </c>
      <c r="L921" s="36">
        <v>1.8551034975017839</v>
      </c>
    </row>
    <row r="922" spans="1:12" x14ac:dyDescent="0.45">
      <c r="A922" s="12" t="s">
        <v>33976</v>
      </c>
      <c r="B922" s="12" t="s">
        <v>2492</v>
      </c>
      <c r="C922" s="13" t="s">
        <v>2493</v>
      </c>
      <c r="D922" s="13" t="s">
        <v>179</v>
      </c>
      <c r="E922" s="12" t="s">
        <v>16</v>
      </c>
      <c r="F922" s="14">
        <v>640000</v>
      </c>
      <c r="G922" s="14">
        <v>335000</v>
      </c>
      <c r="H922" s="13" t="s">
        <v>34400</v>
      </c>
      <c r="I922" s="40" t="s">
        <v>18</v>
      </c>
      <c r="J922" s="40" t="str">
        <f>HYPERLINK("https://stock.pstatic.net/stock-research/company/64/20260730_company_704094000.pdf","PDF")</f>
        <v>PDF</v>
      </c>
      <c r="K922" s="12" t="s">
        <v>34401</v>
      </c>
      <c r="L922" s="36">
        <v>0.91044776119402981</v>
      </c>
    </row>
    <row r="923" spans="1:12" x14ac:dyDescent="0.45">
      <c r="A923" s="12" t="s">
        <v>33976</v>
      </c>
      <c r="B923" s="12" t="s">
        <v>2956</v>
      </c>
      <c r="C923" s="13" t="s">
        <v>2957</v>
      </c>
      <c r="D923" s="13" t="s">
        <v>44</v>
      </c>
      <c r="E923" s="12" t="s">
        <v>35</v>
      </c>
      <c r="F923" s="14">
        <v>43000</v>
      </c>
      <c r="G923" s="14">
        <v>22200</v>
      </c>
      <c r="H923" s="13" t="s">
        <v>34402</v>
      </c>
      <c r="I923" s="40" t="s">
        <v>18</v>
      </c>
      <c r="J923" s="40" t="str">
        <f>HYPERLINK("https://stock.pstatic.net/stock-research/company/39/20260730_company_519309000.pdf","PDF")</f>
        <v>PDF</v>
      </c>
      <c r="K923" s="12" t="s">
        <v>34403</v>
      </c>
      <c r="L923" s="36">
        <v>0.93693693693693691</v>
      </c>
    </row>
    <row r="924" spans="1:12" x14ac:dyDescent="0.45">
      <c r="A924" s="12" t="s">
        <v>33976</v>
      </c>
      <c r="B924" s="12" t="s">
        <v>2522</v>
      </c>
      <c r="C924" s="13" t="s">
        <v>2523</v>
      </c>
      <c r="D924" s="13" t="s">
        <v>23</v>
      </c>
      <c r="E924" s="12" t="s">
        <v>16</v>
      </c>
      <c r="F924" s="14">
        <v>300000</v>
      </c>
      <c r="G924" s="14">
        <v>244000</v>
      </c>
      <c r="H924" s="13" t="s">
        <v>34404</v>
      </c>
      <c r="I924" s="40" t="s">
        <v>18</v>
      </c>
      <c r="J924" s="40" t="str">
        <f>HYPERLINK("https://stock.pstatic.net/stock-research/company/21/20260730_company_771452000.pdf","PDF")</f>
        <v>PDF</v>
      </c>
      <c r="K924" s="12" t="s">
        <v>34405</v>
      </c>
      <c r="L924" s="36">
        <v>0.22950819672131151</v>
      </c>
    </row>
    <row r="925" spans="1:12" x14ac:dyDescent="0.45">
      <c r="A925" s="12" t="s">
        <v>33976</v>
      </c>
      <c r="B925" s="12" t="s">
        <v>489</v>
      </c>
      <c r="C925" s="13" t="s">
        <v>490</v>
      </c>
      <c r="D925" s="13" t="s">
        <v>44</v>
      </c>
      <c r="E925" s="12" t="s">
        <v>35</v>
      </c>
      <c r="F925" s="14">
        <v>80000</v>
      </c>
      <c r="G925" s="14">
        <v>40150</v>
      </c>
      <c r="H925" s="13" t="s">
        <v>34406</v>
      </c>
      <c r="I925" s="40" t="s">
        <v>18</v>
      </c>
      <c r="J925" s="40" t="str">
        <f>HYPERLINK("https://stock.pstatic.net/stock-research/company/39/20260730_company_805655000.pdf","PDF")</f>
        <v>PDF</v>
      </c>
      <c r="K925" s="12" t="s">
        <v>34407</v>
      </c>
      <c r="L925" s="36">
        <v>0.99252801992528017</v>
      </c>
    </row>
    <row r="926" spans="1:12" x14ac:dyDescent="0.45">
      <c r="A926" s="12" t="s">
        <v>33976</v>
      </c>
      <c r="B926" s="12" t="s">
        <v>330</v>
      </c>
      <c r="C926" s="13" t="s">
        <v>331</v>
      </c>
      <c r="D926" s="13" t="s">
        <v>23</v>
      </c>
      <c r="E926" s="12" t="s">
        <v>16</v>
      </c>
      <c r="F926" s="14">
        <v>40000</v>
      </c>
      <c r="G926" s="14">
        <v>22850</v>
      </c>
      <c r="H926" s="13" t="s">
        <v>34408</v>
      </c>
      <c r="I926" s="40" t="s">
        <v>18</v>
      </c>
      <c r="J926" s="40" t="str">
        <f>HYPERLINK("https://stock.pstatic.net/stock-research/company/21/20260730_company_834755000.pdf","PDF")</f>
        <v>PDF</v>
      </c>
      <c r="K926" s="12" t="s">
        <v>34409</v>
      </c>
      <c r="L926" s="36">
        <v>0.75054704595185995</v>
      </c>
    </row>
    <row r="927" spans="1:12" x14ac:dyDescent="0.45">
      <c r="A927" s="12" t="s">
        <v>33976</v>
      </c>
      <c r="B927" s="12" t="s">
        <v>2522</v>
      </c>
      <c r="C927" s="13" t="s">
        <v>2523</v>
      </c>
      <c r="D927" s="13" t="s">
        <v>44</v>
      </c>
      <c r="E927" s="12" t="s">
        <v>45</v>
      </c>
      <c r="F927" s="14">
        <v>290000</v>
      </c>
      <c r="G927" s="14">
        <v>244000</v>
      </c>
      <c r="H927" s="13" t="s">
        <v>34410</v>
      </c>
      <c r="I927" s="40" t="s">
        <v>18</v>
      </c>
      <c r="J927" s="40" t="str">
        <f>HYPERLINK("https://stock.pstatic.net/stock-research/company/39/20260730_company_707851000.pdf","PDF")</f>
        <v>PDF</v>
      </c>
      <c r="K927" s="12" t="s">
        <v>34411</v>
      </c>
      <c r="L927" s="36">
        <v>0.18852459016393441</v>
      </c>
    </row>
    <row r="928" spans="1:12" x14ac:dyDescent="0.45">
      <c r="A928" s="12" t="s">
        <v>33976</v>
      </c>
      <c r="B928" s="12" t="s">
        <v>72</v>
      </c>
      <c r="C928" s="13" t="s">
        <v>73</v>
      </c>
      <c r="D928" s="13" t="s">
        <v>23</v>
      </c>
      <c r="E928" s="12" t="s">
        <v>16</v>
      </c>
      <c r="F928" s="14">
        <v>420000</v>
      </c>
      <c r="G928" s="14">
        <v>285500</v>
      </c>
      <c r="H928" s="13" t="s">
        <v>34412</v>
      </c>
      <c r="I928" s="40" t="s">
        <v>18</v>
      </c>
      <c r="J928" s="40" t="str">
        <f>HYPERLINK("https://stock.pstatic.net/stock-research/company/21/20260730_company_210415000.pdf","PDF")</f>
        <v>PDF</v>
      </c>
      <c r="K928" s="12" t="s">
        <v>34413</v>
      </c>
      <c r="L928" s="36">
        <v>0.47110332749562173</v>
      </c>
    </row>
    <row r="929" spans="1:12" x14ac:dyDescent="0.45">
      <c r="A929" s="12" t="s">
        <v>33976</v>
      </c>
      <c r="B929" s="12" t="s">
        <v>2435</v>
      </c>
      <c r="C929" s="13" t="s">
        <v>2436</v>
      </c>
      <c r="D929" s="13" t="s">
        <v>44</v>
      </c>
      <c r="E929" s="12" t="s">
        <v>35</v>
      </c>
      <c r="F929" s="14">
        <v>880000</v>
      </c>
      <c r="G929" s="14">
        <v>434000</v>
      </c>
      <c r="H929" s="13" t="s">
        <v>34414</v>
      </c>
      <c r="I929" s="40" t="s">
        <v>18</v>
      </c>
      <c r="J929" s="40" t="str">
        <f>HYPERLINK("https://stock.pstatic.net/stock-research/company/39/20260730_company_635105000.pdf","PDF")</f>
        <v>PDF</v>
      </c>
      <c r="K929" s="12" t="s">
        <v>34415</v>
      </c>
      <c r="L929" s="36">
        <v>1.027649769585254</v>
      </c>
    </row>
    <row r="930" spans="1:12" x14ac:dyDescent="0.45">
      <c r="A930" s="12" t="s">
        <v>33976</v>
      </c>
      <c r="B930" s="12" t="s">
        <v>1552</v>
      </c>
      <c r="C930" s="13" t="s">
        <v>1553</v>
      </c>
      <c r="D930" s="13" t="s">
        <v>44</v>
      </c>
      <c r="E930" s="12" t="s">
        <v>35</v>
      </c>
      <c r="F930" s="14">
        <v>214000</v>
      </c>
      <c r="G930" s="14">
        <v>118300</v>
      </c>
      <c r="H930" s="13" t="s">
        <v>34416</v>
      </c>
      <c r="I930" s="40" t="s">
        <v>18</v>
      </c>
      <c r="J930" s="40" t="str">
        <f>HYPERLINK("https://stock.pstatic.net/stock-research/company/39/20260730_company_83030000.pdf","PDF")</f>
        <v>PDF</v>
      </c>
      <c r="K930" s="12" t="s">
        <v>34417</v>
      </c>
      <c r="L930" s="36">
        <v>0.80896027049873209</v>
      </c>
    </row>
    <row r="931" spans="1:12" x14ac:dyDescent="0.45">
      <c r="A931" s="12" t="s">
        <v>33976</v>
      </c>
      <c r="B931" s="12" t="s">
        <v>2777</v>
      </c>
      <c r="C931" s="13" t="s">
        <v>2778</v>
      </c>
      <c r="D931" s="13" t="s">
        <v>44</v>
      </c>
      <c r="E931" s="12" t="s">
        <v>34418</v>
      </c>
      <c r="F931" s="14">
        <v>300000</v>
      </c>
      <c r="G931" s="14">
        <v>338000</v>
      </c>
      <c r="H931" s="13" t="s">
        <v>34419</v>
      </c>
      <c r="I931" s="40" t="s">
        <v>18</v>
      </c>
      <c r="J931" s="40" t="str">
        <f>HYPERLINK("https://stock.pstatic.net/stock-research/company/39/20260730_company_12832000.pdf","PDF")</f>
        <v>PDF</v>
      </c>
      <c r="K931" s="12" t="s">
        <v>34420</v>
      </c>
      <c r="L931" s="36">
        <v>-0.1124260355029586</v>
      </c>
    </row>
    <row r="932" spans="1:12" x14ac:dyDescent="0.45">
      <c r="A932" s="12" t="s">
        <v>33976</v>
      </c>
      <c r="B932" s="12" t="s">
        <v>2266</v>
      </c>
      <c r="C932" s="13" t="s">
        <v>2267</v>
      </c>
      <c r="D932" s="13" t="s">
        <v>23</v>
      </c>
      <c r="E932" s="12" t="s">
        <v>16</v>
      </c>
      <c r="F932" s="14">
        <v>140000</v>
      </c>
      <c r="G932" s="14">
        <v>117500</v>
      </c>
      <c r="H932" s="13" t="s">
        <v>34421</v>
      </c>
      <c r="I932" s="40" t="s">
        <v>18</v>
      </c>
      <c r="J932" s="40" t="str">
        <f>HYPERLINK("https://stock.pstatic.net/stock-research/company/21/20260730_company_767121000.pdf","PDF")</f>
        <v>PDF</v>
      </c>
      <c r="K932" s="12" t="s">
        <v>34422</v>
      </c>
      <c r="L932" s="36">
        <v>0.19148936170212769</v>
      </c>
    </row>
    <row r="933" spans="1:12" x14ac:dyDescent="0.45">
      <c r="A933" s="12" t="s">
        <v>33976</v>
      </c>
      <c r="B933" s="12" t="s">
        <v>334</v>
      </c>
      <c r="C933" s="13" t="s">
        <v>335</v>
      </c>
      <c r="D933" s="13" t="s">
        <v>44</v>
      </c>
      <c r="E933" s="12" t="s">
        <v>35</v>
      </c>
      <c r="F933" s="14">
        <v>2200000</v>
      </c>
      <c r="G933" s="14">
        <v>1401000</v>
      </c>
      <c r="H933" s="13" t="s">
        <v>34423</v>
      </c>
      <c r="I933" s="40" t="s">
        <v>18</v>
      </c>
      <c r="J933" s="40" t="str">
        <f>HYPERLINK("https://stock.pstatic.net/stock-research/company/39/20260730_company_366188000.pdf","PDF")</f>
        <v>PDF</v>
      </c>
      <c r="K933" s="12" t="s">
        <v>34424</v>
      </c>
      <c r="L933" s="36">
        <v>0.57030692362598145</v>
      </c>
    </row>
    <row r="934" spans="1:12" x14ac:dyDescent="0.45">
      <c r="A934" s="12" t="s">
        <v>33976</v>
      </c>
      <c r="B934" s="12" t="s">
        <v>545</v>
      </c>
      <c r="C934" s="13" t="s">
        <v>546</v>
      </c>
      <c r="D934" s="13" t="s">
        <v>44</v>
      </c>
      <c r="E934" s="12" t="s">
        <v>35</v>
      </c>
      <c r="F934" s="14">
        <v>440000</v>
      </c>
      <c r="G934" s="14">
        <v>233500</v>
      </c>
      <c r="H934" s="13" t="s">
        <v>34425</v>
      </c>
      <c r="I934" s="40" t="s">
        <v>18</v>
      </c>
      <c r="J934" s="40" t="str">
        <f>HYPERLINK("https://stock.pstatic.net/stock-research/company/39/20260730_company_309729000.pdf","PDF")</f>
        <v>PDF</v>
      </c>
      <c r="K934" s="12" t="s">
        <v>34426</v>
      </c>
      <c r="L934" s="36">
        <v>0.88436830835117775</v>
      </c>
    </row>
    <row r="935" spans="1:12" x14ac:dyDescent="0.45">
      <c r="A935" s="12" t="s">
        <v>33976</v>
      </c>
      <c r="B935" s="12" t="s">
        <v>3093</v>
      </c>
      <c r="C935" s="13" t="s">
        <v>3094</v>
      </c>
      <c r="D935" s="13" t="s">
        <v>23</v>
      </c>
      <c r="E935" s="12" t="s">
        <v>16</v>
      </c>
      <c r="F935" s="14">
        <v>7600</v>
      </c>
      <c r="G935" s="14">
        <v>4990</v>
      </c>
      <c r="H935" s="13" t="s">
        <v>34427</v>
      </c>
      <c r="I935" s="40" t="s">
        <v>18</v>
      </c>
      <c r="J935" s="40" t="str">
        <f>HYPERLINK("https://stock.pstatic.net/stock-research/company/21/20260730_company_570307000.pdf","PDF")</f>
        <v>PDF</v>
      </c>
      <c r="K935" s="12" t="s">
        <v>34428</v>
      </c>
      <c r="L935" s="36">
        <v>0.5230460921843687</v>
      </c>
    </row>
    <row r="936" spans="1:12" x14ac:dyDescent="0.45">
      <c r="A936" s="12" t="s">
        <v>33976</v>
      </c>
      <c r="B936" s="12" t="s">
        <v>1936</v>
      </c>
      <c r="C936" s="13" t="s">
        <v>1937</v>
      </c>
      <c r="D936" s="13" t="s">
        <v>23</v>
      </c>
      <c r="E936" s="12" t="s">
        <v>16</v>
      </c>
      <c r="F936" s="14">
        <v>10000</v>
      </c>
      <c r="G936" s="14">
        <v>6460</v>
      </c>
      <c r="H936" s="13" t="s">
        <v>34429</v>
      </c>
      <c r="I936" s="40" t="s">
        <v>18</v>
      </c>
      <c r="J936" s="40" t="str">
        <f>HYPERLINK("https://stock.pstatic.net/stock-research/company/21/20260730_company_26388000.pdf","PDF")</f>
        <v>PDF</v>
      </c>
      <c r="K936" s="12" t="s">
        <v>34430</v>
      </c>
      <c r="L936" s="36">
        <v>0.54798761609907121</v>
      </c>
    </row>
    <row r="937" spans="1:12" x14ac:dyDescent="0.45">
      <c r="A937" s="12" t="s">
        <v>33976</v>
      </c>
      <c r="B937" s="12" t="s">
        <v>21076</v>
      </c>
      <c r="C937" s="13" t="s">
        <v>21077</v>
      </c>
      <c r="D937" s="13" t="s">
        <v>44</v>
      </c>
      <c r="E937" s="12" t="s">
        <v>50</v>
      </c>
      <c r="F937" s="13"/>
      <c r="G937" s="14">
        <v>4965</v>
      </c>
      <c r="H937" s="13" t="s">
        <v>34431</v>
      </c>
      <c r="I937" s="40" t="s">
        <v>18</v>
      </c>
      <c r="J937" s="40" t="str">
        <f>HYPERLINK("https://stock.pstatic.net/stock-research/company/39/20260730_company_900200000.pdf","PDF")</f>
        <v>PDF</v>
      </c>
      <c r="K937" s="12" t="s">
        <v>34432</v>
      </c>
      <c r="L937" s="12"/>
    </row>
    <row r="938" spans="1:12" x14ac:dyDescent="0.45">
      <c r="A938" s="12" t="s">
        <v>33976</v>
      </c>
      <c r="B938" s="12" t="s">
        <v>72</v>
      </c>
      <c r="C938" s="13" t="s">
        <v>73</v>
      </c>
      <c r="D938" s="13" t="s">
        <v>179</v>
      </c>
      <c r="E938" s="12" t="s">
        <v>16</v>
      </c>
      <c r="F938" s="14">
        <v>450000</v>
      </c>
      <c r="G938" s="14">
        <v>285500</v>
      </c>
      <c r="H938" s="13" t="s">
        <v>34433</v>
      </c>
      <c r="I938" s="40" t="s">
        <v>18</v>
      </c>
      <c r="J938" s="40" t="str">
        <f>HYPERLINK("https://stock.pstatic.net/stock-research/company/64/20260730_company_185598000.pdf","PDF")</f>
        <v>PDF</v>
      </c>
      <c r="K938" s="12" t="s">
        <v>34434</v>
      </c>
      <c r="L938" s="36">
        <v>0.57618213660245188</v>
      </c>
    </row>
    <row r="939" spans="1:12" x14ac:dyDescent="0.45">
      <c r="A939" s="12" t="s">
        <v>33976</v>
      </c>
      <c r="B939" s="12" t="s">
        <v>330</v>
      </c>
      <c r="C939" s="13" t="s">
        <v>331</v>
      </c>
      <c r="D939" s="13" t="s">
        <v>44</v>
      </c>
      <c r="E939" s="12" t="s">
        <v>35</v>
      </c>
      <c r="F939" s="14">
        <v>60000</v>
      </c>
      <c r="G939" s="14">
        <v>22850</v>
      </c>
      <c r="H939" s="13" t="s">
        <v>34435</v>
      </c>
      <c r="I939" s="40" t="s">
        <v>18</v>
      </c>
      <c r="J939" s="40" t="str">
        <f>HYPERLINK("https://stock.pstatic.net/stock-research/company/39/20260730_company_370325000.pdf","PDF")</f>
        <v>PDF</v>
      </c>
      <c r="K939" s="12" t="s">
        <v>34436</v>
      </c>
      <c r="L939" s="36">
        <v>1.62582056892779</v>
      </c>
    </row>
    <row r="940" spans="1:12" x14ac:dyDescent="0.45">
      <c r="A940" s="12" t="s">
        <v>33976</v>
      </c>
      <c r="B940" s="12" t="s">
        <v>3296</v>
      </c>
      <c r="C940" s="13" t="s">
        <v>3297</v>
      </c>
      <c r="D940" s="13" t="s">
        <v>44</v>
      </c>
      <c r="E940" s="12" t="s">
        <v>35</v>
      </c>
      <c r="F940" s="14">
        <v>51000</v>
      </c>
      <c r="G940" s="14">
        <v>36000</v>
      </c>
      <c r="H940" s="13" t="s">
        <v>33977</v>
      </c>
      <c r="I940" s="40" t="s">
        <v>18</v>
      </c>
      <c r="J940" s="40" t="str">
        <f>HYPERLINK("https://stock.pstatic.net/stock-research/company/39/20260730_company_26755000.pdf","PDF")</f>
        <v>PDF</v>
      </c>
      <c r="K940" s="12" t="s">
        <v>33978</v>
      </c>
      <c r="L940" s="36">
        <v>0.41666666666666669</v>
      </c>
    </row>
    <row r="941" spans="1:12" x14ac:dyDescent="0.45">
      <c r="A941" s="12" t="s">
        <v>33976</v>
      </c>
      <c r="B941" s="12" t="s">
        <v>856</v>
      </c>
      <c r="C941" s="13" t="s">
        <v>857</v>
      </c>
      <c r="D941" s="13" t="s">
        <v>44</v>
      </c>
      <c r="E941" s="12" t="s">
        <v>35</v>
      </c>
      <c r="F941" s="14">
        <v>170000</v>
      </c>
      <c r="G941" s="14">
        <v>122100</v>
      </c>
      <c r="H941" s="13" t="s">
        <v>33979</v>
      </c>
      <c r="I941" s="40" t="s">
        <v>18</v>
      </c>
      <c r="J941" s="40" t="str">
        <f>HYPERLINK("https://stock.pstatic.net/stock-research/company/39/20260730_company_125947000.pdf","PDF")</f>
        <v>PDF</v>
      </c>
      <c r="K941" s="12" t="s">
        <v>33980</v>
      </c>
      <c r="L941" s="36">
        <v>0.39230139230139233</v>
      </c>
    </row>
    <row r="942" spans="1:12" x14ac:dyDescent="0.45">
      <c r="A942" s="12" t="s">
        <v>33976</v>
      </c>
      <c r="B942" s="12" t="s">
        <v>334</v>
      </c>
      <c r="C942" s="13" t="s">
        <v>335</v>
      </c>
      <c r="D942" s="13" t="s">
        <v>179</v>
      </c>
      <c r="E942" s="12" t="s">
        <v>16</v>
      </c>
      <c r="F942" s="14">
        <v>4000000</v>
      </c>
      <c r="G942" s="14">
        <v>1401000</v>
      </c>
      <c r="H942" s="13" t="s">
        <v>33981</v>
      </c>
      <c r="I942" s="40" t="s">
        <v>18</v>
      </c>
      <c r="J942" s="40" t="str">
        <f>HYPERLINK("https://stock.pstatic.net/stock-research/company/64/20260730_company_246061000.pdf","PDF")</f>
        <v>PDF</v>
      </c>
      <c r="K942" s="12" t="s">
        <v>33982</v>
      </c>
      <c r="L942" s="36">
        <v>1.8551034975017839</v>
      </c>
    </row>
    <row r="943" spans="1:12" x14ac:dyDescent="0.45">
      <c r="A943" s="12" t="s">
        <v>33976</v>
      </c>
      <c r="B943" s="12" t="s">
        <v>2956</v>
      </c>
      <c r="C943" s="13" t="s">
        <v>2957</v>
      </c>
      <c r="D943" s="13" t="s">
        <v>23</v>
      </c>
      <c r="E943" s="12" t="s">
        <v>16</v>
      </c>
      <c r="F943" s="14">
        <v>38000</v>
      </c>
      <c r="G943" s="14">
        <v>22200</v>
      </c>
      <c r="H943" s="13" t="s">
        <v>33983</v>
      </c>
      <c r="I943" s="40" t="s">
        <v>18</v>
      </c>
      <c r="J943" s="40" t="str">
        <f>HYPERLINK("https://stock.pstatic.net/stock-research/company/21/20260730_company_631308000.pdf","PDF")</f>
        <v>PDF</v>
      </c>
      <c r="K943" s="12" t="s">
        <v>33984</v>
      </c>
      <c r="L943" s="36">
        <v>0.71171171171171166</v>
      </c>
    </row>
    <row r="944" spans="1:12" x14ac:dyDescent="0.45">
      <c r="A944" s="12" t="s">
        <v>33976</v>
      </c>
      <c r="B944" s="12" t="s">
        <v>2522</v>
      </c>
      <c r="C944" s="13" t="s">
        <v>2523</v>
      </c>
      <c r="D944" s="13" t="s">
        <v>1271</v>
      </c>
      <c r="E944" s="12" t="s">
        <v>35</v>
      </c>
      <c r="F944" s="14">
        <v>320000</v>
      </c>
      <c r="G944" s="14">
        <v>234500</v>
      </c>
      <c r="H944" s="13" t="s">
        <v>33985</v>
      </c>
      <c r="I944" s="40" t="s">
        <v>18</v>
      </c>
      <c r="J944" s="40" t="str">
        <f>HYPERLINK("https://stock.pstatic.net/stock-research/company/78/20260730_company_449679000.pdf","PDF")</f>
        <v>PDF</v>
      </c>
      <c r="K944" s="12" t="s">
        <v>33986</v>
      </c>
      <c r="L944" s="36">
        <v>0.3646055437100213</v>
      </c>
    </row>
    <row r="945" spans="1:12" x14ac:dyDescent="0.45">
      <c r="A945" s="12" t="s">
        <v>33976</v>
      </c>
      <c r="B945" s="12" t="s">
        <v>1648</v>
      </c>
      <c r="C945" s="13" t="s">
        <v>1649</v>
      </c>
      <c r="D945" s="13" t="s">
        <v>1271</v>
      </c>
      <c r="E945" s="12" t="s">
        <v>35</v>
      </c>
      <c r="F945" s="14">
        <v>114000</v>
      </c>
      <c r="G945" s="14">
        <v>77500</v>
      </c>
      <c r="H945" s="13" t="s">
        <v>33987</v>
      </c>
      <c r="I945" s="40" t="s">
        <v>18</v>
      </c>
      <c r="J945" s="40" t="str">
        <f>HYPERLINK("https://stock.pstatic.net/stock-research/company/78/20260730_company_231000000.pdf","PDF")</f>
        <v>PDF</v>
      </c>
      <c r="K945" s="12" t="s">
        <v>33988</v>
      </c>
      <c r="L945" s="36">
        <v>0.47096774193548391</v>
      </c>
    </row>
    <row r="946" spans="1:12" x14ac:dyDescent="0.45">
      <c r="A946" s="12" t="s">
        <v>33976</v>
      </c>
      <c r="B946" s="12" t="s">
        <v>888</v>
      </c>
      <c r="C946" s="13" t="s">
        <v>889</v>
      </c>
      <c r="D946" s="13" t="s">
        <v>1271</v>
      </c>
      <c r="E946" s="12" t="s">
        <v>35</v>
      </c>
      <c r="F946" s="14">
        <v>80000</v>
      </c>
      <c r="G946" s="14">
        <v>59200</v>
      </c>
      <c r="H946" s="13" t="s">
        <v>33989</v>
      </c>
      <c r="I946" s="40" t="s">
        <v>18</v>
      </c>
      <c r="J946" s="40" t="str">
        <f>HYPERLINK("https://stock.pstatic.net/stock-research/company/78/20260730_company_566516000.pdf","PDF")</f>
        <v>PDF</v>
      </c>
      <c r="K946" s="12" t="s">
        <v>33990</v>
      </c>
      <c r="L946" s="36">
        <v>0.35135135135135143</v>
      </c>
    </row>
    <row r="947" spans="1:12" x14ac:dyDescent="0.45">
      <c r="A947" s="12" t="s">
        <v>33976</v>
      </c>
      <c r="B947" s="12" t="s">
        <v>1666</v>
      </c>
      <c r="C947" s="13" t="s">
        <v>1667</v>
      </c>
      <c r="D947" s="13" t="s">
        <v>1271</v>
      </c>
      <c r="E947" s="12" t="s">
        <v>35</v>
      </c>
      <c r="F947" s="14">
        <v>49000</v>
      </c>
      <c r="G947" s="14">
        <v>35000</v>
      </c>
      <c r="H947" s="13" t="s">
        <v>33991</v>
      </c>
      <c r="I947" s="40" t="s">
        <v>18</v>
      </c>
      <c r="J947" s="40" t="str">
        <f>HYPERLINK("https://stock.pstatic.net/stock-research/company/78/20260730_company_535524000.pdf","PDF")</f>
        <v>PDF</v>
      </c>
      <c r="K947" s="12" t="s">
        <v>33992</v>
      </c>
      <c r="L947" s="36">
        <v>0.4</v>
      </c>
    </row>
    <row r="948" spans="1:12" x14ac:dyDescent="0.45">
      <c r="A948" s="12" t="s">
        <v>33976</v>
      </c>
      <c r="B948" s="12" t="s">
        <v>1670</v>
      </c>
      <c r="C948" s="13" t="s">
        <v>1671</v>
      </c>
      <c r="D948" s="13" t="s">
        <v>1271</v>
      </c>
      <c r="E948" s="12" t="s">
        <v>35</v>
      </c>
      <c r="F948" s="14">
        <v>175000</v>
      </c>
      <c r="G948" s="14">
        <v>117000</v>
      </c>
      <c r="H948" s="13" t="s">
        <v>33993</v>
      </c>
      <c r="I948" s="40" t="s">
        <v>18</v>
      </c>
      <c r="J948" s="40" t="str">
        <f>HYPERLINK("https://stock.pstatic.net/stock-research/company/78/20260730_company_57231000.pdf","PDF")</f>
        <v>PDF</v>
      </c>
      <c r="K948" s="12" t="s">
        <v>33994</v>
      </c>
      <c r="L948" s="36">
        <v>0.49572649572649569</v>
      </c>
    </row>
    <row r="949" spans="1:12" x14ac:dyDescent="0.45">
      <c r="A949" s="12" t="s">
        <v>33976</v>
      </c>
      <c r="B949" s="12" t="s">
        <v>541</v>
      </c>
      <c r="C949" s="13" t="s">
        <v>542</v>
      </c>
      <c r="D949" s="13" t="s">
        <v>1271</v>
      </c>
      <c r="E949" s="12" t="s">
        <v>35</v>
      </c>
      <c r="F949" s="14">
        <v>115000</v>
      </c>
      <c r="G949" s="14">
        <v>83900</v>
      </c>
      <c r="H949" s="13" t="s">
        <v>33995</v>
      </c>
      <c r="I949" s="40" t="s">
        <v>18</v>
      </c>
      <c r="J949" s="40" t="str">
        <f>HYPERLINK("https://stock.pstatic.net/stock-research/company/78/20260730_company_494249000.pdf","PDF")</f>
        <v>PDF</v>
      </c>
      <c r="K949" s="12" t="s">
        <v>33996</v>
      </c>
      <c r="L949" s="36">
        <v>0.37067938021454111</v>
      </c>
    </row>
    <row r="950" spans="1:12" x14ac:dyDescent="0.45">
      <c r="A950" s="12" t="s">
        <v>33976</v>
      </c>
      <c r="B950" s="12" t="s">
        <v>736</v>
      </c>
      <c r="C950" s="13" t="s">
        <v>737</v>
      </c>
      <c r="D950" s="13" t="s">
        <v>1271</v>
      </c>
      <c r="E950" s="12" t="s">
        <v>35</v>
      </c>
      <c r="F950" s="14">
        <v>350000</v>
      </c>
      <c r="G950" s="14">
        <v>247000</v>
      </c>
      <c r="H950" s="13" t="s">
        <v>33997</v>
      </c>
      <c r="I950" s="40" t="s">
        <v>18</v>
      </c>
      <c r="J950" s="40" t="str">
        <f>HYPERLINK("https://stock.pstatic.net/stock-research/company/78/20260730_company_80201000.pdf","PDF")</f>
        <v>PDF</v>
      </c>
      <c r="K950" s="12" t="s">
        <v>33998</v>
      </c>
      <c r="L950" s="36">
        <v>0.41700404858299589</v>
      </c>
    </row>
    <row r="951" spans="1:12" x14ac:dyDescent="0.45">
      <c r="A951" s="12" t="s">
        <v>33976</v>
      </c>
      <c r="B951" s="12" t="s">
        <v>1682</v>
      </c>
      <c r="C951" s="13" t="s">
        <v>1683</v>
      </c>
      <c r="D951" s="13" t="s">
        <v>1271</v>
      </c>
      <c r="E951" s="12" t="s">
        <v>35</v>
      </c>
      <c r="F951" s="14">
        <v>290000</v>
      </c>
      <c r="G951" s="14">
        <v>213500</v>
      </c>
      <c r="H951" s="13" t="s">
        <v>33999</v>
      </c>
      <c r="I951" s="40" t="s">
        <v>18</v>
      </c>
      <c r="J951" s="40" t="str">
        <f>HYPERLINK("https://stock.pstatic.net/stock-research/company/78/20260730_company_708516000.pdf","PDF")</f>
        <v>PDF</v>
      </c>
      <c r="K951" s="12" t="s">
        <v>34000</v>
      </c>
      <c r="L951" s="36">
        <v>0.35831381733021078</v>
      </c>
    </row>
    <row r="952" spans="1:12" x14ac:dyDescent="0.45">
      <c r="A952" s="12" t="s">
        <v>33976</v>
      </c>
      <c r="B952" s="12" t="s">
        <v>537</v>
      </c>
      <c r="C952" s="13" t="s">
        <v>538</v>
      </c>
      <c r="D952" s="13" t="s">
        <v>1271</v>
      </c>
      <c r="E952" s="12" t="s">
        <v>35</v>
      </c>
      <c r="F952" s="14">
        <v>21000</v>
      </c>
      <c r="G952" s="14">
        <v>14250</v>
      </c>
      <c r="H952" s="13" t="s">
        <v>34001</v>
      </c>
      <c r="I952" s="40" t="s">
        <v>18</v>
      </c>
      <c r="J952" s="40" t="str">
        <f>HYPERLINK("https://stock.pstatic.net/stock-research/company/78/20260730_company_351667000.pdf","PDF")</f>
        <v>PDF</v>
      </c>
      <c r="K952" s="12" t="s">
        <v>34002</v>
      </c>
      <c r="L952" s="36">
        <v>0.47368421052631582</v>
      </c>
    </row>
    <row r="953" spans="1:12" x14ac:dyDescent="0.45">
      <c r="A953" s="12" t="s">
        <v>33976</v>
      </c>
      <c r="B953" s="12" t="s">
        <v>533</v>
      </c>
      <c r="C953" s="13" t="s">
        <v>534</v>
      </c>
      <c r="D953" s="13" t="s">
        <v>1271</v>
      </c>
      <c r="E953" s="12" t="s">
        <v>35</v>
      </c>
      <c r="F953" s="14">
        <v>73000</v>
      </c>
      <c r="G953" s="14">
        <v>54500</v>
      </c>
      <c r="H953" s="13" t="s">
        <v>34003</v>
      </c>
      <c r="I953" s="40" t="s">
        <v>18</v>
      </c>
      <c r="J953" s="40" t="str">
        <f>HYPERLINK("https://stock.pstatic.net/stock-research/company/78/20260730_company_553119000.pdf","PDF")</f>
        <v>PDF</v>
      </c>
      <c r="K953" s="12" t="s">
        <v>34004</v>
      </c>
      <c r="L953" s="36">
        <v>0.33944954128440369</v>
      </c>
    </row>
    <row r="954" spans="1:12" x14ac:dyDescent="0.45">
      <c r="A954" s="12" t="s">
        <v>34005</v>
      </c>
      <c r="B954" s="12" t="s">
        <v>334</v>
      </c>
      <c r="C954" s="13" t="s">
        <v>335</v>
      </c>
      <c r="D954" s="13" t="s">
        <v>179</v>
      </c>
      <c r="E954" s="12" t="s">
        <v>50</v>
      </c>
      <c r="F954" s="13"/>
      <c r="G954" s="14">
        <v>1550000</v>
      </c>
      <c r="H954" s="13" t="s">
        <v>34006</v>
      </c>
      <c r="I954" s="40" t="s">
        <v>18</v>
      </c>
      <c r="J954" s="40" t="str">
        <f>HYPERLINK("https://stock.pstatic.net/stock-research/company/64/20260729_company_77392000.pdf","PDF")</f>
        <v>PDF</v>
      </c>
      <c r="K954" s="12" t="s">
        <v>34007</v>
      </c>
      <c r="L954" s="12"/>
    </row>
    <row r="955" spans="1:12" x14ac:dyDescent="0.45">
      <c r="A955" s="12" t="s">
        <v>34005</v>
      </c>
      <c r="B955" s="12" t="s">
        <v>2944</v>
      </c>
      <c r="C955" s="13" t="s">
        <v>2945</v>
      </c>
      <c r="D955" s="13" t="s">
        <v>57</v>
      </c>
      <c r="E955" s="12" t="s">
        <v>35</v>
      </c>
      <c r="F955" s="14">
        <v>23500</v>
      </c>
      <c r="G955" s="14">
        <v>17270</v>
      </c>
      <c r="H955" s="13" t="s">
        <v>34008</v>
      </c>
      <c r="I955" s="40" t="s">
        <v>18</v>
      </c>
      <c r="J955" s="40" t="str">
        <f>HYPERLINK("https://stock.pstatic.net/stock-research/company/16/20260729_company_669964000.pdf","PDF")</f>
        <v>PDF</v>
      </c>
      <c r="K955" s="12" t="s">
        <v>34009</v>
      </c>
      <c r="L955" s="36">
        <v>0.36074116965836711</v>
      </c>
    </row>
    <row r="956" spans="1:12" x14ac:dyDescent="0.45">
      <c r="A956" s="12" t="s">
        <v>34005</v>
      </c>
      <c r="B956" s="12" t="s">
        <v>3105</v>
      </c>
      <c r="C956" s="13" t="s">
        <v>3106</v>
      </c>
      <c r="D956" s="13" t="s">
        <v>276</v>
      </c>
      <c r="E956" s="12" t="s">
        <v>16</v>
      </c>
      <c r="F956" s="14">
        <v>350000</v>
      </c>
      <c r="G956" s="14">
        <v>188800</v>
      </c>
      <c r="H956" s="13" t="s">
        <v>34010</v>
      </c>
      <c r="I956" s="40" t="s">
        <v>18</v>
      </c>
      <c r="J956" s="40" t="str">
        <f>HYPERLINK("https://stock.pstatic.net/stock-research/company/66/20260729_company_875187000.pdf","PDF")</f>
        <v>PDF</v>
      </c>
      <c r="K956" s="12" t="s">
        <v>34011</v>
      </c>
      <c r="L956" s="36">
        <v>0.85381355932203384</v>
      </c>
    </row>
    <row r="957" spans="1:12" x14ac:dyDescent="0.45">
      <c r="A957" s="12" t="s">
        <v>34005</v>
      </c>
      <c r="B957" s="12" t="s">
        <v>2837</v>
      </c>
      <c r="C957" s="13" t="s">
        <v>2838</v>
      </c>
      <c r="D957" s="13" t="s">
        <v>276</v>
      </c>
      <c r="E957" s="12" t="s">
        <v>16</v>
      </c>
      <c r="F957" s="14">
        <v>94000</v>
      </c>
      <c r="G957" s="14">
        <v>61200</v>
      </c>
      <c r="H957" s="13" t="s">
        <v>34012</v>
      </c>
      <c r="I957" s="40" t="s">
        <v>18</v>
      </c>
      <c r="J957" s="40" t="str">
        <f>HYPERLINK("https://stock.pstatic.net/stock-research/company/66/20260729_company_747939000.pdf","PDF")</f>
        <v>PDF</v>
      </c>
      <c r="K957" s="12" t="s">
        <v>34013</v>
      </c>
      <c r="L957" s="36">
        <v>0.53594771241830064</v>
      </c>
    </row>
    <row r="958" spans="1:12" x14ac:dyDescent="0.45">
      <c r="A958" s="12" t="s">
        <v>34005</v>
      </c>
      <c r="B958" s="12" t="s">
        <v>3105</v>
      </c>
      <c r="C958" s="13" t="s">
        <v>3106</v>
      </c>
      <c r="D958" s="13" t="s">
        <v>60</v>
      </c>
      <c r="E958" s="12" t="s">
        <v>35</v>
      </c>
      <c r="F958" s="14">
        <v>320000</v>
      </c>
      <c r="G958" s="14">
        <v>188800</v>
      </c>
      <c r="H958" s="13" t="s">
        <v>34014</v>
      </c>
      <c r="I958" s="40" t="s">
        <v>18</v>
      </c>
      <c r="J958" s="40" t="str">
        <f>HYPERLINK("https://stock.pstatic.net/stock-research/company/62/20260729_company_404414000.pdf","PDF")</f>
        <v>PDF</v>
      </c>
      <c r="K958" s="12" t="s">
        <v>34015</v>
      </c>
      <c r="L958" s="36">
        <v>0.69491525423728817</v>
      </c>
    </row>
    <row r="959" spans="1:12" x14ac:dyDescent="0.45">
      <c r="A959" s="12" t="s">
        <v>34005</v>
      </c>
      <c r="B959" s="12" t="s">
        <v>2950</v>
      </c>
      <c r="C959" s="13" t="s">
        <v>2951</v>
      </c>
      <c r="D959" s="13" t="s">
        <v>60</v>
      </c>
      <c r="E959" s="12" t="s">
        <v>35</v>
      </c>
      <c r="F959" s="14">
        <v>120000</v>
      </c>
      <c r="G959" s="14">
        <v>64700</v>
      </c>
      <c r="H959" s="13" t="s">
        <v>34016</v>
      </c>
      <c r="I959" s="40" t="s">
        <v>18</v>
      </c>
      <c r="J959" s="40" t="str">
        <f>HYPERLINK("https://stock.pstatic.net/stock-research/company/62/20260729_company_733273000.pdf","PDF")</f>
        <v>PDF</v>
      </c>
      <c r="K959" s="12" t="s">
        <v>34017</v>
      </c>
      <c r="L959" s="36">
        <v>0.85471406491499224</v>
      </c>
    </row>
    <row r="960" spans="1:12" x14ac:dyDescent="0.45">
      <c r="A960" s="12" t="s">
        <v>34005</v>
      </c>
      <c r="B960" s="12" t="s">
        <v>3548</v>
      </c>
      <c r="C960" s="13" t="s">
        <v>3549</v>
      </c>
      <c r="D960" s="13" t="s">
        <v>60</v>
      </c>
      <c r="E960" s="12" t="s">
        <v>35</v>
      </c>
      <c r="F960" s="14">
        <v>80000</v>
      </c>
      <c r="G960" s="14">
        <v>53300</v>
      </c>
      <c r="H960" s="13" t="s">
        <v>34018</v>
      </c>
      <c r="I960" s="40" t="s">
        <v>18</v>
      </c>
      <c r="J960" s="40" t="str">
        <f>HYPERLINK("https://stock.pstatic.net/stock-research/company/62/20260729_company_518859000.pdf","PDF")</f>
        <v>PDF</v>
      </c>
      <c r="K960" s="12" t="s">
        <v>34019</v>
      </c>
      <c r="L960" s="36">
        <v>0.50093808630393999</v>
      </c>
    </row>
    <row r="961" spans="1:12" x14ac:dyDescent="0.45">
      <c r="A961" s="12" t="s">
        <v>34005</v>
      </c>
      <c r="B961" s="12" t="s">
        <v>3182</v>
      </c>
      <c r="C961" s="13" t="s">
        <v>3183</v>
      </c>
      <c r="D961" s="13" t="s">
        <v>60</v>
      </c>
      <c r="E961" s="12" t="s">
        <v>35</v>
      </c>
      <c r="F961" s="14">
        <v>1000000</v>
      </c>
      <c r="G961" s="14">
        <v>705000</v>
      </c>
      <c r="H961" s="13" t="s">
        <v>34020</v>
      </c>
      <c r="I961" s="40" t="s">
        <v>18</v>
      </c>
      <c r="J961" s="40" t="str">
        <f>HYPERLINK("https://stock.pstatic.net/stock-research/company/62/20260729_company_681303000.pdf","PDF")</f>
        <v>PDF</v>
      </c>
      <c r="K961" s="12" t="s">
        <v>34021</v>
      </c>
      <c r="L961" s="36">
        <v>0.41843971631205668</v>
      </c>
    </row>
    <row r="962" spans="1:12" x14ac:dyDescent="0.45">
      <c r="A962" s="12" t="s">
        <v>34005</v>
      </c>
      <c r="B962" s="12" t="s">
        <v>63</v>
      </c>
      <c r="C962" s="13" t="s">
        <v>64</v>
      </c>
      <c r="D962" s="13" t="s">
        <v>60</v>
      </c>
      <c r="E962" s="12" t="s">
        <v>35</v>
      </c>
      <c r="F962" s="14">
        <v>700000</v>
      </c>
      <c r="G962" s="14">
        <v>374500</v>
      </c>
      <c r="H962" s="13" t="s">
        <v>34022</v>
      </c>
      <c r="I962" s="40" t="s">
        <v>18</v>
      </c>
      <c r="J962" s="40" t="str">
        <f>HYPERLINK("https://stock.pstatic.net/stock-research/company/62/20260729_company_878813000.pdf","PDF")</f>
        <v>PDF</v>
      </c>
      <c r="K962" s="12" t="s">
        <v>34023</v>
      </c>
      <c r="L962" s="36">
        <v>0.86915887850467288</v>
      </c>
    </row>
    <row r="963" spans="1:12" x14ac:dyDescent="0.45">
      <c r="A963" s="12" t="s">
        <v>34005</v>
      </c>
      <c r="B963" s="12" t="s">
        <v>3105</v>
      </c>
      <c r="C963" s="13" t="s">
        <v>3106</v>
      </c>
      <c r="D963" s="13" t="s">
        <v>65</v>
      </c>
      <c r="E963" s="12" t="s">
        <v>35</v>
      </c>
      <c r="F963" s="14">
        <v>350000</v>
      </c>
      <c r="G963" s="14">
        <v>188800</v>
      </c>
      <c r="H963" s="13" t="s">
        <v>34024</v>
      </c>
      <c r="I963" s="40" t="s">
        <v>18</v>
      </c>
      <c r="J963" s="40" t="str">
        <f>HYPERLINK("https://stock.pstatic.net/stock-research/company/57/20260729_company_723373000.pdf","PDF")</f>
        <v>PDF</v>
      </c>
      <c r="K963" s="12" t="s">
        <v>34025</v>
      </c>
      <c r="L963" s="36">
        <v>0.85381355932203384</v>
      </c>
    </row>
    <row r="964" spans="1:12" x14ac:dyDescent="0.45">
      <c r="A964" s="12" t="s">
        <v>34005</v>
      </c>
      <c r="B964" s="12" t="s">
        <v>2944</v>
      </c>
      <c r="C964" s="13" t="s">
        <v>2945</v>
      </c>
      <c r="D964" s="13" t="s">
        <v>65</v>
      </c>
      <c r="E964" s="12" t="s">
        <v>35</v>
      </c>
      <c r="F964" s="14">
        <v>24500</v>
      </c>
      <c r="G964" s="14">
        <v>17270</v>
      </c>
      <c r="H964" s="13" t="s">
        <v>34026</v>
      </c>
      <c r="I964" s="40" t="s">
        <v>18</v>
      </c>
      <c r="J964" s="40" t="str">
        <f>HYPERLINK("https://stock.pstatic.net/stock-research/company/57/20260729_company_711560000.pdf","PDF")</f>
        <v>PDF</v>
      </c>
      <c r="K964" s="12" t="s">
        <v>34027</v>
      </c>
      <c r="L964" s="36">
        <v>0.41864504921829759</v>
      </c>
    </row>
    <row r="965" spans="1:12" x14ac:dyDescent="0.45">
      <c r="A965" s="12" t="s">
        <v>34005</v>
      </c>
      <c r="B965" s="12" t="s">
        <v>3308</v>
      </c>
      <c r="C965" s="13" t="s">
        <v>3309</v>
      </c>
      <c r="D965" s="13" t="s">
        <v>65</v>
      </c>
      <c r="E965" s="12" t="s">
        <v>50</v>
      </c>
      <c r="F965" s="13"/>
      <c r="G965" s="14">
        <v>2640</v>
      </c>
      <c r="H965" s="13" t="s">
        <v>34028</v>
      </c>
      <c r="I965" s="40" t="s">
        <v>18</v>
      </c>
      <c r="J965" s="40" t="str">
        <f>HYPERLINK("https://stock.pstatic.net/stock-research/company/57/20260729_company_344246000.pdf","PDF")</f>
        <v>PDF</v>
      </c>
      <c r="K965" s="12" t="s">
        <v>34029</v>
      </c>
      <c r="L965" s="12"/>
    </row>
    <row r="966" spans="1:12" x14ac:dyDescent="0.45">
      <c r="A966" s="12" t="s">
        <v>34005</v>
      </c>
      <c r="B966" s="12" t="s">
        <v>533</v>
      </c>
      <c r="C966" s="13" t="s">
        <v>534</v>
      </c>
      <c r="D966" s="13" t="s">
        <v>65</v>
      </c>
      <c r="E966" s="12" t="s">
        <v>35</v>
      </c>
      <c r="F966" s="14">
        <v>76000</v>
      </c>
      <c r="G966" s="14">
        <v>53900</v>
      </c>
      <c r="H966" s="13" t="s">
        <v>34030</v>
      </c>
      <c r="I966" s="40" t="s">
        <v>18</v>
      </c>
      <c r="J966" s="40" t="str">
        <f>HYPERLINK("https://stock.pstatic.net/stock-research/company/57/20260729_company_442306000.pdf","PDF")</f>
        <v>PDF</v>
      </c>
      <c r="K966" s="12" t="s">
        <v>34031</v>
      </c>
      <c r="L966" s="36">
        <v>0.41001855287569572</v>
      </c>
    </row>
    <row r="967" spans="1:12" x14ac:dyDescent="0.45">
      <c r="A967" s="12" t="s">
        <v>34005</v>
      </c>
      <c r="B967" s="12" t="s">
        <v>541</v>
      </c>
      <c r="C967" s="13" t="s">
        <v>542</v>
      </c>
      <c r="D967" s="13" t="s">
        <v>65</v>
      </c>
      <c r="E967" s="12" t="s">
        <v>35</v>
      </c>
      <c r="F967" s="14">
        <v>140000</v>
      </c>
      <c r="G967" s="14">
        <v>82200</v>
      </c>
      <c r="H967" s="13" t="s">
        <v>34032</v>
      </c>
      <c r="I967" s="40" t="s">
        <v>18</v>
      </c>
      <c r="J967" s="40" t="str">
        <f>HYPERLINK("https://stock.pstatic.net/stock-research/company/57/20260729_company_372283000.pdf","PDF")</f>
        <v>PDF</v>
      </c>
      <c r="K967" s="12" t="s">
        <v>34033</v>
      </c>
      <c r="L967" s="36">
        <v>0.7031630170316302</v>
      </c>
    </row>
    <row r="968" spans="1:12" x14ac:dyDescent="0.45">
      <c r="A968" s="12" t="s">
        <v>34005</v>
      </c>
      <c r="B968" s="12" t="s">
        <v>537</v>
      </c>
      <c r="C968" s="13" t="s">
        <v>538</v>
      </c>
      <c r="D968" s="13" t="s">
        <v>65</v>
      </c>
      <c r="E968" s="12" t="s">
        <v>35</v>
      </c>
      <c r="F968" s="14">
        <v>20000</v>
      </c>
      <c r="G968" s="14">
        <v>14620</v>
      </c>
      <c r="H968" s="13" t="s">
        <v>34034</v>
      </c>
      <c r="I968" s="40" t="s">
        <v>18</v>
      </c>
      <c r="J968" s="40" t="str">
        <f>HYPERLINK("https://stock.pstatic.net/stock-research/company/57/20260729_company_585740000.pdf","PDF")</f>
        <v>PDF</v>
      </c>
      <c r="K968" s="12" t="s">
        <v>34035</v>
      </c>
      <c r="L968" s="36">
        <v>0.36798905608755128</v>
      </c>
    </row>
    <row r="969" spans="1:12" x14ac:dyDescent="0.45">
      <c r="A969" s="12" t="s">
        <v>34005</v>
      </c>
      <c r="B969" s="12" t="s">
        <v>3182</v>
      </c>
      <c r="C969" s="13" t="s">
        <v>3183</v>
      </c>
      <c r="D969" s="13" t="s">
        <v>65</v>
      </c>
      <c r="E969" s="12" t="s">
        <v>35</v>
      </c>
      <c r="F969" s="14">
        <v>1440000</v>
      </c>
      <c r="G969" s="14">
        <v>705000</v>
      </c>
      <c r="H969" s="13" t="s">
        <v>34036</v>
      </c>
      <c r="I969" s="40" t="s">
        <v>18</v>
      </c>
      <c r="J969" s="40" t="str">
        <f>HYPERLINK("https://stock.pstatic.net/stock-research/company/57/20260729_company_858789000.pdf","PDF")</f>
        <v>PDF</v>
      </c>
      <c r="K969" s="12" t="s">
        <v>34037</v>
      </c>
      <c r="L969" s="36">
        <v>1.042553191489362</v>
      </c>
    </row>
    <row r="970" spans="1:12" x14ac:dyDescent="0.45">
      <c r="A970" s="12" t="s">
        <v>34005</v>
      </c>
      <c r="B970" s="12" t="s">
        <v>1087</v>
      </c>
      <c r="C970" s="13" t="s">
        <v>1088</v>
      </c>
      <c r="D970" s="13" t="s">
        <v>65</v>
      </c>
      <c r="E970" s="12" t="s">
        <v>35</v>
      </c>
      <c r="F970" s="14">
        <v>190000</v>
      </c>
      <c r="G970" s="14">
        <v>98500</v>
      </c>
      <c r="H970" s="13" t="s">
        <v>34038</v>
      </c>
      <c r="I970" s="40" t="s">
        <v>18</v>
      </c>
      <c r="J970" s="40" t="str">
        <f>HYPERLINK("https://stock.pstatic.net/stock-research/company/57/20260729_company_384080000.pdf","PDF")</f>
        <v>PDF</v>
      </c>
      <c r="K970" s="12" t="s">
        <v>34039</v>
      </c>
      <c r="L970" s="36">
        <v>0.92893401015228427</v>
      </c>
    </row>
    <row r="971" spans="1:12" x14ac:dyDescent="0.45">
      <c r="A971" s="12" t="s">
        <v>34005</v>
      </c>
      <c r="B971" s="12" t="s">
        <v>2837</v>
      </c>
      <c r="C971" s="13" t="s">
        <v>2838</v>
      </c>
      <c r="D971" s="13" t="s">
        <v>158</v>
      </c>
      <c r="E971" s="12" t="s">
        <v>35</v>
      </c>
      <c r="F971" s="14">
        <v>136000</v>
      </c>
      <c r="G971" s="14">
        <v>61200</v>
      </c>
      <c r="H971" s="13" t="s">
        <v>34040</v>
      </c>
      <c r="I971" s="40" t="s">
        <v>18</v>
      </c>
      <c r="J971" s="40" t="str">
        <f>HYPERLINK("https://stock.pstatic.net/stock-research/company/18/20260729_company_617816000.pdf","PDF")</f>
        <v>PDF</v>
      </c>
      <c r="K971" s="12" t="s">
        <v>34041</v>
      </c>
      <c r="L971" s="36">
        <v>1.2222222222222221</v>
      </c>
    </row>
    <row r="972" spans="1:12" x14ac:dyDescent="0.45">
      <c r="A972" s="12" t="s">
        <v>34005</v>
      </c>
      <c r="B972" s="12" t="s">
        <v>3492</v>
      </c>
      <c r="C972" s="13" t="s">
        <v>3493</v>
      </c>
      <c r="D972" s="13" t="s">
        <v>158</v>
      </c>
      <c r="E972" s="12" t="s">
        <v>35</v>
      </c>
      <c r="F972" s="14">
        <v>25500</v>
      </c>
      <c r="G972" s="14">
        <v>20400</v>
      </c>
      <c r="H972" s="13" t="s">
        <v>34042</v>
      </c>
      <c r="I972" s="40" t="s">
        <v>18</v>
      </c>
      <c r="J972" s="40" t="str">
        <f>HYPERLINK("https://stock.pstatic.net/stock-research/company/18/20260729_company_140772000.pdf","PDF")</f>
        <v>PDF</v>
      </c>
      <c r="K972" s="12" t="s">
        <v>34043</v>
      </c>
      <c r="L972" s="36">
        <v>0.25</v>
      </c>
    </row>
    <row r="973" spans="1:12" x14ac:dyDescent="0.45">
      <c r="A973" s="12" t="s">
        <v>34005</v>
      </c>
      <c r="B973" s="12" t="s">
        <v>3182</v>
      </c>
      <c r="C973" s="13" t="s">
        <v>3183</v>
      </c>
      <c r="D973" s="13" t="s">
        <v>158</v>
      </c>
      <c r="E973" s="12" t="s">
        <v>35</v>
      </c>
      <c r="F973" s="14">
        <v>1165000</v>
      </c>
      <c r="G973" s="14">
        <v>797000</v>
      </c>
      <c r="H973" s="13" t="s">
        <v>34044</v>
      </c>
      <c r="I973" s="40" t="s">
        <v>18</v>
      </c>
      <c r="J973" s="40" t="str">
        <f>HYPERLINK("https://stock.pstatic.net/stock-research/company/18/20260729_company_256921000.pdf","PDF")</f>
        <v>PDF</v>
      </c>
      <c r="K973" s="12" t="s">
        <v>34045</v>
      </c>
      <c r="L973" s="36">
        <v>0.4617314930991217</v>
      </c>
    </row>
    <row r="974" spans="1:12" x14ac:dyDescent="0.45">
      <c r="A974" s="12" t="s">
        <v>34005</v>
      </c>
      <c r="B974" s="12" t="s">
        <v>3168</v>
      </c>
      <c r="C974" s="13" t="s">
        <v>3169</v>
      </c>
      <c r="D974" s="13" t="s">
        <v>158</v>
      </c>
      <c r="E974" s="12" t="s">
        <v>35</v>
      </c>
      <c r="F974" s="14">
        <v>26000</v>
      </c>
      <c r="G974" s="14">
        <v>16750</v>
      </c>
      <c r="H974" s="13" t="s">
        <v>34046</v>
      </c>
      <c r="I974" s="40" t="s">
        <v>18</v>
      </c>
      <c r="J974" s="40" t="str">
        <f>HYPERLINK("https://stock.pstatic.net/stock-research/company/18/20260729_company_905757000.pdf","PDF")</f>
        <v>PDF</v>
      </c>
      <c r="K974" s="12" t="s">
        <v>34047</v>
      </c>
      <c r="L974" s="36">
        <v>0.55223880597014929</v>
      </c>
    </row>
    <row r="975" spans="1:12" x14ac:dyDescent="0.45">
      <c r="A975" s="12" t="s">
        <v>34005</v>
      </c>
      <c r="B975" s="12" t="s">
        <v>1087</v>
      </c>
      <c r="C975" s="13" t="s">
        <v>1088</v>
      </c>
      <c r="D975" s="13" t="s">
        <v>158</v>
      </c>
      <c r="E975" s="12" t="s">
        <v>35</v>
      </c>
      <c r="F975" s="14">
        <v>200000</v>
      </c>
      <c r="G975" s="14">
        <v>98500</v>
      </c>
      <c r="H975" s="13" t="s">
        <v>34048</v>
      </c>
      <c r="I975" s="40" t="s">
        <v>18</v>
      </c>
      <c r="J975" s="40" t="str">
        <f>HYPERLINK("https://stock.pstatic.net/stock-research/company/18/20260729_company_29475000.pdf","PDF")</f>
        <v>PDF</v>
      </c>
      <c r="K975" s="12" t="s">
        <v>34049</v>
      </c>
      <c r="L975" s="36">
        <v>1.030456852791878</v>
      </c>
    </row>
    <row r="976" spans="1:12" x14ac:dyDescent="0.45">
      <c r="A976" s="12" t="s">
        <v>34005</v>
      </c>
      <c r="B976" s="12" t="s">
        <v>3395</v>
      </c>
      <c r="C976" s="13" t="s">
        <v>3396</v>
      </c>
      <c r="D976" s="13" t="s">
        <v>15</v>
      </c>
      <c r="E976" s="12" t="s">
        <v>16</v>
      </c>
      <c r="F976" s="14">
        <v>52500</v>
      </c>
      <c r="G976" s="14">
        <v>24250</v>
      </c>
      <c r="H976" s="13" t="s">
        <v>34050</v>
      </c>
      <c r="I976" s="40" t="s">
        <v>18</v>
      </c>
      <c r="J976" s="40" t="str">
        <f>HYPERLINK("https://stock.pstatic.net/stock-research/company/56/20260729_company_847421000.pdf","PDF")</f>
        <v>PDF</v>
      </c>
      <c r="K976" s="12" t="s">
        <v>34051</v>
      </c>
      <c r="L976" s="36">
        <v>1.1649484536082479</v>
      </c>
    </row>
    <row r="977" spans="1:12" x14ac:dyDescent="0.45">
      <c r="A977" s="12" t="s">
        <v>34005</v>
      </c>
      <c r="B977" s="12" t="s">
        <v>1415</v>
      </c>
      <c r="C977" s="13" t="s">
        <v>1416</v>
      </c>
      <c r="D977" s="13" t="s">
        <v>23</v>
      </c>
      <c r="E977" s="12" t="s">
        <v>16</v>
      </c>
      <c r="F977" s="14">
        <v>9500</v>
      </c>
      <c r="G977" s="14">
        <v>6970</v>
      </c>
      <c r="H977" s="13" t="s">
        <v>34052</v>
      </c>
      <c r="I977" s="40" t="s">
        <v>18</v>
      </c>
      <c r="J977" s="40" t="str">
        <f>HYPERLINK("https://stock.pstatic.net/stock-research/company/21/20260729_company_762739000.pdf","PDF")</f>
        <v>PDF</v>
      </c>
      <c r="K977" s="12" t="s">
        <v>34053</v>
      </c>
      <c r="L977" s="36">
        <v>0.36298421807747488</v>
      </c>
    </row>
    <row r="978" spans="1:12" x14ac:dyDescent="0.45">
      <c r="A978" s="12" t="s">
        <v>34005</v>
      </c>
      <c r="B978" s="12" t="s">
        <v>63</v>
      </c>
      <c r="C978" s="13" t="s">
        <v>64</v>
      </c>
      <c r="D978" s="13" t="s">
        <v>15</v>
      </c>
      <c r="E978" s="12" t="s">
        <v>16</v>
      </c>
      <c r="F978" s="14">
        <v>640000</v>
      </c>
      <c r="G978" s="14">
        <v>374500</v>
      </c>
      <c r="H978" s="13" t="s">
        <v>34054</v>
      </c>
      <c r="I978" s="40" t="s">
        <v>18</v>
      </c>
      <c r="J978" s="40" t="str">
        <f>HYPERLINK("https://stock.pstatic.net/stock-research/company/56/20260729_company_754853000.pdf","PDF")</f>
        <v>PDF</v>
      </c>
      <c r="K978" s="12" t="s">
        <v>34055</v>
      </c>
      <c r="L978" s="36">
        <v>0.70894526034712946</v>
      </c>
    </row>
    <row r="979" spans="1:12" x14ac:dyDescent="0.45">
      <c r="A979" s="12" t="s">
        <v>34005</v>
      </c>
      <c r="B979" s="12" t="s">
        <v>3284</v>
      </c>
      <c r="C979" s="13" t="s">
        <v>3285</v>
      </c>
      <c r="D979" s="13" t="s">
        <v>83</v>
      </c>
      <c r="E979" s="12" t="s">
        <v>35</v>
      </c>
      <c r="F979" s="14">
        <v>139000</v>
      </c>
      <c r="G979" s="14">
        <v>88800</v>
      </c>
      <c r="H979" s="13" t="s">
        <v>34056</v>
      </c>
      <c r="I979" s="40" t="s">
        <v>18</v>
      </c>
      <c r="J979" s="40" t="str">
        <f>HYPERLINK("https://stock.pstatic.net/stock-research/company/15/20260729_company_607134000.pdf","PDF")</f>
        <v>PDF</v>
      </c>
      <c r="K979" s="12" t="s">
        <v>34057</v>
      </c>
      <c r="L979" s="36">
        <v>0.56531531531531531</v>
      </c>
    </row>
    <row r="980" spans="1:12" x14ac:dyDescent="0.45">
      <c r="A980" s="12" t="s">
        <v>34005</v>
      </c>
      <c r="B980" s="12" t="s">
        <v>1087</v>
      </c>
      <c r="C980" s="13" t="s">
        <v>1088</v>
      </c>
      <c r="D980" s="13" t="s">
        <v>83</v>
      </c>
      <c r="E980" s="12" t="s">
        <v>35</v>
      </c>
      <c r="F980" s="14">
        <v>170000</v>
      </c>
      <c r="G980" s="14">
        <v>98500</v>
      </c>
      <c r="H980" s="13" t="s">
        <v>34058</v>
      </c>
      <c r="I980" s="40" t="s">
        <v>18</v>
      </c>
      <c r="J980" s="40" t="str">
        <f>HYPERLINK("https://stock.pstatic.net/stock-research/company/15/20260729_company_73200000.pdf","PDF")</f>
        <v>PDF</v>
      </c>
      <c r="K980" s="12" t="s">
        <v>34059</v>
      </c>
      <c r="L980" s="36">
        <v>0.7258883248730964</v>
      </c>
    </row>
    <row r="981" spans="1:12" x14ac:dyDescent="0.45">
      <c r="A981" s="12" t="s">
        <v>34005</v>
      </c>
      <c r="B981" s="12" t="s">
        <v>2837</v>
      </c>
      <c r="C981" s="13" t="s">
        <v>2838</v>
      </c>
      <c r="D981" s="13" t="s">
        <v>83</v>
      </c>
      <c r="E981" s="12" t="s">
        <v>35</v>
      </c>
      <c r="F981" s="14">
        <v>103000</v>
      </c>
      <c r="G981" s="14">
        <v>61200</v>
      </c>
      <c r="H981" s="13" t="s">
        <v>34060</v>
      </c>
      <c r="I981" s="40" t="s">
        <v>18</v>
      </c>
      <c r="J981" s="40" t="str">
        <f>HYPERLINK("https://stock.pstatic.net/stock-research/company/15/20260729_company_450211000.pdf","PDF")</f>
        <v>PDF</v>
      </c>
      <c r="K981" s="12" t="s">
        <v>34061</v>
      </c>
      <c r="L981" s="36">
        <v>0.68300653594771243</v>
      </c>
    </row>
    <row r="982" spans="1:12" x14ac:dyDescent="0.45">
      <c r="A982" s="12" t="s">
        <v>34005</v>
      </c>
      <c r="B982" s="12" t="s">
        <v>3182</v>
      </c>
      <c r="C982" s="13" t="s">
        <v>3183</v>
      </c>
      <c r="D982" s="13" t="s">
        <v>83</v>
      </c>
      <c r="E982" s="12" t="s">
        <v>35</v>
      </c>
      <c r="F982" s="14">
        <v>1150000</v>
      </c>
      <c r="G982" s="14">
        <v>705000</v>
      </c>
      <c r="H982" s="13" t="s">
        <v>34062</v>
      </c>
      <c r="I982" s="40" t="s">
        <v>18</v>
      </c>
      <c r="J982" s="40" t="str">
        <f>HYPERLINK("https://stock.pstatic.net/stock-research/company/15/20260729_company_127201000.pdf","PDF")</f>
        <v>PDF</v>
      </c>
      <c r="K982" s="12" t="s">
        <v>34063</v>
      </c>
      <c r="L982" s="36">
        <v>0.63120567375886527</v>
      </c>
    </row>
    <row r="983" spans="1:12" x14ac:dyDescent="0.45">
      <c r="A983" s="12" t="s">
        <v>34005</v>
      </c>
      <c r="B983" s="12" t="s">
        <v>3182</v>
      </c>
      <c r="C983" s="13" t="s">
        <v>3183</v>
      </c>
      <c r="D983" s="13" t="s">
        <v>15</v>
      </c>
      <c r="E983" s="12" t="s">
        <v>16</v>
      </c>
      <c r="F983" s="14">
        <v>1200000</v>
      </c>
      <c r="G983" s="14">
        <v>705000</v>
      </c>
      <c r="H983" s="13" t="s">
        <v>34064</v>
      </c>
      <c r="I983" s="40" t="s">
        <v>18</v>
      </c>
      <c r="J983" s="40" t="str">
        <f>HYPERLINK("https://stock.pstatic.net/stock-research/company/56/20260729_company_771772000.pdf","PDF")</f>
        <v>PDF</v>
      </c>
      <c r="K983" s="12" t="s">
        <v>34065</v>
      </c>
      <c r="L983" s="36">
        <v>0.7021276595744681</v>
      </c>
    </row>
    <row r="984" spans="1:12" x14ac:dyDescent="0.45">
      <c r="A984" s="12" t="s">
        <v>34005</v>
      </c>
      <c r="B984" s="12" t="s">
        <v>3492</v>
      </c>
      <c r="C984" s="13" t="s">
        <v>3493</v>
      </c>
      <c r="D984" s="13" t="s">
        <v>15</v>
      </c>
      <c r="E984" s="12" t="s">
        <v>385</v>
      </c>
      <c r="F984" s="14">
        <v>22000</v>
      </c>
      <c r="G984" s="14">
        <v>20400</v>
      </c>
      <c r="H984" s="13" t="s">
        <v>34066</v>
      </c>
      <c r="I984" s="40" t="s">
        <v>18</v>
      </c>
      <c r="J984" s="40" t="str">
        <f>HYPERLINK("https://stock.pstatic.net/stock-research/company/56/20260729_company_790670000.pdf","PDF")</f>
        <v>PDF</v>
      </c>
      <c r="K984" s="12" t="s">
        <v>34067</v>
      </c>
      <c r="L984" s="36">
        <v>7.8431372549019607E-2</v>
      </c>
    </row>
    <row r="985" spans="1:12" x14ac:dyDescent="0.45">
      <c r="A985" s="12" t="s">
        <v>34005</v>
      </c>
      <c r="B985" s="12" t="s">
        <v>2944</v>
      </c>
      <c r="C985" s="13" t="s">
        <v>2945</v>
      </c>
      <c r="D985" s="13" t="s">
        <v>15</v>
      </c>
      <c r="E985" s="12" t="s">
        <v>16</v>
      </c>
      <c r="F985" s="14">
        <v>25000</v>
      </c>
      <c r="G985" s="14">
        <v>17270</v>
      </c>
      <c r="H985" s="13" t="s">
        <v>34068</v>
      </c>
      <c r="I985" s="40" t="s">
        <v>18</v>
      </c>
      <c r="J985" s="40" t="str">
        <f>HYPERLINK("https://stock.pstatic.net/stock-research/company/56/20260729_company_385306000.pdf","PDF")</f>
        <v>PDF</v>
      </c>
      <c r="K985" s="12" t="s">
        <v>34069</v>
      </c>
      <c r="L985" s="36">
        <v>0.44759698899826289</v>
      </c>
    </row>
    <row r="986" spans="1:12" x14ac:dyDescent="0.45">
      <c r="A986" s="12" t="s">
        <v>34005</v>
      </c>
      <c r="B986" s="12" t="s">
        <v>334</v>
      </c>
      <c r="C986" s="13" t="s">
        <v>335</v>
      </c>
      <c r="D986" s="13" t="s">
        <v>15</v>
      </c>
      <c r="E986" s="12" t="s">
        <v>16</v>
      </c>
      <c r="F986" s="14">
        <v>2800000</v>
      </c>
      <c r="G986" s="14">
        <v>1550000</v>
      </c>
      <c r="H986" s="13" t="s">
        <v>34070</v>
      </c>
      <c r="I986" s="40" t="s">
        <v>18</v>
      </c>
      <c r="J986" s="40" t="str">
        <f>HYPERLINK("https://stock.pstatic.net/stock-research/company/56/20260729_company_931405000.pdf","PDF")</f>
        <v>PDF</v>
      </c>
      <c r="K986" s="12" t="s">
        <v>34071</v>
      </c>
      <c r="L986" s="36">
        <v>0.80645161290322576</v>
      </c>
    </row>
    <row r="987" spans="1:12" x14ac:dyDescent="0.45">
      <c r="A987" s="12" t="s">
        <v>34005</v>
      </c>
      <c r="B987" s="12" t="s">
        <v>10321</v>
      </c>
      <c r="C987" s="13" t="s">
        <v>10322</v>
      </c>
      <c r="D987" s="13" t="s">
        <v>179</v>
      </c>
      <c r="E987" s="12" t="s">
        <v>50</v>
      </c>
      <c r="F987" s="13"/>
      <c r="G987" s="14">
        <v>6160</v>
      </c>
      <c r="H987" s="13" t="s">
        <v>34072</v>
      </c>
      <c r="I987" s="40" t="s">
        <v>18</v>
      </c>
      <c r="J987" s="40" t="str">
        <f>HYPERLINK("https://stock.pstatic.net/stock-research/company/64/20260729_company_968974000.pdf","PDF")</f>
        <v>PDF</v>
      </c>
      <c r="K987" s="12" t="s">
        <v>34073</v>
      </c>
      <c r="L987" s="12"/>
    </row>
    <row r="988" spans="1:12" x14ac:dyDescent="0.45">
      <c r="A988" s="12" t="s">
        <v>34005</v>
      </c>
      <c r="B988" s="12" t="s">
        <v>2944</v>
      </c>
      <c r="C988" s="13" t="s">
        <v>2945</v>
      </c>
      <c r="D988" s="13" t="s">
        <v>23</v>
      </c>
      <c r="E988" s="12" t="s">
        <v>16</v>
      </c>
      <c r="F988" s="14">
        <v>21000</v>
      </c>
      <c r="G988" s="14">
        <v>17270</v>
      </c>
      <c r="H988" s="13" t="s">
        <v>8242</v>
      </c>
      <c r="I988" s="40" t="s">
        <v>18</v>
      </c>
      <c r="J988" s="40" t="str">
        <f>HYPERLINK("https://stock.pstatic.net/stock-research/company/21/20260729_company_681414000.pdf","PDF")</f>
        <v>PDF</v>
      </c>
      <c r="K988" s="12" t="s">
        <v>34074</v>
      </c>
      <c r="L988" s="36">
        <v>0.21598147075854079</v>
      </c>
    </row>
    <row r="989" spans="1:12" x14ac:dyDescent="0.45">
      <c r="A989" s="12" t="s">
        <v>34005</v>
      </c>
      <c r="B989" s="12" t="s">
        <v>13</v>
      </c>
      <c r="C989" s="13" t="s">
        <v>14</v>
      </c>
      <c r="D989" s="13" t="s">
        <v>15</v>
      </c>
      <c r="E989" s="12" t="s">
        <v>16</v>
      </c>
      <c r="F989" s="14">
        <v>370000</v>
      </c>
      <c r="G989" s="14">
        <v>220000</v>
      </c>
      <c r="H989" s="13" t="s">
        <v>34075</v>
      </c>
      <c r="I989" s="40" t="s">
        <v>18</v>
      </c>
      <c r="J989" s="40" t="str">
        <f>HYPERLINK("https://stock.pstatic.net/stock-research/company/56/20260729_company_189639000.pdf","PDF")</f>
        <v>PDF</v>
      </c>
      <c r="K989" s="12" t="s">
        <v>34076</v>
      </c>
      <c r="L989" s="36">
        <v>0.68181818181818177</v>
      </c>
    </row>
    <row r="990" spans="1:12" x14ac:dyDescent="0.45">
      <c r="A990" s="12" t="s">
        <v>34005</v>
      </c>
      <c r="B990" s="12" t="s">
        <v>2837</v>
      </c>
      <c r="C990" s="13" t="s">
        <v>2838</v>
      </c>
      <c r="D990" s="13" t="s">
        <v>23</v>
      </c>
      <c r="E990" s="12" t="s">
        <v>385</v>
      </c>
      <c r="F990" s="13"/>
      <c r="G990" s="14">
        <v>61200</v>
      </c>
      <c r="H990" s="13" t="s">
        <v>34077</v>
      </c>
      <c r="I990" s="40" t="s">
        <v>18</v>
      </c>
      <c r="J990" s="40" t="str">
        <f>HYPERLINK("https://stock.pstatic.net/stock-research/company/21/20260729_company_788099000.pdf","PDF")</f>
        <v>PDF</v>
      </c>
      <c r="K990" s="12" t="s">
        <v>34078</v>
      </c>
      <c r="L990" s="12"/>
    </row>
    <row r="991" spans="1:12" x14ac:dyDescent="0.45">
      <c r="A991" s="12" t="s">
        <v>34005</v>
      </c>
      <c r="B991" s="12" t="s">
        <v>3182</v>
      </c>
      <c r="C991" s="13" t="s">
        <v>3183</v>
      </c>
      <c r="D991" s="13" t="s">
        <v>23</v>
      </c>
      <c r="E991" s="12" t="s">
        <v>35</v>
      </c>
      <c r="F991" s="14">
        <v>1000000</v>
      </c>
      <c r="G991" s="14">
        <v>705000</v>
      </c>
      <c r="H991" s="13" t="s">
        <v>34079</v>
      </c>
      <c r="I991" s="40" t="s">
        <v>18</v>
      </c>
      <c r="J991" s="40" t="str">
        <f>HYPERLINK("https://stock.pstatic.net/stock-research/company/21/20260729_company_879163000.pdf","PDF")</f>
        <v>PDF</v>
      </c>
      <c r="K991" s="12" t="s">
        <v>34080</v>
      </c>
      <c r="L991" s="36">
        <v>0.41843971631205668</v>
      </c>
    </row>
    <row r="992" spans="1:12" x14ac:dyDescent="0.45">
      <c r="A992" s="12" t="s">
        <v>34005</v>
      </c>
      <c r="B992" s="12" t="s">
        <v>3182</v>
      </c>
      <c r="C992" s="13" t="s">
        <v>3183</v>
      </c>
      <c r="D992" s="13" t="s">
        <v>179</v>
      </c>
      <c r="E992" s="12" t="s">
        <v>16</v>
      </c>
      <c r="F992" s="14">
        <v>900000</v>
      </c>
      <c r="G992" s="14">
        <v>705000</v>
      </c>
      <c r="H992" s="13" t="s">
        <v>34081</v>
      </c>
      <c r="I992" s="40" t="s">
        <v>18</v>
      </c>
      <c r="J992" s="40" t="str">
        <f>HYPERLINK("https://stock.pstatic.net/stock-research/company/64/20260729_company_490436000.pdf","PDF")</f>
        <v>PDF</v>
      </c>
      <c r="K992" s="12" t="s">
        <v>34082</v>
      </c>
      <c r="L992" s="36">
        <v>0.27659574468085107</v>
      </c>
    </row>
    <row r="993" spans="1:12" x14ac:dyDescent="0.45">
      <c r="A993" s="12" t="s">
        <v>34005</v>
      </c>
      <c r="B993" s="12" t="s">
        <v>3105</v>
      </c>
      <c r="C993" s="13" t="s">
        <v>3106</v>
      </c>
      <c r="D993" s="13" t="s">
        <v>92</v>
      </c>
      <c r="E993" s="12" t="s">
        <v>35</v>
      </c>
      <c r="F993" s="14">
        <v>340000</v>
      </c>
      <c r="G993" s="14">
        <v>188800</v>
      </c>
      <c r="H993" s="13" t="s">
        <v>34083</v>
      </c>
      <c r="I993" s="40" t="s">
        <v>18</v>
      </c>
      <c r="J993" s="40" t="str">
        <f>HYPERLINK("https://stock.pstatic.net/stock-research/company/63/20260729_company_71179000.pdf","PDF")</f>
        <v>PDF</v>
      </c>
      <c r="K993" s="12" t="s">
        <v>34084</v>
      </c>
      <c r="L993" s="36">
        <v>0.80084745762711862</v>
      </c>
    </row>
    <row r="994" spans="1:12" x14ac:dyDescent="0.45">
      <c r="A994" s="12" t="s">
        <v>34005</v>
      </c>
      <c r="B994" s="12" t="s">
        <v>1190</v>
      </c>
      <c r="C994" s="13" t="s">
        <v>1191</v>
      </c>
      <c r="D994" s="13" t="s">
        <v>44</v>
      </c>
      <c r="E994" s="12" t="s">
        <v>35</v>
      </c>
      <c r="F994" s="14">
        <v>169000</v>
      </c>
      <c r="G994" s="14">
        <v>86800</v>
      </c>
      <c r="H994" s="13" t="s">
        <v>34085</v>
      </c>
      <c r="I994" s="40" t="s">
        <v>18</v>
      </c>
      <c r="J994" s="40" t="str">
        <f>HYPERLINK("https://stock.pstatic.net/stock-research/company/39/20260729_company_905732000.pdf","PDF")</f>
        <v>PDF</v>
      </c>
      <c r="K994" s="12" t="s">
        <v>34086</v>
      </c>
      <c r="L994" s="36">
        <v>0.94700460829493083</v>
      </c>
    </row>
    <row r="995" spans="1:12" x14ac:dyDescent="0.45">
      <c r="A995" s="12" t="s">
        <v>34005</v>
      </c>
      <c r="B995" s="12" t="s">
        <v>2837</v>
      </c>
      <c r="C995" s="13" t="s">
        <v>2838</v>
      </c>
      <c r="D995" s="13" t="s">
        <v>179</v>
      </c>
      <c r="E995" s="12" t="s">
        <v>16</v>
      </c>
      <c r="F995" s="14">
        <v>100000</v>
      </c>
      <c r="G995" s="14">
        <v>61200</v>
      </c>
      <c r="H995" s="13" t="s">
        <v>34087</v>
      </c>
      <c r="I995" s="40" t="s">
        <v>18</v>
      </c>
      <c r="J995" s="40" t="str">
        <f>HYPERLINK("https://stock.pstatic.net/stock-research/company/64/20260729_company_5273000.pdf","PDF")</f>
        <v>PDF</v>
      </c>
      <c r="K995" s="12" t="s">
        <v>34088</v>
      </c>
      <c r="L995" s="36">
        <v>0.63398692810457513</v>
      </c>
    </row>
    <row r="996" spans="1:12" x14ac:dyDescent="0.45">
      <c r="A996" s="12" t="s">
        <v>34005</v>
      </c>
      <c r="B996" s="12" t="s">
        <v>2488</v>
      </c>
      <c r="C996" s="13" t="s">
        <v>2489</v>
      </c>
      <c r="D996" s="13" t="s">
        <v>179</v>
      </c>
      <c r="E996" s="12" t="s">
        <v>16</v>
      </c>
      <c r="F996" s="14">
        <v>110000</v>
      </c>
      <c r="G996" s="14">
        <v>54700</v>
      </c>
      <c r="H996" s="13" t="s">
        <v>34089</v>
      </c>
      <c r="I996" s="40" t="s">
        <v>18</v>
      </c>
      <c r="J996" s="40" t="str">
        <f>HYPERLINK("https://stock.pstatic.net/stock-research/company/64/20260729_company_213017000.pdf","PDF")</f>
        <v>PDF</v>
      </c>
      <c r="K996" s="12" t="s">
        <v>34090</v>
      </c>
      <c r="L996" s="36">
        <v>1.0109689213893971</v>
      </c>
    </row>
    <row r="997" spans="1:12" x14ac:dyDescent="0.45">
      <c r="A997" s="12" t="s">
        <v>34005</v>
      </c>
      <c r="B997" s="12" t="s">
        <v>3395</v>
      </c>
      <c r="C997" s="13" t="s">
        <v>3396</v>
      </c>
      <c r="D997" s="13" t="s">
        <v>92</v>
      </c>
      <c r="E997" s="12" t="s">
        <v>35</v>
      </c>
      <c r="F997" s="14">
        <v>41000</v>
      </c>
      <c r="G997" s="14">
        <v>24250</v>
      </c>
      <c r="H997" s="13" t="s">
        <v>34091</v>
      </c>
      <c r="I997" s="40" t="s">
        <v>18</v>
      </c>
      <c r="J997" s="40" t="str">
        <f>HYPERLINK("https://stock.pstatic.net/stock-research/company/63/20260729_company_654218000.pdf","PDF")</f>
        <v>PDF</v>
      </c>
      <c r="K997" s="12" t="s">
        <v>34092</v>
      </c>
      <c r="L997" s="36">
        <v>0.69072164948453607</v>
      </c>
    </row>
    <row r="998" spans="1:12" x14ac:dyDescent="0.45">
      <c r="A998" s="12" t="s">
        <v>34005</v>
      </c>
      <c r="B998" s="12" t="s">
        <v>3105</v>
      </c>
      <c r="C998" s="13" t="s">
        <v>3106</v>
      </c>
      <c r="D998" s="13" t="s">
        <v>34</v>
      </c>
      <c r="E998" s="12" t="s">
        <v>35</v>
      </c>
      <c r="F998" s="14">
        <v>330000</v>
      </c>
      <c r="G998" s="14">
        <v>188800</v>
      </c>
      <c r="H998" s="13" t="s">
        <v>34093</v>
      </c>
      <c r="I998" s="40" t="s">
        <v>18</v>
      </c>
      <c r="J998" s="40" t="str">
        <f>HYPERLINK("https://stock.pstatic.net/stock-research/company/61/20260729_company_42873000.pdf","PDF")</f>
        <v>PDF</v>
      </c>
      <c r="K998" s="12" t="s">
        <v>34094</v>
      </c>
      <c r="L998" s="36">
        <v>0.7478813559322034</v>
      </c>
    </row>
    <row r="999" spans="1:12" x14ac:dyDescent="0.45">
      <c r="A999" s="12" t="s">
        <v>34005</v>
      </c>
      <c r="B999" s="12" t="s">
        <v>442</v>
      </c>
      <c r="C999" s="13" t="s">
        <v>443</v>
      </c>
      <c r="D999" s="13" t="s">
        <v>92</v>
      </c>
      <c r="E999" s="12" t="s">
        <v>35</v>
      </c>
      <c r="F999" s="14">
        <v>26000</v>
      </c>
      <c r="G999" s="14">
        <v>9490</v>
      </c>
      <c r="H999" s="13" t="s">
        <v>34095</v>
      </c>
      <c r="I999" s="40" t="s">
        <v>18</v>
      </c>
      <c r="J999" s="40" t="str">
        <f>HYPERLINK("https://stock.pstatic.net/stock-research/company/63/20260729_company_9962000.pdf","PDF")</f>
        <v>PDF</v>
      </c>
      <c r="K999" s="12" t="s">
        <v>34096</v>
      </c>
      <c r="L999" s="36">
        <v>1.7397260273972599</v>
      </c>
    </row>
    <row r="1000" spans="1:12" x14ac:dyDescent="0.45">
      <c r="A1000" s="12" t="s">
        <v>34005</v>
      </c>
      <c r="B1000" s="12" t="s">
        <v>3105</v>
      </c>
      <c r="C1000" s="13" t="s">
        <v>3106</v>
      </c>
      <c r="D1000" s="13" t="s">
        <v>179</v>
      </c>
      <c r="E1000" s="12" t="s">
        <v>16</v>
      </c>
      <c r="F1000" s="14">
        <v>350000</v>
      </c>
      <c r="G1000" s="14">
        <v>188800</v>
      </c>
      <c r="H1000" s="13" t="s">
        <v>34097</v>
      </c>
      <c r="I1000" s="40" t="s">
        <v>18</v>
      </c>
      <c r="J1000" s="40" t="str">
        <f>HYPERLINK("https://stock.pstatic.net/stock-research/company/64/20260729_company_876942000.pdf","PDF")</f>
        <v>PDF</v>
      </c>
      <c r="K1000" s="12" t="s">
        <v>34098</v>
      </c>
      <c r="L1000" s="36">
        <v>0.85381355932203384</v>
      </c>
    </row>
    <row r="1001" spans="1:12" x14ac:dyDescent="0.45">
      <c r="A1001" s="12" t="s">
        <v>34005</v>
      </c>
      <c r="B1001" s="12" t="s">
        <v>3105</v>
      </c>
      <c r="C1001" s="13" t="s">
        <v>3106</v>
      </c>
      <c r="D1001" s="13" t="s">
        <v>23</v>
      </c>
      <c r="E1001" s="12" t="s">
        <v>16</v>
      </c>
      <c r="F1001" s="14">
        <v>320000</v>
      </c>
      <c r="G1001" s="14">
        <v>188800</v>
      </c>
      <c r="H1001" s="13" t="s">
        <v>34099</v>
      </c>
      <c r="I1001" s="40" t="s">
        <v>18</v>
      </c>
      <c r="J1001" s="40" t="str">
        <f>HYPERLINK("https://stock.pstatic.net/stock-research/company/21/20260729_company_175357000.pdf","PDF")</f>
        <v>PDF</v>
      </c>
      <c r="K1001" s="12" t="s">
        <v>34100</v>
      </c>
      <c r="L1001" s="36">
        <v>0.69491525423728817</v>
      </c>
    </row>
    <row r="1002" spans="1:12" x14ac:dyDescent="0.45">
      <c r="A1002" s="12" t="s">
        <v>34005</v>
      </c>
      <c r="B1002" s="12" t="s">
        <v>3105</v>
      </c>
      <c r="C1002" s="13" t="s">
        <v>3106</v>
      </c>
      <c r="D1002" s="13" t="s">
        <v>44</v>
      </c>
      <c r="E1002" s="12" t="s">
        <v>35</v>
      </c>
      <c r="F1002" s="14">
        <v>330000</v>
      </c>
      <c r="G1002" s="14">
        <v>188800</v>
      </c>
      <c r="H1002" s="13" t="s">
        <v>34101</v>
      </c>
      <c r="I1002" s="40" t="s">
        <v>18</v>
      </c>
      <c r="J1002" s="40" t="str">
        <f>HYPERLINK("https://stock.pstatic.net/stock-research/company/39/20260729_company_961315000.pdf","PDF")</f>
        <v>PDF</v>
      </c>
      <c r="K1002" s="12" t="s">
        <v>34102</v>
      </c>
      <c r="L1002" s="36">
        <v>0.7478813559322034</v>
      </c>
    </row>
    <row r="1003" spans="1:12" x14ac:dyDescent="0.45">
      <c r="A1003" s="12" t="s">
        <v>34005</v>
      </c>
      <c r="B1003" s="12" t="s">
        <v>2944</v>
      </c>
      <c r="C1003" s="13" t="s">
        <v>2945</v>
      </c>
      <c r="D1003" s="13" t="s">
        <v>44</v>
      </c>
      <c r="E1003" s="12" t="s">
        <v>35</v>
      </c>
      <c r="F1003" s="14">
        <v>24000</v>
      </c>
      <c r="G1003" s="14">
        <v>17270</v>
      </c>
      <c r="H1003" s="13" t="s">
        <v>34103</v>
      </c>
      <c r="I1003" s="40" t="s">
        <v>18</v>
      </c>
      <c r="J1003" s="40" t="str">
        <f>HYPERLINK("https://stock.pstatic.net/stock-research/company/39/20260729_company_432854000.pdf","PDF")</f>
        <v>PDF</v>
      </c>
      <c r="K1003" s="12" t="s">
        <v>34104</v>
      </c>
      <c r="L1003" s="36">
        <v>0.38969310943833241</v>
      </c>
    </row>
    <row r="1004" spans="1:12" x14ac:dyDescent="0.45">
      <c r="A1004" s="12" t="s">
        <v>34005</v>
      </c>
      <c r="B1004" s="12" t="s">
        <v>2837</v>
      </c>
      <c r="C1004" s="13" t="s">
        <v>2838</v>
      </c>
      <c r="D1004" s="13" t="s">
        <v>44</v>
      </c>
      <c r="E1004" s="12" t="s">
        <v>35</v>
      </c>
      <c r="F1004" s="14">
        <v>121000</v>
      </c>
      <c r="G1004" s="14">
        <v>61200</v>
      </c>
      <c r="H1004" s="13" t="s">
        <v>34105</v>
      </c>
      <c r="I1004" s="40" t="s">
        <v>18</v>
      </c>
      <c r="J1004" s="40" t="str">
        <f>HYPERLINK("https://stock.pstatic.net/stock-research/company/39/20260729_company_35079000.pdf","PDF")</f>
        <v>PDF</v>
      </c>
      <c r="K1004" s="12" t="s">
        <v>34106</v>
      </c>
      <c r="L1004" s="36">
        <v>0.97712418300653592</v>
      </c>
    </row>
    <row r="1005" spans="1:12" x14ac:dyDescent="0.45">
      <c r="A1005" s="12" t="s">
        <v>34005</v>
      </c>
      <c r="B1005" s="12" t="s">
        <v>3182</v>
      </c>
      <c r="C1005" s="13" t="s">
        <v>3183</v>
      </c>
      <c r="D1005" s="13" t="s">
        <v>53</v>
      </c>
      <c r="E1005" s="12" t="s">
        <v>16</v>
      </c>
      <c r="F1005" s="14">
        <v>1200000</v>
      </c>
      <c r="G1005" s="14">
        <v>705000</v>
      </c>
      <c r="H1005" s="13" t="s">
        <v>34107</v>
      </c>
      <c r="I1005" s="40" t="s">
        <v>18</v>
      </c>
      <c r="J1005" s="40" t="str">
        <f>HYPERLINK("https://stock.pstatic.net/stock-research/company/40/20260729_company_449726000.pdf","PDF")</f>
        <v>PDF</v>
      </c>
      <c r="K1005" s="12" t="s">
        <v>34108</v>
      </c>
      <c r="L1005" s="36">
        <v>0.7021276595744681</v>
      </c>
    </row>
    <row r="1006" spans="1:12" x14ac:dyDescent="0.45">
      <c r="A1006" s="12" t="s">
        <v>34005</v>
      </c>
      <c r="B1006" s="12" t="s">
        <v>2837</v>
      </c>
      <c r="C1006" s="13" t="s">
        <v>2838</v>
      </c>
      <c r="D1006" s="13" t="s">
        <v>34</v>
      </c>
      <c r="E1006" s="12" t="s">
        <v>35</v>
      </c>
      <c r="F1006" s="14">
        <v>104000</v>
      </c>
      <c r="G1006" s="14">
        <v>61200</v>
      </c>
      <c r="H1006" s="13" t="s">
        <v>34109</v>
      </c>
      <c r="I1006" s="40" t="s">
        <v>18</v>
      </c>
      <c r="J1006" s="40" t="str">
        <f>HYPERLINK("https://stock.pstatic.net/stock-research/company/61/20260729_company_210060000.pdf","PDF")</f>
        <v>PDF</v>
      </c>
      <c r="K1006" s="12" t="s">
        <v>34110</v>
      </c>
      <c r="L1006" s="36">
        <v>0.69934640522875813</v>
      </c>
    </row>
    <row r="1007" spans="1:12" x14ac:dyDescent="0.45">
      <c r="A1007" s="12" t="s">
        <v>34005</v>
      </c>
      <c r="B1007" s="12" t="s">
        <v>2944</v>
      </c>
      <c r="C1007" s="13" t="s">
        <v>2945</v>
      </c>
      <c r="D1007" s="13" t="s">
        <v>34</v>
      </c>
      <c r="E1007" s="12" t="s">
        <v>35</v>
      </c>
      <c r="F1007" s="14">
        <v>23000</v>
      </c>
      <c r="G1007" s="14">
        <v>17270</v>
      </c>
      <c r="H1007" s="13" t="s">
        <v>34111</v>
      </c>
      <c r="I1007" s="40" t="s">
        <v>18</v>
      </c>
      <c r="J1007" s="40" t="str">
        <f>HYPERLINK("https://stock.pstatic.net/stock-research/company/61/20260729_company_321347000.pdf","PDF")</f>
        <v>PDF</v>
      </c>
      <c r="K1007" s="12" t="s">
        <v>34112</v>
      </c>
      <c r="L1007" s="36">
        <v>0.33178922987840193</v>
      </c>
    </row>
    <row r="1008" spans="1:12" x14ac:dyDescent="0.45">
      <c r="A1008" s="12" t="s">
        <v>34005</v>
      </c>
      <c r="B1008" s="12" t="s">
        <v>63</v>
      </c>
      <c r="C1008" s="13" t="s">
        <v>64</v>
      </c>
      <c r="D1008" s="13" t="s">
        <v>34</v>
      </c>
      <c r="E1008" s="12" t="s">
        <v>35</v>
      </c>
      <c r="F1008" s="14">
        <v>600000</v>
      </c>
      <c r="G1008" s="14">
        <v>374500</v>
      </c>
      <c r="H1008" s="13" t="s">
        <v>34113</v>
      </c>
      <c r="I1008" s="40" t="s">
        <v>18</v>
      </c>
      <c r="J1008" s="40" t="str">
        <f>HYPERLINK("https://stock.pstatic.net/stock-research/company/61/20260729_company_345789000.pdf","PDF")</f>
        <v>PDF</v>
      </c>
      <c r="K1008" s="12" t="s">
        <v>34114</v>
      </c>
      <c r="L1008" s="36">
        <v>0.60213618157543392</v>
      </c>
    </row>
    <row r="1009" spans="1:12" x14ac:dyDescent="0.45">
      <c r="A1009" s="12" t="s">
        <v>34005</v>
      </c>
      <c r="B1009" s="12" t="s">
        <v>3355</v>
      </c>
      <c r="C1009" s="13" t="s">
        <v>3356</v>
      </c>
      <c r="D1009" s="13" t="s">
        <v>34</v>
      </c>
      <c r="E1009" s="12" t="s">
        <v>35</v>
      </c>
      <c r="F1009" s="14">
        <v>50000</v>
      </c>
      <c r="G1009" s="14">
        <v>35850</v>
      </c>
      <c r="H1009" s="13" t="s">
        <v>34115</v>
      </c>
      <c r="I1009" s="40" t="s">
        <v>18</v>
      </c>
      <c r="J1009" s="40" t="str">
        <f>HYPERLINK("https://stock.pstatic.net/stock-research/company/61/20260729_company_23224000.pdf","PDF")</f>
        <v>PDF</v>
      </c>
      <c r="K1009" s="12" t="s">
        <v>34116</v>
      </c>
      <c r="L1009" s="36">
        <v>0.39470013947001392</v>
      </c>
    </row>
    <row r="1010" spans="1:12" x14ac:dyDescent="0.45">
      <c r="A1010" s="12" t="s">
        <v>34005</v>
      </c>
      <c r="B1010" s="12" t="s">
        <v>3395</v>
      </c>
      <c r="C1010" s="13" t="s">
        <v>3396</v>
      </c>
      <c r="D1010" s="13" t="s">
        <v>44</v>
      </c>
      <c r="E1010" s="12" t="s">
        <v>50</v>
      </c>
      <c r="F1010" s="13"/>
      <c r="G1010" s="14">
        <v>24250</v>
      </c>
      <c r="H1010" s="13" t="s">
        <v>34117</v>
      </c>
      <c r="I1010" s="40" t="s">
        <v>18</v>
      </c>
      <c r="J1010" s="40" t="str">
        <f>HYPERLINK("https://stock.pstatic.net/stock-research/company/39/20260729_company_328993000.pdf","PDF")</f>
        <v>PDF</v>
      </c>
      <c r="K1010" s="12" t="s">
        <v>34118</v>
      </c>
      <c r="L1010" s="12"/>
    </row>
    <row r="1011" spans="1:12" x14ac:dyDescent="0.45">
      <c r="A1011" s="12" t="s">
        <v>34005</v>
      </c>
      <c r="B1011" s="12" t="s">
        <v>2748</v>
      </c>
      <c r="C1011" s="13" t="s">
        <v>2749</v>
      </c>
      <c r="D1011" s="13" t="s">
        <v>44</v>
      </c>
      <c r="E1011" s="12" t="s">
        <v>50</v>
      </c>
      <c r="F1011" s="13"/>
      <c r="G1011" s="14">
        <v>13600</v>
      </c>
      <c r="H1011" s="13" t="s">
        <v>34119</v>
      </c>
      <c r="I1011" s="40" t="s">
        <v>18</v>
      </c>
      <c r="J1011" s="40" t="str">
        <f>HYPERLINK("https://stock.pstatic.net/stock-research/company/39/20260729_company_685112000.pdf","PDF")</f>
        <v>PDF</v>
      </c>
      <c r="K1011" s="12" t="s">
        <v>34120</v>
      </c>
      <c r="L1011" s="12"/>
    </row>
    <row r="1012" spans="1:12" x14ac:dyDescent="0.45">
      <c r="A1012" s="12" t="s">
        <v>34005</v>
      </c>
      <c r="B1012" s="12" t="s">
        <v>24380</v>
      </c>
      <c r="C1012" s="13" t="s">
        <v>714</v>
      </c>
      <c r="D1012" s="13" t="s">
        <v>124</v>
      </c>
      <c r="E1012" s="12" t="s">
        <v>50</v>
      </c>
      <c r="F1012" s="13"/>
      <c r="G1012" s="13"/>
      <c r="H1012" s="13" t="s">
        <v>34121</v>
      </c>
      <c r="I1012" s="40" t="s">
        <v>18</v>
      </c>
      <c r="J1012" s="40" t="str">
        <f>HYPERLINK("https://stock.pstatic.net/stock-research/company/74/20260729_company_370118000.pdf","PDF")</f>
        <v>PDF</v>
      </c>
      <c r="K1012" s="12" t="s">
        <v>34122</v>
      </c>
      <c r="L1012" s="12"/>
    </row>
    <row r="1013" spans="1:12" x14ac:dyDescent="0.45">
      <c r="A1013" s="12" t="s">
        <v>34005</v>
      </c>
      <c r="B1013" s="12" t="s">
        <v>3101</v>
      </c>
      <c r="C1013" s="13" t="s">
        <v>3102</v>
      </c>
      <c r="D1013" s="13" t="s">
        <v>124</v>
      </c>
      <c r="E1013" s="12" t="s">
        <v>50</v>
      </c>
      <c r="F1013" s="13"/>
      <c r="G1013" s="13"/>
      <c r="H1013" s="13" t="s">
        <v>34123</v>
      </c>
      <c r="I1013" s="40" t="s">
        <v>18</v>
      </c>
      <c r="J1013" s="40" t="str">
        <f>HYPERLINK("https://stock.pstatic.net/stock-research/company/74/20260729_company_297467000.pdf","PDF")</f>
        <v>PDF</v>
      </c>
      <c r="K1013" s="12" t="s">
        <v>34124</v>
      </c>
      <c r="L1013" s="12"/>
    </row>
    <row r="1014" spans="1:12" x14ac:dyDescent="0.45">
      <c r="A1014" s="12" t="s">
        <v>34005</v>
      </c>
      <c r="B1014" s="12" t="s">
        <v>1087</v>
      </c>
      <c r="C1014" s="13" t="s">
        <v>1088</v>
      </c>
      <c r="D1014" s="13" t="s">
        <v>15</v>
      </c>
      <c r="E1014" s="12" t="s">
        <v>16</v>
      </c>
      <c r="F1014" s="14">
        <v>150000</v>
      </c>
      <c r="G1014" s="14">
        <v>99900</v>
      </c>
      <c r="H1014" s="13" t="s">
        <v>34125</v>
      </c>
      <c r="I1014" s="40" t="s">
        <v>18</v>
      </c>
      <c r="J1014" s="40" t="str">
        <f>HYPERLINK("https://stock.pstatic.net/stock-research/company/56/20260729_company_385750000.pdf","PDF")</f>
        <v>PDF</v>
      </c>
      <c r="K1014" s="12" t="s">
        <v>34126</v>
      </c>
      <c r="L1014" s="36">
        <v>0.50150150150150152</v>
      </c>
    </row>
    <row r="1015" spans="1:12" x14ac:dyDescent="0.45">
      <c r="A1015" s="12" t="s">
        <v>33801</v>
      </c>
      <c r="B1015" s="12" t="s">
        <v>3284</v>
      </c>
      <c r="C1015" s="13" t="s">
        <v>3285</v>
      </c>
      <c r="D1015" s="13" t="s">
        <v>276</v>
      </c>
      <c r="E1015" s="12" t="s">
        <v>16</v>
      </c>
      <c r="F1015" s="14">
        <v>145000</v>
      </c>
      <c r="G1015" s="14">
        <v>88800</v>
      </c>
      <c r="H1015" s="13" t="s">
        <v>34127</v>
      </c>
      <c r="I1015" s="40" t="s">
        <v>18</v>
      </c>
      <c r="J1015" s="40" t="str">
        <f>HYPERLINK("https://stock.pstatic.net/stock-research/company/66/20260728_company_573435000.pdf","PDF")</f>
        <v>PDF</v>
      </c>
      <c r="K1015" s="12" t="s">
        <v>34128</v>
      </c>
      <c r="L1015" s="36">
        <v>0.63288288288288286</v>
      </c>
    </row>
    <row r="1016" spans="1:12" x14ac:dyDescent="0.45">
      <c r="A1016" s="12" t="s">
        <v>33801</v>
      </c>
      <c r="B1016" s="12" t="s">
        <v>691</v>
      </c>
      <c r="C1016" s="13" t="s">
        <v>20</v>
      </c>
      <c r="D1016" s="13" t="s">
        <v>276</v>
      </c>
      <c r="E1016" s="12" t="s">
        <v>16</v>
      </c>
      <c r="F1016" s="14">
        <v>320000</v>
      </c>
      <c r="G1016" s="14">
        <v>178700</v>
      </c>
      <c r="H1016" s="13" t="s">
        <v>34129</v>
      </c>
      <c r="I1016" s="40" t="s">
        <v>18</v>
      </c>
      <c r="J1016" s="40" t="str">
        <f>HYPERLINK("https://stock.pstatic.net/stock-research/company/66/20260728_company_655729000.pdf","PDF")</f>
        <v>PDF</v>
      </c>
      <c r="K1016" s="12" t="s">
        <v>34130</v>
      </c>
      <c r="L1016" s="36">
        <v>0.79071068830442082</v>
      </c>
    </row>
    <row r="1017" spans="1:12" x14ac:dyDescent="0.45">
      <c r="A1017" s="12" t="s">
        <v>33801</v>
      </c>
      <c r="B1017" s="12" t="s">
        <v>740</v>
      </c>
      <c r="C1017" s="13" t="s">
        <v>741</v>
      </c>
      <c r="D1017" s="13" t="s">
        <v>276</v>
      </c>
      <c r="E1017" s="12" t="s">
        <v>16</v>
      </c>
      <c r="F1017" s="14">
        <v>1300000</v>
      </c>
      <c r="G1017" s="14">
        <v>614000</v>
      </c>
      <c r="H1017" s="13" t="s">
        <v>23268</v>
      </c>
      <c r="I1017" s="40" t="s">
        <v>18</v>
      </c>
      <c r="J1017" s="40" t="str">
        <f>HYPERLINK("https://stock.pstatic.net/stock-research/company/66/20260728_company_56893000.pdf","PDF")</f>
        <v>PDF</v>
      </c>
      <c r="K1017" s="12" t="s">
        <v>34131</v>
      </c>
      <c r="L1017" s="36">
        <v>1.117263843648209</v>
      </c>
    </row>
    <row r="1018" spans="1:12" x14ac:dyDescent="0.45">
      <c r="A1018" s="12" t="s">
        <v>33801</v>
      </c>
      <c r="B1018" s="12" t="s">
        <v>1140</v>
      </c>
      <c r="C1018" s="13" t="s">
        <v>1141</v>
      </c>
      <c r="D1018" s="13" t="s">
        <v>57</v>
      </c>
      <c r="E1018" s="12" t="s">
        <v>35</v>
      </c>
      <c r="F1018" s="14">
        <v>47000</v>
      </c>
      <c r="G1018" s="14">
        <v>36200</v>
      </c>
      <c r="H1018" s="13" t="s">
        <v>34132</v>
      </c>
      <c r="I1018" s="40" t="s">
        <v>18</v>
      </c>
      <c r="J1018" s="40" t="str">
        <f>HYPERLINK("https://stock.pstatic.net/stock-research/company/16/20260728_company_100454000.pdf","PDF")</f>
        <v>PDF</v>
      </c>
      <c r="K1018" s="12" t="s">
        <v>34133</v>
      </c>
      <c r="L1018" s="36">
        <v>0.2983425414364641</v>
      </c>
    </row>
    <row r="1019" spans="1:12" x14ac:dyDescent="0.45">
      <c r="A1019" s="12" t="s">
        <v>33801</v>
      </c>
      <c r="B1019" s="12" t="s">
        <v>2414</v>
      </c>
      <c r="C1019" s="13" t="s">
        <v>2415</v>
      </c>
      <c r="D1019" s="13" t="s">
        <v>276</v>
      </c>
      <c r="E1019" s="12" t="s">
        <v>50</v>
      </c>
      <c r="F1019" s="13"/>
      <c r="G1019" s="14">
        <v>1197000</v>
      </c>
      <c r="H1019" s="13" t="s">
        <v>34134</v>
      </c>
      <c r="I1019" s="40" t="s">
        <v>18</v>
      </c>
      <c r="J1019" s="40" t="str">
        <f>HYPERLINK("https://stock.pstatic.net/stock-research/company/66/20260728_company_385799000.pdf","PDF")</f>
        <v>PDF</v>
      </c>
      <c r="K1019" s="12" t="s">
        <v>34135</v>
      </c>
      <c r="L1019" s="12"/>
    </row>
    <row r="1020" spans="1:12" x14ac:dyDescent="0.45">
      <c r="A1020" s="12" t="s">
        <v>33801</v>
      </c>
      <c r="B1020" s="12" t="s">
        <v>3168</v>
      </c>
      <c r="C1020" s="13" t="s">
        <v>3169</v>
      </c>
      <c r="D1020" s="13" t="s">
        <v>57</v>
      </c>
      <c r="E1020" s="12" t="s">
        <v>35</v>
      </c>
      <c r="F1020" s="14">
        <v>25000</v>
      </c>
      <c r="G1020" s="14">
        <v>18090</v>
      </c>
      <c r="H1020" s="13" t="s">
        <v>34136</v>
      </c>
      <c r="I1020" s="40" t="s">
        <v>18</v>
      </c>
      <c r="J1020" s="40" t="str">
        <f>HYPERLINK("https://stock.pstatic.net/stock-research/company/16/20260728_company_221402000.pdf","PDF")</f>
        <v>PDF</v>
      </c>
      <c r="K1020" s="12" t="s">
        <v>34137</v>
      </c>
      <c r="L1020" s="36">
        <v>0.38197899391929241</v>
      </c>
    </row>
    <row r="1021" spans="1:12" x14ac:dyDescent="0.45">
      <c r="A1021" s="12" t="s">
        <v>33801</v>
      </c>
      <c r="B1021" s="12" t="s">
        <v>118</v>
      </c>
      <c r="C1021" s="13" t="s">
        <v>119</v>
      </c>
      <c r="D1021" s="13" t="s">
        <v>60</v>
      </c>
      <c r="E1021" s="12" t="s">
        <v>35</v>
      </c>
      <c r="F1021" s="14">
        <v>110000</v>
      </c>
      <c r="G1021" s="14">
        <v>82700</v>
      </c>
      <c r="H1021" s="13" t="s">
        <v>34138</v>
      </c>
      <c r="I1021" s="40" t="s">
        <v>18</v>
      </c>
      <c r="J1021" s="40" t="str">
        <f>HYPERLINK("https://stock.pstatic.net/stock-research/company/62/20260728_company_995217000.pdf","PDF")</f>
        <v>PDF</v>
      </c>
      <c r="K1021" s="12" t="s">
        <v>34139</v>
      </c>
      <c r="L1021" s="36">
        <v>0.33010882708585249</v>
      </c>
    </row>
    <row r="1022" spans="1:12" x14ac:dyDescent="0.45">
      <c r="A1022" s="12" t="s">
        <v>33801</v>
      </c>
      <c r="B1022" s="12" t="s">
        <v>938</v>
      </c>
      <c r="C1022" s="13" t="s">
        <v>939</v>
      </c>
      <c r="D1022" s="13" t="s">
        <v>57</v>
      </c>
      <c r="E1022" s="12" t="s">
        <v>35</v>
      </c>
      <c r="F1022" s="14">
        <v>15000</v>
      </c>
      <c r="G1022" s="14">
        <v>10450</v>
      </c>
      <c r="H1022" s="13" t="s">
        <v>34140</v>
      </c>
      <c r="I1022" s="40" t="s">
        <v>18</v>
      </c>
      <c r="J1022" s="40" t="str">
        <f>HYPERLINK("https://stock.pstatic.net/stock-research/company/16/20260728_company_580968000.pdf","PDF")</f>
        <v>PDF</v>
      </c>
      <c r="K1022" s="12" t="s">
        <v>34141</v>
      </c>
      <c r="L1022" s="36">
        <v>0.4354066985645933</v>
      </c>
    </row>
    <row r="1023" spans="1:12" x14ac:dyDescent="0.45">
      <c r="A1023" s="12" t="s">
        <v>33801</v>
      </c>
      <c r="B1023" s="12" t="s">
        <v>2414</v>
      </c>
      <c r="C1023" s="13" t="s">
        <v>2415</v>
      </c>
      <c r="D1023" s="13" t="s">
        <v>60</v>
      </c>
      <c r="E1023" s="12" t="s">
        <v>35</v>
      </c>
      <c r="F1023" s="14">
        <v>1800000</v>
      </c>
      <c r="G1023" s="14">
        <v>1197000</v>
      </c>
      <c r="H1023" s="13" t="s">
        <v>34142</v>
      </c>
      <c r="I1023" s="40" t="s">
        <v>18</v>
      </c>
      <c r="J1023" s="40" t="str">
        <f>HYPERLINK("https://stock.pstatic.net/stock-research/company/62/20260728_company_41717000.pdf","PDF")</f>
        <v>PDF</v>
      </c>
      <c r="K1023" s="12" t="s">
        <v>34143</v>
      </c>
      <c r="L1023" s="36">
        <v>0.50375939849624063</v>
      </c>
    </row>
    <row r="1024" spans="1:12" x14ac:dyDescent="0.45">
      <c r="A1024" s="12" t="s">
        <v>33801</v>
      </c>
      <c r="B1024" s="12" t="s">
        <v>740</v>
      </c>
      <c r="C1024" s="13" t="s">
        <v>741</v>
      </c>
      <c r="D1024" s="13" t="s">
        <v>60</v>
      </c>
      <c r="E1024" s="12" t="s">
        <v>35</v>
      </c>
      <c r="F1024" s="14">
        <v>1300000</v>
      </c>
      <c r="G1024" s="14">
        <v>614000</v>
      </c>
      <c r="H1024" s="13" t="s">
        <v>34144</v>
      </c>
      <c r="I1024" s="40" t="s">
        <v>18</v>
      </c>
      <c r="J1024" s="40" t="str">
        <f>HYPERLINK("https://stock.pstatic.net/stock-research/company/62/20260728_company_32462000.pdf","PDF")</f>
        <v>PDF</v>
      </c>
      <c r="K1024" s="12" t="s">
        <v>34145</v>
      </c>
      <c r="L1024" s="36">
        <v>1.117263843648209</v>
      </c>
    </row>
    <row r="1025" spans="1:12" x14ac:dyDescent="0.45">
      <c r="A1025" s="12" t="s">
        <v>33801</v>
      </c>
      <c r="B1025" s="12" t="s">
        <v>2414</v>
      </c>
      <c r="C1025" s="13" t="s">
        <v>2415</v>
      </c>
      <c r="D1025" s="13" t="s">
        <v>65</v>
      </c>
      <c r="E1025" s="12" t="s">
        <v>35</v>
      </c>
      <c r="F1025" s="14">
        <v>2420000</v>
      </c>
      <c r="G1025" s="14">
        <v>1197000</v>
      </c>
      <c r="H1025" s="13" t="s">
        <v>34146</v>
      </c>
      <c r="I1025" s="40" t="s">
        <v>18</v>
      </c>
      <c r="J1025" s="40" t="str">
        <f>HYPERLINK("https://stock.pstatic.net/stock-research/company/57/20260728_company_307088000.pdf","PDF")</f>
        <v>PDF</v>
      </c>
      <c r="K1025" s="12" t="s">
        <v>34147</v>
      </c>
      <c r="L1025" s="36">
        <v>1.02172096908939</v>
      </c>
    </row>
    <row r="1026" spans="1:12" x14ac:dyDescent="0.45">
      <c r="A1026" s="12" t="s">
        <v>33801</v>
      </c>
      <c r="B1026" s="12" t="s">
        <v>752</v>
      </c>
      <c r="C1026" s="13" t="s">
        <v>753</v>
      </c>
      <c r="D1026" s="13" t="s">
        <v>65</v>
      </c>
      <c r="E1026" s="12" t="s">
        <v>35</v>
      </c>
      <c r="F1026" s="14">
        <v>250000</v>
      </c>
      <c r="G1026" s="14">
        <v>137000</v>
      </c>
      <c r="H1026" s="13" t="s">
        <v>34148</v>
      </c>
      <c r="I1026" s="40" t="s">
        <v>18</v>
      </c>
      <c r="J1026" s="40" t="str">
        <f>HYPERLINK("https://stock.pstatic.net/stock-research/company/57/20260728_company_594470000.pdf","PDF")</f>
        <v>PDF</v>
      </c>
      <c r="K1026" s="12" t="s">
        <v>34149</v>
      </c>
      <c r="L1026" s="36">
        <v>0.82481751824817517</v>
      </c>
    </row>
    <row r="1027" spans="1:12" x14ac:dyDescent="0.45">
      <c r="A1027" s="12" t="s">
        <v>33801</v>
      </c>
      <c r="B1027" s="12" t="s">
        <v>2712</v>
      </c>
      <c r="C1027" s="13" t="s">
        <v>2713</v>
      </c>
      <c r="D1027" s="13" t="s">
        <v>65</v>
      </c>
      <c r="E1027" s="12" t="s">
        <v>35</v>
      </c>
      <c r="F1027" s="14">
        <v>75000</v>
      </c>
      <c r="G1027" s="14">
        <v>23700</v>
      </c>
      <c r="H1027" s="13" t="s">
        <v>34150</v>
      </c>
      <c r="I1027" s="40" t="s">
        <v>18</v>
      </c>
      <c r="J1027" s="40" t="str">
        <f>HYPERLINK("https://stock.pstatic.net/stock-research/company/57/20260728_company_451225000.pdf","PDF")</f>
        <v>PDF</v>
      </c>
      <c r="K1027" s="12" t="s">
        <v>34151</v>
      </c>
      <c r="L1027" s="36">
        <v>2.164556962025316</v>
      </c>
    </row>
    <row r="1028" spans="1:12" x14ac:dyDescent="0.45">
      <c r="A1028" s="12" t="s">
        <v>33801</v>
      </c>
      <c r="B1028" s="12" t="s">
        <v>42</v>
      </c>
      <c r="C1028" s="13" t="s">
        <v>43</v>
      </c>
      <c r="D1028" s="13" t="s">
        <v>65</v>
      </c>
      <c r="E1028" s="12" t="s">
        <v>35</v>
      </c>
      <c r="F1028" s="14">
        <v>400000</v>
      </c>
      <c r="G1028" s="14">
        <v>225000</v>
      </c>
      <c r="H1028" s="13" t="s">
        <v>34152</v>
      </c>
      <c r="I1028" s="40" t="s">
        <v>18</v>
      </c>
      <c r="J1028" s="40" t="str">
        <f>HYPERLINK("https://stock.pstatic.net/stock-research/company/57/20260728_company_711751000.pdf","PDF")</f>
        <v>PDF</v>
      </c>
      <c r="K1028" s="12" t="s">
        <v>34153</v>
      </c>
      <c r="L1028" s="36">
        <v>0.77777777777777779</v>
      </c>
    </row>
    <row r="1029" spans="1:12" x14ac:dyDescent="0.45">
      <c r="A1029" s="12" t="s">
        <v>33801</v>
      </c>
      <c r="B1029" s="12" t="s">
        <v>3284</v>
      </c>
      <c r="C1029" s="13" t="s">
        <v>3285</v>
      </c>
      <c r="D1029" s="13" t="s">
        <v>65</v>
      </c>
      <c r="E1029" s="12" t="s">
        <v>35</v>
      </c>
      <c r="F1029" s="14">
        <v>175000</v>
      </c>
      <c r="G1029" s="14">
        <v>88800</v>
      </c>
      <c r="H1029" s="13" t="s">
        <v>34154</v>
      </c>
      <c r="I1029" s="40" t="s">
        <v>18</v>
      </c>
      <c r="J1029" s="40" t="str">
        <f>HYPERLINK("https://stock.pstatic.net/stock-research/company/57/20260728_company_189837000.pdf","PDF")</f>
        <v>PDF</v>
      </c>
      <c r="K1029" s="12" t="s">
        <v>34155</v>
      </c>
      <c r="L1029" s="36">
        <v>0.97072072072072069</v>
      </c>
    </row>
    <row r="1030" spans="1:12" x14ac:dyDescent="0.45">
      <c r="A1030" s="12" t="s">
        <v>33801</v>
      </c>
      <c r="B1030" s="12" t="s">
        <v>2950</v>
      </c>
      <c r="C1030" s="13" t="s">
        <v>2951</v>
      </c>
      <c r="D1030" s="13" t="s">
        <v>65</v>
      </c>
      <c r="E1030" s="12" t="s">
        <v>35</v>
      </c>
      <c r="F1030" s="14">
        <v>165000</v>
      </c>
      <c r="G1030" s="14">
        <v>70900</v>
      </c>
      <c r="H1030" s="13" t="s">
        <v>34156</v>
      </c>
      <c r="I1030" s="40" t="s">
        <v>18</v>
      </c>
      <c r="J1030" s="40" t="str">
        <f>HYPERLINK("https://stock.pstatic.net/stock-research/company/57/20260728_company_667552000.pdf","PDF")</f>
        <v>PDF</v>
      </c>
      <c r="K1030" s="12" t="s">
        <v>34157</v>
      </c>
      <c r="L1030" s="36">
        <v>1.32722143864598</v>
      </c>
    </row>
    <row r="1031" spans="1:12" x14ac:dyDescent="0.45">
      <c r="A1031" s="12" t="s">
        <v>33801</v>
      </c>
      <c r="B1031" s="12" t="s">
        <v>3087</v>
      </c>
      <c r="C1031" s="13" t="s">
        <v>3088</v>
      </c>
      <c r="D1031" s="13" t="s">
        <v>65</v>
      </c>
      <c r="E1031" s="12" t="s">
        <v>35</v>
      </c>
      <c r="F1031" s="14">
        <v>330000</v>
      </c>
      <c r="G1031" s="14">
        <v>206000</v>
      </c>
      <c r="H1031" s="13" t="s">
        <v>34158</v>
      </c>
      <c r="I1031" s="40" t="s">
        <v>18</v>
      </c>
      <c r="J1031" s="40" t="str">
        <f>HYPERLINK("https://stock.pstatic.net/stock-research/company/57/20260728_company_574276000.pdf","PDF")</f>
        <v>PDF</v>
      </c>
      <c r="K1031" s="12" t="s">
        <v>34159</v>
      </c>
      <c r="L1031" s="36">
        <v>0.60194174757281549</v>
      </c>
    </row>
    <row r="1032" spans="1:12" x14ac:dyDescent="0.45">
      <c r="A1032" s="12" t="s">
        <v>33801</v>
      </c>
      <c r="B1032" s="12" t="s">
        <v>3168</v>
      </c>
      <c r="C1032" s="13" t="s">
        <v>3169</v>
      </c>
      <c r="D1032" s="13" t="s">
        <v>65</v>
      </c>
      <c r="E1032" s="12" t="s">
        <v>35</v>
      </c>
      <c r="F1032" s="14">
        <v>24500</v>
      </c>
      <c r="G1032" s="14">
        <v>18090</v>
      </c>
      <c r="H1032" s="13" t="s">
        <v>34160</v>
      </c>
      <c r="I1032" s="40" t="s">
        <v>18</v>
      </c>
      <c r="J1032" s="40" t="str">
        <f>HYPERLINK("https://stock.pstatic.net/stock-research/company/57/20260728_company_366582000.pdf","PDF")</f>
        <v>PDF</v>
      </c>
      <c r="K1032" s="12" t="s">
        <v>34161</v>
      </c>
      <c r="L1032" s="36">
        <v>0.35433941404090658</v>
      </c>
    </row>
    <row r="1033" spans="1:12" x14ac:dyDescent="0.45">
      <c r="A1033" s="12" t="s">
        <v>33801</v>
      </c>
      <c r="B1033" s="12" t="s">
        <v>14332</v>
      </c>
      <c r="C1033" s="13" t="s">
        <v>14333</v>
      </c>
      <c r="D1033" s="13" t="s">
        <v>65</v>
      </c>
      <c r="E1033" s="12" t="s">
        <v>35</v>
      </c>
      <c r="F1033" s="14">
        <v>66000</v>
      </c>
      <c r="G1033" s="14">
        <v>50200</v>
      </c>
      <c r="H1033" s="13" t="s">
        <v>34162</v>
      </c>
      <c r="I1033" s="40" t="s">
        <v>18</v>
      </c>
      <c r="J1033" s="40" t="str">
        <f>HYPERLINK("https://stock.pstatic.net/stock-research/company/57/20260728_company_505296000.pdf","PDF")</f>
        <v>PDF</v>
      </c>
      <c r="K1033" s="12" t="s">
        <v>34163</v>
      </c>
      <c r="L1033" s="36">
        <v>0.3147410358565737</v>
      </c>
    </row>
    <row r="1034" spans="1:12" x14ac:dyDescent="0.45">
      <c r="A1034" s="12" t="s">
        <v>33801</v>
      </c>
      <c r="B1034" s="12" t="s">
        <v>2950</v>
      </c>
      <c r="C1034" s="13" t="s">
        <v>2951</v>
      </c>
      <c r="D1034" s="13" t="s">
        <v>158</v>
      </c>
      <c r="E1034" s="12" t="s">
        <v>35</v>
      </c>
      <c r="F1034" s="14">
        <v>149000</v>
      </c>
      <c r="G1034" s="14">
        <v>70900</v>
      </c>
      <c r="H1034" s="13" t="s">
        <v>7903</v>
      </c>
      <c r="I1034" s="40" t="s">
        <v>18</v>
      </c>
      <c r="J1034" s="40" t="str">
        <f>HYPERLINK("https://stock.pstatic.net/stock-research/company/18/20260728_company_579104000.pdf","PDF")</f>
        <v>PDF</v>
      </c>
      <c r="K1034" s="12" t="s">
        <v>34164</v>
      </c>
      <c r="L1034" s="36">
        <v>1.1015514809590969</v>
      </c>
    </row>
    <row r="1035" spans="1:12" x14ac:dyDescent="0.45">
      <c r="A1035" s="12" t="s">
        <v>33801</v>
      </c>
      <c r="B1035" s="12" t="s">
        <v>3284</v>
      </c>
      <c r="C1035" s="13" t="s">
        <v>3285</v>
      </c>
      <c r="D1035" s="13" t="s">
        <v>158</v>
      </c>
      <c r="E1035" s="12" t="s">
        <v>35</v>
      </c>
      <c r="F1035" s="14">
        <v>179000</v>
      </c>
      <c r="G1035" s="14">
        <v>88800</v>
      </c>
      <c r="H1035" s="13" t="s">
        <v>34165</v>
      </c>
      <c r="I1035" s="40" t="s">
        <v>18</v>
      </c>
      <c r="J1035" s="40" t="str">
        <f>HYPERLINK("https://stock.pstatic.net/stock-research/company/18/20260728_company_987703000.pdf","PDF")</f>
        <v>PDF</v>
      </c>
      <c r="K1035" s="12" t="s">
        <v>34166</v>
      </c>
      <c r="L1035" s="36">
        <v>1.0157657657657659</v>
      </c>
    </row>
    <row r="1036" spans="1:12" x14ac:dyDescent="0.45">
      <c r="A1036" s="12" t="s">
        <v>33801</v>
      </c>
      <c r="B1036" s="12" t="s">
        <v>740</v>
      </c>
      <c r="C1036" s="13" t="s">
        <v>741</v>
      </c>
      <c r="D1036" s="13" t="s">
        <v>158</v>
      </c>
      <c r="E1036" s="12" t="s">
        <v>35</v>
      </c>
      <c r="F1036" s="14">
        <v>1400000</v>
      </c>
      <c r="G1036" s="14">
        <v>614000</v>
      </c>
      <c r="H1036" s="13" t="s">
        <v>34167</v>
      </c>
      <c r="I1036" s="40" t="s">
        <v>18</v>
      </c>
      <c r="J1036" s="40" t="str">
        <f>HYPERLINK("https://stock.pstatic.net/stock-research/company/18/20260728_company_128731000.pdf","PDF")</f>
        <v>PDF</v>
      </c>
      <c r="K1036" s="12" t="s">
        <v>34168</v>
      </c>
      <c r="L1036" s="36">
        <v>1.280130293159609</v>
      </c>
    </row>
    <row r="1037" spans="1:12" x14ac:dyDescent="0.45">
      <c r="A1037" s="12" t="s">
        <v>33801</v>
      </c>
      <c r="B1037" s="12" t="s">
        <v>10321</v>
      </c>
      <c r="C1037" s="13" t="s">
        <v>10322</v>
      </c>
      <c r="D1037" s="13" t="s">
        <v>158</v>
      </c>
      <c r="E1037" s="12" t="s">
        <v>50</v>
      </c>
      <c r="F1037" s="13"/>
      <c r="G1037" s="14">
        <v>6730</v>
      </c>
      <c r="H1037" s="13" t="s">
        <v>34169</v>
      </c>
      <c r="I1037" s="40" t="s">
        <v>18</v>
      </c>
      <c r="J1037" s="40" t="str">
        <f>HYPERLINK("https://stock.pstatic.net/stock-research/company/18/20260728_company_694931000.pdf","PDF")</f>
        <v>PDF</v>
      </c>
      <c r="K1037" s="12" t="s">
        <v>34170</v>
      </c>
      <c r="L1037" s="12"/>
    </row>
    <row r="1038" spans="1:12" x14ac:dyDescent="0.45">
      <c r="A1038" s="12" t="s">
        <v>33801</v>
      </c>
      <c r="B1038" s="12" t="s">
        <v>691</v>
      </c>
      <c r="C1038" s="13" t="s">
        <v>20</v>
      </c>
      <c r="D1038" s="13" t="s">
        <v>158</v>
      </c>
      <c r="E1038" s="12" t="s">
        <v>35</v>
      </c>
      <c r="F1038" s="14">
        <v>280000</v>
      </c>
      <c r="G1038" s="14">
        <v>178700</v>
      </c>
      <c r="H1038" s="13" t="s">
        <v>34171</v>
      </c>
      <c r="I1038" s="40" t="s">
        <v>18</v>
      </c>
      <c r="J1038" s="40" t="str">
        <f>HYPERLINK("https://stock.pstatic.net/stock-research/company/18/20260728_company_895005000.pdf","PDF")</f>
        <v>PDF</v>
      </c>
      <c r="K1038" s="12" t="s">
        <v>34172</v>
      </c>
      <c r="L1038" s="36">
        <v>0.56687185226636827</v>
      </c>
    </row>
    <row r="1039" spans="1:12" x14ac:dyDescent="0.45">
      <c r="A1039" s="12" t="s">
        <v>33801</v>
      </c>
      <c r="B1039" s="12" t="s">
        <v>2024</v>
      </c>
      <c r="C1039" s="13" t="s">
        <v>2025</v>
      </c>
      <c r="D1039" s="13" t="s">
        <v>15</v>
      </c>
      <c r="E1039" s="12" t="s">
        <v>16</v>
      </c>
      <c r="F1039" s="14">
        <v>48000</v>
      </c>
      <c r="G1039" s="14">
        <v>38700</v>
      </c>
      <c r="H1039" s="13" t="s">
        <v>34173</v>
      </c>
      <c r="I1039" s="40" t="s">
        <v>18</v>
      </c>
      <c r="J1039" s="40" t="str">
        <f>HYPERLINK("https://stock.pstatic.net/stock-research/company/56/20260728_company_682302000.pdf","PDF")</f>
        <v>PDF</v>
      </c>
      <c r="K1039" s="12" t="s">
        <v>34174</v>
      </c>
      <c r="L1039" s="36">
        <v>0.24031007751937991</v>
      </c>
    </row>
    <row r="1040" spans="1:12" x14ac:dyDescent="0.45">
      <c r="A1040" s="12" t="s">
        <v>33801</v>
      </c>
      <c r="B1040" s="12" t="s">
        <v>3399</v>
      </c>
      <c r="C1040" s="13" t="s">
        <v>3400</v>
      </c>
      <c r="D1040" s="13" t="s">
        <v>15</v>
      </c>
      <c r="E1040" s="12" t="s">
        <v>16</v>
      </c>
      <c r="F1040" s="14">
        <v>40000</v>
      </c>
      <c r="G1040" s="14">
        <v>17500</v>
      </c>
      <c r="H1040" s="13" t="s">
        <v>34175</v>
      </c>
      <c r="I1040" s="40" t="s">
        <v>18</v>
      </c>
      <c r="J1040" s="40" t="str">
        <f>HYPERLINK("https://stock.pstatic.net/stock-research/company/56/20260728_company_389874000.pdf","PDF")</f>
        <v>PDF</v>
      </c>
      <c r="K1040" s="12" t="s">
        <v>34176</v>
      </c>
      <c r="L1040" s="36">
        <v>1.285714285714286</v>
      </c>
    </row>
    <row r="1041" spans="1:12" x14ac:dyDescent="0.45">
      <c r="A1041" s="12" t="s">
        <v>33801</v>
      </c>
      <c r="B1041" s="12" t="s">
        <v>3488</v>
      </c>
      <c r="C1041" s="13" t="s">
        <v>3489</v>
      </c>
      <c r="D1041" s="13" t="s">
        <v>83</v>
      </c>
      <c r="E1041" s="12" t="s">
        <v>35</v>
      </c>
      <c r="F1041" s="14">
        <v>43000</v>
      </c>
      <c r="G1041" s="14">
        <v>30850</v>
      </c>
      <c r="H1041" s="13" t="s">
        <v>34177</v>
      </c>
      <c r="I1041" s="40" t="s">
        <v>18</v>
      </c>
      <c r="J1041" s="40" t="str">
        <f>HYPERLINK("https://stock.pstatic.net/stock-research/company/15/20260728_company_833287000.pdf","PDF")</f>
        <v>PDF</v>
      </c>
      <c r="K1041" s="12" t="s">
        <v>34178</v>
      </c>
      <c r="L1041" s="36">
        <v>0.39384116693679089</v>
      </c>
    </row>
    <row r="1042" spans="1:12" x14ac:dyDescent="0.45">
      <c r="A1042" s="12" t="s">
        <v>33801</v>
      </c>
      <c r="B1042" s="12" t="s">
        <v>740</v>
      </c>
      <c r="C1042" s="13" t="s">
        <v>741</v>
      </c>
      <c r="D1042" s="13" t="s">
        <v>83</v>
      </c>
      <c r="E1042" s="12" t="s">
        <v>35</v>
      </c>
      <c r="F1042" s="14">
        <v>1300000</v>
      </c>
      <c r="G1042" s="14">
        <v>614000</v>
      </c>
      <c r="H1042" s="13" t="s">
        <v>34179</v>
      </c>
      <c r="I1042" s="40" t="s">
        <v>18</v>
      </c>
      <c r="J1042" s="40" t="str">
        <f>HYPERLINK("https://stock.pstatic.net/stock-research/company/15/20260728_company_301269000.pdf","PDF")</f>
        <v>PDF</v>
      </c>
      <c r="K1042" s="12" t="s">
        <v>34180</v>
      </c>
      <c r="L1042" s="36">
        <v>1.117263843648209</v>
      </c>
    </row>
    <row r="1043" spans="1:12" x14ac:dyDescent="0.45">
      <c r="A1043" s="12" t="s">
        <v>33801</v>
      </c>
      <c r="B1043" s="12" t="s">
        <v>2414</v>
      </c>
      <c r="C1043" s="13" t="s">
        <v>2415</v>
      </c>
      <c r="D1043" s="13" t="s">
        <v>83</v>
      </c>
      <c r="E1043" s="12" t="s">
        <v>35</v>
      </c>
      <c r="F1043" s="14">
        <v>1840000</v>
      </c>
      <c r="G1043" s="14">
        <v>1197000</v>
      </c>
      <c r="H1043" s="13" t="s">
        <v>34181</v>
      </c>
      <c r="I1043" s="40" t="s">
        <v>18</v>
      </c>
      <c r="J1043" s="40" t="str">
        <f>HYPERLINK("https://stock.pstatic.net/stock-research/company/15/20260728_company_847940000.pdf","PDF")</f>
        <v>PDF</v>
      </c>
      <c r="K1043" s="12" t="s">
        <v>34182</v>
      </c>
      <c r="L1043" s="36">
        <v>0.53717627401837931</v>
      </c>
    </row>
    <row r="1044" spans="1:12" x14ac:dyDescent="0.45">
      <c r="A1044" s="12" t="s">
        <v>33801</v>
      </c>
      <c r="B1044" s="12" t="s">
        <v>691</v>
      </c>
      <c r="C1044" s="13" t="s">
        <v>20</v>
      </c>
      <c r="D1044" s="13" t="s">
        <v>83</v>
      </c>
      <c r="E1044" s="12" t="s">
        <v>35</v>
      </c>
      <c r="F1044" s="14">
        <v>280000</v>
      </c>
      <c r="G1044" s="14">
        <v>178700</v>
      </c>
      <c r="H1044" s="13" t="s">
        <v>34183</v>
      </c>
      <c r="I1044" s="40" t="s">
        <v>18</v>
      </c>
      <c r="J1044" s="40" t="str">
        <f>HYPERLINK("https://stock.pstatic.net/stock-research/company/15/20260728_company_67354000.pdf","PDF")</f>
        <v>PDF</v>
      </c>
      <c r="K1044" s="12" t="s">
        <v>34184</v>
      </c>
      <c r="L1044" s="36">
        <v>0.56687185226636827</v>
      </c>
    </row>
    <row r="1045" spans="1:12" x14ac:dyDescent="0.45">
      <c r="A1045" s="12" t="s">
        <v>33801</v>
      </c>
      <c r="B1045" s="12" t="s">
        <v>740</v>
      </c>
      <c r="C1045" s="13" t="s">
        <v>741</v>
      </c>
      <c r="D1045" s="13" t="s">
        <v>15</v>
      </c>
      <c r="E1045" s="12" t="s">
        <v>16</v>
      </c>
      <c r="F1045" s="14">
        <v>950000</v>
      </c>
      <c r="G1045" s="14">
        <v>614000</v>
      </c>
      <c r="H1045" s="13" t="s">
        <v>34185</v>
      </c>
      <c r="I1045" s="40" t="s">
        <v>18</v>
      </c>
      <c r="J1045" s="40" t="str">
        <f>HYPERLINK("https://stock.pstatic.net/stock-research/company/56/20260728_company_68899000.pdf","PDF")</f>
        <v>PDF</v>
      </c>
      <c r="K1045" s="12" t="s">
        <v>34186</v>
      </c>
      <c r="L1045" s="36">
        <v>0.54723127035830621</v>
      </c>
    </row>
    <row r="1046" spans="1:12" x14ac:dyDescent="0.45">
      <c r="A1046" s="12" t="s">
        <v>33801</v>
      </c>
      <c r="B1046" s="12" t="s">
        <v>2950</v>
      </c>
      <c r="C1046" s="13" t="s">
        <v>2951</v>
      </c>
      <c r="D1046" s="13" t="s">
        <v>15</v>
      </c>
      <c r="E1046" s="12" t="s">
        <v>16</v>
      </c>
      <c r="F1046" s="14">
        <v>100000</v>
      </c>
      <c r="G1046" s="14">
        <v>70900</v>
      </c>
      <c r="H1046" s="13" t="s">
        <v>34187</v>
      </c>
      <c r="I1046" s="40" t="s">
        <v>18</v>
      </c>
      <c r="J1046" s="40" t="str">
        <f>HYPERLINK("https://stock.pstatic.net/stock-research/company/56/20260728_company_766999000.pdf","PDF")</f>
        <v>PDF</v>
      </c>
      <c r="K1046" s="12" t="s">
        <v>34188</v>
      </c>
      <c r="L1046" s="36">
        <v>0.41043723554301831</v>
      </c>
    </row>
    <row r="1047" spans="1:12" x14ac:dyDescent="0.45">
      <c r="A1047" s="12" t="s">
        <v>33801</v>
      </c>
      <c r="B1047" s="12" t="s">
        <v>3168</v>
      </c>
      <c r="C1047" s="13" t="s">
        <v>3169</v>
      </c>
      <c r="D1047" s="13" t="s">
        <v>15</v>
      </c>
      <c r="E1047" s="12" t="s">
        <v>16</v>
      </c>
      <c r="F1047" s="14">
        <v>25000</v>
      </c>
      <c r="G1047" s="14">
        <v>18090</v>
      </c>
      <c r="H1047" s="13" t="s">
        <v>34189</v>
      </c>
      <c r="I1047" s="40" t="s">
        <v>18</v>
      </c>
      <c r="J1047" s="40" t="str">
        <f>HYPERLINK("https://stock.pstatic.net/stock-research/company/56/20260728_company_977467000.pdf","PDF")</f>
        <v>PDF</v>
      </c>
      <c r="K1047" s="12" t="s">
        <v>34190</v>
      </c>
      <c r="L1047" s="36">
        <v>0.38197899391929241</v>
      </c>
    </row>
    <row r="1048" spans="1:12" x14ac:dyDescent="0.45">
      <c r="A1048" s="12" t="s">
        <v>33801</v>
      </c>
      <c r="B1048" s="12" t="s">
        <v>3087</v>
      </c>
      <c r="C1048" s="13" t="s">
        <v>3088</v>
      </c>
      <c r="D1048" s="13" t="s">
        <v>23</v>
      </c>
      <c r="E1048" s="12" t="s">
        <v>50</v>
      </c>
      <c r="F1048" s="13"/>
      <c r="G1048" s="14">
        <v>206000</v>
      </c>
      <c r="H1048" s="13" t="s">
        <v>34191</v>
      </c>
      <c r="I1048" s="40" t="s">
        <v>18</v>
      </c>
      <c r="J1048" s="40" t="str">
        <f>HYPERLINK("https://stock.pstatic.net/stock-research/company/21/20260728_company_508844000.pdf","PDF")</f>
        <v>PDF</v>
      </c>
      <c r="K1048" s="12" t="s">
        <v>34192</v>
      </c>
      <c r="L1048" s="12"/>
    </row>
    <row r="1049" spans="1:12" x14ac:dyDescent="0.45">
      <c r="A1049" s="12" t="s">
        <v>33801</v>
      </c>
      <c r="B1049" s="12" t="s">
        <v>3284</v>
      </c>
      <c r="C1049" s="13" t="s">
        <v>3285</v>
      </c>
      <c r="D1049" s="13" t="s">
        <v>92</v>
      </c>
      <c r="E1049" s="12" t="s">
        <v>35</v>
      </c>
      <c r="F1049" s="14">
        <v>137000</v>
      </c>
      <c r="G1049" s="14">
        <v>88800</v>
      </c>
      <c r="H1049" s="13" t="s">
        <v>34193</v>
      </c>
      <c r="I1049" s="40" t="s">
        <v>18</v>
      </c>
      <c r="J1049" s="40" t="str">
        <f>HYPERLINK("https://stock.pstatic.net/stock-research/company/63/20260728_company_515941000.pdf","PDF")</f>
        <v>PDF</v>
      </c>
      <c r="K1049" s="12" t="s">
        <v>34194</v>
      </c>
      <c r="L1049" s="36">
        <v>0.5427927927927928</v>
      </c>
    </row>
    <row r="1050" spans="1:12" x14ac:dyDescent="0.45">
      <c r="A1050" s="12" t="s">
        <v>33801</v>
      </c>
      <c r="B1050" s="12" t="s">
        <v>2950</v>
      </c>
      <c r="C1050" s="13" t="s">
        <v>2951</v>
      </c>
      <c r="D1050" s="13" t="s">
        <v>92</v>
      </c>
      <c r="E1050" s="12" t="s">
        <v>35</v>
      </c>
      <c r="F1050" s="14">
        <v>110000</v>
      </c>
      <c r="G1050" s="14">
        <v>70900</v>
      </c>
      <c r="H1050" s="13" t="s">
        <v>34195</v>
      </c>
      <c r="I1050" s="40" t="s">
        <v>18</v>
      </c>
      <c r="J1050" s="40" t="str">
        <f>HYPERLINK("https://stock.pstatic.net/stock-research/company/63/20260728_company_468149000.pdf","PDF")</f>
        <v>PDF</v>
      </c>
      <c r="K1050" s="12" t="s">
        <v>34196</v>
      </c>
      <c r="L1050" s="36">
        <v>0.5514809590973202</v>
      </c>
    </row>
    <row r="1051" spans="1:12" x14ac:dyDescent="0.45">
      <c r="A1051" s="12" t="s">
        <v>33801</v>
      </c>
      <c r="B1051" s="12" t="s">
        <v>740</v>
      </c>
      <c r="C1051" s="13" t="s">
        <v>741</v>
      </c>
      <c r="D1051" s="13" t="s">
        <v>179</v>
      </c>
      <c r="E1051" s="12" t="s">
        <v>16</v>
      </c>
      <c r="F1051" s="14">
        <v>1000000</v>
      </c>
      <c r="G1051" s="14">
        <v>614000</v>
      </c>
      <c r="H1051" s="13" t="s">
        <v>34197</v>
      </c>
      <c r="I1051" s="40" t="s">
        <v>18</v>
      </c>
      <c r="J1051" s="40" t="str">
        <f>HYPERLINK("https://stock.pstatic.net/stock-research/company/64/20260728_company_826971000.pdf","PDF")</f>
        <v>PDF</v>
      </c>
      <c r="K1051" s="12" t="s">
        <v>34198</v>
      </c>
      <c r="L1051" s="36">
        <v>0.62866449511400646</v>
      </c>
    </row>
    <row r="1052" spans="1:12" x14ac:dyDescent="0.45">
      <c r="A1052" s="12" t="s">
        <v>33801</v>
      </c>
      <c r="B1052" s="12" t="s">
        <v>1449</v>
      </c>
      <c r="C1052" s="13" t="s">
        <v>1450</v>
      </c>
      <c r="D1052" s="13" t="s">
        <v>124</v>
      </c>
      <c r="E1052" s="12" t="s">
        <v>50</v>
      </c>
      <c r="F1052" s="13"/>
      <c r="G1052" s="13"/>
      <c r="H1052" s="13" t="s">
        <v>34199</v>
      </c>
      <c r="I1052" s="40" t="s">
        <v>18</v>
      </c>
      <c r="J1052" s="40" t="str">
        <f>HYPERLINK("https://stock.pstatic.net/stock-research/company/74/20260728_company_914862000.pdf","PDF")</f>
        <v>PDF</v>
      </c>
      <c r="K1052" s="12" t="s">
        <v>34200</v>
      </c>
      <c r="L1052" s="12"/>
    </row>
    <row r="1053" spans="1:12" x14ac:dyDescent="0.45">
      <c r="A1053" s="12" t="s">
        <v>33801</v>
      </c>
      <c r="B1053" s="12" t="s">
        <v>3735</v>
      </c>
      <c r="C1053" s="13" t="s">
        <v>3736</v>
      </c>
      <c r="D1053" s="13" t="s">
        <v>53</v>
      </c>
      <c r="E1053" s="12" t="s">
        <v>16</v>
      </c>
      <c r="F1053" s="14">
        <v>18000</v>
      </c>
      <c r="G1053" s="14">
        <v>8890</v>
      </c>
      <c r="H1053" s="13" t="s">
        <v>34201</v>
      </c>
      <c r="I1053" s="40" t="s">
        <v>18</v>
      </c>
      <c r="J1053" s="40" t="str">
        <f>HYPERLINK("https://stock.pstatic.net/stock-research/company/40/20260728_company_208447000.pdf","PDF")</f>
        <v>PDF</v>
      </c>
      <c r="K1053" s="12" t="s">
        <v>34202</v>
      </c>
      <c r="L1053" s="36">
        <v>1.0247469066366699</v>
      </c>
    </row>
    <row r="1054" spans="1:12" x14ac:dyDescent="0.45">
      <c r="A1054" s="12" t="s">
        <v>33801</v>
      </c>
      <c r="B1054" s="12" t="s">
        <v>691</v>
      </c>
      <c r="C1054" s="13" t="s">
        <v>20</v>
      </c>
      <c r="D1054" s="13" t="s">
        <v>15</v>
      </c>
      <c r="E1054" s="12" t="s">
        <v>16</v>
      </c>
      <c r="F1054" s="14">
        <v>280000</v>
      </c>
      <c r="G1054" s="14">
        <v>178700</v>
      </c>
      <c r="H1054" s="13" t="s">
        <v>34203</v>
      </c>
      <c r="I1054" s="40" t="s">
        <v>18</v>
      </c>
      <c r="J1054" s="40" t="str">
        <f>HYPERLINK("https://stock.pstatic.net/stock-research/company/56/20260728_company_447681000.pdf","PDF")</f>
        <v>PDF</v>
      </c>
      <c r="K1054" s="12" t="s">
        <v>34204</v>
      </c>
      <c r="L1054" s="36">
        <v>0.56687185226636827</v>
      </c>
    </row>
    <row r="1055" spans="1:12" x14ac:dyDescent="0.45">
      <c r="A1055" s="12" t="s">
        <v>33801</v>
      </c>
      <c r="B1055" s="12" t="s">
        <v>3284</v>
      </c>
      <c r="C1055" s="13" t="s">
        <v>3285</v>
      </c>
      <c r="D1055" s="13" t="s">
        <v>179</v>
      </c>
      <c r="E1055" s="12" t="s">
        <v>16</v>
      </c>
      <c r="F1055" s="14">
        <v>134000</v>
      </c>
      <c r="G1055" s="14">
        <v>88800</v>
      </c>
      <c r="H1055" s="13" t="s">
        <v>34205</v>
      </c>
      <c r="I1055" s="40" t="s">
        <v>18</v>
      </c>
      <c r="J1055" s="40" t="str">
        <f>HYPERLINK("https://stock.pstatic.net/stock-research/company/64/20260728_company_222468000.pdf","PDF")</f>
        <v>PDF</v>
      </c>
      <c r="K1055" s="12" t="s">
        <v>34206</v>
      </c>
      <c r="L1055" s="36">
        <v>0.50900900900900903</v>
      </c>
    </row>
    <row r="1056" spans="1:12" x14ac:dyDescent="0.45">
      <c r="A1056" s="12" t="s">
        <v>33801</v>
      </c>
      <c r="B1056" s="12" t="s">
        <v>740</v>
      </c>
      <c r="C1056" s="13" t="s">
        <v>741</v>
      </c>
      <c r="D1056" s="13" t="s">
        <v>44</v>
      </c>
      <c r="E1056" s="12" t="s">
        <v>35</v>
      </c>
      <c r="F1056" s="14">
        <v>1100000</v>
      </c>
      <c r="G1056" s="14">
        <v>614000</v>
      </c>
      <c r="H1056" s="13" t="s">
        <v>34207</v>
      </c>
      <c r="I1056" s="40" t="s">
        <v>18</v>
      </c>
      <c r="J1056" s="40" t="str">
        <f>HYPERLINK("https://stock.pstatic.net/stock-research/company/39/20260728_company_295430000.pdf","PDF")</f>
        <v>PDF</v>
      </c>
      <c r="K1056" s="12" t="s">
        <v>34208</v>
      </c>
      <c r="L1056" s="36">
        <v>0.79153094462540718</v>
      </c>
    </row>
    <row r="1057" spans="1:12" x14ac:dyDescent="0.45">
      <c r="A1057" s="12" t="s">
        <v>33801</v>
      </c>
      <c r="B1057" s="12" t="s">
        <v>2950</v>
      </c>
      <c r="C1057" s="13" t="s">
        <v>2951</v>
      </c>
      <c r="D1057" s="13" t="s">
        <v>53</v>
      </c>
      <c r="E1057" s="12" t="s">
        <v>16</v>
      </c>
      <c r="F1057" s="14">
        <v>140000</v>
      </c>
      <c r="G1057" s="14">
        <v>70900</v>
      </c>
      <c r="H1057" s="13" t="s">
        <v>34209</v>
      </c>
      <c r="I1057" s="40" t="s">
        <v>18</v>
      </c>
      <c r="J1057" s="40" t="str">
        <f>HYPERLINK("https://stock.pstatic.net/stock-research/company/40/20260728_company_755535000.pdf","PDF")</f>
        <v>PDF</v>
      </c>
      <c r="K1057" s="12" t="s">
        <v>34210</v>
      </c>
      <c r="L1057" s="36">
        <v>0.97461212976022571</v>
      </c>
    </row>
    <row r="1058" spans="1:12" x14ac:dyDescent="0.45">
      <c r="A1058" s="12" t="s">
        <v>33801</v>
      </c>
      <c r="B1058" s="12" t="s">
        <v>2414</v>
      </c>
      <c r="C1058" s="13" t="s">
        <v>2415</v>
      </c>
      <c r="D1058" s="13" t="s">
        <v>44</v>
      </c>
      <c r="E1058" s="12" t="s">
        <v>35</v>
      </c>
      <c r="F1058" s="14">
        <v>2200000</v>
      </c>
      <c r="G1058" s="14">
        <v>1197000</v>
      </c>
      <c r="H1058" s="13" t="s">
        <v>34211</v>
      </c>
      <c r="I1058" s="40" t="s">
        <v>18</v>
      </c>
      <c r="J1058" s="40" t="str">
        <f>HYPERLINK("https://stock.pstatic.net/stock-research/company/39/20260728_company_110804000.pdf","PDF")</f>
        <v>PDF</v>
      </c>
      <c r="K1058" s="12" t="s">
        <v>34212</v>
      </c>
      <c r="L1058" s="36">
        <v>0.83792815371762741</v>
      </c>
    </row>
    <row r="1059" spans="1:12" x14ac:dyDescent="0.45">
      <c r="A1059" s="12" t="s">
        <v>33801</v>
      </c>
      <c r="B1059" s="12" t="s">
        <v>691</v>
      </c>
      <c r="C1059" s="13" t="s">
        <v>20</v>
      </c>
      <c r="D1059" s="13" t="s">
        <v>23</v>
      </c>
      <c r="E1059" s="12" t="s">
        <v>16</v>
      </c>
      <c r="F1059" s="14">
        <v>290000</v>
      </c>
      <c r="G1059" s="14">
        <v>178700</v>
      </c>
      <c r="H1059" s="13" t="s">
        <v>34213</v>
      </c>
      <c r="I1059" s="40" t="s">
        <v>18</v>
      </c>
      <c r="J1059" s="40" t="str">
        <f>HYPERLINK("https://stock.pstatic.net/stock-research/company/21/20260728_company_965485000.pdf","PDF")</f>
        <v>PDF</v>
      </c>
      <c r="K1059" s="12" t="s">
        <v>34214</v>
      </c>
      <c r="L1059" s="36">
        <v>0.62283156127588135</v>
      </c>
    </row>
    <row r="1060" spans="1:12" x14ac:dyDescent="0.45">
      <c r="A1060" s="12" t="s">
        <v>33801</v>
      </c>
      <c r="B1060" s="12" t="s">
        <v>752</v>
      </c>
      <c r="C1060" s="13" t="s">
        <v>753</v>
      </c>
      <c r="D1060" s="13" t="s">
        <v>23</v>
      </c>
      <c r="E1060" s="12" t="s">
        <v>16</v>
      </c>
      <c r="F1060" s="14">
        <v>220000</v>
      </c>
      <c r="G1060" s="14">
        <v>137000</v>
      </c>
      <c r="H1060" s="13" t="s">
        <v>34215</v>
      </c>
      <c r="I1060" s="40" t="s">
        <v>18</v>
      </c>
      <c r="J1060" s="40" t="str">
        <f>HYPERLINK("https://stock.pstatic.net/stock-research/company/21/20260728_company_421776000.pdf","PDF")</f>
        <v>PDF</v>
      </c>
      <c r="K1060" s="12" t="s">
        <v>34216</v>
      </c>
      <c r="L1060" s="36">
        <v>0.6058394160583942</v>
      </c>
    </row>
    <row r="1061" spans="1:12" x14ac:dyDescent="0.45">
      <c r="A1061" s="12" t="s">
        <v>33801</v>
      </c>
      <c r="B1061" s="12" t="s">
        <v>128</v>
      </c>
      <c r="C1061" s="13" t="s">
        <v>129</v>
      </c>
      <c r="D1061" s="13" t="s">
        <v>23</v>
      </c>
      <c r="E1061" s="12" t="s">
        <v>16</v>
      </c>
      <c r="F1061" s="14">
        <v>81000</v>
      </c>
      <c r="G1061" s="14">
        <v>45450</v>
      </c>
      <c r="H1061" s="13" t="s">
        <v>34217</v>
      </c>
      <c r="I1061" s="40" t="s">
        <v>18</v>
      </c>
      <c r="J1061" s="40" t="str">
        <f>HYPERLINK("https://stock.pstatic.net/stock-research/company/21/20260728_company_901161000.pdf","PDF")</f>
        <v>PDF</v>
      </c>
      <c r="K1061" s="12" t="s">
        <v>34218</v>
      </c>
      <c r="L1061" s="36">
        <v>0.78217821782178221</v>
      </c>
    </row>
    <row r="1062" spans="1:12" x14ac:dyDescent="0.45">
      <c r="A1062" s="12" t="s">
        <v>33801</v>
      </c>
      <c r="B1062" s="12" t="s">
        <v>740</v>
      </c>
      <c r="C1062" s="13" t="s">
        <v>741</v>
      </c>
      <c r="D1062" s="13" t="s">
        <v>34</v>
      </c>
      <c r="E1062" s="12" t="s">
        <v>35</v>
      </c>
      <c r="F1062" s="14">
        <v>910000</v>
      </c>
      <c r="G1062" s="14">
        <v>614000</v>
      </c>
      <c r="H1062" s="13" t="s">
        <v>34219</v>
      </c>
      <c r="I1062" s="40" t="s">
        <v>18</v>
      </c>
      <c r="J1062" s="40" t="str">
        <f>HYPERLINK("https://stock.pstatic.net/stock-research/company/61/20260728_company_697621000.pdf","PDF")</f>
        <v>PDF</v>
      </c>
      <c r="K1062" s="12" t="s">
        <v>34220</v>
      </c>
      <c r="L1062" s="36">
        <v>0.48208469055374592</v>
      </c>
    </row>
    <row r="1063" spans="1:12" x14ac:dyDescent="0.45">
      <c r="A1063" s="12" t="s">
        <v>33801</v>
      </c>
      <c r="B1063" s="12" t="s">
        <v>740</v>
      </c>
      <c r="C1063" s="13" t="s">
        <v>741</v>
      </c>
      <c r="D1063" s="13" t="s">
        <v>23</v>
      </c>
      <c r="E1063" s="12" t="s">
        <v>16</v>
      </c>
      <c r="F1063" s="14">
        <v>1100000</v>
      </c>
      <c r="G1063" s="14">
        <v>614000</v>
      </c>
      <c r="H1063" s="13" t="s">
        <v>34221</v>
      </c>
      <c r="I1063" s="40" t="s">
        <v>18</v>
      </c>
      <c r="J1063" s="40" t="str">
        <f>HYPERLINK("https://stock.pstatic.net/stock-research/company/21/20260728_company_660000000.pdf","PDF")</f>
        <v>PDF</v>
      </c>
      <c r="K1063" s="12" t="s">
        <v>34222</v>
      </c>
      <c r="L1063" s="36">
        <v>0.79153094462540718</v>
      </c>
    </row>
    <row r="1064" spans="1:12" x14ac:dyDescent="0.45">
      <c r="A1064" s="12" t="s">
        <v>33801</v>
      </c>
      <c r="B1064" s="12" t="s">
        <v>3168</v>
      </c>
      <c r="C1064" s="13" t="s">
        <v>3169</v>
      </c>
      <c r="D1064" s="13" t="s">
        <v>23</v>
      </c>
      <c r="E1064" s="12" t="s">
        <v>16</v>
      </c>
      <c r="F1064" s="14">
        <v>23000</v>
      </c>
      <c r="G1064" s="14">
        <v>18090</v>
      </c>
      <c r="H1064" s="13" t="s">
        <v>34223</v>
      </c>
      <c r="I1064" s="40" t="s">
        <v>18</v>
      </c>
      <c r="J1064" s="40" t="str">
        <f>HYPERLINK("https://stock.pstatic.net/stock-research/company/21/20260728_company_545013000.pdf","PDF")</f>
        <v>PDF</v>
      </c>
      <c r="K1064" s="12" t="s">
        <v>34224</v>
      </c>
      <c r="L1064" s="36">
        <v>0.27142067440574902</v>
      </c>
    </row>
    <row r="1065" spans="1:12" x14ac:dyDescent="0.45">
      <c r="A1065" s="12" t="s">
        <v>33801</v>
      </c>
      <c r="B1065" s="12" t="s">
        <v>2414</v>
      </c>
      <c r="C1065" s="13" t="s">
        <v>2415</v>
      </c>
      <c r="D1065" s="13" t="s">
        <v>23</v>
      </c>
      <c r="E1065" s="12" t="s">
        <v>16</v>
      </c>
      <c r="F1065" s="14">
        <v>2100000</v>
      </c>
      <c r="G1065" s="14">
        <v>1197000</v>
      </c>
      <c r="H1065" s="13" t="s">
        <v>34225</v>
      </c>
      <c r="I1065" s="40" t="s">
        <v>18</v>
      </c>
      <c r="J1065" s="40" t="str">
        <f>HYPERLINK("https://stock.pstatic.net/stock-research/company/21/20260728_company_845196000.pdf","PDF")</f>
        <v>PDF</v>
      </c>
      <c r="K1065" s="12" t="s">
        <v>34226</v>
      </c>
      <c r="L1065" s="36">
        <v>0.75438596491228072</v>
      </c>
    </row>
    <row r="1066" spans="1:12" x14ac:dyDescent="0.45">
      <c r="A1066" s="12" t="s">
        <v>33801</v>
      </c>
      <c r="B1066" s="12" t="s">
        <v>3284</v>
      </c>
      <c r="C1066" s="13" t="s">
        <v>3285</v>
      </c>
      <c r="D1066" s="13" t="s">
        <v>23</v>
      </c>
      <c r="E1066" s="12" t="s">
        <v>16</v>
      </c>
      <c r="F1066" s="14">
        <v>130000</v>
      </c>
      <c r="G1066" s="14">
        <v>88800</v>
      </c>
      <c r="H1066" s="13" t="s">
        <v>34227</v>
      </c>
      <c r="I1066" s="40" t="s">
        <v>18</v>
      </c>
      <c r="J1066" s="40" t="str">
        <f>HYPERLINK("https://stock.pstatic.net/stock-research/company/21/20260728_company_351632000.pdf","PDF")</f>
        <v>PDF</v>
      </c>
      <c r="K1066" s="12" t="s">
        <v>34228</v>
      </c>
      <c r="L1066" s="36">
        <v>0.46396396396396389</v>
      </c>
    </row>
    <row r="1067" spans="1:12" x14ac:dyDescent="0.45">
      <c r="A1067" s="12" t="s">
        <v>33801</v>
      </c>
      <c r="B1067" s="12" t="s">
        <v>1087</v>
      </c>
      <c r="C1067" s="13" t="s">
        <v>1088</v>
      </c>
      <c r="D1067" s="13" t="s">
        <v>53</v>
      </c>
      <c r="E1067" s="12" t="s">
        <v>16</v>
      </c>
      <c r="F1067" s="14">
        <v>200000</v>
      </c>
      <c r="G1067" s="14">
        <v>99900</v>
      </c>
      <c r="H1067" s="13" t="s">
        <v>34229</v>
      </c>
      <c r="I1067" s="40" t="s">
        <v>18</v>
      </c>
      <c r="J1067" s="40" t="str">
        <f>HYPERLINK("https://stock.pstatic.net/stock-research/company/40/20260728_company_692736000.pdf","PDF")</f>
        <v>PDF</v>
      </c>
      <c r="K1067" s="12" t="s">
        <v>34230</v>
      </c>
      <c r="L1067" s="36">
        <v>1.002002002002002</v>
      </c>
    </row>
    <row r="1068" spans="1:12" x14ac:dyDescent="0.45">
      <c r="A1068" s="12" t="s">
        <v>33801</v>
      </c>
      <c r="B1068" s="12" t="s">
        <v>3284</v>
      </c>
      <c r="C1068" s="13" t="s">
        <v>3285</v>
      </c>
      <c r="D1068" s="13" t="s">
        <v>34</v>
      </c>
      <c r="E1068" s="12" t="s">
        <v>35</v>
      </c>
      <c r="F1068" s="14">
        <v>134000</v>
      </c>
      <c r="G1068" s="14">
        <v>88800</v>
      </c>
      <c r="H1068" s="13" t="s">
        <v>34231</v>
      </c>
      <c r="I1068" s="40" t="s">
        <v>18</v>
      </c>
      <c r="J1068" s="40" t="str">
        <f>HYPERLINK("https://stock.pstatic.net/stock-research/company/61/20260728_company_210103000.pdf","PDF")</f>
        <v>PDF</v>
      </c>
      <c r="K1068" s="12" t="s">
        <v>34232</v>
      </c>
      <c r="L1068" s="36">
        <v>0.50900900900900903</v>
      </c>
    </row>
    <row r="1069" spans="1:12" x14ac:dyDescent="0.45">
      <c r="A1069" s="12" t="s">
        <v>33801</v>
      </c>
      <c r="B1069" s="12" t="s">
        <v>3492</v>
      </c>
      <c r="C1069" s="13" t="s">
        <v>3493</v>
      </c>
      <c r="D1069" s="13" t="s">
        <v>23</v>
      </c>
      <c r="E1069" s="12" t="s">
        <v>16</v>
      </c>
      <c r="F1069" s="14">
        <v>26000</v>
      </c>
      <c r="G1069" s="14">
        <v>21350</v>
      </c>
      <c r="H1069" s="13" t="s">
        <v>34233</v>
      </c>
      <c r="I1069" s="40" t="s">
        <v>18</v>
      </c>
      <c r="J1069" s="40" t="str">
        <f>HYPERLINK("https://stock.pstatic.net/stock-research/company/21/20260728_company_841036000.pdf","PDF")</f>
        <v>PDF</v>
      </c>
      <c r="K1069" s="12" t="s">
        <v>34234</v>
      </c>
      <c r="L1069" s="36">
        <v>0.2177985948477752</v>
      </c>
    </row>
    <row r="1070" spans="1:12" x14ac:dyDescent="0.45">
      <c r="A1070" s="12" t="s">
        <v>33801</v>
      </c>
      <c r="B1070" s="12" t="s">
        <v>3492</v>
      </c>
      <c r="C1070" s="13" t="s">
        <v>3493</v>
      </c>
      <c r="D1070" s="13" t="s">
        <v>34</v>
      </c>
      <c r="E1070" s="12" t="s">
        <v>35</v>
      </c>
      <c r="F1070" s="14">
        <v>27000</v>
      </c>
      <c r="G1070" s="14">
        <v>21350</v>
      </c>
      <c r="H1070" s="13" t="s">
        <v>34235</v>
      </c>
      <c r="I1070" s="40" t="s">
        <v>18</v>
      </c>
      <c r="J1070" s="40" t="str">
        <f>HYPERLINK("https://stock.pstatic.net/stock-research/company/61/20260728_company_670698000.pdf","PDF")</f>
        <v>PDF</v>
      </c>
      <c r="K1070" s="12" t="s">
        <v>34236</v>
      </c>
      <c r="L1070" s="36">
        <v>0.26463700234192039</v>
      </c>
    </row>
    <row r="1071" spans="1:12" x14ac:dyDescent="0.45">
      <c r="A1071" s="12" t="s">
        <v>33801</v>
      </c>
      <c r="B1071" s="12" t="s">
        <v>3168</v>
      </c>
      <c r="C1071" s="13" t="s">
        <v>3169</v>
      </c>
      <c r="D1071" s="13" t="s">
        <v>34</v>
      </c>
      <c r="E1071" s="12" t="s">
        <v>35</v>
      </c>
      <c r="F1071" s="14">
        <v>23000</v>
      </c>
      <c r="G1071" s="14">
        <v>18090</v>
      </c>
      <c r="H1071" s="13" t="s">
        <v>34237</v>
      </c>
      <c r="I1071" s="40" t="s">
        <v>18</v>
      </c>
      <c r="J1071" s="40" t="str">
        <f>HYPERLINK("https://stock.pstatic.net/stock-research/company/61/20260728_company_925425000.pdf","PDF")</f>
        <v>PDF</v>
      </c>
      <c r="K1071" s="12" t="s">
        <v>34238</v>
      </c>
      <c r="L1071" s="36">
        <v>0.27142067440574902</v>
      </c>
    </row>
    <row r="1072" spans="1:12" x14ac:dyDescent="0.45">
      <c r="A1072" s="12" t="s">
        <v>33801</v>
      </c>
      <c r="B1072" s="12" t="s">
        <v>740</v>
      </c>
      <c r="C1072" s="13" t="s">
        <v>741</v>
      </c>
      <c r="D1072" s="13" t="s">
        <v>53</v>
      </c>
      <c r="E1072" s="12" t="s">
        <v>16</v>
      </c>
      <c r="F1072" s="14">
        <v>850000</v>
      </c>
      <c r="G1072" s="14">
        <v>614000</v>
      </c>
      <c r="H1072" s="13" t="s">
        <v>34239</v>
      </c>
      <c r="I1072" s="40" t="s">
        <v>18</v>
      </c>
      <c r="J1072" s="40" t="str">
        <f>HYPERLINK("https://stock.pstatic.net/stock-research/company/40/20260728_company_825239000.pdf","PDF")</f>
        <v>PDF</v>
      </c>
      <c r="K1072" s="12" t="s">
        <v>34240</v>
      </c>
      <c r="L1072" s="36">
        <v>0.38436482084690549</v>
      </c>
    </row>
    <row r="1073" spans="1:12" x14ac:dyDescent="0.45">
      <c r="A1073" s="12" t="s">
        <v>33801</v>
      </c>
      <c r="B1073" s="12" t="s">
        <v>691</v>
      </c>
      <c r="C1073" s="13" t="s">
        <v>20</v>
      </c>
      <c r="D1073" s="13" t="s">
        <v>34</v>
      </c>
      <c r="E1073" s="12" t="s">
        <v>35</v>
      </c>
      <c r="F1073" s="14">
        <v>260000</v>
      </c>
      <c r="G1073" s="14">
        <v>178700</v>
      </c>
      <c r="H1073" s="13" t="s">
        <v>34241</v>
      </c>
      <c r="I1073" s="40" t="s">
        <v>18</v>
      </c>
      <c r="J1073" s="40" t="str">
        <f>HYPERLINK("https://stock.pstatic.net/stock-research/company/61/20260728_company_133234000.pdf","PDF")</f>
        <v>PDF</v>
      </c>
      <c r="K1073" s="12" t="s">
        <v>34242</v>
      </c>
      <c r="L1073" s="36">
        <v>0.45495243424734189</v>
      </c>
    </row>
    <row r="1074" spans="1:12" x14ac:dyDescent="0.45">
      <c r="A1074" s="12" t="s">
        <v>33801</v>
      </c>
      <c r="B1074" s="12" t="s">
        <v>2950</v>
      </c>
      <c r="C1074" s="13" t="s">
        <v>2951</v>
      </c>
      <c r="D1074" s="13" t="s">
        <v>23</v>
      </c>
      <c r="E1074" s="12" t="s">
        <v>16</v>
      </c>
      <c r="F1074" s="14">
        <v>135000</v>
      </c>
      <c r="G1074" s="14">
        <v>70900</v>
      </c>
      <c r="H1074" s="13" t="s">
        <v>34243</v>
      </c>
      <c r="I1074" s="40" t="s">
        <v>18</v>
      </c>
      <c r="J1074" s="40" t="str">
        <f>HYPERLINK("https://stock.pstatic.net/stock-research/company/21/20260728_company_642404000.pdf","PDF")</f>
        <v>PDF</v>
      </c>
      <c r="K1074" s="12" t="s">
        <v>34244</v>
      </c>
      <c r="L1074" s="36">
        <v>0.90409026798307479</v>
      </c>
    </row>
    <row r="1075" spans="1:12" x14ac:dyDescent="0.45">
      <c r="A1075" s="12" t="s">
        <v>33801</v>
      </c>
      <c r="B1075" s="12" t="s">
        <v>10976</v>
      </c>
      <c r="C1075" s="13" t="s">
        <v>10977</v>
      </c>
      <c r="D1075" s="13" t="s">
        <v>34</v>
      </c>
      <c r="E1075" s="12" t="s">
        <v>159</v>
      </c>
      <c r="F1075" s="14">
        <v>43000</v>
      </c>
      <c r="G1075" s="14">
        <v>38000</v>
      </c>
      <c r="H1075" s="13" t="s">
        <v>33802</v>
      </c>
      <c r="I1075" s="40" t="s">
        <v>18</v>
      </c>
      <c r="J1075" s="40" t="str">
        <f>HYPERLINK("https://stock.pstatic.net/stock-research/company/61/20260728_company_146023000.pdf","PDF")</f>
        <v>PDF</v>
      </c>
      <c r="K1075" s="12" t="s">
        <v>33803</v>
      </c>
      <c r="L1075" s="36">
        <v>0.13157894736842099</v>
      </c>
    </row>
    <row r="1076" spans="1:12" x14ac:dyDescent="0.45">
      <c r="A1076" s="12" t="s">
        <v>33801</v>
      </c>
      <c r="B1076" s="12" t="s">
        <v>1459</v>
      </c>
      <c r="C1076" s="13" t="s">
        <v>1460</v>
      </c>
      <c r="D1076" s="13" t="s">
        <v>34</v>
      </c>
      <c r="E1076" s="12" t="s">
        <v>35</v>
      </c>
      <c r="F1076" s="14">
        <v>485000</v>
      </c>
      <c r="G1076" s="14">
        <v>309000</v>
      </c>
      <c r="H1076" s="13" t="s">
        <v>33804</v>
      </c>
      <c r="I1076" s="40" t="s">
        <v>18</v>
      </c>
      <c r="J1076" s="40" t="str">
        <f>HYPERLINK("https://stock.pstatic.net/stock-research/company/61/20260728_company_475619000.pdf","PDF")</f>
        <v>PDF</v>
      </c>
      <c r="K1076" s="12" t="s">
        <v>33805</v>
      </c>
      <c r="L1076" s="36">
        <v>0.56957928802588997</v>
      </c>
    </row>
    <row r="1077" spans="1:12" x14ac:dyDescent="0.45">
      <c r="A1077" s="12" t="s">
        <v>33801</v>
      </c>
      <c r="B1077" s="12" t="s">
        <v>10413</v>
      </c>
      <c r="C1077" s="13" t="s">
        <v>10414</v>
      </c>
      <c r="D1077" s="13" t="s">
        <v>179</v>
      </c>
      <c r="E1077" s="12" t="s">
        <v>50</v>
      </c>
      <c r="F1077" s="13"/>
      <c r="G1077" s="14">
        <v>9300</v>
      </c>
      <c r="H1077" s="13" t="s">
        <v>33806</v>
      </c>
      <c r="I1077" s="40" t="s">
        <v>18</v>
      </c>
      <c r="J1077" s="40" t="str">
        <f>HYPERLINK("https://stock.pstatic.net/stock-research/company/64/20260728_company_919351000.pdf","PDF")</f>
        <v>PDF</v>
      </c>
      <c r="K1077" s="12" t="s">
        <v>33807</v>
      </c>
      <c r="L1077" s="12"/>
    </row>
    <row r="1078" spans="1:12" x14ac:dyDescent="0.45">
      <c r="A1078" s="12" t="s">
        <v>33801</v>
      </c>
      <c r="B1078" s="12" t="s">
        <v>3284</v>
      </c>
      <c r="C1078" s="13" t="s">
        <v>3285</v>
      </c>
      <c r="D1078" s="13" t="s">
        <v>44</v>
      </c>
      <c r="E1078" s="12" t="s">
        <v>35</v>
      </c>
      <c r="F1078" s="14">
        <v>144000</v>
      </c>
      <c r="G1078" s="14">
        <v>88800</v>
      </c>
      <c r="H1078" s="13" t="s">
        <v>33808</v>
      </c>
      <c r="I1078" s="40" t="s">
        <v>18</v>
      </c>
      <c r="J1078" s="40" t="str">
        <f>HYPERLINK("https://stock.pstatic.net/stock-research/company/39/20260728_company_206731000.pdf","PDF")</f>
        <v>PDF</v>
      </c>
      <c r="K1078" s="12" t="s">
        <v>33809</v>
      </c>
      <c r="L1078" s="36">
        <v>0.6216216216216216</v>
      </c>
    </row>
    <row r="1079" spans="1:12" x14ac:dyDescent="0.45">
      <c r="A1079" s="12" t="s">
        <v>33801</v>
      </c>
      <c r="B1079" s="12" t="s">
        <v>1224</v>
      </c>
      <c r="C1079" s="13" t="s">
        <v>83</v>
      </c>
      <c r="D1079" s="13" t="s">
        <v>179</v>
      </c>
      <c r="E1079" s="12" t="s">
        <v>16</v>
      </c>
      <c r="F1079" s="14">
        <v>42000</v>
      </c>
      <c r="G1079" s="14">
        <v>26000</v>
      </c>
      <c r="H1079" s="13" t="s">
        <v>33810</v>
      </c>
      <c r="I1079" s="40" t="s">
        <v>18</v>
      </c>
      <c r="J1079" s="40" t="str">
        <f>HYPERLINK("https://stock.pstatic.net/stock-research/company/64/20260728_company_289619000.pdf","PDF")</f>
        <v>PDF</v>
      </c>
      <c r="K1079" s="12" t="s">
        <v>33811</v>
      </c>
      <c r="L1079" s="36">
        <v>0.61538461538461542</v>
      </c>
    </row>
    <row r="1080" spans="1:12" x14ac:dyDescent="0.45">
      <c r="A1080" s="12" t="s">
        <v>33801</v>
      </c>
      <c r="B1080" s="12" t="s">
        <v>2950</v>
      </c>
      <c r="C1080" s="13" t="s">
        <v>2951</v>
      </c>
      <c r="D1080" s="13" t="s">
        <v>44</v>
      </c>
      <c r="E1080" s="12" t="s">
        <v>35</v>
      </c>
      <c r="F1080" s="14">
        <v>130000</v>
      </c>
      <c r="G1080" s="14">
        <v>70900</v>
      </c>
      <c r="H1080" s="13" t="s">
        <v>33812</v>
      </c>
      <c r="I1080" s="40" t="s">
        <v>18</v>
      </c>
      <c r="J1080" s="40" t="str">
        <f>HYPERLINK("https://stock.pstatic.net/stock-research/company/39/20260728_company_39877000.pdf","PDF")</f>
        <v>PDF</v>
      </c>
      <c r="K1080" s="12" t="s">
        <v>33813</v>
      </c>
      <c r="L1080" s="36">
        <v>0.83356840620592387</v>
      </c>
    </row>
    <row r="1081" spans="1:12" x14ac:dyDescent="0.45">
      <c r="A1081" s="12" t="s">
        <v>33801</v>
      </c>
      <c r="B1081" s="12" t="s">
        <v>38</v>
      </c>
      <c r="C1081" s="13" t="s">
        <v>39</v>
      </c>
      <c r="D1081" s="13" t="s">
        <v>179</v>
      </c>
      <c r="E1081" s="12" t="s">
        <v>16</v>
      </c>
      <c r="F1081" s="14">
        <v>350000</v>
      </c>
      <c r="G1081" s="14">
        <v>259500</v>
      </c>
      <c r="H1081" s="13" t="s">
        <v>33814</v>
      </c>
      <c r="I1081" s="40" t="s">
        <v>18</v>
      </c>
      <c r="J1081" s="40" t="str">
        <f>HYPERLINK("https://stock.pstatic.net/stock-research/company/64/20260728_company_549660000.pdf","PDF")</f>
        <v>PDF</v>
      </c>
      <c r="K1081" s="12" t="s">
        <v>33815</v>
      </c>
      <c r="L1081" s="36">
        <v>0.34874759152215801</v>
      </c>
    </row>
    <row r="1082" spans="1:12" x14ac:dyDescent="0.45">
      <c r="A1082" s="12" t="s">
        <v>33801</v>
      </c>
      <c r="B1082" s="12" t="s">
        <v>3492</v>
      </c>
      <c r="C1082" s="13" t="s">
        <v>3493</v>
      </c>
      <c r="D1082" s="13" t="s">
        <v>44</v>
      </c>
      <c r="E1082" s="12" t="s">
        <v>35</v>
      </c>
      <c r="F1082" s="14">
        <v>30000</v>
      </c>
      <c r="G1082" s="14">
        <v>21350</v>
      </c>
      <c r="H1082" s="13" t="s">
        <v>33816</v>
      </c>
      <c r="I1082" s="40" t="s">
        <v>18</v>
      </c>
      <c r="J1082" s="40" t="str">
        <f>HYPERLINK("https://stock.pstatic.net/stock-research/company/39/20260728_company_698305000.pdf","PDF")</f>
        <v>PDF</v>
      </c>
      <c r="K1082" s="12" t="s">
        <v>33817</v>
      </c>
      <c r="L1082" s="36">
        <v>0.40515222482435598</v>
      </c>
    </row>
    <row r="1083" spans="1:12" x14ac:dyDescent="0.45">
      <c r="A1083" s="12" t="s">
        <v>33801</v>
      </c>
      <c r="B1083" s="12" t="s">
        <v>3168</v>
      </c>
      <c r="C1083" s="13" t="s">
        <v>3169</v>
      </c>
      <c r="D1083" s="13" t="s">
        <v>44</v>
      </c>
      <c r="E1083" s="12" t="s">
        <v>35</v>
      </c>
      <c r="F1083" s="14">
        <v>25500</v>
      </c>
      <c r="G1083" s="14">
        <v>18090</v>
      </c>
      <c r="H1083" s="13" t="s">
        <v>33818</v>
      </c>
      <c r="I1083" s="40" t="s">
        <v>18</v>
      </c>
      <c r="J1083" s="40" t="str">
        <f>HYPERLINK("https://stock.pstatic.net/stock-research/company/39/20260728_company_446815000.pdf","PDF")</f>
        <v>PDF</v>
      </c>
      <c r="K1083" s="12" t="s">
        <v>33819</v>
      </c>
      <c r="L1083" s="36">
        <v>0.4096185737976783</v>
      </c>
    </row>
    <row r="1084" spans="1:12" x14ac:dyDescent="0.45">
      <c r="A1084" s="12" t="s">
        <v>33801</v>
      </c>
      <c r="B1084" s="12" t="s">
        <v>740</v>
      </c>
      <c r="C1084" s="13" t="s">
        <v>741</v>
      </c>
      <c r="D1084" s="13" t="s">
        <v>92</v>
      </c>
      <c r="E1084" s="12" t="s">
        <v>35</v>
      </c>
      <c r="F1084" s="14">
        <v>900000</v>
      </c>
      <c r="G1084" s="14">
        <v>614000</v>
      </c>
      <c r="H1084" s="13" t="s">
        <v>33820</v>
      </c>
      <c r="I1084" s="40" t="s">
        <v>18</v>
      </c>
      <c r="J1084" s="40" t="str">
        <f>HYPERLINK("https://stock.pstatic.net/stock-research/company/63/20260728_company_295612000.pdf","PDF")</f>
        <v>PDF</v>
      </c>
      <c r="K1084" s="12" t="s">
        <v>33821</v>
      </c>
      <c r="L1084" s="36">
        <v>0.46579804560260579</v>
      </c>
    </row>
    <row r="1085" spans="1:12" x14ac:dyDescent="0.45">
      <c r="A1085" s="12" t="s">
        <v>33801</v>
      </c>
      <c r="B1085" s="12" t="s">
        <v>2414</v>
      </c>
      <c r="C1085" s="13" t="s">
        <v>2415</v>
      </c>
      <c r="D1085" s="13" t="s">
        <v>92</v>
      </c>
      <c r="E1085" s="12" t="s">
        <v>35</v>
      </c>
      <c r="F1085" s="14">
        <v>2580000</v>
      </c>
      <c r="G1085" s="14">
        <v>1197000</v>
      </c>
      <c r="H1085" s="13" t="s">
        <v>33822</v>
      </c>
      <c r="I1085" s="40" t="s">
        <v>18</v>
      </c>
      <c r="J1085" s="40" t="str">
        <f>HYPERLINK("https://stock.pstatic.net/stock-research/company/63/20260728_company_146377000.pdf","PDF")</f>
        <v>PDF</v>
      </c>
      <c r="K1085" s="12" t="s">
        <v>33823</v>
      </c>
      <c r="L1085" s="36">
        <v>1.155388471177945</v>
      </c>
    </row>
    <row r="1086" spans="1:12" x14ac:dyDescent="0.45">
      <c r="A1086" s="12" t="s">
        <v>33801</v>
      </c>
      <c r="B1086" s="12" t="s">
        <v>16060</v>
      </c>
      <c r="C1086" s="13" t="s">
        <v>16061</v>
      </c>
      <c r="D1086" s="13" t="s">
        <v>124</v>
      </c>
      <c r="E1086" s="12" t="s">
        <v>50</v>
      </c>
      <c r="F1086" s="13"/>
      <c r="G1086" s="13"/>
      <c r="H1086" s="13" t="s">
        <v>33824</v>
      </c>
      <c r="I1086" s="40" t="s">
        <v>18</v>
      </c>
      <c r="J1086" s="40" t="str">
        <f>HYPERLINK("https://stock.pstatic.net/stock-research/company/74/20260728_company_739370000.pdf","PDF")</f>
        <v>PDF</v>
      </c>
      <c r="K1086" s="12" t="s">
        <v>33825</v>
      </c>
      <c r="L1086" s="12"/>
    </row>
    <row r="1087" spans="1:12" x14ac:dyDescent="0.45">
      <c r="A1087" s="12" t="s">
        <v>33776</v>
      </c>
      <c r="B1087" s="12" t="s">
        <v>3488</v>
      </c>
      <c r="C1087" s="13" t="s">
        <v>3489</v>
      </c>
      <c r="D1087" s="13" t="s">
        <v>57</v>
      </c>
      <c r="E1087" s="12" t="s">
        <v>35</v>
      </c>
      <c r="F1087" s="14">
        <v>43000</v>
      </c>
      <c r="G1087" s="14">
        <v>30850</v>
      </c>
      <c r="H1087" s="13" t="s">
        <v>33826</v>
      </c>
      <c r="I1087" s="40" t="s">
        <v>18</v>
      </c>
      <c r="J1087" s="40" t="str">
        <f>HYPERLINK("https://stock.pstatic.net/stock-research/company/16/20260727_company_872509000.pdf","PDF")</f>
        <v>PDF</v>
      </c>
      <c r="K1087" s="12" t="s">
        <v>33827</v>
      </c>
      <c r="L1087" s="36">
        <v>0.39384116693679089</v>
      </c>
    </row>
    <row r="1088" spans="1:12" x14ac:dyDescent="0.45">
      <c r="A1088" s="12" t="s">
        <v>33776</v>
      </c>
      <c r="B1088" s="12" t="s">
        <v>3482</v>
      </c>
      <c r="C1088" s="13" t="s">
        <v>3483</v>
      </c>
      <c r="D1088" s="13" t="s">
        <v>57</v>
      </c>
      <c r="E1088" s="12" t="s">
        <v>35</v>
      </c>
      <c r="F1088" s="14">
        <v>176000</v>
      </c>
      <c r="G1088" s="14">
        <v>132400</v>
      </c>
      <c r="H1088" s="13" t="s">
        <v>33828</v>
      </c>
      <c r="I1088" s="40" t="s">
        <v>18</v>
      </c>
      <c r="J1088" s="40" t="str">
        <f>HYPERLINK("https://stock.pstatic.net/stock-research/company/16/20260727_company_808989000.pdf","PDF")</f>
        <v>PDF</v>
      </c>
      <c r="K1088" s="12" t="s">
        <v>33829</v>
      </c>
      <c r="L1088" s="36">
        <v>0.32930513595166161</v>
      </c>
    </row>
    <row r="1089" spans="1:12" x14ac:dyDescent="0.45">
      <c r="A1089" s="12" t="s">
        <v>33776</v>
      </c>
      <c r="B1089" s="12" t="s">
        <v>3369</v>
      </c>
      <c r="C1089" s="13" t="s">
        <v>3370</v>
      </c>
      <c r="D1089" s="13" t="s">
        <v>57</v>
      </c>
      <c r="E1089" s="12" t="s">
        <v>35</v>
      </c>
      <c r="F1089" s="14">
        <v>40000</v>
      </c>
      <c r="G1089" s="14">
        <v>26900</v>
      </c>
      <c r="H1089" s="13" t="s">
        <v>33830</v>
      </c>
      <c r="I1089" s="40" t="s">
        <v>18</v>
      </c>
      <c r="J1089" s="40" t="str">
        <f>HYPERLINK("https://stock.pstatic.net/stock-research/company/16/20260727_company_253980000.pdf","PDF")</f>
        <v>PDF</v>
      </c>
      <c r="K1089" s="12" t="s">
        <v>33831</v>
      </c>
      <c r="L1089" s="36">
        <v>0.48698884758364308</v>
      </c>
    </row>
    <row r="1090" spans="1:12" x14ac:dyDescent="0.45">
      <c r="A1090" s="12" t="s">
        <v>33776</v>
      </c>
      <c r="B1090" s="12" t="s">
        <v>3548</v>
      </c>
      <c r="C1090" s="13" t="s">
        <v>3549</v>
      </c>
      <c r="D1090" s="13" t="s">
        <v>57</v>
      </c>
      <c r="E1090" s="12" t="s">
        <v>35</v>
      </c>
      <c r="F1090" s="14">
        <v>100000</v>
      </c>
      <c r="G1090" s="14">
        <v>56600</v>
      </c>
      <c r="H1090" s="13" t="s">
        <v>33832</v>
      </c>
      <c r="I1090" s="40" t="s">
        <v>18</v>
      </c>
      <c r="J1090" s="40" t="str">
        <f>HYPERLINK("https://stock.pstatic.net/stock-research/company/16/20260727_company_383476000.pdf","PDF")</f>
        <v>PDF</v>
      </c>
      <c r="K1090" s="12" t="s">
        <v>33833</v>
      </c>
      <c r="L1090" s="36">
        <v>0.7667844522968198</v>
      </c>
    </row>
    <row r="1091" spans="1:12" x14ac:dyDescent="0.45">
      <c r="A1091" s="12" t="s">
        <v>33776</v>
      </c>
      <c r="B1091" s="12" t="s">
        <v>1765</v>
      </c>
      <c r="C1091" s="13" t="s">
        <v>1766</v>
      </c>
      <c r="D1091" s="13" t="s">
        <v>57</v>
      </c>
      <c r="E1091" s="12" t="s">
        <v>35</v>
      </c>
      <c r="F1091" s="14">
        <v>280000</v>
      </c>
      <c r="G1091" s="14">
        <v>130500</v>
      </c>
      <c r="H1091" s="13" t="s">
        <v>33834</v>
      </c>
      <c r="I1091" s="40" t="s">
        <v>18</v>
      </c>
      <c r="J1091" s="40" t="str">
        <f>HYPERLINK("https://stock.pstatic.net/stock-research/company/16/20260727_company_135416000.pdf","PDF")</f>
        <v>PDF</v>
      </c>
      <c r="K1091" s="12" t="s">
        <v>33835</v>
      </c>
      <c r="L1091" s="36">
        <v>1.1455938697318011</v>
      </c>
    </row>
    <row r="1092" spans="1:12" x14ac:dyDescent="0.45">
      <c r="A1092" s="12" t="s">
        <v>33776</v>
      </c>
      <c r="B1092" s="12" t="s">
        <v>577</v>
      </c>
      <c r="C1092" s="13" t="s">
        <v>578</v>
      </c>
      <c r="D1092" s="13" t="s">
        <v>57</v>
      </c>
      <c r="E1092" s="12" t="s">
        <v>35</v>
      </c>
      <c r="F1092" s="14">
        <v>810000</v>
      </c>
      <c r="G1092" s="14">
        <v>482000</v>
      </c>
      <c r="H1092" s="13" t="s">
        <v>33836</v>
      </c>
      <c r="I1092" s="40" t="s">
        <v>18</v>
      </c>
      <c r="J1092" s="40" t="str">
        <f>HYPERLINK("https://stock.pstatic.net/stock-research/company/16/20260727_company_917809000.pdf","PDF")</f>
        <v>PDF</v>
      </c>
      <c r="K1092" s="12" t="s">
        <v>33837</v>
      </c>
      <c r="L1092" s="36">
        <v>0.68049792531120334</v>
      </c>
    </row>
    <row r="1093" spans="1:12" x14ac:dyDescent="0.45">
      <c r="A1093" s="12" t="s">
        <v>33776</v>
      </c>
      <c r="B1093" s="12" t="s">
        <v>577</v>
      </c>
      <c r="C1093" s="13" t="s">
        <v>578</v>
      </c>
      <c r="D1093" s="13" t="s">
        <v>276</v>
      </c>
      <c r="E1093" s="12" t="s">
        <v>16</v>
      </c>
      <c r="F1093" s="14">
        <v>800000</v>
      </c>
      <c r="G1093" s="14">
        <v>482000</v>
      </c>
      <c r="H1093" s="13" t="s">
        <v>33838</v>
      </c>
      <c r="I1093" s="40" t="s">
        <v>18</v>
      </c>
      <c r="J1093" s="40" t="str">
        <f>HYPERLINK("https://stock.pstatic.net/stock-research/company/66/20260727_company_232640000.pdf","PDF")</f>
        <v>PDF</v>
      </c>
      <c r="K1093" s="12" t="s">
        <v>33839</v>
      </c>
      <c r="L1093" s="36">
        <v>0.65975103734439833</v>
      </c>
    </row>
    <row r="1094" spans="1:12" x14ac:dyDescent="0.45">
      <c r="A1094" s="12" t="s">
        <v>33776</v>
      </c>
      <c r="B1094" s="12" t="s">
        <v>1765</v>
      </c>
      <c r="C1094" s="13" t="s">
        <v>1766</v>
      </c>
      <c r="D1094" s="13" t="s">
        <v>276</v>
      </c>
      <c r="E1094" s="12" t="s">
        <v>16</v>
      </c>
      <c r="F1094" s="14">
        <v>210000</v>
      </c>
      <c r="G1094" s="14">
        <v>130500</v>
      </c>
      <c r="H1094" s="13" t="s">
        <v>33840</v>
      </c>
      <c r="I1094" s="40" t="s">
        <v>18</v>
      </c>
      <c r="J1094" s="40" t="str">
        <f>HYPERLINK("https://stock.pstatic.net/stock-research/company/66/20260727_company_140912000.pdf","PDF")</f>
        <v>PDF</v>
      </c>
      <c r="K1094" s="12" t="s">
        <v>33841</v>
      </c>
      <c r="L1094" s="36">
        <v>0.60919540229885061</v>
      </c>
    </row>
    <row r="1095" spans="1:12" x14ac:dyDescent="0.45">
      <c r="A1095" s="12" t="s">
        <v>33776</v>
      </c>
      <c r="B1095" s="12" t="s">
        <v>3548</v>
      </c>
      <c r="C1095" s="13" t="s">
        <v>3549</v>
      </c>
      <c r="D1095" s="13" t="s">
        <v>276</v>
      </c>
      <c r="E1095" s="12" t="s">
        <v>16</v>
      </c>
      <c r="F1095" s="14">
        <v>90000</v>
      </c>
      <c r="G1095" s="14">
        <v>56600</v>
      </c>
      <c r="H1095" s="13" t="s">
        <v>33842</v>
      </c>
      <c r="I1095" s="40" t="s">
        <v>18</v>
      </c>
      <c r="J1095" s="40" t="str">
        <f>HYPERLINK("https://stock.pstatic.net/stock-research/company/66/20260727_company_471041000.pdf","PDF")</f>
        <v>PDF</v>
      </c>
      <c r="K1095" s="12" t="s">
        <v>33843</v>
      </c>
      <c r="L1095" s="36">
        <v>0.59010600706713778</v>
      </c>
    </row>
    <row r="1096" spans="1:12" x14ac:dyDescent="0.45">
      <c r="A1096" s="12" t="s">
        <v>33776</v>
      </c>
      <c r="B1096" s="12" t="s">
        <v>352</v>
      </c>
      <c r="C1096" s="13" t="s">
        <v>353</v>
      </c>
      <c r="D1096" s="13" t="s">
        <v>276</v>
      </c>
      <c r="E1096" s="12" t="s">
        <v>16</v>
      </c>
      <c r="F1096" s="14">
        <v>236000</v>
      </c>
      <c r="G1096" s="14">
        <v>158400</v>
      </c>
      <c r="H1096" s="13" t="s">
        <v>33844</v>
      </c>
      <c r="I1096" s="40" t="s">
        <v>18</v>
      </c>
      <c r="J1096" s="40" t="str">
        <f>HYPERLINK("https://stock.pstatic.net/stock-research/company/66/20260727_company_720217000.pdf","PDF")</f>
        <v>PDF</v>
      </c>
      <c r="K1096" s="12" t="s">
        <v>33845</v>
      </c>
      <c r="L1096" s="36">
        <v>0.48989898989898989</v>
      </c>
    </row>
    <row r="1097" spans="1:12" x14ac:dyDescent="0.45">
      <c r="A1097" s="12" t="s">
        <v>33776</v>
      </c>
      <c r="B1097" s="12" t="s">
        <v>792</v>
      </c>
      <c r="C1097" s="13" t="s">
        <v>793</v>
      </c>
      <c r="D1097" s="13" t="s">
        <v>276</v>
      </c>
      <c r="E1097" s="12" t="s">
        <v>16</v>
      </c>
      <c r="F1097" s="14">
        <v>47000</v>
      </c>
      <c r="G1097" s="14">
        <v>42800</v>
      </c>
      <c r="H1097" s="13" t="s">
        <v>33846</v>
      </c>
      <c r="I1097" s="40" t="s">
        <v>18</v>
      </c>
      <c r="J1097" s="40" t="str">
        <f>HYPERLINK("https://stock.pstatic.net/stock-research/company/66/20260727_company_314221000.pdf","PDF")</f>
        <v>PDF</v>
      </c>
      <c r="K1097" s="12" t="s">
        <v>33847</v>
      </c>
      <c r="L1097" s="36">
        <v>9.8130841121495324E-2</v>
      </c>
    </row>
    <row r="1098" spans="1:12" x14ac:dyDescent="0.45">
      <c r="A1098" s="12" t="s">
        <v>33776</v>
      </c>
      <c r="B1098" s="12" t="s">
        <v>744</v>
      </c>
      <c r="C1098" s="13" t="s">
        <v>745</v>
      </c>
      <c r="D1098" s="13" t="s">
        <v>276</v>
      </c>
      <c r="E1098" s="12" t="s">
        <v>16</v>
      </c>
      <c r="F1098" s="14">
        <v>42000</v>
      </c>
      <c r="G1098" s="14">
        <v>22900</v>
      </c>
      <c r="H1098" s="13" t="s">
        <v>33848</v>
      </c>
      <c r="I1098" s="40" t="s">
        <v>18</v>
      </c>
      <c r="J1098" s="40" t="str">
        <f>HYPERLINK("https://stock.pstatic.net/stock-research/company/66/20260727_company_983580000.pdf","PDF")</f>
        <v>PDF</v>
      </c>
      <c r="K1098" s="12" t="s">
        <v>33849</v>
      </c>
      <c r="L1098" s="36">
        <v>0.83406113537117899</v>
      </c>
    </row>
    <row r="1099" spans="1:12" x14ac:dyDescent="0.45">
      <c r="A1099" s="12" t="s">
        <v>33776</v>
      </c>
      <c r="B1099" s="12" t="s">
        <v>7143</v>
      </c>
      <c r="C1099" s="13" t="s">
        <v>7144</v>
      </c>
      <c r="D1099" s="13" t="s">
        <v>276</v>
      </c>
      <c r="E1099" s="12" t="s">
        <v>16</v>
      </c>
      <c r="F1099" s="14">
        <v>260000</v>
      </c>
      <c r="G1099" s="14">
        <v>164000</v>
      </c>
      <c r="H1099" s="13" t="s">
        <v>33850</v>
      </c>
      <c r="I1099" s="40" t="s">
        <v>18</v>
      </c>
      <c r="J1099" s="40" t="str">
        <f>HYPERLINK("https://stock.pstatic.net/stock-research/company/66/20260727_company_712754000.pdf","PDF")</f>
        <v>PDF</v>
      </c>
      <c r="K1099" s="12" t="s">
        <v>33851</v>
      </c>
      <c r="L1099" s="36">
        <v>0.58536585365853655</v>
      </c>
    </row>
    <row r="1100" spans="1:12" x14ac:dyDescent="0.45">
      <c r="A1100" s="12" t="s">
        <v>33776</v>
      </c>
      <c r="B1100" s="12" t="s">
        <v>7143</v>
      </c>
      <c r="C1100" s="13" t="s">
        <v>7144</v>
      </c>
      <c r="D1100" s="13" t="s">
        <v>60</v>
      </c>
      <c r="E1100" s="12" t="s">
        <v>35</v>
      </c>
      <c r="F1100" s="14">
        <v>275000</v>
      </c>
      <c r="G1100" s="14">
        <v>164000</v>
      </c>
      <c r="H1100" s="13" t="s">
        <v>33852</v>
      </c>
      <c r="I1100" s="40" t="s">
        <v>18</v>
      </c>
      <c r="J1100" s="40" t="str">
        <f>HYPERLINK("https://stock.pstatic.net/stock-research/company/62/20260727_company_541236000.pdf","PDF")</f>
        <v>PDF</v>
      </c>
      <c r="K1100" s="12" t="s">
        <v>33853</v>
      </c>
      <c r="L1100" s="36">
        <v>0.67682926829268297</v>
      </c>
    </row>
    <row r="1101" spans="1:12" x14ac:dyDescent="0.45">
      <c r="A1101" s="12" t="s">
        <v>33776</v>
      </c>
      <c r="B1101" s="12" t="s">
        <v>1765</v>
      </c>
      <c r="C1101" s="13" t="s">
        <v>1766</v>
      </c>
      <c r="D1101" s="13" t="s">
        <v>60</v>
      </c>
      <c r="E1101" s="12" t="s">
        <v>35</v>
      </c>
      <c r="F1101" s="14">
        <v>210000</v>
      </c>
      <c r="G1101" s="14">
        <v>130500</v>
      </c>
      <c r="H1101" s="13" t="s">
        <v>33854</v>
      </c>
      <c r="I1101" s="40" t="s">
        <v>18</v>
      </c>
      <c r="J1101" s="40" t="str">
        <f>HYPERLINK("https://stock.pstatic.net/stock-research/company/62/20260727_company_565008000.pdf","PDF")</f>
        <v>PDF</v>
      </c>
      <c r="K1101" s="12" t="s">
        <v>33855</v>
      </c>
      <c r="L1101" s="36">
        <v>0.60919540229885061</v>
      </c>
    </row>
    <row r="1102" spans="1:12" x14ac:dyDescent="0.45">
      <c r="A1102" s="12" t="s">
        <v>33776</v>
      </c>
      <c r="B1102" s="12" t="s">
        <v>577</v>
      </c>
      <c r="C1102" s="13" t="s">
        <v>578</v>
      </c>
      <c r="D1102" s="13" t="s">
        <v>60</v>
      </c>
      <c r="E1102" s="12" t="s">
        <v>35</v>
      </c>
      <c r="F1102" s="14">
        <v>700000</v>
      </c>
      <c r="G1102" s="14">
        <v>482000</v>
      </c>
      <c r="H1102" s="13" t="s">
        <v>33856</v>
      </c>
      <c r="I1102" s="40" t="s">
        <v>18</v>
      </c>
      <c r="J1102" s="40" t="str">
        <f>HYPERLINK("https://stock.pstatic.net/stock-research/company/62/20260727_company_510864000.pdf","PDF")</f>
        <v>PDF</v>
      </c>
      <c r="K1102" s="12" t="s">
        <v>33857</v>
      </c>
      <c r="L1102" s="36">
        <v>0.45228215767634861</v>
      </c>
    </row>
    <row r="1103" spans="1:12" x14ac:dyDescent="0.45">
      <c r="A1103" s="12" t="s">
        <v>33776</v>
      </c>
      <c r="B1103" s="12" t="s">
        <v>3349</v>
      </c>
      <c r="C1103" s="13" t="s">
        <v>3350</v>
      </c>
      <c r="D1103" s="13" t="s">
        <v>60</v>
      </c>
      <c r="E1103" s="12" t="s">
        <v>35</v>
      </c>
      <c r="F1103" s="14">
        <v>29000</v>
      </c>
      <c r="G1103" s="14">
        <v>20500</v>
      </c>
      <c r="H1103" s="13" t="s">
        <v>33858</v>
      </c>
      <c r="I1103" s="40" t="s">
        <v>18</v>
      </c>
      <c r="J1103" s="40" t="str">
        <f>HYPERLINK("https://stock.pstatic.net/stock-research/company/62/20260727_company_741863000.pdf","PDF")</f>
        <v>PDF</v>
      </c>
      <c r="K1103" s="12" t="s">
        <v>33859</v>
      </c>
      <c r="L1103" s="36">
        <v>0.41463414634146339</v>
      </c>
    </row>
    <row r="1104" spans="1:12" x14ac:dyDescent="0.45">
      <c r="A1104" s="12" t="s">
        <v>33776</v>
      </c>
      <c r="B1104" s="12" t="s">
        <v>3482</v>
      </c>
      <c r="C1104" s="13" t="s">
        <v>3483</v>
      </c>
      <c r="D1104" s="13" t="s">
        <v>60</v>
      </c>
      <c r="E1104" s="12" t="s">
        <v>35</v>
      </c>
      <c r="F1104" s="14">
        <v>156000</v>
      </c>
      <c r="G1104" s="14">
        <v>132400</v>
      </c>
      <c r="H1104" s="13" t="s">
        <v>33860</v>
      </c>
      <c r="I1104" s="40" t="s">
        <v>18</v>
      </c>
      <c r="J1104" s="40" t="str">
        <f>HYPERLINK("https://stock.pstatic.net/stock-research/company/62/20260727_company_481818000.pdf","PDF")</f>
        <v>PDF</v>
      </c>
      <c r="K1104" s="12" t="s">
        <v>33861</v>
      </c>
      <c r="L1104" s="36">
        <v>0.1782477341389728</v>
      </c>
    </row>
    <row r="1105" spans="1:12" x14ac:dyDescent="0.45">
      <c r="A1105" s="12" t="s">
        <v>33776</v>
      </c>
      <c r="B1105" s="12" t="s">
        <v>3488</v>
      </c>
      <c r="C1105" s="13" t="s">
        <v>3489</v>
      </c>
      <c r="D1105" s="13" t="s">
        <v>60</v>
      </c>
      <c r="E1105" s="12" t="s">
        <v>35</v>
      </c>
      <c r="F1105" s="14">
        <v>40000</v>
      </c>
      <c r="G1105" s="14">
        <v>30850</v>
      </c>
      <c r="H1105" s="13" t="s">
        <v>33860</v>
      </c>
      <c r="I1105" s="40" t="s">
        <v>18</v>
      </c>
      <c r="J1105" s="40" t="str">
        <f>HYPERLINK("https://stock.pstatic.net/stock-research/company/62/20260727_company_939650000.pdf","PDF")</f>
        <v>PDF</v>
      </c>
      <c r="K1105" s="12" t="s">
        <v>33862</v>
      </c>
      <c r="L1105" s="36">
        <v>0.29659643435980548</v>
      </c>
    </row>
    <row r="1106" spans="1:12" x14ac:dyDescent="0.45">
      <c r="A1106" s="12" t="s">
        <v>33776</v>
      </c>
      <c r="B1106" s="12" t="s">
        <v>10776</v>
      </c>
      <c r="C1106" s="13" t="s">
        <v>10777</v>
      </c>
      <c r="D1106" s="13" t="s">
        <v>65</v>
      </c>
      <c r="E1106" s="12" t="s">
        <v>35</v>
      </c>
      <c r="F1106" s="14">
        <v>62000</v>
      </c>
      <c r="G1106" s="14">
        <v>38950</v>
      </c>
      <c r="H1106" s="13" t="s">
        <v>33863</v>
      </c>
      <c r="I1106" s="40" t="s">
        <v>18</v>
      </c>
      <c r="J1106" s="40" t="str">
        <f>HYPERLINK("https://stock.pstatic.net/stock-research/company/57/20260727_company_706871000.pdf","PDF")</f>
        <v>PDF</v>
      </c>
      <c r="K1106" s="12" t="s">
        <v>33864</v>
      </c>
      <c r="L1106" s="36">
        <v>0.59178433889602056</v>
      </c>
    </row>
    <row r="1107" spans="1:12" x14ac:dyDescent="0.45">
      <c r="A1107" s="12" t="s">
        <v>33776</v>
      </c>
      <c r="B1107" s="12" t="s">
        <v>3530</v>
      </c>
      <c r="C1107" s="13" t="s">
        <v>3531</v>
      </c>
      <c r="D1107" s="13" t="s">
        <v>65</v>
      </c>
      <c r="E1107" s="12" t="s">
        <v>35</v>
      </c>
      <c r="F1107" s="14">
        <v>14000</v>
      </c>
      <c r="G1107" s="14">
        <v>9410</v>
      </c>
      <c r="H1107" s="13" t="s">
        <v>33865</v>
      </c>
      <c r="I1107" s="40" t="s">
        <v>18</v>
      </c>
      <c r="J1107" s="40" t="str">
        <f>HYPERLINK("https://stock.pstatic.net/stock-research/company/57/20260727_company_458863000.pdf","PDF")</f>
        <v>PDF</v>
      </c>
      <c r="K1107" s="12" t="s">
        <v>33866</v>
      </c>
      <c r="L1107" s="36">
        <v>0.48777895855472903</v>
      </c>
    </row>
    <row r="1108" spans="1:12" x14ac:dyDescent="0.45">
      <c r="A1108" s="12" t="s">
        <v>33776</v>
      </c>
      <c r="B1108" s="12" t="s">
        <v>3488</v>
      </c>
      <c r="C1108" s="13" t="s">
        <v>3489</v>
      </c>
      <c r="D1108" s="13" t="s">
        <v>65</v>
      </c>
      <c r="E1108" s="12" t="s">
        <v>35</v>
      </c>
      <c r="F1108" s="14">
        <v>43000</v>
      </c>
      <c r="G1108" s="14">
        <v>30850</v>
      </c>
      <c r="H1108" s="13" t="s">
        <v>33867</v>
      </c>
      <c r="I1108" s="40" t="s">
        <v>18</v>
      </c>
      <c r="J1108" s="40" t="str">
        <f>HYPERLINK("https://stock.pstatic.net/stock-research/company/57/20260727_company_76888000.pdf","PDF")</f>
        <v>PDF</v>
      </c>
      <c r="K1108" s="12" t="s">
        <v>33868</v>
      </c>
      <c r="L1108" s="36">
        <v>0.39384116693679089</v>
      </c>
    </row>
    <row r="1109" spans="1:12" x14ac:dyDescent="0.45">
      <c r="A1109" s="12" t="s">
        <v>33776</v>
      </c>
      <c r="B1109" s="12" t="s">
        <v>3482</v>
      </c>
      <c r="C1109" s="13" t="s">
        <v>3483</v>
      </c>
      <c r="D1109" s="13" t="s">
        <v>65</v>
      </c>
      <c r="E1109" s="12" t="s">
        <v>35</v>
      </c>
      <c r="F1109" s="14">
        <v>166000</v>
      </c>
      <c r="G1109" s="14">
        <v>132400</v>
      </c>
      <c r="H1109" s="13" t="s">
        <v>33869</v>
      </c>
      <c r="I1109" s="40" t="s">
        <v>18</v>
      </c>
      <c r="J1109" s="40" t="str">
        <f>HYPERLINK("https://stock.pstatic.net/stock-research/company/57/20260727_company_740417000.pdf","PDF")</f>
        <v>PDF</v>
      </c>
      <c r="K1109" s="12" t="s">
        <v>33870</v>
      </c>
      <c r="L1109" s="36">
        <v>0.25377643504531722</v>
      </c>
    </row>
    <row r="1110" spans="1:12" x14ac:dyDescent="0.45">
      <c r="A1110" s="12" t="s">
        <v>33776</v>
      </c>
      <c r="B1110" s="12" t="s">
        <v>1093</v>
      </c>
      <c r="C1110" s="13" t="s">
        <v>1094</v>
      </c>
      <c r="D1110" s="13" t="s">
        <v>65</v>
      </c>
      <c r="E1110" s="12" t="s">
        <v>35</v>
      </c>
      <c r="F1110" s="14">
        <v>620000</v>
      </c>
      <c r="G1110" s="14">
        <v>388500</v>
      </c>
      <c r="H1110" s="13" t="s">
        <v>33871</v>
      </c>
      <c r="I1110" s="40" t="s">
        <v>18</v>
      </c>
      <c r="J1110" s="40" t="str">
        <f>HYPERLINK("https://stock.pstatic.net/stock-research/company/57/20260727_company_237117000.pdf","PDF")</f>
        <v>PDF</v>
      </c>
      <c r="K1110" s="12" t="s">
        <v>33872</v>
      </c>
      <c r="L1110" s="36">
        <v>0.59588159588159584</v>
      </c>
    </row>
    <row r="1111" spans="1:12" x14ac:dyDescent="0.45">
      <c r="A1111" s="12" t="s">
        <v>33776</v>
      </c>
      <c r="B1111" s="12" t="s">
        <v>3548</v>
      </c>
      <c r="C1111" s="13" t="s">
        <v>3549</v>
      </c>
      <c r="D1111" s="13" t="s">
        <v>65</v>
      </c>
      <c r="E1111" s="12" t="s">
        <v>35</v>
      </c>
      <c r="F1111" s="14">
        <v>83000</v>
      </c>
      <c r="G1111" s="14">
        <v>56600</v>
      </c>
      <c r="H1111" s="13" t="s">
        <v>33873</v>
      </c>
      <c r="I1111" s="40" t="s">
        <v>18</v>
      </c>
      <c r="J1111" s="40" t="str">
        <f>HYPERLINK("https://stock.pstatic.net/stock-research/company/57/20260727_company_119842000.pdf","PDF")</f>
        <v>PDF</v>
      </c>
      <c r="K1111" s="12" t="s">
        <v>33874</v>
      </c>
      <c r="L1111" s="36">
        <v>0.46643109540636041</v>
      </c>
    </row>
    <row r="1112" spans="1:12" x14ac:dyDescent="0.45">
      <c r="A1112" s="12" t="s">
        <v>33776</v>
      </c>
      <c r="B1112" s="12" t="s">
        <v>792</v>
      </c>
      <c r="C1112" s="13" t="s">
        <v>793</v>
      </c>
      <c r="D1112" s="13" t="s">
        <v>65</v>
      </c>
      <c r="E1112" s="12" t="s">
        <v>35</v>
      </c>
      <c r="F1112" s="14">
        <v>70000</v>
      </c>
      <c r="G1112" s="14">
        <v>42800</v>
      </c>
      <c r="H1112" s="13" t="s">
        <v>33875</v>
      </c>
      <c r="I1112" s="40" t="s">
        <v>18</v>
      </c>
      <c r="J1112" s="40" t="str">
        <f>HYPERLINK("https://stock.pstatic.net/stock-research/company/57/20260727_company_375329000.pdf","PDF")</f>
        <v>PDF</v>
      </c>
      <c r="K1112" s="12" t="s">
        <v>33876</v>
      </c>
      <c r="L1112" s="36">
        <v>0.63551401869158874</v>
      </c>
    </row>
    <row r="1113" spans="1:12" x14ac:dyDescent="0.45">
      <c r="A1113" s="12" t="s">
        <v>33776</v>
      </c>
      <c r="B1113" s="12" t="s">
        <v>744</v>
      </c>
      <c r="C1113" s="13" t="s">
        <v>745</v>
      </c>
      <c r="D1113" s="13" t="s">
        <v>65</v>
      </c>
      <c r="E1113" s="12" t="s">
        <v>35</v>
      </c>
      <c r="F1113" s="14">
        <v>40000</v>
      </c>
      <c r="G1113" s="14">
        <v>22900</v>
      </c>
      <c r="H1113" s="13" t="s">
        <v>33877</v>
      </c>
      <c r="I1113" s="40" t="s">
        <v>18</v>
      </c>
      <c r="J1113" s="40" t="str">
        <f>HYPERLINK("https://stock.pstatic.net/stock-research/company/57/20260727_company_753624000.pdf","PDF")</f>
        <v>PDF</v>
      </c>
      <c r="K1113" s="12" t="s">
        <v>33878</v>
      </c>
      <c r="L1113" s="36">
        <v>0.74672489082969429</v>
      </c>
    </row>
    <row r="1114" spans="1:12" x14ac:dyDescent="0.45">
      <c r="A1114" s="12" t="s">
        <v>33776</v>
      </c>
      <c r="B1114" s="12" t="s">
        <v>3349</v>
      </c>
      <c r="C1114" s="13" t="s">
        <v>3350</v>
      </c>
      <c r="D1114" s="13" t="s">
        <v>65</v>
      </c>
      <c r="E1114" s="12" t="s">
        <v>35</v>
      </c>
      <c r="F1114" s="14">
        <v>29000</v>
      </c>
      <c r="G1114" s="14">
        <v>20500</v>
      </c>
      <c r="H1114" s="13" t="s">
        <v>33879</v>
      </c>
      <c r="I1114" s="40" t="s">
        <v>18</v>
      </c>
      <c r="J1114" s="40" t="str">
        <f>HYPERLINK("https://stock.pstatic.net/stock-research/company/57/20260727_company_184014000.pdf","PDF")</f>
        <v>PDF</v>
      </c>
      <c r="K1114" s="12" t="s">
        <v>33880</v>
      </c>
      <c r="L1114" s="36">
        <v>0.41463414634146339</v>
      </c>
    </row>
    <row r="1115" spans="1:12" x14ac:dyDescent="0.45">
      <c r="A1115" s="12" t="s">
        <v>33776</v>
      </c>
      <c r="B1115" s="12" t="s">
        <v>577</v>
      </c>
      <c r="C1115" s="13" t="s">
        <v>578</v>
      </c>
      <c r="D1115" s="13" t="s">
        <v>65</v>
      </c>
      <c r="E1115" s="12" t="s">
        <v>35</v>
      </c>
      <c r="F1115" s="14">
        <v>680000</v>
      </c>
      <c r="G1115" s="14">
        <v>482000</v>
      </c>
      <c r="H1115" s="13" t="s">
        <v>33881</v>
      </c>
      <c r="I1115" s="40" t="s">
        <v>18</v>
      </c>
      <c r="J1115" s="40" t="str">
        <f>HYPERLINK("https://stock.pstatic.net/stock-research/company/57/20260727_company_639710000.pdf","PDF")</f>
        <v>PDF</v>
      </c>
      <c r="K1115" s="12" t="s">
        <v>33882</v>
      </c>
      <c r="L1115" s="36">
        <v>0.41078838174273857</v>
      </c>
    </row>
    <row r="1116" spans="1:12" x14ac:dyDescent="0.45">
      <c r="A1116" s="12" t="s">
        <v>33776</v>
      </c>
      <c r="B1116" s="12" t="s">
        <v>1765</v>
      </c>
      <c r="C1116" s="13" t="s">
        <v>1766</v>
      </c>
      <c r="D1116" s="13" t="s">
        <v>65</v>
      </c>
      <c r="E1116" s="12" t="s">
        <v>35</v>
      </c>
      <c r="F1116" s="14">
        <v>190000</v>
      </c>
      <c r="G1116" s="14">
        <v>130500</v>
      </c>
      <c r="H1116" s="13" t="s">
        <v>33883</v>
      </c>
      <c r="I1116" s="40" t="s">
        <v>18</v>
      </c>
      <c r="J1116" s="40" t="str">
        <f>HYPERLINK("https://stock.pstatic.net/stock-research/company/57/20260727_company_30514000.pdf","PDF")</f>
        <v>PDF</v>
      </c>
      <c r="K1116" s="12" t="s">
        <v>33884</v>
      </c>
      <c r="L1116" s="36">
        <v>0.45593869731800768</v>
      </c>
    </row>
    <row r="1117" spans="1:12" x14ac:dyDescent="0.45">
      <c r="A1117" s="12" t="s">
        <v>33776</v>
      </c>
      <c r="B1117" s="12" t="s">
        <v>3488</v>
      </c>
      <c r="C1117" s="13" t="s">
        <v>3489</v>
      </c>
      <c r="D1117" s="13" t="s">
        <v>158</v>
      </c>
      <c r="E1117" s="12" t="s">
        <v>35</v>
      </c>
      <c r="F1117" s="14">
        <v>48000</v>
      </c>
      <c r="G1117" s="14">
        <v>30850</v>
      </c>
      <c r="H1117" s="13" t="s">
        <v>33885</v>
      </c>
      <c r="I1117" s="40" t="s">
        <v>18</v>
      </c>
      <c r="J1117" s="40" t="str">
        <f>HYPERLINK("https://stock.pstatic.net/stock-research/company/18/20260727_company_970415000.pdf","PDF")</f>
        <v>PDF</v>
      </c>
      <c r="K1117" s="12" t="s">
        <v>33886</v>
      </c>
      <c r="L1117" s="36">
        <v>0.55591572123176658</v>
      </c>
    </row>
    <row r="1118" spans="1:12" x14ac:dyDescent="0.45">
      <c r="A1118" s="12" t="s">
        <v>33776</v>
      </c>
      <c r="B1118" s="12" t="s">
        <v>3482</v>
      </c>
      <c r="C1118" s="13" t="s">
        <v>3483</v>
      </c>
      <c r="D1118" s="13" t="s">
        <v>158</v>
      </c>
      <c r="E1118" s="12" t="s">
        <v>35</v>
      </c>
      <c r="F1118" s="14">
        <v>175000</v>
      </c>
      <c r="G1118" s="14">
        <v>132400</v>
      </c>
      <c r="H1118" s="13" t="s">
        <v>33887</v>
      </c>
      <c r="I1118" s="40" t="s">
        <v>18</v>
      </c>
      <c r="J1118" s="40" t="str">
        <f>HYPERLINK("https://stock.pstatic.net/stock-research/company/18/20260727_company_230035000.pdf","PDF")</f>
        <v>PDF</v>
      </c>
      <c r="K1118" s="12" t="s">
        <v>33888</v>
      </c>
      <c r="L1118" s="36">
        <v>0.32175226586102718</v>
      </c>
    </row>
    <row r="1119" spans="1:12" x14ac:dyDescent="0.45">
      <c r="A1119" s="12" t="s">
        <v>33776</v>
      </c>
      <c r="B1119" s="12" t="s">
        <v>577</v>
      </c>
      <c r="C1119" s="13" t="s">
        <v>578</v>
      </c>
      <c r="D1119" s="13" t="s">
        <v>158</v>
      </c>
      <c r="E1119" s="12" t="s">
        <v>35</v>
      </c>
      <c r="F1119" s="14">
        <v>780000</v>
      </c>
      <c r="G1119" s="14">
        <v>482000</v>
      </c>
      <c r="H1119" s="13" t="s">
        <v>33889</v>
      </c>
      <c r="I1119" s="40" t="s">
        <v>18</v>
      </c>
      <c r="J1119" s="40" t="str">
        <f>HYPERLINK("https://stock.pstatic.net/stock-research/company/18/20260727_company_846436000.pdf","PDF")</f>
        <v>PDF</v>
      </c>
      <c r="K1119" s="12" t="s">
        <v>33890</v>
      </c>
      <c r="L1119" s="36">
        <v>0.61825726141078841</v>
      </c>
    </row>
    <row r="1120" spans="1:12" x14ac:dyDescent="0.45">
      <c r="A1120" s="12" t="s">
        <v>33776</v>
      </c>
      <c r="B1120" s="12" t="s">
        <v>1765</v>
      </c>
      <c r="C1120" s="13" t="s">
        <v>1766</v>
      </c>
      <c r="D1120" s="13" t="s">
        <v>158</v>
      </c>
      <c r="E1120" s="12" t="s">
        <v>35</v>
      </c>
      <c r="F1120" s="14">
        <v>190000</v>
      </c>
      <c r="G1120" s="14">
        <v>130500</v>
      </c>
      <c r="H1120" s="13" t="s">
        <v>33891</v>
      </c>
      <c r="I1120" s="40" t="s">
        <v>18</v>
      </c>
      <c r="J1120" s="40" t="str">
        <f>HYPERLINK("https://stock.pstatic.net/stock-research/company/18/20260727_company_143315000.pdf","PDF")</f>
        <v>PDF</v>
      </c>
      <c r="K1120" s="12" t="s">
        <v>33892</v>
      </c>
      <c r="L1120" s="36">
        <v>0.45593869731800768</v>
      </c>
    </row>
    <row r="1121" spans="1:12" x14ac:dyDescent="0.45">
      <c r="A1121" s="12" t="s">
        <v>33776</v>
      </c>
      <c r="B1121" s="12" t="s">
        <v>1081</v>
      </c>
      <c r="C1121" s="13" t="s">
        <v>1082</v>
      </c>
      <c r="D1121" s="13" t="s">
        <v>15</v>
      </c>
      <c r="E1121" s="12" t="s">
        <v>16</v>
      </c>
      <c r="F1121" s="14">
        <v>2100000</v>
      </c>
      <c r="G1121" s="14">
        <v>1518000</v>
      </c>
      <c r="H1121" s="13" t="s">
        <v>33893</v>
      </c>
      <c r="I1121" s="40" t="s">
        <v>18</v>
      </c>
      <c r="J1121" s="40" t="str">
        <f>HYPERLINK("https://stock.pstatic.net/stock-research/company/56/20260727_company_584081000.pdf","PDF")</f>
        <v>PDF</v>
      </c>
      <c r="K1121" s="12" t="s">
        <v>33894</v>
      </c>
      <c r="L1121" s="36">
        <v>0.38339920948616601</v>
      </c>
    </row>
    <row r="1122" spans="1:12" x14ac:dyDescent="0.45">
      <c r="A1122" s="12" t="s">
        <v>33776</v>
      </c>
      <c r="B1122" s="12" t="s">
        <v>3482</v>
      </c>
      <c r="C1122" s="13" t="s">
        <v>3483</v>
      </c>
      <c r="D1122" s="13" t="s">
        <v>15</v>
      </c>
      <c r="E1122" s="12" t="s">
        <v>16</v>
      </c>
      <c r="F1122" s="14">
        <v>179000</v>
      </c>
      <c r="G1122" s="14">
        <v>132400</v>
      </c>
      <c r="H1122" s="13" t="s">
        <v>33895</v>
      </c>
      <c r="I1122" s="40" t="s">
        <v>18</v>
      </c>
      <c r="J1122" s="40" t="str">
        <f>HYPERLINK("https://stock.pstatic.net/stock-research/company/56/20260727_company_80646000.pdf","PDF")</f>
        <v>PDF</v>
      </c>
      <c r="K1122" s="12" t="s">
        <v>33896</v>
      </c>
      <c r="L1122" s="36">
        <v>0.35196374622356502</v>
      </c>
    </row>
    <row r="1123" spans="1:12" x14ac:dyDescent="0.45">
      <c r="A1123" s="12" t="s">
        <v>33776</v>
      </c>
      <c r="B1123" s="12" t="s">
        <v>577</v>
      </c>
      <c r="C1123" s="13" t="s">
        <v>578</v>
      </c>
      <c r="D1123" s="13" t="s">
        <v>15</v>
      </c>
      <c r="E1123" s="12" t="s">
        <v>16</v>
      </c>
      <c r="F1123" s="14">
        <v>920000</v>
      </c>
      <c r="G1123" s="14">
        <v>482000</v>
      </c>
      <c r="H1123" s="13" t="s">
        <v>33897</v>
      </c>
      <c r="I1123" s="40" t="s">
        <v>18</v>
      </c>
      <c r="J1123" s="40" t="str">
        <f>HYPERLINK("https://stock.pstatic.net/stock-research/company/56/20260727_company_389499000.pdf","PDF")</f>
        <v>PDF</v>
      </c>
      <c r="K1123" s="12" t="s">
        <v>33898</v>
      </c>
      <c r="L1123" s="36">
        <v>0.90871369294605808</v>
      </c>
    </row>
    <row r="1124" spans="1:12" x14ac:dyDescent="0.45">
      <c r="A1124" s="12" t="s">
        <v>33776</v>
      </c>
      <c r="B1124" s="12" t="s">
        <v>1765</v>
      </c>
      <c r="C1124" s="13" t="s">
        <v>1766</v>
      </c>
      <c r="D1124" s="13" t="s">
        <v>15</v>
      </c>
      <c r="E1124" s="12" t="s">
        <v>16</v>
      </c>
      <c r="F1124" s="14">
        <v>240000</v>
      </c>
      <c r="G1124" s="14">
        <v>130500</v>
      </c>
      <c r="H1124" s="13" t="s">
        <v>33899</v>
      </c>
      <c r="I1124" s="40" t="s">
        <v>18</v>
      </c>
      <c r="J1124" s="40" t="str">
        <f>HYPERLINK("https://stock.pstatic.net/stock-research/company/56/20260727_company_596609000.pdf","PDF")</f>
        <v>PDF</v>
      </c>
      <c r="K1124" s="12" t="s">
        <v>33900</v>
      </c>
      <c r="L1124" s="36">
        <v>0.83908045977011492</v>
      </c>
    </row>
    <row r="1125" spans="1:12" x14ac:dyDescent="0.45">
      <c r="A1125" s="12" t="s">
        <v>33776</v>
      </c>
      <c r="B1125" s="12" t="s">
        <v>1765</v>
      </c>
      <c r="C1125" s="13" t="s">
        <v>1766</v>
      </c>
      <c r="D1125" s="13" t="s">
        <v>15</v>
      </c>
      <c r="E1125" s="12" t="s">
        <v>16</v>
      </c>
      <c r="F1125" s="14">
        <v>240000</v>
      </c>
      <c r="G1125" s="14">
        <v>130500</v>
      </c>
      <c r="H1125" s="13" t="s">
        <v>33899</v>
      </c>
      <c r="I1125" s="40" t="s">
        <v>18</v>
      </c>
      <c r="J1125" s="40" t="str">
        <f>HYPERLINK("https://stock.pstatic.net/stock-research/company/56/20260727_company_596609000.pdf","PDF")</f>
        <v>PDF</v>
      </c>
      <c r="K1125" s="12" t="s">
        <v>33900</v>
      </c>
      <c r="L1125" s="36">
        <v>0.83908045977011492</v>
      </c>
    </row>
    <row r="1126" spans="1:12" x14ac:dyDescent="0.45">
      <c r="A1126" s="12" t="s">
        <v>33776</v>
      </c>
      <c r="B1126" s="12" t="s">
        <v>3482</v>
      </c>
      <c r="C1126" s="13" t="s">
        <v>3483</v>
      </c>
      <c r="D1126" s="13" t="s">
        <v>83</v>
      </c>
      <c r="E1126" s="12" t="s">
        <v>35</v>
      </c>
      <c r="F1126" s="14">
        <v>160000</v>
      </c>
      <c r="G1126" s="14">
        <v>132600</v>
      </c>
      <c r="H1126" s="13" t="s">
        <v>33901</v>
      </c>
      <c r="I1126" s="40" t="s">
        <v>18</v>
      </c>
      <c r="J1126" s="40" t="str">
        <f>HYPERLINK("https://stock.pstatic.net/stock-research/company/15/20260727_company_695730000.pdf","PDF")</f>
        <v>PDF</v>
      </c>
      <c r="K1126" s="12" t="s">
        <v>33902</v>
      </c>
      <c r="L1126" s="36">
        <v>0.2066365007541478</v>
      </c>
    </row>
    <row r="1127" spans="1:12" x14ac:dyDescent="0.45">
      <c r="A1127" s="12" t="s">
        <v>33776</v>
      </c>
      <c r="B1127" s="12" t="s">
        <v>81</v>
      </c>
      <c r="C1127" s="13" t="s">
        <v>82</v>
      </c>
      <c r="D1127" s="13" t="s">
        <v>83</v>
      </c>
      <c r="E1127" s="12" t="s">
        <v>35</v>
      </c>
      <c r="F1127" s="14">
        <v>45000</v>
      </c>
      <c r="G1127" s="14">
        <v>30000</v>
      </c>
      <c r="H1127" s="13" t="s">
        <v>33903</v>
      </c>
      <c r="I1127" s="40" t="s">
        <v>18</v>
      </c>
      <c r="J1127" s="40" t="str">
        <f>HYPERLINK("https://stock.pstatic.net/stock-research/company/15/20260727_company_184037000.pdf","PDF")</f>
        <v>PDF</v>
      </c>
      <c r="K1127" s="12" t="s">
        <v>33904</v>
      </c>
      <c r="L1127" s="36">
        <v>0.5</v>
      </c>
    </row>
    <row r="1128" spans="1:12" x14ac:dyDescent="0.45">
      <c r="A1128" s="12" t="s">
        <v>33776</v>
      </c>
      <c r="B1128" s="12" t="s">
        <v>3584</v>
      </c>
      <c r="C1128" s="13" t="s">
        <v>3585</v>
      </c>
      <c r="D1128" s="13" t="s">
        <v>83</v>
      </c>
      <c r="E1128" s="12" t="s">
        <v>35</v>
      </c>
      <c r="F1128" s="14">
        <v>27000</v>
      </c>
      <c r="G1128" s="14">
        <v>19110</v>
      </c>
      <c r="H1128" s="13" t="s">
        <v>10183</v>
      </c>
      <c r="I1128" s="40" t="s">
        <v>18</v>
      </c>
      <c r="J1128" s="40" t="str">
        <f>HYPERLINK("https://stock.pstatic.net/stock-research/company/15/20260727_company_78202000.pdf","PDF")</f>
        <v>PDF</v>
      </c>
      <c r="K1128" s="12" t="s">
        <v>33905</v>
      </c>
      <c r="L1128" s="36">
        <v>0.41287284144427</v>
      </c>
    </row>
    <row r="1129" spans="1:12" x14ac:dyDescent="0.45">
      <c r="A1129" s="12" t="s">
        <v>33776</v>
      </c>
      <c r="B1129" s="12" t="s">
        <v>577</v>
      </c>
      <c r="C1129" s="13" t="s">
        <v>578</v>
      </c>
      <c r="D1129" s="13" t="s">
        <v>83</v>
      </c>
      <c r="E1129" s="12" t="s">
        <v>35</v>
      </c>
      <c r="F1129" s="14">
        <v>690000</v>
      </c>
      <c r="G1129" s="14">
        <v>482000</v>
      </c>
      <c r="H1129" s="13" t="s">
        <v>33906</v>
      </c>
      <c r="I1129" s="40" t="s">
        <v>18</v>
      </c>
      <c r="J1129" s="40" t="str">
        <f>HYPERLINK("https://stock.pstatic.net/stock-research/company/15/20260727_company_702357000.pdf","PDF")</f>
        <v>PDF</v>
      </c>
      <c r="K1129" s="12" t="s">
        <v>33907</v>
      </c>
      <c r="L1129" s="36">
        <v>0.43153526970954359</v>
      </c>
    </row>
    <row r="1130" spans="1:12" x14ac:dyDescent="0.45">
      <c r="A1130" s="12" t="s">
        <v>33776</v>
      </c>
      <c r="B1130" s="12" t="s">
        <v>1765</v>
      </c>
      <c r="C1130" s="13" t="s">
        <v>1766</v>
      </c>
      <c r="D1130" s="13" t="s">
        <v>83</v>
      </c>
      <c r="E1130" s="12" t="s">
        <v>35</v>
      </c>
      <c r="F1130" s="14">
        <v>255000</v>
      </c>
      <c r="G1130" s="14">
        <v>130500</v>
      </c>
      <c r="H1130" s="13" t="s">
        <v>33908</v>
      </c>
      <c r="I1130" s="40" t="s">
        <v>18</v>
      </c>
      <c r="J1130" s="40" t="str">
        <f>HYPERLINK("https://stock.pstatic.net/stock-research/company/15/20260727_company_399237000.pdf","PDF")</f>
        <v>PDF</v>
      </c>
      <c r="K1130" s="12" t="s">
        <v>33909</v>
      </c>
      <c r="L1130" s="36">
        <v>0.95402298850574707</v>
      </c>
    </row>
    <row r="1131" spans="1:12" x14ac:dyDescent="0.45">
      <c r="A1131" s="12" t="s">
        <v>33776</v>
      </c>
      <c r="B1131" s="12" t="s">
        <v>3548</v>
      </c>
      <c r="C1131" s="13" t="s">
        <v>3549</v>
      </c>
      <c r="D1131" s="13" t="s">
        <v>83</v>
      </c>
      <c r="E1131" s="12" t="s">
        <v>35</v>
      </c>
      <c r="F1131" s="14">
        <v>90000</v>
      </c>
      <c r="G1131" s="14">
        <v>56600</v>
      </c>
      <c r="H1131" s="13" t="s">
        <v>33910</v>
      </c>
      <c r="I1131" s="40" t="s">
        <v>18</v>
      </c>
      <c r="J1131" s="40" t="str">
        <f>HYPERLINK("https://stock.pstatic.net/stock-research/company/15/20260727_company_8898000.pdf","PDF")</f>
        <v>PDF</v>
      </c>
      <c r="K1131" s="12" t="s">
        <v>33911</v>
      </c>
      <c r="L1131" s="36">
        <v>0.59010600706713778</v>
      </c>
    </row>
    <row r="1132" spans="1:12" x14ac:dyDescent="0.45">
      <c r="A1132" s="12" t="s">
        <v>33776</v>
      </c>
      <c r="B1132" s="12" t="s">
        <v>352</v>
      </c>
      <c r="C1132" s="13" t="s">
        <v>353</v>
      </c>
      <c r="D1132" s="13" t="s">
        <v>83</v>
      </c>
      <c r="E1132" s="12" t="s">
        <v>35</v>
      </c>
      <c r="F1132" s="14">
        <v>240000</v>
      </c>
      <c r="G1132" s="14">
        <v>157700</v>
      </c>
      <c r="H1132" s="13" t="s">
        <v>33912</v>
      </c>
      <c r="I1132" s="40" t="s">
        <v>18</v>
      </c>
      <c r="J1132" s="40" t="str">
        <f>HYPERLINK("https://stock.pstatic.net/stock-research/company/15/20260727_company_507236000.pdf","PDF")</f>
        <v>PDF</v>
      </c>
      <c r="K1132" s="12" t="s">
        <v>33913</v>
      </c>
      <c r="L1132" s="36">
        <v>0.5218769816106531</v>
      </c>
    </row>
    <row r="1133" spans="1:12" x14ac:dyDescent="0.45">
      <c r="A1133" s="12" t="s">
        <v>33776</v>
      </c>
      <c r="B1133" s="12" t="s">
        <v>1093</v>
      </c>
      <c r="C1133" s="13" t="s">
        <v>1094</v>
      </c>
      <c r="D1133" s="13" t="s">
        <v>83</v>
      </c>
      <c r="E1133" s="12" t="s">
        <v>35</v>
      </c>
      <c r="F1133" s="14">
        <v>560000</v>
      </c>
      <c r="G1133" s="14">
        <v>388500</v>
      </c>
      <c r="H1133" s="13" t="s">
        <v>33914</v>
      </c>
      <c r="I1133" s="40" t="s">
        <v>18</v>
      </c>
      <c r="J1133" s="40" t="str">
        <f>HYPERLINK("https://stock.pstatic.net/stock-research/company/15/20260727_company_481402000.pdf","PDF")</f>
        <v>PDF</v>
      </c>
      <c r="K1133" s="12" t="s">
        <v>33915</v>
      </c>
      <c r="L1133" s="36">
        <v>0.44144144144144137</v>
      </c>
    </row>
    <row r="1134" spans="1:12" x14ac:dyDescent="0.45">
      <c r="A1134" s="12" t="s">
        <v>33776</v>
      </c>
      <c r="B1134" s="12" t="s">
        <v>3548</v>
      </c>
      <c r="C1134" s="13" t="s">
        <v>3549</v>
      </c>
      <c r="D1134" s="13" t="s">
        <v>92</v>
      </c>
      <c r="E1134" s="12" t="s">
        <v>35</v>
      </c>
      <c r="F1134" s="14">
        <v>95000</v>
      </c>
      <c r="G1134" s="14">
        <v>56600</v>
      </c>
      <c r="H1134" s="13" t="s">
        <v>33916</v>
      </c>
      <c r="I1134" s="40" t="s">
        <v>18</v>
      </c>
      <c r="J1134" s="40" t="str">
        <f>HYPERLINK("https://stock.pstatic.net/stock-research/company/63/20260727_company_403412000.pdf","PDF")</f>
        <v>PDF</v>
      </c>
      <c r="K1134" s="12" t="s">
        <v>33917</v>
      </c>
      <c r="L1134" s="36">
        <v>0.67844522968197885</v>
      </c>
    </row>
    <row r="1135" spans="1:12" x14ac:dyDescent="0.45">
      <c r="A1135" s="12" t="s">
        <v>33776</v>
      </c>
      <c r="B1135" s="12" t="s">
        <v>3488</v>
      </c>
      <c r="C1135" s="13" t="s">
        <v>3489</v>
      </c>
      <c r="D1135" s="13" t="s">
        <v>15</v>
      </c>
      <c r="E1135" s="12" t="s">
        <v>16</v>
      </c>
      <c r="F1135" s="14">
        <v>43000</v>
      </c>
      <c r="G1135" s="14">
        <v>30850</v>
      </c>
      <c r="H1135" s="13" t="s">
        <v>33918</v>
      </c>
      <c r="I1135" s="40" t="s">
        <v>18</v>
      </c>
      <c r="J1135" s="40" t="str">
        <f>HYPERLINK("https://stock.pstatic.net/stock-research/company/56/20260727_company_277664000.pdf","PDF")</f>
        <v>PDF</v>
      </c>
      <c r="K1135" s="12" t="s">
        <v>33919</v>
      </c>
      <c r="L1135" s="36">
        <v>0.39384116693679089</v>
      </c>
    </row>
    <row r="1136" spans="1:12" x14ac:dyDescent="0.45">
      <c r="A1136" s="12" t="s">
        <v>33776</v>
      </c>
      <c r="B1136" s="12" t="s">
        <v>3138</v>
      </c>
      <c r="C1136" s="13" t="s">
        <v>3139</v>
      </c>
      <c r="D1136" s="13" t="s">
        <v>92</v>
      </c>
      <c r="E1136" s="12" t="s">
        <v>35</v>
      </c>
      <c r="F1136" s="14">
        <v>13000</v>
      </c>
      <c r="G1136" s="14">
        <v>7050</v>
      </c>
      <c r="H1136" s="13" t="s">
        <v>33920</v>
      </c>
      <c r="I1136" s="40" t="s">
        <v>18</v>
      </c>
      <c r="J1136" s="40" t="str">
        <f>HYPERLINK("https://stock.pstatic.net/stock-research/company/63/20260727_company_54759000.pdf","PDF")</f>
        <v>PDF</v>
      </c>
      <c r="K1136" s="12" t="s">
        <v>33921</v>
      </c>
      <c r="L1136" s="36">
        <v>0.84397163120567376</v>
      </c>
    </row>
    <row r="1137" spans="1:12" x14ac:dyDescent="0.45">
      <c r="A1137" s="12" t="s">
        <v>33776</v>
      </c>
      <c r="B1137" s="12" t="s">
        <v>792</v>
      </c>
      <c r="C1137" s="13" t="s">
        <v>793</v>
      </c>
      <c r="D1137" s="13" t="s">
        <v>15</v>
      </c>
      <c r="E1137" s="12" t="s">
        <v>385</v>
      </c>
      <c r="F1137" s="14">
        <v>42000</v>
      </c>
      <c r="G1137" s="14">
        <v>42800</v>
      </c>
      <c r="H1137" s="13" t="s">
        <v>33922</v>
      </c>
      <c r="I1137" s="40" t="s">
        <v>18</v>
      </c>
      <c r="J1137" s="40" t="str">
        <f>HYPERLINK("https://stock.pstatic.net/stock-research/company/56/20260727_company_59071000.pdf","PDF")</f>
        <v>PDF</v>
      </c>
      <c r="K1137" s="12" t="s">
        <v>33923</v>
      </c>
      <c r="L1137" s="36">
        <v>-1.8691588785046731E-2</v>
      </c>
    </row>
    <row r="1138" spans="1:12" x14ac:dyDescent="0.45">
      <c r="A1138" s="12" t="s">
        <v>33776</v>
      </c>
      <c r="B1138" s="12" t="s">
        <v>1765</v>
      </c>
      <c r="C1138" s="13" t="s">
        <v>1766</v>
      </c>
      <c r="D1138" s="13" t="s">
        <v>92</v>
      </c>
      <c r="E1138" s="12" t="s">
        <v>35</v>
      </c>
      <c r="F1138" s="14">
        <v>250000</v>
      </c>
      <c r="G1138" s="14">
        <v>130500</v>
      </c>
      <c r="H1138" s="13" t="s">
        <v>33924</v>
      </c>
      <c r="I1138" s="40" t="s">
        <v>18</v>
      </c>
      <c r="J1138" s="40" t="str">
        <f>HYPERLINK("https://stock.pstatic.net/stock-research/company/63/20260727_company_73856000.pdf","PDF")</f>
        <v>PDF</v>
      </c>
      <c r="K1138" s="12" t="s">
        <v>33925</v>
      </c>
      <c r="L1138" s="36">
        <v>0.91570881226053635</v>
      </c>
    </row>
    <row r="1139" spans="1:12" x14ac:dyDescent="0.45">
      <c r="A1139" s="12" t="s">
        <v>33776</v>
      </c>
      <c r="B1139" s="12" t="s">
        <v>3584</v>
      </c>
      <c r="C1139" s="13" t="s">
        <v>3585</v>
      </c>
      <c r="D1139" s="13" t="s">
        <v>92</v>
      </c>
      <c r="E1139" s="12" t="s">
        <v>35</v>
      </c>
      <c r="F1139" s="14">
        <v>26000</v>
      </c>
      <c r="G1139" s="14">
        <v>19110</v>
      </c>
      <c r="H1139" s="13" t="s">
        <v>33926</v>
      </c>
      <c r="I1139" s="40" t="s">
        <v>18</v>
      </c>
      <c r="J1139" s="40" t="str">
        <f>HYPERLINK("https://stock.pstatic.net/stock-research/company/63/20260727_company_82650000.pdf","PDF")</f>
        <v>PDF</v>
      </c>
      <c r="K1139" s="12" t="s">
        <v>33927</v>
      </c>
      <c r="L1139" s="36">
        <v>0.36054421768707479</v>
      </c>
    </row>
    <row r="1140" spans="1:12" x14ac:dyDescent="0.45">
      <c r="A1140" s="12" t="s">
        <v>33776</v>
      </c>
      <c r="B1140" s="12" t="s">
        <v>577</v>
      </c>
      <c r="C1140" s="13" t="s">
        <v>578</v>
      </c>
      <c r="D1140" s="13" t="s">
        <v>92</v>
      </c>
      <c r="E1140" s="12" t="s">
        <v>35</v>
      </c>
      <c r="F1140" s="14">
        <v>740000</v>
      </c>
      <c r="G1140" s="14">
        <v>482000</v>
      </c>
      <c r="H1140" s="13" t="s">
        <v>33928</v>
      </c>
      <c r="I1140" s="40" t="s">
        <v>18</v>
      </c>
      <c r="J1140" s="40" t="str">
        <f>HYPERLINK("https://stock.pstatic.net/stock-research/company/63/20260727_company_44104000.pdf","PDF")</f>
        <v>PDF</v>
      </c>
      <c r="K1140" s="12" t="s">
        <v>33929</v>
      </c>
      <c r="L1140" s="36">
        <v>0.53526970954356845</v>
      </c>
    </row>
    <row r="1141" spans="1:12" x14ac:dyDescent="0.45">
      <c r="A1141" s="12" t="s">
        <v>33776</v>
      </c>
      <c r="B1141" s="12" t="s">
        <v>3138</v>
      </c>
      <c r="C1141" s="13" t="s">
        <v>3139</v>
      </c>
      <c r="D1141" s="13" t="s">
        <v>179</v>
      </c>
      <c r="E1141" s="12" t="s">
        <v>16</v>
      </c>
      <c r="F1141" s="14">
        <v>17000</v>
      </c>
      <c r="G1141" s="14">
        <v>7050</v>
      </c>
      <c r="H1141" s="13" t="s">
        <v>33930</v>
      </c>
      <c r="I1141" s="40" t="s">
        <v>18</v>
      </c>
      <c r="J1141" s="40" t="str">
        <f>HYPERLINK("https://stock.pstatic.net/stock-research/company/64/20260727_company_905117000.pdf","PDF")</f>
        <v>PDF</v>
      </c>
      <c r="K1141" s="12" t="s">
        <v>33931</v>
      </c>
      <c r="L1141" s="36">
        <v>1.4113475177304959</v>
      </c>
    </row>
    <row r="1142" spans="1:12" x14ac:dyDescent="0.45">
      <c r="A1142" s="12" t="s">
        <v>33776</v>
      </c>
      <c r="B1142" s="12" t="s">
        <v>3349</v>
      </c>
      <c r="C1142" s="13" t="s">
        <v>3350</v>
      </c>
      <c r="D1142" s="13" t="s">
        <v>92</v>
      </c>
      <c r="E1142" s="12" t="s">
        <v>35</v>
      </c>
      <c r="F1142" s="14">
        <v>30000</v>
      </c>
      <c r="G1142" s="14">
        <v>20500</v>
      </c>
      <c r="H1142" s="13" t="s">
        <v>33932</v>
      </c>
      <c r="I1142" s="40" t="s">
        <v>18</v>
      </c>
      <c r="J1142" s="40" t="str">
        <f>HYPERLINK("https://stock.pstatic.net/stock-research/company/63/20260727_company_8299000.pdf","PDF")</f>
        <v>PDF</v>
      </c>
      <c r="K1142" s="12" t="s">
        <v>33933</v>
      </c>
      <c r="L1142" s="36">
        <v>0.46341463414634149</v>
      </c>
    </row>
    <row r="1143" spans="1:12" x14ac:dyDescent="0.45">
      <c r="A1143" s="12" t="s">
        <v>33776</v>
      </c>
      <c r="B1143" s="12" t="s">
        <v>3482</v>
      </c>
      <c r="C1143" s="13" t="s">
        <v>3483</v>
      </c>
      <c r="D1143" s="13" t="s">
        <v>23</v>
      </c>
      <c r="E1143" s="12" t="s">
        <v>16</v>
      </c>
      <c r="F1143" s="14">
        <v>150000</v>
      </c>
      <c r="G1143" s="14">
        <v>132400</v>
      </c>
      <c r="H1143" s="13" t="s">
        <v>33934</v>
      </c>
      <c r="I1143" s="40" t="s">
        <v>18</v>
      </c>
      <c r="J1143" s="40" t="str">
        <f>HYPERLINK("https://stock.pstatic.net/stock-research/company/21/20260727_company_547912000.pdf","PDF")</f>
        <v>PDF</v>
      </c>
      <c r="K1143" s="12" t="s">
        <v>33935</v>
      </c>
      <c r="L1143" s="36">
        <v>0.13293051359516619</v>
      </c>
    </row>
    <row r="1144" spans="1:12" x14ac:dyDescent="0.45">
      <c r="A1144" s="12" t="s">
        <v>33776</v>
      </c>
      <c r="B1144" s="12" t="s">
        <v>1190</v>
      </c>
      <c r="C1144" s="13" t="s">
        <v>1191</v>
      </c>
      <c r="D1144" s="13" t="s">
        <v>34</v>
      </c>
      <c r="E1144" s="12" t="s">
        <v>35</v>
      </c>
      <c r="F1144" s="14">
        <v>138000</v>
      </c>
      <c r="G1144" s="14">
        <v>96000</v>
      </c>
      <c r="H1144" s="13" t="s">
        <v>33936</v>
      </c>
      <c r="I1144" s="40" t="s">
        <v>18</v>
      </c>
      <c r="J1144" s="40" t="str">
        <f>HYPERLINK("https://stock.pstatic.net/stock-research/company/61/20260727_company_53766000.pdf","PDF")</f>
        <v>PDF</v>
      </c>
      <c r="K1144" s="12" t="s">
        <v>33937</v>
      </c>
      <c r="L1144" s="36">
        <v>0.4375</v>
      </c>
    </row>
    <row r="1145" spans="1:12" x14ac:dyDescent="0.45">
      <c r="A1145" s="12" t="s">
        <v>33776</v>
      </c>
      <c r="B1145" s="12" t="s">
        <v>1765</v>
      </c>
      <c r="C1145" s="13" t="s">
        <v>1766</v>
      </c>
      <c r="D1145" s="13" t="s">
        <v>34</v>
      </c>
      <c r="E1145" s="12" t="s">
        <v>35</v>
      </c>
      <c r="F1145" s="14">
        <v>240000</v>
      </c>
      <c r="G1145" s="14">
        <v>130500</v>
      </c>
      <c r="H1145" s="13" t="s">
        <v>33938</v>
      </c>
      <c r="I1145" s="40" t="s">
        <v>18</v>
      </c>
      <c r="J1145" s="40" t="str">
        <f>HYPERLINK("https://stock.pstatic.net/stock-research/company/61/20260727_company_874509000.pdf","PDF")</f>
        <v>PDF</v>
      </c>
      <c r="K1145" s="12" t="s">
        <v>33939</v>
      </c>
      <c r="L1145" s="36">
        <v>0.83908045977011492</v>
      </c>
    </row>
    <row r="1146" spans="1:12" x14ac:dyDescent="0.45">
      <c r="A1146" s="12" t="s">
        <v>33776</v>
      </c>
      <c r="B1146" s="12" t="s">
        <v>3488</v>
      </c>
      <c r="C1146" s="13" t="s">
        <v>3489</v>
      </c>
      <c r="D1146" s="13" t="s">
        <v>23</v>
      </c>
      <c r="E1146" s="12" t="s">
        <v>16</v>
      </c>
      <c r="F1146" s="14">
        <v>39000</v>
      </c>
      <c r="G1146" s="14">
        <v>30850</v>
      </c>
      <c r="H1146" s="13" t="s">
        <v>33940</v>
      </c>
      <c r="I1146" s="40" t="s">
        <v>18</v>
      </c>
      <c r="J1146" s="40" t="str">
        <f>HYPERLINK("https://stock.pstatic.net/stock-research/company/21/20260727_company_881337000.pdf","PDF")</f>
        <v>PDF</v>
      </c>
      <c r="K1146" s="12" t="s">
        <v>33941</v>
      </c>
      <c r="L1146" s="36">
        <v>0.26418152350081042</v>
      </c>
    </row>
    <row r="1147" spans="1:12" x14ac:dyDescent="0.45">
      <c r="A1147" s="12" t="s">
        <v>33776</v>
      </c>
      <c r="B1147" s="12" t="s">
        <v>744</v>
      </c>
      <c r="C1147" s="13" t="s">
        <v>745</v>
      </c>
      <c r="D1147" s="13" t="s">
        <v>23</v>
      </c>
      <c r="E1147" s="12" t="s">
        <v>16</v>
      </c>
      <c r="F1147" s="14">
        <v>32000</v>
      </c>
      <c r="G1147" s="14">
        <v>22900</v>
      </c>
      <c r="H1147" s="13" t="s">
        <v>33942</v>
      </c>
      <c r="I1147" s="40" t="s">
        <v>18</v>
      </c>
      <c r="J1147" s="40" t="str">
        <f>HYPERLINK("https://stock.pstatic.net/stock-research/company/21/20260727_company_933311000.pdf","PDF")</f>
        <v>PDF</v>
      </c>
      <c r="K1147" s="12" t="s">
        <v>33943</v>
      </c>
      <c r="L1147" s="36">
        <v>0.39737991266375539</v>
      </c>
    </row>
    <row r="1148" spans="1:12" x14ac:dyDescent="0.45">
      <c r="A1148" s="12" t="s">
        <v>33776</v>
      </c>
      <c r="B1148" s="12" t="s">
        <v>352</v>
      </c>
      <c r="C1148" s="13" t="s">
        <v>353</v>
      </c>
      <c r="D1148" s="13" t="s">
        <v>23</v>
      </c>
      <c r="E1148" s="12" t="s">
        <v>16</v>
      </c>
      <c r="F1148" s="14">
        <v>230000</v>
      </c>
      <c r="G1148" s="14">
        <v>158400</v>
      </c>
      <c r="H1148" s="13" t="s">
        <v>33944</v>
      </c>
      <c r="I1148" s="40" t="s">
        <v>18</v>
      </c>
      <c r="J1148" s="40" t="str">
        <f>HYPERLINK("https://stock.pstatic.net/stock-research/company/21/20260727_company_970638000.pdf","PDF")</f>
        <v>PDF</v>
      </c>
      <c r="K1148" s="12" t="s">
        <v>33945</v>
      </c>
      <c r="L1148" s="36">
        <v>0.45202020202020199</v>
      </c>
    </row>
    <row r="1149" spans="1:12" x14ac:dyDescent="0.45">
      <c r="A1149" s="12" t="s">
        <v>33776</v>
      </c>
      <c r="B1149" s="12" t="s">
        <v>3349</v>
      </c>
      <c r="C1149" s="13" t="s">
        <v>3350</v>
      </c>
      <c r="D1149" s="13" t="s">
        <v>34</v>
      </c>
      <c r="E1149" s="12" t="s">
        <v>35</v>
      </c>
      <c r="F1149" s="14">
        <v>28000</v>
      </c>
      <c r="G1149" s="14">
        <v>20500</v>
      </c>
      <c r="H1149" s="13" t="s">
        <v>33946</v>
      </c>
      <c r="I1149" s="40" t="s">
        <v>18</v>
      </c>
      <c r="J1149" s="40" t="str">
        <f>HYPERLINK("https://stock.pstatic.net/stock-research/company/61/20260727_company_852200000.pdf","PDF")</f>
        <v>PDF</v>
      </c>
      <c r="K1149" s="12" t="s">
        <v>33947</v>
      </c>
      <c r="L1149" s="36">
        <v>0.36585365853658541</v>
      </c>
    </row>
    <row r="1150" spans="1:12" x14ac:dyDescent="0.45">
      <c r="A1150" s="12" t="s">
        <v>33776</v>
      </c>
      <c r="B1150" s="12" t="s">
        <v>3349</v>
      </c>
      <c r="C1150" s="13" t="s">
        <v>3350</v>
      </c>
      <c r="D1150" s="13" t="s">
        <v>53</v>
      </c>
      <c r="E1150" s="12" t="s">
        <v>16</v>
      </c>
      <c r="F1150" s="14">
        <v>35000</v>
      </c>
      <c r="G1150" s="14">
        <v>20500</v>
      </c>
      <c r="H1150" s="13" t="s">
        <v>33948</v>
      </c>
      <c r="I1150" s="40" t="s">
        <v>18</v>
      </c>
      <c r="J1150" s="40" t="str">
        <f>HYPERLINK("https://stock.pstatic.net/stock-research/company/40/20260727_company_644217000.pdf","PDF")</f>
        <v>PDF</v>
      </c>
      <c r="K1150" s="12" t="s">
        <v>33949</v>
      </c>
      <c r="L1150" s="36">
        <v>0.70731707317073167</v>
      </c>
    </row>
    <row r="1151" spans="1:12" x14ac:dyDescent="0.45">
      <c r="A1151" s="12" t="s">
        <v>33776</v>
      </c>
      <c r="B1151" s="12" t="s">
        <v>577</v>
      </c>
      <c r="C1151" s="13" t="s">
        <v>578</v>
      </c>
      <c r="D1151" s="13" t="s">
        <v>23</v>
      </c>
      <c r="E1151" s="12" t="s">
        <v>16</v>
      </c>
      <c r="F1151" s="14">
        <v>790000</v>
      </c>
      <c r="G1151" s="14">
        <v>482000</v>
      </c>
      <c r="H1151" s="13" t="s">
        <v>33950</v>
      </c>
      <c r="I1151" s="40" t="s">
        <v>18</v>
      </c>
      <c r="J1151" s="40" t="str">
        <f>HYPERLINK("https://stock.pstatic.net/stock-research/company/21/20260727_company_70714000.pdf","PDF")</f>
        <v>PDF</v>
      </c>
      <c r="K1151" s="12" t="s">
        <v>33951</v>
      </c>
      <c r="L1151" s="36">
        <v>0.63900414937759331</v>
      </c>
    </row>
    <row r="1152" spans="1:12" x14ac:dyDescent="0.45">
      <c r="A1152" s="12" t="s">
        <v>33776</v>
      </c>
      <c r="B1152" s="12" t="s">
        <v>3548</v>
      </c>
      <c r="C1152" s="13" t="s">
        <v>3549</v>
      </c>
      <c r="D1152" s="13" t="s">
        <v>23</v>
      </c>
      <c r="E1152" s="12" t="s">
        <v>16</v>
      </c>
      <c r="F1152" s="14">
        <v>87000</v>
      </c>
      <c r="G1152" s="14">
        <v>56600</v>
      </c>
      <c r="H1152" s="13" t="s">
        <v>33952</v>
      </c>
      <c r="I1152" s="40" t="s">
        <v>18</v>
      </c>
      <c r="J1152" s="40" t="str">
        <f>HYPERLINK("https://stock.pstatic.net/stock-research/company/21/20260727_company_223197000.pdf","PDF")</f>
        <v>PDF</v>
      </c>
      <c r="K1152" s="12" t="s">
        <v>33953</v>
      </c>
      <c r="L1152" s="36">
        <v>0.53710247349823326</v>
      </c>
    </row>
    <row r="1153" spans="1:12" x14ac:dyDescent="0.45">
      <c r="A1153" s="12" t="s">
        <v>33776</v>
      </c>
      <c r="B1153" s="12" t="s">
        <v>1765</v>
      </c>
      <c r="C1153" s="13" t="s">
        <v>1766</v>
      </c>
      <c r="D1153" s="13" t="s">
        <v>23</v>
      </c>
      <c r="E1153" s="12" t="s">
        <v>16</v>
      </c>
      <c r="F1153" s="14">
        <v>240000</v>
      </c>
      <c r="G1153" s="14">
        <v>130500</v>
      </c>
      <c r="H1153" s="13" t="s">
        <v>33954</v>
      </c>
      <c r="I1153" s="40" t="s">
        <v>18</v>
      </c>
      <c r="J1153" s="40" t="str">
        <f>HYPERLINK("https://stock.pstatic.net/stock-research/company/21/20260727_company_324915000.pdf","PDF")</f>
        <v>PDF</v>
      </c>
      <c r="K1153" s="12" t="s">
        <v>33955</v>
      </c>
      <c r="L1153" s="36">
        <v>0.83908045977011492</v>
      </c>
    </row>
    <row r="1154" spans="1:12" x14ac:dyDescent="0.45">
      <c r="A1154" s="12" t="s">
        <v>33776</v>
      </c>
      <c r="B1154" s="12" t="s">
        <v>2933</v>
      </c>
      <c r="C1154" s="13" t="s">
        <v>2934</v>
      </c>
      <c r="D1154" s="13" t="s">
        <v>179</v>
      </c>
      <c r="E1154" s="12" t="s">
        <v>16</v>
      </c>
      <c r="F1154" s="14">
        <v>360000</v>
      </c>
      <c r="G1154" s="14">
        <v>170800</v>
      </c>
      <c r="H1154" s="13" t="s">
        <v>33956</v>
      </c>
      <c r="I1154" s="40" t="s">
        <v>18</v>
      </c>
      <c r="J1154" s="40" t="str">
        <f>HYPERLINK("https://stock.pstatic.net/stock-research/company/64/20260727_company_552235000.pdf","PDF")</f>
        <v>PDF</v>
      </c>
      <c r="K1154" s="12" t="s">
        <v>33957</v>
      </c>
      <c r="L1154" s="36">
        <v>1.1077283372365341</v>
      </c>
    </row>
    <row r="1155" spans="1:12" x14ac:dyDescent="0.45">
      <c r="A1155" s="12" t="s">
        <v>33776</v>
      </c>
      <c r="B1155" s="12" t="s">
        <v>577</v>
      </c>
      <c r="C1155" s="13" t="s">
        <v>578</v>
      </c>
      <c r="D1155" s="13" t="s">
        <v>34</v>
      </c>
      <c r="E1155" s="12" t="s">
        <v>35</v>
      </c>
      <c r="F1155" s="14">
        <v>580000</v>
      </c>
      <c r="G1155" s="14">
        <v>482000</v>
      </c>
      <c r="H1155" s="13" t="s">
        <v>33958</v>
      </c>
      <c r="I1155" s="40" t="s">
        <v>18</v>
      </c>
      <c r="J1155" s="40" t="str">
        <f>HYPERLINK("https://stock.pstatic.net/stock-research/company/61/20260727_company_180866000.pdf","PDF")</f>
        <v>PDF</v>
      </c>
      <c r="K1155" s="12" t="s">
        <v>33959</v>
      </c>
      <c r="L1155" s="36">
        <v>0.2033195020746888</v>
      </c>
    </row>
    <row r="1156" spans="1:12" x14ac:dyDescent="0.45">
      <c r="A1156" s="12" t="s">
        <v>33776</v>
      </c>
      <c r="B1156" s="12" t="s">
        <v>577</v>
      </c>
      <c r="C1156" s="13" t="s">
        <v>578</v>
      </c>
      <c r="D1156" s="13" t="s">
        <v>44</v>
      </c>
      <c r="E1156" s="12" t="s">
        <v>35</v>
      </c>
      <c r="F1156" s="14">
        <v>750000</v>
      </c>
      <c r="G1156" s="14">
        <v>482000</v>
      </c>
      <c r="H1156" s="13" t="s">
        <v>33960</v>
      </c>
      <c r="I1156" s="40" t="s">
        <v>18</v>
      </c>
      <c r="J1156" s="40" t="str">
        <f>HYPERLINK("https://stock.pstatic.net/stock-research/company/39/20260727_company_512017000.pdf","PDF")</f>
        <v>PDF</v>
      </c>
      <c r="K1156" s="12" t="s">
        <v>33961</v>
      </c>
      <c r="L1156" s="36">
        <v>0.55601659751037347</v>
      </c>
    </row>
    <row r="1157" spans="1:12" x14ac:dyDescent="0.45">
      <c r="A1157" s="12" t="s">
        <v>33776</v>
      </c>
      <c r="B1157" s="12" t="s">
        <v>744</v>
      </c>
      <c r="C1157" s="13" t="s">
        <v>745</v>
      </c>
      <c r="D1157" s="13" t="s">
        <v>34</v>
      </c>
      <c r="E1157" s="12" t="s">
        <v>35</v>
      </c>
      <c r="F1157" s="14">
        <v>35000</v>
      </c>
      <c r="G1157" s="14">
        <v>22900</v>
      </c>
      <c r="H1157" s="13" t="s">
        <v>33962</v>
      </c>
      <c r="I1157" s="40" t="s">
        <v>18</v>
      </c>
      <c r="J1157" s="40" t="str">
        <f>HYPERLINK("https://stock.pstatic.net/stock-research/company/61/20260727_company_21397000.pdf","PDF")</f>
        <v>PDF</v>
      </c>
      <c r="K1157" s="12" t="s">
        <v>33963</v>
      </c>
      <c r="L1157" s="36">
        <v>0.52838427947598254</v>
      </c>
    </row>
    <row r="1158" spans="1:12" x14ac:dyDescent="0.45">
      <c r="A1158" s="12" t="s">
        <v>33776</v>
      </c>
      <c r="B1158" s="12" t="s">
        <v>352</v>
      </c>
      <c r="C1158" s="13" t="s">
        <v>353</v>
      </c>
      <c r="D1158" s="13" t="s">
        <v>34</v>
      </c>
      <c r="E1158" s="12" t="s">
        <v>35</v>
      </c>
      <c r="F1158" s="14">
        <v>280000</v>
      </c>
      <c r="G1158" s="14">
        <v>158400</v>
      </c>
      <c r="H1158" s="13" t="s">
        <v>33964</v>
      </c>
      <c r="I1158" s="40" t="s">
        <v>18</v>
      </c>
      <c r="J1158" s="40" t="str">
        <f>HYPERLINK("https://stock.pstatic.net/stock-research/company/61/20260727_company_367102000.pdf","PDF")</f>
        <v>PDF</v>
      </c>
      <c r="K1158" s="12" t="s">
        <v>33965</v>
      </c>
      <c r="L1158" s="36">
        <v>0.76767676767676762</v>
      </c>
    </row>
    <row r="1159" spans="1:12" x14ac:dyDescent="0.45">
      <c r="A1159" s="12" t="s">
        <v>33776</v>
      </c>
      <c r="B1159" s="12" t="s">
        <v>1765</v>
      </c>
      <c r="C1159" s="13" t="s">
        <v>1766</v>
      </c>
      <c r="D1159" s="13" t="s">
        <v>53</v>
      </c>
      <c r="E1159" s="12" t="s">
        <v>16</v>
      </c>
      <c r="F1159" s="14">
        <v>200000</v>
      </c>
      <c r="G1159" s="14">
        <v>130500</v>
      </c>
      <c r="H1159" s="13" t="s">
        <v>33966</v>
      </c>
      <c r="I1159" s="40" t="s">
        <v>18</v>
      </c>
      <c r="J1159" s="40" t="str">
        <f>HYPERLINK("https://stock.pstatic.net/stock-research/company/40/20260727_company_986755000.pdf","PDF")</f>
        <v>PDF</v>
      </c>
      <c r="K1159" s="12" t="s">
        <v>33967</v>
      </c>
      <c r="L1159" s="36">
        <v>0.53256704980842917</v>
      </c>
    </row>
    <row r="1160" spans="1:12" x14ac:dyDescent="0.45">
      <c r="A1160" s="12" t="s">
        <v>33776</v>
      </c>
      <c r="B1160" s="12" t="s">
        <v>3584</v>
      </c>
      <c r="C1160" s="13" t="s">
        <v>3585</v>
      </c>
      <c r="D1160" s="13" t="s">
        <v>44</v>
      </c>
      <c r="E1160" s="12" t="s">
        <v>35</v>
      </c>
      <c r="F1160" s="14">
        <v>25000</v>
      </c>
      <c r="G1160" s="14">
        <v>19110</v>
      </c>
      <c r="H1160" s="13" t="s">
        <v>33968</v>
      </c>
      <c r="I1160" s="40" t="s">
        <v>18</v>
      </c>
      <c r="J1160" s="40" t="str">
        <f>HYPERLINK("https://stock.pstatic.net/stock-research/company/39/20260727_company_737352000.pdf","PDF")</f>
        <v>PDF</v>
      </c>
      <c r="K1160" s="12" t="s">
        <v>33969</v>
      </c>
      <c r="L1160" s="36">
        <v>0.30821559392987963</v>
      </c>
    </row>
    <row r="1161" spans="1:12" x14ac:dyDescent="0.45">
      <c r="A1161" s="12" t="s">
        <v>33776</v>
      </c>
      <c r="B1161" s="12" t="s">
        <v>33970</v>
      </c>
      <c r="C1161" s="13" t="s">
        <v>33971</v>
      </c>
      <c r="D1161" s="13" t="s">
        <v>44</v>
      </c>
      <c r="E1161" s="12" t="s">
        <v>50</v>
      </c>
      <c r="F1161" s="13"/>
      <c r="G1161" s="14">
        <v>9530</v>
      </c>
      <c r="H1161" s="13" t="s">
        <v>33972</v>
      </c>
      <c r="I1161" s="40" t="s">
        <v>18</v>
      </c>
      <c r="J1161" s="40" t="str">
        <f>HYPERLINK("https://stock.pstatic.net/stock-research/company/39/20260727_company_567763000.pdf","PDF")</f>
        <v>PDF</v>
      </c>
      <c r="K1161" s="12" t="s">
        <v>33973</v>
      </c>
      <c r="L1161" s="12"/>
    </row>
    <row r="1162" spans="1:12" x14ac:dyDescent="0.45">
      <c r="A1162" s="12" t="s">
        <v>33776</v>
      </c>
      <c r="B1162" s="12" t="s">
        <v>3349</v>
      </c>
      <c r="C1162" s="13" t="s">
        <v>3350</v>
      </c>
      <c r="D1162" s="13" t="s">
        <v>44</v>
      </c>
      <c r="E1162" s="12" t="s">
        <v>35</v>
      </c>
      <c r="F1162" s="14">
        <v>34000</v>
      </c>
      <c r="G1162" s="14">
        <v>20500</v>
      </c>
      <c r="H1162" s="13" t="s">
        <v>33974</v>
      </c>
      <c r="I1162" s="40" t="s">
        <v>18</v>
      </c>
      <c r="J1162" s="40" t="str">
        <f>HYPERLINK("https://stock.pstatic.net/stock-research/company/39/20260727_company_855945000.pdf","PDF")</f>
        <v>PDF</v>
      </c>
      <c r="K1162" s="12" t="s">
        <v>33975</v>
      </c>
      <c r="L1162" s="36">
        <v>0.65853658536585369</v>
      </c>
    </row>
    <row r="1163" spans="1:12" x14ac:dyDescent="0.45">
      <c r="A1163" s="12" t="s">
        <v>33776</v>
      </c>
      <c r="B1163" s="12" t="s">
        <v>1765</v>
      </c>
      <c r="C1163" s="13" t="s">
        <v>1766</v>
      </c>
      <c r="D1163" s="13" t="s">
        <v>44</v>
      </c>
      <c r="E1163" s="12" t="s">
        <v>35</v>
      </c>
      <c r="F1163" s="14">
        <v>205000</v>
      </c>
      <c r="G1163" s="14">
        <v>130500</v>
      </c>
      <c r="H1163" s="13" t="s">
        <v>33777</v>
      </c>
      <c r="I1163" s="40" t="s">
        <v>18</v>
      </c>
      <c r="J1163" s="40" t="str">
        <f>HYPERLINK("https://stock.pstatic.net/stock-research/company/39/20260727_company_897255000.pdf","PDF")</f>
        <v>PDF</v>
      </c>
      <c r="K1163" s="12" t="s">
        <v>33778</v>
      </c>
      <c r="L1163" s="36">
        <v>0.57088122605363989</v>
      </c>
    </row>
    <row r="1164" spans="1:12" x14ac:dyDescent="0.45">
      <c r="A1164" s="12" t="s">
        <v>33776</v>
      </c>
      <c r="B1164" s="12" t="s">
        <v>3482</v>
      </c>
      <c r="C1164" s="13" t="s">
        <v>3483</v>
      </c>
      <c r="D1164" s="13" t="s">
        <v>34</v>
      </c>
      <c r="E1164" s="12" t="s">
        <v>35</v>
      </c>
      <c r="F1164" s="14">
        <v>153000</v>
      </c>
      <c r="G1164" s="14">
        <v>132400</v>
      </c>
      <c r="H1164" s="13" t="s">
        <v>33779</v>
      </c>
      <c r="I1164" s="40" t="s">
        <v>18</v>
      </c>
      <c r="J1164" s="40" t="str">
        <f>HYPERLINK("https://stock.pstatic.net/stock-research/company/61/20260727_company_452280000.pdf","PDF")</f>
        <v>PDF</v>
      </c>
      <c r="K1164" s="12" t="s">
        <v>33780</v>
      </c>
      <c r="L1164" s="36">
        <v>0.1555891238670695</v>
      </c>
    </row>
    <row r="1165" spans="1:12" x14ac:dyDescent="0.45">
      <c r="A1165" s="12" t="s">
        <v>33776</v>
      </c>
      <c r="B1165" s="12" t="s">
        <v>3488</v>
      </c>
      <c r="C1165" s="13" t="s">
        <v>3489</v>
      </c>
      <c r="D1165" s="13" t="s">
        <v>44</v>
      </c>
      <c r="E1165" s="12" t="s">
        <v>35</v>
      </c>
      <c r="F1165" s="14">
        <v>48000</v>
      </c>
      <c r="G1165" s="14">
        <v>30850</v>
      </c>
      <c r="H1165" s="13" t="s">
        <v>33781</v>
      </c>
      <c r="I1165" s="40" t="s">
        <v>18</v>
      </c>
      <c r="J1165" s="40" t="str">
        <f>HYPERLINK("https://stock.pstatic.net/stock-research/company/39/20260727_company_656294000.pdf","PDF")</f>
        <v>PDF</v>
      </c>
      <c r="K1165" s="12" t="s">
        <v>33782</v>
      </c>
      <c r="L1165" s="36">
        <v>0.55591572123176658</v>
      </c>
    </row>
    <row r="1166" spans="1:12" x14ac:dyDescent="0.45">
      <c r="A1166" s="12" t="s">
        <v>33776</v>
      </c>
      <c r="B1166" s="12" t="s">
        <v>3482</v>
      </c>
      <c r="C1166" s="13" t="s">
        <v>3483</v>
      </c>
      <c r="D1166" s="13" t="s">
        <v>44</v>
      </c>
      <c r="E1166" s="12" t="s">
        <v>35</v>
      </c>
      <c r="F1166" s="14">
        <v>175000</v>
      </c>
      <c r="G1166" s="14">
        <v>132400</v>
      </c>
      <c r="H1166" s="13" t="s">
        <v>33783</v>
      </c>
      <c r="I1166" s="40" t="s">
        <v>18</v>
      </c>
      <c r="J1166" s="40" t="str">
        <f>HYPERLINK("https://stock.pstatic.net/stock-research/company/39/20260727_company_291781000.pdf","PDF")</f>
        <v>PDF</v>
      </c>
      <c r="K1166" s="12" t="s">
        <v>33784</v>
      </c>
      <c r="L1166" s="36">
        <v>0.32175226586102718</v>
      </c>
    </row>
    <row r="1167" spans="1:12" x14ac:dyDescent="0.45">
      <c r="A1167" s="12" t="s">
        <v>33776</v>
      </c>
      <c r="B1167" s="12" t="s">
        <v>3488</v>
      </c>
      <c r="C1167" s="13" t="s">
        <v>3489</v>
      </c>
      <c r="D1167" s="13" t="s">
        <v>34</v>
      </c>
      <c r="E1167" s="12" t="s">
        <v>35</v>
      </c>
      <c r="F1167" s="14">
        <v>42000</v>
      </c>
      <c r="G1167" s="14">
        <v>30850</v>
      </c>
      <c r="H1167" s="13" t="s">
        <v>33785</v>
      </c>
      <c r="I1167" s="40" t="s">
        <v>18</v>
      </c>
      <c r="J1167" s="40" t="str">
        <f>HYPERLINK("https://stock.pstatic.net/stock-research/company/61/20260727_company_842364000.pdf","PDF")</f>
        <v>PDF</v>
      </c>
      <c r="K1167" s="12" t="s">
        <v>33786</v>
      </c>
      <c r="L1167" s="36">
        <v>0.36142625607779583</v>
      </c>
    </row>
    <row r="1168" spans="1:12" x14ac:dyDescent="0.45">
      <c r="A1168" s="12" t="s">
        <v>33776</v>
      </c>
      <c r="B1168" s="12" t="s">
        <v>744</v>
      </c>
      <c r="C1168" s="13" t="s">
        <v>745</v>
      </c>
      <c r="D1168" s="13" t="s">
        <v>44</v>
      </c>
      <c r="E1168" s="12" t="s">
        <v>35</v>
      </c>
      <c r="F1168" s="14">
        <v>42000</v>
      </c>
      <c r="G1168" s="14">
        <v>22900</v>
      </c>
      <c r="H1168" s="13" t="s">
        <v>33787</v>
      </c>
      <c r="I1168" s="40" t="s">
        <v>18</v>
      </c>
      <c r="J1168" s="40" t="str">
        <f>HYPERLINK("https://stock.pstatic.net/stock-research/company/39/20260727_company_201931000.pdf","PDF")</f>
        <v>PDF</v>
      </c>
      <c r="K1168" s="12" t="s">
        <v>33788</v>
      </c>
      <c r="L1168" s="36">
        <v>0.83406113537117899</v>
      </c>
    </row>
    <row r="1169" spans="1:12" x14ac:dyDescent="0.45">
      <c r="A1169" s="12" t="s">
        <v>33776</v>
      </c>
      <c r="B1169" s="12" t="s">
        <v>1648</v>
      </c>
      <c r="C1169" s="13" t="s">
        <v>1649</v>
      </c>
      <c r="D1169" s="13" t="s">
        <v>124</v>
      </c>
      <c r="E1169" s="12" t="s">
        <v>50</v>
      </c>
      <c r="F1169" s="13"/>
      <c r="G1169" s="13"/>
      <c r="H1169" s="13" t="s">
        <v>33789</v>
      </c>
      <c r="I1169" s="40" t="s">
        <v>18</v>
      </c>
      <c r="J1169" s="40" t="str">
        <f>HYPERLINK("https://stock.pstatic.net/stock-research/company/74/20260727_company_795501000.pdf","PDF")</f>
        <v>PDF</v>
      </c>
      <c r="K1169" s="12" t="s">
        <v>33790</v>
      </c>
      <c r="L1169" s="12"/>
    </row>
    <row r="1170" spans="1:12" x14ac:dyDescent="0.45">
      <c r="A1170" s="12" t="s">
        <v>33776</v>
      </c>
      <c r="B1170" s="12" t="s">
        <v>33791</v>
      </c>
      <c r="C1170" s="13" t="s">
        <v>33792</v>
      </c>
      <c r="D1170" s="13" t="s">
        <v>124</v>
      </c>
      <c r="E1170" s="12" t="s">
        <v>50</v>
      </c>
      <c r="F1170" s="13"/>
      <c r="G1170" s="13"/>
      <c r="H1170" s="13" t="s">
        <v>33793</v>
      </c>
      <c r="I1170" s="40" t="s">
        <v>18</v>
      </c>
      <c r="J1170" s="40" t="str">
        <f>HYPERLINK("https://stock.pstatic.net/stock-research/company/74/20260727_company_313190000.pdf","PDF")</f>
        <v>PDF</v>
      </c>
      <c r="K1170" s="12" t="s">
        <v>33794</v>
      </c>
      <c r="L1170" s="12"/>
    </row>
    <row r="1171" spans="1:12" x14ac:dyDescent="0.45">
      <c r="A1171" s="12" t="s">
        <v>33776</v>
      </c>
      <c r="B1171" s="12" t="s">
        <v>5752</v>
      </c>
      <c r="C1171" s="13" t="s">
        <v>5753</v>
      </c>
      <c r="D1171" s="13" t="s">
        <v>124</v>
      </c>
      <c r="E1171" s="12" t="s">
        <v>50</v>
      </c>
      <c r="F1171" s="13"/>
      <c r="G1171" s="13"/>
      <c r="H1171" s="13" t="s">
        <v>33795</v>
      </c>
      <c r="I1171" s="40" t="s">
        <v>18</v>
      </c>
      <c r="J1171" s="40" t="str">
        <f>HYPERLINK("https://stock.pstatic.net/stock-research/company/74/20260727_company_392645000.pdf","PDF")</f>
        <v>PDF</v>
      </c>
      <c r="K1171" s="12" t="s">
        <v>33796</v>
      </c>
      <c r="L1171" s="12"/>
    </row>
    <row r="1172" spans="1:12" x14ac:dyDescent="0.45">
      <c r="A1172" s="12" t="s">
        <v>33776</v>
      </c>
      <c r="B1172" s="12" t="s">
        <v>3349</v>
      </c>
      <c r="C1172" s="13" t="s">
        <v>3350</v>
      </c>
      <c r="D1172" s="13" t="s">
        <v>23</v>
      </c>
      <c r="E1172" s="12" t="s">
        <v>16</v>
      </c>
      <c r="F1172" s="14">
        <v>29000</v>
      </c>
      <c r="G1172" s="14">
        <v>20500</v>
      </c>
      <c r="H1172" s="13" t="s">
        <v>33797</v>
      </c>
      <c r="I1172" s="40" t="s">
        <v>18</v>
      </c>
      <c r="J1172" s="40" t="str">
        <f>HYPERLINK("https://stock.pstatic.net/stock-research/company/21/20260727_company_295817000.pdf","PDF")</f>
        <v>PDF</v>
      </c>
      <c r="K1172" s="12" t="s">
        <v>33798</v>
      </c>
      <c r="L1172" s="36">
        <v>0.41463414634146339</v>
      </c>
    </row>
    <row r="1173" spans="1:12" x14ac:dyDescent="0.45">
      <c r="A1173" s="12" t="s">
        <v>33776</v>
      </c>
      <c r="B1173" s="12" t="s">
        <v>3369</v>
      </c>
      <c r="C1173" s="13" t="s">
        <v>3370</v>
      </c>
      <c r="D1173" s="13" t="s">
        <v>15</v>
      </c>
      <c r="E1173" s="12" t="s">
        <v>16</v>
      </c>
      <c r="F1173" s="14">
        <v>35000</v>
      </c>
      <c r="G1173" s="14">
        <v>25550</v>
      </c>
      <c r="H1173" s="13" t="s">
        <v>33799</v>
      </c>
      <c r="I1173" s="40" t="s">
        <v>18</v>
      </c>
      <c r="J1173" s="40" t="str">
        <f>HYPERLINK("https://stock.pstatic.net/stock-research/company/56/20260727_company_101965000.pdf","PDF")</f>
        <v>PDF</v>
      </c>
      <c r="K1173" s="12" t="s">
        <v>33800</v>
      </c>
      <c r="L1173" s="36">
        <v>0.36986301369863012</v>
      </c>
    </row>
    <row r="1174" spans="1:12" x14ac:dyDescent="0.45">
      <c r="A1174" s="12" t="s">
        <v>33440</v>
      </c>
      <c r="B1174" s="12" t="s">
        <v>541</v>
      </c>
      <c r="C1174" s="13" t="s">
        <v>542</v>
      </c>
      <c r="D1174" s="13" t="s">
        <v>23</v>
      </c>
      <c r="E1174" s="12" t="s">
        <v>16</v>
      </c>
      <c r="F1174" s="14">
        <v>100000</v>
      </c>
      <c r="G1174" s="14">
        <v>104700</v>
      </c>
      <c r="H1174" s="13" t="s">
        <v>33441</v>
      </c>
      <c r="I1174" s="40" t="s">
        <v>18</v>
      </c>
      <c r="J1174" s="40" t="str">
        <f>HYPERLINK("https://stock.pstatic.net/stock-research/company/21/20260724_company_594817000.pdf","PDF")</f>
        <v>PDF</v>
      </c>
      <c r="K1174" s="12" t="s">
        <v>33442</v>
      </c>
      <c r="L1174" s="36">
        <v>-4.4890162368672402E-2</v>
      </c>
    </row>
    <row r="1175" spans="1:12" x14ac:dyDescent="0.45">
      <c r="A1175" s="12" t="s">
        <v>33440</v>
      </c>
      <c r="B1175" s="12" t="s">
        <v>6914</v>
      </c>
      <c r="C1175" s="13" t="s">
        <v>6915</v>
      </c>
      <c r="D1175" s="13" t="s">
        <v>57</v>
      </c>
      <c r="E1175" s="12" t="s">
        <v>35</v>
      </c>
      <c r="F1175" s="14">
        <v>67000</v>
      </c>
      <c r="G1175" s="14">
        <v>40500</v>
      </c>
      <c r="H1175" s="13" t="s">
        <v>33443</v>
      </c>
      <c r="I1175" s="40" t="s">
        <v>18</v>
      </c>
      <c r="J1175" s="40" t="str">
        <f>HYPERLINK("https://stock.pstatic.net/stock-research/company/16/20260724_company_964127000.pdf","PDF")</f>
        <v>PDF</v>
      </c>
      <c r="K1175" s="12" t="s">
        <v>33444</v>
      </c>
      <c r="L1175" s="36">
        <v>0.65432098765432101</v>
      </c>
    </row>
    <row r="1176" spans="1:12" x14ac:dyDescent="0.45">
      <c r="A1176" s="12" t="s">
        <v>33440</v>
      </c>
      <c r="B1176" s="12" t="s">
        <v>1081</v>
      </c>
      <c r="C1176" s="13" t="s">
        <v>1082</v>
      </c>
      <c r="D1176" s="13" t="s">
        <v>276</v>
      </c>
      <c r="E1176" s="12" t="s">
        <v>16</v>
      </c>
      <c r="F1176" s="14">
        <v>1950000</v>
      </c>
      <c r="G1176" s="14">
        <v>1379000</v>
      </c>
      <c r="H1176" s="13" t="s">
        <v>33445</v>
      </c>
      <c r="I1176" s="40" t="s">
        <v>18</v>
      </c>
      <c r="J1176" s="40" t="str">
        <f>HYPERLINK("https://stock.pstatic.net/stock-research/company/66/20260724_company_622564000.pdf","PDF")</f>
        <v>PDF</v>
      </c>
      <c r="K1176" s="12" t="s">
        <v>33446</v>
      </c>
      <c r="L1176" s="36">
        <v>0.41406816533720092</v>
      </c>
    </row>
    <row r="1177" spans="1:12" x14ac:dyDescent="0.45">
      <c r="A1177" s="12" t="s">
        <v>33440</v>
      </c>
      <c r="B1177" s="12" t="s">
        <v>3749</v>
      </c>
      <c r="C1177" s="13" t="s">
        <v>3750</v>
      </c>
      <c r="D1177" s="13" t="s">
        <v>57</v>
      </c>
      <c r="E1177" s="12" t="s">
        <v>35</v>
      </c>
      <c r="F1177" s="14">
        <v>380000</v>
      </c>
      <c r="G1177" s="14">
        <v>204500</v>
      </c>
      <c r="H1177" s="13" t="s">
        <v>33447</v>
      </c>
      <c r="I1177" s="40" t="s">
        <v>18</v>
      </c>
      <c r="J1177" s="40" t="str">
        <f>HYPERLINK("https://stock.pstatic.net/stock-research/company/16/20260724_company_468437000.pdf","PDF")</f>
        <v>PDF</v>
      </c>
      <c r="K1177" s="12" t="s">
        <v>33448</v>
      </c>
      <c r="L1177" s="36">
        <v>0.85819070904645478</v>
      </c>
    </row>
    <row r="1178" spans="1:12" x14ac:dyDescent="0.45">
      <c r="A1178" s="12" t="s">
        <v>33440</v>
      </c>
      <c r="B1178" s="12" t="s">
        <v>1136</v>
      </c>
      <c r="C1178" s="13" t="s">
        <v>1137</v>
      </c>
      <c r="D1178" s="13" t="s">
        <v>276</v>
      </c>
      <c r="E1178" s="12" t="s">
        <v>16</v>
      </c>
      <c r="F1178" s="14">
        <v>50000</v>
      </c>
      <c r="G1178" s="14">
        <v>23500</v>
      </c>
      <c r="H1178" s="13" t="s">
        <v>33449</v>
      </c>
      <c r="I1178" s="40" t="s">
        <v>18</v>
      </c>
      <c r="J1178" s="40" t="str">
        <f>HYPERLINK("https://stock.pstatic.net/stock-research/company/66/20260724_company_140354000.pdf","PDF")</f>
        <v>PDF</v>
      </c>
      <c r="K1178" s="12" t="s">
        <v>33450</v>
      </c>
      <c r="L1178" s="36">
        <v>1.1276595744680851</v>
      </c>
    </row>
    <row r="1179" spans="1:12" x14ac:dyDescent="0.45">
      <c r="A1179" s="12" t="s">
        <v>33440</v>
      </c>
      <c r="B1179" s="12" t="s">
        <v>3688</v>
      </c>
      <c r="C1179" s="13" t="s">
        <v>3689</v>
      </c>
      <c r="D1179" s="13" t="s">
        <v>57</v>
      </c>
      <c r="E1179" s="12" t="s">
        <v>35</v>
      </c>
      <c r="F1179" s="14">
        <v>137000</v>
      </c>
      <c r="G1179" s="14">
        <v>103800</v>
      </c>
      <c r="H1179" s="13" t="s">
        <v>33451</v>
      </c>
      <c r="I1179" s="40" t="s">
        <v>18</v>
      </c>
      <c r="J1179" s="40" t="str">
        <f>HYPERLINK("https://stock.pstatic.net/stock-research/company/16/20260724_company_452520000.pdf","PDF")</f>
        <v>PDF</v>
      </c>
      <c r="K1179" s="12" t="s">
        <v>33452</v>
      </c>
      <c r="L1179" s="36">
        <v>0.31984585741811178</v>
      </c>
    </row>
    <row r="1180" spans="1:12" x14ac:dyDescent="0.45">
      <c r="A1180" s="12" t="s">
        <v>33440</v>
      </c>
      <c r="B1180" s="12" t="s">
        <v>519</v>
      </c>
      <c r="C1180" s="13" t="s">
        <v>520</v>
      </c>
      <c r="D1180" s="13" t="s">
        <v>276</v>
      </c>
      <c r="E1180" s="12" t="s">
        <v>16</v>
      </c>
      <c r="F1180" s="14">
        <v>840000</v>
      </c>
      <c r="G1180" s="14">
        <v>432000</v>
      </c>
      <c r="H1180" s="13" t="s">
        <v>33453</v>
      </c>
      <c r="I1180" s="40" t="s">
        <v>18</v>
      </c>
      <c r="J1180" s="40" t="str">
        <f>HYPERLINK("https://stock.pstatic.net/stock-research/company/66/20260724_company_347273000.pdf","PDF")</f>
        <v>PDF</v>
      </c>
      <c r="K1180" s="12" t="s">
        <v>33454</v>
      </c>
      <c r="L1180" s="36">
        <v>0.94444444444444442</v>
      </c>
    </row>
    <row r="1181" spans="1:12" x14ac:dyDescent="0.45">
      <c r="A1181" s="12" t="s">
        <v>33440</v>
      </c>
      <c r="B1181" s="12" t="s">
        <v>3887</v>
      </c>
      <c r="C1181" s="13" t="s">
        <v>3888</v>
      </c>
      <c r="D1181" s="13" t="s">
        <v>276</v>
      </c>
      <c r="E1181" s="12" t="s">
        <v>16</v>
      </c>
      <c r="F1181" s="14">
        <v>83000</v>
      </c>
      <c r="G1181" s="14">
        <v>54700</v>
      </c>
      <c r="H1181" s="13" t="s">
        <v>33455</v>
      </c>
      <c r="I1181" s="40" t="s">
        <v>18</v>
      </c>
      <c r="J1181" s="40" t="str">
        <f>HYPERLINK("https://stock.pstatic.net/stock-research/company/66/20260724_company_827670000.pdf","PDF")</f>
        <v>PDF</v>
      </c>
      <c r="K1181" s="12" t="s">
        <v>33456</v>
      </c>
      <c r="L1181" s="36">
        <v>0.51736745886654478</v>
      </c>
    </row>
    <row r="1182" spans="1:12" x14ac:dyDescent="0.45">
      <c r="A1182" s="12" t="s">
        <v>33440</v>
      </c>
      <c r="B1182" s="12" t="s">
        <v>81</v>
      </c>
      <c r="C1182" s="13" t="s">
        <v>82</v>
      </c>
      <c r="D1182" s="13" t="s">
        <v>60</v>
      </c>
      <c r="E1182" s="12" t="s">
        <v>35</v>
      </c>
      <c r="F1182" s="14">
        <v>41000</v>
      </c>
      <c r="G1182" s="14">
        <v>30000</v>
      </c>
      <c r="H1182" s="13" t="s">
        <v>33457</v>
      </c>
      <c r="I1182" s="40" t="s">
        <v>18</v>
      </c>
      <c r="J1182" s="40" t="str">
        <f>HYPERLINK("https://stock.pstatic.net/stock-research/company/62/20260724_company_894340000.pdf","PDF")</f>
        <v>PDF</v>
      </c>
      <c r="K1182" s="12" t="s">
        <v>33458</v>
      </c>
      <c r="L1182" s="36">
        <v>0.36666666666666659</v>
      </c>
    </row>
    <row r="1183" spans="1:12" x14ac:dyDescent="0.45">
      <c r="A1183" s="12" t="s">
        <v>33440</v>
      </c>
      <c r="B1183" s="12" t="s">
        <v>760</v>
      </c>
      <c r="C1183" s="13" t="s">
        <v>761</v>
      </c>
      <c r="D1183" s="13" t="s">
        <v>57</v>
      </c>
      <c r="E1183" s="12" t="s">
        <v>35</v>
      </c>
      <c r="F1183" s="14">
        <v>290000</v>
      </c>
      <c r="G1183" s="14">
        <v>240000</v>
      </c>
      <c r="H1183" s="13" t="s">
        <v>33459</v>
      </c>
      <c r="I1183" s="40" t="s">
        <v>18</v>
      </c>
      <c r="J1183" s="40" t="str">
        <f>HYPERLINK("https://stock.pstatic.net/stock-research/company/16/20260724_company_712093000.pdf","PDF")</f>
        <v>PDF</v>
      </c>
      <c r="K1183" s="12" t="s">
        <v>33460</v>
      </c>
      <c r="L1183" s="36">
        <v>0.20833333333333329</v>
      </c>
    </row>
    <row r="1184" spans="1:12" x14ac:dyDescent="0.45">
      <c r="A1184" s="12" t="s">
        <v>33440</v>
      </c>
      <c r="B1184" s="12" t="s">
        <v>736</v>
      </c>
      <c r="C1184" s="13" t="s">
        <v>737</v>
      </c>
      <c r="D1184" s="13" t="s">
        <v>60</v>
      </c>
      <c r="E1184" s="12" t="s">
        <v>35</v>
      </c>
      <c r="F1184" s="14">
        <v>430000</v>
      </c>
      <c r="G1184" s="14">
        <v>247000</v>
      </c>
      <c r="H1184" s="13" t="s">
        <v>33461</v>
      </c>
      <c r="I1184" s="40" t="s">
        <v>18</v>
      </c>
      <c r="J1184" s="40" t="str">
        <f>HYPERLINK("https://stock.pstatic.net/stock-research/company/62/20260724_company_427412000.pdf","PDF")</f>
        <v>PDF</v>
      </c>
      <c r="K1184" s="12" t="s">
        <v>33462</v>
      </c>
      <c r="L1184" s="36">
        <v>0.74089068825910931</v>
      </c>
    </row>
    <row r="1185" spans="1:12" x14ac:dyDescent="0.45">
      <c r="A1185" s="12" t="s">
        <v>33440</v>
      </c>
      <c r="B1185" s="12" t="s">
        <v>3373</v>
      </c>
      <c r="C1185" s="13" t="s">
        <v>3374</v>
      </c>
      <c r="D1185" s="13" t="s">
        <v>57</v>
      </c>
      <c r="E1185" s="12" t="s">
        <v>35</v>
      </c>
      <c r="F1185" s="14">
        <v>226000</v>
      </c>
      <c r="G1185" s="14">
        <v>176300</v>
      </c>
      <c r="H1185" s="13" t="s">
        <v>33463</v>
      </c>
      <c r="I1185" s="40" t="s">
        <v>18</v>
      </c>
      <c r="J1185" s="40" t="str">
        <f>HYPERLINK("https://stock.pstatic.net/stock-research/company/16/20260724_company_926806000.pdf","PDF")</f>
        <v>PDF</v>
      </c>
      <c r="K1185" s="12" t="s">
        <v>33464</v>
      </c>
      <c r="L1185" s="36">
        <v>0.2819058423142371</v>
      </c>
    </row>
    <row r="1186" spans="1:12" x14ac:dyDescent="0.45">
      <c r="A1186" s="12" t="s">
        <v>33440</v>
      </c>
      <c r="B1186" s="12" t="s">
        <v>3369</v>
      </c>
      <c r="C1186" s="13" t="s">
        <v>3370</v>
      </c>
      <c r="D1186" s="13" t="s">
        <v>60</v>
      </c>
      <c r="E1186" s="12" t="s">
        <v>35</v>
      </c>
      <c r="F1186" s="14">
        <v>38000</v>
      </c>
      <c r="G1186" s="14">
        <v>25550</v>
      </c>
      <c r="H1186" s="13" t="s">
        <v>33465</v>
      </c>
      <c r="I1186" s="40" t="s">
        <v>18</v>
      </c>
      <c r="J1186" s="40" t="str">
        <f>HYPERLINK("https://stock.pstatic.net/stock-research/company/62/20260724_company_265657000.pdf","PDF")</f>
        <v>PDF</v>
      </c>
      <c r="K1186" s="12" t="s">
        <v>33466</v>
      </c>
      <c r="L1186" s="36">
        <v>0.48727984344422698</v>
      </c>
    </row>
    <row r="1187" spans="1:12" x14ac:dyDescent="0.45">
      <c r="A1187" s="12" t="s">
        <v>33440</v>
      </c>
      <c r="B1187" s="12" t="s">
        <v>519</v>
      </c>
      <c r="C1187" s="13" t="s">
        <v>520</v>
      </c>
      <c r="D1187" s="13" t="s">
        <v>57</v>
      </c>
      <c r="E1187" s="12" t="s">
        <v>35</v>
      </c>
      <c r="F1187" s="14">
        <v>760000</v>
      </c>
      <c r="G1187" s="14">
        <v>432000</v>
      </c>
      <c r="H1187" s="13" t="s">
        <v>33467</v>
      </c>
      <c r="I1187" s="40" t="s">
        <v>18</v>
      </c>
      <c r="J1187" s="40" t="str">
        <f>HYPERLINK("https://stock.pstatic.net/stock-research/company/16/20260724_company_164078000.pdf","PDF")</f>
        <v>PDF</v>
      </c>
      <c r="K1187" s="12" t="s">
        <v>33468</v>
      </c>
      <c r="L1187" s="36">
        <v>0.7592592592592593</v>
      </c>
    </row>
    <row r="1188" spans="1:12" x14ac:dyDescent="0.45">
      <c r="A1188" s="12" t="s">
        <v>33440</v>
      </c>
      <c r="B1188" s="12" t="s">
        <v>3373</v>
      </c>
      <c r="C1188" s="13" t="s">
        <v>3374</v>
      </c>
      <c r="D1188" s="13" t="s">
        <v>60</v>
      </c>
      <c r="E1188" s="12" t="s">
        <v>35</v>
      </c>
      <c r="F1188" s="14">
        <v>210000</v>
      </c>
      <c r="G1188" s="14">
        <v>176300</v>
      </c>
      <c r="H1188" s="13" t="s">
        <v>33469</v>
      </c>
      <c r="I1188" s="40" t="s">
        <v>18</v>
      </c>
      <c r="J1188" s="40" t="str">
        <f>HYPERLINK("https://stock.pstatic.net/stock-research/company/62/20260724_company_547900000.pdf","PDF")</f>
        <v>PDF</v>
      </c>
      <c r="K1188" s="12" t="s">
        <v>33470</v>
      </c>
      <c r="L1188" s="36">
        <v>0.1911514463981849</v>
      </c>
    </row>
    <row r="1189" spans="1:12" x14ac:dyDescent="0.45">
      <c r="A1189" s="12" t="s">
        <v>33440</v>
      </c>
      <c r="B1189" s="12" t="s">
        <v>95</v>
      </c>
      <c r="C1189" s="13" t="s">
        <v>31</v>
      </c>
      <c r="D1189" s="13" t="s">
        <v>57</v>
      </c>
      <c r="E1189" s="12" t="s">
        <v>35</v>
      </c>
      <c r="F1189" s="14">
        <v>70000</v>
      </c>
      <c r="G1189" s="14">
        <v>46650</v>
      </c>
      <c r="H1189" s="13" t="s">
        <v>33471</v>
      </c>
      <c r="I1189" s="40" t="s">
        <v>18</v>
      </c>
      <c r="J1189" s="40" t="str">
        <f>HYPERLINK("https://stock.pstatic.net/stock-research/company/16/20260724_company_55608000.pdf","PDF")</f>
        <v>PDF</v>
      </c>
      <c r="K1189" s="12" t="s">
        <v>33472</v>
      </c>
      <c r="L1189" s="36">
        <v>0.50053590568060025</v>
      </c>
    </row>
    <row r="1190" spans="1:12" x14ac:dyDescent="0.45">
      <c r="A1190" s="12" t="s">
        <v>33440</v>
      </c>
      <c r="B1190" s="12" t="s">
        <v>3688</v>
      </c>
      <c r="C1190" s="13" t="s">
        <v>3689</v>
      </c>
      <c r="D1190" s="13" t="s">
        <v>60</v>
      </c>
      <c r="E1190" s="12" t="s">
        <v>35</v>
      </c>
      <c r="F1190" s="14">
        <v>134000</v>
      </c>
      <c r="G1190" s="14">
        <v>103800</v>
      </c>
      <c r="H1190" s="13" t="s">
        <v>33473</v>
      </c>
      <c r="I1190" s="40" t="s">
        <v>18</v>
      </c>
      <c r="J1190" s="40" t="str">
        <f>HYPERLINK("https://stock.pstatic.net/stock-research/company/62/20260724_company_778398000.pdf","PDF")</f>
        <v>PDF</v>
      </c>
      <c r="K1190" s="12" t="s">
        <v>33474</v>
      </c>
      <c r="L1190" s="36">
        <v>0.29094412331406549</v>
      </c>
    </row>
    <row r="1191" spans="1:12" x14ac:dyDescent="0.45">
      <c r="A1191" s="12" t="s">
        <v>33440</v>
      </c>
      <c r="B1191" s="12" t="s">
        <v>4021</v>
      </c>
      <c r="C1191" s="13" t="s">
        <v>4022</v>
      </c>
      <c r="D1191" s="13" t="s">
        <v>60</v>
      </c>
      <c r="E1191" s="12" t="s">
        <v>35</v>
      </c>
      <c r="F1191" s="14">
        <v>320000</v>
      </c>
      <c r="G1191" s="14">
        <v>223500</v>
      </c>
      <c r="H1191" s="13" t="s">
        <v>33475</v>
      </c>
      <c r="I1191" s="40" t="s">
        <v>18</v>
      </c>
      <c r="J1191" s="40" t="str">
        <f>HYPERLINK("https://stock.pstatic.net/stock-research/company/62/20260724_company_688680000.pdf","PDF")</f>
        <v>PDF</v>
      </c>
      <c r="K1191" s="12" t="s">
        <v>33476</v>
      </c>
      <c r="L1191" s="36">
        <v>0.43176733780760629</v>
      </c>
    </row>
    <row r="1192" spans="1:12" x14ac:dyDescent="0.45">
      <c r="A1192" s="12" t="s">
        <v>33440</v>
      </c>
      <c r="B1192" s="12" t="s">
        <v>519</v>
      </c>
      <c r="C1192" s="13" t="s">
        <v>520</v>
      </c>
      <c r="D1192" s="13" t="s">
        <v>60</v>
      </c>
      <c r="E1192" s="12" t="s">
        <v>35</v>
      </c>
      <c r="F1192" s="14">
        <v>740000</v>
      </c>
      <c r="G1192" s="14">
        <v>432000</v>
      </c>
      <c r="H1192" s="13" t="s">
        <v>33477</v>
      </c>
      <c r="I1192" s="40" t="s">
        <v>18</v>
      </c>
      <c r="J1192" s="40" t="str">
        <f>HYPERLINK("https://stock.pstatic.net/stock-research/company/62/20260724_company_609944000.pdf","PDF")</f>
        <v>PDF</v>
      </c>
      <c r="K1192" s="12" t="s">
        <v>33478</v>
      </c>
      <c r="L1192" s="36">
        <v>0.71296296296296291</v>
      </c>
    </row>
    <row r="1193" spans="1:12" x14ac:dyDescent="0.45">
      <c r="A1193" s="12" t="s">
        <v>33440</v>
      </c>
      <c r="B1193" s="12" t="s">
        <v>95</v>
      </c>
      <c r="C1193" s="13" t="s">
        <v>31</v>
      </c>
      <c r="D1193" s="13" t="s">
        <v>60</v>
      </c>
      <c r="E1193" s="12" t="s">
        <v>35</v>
      </c>
      <c r="F1193" s="14">
        <v>67000</v>
      </c>
      <c r="G1193" s="14">
        <v>46650</v>
      </c>
      <c r="H1193" s="13" t="s">
        <v>33479</v>
      </c>
      <c r="I1193" s="40" t="s">
        <v>18</v>
      </c>
      <c r="J1193" s="40" t="str">
        <f>HYPERLINK("https://stock.pstatic.net/stock-research/company/62/20260724_company_288148000.pdf","PDF")</f>
        <v>PDF</v>
      </c>
      <c r="K1193" s="12" t="s">
        <v>33480</v>
      </c>
      <c r="L1193" s="36">
        <v>0.4362272240085745</v>
      </c>
    </row>
    <row r="1194" spans="1:12" x14ac:dyDescent="0.45">
      <c r="A1194" s="12" t="s">
        <v>33440</v>
      </c>
      <c r="B1194" s="12" t="s">
        <v>1081</v>
      </c>
      <c r="C1194" s="13" t="s">
        <v>1082</v>
      </c>
      <c r="D1194" s="13" t="s">
        <v>60</v>
      </c>
      <c r="E1194" s="12" t="s">
        <v>35</v>
      </c>
      <c r="F1194" s="14">
        <v>1900000</v>
      </c>
      <c r="G1194" s="14">
        <v>1379000</v>
      </c>
      <c r="H1194" s="13" t="s">
        <v>33481</v>
      </c>
      <c r="I1194" s="40" t="s">
        <v>18</v>
      </c>
      <c r="J1194" s="40" t="str">
        <f>HYPERLINK("https://stock.pstatic.net/stock-research/company/62/20260724_company_182925000.pdf","PDF")</f>
        <v>PDF</v>
      </c>
      <c r="K1194" s="12" t="s">
        <v>33482</v>
      </c>
      <c r="L1194" s="36">
        <v>0.37781000725163161</v>
      </c>
    </row>
    <row r="1195" spans="1:12" x14ac:dyDescent="0.45">
      <c r="A1195" s="12" t="s">
        <v>33440</v>
      </c>
      <c r="B1195" s="12" t="s">
        <v>4021</v>
      </c>
      <c r="C1195" s="13" t="s">
        <v>4022</v>
      </c>
      <c r="D1195" s="13" t="s">
        <v>65</v>
      </c>
      <c r="E1195" s="12" t="s">
        <v>35</v>
      </c>
      <c r="F1195" s="14">
        <v>270000</v>
      </c>
      <c r="G1195" s="14">
        <v>223500</v>
      </c>
      <c r="H1195" s="13" t="s">
        <v>33483</v>
      </c>
      <c r="I1195" s="40" t="s">
        <v>18</v>
      </c>
      <c r="J1195" s="40" t="str">
        <f>HYPERLINK("https://stock.pstatic.net/stock-research/company/57/20260724_company_727321000.pdf","PDF")</f>
        <v>PDF</v>
      </c>
      <c r="K1195" s="12" t="s">
        <v>33484</v>
      </c>
      <c r="L1195" s="36">
        <v>0.20805369127516779</v>
      </c>
    </row>
    <row r="1196" spans="1:12" x14ac:dyDescent="0.45">
      <c r="A1196" s="12" t="s">
        <v>33440</v>
      </c>
      <c r="B1196" s="12" t="s">
        <v>3887</v>
      </c>
      <c r="C1196" s="13" t="s">
        <v>3888</v>
      </c>
      <c r="D1196" s="13" t="s">
        <v>65</v>
      </c>
      <c r="E1196" s="12" t="s">
        <v>35</v>
      </c>
      <c r="F1196" s="14">
        <v>76000</v>
      </c>
      <c r="G1196" s="14">
        <v>54700</v>
      </c>
      <c r="H1196" s="13" t="s">
        <v>33485</v>
      </c>
      <c r="I1196" s="40" t="s">
        <v>18</v>
      </c>
      <c r="J1196" s="40" t="str">
        <f>HYPERLINK("https://stock.pstatic.net/stock-research/company/57/20260724_company_39787000.pdf","PDF")</f>
        <v>PDF</v>
      </c>
      <c r="K1196" s="12" t="s">
        <v>33486</v>
      </c>
      <c r="L1196" s="36">
        <v>0.38939670932358322</v>
      </c>
    </row>
    <row r="1197" spans="1:12" x14ac:dyDescent="0.45">
      <c r="A1197" s="12" t="s">
        <v>33440</v>
      </c>
      <c r="B1197" s="12" t="s">
        <v>1081</v>
      </c>
      <c r="C1197" s="13" t="s">
        <v>1082</v>
      </c>
      <c r="D1197" s="13" t="s">
        <v>65</v>
      </c>
      <c r="E1197" s="12" t="s">
        <v>35</v>
      </c>
      <c r="F1197" s="14">
        <v>2050000</v>
      </c>
      <c r="G1197" s="14">
        <v>1379000</v>
      </c>
      <c r="H1197" s="13" t="s">
        <v>33487</v>
      </c>
      <c r="I1197" s="40" t="s">
        <v>18</v>
      </c>
      <c r="J1197" s="40" t="str">
        <f>HYPERLINK("https://stock.pstatic.net/stock-research/company/57/20260724_company_912418000.pdf","PDF")</f>
        <v>PDF</v>
      </c>
      <c r="K1197" s="12" t="s">
        <v>33488</v>
      </c>
      <c r="L1197" s="36">
        <v>0.48658448150833938</v>
      </c>
    </row>
    <row r="1198" spans="1:12" x14ac:dyDescent="0.45">
      <c r="A1198" s="12" t="s">
        <v>33440</v>
      </c>
      <c r="B1198" s="12" t="s">
        <v>3373</v>
      </c>
      <c r="C1198" s="13" t="s">
        <v>3374</v>
      </c>
      <c r="D1198" s="13" t="s">
        <v>65</v>
      </c>
      <c r="E1198" s="12" t="s">
        <v>35</v>
      </c>
      <c r="F1198" s="14">
        <v>220000</v>
      </c>
      <c r="G1198" s="14">
        <v>176300</v>
      </c>
      <c r="H1198" s="13" t="s">
        <v>33489</v>
      </c>
      <c r="I1198" s="40" t="s">
        <v>18</v>
      </c>
      <c r="J1198" s="40" t="str">
        <f>HYPERLINK("https://stock.pstatic.net/stock-research/company/57/20260724_company_728898000.pdf","PDF")</f>
        <v>PDF</v>
      </c>
      <c r="K1198" s="12" t="s">
        <v>33490</v>
      </c>
      <c r="L1198" s="36">
        <v>0.24787294384571751</v>
      </c>
    </row>
    <row r="1199" spans="1:12" x14ac:dyDescent="0.45">
      <c r="A1199" s="12" t="s">
        <v>33440</v>
      </c>
      <c r="B1199" s="12" t="s">
        <v>81</v>
      </c>
      <c r="C1199" s="13" t="s">
        <v>82</v>
      </c>
      <c r="D1199" s="13" t="s">
        <v>65</v>
      </c>
      <c r="E1199" s="12" t="s">
        <v>35</v>
      </c>
      <c r="F1199" s="14">
        <v>44000</v>
      </c>
      <c r="G1199" s="14">
        <v>30000</v>
      </c>
      <c r="H1199" s="13" t="s">
        <v>33491</v>
      </c>
      <c r="I1199" s="40" t="s">
        <v>18</v>
      </c>
      <c r="J1199" s="40" t="str">
        <f>HYPERLINK("https://stock.pstatic.net/stock-research/company/57/20260724_company_529130000.pdf","PDF")</f>
        <v>PDF</v>
      </c>
      <c r="K1199" s="12" t="s">
        <v>33492</v>
      </c>
      <c r="L1199" s="36">
        <v>0.46666666666666667</v>
      </c>
    </row>
    <row r="1200" spans="1:12" x14ac:dyDescent="0.45">
      <c r="A1200" s="12" t="s">
        <v>33440</v>
      </c>
      <c r="B1200" s="12" t="s">
        <v>95</v>
      </c>
      <c r="C1200" s="13" t="s">
        <v>31</v>
      </c>
      <c r="D1200" s="13" t="s">
        <v>65</v>
      </c>
      <c r="E1200" s="12" t="s">
        <v>35</v>
      </c>
      <c r="F1200" s="14">
        <v>67000</v>
      </c>
      <c r="G1200" s="14">
        <v>46650</v>
      </c>
      <c r="H1200" s="13" t="s">
        <v>33493</v>
      </c>
      <c r="I1200" s="40" t="s">
        <v>18</v>
      </c>
      <c r="J1200" s="40" t="str">
        <f>HYPERLINK("https://stock.pstatic.net/stock-research/company/57/20260724_company_969664000.pdf","PDF")</f>
        <v>PDF</v>
      </c>
      <c r="K1200" s="12" t="s">
        <v>33494</v>
      </c>
      <c r="L1200" s="36">
        <v>0.4362272240085745</v>
      </c>
    </row>
    <row r="1201" spans="1:12" x14ac:dyDescent="0.45">
      <c r="A1201" s="12" t="s">
        <v>33440</v>
      </c>
      <c r="B1201" s="12" t="s">
        <v>780</v>
      </c>
      <c r="C1201" s="13" t="s">
        <v>781</v>
      </c>
      <c r="D1201" s="13" t="s">
        <v>65</v>
      </c>
      <c r="E1201" s="12" t="s">
        <v>35</v>
      </c>
      <c r="F1201" s="14">
        <v>30000</v>
      </c>
      <c r="G1201" s="14">
        <v>9610</v>
      </c>
      <c r="H1201" s="13" t="s">
        <v>33495</v>
      </c>
      <c r="I1201" s="40" t="s">
        <v>18</v>
      </c>
      <c r="J1201" s="40" t="str">
        <f>HYPERLINK("https://stock.pstatic.net/stock-research/company/57/20260724_company_349980000.pdf","PDF")</f>
        <v>PDF</v>
      </c>
      <c r="K1201" s="12" t="s">
        <v>33496</v>
      </c>
      <c r="L1201" s="36">
        <v>2.121748178980229</v>
      </c>
    </row>
    <row r="1202" spans="1:12" x14ac:dyDescent="0.45">
      <c r="A1202" s="12" t="s">
        <v>33440</v>
      </c>
      <c r="B1202" s="12" t="s">
        <v>247</v>
      </c>
      <c r="C1202" s="13" t="s">
        <v>248</v>
      </c>
      <c r="D1202" s="13" t="s">
        <v>65</v>
      </c>
      <c r="E1202" s="12" t="s">
        <v>35</v>
      </c>
      <c r="F1202" s="14">
        <v>50000</v>
      </c>
      <c r="G1202" s="14">
        <v>17180</v>
      </c>
      <c r="H1202" s="13" t="s">
        <v>33497</v>
      </c>
      <c r="I1202" s="40" t="s">
        <v>18</v>
      </c>
      <c r="J1202" s="40" t="str">
        <f>HYPERLINK("https://stock.pstatic.net/stock-research/company/57/20260724_company_358011000.pdf","PDF")</f>
        <v>PDF</v>
      </c>
      <c r="K1202" s="12" t="s">
        <v>33498</v>
      </c>
      <c r="L1202" s="36">
        <v>1.9103608847497091</v>
      </c>
    </row>
    <row r="1203" spans="1:12" x14ac:dyDescent="0.45">
      <c r="A1203" s="12" t="s">
        <v>33440</v>
      </c>
      <c r="B1203" s="12" t="s">
        <v>736</v>
      </c>
      <c r="C1203" s="13" t="s">
        <v>737</v>
      </c>
      <c r="D1203" s="13" t="s">
        <v>65</v>
      </c>
      <c r="E1203" s="12" t="s">
        <v>35</v>
      </c>
      <c r="F1203" s="14">
        <v>550000</v>
      </c>
      <c r="G1203" s="14">
        <v>247000</v>
      </c>
      <c r="H1203" s="13" t="s">
        <v>33499</v>
      </c>
      <c r="I1203" s="40" t="s">
        <v>18</v>
      </c>
      <c r="J1203" s="40" t="str">
        <f>HYPERLINK("https://stock.pstatic.net/stock-research/company/57/20260724_company_581580000.pdf","PDF")</f>
        <v>PDF</v>
      </c>
      <c r="K1203" s="12" t="s">
        <v>33500</v>
      </c>
      <c r="L1203" s="36">
        <v>1.226720647773279</v>
      </c>
    </row>
    <row r="1204" spans="1:12" x14ac:dyDescent="0.45">
      <c r="A1204" s="12" t="s">
        <v>33440</v>
      </c>
      <c r="B1204" s="12" t="s">
        <v>1773</v>
      </c>
      <c r="C1204" s="13" t="s">
        <v>1774</v>
      </c>
      <c r="D1204" s="13" t="s">
        <v>65</v>
      </c>
      <c r="E1204" s="12" t="s">
        <v>35</v>
      </c>
      <c r="F1204" s="14">
        <v>120000</v>
      </c>
      <c r="G1204" s="14">
        <v>76700</v>
      </c>
      <c r="H1204" s="13" t="s">
        <v>33501</v>
      </c>
      <c r="I1204" s="40" t="s">
        <v>18</v>
      </c>
      <c r="J1204" s="40" t="str">
        <f>HYPERLINK("https://stock.pstatic.net/stock-research/company/57/20260724_company_669318000.pdf","PDF")</f>
        <v>PDF</v>
      </c>
      <c r="K1204" s="12" t="s">
        <v>33502</v>
      </c>
      <c r="L1204" s="36">
        <v>0.56453715775749669</v>
      </c>
    </row>
    <row r="1205" spans="1:12" x14ac:dyDescent="0.45">
      <c r="A1205" s="12" t="s">
        <v>33440</v>
      </c>
      <c r="B1205" s="12" t="s">
        <v>3749</v>
      </c>
      <c r="C1205" s="13" t="s">
        <v>3750</v>
      </c>
      <c r="D1205" s="13" t="s">
        <v>65</v>
      </c>
      <c r="E1205" s="12" t="s">
        <v>35</v>
      </c>
      <c r="F1205" s="14">
        <v>310000</v>
      </c>
      <c r="G1205" s="14">
        <v>204500</v>
      </c>
      <c r="H1205" s="13" t="s">
        <v>33503</v>
      </c>
      <c r="I1205" s="40" t="s">
        <v>18</v>
      </c>
      <c r="J1205" s="40" t="str">
        <f>HYPERLINK("https://stock.pstatic.net/stock-research/company/57/20260724_company_629020000.pdf","PDF")</f>
        <v>PDF</v>
      </c>
      <c r="K1205" s="12" t="s">
        <v>33504</v>
      </c>
      <c r="L1205" s="36">
        <v>0.5158924205378973</v>
      </c>
    </row>
    <row r="1206" spans="1:12" x14ac:dyDescent="0.45">
      <c r="A1206" s="12" t="s">
        <v>33440</v>
      </c>
      <c r="B1206" s="12" t="s">
        <v>3688</v>
      </c>
      <c r="C1206" s="13" t="s">
        <v>3689</v>
      </c>
      <c r="D1206" s="13" t="s">
        <v>65</v>
      </c>
      <c r="E1206" s="12" t="s">
        <v>35</v>
      </c>
      <c r="F1206" s="14">
        <v>135000</v>
      </c>
      <c r="G1206" s="14">
        <v>103800</v>
      </c>
      <c r="H1206" s="13" t="s">
        <v>33505</v>
      </c>
      <c r="I1206" s="40" t="s">
        <v>18</v>
      </c>
      <c r="J1206" s="40" t="str">
        <f>HYPERLINK("https://stock.pstatic.net/stock-research/company/57/20260724_company_894896000.pdf","PDF")</f>
        <v>PDF</v>
      </c>
      <c r="K1206" s="12" t="s">
        <v>33506</v>
      </c>
      <c r="L1206" s="36">
        <v>0.30057803468208089</v>
      </c>
    </row>
    <row r="1207" spans="1:12" x14ac:dyDescent="0.45">
      <c r="A1207" s="12" t="s">
        <v>33440</v>
      </c>
      <c r="B1207" s="12" t="s">
        <v>519</v>
      </c>
      <c r="C1207" s="13" t="s">
        <v>520</v>
      </c>
      <c r="D1207" s="13" t="s">
        <v>158</v>
      </c>
      <c r="E1207" s="12" t="s">
        <v>35</v>
      </c>
      <c r="F1207" s="14">
        <v>570000</v>
      </c>
      <c r="G1207" s="14">
        <v>432000</v>
      </c>
      <c r="H1207" s="13" t="s">
        <v>33507</v>
      </c>
      <c r="I1207" s="40" t="s">
        <v>18</v>
      </c>
      <c r="J1207" s="40" t="str">
        <f>HYPERLINK("https://stock.pstatic.net/stock-research/company/18/20260724_company_43000.pdf","PDF")</f>
        <v>PDF</v>
      </c>
      <c r="K1207" s="12" t="s">
        <v>33508</v>
      </c>
      <c r="L1207" s="36">
        <v>0.31944444444444442</v>
      </c>
    </row>
    <row r="1208" spans="1:12" x14ac:dyDescent="0.45">
      <c r="A1208" s="12" t="s">
        <v>33440</v>
      </c>
      <c r="B1208" s="12" t="s">
        <v>3749</v>
      </c>
      <c r="C1208" s="13" t="s">
        <v>3750</v>
      </c>
      <c r="D1208" s="13" t="s">
        <v>158</v>
      </c>
      <c r="E1208" s="12" t="s">
        <v>35</v>
      </c>
      <c r="F1208" s="14">
        <v>320000</v>
      </c>
      <c r="G1208" s="14">
        <v>204500</v>
      </c>
      <c r="H1208" s="13" t="s">
        <v>33509</v>
      </c>
      <c r="I1208" s="40" t="s">
        <v>18</v>
      </c>
      <c r="J1208" s="40" t="str">
        <f>HYPERLINK("https://stock.pstatic.net/stock-research/company/18/20260724_company_699072000.pdf","PDF")</f>
        <v>PDF</v>
      </c>
      <c r="K1208" s="12" t="s">
        <v>33510</v>
      </c>
      <c r="L1208" s="36">
        <v>0.5647921760391198</v>
      </c>
    </row>
    <row r="1209" spans="1:12" x14ac:dyDescent="0.45">
      <c r="A1209" s="12" t="s">
        <v>33440</v>
      </c>
      <c r="B1209" s="12" t="s">
        <v>4021</v>
      </c>
      <c r="C1209" s="13" t="s">
        <v>4022</v>
      </c>
      <c r="D1209" s="13" t="s">
        <v>158</v>
      </c>
      <c r="E1209" s="12" t="s">
        <v>35</v>
      </c>
      <c r="F1209" s="14">
        <v>300000</v>
      </c>
      <c r="G1209" s="14">
        <v>223500</v>
      </c>
      <c r="H1209" s="13" t="s">
        <v>33511</v>
      </c>
      <c r="I1209" s="40" t="s">
        <v>18</v>
      </c>
      <c r="J1209" s="40" t="str">
        <f>HYPERLINK("https://stock.pstatic.net/stock-research/company/18/20260724_company_747663000.pdf","PDF")</f>
        <v>PDF</v>
      </c>
      <c r="K1209" s="12" t="s">
        <v>33512</v>
      </c>
      <c r="L1209" s="36">
        <v>0.34228187919463088</v>
      </c>
    </row>
    <row r="1210" spans="1:12" x14ac:dyDescent="0.45">
      <c r="A1210" s="12" t="s">
        <v>33440</v>
      </c>
      <c r="B1210" s="12" t="s">
        <v>3688</v>
      </c>
      <c r="C1210" s="13" t="s">
        <v>3689</v>
      </c>
      <c r="D1210" s="13" t="s">
        <v>158</v>
      </c>
      <c r="E1210" s="12" t="s">
        <v>35</v>
      </c>
      <c r="F1210" s="14">
        <v>140000</v>
      </c>
      <c r="G1210" s="14">
        <v>103800</v>
      </c>
      <c r="H1210" s="13" t="s">
        <v>33513</v>
      </c>
      <c r="I1210" s="40" t="s">
        <v>18</v>
      </c>
      <c r="J1210" s="40" t="str">
        <f>HYPERLINK("https://stock.pstatic.net/stock-research/company/18/20260724_company_175711000.pdf","PDF")</f>
        <v>PDF</v>
      </c>
      <c r="K1210" s="12" t="s">
        <v>33514</v>
      </c>
      <c r="L1210" s="36">
        <v>0.34874759152215801</v>
      </c>
    </row>
    <row r="1211" spans="1:12" x14ac:dyDescent="0.45">
      <c r="A1211" s="12" t="s">
        <v>33440</v>
      </c>
      <c r="B1211" s="12" t="s">
        <v>3373</v>
      </c>
      <c r="C1211" s="13" t="s">
        <v>3374</v>
      </c>
      <c r="D1211" s="13" t="s">
        <v>158</v>
      </c>
      <c r="E1211" s="12" t="s">
        <v>35</v>
      </c>
      <c r="F1211" s="14">
        <v>235000</v>
      </c>
      <c r="G1211" s="14">
        <v>176300</v>
      </c>
      <c r="H1211" s="13" t="s">
        <v>33515</v>
      </c>
      <c r="I1211" s="40" t="s">
        <v>18</v>
      </c>
      <c r="J1211" s="40" t="str">
        <f>HYPERLINK("https://stock.pstatic.net/stock-research/company/18/20260724_company_493232000.pdf","PDF")</f>
        <v>PDF</v>
      </c>
      <c r="K1211" s="12" t="s">
        <v>33516</v>
      </c>
      <c r="L1211" s="36">
        <v>0.33295519001701651</v>
      </c>
    </row>
    <row r="1212" spans="1:12" x14ac:dyDescent="0.45">
      <c r="A1212" s="12" t="s">
        <v>33440</v>
      </c>
      <c r="B1212" s="12" t="s">
        <v>3369</v>
      </c>
      <c r="C1212" s="13" t="s">
        <v>3370</v>
      </c>
      <c r="D1212" s="13" t="s">
        <v>158</v>
      </c>
      <c r="E1212" s="12" t="s">
        <v>35</v>
      </c>
      <c r="F1212" s="14">
        <v>40000</v>
      </c>
      <c r="G1212" s="14">
        <v>25550</v>
      </c>
      <c r="H1212" s="13" t="s">
        <v>33517</v>
      </c>
      <c r="I1212" s="40" t="s">
        <v>18</v>
      </c>
      <c r="J1212" s="40" t="str">
        <f>HYPERLINK("https://stock.pstatic.net/stock-research/company/18/20260724_company_433699000.pdf","PDF")</f>
        <v>PDF</v>
      </c>
      <c r="K1212" s="12" t="s">
        <v>33518</v>
      </c>
      <c r="L1212" s="36">
        <v>0.56555772994129161</v>
      </c>
    </row>
    <row r="1213" spans="1:12" x14ac:dyDescent="0.45">
      <c r="A1213" s="12" t="s">
        <v>33440</v>
      </c>
      <c r="B1213" s="12" t="s">
        <v>3373</v>
      </c>
      <c r="C1213" s="13" t="s">
        <v>3374</v>
      </c>
      <c r="D1213" s="13" t="s">
        <v>34</v>
      </c>
      <c r="E1213" s="12" t="s">
        <v>35</v>
      </c>
      <c r="F1213" s="14">
        <v>205000</v>
      </c>
      <c r="G1213" s="14">
        <v>176300</v>
      </c>
      <c r="H1213" s="13" t="s">
        <v>33519</v>
      </c>
      <c r="I1213" s="40" t="s">
        <v>18</v>
      </c>
      <c r="J1213" s="40" t="str">
        <f>HYPERLINK("https://stock.pstatic.net/stock-research/company/61/20260724_company_7219000.pdf","PDF")</f>
        <v>PDF</v>
      </c>
      <c r="K1213" s="12" t="s">
        <v>33520</v>
      </c>
      <c r="L1213" s="36">
        <v>0.16279069767441859</v>
      </c>
    </row>
    <row r="1214" spans="1:12" x14ac:dyDescent="0.45">
      <c r="A1214" s="12" t="s">
        <v>33440</v>
      </c>
      <c r="B1214" s="12" t="s">
        <v>3688</v>
      </c>
      <c r="C1214" s="13" t="s">
        <v>3689</v>
      </c>
      <c r="D1214" s="13" t="s">
        <v>34</v>
      </c>
      <c r="E1214" s="12" t="s">
        <v>35</v>
      </c>
      <c r="F1214" s="14">
        <v>132000</v>
      </c>
      <c r="G1214" s="14">
        <v>103800</v>
      </c>
      <c r="H1214" s="13" t="s">
        <v>33521</v>
      </c>
      <c r="I1214" s="40" t="s">
        <v>18</v>
      </c>
      <c r="J1214" s="40" t="str">
        <f>HYPERLINK("https://stock.pstatic.net/stock-research/company/61/20260724_company_897360000.pdf","PDF")</f>
        <v>PDF</v>
      </c>
      <c r="K1214" s="12" t="s">
        <v>33522</v>
      </c>
      <c r="L1214" s="36">
        <v>0.27167630057803471</v>
      </c>
    </row>
    <row r="1215" spans="1:12" x14ac:dyDescent="0.45">
      <c r="A1215" s="12" t="s">
        <v>33440</v>
      </c>
      <c r="B1215" s="12" t="s">
        <v>4021</v>
      </c>
      <c r="C1215" s="13" t="s">
        <v>4022</v>
      </c>
      <c r="D1215" s="13" t="s">
        <v>15</v>
      </c>
      <c r="E1215" s="12" t="s">
        <v>16</v>
      </c>
      <c r="F1215" s="14">
        <v>280000</v>
      </c>
      <c r="G1215" s="14">
        <v>223500</v>
      </c>
      <c r="H1215" s="13" t="s">
        <v>33523</v>
      </c>
      <c r="I1215" s="40" t="s">
        <v>18</v>
      </c>
      <c r="J1215" s="40" t="str">
        <f>HYPERLINK("https://stock.pstatic.net/stock-research/company/56/20260724_company_369444000.pdf","PDF")</f>
        <v>PDF</v>
      </c>
      <c r="K1215" s="12" t="s">
        <v>33524</v>
      </c>
      <c r="L1215" s="36">
        <v>0.25279642058165552</v>
      </c>
    </row>
    <row r="1216" spans="1:12" x14ac:dyDescent="0.45">
      <c r="A1216" s="12" t="s">
        <v>33440</v>
      </c>
      <c r="B1216" s="12" t="s">
        <v>95</v>
      </c>
      <c r="C1216" s="13" t="s">
        <v>31</v>
      </c>
      <c r="D1216" s="13" t="s">
        <v>15</v>
      </c>
      <c r="E1216" s="12" t="s">
        <v>16</v>
      </c>
      <c r="F1216" s="14">
        <v>70000</v>
      </c>
      <c r="G1216" s="14">
        <v>46650</v>
      </c>
      <c r="H1216" s="13" t="s">
        <v>33525</v>
      </c>
      <c r="I1216" s="40" t="s">
        <v>18</v>
      </c>
      <c r="J1216" s="40" t="str">
        <f>HYPERLINK("https://stock.pstatic.net/stock-research/company/56/20260724_company_319646000.pdf","PDF")</f>
        <v>PDF</v>
      </c>
      <c r="K1216" s="12" t="s">
        <v>33526</v>
      </c>
      <c r="L1216" s="36">
        <v>0.50053590568060025</v>
      </c>
    </row>
    <row r="1217" spans="1:12" x14ac:dyDescent="0.45">
      <c r="A1217" s="12" t="s">
        <v>33440</v>
      </c>
      <c r="B1217" s="12" t="s">
        <v>3749</v>
      </c>
      <c r="C1217" s="13" t="s">
        <v>3750</v>
      </c>
      <c r="D1217" s="13" t="s">
        <v>15</v>
      </c>
      <c r="E1217" s="12" t="s">
        <v>16</v>
      </c>
      <c r="F1217" s="14">
        <v>310000</v>
      </c>
      <c r="G1217" s="14">
        <v>204500</v>
      </c>
      <c r="H1217" s="13" t="s">
        <v>33527</v>
      </c>
      <c r="I1217" s="40" t="s">
        <v>18</v>
      </c>
      <c r="J1217" s="40" t="str">
        <f>HYPERLINK("https://stock.pstatic.net/stock-research/company/56/20260724_company_459139000.pdf","PDF")</f>
        <v>PDF</v>
      </c>
      <c r="K1217" s="12" t="s">
        <v>33528</v>
      </c>
      <c r="L1217" s="36">
        <v>0.5158924205378973</v>
      </c>
    </row>
    <row r="1218" spans="1:12" x14ac:dyDescent="0.45">
      <c r="A1218" s="12" t="s">
        <v>33440</v>
      </c>
      <c r="B1218" s="12" t="s">
        <v>519</v>
      </c>
      <c r="C1218" s="13" t="s">
        <v>520</v>
      </c>
      <c r="D1218" s="13" t="s">
        <v>15</v>
      </c>
      <c r="E1218" s="12" t="s">
        <v>16</v>
      </c>
      <c r="F1218" s="14">
        <v>840000</v>
      </c>
      <c r="G1218" s="14">
        <v>432000</v>
      </c>
      <c r="H1218" s="13" t="s">
        <v>33529</v>
      </c>
      <c r="I1218" s="40" t="s">
        <v>18</v>
      </c>
      <c r="J1218" s="40" t="str">
        <f>HYPERLINK("https://stock.pstatic.net/stock-research/company/56/20260724_company_341586000.pdf","PDF")</f>
        <v>PDF</v>
      </c>
      <c r="K1218" s="12" t="s">
        <v>33530</v>
      </c>
      <c r="L1218" s="36">
        <v>0.94444444444444442</v>
      </c>
    </row>
    <row r="1219" spans="1:12" x14ac:dyDescent="0.45">
      <c r="A1219" s="12" t="s">
        <v>33440</v>
      </c>
      <c r="B1219" s="12" t="s">
        <v>3688</v>
      </c>
      <c r="C1219" s="13" t="s">
        <v>3689</v>
      </c>
      <c r="D1219" s="13" t="s">
        <v>15</v>
      </c>
      <c r="E1219" s="12" t="s">
        <v>16</v>
      </c>
      <c r="F1219" s="14">
        <v>131000</v>
      </c>
      <c r="G1219" s="14">
        <v>103800</v>
      </c>
      <c r="H1219" s="13" t="s">
        <v>33531</v>
      </c>
      <c r="I1219" s="40" t="s">
        <v>18</v>
      </c>
      <c r="J1219" s="40" t="str">
        <f>HYPERLINK("https://stock.pstatic.net/stock-research/company/56/20260724_company_623208000.pdf","PDF")</f>
        <v>PDF</v>
      </c>
      <c r="K1219" s="12" t="s">
        <v>33532</v>
      </c>
      <c r="L1219" s="36">
        <v>0.26204238921001932</v>
      </c>
    </row>
    <row r="1220" spans="1:12" x14ac:dyDescent="0.45">
      <c r="A1220" s="12" t="s">
        <v>33440</v>
      </c>
      <c r="B1220" s="12" t="s">
        <v>541</v>
      </c>
      <c r="C1220" s="13" t="s">
        <v>542</v>
      </c>
      <c r="D1220" s="13" t="s">
        <v>15</v>
      </c>
      <c r="E1220" s="12" t="s">
        <v>16</v>
      </c>
      <c r="F1220" s="14">
        <v>120000</v>
      </c>
      <c r="G1220" s="14">
        <v>99500</v>
      </c>
      <c r="H1220" s="13" t="s">
        <v>33533</v>
      </c>
      <c r="I1220" s="40" t="s">
        <v>18</v>
      </c>
      <c r="J1220" s="40" t="str">
        <f>HYPERLINK("https://stock.pstatic.net/stock-research/company/56/20260724_company_857376000.pdf","PDF")</f>
        <v>PDF</v>
      </c>
      <c r="K1220" s="12" t="s">
        <v>33534</v>
      </c>
      <c r="L1220" s="36">
        <v>0.20603015075376879</v>
      </c>
    </row>
    <row r="1221" spans="1:12" x14ac:dyDescent="0.45">
      <c r="A1221" s="12" t="s">
        <v>33440</v>
      </c>
      <c r="B1221" s="12" t="s">
        <v>4977</v>
      </c>
      <c r="C1221" s="13" t="s">
        <v>4978</v>
      </c>
      <c r="D1221" s="13" t="s">
        <v>179</v>
      </c>
      <c r="E1221" s="12" t="s">
        <v>50</v>
      </c>
      <c r="F1221" s="13"/>
      <c r="G1221" s="14">
        <v>36400</v>
      </c>
      <c r="H1221" s="13" t="s">
        <v>33535</v>
      </c>
      <c r="I1221" s="40" t="s">
        <v>18</v>
      </c>
      <c r="J1221" s="40" t="str">
        <f>HYPERLINK("https://stock.pstatic.net/stock-research/company/64/20260724_company_416719000.pdf","PDF")</f>
        <v>PDF</v>
      </c>
      <c r="K1221" s="12" t="s">
        <v>33536</v>
      </c>
      <c r="L1221" s="12"/>
    </row>
    <row r="1222" spans="1:12" x14ac:dyDescent="0.45">
      <c r="A1222" s="12" t="s">
        <v>33440</v>
      </c>
      <c r="B1222" s="12" t="s">
        <v>3373</v>
      </c>
      <c r="C1222" s="13" t="s">
        <v>3374</v>
      </c>
      <c r="D1222" s="13" t="s">
        <v>83</v>
      </c>
      <c r="E1222" s="12" t="s">
        <v>35</v>
      </c>
      <c r="F1222" s="14">
        <v>232000</v>
      </c>
      <c r="G1222" s="14">
        <v>176300</v>
      </c>
      <c r="H1222" s="13" t="s">
        <v>33537</v>
      </c>
      <c r="I1222" s="40" t="s">
        <v>18</v>
      </c>
      <c r="J1222" s="40" t="str">
        <f>HYPERLINK("https://stock.pstatic.net/stock-research/company/15/20260724_company_17295000.pdf","PDF")</f>
        <v>PDF</v>
      </c>
      <c r="K1222" s="12" t="s">
        <v>33538</v>
      </c>
      <c r="L1222" s="36">
        <v>0.31593874078275669</v>
      </c>
    </row>
    <row r="1223" spans="1:12" x14ac:dyDescent="0.45">
      <c r="A1223" s="12" t="s">
        <v>33440</v>
      </c>
      <c r="B1223" s="12" t="s">
        <v>3688</v>
      </c>
      <c r="C1223" s="13" t="s">
        <v>3689</v>
      </c>
      <c r="D1223" s="13" t="s">
        <v>83</v>
      </c>
      <c r="E1223" s="12" t="s">
        <v>35</v>
      </c>
      <c r="F1223" s="14">
        <v>130000</v>
      </c>
      <c r="G1223" s="14">
        <v>103800</v>
      </c>
      <c r="H1223" s="13" t="s">
        <v>33539</v>
      </c>
      <c r="I1223" s="40" t="s">
        <v>18</v>
      </c>
      <c r="J1223" s="40" t="str">
        <f>HYPERLINK("https://stock.pstatic.net/stock-research/company/15/20260724_company_867050000.pdf","PDF")</f>
        <v>PDF</v>
      </c>
      <c r="K1223" s="12" t="s">
        <v>33540</v>
      </c>
      <c r="L1223" s="36">
        <v>0.25240847784200388</v>
      </c>
    </row>
    <row r="1224" spans="1:12" x14ac:dyDescent="0.45">
      <c r="A1224" s="12" t="s">
        <v>33440</v>
      </c>
      <c r="B1224" s="12" t="s">
        <v>519</v>
      </c>
      <c r="C1224" s="13" t="s">
        <v>520</v>
      </c>
      <c r="D1224" s="13" t="s">
        <v>83</v>
      </c>
      <c r="E1224" s="12" t="s">
        <v>35</v>
      </c>
      <c r="F1224" s="14">
        <v>740000</v>
      </c>
      <c r="G1224" s="14">
        <v>432000</v>
      </c>
      <c r="H1224" s="13" t="s">
        <v>33541</v>
      </c>
      <c r="I1224" s="40" t="s">
        <v>18</v>
      </c>
      <c r="J1224" s="40" t="str">
        <f>HYPERLINK("https://stock.pstatic.net/stock-research/company/15/20260724_company_87987000.pdf","PDF")</f>
        <v>PDF</v>
      </c>
      <c r="K1224" s="12" t="s">
        <v>33542</v>
      </c>
      <c r="L1224" s="36">
        <v>0.71296296296296291</v>
      </c>
    </row>
    <row r="1225" spans="1:12" x14ac:dyDescent="0.45">
      <c r="A1225" s="12" t="s">
        <v>33440</v>
      </c>
      <c r="B1225" s="12" t="s">
        <v>4021</v>
      </c>
      <c r="C1225" s="13" t="s">
        <v>4022</v>
      </c>
      <c r="D1225" s="13" t="s">
        <v>83</v>
      </c>
      <c r="E1225" s="12" t="s">
        <v>35</v>
      </c>
      <c r="F1225" s="14">
        <v>330000</v>
      </c>
      <c r="G1225" s="14">
        <v>223500</v>
      </c>
      <c r="H1225" s="13" t="s">
        <v>33543</v>
      </c>
      <c r="I1225" s="40" t="s">
        <v>18</v>
      </c>
      <c r="J1225" s="40" t="str">
        <f>HYPERLINK("https://stock.pstatic.net/stock-research/company/15/20260724_company_507742000.pdf","PDF")</f>
        <v>PDF</v>
      </c>
      <c r="K1225" s="12" t="s">
        <v>33544</v>
      </c>
      <c r="L1225" s="36">
        <v>0.47651006711409388</v>
      </c>
    </row>
    <row r="1226" spans="1:12" x14ac:dyDescent="0.45">
      <c r="A1226" s="12" t="s">
        <v>33440</v>
      </c>
      <c r="B1226" s="12" t="s">
        <v>95</v>
      </c>
      <c r="C1226" s="13" t="s">
        <v>31</v>
      </c>
      <c r="D1226" s="13" t="s">
        <v>83</v>
      </c>
      <c r="E1226" s="12" t="s">
        <v>35</v>
      </c>
      <c r="F1226" s="14">
        <v>68000</v>
      </c>
      <c r="G1226" s="14">
        <v>46650</v>
      </c>
      <c r="H1226" s="13" t="s">
        <v>33545</v>
      </c>
      <c r="I1226" s="40" t="s">
        <v>18</v>
      </c>
      <c r="J1226" s="40" t="str">
        <f>HYPERLINK("https://stock.pstatic.net/stock-research/company/15/20260724_company_362818000.pdf","PDF")</f>
        <v>PDF</v>
      </c>
      <c r="K1226" s="12" t="s">
        <v>33546</v>
      </c>
      <c r="L1226" s="36">
        <v>0.45766345123258312</v>
      </c>
    </row>
    <row r="1227" spans="1:12" x14ac:dyDescent="0.45">
      <c r="A1227" s="12" t="s">
        <v>33440</v>
      </c>
      <c r="B1227" s="12" t="s">
        <v>1081</v>
      </c>
      <c r="C1227" s="13" t="s">
        <v>1082</v>
      </c>
      <c r="D1227" s="13" t="s">
        <v>83</v>
      </c>
      <c r="E1227" s="12" t="s">
        <v>35</v>
      </c>
      <c r="F1227" s="14">
        <v>2000000</v>
      </c>
      <c r="G1227" s="14">
        <v>1379000</v>
      </c>
      <c r="H1227" s="13" t="s">
        <v>33547</v>
      </c>
      <c r="I1227" s="40" t="s">
        <v>18</v>
      </c>
      <c r="J1227" s="40" t="str">
        <f>HYPERLINK("https://stock.pstatic.net/stock-research/company/15/20260724_company_522696000.pdf","PDF")</f>
        <v>PDF</v>
      </c>
      <c r="K1227" s="12" t="s">
        <v>33548</v>
      </c>
      <c r="L1227" s="36">
        <v>0.45032632342277013</v>
      </c>
    </row>
    <row r="1228" spans="1:12" x14ac:dyDescent="0.45">
      <c r="A1228" s="12" t="s">
        <v>33440</v>
      </c>
      <c r="B1228" s="12" t="s">
        <v>2873</v>
      </c>
      <c r="C1228" s="13" t="s">
        <v>2874</v>
      </c>
      <c r="D1228" s="13" t="s">
        <v>83</v>
      </c>
      <c r="E1228" s="12" t="s">
        <v>35</v>
      </c>
      <c r="F1228" s="14">
        <v>200000</v>
      </c>
      <c r="G1228" s="14">
        <v>145900</v>
      </c>
      <c r="H1228" s="13" t="s">
        <v>33549</v>
      </c>
      <c r="I1228" s="40" t="s">
        <v>18</v>
      </c>
      <c r="J1228" s="40" t="str">
        <f>HYPERLINK("https://stock.pstatic.net/stock-research/company/15/20260724_company_265593000.pdf","PDF")</f>
        <v>PDF</v>
      </c>
      <c r="K1228" s="12" t="s">
        <v>33550</v>
      </c>
      <c r="L1228" s="36">
        <v>0.37080191912268679</v>
      </c>
    </row>
    <row r="1229" spans="1:12" x14ac:dyDescent="0.45">
      <c r="A1229" s="12" t="s">
        <v>33440</v>
      </c>
      <c r="B1229" s="12" t="s">
        <v>1128</v>
      </c>
      <c r="C1229" s="13" t="s">
        <v>1129</v>
      </c>
      <c r="D1229" s="13" t="s">
        <v>179</v>
      </c>
      <c r="E1229" s="12" t="s">
        <v>16</v>
      </c>
      <c r="F1229" s="14">
        <v>180000</v>
      </c>
      <c r="G1229" s="14">
        <v>93400</v>
      </c>
      <c r="H1229" s="13" t="s">
        <v>33551</v>
      </c>
      <c r="I1229" s="40" t="s">
        <v>18</v>
      </c>
      <c r="J1229" s="40" t="str">
        <f>HYPERLINK("https://stock.pstatic.net/stock-research/company/64/20260724_company_712375000.pdf","PDF")</f>
        <v>PDF</v>
      </c>
      <c r="K1229" s="12" t="s">
        <v>33552</v>
      </c>
      <c r="L1229" s="36">
        <v>0.9271948608137045</v>
      </c>
    </row>
    <row r="1230" spans="1:12" x14ac:dyDescent="0.45">
      <c r="A1230" s="12" t="s">
        <v>33440</v>
      </c>
      <c r="B1230" s="12" t="s">
        <v>736</v>
      </c>
      <c r="C1230" s="13" t="s">
        <v>737</v>
      </c>
      <c r="D1230" s="13" t="s">
        <v>15</v>
      </c>
      <c r="E1230" s="12" t="s">
        <v>16</v>
      </c>
      <c r="F1230" s="14">
        <v>460000</v>
      </c>
      <c r="G1230" s="14">
        <v>247000</v>
      </c>
      <c r="H1230" s="13" t="s">
        <v>33553</v>
      </c>
      <c r="I1230" s="40" t="s">
        <v>18</v>
      </c>
      <c r="J1230" s="40" t="str">
        <f>HYPERLINK("https://stock.pstatic.net/stock-research/company/56/20260724_company_648721000.pdf","PDF")</f>
        <v>PDF</v>
      </c>
      <c r="K1230" s="12" t="s">
        <v>33554</v>
      </c>
      <c r="L1230" s="36">
        <v>0.86234817813765186</v>
      </c>
    </row>
    <row r="1231" spans="1:12" x14ac:dyDescent="0.45">
      <c r="A1231" s="12" t="s">
        <v>33440</v>
      </c>
      <c r="B1231" s="12" t="s">
        <v>95</v>
      </c>
      <c r="C1231" s="13" t="s">
        <v>31</v>
      </c>
      <c r="D1231" s="13" t="s">
        <v>92</v>
      </c>
      <c r="E1231" s="12" t="s">
        <v>35</v>
      </c>
      <c r="F1231" s="14">
        <v>77000</v>
      </c>
      <c r="G1231" s="14">
        <v>46650</v>
      </c>
      <c r="H1231" s="13" t="s">
        <v>33555</v>
      </c>
      <c r="I1231" s="40" t="s">
        <v>18</v>
      </c>
      <c r="J1231" s="40" t="str">
        <f>HYPERLINK("https://stock.pstatic.net/stock-research/company/63/20260724_company_724755000.pdf","PDF")</f>
        <v>PDF</v>
      </c>
      <c r="K1231" s="12" t="s">
        <v>33556</v>
      </c>
      <c r="L1231" s="36">
        <v>0.65058949624866025</v>
      </c>
    </row>
    <row r="1232" spans="1:12" x14ac:dyDescent="0.45">
      <c r="A1232" s="12" t="s">
        <v>33440</v>
      </c>
      <c r="B1232" s="12" t="s">
        <v>4021</v>
      </c>
      <c r="C1232" s="13" t="s">
        <v>4022</v>
      </c>
      <c r="D1232" s="13" t="s">
        <v>53</v>
      </c>
      <c r="E1232" s="12" t="s">
        <v>16</v>
      </c>
      <c r="F1232" s="14">
        <v>280000</v>
      </c>
      <c r="G1232" s="14">
        <v>223500</v>
      </c>
      <c r="H1232" s="13" t="s">
        <v>33557</v>
      </c>
      <c r="I1232" s="40" t="s">
        <v>18</v>
      </c>
      <c r="J1232" s="40" t="str">
        <f>HYPERLINK("https://stock.pstatic.net/stock-research/company/40/20260724_company_595389000.pdf","PDF")</f>
        <v>PDF</v>
      </c>
      <c r="K1232" s="12" t="s">
        <v>33558</v>
      </c>
      <c r="L1232" s="36">
        <v>0.25279642058165552</v>
      </c>
    </row>
    <row r="1233" spans="1:12" x14ac:dyDescent="0.45">
      <c r="A1233" s="12" t="s">
        <v>33440</v>
      </c>
      <c r="B1233" s="12" t="s">
        <v>736</v>
      </c>
      <c r="C1233" s="13" t="s">
        <v>737</v>
      </c>
      <c r="D1233" s="13" t="s">
        <v>92</v>
      </c>
      <c r="E1233" s="12" t="s">
        <v>35</v>
      </c>
      <c r="F1233" s="14">
        <v>400000</v>
      </c>
      <c r="G1233" s="14">
        <v>247000</v>
      </c>
      <c r="H1233" s="13" t="s">
        <v>33559</v>
      </c>
      <c r="I1233" s="40" t="s">
        <v>18</v>
      </c>
      <c r="J1233" s="40" t="str">
        <f>HYPERLINK("https://stock.pstatic.net/stock-research/company/63/20260724_company_597098000.pdf","PDF")</f>
        <v>PDF</v>
      </c>
      <c r="K1233" s="12" t="s">
        <v>33560</v>
      </c>
      <c r="L1233" s="36">
        <v>0.61943319838056676</v>
      </c>
    </row>
    <row r="1234" spans="1:12" x14ac:dyDescent="0.45">
      <c r="A1234" s="12" t="s">
        <v>33440</v>
      </c>
      <c r="B1234" s="12" t="s">
        <v>4021</v>
      </c>
      <c r="C1234" s="13" t="s">
        <v>4022</v>
      </c>
      <c r="D1234" s="13" t="s">
        <v>179</v>
      </c>
      <c r="E1234" s="12" t="s">
        <v>16</v>
      </c>
      <c r="F1234" s="14">
        <v>310000</v>
      </c>
      <c r="G1234" s="14">
        <v>223500</v>
      </c>
      <c r="H1234" s="13" t="s">
        <v>33561</v>
      </c>
      <c r="I1234" s="40" t="s">
        <v>18</v>
      </c>
      <c r="J1234" s="40" t="str">
        <f>HYPERLINK("https://stock.pstatic.net/stock-research/company/64/20260724_company_374338000.pdf","PDF")</f>
        <v>PDF</v>
      </c>
      <c r="K1234" s="12" t="s">
        <v>33562</v>
      </c>
      <c r="L1234" s="36">
        <v>0.38702460850111858</v>
      </c>
    </row>
    <row r="1235" spans="1:12" x14ac:dyDescent="0.45">
      <c r="A1235" s="12" t="s">
        <v>33440</v>
      </c>
      <c r="B1235" s="12" t="s">
        <v>3749</v>
      </c>
      <c r="C1235" s="13" t="s">
        <v>3750</v>
      </c>
      <c r="D1235" s="13" t="s">
        <v>23</v>
      </c>
      <c r="E1235" s="12" t="s">
        <v>16</v>
      </c>
      <c r="F1235" s="14">
        <v>320000</v>
      </c>
      <c r="G1235" s="14">
        <v>204500</v>
      </c>
      <c r="H1235" s="13" t="s">
        <v>33563</v>
      </c>
      <c r="I1235" s="40" t="s">
        <v>18</v>
      </c>
      <c r="J1235" s="40" t="str">
        <f>HYPERLINK("https://stock.pstatic.net/stock-research/company/21/20260724_company_270058000.pdf","PDF")</f>
        <v>PDF</v>
      </c>
      <c r="K1235" s="12" t="s">
        <v>33564</v>
      </c>
      <c r="L1235" s="36">
        <v>0.5647921760391198</v>
      </c>
    </row>
    <row r="1236" spans="1:12" x14ac:dyDescent="0.45">
      <c r="A1236" s="12" t="s">
        <v>33440</v>
      </c>
      <c r="B1236" s="12" t="s">
        <v>1057</v>
      </c>
      <c r="C1236" s="13" t="s">
        <v>1058</v>
      </c>
      <c r="D1236" s="13" t="s">
        <v>23</v>
      </c>
      <c r="E1236" s="12" t="s">
        <v>16</v>
      </c>
      <c r="F1236" s="14">
        <v>14000</v>
      </c>
      <c r="G1236" s="14">
        <v>9480</v>
      </c>
      <c r="H1236" s="13" t="s">
        <v>33565</v>
      </c>
      <c r="I1236" s="40" t="s">
        <v>18</v>
      </c>
      <c r="J1236" s="40" t="str">
        <f>HYPERLINK("https://stock.pstatic.net/stock-research/company/21/20260724_company_809640000.pdf","PDF")</f>
        <v>PDF</v>
      </c>
      <c r="K1236" s="12" t="s">
        <v>33566</v>
      </c>
      <c r="L1236" s="36">
        <v>0.47679324894514769</v>
      </c>
    </row>
    <row r="1237" spans="1:12" x14ac:dyDescent="0.45">
      <c r="A1237" s="12" t="s">
        <v>33440</v>
      </c>
      <c r="B1237" s="12" t="s">
        <v>4021</v>
      </c>
      <c r="C1237" s="13" t="s">
        <v>4022</v>
      </c>
      <c r="D1237" s="13" t="s">
        <v>23</v>
      </c>
      <c r="E1237" s="12" t="s">
        <v>16</v>
      </c>
      <c r="F1237" s="14">
        <v>250000</v>
      </c>
      <c r="G1237" s="14">
        <v>223500</v>
      </c>
      <c r="H1237" s="13" t="s">
        <v>33567</v>
      </c>
      <c r="I1237" s="40" t="s">
        <v>18</v>
      </c>
      <c r="J1237" s="40" t="str">
        <f>HYPERLINK("https://stock.pstatic.net/stock-research/company/21/20260724_company_179091000.pdf","PDF")</f>
        <v>PDF</v>
      </c>
      <c r="K1237" s="12" t="s">
        <v>33568</v>
      </c>
      <c r="L1237" s="36">
        <v>0.11856823266219239</v>
      </c>
    </row>
    <row r="1238" spans="1:12" x14ac:dyDescent="0.45">
      <c r="A1238" s="12" t="s">
        <v>33440</v>
      </c>
      <c r="B1238" s="12" t="s">
        <v>3244</v>
      </c>
      <c r="C1238" s="13" t="s">
        <v>3245</v>
      </c>
      <c r="D1238" s="13" t="s">
        <v>23</v>
      </c>
      <c r="E1238" s="12" t="s">
        <v>16</v>
      </c>
      <c r="F1238" s="14">
        <v>90000</v>
      </c>
      <c r="G1238" s="14">
        <v>69300</v>
      </c>
      <c r="H1238" s="13" t="s">
        <v>33569</v>
      </c>
      <c r="I1238" s="40" t="s">
        <v>18</v>
      </c>
      <c r="J1238" s="40" t="str">
        <f>HYPERLINK("https://stock.pstatic.net/stock-research/company/21/20260724_company_664732000.pdf","PDF")</f>
        <v>PDF</v>
      </c>
      <c r="K1238" s="12" t="s">
        <v>33570</v>
      </c>
      <c r="L1238" s="36">
        <v>0.29870129870129869</v>
      </c>
    </row>
    <row r="1239" spans="1:12" x14ac:dyDescent="0.45">
      <c r="A1239" s="12" t="s">
        <v>33440</v>
      </c>
      <c r="B1239" s="12" t="s">
        <v>3296</v>
      </c>
      <c r="C1239" s="13" t="s">
        <v>3297</v>
      </c>
      <c r="D1239" s="13" t="s">
        <v>53</v>
      </c>
      <c r="E1239" s="12" t="s">
        <v>16</v>
      </c>
      <c r="F1239" s="14">
        <v>66000</v>
      </c>
      <c r="G1239" s="14">
        <v>38800</v>
      </c>
      <c r="H1239" s="13" t="s">
        <v>33571</v>
      </c>
      <c r="I1239" s="40" t="s">
        <v>18</v>
      </c>
      <c r="J1239" s="40" t="str">
        <f>HYPERLINK("https://stock.pstatic.net/stock-research/company/40/20260724_company_375214000.pdf","PDF")</f>
        <v>PDF</v>
      </c>
      <c r="K1239" s="12" t="s">
        <v>33572</v>
      </c>
      <c r="L1239" s="36">
        <v>0.7010309278350515</v>
      </c>
    </row>
    <row r="1240" spans="1:12" x14ac:dyDescent="0.45">
      <c r="A1240" s="12" t="s">
        <v>33440</v>
      </c>
      <c r="B1240" s="12" t="s">
        <v>736</v>
      </c>
      <c r="C1240" s="13" t="s">
        <v>737</v>
      </c>
      <c r="D1240" s="13" t="s">
        <v>34</v>
      </c>
      <c r="E1240" s="12" t="s">
        <v>50</v>
      </c>
      <c r="F1240" s="13"/>
      <c r="G1240" s="14">
        <v>247000</v>
      </c>
      <c r="H1240" s="13" t="s">
        <v>33573</v>
      </c>
      <c r="I1240" s="40" t="s">
        <v>18</v>
      </c>
      <c r="J1240" s="40" t="str">
        <f>HYPERLINK("https://stock.pstatic.net/stock-research/company/61/20260724_company_879177000.pdf","PDF")</f>
        <v>PDF</v>
      </c>
      <c r="K1240" s="12" t="s">
        <v>33574</v>
      </c>
      <c r="L1240" s="12"/>
    </row>
    <row r="1241" spans="1:12" x14ac:dyDescent="0.45">
      <c r="A1241" s="12" t="s">
        <v>33440</v>
      </c>
      <c r="B1241" s="12" t="s">
        <v>519</v>
      </c>
      <c r="C1241" s="13" t="s">
        <v>520</v>
      </c>
      <c r="D1241" s="13" t="s">
        <v>23</v>
      </c>
      <c r="E1241" s="12" t="s">
        <v>16</v>
      </c>
      <c r="F1241" s="14">
        <v>780000</v>
      </c>
      <c r="G1241" s="14">
        <v>432000</v>
      </c>
      <c r="H1241" s="13" t="s">
        <v>33575</v>
      </c>
      <c r="I1241" s="40" t="s">
        <v>18</v>
      </c>
      <c r="J1241" s="40" t="str">
        <f>HYPERLINK("https://stock.pstatic.net/stock-research/company/21/20260724_company_922335000.pdf","PDF")</f>
        <v>PDF</v>
      </c>
      <c r="K1241" s="12" t="s">
        <v>33576</v>
      </c>
      <c r="L1241" s="36">
        <v>0.80555555555555558</v>
      </c>
    </row>
    <row r="1242" spans="1:12" x14ac:dyDescent="0.45">
      <c r="A1242" s="12" t="s">
        <v>33440</v>
      </c>
      <c r="B1242" s="12" t="s">
        <v>1682</v>
      </c>
      <c r="C1242" s="13" t="s">
        <v>1683</v>
      </c>
      <c r="D1242" s="13" t="s">
        <v>23</v>
      </c>
      <c r="E1242" s="12" t="s">
        <v>16</v>
      </c>
      <c r="F1242" s="14">
        <v>330000</v>
      </c>
      <c r="G1242" s="14">
        <v>225000</v>
      </c>
      <c r="H1242" s="13" t="s">
        <v>33577</v>
      </c>
      <c r="I1242" s="40" t="s">
        <v>18</v>
      </c>
      <c r="J1242" s="40" t="str">
        <f>HYPERLINK("https://stock.pstatic.net/stock-research/company/21/20260724_company_597790000.pdf","PDF")</f>
        <v>PDF</v>
      </c>
      <c r="K1242" s="12" t="s">
        <v>33578</v>
      </c>
      <c r="L1242" s="36">
        <v>0.46666666666666667</v>
      </c>
    </row>
    <row r="1243" spans="1:12" x14ac:dyDescent="0.45">
      <c r="A1243" s="12" t="s">
        <v>33440</v>
      </c>
      <c r="B1243" s="12" t="s">
        <v>95</v>
      </c>
      <c r="C1243" s="13" t="s">
        <v>31</v>
      </c>
      <c r="D1243" s="13" t="s">
        <v>23</v>
      </c>
      <c r="E1243" s="12" t="s">
        <v>16</v>
      </c>
      <c r="F1243" s="14">
        <v>68000</v>
      </c>
      <c r="G1243" s="14">
        <v>46650</v>
      </c>
      <c r="H1243" s="13" t="s">
        <v>33579</v>
      </c>
      <c r="I1243" s="40" t="s">
        <v>18</v>
      </c>
      <c r="J1243" s="40" t="str">
        <f>HYPERLINK("https://stock.pstatic.net/stock-research/company/21/20260724_company_986395000.pdf","PDF")</f>
        <v>PDF</v>
      </c>
      <c r="K1243" s="12" t="s">
        <v>33580</v>
      </c>
      <c r="L1243" s="36">
        <v>0.45766345123258312</v>
      </c>
    </row>
    <row r="1244" spans="1:12" x14ac:dyDescent="0.45">
      <c r="A1244" s="12" t="s">
        <v>33440</v>
      </c>
      <c r="B1244" s="12" t="s">
        <v>1407</v>
      </c>
      <c r="C1244" s="13" t="s">
        <v>1408</v>
      </c>
      <c r="D1244" s="13" t="s">
        <v>92</v>
      </c>
      <c r="E1244" s="12" t="s">
        <v>35</v>
      </c>
      <c r="F1244" s="14">
        <v>140000</v>
      </c>
      <c r="G1244" s="14">
        <v>63900</v>
      </c>
      <c r="H1244" s="13" t="s">
        <v>33581</v>
      </c>
      <c r="I1244" s="40" t="s">
        <v>18</v>
      </c>
      <c r="J1244" s="40" t="str">
        <f>HYPERLINK("https://stock.pstatic.net/stock-research/company/63/20260724_company_380085000.pdf","PDF")</f>
        <v>PDF</v>
      </c>
      <c r="K1244" s="12" t="s">
        <v>33582</v>
      </c>
      <c r="L1244" s="36">
        <v>1.1909233176838809</v>
      </c>
    </row>
    <row r="1245" spans="1:12" x14ac:dyDescent="0.45">
      <c r="A1245" s="12" t="s">
        <v>33440</v>
      </c>
      <c r="B1245" s="12" t="s">
        <v>3887</v>
      </c>
      <c r="C1245" s="13" t="s">
        <v>3888</v>
      </c>
      <c r="D1245" s="13" t="s">
        <v>179</v>
      </c>
      <c r="E1245" s="12" t="s">
        <v>16</v>
      </c>
      <c r="F1245" s="14">
        <v>86000</v>
      </c>
      <c r="G1245" s="14">
        <v>54700</v>
      </c>
      <c r="H1245" s="13" t="s">
        <v>33583</v>
      </c>
      <c r="I1245" s="40" t="s">
        <v>18</v>
      </c>
      <c r="J1245" s="40" t="str">
        <f>HYPERLINK("https://stock.pstatic.net/stock-research/company/64/20260724_company_217514000.pdf","PDF")</f>
        <v>PDF</v>
      </c>
      <c r="K1245" s="12" t="s">
        <v>33584</v>
      </c>
      <c r="L1245" s="36">
        <v>0.57221206581352835</v>
      </c>
    </row>
    <row r="1246" spans="1:12" x14ac:dyDescent="0.45">
      <c r="A1246" s="12" t="s">
        <v>33440</v>
      </c>
      <c r="B1246" s="12" t="s">
        <v>3373</v>
      </c>
      <c r="C1246" s="13" t="s">
        <v>3374</v>
      </c>
      <c r="D1246" s="13" t="s">
        <v>44</v>
      </c>
      <c r="E1246" s="12" t="s">
        <v>35</v>
      </c>
      <c r="F1246" s="14">
        <v>230000</v>
      </c>
      <c r="G1246" s="14">
        <v>176300</v>
      </c>
      <c r="H1246" s="13" t="s">
        <v>33585</v>
      </c>
      <c r="I1246" s="40" t="s">
        <v>18</v>
      </c>
      <c r="J1246" s="40" t="str">
        <f>HYPERLINK("https://stock.pstatic.net/stock-research/company/39/20260724_company_838818000.pdf","PDF")</f>
        <v>PDF</v>
      </c>
      <c r="K1246" s="12" t="s">
        <v>33586</v>
      </c>
      <c r="L1246" s="36">
        <v>0.30459444129325008</v>
      </c>
    </row>
    <row r="1247" spans="1:12" x14ac:dyDescent="0.45">
      <c r="A1247" s="12" t="s">
        <v>33440</v>
      </c>
      <c r="B1247" s="12" t="s">
        <v>1081</v>
      </c>
      <c r="C1247" s="13" t="s">
        <v>1082</v>
      </c>
      <c r="D1247" s="13" t="s">
        <v>53</v>
      </c>
      <c r="E1247" s="12" t="s">
        <v>16</v>
      </c>
      <c r="F1247" s="14">
        <v>2090000</v>
      </c>
      <c r="G1247" s="14">
        <v>1379000</v>
      </c>
      <c r="H1247" s="13" t="s">
        <v>33587</v>
      </c>
      <c r="I1247" s="40" t="s">
        <v>18</v>
      </c>
      <c r="J1247" s="40" t="str">
        <f>HYPERLINK("https://stock.pstatic.net/stock-research/company/40/20260724_company_286229000.pdf","PDF")</f>
        <v>PDF</v>
      </c>
      <c r="K1247" s="12" t="s">
        <v>33588</v>
      </c>
      <c r="L1247" s="36">
        <v>0.5155910079767948</v>
      </c>
    </row>
    <row r="1248" spans="1:12" x14ac:dyDescent="0.45">
      <c r="A1248" s="12" t="s">
        <v>33440</v>
      </c>
      <c r="B1248" s="12" t="s">
        <v>3369</v>
      </c>
      <c r="C1248" s="13" t="s">
        <v>3370</v>
      </c>
      <c r="D1248" s="13" t="s">
        <v>23</v>
      </c>
      <c r="E1248" s="12" t="s">
        <v>16</v>
      </c>
      <c r="F1248" s="14">
        <v>33000</v>
      </c>
      <c r="G1248" s="14">
        <v>25550</v>
      </c>
      <c r="H1248" s="13" t="s">
        <v>33589</v>
      </c>
      <c r="I1248" s="40" t="s">
        <v>18</v>
      </c>
      <c r="J1248" s="40" t="str">
        <f>HYPERLINK("https://stock.pstatic.net/stock-research/company/21/20260724_company_247191000.pdf","PDF")</f>
        <v>PDF</v>
      </c>
      <c r="K1248" s="12" t="s">
        <v>33590</v>
      </c>
      <c r="L1248" s="36">
        <v>0.29158512720156549</v>
      </c>
    </row>
    <row r="1249" spans="1:12" x14ac:dyDescent="0.45">
      <c r="A1249" s="12" t="s">
        <v>33440</v>
      </c>
      <c r="B1249" s="12" t="s">
        <v>3373</v>
      </c>
      <c r="C1249" s="13" t="s">
        <v>3374</v>
      </c>
      <c r="D1249" s="13" t="s">
        <v>23</v>
      </c>
      <c r="E1249" s="12" t="s">
        <v>16</v>
      </c>
      <c r="F1249" s="14">
        <v>200000</v>
      </c>
      <c r="G1249" s="14">
        <v>176300</v>
      </c>
      <c r="H1249" s="13" t="s">
        <v>33591</v>
      </c>
      <c r="I1249" s="40" t="s">
        <v>18</v>
      </c>
      <c r="J1249" s="40" t="str">
        <f>HYPERLINK("https://stock.pstatic.net/stock-research/company/21/20260724_company_549070000.pdf","PDF")</f>
        <v>PDF</v>
      </c>
      <c r="K1249" s="12" t="s">
        <v>33592</v>
      </c>
      <c r="L1249" s="36">
        <v>0.1344299489506523</v>
      </c>
    </row>
    <row r="1250" spans="1:12" x14ac:dyDescent="0.45">
      <c r="A1250" s="12" t="s">
        <v>33440</v>
      </c>
      <c r="B1250" s="12" t="s">
        <v>1081</v>
      </c>
      <c r="C1250" s="13" t="s">
        <v>1082</v>
      </c>
      <c r="D1250" s="13" t="s">
        <v>23</v>
      </c>
      <c r="E1250" s="12" t="s">
        <v>16</v>
      </c>
      <c r="F1250" s="14">
        <v>1800000</v>
      </c>
      <c r="G1250" s="14">
        <v>1379000</v>
      </c>
      <c r="H1250" s="13" t="s">
        <v>33593</v>
      </c>
      <c r="I1250" s="40" t="s">
        <v>18</v>
      </c>
      <c r="J1250" s="40" t="str">
        <f>HYPERLINK("https://stock.pstatic.net/stock-research/company/21/20260724_company_423262000.pdf","PDF")</f>
        <v>PDF</v>
      </c>
      <c r="K1250" s="12" t="s">
        <v>33594</v>
      </c>
      <c r="L1250" s="36">
        <v>0.30529369108049309</v>
      </c>
    </row>
    <row r="1251" spans="1:12" x14ac:dyDescent="0.45">
      <c r="A1251" s="12" t="s">
        <v>33440</v>
      </c>
      <c r="B1251" s="12" t="s">
        <v>519</v>
      </c>
      <c r="C1251" s="13" t="s">
        <v>520</v>
      </c>
      <c r="D1251" s="13" t="s">
        <v>34</v>
      </c>
      <c r="E1251" s="12" t="s">
        <v>35</v>
      </c>
      <c r="F1251" s="14">
        <v>650000</v>
      </c>
      <c r="G1251" s="14">
        <v>432000</v>
      </c>
      <c r="H1251" s="13" t="s">
        <v>33595</v>
      </c>
      <c r="I1251" s="40" t="s">
        <v>18</v>
      </c>
      <c r="J1251" s="40" t="str">
        <f>HYPERLINK("https://stock.pstatic.net/stock-research/company/61/20260724_company_730638000.pdf","PDF")</f>
        <v>PDF</v>
      </c>
      <c r="K1251" s="12" t="s">
        <v>33596</v>
      </c>
      <c r="L1251" s="36">
        <v>0.50462962962962965</v>
      </c>
    </row>
    <row r="1252" spans="1:12" x14ac:dyDescent="0.45">
      <c r="A1252" s="12" t="s">
        <v>33440</v>
      </c>
      <c r="B1252" s="12" t="s">
        <v>81</v>
      </c>
      <c r="C1252" s="13" t="s">
        <v>82</v>
      </c>
      <c r="D1252" s="13" t="s">
        <v>34</v>
      </c>
      <c r="E1252" s="12" t="s">
        <v>35</v>
      </c>
      <c r="F1252" s="14">
        <v>41000</v>
      </c>
      <c r="G1252" s="14">
        <v>30000</v>
      </c>
      <c r="H1252" s="13" t="s">
        <v>33597</v>
      </c>
      <c r="I1252" s="40" t="s">
        <v>18</v>
      </c>
      <c r="J1252" s="40" t="str">
        <f>HYPERLINK("https://stock.pstatic.net/stock-research/company/61/20260724_company_478483000.pdf","PDF")</f>
        <v>PDF</v>
      </c>
      <c r="K1252" s="12" t="s">
        <v>33598</v>
      </c>
      <c r="L1252" s="36">
        <v>0.36666666666666659</v>
      </c>
    </row>
    <row r="1253" spans="1:12" x14ac:dyDescent="0.45">
      <c r="A1253" s="12" t="s">
        <v>33440</v>
      </c>
      <c r="B1253" s="12" t="s">
        <v>32</v>
      </c>
      <c r="C1253" s="13" t="s">
        <v>33</v>
      </c>
      <c r="D1253" s="13" t="s">
        <v>34</v>
      </c>
      <c r="E1253" s="12" t="s">
        <v>35</v>
      </c>
      <c r="F1253" s="14">
        <v>3000000</v>
      </c>
      <c r="G1253" s="14">
        <v>1448000</v>
      </c>
      <c r="H1253" s="13" t="s">
        <v>33599</v>
      </c>
      <c r="I1253" s="40" t="s">
        <v>18</v>
      </c>
      <c r="J1253" s="40" t="str">
        <f>HYPERLINK("https://stock.pstatic.net/stock-research/company/61/20260724_company_117099000.pdf","PDF")</f>
        <v>PDF</v>
      </c>
      <c r="K1253" s="12" t="s">
        <v>33600</v>
      </c>
      <c r="L1253" s="36">
        <v>1.071823204419889</v>
      </c>
    </row>
    <row r="1254" spans="1:12" x14ac:dyDescent="0.45">
      <c r="A1254" s="12" t="s">
        <v>33440</v>
      </c>
      <c r="B1254" s="12" t="s">
        <v>95</v>
      </c>
      <c r="C1254" s="13" t="s">
        <v>31</v>
      </c>
      <c r="D1254" s="13" t="s">
        <v>34</v>
      </c>
      <c r="E1254" s="12" t="s">
        <v>35</v>
      </c>
      <c r="F1254" s="14">
        <v>69000</v>
      </c>
      <c r="G1254" s="14">
        <v>46650</v>
      </c>
      <c r="H1254" s="13" t="s">
        <v>33601</v>
      </c>
      <c r="I1254" s="40" t="s">
        <v>18</v>
      </c>
      <c r="J1254" s="40" t="str">
        <f>HYPERLINK("https://stock.pstatic.net/stock-research/company/61/20260724_company_854769000.pdf","PDF")</f>
        <v>PDF</v>
      </c>
      <c r="K1254" s="12" t="s">
        <v>33602</v>
      </c>
      <c r="L1254" s="36">
        <v>0.47909967845659163</v>
      </c>
    </row>
    <row r="1255" spans="1:12" x14ac:dyDescent="0.45">
      <c r="A1255" s="12" t="s">
        <v>33440</v>
      </c>
      <c r="B1255" s="12" t="s">
        <v>1081</v>
      </c>
      <c r="C1255" s="13" t="s">
        <v>1082</v>
      </c>
      <c r="D1255" s="13" t="s">
        <v>34</v>
      </c>
      <c r="E1255" s="12" t="s">
        <v>35</v>
      </c>
      <c r="F1255" s="14">
        <v>1900000</v>
      </c>
      <c r="G1255" s="14">
        <v>1379000</v>
      </c>
      <c r="H1255" s="13" t="s">
        <v>33603</v>
      </c>
      <c r="I1255" s="40" t="s">
        <v>18</v>
      </c>
      <c r="J1255" s="40" t="str">
        <f>HYPERLINK("https://stock.pstatic.net/stock-research/company/61/20260724_company_335125000.pdf","PDF")</f>
        <v>PDF</v>
      </c>
      <c r="K1255" s="12" t="s">
        <v>33604</v>
      </c>
      <c r="L1255" s="36">
        <v>0.37781000725163161</v>
      </c>
    </row>
    <row r="1256" spans="1:12" x14ac:dyDescent="0.45">
      <c r="A1256" s="12" t="s">
        <v>33440</v>
      </c>
      <c r="B1256" s="12" t="s">
        <v>772</v>
      </c>
      <c r="C1256" s="13" t="s">
        <v>773</v>
      </c>
      <c r="D1256" s="13" t="s">
        <v>15</v>
      </c>
      <c r="E1256" s="12" t="s">
        <v>16</v>
      </c>
      <c r="F1256" s="14">
        <v>50000</v>
      </c>
      <c r="G1256" s="14">
        <v>29900</v>
      </c>
      <c r="H1256" s="13" t="s">
        <v>33605</v>
      </c>
      <c r="I1256" s="40" t="s">
        <v>18</v>
      </c>
      <c r="J1256" s="40" t="str">
        <f>HYPERLINK("https://stock.pstatic.net/stock-research/company/56/20260724_company_692081000.pdf","PDF")</f>
        <v>PDF</v>
      </c>
      <c r="K1256" s="12" t="s">
        <v>33606</v>
      </c>
      <c r="L1256" s="36">
        <v>0.67224080267558528</v>
      </c>
    </row>
    <row r="1257" spans="1:12" x14ac:dyDescent="0.45">
      <c r="A1257" s="12" t="s">
        <v>33440</v>
      </c>
      <c r="B1257" s="12" t="s">
        <v>519</v>
      </c>
      <c r="C1257" s="13" t="s">
        <v>520</v>
      </c>
      <c r="D1257" s="13" t="s">
        <v>92</v>
      </c>
      <c r="E1257" s="12" t="s">
        <v>35</v>
      </c>
      <c r="F1257" s="14">
        <v>900000</v>
      </c>
      <c r="G1257" s="14">
        <v>432000</v>
      </c>
      <c r="H1257" s="13" t="s">
        <v>33607</v>
      </c>
      <c r="I1257" s="40" t="s">
        <v>18</v>
      </c>
      <c r="J1257" s="40" t="str">
        <f>HYPERLINK("https://stock.pstatic.net/stock-research/company/63/20260724_company_603610000.pdf","PDF")</f>
        <v>PDF</v>
      </c>
      <c r="K1257" s="12" t="s">
        <v>33608</v>
      </c>
      <c r="L1257" s="36">
        <v>1.083333333333333</v>
      </c>
    </row>
    <row r="1258" spans="1:12" x14ac:dyDescent="0.45">
      <c r="A1258" s="12" t="s">
        <v>33440</v>
      </c>
      <c r="B1258" s="12" t="s">
        <v>81</v>
      </c>
      <c r="C1258" s="13" t="s">
        <v>82</v>
      </c>
      <c r="D1258" s="13" t="s">
        <v>179</v>
      </c>
      <c r="E1258" s="12" t="s">
        <v>16</v>
      </c>
      <c r="F1258" s="14">
        <v>44000</v>
      </c>
      <c r="G1258" s="14">
        <v>30000</v>
      </c>
      <c r="H1258" s="13" t="s">
        <v>33609</v>
      </c>
      <c r="I1258" s="40" t="s">
        <v>18</v>
      </c>
      <c r="J1258" s="40" t="str">
        <f>HYPERLINK("https://stock.pstatic.net/stock-research/company/64/20260724_company_412160000.pdf","PDF")</f>
        <v>PDF</v>
      </c>
      <c r="K1258" s="12" t="s">
        <v>33610</v>
      </c>
      <c r="L1258" s="36">
        <v>0.46666666666666667</v>
      </c>
    </row>
    <row r="1259" spans="1:12" x14ac:dyDescent="0.45">
      <c r="A1259" s="12" t="s">
        <v>33440</v>
      </c>
      <c r="B1259" s="12" t="s">
        <v>1081</v>
      </c>
      <c r="C1259" s="13" t="s">
        <v>1082</v>
      </c>
      <c r="D1259" s="13" t="s">
        <v>44</v>
      </c>
      <c r="E1259" s="12" t="s">
        <v>35</v>
      </c>
      <c r="F1259" s="14">
        <v>2100000</v>
      </c>
      <c r="G1259" s="14">
        <v>1379000</v>
      </c>
      <c r="H1259" s="13" t="s">
        <v>33611</v>
      </c>
      <c r="I1259" s="40" t="s">
        <v>18</v>
      </c>
      <c r="J1259" s="40" t="str">
        <f>HYPERLINK("https://stock.pstatic.net/stock-research/company/39/20260724_company_803827000.pdf","PDF")</f>
        <v>PDF</v>
      </c>
      <c r="K1259" s="12" t="s">
        <v>33612</v>
      </c>
      <c r="L1259" s="36">
        <v>0.52284263959390864</v>
      </c>
    </row>
    <row r="1260" spans="1:12" x14ac:dyDescent="0.45">
      <c r="A1260" s="12" t="s">
        <v>33440</v>
      </c>
      <c r="B1260" s="12" t="s">
        <v>95</v>
      </c>
      <c r="C1260" s="13" t="s">
        <v>31</v>
      </c>
      <c r="D1260" s="13" t="s">
        <v>44</v>
      </c>
      <c r="E1260" s="12" t="s">
        <v>35</v>
      </c>
      <c r="F1260" s="14">
        <v>73000</v>
      </c>
      <c r="G1260" s="14">
        <v>46650</v>
      </c>
      <c r="H1260" s="13" t="s">
        <v>33613</v>
      </c>
      <c r="I1260" s="40" t="s">
        <v>18</v>
      </c>
      <c r="J1260" s="40" t="str">
        <f>HYPERLINK("https://stock.pstatic.net/stock-research/company/39/20260724_company_978983000.pdf","PDF")</f>
        <v>PDF</v>
      </c>
      <c r="K1260" s="12" t="s">
        <v>33614</v>
      </c>
      <c r="L1260" s="36">
        <v>0.56484458735262599</v>
      </c>
    </row>
    <row r="1261" spans="1:12" x14ac:dyDescent="0.45">
      <c r="A1261" s="12" t="s">
        <v>33440</v>
      </c>
      <c r="B1261" s="12" t="s">
        <v>736</v>
      </c>
      <c r="C1261" s="13" t="s">
        <v>737</v>
      </c>
      <c r="D1261" s="13" t="s">
        <v>44</v>
      </c>
      <c r="E1261" s="12" t="s">
        <v>35</v>
      </c>
      <c r="F1261" s="14">
        <v>420000</v>
      </c>
      <c r="G1261" s="14">
        <v>247000</v>
      </c>
      <c r="H1261" s="13" t="s">
        <v>33615</v>
      </c>
      <c r="I1261" s="40" t="s">
        <v>18</v>
      </c>
      <c r="J1261" s="40" t="str">
        <f>HYPERLINK("https://stock.pstatic.net/stock-research/company/39/20260724_company_951024000.pdf","PDF")</f>
        <v>PDF</v>
      </c>
      <c r="K1261" s="12" t="s">
        <v>33616</v>
      </c>
      <c r="L1261" s="36">
        <v>0.70040485829959509</v>
      </c>
    </row>
    <row r="1262" spans="1:12" x14ac:dyDescent="0.45">
      <c r="A1262" s="12" t="s">
        <v>33440</v>
      </c>
      <c r="B1262" s="12" t="s">
        <v>3244</v>
      </c>
      <c r="C1262" s="13" t="s">
        <v>3245</v>
      </c>
      <c r="D1262" s="13" t="s">
        <v>44</v>
      </c>
      <c r="E1262" s="12" t="s">
        <v>35</v>
      </c>
      <c r="F1262" s="14">
        <v>96000</v>
      </c>
      <c r="G1262" s="14">
        <v>69300</v>
      </c>
      <c r="H1262" s="13" t="s">
        <v>33617</v>
      </c>
      <c r="I1262" s="40" t="s">
        <v>18</v>
      </c>
      <c r="J1262" s="40" t="str">
        <f>HYPERLINK("https://stock.pstatic.net/stock-research/company/39/20260724_company_916128000.pdf","PDF")</f>
        <v>PDF</v>
      </c>
      <c r="K1262" s="12" t="s">
        <v>33618</v>
      </c>
      <c r="L1262" s="36">
        <v>0.38528138528138528</v>
      </c>
    </row>
    <row r="1263" spans="1:12" x14ac:dyDescent="0.45">
      <c r="A1263" s="12" t="s">
        <v>33440</v>
      </c>
      <c r="B1263" s="12" t="s">
        <v>519</v>
      </c>
      <c r="C1263" s="13" t="s">
        <v>520</v>
      </c>
      <c r="D1263" s="13" t="s">
        <v>44</v>
      </c>
      <c r="E1263" s="12" t="s">
        <v>35</v>
      </c>
      <c r="F1263" s="14">
        <v>700000</v>
      </c>
      <c r="G1263" s="14">
        <v>432000</v>
      </c>
      <c r="H1263" s="13" t="s">
        <v>33619</v>
      </c>
      <c r="I1263" s="40" t="s">
        <v>18</v>
      </c>
      <c r="J1263" s="40" t="str">
        <f>HYPERLINK("https://stock.pstatic.net/stock-research/company/39/20260724_company_676242000.pdf","PDF")</f>
        <v>PDF</v>
      </c>
      <c r="K1263" s="12" t="s">
        <v>33620</v>
      </c>
      <c r="L1263" s="36">
        <v>0.62037037037037035</v>
      </c>
    </row>
    <row r="1264" spans="1:12" x14ac:dyDescent="0.45">
      <c r="A1264" s="12" t="s">
        <v>33440</v>
      </c>
      <c r="B1264" s="12" t="s">
        <v>3369</v>
      </c>
      <c r="C1264" s="13" t="s">
        <v>3370</v>
      </c>
      <c r="D1264" s="13" t="s">
        <v>44</v>
      </c>
      <c r="E1264" s="12" t="s">
        <v>35</v>
      </c>
      <c r="F1264" s="14">
        <v>42000</v>
      </c>
      <c r="G1264" s="14">
        <v>25550</v>
      </c>
      <c r="H1264" s="13" t="s">
        <v>33621</v>
      </c>
      <c r="I1264" s="40" t="s">
        <v>18</v>
      </c>
      <c r="J1264" s="40" t="str">
        <f>HYPERLINK("https://stock.pstatic.net/stock-research/company/39/20260724_company_351079000.pdf","PDF")</f>
        <v>PDF</v>
      </c>
      <c r="K1264" s="12" t="s">
        <v>33622</v>
      </c>
      <c r="L1264" s="36">
        <v>0.64383561643835618</v>
      </c>
    </row>
    <row r="1265" spans="1:12" x14ac:dyDescent="0.45">
      <c r="A1265" s="12" t="s">
        <v>33440</v>
      </c>
      <c r="B1265" s="12" t="s">
        <v>3688</v>
      </c>
      <c r="C1265" s="13" t="s">
        <v>3689</v>
      </c>
      <c r="D1265" s="13" t="s">
        <v>44</v>
      </c>
      <c r="E1265" s="12" t="s">
        <v>35</v>
      </c>
      <c r="F1265" s="14">
        <v>150000</v>
      </c>
      <c r="G1265" s="14">
        <v>103800</v>
      </c>
      <c r="H1265" s="13" t="s">
        <v>33623</v>
      </c>
      <c r="I1265" s="40" t="s">
        <v>18</v>
      </c>
      <c r="J1265" s="40" t="str">
        <f>HYPERLINK("https://stock.pstatic.net/stock-research/company/39/20260724_company_879079000.pdf","PDF")</f>
        <v>PDF</v>
      </c>
      <c r="K1265" s="12" t="s">
        <v>33624</v>
      </c>
      <c r="L1265" s="36">
        <v>0.44508670520231208</v>
      </c>
    </row>
    <row r="1266" spans="1:12" x14ac:dyDescent="0.45">
      <c r="A1266" s="12" t="s">
        <v>33440</v>
      </c>
      <c r="B1266" s="12" t="s">
        <v>81</v>
      </c>
      <c r="C1266" s="13" t="s">
        <v>82</v>
      </c>
      <c r="D1266" s="13" t="s">
        <v>44</v>
      </c>
      <c r="E1266" s="12" t="s">
        <v>35</v>
      </c>
      <c r="F1266" s="14">
        <v>44000</v>
      </c>
      <c r="G1266" s="14">
        <v>30000</v>
      </c>
      <c r="H1266" s="13" t="s">
        <v>33625</v>
      </c>
      <c r="I1266" s="40" t="s">
        <v>18</v>
      </c>
      <c r="J1266" s="40" t="str">
        <f>HYPERLINK("https://stock.pstatic.net/stock-research/company/39/20260724_company_401549000.pdf","PDF")</f>
        <v>PDF</v>
      </c>
      <c r="K1266" s="12" t="s">
        <v>33626</v>
      </c>
      <c r="L1266" s="36">
        <v>0.46666666666666667</v>
      </c>
    </row>
    <row r="1267" spans="1:12" x14ac:dyDescent="0.45">
      <c r="A1267" s="12" t="s">
        <v>33440</v>
      </c>
      <c r="B1267" s="12" t="s">
        <v>3296</v>
      </c>
      <c r="C1267" s="13" t="s">
        <v>3297</v>
      </c>
      <c r="D1267" s="13" t="s">
        <v>124</v>
      </c>
      <c r="E1267" s="12" t="s">
        <v>50</v>
      </c>
      <c r="F1267" s="13"/>
      <c r="G1267" s="13"/>
      <c r="H1267" s="13" t="s">
        <v>33627</v>
      </c>
      <c r="I1267" s="40" t="s">
        <v>18</v>
      </c>
      <c r="J1267" s="40" t="str">
        <f>HYPERLINK("https://stock.pstatic.net/stock-research/company/74/20260724_company_47744000.pdf","PDF")</f>
        <v>PDF</v>
      </c>
      <c r="K1267" s="12" t="s">
        <v>33628</v>
      </c>
      <c r="L1267" s="12"/>
    </row>
    <row r="1268" spans="1:12" x14ac:dyDescent="0.45">
      <c r="A1268" s="12" t="s">
        <v>33440</v>
      </c>
      <c r="B1268" s="12" t="s">
        <v>748</v>
      </c>
      <c r="C1268" s="13" t="s">
        <v>749</v>
      </c>
      <c r="D1268" s="13" t="s">
        <v>124</v>
      </c>
      <c r="E1268" s="12" t="s">
        <v>50</v>
      </c>
      <c r="F1268" s="13"/>
      <c r="G1268" s="13"/>
      <c r="H1268" s="13" t="s">
        <v>33629</v>
      </c>
      <c r="I1268" s="40" t="s">
        <v>18</v>
      </c>
      <c r="J1268" s="40" t="str">
        <f>HYPERLINK("https://stock.pstatic.net/stock-research/company/74/20260724_company_672937000.pdf","PDF")</f>
        <v>PDF</v>
      </c>
      <c r="K1268" s="12" t="s">
        <v>33630</v>
      </c>
      <c r="L1268" s="12"/>
    </row>
    <row r="1269" spans="1:12" x14ac:dyDescent="0.45">
      <c r="A1269" s="12" t="s">
        <v>33440</v>
      </c>
      <c r="B1269" s="12" t="s">
        <v>95</v>
      </c>
      <c r="C1269" s="13" t="s">
        <v>31</v>
      </c>
      <c r="D1269" s="13" t="s">
        <v>53</v>
      </c>
      <c r="E1269" s="12" t="s">
        <v>16</v>
      </c>
      <c r="F1269" s="14">
        <v>68000</v>
      </c>
      <c r="G1269" s="14">
        <v>46650</v>
      </c>
      <c r="H1269" s="13" t="s">
        <v>33631</v>
      </c>
      <c r="I1269" s="40" t="s">
        <v>18</v>
      </c>
      <c r="J1269" s="40" t="str">
        <f>HYPERLINK("https://stock.pstatic.net/stock-research/company/40/20260724_company_304834000.pdf","PDF")</f>
        <v>PDF</v>
      </c>
      <c r="K1269" s="12" t="s">
        <v>33632</v>
      </c>
      <c r="L1269" s="36">
        <v>0.45766345123258312</v>
      </c>
    </row>
    <row r="1270" spans="1:12" x14ac:dyDescent="0.45">
      <c r="A1270" s="12" t="s">
        <v>33440</v>
      </c>
      <c r="B1270" s="12" t="s">
        <v>33633</v>
      </c>
      <c r="C1270" s="13" t="s">
        <v>33634</v>
      </c>
      <c r="D1270" s="13" t="s">
        <v>202</v>
      </c>
      <c r="E1270" s="12" t="s">
        <v>50</v>
      </c>
      <c r="F1270" s="13"/>
      <c r="G1270" s="13"/>
      <c r="H1270" s="13" t="s">
        <v>33635</v>
      </c>
      <c r="I1270" s="40" t="s">
        <v>18</v>
      </c>
      <c r="J1270" s="40" t="str">
        <f>HYPERLINK("https://stock.pstatic.net/stock-research/company/69/20260724_company_309034000.pdf","PDF")</f>
        <v>PDF</v>
      </c>
      <c r="K1270" s="12" t="s">
        <v>33636</v>
      </c>
      <c r="L1270" s="12"/>
    </row>
    <row r="1271" spans="1:12" x14ac:dyDescent="0.45">
      <c r="A1271" s="12" t="s">
        <v>33440</v>
      </c>
      <c r="B1271" s="12" t="s">
        <v>33637</v>
      </c>
      <c r="C1271" s="13" t="s">
        <v>33638</v>
      </c>
      <c r="D1271" s="13" t="s">
        <v>202</v>
      </c>
      <c r="E1271" s="12" t="s">
        <v>50</v>
      </c>
      <c r="F1271" s="13"/>
      <c r="G1271" s="13"/>
      <c r="H1271" s="13" t="s">
        <v>33639</v>
      </c>
      <c r="I1271" s="40" t="s">
        <v>18</v>
      </c>
      <c r="J1271" s="40" t="str">
        <f>HYPERLINK("https://stock.pstatic.net/stock-research/company/69/20260724_company_227569000.pdf","PDF")</f>
        <v>PDF</v>
      </c>
      <c r="K1271" s="12" t="s">
        <v>33640</v>
      </c>
      <c r="L1271" s="12"/>
    </row>
    <row r="1272" spans="1:12" x14ac:dyDescent="0.45">
      <c r="A1272" s="12" t="s">
        <v>33440</v>
      </c>
      <c r="B1272" s="12" t="s">
        <v>33641</v>
      </c>
      <c r="C1272" s="13" t="s">
        <v>33642</v>
      </c>
      <c r="D1272" s="13" t="s">
        <v>202</v>
      </c>
      <c r="E1272" s="12" t="s">
        <v>50</v>
      </c>
      <c r="F1272" s="13"/>
      <c r="G1272" s="13"/>
      <c r="H1272" s="13" t="s">
        <v>33643</v>
      </c>
      <c r="I1272" s="40" t="s">
        <v>18</v>
      </c>
      <c r="J1272" s="40" t="str">
        <f>HYPERLINK("https://stock.pstatic.net/stock-research/company/69/20260724_company_466100000.pdf","PDF")</f>
        <v>PDF</v>
      </c>
      <c r="K1272" s="12" t="s">
        <v>33644</v>
      </c>
      <c r="L1272" s="12"/>
    </row>
    <row r="1273" spans="1:12" x14ac:dyDescent="0.45">
      <c r="A1273" s="12" t="s">
        <v>33440</v>
      </c>
      <c r="B1273" s="12" t="s">
        <v>33645</v>
      </c>
      <c r="C1273" s="13" t="s">
        <v>33646</v>
      </c>
      <c r="D1273" s="13" t="s">
        <v>207</v>
      </c>
      <c r="E1273" s="12" t="s">
        <v>50</v>
      </c>
      <c r="F1273" s="13"/>
      <c r="G1273" s="13"/>
      <c r="H1273" s="13" t="s">
        <v>33647</v>
      </c>
      <c r="I1273" s="40" t="s">
        <v>18</v>
      </c>
      <c r="J1273" s="40" t="str">
        <f>HYPERLINK("https://stock.pstatic.net/stock-research/company/75/20260724_company_451504000.pdf","PDF")</f>
        <v>PDF</v>
      </c>
      <c r="K1273" s="12" t="s">
        <v>33648</v>
      </c>
      <c r="L1273" s="12"/>
    </row>
    <row r="1274" spans="1:12" x14ac:dyDescent="0.45">
      <c r="A1274" s="12" t="s">
        <v>33440</v>
      </c>
      <c r="B1274" s="12" t="s">
        <v>26234</v>
      </c>
      <c r="C1274" s="13" t="s">
        <v>33649</v>
      </c>
      <c r="D1274" s="13" t="s">
        <v>207</v>
      </c>
      <c r="E1274" s="12" t="s">
        <v>50</v>
      </c>
      <c r="F1274" s="13"/>
      <c r="G1274" s="13"/>
      <c r="H1274" s="13" t="s">
        <v>33650</v>
      </c>
      <c r="I1274" s="40" t="s">
        <v>18</v>
      </c>
      <c r="J1274" s="40" t="str">
        <f>HYPERLINK("https://stock.pstatic.net/stock-research/company/75/20260724_company_396126000.pdf","PDF")</f>
        <v>PDF</v>
      </c>
      <c r="K1274" s="12" t="s">
        <v>33651</v>
      </c>
      <c r="L1274" s="12"/>
    </row>
    <row r="1275" spans="1:12" x14ac:dyDescent="0.45">
      <c r="A1275" s="12" t="s">
        <v>33440</v>
      </c>
      <c r="B1275" s="12" t="s">
        <v>33652</v>
      </c>
      <c r="C1275" s="13" t="s">
        <v>33653</v>
      </c>
      <c r="D1275" s="13" t="s">
        <v>207</v>
      </c>
      <c r="E1275" s="12" t="s">
        <v>50</v>
      </c>
      <c r="F1275" s="13"/>
      <c r="G1275" s="13"/>
      <c r="H1275" s="13" t="s">
        <v>33654</v>
      </c>
      <c r="I1275" s="40" t="s">
        <v>18</v>
      </c>
      <c r="J1275" s="40" t="str">
        <f>HYPERLINK("https://stock.pstatic.net/stock-research/company/75/20260724_company_963214000.pdf","PDF")</f>
        <v>PDF</v>
      </c>
      <c r="K1275" s="12" t="s">
        <v>33655</v>
      </c>
      <c r="L1275" s="12"/>
    </row>
    <row r="1276" spans="1:12" x14ac:dyDescent="0.45">
      <c r="A1276" s="12" t="s">
        <v>33440</v>
      </c>
      <c r="B1276" s="12" t="s">
        <v>33656</v>
      </c>
      <c r="C1276" s="13" t="s">
        <v>33657</v>
      </c>
      <c r="D1276" s="13" t="s">
        <v>207</v>
      </c>
      <c r="E1276" s="12" t="s">
        <v>50</v>
      </c>
      <c r="F1276" s="13"/>
      <c r="G1276" s="13"/>
      <c r="H1276" s="13" t="s">
        <v>33658</v>
      </c>
      <c r="I1276" s="40" t="s">
        <v>18</v>
      </c>
      <c r="J1276" s="40" t="str">
        <f>HYPERLINK("https://stock.pstatic.net/stock-research/company/75/20260724_company_197538000.pdf","PDF")</f>
        <v>PDF</v>
      </c>
      <c r="K1276" s="12" t="s">
        <v>33659</v>
      </c>
      <c r="L1276" s="12"/>
    </row>
    <row r="1277" spans="1:12" x14ac:dyDescent="0.45">
      <c r="A1277" s="12" t="s">
        <v>33440</v>
      </c>
      <c r="B1277" s="12" t="s">
        <v>33660</v>
      </c>
      <c r="C1277" s="13" t="s">
        <v>33661</v>
      </c>
      <c r="D1277" s="13" t="s">
        <v>202</v>
      </c>
      <c r="E1277" s="12" t="s">
        <v>50</v>
      </c>
      <c r="F1277" s="13"/>
      <c r="G1277" s="13"/>
      <c r="H1277" s="13" t="s">
        <v>33662</v>
      </c>
      <c r="I1277" s="40" t="s">
        <v>18</v>
      </c>
      <c r="J1277" s="40" t="str">
        <f>HYPERLINK("https://stock.pstatic.net/stock-research/company/69/20260724_company_849731000.pdf","PDF")</f>
        <v>PDF</v>
      </c>
      <c r="K1277" s="12" t="s">
        <v>33663</v>
      </c>
      <c r="L1277" s="12"/>
    </row>
    <row r="1278" spans="1:12" x14ac:dyDescent="0.45">
      <c r="A1278" s="12" t="s">
        <v>33440</v>
      </c>
      <c r="B1278" s="12" t="s">
        <v>33664</v>
      </c>
      <c r="C1278" s="13" t="s">
        <v>33665</v>
      </c>
      <c r="D1278" s="13" t="s">
        <v>202</v>
      </c>
      <c r="E1278" s="12" t="s">
        <v>50</v>
      </c>
      <c r="F1278" s="13"/>
      <c r="G1278" s="13"/>
      <c r="H1278" s="13" t="s">
        <v>33666</v>
      </c>
      <c r="I1278" s="40" t="s">
        <v>18</v>
      </c>
      <c r="J1278" s="40" t="str">
        <f>HYPERLINK("https://stock.pstatic.net/stock-research/company/69/20260724_company_304877000.pdf","PDF")</f>
        <v>PDF</v>
      </c>
      <c r="K1278" s="12" t="s">
        <v>33667</v>
      </c>
      <c r="L1278" s="12"/>
    </row>
    <row r="1279" spans="1:12" x14ac:dyDescent="0.45">
      <c r="A1279" s="12" t="s">
        <v>33440</v>
      </c>
      <c r="B1279" s="12" t="s">
        <v>33668</v>
      </c>
      <c r="C1279" s="13" t="s">
        <v>33669</v>
      </c>
      <c r="D1279" s="13" t="s">
        <v>207</v>
      </c>
      <c r="E1279" s="12" t="s">
        <v>50</v>
      </c>
      <c r="F1279" s="13"/>
      <c r="G1279" s="13"/>
      <c r="H1279" s="13" t="s">
        <v>33670</v>
      </c>
      <c r="I1279" s="40" t="s">
        <v>18</v>
      </c>
      <c r="J1279" s="40" t="str">
        <f>HYPERLINK("https://stock.pstatic.net/stock-research/company/75/20260724_company_934370000.pdf","PDF")</f>
        <v>PDF</v>
      </c>
      <c r="K1279" s="12" t="s">
        <v>33671</v>
      </c>
      <c r="L1279" s="12"/>
    </row>
    <row r="1280" spans="1:12" x14ac:dyDescent="0.45">
      <c r="A1280" s="12" t="s">
        <v>33440</v>
      </c>
      <c r="B1280" s="12" t="s">
        <v>10687</v>
      </c>
      <c r="C1280" s="13" t="s">
        <v>10688</v>
      </c>
      <c r="D1280" s="13" t="s">
        <v>207</v>
      </c>
      <c r="E1280" s="12" t="s">
        <v>50</v>
      </c>
      <c r="F1280" s="13"/>
      <c r="G1280" s="13"/>
      <c r="H1280" s="13" t="s">
        <v>33672</v>
      </c>
      <c r="I1280" s="40" t="s">
        <v>18</v>
      </c>
      <c r="J1280" s="40" t="str">
        <f>HYPERLINK("https://stock.pstatic.net/stock-research/company/75/20260724_company_265013000.pdf","PDF")</f>
        <v>PDF</v>
      </c>
      <c r="K1280" s="12" t="s">
        <v>33673</v>
      </c>
      <c r="L1280" s="12"/>
    </row>
    <row r="1281" spans="1:12" x14ac:dyDescent="0.45">
      <c r="A1281" s="12" t="s">
        <v>33674</v>
      </c>
      <c r="B1281" s="12" t="s">
        <v>4921</v>
      </c>
      <c r="C1281" s="13" t="s">
        <v>4922</v>
      </c>
      <c r="D1281" s="13" t="s">
        <v>57</v>
      </c>
      <c r="E1281" s="12" t="s">
        <v>35</v>
      </c>
      <c r="F1281" s="14">
        <v>36000</v>
      </c>
      <c r="G1281" s="14">
        <v>15320</v>
      </c>
      <c r="H1281" s="13" t="s">
        <v>33675</v>
      </c>
      <c r="I1281" s="40" t="s">
        <v>18</v>
      </c>
      <c r="J1281" s="40" t="str">
        <f>HYPERLINK("https://stock.pstatic.net/stock-research/company/16/20260723_company_693655000.pdf","PDF")</f>
        <v>PDF</v>
      </c>
      <c r="K1281" s="12" t="s">
        <v>33676</v>
      </c>
      <c r="L1281" s="36">
        <v>1.3498694516971279</v>
      </c>
    </row>
    <row r="1282" spans="1:12" x14ac:dyDescent="0.45">
      <c r="A1282" s="12" t="s">
        <v>33674</v>
      </c>
      <c r="B1282" s="12" t="s">
        <v>1694</v>
      </c>
      <c r="C1282" s="13" t="s">
        <v>1695</v>
      </c>
      <c r="D1282" s="13" t="s">
        <v>60</v>
      </c>
      <c r="E1282" s="12" t="s">
        <v>35</v>
      </c>
      <c r="F1282" s="14">
        <v>70000</v>
      </c>
      <c r="G1282" s="14">
        <v>43400</v>
      </c>
      <c r="H1282" s="13" t="s">
        <v>33677</v>
      </c>
      <c r="I1282" s="40" t="s">
        <v>18</v>
      </c>
      <c r="J1282" s="40" t="str">
        <f>HYPERLINK("https://stock.pstatic.net/stock-research/company/62/20260723_company_522692000.pdf","PDF")</f>
        <v>PDF</v>
      </c>
      <c r="K1282" s="12" t="s">
        <v>33678</v>
      </c>
      <c r="L1282" s="36">
        <v>0.61290322580645162</v>
      </c>
    </row>
    <row r="1283" spans="1:12" x14ac:dyDescent="0.45">
      <c r="A1283" s="12" t="s">
        <v>33674</v>
      </c>
      <c r="B1283" s="12" t="s">
        <v>4115</v>
      </c>
      <c r="C1283" s="13" t="s">
        <v>4116</v>
      </c>
      <c r="D1283" s="13" t="s">
        <v>60</v>
      </c>
      <c r="E1283" s="12" t="s">
        <v>50</v>
      </c>
      <c r="F1283" s="13"/>
      <c r="G1283" s="14">
        <v>1904</v>
      </c>
      <c r="H1283" s="13" t="s">
        <v>33679</v>
      </c>
      <c r="I1283" s="40" t="s">
        <v>18</v>
      </c>
      <c r="J1283" s="40" t="str">
        <f>HYPERLINK("https://stock.pstatic.net/stock-research/company/62/20260723_company_994691000.pdf","PDF")</f>
        <v>PDF</v>
      </c>
      <c r="K1283" s="12" t="s">
        <v>33680</v>
      </c>
      <c r="L1283" s="12"/>
    </row>
    <row r="1284" spans="1:12" x14ac:dyDescent="0.45">
      <c r="A1284" s="12" t="s">
        <v>33674</v>
      </c>
      <c r="B1284" s="12" t="s">
        <v>14601</v>
      </c>
      <c r="C1284" s="13" t="s">
        <v>14602</v>
      </c>
      <c r="D1284" s="13" t="s">
        <v>65</v>
      </c>
      <c r="E1284" s="12" t="s">
        <v>50</v>
      </c>
      <c r="F1284" s="13"/>
      <c r="G1284" s="14">
        <v>20200</v>
      </c>
      <c r="H1284" s="13" t="s">
        <v>33681</v>
      </c>
      <c r="I1284" s="40" t="s">
        <v>18</v>
      </c>
      <c r="J1284" s="40" t="str">
        <f>HYPERLINK("https://stock.pstatic.net/stock-research/company/57/20260723_company_139776000.pdf","PDF")</f>
        <v>PDF</v>
      </c>
      <c r="K1284" s="12" t="s">
        <v>33682</v>
      </c>
      <c r="L1284" s="12"/>
    </row>
    <row r="1285" spans="1:12" x14ac:dyDescent="0.45">
      <c r="A1285" s="12" t="s">
        <v>33674</v>
      </c>
      <c r="B1285" s="12" t="s">
        <v>128</v>
      </c>
      <c r="C1285" s="13" t="s">
        <v>129</v>
      </c>
      <c r="D1285" s="13" t="s">
        <v>65</v>
      </c>
      <c r="E1285" s="12" t="s">
        <v>35</v>
      </c>
      <c r="F1285" s="14">
        <v>150000</v>
      </c>
      <c r="G1285" s="14">
        <v>44950</v>
      </c>
      <c r="H1285" s="13" t="s">
        <v>33683</v>
      </c>
      <c r="I1285" s="40" t="s">
        <v>18</v>
      </c>
      <c r="J1285" s="40" t="str">
        <f>HYPERLINK("https://stock.pstatic.net/stock-research/company/57/20260723_company_184323000.pdf","PDF")</f>
        <v>PDF</v>
      </c>
      <c r="K1285" s="12" t="s">
        <v>33684</v>
      </c>
      <c r="L1285" s="36">
        <v>2.3370411568409342</v>
      </c>
    </row>
    <row r="1286" spans="1:12" x14ac:dyDescent="0.45">
      <c r="A1286" s="12" t="s">
        <v>33674</v>
      </c>
      <c r="B1286" s="12" t="s">
        <v>156</v>
      </c>
      <c r="C1286" s="13" t="s">
        <v>157</v>
      </c>
      <c r="D1286" s="13" t="s">
        <v>158</v>
      </c>
      <c r="E1286" s="12" t="s">
        <v>35</v>
      </c>
      <c r="F1286" s="14">
        <v>4300</v>
      </c>
      <c r="G1286" s="14">
        <v>3535</v>
      </c>
      <c r="H1286" s="13" t="s">
        <v>33685</v>
      </c>
      <c r="I1286" s="40" t="s">
        <v>18</v>
      </c>
      <c r="J1286" s="40" t="str">
        <f>HYPERLINK("https://stock.pstatic.net/stock-research/company/18/20260723_company_895124000.pdf","PDF")</f>
        <v>PDF</v>
      </c>
      <c r="K1286" s="12" t="s">
        <v>33686</v>
      </c>
      <c r="L1286" s="36">
        <v>0.21640735502121641</v>
      </c>
    </row>
    <row r="1287" spans="1:12" x14ac:dyDescent="0.45">
      <c r="A1287" s="12" t="s">
        <v>33674</v>
      </c>
      <c r="B1287" s="12" t="s">
        <v>3813</v>
      </c>
      <c r="C1287" s="13" t="s">
        <v>3814</v>
      </c>
      <c r="D1287" s="13" t="s">
        <v>83</v>
      </c>
      <c r="E1287" s="12" t="s">
        <v>35</v>
      </c>
      <c r="F1287" s="14">
        <v>17000</v>
      </c>
      <c r="G1287" s="14">
        <v>10110</v>
      </c>
      <c r="H1287" s="13" t="s">
        <v>33687</v>
      </c>
      <c r="I1287" s="40" t="s">
        <v>18</v>
      </c>
      <c r="J1287" s="40" t="str">
        <f>HYPERLINK("https://stock.pstatic.net/stock-research/company/15/20260723_company_764037000.pdf","PDF")</f>
        <v>PDF</v>
      </c>
      <c r="K1287" s="12" t="s">
        <v>33688</v>
      </c>
      <c r="L1287" s="36">
        <v>0.68150346191889222</v>
      </c>
    </row>
    <row r="1288" spans="1:12" x14ac:dyDescent="0.45">
      <c r="A1288" s="12" t="s">
        <v>33674</v>
      </c>
      <c r="B1288" s="12" t="s">
        <v>1540</v>
      </c>
      <c r="C1288" s="13" t="s">
        <v>1541</v>
      </c>
      <c r="D1288" s="13" t="s">
        <v>83</v>
      </c>
      <c r="E1288" s="12" t="s">
        <v>35</v>
      </c>
      <c r="F1288" s="14">
        <v>64000</v>
      </c>
      <c r="G1288" s="14">
        <v>43650</v>
      </c>
      <c r="H1288" s="13" t="s">
        <v>33689</v>
      </c>
      <c r="I1288" s="40" t="s">
        <v>18</v>
      </c>
      <c r="J1288" s="40" t="str">
        <f>HYPERLINK("https://stock.pstatic.net/stock-research/company/15/20260723_company_390289000.pdf","PDF")</f>
        <v>PDF</v>
      </c>
      <c r="K1288" s="12" t="s">
        <v>33690</v>
      </c>
      <c r="L1288" s="36">
        <v>0.46620847651775488</v>
      </c>
    </row>
    <row r="1289" spans="1:12" x14ac:dyDescent="0.45">
      <c r="A1289" s="12" t="s">
        <v>33674</v>
      </c>
      <c r="B1289" s="12" t="s">
        <v>3813</v>
      </c>
      <c r="C1289" s="13" t="s">
        <v>3814</v>
      </c>
      <c r="D1289" s="13" t="s">
        <v>23</v>
      </c>
      <c r="E1289" s="12" t="s">
        <v>16</v>
      </c>
      <c r="F1289" s="14">
        <v>16000</v>
      </c>
      <c r="G1289" s="14">
        <v>10110</v>
      </c>
      <c r="H1289" s="13" t="s">
        <v>33691</v>
      </c>
      <c r="I1289" s="40" t="s">
        <v>18</v>
      </c>
      <c r="J1289" s="40" t="str">
        <f>HYPERLINK("https://stock.pstatic.net/stock-research/company/21/20260723_company_67824000.pdf","PDF")</f>
        <v>PDF</v>
      </c>
      <c r="K1289" s="12" t="s">
        <v>33692</v>
      </c>
      <c r="L1289" s="36">
        <v>0.58259149357072204</v>
      </c>
    </row>
    <row r="1290" spans="1:12" x14ac:dyDescent="0.45">
      <c r="A1290" s="12" t="s">
        <v>33674</v>
      </c>
      <c r="B1290" s="12" t="s">
        <v>174</v>
      </c>
      <c r="C1290" s="13" t="s">
        <v>44</v>
      </c>
      <c r="D1290" s="13" t="s">
        <v>179</v>
      </c>
      <c r="E1290" s="12" t="s">
        <v>16</v>
      </c>
      <c r="F1290" s="14">
        <v>500000</v>
      </c>
      <c r="G1290" s="14">
        <v>303500</v>
      </c>
      <c r="H1290" s="13" t="s">
        <v>33693</v>
      </c>
      <c r="I1290" s="40" t="s">
        <v>18</v>
      </c>
      <c r="J1290" s="40" t="str">
        <f>HYPERLINK("https://stock.pstatic.net/stock-research/company/64/20260723_company_903689000.pdf","PDF")</f>
        <v>PDF</v>
      </c>
      <c r="K1290" s="12" t="s">
        <v>33694</v>
      </c>
      <c r="L1290" s="36">
        <v>0.64744645799011535</v>
      </c>
    </row>
    <row r="1291" spans="1:12" x14ac:dyDescent="0.45">
      <c r="A1291" s="12" t="s">
        <v>33674</v>
      </c>
      <c r="B1291" s="12" t="s">
        <v>511</v>
      </c>
      <c r="C1291" s="13" t="s">
        <v>512</v>
      </c>
      <c r="D1291" s="13" t="s">
        <v>34</v>
      </c>
      <c r="E1291" s="12" t="s">
        <v>35</v>
      </c>
      <c r="F1291" s="14">
        <v>85000</v>
      </c>
      <c r="G1291" s="14">
        <v>59000</v>
      </c>
      <c r="H1291" s="13" t="s">
        <v>33695</v>
      </c>
      <c r="I1291" s="40" t="s">
        <v>18</v>
      </c>
      <c r="J1291" s="40" t="str">
        <f>HYPERLINK("https://stock.pstatic.net/stock-research/company/61/20260723_company_503611000.pdf","PDF")</f>
        <v>PDF</v>
      </c>
      <c r="K1291" s="12" t="s">
        <v>33696</v>
      </c>
      <c r="L1291" s="36">
        <v>0.44067796610169491</v>
      </c>
    </row>
    <row r="1292" spans="1:12" x14ac:dyDescent="0.45">
      <c r="A1292" s="12" t="s">
        <v>33674</v>
      </c>
      <c r="B1292" s="12" t="s">
        <v>2887</v>
      </c>
      <c r="C1292" s="13" t="s">
        <v>2888</v>
      </c>
      <c r="D1292" s="13" t="s">
        <v>34</v>
      </c>
      <c r="E1292" s="12" t="s">
        <v>35</v>
      </c>
      <c r="F1292" s="14">
        <v>370000</v>
      </c>
      <c r="G1292" s="14">
        <v>252000</v>
      </c>
      <c r="H1292" s="13" t="s">
        <v>33697</v>
      </c>
      <c r="I1292" s="40" t="s">
        <v>18</v>
      </c>
      <c r="J1292" s="40" t="str">
        <f>HYPERLINK("https://stock.pstatic.net/stock-research/company/61/20260723_company_394276000.pdf","PDF")</f>
        <v>PDF</v>
      </c>
      <c r="K1292" s="12" t="s">
        <v>33698</v>
      </c>
      <c r="L1292" s="36">
        <v>0.46825396825396831</v>
      </c>
    </row>
    <row r="1293" spans="1:12" x14ac:dyDescent="0.45">
      <c r="A1293" s="12" t="s">
        <v>33674</v>
      </c>
      <c r="B1293" s="12" t="s">
        <v>732</v>
      </c>
      <c r="C1293" s="13" t="s">
        <v>733</v>
      </c>
      <c r="D1293" s="13" t="s">
        <v>34</v>
      </c>
      <c r="E1293" s="12" t="s">
        <v>35</v>
      </c>
      <c r="F1293" s="14">
        <v>130000</v>
      </c>
      <c r="G1293" s="14">
        <v>76800</v>
      </c>
      <c r="H1293" s="13" t="s">
        <v>17400</v>
      </c>
      <c r="I1293" s="40" t="s">
        <v>18</v>
      </c>
      <c r="J1293" s="40" t="str">
        <f>HYPERLINK("https://stock.pstatic.net/stock-research/company/61/20260723_company_255642000.pdf","PDF")</f>
        <v>PDF</v>
      </c>
      <c r="K1293" s="12" t="s">
        <v>33699</v>
      </c>
      <c r="L1293" s="36">
        <v>0.69270833333333337</v>
      </c>
    </row>
    <row r="1294" spans="1:12" x14ac:dyDescent="0.45">
      <c r="A1294" s="12" t="s">
        <v>33674</v>
      </c>
      <c r="B1294" s="12" t="s">
        <v>3813</v>
      </c>
      <c r="C1294" s="13" t="s">
        <v>3814</v>
      </c>
      <c r="D1294" s="13" t="s">
        <v>34</v>
      </c>
      <c r="E1294" s="12" t="s">
        <v>35</v>
      </c>
      <c r="F1294" s="14">
        <v>14000</v>
      </c>
      <c r="G1294" s="14">
        <v>10110</v>
      </c>
      <c r="H1294" s="13" t="s">
        <v>33700</v>
      </c>
      <c r="I1294" s="40" t="s">
        <v>18</v>
      </c>
      <c r="J1294" s="40" t="str">
        <f>HYPERLINK("https://stock.pstatic.net/stock-research/company/61/20260723_company_517714000.pdf","PDF")</f>
        <v>PDF</v>
      </c>
      <c r="K1294" s="12" t="s">
        <v>33701</v>
      </c>
      <c r="L1294" s="36">
        <v>0.3847675568743818</v>
      </c>
    </row>
    <row r="1295" spans="1:12" x14ac:dyDescent="0.45">
      <c r="A1295" s="12" t="s">
        <v>33674</v>
      </c>
      <c r="B1295" s="12" t="s">
        <v>1374</v>
      </c>
      <c r="C1295" s="13" t="s">
        <v>1375</v>
      </c>
      <c r="D1295" s="13" t="s">
        <v>179</v>
      </c>
      <c r="E1295" s="12" t="s">
        <v>16</v>
      </c>
      <c r="F1295" s="14">
        <v>48000</v>
      </c>
      <c r="G1295" s="14">
        <v>35700</v>
      </c>
      <c r="H1295" s="13" t="s">
        <v>33702</v>
      </c>
      <c r="I1295" s="40" t="s">
        <v>18</v>
      </c>
      <c r="J1295" s="40" t="str">
        <f>HYPERLINK("https://stock.pstatic.net/stock-research/company/64/20260723_company_273262000.pdf","PDF")</f>
        <v>PDF</v>
      </c>
      <c r="K1295" s="12" t="s">
        <v>33703</v>
      </c>
      <c r="L1295" s="36">
        <v>0.34453781512605042</v>
      </c>
    </row>
    <row r="1296" spans="1:12" x14ac:dyDescent="0.45">
      <c r="A1296" s="12" t="s">
        <v>33674</v>
      </c>
      <c r="B1296" s="12" t="s">
        <v>812</v>
      </c>
      <c r="C1296" s="13" t="s">
        <v>813</v>
      </c>
      <c r="D1296" s="13" t="s">
        <v>23</v>
      </c>
      <c r="E1296" s="12" t="s">
        <v>16</v>
      </c>
      <c r="F1296" s="14">
        <v>110000</v>
      </c>
      <c r="G1296" s="14">
        <v>85300</v>
      </c>
      <c r="H1296" s="13" t="s">
        <v>33704</v>
      </c>
      <c r="I1296" s="40" t="s">
        <v>18</v>
      </c>
      <c r="J1296" s="40" t="str">
        <f>HYPERLINK("https://stock.pstatic.net/stock-research/company/21/20260723_company_160102000.pdf","PDF")</f>
        <v>PDF</v>
      </c>
      <c r="K1296" s="12" t="s">
        <v>33705</v>
      </c>
      <c r="L1296" s="36">
        <v>0.28956623681125437</v>
      </c>
    </row>
    <row r="1297" spans="1:12" x14ac:dyDescent="0.45">
      <c r="A1297" s="12" t="s">
        <v>33674</v>
      </c>
      <c r="B1297" s="12" t="s">
        <v>17845</v>
      </c>
      <c r="C1297" s="13" t="s">
        <v>17846</v>
      </c>
      <c r="D1297" s="13" t="s">
        <v>53</v>
      </c>
      <c r="E1297" s="12" t="s">
        <v>16</v>
      </c>
      <c r="F1297" s="14">
        <v>15000</v>
      </c>
      <c r="G1297" s="14">
        <v>10050</v>
      </c>
      <c r="H1297" s="13" t="s">
        <v>33706</v>
      </c>
      <c r="I1297" s="40" t="s">
        <v>18</v>
      </c>
      <c r="J1297" s="40" t="str">
        <f>HYPERLINK("https://stock.pstatic.net/stock-research/company/40/20260723_company_17943000.pdf","PDF")</f>
        <v>PDF</v>
      </c>
      <c r="K1297" s="12" t="s">
        <v>33707</v>
      </c>
      <c r="L1297" s="36">
        <v>0.4925373134328358</v>
      </c>
    </row>
    <row r="1298" spans="1:12" x14ac:dyDescent="0.45">
      <c r="A1298" s="12" t="s">
        <v>33674</v>
      </c>
      <c r="B1298" s="12" t="s">
        <v>170</v>
      </c>
      <c r="C1298" s="13" t="s">
        <v>171</v>
      </c>
      <c r="D1298" s="13" t="s">
        <v>23</v>
      </c>
      <c r="E1298" s="12" t="s">
        <v>16</v>
      </c>
      <c r="F1298" s="14">
        <v>99000</v>
      </c>
      <c r="G1298" s="14">
        <v>74000</v>
      </c>
      <c r="H1298" s="13" t="s">
        <v>33708</v>
      </c>
      <c r="I1298" s="40" t="s">
        <v>18</v>
      </c>
      <c r="J1298" s="40" t="str">
        <f>HYPERLINK("https://stock.pstatic.net/stock-research/company/21/20260723_company_621974000.pdf","PDF")</f>
        <v>PDF</v>
      </c>
      <c r="K1298" s="12" t="s">
        <v>33709</v>
      </c>
      <c r="L1298" s="36">
        <v>0.33783783783783777</v>
      </c>
    </row>
    <row r="1299" spans="1:12" x14ac:dyDescent="0.45">
      <c r="A1299" s="12" t="s">
        <v>33674</v>
      </c>
      <c r="B1299" s="12" t="s">
        <v>2576</v>
      </c>
      <c r="C1299" s="13" t="s">
        <v>2577</v>
      </c>
      <c r="D1299" s="13" t="s">
        <v>23</v>
      </c>
      <c r="E1299" s="12" t="s">
        <v>16</v>
      </c>
      <c r="F1299" s="14">
        <v>1600000</v>
      </c>
      <c r="G1299" s="14">
        <v>994000</v>
      </c>
      <c r="H1299" s="13" t="s">
        <v>33710</v>
      </c>
      <c r="I1299" s="40" t="s">
        <v>18</v>
      </c>
      <c r="J1299" s="40" t="str">
        <f>HYPERLINK("https://stock.pstatic.net/stock-research/company/21/20260723_company_521197000.pdf","PDF")</f>
        <v>PDF</v>
      </c>
      <c r="K1299" s="12" t="s">
        <v>33711</v>
      </c>
      <c r="L1299" s="36">
        <v>0.6096579476861167</v>
      </c>
    </row>
    <row r="1300" spans="1:12" x14ac:dyDescent="0.45">
      <c r="A1300" s="12" t="s">
        <v>33674</v>
      </c>
      <c r="B1300" s="12" t="s">
        <v>3813</v>
      </c>
      <c r="C1300" s="13" t="s">
        <v>3814</v>
      </c>
      <c r="D1300" s="13" t="s">
        <v>179</v>
      </c>
      <c r="E1300" s="12" t="s">
        <v>16</v>
      </c>
      <c r="F1300" s="14">
        <v>16000</v>
      </c>
      <c r="G1300" s="14">
        <v>10110</v>
      </c>
      <c r="H1300" s="13" t="s">
        <v>33712</v>
      </c>
      <c r="I1300" s="40" t="s">
        <v>18</v>
      </c>
      <c r="J1300" s="40" t="str">
        <f>HYPERLINK("https://stock.pstatic.net/stock-research/company/64/20260723_company_886907000.pdf","PDF")</f>
        <v>PDF</v>
      </c>
      <c r="K1300" s="12" t="s">
        <v>33713</v>
      </c>
      <c r="L1300" s="36">
        <v>0.58259149357072204</v>
      </c>
    </row>
    <row r="1301" spans="1:12" x14ac:dyDescent="0.45">
      <c r="A1301" s="12" t="s">
        <v>33674</v>
      </c>
      <c r="B1301" s="12" t="s">
        <v>824</v>
      </c>
      <c r="C1301" s="13" t="s">
        <v>825</v>
      </c>
      <c r="D1301" s="13" t="s">
        <v>92</v>
      </c>
      <c r="E1301" s="12" t="s">
        <v>35</v>
      </c>
      <c r="F1301" s="14">
        <v>55000</v>
      </c>
      <c r="G1301" s="14">
        <v>45000</v>
      </c>
      <c r="H1301" s="13" t="s">
        <v>33714</v>
      </c>
      <c r="I1301" s="40" t="s">
        <v>18</v>
      </c>
      <c r="J1301" s="40" t="str">
        <f>HYPERLINK("https://stock.pstatic.net/stock-research/company/63/20260723_company_768189000.pdf","PDF")</f>
        <v>PDF</v>
      </c>
      <c r="K1301" s="12" t="s">
        <v>33715</v>
      </c>
      <c r="L1301" s="36">
        <v>0.22222222222222221</v>
      </c>
    </row>
    <row r="1302" spans="1:12" x14ac:dyDescent="0.45">
      <c r="A1302" s="12" t="s">
        <v>33674</v>
      </c>
      <c r="B1302" s="12" t="s">
        <v>1648</v>
      </c>
      <c r="C1302" s="13" t="s">
        <v>1649</v>
      </c>
      <c r="D1302" s="13" t="s">
        <v>179</v>
      </c>
      <c r="E1302" s="12" t="s">
        <v>16</v>
      </c>
      <c r="F1302" s="14">
        <v>120000</v>
      </c>
      <c r="G1302" s="14">
        <v>67000</v>
      </c>
      <c r="H1302" s="13" t="s">
        <v>33716</v>
      </c>
      <c r="I1302" s="40" t="s">
        <v>18</v>
      </c>
      <c r="J1302" s="40" t="str">
        <f>HYPERLINK("https://stock.pstatic.net/stock-research/company/64/20260723_company_542460000.pdf","PDF")</f>
        <v>PDF</v>
      </c>
      <c r="K1302" s="12" t="s">
        <v>33717</v>
      </c>
      <c r="L1302" s="36">
        <v>0.79104477611940294</v>
      </c>
    </row>
    <row r="1303" spans="1:12" x14ac:dyDescent="0.45">
      <c r="A1303" s="12" t="s">
        <v>33674</v>
      </c>
      <c r="B1303" s="12" t="s">
        <v>3907</v>
      </c>
      <c r="C1303" s="13" t="s">
        <v>3908</v>
      </c>
      <c r="D1303" s="13" t="s">
        <v>44</v>
      </c>
      <c r="E1303" s="12" t="s">
        <v>50</v>
      </c>
      <c r="F1303" s="13"/>
      <c r="G1303" s="14">
        <v>31900</v>
      </c>
      <c r="H1303" s="13" t="s">
        <v>33718</v>
      </c>
      <c r="I1303" s="40" t="s">
        <v>18</v>
      </c>
      <c r="J1303" s="40" t="str">
        <f>HYPERLINK("https://stock.pstatic.net/stock-research/company/39/20260723_company_338483000.pdf","PDF")</f>
        <v>PDF</v>
      </c>
      <c r="K1303" s="12" t="s">
        <v>33719</v>
      </c>
      <c r="L1303" s="12"/>
    </row>
    <row r="1304" spans="1:12" x14ac:dyDescent="0.45">
      <c r="A1304" s="12" t="s">
        <v>33674</v>
      </c>
      <c r="B1304" s="12" t="s">
        <v>3308</v>
      </c>
      <c r="C1304" s="13" t="s">
        <v>3309</v>
      </c>
      <c r="D1304" s="13" t="s">
        <v>44</v>
      </c>
      <c r="E1304" s="12" t="s">
        <v>50</v>
      </c>
      <c r="F1304" s="13"/>
      <c r="G1304" s="14">
        <v>2735</v>
      </c>
      <c r="H1304" s="13" t="s">
        <v>33720</v>
      </c>
      <c r="I1304" s="40" t="s">
        <v>18</v>
      </c>
      <c r="J1304" s="40" t="str">
        <f>HYPERLINK("https://stock.pstatic.net/stock-research/company/39/20260723_company_980304000.pdf","PDF")</f>
        <v>PDF</v>
      </c>
      <c r="K1304" s="12" t="s">
        <v>33721</v>
      </c>
      <c r="L1304" s="12"/>
    </row>
    <row r="1305" spans="1:12" x14ac:dyDescent="0.45">
      <c r="A1305" s="12" t="s">
        <v>33674</v>
      </c>
      <c r="B1305" s="12" t="s">
        <v>3024</v>
      </c>
      <c r="C1305" s="13" t="s">
        <v>3025</v>
      </c>
      <c r="D1305" s="13" t="s">
        <v>44</v>
      </c>
      <c r="E1305" s="12" t="s">
        <v>35</v>
      </c>
      <c r="F1305" s="14">
        <v>80000</v>
      </c>
      <c r="G1305" s="14">
        <v>51700</v>
      </c>
      <c r="H1305" s="13" t="s">
        <v>32814</v>
      </c>
      <c r="I1305" s="40" t="s">
        <v>18</v>
      </c>
      <c r="J1305" s="40" t="str">
        <f>HYPERLINK("https://stock.pstatic.net/stock-research/company/39/20260723_company_226741000.pdf","PDF")</f>
        <v>PDF</v>
      </c>
      <c r="K1305" s="12" t="s">
        <v>33722</v>
      </c>
      <c r="L1305" s="36">
        <v>0.54738878143133463</v>
      </c>
    </row>
    <row r="1306" spans="1:12" x14ac:dyDescent="0.45">
      <c r="A1306" s="12" t="s">
        <v>33674</v>
      </c>
      <c r="B1306" s="12" t="s">
        <v>1233</v>
      </c>
      <c r="C1306" s="13" t="s">
        <v>1234</v>
      </c>
      <c r="D1306" s="13" t="s">
        <v>15</v>
      </c>
      <c r="E1306" s="12" t="s">
        <v>50</v>
      </c>
      <c r="F1306" s="13"/>
      <c r="G1306" s="14">
        <v>10550</v>
      </c>
      <c r="H1306" s="13" t="s">
        <v>33723</v>
      </c>
      <c r="I1306" s="40" t="s">
        <v>18</v>
      </c>
      <c r="J1306" s="40" t="str">
        <f>HYPERLINK("https://stock.pstatic.net/stock-research/company/56/20260723_company_423645000.pdf","PDF")</f>
        <v>PDF</v>
      </c>
      <c r="K1306" s="12" t="s">
        <v>33724</v>
      </c>
      <c r="L1306" s="12"/>
    </row>
    <row r="1307" spans="1:12" x14ac:dyDescent="0.45">
      <c r="A1307" s="12" t="s">
        <v>33674</v>
      </c>
      <c r="B1307" s="12" t="s">
        <v>537</v>
      </c>
      <c r="C1307" s="13" t="s">
        <v>538</v>
      </c>
      <c r="D1307" s="13" t="s">
        <v>15</v>
      </c>
      <c r="E1307" s="12" t="s">
        <v>16</v>
      </c>
      <c r="F1307" s="14">
        <v>19000</v>
      </c>
      <c r="G1307" s="14">
        <v>14400</v>
      </c>
      <c r="H1307" s="13" t="s">
        <v>33725</v>
      </c>
      <c r="I1307" s="40" t="s">
        <v>18</v>
      </c>
      <c r="J1307" s="40" t="str">
        <f>HYPERLINK("https://stock.pstatic.net/stock-research/company/56/20260723_company_440881000.pdf","PDF")</f>
        <v>PDF</v>
      </c>
      <c r="K1307" s="12" t="s">
        <v>33726</v>
      </c>
      <c r="L1307" s="36">
        <v>0.31944444444444442</v>
      </c>
    </row>
    <row r="1308" spans="1:12" x14ac:dyDescent="0.45">
      <c r="A1308" s="12" t="s">
        <v>33727</v>
      </c>
      <c r="B1308" s="12" t="s">
        <v>485</v>
      </c>
      <c r="C1308" s="13" t="s">
        <v>486</v>
      </c>
      <c r="D1308" s="13" t="s">
        <v>15</v>
      </c>
      <c r="E1308" s="12" t="s">
        <v>16</v>
      </c>
      <c r="F1308" s="14">
        <v>180000</v>
      </c>
      <c r="G1308" s="14">
        <v>118600</v>
      </c>
      <c r="H1308" s="13" t="s">
        <v>33728</v>
      </c>
      <c r="I1308" s="40" t="s">
        <v>18</v>
      </c>
      <c r="J1308" s="40" t="str">
        <f>HYPERLINK("https://stock.pstatic.net/stock-research/company/56/20260722_company_143835000.pdf","PDF")</f>
        <v>PDF</v>
      </c>
      <c r="K1308" s="12" t="s">
        <v>33729</v>
      </c>
      <c r="L1308" s="36">
        <v>0.51770657672849918</v>
      </c>
    </row>
    <row r="1309" spans="1:12" x14ac:dyDescent="0.45">
      <c r="A1309" s="12" t="s">
        <v>33727</v>
      </c>
      <c r="B1309" s="12" t="s">
        <v>1781</v>
      </c>
      <c r="C1309" s="13" t="s">
        <v>1782</v>
      </c>
      <c r="D1309" s="13" t="s">
        <v>853</v>
      </c>
      <c r="E1309" s="12" t="s">
        <v>35</v>
      </c>
      <c r="F1309" s="14">
        <v>260000</v>
      </c>
      <c r="G1309" s="14">
        <v>185700</v>
      </c>
      <c r="H1309" s="13" t="s">
        <v>33730</v>
      </c>
      <c r="I1309" s="40" t="s">
        <v>18</v>
      </c>
      <c r="J1309" s="40" t="str">
        <f>HYPERLINK("https://stock.pstatic.net/stock-research/company/17/20260722_company_15451000.pdf","PDF")</f>
        <v>PDF</v>
      </c>
      <c r="K1309" s="12" t="s">
        <v>33731</v>
      </c>
      <c r="L1309" s="36">
        <v>0.40010770059235318</v>
      </c>
    </row>
    <row r="1310" spans="1:12" x14ac:dyDescent="0.45">
      <c r="A1310" s="12" t="s">
        <v>33727</v>
      </c>
      <c r="B1310" s="12" t="s">
        <v>26432</v>
      </c>
      <c r="C1310" s="13" t="s">
        <v>26433</v>
      </c>
      <c r="D1310" s="13" t="s">
        <v>57</v>
      </c>
      <c r="E1310" s="12" t="s">
        <v>35</v>
      </c>
      <c r="F1310" s="14">
        <v>207000</v>
      </c>
      <c r="G1310" s="14">
        <v>125200</v>
      </c>
      <c r="H1310" s="13" t="s">
        <v>33732</v>
      </c>
      <c r="I1310" s="40" t="s">
        <v>18</v>
      </c>
      <c r="J1310" s="40" t="str">
        <f>HYPERLINK("https://stock.pstatic.net/stock-research/company/16/20260722_company_895962000.pdf","PDF")</f>
        <v>PDF</v>
      </c>
      <c r="K1310" s="12" t="s">
        <v>33733</v>
      </c>
      <c r="L1310" s="36">
        <v>0.65335463258785942</v>
      </c>
    </row>
    <row r="1311" spans="1:12" x14ac:dyDescent="0.45">
      <c r="A1311" s="12" t="s">
        <v>33727</v>
      </c>
      <c r="B1311" s="12" t="s">
        <v>824</v>
      </c>
      <c r="C1311" s="13" t="s">
        <v>825</v>
      </c>
      <c r="D1311" s="13" t="s">
        <v>57</v>
      </c>
      <c r="E1311" s="12" t="s">
        <v>35</v>
      </c>
      <c r="F1311" s="14">
        <v>78000</v>
      </c>
      <c r="G1311" s="14">
        <v>47800</v>
      </c>
      <c r="H1311" s="13" t="s">
        <v>33734</v>
      </c>
      <c r="I1311" s="40" t="s">
        <v>18</v>
      </c>
      <c r="J1311" s="40" t="str">
        <f>HYPERLINK("https://stock.pstatic.net/stock-research/company/16/20260722_company_598072000.pdf","PDF")</f>
        <v>PDF</v>
      </c>
      <c r="K1311" s="12" t="s">
        <v>33735</v>
      </c>
      <c r="L1311" s="36">
        <v>0.63179916317991636</v>
      </c>
    </row>
    <row r="1312" spans="1:12" x14ac:dyDescent="0.45">
      <c r="A1312" s="12" t="s">
        <v>33727</v>
      </c>
      <c r="B1312" s="12" t="s">
        <v>170</v>
      </c>
      <c r="C1312" s="13" t="s">
        <v>171</v>
      </c>
      <c r="D1312" s="13" t="s">
        <v>57</v>
      </c>
      <c r="E1312" s="12" t="s">
        <v>35</v>
      </c>
      <c r="F1312" s="14">
        <v>105000</v>
      </c>
      <c r="G1312" s="14">
        <v>74400</v>
      </c>
      <c r="H1312" s="13" t="s">
        <v>33736</v>
      </c>
      <c r="I1312" s="40" t="s">
        <v>18</v>
      </c>
      <c r="J1312" s="40" t="str">
        <f>HYPERLINK("https://stock.pstatic.net/stock-research/company/16/20260722_company_738199000.pdf","PDF")</f>
        <v>PDF</v>
      </c>
      <c r="K1312" s="12" t="s">
        <v>33737</v>
      </c>
      <c r="L1312" s="36">
        <v>0.41129032258064518</v>
      </c>
    </row>
    <row r="1313" spans="1:12" x14ac:dyDescent="0.45">
      <c r="A1313" s="12" t="s">
        <v>33727</v>
      </c>
      <c r="B1313" s="12" t="s">
        <v>2286</v>
      </c>
      <c r="C1313" s="13" t="s">
        <v>2287</v>
      </c>
      <c r="D1313" s="13" t="s">
        <v>276</v>
      </c>
      <c r="E1313" s="12" t="s">
        <v>35</v>
      </c>
      <c r="F1313" s="14">
        <v>8000</v>
      </c>
      <c r="G1313" s="14">
        <v>4390</v>
      </c>
      <c r="H1313" s="13" t="s">
        <v>33738</v>
      </c>
      <c r="I1313" s="40" t="s">
        <v>18</v>
      </c>
      <c r="J1313" s="40" t="str">
        <f>HYPERLINK("https://stock.pstatic.net/stock-research/company/66/20260722_company_922658000.pdf","PDF")</f>
        <v>PDF</v>
      </c>
      <c r="K1313" s="12" t="s">
        <v>33739</v>
      </c>
      <c r="L1313" s="36">
        <v>0.82232346241457854</v>
      </c>
    </row>
    <row r="1314" spans="1:12" x14ac:dyDescent="0.45">
      <c r="A1314" s="12" t="s">
        <v>33727</v>
      </c>
      <c r="B1314" s="12" t="s">
        <v>33740</v>
      </c>
      <c r="C1314" s="13" t="s">
        <v>33741</v>
      </c>
      <c r="D1314" s="13" t="s">
        <v>276</v>
      </c>
      <c r="E1314" s="12" t="s">
        <v>50</v>
      </c>
      <c r="F1314" s="13"/>
      <c r="G1314" s="14">
        <v>1090</v>
      </c>
      <c r="H1314" s="13" t="s">
        <v>33742</v>
      </c>
      <c r="I1314" s="40" t="s">
        <v>18</v>
      </c>
      <c r="J1314" s="40" t="str">
        <f>HYPERLINK("https://stock.pstatic.net/stock-research/company/66/20260722_company_410228000.pdf","PDF")</f>
        <v>PDF</v>
      </c>
      <c r="K1314" s="12" t="s">
        <v>33743</v>
      </c>
      <c r="L1314" s="12"/>
    </row>
    <row r="1315" spans="1:12" x14ac:dyDescent="0.45">
      <c r="A1315" s="12" t="s">
        <v>33727</v>
      </c>
      <c r="B1315" s="12" t="s">
        <v>2187</v>
      </c>
      <c r="C1315" s="13" t="s">
        <v>2188</v>
      </c>
      <c r="D1315" s="13" t="s">
        <v>65</v>
      </c>
      <c r="E1315" s="12" t="s">
        <v>35</v>
      </c>
      <c r="F1315" s="14">
        <v>200000</v>
      </c>
      <c r="G1315" s="14">
        <v>100500</v>
      </c>
      <c r="H1315" s="13" t="s">
        <v>33744</v>
      </c>
      <c r="I1315" s="40" t="s">
        <v>18</v>
      </c>
      <c r="J1315" s="40" t="str">
        <f>HYPERLINK("https://stock.pstatic.net/stock-research/company/57/20260722_company_186868000.pdf","PDF")</f>
        <v>PDF</v>
      </c>
      <c r="K1315" s="12" t="s">
        <v>33745</v>
      </c>
      <c r="L1315" s="36">
        <v>0.99004975124378114</v>
      </c>
    </row>
    <row r="1316" spans="1:12" x14ac:dyDescent="0.45">
      <c r="A1316" s="12" t="s">
        <v>33727</v>
      </c>
      <c r="B1316" s="12" t="s">
        <v>2650</v>
      </c>
      <c r="C1316" s="13" t="s">
        <v>2651</v>
      </c>
      <c r="D1316" s="13" t="s">
        <v>158</v>
      </c>
      <c r="E1316" s="12" t="s">
        <v>35</v>
      </c>
      <c r="F1316" s="14">
        <v>28000</v>
      </c>
      <c r="G1316" s="14">
        <v>22200</v>
      </c>
      <c r="H1316" s="13" t="s">
        <v>33746</v>
      </c>
      <c r="I1316" s="40" t="s">
        <v>18</v>
      </c>
      <c r="J1316" s="40" t="str">
        <f>HYPERLINK("https://stock.pstatic.net/stock-research/company/18/20260722_company_330242000.pdf","PDF")</f>
        <v>PDF</v>
      </c>
      <c r="K1316" s="12" t="s">
        <v>33747</v>
      </c>
      <c r="L1316" s="36">
        <v>0.26126126126126131</v>
      </c>
    </row>
    <row r="1317" spans="1:12" x14ac:dyDescent="0.45">
      <c r="A1317" s="12" t="s">
        <v>33727</v>
      </c>
      <c r="B1317" s="12" t="s">
        <v>2950</v>
      </c>
      <c r="C1317" s="13" t="s">
        <v>2951</v>
      </c>
      <c r="D1317" s="13" t="s">
        <v>158</v>
      </c>
      <c r="E1317" s="12" t="s">
        <v>35</v>
      </c>
      <c r="F1317" s="14">
        <v>149000</v>
      </c>
      <c r="G1317" s="14">
        <v>64800</v>
      </c>
      <c r="H1317" s="13" t="s">
        <v>33748</v>
      </c>
      <c r="I1317" s="40" t="s">
        <v>18</v>
      </c>
      <c r="J1317" s="40" t="str">
        <f>HYPERLINK("https://stock.pstatic.net/stock-research/company/18/20260722_company_636456000.pdf","PDF")</f>
        <v>PDF</v>
      </c>
      <c r="K1317" s="12" t="s">
        <v>33749</v>
      </c>
      <c r="L1317" s="36">
        <v>1.2993827160493829</v>
      </c>
    </row>
    <row r="1318" spans="1:12" x14ac:dyDescent="0.45">
      <c r="A1318" s="12" t="s">
        <v>33727</v>
      </c>
      <c r="B1318" s="12" t="s">
        <v>1678</v>
      </c>
      <c r="C1318" s="13" t="s">
        <v>1679</v>
      </c>
      <c r="D1318" s="13" t="s">
        <v>83</v>
      </c>
      <c r="E1318" s="12" t="s">
        <v>35</v>
      </c>
      <c r="F1318" s="14">
        <v>56000</v>
      </c>
      <c r="G1318" s="14">
        <v>28900</v>
      </c>
      <c r="H1318" s="13" t="s">
        <v>33750</v>
      </c>
      <c r="I1318" s="40" t="s">
        <v>18</v>
      </c>
      <c r="J1318" s="40" t="str">
        <f>HYPERLINK("https://stock.pstatic.net/stock-research/company/15/20260722_company_260738000.pdf","PDF")</f>
        <v>PDF</v>
      </c>
      <c r="K1318" s="12" t="s">
        <v>33751</v>
      </c>
      <c r="L1318" s="36">
        <v>0.93771626297577859</v>
      </c>
    </row>
    <row r="1319" spans="1:12" x14ac:dyDescent="0.45">
      <c r="A1319" s="12" t="s">
        <v>33727</v>
      </c>
      <c r="B1319" s="12" t="s">
        <v>1660</v>
      </c>
      <c r="C1319" s="13" t="s">
        <v>1661</v>
      </c>
      <c r="D1319" s="13" t="s">
        <v>83</v>
      </c>
      <c r="E1319" s="12" t="s">
        <v>35</v>
      </c>
      <c r="F1319" s="14">
        <v>39000</v>
      </c>
      <c r="G1319" s="14">
        <v>19710</v>
      </c>
      <c r="H1319" s="13" t="s">
        <v>33752</v>
      </c>
      <c r="I1319" s="40" t="s">
        <v>18</v>
      </c>
      <c r="J1319" s="40" t="str">
        <f>HYPERLINK("https://stock.pstatic.net/stock-research/company/15/20260722_company_137012000.pdf","PDF")</f>
        <v>PDF</v>
      </c>
      <c r="K1319" s="12" t="s">
        <v>33753</v>
      </c>
      <c r="L1319" s="36">
        <v>0.9786910197869102</v>
      </c>
    </row>
    <row r="1320" spans="1:12" x14ac:dyDescent="0.45">
      <c r="A1320" s="12" t="s">
        <v>33727</v>
      </c>
      <c r="B1320" s="12" t="s">
        <v>2873</v>
      </c>
      <c r="C1320" s="13" t="s">
        <v>2874</v>
      </c>
      <c r="D1320" s="13" t="s">
        <v>83</v>
      </c>
      <c r="E1320" s="12" t="s">
        <v>35</v>
      </c>
      <c r="F1320" s="14">
        <v>200000</v>
      </c>
      <c r="G1320" s="14">
        <v>145900</v>
      </c>
      <c r="H1320" s="13" t="s">
        <v>33549</v>
      </c>
      <c r="I1320" s="40" t="s">
        <v>18</v>
      </c>
      <c r="J1320" s="40" t="str">
        <f>HYPERLINK("https://stock.pstatic.net/stock-research/company/15/20260722_company_28677000.pdf","PDF")</f>
        <v>PDF</v>
      </c>
      <c r="K1320" s="12" t="s">
        <v>33754</v>
      </c>
      <c r="L1320" s="36">
        <v>0.37080191912268679</v>
      </c>
    </row>
    <row r="1321" spans="1:12" x14ac:dyDescent="0.45">
      <c r="A1321" s="12" t="s">
        <v>33727</v>
      </c>
      <c r="B1321" s="12" t="s">
        <v>485</v>
      </c>
      <c r="C1321" s="13" t="s">
        <v>486</v>
      </c>
      <c r="D1321" s="13" t="s">
        <v>179</v>
      </c>
      <c r="E1321" s="12" t="s">
        <v>16</v>
      </c>
      <c r="F1321" s="14">
        <v>200000</v>
      </c>
      <c r="G1321" s="14">
        <v>118600</v>
      </c>
      <c r="H1321" s="13" t="s">
        <v>33755</v>
      </c>
      <c r="I1321" s="40" t="s">
        <v>18</v>
      </c>
      <c r="J1321" s="40" t="str">
        <f>HYPERLINK("https://stock.pstatic.net/stock-research/company/64/20260722_company_167174000.pdf","PDF")</f>
        <v>PDF</v>
      </c>
      <c r="K1321" s="12" t="s">
        <v>33756</v>
      </c>
      <c r="L1321" s="36">
        <v>0.68634064080944346</v>
      </c>
    </row>
    <row r="1322" spans="1:12" x14ac:dyDescent="0.45">
      <c r="A1322" s="12" t="s">
        <v>33727</v>
      </c>
      <c r="B1322" s="12" t="s">
        <v>81</v>
      </c>
      <c r="C1322" s="13" t="s">
        <v>82</v>
      </c>
      <c r="D1322" s="13" t="s">
        <v>179</v>
      </c>
      <c r="E1322" s="12" t="s">
        <v>16</v>
      </c>
      <c r="F1322" s="14">
        <v>44000</v>
      </c>
      <c r="G1322" s="14">
        <v>29750</v>
      </c>
      <c r="H1322" s="13" t="s">
        <v>33757</v>
      </c>
      <c r="I1322" s="40" t="s">
        <v>18</v>
      </c>
      <c r="J1322" s="40" t="str">
        <f>HYPERLINK("https://stock.pstatic.net/stock-research/company/64/20260722_company_781840000.pdf","PDF")</f>
        <v>PDF</v>
      </c>
      <c r="K1322" s="12" t="s">
        <v>33758</v>
      </c>
      <c r="L1322" s="36">
        <v>0.47899159663865548</v>
      </c>
    </row>
    <row r="1323" spans="1:12" x14ac:dyDescent="0.45">
      <c r="A1323" s="12" t="s">
        <v>33727</v>
      </c>
      <c r="B1323" s="12" t="s">
        <v>6638</v>
      </c>
      <c r="C1323" s="13" t="s">
        <v>6639</v>
      </c>
      <c r="D1323" s="13" t="s">
        <v>179</v>
      </c>
      <c r="E1323" s="12" t="s">
        <v>16</v>
      </c>
      <c r="F1323" s="14">
        <v>48000</v>
      </c>
      <c r="G1323" s="14">
        <v>21500</v>
      </c>
      <c r="H1323" s="13" t="s">
        <v>33759</v>
      </c>
      <c r="I1323" s="40" t="s">
        <v>18</v>
      </c>
      <c r="J1323" s="40" t="str">
        <f>HYPERLINK("https://stock.pstatic.net/stock-research/company/64/20260722_company_691615000.pdf","PDF")</f>
        <v>PDF</v>
      </c>
      <c r="K1323" s="12" t="s">
        <v>33760</v>
      </c>
      <c r="L1323" s="36">
        <v>1.2325581395348839</v>
      </c>
    </row>
    <row r="1324" spans="1:12" x14ac:dyDescent="0.45">
      <c r="A1324" s="12" t="s">
        <v>33727</v>
      </c>
      <c r="B1324" s="12" t="s">
        <v>1777</v>
      </c>
      <c r="C1324" s="13" t="s">
        <v>1778</v>
      </c>
      <c r="D1324" s="13" t="s">
        <v>92</v>
      </c>
      <c r="E1324" s="12" t="s">
        <v>50</v>
      </c>
      <c r="F1324" s="13"/>
      <c r="G1324" s="14">
        <v>20750</v>
      </c>
      <c r="H1324" s="13" t="s">
        <v>33761</v>
      </c>
      <c r="I1324" s="40" t="s">
        <v>18</v>
      </c>
      <c r="J1324" s="40" t="str">
        <f>HYPERLINK("https://stock.pstatic.net/stock-research/company/63/20260722_company_346181000.pdf","PDF")</f>
        <v>PDF</v>
      </c>
      <c r="K1324" s="12" t="s">
        <v>33762</v>
      </c>
      <c r="L1324" s="12"/>
    </row>
    <row r="1325" spans="1:12" x14ac:dyDescent="0.45">
      <c r="A1325" s="12" t="s">
        <v>33727</v>
      </c>
      <c r="B1325" s="12" t="s">
        <v>485</v>
      </c>
      <c r="C1325" s="13" t="s">
        <v>486</v>
      </c>
      <c r="D1325" s="13" t="s">
        <v>53</v>
      </c>
      <c r="E1325" s="12" t="s">
        <v>16</v>
      </c>
      <c r="F1325" s="14">
        <v>190000</v>
      </c>
      <c r="G1325" s="14">
        <v>118600</v>
      </c>
      <c r="H1325" s="13" t="s">
        <v>33763</v>
      </c>
      <c r="I1325" s="40" t="s">
        <v>18</v>
      </c>
      <c r="J1325" s="40" t="str">
        <f>HYPERLINK("https://stock.pstatic.net/stock-research/company/40/20260722_company_335446000.pdf","PDF")</f>
        <v>PDF</v>
      </c>
      <c r="K1325" s="12" t="s">
        <v>33764</v>
      </c>
      <c r="L1325" s="36">
        <v>0.60202360876897132</v>
      </c>
    </row>
    <row r="1326" spans="1:12" x14ac:dyDescent="0.45">
      <c r="A1326" s="12" t="s">
        <v>33727</v>
      </c>
      <c r="B1326" s="12" t="s">
        <v>1773</v>
      </c>
      <c r="C1326" s="13" t="s">
        <v>1774</v>
      </c>
      <c r="D1326" s="13" t="s">
        <v>23</v>
      </c>
      <c r="E1326" s="12" t="s">
        <v>16</v>
      </c>
      <c r="F1326" s="14">
        <v>110000</v>
      </c>
      <c r="G1326" s="14">
        <v>71300</v>
      </c>
      <c r="H1326" s="13" t="s">
        <v>33765</v>
      </c>
      <c r="I1326" s="40" t="s">
        <v>18</v>
      </c>
      <c r="J1326" s="40" t="str">
        <f>HYPERLINK("https://stock.pstatic.net/stock-research/company/21/20260722_company_321056000.pdf","PDF")</f>
        <v>PDF</v>
      </c>
      <c r="K1326" s="12" t="s">
        <v>33766</v>
      </c>
      <c r="L1326" s="36">
        <v>0.54277699859747541</v>
      </c>
    </row>
    <row r="1327" spans="1:12" x14ac:dyDescent="0.45">
      <c r="A1327" s="12" t="s">
        <v>33727</v>
      </c>
      <c r="B1327" s="12" t="s">
        <v>76</v>
      </c>
      <c r="C1327" s="13" t="s">
        <v>77</v>
      </c>
      <c r="D1327" s="13" t="s">
        <v>23</v>
      </c>
      <c r="E1327" s="12" t="s">
        <v>385</v>
      </c>
      <c r="F1327" s="13"/>
      <c r="G1327" s="14">
        <v>20100</v>
      </c>
      <c r="H1327" s="13" t="s">
        <v>33767</v>
      </c>
      <c r="I1327" s="40" t="s">
        <v>18</v>
      </c>
      <c r="J1327" s="40" t="str">
        <f>HYPERLINK("https://stock.pstatic.net/stock-research/company/21/20260722_company_246953000.pdf","PDF")</f>
        <v>PDF</v>
      </c>
      <c r="K1327" s="12" t="s">
        <v>33768</v>
      </c>
      <c r="L1327" s="12"/>
    </row>
    <row r="1328" spans="1:12" x14ac:dyDescent="0.45">
      <c r="A1328" s="12" t="s">
        <v>33727</v>
      </c>
      <c r="B1328" s="12" t="s">
        <v>2199</v>
      </c>
      <c r="C1328" s="13" t="s">
        <v>2200</v>
      </c>
      <c r="D1328" s="13" t="s">
        <v>44</v>
      </c>
      <c r="E1328" s="12" t="s">
        <v>35</v>
      </c>
      <c r="F1328" s="14">
        <v>45000</v>
      </c>
      <c r="G1328" s="14">
        <v>36700</v>
      </c>
      <c r="H1328" s="13" t="s">
        <v>33769</v>
      </c>
      <c r="I1328" s="40" t="s">
        <v>18</v>
      </c>
      <c r="J1328" s="40" t="str">
        <f>HYPERLINK("https://stock.pstatic.net/stock-research/company/39/20260722_company_334696000.pdf","PDF")</f>
        <v>PDF</v>
      </c>
      <c r="K1328" s="12" t="s">
        <v>33770</v>
      </c>
      <c r="L1328" s="36">
        <v>0.226158038147139</v>
      </c>
    </row>
    <row r="1329" spans="1:12" x14ac:dyDescent="0.45">
      <c r="A1329" s="12" t="s">
        <v>33727</v>
      </c>
      <c r="B1329" s="12" t="s">
        <v>3383</v>
      </c>
      <c r="C1329" s="13" t="s">
        <v>3384</v>
      </c>
      <c r="D1329" s="13" t="s">
        <v>23</v>
      </c>
      <c r="E1329" s="12" t="s">
        <v>16</v>
      </c>
      <c r="F1329" s="14">
        <v>83000</v>
      </c>
      <c r="G1329" s="14">
        <v>53300</v>
      </c>
      <c r="H1329" s="13" t="s">
        <v>33771</v>
      </c>
      <c r="I1329" s="40" t="s">
        <v>18</v>
      </c>
      <c r="J1329" s="40" t="str">
        <f>HYPERLINK("https://stock.pstatic.net/stock-research/company/21/20260722_company_316326000.pdf","PDF")</f>
        <v>PDF</v>
      </c>
      <c r="K1329" s="12" t="s">
        <v>33772</v>
      </c>
      <c r="L1329" s="36">
        <v>0.55722326454033766</v>
      </c>
    </row>
    <row r="1330" spans="1:12" x14ac:dyDescent="0.45">
      <c r="A1330" s="12" t="s">
        <v>33727</v>
      </c>
      <c r="B1330" s="12" t="s">
        <v>2032</v>
      </c>
      <c r="C1330" s="13" t="s">
        <v>2033</v>
      </c>
      <c r="D1330" s="13" t="s">
        <v>53</v>
      </c>
      <c r="E1330" s="12" t="s">
        <v>16</v>
      </c>
      <c r="F1330" s="14">
        <v>38000</v>
      </c>
      <c r="G1330" s="14">
        <v>29000</v>
      </c>
      <c r="H1330" s="13" t="s">
        <v>33773</v>
      </c>
      <c r="I1330" s="40" t="s">
        <v>18</v>
      </c>
      <c r="J1330" s="40" t="str">
        <f>HYPERLINK("https://stock.pstatic.net/stock-research/company/40/20260722_company_690502000.pdf","PDF")</f>
        <v>PDF</v>
      </c>
      <c r="K1330" s="12" t="s">
        <v>33774</v>
      </c>
      <c r="L1330" s="36">
        <v>0.31034482758620691</v>
      </c>
    </row>
    <row r="1331" spans="1:12" x14ac:dyDescent="0.45">
      <c r="A1331" s="12" t="s">
        <v>33369</v>
      </c>
      <c r="B1331" s="12" t="s">
        <v>485</v>
      </c>
      <c r="C1331" s="13" t="s">
        <v>486</v>
      </c>
      <c r="D1331" s="13" t="s">
        <v>44</v>
      </c>
      <c r="E1331" s="12" t="s">
        <v>35</v>
      </c>
      <c r="F1331" s="14">
        <v>190000</v>
      </c>
      <c r="G1331" s="14">
        <v>119600</v>
      </c>
      <c r="H1331" s="13" t="s">
        <v>33370</v>
      </c>
      <c r="I1331" s="40" t="s">
        <v>18</v>
      </c>
      <c r="J1331" s="40" t="str">
        <f>HYPERLINK("https://stock.pstatic.net/stock-research/company/39/20260721_company_821920000.pdf","PDF")</f>
        <v>PDF</v>
      </c>
      <c r="K1331" s="12" t="s">
        <v>33371</v>
      </c>
      <c r="L1331" s="36">
        <v>0.58862876254180607</v>
      </c>
    </row>
    <row r="1332" spans="1:12" x14ac:dyDescent="0.45">
      <c r="A1332" s="12" t="s">
        <v>33369</v>
      </c>
      <c r="B1332" s="12" t="s">
        <v>1081</v>
      </c>
      <c r="C1332" s="13" t="s">
        <v>1082</v>
      </c>
      <c r="D1332" s="13" t="s">
        <v>44</v>
      </c>
      <c r="E1332" s="12" t="s">
        <v>50</v>
      </c>
      <c r="F1332" s="13"/>
      <c r="G1332" s="13"/>
      <c r="H1332" s="13" t="s">
        <v>33372</v>
      </c>
      <c r="I1332" s="40" t="s">
        <v>18</v>
      </c>
      <c r="J1332" s="40" t="str">
        <f>HYPERLINK("https://stock.pstatic.net/stock-research/company/39/20260721_company_982439000.pdf","PDF")</f>
        <v>PDF</v>
      </c>
      <c r="K1332" s="12" t="s">
        <v>33373</v>
      </c>
      <c r="L1332" s="12"/>
    </row>
    <row r="1333" spans="1:12" x14ac:dyDescent="0.45">
      <c r="A1333" s="12" t="s">
        <v>33369</v>
      </c>
      <c r="B1333" s="12" t="s">
        <v>2266</v>
      </c>
      <c r="C1333" s="13" t="s">
        <v>2267</v>
      </c>
      <c r="D1333" s="13" t="s">
        <v>44</v>
      </c>
      <c r="E1333" s="12" t="s">
        <v>35</v>
      </c>
      <c r="F1333" s="14">
        <v>230000</v>
      </c>
      <c r="G1333" s="14">
        <v>143900</v>
      </c>
      <c r="H1333" s="13" t="s">
        <v>33374</v>
      </c>
      <c r="I1333" s="40" t="s">
        <v>18</v>
      </c>
      <c r="J1333" s="40" t="str">
        <f>HYPERLINK("https://stock.pstatic.net/stock-research/company/39/20260721_company_157319000.pdf","PDF")</f>
        <v>PDF</v>
      </c>
      <c r="K1333" s="12" t="s">
        <v>33375</v>
      </c>
      <c r="L1333" s="36">
        <v>0.59833217512161219</v>
      </c>
    </row>
    <row r="1334" spans="1:12" x14ac:dyDescent="0.45">
      <c r="A1334" s="12" t="s">
        <v>33369</v>
      </c>
      <c r="B1334" s="12" t="s">
        <v>3349</v>
      </c>
      <c r="C1334" s="13" t="s">
        <v>3350</v>
      </c>
      <c r="D1334" s="13" t="s">
        <v>44</v>
      </c>
      <c r="E1334" s="12" t="s">
        <v>35</v>
      </c>
      <c r="F1334" s="14">
        <v>34000</v>
      </c>
      <c r="G1334" s="14">
        <v>19370</v>
      </c>
      <c r="H1334" s="13" t="s">
        <v>33376</v>
      </c>
      <c r="I1334" s="40" t="s">
        <v>18</v>
      </c>
      <c r="J1334" s="40" t="str">
        <f>HYPERLINK("https://stock.pstatic.net/stock-research/company/39/20260721_company_561886000.pdf","PDF")</f>
        <v>PDF</v>
      </c>
      <c r="K1334" s="12" t="s">
        <v>33377</v>
      </c>
      <c r="L1334" s="36">
        <v>0.75529168817759418</v>
      </c>
    </row>
    <row r="1335" spans="1:12" x14ac:dyDescent="0.45">
      <c r="A1335" s="12" t="s">
        <v>33369</v>
      </c>
      <c r="B1335" s="12" t="s">
        <v>1190</v>
      </c>
      <c r="C1335" s="13" t="s">
        <v>1191</v>
      </c>
      <c r="D1335" s="13" t="s">
        <v>179</v>
      </c>
      <c r="E1335" s="12" t="s">
        <v>16</v>
      </c>
      <c r="F1335" s="14">
        <v>130000</v>
      </c>
      <c r="G1335" s="14">
        <v>87200</v>
      </c>
      <c r="H1335" s="13" t="s">
        <v>33378</v>
      </c>
      <c r="I1335" s="40" t="s">
        <v>18</v>
      </c>
      <c r="J1335" s="40" t="str">
        <f>HYPERLINK("https://stock.pstatic.net/stock-research/company/64/20260721_company_406574000.pdf","PDF")</f>
        <v>PDF</v>
      </c>
      <c r="K1335" s="12" t="s">
        <v>33379</v>
      </c>
      <c r="L1335" s="36">
        <v>0.49082568807339449</v>
      </c>
    </row>
    <row r="1336" spans="1:12" x14ac:dyDescent="0.45">
      <c r="A1336" s="12" t="s">
        <v>33369</v>
      </c>
      <c r="B1336" s="12" t="s">
        <v>166</v>
      </c>
      <c r="C1336" s="13" t="s">
        <v>167</v>
      </c>
      <c r="D1336" s="13" t="s">
        <v>124</v>
      </c>
      <c r="E1336" s="12" t="s">
        <v>50</v>
      </c>
      <c r="F1336" s="13"/>
      <c r="G1336" s="13"/>
      <c r="H1336" s="13" t="s">
        <v>33380</v>
      </c>
      <c r="I1336" s="40" t="s">
        <v>18</v>
      </c>
      <c r="J1336" s="40" t="str">
        <f>HYPERLINK("https://stock.pstatic.net/stock-research/company/74/20260721_company_22046000.pdf","PDF")</f>
        <v>PDF</v>
      </c>
      <c r="K1336" s="12" t="s">
        <v>33381</v>
      </c>
      <c r="L1336" s="12"/>
    </row>
    <row r="1337" spans="1:12" x14ac:dyDescent="0.45">
      <c r="A1337" s="12" t="s">
        <v>33369</v>
      </c>
      <c r="B1337" s="12" t="s">
        <v>33382</v>
      </c>
      <c r="C1337" s="13" t="s">
        <v>33383</v>
      </c>
      <c r="D1337" s="13" t="s">
        <v>124</v>
      </c>
      <c r="E1337" s="12" t="s">
        <v>50</v>
      </c>
      <c r="F1337" s="13"/>
      <c r="G1337" s="13"/>
      <c r="H1337" s="13" t="s">
        <v>33384</v>
      </c>
      <c r="I1337" s="40" t="s">
        <v>18</v>
      </c>
      <c r="J1337" s="40" t="str">
        <f>HYPERLINK("https://stock.pstatic.net/stock-research/company/74/20260721_company_51483000.pdf","PDF")</f>
        <v>PDF</v>
      </c>
      <c r="K1337" s="12" t="s">
        <v>33385</v>
      </c>
      <c r="L1337" s="12"/>
    </row>
    <row r="1338" spans="1:12" x14ac:dyDescent="0.45">
      <c r="A1338" s="12" t="s">
        <v>33369</v>
      </c>
      <c r="B1338" s="12" t="s">
        <v>519</v>
      </c>
      <c r="C1338" s="13" t="s">
        <v>520</v>
      </c>
      <c r="D1338" s="13" t="s">
        <v>15</v>
      </c>
      <c r="E1338" s="12" t="s">
        <v>16</v>
      </c>
      <c r="F1338" s="14">
        <v>840000</v>
      </c>
      <c r="G1338" s="14">
        <v>425000</v>
      </c>
      <c r="H1338" s="13" t="s">
        <v>33386</v>
      </c>
      <c r="I1338" s="40" t="s">
        <v>18</v>
      </c>
      <c r="J1338" s="40" t="str">
        <f>HYPERLINK("https://stock.pstatic.net/stock-research/company/56/20260721_company_13228000.pdf","PDF")</f>
        <v>PDF</v>
      </c>
      <c r="K1338" s="12" t="s">
        <v>33387</v>
      </c>
      <c r="L1338" s="36">
        <v>0.97647058823529409</v>
      </c>
    </row>
    <row r="1339" spans="1:12" x14ac:dyDescent="0.45">
      <c r="A1339" s="12" t="s">
        <v>33346</v>
      </c>
      <c r="B1339" s="12" t="s">
        <v>764</v>
      </c>
      <c r="C1339" s="13" t="s">
        <v>765</v>
      </c>
      <c r="D1339" s="13" t="s">
        <v>57</v>
      </c>
      <c r="E1339" s="12" t="s">
        <v>35</v>
      </c>
      <c r="F1339" s="14">
        <v>55000</v>
      </c>
      <c r="G1339" s="14">
        <v>36500</v>
      </c>
      <c r="H1339" s="13" t="s">
        <v>33388</v>
      </c>
      <c r="I1339" s="40" t="s">
        <v>18</v>
      </c>
      <c r="J1339" s="40" t="str">
        <f>HYPERLINK("https://stock.pstatic.net/stock-research/company/16/20260720_company_679679000.pdf","PDF")</f>
        <v>PDF</v>
      </c>
      <c r="K1339" s="12" t="s">
        <v>33389</v>
      </c>
      <c r="L1339" s="36">
        <v>0.50684931506849318</v>
      </c>
    </row>
    <row r="1340" spans="1:12" x14ac:dyDescent="0.45">
      <c r="A1340" s="12" t="s">
        <v>33346</v>
      </c>
      <c r="B1340" s="12" t="s">
        <v>1266</v>
      </c>
      <c r="C1340" s="13" t="s">
        <v>1267</v>
      </c>
      <c r="D1340" s="13" t="s">
        <v>57</v>
      </c>
      <c r="E1340" s="12" t="s">
        <v>159</v>
      </c>
      <c r="F1340" s="14">
        <v>346000</v>
      </c>
      <c r="G1340" s="14">
        <v>331000</v>
      </c>
      <c r="H1340" s="13" t="s">
        <v>33390</v>
      </c>
      <c r="I1340" s="40" t="s">
        <v>18</v>
      </c>
      <c r="J1340" s="40" t="str">
        <f>HYPERLINK("https://stock.pstatic.net/stock-research/company/16/20260720_company_37556000.pdf","PDF")</f>
        <v>PDF</v>
      </c>
      <c r="K1340" s="12" t="s">
        <v>33391</v>
      </c>
      <c r="L1340" s="36">
        <v>4.5317220543806637E-2</v>
      </c>
    </row>
    <row r="1341" spans="1:12" x14ac:dyDescent="0.45">
      <c r="A1341" s="12" t="s">
        <v>33346</v>
      </c>
      <c r="B1341" s="12" t="s">
        <v>3164</v>
      </c>
      <c r="C1341" s="13" t="s">
        <v>3165</v>
      </c>
      <c r="D1341" s="13" t="s">
        <v>60</v>
      </c>
      <c r="E1341" s="12" t="s">
        <v>35</v>
      </c>
      <c r="F1341" s="14">
        <v>180000</v>
      </c>
      <c r="G1341" s="14">
        <v>99000</v>
      </c>
      <c r="H1341" s="13" t="s">
        <v>33392</v>
      </c>
      <c r="I1341" s="40" t="s">
        <v>18</v>
      </c>
      <c r="J1341" s="40" t="str">
        <f>HYPERLINK("https://stock.pstatic.net/stock-research/company/62/20260720_company_304167000.pdf","PDF")</f>
        <v>PDF</v>
      </c>
      <c r="K1341" s="12" t="s">
        <v>33393</v>
      </c>
      <c r="L1341" s="36">
        <v>0.81818181818181823</v>
      </c>
    </row>
    <row r="1342" spans="1:12" x14ac:dyDescent="0.45">
      <c r="A1342" s="12" t="s">
        <v>33346</v>
      </c>
      <c r="B1342" s="12" t="s">
        <v>1686</v>
      </c>
      <c r="C1342" s="13" t="s">
        <v>1687</v>
      </c>
      <c r="D1342" s="13" t="s">
        <v>60</v>
      </c>
      <c r="E1342" s="12" t="s">
        <v>35</v>
      </c>
      <c r="F1342" s="14">
        <v>1860000</v>
      </c>
      <c r="G1342" s="14">
        <v>1069000</v>
      </c>
      <c r="H1342" s="13" t="s">
        <v>33394</v>
      </c>
      <c r="I1342" s="40" t="s">
        <v>18</v>
      </c>
      <c r="J1342" s="40" t="str">
        <f>HYPERLINK("https://stock.pstatic.net/stock-research/company/62/20260720_company_211462000.pdf","PDF")</f>
        <v>PDF</v>
      </c>
      <c r="K1342" s="12" t="s">
        <v>33395</v>
      </c>
      <c r="L1342" s="36">
        <v>0.73994387277829743</v>
      </c>
    </row>
    <row r="1343" spans="1:12" x14ac:dyDescent="0.45">
      <c r="A1343" s="12" t="s">
        <v>33346</v>
      </c>
      <c r="B1343" s="12" t="s">
        <v>32</v>
      </c>
      <c r="C1343" s="13" t="s">
        <v>33</v>
      </c>
      <c r="D1343" s="13" t="s">
        <v>65</v>
      </c>
      <c r="E1343" s="12" t="s">
        <v>35</v>
      </c>
      <c r="F1343" s="14">
        <v>3000000</v>
      </c>
      <c r="G1343" s="14">
        <v>1277000</v>
      </c>
      <c r="H1343" s="13" t="s">
        <v>33396</v>
      </c>
      <c r="I1343" s="40" t="s">
        <v>18</v>
      </c>
      <c r="J1343" s="40" t="str">
        <f>HYPERLINK("https://stock.pstatic.net/stock-research/company/57/20260720_company_381654000.pdf","PDF")</f>
        <v>PDF</v>
      </c>
      <c r="K1343" s="12" t="s">
        <v>33397</v>
      </c>
      <c r="L1343" s="36">
        <v>1.349256068911511</v>
      </c>
    </row>
    <row r="1344" spans="1:12" x14ac:dyDescent="0.45">
      <c r="A1344" s="12" t="s">
        <v>33346</v>
      </c>
      <c r="B1344" s="12" t="s">
        <v>3536</v>
      </c>
      <c r="C1344" s="13" t="s">
        <v>3537</v>
      </c>
      <c r="D1344" s="13" t="s">
        <v>65</v>
      </c>
      <c r="E1344" s="12" t="s">
        <v>35</v>
      </c>
      <c r="F1344" s="14">
        <v>590000</v>
      </c>
      <c r="G1344" s="14">
        <v>278000</v>
      </c>
      <c r="H1344" s="13" t="s">
        <v>33398</v>
      </c>
      <c r="I1344" s="40" t="s">
        <v>18</v>
      </c>
      <c r="J1344" s="40" t="str">
        <f>HYPERLINK("https://stock.pstatic.net/stock-research/company/57/20260720_company_150078000.pdf","PDF")</f>
        <v>PDF</v>
      </c>
      <c r="K1344" s="12" t="s">
        <v>33399</v>
      </c>
      <c r="L1344" s="36">
        <v>1.122302158273381</v>
      </c>
    </row>
    <row r="1345" spans="1:12" x14ac:dyDescent="0.45">
      <c r="A1345" s="12" t="s">
        <v>33346</v>
      </c>
      <c r="B1345" s="12" t="s">
        <v>1262</v>
      </c>
      <c r="C1345" s="13" t="s">
        <v>1263</v>
      </c>
      <c r="D1345" s="13" t="s">
        <v>65</v>
      </c>
      <c r="E1345" s="12" t="s">
        <v>35</v>
      </c>
      <c r="F1345" s="14">
        <v>7300</v>
      </c>
      <c r="G1345" s="14">
        <v>4540</v>
      </c>
      <c r="H1345" s="13" t="s">
        <v>33400</v>
      </c>
      <c r="I1345" s="40" t="s">
        <v>18</v>
      </c>
      <c r="J1345" s="40" t="str">
        <f>HYPERLINK("https://stock.pstatic.net/stock-research/company/57/20260720_company_906107000.pdf","PDF")</f>
        <v>PDF</v>
      </c>
      <c r="K1345" s="12" t="s">
        <v>33401</v>
      </c>
      <c r="L1345" s="36">
        <v>0.60792951541850215</v>
      </c>
    </row>
    <row r="1346" spans="1:12" x14ac:dyDescent="0.45">
      <c r="A1346" s="12" t="s">
        <v>33346</v>
      </c>
      <c r="B1346" s="12" t="s">
        <v>5395</v>
      </c>
      <c r="C1346" s="13" t="s">
        <v>5396</v>
      </c>
      <c r="D1346" s="13" t="s">
        <v>65</v>
      </c>
      <c r="E1346" s="12" t="s">
        <v>35</v>
      </c>
      <c r="F1346" s="14">
        <v>60000</v>
      </c>
      <c r="G1346" s="14">
        <v>33350</v>
      </c>
      <c r="H1346" s="13" t="s">
        <v>33402</v>
      </c>
      <c r="I1346" s="40" t="s">
        <v>18</v>
      </c>
      <c r="J1346" s="40" t="str">
        <f>HYPERLINK("https://stock.pstatic.net/stock-research/company/57/20260720_company_962126000.pdf","PDF")</f>
        <v>PDF</v>
      </c>
      <c r="K1346" s="12" t="s">
        <v>33403</v>
      </c>
      <c r="L1346" s="36">
        <v>0.79910044977511241</v>
      </c>
    </row>
    <row r="1347" spans="1:12" x14ac:dyDescent="0.45">
      <c r="A1347" s="12" t="s">
        <v>33346</v>
      </c>
      <c r="B1347" s="12" t="s">
        <v>3349</v>
      </c>
      <c r="C1347" s="13" t="s">
        <v>3350</v>
      </c>
      <c r="D1347" s="13" t="s">
        <v>92</v>
      </c>
      <c r="E1347" s="12" t="s">
        <v>35</v>
      </c>
      <c r="F1347" s="14">
        <v>30000</v>
      </c>
      <c r="G1347" s="14">
        <v>18030</v>
      </c>
      <c r="H1347" s="13" t="s">
        <v>33404</v>
      </c>
      <c r="I1347" s="40" t="s">
        <v>18</v>
      </c>
      <c r="J1347" s="40" t="str">
        <f>HYPERLINK("https://stock.pstatic.net/stock-research/company/63/20260720_company_401716000.pdf","PDF")</f>
        <v>PDF</v>
      </c>
      <c r="K1347" s="12" t="s">
        <v>33405</v>
      </c>
      <c r="L1347" s="36">
        <v>0.66389351081530779</v>
      </c>
    </row>
    <row r="1348" spans="1:12" x14ac:dyDescent="0.45">
      <c r="A1348" s="12" t="s">
        <v>33346</v>
      </c>
      <c r="B1348" s="12" t="s">
        <v>3204</v>
      </c>
      <c r="C1348" s="13" t="s">
        <v>3205</v>
      </c>
      <c r="D1348" s="13" t="s">
        <v>92</v>
      </c>
      <c r="E1348" s="12" t="s">
        <v>35</v>
      </c>
      <c r="F1348" s="14">
        <v>24000</v>
      </c>
      <c r="G1348" s="14">
        <v>15150</v>
      </c>
      <c r="H1348" s="13" t="s">
        <v>33406</v>
      </c>
      <c r="I1348" s="40" t="s">
        <v>18</v>
      </c>
      <c r="J1348" s="40" t="str">
        <f>HYPERLINK("https://stock.pstatic.net/stock-research/company/63/20260720_company_800597000.pdf","PDF")</f>
        <v>PDF</v>
      </c>
      <c r="K1348" s="12" t="s">
        <v>33407</v>
      </c>
      <c r="L1348" s="36">
        <v>0.58415841584158412</v>
      </c>
    </row>
    <row r="1349" spans="1:12" x14ac:dyDescent="0.45">
      <c r="A1349" s="12" t="s">
        <v>33346</v>
      </c>
      <c r="B1349" s="12" t="s">
        <v>3164</v>
      </c>
      <c r="C1349" s="13" t="s">
        <v>3165</v>
      </c>
      <c r="D1349" s="13" t="s">
        <v>92</v>
      </c>
      <c r="E1349" s="12" t="s">
        <v>35</v>
      </c>
      <c r="F1349" s="14">
        <v>178000</v>
      </c>
      <c r="G1349" s="14">
        <v>99000</v>
      </c>
      <c r="H1349" s="13" t="s">
        <v>33408</v>
      </c>
      <c r="I1349" s="40" t="s">
        <v>18</v>
      </c>
      <c r="J1349" s="40" t="str">
        <f>HYPERLINK("https://stock.pstatic.net/stock-research/company/63/20260720_company_764616000.pdf","PDF")</f>
        <v>PDF</v>
      </c>
      <c r="K1349" s="12" t="s">
        <v>33409</v>
      </c>
      <c r="L1349" s="36">
        <v>0.79797979797979801</v>
      </c>
    </row>
    <row r="1350" spans="1:12" x14ac:dyDescent="0.45">
      <c r="A1350" s="12" t="s">
        <v>33346</v>
      </c>
      <c r="B1350" s="12" t="s">
        <v>33410</v>
      </c>
      <c r="C1350" s="13" t="s">
        <v>33411</v>
      </c>
      <c r="D1350" s="13" t="s">
        <v>23</v>
      </c>
      <c r="E1350" s="12" t="s">
        <v>50</v>
      </c>
      <c r="F1350" s="13"/>
      <c r="G1350" s="14">
        <v>21850</v>
      </c>
      <c r="H1350" s="13" t="s">
        <v>33412</v>
      </c>
      <c r="I1350" s="40" t="s">
        <v>18</v>
      </c>
      <c r="J1350" s="40" t="str">
        <f>HYPERLINK("https://stock.pstatic.net/stock-research/company/21/20260720_company_441356000.pdf","PDF")</f>
        <v>PDF</v>
      </c>
      <c r="K1350" s="12" t="s">
        <v>33413</v>
      </c>
      <c r="L1350" s="12"/>
    </row>
    <row r="1351" spans="1:12" x14ac:dyDescent="0.45">
      <c r="A1351" s="12" t="s">
        <v>33346</v>
      </c>
      <c r="B1351" s="12" t="s">
        <v>2369</v>
      </c>
      <c r="C1351" s="13" t="s">
        <v>2370</v>
      </c>
      <c r="D1351" s="13" t="s">
        <v>23</v>
      </c>
      <c r="E1351" s="12" t="s">
        <v>16</v>
      </c>
      <c r="F1351" s="14">
        <v>700000</v>
      </c>
      <c r="G1351" s="14">
        <v>434500</v>
      </c>
      <c r="H1351" s="13" t="s">
        <v>33414</v>
      </c>
      <c r="I1351" s="40" t="s">
        <v>18</v>
      </c>
      <c r="J1351" s="40" t="str">
        <f>HYPERLINK("https://stock.pstatic.net/stock-research/company/21/20260720_company_203836000.pdf","PDF")</f>
        <v>PDF</v>
      </c>
      <c r="K1351" s="12" t="s">
        <v>33415</v>
      </c>
      <c r="L1351" s="36">
        <v>0.6110471806674338</v>
      </c>
    </row>
    <row r="1352" spans="1:12" x14ac:dyDescent="0.45">
      <c r="A1352" s="12" t="s">
        <v>33346</v>
      </c>
      <c r="B1352" s="12" t="s">
        <v>541</v>
      </c>
      <c r="C1352" s="13" t="s">
        <v>542</v>
      </c>
      <c r="D1352" s="13" t="s">
        <v>23</v>
      </c>
      <c r="E1352" s="12" t="s">
        <v>16</v>
      </c>
      <c r="F1352" s="14">
        <v>100000</v>
      </c>
      <c r="G1352" s="14">
        <v>89100</v>
      </c>
      <c r="H1352" s="13" t="s">
        <v>33416</v>
      </c>
      <c r="I1352" s="40" t="s">
        <v>18</v>
      </c>
      <c r="J1352" s="40" t="str">
        <f>HYPERLINK("https://stock.pstatic.net/stock-research/company/21/20260720_company_183715000.pdf","PDF")</f>
        <v>PDF</v>
      </c>
      <c r="K1352" s="12" t="s">
        <v>33417</v>
      </c>
      <c r="L1352" s="36">
        <v>0.122334455667789</v>
      </c>
    </row>
    <row r="1353" spans="1:12" x14ac:dyDescent="0.45">
      <c r="A1353" s="12" t="s">
        <v>33346</v>
      </c>
      <c r="B1353" s="12" t="s">
        <v>661</v>
      </c>
      <c r="C1353" s="13" t="s">
        <v>662</v>
      </c>
      <c r="D1353" s="13" t="s">
        <v>23</v>
      </c>
      <c r="E1353" s="12" t="s">
        <v>16</v>
      </c>
      <c r="F1353" s="14">
        <v>17000</v>
      </c>
      <c r="G1353" s="14">
        <v>11900</v>
      </c>
      <c r="H1353" s="13" t="s">
        <v>33418</v>
      </c>
      <c r="I1353" s="40" t="s">
        <v>18</v>
      </c>
      <c r="J1353" s="40" t="str">
        <f>HYPERLINK("https://stock.pstatic.net/stock-research/company/21/20260720_company_877850000.pdf","PDF")</f>
        <v>PDF</v>
      </c>
      <c r="K1353" s="12" t="s">
        <v>33419</v>
      </c>
      <c r="L1353" s="36">
        <v>0.42857142857142849</v>
      </c>
    </row>
    <row r="1354" spans="1:12" x14ac:dyDescent="0.45">
      <c r="A1354" s="12" t="s">
        <v>33346</v>
      </c>
      <c r="B1354" s="12" t="s">
        <v>2873</v>
      </c>
      <c r="C1354" s="13" t="s">
        <v>2874</v>
      </c>
      <c r="D1354" s="13" t="s">
        <v>34</v>
      </c>
      <c r="E1354" s="12" t="s">
        <v>35</v>
      </c>
      <c r="F1354" s="14">
        <v>185000</v>
      </c>
      <c r="G1354" s="14">
        <v>143100</v>
      </c>
      <c r="H1354" s="13" t="s">
        <v>33420</v>
      </c>
      <c r="I1354" s="40" t="s">
        <v>18</v>
      </c>
      <c r="J1354" s="40" t="str">
        <f>HYPERLINK("https://stock.pstatic.net/stock-research/company/61/20260720_company_974293000.pdf","PDF")</f>
        <v>PDF</v>
      </c>
      <c r="K1354" s="12" t="s">
        <v>33421</v>
      </c>
      <c r="L1354" s="36">
        <v>0.29280223619846257</v>
      </c>
    </row>
    <row r="1355" spans="1:12" x14ac:dyDescent="0.45">
      <c r="A1355" s="12" t="s">
        <v>33346</v>
      </c>
      <c r="B1355" s="12" t="s">
        <v>362</v>
      </c>
      <c r="C1355" s="13" t="s">
        <v>363</v>
      </c>
      <c r="D1355" s="13" t="s">
        <v>34</v>
      </c>
      <c r="E1355" s="12" t="s">
        <v>35</v>
      </c>
      <c r="F1355" s="14">
        <v>115000</v>
      </c>
      <c r="G1355" s="14">
        <v>98800</v>
      </c>
      <c r="H1355" s="13" t="s">
        <v>33422</v>
      </c>
      <c r="I1355" s="40" t="s">
        <v>18</v>
      </c>
      <c r="J1355" s="40" t="str">
        <f>HYPERLINK("https://stock.pstatic.net/stock-research/company/61/20260720_company_708017000.pdf","PDF")</f>
        <v>PDF</v>
      </c>
      <c r="K1355" s="12" t="s">
        <v>33423</v>
      </c>
      <c r="L1355" s="36">
        <v>0.16396761133603241</v>
      </c>
    </row>
    <row r="1356" spans="1:12" x14ac:dyDescent="0.45">
      <c r="A1356" s="12" t="s">
        <v>33346</v>
      </c>
      <c r="B1356" s="12" t="s">
        <v>434</v>
      </c>
      <c r="C1356" s="13" t="s">
        <v>435</v>
      </c>
      <c r="D1356" s="13" t="s">
        <v>92</v>
      </c>
      <c r="E1356" s="12" t="s">
        <v>35</v>
      </c>
      <c r="F1356" s="14">
        <v>150000</v>
      </c>
      <c r="G1356" s="14">
        <v>124400</v>
      </c>
      <c r="H1356" s="13" t="s">
        <v>33424</v>
      </c>
      <c r="I1356" s="40" t="s">
        <v>18</v>
      </c>
      <c r="J1356" s="40" t="str">
        <f>HYPERLINK("https://stock.pstatic.net/stock-research/company/63/20260720_company_226953000.pdf","PDF")</f>
        <v>PDF</v>
      </c>
      <c r="K1356" s="12" t="s">
        <v>33425</v>
      </c>
      <c r="L1356" s="36">
        <v>0.20578778135048231</v>
      </c>
    </row>
    <row r="1357" spans="1:12" x14ac:dyDescent="0.45">
      <c r="A1357" s="12" t="s">
        <v>33346</v>
      </c>
      <c r="B1357" s="12" t="s">
        <v>370</v>
      </c>
      <c r="C1357" s="13" t="s">
        <v>371</v>
      </c>
      <c r="D1357" s="13" t="s">
        <v>44</v>
      </c>
      <c r="E1357" s="12" t="s">
        <v>35</v>
      </c>
      <c r="F1357" s="14">
        <v>60000</v>
      </c>
      <c r="G1357" s="14">
        <v>40200</v>
      </c>
      <c r="H1357" s="13" t="s">
        <v>33426</v>
      </c>
      <c r="I1357" s="40" t="s">
        <v>18</v>
      </c>
      <c r="J1357" s="40" t="str">
        <f>HYPERLINK("https://stock.pstatic.net/stock-research/company/39/20260720_company_14117000.pdf","PDF")</f>
        <v>PDF</v>
      </c>
      <c r="K1357" s="12" t="s">
        <v>33427</v>
      </c>
      <c r="L1357" s="36">
        <v>0.4925373134328358</v>
      </c>
    </row>
    <row r="1358" spans="1:12" x14ac:dyDescent="0.45">
      <c r="A1358" s="12" t="s">
        <v>33346</v>
      </c>
      <c r="B1358" s="12" t="s">
        <v>1648</v>
      </c>
      <c r="C1358" s="13" t="s">
        <v>1649</v>
      </c>
      <c r="D1358" s="13" t="s">
        <v>44</v>
      </c>
      <c r="E1358" s="12" t="s">
        <v>35</v>
      </c>
      <c r="F1358" s="14">
        <v>110000</v>
      </c>
      <c r="G1358" s="14">
        <v>69100</v>
      </c>
      <c r="H1358" s="13" t="s">
        <v>33428</v>
      </c>
      <c r="I1358" s="40" t="s">
        <v>18</v>
      </c>
      <c r="J1358" s="40" t="str">
        <f>HYPERLINK("https://stock.pstatic.net/stock-research/company/39/20260720_company_949909000.pdf","PDF")</f>
        <v>PDF</v>
      </c>
      <c r="K1358" s="12" t="s">
        <v>33429</v>
      </c>
      <c r="L1358" s="36">
        <v>0.59189580318379165</v>
      </c>
    </row>
    <row r="1359" spans="1:12" x14ac:dyDescent="0.45">
      <c r="A1359" s="12" t="s">
        <v>33346</v>
      </c>
      <c r="B1359" s="12" t="s">
        <v>3105</v>
      </c>
      <c r="C1359" s="13" t="s">
        <v>3106</v>
      </c>
      <c r="D1359" s="13" t="s">
        <v>44</v>
      </c>
      <c r="E1359" s="12" t="s">
        <v>35</v>
      </c>
      <c r="F1359" s="14">
        <v>330000</v>
      </c>
      <c r="G1359" s="14">
        <v>208500</v>
      </c>
      <c r="H1359" s="13" t="s">
        <v>33430</v>
      </c>
      <c r="I1359" s="40" t="s">
        <v>18</v>
      </c>
      <c r="J1359" s="40" t="str">
        <f>HYPERLINK("https://stock.pstatic.net/stock-research/company/39/20260720_company_869806000.pdf","PDF")</f>
        <v>PDF</v>
      </c>
      <c r="K1359" s="12" t="s">
        <v>33431</v>
      </c>
      <c r="L1359" s="36">
        <v>0.58273381294964033</v>
      </c>
    </row>
    <row r="1360" spans="1:12" x14ac:dyDescent="0.45">
      <c r="A1360" s="12" t="s">
        <v>33346</v>
      </c>
      <c r="B1360" s="12" t="s">
        <v>2837</v>
      </c>
      <c r="C1360" s="13" t="s">
        <v>2838</v>
      </c>
      <c r="D1360" s="13" t="s">
        <v>44</v>
      </c>
      <c r="E1360" s="12" t="s">
        <v>35</v>
      </c>
      <c r="F1360" s="14">
        <v>140000</v>
      </c>
      <c r="G1360" s="14">
        <v>65500</v>
      </c>
      <c r="H1360" s="13" t="s">
        <v>33432</v>
      </c>
      <c r="I1360" s="40" t="s">
        <v>18</v>
      </c>
      <c r="J1360" s="40" t="str">
        <f>HYPERLINK("https://stock.pstatic.net/stock-research/company/39/20260720_company_800674000.pdf","PDF")</f>
        <v>PDF</v>
      </c>
      <c r="K1360" s="12" t="s">
        <v>33433</v>
      </c>
      <c r="L1360" s="36">
        <v>1.137404580152672</v>
      </c>
    </row>
    <row r="1361" spans="1:12" x14ac:dyDescent="0.45">
      <c r="A1361" s="12" t="s">
        <v>33346</v>
      </c>
      <c r="B1361" s="12" t="s">
        <v>1548</v>
      </c>
      <c r="C1361" s="13" t="s">
        <v>1549</v>
      </c>
      <c r="D1361" s="13" t="s">
        <v>44</v>
      </c>
      <c r="E1361" s="12" t="s">
        <v>35</v>
      </c>
      <c r="F1361" s="14">
        <v>1720000</v>
      </c>
      <c r="G1361" s="14">
        <v>943000</v>
      </c>
      <c r="H1361" s="13" t="s">
        <v>33434</v>
      </c>
      <c r="I1361" s="40" t="s">
        <v>18</v>
      </c>
      <c r="J1361" s="40" t="str">
        <f>HYPERLINK("https://stock.pstatic.net/stock-research/company/39/20260720_company_537768000.pdf","PDF")</f>
        <v>PDF</v>
      </c>
      <c r="K1361" s="12" t="s">
        <v>33435</v>
      </c>
      <c r="L1361" s="36">
        <v>0.823966065747614</v>
      </c>
    </row>
    <row r="1362" spans="1:12" x14ac:dyDescent="0.45">
      <c r="A1362" s="12" t="s">
        <v>33346</v>
      </c>
      <c r="B1362" s="12" t="s">
        <v>370</v>
      </c>
      <c r="C1362" s="13" t="s">
        <v>371</v>
      </c>
      <c r="D1362" s="13" t="s">
        <v>179</v>
      </c>
      <c r="E1362" s="12" t="s">
        <v>16</v>
      </c>
      <c r="F1362" s="14">
        <v>63000</v>
      </c>
      <c r="G1362" s="14">
        <v>40200</v>
      </c>
      <c r="H1362" s="13" t="s">
        <v>33436</v>
      </c>
      <c r="I1362" s="40" t="s">
        <v>18</v>
      </c>
      <c r="J1362" s="40" t="str">
        <f>HYPERLINK("https://stock.pstatic.net/stock-research/company/64/20260720_company_103609000.pdf","PDF")</f>
        <v>PDF</v>
      </c>
      <c r="K1362" s="12" t="s">
        <v>33437</v>
      </c>
      <c r="L1362" s="36">
        <v>0.56716417910447758</v>
      </c>
    </row>
    <row r="1363" spans="1:12" x14ac:dyDescent="0.45">
      <c r="A1363" s="12" t="s">
        <v>33346</v>
      </c>
      <c r="B1363" s="12" t="s">
        <v>6137</v>
      </c>
      <c r="C1363" s="13" t="s">
        <v>6138</v>
      </c>
      <c r="D1363" s="13" t="s">
        <v>124</v>
      </c>
      <c r="E1363" s="12" t="s">
        <v>50</v>
      </c>
      <c r="F1363" s="13"/>
      <c r="G1363" s="13"/>
      <c r="H1363" s="13" t="s">
        <v>33438</v>
      </c>
      <c r="I1363" s="40" t="s">
        <v>18</v>
      </c>
      <c r="J1363" s="40" t="str">
        <f>HYPERLINK("https://stock.pstatic.net/stock-research/company/74/20260720_company_191879000.pdf","PDF")</f>
        <v>PDF</v>
      </c>
      <c r="K1363" s="12" t="s">
        <v>33439</v>
      </c>
      <c r="L1363" s="12"/>
    </row>
    <row r="1364" spans="1:12" x14ac:dyDescent="0.45">
      <c r="A1364" s="12" t="s">
        <v>33346</v>
      </c>
      <c r="B1364" s="12" t="s">
        <v>22044</v>
      </c>
      <c r="C1364" s="13" t="s">
        <v>22045</v>
      </c>
      <c r="D1364" s="13" t="s">
        <v>53</v>
      </c>
      <c r="E1364" s="12" t="s">
        <v>16</v>
      </c>
      <c r="F1364" s="14">
        <v>100000</v>
      </c>
      <c r="G1364" s="14">
        <v>66000</v>
      </c>
      <c r="H1364" s="13" t="s">
        <v>33347</v>
      </c>
      <c r="I1364" s="40" t="s">
        <v>18</v>
      </c>
      <c r="J1364" s="40" t="str">
        <f>HYPERLINK("https://stock.pstatic.net/stock-research/company/40/20260720_company_648355000.pdf","PDF")</f>
        <v>PDF</v>
      </c>
      <c r="K1364" s="12" t="s">
        <v>33348</v>
      </c>
      <c r="L1364" s="36">
        <v>0.51515151515151514</v>
      </c>
    </row>
    <row r="1365" spans="1:12" x14ac:dyDescent="0.45">
      <c r="A1365" s="12" t="s">
        <v>33346</v>
      </c>
      <c r="B1365" s="12" t="s">
        <v>33349</v>
      </c>
      <c r="C1365" s="13" t="s">
        <v>33350</v>
      </c>
      <c r="D1365" s="13" t="s">
        <v>202</v>
      </c>
      <c r="E1365" s="12" t="s">
        <v>50</v>
      </c>
      <c r="F1365" s="13"/>
      <c r="G1365" s="13"/>
      <c r="H1365" s="13" t="s">
        <v>33351</v>
      </c>
      <c r="I1365" s="40" t="s">
        <v>18</v>
      </c>
      <c r="J1365" s="40" t="str">
        <f>HYPERLINK("https://stock.pstatic.net/stock-research/company/69/20260720_company_162819000.pdf","PDF")</f>
        <v>PDF</v>
      </c>
      <c r="K1365" s="12" t="s">
        <v>33352</v>
      </c>
      <c r="L1365" s="12"/>
    </row>
    <row r="1366" spans="1:12" x14ac:dyDescent="0.45">
      <c r="A1366" s="12" t="s">
        <v>33346</v>
      </c>
      <c r="B1366" s="12" t="s">
        <v>33353</v>
      </c>
      <c r="C1366" s="13" t="s">
        <v>33354</v>
      </c>
      <c r="D1366" s="13" t="s">
        <v>202</v>
      </c>
      <c r="E1366" s="12" t="s">
        <v>50</v>
      </c>
      <c r="F1366" s="13"/>
      <c r="G1366" s="13"/>
      <c r="H1366" s="13" t="s">
        <v>33355</v>
      </c>
      <c r="I1366" s="40" t="s">
        <v>18</v>
      </c>
      <c r="J1366" s="40" t="str">
        <f>HYPERLINK("https://stock.pstatic.net/stock-research/company/69/20260720_company_82550000.pdf","PDF")</f>
        <v>PDF</v>
      </c>
      <c r="K1366" s="12" t="s">
        <v>33356</v>
      </c>
      <c r="L1366" s="12"/>
    </row>
    <row r="1367" spans="1:12" x14ac:dyDescent="0.45">
      <c r="A1367" s="12" t="s">
        <v>33346</v>
      </c>
      <c r="B1367" s="12" t="s">
        <v>33357</v>
      </c>
      <c r="C1367" s="13" t="s">
        <v>33358</v>
      </c>
      <c r="D1367" s="13" t="s">
        <v>202</v>
      </c>
      <c r="E1367" s="12" t="s">
        <v>50</v>
      </c>
      <c r="F1367" s="13"/>
      <c r="G1367" s="13"/>
      <c r="H1367" s="13" t="s">
        <v>33359</v>
      </c>
      <c r="I1367" s="40" t="s">
        <v>18</v>
      </c>
      <c r="J1367" s="40" t="str">
        <f>HYPERLINK("https://stock.pstatic.net/stock-research/company/69/20260720_company_580200000.pdf","PDF")</f>
        <v>PDF</v>
      </c>
      <c r="K1367" s="12" t="s">
        <v>33360</v>
      </c>
      <c r="L1367" s="12"/>
    </row>
    <row r="1368" spans="1:12" x14ac:dyDescent="0.45">
      <c r="A1368" s="12" t="s">
        <v>33346</v>
      </c>
      <c r="B1368" s="12" t="s">
        <v>33361</v>
      </c>
      <c r="C1368" s="13" t="s">
        <v>33362</v>
      </c>
      <c r="D1368" s="13" t="s">
        <v>207</v>
      </c>
      <c r="E1368" s="12" t="s">
        <v>50</v>
      </c>
      <c r="F1368" s="13"/>
      <c r="G1368" s="13"/>
      <c r="H1368" s="13" t="s">
        <v>33363</v>
      </c>
      <c r="I1368" s="40" t="s">
        <v>18</v>
      </c>
      <c r="J1368" s="40" t="str">
        <f>HYPERLINK("https://stock.pstatic.net/stock-research/company/75/20260720_company_862698000.pdf","PDF")</f>
        <v>PDF</v>
      </c>
      <c r="K1368" s="12" t="s">
        <v>33364</v>
      </c>
      <c r="L1368" s="12"/>
    </row>
    <row r="1369" spans="1:12" x14ac:dyDescent="0.45">
      <c r="A1369" s="12" t="s">
        <v>33346</v>
      </c>
      <c r="B1369" s="12" t="s">
        <v>33365</v>
      </c>
      <c r="C1369" s="13" t="s">
        <v>33366</v>
      </c>
      <c r="D1369" s="13" t="s">
        <v>207</v>
      </c>
      <c r="E1369" s="12" t="s">
        <v>50</v>
      </c>
      <c r="F1369" s="13"/>
      <c r="G1369" s="13"/>
      <c r="H1369" s="13" t="s">
        <v>33367</v>
      </c>
      <c r="I1369" s="40" t="s">
        <v>18</v>
      </c>
      <c r="J1369" s="40" t="str">
        <f>HYPERLINK("https://stock.pstatic.net/stock-research/company/75/20260720_company_767360000.pdf","PDF")</f>
        <v>PDF</v>
      </c>
      <c r="K1369" s="12" t="s">
        <v>33368</v>
      </c>
      <c r="L1369" s="12"/>
    </row>
    <row r="1370" spans="1:12" x14ac:dyDescent="0.45">
      <c r="A1370" s="12" t="s">
        <v>33219</v>
      </c>
      <c r="B1370" s="12" t="s">
        <v>3349</v>
      </c>
      <c r="C1370" s="13" t="s">
        <v>3350</v>
      </c>
      <c r="D1370" s="13" t="s">
        <v>57</v>
      </c>
      <c r="E1370" s="12" t="s">
        <v>35</v>
      </c>
      <c r="F1370" s="14">
        <v>32000</v>
      </c>
      <c r="G1370" s="14">
        <v>17210</v>
      </c>
      <c r="H1370" s="13" t="s">
        <v>33290</v>
      </c>
      <c r="I1370" s="40" t="s">
        <v>18</v>
      </c>
      <c r="J1370" s="40" t="str">
        <f>HYPERLINK("https://stock.pstatic.net/stock-research/company/16/20260716_company_166344000.pdf","PDF")</f>
        <v>PDF</v>
      </c>
      <c r="K1370" s="12" t="s">
        <v>33291</v>
      </c>
      <c r="L1370" s="36">
        <v>0.85938407902382341</v>
      </c>
    </row>
    <row r="1371" spans="1:12" x14ac:dyDescent="0.45">
      <c r="A1371" s="12" t="s">
        <v>33219</v>
      </c>
      <c r="B1371" s="12" t="s">
        <v>3164</v>
      </c>
      <c r="C1371" s="13" t="s">
        <v>3165</v>
      </c>
      <c r="D1371" s="13" t="s">
        <v>23</v>
      </c>
      <c r="E1371" s="12" t="s">
        <v>16</v>
      </c>
      <c r="F1371" s="14">
        <v>170000</v>
      </c>
      <c r="G1371" s="14">
        <v>101400</v>
      </c>
      <c r="H1371" s="13" t="s">
        <v>33292</v>
      </c>
      <c r="I1371" s="40" t="s">
        <v>18</v>
      </c>
      <c r="J1371" s="40" t="str">
        <f>HYPERLINK("https://stock.pstatic.net/stock-research/company/21/20260716_company_531699000.pdf","PDF")</f>
        <v>PDF</v>
      </c>
      <c r="K1371" s="12" t="s">
        <v>33293</v>
      </c>
      <c r="L1371" s="36">
        <v>0.6765285996055227</v>
      </c>
    </row>
    <row r="1372" spans="1:12" x14ac:dyDescent="0.45">
      <c r="A1372" s="12" t="s">
        <v>33219</v>
      </c>
      <c r="B1372" s="12" t="s">
        <v>1344</v>
      </c>
      <c r="C1372" s="13" t="s">
        <v>1345</v>
      </c>
      <c r="D1372" s="13" t="s">
        <v>15</v>
      </c>
      <c r="E1372" s="12" t="s">
        <v>16</v>
      </c>
      <c r="F1372" s="14">
        <v>95000</v>
      </c>
      <c r="G1372" s="14">
        <v>62500</v>
      </c>
      <c r="H1372" s="13" t="s">
        <v>33294</v>
      </c>
      <c r="I1372" s="40" t="s">
        <v>18</v>
      </c>
      <c r="J1372" s="40" t="str">
        <f>HYPERLINK("https://stock.pstatic.net/stock-research/company/56/20260716_company_508548000.pdf","PDF")</f>
        <v>PDF</v>
      </c>
      <c r="K1372" s="12" t="s">
        <v>33295</v>
      </c>
      <c r="L1372" s="36">
        <v>0.52</v>
      </c>
    </row>
    <row r="1373" spans="1:12" x14ac:dyDescent="0.45">
      <c r="A1373" s="12" t="s">
        <v>33219</v>
      </c>
      <c r="B1373" s="12" t="s">
        <v>2933</v>
      </c>
      <c r="C1373" s="13" t="s">
        <v>2934</v>
      </c>
      <c r="D1373" s="13" t="s">
        <v>15</v>
      </c>
      <c r="E1373" s="12" t="s">
        <v>16</v>
      </c>
      <c r="F1373" s="14">
        <v>250000</v>
      </c>
      <c r="G1373" s="14">
        <v>168600</v>
      </c>
      <c r="H1373" s="13" t="s">
        <v>33296</v>
      </c>
      <c r="I1373" s="40" t="s">
        <v>18</v>
      </c>
      <c r="J1373" s="40" t="str">
        <f>HYPERLINK("https://stock.pstatic.net/stock-research/company/56/20260716_company_751949000.pdf","PDF")</f>
        <v>PDF</v>
      </c>
      <c r="K1373" s="12" t="s">
        <v>33297</v>
      </c>
      <c r="L1373" s="36">
        <v>0.48279952550415178</v>
      </c>
    </row>
    <row r="1374" spans="1:12" x14ac:dyDescent="0.45">
      <c r="A1374" s="12" t="s">
        <v>33219</v>
      </c>
      <c r="B1374" s="12" t="s">
        <v>4668</v>
      </c>
      <c r="C1374" s="13" t="s">
        <v>4669</v>
      </c>
      <c r="D1374" s="13" t="s">
        <v>15</v>
      </c>
      <c r="E1374" s="12" t="s">
        <v>16</v>
      </c>
      <c r="F1374" s="14">
        <v>35000</v>
      </c>
      <c r="G1374" s="14">
        <v>28000</v>
      </c>
      <c r="H1374" s="13" t="s">
        <v>33298</v>
      </c>
      <c r="I1374" s="40" t="s">
        <v>18</v>
      </c>
      <c r="J1374" s="40" t="str">
        <f>HYPERLINK("https://stock.pstatic.net/stock-research/company/56/20260716_company_778325000.pdf","PDF")</f>
        <v>PDF</v>
      </c>
      <c r="K1374" s="12" t="s">
        <v>33299</v>
      </c>
      <c r="L1374" s="36">
        <v>0.25</v>
      </c>
    </row>
    <row r="1375" spans="1:12" x14ac:dyDescent="0.45">
      <c r="A1375" s="12" t="s">
        <v>33219</v>
      </c>
      <c r="B1375" s="12" t="s">
        <v>3182</v>
      </c>
      <c r="C1375" s="13" t="s">
        <v>3183</v>
      </c>
      <c r="D1375" s="13" t="s">
        <v>15</v>
      </c>
      <c r="E1375" s="12" t="s">
        <v>16</v>
      </c>
      <c r="F1375" s="14">
        <v>1300000</v>
      </c>
      <c r="G1375" s="14">
        <v>797000</v>
      </c>
      <c r="H1375" s="13" t="s">
        <v>33300</v>
      </c>
      <c r="I1375" s="40" t="s">
        <v>18</v>
      </c>
      <c r="J1375" s="40" t="str">
        <f>HYPERLINK("https://stock.pstatic.net/stock-research/company/56/20260716_company_690765000.pdf","PDF")</f>
        <v>PDF</v>
      </c>
      <c r="K1375" s="12" t="s">
        <v>33301</v>
      </c>
      <c r="L1375" s="36">
        <v>0.6311166875784191</v>
      </c>
    </row>
    <row r="1376" spans="1:12" x14ac:dyDescent="0.45">
      <c r="A1376" s="12" t="s">
        <v>33219</v>
      </c>
      <c r="B1376" s="12" t="s">
        <v>4021</v>
      </c>
      <c r="C1376" s="13" t="s">
        <v>4022</v>
      </c>
      <c r="D1376" s="13" t="s">
        <v>15</v>
      </c>
      <c r="E1376" s="12" t="s">
        <v>16</v>
      </c>
      <c r="F1376" s="14">
        <v>230000</v>
      </c>
      <c r="G1376" s="14">
        <v>187700</v>
      </c>
      <c r="H1376" s="13" t="s">
        <v>33302</v>
      </c>
      <c r="I1376" s="40" t="s">
        <v>18</v>
      </c>
      <c r="J1376" s="40" t="str">
        <f>HYPERLINK("https://stock.pstatic.net/stock-research/company/56/20260716_company_795788000.pdf","PDF")</f>
        <v>PDF</v>
      </c>
      <c r="K1376" s="12" t="s">
        <v>33303</v>
      </c>
      <c r="L1376" s="36">
        <v>0.22535961640916349</v>
      </c>
    </row>
    <row r="1377" spans="1:12" x14ac:dyDescent="0.45">
      <c r="A1377" s="12" t="s">
        <v>33219</v>
      </c>
      <c r="B1377" s="12" t="s">
        <v>3230</v>
      </c>
      <c r="C1377" s="13" t="s">
        <v>3231</v>
      </c>
      <c r="D1377" s="13" t="s">
        <v>15</v>
      </c>
      <c r="E1377" s="12" t="s">
        <v>16</v>
      </c>
      <c r="F1377" s="14">
        <v>5000000</v>
      </c>
      <c r="G1377" s="14">
        <v>2677000</v>
      </c>
      <c r="H1377" s="13" t="s">
        <v>33304</v>
      </c>
      <c r="I1377" s="40" t="s">
        <v>18</v>
      </c>
      <c r="J1377" s="40" t="str">
        <f>HYPERLINK("https://stock.pstatic.net/stock-research/company/56/20260716_company_13402000.pdf","PDF")</f>
        <v>PDF</v>
      </c>
      <c r="K1377" s="12" t="s">
        <v>33305</v>
      </c>
      <c r="L1377" s="36">
        <v>0.86776242062009712</v>
      </c>
    </row>
    <row r="1378" spans="1:12" x14ac:dyDescent="0.45">
      <c r="A1378" s="12" t="s">
        <v>33219</v>
      </c>
      <c r="B1378" s="12" t="s">
        <v>272</v>
      </c>
      <c r="C1378" s="13" t="s">
        <v>273</v>
      </c>
      <c r="D1378" s="13" t="s">
        <v>60</v>
      </c>
      <c r="E1378" s="12" t="s">
        <v>35</v>
      </c>
      <c r="F1378" s="14">
        <v>530000</v>
      </c>
      <c r="G1378" s="14">
        <v>327500</v>
      </c>
      <c r="H1378" s="13" t="s">
        <v>33306</v>
      </c>
      <c r="I1378" s="40" t="s">
        <v>18</v>
      </c>
      <c r="J1378" s="40" t="str">
        <f>HYPERLINK("https://stock.pstatic.net/stock-research/company/62/20260716_company_928124000.pdf","PDF")</f>
        <v>PDF</v>
      </c>
      <c r="K1378" s="12" t="s">
        <v>33307</v>
      </c>
      <c r="L1378" s="36">
        <v>0.61832061068702293</v>
      </c>
    </row>
    <row r="1379" spans="1:12" x14ac:dyDescent="0.45">
      <c r="A1379" s="12" t="s">
        <v>33219</v>
      </c>
      <c r="B1379" s="12" t="s">
        <v>247</v>
      </c>
      <c r="C1379" s="13" t="s">
        <v>248</v>
      </c>
      <c r="D1379" s="13" t="s">
        <v>65</v>
      </c>
      <c r="E1379" s="12" t="s">
        <v>35</v>
      </c>
      <c r="F1379" s="14">
        <v>50000</v>
      </c>
      <c r="G1379" s="14">
        <v>17520</v>
      </c>
      <c r="H1379" s="13" t="s">
        <v>33308</v>
      </c>
      <c r="I1379" s="40" t="s">
        <v>18</v>
      </c>
      <c r="J1379" s="40" t="str">
        <f>HYPERLINK("https://stock.pstatic.net/stock-research/company/57/20260716_company_457667000.pdf","PDF")</f>
        <v>PDF</v>
      </c>
      <c r="K1379" s="12" t="s">
        <v>33309</v>
      </c>
      <c r="L1379" s="36">
        <v>1.853881278538813</v>
      </c>
    </row>
    <row r="1380" spans="1:12" x14ac:dyDescent="0.45">
      <c r="A1380" s="12" t="s">
        <v>33219</v>
      </c>
      <c r="B1380" s="12" t="s">
        <v>1690</v>
      </c>
      <c r="C1380" s="13" t="s">
        <v>1691</v>
      </c>
      <c r="D1380" s="13" t="s">
        <v>65</v>
      </c>
      <c r="E1380" s="12" t="s">
        <v>35</v>
      </c>
      <c r="F1380" s="14">
        <v>200000</v>
      </c>
      <c r="G1380" s="14">
        <v>117000</v>
      </c>
      <c r="H1380" s="13" t="s">
        <v>33310</v>
      </c>
      <c r="I1380" s="40" t="s">
        <v>18</v>
      </c>
      <c r="J1380" s="40" t="str">
        <f>HYPERLINK("https://stock.pstatic.net/stock-research/company/57/20260716_company_750726000.pdf","PDF")</f>
        <v>PDF</v>
      </c>
      <c r="K1380" s="12" t="s">
        <v>33311</v>
      </c>
      <c r="L1380" s="36">
        <v>0.70940170940170943</v>
      </c>
    </row>
    <row r="1381" spans="1:12" x14ac:dyDescent="0.45">
      <c r="A1381" s="12" t="s">
        <v>33219</v>
      </c>
      <c r="B1381" s="12" t="s">
        <v>2410</v>
      </c>
      <c r="C1381" s="13" t="s">
        <v>2411</v>
      </c>
      <c r="D1381" s="13" t="s">
        <v>65</v>
      </c>
      <c r="E1381" s="12" t="s">
        <v>50</v>
      </c>
      <c r="F1381" s="13"/>
      <c r="G1381" s="14">
        <v>19060</v>
      </c>
      <c r="H1381" s="13" t="s">
        <v>33312</v>
      </c>
      <c r="I1381" s="40" t="s">
        <v>18</v>
      </c>
      <c r="J1381" s="40" t="str">
        <f>HYPERLINK("https://stock.pstatic.net/stock-research/company/57/20260716_company_474842000.pdf","PDF")</f>
        <v>PDF</v>
      </c>
      <c r="K1381" s="12" t="s">
        <v>33313</v>
      </c>
      <c r="L1381" s="12"/>
    </row>
    <row r="1382" spans="1:12" x14ac:dyDescent="0.45">
      <c r="A1382" s="12" t="s">
        <v>33219</v>
      </c>
      <c r="B1382" s="12" t="s">
        <v>3024</v>
      </c>
      <c r="C1382" s="13" t="s">
        <v>3025</v>
      </c>
      <c r="D1382" s="13" t="s">
        <v>158</v>
      </c>
      <c r="E1382" s="12" t="s">
        <v>35</v>
      </c>
      <c r="F1382" s="14">
        <v>112000</v>
      </c>
      <c r="G1382" s="14">
        <v>51400</v>
      </c>
      <c r="H1382" s="13" t="s">
        <v>33314</v>
      </c>
      <c r="I1382" s="40" t="s">
        <v>18</v>
      </c>
      <c r="J1382" s="40" t="str">
        <f>HYPERLINK("https://stock.pstatic.net/stock-research/company/18/20260716_company_334588000.pdf","PDF")</f>
        <v>PDF</v>
      </c>
      <c r="K1382" s="12" t="s">
        <v>33315</v>
      </c>
      <c r="L1382" s="36">
        <v>1.1789883268482491</v>
      </c>
    </row>
    <row r="1383" spans="1:12" x14ac:dyDescent="0.45">
      <c r="A1383" s="12" t="s">
        <v>33219</v>
      </c>
      <c r="B1383" s="12" t="s">
        <v>3164</v>
      </c>
      <c r="C1383" s="13" t="s">
        <v>3165</v>
      </c>
      <c r="D1383" s="13" t="s">
        <v>15</v>
      </c>
      <c r="E1383" s="12" t="s">
        <v>16</v>
      </c>
      <c r="F1383" s="14">
        <v>175000</v>
      </c>
      <c r="G1383" s="14">
        <v>101400</v>
      </c>
      <c r="H1383" s="13" t="s">
        <v>33316</v>
      </c>
      <c r="I1383" s="40" t="s">
        <v>18</v>
      </c>
      <c r="J1383" s="40" t="str">
        <f>HYPERLINK("https://stock.pstatic.net/stock-research/company/56/20260716_company_337398000.pdf","PDF")</f>
        <v>PDF</v>
      </c>
      <c r="K1383" s="12" t="s">
        <v>33317</v>
      </c>
      <c r="L1383" s="36">
        <v>0.7258382642998028</v>
      </c>
    </row>
    <row r="1384" spans="1:12" x14ac:dyDescent="0.45">
      <c r="A1384" s="12" t="s">
        <v>33219</v>
      </c>
      <c r="B1384" s="12" t="s">
        <v>1258</v>
      </c>
      <c r="C1384" s="13" t="s">
        <v>1259</v>
      </c>
      <c r="D1384" s="13" t="s">
        <v>83</v>
      </c>
      <c r="E1384" s="12" t="s">
        <v>35</v>
      </c>
      <c r="F1384" s="14">
        <v>870000</v>
      </c>
      <c r="G1384" s="14">
        <v>661000</v>
      </c>
      <c r="H1384" s="13" t="s">
        <v>33318</v>
      </c>
      <c r="I1384" s="40" t="s">
        <v>18</v>
      </c>
      <c r="J1384" s="40" t="str">
        <f>HYPERLINK("https://stock.pstatic.net/stock-research/company/15/20260716_company_918845000.pdf","PDF")</f>
        <v>PDF</v>
      </c>
      <c r="K1384" s="12" t="s">
        <v>33319</v>
      </c>
      <c r="L1384" s="36">
        <v>0.31618759455370649</v>
      </c>
    </row>
    <row r="1385" spans="1:12" x14ac:dyDescent="0.45">
      <c r="A1385" s="12" t="s">
        <v>33219</v>
      </c>
      <c r="B1385" s="12" t="s">
        <v>33320</v>
      </c>
      <c r="C1385" s="13" t="s">
        <v>33321</v>
      </c>
      <c r="D1385" s="13" t="s">
        <v>23</v>
      </c>
      <c r="E1385" s="12" t="s">
        <v>50</v>
      </c>
      <c r="F1385" s="14">
        <v>130000</v>
      </c>
      <c r="G1385" s="14">
        <v>79900</v>
      </c>
      <c r="H1385" s="13" t="s">
        <v>33322</v>
      </c>
      <c r="I1385" s="40" t="s">
        <v>18</v>
      </c>
      <c r="J1385" s="40" t="str">
        <f>HYPERLINK("https://stock.pstatic.net/stock-research/company/21/20260716_company_644309000.pdf","PDF")</f>
        <v>PDF</v>
      </c>
      <c r="K1385" s="12" t="s">
        <v>33323</v>
      </c>
      <c r="L1385" s="36">
        <v>0.62703379224030042</v>
      </c>
    </row>
    <row r="1386" spans="1:12" x14ac:dyDescent="0.45">
      <c r="A1386" s="12" t="s">
        <v>33219</v>
      </c>
      <c r="B1386" s="12" t="s">
        <v>272</v>
      </c>
      <c r="C1386" s="13" t="s">
        <v>273</v>
      </c>
      <c r="D1386" s="13" t="s">
        <v>23</v>
      </c>
      <c r="E1386" s="12" t="s">
        <v>16</v>
      </c>
      <c r="F1386" s="14">
        <v>430000</v>
      </c>
      <c r="G1386" s="14">
        <v>327500</v>
      </c>
      <c r="H1386" s="13" t="s">
        <v>33324</v>
      </c>
      <c r="I1386" s="40" t="s">
        <v>18</v>
      </c>
      <c r="J1386" s="40" t="str">
        <f>HYPERLINK("https://stock.pstatic.net/stock-research/company/21/20260716_company_21027000.pdf","PDF")</f>
        <v>PDF</v>
      </c>
      <c r="K1386" s="12" t="s">
        <v>33325</v>
      </c>
      <c r="L1386" s="36">
        <v>0.31297709923664119</v>
      </c>
    </row>
    <row r="1387" spans="1:12" x14ac:dyDescent="0.45">
      <c r="A1387" s="12" t="s">
        <v>33219</v>
      </c>
      <c r="B1387" s="12" t="s">
        <v>4846</v>
      </c>
      <c r="C1387" s="13" t="s">
        <v>4847</v>
      </c>
      <c r="D1387" s="13" t="s">
        <v>23</v>
      </c>
      <c r="E1387" s="12" t="s">
        <v>50</v>
      </c>
      <c r="F1387" s="13"/>
      <c r="G1387" s="14">
        <v>48350</v>
      </c>
      <c r="H1387" s="13" t="s">
        <v>33326</v>
      </c>
      <c r="I1387" s="40" t="s">
        <v>18</v>
      </c>
      <c r="J1387" s="40" t="str">
        <f>HYPERLINK("https://stock.pstatic.net/stock-research/company/21/20260716_company_345842000.pdf","PDF")</f>
        <v>PDF</v>
      </c>
      <c r="K1387" s="12" t="s">
        <v>33327</v>
      </c>
      <c r="L1387" s="12"/>
    </row>
    <row r="1388" spans="1:12" x14ac:dyDescent="0.45">
      <c r="A1388" s="12" t="s">
        <v>33219</v>
      </c>
      <c r="B1388" s="12" t="s">
        <v>3349</v>
      </c>
      <c r="C1388" s="13" t="s">
        <v>3350</v>
      </c>
      <c r="D1388" s="13" t="s">
        <v>23</v>
      </c>
      <c r="E1388" s="12" t="s">
        <v>16</v>
      </c>
      <c r="F1388" s="14">
        <v>29000</v>
      </c>
      <c r="G1388" s="14">
        <v>17210</v>
      </c>
      <c r="H1388" s="13" t="s">
        <v>33328</v>
      </c>
      <c r="I1388" s="40" t="s">
        <v>18</v>
      </c>
      <c r="J1388" s="40" t="str">
        <f>HYPERLINK("https://stock.pstatic.net/stock-research/company/21/20260716_company_558189000.pdf","PDF")</f>
        <v>PDF</v>
      </c>
      <c r="K1388" s="12" t="s">
        <v>33329</v>
      </c>
      <c r="L1388" s="36">
        <v>0.68506682161533994</v>
      </c>
    </row>
    <row r="1389" spans="1:12" x14ac:dyDescent="0.45">
      <c r="A1389" s="12" t="s">
        <v>33219</v>
      </c>
      <c r="B1389" s="12" t="s">
        <v>1140</v>
      </c>
      <c r="C1389" s="13" t="s">
        <v>1141</v>
      </c>
      <c r="D1389" s="13" t="s">
        <v>23</v>
      </c>
      <c r="E1389" s="12" t="s">
        <v>16</v>
      </c>
      <c r="F1389" s="14">
        <v>45000</v>
      </c>
      <c r="G1389" s="14">
        <v>33900</v>
      </c>
      <c r="H1389" s="13" t="s">
        <v>33330</v>
      </c>
      <c r="I1389" s="40" t="s">
        <v>18</v>
      </c>
      <c r="J1389" s="40" t="str">
        <f>HYPERLINK("https://stock.pstatic.net/stock-research/company/21/20260716_company_568178000.pdf","PDF")</f>
        <v>PDF</v>
      </c>
      <c r="K1389" s="12" t="s">
        <v>33331</v>
      </c>
      <c r="L1389" s="36">
        <v>0.32743362831858408</v>
      </c>
    </row>
    <row r="1390" spans="1:12" x14ac:dyDescent="0.45">
      <c r="A1390" s="12" t="s">
        <v>33219</v>
      </c>
      <c r="B1390" s="12" t="s">
        <v>3018</v>
      </c>
      <c r="C1390" s="13" t="s">
        <v>3019</v>
      </c>
      <c r="D1390" s="13" t="s">
        <v>23</v>
      </c>
      <c r="E1390" s="12" t="s">
        <v>16</v>
      </c>
      <c r="F1390" s="14">
        <v>19000</v>
      </c>
      <c r="G1390" s="14">
        <v>14300</v>
      </c>
      <c r="H1390" s="13" t="s">
        <v>33332</v>
      </c>
      <c r="I1390" s="40" t="s">
        <v>18</v>
      </c>
      <c r="J1390" s="40" t="str">
        <f>HYPERLINK("https://stock.pstatic.net/stock-research/company/21/20260716_company_449810000.pdf","PDF")</f>
        <v>PDF</v>
      </c>
      <c r="K1390" s="12" t="s">
        <v>33333</v>
      </c>
      <c r="L1390" s="36">
        <v>0.32867132867132859</v>
      </c>
    </row>
    <row r="1391" spans="1:12" x14ac:dyDescent="0.45">
      <c r="A1391" s="12" t="s">
        <v>33219</v>
      </c>
      <c r="B1391" s="12" t="s">
        <v>768</v>
      </c>
      <c r="C1391" s="13" t="s">
        <v>769</v>
      </c>
      <c r="D1391" s="13" t="s">
        <v>23</v>
      </c>
      <c r="E1391" s="12" t="s">
        <v>16</v>
      </c>
      <c r="F1391" s="14">
        <v>240000</v>
      </c>
      <c r="G1391" s="14">
        <v>179800</v>
      </c>
      <c r="H1391" s="13" t="s">
        <v>33334</v>
      </c>
      <c r="I1391" s="40" t="s">
        <v>18</v>
      </c>
      <c r="J1391" s="40" t="str">
        <f>HYPERLINK("https://stock.pstatic.net/stock-research/company/21/20260716_company_183222000.pdf","PDF")</f>
        <v>PDF</v>
      </c>
      <c r="K1391" s="12" t="s">
        <v>33335</v>
      </c>
      <c r="L1391" s="36">
        <v>0.33481646273637372</v>
      </c>
    </row>
    <row r="1392" spans="1:12" x14ac:dyDescent="0.45">
      <c r="A1392" s="12" t="s">
        <v>33219</v>
      </c>
      <c r="B1392" s="12" t="s">
        <v>3079</v>
      </c>
      <c r="C1392" s="13" t="s">
        <v>3080</v>
      </c>
      <c r="D1392" s="13" t="s">
        <v>23</v>
      </c>
      <c r="E1392" s="12" t="s">
        <v>16</v>
      </c>
      <c r="F1392" s="14">
        <v>60000</v>
      </c>
      <c r="G1392" s="14">
        <v>33350</v>
      </c>
      <c r="H1392" s="13" t="s">
        <v>33336</v>
      </c>
      <c r="I1392" s="40" t="s">
        <v>18</v>
      </c>
      <c r="J1392" s="40" t="str">
        <f>HYPERLINK("https://stock.pstatic.net/stock-research/company/21/20260716_company_668636000.pdf","PDF")</f>
        <v>PDF</v>
      </c>
      <c r="K1392" s="12" t="s">
        <v>33337</v>
      </c>
      <c r="L1392" s="36">
        <v>0.79910044977511241</v>
      </c>
    </row>
    <row r="1393" spans="1:12" x14ac:dyDescent="0.45">
      <c r="A1393" s="12" t="s">
        <v>33219</v>
      </c>
      <c r="B1393" s="12" t="s">
        <v>352</v>
      </c>
      <c r="C1393" s="13" t="s">
        <v>353</v>
      </c>
      <c r="D1393" s="13" t="s">
        <v>44</v>
      </c>
      <c r="E1393" s="12" t="s">
        <v>35</v>
      </c>
      <c r="F1393" s="14">
        <v>340000</v>
      </c>
      <c r="G1393" s="14">
        <v>167700</v>
      </c>
      <c r="H1393" s="13" t="s">
        <v>33338</v>
      </c>
      <c r="I1393" s="40" t="s">
        <v>18</v>
      </c>
      <c r="J1393" s="40" t="str">
        <f>HYPERLINK("https://stock.pstatic.net/stock-research/company/39/20260716_company_383169000.pdf","PDF")</f>
        <v>PDF</v>
      </c>
      <c r="K1393" s="12" t="s">
        <v>33339</v>
      </c>
      <c r="L1393" s="36">
        <v>1.0274299344066791</v>
      </c>
    </row>
    <row r="1394" spans="1:12" x14ac:dyDescent="0.45">
      <c r="A1394" s="12" t="s">
        <v>33219</v>
      </c>
      <c r="B1394" s="12" t="s">
        <v>63</v>
      </c>
      <c r="C1394" s="13" t="s">
        <v>64</v>
      </c>
      <c r="D1394" s="13" t="s">
        <v>53</v>
      </c>
      <c r="E1394" s="12" t="s">
        <v>16</v>
      </c>
      <c r="F1394" s="14">
        <v>530000</v>
      </c>
      <c r="G1394" s="14">
        <v>384500</v>
      </c>
      <c r="H1394" s="13" t="s">
        <v>33340</v>
      </c>
      <c r="I1394" s="40" t="s">
        <v>18</v>
      </c>
      <c r="J1394" s="40" t="str">
        <f>HYPERLINK("https://stock.pstatic.net/stock-research/company/40/20260716_company_19867000.pdf","PDF")</f>
        <v>PDF</v>
      </c>
      <c r="K1394" s="12" t="s">
        <v>33341</v>
      </c>
      <c r="L1394" s="36">
        <v>0.37841352405721718</v>
      </c>
    </row>
    <row r="1395" spans="1:12" x14ac:dyDescent="0.45">
      <c r="A1395" s="12" t="s">
        <v>33219</v>
      </c>
      <c r="B1395" s="12" t="s">
        <v>3230</v>
      </c>
      <c r="C1395" s="13" t="s">
        <v>3231</v>
      </c>
      <c r="D1395" s="13" t="s">
        <v>179</v>
      </c>
      <c r="E1395" s="12" t="s">
        <v>16</v>
      </c>
      <c r="F1395" s="14">
        <v>4000000</v>
      </c>
      <c r="G1395" s="14">
        <v>2677000</v>
      </c>
      <c r="H1395" s="13" t="s">
        <v>33342</v>
      </c>
      <c r="I1395" s="40" t="s">
        <v>18</v>
      </c>
      <c r="J1395" s="40" t="str">
        <f>HYPERLINK("https://stock.pstatic.net/stock-research/company/64/20260716_company_837747000.pdf","PDF")</f>
        <v>PDF</v>
      </c>
      <c r="K1395" s="12" t="s">
        <v>33343</v>
      </c>
      <c r="L1395" s="36">
        <v>0.4942099364960777</v>
      </c>
    </row>
    <row r="1396" spans="1:12" x14ac:dyDescent="0.45">
      <c r="A1396" s="12" t="s">
        <v>33219</v>
      </c>
      <c r="B1396" s="12" t="s">
        <v>32</v>
      </c>
      <c r="C1396" s="13" t="s">
        <v>33</v>
      </c>
      <c r="D1396" s="13" t="s">
        <v>53</v>
      </c>
      <c r="E1396" s="12" t="s">
        <v>35</v>
      </c>
      <c r="F1396" s="13"/>
      <c r="G1396" s="14">
        <v>1413000</v>
      </c>
      <c r="H1396" s="13" t="s">
        <v>33220</v>
      </c>
      <c r="I1396" s="40" t="s">
        <v>18</v>
      </c>
      <c r="J1396" s="40" t="str">
        <f>HYPERLINK("https://stock.pstatic.net/stock-research/company/40/20260716_company_281952000.pdf","PDF")</f>
        <v>PDF</v>
      </c>
      <c r="K1396" s="12" t="s">
        <v>33221</v>
      </c>
      <c r="L1396" s="12"/>
    </row>
    <row r="1397" spans="1:12" x14ac:dyDescent="0.45">
      <c r="A1397" s="12" t="s">
        <v>33219</v>
      </c>
      <c r="B1397" s="12" t="s">
        <v>728</v>
      </c>
      <c r="C1397" s="13" t="s">
        <v>729</v>
      </c>
      <c r="D1397" s="13" t="s">
        <v>44</v>
      </c>
      <c r="E1397" s="12" t="s">
        <v>45</v>
      </c>
      <c r="F1397" s="14">
        <v>80000</v>
      </c>
      <c r="G1397" s="14">
        <v>67900</v>
      </c>
      <c r="H1397" s="13" t="s">
        <v>33222</v>
      </c>
      <c r="I1397" s="40" t="s">
        <v>18</v>
      </c>
      <c r="J1397" s="40" t="str">
        <f>HYPERLINK("https://stock.pstatic.net/stock-research/company/39/20260716_company_354768000.pdf","PDF")</f>
        <v>PDF</v>
      </c>
      <c r="K1397" s="12" t="s">
        <v>33223</v>
      </c>
      <c r="L1397" s="36">
        <v>0.1782032400589102</v>
      </c>
    </row>
    <row r="1398" spans="1:12" x14ac:dyDescent="0.45">
      <c r="A1398" s="12" t="s">
        <v>33219</v>
      </c>
      <c r="B1398" s="12" t="s">
        <v>17845</v>
      </c>
      <c r="C1398" s="13" t="s">
        <v>17846</v>
      </c>
      <c r="D1398" s="13" t="s">
        <v>44</v>
      </c>
      <c r="E1398" s="12" t="s">
        <v>50</v>
      </c>
      <c r="F1398" s="13"/>
      <c r="G1398" s="14">
        <v>10330</v>
      </c>
      <c r="H1398" s="13" t="s">
        <v>33224</v>
      </c>
      <c r="I1398" s="40" t="s">
        <v>18</v>
      </c>
      <c r="J1398" s="40" t="str">
        <f>HYPERLINK("https://stock.pstatic.net/stock-research/company/39/20260716_company_781516000.pdf","PDF")</f>
        <v>PDF</v>
      </c>
      <c r="K1398" s="12" t="s">
        <v>33225</v>
      </c>
      <c r="L1398" s="12"/>
    </row>
    <row r="1399" spans="1:12" x14ac:dyDescent="0.45">
      <c r="A1399" s="12" t="s">
        <v>33219</v>
      </c>
      <c r="B1399" s="12" t="s">
        <v>272</v>
      </c>
      <c r="C1399" s="13" t="s">
        <v>273</v>
      </c>
      <c r="D1399" s="13" t="s">
        <v>44</v>
      </c>
      <c r="E1399" s="12" t="s">
        <v>35</v>
      </c>
      <c r="F1399" s="14">
        <v>510000</v>
      </c>
      <c r="G1399" s="14">
        <v>327500</v>
      </c>
      <c r="H1399" s="13" t="s">
        <v>33226</v>
      </c>
      <c r="I1399" s="40" t="s">
        <v>18</v>
      </c>
      <c r="J1399" s="40" t="str">
        <f>HYPERLINK("https://stock.pstatic.net/stock-research/company/39/20260716_company_877302000.pdf","PDF")</f>
        <v>PDF</v>
      </c>
      <c r="K1399" s="12" t="s">
        <v>33227</v>
      </c>
      <c r="L1399" s="36">
        <v>0.5572519083969466</v>
      </c>
    </row>
    <row r="1400" spans="1:12" x14ac:dyDescent="0.45">
      <c r="A1400" s="12" t="s">
        <v>33219</v>
      </c>
      <c r="B1400" s="12" t="s">
        <v>1694</v>
      </c>
      <c r="C1400" s="13" t="s">
        <v>1695</v>
      </c>
      <c r="D1400" s="13" t="s">
        <v>44</v>
      </c>
      <c r="E1400" s="12" t="s">
        <v>35</v>
      </c>
      <c r="F1400" s="14">
        <v>58000</v>
      </c>
      <c r="G1400" s="14">
        <v>45550</v>
      </c>
      <c r="H1400" s="13" t="s">
        <v>33228</v>
      </c>
      <c r="I1400" s="40" t="s">
        <v>18</v>
      </c>
      <c r="J1400" s="40" t="str">
        <f>HYPERLINK("https://stock.pstatic.net/stock-research/company/39/20260716_company_300078000.pdf","PDF")</f>
        <v>PDF</v>
      </c>
      <c r="K1400" s="12" t="s">
        <v>33229</v>
      </c>
      <c r="L1400" s="36">
        <v>0.27332601536772783</v>
      </c>
    </row>
    <row r="1401" spans="1:12" x14ac:dyDescent="0.45">
      <c r="A1401" s="12" t="s">
        <v>33219</v>
      </c>
      <c r="B1401" s="12" t="s">
        <v>16623</v>
      </c>
      <c r="C1401" s="13" t="s">
        <v>16624</v>
      </c>
      <c r="D1401" s="13" t="s">
        <v>124</v>
      </c>
      <c r="E1401" s="12" t="s">
        <v>50</v>
      </c>
      <c r="F1401" s="13"/>
      <c r="G1401" s="13"/>
      <c r="H1401" s="13" t="s">
        <v>33230</v>
      </c>
      <c r="I1401" s="40" t="s">
        <v>18</v>
      </c>
      <c r="J1401" s="40" t="str">
        <f>HYPERLINK("https://stock.pstatic.net/stock-research/company/74/20260716_company_10964000.pdf","PDF")</f>
        <v>PDF</v>
      </c>
      <c r="K1401" s="12" t="s">
        <v>33231</v>
      </c>
      <c r="L1401" s="12"/>
    </row>
    <row r="1402" spans="1:12" x14ac:dyDescent="0.45">
      <c r="A1402" s="12" t="s">
        <v>33219</v>
      </c>
      <c r="B1402" s="12" t="s">
        <v>1176</v>
      </c>
      <c r="C1402" s="13" t="s">
        <v>1177</v>
      </c>
      <c r="D1402" s="13" t="s">
        <v>53</v>
      </c>
      <c r="E1402" s="12" t="s">
        <v>16</v>
      </c>
      <c r="F1402" s="14">
        <v>19000</v>
      </c>
      <c r="G1402" s="14">
        <v>13660</v>
      </c>
      <c r="H1402" s="13" t="s">
        <v>33232</v>
      </c>
      <c r="I1402" s="40" t="s">
        <v>18</v>
      </c>
      <c r="J1402" s="40" t="str">
        <f>HYPERLINK("https://stock.pstatic.net/stock-research/company/40/20260716_company_713277000.pdf","PDF")</f>
        <v>PDF</v>
      </c>
      <c r="K1402" s="12" t="s">
        <v>33233</v>
      </c>
      <c r="L1402" s="36">
        <v>0.39092240117130311</v>
      </c>
    </row>
    <row r="1403" spans="1:12" x14ac:dyDescent="0.45">
      <c r="A1403" s="12" t="s">
        <v>33113</v>
      </c>
      <c r="B1403" s="12" t="s">
        <v>3548</v>
      </c>
      <c r="C1403" s="13" t="s">
        <v>3549</v>
      </c>
      <c r="D1403" s="13" t="s">
        <v>57</v>
      </c>
      <c r="E1403" s="12" t="s">
        <v>35</v>
      </c>
      <c r="F1403" s="14">
        <v>100000</v>
      </c>
      <c r="G1403" s="14">
        <v>57600</v>
      </c>
      <c r="H1403" s="13" t="s">
        <v>33234</v>
      </c>
      <c r="I1403" s="40" t="s">
        <v>18</v>
      </c>
      <c r="J1403" s="40" t="str">
        <f>HYPERLINK("https://stock.pstatic.net/stock-research/company/16/20260715_company_914334000.pdf","PDF")</f>
        <v>PDF</v>
      </c>
      <c r="K1403" s="12" t="s">
        <v>33235</v>
      </c>
      <c r="L1403" s="36">
        <v>0.73611111111111116</v>
      </c>
    </row>
    <row r="1404" spans="1:12" x14ac:dyDescent="0.45">
      <c r="A1404" s="12" t="s">
        <v>33113</v>
      </c>
      <c r="B1404" s="12" t="s">
        <v>2231</v>
      </c>
      <c r="C1404" s="13" t="s">
        <v>2232</v>
      </c>
      <c r="D1404" s="13" t="s">
        <v>57</v>
      </c>
      <c r="E1404" s="12" t="s">
        <v>35</v>
      </c>
      <c r="F1404" s="14">
        <v>150000</v>
      </c>
      <c r="G1404" s="14">
        <v>94200</v>
      </c>
      <c r="H1404" s="13" t="s">
        <v>33236</v>
      </c>
      <c r="I1404" s="40" t="s">
        <v>18</v>
      </c>
      <c r="J1404" s="40" t="str">
        <f>HYPERLINK("https://stock.pstatic.net/stock-research/company/16/20260715_company_220313000.pdf","PDF")</f>
        <v>PDF</v>
      </c>
      <c r="K1404" s="12" t="s">
        <v>33237</v>
      </c>
      <c r="L1404" s="36">
        <v>0.59235668789808915</v>
      </c>
    </row>
    <row r="1405" spans="1:12" x14ac:dyDescent="0.45">
      <c r="A1405" s="12" t="s">
        <v>33113</v>
      </c>
      <c r="B1405" s="12" t="s">
        <v>1262</v>
      </c>
      <c r="C1405" s="13" t="s">
        <v>1263</v>
      </c>
      <c r="D1405" s="13" t="s">
        <v>57</v>
      </c>
      <c r="E1405" s="12" t="s">
        <v>35</v>
      </c>
      <c r="F1405" s="14">
        <v>6100</v>
      </c>
      <c r="G1405" s="14">
        <v>4355</v>
      </c>
      <c r="H1405" s="13" t="s">
        <v>33238</v>
      </c>
      <c r="I1405" s="40" t="s">
        <v>18</v>
      </c>
      <c r="J1405" s="40" t="str">
        <f>HYPERLINK("https://stock.pstatic.net/stock-research/company/16/20260715_company_902841000.pdf","PDF")</f>
        <v>PDF</v>
      </c>
      <c r="K1405" s="12" t="s">
        <v>33239</v>
      </c>
      <c r="L1405" s="36">
        <v>0.40068886337543053</v>
      </c>
    </row>
    <row r="1406" spans="1:12" x14ac:dyDescent="0.45">
      <c r="A1406" s="12" t="s">
        <v>33113</v>
      </c>
      <c r="B1406" s="12" t="s">
        <v>2982</v>
      </c>
      <c r="C1406" s="13" t="s">
        <v>2983</v>
      </c>
      <c r="D1406" s="13" t="s">
        <v>60</v>
      </c>
      <c r="E1406" s="12" t="s">
        <v>35</v>
      </c>
      <c r="F1406" s="14">
        <v>73000</v>
      </c>
      <c r="G1406" s="14">
        <v>59500</v>
      </c>
      <c r="H1406" s="13" t="s">
        <v>33240</v>
      </c>
      <c r="I1406" s="40" t="s">
        <v>18</v>
      </c>
      <c r="J1406" s="40" t="str">
        <f>HYPERLINK("https://stock.pstatic.net/stock-research/company/62/20260715_company_983511000.pdf","PDF")</f>
        <v>PDF</v>
      </c>
      <c r="K1406" s="12" t="s">
        <v>33241</v>
      </c>
      <c r="L1406" s="36">
        <v>0.22689075630252101</v>
      </c>
    </row>
    <row r="1407" spans="1:12" x14ac:dyDescent="0.45">
      <c r="A1407" s="12" t="s">
        <v>33113</v>
      </c>
      <c r="B1407" s="12" t="s">
        <v>772</v>
      </c>
      <c r="C1407" s="13" t="s">
        <v>773</v>
      </c>
      <c r="D1407" s="13" t="s">
        <v>65</v>
      </c>
      <c r="E1407" s="12" t="s">
        <v>35</v>
      </c>
      <c r="F1407" s="14">
        <v>80000</v>
      </c>
      <c r="G1407" s="14">
        <v>23900</v>
      </c>
      <c r="H1407" s="13" t="s">
        <v>33242</v>
      </c>
      <c r="I1407" s="40" t="s">
        <v>18</v>
      </c>
      <c r="J1407" s="40" t="str">
        <f>HYPERLINK("https://stock.pstatic.net/stock-research/company/57/20260715_company_360241000.pdf","PDF")</f>
        <v>PDF</v>
      </c>
      <c r="K1407" s="12" t="s">
        <v>33243</v>
      </c>
      <c r="L1407" s="36">
        <v>2.3472803347280329</v>
      </c>
    </row>
    <row r="1408" spans="1:12" x14ac:dyDescent="0.45">
      <c r="A1408" s="12" t="s">
        <v>33113</v>
      </c>
      <c r="B1408" s="12" t="s">
        <v>669</v>
      </c>
      <c r="C1408" s="13" t="s">
        <v>670</v>
      </c>
      <c r="D1408" s="13" t="s">
        <v>65</v>
      </c>
      <c r="E1408" s="12" t="s">
        <v>35</v>
      </c>
      <c r="F1408" s="14">
        <v>60000</v>
      </c>
      <c r="G1408" s="14">
        <v>15200</v>
      </c>
      <c r="H1408" s="13" t="s">
        <v>33244</v>
      </c>
      <c r="I1408" s="40" t="s">
        <v>18</v>
      </c>
      <c r="J1408" s="40" t="str">
        <f>HYPERLINK("https://stock.pstatic.net/stock-research/company/57/20260715_company_56406000.pdf","PDF")</f>
        <v>PDF</v>
      </c>
      <c r="K1408" s="12" t="s">
        <v>33245</v>
      </c>
      <c r="L1408" s="36">
        <v>2.947368421052631</v>
      </c>
    </row>
    <row r="1409" spans="1:12" x14ac:dyDescent="0.45">
      <c r="A1409" s="12" t="s">
        <v>33113</v>
      </c>
      <c r="B1409" s="12" t="s">
        <v>268</v>
      </c>
      <c r="C1409" s="13" t="s">
        <v>269</v>
      </c>
      <c r="D1409" s="13" t="s">
        <v>65</v>
      </c>
      <c r="E1409" s="12" t="s">
        <v>35</v>
      </c>
      <c r="F1409" s="14">
        <v>580000</v>
      </c>
      <c r="G1409" s="14">
        <v>279500</v>
      </c>
      <c r="H1409" s="13" t="s">
        <v>33246</v>
      </c>
      <c r="I1409" s="40" t="s">
        <v>18</v>
      </c>
      <c r="J1409" s="40" t="str">
        <f>HYPERLINK("https://stock.pstatic.net/stock-research/company/57/20260715_company_596763000.pdf","PDF")</f>
        <v>PDF</v>
      </c>
      <c r="K1409" s="12" t="s">
        <v>33247</v>
      </c>
      <c r="L1409" s="36">
        <v>1.075134168157424</v>
      </c>
    </row>
    <row r="1410" spans="1:12" x14ac:dyDescent="0.45">
      <c r="A1410" s="12" t="s">
        <v>33113</v>
      </c>
      <c r="B1410" s="12" t="s">
        <v>4206</v>
      </c>
      <c r="C1410" s="13" t="s">
        <v>4207</v>
      </c>
      <c r="D1410" s="13" t="s">
        <v>65</v>
      </c>
      <c r="E1410" s="12" t="s">
        <v>35</v>
      </c>
      <c r="F1410" s="14">
        <v>60000</v>
      </c>
      <c r="G1410" s="14">
        <v>36700</v>
      </c>
      <c r="H1410" s="13" t="s">
        <v>33248</v>
      </c>
      <c r="I1410" s="40" t="s">
        <v>18</v>
      </c>
      <c r="J1410" s="40" t="str">
        <f>HYPERLINK("https://stock.pstatic.net/stock-research/company/57/20260715_company_614289000.pdf","PDF")</f>
        <v>PDF</v>
      </c>
      <c r="K1410" s="12" t="s">
        <v>33249</v>
      </c>
      <c r="L1410" s="36">
        <v>0.63487738419618533</v>
      </c>
    </row>
    <row r="1411" spans="1:12" x14ac:dyDescent="0.45">
      <c r="A1411" s="12" t="s">
        <v>33113</v>
      </c>
      <c r="B1411" s="12" t="s">
        <v>3831</v>
      </c>
      <c r="C1411" s="13" t="s">
        <v>3832</v>
      </c>
      <c r="D1411" s="13" t="s">
        <v>65</v>
      </c>
      <c r="E1411" s="12" t="s">
        <v>35</v>
      </c>
      <c r="F1411" s="14">
        <v>69000</v>
      </c>
      <c r="G1411" s="14">
        <v>44850</v>
      </c>
      <c r="H1411" s="13" t="s">
        <v>33250</v>
      </c>
      <c r="I1411" s="40" t="s">
        <v>18</v>
      </c>
      <c r="J1411" s="40" t="str">
        <f>HYPERLINK("https://stock.pstatic.net/stock-research/company/57/20260715_company_219087000.pdf","PDF")</f>
        <v>PDF</v>
      </c>
      <c r="K1411" s="12" t="s">
        <v>33251</v>
      </c>
      <c r="L1411" s="36">
        <v>0.53846153846153844</v>
      </c>
    </row>
    <row r="1412" spans="1:12" x14ac:dyDescent="0.45">
      <c r="A1412" s="12" t="s">
        <v>33113</v>
      </c>
      <c r="B1412" s="12" t="s">
        <v>1300</v>
      </c>
      <c r="C1412" s="13" t="s">
        <v>1301</v>
      </c>
      <c r="D1412" s="13" t="s">
        <v>65</v>
      </c>
      <c r="E1412" s="12" t="s">
        <v>35</v>
      </c>
      <c r="F1412" s="14">
        <v>200000</v>
      </c>
      <c r="G1412" s="14">
        <v>118500</v>
      </c>
      <c r="H1412" s="13" t="s">
        <v>33252</v>
      </c>
      <c r="I1412" s="40" t="s">
        <v>18</v>
      </c>
      <c r="J1412" s="40" t="str">
        <f>HYPERLINK("https://stock.pstatic.net/stock-research/company/57/20260715_company_388787000.pdf","PDF")</f>
        <v>PDF</v>
      </c>
      <c r="K1412" s="12" t="s">
        <v>33253</v>
      </c>
      <c r="L1412" s="36">
        <v>0.68776371308016881</v>
      </c>
    </row>
    <row r="1413" spans="1:12" x14ac:dyDescent="0.45">
      <c r="A1413" s="12" t="s">
        <v>33113</v>
      </c>
      <c r="B1413" s="12" t="s">
        <v>3530</v>
      </c>
      <c r="C1413" s="13" t="s">
        <v>3531</v>
      </c>
      <c r="D1413" s="13" t="s">
        <v>65</v>
      </c>
      <c r="E1413" s="12" t="s">
        <v>35</v>
      </c>
      <c r="F1413" s="14">
        <v>14000</v>
      </c>
      <c r="G1413" s="14">
        <v>8280</v>
      </c>
      <c r="H1413" s="13" t="s">
        <v>33254</v>
      </c>
      <c r="I1413" s="40" t="s">
        <v>18</v>
      </c>
      <c r="J1413" s="40" t="str">
        <f>HYPERLINK("https://stock.pstatic.net/stock-research/company/57/20260715_company_117112000.pdf","PDF")</f>
        <v>PDF</v>
      </c>
      <c r="K1413" s="12" t="s">
        <v>33255</v>
      </c>
      <c r="L1413" s="36">
        <v>0.6908212560386473</v>
      </c>
    </row>
    <row r="1414" spans="1:12" x14ac:dyDescent="0.45">
      <c r="A1414" s="12" t="s">
        <v>33113</v>
      </c>
      <c r="B1414" s="12" t="s">
        <v>2425</v>
      </c>
      <c r="C1414" s="13" t="s">
        <v>2426</v>
      </c>
      <c r="D1414" s="13" t="s">
        <v>65</v>
      </c>
      <c r="E1414" s="12" t="s">
        <v>35</v>
      </c>
      <c r="F1414" s="14">
        <v>210000</v>
      </c>
      <c r="G1414" s="14">
        <v>171000</v>
      </c>
      <c r="H1414" s="13" t="s">
        <v>33256</v>
      </c>
      <c r="I1414" s="40" t="s">
        <v>18</v>
      </c>
      <c r="J1414" s="40" t="str">
        <f>HYPERLINK("https://stock.pstatic.net/stock-research/company/57/20260715_company_215331000.pdf","PDF")</f>
        <v>PDF</v>
      </c>
      <c r="K1414" s="12" t="s">
        <v>33257</v>
      </c>
      <c r="L1414" s="36">
        <v>0.22807017543859651</v>
      </c>
    </row>
    <row r="1415" spans="1:12" x14ac:dyDescent="0.45">
      <c r="A1415" s="12" t="s">
        <v>33113</v>
      </c>
      <c r="B1415" s="12" t="s">
        <v>4642</v>
      </c>
      <c r="C1415" s="13" t="s">
        <v>4643</v>
      </c>
      <c r="D1415" s="13" t="s">
        <v>158</v>
      </c>
      <c r="E1415" s="12" t="s">
        <v>35</v>
      </c>
      <c r="F1415" s="14">
        <v>38000</v>
      </c>
      <c r="G1415" s="14">
        <v>26500</v>
      </c>
      <c r="H1415" s="13" t="s">
        <v>33258</v>
      </c>
      <c r="I1415" s="40" t="s">
        <v>18</v>
      </c>
      <c r="J1415" s="40" t="str">
        <f>HYPERLINK("https://stock.pstatic.net/stock-research/company/18/20260715_company_254622000.pdf","PDF")</f>
        <v>PDF</v>
      </c>
      <c r="K1415" s="12" t="s">
        <v>33259</v>
      </c>
      <c r="L1415" s="36">
        <v>0.43396226415094341</v>
      </c>
    </row>
    <row r="1416" spans="1:12" x14ac:dyDescent="0.45">
      <c r="A1416" s="12" t="s">
        <v>33113</v>
      </c>
      <c r="B1416" s="12" t="s">
        <v>2982</v>
      </c>
      <c r="C1416" s="13" t="s">
        <v>2983</v>
      </c>
      <c r="D1416" s="13" t="s">
        <v>92</v>
      </c>
      <c r="E1416" s="12" t="s">
        <v>35</v>
      </c>
      <c r="F1416" s="14">
        <v>121000</v>
      </c>
      <c r="G1416" s="14">
        <v>59500</v>
      </c>
      <c r="H1416" s="13" t="s">
        <v>33260</v>
      </c>
      <c r="I1416" s="40" t="s">
        <v>18</v>
      </c>
      <c r="J1416" s="40" t="str">
        <f>HYPERLINK("https://stock.pstatic.net/stock-research/company/63/20260715_company_111602000.pdf","PDF")</f>
        <v>PDF</v>
      </c>
      <c r="K1416" s="12" t="s">
        <v>33261</v>
      </c>
      <c r="L1416" s="36">
        <v>1.0336134453781509</v>
      </c>
    </row>
    <row r="1417" spans="1:12" x14ac:dyDescent="0.45">
      <c r="A1417" s="12" t="s">
        <v>33113</v>
      </c>
      <c r="B1417" s="12" t="s">
        <v>1233</v>
      </c>
      <c r="C1417" s="13" t="s">
        <v>1234</v>
      </c>
      <c r="D1417" s="13" t="s">
        <v>15</v>
      </c>
      <c r="E1417" s="12" t="s">
        <v>50</v>
      </c>
      <c r="F1417" s="13"/>
      <c r="G1417" s="14">
        <v>25550</v>
      </c>
      <c r="H1417" s="13" t="s">
        <v>33262</v>
      </c>
      <c r="I1417" s="40" t="s">
        <v>18</v>
      </c>
      <c r="J1417" s="40" t="str">
        <f>HYPERLINK("https://stock.pstatic.net/stock-research/company/56/20260715_company_580010000.pdf","PDF")</f>
        <v>PDF</v>
      </c>
      <c r="K1417" s="12" t="s">
        <v>33263</v>
      </c>
      <c r="L1417" s="12"/>
    </row>
    <row r="1418" spans="1:12" x14ac:dyDescent="0.45">
      <c r="A1418" s="12" t="s">
        <v>33113</v>
      </c>
      <c r="B1418" s="12" t="s">
        <v>6545</v>
      </c>
      <c r="C1418" s="13" t="s">
        <v>6546</v>
      </c>
      <c r="D1418" s="13" t="s">
        <v>23</v>
      </c>
      <c r="E1418" s="12" t="s">
        <v>35</v>
      </c>
      <c r="F1418" s="14">
        <v>15000</v>
      </c>
      <c r="G1418" s="14">
        <v>10380</v>
      </c>
      <c r="H1418" s="13" t="s">
        <v>33264</v>
      </c>
      <c r="I1418" s="40" t="s">
        <v>18</v>
      </c>
      <c r="J1418" s="40" t="str">
        <f>HYPERLINK("https://stock.pstatic.net/stock-research/company/21/20260715_company_618735000.pdf","PDF")</f>
        <v>PDF</v>
      </c>
      <c r="K1418" s="12" t="s">
        <v>33265</v>
      </c>
      <c r="L1418" s="36">
        <v>0.44508670520231208</v>
      </c>
    </row>
    <row r="1419" spans="1:12" x14ac:dyDescent="0.45">
      <c r="A1419" s="12" t="s">
        <v>33113</v>
      </c>
      <c r="B1419" s="12" t="s">
        <v>1936</v>
      </c>
      <c r="C1419" s="13" t="s">
        <v>1937</v>
      </c>
      <c r="D1419" s="13" t="s">
        <v>23</v>
      </c>
      <c r="E1419" s="12" t="s">
        <v>16</v>
      </c>
      <c r="F1419" s="14">
        <v>10000</v>
      </c>
      <c r="G1419" s="14">
        <v>6720</v>
      </c>
      <c r="H1419" s="13" t="s">
        <v>33266</v>
      </c>
      <c r="I1419" s="40" t="s">
        <v>18</v>
      </c>
      <c r="J1419" s="40" t="str">
        <f>HYPERLINK("https://stock.pstatic.net/stock-research/company/21/20260715_company_6960000.pdf","PDF")</f>
        <v>PDF</v>
      </c>
      <c r="K1419" s="12" t="s">
        <v>33267</v>
      </c>
      <c r="L1419" s="36">
        <v>0.48809523809523808</v>
      </c>
    </row>
    <row r="1420" spans="1:12" x14ac:dyDescent="0.45">
      <c r="A1420" s="12" t="s">
        <v>33113</v>
      </c>
      <c r="B1420" s="12" t="s">
        <v>4642</v>
      </c>
      <c r="C1420" s="13" t="s">
        <v>4643</v>
      </c>
      <c r="D1420" s="13" t="s">
        <v>23</v>
      </c>
      <c r="E1420" s="12" t="s">
        <v>16</v>
      </c>
      <c r="F1420" s="14">
        <v>38000</v>
      </c>
      <c r="G1420" s="14">
        <v>26500</v>
      </c>
      <c r="H1420" s="13" t="s">
        <v>33268</v>
      </c>
      <c r="I1420" s="40" t="s">
        <v>18</v>
      </c>
      <c r="J1420" s="40" t="str">
        <f>HYPERLINK("https://stock.pstatic.net/stock-research/company/21/20260715_company_344684000.pdf","PDF")</f>
        <v>PDF</v>
      </c>
      <c r="K1420" s="12" t="s">
        <v>33269</v>
      </c>
      <c r="L1420" s="36">
        <v>0.43396226415094341</v>
      </c>
    </row>
    <row r="1421" spans="1:12" x14ac:dyDescent="0.45">
      <c r="A1421" s="12" t="s">
        <v>33113</v>
      </c>
      <c r="B1421" s="12" t="s">
        <v>370</v>
      </c>
      <c r="C1421" s="13" t="s">
        <v>371</v>
      </c>
      <c r="D1421" s="13" t="s">
        <v>92</v>
      </c>
      <c r="E1421" s="12" t="s">
        <v>35</v>
      </c>
      <c r="F1421" s="14">
        <v>63000</v>
      </c>
      <c r="G1421" s="14">
        <v>40500</v>
      </c>
      <c r="H1421" s="13" t="s">
        <v>33270</v>
      </c>
      <c r="I1421" s="40" t="s">
        <v>18</v>
      </c>
      <c r="J1421" s="40" t="str">
        <f>HYPERLINK("https://stock.pstatic.net/stock-research/company/63/20260715_company_357367000.pdf","PDF")</f>
        <v>PDF</v>
      </c>
      <c r="K1421" s="12" t="s">
        <v>33271</v>
      </c>
      <c r="L1421" s="36">
        <v>0.55555555555555558</v>
      </c>
    </row>
    <row r="1422" spans="1:12" x14ac:dyDescent="0.45">
      <c r="A1422" s="12" t="s">
        <v>33113</v>
      </c>
      <c r="B1422" s="12" t="s">
        <v>2795</v>
      </c>
      <c r="C1422" s="13" t="s">
        <v>2796</v>
      </c>
      <c r="D1422" s="13" t="s">
        <v>23</v>
      </c>
      <c r="E1422" s="12" t="s">
        <v>16</v>
      </c>
      <c r="F1422" s="14">
        <v>7500</v>
      </c>
      <c r="G1422" s="14">
        <v>5110</v>
      </c>
      <c r="H1422" s="13" t="s">
        <v>33272</v>
      </c>
      <c r="I1422" s="40" t="s">
        <v>18</v>
      </c>
      <c r="J1422" s="40" t="str">
        <f>HYPERLINK("https://stock.pstatic.net/stock-research/company/21/20260715_company_495024000.pdf","PDF")</f>
        <v>PDF</v>
      </c>
      <c r="K1422" s="12" t="s">
        <v>33273</v>
      </c>
      <c r="L1422" s="36">
        <v>0.46771037181996078</v>
      </c>
    </row>
    <row r="1423" spans="1:12" x14ac:dyDescent="0.45">
      <c r="A1423" s="12" t="s">
        <v>33113</v>
      </c>
      <c r="B1423" s="12" t="s">
        <v>2956</v>
      </c>
      <c r="C1423" s="13" t="s">
        <v>2957</v>
      </c>
      <c r="D1423" s="13" t="s">
        <v>92</v>
      </c>
      <c r="E1423" s="12" t="s">
        <v>35</v>
      </c>
      <c r="F1423" s="14">
        <v>46000</v>
      </c>
      <c r="G1423" s="14">
        <v>28000</v>
      </c>
      <c r="H1423" s="13" t="s">
        <v>33274</v>
      </c>
      <c r="I1423" s="40" t="s">
        <v>18</v>
      </c>
      <c r="J1423" s="40" t="str">
        <f>HYPERLINK("https://stock.pstatic.net/stock-research/company/63/20260715_company_455062000.pdf","PDF")</f>
        <v>PDF</v>
      </c>
      <c r="K1423" s="12" t="s">
        <v>33275</v>
      </c>
      <c r="L1423" s="36">
        <v>0.6428571428571429</v>
      </c>
    </row>
    <row r="1424" spans="1:12" x14ac:dyDescent="0.45">
      <c r="A1424" s="12" t="s">
        <v>33113</v>
      </c>
      <c r="B1424" s="12" t="s">
        <v>3154</v>
      </c>
      <c r="C1424" s="13" t="s">
        <v>3155</v>
      </c>
      <c r="D1424" s="13" t="s">
        <v>23</v>
      </c>
      <c r="E1424" s="12" t="s">
        <v>16</v>
      </c>
      <c r="F1424" s="14">
        <v>8500</v>
      </c>
      <c r="G1424" s="14">
        <v>6540</v>
      </c>
      <c r="H1424" s="13" t="s">
        <v>33276</v>
      </c>
      <c r="I1424" s="40" t="s">
        <v>18</v>
      </c>
      <c r="J1424" s="40" t="str">
        <f>HYPERLINK("https://stock.pstatic.net/stock-research/company/21/20260715_company_476205000.pdf","PDF")</f>
        <v>PDF</v>
      </c>
      <c r="K1424" s="12" t="s">
        <v>33277</v>
      </c>
      <c r="L1424" s="36">
        <v>0.29969418960244648</v>
      </c>
    </row>
    <row r="1425" spans="1:12" x14ac:dyDescent="0.45">
      <c r="A1425" s="12" t="s">
        <v>33113</v>
      </c>
      <c r="B1425" s="12" t="s">
        <v>4642</v>
      </c>
      <c r="C1425" s="13" t="s">
        <v>4643</v>
      </c>
      <c r="D1425" s="13" t="s">
        <v>34</v>
      </c>
      <c r="E1425" s="12" t="s">
        <v>35</v>
      </c>
      <c r="F1425" s="14">
        <v>40000</v>
      </c>
      <c r="G1425" s="14">
        <v>26500</v>
      </c>
      <c r="H1425" s="13" t="s">
        <v>33278</v>
      </c>
      <c r="I1425" s="40" t="s">
        <v>18</v>
      </c>
      <c r="J1425" s="40" t="str">
        <f>HYPERLINK("https://stock.pstatic.net/stock-research/company/61/20260715_company_694610000.pdf","PDF")</f>
        <v>PDF</v>
      </c>
      <c r="K1425" s="12" t="s">
        <v>33279</v>
      </c>
      <c r="L1425" s="36">
        <v>0.50943396226415094</v>
      </c>
    </row>
    <row r="1426" spans="1:12" x14ac:dyDescent="0.45">
      <c r="A1426" s="12" t="s">
        <v>33113</v>
      </c>
      <c r="B1426" s="12" t="s">
        <v>1087</v>
      </c>
      <c r="C1426" s="13" t="s">
        <v>1088</v>
      </c>
      <c r="D1426" s="13" t="s">
        <v>53</v>
      </c>
      <c r="E1426" s="12" t="s">
        <v>16</v>
      </c>
      <c r="F1426" s="14">
        <v>200000</v>
      </c>
      <c r="G1426" s="14">
        <v>128100</v>
      </c>
      <c r="H1426" s="13" t="s">
        <v>33280</v>
      </c>
      <c r="I1426" s="40" t="s">
        <v>18</v>
      </c>
      <c r="J1426" s="40" t="str">
        <f>HYPERLINK("https://stock.pstatic.net/stock-research/company/40/20260715_company_286935000.pdf","PDF")</f>
        <v>PDF</v>
      </c>
      <c r="K1426" s="12" t="s">
        <v>33281</v>
      </c>
      <c r="L1426" s="36">
        <v>0.56128024980483993</v>
      </c>
    </row>
    <row r="1427" spans="1:12" x14ac:dyDescent="0.45">
      <c r="A1427" s="12" t="s">
        <v>33113</v>
      </c>
      <c r="B1427" s="12" t="s">
        <v>259</v>
      </c>
      <c r="C1427" s="13" t="s">
        <v>260</v>
      </c>
      <c r="D1427" s="13" t="s">
        <v>92</v>
      </c>
      <c r="E1427" s="12" t="s">
        <v>35</v>
      </c>
      <c r="F1427" s="14">
        <v>78000</v>
      </c>
      <c r="G1427" s="14">
        <v>47750</v>
      </c>
      <c r="H1427" s="13" t="s">
        <v>33282</v>
      </c>
      <c r="I1427" s="40" t="s">
        <v>18</v>
      </c>
      <c r="J1427" s="40" t="str">
        <f>HYPERLINK("https://stock.pstatic.net/stock-research/company/63/20260715_company_242510000.pdf","PDF")</f>
        <v>PDF</v>
      </c>
      <c r="K1427" s="12" t="s">
        <v>33283</v>
      </c>
      <c r="L1427" s="36">
        <v>0.63350785340314131</v>
      </c>
    </row>
    <row r="1428" spans="1:12" x14ac:dyDescent="0.45">
      <c r="A1428" s="12" t="s">
        <v>33113</v>
      </c>
      <c r="B1428" s="12" t="s">
        <v>352</v>
      </c>
      <c r="C1428" s="13" t="s">
        <v>353</v>
      </c>
      <c r="D1428" s="13" t="s">
        <v>179</v>
      </c>
      <c r="E1428" s="12" t="s">
        <v>16</v>
      </c>
      <c r="F1428" s="14">
        <v>310000</v>
      </c>
      <c r="G1428" s="14">
        <v>165400</v>
      </c>
      <c r="H1428" s="13" t="s">
        <v>33284</v>
      </c>
      <c r="I1428" s="40" t="s">
        <v>18</v>
      </c>
      <c r="J1428" s="40" t="str">
        <f>HYPERLINK("https://stock.pstatic.net/stock-research/company/64/20260715_company_934258000.pdf","PDF")</f>
        <v>PDF</v>
      </c>
      <c r="K1428" s="12" t="s">
        <v>33285</v>
      </c>
      <c r="L1428" s="36">
        <v>0.87424425634824665</v>
      </c>
    </row>
    <row r="1429" spans="1:12" x14ac:dyDescent="0.45">
      <c r="A1429" s="12" t="s">
        <v>33113</v>
      </c>
      <c r="B1429" s="12" t="s">
        <v>1648</v>
      </c>
      <c r="C1429" s="13" t="s">
        <v>1649</v>
      </c>
      <c r="D1429" s="13" t="s">
        <v>92</v>
      </c>
      <c r="E1429" s="12" t="s">
        <v>35</v>
      </c>
      <c r="F1429" s="14">
        <v>110000</v>
      </c>
      <c r="G1429" s="14">
        <v>72300</v>
      </c>
      <c r="H1429" s="13" t="s">
        <v>33286</v>
      </c>
      <c r="I1429" s="40" t="s">
        <v>18</v>
      </c>
      <c r="J1429" s="40" t="str">
        <f>HYPERLINK("https://stock.pstatic.net/stock-research/company/63/20260715_company_678802000.pdf","PDF")</f>
        <v>PDF</v>
      </c>
      <c r="K1429" s="12" t="s">
        <v>33287</v>
      </c>
      <c r="L1429" s="36">
        <v>0.52143845089903185</v>
      </c>
    </row>
    <row r="1430" spans="1:12" x14ac:dyDescent="0.45">
      <c r="A1430" s="12" t="s">
        <v>33113</v>
      </c>
      <c r="B1430" s="12" t="s">
        <v>541</v>
      </c>
      <c r="C1430" s="13" t="s">
        <v>542</v>
      </c>
      <c r="D1430" s="13" t="s">
        <v>15</v>
      </c>
      <c r="E1430" s="12" t="s">
        <v>35</v>
      </c>
      <c r="F1430" s="14">
        <v>120000</v>
      </c>
      <c r="G1430" s="14">
        <v>83900</v>
      </c>
      <c r="H1430" s="13" t="s">
        <v>33288</v>
      </c>
      <c r="I1430" s="40" t="s">
        <v>18</v>
      </c>
      <c r="J1430" s="40" t="str">
        <f>HYPERLINK("https://stock.pstatic.net/stock-research/company/56/20260715_company_878297000.pdf","PDF")</f>
        <v>PDF</v>
      </c>
      <c r="K1430" s="12" t="s">
        <v>33289</v>
      </c>
      <c r="L1430" s="36">
        <v>0.43027413587604291</v>
      </c>
    </row>
    <row r="1431" spans="1:12" x14ac:dyDescent="0.45">
      <c r="A1431" s="12" t="s">
        <v>33113</v>
      </c>
      <c r="B1431" s="12" t="s">
        <v>1023</v>
      </c>
      <c r="C1431" s="13" t="s">
        <v>15</v>
      </c>
      <c r="D1431" s="13" t="s">
        <v>179</v>
      </c>
      <c r="E1431" s="12" t="s">
        <v>16</v>
      </c>
      <c r="F1431" s="14">
        <v>51000</v>
      </c>
      <c r="G1431" s="14">
        <v>38750</v>
      </c>
      <c r="H1431" s="13" t="s">
        <v>33114</v>
      </c>
      <c r="I1431" s="40" t="s">
        <v>18</v>
      </c>
      <c r="J1431" s="40" t="str">
        <f>HYPERLINK("https://stock.pstatic.net/stock-research/company/64/20260715_company_94309000.pdf","PDF")</f>
        <v>PDF</v>
      </c>
      <c r="K1431" s="12" t="s">
        <v>33115</v>
      </c>
      <c r="L1431" s="36">
        <v>0.31612903225806449</v>
      </c>
    </row>
    <row r="1432" spans="1:12" x14ac:dyDescent="0.45">
      <c r="A1432" s="12" t="s">
        <v>33113</v>
      </c>
      <c r="B1432" s="12" t="s">
        <v>95</v>
      </c>
      <c r="C1432" s="13" t="s">
        <v>31</v>
      </c>
      <c r="D1432" s="13" t="s">
        <v>92</v>
      </c>
      <c r="E1432" s="12" t="s">
        <v>35</v>
      </c>
      <c r="F1432" s="14">
        <v>68000</v>
      </c>
      <c r="G1432" s="14">
        <v>40150</v>
      </c>
      <c r="H1432" s="13" t="s">
        <v>33116</v>
      </c>
      <c r="I1432" s="40" t="s">
        <v>18</v>
      </c>
      <c r="J1432" s="40" t="str">
        <f>HYPERLINK("https://stock.pstatic.net/stock-research/company/63/20260715_company_192687000.pdf","PDF")</f>
        <v>PDF</v>
      </c>
      <c r="K1432" s="12" t="s">
        <v>33117</v>
      </c>
      <c r="L1432" s="36">
        <v>0.69364881693648817</v>
      </c>
    </row>
    <row r="1433" spans="1:12" x14ac:dyDescent="0.45">
      <c r="A1433" s="12" t="s">
        <v>33113</v>
      </c>
      <c r="B1433" s="12" t="s">
        <v>3831</v>
      </c>
      <c r="C1433" s="13" t="s">
        <v>3832</v>
      </c>
      <c r="D1433" s="13" t="s">
        <v>44</v>
      </c>
      <c r="E1433" s="12" t="s">
        <v>642</v>
      </c>
      <c r="F1433" s="14">
        <v>49000</v>
      </c>
      <c r="G1433" s="14">
        <v>44850</v>
      </c>
      <c r="H1433" s="13" t="s">
        <v>33118</v>
      </c>
      <c r="I1433" s="40" t="s">
        <v>18</v>
      </c>
      <c r="J1433" s="40" t="str">
        <f>HYPERLINK("https://stock.pstatic.net/stock-research/company/39/20260715_company_323578000.pdf","PDF")</f>
        <v>PDF</v>
      </c>
      <c r="K1433" s="12" t="s">
        <v>33119</v>
      </c>
      <c r="L1433" s="36">
        <v>9.2530657748049056E-2</v>
      </c>
    </row>
    <row r="1434" spans="1:12" x14ac:dyDescent="0.45">
      <c r="A1434" s="12" t="s">
        <v>33113</v>
      </c>
      <c r="B1434" s="12" t="s">
        <v>2492</v>
      </c>
      <c r="C1434" s="13" t="s">
        <v>2493</v>
      </c>
      <c r="D1434" s="13" t="s">
        <v>44</v>
      </c>
      <c r="E1434" s="12" t="s">
        <v>35</v>
      </c>
      <c r="F1434" s="14">
        <v>600000</v>
      </c>
      <c r="G1434" s="14">
        <v>327000</v>
      </c>
      <c r="H1434" s="13" t="s">
        <v>33120</v>
      </c>
      <c r="I1434" s="40" t="s">
        <v>18</v>
      </c>
      <c r="J1434" s="40" t="str">
        <f>HYPERLINK("https://stock.pstatic.net/stock-research/company/39/20260715_company_11090000.pdf","PDF")</f>
        <v>PDF</v>
      </c>
      <c r="K1434" s="12" t="s">
        <v>33121</v>
      </c>
      <c r="L1434" s="36">
        <v>0.83486238532110091</v>
      </c>
    </row>
    <row r="1435" spans="1:12" x14ac:dyDescent="0.45">
      <c r="A1435" s="12" t="s">
        <v>33113</v>
      </c>
      <c r="B1435" s="12" t="s">
        <v>2435</v>
      </c>
      <c r="C1435" s="13" t="s">
        <v>2436</v>
      </c>
      <c r="D1435" s="13" t="s">
        <v>44</v>
      </c>
      <c r="E1435" s="12" t="s">
        <v>35</v>
      </c>
      <c r="F1435" s="14">
        <v>880000</v>
      </c>
      <c r="G1435" s="14">
        <v>466000</v>
      </c>
      <c r="H1435" s="13" t="s">
        <v>33122</v>
      </c>
      <c r="I1435" s="40" t="s">
        <v>18</v>
      </c>
      <c r="J1435" s="40" t="str">
        <f>HYPERLINK("https://stock.pstatic.net/stock-research/company/39/20260715_company_92055000.pdf","PDF")</f>
        <v>PDF</v>
      </c>
      <c r="K1435" s="12" t="s">
        <v>33123</v>
      </c>
      <c r="L1435" s="36">
        <v>0.88841201716738194</v>
      </c>
    </row>
    <row r="1436" spans="1:12" x14ac:dyDescent="0.45">
      <c r="A1436" s="12" t="s">
        <v>33113</v>
      </c>
      <c r="B1436" s="12" t="s">
        <v>2982</v>
      </c>
      <c r="C1436" s="13" t="s">
        <v>2983</v>
      </c>
      <c r="D1436" s="13" t="s">
        <v>53</v>
      </c>
      <c r="E1436" s="12" t="s">
        <v>35</v>
      </c>
      <c r="F1436" s="14">
        <v>107000</v>
      </c>
      <c r="G1436" s="14">
        <v>59500</v>
      </c>
      <c r="H1436" s="13" t="s">
        <v>33124</v>
      </c>
      <c r="I1436" s="40" t="s">
        <v>18</v>
      </c>
      <c r="J1436" s="40" t="str">
        <f>HYPERLINK("https://stock.pstatic.net/stock-research/company/40/20260715_company_484998000.pdf","PDF")</f>
        <v>PDF</v>
      </c>
      <c r="K1436" s="12" t="s">
        <v>33125</v>
      </c>
      <c r="L1436" s="36">
        <v>0.79831932773109249</v>
      </c>
    </row>
    <row r="1437" spans="1:12" x14ac:dyDescent="0.45">
      <c r="A1437" s="12" t="s">
        <v>33113</v>
      </c>
      <c r="B1437" s="12" t="s">
        <v>744</v>
      </c>
      <c r="C1437" s="13" t="s">
        <v>745</v>
      </c>
      <c r="D1437" s="13" t="s">
        <v>44</v>
      </c>
      <c r="E1437" s="12" t="s">
        <v>35</v>
      </c>
      <c r="F1437" s="14">
        <v>42000</v>
      </c>
      <c r="G1437" s="14">
        <v>21250</v>
      </c>
      <c r="H1437" s="13" t="s">
        <v>33126</v>
      </c>
      <c r="I1437" s="40" t="s">
        <v>18</v>
      </c>
      <c r="J1437" s="40" t="str">
        <f>HYPERLINK("https://stock.pstatic.net/stock-research/company/39/20260715_company_752605000.pdf","PDF")</f>
        <v>PDF</v>
      </c>
      <c r="K1437" s="12" t="s">
        <v>33127</v>
      </c>
      <c r="L1437" s="36">
        <v>0.97647058823529409</v>
      </c>
    </row>
    <row r="1438" spans="1:12" x14ac:dyDescent="0.45">
      <c r="A1438" s="12" t="s">
        <v>33113</v>
      </c>
      <c r="B1438" s="12" t="s">
        <v>3284</v>
      </c>
      <c r="C1438" s="13" t="s">
        <v>3285</v>
      </c>
      <c r="D1438" s="13" t="s">
        <v>44</v>
      </c>
      <c r="E1438" s="12" t="s">
        <v>35</v>
      </c>
      <c r="F1438" s="14">
        <v>144000</v>
      </c>
      <c r="G1438" s="14">
        <v>76800</v>
      </c>
      <c r="H1438" s="13" t="s">
        <v>33128</v>
      </c>
      <c r="I1438" s="40" t="s">
        <v>18</v>
      </c>
      <c r="J1438" s="40" t="str">
        <f>HYPERLINK("https://stock.pstatic.net/stock-research/company/39/20260715_company_588555000.pdf","PDF")</f>
        <v>PDF</v>
      </c>
      <c r="K1438" s="12" t="s">
        <v>33129</v>
      </c>
      <c r="L1438" s="36">
        <v>0.875</v>
      </c>
    </row>
    <row r="1439" spans="1:12" x14ac:dyDescent="0.45">
      <c r="A1439" s="12" t="s">
        <v>33113</v>
      </c>
      <c r="B1439" s="12" t="s">
        <v>3204</v>
      </c>
      <c r="C1439" s="13" t="s">
        <v>3205</v>
      </c>
      <c r="D1439" s="13" t="s">
        <v>53</v>
      </c>
      <c r="E1439" s="12" t="s">
        <v>16</v>
      </c>
      <c r="F1439" s="14">
        <v>31000</v>
      </c>
      <c r="G1439" s="14">
        <v>16010</v>
      </c>
      <c r="H1439" s="13" t="s">
        <v>33130</v>
      </c>
      <c r="I1439" s="40" t="s">
        <v>18</v>
      </c>
      <c r="J1439" s="40" t="str">
        <f>HYPERLINK("https://stock.pstatic.net/stock-research/company/40/20260715_company_655494000.pdf","PDF")</f>
        <v>PDF</v>
      </c>
      <c r="K1439" s="12" t="s">
        <v>33131</v>
      </c>
      <c r="L1439" s="36">
        <v>0.9362898188632105</v>
      </c>
    </row>
    <row r="1440" spans="1:12" x14ac:dyDescent="0.45">
      <c r="A1440" s="12" t="s">
        <v>33113</v>
      </c>
      <c r="B1440" s="12" t="s">
        <v>541</v>
      </c>
      <c r="C1440" s="13" t="s">
        <v>542</v>
      </c>
      <c r="D1440" s="13" t="s">
        <v>179</v>
      </c>
      <c r="E1440" s="12" t="s">
        <v>16</v>
      </c>
      <c r="F1440" s="14">
        <v>110000</v>
      </c>
      <c r="G1440" s="14">
        <v>83900</v>
      </c>
      <c r="H1440" s="13" t="s">
        <v>33132</v>
      </c>
      <c r="I1440" s="40" t="s">
        <v>18</v>
      </c>
      <c r="J1440" s="40" t="str">
        <f>HYPERLINK("https://stock.pstatic.net/stock-research/company/64/20260715_company_132528000.pdf","PDF")</f>
        <v>PDF</v>
      </c>
      <c r="K1440" s="12" t="s">
        <v>33133</v>
      </c>
      <c r="L1440" s="36">
        <v>0.31108462455303931</v>
      </c>
    </row>
    <row r="1441" spans="1:12" x14ac:dyDescent="0.45">
      <c r="A1441" s="12" t="s">
        <v>33113</v>
      </c>
      <c r="B1441" s="12" t="s">
        <v>3403</v>
      </c>
      <c r="C1441" s="13" t="s">
        <v>3404</v>
      </c>
      <c r="D1441" s="13" t="s">
        <v>44</v>
      </c>
      <c r="E1441" s="12" t="s">
        <v>35</v>
      </c>
      <c r="F1441" s="14">
        <v>57000</v>
      </c>
      <c r="G1441" s="14">
        <v>43600</v>
      </c>
      <c r="H1441" s="13" t="s">
        <v>33134</v>
      </c>
      <c r="I1441" s="40" t="s">
        <v>18</v>
      </c>
      <c r="J1441" s="40" t="str">
        <f>HYPERLINK("https://stock.pstatic.net/stock-research/company/39/20260715_company_393209000.pdf","PDF")</f>
        <v>PDF</v>
      </c>
      <c r="K1441" s="12" t="s">
        <v>33135</v>
      </c>
      <c r="L1441" s="36">
        <v>0.30733944954128439</v>
      </c>
    </row>
    <row r="1442" spans="1:12" x14ac:dyDescent="0.45">
      <c r="A1442" s="12" t="s">
        <v>33113</v>
      </c>
      <c r="B1442" s="12" t="s">
        <v>370</v>
      </c>
      <c r="C1442" s="13" t="s">
        <v>371</v>
      </c>
      <c r="D1442" s="13" t="s">
        <v>124</v>
      </c>
      <c r="E1442" s="12" t="s">
        <v>50</v>
      </c>
      <c r="F1442" s="13"/>
      <c r="G1442" s="13"/>
      <c r="H1442" s="13" t="s">
        <v>33136</v>
      </c>
      <c r="I1442" s="40" t="s">
        <v>18</v>
      </c>
      <c r="J1442" s="40" t="str">
        <f>HYPERLINK("https://stock.pstatic.net/stock-research/company/74/20260715_company_768300000.pdf","PDF")</f>
        <v>PDF</v>
      </c>
      <c r="K1442" s="12" t="s">
        <v>33137</v>
      </c>
      <c r="L1442" s="12"/>
    </row>
    <row r="1443" spans="1:12" x14ac:dyDescent="0.45">
      <c r="A1443" s="12" t="s">
        <v>33113</v>
      </c>
      <c r="B1443" s="12" t="s">
        <v>33138</v>
      </c>
      <c r="C1443" s="13" t="s">
        <v>33139</v>
      </c>
      <c r="D1443" s="13" t="s">
        <v>124</v>
      </c>
      <c r="E1443" s="12" t="s">
        <v>50</v>
      </c>
      <c r="F1443" s="13"/>
      <c r="G1443" s="13"/>
      <c r="H1443" s="13" t="s">
        <v>33140</v>
      </c>
      <c r="I1443" s="40" t="s">
        <v>18</v>
      </c>
      <c r="J1443" s="40" t="str">
        <f>HYPERLINK("https://stock.pstatic.net/stock-research/company/74/20260715_company_462001000.pdf","PDF")</f>
        <v>PDF</v>
      </c>
      <c r="K1443" s="12" t="s">
        <v>33141</v>
      </c>
      <c r="L1443" s="12"/>
    </row>
    <row r="1444" spans="1:12" x14ac:dyDescent="0.45">
      <c r="A1444" s="12" t="s">
        <v>33113</v>
      </c>
      <c r="B1444" s="12" t="s">
        <v>4642</v>
      </c>
      <c r="C1444" s="13" t="s">
        <v>4643</v>
      </c>
      <c r="D1444" s="13" t="s">
        <v>15</v>
      </c>
      <c r="E1444" s="12" t="s">
        <v>16</v>
      </c>
      <c r="F1444" s="14">
        <v>33000</v>
      </c>
      <c r="G1444" s="14">
        <v>26500</v>
      </c>
      <c r="H1444" s="13" t="s">
        <v>33142</v>
      </c>
      <c r="I1444" s="40" t="s">
        <v>18</v>
      </c>
      <c r="J1444" s="40" t="str">
        <f>HYPERLINK("https://stock.pstatic.net/stock-research/company/56/20260715_company_969098000.pdf","PDF")</f>
        <v>PDF</v>
      </c>
      <c r="K1444" s="12" t="s">
        <v>33143</v>
      </c>
      <c r="L1444" s="36">
        <v>0.2452830188679245</v>
      </c>
    </row>
    <row r="1445" spans="1:12" x14ac:dyDescent="0.45">
      <c r="A1445" s="12" t="s">
        <v>33084</v>
      </c>
      <c r="B1445" s="12" t="s">
        <v>4864</v>
      </c>
      <c r="C1445" s="13" t="s">
        <v>4865</v>
      </c>
      <c r="D1445" s="13" t="s">
        <v>57</v>
      </c>
      <c r="E1445" s="12" t="s">
        <v>35</v>
      </c>
      <c r="F1445" s="14">
        <v>45000</v>
      </c>
      <c r="G1445" s="14">
        <v>25950</v>
      </c>
      <c r="H1445" s="13" t="s">
        <v>33144</v>
      </c>
      <c r="I1445" s="40" t="s">
        <v>18</v>
      </c>
      <c r="J1445" s="40" t="str">
        <f>HYPERLINK("https://stock.pstatic.net/stock-research/company/16/20260714_company_996030000.pdf","PDF")</f>
        <v>PDF</v>
      </c>
      <c r="K1445" s="12" t="s">
        <v>33145</v>
      </c>
      <c r="L1445" s="36">
        <v>0.73410404624277459</v>
      </c>
    </row>
    <row r="1446" spans="1:12" x14ac:dyDescent="0.45">
      <c r="A1446" s="12" t="s">
        <v>33084</v>
      </c>
      <c r="B1446" s="12" t="s">
        <v>3478</v>
      </c>
      <c r="C1446" s="13" t="s">
        <v>3479</v>
      </c>
      <c r="D1446" s="13" t="s">
        <v>57</v>
      </c>
      <c r="E1446" s="12" t="s">
        <v>35</v>
      </c>
      <c r="F1446" s="14">
        <v>43000</v>
      </c>
      <c r="G1446" s="14">
        <v>26900</v>
      </c>
      <c r="H1446" s="13" t="s">
        <v>33146</v>
      </c>
      <c r="I1446" s="40" t="s">
        <v>18</v>
      </c>
      <c r="J1446" s="40" t="str">
        <f>HYPERLINK("https://stock.pstatic.net/stock-research/company/16/20260714_company_663233000.pdf","PDF")</f>
        <v>PDF</v>
      </c>
      <c r="K1446" s="12" t="s">
        <v>33147</v>
      </c>
      <c r="L1446" s="36">
        <v>0.5985130111524164</v>
      </c>
    </row>
    <row r="1447" spans="1:12" x14ac:dyDescent="0.45">
      <c r="A1447" s="12" t="s">
        <v>33084</v>
      </c>
      <c r="B1447" s="12" t="s">
        <v>2956</v>
      </c>
      <c r="C1447" s="13" t="s">
        <v>2957</v>
      </c>
      <c r="D1447" s="13" t="s">
        <v>60</v>
      </c>
      <c r="E1447" s="12" t="s">
        <v>35</v>
      </c>
      <c r="F1447" s="14">
        <v>34000</v>
      </c>
      <c r="G1447" s="14">
        <v>29450</v>
      </c>
      <c r="H1447" s="13" t="s">
        <v>33148</v>
      </c>
      <c r="I1447" s="40" t="s">
        <v>18</v>
      </c>
      <c r="J1447" s="40" t="str">
        <f>HYPERLINK("https://stock.pstatic.net/stock-research/company/62/20260714_company_186251000.pdf","PDF")</f>
        <v>PDF</v>
      </c>
      <c r="K1447" s="12" t="s">
        <v>33149</v>
      </c>
      <c r="L1447" s="36">
        <v>0.15449915110356541</v>
      </c>
    </row>
    <row r="1448" spans="1:12" x14ac:dyDescent="0.45">
      <c r="A1448" s="12" t="s">
        <v>33084</v>
      </c>
      <c r="B1448" s="12" t="s">
        <v>1781</v>
      </c>
      <c r="C1448" s="13" t="s">
        <v>1782</v>
      </c>
      <c r="D1448" s="13" t="s">
        <v>60</v>
      </c>
      <c r="E1448" s="12" t="s">
        <v>35</v>
      </c>
      <c r="F1448" s="14">
        <v>350000</v>
      </c>
      <c r="G1448" s="14">
        <v>185600</v>
      </c>
      <c r="H1448" s="13" t="s">
        <v>33150</v>
      </c>
      <c r="I1448" s="40" t="s">
        <v>18</v>
      </c>
      <c r="J1448" s="40" t="str">
        <f>HYPERLINK("https://stock.pstatic.net/stock-research/company/62/20260714_company_433925000.pdf","PDF")</f>
        <v>PDF</v>
      </c>
      <c r="K1448" s="12" t="s">
        <v>33151</v>
      </c>
      <c r="L1448" s="36">
        <v>0.88577586206896552</v>
      </c>
    </row>
    <row r="1449" spans="1:12" x14ac:dyDescent="0.45">
      <c r="A1449" s="12" t="s">
        <v>33084</v>
      </c>
      <c r="B1449" s="12" t="s">
        <v>916</v>
      </c>
      <c r="C1449" s="13" t="s">
        <v>917</v>
      </c>
      <c r="D1449" s="13" t="s">
        <v>60</v>
      </c>
      <c r="E1449" s="12" t="s">
        <v>35</v>
      </c>
      <c r="F1449" s="14">
        <v>57000</v>
      </c>
      <c r="G1449" s="14">
        <v>34750</v>
      </c>
      <c r="H1449" s="13" t="s">
        <v>33152</v>
      </c>
      <c r="I1449" s="40" t="s">
        <v>18</v>
      </c>
      <c r="J1449" s="40" t="str">
        <f>HYPERLINK("https://stock.pstatic.net/stock-research/company/62/20260714_company_583744000.pdf","PDF")</f>
        <v>PDF</v>
      </c>
      <c r="K1449" s="12" t="s">
        <v>33153</v>
      </c>
      <c r="L1449" s="36">
        <v>0.64028776978417268</v>
      </c>
    </row>
    <row r="1450" spans="1:12" x14ac:dyDescent="0.45">
      <c r="A1450" s="12" t="s">
        <v>33084</v>
      </c>
      <c r="B1450" s="12" t="s">
        <v>1666</v>
      </c>
      <c r="C1450" s="13" t="s">
        <v>1667</v>
      </c>
      <c r="D1450" s="13" t="s">
        <v>60</v>
      </c>
      <c r="E1450" s="12" t="s">
        <v>35</v>
      </c>
      <c r="F1450" s="14">
        <v>61000</v>
      </c>
      <c r="G1450" s="14">
        <v>38150</v>
      </c>
      <c r="H1450" s="13" t="s">
        <v>33154</v>
      </c>
      <c r="I1450" s="40" t="s">
        <v>18</v>
      </c>
      <c r="J1450" s="40" t="str">
        <f>HYPERLINK("https://stock.pstatic.net/stock-research/company/62/20260714_company_818062000.pdf","PDF")</f>
        <v>PDF</v>
      </c>
      <c r="K1450" s="12" t="s">
        <v>33155</v>
      </c>
      <c r="L1450" s="36">
        <v>0.59895150720838797</v>
      </c>
    </row>
    <row r="1451" spans="1:12" x14ac:dyDescent="0.45">
      <c r="A1451" s="12" t="s">
        <v>33084</v>
      </c>
      <c r="B1451" s="12" t="s">
        <v>1670</v>
      </c>
      <c r="C1451" s="13" t="s">
        <v>1671</v>
      </c>
      <c r="D1451" s="13" t="s">
        <v>65</v>
      </c>
      <c r="E1451" s="12" t="s">
        <v>35</v>
      </c>
      <c r="F1451" s="14">
        <v>180000</v>
      </c>
      <c r="G1451" s="14">
        <v>117400</v>
      </c>
      <c r="H1451" s="13" t="s">
        <v>33156</v>
      </c>
      <c r="I1451" s="40" t="s">
        <v>18</v>
      </c>
      <c r="J1451" s="40" t="str">
        <f>HYPERLINK("https://stock.pstatic.net/stock-research/company/57/20260714_company_205717000.pdf","PDF")</f>
        <v>PDF</v>
      </c>
      <c r="K1451" s="12" t="s">
        <v>33157</v>
      </c>
      <c r="L1451" s="36">
        <v>0.53321976149914818</v>
      </c>
    </row>
    <row r="1452" spans="1:12" x14ac:dyDescent="0.45">
      <c r="A1452" s="12" t="s">
        <v>33084</v>
      </c>
      <c r="B1452" s="12" t="s">
        <v>4642</v>
      </c>
      <c r="C1452" s="13" t="s">
        <v>4643</v>
      </c>
      <c r="D1452" s="13" t="s">
        <v>65</v>
      </c>
      <c r="E1452" s="12" t="s">
        <v>35</v>
      </c>
      <c r="F1452" s="14">
        <v>41000</v>
      </c>
      <c r="G1452" s="14">
        <v>25850</v>
      </c>
      <c r="H1452" s="13" t="s">
        <v>33158</v>
      </c>
      <c r="I1452" s="40" t="s">
        <v>18</v>
      </c>
      <c r="J1452" s="40" t="str">
        <f>HYPERLINK("https://stock.pstatic.net/stock-research/company/57/20260714_company_414597000.pdf","PDF")</f>
        <v>PDF</v>
      </c>
      <c r="K1452" s="12" t="s">
        <v>33159</v>
      </c>
      <c r="L1452" s="36">
        <v>0.58607350096711797</v>
      </c>
    </row>
    <row r="1453" spans="1:12" x14ac:dyDescent="0.45">
      <c r="A1453" s="12" t="s">
        <v>33084</v>
      </c>
      <c r="B1453" s="12" t="s">
        <v>6086</v>
      </c>
      <c r="C1453" s="13" t="s">
        <v>6087</v>
      </c>
      <c r="D1453" s="13" t="s">
        <v>65</v>
      </c>
      <c r="E1453" s="12" t="s">
        <v>50</v>
      </c>
      <c r="F1453" s="13"/>
      <c r="G1453" s="14">
        <v>9870</v>
      </c>
      <c r="H1453" s="13" t="s">
        <v>33160</v>
      </c>
      <c r="I1453" s="40" t="s">
        <v>18</v>
      </c>
      <c r="J1453" s="40" t="str">
        <f>HYPERLINK("https://stock.pstatic.net/stock-research/company/57/20260714_company_417732000.pdf","PDF")</f>
        <v>PDF</v>
      </c>
      <c r="K1453" s="12" t="s">
        <v>33161</v>
      </c>
      <c r="L1453" s="12"/>
    </row>
    <row r="1454" spans="1:12" x14ac:dyDescent="0.45">
      <c r="A1454" s="12" t="s">
        <v>33084</v>
      </c>
      <c r="B1454" s="12" t="s">
        <v>1140</v>
      </c>
      <c r="C1454" s="13" t="s">
        <v>1141</v>
      </c>
      <c r="D1454" s="13" t="s">
        <v>65</v>
      </c>
      <c r="E1454" s="12" t="s">
        <v>35</v>
      </c>
      <c r="F1454" s="14">
        <v>45000</v>
      </c>
      <c r="G1454" s="14">
        <v>34250</v>
      </c>
      <c r="H1454" s="13" t="s">
        <v>33162</v>
      </c>
      <c r="I1454" s="40" t="s">
        <v>18</v>
      </c>
      <c r="J1454" s="40" t="str">
        <f>HYPERLINK("https://stock.pstatic.net/stock-research/company/57/20260714_company_364077000.pdf","PDF")</f>
        <v>PDF</v>
      </c>
      <c r="K1454" s="12" t="s">
        <v>33163</v>
      </c>
      <c r="L1454" s="36">
        <v>0.31386861313868608</v>
      </c>
    </row>
    <row r="1455" spans="1:12" x14ac:dyDescent="0.45">
      <c r="A1455" s="12" t="s">
        <v>33084</v>
      </c>
      <c r="B1455" s="12" t="s">
        <v>533</v>
      </c>
      <c r="C1455" s="13" t="s">
        <v>534</v>
      </c>
      <c r="D1455" s="13" t="s">
        <v>65</v>
      </c>
      <c r="E1455" s="12" t="s">
        <v>35</v>
      </c>
      <c r="F1455" s="14">
        <v>76000</v>
      </c>
      <c r="G1455" s="14">
        <v>52700</v>
      </c>
      <c r="H1455" s="13" t="s">
        <v>33164</v>
      </c>
      <c r="I1455" s="40" t="s">
        <v>18</v>
      </c>
      <c r="J1455" s="40" t="str">
        <f>HYPERLINK("https://stock.pstatic.net/stock-research/company/57/20260714_company_121818000.pdf","PDF")</f>
        <v>PDF</v>
      </c>
      <c r="K1455" s="12" t="s">
        <v>33165</v>
      </c>
      <c r="L1455" s="36">
        <v>0.44212523719165092</v>
      </c>
    </row>
    <row r="1456" spans="1:12" x14ac:dyDescent="0.45">
      <c r="A1456" s="12" t="s">
        <v>33084</v>
      </c>
      <c r="B1456" s="12" t="s">
        <v>577</v>
      </c>
      <c r="C1456" s="13" t="s">
        <v>578</v>
      </c>
      <c r="D1456" s="13" t="s">
        <v>65</v>
      </c>
      <c r="E1456" s="12" t="s">
        <v>35</v>
      </c>
      <c r="F1456" s="14">
        <v>770000</v>
      </c>
      <c r="G1456" s="14">
        <v>487500</v>
      </c>
      <c r="H1456" s="13" t="s">
        <v>33166</v>
      </c>
      <c r="I1456" s="40" t="s">
        <v>18</v>
      </c>
      <c r="J1456" s="40" t="str">
        <f>HYPERLINK("https://stock.pstatic.net/stock-research/company/57/20260714_company_399412000.pdf","PDF")</f>
        <v>PDF</v>
      </c>
      <c r="K1456" s="12" t="s">
        <v>33167</v>
      </c>
      <c r="L1456" s="36">
        <v>0.57948717948717954</v>
      </c>
    </row>
    <row r="1457" spans="1:12" x14ac:dyDescent="0.45">
      <c r="A1457" s="12" t="s">
        <v>33084</v>
      </c>
      <c r="B1457" s="12" t="s">
        <v>4021</v>
      </c>
      <c r="C1457" s="13" t="s">
        <v>4022</v>
      </c>
      <c r="D1457" s="13" t="s">
        <v>158</v>
      </c>
      <c r="E1457" s="12" t="s">
        <v>35</v>
      </c>
      <c r="F1457" s="14">
        <v>300000</v>
      </c>
      <c r="G1457" s="14">
        <v>184500</v>
      </c>
      <c r="H1457" s="13" t="s">
        <v>33168</v>
      </c>
      <c r="I1457" s="40" t="s">
        <v>18</v>
      </c>
      <c r="J1457" s="40" t="str">
        <f>HYPERLINK("https://stock.pstatic.net/stock-research/company/18/20260714_company_986944000.pdf","PDF")</f>
        <v>PDF</v>
      </c>
      <c r="K1457" s="12" t="s">
        <v>33169</v>
      </c>
      <c r="L1457" s="36">
        <v>0.62601626016260159</v>
      </c>
    </row>
    <row r="1458" spans="1:12" x14ac:dyDescent="0.45">
      <c r="A1458" s="12" t="s">
        <v>33084</v>
      </c>
      <c r="B1458" s="12" t="s">
        <v>3230</v>
      </c>
      <c r="C1458" s="13" t="s">
        <v>3231</v>
      </c>
      <c r="D1458" s="13" t="s">
        <v>158</v>
      </c>
      <c r="E1458" s="12" t="s">
        <v>35</v>
      </c>
      <c r="F1458" s="14">
        <v>5000000</v>
      </c>
      <c r="G1458" s="14">
        <v>2666000</v>
      </c>
      <c r="H1458" s="13" t="s">
        <v>33170</v>
      </c>
      <c r="I1458" s="40" t="s">
        <v>18</v>
      </c>
      <c r="J1458" s="40" t="str">
        <f>HYPERLINK("https://stock.pstatic.net/stock-research/company/18/20260714_company_267181000.pdf","PDF")</f>
        <v>PDF</v>
      </c>
      <c r="K1458" s="12" t="s">
        <v>33171</v>
      </c>
      <c r="L1458" s="36">
        <v>0.87546886721680417</v>
      </c>
    </row>
    <row r="1459" spans="1:12" x14ac:dyDescent="0.45">
      <c r="A1459" s="12" t="s">
        <v>33084</v>
      </c>
      <c r="B1459" s="12" t="s">
        <v>3182</v>
      </c>
      <c r="C1459" s="13" t="s">
        <v>3183</v>
      </c>
      <c r="D1459" s="13" t="s">
        <v>158</v>
      </c>
      <c r="E1459" s="12" t="s">
        <v>35</v>
      </c>
      <c r="F1459" s="14">
        <v>1450000</v>
      </c>
      <c r="G1459" s="14">
        <v>788000</v>
      </c>
      <c r="H1459" s="13" t="s">
        <v>33172</v>
      </c>
      <c r="I1459" s="40" t="s">
        <v>18</v>
      </c>
      <c r="J1459" s="40" t="str">
        <f>HYPERLINK("https://stock.pstatic.net/stock-research/company/18/20260714_company_28737000.pdf","PDF")</f>
        <v>PDF</v>
      </c>
      <c r="K1459" s="12" t="s">
        <v>33173</v>
      </c>
      <c r="L1459" s="36">
        <v>0.84010152284263961</v>
      </c>
    </row>
    <row r="1460" spans="1:12" x14ac:dyDescent="0.45">
      <c r="A1460" s="12" t="s">
        <v>33084</v>
      </c>
      <c r="B1460" s="12" t="s">
        <v>2933</v>
      </c>
      <c r="C1460" s="13" t="s">
        <v>2934</v>
      </c>
      <c r="D1460" s="13" t="s">
        <v>158</v>
      </c>
      <c r="E1460" s="12" t="s">
        <v>35</v>
      </c>
      <c r="F1460" s="14">
        <v>360000</v>
      </c>
      <c r="G1460" s="14">
        <v>169800</v>
      </c>
      <c r="H1460" s="13" t="s">
        <v>33174</v>
      </c>
      <c r="I1460" s="40" t="s">
        <v>18</v>
      </c>
      <c r="J1460" s="40" t="str">
        <f>HYPERLINK("https://stock.pstatic.net/stock-research/company/18/20260714_company_368428000.pdf","PDF")</f>
        <v>PDF</v>
      </c>
      <c r="K1460" s="12" t="s">
        <v>33175</v>
      </c>
      <c r="L1460" s="36">
        <v>1.1201413427561839</v>
      </c>
    </row>
    <row r="1461" spans="1:12" x14ac:dyDescent="0.45">
      <c r="A1461" s="12" t="s">
        <v>33084</v>
      </c>
      <c r="B1461" s="12" t="s">
        <v>1344</v>
      </c>
      <c r="C1461" s="13" t="s">
        <v>1345</v>
      </c>
      <c r="D1461" s="13" t="s">
        <v>158</v>
      </c>
      <c r="E1461" s="12" t="s">
        <v>35</v>
      </c>
      <c r="F1461" s="14">
        <v>125000</v>
      </c>
      <c r="G1461" s="14">
        <v>61000</v>
      </c>
      <c r="H1461" s="13" t="s">
        <v>33176</v>
      </c>
      <c r="I1461" s="40" t="s">
        <v>18</v>
      </c>
      <c r="J1461" s="40" t="str">
        <f>HYPERLINK("https://stock.pstatic.net/stock-research/company/18/20260714_company_937033000.pdf","PDF")</f>
        <v>PDF</v>
      </c>
      <c r="K1461" s="12" t="s">
        <v>33177</v>
      </c>
      <c r="L1461" s="36">
        <v>1.049180327868853</v>
      </c>
    </row>
    <row r="1462" spans="1:12" x14ac:dyDescent="0.45">
      <c r="A1462" s="12" t="s">
        <v>33084</v>
      </c>
      <c r="B1462" s="12" t="s">
        <v>4668</v>
      </c>
      <c r="C1462" s="13" t="s">
        <v>4669</v>
      </c>
      <c r="D1462" s="13" t="s">
        <v>158</v>
      </c>
      <c r="E1462" s="12" t="s">
        <v>35</v>
      </c>
      <c r="F1462" s="14">
        <v>60000</v>
      </c>
      <c r="G1462" s="14">
        <v>28300</v>
      </c>
      <c r="H1462" s="13" t="s">
        <v>33178</v>
      </c>
      <c r="I1462" s="40" t="s">
        <v>18</v>
      </c>
      <c r="J1462" s="40" t="str">
        <f>HYPERLINK("https://stock.pstatic.net/stock-research/company/18/20260714_company_315734000.pdf","PDF")</f>
        <v>PDF</v>
      </c>
      <c r="K1462" s="12" t="s">
        <v>33179</v>
      </c>
      <c r="L1462" s="36">
        <v>1.1201413427561839</v>
      </c>
    </row>
    <row r="1463" spans="1:12" x14ac:dyDescent="0.45">
      <c r="A1463" s="12" t="s">
        <v>33084</v>
      </c>
      <c r="B1463" s="12" t="s">
        <v>352</v>
      </c>
      <c r="C1463" s="13" t="s">
        <v>353</v>
      </c>
      <c r="D1463" s="13" t="s">
        <v>83</v>
      </c>
      <c r="E1463" s="12" t="s">
        <v>35</v>
      </c>
      <c r="F1463" s="14">
        <v>280000</v>
      </c>
      <c r="G1463" s="14">
        <v>178900</v>
      </c>
      <c r="H1463" s="13" t="s">
        <v>32756</v>
      </c>
      <c r="I1463" s="40" t="s">
        <v>18</v>
      </c>
      <c r="J1463" s="40" t="str">
        <f>HYPERLINK("https://stock.pstatic.net/stock-research/company/15/20260714_company_807014000.pdf","PDF")</f>
        <v>PDF</v>
      </c>
      <c r="K1463" s="12" t="s">
        <v>33180</v>
      </c>
      <c r="L1463" s="36">
        <v>0.56512017887087762</v>
      </c>
    </row>
    <row r="1464" spans="1:12" x14ac:dyDescent="0.45">
      <c r="A1464" s="12" t="s">
        <v>33084</v>
      </c>
      <c r="B1464" s="12" t="s">
        <v>3584</v>
      </c>
      <c r="C1464" s="13" t="s">
        <v>3585</v>
      </c>
      <c r="D1464" s="13" t="s">
        <v>83</v>
      </c>
      <c r="E1464" s="12" t="s">
        <v>35</v>
      </c>
      <c r="F1464" s="14">
        <v>27000</v>
      </c>
      <c r="G1464" s="14">
        <v>18760</v>
      </c>
      <c r="H1464" s="13" t="s">
        <v>33181</v>
      </c>
      <c r="I1464" s="40" t="s">
        <v>18</v>
      </c>
      <c r="J1464" s="40" t="str">
        <f>HYPERLINK("https://stock.pstatic.net/stock-research/company/15/20260714_company_198317000.pdf","PDF")</f>
        <v>PDF</v>
      </c>
      <c r="K1464" s="12" t="s">
        <v>33182</v>
      </c>
      <c r="L1464" s="36">
        <v>0.43923240938166308</v>
      </c>
    </row>
    <row r="1465" spans="1:12" x14ac:dyDescent="0.45">
      <c r="A1465" s="12" t="s">
        <v>33084</v>
      </c>
      <c r="B1465" s="12" t="s">
        <v>1849</v>
      </c>
      <c r="C1465" s="13" t="s">
        <v>1850</v>
      </c>
      <c r="D1465" s="13" t="s">
        <v>83</v>
      </c>
      <c r="E1465" s="12" t="s">
        <v>35</v>
      </c>
      <c r="F1465" s="14">
        <v>27000</v>
      </c>
      <c r="G1465" s="14">
        <v>18420</v>
      </c>
      <c r="H1465" s="13" t="s">
        <v>33183</v>
      </c>
      <c r="I1465" s="40" t="s">
        <v>18</v>
      </c>
      <c r="J1465" s="40" t="str">
        <f>HYPERLINK("https://stock.pstatic.net/stock-research/company/15/20260714_company_740028000.pdf","PDF")</f>
        <v>PDF</v>
      </c>
      <c r="K1465" s="12" t="s">
        <v>33184</v>
      </c>
      <c r="L1465" s="36">
        <v>0.46579804560260579</v>
      </c>
    </row>
    <row r="1466" spans="1:12" x14ac:dyDescent="0.45">
      <c r="A1466" s="12" t="s">
        <v>33084</v>
      </c>
      <c r="B1466" s="12" t="s">
        <v>2199</v>
      </c>
      <c r="C1466" s="13" t="s">
        <v>2200</v>
      </c>
      <c r="D1466" s="13" t="s">
        <v>83</v>
      </c>
      <c r="E1466" s="12" t="s">
        <v>35</v>
      </c>
      <c r="F1466" s="14">
        <v>46000</v>
      </c>
      <c r="G1466" s="14">
        <v>34200</v>
      </c>
      <c r="H1466" s="13" t="s">
        <v>33185</v>
      </c>
      <c r="I1466" s="40" t="s">
        <v>18</v>
      </c>
      <c r="J1466" s="40" t="str">
        <f>HYPERLINK("https://stock.pstatic.net/stock-research/company/15/20260714_company_275709000.pdf","PDF")</f>
        <v>PDF</v>
      </c>
      <c r="K1466" s="12" t="s">
        <v>33186</v>
      </c>
      <c r="L1466" s="36">
        <v>0.34502923976608191</v>
      </c>
    </row>
    <row r="1467" spans="1:12" x14ac:dyDescent="0.45">
      <c r="A1467" s="12" t="s">
        <v>33084</v>
      </c>
      <c r="B1467" s="12" t="s">
        <v>3478</v>
      </c>
      <c r="C1467" s="13" t="s">
        <v>3479</v>
      </c>
      <c r="D1467" s="13" t="s">
        <v>15</v>
      </c>
      <c r="E1467" s="12" t="s">
        <v>16</v>
      </c>
      <c r="F1467" s="14">
        <v>47000</v>
      </c>
      <c r="G1467" s="14">
        <v>26800</v>
      </c>
      <c r="H1467" s="13" t="s">
        <v>33187</v>
      </c>
      <c r="I1467" s="40" t="s">
        <v>18</v>
      </c>
      <c r="J1467" s="40" t="str">
        <f>HYPERLINK("https://stock.pstatic.net/stock-research/company/56/20260714_company_14420000.pdf","PDF")</f>
        <v>PDF</v>
      </c>
      <c r="K1467" s="12" t="s">
        <v>33188</v>
      </c>
      <c r="L1467" s="36">
        <v>0.75373134328358204</v>
      </c>
    </row>
    <row r="1468" spans="1:12" x14ac:dyDescent="0.45">
      <c r="A1468" s="12" t="s">
        <v>33084</v>
      </c>
      <c r="B1468" s="12" t="s">
        <v>11375</v>
      </c>
      <c r="C1468" s="13" t="s">
        <v>11376</v>
      </c>
      <c r="D1468" s="13" t="s">
        <v>15</v>
      </c>
      <c r="E1468" s="12" t="s">
        <v>50</v>
      </c>
      <c r="F1468" s="13"/>
      <c r="G1468" s="14">
        <v>17330</v>
      </c>
      <c r="H1468" s="13" t="s">
        <v>33189</v>
      </c>
      <c r="I1468" s="40" t="s">
        <v>18</v>
      </c>
      <c r="J1468" s="40" t="str">
        <f>HYPERLINK("https://stock.pstatic.net/stock-research/company/56/20260714_company_729566000.pdf","PDF")</f>
        <v>PDF</v>
      </c>
      <c r="K1468" s="12" t="s">
        <v>33190</v>
      </c>
      <c r="L1468" s="12"/>
    </row>
    <row r="1469" spans="1:12" x14ac:dyDescent="0.45">
      <c r="A1469" s="12" t="s">
        <v>33084</v>
      </c>
      <c r="B1469" s="12" t="s">
        <v>756</v>
      </c>
      <c r="C1469" s="13" t="s">
        <v>757</v>
      </c>
      <c r="D1469" s="13" t="s">
        <v>179</v>
      </c>
      <c r="E1469" s="12" t="s">
        <v>16</v>
      </c>
      <c r="F1469" s="14">
        <v>140000</v>
      </c>
      <c r="G1469" s="14">
        <v>115800</v>
      </c>
      <c r="H1469" s="13" t="s">
        <v>33191</v>
      </c>
      <c r="I1469" s="40" t="s">
        <v>18</v>
      </c>
      <c r="J1469" s="40" t="str">
        <f>HYPERLINK("https://stock.pstatic.net/stock-research/company/64/20260714_company_939877000.pdf","PDF")</f>
        <v>PDF</v>
      </c>
      <c r="K1469" s="12" t="s">
        <v>33192</v>
      </c>
      <c r="L1469" s="36">
        <v>0.2089810017271157</v>
      </c>
    </row>
    <row r="1470" spans="1:12" x14ac:dyDescent="0.45">
      <c r="A1470" s="12" t="s">
        <v>33084</v>
      </c>
      <c r="B1470" s="12" t="s">
        <v>3105</v>
      </c>
      <c r="C1470" s="13" t="s">
        <v>3106</v>
      </c>
      <c r="D1470" s="13" t="s">
        <v>92</v>
      </c>
      <c r="E1470" s="12" t="s">
        <v>35</v>
      </c>
      <c r="F1470" s="14">
        <v>340000</v>
      </c>
      <c r="G1470" s="14">
        <v>213000</v>
      </c>
      <c r="H1470" s="13" t="s">
        <v>33193</v>
      </c>
      <c r="I1470" s="40" t="s">
        <v>18</v>
      </c>
      <c r="J1470" s="40" t="str">
        <f>HYPERLINK("https://stock.pstatic.net/stock-research/company/63/20260714_company_108409000.pdf","PDF")</f>
        <v>PDF</v>
      </c>
      <c r="K1470" s="12" t="s">
        <v>33194</v>
      </c>
      <c r="L1470" s="36">
        <v>0.59624413145539901</v>
      </c>
    </row>
    <row r="1471" spans="1:12" x14ac:dyDescent="0.45">
      <c r="A1471" s="12" t="s">
        <v>33084</v>
      </c>
      <c r="B1471" s="12" t="s">
        <v>2435</v>
      </c>
      <c r="C1471" s="13" t="s">
        <v>2436</v>
      </c>
      <c r="D1471" s="13" t="s">
        <v>179</v>
      </c>
      <c r="E1471" s="12" t="s">
        <v>16</v>
      </c>
      <c r="F1471" s="14">
        <v>970000</v>
      </c>
      <c r="G1471" s="14">
        <v>487500</v>
      </c>
      <c r="H1471" s="13" t="s">
        <v>33195</v>
      </c>
      <c r="I1471" s="40" t="s">
        <v>18</v>
      </c>
      <c r="J1471" s="40" t="str">
        <f>HYPERLINK("https://stock.pstatic.net/stock-research/company/64/20260714_company_672381000.pdf","PDF")</f>
        <v>PDF</v>
      </c>
      <c r="K1471" s="12" t="s">
        <v>33196</v>
      </c>
      <c r="L1471" s="36">
        <v>0.98974358974358978</v>
      </c>
    </row>
    <row r="1472" spans="1:12" x14ac:dyDescent="0.45">
      <c r="A1472" s="12" t="s">
        <v>33084</v>
      </c>
      <c r="B1472" s="12" t="s">
        <v>170</v>
      </c>
      <c r="C1472" s="13" t="s">
        <v>171</v>
      </c>
      <c r="D1472" s="13" t="s">
        <v>92</v>
      </c>
      <c r="E1472" s="12" t="s">
        <v>35</v>
      </c>
      <c r="F1472" s="14">
        <v>100000</v>
      </c>
      <c r="G1472" s="14">
        <v>79900</v>
      </c>
      <c r="H1472" s="13" t="s">
        <v>33197</v>
      </c>
      <c r="I1472" s="40" t="s">
        <v>18</v>
      </c>
      <c r="J1472" s="40" t="str">
        <f>HYPERLINK("https://stock.pstatic.net/stock-research/company/63/20260714_company_893759000.pdf","PDF")</f>
        <v>PDF</v>
      </c>
      <c r="K1472" s="12" t="s">
        <v>33198</v>
      </c>
      <c r="L1472" s="36">
        <v>0.25156445556946178</v>
      </c>
    </row>
    <row r="1473" spans="1:12" x14ac:dyDescent="0.45">
      <c r="A1473" s="12" t="s">
        <v>33084</v>
      </c>
      <c r="B1473" s="12" t="s">
        <v>8427</v>
      </c>
      <c r="C1473" s="13" t="s">
        <v>8428</v>
      </c>
      <c r="D1473" s="13" t="s">
        <v>179</v>
      </c>
      <c r="E1473" s="12" t="s">
        <v>50</v>
      </c>
      <c r="F1473" s="13"/>
      <c r="G1473" s="14">
        <v>36950</v>
      </c>
      <c r="H1473" s="13" t="s">
        <v>33199</v>
      </c>
      <c r="I1473" s="40" t="s">
        <v>18</v>
      </c>
      <c r="J1473" s="40" t="str">
        <f>HYPERLINK("https://stock.pstatic.net/stock-research/company/64/20260714_company_612016000.pdf","PDF")</f>
        <v>PDF</v>
      </c>
      <c r="K1473" s="12" t="s">
        <v>33200</v>
      </c>
      <c r="L1473" s="12"/>
    </row>
    <row r="1474" spans="1:12" x14ac:dyDescent="0.45">
      <c r="A1474" s="12" t="s">
        <v>33084</v>
      </c>
      <c r="B1474" s="12" t="s">
        <v>495</v>
      </c>
      <c r="C1474" s="13" t="s">
        <v>496</v>
      </c>
      <c r="D1474" s="13" t="s">
        <v>92</v>
      </c>
      <c r="E1474" s="12" t="s">
        <v>35</v>
      </c>
      <c r="F1474" s="14">
        <v>510000</v>
      </c>
      <c r="G1474" s="14">
        <v>380000</v>
      </c>
      <c r="H1474" s="13" t="s">
        <v>33201</v>
      </c>
      <c r="I1474" s="40" t="s">
        <v>18</v>
      </c>
      <c r="J1474" s="40" t="str">
        <f>HYPERLINK("https://stock.pstatic.net/stock-research/company/63/20260714_company_627109000.pdf","PDF")</f>
        <v>PDF</v>
      </c>
      <c r="K1474" s="12" t="s">
        <v>33202</v>
      </c>
      <c r="L1474" s="36">
        <v>0.34210526315789469</v>
      </c>
    </row>
    <row r="1475" spans="1:12" x14ac:dyDescent="0.45">
      <c r="A1475" s="12" t="s">
        <v>33084</v>
      </c>
      <c r="B1475" s="12" t="s">
        <v>1690</v>
      </c>
      <c r="C1475" s="13" t="s">
        <v>1691</v>
      </c>
      <c r="D1475" s="13" t="s">
        <v>34</v>
      </c>
      <c r="E1475" s="12" t="s">
        <v>35</v>
      </c>
      <c r="F1475" s="14">
        <v>190000</v>
      </c>
      <c r="G1475" s="14">
        <v>110200</v>
      </c>
      <c r="H1475" s="13" t="s">
        <v>33203</v>
      </c>
      <c r="I1475" s="40" t="s">
        <v>18</v>
      </c>
      <c r="J1475" s="40" t="str">
        <f>HYPERLINK("https://stock.pstatic.net/stock-research/company/61/20260714_company_563840000.pdf","PDF")</f>
        <v>PDF</v>
      </c>
      <c r="K1475" s="12" t="s">
        <v>33204</v>
      </c>
      <c r="L1475" s="36">
        <v>0.72413793103448276</v>
      </c>
    </row>
    <row r="1476" spans="1:12" x14ac:dyDescent="0.45">
      <c r="A1476" s="12" t="s">
        <v>33084</v>
      </c>
      <c r="B1476" s="12" t="s">
        <v>1278</v>
      </c>
      <c r="C1476" s="13" t="s">
        <v>1279</v>
      </c>
      <c r="D1476" s="13" t="s">
        <v>179</v>
      </c>
      <c r="E1476" s="12" t="s">
        <v>16</v>
      </c>
      <c r="F1476" s="14">
        <v>410000</v>
      </c>
      <c r="G1476" s="14">
        <v>237000</v>
      </c>
      <c r="H1476" s="13" t="s">
        <v>33205</v>
      </c>
      <c r="I1476" s="40" t="s">
        <v>18</v>
      </c>
      <c r="J1476" s="40" t="str">
        <f>HYPERLINK("https://stock.pstatic.net/stock-research/company/64/20260714_company_883371000.pdf","PDF")</f>
        <v>PDF</v>
      </c>
      <c r="K1476" s="12" t="s">
        <v>33206</v>
      </c>
      <c r="L1476" s="36">
        <v>0.72995780590717296</v>
      </c>
    </row>
    <row r="1477" spans="1:12" x14ac:dyDescent="0.45">
      <c r="A1477" s="12" t="s">
        <v>33084</v>
      </c>
      <c r="B1477" s="12" t="s">
        <v>334</v>
      </c>
      <c r="C1477" s="13" t="s">
        <v>335</v>
      </c>
      <c r="D1477" s="13" t="s">
        <v>15</v>
      </c>
      <c r="E1477" s="12" t="s">
        <v>16</v>
      </c>
      <c r="F1477" s="14">
        <v>4200000</v>
      </c>
      <c r="G1477" s="14">
        <v>1845000</v>
      </c>
      <c r="H1477" s="13" t="s">
        <v>33207</v>
      </c>
      <c r="I1477" s="40" t="s">
        <v>18</v>
      </c>
      <c r="J1477" s="40" t="str">
        <f>HYPERLINK("https://stock.pstatic.net/stock-research/company/56/20260714_company_93205000.pdf","PDF")</f>
        <v>PDF</v>
      </c>
      <c r="K1477" s="12" t="s">
        <v>33208</v>
      </c>
      <c r="L1477" s="36">
        <v>1.276422764227642</v>
      </c>
    </row>
    <row r="1478" spans="1:12" x14ac:dyDescent="0.45">
      <c r="A1478" s="12" t="s">
        <v>33084</v>
      </c>
      <c r="B1478" s="12" t="s">
        <v>1270</v>
      </c>
      <c r="C1478" s="13" t="s">
        <v>1271</v>
      </c>
      <c r="D1478" s="13" t="s">
        <v>179</v>
      </c>
      <c r="E1478" s="12" t="s">
        <v>16</v>
      </c>
      <c r="F1478" s="14">
        <v>170000</v>
      </c>
      <c r="G1478" s="14">
        <v>108800</v>
      </c>
      <c r="H1478" s="13" t="s">
        <v>33209</v>
      </c>
      <c r="I1478" s="40" t="s">
        <v>18</v>
      </c>
      <c r="J1478" s="40" t="str">
        <f>HYPERLINK("https://stock.pstatic.net/stock-research/company/64/20260714_company_621655000.pdf","PDF")</f>
        <v>PDF</v>
      </c>
      <c r="K1478" s="12" t="s">
        <v>33210</v>
      </c>
      <c r="L1478" s="36">
        <v>0.5625</v>
      </c>
    </row>
    <row r="1479" spans="1:12" x14ac:dyDescent="0.45">
      <c r="A1479" s="12" t="s">
        <v>33084</v>
      </c>
      <c r="B1479" s="12" t="s">
        <v>322</v>
      </c>
      <c r="C1479" s="13" t="s">
        <v>323</v>
      </c>
      <c r="D1479" s="13" t="s">
        <v>23</v>
      </c>
      <c r="E1479" s="12" t="s">
        <v>50</v>
      </c>
      <c r="F1479" s="13"/>
      <c r="G1479" s="14">
        <v>69500</v>
      </c>
      <c r="H1479" s="13" t="s">
        <v>33211</v>
      </c>
      <c r="I1479" s="40" t="s">
        <v>18</v>
      </c>
      <c r="J1479" s="40" t="str">
        <f>HYPERLINK("https://stock.pstatic.net/stock-research/company/21/20260714_company_325512000.pdf","PDF")</f>
        <v>PDF</v>
      </c>
      <c r="K1479" s="12" t="s">
        <v>33212</v>
      </c>
      <c r="L1479" s="12"/>
    </row>
    <row r="1480" spans="1:12" x14ac:dyDescent="0.45">
      <c r="A1480" s="12" t="s">
        <v>33084</v>
      </c>
      <c r="B1480" s="12" t="s">
        <v>792</v>
      </c>
      <c r="C1480" s="13" t="s">
        <v>793</v>
      </c>
      <c r="D1480" s="13" t="s">
        <v>92</v>
      </c>
      <c r="E1480" s="12" t="s">
        <v>35</v>
      </c>
      <c r="F1480" s="14">
        <v>80000</v>
      </c>
      <c r="G1480" s="14">
        <v>44800</v>
      </c>
      <c r="H1480" s="13" t="s">
        <v>33213</v>
      </c>
      <c r="I1480" s="40" t="s">
        <v>18</v>
      </c>
      <c r="J1480" s="40" t="str">
        <f>HYPERLINK("https://stock.pstatic.net/stock-research/company/63/20260714_company_497975000.pdf","PDF")</f>
        <v>PDF</v>
      </c>
      <c r="K1480" s="12" t="s">
        <v>33214</v>
      </c>
      <c r="L1480" s="36">
        <v>0.7857142857142857</v>
      </c>
    </row>
    <row r="1481" spans="1:12" x14ac:dyDescent="0.45">
      <c r="A1481" s="12" t="s">
        <v>33084</v>
      </c>
      <c r="B1481" s="12" t="s">
        <v>1741</v>
      </c>
      <c r="C1481" s="13" t="s">
        <v>1742</v>
      </c>
      <c r="D1481" s="13" t="s">
        <v>23</v>
      </c>
      <c r="E1481" s="12" t="s">
        <v>16</v>
      </c>
      <c r="F1481" s="14">
        <v>46000</v>
      </c>
      <c r="G1481" s="14">
        <v>31400</v>
      </c>
      <c r="H1481" s="13" t="s">
        <v>33215</v>
      </c>
      <c r="I1481" s="40" t="s">
        <v>18</v>
      </c>
      <c r="J1481" s="40" t="str">
        <f>HYPERLINK("https://stock.pstatic.net/stock-research/company/21/20260714_company_971966000.pdf","PDF")</f>
        <v>PDF</v>
      </c>
      <c r="K1481" s="12" t="s">
        <v>33216</v>
      </c>
      <c r="L1481" s="36">
        <v>0.46496815286624199</v>
      </c>
    </row>
    <row r="1482" spans="1:12" x14ac:dyDescent="0.45">
      <c r="A1482" s="12" t="s">
        <v>33084</v>
      </c>
      <c r="B1482" s="12" t="s">
        <v>3204</v>
      </c>
      <c r="C1482" s="13" t="s">
        <v>3205</v>
      </c>
      <c r="D1482" s="13" t="s">
        <v>23</v>
      </c>
      <c r="E1482" s="12" t="s">
        <v>385</v>
      </c>
      <c r="F1482" s="13"/>
      <c r="G1482" s="14">
        <v>16010</v>
      </c>
      <c r="H1482" s="13" t="s">
        <v>33217</v>
      </c>
      <c r="I1482" s="40" t="s">
        <v>18</v>
      </c>
      <c r="J1482" s="40" t="str">
        <f>HYPERLINK("https://stock.pstatic.net/stock-research/company/21/20260714_company_77388000.pdf","PDF")</f>
        <v>PDF</v>
      </c>
      <c r="K1482" s="12" t="s">
        <v>33218</v>
      </c>
      <c r="L1482" s="12"/>
    </row>
    <row r="1483" spans="1:12" x14ac:dyDescent="0.45">
      <c r="A1483" s="12" t="s">
        <v>33084</v>
      </c>
      <c r="B1483" s="12" t="s">
        <v>7544</v>
      </c>
      <c r="C1483" s="13" t="s">
        <v>7545</v>
      </c>
      <c r="D1483" s="13" t="s">
        <v>23</v>
      </c>
      <c r="E1483" s="12" t="s">
        <v>385</v>
      </c>
      <c r="F1483" s="13"/>
      <c r="G1483" s="14">
        <v>17600</v>
      </c>
      <c r="H1483" s="13" t="s">
        <v>33085</v>
      </c>
      <c r="I1483" s="40" t="s">
        <v>18</v>
      </c>
      <c r="J1483" s="40" t="str">
        <f>HYPERLINK("https://stock.pstatic.net/stock-research/company/21/20260714_company_882142000.pdf","PDF")</f>
        <v>PDF</v>
      </c>
      <c r="K1483" s="12" t="s">
        <v>33086</v>
      </c>
      <c r="L1483" s="12"/>
    </row>
    <row r="1484" spans="1:12" x14ac:dyDescent="0.45">
      <c r="A1484" s="12" t="s">
        <v>33084</v>
      </c>
      <c r="B1484" s="12" t="s">
        <v>888</v>
      </c>
      <c r="C1484" s="13" t="s">
        <v>889</v>
      </c>
      <c r="D1484" s="13" t="s">
        <v>23</v>
      </c>
      <c r="E1484" s="12" t="s">
        <v>16</v>
      </c>
      <c r="F1484" s="14">
        <v>100000</v>
      </c>
      <c r="G1484" s="14">
        <v>61100</v>
      </c>
      <c r="H1484" s="13" t="s">
        <v>33087</v>
      </c>
      <c r="I1484" s="40" t="s">
        <v>18</v>
      </c>
      <c r="J1484" s="40" t="str">
        <f>HYPERLINK("https://stock.pstatic.net/stock-research/company/21/20260714_company_536388000.pdf","PDF")</f>
        <v>PDF</v>
      </c>
      <c r="K1484" s="12" t="s">
        <v>33088</v>
      </c>
      <c r="L1484" s="36">
        <v>0.63666121112929619</v>
      </c>
    </row>
    <row r="1485" spans="1:12" x14ac:dyDescent="0.45">
      <c r="A1485" s="12" t="s">
        <v>33084</v>
      </c>
      <c r="B1485" s="12" t="s">
        <v>2762</v>
      </c>
      <c r="C1485" s="13" t="s">
        <v>2763</v>
      </c>
      <c r="D1485" s="13" t="s">
        <v>23</v>
      </c>
      <c r="E1485" s="12" t="s">
        <v>16</v>
      </c>
      <c r="F1485" s="14">
        <v>70000</v>
      </c>
      <c r="G1485" s="14">
        <v>47950</v>
      </c>
      <c r="H1485" s="13" t="s">
        <v>33089</v>
      </c>
      <c r="I1485" s="40" t="s">
        <v>18</v>
      </c>
      <c r="J1485" s="40" t="str">
        <f>HYPERLINK("https://stock.pstatic.net/stock-research/company/21/20260714_company_396906000.pdf","PDF")</f>
        <v>PDF</v>
      </c>
      <c r="K1485" s="12" t="s">
        <v>33090</v>
      </c>
      <c r="L1485" s="36">
        <v>0.45985401459854008</v>
      </c>
    </row>
    <row r="1486" spans="1:12" x14ac:dyDescent="0.45">
      <c r="A1486" s="12" t="s">
        <v>33084</v>
      </c>
      <c r="B1486" s="12" t="s">
        <v>2982</v>
      </c>
      <c r="C1486" s="13" t="s">
        <v>2983</v>
      </c>
      <c r="D1486" s="13" t="s">
        <v>44</v>
      </c>
      <c r="E1486" s="12" t="s">
        <v>35</v>
      </c>
      <c r="F1486" s="14">
        <v>120000</v>
      </c>
      <c r="G1486" s="14">
        <v>60300</v>
      </c>
      <c r="H1486" s="13" t="s">
        <v>33091</v>
      </c>
      <c r="I1486" s="40" t="s">
        <v>18</v>
      </c>
      <c r="J1486" s="40" t="str">
        <f>HYPERLINK("https://stock.pstatic.net/stock-research/company/39/20260714_company_114563000.pdf","PDF")</f>
        <v>PDF</v>
      </c>
      <c r="K1486" s="12" t="s">
        <v>33092</v>
      </c>
      <c r="L1486" s="36">
        <v>0.99004975124378114</v>
      </c>
    </row>
    <row r="1487" spans="1:12" x14ac:dyDescent="0.45">
      <c r="A1487" s="12" t="s">
        <v>33084</v>
      </c>
      <c r="B1487" s="12" t="s">
        <v>3204</v>
      </c>
      <c r="C1487" s="13" t="s">
        <v>3205</v>
      </c>
      <c r="D1487" s="13" t="s">
        <v>44</v>
      </c>
      <c r="E1487" s="12" t="s">
        <v>35</v>
      </c>
      <c r="F1487" s="14">
        <v>23000</v>
      </c>
      <c r="G1487" s="14">
        <v>16010</v>
      </c>
      <c r="H1487" s="13" t="s">
        <v>33093</v>
      </c>
      <c r="I1487" s="40" t="s">
        <v>18</v>
      </c>
      <c r="J1487" s="40" t="str">
        <f>HYPERLINK("https://stock.pstatic.net/stock-research/company/39/20260714_company_199385000.pdf","PDF")</f>
        <v>PDF</v>
      </c>
      <c r="K1487" s="12" t="s">
        <v>33094</v>
      </c>
      <c r="L1487" s="36">
        <v>0.43660212367270462</v>
      </c>
    </row>
    <row r="1488" spans="1:12" x14ac:dyDescent="0.45">
      <c r="A1488" s="12" t="s">
        <v>33084</v>
      </c>
      <c r="B1488" s="12" t="s">
        <v>2089</v>
      </c>
      <c r="C1488" s="13" t="s">
        <v>2090</v>
      </c>
      <c r="D1488" s="13" t="s">
        <v>34</v>
      </c>
      <c r="E1488" s="12" t="s">
        <v>35</v>
      </c>
      <c r="F1488" s="14">
        <v>170000</v>
      </c>
      <c r="G1488" s="14">
        <v>139500</v>
      </c>
      <c r="H1488" s="13" t="s">
        <v>33095</v>
      </c>
      <c r="I1488" s="40" t="s">
        <v>18</v>
      </c>
      <c r="J1488" s="40" t="str">
        <f>HYPERLINK("https://stock.pstatic.net/stock-research/company/61/20260714_company_425039000.pdf","PDF")</f>
        <v>PDF</v>
      </c>
      <c r="K1488" s="12" t="s">
        <v>33096</v>
      </c>
      <c r="L1488" s="36">
        <v>0.2186379928315412</v>
      </c>
    </row>
    <row r="1489" spans="1:12" x14ac:dyDescent="0.45">
      <c r="A1489" s="12" t="s">
        <v>33084</v>
      </c>
      <c r="B1489" s="12" t="s">
        <v>1258</v>
      </c>
      <c r="C1489" s="13" t="s">
        <v>1259</v>
      </c>
      <c r="D1489" s="13" t="s">
        <v>34</v>
      </c>
      <c r="E1489" s="12" t="s">
        <v>35</v>
      </c>
      <c r="F1489" s="14">
        <v>740000</v>
      </c>
      <c r="G1489" s="14">
        <v>639000</v>
      </c>
      <c r="H1489" s="13" t="s">
        <v>33097</v>
      </c>
      <c r="I1489" s="40" t="s">
        <v>18</v>
      </c>
      <c r="J1489" s="40" t="str">
        <f>HYPERLINK("https://stock.pstatic.net/stock-research/company/61/20260714_company_735737000.pdf","PDF")</f>
        <v>PDF</v>
      </c>
      <c r="K1489" s="12" t="s">
        <v>33098</v>
      </c>
      <c r="L1489" s="36">
        <v>0.15805946791862291</v>
      </c>
    </row>
    <row r="1490" spans="1:12" x14ac:dyDescent="0.45">
      <c r="A1490" s="12" t="s">
        <v>33084</v>
      </c>
      <c r="B1490" s="12" t="s">
        <v>1266</v>
      </c>
      <c r="C1490" s="13" t="s">
        <v>1267</v>
      </c>
      <c r="D1490" s="13" t="s">
        <v>34</v>
      </c>
      <c r="E1490" s="12" t="s">
        <v>35</v>
      </c>
      <c r="F1490" s="14">
        <v>380000</v>
      </c>
      <c r="G1490" s="14">
        <v>326000</v>
      </c>
      <c r="H1490" s="13" t="s">
        <v>33099</v>
      </c>
      <c r="I1490" s="40" t="s">
        <v>18</v>
      </c>
      <c r="J1490" s="40" t="str">
        <f>HYPERLINK("https://stock.pstatic.net/stock-research/company/61/20260714_company_200940000.pdf","PDF")</f>
        <v>PDF</v>
      </c>
      <c r="K1490" s="12" t="s">
        <v>33100</v>
      </c>
      <c r="L1490" s="36">
        <v>0.16564417177914109</v>
      </c>
    </row>
    <row r="1491" spans="1:12" x14ac:dyDescent="0.45">
      <c r="A1491" s="12" t="s">
        <v>33084</v>
      </c>
      <c r="B1491" s="12" t="s">
        <v>23652</v>
      </c>
      <c r="C1491" s="13" t="s">
        <v>23653</v>
      </c>
      <c r="D1491" s="13" t="s">
        <v>44</v>
      </c>
      <c r="E1491" s="12" t="s">
        <v>50</v>
      </c>
      <c r="F1491" s="13"/>
      <c r="G1491" s="14">
        <v>9720</v>
      </c>
      <c r="H1491" s="13" t="s">
        <v>33101</v>
      </c>
      <c r="I1491" s="40" t="s">
        <v>18</v>
      </c>
      <c r="J1491" s="40" t="str">
        <f>HYPERLINK("https://stock.pstatic.net/stock-research/company/39/20260714_company_438187000.pdf","PDF")</f>
        <v>PDF</v>
      </c>
      <c r="K1491" s="12" t="s">
        <v>33102</v>
      </c>
      <c r="L1491" s="12"/>
    </row>
    <row r="1492" spans="1:12" x14ac:dyDescent="0.45">
      <c r="A1492" s="12" t="s">
        <v>33084</v>
      </c>
      <c r="B1492" s="12" t="s">
        <v>2105</v>
      </c>
      <c r="C1492" s="13" t="s">
        <v>2106</v>
      </c>
      <c r="D1492" s="13" t="s">
        <v>44</v>
      </c>
      <c r="E1492" s="12" t="s">
        <v>35</v>
      </c>
      <c r="F1492" s="14">
        <v>65000</v>
      </c>
      <c r="G1492" s="14">
        <v>34150</v>
      </c>
      <c r="H1492" s="13" t="s">
        <v>33103</v>
      </c>
      <c r="I1492" s="40" t="s">
        <v>18</v>
      </c>
      <c r="J1492" s="40" t="str">
        <f>HYPERLINK("https://stock.pstatic.net/stock-research/company/39/20260714_company_635786000.pdf","PDF")</f>
        <v>PDF</v>
      </c>
      <c r="K1492" s="12" t="s">
        <v>33104</v>
      </c>
      <c r="L1492" s="36">
        <v>0.90336749633967794</v>
      </c>
    </row>
    <row r="1493" spans="1:12" x14ac:dyDescent="0.45">
      <c r="A1493" s="12" t="s">
        <v>33084</v>
      </c>
      <c r="B1493" s="12" t="s">
        <v>577</v>
      </c>
      <c r="C1493" s="13" t="s">
        <v>578</v>
      </c>
      <c r="D1493" s="13" t="s">
        <v>44</v>
      </c>
      <c r="E1493" s="12" t="s">
        <v>35</v>
      </c>
      <c r="F1493" s="14">
        <v>700000</v>
      </c>
      <c r="G1493" s="14">
        <v>487500</v>
      </c>
      <c r="H1493" s="13" t="s">
        <v>33105</v>
      </c>
      <c r="I1493" s="40" t="s">
        <v>18</v>
      </c>
      <c r="J1493" s="40" t="str">
        <f>HYPERLINK("https://stock.pstatic.net/stock-research/company/39/20260714_company_800769000.pdf","PDF")</f>
        <v>PDF</v>
      </c>
      <c r="K1493" s="12" t="s">
        <v>33106</v>
      </c>
      <c r="L1493" s="36">
        <v>0.4358974358974359</v>
      </c>
    </row>
    <row r="1494" spans="1:12" x14ac:dyDescent="0.45">
      <c r="A1494" s="12" t="s">
        <v>33084</v>
      </c>
      <c r="B1494" s="12" t="s">
        <v>6632</v>
      </c>
      <c r="C1494" s="13" t="s">
        <v>6633</v>
      </c>
      <c r="D1494" s="13" t="s">
        <v>124</v>
      </c>
      <c r="E1494" s="12" t="s">
        <v>50</v>
      </c>
      <c r="F1494" s="13"/>
      <c r="G1494" s="13"/>
      <c r="H1494" s="13" t="s">
        <v>33107</v>
      </c>
      <c r="I1494" s="40" t="s">
        <v>18</v>
      </c>
      <c r="J1494" s="40" t="str">
        <f>HYPERLINK("https://stock.pstatic.net/stock-research/company/74/20260714_company_881198000.pdf","PDF")</f>
        <v>PDF</v>
      </c>
      <c r="K1494" s="12" t="s">
        <v>33108</v>
      </c>
      <c r="L1494" s="12"/>
    </row>
    <row r="1495" spans="1:12" x14ac:dyDescent="0.45">
      <c r="A1495" s="12" t="s">
        <v>33084</v>
      </c>
      <c r="B1495" s="12" t="s">
        <v>577</v>
      </c>
      <c r="C1495" s="13" t="s">
        <v>578</v>
      </c>
      <c r="D1495" s="13" t="s">
        <v>15</v>
      </c>
      <c r="E1495" s="12" t="s">
        <v>16</v>
      </c>
      <c r="F1495" s="14">
        <v>920000</v>
      </c>
      <c r="G1495" s="14">
        <v>488000</v>
      </c>
      <c r="H1495" s="13" t="s">
        <v>33109</v>
      </c>
      <c r="I1495" s="40" t="s">
        <v>18</v>
      </c>
      <c r="J1495" s="40" t="str">
        <f>HYPERLINK("https://stock.pstatic.net/stock-research/company/56/20260714_company_159102000.pdf","PDF")</f>
        <v>PDF</v>
      </c>
      <c r="K1495" s="12" t="s">
        <v>33110</v>
      </c>
      <c r="L1495" s="36">
        <v>0.88524590163934425</v>
      </c>
    </row>
    <row r="1496" spans="1:12" x14ac:dyDescent="0.45">
      <c r="A1496" s="12" t="s">
        <v>33084</v>
      </c>
      <c r="B1496" s="12" t="s">
        <v>1765</v>
      </c>
      <c r="C1496" s="13" t="s">
        <v>1766</v>
      </c>
      <c r="D1496" s="13" t="s">
        <v>15</v>
      </c>
      <c r="E1496" s="12" t="s">
        <v>16</v>
      </c>
      <c r="F1496" s="14">
        <v>240000</v>
      </c>
      <c r="G1496" s="14">
        <v>147500</v>
      </c>
      <c r="H1496" s="13" t="s">
        <v>33111</v>
      </c>
      <c r="I1496" s="40" t="s">
        <v>18</v>
      </c>
      <c r="J1496" s="40" t="str">
        <f>HYPERLINK("https://stock.pstatic.net/stock-research/company/56/20260714_company_32193000.pdf","PDF")</f>
        <v>PDF</v>
      </c>
      <c r="K1496" s="12" t="s">
        <v>33112</v>
      </c>
      <c r="L1496" s="36">
        <v>0.6271186440677966</v>
      </c>
    </row>
    <row r="1497" spans="1:12" x14ac:dyDescent="0.45">
      <c r="A1497" s="12" t="s">
        <v>32999</v>
      </c>
      <c r="B1497" s="12" t="s">
        <v>1678</v>
      </c>
      <c r="C1497" s="13" t="s">
        <v>1679</v>
      </c>
      <c r="D1497" s="13" t="s">
        <v>57</v>
      </c>
      <c r="E1497" s="12" t="s">
        <v>35</v>
      </c>
      <c r="F1497" s="14">
        <v>60000</v>
      </c>
      <c r="G1497" s="14">
        <v>34050</v>
      </c>
      <c r="H1497" s="13" t="s">
        <v>33000</v>
      </c>
      <c r="I1497" s="40" t="s">
        <v>18</v>
      </c>
      <c r="J1497" s="40" t="str">
        <f>HYPERLINK("https://stock.pstatic.net/stock-research/company/16/20260713_company_811164000.pdf","PDF")</f>
        <v>PDF</v>
      </c>
      <c r="K1497" s="12" t="s">
        <v>33001</v>
      </c>
      <c r="L1497" s="36">
        <v>0.76211453744493396</v>
      </c>
    </row>
    <row r="1498" spans="1:12" x14ac:dyDescent="0.45">
      <c r="A1498" s="12" t="s">
        <v>32999</v>
      </c>
      <c r="B1498" s="12" t="s">
        <v>3296</v>
      </c>
      <c r="C1498" s="13" t="s">
        <v>3297</v>
      </c>
      <c r="D1498" s="13" t="s">
        <v>276</v>
      </c>
      <c r="E1498" s="12" t="s">
        <v>16</v>
      </c>
      <c r="F1498" s="14">
        <v>61000</v>
      </c>
      <c r="G1498" s="14">
        <v>40800</v>
      </c>
      <c r="H1498" s="13" t="s">
        <v>33002</v>
      </c>
      <c r="I1498" s="40" t="s">
        <v>18</v>
      </c>
      <c r="J1498" s="40" t="str">
        <f>HYPERLINK("https://stock.pstatic.net/stock-research/company/66/20260713_company_264904000.pdf","PDF")</f>
        <v>PDF</v>
      </c>
      <c r="K1498" s="12" t="s">
        <v>33003</v>
      </c>
      <c r="L1498" s="36">
        <v>0.49509803921568629</v>
      </c>
    </row>
    <row r="1499" spans="1:12" x14ac:dyDescent="0.45">
      <c r="A1499" s="12" t="s">
        <v>32999</v>
      </c>
      <c r="B1499" s="12" t="s">
        <v>63</v>
      </c>
      <c r="C1499" s="13" t="s">
        <v>64</v>
      </c>
      <c r="D1499" s="13" t="s">
        <v>60</v>
      </c>
      <c r="E1499" s="12" t="s">
        <v>35</v>
      </c>
      <c r="F1499" s="14">
        <v>700000</v>
      </c>
      <c r="G1499" s="14">
        <v>389000</v>
      </c>
      <c r="H1499" s="13" t="s">
        <v>33004</v>
      </c>
      <c r="I1499" s="40" t="s">
        <v>18</v>
      </c>
      <c r="J1499" s="40" t="str">
        <f>HYPERLINK("https://stock.pstatic.net/stock-research/company/62/20260713_company_382017000.pdf","PDF")</f>
        <v>PDF</v>
      </c>
      <c r="K1499" s="12" t="s">
        <v>33005</v>
      </c>
      <c r="L1499" s="36">
        <v>0.7994858611825193</v>
      </c>
    </row>
    <row r="1500" spans="1:12" x14ac:dyDescent="0.45">
      <c r="A1500" s="12" t="s">
        <v>32999</v>
      </c>
      <c r="B1500" s="12" t="s">
        <v>1308</v>
      </c>
      <c r="C1500" s="13" t="s">
        <v>1309</v>
      </c>
      <c r="D1500" s="13" t="s">
        <v>60</v>
      </c>
      <c r="E1500" s="12" t="s">
        <v>35</v>
      </c>
      <c r="F1500" s="14">
        <v>570000</v>
      </c>
      <c r="G1500" s="14">
        <v>356000</v>
      </c>
      <c r="H1500" s="13" t="s">
        <v>33006</v>
      </c>
      <c r="I1500" s="40" t="s">
        <v>18</v>
      </c>
      <c r="J1500" s="40" t="str">
        <f>HYPERLINK("https://stock.pstatic.net/stock-research/company/62/20260713_company_773611000.pdf","PDF")</f>
        <v>PDF</v>
      </c>
      <c r="K1500" s="12" t="s">
        <v>33007</v>
      </c>
      <c r="L1500" s="36">
        <v>0.601123595505618</v>
      </c>
    </row>
    <row r="1501" spans="1:12" x14ac:dyDescent="0.45">
      <c r="A1501" s="12" t="s">
        <v>32999</v>
      </c>
      <c r="B1501" s="12" t="s">
        <v>736</v>
      </c>
      <c r="C1501" s="13" t="s">
        <v>737</v>
      </c>
      <c r="D1501" s="13" t="s">
        <v>65</v>
      </c>
      <c r="E1501" s="12" t="s">
        <v>35</v>
      </c>
      <c r="F1501" s="14">
        <v>550000</v>
      </c>
      <c r="G1501" s="14">
        <v>197800</v>
      </c>
      <c r="H1501" s="13" t="s">
        <v>33008</v>
      </c>
      <c r="I1501" s="40" t="s">
        <v>18</v>
      </c>
      <c r="J1501" s="40" t="str">
        <f>HYPERLINK("https://stock.pstatic.net/stock-research/company/57/20260713_company_521116000.pdf","PDF")</f>
        <v>PDF</v>
      </c>
      <c r="K1501" s="12" t="s">
        <v>33009</v>
      </c>
      <c r="L1501" s="36">
        <v>1.780586450960566</v>
      </c>
    </row>
    <row r="1502" spans="1:12" x14ac:dyDescent="0.45">
      <c r="A1502" s="12" t="s">
        <v>32999</v>
      </c>
      <c r="B1502" s="12" t="s">
        <v>1087</v>
      </c>
      <c r="C1502" s="13" t="s">
        <v>1088</v>
      </c>
      <c r="D1502" s="13" t="s">
        <v>65</v>
      </c>
      <c r="E1502" s="12" t="s">
        <v>35</v>
      </c>
      <c r="F1502" s="14">
        <v>210000</v>
      </c>
      <c r="G1502" s="14">
        <v>123600</v>
      </c>
      <c r="H1502" s="13" t="s">
        <v>33010</v>
      </c>
      <c r="I1502" s="40" t="s">
        <v>18</v>
      </c>
      <c r="J1502" s="40" t="str">
        <f>HYPERLINK("https://stock.pstatic.net/stock-research/company/57/20260713_company_506574000.pdf","PDF")</f>
        <v>PDF</v>
      </c>
      <c r="K1502" s="12" t="s">
        <v>33011</v>
      </c>
      <c r="L1502" s="36">
        <v>0.69902912621359226</v>
      </c>
    </row>
    <row r="1503" spans="1:12" x14ac:dyDescent="0.45">
      <c r="A1503" s="12" t="s">
        <v>32999</v>
      </c>
      <c r="B1503" s="12" t="s">
        <v>3168</v>
      </c>
      <c r="C1503" s="13" t="s">
        <v>3169</v>
      </c>
      <c r="D1503" s="13" t="s">
        <v>65</v>
      </c>
      <c r="E1503" s="12" t="s">
        <v>35</v>
      </c>
      <c r="F1503" s="14">
        <v>24500</v>
      </c>
      <c r="G1503" s="14">
        <v>17850</v>
      </c>
      <c r="H1503" s="13" t="s">
        <v>33012</v>
      </c>
      <c r="I1503" s="40" t="s">
        <v>18</v>
      </c>
      <c r="J1503" s="40" t="str">
        <f>HYPERLINK("https://stock.pstatic.net/stock-research/company/57/20260713_company_575187000.pdf","PDF")</f>
        <v>PDF</v>
      </c>
      <c r="K1503" s="12" t="s">
        <v>33013</v>
      </c>
      <c r="L1503" s="36">
        <v>0.37254901960784309</v>
      </c>
    </row>
    <row r="1504" spans="1:12" x14ac:dyDescent="0.45">
      <c r="A1504" s="12" t="s">
        <v>32999</v>
      </c>
      <c r="B1504" s="12" t="s">
        <v>166</v>
      </c>
      <c r="C1504" s="13" t="s">
        <v>167</v>
      </c>
      <c r="D1504" s="13" t="s">
        <v>65</v>
      </c>
      <c r="E1504" s="12" t="s">
        <v>35</v>
      </c>
      <c r="F1504" s="14">
        <v>80000</v>
      </c>
      <c r="G1504" s="14">
        <v>45550</v>
      </c>
      <c r="H1504" s="13" t="s">
        <v>33014</v>
      </c>
      <c r="I1504" s="40" t="s">
        <v>18</v>
      </c>
      <c r="J1504" s="40" t="str">
        <f>HYPERLINK("https://stock.pstatic.net/stock-research/company/57/20260713_company_131336000.pdf","PDF")</f>
        <v>PDF</v>
      </c>
      <c r="K1504" s="12" t="s">
        <v>33015</v>
      </c>
      <c r="L1504" s="36">
        <v>0.75631174533479695</v>
      </c>
    </row>
    <row r="1505" spans="1:12" x14ac:dyDescent="0.45">
      <c r="A1505" s="12" t="s">
        <v>32999</v>
      </c>
      <c r="B1505" s="12" t="s">
        <v>356</v>
      </c>
      <c r="C1505" s="13" t="s">
        <v>357</v>
      </c>
      <c r="D1505" s="13" t="s">
        <v>44</v>
      </c>
      <c r="E1505" s="12" t="s">
        <v>35</v>
      </c>
      <c r="F1505" s="14">
        <v>120000</v>
      </c>
      <c r="G1505" s="14">
        <v>75200</v>
      </c>
      <c r="H1505" s="13" t="s">
        <v>33016</v>
      </c>
      <c r="I1505" s="40" t="s">
        <v>18</v>
      </c>
      <c r="J1505" s="40" t="str">
        <f>HYPERLINK("https://stock.pstatic.net/stock-research/company/39/20260713_company_833073000.pdf","PDF")</f>
        <v>PDF</v>
      </c>
      <c r="K1505" s="12" t="s">
        <v>33017</v>
      </c>
      <c r="L1505" s="36">
        <v>0.5957446808510638</v>
      </c>
    </row>
    <row r="1506" spans="1:12" x14ac:dyDescent="0.45">
      <c r="A1506" s="12" t="s">
        <v>32999</v>
      </c>
      <c r="B1506" s="12" t="s">
        <v>3482</v>
      </c>
      <c r="C1506" s="13" t="s">
        <v>3483</v>
      </c>
      <c r="D1506" s="13" t="s">
        <v>158</v>
      </c>
      <c r="E1506" s="12" t="s">
        <v>35</v>
      </c>
      <c r="F1506" s="14">
        <v>170000</v>
      </c>
      <c r="G1506" s="14">
        <v>128500</v>
      </c>
      <c r="H1506" s="13" t="s">
        <v>33018</v>
      </c>
      <c r="I1506" s="40" t="s">
        <v>18</v>
      </c>
      <c r="J1506" s="40" t="str">
        <f>HYPERLINK("https://stock.pstatic.net/stock-research/company/18/20260713_company_96508000.pdf","PDF")</f>
        <v>PDF</v>
      </c>
      <c r="K1506" s="12" t="s">
        <v>33019</v>
      </c>
      <c r="L1506" s="36">
        <v>0.32295719844357978</v>
      </c>
    </row>
    <row r="1507" spans="1:12" x14ac:dyDescent="0.45">
      <c r="A1507" s="12" t="s">
        <v>32999</v>
      </c>
      <c r="B1507" s="12" t="s">
        <v>2944</v>
      </c>
      <c r="C1507" s="13" t="s">
        <v>2945</v>
      </c>
      <c r="D1507" s="13" t="s">
        <v>158</v>
      </c>
      <c r="E1507" s="12" t="s">
        <v>35</v>
      </c>
      <c r="F1507" s="14">
        <v>24500</v>
      </c>
      <c r="G1507" s="14">
        <v>17850</v>
      </c>
      <c r="H1507" s="13" t="s">
        <v>33020</v>
      </c>
      <c r="I1507" s="40" t="s">
        <v>18</v>
      </c>
      <c r="J1507" s="40" t="str">
        <f>HYPERLINK("https://stock.pstatic.net/stock-research/company/18/20260713_company_350155000.pdf","PDF")</f>
        <v>PDF</v>
      </c>
      <c r="K1507" s="12" t="s">
        <v>33021</v>
      </c>
      <c r="L1507" s="36">
        <v>0.37254901960784309</v>
      </c>
    </row>
    <row r="1508" spans="1:12" x14ac:dyDescent="0.45">
      <c r="A1508" s="12" t="s">
        <v>32999</v>
      </c>
      <c r="B1508" s="12" t="s">
        <v>3688</v>
      </c>
      <c r="C1508" s="13" t="s">
        <v>3689</v>
      </c>
      <c r="D1508" s="13" t="s">
        <v>158</v>
      </c>
      <c r="E1508" s="12" t="s">
        <v>35</v>
      </c>
      <c r="F1508" s="14">
        <v>129000</v>
      </c>
      <c r="G1508" s="14">
        <v>109200</v>
      </c>
      <c r="H1508" s="13" t="s">
        <v>33022</v>
      </c>
      <c r="I1508" s="40" t="s">
        <v>18</v>
      </c>
      <c r="J1508" s="40" t="str">
        <f>HYPERLINK("https://stock.pstatic.net/stock-research/company/18/20260713_company_139519000.pdf","PDF")</f>
        <v>PDF</v>
      </c>
      <c r="K1508" s="12" t="s">
        <v>33023</v>
      </c>
      <c r="L1508" s="36">
        <v>0.18131868131868131</v>
      </c>
    </row>
    <row r="1509" spans="1:12" x14ac:dyDescent="0.45">
      <c r="A1509" s="12" t="s">
        <v>32999</v>
      </c>
      <c r="B1509" s="12" t="s">
        <v>3087</v>
      </c>
      <c r="C1509" s="13" t="s">
        <v>3088</v>
      </c>
      <c r="D1509" s="13" t="s">
        <v>158</v>
      </c>
      <c r="E1509" s="12" t="s">
        <v>35</v>
      </c>
      <c r="F1509" s="14">
        <v>412000</v>
      </c>
      <c r="G1509" s="14">
        <v>197200</v>
      </c>
      <c r="H1509" s="13" t="s">
        <v>33024</v>
      </c>
      <c r="I1509" s="40" t="s">
        <v>18</v>
      </c>
      <c r="J1509" s="40" t="str">
        <f>HYPERLINK("https://stock.pstatic.net/stock-research/company/18/20260713_company_587801000.pdf","PDF")</f>
        <v>PDF</v>
      </c>
      <c r="K1509" s="12" t="s">
        <v>33025</v>
      </c>
      <c r="L1509" s="36">
        <v>1.089249492900608</v>
      </c>
    </row>
    <row r="1510" spans="1:12" x14ac:dyDescent="0.45">
      <c r="A1510" s="12" t="s">
        <v>32999</v>
      </c>
      <c r="B1510" s="12" t="s">
        <v>744</v>
      </c>
      <c r="C1510" s="13" t="s">
        <v>745</v>
      </c>
      <c r="D1510" s="13" t="s">
        <v>158</v>
      </c>
      <c r="E1510" s="12" t="s">
        <v>35</v>
      </c>
      <c r="F1510" s="14">
        <v>38000</v>
      </c>
      <c r="G1510" s="14">
        <v>22350</v>
      </c>
      <c r="H1510" s="13" t="s">
        <v>33026</v>
      </c>
      <c r="I1510" s="40" t="s">
        <v>18</v>
      </c>
      <c r="J1510" s="40" t="str">
        <f>HYPERLINK("https://stock.pstatic.net/stock-research/company/18/20260713_company_355854000.pdf","PDF")</f>
        <v>PDF</v>
      </c>
      <c r="K1510" s="12" t="s">
        <v>33027</v>
      </c>
      <c r="L1510" s="36">
        <v>0.70022371364653246</v>
      </c>
    </row>
    <row r="1511" spans="1:12" x14ac:dyDescent="0.45">
      <c r="A1511" s="12" t="s">
        <v>32999</v>
      </c>
      <c r="B1511" s="12" t="s">
        <v>166</v>
      </c>
      <c r="C1511" s="13" t="s">
        <v>167</v>
      </c>
      <c r="D1511" s="13" t="s">
        <v>158</v>
      </c>
      <c r="E1511" s="12" t="s">
        <v>50</v>
      </c>
      <c r="F1511" s="13"/>
      <c r="G1511" s="14">
        <v>45550</v>
      </c>
      <c r="H1511" s="13" t="s">
        <v>33028</v>
      </c>
      <c r="I1511" s="40" t="s">
        <v>18</v>
      </c>
      <c r="J1511" s="40" t="str">
        <f>HYPERLINK("https://stock.pstatic.net/stock-research/company/18/20260713_company_575169000.pdf","PDF")</f>
        <v>PDF</v>
      </c>
      <c r="K1511" s="12" t="s">
        <v>33029</v>
      </c>
      <c r="L1511" s="12"/>
    </row>
    <row r="1512" spans="1:12" x14ac:dyDescent="0.45">
      <c r="A1512" s="12" t="s">
        <v>32999</v>
      </c>
      <c r="B1512" s="12" t="s">
        <v>3204</v>
      </c>
      <c r="C1512" s="13" t="s">
        <v>3205</v>
      </c>
      <c r="D1512" s="13" t="s">
        <v>15</v>
      </c>
      <c r="E1512" s="12" t="s">
        <v>16</v>
      </c>
      <c r="F1512" s="14">
        <v>24000</v>
      </c>
      <c r="G1512" s="14">
        <v>17450</v>
      </c>
      <c r="H1512" s="13" t="s">
        <v>33030</v>
      </c>
      <c r="I1512" s="40" t="s">
        <v>18</v>
      </c>
      <c r="J1512" s="40" t="str">
        <f>HYPERLINK("https://stock.pstatic.net/stock-research/company/56/20260713_company_510383000.pdf","PDF")</f>
        <v>PDF</v>
      </c>
      <c r="K1512" s="12" t="s">
        <v>33031</v>
      </c>
      <c r="L1512" s="36">
        <v>0.37535816618911177</v>
      </c>
    </row>
    <row r="1513" spans="1:12" x14ac:dyDescent="0.45">
      <c r="A1513" s="12" t="s">
        <v>32999</v>
      </c>
      <c r="B1513" s="12" t="s">
        <v>2758</v>
      </c>
      <c r="C1513" s="13" t="s">
        <v>2759</v>
      </c>
      <c r="D1513" s="13" t="s">
        <v>15</v>
      </c>
      <c r="E1513" s="12" t="s">
        <v>35</v>
      </c>
      <c r="F1513" s="14">
        <v>470000</v>
      </c>
      <c r="G1513" s="14">
        <v>313500</v>
      </c>
      <c r="H1513" s="13" t="s">
        <v>33032</v>
      </c>
      <c r="I1513" s="40" t="s">
        <v>18</v>
      </c>
      <c r="J1513" s="40" t="str">
        <f>HYPERLINK("https://stock.pstatic.net/stock-research/company/56/20260713_company_753862000.pdf","PDF")</f>
        <v>PDF</v>
      </c>
      <c r="K1513" s="12" t="s">
        <v>33033</v>
      </c>
      <c r="L1513" s="36">
        <v>0.49920255183413081</v>
      </c>
    </row>
    <row r="1514" spans="1:12" x14ac:dyDescent="0.45">
      <c r="A1514" s="12" t="s">
        <v>32999</v>
      </c>
      <c r="B1514" s="12" t="s">
        <v>170</v>
      </c>
      <c r="C1514" s="13" t="s">
        <v>171</v>
      </c>
      <c r="D1514" s="13" t="s">
        <v>83</v>
      </c>
      <c r="E1514" s="12" t="s">
        <v>35</v>
      </c>
      <c r="F1514" s="14">
        <v>100000</v>
      </c>
      <c r="G1514" s="14">
        <v>78500</v>
      </c>
      <c r="H1514" s="13" t="s">
        <v>33034</v>
      </c>
      <c r="I1514" s="40" t="s">
        <v>18</v>
      </c>
      <c r="J1514" s="40" t="str">
        <f>HYPERLINK("https://stock.pstatic.net/stock-research/company/15/20260713_company_732076000.pdf","PDF")</f>
        <v>PDF</v>
      </c>
      <c r="K1514" s="12" t="s">
        <v>33035</v>
      </c>
      <c r="L1514" s="36">
        <v>0.27388535031847128</v>
      </c>
    </row>
    <row r="1515" spans="1:12" x14ac:dyDescent="0.45">
      <c r="A1515" s="12" t="s">
        <v>32999</v>
      </c>
      <c r="B1515" s="12" t="s">
        <v>537</v>
      </c>
      <c r="C1515" s="13" t="s">
        <v>538</v>
      </c>
      <c r="D1515" s="13" t="s">
        <v>83</v>
      </c>
      <c r="E1515" s="12" t="s">
        <v>35</v>
      </c>
      <c r="F1515" s="14">
        <v>20000</v>
      </c>
      <c r="G1515" s="14">
        <v>14960</v>
      </c>
      <c r="H1515" s="13" t="s">
        <v>33036</v>
      </c>
      <c r="I1515" s="40" t="s">
        <v>18</v>
      </c>
      <c r="J1515" s="40" t="str">
        <f>HYPERLINK("https://stock.pstatic.net/stock-research/company/15/20260713_company_158639000.pdf","PDF")</f>
        <v>PDF</v>
      </c>
      <c r="K1515" s="12" t="s">
        <v>33037</v>
      </c>
      <c r="L1515" s="36">
        <v>0.33689839572192509</v>
      </c>
    </row>
    <row r="1516" spans="1:12" x14ac:dyDescent="0.45">
      <c r="A1516" s="12" t="s">
        <v>32999</v>
      </c>
      <c r="B1516" s="12" t="s">
        <v>541</v>
      </c>
      <c r="C1516" s="13" t="s">
        <v>542</v>
      </c>
      <c r="D1516" s="13" t="s">
        <v>83</v>
      </c>
      <c r="E1516" s="12" t="s">
        <v>35</v>
      </c>
      <c r="F1516" s="14">
        <v>110000</v>
      </c>
      <c r="G1516" s="14">
        <v>88700</v>
      </c>
      <c r="H1516" s="13" t="s">
        <v>33038</v>
      </c>
      <c r="I1516" s="40" t="s">
        <v>18</v>
      </c>
      <c r="J1516" s="40" t="str">
        <f>HYPERLINK("https://stock.pstatic.net/stock-research/company/15/20260713_company_536448000.pdf","PDF")</f>
        <v>PDF</v>
      </c>
      <c r="K1516" s="12" t="s">
        <v>33039</v>
      </c>
      <c r="L1516" s="36">
        <v>0.24013528748590759</v>
      </c>
    </row>
    <row r="1517" spans="1:12" x14ac:dyDescent="0.45">
      <c r="A1517" s="12" t="s">
        <v>32999</v>
      </c>
      <c r="B1517" s="12" t="s">
        <v>836</v>
      </c>
      <c r="C1517" s="13" t="s">
        <v>837</v>
      </c>
      <c r="D1517" s="13" t="s">
        <v>83</v>
      </c>
      <c r="E1517" s="12" t="s">
        <v>35</v>
      </c>
      <c r="F1517" s="14">
        <v>2100000</v>
      </c>
      <c r="G1517" s="14">
        <v>1409000</v>
      </c>
      <c r="H1517" s="13" t="s">
        <v>33040</v>
      </c>
      <c r="I1517" s="40" t="s">
        <v>18</v>
      </c>
      <c r="J1517" s="40" t="str">
        <f>HYPERLINK("https://stock.pstatic.net/stock-research/company/15/20260713_company_570717000.pdf","PDF")</f>
        <v>PDF</v>
      </c>
      <c r="K1517" s="12" t="s">
        <v>33041</v>
      </c>
      <c r="L1517" s="36">
        <v>0.49041873669268993</v>
      </c>
    </row>
    <row r="1518" spans="1:12" x14ac:dyDescent="0.45">
      <c r="A1518" s="12" t="s">
        <v>32999</v>
      </c>
      <c r="B1518" s="12" t="s">
        <v>768</v>
      </c>
      <c r="C1518" s="13" t="s">
        <v>769</v>
      </c>
      <c r="D1518" s="13" t="s">
        <v>92</v>
      </c>
      <c r="E1518" s="12" t="s">
        <v>35</v>
      </c>
      <c r="F1518" s="14">
        <v>250000</v>
      </c>
      <c r="G1518" s="14">
        <v>172700</v>
      </c>
      <c r="H1518" s="13" t="s">
        <v>33042</v>
      </c>
      <c r="I1518" s="40" t="s">
        <v>18</v>
      </c>
      <c r="J1518" s="40" t="str">
        <f>HYPERLINK("https://stock.pstatic.net/stock-research/company/63/20260713_company_395667000.pdf","PDF")</f>
        <v>PDF</v>
      </c>
      <c r="K1518" s="12" t="s">
        <v>33043</v>
      </c>
      <c r="L1518" s="36">
        <v>0.44759698899826289</v>
      </c>
    </row>
    <row r="1519" spans="1:12" x14ac:dyDescent="0.45">
      <c r="A1519" s="12" t="s">
        <v>32999</v>
      </c>
      <c r="B1519" s="12" t="s">
        <v>756</v>
      </c>
      <c r="C1519" s="13" t="s">
        <v>757</v>
      </c>
      <c r="D1519" s="13" t="s">
        <v>92</v>
      </c>
      <c r="E1519" s="12" t="s">
        <v>35</v>
      </c>
      <c r="F1519" s="14">
        <v>135000</v>
      </c>
      <c r="G1519" s="14">
        <v>106500</v>
      </c>
      <c r="H1519" s="13" t="s">
        <v>33044</v>
      </c>
      <c r="I1519" s="40" t="s">
        <v>18</v>
      </c>
      <c r="J1519" s="40" t="str">
        <f>HYPERLINK("https://stock.pstatic.net/stock-research/company/63/20260713_company_214416000.pdf","PDF")</f>
        <v>PDF</v>
      </c>
      <c r="K1519" s="12" t="s">
        <v>33045</v>
      </c>
      <c r="L1519" s="36">
        <v>0.26760563380281688</v>
      </c>
    </row>
    <row r="1520" spans="1:12" x14ac:dyDescent="0.45">
      <c r="A1520" s="12" t="s">
        <v>32999</v>
      </c>
      <c r="B1520" s="12" t="s">
        <v>1789</v>
      </c>
      <c r="C1520" s="13" t="s">
        <v>1790</v>
      </c>
      <c r="D1520" s="13" t="s">
        <v>179</v>
      </c>
      <c r="E1520" s="12" t="s">
        <v>16</v>
      </c>
      <c r="F1520" s="14">
        <v>230000</v>
      </c>
      <c r="G1520" s="14">
        <v>177700</v>
      </c>
      <c r="H1520" s="13" t="s">
        <v>33046</v>
      </c>
      <c r="I1520" s="40" t="s">
        <v>18</v>
      </c>
      <c r="J1520" s="40" t="str">
        <f>HYPERLINK("https://stock.pstatic.net/stock-research/company/64/20260713_company_788217000.pdf","PDF")</f>
        <v>PDF</v>
      </c>
      <c r="K1520" s="12" t="s">
        <v>33047</v>
      </c>
      <c r="L1520" s="36">
        <v>0.29431626336522232</v>
      </c>
    </row>
    <row r="1521" spans="1:12" x14ac:dyDescent="0.45">
      <c r="A1521" s="12" t="s">
        <v>32999</v>
      </c>
      <c r="B1521" s="12" t="s">
        <v>90</v>
      </c>
      <c r="C1521" s="13" t="s">
        <v>91</v>
      </c>
      <c r="D1521" s="13" t="s">
        <v>92</v>
      </c>
      <c r="E1521" s="12" t="s">
        <v>35</v>
      </c>
      <c r="F1521" s="14">
        <v>67500</v>
      </c>
      <c r="G1521" s="14">
        <v>47350</v>
      </c>
      <c r="H1521" s="13" t="s">
        <v>33048</v>
      </c>
      <c r="I1521" s="40" t="s">
        <v>18</v>
      </c>
      <c r="J1521" s="40" t="str">
        <f>HYPERLINK("https://stock.pstatic.net/stock-research/company/63/20260713_company_828407000.pdf","PDF")</f>
        <v>PDF</v>
      </c>
      <c r="K1521" s="12" t="s">
        <v>33049</v>
      </c>
      <c r="L1521" s="36">
        <v>0.42555438225976772</v>
      </c>
    </row>
    <row r="1522" spans="1:12" x14ac:dyDescent="0.45">
      <c r="A1522" s="12" t="s">
        <v>32999</v>
      </c>
      <c r="B1522" s="12" t="s">
        <v>2346</v>
      </c>
      <c r="C1522" s="13" t="s">
        <v>2347</v>
      </c>
      <c r="D1522" s="13" t="s">
        <v>179</v>
      </c>
      <c r="E1522" s="12" t="s">
        <v>16</v>
      </c>
      <c r="F1522" s="14">
        <v>190000</v>
      </c>
      <c r="G1522" s="14">
        <v>125000</v>
      </c>
      <c r="H1522" s="13" t="s">
        <v>33050</v>
      </c>
      <c r="I1522" s="40" t="s">
        <v>18</v>
      </c>
      <c r="J1522" s="40" t="str">
        <f>HYPERLINK("https://stock.pstatic.net/stock-research/company/64/20260713_company_519637000.pdf","PDF")</f>
        <v>PDF</v>
      </c>
      <c r="K1522" s="12" t="s">
        <v>33051</v>
      </c>
      <c r="L1522" s="36">
        <v>0.52</v>
      </c>
    </row>
    <row r="1523" spans="1:12" x14ac:dyDescent="0.45">
      <c r="A1523" s="12" t="s">
        <v>32999</v>
      </c>
      <c r="B1523" s="12" t="s">
        <v>3105</v>
      </c>
      <c r="C1523" s="13" t="s">
        <v>3106</v>
      </c>
      <c r="D1523" s="13" t="s">
        <v>179</v>
      </c>
      <c r="E1523" s="12" t="s">
        <v>16</v>
      </c>
      <c r="F1523" s="14">
        <v>350000</v>
      </c>
      <c r="G1523" s="14">
        <v>220500</v>
      </c>
      <c r="H1523" s="13" t="s">
        <v>33052</v>
      </c>
      <c r="I1523" s="40" t="s">
        <v>18</v>
      </c>
      <c r="J1523" s="40" t="str">
        <f>HYPERLINK("https://stock.pstatic.net/stock-research/company/64/20260713_company_225070000.pdf","PDF")</f>
        <v>PDF</v>
      </c>
      <c r="K1523" s="12" t="s">
        <v>33053</v>
      </c>
      <c r="L1523" s="36">
        <v>0.58730158730158732</v>
      </c>
    </row>
    <row r="1524" spans="1:12" x14ac:dyDescent="0.45">
      <c r="A1524" s="12" t="s">
        <v>32999</v>
      </c>
      <c r="B1524" s="12" t="s">
        <v>95</v>
      </c>
      <c r="C1524" s="13" t="s">
        <v>31</v>
      </c>
      <c r="D1524" s="13" t="s">
        <v>23</v>
      </c>
      <c r="E1524" s="12" t="s">
        <v>16</v>
      </c>
      <c r="F1524" s="14">
        <v>64000</v>
      </c>
      <c r="G1524" s="14">
        <v>44100</v>
      </c>
      <c r="H1524" s="13" t="s">
        <v>33054</v>
      </c>
      <c r="I1524" s="40" t="s">
        <v>18</v>
      </c>
      <c r="J1524" s="40" t="str">
        <f>HYPERLINK("https://stock.pstatic.net/stock-research/company/21/20260713_company_696912000.pdf","PDF")</f>
        <v>PDF</v>
      </c>
      <c r="K1524" s="12" t="s">
        <v>33055</v>
      </c>
      <c r="L1524" s="36">
        <v>0.4512471655328798</v>
      </c>
    </row>
    <row r="1525" spans="1:12" x14ac:dyDescent="0.45">
      <c r="A1525" s="12" t="s">
        <v>32999</v>
      </c>
      <c r="B1525" s="12" t="s">
        <v>1120</v>
      </c>
      <c r="C1525" s="13" t="s">
        <v>1121</v>
      </c>
      <c r="D1525" s="13" t="s">
        <v>23</v>
      </c>
      <c r="E1525" s="12" t="s">
        <v>16</v>
      </c>
      <c r="F1525" s="14">
        <v>160000</v>
      </c>
      <c r="G1525" s="14">
        <v>137100</v>
      </c>
      <c r="H1525" s="13" t="s">
        <v>33056</v>
      </c>
      <c r="I1525" s="40" t="s">
        <v>18</v>
      </c>
      <c r="J1525" s="40" t="str">
        <f>HYPERLINK("https://stock.pstatic.net/stock-research/company/21/20260713_company_278131000.pdf","PDF")</f>
        <v>PDF</v>
      </c>
      <c r="K1525" s="12" t="s">
        <v>33057</v>
      </c>
      <c r="L1525" s="36">
        <v>0.1670313639679066</v>
      </c>
    </row>
    <row r="1526" spans="1:12" x14ac:dyDescent="0.45">
      <c r="A1526" s="12" t="s">
        <v>32999</v>
      </c>
      <c r="B1526" s="12" t="s">
        <v>1686</v>
      </c>
      <c r="C1526" s="13" t="s">
        <v>1687</v>
      </c>
      <c r="D1526" s="13" t="s">
        <v>23</v>
      </c>
      <c r="E1526" s="12" t="s">
        <v>16</v>
      </c>
      <c r="F1526" s="14">
        <v>1750000</v>
      </c>
      <c r="G1526" s="14">
        <v>1139000</v>
      </c>
      <c r="H1526" s="13" t="s">
        <v>33058</v>
      </c>
      <c r="I1526" s="40" t="s">
        <v>18</v>
      </c>
      <c r="J1526" s="40" t="str">
        <f>HYPERLINK("https://stock.pstatic.net/stock-research/company/21/20260713_company_408996000.pdf","PDF")</f>
        <v>PDF</v>
      </c>
      <c r="K1526" s="12" t="s">
        <v>33059</v>
      </c>
      <c r="L1526" s="36">
        <v>0.53643546971027212</v>
      </c>
    </row>
    <row r="1527" spans="1:12" x14ac:dyDescent="0.45">
      <c r="A1527" s="12" t="s">
        <v>32999</v>
      </c>
      <c r="B1527" s="12" t="s">
        <v>2982</v>
      </c>
      <c r="C1527" s="13" t="s">
        <v>2983</v>
      </c>
      <c r="D1527" s="13" t="s">
        <v>23</v>
      </c>
      <c r="E1527" s="12" t="s">
        <v>16</v>
      </c>
      <c r="F1527" s="14">
        <v>100000</v>
      </c>
      <c r="G1527" s="14">
        <v>63300</v>
      </c>
      <c r="H1527" s="13" t="s">
        <v>33060</v>
      </c>
      <c r="I1527" s="40" t="s">
        <v>18</v>
      </c>
      <c r="J1527" s="40" t="str">
        <f>HYPERLINK("https://stock.pstatic.net/stock-research/company/21/20260713_company_359050000.pdf","PDF")</f>
        <v>PDF</v>
      </c>
      <c r="K1527" s="12" t="s">
        <v>33061</v>
      </c>
      <c r="L1527" s="36">
        <v>0.57977883096366511</v>
      </c>
    </row>
    <row r="1528" spans="1:12" x14ac:dyDescent="0.45">
      <c r="A1528" s="12" t="s">
        <v>32999</v>
      </c>
      <c r="B1528" s="12" t="s">
        <v>2956</v>
      </c>
      <c r="C1528" s="13" t="s">
        <v>2957</v>
      </c>
      <c r="D1528" s="13" t="s">
        <v>23</v>
      </c>
      <c r="E1528" s="12" t="s">
        <v>16</v>
      </c>
      <c r="F1528" s="14">
        <v>46000</v>
      </c>
      <c r="G1528" s="14">
        <v>31850</v>
      </c>
      <c r="H1528" s="13" t="s">
        <v>33062</v>
      </c>
      <c r="I1528" s="40" t="s">
        <v>18</v>
      </c>
      <c r="J1528" s="40" t="str">
        <f>HYPERLINK("https://stock.pstatic.net/stock-research/company/21/20260713_company_153712000.pdf","PDF")</f>
        <v>PDF</v>
      </c>
      <c r="K1528" s="12" t="s">
        <v>33063</v>
      </c>
      <c r="L1528" s="36">
        <v>0.44427001569858721</v>
      </c>
    </row>
    <row r="1529" spans="1:12" x14ac:dyDescent="0.45">
      <c r="A1529" s="12" t="s">
        <v>32999</v>
      </c>
      <c r="B1529" s="12" t="s">
        <v>2089</v>
      </c>
      <c r="C1529" s="13" t="s">
        <v>2090</v>
      </c>
      <c r="D1529" s="13" t="s">
        <v>23</v>
      </c>
      <c r="E1529" s="12" t="s">
        <v>16</v>
      </c>
      <c r="F1529" s="14">
        <v>180000</v>
      </c>
      <c r="G1529" s="14">
        <v>132100</v>
      </c>
      <c r="H1529" s="13" t="s">
        <v>33064</v>
      </c>
      <c r="I1529" s="40" t="s">
        <v>18</v>
      </c>
      <c r="J1529" s="40" t="str">
        <f>HYPERLINK("https://stock.pstatic.net/stock-research/company/21/20260713_company_563027000.pdf","PDF")</f>
        <v>PDF</v>
      </c>
      <c r="K1529" s="12" t="s">
        <v>33065</v>
      </c>
      <c r="L1529" s="36">
        <v>0.36260408781226339</v>
      </c>
    </row>
    <row r="1530" spans="1:12" x14ac:dyDescent="0.45">
      <c r="A1530" s="12" t="s">
        <v>32999</v>
      </c>
      <c r="B1530" s="12" t="s">
        <v>3548</v>
      </c>
      <c r="C1530" s="13" t="s">
        <v>3549</v>
      </c>
      <c r="D1530" s="13" t="s">
        <v>23</v>
      </c>
      <c r="E1530" s="12" t="s">
        <v>16</v>
      </c>
      <c r="F1530" s="14">
        <v>97000</v>
      </c>
      <c r="G1530" s="14">
        <v>61900</v>
      </c>
      <c r="H1530" s="13" t="s">
        <v>33066</v>
      </c>
      <c r="I1530" s="40" t="s">
        <v>18</v>
      </c>
      <c r="J1530" s="40" t="str">
        <f>HYPERLINK("https://stock.pstatic.net/stock-research/company/21/20260713_company_478977000.pdf","PDF")</f>
        <v>PDF</v>
      </c>
      <c r="K1530" s="12" t="s">
        <v>33067</v>
      </c>
      <c r="L1530" s="36">
        <v>0.56704361873990305</v>
      </c>
    </row>
    <row r="1531" spans="1:12" x14ac:dyDescent="0.45">
      <c r="A1531" s="12" t="s">
        <v>32999</v>
      </c>
      <c r="B1531" s="12" t="s">
        <v>4021</v>
      </c>
      <c r="C1531" s="13" t="s">
        <v>4022</v>
      </c>
      <c r="D1531" s="13" t="s">
        <v>34</v>
      </c>
      <c r="E1531" s="12" t="s">
        <v>35</v>
      </c>
      <c r="F1531" s="14">
        <v>265000</v>
      </c>
      <c r="G1531" s="14">
        <v>202500</v>
      </c>
      <c r="H1531" s="13" t="s">
        <v>33068</v>
      </c>
      <c r="I1531" s="40" t="s">
        <v>18</v>
      </c>
      <c r="J1531" s="40" t="str">
        <f>HYPERLINK("https://stock.pstatic.net/stock-research/company/61/20260713_company_209238000.pdf","PDF")</f>
        <v>PDF</v>
      </c>
      <c r="K1531" s="12" t="s">
        <v>33069</v>
      </c>
      <c r="L1531" s="36">
        <v>0.30864197530864201</v>
      </c>
    </row>
    <row r="1532" spans="1:12" x14ac:dyDescent="0.45">
      <c r="A1532" s="12" t="s">
        <v>32999</v>
      </c>
      <c r="B1532" s="12" t="s">
        <v>3296</v>
      </c>
      <c r="C1532" s="13" t="s">
        <v>3297</v>
      </c>
      <c r="D1532" s="13" t="s">
        <v>34</v>
      </c>
      <c r="E1532" s="12" t="s">
        <v>35</v>
      </c>
      <c r="F1532" s="14">
        <v>60000</v>
      </c>
      <c r="G1532" s="14">
        <v>40800</v>
      </c>
      <c r="H1532" s="13" t="s">
        <v>33070</v>
      </c>
      <c r="I1532" s="40" t="s">
        <v>18</v>
      </c>
      <c r="J1532" s="40" t="str">
        <f>HYPERLINK("https://stock.pstatic.net/stock-research/company/61/20260713_company_80820000.pdf","PDF")</f>
        <v>PDF</v>
      </c>
      <c r="K1532" s="12" t="s">
        <v>33071</v>
      </c>
      <c r="L1532" s="36">
        <v>0.47058823529411759</v>
      </c>
    </row>
    <row r="1533" spans="1:12" x14ac:dyDescent="0.45">
      <c r="A1533" s="12" t="s">
        <v>32999</v>
      </c>
      <c r="B1533" s="12" t="s">
        <v>1274</v>
      </c>
      <c r="C1533" s="13" t="s">
        <v>1275</v>
      </c>
      <c r="D1533" s="13" t="s">
        <v>34</v>
      </c>
      <c r="E1533" s="12" t="s">
        <v>35</v>
      </c>
      <c r="F1533" s="14">
        <v>220000</v>
      </c>
      <c r="G1533" s="14">
        <v>155800</v>
      </c>
      <c r="H1533" s="13" t="s">
        <v>33072</v>
      </c>
      <c r="I1533" s="40" t="s">
        <v>18</v>
      </c>
      <c r="J1533" s="40" t="str">
        <f>HYPERLINK("https://stock.pstatic.net/stock-research/company/61/20260713_company_238827000.pdf","PDF")</f>
        <v>PDF</v>
      </c>
      <c r="K1533" s="12" t="s">
        <v>33073</v>
      </c>
      <c r="L1533" s="36">
        <v>0.41206675224646983</v>
      </c>
    </row>
    <row r="1534" spans="1:12" x14ac:dyDescent="0.45">
      <c r="A1534" s="12" t="s">
        <v>32999</v>
      </c>
      <c r="B1534" s="12" t="s">
        <v>744</v>
      </c>
      <c r="C1534" s="13" t="s">
        <v>745</v>
      </c>
      <c r="D1534" s="13" t="s">
        <v>179</v>
      </c>
      <c r="E1534" s="12" t="s">
        <v>16</v>
      </c>
      <c r="F1534" s="14">
        <v>40000</v>
      </c>
      <c r="G1534" s="14">
        <v>22350</v>
      </c>
      <c r="H1534" s="13" t="s">
        <v>33074</v>
      </c>
      <c r="I1534" s="40" t="s">
        <v>18</v>
      </c>
      <c r="J1534" s="40" t="str">
        <f>HYPERLINK("https://stock.pstatic.net/stock-research/company/64/20260713_company_586868000.pdf","PDF")</f>
        <v>PDF</v>
      </c>
      <c r="K1534" s="12" t="s">
        <v>33075</v>
      </c>
      <c r="L1534" s="36">
        <v>0.78970917225950787</v>
      </c>
    </row>
    <row r="1535" spans="1:12" x14ac:dyDescent="0.45">
      <c r="A1535" s="12" t="s">
        <v>32999</v>
      </c>
      <c r="B1535" s="12" t="s">
        <v>3284</v>
      </c>
      <c r="C1535" s="13" t="s">
        <v>3285</v>
      </c>
      <c r="D1535" s="13" t="s">
        <v>179</v>
      </c>
      <c r="E1535" s="12" t="s">
        <v>16</v>
      </c>
      <c r="F1535" s="14">
        <v>134000</v>
      </c>
      <c r="G1535" s="14">
        <v>81300</v>
      </c>
      <c r="H1535" s="13" t="s">
        <v>33076</v>
      </c>
      <c r="I1535" s="40" t="s">
        <v>18</v>
      </c>
      <c r="J1535" s="40" t="str">
        <f>HYPERLINK("https://stock.pstatic.net/stock-research/company/64/20260713_company_582290000.pdf","PDF")</f>
        <v>PDF</v>
      </c>
      <c r="K1535" s="12" t="s">
        <v>33077</v>
      </c>
      <c r="L1535" s="36">
        <v>0.64821648216482164</v>
      </c>
    </row>
    <row r="1536" spans="1:12" x14ac:dyDescent="0.45">
      <c r="A1536" s="12" t="s">
        <v>32999</v>
      </c>
      <c r="B1536" s="12" t="s">
        <v>33078</v>
      </c>
      <c r="C1536" s="13" t="s">
        <v>33079</v>
      </c>
      <c r="D1536" s="13" t="s">
        <v>124</v>
      </c>
      <c r="E1536" s="12" t="s">
        <v>50</v>
      </c>
      <c r="F1536" s="13"/>
      <c r="G1536" s="13"/>
      <c r="H1536" s="13" t="s">
        <v>33080</v>
      </c>
      <c r="I1536" s="40" t="s">
        <v>18</v>
      </c>
      <c r="J1536" s="40" t="str">
        <f>HYPERLINK("https://stock.pstatic.net/stock-research/company/74/20260713_company_629975000.pdf","PDF")</f>
        <v>PDF</v>
      </c>
      <c r="K1536" s="12" t="s">
        <v>33081</v>
      </c>
      <c r="L1536" s="12"/>
    </row>
    <row r="1537" spans="1:12" x14ac:dyDescent="0.45">
      <c r="A1537" s="12" t="s">
        <v>32999</v>
      </c>
      <c r="B1537" s="12" t="s">
        <v>1042</v>
      </c>
      <c r="C1537" s="13" t="s">
        <v>1043</v>
      </c>
      <c r="D1537" s="13" t="s">
        <v>53</v>
      </c>
      <c r="E1537" s="12" t="s">
        <v>16</v>
      </c>
      <c r="F1537" s="14">
        <v>46000</v>
      </c>
      <c r="G1537" s="14">
        <v>22650</v>
      </c>
      <c r="H1537" s="13" t="s">
        <v>33082</v>
      </c>
      <c r="I1537" s="40" t="s">
        <v>18</v>
      </c>
      <c r="J1537" s="40" t="str">
        <f>HYPERLINK("https://stock.pstatic.net/stock-research/company/40/20260713_company_573281000.pdf","PDF")</f>
        <v>PDF</v>
      </c>
      <c r="K1537" s="12" t="s">
        <v>33083</v>
      </c>
      <c r="L1537" s="36">
        <v>1.0309050772626931</v>
      </c>
    </row>
    <row r="1538" spans="1:12" x14ac:dyDescent="0.45">
      <c r="A1538" s="12" t="s">
        <v>32900</v>
      </c>
      <c r="B1538" s="12" t="s">
        <v>2956</v>
      </c>
      <c r="C1538" s="13" t="s">
        <v>2957</v>
      </c>
      <c r="D1538" s="13" t="s">
        <v>57</v>
      </c>
      <c r="E1538" s="12" t="s">
        <v>35</v>
      </c>
      <c r="F1538" s="14">
        <v>41000</v>
      </c>
      <c r="G1538" s="14">
        <v>29250</v>
      </c>
      <c r="H1538" s="13" t="s">
        <v>32901</v>
      </c>
      <c r="I1538" s="40" t="s">
        <v>18</v>
      </c>
      <c r="J1538" s="40" t="str">
        <f>HYPERLINK("https://stock.pstatic.net/stock-research/company/16/20260710_company_149419000.pdf","PDF")</f>
        <v>PDF</v>
      </c>
      <c r="K1538" s="12" t="s">
        <v>32902</v>
      </c>
      <c r="L1538" s="36">
        <v>0.40170940170940173</v>
      </c>
    </row>
    <row r="1539" spans="1:12" x14ac:dyDescent="0.45">
      <c r="A1539" s="12" t="s">
        <v>32900</v>
      </c>
      <c r="B1539" s="12" t="s">
        <v>63</v>
      </c>
      <c r="C1539" s="13" t="s">
        <v>64</v>
      </c>
      <c r="D1539" s="13" t="s">
        <v>276</v>
      </c>
      <c r="E1539" s="12" t="s">
        <v>16</v>
      </c>
      <c r="F1539" s="14">
        <v>680000</v>
      </c>
      <c r="G1539" s="14">
        <v>401000</v>
      </c>
      <c r="H1539" s="13" t="s">
        <v>32903</v>
      </c>
      <c r="I1539" s="40" t="s">
        <v>18</v>
      </c>
      <c r="J1539" s="40" t="str">
        <f>HYPERLINK("https://stock.pstatic.net/stock-research/company/66/20260710_company_257481000.pdf","PDF")</f>
        <v>PDF</v>
      </c>
      <c r="K1539" s="12" t="s">
        <v>32904</v>
      </c>
      <c r="L1539" s="36">
        <v>0.69576059850374061</v>
      </c>
    </row>
    <row r="1540" spans="1:12" x14ac:dyDescent="0.45">
      <c r="A1540" s="12" t="s">
        <v>32900</v>
      </c>
      <c r="B1540" s="12" t="s">
        <v>1184</v>
      </c>
      <c r="C1540" s="13" t="s">
        <v>1185</v>
      </c>
      <c r="D1540" s="13" t="s">
        <v>60</v>
      </c>
      <c r="E1540" s="12" t="s">
        <v>35</v>
      </c>
      <c r="F1540" s="14">
        <v>36000</v>
      </c>
      <c r="G1540" s="14">
        <v>25000</v>
      </c>
      <c r="H1540" s="13" t="s">
        <v>32905</v>
      </c>
      <c r="I1540" s="40" t="s">
        <v>18</v>
      </c>
      <c r="J1540" s="40" t="str">
        <f>HYPERLINK("https://stock.pstatic.net/stock-research/company/62/20260710_company_185822000.pdf","PDF")</f>
        <v>PDF</v>
      </c>
      <c r="K1540" s="12" t="s">
        <v>32906</v>
      </c>
      <c r="L1540" s="36">
        <v>0.44</v>
      </c>
    </row>
    <row r="1541" spans="1:12" x14ac:dyDescent="0.45">
      <c r="A1541" s="12" t="s">
        <v>32900</v>
      </c>
      <c r="B1541" s="12" t="s">
        <v>2960</v>
      </c>
      <c r="C1541" s="13" t="s">
        <v>2961</v>
      </c>
      <c r="D1541" s="13" t="s">
        <v>60</v>
      </c>
      <c r="E1541" s="12" t="s">
        <v>35</v>
      </c>
      <c r="F1541" s="14">
        <v>64000</v>
      </c>
      <c r="G1541" s="14">
        <v>49050</v>
      </c>
      <c r="H1541" s="13" t="s">
        <v>32907</v>
      </c>
      <c r="I1541" s="40" t="s">
        <v>18</v>
      </c>
      <c r="J1541" s="40" t="str">
        <f>HYPERLINK("https://stock.pstatic.net/stock-research/company/62/20260710_company_765801000.pdf","PDF")</f>
        <v>PDF</v>
      </c>
      <c r="K1541" s="12" t="s">
        <v>32908</v>
      </c>
      <c r="L1541" s="36">
        <v>0.30479102956167181</v>
      </c>
    </row>
    <row r="1542" spans="1:12" x14ac:dyDescent="0.45">
      <c r="A1542" s="12" t="s">
        <v>32900</v>
      </c>
      <c r="B1542" s="12" t="s">
        <v>1097</v>
      </c>
      <c r="C1542" s="13" t="s">
        <v>1098</v>
      </c>
      <c r="D1542" s="13" t="s">
        <v>60</v>
      </c>
      <c r="E1542" s="12" t="s">
        <v>35</v>
      </c>
      <c r="F1542" s="14">
        <v>176000</v>
      </c>
      <c r="G1542" s="14">
        <v>120200</v>
      </c>
      <c r="H1542" s="13" t="s">
        <v>32909</v>
      </c>
      <c r="I1542" s="40" t="s">
        <v>18</v>
      </c>
      <c r="J1542" s="40" t="str">
        <f>HYPERLINK("https://stock.pstatic.net/stock-research/company/62/20260710_company_636955000.pdf","PDF")</f>
        <v>PDF</v>
      </c>
      <c r="K1542" s="12" t="s">
        <v>32910</v>
      </c>
      <c r="L1542" s="36">
        <v>0.46422628951747091</v>
      </c>
    </row>
    <row r="1543" spans="1:12" x14ac:dyDescent="0.45">
      <c r="A1543" s="12" t="s">
        <v>32900</v>
      </c>
      <c r="B1543" s="12" t="s">
        <v>110</v>
      </c>
      <c r="C1543" s="13" t="s">
        <v>111</v>
      </c>
      <c r="D1543" s="13" t="s">
        <v>60</v>
      </c>
      <c r="E1543" s="12" t="s">
        <v>35</v>
      </c>
      <c r="F1543" s="14">
        <v>160000</v>
      </c>
      <c r="G1543" s="14">
        <v>117900</v>
      </c>
      <c r="H1543" s="13" t="s">
        <v>32911</v>
      </c>
      <c r="I1543" s="40" t="s">
        <v>18</v>
      </c>
      <c r="J1543" s="40" t="str">
        <f>HYPERLINK("https://stock.pstatic.net/stock-research/company/62/20260710_company_342578000.pdf","PDF")</f>
        <v>PDF</v>
      </c>
      <c r="K1543" s="12" t="s">
        <v>32912</v>
      </c>
      <c r="L1543" s="36">
        <v>0.35708227311280749</v>
      </c>
    </row>
    <row r="1544" spans="1:12" x14ac:dyDescent="0.45">
      <c r="A1544" s="12" t="s">
        <v>32900</v>
      </c>
      <c r="B1544" s="12" t="s">
        <v>4567</v>
      </c>
      <c r="C1544" s="13" t="s">
        <v>4568</v>
      </c>
      <c r="D1544" s="13" t="s">
        <v>60</v>
      </c>
      <c r="E1544" s="12" t="s">
        <v>35</v>
      </c>
      <c r="F1544" s="14">
        <v>180000</v>
      </c>
      <c r="G1544" s="14">
        <v>112000</v>
      </c>
      <c r="H1544" s="13" t="s">
        <v>32913</v>
      </c>
      <c r="I1544" s="40" t="s">
        <v>18</v>
      </c>
      <c r="J1544" s="40" t="str">
        <f>HYPERLINK("https://stock.pstatic.net/stock-research/company/62/20260710_company_268382000.pdf","PDF")</f>
        <v>PDF</v>
      </c>
      <c r="K1544" s="12" t="s">
        <v>32914</v>
      </c>
      <c r="L1544" s="36">
        <v>0.6071428571428571</v>
      </c>
    </row>
    <row r="1545" spans="1:12" x14ac:dyDescent="0.45">
      <c r="A1545" s="12" t="s">
        <v>32900</v>
      </c>
      <c r="B1545" s="12" t="s">
        <v>1682</v>
      </c>
      <c r="C1545" s="13" t="s">
        <v>1683</v>
      </c>
      <c r="D1545" s="13" t="s">
        <v>60</v>
      </c>
      <c r="E1545" s="12" t="s">
        <v>35</v>
      </c>
      <c r="F1545" s="14">
        <v>375000</v>
      </c>
      <c r="G1545" s="14">
        <v>249500</v>
      </c>
      <c r="H1545" s="13" t="s">
        <v>32915</v>
      </c>
      <c r="I1545" s="40" t="s">
        <v>18</v>
      </c>
      <c r="J1545" s="40" t="str">
        <f>HYPERLINK("https://stock.pstatic.net/stock-research/company/62/20260710_company_895272000.pdf","PDF")</f>
        <v>PDF</v>
      </c>
      <c r="K1545" s="12" t="s">
        <v>32916</v>
      </c>
      <c r="L1545" s="36">
        <v>0.50300601202404804</v>
      </c>
    </row>
    <row r="1546" spans="1:12" x14ac:dyDescent="0.45">
      <c r="A1546" s="12" t="s">
        <v>32900</v>
      </c>
      <c r="B1546" s="12" t="s">
        <v>2191</v>
      </c>
      <c r="C1546" s="13" t="s">
        <v>2192</v>
      </c>
      <c r="D1546" s="13" t="s">
        <v>60</v>
      </c>
      <c r="E1546" s="12" t="s">
        <v>35</v>
      </c>
      <c r="F1546" s="14">
        <v>130000</v>
      </c>
      <c r="G1546" s="14">
        <v>80400</v>
      </c>
      <c r="H1546" s="13" t="s">
        <v>32917</v>
      </c>
      <c r="I1546" s="40" t="s">
        <v>18</v>
      </c>
      <c r="J1546" s="40" t="str">
        <f>HYPERLINK("https://stock.pstatic.net/stock-research/company/62/20260710_company_425926000.pdf","PDF")</f>
        <v>PDF</v>
      </c>
      <c r="K1546" s="12" t="s">
        <v>32918</v>
      </c>
      <c r="L1546" s="36">
        <v>0.61691542288557211</v>
      </c>
    </row>
    <row r="1547" spans="1:12" x14ac:dyDescent="0.45">
      <c r="A1547" s="12" t="s">
        <v>32900</v>
      </c>
      <c r="B1547" s="12" t="s">
        <v>63</v>
      </c>
      <c r="C1547" s="13" t="s">
        <v>64</v>
      </c>
      <c r="D1547" s="13" t="s">
        <v>65</v>
      </c>
      <c r="E1547" s="12" t="s">
        <v>35</v>
      </c>
      <c r="F1547" s="14">
        <v>710000</v>
      </c>
      <c r="G1547" s="14">
        <v>401000</v>
      </c>
      <c r="H1547" s="13" t="s">
        <v>32919</v>
      </c>
      <c r="I1547" s="40" t="s">
        <v>18</v>
      </c>
      <c r="J1547" s="40" t="str">
        <f>HYPERLINK("https://stock.pstatic.net/stock-research/company/57/20260710_company_6014000.pdf","PDF")</f>
        <v>PDF</v>
      </c>
      <c r="K1547" s="12" t="s">
        <v>32920</v>
      </c>
      <c r="L1547" s="36">
        <v>0.770573566084788</v>
      </c>
    </row>
    <row r="1548" spans="1:12" x14ac:dyDescent="0.45">
      <c r="A1548" s="12" t="s">
        <v>32900</v>
      </c>
      <c r="B1548" s="12" t="s">
        <v>764</v>
      </c>
      <c r="C1548" s="13" t="s">
        <v>765</v>
      </c>
      <c r="D1548" s="13" t="s">
        <v>65</v>
      </c>
      <c r="E1548" s="12" t="s">
        <v>35</v>
      </c>
      <c r="F1548" s="14">
        <v>52000</v>
      </c>
      <c r="G1548" s="14">
        <v>35550</v>
      </c>
      <c r="H1548" s="13" t="s">
        <v>32921</v>
      </c>
      <c r="I1548" s="40" t="s">
        <v>18</v>
      </c>
      <c r="J1548" s="40" t="str">
        <f>HYPERLINK("https://stock.pstatic.net/stock-research/company/57/20260710_company_613053000.pdf","PDF")</f>
        <v>PDF</v>
      </c>
      <c r="K1548" s="12" t="s">
        <v>32922</v>
      </c>
      <c r="L1548" s="36">
        <v>0.46272855133614632</v>
      </c>
    </row>
    <row r="1549" spans="1:12" x14ac:dyDescent="0.45">
      <c r="A1549" s="12" t="s">
        <v>32900</v>
      </c>
      <c r="B1549" s="12" t="s">
        <v>330</v>
      </c>
      <c r="C1549" s="13" t="s">
        <v>331</v>
      </c>
      <c r="D1549" s="13" t="s">
        <v>65</v>
      </c>
      <c r="E1549" s="12" t="s">
        <v>35</v>
      </c>
      <c r="F1549" s="14">
        <v>60000</v>
      </c>
      <c r="G1549" s="14">
        <v>30800</v>
      </c>
      <c r="H1549" s="13" t="s">
        <v>32923</v>
      </c>
      <c r="I1549" s="40" t="s">
        <v>18</v>
      </c>
      <c r="J1549" s="40" t="str">
        <f>HYPERLINK("https://stock.pstatic.net/stock-research/company/57/20260710_company_4872000.pdf","PDF")</f>
        <v>PDF</v>
      </c>
      <c r="K1549" s="12" t="s">
        <v>32924</v>
      </c>
      <c r="L1549" s="36">
        <v>0.94805194805194803</v>
      </c>
    </row>
    <row r="1550" spans="1:12" x14ac:dyDescent="0.45">
      <c r="A1550" s="12" t="s">
        <v>32900</v>
      </c>
      <c r="B1550" s="12" t="s">
        <v>541</v>
      </c>
      <c r="C1550" s="13" t="s">
        <v>542</v>
      </c>
      <c r="D1550" s="13" t="s">
        <v>65</v>
      </c>
      <c r="E1550" s="12" t="s">
        <v>35</v>
      </c>
      <c r="F1550" s="14">
        <v>140000</v>
      </c>
      <c r="G1550" s="14">
        <v>86700</v>
      </c>
      <c r="H1550" s="13" t="s">
        <v>32925</v>
      </c>
      <c r="I1550" s="40" t="s">
        <v>18</v>
      </c>
      <c r="J1550" s="40" t="str">
        <f>HYPERLINK("https://stock.pstatic.net/stock-research/company/57/20260710_company_781845000.pdf","PDF")</f>
        <v>PDF</v>
      </c>
      <c r="K1550" s="12" t="s">
        <v>32926</v>
      </c>
      <c r="L1550" s="36">
        <v>0.6147635524798154</v>
      </c>
    </row>
    <row r="1551" spans="1:12" x14ac:dyDescent="0.45">
      <c r="A1551" s="12" t="s">
        <v>32900</v>
      </c>
      <c r="B1551" s="12" t="s">
        <v>1666</v>
      </c>
      <c r="C1551" s="13" t="s">
        <v>1667</v>
      </c>
      <c r="D1551" s="13" t="s">
        <v>65</v>
      </c>
      <c r="E1551" s="12" t="s">
        <v>35</v>
      </c>
      <c r="F1551" s="14">
        <v>60000</v>
      </c>
      <c r="G1551" s="14">
        <v>38250</v>
      </c>
      <c r="H1551" s="13" t="s">
        <v>32927</v>
      </c>
      <c r="I1551" s="40" t="s">
        <v>18</v>
      </c>
      <c r="J1551" s="40" t="str">
        <f>HYPERLINK("https://stock.pstatic.net/stock-research/company/57/20260710_company_881366000.pdf","PDF")</f>
        <v>PDF</v>
      </c>
      <c r="K1551" s="12" t="s">
        <v>32928</v>
      </c>
      <c r="L1551" s="36">
        <v>0.56862745098039214</v>
      </c>
    </row>
    <row r="1552" spans="1:12" x14ac:dyDescent="0.45">
      <c r="A1552" s="12" t="s">
        <v>32900</v>
      </c>
      <c r="B1552" s="12" t="s">
        <v>1042</v>
      </c>
      <c r="C1552" s="13" t="s">
        <v>1043</v>
      </c>
      <c r="D1552" s="13" t="s">
        <v>65</v>
      </c>
      <c r="E1552" s="12" t="s">
        <v>35</v>
      </c>
      <c r="F1552" s="14">
        <v>48000</v>
      </c>
      <c r="G1552" s="14">
        <v>22250</v>
      </c>
      <c r="H1552" s="13" t="s">
        <v>32929</v>
      </c>
      <c r="I1552" s="40" t="s">
        <v>18</v>
      </c>
      <c r="J1552" s="40" t="str">
        <f>HYPERLINK("https://stock.pstatic.net/stock-research/company/57/20260710_company_265617000.pdf","PDF")</f>
        <v>PDF</v>
      </c>
      <c r="K1552" s="12" t="s">
        <v>32930</v>
      </c>
      <c r="L1552" s="36">
        <v>1.157303370786517</v>
      </c>
    </row>
    <row r="1553" spans="1:12" x14ac:dyDescent="0.45">
      <c r="A1553" s="12" t="s">
        <v>32900</v>
      </c>
      <c r="B1553" s="12" t="s">
        <v>1274</v>
      </c>
      <c r="C1553" s="13" t="s">
        <v>1275</v>
      </c>
      <c r="D1553" s="13" t="s">
        <v>15</v>
      </c>
      <c r="E1553" s="12" t="s">
        <v>16</v>
      </c>
      <c r="F1553" s="14">
        <v>210000</v>
      </c>
      <c r="G1553" s="14">
        <v>146500</v>
      </c>
      <c r="H1553" s="13" t="s">
        <v>32931</v>
      </c>
      <c r="I1553" s="40" t="s">
        <v>18</v>
      </c>
      <c r="J1553" s="40" t="str">
        <f>HYPERLINK("https://stock.pstatic.net/stock-research/company/56/20260710_company_888909000.pdf","PDF")</f>
        <v>PDF</v>
      </c>
      <c r="K1553" s="12" t="s">
        <v>32932</v>
      </c>
      <c r="L1553" s="36">
        <v>0.43344709897610922</v>
      </c>
    </row>
    <row r="1554" spans="1:12" x14ac:dyDescent="0.45">
      <c r="A1554" s="12" t="s">
        <v>32900</v>
      </c>
      <c r="B1554" s="12" t="s">
        <v>231</v>
      </c>
      <c r="C1554" s="13" t="s">
        <v>232</v>
      </c>
      <c r="D1554" s="13" t="s">
        <v>124</v>
      </c>
      <c r="E1554" s="12" t="s">
        <v>50</v>
      </c>
      <c r="F1554" s="13"/>
      <c r="G1554" s="13"/>
      <c r="H1554" s="13" t="s">
        <v>32933</v>
      </c>
      <c r="I1554" s="40" t="s">
        <v>18</v>
      </c>
      <c r="J1554" s="40" t="str">
        <f>HYPERLINK("https://stock.pstatic.net/stock-research/company/74/20260710_company_907772000.pdf","PDF")</f>
        <v>PDF</v>
      </c>
      <c r="K1554" s="12" t="s">
        <v>32934</v>
      </c>
      <c r="L1554" s="12"/>
    </row>
    <row r="1555" spans="1:12" x14ac:dyDescent="0.45">
      <c r="A1555" s="12" t="s">
        <v>32900</v>
      </c>
      <c r="B1555" s="12" t="s">
        <v>2956</v>
      </c>
      <c r="C1555" s="13" t="s">
        <v>2957</v>
      </c>
      <c r="D1555" s="13" t="s">
        <v>15</v>
      </c>
      <c r="E1555" s="12" t="s">
        <v>16</v>
      </c>
      <c r="F1555" s="14">
        <v>49000</v>
      </c>
      <c r="G1555" s="14">
        <v>29250</v>
      </c>
      <c r="H1555" s="13" t="s">
        <v>32935</v>
      </c>
      <c r="I1555" s="40" t="s">
        <v>18</v>
      </c>
      <c r="J1555" s="40" t="str">
        <f>HYPERLINK("https://stock.pstatic.net/stock-research/company/56/20260710_company_516912000.pdf","PDF")</f>
        <v>PDF</v>
      </c>
      <c r="K1555" s="12" t="s">
        <v>32936</v>
      </c>
      <c r="L1555" s="36">
        <v>0.67521367521367526</v>
      </c>
    </row>
    <row r="1556" spans="1:12" x14ac:dyDescent="0.45">
      <c r="A1556" s="12" t="s">
        <v>32900</v>
      </c>
      <c r="B1556" s="12" t="s">
        <v>1097</v>
      </c>
      <c r="C1556" s="13" t="s">
        <v>1098</v>
      </c>
      <c r="D1556" s="13" t="s">
        <v>92</v>
      </c>
      <c r="E1556" s="12" t="s">
        <v>35</v>
      </c>
      <c r="F1556" s="14">
        <v>180000</v>
      </c>
      <c r="G1556" s="14">
        <v>120200</v>
      </c>
      <c r="H1556" s="13" t="s">
        <v>32937</v>
      </c>
      <c r="I1556" s="40" t="s">
        <v>18</v>
      </c>
      <c r="J1556" s="40" t="str">
        <f>HYPERLINK("https://stock.pstatic.net/stock-research/company/63/20260710_company_124253000.pdf","PDF")</f>
        <v>PDF</v>
      </c>
      <c r="K1556" s="12" t="s">
        <v>32938</v>
      </c>
      <c r="L1556" s="36">
        <v>0.49750415973377698</v>
      </c>
    </row>
    <row r="1557" spans="1:12" x14ac:dyDescent="0.45">
      <c r="A1557" s="12" t="s">
        <v>32900</v>
      </c>
      <c r="B1557" s="12" t="s">
        <v>3182</v>
      </c>
      <c r="C1557" s="13" t="s">
        <v>3183</v>
      </c>
      <c r="D1557" s="13" t="s">
        <v>179</v>
      </c>
      <c r="E1557" s="12" t="s">
        <v>16</v>
      </c>
      <c r="F1557" s="14">
        <v>1100000</v>
      </c>
      <c r="G1557" s="14">
        <v>815000</v>
      </c>
      <c r="H1557" s="13" t="s">
        <v>32939</v>
      </c>
      <c r="I1557" s="40" t="s">
        <v>18</v>
      </c>
      <c r="J1557" s="40" t="str">
        <f>HYPERLINK("https://stock.pstatic.net/stock-research/company/64/20260710_company_575054000.pdf","PDF")</f>
        <v>PDF</v>
      </c>
      <c r="K1557" s="12" t="s">
        <v>32940</v>
      </c>
      <c r="L1557" s="36">
        <v>0.34969325153374231</v>
      </c>
    </row>
    <row r="1558" spans="1:12" x14ac:dyDescent="0.45">
      <c r="A1558" s="12" t="s">
        <v>32900</v>
      </c>
      <c r="B1558" s="12" t="s">
        <v>1552</v>
      </c>
      <c r="C1558" s="13" t="s">
        <v>1553</v>
      </c>
      <c r="D1558" s="13" t="s">
        <v>23</v>
      </c>
      <c r="E1558" s="12" t="s">
        <v>16</v>
      </c>
      <c r="F1558" s="14">
        <v>190000</v>
      </c>
      <c r="G1558" s="14">
        <v>121200</v>
      </c>
      <c r="H1558" s="13" t="s">
        <v>32941</v>
      </c>
      <c r="I1558" s="40" t="s">
        <v>18</v>
      </c>
      <c r="J1558" s="40" t="str">
        <f>HYPERLINK("https://stock.pstatic.net/stock-research/company/21/20260710_company_568378000.pdf","PDF")</f>
        <v>PDF</v>
      </c>
      <c r="K1558" s="12" t="s">
        <v>32942</v>
      </c>
      <c r="L1558" s="36">
        <v>0.56765676567656764</v>
      </c>
    </row>
    <row r="1559" spans="1:12" x14ac:dyDescent="0.45">
      <c r="A1559" s="12" t="s">
        <v>32900</v>
      </c>
      <c r="B1559" s="12" t="s">
        <v>868</v>
      </c>
      <c r="C1559" s="13" t="s">
        <v>869</v>
      </c>
      <c r="D1559" s="13" t="s">
        <v>53</v>
      </c>
      <c r="E1559" s="12" t="s">
        <v>16</v>
      </c>
      <c r="F1559" s="14">
        <v>69000</v>
      </c>
      <c r="G1559" s="14">
        <v>28600</v>
      </c>
      <c r="H1559" s="13" t="s">
        <v>32943</v>
      </c>
      <c r="I1559" s="40" t="s">
        <v>18</v>
      </c>
      <c r="J1559" s="40" t="str">
        <f>HYPERLINK("https://stock.pstatic.net/stock-research/company/40/20260710_company_574226000.pdf","PDF")</f>
        <v>PDF</v>
      </c>
      <c r="K1559" s="12" t="s">
        <v>32944</v>
      </c>
      <c r="L1559" s="36">
        <v>1.4125874125874121</v>
      </c>
    </row>
    <row r="1560" spans="1:12" x14ac:dyDescent="0.45">
      <c r="A1560" s="12" t="s">
        <v>32900</v>
      </c>
      <c r="B1560" s="12" t="s">
        <v>1930</v>
      </c>
      <c r="C1560" s="13" t="s">
        <v>1931</v>
      </c>
      <c r="D1560" s="13" t="s">
        <v>23</v>
      </c>
      <c r="E1560" s="12" t="s">
        <v>16</v>
      </c>
      <c r="F1560" s="14">
        <v>280000</v>
      </c>
      <c r="G1560" s="14">
        <v>191200</v>
      </c>
      <c r="H1560" s="13" t="s">
        <v>32945</v>
      </c>
      <c r="I1560" s="40" t="s">
        <v>18</v>
      </c>
      <c r="J1560" s="40" t="str">
        <f>HYPERLINK("https://stock.pstatic.net/stock-research/company/21/20260710_company_925264000.pdf","PDF")</f>
        <v>PDF</v>
      </c>
      <c r="K1560" s="12" t="s">
        <v>32946</v>
      </c>
      <c r="L1560" s="36">
        <v>0.46443514644351458</v>
      </c>
    </row>
    <row r="1561" spans="1:12" x14ac:dyDescent="0.45">
      <c r="A1561" s="12" t="s">
        <v>32900</v>
      </c>
      <c r="B1561" s="12" t="s">
        <v>42</v>
      </c>
      <c r="C1561" s="13" t="s">
        <v>43</v>
      </c>
      <c r="D1561" s="13" t="s">
        <v>23</v>
      </c>
      <c r="E1561" s="12" t="s">
        <v>16</v>
      </c>
      <c r="F1561" s="14">
        <v>240000</v>
      </c>
      <c r="G1561" s="14">
        <v>184400</v>
      </c>
      <c r="H1561" s="13" t="s">
        <v>32947</v>
      </c>
      <c r="I1561" s="40" t="s">
        <v>18</v>
      </c>
      <c r="J1561" s="40" t="str">
        <f>HYPERLINK("https://stock.pstatic.net/stock-research/company/21/20260710_company_570707000.pdf","PDF")</f>
        <v>PDF</v>
      </c>
      <c r="K1561" s="12" t="s">
        <v>32948</v>
      </c>
      <c r="L1561" s="36">
        <v>0.30151843817787422</v>
      </c>
    </row>
    <row r="1562" spans="1:12" x14ac:dyDescent="0.45">
      <c r="A1562" s="12" t="s">
        <v>32900</v>
      </c>
      <c r="B1562" s="12" t="s">
        <v>916</v>
      </c>
      <c r="C1562" s="13" t="s">
        <v>917</v>
      </c>
      <c r="D1562" s="13" t="s">
        <v>23</v>
      </c>
      <c r="E1562" s="12" t="s">
        <v>16</v>
      </c>
      <c r="F1562" s="14">
        <v>61000</v>
      </c>
      <c r="G1562" s="14">
        <v>33650</v>
      </c>
      <c r="H1562" s="13" t="s">
        <v>32949</v>
      </c>
      <c r="I1562" s="40" t="s">
        <v>18</v>
      </c>
      <c r="J1562" s="40" t="str">
        <f>HYPERLINK("https://stock.pstatic.net/stock-research/company/21/20260710_company_752397000.pdf","PDF")</f>
        <v>PDF</v>
      </c>
      <c r="K1562" s="12" t="s">
        <v>32950</v>
      </c>
      <c r="L1562" s="36">
        <v>0.81277860326894502</v>
      </c>
    </row>
    <row r="1563" spans="1:12" x14ac:dyDescent="0.45">
      <c r="A1563" s="12" t="s">
        <v>32900</v>
      </c>
      <c r="B1563" s="12" t="s">
        <v>2425</v>
      </c>
      <c r="C1563" s="13" t="s">
        <v>2426</v>
      </c>
      <c r="D1563" s="13" t="s">
        <v>23</v>
      </c>
      <c r="E1563" s="12" t="s">
        <v>16</v>
      </c>
      <c r="F1563" s="14">
        <v>220000</v>
      </c>
      <c r="G1563" s="14">
        <v>176400</v>
      </c>
      <c r="H1563" s="13" t="s">
        <v>32951</v>
      </c>
      <c r="I1563" s="40" t="s">
        <v>18</v>
      </c>
      <c r="J1563" s="40" t="str">
        <f>HYPERLINK("https://stock.pstatic.net/stock-research/company/21/20260710_company_272695000.pdf","PDF")</f>
        <v>PDF</v>
      </c>
      <c r="K1563" s="12" t="s">
        <v>32952</v>
      </c>
      <c r="L1563" s="36">
        <v>0.2471655328798186</v>
      </c>
    </row>
    <row r="1564" spans="1:12" x14ac:dyDescent="0.45">
      <c r="A1564" s="12" t="s">
        <v>32900</v>
      </c>
      <c r="B1564" s="12" t="s">
        <v>2795</v>
      </c>
      <c r="C1564" s="13" t="s">
        <v>2796</v>
      </c>
      <c r="D1564" s="13" t="s">
        <v>34</v>
      </c>
      <c r="E1564" s="12" t="s">
        <v>35</v>
      </c>
      <c r="F1564" s="14">
        <v>8000</v>
      </c>
      <c r="G1564" s="14">
        <v>5000</v>
      </c>
      <c r="H1564" s="13" t="s">
        <v>32953</v>
      </c>
      <c r="I1564" s="40" t="s">
        <v>18</v>
      </c>
      <c r="J1564" s="40" t="str">
        <f>HYPERLINK("https://stock.pstatic.net/stock-research/company/61/20260710_company_98267000.pdf","PDF")</f>
        <v>PDF</v>
      </c>
      <c r="K1564" s="12" t="s">
        <v>32954</v>
      </c>
      <c r="L1564" s="36">
        <v>0.6</v>
      </c>
    </row>
    <row r="1565" spans="1:12" x14ac:dyDescent="0.45">
      <c r="A1565" s="12" t="s">
        <v>32900</v>
      </c>
      <c r="B1565" s="12" t="s">
        <v>519</v>
      </c>
      <c r="C1565" s="13" t="s">
        <v>520</v>
      </c>
      <c r="D1565" s="13" t="s">
        <v>23</v>
      </c>
      <c r="E1565" s="12" t="s">
        <v>16</v>
      </c>
      <c r="F1565" s="14">
        <v>780000</v>
      </c>
      <c r="G1565" s="14">
        <v>445500</v>
      </c>
      <c r="H1565" s="13" t="s">
        <v>32955</v>
      </c>
      <c r="I1565" s="40" t="s">
        <v>18</v>
      </c>
      <c r="J1565" s="40" t="str">
        <f>HYPERLINK("https://stock.pstatic.net/stock-research/company/21/20260710_company_710688000.pdf","PDF")</f>
        <v>PDF</v>
      </c>
      <c r="K1565" s="12" t="s">
        <v>32956</v>
      </c>
      <c r="L1565" s="36">
        <v>0.75084175084175087</v>
      </c>
    </row>
    <row r="1566" spans="1:12" x14ac:dyDescent="0.45">
      <c r="A1566" s="12" t="s">
        <v>32900</v>
      </c>
      <c r="B1566" s="12" t="s">
        <v>1765</v>
      </c>
      <c r="C1566" s="13" t="s">
        <v>1766</v>
      </c>
      <c r="D1566" s="13" t="s">
        <v>92</v>
      </c>
      <c r="E1566" s="12" t="s">
        <v>35</v>
      </c>
      <c r="F1566" s="14">
        <v>250000</v>
      </c>
      <c r="G1566" s="14">
        <v>144800</v>
      </c>
      <c r="H1566" s="13" t="s">
        <v>32957</v>
      </c>
      <c r="I1566" s="40" t="s">
        <v>18</v>
      </c>
      <c r="J1566" s="40" t="str">
        <f>HYPERLINK("https://stock.pstatic.net/stock-research/company/63/20260710_company_448861000.pdf","PDF")</f>
        <v>PDF</v>
      </c>
      <c r="K1566" s="12" t="s">
        <v>32958</v>
      </c>
      <c r="L1566" s="36">
        <v>0.72651933701657456</v>
      </c>
    </row>
    <row r="1567" spans="1:12" x14ac:dyDescent="0.45">
      <c r="A1567" s="12" t="s">
        <v>32900</v>
      </c>
      <c r="B1567" s="12" t="s">
        <v>2435</v>
      </c>
      <c r="C1567" s="13" t="s">
        <v>2436</v>
      </c>
      <c r="D1567" s="13" t="s">
        <v>34</v>
      </c>
      <c r="E1567" s="12" t="s">
        <v>35</v>
      </c>
      <c r="F1567" s="14">
        <v>860000</v>
      </c>
      <c r="G1567" s="14">
        <v>507000</v>
      </c>
      <c r="H1567" s="13" t="s">
        <v>32959</v>
      </c>
      <c r="I1567" s="40" t="s">
        <v>18</v>
      </c>
      <c r="J1567" s="40" t="str">
        <f>HYPERLINK("https://stock.pstatic.net/stock-research/company/61/20260710_company_977809000.pdf","PDF")</f>
        <v>PDF</v>
      </c>
      <c r="K1567" s="12" t="s">
        <v>32960</v>
      </c>
      <c r="L1567" s="36">
        <v>0.69625246548323472</v>
      </c>
    </row>
    <row r="1568" spans="1:12" x14ac:dyDescent="0.45">
      <c r="A1568" s="12" t="s">
        <v>32900</v>
      </c>
      <c r="B1568" s="12" t="s">
        <v>3087</v>
      </c>
      <c r="C1568" s="13" t="s">
        <v>3088</v>
      </c>
      <c r="D1568" s="13" t="s">
        <v>179</v>
      </c>
      <c r="E1568" s="12" t="s">
        <v>16</v>
      </c>
      <c r="F1568" s="14">
        <v>340000</v>
      </c>
      <c r="G1568" s="14">
        <v>189300</v>
      </c>
      <c r="H1568" s="13" t="s">
        <v>32961</v>
      </c>
      <c r="I1568" s="40" t="s">
        <v>18</v>
      </c>
      <c r="J1568" s="40" t="str">
        <f>HYPERLINK("https://stock.pstatic.net/stock-research/company/64/20260710_company_758792000.pdf","PDF")</f>
        <v>PDF</v>
      </c>
      <c r="K1568" s="12" t="s">
        <v>32962</v>
      </c>
      <c r="L1568" s="36">
        <v>0.79609086106708926</v>
      </c>
    </row>
    <row r="1569" spans="1:12" x14ac:dyDescent="0.45">
      <c r="A1569" s="12" t="s">
        <v>32900</v>
      </c>
      <c r="B1569" s="12" t="s">
        <v>2777</v>
      </c>
      <c r="C1569" s="13" t="s">
        <v>2778</v>
      </c>
      <c r="D1569" s="13" t="s">
        <v>92</v>
      </c>
      <c r="E1569" s="12" t="s">
        <v>35</v>
      </c>
      <c r="F1569" s="14">
        <v>880000</v>
      </c>
      <c r="G1569" s="14">
        <v>433000</v>
      </c>
      <c r="H1569" s="13" t="s">
        <v>32963</v>
      </c>
      <c r="I1569" s="40" t="s">
        <v>18</v>
      </c>
      <c r="J1569" s="40" t="str">
        <f>HYPERLINK("https://stock.pstatic.net/stock-research/company/63/20260710_company_610350000.pdf","PDF")</f>
        <v>PDF</v>
      </c>
      <c r="K1569" s="12" t="s">
        <v>32964</v>
      </c>
      <c r="L1569" s="36">
        <v>1.032332563510393</v>
      </c>
    </row>
    <row r="1570" spans="1:12" x14ac:dyDescent="0.45">
      <c r="A1570" s="12" t="s">
        <v>32900</v>
      </c>
      <c r="B1570" s="12" t="s">
        <v>577</v>
      </c>
      <c r="C1570" s="13" t="s">
        <v>578</v>
      </c>
      <c r="D1570" s="13" t="s">
        <v>92</v>
      </c>
      <c r="E1570" s="12" t="s">
        <v>35</v>
      </c>
      <c r="F1570" s="14">
        <v>740000</v>
      </c>
      <c r="G1570" s="14">
        <v>465000</v>
      </c>
      <c r="H1570" s="13" t="s">
        <v>32965</v>
      </c>
      <c r="I1570" s="40" t="s">
        <v>18</v>
      </c>
      <c r="J1570" s="40" t="str">
        <f>HYPERLINK("https://stock.pstatic.net/stock-research/company/63/20260710_company_570373000.pdf","PDF")</f>
        <v>PDF</v>
      </c>
      <c r="K1570" s="12" t="s">
        <v>32966</v>
      </c>
      <c r="L1570" s="36">
        <v>0.59139784946236562</v>
      </c>
    </row>
    <row r="1571" spans="1:12" x14ac:dyDescent="0.45">
      <c r="A1571" s="12" t="s">
        <v>32900</v>
      </c>
      <c r="B1571" s="12" t="s">
        <v>2956</v>
      </c>
      <c r="C1571" s="13" t="s">
        <v>2957</v>
      </c>
      <c r="D1571" s="13" t="s">
        <v>44</v>
      </c>
      <c r="E1571" s="12" t="s">
        <v>35</v>
      </c>
      <c r="F1571" s="14">
        <v>47000</v>
      </c>
      <c r="G1571" s="14">
        <v>29250</v>
      </c>
      <c r="H1571" s="13" t="s">
        <v>32967</v>
      </c>
      <c r="I1571" s="40" t="s">
        <v>18</v>
      </c>
      <c r="J1571" s="40" t="str">
        <f>HYPERLINK("https://stock.pstatic.net/stock-research/company/39/20260710_company_918971000.pdf","PDF")</f>
        <v>PDF</v>
      </c>
      <c r="K1571" s="12" t="s">
        <v>32968</v>
      </c>
      <c r="L1571" s="36">
        <v>0.60683760683760679</v>
      </c>
    </row>
    <row r="1572" spans="1:12" x14ac:dyDescent="0.45">
      <c r="A1572" s="12" t="s">
        <v>32900</v>
      </c>
      <c r="B1572" s="12" t="s">
        <v>519</v>
      </c>
      <c r="C1572" s="13" t="s">
        <v>520</v>
      </c>
      <c r="D1572" s="13" t="s">
        <v>92</v>
      </c>
      <c r="E1572" s="12" t="s">
        <v>35</v>
      </c>
      <c r="F1572" s="14">
        <v>900000</v>
      </c>
      <c r="G1572" s="14">
        <v>445500</v>
      </c>
      <c r="H1572" s="13" t="s">
        <v>32969</v>
      </c>
      <c r="I1572" s="40" t="s">
        <v>18</v>
      </c>
      <c r="J1572" s="40" t="str">
        <f>HYPERLINK("https://stock.pstatic.net/stock-research/company/63/20260710_company_751681000.pdf","PDF")</f>
        <v>PDF</v>
      </c>
      <c r="K1572" s="12" t="s">
        <v>32970</v>
      </c>
      <c r="L1572" s="36">
        <v>1.0202020202020201</v>
      </c>
    </row>
    <row r="1573" spans="1:12" x14ac:dyDescent="0.45">
      <c r="A1573" s="12" t="s">
        <v>32900</v>
      </c>
      <c r="B1573" s="12" t="s">
        <v>533</v>
      </c>
      <c r="C1573" s="13" t="s">
        <v>534</v>
      </c>
      <c r="D1573" s="13" t="s">
        <v>53</v>
      </c>
      <c r="E1573" s="12" t="s">
        <v>16</v>
      </c>
      <c r="F1573" s="14">
        <v>75000</v>
      </c>
      <c r="G1573" s="14">
        <v>58000</v>
      </c>
      <c r="H1573" s="13" t="s">
        <v>32971</v>
      </c>
      <c r="I1573" s="40" t="s">
        <v>18</v>
      </c>
      <c r="J1573" s="40" t="str">
        <f>HYPERLINK("https://stock.pstatic.net/stock-research/company/40/20260710_company_727797000.pdf","PDF")</f>
        <v>PDF</v>
      </c>
      <c r="K1573" s="12" t="s">
        <v>32972</v>
      </c>
      <c r="L1573" s="36">
        <v>0.29310344827586199</v>
      </c>
    </row>
    <row r="1574" spans="1:12" x14ac:dyDescent="0.45">
      <c r="A1574" s="12" t="s">
        <v>32900</v>
      </c>
      <c r="B1574" s="12" t="s">
        <v>2425</v>
      </c>
      <c r="C1574" s="13" t="s">
        <v>2426</v>
      </c>
      <c r="D1574" s="13" t="s">
        <v>44</v>
      </c>
      <c r="E1574" s="12" t="s">
        <v>35</v>
      </c>
      <c r="F1574" s="14">
        <v>220000</v>
      </c>
      <c r="G1574" s="14">
        <v>176400</v>
      </c>
      <c r="H1574" s="13" t="s">
        <v>32973</v>
      </c>
      <c r="I1574" s="40" t="s">
        <v>18</v>
      </c>
      <c r="J1574" s="40" t="str">
        <f>HYPERLINK("https://stock.pstatic.net/stock-research/company/39/20260710_company_790879000.pdf","PDF")</f>
        <v>PDF</v>
      </c>
      <c r="K1574" s="12" t="s">
        <v>32974</v>
      </c>
      <c r="L1574" s="36">
        <v>0.2471655328798186</v>
      </c>
    </row>
    <row r="1575" spans="1:12" x14ac:dyDescent="0.45">
      <c r="A1575" s="12" t="s">
        <v>32900</v>
      </c>
      <c r="B1575" s="12" t="s">
        <v>1765</v>
      </c>
      <c r="C1575" s="13" t="s">
        <v>1766</v>
      </c>
      <c r="D1575" s="13" t="s">
        <v>44</v>
      </c>
      <c r="E1575" s="12" t="s">
        <v>35</v>
      </c>
      <c r="F1575" s="14">
        <v>205000</v>
      </c>
      <c r="G1575" s="14">
        <v>144800</v>
      </c>
      <c r="H1575" s="13" t="s">
        <v>32975</v>
      </c>
      <c r="I1575" s="40" t="s">
        <v>18</v>
      </c>
      <c r="J1575" s="40" t="str">
        <f>HYPERLINK("https://stock.pstatic.net/stock-research/company/39/20260710_company_933825000.pdf","PDF")</f>
        <v>PDF</v>
      </c>
      <c r="K1575" s="12" t="s">
        <v>32976</v>
      </c>
      <c r="L1575" s="36">
        <v>0.41574585635359118</v>
      </c>
    </row>
    <row r="1576" spans="1:12" x14ac:dyDescent="0.45">
      <c r="A1576" s="12" t="s">
        <v>32900</v>
      </c>
      <c r="B1576" s="12" t="s">
        <v>32977</v>
      </c>
      <c r="C1576" s="13" t="s">
        <v>32978</v>
      </c>
      <c r="D1576" s="13" t="s">
        <v>202</v>
      </c>
      <c r="E1576" s="12" t="s">
        <v>50</v>
      </c>
      <c r="F1576" s="13"/>
      <c r="G1576" s="13"/>
      <c r="H1576" s="13" t="s">
        <v>32979</v>
      </c>
      <c r="I1576" s="40" t="s">
        <v>18</v>
      </c>
      <c r="J1576" s="40" t="str">
        <f>HYPERLINK("https://stock.pstatic.net/stock-research/company/69/20260710_company_862504000.pdf","PDF")</f>
        <v>PDF</v>
      </c>
      <c r="K1576" s="12" t="s">
        <v>32980</v>
      </c>
      <c r="L1576" s="12"/>
    </row>
    <row r="1577" spans="1:12" x14ac:dyDescent="0.45">
      <c r="A1577" s="12" t="s">
        <v>32900</v>
      </c>
      <c r="B1577" s="12" t="s">
        <v>18078</v>
      </c>
      <c r="C1577" s="13" t="s">
        <v>18079</v>
      </c>
      <c r="D1577" s="13" t="s">
        <v>207</v>
      </c>
      <c r="E1577" s="12" t="s">
        <v>50</v>
      </c>
      <c r="F1577" s="13"/>
      <c r="G1577" s="13"/>
      <c r="H1577" s="13" t="s">
        <v>32981</v>
      </c>
      <c r="I1577" s="40" t="s">
        <v>18</v>
      </c>
      <c r="J1577" s="40" t="str">
        <f>HYPERLINK("https://stock.pstatic.net/stock-research/company/75/20260710_company_101502000.pdf","PDF")</f>
        <v>PDF</v>
      </c>
      <c r="K1577" s="12" t="s">
        <v>32982</v>
      </c>
      <c r="L1577" s="12"/>
    </row>
    <row r="1578" spans="1:12" x14ac:dyDescent="0.45">
      <c r="A1578" s="12" t="s">
        <v>32900</v>
      </c>
      <c r="B1578" s="12" t="s">
        <v>32983</v>
      </c>
      <c r="C1578" s="13" t="s">
        <v>32984</v>
      </c>
      <c r="D1578" s="13" t="s">
        <v>207</v>
      </c>
      <c r="E1578" s="12" t="s">
        <v>50</v>
      </c>
      <c r="F1578" s="13"/>
      <c r="G1578" s="13"/>
      <c r="H1578" s="13" t="s">
        <v>32985</v>
      </c>
      <c r="I1578" s="40" t="s">
        <v>18</v>
      </c>
      <c r="J1578" s="40" t="str">
        <f>HYPERLINK("https://stock.pstatic.net/stock-research/company/75/20260710_company_109928000.pdf","PDF")</f>
        <v>PDF</v>
      </c>
      <c r="K1578" s="12" t="s">
        <v>32986</v>
      </c>
      <c r="L1578" s="12"/>
    </row>
    <row r="1579" spans="1:12" x14ac:dyDescent="0.45">
      <c r="A1579" s="12" t="s">
        <v>32900</v>
      </c>
      <c r="B1579" s="12" t="s">
        <v>32987</v>
      </c>
      <c r="C1579" s="13" t="s">
        <v>32988</v>
      </c>
      <c r="D1579" s="13" t="s">
        <v>202</v>
      </c>
      <c r="E1579" s="12" t="s">
        <v>50</v>
      </c>
      <c r="F1579" s="13"/>
      <c r="G1579" s="13"/>
      <c r="H1579" s="13" t="s">
        <v>32989</v>
      </c>
      <c r="I1579" s="40" t="s">
        <v>18</v>
      </c>
      <c r="J1579" s="40" t="str">
        <f>HYPERLINK("https://stock.pstatic.net/stock-research/company/69/20260710_company_529018000.pdf","PDF")</f>
        <v>PDF</v>
      </c>
      <c r="K1579" s="12" t="s">
        <v>32990</v>
      </c>
      <c r="L1579" s="12"/>
    </row>
    <row r="1580" spans="1:12" x14ac:dyDescent="0.45">
      <c r="A1580" s="12" t="s">
        <v>32900</v>
      </c>
      <c r="B1580" s="12" t="s">
        <v>32991</v>
      </c>
      <c r="C1580" s="13" t="s">
        <v>32992</v>
      </c>
      <c r="D1580" s="13" t="s">
        <v>202</v>
      </c>
      <c r="E1580" s="12" t="s">
        <v>50</v>
      </c>
      <c r="F1580" s="13"/>
      <c r="G1580" s="13"/>
      <c r="H1580" s="13" t="s">
        <v>32993</v>
      </c>
      <c r="I1580" s="40" t="s">
        <v>18</v>
      </c>
      <c r="J1580" s="40" t="str">
        <f>HYPERLINK("https://stock.pstatic.net/stock-research/company/69/20260710_company_302989000.pdf","PDF")</f>
        <v>PDF</v>
      </c>
      <c r="K1580" s="12" t="s">
        <v>32994</v>
      </c>
      <c r="L1580" s="12"/>
    </row>
    <row r="1581" spans="1:12" x14ac:dyDescent="0.45">
      <c r="A1581" s="12" t="s">
        <v>32900</v>
      </c>
      <c r="B1581" s="12" t="s">
        <v>32995</v>
      </c>
      <c r="C1581" s="13" t="s">
        <v>32996</v>
      </c>
      <c r="D1581" s="13" t="s">
        <v>202</v>
      </c>
      <c r="E1581" s="12" t="s">
        <v>50</v>
      </c>
      <c r="F1581" s="13"/>
      <c r="G1581" s="13"/>
      <c r="H1581" s="13" t="s">
        <v>32997</v>
      </c>
      <c r="I1581" s="40" t="s">
        <v>18</v>
      </c>
      <c r="J1581" s="40" t="str">
        <f>HYPERLINK("https://stock.pstatic.net/stock-research/company/69/20260710_company_724416000.pdf","PDF")</f>
        <v>PDF</v>
      </c>
      <c r="K1581" s="12" t="s">
        <v>32998</v>
      </c>
      <c r="L1581" s="12"/>
    </row>
    <row r="1582" spans="1:12" x14ac:dyDescent="0.45">
      <c r="A1582" s="12" t="s">
        <v>32783</v>
      </c>
      <c r="B1582" s="12" t="s">
        <v>366</v>
      </c>
      <c r="C1582" s="13" t="s">
        <v>367</v>
      </c>
      <c r="D1582" s="13" t="s">
        <v>23</v>
      </c>
      <c r="E1582" s="12" t="s">
        <v>16</v>
      </c>
      <c r="F1582" s="14">
        <v>38000</v>
      </c>
      <c r="G1582" s="14">
        <v>23450</v>
      </c>
      <c r="H1582" s="13" t="s">
        <v>32784</v>
      </c>
      <c r="I1582" s="40" t="s">
        <v>18</v>
      </c>
      <c r="J1582" s="40" t="str">
        <f>HYPERLINK("https://stock.pstatic.net/stock-research/company/21/20260709_company_514756000.pdf","PDF")</f>
        <v>PDF</v>
      </c>
      <c r="K1582" s="12" t="s">
        <v>32785</v>
      </c>
      <c r="L1582" s="36">
        <v>0.6204690831556503</v>
      </c>
    </row>
    <row r="1583" spans="1:12" x14ac:dyDescent="0.45">
      <c r="A1583" s="12" t="s">
        <v>32783</v>
      </c>
      <c r="B1583" s="12" t="s">
        <v>1765</v>
      </c>
      <c r="C1583" s="13" t="s">
        <v>1766</v>
      </c>
      <c r="D1583" s="13" t="s">
        <v>23</v>
      </c>
      <c r="E1583" s="12" t="s">
        <v>16</v>
      </c>
      <c r="F1583" s="14">
        <v>240000</v>
      </c>
      <c r="G1583" s="14">
        <v>156800</v>
      </c>
      <c r="H1583" s="13" t="s">
        <v>32786</v>
      </c>
      <c r="I1583" s="40" t="s">
        <v>18</v>
      </c>
      <c r="J1583" s="40" t="str">
        <f>HYPERLINK("https://stock.pstatic.net/stock-research/company/21/20260709_company_215215000.pdf","PDF")</f>
        <v>PDF</v>
      </c>
      <c r="K1583" s="12" t="s">
        <v>32787</v>
      </c>
      <c r="L1583" s="36">
        <v>0.53061224489795922</v>
      </c>
    </row>
    <row r="1584" spans="1:12" x14ac:dyDescent="0.45">
      <c r="A1584" s="12" t="s">
        <v>32783</v>
      </c>
      <c r="B1584" s="12" t="s">
        <v>495</v>
      </c>
      <c r="C1584" s="13" t="s">
        <v>496</v>
      </c>
      <c r="D1584" s="13" t="s">
        <v>23</v>
      </c>
      <c r="E1584" s="12" t="s">
        <v>16</v>
      </c>
      <c r="F1584" s="14">
        <v>540000</v>
      </c>
      <c r="G1584" s="14">
        <v>385500</v>
      </c>
      <c r="H1584" s="13" t="s">
        <v>32788</v>
      </c>
      <c r="I1584" s="40" t="s">
        <v>18</v>
      </c>
      <c r="J1584" s="40" t="str">
        <f>HYPERLINK("https://stock.pstatic.net/stock-research/company/21/20260709_company_863385000.pdf","PDF")</f>
        <v>PDF</v>
      </c>
      <c r="K1584" s="12" t="s">
        <v>32789</v>
      </c>
      <c r="L1584" s="36">
        <v>0.40077821011673148</v>
      </c>
    </row>
    <row r="1585" spans="1:12" x14ac:dyDescent="0.45">
      <c r="A1585" s="12" t="s">
        <v>32783</v>
      </c>
      <c r="B1585" s="12" t="s">
        <v>3244</v>
      </c>
      <c r="C1585" s="13" t="s">
        <v>3245</v>
      </c>
      <c r="D1585" s="13" t="s">
        <v>44</v>
      </c>
      <c r="E1585" s="12" t="s">
        <v>35</v>
      </c>
      <c r="F1585" s="14">
        <v>96000</v>
      </c>
      <c r="G1585" s="14">
        <v>61400</v>
      </c>
      <c r="H1585" s="13" t="s">
        <v>32790</v>
      </c>
      <c r="I1585" s="40" t="s">
        <v>18</v>
      </c>
      <c r="J1585" s="40" t="str">
        <f>HYPERLINK("https://stock.pstatic.net/stock-research/company/39/20260709_company_793446000.pdf","PDF")</f>
        <v>PDF</v>
      </c>
      <c r="K1585" s="12" t="s">
        <v>32791</v>
      </c>
      <c r="L1585" s="36">
        <v>0.56351791530944628</v>
      </c>
    </row>
    <row r="1586" spans="1:12" x14ac:dyDescent="0.45">
      <c r="A1586" s="12" t="s">
        <v>32783</v>
      </c>
      <c r="B1586" s="12" t="s">
        <v>1552</v>
      </c>
      <c r="C1586" s="13" t="s">
        <v>1553</v>
      </c>
      <c r="D1586" s="13" t="s">
        <v>44</v>
      </c>
      <c r="E1586" s="12" t="s">
        <v>35</v>
      </c>
      <c r="F1586" s="14">
        <v>245000</v>
      </c>
      <c r="G1586" s="14">
        <v>125300</v>
      </c>
      <c r="H1586" s="13" t="s">
        <v>32792</v>
      </c>
      <c r="I1586" s="40" t="s">
        <v>18</v>
      </c>
      <c r="J1586" s="40" t="str">
        <f>HYPERLINK("https://stock.pstatic.net/stock-research/company/39/20260709_company_35163000.pdf","PDF")</f>
        <v>PDF</v>
      </c>
      <c r="K1586" s="12" t="s">
        <v>32793</v>
      </c>
      <c r="L1586" s="36">
        <v>0.95530726256983245</v>
      </c>
    </row>
    <row r="1587" spans="1:12" x14ac:dyDescent="0.45">
      <c r="A1587" s="12" t="s">
        <v>32783</v>
      </c>
      <c r="B1587" s="12" t="s">
        <v>537</v>
      </c>
      <c r="C1587" s="13" t="s">
        <v>538</v>
      </c>
      <c r="D1587" s="13" t="s">
        <v>179</v>
      </c>
      <c r="E1587" s="12" t="s">
        <v>16</v>
      </c>
      <c r="F1587" s="14">
        <v>19000</v>
      </c>
      <c r="G1587" s="14">
        <v>14810</v>
      </c>
      <c r="H1587" s="13" t="s">
        <v>32794</v>
      </c>
      <c r="I1587" s="40" t="s">
        <v>18</v>
      </c>
      <c r="J1587" s="40" t="str">
        <f>HYPERLINK("https://stock.pstatic.net/stock-research/company/64/20260709_company_553166000.pdf","PDF")</f>
        <v>PDF</v>
      </c>
      <c r="K1587" s="12" t="s">
        <v>32795</v>
      </c>
      <c r="L1587" s="36">
        <v>0.28291694800810258</v>
      </c>
    </row>
    <row r="1588" spans="1:12" x14ac:dyDescent="0.45">
      <c r="A1588" s="12" t="s">
        <v>32783</v>
      </c>
      <c r="B1588" s="12" t="s">
        <v>32796</v>
      </c>
      <c r="C1588" s="13" t="s">
        <v>32797</v>
      </c>
      <c r="D1588" s="13" t="s">
        <v>124</v>
      </c>
      <c r="E1588" s="12" t="s">
        <v>50</v>
      </c>
      <c r="F1588" s="13"/>
      <c r="G1588" s="13"/>
      <c r="H1588" s="13" t="s">
        <v>32798</v>
      </c>
      <c r="I1588" s="40" t="s">
        <v>18</v>
      </c>
      <c r="J1588" s="40" t="str">
        <f>HYPERLINK("https://stock.pstatic.net/stock-research/company/74/20260709_company_400356000.pdf","PDF")</f>
        <v>PDF</v>
      </c>
      <c r="K1588" s="12" t="s">
        <v>32799</v>
      </c>
      <c r="L1588" s="12"/>
    </row>
    <row r="1589" spans="1:12" x14ac:dyDescent="0.45">
      <c r="A1589" s="12" t="s">
        <v>32783</v>
      </c>
      <c r="B1589" s="12" t="s">
        <v>2522</v>
      </c>
      <c r="C1589" s="13" t="s">
        <v>2523</v>
      </c>
      <c r="D1589" s="13" t="s">
        <v>15</v>
      </c>
      <c r="E1589" s="12" t="s">
        <v>16</v>
      </c>
      <c r="F1589" s="14">
        <v>360000</v>
      </c>
      <c r="G1589" s="14">
        <v>245000</v>
      </c>
      <c r="H1589" s="13" t="s">
        <v>32800</v>
      </c>
      <c r="I1589" s="40" t="s">
        <v>18</v>
      </c>
      <c r="J1589" s="40" t="str">
        <f>HYPERLINK("https://stock.pstatic.net/stock-research/company/56/20260709_company_173939000.pdf","PDF")</f>
        <v>PDF</v>
      </c>
      <c r="K1589" s="12" t="s">
        <v>32801</v>
      </c>
      <c r="L1589" s="36">
        <v>0.46938775510204078</v>
      </c>
    </row>
    <row r="1590" spans="1:12" x14ac:dyDescent="0.45">
      <c r="A1590" s="12" t="s">
        <v>32783</v>
      </c>
      <c r="B1590" s="12" t="s">
        <v>31997</v>
      </c>
      <c r="C1590" s="13" t="s">
        <v>31998</v>
      </c>
      <c r="D1590" s="13" t="s">
        <v>15</v>
      </c>
      <c r="E1590" s="12" t="s">
        <v>50</v>
      </c>
      <c r="F1590" s="13"/>
      <c r="G1590" s="14">
        <v>6250</v>
      </c>
      <c r="H1590" s="13" t="s">
        <v>32802</v>
      </c>
      <c r="I1590" s="40" t="s">
        <v>18</v>
      </c>
      <c r="J1590" s="40" t="str">
        <f>HYPERLINK("https://stock.pstatic.net/stock-research/company/56/20260709_company_983321000.pdf","PDF")</f>
        <v>PDF</v>
      </c>
      <c r="K1590" s="12" t="s">
        <v>32803</v>
      </c>
      <c r="L1590" s="12"/>
    </row>
    <row r="1591" spans="1:12" x14ac:dyDescent="0.45">
      <c r="A1591" s="12" t="s">
        <v>32783</v>
      </c>
      <c r="B1591" s="12" t="s">
        <v>118</v>
      </c>
      <c r="C1591" s="13" t="s">
        <v>119</v>
      </c>
      <c r="D1591" s="13" t="s">
        <v>53</v>
      </c>
      <c r="E1591" s="12" t="s">
        <v>16</v>
      </c>
      <c r="F1591" s="14">
        <v>120000</v>
      </c>
      <c r="G1591" s="14">
        <v>81100</v>
      </c>
      <c r="H1591" s="13" t="s">
        <v>32804</v>
      </c>
      <c r="I1591" s="40" t="s">
        <v>18</v>
      </c>
      <c r="J1591" s="40" t="str">
        <f>HYPERLINK("https://stock.pstatic.net/stock-research/company/40/20260709_company_756674000.pdf","PDF")</f>
        <v>PDF</v>
      </c>
      <c r="K1591" s="12" t="s">
        <v>32805</v>
      </c>
      <c r="L1591" s="36">
        <v>0.47965474722564733</v>
      </c>
    </row>
    <row r="1592" spans="1:12" x14ac:dyDescent="0.45">
      <c r="A1592" s="12" t="s">
        <v>32782</v>
      </c>
      <c r="B1592" s="12" t="s">
        <v>98</v>
      </c>
      <c r="C1592" s="13" t="s">
        <v>99</v>
      </c>
      <c r="D1592" s="13" t="s">
        <v>57</v>
      </c>
      <c r="E1592" s="12" t="s">
        <v>35</v>
      </c>
      <c r="F1592" s="14">
        <v>50000</v>
      </c>
      <c r="G1592" s="14">
        <v>38800</v>
      </c>
      <c r="H1592" s="13" t="s">
        <v>32806</v>
      </c>
      <c r="I1592" s="40" t="s">
        <v>18</v>
      </c>
      <c r="J1592" s="40" t="str">
        <f>HYPERLINK("https://stock.pstatic.net/stock-research/company/16/20260708_company_843217000.pdf","PDF")</f>
        <v>PDF</v>
      </c>
      <c r="K1592" s="12" t="s">
        <v>32807</v>
      </c>
      <c r="L1592" s="36">
        <v>0.28865979381443302</v>
      </c>
    </row>
    <row r="1593" spans="1:12" x14ac:dyDescent="0.45">
      <c r="A1593" s="12" t="s">
        <v>32782</v>
      </c>
      <c r="B1593" s="12" t="s">
        <v>888</v>
      </c>
      <c r="C1593" s="13" t="s">
        <v>889</v>
      </c>
      <c r="D1593" s="13" t="s">
        <v>57</v>
      </c>
      <c r="E1593" s="12" t="s">
        <v>35</v>
      </c>
      <c r="F1593" s="14">
        <v>80000</v>
      </c>
      <c r="G1593" s="14">
        <v>65100</v>
      </c>
      <c r="H1593" s="13" t="s">
        <v>32808</v>
      </c>
      <c r="I1593" s="40" t="s">
        <v>18</v>
      </c>
      <c r="J1593" s="40" t="str">
        <f>HYPERLINK("https://stock.pstatic.net/stock-research/company/16/20260708_company_976712000.pdf","PDF")</f>
        <v>PDF</v>
      </c>
      <c r="K1593" s="12" t="s">
        <v>32809</v>
      </c>
      <c r="L1593" s="36">
        <v>0.22887864823348689</v>
      </c>
    </row>
    <row r="1594" spans="1:12" x14ac:dyDescent="0.45">
      <c r="A1594" s="12" t="s">
        <v>32782</v>
      </c>
      <c r="B1594" s="12" t="s">
        <v>1682</v>
      </c>
      <c r="C1594" s="13" t="s">
        <v>1683</v>
      </c>
      <c r="D1594" s="13" t="s">
        <v>57</v>
      </c>
      <c r="E1594" s="12" t="s">
        <v>35</v>
      </c>
      <c r="F1594" s="14">
        <v>350000</v>
      </c>
      <c r="G1594" s="14">
        <v>252500</v>
      </c>
      <c r="H1594" s="13" t="s">
        <v>32810</v>
      </c>
      <c r="I1594" s="40" t="s">
        <v>18</v>
      </c>
      <c r="J1594" s="40" t="str">
        <f>HYPERLINK("https://stock.pstatic.net/stock-research/company/16/20260708_company_454253000.pdf","PDF")</f>
        <v>PDF</v>
      </c>
      <c r="K1594" s="12" t="s">
        <v>32811</v>
      </c>
      <c r="L1594" s="36">
        <v>0.38613861386138609</v>
      </c>
    </row>
    <row r="1595" spans="1:12" x14ac:dyDescent="0.45">
      <c r="A1595" s="12" t="s">
        <v>32782</v>
      </c>
      <c r="B1595" s="12" t="s">
        <v>1042</v>
      </c>
      <c r="C1595" s="13" t="s">
        <v>1043</v>
      </c>
      <c r="D1595" s="13" t="s">
        <v>276</v>
      </c>
      <c r="E1595" s="12" t="s">
        <v>16</v>
      </c>
      <c r="F1595" s="14">
        <v>50000</v>
      </c>
      <c r="G1595" s="14">
        <v>23850</v>
      </c>
      <c r="H1595" s="13" t="s">
        <v>32812</v>
      </c>
      <c r="I1595" s="40" t="s">
        <v>18</v>
      </c>
      <c r="J1595" s="40" t="str">
        <f>HYPERLINK("https://stock.pstatic.net/stock-research/company/66/20260708_company_405548000.pdf","PDF")</f>
        <v>PDF</v>
      </c>
      <c r="K1595" s="12" t="s">
        <v>32813</v>
      </c>
      <c r="L1595" s="36">
        <v>1.09643605870021</v>
      </c>
    </row>
    <row r="1596" spans="1:12" x14ac:dyDescent="0.45">
      <c r="A1596" s="12" t="s">
        <v>32782</v>
      </c>
      <c r="B1596" s="12" t="s">
        <v>5359</v>
      </c>
      <c r="C1596" s="13" t="s">
        <v>5360</v>
      </c>
      <c r="D1596" s="13" t="s">
        <v>60</v>
      </c>
      <c r="E1596" s="12" t="s">
        <v>50</v>
      </c>
      <c r="F1596" s="13"/>
      <c r="G1596" s="14">
        <v>8830</v>
      </c>
      <c r="H1596" s="13" t="s">
        <v>32814</v>
      </c>
      <c r="I1596" s="40" t="s">
        <v>18</v>
      </c>
      <c r="J1596" s="40" t="str">
        <f>HYPERLINK("https://stock.pstatic.net/stock-research/company/62/20260708_company_41448000.pdf","PDF")</f>
        <v>PDF</v>
      </c>
      <c r="K1596" s="12" t="s">
        <v>32815</v>
      </c>
      <c r="L1596" s="12"/>
    </row>
    <row r="1597" spans="1:12" x14ac:dyDescent="0.45">
      <c r="A1597" s="12" t="s">
        <v>32782</v>
      </c>
      <c r="B1597" s="12" t="s">
        <v>2613</v>
      </c>
      <c r="C1597" s="13" t="s">
        <v>2614</v>
      </c>
      <c r="D1597" s="13" t="s">
        <v>60</v>
      </c>
      <c r="E1597" s="12" t="s">
        <v>35</v>
      </c>
      <c r="F1597" s="14">
        <v>350000</v>
      </c>
      <c r="G1597" s="14">
        <v>248000</v>
      </c>
      <c r="H1597" s="13" t="s">
        <v>32816</v>
      </c>
      <c r="I1597" s="40" t="s">
        <v>18</v>
      </c>
      <c r="J1597" s="40" t="str">
        <f>HYPERLINK("https://stock.pstatic.net/stock-research/company/62/20260708_company_111731000.pdf","PDF")</f>
        <v>PDF</v>
      </c>
      <c r="K1597" s="12" t="s">
        <v>32817</v>
      </c>
      <c r="L1597" s="36">
        <v>0.41129032258064518</v>
      </c>
    </row>
    <row r="1598" spans="1:12" x14ac:dyDescent="0.45">
      <c r="A1598" s="12" t="s">
        <v>32782</v>
      </c>
      <c r="B1598" s="12" t="s">
        <v>98</v>
      </c>
      <c r="C1598" s="13" t="s">
        <v>99</v>
      </c>
      <c r="D1598" s="13" t="s">
        <v>60</v>
      </c>
      <c r="E1598" s="12" t="s">
        <v>35</v>
      </c>
      <c r="F1598" s="14">
        <v>49000</v>
      </c>
      <c r="G1598" s="14">
        <v>38800</v>
      </c>
      <c r="H1598" s="13" t="s">
        <v>32818</v>
      </c>
      <c r="I1598" s="40" t="s">
        <v>18</v>
      </c>
      <c r="J1598" s="40" t="str">
        <f>HYPERLINK("https://stock.pstatic.net/stock-research/company/62/20260708_company_787563000.pdf","PDF")</f>
        <v>PDF</v>
      </c>
      <c r="K1598" s="12" t="s">
        <v>32819</v>
      </c>
      <c r="L1598" s="36">
        <v>0.26288659793814428</v>
      </c>
    </row>
    <row r="1599" spans="1:12" x14ac:dyDescent="0.45">
      <c r="A1599" s="12" t="s">
        <v>32782</v>
      </c>
      <c r="B1599" s="12" t="s">
        <v>908</v>
      </c>
      <c r="C1599" s="13" t="s">
        <v>909</v>
      </c>
      <c r="D1599" s="13" t="s">
        <v>60</v>
      </c>
      <c r="E1599" s="12" t="s">
        <v>35</v>
      </c>
      <c r="F1599" s="14">
        <v>250000</v>
      </c>
      <c r="G1599" s="14">
        <v>205000</v>
      </c>
      <c r="H1599" s="13" t="s">
        <v>32820</v>
      </c>
      <c r="I1599" s="40" t="s">
        <v>18</v>
      </c>
      <c r="J1599" s="40" t="str">
        <f>HYPERLINK("https://stock.pstatic.net/stock-research/company/62/20260708_company_51067000.pdf","PDF")</f>
        <v>PDF</v>
      </c>
      <c r="K1599" s="12" t="s">
        <v>32821</v>
      </c>
      <c r="L1599" s="36">
        <v>0.21951219512195119</v>
      </c>
    </row>
    <row r="1600" spans="1:12" x14ac:dyDescent="0.45">
      <c r="A1600" s="12" t="s">
        <v>32782</v>
      </c>
      <c r="B1600" s="12" t="s">
        <v>1781</v>
      </c>
      <c r="C1600" s="13" t="s">
        <v>1782</v>
      </c>
      <c r="D1600" s="13" t="s">
        <v>65</v>
      </c>
      <c r="E1600" s="12" t="s">
        <v>35</v>
      </c>
      <c r="F1600" s="14">
        <v>260000</v>
      </c>
      <c r="G1600" s="14">
        <v>189100</v>
      </c>
      <c r="H1600" s="13" t="s">
        <v>32822</v>
      </c>
      <c r="I1600" s="40" t="s">
        <v>18</v>
      </c>
      <c r="J1600" s="40" t="str">
        <f>HYPERLINK("https://stock.pstatic.net/stock-research/company/57/20260708_company_830785000.pdf","PDF")</f>
        <v>PDF</v>
      </c>
      <c r="K1600" s="12" t="s">
        <v>32823</v>
      </c>
      <c r="L1600" s="36">
        <v>0.37493389740877842</v>
      </c>
    </row>
    <row r="1601" spans="1:12" x14ac:dyDescent="0.45">
      <c r="A1601" s="12" t="s">
        <v>32782</v>
      </c>
      <c r="B1601" s="12" t="s">
        <v>13</v>
      </c>
      <c r="C1601" s="13" t="s">
        <v>14</v>
      </c>
      <c r="D1601" s="13" t="s">
        <v>65</v>
      </c>
      <c r="E1601" s="12" t="s">
        <v>35</v>
      </c>
      <c r="F1601" s="14">
        <v>480000</v>
      </c>
      <c r="G1601" s="14">
        <v>296000</v>
      </c>
      <c r="H1601" s="13" t="s">
        <v>32824</v>
      </c>
      <c r="I1601" s="40" t="s">
        <v>18</v>
      </c>
      <c r="J1601" s="40" t="str">
        <f>HYPERLINK("https://stock.pstatic.net/stock-research/company/57/20260708_company_304505000.pdf","PDF")</f>
        <v>PDF</v>
      </c>
      <c r="K1601" s="12" t="s">
        <v>32825</v>
      </c>
      <c r="L1601" s="36">
        <v>0.6216216216216216</v>
      </c>
    </row>
    <row r="1602" spans="1:12" x14ac:dyDescent="0.45">
      <c r="A1602" s="12" t="s">
        <v>32782</v>
      </c>
      <c r="B1602" s="12" t="s">
        <v>2378</v>
      </c>
      <c r="C1602" s="13" t="s">
        <v>2379</v>
      </c>
      <c r="D1602" s="13" t="s">
        <v>65</v>
      </c>
      <c r="E1602" s="12" t="s">
        <v>35</v>
      </c>
      <c r="F1602" s="14">
        <v>530000</v>
      </c>
      <c r="G1602" s="14">
        <v>332000</v>
      </c>
      <c r="H1602" s="13" t="s">
        <v>32826</v>
      </c>
      <c r="I1602" s="40" t="s">
        <v>18</v>
      </c>
      <c r="J1602" s="40" t="str">
        <f>HYPERLINK("https://stock.pstatic.net/stock-research/company/57/20260708_company_711075000.pdf","PDF")</f>
        <v>PDF</v>
      </c>
      <c r="K1602" s="12" t="s">
        <v>32827</v>
      </c>
      <c r="L1602" s="36">
        <v>0.59638554216867468</v>
      </c>
    </row>
    <row r="1603" spans="1:12" x14ac:dyDescent="0.45">
      <c r="A1603" s="12" t="s">
        <v>32782</v>
      </c>
      <c r="B1603" s="12" t="s">
        <v>2449</v>
      </c>
      <c r="C1603" s="13" t="s">
        <v>2450</v>
      </c>
      <c r="D1603" s="13" t="s">
        <v>65</v>
      </c>
      <c r="E1603" s="12" t="s">
        <v>50</v>
      </c>
      <c r="F1603" s="13"/>
      <c r="G1603" s="14">
        <v>7210</v>
      </c>
      <c r="H1603" s="13" t="s">
        <v>32828</v>
      </c>
      <c r="I1603" s="40" t="s">
        <v>18</v>
      </c>
      <c r="J1603" s="40" t="str">
        <f>HYPERLINK("https://stock.pstatic.net/stock-research/company/57/20260708_company_848128000.pdf","PDF")</f>
        <v>PDF</v>
      </c>
      <c r="K1603" s="12" t="s">
        <v>32829</v>
      </c>
      <c r="L1603" s="12"/>
    </row>
    <row r="1604" spans="1:12" x14ac:dyDescent="0.45">
      <c r="A1604" s="12" t="s">
        <v>32782</v>
      </c>
      <c r="B1604" s="12" t="s">
        <v>356</v>
      </c>
      <c r="C1604" s="13" t="s">
        <v>357</v>
      </c>
      <c r="D1604" s="13" t="s">
        <v>158</v>
      </c>
      <c r="E1604" s="12" t="s">
        <v>35</v>
      </c>
      <c r="F1604" s="14">
        <v>150000</v>
      </c>
      <c r="G1604" s="14">
        <v>67800</v>
      </c>
      <c r="H1604" s="13" t="s">
        <v>32830</v>
      </c>
      <c r="I1604" s="40" t="s">
        <v>18</v>
      </c>
      <c r="J1604" s="40" t="str">
        <f>HYPERLINK("https://stock.pstatic.net/stock-research/company/18/20260708_company_344287000.pdf","PDF")</f>
        <v>PDF</v>
      </c>
      <c r="K1604" s="12" t="s">
        <v>32831</v>
      </c>
      <c r="L1604" s="36">
        <v>1.212389380530974</v>
      </c>
    </row>
    <row r="1605" spans="1:12" x14ac:dyDescent="0.45">
      <c r="A1605" s="12" t="s">
        <v>32782</v>
      </c>
      <c r="B1605" s="12" t="s">
        <v>4567</v>
      </c>
      <c r="C1605" s="13" t="s">
        <v>4568</v>
      </c>
      <c r="D1605" s="13" t="s">
        <v>158</v>
      </c>
      <c r="E1605" s="12" t="s">
        <v>35</v>
      </c>
      <c r="F1605" s="14">
        <v>200000</v>
      </c>
      <c r="G1605" s="14">
        <v>116700</v>
      </c>
      <c r="H1605" s="13" t="s">
        <v>32832</v>
      </c>
      <c r="I1605" s="40" t="s">
        <v>18</v>
      </c>
      <c r="J1605" s="40" t="str">
        <f>HYPERLINK("https://stock.pstatic.net/stock-research/company/18/20260708_company_752044000.pdf","PDF")</f>
        <v>PDF</v>
      </c>
      <c r="K1605" s="12" t="s">
        <v>32833</v>
      </c>
      <c r="L1605" s="36">
        <v>0.713796058269066</v>
      </c>
    </row>
    <row r="1606" spans="1:12" x14ac:dyDescent="0.45">
      <c r="A1606" s="12" t="s">
        <v>32782</v>
      </c>
      <c r="B1606" s="12" t="s">
        <v>1128</v>
      </c>
      <c r="C1606" s="13" t="s">
        <v>1129</v>
      </c>
      <c r="D1606" s="13" t="s">
        <v>158</v>
      </c>
      <c r="E1606" s="12" t="s">
        <v>35</v>
      </c>
      <c r="F1606" s="14">
        <v>180000</v>
      </c>
      <c r="G1606" s="14">
        <v>98000</v>
      </c>
      <c r="H1606" s="13" t="s">
        <v>32834</v>
      </c>
      <c r="I1606" s="40" t="s">
        <v>18</v>
      </c>
      <c r="J1606" s="40" t="str">
        <f>HYPERLINK("https://stock.pstatic.net/stock-research/company/18/20260708_company_669009000.pdf","PDF")</f>
        <v>PDF</v>
      </c>
      <c r="K1606" s="12" t="s">
        <v>32835</v>
      </c>
      <c r="L1606" s="36">
        <v>0.83673469387755106</v>
      </c>
    </row>
    <row r="1607" spans="1:12" x14ac:dyDescent="0.45">
      <c r="A1607" s="12" t="s">
        <v>32782</v>
      </c>
      <c r="B1607" s="12" t="s">
        <v>740</v>
      </c>
      <c r="C1607" s="13" t="s">
        <v>741</v>
      </c>
      <c r="D1607" s="13" t="s">
        <v>158</v>
      </c>
      <c r="E1607" s="12" t="s">
        <v>35</v>
      </c>
      <c r="F1607" s="14">
        <v>1400000</v>
      </c>
      <c r="G1607" s="14">
        <v>814000</v>
      </c>
      <c r="H1607" s="13" t="s">
        <v>32836</v>
      </c>
      <c r="I1607" s="40" t="s">
        <v>18</v>
      </c>
      <c r="J1607" s="40" t="str">
        <f>HYPERLINK("https://stock.pstatic.net/stock-research/company/18/20260708_company_560119000.pdf","PDF")</f>
        <v>PDF</v>
      </c>
      <c r="K1607" s="12" t="s">
        <v>32837</v>
      </c>
      <c r="L1607" s="36">
        <v>0.71990171990171992</v>
      </c>
    </row>
    <row r="1608" spans="1:12" x14ac:dyDescent="0.45">
      <c r="A1608" s="12" t="s">
        <v>32782</v>
      </c>
      <c r="B1608" s="12" t="s">
        <v>1781</v>
      </c>
      <c r="C1608" s="13" t="s">
        <v>1782</v>
      </c>
      <c r="D1608" s="13" t="s">
        <v>158</v>
      </c>
      <c r="E1608" s="12" t="s">
        <v>35</v>
      </c>
      <c r="F1608" s="14">
        <v>240000</v>
      </c>
      <c r="G1608" s="14">
        <v>189100</v>
      </c>
      <c r="H1608" s="13" t="s">
        <v>32838</v>
      </c>
      <c r="I1608" s="40" t="s">
        <v>18</v>
      </c>
      <c r="J1608" s="40" t="str">
        <f>HYPERLINK("https://stock.pstatic.net/stock-research/company/18/20260708_company_116703000.pdf","PDF")</f>
        <v>PDF</v>
      </c>
      <c r="K1608" s="12" t="s">
        <v>32839</v>
      </c>
      <c r="L1608" s="36">
        <v>0.26916975145425698</v>
      </c>
    </row>
    <row r="1609" spans="1:12" x14ac:dyDescent="0.45">
      <c r="A1609" s="12" t="s">
        <v>32782</v>
      </c>
      <c r="B1609" s="12" t="s">
        <v>32</v>
      </c>
      <c r="C1609" s="13" t="s">
        <v>33</v>
      </c>
      <c r="D1609" s="13" t="s">
        <v>158</v>
      </c>
      <c r="E1609" s="12" t="s">
        <v>35</v>
      </c>
      <c r="F1609" s="14">
        <v>2800000</v>
      </c>
      <c r="G1609" s="14">
        <v>1648000</v>
      </c>
      <c r="H1609" s="13" t="s">
        <v>32840</v>
      </c>
      <c r="I1609" s="40" t="s">
        <v>18</v>
      </c>
      <c r="J1609" s="40" t="str">
        <f>HYPERLINK("https://stock.pstatic.net/stock-research/company/18/20260708_company_822059000.pdf","PDF")</f>
        <v>PDF</v>
      </c>
      <c r="K1609" s="12" t="s">
        <v>32841</v>
      </c>
      <c r="L1609" s="36">
        <v>0.69902912621359226</v>
      </c>
    </row>
    <row r="1610" spans="1:12" x14ac:dyDescent="0.45">
      <c r="A1610" s="12" t="s">
        <v>32782</v>
      </c>
      <c r="B1610" s="12" t="s">
        <v>942</v>
      </c>
      <c r="C1610" s="13" t="s">
        <v>943</v>
      </c>
      <c r="D1610" s="13" t="s">
        <v>158</v>
      </c>
      <c r="E1610" s="12" t="s">
        <v>50</v>
      </c>
      <c r="F1610" s="13"/>
      <c r="G1610" s="14">
        <v>9430</v>
      </c>
      <c r="H1610" s="13" t="s">
        <v>32842</v>
      </c>
      <c r="I1610" s="40" t="s">
        <v>18</v>
      </c>
      <c r="J1610" s="40" t="str">
        <f>HYPERLINK("https://stock.pstatic.net/stock-research/company/18/20260708_company_71061000.pdf","PDF")</f>
        <v>PDF</v>
      </c>
      <c r="K1610" s="12" t="s">
        <v>32843</v>
      </c>
      <c r="L1610" s="12"/>
    </row>
    <row r="1611" spans="1:12" x14ac:dyDescent="0.45">
      <c r="A1611" s="12" t="s">
        <v>32782</v>
      </c>
      <c r="B1611" s="12" t="s">
        <v>8114</v>
      </c>
      <c r="C1611" s="13" t="s">
        <v>8115</v>
      </c>
      <c r="D1611" s="13" t="s">
        <v>158</v>
      </c>
      <c r="E1611" s="12" t="s">
        <v>50</v>
      </c>
      <c r="F1611" s="13"/>
      <c r="G1611" s="14">
        <v>21650</v>
      </c>
      <c r="H1611" s="13" t="s">
        <v>32844</v>
      </c>
      <c r="I1611" s="40" t="s">
        <v>18</v>
      </c>
      <c r="J1611" s="40" t="str">
        <f>HYPERLINK("https://stock.pstatic.net/stock-research/company/18/20260708_company_457352000.pdf","PDF")</f>
        <v>PDF</v>
      </c>
      <c r="K1611" s="12" t="s">
        <v>32845</v>
      </c>
      <c r="L1611" s="12"/>
    </row>
    <row r="1612" spans="1:12" x14ac:dyDescent="0.45">
      <c r="A1612" s="12" t="s">
        <v>32782</v>
      </c>
      <c r="B1612" s="12" t="s">
        <v>1799</v>
      </c>
      <c r="C1612" s="13" t="s">
        <v>1800</v>
      </c>
      <c r="D1612" s="13" t="s">
        <v>158</v>
      </c>
      <c r="E1612" s="12" t="s">
        <v>50</v>
      </c>
      <c r="F1612" s="13"/>
      <c r="G1612" s="14">
        <v>4275</v>
      </c>
      <c r="H1612" s="13" t="s">
        <v>32844</v>
      </c>
      <c r="I1612" s="40" t="s">
        <v>18</v>
      </c>
      <c r="J1612" s="40" t="str">
        <f>HYPERLINK("https://stock.pstatic.net/stock-research/company/18/20260708_company_55086000.pdf","PDF")</f>
        <v>PDF</v>
      </c>
      <c r="K1612" s="12" t="s">
        <v>32846</v>
      </c>
      <c r="L1612" s="12"/>
    </row>
    <row r="1613" spans="1:12" x14ac:dyDescent="0.45">
      <c r="A1613" s="12" t="s">
        <v>32782</v>
      </c>
      <c r="B1613" s="12" t="s">
        <v>3105</v>
      </c>
      <c r="C1613" s="13" t="s">
        <v>3106</v>
      </c>
      <c r="D1613" s="13" t="s">
        <v>158</v>
      </c>
      <c r="E1613" s="12" t="s">
        <v>35</v>
      </c>
      <c r="F1613" s="14">
        <v>330000</v>
      </c>
      <c r="G1613" s="14">
        <v>232000</v>
      </c>
      <c r="H1613" s="13" t="s">
        <v>32847</v>
      </c>
      <c r="I1613" s="40" t="s">
        <v>18</v>
      </c>
      <c r="J1613" s="40" t="str">
        <f>HYPERLINK("https://stock.pstatic.net/stock-research/company/18/20260708_company_527095000.pdf","PDF")</f>
        <v>PDF</v>
      </c>
      <c r="K1613" s="12" t="s">
        <v>32848</v>
      </c>
      <c r="L1613" s="36">
        <v>0.42241379310344829</v>
      </c>
    </row>
    <row r="1614" spans="1:12" x14ac:dyDescent="0.45">
      <c r="A1614" s="12" t="s">
        <v>32782</v>
      </c>
      <c r="B1614" s="12" t="s">
        <v>13</v>
      </c>
      <c r="C1614" s="13" t="s">
        <v>14</v>
      </c>
      <c r="D1614" s="13" t="s">
        <v>83</v>
      </c>
      <c r="E1614" s="12" t="s">
        <v>35</v>
      </c>
      <c r="F1614" s="14">
        <v>560000</v>
      </c>
      <c r="G1614" s="14">
        <v>318800</v>
      </c>
      <c r="H1614" s="13" t="s">
        <v>32849</v>
      </c>
      <c r="I1614" s="40" t="s">
        <v>18</v>
      </c>
      <c r="J1614" s="40" t="str">
        <f>HYPERLINK("https://stock.pstatic.net/stock-research/company/15/20260708_company_323577000.pdf","PDF")</f>
        <v>PDF</v>
      </c>
      <c r="K1614" s="12" t="s">
        <v>32850</v>
      </c>
      <c r="L1614" s="36">
        <v>0.75658720200752827</v>
      </c>
    </row>
    <row r="1615" spans="1:12" x14ac:dyDescent="0.45">
      <c r="A1615" s="12" t="s">
        <v>32782</v>
      </c>
      <c r="B1615" s="12" t="s">
        <v>1278</v>
      </c>
      <c r="C1615" s="13" t="s">
        <v>1279</v>
      </c>
      <c r="D1615" s="13" t="s">
        <v>83</v>
      </c>
      <c r="E1615" s="12" t="s">
        <v>35</v>
      </c>
      <c r="F1615" s="14">
        <v>335000</v>
      </c>
      <c r="G1615" s="14">
        <v>249500</v>
      </c>
      <c r="H1615" s="13" t="s">
        <v>32851</v>
      </c>
      <c r="I1615" s="40" t="s">
        <v>18</v>
      </c>
      <c r="J1615" s="40" t="str">
        <f>HYPERLINK("https://stock.pstatic.net/stock-research/company/15/20260708_company_677688000.pdf","PDF")</f>
        <v>PDF</v>
      </c>
      <c r="K1615" s="12" t="s">
        <v>32852</v>
      </c>
      <c r="L1615" s="36">
        <v>0.34268537074148298</v>
      </c>
    </row>
    <row r="1616" spans="1:12" x14ac:dyDescent="0.45">
      <c r="A1616" s="12" t="s">
        <v>32782</v>
      </c>
      <c r="B1616" s="12" t="s">
        <v>1023</v>
      </c>
      <c r="C1616" s="13" t="s">
        <v>15</v>
      </c>
      <c r="D1616" s="13" t="s">
        <v>83</v>
      </c>
      <c r="E1616" s="12" t="s">
        <v>35</v>
      </c>
      <c r="F1616" s="14">
        <v>62000</v>
      </c>
      <c r="G1616" s="14">
        <v>44750</v>
      </c>
      <c r="H1616" s="13" t="s">
        <v>32853</v>
      </c>
      <c r="I1616" s="40" t="s">
        <v>18</v>
      </c>
      <c r="J1616" s="40" t="str">
        <f>HYPERLINK("https://stock.pstatic.net/stock-research/company/15/20260708_company_969518000.pdf","PDF")</f>
        <v>PDF</v>
      </c>
      <c r="K1616" s="12" t="s">
        <v>32854</v>
      </c>
      <c r="L1616" s="36">
        <v>0.38547486033519551</v>
      </c>
    </row>
    <row r="1617" spans="1:12" x14ac:dyDescent="0.45">
      <c r="A1617" s="12" t="s">
        <v>32782</v>
      </c>
      <c r="B1617" s="12" t="s">
        <v>1781</v>
      </c>
      <c r="C1617" s="13" t="s">
        <v>1782</v>
      </c>
      <c r="D1617" s="13" t="s">
        <v>83</v>
      </c>
      <c r="E1617" s="12" t="s">
        <v>35</v>
      </c>
      <c r="F1617" s="14">
        <v>240000</v>
      </c>
      <c r="G1617" s="14">
        <v>189100</v>
      </c>
      <c r="H1617" s="13" t="s">
        <v>32855</v>
      </c>
      <c r="I1617" s="40" t="s">
        <v>18</v>
      </c>
      <c r="J1617" s="40" t="str">
        <f>HYPERLINK("https://stock.pstatic.net/stock-research/company/15/20260708_company_668830000.pdf","PDF")</f>
        <v>PDF</v>
      </c>
      <c r="K1617" s="12" t="s">
        <v>32856</v>
      </c>
      <c r="L1617" s="36">
        <v>0.26916975145425698</v>
      </c>
    </row>
    <row r="1618" spans="1:12" x14ac:dyDescent="0.45">
      <c r="A1618" s="12" t="s">
        <v>32782</v>
      </c>
      <c r="B1618" s="12" t="s">
        <v>7072</v>
      </c>
      <c r="C1618" s="13" t="s">
        <v>7073</v>
      </c>
      <c r="D1618" s="13" t="s">
        <v>124</v>
      </c>
      <c r="E1618" s="12" t="s">
        <v>50</v>
      </c>
      <c r="F1618" s="13"/>
      <c r="G1618" s="13"/>
      <c r="H1618" s="13" t="s">
        <v>32857</v>
      </c>
      <c r="I1618" s="40" t="s">
        <v>18</v>
      </c>
      <c r="J1618" s="40" t="str">
        <f>HYPERLINK("https://stock.pstatic.net/stock-research/company/74/20260708_company_397284000.pdf","PDF")</f>
        <v>PDF</v>
      </c>
      <c r="K1618" s="12" t="s">
        <v>32858</v>
      </c>
      <c r="L1618" s="12"/>
    </row>
    <row r="1619" spans="1:12" x14ac:dyDescent="0.45">
      <c r="A1619" s="12" t="s">
        <v>32782</v>
      </c>
      <c r="B1619" s="12" t="s">
        <v>760</v>
      </c>
      <c r="C1619" s="13" t="s">
        <v>761</v>
      </c>
      <c r="D1619" s="13" t="s">
        <v>92</v>
      </c>
      <c r="E1619" s="12" t="s">
        <v>35</v>
      </c>
      <c r="F1619" s="14">
        <v>320000</v>
      </c>
      <c r="G1619" s="14">
        <v>230000</v>
      </c>
      <c r="H1619" s="13" t="s">
        <v>32859</v>
      </c>
      <c r="I1619" s="40" t="s">
        <v>18</v>
      </c>
      <c r="J1619" s="40" t="str">
        <f>HYPERLINK("https://stock.pstatic.net/stock-research/company/63/20260708_company_672806000.pdf","PDF")</f>
        <v>PDF</v>
      </c>
      <c r="K1619" s="12" t="s">
        <v>32860</v>
      </c>
      <c r="L1619" s="36">
        <v>0.39130434782608697</v>
      </c>
    </row>
    <row r="1620" spans="1:12" x14ac:dyDescent="0.45">
      <c r="A1620" s="12" t="s">
        <v>32782</v>
      </c>
      <c r="B1620" s="12" t="s">
        <v>2378</v>
      </c>
      <c r="C1620" s="13" t="s">
        <v>2379</v>
      </c>
      <c r="D1620" s="13" t="s">
        <v>92</v>
      </c>
      <c r="E1620" s="12" t="s">
        <v>35</v>
      </c>
      <c r="F1620" s="14">
        <v>470000</v>
      </c>
      <c r="G1620" s="14">
        <v>332000</v>
      </c>
      <c r="H1620" s="13" t="s">
        <v>32861</v>
      </c>
      <c r="I1620" s="40" t="s">
        <v>18</v>
      </c>
      <c r="J1620" s="40" t="str">
        <f>HYPERLINK("https://stock.pstatic.net/stock-research/company/63/20260708_company_460863000.pdf","PDF")</f>
        <v>PDF</v>
      </c>
      <c r="K1620" s="12" t="s">
        <v>32862</v>
      </c>
      <c r="L1620" s="36">
        <v>0.41566265060240959</v>
      </c>
    </row>
    <row r="1621" spans="1:12" x14ac:dyDescent="0.45">
      <c r="A1621" s="12" t="s">
        <v>32782</v>
      </c>
      <c r="B1621" s="12" t="s">
        <v>13</v>
      </c>
      <c r="C1621" s="13" t="s">
        <v>14</v>
      </c>
      <c r="D1621" s="13" t="s">
        <v>92</v>
      </c>
      <c r="E1621" s="12" t="s">
        <v>6960</v>
      </c>
      <c r="F1621" s="14">
        <v>560000</v>
      </c>
      <c r="G1621" s="14">
        <v>296000</v>
      </c>
      <c r="H1621" s="13" t="s">
        <v>32863</v>
      </c>
      <c r="I1621" s="40" t="s">
        <v>18</v>
      </c>
      <c r="J1621" s="40" t="str">
        <f>HYPERLINK("https://stock.pstatic.net/stock-research/company/63/20260708_company_228905000.pdf","PDF")</f>
        <v>PDF</v>
      </c>
      <c r="K1621" s="12" t="s">
        <v>32864</v>
      </c>
      <c r="L1621" s="36">
        <v>0.89189189189189189</v>
      </c>
    </row>
    <row r="1622" spans="1:12" x14ac:dyDescent="0.45">
      <c r="A1622" s="12" t="s">
        <v>32782</v>
      </c>
      <c r="B1622" s="12" t="s">
        <v>768</v>
      </c>
      <c r="C1622" s="13" t="s">
        <v>769</v>
      </c>
      <c r="D1622" s="13" t="s">
        <v>179</v>
      </c>
      <c r="E1622" s="12" t="s">
        <v>16</v>
      </c>
      <c r="F1622" s="14">
        <v>250000</v>
      </c>
      <c r="G1622" s="14">
        <v>183000</v>
      </c>
      <c r="H1622" s="13" t="s">
        <v>32865</v>
      </c>
      <c r="I1622" s="40" t="s">
        <v>18</v>
      </c>
      <c r="J1622" s="40" t="str">
        <f>HYPERLINK("https://stock.pstatic.net/stock-research/company/64/20260708_company_436470000.pdf","PDF")</f>
        <v>PDF</v>
      </c>
      <c r="K1622" s="12" t="s">
        <v>32866</v>
      </c>
      <c r="L1622" s="36">
        <v>0.36612021857923499</v>
      </c>
    </row>
    <row r="1623" spans="1:12" x14ac:dyDescent="0.45">
      <c r="A1623" s="12" t="s">
        <v>32782</v>
      </c>
      <c r="B1623" s="12" t="s">
        <v>3123</v>
      </c>
      <c r="C1623" s="13" t="s">
        <v>3124</v>
      </c>
      <c r="D1623" s="13" t="s">
        <v>179</v>
      </c>
      <c r="E1623" s="12" t="s">
        <v>16</v>
      </c>
      <c r="F1623" s="14">
        <v>90000</v>
      </c>
      <c r="G1623" s="14">
        <v>48850</v>
      </c>
      <c r="H1623" s="13" t="s">
        <v>32867</v>
      </c>
      <c r="I1623" s="40" t="s">
        <v>18</v>
      </c>
      <c r="J1623" s="40" t="str">
        <f>HYPERLINK("https://stock.pstatic.net/stock-research/company/64/20260708_company_3165000.pdf","PDF")</f>
        <v>PDF</v>
      </c>
      <c r="K1623" s="12" t="s">
        <v>32868</v>
      </c>
      <c r="L1623" s="36">
        <v>0.84237461617195497</v>
      </c>
    </row>
    <row r="1624" spans="1:12" x14ac:dyDescent="0.45">
      <c r="A1624" s="12" t="s">
        <v>32782</v>
      </c>
      <c r="B1624" s="12" t="s">
        <v>13</v>
      </c>
      <c r="C1624" s="13" t="s">
        <v>14</v>
      </c>
      <c r="D1624" s="13" t="s">
        <v>34</v>
      </c>
      <c r="E1624" s="12" t="s">
        <v>35</v>
      </c>
      <c r="F1624" s="14">
        <v>480000</v>
      </c>
      <c r="G1624" s="14">
        <v>296000</v>
      </c>
      <c r="H1624" s="13" t="s">
        <v>32656</v>
      </c>
      <c r="I1624" s="40" t="s">
        <v>18</v>
      </c>
      <c r="J1624" s="40" t="str">
        <f>HYPERLINK("https://stock.pstatic.net/stock-research/company/61/20260708_company_427704000.pdf","PDF")</f>
        <v>PDF</v>
      </c>
      <c r="K1624" s="12" t="s">
        <v>32869</v>
      </c>
      <c r="L1624" s="36">
        <v>0.6216216216216216</v>
      </c>
    </row>
    <row r="1625" spans="1:12" x14ac:dyDescent="0.45">
      <c r="A1625" s="12" t="s">
        <v>32782</v>
      </c>
      <c r="B1625" s="12" t="s">
        <v>2382</v>
      </c>
      <c r="C1625" s="13" t="s">
        <v>2383</v>
      </c>
      <c r="D1625" s="13" t="s">
        <v>44</v>
      </c>
      <c r="E1625" s="12" t="s">
        <v>35</v>
      </c>
      <c r="F1625" s="14">
        <v>70000</v>
      </c>
      <c r="G1625" s="14">
        <v>41850</v>
      </c>
      <c r="H1625" s="13" t="s">
        <v>32870</v>
      </c>
      <c r="I1625" s="40" t="s">
        <v>18</v>
      </c>
      <c r="J1625" s="40" t="str">
        <f>HYPERLINK("https://stock.pstatic.net/stock-research/company/39/20260708_company_366402000.pdf","PDF")</f>
        <v>PDF</v>
      </c>
      <c r="K1625" s="12" t="s">
        <v>32871</v>
      </c>
      <c r="L1625" s="36">
        <v>0.67264038231780165</v>
      </c>
    </row>
    <row r="1626" spans="1:12" x14ac:dyDescent="0.45">
      <c r="A1626" s="12" t="s">
        <v>32782</v>
      </c>
      <c r="B1626" s="12" t="s">
        <v>1087</v>
      </c>
      <c r="C1626" s="13" t="s">
        <v>1088</v>
      </c>
      <c r="D1626" s="13" t="s">
        <v>53</v>
      </c>
      <c r="E1626" s="12" t="s">
        <v>16</v>
      </c>
      <c r="F1626" s="14">
        <v>200000</v>
      </c>
      <c r="G1626" s="14">
        <v>128700</v>
      </c>
      <c r="H1626" s="13" t="s">
        <v>32872</v>
      </c>
      <c r="I1626" s="40" t="s">
        <v>18</v>
      </c>
      <c r="J1626" s="40" t="str">
        <f>HYPERLINK("https://stock.pstatic.net/stock-research/company/40/20260708_company_641615000.pdf","PDF")</f>
        <v>PDF</v>
      </c>
      <c r="K1626" s="12" t="s">
        <v>32873</v>
      </c>
      <c r="L1626" s="36">
        <v>0.55400155400155404</v>
      </c>
    </row>
    <row r="1627" spans="1:12" x14ac:dyDescent="0.45">
      <c r="A1627" s="12" t="s">
        <v>32782</v>
      </c>
      <c r="B1627" s="12" t="s">
        <v>1656</v>
      </c>
      <c r="C1627" s="13" t="s">
        <v>1657</v>
      </c>
      <c r="D1627" s="13" t="s">
        <v>23</v>
      </c>
      <c r="E1627" s="12" t="s">
        <v>16</v>
      </c>
      <c r="F1627" s="14">
        <v>830000</v>
      </c>
      <c r="G1627" s="14">
        <v>680000</v>
      </c>
      <c r="H1627" s="13" t="s">
        <v>32874</v>
      </c>
      <c r="I1627" s="40" t="s">
        <v>18</v>
      </c>
      <c r="J1627" s="40" t="str">
        <f>HYPERLINK("https://stock.pstatic.net/stock-research/company/21/20260708_company_902183000.pdf","PDF")</f>
        <v>PDF</v>
      </c>
      <c r="K1627" s="12" t="s">
        <v>32875</v>
      </c>
      <c r="L1627" s="36">
        <v>0.22058823529411761</v>
      </c>
    </row>
    <row r="1628" spans="1:12" x14ac:dyDescent="0.45">
      <c r="A1628" s="12" t="s">
        <v>32782</v>
      </c>
      <c r="B1628" s="12" t="s">
        <v>132</v>
      </c>
      <c r="C1628" s="13" t="s">
        <v>133</v>
      </c>
      <c r="D1628" s="13" t="s">
        <v>23</v>
      </c>
      <c r="E1628" s="12" t="s">
        <v>16</v>
      </c>
      <c r="F1628" s="14">
        <v>210000</v>
      </c>
      <c r="G1628" s="14">
        <v>176300</v>
      </c>
      <c r="H1628" s="13" t="s">
        <v>32876</v>
      </c>
      <c r="I1628" s="40" t="s">
        <v>18</v>
      </c>
      <c r="J1628" s="40" t="str">
        <f>HYPERLINK("https://stock.pstatic.net/stock-research/company/21/20260708_company_487558000.pdf","PDF")</f>
        <v>PDF</v>
      </c>
      <c r="K1628" s="12" t="s">
        <v>32877</v>
      </c>
      <c r="L1628" s="36">
        <v>0.1911514463981849</v>
      </c>
    </row>
    <row r="1629" spans="1:12" x14ac:dyDescent="0.45">
      <c r="A1629" s="12" t="s">
        <v>32782</v>
      </c>
      <c r="B1629" s="12" t="s">
        <v>2378</v>
      </c>
      <c r="C1629" s="13" t="s">
        <v>2379</v>
      </c>
      <c r="D1629" s="13" t="s">
        <v>23</v>
      </c>
      <c r="E1629" s="12" t="s">
        <v>16</v>
      </c>
      <c r="F1629" s="14">
        <v>550000</v>
      </c>
      <c r="G1629" s="14">
        <v>332000</v>
      </c>
      <c r="H1629" s="13" t="s">
        <v>32878</v>
      </c>
      <c r="I1629" s="40" t="s">
        <v>18</v>
      </c>
      <c r="J1629" s="40" t="str">
        <f>HYPERLINK("https://stock.pstatic.net/stock-research/company/21/20260708_company_198966000.pdf","PDF")</f>
        <v>PDF</v>
      </c>
      <c r="K1629" s="12" t="s">
        <v>32879</v>
      </c>
      <c r="L1629" s="36">
        <v>0.65662650602409633</v>
      </c>
    </row>
    <row r="1630" spans="1:12" x14ac:dyDescent="0.45">
      <c r="A1630" s="12" t="s">
        <v>32782</v>
      </c>
      <c r="B1630" s="12" t="s">
        <v>13</v>
      </c>
      <c r="C1630" s="13" t="s">
        <v>14</v>
      </c>
      <c r="D1630" s="13" t="s">
        <v>53</v>
      </c>
      <c r="E1630" s="12" t="s">
        <v>16</v>
      </c>
      <c r="F1630" s="14">
        <v>460000</v>
      </c>
      <c r="G1630" s="14">
        <v>296000</v>
      </c>
      <c r="H1630" s="13" t="s">
        <v>32880</v>
      </c>
      <c r="I1630" s="40" t="s">
        <v>18</v>
      </c>
      <c r="J1630" s="40" t="str">
        <f>HYPERLINK("https://stock.pstatic.net/stock-research/company/40/20260708_company_282975000.pdf","PDF")</f>
        <v>PDF</v>
      </c>
      <c r="K1630" s="12" t="s">
        <v>32881</v>
      </c>
      <c r="L1630" s="36">
        <v>0.55405405405405406</v>
      </c>
    </row>
    <row r="1631" spans="1:12" x14ac:dyDescent="0.45">
      <c r="A1631" s="12" t="s">
        <v>32782</v>
      </c>
      <c r="B1631" s="12" t="s">
        <v>2956</v>
      </c>
      <c r="C1631" s="13" t="s">
        <v>2957</v>
      </c>
      <c r="D1631" s="13" t="s">
        <v>53</v>
      </c>
      <c r="E1631" s="12" t="s">
        <v>16</v>
      </c>
      <c r="F1631" s="14">
        <v>54000</v>
      </c>
      <c r="G1631" s="14">
        <v>30900</v>
      </c>
      <c r="H1631" s="13" t="s">
        <v>32882</v>
      </c>
      <c r="I1631" s="40" t="s">
        <v>18</v>
      </c>
      <c r="J1631" s="40" t="str">
        <f>HYPERLINK("https://stock.pstatic.net/stock-research/company/40/20260708_company_891729000.pdf","PDF")</f>
        <v>PDF</v>
      </c>
      <c r="K1631" s="12" t="s">
        <v>32883</v>
      </c>
      <c r="L1631" s="36">
        <v>0.74757281553398058</v>
      </c>
    </row>
    <row r="1632" spans="1:12" x14ac:dyDescent="0.45">
      <c r="A1632" s="12" t="s">
        <v>32782</v>
      </c>
      <c r="B1632" s="12" t="s">
        <v>533</v>
      </c>
      <c r="C1632" s="13" t="s">
        <v>534</v>
      </c>
      <c r="D1632" s="13" t="s">
        <v>179</v>
      </c>
      <c r="E1632" s="12" t="s">
        <v>16</v>
      </c>
      <c r="F1632" s="14">
        <v>72000</v>
      </c>
      <c r="G1632" s="14">
        <v>55500</v>
      </c>
      <c r="H1632" s="13" t="s">
        <v>32884</v>
      </c>
      <c r="I1632" s="40" t="s">
        <v>18</v>
      </c>
      <c r="J1632" s="40" t="str">
        <f>HYPERLINK("https://stock.pstatic.net/stock-research/company/64/20260708_company_189913000.pdf","PDF")</f>
        <v>PDF</v>
      </c>
      <c r="K1632" s="12" t="s">
        <v>32885</v>
      </c>
      <c r="L1632" s="36">
        <v>0.29729729729729731</v>
      </c>
    </row>
    <row r="1633" spans="1:12" x14ac:dyDescent="0.45">
      <c r="A1633" s="12" t="s">
        <v>32782</v>
      </c>
      <c r="B1633" s="12" t="s">
        <v>2378</v>
      </c>
      <c r="C1633" s="13" t="s">
        <v>2379</v>
      </c>
      <c r="D1633" s="13" t="s">
        <v>53</v>
      </c>
      <c r="E1633" s="12" t="s">
        <v>16</v>
      </c>
      <c r="F1633" s="14">
        <v>560000</v>
      </c>
      <c r="G1633" s="14">
        <v>332000</v>
      </c>
      <c r="H1633" s="13" t="s">
        <v>32886</v>
      </c>
      <c r="I1633" s="40" t="s">
        <v>18</v>
      </c>
      <c r="J1633" s="40" t="str">
        <f>HYPERLINK("https://stock.pstatic.net/stock-research/company/40/20260708_company_138745000.pdf","PDF")</f>
        <v>PDF</v>
      </c>
      <c r="K1633" s="12" t="s">
        <v>32887</v>
      </c>
      <c r="L1633" s="36">
        <v>0.68674698795180722</v>
      </c>
    </row>
    <row r="1634" spans="1:12" x14ac:dyDescent="0.45">
      <c r="A1634" s="12" t="s">
        <v>32782</v>
      </c>
      <c r="B1634" s="12" t="s">
        <v>519</v>
      </c>
      <c r="C1634" s="13" t="s">
        <v>520</v>
      </c>
      <c r="D1634" s="13" t="s">
        <v>44</v>
      </c>
      <c r="E1634" s="12" t="s">
        <v>35</v>
      </c>
      <c r="F1634" s="14">
        <v>700000</v>
      </c>
      <c r="G1634" s="14">
        <v>479500</v>
      </c>
      <c r="H1634" s="13" t="s">
        <v>32888</v>
      </c>
      <c r="I1634" s="40" t="s">
        <v>18</v>
      </c>
      <c r="J1634" s="40" t="str">
        <f>HYPERLINK("https://stock.pstatic.net/stock-research/company/39/20260708_company_803828000.pdf","PDF")</f>
        <v>PDF</v>
      </c>
      <c r="K1634" s="12" t="s">
        <v>32889</v>
      </c>
      <c r="L1634" s="36">
        <v>0.45985401459854008</v>
      </c>
    </row>
    <row r="1635" spans="1:12" x14ac:dyDescent="0.45">
      <c r="A1635" s="12" t="s">
        <v>32782</v>
      </c>
      <c r="B1635" s="12" t="s">
        <v>13</v>
      </c>
      <c r="C1635" s="13" t="s">
        <v>14</v>
      </c>
      <c r="D1635" s="13" t="s">
        <v>44</v>
      </c>
      <c r="E1635" s="12" t="s">
        <v>35</v>
      </c>
      <c r="F1635" s="14">
        <v>390000</v>
      </c>
      <c r="G1635" s="14">
        <v>296000</v>
      </c>
      <c r="H1635" s="13" t="s">
        <v>32890</v>
      </c>
      <c r="I1635" s="40" t="s">
        <v>18</v>
      </c>
      <c r="J1635" s="40" t="str">
        <f>HYPERLINK("https://stock.pstatic.net/stock-research/company/39/20260708_company_67382000.pdf","PDF")</f>
        <v>PDF</v>
      </c>
      <c r="K1635" s="12" t="s">
        <v>32891</v>
      </c>
      <c r="L1635" s="36">
        <v>0.31756756756756749</v>
      </c>
    </row>
    <row r="1636" spans="1:12" x14ac:dyDescent="0.45">
      <c r="A1636" s="12" t="s">
        <v>32782</v>
      </c>
      <c r="B1636" s="12" t="s">
        <v>15492</v>
      </c>
      <c r="C1636" s="13" t="s">
        <v>15493</v>
      </c>
      <c r="D1636" s="13" t="s">
        <v>124</v>
      </c>
      <c r="E1636" s="12" t="s">
        <v>50</v>
      </c>
      <c r="F1636" s="13"/>
      <c r="G1636" s="13"/>
      <c r="H1636" s="13" t="s">
        <v>32892</v>
      </c>
      <c r="I1636" s="40" t="s">
        <v>18</v>
      </c>
      <c r="J1636" s="40" t="str">
        <f>HYPERLINK("https://stock.pstatic.net/stock-research/company/74/20260708_company_544777000.pdf","PDF")</f>
        <v>PDF</v>
      </c>
      <c r="K1636" s="12" t="s">
        <v>32893</v>
      </c>
      <c r="L1636" s="12"/>
    </row>
    <row r="1637" spans="1:12" x14ac:dyDescent="0.45">
      <c r="A1637" s="12" t="s">
        <v>32782</v>
      </c>
      <c r="B1637" s="12" t="s">
        <v>5507</v>
      </c>
      <c r="C1637" s="13" t="s">
        <v>5508</v>
      </c>
      <c r="D1637" s="13" t="s">
        <v>124</v>
      </c>
      <c r="E1637" s="12" t="s">
        <v>50</v>
      </c>
      <c r="F1637" s="13"/>
      <c r="G1637" s="13"/>
      <c r="H1637" s="13" t="s">
        <v>32894</v>
      </c>
      <c r="I1637" s="40" t="s">
        <v>18</v>
      </c>
      <c r="J1637" s="40" t="str">
        <f>HYPERLINK("https://stock.pstatic.net/stock-research/company/74/20260708_company_943750000.pdf","PDF")</f>
        <v>PDF</v>
      </c>
      <c r="K1637" s="12" t="s">
        <v>32895</v>
      </c>
      <c r="L1637" s="12"/>
    </row>
    <row r="1638" spans="1:12" x14ac:dyDescent="0.45">
      <c r="A1638" s="12" t="s">
        <v>32782</v>
      </c>
      <c r="B1638" s="12" t="s">
        <v>2382</v>
      </c>
      <c r="C1638" s="13" t="s">
        <v>2383</v>
      </c>
      <c r="D1638" s="13" t="s">
        <v>53</v>
      </c>
      <c r="E1638" s="12" t="s">
        <v>16</v>
      </c>
      <c r="F1638" s="14">
        <v>76000</v>
      </c>
      <c r="G1638" s="14">
        <v>41850</v>
      </c>
      <c r="H1638" s="13" t="s">
        <v>32896</v>
      </c>
      <c r="I1638" s="40" t="s">
        <v>18</v>
      </c>
      <c r="J1638" s="40" t="str">
        <f>HYPERLINK("https://stock.pstatic.net/stock-research/company/40/20260708_company_410051000.pdf","PDF")</f>
        <v>PDF</v>
      </c>
      <c r="K1638" s="12" t="s">
        <v>32897</v>
      </c>
      <c r="L1638" s="36">
        <v>0.81600955794504182</v>
      </c>
    </row>
    <row r="1639" spans="1:12" x14ac:dyDescent="0.45">
      <c r="A1639" s="12" t="s">
        <v>32782</v>
      </c>
      <c r="B1639" s="12" t="s">
        <v>13</v>
      </c>
      <c r="C1639" s="13" t="s">
        <v>14</v>
      </c>
      <c r="D1639" s="13" t="s">
        <v>15</v>
      </c>
      <c r="E1639" s="12" t="s">
        <v>16</v>
      </c>
      <c r="F1639" s="14">
        <v>550000</v>
      </c>
      <c r="G1639" s="14">
        <v>31800</v>
      </c>
      <c r="H1639" s="13" t="s">
        <v>32898</v>
      </c>
      <c r="I1639" s="40" t="s">
        <v>18</v>
      </c>
      <c r="J1639" s="40" t="str">
        <f>HYPERLINK("https://stock.pstatic.net/stock-research/company/56/20260708_company_733219000.pdf","PDF")</f>
        <v>PDF</v>
      </c>
      <c r="K1639" s="12" t="s">
        <v>32899</v>
      </c>
      <c r="L1639" s="36">
        <v>16.29559748427673</v>
      </c>
    </row>
    <row r="1640" spans="1:12" x14ac:dyDescent="0.45">
      <c r="A1640" s="12" t="s">
        <v>32699</v>
      </c>
      <c r="B1640" s="12" t="s">
        <v>2613</v>
      </c>
      <c r="C1640" s="13" t="s">
        <v>2614</v>
      </c>
      <c r="D1640" s="13" t="s">
        <v>23</v>
      </c>
      <c r="E1640" s="12" t="s">
        <v>16</v>
      </c>
      <c r="F1640" s="14">
        <v>350000</v>
      </c>
      <c r="G1640" s="14">
        <v>245500</v>
      </c>
      <c r="H1640" s="13" t="s">
        <v>32700</v>
      </c>
      <c r="I1640" s="40" t="s">
        <v>18</v>
      </c>
      <c r="J1640" s="40" t="str">
        <f>HYPERLINK("https://stock.pstatic.net/stock-research/company/21/20260707_company_187842000.pdf","PDF")</f>
        <v>PDF</v>
      </c>
      <c r="K1640" s="12" t="s">
        <v>32701</v>
      </c>
      <c r="L1640" s="36">
        <v>0.42566191446028512</v>
      </c>
    </row>
    <row r="1641" spans="1:12" x14ac:dyDescent="0.45">
      <c r="A1641" s="12" t="s">
        <v>32699</v>
      </c>
      <c r="B1641" s="12" t="s">
        <v>3373</v>
      </c>
      <c r="C1641" s="13" t="s">
        <v>3374</v>
      </c>
      <c r="D1641" s="13" t="s">
        <v>15</v>
      </c>
      <c r="E1641" s="12" t="s">
        <v>16</v>
      </c>
      <c r="F1641" s="14">
        <v>216000</v>
      </c>
      <c r="G1641" s="14">
        <v>170900</v>
      </c>
      <c r="H1641" s="13" t="s">
        <v>32702</v>
      </c>
      <c r="I1641" s="40" t="s">
        <v>18</v>
      </c>
      <c r="J1641" s="40" t="str">
        <f>HYPERLINK("https://stock.pstatic.net/stock-research/company/56/20260707_company_789051000.pdf","PDF")</f>
        <v>PDF</v>
      </c>
      <c r="K1641" s="12" t="s">
        <v>32703</v>
      </c>
      <c r="L1641" s="36">
        <v>0.26389701579871272</v>
      </c>
    </row>
    <row r="1642" spans="1:12" x14ac:dyDescent="0.45">
      <c r="A1642" s="12" t="s">
        <v>32699</v>
      </c>
      <c r="B1642" s="12" t="s">
        <v>573</v>
      </c>
      <c r="C1642" s="13" t="s">
        <v>574</v>
      </c>
      <c r="D1642" s="13" t="s">
        <v>92</v>
      </c>
      <c r="E1642" s="12" t="s">
        <v>50</v>
      </c>
      <c r="F1642" s="13"/>
      <c r="G1642" s="14">
        <v>8700</v>
      </c>
      <c r="H1642" s="13" t="s">
        <v>32704</v>
      </c>
      <c r="I1642" s="40" t="s">
        <v>18</v>
      </c>
      <c r="J1642" s="40" t="str">
        <f>HYPERLINK("https://stock.pstatic.net/stock-research/company/63/20260707_company_839818000.pdf","PDF")</f>
        <v>PDF</v>
      </c>
      <c r="K1642" s="12" t="s">
        <v>32705</v>
      </c>
      <c r="L1642" s="12"/>
    </row>
    <row r="1643" spans="1:12" x14ac:dyDescent="0.45">
      <c r="A1643" s="12" t="s">
        <v>32699</v>
      </c>
      <c r="B1643" s="12" t="s">
        <v>434</v>
      </c>
      <c r="C1643" s="13" t="s">
        <v>435</v>
      </c>
      <c r="D1643" s="13" t="s">
        <v>179</v>
      </c>
      <c r="E1643" s="12" t="s">
        <v>16</v>
      </c>
      <c r="F1643" s="14">
        <v>160000</v>
      </c>
      <c r="G1643" s="14">
        <v>121400</v>
      </c>
      <c r="H1643" s="13" t="s">
        <v>32706</v>
      </c>
      <c r="I1643" s="40" t="s">
        <v>18</v>
      </c>
      <c r="J1643" s="40" t="str">
        <f>HYPERLINK("https://stock.pstatic.net/stock-research/company/64/20260707_company_987613000.pdf","PDF")</f>
        <v>PDF</v>
      </c>
      <c r="K1643" s="12" t="s">
        <v>32707</v>
      </c>
      <c r="L1643" s="36">
        <v>0.31795716639209232</v>
      </c>
    </row>
    <row r="1644" spans="1:12" x14ac:dyDescent="0.45">
      <c r="A1644" s="12" t="s">
        <v>32699</v>
      </c>
      <c r="B1644" s="12" t="s">
        <v>8532</v>
      </c>
      <c r="C1644" s="13" t="s">
        <v>8533</v>
      </c>
      <c r="D1644" s="13" t="s">
        <v>179</v>
      </c>
      <c r="E1644" s="12" t="s">
        <v>50</v>
      </c>
      <c r="F1644" s="13"/>
      <c r="G1644" s="14">
        <v>17570</v>
      </c>
      <c r="H1644" s="13" t="s">
        <v>32708</v>
      </c>
      <c r="I1644" s="40" t="s">
        <v>18</v>
      </c>
      <c r="J1644" s="40" t="str">
        <f>HYPERLINK("https://stock.pstatic.net/stock-research/company/64/20260707_company_548090000.pdf","PDF")</f>
        <v>PDF</v>
      </c>
      <c r="K1644" s="12" t="s">
        <v>32709</v>
      </c>
      <c r="L1644" s="12"/>
    </row>
    <row r="1645" spans="1:12" x14ac:dyDescent="0.45">
      <c r="A1645" s="12" t="s">
        <v>32699</v>
      </c>
      <c r="B1645" s="12" t="s">
        <v>533</v>
      </c>
      <c r="C1645" s="13" t="s">
        <v>534</v>
      </c>
      <c r="D1645" s="13" t="s">
        <v>23</v>
      </c>
      <c r="E1645" s="12" t="s">
        <v>16</v>
      </c>
      <c r="F1645" s="14">
        <v>77000</v>
      </c>
      <c r="G1645" s="14">
        <v>54500</v>
      </c>
      <c r="H1645" s="13" t="s">
        <v>32710</v>
      </c>
      <c r="I1645" s="40" t="s">
        <v>18</v>
      </c>
      <c r="J1645" s="40" t="str">
        <f>HYPERLINK("https://stock.pstatic.net/stock-research/company/21/20260707_company_269307000.pdf","PDF")</f>
        <v>PDF</v>
      </c>
      <c r="K1645" s="12" t="s">
        <v>32711</v>
      </c>
      <c r="L1645" s="36">
        <v>0.41284403669724767</v>
      </c>
    </row>
    <row r="1646" spans="1:12" x14ac:dyDescent="0.45">
      <c r="A1646" s="12" t="s">
        <v>32699</v>
      </c>
      <c r="B1646" s="12" t="s">
        <v>1799</v>
      </c>
      <c r="C1646" s="13" t="s">
        <v>1800</v>
      </c>
      <c r="D1646" s="13" t="s">
        <v>53</v>
      </c>
      <c r="E1646" s="12" t="s">
        <v>16</v>
      </c>
      <c r="F1646" s="14">
        <v>5600</v>
      </c>
      <c r="G1646" s="14">
        <v>4200</v>
      </c>
      <c r="H1646" s="13" t="s">
        <v>32712</v>
      </c>
      <c r="I1646" s="40" t="s">
        <v>18</v>
      </c>
      <c r="J1646" s="40" t="str">
        <f>HYPERLINK("https://stock.pstatic.net/stock-research/company/40/20260707_company_999496000.pdf","PDF")</f>
        <v>PDF</v>
      </c>
      <c r="K1646" s="12" t="s">
        <v>32713</v>
      </c>
      <c r="L1646" s="36">
        <v>0.33333333333333331</v>
      </c>
    </row>
    <row r="1647" spans="1:12" x14ac:dyDescent="0.45">
      <c r="A1647" s="12" t="s">
        <v>32699</v>
      </c>
      <c r="B1647" s="12" t="s">
        <v>2613</v>
      </c>
      <c r="C1647" s="13" t="s">
        <v>2614</v>
      </c>
      <c r="D1647" s="13" t="s">
        <v>44</v>
      </c>
      <c r="E1647" s="12" t="s">
        <v>35</v>
      </c>
      <c r="F1647" s="14">
        <v>380000</v>
      </c>
      <c r="G1647" s="14">
        <v>245500</v>
      </c>
      <c r="H1647" s="13" t="s">
        <v>32714</v>
      </c>
      <c r="I1647" s="40" t="s">
        <v>18</v>
      </c>
      <c r="J1647" s="40" t="str">
        <f>HYPERLINK("https://stock.pstatic.net/stock-research/company/39/20260707_company_189772000.pdf","PDF")</f>
        <v>PDF</v>
      </c>
      <c r="K1647" s="12" t="s">
        <v>32715</v>
      </c>
      <c r="L1647" s="36">
        <v>0.54786150712830961</v>
      </c>
    </row>
    <row r="1648" spans="1:12" x14ac:dyDescent="0.45">
      <c r="A1648" s="12" t="s">
        <v>32699</v>
      </c>
      <c r="B1648" s="12" t="s">
        <v>25602</v>
      </c>
      <c r="C1648" s="13" t="s">
        <v>25603</v>
      </c>
      <c r="D1648" s="13" t="s">
        <v>44</v>
      </c>
      <c r="E1648" s="12" t="s">
        <v>50</v>
      </c>
      <c r="F1648" s="13"/>
      <c r="G1648" s="14">
        <v>283000</v>
      </c>
      <c r="H1648" s="13" t="s">
        <v>32716</v>
      </c>
      <c r="I1648" s="40" t="s">
        <v>18</v>
      </c>
      <c r="J1648" s="40" t="str">
        <f>HYPERLINK("https://stock.pstatic.net/stock-research/company/39/20260707_company_497164000.pdf","PDF")</f>
        <v>PDF</v>
      </c>
      <c r="K1648" s="12" t="s">
        <v>32717</v>
      </c>
      <c r="L1648" s="12"/>
    </row>
    <row r="1649" spans="1:12" x14ac:dyDescent="0.45">
      <c r="A1649" s="12" t="s">
        <v>32683</v>
      </c>
      <c r="B1649" s="12" t="s">
        <v>1765</v>
      </c>
      <c r="C1649" s="13" t="s">
        <v>1766</v>
      </c>
      <c r="D1649" s="13" t="s">
        <v>57</v>
      </c>
      <c r="E1649" s="12" t="s">
        <v>35</v>
      </c>
      <c r="F1649" s="14">
        <v>290000</v>
      </c>
      <c r="G1649" s="14">
        <v>152000</v>
      </c>
      <c r="H1649" s="13" t="s">
        <v>32718</v>
      </c>
      <c r="I1649" s="40" t="s">
        <v>18</v>
      </c>
      <c r="J1649" s="40" t="str">
        <f>HYPERLINK("https://stock.pstatic.net/stock-research/company/16/20260706_company_506477000.pdf","PDF")</f>
        <v>PDF</v>
      </c>
      <c r="K1649" s="12" t="s">
        <v>32719</v>
      </c>
      <c r="L1649" s="36">
        <v>0.90789473684210531</v>
      </c>
    </row>
    <row r="1650" spans="1:12" x14ac:dyDescent="0.45">
      <c r="A1650" s="12" t="s">
        <v>32683</v>
      </c>
      <c r="B1650" s="12" t="s">
        <v>519</v>
      </c>
      <c r="C1650" s="13" t="s">
        <v>520</v>
      </c>
      <c r="D1650" s="13" t="s">
        <v>57</v>
      </c>
      <c r="E1650" s="12" t="s">
        <v>35</v>
      </c>
      <c r="F1650" s="14">
        <v>760000</v>
      </c>
      <c r="G1650" s="14">
        <v>492000</v>
      </c>
      <c r="H1650" s="13" t="s">
        <v>32720</v>
      </c>
      <c r="I1650" s="40" t="s">
        <v>18</v>
      </c>
      <c r="J1650" s="40" t="str">
        <f>HYPERLINK("https://stock.pstatic.net/stock-research/company/16/20260706_company_995486000.pdf","PDF")</f>
        <v>PDF</v>
      </c>
      <c r="K1650" s="12" t="s">
        <v>32721</v>
      </c>
      <c r="L1650" s="36">
        <v>0.54471544715447151</v>
      </c>
    </row>
    <row r="1651" spans="1:12" x14ac:dyDescent="0.45">
      <c r="A1651" s="12" t="s">
        <v>32683</v>
      </c>
      <c r="B1651" s="12" t="s">
        <v>2982</v>
      </c>
      <c r="C1651" s="13" t="s">
        <v>2983</v>
      </c>
      <c r="D1651" s="13" t="s">
        <v>57</v>
      </c>
      <c r="E1651" s="12" t="s">
        <v>35</v>
      </c>
      <c r="F1651" s="14">
        <v>110000</v>
      </c>
      <c r="G1651" s="14">
        <v>64200</v>
      </c>
      <c r="H1651" s="13" t="s">
        <v>32722</v>
      </c>
      <c r="I1651" s="40" t="s">
        <v>18</v>
      </c>
      <c r="J1651" s="40" t="str">
        <f>HYPERLINK("https://stock.pstatic.net/stock-research/company/16/20260706_company_823913000.pdf","PDF")</f>
        <v>PDF</v>
      </c>
      <c r="K1651" s="12" t="s">
        <v>32723</v>
      </c>
      <c r="L1651" s="36">
        <v>0.71339563862928346</v>
      </c>
    </row>
    <row r="1652" spans="1:12" x14ac:dyDescent="0.45">
      <c r="A1652" s="12" t="s">
        <v>32683</v>
      </c>
      <c r="B1652" s="12" t="s">
        <v>768</v>
      </c>
      <c r="C1652" s="13" t="s">
        <v>769</v>
      </c>
      <c r="D1652" s="13" t="s">
        <v>57</v>
      </c>
      <c r="E1652" s="12" t="s">
        <v>35</v>
      </c>
      <c r="F1652" s="14">
        <v>250000</v>
      </c>
      <c r="G1652" s="14">
        <v>167300</v>
      </c>
      <c r="H1652" s="13" t="s">
        <v>32724</v>
      </c>
      <c r="I1652" s="40" t="s">
        <v>18</v>
      </c>
      <c r="J1652" s="40" t="str">
        <f>HYPERLINK("https://stock.pstatic.net/stock-research/company/16/20260706_company_959741000.pdf","PDF")</f>
        <v>PDF</v>
      </c>
      <c r="K1652" s="12" t="s">
        <v>32725</v>
      </c>
      <c r="L1652" s="36">
        <v>0.49432157800358639</v>
      </c>
    </row>
    <row r="1653" spans="1:12" x14ac:dyDescent="0.45">
      <c r="A1653" s="12" t="s">
        <v>32683</v>
      </c>
      <c r="B1653" s="12" t="s">
        <v>95</v>
      </c>
      <c r="C1653" s="13" t="s">
        <v>31</v>
      </c>
      <c r="D1653" s="13" t="s">
        <v>60</v>
      </c>
      <c r="E1653" s="12" t="s">
        <v>35</v>
      </c>
      <c r="F1653" s="14">
        <v>66000</v>
      </c>
      <c r="G1653" s="14">
        <v>48100</v>
      </c>
      <c r="H1653" s="13" t="s">
        <v>32726</v>
      </c>
      <c r="I1653" s="40" t="s">
        <v>18</v>
      </c>
      <c r="J1653" s="40" t="str">
        <f>HYPERLINK("https://stock.pstatic.net/stock-research/company/62/20260706_company_284987000.pdf","PDF")</f>
        <v>PDF</v>
      </c>
      <c r="K1653" s="12" t="s">
        <v>32727</v>
      </c>
      <c r="L1653" s="36">
        <v>0.37214137214137222</v>
      </c>
    </row>
    <row r="1654" spans="1:12" x14ac:dyDescent="0.45">
      <c r="A1654" s="12" t="s">
        <v>32683</v>
      </c>
      <c r="B1654" s="12" t="s">
        <v>32</v>
      </c>
      <c r="C1654" s="13" t="s">
        <v>33</v>
      </c>
      <c r="D1654" s="13" t="s">
        <v>60</v>
      </c>
      <c r="E1654" s="12" t="s">
        <v>35</v>
      </c>
      <c r="F1654" s="14">
        <v>3000000</v>
      </c>
      <c r="G1654" s="14">
        <v>1989000</v>
      </c>
      <c r="H1654" s="13" t="s">
        <v>32728</v>
      </c>
      <c r="I1654" s="40" t="s">
        <v>18</v>
      </c>
      <c r="J1654" s="40" t="str">
        <f>HYPERLINK("https://stock.pstatic.net/stock-research/company/62/20260706_company_845053000.pdf","PDF")</f>
        <v>PDF</v>
      </c>
      <c r="K1654" s="12" t="s">
        <v>32729</v>
      </c>
      <c r="L1654" s="36">
        <v>0.50829562594268474</v>
      </c>
    </row>
    <row r="1655" spans="1:12" x14ac:dyDescent="0.45">
      <c r="A1655" s="12" t="s">
        <v>32683</v>
      </c>
      <c r="B1655" s="12" t="s">
        <v>13</v>
      </c>
      <c r="C1655" s="13" t="s">
        <v>14</v>
      </c>
      <c r="D1655" s="13" t="s">
        <v>92</v>
      </c>
      <c r="E1655" s="12" t="s">
        <v>6960</v>
      </c>
      <c r="F1655" s="14">
        <v>560000</v>
      </c>
      <c r="G1655" s="14">
        <v>309500</v>
      </c>
      <c r="H1655" s="13" t="s">
        <v>32730</v>
      </c>
      <c r="I1655" s="40" t="s">
        <v>18</v>
      </c>
      <c r="J1655" s="40" t="str">
        <f>HYPERLINK("https://stock.pstatic.net/stock-research/company/63/20260706_company_917562000.pdf","PDF")</f>
        <v>PDF</v>
      </c>
      <c r="K1655" s="12" t="s">
        <v>32731</v>
      </c>
      <c r="L1655" s="36">
        <v>0.80936995153473346</v>
      </c>
    </row>
    <row r="1656" spans="1:12" x14ac:dyDescent="0.45">
      <c r="A1656" s="12" t="s">
        <v>32683</v>
      </c>
      <c r="B1656" s="12" t="s">
        <v>768</v>
      </c>
      <c r="C1656" s="13" t="s">
        <v>769</v>
      </c>
      <c r="D1656" s="13" t="s">
        <v>65</v>
      </c>
      <c r="E1656" s="12" t="s">
        <v>35</v>
      </c>
      <c r="F1656" s="14">
        <v>240000</v>
      </c>
      <c r="G1656" s="14">
        <v>168300</v>
      </c>
      <c r="H1656" s="13" t="s">
        <v>32732</v>
      </c>
      <c r="I1656" s="40" t="s">
        <v>18</v>
      </c>
      <c r="J1656" s="40" t="str">
        <f>HYPERLINK("https://stock.pstatic.net/stock-research/company/57/20260706_company_629647000.pdf","PDF")</f>
        <v>PDF</v>
      </c>
      <c r="K1656" s="12" t="s">
        <v>32733</v>
      </c>
      <c r="L1656" s="36">
        <v>0.42602495543672009</v>
      </c>
    </row>
    <row r="1657" spans="1:12" x14ac:dyDescent="0.45">
      <c r="A1657" s="12" t="s">
        <v>32683</v>
      </c>
      <c r="B1657" s="12" t="s">
        <v>76</v>
      </c>
      <c r="C1657" s="13" t="s">
        <v>77</v>
      </c>
      <c r="D1657" s="13" t="s">
        <v>65</v>
      </c>
      <c r="E1657" s="12" t="s">
        <v>1738</v>
      </c>
      <c r="F1657" s="14">
        <v>21000</v>
      </c>
      <c r="G1657" s="14">
        <v>19170</v>
      </c>
      <c r="H1657" s="13" t="s">
        <v>32734</v>
      </c>
      <c r="I1657" s="40" t="s">
        <v>18</v>
      </c>
      <c r="J1657" s="40" t="str">
        <f>HYPERLINK("https://stock.pstatic.net/stock-research/company/57/20260706_company_468098000.pdf","PDF")</f>
        <v>PDF</v>
      </c>
      <c r="K1657" s="12" t="s">
        <v>32735</v>
      </c>
      <c r="L1657" s="36">
        <v>9.5461658841940536E-2</v>
      </c>
    </row>
    <row r="1658" spans="1:12" x14ac:dyDescent="0.45">
      <c r="A1658" s="12" t="s">
        <v>32683</v>
      </c>
      <c r="B1658" s="12" t="s">
        <v>3478</v>
      </c>
      <c r="C1658" s="13" t="s">
        <v>3479</v>
      </c>
      <c r="D1658" s="13" t="s">
        <v>65</v>
      </c>
      <c r="E1658" s="12" t="s">
        <v>35</v>
      </c>
      <c r="F1658" s="14">
        <v>50000</v>
      </c>
      <c r="G1658" s="14">
        <v>28250</v>
      </c>
      <c r="H1658" s="13" t="s">
        <v>32736</v>
      </c>
      <c r="I1658" s="40" t="s">
        <v>18</v>
      </c>
      <c r="J1658" s="40" t="str">
        <f>HYPERLINK("https://stock.pstatic.net/stock-research/company/57/20260706_company_59252000.pdf","PDF")</f>
        <v>PDF</v>
      </c>
      <c r="K1658" s="12" t="s">
        <v>32737</v>
      </c>
      <c r="L1658" s="36">
        <v>0.76991150442477874</v>
      </c>
    </row>
    <row r="1659" spans="1:12" x14ac:dyDescent="0.45">
      <c r="A1659" s="12" t="s">
        <v>32683</v>
      </c>
      <c r="B1659" s="12" t="s">
        <v>2758</v>
      </c>
      <c r="C1659" s="13" t="s">
        <v>2759</v>
      </c>
      <c r="D1659" s="13" t="s">
        <v>65</v>
      </c>
      <c r="E1659" s="12" t="s">
        <v>35</v>
      </c>
      <c r="F1659" s="14">
        <v>740000</v>
      </c>
      <c r="G1659" s="14">
        <v>320000</v>
      </c>
      <c r="H1659" s="13" t="s">
        <v>32738</v>
      </c>
      <c r="I1659" s="40" t="s">
        <v>18</v>
      </c>
      <c r="J1659" s="40" t="str">
        <f>HYPERLINK("https://stock.pstatic.net/stock-research/company/57/20260706_company_462121000.pdf","PDF")</f>
        <v>PDF</v>
      </c>
      <c r="K1659" s="12" t="s">
        <v>32739</v>
      </c>
      <c r="L1659" s="36">
        <v>1.3125</v>
      </c>
    </row>
    <row r="1660" spans="1:12" x14ac:dyDescent="0.45">
      <c r="A1660" s="12" t="s">
        <v>32683</v>
      </c>
      <c r="B1660" s="12" t="s">
        <v>744</v>
      </c>
      <c r="C1660" s="13" t="s">
        <v>745</v>
      </c>
      <c r="D1660" s="13" t="s">
        <v>65</v>
      </c>
      <c r="E1660" s="12" t="s">
        <v>35</v>
      </c>
      <c r="F1660" s="14">
        <v>40000</v>
      </c>
      <c r="G1660" s="14">
        <v>23500</v>
      </c>
      <c r="H1660" s="13" t="s">
        <v>32740</v>
      </c>
      <c r="I1660" s="40" t="s">
        <v>18</v>
      </c>
      <c r="J1660" s="40" t="str">
        <f>HYPERLINK("https://stock.pstatic.net/stock-research/company/57/20260706_company_636627000.pdf","PDF")</f>
        <v>PDF</v>
      </c>
      <c r="K1660" s="12" t="s">
        <v>32741</v>
      </c>
      <c r="L1660" s="36">
        <v>0.7021276595744681</v>
      </c>
    </row>
    <row r="1661" spans="1:12" x14ac:dyDescent="0.45">
      <c r="A1661" s="12" t="s">
        <v>32683</v>
      </c>
      <c r="B1661" s="12" t="s">
        <v>1047</v>
      </c>
      <c r="C1661" s="13" t="s">
        <v>1048</v>
      </c>
      <c r="D1661" s="13" t="s">
        <v>158</v>
      </c>
      <c r="E1661" s="12" t="s">
        <v>50</v>
      </c>
      <c r="F1661" s="13"/>
      <c r="G1661" s="14">
        <v>12630</v>
      </c>
      <c r="H1661" s="13" t="s">
        <v>32742</v>
      </c>
      <c r="I1661" s="40" t="s">
        <v>18</v>
      </c>
      <c r="J1661" s="40" t="str">
        <f>HYPERLINK("https://stock.pstatic.net/stock-research/company/18/20260706_company_944492000.pdf","PDF")</f>
        <v>PDF</v>
      </c>
      <c r="K1661" s="12" t="s">
        <v>32743</v>
      </c>
      <c r="L1661" s="12"/>
    </row>
    <row r="1662" spans="1:12" x14ac:dyDescent="0.45">
      <c r="A1662" s="12" t="s">
        <v>32683</v>
      </c>
      <c r="B1662" s="12" t="s">
        <v>768</v>
      </c>
      <c r="C1662" s="13" t="s">
        <v>769</v>
      </c>
      <c r="D1662" s="13" t="s">
        <v>158</v>
      </c>
      <c r="E1662" s="12" t="s">
        <v>35</v>
      </c>
      <c r="F1662" s="14">
        <v>230000</v>
      </c>
      <c r="G1662" s="14">
        <v>168300</v>
      </c>
      <c r="H1662" s="13" t="s">
        <v>32744</v>
      </c>
      <c r="I1662" s="40" t="s">
        <v>18</v>
      </c>
      <c r="J1662" s="40" t="str">
        <f>HYPERLINK("https://stock.pstatic.net/stock-research/company/18/20260706_company_365276000.pdf","PDF")</f>
        <v>PDF</v>
      </c>
      <c r="K1662" s="12" t="s">
        <v>32745</v>
      </c>
      <c r="L1662" s="36">
        <v>0.36660724896019009</v>
      </c>
    </row>
    <row r="1663" spans="1:12" x14ac:dyDescent="0.45">
      <c r="A1663" s="12" t="s">
        <v>32683</v>
      </c>
      <c r="B1663" s="12" t="s">
        <v>434</v>
      </c>
      <c r="C1663" s="13" t="s">
        <v>435</v>
      </c>
      <c r="D1663" s="13" t="s">
        <v>158</v>
      </c>
      <c r="E1663" s="12" t="s">
        <v>35</v>
      </c>
      <c r="F1663" s="14">
        <v>178000</v>
      </c>
      <c r="G1663" s="14">
        <v>121200</v>
      </c>
      <c r="H1663" s="13" t="s">
        <v>32746</v>
      </c>
      <c r="I1663" s="40" t="s">
        <v>18</v>
      </c>
      <c r="J1663" s="40" t="str">
        <f>HYPERLINK("https://stock.pstatic.net/stock-research/company/18/20260706_company_254616000.pdf","PDF")</f>
        <v>PDF</v>
      </c>
      <c r="K1663" s="12" t="s">
        <v>32747</v>
      </c>
      <c r="L1663" s="36">
        <v>0.46864686468646871</v>
      </c>
    </row>
    <row r="1664" spans="1:12" x14ac:dyDescent="0.45">
      <c r="A1664" s="12" t="s">
        <v>32683</v>
      </c>
      <c r="B1664" s="12" t="s">
        <v>6914</v>
      </c>
      <c r="C1664" s="13" t="s">
        <v>6915</v>
      </c>
      <c r="D1664" s="13" t="s">
        <v>158</v>
      </c>
      <c r="E1664" s="12" t="s">
        <v>50</v>
      </c>
      <c r="F1664" s="13"/>
      <c r="G1664" s="14">
        <v>43000</v>
      </c>
      <c r="H1664" s="13" t="s">
        <v>32748</v>
      </c>
      <c r="I1664" s="40" t="s">
        <v>18</v>
      </c>
      <c r="J1664" s="40" t="str">
        <f>HYPERLINK("https://stock.pstatic.net/stock-research/company/-/20260706_company_389658000.pdf","PDF")</f>
        <v>PDF</v>
      </c>
      <c r="K1664" s="12" t="s">
        <v>32749</v>
      </c>
      <c r="L1664" s="12"/>
    </row>
    <row r="1665" spans="1:12" x14ac:dyDescent="0.45">
      <c r="A1665" s="12" t="s">
        <v>32683</v>
      </c>
      <c r="B1665" s="12" t="s">
        <v>2191</v>
      </c>
      <c r="C1665" s="13" t="s">
        <v>2192</v>
      </c>
      <c r="D1665" s="13" t="s">
        <v>158</v>
      </c>
      <c r="E1665" s="12" t="s">
        <v>35</v>
      </c>
      <c r="F1665" s="14">
        <v>120000</v>
      </c>
      <c r="G1665" s="14">
        <v>82200</v>
      </c>
      <c r="H1665" s="13" t="s">
        <v>32750</v>
      </c>
      <c r="I1665" s="40" t="s">
        <v>18</v>
      </c>
      <c r="J1665" s="40" t="str">
        <f>HYPERLINK("https://stock.pstatic.net/stock-research/company/18/20260706_company_733828000.pdf","PDF")</f>
        <v>PDF</v>
      </c>
      <c r="K1665" s="12" t="s">
        <v>32751</v>
      </c>
      <c r="L1665" s="36">
        <v>0.45985401459854008</v>
      </c>
    </row>
    <row r="1666" spans="1:12" x14ac:dyDescent="0.45">
      <c r="A1666" s="12" t="s">
        <v>32683</v>
      </c>
      <c r="B1666" s="12" t="s">
        <v>756</v>
      </c>
      <c r="C1666" s="13" t="s">
        <v>757</v>
      </c>
      <c r="D1666" s="13" t="s">
        <v>158</v>
      </c>
      <c r="E1666" s="12" t="s">
        <v>35</v>
      </c>
      <c r="F1666" s="14">
        <v>160000</v>
      </c>
      <c r="G1666" s="14">
        <v>117800</v>
      </c>
      <c r="H1666" s="13" t="s">
        <v>32752</v>
      </c>
      <c r="I1666" s="40" t="s">
        <v>18</v>
      </c>
      <c r="J1666" s="40" t="str">
        <f>HYPERLINK("https://stock.pstatic.net/stock-research/company/18/20260706_company_795957000.pdf","PDF")</f>
        <v>PDF</v>
      </c>
      <c r="K1666" s="12" t="s">
        <v>32753</v>
      </c>
      <c r="L1666" s="36">
        <v>0.35823429541595919</v>
      </c>
    </row>
    <row r="1667" spans="1:12" x14ac:dyDescent="0.45">
      <c r="A1667" s="12" t="s">
        <v>32683</v>
      </c>
      <c r="B1667" s="12" t="s">
        <v>3284</v>
      </c>
      <c r="C1667" s="13" t="s">
        <v>3285</v>
      </c>
      <c r="D1667" s="13" t="s">
        <v>158</v>
      </c>
      <c r="E1667" s="12" t="s">
        <v>35</v>
      </c>
      <c r="F1667" s="14">
        <v>179000</v>
      </c>
      <c r="G1667" s="14">
        <v>106900</v>
      </c>
      <c r="H1667" s="13" t="s">
        <v>32754</v>
      </c>
      <c r="I1667" s="40" t="s">
        <v>18</v>
      </c>
      <c r="J1667" s="40" t="str">
        <f>HYPERLINK("https://stock.pstatic.net/stock-research/company/18/20260706_company_602435000.pdf","PDF")</f>
        <v>PDF</v>
      </c>
      <c r="K1667" s="12" t="s">
        <v>32755</v>
      </c>
      <c r="L1667" s="36">
        <v>0.67446211412535084</v>
      </c>
    </row>
    <row r="1668" spans="1:12" x14ac:dyDescent="0.45">
      <c r="A1668" s="12" t="s">
        <v>32683</v>
      </c>
      <c r="B1668" s="12" t="s">
        <v>2266</v>
      </c>
      <c r="C1668" s="13" t="s">
        <v>2267</v>
      </c>
      <c r="D1668" s="13" t="s">
        <v>83</v>
      </c>
      <c r="E1668" s="12" t="s">
        <v>35</v>
      </c>
      <c r="F1668" s="14">
        <v>196000</v>
      </c>
      <c r="G1668" s="14">
        <v>152800</v>
      </c>
      <c r="H1668" s="13" t="s">
        <v>32756</v>
      </c>
      <c r="I1668" s="40" t="s">
        <v>18</v>
      </c>
      <c r="J1668" s="40" t="str">
        <f>HYPERLINK("https://stock.pstatic.net/stock-research/company/15/20260706_company_382440000.pdf","PDF")</f>
        <v>PDF</v>
      </c>
      <c r="K1668" s="12" t="s">
        <v>32757</v>
      </c>
      <c r="L1668" s="36">
        <v>0.28272251308900531</v>
      </c>
    </row>
    <row r="1669" spans="1:12" x14ac:dyDescent="0.45">
      <c r="A1669" s="12" t="s">
        <v>32683</v>
      </c>
      <c r="B1669" s="12" t="s">
        <v>1047</v>
      </c>
      <c r="C1669" s="13" t="s">
        <v>1048</v>
      </c>
      <c r="D1669" s="13" t="s">
        <v>83</v>
      </c>
      <c r="E1669" s="12" t="s">
        <v>35</v>
      </c>
      <c r="F1669" s="14">
        <v>22000</v>
      </c>
      <c r="G1669" s="14">
        <v>12500</v>
      </c>
      <c r="H1669" s="13" t="s">
        <v>32758</v>
      </c>
      <c r="I1669" s="40" t="s">
        <v>18</v>
      </c>
      <c r="J1669" s="40" t="str">
        <f>HYPERLINK("https://stock.pstatic.net/stock-research/company/15/20260706_company_153727000.pdf","PDF")</f>
        <v>PDF</v>
      </c>
      <c r="K1669" s="12" t="s">
        <v>32759</v>
      </c>
      <c r="L1669" s="36">
        <v>0.76</v>
      </c>
    </row>
    <row r="1670" spans="1:12" x14ac:dyDescent="0.45">
      <c r="A1670" s="12" t="s">
        <v>32683</v>
      </c>
      <c r="B1670" s="12" t="s">
        <v>366</v>
      </c>
      <c r="C1670" s="13" t="s">
        <v>367</v>
      </c>
      <c r="D1670" s="13" t="s">
        <v>83</v>
      </c>
      <c r="E1670" s="12" t="s">
        <v>35</v>
      </c>
      <c r="F1670" s="14">
        <v>39000</v>
      </c>
      <c r="G1670" s="14">
        <v>21950</v>
      </c>
      <c r="H1670" s="13" t="s">
        <v>32760</v>
      </c>
      <c r="I1670" s="40" t="s">
        <v>18</v>
      </c>
      <c r="J1670" s="40" t="str">
        <f>HYPERLINK("https://stock.pstatic.net/stock-research/company/15/20260706_company_384519000.pdf","PDF")</f>
        <v>PDF</v>
      </c>
      <c r="K1670" s="12" t="s">
        <v>32761</v>
      </c>
      <c r="L1670" s="36">
        <v>0.77676537585421412</v>
      </c>
    </row>
    <row r="1671" spans="1:12" x14ac:dyDescent="0.45">
      <c r="A1671" s="12" t="s">
        <v>32683</v>
      </c>
      <c r="B1671" s="12" t="s">
        <v>32</v>
      </c>
      <c r="C1671" s="13" t="s">
        <v>33</v>
      </c>
      <c r="D1671" s="13" t="s">
        <v>15</v>
      </c>
      <c r="E1671" s="12" t="s">
        <v>16</v>
      </c>
      <c r="F1671" s="14">
        <v>2800000</v>
      </c>
      <c r="G1671" s="14">
        <v>1989000</v>
      </c>
      <c r="H1671" s="13" t="s">
        <v>32762</v>
      </c>
      <c r="I1671" s="40" t="s">
        <v>18</v>
      </c>
      <c r="J1671" s="40" t="str">
        <f>HYPERLINK("https://stock.pstatic.net/stock-research/company/56/20260706_company_955468000.pdf","PDF")</f>
        <v>PDF</v>
      </c>
      <c r="K1671" s="12" t="s">
        <v>32763</v>
      </c>
      <c r="L1671" s="36">
        <v>0.40774258421317239</v>
      </c>
    </row>
    <row r="1672" spans="1:12" x14ac:dyDescent="0.45">
      <c r="A1672" s="12" t="s">
        <v>32683</v>
      </c>
      <c r="B1672" s="12" t="s">
        <v>95</v>
      </c>
      <c r="C1672" s="13" t="s">
        <v>31</v>
      </c>
      <c r="D1672" s="13" t="s">
        <v>15</v>
      </c>
      <c r="E1672" s="12" t="s">
        <v>16</v>
      </c>
      <c r="F1672" s="14">
        <v>70000</v>
      </c>
      <c r="G1672" s="14">
        <v>48100</v>
      </c>
      <c r="H1672" s="13" t="s">
        <v>32764</v>
      </c>
      <c r="I1672" s="40" t="s">
        <v>18</v>
      </c>
      <c r="J1672" s="40" t="str">
        <f>HYPERLINK("https://stock.pstatic.net/stock-research/company/56/20260706_company_197839000.pdf","PDF")</f>
        <v>PDF</v>
      </c>
      <c r="K1672" s="12" t="s">
        <v>32765</v>
      </c>
      <c r="L1672" s="36">
        <v>0.45530145530145533</v>
      </c>
    </row>
    <row r="1673" spans="1:12" x14ac:dyDescent="0.45">
      <c r="A1673" s="12" t="s">
        <v>32683</v>
      </c>
      <c r="B1673" s="12" t="s">
        <v>3749</v>
      </c>
      <c r="C1673" s="13" t="s">
        <v>3750</v>
      </c>
      <c r="D1673" s="13" t="s">
        <v>34</v>
      </c>
      <c r="E1673" s="12" t="s">
        <v>35</v>
      </c>
      <c r="F1673" s="14">
        <v>325000</v>
      </c>
      <c r="G1673" s="14">
        <v>197000</v>
      </c>
      <c r="H1673" s="13" t="s">
        <v>32766</v>
      </c>
      <c r="I1673" s="40" t="s">
        <v>18</v>
      </c>
      <c r="J1673" s="40" t="str">
        <f>HYPERLINK("https://stock.pstatic.net/stock-research/company/61/20260706_company_555075000.pdf","PDF")</f>
        <v>PDF</v>
      </c>
      <c r="K1673" s="12" t="s">
        <v>32767</v>
      </c>
      <c r="L1673" s="36">
        <v>0.64974619289340096</v>
      </c>
    </row>
    <row r="1674" spans="1:12" x14ac:dyDescent="0.45">
      <c r="A1674" s="12" t="s">
        <v>32683</v>
      </c>
      <c r="B1674" s="12" t="s">
        <v>32768</v>
      </c>
      <c r="C1674" s="13" t="s">
        <v>32769</v>
      </c>
      <c r="D1674" s="13" t="s">
        <v>179</v>
      </c>
      <c r="E1674" s="12" t="s">
        <v>50</v>
      </c>
      <c r="F1674" s="13"/>
      <c r="G1674" s="14">
        <v>1514</v>
      </c>
      <c r="H1674" s="13" t="s">
        <v>32770</v>
      </c>
      <c r="I1674" s="40" t="s">
        <v>18</v>
      </c>
      <c r="J1674" s="40" t="str">
        <f>HYPERLINK("https://stock.pstatic.net/stock-research/company/64/20260706_company_579815000.pdf","PDF")</f>
        <v>PDF</v>
      </c>
      <c r="K1674" s="12" t="s">
        <v>32771</v>
      </c>
      <c r="L1674" s="12"/>
    </row>
    <row r="1675" spans="1:12" x14ac:dyDescent="0.45">
      <c r="A1675" s="12" t="s">
        <v>32683</v>
      </c>
      <c r="B1675" s="12" t="s">
        <v>691</v>
      </c>
      <c r="C1675" s="13" t="s">
        <v>20</v>
      </c>
      <c r="D1675" s="13" t="s">
        <v>53</v>
      </c>
      <c r="E1675" s="12" t="s">
        <v>16</v>
      </c>
      <c r="F1675" s="14">
        <v>250000</v>
      </c>
      <c r="G1675" s="14">
        <v>183600</v>
      </c>
      <c r="H1675" s="13" t="s">
        <v>32772</v>
      </c>
      <c r="I1675" s="40" t="s">
        <v>18</v>
      </c>
      <c r="J1675" s="40" t="str">
        <f>HYPERLINK("https://stock.pstatic.net/stock-research/company/40/20260706_company_913237000.pdf","PDF")</f>
        <v>PDF</v>
      </c>
      <c r="K1675" s="12" t="s">
        <v>32773</v>
      </c>
      <c r="L1675" s="36">
        <v>0.36165577342047928</v>
      </c>
    </row>
    <row r="1676" spans="1:12" x14ac:dyDescent="0.45">
      <c r="A1676" s="12" t="s">
        <v>32683</v>
      </c>
      <c r="B1676" s="12" t="s">
        <v>908</v>
      </c>
      <c r="C1676" s="13" t="s">
        <v>909</v>
      </c>
      <c r="D1676" s="13" t="s">
        <v>34</v>
      </c>
      <c r="E1676" s="12" t="s">
        <v>35</v>
      </c>
      <c r="F1676" s="14">
        <v>270000</v>
      </c>
      <c r="G1676" s="14">
        <v>195400</v>
      </c>
      <c r="H1676" s="13" t="s">
        <v>32774</v>
      </c>
      <c r="I1676" s="40" t="s">
        <v>18</v>
      </c>
      <c r="J1676" s="40" t="str">
        <f>HYPERLINK("https://stock.pstatic.net/stock-research/company/61/20260706_company_840224000.pdf","PDF")</f>
        <v>PDF</v>
      </c>
      <c r="K1676" s="12" t="s">
        <v>32775</v>
      </c>
      <c r="L1676" s="36">
        <v>0.38178096212896617</v>
      </c>
    </row>
    <row r="1677" spans="1:12" x14ac:dyDescent="0.45">
      <c r="A1677" s="12" t="s">
        <v>32683</v>
      </c>
      <c r="B1677" s="12" t="s">
        <v>3749</v>
      </c>
      <c r="C1677" s="13" t="s">
        <v>3750</v>
      </c>
      <c r="D1677" s="13" t="s">
        <v>23</v>
      </c>
      <c r="E1677" s="12" t="s">
        <v>16</v>
      </c>
      <c r="F1677" s="14">
        <v>320000</v>
      </c>
      <c r="G1677" s="14">
        <v>197000</v>
      </c>
      <c r="H1677" s="13" t="s">
        <v>32776</v>
      </c>
      <c r="I1677" s="40" t="s">
        <v>18</v>
      </c>
      <c r="J1677" s="40" t="str">
        <f>HYPERLINK("https://stock.pstatic.net/stock-research/company/21/20260706_company_58968000.pdf","PDF")</f>
        <v>PDF</v>
      </c>
      <c r="K1677" s="12" t="s">
        <v>32777</v>
      </c>
      <c r="L1677" s="36">
        <v>0.62436548223350252</v>
      </c>
    </row>
    <row r="1678" spans="1:12" x14ac:dyDescent="0.45">
      <c r="A1678" s="12" t="s">
        <v>32683</v>
      </c>
      <c r="B1678" s="12" t="s">
        <v>816</v>
      </c>
      <c r="C1678" s="13" t="s">
        <v>817</v>
      </c>
      <c r="D1678" s="13" t="s">
        <v>23</v>
      </c>
      <c r="E1678" s="12" t="s">
        <v>50</v>
      </c>
      <c r="F1678" s="13"/>
      <c r="G1678" s="14">
        <v>29600</v>
      </c>
      <c r="H1678" s="13" t="s">
        <v>32778</v>
      </c>
      <c r="I1678" s="40" t="s">
        <v>18</v>
      </c>
      <c r="J1678" s="40" t="str">
        <f>HYPERLINK("https://stock.pstatic.net/stock-research/company/21/20260706_company_111069000.pdf","PDF")</f>
        <v>PDF</v>
      </c>
      <c r="K1678" s="12" t="s">
        <v>32779</v>
      </c>
      <c r="L1678" s="12"/>
    </row>
    <row r="1679" spans="1:12" x14ac:dyDescent="0.45">
      <c r="A1679" s="12" t="s">
        <v>32683</v>
      </c>
      <c r="B1679" s="12" t="s">
        <v>2414</v>
      </c>
      <c r="C1679" s="13" t="s">
        <v>2415</v>
      </c>
      <c r="D1679" s="13" t="s">
        <v>34</v>
      </c>
      <c r="E1679" s="12" t="s">
        <v>35</v>
      </c>
      <c r="F1679" s="14">
        <v>2000000</v>
      </c>
      <c r="G1679" s="14">
        <v>1433000</v>
      </c>
      <c r="H1679" s="13" t="s">
        <v>32780</v>
      </c>
      <c r="I1679" s="40" t="s">
        <v>18</v>
      </c>
      <c r="J1679" s="40" t="str">
        <f>HYPERLINK("https://stock.pstatic.net/stock-research/company/61/20260706_company_348060000.pdf","PDF")</f>
        <v>PDF</v>
      </c>
      <c r="K1679" s="12" t="s">
        <v>32781</v>
      </c>
      <c r="L1679" s="36">
        <v>0.3956734124214934</v>
      </c>
    </row>
    <row r="1680" spans="1:12" x14ac:dyDescent="0.45">
      <c r="A1680" s="12" t="s">
        <v>32683</v>
      </c>
      <c r="B1680" s="12" t="s">
        <v>2378</v>
      </c>
      <c r="C1680" s="13" t="s">
        <v>2379</v>
      </c>
      <c r="D1680" s="13" t="s">
        <v>23</v>
      </c>
      <c r="E1680" s="12" t="s">
        <v>16</v>
      </c>
      <c r="F1680" s="14">
        <v>550000</v>
      </c>
      <c r="G1680" s="14">
        <v>362500</v>
      </c>
      <c r="H1680" s="13" t="s">
        <v>23006</v>
      </c>
      <c r="I1680" s="40" t="s">
        <v>18</v>
      </c>
      <c r="J1680" s="40" t="str">
        <f>HYPERLINK("https://stock.pstatic.net/stock-research/company/21/20260706_company_721743000.pdf","PDF")</f>
        <v>PDF</v>
      </c>
      <c r="K1680" s="12" t="s">
        <v>32684</v>
      </c>
      <c r="L1680" s="36">
        <v>0.51724137931034486</v>
      </c>
    </row>
    <row r="1681" spans="1:12" x14ac:dyDescent="0.45">
      <c r="A1681" s="12" t="s">
        <v>32683</v>
      </c>
      <c r="B1681" s="12" t="s">
        <v>17845</v>
      </c>
      <c r="C1681" s="13" t="s">
        <v>17846</v>
      </c>
      <c r="D1681" s="13" t="s">
        <v>23</v>
      </c>
      <c r="E1681" s="12" t="s">
        <v>50</v>
      </c>
      <c r="F1681" s="13"/>
      <c r="G1681" s="14">
        <v>8460</v>
      </c>
      <c r="H1681" s="13" t="s">
        <v>32685</v>
      </c>
      <c r="I1681" s="40" t="s">
        <v>18</v>
      </c>
      <c r="J1681" s="40" t="str">
        <f>HYPERLINK("https://stock.pstatic.net/stock-research/company/21/20260706_company_428433000.pdf","PDF")</f>
        <v>PDF</v>
      </c>
      <c r="K1681" s="12" t="s">
        <v>32686</v>
      </c>
      <c r="L1681" s="12"/>
    </row>
    <row r="1682" spans="1:12" x14ac:dyDescent="0.45">
      <c r="A1682" s="12" t="s">
        <v>32683</v>
      </c>
      <c r="B1682" s="12" t="s">
        <v>740</v>
      </c>
      <c r="C1682" s="13" t="s">
        <v>741</v>
      </c>
      <c r="D1682" s="13" t="s">
        <v>34</v>
      </c>
      <c r="E1682" s="12" t="s">
        <v>35</v>
      </c>
      <c r="F1682" s="14">
        <v>1100000</v>
      </c>
      <c r="G1682" s="14">
        <v>872000</v>
      </c>
      <c r="H1682" s="13" t="s">
        <v>32687</v>
      </c>
      <c r="I1682" s="40" t="s">
        <v>18</v>
      </c>
      <c r="J1682" s="40" t="str">
        <f>HYPERLINK("https://stock.pstatic.net/stock-research/company/61/20260706_company_853153000.pdf","PDF")</f>
        <v>PDF</v>
      </c>
      <c r="K1682" s="12" t="s">
        <v>32688</v>
      </c>
      <c r="L1682" s="36">
        <v>0.26146788990825692</v>
      </c>
    </row>
    <row r="1683" spans="1:12" x14ac:dyDescent="0.45">
      <c r="A1683" s="12" t="s">
        <v>32683</v>
      </c>
      <c r="B1683" s="12" t="s">
        <v>1278</v>
      </c>
      <c r="C1683" s="13" t="s">
        <v>1279</v>
      </c>
      <c r="D1683" s="13" t="s">
        <v>34</v>
      </c>
      <c r="E1683" s="12" t="s">
        <v>35</v>
      </c>
      <c r="F1683" s="14">
        <v>310000</v>
      </c>
      <c r="G1683" s="14">
        <v>242000</v>
      </c>
      <c r="H1683" s="13" t="s">
        <v>32689</v>
      </c>
      <c r="I1683" s="40" t="s">
        <v>18</v>
      </c>
      <c r="J1683" s="40" t="str">
        <f>HYPERLINK("https://stock.pstatic.net/stock-research/company/61/20260706_company_350114000.pdf","PDF")</f>
        <v>PDF</v>
      </c>
      <c r="K1683" s="12" t="s">
        <v>32690</v>
      </c>
      <c r="L1683" s="36">
        <v>0.28099173553719009</v>
      </c>
    </row>
    <row r="1684" spans="1:12" x14ac:dyDescent="0.45">
      <c r="A1684" s="12" t="s">
        <v>32683</v>
      </c>
      <c r="B1684" s="12" t="s">
        <v>605</v>
      </c>
      <c r="C1684" s="13" t="s">
        <v>606</v>
      </c>
      <c r="D1684" s="13" t="s">
        <v>179</v>
      </c>
      <c r="E1684" s="12" t="s">
        <v>16</v>
      </c>
      <c r="F1684" s="14">
        <v>33000</v>
      </c>
      <c r="G1684" s="14">
        <v>23850</v>
      </c>
      <c r="H1684" s="13" t="s">
        <v>32691</v>
      </c>
      <c r="I1684" s="40" t="s">
        <v>18</v>
      </c>
      <c r="J1684" s="40" t="str">
        <f>HYPERLINK("https://stock.pstatic.net/stock-research/company/64/20260706_company_245057000.pdf","PDF")</f>
        <v>PDF</v>
      </c>
      <c r="K1684" s="12" t="s">
        <v>32692</v>
      </c>
      <c r="L1684" s="36">
        <v>0.38364779874213839</v>
      </c>
    </row>
    <row r="1685" spans="1:12" x14ac:dyDescent="0.45">
      <c r="A1685" s="12" t="s">
        <v>32683</v>
      </c>
      <c r="B1685" s="12" t="s">
        <v>259</v>
      </c>
      <c r="C1685" s="13" t="s">
        <v>260</v>
      </c>
      <c r="D1685" s="13" t="s">
        <v>44</v>
      </c>
      <c r="E1685" s="12" t="s">
        <v>35</v>
      </c>
      <c r="F1685" s="14">
        <v>81000</v>
      </c>
      <c r="G1685" s="14">
        <v>53200</v>
      </c>
      <c r="H1685" s="13" t="s">
        <v>32693</v>
      </c>
      <c r="I1685" s="40" t="s">
        <v>18</v>
      </c>
      <c r="J1685" s="40" t="str">
        <f>HYPERLINK("https://stock.pstatic.net/stock-research/company/39/20260706_company_915368000.pdf","PDF")</f>
        <v>PDF</v>
      </c>
      <c r="K1685" s="12" t="s">
        <v>32694</v>
      </c>
      <c r="L1685" s="36">
        <v>0.52255639097744366</v>
      </c>
    </row>
    <row r="1686" spans="1:12" x14ac:dyDescent="0.45">
      <c r="A1686" s="12" t="s">
        <v>32683</v>
      </c>
      <c r="B1686" s="12" t="s">
        <v>691</v>
      </c>
      <c r="C1686" s="13" t="s">
        <v>20</v>
      </c>
      <c r="D1686" s="13" t="s">
        <v>44</v>
      </c>
      <c r="E1686" s="12" t="s">
        <v>50</v>
      </c>
      <c r="F1686" s="13"/>
      <c r="G1686" s="14">
        <v>183600</v>
      </c>
      <c r="H1686" s="13" t="s">
        <v>32695</v>
      </c>
      <c r="I1686" s="40" t="s">
        <v>18</v>
      </c>
      <c r="J1686" s="40" t="str">
        <f>HYPERLINK("https://stock.pstatic.net/stock-research/company/39/20260706_company_320868000.pdf","PDF")</f>
        <v>PDF</v>
      </c>
      <c r="K1686" s="12" t="s">
        <v>32696</v>
      </c>
      <c r="L1686" s="12"/>
    </row>
    <row r="1687" spans="1:12" x14ac:dyDescent="0.45">
      <c r="A1687" s="12" t="s">
        <v>32683</v>
      </c>
      <c r="B1687" s="12" t="s">
        <v>888</v>
      </c>
      <c r="C1687" s="13" t="s">
        <v>889</v>
      </c>
      <c r="D1687" s="13" t="s">
        <v>44</v>
      </c>
      <c r="E1687" s="12" t="s">
        <v>35</v>
      </c>
      <c r="F1687" s="14">
        <v>87000</v>
      </c>
      <c r="G1687" s="14">
        <v>65200</v>
      </c>
      <c r="H1687" s="13" t="s">
        <v>32697</v>
      </c>
      <c r="I1687" s="40" t="s">
        <v>18</v>
      </c>
      <c r="J1687" s="40" t="str">
        <f>HYPERLINK("https://stock.pstatic.net/stock-research/company/39/20260706_company_698165000.pdf","PDF")</f>
        <v>PDF</v>
      </c>
      <c r="K1687" s="12" t="s">
        <v>32698</v>
      </c>
      <c r="L1687" s="36">
        <v>0.33435582822085891</v>
      </c>
    </row>
    <row r="1688" spans="1:12" x14ac:dyDescent="0.45">
      <c r="A1688" s="12" t="s">
        <v>32627</v>
      </c>
      <c r="B1688" s="12" t="s">
        <v>3688</v>
      </c>
      <c r="C1688" s="13" t="s">
        <v>3689</v>
      </c>
      <c r="D1688" s="13" t="s">
        <v>83</v>
      </c>
      <c r="E1688" s="12" t="s">
        <v>35</v>
      </c>
      <c r="F1688" s="14">
        <v>130000</v>
      </c>
      <c r="G1688" s="14">
        <v>96400</v>
      </c>
      <c r="H1688" s="13" t="s">
        <v>32628</v>
      </c>
      <c r="I1688" s="40" t="s">
        <v>18</v>
      </c>
      <c r="J1688" s="40" t="str">
        <f>HYPERLINK("https://stock.pstatic.net/stock-research/company/15/20260703_company_871291000.pdf","PDF")</f>
        <v>PDF</v>
      </c>
      <c r="K1688" s="12" t="s">
        <v>32629</v>
      </c>
      <c r="L1688" s="36">
        <v>0.34854771784232358</v>
      </c>
    </row>
    <row r="1689" spans="1:12" x14ac:dyDescent="0.45">
      <c r="A1689" s="12" t="s">
        <v>32627</v>
      </c>
      <c r="B1689" s="12" t="s">
        <v>1184</v>
      </c>
      <c r="C1689" s="13" t="s">
        <v>1185</v>
      </c>
      <c r="D1689" s="13" t="s">
        <v>57</v>
      </c>
      <c r="E1689" s="12" t="s">
        <v>35</v>
      </c>
      <c r="F1689" s="14">
        <v>32000</v>
      </c>
      <c r="G1689" s="14">
        <v>25050</v>
      </c>
      <c r="H1689" s="13" t="s">
        <v>32630</v>
      </c>
      <c r="I1689" s="40" t="s">
        <v>18</v>
      </c>
      <c r="J1689" s="40" t="str">
        <f>HYPERLINK("https://stock.pstatic.net/stock-research/company/16/20260703_company_747923000.pdf","PDF")</f>
        <v>PDF</v>
      </c>
      <c r="K1689" s="12" t="s">
        <v>32631</v>
      </c>
      <c r="L1689" s="36">
        <v>0.27744510978043913</v>
      </c>
    </row>
    <row r="1690" spans="1:12" x14ac:dyDescent="0.45">
      <c r="A1690" s="12" t="s">
        <v>32627</v>
      </c>
      <c r="B1690" s="12" t="s">
        <v>1097</v>
      </c>
      <c r="C1690" s="13" t="s">
        <v>1098</v>
      </c>
      <c r="D1690" s="13" t="s">
        <v>57</v>
      </c>
      <c r="E1690" s="12" t="s">
        <v>35</v>
      </c>
      <c r="F1690" s="14">
        <v>190000</v>
      </c>
      <c r="G1690" s="14">
        <v>119500</v>
      </c>
      <c r="H1690" s="13" t="s">
        <v>32632</v>
      </c>
      <c r="I1690" s="40" t="s">
        <v>18</v>
      </c>
      <c r="J1690" s="40" t="str">
        <f>HYPERLINK("https://stock.pstatic.net/stock-research/company/16/20260703_company_97665000.pdf","PDF")</f>
        <v>PDF</v>
      </c>
      <c r="K1690" s="12" t="s">
        <v>32633</v>
      </c>
      <c r="L1690" s="36">
        <v>0.58995815899581594</v>
      </c>
    </row>
    <row r="1691" spans="1:12" x14ac:dyDescent="0.45">
      <c r="A1691" s="12" t="s">
        <v>32627</v>
      </c>
      <c r="B1691" s="12" t="s">
        <v>156</v>
      </c>
      <c r="C1691" s="13" t="s">
        <v>157</v>
      </c>
      <c r="D1691" s="13" t="s">
        <v>276</v>
      </c>
      <c r="E1691" s="12" t="s">
        <v>16</v>
      </c>
      <c r="F1691" s="14">
        <v>5000</v>
      </c>
      <c r="G1691" s="14">
        <v>3800</v>
      </c>
      <c r="H1691" s="13" t="s">
        <v>32634</v>
      </c>
      <c r="I1691" s="40" t="s">
        <v>18</v>
      </c>
      <c r="J1691" s="40" t="str">
        <f>HYPERLINK("https://stock.pstatic.net/stock-research/company/66/20260703_company_834564000.pdf","PDF")</f>
        <v>PDF</v>
      </c>
      <c r="K1691" s="12" t="s">
        <v>32635</v>
      </c>
      <c r="L1691" s="36">
        <v>0.31578947368421051</v>
      </c>
    </row>
    <row r="1692" spans="1:12" x14ac:dyDescent="0.45">
      <c r="A1692" s="12" t="s">
        <v>32627</v>
      </c>
      <c r="B1692" s="12" t="s">
        <v>32636</v>
      </c>
      <c r="C1692" s="13" t="s">
        <v>32637</v>
      </c>
      <c r="D1692" s="13" t="s">
        <v>60</v>
      </c>
      <c r="E1692" s="12" t="s">
        <v>50</v>
      </c>
      <c r="F1692" s="13"/>
      <c r="G1692" s="14">
        <v>27250</v>
      </c>
      <c r="H1692" s="13" t="s">
        <v>32638</v>
      </c>
      <c r="I1692" s="40" t="s">
        <v>18</v>
      </c>
      <c r="J1692" s="40" t="str">
        <f>HYPERLINK("https://stock.pstatic.net/stock-research/company/62/20260703_company_505978000.pdf","PDF")</f>
        <v>PDF</v>
      </c>
      <c r="K1692" s="12" t="s">
        <v>32639</v>
      </c>
      <c r="L1692" s="12"/>
    </row>
    <row r="1693" spans="1:12" x14ac:dyDescent="0.45">
      <c r="A1693" s="12" t="s">
        <v>32627</v>
      </c>
      <c r="B1693" s="12" t="s">
        <v>2105</v>
      </c>
      <c r="C1693" s="13" t="s">
        <v>2106</v>
      </c>
      <c r="D1693" s="13" t="s">
        <v>60</v>
      </c>
      <c r="E1693" s="12" t="s">
        <v>35</v>
      </c>
      <c r="F1693" s="14">
        <v>42000</v>
      </c>
      <c r="G1693" s="14">
        <v>34150</v>
      </c>
      <c r="H1693" s="13" t="s">
        <v>32640</v>
      </c>
      <c r="I1693" s="40" t="s">
        <v>18</v>
      </c>
      <c r="J1693" s="40" t="str">
        <f>HYPERLINK("https://stock.pstatic.net/stock-research/company/62/20260703_company_268901000.pdf","PDF")</f>
        <v>PDF</v>
      </c>
      <c r="K1693" s="12" t="s">
        <v>32641</v>
      </c>
      <c r="L1693" s="36">
        <v>0.22986822840409959</v>
      </c>
    </row>
    <row r="1694" spans="1:12" x14ac:dyDescent="0.45">
      <c r="A1694" s="12" t="s">
        <v>32627</v>
      </c>
      <c r="B1694" s="12" t="s">
        <v>888</v>
      </c>
      <c r="C1694" s="13" t="s">
        <v>889</v>
      </c>
      <c r="D1694" s="13" t="s">
        <v>60</v>
      </c>
      <c r="E1694" s="12" t="s">
        <v>35</v>
      </c>
      <c r="F1694" s="14">
        <v>81000</v>
      </c>
      <c r="G1694" s="14">
        <v>65300</v>
      </c>
      <c r="H1694" s="13" t="s">
        <v>32642</v>
      </c>
      <c r="I1694" s="40" t="s">
        <v>18</v>
      </c>
      <c r="J1694" s="40" t="str">
        <f>HYPERLINK("https://stock.pstatic.net/stock-research/company/62/20260703_company_939014000.pdf","PDF")</f>
        <v>PDF</v>
      </c>
      <c r="K1694" s="12" t="s">
        <v>32643</v>
      </c>
      <c r="L1694" s="36">
        <v>0.2404287901990812</v>
      </c>
    </row>
    <row r="1695" spans="1:12" x14ac:dyDescent="0.45">
      <c r="A1695" s="12" t="s">
        <v>32627</v>
      </c>
      <c r="B1695" s="12" t="s">
        <v>1781</v>
      </c>
      <c r="C1695" s="13" t="s">
        <v>1782</v>
      </c>
      <c r="D1695" s="13" t="s">
        <v>65</v>
      </c>
      <c r="E1695" s="12" t="s">
        <v>35</v>
      </c>
      <c r="F1695" s="14">
        <v>260000</v>
      </c>
      <c r="G1695" s="14">
        <v>192300</v>
      </c>
      <c r="H1695" s="13" t="s">
        <v>32644</v>
      </c>
      <c r="I1695" s="40" t="s">
        <v>18</v>
      </c>
      <c r="J1695" s="40" t="str">
        <f>HYPERLINK("https://stock.pstatic.net/stock-research/company/57/20260703_company_317080000.pdf","PDF")</f>
        <v>PDF</v>
      </c>
      <c r="K1695" s="12" t="s">
        <v>32645</v>
      </c>
      <c r="L1695" s="36">
        <v>0.35205408216328649</v>
      </c>
    </row>
    <row r="1696" spans="1:12" x14ac:dyDescent="0.45">
      <c r="A1696" s="12" t="s">
        <v>32627</v>
      </c>
      <c r="B1696" s="12" t="s">
        <v>6914</v>
      </c>
      <c r="C1696" s="13" t="s">
        <v>6915</v>
      </c>
      <c r="D1696" s="13" t="s">
        <v>65</v>
      </c>
      <c r="E1696" s="12" t="s">
        <v>50</v>
      </c>
      <c r="F1696" s="13"/>
      <c r="G1696" s="14">
        <v>38650</v>
      </c>
      <c r="H1696" s="13" t="s">
        <v>32646</v>
      </c>
      <c r="I1696" s="40" t="s">
        <v>18</v>
      </c>
      <c r="J1696" s="40" t="str">
        <f>HYPERLINK("https://stock.pstatic.net/stock-research/company/57/20260703_company_865594000.pdf","PDF")</f>
        <v>PDF</v>
      </c>
      <c r="K1696" s="12" t="s">
        <v>32647</v>
      </c>
      <c r="L1696" s="12"/>
    </row>
    <row r="1697" spans="1:12" x14ac:dyDescent="0.45">
      <c r="A1697" s="12" t="s">
        <v>32627</v>
      </c>
      <c r="B1697" s="12" t="s">
        <v>1270</v>
      </c>
      <c r="C1697" s="13" t="s">
        <v>1271</v>
      </c>
      <c r="D1697" s="13" t="s">
        <v>15</v>
      </c>
      <c r="E1697" s="12" t="s">
        <v>16</v>
      </c>
      <c r="F1697" s="14">
        <v>178000</v>
      </c>
      <c r="G1697" s="14">
        <v>107900</v>
      </c>
      <c r="H1697" s="13" t="s">
        <v>32648</v>
      </c>
      <c r="I1697" s="40" t="s">
        <v>18</v>
      </c>
      <c r="J1697" s="40" t="str">
        <f>HYPERLINK("https://stock.pstatic.net/stock-research/company/56/20260703_company_86702000.pdf","PDF")</f>
        <v>PDF</v>
      </c>
      <c r="K1697" s="12" t="s">
        <v>32649</v>
      </c>
      <c r="L1697" s="36">
        <v>0.64967562557924008</v>
      </c>
    </row>
    <row r="1698" spans="1:12" x14ac:dyDescent="0.45">
      <c r="A1698" s="12" t="s">
        <v>32627</v>
      </c>
      <c r="B1698" s="12" t="s">
        <v>81</v>
      </c>
      <c r="C1698" s="13" t="s">
        <v>82</v>
      </c>
      <c r="D1698" s="13" t="s">
        <v>15</v>
      </c>
      <c r="E1698" s="12" t="s">
        <v>16</v>
      </c>
      <c r="F1698" s="14">
        <v>44000</v>
      </c>
      <c r="G1698" s="14">
        <v>28950</v>
      </c>
      <c r="H1698" s="13" t="s">
        <v>32650</v>
      </c>
      <c r="I1698" s="40" t="s">
        <v>18</v>
      </c>
      <c r="J1698" s="40" t="str">
        <f>HYPERLINK("https://stock.pstatic.net/stock-research/company/56/20260703_company_402275000.pdf","PDF")</f>
        <v>PDF</v>
      </c>
      <c r="K1698" s="12" t="s">
        <v>32651</v>
      </c>
      <c r="L1698" s="36">
        <v>0.51986183074265979</v>
      </c>
    </row>
    <row r="1699" spans="1:12" x14ac:dyDescent="0.45">
      <c r="A1699" s="12" t="s">
        <v>32627</v>
      </c>
      <c r="B1699" s="12" t="s">
        <v>174</v>
      </c>
      <c r="C1699" s="13" t="s">
        <v>44</v>
      </c>
      <c r="D1699" s="13" t="s">
        <v>15</v>
      </c>
      <c r="E1699" s="12" t="s">
        <v>16</v>
      </c>
      <c r="F1699" s="14">
        <v>550000</v>
      </c>
      <c r="G1699" s="14">
        <v>322500</v>
      </c>
      <c r="H1699" s="13" t="s">
        <v>32652</v>
      </c>
      <c r="I1699" s="40" t="s">
        <v>18</v>
      </c>
      <c r="J1699" s="40" t="str">
        <f>HYPERLINK("https://stock.pstatic.net/stock-research/company/56/20260703_company_10064000.pdf","PDF")</f>
        <v>PDF</v>
      </c>
      <c r="K1699" s="12" t="s">
        <v>32653</v>
      </c>
      <c r="L1699" s="36">
        <v>0.70542635658914732</v>
      </c>
    </row>
    <row r="1700" spans="1:12" x14ac:dyDescent="0.45">
      <c r="A1700" s="12" t="s">
        <v>32627</v>
      </c>
      <c r="B1700" s="12" t="s">
        <v>760</v>
      </c>
      <c r="C1700" s="13" t="s">
        <v>761</v>
      </c>
      <c r="D1700" s="13" t="s">
        <v>23</v>
      </c>
      <c r="E1700" s="12" t="s">
        <v>16</v>
      </c>
      <c r="F1700" s="14">
        <v>310000</v>
      </c>
      <c r="G1700" s="14">
        <v>227000</v>
      </c>
      <c r="H1700" s="13" t="s">
        <v>32654</v>
      </c>
      <c r="I1700" s="40" t="s">
        <v>18</v>
      </c>
      <c r="J1700" s="40" t="str">
        <f>HYPERLINK("https://stock.pstatic.net/stock-research/company/21/20260703_company_868825000.pdf","PDF")</f>
        <v>PDF</v>
      </c>
      <c r="K1700" s="12" t="s">
        <v>32655</v>
      </c>
      <c r="L1700" s="36">
        <v>0.3656387665198238</v>
      </c>
    </row>
    <row r="1701" spans="1:12" x14ac:dyDescent="0.45">
      <c r="A1701" s="12" t="s">
        <v>32627</v>
      </c>
      <c r="B1701" s="12" t="s">
        <v>13</v>
      </c>
      <c r="C1701" s="13" t="s">
        <v>14</v>
      </c>
      <c r="D1701" s="13" t="s">
        <v>34</v>
      </c>
      <c r="E1701" s="12" t="s">
        <v>35</v>
      </c>
      <c r="F1701" s="14">
        <v>480000</v>
      </c>
      <c r="G1701" s="14">
        <v>286000</v>
      </c>
      <c r="H1701" s="13" t="s">
        <v>32656</v>
      </c>
      <c r="I1701" s="40" t="s">
        <v>18</v>
      </c>
      <c r="J1701" s="40" t="str">
        <f>HYPERLINK("https://stock.pstatic.net/stock-research/company/61/20260703_company_762170000.pdf","PDF")</f>
        <v>PDF</v>
      </c>
      <c r="K1701" s="12" t="s">
        <v>32657</v>
      </c>
      <c r="L1701" s="36">
        <v>0.67832167832167833</v>
      </c>
    </row>
    <row r="1702" spans="1:12" x14ac:dyDescent="0.45">
      <c r="A1702" s="12" t="s">
        <v>32627</v>
      </c>
      <c r="B1702" s="12" t="s">
        <v>3813</v>
      </c>
      <c r="C1702" s="13" t="s">
        <v>3814</v>
      </c>
      <c r="D1702" s="13" t="s">
        <v>23</v>
      </c>
      <c r="E1702" s="12" t="s">
        <v>16</v>
      </c>
      <c r="F1702" s="14">
        <v>18000</v>
      </c>
      <c r="G1702" s="14">
        <v>10980</v>
      </c>
      <c r="H1702" s="13" t="s">
        <v>8837</v>
      </c>
      <c r="I1702" s="40" t="s">
        <v>18</v>
      </c>
      <c r="J1702" s="40" t="str">
        <f>HYPERLINK("https://stock.pstatic.net/stock-research/company/21/20260703_company_12105000.pdf","PDF")</f>
        <v>PDF</v>
      </c>
      <c r="K1702" s="12" t="s">
        <v>32658</v>
      </c>
      <c r="L1702" s="36">
        <v>0.63934426229508201</v>
      </c>
    </row>
    <row r="1703" spans="1:12" x14ac:dyDescent="0.45">
      <c r="A1703" s="12" t="s">
        <v>32627</v>
      </c>
      <c r="B1703" s="12" t="s">
        <v>72</v>
      </c>
      <c r="C1703" s="13" t="s">
        <v>73</v>
      </c>
      <c r="D1703" s="13" t="s">
        <v>179</v>
      </c>
      <c r="E1703" s="12" t="s">
        <v>16</v>
      </c>
      <c r="F1703" s="14">
        <v>590000</v>
      </c>
      <c r="G1703" s="14">
        <v>406500</v>
      </c>
      <c r="H1703" s="13" t="s">
        <v>32659</v>
      </c>
      <c r="I1703" s="40" t="s">
        <v>18</v>
      </c>
      <c r="J1703" s="40" t="str">
        <f>HYPERLINK("https://stock.pstatic.net/stock-research/company/64/20260703_company_294867000.pdf","PDF")</f>
        <v>PDF</v>
      </c>
      <c r="K1703" s="12" t="s">
        <v>32660</v>
      </c>
      <c r="L1703" s="36">
        <v>0.45141451414514139</v>
      </c>
    </row>
    <row r="1704" spans="1:12" x14ac:dyDescent="0.45">
      <c r="A1704" s="12" t="s">
        <v>32627</v>
      </c>
      <c r="B1704" s="12" t="s">
        <v>585</v>
      </c>
      <c r="C1704" s="13" t="s">
        <v>586</v>
      </c>
      <c r="D1704" s="13" t="s">
        <v>53</v>
      </c>
      <c r="E1704" s="12" t="s">
        <v>16</v>
      </c>
      <c r="F1704" s="14">
        <v>110000</v>
      </c>
      <c r="G1704" s="14">
        <v>55200</v>
      </c>
      <c r="H1704" s="13" t="s">
        <v>32661</v>
      </c>
      <c r="I1704" s="40" t="s">
        <v>18</v>
      </c>
      <c r="J1704" s="40" t="str">
        <f>HYPERLINK("https://stock.pstatic.net/stock-research/company/40/20260703_company_488547000.pdf","PDF")</f>
        <v>PDF</v>
      </c>
      <c r="K1704" s="12" t="s">
        <v>32662</v>
      </c>
      <c r="L1704" s="36">
        <v>0.99275362318840576</v>
      </c>
    </row>
    <row r="1705" spans="1:12" x14ac:dyDescent="0.45">
      <c r="A1705" s="12" t="s">
        <v>32627</v>
      </c>
      <c r="B1705" s="12" t="s">
        <v>4041</v>
      </c>
      <c r="C1705" s="13" t="s">
        <v>4042</v>
      </c>
      <c r="D1705" s="13" t="s">
        <v>124</v>
      </c>
      <c r="E1705" s="12" t="s">
        <v>50</v>
      </c>
      <c r="F1705" s="13"/>
      <c r="G1705" s="13"/>
      <c r="H1705" s="13" t="s">
        <v>32663</v>
      </c>
      <c r="I1705" s="40" t="s">
        <v>18</v>
      </c>
      <c r="J1705" s="40" t="str">
        <f>HYPERLINK("https://stock.pstatic.net/stock-research/company/74/20260703_company_188418000.pdf","PDF")</f>
        <v>PDF</v>
      </c>
      <c r="K1705" s="12" t="s">
        <v>32664</v>
      </c>
      <c r="L1705" s="12"/>
    </row>
    <row r="1706" spans="1:12" x14ac:dyDescent="0.45">
      <c r="A1706" s="12" t="s">
        <v>32627</v>
      </c>
      <c r="B1706" s="12" t="s">
        <v>772</v>
      </c>
      <c r="C1706" s="13" t="s">
        <v>773</v>
      </c>
      <c r="D1706" s="13" t="s">
        <v>124</v>
      </c>
      <c r="E1706" s="12" t="s">
        <v>50</v>
      </c>
      <c r="F1706" s="13"/>
      <c r="G1706" s="13"/>
      <c r="H1706" s="13" t="s">
        <v>32665</v>
      </c>
      <c r="I1706" s="40" t="s">
        <v>18</v>
      </c>
      <c r="J1706" s="40" t="str">
        <f>HYPERLINK("https://stock.pstatic.net/stock-research/company/74/20260703_company_110414000.pdf","PDF")</f>
        <v>PDF</v>
      </c>
      <c r="K1706" s="12" t="s">
        <v>32666</v>
      </c>
      <c r="L1706" s="12"/>
    </row>
    <row r="1707" spans="1:12" x14ac:dyDescent="0.45">
      <c r="A1707" s="12" t="s">
        <v>32627</v>
      </c>
      <c r="B1707" s="12" t="s">
        <v>32667</v>
      </c>
      <c r="C1707" s="13" t="s">
        <v>32668</v>
      </c>
      <c r="D1707" s="13" t="s">
        <v>207</v>
      </c>
      <c r="E1707" s="12" t="s">
        <v>50</v>
      </c>
      <c r="F1707" s="13"/>
      <c r="G1707" s="13"/>
      <c r="H1707" s="13" t="s">
        <v>32669</v>
      </c>
      <c r="I1707" s="40" t="s">
        <v>18</v>
      </c>
      <c r="J1707" s="40" t="str">
        <f>HYPERLINK("https://stock.pstatic.net/stock-research/company/75/20260703_company_858695000.pdf","PDF")</f>
        <v>PDF</v>
      </c>
      <c r="K1707" s="12" t="s">
        <v>32670</v>
      </c>
      <c r="L1707" s="12"/>
    </row>
    <row r="1708" spans="1:12" x14ac:dyDescent="0.45">
      <c r="A1708" s="12" t="s">
        <v>32627</v>
      </c>
      <c r="B1708" s="12" t="s">
        <v>32671</v>
      </c>
      <c r="C1708" s="13" t="s">
        <v>32672</v>
      </c>
      <c r="D1708" s="13" t="s">
        <v>207</v>
      </c>
      <c r="E1708" s="12" t="s">
        <v>50</v>
      </c>
      <c r="F1708" s="13"/>
      <c r="G1708" s="13"/>
      <c r="H1708" s="13" t="s">
        <v>32673</v>
      </c>
      <c r="I1708" s="40" t="s">
        <v>18</v>
      </c>
      <c r="J1708" s="40" t="str">
        <f>HYPERLINK("https://stock.pstatic.net/stock-research/company/75/20260703_company_77714000.pdf","PDF")</f>
        <v>PDF</v>
      </c>
      <c r="K1708" s="12" t="s">
        <v>32674</v>
      </c>
      <c r="L1708" s="12"/>
    </row>
    <row r="1709" spans="1:12" x14ac:dyDescent="0.45">
      <c r="A1709" s="12" t="s">
        <v>32627</v>
      </c>
      <c r="B1709" s="12" t="s">
        <v>32675</v>
      </c>
      <c r="C1709" s="13" t="s">
        <v>32676</v>
      </c>
      <c r="D1709" s="13" t="s">
        <v>207</v>
      </c>
      <c r="E1709" s="12" t="s">
        <v>50</v>
      </c>
      <c r="F1709" s="13"/>
      <c r="G1709" s="13"/>
      <c r="H1709" s="13" t="s">
        <v>32677</v>
      </c>
      <c r="I1709" s="40" t="s">
        <v>18</v>
      </c>
      <c r="J1709" s="40" t="str">
        <f>HYPERLINK("https://stock.pstatic.net/stock-research/company/75/20260703_company_205765000.pdf","PDF")</f>
        <v>PDF</v>
      </c>
      <c r="K1709" s="12" t="s">
        <v>32678</v>
      </c>
      <c r="L1709" s="12"/>
    </row>
    <row r="1710" spans="1:12" x14ac:dyDescent="0.45">
      <c r="A1710" s="12" t="s">
        <v>32627</v>
      </c>
      <c r="B1710" s="12" t="s">
        <v>32679</v>
      </c>
      <c r="C1710" s="13" t="s">
        <v>32680</v>
      </c>
      <c r="D1710" s="13" t="s">
        <v>207</v>
      </c>
      <c r="E1710" s="12" t="s">
        <v>50</v>
      </c>
      <c r="F1710" s="13"/>
      <c r="G1710" s="13"/>
      <c r="H1710" s="13" t="s">
        <v>32681</v>
      </c>
      <c r="I1710" s="40" t="s">
        <v>18</v>
      </c>
      <c r="J1710" s="40" t="str">
        <f>HYPERLINK("https://stock.pstatic.net/stock-research/company/75/20260703_company_91149000.pdf","PDF")</f>
        <v>PDF</v>
      </c>
      <c r="K1710" s="12" t="s">
        <v>32682</v>
      </c>
      <c r="L1710" s="12"/>
    </row>
    <row r="1711" spans="1:12" x14ac:dyDescent="0.45">
      <c r="A1711" s="12" t="s">
        <v>32556</v>
      </c>
      <c r="B1711" s="12" t="s">
        <v>2191</v>
      </c>
      <c r="C1711" s="13" t="s">
        <v>2192</v>
      </c>
      <c r="D1711" s="13" t="s">
        <v>65</v>
      </c>
      <c r="E1711" s="12" t="s">
        <v>50</v>
      </c>
      <c r="F1711" s="13"/>
      <c r="G1711" s="14">
        <v>80600</v>
      </c>
      <c r="H1711" s="13" t="s">
        <v>32557</v>
      </c>
      <c r="I1711" s="40" t="s">
        <v>18</v>
      </c>
      <c r="J1711" s="40" t="str">
        <f>HYPERLINK("https://stock.pstatic.net/stock-research/company/57/20260702_company_9617000.pdf","PDF")</f>
        <v>PDF</v>
      </c>
      <c r="K1711" s="12" t="s">
        <v>32558</v>
      </c>
      <c r="L1711" s="12"/>
    </row>
    <row r="1712" spans="1:12" x14ac:dyDescent="0.45">
      <c r="A1712" s="12" t="s">
        <v>32556</v>
      </c>
      <c r="B1712" s="12" t="s">
        <v>836</v>
      </c>
      <c r="C1712" s="13" t="s">
        <v>837</v>
      </c>
      <c r="D1712" s="13" t="s">
        <v>158</v>
      </c>
      <c r="E1712" s="12" t="s">
        <v>35</v>
      </c>
      <c r="F1712" s="14">
        <v>2100000</v>
      </c>
      <c r="G1712" s="14">
        <v>1757000</v>
      </c>
      <c r="H1712" s="13" t="s">
        <v>32559</v>
      </c>
      <c r="I1712" s="40" t="s">
        <v>18</v>
      </c>
      <c r="J1712" s="40" t="str">
        <f>HYPERLINK("https://stock.pstatic.net/stock-research/company/18/20260702_company_758613000.pdf","PDF")</f>
        <v>PDF</v>
      </c>
      <c r="K1712" s="12" t="s">
        <v>32560</v>
      </c>
      <c r="L1712" s="36">
        <v>0.19521912350597609</v>
      </c>
    </row>
    <row r="1713" spans="1:12" x14ac:dyDescent="0.45">
      <c r="A1713" s="12" t="s">
        <v>32556</v>
      </c>
      <c r="B1713" s="12" t="s">
        <v>32</v>
      </c>
      <c r="C1713" s="13" t="s">
        <v>33</v>
      </c>
      <c r="D1713" s="13" t="s">
        <v>23</v>
      </c>
      <c r="E1713" s="12" t="s">
        <v>16</v>
      </c>
      <c r="F1713" s="14">
        <v>3000000</v>
      </c>
      <c r="G1713" s="14">
        <v>2205000</v>
      </c>
      <c r="H1713" s="13" t="s">
        <v>32561</v>
      </c>
      <c r="I1713" s="40" t="s">
        <v>18</v>
      </c>
      <c r="J1713" s="40" t="str">
        <f>HYPERLINK("https://stock.pstatic.net/stock-research/company/21/20260702_company_24941000.pdf","PDF")</f>
        <v>PDF</v>
      </c>
      <c r="K1713" s="12" t="s">
        <v>32562</v>
      </c>
      <c r="L1713" s="36">
        <v>0.36054421768707479</v>
      </c>
    </row>
    <row r="1714" spans="1:12" x14ac:dyDescent="0.45">
      <c r="A1714" s="12" t="s">
        <v>32556</v>
      </c>
      <c r="B1714" s="12" t="s">
        <v>3831</v>
      </c>
      <c r="C1714" s="13" t="s">
        <v>3832</v>
      </c>
      <c r="D1714" s="13" t="s">
        <v>23</v>
      </c>
      <c r="E1714" s="12" t="s">
        <v>16</v>
      </c>
      <c r="F1714" s="14">
        <v>77000</v>
      </c>
      <c r="G1714" s="14">
        <v>48100</v>
      </c>
      <c r="H1714" s="13" t="s">
        <v>32563</v>
      </c>
      <c r="I1714" s="40" t="s">
        <v>18</v>
      </c>
      <c r="J1714" s="40" t="str">
        <f>HYPERLINK("https://stock.pstatic.net/stock-research/company/21/20260702_company_363452000.pdf","PDF")</f>
        <v>PDF</v>
      </c>
      <c r="K1714" s="12" t="s">
        <v>32564</v>
      </c>
      <c r="L1714" s="36">
        <v>0.60083160083160081</v>
      </c>
    </row>
    <row r="1715" spans="1:12" x14ac:dyDescent="0.45">
      <c r="A1715" s="12" t="s">
        <v>32556</v>
      </c>
      <c r="B1715" s="12" t="s">
        <v>577</v>
      </c>
      <c r="C1715" s="13" t="s">
        <v>578</v>
      </c>
      <c r="D1715" s="13" t="s">
        <v>23</v>
      </c>
      <c r="E1715" s="12" t="s">
        <v>16</v>
      </c>
      <c r="F1715" s="14">
        <v>790000</v>
      </c>
      <c r="G1715" s="14">
        <v>494000</v>
      </c>
      <c r="H1715" s="13" t="s">
        <v>32565</v>
      </c>
      <c r="I1715" s="40" t="s">
        <v>18</v>
      </c>
      <c r="J1715" s="40" t="str">
        <f>HYPERLINK("https://stock.pstatic.net/stock-research/company/21/20260702_company_101349000.pdf","PDF")</f>
        <v>PDF</v>
      </c>
      <c r="K1715" s="12" t="s">
        <v>32566</v>
      </c>
      <c r="L1715" s="36">
        <v>0.59919028340080971</v>
      </c>
    </row>
    <row r="1716" spans="1:12" x14ac:dyDescent="0.45">
      <c r="A1716" s="12" t="s">
        <v>32556</v>
      </c>
      <c r="B1716" s="12" t="s">
        <v>334</v>
      </c>
      <c r="C1716" s="13" t="s">
        <v>335</v>
      </c>
      <c r="D1716" s="13" t="s">
        <v>53</v>
      </c>
      <c r="E1716" s="12" t="s">
        <v>16</v>
      </c>
      <c r="F1716" s="14">
        <v>4000000</v>
      </c>
      <c r="G1716" s="14">
        <v>2560000</v>
      </c>
      <c r="H1716" s="13" t="s">
        <v>32567</v>
      </c>
      <c r="I1716" s="40" t="s">
        <v>18</v>
      </c>
      <c r="J1716" s="40" t="str">
        <f>HYPERLINK("https://stock.pstatic.net/stock-research/company/40/20260702_company_710748000.pdf","PDF")</f>
        <v>PDF</v>
      </c>
      <c r="K1716" s="12" t="s">
        <v>32568</v>
      </c>
      <c r="L1716" s="36">
        <v>0.5625</v>
      </c>
    </row>
    <row r="1717" spans="1:12" x14ac:dyDescent="0.45">
      <c r="A1717" s="12" t="s">
        <v>32556</v>
      </c>
      <c r="B1717" s="12" t="s">
        <v>8114</v>
      </c>
      <c r="C1717" s="13" t="s">
        <v>8115</v>
      </c>
      <c r="D1717" s="13" t="s">
        <v>124</v>
      </c>
      <c r="E1717" s="12" t="s">
        <v>50</v>
      </c>
      <c r="F1717" s="13"/>
      <c r="G1717" s="13"/>
      <c r="H1717" s="13" t="s">
        <v>32569</v>
      </c>
      <c r="I1717" s="40" t="s">
        <v>18</v>
      </c>
      <c r="J1717" s="40" t="str">
        <f>HYPERLINK("https://stock.pstatic.net/stock-research/company/74/20260702_company_179539000.pdf","PDF")</f>
        <v>PDF</v>
      </c>
      <c r="K1717" s="12" t="s">
        <v>32570</v>
      </c>
      <c r="L1717" s="12"/>
    </row>
    <row r="1718" spans="1:12" x14ac:dyDescent="0.45">
      <c r="A1718" s="12" t="s">
        <v>32390</v>
      </c>
      <c r="B1718" s="12" t="s">
        <v>95</v>
      </c>
      <c r="C1718" s="13" t="s">
        <v>31</v>
      </c>
      <c r="D1718" s="13" t="s">
        <v>57</v>
      </c>
      <c r="E1718" s="12" t="s">
        <v>35</v>
      </c>
      <c r="F1718" s="14">
        <v>65000</v>
      </c>
      <c r="G1718" s="14">
        <v>47600</v>
      </c>
      <c r="H1718" s="13" t="s">
        <v>32571</v>
      </c>
      <c r="I1718" s="40" t="s">
        <v>18</v>
      </c>
      <c r="J1718" s="40" t="str">
        <f>HYPERLINK("https://stock.pstatic.net/stock-research/company/16/20260701_company_211959000.pdf","PDF")</f>
        <v>PDF</v>
      </c>
      <c r="K1718" s="12" t="s">
        <v>32572</v>
      </c>
      <c r="L1718" s="36">
        <v>0.36554621848739488</v>
      </c>
    </row>
    <row r="1719" spans="1:12" x14ac:dyDescent="0.45">
      <c r="A1719" s="12" t="s">
        <v>32390</v>
      </c>
      <c r="B1719" s="12" t="s">
        <v>42</v>
      </c>
      <c r="C1719" s="13" t="s">
        <v>43</v>
      </c>
      <c r="D1719" s="13" t="s">
        <v>57</v>
      </c>
      <c r="E1719" s="12" t="s">
        <v>35</v>
      </c>
      <c r="F1719" s="14">
        <v>300000</v>
      </c>
      <c r="G1719" s="14">
        <v>199000</v>
      </c>
      <c r="H1719" s="13" t="s">
        <v>32573</v>
      </c>
      <c r="I1719" s="40" t="s">
        <v>18</v>
      </c>
      <c r="J1719" s="40" t="str">
        <f>HYPERLINK("https://stock.pstatic.net/stock-research/company/16/20260701_company_742704000.pdf","PDF")</f>
        <v>PDF</v>
      </c>
      <c r="K1719" s="12" t="s">
        <v>32574</v>
      </c>
      <c r="L1719" s="36">
        <v>0.50753768844221103</v>
      </c>
    </row>
    <row r="1720" spans="1:12" x14ac:dyDescent="0.45">
      <c r="A1720" s="12" t="s">
        <v>32390</v>
      </c>
      <c r="B1720" s="12" t="s">
        <v>3101</v>
      </c>
      <c r="C1720" s="13" t="s">
        <v>3102</v>
      </c>
      <c r="D1720" s="13" t="s">
        <v>276</v>
      </c>
      <c r="E1720" s="12" t="s">
        <v>16</v>
      </c>
      <c r="F1720" s="14">
        <v>300000</v>
      </c>
      <c r="G1720" s="14">
        <v>142500</v>
      </c>
      <c r="H1720" s="13" t="s">
        <v>32575</v>
      </c>
      <c r="I1720" s="40" t="s">
        <v>18</v>
      </c>
      <c r="J1720" s="40" t="str">
        <f>HYPERLINK("https://stock.pstatic.net/stock-research/company/66/20260701_company_710008000.pdf","PDF")</f>
        <v>PDF</v>
      </c>
      <c r="K1720" s="12" t="s">
        <v>32576</v>
      </c>
      <c r="L1720" s="36">
        <v>1.1052631578947369</v>
      </c>
    </row>
    <row r="1721" spans="1:12" x14ac:dyDescent="0.45">
      <c r="A1721" s="12" t="s">
        <v>32390</v>
      </c>
      <c r="B1721" s="12" t="s">
        <v>860</v>
      </c>
      <c r="C1721" s="13" t="s">
        <v>861</v>
      </c>
      <c r="D1721" s="13" t="s">
        <v>276</v>
      </c>
      <c r="E1721" s="12" t="s">
        <v>16</v>
      </c>
      <c r="F1721" s="14">
        <v>177000</v>
      </c>
      <c r="G1721" s="14">
        <v>82900</v>
      </c>
      <c r="H1721" s="13" t="s">
        <v>32577</v>
      </c>
      <c r="I1721" s="40" t="s">
        <v>18</v>
      </c>
      <c r="J1721" s="40" t="str">
        <f>HYPERLINK("https://stock.pstatic.net/stock-research/company/66/20260701_company_784053000.pdf","PDF")</f>
        <v>PDF</v>
      </c>
      <c r="K1721" s="12" t="s">
        <v>32578</v>
      </c>
      <c r="L1721" s="36">
        <v>1.1351025331724971</v>
      </c>
    </row>
    <row r="1722" spans="1:12" x14ac:dyDescent="0.45">
      <c r="A1722" s="12" t="s">
        <v>32390</v>
      </c>
      <c r="B1722" s="12" t="s">
        <v>4440</v>
      </c>
      <c r="C1722" s="13" t="s">
        <v>4441</v>
      </c>
      <c r="D1722" s="13" t="s">
        <v>276</v>
      </c>
      <c r="E1722" s="12" t="s">
        <v>16</v>
      </c>
      <c r="F1722" s="14">
        <v>41000</v>
      </c>
      <c r="G1722" s="14">
        <v>22200</v>
      </c>
      <c r="H1722" s="13" t="s">
        <v>32579</v>
      </c>
      <c r="I1722" s="40" t="s">
        <v>18</v>
      </c>
      <c r="J1722" s="40" t="str">
        <f>HYPERLINK("https://stock.pstatic.net/stock-research/company/66/20260701_company_134769000.pdf","PDF")</f>
        <v>PDF</v>
      </c>
      <c r="K1722" s="12" t="s">
        <v>32580</v>
      </c>
      <c r="L1722" s="36">
        <v>0.84684684684684686</v>
      </c>
    </row>
    <row r="1723" spans="1:12" x14ac:dyDescent="0.45">
      <c r="A1723" s="12" t="s">
        <v>32390</v>
      </c>
      <c r="B1723" s="12" t="s">
        <v>334</v>
      </c>
      <c r="C1723" s="13" t="s">
        <v>335</v>
      </c>
      <c r="D1723" s="13" t="s">
        <v>60</v>
      </c>
      <c r="E1723" s="12" t="s">
        <v>35</v>
      </c>
      <c r="F1723" s="14">
        <v>4000000</v>
      </c>
      <c r="G1723" s="14">
        <v>2650000</v>
      </c>
      <c r="H1723" s="13" t="s">
        <v>32581</v>
      </c>
      <c r="I1723" s="40" t="s">
        <v>18</v>
      </c>
      <c r="J1723" s="40" t="str">
        <f>HYPERLINK("https://stock.pstatic.net/stock-research/company/62/20260701_company_285972000.pdf","PDF")</f>
        <v>PDF</v>
      </c>
      <c r="K1723" s="12" t="s">
        <v>32582</v>
      </c>
      <c r="L1723" s="36">
        <v>0.50943396226415094</v>
      </c>
    </row>
    <row r="1724" spans="1:12" x14ac:dyDescent="0.45">
      <c r="A1724" s="12" t="s">
        <v>32390</v>
      </c>
      <c r="B1724" s="12" t="s">
        <v>13</v>
      </c>
      <c r="C1724" s="13" t="s">
        <v>14</v>
      </c>
      <c r="D1724" s="13" t="s">
        <v>60</v>
      </c>
      <c r="E1724" s="12" t="s">
        <v>35</v>
      </c>
      <c r="F1724" s="14">
        <v>500000</v>
      </c>
      <c r="G1724" s="14">
        <v>334000</v>
      </c>
      <c r="H1724" s="13" t="s">
        <v>32583</v>
      </c>
      <c r="I1724" s="40" t="s">
        <v>18</v>
      </c>
      <c r="J1724" s="40" t="str">
        <f>HYPERLINK("https://stock.pstatic.net/stock-research/company/62/20260701_company_957350000.pdf","PDF")</f>
        <v>PDF</v>
      </c>
      <c r="K1724" s="12" t="s">
        <v>32584</v>
      </c>
      <c r="L1724" s="36">
        <v>0.49700598802395213</v>
      </c>
    </row>
    <row r="1725" spans="1:12" x14ac:dyDescent="0.45">
      <c r="A1725" s="12" t="s">
        <v>32390</v>
      </c>
      <c r="B1725" s="12" t="s">
        <v>756</v>
      </c>
      <c r="C1725" s="13" t="s">
        <v>757</v>
      </c>
      <c r="D1725" s="13" t="s">
        <v>60</v>
      </c>
      <c r="E1725" s="12" t="s">
        <v>35</v>
      </c>
      <c r="F1725" s="14">
        <v>130000</v>
      </c>
      <c r="G1725" s="14">
        <v>99500</v>
      </c>
      <c r="H1725" s="13" t="s">
        <v>32585</v>
      </c>
      <c r="I1725" s="40" t="s">
        <v>18</v>
      </c>
      <c r="J1725" s="40" t="str">
        <f>HYPERLINK("https://stock.pstatic.net/stock-research/company/62/20260701_company_532643000.pdf","PDF")</f>
        <v>PDF</v>
      </c>
      <c r="K1725" s="12" t="s">
        <v>32586</v>
      </c>
      <c r="L1725" s="36">
        <v>0.30653266331658291</v>
      </c>
    </row>
    <row r="1726" spans="1:12" x14ac:dyDescent="0.45">
      <c r="A1726" s="12" t="s">
        <v>32390</v>
      </c>
      <c r="B1726" s="12" t="s">
        <v>356</v>
      </c>
      <c r="C1726" s="13" t="s">
        <v>357</v>
      </c>
      <c r="D1726" s="13" t="s">
        <v>60</v>
      </c>
      <c r="E1726" s="12" t="s">
        <v>35</v>
      </c>
      <c r="F1726" s="14">
        <v>120000</v>
      </c>
      <c r="G1726" s="14">
        <v>82300</v>
      </c>
      <c r="H1726" s="13" t="s">
        <v>32587</v>
      </c>
      <c r="I1726" s="40" t="s">
        <v>18</v>
      </c>
      <c r="J1726" s="40" t="str">
        <f>HYPERLINK("https://stock.pstatic.net/stock-research/company/62/20260701_company_428283000.pdf","PDF")</f>
        <v>PDF</v>
      </c>
      <c r="K1726" s="12" t="s">
        <v>32588</v>
      </c>
      <c r="L1726" s="36">
        <v>0.45808019441069259</v>
      </c>
    </row>
    <row r="1727" spans="1:12" x14ac:dyDescent="0.45">
      <c r="A1727" s="12" t="s">
        <v>32390</v>
      </c>
      <c r="B1727" s="12" t="s">
        <v>489</v>
      </c>
      <c r="C1727" s="13" t="s">
        <v>490</v>
      </c>
      <c r="D1727" s="13" t="s">
        <v>60</v>
      </c>
      <c r="E1727" s="12" t="s">
        <v>35</v>
      </c>
      <c r="F1727" s="14">
        <v>100000</v>
      </c>
      <c r="G1727" s="14">
        <v>70500</v>
      </c>
      <c r="H1727" s="13" t="s">
        <v>32589</v>
      </c>
      <c r="I1727" s="40" t="s">
        <v>18</v>
      </c>
      <c r="J1727" s="40" t="str">
        <f>HYPERLINK("https://stock.pstatic.net/stock-research/company/62/20260701_company_678188000.pdf","PDF")</f>
        <v>PDF</v>
      </c>
      <c r="K1727" s="12" t="s">
        <v>32590</v>
      </c>
      <c r="L1727" s="36">
        <v>0.41843971631205668</v>
      </c>
    </row>
    <row r="1728" spans="1:12" x14ac:dyDescent="0.45">
      <c r="A1728" s="12" t="s">
        <v>32390</v>
      </c>
      <c r="B1728" s="12" t="s">
        <v>32</v>
      </c>
      <c r="C1728" s="13" t="s">
        <v>33</v>
      </c>
      <c r="D1728" s="13" t="s">
        <v>65</v>
      </c>
      <c r="E1728" s="12" t="s">
        <v>35</v>
      </c>
      <c r="F1728" s="14">
        <v>3000000</v>
      </c>
      <c r="G1728" s="14">
        <v>2184000</v>
      </c>
      <c r="H1728" s="13" t="s">
        <v>32591</v>
      </c>
      <c r="I1728" s="40" t="s">
        <v>18</v>
      </c>
      <c r="J1728" s="40" t="str">
        <f>HYPERLINK("https://stock.pstatic.net/stock-research/company/57/20260701_company_947746000.pdf","PDF")</f>
        <v>PDF</v>
      </c>
      <c r="K1728" s="12" t="s">
        <v>32592</v>
      </c>
      <c r="L1728" s="36">
        <v>0.37362637362637358</v>
      </c>
    </row>
    <row r="1729" spans="1:12" x14ac:dyDescent="0.45">
      <c r="A1729" s="12" t="s">
        <v>32390</v>
      </c>
      <c r="B1729" s="12" t="s">
        <v>42</v>
      </c>
      <c r="C1729" s="13" t="s">
        <v>43</v>
      </c>
      <c r="D1729" s="13" t="s">
        <v>65</v>
      </c>
      <c r="E1729" s="12" t="s">
        <v>35</v>
      </c>
      <c r="F1729" s="14">
        <v>400000</v>
      </c>
      <c r="G1729" s="14">
        <v>199000</v>
      </c>
      <c r="H1729" s="13" t="s">
        <v>32593</v>
      </c>
      <c r="I1729" s="40" t="s">
        <v>18</v>
      </c>
      <c r="J1729" s="40" t="str">
        <f>HYPERLINK("https://stock.pstatic.net/stock-research/company/57/20260701_company_899647000.pdf","PDF")</f>
        <v>PDF</v>
      </c>
      <c r="K1729" s="12" t="s">
        <v>32594</v>
      </c>
      <c r="L1729" s="36">
        <v>1.010050251256281</v>
      </c>
    </row>
    <row r="1730" spans="1:12" x14ac:dyDescent="0.45">
      <c r="A1730" s="12" t="s">
        <v>32390</v>
      </c>
      <c r="B1730" s="12" t="s">
        <v>450</v>
      </c>
      <c r="C1730" s="13" t="s">
        <v>451</v>
      </c>
      <c r="D1730" s="13" t="s">
        <v>65</v>
      </c>
      <c r="E1730" s="12" t="s">
        <v>50</v>
      </c>
      <c r="F1730" s="13"/>
      <c r="G1730" s="14">
        <v>229500</v>
      </c>
      <c r="H1730" s="13" t="s">
        <v>32595</v>
      </c>
      <c r="I1730" s="40" t="s">
        <v>18</v>
      </c>
      <c r="J1730" s="40" t="str">
        <f>HYPERLINK("https://stock.pstatic.net/stock-research/company/57/20260701_company_858787000.pdf","PDF")</f>
        <v>PDF</v>
      </c>
      <c r="K1730" s="12" t="s">
        <v>32596</v>
      </c>
      <c r="L1730" s="12"/>
    </row>
    <row r="1731" spans="1:12" x14ac:dyDescent="0.45">
      <c r="A1731" s="12" t="s">
        <v>32390</v>
      </c>
      <c r="B1731" s="12" t="s">
        <v>2956</v>
      </c>
      <c r="C1731" s="13" t="s">
        <v>2957</v>
      </c>
      <c r="D1731" s="13" t="s">
        <v>65</v>
      </c>
      <c r="E1731" s="12" t="s">
        <v>35</v>
      </c>
      <c r="F1731" s="14">
        <v>52000</v>
      </c>
      <c r="G1731" s="14">
        <v>25100</v>
      </c>
      <c r="H1731" s="13" t="s">
        <v>32597</v>
      </c>
      <c r="I1731" s="40" t="s">
        <v>18</v>
      </c>
      <c r="J1731" s="40" t="str">
        <f>HYPERLINK("https://stock.pstatic.net/stock-research/company/57/20260701_company_96901000.pdf","PDF")</f>
        <v>PDF</v>
      </c>
      <c r="K1731" s="12" t="s">
        <v>32598</v>
      </c>
      <c r="L1731" s="36">
        <v>1.0717131474103589</v>
      </c>
    </row>
    <row r="1732" spans="1:12" x14ac:dyDescent="0.45">
      <c r="A1732" s="12" t="s">
        <v>32390</v>
      </c>
      <c r="B1732" s="12" t="s">
        <v>3373</v>
      </c>
      <c r="C1732" s="13" t="s">
        <v>3374</v>
      </c>
      <c r="D1732" s="13" t="s">
        <v>158</v>
      </c>
      <c r="E1732" s="12" t="s">
        <v>35</v>
      </c>
      <c r="F1732" s="14">
        <v>225000</v>
      </c>
      <c r="G1732" s="14">
        <v>159000</v>
      </c>
      <c r="H1732" s="13" t="s">
        <v>32599</v>
      </c>
      <c r="I1732" s="40" t="s">
        <v>18</v>
      </c>
      <c r="J1732" s="40" t="str">
        <f>HYPERLINK("https://stock.pstatic.net/stock-research/company/18/20260701_company_112655000.pdf","PDF")</f>
        <v>PDF</v>
      </c>
      <c r="K1732" s="12" t="s">
        <v>32600</v>
      </c>
      <c r="L1732" s="36">
        <v>0.41509433962264147</v>
      </c>
    </row>
    <row r="1733" spans="1:12" x14ac:dyDescent="0.45">
      <c r="A1733" s="12" t="s">
        <v>32390</v>
      </c>
      <c r="B1733" s="12" t="s">
        <v>32291</v>
      </c>
      <c r="C1733" s="13" t="s">
        <v>32292</v>
      </c>
      <c r="D1733" s="13" t="s">
        <v>15</v>
      </c>
      <c r="E1733" s="12" t="s">
        <v>50</v>
      </c>
      <c r="F1733" s="13"/>
      <c r="G1733" s="14">
        <v>59200</v>
      </c>
      <c r="H1733" s="13" t="s">
        <v>32601</v>
      </c>
      <c r="I1733" s="40" t="s">
        <v>18</v>
      </c>
      <c r="J1733" s="40" t="str">
        <f>HYPERLINK("https://stock.pstatic.net/stock-research/company/56/20260701_company_62160000.pdf","PDF")</f>
        <v>PDF</v>
      </c>
      <c r="K1733" s="12" t="s">
        <v>32602</v>
      </c>
      <c r="L1733" s="12"/>
    </row>
    <row r="1734" spans="1:12" x14ac:dyDescent="0.45">
      <c r="A1734" s="12" t="s">
        <v>32390</v>
      </c>
      <c r="B1734" s="12" t="s">
        <v>724</v>
      </c>
      <c r="C1734" s="13" t="s">
        <v>725</v>
      </c>
      <c r="D1734" s="13" t="s">
        <v>83</v>
      </c>
      <c r="E1734" s="12" t="s">
        <v>35</v>
      </c>
      <c r="F1734" s="14">
        <v>78000</v>
      </c>
      <c r="G1734" s="14">
        <v>41400</v>
      </c>
      <c r="H1734" s="13" t="s">
        <v>32603</v>
      </c>
      <c r="I1734" s="40" t="s">
        <v>18</v>
      </c>
      <c r="J1734" s="40" t="str">
        <f>HYPERLINK("https://stock.pstatic.net/stock-research/company/15/20260701_company_975234000.pdf","PDF")</f>
        <v>PDF</v>
      </c>
      <c r="K1734" s="12" t="s">
        <v>32604</v>
      </c>
      <c r="L1734" s="36">
        <v>0.88405797101449279</v>
      </c>
    </row>
    <row r="1735" spans="1:12" x14ac:dyDescent="0.45">
      <c r="A1735" s="12" t="s">
        <v>32390</v>
      </c>
      <c r="B1735" s="12" t="s">
        <v>3488</v>
      </c>
      <c r="C1735" s="13" t="s">
        <v>3489</v>
      </c>
      <c r="D1735" s="13" t="s">
        <v>83</v>
      </c>
      <c r="E1735" s="12" t="s">
        <v>35</v>
      </c>
      <c r="F1735" s="14">
        <v>43000</v>
      </c>
      <c r="G1735" s="14">
        <v>29100</v>
      </c>
      <c r="H1735" s="13" t="s">
        <v>32605</v>
      </c>
      <c r="I1735" s="40" t="s">
        <v>18</v>
      </c>
      <c r="J1735" s="40" t="str">
        <f>HYPERLINK("https://stock.pstatic.net/stock-research/company/15/20260701_company_444592000.pdf","PDF")</f>
        <v>PDF</v>
      </c>
      <c r="K1735" s="12" t="s">
        <v>32606</v>
      </c>
      <c r="L1735" s="36">
        <v>0.47766323024054991</v>
      </c>
    </row>
    <row r="1736" spans="1:12" x14ac:dyDescent="0.45">
      <c r="A1736" s="12" t="s">
        <v>32390</v>
      </c>
      <c r="B1736" s="12" t="s">
        <v>3373</v>
      </c>
      <c r="C1736" s="13" t="s">
        <v>3374</v>
      </c>
      <c r="D1736" s="13" t="s">
        <v>83</v>
      </c>
      <c r="E1736" s="12" t="s">
        <v>35</v>
      </c>
      <c r="F1736" s="14">
        <v>190000</v>
      </c>
      <c r="G1736" s="14">
        <v>153700</v>
      </c>
      <c r="H1736" s="13" t="s">
        <v>32607</v>
      </c>
      <c r="I1736" s="40" t="s">
        <v>18</v>
      </c>
      <c r="J1736" s="40" t="str">
        <f>HYPERLINK("https://stock.pstatic.net/stock-research/company/15/20260701_company_645359000.pdf","PDF")</f>
        <v>PDF</v>
      </c>
      <c r="K1736" s="12" t="s">
        <v>32608</v>
      </c>
      <c r="L1736" s="36">
        <v>0.23617436564736499</v>
      </c>
    </row>
    <row r="1737" spans="1:12" x14ac:dyDescent="0.45">
      <c r="A1737" s="12" t="s">
        <v>32390</v>
      </c>
      <c r="B1737" s="12" t="s">
        <v>110</v>
      </c>
      <c r="C1737" s="13" t="s">
        <v>111</v>
      </c>
      <c r="D1737" s="13" t="s">
        <v>83</v>
      </c>
      <c r="E1737" s="12" t="s">
        <v>35</v>
      </c>
      <c r="F1737" s="14">
        <v>170000</v>
      </c>
      <c r="G1737" s="14">
        <v>148700</v>
      </c>
      <c r="H1737" s="13" t="s">
        <v>32609</v>
      </c>
      <c r="I1737" s="40" t="s">
        <v>18</v>
      </c>
      <c r="J1737" s="40" t="str">
        <f>HYPERLINK("https://stock.pstatic.net/stock-research/company/15/20260701_company_233040000.pdf","PDF")</f>
        <v>PDF</v>
      </c>
      <c r="K1737" s="12" t="s">
        <v>32610</v>
      </c>
      <c r="L1737" s="36">
        <v>0.14324142568930731</v>
      </c>
    </row>
    <row r="1738" spans="1:12" x14ac:dyDescent="0.45">
      <c r="A1738" s="12" t="s">
        <v>32390</v>
      </c>
      <c r="B1738" s="12" t="s">
        <v>1278</v>
      </c>
      <c r="C1738" s="13" t="s">
        <v>1279</v>
      </c>
      <c r="D1738" s="13" t="s">
        <v>179</v>
      </c>
      <c r="E1738" s="12" t="s">
        <v>16</v>
      </c>
      <c r="F1738" s="14">
        <v>410000</v>
      </c>
      <c r="G1738" s="14">
        <v>221000</v>
      </c>
      <c r="H1738" s="13" t="s">
        <v>32611</v>
      </c>
      <c r="I1738" s="40" t="s">
        <v>18</v>
      </c>
      <c r="J1738" s="40" t="str">
        <f>HYPERLINK("https://stock.pstatic.net/stock-research/company/64/20260701_company_712923000.pdf","PDF")</f>
        <v>PDF</v>
      </c>
      <c r="K1738" s="12" t="s">
        <v>32612</v>
      </c>
      <c r="L1738" s="36">
        <v>0.85520361990950222</v>
      </c>
    </row>
    <row r="1739" spans="1:12" x14ac:dyDescent="0.45">
      <c r="A1739" s="12" t="s">
        <v>32390</v>
      </c>
      <c r="B1739" s="12" t="s">
        <v>3101</v>
      </c>
      <c r="C1739" s="13" t="s">
        <v>3102</v>
      </c>
      <c r="D1739" s="13" t="s">
        <v>23</v>
      </c>
      <c r="E1739" s="12" t="s">
        <v>50</v>
      </c>
      <c r="F1739" s="14">
        <v>230000</v>
      </c>
      <c r="G1739" s="14">
        <v>142500</v>
      </c>
      <c r="H1739" s="13" t="s">
        <v>32613</v>
      </c>
      <c r="I1739" s="40" t="s">
        <v>18</v>
      </c>
      <c r="J1739" s="40" t="str">
        <f>HYPERLINK("https://stock.pstatic.net/stock-research/company/21/20260701_company_756113000.pdf","PDF")</f>
        <v>PDF</v>
      </c>
      <c r="K1739" s="12" t="s">
        <v>32614</v>
      </c>
      <c r="L1739" s="36">
        <v>0.61403508771929827</v>
      </c>
    </row>
    <row r="1740" spans="1:12" x14ac:dyDescent="0.45">
      <c r="A1740" s="12" t="s">
        <v>32390</v>
      </c>
      <c r="B1740" s="12" t="s">
        <v>3101</v>
      </c>
      <c r="C1740" s="13" t="s">
        <v>3102</v>
      </c>
      <c r="D1740" s="13" t="s">
        <v>34</v>
      </c>
      <c r="E1740" s="12" t="s">
        <v>159</v>
      </c>
      <c r="F1740" s="13"/>
      <c r="G1740" s="14">
        <v>142500</v>
      </c>
      <c r="H1740" s="13" t="s">
        <v>32615</v>
      </c>
      <c r="I1740" s="40" t="s">
        <v>18</v>
      </c>
      <c r="J1740" s="40" t="str">
        <f>HYPERLINK("https://stock.pstatic.net/stock-research/company/61/20260701_company_646993000.pdf","PDF")</f>
        <v>PDF</v>
      </c>
      <c r="K1740" s="12" t="s">
        <v>32616</v>
      </c>
      <c r="L1740" s="12"/>
    </row>
    <row r="1741" spans="1:12" x14ac:dyDescent="0.45">
      <c r="A1741" s="12" t="s">
        <v>32390</v>
      </c>
      <c r="B1741" s="12" t="s">
        <v>32</v>
      </c>
      <c r="C1741" s="13" t="s">
        <v>33</v>
      </c>
      <c r="D1741" s="13" t="s">
        <v>34</v>
      </c>
      <c r="E1741" s="12" t="s">
        <v>35</v>
      </c>
      <c r="F1741" s="14">
        <v>3000000</v>
      </c>
      <c r="G1741" s="14">
        <v>2184000</v>
      </c>
      <c r="H1741" s="13" t="s">
        <v>32617</v>
      </c>
      <c r="I1741" s="40" t="s">
        <v>18</v>
      </c>
      <c r="J1741" s="40" t="str">
        <f>HYPERLINK("https://stock.pstatic.net/stock-research/company/61/20260701_company_580740000.pdf","PDF")</f>
        <v>PDF</v>
      </c>
      <c r="K1741" s="12" t="s">
        <v>32618</v>
      </c>
      <c r="L1741" s="36">
        <v>0.37362637362637358</v>
      </c>
    </row>
    <row r="1742" spans="1:12" x14ac:dyDescent="0.45">
      <c r="A1742" s="12" t="s">
        <v>32390</v>
      </c>
      <c r="B1742" s="12" t="s">
        <v>2978</v>
      </c>
      <c r="C1742" s="13" t="s">
        <v>2979</v>
      </c>
      <c r="D1742" s="13" t="s">
        <v>23</v>
      </c>
      <c r="E1742" s="12" t="s">
        <v>16</v>
      </c>
      <c r="F1742" s="14">
        <v>22500</v>
      </c>
      <c r="G1742" s="14">
        <v>11120</v>
      </c>
      <c r="H1742" s="13" t="s">
        <v>32619</v>
      </c>
      <c r="I1742" s="40" t="s">
        <v>18</v>
      </c>
      <c r="J1742" s="40" t="str">
        <f>HYPERLINK("https://stock.pstatic.net/stock-research/company/21/20260701_company_445539000.pdf","PDF")</f>
        <v>PDF</v>
      </c>
      <c r="K1742" s="12" t="s">
        <v>32620</v>
      </c>
      <c r="L1742" s="36">
        <v>1.0233812949640291</v>
      </c>
    </row>
    <row r="1743" spans="1:12" x14ac:dyDescent="0.45">
      <c r="A1743" s="12" t="s">
        <v>32390</v>
      </c>
      <c r="B1743" s="12" t="s">
        <v>1081</v>
      </c>
      <c r="C1743" s="13" t="s">
        <v>1082</v>
      </c>
      <c r="D1743" s="13" t="s">
        <v>23</v>
      </c>
      <c r="E1743" s="12" t="s">
        <v>16</v>
      </c>
      <c r="F1743" s="14">
        <v>1800000</v>
      </c>
      <c r="G1743" s="14">
        <v>1391000</v>
      </c>
      <c r="H1743" s="13" t="s">
        <v>32621</v>
      </c>
      <c r="I1743" s="40" t="s">
        <v>18</v>
      </c>
      <c r="J1743" s="40" t="str">
        <f>HYPERLINK("https://stock.pstatic.net/stock-research/company/21/20260701_company_804158000.pdf","PDF")</f>
        <v>PDF</v>
      </c>
      <c r="K1743" s="12" t="s">
        <v>32622</v>
      </c>
      <c r="L1743" s="36">
        <v>0.29403306973400428</v>
      </c>
    </row>
    <row r="1744" spans="1:12" x14ac:dyDescent="0.45">
      <c r="A1744" s="12" t="s">
        <v>32390</v>
      </c>
      <c r="B1744" s="12" t="s">
        <v>3478</v>
      </c>
      <c r="C1744" s="13" t="s">
        <v>3479</v>
      </c>
      <c r="D1744" s="13" t="s">
        <v>23</v>
      </c>
      <c r="E1744" s="12" t="s">
        <v>16</v>
      </c>
      <c r="F1744" s="14">
        <v>44000</v>
      </c>
      <c r="G1744" s="14">
        <v>28100</v>
      </c>
      <c r="H1744" s="13" t="s">
        <v>32623</v>
      </c>
      <c r="I1744" s="40" t="s">
        <v>18</v>
      </c>
      <c r="J1744" s="40" t="str">
        <f>HYPERLINK("https://stock.pstatic.net/stock-research/company/21/20260701_company_320518000.pdf","PDF")</f>
        <v>PDF</v>
      </c>
      <c r="K1744" s="12" t="s">
        <v>32624</v>
      </c>
      <c r="L1744" s="36">
        <v>0.5658362989323843</v>
      </c>
    </row>
    <row r="1745" spans="1:12" x14ac:dyDescent="0.45">
      <c r="A1745" s="12" t="s">
        <v>32390</v>
      </c>
      <c r="B1745" s="12" t="s">
        <v>3113</v>
      </c>
      <c r="C1745" s="13" t="s">
        <v>3114</v>
      </c>
      <c r="D1745" s="13" t="s">
        <v>23</v>
      </c>
      <c r="E1745" s="12" t="s">
        <v>16</v>
      </c>
      <c r="F1745" s="14">
        <v>66000</v>
      </c>
      <c r="G1745" s="14">
        <v>36800</v>
      </c>
      <c r="H1745" s="13" t="s">
        <v>32625</v>
      </c>
      <c r="I1745" s="40" t="s">
        <v>18</v>
      </c>
      <c r="J1745" s="40" t="str">
        <f>HYPERLINK("https://stock.pstatic.net/stock-research/company/21/20260701_company_370397000.pdf","PDF")</f>
        <v>PDF</v>
      </c>
      <c r="K1745" s="12" t="s">
        <v>32626</v>
      </c>
      <c r="L1745" s="36">
        <v>0.79347826086956519</v>
      </c>
    </row>
    <row r="1746" spans="1:12" x14ac:dyDescent="0.45">
      <c r="A1746" s="12" t="s">
        <v>32390</v>
      </c>
      <c r="B1746" s="12" t="s">
        <v>32</v>
      </c>
      <c r="C1746" s="13" t="s">
        <v>33</v>
      </c>
      <c r="D1746" s="13" t="s">
        <v>53</v>
      </c>
      <c r="E1746" s="12" t="s">
        <v>50</v>
      </c>
      <c r="F1746" s="13"/>
      <c r="G1746" s="14">
        <v>2184000</v>
      </c>
      <c r="H1746" s="13" t="s">
        <v>32391</v>
      </c>
      <c r="I1746" s="40" t="s">
        <v>18</v>
      </c>
      <c r="J1746" s="40" t="str">
        <f>HYPERLINK("https://stock.pstatic.net/stock-research/company/40/20260701_company_264420000.pdf","PDF")</f>
        <v>PDF</v>
      </c>
      <c r="K1746" s="12" t="s">
        <v>32392</v>
      </c>
      <c r="L1746" s="12"/>
    </row>
    <row r="1747" spans="1:12" x14ac:dyDescent="0.45">
      <c r="A1747" s="12" t="s">
        <v>32390</v>
      </c>
      <c r="B1747" s="12" t="s">
        <v>344</v>
      </c>
      <c r="C1747" s="13" t="s">
        <v>345</v>
      </c>
      <c r="D1747" s="13" t="s">
        <v>44</v>
      </c>
      <c r="E1747" s="12" t="s">
        <v>50</v>
      </c>
      <c r="F1747" s="13"/>
      <c r="G1747" s="14">
        <v>9650</v>
      </c>
      <c r="H1747" s="13" t="s">
        <v>32393</v>
      </c>
      <c r="I1747" s="40" t="s">
        <v>18</v>
      </c>
      <c r="J1747" s="40" t="str">
        <f>HYPERLINK("https://stock.pstatic.net/stock-research/company/39/20260701_company_865096000.pdf","PDF")</f>
        <v>PDF</v>
      </c>
      <c r="K1747" s="12" t="s">
        <v>32394</v>
      </c>
      <c r="L1747" s="12"/>
    </row>
    <row r="1748" spans="1:12" x14ac:dyDescent="0.45">
      <c r="A1748" s="12" t="s">
        <v>32390</v>
      </c>
      <c r="B1748" s="12" t="s">
        <v>10350</v>
      </c>
      <c r="C1748" s="13" t="s">
        <v>10351</v>
      </c>
      <c r="D1748" s="13" t="s">
        <v>53</v>
      </c>
      <c r="E1748" s="12" t="s">
        <v>16</v>
      </c>
      <c r="F1748" s="14">
        <v>75000</v>
      </c>
      <c r="G1748" s="14">
        <v>43600</v>
      </c>
      <c r="H1748" s="13" t="s">
        <v>32395</v>
      </c>
      <c r="I1748" s="40" t="s">
        <v>18</v>
      </c>
      <c r="J1748" s="40" t="str">
        <f>HYPERLINK("https://stock.pstatic.net/stock-research/company/40/20260701_company_388757000.pdf","PDF")</f>
        <v>PDF</v>
      </c>
      <c r="K1748" s="12" t="s">
        <v>32396</v>
      </c>
      <c r="L1748" s="36">
        <v>0.72018348623853212</v>
      </c>
    </row>
    <row r="1749" spans="1:12" x14ac:dyDescent="0.45">
      <c r="A1749" s="12" t="s">
        <v>32390</v>
      </c>
      <c r="B1749" s="12" t="s">
        <v>2740</v>
      </c>
      <c r="C1749" s="13" t="s">
        <v>2741</v>
      </c>
      <c r="D1749" s="13" t="s">
        <v>124</v>
      </c>
      <c r="E1749" s="12" t="s">
        <v>50</v>
      </c>
      <c r="F1749" s="13"/>
      <c r="G1749" s="13"/>
      <c r="H1749" s="13" t="s">
        <v>32397</v>
      </c>
      <c r="I1749" s="40" t="s">
        <v>18</v>
      </c>
      <c r="J1749" s="40" t="str">
        <f>HYPERLINK("https://stock.pstatic.net/stock-research/company/74/20260701_company_382171000.pdf","PDF")</f>
        <v>PDF</v>
      </c>
      <c r="K1749" s="12" t="s">
        <v>32398</v>
      </c>
      <c r="L1749" s="12"/>
    </row>
    <row r="1750" spans="1:12" x14ac:dyDescent="0.45">
      <c r="A1750" s="12" t="s">
        <v>32390</v>
      </c>
      <c r="B1750" s="12" t="s">
        <v>18094</v>
      </c>
      <c r="C1750" s="13" t="s">
        <v>18095</v>
      </c>
      <c r="D1750" s="13" t="s">
        <v>124</v>
      </c>
      <c r="E1750" s="12" t="s">
        <v>50</v>
      </c>
      <c r="F1750" s="13"/>
      <c r="G1750" s="13"/>
      <c r="H1750" s="13" t="s">
        <v>32399</v>
      </c>
      <c r="I1750" s="40" t="s">
        <v>18</v>
      </c>
      <c r="J1750" s="40" t="str">
        <f>HYPERLINK("https://stock.pstatic.net/stock-research/company/74/20260701_company_624369000.pdf","PDF")</f>
        <v>PDF</v>
      </c>
      <c r="K1750" s="12" t="s">
        <v>32400</v>
      </c>
      <c r="L1750" s="12"/>
    </row>
    <row r="1751" spans="1:12" x14ac:dyDescent="0.45">
      <c r="A1751" s="12" t="s">
        <v>32389</v>
      </c>
      <c r="B1751" s="12" t="s">
        <v>698</v>
      </c>
      <c r="C1751" s="13" t="s">
        <v>699</v>
      </c>
      <c r="D1751" s="13" t="s">
        <v>57</v>
      </c>
      <c r="E1751" s="12" t="s">
        <v>35</v>
      </c>
      <c r="F1751" s="14">
        <v>970000</v>
      </c>
      <c r="G1751" s="14">
        <v>785000</v>
      </c>
      <c r="H1751" s="13" t="s">
        <v>32401</v>
      </c>
      <c r="I1751" s="40" t="s">
        <v>18</v>
      </c>
      <c r="J1751" s="40" t="str">
        <f>HYPERLINK("https://stock.pstatic.net/stock-research/company/16/20260630_company_271037000.pdf","PDF")</f>
        <v>PDF</v>
      </c>
      <c r="K1751" s="12" t="s">
        <v>32402</v>
      </c>
      <c r="L1751" s="36">
        <v>0.2356687898089172</v>
      </c>
    </row>
    <row r="1752" spans="1:12" x14ac:dyDescent="0.45">
      <c r="A1752" s="12" t="s">
        <v>32389</v>
      </c>
      <c r="B1752" s="12" t="s">
        <v>1656</v>
      </c>
      <c r="C1752" s="13" t="s">
        <v>1657</v>
      </c>
      <c r="D1752" s="13" t="s">
        <v>57</v>
      </c>
      <c r="E1752" s="12" t="s">
        <v>35</v>
      </c>
      <c r="F1752" s="14">
        <v>870000</v>
      </c>
      <c r="G1752" s="14">
        <v>729000</v>
      </c>
      <c r="H1752" s="13" t="s">
        <v>32403</v>
      </c>
      <c r="I1752" s="40" t="s">
        <v>18</v>
      </c>
      <c r="J1752" s="40" t="str">
        <f>HYPERLINK("https://stock.pstatic.net/stock-research/company/16/20260630_company_158844000.pdf","PDF")</f>
        <v>PDF</v>
      </c>
      <c r="K1752" s="12" t="s">
        <v>32404</v>
      </c>
      <c r="L1752" s="36">
        <v>0.19341563786008231</v>
      </c>
    </row>
    <row r="1753" spans="1:12" x14ac:dyDescent="0.45">
      <c r="A1753" s="12" t="s">
        <v>32389</v>
      </c>
      <c r="B1753" s="12" t="s">
        <v>132</v>
      </c>
      <c r="C1753" s="13" t="s">
        <v>133</v>
      </c>
      <c r="D1753" s="13" t="s">
        <v>57</v>
      </c>
      <c r="E1753" s="12" t="s">
        <v>35</v>
      </c>
      <c r="F1753" s="14">
        <v>240000</v>
      </c>
      <c r="G1753" s="14">
        <v>193700</v>
      </c>
      <c r="H1753" s="13" t="s">
        <v>32405</v>
      </c>
      <c r="I1753" s="40" t="s">
        <v>18</v>
      </c>
      <c r="J1753" s="40" t="str">
        <f>HYPERLINK("https://stock.pstatic.net/stock-research/company/16/20260630_company_223499000.pdf","PDF")</f>
        <v>PDF</v>
      </c>
      <c r="K1753" s="12" t="s">
        <v>32406</v>
      </c>
      <c r="L1753" s="36">
        <v>0.23902942694889001</v>
      </c>
    </row>
    <row r="1754" spans="1:12" x14ac:dyDescent="0.45">
      <c r="A1754" s="12" t="s">
        <v>32389</v>
      </c>
      <c r="B1754" s="12" t="s">
        <v>27</v>
      </c>
      <c r="C1754" s="13" t="s">
        <v>28</v>
      </c>
      <c r="D1754" s="13" t="s">
        <v>57</v>
      </c>
      <c r="E1754" s="12" t="s">
        <v>35</v>
      </c>
      <c r="F1754" s="14">
        <v>300000</v>
      </c>
      <c r="G1754" s="14">
        <v>171100</v>
      </c>
      <c r="H1754" s="13" t="s">
        <v>32407</v>
      </c>
      <c r="I1754" s="40" t="s">
        <v>18</v>
      </c>
      <c r="J1754" s="40" t="str">
        <f>HYPERLINK("https://stock.pstatic.net/stock-research/company/16/20260630_company_208616000.pdf","PDF")</f>
        <v>PDF</v>
      </c>
      <c r="K1754" s="12" t="s">
        <v>32408</v>
      </c>
      <c r="L1754" s="36">
        <v>0.75336060783167735</v>
      </c>
    </row>
    <row r="1755" spans="1:12" x14ac:dyDescent="0.45">
      <c r="A1755" s="12" t="s">
        <v>32389</v>
      </c>
      <c r="B1755" s="12" t="s">
        <v>2522</v>
      </c>
      <c r="C1755" s="13" t="s">
        <v>2523</v>
      </c>
      <c r="D1755" s="13" t="s">
        <v>60</v>
      </c>
      <c r="E1755" s="12" t="s">
        <v>35</v>
      </c>
      <c r="F1755" s="14">
        <v>390000</v>
      </c>
      <c r="G1755" s="14">
        <v>223500</v>
      </c>
      <c r="H1755" s="13" t="s">
        <v>32409</v>
      </c>
      <c r="I1755" s="40" t="s">
        <v>18</v>
      </c>
      <c r="J1755" s="40" t="str">
        <f>HYPERLINK("https://stock.pstatic.net/stock-research/company/62/20260630_company_249948000.pdf","PDF")</f>
        <v>PDF</v>
      </c>
      <c r="K1755" s="12" t="s">
        <v>32410</v>
      </c>
      <c r="L1755" s="36">
        <v>0.74496644295302017</v>
      </c>
    </row>
    <row r="1756" spans="1:12" x14ac:dyDescent="0.45">
      <c r="A1756" s="12" t="s">
        <v>32389</v>
      </c>
      <c r="B1756" s="12" t="s">
        <v>760</v>
      </c>
      <c r="C1756" s="13" t="s">
        <v>761</v>
      </c>
      <c r="D1756" s="13" t="s">
        <v>65</v>
      </c>
      <c r="E1756" s="12" t="s">
        <v>50</v>
      </c>
      <c r="F1756" s="13"/>
      <c r="G1756" s="14">
        <v>233000</v>
      </c>
      <c r="H1756" s="13" t="s">
        <v>32411</v>
      </c>
      <c r="I1756" s="40" t="s">
        <v>18</v>
      </c>
      <c r="J1756" s="40" t="str">
        <f>HYPERLINK("https://stock.pstatic.net/stock-research/company/57/20260630_company_856603000.pdf","PDF")</f>
        <v>PDF</v>
      </c>
      <c r="K1756" s="12" t="s">
        <v>32412</v>
      </c>
      <c r="L1756" s="12"/>
    </row>
    <row r="1757" spans="1:12" x14ac:dyDescent="0.45">
      <c r="A1757" s="12" t="s">
        <v>32389</v>
      </c>
      <c r="B1757" s="12" t="s">
        <v>3113</v>
      </c>
      <c r="C1757" s="13" t="s">
        <v>3114</v>
      </c>
      <c r="D1757" s="13" t="s">
        <v>65</v>
      </c>
      <c r="E1757" s="12" t="s">
        <v>35</v>
      </c>
      <c r="F1757" s="14">
        <v>66000</v>
      </c>
      <c r="G1757" s="14">
        <v>35350</v>
      </c>
      <c r="H1757" s="13" t="s">
        <v>32413</v>
      </c>
      <c r="I1757" s="40" t="s">
        <v>18</v>
      </c>
      <c r="J1757" s="40" t="str">
        <f>HYPERLINK("https://stock.pstatic.net/stock-research/company/57/20260630_company_618661000.pdf","PDF")</f>
        <v>PDF</v>
      </c>
      <c r="K1757" s="12" t="s">
        <v>32414</v>
      </c>
      <c r="L1757" s="36">
        <v>0.86704384724186701</v>
      </c>
    </row>
    <row r="1758" spans="1:12" x14ac:dyDescent="0.45">
      <c r="A1758" s="12" t="s">
        <v>32389</v>
      </c>
      <c r="B1758" s="12" t="s">
        <v>2105</v>
      </c>
      <c r="C1758" s="13" t="s">
        <v>2106</v>
      </c>
      <c r="D1758" s="13" t="s">
        <v>65</v>
      </c>
      <c r="E1758" s="12" t="s">
        <v>35</v>
      </c>
      <c r="F1758" s="14">
        <v>45000</v>
      </c>
      <c r="G1758" s="14">
        <v>32800</v>
      </c>
      <c r="H1758" s="13" t="s">
        <v>32415</v>
      </c>
      <c r="I1758" s="40" t="s">
        <v>18</v>
      </c>
      <c r="J1758" s="40" t="str">
        <f>HYPERLINK("https://stock.pstatic.net/stock-research/company/57/20260630_company_366594000.pdf","PDF")</f>
        <v>PDF</v>
      </c>
      <c r="K1758" s="12" t="s">
        <v>32416</v>
      </c>
      <c r="L1758" s="36">
        <v>0.37195121951219512</v>
      </c>
    </row>
    <row r="1759" spans="1:12" x14ac:dyDescent="0.45">
      <c r="A1759" s="12" t="s">
        <v>32389</v>
      </c>
      <c r="B1759" s="12" t="s">
        <v>2522</v>
      </c>
      <c r="C1759" s="13" t="s">
        <v>2523</v>
      </c>
      <c r="D1759" s="13" t="s">
        <v>65</v>
      </c>
      <c r="E1759" s="12" t="s">
        <v>35</v>
      </c>
      <c r="F1759" s="14">
        <v>460000</v>
      </c>
      <c r="G1759" s="14">
        <v>233500</v>
      </c>
      <c r="H1759" s="13" t="s">
        <v>32417</v>
      </c>
      <c r="I1759" s="40" t="s">
        <v>18</v>
      </c>
      <c r="J1759" s="40" t="str">
        <f>HYPERLINK("https://stock.pstatic.net/stock-research/company/57/20260630_company_58309000.pdf","PDF")</f>
        <v>PDF</v>
      </c>
      <c r="K1759" s="12" t="s">
        <v>32418</v>
      </c>
      <c r="L1759" s="36">
        <v>0.97002141327623126</v>
      </c>
    </row>
    <row r="1760" spans="1:12" x14ac:dyDescent="0.45">
      <c r="A1760" s="12" t="s">
        <v>32389</v>
      </c>
      <c r="B1760" s="12" t="s">
        <v>375</v>
      </c>
      <c r="C1760" s="13" t="s">
        <v>376</v>
      </c>
      <c r="D1760" s="13" t="s">
        <v>158</v>
      </c>
      <c r="E1760" s="12" t="s">
        <v>35</v>
      </c>
      <c r="F1760" s="14">
        <v>24000</v>
      </c>
      <c r="G1760" s="14">
        <v>18150</v>
      </c>
      <c r="H1760" s="13" t="s">
        <v>32419</v>
      </c>
      <c r="I1760" s="40" t="s">
        <v>18</v>
      </c>
      <c r="J1760" s="40" t="str">
        <f>HYPERLINK("https://stock.pstatic.net/stock-research/company/18/20260630_company_396513000.pdf","PDF")</f>
        <v>PDF</v>
      </c>
      <c r="K1760" s="12" t="s">
        <v>32420</v>
      </c>
      <c r="L1760" s="36">
        <v>0.32231404958677679</v>
      </c>
    </row>
    <row r="1761" spans="1:12" x14ac:dyDescent="0.45">
      <c r="A1761" s="12" t="s">
        <v>32389</v>
      </c>
      <c r="B1761" s="12" t="s">
        <v>888</v>
      </c>
      <c r="C1761" s="13" t="s">
        <v>889</v>
      </c>
      <c r="D1761" s="13" t="s">
        <v>158</v>
      </c>
      <c r="E1761" s="12" t="s">
        <v>35</v>
      </c>
      <c r="F1761" s="14">
        <v>84000</v>
      </c>
      <c r="G1761" s="14">
        <v>63500</v>
      </c>
      <c r="H1761" s="13" t="s">
        <v>32421</v>
      </c>
      <c r="I1761" s="40" t="s">
        <v>18</v>
      </c>
      <c r="J1761" s="40" t="str">
        <f>HYPERLINK("https://stock.pstatic.net/stock-research/company/18/20260630_company_571755000.pdf","PDF")</f>
        <v>PDF</v>
      </c>
      <c r="K1761" s="12" t="s">
        <v>32422</v>
      </c>
      <c r="L1761" s="36">
        <v>0.32283464566929132</v>
      </c>
    </row>
    <row r="1762" spans="1:12" x14ac:dyDescent="0.45">
      <c r="A1762" s="12" t="s">
        <v>32389</v>
      </c>
      <c r="B1762" s="12" t="s">
        <v>1906</v>
      </c>
      <c r="C1762" s="13" t="s">
        <v>1907</v>
      </c>
      <c r="D1762" s="13" t="s">
        <v>158</v>
      </c>
      <c r="E1762" s="12" t="s">
        <v>35</v>
      </c>
      <c r="F1762" s="14">
        <v>52000</v>
      </c>
      <c r="G1762" s="14">
        <v>36850</v>
      </c>
      <c r="H1762" s="13" t="s">
        <v>32423</v>
      </c>
      <c r="I1762" s="40" t="s">
        <v>18</v>
      </c>
      <c r="J1762" s="40" t="str">
        <f>HYPERLINK("https://stock.pstatic.net/stock-research/company/18/20260630_company_395386000.pdf","PDF")</f>
        <v>PDF</v>
      </c>
      <c r="K1762" s="12" t="s">
        <v>32424</v>
      </c>
      <c r="L1762" s="36">
        <v>0.41112618724559019</v>
      </c>
    </row>
    <row r="1763" spans="1:12" x14ac:dyDescent="0.45">
      <c r="A1763" s="12" t="s">
        <v>32389</v>
      </c>
      <c r="B1763" s="12" t="s">
        <v>2105</v>
      </c>
      <c r="C1763" s="13" t="s">
        <v>2106</v>
      </c>
      <c r="D1763" s="13" t="s">
        <v>158</v>
      </c>
      <c r="E1763" s="12" t="s">
        <v>35</v>
      </c>
      <c r="F1763" s="14">
        <v>47000</v>
      </c>
      <c r="G1763" s="14">
        <v>32800</v>
      </c>
      <c r="H1763" s="13" t="s">
        <v>32425</v>
      </c>
      <c r="I1763" s="40" t="s">
        <v>18</v>
      </c>
      <c r="J1763" s="40" t="str">
        <f>HYPERLINK("https://stock.pstatic.net/stock-research/company/18/20260630_company_721319000.pdf","PDF")</f>
        <v>PDF</v>
      </c>
      <c r="K1763" s="12" t="s">
        <v>32426</v>
      </c>
      <c r="L1763" s="36">
        <v>0.43292682926829268</v>
      </c>
    </row>
    <row r="1764" spans="1:12" x14ac:dyDescent="0.45">
      <c r="A1764" s="12" t="s">
        <v>32389</v>
      </c>
      <c r="B1764" s="12" t="s">
        <v>1666</v>
      </c>
      <c r="C1764" s="13" t="s">
        <v>1667</v>
      </c>
      <c r="D1764" s="13" t="s">
        <v>158</v>
      </c>
      <c r="E1764" s="12" t="s">
        <v>35</v>
      </c>
      <c r="F1764" s="14">
        <v>59000</v>
      </c>
      <c r="G1764" s="14">
        <v>37900</v>
      </c>
      <c r="H1764" s="13" t="s">
        <v>32427</v>
      </c>
      <c r="I1764" s="40" t="s">
        <v>18</v>
      </c>
      <c r="J1764" s="40" t="str">
        <f>HYPERLINK("https://stock.pstatic.net/stock-research/company/18/20260630_company_653285000.pdf","PDF")</f>
        <v>PDF</v>
      </c>
      <c r="K1764" s="12" t="s">
        <v>32428</v>
      </c>
      <c r="L1764" s="36">
        <v>0.55672823218997358</v>
      </c>
    </row>
    <row r="1765" spans="1:12" x14ac:dyDescent="0.45">
      <c r="A1765" s="12" t="s">
        <v>32389</v>
      </c>
      <c r="B1765" s="12" t="s">
        <v>2522</v>
      </c>
      <c r="C1765" s="13" t="s">
        <v>2523</v>
      </c>
      <c r="D1765" s="13" t="s">
        <v>158</v>
      </c>
      <c r="E1765" s="12" t="s">
        <v>35</v>
      </c>
      <c r="F1765" s="14">
        <v>380000</v>
      </c>
      <c r="G1765" s="14">
        <v>223500</v>
      </c>
      <c r="H1765" s="13" t="s">
        <v>32429</v>
      </c>
      <c r="I1765" s="40" t="s">
        <v>18</v>
      </c>
      <c r="J1765" s="40" t="str">
        <f>HYPERLINK("https://stock.pstatic.net/stock-research/company/18/20260630_company_23464000.pdf","PDF")</f>
        <v>PDF</v>
      </c>
      <c r="K1765" s="12" t="s">
        <v>32430</v>
      </c>
      <c r="L1765" s="36">
        <v>0.70022371364653246</v>
      </c>
    </row>
    <row r="1766" spans="1:12" x14ac:dyDescent="0.45">
      <c r="A1766" s="12" t="s">
        <v>32389</v>
      </c>
      <c r="B1766" s="12" t="s">
        <v>1682</v>
      </c>
      <c r="C1766" s="13" t="s">
        <v>1683</v>
      </c>
      <c r="D1766" s="13" t="s">
        <v>158</v>
      </c>
      <c r="E1766" s="12" t="s">
        <v>35</v>
      </c>
      <c r="F1766" s="14">
        <v>370000</v>
      </c>
      <c r="G1766" s="14">
        <v>259000</v>
      </c>
      <c r="H1766" s="13" t="s">
        <v>32431</v>
      </c>
      <c r="I1766" s="40" t="s">
        <v>18</v>
      </c>
      <c r="J1766" s="40" t="str">
        <f>HYPERLINK("https://stock.pstatic.net/stock-research/company/18/20260630_company_511867000.pdf","PDF")</f>
        <v>PDF</v>
      </c>
      <c r="K1766" s="12" t="s">
        <v>32432</v>
      </c>
      <c r="L1766" s="36">
        <v>0.42857142857142849</v>
      </c>
    </row>
    <row r="1767" spans="1:12" x14ac:dyDescent="0.45">
      <c r="A1767" s="12" t="s">
        <v>32389</v>
      </c>
      <c r="B1767" s="12" t="s">
        <v>3074</v>
      </c>
      <c r="C1767" s="13" t="s">
        <v>3075</v>
      </c>
      <c r="D1767" s="13" t="s">
        <v>158</v>
      </c>
      <c r="E1767" s="12" t="s">
        <v>50</v>
      </c>
      <c r="F1767" s="13"/>
      <c r="G1767" s="14">
        <v>970</v>
      </c>
      <c r="H1767" s="13" t="s">
        <v>32433</v>
      </c>
      <c r="I1767" s="40" t="s">
        <v>18</v>
      </c>
      <c r="J1767" s="40" t="str">
        <f>HYPERLINK("https://stock.pstatic.net/stock-research/company/18/20260630_company_676603000.pdf","PDF")</f>
        <v>PDF</v>
      </c>
      <c r="K1767" s="12" t="s">
        <v>32434</v>
      </c>
      <c r="L1767" s="12"/>
    </row>
    <row r="1768" spans="1:12" x14ac:dyDescent="0.45">
      <c r="A1768" s="12" t="s">
        <v>32389</v>
      </c>
      <c r="B1768" s="12" t="s">
        <v>2089</v>
      </c>
      <c r="C1768" s="13" t="s">
        <v>2090</v>
      </c>
      <c r="D1768" s="13" t="s">
        <v>158</v>
      </c>
      <c r="E1768" s="12" t="s">
        <v>35</v>
      </c>
      <c r="F1768" s="14">
        <v>175000</v>
      </c>
      <c r="G1768" s="14">
        <v>103700</v>
      </c>
      <c r="H1768" s="13" t="s">
        <v>32435</v>
      </c>
      <c r="I1768" s="40" t="s">
        <v>18</v>
      </c>
      <c r="J1768" s="40" t="str">
        <f>HYPERLINK("https://stock.pstatic.net/stock-research/company/18/20260630_company_158297000.pdf","PDF")</f>
        <v>PDF</v>
      </c>
      <c r="K1768" s="12" t="s">
        <v>32436</v>
      </c>
      <c r="L1768" s="36">
        <v>0.68756027000964315</v>
      </c>
    </row>
    <row r="1769" spans="1:12" x14ac:dyDescent="0.45">
      <c r="A1769" s="12" t="s">
        <v>32389</v>
      </c>
      <c r="B1769" s="12" t="s">
        <v>10490</v>
      </c>
      <c r="C1769" s="13" t="s">
        <v>10491</v>
      </c>
      <c r="D1769" s="13" t="s">
        <v>158</v>
      </c>
      <c r="E1769" s="12" t="s">
        <v>50</v>
      </c>
      <c r="F1769" s="13"/>
      <c r="G1769" s="14">
        <v>12620</v>
      </c>
      <c r="H1769" s="13" t="s">
        <v>32437</v>
      </c>
      <c r="I1769" s="40" t="s">
        <v>18</v>
      </c>
      <c r="J1769" s="40" t="str">
        <f>HYPERLINK("https://stock.pstatic.net/stock-research/company/18/20260630_company_626572000.pdf","PDF")</f>
        <v>PDF</v>
      </c>
      <c r="K1769" s="12" t="s">
        <v>32438</v>
      </c>
      <c r="L1769" s="12"/>
    </row>
    <row r="1770" spans="1:12" x14ac:dyDescent="0.45">
      <c r="A1770" s="12" t="s">
        <v>32389</v>
      </c>
      <c r="B1770" s="12" t="s">
        <v>10446</v>
      </c>
      <c r="C1770" s="13" t="s">
        <v>10447</v>
      </c>
      <c r="D1770" s="13" t="s">
        <v>158</v>
      </c>
      <c r="E1770" s="12" t="s">
        <v>50</v>
      </c>
      <c r="F1770" s="13"/>
      <c r="G1770" s="14">
        <v>4075</v>
      </c>
      <c r="H1770" s="13" t="s">
        <v>32439</v>
      </c>
      <c r="I1770" s="40" t="s">
        <v>18</v>
      </c>
      <c r="J1770" s="40" t="str">
        <f>HYPERLINK("https://stock.pstatic.net/stock-research/company/18/20260630_company_609694000.pdf","PDF")</f>
        <v>PDF</v>
      </c>
      <c r="K1770" s="12" t="s">
        <v>32440</v>
      </c>
      <c r="L1770" s="12"/>
    </row>
    <row r="1771" spans="1:12" x14ac:dyDescent="0.45">
      <c r="A1771" s="12" t="s">
        <v>32389</v>
      </c>
      <c r="B1771" s="12" t="s">
        <v>3113</v>
      </c>
      <c r="C1771" s="13" t="s">
        <v>3114</v>
      </c>
      <c r="D1771" s="13" t="s">
        <v>15</v>
      </c>
      <c r="E1771" s="12" t="s">
        <v>16</v>
      </c>
      <c r="F1771" s="14">
        <v>56000</v>
      </c>
      <c r="G1771" s="14">
        <v>35350</v>
      </c>
      <c r="H1771" s="13" t="s">
        <v>32441</v>
      </c>
      <c r="I1771" s="40" t="s">
        <v>18</v>
      </c>
      <c r="J1771" s="40" t="str">
        <f>HYPERLINK("https://stock.pstatic.net/stock-research/company/56/20260630_company_774951000.pdf","PDF")</f>
        <v>PDF</v>
      </c>
      <c r="K1771" s="12" t="s">
        <v>32442</v>
      </c>
      <c r="L1771" s="36">
        <v>0.58415841584158412</v>
      </c>
    </row>
    <row r="1772" spans="1:12" x14ac:dyDescent="0.45">
      <c r="A1772" s="12" t="s">
        <v>32389</v>
      </c>
      <c r="B1772" s="12" t="s">
        <v>541</v>
      </c>
      <c r="C1772" s="13" t="s">
        <v>542</v>
      </c>
      <c r="D1772" s="13" t="s">
        <v>83</v>
      </c>
      <c r="E1772" s="12" t="s">
        <v>35</v>
      </c>
      <c r="F1772" s="14">
        <v>110000</v>
      </c>
      <c r="G1772" s="14">
        <v>90200</v>
      </c>
      <c r="H1772" s="13" t="s">
        <v>32443</v>
      </c>
      <c r="I1772" s="40" t="s">
        <v>18</v>
      </c>
      <c r="J1772" s="40" t="str">
        <f>HYPERLINK("https://stock.pstatic.net/stock-research/company/15/20260630_company_824796000.pdf","PDF")</f>
        <v>PDF</v>
      </c>
      <c r="K1772" s="12" t="s">
        <v>32444</v>
      </c>
      <c r="L1772" s="36">
        <v>0.21951219512195119</v>
      </c>
    </row>
    <row r="1773" spans="1:12" x14ac:dyDescent="0.45">
      <c r="A1773" s="12" t="s">
        <v>32389</v>
      </c>
      <c r="B1773" s="12" t="s">
        <v>537</v>
      </c>
      <c r="C1773" s="13" t="s">
        <v>538</v>
      </c>
      <c r="D1773" s="13" t="s">
        <v>83</v>
      </c>
      <c r="E1773" s="12" t="s">
        <v>35</v>
      </c>
      <c r="F1773" s="14">
        <v>20000</v>
      </c>
      <c r="G1773" s="14">
        <v>14570</v>
      </c>
      <c r="H1773" s="13" t="s">
        <v>32445</v>
      </c>
      <c r="I1773" s="40" t="s">
        <v>18</v>
      </c>
      <c r="J1773" s="40" t="str">
        <f>HYPERLINK("https://stock.pstatic.net/stock-research/company/15/20260630_company_655106000.pdf","PDF")</f>
        <v>PDF</v>
      </c>
      <c r="K1773" s="12" t="s">
        <v>32446</v>
      </c>
      <c r="L1773" s="36">
        <v>0.37268359643102272</v>
      </c>
    </row>
    <row r="1774" spans="1:12" x14ac:dyDescent="0.45">
      <c r="A1774" s="12" t="s">
        <v>32389</v>
      </c>
      <c r="B1774" s="12" t="s">
        <v>533</v>
      </c>
      <c r="C1774" s="13" t="s">
        <v>534</v>
      </c>
      <c r="D1774" s="13" t="s">
        <v>83</v>
      </c>
      <c r="E1774" s="12" t="s">
        <v>35</v>
      </c>
      <c r="F1774" s="14">
        <v>74000</v>
      </c>
      <c r="G1774" s="14">
        <v>52700</v>
      </c>
      <c r="H1774" s="13" t="s">
        <v>32447</v>
      </c>
      <c r="I1774" s="40" t="s">
        <v>18</v>
      </c>
      <c r="J1774" s="40" t="str">
        <f>HYPERLINK("https://stock.pstatic.net/stock-research/company/15/20260630_company_622522000.pdf","PDF")</f>
        <v>PDF</v>
      </c>
      <c r="K1774" s="12" t="s">
        <v>32448</v>
      </c>
      <c r="L1774" s="36">
        <v>0.40417457305502852</v>
      </c>
    </row>
    <row r="1775" spans="1:12" x14ac:dyDescent="0.45">
      <c r="A1775" s="12" t="s">
        <v>32389</v>
      </c>
      <c r="B1775" s="12" t="s">
        <v>13</v>
      </c>
      <c r="C1775" s="13" t="s">
        <v>14</v>
      </c>
      <c r="D1775" s="13" t="s">
        <v>23</v>
      </c>
      <c r="E1775" s="12" t="s">
        <v>16</v>
      </c>
      <c r="F1775" s="14">
        <v>590000</v>
      </c>
      <c r="G1775" s="14">
        <v>323000</v>
      </c>
      <c r="H1775" s="13" t="s">
        <v>32449</v>
      </c>
      <c r="I1775" s="40" t="s">
        <v>18</v>
      </c>
      <c r="J1775" s="40" t="str">
        <f>HYPERLINK("https://stock.pstatic.net/stock-research/company/21/20260630_company_118370000.pdf","PDF")</f>
        <v>PDF</v>
      </c>
      <c r="K1775" s="12" t="s">
        <v>32450</v>
      </c>
      <c r="L1775" s="36">
        <v>0.82662538699690402</v>
      </c>
    </row>
    <row r="1776" spans="1:12" x14ac:dyDescent="0.45">
      <c r="A1776" s="12" t="s">
        <v>32389</v>
      </c>
      <c r="B1776" s="12" t="s">
        <v>334</v>
      </c>
      <c r="C1776" s="13" t="s">
        <v>335</v>
      </c>
      <c r="D1776" s="13" t="s">
        <v>23</v>
      </c>
      <c r="E1776" s="12" t="s">
        <v>16</v>
      </c>
      <c r="F1776" s="14">
        <v>4200000</v>
      </c>
      <c r="G1776" s="14">
        <v>2628000</v>
      </c>
      <c r="H1776" s="13" t="s">
        <v>32451</v>
      </c>
      <c r="I1776" s="40" t="s">
        <v>18</v>
      </c>
      <c r="J1776" s="40" t="str">
        <f>HYPERLINK("https://stock.pstatic.net/stock-research/company/21/20260630_company_139673000.pdf","PDF")</f>
        <v>PDF</v>
      </c>
      <c r="K1776" s="12" t="s">
        <v>32452</v>
      </c>
      <c r="L1776" s="36">
        <v>0.59817351598173518</v>
      </c>
    </row>
    <row r="1777" spans="1:12" x14ac:dyDescent="0.45">
      <c r="A1777" s="12" t="s">
        <v>32389</v>
      </c>
      <c r="B1777" s="12" t="s">
        <v>32453</v>
      </c>
      <c r="C1777" s="13" t="s">
        <v>32454</v>
      </c>
      <c r="D1777" s="13" t="s">
        <v>23</v>
      </c>
      <c r="E1777" s="12" t="s">
        <v>16</v>
      </c>
      <c r="F1777" s="14">
        <v>16000</v>
      </c>
      <c r="G1777" s="14">
        <v>10370</v>
      </c>
      <c r="H1777" s="13" t="s">
        <v>32455</v>
      </c>
      <c r="I1777" s="40" t="s">
        <v>18</v>
      </c>
      <c r="J1777" s="40" t="str">
        <f>HYPERLINK("https://stock.pstatic.net/stock-research/company/21/20260630_company_650260000.pdf","PDF")</f>
        <v>PDF</v>
      </c>
      <c r="K1777" s="12" t="s">
        <v>32456</v>
      </c>
      <c r="L1777" s="36">
        <v>0.54291224686595951</v>
      </c>
    </row>
    <row r="1778" spans="1:12" x14ac:dyDescent="0.45">
      <c r="A1778" s="12" t="s">
        <v>32389</v>
      </c>
      <c r="B1778" s="12" t="s">
        <v>32457</v>
      </c>
      <c r="C1778" s="13" t="s">
        <v>32458</v>
      </c>
      <c r="D1778" s="13" t="s">
        <v>124</v>
      </c>
      <c r="E1778" s="12" t="s">
        <v>50</v>
      </c>
      <c r="F1778" s="13"/>
      <c r="G1778" s="13"/>
      <c r="H1778" s="13" t="s">
        <v>32459</v>
      </c>
      <c r="I1778" s="40" t="s">
        <v>18</v>
      </c>
      <c r="J1778" s="40" t="str">
        <f>HYPERLINK("https://stock.pstatic.net/stock-research/company/74/20260630_company_796033000.pdf","PDF")</f>
        <v>PDF</v>
      </c>
      <c r="K1778" s="12" t="s">
        <v>32460</v>
      </c>
      <c r="L1778" s="12"/>
    </row>
    <row r="1779" spans="1:12" x14ac:dyDescent="0.45">
      <c r="A1779" s="12" t="s">
        <v>32389</v>
      </c>
      <c r="B1779" s="12" t="s">
        <v>95</v>
      </c>
      <c r="C1779" s="13" t="s">
        <v>31</v>
      </c>
      <c r="D1779" s="13" t="s">
        <v>34</v>
      </c>
      <c r="E1779" s="12" t="s">
        <v>35</v>
      </c>
      <c r="F1779" s="14">
        <v>67000</v>
      </c>
      <c r="G1779" s="14">
        <v>47650</v>
      </c>
      <c r="H1779" s="13" t="s">
        <v>32461</v>
      </c>
      <c r="I1779" s="40" t="s">
        <v>18</v>
      </c>
      <c r="J1779" s="40" t="str">
        <f>HYPERLINK("https://stock.pstatic.net/stock-research/company/61/20260630_company_982316000.pdf","PDF")</f>
        <v>PDF</v>
      </c>
      <c r="K1779" s="12" t="s">
        <v>32462</v>
      </c>
      <c r="L1779" s="36">
        <v>0.40608604407135362</v>
      </c>
    </row>
    <row r="1780" spans="1:12" x14ac:dyDescent="0.45">
      <c r="A1780" s="12" t="s">
        <v>32389</v>
      </c>
      <c r="B1780" s="12" t="s">
        <v>20415</v>
      </c>
      <c r="C1780" s="13" t="s">
        <v>20416</v>
      </c>
      <c r="D1780" s="13" t="s">
        <v>124</v>
      </c>
      <c r="E1780" s="12" t="s">
        <v>50</v>
      </c>
      <c r="F1780" s="13"/>
      <c r="G1780" s="13"/>
      <c r="H1780" s="13" t="s">
        <v>32463</v>
      </c>
      <c r="I1780" s="40" t="s">
        <v>18</v>
      </c>
      <c r="J1780" s="40" t="str">
        <f>HYPERLINK("https://stock.pstatic.net/stock-research/company/74/20260630_company_348820000.pdf","PDF")</f>
        <v>PDF</v>
      </c>
      <c r="K1780" s="12" t="s">
        <v>32464</v>
      </c>
      <c r="L1780" s="12"/>
    </row>
    <row r="1781" spans="1:12" x14ac:dyDescent="0.45">
      <c r="A1781" s="12" t="s">
        <v>32389</v>
      </c>
      <c r="B1781" s="12" t="s">
        <v>1660</v>
      </c>
      <c r="C1781" s="13" t="s">
        <v>1661</v>
      </c>
      <c r="D1781" s="13" t="s">
        <v>124</v>
      </c>
      <c r="E1781" s="12" t="s">
        <v>50</v>
      </c>
      <c r="F1781" s="13"/>
      <c r="G1781" s="13"/>
      <c r="H1781" s="13" t="s">
        <v>32465</v>
      </c>
      <c r="I1781" s="40" t="s">
        <v>18</v>
      </c>
      <c r="J1781" s="40" t="str">
        <f>HYPERLINK("https://stock.pstatic.net/stock-research/company/74/20260630_company_814175000.pdf","PDF")</f>
        <v>PDF</v>
      </c>
      <c r="K1781" s="12" t="s">
        <v>32466</v>
      </c>
      <c r="L1781" s="12"/>
    </row>
    <row r="1782" spans="1:12" x14ac:dyDescent="0.45">
      <c r="A1782" s="12" t="s">
        <v>32389</v>
      </c>
      <c r="B1782" s="12" t="s">
        <v>2369</v>
      </c>
      <c r="C1782" s="13" t="s">
        <v>2370</v>
      </c>
      <c r="D1782" s="13" t="s">
        <v>34</v>
      </c>
      <c r="E1782" s="12" t="s">
        <v>35</v>
      </c>
      <c r="F1782" s="14">
        <v>700000</v>
      </c>
      <c r="G1782" s="14">
        <v>512000</v>
      </c>
      <c r="H1782" s="13" t="s">
        <v>32467</v>
      </c>
      <c r="I1782" s="40" t="s">
        <v>18</v>
      </c>
      <c r="J1782" s="40" t="str">
        <f>HYPERLINK("https://stock.pstatic.net/stock-research/company/61/20260630_company_647524000.pdf","PDF")</f>
        <v>PDF</v>
      </c>
      <c r="K1782" s="12" t="s">
        <v>32468</v>
      </c>
      <c r="L1782" s="36">
        <v>0.3671875</v>
      </c>
    </row>
    <row r="1783" spans="1:12" x14ac:dyDescent="0.45">
      <c r="A1783" s="12" t="s">
        <v>32389</v>
      </c>
      <c r="B1783" s="12" t="s">
        <v>2378</v>
      </c>
      <c r="C1783" s="13" t="s">
        <v>2379</v>
      </c>
      <c r="D1783" s="13" t="s">
        <v>34</v>
      </c>
      <c r="E1783" s="12" t="s">
        <v>35</v>
      </c>
      <c r="F1783" s="14">
        <v>620000</v>
      </c>
      <c r="G1783" s="14">
        <v>400500</v>
      </c>
      <c r="H1783" s="13" t="s">
        <v>32469</v>
      </c>
      <c r="I1783" s="40" t="s">
        <v>18</v>
      </c>
      <c r="J1783" s="40" t="str">
        <f>HYPERLINK("https://stock.pstatic.net/stock-research/company/61/20260630_company_700501000.pdf","PDF")</f>
        <v>PDF</v>
      </c>
      <c r="K1783" s="12" t="s">
        <v>32470</v>
      </c>
      <c r="L1783" s="36">
        <v>0.54806491885143571</v>
      </c>
    </row>
    <row r="1784" spans="1:12" x14ac:dyDescent="0.45">
      <c r="A1784" s="12" t="s">
        <v>32389</v>
      </c>
      <c r="B1784" s="12" t="s">
        <v>1184</v>
      </c>
      <c r="C1784" s="13" t="s">
        <v>1185</v>
      </c>
      <c r="D1784" s="13" t="s">
        <v>44</v>
      </c>
      <c r="E1784" s="12" t="s">
        <v>35</v>
      </c>
      <c r="F1784" s="14">
        <v>32000</v>
      </c>
      <c r="G1784" s="14">
        <v>23250</v>
      </c>
      <c r="H1784" s="13" t="s">
        <v>32471</v>
      </c>
      <c r="I1784" s="40" t="s">
        <v>18</v>
      </c>
      <c r="J1784" s="40" t="str">
        <f>HYPERLINK("https://stock.pstatic.net/stock-research/company/39/20260630_company_177512000.pdf","PDF")</f>
        <v>PDF</v>
      </c>
      <c r="K1784" s="12" t="s">
        <v>32472</v>
      </c>
      <c r="L1784" s="36">
        <v>0.37634408602150538</v>
      </c>
    </row>
    <row r="1785" spans="1:12" x14ac:dyDescent="0.45">
      <c r="A1785" s="12" t="s">
        <v>32389</v>
      </c>
      <c r="B1785" s="12" t="s">
        <v>942</v>
      </c>
      <c r="C1785" s="13" t="s">
        <v>943</v>
      </c>
      <c r="D1785" s="13" t="s">
        <v>44</v>
      </c>
      <c r="E1785" s="12" t="s">
        <v>50</v>
      </c>
      <c r="F1785" s="13"/>
      <c r="G1785" s="14">
        <v>8160</v>
      </c>
      <c r="H1785" s="13" t="s">
        <v>32473</v>
      </c>
      <c r="I1785" s="40" t="s">
        <v>18</v>
      </c>
      <c r="J1785" s="40" t="str">
        <f>HYPERLINK("https://stock.pstatic.net/stock-research/company/39/20260630_company_951071000.pdf","PDF")</f>
        <v>PDF</v>
      </c>
      <c r="K1785" s="12" t="s">
        <v>32474</v>
      </c>
      <c r="L1785" s="12"/>
    </row>
    <row r="1786" spans="1:12" x14ac:dyDescent="0.45">
      <c r="A1786" s="12" t="s">
        <v>32389</v>
      </c>
      <c r="B1786" s="12" t="s">
        <v>13</v>
      </c>
      <c r="C1786" s="13" t="s">
        <v>14</v>
      </c>
      <c r="D1786" s="13" t="s">
        <v>714</v>
      </c>
      <c r="E1786" s="12" t="s">
        <v>35</v>
      </c>
      <c r="F1786" s="14">
        <v>440000</v>
      </c>
      <c r="G1786" s="14">
        <v>339500</v>
      </c>
      <c r="H1786" s="13" t="s">
        <v>32475</v>
      </c>
      <c r="I1786" s="40" t="s">
        <v>18</v>
      </c>
      <c r="J1786" s="40" t="str">
        <f>HYPERLINK("https://stock.pstatic.net/stock-research/company/38/20260630_company_438746000.pdf","PDF")</f>
        <v>PDF</v>
      </c>
      <c r="K1786" s="12" t="s">
        <v>32476</v>
      </c>
      <c r="L1786" s="36">
        <v>0.29602356406480118</v>
      </c>
    </row>
    <row r="1787" spans="1:12" x14ac:dyDescent="0.45">
      <c r="A1787" s="12" t="s">
        <v>32389</v>
      </c>
      <c r="B1787" s="12" t="s">
        <v>1548</v>
      </c>
      <c r="C1787" s="13" t="s">
        <v>1549</v>
      </c>
      <c r="D1787" s="13" t="s">
        <v>714</v>
      </c>
      <c r="E1787" s="12" t="s">
        <v>35</v>
      </c>
      <c r="F1787" s="14">
        <v>1780000</v>
      </c>
      <c r="G1787" s="14">
        <v>1189000</v>
      </c>
      <c r="H1787" s="13" t="s">
        <v>32477</v>
      </c>
      <c r="I1787" s="40" t="s">
        <v>18</v>
      </c>
      <c r="J1787" s="40" t="str">
        <f>HYPERLINK("https://stock.pstatic.net/stock-research/company/38/20260630_company_207931000.pdf","PDF")</f>
        <v>PDF</v>
      </c>
      <c r="K1787" s="12" t="s">
        <v>32478</v>
      </c>
      <c r="L1787" s="36">
        <v>0.49705634987384362</v>
      </c>
    </row>
    <row r="1788" spans="1:12" x14ac:dyDescent="0.45">
      <c r="A1788" s="12" t="s">
        <v>32389</v>
      </c>
      <c r="B1788" s="12" t="s">
        <v>1912</v>
      </c>
      <c r="C1788" s="13" t="s">
        <v>1913</v>
      </c>
      <c r="D1788" s="13" t="s">
        <v>15</v>
      </c>
      <c r="E1788" s="12" t="s">
        <v>50</v>
      </c>
      <c r="F1788" s="13"/>
      <c r="G1788" s="14">
        <v>32200</v>
      </c>
      <c r="H1788" s="13" t="s">
        <v>32479</v>
      </c>
      <c r="I1788" s="40" t="s">
        <v>18</v>
      </c>
      <c r="J1788" s="40" t="str">
        <f>HYPERLINK("https://stock.pstatic.net/stock-research/company/56/20260630_company_162319000.pdf","PDF")</f>
        <v>PDF</v>
      </c>
      <c r="K1788" s="12" t="s">
        <v>32480</v>
      </c>
      <c r="L1788" s="12"/>
    </row>
    <row r="1789" spans="1:12" x14ac:dyDescent="0.45">
      <c r="A1789" s="12" t="s">
        <v>32389</v>
      </c>
      <c r="B1789" s="12" t="s">
        <v>5699</v>
      </c>
      <c r="C1789" s="13" t="s">
        <v>5700</v>
      </c>
      <c r="D1789" s="13" t="s">
        <v>124</v>
      </c>
      <c r="E1789" s="12" t="s">
        <v>50</v>
      </c>
      <c r="F1789" s="13"/>
      <c r="G1789" s="13"/>
      <c r="H1789" s="13" t="s">
        <v>32481</v>
      </c>
      <c r="I1789" s="40" t="s">
        <v>18</v>
      </c>
      <c r="J1789" s="40" t="str">
        <f>HYPERLINK("https://stock.pstatic.net/stock-research/company/74/20260630_company_715643000.pdf","PDF")</f>
        <v>PDF</v>
      </c>
      <c r="K1789" s="12" t="s">
        <v>32482</v>
      </c>
      <c r="L1789" s="12"/>
    </row>
    <row r="1790" spans="1:12" x14ac:dyDescent="0.45">
      <c r="A1790" s="12" t="s">
        <v>32389</v>
      </c>
      <c r="B1790" s="12" t="s">
        <v>22487</v>
      </c>
      <c r="C1790" s="13" t="s">
        <v>22488</v>
      </c>
      <c r="D1790" s="13" t="s">
        <v>1271</v>
      </c>
      <c r="E1790" s="12" t="s">
        <v>35</v>
      </c>
      <c r="F1790" s="14">
        <v>16000</v>
      </c>
      <c r="G1790" s="14">
        <v>10330</v>
      </c>
      <c r="H1790" s="13" t="s">
        <v>32483</v>
      </c>
      <c r="I1790" s="40" t="s">
        <v>18</v>
      </c>
      <c r="J1790" s="40" t="str">
        <f>HYPERLINK("https://stock.pstatic.net/stock-research/company/78/20260630_company_418954000.pdf","PDF")</f>
        <v>PDF</v>
      </c>
      <c r="K1790" s="12" t="s">
        <v>32484</v>
      </c>
      <c r="L1790" s="36">
        <v>0.54888673765730878</v>
      </c>
    </row>
    <row r="1791" spans="1:12" x14ac:dyDescent="0.45">
      <c r="A1791" s="12" t="s">
        <v>32389</v>
      </c>
      <c r="B1791" s="12" t="s">
        <v>1051</v>
      </c>
      <c r="C1791" s="13" t="s">
        <v>1052</v>
      </c>
      <c r="D1791" s="13" t="s">
        <v>1271</v>
      </c>
      <c r="E1791" s="12" t="s">
        <v>35</v>
      </c>
      <c r="F1791" s="14">
        <v>95000</v>
      </c>
      <c r="G1791" s="14">
        <v>67800</v>
      </c>
      <c r="H1791" s="13" t="s">
        <v>32485</v>
      </c>
      <c r="I1791" s="40" t="s">
        <v>18</v>
      </c>
      <c r="J1791" s="40" t="str">
        <f>HYPERLINK("https://stock.pstatic.net/stock-research/company/78/20260630_company_4037000.pdf","PDF")</f>
        <v>PDF</v>
      </c>
      <c r="K1791" s="12" t="s">
        <v>32486</v>
      </c>
      <c r="L1791" s="36">
        <v>0.40117994100294979</v>
      </c>
    </row>
    <row r="1792" spans="1:12" x14ac:dyDescent="0.45">
      <c r="A1792" s="12" t="s">
        <v>32389</v>
      </c>
      <c r="B1792" s="12" t="s">
        <v>370</v>
      </c>
      <c r="C1792" s="13" t="s">
        <v>371</v>
      </c>
      <c r="D1792" s="13" t="s">
        <v>1271</v>
      </c>
      <c r="E1792" s="12" t="s">
        <v>35</v>
      </c>
      <c r="F1792" s="14">
        <v>71000</v>
      </c>
      <c r="G1792" s="14">
        <v>48300</v>
      </c>
      <c r="H1792" s="13" t="s">
        <v>32487</v>
      </c>
      <c r="I1792" s="40" t="s">
        <v>18</v>
      </c>
      <c r="J1792" s="40" t="str">
        <f>HYPERLINK("https://stock.pstatic.net/stock-research/company/78/20260630_company_856930000.pdf","PDF")</f>
        <v>PDF</v>
      </c>
      <c r="K1792" s="12" t="s">
        <v>32488</v>
      </c>
      <c r="L1792" s="36">
        <v>0.46997929606625261</v>
      </c>
    </row>
    <row r="1793" spans="1:12" x14ac:dyDescent="0.45">
      <c r="A1793" s="12" t="s">
        <v>32389</v>
      </c>
      <c r="B1793" s="12" t="s">
        <v>800</v>
      </c>
      <c r="C1793" s="13" t="s">
        <v>801</v>
      </c>
      <c r="D1793" s="13" t="s">
        <v>1271</v>
      </c>
      <c r="E1793" s="12" t="s">
        <v>35</v>
      </c>
      <c r="F1793" s="14">
        <v>74000</v>
      </c>
      <c r="G1793" s="14">
        <v>52100</v>
      </c>
      <c r="H1793" s="13" t="s">
        <v>32489</v>
      </c>
      <c r="I1793" s="40" t="s">
        <v>18</v>
      </c>
      <c r="J1793" s="40" t="str">
        <f>HYPERLINK("https://stock.pstatic.net/stock-research/company/78/20260630_company_376176000.pdf","PDF")</f>
        <v>PDF</v>
      </c>
      <c r="K1793" s="12" t="s">
        <v>32490</v>
      </c>
      <c r="L1793" s="36">
        <v>0.42034548944337807</v>
      </c>
    </row>
    <row r="1794" spans="1:12" x14ac:dyDescent="0.45">
      <c r="A1794" s="12" t="s">
        <v>32389</v>
      </c>
      <c r="B1794" s="12" t="s">
        <v>2032</v>
      </c>
      <c r="C1794" s="13" t="s">
        <v>2033</v>
      </c>
      <c r="D1794" s="13" t="s">
        <v>1271</v>
      </c>
      <c r="E1794" s="12" t="s">
        <v>35</v>
      </c>
      <c r="F1794" s="14">
        <v>53000</v>
      </c>
      <c r="G1794" s="14">
        <v>45800</v>
      </c>
      <c r="H1794" s="13" t="s">
        <v>32491</v>
      </c>
      <c r="I1794" s="40" t="s">
        <v>18</v>
      </c>
      <c r="J1794" s="40" t="str">
        <f>HYPERLINK("https://stock.pstatic.net/stock-research/company/78/20260630_company_251467000.pdf","PDF")</f>
        <v>PDF</v>
      </c>
      <c r="K1794" s="12" t="s">
        <v>32492</v>
      </c>
      <c r="L1794" s="36">
        <v>0.15720524017467249</v>
      </c>
    </row>
    <row r="1795" spans="1:12" x14ac:dyDescent="0.45">
      <c r="A1795" s="12" t="s">
        <v>32389</v>
      </c>
      <c r="B1795" s="12" t="s">
        <v>1765</v>
      </c>
      <c r="C1795" s="13" t="s">
        <v>1766</v>
      </c>
      <c r="D1795" s="13" t="s">
        <v>1271</v>
      </c>
      <c r="E1795" s="12" t="s">
        <v>35</v>
      </c>
      <c r="F1795" s="14">
        <v>240000</v>
      </c>
      <c r="G1795" s="14">
        <v>169200</v>
      </c>
      <c r="H1795" s="13" t="s">
        <v>32493</v>
      </c>
      <c r="I1795" s="40" t="s">
        <v>18</v>
      </c>
      <c r="J1795" s="40" t="str">
        <f>HYPERLINK("https://stock.pstatic.net/stock-research/company/78/20260630_company_555240000.pdf","PDF")</f>
        <v>PDF</v>
      </c>
      <c r="K1795" s="12" t="s">
        <v>32494</v>
      </c>
      <c r="L1795" s="36">
        <v>0.41843971631205668</v>
      </c>
    </row>
    <row r="1796" spans="1:12" x14ac:dyDescent="0.45">
      <c r="A1796" s="12" t="s">
        <v>32389</v>
      </c>
      <c r="B1796" s="12" t="s">
        <v>5767</v>
      </c>
      <c r="C1796" s="13" t="s">
        <v>5768</v>
      </c>
      <c r="D1796" s="13" t="s">
        <v>1271</v>
      </c>
      <c r="E1796" s="12" t="s">
        <v>35</v>
      </c>
      <c r="F1796" s="14">
        <v>45000</v>
      </c>
      <c r="G1796" s="14">
        <v>29900</v>
      </c>
      <c r="H1796" s="13" t="s">
        <v>32495</v>
      </c>
      <c r="I1796" s="40" t="s">
        <v>18</v>
      </c>
      <c r="J1796" s="40" t="str">
        <f>HYPERLINK("https://stock.pstatic.net/stock-research/company/78/20260630_company_39463000.pdf","PDF")</f>
        <v>PDF</v>
      </c>
      <c r="K1796" s="12" t="s">
        <v>32496</v>
      </c>
      <c r="L1796" s="36">
        <v>0.50501672240802675</v>
      </c>
    </row>
    <row r="1797" spans="1:12" x14ac:dyDescent="0.45">
      <c r="A1797" s="12" t="s">
        <v>32389</v>
      </c>
      <c r="B1797" s="12" t="s">
        <v>32497</v>
      </c>
      <c r="C1797" s="13" t="s">
        <v>32498</v>
      </c>
      <c r="D1797" s="13" t="s">
        <v>1271</v>
      </c>
      <c r="E1797" s="12" t="s">
        <v>35</v>
      </c>
      <c r="F1797" s="14">
        <v>160000</v>
      </c>
      <c r="G1797" s="14">
        <v>106600</v>
      </c>
      <c r="H1797" s="13" t="s">
        <v>32499</v>
      </c>
      <c r="I1797" s="40" t="s">
        <v>18</v>
      </c>
      <c r="J1797" s="40" t="str">
        <f>HYPERLINK("https://stock.pstatic.net/stock-research/company/78/20260630_company_90395000.pdf","PDF")</f>
        <v>PDF</v>
      </c>
      <c r="K1797" s="12" t="s">
        <v>32500</v>
      </c>
      <c r="L1797" s="36">
        <v>0.50093808630393999</v>
      </c>
    </row>
    <row r="1798" spans="1:12" x14ac:dyDescent="0.45">
      <c r="A1798" s="12" t="s">
        <v>32389</v>
      </c>
      <c r="B1798" s="12" t="s">
        <v>3813</v>
      </c>
      <c r="C1798" s="13" t="s">
        <v>3814</v>
      </c>
      <c r="D1798" s="13" t="s">
        <v>1271</v>
      </c>
      <c r="E1798" s="12" t="s">
        <v>35</v>
      </c>
      <c r="F1798" s="14">
        <v>17000</v>
      </c>
      <c r="G1798" s="14">
        <v>13530</v>
      </c>
      <c r="H1798" s="13" t="s">
        <v>32501</v>
      </c>
      <c r="I1798" s="40" t="s">
        <v>18</v>
      </c>
      <c r="J1798" s="40" t="str">
        <f>HYPERLINK("https://stock.pstatic.net/stock-research/company/78/20260630_company_269243000.pdf","PDF")</f>
        <v>PDF</v>
      </c>
      <c r="K1798" s="12" t="s">
        <v>32502</v>
      </c>
      <c r="L1798" s="36">
        <v>0.25646711012564671</v>
      </c>
    </row>
    <row r="1799" spans="1:12" x14ac:dyDescent="0.45">
      <c r="A1799" s="12" t="s">
        <v>32389</v>
      </c>
      <c r="B1799" s="12" t="s">
        <v>3831</v>
      </c>
      <c r="C1799" s="13" t="s">
        <v>3832</v>
      </c>
      <c r="D1799" s="13" t="s">
        <v>1271</v>
      </c>
      <c r="E1799" s="12" t="s">
        <v>35</v>
      </c>
      <c r="F1799" s="14">
        <v>95000</v>
      </c>
      <c r="G1799" s="14">
        <v>65000</v>
      </c>
      <c r="H1799" s="13" t="s">
        <v>32503</v>
      </c>
      <c r="I1799" s="40" t="s">
        <v>18</v>
      </c>
      <c r="J1799" s="40" t="str">
        <f>HYPERLINK("https://stock.pstatic.net/stock-research/company/78/20260630_company_338519000.pdf","PDF")</f>
        <v>PDF</v>
      </c>
      <c r="K1799" s="12" t="s">
        <v>32504</v>
      </c>
      <c r="L1799" s="36">
        <v>0.46153846153846162</v>
      </c>
    </row>
    <row r="1800" spans="1:12" x14ac:dyDescent="0.45">
      <c r="A1800" s="12" t="s">
        <v>32354</v>
      </c>
      <c r="B1800" s="12" t="s">
        <v>4308</v>
      </c>
      <c r="C1800" s="13" t="s">
        <v>4309</v>
      </c>
      <c r="D1800" s="13" t="s">
        <v>57</v>
      </c>
      <c r="E1800" s="12" t="s">
        <v>35</v>
      </c>
      <c r="F1800" s="14">
        <v>6800</v>
      </c>
      <c r="G1800" s="14">
        <v>3360</v>
      </c>
      <c r="H1800" s="13" t="s">
        <v>32505</v>
      </c>
      <c r="I1800" s="40" t="s">
        <v>18</v>
      </c>
      <c r="J1800" s="40" t="str">
        <f>HYPERLINK("https://stock.pstatic.net/stock-research/company/16/20260629_company_737010000.pdf","PDF")</f>
        <v>PDF</v>
      </c>
      <c r="K1800" s="12" t="s">
        <v>32506</v>
      </c>
      <c r="L1800" s="36">
        <v>1.0238095238095239</v>
      </c>
    </row>
    <row r="1801" spans="1:12" x14ac:dyDescent="0.45">
      <c r="A1801" s="12" t="s">
        <v>32354</v>
      </c>
      <c r="B1801" s="12" t="s">
        <v>760</v>
      </c>
      <c r="C1801" s="13" t="s">
        <v>761</v>
      </c>
      <c r="D1801" s="13" t="s">
        <v>57</v>
      </c>
      <c r="E1801" s="12" t="s">
        <v>50</v>
      </c>
      <c r="F1801" s="13"/>
      <c r="G1801" s="14">
        <v>232000</v>
      </c>
      <c r="H1801" s="13" t="s">
        <v>21638</v>
      </c>
      <c r="I1801" s="40" t="s">
        <v>18</v>
      </c>
      <c r="J1801" s="40" t="str">
        <f>HYPERLINK("https://stock.pstatic.net/stock-research/company/16/20260629_company_372228000.pdf","PDF")</f>
        <v>PDF</v>
      </c>
      <c r="K1801" s="12" t="s">
        <v>32507</v>
      </c>
      <c r="L1801" s="12"/>
    </row>
    <row r="1802" spans="1:12" x14ac:dyDescent="0.45">
      <c r="A1802" s="12" t="s">
        <v>32354</v>
      </c>
      <c r="B1802" s="12" t="s">
        <v>3584</v>
      </c>
      <c r="C1802" s="13" t="s">
        <v>3585</v>
      </c>
      <c r="D1802" s="13" t="s">
        <v>57</v>
      </c>
      <c r="E1802" s="12" t="s">
        <v>35</v>
      </c>
      <c r="F1802" s="14">
        <v>25000</v>
      </c>
      <c r="G1802" s="14">
        <v>18100</v>
      </c>
      <c r="H1802" s="13" t="s">
        <v>32508</v>
      </c>
      <c r="I1802" s="40" t="s">
        <v>18</v>
      </c>
      <c r="J1802" s="40" t="str">
        <f>HYPERLINK("https://stock.pstatic.net/stock-research/company/16/20260629_company_513366000.pdf","PDF")</f>
        <v>PDF</v>
      </c>
      <c r="K1802" s="12" t="s">
        <v>32509</v>
      </c>
      <c r="L1802" s="36">
        <v>0.38121546961325969</v>
      </c>
    </row>
    <row r="1803" spans="1:12" x14ac:dyDescent="0.45">
      <c r="A1803" s="12" t="s">
        <v>32354</v>
      </c>
      <c r="B1803" s="12" t="s">
        <v>10987</v>
      </c>
      <c r="C1803" s="13" t="s">
        <v>10988</v>
      </c>
      <c r="D1803" s="13" t="s">
        <v>57</v>
      </c>
      <c r="E1803" s="12" t="s">
        <v>50</v>
      </c>
      <c r="F1803" s="13"/>
      <c r="G1803" s="14">
        <v>890</v>
      </c>
      <c r="H1803" s="13" t="s">
        <v>32510</v>
      </c>
      <c r="I1803" s="40" t="s">
        <v>18</v>
      </c>
      <c r="J1803" s="40" t="str">
        <f>HYPERLINK("https://stock.pstatic.net/stock-research/company/16/20260629_company_649249000.pdf","PDF")</f>
        <v>PDF</v>
      </c>
      <c r="K1803" s="12" t="s">
        <v>32511</v>
      </c>
      <c r="L1803" s="12"/>
    </row>
    <row r="1804" spans="1:12" x14ac:dyDescent="0.45">
      <c r="A1804" s="12" t="s">
        <v>32354</v>
      </c>
      <c r="B1804" s="12" t="s">
        <v>5597</v>
      </c>
      <c r="C1804" s="13" t="s">
        <v>5598</v>
      </c>
      <c r="D1804" s="13" t="s">
        <v>276</v>
      </c>
      <c r="E1804" s="12" t="s">
        <v>16</v>
      </c>
      <c r="F1804" s="14">
        <v>95000</v>
      </c>
      <c r="G1804" s="14">
        <v>49800</v>
      </c>
      <c r="H1804" s="13" t="s">
        <v>32512</v>
      </c>
      <c r="I1804" s="40" t="s">
        <v>18</v>
      </c>
      <c r="J1804" s="40" t="str">
        <f>HYPERLINK("https://stock.pstatic.net/stock-research/company/66/20260629_company_602456000.pdf","PDF")</f>
        <v>PDF</v>
      </c>
      <c r="K1804" s="12" t="s">
        <v>32513</v>
      </c>
      <c r="L1804" s="36">
        <v>0.90763052208835338</v>
      </c>
    </row>
    <row r="1805" spans="1:12" x14ac:dyDescent="0.45">
      <c r="A1805" s="12" t="s">
        <v>32354</v>
      </c>
      <c r="B1805" s="12" t="s">
        <v>2414</v>
      </c>
      <c r="C1805" s="13" t="s">
        <v>2415</v>
      </c>
      <c r="D1805" s="13" t="s">
        <v>60</v>
      </c>
      <c r="E1805" s="12" t="s">
        <v>35</v>
      </c>
      <c r="F1805" s="14">
        <v>2200000</v>
      </c>
      <c r="G1805" s="14">
        <v>1442000</v>
      </c>
      <c r="H1805" s="13" t="s">
        <v>32514</v>
      </c>
      <c r="I1805" s="40" t="s">
        <v>18</v>
      </c>
      <c r="J1805" s="40" t="str">
        <f>HYPERLINK("https://stock.pstatic.net/stock-research/company/62/20260629_company_867497000.pdf","PDF")</f>
        <v>PDF</v>
      </c>
      <c r="K1805" s="12" t="s">
        <v>32515</v>
      </c>
      <c r="L1805" s="36">
        <v>0.52565880721220526</v>
      </c>
    </row>
    <row r="1806" spans="1:12" x14ac:dyDescent="0.45">
      <c r="A1806" s="12" t="s">
        <v>32354</v>
      </c>
      <c r="B1806" s="12" t="s">
        <v>10511</v>
      </c>
      <c r="C1806" s="13" t="s">
        <v>10512</v>
      </c>
      <c r="D1806" s="13" t="s">
        <v>60</v>
      </c>
      <c r="E1806" s="12" t="s">
        <v>50</v>
      </c>
      <c r="F1806" s="13"/>
      <c r="G1806" s="14">
        <v>6480</v>
      </c>
      <c r="H1806" s="13" t="s">
        <v>32516</v>
      </c>
      <c r="I1806" s="40" t="s">
        <v>18</v>
      </c>
      <c r="J1806" s="40" t="str">
        <f>HYPERLINK("https://stock.pstatic.net/stock-research/company/62/20260629_company_655307000.pdf","PDF")</f>
        <v>PDF</v>
      </c>
      <c r="K1806" s="12" t="s">
        <v>32517</v>
      </c>
      <c r="L1806" s="12"/>
    </row>
    <row r="1807" spans="1:12" x14ac:dyDescent="0.45">
      <c r="A1807" s="12" t="s">
        <v>32354</v>
      </c>
      <c r="B1807" s="12" t="s">
        <v>495</v>
      </c>
      <c r="C1807" s="13" t="s">
        <v>496</v>
      </c>
      <c r="D1807" s="13" t="s">
        <v>65</v>
      </c>
      <c r="E1807" s="12" t="s">
        <v>35</v>
      </c>
      <c r="F1807" s="14">
        <v>510000</v>
      </c>
      <c r="G1807" s="14">
        <v>363000</v>
      </c>
      <c r="H1807" s="13" t="s">
        <v>32518</v>
      </c>
      <c r="I1807" s="40" t="s">
        <v>18</v>
      </c>
      <c r="J1807" s="40" t="str">
        <f>HYPERLINK("https://stock.pstatic.net/stock-research/company/57/20260629_company_407789000.pdf","PDF")</f>
        <v>PDF</v>
      </c>
      <c r="K1807" s="12" t="s">
        <v>32519</v>
      </c>
      <c r="L1807" s="36">
        <v>0.4049586776859504</v>
      </c>
    </row>
    <row r="1808" spans="1:12" x14ac:dyDescent="0.45">
      <c r="A1808" s="12" t="s">
        <v>32354</v>
      </c>
      <c r="B1808" s="12" t="s">
        <v>434</v>
      </c>
      <c r="C1808" s="13" t="s">
        <v>435</v>
      </c>
      <c r="D1808" s="13" t="s">
        <v>65</v>
      </c>
      <c r="E1808" s="12" t="s">
        <v>35</v>
      </c>
      <c r="F1808" s="14">
        <v>150000</v>
      </c>
      <c r="G1808" s="14">
        <v>97000</v>
      </c>
      <c r="H1808" s="13" t="s">
        <v>32520</v>
      </c>
      <c r="I1808" s="40" t="s">
        <v>18</v>
      </c>
      <c r="J1808" s="40" t="str">
        <f>HYPERLINK("https://stock.pstatic.net/stock-research/company/57/20260629_company_202221000.pdf","PDF")</f>
        <v>PDF</v>
      </c>
      <c r="K1808" s="12" t="s">
        <v>32521</v>
      </c>
      <c r="L1808" s="36">
        <v>0.54639175257731953</v>
      </c>
    </row>
    <row r="1809" spans="1:12" x14ac:dyDescent="0.45">
      <c r="A1809" s="12" t="s">
        <v>32354</v>
      </c>
      <c r="B1809" s="12" t="s">
        <v>352</v>
      </c>
      <c r="C1809" s="13" t="s">
        <v>353</v>
      </c>
      <c r="D1809" s="13" t="s">
        <v>65</v>
      </c>
      <c r="E1809" s="12" t="s">
        <v>35</v>
      </c>
      <c r="F1809" s="14">
        <v>283000</v>
      </c>
      <c r="G1809" s="14">
        <v>169800</v>
      </c>
      <c r="H1809" s="13" t="s">
        <v>32522</v>
      </c>
      <c r="I1809" s="40" t="s">
        <v>18</v>
      </c>
      <c r="J1809" s="40" t="str">
        <f>HYPERLINK("https://stock.pstatic.net/stock-research/company/57/20260629_company_261742000.pdf","PDF")</f>
        <v>PDF</v>
      </c>
      <c r="K1809" s="12" t="s">
        <v>32523</v>
      </c>
      <c r="L1809" s="36">
        <v>0.66666666666666663</v>
      </c>
    </row>
    <row r="1810" spans="1:12" x14ac:dyDescent="0.45">
      <c r="A1810" s="12" t="s">
        <v>32354</v>
      </c>
      <c r="B1810" s="12" t="s">
        <v>1120</v>
      </c>
      <c r="C1810" s="13" t="s">
        <v>1121</v>
      </c>
      <c r="D1810" s="13" t="s">
        <v>65</v>
      </c>
      <c r="E1810" s="12" t="s">
        <v>35</v>
      </c>
      <c r="F1810" s="14">
        <v>220000</v>
      </c>
      <c r="G1810" s="14">
        <v>126400</v>
      </c>
      <c r="H1810" s="13" t="s">
        <v>32524</v>
      </c>
      <c r="I1810" s="40" t="s">
        <v>18</v>
      </c>
      <c r="J1810" s="40" t="str">
        <f>HYPERLINK("https://stock.pstatic.net/stock-research/company/57/20260629_company_344625000.pdf","PDF")</f>
        <v>PDF</v>
      </c>
      <c r="K1810" s="12" t="s">
        <v>32525</v>
      </c>
      <c r="L1810" s="36">
        <v>0.740506329113924</v>
      </c>
    </row>
    <row r="1811" spans="1:12" x14ac:dyDescent="0.45">
      <c r="A1811" s="12" t="s">
        <v>32354</v>
      </c>
      <c r="B1811" s="12" t="s">
        <v>132</v>
      </c>
      <c r="C1811" s="13" t="s">
        <v>133</v>
      </c>
      <c r="D1811" s="13" t="s">
        <v>158</v>
      </c>
      <c r="E1811" s="12" t="s">
        <v>35</v>
      </c>
      <c r="F1811" s="14">
        <v>263000</v>
      </c>
      <c r="G1811" s="14">
        <v>200500</v>
      </c>
      <c r="H1811" s="13" t="s">
        <v>32526</v>
      </c>
      <c r="I1811" s="40" t="s">
        <v>18</v>
      </c>
      <c r="J1811" s="40" t="str">
        <f>HYPERLINK("https://stock.pstatic.net/stock-research/company/18/20260629_company_740288000.pdf","PDF")</f>
        <v>PDF</v>
      </c>
      <c r="K1811" s="12" t="s">
        <v>32527</v>
      </c>
      <c r="L1811" s="36">
        <v>0.3117206982543641</v>
      </c>
    </row>
    <row r="1812" spans="1:12" x14ac:dyDescent="0.45">
      <c r="A1812" s="12" t="s">
        <v>32354</v>
      </c>
      <c r="B1812" s="12" t="s">
        <v>1656</v>
      </c>
      <c r="C1812" s="13" t="s">
        <v>1657</v>
      </c>
      <c r="D1812" s="13" t="s">
        <v>158</v>
      </c>
      <c r="E1812" s="12" t="s">
        <v>35</v>
      </c>
      <c r="F1812" s="14">
        <v>910000</v>
      </c>
      <c r="G1812" s="14">
        <v>740000</v>
      </c>
      <c r="H1812" s="13" t="s">
        <v>32528</v>
      </c>
      <c r="I1812" s="40" t="s">
        <v>18</v>
      </c>
      <c r="J1812" s="40" t="str">
        <f>HYPERLINK("https://stock.pstatic.net/stock-research/company/18/20260629_company_387806000.pdf","PDF")</f>
        <v>PDF</v>
      </c>
      <c r="K1812" s="12" t="s">
        <v>32529</v>
      </c>
      <c r="L1812" s="36">
        <v>0.22972972972972969</v>
      </c>
    </row>
    <row r="1813" spans="1:12" x14ac:dyDescent="0.45">
      <c r="A1813" s="12" t="s">
        <v>32354</v>
      </c>
      <c r="B1813" s="12" t="s">
        <v>3087</v>
      </c>
      <c r="C1813" s="13" t="s">
        <v>3088</v>
      </c>
      <c r="D1813" s="13" t="s">
        <v>158</v>
      </c>
      <c r="E1813" s="12" t="s">
        <v>35</v>
      </c>
      <c r="F1813" s="14">
        <v>433000</v>
      </c>
      <c r="G1813" s="14">
        <v>216500</v>
      </c>
      <c r="H1813" s="13" t="s">
        <v>32530</v>
      </c>
      <c r="I1813" s="40" t="s">
        <v>18</v>
      </c>
      <c r="J1813" s="40" t="str">
        <f>HYPERLINK("https://stock.pstatic.net/stock-research/company/18/20260629_company_881896000.pdf","PDF")</f>
        <v>PDF</v>
      </c>
      <c r="K1813" s="12" t="s">
        <v>32531</v>
      </c>
      <c r="L1813" s="36">
        <v>1</v>
      </c>
    </row>
    <row r="1814" spans="1:12" x14ac:dyDescent="0.45">
      <c r="A1814" s="12" t="s">
        <v>32354</v>
      </c>
      <c r="B1814" s="12" t="s">
        <v>1491</v>
      </c>
      <c r="C1814" s="13" t="s">
        <v>1492</v>
      </c>
      <c r="D1814" s="13" t="s">
        <v>92</v>
      </c>
      <c r="E1814" s="12" t="s">
        <v>35</v>
      </c>
      <c r="F1814" s="14">
        <v>30000</v>
      </c>
      <c r="G1814" s="14">
        <v>15180</v>
      </c>
      <c r="H1814" s="13" t="s">
        <v>32532</v>
      </c>
      <c r="I1814" s="40" t="s">
        <v>18</v>
      </c>
      <c r="J1814" s="40" t="str">
        <f>HYPERLINK("https://stock.pstatic.net/stock-research/company/63/20260629_company_431004000.pdf","PDF")</f>
        <v>PDF</v>
      </c>
      <c r="K1814" s="12" t="s">
        <v>32533</v>
      </c>
      <c r="L1814" s="36">
        <v>0.97628458498023718</v>
      </c>
    </row>
    <row r="1815" spans="1:12" x14ac:dyDescent="0.45">
      <c r="A1815" s="12" t="s">
        <v>32354</v>
      </c>
      <c r="B1815" s="12" t="s">
        <v>1081</v>
      </c>
      <c r="C1815" s="13" t="s">
        <v>1082</v>
      </c>
      <c r="D1815" s="13" t="s">
        <v>53</v>
      </c>
      <c r="E1815" s="12" t="s">
        <v>16</v>
      </c>
      <c r="F1815" s="14">
        <v>2090000</v>
      </c>
      <c r="G1815" s="14">
        <v>1343000</v>
      </c>
      <c r="H1815" s="13" t="s">
        <v>32534</v>
      </c>
      <c r="I1815" s="40" t="s">
        <v>18</v>
      </c>
      <c r="J1815" s="40" t="str">
        <f>HYPERLINK("https://stock.pstatic.net/stock-research/company/40/20260629_company_978675000.pdf","PDF")</f>
        <v>PDF</v>
      </c>
      <c r="K1815" s="12" t="s">
        <v>32535</v>
      </c>
      <c r="L1815" s="36">
        <v>0.55621742367833205</v>
      </c>
    </row>
    <row r="1816" spans="1:12" x14ac:dyDescent="0.45">
      <c r="A1816" s="12" t="s">
        <v>32354</v>
      </c>
      <c r="B1816" s="12" t="s">
        <v>6642</v>
      </c>
      <c r="C1816" s="13" t="s">
        <v>6643</v>
      </c>
      <c r="D1816" s="13" t="s">
        <v>92</v>
      </c>
      <c r="E1816" s="12" t="s">
        <v>50</v>
      </c>
      <c r="F1816" s="13"/>
      <c r="G1816" s="14">
        <v>29950</v>
      </c>
      <c r="H1816" s="13" t="s">
        <v>32536</v>
      </c>
      <c r="I1816" s="40" t="s">
        <v>18</v>
      </c>
      <c r="J1816" s="40" t="str">
        <f>HYPERLINK("https://stock.pstatic.net/stock-research/company/63/20260629_company_570780000.pdf","PDF")</f>
        <v>PDF</v>
      </c>
      <c r="K1816" s="12" t="s">
        <v>32537</v>
      </c>
      <c r="L1816" s="12"/>
    </row>
    <row r="1817" spans="1:12" x14ac:dyDescent="0.45">
      <c r="A1817" s="12" t="s">
        <v>32354</v>
      </c>
      <c r="B1817" s="12" t="s">
        <v>4642</v>
      </c>
      <c r="C1817" s="13" t="s">
        <v>4643</v>
      </c>
      <c r="D1817" s="13" t="s">
        <v>23</v>
      </c>
      <c r="E1817" s="12" t="s">
        <v>16</v>
      </c>
      <c r="F1817" s="14">
        <v>35000</v>
      </c>
      <c r="G1817" s="14">
        <v>28050</v>
      </c>
      <c r="H1817" s="13" t="s">
        <v>32538</v>
      </c>
      <c r="I1817" s="40" t="s">
        <v>18</v>
      </c>
      <c r="J1817" s="40" t="str">
        <f>HYPERLINK("https://stock.pstatic.net/stock-research/company/21/20260629_company_578587000.pdf","PDF")</f>
        <v>PDF</v>
      </c>
      <c r="K1817" s="12" t="s">
        <v>32539</v>
      </c>
      <c r="L1817" s="36">
        <v>0.2477718360071301</v>
      </c>
    </row>
    <row r="1818" spans="1:12" x14ac:dyDescent="0.45">
      <c r="A1818" s="12" t="s">
        <v>32354</v>
      </c>
      <c r="B1818" s="12" t="s">
        <v>756</v>
      </c>
      <c r="C1818" s="13" t="s">
        <v>757</v>
      </c>
      <c r="D1818" s="13" t="s">
        <v>23</v>
      </c>
      <c r="E1818" s="12" t="s">
        <v>16</v>
      </c>
      <c r="F1818" s="14">
        <v>130000</v>
      </c>
      <c r="G1818" s="14">
        <v>90700</v>
      </c>
      <c r="H1818" s="13" t="s">
        <v>32540</v>
      </c>
      <c r="I1818" s="40" t="s">
        <v>18</v>
      </c>
      <c r="J1818" s="40" t="str">
        <f>HYPERLINK("https://stock.pstatic.net/stock-research/company/21/20260629_company_480151000.pdf","PDF")</f>
        <v>PDF</v>
      </c>
      <c r="K1818" s="12" t="s">
        <v>32541</v>
      </c>
      <c r="L1818" s="36">
        <v>0.43329658213891947</v>
      </c>
    </row>
    <row r="1819" spans="1:12" x14ac:dyDescent="0.45">
      <c r="A1819" s="12" t="s">
        <v>32354</v>
      </c>
      <c r="B1819" s="12" t="s">
        <v>657</v>
      </c>
      <c r="C1819" s="13" t="s">
        <v>658</v>
      </c>
      <c r="D1819" s="13" t="s">
        <v>34</v>
      </c>
      <c r="E1819" s="12" t="s">
        <v>35</v>
      </c>
      <c r="F1819" s="14">
        <v>25500</v>
      </c>
      <c r="G1819" s="14">
        <v>16600</v>
      </c>
      <c r="H1819" s="13" t="s">
        <v>32542</v>
      </c>
      <c r="I1819" s="40" t="s">
        <v>18</v>
      </c>
      <c r="J1819" s="40" t="str">
        <f>HYPERLINK("https://stock.pstatic.net/stock-research/company/61/20260629_company_63427000.pdf","PDF")</f>
        <v>PDF</v>
      </c>
      <c r="K1819" s="12" t="s">
        <v>32543</v>
      </c>
      <c r="L1819" s="36">
        <v>0.53614457831325302</v>
      </c>
    </row>
    <row r="1820" spans="1:12" x14ac:dyDescent="0.45">
      <c r="A1820" s="12" t="s">
        <v>32354</v>
      </c>
      <c r="B1820" s="12" t="s">
        <v>1162</v>
      </c>
      <c r="C1820" s="13" t="s">
        <v>1163</v>
      </c>
      <c r="D1820" s="13" t="s">
        <v>34</v>
      </c>
      <c r="E1820" s="12" t="s">
        <v>35</v>
      </c>
      <c r="F1820" s="14">
        <v>215000</v>
      </c>
      <c r="G1820" s="14">
        <v>150000</v>
      </c>
      <c r="H1820" s="13" t="s">
        <v>32544</v>
      </c>
      <c r="I1820" s="40" t="s">
        <v>18</v>
      </c>
      <c r="J1820" s="40" t="str">
        <f>HYPERLINK("https://stock.pstatic.net/stock-research/company/61/20260629_company_955190000.pdf","PDF")</f>
        <v>PDF</v>
      </c>
      <c r="K1820" s="12" t="s">
        <v>32545</v>
      </c>
      <c r="L1820" s="36">
        <v>0.43333333333333329</v>
      </c>
    </row>
    <row r="1821" spans="1:12" x14ac:dyDescent="0.45">
      <c r="A1821" s="12" t="s">
        <v>32354</v>
      </c>
      <c r="B1821" s="12" t="s">
        <v>3972</v>
      </c>
      <c r="C1821" s="13" t="s">
        <v>3973</v>
      </c>
      <c r="D1821" s="13" t="s">
        <v>53</v>
      </c>
      <c r="E1821" s="12" t="s">
        <v>16</v>
      </c>
      <c r="F1821" s="14">
        <v>141000</v>
      </c>
      <c r="G1821" s="14">
        <v>54800</v>
      </c>
      <c r="H1821" s="13" t="s">
        <v>32546</v>
      </c>
      <c r="I1821" s="40" t="s">
        <v>18</v>
      </c>
      <c r="J1821" s="40" t="str">
        <f>HYPERLINK("https://stock.pstatic.net/stock-research/company/40/20260629_company_582095000.pdf","PDF")</f>
        <v>PDF</v>
      </c>
      <c r="K1821" s="12" t="s">
        <v>32547</v>
      </c>
      <c r="L1821" s="36">
        <v>1.5729927007299269</v>
      </c>
    </row>
    <row r="1822" spans="1:12" x14ac:dyDescent="0.45">
      <c r="A1822" s="12" t="s">
        <v>32354</v>
      </c>
      <c r="B1822" s="12" t="s">
        <v>95</v>
      </c>
      <c r="C1822" s="13" t="s">
        <v>31</v>
      </c>
      <c r="D1822" s="13" t="s">
        <v>53</v>
      </c>
      <c r="E1822" s="12" t="s">
        <v>16</v>
      </c>
      <c r="F1822" s="14">
        <v>60000</v>
      </c>
      <c r="G1822" s="14">
        <v>41450</v>
      </c>
      <c r="H1822" s="13" t="s">
        <v>32548</v>
      </c>
      <c r="I1822" s="40" t="s">
        <v>18</v>
      </c>
      <c r="J1822" s="40" t="str">
        <f>HYPERLINK("https://stock.pstatic.net/stock-research/company/40/20260629_company_410024000.pdf","PDF")</f>
        <v>PDF</v>
      </c>
      <c r="K1822" s="12" t="s">
        <v>32549</v>
      </c>
      <c r="L1822" s="36">
        <v>0.44752714113389619</v>
      </c>
    </row>
    <row r="1823" spans="1:12" x14ac:dyDescent="0.45">
      <c r="A1823" s="12" t="s">
        <v>32354</v>
      </c>
      <c r="B1823" s="12" t="s">
        <v>13</v>
      </c>
      <c r="C1823" s="13" t="s">
        <v>14</v>
      </c>
      <c r="D1823" s="13" t="s">
        <v>44</v>
      </c>
      <c r="E1823" s="12" t="s">
        <v>35</v>
      </c>
      <c r="F1823" s="14">
        <v>430000</v>
      </c>
      <c r="G1823" s="14">
        <v>339500</v>
      </c>
      <c r="H1823" s="13" t="s">
        <v>32550</v>
      </c>
      <c r="I1823" s="40" t="s">
        <v>18</v>
      </c>
      <c r="J1823" s="40" t="str">
        <f>HYPERLINK("https://stock.pstatic.net/stock-research/company/39/20260629_company_696104000.pdf","PDF")</f>
        <v>PDF</v>
      </c>
      <c r="K1823" s="12" t="s">
        <v>32551</v>
      </c>
      <c r="L1823" s="36">
        <v>0.26656848306332842</v>
      </c>
    </row>
    <row r="1824" spans="1:12" x14ac:dyDescent="0.45">
      <c r="A1824" s="12" t="s">
        <v>32354</v>
      </c>
      <c r="B1824" s="12" t="s">
        <v>22986</v>
      </c>
      <c r="C1824" s="13" t="s">
        <v>22987</v>
      </c>
      <c r="D1824" s="13" t="s">
        <v>124</v>
      </c>
      <c r="E1824" s="12" t="s">
        <v>50</v>
      </c>
      <c r="F1824" s="13"/>
      <c r="G1824" s="13"/>
      <c r="H1824" s="13" t="s">
        <v>32552</v>
      </c>
      <c r="I1824" s="40" t="s">
        <v>18</v>
      </c>
      <c r="J1824" s="40" t="str">
        <f>HYPERLINK("https://stock.pstatic.net/stock-research/company/74/20260629_company_170721000.pdf","PDF")</f>
        <v>PDF</v>
      </c>
      <c r="K1824" s="12" t="s">
        <v>32553</v>
      </c>
      <c r="L1824" s="12"/>
    </row>
    <row r="1825" spans="1:12" x14ac:dyDescent="0.45">
      <c r="A1825" s="12" t="s">
        <v>32354</v>
      </c>
      <c r="B1825" s="12" t="s">
        <v>2369</v>
      </c>
      <c r="C1825" s="13" t="s">
        <v>2370</v>
      </c>
      <c r="D1825" s="13" t="s">
        <v>15</v>
      </c>
      <c r="E1825" s="12" t="s">
        <v>16</v>
      </c>
      <c r="F1825" s="14">
        <v>1000000</v>
      </c>
      <c r="G1825" s="14">
        <v>481000</v>
      </c>
      <c r="H1825" s="13" t="s">
        <v>32554</v>
      </c>
      <c r="I1825" s="40" t="s">
        <v>18</v>
      </c>
      <c r="J1825" s="40" t="str">
        <f>HYPERLINK("https://stock.pstatic.net/stock-research/company/56/20260629_company_676662000.pdf","PDF")</f>
        <v>PDF</v>
      </c>
      <c r="K1825" s="12" t="s">
        <v>32555</v>
      </c>
      <c r="L1825" s="36">
        <v>1.0790020790020789</v>
      </c>
    </row>
    <row r="1826" spans="1:12" x14ac:dyDescent="0.45">
      <c r="A1826" s="12" t="s">
        <v>32288</v>
      </c>
      <c r="B1826" s="12" t="s">
        <v>1120</v>
      </c>
      <c r="C1826" s="13" t="s">
        <v>1121</v>
      </c>
      <c r="D1826" s="13" t="s">
        <v>57</v>
      </c>
      <c r="E1826" s="12" t="s">
        <v>35</v>
      </c>
      <c r="F1826" s="14">
        <v>180000</v>
      </c>
      <c r="G1826" s="14">
        <v>124800</v>
      </c>
      <c r="H1826" s="13" t="s">
        <v>32355</v>
      </c>
      <c r="I1826" s="40" t="s">
        <v>18</v>
      </c>
      <c r="J1826" s="40" t="str">
        <f>HYPERLINK("https://stock.pstatic.net/stock-research/company/16/20260626_company_841395000.pdf","PDF")</f>
        <v>PDF</v>
      </c>
      <c r="K1826" s="12" t="s">
        <v>32356</v>
      </c>
      <c r="L1826" s="36">
        <v>0.44230769230769229</v>
      </c>
    </row>
    <row r="1827" spans="1:12" x14ac:dyDescent="0.45">
      <c r="A1827" s="12" t="s">
        <v>32288</v>
      </c>
      <c r="B1827" s="12" t="s">
        <v>824</v>
      </c>
      <c r="C1827" s="13" t="s">
        <v>825</v>
      </c>
      <c r="D1827" s="13" t="s">
        <v>57</v>
      </c>
      <c r="E1827" s="12" t="s">
        <v>35</v>
      </c>
      <c r="F1827" s="14">
        <v>68000</v>
      </c>
      <c r="G1827" s="14">
        <v>39400</v>
      </c>
      <c r="H1827" s="13" t="s">
        <v>32357</v>
      </c>
      <c r="I1827" s="40" t="s">
        <v>18</v>
      </c>
      <c r="J1827" s="40" t="str">
        <f>HYPERLINK("https://stock.pstatic.net/stock-research/company/16/20260626_company_945168000.pdf","PDF")</f>
        <v>PDF</v>
      </c>
      <c r="K1827" s="12" t="s">
        <v>32358</v>
      </c>
      <c r="L1827" s="36">
        <v>0.7258883248730964</v>
      </c>
    </row>
    <row r="1828" spans="1:12" x14ac:dyDescent="0.45">
      <c r="A1828" s="12" t="s">
        <v>32288</v>
      </c>
      <c r="B1828" s="12" t="s">
        <v>685</v>
      </c>
      <c r="C1828" s="13" t="s">
        <v>686</v>
      </c>
      <c r="D1828" s="13" t="s">
        <v>65</v>
      </c>
      <c r="E1828" s="12" t="s">
        <v>50</v>
      </c>
      <c r="F1828" s="13"/>
      <c r="G1828" s="14">
        <v>29150</v>
      </c>
      <c r="H1828" s="13" t="s">
        <v>32359</v>
      </c>
      <c r="I1828" s="40" t="s">
        <v>18</v>
      </c>
      <c r="J1828" s="40" t="str">
        <f>HYPERLINK("https://stock.pstatic.net/stock-research/company/57/20260626_company_550766000.pdf","PDF")</f>
        <v>PDF</v>
      </c>
      <c r="K1828" s="12" t="s">
        <v>32360</v>
      </c>
      <c r="L1828" s="12"/>
    </row>
    <row r="1829" spans="1:12" x14ac:dyDescent="0.45">
      <c r="A1829" s="12" t="s">
        <v>32288</v>
      </c>
      <c r="B1829" s="12" t="s">
        <v>334</v>
      </c>
      <c r="C1829" s="13" t="s">
        <v>335</v>
      </c>
      <c r="D1829" s="13" t="s">
        <v>65</v>
      </c>
      <c r="E1829" s="12" t="s">
        <v>35</v>
      </c>
      <c r="F1829" s="14">
        <v>3600000</v>
      </c>
      <c r="G1829" s="14">
        <v>2917000</v>
      </c>
      <c r="H1829" s="13" t="s">
        <v>32361</v>
      </c>
      <c r="I1829" s="40" t="s">
        <v>18</v>
      </c>
      <c r="J1829" s="40" t="str">
        <f>HYPERLINK("https://stock.pstatic.net/stock-research/company/57/20260626_company_614113000.pdf","PDF")</f>
        <v>PDF</v>
      </c>
      <c r="K1829" s="12" t="s">
        <v>32362</v>
      </c>
      <c r="L1829" s="36">
        <v>0.23414466918066509</v>
      </c>
    </row>
    <row r="1830" spans="1:12" x14ac:dyDescent="0.45">
      <c r="A1830" s="12" t="s">
        <v>32288</v>
      </c>
      <c r="B1830" s="12" t="s">
        <v>10471</v>
      </c>
      <c r="C1830" s="13" t="s">
        <v>10472</v>
      </c>
      <c r="D1830" s="13" t="s">
        <v>65</v>
      </c>
      <c r="E1830" s="12" t="s">
        <v>50</v>
      </c>
      <c r="F1830" s="13"/>
      <c r="G1830" s="14">
        <v>2915</v>
      </c>
      <c r="H1830" s="13" t="s">
        <v>10473</v>
      </c>
      <c r="I1830" s="40" t="s">
        <v>18</v>
      </c>
      <c r="J1830" s="40" t="str">
        <f>HYPERLINK("https://stock.pstatic.net/stock-research/company/57/20260626_company_517311000.pdf","PDF")</f>
        <v>PDF</v>
      </c>
      <c r="K1830" s="12" t="s">
        <v>32363</v>
      </c>
      <c r="L1830" s="12"/>
    </row>
    <row r="1831" spans="1:12" x14ac:dyDescent="0.45">
      <c r="A1831" s="12" t="s">
        <v>32288</v>
      </c>
      <c r="B1831" s="12" t="s">
        <v>10477</v>
      </c>
      <c r="C1831" s="13" t="s">
        <v>10478</v>
      </c>
      <c r="D1831" s="13" t="s">
        <v>65</v>
      </c>
      <c r="E1831" s="12" t="s">
        <v>50</v>
      </c>
      <c r="F1831" s="13"/>
      <c r="G1831" s="14">
        <v>1969</v>
      </c>
      <c r="H1831" s="13" t="s">
        <v>10479</v>
      </c>
      <c r="I1831" s="40" t="s">
        <v>18</v>
      </c>
      <c r="J1831" s="40" t="str">
        <f>HYPERLINK("https://stock.pstatic.net/stock-research/company/57/20260626_company_473515000.pdf","PDF")</f>
        <v>PDF</v>
      </c>
      <c r="K1831" s="12" t="s">
        <v>32364</v>
      </c>
      <c r="L1831" s="12"/>
    </row>
    <row r="1832" spans="1:12" x14ac:dyDescent="0.45">
      <c r="A1832" s="12" t="s">
        <v>32288</v>
      </c>
      <c r="B1832" s="12" t="s">
        <v>32365</v>
      </c>
      <c r="C1832" s="13" t="s">
        <v>32366</v>
      </c>
      <c r="D1832" s="13" t="s">
        <v>158</v>
      </c>
      <c r="E1832" s="12" t="s">
        <v>50</v>
      </c>
      <c r="F1832" s="13"/>
      <c r="G1832" s="14">
        <v>15010</v>
      </c>
      <c r="H1832" s="13" t="s">
        <v>32367</v>
      </c>
      <c r="I1832" s="40" t="s">
        <v>18</v>
      </c>
      <c r="J1832" s="40" t="str">
        <f>HYPERLINK("https://stock.pstatic.net/stock-research/company/18/20260626_company_226867000.pdf","PDF")</f>
        <v>PDF</v>
      </c>
      <c r="K1832" s="12" t="s">
        <v>32368</v>
      </c>
      <c r="L1832" s="12"/>
    </row>
    <row r="1833" spans="1:12" x14ac:dyDescent="0.45">
      <c r="A1833" s="12" t="s">
        <v>32288</v>
      </c>
      <c r="B1833" s="12" t="s">
        <v>32369</v>
      </c>
      <c r="C1833" s="13" t="s">
        <v>32370</v>
      </c>
      <c r="D1833" s="13" t="s">
        <v>158</v>
      </c>
      <c r="E1833" s="12" t="s">
        <v>50</v>
      </c>
      <c r="F1833" s="13"/>
      <c r="G1833" s="14">
        <v>1170</v>
      </c>
      <c r="H1833" s="13" t="s">
        <v>32371</v>
      </c>
      <c r="I1833" s="40" t="s">
        <v>18</v>
      </c>
      <c r="J1833" s="40" t="str">
        <f>HYPERLINK("https://stock.pstatic.net/stock-research/company/18/20260626_company_486362000.pdf","PDF")</f>
        <v>PDF</v>
      </c>
      <c r="K1833" s="12" t="s">
        <v>32372</v>
      </c>
      <c r="L1833" s="12"/>
    </row>
    <row r="1834" spans="1:12" x14ac:dyDescent="0.45">
      <c r="A1834" s="12" t="s">
        <v>32288</v>
      </c>
      <c r="B1834" s="12" t="s">
        <v>13</v>
      </c>
      <c r="C1834" s="13" t="s">
        <v>14</v>
      </c>
      <c r="D1834" s="13" t="s">
        <v>83</v>
      </c>
      <c r="E1834" s="12" t="s">
        <v>35</v>
      </c>
      <c r="F1834" s="14">
        <v>560000</v>
      </c>
      <c r="G1834" s="14">
        <v>340500</v>
      </c>
      <c r="H1834" s="13" t="s">
        <v>32373</v>
      </c>
      <c r="I1834" s="40" t="s">
        <v>18</v>
      </c>
      <c r="J1834" s="40" t="str">
        <f>HYPERLINK("https://stock.pstatic.net/stock-research/company/15/20260626_company_595731000.pdf","PDF")</f>
        <v>PDF</v>
      </c>
      <c r="K1834" s="12" t="s">
        <v>32374</v>
      </c>
      <c r="L1834" s="36">
        <v>0.64464023494860501</v>
      </c>
    </row>
    <row r="1835" spans="1:12" x14ac:dyDescent="0.45">
      <c r="A1835" s="12" t="s">
        <v>32288</v>
      </c>
      <c r="B1835" s="12" t="s">
        <v>5098</v>
      </c>
      <c r="C1835" s="13" t="s">
        <v>5099</v>
      </c>
      <c r="D1835" s="13" t="s">
        <v>83</v>
      </c>
      <c r="E1835" s="12" t="s">
        <v>50</v>
      </c>
      <c r="F1835" s="13"/>
      <c r="G1835" s="14">
        <v>13700</v>
      </c>
      <c r="H1835" s="13" t="s">
        <v>32375</v>
      </c>
      <c r="I1835" s="40" t="s">
        <v>18</v>
      </c>
      <c r="J1835" s="40" t="str">
        <f>HYPERLINK("https://stock.pstatic.net/stock-research/company/15/20260626_company_96342000.pdf","PDF")</f>
        <v>PDF</v>
      </c>
      <c r="K1835" s="12" t="s">
        <v>32376</v>
      </c>
      <c r="L1835" s="12"/>
    </row>
    <row r="1836" spans="1:12" x14ac:dyDescent="0.45">
      <c r="A1836" s="12" t="s">
        <v>32288</v>
      </c>
      <c r="B1836" s="12" t="s">
        <v>11894</v>
      </c>
      <c r="C1836" s="13" t="s">
        <v>11895</v>
      </c>
      <c r="D1836" s="13" t="s">
        <v>83</v>
      </c>
      <c r="E1836" s="12" t="s">
        <v>50</v>
      </c>
      <c r="F1836" s="13"/>
      <c r="G1836" s="14">
        <v>15180</v>
      </c>
      <c r="H1836" s="13" t="s">
        <v>32377</v>
      </c>
      <c r="I1836" s="40" t="s">
        <v>18</v>
      </c>
      <c r="J1836" s="40" t="str">
        <f>HYPERLINK("https://stock.pstatic.net/stock-research/company/15/20260626_company_22624000.pdf","PDF")</f>
        <v>PDF</v>
      </c>
      <c r="K1836" s="12" t="s">
        <v>32378</v>
      </c>
      <c r="L1836" s="12"/>
    </row>
    <row r="1837" spans="1:12" x14ac:dyDescent="0.45">
      <c r="A1837" s="12" t="s">
        <v>32288</v>
      </c>
      <c r="B1837" s="12" t="s">
        <v>6252</v>
      </c>
      <c r="C1837" s="13" t="s">
        <v>6253</v>
      </c>
      <c r="D1837" s="13" t="s">
        <v>179</v>
      </c>
      <c r="E1837" s="12" t="s">
        <v>50</v>
      </c>
      <c r="F1837" s="13"/>
      <c r="G1837" s="14">
        <v>40000</v>
      </c>
      <c r="H1837" s="13" t="s">
        <v>32379</v>
      </c>
      <c r="I1837" s="40" t="s">
        <v>18</v>
      </c>
      <c r="J1837" s="40" t="str">
        <f>HYPERLINK("https://stock.pstatic.net/stock-research/company/64/20260626_company_569288000.pdf","PDF")</f>
        <v>PDF</v>
      </c>
      <c r="K1837" s="12" t="s">
        <v>32380</v>
      </c>
      <c r="L1837" s="12"/>
    </row>
    <row r="1838" spans="1:12" x14ac:dyDescent="0.45">
      <c r="A1838" s="12" t="s">
        <v>32288</v>
      </c>
      <c r="B1838" s="12" t="s">
        <v>3093</v>
      </c>
      <c r="C1838" s="13" t="s">
        <v>3094</v>
      </c>
      <c r="D1838" s="13" t="s">
        <v>23</v>
      </c>
      <c r="E1838" s="12" t="s">
        <v>16</v>
      </c>
      <c r="F1838" s="14">
        <v>7600</v>
      </c>
      <c r="G1838" s="14">
        <v>5210</v>
      </c>
      <c r="H1838" s="13" t="s">
        <v>32381</v>
      </c>
      <c r="I1838" s="40" t="s">
        <v>18</v>
      </c>
      <c r="J1838" s="40" t="str">
        <f>HYPERLINK("https://stock.pstatic.net/stock-research/company/21/20260626_company_596846000.pdf","PDF")</f>
        <v>PDF</v>
      </c>
      <c r="K1838" s="12" t="s">
        <v>32382</v>
      </c>
      <c r="L1838" s="36">
        <v>0.45873320537428031</v>
      </c>
    </row>
    <row r="1839" spans="1:12" x14ac:dyDescent="0.45">
      <c r="A1839" s="12" t="s">
        <v>32288</v>
      </c>
      <c r="B1839" s="12" t="s">
        <v>1176</v>
      </c>
      <c r="C1839" s="13" t="s">
        <v>1177</v>
      </c>
      <c r="D1839" s="13" t="s">
        <v>179</v>
      </c>
      <c r="E1839" s="12" t="s">
        <v>16</v>
      </c>
      <c r="F1839" s="14">
        <v>20000</v>
      </c>
      <c r="G1839" s="14">
        <v>14840</v>
      </c>
      <c r="H1839" s="13" t="s">
        <v>32383</v>
      </c>
      <c r="I1839" s="40" t="s">
        <v>18</v>
      </c>
      <c r="J1839" s="40" t="str">
        <f>HYPERLINK("https://stock.pstatic.net/stock-research/company/64/20260626_company_56813000.pdf","PDF")</f>
        <v>PDF</v>
      </c>
      <c r="K1839" s="12" t="s">
        <v>32384</v>
      </c>
      <c r="L1839" s="36">
        <v>0.34770889487870621</v>
      </c>
    </row>
    <row r="1840" spans="1:12" x14ac:dyDescent="0.45">
      <c r="A1840" s="12" t="s">
        <v>32288</v>
      </c>
      <c r="B1840" s="12" t="s">
        <v>32385</v>
      </c>
      <c r="C1840" s="13" t="s">
        <v>32386</v>
      </c>
      <c r="D1840" s="13" t="s">
        <v>124</v>
      </c>
      <c r="E1840" s="12" t="s">
        <v>50</v>
      </c>
      <c r="F1840" s="13"/>
      <c r="G1840" s="13"/>
      <c r="H1840" s="13" t="s">
        <v>32387</v>
      </c>
      <c r="I1840" s="40" t="s">
        <v>18</v>
      </c>
      <c r="J1840" s="40" t="str">
        <f>HYPERLINK("https://stock.pstatic.net/stock-research/company/74/20260626_company_373857000.pdf","PDF")</f>
        <v>PDF</v>
      </c>
      <c r="K1840" s="12" t="s">
        <v>32388</v>
      </c>
      <c r="L1840" s="12"/>
    </row>
    <row r="1841" spans="1:12" x14ac:dyDescent="0.45">
      <c r="A1841" s="12" t="s">
        <v>32288</v>
      </c>
      <c r="B1841" s="12" t="s">
        <v>541</v>
      </c>
      <c r="C1841" s="13" t="s">
        <v>542</v>
      </c>
      <c r="D1841" s="13" t="s">
        <v>53</v>
      </c>
      <c r="E1841" s="12" t="s">
        <v>16</v>
      </c>
      <c r="F1841" s="14">
        <v>107000</v>
      </c>
      <c r="G1841" s="14">
        <v>91400</v>
      </c>
      <c r="H1841" s="13" t="s">
        <v>32289</v>
      </c>
      <c r="I1841" s="40" t="s">
        <v>18</v>
      </c>
      <c r="J1841" s="40" t="str">
        <f>HYPERLINK("https://stock.pstatic.net/stock-research/company/40/20260626_company_698992000.pdf","PDF")</f>
        <v>PDF</v>
      </c>
      <c r="K1841" s="12" t="s">
        <v>32290</v>
      </c>
      <c r="L1841" s="36">
        <v>0.17067833698030629</v>
      </c>
    </row>
    <row r="1842" spans="1:12" x14ac:dyDescent="0.45">
      <c r="A1842" s="12" t="s">
        <v>32288</v>
      </c>
      <c r="B1842" s="12" t="s">
        <v>32291</v>
      </c>
      <c r="C1842" s="13" t="s">
        <v>32292</v>
      </c>
      <c r="D1842" s="13" t="s">
        <v>53</v>
      </c>
      <c r="E1842" s="12" t="s">
        <v>50</v>
      </c>
      <c r="F1842" s="13"/>
      <c r="G1842" s="14">
        <v>52300</v>
      </c>
      <c r="H1842" s="13" t="s">
        <v>32293</v>
      </c>
      <c r="I1842" s="40" t="s">
        <v>18</v>
      </c>
      <c r="J1842" s="40" t="str">
        <f>HYPERLINK("https://stock.pstatic.net/stock-research/company/40/20260626_company_452472000.pdf","PDF")</f>
        <v>PDF</v>
      </c>
      <c r="K1842" s="12" t="s">
        <v>32294</v>
      </c>
      <c r="L1842" s="12"/>
    </row>
    <row r="1843" spans="1:12" x14ac:dyDescent="0.45">
      <c r="A1843" s="12" t="s">
        <v>32288</v>
      </c>
      <c r="B1843" s="12" t="s">
        <v>32295</v>
      </c>
      <c r="C1843" s="13" t="s">
        <v>32296</v>
      </c>
      <c r="D1843" s="13" t="s">
        <v>44</v>
      </c>
      <c r="E1843" s="12" t="s">
        <v>50</v>
      </c>
      <c r="F1843" s="13"/>
      <c r="G1843" s="14">
        <v>2745</v>
      </c>
      <c r="H1843" s="13" t="s">
        <v>32297</v>
      </c>
      <c r="I1843" s="40" t="s">
        <v>18</v>
      </c>
      <c r="J1843" s="40" t="str">
        <f>HYPERLINK("https://stock.pstatic.net/stock-research/company/39/20260626_company_690087000.pdf","PDF")</f>
        <v>PDF</v>
      </c>
      <c r="K1843" s="12" t="s">
        <v>32298</v>
      </c>
      <c r="L1843" s="12"/>
    </row>
    <row r="1844" spans="1:12" x14ac:dyDescent="0.45">
      <c r="A1844" s="12" t="s">
        <v>32288</v>
      </c>
      <c r="B1844" s="12" t="s">
        <v>9205</v>
      </c>
      <c r="C1844" s="13" t="s">
        <v>9206</v>
      </c>
      <c r="D1844" s="13" t="s">
        <v>124</v>
      </c>
      <c r="E1844" s="12" t="s">
        <v>50</v>
      </c>
      <c r="F1844" s="13"/>
      <c r="G1844" s="13"/>
      <c r="H1844" s="13" t="s">
        <v>32299</v>
      </c>
      <c r="I1844" s="40" t="s">
        <v>18</v>
      </c>
      <c r="J1844" s="40" t="str">
        <f>HYPERLINK("https://stock.pstatic.net/stock-research/company/74/20260626_company_471656000.pdf","PDF")</f>
        <v>PDF</v>
      </c>
      <c r="K1844" s="12" t="s">
        <v>32300</v>
      </c>
      <c r="L1844" s="12"/>
    </row>
    <row r="1845" spans="1:12" x14ac:dyDescent="0.45">
      <c r="A1845" s="12" t="s">
        <v>32288</v>
      </c>
      <c r="B1845" s="12" t="s">
        <v>22098</v>
      </c>
      <c r="C1845" s="13" t="s">
        <v>22099</v>
      </c>
      <c r="D1845" s="13" t="s">
        <v>202</v>
      </c>
      <c r="E1845" s="12" t="s">
        <v>50</v>
      </c>
      <c r="F1845" s="13"/>
      <c r="G1845" s="13"/>
      <c r="H1845" s="13" t="s">
        <v>32301</v>
      </c>
      <c r="I1845" s="40" t="s">
        <v>18</v>
      </c>
      <c r="J1845" s="40" t="str">
        <f>HYPERLINK("https://stock.pstatic.net/stock-research/company/69/20260626_company_111754000.pdf","PDF")</f>
        <v>PDF</v>
      </c>
      <c r="K1845" s="12" t="s">
        <v>32302</v>
      </c>
      <c r="L1845" s="12"/>
    </row>
    <row r="1846" spans="1:12" x14ac:dyDescent="0.45">
      <c r="A1846" s="12" t="s">
        <v>32288</v>
      </c>
      <c r="B1846" s="12" t="s">
        <v>11837</v>
      </c>
      <c r="C1846" s="13" t="s">
        <v>11838</v>
      </c>
      <c r="D1846" s="13" t="s">
        <v>207</v>
      </c>
      <c r="E1846" s="12" t="s">
        <v>50</v>
      </c>
      <c r="F1846" s="13"/>
      <c r="G1846" s="13"/>
      <c r="H1846" s="13" t="s">
        <v>32303</v>
      </c>
      <c r="I1846" s="40" t="s">
        <v>18</v>
      </c>
      <c r="J1846" s="40" t="str">
        <f>HYPERLINK("https://stock.pstatic.net/stock-research/company/75/20260626_company_950744000.pdf","PDF")</f>
        <v>PDF</v>
      </c>
      <c r="K1846" s="12" t="s">
        <v>32304</v>
      </c>
      <c r="L1846" s="12"/>
    </row>
    <row r="1847" spans="1:12" x14ac:dyDescent="0.45">
      <c r="A1847" s="12" t="s">
        <v>32288</v>
      </c>
      <c r="B1847" s="12" t="s">
        <v>21255</v>
      </c>
      <c r="C1847" s="13" t="s">
        <v>21256</v>
      </c>
      <c r="D1847" s="13" t="s">
        <v>207</v>
      </c>
      <c r="E1847" s="12" t="s">
        <v>50</v>
      </c>
      <c r="F1847" s="13"/>
      <c r="G1847" s="13"/>
      <c r="H1847" s="13" t="s">
        <v>32305</v>
      </c>
      <c r="I1847" s="40" t="s">
        <v>18</v>
      </c>
      <c r="J1847" s="40" t="str">
        <f>HYPERLINK("https://stock.pstatic.net/stock-research/company/75/20260626_company_557545000.pdf","PDF")</f>
        <v>PDF</v>
      </c>
      <c r="K1847" s="12" t="s">
        <v>32306</v>
      </c>
      <c r="L1847" s="12"/>
    </row>
    <row r="1848" spans="1:12" x14ac:dyDescent="0.45">
      <c r="A1848" s="12" t="s">
        <v>32288</v>
      </c>
      <c r="B1848" s="12" t="s">
        <v>32307</v>
      </c>
      <c r="C1848" s="13" t="s">
        <v>32308</v>
      </c>
      <c r="D1848" s="13" t="s">
        <v>207</v>
      </c>
      <c r="E1848" s="12" t="s">
        <v>50</v>
      </c>
      <c r="F1848" s="13"/>
      <c r="G1848" s="13"/>
      <c r="H1848" s="13" t="s">
        <v>32309</v>
      </c>
      <c r="I1848" s="40" t="s">
        <v>18</v>
      </c>
      <c r="J1848" s="40" t="str">
        <f>HYPERLINK("https://stock.pstatic.net/stock-research/company/75/20260626_company_20448000.pdf","PDF")</f>
        <v>PDF</v>
      </c>
      <c r="K1848" s="12" t="s">
        <v>32310</v>
      </c>
      <c r="L1848" s="12"/>
    </row>
    <row r="1849" spans="1:12" x14ac:dyDescent="0.45">
      <c r="A1849" s="12" t="s">
        <v>32288</v>
      </c>
      <c r="B1849" s="12" t="s">
        <v>32311</v>
      </c>
      <c r="C1849" s="13" t="s">
        <v>32312</v>
      </c>
      <c r="D1849" s="13" t="s">
        <v>207</v>
      </c>
      <c r="E1849" s="12" t="s">
        <v>50</v>
      </c>
      <c r="F1849" s="13"/>
      <c r="G1849" s="13"/>
      <c r="H1849" s="13" t="s">
        <v>32313</v>
      </c>
      <c r="I1849" s="40" t="s">
        <v>18</v>
      </c>
      <c r="J1849" s="40" t="str">
        <f>HYPERLINK("https://stock.pstatic.net/stock-research/company/75/20260626_company_305780000.pdf","PDF")</f>
        <v>PDF</v>
      </c>
      <c r="K1849" s="12" t="s">
        <v>32314</v>
      </c>
      <c r="L1849" s="12"/>
    </row>
    <row r="1850" spans="1:12" x14ac:dyDescent="0.45">
      <c r="A1850" s="12" t="s">
        <v>32288</v>
      </c>
      <c r="B1850" s="12" t="s">
        <v>32315</v>
      </c>
      <c r="C1850" s="13" t="s">
        <v>32316</v>
      </c>
      <c r="D1850" s="13" t="s">
        <v>202</v>
      </c>
      <c r="E1850" s="12" t="s">
        <v>50</v>
      </c>
      <c r="F1850" s="13"/>
      <c r="G1850" s="13"/>
      <c r="H1850" s="13" t="s">
        <v>32317</v>
      </c>
      <c r="I1850" s="40" t="s">
        <v>18</v>
      </c>
      <c r="J1850" s="40" t="str">
        <f>HYPERLINK("https://stock.pstatic.net/stock-research/company/69/20260626_company_651654000.pdf","PDF")</f>
        <v>PDF</v>
      </c>
      <c r="K1850" s="12" t="s">
        <v>32318</v>
      </c>
      <c r="L1850" s="12"/>
    </row>
    <row r="1851" spans="1:12" x14ac:dyDescent="0.45">
      <c r="A1851" s="12" t="s">
        <v>32288</v>
      </c>
      <c r="B1851" s="12" t="s">
        <v>32319</v>
      </c>
      <c r="C1851" s="13" t="s">
        <v>32320</v>
      </c>
      <c r="D1851" s="13" t="s">
        <v>207</v>
      </c>
      <c r="E1851" s="12" t="s">
        <v>50</v>
      </c>
      <c r="F1851" s="13"/>
      <c r="G1851" s="13"/>
      <c r="H1851" s="13" t="s">
        <v>32321</v>
      </c>
      <c r="I1851" s="40" t="s">
        <v>18</v>
      </c>
      <c r="J1851" s="40" t="str">
        <f>HYPERLINK("https://stock.pstatic.net/stock-research/company/75/20260626_company_839775000.pdf","PDF")</f>
        <v>PDF</v>
      </c>
      <c r="K1851" s="12" t="s">
        <v>32322</v>
      </c>
      <c r="L1851" s="12"/>
    </row>
    <row r="1852" spans="1:12" x14ac:dyDescent="0.45">
      <c r="A1852" s="12" t="s">
        <v>32288</v>
      </c>
      <c r="B1852" s="12" t="s">
        <v>32323</v>
      </c>
      <c r="C1852" s="13" t="s">
        <v>32324</v>
      </c>
      <c r="D1852" s="13" t="s">
        <v>207</v>
      </c>
      <c r="E1852" s="12" t="s">
        <v>50</v>
      </c>
      <c r="F1852" s="13"/>
      <c r="G1852" s="13"/>
      <c r="H1852" s="13" t="s">
        <v>32325</v>
      </c>
      <c r="I1852" s="40" t="s">
        <v>18</v>
      </c>
      <c r="J1852" s="40" t="str">
        <f>HYPERLINK("https://stock.pstatic.net/stock-research/company/75/20260626_company_854198000.pdf","PDF")</f>
        <v>PDF</v>
      </c>
      <c r="K1852" s="12" t="s">
        <v>32326</v>
      </c>
      <c r="L1852" s="12"/>
    </row>
    <row r="1853" spans="1:12" x14ac:dyDescent="0.45">
      <c r="A1853" s="12" t="s">
        <v>32288</v>
      </c>
      <c r="B1853" s="12" t="s">
        <v>18978</v>
      </c>
      <c r="C1853" s="13" t="s">
        <v>18979</v>
      </c>
      <c r="D1853" s="13" t="s">
        <v>207</v>
      </c>
      <c r="E1853" s="12" t="s">
        <v>50</v>
      </c>
      <c r="F1853" s="13"/>
      <c r="G1853" s="13"/>
      <c r="H1853" s="13" t="s">
        <v>32327</v>
      </c>
      <c r="I1853" s="40" t="s">
        <v>18</v>
      </c>
      <c r="J1853" s="40" t="str">
        <f>HYPERLINK("https://stock.pstatic.net/stock-research/company/75/20260626_company_494539000.pdf","PDF")</f>
        <v>PDF</v>
      </c>
      <c r="K1853" s="12" t="s">
        <v>32328</v>
      </c>
      <c r="L1853" s="12"/>
    </row>
    <row r="1854" spans="1:12" x14ac:dyDescent="0.45">
      <c r="A1854" s="12" t="s">
        <v>32251</v>
      </c>
      <c r="B1854" s="12" t="s">
        <v>10758</v>
      </c>
      <c r="C1854" s="13" t="s">
        <v>10759</v>
      </c>
      <c r="D1854" s="13" t="s">
        <v>57</v>
      </c>
      <c r="E1854" s="12" t="s">
        <v>50</v>
      </c>
      <c r="F1854" s="13"/>
      <c r="G1854" s="14">
        <v>4530</v>
      </c>
      <c r="H1854" s="13" t="s">
        <v>32329</v>
      </c>
      <c r="I1854" s="40" t="s">
        <v>18</v>
      </c>
      <c r="J1854" s="40" t="str">
        <f>HYPERLINK("https://stock.pstatic.net/stock-research/company/16/20260625_company_929940000.pdf","PDF")</f>
        <v>PDF</v>
      </c>
      <c r="K1854" s="12" t="s">
        <v>32330</v>
      </c>
      <c r="L1854" s="12"/>
    </row>
    <row r="1855" spans="1:12" x14ac:dyDescent="0.45">
      <c r="A1855" s="12" t="s">
        <v>32251</v>
      </c>
      <c r="B1855" s="12" t="s">
        <v>744</v>
      </c>
      <c r="C1855" s="13" t="s">
        <v>745</v>
      </c>
      <c r="D1855" s="13" t="s">
        <v>276</v>
      </c>
      <c r="E1855" s="12" t="s">
        <v>16</v>
      </c>
      <c r="F1855" s="14">
        <v>42000</v>
      </c>
      <c r="G1855" s="14">
        <v>24600</v>
      </c>
      <c r="H1855" s="13" t="s">
        <v>32331</v>
      </c>
      <c r="I1855" s="40" t="s">
        <v>18</v>
      </c>
      <c r="J1855" s="40" t="str">
        <f>HYPERLINK("https://stock.pstatic.net/stock-research/company/66/20260625_company_255689000.pdf","PDF")</f>
        <v>PDF</v>
      </c>
      <c r="K1855" s="12" t="s">
        <v>32332</v>
      </c>
      <c r="L1855" s="36">
        <v>0.70731707317073167</v>
      </c>
    </row>
    <row r="1856" spans="1:12" x14ac:dyDescent="0.45">
      <c r="A1856" s="12" t="s">
        <v>32251</v>
      </c>
      <c r="B1856" s="12" t="s">
        <v>3708</v>
      </c>
      <c r="C1856" s="13" t="s">
        <v>3709</v>
      </c>
      <c r="D1856" s="13" t="s">
        <v>65</v>
      </c>
      <c r="E1856" s="12" t="s">
        <v>50</v>
      </c>
      <c r="F1856" s="13"/>
      <c r="G1856" s="14">
        <v>16140</v>
      </c>
      <c r="H1856" s="13" t="s">
        <v>32333</v>
      </c>
      <c r="I1856" s="40" t="s">
        <v>18</v>
      </c>
      <c r="J1856" s="40" t="str">
        <f>HYPERLINK("https://stock.pstatic.net/stock-research/company/57/20260625_company_530037000.pdf","PDF")</f>
        <v>PDF</v>
      </c>
      <c r="K1856" s="12" t="s">
        <v>32334</v>
      </c>
      <c r="L1856" s="12"/>
    </row>
    <row r="1857" spans="1:12" x14ac:dyDescent="0.45">
      <c r="A1857" s="12" t="s">
        <v>32251</v>
      </c>
      <c r="B1857" s="12" t="s">
        <v>13</v>
      </c>
      <c r="C1857" s="13" t="s">
        <v>14</v>
      </c>
      <c r="D1857" s="13" t="s">
        <v>15</v>
      </c>
      <c r="E1857" s="12" t="s">
        <v>16</v>
      </c>
      <c r="F1857" s="14">
        <v>550000</v>
      </c>
      <c r="G1857" s="14">
        <v>340500</v>
      </c>
      <c r="H1857" s="13" t="s">
        <v>32335</v>
      </c>
      <c r="I1857" s="40" t="s">
        <v>18</v>
      </c>
      <c r="J1857" s="40" t="str">
        <f>HYPERLINK("https://stock.pstatic.net/stock-research/company/56/20260625_company_79924000.pdf","PDF")</f>
        <v>PDF</v>
      </c>
      <c r="K1857" s="12" t="s">
        <v>32336</v>
      </c>
      <c r="L1857" s="36">
        <v>0.61527165932452277</v>
      </c>
    </row>
    <row r="1858" spans="1:12" x14ac:dyDescent="0.45">
      <c r="A1858" s="12" t="s">
        <v>32251</v>
      </c>
      <c r="B1858" s="12" t="s">
        <v>334</v>
      </c>
      <c r="C1858" s="13" t="s">
        <v>335</v>
      </c>
      <c r="D1858" s="13" t="s">
        <v>15</v>
      </c>
      <c r="E1858" s="12" t="s">
        <v>16</v>
      </c>
      <c r="F1858" s="14">
        <v>4200000</v>
      </c>
      <c r="G1858" s="14">
        <v>2580000</v>
      </c>
      <c r="H1858" s="13" t="s">
        <v>32337</v>
      </c>
      <c r="I1858" s="40" t="s">
        <v>18</v>
      </c>
      <c r="J1858" s="40" t="str">
        <f>HYPERLINK("https://stock.pstatic.net/stock-research/company/56/20260625_company_753994000.pdf","PDF")</f>
        <v>PDF</v>
      </c>
      <c r="K1858" s="12" t="s">
        <v>32338</v>
      </c>
      <c r="L1858" s="36">
        <v>0.62790697674418605</v>
      </c>
    </row>
    <row r="1859" spans="1:12" x14ac:dyDescent="0.45">
      <c r="A1859" s="12" t="s">
        <v>32251</v>
      </c>
      <c r="B1859" s="12" t="s">
        <v>334</v>
      </c>
      <c r="C1859" s="13" t="s">
        <v>335</v>
      </c>
      <c r="D1859" s="13" t="s">
        <v>53</v>
      </c>
      <c r="E1859" s="12" t="s">
        <v>50</v>
      </c>
      <c r="F1859" s="13"/>
      <c r="G1859" s="14">
        <v>2580000</v>
      </c>
      <c r="H1859" s="13" t="s">
        <v>32339</v>
      </c>
      <c r="I1859" s="40" t="s">
        <v>18</v>
      </c>
      <c r="J1859" s="40" t="str">
        <f>HYPERLINK("https://stock.pstatic.net/stock-research/company/40/20260625_company_875000000.pdf","PDF")</f>
        <v>PDF</v>
      </c>
      <c r="K1859" s="12" t="s">
        <v>32340</v>
      </c>
      <c r="L1859" s="12"/>
    </row>
    <row r="1860" spans="1:12" x14ac:dyDescent="0.45">
      <c r="A1860" s="12" t="s">
        <v>32251</v>
      </c>
      <c r="B1860" s="12" t="s">
        <v>804</v>
      </c>
      <c r="C1860" s="13" t="s">
        <v>805</v>
      </c>
      <c r="D1860" s="13" t="s">
        <v>23</v>
      </c>
      <c r="E1860" s="12" t="s">
        <v>50</v>
      </c>
      <c r="F1860" s="13"/>
      <c r="G1860" s="14">
        <v>30500</v>
      </c>
      <c r="H1860" s="13" t="s">
        <v>32341</v>
      </c>
      <c r="I1860" s="40" t="s">
        <v>18</v>
      </c>
      <c r="J1860" s="40" t="str">
        <f>HYPERLINK("https://stock.pstatic.net/stock-research/company/21/20260625_company_377922000.pdf","PDF")</f>
        <v>PDF</v>
      </c>
      <c r="K1860" s="12" t="s">
        <v>32342</v>
      </c>
      <c r="L1860" s="12"/>
    </row>
    <row r="1861" spans="1:12" x14ac:dyDescent="0.45">
      <c r="A1861" s="12" t="s">
        <v>32251</v>
      </c>
      <c r="B1861" s="12" t="s">
        <v>912</v>
      </c>
      <c r="C1861" s="13" t="s">
        <v>913</v>
      </c>
      <c r="D1861" s="13" t="s">
        <v>92</v>
      </c>
      <c r="E1861" s="12" t="s">
        <v>35</v>
      </c>
      <c r="F1861" s="14">
        <v>111000</v>
      </c>
      <c r="G1861" s="14">
        <v>79300</v>
      </c>
      <c r="H1861" s="13" t="s">
        <v>32252</v>
      </c>
      <c r="I1861" s="40" t="s">
        <v>18</v>
      </c>
      <c r="J1861" s="40" t="str">
        <f>HYPERLINK("https://stock.pstatic.net/stock-research/company/63/20260625_company_231865000.pdf","PDF")</f>
        <v>PDF</v>
      </c>
      <c r="K1861" s="12" t="s">
        <v>32253</v>
      </c>
      <c r="L1861" s="36">
        <v>0.39974779319041609</v>
      </c>
    </row>
    <row r="1862" spans="1:12" x14ac:dyDescent="0.45">
      <c r="A1862" s="12" t="s">
        <v>32251</v>
      </c>
      <c r="B1862" s="12" t="s">
        <v>744</v>
      </c>
      <c r="C1862" s="13" t="s">
        <v>745</v>
      </c>
      <c r="D1862" s="13" t="s">
        <v>92</v>
      </c>
      <c r="E1862" s="12" t="s">
        <v>35</v>
      </c>
      <c r="F1862" s="14">
        <v>41000</v>
      </c>
      <c r="G1862" s="14">
        <v>24600</v>
      </c>
      <c r="H1862" s="13" t="s">
        <v>32254</v>
      </c>
      <c r="I1862" s="40" t="s">
        <v>18</v>
      </c>
      <c r="J1862" s="40" t="str">
        <f>HYPERLINK("https://stock.pstatic.net/stock-research/company/63/20260625_company_737366000.pdf","PDF")</f>
        <v>PDF</v>
      </c>
      <c r="K1862" s="12" t="s">
        <v>32255</v>
      </c>
      <c r="L1862" s="36">
        <v>0.66666666666666663</v>
      </c>
    </row>
    <row r="1863" spans="1:12" x14ac:dyDescent="0.45">
      <c r="A1863" s="12" t="s">
        <v>32251</v>
      </c>
      <c r="B1863" s="12" t="s">
        <v>1674</v>
      </c>
      <c r="C1863" s="13" t="s">
        <v>1675</v>
      </c>
      <c r="D1863" s="13" t="s">
        <v>23</v>
      </c>
      <c r="E1863" s="12" t="s">
        <v>16</v>
      </c>
      <c r="F1863" s="14">
        <v>750000</v>
      </c>
      <c r="G1863" s="14">
        <v>479000</v>
      </c>
      <c r="H1863" s="13" t="s">
        <v>32256</v>
      </c>
      <c r="I1863" s="40" t="s">
        <v>18</v>
      </c>
      <c r="J1863" s="40" t="str">
        <f>HYPERLINK("https://stock.pstatic.net/stock-research/company/21/20260625_company_709970000.pdf","PDF")</f>
        <v>PDF</v>
      </c>
      <c r="K1863" s="12" t="s">
        <v>32257</v>
      </c>
      <c r="L1863" s="36">
        <v>0.56576200417536537</v>
      </c>
    </row>
    <row r="1864" spans="1:12" x14ac:dyDescent="0.45">
      <c r="A1864" s="12" t="s">
        <v>32251</v>
      </c>
      <c r="B1864" s="12" t="s">
        <v>14332</v>
      </c>
      <c r="C1864" s="13" t="s">
        <v>14333</v>
      </c>
      <c r="D1864" s="13" t="s">
        <v>34</v>
      </c>
      <c r="E1864" s="12" t="s">
        <v>35</v>
      </c>
      <c r="F1864" s="14">
        <v>63000</v>
      </c>
      <c r="G1864" s="14">
        <v>45800</v>
      </c>
      <c r="H1864" s="13" t="s">
        <v>32258</v>
      </c>
      <c r="I1864" s="40" t="s">
        <v>18</v>
      </c>
      <c r="J1864" s="40" t="str">
        <f>HYPERLINK("https://stock.pstatic.net/stock-research/company/61/20260625_company_339388000.pdf","PDF")</f>
        <v>PDF</v>
      </c>
      <c r="K1864" s="12" t="s">
        <v>32259</v>
      </c>
      <c r="L1864" s="36">
        <v>0.37554585152838432</v>
      </c>
    </row>
    <row r="1865" spans="1:12" x14ac:dyDescent="0.45">
      <c r="A1865" s="12" t="s">
        <v>32251</v>
      </c>
      <c r="B1865" s="12" t="s">
        <v>3813</v>
      </c>
      <c r="C1865" s="13" t="s">
        <v>3814</v>
      </c>
      <c r="D1865" s="13" t="s">
        <v>53</v>
      </c>
      <c r="E1865" s="12" t="s">
        <v>16</v>
      </c>
      <c r="F1865" s="14">
        <v>20000</v>
      </c>
      <c r="G1865" s="14">
        <v>12180</v>
      </c>
      <c r="H1865" s="13" t="s">
        <v>32260</v>
      </c>
      <c r="I1865" s="40" t="s">
        <v>18</v>
      </c>
      <c r="J1865" s="40" t="str">
        <f>HYPERLINK("https://stock.pstatic.net/stock-research/company/40/20260625_company_813251000.pdf","PDF")</f>
        <v>PDF</v>
      </c>
      <c r="K1865" s="12" t="s">
        <v>32261</v>
      </c>
      <c r="L1865" s="36">
        <v>0.64203612479474548</v>
      </c>
    </row>
    <row r="1866" spans="1:12" x14ac:dyDescent="0.45">
      <c r="A1866" s="12" t="s">
        <v>32251</v>
      </c>
      <c r="B1866" s="12" t="s">
        <v>10929</v>
      </c>
      <c r="C1866" s="13" t="s">
        <v>10930</v>
      </c>
      <c r="D1866" s="13" t="s">
        <v>44</v>
      </c>
      <c r="E1866" s="12" t="s">
        <v>50</v>
      </c>
      <c r="F1866" s="13"/>
      <c r="G1866" s="14">
        <v>1910</v>
      </c>
      <c r="H1866" s="13" t="s">
        <v>32262</v>
      </c>
      <c r="I1866" s="40" t="s">
        <v>18</v>
      </c>
      <c r="J1866" s="40" t="str">
        <f>HYPERLINK("https://stock.pstatic.net/stock-research/company/39/20260625_company_219147000.pdf","PDF")</f>
        <v>PDF</v>
      </c>
      <c r="K1866" s="12" t="s">
        <v>32263</v>
      </c>
      <c r="L1866" s="12"/>
    </row>
    <row r="1867" spans="1:12" x14ac:dyDescent="0.45">
      <c r="A1867" s="12" t="s">
        <v>32251</v>
      </c>
      <c r="B1867" s="12" t="s">
        <v>10588</v>
      </c>
      <c r="C1867" s="13" t="s">
        <v>10589</v>
      </c>
      <c r="D1867" s="13" t="s">
        <v>179</v>
      </c>
      <c r="E1867" s="12" t="s">
        <v>50</v>
      </c>
      <c r="F1867" s="13"/>
      <c r="G1867" s="14">
        <v>2800</v>
      </c>
      <c r="H1867" s="13" t="s">
        <v>32264</v>
      </c>
      <c r="I1867" s="40" t="s">
        <v>18</v>
      </c>
      <c r="J1867" s="40" t="str">
        <f>HYPERLINK("https://stock.pstatic.net/stock-research/company/64/20260625_company_580010000.pdf","PDF")</f>
        <v>PDF</v>
      </c>
      <c r="K1867" s="12" t="s">
        <v>32265</v>
      </c>
      <c r="L1867" s="12"/>
    </row>
    <row r="1868" spans="1:12" x14ac:dyDescent="0.45">
      <c r="A1868" s="12" t="s">
        <v>32251</v>
      </c>
      <c r="B1868" s="12" t="s">
        <v>344</v>
      </c>
      <c r="C1868" s="13" t="s">
        <v>345</v>
      </c>
      <c r="D1868" s="13" t="s">
        <v>53</v>
      </c>
      <c r="E1868" s="12" t="s">
        <v>16</v>
      </c>
      <c r="F1868" s="14">
        <v>18000</v>
      </c>
      <c r="G1868" s="14">
        <v>9650</v>
      </c>
      <c r="H1868" s="13" t="s">
        <v>32266</v>
      </c>
      <c r="I1868" s="40" t="s">
        <v>18</v>
      </c>
      <c r="J1868" s="40" t="str">
        <f>HYPERLINK("https://stock.pstatic.net/stock-research/company/40/20260625_company_201273000.pdf","PDF")</f>
        <v>PDF</v>
      </c>
      <c r="K1868" s="12" t="s">
        <v>32267</v>
      </c>
      <c r="L1868" s="36">
        <v>0.86528497409326421</v>
      </c>
    </row>
    <row r="1869" spans="1:12" x14ac:dyDescent="0.45">
      <c r="A1869" s="12" t="s">
        <v>32200</v>
      </c>
      <c r="B1869" s="12" t="s">
        <v>2199</v>
      </c>
      <c r="C1869" s="13" t="s">
        <v>2200</v>
      </c>
      <c r="D1869" s="13" t="s">
        <v>83</v>
      </c>
      <c r="E1869" s="12" t="s">
        <v>35</v>
      </c>
      <c r="F1869" s="14">
        <v>46000</v>
      </c>
      <c r="G1869" s="14">
        <v>27650</v>
      </c>
      <c r="H1869" s="13" t="s">
        <v>32268</v>
      </c>
      <c r="I1869" s="40" t="s">
        <v>18</v>
      </c>
      <c r="J1869" s="40" t="str">
        <f>HYPERLINK("https://stock.pstatic.net/stock-research/company/15/20260624_company_467482000.pdf","PDF")</f>
        <v>PDF</v>
      </c>
      <c r="K1869" s="12" t="s">
        <v>32269</v>
      </c>
      <c r="L1869" s="36">
        <v>0.66365280289330919</v>
      </c>
    </row>
    <row r="1870" spans="1:12" x14ac:dyDescent="0.45">
      <c r="A1870" s="12" t="s">
        <v>32200</v>
      </c>
      <c r="B1870" s="12" t="s">
        <v>32270</v>
      </c>
      <c r="C1870" s="13" t="s">
        <v>32271</v>
      </c>
      <c r="D1870" s="13" t="s">
        <v>83</v>
      </c>
      <c r="E1870" s="12" t="s">
        <v>50</v>
      </c>
      <c r="F1870" s="13"/>
      <c r="G1870" s="14">
        <v>5120</v>
      </c>
      <c r="H1870" s="13" t="s">
        <v>32272</v>
      </c>
      <c r="I1870" s="40" t="s">
        <v>18</v>
      </c>
      <c r="J1870" s="40" t="str">
        <f>HYPERLINK("https://stock.pstatic.net/stock-research/company/15/20260624_company_116604000.pdf","PDF")</f>
        <v>PDF</v>
      </c>
      <c r="K1870" s="12" t="s">
        <v>32273</v>
      </c>
      <c r="L1870" s="12"/>
    </row>
    <row r="1871" spans="1:12" x14ac:dyDescent="0.45">
      <c r="A1871" s="12" t="s">
        <v>32200</v>
      </c>
      <c r="B1871" s="12" t="s">
        <v>32274</v>
      </c>
      <c r="C1871" s="13" t="s">
        <v>32275</v>
      </c>
      <c r="D1871" s="13" t="s">
        <v>83</v>
      </c>
      <c r="E1871" s="12" t="s">
        <v>50</v>
      </c>
      <c r="F1871" s="13"/>
      <c r="G1871" s="14">
        <v>1237</v>
      </c>
      <c r="H1871" s="13" t="s">
        <v>32276</v>
      </c>
      <c r="I1871" s="40" t="s">
        <v>18</v>
      </c>
      <c r="J1871" s="40" t="str">
        <f>HYPERLINK("https://stock.pstatic.net/stock-research/company/15/20260624_company_720485000.pdf","PDF")</f>
        <v>PDF</v>
      </c>
      <c r="K1871" s="12" t="s">
        <v>32277</v>
      </c>
      <c r="L1871" s="12"/>
    </row>
    <row r="1872" spans="1:12" x14ac:dyDescent="0.45">
      <c r="A1872" s="12" t="s">
        <v>32200</v>
      </c>
      <c r="B1872" s="12" t="s">
        <v>20488</v>
      </c>
      <c r="C1872" s="13" t="s">
        <v>20489</v>
      </c>
      <c r="D1872" s="13" t="s">
        <v>83</v>
      </c>
      <c r="E1872" s="12" t="s">
        <v>50</v>
      </c>
      <c r="F1872" s="13"/>
      <c r="G1872" s="14">
        <v>1824</v>
      </c>
      <c r="H1872" s="13" t="s">
        <v>32278</v>
      </c>
      <c r="I1872" s="40" t="s">
        <v>18</v>
      </c>
      <c r="J1872" s="40" t="str">
        <f>HYPERLINK("https://stock.pstatic.net/stock-research/company/15/20260624_company_346929000.pdf","PDF")</f>
        <v>PDF</v>
      </c>
      <c r="K1872" s="12" t="s">
        <v>32279</v>
      </c>
      <c r="L1872" s="12"/>
    </row>
    <row r="1873" spans="1:12" x14ac:dyDescent="0.45">
      <c r="A1873" s="12" t="s">
        <v>32200</v>
      </c>
      <c r="B1873" s="12" t="s">
        <v>740</v>
      </c>
      <c r="C1873" s="13" t="s">
        <v>741</v>
      </c>
      <c r="D1873" s="13" t="s">
        <v>83</v>
      </c>
      <c r="E1873" s="12" t="s">
        <v>35</v>
      </c>
      <c r="F1873" s="14">
        <v>1300000</v>
      </c>
      <c r="G1873" s="14">
        <v>991000</v>
      </c>
      <c r="H1873" s="13" t="s">
        <v>32280</v>
      </c>
      <c r="I1873" s="40" t="s">
        <v>18</v>
      </c>
      <c r="J1873" s="40" t="str">
        <f>HYPERLINK("https://stock.pstatic.net/stock-research/company/15/20260624_company_471897000.pdf","PDF")</f>
        <v>PDF</v>
      </c>
      <c r="K1873" s="12" t="s">
        <v>32281</v>
      </c>
      <c r="L1873" s="36">
        <v>0.31180625630676079</v>
      </c>
    </row>
    <row r="1874" spans="1:12" x14ac:dyDescent="0.45">
      <c r="A1874" s="12" t="s">
        <v>32200</v>
      </c>
      <c r="B1874" s="12" t="s">
        <v>577</v>
      </c>
      <c r="C1874" s="13" t="s">
        <v>578</v>
      </c>
      <c r="D1874" s="13" t="s">
        <v>57</v>
      </c>
      <c r="E1874" s="12" t="s">
        <v>35</v>
      </c>
      <c r="F1874" s="14">
        <v>810000</v>
      </c>
      <c r="G1874" s="14">
        <v>510000</v>
      </c>
      <c r="H1874" s="13" t="s">
        <v>32282</v>
      </c>
      <c r="I1874" s="40" t="s">
        <v>18</v>
      </c>
      <c r="J1874" s="40" t="str">
        <f>HYPERLINK("https://stock.pstatic.net/stock-research/company/16/20260624_company_224216000.pdf","PDF")</f>
        <v>PDF</v>
      </c>
      <c r="K1874" s="12" t="s">
        <v>32283</v>
      </c>
      <c r="L1874" s="36">
        <v>0.58823529411764708</v>
      </c>
    </row>
    <row r="1875" spans="1:12" x14ac:dyDescent="0.45">
      <c r="A1875" s="12" t="s">
        <v>32200</v>
      </c>
      <c r="B1875" s="12" t="s">
        <v>2982</v>
      </c>
      <c r="C1875" s="13" t="s">
        <v>2983</v>
      </c>
      <c r="D1875" s="13" t="s">
        <v>57</v>
      </c>
      <c r="E1875" s="12" t="s">
        <v>35</v>
      </c>
      <c r="F1875" s="14">
        <v>110000</v>
      </c>
      <c r="G1875" s="14">
        <v>59100</v>
      </c>
      <c r="H1875" s="13" t="s">
        <v>32284</v>
      </c>
      <c r="I1875" s="40" t="s">
        <v>18</v>
      </c>
      <c r="J1875" s="40" t="str">
        <f>HYPERLINK("https://stock.pstatic.net/stock-research/company/16/20260624_company_517922000.pdf","PDF")</f>
        <v>PDF</v>
      </c>
      <c r="K1875" s="12" t="s">
        <v>32285</v>
      </c>
      <c r="L1875" s="36">
        <v>0.86125211505922161</v>
      </c>
    </row>
    <row r="1876" spans="1:12" x14ac:dyDescent="0.45">
      <c r="A1876" s="12" t="s">
        <v>32200</v>
      </c>
      <c r="B1876" s="12" t="s">
        <v>142</v>
      </c>
      <c r="C1876" s="13" t="s">
        <v>143</v>
      </c>
      <c r="D1876" s="13" t="s">
        <v>60</v>
      </c>
      <c r="E1876" s="12" t="s">
        <v>50</v>
      </c>
      <c r="F1876" s="13"/>
      <c r="G1876" s="14">
        <v>17860</v>
      </c>
      <c r="H1876" s="13" t="s">
        <v>32286</v>
      </c>
      <c r="I1876" s="40" t="s">
        <v>18</v>
      </c>
      <c r="J1876" s="40" t="str">
        <f>HYPERLINK("https://stock.pstatic.net/stock-research/company/62/20260624_company_499567000.pdf","PDF")</f>
        <v>PDF</v>
      </c>
      <c r="K1876" s="12" t="s">
        <v>32287</v>
      </c>
      <c r="L1876" s="12"/>
    </row>
    <row r="1877" spans="1:12" x14ac:dyDescent="0.45">
      <c r="A1877" s="12" t="s">
        <v>32200</v>
      </c>
      <c r="B1877" s="12" t="s">
        <v>118</v>
      </c>
      <c r="C1877" s="13" t="s">
        <v>119</v>
      </c>
      <c r="D1877" s="13" t="s">
        <v>65</v>
      </c>
      <c r="E1877" s="12" t="s">
        <v>50</v>
      </c>
      <c r="F1877" s="13"/>
      <c r="G1877" s="14">
        <v>81400</v>
      </c>
      <c r="H1877" s="13" t="s">
        <v>32201</v>
      </c>
      <c r="I1877" s="40" t="s">
        <v>18</v>
      </c>
      <c r="J1877" s="40" t="str">
        <f>HYPERLINK("https://stock.pstatic.net/stock-research/company/57/20260624_company_571348000.pdf","PDF")</f>
        <v>PDF</v>
      </c>
      <c r="K1877" s="12" t="s">
        <v>32202</v>
      </c>
      <c r="L1877" s="12"/>
    </row>
    <row r="1878" spans="1:12" x14ac:dyDescent="0.45">
      <c r="A1878" s="12" t="s">
        <v>32200</v>
      </c>
      <c r="B1878" s="12" t="s">
        <v>752</v>
      </c>
      <c r="C1878" s="13" t="s">
        <v>753</v>
      </c>
      <c r="D1878" s="13" t="s">
        <v>65</v>
      </c>
      <c r="E1878" s="12" t="s">
        <v>35</v>
      </c>
      <c r="F1878" s="14">
        <v>250000</v>
      </c>
      <c r="G1878" s="14">
        <v>190400</v>
      </c>
      <c r="H1878" s="13" t="s">
        <v>32203</v>
      </c>
      <c r="I1878" s="40" t="s">
        <v>18</v>
      </c>
      <c r="J1878" s="40" t="str">
        <f>HYPERLINK("https://stock.pstatic.net/stock-research/company/57/20260624_company_937703000.pdf","PDF")</f>
        <v>PDF</v>
      </c>
      <c r="K1878" s="12" t="s">
        <v>32204</v>
      </c>
      <c r="L1878" s="36">
        <v>0.31302521008403361</v>
      </c>
    </row>
    <row r="1879" spans="1:12" x14ac:dyDescent="0.45">
      <c r="A1879" s="12" t="s">
        <v>32200</v>
      </c>
      <c r="B1879" s="12" t="s">
        <v>2982</v>
      </c>
      <c r="C1879" s="13" t="s">
        <v>2983</v>
      </c>
      <c r="D1879" s="13" t="s">
        <v>65</v>
      </c>
      <c r="E1879" s="12" t="s">
        <v>35</v>
      </c>
      <c r="F1879" s="14">
        <v>120000</v>
      </c>
      <c r="G1879" s="14">
        <v>59100</v>
      </c>
      <c r="H1879" s="13" t="s">
        <v>32205</v>
      </c>
      <c r="I1879" s="40" t="s">
        <v>18</v>
      </c>
      <c r="J1879" s="40" t="str">
        <f>HYPERLINK("https://stock.pstatic.net/stock-research/company/57/20260624_company_647126000.pdf","PDF")</f>
        <v>PDF</v>
      </c>
      <c r="K1879" s="12" t="s">
        <v>32206</v>
      </c>
      <c r="L1879" s="36">
        <v>1.030456852791878</v>
      </c>
    </row>
    <row r="1880" spans="1:12" x14ac:dyDescent="0.45">
      <c r="A1880" s="12" t="s">
        <v>32200</v>
      </c>
      <c r="B1880" s="12" t="s">
        <v>32207</v>
      </c>
      <c r="C1880" s="13" t="s">
        <v>32208</v>
      </c>
      <c r="D1880" s="13" t="s">
        <v>65</v>
      </c>
      <c r="E1880" s="12" t="s">
        <v>50</v>
      </c>
      <c r="F1880" s="13"/>
      <c r="G1880" s="14">
        <v>7550</v>
      </c>
      <c r="H1880" s="13" t="s">
        <v>32209</v>
      </c>
      <c r="I1880" s="40" t="s">
        <v>18</v>
      </c>
      <c r="J1880" s="40" t="str">
        <f>HYPERLINK("https://stock.pstatic.net/stock-research/company/57/20260624_company_323170000.pdf","PDF")</f>
        <v>PDF</v>
      </c>
      <c r="K1880" s="12" t="s">
        <v>32210</v>
      </c>
      <c r="L1880" s="12"/>
    </row>
    <row r="1881" spans="1:12" x14ac:dyDescent="0.45">
      <c r="A1881" s="12" t="s">
        <v>32200</v>
      </c>
      <c r="B1881" s="12" t="s">
        <v>1120</v>
      </c>
      <c r="C1881" s="13" t="s">
        <v>1121</v>
      </c>
      <c r="D1881" s="13" t="s">
        <v>65</v>
      </c>
      <c r="E1881" s="12" t="s">
        <v>35</v>
      </c>
      <c r="F1881" s="14">
        <v>220000</v>
      </c>
      <c r="G1881" s="14">
        <v>125500</v>
      </c>
      <c r="H1881" s="13" t="s">
        <v>32211</v>
      </c>
      <c r="I1881" s="40" t="s">
        <v>18</v>
      </c>
      <c r="J1881" s="40" t="str">
        <f>HYPERLINK("https://stock.pstatic.net/stock-research/company/57/20260624_company_971857000.pdf","PDF")</f>
        <v>PDF</v>
      </c>
      <c r="K1881" s="12" t="s">
        <v>32212</v>
      </c>
      <c r="L1881" s="36">
        <v>0.75298804780876494</v>
      </c>
    </row>
    <row r="1882" spans="1:12" x14ac:dyDescent="0.45">
      <c r="A1882" s="12" t="s">
        <v>32200</v>
      </c>
      <c r="B1882" s="12" t="s">
        <v>2982</v>
      </c>
      <c r="C1882" s="13" t="s">
        <v>2983</v>
      </c>
      <c r="D1882" s="13" t="s">
        <v>92</v>
      </c>
      <c r="E1882" s="12" t="s">
        <v>35</v>
      </c>
      <c r="F1882" s="14">
        <v>144000</v>
      </c>
      <c r="G1882" s="14">
        <v>59100</v>
      </c>
      <c r="H1882" s="13" t="s">
        <v>32213</v>
      </c>
      <c r="I1882" s="40" t="s">
        <v>18</v>
      </c>
      <c r="J1882" s="40" t="str">
        <f>HYPERLINK("https://stock.pstatic.net/stock-research/company/63/20260624_company_529810000.pdf","PDF")</f>
        <v>PDF</v>
      </c>
      <c r="K1882" s="12" t="s">
        <v>32214</v>
      </c>
      <c r="L1882" s="36">
        <v>1.436548223350254</v>
      </c>
    </row>
    <row r="1883" spans="1:12" x14ac:dyDescent="0.45">
      <c r="A1883" s="12" t="s">
        <v>32200</v>
      </c>
      <c r="B1883" s="12" t="s">
        <v>2982</v>
      </c>
      <c r="C1883" s="13" t="s">
        <v>2983</v>
      </c>
      <c r="D1883" s="13" t="s">
        <v>34</v>
      </c>
      <c r="E1883" s="12" t="s">
        <v>35</v>
      </c>
      <c r="F1883" s="14">
        <v>120000</v>
      </c>
      <c r="G1883" s="14">
        <v>59100</v>
      </c>
      <c r="H1883" s="13" t="s">
        <v>32215</v>
      </c>
      <c r="I1883" s="40" t="s">
        <v>18</v>
      </c>
      <c r="J1883" s="40" t="str">
        <f>HYPERLINK("https://stock.pstatic.net/stock-research/company/61/20260624_company_360343000.pdf","PDF")</f>
        <v>PDF</v>
      </c>
      <c r="K1883" s="12" t="s">
        <v>32216</v>
      </c>
      <c r="L1883" s="36">
        <v>1.030456852791878</v>
      </c>
    </row>
    <row r="1884" spans="1:12" x14ac:dyDescent="0.45">
      <c r="A1884" s="12" t="s">
        <v>32200</v>
      </c>
      <c r="B1884" s="12" t="s">
        <v>4372</v>
      </c>
      <c r="C1884" s="13" t="s">
        <v>4373</v>
      </c>
      <c r="D1884" s="13" t="s">
        <v>44</v>
      </c>
      <c r="E1884" s="12" t="s">
        <v>50</v>
      </c>
      <c r="F1884" s="13"/>
      <c r="G1884" s="14">
        <v>6800</v>
      </c>
      <c r="H1884" s="13" t="s">
        <v>32217</v>
      </c>
      <c r="I1884" s="40" t="s">
        <v>18</v>
      </c>
      <c r="J1884" s="40" t="str">
        <f>HYPERLINK("https://stock.pstatic.net/stock-research/company/39/20260624_company_120593000.pdf","PDF")</f>
        <v>PDF</v>
      </c>
      <c r="K1884" s="12" t="s">
        <v>32218</v>
      </c>
      <c r="L1884" s="12"/>
    </row>
    <row r="1885" spans="1:12" x14ac:dyDescent="0.45">
      <c r="A1885" s="12" t="s">
        <v>32200</v>
      </c>
      <c r="B1885" s="12" t="s">
        <v>1097</v>
      </c>
      <c r="C1885" s="13" t="s">
        <v>1098</v>
      </c>
      <c r="D1885" s="13" t="s">
        <v>53</v>
      </c>
      <c r="E1885" s="12" t="s">
        <v>16</v>
      </c>
      <c r="F1885" s="14">
        <v>190000</v>
      </c>
      <c r="G1885" s="14">
        <v>116800</v>
      </c>
      <c r="H1885" s="13" t="s">
        <v>32219</v>
      </c>
      <c r="I1885" s="40" t="s">
        <v>18</v>
      </c>
      <c r="J1885" s="40" t="str">
        <f>HYPERLINK("https://stock.pstatic.net/stock-research/company/40/20260624_company_26671000.pdf","PDF")</f>
        <v>PDF</v>
      </c>
      <c r="K1885" s="12" t="s">
        <v>32220</v>
      </c>
      <c r="L1885" s="36">
        <v>0.62671232876712324</v>
      </c>
    </row>
    <row r="1886" spans="1:12" x14ac:dyDescent="0.45">
      <c r="A1886" s="12" t="s">
        <v>32200</v>
      </c>
      <c r="B1886" s="12" t="s">
        <v>24841</v>
      </c>
      <c r="C1886" s="13" t="s">
        <v>24842</v>
      </c>
      <c r="D1886" s="13" t="s">
        <v>124</v>
      </c>
      <c r="E1886" s="12" t="s">
        <v>50</v>
      </c>
      <c r="F1886" s="13"/>
      <c r="G1886" s="13"/>
      <c r="H1886" s="13" t="s">
        <v>32221</v>
      </c>
      <c r="I1886" s="40" t="s">
        <v>18</v>
      </c>
      <c r="J1886" s="40" t="str">
        <f>HYPERLINK("https://stock.pstatic.net/stock-research/company/74/20260624_company_86567000.pdf","PDF")</f>
        <v>PDF</v>
      </c>
      <c r="K1886" s="12" t="s">
        <v>32222</v>
      </c>
      <c r="L1886" s="12"/>
    </row>
    <row r="1887" spans="1:12" x14ac:dyDescent="0.45">
      <c r="A1887" s="12" t="s">
        <v>32154</v>
      </c>
      <c r="B1887" s="12" t="s">
        <v>32223</v>
      </c>
      <c r="C1887" s="13" t="s">
        <v>32224</v>
      </c>
      <c r="D1887" s="13" t="s">
        <v>23</v>
      </c>
      <c r="E1887" s="12" t="s">
        <v>50</v>
      </c>
      <c r="F1887" s="13"/>
      <c r="G1887" s="14">
        <v>5460</v>
      </c>
      <c r="H1887" s="13" t="s">
        <v>32225</v>
      </c>
      <c r="I1887" s="40" t="s">
        <v>18</v>
      </c>
      <c r="J1887" s="40" t="str">
        <f>HYPERLINK("https://stock.pstatic.net/stock-research/company/21/20260623_company_511727000.pdf","PDF")</f>
        <v>PDF</v>
      </c>
      <c r="K1887" s="12" t="s">
        <v>32226</v>
      </c>
      <c r="L1887" s="12"/>
    </row>
    <row r="1888" spans="1:12" x14ac:dyDescent="0.45">
      <c r="A1888" s="12" t="s">
        <v>32154</v>
      </c>
      <c r="B1888" s="12" t="s">
        <v>72</v>
      </c>
      <c r="C1888" s="13" t="s">
        <v>73</v>
      </c>
      <c r="D1888" s="13" t="s">
        <v>15</v>
      </c>
      <c r="E1888" s="12" t="s">
        <v>16</v>
      </c>
      <c r="F1888" s="14">
        <v>680000</v>
      </c>
      <c r="G1888" s="14">
        <v>520000</v>
      </c>
      <c r="H1888" s="13" t="s">
        <v>32227</v>
      </c>
      <c r="I1888" s="40" t="s">
        <v>18</v>
      </c>
      <c r="J1888" s="40" t="str">
        <f>HYPERLINK("https://stock.pstatic.net/stock-research/company/56/20260623_company_604485000.pdf","PDF")</f>
        <v>PDF</v>
      </c>
      <c r="K1888" s="12" t="s">
        <v>32228</v>
      </c>
      <c r="L1888" s="36">
        <v>0.30769230769230771</v>
      </c>
    </row>
    <row r="1889" spans="1:12" x14ac:dyDescent="0.45">
      <c r="A1889" s="12" t="s">
        <v>32154</v>
      </c>
      <c r="B1889" s="12" t="s">
        <v>756</v>
      </c>
      <c r="C1889" s="13" t="s">
        <v>757</v>
      </c>
      <c r="D1889" s="13" t="s">
        <v>57</v>
      </c>
      <c r="E1889" s="12" t="s">
        <v>35</v>
      </c>
      <c r="F1889" s="14">
        <v>120000</v>
      </c>
      <c r="G1889" s="14">
        <v>85800</v>
      </c>
      <c r="H1889" s="13" t="s">
        <v>32229</v>
      </c>
      <c r="I1889" s="40" t="s">
        <v>18</v>
      </c>
      <c r="J1889" s="40" t="str">
        <f>HYPERLINK("https://stock.pstatic.net/stock-research/company/16/20260623_company_792209000.pdf","PDF")</f>
        <v>PDF</v>
      </c>
      <c r="K1889" s="12" t="s">
        <v>32230</v>
      </c>
      <c r="L1889" s="36">
        <v>0.39860139860139859</v>
      </c>
    </row>
    <row r="1890" spans="1:12" x14ac:dyDescent="0.45">
      <c r="A1890" s="12" t="s">
        <v>32154</v>
      </c>
      <c r="B1890" s="12" t="s">
        <v>1781</v>
      </c>
      <c r="C1890" s="13" t="s">
        <v>1782</v>
      </c>
      <c r="D1890" s="13" t="s">
        <v>60</v>
      </c>
      <c r="E1890" s="12" t="s">
        <v>35</v>
      </c>
      <c r="F1890" s="14">
        <v>350000</v>
      </c>
      <c r="G1890" s="14">
        <v>227500</v>
      </c>
      <c r="H1890" s="13" t="s">
        <v>32231</v>
      </c>
      <c r="I1890" s="40" t="s">
        <v>18</v>
      </c>
      <c r="J1890" s="40" t="str">
        <f>HYPERLINK("https://stock.pstatic.net/stock-research/company/62/20260623_company_834771000.pdf","PDF")</f>
        <v>PDF</v>
      </c>
      <c r="K1890" s="12" t="s">
        <v>32232</v>
      </c>
      <c r="L1890" s="36">
        <v>0.53846153846153844</v>
      </c>
    </row>
    <row r="1891" spans="1:12" x14ac:dyDescent="0.45">
      <c r="A1891" s="12" t="s">
        <v>32154</v>
      </c>
      <c r="B1891" s="12" t="s">
        <v>4642</v>
      </c>
      <c r="C1891" s="13" t="s">
        <v>4643</v>
      </c>
      <c r="D1891" s="13" t="s">
        <v>65</v>
      </c>
      <c r="E1891" s="12" t="s">
        <v>35</v>
      </c>
      <c r="F1891" s="14">
        <v>38000</v>
      </c>
      <c r="G1891" s="14">
        <v>27050</v>
      </c>
      <c r="H1891" s="13" t="s">
        <v>32233</v>
      </c>
      <c r="I1891" s="40" t="s">
        <v>18</v>
      </c>
      <c r="J1891" s="40" t="str">
        <f>HYPERLINK("https://stock.pstatic.net/stock-research/company/57/20260623_company_691778000.pdf","PDF")</f>
        <v>PDF</v>
      </c>
      <c r="K1891" s="12" t="s">
        <v>32234</v>
      </c>
      <c r="L1891" s="36">
        <v>0.40480591497227358</v>
      </c>
    </row>
    <row r="1892" spans="1:12" x14ac:dyDescent="0.45">
      <c r="A1892" s="12" t="s">
        <v>32154</v>
      </c>
      <c r="B1892" s="12" t="s">
        <v>1184</v>
      </c>
      <c r="C1892" s="13" t="s">
        <v>1185</v>
      </c>
      <c r="D1892" s="13" t="s">
        <v>65</v>
      </c>
      <c r="E1892" s="12" t="s">
        <v>50</v>
      </c>
      <c r="F1892" s="13"/>
      <c r="G1892" s="14">
        <v>22100</v>
      </c>
      <c r="H1892" s="13" t="s">
        <v>32235</v>
      </c>
      <c r="I1892" s="40" t="s">
        <v>18</v>
      </c>
      <c r="J1892" s="40" t="str">
        <f>HYPERLINK("https://stock.pstatic.net/stock-research/company/57/20260623_company_519757000.pdf","PDF")</f>
        <v>PDF</v>
      </c>
      <c r="K1892" s="12" t="s">
        <v>32236</v>
      </c>
      <c r="L1892" s="12"/>
    </row>
    <row r="1893" spans="1:12" x14ac:dyDescent="0.45">
      <c r="A1893" s="12" t="s">
        <v>32154</v>
      </c>
      <c r="B1893" s="12" t="s">
        <v>533</v>
      </c>
      <c r="C1893" s="13" t="s">
        <v>534</v>
      </c>
      <c r="D1893" s="13" t="s">
        <v>65</v>
      </c>
      <c r="E1893" s="12" t="s">
        <v>35</v>
      </c>
      <c r="F1893" s="14">
        <v>76000</v>
      </c>
      <c r="G1893" s="14">
        <v>52300</v>
      </c>
      <c r="H1893" s="13" t="s">
        <v>32237</v>
      </c>
      <c r="I1893" s="40" t="s">
        <v>18</v>
      </c>
      <c r="J1893" s="40" t="str">
        <f>HYPERLINK("https://stock.pstatic.net/stock-research/company/57/20260623_company_282332000.pdf","PDF")</f>
        <v>PDF</v>
      </c>
      <c r="K1893" s="12" t="s">
        <v>32238</v>
      </c>
      <c r="L1893" s="36">
        <v>0.45315487571701718</v>
      </c>
    </row>
    <row r="1894" spans="1:12" x14ac:dyDescent="0.45">
      <c r="A1894" s="12" t="s">
        <v>32154</v>
      </c>
      <c r="B1894" s="12" t="s">
        <v>537</v>
      </c>
      <c r="C1894" s="13" t="s">
        <v>538</v>
      </c>
      <c r="D1894" s="13" t="s">
        <v>65</v>
      </c>
      <c r="E1894" s="12" t="s">
        <v>35</v>
      </c>
      <c r="F1894" s="14">
        <v>20000</v>
      </c>
      <c r="G1894" s="14">
        <v>18840</v>
      </c>
      <c r="H1894" s="13" t="s">
        <v>32239</v>
      </c>
      <c r="I1894" s="40" t="s">
        <v>18</v>
      </c>
      <c r="J1894" s="40" t="str">
        <f>HYPERLINK("https://stock.pstatic.net/stock-research/company/57/20260623_company_801455000.pdf","PDF")</f>
        <v>PDF</v>
      </c>
      <c r="K1894" s="12" t="s">
        <v>32240</v>
      </c>
      <c r="L1894" s="36">
        <v>6.1571125265392782E-2</v>
      </c>
    </row>
    <row r="1895" spans="1:12" x14ac:dyDescent="0.45">
      <c r="A1895" s="12" t="s">
        <v>32154</v>
      </c>
      <c r="B1895" s="12" t="s">
        <v>541</v>
      </c>
      <c r="C1895" s="13" t="s">
        <v>542</v>
      </c>
      <c r="D1895" s="13" t="s">
        <v>65</v>
      </c>
      <c r="E1895" s="12" t="s">
        <v>35</v>
      </c>
      <c r="F1895" s="14">
        <v>140000</v>
      </c>
      <c r="G1895" s="14">
        <v>94200</v>
      </c>
      <c r="H1895" s="13" t="s">
        <v>32241</v>
      </c>
      <c r="I1895" s="40" t="s">
        <v>18</v>
      </c>
      <c r="J1895" s="40" t="str">
        <f>HYPERLINK("https://stock.pstatic.net/stock-research/company/57/20260623_company_183834000.pdf","PDF")</f>
        <v>PDF</v>
      </c>
      <c r="K1895" s="12" t="s">
        <v>32242</v>
      </c>
      <c r="L1895" s="36">
        <v>0.4861995753715499</v>
      </c>
    </row>
    <row r="1896" spans="1:12" x14ac:dyDescent="0.45">
      <c r="A1896" s="12" t="s">
        <v>32154</v>
      </c>
      <c r="B1896" s="12" t="s">
        <v>10656</v>
      </c>
      <c r="C1896" s="13" t="s">
        <v>10657</v>
      </c>
      <c r="D1896" s="13" t="s">
        <v>23</v>
      </c>
      <c r="E1896" s="12" t="s">
        <v>50</v>
      </c>
      <c r="F1896" s="13"/>
      <c r="G1896" s="14">
        <v>863</v>
      </c>
      <c r="H1896" s="13" t="s">
        <v>32243</v>
      </c>
      <c r="I1896" s="40" t="s">
        <v>18</v>
      </c>
      <c r="J1896" s="40" t="str">
        <f>HYPERLINK("https://stock.pstatic.net/stock-research/company/21/20260623_company_912253000.pdf","PDF")</f>
        <v>PDF</v>
      </c>
      <c r="K1896" s="12" t="s">
        <v>32244</v>
      </c>
      <c r="L1896" s="12"/>
    </row>
    <row r="1897" spans="1:12" x14ac:dyDescent="0.45">
      <c r="A1897" s="12" t="s">
        <v>32154</v>
      </c>
      <c r="B1897" s="12" t="s">
        <v>3988</v>
      </c>
      <c r="C1897" s="13" t="s">
        <v>3989</v>
      </c>
      <c r="D1897" s="13" t="s">
        <v>92</v>
      </c>
      <c r="E1897" s="12" t="s">
        <v>50</v>
      </c>
      <c r="F1897" s="13"/>
      <c r="G1897" s="14">
        <v>3650</v>
      </c>
      <c r="H1897" s="13" t="s">
        <v>32245</v>
      </c>
      <c r="I1897" s="40" t="s">
        <v>18</v>
      </c>
      <c r="J1897" s="40" t="str">
        <f>HYPERLINK("https://stock.pstatic.net/stock-research/company/63/20260623_company_895044000.pdf","PDF")</f>
        <v>PDF</v>
      </c>
      <c r="K1897" s="12" t="s">
        <v>32246</v>
      </c>
      <c r="L1897" s="12"/>
    </row>
    <row r="1898" spans="1:12" x14ac:dyDescent="0.45">
      <c r="A1898" s="12" t="s">
        <v>32154</v>
      </c>
      <c r="B1898" s="12" t="s">
        <v>81</v>
      </c>
      <c r="C1898" s="13" t="s">
        <v>82</v>
      </c>
      <c r="D1898" s="13" t="s">
        <v>83</v>
      </c>
      <c r="E1898" s="12" t="s">
        <v>35</v>
      </c>
      <c r="F1898" s="14">
        <v>45000</v>
      </c>
      <c r="G1898" s="14">
        <v>30800</v>
      </c>
      <c r="H1898" s="13" t="s">
        <v>32247</v>
      </c>
      <c r="I1898" s="40" t="s">
        <v>18</v>
      </c>
      <c r="J1898" s="40" t="str">
        <f>HYPERLINK("https://stock.pstatic.net/stock-research/company/15/20260623_company_923024000.pdf","PDF")</f>
        <v>PDF</v>
      </c>
      <c r="K1898" s="12" t="s">
        <v>32248</v>
      </c>
      <c r="L1898" s="36">
        <v>0.46103896103896103</v>
      </c>
    </row>
    <row r="1899" spans="1:12" x14ac:dyDescent="0.45">
      <c r="A1899" s="12" t="s">
        <v>32154</v>
      </c>
      <c r="B1899" s="12" t="s">
        <v>243</v>
      </c>
      <c r="C1899" s="13" t="s">
        <v>244</v>
      </c>
      <c r="D1899" s="13" t="s">
        <v>83</v>
      </c>
      <c r="E1899" s="12" t="s">
        <v>50</v>
      </c>
      <c r="F1899" s="13"/>
      <c r="G1899" s="14">
        <v>130700</v>
      </c>
      <c r="H1899" s="13" t="s">
        <v>32249</v>
      </c>
      <c r="I1899" s="40" t="s">
        <v>18</v>
      </c>
      <c r="J1899" s="40" t="str">
        <f>HYPERLINK("https://stock.pstatic.net/stock-research/company/15/20260623_company_113119000.pdf","PDF")</f>
        <v>PDF</v>
      </c>
      <c r="K1899" s="12" t="s">
        <v>32250</v>
      </c>
      <c r="L1899" s="12"/>
    </row>
    <row r="1900" spans="1:12" x14ac:dyDescent="0.45">
      <c r="A1900" s="12" t="s">
        <v>32154</v>
      </c>
      <c r="B1900" s="12" t="s">
        <v>1562</v>
      </c>
      <c r="C1900" s="13" t="s">
        <v>1563</v>
      </c>
      <c r="D1900" s="13" t="s">
        <v>124</v>
      </c>
      <c r="E1900" s="12" t="s">
        <v>50</v>
      </c>
      <c r="F1900" s="13"/>
      <c r="G1900" s="13"/>
      <c r="H1900" s="13" t="s">
        <v>32155</v>
      </c>
      <c r="I1900" s="40" t="s">
        <v>18</v>
      </c>
      <c r="J1900" s="40" t="str">
        <f>HYPERLINK("https://stock.pstatic.net/stock-research/company/74/20260623_company_745471000.pdf","PDF")</f>
        <v>PDF</v>
      </c>
      <c r="K1900" s="12" t="s">
        <v>32156</v>
      </c>
      <c r="L1900" s="12"/>
    </row>
    <row r="1901" spans="1:12" x14ac:dyDescent="0.45">
      <c r="A1901" s="12" t="s">
        <v>32154</v>
      </c>
      <c r="B1901" s="12" t="s">
        <v>10817</v>
      </c>
      <c r="C1901" s="13" t="s">
        <v>10818</v>
      </c>
      <c r="D1901" s="13" t="s">
        <v>23</v>
      </c>
      <c r="E1901" s="12" t="s">
        <v>50</v>
      </c>
      <c r="F1901" s="13"/>
      <c r="G1901" s="14">
        <v>12150</v>
      </c>
      <c r="H1901" s="13" t="s">
        <v>32157</v>
      </c>
      <c r="I1901" s="40" t="s">
        <v>18</v>
      </c>
      <c r="J1901" s="40" t="str">
        <f>HYPERLINK("https://stock.pstatic.net/stock-research/company/21/20260623_company_514525000.pdf","PDF")</f>
        <v>PDF</v>
      </c>
      <c r="K1901" s="12" t="s">
        <v>32158</v>
      </c>
      <c r="L1901" s="12"/>
    </row>
    <row r="1902" spans="1:12" x14ac:dyDescent="0.45">
      <c r="A1902" s="12" t="s">
        <v>32154</v>
      </c>
      <c r="B1902" s="12" t="s">
        <v>5036</v>
      </c>
      <c r="C1902" s="13" t="s">
        <v>5037</v>
      </c>
      <c r="D1902" s="13" t="s">
        <v>23</v>
      </c>
      <c r="E1902" s="12" t="s">
        <v>50</v>
      </c>
      <c r="F1902" s="13"/>
      <c r="G1902" s="14">
        <v>2450</v>
      </c>
      <c r="H1902" s="13" t="s">
        <v>32159</v>
      </c>
      <c r="I1902" s="40" t="s">
        <v>18</v>
      </c>
      <c r="J1902" s="40" t="str">
        <f>HYPERLINK("https://stock.pstatic.net/stock-research/company/21/20260623_company_245624000.pdf","PDF")</f>
        <v>PDF</v>
      </c>
      <c r="K1902" s="12" t="s">
        <v>32160</v>
      </c>
      <c r="L1902" s="12"/>
    </row>
    <row r="1903" spans="1:12" x14ac:dyDescent="0.45">
      <c r="A1903" s="12" t="s">
        <v>32154</v>
      </c>
      <c r="B1903" s="12" t="s">
        <v>10625</v>
      </c>
      <c r="C1903" s="13" t="s">
        <v>32161</v>
      </c>
      <c r="D1903" s="13" t="s">
        <v>23</v>
      </c>
      <c r="E1903" s="12" t="s">
        <v>50</v>
      </c>
      <c r="F1903" s="13"/>
      <c r="G1903" s="14">
        <v>7330</v>
      </c>
      <c r="H1903" s="13" t="s">
        <v>32162</v>
      </c>
      <c r="I1903" s="40" t="s">
        <v>18</v>
      </c>
      <c r="J1903" s="40" t="str">
        <f>HYPERLINK("https://stock.pstatic.net/stock-research/company/21/20260623_company_284450000.pdf","PDF")</f>
        <v>PDF</v>
      </c>
      <c r="K1903" s="12" t="s">
        <v>32163</v>
      </c>
      <c r="L1903" s="12"/>
    </row>
    <row r="1904" spans="1:12" x14ac:dyDescent="0.45">
      <c r="A1904" s="12" t="s">
        <v>32154</v>
      </c>
      <c r="B1904" s="12" t="s">
        <v>186</v>
      </c>
      <c r="C1904" s="13" t="s">
        <v>187</v>
      </c>
      <c r="D1904" s="13" t="s">
        <v>23</v>
      </c>
      <c r="E1904" s="12" t="s">
        <v>16</v>
      </c>
      <c r="F1904" s="14">
        <v>8000</v>
      </c>
      <c r="G1904" s="14">
        <v>5080</v>
      </c>
      <c r="H1904" s="13" t="s">
        <v>32164</v>
      </c>
      <c r="I1904" s="40" t="s">
        <v>18</v>
      </c>
      <c r="J1904" s="40" t="str">
        <f>HYPERLINK("https://stock.pstatic.net/stock-research/company/21/20260623_company_520665000.pdf","PDF")</f>
        <v>PDF</v>
      </c>
      <c r="K1904" s="12" t="s">
        <v>32165</v>
      </c>
      <c r="L1904" s="36">
        <v>0.57480314960629919</v>
      </c>
    </row>
    <row r="1905" spans="1:12" x14ac:dyDescent="0.45">
      <c r="A1905" s="12" t="s">
        <v>32154</v>
      </c>
      <c r="B1905" s="12" t="s">
        <v>10568</v>
      </c>
      <c r="C1905" s="13" t="s">
        <v>10569</v>
      </c>
      <c r="D1905" s="13" t="s">
        <v>44</v>
      </c>
      <c r="E1905" s="12" t="s">
        <v>50</v>
      </c>
      <c r="F1905" s="13"/>
      <c r="G1905" s="14">
        <v>6200</v>
      </c>
      <c r="H1905" s="13" t="s">
        <v>32166</v>
      </c>
      <c r="I1905" s="40" t="s">
        <v>18</v>
      </c>
      <c r="J1905" s="40" t="str">
        <f>HYPERLINK("https://stock.pstatic.net/stock-research/company/39/20260623_company_558640000.pdf","PDF")</f>
        <v>PDF</v>
      </c>
      <c r="K1905" s="12" t="s">
        <v>32167</v>
      </c>
      <c r="L1905" s="12"/>
    </row>
    <row r="1906" spans="1:12" x14ac:dyDescent="0.45">
      <c r="A1906" s="12" t="s">
        <v>32154</v>
      </c>
      <c r="B1906" s="12" t="s">
        <v>1042</v>
      </c>
      <c r="C1906" s="13" t="s">
        <v>1043</v>
      </c>
      <c r="D1906" s="13" t="s">
        <v>44</v>
      </c>
      <c r="E1906" s="12" t="s">
        <v>35</v>
      </c>
      <c r="F1906" s="14">
        <v>39000</v>
      </c>
      <c r="G1906" s="14">
        <v>23100</v>
      </c>
      <c r="H1906" s="13" t="s">
        <v>32168</v>
      </c>
      <c r="I1906" s="40" t="s">
        <v>18</v>
      </c>
      <c r="J1906" s="40" t="str">
        <f>HYPERLINK("https://stock.pstatic.net/stock-research/company/39/20260623_company_995468000.pdf","PDF")</f>
        <v>PDF</v>
      </c>
      <c r="K1906" s="12" t="s">
        <v>32169</v>
      </c>
      <c r="L1906" s="36">
        <v>0.68831168831168832</v>
      </c>
    </row>
    <row r="1907" spans="1:12" x14ac:dyDescent="0.45">
      <c r="A1907" s="12" t="s">
        <v>32154</v>
      </c>
      <c r="B1907" s="12" t="s">
        <v>23751</v>
      </c>
      <c r="C1907" s="13" t="s">
        <v>23752</v>
      </c>
      <c r="D1907" s="13" t="s">
        <v>124</v>
      </c>
      <c r="E1907" s="12" t="s">
        <v>50</v>
      </c>
      <c r="F1907" s="13"/>
      <c r="G1907" s="13"/>
      <c r="H1907" s="13" t="s">
        <v>32170</v>
      </c>
      <c r="I1907" s="40" t="s">
        <v>18</v>
      </c>
      <c r="J1907" s="40" t="str">
        <f>HYPERLINK("https://stock.pstatic.net/stock-research/company/74/20260623_company_193390000.pdf","PDF")</f>
        <v>PDF</v>
      </c>
      <c r="K1907" s="12" t="s">
        <v>32171</v>
      </c>
      <c r="L1907" s="12"/>
    </row>
    <row r="1908" spans="1:12" x14ac:dyDescent="0.45">
      <c r="A1908" s="12" t="s">
        <v>32154</v>
      </c>
      <c r="B1908" s="12" t="s">
        <v>1401</v>
      </c>
      <c r="C1908" s="13" t="s">
        <v>1402</v>
      </c>
      <c r="D1908" s="13" t="s">
        <v>124</v>
      </c>
      <c r="E1908" s="12" t="s">
        <v>50</v>
      </c>
      <c r="F1908" s="13"/>
      <c r="G1908" s="13"/>
      <c r="H1908" s="13" t="s">
        <v>32172</v>
      </c>
      <c r="I1908" s="40" t="s">
        <v>18</v>
      </c>
      <c r="J1908" s="40" t="str">
        <f>HYPERLINK("https://stock.pstatic.net/stock-research/company/74/20260623_company_145652000.pdf","PDF")</f>
        <v>PDF</v>
      </c>
      <c r="K1908" s="12" t="s">
        <v>32173</v>
      </c>
      <c r="L1908" s="12"/>
    </row>
    <row r="1909" spans="1:12" x14ac:dyDescent="0.45">
      <c r="A1909" s="12" t="s">
        <v>32154</v>
      </c>
      <c r="B1909" s="12" t="s">
        <v>1459</v>
      </c>
      <c r="C1909" s="13" t="s">
        <v>1460</v>
      </c>
      <c r="D1909" s="13" t="s">
        <v>124</v>
      </c>
      <c r="E1909" s="12" t="s">
        <v>50</v>
      </c>
      <c r="F1909" s="13"/>
      <c r="G1909" s="13"/>
      <c r="H1909" s="13" t="s">
        <v>32174</v>
      </c>
      <c r="I1909" s="40" t="s">
        <v>18</v>
      </c>
      <c r="J1909" s="40" t="str">
        <f>HYPERLINK("https://stock.pstatic.net/stock-research/company/74/20260623_company_96089000.pdf","PDF")</f>
        <v>PDF</v>
      </c>
      <c r="K1909" s="12" t="s">
        <v>32175</v>
      </c>
      <c r="L1909" s="12"/>
    </row>
    <row r="1910" spans="1:12" x14ac:dyDescent="0.45">
      <c r="A1910" s="12" t="s">
        <v>32154</v>
      </c>
      <c r="B1910" s="12" t="s">
        <v>565</v>
      </c>
      <c r="C1910" s="13" t="s">
        <v>566</v>
      </c>
      <c r="D1910" s="13" t="s">
        <v>15</v>
      </c>
      <c r="E1910" s="12" t="s">
        <v>50</v>
      </c>
      <c r="F1910" s="13"/>
      <c r="G1910" s="14">
        <v>46450</v>
      </c>
      <c r="H1910" s="13" t="s">
        <v>32176</v>
      </c>
      <c r="I1910" s="40" t="s">
        <v>18</v>
      </c>
      <c r="J1910" s="40" t="str">
        <f>HYPERLINK("https://stock.pstatic.net/stock-research/company/56/20260623_company_828059000.pdf","PDF")</f>
        <v>PDF</v>
      </c>
      <c r="K1910" s="12" t="s">
        <v>32177</v>
      </c>
      <c r="L1910" s="12"/>
    </row>
    <row r="1911" spans="1:12" x14ac:dyDescent="0.45">
      <c r="A1911" s="12" t="s">
        <v>32139</v>
      </c>
      <c r="B1911" s="12" t="s">
        <v>334</v>
      </c>
      <c r="C1911" s="13" t="s">
        <v>335</v>
      </c>
      <c r="D1911" s="13" t="s">
        <v>57</v>
      </c>
      <c r="E1911" s="12" t="s">
        <v>35</v>
      </c>
      <c r="F1911" s="14">
        <v>4300000</v>
      </c>
      <c r="G1911" s="14">
        <v>2764000</v>
      </c>
      <c r="H1911" s="13" t="s">
        <v>32178</v>
      </c>
      <c r="I1911" s="40" t="s">
        <v>18</v>
      </c>
      <c r="J1911" s="40" t="str">
        <f>HYPERLINK("https://stock.pstatic.net/stock-research/company/16/20260622_company_50964000.pdf","PDF")</f>
        <v>PDF</v>
      </c>
      <c r="K1911" s="12" t="s">
        <v>32179</v>
      </c>
      <c r="L1911" s="36">
        <v>0.55571635311143275</v>
      </c>
    </row>
    <row r="1912" spans="1:12" x14ac:dyDescent="0.45">
      <c r="A1912" s="12" t="s">
        <v>32139</v>
      </c>
      <c r="B1912" s="12" t="s">
        <v>95</v>
      </c>
      <c r="C1912" s="13" t="s">
        <v>31</v>
      </c>
      <c r="D1912" s="13" t="s">
        <v>60</v>
      </c>
      <c r="E1912" s="12" t="s">
        <v>35</v>
      </c>
      <c r="F1912" s="14">
        <v>66000</v>
      </c>
      <c r="G1912" s="14">
        <v>48650</v>
      </c>
      <c r="H1912" s="13" t="s">
        <v>32180</v>
      </c>
      <c r="I1912" s="40" t="s">
        <v>18</v>
      </c>
      <c r="J1912" s="40" t="str">
        <f>HYPERLINK("https://stock.pstatic.net/stock-research/company/62/20260622_company_549247000.pdf","PDF")</f>
        <v>PDF</v>
      </c>
      <c r="K1912" s="12" t="s">
        <v>32181</v>
      </c>
      <c r="L1912" s="36">
        <v>0.35662898252826308</v>
      </c>
    </row>
    <row r="1913" spans="1:12" x14ac:dyDescent="0.45">
      <c r="A1913" s="12" t="s">
        <v>32139</v>
      </c>
      <c r="B1913" s="12" t="s">
        <v>1930</v>
      </c>
      <c r="C1913" s="13" t="s">
        <v>1931</v>
      </c>
      <c r="D1913" s="13" t="s">
        <v>65</v>
      </c>
      <c r="E1913" s="12" t="s">
        <v>35</v>
      </c>
      <c r="F1913" s="14">
        <v>370000</v>
      </c>
      <c r="G1913" s="14">
        <v>193300</v>
      </c>
      <c r="H1913" s="13" t="s">
        <v>32182</v>
      </c>
      <c r="I1913" s="40" t="s">
        <v>18</v>
      </c>
      <c r="J1913" s="40" t="str">
        <f>HYPERLINK("https://stock.pstatic.net/stock-research/company/57/20260622_company_648947000.pdf","PDF")</f>
        <v>PDF</v>
      </c>
      <c r="K1913" s="12" t="s">
        <v>32183</v>
      </c>
      <c r="L1913" s="36">
        <v>0.91412312467666834</v>
      </c>
    </row>
    <row r="1914" spans="1:12" x14ac:dyDescent="0.45">
      <c r="A1914" s="12" t="s">
        <v>32139</v>
      </c>
      <c r="B1914" s="12" t="s">
        <v>2081</v>
      </c>
      <c r="C1914" s="13" t="s">
        <v>2082</v>
      </c>
      <c r="D1914" s="13" t="s">
        <v>83</v>
      </c>
      <c r="E1914" s="12" t="s">
        <v>35</v>
      </c>
      <c r="F1914" s="14">
        <v>29000</v>
      </c>
      <c r="G1914" s="14">
        <v>19000</v>
      </c>
      <c r="H1914" s="13" t="s">
        <v>32184</v>
      </c>
      <c r="I1914" s="40" t="s">
        <v>18</v>
      </c>
      <c r="J1914" s="40" t="str">
        <f>HYPERLINK("https://stock.pstatic.net/stock-research/company/15/20260622_company_798849000.pdf","PDF")</f>
        <v>PDF</v>
      </c>
      <c r="K1914" s="12" t="s">
        <v>32185</v>
      </c>
      <c r="L1914" s="36">
        <v>0.52631578947368418</v>
      </c>
    </row>
    <row r="1915" spans="1:12" x14ac:dyDescent="0.45">
      <c r="A1915" s="12" t="s">
        <v>32139</v>
      </c>
      <c r="B1915" s="12" t="s">
        <v>1144</v>
      </c>
      <c r="C1915" s="13" t="s">
        <v>1145</v>
      </c>
      <c r="D1915" s="13" t="s">
        <v>83</v>
      </c>
      <c r="E1915" s="12" t="s">
        <v>35</v>
      </c>
      <c r="F1915" s="14">
        <v>195000</v>
      </c>
      <c r="G1915" s="14">
        <v>136700</v>
      </c>
      <c r="H1915" s="13" t="s">
        <v>32186</v>
      </c>
      <c r="I1915" s="40" t="s">
        <v>18</v>
      </c>
      <c r="J1915" s="40" t="str">
        <f>HYPERLINK("https://stock.pstatic.net/stock-research/company/15/20260622_company_990466000.pdf","PDF")</f>
        <v>PDF</v>
      </c>
      <c r="K1915" s="12" t="s">
        <v>32187</v>
      </c>
      <c r="L1915" s="36">
        <v>0.42648134601316751</v>
      </c>
    </row>
    <row r="1916" spans="1:12" x14ac:dyDescent="0.45">
      <c r="A1916" s="12" t="s">
        <v>32139</v>
      </c>
      <c r="B1916" s="12" t="s">
        <v>1266</v>
      </c>
      <c r="C1916" s="13" t="s">
        <v>1267</v>
      </c>
      <c r="D1916" s="13" t="s">
        <v>83</v>
      </c>
      <c r="E1916" s="12" t="s">
        <v>35</v>
      </c>
      <c r="F1916" s="14">
        <v>590000</v>
      </c>
      <c r="G1916" s="14">
        <v>497000</v>
      </c>
      <c r="H1916" s="13" t="s">
        <v>32188</v>
      </c>
      <c r="I1916" s="40" t="s">
        <v>18</v>
      </c>
      <c r="J1916" s="40" t="str">
        <f>HYPERLINK("https://stock.pstatic.net/stock-research/company/15/20260622_company_764405000.pdf","PDF")</f>
        <v>PDF</v>
      </c>
      <c r="K1916" s="12" t="s">
        <v>32189</v>
      </c>
      <c r="L1916" s="36">
        <v>0.1871227364185111</v>
      </c>
    </row>
    <row r="1917" spans="1:12" x14ac:dyDescent="0.45">
      <c r="A1917" s="12" t="s">
        <v>32139</v>
      </c>
      <c r="B1917" s="12" t="s">
        <v>1652</v>
      </c>
      <c r="C1917" s="13" t="s">
        <v>1653</v>
      </c>
      <c r="D1917" s="13" t="s">
        <v>92</v>
      </c>
      <c r="E1917" s="12" t="s">
        <v>35</v>
      </c>
      <c r="F1917" s="14">
        <v>80000</v>
      </c>
      <c r="G1917" s="14">
        <v>42450</v>
      </c>
      <c r="H1917" s="13" t="s">
        <v>32190</v>
      </c>
      <c r="I1917" s="40" t="s">
        <v>18</v>
      </c>
      <c r="J1917" s="40" t="str">
        <f>HYPERLINK("https://stock.pstatic.net/stock-research/company/63/20260622_company_685871000.pdf","PDF")</f>
        <v>PDF</v>
      </c>
      <c r="K1917" s="12" t="s">
        <v>32191</v>
      </c>
      <c r="L1917" s="36">
        <v>0.88457008244994106</v>
      </c>
    </row>
    <row r="1918" spans="1:12" x14ac:dyDescent="0.45">
      <c r="A1918" s="12" t="s">
        <v>32139</v>
      </c>
      <c r="B1918" s="12" t="s">
        <v>10919</v>
      </c>
      <c r="C1918" s="13" t="s">
        <v>10920</v>
      </c>
      <c r="D1918" s="13" t="s">
        <v>92</v>
      </c>
      <c r="E1918" s="12" t="s">
        <v>50</v>
      </c>
      <c r="F1918" s="13"/>
      <c r="G1918" s="14">
        <v>3195</v>
      </c>
      <c r="H1918" s="13" t="s">
        <v>32192</v>
      </c>
      <c r="I1918" s="40" t="s">
        <v>18</v>
      </c>
      <c r="J1918" s="40" t="str">
        <f>HYPERLINK("https://stock.pstatic.net/stock-research/company/63/20260622_company_466215000.pdf","PDF")</f>
        <v>PDF</v>
      </c>
      <c r="K1918" s="12" t="s">
        <v>32193</v>
      </c>
      <c r="L1918" s="12"/>
    </row>
    <row r="1919" spans="1:12" x14ac:dyDescent="0.45">
      <c r="A1919" s="12" t="s">
        <v>32139</v>
      </c>
      <c r="B1919" s="12" t="s">
        <v>529</v>
      </c>
      <c r="C1919" s="13" t="s">
        <v>530</v>
      </c>
      <c r="D1919" s="13" t="s">
        <v>179</v>
      </c>
      <c r="E1919" s="12" t="s">
        <v>50</v>
      </c>
      <c r="F1919" s="13"/>
      <c r="G1919" s="14">
        <v>16830</v>
      </c>
      <c r="H1919" s="13" t="s">
        <v>32194</v>
      </c>
      <c r="I1919" s="40" t="s">
        <v>18</v>
      </c>
      <c r="J1919" s="40" t="str">
        <f>HYPERLINK("https://stock.pstatic.net/stock-research/company/64/20260622_company_82012000.pdf","PDF")</f>
        <v>PDF</v>
      </c>
      <c r="K1919" s="12" t="s">
        <v>32195</v>
      </c>
      <c r="L1919" s="12"/>
    </row>
    <row r="1920" spans="1:12" x14ac:dyDescent="0.45">
      <c r="A1920" s="12" t="s">
        <v>32139</v>
      </c>
      <c r="B1920" s="12" t="s">
        <v>549</v>
      </c>
      <c r="C1920" s="13" t="s">
        <v>550</v>
      </c>
      <c r="D1920" s="13" t="s">
        <v>23</v>
      </c>
      <c r="E1920" s="12" t="s">
        <v>50</v>
      </c>
      <c r="F1920" s="13"/>
      <c r="G1920" s="14">
        <v>4930</v>
      </c>
      <c r="H1920" s="13" t="s">
        <v>32196</v>
      </c>
      <c r="I1920" s="40" t="s">
        <v>18</v>
      </c>
      <c r="J1920" s="40" t="str">
        <f>HYPERLINK("https://stock.pstatic.net/stock-research/company/21/20260622_company_17946000.pdf","PDF")</f>
        <v>PDF</v>
      </c>
      <c r="K1920" s="12" t="s">
        <v>32197</v>
      </c>
      <c r="L1920" s="12"/>
    </row>
    <row r="1921" spans="1:12" x14ac:dyDescent="0.45">
      <c r="A1921" s="12" t="s">
        <v>32139</v>
      </c>
      <c r="B1921" s="12" t="s">
        <v>10578</v>
      </c>
      <c r="C1921" s="13" t="s">
        <v>10579</v>
      </c>
      <c r="D1921" s="13" t="s">
        <v>23</v>
      </c>
      <c r="E1921" s="12" t="s">
        <v>50</v>
      </c>
      <c r="F1921" s="13"/>
      <c r="G1921" s="14">
        <v>4700</v>
      </c>
      <c r="H1921" s="13" t="s">
        <v>32198</v>
      </c>
      <c r="I1921" s="40" t="s">
        <v>18</v>
      </c>
      <c r="J1921" s="40" t="str">
        <f>HYPERLINK("https://stock.pstatic.net/stock-research/company/21/20260622_company_14882000.pdf","PDF")</f>
        <v>PDF</v>
      </c>
      <c r="K1921" s="12" t="s">
        <v>32199</v>
      </c>
      <c r="L1921" s="12"/>
    </row>
    <row r="1922" spans="1:12" x14ac:dyDescent="0.45">
      <c r="A1922" s="12" t="s">
        <v>32139</v>
      </c>
      <c r="B1922" s="12" t="s">
        <v>698</v>
      </c>
      <c r="C1922" s="13" t="s">
        <v>699</v>
      </c>
      <c r="D1922" s="13" t="s">
        <v>34</v>
      </c>
      <c r="E1922" s="12" t="s">
        <v>35</v>
      </c>
      <c r="F1922" s="14">
        <v>950000</v>
      </c>
      <c r="G1922" s="14">
        <v>724000</v>
      </c>
      <c r="H1922" s="13" t="s">
        <v>32140</v>
      </c>
      <c r="I1922" s="40" t="s">
        <v>18</v>
      </c>
      <c r="J1922" s="40" t="str">
        <f>HYPERLINK("https://stock.pstatic.net/stock-research/company/61/20260622_company_278986000.pdf","PDF")</f>
        <v>PDF</v>
      </c>
      <c r="K1922" s="12" t="s">
        <v>32141</v>
      </c>
      <c r="L1922" s="36">
        <v>0.31215469613259672</v>
      </c>
    </row>
    <row r="1923" spans="1:12" x14ac:dyDescent="0.45">
      <c r="A1923" s="12" t="s">
        <v>32139</v>
      </c>
      <c r="B1923" s="12" t="s">
        <v>264</v>
      </c>
      <c r="C1923" s="13" t="s">
        <v>265</v>
      </c>
      <c r="D1923" s="13" t="s">
        <v>34</v>
      </c>
      <c r="E1923" s="12" t="s">
        <v>35</v>
      </c>
      <c r="F1923" s="14">
        <v>570000</v>
      </c>
      <c r="G1923" s="14">
        <v>410000</v>
      </c>
      <c r="H1923" s="13" t="s">
        <v>32142</v>
      </c>
      <c r="I1923" s="40" t="s">
        <v>18</v>
      </c>
      <c r="J1923" s="40" t="str">
        <f>HYPERLINK("https://stock.pstatic.net/stock-research/company/61/20260622_company_660629000.pdf","PDF")</f>
        <v>PDF</v>
      </c>
      <c r="K1923" s="12" t="s">
        <v>32143</v>
      </c>
      <c r="L1923" s="36">
        <v>0.3902439024390244</v>
      </c>
    </row>
    <row r="1924" spans="1:12" x14ac:dyDescent="0.45">
      <c r="A1924" s="12" t="s">
        <v>32139</v>
      </c>
      <c r="B1924" s="12" t="s">
        <v>13</v>
      </c>
      <c r="C1924" s="13" t="s">
        <v>14</v>
      </c>
      <c r="D1924" s="13" t="s">
        <v>34</v>
      </c>
      <c r="E1924" s="12" t="s">
        <v>35</v>
      </c>
      <c r="F1924" s="14">
        <v>480000</v>
      </c>
      <c r="G1924" s="14">
        <v>354000</v>
      </c>
      <c r="H1924" s="13" t="s">
        <v>32144</v>
      </c>
      <c r="I1924" s="40" t="s">
        <v>18</v>
      </c>
      <c r="J1924" s="40" t="str">
        <f>HYPERLINK("https://stock.pstatic.net/stock-research/company/61/20260622_company_728303000.pdf","PDF")</f>
        <v>PDF</v>
      </c>
      <c r="K1924" s="12" t="s">
        <v>32145</v>
      </c>
      <c r="L1924" s="36">
        <v>0.3559322033898305</v>
      </c>
    </row>
    <row r="1925" spans="1:12" x14ac:dyDescent="0.45">
      <c r="A1925" s="12" t="s">
        <v>32139</v>
      </c>
      <c r="B1925" s="12" t="s">
        <v>334</v>
      </c>
      <c r="C1925" s="13" t="s">
        <v>335</v>
      </c>
      <c r="D1925" s="13" t="s">
        <v>34</v>
      </c>
      <c r="E1925" s="12" t="s">
        <v>35</v>
      </c>
      <c r="F1925" s="14">
        <v>3500000</v>
      </c>
      <c r="G1925" s="14">
        <v>2764000</v>
      </c>
      <c r="H1925" s="13" t="s">
        <v>32146</v>
      </c>
      <c r="I1925" s="40" t="s">
        <v>18</v>
      </c>
      <c r="J1925" s="40" t="str">
        <f>HYPERLINK("https://stock.pstatic.net/stock-research/company/61/20260622_company_396285000.pdf","PDF")</f>
        <v>PDF</v>
      </c>
      <c r="K1925" s="12" t="s">
        <v>32147</v>
      </c>
      <c r="L1925" s="36">
        <v>0.2662807525325615</v>
      </c>
    </row>
    <row r="1926" spans="1:12" x14ac:dyDescent="0.45">
      <c r="A1926" s="12" t="s">
        <v>32139</v>
      </c>
      <c r="B1926" s="12" t="s">
        <v>8976</v>
      </c>
      <c r="C1926" s="13" t="s">
        <v>8977</v>
      </c>
      <c r="D1926" s="13" t="s">
        <v>53</v>
      </c>
      <c r="E1926" s="12" t="s">
        <v>50</v>
      </c>
      <c r="F1926" s="13"/>
      <c r="G1926" s="14">
        <v>1425</v>
      </c>
      <c r="H1926" s="13" t="s">
        <v>32148</v>
      </c>
      <c r="I1926" s="40" t="s">
        <v>18</v>
      </c>
      <c r="J1926" s="40" t="str">
        <f>HYPERLINK("https://stock.pstatic.net/stock-research/company/40/20260622_company_371594000.pdf","PDF")</f>
        <v>PDF</v>
      </c>
      <c r="K1926" s="12" t="s">
        <v>32149</v>
      </c>
      <c r="L1926" s="12"/>
    </row>
    <row r="1927" spans="1:12" x14ac:dyDescent="0.45">
      <c r="A1927" s="12" t="s">
        <v>32139</v>
      </c>
      <c r="B1927" s="12" t="s">
        <v>10633</v>
      </c>
      <c r="C1927" s="13" t="s">
        <v>10634</v>
      </c>
      <c r="D1927" s="13" t="s">
        <v>44</v>
      </c>
      <c r="E1927" s="12" t="s">
        <v>50</v>
      </c>
      <c r="F1927" s="13"/>
      <c r="G1927" s="14">
        <v>6650</v>
      </c>
      <c r="H1927" s="13" t="s">
        <v>32150</v>
      </c>
      <c r="I1927" s="40" t="s">
        <v>18</v>
      </c>
      <c r="J1927" s="40" t="str">
        <f>HYPERLINK("https://stock.pstatic.net/stock-research/company/39/20260622_company_495479000.pdf","PDF")</f>
        <v>PDF</v>
      </c>
      <c r="K1927" s="12" t="s">
        <v>32151</v>
      </c>
      <c r="L1927" s="12"/>
    </row>
    <row r="1928" spans="1:12" ht="16.5" customHeight="1" x14ac:dyDescent="0.45">
      <c r="A1928" s="12" t="s">
        <v>32139</v>
      </c>
      <c r="B1928" s="12" t="s">
        <v>6045</v>
      </c>
      <c r="C1928" s="13" t="s">
        <v>6046</v>
      </c>
      <c r="D1928" s="13" t="s">
        <v>44</v>
      </c>
      <c r="E1928" s="12" t="s">
        <v>50</v>
      </c>
      <c r="F1928" s="13"/>
      <c r="G1928" s="14">
        <v>7670</v>
      </c>
      <c r="H1928" s="13" t="s">
        <v>32152</v>
      </c>
      <c r="I1928" s="40" t="s">
        <v>18</v>
      </c>
      <c r="J1928" s="40" t="str">
        <f>HYPERLINK("https://stock.pstatic.net/stock-research/company/39/20260622_company_682933000.pdf","PDF")</f>
        <v>PDF</v>
      </c>
      <c r="K1928" s="12" t="s">
        <v>32153</v>
      </c>
      <c r="L1928" s="12"/>
    </row>
    <row r="1929" spans="1:12" x14ac:dyDescent="0.45">
      <c r="A1929" s="12" t="s">
        <v>32013</v>
      </c>
      <c r="B1929" s="12" t="s">
        <v>2425</v>
      </c>
      <c r="C1929" s="13" t="s">
        <v>2426</v>
      </c>
      <c r="D1929" s="13" t="s">
        <v>276</v>
      </c>
      <c r="E1929" s="12" t="s">
        <v>16</v>
      </c>
      <c r="F1929" s="14">
        <v>240000</v>
      </c>
      <c r="G1929" s="14">
        <v>180400</v>
      </c>
      <c r="H1929" s="13" t="s">
        <v>32014</v>
      </c>
      <c r="I1929" s="40" t="s">
        <v>18</v>
      </c>
      <c r="J1929" s="40" t="str">
        <f>HYPERLINK("https://stock.pstatic.net/stock-research/company/66/20260619_company_91001000.pdf","PDF")</f>
        <v>PDF</v>
      </c>
      <c r="K1929" s="12" t="s">
        <v>32015</v>
      </c>
      <c r="L1929" s="36">
        <v>0.3303769401330377</v>
      </c>
    </row>
    <row r="1930" spans="1:12" x14ac:dyDescent="0.45">
      <c r="A1930" s="12" t="s">
        <v>32013</v>
      </c>
      <c r="B1930" s="12" t="s">
        <v>72</v>
      </c>
      <c r="C1930" s="13" t="s">
        <v>73</v>
      </c>
      <c r="D1930" s="13" t="s">
        <v>276</v>
      </c>
      <c r="E1930" s="12" t="s">
        <v>16</v>
      </c>
      <c r="F1930" s="14">
        <v>620000</v>
      </c>
      <c r="G1930" s="14">
        <v>485500</v>
      </c>
      <c r="H1930" s="13" t="s">
        <v>32016</v>
      </c>
      <c r="I1930" s="40" t="s">
        <v>18</v>
      </c>
      <c r="J1930" s="40" t="str">
        <f>HYPERLINK("https://stock.pstatic.net/stock-research/company/66/20260619_company_664436000.pdf","PDF")</f>
        <v>PDF</v>
      </c>
      <c r="K1930" s="12" t="s">
        <v>32017</v>
      </c>
      <c r="L1930" s="36">
        <v>0.27703398558187442</v>
      </c>
    </row>
    <row r="1931" spans="1:12" x14ac:dyDescent="0.45">
      <c r="A1931" s="12" t="s">
        <v>32013</v>
      </c>
      <c r="B1931" s="12" t="s">
        <v>10413</v>
      </c>
      <c r="C1931" s="13" t="s">
        <v>10414</v>
      </c>
      <c r="D1931" s="13" t="s">
        <v>60</v>
      </c>
      <c r="E1931" s="12" t="s">
        <v>50</v>
      </c>
      <c r="F1931" s="13"/>
      <c r="G1931" s="14">
        <v>7200</v>
      </c>
      <c r="H1931" s="13" t="s">
        <v>32018</v>
      </c>
      <c r="I1931" s="40" t="s">
        <v>18</v>
      </c>
      <c r="J1931" s="40" t="str">
        <f>HYPERLINK("https://stock.pstatic.net/stock-research/company/62/20260619_company_897093000.pdf","PDF")</f>
        <v>PDF</v>
      </c>
      <c r="K1931" s="12" t="s">
        <v>32019</v>
      </c>
      <c r="L1931" s="12"/>
    </row>
    <row r="1932" spans="1:12" x14ac:dyDescent="0.45">
      <c r="A1932" s="12" t="s">
        <v>32013</v>
      </c>
      <c r="B1932" s="12" t="s">
        <v>1097</v>
      </c>
      <c r="C1932" s="13" t="s">
        <v>1098</v>
      </c>
      <c r="D1932" s="13" t="s">
        <v>65</v>
      </c>
      <c r="E1932" s="12" t="s">
        <v>50</v>
      </c>
      <c r="F1932" s="13"/>
      <c r="G1932" s="14">
        <v>117500</v>
      </c>
      <c r="H1932" s="13" t="s">
        <v>32020</v>
      </c>
      <c r="I1932" s="40" t="s">
        <v>18</v>
      </c>
      <c r="J1932" s="40" t="str">
        <f>HYPERLINK("https://stock.pstatic.net/stock-research/company/57/20260619_company_528494000.pdf","PDF")</f>
        <v>PDF</v>
      </c>
      <c r="K1932" s="12" t="s">
        <v>32021</v>
      </c>
      <c r="L1932" s="12"/>
    </row>
    <row r="1933" spans="1:12" x14ac:dyDescent="0.45">
      <c r="A1933" s="12" t="s">
        <v>32013</v>
      </c>
      <c r="B1933" s="12" t="s">
        <v>2944</v>
      </c>
      <c r="C1933" s="13" t="s">
        <v>2945</v>
      </c>
      <c r="D1933" s="13" t="s">
        <v>65</v>
      </c>
      <c r="E1933" s="12" t="s">
        <v>35</v>
      </c>
      <c r="F1933" s="14">
        <v>24500</v>
      </c>
      <c r="G1933" s="14">
        <v>17730</v>
      </c>
      <c r="H1933" s="13" t="s">
        <v>32022</v>
      </c>
      <c r="I1933" s="40" t="s">
        <v>18</v>
      </c>
      <c r="J1933" s="40" t="str">
        <f>HYPERLINK("https://stock.pstatic.net/stock-research/company/57/20260619_company_526777000.pdf","PDF")</f>
        <v>PDF</v>
      </c>
      <c r="K1933" s="12" t="s">
        <v>32023</v>
      </c>
      <c r="L1933" s="36">
        <v>0.38183869148336153</v>
      </c>
    </row>
    <row r="1934" spans="1:12" x14ac:dyDescent="0.45">
      <c r="A1934" s="12" t="s">
        <v>32013</v>
      </c>
      <c r="B1934" s="12" t="s">
        <v>6328</v>
      </c>
      <c r="C1934" s="13" t="s">
        <v>6329</v>
      </c>
      <c r="D1934" s="13" t="s">
        <v>158</v>
      </c>
      <c r="E1934" s="12" t="s">
        <v>50</v>
      </c>
      <c r="F1934" s="13"/>
      <c r="G1934" s="14">
        <v>3165</v>
      </c>
      <c r="H1934" s="13" t="s">
        <v>32024</v>
      </c>
      <c r="I1934" s="40" t="s">
        <v>18</v>
      </c>
      <c r="J1934" s="40" t="str">
        <f>HYPERLINK("https://stock.pstatic.net/stock-research/company/18/20260619_company_310885000.pdf","PDF")</f>
        <v>PDF</v>
      </c>
      <c r="K1934" s="12" t="s">
        <v>32025</v>
      </c>
      <c r="L1934" s="12"/>
    </row>
    <row r="1935" spans="1:12" x14ac:dyDescent="0.45">
      <c r="A1935" s="12" t="s">
        <v>32013</v>
      </c>
      <c r="B1935" s="12" t="s">
        <v>1009</v>
      </c>
      <c r="C1935" s="13" t="s">
        <v>1010</v>
      </c>
      <c r="D1935" s="13" t="s">
        <v>124</v>
      </c>
      <c r="E1935" s="12" t="s">
        <v>50</v>
      </c>
      <c r="F1935" s="13"/>
      <c r="G1935" s="13"/>
      <c r="H1935" s="13" t="s">
        <v>32026</v>
      </c>
      <c r="I1935" s="40" t="s">
        <v>18</v>
      </c>
      <c r="J1935" s="40" t="str">
        <f>HYPERLINK("https://stock.pstatic.net/stock-research/company/74/20260619_company_196615000.pdf","PDF")</f>
        <v>PDF</v>
      </c>
      <c r="K1935" s="12" t="s">
        <v>32027</v>
      </c>
      <c r="L1935" s="12"/>
    </row>
    <row r="1936" spans="1:12" x14ac:dyDescent="0.45">
      <c r="A1936" s="12" t="s">
        <v>32013</v>
      </c>
      <c r="B1936" s="12" t="s">
        <v>4642</v>
      </c>
      <c r="C1936" s="13" t="s">
        <v>4643</v>
      </c>
      <c r="D1936" s="13" t="s">
        <v>34</v>
      </c>
      <c r="E1936" s="12" t="s">
        <v>35</v>
      </c>
      <c r="F1936" s="14">
        <v>40000</v>
      </c>
      <c r="G1936" s="14">
        <v>28850</v>
      </c>
      <c r="H1936" s="13" t="s">
        <v>32028</v>
      </c>
      <c r="I1936" s="40" t="s">
        <v>18</v>
      </c>
      <c r="J1936" s="40" t="str">
        <f>HYPERLINK("https://stock.pstatic.net/stock-research/company/61/20260619_company_736435000.pdf","PDF")</f>
        <v>PDF</v>
      </c>
      <c r="K1936" s="12" t="s">
        <v>32029</v>
      </c>
      <c r="L1936" s="36">
        <v>0.38648180242634322</v>
      </c>
    </row>
    <row r="1937" spans="1:12" x14ac:dyDescent="0.45">
      <c r="A1937" s="12" t="s">
        <v>32013</v>
      </c>
      <c r="B1937" s="12" t="s">
        <v>3403</v>
      </c>
      <c r="C1937" s="13" t="s">
        <v>3404</v>
      </c>
      <c r="D1937" s="13" t="s">
        <v>53</v>
      </c>
      <c r="E1937" s="12" t="s">
        <v>16</v>
      </c>
      <c r="F1937" s="14">
        <v>76000</v>
      </c>
      <c r="G1937" s="14">
        <v>65100</v>
      </c>
      <c r="H1937" s="13" t="s">
        <v>32030</v>
      </c>
      <c r="I1937" s="40" t="s">
        <v>18</v>
      </c>
      <c r="J1937" s="40" t="str">
        <f>HYPERLINK("https://stock.pstatic.net/stock-research/company/40/20260619_company_321815000.pdf","PDF")</f>
        <v>PDF</v>
      </c>
      <c r="K1937" s="12" t="s">
        <v>32031</v>
      </c>
      <c r="L1937" s="36">
        <v>0.1674347158218126</v>
      </c>
    </row>
    <row r="1938" spans="1:12" x14ac:dyDescent="0.45">
      <c r="A1938" s="12" t="s">
        <v>32013</v>
      </c>
      <c r="B1938" s="12" t="s">
        <v>10788</v>
      </c>
      <c r="C1938" s="13" t="s">
        <v>10789</v>
      </c>
      <c r="D1938" s="13" t="s">
        <v>53</v>
      </c>
      <c r="E1938" s="12" t="s">
        <v>50</v>
      </c>
      <c r="F1938" s="13"/>
      <c r="G1938" s="14">
        <v>77300</v>
      </c>
      <c r="H1938" s="13" t="s">
        <v>32032</v>
      </c>
      <c r="I1938" s="40" t="s">
        <v>18</v>
      </c>
      <c r="J1938" s="40" t="str">
        <f>HYPERLINK("https://stock.pstatic.net/stock-research/company/40/20260619_company_269256000.pdf","PDF")</f>
        <v>PDF</v>
      </c>
      <c r="K1938" s="12" t="s">
        <v>32033</v>
      </c>
      <c r="L1938" s="12"/>
    </row>
    <row r="1939" spans="1:12" x14ac:dyDescent="0.45">
      <c r="A1939" s="12" t="s">
        <v>32013</v>
      </c>
      <c r="B1939" s="12" t="s">
        <v>10201</v>
      </c>
      <c r="C1939" s="13" t="s">
        <v>32034</v>
      </c>
      <c r="D1939" s="13" t="s">
        <v>53</v>
      </c>
      <c r="E1939" s="12" t="s">
        <v>50</v>
      </c>
      <c r="F1939" s="13"/>
      <c r="G1939" s="14">
        <v>1365</v>
      </c>
      <c r="H1939" s="13" t="s">
        <v>32035</v>
      </c>
      <c r="I1939" s="40" t="s">
        <v>18</v>
      </c>
      <c r="J1939" s="40" t="str">
        <f>HYPERLINK("https://stock.pstatic.net/stock-research/company/40/20260619_company_317360000.pdf","PDF")</f>
        <v>PDF</v>
      </c>
      <c r="K1939" s="12" t="s">
        <v>32036</v>
      </c>
      <c r="L1939" s="12"/>
    </row>
    <row r="1940" spans="1:12" x14ac:dyDescent="0.45">
      <c r="A1940" s="12" t="s">
        <v>32013</v>
      </c>
      <c r="B1940" s="12" t="s">
        <v>6593</v>
      </c>
      <c r="C1940" s="13" t="s">
        <v>6594</v>
      </c>
      <c r="D1940" s="13" t="s">
        <v>44</v>
      </c>
      <c r="E1940" s="12" t="s">
        <v>50</v>
      </c>
      <c r="F1940" s="13"/>
      <c r="G1940" s="14">
        <v>5580</v>
      </c>
      <c r="H1940" s="13" t="s">
        <v>32037</v>
      </c>
      <c r="I1940" s="40" t="s">
        <v>18</v>
      </c>
      <c r="J1940" s="40" t="str">
        <f>HYPERLINK("https://stock.pstatic.net/stock-research/company/39/20260619_company_203646000.pdf","PDF")</f>
        <v>PDF</v>
      </c>
      <c r="K1940" s="12" t="s">
        <v>32038</v>
      </c>
      <c r="L1940" s="12"/>
    </row>
    <row r="1941" spans="1:12" x14ac:dyDescent="0.45">
      <c r="A1941" s="12" t="s">
        <v>32013</v>
      </c>
      <c r="B1941" s="12" t="s">
        <v>10613</v>
      </c>
      <c r="C1941" s="13" t="s">
        <v>10614</v>
      </c>
      <c r="D1941" s="13" t="s">
        <v>124</v>
      </c>
      <c r="E1941" s="12" t="s">
        <v>50</v>
      </c>
      <c r="F1941" s="13"/>
      <c r="G1941" s="13"/>
      <c r="H1941" s="13" t="s">
        <v>32039</v>
      </c>
      <c r="I1941" s="40" t="s">
        <v>18</v>
      </c>
      <c r="J1941" s="40" t="str">
        <f>HYPERLINK("https://stock.pstatic.net/stock-research/company/74/20260619_company_422442000.pdf","PDF")</f>
        <v>PDF</v>
      </c>
      <c r="K1941" s="12" t="s">
        <v>32040</v>
      </c>
      <c r="L1941" s="12"/>
    </row>
    <row r="1942" spans="1:12" x14ac:dyDescent="0.45">
      <c r="A1942" s="12" t="s">
        <v>32013</v>
      </c>
      <c r="B1942" s="12" t="s">
        <v>2170</v>
      </c>
      <c r="C1942" s="13" t="s">
        <v>2171</v>
      </c>
      <c r="D1942" s="13" t="s">
        <v>124</v>
      </c>
      <c r="E1942" s="12" t="s">
        <v>50</v>
      </c>
      <c r="F1942" s="13"/>
      <c r="G1942" s="13"/>
      <c r="H1942" s="13" t="s">
        <v>32041</v>
      </c>
      <c r="I1942" s="40" t="s">
        <v>18</v>
      </c>
      <c r="J1942" s="40" t="str">
        <f>HYPERLINK("https://stock.pstatic.net/stock-research/company/74/20260619_company_740725000.pdf","PDF")</f>
        <v>PDF</v>
      </c>
      <c r="K1942" s="12" t="s">
        <v>32042</v>
      </c>
      <c r="L1942" s="12"/>
    </row>
    <row r="1943" spans="1:12" x14ac:dyDescent="0.45">
      <c r="A1943" s="12" t="s">
        <v>32013</v>
      </c>
      <c r="B1943" s="12" t="s">
        <v>4466</v>
      </c>
      <c r="C1943" s="13" t="s">
        <v>4467</v>
      </c>
      <c r="D1943" s="13" t="s">
        <v>44</v>
      </c>
      <c r="E1943" s="12" t="s">
        <v>50</v>
      </c>
      <c r="F1943" s="13"/>
      <c r="G1943" s="14">
        <v>1000</v>
      </c>
      <c r="H1943" s="13" t="s">
        <v>32043</v>
      </c>
      <c r="I1943" s="40" t="s">
        <v>18</v>
      </c>
      <c r="J1943" s="40" t="str">
        <f>HYPERLINK("https://stock.pstatic.net/stock-research/company/39/20260619_company_497855000.pdf","PDF")</f>
        <v>PDF</v>
      </c>
      <c r="K1943" s="12" t="s">
        <v>32044</v>
      </c>
      <c r="L1943" s="12"/>
    </row>
    <row r="1944" spans="1:12" x14ac:dyDescent="0.45">
      <c r="A1944" s="12" t="s">
        <v>32013</v>
      </c>
      <c r="B1944" s="12" t="s">
        <v>21725</v>
      </c>
      <c r="C1944" s="13" t="s">
        <v>21726</v>
      </c>
      <c r="D1944" s="13" t="s">
        <v>44</v>
      </c>
      <c r="E1944" s="12" t="s">
        <v>50</v>
      </c>
      <c r="F1944" s="13"/>
      <c r="G1944" s="14">
        <v>16610</v>
      </c>
      <c r="H1944" s="13" t="s">
        <v>32045</v>
      </c>
      <c r="I1944" s="40" t="s">
        <v>18</v>
      </c>
      <c r="J1944" s="40" t="str">
        <f>HYPERLINK("https://stock.pstatic.net/stock-research/company/39/20260619_company_267668000.pdf","PDF")</f>
        <v>PDF</v>
      </c>
      <c r="K1944" s="12" t="s">
        <v>32046</v>
      </c>
      <c r="L1944" s="12"/>
    </row>
    <row r="1945" spans="1:12" x14ac:dyDescent="0.45">
      <c r="A1945" s="12" t="s">
        <v>32013</v>
      </c>
      <c r="B1945" s="12" t="s">
        <v>309</v>
      </c>
      <c r="C1945" s="13" t="s">
        <v>310</v>
      </c>
      <c r="D1945" s="13" t="s">
        <v>15</v>
      </c>
      <c r="E1945" s="12" t="s">
        <v>50</v>
      </c>
      <c r="F1945" s="13"/>
      <c r="G1945" s="14">
        <v>44900</v>
      </c>
      <c r="H1945" s="13" t="s">
        <v>32047</v>
      </c>
      <c r="I1945" s="40" t="s">
        <v>18</v>
      </c>
      <c r="J1945" s="40" t="str">
        <f>HYPERLINK("https://stock.pstatic.net/stock-research/company/56/20260619_company_835739000.pdf","PDF")</f>
        <v>PDF</v>
      </c>
      <c r="K1945" s="12" t="s">
        <v>32048</v>
      </c>
      <c r="L1945" s="12"/>
    </row>
    <row r="1946" spans="1:12" x14ac:dyDescent="0.45">
      <c r="A1946" s="12" t="s">
        <v>32013</v>
      </c>
      <c r="B1946" s="12" t="s">
        <v>15442</v>
      </c>
      <c r="C1946" s="13" t="s">
        <v>15443</v>
      </c>
      <c r="D1946" s="13" t="s">
        <v>202</v>
      </c>
      <c r="E1946" s="12" t="s">
        <v>50</v>
      </c>
      <c r="F1946" s="13"/>
      <c r="G1946" s="13"/>
      <c r="H1946" s="13" t="s">
        <v>32049</v>
      </c>
      <c r="I1946" s="40" t="s">
        <v>18</v>
      </c>
      <c r="J1946" s="40" t="str">
        <f>HYPERLINK("https://stock.pstatic.net/stock-research/company/69/20260619_company_91910000.pdf","PDF")</f>
        <v>PDF</v>
      </c>
      <c r="K1946" s="12" t="s">
        <v>32050</v>
      </c>
      <c r="L1946" s="12"/>
    </row>
    <row r="1947" spans="1:12" x14ac:dyDescent="0.45">
      <c r="A1947" s="12" t="s">
        <v>32013</v>
      </c>
      <c r="B1947" s="12" t="s">
        <v>19727</v>
      </c>
      <c r="C1947" s="13" t="s">
        <v>19728</v>
      </c>
      <c r="D1947" s="13" t="s">
        <v>202</v>
      </c>
      <c r="E1947" s="12" t="s">
        <v>50</v>
      </c>
      <c r="F1947" s="13"/>
      <c r="G1947" s="13"/>
      <c r="H1947" s="13" t="s">
        <v>32051</v>
      </c>
      <c r="I1947" s="40" t="s">
        <v>18</v>
      </c>
      <c r="J1947" s="40" t="str">
        <f>HYPERLINK("https://stock.pstatic.net/stock-research/company/69/20260619_company_479985000.pdf","PDF")</f>
        <v>PDF</v>
      </c>
      <c r="K1947" s="12" t="s">
        <v>32052</v>
      </c>
      <c r="L1947" s="12"/>
    </row>
    <row r="1948" spans="1:12" x14ac:dyDescent="0.45">
      <c r="A1948" s="12" t="s">
        <v>32013</v>
      </c>
      <c r="B1948" s="12" t="s">
        <v>14655</v>
      </c>
      <c r="C1948" s="13" t="s">
        <v>14656</v>
      </c>
      <c r="D1948" s="13" t="s">
        <v>207</v>
      </c>
      <c r="E1948" s="12" t="s">
        <v>50</v>
      </c>
      <c r="F1948" s="13"/>
      <c r="G1948" s="13"/>
      <c r="H1948" s="13" t="s">
        <v>32053</v>
      </c>
      <c r="I1948" s="40" t="s">
        <v>18</v>
      </c>
      <c r="J1948" s="40" t="str">
        <f>HYPERLINK("https://stock.pstatic.net/stock-research/company/75/20260619_company_615239000.pdf","PDF")</f>
        <v>PDF</v>
      </c>
      <c r="K1948" s="12" t="s">
        <v>32054</v>
      </c>
      <c r="L1948" s="12"/>
    </row>
    <row r="1949" spans="1:12" x14ac:dyDescent="0.45">
      <c r="A1949" s="12" t="s">
        <v>32013</v>
      </c>
      <c r="B1949" s="12" t="s">
        <v>32055</v>
      </c>
      <c r="C1949" s="13" t="s">
        <v>32056</v>
      </c>
      <c r="D1949" s="13" t="s">
        <v>202</v>
      </c>
      <c r="E1949" s="12" t="s">
        <v>50</v>
      </c>
      <c r="F1949" s="13"/>
      <c r="G1949" s="13"/>
      <c r="H1949" s="13" t="s">
        <v>32057</v>
      </c>
      <c r="I1949" s="40" t="s">
        <v>18</v>
      </c>
      <c r="J1949" s="40" t="str">
        <f>HYPERLINK("https://stock.pstatic.net/stock-research/company/69/20260619_company_344727000.pdf","PDF")</f>
        <v>PDF</v>
      </c>
      <c r="K1949" s="12" t="s">
        <v>32058</v>
      </c>
      <c r="L1949" s="12"/>
    </row>
    <row r="1950" spans="1:12" x14ac:dyDescent="0.45">
      <c r="A1950" s="12" t="s">
        <v>32059</v>
      </c>
      <c r="B1950" s="12" t="s">
        <v>10923</v>
      </c>
      <c r="C1950" s="13" t="s">
        <v>10924</v>
      </c>
      <c r="D1950" s="13" t="s">
        <v>53</v>
      </c>
      <c r="E1950" s="12" t="s">
        <v>50</v>
      </c>
      <c r="F1950" s="13"/>
      <c r="G1950" s="14">
        <v>6630</v>
      </c>
      <c r="H1950" s="13" t="s">
        <v>32060</v>
      </c>
      <c r="I1950" s="40" t="s">
        <v>18</v>
      </c>
      <c r="J1950" s="40" t="str">
        <f>HYPERLINK("https://stock.pstatic.net/stock-research/company/40/20260618_company_52817000.pdf","PDF")</f>
        <v>PDF</v>
      </c>
      <c r="K1950" s="12" t="s">
        <v>32061</v>
      </c>
      <c r="L1950" s="12"/>
    </row>
    <row r="1951" spans="1:12" x14ac:dyDescent="0.45">
      <c r="A1951" s="12" t="s">
        <v>32059</v>
      </c>
      <c r="B1951" s="12" t="s">
        <v>5558</v>
      </c>
      <c r="C1951" s="13" t="s">
        <v>5559</v>
      </c>
      <c r="D1951" s="13" t="s">
        <v>23</v>
      </c>
      <c r="E1951" s="12" t="s">
        <v>50</v>
      </c>
      <c r="F1951" s="13"/>
      <c r="G1951" s="14">
        <v>51500</v>
      </c>
      <c r="H1951" s="13" t="s">
        <v>32062</v>
      </c>
      <c r="I1951" s="40" t="s">
        <v>18</v>
      </c>
      <c r="J1951" s="40" t="str">
        <f>HYPERLINK("https://stock.pstatic.net/stock-research/company/21/20260618_company_142944000.pdf","PDF")</f>
        <v>PDF</v>
      </c>
      <c r="K1951" s="12" t="s">
        <v>32063</v>
      </c>
      <c r="L1951" s="12"/>
    </row>
    <row r="1952" spans="1:12" x14ac:dyDescent="0.45">
      <c r="A1952" s="12" t="s">
        <v>32059</v>
      </c>
      <c r="B1952" s="12" t="s">
        <v>32064</v>
      </c>
      <c r="C1952" s="13" t="s">
        <v>32065</v>
      </c>
      <c r="D1952" s="13" t="s">
        <v>15</v>
      </c>
      <c r="E1952" s="12" t="s">
        <v>50</v>
      </c>
      <c r="F1952" s="13"/>
      <c r="G1952" s="14">
        <v>10940</v>
      </c>
      <c r="H1952" s="13" t="s">
        <v>32066</v>
      </c>
      <c r="I1952" s="40" t="s">
        <v>18</v>
      </c>
      <c r="J1952" s="40" t="str">
        <f>HYPERLINK("https://stock.pstatic.net/stock-research/company/56/20260618_company_850475000.pdf","PDF")</f>
        <v>PDF</v>
      </c>
      <c r="K1952" s="12" t="s">
        <v>32067</v>
      </c>
      <c r="L1952" s="12"/>
    </row>
    <row r="1953" spans="1:12" x14ac:dyDescent="0.45">
      <c r="A1953" s="12" t="s">
        <v>32059</v>
      </c>
      <c r="B1953" s="12" t="s">
        <v>4214</v>
      </c>
      <c r="C1953" s="13" t="s">
        <v>4215</v>
      </c>
      <c r="D1953" s="13" t="s">
        <v>15</v>
      </c>
      <c r="E1953" s="12" t="s">
        <v>50</v>
      </c>
      <c r="F1953" s="13"/>
      <c r="G1953" s="14">
        <v>37100</v>
      </c>
      <c r="H1953" s="13" t="s">
        <v>32068</v>
      </c>
      <c r="I1953" s="40" t="s">
        <v>18</v>
      </c>
      <c r="J1953" s="40" t="str">
        <f>HYPERLINK("https://stock.pstatic.net/stock-research/company/56/20260618_company_361731000.pdf","PDF")</f>
        <v>PDF</v>
      </c>
      <c r="K1953" s="12" t="s">
        <v>32069</v>
      </c>
      <c r="L1953" s="12"/>
    </row>
    <row r="1954" spans="1:12" x14ac:dyDescent="0.45">
      <c r="A1954" s="12" t="s">
        <v>32059</v>
      </c>
      <c r="B1954" s="12" t="s">
        <v>3314</v>
      </c>
      <c r="C1954" s="13" t="s">
        <v>3315</v>
      </c>
      <c r="D1954" s="13" t="s">
        <v>15</v>
      </c>
      <c r="E1954" s="12" t="s">
        <v>50</v>
      </c>
      <c r="F1954" s="13"/>
      <c r="G1954" s="14">
        <v>18170</v>
      </c>
      <c r="H1954" s="13" t="s">
        <v>32070</v>
      </c>
      <c r="I1954" s="40" t="s">
        <v>18</v>
      </c>
      <c r="J1954" s="40" t="str">
        <f>HYPERLINK("https://stock.pstatic.net/stock-research/company/56/20260618_company_782614000.pdf","PDF")</f>
        <v>PDF</v>
      </c>
      <c r="K1954" s="12" t="s">
        <v>32071</v>
      </c>
      <c r="L1954" s="12"/>
    </row>
    <row r="1955" spans="1:12" x14ac:dyDescent="0.45">
      <c r="A1955" s="12" t="s">
        <v>32072</v>
      </c>
      <c r="B1955" s="12" t="s">
        <v>577</v>
      </c>
      <c r="C1955" s="13" t="s">
        <v>578</v>
      </c>
      <c r="D1955" s="13" t="s">
        <v>853</v>
      </c>
      <c r="E1955" s="12" t="s">
        <v>35</v>
      </c>
      <c r="F1955" s="14">
        <v>900000</v>
      </c>
      <c r="G1955" s="14">
        <v>761000</v>
      </c>
      <c r="H1955" s="13" t="s">
        <v>32073</v>
      </c>
      <c r="I1955" s="40" t="s">
        <v>18</v>
      </c>
      <c r="J1955" s="40" t="str">
        <f>HYPERLINK("https://stock.pstatic.net/stock-research/company/17/20260617_company_244311000.pdf","PDF")</f>
        <v>PDF</v>
      </c>
      <c r="K1955" s="12" t="s">
        <v>32074</v>
      </c>
      <c r="L1955" s="36">
        <v>0.1826544021024967</v>
      </c>
    </row>
    <row r="1956" spans="1:12" x14ac:dyDescent="0.45">
      <c r="A1956" s="12" t="s">
        <v>32072</v>
      </c>
      <c r="B1956" s="12" t="s">
        <v>884</v>
      </c>
      <c r="C1956" s="13" t="s">
        <v>885</v>
      </c>
      <c r="D1956" s="13" t="s">
        <v>57</v>
      </c>
      <c r="E1956" s="12" t="s">
        <v>35</v>
      </c>
      <c r="F1956" s="14">
        <v>5500</v>
      </c>
      <c r="G1956" s="14">
        <v>2785</v>
      </c>
      <c r="H1956" s="13" t="s">
        <v>32075</v>
      </c>
      <c r="I1956" s="40" t="s">
        <v>18</v>
      </c>
      <c r="J1956" s="40" t="str">
        <f>HYPERLINK("https://stock.pstatic.net/stock-research/company/16/20260617_company_142152000.pdf","PDF")</f>
        <v>PDF</v>
      </c>
      <c r="K1956" s="12" t="s">
        <v>32076</v>
      </c>
      <c r="L1956" s="36">
        <v>0.9748653500897666</v>
      </c>
    </row>
    <row r="1957" spans="1:12" x14ac:dyDescent="0.45">
      <c r="A1957" s="12" t="s">
        <v>32072</v>
      </c>
      <c r="B1957" s="12" t="s">
        <v>3887</v>
      </c>
      <c r="C1957" s="13" t="s">
        <v>3888</v>
      </c>
      <c r="D1957" s="13" t="s">
        <v>276</v>
      </c>
      <c r="E1957" s="12" t="s">
        <v>16</v>
      </c>
      <c r="F1957" s="14">
        <v>83000</v>
      </c>
      <c r="G1957" s="14">
        <v>56500</v>
      </c>
      <c r="H1957" s="13" t="s">
        <v>32077</v>
      </c>
      <c r="I1957" s="40" t="s">
        <v>18</v>
      </c>
      <c r="J1957" s="40" t="str">
        <f>HYPERLINK("https://stock.pstatic.net/stock-research/company/66/20260617_company_837042000.pdf","PDF")</f>
        <v>PDF</v>
      </c>
      <c r="K1957" s="12" t="s">
        <v>32078</v>
      </c>
      <c r="L1957" s="36">
        <v>0.46902654867256638</v>
      </c>
    </row>
    <row r="1958" spans="1:12" x14ac:dyDescent="0.45">
      <c r="A1958" s="12" t="s">
        <v>32072</v>
      </c>
      <c r="B1958" s="12" t="s">
        <v>42</v>
      </c>
      <c r="C1958" s="13" t="s">
        <v>43</v>
      </c>
      <c r="D1958" s="13" t="s">
        <v>276</v>
      </c>
      <c r="E1958" s="12" t="s">
        <v>50</v>
      </c>
      <c r="F1958" s="13"/>
      <c r="G1958" s="14">
        <v>242000</v>
      </c>
      <c r="H1958" s="13" t="s">
        <v>32079</v>
      </c>
      <c r="I1958" s="40" t="s">
        <v>18</v>
      </c>
      <c r="J1958" s="40" t="str">
        <f>HYPERLINK("https://stock.pstatic.net/stock-research/company/66/20260617_company_139651000.pdf","PDF")</f>
        <v>PDF</v>
      </c>
      <c r="K1958" s="12" t="s">
        <v>32080</v>
      </c>
      <c r="L1958" s="12"/>
    </row>
    <row r="1959" spans="1:12" x14ac:dyDescent="0.45">
      <c r="A1959" s="12" t="s">
        <v>32072</v>
      </c>
      <c r="B1959" s="12" t="s">
        <v>1120</v>
      </c>
      <c r="C1959" s="13" t="s">
        <v>1121</v>
      </c>
      <c r="D1959" s="13" t="s">
        <v>60</v>
      </c>
      <c r="E1959" s="12" t="s">
        <v>35</v>
      </c>
      <c r="F1959" s="14">
        <v>190000</v>
      </c>
      <c r="G1959" s="14">
        <v>134000</v>
      </c>
      <c r="H1959" s="13" t="s">
        <v>32081</v>
      </c>
      <c r="I1959" s="40" t="s">
        <v>18</v>
      </c>
      <c r="J1959" s="40" t="str">
        <f>HYPERLINK("https://stock.pstatic.net/stock-research/company/62/20260617_company_724152000.pdf","PDF")</f>
        <v>PDF</v>
      </c>
      <c r="K1959" s="12" t="s">
        <v>32082</v>
      </c>
      <c r="L1959" s="36">
        <v>0.41791044776119401</v>
      </c>
    </row>
    <row r="1960" spans="1:12" x14ac:dyDescent="0.45">
      <c r="A1960" s="12" t="s">
        <v>32072</v>
      </c>
      <c r="B1960" s="12" t="s">
        <v>4206</v>
      </c>
      <c r="C1960" s="13" t="s">
        <v>4207</v>
      </c>
      <c r="D1960" s="13" t="s">
        <v>65</v>
      </c>
      <c r="E1960" s="12" t="s">
        <v>35</v>
      </c>
      <c r="F1960" s="14">
        <v>60000</v>
      </c>
      <c r="G1960" s="14">
        <v>44650</v>
      </c>
      <c r="H1960" s="13" t="s">
        <v>32083</v>
      </c>
      <c r="I1960" s="40" t="s">
        <v>18</v>
      </c>
      <c r="J1960" s="40" t="str">
        <f>HYPERLINK("https://stock.pstatic.net/stock-research/company/57/20260617_company_419098000.pdf","PDF")</f>
        <v>PDF</v>
      </c>
      <c r="K1960" s="12" t="s">
        <v>32084</v>
      </c>
      <c r="L1960" s="36">
        <v>0.34378499440089588</v>
      </c>
    </row>
    <row r="1961" spans="1:12" x14ac:dyDescent="0.45">
      <c r="A1961" s="12" t="s">
        <v>32072</v>
      </c>
      <c r="B1961" s="12" t="s">
        <v>2853</v>
      </c>
      <c r="C1961" s="13" t="s">
        <v>2854</v>
      </c>
      <c r="D1961" s="13" t="s">
        <v>158</v>
      </c>
      <c r="E1961" s="12" t="s">
        <v>35</v>
      </c>
      <c r="F1961" s="14">
        <v>30000</v>
      </c>
      <c r="G1961" s="14">
        <v>16710</v>
      </c>
      <c r="H1961" s="13" t="s">
        <v>32085</v>
      </c>
      <c r="I1961" s="40" t="s">
        <v>18</v>
      </c>
      <c r="J1961" s="40" t="str">
        <f>HYPERLINK("https://stock.pstatic.net/stock-research/company/18/20260617_company_186696000.pdf","PDF")</f>
        <v>PDF</v>
      </c>
      <c r="K1961" s="12" t="s">
        <v>32086</v>
      </c>
      <c r="L1961" s="36">
        <v>0.79533213644524237</v>
      </c>
    </row>
    <row r="1962" spans="1:12" x14ac:dyDescent="0.45">
      <c r="A1962" s="12" t="s">
        <v>32072</v>
      </c>
      <c r="B1962" s="12" t="s">
        <v>72</v>
      </c>
      <c r="C1962" s="13" t="s">
        <v>73</v>
      </c>
      <c r="D1962" s="13" t="s">
        <v>53</v>
      </c>
      <c r="E1962" s="12" t="s">
        <v>16</v>
      </c>
      <c r="F1962" s="14">
        <v>620000</v>
      </c>
      <c r="G1962" s="14">
        <v>497000</v>
      </c>
      <c r="H1962" s="13" t="s">
        <v>32087</v>
      </c>
      <c r="I1962" s="40" t="s">
        <v>18</v>
      </c>
      <c r="J1962" s="40" t="str">
        <f>HYPERLINK("https://stock.pstatic.net/stock-research/company/40/20260617_company_227320000.pdf","PDF")</f>
        <v>PDF</v>
      </c>
      <c r="K1962" s="12" t="s">
        <v>32088</v>
      </c>
      <c r="L1962" s="36">
        <v>0.24748490945674051</v>
      </c>
    </row>
    <row r="1963" spans="1:12" x14ac:dyDescent="0.45">
      <c r="A1963" s="12" t="s">
        <v>32072</v>
      </c>
      <c r="B1963" s="12" t="s">
        <v>1120</v>
      </c>
      <c r="C1963" s="13" t="s">
        <v>1121</v>
      </c>
      <c r="D1963" s="13" t="s">
        <v>23</v>
      </c>
      <c r="E1963" s="12" t="s">
        <v>16</v>
      </c>
      <c r="F1963" s="14">
        <v>160000</v>
      </c>
      <c r="G1963" s="14">
        <v>134000</v>
      </c>
      <c r="H1963" s="13" t="s">
        <v>32089</v>
      </c>
      <c r="I1963" s="40" t="s">
        <v>18</v>
      </c>
      <c r="J1963" s="40" t="str">
        <f>HYPERLINK("https://stock.pstatic.net/stock-research/company/21/20260617_company_467680000.pdf","PDF")</f>
        <v>PDF</v>
      </c>
      <c r="K1963" s="12" t="s">
        <v>32090</v>
      </c>
      <c r="L1963" s="36">
        <v>0.19402985074626869</v>
      </c>
    </row>
    <row r="1964" spans="1:12" x14ac:dyDescent="0.45">
      <c r="A1964" s="12" t="s">
        <v>32072</v>
      </c>
      <c r="B1964" s="12" t="s">
        <v>177</v>
      </c>
      <c r="C1964" s="13" t="s">
        <v>178</v>
      </c>
      <c r="D1964" s="13" t="s">
        <v>23</v>
      </c>
      <c r="E1964" s="12" t="s">
        <v>16</v>
      </c>
      <c r="F1964" s="14">
        <v>17000</v>
      </c>
      <c r="G1964" s="14">
        <v>12560</v>
      </c>
      <c r="H1964" s="13" t="s">
        <v>17648</v>
      </c>
      <c r="I1964" s="40" t="s">
        <v>18</v>
      </c>
      <c r="J1964" s="40" t="str">
        <f>HYPERLINK("https://stock.pstatic.net/stock-research/company/21/20260617_company_199405000.pdf","PDF")</f>
        <v>PDF</v>
      </c>
      <c r="K1964" s="12" t="s">
        <v>32091</v>
      </c>
      <c r="L1964" s="36">
        <v>0.35350318471337577</v>
      </c>
    </row>
    <row r="1965" spans="1:12" x14ac:dyDescent="0.45">
      <c r="A1965" s="12" t="s">
        <v>32072</v>
      </c>
      <c r="B1965" s="12" t="s">
        <v>836</v>
      </c>
      <c r="C1965" s="13" t="s">
        <v>837</v>
      </c>
      <c r="D1965" s="13" t="s">
        <v>179</v>
      </c>
      <c r="E1965" s="12" t="s">
        <v>16</v>
      </c>
      <c r="F1965" s="14">
        <v>1850000</v>
      </c>
      <c r="G1965" s="14">
        <v>1501000</v>
      </c>
      <c r="H1965" s="13" t="s">
        <v>32092</v>
      </c>
      <c r="I1965" s="40" t="s">
        <v>18</v>
      </c>
      <c r="J1965" s="40" t="str">
        <f>HYPERLINK("https://stock.pstatic.net/stock-research/company/64/20260617_company_298868000.pdf","PDF")</f>
        <v>PDF</v>
      </c>
      <c r="K1965" s="12" t="s">
        <v>32093</v>
      </c>
      <c r="L1965" s="36">
        <v>0.23251165889407061</v>
      </c>
    </row>
    <row r="1966" spans="1:12" x14ac:dyDescent="0.45">
      <c r="A1966" s="12" t="s">
        <v>32072</v>
      </c>
      <c r="B1966" s="12" t="s">
        <v>2225</v>
      </c>
      <c r="C1966" s="13" t="s">
        <v>2226</v>
      </c>
      <c r="D1966" s="13" t="s">
        <v>44</v>
      </c>
      <c r="E1966" s="12" t="s">
        <v>35</v>
      </c>
      <c r="F1966" s="14">
        <v>1350000</v>
      </c>
      <c r="G1966" s="14">
        <v>1002000</v>
      </c>
      <c r="H1966" s="13" t="s">
        <v>32094</v>
      </c>
      <c r="I1966" s="40" t="s">
        <v>18</v>
      </c>
      <c r="J1966" s="40" t="str">
        <f>HYPERLINK("https://stock.pstatic.net/stock-research/company/39/20260617_company_747666000.pdf","PDF")</f>
        <v>PDF</v>
      </c>
      <c r="K1966" s="12" t="s">
        <v>32095</v>
      </c>
      <c r="L1966" s="36">
        <v>0.3473053892215569</v>
      </c>
    </row>
    <row r="1967" spans="1:12" x14ac:dyDescent="0.45">
      <c r="A1967" s="12" t="s">
        <v>32072</v>
      </c>
      <c r="B1967" s="12" t="s">
        <v>32096</v>
      </c>
      <c r="C1967" s="13" t="s">
        <v>32097</v>
      </c>
      <c r="D1967" s="13" t="s">
        <v>124</v>
      </c>
      <c r="E1967" s="12" t="s">
        <v>50</v>
      </c>
      <c r="F1967" s="13"/>
      <c r="G1967" s="13"/>
      <c r="H1967" s="13" t="s">
        <v>32098</v>
      </c>
      <c r="I1967" s="40" t="s">
        <v>18</v>
      </c>
      <c r="J1967" s="40" t="str">
        <f>HYPERLINK("https://stock.pstatic.net/stock-research/company/74/20260617_company_849168000.pdf","PDF")</f>
        <v>PDF</v>
      </c>
      <c r="K1967" s="12" t="s">
        <v>32099</v>
      </c>
      <c r="L1967" s="12"/>
    </row>
    <row r="1968" spans="1:12" x14ac:dyDescent="0.45">
      <c r="A1968" s="12" t="s">
        <v>32072</v>
      </c>
      <c r="B1968" s="12" t="s">
        <v>4613</v>
      </c>
      <c r="C1968" s="13" t="s">
        <v>32100</v>
      </c>
      <c r="D1968" s="13" t="s">
        <v>124</v>
      </c>
      <c r="E1968" s="12" t="s">
        <v>50</v>
      </c>
      <c r="F1968" s="13"/>
      <c r="G1968" s="13"/>
      <c r="H1968" s="13" t="s">
        <v>32101</v>
      </c>
      <c r="I1968" s="40" t="s">
        <v>18</v>
      </c>
      <c r="J1968" s="40" t="str">
        <f>HYPERLINK("https://stock.pstatic.net/stock-research/company/74/20260617_company_354361000.pdf","PDF")</f>
        <v>PDF</v>
      </c>
      <c r="K1968" s="12" t="s">
        <v>32102</v>
      </c>
      <c r="L1968" s="12"/>
    </row>
    <row r="1969" spans="1:12" x14ac:dyDescent="0.45">
      <c r="A1969" s="12" t="s">
        <v>32072</v>
      </c>
      <c r="B1969" s="12" t="s">
        <v>545</v>
      </c>
      <c r="C1969" s="13" t="s">
        <v>546</v>
      </c>
      <c r="D1969" s="13" t="s">
        <v>124</v>
      </c>
      <c r="E1969" s="12" t="s">
        <v>50</v>
      </c>
      <c r="F1969" s="13"/>
      <c r="G1969" s="13"/>
      <c r="H1969" s="13" t="s">
        <v>32103</v>
      </c>
      <c r="I1969" s="40" t="s">
        <v>18</v>
      </c>
      <c r="J1969" s="40" t="str">
        <f>HYPERLINK("https://stock.pstatic.net/stock-research/company/74/20260617_company_999919000.pdf","PDF")</f>
        <v>PDF</v>
      </c>
      <c r="K1969" s="12" t="s">
        <v>32104</v>
      </c>
      <c r="L1969" s="12"/>
    </row>
    <row r="1970" spans="1:12" x14ac:dyDescent="0.45">
      <c r="A1970" s="12" t="s">
        <v>32072</v>
      </c>
      <c r="B1970" s="12" t="s">
        <v>132</v>
      </c>
      <c r="C1970" s="13" t="s">
        <v>133</v>
      </c>
      <c r="D1970" s="13" t="s">
        <v>53</v>
      </c>
      <c r="E1970" s="12" t="s">
        <v>16</v>
      </c>
      <c r="F1970" s="14">
        <v>250000</v>
      </c>
      <c r="G1970" s="14">
        <v>198400</v>
      </c>
      <c r="H1970" s="13" t="s">
        <v>32105</v>
      </c>
      <c r="I1970" s="40" t="s">
        <v>18</v>
      </c>
      <c r="J1970" s="40" t="str">
        <f>HYPERLINK("https://stock.pstatic.net/stock-research/company/40/20260617_company_316227000.pdf","PDF")</f>
        <v>PDF</v>
      </c>
      <c r="K1970" s="12" t="s">
        <v>32106</v>
      </c>
      <c r="L1970" s="36">
        <v>0.26008064516129031</v>
      </c>
    </row>
    <row r="1971" spans="1:12" x14ac:dyDescent="0.45">
      <c r="A1971" s="12" t="s">
        <v>31984</v>
      </c>
      <c r="B1971" s="12" t="s">
        <v>2191</v>
      </c>
      <c r="C1971" s="13" t="s">
        <v>2192</v>
      </c>
      <c r="D1971" s="13" t="s">
        <v>57</v>
      </c>
      <c r="E1971" s="12" t="s">
        <v>35</v>
      </c>
      <c r="F1971" s="14">
        <v>120000</v>
      </c>
      <c r="G1971" s="14">
        <v>70800</v>
      </c>
      <c r="H1971" s="13" t="s">
        <v>32107</v>
      </c>
      <c r="I1971" s="40" t="s">
        <v>18</v>
      </c>
      <c r="J1971" s="40" t="str">
        <f>HYPERLINK("https://stock.pstatic.net/stock-research/company/16/20260616_company_597607000.pdf","PDF")</f>
        <v>PDF</v>
      </c>
      <c r="K1971" s="12" t="s">
        <v>32108</v>
      </c>
      <c r="L1971" s="36">
        <v>0.69491525423728817</v>
      </c>
    </row>
    <row r="1972" spans="1:12" x14ac:dyDescent="0.45">
      <c r="A1972" s="12" t="s">
        <v>31984</v>
      </c>
      <c r="B1972" s="12" t="s">
        <v>3813</v>
      </c>
      <c r="C1972" s="13" t="s">
        <v>3814</v>
      </c>
      <c r="D1972" s="13" t="s">
        <v>83</v>
      </c>
      <c r="E1972" s="12" t="s">
        <v>35</v>
      </c>
      <c r="F1972" s="14">
        <v>17000</v>
      </c>
      <c r="G1972" s="14">
        <v>14130</v>
      </c>
      <c r="H1972" s="13" t="s">
        <v>32109</v>
      </c>
      <c r="I1972" s="40" t="s">
        <v>18</v>
      </c>
      <c r="J1972" s="40" t="str">
        <f>HYPERLINK("https://stock.pstatic.net/stock-research/company/15/20260616_company_541121000.pdf","PDF")</f>
        <v>PDF</v>
      </c>
      <c r="K1972" s="12" t="s">
        <v>32110</v>
      </c>
      <c r="L1972" s="36">
        <v>0.20311394196744509</v>
      </c>
    </row>
    <row r="1973" spans="1:12" x14ac:dyDescent="0.45">
      <c r="A1973" s="12" t="s">
        <v>31984</v>
      </c>
      <c r="B1973" s="12" t="s">
        <v>102</v>
      </c>
      <c r="C1973" s="13" t="s">
        <v>103</v>
      </c>
      <c r="D1973" s="13" t="s">
        <v>83</v>
      </c>
      <c r="E1973" s="12" t="s">
        <v>35</v>
      </c>
      <c r="F1973" s="14">
        <v>52000</v>
      </c>
      <c r="G1973" s="14">
        <v>26800</v>
      </c>
      <c r="H1973" s="13" t="s">
        <v>32111</v>
      </c>
      <c r="I1973" s="40" t="s">
        <v>18</v>
      </c>
      <c r="J1973" s="40" t="str">
        <f>HYPERLINK("https://stock.pstatic.net/stock-research/company/15/20260616_company_853619000.pdf","PDF")</f>
        <v>PDF</v>
      </c>
      <c r="K1973" s="12" t="s">
        <v>32112</v>
      </c>
      <c r="L1973" s="36">
        <v>0.94029850746268662</v>
      </c>
    </row>
    <row r="1974" spans="1:12" x14ac:dyDescent="0.45">
      <c r="A1974" s="12" t="s">
        <v>31984</v>
      </c>
      <c r="B1974" s="12" t="s">
        <v>110</v>
      </c>
      <c r="C1974" s="13" t="s">
        <v>111</v>
      </c>
      <c r="D1974" s="13" t="s">
        <v>83</v>
      </c>
      <c r="E1974" s="12" t="s">
        <v>35</v>
      </c>
      <c r="F1974" s="14">
        <v>160000</v>
      </c>
      <c r="G1974" s="14">
        <v>134100</v>
      </c>
      <c r="H1974" s="13" t="s">
        <v>32113</v>
      </c>
      <c r="I1974" s="40" t="s">
        <v>18</v>
      </c>
      <c r="J1974" s="40" t="str">
        <f>HYPERLINK("https://stock.pstatic.net/stock-research/company/15/20260616_company_699008000.pdf","PDF")</f>
        <v>PDF</v>
      </c>
      <c r="K1974" s="12" t="s">
        <v>32114</v>
      </c>
      <c r="L1974" s="36">
        <v>0.19313944817300521</v>
      </c>
    </row>
    <row r="1975" spans="1:12" x14ac:dyDescent="0.45">
      <c r="A1975" s="12" t="s">
        <v>31984</v>
      </c>
      <c r="B1975" s="12" t="s">
        <v>2414</v>
      </c>
      <c r="C1975" s="13" t="s">
        <v>2415</v>
      </c>
      <c r="D1975" s="13" t="s">
        <v>83</v>
      </c>
      <c r="E1975" s="12" t="s">
        <v>35</v>
      </c>
      <c r="F1975" s="14">
        <v>2220000</v>
      </c>
      <c r="G1975" s="14">
        <v>1709000</v>
      </c>
      <c r="H1975" s="13" t="s">
        <v>32115</v>
      </c>
      <c r="I1975" s="40" t="s">
        <v>18</v>
      </c>
      <c r="J1975" s="40" t="str">
        <f>HYPERLINK("https://stock.pstatic.net/stock-research/company/15/20260616_company_779188000.pdf","PDF")</f>
        <v>PDF</v>
      </c>
      <c r="K1975" s="12" t="s">
        <v>32116</v>
      </c>
      <c r="L1975" s="36">
        <v>0.29900526623756579</v>
      </c>
    </row>
    <row r="1976" spans="1:12" x14ac:dyDescent="0.45">
      <c r="A1976" s="12" t="s">
        <v>31984</v>
      </c>
      <c r="B1976" s="12" t="s">
        <v>698</v>
      </c>
      <c r="C1976" s="13" t="s">
        <v>699</v>
      </c>
      <c r="D1976" s="13" t="s">
        <v>83</v>
      </c>
      <c r="E1976" s="12" t="s">
        <v>35</v>
      </c>
      <c r="F1976" s="14">
        <v>880000</v>
      </c>
      <c r="G1976" s="14">
        <v>646000</v>
      </c>
      <c r="H1976" s="13" t="s">
        <v>32117</v>
      </c>
      <c r="I1976" s="40" t="s">
        <v>18</v>
      </c>
      <c r="J1976" s="40" t="str">
        <f>HYPERLINK("https://stock.pstatic.net/stock-research/company/15/20260616_company_163244000.pdf","PDF")</f>
        <v>PDF</v>
      </c>
      <c r="K1976" s="12" t="s">
        <v>32118</v>
      </c>
      <c r="L1976" s="36">
        <v>0.36222910216718268</v>
      </c>
    </row>
    <row r="1977" spans="1:12" x14ac:dyDescent="0.45">
      <c r="A1977" s="12" t="s">
        <v>31984</v>
      </c>
      <c r="B1977" s="12" t="s">
        <v>3164</v>
      </c>
      <c r="C1977" s="13" t="s">
        <v>3165</v>
      </c>
      <c r="D1977" s="13" t="s">
        <v>83</v>
      </c>
      <c r="E1977" s="12" t="s">
        <v>35</v>
      </c>
      <c r="F1977" s="14">
        <v>195000</v>
      </c>
      <c r="G1977" s="14">
        <v>145000</v>
      </c>
      <c r="H1977" s="13" t="s">
        <v>32119</v>
      </c>
      <c r="I1977" s="40" t="s">
        <v>18</v>
      </c>
      <c r="J1977" s="40" t="str">
        <f>HYPERLINK("https://stock.pstatic.net/stock-research/company/15/20260616_company_701719000.pdf","PDF")</f>
        <v>PDF</v>
      </c>
      <c r="K1977" s="12" t="s">
        <v>32120</v>
      </c>
      <c r="L1977" s="36">
        <v>0.34482758620689657</v>
      </c>
    </row>
    <row r="1978" spans="1:12" x14ac:dyDescent="0.45">
      <c r="A1978" s="12" t="s">
        <v>31984</v>
      </c>
      <c r="B1978" s="12" t="s">
        <v>3204</v>
      </c>
      <c r="C1978" s="13" t="s">
        <v>3205</v>
      </c>
      <c r="D1978" s="13" t="s">
        <v>83</v>
      </c>
      <c r="E1978" s="12" t="s">
        <v>35</v>
      </c>
      <c r="F1978" s="14">
        <v>28000</v>
      </c>
      <c r="G1978" s="14">
        <v>22900</v>
      </c>
      <c r="H1978" s="13" t="s">
        <v>32121</v>
      </c>
      <c r="I1978" s="40" t="s">
        <v>18</v>
      </c>
      <c r="J1978" s="40" t="str">
        <f>HYPERLINK("https://stock.pstatic.net/stock-research/company/15/20260616_company_870745000.pdf","PDF")</f>
        <v>PDF</v>
      </c>
      <c r="K1978" s="12" t="s">
        <v>32122</v>
      </c>
      <c r="L1978" s="36">
        <v>0.22270742358078599</v>
      </c>
    </row>
    <row r="1979" spans="1:12" x14ac:dyDescent="0.45">
      <c r="A1979" s="12" t="s">
        <v>31984</v>
      </c>
      <c r="B1979" s="12" t="s">
        <v>95</v>
      </c>
      <c r="C1979" s="13" t="s">
        <v>31</v>
      </c>
      <c r="D1979" s="13" t="s">
        <v>83</v>
      </c>
      <c r="E1979" s="12" t="s">
        <v>35</v>
      </c>
      <c r="F1979" s="14">
        <v>73000</v>
      </c>
      <c r="G1979" s="14">
        <v>52100</v>
      </c>
      <c r="H1979" s="13" t="s">
        <v>32123</v>
      </c>
      <c r="I1979" s="40" t="s">
        <v>18</v>
      </c>
      <c r="J1979" s="40" t="str">
        <f>HYPERLINK("https://stock.pstatic.net/stock-research/company/15/20260616_company_792807000.pdf","PDF")</f>
        <v>PDF</v>
      </c>
      <c r="K1979" s="12" t="s">
        <v>32124</v>
      </c>
      <c r="L1979" s="36">
        <v>0.40115163147792698</v>
      </c>
    </row>
    <row r="1980" spans="1:12" x14ac:dyDescent="0.45">
      <c r="A1980" s="12" t="s">
        <v>31984</v>
      </c>
      <c r="B1980" s="12" t="s">
        <v>2982</v>
      </c>
      <c r="C1980" s="13" t="s">
        <v>2983</v>
      </c>
      <c r="D1980" s="13" t="s">
        <v>83</v>
      </c>
      <c r="E1980" s="12" t="s">
        <v>35</v>
      </c>
      <c r="F1980" s="14">
        <v>106000</v>
      </c>
      <c r="G1980" s="14">
        <v>79000</v>
      </c>
      <c r="H1980" s="13" t="s">
        <v>32125</v>
      </c>
      <c r="I1980" s="40" t="s">
        <v>18</v>
      </c>
      <c r="J1980" s="40" t="str">
        <f>HYPERLINK("https://stock.pstatic.net/stock-research/company/15/20260616_company_985674000.pdf","PDF")</f>
        <v>PDF</v>
      </c>
      <c r="K1980" s="12" t="s">
        <v>32126</v>
      </c>
      <c r="L1980" s="36">
        <v>0.34177215189873422</v>
      </c>
    </row>
    <row r="1981" spans="1:12" x14ac:dyDescent="0.45">
      <c r="A1981" s="12" t="s">
        <v>31984</v>
      </c>
      <c r="B1981" s="12" t="s">
        <v>2956</v>
      </c>
      <c r="C1981" s="13" t="s">
        <v>2957</v>
      </c>
      <c r="D1981" s="13" t="s">
        <v>83</v>
      </c>
      <c r="E1981" s="12" t="s">
        <v>35</v>
      </c>
      <c r="F1981" s="14">
        <v>39000</v>
      </c>
      <c r="G1981" s="14">
        <v>30250</v>
      </c>
      <c r="H1981" s="13" t="s">
        <v>32127</v>
      </c>
      <c r="I1981" s="40" t="s">
        <v>18</v>
      </c>
      <c r="J1981" s="40" t="str">
        <f>HYPERLINK("https://stock.pstatic.net/stock-research/company/15/20260616_company_84332000.pdf","PDF")</f>
        <v>PDF</v>
      </c>
      <c r="K1981" s="12" t="s">
        <v>32128</v>
      </c>
      <c r="L1981" s="36">
        <v>0.28925619834710742</v>
      </c>
    </row>
    <row r="1982" spans="1:12" x14ac:dyDescent="0.45">
      <c r="A1982" s="12" t="s">
        <v>31984</v>
      </c>
      <c r="B1982" s="12" t="s">
        <v>231</v>
      </c>
      <c r="C1982" s="13" t="s">
        <v>232</v>
      </c>
      <c r="D1982" s="13" t="s">
        <v>276</v>
      </c>
      <c r="E1982" s="12" t="s">
        <v>16</v>
      </c>
      <c r="F1982" s="14">
        <v>65000</v>
      </c>
      <c r="G1982" s="14">
        <v>26300</v>
      </c>
      <c r="H1982" s="13" t="s">
        <v>32129</v>
      </c>
      <c r="I1982" s="40" t="s">
        <v>18</v>
      </c>
      <c r="J1982" s="40" t="str">
        <f>HYPERLINK("https://stock.pstatic.net/stock-research/company/66/20260616_company_980656000.pdf","PDF")</f>
        <v>PDF</v>
      </c>
      <c r="K1982" s="12" t="s">
        <v>32130</v>
      </c>
      <c r="L1982" s="36">
        <v>1.4714828897338399</v>
      </c>
    </row>
    <row r="1983" spans="1:12" x14ac:dyDescent="0.45">
      <c r="A1983" s="12" t="s">
        <v>31984</v>
      </c>
      <c r="B1983" s="12" t="s">
        <v>11448</v>
      </c>
      <c r="C1983" s="13" t="s">
        <v>11449</v>
      </c>
      <c r="D1983" s="13" t="s">
        <v>65</v>
      </c>
      <c r="E1983" s="12" t="s">
        <v>50</v>
      </c>
      <c r="F1983" s="13"/>
      <c r="G1983" s="14">
        <v>58000</v>
      </c>
      <c r="H1983" s="13" t="s">
        <v>32131</v>
      </c>
      <c r="I1983" s="40" t="s">
        <v>18</v>
      </c>
      <c r="J1983" s="40" t="str">
        <f>HYPERLINK("https://stock.pstatic.net/stock-research/company/57/20260616_company_582339000.pdf","PDF")</f>
        <v>PDF</v>
      </c>
      <c r="K1983" s="12" t="s">
        <v>32132</v>
      </c>
      <c r="L1983" s="12"/>
    </row>
    <row r="1984" spans="1:12" x14ac:dyDescent="0.45">
      <c r="A1984" s="12" t="s">
        <v>31984</v>
      </c>
      <c r="B1984" s="12" t="s">
        <v>132</v>
      </c>
      <c r="C1984" s="13" t="s">
        <v>133</v>
      </c>
      <c r="D1984" s="13" t="s">
        <v>65</v>
      </c>
      <c r="E1984" s="12" t="s">
        <v>50</v>
      </c>
      <c r="F1984" s="13"/>
      <c r="G1984" s="14">
        <v>183200</v>
      </c>
      <c r="H1984" s="13" t="s">
        <v>32133</v>
      </c>
      <c r="I1984" s="40" t="s">
        <v>18</v>
      </c>
      <c r="J1984" s="40" t="str">
        <f>HYPERLINK("https://stock.pstatic.net/stock-research/company/57/20260616_company_416678000.pdf","PDF")</f>
        <v>PDF</v>
      </c>
      <c r="K1984" s="12" t="s">
        <v>32134</v>
      </c>
      <c r="L1984" s="12"/>
    </row>
    <row r="1985" spans="1:12" x14ac:dyDescent="0.45">
      <c r="A1985" s="12" t="s">
        <v>31984</v>
      </c>
      <c r="B1985" s="12" t="s">
        <v>577</v>
      </c>
      <c r="C1985" s="13" t="s">
        <v>578</v>
      </c>
      <c r="D1985" s="13" t="s">
        <v>158</v>
      </c>
      <c r="E1985" s="12" t="s">
        <v>35</v>
      </c>
      <c r="F1985" s="14">
        <v>870000</v>
      </c>
      <c r="G1985" s="14">
        <v>640000</v>
      </c>
      <c r="H1985" s="13" t="s">
        <v>32135</v>
      </c>
      <c r="I1985" s="40" t="s">
        <v>18</v>
      </c>
      <c r="J1985" s="40" t="str">
        <f>HYPERLINK("https://stock.pstatic.net/stock-research/company/18/20260616_company_477672000.pdf","PDF")</f>
        <v>PDF</v>
      </c>
      <c r="K1985" s="12" t="s">
        <v>32136</v>
      </c>
      <c r="L1985" s="36">
        <v>0.359375</v>
      </c>
    </row>
    <row r="1986" spans="1:12" x14ac:dyDescent="0.45">
      <c r="A1986" s="12" t="s">
        <v>31984</v>
      </c>
      <c r="B1986" s="12" t="s">
        <v>519</v>
      </c>
      <c r="C1986" s="13" t="s">
        <v>520</v>
      </c>
      <c r="D1986" s="13" t="s">
        <v>158</v>
      </c>
      <c r="E1986" s="12" t="s">
        <v>159</v>
      </c>
      <c r="F1986" s="14">
        <v>690000</v>
      </c>
      <c r="G1986" s="14">
        <v>647000</v>
      </c>
      <c r="H1986" s="13" t="s">
        <v>32137</v>
      </c>
      <c r="I1986" s="40" t="s">
        <v>18</v>
      </c>
      <c r="J1986" s="40" t="str">
        <f>HYPERLINK("https://stock.pstatic.net/stock-research/company/18/20260616_company_170154000.pdf","PDF")</f>
        <v>PDF</v>
      </c>
      <c r="K1986" s="12" t="s">
        <v>32138</v>
      </c>
      <c r="L1986" s="36">
        <v>6.6460587326120563E-2</v>
      </c>
    </row>
    <row r="1987" spans="1:12" x14ac:dyDescent="0.45">
      <c r="A1987" s="12" t="s">
        <v>31984</v>
      </c>
      <c r="B1987" s="12" t="s">
        <v>10715</v>
      </c>
      <c r="C1987" s="13" t="s">
        <v>10716</v>
      </c>
      <c r="D1987" s="13" t="s">
        <v>23</v>
      </c>
      <c r="E1987" s="12" t="s">
        <v>50</v>
      </c>
      <c r="F1987" s="13"/>
      <c r="G1987" s="14">
        <v>3350</v>
      </c>
      <c r="H1987" s="13" t="s">
        <v>31985</v>
      </c>
      <c r="I1987" s="40" t="s">
        <v>18</v>
      </c>
      <c r="J1987" s="40" t="str">
        <f>HYPERLINK("https://stock.pstatic.net/stock-research/company/21/20260616_company_691757000.pdf","PDF")</f>
        <v>PDF</v>
      </c>
      <c r="K1987" s="12" t="s">
        <v>31986</v>
      </c>
      <c r="L1987" s="12"/>
    </row>
    <row r="1988" spans="1:12" x14ac:dyDescent="0.45">
      <c r="A1988" s="12" t="s">
        <v>31984</v>
      </c>
      <c r="B1988" s="12" t="s">
        <v>10723</v>
      </c>
      <c r="C1988" s="13" t="s">
        <v>10724</v>
      </c>
      <c r="D1988" s="13" t="s">
        <v>23</v>
      </c>
      <c r="E1988" s="12" t="s">
        <v>50</v>
      </c>
      <c r="F1988" s="13"/>
      <c r="G1988" s="14">
        <v>2695</v>
      </c>
      <c r="H1988" s="13" t="s">
        <v>31987</v>
      </c>
      <c r="I1988" s="40" t="s">
        <v>18</v>
      </c>
      <c r="J1988" s="40" t="str">
        <f>HYPERLINK("https://stock.pstatic.net/stock-research/company/21/20260616_company_862938000.pdf","PDF")</f>
        <v>PDF</v>
      </c>
      <c r="K1988" s="12" t="s">
        <v>31988</v>
      </c>
      <c r="L1988" s="12"/>
    </row>
    <row r="1989" spans="1:12" x14ac:dyDescent="0.45">
      <c r="A1989" s="12" t="s">
        <v>31984</v>
      </c>
      <c r="B1989" s="12" t="s">
        <v>10719</v>
      </c>
      <c r="C1989" s="13" t="s">
        <v>10720</v>
      </c>
      <c r="D1989" s="13" t="s">
        <v>23</v>
      </c>
      <c r="E1989" s="12" t="s">
        <v>50</v>
      </c>
      <c r="F1989" s="13"/>
      <c r="G1989" s="14">
        <v>2580</v>
      </c>
      <c r="H1989" s="13" t="s">
        <v>31989</v>
      </c>
      <c r="I1989" s="40" t="s">
        <v>18</v>
      </c>
      <c r="J1989" s="40" t="str">
        <f>HYPERLINK("https://stock.pstatic.net/stock-research/company/21/20260616_company_277352000.pdf","PDF")</f>
        <v>PDF</v>
      </c>
      <c r="K1989" s="12" t="s">
        <v>31990</v>
      </c>
      <c r="L1989" s="12"/>
    </row>
    <row r="1990" spans="1:12" x14ac:dyDescent="0.45">
      <c r="A1990" s="12" t="s">
        <v>31984</v>
      </c>
      <c r="B1990" s="12" t="s">
        <v>1198</v>
      </c>
      <c r="C1990" s="13" t="s">
        <v>1199</v>
      </c>
      <c r="D1990" s="13" t="s">
        <v>92</v>
      </c>
      <c r="E1990" s="12" t="s">
        <v>50</v>
      </c>
      <c r="F1990" s="13"/>
      <c r="G1990" s="14">
        <v>12310</v>
      </c>
      <c r="H1990" s="13" t="s">
        <v>31991</v>
      </c>
      <c r="I1990" s="40" t="s">
        <v>18</v>
      </c>
      <c r="J1990" s="40" t="str">
        <f>HYPERLINK("https://stock.pstatic.net/stock-research/company/63/20260616_company_544681000.pdf","PDF")</f>
        <v>PDF</v>
      </c>
      <c r="K1990" s="12" t="s">
        <v>31992</v>
      </c>
      <c r="L1990" s="12"/>
    </row>
    <row r="1991" spans="1:12" x14ac:dyDescent="0.45">
      <c r="A1991" s="12" t="s">
        <v>31984</v>
      </c>
      <c r="B1991" s="12" t="s">
        <v>2982</v>
      </c>
      <c r="C1991" s="13" t="s">
        <v>2983</v>
      </c>
      <c r="D1991" s="13" t="s">
        <v>44</v>
      </c>
      <c r="E1991" s="12" t="s">
        <v>35</v>
      </c>
      <c r="F1991" s="14">
        <v>143000</v>
      </c>
      <c r="G1991" s="14">
        <v>79000</v>
      </c>
      <c r="H1991" s="13" t="s">
        <v>31993</v>
      </c>
      <c r="I1991" s="40" t="s">
        <v>18</v>
      </c>
      <c r="J1991" s="40" t="str">
        <f>HYPERLINK("https://stock.pstatic.net/stock-research/company/39/20260616_company_945112000.pdf","PDF")</f>
        <v>PDF</v>
      </c>
      <c r="K1991" s="12" t="s">
        <v>31994</v>
      </c>
      <c r="L1991" s="36">
        <v>0.810126582278481</v>
      </c>
    </row>
    <row r="1992" spans="1:12" x14ac:dyDescent="0.45">
      <c r="A1992" s="12" t="s">
        <v>31984</v>
      </c>
      <c r="B1992" s="12" t="s">
        <v>11685</v>
      </c>
      <c r="C1992" s="13" t="s">
        <v>11686</v>
      </c>
      <c r="D1992" s="13" t="s">
        <v>44</v>
      </c>
      <c r="E1992" s="12" t="s">
        <v>50</v>
      </c>
      <c r="F1992" s="13"/>
      <c r="G1992" s="14">
        <v>4200</v>
      </c>
      <c r="H1992" s="13" t="s">
        <v>31995</v>
      </c>
      <c r="I1992" s="40" t="s">
        <v>18</v>
      </c>
      <c r="J1992" s="40" t="str">
        <f>HYPERLINK("https://stock.pstatic.net/stock-research/company/39/20260616_company_229542000.pdf","PDF")</f>
        <v>PDF</v>
      </c>
      <c r="K1992" s="12" t="s">
        <v>31996</v>
      </c>
      <c r="L1992" s="12"/>
    </row>
    <row r="1993" spans="1:12" x14ac:dyDescent="0.45">
      <c r="A1993" s="12" t="s">
        <v>31984</v>
      </c>
      <c r="B1993" s="12" t="s">
        <v>31997</v>
      </c>
      <c r="C1993" s="13" t="s">
        <v>31998</v>
      </c>
      <c r="D1993" s="13" t="s">
        <v>53</v>
      </c>
      <c r="E1993" s="12" t="s">
        <v>50</v>
      </c>
      <c r="F1993" s="13"/>
      <c r="G1993" s="14">
        <v>9940</v>
      </c>
      <c r="H1993" s="13" t="s">
        <v>31999</v>
      </c>
      <c r="I1993" s="40" t="s">
        <v>18</v>
      </c>
      <c r="J1993" s="40" t="str">
        <f>HYPERLINK("https://stock.pstatic.net/stock-research/company/40/20260616_company_594888000.pdf","PDF")</f>
        <v>PDF</v>
      </c>
      <c r="K1993" s="12" t="s">
        <v>32000</v>
      </c>
      <c r="L1993" s="12"/>
    </row>
    <row r="1994" spans="1:12" x14ac:dyDescent="0.45">
      <c r="A1994" s="12" t="s">
        <v>31966</v>
      </c>
      <c r="B1994" s="12" t="s">
        <v>450</v>
      </c>
      <c r="C1994" s="13" t="s">
        <v>451</v>
      </c>
      <c r="D1994" s="13" t="s">
        <v>57</v>
      </c>
      <c r="E1994" s="12" t="s">
        <v>159</v>
      </c>
      <c r="F1994" s="14">
        <v>280000</v>
      </c>
      <c r="G1994" s="14">
        <v>242000</v>
      </c>
      <c r="H1994" s="13" t="s">
        <v>32001</v>
      </c>
      <c r="I1994" s="40" t="s">
        <v>18</v>
      </c>
      <c r="J1994" s="40" t="str">
        <f>HYPERLINK("https://stock.pstatic.net/stock-research/company/16/20260615_company_368844000.pdf","PDF")</f>
        <v>PDF</v>
      </c>
      <c r="K1994" s="12" t="s">
        <v>32002</v>
      </c>
      <c r="L1994" s="36">
        <v>0.15702479338842981</v>
      </c>
    </row>
    <row r="1995" spans="1:12" x14ac:dyDescent="0.45">
      <c r="A1995" s="12" t="s">
        <v>31966</v>
      </c>
      <c r="B1995" s="12" t="s">
        <v>4567</v>
      </c>
      <c r="C1995" s="13" t="s">
        <v>4568</v>
      </c>
      <c r="D1995" s="13" t="s">
        <v>65</v>
      </c>
      <c r="E1995" s="12" t="s">
        <v>35</v>
      </c>
      <c r="F1995" s="14">
        <v>250000</v>
      </c>
      <c r="G1995" s="14">
        <v>165200</v>
      </c>
      <c r="H1995" s="13" t="s">
        <v>32003</v>
      </c>
      <c r="I1995" s="40" t="s">
        <v>18</v>
      </c>
      <c r="J1995" s="40" t="str">
        <f>HYPERLINK("https://stock.pstatic.net/stock-research/company/57/20260615_company_338699000.pdf","PDF")</f>
        <v>PDF</v>
      </c>
      <c r="K1995" s="12" t="s">
        <v>32004</v>
      </c>
      <c r="L1995" s="36">
        <v>0.51331719128329301</v>
      </c>
    </row>
    <row r="1996" spans="1:12" x14ac:dyDescent="0.45">
      <c r="A1996" s="12" t="s">
        <v>31966</v>
      </c>
      <c r="B1996" s="12" t="s">
        <v>3688</v>
      </c>
      <c r="C1996" s="13" t="s">
        <v>3689</v>
      </c>
      <c r="D1996" s="13" t="s">
        <v>65</v>
      </c>
      <c r="E1996" s="12" t="s">
        <v>35</v>
      </c>
      <c r="F1996" s="14">
        <v>135000</v>
      </c>
      <c r="G1996" s="14">
        <v>99600</v>
      </c>
      <c r="H1996" s="13" t="s">
        <v>32005</v>
      </c>
      <c r="I1996" s="40" t="s">
        <v>18</v>
      </c>
      <c r="J1996" s="40" t="str">
        <f>HYPERLINK("https://stock.pstatic.net/stock-research/company/57/20260615_company_694809000.pdf","PDF")</f>
        <v>PDF</v>
      </c>
      <c r="K1996" s="12" t="s">
        <v>32006</v>
      </c>
      <c r="L1996" s="36">
        <v>0.35542168674698787</v>
      </c>
    </row>
    <row r="1997" spans="1:12" x14ac:dyDescent="0.45">
      <c r="A1997" s="12" t="s">
        <v>31966</v>
      </c>
      <c r="B1997" s="12" t="s">
        <v>1656</v>
      </c>
      <c r="C1997" s="13" t="s">
        <v>1657</v>
      </c>
      <c r="D1997" s="13" t="s">
        <v>83</v>
      </c>
      <c r="E1997" s="12" t="s">
        <v>35</v>
      </c>
      <c r="F1997" s="14">
        <v>1000000</v>
      </c>
      <c r="G1997" s="14">
        <v>695000</v>
      </c>
      <c r="H1997" s="13" t="s">
        <v>32007</v>
      </c>
      <c r="I1997" s="40" t="s">
        <v>18</v>
      </c>
      <c r="J1997" s="40" t="str">
        <f>HYPERLINK("https://stock.pstatic.net/stock-research/company/15/20260615_company_11640000.pdf","PDF")</f>
        <v>PDF</v>
      </c>
      <c r="K1997" s="12" t="s">
        <v>32008</v>
      </c>
      <c r="L1997" s="36">
        <v>0.43884892086330929</v>
      </c>
    </row>
    <row r="1998" spans="1:12" x14ac:dyDescent="0.45">
      <c r="A1998" s="12" t="s">
        <v>31966</v>
      </c>
      <c r="B1998" s="12" t="s">
        <v>13</v>
      </c>
      <c r="C1998" s="13" t="s">
        <v>14</v>
      </c>
      <c r="D1998" s="13" t="s">
        <v>15</v>
      </c>
      <c r="E1998" s="12" t="s">
        <v>16</v>
      </c>
      <c r="F1998" s="14">
        <v>550000</v>
      </c>
      <c r="G1998" s="14">
        <v>322500</v>
      </c>
      <c r="H1998" s="13" t="s">
        <v>32009</v>
      </c>
      <c r="I1998" s="40" t="s">
        <v>18</v>
      </c>
      <c r="J1998" s="40" t="str">
        <f>HYPERLINK("https://stock.pstatic.net/stock-research/company/56/20260615_company_350167000.pdf","PDF")</f>
        <v>PDF</v>
      </c>
      <c r="K1998" s="12" t="s">
        <v>32010</v>
      </c>
      <c r="L1998" s="36">
        <v>0.70542635658914732</v>
      </c>
    </row>
    <row r="1999" spans="1:12" x14ac:dyDescent="0.45">
      <c r="A1999" s="12" t="s">
        <v>31966</v>
      </c>
      <c r="B1999" s="12" t="s">
        <v>10776</v>
      </c>
      <c r="C1999" s="13" t="s">
        <v>10777</v>
      </c>
      <c r="D1999" s="13" t="s">
        <v>23</v>
      </c>
      <c r="E1999" s="12" t="s">
        <v>16</v>
      </c>
      <c r="F1999" s="14">
        <v>41000</v>
      </c>
      <c r="G1999" s="14">
        <v>31950</v>
      </c>
      <c r="H1999" s="13" t="s">
        <v>32011</v>
      </c>
      <c r="I1999" s="40" t="s">
        <v>18</v>
      </c>
      <c r="J1999" s="40" t="str">
        <f>HYPERLINK("https://stock.pstatic.net/stock-research/company/21/20260615_company_470135000.pdf","PDF")</f>
        <v>PDF</v>
      </c>
      <c r="K1999" s="12" t="s">
        <v>32012</v>
      </c>
      <c r="L1999" s="36">
        <v>0.28325508607198752</v>
      </c>
    </row>
    <row r="2000" spans="1:12" x14ac:dyDescent="0.45">
      <c r="A2000" s="12" t="s">
        <v>31966</v>
      </c>
      <c r="B2000" s="12" t="s">
        <v>3813</v>
      </c>
      <c r="C2000" s="13" t="s">
        <v>3814</v>
      </c>
      <c r="D2000" s="13" t="s">
        <v>34</v>
      </c>
      <c r="E2000" s="12" t="s">
        <v>35</v>
      </c>
      <c r="F2000" s="14">
        <v>17000</v>
      </c>
      <c r="G2000" s="14">
        <v>13900</v>
      </c>
      <c r="H2000" s="13" t="s">
        <v>31967</v>
      </c>
      <c r="I2000" s="40" t="s">
        <v>18</v>
      </c>
      <c r="J2000" s="40" t="str">
        <f>HYPERLINK("https://stock.pstatic.net/stock-research/company/61/20260615_company_144133000.pdf","PDF")</f>
        <v>PDF</v>
      </c>
      <c r="K2000" s="12" t="s">
        <v>31968</v>
      </c>
      <c r="L2000" s="36">
        <v>0.22302158273381301</v>
      </c>
    </row>
    <row r="2001" spans="1:12" x14ac:dyDescent="0.45">
      <c r="A2001" s="12" t="s">
        <v>31966</v>
      </c>
      <c r="B2001" s="12" t="s">
        <v>1047</v>
      </c>
      <c r="C2001" s="13" t="s">
        <v>1048</v>
      </c>
      <c r="D2001" s="13" t="s">
        <v>34</v>
      </c>
      <c r="E2001" s="12" t="s">
        <v>50</v>
      </c>
      <c r="F2001" s="13"/>
      <c r="G2001" s="14">
        <v>15630</v>
      </c>
      <c r="H2001" s="13" t="s">
        <v>31969</v>
      </c>
      <c r="I2001" s="40" t="s">
        <v>18</v>
      </c>
      <c r="J2001" s="40" t="str">
        <f>HYPERLINK("https://stock.pstatic.net/stock-research/company/61/20260615_company_428944000.pdf","PDF")</f>
        <v>PDF</v>
      </c>
      <c r="K2001" s="12" t="s">
        <v>31970</v>
      </c>
      <c r="L2001" s="12"/>
    </row>
    <row r="2002" spans="1:12" x14ac:dyDescent="0.45">
      <c r="A2002" s="12" t="s">
        <v>31966</v>
      </c>
      <c r="B2002" s="12" t="s">
        <v>2631</v>
      </c>
      <c r="C2002" s="13" t="s">
        <v>2632</v>
      </c>
      <c r="D2002" s="13" t="s">
        <v>34</v>
      </c>
      <c r="E2002" s="12" t="s">
        <v>50</v>
      </c>
      <c r="F2002" s="13"/>
      <c r="G2002" s="14">
        <v>13380</v>
      </c>
      <c r="H2002" s="13" t="s">
        <v>31971</v>
      </c>
      <c r="I2002" s="40" t="s">
        <v>18</v>
      </c>
      <c r="J2002" s="40" t="str">
        <f>HYPERLINK("https://stock.pstatic.net/stock-research/company/61/20260615_company_439637000.pdf","PDF")</f>
        <v>PDF</v>
      </c>
      <c r="K2002" s="12" t="s">
        <v>31972</v>
      </c>
      <c r="L2002" s="12"/>
    </row>
    <row r="2003" spans="1:12" x14ac:dyDescent="0.45">
      <c r="A2003" s="12" t="s">
        <v>31966</v>
      </c>
      <c r="B2003" s="12" t="s">
        <v>3395</v>
      </c>
      <c r="C2003" s="13" t="s">
        <v>3396</v>
      </c>
      <c r="D2003" s="13" t="s">
        <v>34</v>
      </c>
      <c r="E2003" s="12" t="s">
        <v>35</v>
      </c>
      <c r="F2003" s="14">
        <v>50000</v>
      </c>
      <c r="G2003" s="14">
        <v>39150</v>
      </c>
      <c r="H2003" s="13" t="s">
        <v>31973</v>
      </c>
      <c r="I2003" s="40" t="s">
        <v>18</v>
      </c>
      <c r="J2003" s="40" t="str">
        <f>HYPERLINK("https://stock.pstatic.net/stock-research/company/61/20260615_company_712397000.pdf","PDF")</f>
        <v>PDF</v>
      </c>
      <c r="K2003" s="12" t="s">
        <v>31974</v>
      </c>
      <c r="L2003" s="36">
        <v>0.27713920817369092</v>
      </c>
    </row>
    <row r="2004" spans="1:12" x14ac:dyDescent="0.45">
      <c r="A2004" s="12" t="s">
        <v>31966</v>
      </c>
      <c r="B2004" s="12" t="s">
        <v>68</v>
      </c>
      <c r="C2004" s="13" t="s">
        <v>69</v>
      </c>
      <c r="D2004" s="13" t="s">
        <v>44</v>
      </c>
      <c r="E2004" s="12" t="s">
        <v>50</v>
      </c>
      <c r="F2004" s="13"/>
      <c r="G2004" s="14">
        <v>87500</v>
      </c>
      <c r="H2004" s="13" t="s">
        <v>31975</v>
      </c>
      <c r="I2004" s="40" t="s">
        <v>18</v>
      </c>
      <c r="J2004" s="40" t="str">
        <f>HYPERLINK("https://stock.pstatic.net/stock-research/company/39/20260615_company_906137000.pdf","PDF")</f>
        <v>PDF</v>
      </c>
      <c r="K2004" s="12" t="s">
        <v>31976</v>
      </c>
      <c r="L2004" s="12"/>
    </row>
    <row r="2005" spans="1:12" x14ac:dyDescent="0.45">
      <c r="A2005" s="12" t="s">
        <v>31966</v>
      </c>
      <c r="B2005" s="12" t="s">
        <v>1233</v>
      </c>
      <c r="C2005" s="13" t="s">
        <v>1234</v>
      </c>
      <c r="D2005" s="13" t="s">
        <v>44</v>
      </c>
      <c r="E2005" s="12" t="s">
        <v>50</v>
      </c>
      <c r="F2005" s="13"/>
      <c r="G2005" s="14">
        <v>27300</v>
      </c>
      <c r="H2005" s="13" t="s">
        <v>31977</v>
      </c>
      <c r="I2005" s="40" t="s">
        <v>18</v>
      </c>
      <c r="J2005" s="40" t="str">
        <f>HYPERLINK("https://stock.pstatic.net/stock-research/company/39/20260615_company_305936000.pdf","PDF")</f>
        <v>PDF</v>
      </c>
      <c r="K2005" s="12" t="s">
        <v>31978</v>
      </c>
      <c r="L2005" s="12"/>
    </row>
    <row r="2006" spans="1:12" x14ac:dyDescent="0.45">
      <c r="A2006" s="12" t="s">
        <v>31966</v>
      </c>
      <c r="B2006" s="12" t="s">
        <v>2105</v>
      </c>
      <c r="C2006" s="13" t="s">
        <v>2106</v>
      </c>
      <c r="D2006" s="13" t="s">
        <v>44</v>
      </c>
      <c r="E2006" s="12" t="s">
        <v>35</v>
      </c>
      <c r="F2006" s="14">
        <v>65000</v>
      </c>
      <c r="G2006" s="14">
        <v>32150</v>
      </c>
      <c r="H2006" s="13" t="s">
        <v>7096</v>
      </c>
      <c r="I2006" s="40" t="s">
        <v>18</v>
      </c>
      <c r="J2006" s="40" t="str">
        <f>HYPERLINK("https://stock.pstatic.net/stock-research/company/39/20260615_company_778368000.pdf","PDF")</f>
        <v>PDF</v>
      </c>
      <c r="K2006" s="12" t="s">
        <v>31979</v>
      </c>
      <c r="L2006" s="36">
        <v>1.021772939346812</v>
      </c>
    </row>
    <row r="2007" spans="1:12" x14ac:dyDescent="0.45">
      <c r="A2007" s="12" t="s">
        <v>31966</v>
      </c>
      <c r="B2007" s="12" t="s">
        <v>5752</v>
      </c>
      <c r="C2007" s="13" t="s">
        <v>5753</v>
      </c>
      <c r="D2007" s="13" t="s">
        <v>15</v>
      </c>
      <c r="E2007" s="12" t="s">
        <v>50</v>
      </c>
      <c r="F2007" s="13"/>
      <c r="G2007" s="14">
        <v>9950</v>
      </c>
      <c r="H2007" s="13" t="s">
        <v>31980</v>
      </c>
      <c r="I2007" s="40" t="s">
        <v>18</v>
      </c>
      <c r="J2007" s="40" t="str">
        <f>HYPERLINK("https://stock.pstatic.net/stock-research/company/56/20260615_company_910802000.pdf","PDF")</f>
        <v>PDF</v>
      </c>
      <c r="K2007" s="12" t="s">
        <v>31981</v>
      </c>
      <c r="L2007" s="12"/>
    </row>
    <row r="2008" spans="1:12" x14ac:dyDescent="0.45">
      <c r="A2008" s="12" t="s">
        <v>31966</v>
      </c>
      <c r="B2008" s="12" t="s">
        <v>10956</v>
      </c>
      <c r="C2008" s="13" t="s">
        <v>10957</v>
      </c>
      <c r="D2008" s="13" t="s">
        <v>15</v>
      </c>
      <c r="E2008" s="12" t="s">
        <v>50</v>
      </c>
      <c r="F2008" s="13"/>
      <c r="G2008" s="14">
        <v>6320</v>
      </c>
      <c r="H2008" s="13" t="s">
        <v>31982</v>
      </c>
      <c r="I2008" s="40" t="s">
        <v>18</v>
      </c>
      <c r="J2008" s="40" t="str">
        <f>HYPERLINK("https://stock.pstatic.net/stock-research/company/56/20260615_company_915027000.pdf","PDF")</f>
        <v>PDF</v>
      </c>
      <c r="K2008" s="12" t="s">
        <v>31983</v>
      </c>
      <c r="L2008" s="12"/>
    </row>
    <row r="2009" spans="1:12" x14ac:dyDescent="0.45">
      <c r="A2009" s="12" t="s">
        <v>31899</v>
      </c>
      <c r="B2009" s="12" t="s">
        <v>10511</v>
      </c>
      <c r="C2009" s="13" t="s">
        <v>10512</v>
      </c>
      <c r="D2009" s="13" t="s">
        <v>15</v>
      </c>
      <c r="E2009" s="12" t="s">
        <v>50</v>
      </c>
      <c r="F2009" s="13"/>
      <c r="G2009" s="14">
        <v>8180</v>
      </c>
      <c r="H2009" s="13" t="s">
        <v>31956</v>
      </c>
      <c r="I2009" s="40" t="s">
        <v>18</v>
      </c>
      <c r="J2009" s="40" t="str">
        <f>HYPERLINK("https://stock.pstatic.net/stock-research/company/56/20260612_company_857549000.pdf","PDF")</f>
        <v>PDF</v>
      </c>
      <c r="K2009" s="12" t="s">
        <v>31957</v>
      </c>
      <c r="L2009" s="12"/>
    </row>
    <row r="2010" spans="1:12" x14ac:dyDescent="0.45">
      <c r="A2010" s="12" t="s">
        <v>31899</v>
      </c>
      <c r="B2010" s="12" t="s">
        <v>1656</v>
      </c>
      <c r="C2010" s="13" t="s">
        <v>1657</v>
      </c>
      <c r="D2010" s="13" t="s">
        <v>65</v>
      </c>
      <c r="E2010" s="12" t="s">
        <v>50</v>
      </c>
      <c r="F2010" s="13"/>
      <c r="G2010" s="14">
        <v>714000</v>
      </c>
      <c r="H2010" s="13" t="s">
        <v>31958</v>
      </c>
      <c r="I2010" s="40" t="s">
        <v>18</v>
      </c>
      <c r="J2010" s="40" t="str">
        <f>HYPERLINK("https://stock.pstatic.net/stock-research/company/57/20260612_company_12016000.pdf","PDF")</f>
        <v>PDF</v>
      </c>
      <c r="K2010" s="12" t="s">
        <v>31959</v>
      </c>
      <c r="L2010" s="12"/>
    </row>
    <row r="2011" spans="1:12" x14ac:dyDescent="0.45">
      <c r="A2011" s="12" t="s">
        <v>31899</v>
      </c>
      <c r="B2011" s="12" t="s">
        <v>669</v>
      </c>
      <c r="C2011" s="13" t="s">
        <v>670</v>
      </c>
      <c r="D2011" s="13" t="s">
        <v>65</v>
      </c>
      <c r="E2011" s="12" t="s">
        <v>35</v>
      </c>
      <c r="F2011" s="14">
        <v>60000</v>
      </c>
      <c r="G2011" s="14">
        <v>22600</v>
      </c>
      <c r="H2011" s="13" t="s">
        <v>31960</v>
      </c>
      <c r="I2011" s="40" t="s">
        <v>18</v>
      </c>
      <c r="J2011" s="40" t="str">
        <f>HYPERLINK("https://stock.pstatic.net/stock-research/company/57/20260612_company_986964000.pdf","PDF")</f>
        <v>PDF</v>
      </c>
      <c r="K2011" s="12" t="s">
        <v>31961</v>
      </c>
      <c r="L2011" s="36">
        <v>1.654867256637168</v>
      </c>
    </row>
    <row r="2012" spans="1:12" x14ac:dyDescent="0.45">
      <c r="A2012" s="12" t="s">
        <v>31899</v>
      </c>
      <c r="B2012" s="12" t="s">
        <v>3373</v>
      </c>
      <c r="C2012" s="13" t="s">
        <v>3374</v>
      </c>
      <c r="D2012" s="13" t="s">
        <v>65</v>
      </c>
      <c r="E2012" s="12" t="s">
        <v>35</v>
      </c>
      <c r="F2012" s="14">
        <v>220000</v>
      </c>
      <c r="G2012" s="14">
        <v>151500</v>
      </c>
      <c r="H2012" s="13" t="s">
        <v>31962</v>
      </c>
      <c r="I2012" s="40" t="s">
        <v>18</v>
      </c>
      <c r="J2012" s="40" t="str">
        <f>HYPERLINK("https://stock.pstatic.net/stock-research/company/57/20260612_company_503735000.pdf","PDF")</f>
        <v>PDF</v>
      </c>
      <c r="K2012" s="12" t="s">
        <v>31963</v>
      </c>
      <c r="L2012" s="36">
        <v>0.45214521452145212</v>
      </c>
    </row>
    <row r="2013" spans="1:12" x14ac:dyDescent="0.45">
      <c r="A2013" s="12" t="s">
        <v>31899</v>
      </c>
      <c r="B2013" s="12" t="s">
        <v>10486</v>
      </c>
      <c r="C2013" s="13" t="s">
        <v>10487</v>
      </c>
      <c r="D2013" s="13" t="s">
        <v>158</v>
      </c>
      <c r="E2013" s="12" t="s">
        <v>50</v>
      </c>
      <c r="F2013" s="13"/>
      <c r="G2013" s="14">
        <v>13550</v>
      </c>
      <c r="H2013" s="13" t="s">
        <v>31964</v>
      </c>
      <c r="I2013" s="40" t="s">
        <v>18</v>
      </c>
      <c r="J2013" s="40" t="str">
        <f>HYPERLINK("https://stock.pstatic.net/stock-research/company/18/20260612_company_77929000.pdf","PDF")</f>
        <v>PDF</v>
      </c>
      <c r="K2013" s="12" t="s">
        <v>31965</v>
      </c>
      <c r="L2013" s="12"/>
    </row>
    <row r="2014" spans="1:12" x14ac:dyDescent="0.45">
      <c r="A2014" s="12" t="s">
        <v>31899</v>
      </c>
      <c r="B2014" s="12" t="s">
        <v>20415</v>
      </c>
      <c r="C2014" s="13" t="s">
        <v>20416</v>
      </c>
      <c r="D2014" s="13" t="s">
        <v>124</v>
      </c>
      <c r="E2014" s="12" t="s">
        <v>50</v>
      </c>
      <c r="F2014" s="13"/>
      <c r="G2014" s="13"/>
      <c r="H2014" s="13" t="s">
        <v>31900</v>
      </c>
      <c r="I2014" s="40" t="s">
        <v>18</v>
      </c>
      <c r="J2014" s="40" t="str">
        <f>HYPERLINK("https://stock.pstatic.net/stock-research/company/74/20260612_company_786496000.pdf","PDF")</f>
        <v>PDF</v>
      </c>
      <c r="K2014" s="12" t="s">
        <v>31901</v>
      </c>
      <c r="L2014" s="12"/>
    </row>
    <row r="2015" spans="1:12" x14ac:dyDescent="0.45">
      <c r="A2015" s="12" t="s">
        <v>31899</v>
      </c>
      <c r="B2015" s="12" t="s">
        <v>5517</v>
      </c>
      <c r="C2015" s="13" t="s">
        <v>5518</v>
      </c>
      <c r="D2015" s="13" t="s">
        <v>53</v>
      </c>
      <c r="E2015" s="12" t="s">
        <v>50</v>
      </c>
      <c r="F2015" s="13"/>
      <c r="G2015" s="14">
        <v>11850</v>
      </c>
      <c r="H2015" s="13" t="s">
        <v>31902</v>
      </c>
      <c r="I2015" s="40" t="s">
        <v>18</v>
      </c>
      <c r="J2015" s="40" t="str">
        <f>HYPERLINK("https://stock.pstatic.net/stock-research/company/40/20260612_company_866895000.pdf","PDF")</f>
        <v>PDF</v>
      </c>
      <c r="K2015" s="12" t="s">
        <v>31903</v>
      </c>
      <c r="L2015" s="12"/>
    </row>
    <row r="2016" spans="1:12" x14ac:dyDescent="0.45">
      <c r="A2016" s="12" t="s">
        <v>31899</v>
      </c>
      <c r="B2016" s="12" t="s">
        <v>8532</v>
      </c>
      <c r="C2016" s="13" t="s">
        <v>8533</v>
      </c>
      <c r="D2016" s="13" t="s">
        <v>44</v>
      </c>
      <c r="E2016" s="12" t="s">
        <v>50</v>
      </c>
      <c r="F2016" s="13"/>
      <c r="G2016" s="14">
        <v>16520</v>
      </c>
      <c r="H2016" s="13" t="s">
        <v>31904</v>
      </c>
      <c r="I2016" s="40" t="s">
        <v>18</v>
      </c>
      <c r="J2016" s="40" t="str">
        <f>HYPERLINK("https://stock.pstatic.net/stock-research/company/39/20260612_company_413609000.pdf","PDF")</f>
        <v>PDF</v>
      </c>
      <c r="K2016" s="12" t="s">
        <v>31905</v>
      </c>
      <c r="L2016" s="12"/>
    </row>
    <row r="2017" spans="1:12" x14ac:dyDescent="0.45">
      <c r="A2017" s="12" t="s">
        <v>31899</v>
      </c>
      <c r="B2017" s="12" t="s">
        <v>11189</v>
      </c>
      <c r="C2017" s="13" t="s">
        <v>11190</v>
      </c>
      <c r="D2017" s="13" t="s">
        <v>15</v>
      </c>
      <c r="E2017" s="12" t="s">
        <v>50</v>
      </c>
      <c r="F2017" s="13"/>
      <c r="G2017" s="14">
        <v>2630</v>
      </c>
      <c r="H2017" s="13" t="s">
        <v>31906</v>
      </c>
      <c r="I2017" s="40" t="s">
        <v>18</v>
      </c>
      <c r="J2017" s="40" t="str">
        <f>HYPERLINK("https://stock.pstatic.net/stock-research/company/56/20260612_company_986073000.pdf","PDF")</f>
        <v>PDF</v>
      </c>
      <c r="K2017" s="12" t="s">
        <v>31907</v>
      </c>
      <c r="L2017" s="12"/>
    </row>
    <row r="2018" spans="1:12" x14ac:dyDescent="0.45">
      <c r="A2018" s="12" t="s">
        <v>31899</v>
      </c>
      <c r="B2018" s="12" t="s">
        <v>14091</v>
      </c>
      <c r="C2018" s="13" t="s">
        <v>14092</v>
      </c>
      <c r="D2018" s="13" t="s">
        <v>207</v>
      </c>
      <c r="E2018" s="12" t="s">
        <v>50</v>
      </c>
      <c r="F2018" s="13"/>
      <c r="G2018" s="13"/>
      <c r="H2018" s="13" t="s">
        <v>31908</v>
      </c>
      <c r="I2018" s="40" t="s">
        <v>18</v>
      </c>
      <c r="J2018" s="40" t="str">
        <f>HYPERLINK("https://stock.pstatic.net/stock-research/company/75/20260612_company_627840000.pdf","PDF")</f>
        <v>PDF</v>
      </c>
      <c r="K2018" s="12" t="s">
        <v>31909</v>
      </c>
      <c r="L2018" s="12"/>
    </row>
    <row r="2019" spans="1:12" x14ac:dyDescent="0.45">
      <c r="A2019" s="12" t="s">
        <v>31899</v>
      </c>
      <c r="B2019" s="12" t="s">
        <v>24251</v>
      </c>
      <c r="C2019" s="13" t="s">
        <v>24252</v>
      </c>
      <c r="D2019" s="13" t="s">
        <v>207</v>
      </c>
      <c r="E2019" s="12" t="s">
        <v>50</v>
      </c>
      <c r="F2019" s="13"/>
      <c r="G2019" s="13"/>
      <c r="H2019" s="13" t="s">
        <v>31910</v>
      </c>
      <c r="I2019" s="40" t="s">
        <v>18</v>
      </c>
      <c r="J2019" s="40" t="str">
        <f>HYPERLINK("https://stock.pstatic.net/stock-research/company/75/20260612_company_298904000.pdf","PDF")</f>
        <v>PDF</v>
      </c>
      <c r="K2019" s="12" t="s">
        <v>31911</v>
      </c>
      <c r="L2019" s="12"/>
    </row>
    <row r="2020" spans="1:12" x14ac:dyDescent="0.45">
      <c r="A2020" s="12" t="s">
        <v>31899</v>
      </c>
      <c r="B2020" s="12" t="s">
        <v>22715</v>
      </c>
      <c r="C2020" s="13" t="s">
        <v>22716</v>
      </c>
      <c r="D2020" s="13" t="s">
        <v>202</v>
      </c>
      <c r="E2020" s="12" t="s">
        <v>50</v>
      </c>
      <c r="F2020" s="13"/>
      <c r="G2020" s="13"/>
      <c r="H2020" s="13" t="s">
        <v>31912</v>
      </c>
      <c r="I2020" s="40" t="s">
        <v>18</v>
      </c>
      <c r="J2020" s="40" t="str">
        <f>HYPERLINK("https://stock.pstatic.net/stock-research/company/69/20260612_company_156072000.pdf","PDF")</f>
        <v>PDF</v>
      </c>
      <c r="K2020" s="12" t="s">
        <v>31913</v>
      </c>
      <c r="L2020" s="12"/>
    </row>
    <row r="2021" spans="1:12" x14ac:dyDescent="0.45">
      <c r="A2021" s="12" t="s">
        <v>31899</v>
      </c>
      <c r="B2021" s="12" t="s">
        <v>23735</v>
      </c>
      <c r="C2021" s="13" t="s">
        <v>23736</v>
      </c>
      <c r="D2021" s="13" t="s">
        <v>207</v>
      </c>
      <c r="E2021" s="12" t="s">
        <v>50</v>
      </c>
      <c r="F2021" s="13"/>
      <c r="G2021" s="13"/>
      <c r="H2021" s="13" t="s">
        <v>31914</v>
      </c>
      <c r="I2021" s="40" t="s">
        <v>18</v>
      </c>
      <c r="J2021" s="40" t="str">
        <f>HYPERLINK("https://stock.pstatic.net/stock-research/company/75/20260612_company_213026000.pdf","PDF")</f>
        <v>PDF</v>
      </c>
      <c r="K2021" s="12" t="s">
        <v>31915</v>
      </c>
      <c r="L2021" s="12"/>
    </row>
    <row r="2022" spans="1:12" x14ac:dyDescent="0.45">
      <c r="A2022" s="12" t="s">
        <v>31899</v>
      </c>
      <c r="B2022" s="12" t="s">
        <v>31916</v>
      </c>
      <c r="C2022" s="13" t="s">
        <v>31917</v>
      </c>
      <c r="D2022" s="13" t="s">
        <v>202</v>
      </c>
      <c r="E2022" s="12" t="s">
        <v>50</v>
      </c>
      <c r="F2022" s="13"/>
      <c r="G2022" s="13"/>
      <c r="H2022" s="13" t="s">
        <v>31918</v>
      </c>
      <c r="I2022" s="40" t="s">
        <v>18</v>
      </c>
      <c r="J2022" s="40" t="str">
        <f>HYPERLINK("https://stock.pstatic.net/stock-research/company/69/20260612_company_407515000.pdf","PDF")</f>
        <v>PDF</v>
      </c>
      <c r="K2022" s="12" t="s">
        <v>31919</v>
      </c>
      <c r="L2022" s="12"/>
    </row>
    <row r="2023" spans="1:12" x14ac:dyDescent="0.45">
      <c r="A2023" s="12" t="s">
        <v>31899</v>
      </c>
      <c r="B2023" s="12" t="s">
        <v>21731</v>
      </c>
      <c r="C2023" s="13" t="s">
        <v>21732</v>
      </c>
      <c r="D2023" s="13" t="s">
        <v>15</v>
      </c>
      <c r="E2023" s="12" t="s">
        <v>50</v>
      </c>
      <c r="F2023" s="13"/>
      <c r="G2023" s="14">
        <v>49900</v>
      </c>
      <c r="H2023" s="13" t="s">
        <v>31920</v>
      </c>
      <c r="I2023" s="40" t="s">
        <v>18</v>
      </c>
      <c r="J2023" s="40" t="str">
        <f>HYPERLINK("https://stock.pstatic.net/stock-research/company/56/20260612_company_303808000.pdf","PDF")</f>
        <v>PDF</v>
      </c>
      <c r="K2023" s="12" t="s">
        <v>31921</v>
      </c>
      <c r="L2023" s="12"/>
    </row>
    <row r="2024" spans="1:12" x14ac:dyDescent="0.45">
      <c r="A2024" s="12" t="s">
        <v>31814</v>
      </c>
      <c r="B2024" s="12" t="s">
        <v>4021</v>
      </c>
      <c r="C2024" s="13" t="s">
        <v>4022</v>
      </c>
      <c r="D2024" s="13" t="s">
        <v>158</v>
      </c>
      <c r="E2024" s="12" t="s">
        <v>35</v>
      </c>
      <c r="F2024" s="14">
        <v>300000</v>
      </c>
      <c r="G2024" s="14">
        <v>236000</v>
      </c>
      <c r="H2024" s="13" t="s">
        <v>31922</v>
      </c>
      <c r="I2024" s="40" t="s">
        <v>18</v>
      </c>
      <c r="J2024" s="40" t="str">
        <f>HYPERLINK("https://stock.pstatic.net/stock-research/company/18/20260611_company_467113000.pdf","PDF")</f>
        <v>PDF</v>
      </c>
      <c r="K2024" s="12" t="s">
        <v>31923</v>
      </c>
      <c r="L2024" s="36">
        <v>0.2711864406779661</v>
      </c>
    </row>
    <row r="2025" spans="1:12" x14ac:dyDescent="0.45">
      <c r="A2025" s="12" t="s">
        <v>31814</v>
      </c>
      <c r="B2025" s="12" t="s">
        <v>10907</v>
      </c>
      <c r="C2025" s="13" t="s">
        <v>10908</v>
      </c>
      <c r="D2025" s="13" t="s">
        <v>15</v>
      </c>
      <c r="E2025" s="12" t="s">
        <v>50</v>
      </c>
      <c r="F2025" s="13"/>
      <c r="G2025" s="14">
        <v>12980</v>
      </c>
      <c r="H2025" s="13" t="s">
        <v>31924</v>
      </c>
      <c r="I2025" s="40" t="s">
        <v>18</v>
      </c>
      <c r="J2025" s="40" t="str">
        <f>HYPERLINK("https://stock.pstatic.net/stock-research/company/56/20260611_company_259854000.pdf","PDF")</f>
        <v>PDF</v>
      </c>
      <c r="K2025" s="12" t="s">
        <v>31925</v>
      </c>
      <c r="L2025" s="12"/>
    </row>
    <row r="2026" spans="1:12" x14ac:dyDescent="0.45">
      <c r="A2026" s="12" t="s">
        <v>31814</v>
      </c>
      <c r="B2026" s="12" t="s">
        <v>6057</v>
      </c>
      <c r="C2026" s="13" t="s">
        <v>6058</v>
      </c>
      <c r="D2026" s="13" t="s">
        <v>15</v>
      </c>
      <c r="E2026" s="12" t="s">
        <v>50</v>
      </c>
      <c r="F2026" s="13"/>
      <c r="G2026" s="14">
        <v>46700</v>
      </c>
      <c r="H2026" s="13" t="s">
        <v>31926</v>
      </c>
      <c r="I2026" s="40" t="s">
        <v>18</v>
      </c>
      <c r="J2026" s="40" t="str">
        <f>HYPERLINK("https://stock.pstatic.net/stock-research/company/56/20260611_company_123799000.pdf","PDF")</f>
        <v>PDF</v>
      </c>
      <c r="K2026" s="12" t="s">
        <v>31927</v>
      </c>
      <c r="L2026" s="12"/>
    </row>
    <row r="2027" spans="1:12" x14ac:dyDescent="0.45">
      <c r="A2027" s="12" t="s">
        <v>31814</v>
      </c>
      <c r="B2027" s="12" t="s">
        <v>21457</v>
      </c>
      <c r="C2027" s="13" t="s">
        <v>21458</v>
      </c>
      <c r="D2027" s="13" t="s">
        <v>15</v>
      </c>
      <c r="E2027" s="12" t="s">
        <v>50</v>
      </c>
      <c r="F2027" s="13"/>
      <c r="G2027" s="14">
        <v>4700</v>
      </c>
      <c r="H2027" s="13" t="s">
        <v>31928</v>
      </c>
      <c r="I2027" s="40" t="s">
        <v>18</v>
      </c>
      <c r="J2027" s="40" t="str">
        <f>HYPERLINK("https://stock.pstatic.net/stock-research/company/56/20260611_company_961843000.pdf","PDF")</f>
        <v>PDF</v>
      </c>
      <c r="K2027" s="12" t="s">
        <v>31929</v>
      </c>
      <c r="L2027" s="12"/>
    </row>
    <row r="2028" spans="1:12" x14ac:dyDescent="0.45">
      <c r="A2028" s="12" t="s">
        <v>31814</v>
      </c>
      <c r="B2028" s="12" t="s">
        <v>14601</v>
      </c>
      <c r="C2028" s="13" t="s">
        <v>14602</v>
      </c>
      <c r="D2028" s="13" t="s">
        <v>15</v>
      </c>
      <c r="E2028" s="12" t="s">
        <v>50</v>
      </c>
      <c r="F2028" s="13"/>
      <c r="G2028" s="14">
        <v>23700</v>
      </c>
      <c r="H2028" s="13" t="s">
        <v>31930</v>
      </c>
      <c r="I2028" s="40" t="s">
        <v>18</v>
      </c>
      <c r="J2028" s="40" t="str">
        <f>HYPERLINK("https://stock.pstatic.net/stock-research/company/56/20260611_company_725879000.pdf","PDF")</f>
        <v>PDF</v>
      </c>
      <c r="K2028" s="12" t="s">
        <v>31931</v>
      </c>
      <c r="L2028" s="12"/>
    </row>
    <row r="2029" spans="1:12" x14ac:dyDescent="0.45">
      <c r="A2029" s="12" t="s">
        <v>31814</v>
      </c>
      <c r="B2029" s="12" t="s">
        <v>1266</v>
      </c>
      <c r="C2029" s="13" t="s">
        <v>1267</v>
      </c>
      <c r="D2029" s="13" t="s">
        <v>57</v>
      </c>
      <c r="E2029" s="12" t="s">
        <v>159</v>
      </c>
      <c r="F2029" s="14">
        <v>312000</v>
      </c>
      <c r="G2029" s="14">
        <v>368000</v>
      </c>
      <c r="H2029" s="13" t="s">
        <v>31932</v>
      </c>
      <c r="I2029" s="40" t="s">
        <v>18</v>
      </c>
      <c r="J2029" s="40" t="str">
        <f>HYPERLINK("https://stock.pstatic.net/stock-research/company/16/20260611_company_905729000.pdf","PDF")</f>
        <v>PDF</v>
      </c>
      <c r="K2029" s="12" t="s">
        <v>31933</v>
      </c>
      <c r="L2029" s="36">
        <v>-0.1521739130434783</v>
      </c>
    </row>
    <row r="2030" spans="1:12" x14ac:dyDescent="0.45">
      <c r="A2030" s="12" t="s">
        <v>31814</v>
      </c>
      <c r="B2030" s="12" t="s">
        <v>16516</v>
      </c>
      <c r="C2030" s="13" t="s">
        <v>16517</v>
      </c>
      <c r="D2030" s="13" t="s">
        <v>65</v>
      </c>
      <c r="E2030" s="12" t="s">
        <v>50</v>
      </c>
      <c r="F2030" s="13"/>
      <c r="G2030" s="14">
        <v>73500</v>
      </c>
      <c r="H2030" s="13" t="s">
        <v>31934</v>
      </c>
      <c r="I2030" s="40" t="s">
        <v>18</v>
      </c>
      <c r="J2030" s="40" t="str">
        <f>HYPERLINK("https://stock.pstatic.net/stock-research/company/57/20260611_company_337280000.pdf","PDF")</f>
        <v>PDF</v>
      </c>
      <c r="K2030" s="12" t="s">
        <v>31935</v>
      </c>
      <c r="L2030" s="12"/>
    </row>
    <row r="2031" spans="1:12" x14ac:dyDescent="0.45">
      <c r="A2031" s="12" t="s">
        <v>31814</v>
      </c>
      <c r="B2031" s="12" t="s">
        <v>5787</v>
      </c>
      <c r="C2031" s="13" t="s">
        <v>5788</v>
      </c>
      <c r="D2031" s="13" t="s">
        <v>65</v>
      </c>
      <c r="E2031" s="12" t="s">
        <v>50</v>
      </c>
      <c r="F2031" s="13"/>
      <c r="G2031" s="14">
        <v>9460</v>
      </c>
      <c r="H2031" s="13" t="s">
        <v>31936</v>
      </c>
      <c r="I2031" s="40" t="s">
        <v>18</v>
      </c>
      <c r="J2031" s="40" t="str">
        <f>HYPERLINK("https://stock.pstatic.net/stock-research/company/57/20260611_company_318629000.pdf","PDF")</f>
        <v>PDF</v>
      </c>
      <c r="K2031" s="12" t="s">
        <v>31937</v>
      </c>
      <c r="L2031" s="12"/>
    </row>
    <row r="2032" spans="1:12" x14ac:dyDescent="0.45">
      <c r="A2032" s="12" t="s">
        <v>31814</v>
      </c>
      <c r="B2032" s="12" t="s">
        <v>5960</v>
      </c>
      <c r="C2032" s="13" t="s">
        <v>5961</v>
      </c>
      <c r="D2032" s="13" t="s">
        <v>65</v>
      </c>
      <c r="E2032" s="12" t="s">
        <v>35</v>
      </c>
      <c r="F2032" s="14">
        <v>160000</v>
      </c>
      <c r="G2032" s="14">
        <v>117100</v>
      </c>
      <c r="H2032" s="13" t="s">
        <v>31938</v>
      </c>
      <c r="I2032" s="40" t="s">
        <v>18</v>
      </c>
      <c r="J2032" s="40" t="str">
        <f>HYPERLINK("https://stock.pstatic.net/stock-research/company/57/20260611_company_468229000.pdf","PDF")</f>
        <v>PDF</v>
      </c>
      <c r="K2032" s="12" t="s">
        <v>31939</v>
      </c>
      <c r="L2032" s="36">
        <v>0.3663535439795047</v>
      </c>
    </row>
    <row r="2033" spans="1:12" x14ac:dyDescent="0.45">
      <c r="A2033" s="12" t="s">
        <v>31814</v>
      </c>
      <c r="B2033" s="12" t="s">
        <v>247</v>
      </c>
      <c r="C2033" s="13" t="s">
        <v>248</v>
      </c>
      <c r="D2033" s="13" t="s">
        <v>65</v>
      </c>
      <c r="E2033" s="12" t="s">
        <v>35</v>
      </c>
      <c r="F2033" s="14">
        <v>50000</v>
      </c>
      <c r="G2033" s="14">
        <v>23050</v>
      </c>
      <c r="H2033" s="13" t="s">
        <v>31940</v>
      </c>
      <c r="I2033" s="40" t="s">
        <v>18</v>
      </c>
      <c r="J2033" s="40" t="str">
        <f>HYPERLINK("https://stock.pstatic.net/stock-research/company/57/20260611_company_182448000.pdf","PDF")</f>
        <v>PDF</v>
      </c>
      <c r="K2033" s="12" t="s">
        <v>31941</v>
      </c>
      <c r="L2033" s="36">
        <v>1.169197396963124</v>
      </c>
    </row>
    <row r="2034" spans="1:12" x14ac:dyDescent="0.45">
      <c r="A2034" s="12" t="s">
        <v>31814</v>
      </c>
      <c r="B2034" s="12" t="s">
        <v>740</v>
      </c>
      <c r="C2034" s="13" t="s">
        <v>741</v>
      </c>
      <c r="D2034" s="13" t="s">
        <v>15</v>
      </c>
      <c r="E2034" s="12" t="s">
        <v>16</v>
      </c>
      <c r="F2034" s="14">
        <v>1400000</v>
      </c>
      <c r="G2034" s="14">
        <v>1090000</v>
      </c>
      <c r="H2034" s="13" t="s">
        <v>31942</v>
      </c>
      <c r="I2034" s="40" t="s">
        <v>18</v>
      </c>
      <c r="J2034" s="40" t="str">
        <f>HYPERLINK("https://stock.pstatic.net/stock-research/company/56/20260611_company_784094000.pdf","PDF")</f>
        <v>PDF</v>
      </c>
      <c r="K2034" s="12" t="s">
        <v>31943</v>
      </c>
      <c r="L2034" s="36">
        <v>0.28440366972477071</v>
      </c>
    </row>
    <row r="2035" spans="1:12" x14ac:dyDescent="0.45">
      <c r="A2035" s="12" t="s">
        <v>31814</v>
      </c>
      <c r="B2035" s="12" t="s">
        <v>4668</v>
      </c>
      <c r="C2035" s="13" t="s">
        <v>4669</v>
      </c>
      <c r="D2035" s="13" t="s">
        <v>158</v>
      </c>
      <c r="E2035" s="12" t="s">
        <v>35</v>
      </c>
      <c r="F2035" s="14">
        <v>60000</v>
      </c>
      <c r="G2035" s="14">
        <v>37450</v>
      </c>
      <c r="H2035" s="13" t="s">
        <v>31944</v>
      </c>
      <c r="I2035" s="40" t="s">
        <v>18</v>
      </c>
      <c r="J2035" s="40" t="str">
        <f>HYPERLINK("https://stock.pstatic.net/stock-research/company/18/20260611_company_542880000.pdf","PDF")</f>
        <v>PDF</v>
      </c>
      <c r="K2035" s="12" t="s">
        <v>31945</v>
      </c>
      <c r="L2035" s="36">
        <v>0.60213618157543392</v>
      </c>
    </row>
    <row r="2036" spans="1:12" x14ac:dyDescent="0.45">
      <c r="A2036" s="12" t="s">
        <v>31814</v>
      </c>
      <c r="B2036" s="12" t="s">
        <v>1344</v>
      </c>
      <c r="C2036" s="13" t="s">
        <v>1345</v>
      </c>
      <c r="D2036" s="13" t="s">
        <v>158</v>
      </c>
      <c r="E2036" s="12" t="s">
        <v>35</v>
      </c>
      <c r="F2036" s="14">
        <v>150000</v>
      </c>
      <c r="G2036" s="14">
        <v>79000</v>
      </c>
      <c r="H2036" s="13" t="s">
        <v>31946</v>
      </c>
      <c r="I2036" s="40" t="s">
        <v>18</v>
      </c>
      <c r="J2036" s="40" t="str">
        <f>HYPERLINK("https://stock.pstatic.net/stock-research/company/18/20260611_company_331731000.pdf","PDF")</f>
        <v>PDF</v>
      </c>
      <c r="K2036" s="12" t="s">
        <v>31947</v>
      </c>
      <c r="L2036" s="36">
        <v>0.89873417721518989</v>
      </c>
    </row>
    <row r="2037" spans="1:12" x14ac:dyDescent="0.45">
      <c r="A2037" s="12" t="s">
        <v>31814</v>
      </c>
      <c r="B2037" s="12" t="s">
        <v>3182</v>
      </c>
      <c r="C2037" s="13" t="s">
        <v>3183</v>
      </c>
      <c r="D2037" s="13" t="s">
        <v>158</v>
      </c>
      <c r="E2037" s="12" t="s">
        <v>35</v>
      </c>
      <c r="F2037" s="14">
        <v>1450000</v>
      </c>
      <c r="G2037" s="14">
        <v>986000</v>
      </c>
      <c r="H2037" s="13" t="s">
        <v>31948</v>
      </c>
      <c r="I2037" s="40" t="s">
        <v>18</v>
      </c>
      <c r="J2037" s="40" t="str">
        <f>HYPERLINK("https://stock.pstatic.net/stock-research/company/18/20260611_company_545237000.pdf","PDF")</f>
        <v>PDF</v>
      </c>
      <c r="K2037" s="12" t="s">
        <v>31949</v>
      </c>
      <c r="L2037" s="36">
        <v>0.47058823529411759</v>
      </c>
    </row>
    <row r="2038" spans="1:12" x14ac:dyDescent="0.45">
      <c r="A2038" s="12" t="s">
        <v>31814</v>
      </c>
      <c r="B2038" s="12" t="s">
        <v>2933</v>
      </c>
      <c r="C2038" s="13" t="s">
        <v>2934</v>
      </c>
      <c r="D2038" s="13" t="s">
        <v>158</v>
      </c>
      <c r="E2038" s="12" t="s">
        <v>35</v>
      </c>
      <c r="F2038" s="14">
        <v>360000</v>
      </c>
      <c r="G2038" s="14">
        <v>218500</v>
      </c>
      <c r="H2038" s="13" t="s">
        <v>31950</v>
      </c>
      <c r="I2038" s="40" t="s">
        <v>18</v>
      </c>
      <c r="J2038" s="40" t="str">
        <f>HYPERLINK("https://stock.pstatic.net/stock-research/company/18/20260611_company_73516000.pdf","PDF")</f>
        <v>PDF</v>
      </c>
      <c r="K2038" s="12" t="s">
        <v>31951</v>
      </c>
      <c r="L2038" s="36">
        <v>0.64759725400457668</v>
      </c>
    </row>
    <row r="2039" spans="1:12" x14ac:dyDescent="0.45">
      <c r="A2039" s="12" t="s">
        <v>31814</v>
      </c>
      <c r="B2039" s="12" t="s">
        <v>3230</v>
      </c>
      <c r="C2039" s="13" t="s">
        <v>3231</v>
      </c>
      <c r="D2039" s="13" t="s">
        <v>158</v>
      </c>
      <c r="E2039" s="12" t="s">
        <v>35</v>
      </c>
      <c r="F2039" s="14">
        <v>5000000</v>
      </c>
      <c r="G2039" s="14">
        <v>3437000</v>
      </c>
      <c r="H2039" s="13" t="s">
        <v>31952</v>
      </c>
      <c r="I2039" s="40" t="s">
        <v>18</v>
      </c>
      <c r="J2039" s="40" t="str">
        <f>HYPERLINK("https://stock.pstatic.net/stock-research/company/18/20260611_company_203187000.pdf","PDF")</f>
        <v>PDF</v>
      </c>
      <c r="K2039" s="12" t="s">
        <v>31953</v>
      </c>
      <c r="L2039" s="36">
        <v>0.45475705557171953</v>
      </c>
    </row>
    <row r="2040" spans="1:12" x14ac:dyDescent="0.45">
      <c r="A2040" s="12" t="s">
        <v>31814</v>
      </c>
      <c r="B2040" s="12" t="s">
        <v>4133</v>
      </c>
      <c r="C2040" s="13" t="s">
        <v>4134</v>
      </c>
      <c r="D2040" s="13" t="s">
        <v>23</v>
      </c>
      <c r="E2040" s="12" t="s">
        <v>50</v>
      </c>
      <c r="F2040" s="13"/>
      <c r="G2040" s="14">
        <v>5050</v>
      </c>
      <c r="H2040" s="13" t="s">
        <v>31954</v>
      </c>
      <c r="I2040" s="40" t="s">
        <v>18</v>
      </c>
      <c r="J2040" s="40" t="str">
        <f>HYPERLINK("https://stock.pstatic.net/stock-research/company/21/20260611_company_306951000.pdf","PDF")</f>
        <v>PDF</v>
      </c>
      <c r="K2040" s="12" t="s">
        <v>31955</v>
      </c>
      <c r="L2040" s="12"/>
    </row>
    <row r="2041" spans="1:12" x14ac:dyDescent="0.45">
      <c r="A2041" s="12" t="s">
        <v>31814</v>
      </c>
      <c r="B2041" s="12" t="s">
        <v>10962</v>
      </c>
      <c r="C2041" s="13" t="s">
        <v>10963</v>
      </c>
      <c r="D2041" s="13" t="s">
        <v>34</v>
      </c>
      <c r="E2041" s="12" t="s">
        <v>35</v>
      </c>
      <c r="F2041" s="14">
        <v>56000</v>
      </c>
      <c r="G2041" s="14">
        <v>44000</v>
      </c>
      <c r="H2041" s="13" t="s">
        <v>31815</v>
      </c>
      <c r="I2041" s="40" t="s">
        <v>18</v>
      </c>
      <c r="J2041" s="40" t="str">
        <f>HYPERLINK("https://stock.pstatic.net/stock-research/company/61/20260611_company_905236000.pdf","PDF")</f>
        <v>PDF</v>
      </c>
      <c r="K2041" s="12" t="s">
        <v>31816</v>
      </c>
      <c r="L2041" s="36">
        <v>0.27272727272727271</v>
      </c>
    </row>
    <row r="2042" spans="1:12" x14ac:dyDescent="0.45">
      <c r="A2042" s="12" t="s">
        <v>31814</v>
      </c>
      <c r="B2042" s="12" t="s">
        <v>3230</v>
      </c>
      <c r="C2042" s="13" t="s">
        <v>3231</v>
      </c>
      <c r="D2042" s="13" t="s">
        <v>53</v>
      </c>
      <c r="E2042" s="12" t="s">
        <v>16</v>
      </c>
      <c r="F2042" s="14">
        <v>4900000</v>
      </c>
      <c r="G2042" s="14">
        <v>3437000</v>
      </c>
      <c r="H2042" s="13" t="s">
        <v>31817</v>
      </c>
      <c r="I2042" s="40" t="s">
        <v>18</v>
      </c>
      <c r="J2042" s="40" t="str">
        <f>HYPERLINK("https://stock.pstatic.net/stock-research/company/40/20260611_company_749902000.pdf","PDF")</f>
        <v>PDF</v>
      </c>
      <c r="K2042" s="12" t="s">
        <v>31818</v>
      </c>
      <c r="L2042" s="36">
        <v>0.42566191446028512</v>
      </c>
    </row>
    <row r="2043" spans="1:12" x14ac:dyDescent="0.45">
      <c r="A2043" s="12" t="s">
        <v>31814</v>
      </c>
      <c r="B2043" s="12" t="s">
        <v>3813</v>
      </c>
      <c r="C2043" s="13" t="s">
        <v>3814</v>
      </c>
      <c r="D2043" s="13" t="s">
        <v>179</v>
      </c>
      <c r="E2043" s="12" t="s">
        <v>16</v>
      </c>
      <c r="F2043" s="14">
        <v>20000</v>
      </c>
      <c r="G2043" s="14">
        <v>12910</v>
      </c>
      <c r="H2043" s="13" t="s">
        <v>31819</v>
      </c>
      <c r="I2043" s="40" t="s">
        <v>18</v>
      </c>
      <c r="J2043" s="40" t="str">
        <f>HYPERLINK("https://stock.pstatic.net/stock-research/company/64/20260611_company_189588000.pdf","PDF")</f>
        <v>PDF</v>
      </c>
      <c r="K2043" s="12" t="s">
        <v>31820</v>
      </c>
      <c r="L2043" s="36">
        <v>0.54918667699457779</v>
      </c>
    </row>
    <row r="2044" spans="1:12" x14ac:dyDescent="0.45">
      <c r="A2044" s="12" t="s">
        <v>31814</v>
      </c>
      <c r="B2044" s="12" t="s">
        <v>11015</v>
      </c>
      <c r="C2044" s="13" t="s">
        <v>11016</v>
      </c>
      <c r="D2044" s="13" t="s">
        <v>44</v>
      </c>
      <c r="E2044" s="12" t="s">
        <v>50</v>
      </c>
      <c r="F2044" s="13"/>
      <c r="G2044" s="14">
        <v>69200</v>
      </c>
      <c r="H2044" s="13" t="s">
        <v>31821</v>
      </c>
      <c r="I2044" s="40" t="s">
        <v>18</v>
      </c>
      <c r="J2044" s="40" t="str">
        <f>HYPERLINK("https://stock.pstatic.net/stock-research/company/39/20260611_company_524675000.pdf","PDF")</f>
        <v>PDF</v>
      </c>
      <c r="K2044" s="12" t="s">
        <v>31822</v>
      </c>
      <c r="L2044" s="12"/>
    </row>
    <row r="2045" spans="1:12" x14ac:dyDescent="0.45">
      <c r="A2045" s="12" t="s">
        <v>31814</v>
      </c>
      <c r="B2045" s="12" t="s">
        <v>565</v>
      </c>
      <c r="C2045" s="13" t="s">
        <v>566</v>
      </c>
      <c r="D2045" s="13" t="s">
        <v>15</v>
      </c>
      <c r="E2045" s="12" t="s">
        <v>50</v>
      </c>
      <c r="F2045" s="13"/>
      <c r="G2045" s="14">
        <v>41350</v>
      </c>
      <c r="H2045" s="13" t="s">
        <v>31823</v>
      </c>
      <c r="I2045" s="40" t="s">
        <v>18</v>
      </c>
      <c r="J2045" s="40" t="str">
        <f>HYPERLINK("https://stock.pstatic.net/stock-research/company/56/20260611_company_953123000.pdf","PDF")</f>
        <v>PDF</v>
      </c>
      <c r="K2045" s="12" t="s">
        <v>31824</v>
      </c>
      <c r="L2045" s="12"/>
    </row>
    <row r="2046" spans="1:12" x14ac:dyDescent="0.45">
      <c r="A2046" s="12" t="s">
        <v>31814</v>
      </c>
      <c r="B2046" s="12" t="s">
        <v>6219</v>
      </c>
      <c r="C2046" s="13" t="s">
        <v>6220</v>
      </c>
      <c r="D2046" s="13" t="s">
        <v>15</v>
      </c>
      <c r="E2046" s="12" t="s">
        <v>50</v>
      </c>
      <c r="F2046" s="13"/>
      <c r="G2046" s="14">
        <v>25800</v>
      </c>
      <c r="H2046" s="13" t="s">
        <v>31825</v>
      </c>
      <c r="I2046" s="40" t="s">
        <v>18</v>
      </c>
      <c r="J2046" s="40" t="str">
        <f>HYPERLINK("https://stock.pstatic.net/stock-research/company/56/20260611_company_590490000.pdf","PDF")</f>
        <v>PDF</v>
      </c>
      <c r="K2046" s="12" t="s">
        <v>31826</v>
      </c>
      <c r="L2046" s="12"/>
    </row>
    <row r="2047" spans="1:12" x14ac:dyDescent="0.45">
      <c r="A2047" s="12" t="s">
        <v>31814</v>
      </c>
      <c r="B2047" s="12" t="s">
        <v>16681</v>
      </c>
      <c r="C2047" s="13" t="s">
        <v>16682</v>
      </c>
      <c r="D2047" s="13" t="s">
        <v>15</v>
      </c>
      <c r="E2047" s="12" t="s">
        <v>50</v>
      </c>
      <c r="F2047" s="13"/>
      <c r="G2047" s="14">
        <v>3430</v>
      </c>
      <c r="H2047" s="13" t="s">
        <v>31827</v>
      </c>
      <c r="I2047" s="40" t="s">
        <v>18</v>
      </c>
      <c r="J2047" s="40" t="str">
        <f>HYPERLINK("https://stock.pstatic.net/stock-research/company/56/20260611_company_144970000.pdf","PDF")</f>
        <v>PDF</v>
      </c>
      <c r="K2047" s="12" t="s">
        <v>31828</v>
      </c>
      <c r="L2047" s="12"/>
    </row>
    <row r="2048" spans="1:12" x14ac:dyDescent="0.45">
      <c r="A2048" s="12" t="s">
        <v>31814</v>
      </c>
      <c r="B2048" s="12" t="s">
        <v>15549</v>
      </c>
      <c r="C2048" s="13" t="s">
        <v>15550</v>
      </c>
      <c r="D2048" s="13" t="s">
        <v>15</v>
      </c>
      <c r="E2048" s="12" t="s">
        <v>50</v>
      </c>
      <c r="F2048" s="13"/>
      <c r="G2048" s="14">
        <v>3645</v>
      </c>
      <c r="H2048" s="13" t="s">
        <v>31829</v>
      </c>
      <c r="I2048" s="40" t="s">
        <v>18</v>
      </c>
      <c r="J2048" s="40" t="str">
        <f>HYPERLINK("https://stock.pstatic.net/stock-research/company/56/20260611_company_116823000.pdf","PDF")</f>
        <v>PDF</v>
      </c>
      <c r="K2048" s="12" t="s">
        <v>31830</v>
      </c>
      <c r="L2048" s="12"/>
    </row>
    <row r="2049" spans="1:12" x14ac:dyDescent="0.45">
      <c r="A2049" s="12" t="s">
        <v>31831</v>
      </c>
      <c r="B2049" s="12" t="s">
        <v>3087</v>
      </c>
      <c r="C2049" s="13" t="s">
        <v>3088</v>
      </c>
      <c r="D2049" s="13" t="s">
        <v>15</v>
      </c>
      <c r="E2049" s="12" t="s">
        <v>50</v>
      </c>
      <c r="F2049" s="13"/>
      <c r="G2049" s="14">
        <v>210000</v>
      </c>
      <c r="H2049" s="13" t="s">
        <v>31832</v>
      </c>
      <c r="I2049" s="40" t="s">
        <v>18</v>
      </c>
      <c r="J2049" s="40" t="str">
        <f>HYPERLINK("https://stock.pstatic.net/stock-research/company/56/20260610_company_533058000.pdf","PDF")</f>
        <v>PDF</v>
      </c>
      <c r="K2049" s="12" t="s">
        <v>31833</v>
      </c>
      <c r="L2049" s="12"/>
    </row>
    <row r="2050" spans="1:12" x14ac:dyDescent="0.45">
      <c r="A2050" s="12" t="s">
        <v>31831</v>
      </c>
      <c r="B2050" s="12" t="s">
        <v>6575</v>
      </c>
      <c r="C2050" s="13" t="s">
        <v>6576</v>
      </c>
      <c r="D2050" s="13" t="s">
        <v>158</v>
      </c>
      <c r="E2050" s="12" t="s">
        <v>50</v>
      </c>
      <c r="F2050" s="13"/>
      <c r="G2050" s="14">
        <v>20600</v>
      </c>
      <c r="H2050" s="13" t="s">
        <v>31834</v>
      </c>
      <c r="I2050" s="40" t="s">
        <v>18</v>
      </c>
      <c r="J2050" s="40" t="str">
        <f>HYPERLINK("https://stock.pstatic.net/stock-research/company/18/20260610_company_135650000.pdf","PDF")</f>
        <v>PDF</v>
      </c>
      <c r="K2050" s="12" t="s">
        <v>31835</v>
      </c>
      <c r="L2050" s="12"/>
    </row>
    <row r="2051" spans="1:12" x14ac:dyDescent="0.45">
      <c r="A2051" s="12" t="s">
        <v>31831</v>
      </c>
      <c r="B2051" s="12" t="s">
        <v>15657</v>
      </c>
      <c r="C2051" s="13" t="s">
        <v>15658</v>
      </c>
      <c r="D2051" s="13" t="s">
        <v>83</v>
      </c>
      <c r="E2051" s="12" t="s">
        <v>35</v>
      </c>
      <c r="F2051" s="14">
        <v>57000</v>
      </c>
      <c r="G2051" s="14">
        <v>37700</v>
      </c>
      <c r="H2051" s="13" t="s">
        <v>31836</v>
      </c>
      <c r="I2051" s="40" t="s">
        <v>18</v>
      </c>
      <c r="J2051" s="40" t="str">
        <f>HYPERLINK("https://stock.pstatic.net/stock-research/company/15/20260610_company_894884000.pdf","PDF")</f>
        <v>PDF</v>
      </c>
      <c r="K2051" s="12" t="s">
        <v>31837</v>
      </c>
      <c r="L2051" s="36">
        <v>0.51193633952254647</v>
      </c>
    </row>
    <row r="2052" spans="1:12" x14ac:dyDescent="0.45">
      <c r="A2052" s="12" t="s">
        <v>31831</v>
      </c>
      <c r="B2052" s="12" t="s">
        <v>32</v>
      </c>
      <c r="C2052" s="13" t="s">
        <v>33</v>
      </c>
      <c r="D2052" s="13" t="s">
        <v>83</v>
      </c>
      <c r="E2052" s="12" t="s">
        <v>35</v>
      </c>
      <c r="F2052" s="14">
        <v>2400000</v>
      </c>
      <c r="G2052" s="14">
        <v>1970000</v>
      </c>
      <c r="H2052" s="13" t="s">
        <v>31838</v>
      </c>
      <c r="I2052" s="40" t="s">
        <v>18</v>
      </c>
      <c r="J2052" s="40" t="str">
        <f>HYPERLINK("https://stock.pstatic.net/stock-research/company/15/20260610_company_31633000.pdf","PDF")</f>
        <v>PDF</v>
      </c>
      <c r="K2052" s="12" t="s">
        <v>31839</v>
      </c>
      <c r="L2052" s="36">
        <v>0.21827411167512689</v>
      </c>
    </row>
    <row r="2053" spans="1:12" x14ac:dyDescent="0.45">
      <c r="A2053" s="12" t="s">
        <v>31831</v>
      </c>
      <c r="B2053" s="12" t="s">
        <v>81</v>
      </c>
      <c r="C2053" s="13" t="s">
        <v>82</v>
      </c>
      <c r="D2053" s="13" t="s">
        <v>83</v>
      </c>
      <c r="E2053" s="12" t="s">
        <v>35</v>
      </c>
      <c r="F2053" s="14">
        <v>45000</v>
      </c>
      <c r="G2053" s="14">
        <v>31600</v>
      </c>
      <c r="H2053" s="13" t="s">
        <v>84</v>
      </c>
      <c r="I2053" s="40" t="s">
        <v>18</v>
      </c>
      <c r="J2053" s="40" t="str">
        <f>HYPERLINK("https://stock.pstatic.net/stock-research/company/15/20260610_company_268714000.pdf","PDF")</f>
        <v>PDF</v>
      </c>
      <c r="K2053" s="12" t="s">
        <v>31840</v>
      </c>
      <c r="L2053" s="36">
        <v>0.42405063291139239</v>
      </c>
    </row>
    <row r="2054" spans="1:12" x14ac:dyDescent="0.45">
      <c r="A2054" s="12" t="s">
        <v>31831</v>
      </c>
      <c r="B2054" s="12" t="s">
        <v>31841</v>
      </c>
      <c r="C2054" s="13" t="s">
        <v>31842</v>
      </c>
      <c r="D2054" s="13" t="s">
        <v>23</v>
      </c>
      <c r="E2054" s="12" t="s">
        <v>50</v>
      </c>
      <c r="F2054" s="13"/>
      <c r="G2054" s="14">
        <v>26150</v>
      </c>
      <c r="H2054" s="13" t="s">
        <v>31843</v>
      </c>
      <c r="I2054" s="40" t="s">
        <v>18</v>
      </c>
      <c r="J2054" s="40" t="str">
        <f>HYPERLINK("https://stock.pstatic.net/stock-research/company/21/20260610_company_710736000.pdf","PDF")</f>
        <v>PDF</v>
      </c>
      <c r="K2054" s="12" t="s">
        <v>31844</v>
      </c>
      <c r="L2054" s="12"/>
    </row>
    <row r="2055" spans="1:12" x14ac:dyDescent="0.45">
      <c r="A2055" s="12" t="s">
        <v>31831</v>
      </c>
      <c r="B2055" s="12" t="s">
        <v>1266</v>
      </c>
      <c r="C2055" s="13" t="s">
        <v>1267</v>
      </c>
      <c r="D2055" s="13" t="s">
        <v>23</v>
      </c>
      <c r="E2055" s="12" t="s">
        <v>16</v>
      </c>
      <c r="F2055" s="14">
        <v>500000</v>
      </c>
      <c r="G2055" s="14">
        <v>393000</v>
      </c>
      <c r="H2055" s="13" t="s">
        <v>31845</v>
      </c>
      <c r="I2055" s="40" t="s">
        <v>18</v>
      </c>
      <c r="J2055" s="40" t="str">
        <f>HYPERLINK("https://stock.pstatic.net/stock-research/company/21/20260610_company_730120000.pdf","PDF")</f>
        <v>PDF</v>
      </c>
      <c r="K2055" s="12" t="s">
        <v>31846</v>
      </c>
      <c r="L2055" s="36">
        <v>0.27226463104325699</v>
      </c>
    </row>
    <row r="2056" spans="1:12" x14ac:dyDescent="0.45">
      <c r="A2056" s="12" t="s">
        <v>31831</v>
      </c>
      <c r="B2056" s="12" t="s">
        <v>4214</v>
      </c>
      <c r="C2056" s="13" t="s">
        <v>4215</v>
      </c>
      <c r="D2056" s="13" t="s">
        <v>53</v>
      </c>
      <c r="E2056" s="12" t="s">
        <v>50</v>
      </c>
      <c r="F2056" s="13"/>
      <c r="G2056" s="14">
        <v>36200</v>
      </c>
      <c r="H2056" s="13" t="s">
        <v>31847</v>
      </c>
      <c r="I2056" s="40" t="s">
        <v>18</v>
      </c>
      <c r="J2056" s="40" t="str">
        <f>HYPERLINK("https://stock.pstatic.net/stock-research/company/40/20260611_company_968090000.pdf","PDF")</f>
        <v>PDF</v>
      </c>
      <c r="K2056" s="12" t="s">
        <v>31848</v>
      </c>
      <c r="L2056" s="12"/>
    </row>
    <row r="2057" spans="1:12" x14ac:dyDescent="0.45">
      <c r="A2057" s="12" t="s">
        <v>31831</v>
      </c>
      <c r="B2057" s="12" t="s">
        <v>3164</v>
      </c>
      <c r="C2057" s="13" t="s">
        <v>3165</v>
      </c>
      <c r="D2057" s="13" t="s">
        <v>53</v>
      </c>
      <c r="E2057" s="12" t="s">
        <v>16</v>
      </c>
      <c r="F2057" s="14">
        <v>260000</v>
      </c>
      <c r="G2057" s="14">
        <v>122300</v>
      </c>
      <c r="H2057" s="13" t="s">
        <v>31849</v>
      </c>
      <c r="I2057" s="40" t="s">
        <v>18</v>
      </c>
      <c r="J2057" s="40" t="str">
        <f>HYPERLINK("https://stock.pstatic.net/stock-research/company/40/20260610_company_104104000.pdf","PDF")</f>
        <v>PDF</v>
      </c>
      <c r="K2057" s="12" t="s">
        <v>31850</v>
      </c>
      <c r="L2057" s="36">
        <v>1.1259198691741621</v>
      </c>
    </row>
    <row r="2058" spans="1:12" x14ac:dyDescent="0.45">
      <c r="A2058" s="12" t="s">
        <v>31831</v>
      </c>
      <c r="B2058" s="12" t="s">
        <v>2982</v>
      </c>
      <c r="C2058" s="13" t="s">
        <v>2983</v>
      </c>
      <c r="D2058" s="13" t="s">
        <v>92</v>
      </c>
      <c r="E2058" s="12" t="s">
        <v>35</v>
      </c>
      <c r="F2058" s="14">
        <v>144000</v>
      </c>
      <c r="G2058" s="14">
        <v>69600</v>
      </c>
      <c r="H2058" s="13" t="s">
        <v>31851</v>
      </c>
      <c r="I2058" s="40" t="s">
        <v>18</v>
      </c>
      <c r="J2058" s="40" t="str">
        <f>HYPERLINK("https://stock.pstatic.net/stock-research/company/63/20260610_company_339406000.pdf","PDF")</f>
        <v>PDF</v>
      </c>
      <c r="K2058" s="12" t="s">
        <v>31852</v>
      </c>
      <c r="L2058" s="36">
        <v>1.068965517241379</v>
      </c>
    </row>
    <row r="2059" spans="1:12" x14ac:dyDescent="0.45">
      <c r="A2059" s="12" t="s">
        <v>31831</v>
      </c>
      <c r="B2059" s="12" t="s">
        <v>868</v>
      </c>
      <c r="C2059" s="13" t="s">
        <v>869</v>
      </c>
      <c r="D2059" s="13" t="s">
        <v>34</v>
      </c>
      <c r="E2059" s="12" t="s">
        <v>35</v>
      </c>
      <c r="F2059" s="14">
        <v>70000</v>
      </c>
      <c r="G2059" s="14">
        <v>33300</v>
      </c>
      <c r="H2059" s="13" t="s">
        <v>31853</v>
      </c>
      <c r="I2059" s="40" t="s">
        <v>18</v>
      </c>
      <c r="J2059" s="40" t="str">
        <f>HYPERLINK("https://stock.pstatic.net/stock-research/company/61/20260610_company_298018000.pdf","PDF")</f>
        <v>PDF</v>
      </c>
      <c r="K2059" s="12" t="s">
        <v>31854</v>
      </c>
      <c r="L2059" s="36">
        <v>1.102102102102102</v>
      </c>
    </row>
    <row r="2060" spans="1:12" x14ac:dyDescent="0.45">
      <c r="A2060" s="12" t="s">
        <v>31831</v>
      </c>
      <c r="B2060" s="12" t="s">
        <v>27</v>
      </c>
      <c r="C2060" s="13" t="s">
        <v>28</v>
      </c>
      <c r="D2060" s="13" t="s">
        <v>44</v>
      </c>
      <c r="E2060" s="12" t="s">
        <v>35</v>
      </c>
      <c r="F2060" s="14">
        <v>230000</v>
      </c>
      <c r="G2060" s="14">
        <v>181900</v>
      </c>
      <c r="H2060" s="13" t="s">
        <v>31855</v>
      </c>
      <c r="I2060" s="40" t="s">
        <v>18</v>
      </c>
      <c r="J2060" s="40" t="str">
        <f>HYPERLINK("https://stock.pstatic.net/stock-research/company/39/20260610_company_741046000.pdf","PDF")</f>
        <v>PDF</v>
      </c>
      <c r="K2060" s="12" t="s">
        <v>31856</v>
      </c>
      <c r="L2060" s="36">
        <v>0.2644310060472787</v>
      </c>
    </row>
    <row r="2061" spans="1:12" x14ac:dyDescent="0.45">
      <c r="A2061" s="12" t="s">
        <v>31831</v>
      </c>
      <c r="B2061" s="12" t="s">
        <v>132</v>
      </c>
      <c r="C2061" s="13" t="s">
        <v>133</v>
      </c>
      <c r="D2061" s="13" t="s">
        <v>44</v>
      </c>
      <c r="E2061" s="12" t="s">
        <v>35</v>
      </c>
      <c r="F2061" s="14">
        <v>220000</v>
      </c>
      <c r="G2061" s="14">
        <v>166800</v>
      </c>
      <c r="H2061" s="13" t="s">
        <v>31857</v>
      </c>
      <c r="I2061" s="40" t="s">
        <v>18</v>
      </c>
      <c r="J2061" s="40" t="str">
        <f>HYPERLINK("https://stock.pstatic.net/stock-research/company/39/20260610_company_828235000.pdf","PDF")</f>
        <v>PDF</v>
      </c>
      <c r="K2061" s="12" t="s">
        <v>31858</v>
      </c>
      <c r="L2061" s="36">
        <v>0.31894484412470031</v>
      </c>
    </row>
    <row r="2062" spans="1:12" x14ac:dyDescent="0.45">
      <c r="A2062" s="12" t="s">
        <v>31831</v>
      </c>
      <c r="B2062" s="12" t="s">
        <v>95</v>
      </c>
      <c r="C2062" s="13" t="s">
        <v>31</v>
      </c>
      <c r="D2062" s="13" t="s">
        <v>44</v>
      </c>
      <c r="E2062" s="12" t="s">
        <v>35</v>
      </c>
      <c r="F2062" s="14">
        <v>67000</v>
      </c>
      <c r="G2062" s="14">
        <v>46450</v>
      </c>
      <c r="H2062" s="13" t="s">
        <v>31859</v>
      </c>
      <c r="I2062" s="40" t="s">
        <v>18</v>
      </c>
      <c r="J2062" s="40" t="str">
        <f>HYPERLINK("https://stock.pstatic.net/stock-research/company/39/20260610_company_161013000.pdf","PDF")</f>
        <v>PDF</v>
      </c>
      <c r="K2062" s="12" t="s">
        <v>31860</v>
      </c>
      <c r="L2062" s="36">
        <v>0.44241119483315389</v>
      </c>
    </row>
    <row r="2063" spans="1:12" x14ac:dyDescent="0.45">
      <c r="A2063" s="12" t="s">
        <v>31831</v>
      </c>
      <c r="B2063" s="12" t="s">
        <v>1656</v>
      </c>
      <c r="C2063" s="13" t="s">
        <v>1657</v>
      </c>
      <c r="D2063" s="13" t="s">
        <v>44</v>
      </c>
      <c r="E2063" s="12" t="s">
        <v>35</v>
      </c>
      <c r="F2063" s="14">
        <v>850000</v>
      </c>
      <c r="G2063" s="14">
        <v>624000</v>
      </c>
      <c r="H2063" s="13" t="s">
        <v>31861</v>
      </c>
      <c r="I2063" s="40" t="s">
        <v>18</v>
      </c>
      <c r="J2063" s="40" t="str">
        <f>HYPERLINK("https://stock.pstatic.net/stock-research/company/39/20260610_company_873014000.pdf","PDF")</f>
        <v>PDF</v>
      </c>
      <c r="K2063" s="12" t="s">
        <v>31862</v>
      </c>
      <c r="L2063" s="36">
        <v>0.36217948717948723</v>
      </c>
    </row>
    <row r="2064" spans="1:12" x14ac:dyDescent="0.45">
      <c r="A2064" s="12" t="s">
        <v>31831</v>
      </c>
      <c r="B2064" s="12" t="s">
        <v>6347</v>
      </c>
      <c r="C2064" s="13" t="s">
        <v>6348</v>
      </c>
      <c r="D2064" s="13" t="s">
        <v>124</v>
      </c>
      <c r="E2064" s="12" t="s">
        <v>50</v>
      </c>
      <c r="F2064" s="13"/>
      <c r="G2064" s="13"/>
      <c r="H2064" s="13" t="s">
        <v>31863</v>
      </c>
      <c r="I2064" s="40" t="s">
        <v>18</v>
      </c>
      <c r="J2064" s="40" t="str">
        <f>HYPERLINK("https://stock.pstatic.net/stock-research/company/74/20260610_company_787394000.pdf","PDF")</f>
        <v>PDF</v>
      </c>
      <c r="K2064" s="12" t="s">
        <v>31864</v>
      </c>
      <c r="L2064" s="12"/>
    </row>
    <row r="2065" spans="1:12" x14ac:dyDescent="0.45">
      <c r="A2065" s="12" t="s">
        <v>31831</v>
      </c>
      <c r="B2065" s="12" t="s">
        <v>31865</v>
      </c>
      <c r="C2065" s="13" t="s">
        <v>31866</v>
      </c>
      <c r="D2065" s="13" t="s">
        <v>124</v>
      </c>
      <c r="E2065" s="12" t="s">
        <v>50</v>
      </c>
      <c r="F2065" s="13"/>
      <c r="G2065" s="13"/>
      <c r="H2065" s="13" t="s">
        <v>31867</v>
      </c>
      <c r="I2065" s="40" t="s">
        <v>18</v>
      </c>
      <c r="J2065" s="40" t="str">
        <f>HYPERLINK("https://stock.pstatic.net/stock-research/company/74/20260610_company_704433000.pdf","PDF")</f>
        <v>PDF</v>
      </c>
      <c r="K2065" s="12" t="s">
        <v>31868</v>
      </c>
      <c r="L2065" s="12"/>
    </row>
    <row r="2066" spans="1:12" x14ac:dyDescent="0.45">
      <c r="A2066" s="12" t="s">
        <v>31831</v>
      </c>
      <c r="B2066" s="12" t="s">
        <v>4133</v>
      </c>
      <c r="C2066" s="13" t="s">
        <v>4134</v>
      </c>
      <c r="D2066" s="13" t="s">
        <v>15</v>
      </c>
      <c r="E2066" s="12" t="s">
        <v>50</v>
      </c>
      <c r="F2066" s="13"/>
      <c r="G2066" s="14">
        <v>4780</v>
      </c>
      <c r="H2066" s="13" t="s">
        <v>31869</v>
      </c>
      <c r="I2066" s="40" t="s">
        <v>18</v>
      </c>
      <c r="J2066" s="40" t="str">
        <f>HYPERLINK("https://stock.pstatic.net/stock-research/company/56/20260610_company_70348000.pdf","PDF")</f>
        <v>PDF</v>
      </c>
      <c r="K2066" s="12" t="s">
        <v>31870</v>
      </c>
      <c r="L2066" s="12"/>
    </row>
    <row r="2067" spans="1:12" x14ac:dyDescent="0.45">
      <c r="A2067" s="12" t="s">
        <v>31831</v>
      </c>
      <c r="B2067" s="12" t="s">
        <v>10884</v>
      </c>
      <c r="C2067" s="13" t="s">
        <v>10885</v>
      </c>
      <c r="D2067" s="13" t="s">
        <v>15</v>
      </c>
      <c r="E2067" s="12" t="s">
        <v>50</v>
      </c>
      <c r="F2067" s="13"/>
      <c r="G2067" s="14">
        <v>5000</v>
      </c>
      <c r="H2067" s="13" t="s">
        <v>31871</v>
      </c>
      <c r="I2067" s="40" t="s">
        <v>18</v>
      </c>
      <c r="J2067" s="40" t="str">
        <f>HYPERLINK("https://stock.pstatic.net/stock-research/company/56/20260610_company_335911000.pdf","PDF")</f>
        <v>PDF</v>
      </c>
      <c r="K2067" s="12" t="s">
        <v>31872</v>
      </c>
      <c r="L2067" s="12"/>
    </row>
    <row r="2068" spans="1:12" x14ac:dyDescent="0.45">
      <c r="A2068" s="12" t="s">
        <v>31831</v>
      </c>
      <c r="B2068" s="12" t="s">
        <v>10997</v>
      </c>
      <c r="C2068" s="13" t="s">
        <v>10998</v>
      </c>
      <c r="D2068" s="13" t="s">
        <v>15</v>
      </c>
      <c r="E2068" s="12" t="s">
        <v>50</v>
      </c>
      <c r="F2068" s="13"/>
      <c r="G2068" s="14">
        <v>12550</v>
      </c>
      <c r="H2068" s="13" t="s">
        <v>31873</v>
      </c>
      <c r="I2068" s="40" t="s">
        <v>18</v>
      </c>
      <c r="J2068" s="40" t="str">
        <f>HYPERLINK("https://stock.pstatic.net/stock-research/company/56/20260610_company_949909000.pdf","PDF")</f>
        <v>PDF</v>
      </c>
      <c r="K2068" s="12" t="s">
        <v>31874</v>
      </c>
      <c r="L2068" s="12"/>
    </row>
    <row r="2069" spans="1:12" x14ac:dyDescent="0.45">
      <c r="A2069" s="12" t="s">
        <v>12</v>
      </c>
      <c r="B2069" s="12" t="s">
        <v>1656</v>
      </c>
      <c r="C2069" s="13" t="s">
        <v>1657</v>
      </c>
      <c r="D2069" s="13" t="s">
        <v>57</v>
      </c>
      <c r="E2069" s="12" t="s">
        <v>35</v>
      </c>
      <c r="F2069" s="14">
        <v>770000</v>
      </c>
      <c r="G2069" s="14">
        <v>572000</v>
      </c>
      <c r="H2069" s="13" t="s">
        <v>31875</v>
      </c>
      <c r="I2069" s="40" t="s">
        <v>18</v>
      </c>
      <c r="J2069" s="40" t="str">
        <f>HYPERLINK("https://stock.pstatic.net/stock-research/company/16/20260609_company_853814000.pdf","PDF")</f>
        <v>PDF</v>
      </c>
      <c r="K2069" s="12" t="s">
        <v>31876</v>
      </c>
      <c r="L2069" s="36">
        <v>0.34615384615384609</v>
      </c>
    </row>
    <row r="2070" spans="1:12" x14ac:dyDescent="0.45">
      <c r="A2070" s="12" t="s">
        <v>12</v>
      </c>
      <c r="B2070" s="12" t="s">
        <v>31877</v>
      </c>
      <c r="C2070" s="13" t="s">
        <v>31878</v>
      </c>
      <c r="D2070" s="13" t="s">
        <v>15</v>
      </c>
      <c r="E2070" s="12" t="s">
        <v>50</v>
      </c>
      <c r="F2070" s="13"/>
      <c r="G2070" s="14">
        <v>13700</v>
      </c>
      <c r="H2070" s="13" t="s">
        <v>31879</v>
      </c>
      <c r="I2070" s="40" t="s">
        <v>18</v>
      </c>
      <c r="J2070" s="40" t="str">
        <f>HYPERLINK("https://stock.pstatic.net/stock-research/company/56/20260609_company_257800000.pdf","PDF")</f>
        <v>PDF</v>
      </c>
      <c r="K2070" s="12" t="s">
        <v>31880</v>
      </c>
      <c r="L2070" s="12"/>
    </row>
    <row r="2071" spans="1:12" x14ac:dyDescent="0.45">
      <c r="A2071" s="12" t="s">
        <v>12</v>
      </c>
      <c r="B2071" s="12" t="s">
        <v>42</v>
      </c>
      <c r="C2071" s="13" t="s">
        <v>43</v>
      </c>
      <c r="D2071" s="13" t="s">
        <v>276</v>
      </c>
      <c r="E2071" s="12" t="s">
        <v>16</v>
      </c>
      <c r="F2071" s="14">
        <v>450000</v>
      </c>
      <c r="G2071" s="14">
        <v>279000</v>
      </c>
      <c r="H2071" s="13" t="s">
        <v>31881</v>
      </c>
      <c r="I2071" s="40" t="s">
        <v>18</v>
      </c>
      <c r="J2071" s="40" t="str">
        <f>HYPERLINK("https://stock.pstatic.net/stock-research/company/66/20260609_company_532859000.pdf","PDF")</f>
        <v>PDF</v>
      </c>
      <c r="K2071" s="12" t="s">
        <v>31882</v>
      </c>
      <c r="L2071" s="36">
        <v>0.61290322580645162</v>
      </c>
    </row>
    <row r="2072" spans="1:12" x14ac:dyDescent="0.45">
      <c r="A2072" s="12" t="s">
        <v>12</v>
      </c>
      <c r="B2072" s="12" t="s">
        <v>42</v>
      </c>
      <c r="C2072" s="13" t="s">
        <v>43</v>
      </c>
      <c r="D2072" s="13" t="s">
        <v>60</v>
      </c>
      <c r="E2072" s="12" t="s">
        <v>35</v>
      </c>
      <c r="F2072" s="14">
        <v>390000</v>
      </c>
      <c r="G2072" s="14">
        <v>279000</v>
      </c>
      <c r="H2072" s="13" t="s">
        <v>31883</v>
      </c>
      <c r="I2072" s="40" t="s">
        <v>18</v>
      </c>
      <c r="J2072" s="40" t="str">
        <f>HYPERLINK("https://stock.pstatic.net/stock-research/company/62/20260609_company_657957000.pdf","PDF")</f>
        <v>PDF</v>
      </c>
      <c r="K2072" s="12" t="s">
        <v>31884</v>
      </c>
      <c r="L2072" s="36">
        <v>0.39784946236559138</v>
      </c>
    </row>
    <row r="2073" spans="1:12" x14ac:dyDescent="0.45">
      <c r="A2073" s="12" t="s">
        <v>12</v>
      </c>
      <c r="B2073" s="12" t="s">
        <v>27</v>
      </c>
      <c r="C2073" s="13" t="s">
        <v>28</v>
      </c>
      <c r="D2073" s="13" t="s">
        <v>83</v>
      </c>
      <c r="E2073" s="12" t="s">
        <v>35</v>
      </c>
      <c r="F2073" s="14">
        <v>200000</v>
      </c>
      <c r="G2073" s="14">
        <v>173000</v>
      </c>
      <c r="H2073" s="13" t="s">
        <v>31885</v>
      </c>
      <c r="I2073" s="40" t="s">
        <v>18</v>
      </c>
      <c r="J2073" s="40" t="str">
        <f>HYPERLINK("https://stock.pstatic.net/stock-research/company/15/20260609_company_214808000.pdf","PDF")</f>
        <v>PDF</v>
      </c>
      <c r="K2073" s="12" t="s">
        <v>31886</v>
      </c>
      <c r="L2073" s="36">
        <v>0.15606936416184969</v>
      </c>
    </row>
    <row r="2074" spans="1:12" x14ac:dyDescent="0.45">
      <c r="A2074" s="12" t="s">
        <v>12</v>
      </c>
      <c r="B2074" s="12" t="s">
        <v>804</v>
      </c>
      <c r="C2074" s="13" t="s">
        <v>805</v>
      </c>
      <c r="D2074" s="13" t="s">
        <v>83</v>
      </c>
      <c r="E2074" s="12" t="s">
        <v>50</v>
      </c>
      <c r="F2074" s="13"/>
      <c r="G2074" s="14">
        <v>41700</v>
      </c>
      <c r="H2074" s="13" t="s">
        <v>31887</v>
      </c>
      <c r="I2074" s="40" t="s">
        <v>18</v>
      </c>
      <c r="J2074" s="40" t="str">
        <f>HYPERLINK("https://stock.pstatic.net/stock-research/company/15/20260609_company_944577000.pdf","PDF")</f>
        <v>PDF</v>
      </c>
      <c r="K2074" s="12" t="s">
        <v>31888</v>
      </c>
      <c r="L2074" s="12"/>
    </row>
    <row r="2075" spans="1:12" x14ac:dyDescent="0.45">
      <c r="A2075" s="12" t="s">
        <v>12</v>
      </c>
      <c r="B2075" s="12" t="s">
        <v>2712</v>
      </c>
      <c r="C2075" s="13" t="s">
        <v>2713</v>
      </c>
      <c r="D2075" s="13" t="s">
        <v>65</v>
      </c>
      <c r="E2075" s="12" t="s">
        <v>35</v>
      </c>
      <c r="F2075" s="14">
        <v>150000</v>
      </c>
      <c r="G2075" s="14">
        <v>68000</v>
      </c>
      <c r="H2075" s="13" t="s">
        <v>31889</v>
      </c>
      <c r="I2075" s="40" t="s">
        <v>18</v>
      </c>
      <c r="J2075" s="40" t="str">
        <f>HYPERLINK("https://stock.pstatic.net/stock-research/company/57/20260609_company_166114000.pdf","PDF")</f>
        <v>PDF</v>
      </c>
      <c r="K2075" s="12" t="s">
        <v>31890</v>
      </c>
      <c r="L2075" s="36">
        <v>1.205882352941176</v>
      </c>
    </row>
    <row r="2076" spans="1:12" x14ac:dyDescent="0.45">
      <c r="A2076" s="12" t="s">
        <v>12</v>
      </c>
      <c r="B2076" s="12" t="s">
        <v>128</v>
      </c>
      <c r="C2076" s="13" t="s">
        <v>129</v>
      </c>
      <c r="D2076" s="13" t="s">
        <v>65</v>
      </c>
      <c r="E2076" s="12" t="s">
        <v>35</v>
      </c>
      <c r="F2076" s="14">
        <v>150000</v>
      </c>
      <c r="G2076" s="14">
        <v>75700</v>
      </c>
      <c r="H2076" s="13" t="s">
        <v>31891</v>
      </c>
      <c r="I2076" s="40" t="s">
        <v>18</v>
      </c>
      <c r="J2076" s="40" t="str">
        <f>HYPERLINK("https://stock.pstatic.net/stock-research/company/57/20260609_company_92545000.pdf","PDF")</f>
        <v>PDF</v>
      </c>
      <c r="K2076" s="12" t="s">
        <v>31892</v>
      </c>
      <c r="L2076" s="36">
        <v>0.98150594451783357</v>
      </c>
    </row>
    <row r="2077" spans="1:12" x14ac:dyDescent="0.45">
      <c r="A2077" s="12" t="s">
        <v>12</v>
      </c>
      <c r="B2077" s="12" t="s">
        <v>42</v>
      </c>
      <c r="C2077" s="13" t="s">
        <v>43</v>
      </c>
      <c r="D2077" s="13" t="s">
        <v>65</v>
      </c>
      <c r="E2077" s="12" t="s">
        <v>35</v>
      </c>
      <c r="F2077" s="14">
        <v>400000</v>
      </c>
      <c r="G2077" s="14">
        <v>279000</v>
      </c>
      <c r="H2077" s="13" t="s">
        <v>31893</v>
      </c>
      <c r="I2077" s="40" t="s">
        <v>18</v>
      </c>
      <c r="J2077" s="40" t="str">
        <f>HYPERLINK("https://stock.pstatic.net/stock-research/company/57/20260609_company_871432000.pdf","PDF")</f>
        <v>PDF</v>
      </c>
      <c r="K2077" s="12" t="s">
        <v>31894</v>
      </c>
      <c r="L2077" s="36">
        <v>0.43369175627240142</v>
      </c>
    </row>
    <row r="2078" spans="1:12" x14ac:dyDescent="0.45">
      <c r="A2078" s="12" t="s">
        <v>12</v>
      </c>
      <c r="B2078" s="12" t="s">
        <v>334</v>
      </c>
      <c r="C2078" s="13" t="s">
        <v>335</v>
      </c>
      <c r="D2078" s="13" t="s">
        <v>15</v>
      </c>
      <c r="E2078" s="12" t="s">
        <v>16</v>
      </c>
      <c r="F2078" s="14">
        <v>3800000</v>
      </c>
      <c r="G2078" s="14">
        <v>1911000</v>
      </c>
      <c r="H2078" s="13" t="s">
        <v>31895</v>
      </c>
      <c r="I2078" s="40" t="s">
        <v>18</v>
      </c>
      <c r="J2078" s="40" t="str">
        <f>HYPERLINK("https://stock.pstatic.net/stock-research/company/56/20260609_company_677883000.pdf","PDF")</f>
        <v>PDF</v>
      </c>
      <c r="K2078" s="12" t="s">
        <v>31896</v>
      </c>
      <c r="L2078" s="36">
        <v>0.98848770277341702</v>
      </c>
    </row>
    <row r="2079" spans="1:12" x14ac:dyDescent="0.45">
      <c r="A2079" s="12" t="s">
        <v>12</v>
      </c>
      <c r="B2079" s="12" t="s">
        <v>13</v>
      </c>
      <c r="C2079" s="13" t="s">
        <v>14</v>
      </c>
      <c r="D2079" s="13" t="s">
        <v>15</v>
      </c>
      <c r="E2079" s="12" t="s">
        <v>16</v>
      </c>
      <c r="F2079" s="14">
        <v>550000</v>
      </c>
      <c r="G2079" s="14">
        <v>295500</v>
      </c>
      <c r="H2079" s="13" t="s">
        <v>17</v>
      </c>
      <c r="I2079" s="40" t="s">
        <v>18</v>
      </c>
      <c r="J2079" s="40" t="str">
        <f>HYPERLINK("https://stock.pstatic.net/stock-research/company/56/20260609_company_699328000.pdf","PDF")</f>
        <v>PDF</v>
      </c>
      <c r="K2079" s="12" t="s">
        <v>19</v>
      </c>
      <c r="L2079" s="36">
        <v>0.86125211505922161</v>
      </c>
    </row>
    <row r="2080" spans="1:12" x14ac:dyDescent="0.45">
      <c r="A2080" s="12" t="s">
        <v>12</v>
      </c>
      <c r="B2080" s="12" t="s">
        <v>21</v>
      </c>
      <c r="C2080" s="13" t="s">
        <v>22</v>
      </c>
      <c r="D2080" s="13" t="s">
        <v>23</v>
      </c>
      <c r="E2080" s="12" t="s">
        <v>16</v>
      </c>
      <c r="F2080" s="14">
        <v>45000</v>
      </c>
      <c r="G2080" s="14">
        <v>34200</v>
      </c>
      <c r="H2080" s="13" t="s">
        <v>24</v>
      </c>
      <c r="I2080" s="40" t="s">
        <v>18</v>
      </c>
      <c r="J2080" s="40" t="str">
        <f>HYPERLINK("https://stock.pstatic.net/stock-research/company/21/20260609_company_467025000.pdf","PDF")</f>
        <v>PDF</v>
      </c>
      <c r="K2080" s="12" t="s">
        <v>25</v>
      </c>
      <c r="L2080" s="36">
        <v>0.31578947368421051</v>
      </c>
    </row>
    <row r="2081" spans="1:12" x14ac:dyDescent="0.45">
      <c r="A2081" s="12" t="s">
        <v>12</v>
      </c>
      <c r="B2081" s="12" t="s">
        <v>27</v>
      </c>
      <c r="C2081" s="13" t="s">
        <v>28</v>
      </c>
      <c r="D2081" s="13" t="s">
        <v>23</v>
      </c>
      <c r="E2081" s="12" t="s">
        <v>16</v>
      </c>
      <c r="F2081" s="14">
        <v>200000</v>
      </c>
      <c r="G2081" s="14">
        <v>167600</v>
      </c>
      <c r="H2081" s="13" t="s">
        <v>29</v>
      </c>
      <c r="I2081" s="40" t="s">
        <v>18</v>
      </c>
      <c r="J2081" s="40" t="str">
        <f>HYPERLINK("https://stock.pstatic.net/stock-research/company/21/20260609_company_585901000.pdf","PDF")</f>
        <v>PDF</v>
      </c>
      <c r="K2081" s="12" t="s">
        <v>30</v>
      </c>
      <c r="L2081" s="36">
        <v>0.1933174224343675</v>
      </c>
    </row>
    <row r="2082" spans="1:12" x14ac:dyDescent="0.45">
      <c r="A2082" s="12" t="s">
        <v>12</v>
      </c>
      <c r="B2082" s="12" t="s">
        <v>32</v>
      </c>
      <c r="C2082" s="13" t="s">
        <v>33</v>
      </c>
      <c r="D2082" s="13" t="s">
        <v>34</v>
      </c>
      <c r="E2082" s="12" t="s">
        <v>35</v>
      </c>
      <c r="F2082" s="14">
        <v>2300000</v>
      </c>
      <c r="G2082" s="14">
        <v>1664000</v>
      </c>
      <c r="H2082" s="13" t="s">
        <v>36</v>
      </c>
      <c r="I2082" s="40" t="s">
        <v>18</v>
      </c>
      <c r="J2082" s="40" t="str">
        <f>HYPERLINK("https://stock.pstatic.net/stock-research/company/61/20260609_company_537152000.pdf","PDF")</f>
        <v>PDF</v>
      </c>
      <c r="K2082" s="12" t="s">
        <v>37</v>
      </c>
      <c r="L2082" s="36">
        <v>0.38221153846153838</v>
      </c>
    </row>
    <row r="2083" spans="1:12" x14ac:dyDescent="0.45">
      <c r="A2083" s="12" t="s">
        <v>12</v>
      </c>
      <c r="B2083" s="12" t="s">
        <v>38</v>
      </c>
      <c r="C2083" s="13" t="s">
        <v>39</v>
      </c>
      <c r="D2083" s="13" t="s">
        <v>34</v>
      </c>
      <c r="E2083" s="12" t="s">
        <v>35</v>
      </c>
      <c r="F2083" s="14">
        <v>334000</v>
      </c>
      <c r="G2083" s="14">
        <v>247500</v>
      </c>
      <c r="H2083" s="13" t="s">
        <v>40</v>
      </c>
      <c r="I2083" s="40" t="s">
        <v>18</v>
      </c>
      <c r="J2083" s="40" t="str">
        <f>HYPERLINK("https://stock.pstatic.net/stock-research/company/61/20260609_company_240760000.pdf","PDF")</f>
        <v>PDF</v>
      </c>
      <c r="K2083" s="12" t="s">
        <v>41</v>
      </c>
      <c r="L2083" s="36">
        <v>0.34949494949494953</v>
      </c>
    </row>
    <row r="2084" spans="1:12" x14ac:dyDescent="0.45">
      <c r="A2084" s="12" t="s">
        <v>12</v>
      </c>
      <c r="B2084" s="12" t="s">
        <v>42</v>
      </c>
      <c r="C2084" s="13" t="s">
        <v>43</v>
      </c>
      <c r="D2084" s="13" t="s">
        <v>44</v>
      </c>
      <c r="E2084" s="12" t="s">
        <v>45</v>
      </c>
      <c r="F2084" s="14">
        <v>320000</v>
      </c>
      <c r="G2084" s="14">
        <v>279000</v>
      </c>
      <c r="H2084" s="13" t="s">
        <v>46</v>
      </c>
      <c r="I2084" s="40" t="s">
        <v>18</v>
      </c>
      <c r="J2084" s="40" t="str">
        <f>HYPERLINK("https://stock.pstatic.net/stock-research/company/39/20260609_company_479087000.pdf","PDF")</f>
        <v>PDF</v>
      </c>
      <c r="K2084" s="12" t="s">
        <v>47</v>
      </c>
      <c r="L2084" s="36">
        <v>0.14695340501792109</v>
      </c>
    </row>
    <row r="2085" spans="1:12" x14ac:dyDescent="0.45">
      <c r="A2085" s="12" t="s">
        <v>12</v>
      </c>
      <c r="B2085" s="12" t="s">
        <v>48</v>
      </c>
      <c r="C2085" s="13" t="s">
        <v>49</v>
      </c>
      <c r="D2085" s="13" t="s">
        <v>44</v>
      </c>
      <c r="E2085" s="12" t="s">
        <v>50</v>
      </c>
      <c r="F2085" s="13"/>
      <c r="G2085" s="14">
        <v>8350</v>
      </c>
      <c r="H2085" s="13" t="s">
        <v>51</v>
      </c>
      <c r="I2085" s="40" t="s">
        <v>18</v>
      </c>
      <c r="J2085" s="40" t="str">
        <f>HYPERLINK("https://stock.pstatic.net/stock-research/company/39/20260609_company_840586000.pdf","PDF")</f>
        <v>PDF</v>
      </c>
      <c r="K2085" s="12" t="s">
        <v>52</v>
      </c>
      <c r="L2085" s="12"/>
    </row>
    <row r="2086" spans="1:12" x14ac:dyDescent="0.45">
      <c r="A2086" s="12" t="s">
        <v>12</v>
      </c>
      <c r="B2086" s="12" t="s">
        <v>42</v>
      </c>
      <c r="C2086" s="13" t="s">
        <v>43</v>
      </c>
      <c r="D2086" s="13" t="s">
        <v>53</v>
      </c>
      <c r="E2086" s="12" t="s">
        <v>16</v>
      </c>
      <c r="F2086" s="14">
        <v>320000</v>
      </c>
      <c r="G2086" s="14">
        <v>279000</v>
      </c>
      <c r="H2086" s="13" t="s">
        <v>54</v>
      </c>
      <c r="I2086" s="40" t="s">
        <v>18</v>
      </c>
      <c r="J2086" s="40" t="str">
        <f>HYPERLINK("https://stock.pstatic.net/stock-research/company/40/20260609_company_96168000.pdf","PDF")</f>
        <v>PDF</v>
      </c>
      <c r="K2086" s="12" t="s">
        <v>55</v>
      </c>
      <c r="L2086" s="36">
        <v>0.14695340501792109</v>
      </c>
    </row>
    <row r="2087" spans="1:12" x14ac:dyDescent="0.45">
      <c r="A2087" s="12" t="s">
        <v>56</v>
      </c>
      <c r="B2087" s="12" t="s">
        <v>42</v>
      </c>
      <c r="C2087" s="13" t="s">
        <v>43</v>
      </c>
      <c r="D2087" s="13" t="s">
        <v>57</v>
      </c>
      <c r="E2087" s="12" t="s">
        <v>35</v>
      </c>
      <c r="F2087" s="14">
        <v>300000</v>
      </c>
      <c r="G2087" s="14">
        <v>255500</v>
      </c>
      <c r="H2087" s="13" t="s">
        <v>58</v>
      </c>
      <c r="I2087" s="40" t="s">
        <v>18</v>
      </c>
      <c r="J2087" s="40" t="str">
        <f>HYPERLINK("https://stock.pstatic.net/stock-research/company/16/20260608_company_172879000.pdf","PDF")</f>
        <v>PDF</v>
      </c>
      <c r="K2087" s="12" t="s">
        <v>59</v>
      </c>
      <c r="L2087" s="36">
        <v>0.17416829745596871</v>
      </c>
    </row>
    <row r="2088" spans="1:12" x14ac:dyDescent="0.45">
      <c r="A2088" s="12" t="s">
        <v>56</v>
      </c>
      <c r="B2088" s="12" t="s">
        <v>27</v>
      </c>
      <c r="C2088" s="13" t="s">
        <v>28</v>
      </c>
      <c r="D2088" s="13" t="s">
        <v>60</v>
      </c>
      <c r="E2088" s="12" t="s">
        <v>35</v>
      </c>
      <c r="F2088" s="14">
        <v>200000</v>
      </c>
      <c r="G2088" s="14">
        <v>173000</v>
      </c>
      <c r="H2088" s="13" t="s">
        <v>61</v>
      </c>
      <c r="I2088" s="40" t="s">
        <v>18</v>
      </c>
      <c r="J2088" s="40" t="str">
        <f>HYPERLINK("https://stock.pstatic.net/stock-research/company/62/20260608_company_972832000.pdf","PDF")</f>
        <v>PDF</v>
      </c>
      <c r="K2088" s="12" t="s">
        <v>62</v>
      </c>
      <c r="L2088" s="36">
        <v>0.15606936416184969</v>
      </c>
    </row>
    <row r="2089" spans="1:12" x14ac:dyDescent="0.45">
      <c r="A2089" s="12" t="s">
        <v>56</v>
      </c>
      <c r="B2089" s="12" t="s">
        <v>63</v>
      </c>
      <c r="C2089" s="13" t="s">
        <v>64</v>
      </c>
      <c r="D2089" s="13" t="s">
        <v>65</v>
      </c>
      <c r="E2089" s="12" t="s">
        <v>35</v>
      </c>
      <c r="F2089" s="14">
        <v>710000</v>
      </c>
      <c r="G2089" s="14">
        <v>494000</v>
      </c>
      <c r="H2089" s="13" t="s">
        <v>66</v>
      </c>
      <c r="I2089" s="40" t="s">
        <v>18</v>
      </c>
      <c r="J2089" s="40" t="str">
        <f>HYPERLINK("https://stock.pstatic.net/stock-research/company/57/20260608_company_632693000.pdf","PDF")</f>
        <v>PDF</v>
      </c>
      <c r="K2089" s="12" t="s">
        <v>67</v>
      </c>
      <c r="L2089" s="36">
        <v>0.43724696356275311</v>
      </c>
    </row>
    <row r="2090" spans="1:12" x14ac:dyDescent="0.45">
      <c r="A2090" s="12" t="s">
        <v>56</v>
      </c>
      <c r="B2090" s="12" t="s">
        <v>68</v>
      </c>
      <c r="C2090" s="13" t="s">
        <v>69</v>
      </c>
      <c r="D2090" s="13" t="s">
        <v>65</v>
      </c>
      <c r="E2090" s="12" t="s">
        <v>50</v>
      </c>
      <c r="F2090" s="13"/>
      <c r="G2090" s="14">
        <v>92300</v>
      </c>
      <c r="H2090" s="13" t="s">
        <v>70</v>
      </c>
      <c r="I2090" s="40" t="s">
        <v>18</v>
      </c>
      <c r="J2090" s="40" t="str">
        <f>HYPERLINK("https://stock.pstatic.net/stock-research/company/57/20260608_company_532792000.pdf","PDF")</f>
        <v>PDF</v>
      </c>
      <c r="K2090" s="12" t="s">
        <v>71</v>
      </c>
      <c r="L2090" s="12"/>
    </row>
    <row r="2091" spans="1:12" x14ac:dyDescent="0.45">
      <c r="A2091" s="12" t="s">
        <v>56</v>
      </c>
      <c r="B2091" s="12" t="s">
        <v>72</v>
      </c>
      <c r="C2091" s="13" t="s">
        <v>73</v>
      </c>
      <c r="D2091" s="13" t="s">
        <v>65</v>
      </c>
      <c r="E2091" s="12" t="s">
        <v>35</v>
      </c>
      <c r="F2091" s="14">
        <v>650000</v>
      </c>
      <c r="G2091" s="14">
        <v>460500</v>
      </c>
      <c r="H2091" s="13" t="s">
        <v>74</v>
      </c>
      <c r="I2091" s="40" t="s">
        <v>18</v>
      </c>
      <c r="J2091" s="40" t="str">
        <f>HYPERLINK("https://stock.pstatic.net/stock-research/company/57/20260608_company_868346000.pdf","PDF")</f>
        <v>PDF</v>
      </c>
      <c r="K2091" s="12" t="s">
        <v>75</v>
      </c>
      <c r="L2091" s="36">
        <v>0.41150922909880572</v>
      </c>
    </row>
    <row r="2092" spans="1:12" x14ac:dyDescent="0.45">
      <c r="A2092" s="12" t="s">
        <v>56</v>
      </c>
      <c r="B2092" s="12" t="s">
        <v>76</v>
      </c>
      <c r="C2092" s="13" t="s">
        <v>77</v>
      </c>
      <c r="D2092" s="13" t="s">
        <v>78</v>
      </c>
      <c r="E2092" s="12" t="s">
        <v>50</v>
      </c>
      <c r="F2092" s="13"/>
      <c r="G2092" s="13"/>
      <c r="H2092" s="13" t="s">
        <v>79</v>
      </c>
      <c r="I2092" s="40" t="s">
        <v>18</v>
      </c>
      <c r="J2092" s="12"/>
      <c r="K2092" s="12" t="s">
        <v>80</v>
      </c>
      <c r="L2092" s="12"/>
    </row>
    <row r="2093" spans="1:12" x14ac:dyDescent="0.45">
      <c r="A2093" s="12" t="s">
        <v>56</v>
      </c>
      <c r="B2093" s="12" t="s">
        <v>81</v>
      </c>
      <c r="C2093" s="13" t="s">
        <v>82</v>
      </c>
      <c r="D2093" s="13" t="s">
        <v>83</v>
      </c>
      <c r="E2093" s="12" t="s">
        <v>35</v>
      </c>
      <c r="F2093" s="14">
        <v>45000</v>
      </c>
      <c r="G2093" s="14">
        <v>31600</v>
      </c>
      <c r="H2093" s="13" t="s">
        <v>84</v>
      </c>
      <c r="I2093" s="40" t="s">
        <v>18</v>
      </c>
      <c r="J2093" s="40" t="str">
        <f>HYPERLINK("https://stock.pstatic.net/stock-research/company/15/20260608_company_86417000.pdf","PDF")</f>
        <v>PDF</v>
      </c>
      <c r="K2093" s="12" t="s">
        <v>85</v>
      </c>
      <c r="L2093" s="36">
        <v>0.42405063291139239</v>
      </c>
    </row>
    <row r="2094" spans="1:12" x14ac:dyDescent="0.45">
      <c r="A2094" s="12" t="s">
        <v>56</v>
      </c>
      <c r="B2094" s="12" t="s">
        <v>86</v>
      </c>
      <c r="C2094" s="13" t="s">
        <v>87</v>
      </c>
      <c r="D2094" s="13" t="s">
        <v>23</v>
      </c>
      <c r="E2094" s="12" t="s">
        <v>16</v>
      </c>
      <c r="F2094" s="14">
        <v>133000</v>
      </c>
      <c r="G2094" s="14">
        <v>107300</v>
      </c>
      <c r="H2094" s="13" t="s">
        <v>88</v>
      </c>
      <c r="I2094" s="40" t="s">
        <v>18</v>
      </c>
      <c r="J2094" s="40" t="str">
        <f>HYPERLINK("https://stock.pstatic.net/stock-research/company/21/20260608_company_710537000.pdf","PDF")</f>
        <v>PDF</v>
      </c>
      <c r="K2094" s="12" t="s">
        <v>89</v>
      </c>
      <c r="L2094" s="36">
        <v>0.23951537744641191</v>
      </c>
    </row>
    <row r="2095" spans="1:12" x14ac:dyDescent="0.45">
      <c r="A2095" s="12" t="s">
        <v>56</v>
      </c>
      <c r="B2095" s="12" t="s">
        <v>90</v>
      </c>
      <c r="C2095" s="13" t="s">
        <v>91</v>
      </c>
      <c r="D2095" s="13" t="s">
        <v>92</v>
      </c>
      <c r="E2095" s="12" t="s">
        <v>35</v>
      </c>
      <c r="F2095" s="14">
        <v>79000</v>
      </c>
      <c r="G2095" s="14">
        <v>67000</v>
      </c>
      <c r="H2095" s="13" t="s">
        <v>93</v>
      </c>
      <c r="I2095" s="40" t="s">
        <v>18</v>
      </c>
      <c r="J2095" s="40" t="str">
        <f>HYPERLINK("https://stock.pstatic.net/stock-research/company/63/20260608_company_533095000.pdf","PDF")</f>
        <v>PDF</v>
      </c>
      <c r="K2095" s="12" t="s">
        <v>94</v>
      </c>
      <c r="L2095" s="36">
        <v>0.17910447761194029</v>
      </c>
    </row>
    <row r="2096" spans="1:12" x14ac:dyDescent="0.45">
      <c r="A2096" s="12" t="s">
        <v>56</v>
      </c>
      <c r="B2096" s="12" t="s">
        <v>95</v>
      </c>
      <c r="C2096" s="13" t="s">
        <v>31</v>
      </c>
      <c r="D2096" s="13" t="s">
        <v>53</v>
      </c>
      <c r="E2096" s="12" t="s">
        <v>16</v>
      </c>
      <c r="F2096" s="14">
        <v>60000</v>
      </c>
      <c r="G2096" s="14">
        <v>48350</v>
      </c>
      <c r="H2096" s="13" t="s">
        <v>96</v>
      </c>
      <c r="I2096" s="40" t="s">
        <v>18</v>
      </c>
      <c r="J2096" s="40" t="str">
        <f>HYPERLINK("https://stock.pstatic.net/stock-research/company/40/20260608_company_392545000.pdf","PDF")</f>
        <v>PDF</v>
      </c>
      <c r="K2096" s="12" t="s">
        <v>97</v>
      </c>
      <c r="L2096" s="36">
        <v>0.24095139607032059</v>
      </c>
    </row>
    <row r="2097" spans="1:12" x14ac:dyDescent="0.45">
      <c r="A2097" s="12" t="s">
        <v>56</v>
      </c>
      <c r="B2097" s="12" t="s">
        <v>98</v>
      </c>
      <c r="C2097" s="13" t="s">
        <v>99</v>
      </c>
      <c r="D2097" s="13" t="s">
        <v>44</v>
      </c>
      <c r="E2097" s="12" t="s">
        <v>45</v>
      </c>
      <c r="F2097" s="14">
        <v>56000</v>
      </c>
      <c r="G2097" s="14">
        <v>49050</v>
      </c>
      <c r="H2097" s="13" t="s">
        <v>100</v>
      </c>
      <c r="I2097" s="40" t="s">
        <v>18</v>
      </c>
      <c r="J2097" s="40" t="str">
        <f>HYPERLINK("https://stock.pstatic.net/stock-research/company/39/20260608_company_804002000.pdf","PDF")</f>
        <v>PDF</v>
      </c>
      <c r="K2097" s="12" t="s">
        <v>101</v>
      </c>
      <c r="L2097" s="36">
        <v>0.14169215086646281</v>
      </c>
    </row>
    <row r="2098" spans="1:12" x14ac:dyDescent="0.45">
      <c r="A2098" s="12" t="s">
        <v>56</v>
      </c>
      <c r="B2098" s="12" t="s">
        <v>102</v>
      </c>
      <c r="C2098" s="13" t="s">
        <v>103</v>
      </c>
      <c r="D2098" s="13" t="s">
        <v>23</v>
      </c>
      <c r="E2098" s="12" t="s">
        <v>16</v>
      </c>
      <c r="F2098" s="14">
        <v>46000</v>
      </c>
      <c r="G2098" s="14">
        <v>28700</v>
      </c>
      <c r="H2098" s="13" t="s">
        <v>104</v>
      </c>
      <c r="I2098" s="40" t="s">
        <v>18</v>
      </c>
      <c r="J2098" s="40" t="str">
        <f>HYPERLINK("https://stock.pstatic.net/stock-research/company/21/20260608_company_150027000.pdf","PDF")</f>
        <v>PDF</v>
      </c>
      <c r="K2098" s="12" t="s">
        <v>105</v>
      </c>
      <c r="L2098" s="36">
        <v>0.60278745644599308</v>
      </c>
    </row>
    <row r="2099" spans="1:12" x14ac:dyDescent="0.45">
      <c r="A2099" s="12" t="s">
        <v>56</v>
      </c>
      <c r="B2099" s="12" t="s">
        <v>106</v>
      </c>
      <c r="C2099" s="13" t="s">
        <v>107</v>
      </c>
      <c r="D2099" s="13" t="s">
        <v>34</v>
      </c>
      <c r="E2099" s="12" t="s">
        <v>50</v>
      </c>
      <c r="F2099" s="13"/>
      <c r="G2099" s="14">
        <v>25400</v>
      </c>
      <c r="H2099" s="13" t="s">
        <v>108</v>
      </c>
      <c r="I2099" s="40" t="s">
        <v>18</v>
      </c>
      <c r="J2099" s="40" t="str">
        <f>HYPERLINK("https://stock.pstatic.net/stock-research/company/61/20260608_company_20839000.pdf","PDF")</f>
        <v>PDF</v>
      </c>
      <c r="K2099" s="12" t="s">
        <v>109</v>
      </c>
      <c r="L2099" s="12"/>
    </row>
    <row r="2100" spans="1:12" x14ac:dyDescent="0.45">
      <c r="A2100" s="12" t="s">
        <v>56</v>
      </c>
      <c r="B2100" s="12" t="s">
        <v>110</v>
      </c>
      <c r="C2100" s="13" t="s">
        <v>111</v>
      </c>
      <c r="D2100" s="13" t="s">
        <v>34</v>
      </c>
      <c r="E2100" s="12" t="s">
        <v>35</v>
      </c>
      <c r="F2100" s="14">
        <v>185000</v>
      </c>
      <c r="G2100" s="14">
        <v>103000</v>
      </c>
      <c r="H2100" s="13" t="s">
        <v>112</v>
      </c>
      <c r="I2100" s="40" t="s">
        <v>18</v>
      </c>
      <c r="J2100" s="40" t="str">
        <f>HYPERLINK("https://stock.pstatic.net/stock-research/company/61/20260608_company_900500000.pdf","PDF")</f>
        <v>PDF</v>
      </c>
      <c r="K2100" s="12" t="s">
        <v>113</v>
      </c>
      <c r="L2100" s="36">
        <v>0.79611650485436891</v>
      </c>
    </row>
    <row r="2101" spans="1:12" x14ac:dyDescent="0.45">
      <c r="A2101" s="12" t="s">
        <v>56</v>
      </c>
      <c r="B2101" s="12" t="s">
        <v>114</v>
      </c>
      <c r="C2101" s="13" t="s">
        <v>115</v>
      </c>
      <c r="D2101" s="13" t="s">
        <v>44</v>
      </c>
      <c r="E2101" s="12" t="s">
        <v>35</v>
      </c>
      <c r="F2101" s="14">
        <v>22000</v>
      </c>
      <c r="G2101" s="14">
        <v>16000</v>
      </c>
      <c r="H2101" s="13" t="s">
        <v>116</v>
      </c>
      <c r="I2101" s="40" t="s">
        <v>18</v>
      </c>
      <c r="J2101" s="40" t="str">
        <f>HYPERLINK("https://stock.pstatic.net/stock-research/company/39/20260608_company_508656000.pdf","PDF")</f>
        <v>PDF</v>
      </c>
      <c r="K2101" s="12" t="s">
        <v>117</v>
      </c>
      <c r="L2101" s="36">
        <v>0.375</v>
      </c>
    </row>
    <row r="2102" spans="1:12" x14ac:dyDescent="0.45">
      <c r="A2102" s="12" t="s">
        <v>56</v>
      </c>
      <c r="B2102" s="12" t="s">
        <v>118</v>
      </c>
      <c r="C2102" s="13" t="s">
        <v>119</v>
      </c>
      <c r="D2102" s="13" t="s">
        <v>44</v>
      </c>
      <c r="E2102" s="12" t="s">
        <v>35</v>
      </c>
      <c r="F2102" s="14">
        <v>120000</v>
      </c>
      <c r="G2102" s="14">
        <v>89200</v>
      </c>
      <c r="H2102" s="13" t="s">
        <v>120</v>
      </c>
      <c r="I2102" s="40" t="s">
        <v>18</v>
      </c>
      <c r="J2102" s="40" t="str">
        <f>HYPERLINK("https://stock.pstatic.net/stock-research/company/39/20260608_company_606562000.pdf","PDF")</f>
        <v>PDF</v>
      </c>
      <c r="K2102" s="12" t="s">
        <v>121</v>
      </c>
      <c r="L2102" s="36">
        <v>0.3452914798206278</v>
      </c>
    </row>
    <row r="2103" spans="1:12" x14ac:dyDescent="0.45">
      <c r="A2103" s="12" t="s">
        <v>56</v>
      </c>
      <c r="B2103" s="12" t="s">
        <v>122</v>
      </c>
      <c r="C2103" s="13" t="s">
        <v>123</v>
      </c>
      <c r="D2103" s="13" t="s">
        <v>124</v>
      </c>
      <c r="E2103" s="12" t="s">
        <v>50</v>
      </c>
      <c r="F2103" s="13"/>
      <c r="G2103" s="13"/>
      <c r="H2103" s="13" t="s">
        <v>125</v>
      </c>
      <c r="I2103" s="40" t="s">
        <v>18</v>
      </c>
      <c r="J2103" s="40" t="str">
        <f>HYPERLINK("https://stock.pstatic.net/stock-research/company/74/20260608_company_733800000.pdf","PDF")</f>
        <v>PDF</v>
      </c>
      <c r="K2103" s="12" t="s">
        <v>126</v>
      </c>
      <c r="L2103" s="12"/>
    </row>
    <row r="2104" spans="1:12" x14ac:dyDescent="0.45">
      <c r="A2104" s="12" t="s">
        <v>127</v>
      </c>
      <c r="B2104" s="12" t="s">
        <v>128</v>
      </c>
      <c r="C2104" s="13" t="s">
        <v>129</v>
      </c>
      <c r="D2104" s="13" t="s">
        <v>23</v>
      </c>
      <c r="E2104" s="12" t="s">
        <v>16</v>
      </c>
      <c r="F2104" s="14">
        <v>123000</v>
      </c>
      <c r="G2104" s="14">
        <v>126900</v>
      </c>
      <c r="H2104" s="13" t="s">
        <v>130</v>
      </c>
      <c r="I2104" s="40" t="s">
        <v>18</v>
      </c>
      <c r="J2104" s="40" t="str">
        <f>HYPERLINK("https://stock.pstatic.net/stock-research/company/21/20260605_company_238490000.pdf","PDF")</f>
        <v>PDF</v>
      </c>
      <c r="K2104" s="12" t="s">
        <v>131</v>
      </c>
      <c r="L2104" s="36">
        <v>-3.0732860520094558E-2</v>
      </c>
    </row>
    <row r="2105" spans="1:12" x14ac:dyDescent="0.45">
      <c r="A2105" s="12" t="s">
        <v>127</v>
      </c>
      <c r="B2105" s="12" t="s">
        <v>132</v>
      </c>
      <c r="C2105" s="13" t="s">
        <v>133</v>
      </c>
      <c r="D2105" s="13" t="s">
        <v>57</v>
      </c>
      <c r="E2105" s="12" t="s">
        <v>35</v>
      </c>
      <c r="F2105" s="14">
        <v>190000</v>
      </c>
      <c r="G2105" s="14">
        <v>121800</v>
      </c>
      <c r="H2105" s="13" t="s">
        <v>134</v>
      </c>
      <c r="I2105" s="40" t="s">
        <v>18</v>
      </c>
      <c r="J2105" s="40" t="str">
        <f>HYPERLINK("https://stock.pstatic.net/stock-research/company/16/20260605_company_718111000.pdf","PDF")</f>
        <v>PDF</v>
      </c>
      <c r="K2105" s="12" t="s">
        <v>135</v>
      </c>
      <c r="L2105" s="36">
        <v>0.55993431855500819</v>
      </c>
    </row>
    <row r="2106" spans="1:12" x14ac:dyDescent="0.45">
      <c r="A2106" s="12" t="s">
        <v>127</v>
      </c>
      <c r="B2106" s="12" t="s">
        <v>136</v>
      </c>
      <c r="C2106" s="13" t="s">
        <v>137</v>
      </c>
      <c r="D2106" s="13" t="s">
        <v>60</v>
      </c>
      <c r="E2106" s="12" t="s">
        <v>50</v>
      </c>
      <c r="F2106" s="13"/>
      <c r="G2106" s="14">
        <v>36800</v>
      </c>
      <c r="H2106" s="13" t="s">
        <v>138</v>
      </c>
      <c r="I2106" s="40" t="s">
        <v>18</v>
      </c>
      <c r="J2106" s="40" t="str">
        <f>HYPERLINK("https://stock.pstatic.net/stock-research/company/62/20260605_company_254592000.pdf","PDF")</f>
        <v>PDF</v>
      </c>
      <c r="K2106" s="12" t="s">
        <v>139</v>
      </c>
      <c r="L2106" s="12"/>
    </row>
    <row r="2107" spans="1:12" x14ac:dyDescent="0.45">
      <c r="A2107" s="12" t="s">
        <v>127</v>
      </c>
      <c r="B2107" s="12" t="s">
        <v>32</v>
      </c>
      <c r="C2107" s="13" t="s">
        <v>33</v>
      </c>
      <c r="D2107" s="13" t="s">
        <v>15</v>
      </c>
      <c r="E2107" s="12" t="s">
        <v>16</v>
      </c>
      <c r="F2107" s="14">
        <v>2800000</v>
      </c>
      <c r="G2107" s="14">
        <v>1716000</v>
      </c>
      <c r="H2107" s="13" t="s">
        <v>140</v>
      </c>
      <c r="I2107" s="40" t="s">
        <v>18</v>
      </c>
      <c r="J2107" s="40" t="str">
        <f>HYPERLINK("https://stock.pstatic.net/stock-research/company/56/20260605_company_562676000.pdf","PDF")</f>
        <v>PDF</v>
      </c>
      <c r="K2107" s="12" t="s">
        <v>141</v>
      </c>
      <c r="L2107" s="36">
        <v>0.63170163170163174</v>
      </c>
    </row>
    <row r="2108" spans="1:12" x14ac:dyDescent="0.45">
      <c r="A2108" s="12" t="s">
        <v>127</v>
      </c>
      <c r="B2108" s="12" t="s">
        <v>142</v>
      </c>
      <c r="C2108" s="13" t="s">
        <v>143</v>
      </c>
      <c r="D2108" s="13" t="s">
        <v>65</v>
      </c>
      <c r="E2108" s="12" t="s">
        <v>50</v>
      </c>
      <c r="F2108" s="13"/>
      <c r="G2108" s="14">
        <v>23450</v>
      </c>
      <c r="H2108" s="13" t="s">
        <v>144</v>
      </c>
      <c r="I2108" s="40" t="s">
        <v>18</v>
      </c>
      <c r="J2108" s="40" t="str">
        <f>HYPERLINK("https://stock.pstatic.net/stock-research/company/57/20260605_company_969551000.pdf","PDF")</f>
        <v>PDF</v>
      </c>
      <c r="K2108" s="12" t="s">
        <v>145</v>
      </c>
      <c r="L2108" s="12"/>
    </row>
    <row r="2109" spans="1:12" x14ac:dyDescent="0.45">
      <c r="A2109" s="12" t="s">
        <v>127</v>
      </c>
      <c r="B2109" s="12" t="s">
        <v>146</v>
      </c>
      <c r="C2109" s="13" t="s">
        <v>147</v>
      </c>
      <c r="D2109" s="13" t="s">
        <v>65</v>
      </c>
      <c r="E2109" s="12" t="s">
        <v>35</v>
      </c>
      <c r="F2109" s="14">
        <v>160000</v>
      </c>
      <c r="G2109" s="14">
        <v>114400</v>
      </c>
      <c r="H2109" s="13" t="s">
        <v>148</v>
      </c>
      <c r="I2109" s="40" t="s">
        <v>18</v>
      </c>
      <c r="J2109" s="40" t="str">
        <f>HYPERLINK("https://stock.pstatic.net/stock-research/company/57/20260605_company_189753000.pdf","PDF")</f>
        <v>PDF</v>
      </c>
      <c r="K2109" s="12" t="s">
        <v>149</v>
      </c>
      <c r="L2109" s="36">
        <v>0.39860139860139859</v>
      </c>
    </row>
    <row r="2110" spans="1:12" x14ac:dyDescent="0.45">
      <c r="A2110" s="12" t="s">
        <v>127</v>
      </c>
      <c r="B2110" s="12" t="s">
        <v>150</v>
      </c>
      <c r="C2110" s="13" t="s">
        <v>151</v>
      </c>
      <c r="D2110" s="13" t="s">
        <v>65</v>
      </c>
      <c r="E2110" s="12" t="s">
        <v>35</v>
      </c>
      <c r="F2110" s="14">
        <v>35000</v>
      </c>
      <c r="G2110" s="14">
        <v>18610</v>
      </c>
      <c r="H2110" s="13" t="s">
        <v>152</v>
      </c>
      <c r="I2110" s="40" t="s">
        <v>18</v>
      </c>
      <c r="J2110" s="40" t="str">
        <f>HYPERLINK("https://stock.pstatic.net/stock-research/company/57/20260605_company_245125000.pdf","PDF")</f>
        <v>PDF</v>
      </c>
      <c r="K2110" s="12" t="s">
        <v>153</v>
      </c>
      <c r="L2110" s="36">
        <v>0.8807092960773778</v>
      </c>
    </row>
    <row r="2111" spans="1:12" x14ac:dyDescent="0.45">
      <c r="A2111" s="12" t="s">
        <v>127</v>
      </c>
      <c r="B2111" s="12" t="s">
        <v>95</v>
      </c>
      <c r="C2111" s="13" t="s">
        <v>31</v>
      </c>
      <c r="D2111" s="13" t="s">
        <v>65</v>
      </c>
      <c r="E2111" s="12" t="s">
        <v>35</v>
      </c>
      <c r="F2111" s="14">
        <v>67000</v>
      </c>
      <c r="G2111" s="14">
        <v>49500</v>
      </c>
      <c r="H2111" s="13" t="s">
        <v>154</v>
      </c>
      <c r="I2111" s="40" t="s">
        <v>18</v>
      </c>
      <c r="J2111" s="40" t="str">
        <f>HYPERLINK("https://stock.pstatic.net/stock-research/company/57/20260605_company_493583000.pdf","PDF")</f>
        <v>PDF</v>
      </c>
      <c r="K2111" s="12" t="s">
        <v>155</v>
      </c>
      <c r="L2111" s="36">
        <v>0.35353535353535348</v>
      </c>
    </row>
    <row r="2112" spans="1:12" x14ac:dyDescent="0.45">
      <c r="A2112" s="12" t="s">
        <v>127</v>
      </c>
      <c r="B2112" s="12" t="s">
        <v>156</v>
      </c>
      <c r="C2112" s="13" t="s">
        <v>157</v>
      </c>
      <c r="D2112" s="13" t="s">
        <v>158</v>
      </c>
      <c r="E2112" s="12" t="s">
        <v>159</v>
      </c>
      <c r="F2112" s="14">
        <v>4200</v>
      </c>
      <c r="G2112" s="14">
        <v>4820</v>
      </c>
      <c r="H2112" s="13" t="s">
        <v>160</v>
      </c>
      <c r="I2112" s="40" t="s">
        <v>18</v>
      </c>
      <c r="J2112" s="40" t="str">
        <f>HYPERLINK("https://stock.pstatic.net/stock-research/company/18/20260605_company_632210000.pdf","PDF")</f>
        <v>PDF</v>
      </c>
      <c r="K2112" s="12" t="s">
        <v>161</v>
      </c>
      <c r="L2112" s="36">
        <v>-0.12863070539419089</v>
      </c>
    </row>
    <row r="2113" spans="1:12" x14ac:dyDescent="0.45">
      <c r="A2113" s="12" t="s">
        <v>127</v>
      </c>
      <c r="B2113" s="12" t="s">
        <v>162</v>
      </c>
      <c r="C2113" s="13" t="s">
        <v>163</v>
      </c>
      <c r="D2113" s="13" t="s">
        <v>158</v>
      </c>
      <c r="E2113" s="12" t="s">
        <v>50</v>
      </c>
      <c r="F2113" s="13"/>
      <c r="G2113" s="14">
        <v>26900</v>
      </c>
      <c r="H2113" s="13" t="s">
        <v>164</v>
      </c>
      <c r="I2113" s="40" t="s">
        <v>18</v>
      </c>
      <c r="J2113" s="40" t="str">
        <f>HYPERLINK("https://stock.pstatic.net/stock-research/company/18/20260605_company_42920000.pdf","PDF")</f>
        <v>PDF</v>
      </c>
      <c r="K2113" s="12" t="s">
        <v>165</v>
      </c>
      <c r="L2113" s="12"/>
    </row>
    <row r="2114" spans="1:12" x14ac:dyDescent="0.45">
      <c r="A2114" s="12" t="s">
        <v>127</v>
      </c>
      <c r="B2114" s="12" t="s">
        <v>166</v>
      </c>
      <c r="C2114" s="13" t="s">
        <v>167</v>
      </c>
      <c r="D2114" s="13" t="s">
        <v>158</v>
      </c>
      <c r="E2114" s="12" t="s">
        <v>50</v>
      </c>
      <c r="F2114" s="13"/>
      <c r="G2114" s="14">
        <v>49800</v>
      </c>
      <c r="H2114" s="13" t="s">
        <v>168</v>
      </c>
      <c r="I2114" s="40" t="s">
        <v>18</v>
      </c>
      <c r="J2114" s="40" t="str">
        <f>HYPERLINK("https://stock.pstatic.net/stock-research/company/18/20260605_company_792894000.pdf","PDF")</f>
        <v>PDF</v>
      </c>
      <c r="K2114" s="12" t="s">
        <v>169</v>
      </c>
      <c r="L2114" s="12"/>
    </row>
    <row r="2115" spans="1:12" x14ac:dyDescent="0.45">
      <c r="A2115" s="12" t="s">
        <v>127</v>
      </c>
      <c r="B2115" s="12" t="s">
        <v>170</v>
      </c>
      <c r="C2115" s="13" t="s">
        <v>171</v>
      </c>
      <c r="D2115" s="13" t="s">
        <v>92</v>
      </c>
      <c r="E2115" s="12" t="s">
        <v>35</v>
      </c>
      <c r="F2115" s="14">
        <v>100000</v>
      </c>
      <c r="G2115" s="14">
        <v>71700</v>
      </c>
      <c r="H2115" s="13" t="s">
        <v>172</v>
      </c>
      <c r="I2115" s="40" t="s">
        <v>18</v>
      </c>
      <c r="J2115" s="40" t="str">
        <f>HYPERLINK("https://stock.pstatic.net/stock-research/company/63/20260605_company_206042000.pdf","PDF")</f>
        <v>PDF</v>
      </c>
      <c r="K2115" s="12" t="s">
        <v>173</v>
      </c>
      <c r="L2115" s="36">
        <v>0.39470013947001392</v>
      </c>
    </row>
    <row r="2116" spans="1:12" x14ac:dyDescent="0.45">
      <c r="A2116" s="12" t="s">
        <v>127</v>
      </c>
      <c r="B2116" s="12" t="s">
        <v>174</v>
      </c>
      <c r="C2116" s="13" t="s">
        <v>44</v>
      </c>
      <c r="D2116" s="13" t="s">
        <v>23</v>
      </c>
      <c r="E2116" s="12" t="s">
        <v>16</v>
      </c>
      <c r="F2116" s="14">
        <v>600000</v>
      </c>
      <c r="G2116" s="14">
        <v>372000</v>
      </c>
      <c r="H2116" s="13" t="s">
        <v>175</v>
      </c>
      <c r="I2116" s="40" t="s">
        <v>18</v>
      </c>
      <c r="J2116" s="40" t="str">
        <f>HYPERLINK("https://stock.pstatic.net/stock-research/company/21/20260605_company_728921000.pdf","PDF")</f>
        <v>PDF</v>
      </c>
      <c r="K2116" s="12" t="s">
        <v>176</v>
      </c>
      <c r="L2116" s="36">
        <v>0.61290322580645162</v>
      </c>
    </row>
    <row r="2117" spans="1:12" x14ac:dyDescent="0.45">
      <c r="A2117" s="12" t="s">
        <v>127</v>
      </c>
      <c r="B2117" s="12" t="s">
        <v>177</v>
      </c>
      <c r="C2117" s="13" t="s">
        <v>178</v>
      </c>
      <c r="D2117" s="13" t="s">
        <v>179</v>
      </c>
      <c r="E2117" s="12" t="s">
        <v>50</v>
      </c>
      <c r="F2117" s="13"/>
      <c r="G2117" s="14">
        <v>11220</v>
      </c>
      <c r="H2117" s="13" t="s">
        <v>180</v>
      </c>
      <c r="I2117" s="40" t="s">
        <v>18</v>
      </c>
      <c r="J2117" s="40" t="str">
        <f>HYPERLINK("https://stock.pstatic.net/stock-research/company/64/20260605_company_753523000.pdf","PDF")</f>
        <v>PDF</v>
      </c>
      <c r="K2117" s="12" t="s">
        <v>181</v>
      </c>
      <c r="L2117" s="12"/>
    </row>
    <row r="2118" spans="1:12" x14ac:dyDescent="0.45">
      <c r="A2118" s="12" t="s">
        <v>127</v>
      </c>
      <c r="B2118" s="12" t="s">
        <v>182</v>
      </c>
      <c r="C2118" s="13" t="s">
        <v>183</v>
      </c>
      <c r="D2118" s="13" t="s">
        <v>179</v>
      </c>
      <c r="E2118" s="12" t="s">
        <v>50</v>
      </c>
      <c r="F2118" s="13"/>
      <c r="G2118" s="14">
        <v>4910</v>
      </c>
      <c r="H2118" s="13" t="s">
        <v>184</v>
      </c>
      <c r="I2118" s="40" t="s">
        <v>18</v>
      </c>
      <c r="J2118" s="40" t="str">
        <f>HYPERLINK("https://stock.pstatic.net/stock-research/company/64/20260605_company_948184000.pdf","PDF")</f>
        <v>PDF</v>
      </c>
      <c r="K2118" s="12" t="s">
        <v>185</v>
      </c>
      <c r="L2118" s="12"/>
    </row>
    <row r="2119" spans="1:12" x14ac:dyDescent="0.45">
      <c r="A2119" s="12" t="s">
        <v>127</v>
      </c>
      <c r="B2119" s="12" t="s">
        <v>186</v>
      </c>
      <c r="C2119" s="13" t="s">
        <v>187</v>
      </c>
      <c r="D2119" s="13" t="s">
        <v>44</v>
      </c>
      <c r="E2119" s="12" t="s">
        <v>35</v>
      </c>
      <c r="F2119" s="14">
        <v>7000</v>
      </c>
      <c r="G2119" s="14">
        <v>4770</v>
      </c>
      <c r="H2119" s="13" t="s">
        <v>188</v>
      </c>
      <c r="I2119" s="40" t="s">
        <v>18</v>
      </c>
      <c r="J2119" s="40" t="str">
        <f>HYPERLINK("https://stock.pstatic.net/stock-research/company/39/20260605_company_359147000.pdf","PDF")</f>
        <v>PDF</v>
      </c>
      <c r="K2119" s="12" t="s">
        <v>189</v>
      </c>
      <c r="L2119" s="36">
        <v>0.46750524109014668</v>
      </c>
    </row>
    <row r="2120" spans="1:12" x14ac:dyDescent="0.45">
      <c r="A2120" s="12" t="s">
        <v>127</v>
      </c>
      <c r="B2120" s="12" t="s">
        <v>38</v>
      </c>
      <c r="C2120" s="13" t="s">
        <v>39</v>
      </c>
      <c r="D2120" s="13" t="s">
        <v>44</v>
      </c>
      <c r="E2120" s="12" t="s">
        <v>35</v>
      </c>
      <c r="F2120" s="14">
        <v>355000</v>
      </c>
      <c r="G2120" s="14">
        <v>295500</v>
      </c>
      <c r="H2120" s="13" t="s">
        <v>190</v>
      </c>
      <c r="I2120" s="40" t="s">
        <v>18</v>
      </c>
      <c r="J2120" s="40" t="str">
        <f>HYPERLINK("https://stock.pstatic.net/stock-research/company/39/20260605_company_79110000.pdf","PDF")</f>
        <v>PDF</v>
      </c>
      <c r="K2120" s="12" t="s">
        <v>191</v>
      </c>
      <c r="L2120" s="36">
        <v>0.20135363790186131</v>
      </c>
    </row>
    <row r="2121" spans="1:12" x14ac:dyDescent="0.45">
      <c r="A2121" s="12" t="s">
        <v>127</v>
      </c>
      <c r="B2121" s="12" t="s">
        <v>192</v>
      </c>
      <c r="C2121" s="13" t="s">
        <v>193</v>
      </c>
      <c r="D2121" s="13" t="s">
        <v>179</v>
      </c>
      <c r="E2121" s="12" t="s">
        <v>50</v>
      </c>
      <c r="F2121" s="13"/>
      <c r="G2121" s="14">
        <v>4060</v>
      </c>
      <c r="H2121" s="13" t="s">
        <v>194</v>
      </c>
      <c r="I2121" s="40" t="s">
        <v>18</v>
      </c>
      <c r="J2121" s="40" t="str">
        <f>HYPERLINK("https://stock.pstatic.net/stock-research/company/64/20260605_company_357797000.pdf","PDF")</f>
        <v>PDF</v>
      </c>
      <c r="K2121" s="12" t="s">
        <v>195</v>
      </c>
      <c r="L2121" s="12"/>
    </row>
    <row r="2122" spans="1:12" x14ac:dyDescent="0.45">
      <c r="A2122" s="12" t="s">
        <v>127</v>
      </c>
      <c r="B2122" s="12" t="s">
        <v>196</v>
      </c>
      <c r="C2122" s="13" t="s">
        <v>197</v>
      </c>
      <c r="D2122" s="13" t="s">
        <v>124</v>
      </c>
      <c r="E2122" s="12" t="s">
        <v>50</v>
      </c>
      <c r="F2122" s="13"/>
      <c r="G2122" s="13"/>
      <c r="H2122" s="13" t="s">
        <v>198</v>
      </c>
      <c r="I2122" s="40" t="s">
        <v>18</v>
      </c>
      <c r="J2122" s="40" t="str">
        <f>HYPERLINK("https://stock.pstatic.net/stock-research/company/74/20260605_company_223700000.pdf","PDF")</f>
        <v>PDF</v>
      </c>
      <c r="K2122" s="12" t="s">
        <v>199</v>
      </c>
      <c r="L2122" s="12"/>
    </row>
    <row r="2123" spans="1:12" x14ac:dyDescent="0.45">
      <c r="A2123" s="12" t="s">
        <v>127</v>
      </c>
      <c r="B2123" s="12" t="s">
        <v>200</v>
      </c>
      <c r="C2123" s="13" t="s">
        <v>201</v>
      </c>
      <c r="D2123" s="13" t="s">
        <v>202</v>
      </c>
      <c r="E2123" s="12" t="s">
        <v>50</v>
      </c>
      <c r="F2123" s="13"/>
      <c r="G2123" s="13"/>
      <c r="H2123" s="13" t="s">
        <v>203</v>
      </c>
      <c r="I2123" s="40" t="s">
        <v>18</v>
      </c>
      <c r="J2123" s="40" t="str">
        <f>HYPERLINK("https://stock.pstatic.net/stock-research/company/69/20260605_company_333898000.pdf","PDF")</f>
        <v>PDF</v>
      </c>
      <c r="K2123" s="12" t="s">
        <v>204</v>
      </c>
      <c r="L2123" s="12"/>
    </row>
    <row r="2124" spans="1:12" x14ac:dyDescent="0.45">
      <c r="A2124" s="12" t="s">
        <v>127</v>
      </c>
      <c r="B2124" s="12" t="s">
        <v>205</v>
      </c>
      <c r="C2124" s="13" t="s">
        <v>206</v>
      </c>
      <c r="D2124" s="13" t="s">
        <v>207</v>
      </c>
      <c r="E2124" s="12" t="s">
        <v>50</v>
      </c>
      <c r="F2124" s="13"/>
      <c r="G2124" s="13"/>
      <c r="H2124" s="13" t="s">
        <v>208</v>
      </c>
      <c r="I2124" s="40" t="s">
        <v>18</v>
      </c>
      <c r="J2124" s="40" t="str">
        <f>HYPERLINK("https://stock.pstatic.net/stock-research/company/75/20260605_company_441375000.pdf","PDF")</f>
        <v>PDF</v>
      </c>
      <c r="K2124" s="12" t="s">
        <v>209</v>
      </c>
      <c r="L2124" s="12"/>
    </row>
    <row r="2125" spans="1:12" x14ac:dyDescent="0.45">
      <c r="A2125" s="12" t="s">
        <v>127</v>
      </c>
      <c r="B2125" s="12" t="s">
        <v>210</v>
      </c>
      <c r="C2125" s="13" t="s">
        <v>211</v>
      </c>
      <c r="D2125" s="13" t="s">
        <v>202</v>
      </c>
      <c r="E2125" s="12" t="s">
        <v>50</v>
      </c>
      <c r="F2125" s="13"/>
      <c r="G2125" s="13"/>
      <c r="H2125" s="13" t="s">
        <v>212</v>
      </c>
      <c r="I2125" s="40" t="s">
        <v>18</v>
      </c>
      <c r="J2125" s="40" t="str">
        <f>HYPERLINK("https://stock.pstatic.net/stock-research/company/69/20260605_company_987197000.pdf","PDF")</f>
        <v>PDF</v>
      </c>
      <c r="K2125" s="12" t="s">
        <v>213</v>
      </c>
      <c r="L2125" s="12"/>
    </row>
    <row r="2126" spans="1:12" x14ac:dyDescent="0.45">
      <c r="A2126" s="12" t="s">
        <v>127</v>
      </c>
      <c r="B2126" s="12" t="s">
        <v>214</v>
      </c>
      <c r="C2126" s="13" t="s">
        <v>215</v>
      </c>
      <c r="D2126" s="13" t="s">
        <v>202</v>
      </c>
      <c r="E2126" s="12" t="s">
        <v>50</v>
      </c>
      <c r="F2126" s="13"/>
      <c r="G2126" s="13"/>
      <c r="H2126" s="13" t="s">
        <v>216</v>
      </c>
      <c r="I2126" s="40" t="s">
        <v>18</v>
      </c>
      <c r="J2126" s="40" t="str">
        <f>HYPERLINK("https://stock.pstatic.net/stock-research/company/69/20260605_company_109754000.pdf","PDF")</f>
        <v>PDF</v>
      </c>
      <c r="K2126" s="12" t="s">
        <v>217</v>
      </c>
      <c r="L2126" s="12"/>
    </row>
    <row r="2127" spans="1:12" x14ac:dyDescent="0.45">
      <c r="A2127" s="12" t="s">
        <v>127</v>
      </c>
      <c r="B2127" s="12" t="s">
        <v>218</v>
      </c>
      <c r="C2127" s="13" t="s">
        <v>219</v>
      </c>
      <c r="D2127" s="13" t="s">
        <v>207</v>
      </c>
      <c r="E2127" s="12" t="s">
        <v>50</v>
      </c>
      <c r="F2127" s="13"/>
      <c r="G2127" s="13"/>
      <c r="H2127" s="13" t="s">
        <v>220</v>
      </c>
      <c r="I2127" s="40" t="s">
        <v>18</v>
      </c>
      <c r="J2127" s="40" t="str">
        <f>HYPERLINK("https://stock.pstatic.net/stock-research/company/75/20260605_company_487699000.pdf","PDF")</f>
        <v>PDF</v>
      </c>
      <c r="K2127" s="12" t="s">
        <v>221</v>
      </c>
      <c r="L2127" s="12"/>
    </row>
    <row r="2128" spans="1:12" x14ac:dyDescent="0.45">
      <c r="A2128" s="12" t="s">
        <v>127</v>
      </c>
      <c r="B2128" s="12" t="s">
        <v>222</v>
      </c>
      <c r="C2128" s="13" t="s">
        <v>223</v>
      </c>
      <c r="D2128" s="13" t="s">
        <v>207</v>
      </c>
      <c r="E2128" s="12" t="s">
        <v>50</v>
      </c>
      <c r="F2128" s="13"/>
      <c r="G2128" s="13"/>
      <c r="H2128" s="13" t="s">
        <v>224</v>
      </c>
      <c r="I2128" s="40" t="s">
        <v>18</v>
      </c>
      <c r="J2128" s="40" t="str">
        <f>HYPERLINK("https://stock.pstatic.net/stock-research/company/75/20260605_company_183296000.pdf","PDF")</f>
        <v>PDF</v>
      </c>
      <c r="K2128" s="12" t="s">
        <v>225</v>
      </c>
      <c r="L2128" s="12"/>
    </row>
    <row r="2129" spans="1:12" x14ac:dyDescent="0.45">
      <c r="A2129" s="12" t="s">
        <v>127</v>
      </c>
      <c r="B2129" s="12" t="s">
        <v>226</v>
      </c>
      <c r="C2129" s="13" t="s">
        <v>227</v>
      </c>
      <c r="D2129" s="13" t="s">
        <v>207</v>
      </c>
      <c r="E2129" s="12" t="s">
        <v>50</v>
      </c>
      <c r="F2129" s="13"/>
      <c r="G2129" s="13"/>
      <c r="H2129" s="13" t="s">
        <v>228</v>
      </c>
      <c r="I2129" s="40" t="s">
        <v>18</v>
      </c>
      <c r="J2129" s="40" t="str">
        <f>HYPERLINK("https://stock.pstatic.net/stock-research/company/75/20260605_company_825712000.pdf","PDF")</f>
        <v>PDF</v>
      </c>
      <c r="K2129" s="12" t="s">
        <v>229</v>
      </c>
      <c r="L2129" s="12"/>
    </row>
    <row r="2130" spans="1:12" x14ac:dyDescent="0.45">
      <c r="A2130" s="12" t="s">
        <v>230</v>
      </c>
      <c r="B2130" s="12" t="s">
        <v>231</v>
      </c>
      <c r="C2130" s="13" t="s">
        <v>232</v>
      </c>
      <c r="D2130" s="13" t="s">
        <v>15</v>
      </c>
      <c r="E2130" s="12" t="s">
        <v>50</v>
      </c>
      <c r="F2130" s="13"/>
      <c r="G2130" s="14">
        <v>28600</v>
      </c>
      <c r="H2130" s="13" t="s">
        <v>233</v>
      </c>
      <c r="I2130" s="40" t="s">
        <v>18</v>
      </c>
      <c r="J2130" s="40" t="str">
        <f>HYPERLINK("https://stock.pstatic.net/stock-research/company/56/20260604_company_817853000.pdf","PDF")</f>
        <v>PDF</v>
      </c>
      <c r="K2130" s="12" t="s">
        <v>234</v>
      </c>
      <c r="L2130" s="12"/>
    </row>
    <row r="2131" spans="1:12" x14ac:dyDescent="0.45">
      <c r="A2131" s="12" t="s">
        <v>230</v>
      </c>
      <c r="B2131" s="12" t="s">
        <v>63</v>
      </c>
      <c r="C2131" s="13" t="s">
        <v>64</v>
      </c>
      <c r="D2131" s="13" t="s">
        <v>15</v>
      </c>
      <c r="E2131" s="12" t="s">
        <v>16</v>
      </c>
      <c r="F2131" s="14">
        <v>700000</v>
      </c>
      <c r="G2131" s="14">
        <v>507000</v>
      </c>
      <c r="H2131" s="13" t="s">
        <v>235</v>
      </c>
      <c r="I2131" s="40" t="s">
        <v>18</v>
      </c>
      <c r="J2131" s="40" t="str">
        <f>HYPERLINK("https://stock.pstatic.net/stock-research/company/56/20260604_company_727645000.pdf","PDF")</f>
        <v>PDF</v>
      </c>
      <c r="K2131" s="12" t="s">
        <v>236</v>
      </c>
      <c r="L2131" s="36">
        <v>0.38067061143984221</v>
      </c>
    </row>
    <row r="2132" spans="1:12" x14ac:dyDescent="0.45">
      <c r="A2132" s="12" t="s">
        <v>230</v>
      </c>
      <c r="B2132" s="12" t="s">
        <v>237</v>
      </c>
      <c r="C2132" s="13" t="s">
        <v>238</v>
      </c>
      <c r="D2132" s="13" t="s">
        <v>60</v>
      </c>
      <c r="E2132" s="12" t="s">
        <v>50</v>
      </c>
      <c r="F2132" s="13"/>
      <c r="G2132" s="14">
        <v>42000</v>
      </c>
      <c r="H2132" s="13" t="s">
        <v>239</v>
      </c>
      <c r="I2132" s="40" t="s">
        <v>18</v>
      </c>
      <c r="J2132" s="40" t="str">
        <f>HYPERLINK("https://stock.pstatic.net/stock-research/company/62/20260604_company_453848000.pdf","PDF")</f>
        <v>PDF</v>
      </c>
      <c r="K2132" s="12" t="s">
        <v>240</v>
      </c>
      <c r="L2132" s="12"/>
    </row>
    <row r="2133" spans="1:12" x14ac:dyDescent="0.45">
      <c r="A2133" s="12" t="s">
        <v>230</v>
      </c>
      <c r="B2133" s="12" t="s">
        <v>63</v>
      </c>
      <c r="C2133" s="13" t="s">
        <v>64</v>
      </c>
      <c r="D2133" s="13" t="s">
        <v>60</v>
      </c>
      <c r="E2133" s="12" t="s">
        <v>35</v>
      </c>
      <c r="F2133" s="14">
        <v>700000</v>
      </c>
      <c r="G2133" s="14">
        <v>507000</v>
      </c>
      <c r="H2133" s="13" t="s">
        <v>241</v>
      </c>
      <c r="I2133" s="40" t="s">
        <v>18</v>
      </c>
      <c r="J2133" s="40" t="str">
        <f>HYPERLINK("https://stock.pstatic.net/stock-research/company/62/20260604_company_597111000.pdf","PDF")</f>
        <v>PDF</v>
      </c>
      <c r="K2133" s="12" t="s">
        <v>242</v>
      </c>
      <c r="L2133" s="36">
        <v>0.38067061143984221</v>
      </c>
    </row>
    <row r="2134" spans="1:12" x14ac:dyDescent="0.45">
      <c r="A2134" s="12" t="s">
        <v>230</v>
      </c>
      <c r="B2134" s="12" t="s">
        <v>243</v>
      </c>
      <c r="C2134" s="13" t="s">
        <v>244</v>
      </c>
      <c r="D2134" s="13" t="s">
        <v>60</v>
      </c>
      <c r="E2134" s="12" t="s">
        <v>50</v>
      </c>
      <c r="F2134" s="13"/>
      <c r="G2134" s="14">
        <v>156000</v>
      </c>
      <c r="H2134" s="13" t="s">
        <v>245</v>
      </c>
      <c r="I2134" s="40" t="s">
        <v>18</v>
      </c>
      <c r="J2134" s="40" t="str">
        <f>HYPERLINK("https://stock.pstatic.net/stock-research/company/62/20260604_company_277796000.pdf","PDF")</f>
        <v>PDF</v>
      </c>
      <c r="K2134" s="12" t="s">
        <v>246</v>
      </c>
      <c r="L2134" s="12"/>
    </row>
    <row r="2135" spans="1:12" x14ac:dyDescent="0.45">
      <c r="A2135" s="12" t="s">
        <v>230</v>
      </c>
      <c r="B2135" s="12" t="s">
        <v>247</v>
      </c>
      <c r="C2135" s="13" t="s">
        <v>248</v>
      </c>
      <c r="D2135" s="13" t="s">
        <v>65</v>
      </c>
      <c r="E2135" s="12" t="s">
        <v>35</v>
      </c>
      <c r="F2135" s="14">
        <v>50000</v>
      </c>
      <c r="G2135" s="14">
        <v>30950</v>
      </c>
      <c r="H2135" s="13" t="s">
        <v>249</v>
      </c>
      <c r="I2135" s="40" t="s">
        <v>18</v>
      </c>
      <c r="J2135" s="40" t="str">
        <f>HYPERLINK("https://stock.pstatic.net/stock-research/company/57/20260604_company_407797000.pdf","PDF")</f>
        <v>PDF</v>
      </c>
      <c r="K2135" s="12" t="s">
        <v>250</v>
      </c>
      <c r="L2135" s="36">
        <v>0.61550888529886916</v>
      </c>
    </row>
    <row r="2136" spans="1:12" x14ac:dyDescent="0.45">
      <c r="A2136" s="12" t="s">
        <v>230</v>
      </c>
      <c r="B2136" s="12" t="s">
        <v>237</v>
      </c>
      <c r="C2136" s="13" t="s">
        <v>238</v>
      </c>
      <c r="D2136" s="13" t="s">
        <v>23</v>
      </c>
      <c r="E2136" s="12" t="s">
        <v>50</v>
      </c>
      <c r="F2136" s="13"/>
      <c r="G2136" s="14">
        <v>42000</v>
      </c>
      <c r="H2136" s="13" t="s">
        <v>251</v>
      </c>
      <c r="I2136" s="40" t="s">
        <v>18</v>
      </c>
      <c r="J2136" s="40" t="str">
        <f>HYPERLINK("https://stock.pstatic.net/stock-research/company/21/20260604_company_454987000.pdf","PDF")</f>
        <v>PDF</v>
      </c>
      <c r="K2136" s="12" t="s">
        <v>252</v>
      </c>
      <c r="L2136" s="12"/>
    </row>
    <row r="2137" spans="1:12" x14ac:dyDescent="0.45">
      <c r="A2137" s="12" t="s">
        <v>230</v>
      </c>
      <c r="B2137" s="12" t="s">
        <v>72</v>
      </c>
      <c r="C2137" s="13" t="s">
        <v>73</v>
      </c>
      <c r="D2137" s="13" t="s">
        <v>179</v>
      </c>
      <c r="E2137" s="12" t="s">
        <v>16</v>
      </c>
      <c r="F2137" s="14">
        <v>590000</v>
      </c>
      <c r="G2137" s="14">
        <v>485500</v>
      </c>
      <c r="H2137" s="13" t="s">
        <v>253</v>
      </c>
      <c r="I2137" s="40" t="s">
        <v>18</v>
      </c>
      <c r="J2137" s="40" t="str">
        <f>HYPERLINK("https://stock.pstatic.net/stock-research/company/64/20260604_company_540119000.pdf","PDF")</f>
        <v>PDF</v>
      </c>
      <c r="K2137" s="12" t="s">
        <v>254</v>
      </c>
      <c r="L2137" s="36">
        <v>0.21524201853759009</v>
      </c>
    </row>
    <row r="2138" spans="1:12" x14ac:dyDescent="0.45">
      <c r="A2138" s="12" t="s">
        <v>230</v>
      </c>
      <c r="B2138" s="12" t="s">
        <v>255</v>
      </c>
      <c r="C2138" s="13" t="s">
        <v>256</v>
      </c>
      <c r="D2138" s="13" t="s">
        <v>124</v>
      </c>
      <c r="E2138" s="12" t="s">
        <v>50</v>
      </c>
      <c r="F2138" s="13"/>
      <c r="G2138" s="13"/>
      <c r="H2138" s="13" t="s">
        <v>257</v>
      </c>
      <c r="I2138" s="40" t="s">
        <v>18</v>
      </c>
      <c r="J2138" s="40" t="str">
        <f>HYPERLINK("https://stock.pstatic.net/stock-research/company/74/20260604_company_905363000.pdf","PDF")</f>
        <v>PDF</v>
      </c>
      <c r="K2138" s="12" t="s">
        <v>258</v>
      </c>
      <c r="L2138" s="12"/>
    </row>
    <row r="2139" spans="1:12" x14ac:dyDescent="0.45">
      <c r="A2139" s="12" t="s">
        <v>230</v>
      </c>
      <c r="B2139" s="12" t="s">
        <v>259</v>
      </c>
      <c r="C2139" s="13" t="s">
        <v>260</v>
      </c>
      <c r="D2139" s="13" t="s">
        <v>124</v>
      </c>
      <c r="E2139" s="12" t="s">
        <v>50</v>
      </c>
      <c r="F2139" s="13"/>
      <c r="G2139" s="13"/>
      <c r="H2139" s="13" t="s">
        <v>261</v>
      </c>
      <c r="I2139" s="40" t="s">
        <v>18</v>
      </c>
      <c r="J2139" s="40" t="str">
        <f>HYPERLINK("https://stock.pstatic.net/stock-research/company/74/20260604_company_271504000.pdf","PDF")</f>
        <v>PDF</v>
      </c>
      <c r="K2139" s="12" t="s">
        <v>262</v>
      </c>
      <c r="L2139" s="12"/>
    </row>
    <row r="2140" spans="1:12" x14ac:dyDescent="0.45">
      <c r="A2140" s="12" t="s">
        <v>263</v>
      </c>
      <c r="B2140" s="12" t="s">
        <v>264</v>
      </c>
      <c r="C2140" s="13" t="s">
        <v>265</v>
      </c>
      <c r="D2140" s="13" t="s">
        <v>83</v>
      </c>
      <c r="E2140" s="12" t="s">
        <v>35</v>
      </c>
      <c r="F2140" s="14">
        <v>630000</v>
      </c>
      <c r="G2140" s="14">
        <v>446000</v>
      </c>
      <c r="H2140" s="13" t="s">
        <v>266</v>
      </c>
      <c r="I2140" s="40" t="s">
        <v>18</v>
      </c>
      <c r="J2140" s="40" t="str">
        <f>HYPERLINK("https://stock.pstatic.net/stock-research/company/15/20260602_company_634958000.pdf","PDF")</f>
        <v>PDF</v>
      </c>
      <c r="K2140" s="12" t="s">
        <v>267</v>
      </c>
      <c r="L2140" s="36">
        <v>0.41255605381165922</v>
      </c>
    </row>
    <row r="2141" spans="1:12" x14ac:dyDescent="0.45">
      <c r="A2141" s="12" t="s">
        <v>263</v>
      </c>
      <c r="B2141" s="12" t="s">
        <v>268</v>
      </c>
      <c r="C2141" s="13" t="s">
        <v>269</v>
      </c>
      <c r="D2141" s="13" t="s">
        <v>83</v>
      </c>
      <c r="E2141" s="12" t="s">
        <v>35</v>
      </c>
      <c r="F2141" s="14">
        <v>500000</v>
      </c>
      <c r="G2141" s="14">
        <v>366000</v>
      </c>
      <c r="H2141" s="13" t="s">
        <v>270</v>
      </c>
      <c r="I2141" s="40" t="s">
        <v>18</v>
      </c>
      <c r="J2141" s="40" t="str">
        <f>HYPERLINK("https://stock.pstatic.net/stock-research/company/15/20260602_company_221723000.pdf","PDF")</f>
        <v>PDF</v>
      </c>
      <c r="K2141" s="12" t="s">
        <v>271</v>
      </c>
      <c r="L2141" s="36">
        <v>0.36612021857923499</v>
      </c>
    </row>
    <row r="2142" spans="1:12" x14ac:dyDescent="0.45">
      <c r="A2142" s="12" t="s">
        <v>263</v>
      </c>
      <c r="B2142" s="12" t="s">
        <v>272</v>
      </c>
      <c r="C2142" s="13" t="s">
        <v>273</v>
      </c>
      <c r="D2142" s="13" t="s">
        <v>83</v>
      </c>
      <c r="E2142" s="12" t="s">
        <v>35</v>
      </c>
      <c r="F2142" s="14">
        <v>620000</v>
      </c>
      <c r="G2142" s="14">
        <v>305000</v>
      </c>
      <c r="H2142" s="13" t="s">
        <v>274</v>
      </c>
      <c r="I2142" s="40" t="s">
        <v>18</v>
      </c>
      <c r="J2142" s="40" t="str">
        <f>HYPERLINK("https://stock.pstatic.net/stock-research/company/15/20260602_company_612962000.pdf","PDF")</f>
        <v>PDF</v>
      </c>
      <c r="K2142" s="12" t="s">
        <v>275</v>
      </c>
      <c r="L2142" s="36">
        <v>1.0327868852459019</v>
      </c>
    </row>
    <row r="2143" spans="1:12" x14ac:dyDescent="0.45">
      <c r="A2143" s="12" t="s">
        <v>263</v>
      </c>
      <c r="B2143" s="12" t="s">
        <v>63</v>
      </c>
      <c r="C2143" s="13" t="s">
        <v>64</v>
      </c>
      <c r="D2143" s="13" t="s">
        <v>276</v>
      </c>
      <c r="E2143" s="12" t="s">
        <v>16</v>
      </c>
      <c r="F2143" s="14">
        <v>680000</v>
      </c>
      <c r="G2143" s="14">
        <v>539000</v>
      </c>
      <c r="H2143" s="13" t="s">
        <v>277</v>
      </c>
      <c r="I2143" s="40" t="s">
        <v>18</v>
      </c>
      <c r="J2143" s="40" t="str">
        <f>HYPERLINK("https://stock.pstatic.net/stock-research/company/66/20260602_company_858526000.pdf","PDF")</f>
        <v>PDF</v>
      </c>
      <c r="K2143" s="12" t="s">
        <v>278</v>
      </c>
      <c r="L2143" s="36">
        <v>0.26159554730983298</v>
      </c>
    </row>
    <row r="2144" spans="1:12" x14ac:dyDescent="0.45">
      <c r="A2144" s="12" t="s">
        <v>263</v>
      </c>
      <c r="B2144" s="12" t="s">
        <v>243</v>
      </c>
      <c r="C2144" s="13" t="s">
        <v>244</v>
      </c>
      <c r="D2144" s="13" t="s">
        <v>65</v>
      </c>
      <c r="E2144" s="12" t="s">
        <v>50</v>
      </c>
      <c r="F2144" s="13"/>
      <c r="G2144" s="14">
        <v>172800</v>
      </c>
      <c r="H2144" s="13" t="s">
        <v>279</v>
      </c>
      <c r="I2144" s="40" t="s">
        <v>18</v>
      </c>
      <c r="J2144" s="40" t="str">
        <f>HYPERLINK("https://stock.pstatic.net/stock-research/company/57/20260602_company_168683000.pdf","PDF")</f>
        <v>PDF</v>
      </c>
      <c r="K2144" s="12" t="s">
        <v>280</v>
      </c>
      <c r="L2144" s="12"/>
    </row>
    <row r="2145" spans="1:12" x14ac:dyDescent="0.45">
      <c r="A2145" s="12" t="s">
        <v>263</v>
      </c>
      <c r="B2145" s="12" t="s">
        <v>281</v>
      </c>
      <c r="C2145" s="13" t="s">
        <v>282</v>
      </c>
      <c r="D2145" s="13" t="s">
        <v>65</v>
      </c>
      <c r="E2145" s="12" t="s">
        <v>35</v>
      </c>
      <c r="F2145" s="14">
        <v>70000</v>
      </c>
      <c r="G2145" s="14">
        <v>32700</v>
      </c>
      <c r="H2145" s="13" t="s">
        <v>283</v>
      </c>
      <c r="I2145" s="40" t="s">
        <v>18</v>
      </c>
      <c r="J2145" s="40" t="str">
        <f>HYPERLINK("https://stock.pstatic.net/stock-research/company/57/20260602_company_524915000.pdf","PDF")</f>
        <v>PDF</v>
      </c>
      <c r="K2145" s="12" t="s">
        <v>284</v>
      </c>
      <c r="L2145" s="36">
        <v>1.1406727828746179</v>
      </c>
    </row>
    <row r="2146" spans="1:12" x14ac:dyDescent="0.45">
      <c r="A2146" s="12" t="s">
        <v>263</v>
      </c>
      <c r="B2146" s="12" t="s">
        <v>63</v>
      </c>
      <c r="C2146" s="13" t="s">
        <v>64</v>
      </c>
      <c r="D2146" s="13" t="s">
        <v>53</v>
      </c>
      <c r="E2146" s="12" t="s">
        <v>50</v>
      </c>
      <c r="F2146" s="13"/>
      <c r="G2146" s="14">
        <v>539000</v>
      </c>
      <c r="H2146" s="13" t="s">
        <v>285</v>
      </c>
      <c r="I2146" s="40" t="s">
        <v>18</v>
      </c>
      <c r="J2146" s="40" t="str">
        <f>HYPERLINK("https://stock.pstatic.net/stock-research/company/40/20260602_company_676531000.pdf","PDF")</f>
        <v>PDF</v>
      </c>
      <c r="K2146" s="12" t="s">
        <v>286</v>
      </c>
      <c r="L2146" s="12"/>
    </row>
    <row r="2147" spans="1:12" x14ac:dyDescent="0.45">
      <c r="A2147" s="12" t="s">
        <v>263</v>
      </c>
      <c r="B2147" s="12" t="s">
        <v>243</v>
      </c>
      <c r="C2147" s="13" t="s">
        <v>244</v>
      </c>
      <c r="D2147" s="13" t="s">
        <v>23</v>
      </c>
      <c r="E2147" s="12" t="s">
        <v>50</v>
      </c>
      <c r="F2147" s="13"/>
      <c r="G2147" s="14">
        <v>172800</v>
      </c>
      <c r="H2147" s="13" t="s">
        <v>287</v>
      </c>
      <c r="I2147" s="40" t="s">
        <v>18</v>
      </c>
      <c r="J2147" s="40" t="str">
        <f>HYPERLINK("https://stock.pstatic.net/stock-research/company/21/20260602_company_427654000.pdf","PDF")</f>
        <v>PDF</v>
      </c>
      <c r="K2147" s="12" t="s">
        <v>288</v>
      </c>
      <c r="L2147" s="12"/>
    </row>
    <row r="2148" spans="1:12" x14ac:dyDescent="0.45">
      <c r="A2148" s="12" t="s">
        <v>263</v>
      </c>
      <c r="B2148" s="12" t="s">
        <v>63</v>
      </c>
      <c r="C2148" s="13" t="s">
        <v>64</v>
      </c>
      <c r="D2148" s="13" t="s">
        <v>23</v>
      </c>
      <c r="E2148" s="12" t="s">
        <v>16</v>
      </c>
      <c r="F2148" s="14">
        <v>560000</v>
      </c>
      <c r="G2148" s="14">
        <v>539000</v>
      </c>
      <c r="H2148" s="13" t="s">
        <v>289</v>
      </c>
      <c r="I2148" s="40" t="s">
        <v>18</v>
      </c>
      <c r="J2148" s="40" t="str">
        <f>HYPERLINK("https://stock.pstatic.net/stock-research/company/21/20260602_company_712461000.pdf","PDF")</f>
        <v>PDF</v>
      </c>
      <c r="K2148" s="12" t="s">
        <v>290</v>
      </c>
      <c r="L2148" s="36">
        <v>3.896103896103896E-2</v>
      </c>
    </row>
    <row r="2149" spans="1:12" x14ac:dyDescent="0.45">
      <c r="A2149" s="12" t="s">
        <v>263</v>
      </c>
      <c r="B2149" s="12" t="s">
        <v>291</v>
      </c>
      <c r="C2149" s="13" t="s">
        <v>292</v>
      </c>
      <c r="D2149" s="13" t="s">
        <v>23</v>
      </c>
      <c r="E2149" s="12" t="s">
        <v>16</v>
      </c>
      <c r="F2149" s="14">
        <v>60000</v>
      </c>
      <c r="G2149" s="14">
        <v>39650</v>
      </c>
      <c r="H2149" s="13" t="s">
        <v>293</v>
      </c>
      <c r="I2149" s="40" t="s">
        <v>18</v>
      </c>
      <c r="J2149" s="40" t="str">
        <f>HYPERLINK("https://stock.pstatic.net/stock-research/company/21/20260602_company_254116000.pdf","PDF")</f>
        <v>PDF</v>
      </c>
      <c r="K2149" s="12" t="s">
        <v>294</v>
      </c>
      <c r="L2149" s="36">
        <v>0.51324085750315263</v>
      </c>
    </row>
    <row r="2150" spans="1:12" x14ac:dyDescent="0.45">
      <c r="A2150" s="12" t="s">
        <v>263</v>
      </c>
      <c r="B2150" s="12" t="s">
        <v>295</v>
      </c>
      <c r="C2150" s="13" t="s">
        <v>296</v>
      </c>
      <c r="D2150" s="13" t="s">
        <v>34</v>
      </c>
      <c r="E2150" s="12" t="s">
        <v>50</v>
      </c>
      <c r="F2150" s="13"/>
      <c r="G2150" s="14">
        <v>9500</v>
      </c>
      <c r="H2150" s="13" t="s">
        <v>297</v>
      </c>
      <c r="I2150" s="40" t="s">
        <v>18</v>
      </c>
      <c r="J2150" s="40" t="str">
        <f>HYPERLINK("https://stock.pstatic.net/stock-research/company/61/20260602_company_269187000.pdf","PDF")</f>
        <v>PDF</v>
      </c>
      <c r="K2150" s="12" t="s">
        <v>298</v>
      </c>
      <c r="L2150" s="12"/>
    </row>
    <row r="2151" spans="1:12" x14ac:dyDescent="0.45">
      <c r="A2151" s="12" t="s">
        <v>263</v>
      </c>
      <c r="B2151" s="12" t="s">
        <v>63</v>
      </c>
      <c r="C2151" s="13" t="s">
        <v>64</v>
      </c>
      <c r="D2151" s="13" t="s">
        <v>44</v>
      </c>
      <c r="E2151" s="12" t="s">
        <v>35</v>
      </c>
      <c r="F2151" s="14">
        <v>660000</v>
      </c>
      <c r="G2151" s="14">
        <v>539000</v>
      </c>
      <c r="H2151" s="13" t="s">
        <v>299</v>
      </c>
      <c r="I2151" s="40" t="s">
        <v>18</v>
      </c>
      <c r="J2151" s="40" t="str">
        <f>HYPERLINK("https://stock.pstatic.net/stock-research/company/39/20260602_company_196939000.pdf","PDF")</f>
        <v>PDF</v>
      </c>
      <c r="K2151" s="12" t="s">
        <v>300</v>
      </c>
      <c r="L2151" s="36">
        <v>0.22448979591836729</v>
      </c>
    </row>
    <row r="2152" spans="1:12" x14ac:dyDescent="0.45">
      <c r="A2152" s="12" t="s">
        <v>263</v>
      </c>
      <c r="B2152" s="12" t="s">
        <v>301</v>
      </c>
      <c r="C2152" s="13" t="s">
        <v>302</v>
      </c>
      <c r="D2152" s="13" t="s">
        <v>44</v>
      </c>
      <c r="E2152" s="12" t="s">
        <v>50</v>
      </c>
      <c r="F2152" s="13"/>
      <c r="G2152" s="14">
        <v>7550</v>
      </c>
      <c r="H2152" s="13" t="s">
        <v>303</v>
      </c>
      <c r="I2152" s="40" t="s">
        <v>18</v>
      </c>
      <c r="J2152" s="40" t="str">
        <f>HYPERLINK("https://stock.pstatic.net/stock-research/company/39/20260602_company_379103000.pdf","PDF")</f>
        <v>PDF</v>
      </c>
      <c r="K2152" s="12" t="s">
        <v>304</v>
      </c>
      <c r="L2152" s="12"/>
    </row>
    <row r="2153" spans="1:12" x14ac:dyDescent="0.45">
      <c r="A2153" s="12" t="s">
        <v>263</v>
      </c>
      <c r="B2153" s="12" t="s">
        <v>305</v>
      </c>
      <c r="C2153" s="13" t="s">
        <v>306</v>
      </c>
      <c r="D2153" s="13" t="s">
        <v>124</v>
      </c>
      <c r="E2153" s="12" t="s">
        <v>50</v>
      </c>
      <c r="F2153" s="13"/>
      <c r="G2153" s="13"/>
      <c r="H2153" s="13" t="s">
        <v>307</v>
      </c>
      <c r="I2153" s="40" t="s">
        <v>18</v>
      </c>
      <c r="J2153" s="40" t="str">
        <f>HYPERLINK("https://stock.pstatic.net/stock-research/company/74/20260602_company_652755000.pdf","PDF")</f>
        <v>PDF</v>
      </c>
      <c r="K2153" s="12" t="s">
        <v>308</v>
      </c>
      <c r="L2153" s="12"/>
    </row>
    <row r="2154" spans="1:12" x14ac:dyDescent="0.45">
      <c r="A2154" s="12" t="s">
        <v>263</v>
      </c>
      <c r="B2154" s="12" t="s">
        <v>309</v>
      </c>
      <c r="C2154" s="13" t="s">
        <v>310</v>
      </c>
      <c r="D2154" s="13" t="s">
        <v>15</v>
      </c>
      <c r="E2154" s="12" t="s">
        <v>50</v>
      </c>
      <c r="F2154" s="13"/>
      <c r="G2154" s="14">
        <v>40800</v>
      </c>
      <c r="H2154" s="13" t="s">
        <v>311</v>
      </c>
      <c r="I2154" s="40" t="s">
        <v>18</v>
      </c>
      <c r="J2154" s="40" t="str">
        <f>HYPERLINK("https://stock.pstatic.net/stock-research/company/56/20260602_company_609130000.pdf","PDF")</f>
        <v>PDF</v>
      </c>
      <c r="K2154" s="12" t="s">
        <v>312</v>
      </c>
      <c r="L2154" s="12"/>
    </row>
    <row r="2155" spans="1:12" x14ac:dyDescent="0.45">
      <c r="A2155" s="12" t="s">
        <v>313</v>
      </c>
      <c r="B2155" s="12" t="s">
        <v>32</v>
      </c>
      <c r="C2155" s="13" t="s">
        <v>33</v>
      </c>
      <c r="D2155" s="13" t="s">
        <v>15</v>
      </c>
      <c r="E2155" s="12" t="s">
        <v>16</v>
      </c>
      <c r="F2155" s="14">
        <v>2800000</v>
      </c>
      <c r="G2155" s="14">
        <v>2127000</v>
      </c>
      <c r="H2155" s="13" t="s">
        <v>314</v>
      </c>
      <c r="I2155" s="40" t="s">
        <v>18</v>
      </c>
      <c r="J2155" s="40" t="str">
        <f>HYPERLINK("https://stock.pstatic.net/stock-research/company/56/20260601_company_733024000.pdf","PDF")</f>
        <v>PDF</v>
      </c>
      <c r="K2155" s="12" t="s">
        <v>315</v>
      </c>
      <c r="L2155" s="36">
        <v>0.31640808650681712</v>
      </c>
    </row>
    <row r="2156" spans="1:12" x14ac:dyDescent="0.45">
      <c r="A2156" s="12" t="s">
        <v>313</v>
      </c>
      <c r="B2156" s="12" t="s">
        <v>316</v>
      </c>
      <c r="C2156" s="13" t="s">
        <v>317</v>
      </c>
      <c r="D2156" s="13" t="s">
        <v>276</v>
      </c>
      <c r="E2156" s="12" t="s">
        <v>16</v>
      </c>
      <c r="F2156" s="14">
        <v>45000</v>
      </c>
      <c r="G2156" s="14">
        <v>31900</v>
      </c>
      <c r="H2156" s="13" t="s">
        <v>318</v>
      </c>
      <c r="I2156" s="40" t="s">
        <v>18</v>
      </c>
      <c r="J2156" s="40" t="str">
        <f>HYPERLINK("https://stock.pstatic.net/stock-research/company/66/20260601_company_523908000.pdf","PDF")</f>
        <v>PDF</v>
      </c>
      <c r="K2156" s="12" t="s">
        <v>319</v>
      </c>
      <c r="L2156" s="36">
        <v>0.41065830721003133</v>
      </c>
    </row>
    <row r="2157" spans="1:12" x14ac:dyDescent="0.45">
      <c r="A2157" s="12" t="s">
        <v>313</v>
      </c>
      <c r="B2157" s="12" t="s">
        <v>150</v>
      </c>
      <c r="C2157" s="13" t="s">
        <v>151</v>
      </c>
      <c r="D2157" s="13" t="s">
        <v>60</v>
      </c>
      <c r="E2157" s="12" t="s">
        <v>35</v>
      </c>
      <c r="F2157" s="14">
        <v>34000</v>
      </c>
      <c r="G2157" s="14">
        <v>19250</v>
      </c>
      <c r="H2157" s="13" t="s">
        <v>320</v>
      </c>
      <c r="I2157" s="40" t="s">
        <v>18</v>
      </c>
      <c r="J2157" s="40" t="str">
        <f>HYPERLINK("https://stock.pstatic.net/stock-research/company/62/20260601_company_971488000.pdf","PDF")</f>
        <v>PDF</v>
      </c>
      <c r="K2157" s="12" t="s">
        <v>321</v>
      </c>
      <c r="L2157" s="36">
        <v>0.76623376623376627</v>
      </c>
    </row>
    <row r="2158" spans="1:12" x14ac:dyDescent="0.45">
      <c r="A2158" s="12" t="s">
        <v>313</v>
      </c>
      <c r="B2158" s="12" t="s">
        <v>322</v>
      </c>
      <c r="C2158" s="13" t="s">
        <v>323</v>
      </c>
      <c r="D2158" s="13" t="s">
        <v>158</v>
      </c>
      <c r="E2158" s="12" t="s">
        <v>50</v>
      </c>
      <c r="F2158" s="13"/>
      <c r="G2158" s="14">
        <v>75800</v>
      </c>
      <c r="H2158" s="13" t="s">
        <v>324</v>
      </c>
      <c r="I2158" s="40" t="s">
        <v>18</v>
      </c>
      <c r="J2158" s="40" t="str">
        <f>HYPERLINK("https://stock.pstatic.net/stock-research/company/18/20260601_company_667252000.pdf","PDF")</f>
        <v>PDF</v>
      </c>
      <c r="K2158" s="12" t="s">
        <v>325</v>
      </c>
      <c r="L2158" s="12"/>
    </row>
    <row r="2159" spans="1:12" x14ac:dyDescent="0.45">
      <c r="A2159" s="12" t="s">
        <v>313</v>
      </c>
      <c r="B2159" s="12" t="s">
        <v>326</v>
      </c>
      <c r="C2159" s="13" t="s">
        <v>327</v>
      </c>
      <c r="D2159" s="13" t="s">
        <v>158</v>
      </c>
      <c r="E2159" s="12" t="s">
        <v>50</v>
      </c>
      <c r="F2159" s="13"/>
      <c r="G2159" s="14">
        <v>29100</v>
      </c>
      <c r="H2159" s="13" t="s">
        <v>328</v>
      </c>
      <c r="I2159" s="40" t="s">
        <v>18</v>
      </c>
      <c r="J2159" s="40" t="str">
        <f>HYPERLINK("https://stock.pstatic.net/stock-research/company/18/20260601_company_970749000.pdf","PDF")</f>
        <v>PDF</v>
      </c>
      <c r="K2159" s="12" t="s">
        <v>329</v>
      </c>
      <c r="L2159" s="12"/>
    </row>
    <row r="2160" spans="1:12" x14ac:dyDescent="0.45">
      <c r="A2160" s="12" t="s">
        <v>313</v>
      </c>
      <c r="B2160" s="12" t="s">
        <v>330</v>
      </c>
      <c r="C2160" s="13" t="s">
        <v>331</v>
      </c>
      <c r="D2160" s="13" t="s">
        <v>158</v>
      </c>
      <c r="E2160" s="12" t="s">
        <v>159</v>
      </c>
      <c r="F2160" s="14">
        <v>35900</v>
      </c>
      <c r="G2160" s="14">
        <v>41850</v>
      </c>
      <c r="H2160" s="13" t="s">
        <v>332</v>
      </c>
      <c r="I2160" s="40" t="s">
        <v>18</v>
      </c>
      <c r="J2160" s="40" t="str">
        <f>HYPERLINK("https://stock.pstatic.net/stock-research/company/18/20260601_company_890990000.pdf","PDF")</f>
        <v>PDF</v>
      </c>
      <c r="K2160" s="12" t="s">
        <v>333</v>
      </c>
      <c r="L2160" s="36">
        <v>-0.14217443249701309</v>
      </c>
    </row>
    <row r="2161" spans="1:12" x14ac:dyDescent="0.45">
      <c r="A2161" s="12" t="s">
        <v>313</v>
      </c>
      <c r="B2161" s="12" t="s">
        <v>334</v>
      </c>
      <c r="C2161" s="13" t="s">
        <v>335</v>
      </c>
      <c r="D2161" s="13" t="s">
        <v>15</v>
      </c>
      <c r="E2161" s="12" t="s">
        <v>16</v>
      </c>
      <c r="F2161" s="14">
        <v>3800000</v>
      </c>
      <c r="G2161" s="14">
        <v>2333000</v>
      </c>
      <c r="H2161" s="13" t="s">
        <v>336</v>
      </c>
      <c r="I2161" s="40" t="s">
        <v>18</v>
      </c>
      <c r="J2161" s="40" t="str">
        <f>HYPERLINK("https://stock.pstatic.net/stock-research/company/56/20260601_company_947462000.pdf","PDF")</f>
        <v>PDF</v>
      </c>
      <c r="K2161" s="12" t="s">
        <v>337</v>
      </c>
      <c r="L2161" s="36">
        <v>0.62880411487355337</v>
      </c>
    </row>
    <row r="2162" spans="1:12" x14ac:dyDescent="0.45">
      <c r="A2162" s="12" t="s">
        <v>313</v>
      </c>
      <c r="B2162" s="12" t="s">
        <v>13</v>
      </c>
      <c r="C2162" s="13" t="s">
        <v>14</v>
      </c>
      <c r="D2162" s="13" t="s">
        <v>15</v>
      </c>
      <c r="E2162" s="12" t="s">
        <v>16</v>
      </c>
      <c r="F2162" s="14">
        <v>550000</v>
      </c>
      <c r="G2162" s="14">
        <v>317000</v>
      </c>
      <c r="H2162" s="13" t="s">
        <v>338</v>
      </c>
      <c r="I2162" s="40" t="s">
        <v>18</v>
      </c>
      <c r="J2162" s="40" t="str">
        <f>HYPERLINK("https://stock.pstatic.net/stock-research/company/56/20260601_company_700695000.pdf","PDF")</f>
        <v>PDF</v>
      </c>
      <c r="K2162" s="12" t="s">
        <v>339</v>
      </c>
      <c r="L2162" s="36">
        <v>0.73501577287066244</v>
      </c>
    </row>
    <row r="2163" spans="1:12" x14ac:dyDescent="0.45">
      <c r="A2163" s="12" t="s">
        <v>313</v>
      </c>
      <c r="B2163" s="12" t="s">
        <v>340</v>
      </c>
      <c r="C2163" s="13" t="s">
        <v>341</v>
      </c>
      <c r="D2163" s="13" t="s">
        <v>124</v>
      </c>
      <c r="E2163" s="12" t="s">
        <v>50</v>
      </c>
      <c r="F2163" s="13"/>
      <c r="G2163" s="13"/>
      <c r="H2163" s="13" t="s">
        <v>342</v>
      </c>
      <c r="I2163" s="40" t="s">
        <v>18</v>
      </c>
      <c r="J2163" s="40" t="str">
        <f>HYPERLINK("https://stock.pstatic.net/stock-research/company/74/20260601_company_811358000.pdf","PDF")</f>
        <v>PDF</v>
      </c>
      <c r="K2163" s="12" t="s">
        <v>343</v>
      </c>
      <c r="L2163" s="12"/>
    </row>
    <row r="2164" spans="1:12" x14ac:dyDescent="0.45">
      <c r="A2164" s="12" t="s">
        <v>313</v>
      </c>
      <c r="B2164" s="12" t="s">
        <v>344</v>
      </c>
      <c r="C2164" s="13" t="s">
        <v>345</v>
      </c>
      <c r="D2164" s="13" t="s">
        <v>34</v>
      </c>
      <c r="E2164" s="12" t="s">
        <v>50</v>
      </c>
      <c r="F2164" s="13"/>
      <c r="G2164" s="14">
        <v>10670</v>
      </c>
      <c r="H2164" s="13" t="s">
        <v>346</v>
      </c>
      <c r="I2164" s="40" t="s">
        <v>18</v>
      </c>
      <c r="J2164" s="40" t="str">
        <f>HYPERLINK("https://stock.pstatic.net/stock-research/company/61/20260601_company_167017000.pdf","PDF")</f>
        <v>PDF</v>
      </c>
      <c r="K2164" s="12" t="s">
        <v>347</v>
      </c>
      <c r="L2164" s="12"/>
    </row>
    <row r="2165" spans="1:12" x14ac:dyDescent="0.45">
      <c r="A2165" s="12" t="s">
        <v>313</v>
      </c>
      <c r="B2165" s="12" t="s">
        <v>348</v>
      </c>
      <c r="C2165" s="13" t="s">
        <v>349</v>
      </c>
      <c r="D2165" s="13" t="s">
        <v>92</v>
      </c>
      <c r="E2165" s="12" t="s">
        <v>50</v>
      </c>
      <c r="F2165" s="13"/>
      <c r="G2165" s="14">
        <v>19510</v>
      </c>
      <c r="H2165" s="13" t="s">
        <v>350</v>
      </c>
      <c r="I2165" s="40" t="s">
        <v>18</v>
      </c>
      <c r="J2165" s="40" t="str">
        <f>HYPERLINK("https://stock.pstatic.net/stock-research/company/63/20260601_company_599310000.pdf","PDF")</f>
        <v>PDF</v>
      </c>
      <c r="K2165" s="12" t="s">
        <v>351</v>
      </c>
      <c r="L2165" s="12"/>
    </row>
    <row r="2166" spans="1:12" x14ac:dyDescent="0.45">
      <c r="A2166" s="12" t="s">
        <v>313</v>
      </c>
      <c r="B2166" s="12" t="s">
        <v>352</v>
      </c>
      <c r="C2166" s="13" t="s">
        <v>353</v>
      </c>
      <c r="D2166" s="13" t="s">
        <v>92</v>
      </c>
      <c r="E2166" s="12" t="s">
        <v>35</v>
      </c>
      <c r="F2166" s="14">
        <v>316000</v>
      </c>
      <c r="G2166" s="14">
        <v>200500</v>
      </c>
      <c r="H2166" s="13" t="s">
        <v>354</v>
      </c>
      <c r="I2166" s="40" t="s">
        <v>18</v>
      </c>
      <c r="J2166" s="40" t="str">
        <f>HYPERLINK("https://stock.pstatic.net/stock-research/company/63/20260601_company_797820000.pdf","PDF")</f>
        <v>PDF</v>
      </c>
      <c r="K2166" s="12" t="s">
        <v>355</v>
      </c>
      <c r="L2166" s="36">
        <v>0.57605985037406482</v>
      </c>
    </row>
    <row r="2167" spans="1:12" x14ac:dyDescent="0.45">
      <c r="A2167" s="12" t="s">
        <v>313</v>
      </c>
      <c r="B2167" s="12" t="s">
        <v>356</v>
      </c>
      <c r="C2167" s="13" t="s">
        <v>357</v>
      </c>
      <c r="D2167" s="13" t="s">
        <v>179</v>
      </c>
      <c r="E2167" s="12" t="s">
        <v>50</v>
      </c>
      <c r="F2167" s="13"/>
      <c r="G2167" s="14">
        <v>112800</v>
      </c>
      <c r="H2167" s="13" t="s">
        <v>358</v>
      </c>
      <c r="I2167" s="40" t="s">
        <v>18</v>
      </c>
      <c r="J2167" s="40" t="str">
        <f>HYPERLINK("https://stock.pstatic.net/stock-research/company/64/20260601_company_173858000.pdf","PDF")</f>
        <v>PDF</v>
      </c>
      <c r="K2167" s="12" t="s">
        <v>359</v>
      </c>
      <c r="L2167" s="12"/>
    </row>
    <row r="2168" spans="1:12" x14ac:dyDescent="0.45">
      <c r="A2168" s="12" t="s">
        <v>313</v>
      </c>
      <c r="B2168" s="12" t="s">
        <v>68</v>
      </c>
      <c r="C2168" s="13" t="s">
        <v>69</v>
      </c>
      <c r="D2168" s="13" t="s">
        <v>23</v>
      </c>
      <c r="E2168" s="12" t="s">
        <v>50</v>
      </c>
      <c r="F2168" s="13"/>
      <c r="G2168" s="14">
        <v>94600</v>
      </c>
      <c r="H2168" s="13" t="s">
        <v>360</v>
      </c>
      <c r="I2168" s="40" t="s">
        <v>18</v>
      </c>
      <c r="J2168" s="40" t="str">
        <f>HYPERLINK("https://stock.pstatic.net/stock-research/company/21/20260601_company_12774000.pdf","PDF")</f>
        <v>PDF</v>
      </c>
      <c r="K2168" s="12" t="s">
        <v>361</v>
      </c>
      <c r="L2168" s="12"/>
    </row>
    <row r="2169" spans="1:12" x14ac:dyDescent="0.45">
      <c r="A2169" s="12" t="s">
        <v>313</v>
      </c>
      <c r="B2169" s="12" t="s">
        <v>362</v>
      </c>
      <c r="C2169" s="13" t="s">
        <v>363</v>
      </c>
      <c r="D2169" s="13" t="s">
        <v>44</v>
      </c>
      <c r="E2169" s="12" t="s">
        <v>35</v>
      </c>
      <c r="F2169" s="14">
        <v>200000</v>
      </c>
      <c r="G2169" s="14">
        <v>146600</v>
      </c>
      <c r="H2169" s="13" t="s">
        <v>364</v>
      </c>
      <c r="I2169" s="40" t="s">
        <v>18</v>
      </c>
      <c r="J2169" s="40" t="str">
        <f>HYPERLINK("https://stock.pstatic.net/stock-research/company/39/20260601_company_358308000.pdf","PDF")</f>
        <v>PDF</v>
      </c>
      <c r="K2169" s="12" t="s">
        <v>365</v>
      </c>
      <c r="L2169" s="36">
        <v>0.36425648021828111</v>
      </c>
    </row>
    <row r="2170" spans="1:12" x14ac:dyDescent="0.45">
      <c r="A2170" s="12" t="s">
        <v>313</v>
      </c>
      <c r="B2170" s="12" t="s">
        <v>366</v>
      </c>
      <c r="C2170" s="13" t="s">
        <v>367</v>
      </c>
      <c r="D2170" s="13" t="s">
        <v>124</v>
      </c>
      <c r="E2170" s="12" t="s">
        <v>50</v>
      </c>
      <c r="F2170" s="13"/>
      <c r="G2170" s="13"/>
      <c r="H2170" s="13" t="s">
        <v>368</v>
      </c>
      <c r="I2170" s="40" t="s">
        <v>18</v>
      </c>
      <c r="J2170" s="40" t="str">
        <f>HYPERLINK("https://stock.pstatic.net/stock-research/company/74/20260601_company_620266000.pdf","PDF")</f>
        <v>PDF</v>
      </c>
      <c r="K2170" s="12" t="s">
        <v>369</v>
      </c>
      <c r="L2170" s="12"/>
    </row>
    <row r="2171" spans="1:12" x14ac:dyDescent="0.45">
      <c r="A2171" s="12" t="s">
        <v>313</v>
      </c>
      <c r="B2171" s="12" t="s">
        <v>370</v>
      </c>
      <c r="C2171" s="13" t="s">
        <v>371</v>
      </c>
      <c r="D2171" s="13" t="s">
        <v>23</v>
      </c>
      <c r="E2171" s="12" t="s">
        <v>16</v>
      </c>
      <c r="F2171" s="14">
        <v>65000</v>
      </c>
      <c r="G2171" s="14">
        <v>45750</v>
      </c>
      <c r="H2171" s="13" t="s">
        <v>372</v>
      </c>
      <c r="I2171" s="40" t="s">
        <v>18</v>
      </c>
      <c r="J2171" s="40" t="str">
        <f>HYPERLINK("https://stock.pstatic.net/stock-research/company/21/20260601_company_945913000.pdf","PDF")</f>
        <v>PDF</v>
      </c>
      <c r="K2171" s="12" t="s">
        <v>373</v>
      </c>
      <c r="L2171" s="36">
        <v>0.42076502732240439</v>
      </c>
    </row>
    <row r="2172" spans="1:12" x14ac:dyDescent="0.45">
      <c r="A2172" s="12" t="s">
        <v>374</v>
      </c>
      <c r="B2172" s="12" t="s">
        <v>375</v>
      </c>
      <c r="C2172" s="13" t="s">
        <v>376</v>
      </c>
      <c r="D2172" s="13" t="s">
        <v>23</v>
      </c>
      <c r="E2172" s="12" t="s">
        <v>16</v>
      </c>
      <c r="F2172" s="14">
        <v>23000</v>
      </c>
      <c r="G2172" s="14">
        <v>19810</v>
      </c>
      <c r="H2172" s="13" t="s">
        <v>377</v>
      </c>
      <c r="I2172" s="40" t="s">
        <v>18</v>
      </c>
      <c r="J2172" s="40" t="str">
        <f>HYPERLINK("https://stock.pstatic.net/stock-research/company/21/20260529_company_395456000.pdf","PDF")</f>
        <v>PDF</v>
      </c>
      <c r="K2172" s="12" t="s">
        <v>378</v>
      </c>
      <c r="L2172" s="36">
        <v>0.16102978293791009</v>
      </c>
    </row>
    <row r="2173" spans="1:12" x14ac:dyDescent="0.45">
      <c r="A2173" s="12" t="s">
        <v>374</v>
      </c>
      <c r="B2173" s="12" t="s">
        <v>379</v>
      </c>
      <c r="C2173" s="13" t="s">
        <v>380</v>
      </c>
      <c r="D2173" s="13" t="s">
        <v>276</v>
      </c>
      <c r="E2173" s="12" t="s">
        <v>16</v>
      </c>
      <c r="F2173" s="14">
        <v>4600</v>
      </c>
      <c r="G2173" s="14">
        <v>4065</v>
      </c>
      <c r="H2173" s="13" t="s">
        <v>381</v>
      </c>
      <c r="I2173" s="40" t="s">
        <v>18</v>
      </c>
      <c r="J2173" s="40" t="str">
        <f>HYPERLINK("https://stock.pstatic.net/stock-research/company/66/20260529_company_216858000.pdf","PDF")</f>
        <v>PDF</v>
      </c>
      <c r="K2173" s="12" t="s">
        <v>382</v>
      </c>
      <c r="L2173" s="36">
        <v>0.1316113161131611</v>
      </c>
    </row>
    <row r="2174" spans="1:12" x14ac:dyDescent="0.45">
      <c r="A2174" s="12" t="s">
        <v>374</v>
      </c>
      <c r="B2174" s="12" t="s">
        <v>383</v>
      </c>
      <c r="C2174" s="13" t="s">
        <v>384</v>
      </c>
      <c r="D2174" s="13" t="s">
        <v>276</v>
      </c>
      <c r="E2174" s="12" t="s">
        <v>385</v>
      </c>
      <c r="F2174" s="14">
        <v>92000</v>
      </c>
      <c r="G2174" s="14">
        <v>100400</v>
      </c>
      <c r="H2174" s="13" t="s">
        <v>386</v>
      </c>
      <c r="I2174" s="40" t="s">
        <v>18</v>
      </c>
      <c r="J2174" s="40" t="str">
        <f>HYPERLINK("https://stock.pstatic.net/stock-research/company/66/20260529_company_165621000.pdf","PDF")</f>
        <v>PDF</v>
      </c>
      <c r="K2174" s="12" t="s">
        <v>387</v>
      </c>
      <c r="L2174" s="36">
        <v>-8.3665338645418322E-2</v>
      </c>
    </row>
    <row r="2175" spans="1:12" x14ac:dyDescent="0.45">
      <c r="A2175" s="12" t="s">
        <v>374</v>
      </c>
      <c r="B2175" s="12" t="s">
        <v>388</v>
      </c>
      <c r="C2175" s="13" t="s">
        <v>389</v>
      </c>
      <c r="D2175" s="13" t="s">
        <v>276</v>
      </c>
      <c r="E2175" s="12" t="s">
        <v>16</v>
      </c>
      <c r="F2175" s="14">
        <v>64000</v>
      </c>
      <c r="G2175" s="14">
        <v>55300</v>
      </c>
      <c r="H2175" s="13" t="s">
        <v>390</v>
      </c>
      <c r="I2175" s="40" t="s">
        <v>18</v>
      </c>
      <c r="J2175" s="40" t="str">
        <f>HYPERLINK("https://stock.pstatic.net/stock-research/company/66/20260529_company_153762000.pdf","PDF")</f>
        <v>PDF</v>
      </c>
      <c r="K2175" s="12" t="s">
        <v>391</v>
      </c>
      <c r="L2175" s="36">
        <v>0.15732368896925861</v>
      </c>
    </row>
    <row r="2176" spans="1:12" x14ac:dyDescent="0.45">
      <c r="A2176" s="12" t="s">
        <v>374</v>
      </c>
      <c r="B2176" s="12" t="s">
        <v>166</v>
      </c>
      <c r="C2176" s="13" t="s">
        <v>167</v>
      </c>
      <c r="D2176" s="13" t="s">
        <v>65</v>
      </c>
      <c r="E2176" s="12" t="s">
        <v>35</v>
      </c>
      <c r="F2176" s="14">
        <v>80000</v>
      </c>
      <c r="G2176" s="14">
        <v>41750</v>
      </c>
      <c r="H2176" s="13" t="s">
        <v>392</v>
      </c>
      <c r="I2176" s="40" t="s">
        <v>18</v>
      </c>
      <c r="J2176" s="40" t="str">
        <f>HYPERLINK("https://stock.pstatic.net/stock-research/company/57/20260529_company_753126000.pdf","PDF")</f>
        <v>PDF</v>
      </c>
      <c r="K2176" s="12" t="s">
        <v>393</v>
      </c>
      <c r="L2176" s="36">
        <v>0.91616766467065869</v>
      </c>
    </row>
    <row r="2177" spans="1:12" x14ac:dyDescent="0.45">
      <c r="A2177" s="12" t="s">
        <v>374</v>
      </c>
      <c r="B2177" s="12" t="s">
        <v>394</v>
      </c>
      <c r="C2177" s="13" t="s">
        <v>395</v>
      </c>
      <c r="D2177" s="13" t="s">
        <v>65</v>
      </c>
      <c r="E2177" s="12" t="s">
        <v>35</v>
      </c>
      <c r="F2177" s="14">
        <v>55000</v>
      </c>
      <c r="G2177" s="14">
        <v>44750</v>
      </c>
      <c r="H2177" s="13" t="s">
        <v>396</v>
      </c>
      <c r="I2177" s="40" t="s">
        <v>18</v>
      </c>
      <c r="J2177" s="40" t="str">
        <f>HYPERLINK("https://stock.pstatic.net/stock-research/company/57/20260529_company_884667000.pdf","PDF")</f>
        <v>PDF</v>
      </c>
      <c r="K2177" s="12" t="s">
        <v>397</v>
      </c>
      <c r="L2177" s="36">
        <v>0.22905027932960889</v>
      </c>
    </row>
    <row r="2178" spans="1:12" x14ac:dyDescent="0.45">
      <c r="A2178" s="12" t="s">
        <v>374</v>
      </c>
      <c r="B2178" s="12" t="s">
        <v>398</v>
      </c>
      <c r="C2178" s="13" t="s">
        <v>399</v>
      </c>
      <c r="D2178" s="13" t="s">
        <v>65</v>
      </c>
      <c r="E2178" s="12" t="s">
        <v>35</v>
      </c>
      <c r="F2178" s="14">
        <v>294000</v>
      </c>
      <c r="G2178" s="14">
        <v>238000</v>
      </c>
      <c r="H2178" s="13" t="s">
        <v>400</v>
      </c>
      <c r="I2178" s="40" t="s">
        <v>18</v>
      </c>
      <c r="J2178" s="40" t="str">
        <f>HYPERLINK("https://stock.pstatic.net/stock-research/company/57/20260529_company_225001000.pdf","PDF")</f>
        <v>PDF</v>
      </c>
      <c r="K2178" s="12" t="s">
        <v>401</v>
      </c>
      <c r="L2178" s="36">
        <v>0.23529411764705879</v>
      </c>
    </row>
    <row r="2179" spans="1:12" x14ac:dyDescent="0.45">
      <c r="A2179" s="12" t="s">
        <v>374</v>
      </c>
      <c r="B2179" s="12" t="s">
        <v>402</v>
      </c>
      <c r="C2179" s="13" t="s">
        <v>403</v>
      </c>
      <c r="D2179" s="13" t="s">
        <v>65</v>
      </c>
      <c r="E2179" s="12" t="s">
        <v>35</v>
      </c>
      <c r="F2179" s="14">
        <v>145000</v>
      </c>
      <c r="G2179" s="14">
        <v>87300</v>
      </c>
      <c r="H2179" s="13" t="s">
        <v>404</v>
      </c>
      <c r="I2179" s="40" t="s">
        <v>18</v>
      </c>
      <c r="J2179" s="40" t="str">
        <f>HYPERLINK("https://stock.pstatic.net/stock-research/company/57/20260529_company_348194000.pdf","PDF")</f>
        <v>PDF</v>
      </c>
      <c r="K2179" s="12" t="s">
        <v>405</v>
      </c>
      <c r="L2179" s="36">
        <v>0.66093928980526917</v>
      </c>
    </row>
    <row r="2180" spans="1:12" x14ac:dyDescent="0.45">
      <c r="A2180" s="12" t="s">
        <v>374</v>
      </c>
      <c r="B2180" s="12" t="s">
        <v>406</v>
      </c>
      <c r="C2180" s="13" t="s">
        <v>407</v>
      </c>
      <c r="D2180" s="13" t="s">
        <v>158</v>
      </c>
      <c r="E2180" s="12" t="s">
        <v>50</v>
      </c>
      <c r="F2180" s="13"/>
      <c r="G2180" s="14">
        <v>9400</v>
      </c>
      <c r="H2180" s="13" t="s">
        <v>408</v>
      </c>
      <c r="I2180" s="40" t="s">
        <v>18</v>
      </c>
      <c r="J2180" s="40" t="str">
        <f>HYPERLINK("https://stock.pstatic.net/stock-research/company/18/20260529_company_164997000.pdf","PDF")</f>
        <v>PDF</v>
      </c>
      <c r="K2180" s="12" t="s">
        <v>409</v>
      </c>
      <c r="L2180" s="12"/>
    </row>
    <row r="2181" spans="1:12" x14ac:dyDescent="0.45">
      <c r="A2181" s="12" t="s">
        <v>374</v>
      </c>
      <c r="B2181" s="12" t="s">
        <v>410</v>
      </c>
      <c r="C2181" s="13" t="s">
        <v>411</v>
      </c>
      <c r="D2181" s="13" t="s">
        <v>158</v>
      </c>
      <c r="E2181" s="12" t="s">
        <v>50</v>
      </c>
      <c r="F2181" s="13"/>
      <c r="G2181" s="14">
        <v>7580</v>
      </c>
      <c r="H2181" s="13" t="s">
        <v>412</v>
      </c>
      <c r="I2181" s="40" t="s">
        <v>18</v>
      </c>
      <c r="J2181" s="40" t="str">
        <f>HYPERLINK("https://stock.pstatic.net/stock-research/company/18/20260529_company_231685000.pdf","PDF")</f>
        <v>PDF</v>
      </c>
      <c r="K2181" s="12" t="s">
        <v>413</v>
      </c>
      <c r="L2181" s="12"/>
    </row>
    <row r="2182" spans="1:12" x14ac:dyDescent="0.45">
      <c r="A2182" s="12" t="s">
        <v>374</v>
      </c>
      <c r="B2182" s="12" t="s">
        <v>414</v>
      </c>
      <c r="C2182" s="13" t="s">
        <v>415</v>
      </c>
      <c r="D2182" s="13" t="s">
        <v>158</v>
      </c>
      <c r="E2182" s="12" t="s">
        <v>50</v>
      </c>
      <c r="F2182" s="13"/>
      <c r="G2182" s="14">
        <v>15980</v>
      </c>
      <c r="H2182" s="13" t="s">
        <v>416</v>
      </c>
      <c r="I2182" s="40" t="s">
        <v>18</v>
      </c>
      <c r="J2182" s="40" t="str">
        <f>HYPERLINK("https://stock.pstatic.net/stock-research/company/18/20260529_company_675976000.pdf","PDF")</f>
        <v>PDF</v>
      </c>
      <c r="K2182" s="12" t="s">
        <v>417</v>
      </c>
      <c r="L2182" s="12"/>
    </row>
    <row r="2183" spans="1:12" x14ac:dyDescent="0.45">
      <c r="A2183" s="12" t="s">
        <v>374</v>
      </c>
      <c r="B2183" s="12" t="s">
        <v>418</v>
      </c>
      <c r="C2183" s="13" t="s">
        <v>419</v>
      </c>
      <c r="D2183" s="13" t="s">
        <v>158</v>
      </c>
      <c r="E2183" s="12" t="s">
        <v>50</v>
      </c>
      <c r="F2183" s="13"/>
      <c r="G2183" s="14">
        <v>20350</v>
      </c>
      <c r="H2183" s="13" t="s">
        <v>420</v>
      </c>
      <c r="I2183" s="40" t="s">
        <v>18</v>
      </c>
      <c r="J2183" s="40" t="str">
        <f>HYPERLINK("https://stock.pstatic.net/stock-research/company/18/20260529_company_417585000.pdf","PDF")</f>
        <v>PDF</v>
      </c>
      <c r="K2183" s="12" t="s">
        <v>421</v>
      </c>
      <c r="L2183" s="12"/>
    </row>
    <row r="2184" spans="1:12" x14ac:dyDescent="0.45">
      <c r="A2184" s="12" t="s">
        <v>374</v>
      </c>
      <c r="B2184" s="12" t="s">
        <v>422</v>
      </c>
      <c r="C2184" s="13" t="s">
        <v>423</v>
      </c>
      <c r="D2184" s="13" t="s">
        <v>158</v>
      </c>
      <c r="E2184" s="12" t="s">
        <v>35</v>
      </c>
      <c r="F2184" s="14">
        <v>27000</v>
      </c>
      <c r="G2184" s="14">
        <v>18650</v>
      </c>
      <c r="H2184" s="13" t="s">
        <v>424</v>
      </c>
      <c r="I2184" s="40" t="s">
        <v>18</v>
      </c>
      <c r="J2184" s="40" t="str">
        <f>HYPERLINK("https://stock.pstatic.net/stock-research/company/18/20260529_company_522846000.pdf","PDF")</f>
        <v>PDF</v>
      </c>
      <c r="K2184" s="12" t="s">
        <v>425</v>
      </c>
      <c r="L2184" s="36">
        <v>0.4477211796246649</v>
      </c>
    </row>
    <row r="2185" spans="1:12" x14ac:dyDescent="0.45">
      <c r="A2185" s="12" t="s">
        <v>374</v>
      </c>
      <c r="B2185" s="12" t="s">
        <v>426</v>
      </c>
      <c r="C2185" s="13" t="s">
        <v>427</v>
      </c>
      <c r="D2185" s="13" t="s">
        <v>158</v>
      </c>
      <c r="E2185" s="12" t="s">
        <v>35</v>
      </c>
      <c r="F2185" s="14">
        <v>20000</v>
      </c>
      <c r="G2185" s="14">
        <v>13920</v>
      </c>
      <c r="H2185" s="13" t="s">
        <v>428</v>
      </c>
      <c r="I2185" s="40" t="s">
        <v>18</v>
      </c>
      <c r="J2185" s="40" t="str">
        <f>HYPERLINK("https://stock.pstatic.net/stock-research/company/18/20260529_company_687225000.pdf","PDF")</f>
        <v>PDF</v>
      </c>
      <c r="K2185" s="12" t="s">
        <v>429</v>
      </c>
      <c r="L2185" s="36">
        <v>0.43678160919540232</v>
      </c>
    </row>
    <row r="2186" spans="1:12" x14ac:dyDescent="0.45">
      <c r="A2186" s="12" t="s">
        <v>374</v>
      </c>
      <c r="B2186" s="12" t="s">
        <v>430</v>
      </c>
      <c r="C2186" s="13" t="s">
        <v>431</v>
      </c>
      <c r="D2186" s="13" t="s">
        <v>23</v>
      </c>
      <c r="E2186" s="12" t="s">
        <v>16</v>
      </c>
      <c r="F2186" s="14">
        <v>130000</v>
      </c>
      <c r="G2186" s="14">
        <v>62500</v>
      </c>
      <c r="H2186" s="13" t="s">
        <v>432</v>
      </c>
      <c r="I2186" s="40" t="s">
        <v>18</v>
      </c>
      <c r="J2186" s="40" t="str">
        <f>HYPERLINK("https://stock.pstatic.net/stock-research/company/21/20260529_company_926330000.pdf","PDF")</f>
        <v>PDF</v>
      </c>
      <c r="K2186" s="12" t="s">
        <v>433</v>
      </c>
      <c r="L2186" s="36">
        <v>1.08</v>
      </c>
    </row>
    <row r="2187" spans="1:12" x14ac:dyDescent="0.45">
      <c r="A2187" s="12" t="s">
        <v>374</v>
      </c>
      <c r="B2187" s="12" t="s">
        <v>434</v>
      </c>
      <c r="C2187" s="13" t="s">
        <v>435</v>
      </c>
      <c r="D2187" s="13" t="s">
        <v>92</v>
      </c>
      <c r="E2187" s="12" t="s">
        <v>35</v>
      </c>
      <c r="F2187" s="14">
        <v>150000</v>
      </c>
      <c r="G2187" s="14">
        <v>115400</v>
      </c>
      <c r="H2187" s="13" t="s">
        <v>436</v>
      </c>
      <c r="I2187" s="40" t="s">
        <v>18</v>
      </c>
      <c r="J2187" s="40" t="str">
        <f>HYPERLINK("https://stock.pstatic.net/stock-research/company/63/20260529_company_335719000.pdf","PDF")</f>
        <v>PDF</v>
      </c>
      <c r="K2187" s="12" t="s">
        <v>437</v>
      </c>
      <c r="L2187" s="36">
        <v>0.29982668977469668</v>
      </c>
    </row>
    <row r="2188" spans="1:12" x14ac:dyDescent="0.45">
      <c r="A2188" s="12" t="s">
        <v>374</v>
      </c>
      <c r="B2188" s="12" t="s">
        <v>438</v>
      </c>
      <c r="C2188" s="13" t="s">
        <v>439</v>
      </c>
      <c r="D2188" s="13" t="s">
        <v>124</v>
      </c>
      <c r="E2188" s="12" t="s">
        <v>50</v>
      </c>
      <c r="F2188" s="13"/>
      <c r="G2188" s="13"/>
      <c r="H2188" s="13" t="s">
        <v>440</v>
      </c>
      <c r="I2188" s="40" t="s">
        <v>18</v>
      </c>
      <c r="J2188" s="40" t="str">
        <f>HYPERLINK("https://stock.pstatic.net/stock-research/company/74/20260529_company_524313000.pdf","PDF")</f>
        <v>PDF</v>
      </c>
      <c r="K2188" s="12" t="s">
        <v>441</v>
      </c>
      <c r="L2188" s="12"/>
    </row>
    <row r="2189" spans="1:12" x14ac:dyDescent="0.45">
      <c r="A2189" s="12" t="s">
        <v>374</v>
      </c>
      <c r="B2189" s="12" t="s">
        <v>442</v>
      </c>
      <c r="C2189" s="13" t="s">
        <v>443</v>
      </c>
      <c r="D2189" s="13" t="s">
        <v>53</v>
      </c>
      <c r="E2189" s="12" t="s">
        <v>50</v>
      </c>
      <c r="F2189" s="13"/>
      <c r="G2189" s="14">
        <v>15900</v>
      </c>
      <c r="H2189" s="13" t="s">
        <v>444</v>
      </c>
      <c r="I2189" s="40" t="s">
        <v>18</v>
      </c>
      <c r="J2189" s="40" t="str">
        <f>HYPERLINK("https://stock.pstatic.net/stock-research/company/40/20260529_company_858007000.pdf","PDF")</f>
        <v>PDF</v>
      </c>
      <c r="K2189" s="12" t="s">
        <v>445</v>
      </c>
      <c r="L2189" s="12"/>
    </row>
    <row r="2190" spans="1:12" x14ac:dyDescent="0.45">
      <c r="A2190" s="12" t="s">
        <v>374</v>
      </c>
      <c r="B2190" s="12" t="s">
        <v>446</v>
      </c>
      <c r="C2190" s="13" t="s">
        <v>447</v>
      </c>
      <c r="D2190" s="13" t="s">
        <v>179</v>
      </c>
      <c r="E2190" s="12" t="s">
        <v>50</v>
      </c>
      <c r="F2190" s="13"/>
      <c r="G2190" s="14">
        <v>12070</v>
      </c>
      <c r="H2190" s="13" t="s">
        <v>448</v>
      </c>
      <c r="I2190" s="40" t="s">
        <v>18</v>
      </c>
      <c r="J2190" s="40" t="str">
        <f>HYPERLINK("https://stock.pstatic.net/stock-research/company/64/20260529_company_499602000.pdf","PDF")</f>
        <v>PDF</v>
      </c>
      <c r="K2190" s="12" t="s">
        <v>449</v>
      </c>
      <c r="L2190" s="12"/>
    </row>
    <row r="2191" spans="1:12" x14ac:dyDescent="0.45">
      <c r="A2191" s="12" t="s">
        <v>374</v>
      </c>
      <c r="B2191" s="12" t="s">
        <v>450</v>
      </c>
      <c r="C2191" s="13" t="s">
        <v>451</v>
      </c>
      <c r="D2191" s="13" t="s">
        <v>92</v>
      </c>
      <c r="E2191" s="12" t="s">
        <v>159</v>
      </c>
      <c r="F2191" s="14">
        <v>290000</v>
      </c>
      <c r="G2191" s="14">
        <v>248000</v>
      </c>
      <c r="H2191" s="13" t="s">
        <v>452</v>
      </c>
      <c r="I2191" s="40" t="s">
        <v>18</v>
      </c>
      <c r="J2191" s="40" t="str">
        <f>HYPERLINK("https://stock.pstatic.net/stock-research/company/63/20260529_company_369761000.pdf","PDF")</f>
        <v>PDF</v>
      </c>
      <c r="K2191" s="12" t="s">
        <v>453</v>
      </c>
      <c r="L2191" s="36">
        <v>0.16935483870967741</v>
      </c>
    </row>
    <row r="2192" spans="1:12" x14ac:dyDescent="0.45">
      <c r="A2192" s="12" t="s">
        <v>374</v>
      </c>
      <c r="B2192" s="12" t="s">
        <v>42</v>
      </c>
      <c r="C2192" s="13" t="s">
        <v>43</v>
      </c>
      <c r="D2192" s="13" t="s">
        <v>44</v>
      </c>
      <c r="E2192" s="12" t="s">
        <v>35</v>
      </c>
      <c r="F2192" s="14">
        <v>250000</v>
      </c>
      <c r="G2192" s="14">
        <v>205000</v>
      </c>
      <c r="H2192" s="13" t="s">
        <v>454</v>
      </c>
      <c r="I2192" s="40" t="s">
        <v>18</v>
      </c>
      <c r="J2192" s="40" t="str">
        <f>HYPERLINK("https://stock.pstatic.net/stock-research/company/39/20260529_company_604931000.pdf","PDF")</f>
        <v>PDF</v>
      </c>
      <c r="K2192" s="12" t="s">
        <v>455</v>
      </c>
      <c r="L2192" s="36">
        <v>0.21951219512195119</v>
      </c>
    </row>
    <row r="2193" spans="1:12" x14ac:dyDescent="0.45">
      <c r="A2193" s="12" t="s">
        <v>374</v>
      </c>
      <c r="B2193" s="12" t="s">
        <v>456</v>
      </c>
      <c r="C2193" s="13" t="s">
        <v>457</v>
      </c>
      <c r="D2193" s="13" t="s">
        <v>124</v>
      </c>
      <c r="E2193" s="12" t="s">
        <v>50</v>
      </c>
      <c r="F2193" s="13"/>
      <c r="G2193" s="14">
        <v>9780</v>
      </c>
      <c r="H2193" s="13" t="s">
        <v>458</v>
      </c>
      <c r="I2193" s="40" t="s">
        <v>18</v>
      </c>
      <c r="J2193" s="40" t="str">
        <f>HYPERLINK("https://stock.pstatic.net/stock-research/company/74/20260529_company_680551000.pdf","PDF")</f>
        <v>PDF</v>
      </c>
      <c r="K2193" s="12" t="s">
        <v>459</v>
      </c>
      <c r="L2193" s="12"/>
    </row>
    <row r="2194" spans="1:12" x14ac:dyDescent="0.45">
      <c r="A2194" s="12" t="s">
        <v>374</v>
      </c>
      <c r="B2194" s="12" t="s">
        <v>460</v>
      </c>
      <c r="C2194" s="13" t="s">
        <v>461</v>
      </c>
      <c r="D2194" s="13" t="s">
        <v>124</v>
      </c>
      <c r="E2194" s="12" t="s">
        <v>50</v>
      </c>
      <c r="F2194" s="13"/>
      <c r="G2194" s="14">
        <v>9170</v>
      </c>
      <c r="H2194" s="13" t="s">
        <v>462</v>
      </c>
      <c r="I2194" s="40" t="s">
        <v>18</v>
      </c>
      <c r="J2194" s="40" t="str">
        <f>HYPERLINK("https://stock.pstatic.net/stock-research/company/74/20260529_company_147835000.pdf","PDF")</f>
        <v>PDF</v>
      </c>
      <c r="K2194" s="12" t="s">
        <v>463</v>
      </c>
      <c r="L2194" s="12"/>
    </row>
    <row r="2195" spans="1:12" x14ac:dyDescent="0.45">
      <c r="A2195" s="12" t="s">
        <v>374</v>
      </c>
      <c r="B2195" s="12" t="s">
        <v>464</v>
      </c>
      <c r="C2195" s="13" t="s">
        <v>465</v>
      </c>
      <c r="D2195" s="13" t="s">
        <v>124</v>
      </c>
      <c r="E2195" s="12" t="s">
        <v>50</v>
      </c>
      <c r="F2195" s="13"/>
      <c r="G2195" s="14">
        <v>11420</v>
      </c>
      <c r="H2195" s="13" t="s">
        <v>466</v>
      </c>
      <c r="I2195" s="40" t="s">
        <v>18</v>
      </c>
      <c r="J2195" s="40" t="str">
        <f>HYPERLINK("https://stock.pstatic.net/stock-research/company/74/20260529_company_660262000.pdf","PDF")</f>
        <v>PDF</v>
      </c>
      <c r="K2195" s="12" t="s">
        <v>467</v>
      </c>
      <c r="L2195" s="12"/>
    </row>
    <row r="2196" spans="1:12" x14ac:dyDescent="0.45">
      <c r="A2196" s="12" t="s">
        <v>374</v>
      </c>
      <c r="B2196" s="12" t="s">
        <v>468</v>
      </c>
      <c r="C2196" s="13" t="s">
        <v>469</v>
      </c>
      <c r="D2196" s="13" t="s">
        <v>124</v>
      </c>
      <c r="E2196" s="12" t="s">
        <v>50</v>
      </c>
      <c r="F2196" s="13"/>
      <c r="G2196" s="14">
        <v>29400</v>
      </c>
      <c r="H2196" s="13" t="s">
        <v>470</v>
      </c>
      <c r="I2196" s="40" t="s">
        <v>18</v>
      </c>
      <c r="J2196" s="40" t="str">
        <f>HYPERLINK("https://stock.pstatic.net/stock-research/company/74/20260529_company_157423000.pdf","PDF")</f>
        <v>PDF</v>
      </c>
      <c r="K2196" s="12" t="s">
        <v>471</v>
      </c>
      <c r="L2196" s="12"/>
    </row>
    <row r="2197" spans="1:12" x14ac:dyDescent="0.45">
      <c r="A2197" s="12" t="s">
        <v>374</v>
      </c>
      <c r="B2197" s="12" t="s">
        <v>472</v>
      </c>
      <c r="C2197" s="13" t="s">
        <v>473</v>
      </c>
      <c r="D2197" s="13" t="s">
        <v>202</v>
      </c>
      <c r="E2197" s="12" t="s">
        <v>50</v>
      </c>
      <c r="F2197" s="13"/>
      <c r="G2197" s="13"/>
      <c r="H2197" s="13" t="s">
        <v>474</v>
      </c>
      <c r="I2197" s="40" t="s">
        <v>18</v>
      </c>
      <c r="J2197" s="40" t="str">
        <f>HYPERLINK("https://stock.pstatic.net/stock-research/company/69/20260529_company_670118000.pdf","PDF")</f>
        <v>PDF</v>
      </c>
      <c r="K2197" s="12" t="s">
        <v>475</v>
      </c>
      <c r="L2197" s="12"/>
    </row>
    <row r="2198" spans="1:12" x14ac:dyDescent="0.45">
      <c r="A2198" s="12" t="s">
        <v>374</v>
      </c>
      <c r="B2198" s="12" t="s">
        <v>476</v>
      </c>
      <c r="C2198" s="13" t="s">
        <v>477</v>
      </c>
      <c r="D2198" s="13" t="s">
        <v>207</v>
      </c>
      <c r="E2198" s="12" t="s">
        <v>50</v>
      </c>
      <c r="F2198" s="13"/>
      <c r="G2198" s="13"/>
      <c r="H2198" s="13" t="s">
        <v>478</v>
      </c>
      <c r="I2198" s="40" t="s">
        <v>18</v>
      </c>
      <c r="J2198" s="40" t="str">
        <f>HYPERLINK("https://stock.pstatic.net/stock-research/company/75/20260529_company_791951000.pdf","PDF")</f>
        <v>PDF</v>
      </c>
      <c r="K2198" s="12" t="s">
        <v>479</v>
      </c>
      <c r="L2198" s="12"/>
    </row>
    <row r="2199" spans="1:12" x14ac:dyDescent="0.45">
      <c r="A2199" s="12" t="s">
        <v>374</v>
      </c>
      <c r="B2199" s="12" t="s">
        <v>480</v>
      </c>
      <c r="C2199" s="13" t="s">
        <v>481</v>
      </c>
      <c r="D2199" s="13" t="s">
        <v>207</v>
      </c>
      <c r="E2199" s="12" t="s">
        <v>50</v>
      </c>
      <c r="F2199" s="13"/>
      <c r="G2199" s="13"/>
      <c r="H2199" s="13" t="s">
        <v>482</v>
      </c>
      <c r="I2199" s="40" t="s">
        <v>18</v>
      </c>
      <c r="J2199" s="40" t="str">
        <f>HYPERLINK("https://stock.pstatic.net/stock-research/company/75/20260529_company_88397000.pdf","PDF")</f>
        <v>PDF</v>
      </c>
      <c r="K2199" s="12" t="s">
        <v>483</v>
      </c>
      <c r="L2199" s="12"/>
    </row>
    <row r="2200" spans="1:12" x14ac:dyDescent="0.45">
      <c r="A2200" s="12" t="s">
        <v>484</v>
      </c>
      <c r="B2200" s="12" t="s">
        <v>485</v>
      </c>
      <c r="C2200" s="13" t="s">
        <v>486</v>
      </c>
      <c r="D2200" s="13" t="s">
        <v>276</v>
      </c>
      <c r="E2200" s="12" t="s">
        <v>16</v>
      </c>
      <c r="F2200" s="14">
        <v>200000</v>
      </c>
      <c r="G2200" s="14">
        <v>150200</v>
      </c>
      <c r="H2200" s="13" t="s">
        <v>487</v>
      </c>
      <c r="I2200" s="40" t="s">
        <v>18</v>
      </c>
      <c r="J2200" s="40" t="str">
        <f>HYPERLINK("https://stock.pstatic.net/stock-research/company/66/20260528_company_256751000.pdf","PDF")</f>
        <v>PDF</v>
      </c>
      <c r="K2200" s="12" t="s">
        <v>488</v>
      </c>
      <c r="L2200" s="36">
        <v>0.33155792276964052</v>
      </c>
    </row>
    <row r="2201" spans="1:12" x14ac:dyDescent="0.45">
      <c r="A2201" s="12" t="s">
        <v>484</v>
      </c>
      <c r="B2201" s="12" t="s">
        <v>489</v>
      </c>
      <c r="C2201" s="13" t="s">
        <v>490</v>
      </c>
      <c r="D2201" s="13" t="s">
        <v>276</v>
      </c>
      <c r="E2201" s="12" t="s">
        <v>16</v>
      </c>
      <c r="F2201" s="14">
        <v>120000</v>
      </c>
      <c r="G2201" s="14">
        <v>92300</v>
      </c>
      <c r="H2201" s="13" t="s">
        <v>491</v>
      </c>
      <c r="I2201" s="40" t="s">
        <v>18</v>
      </c>
      <c r="J2201" s="40" t="str">
        <f>HYPERLINK("https://stock.pstatic.net/stock-research/company/66/20260528_company_782291000.pdf","PDF")</f>
        <v>PDF</v>
      </c>
      <c r="K2201" s="12" t="s">
        <v>492</v>
      </c>
      <c r="L2201" s="36">
        <v>0.30010834236186351</v>
      </c>
    </row>
    <row r="2202" spans="1:12" x14ac:dyDescent="0.45">
      <c r="A2202" s="12" t="s">
        <v>484</v>
      </c>
      <c r="B2202" s="12" t="s">
        <v>418</v>
      </c>
      <c r="C2202" s="13" t="s">
        <v>419</v>
      </c>
      <c r="D2202" s="13" t="s">
        <v>276</v>
      </c>
      <c r="E2202" s="12" t="s">
        <v>16</v>
      </c>
      <c r="F2202" s="14">
        <v>29000</v>
      </c>
      <c r="G2202" s="14">
        <v>20700</v>
      </c>
      <c r="H2202" s="13" t="s">
        <v>493</v>
      </c>
      <c r="I2202" s="40" t="s">
        <v>18</v>
      </c>
      <c r="J2202" s="40" t="str">
        <f>HYPERLINK("https://stock.pstatic.net/stock-research/company/66/20260528_company_150540000.pdf","PDF")</f>
        <v>PDF</v>
      </c>
      <c r="K2202" s="12" t="s">
        <v>494</v>
      </c>
      <c r="L2202" s="36">
        <v>0.40096618357487918</v>
      </c>
    </row>
    <row r="2203" spans="1:12" x14ac:dyDescent="0.45">
      <c r="A2203" s="12" t="s">
        <v>484</v>
      </c>
      <c r="B2203" s="12" t="s">
        <v>495</v>
      </c>
      <c r="C2203" s="13" t="s">
        <v>496</v>
      </c>
      <c r="D2203" s="13" t="s">
        <v>276</v>
      </c>
      <c r="E2203" s="12" t="s">
        <v>16</v>
      </c>
      <c r="F2203" s="14">
        <v>610000</v>
      </c>
      <c r="G2203" s="14">
        <v>385000</v>
      </c>
      <c r="H2203" s="13" t="s">
        <v>497</v>
      </c>
      <c r="I2203" s="40" t="s">
        <v>18</v>
      </c>
      <c r="J2203" s="40" t="str">
        <f>HYPERLINK("https://stock.pstatic.net/stock-research/company/66/20260528_company_225935000.pdf","PDF")</f>
        <v>PDF</v>
      </c>
      <c r="K2203" s="12" t="s">
        <v>498</v>
      </c>
      <c r="L2203" s="36">
        <v>0.58441558441558439</v>
      </c>
    </row>
    <row r="2204" spans="1:12" x14ac:dyDescent="0.45">
      <c r="A2204" s="12" t="s">
        <v>484</v>
      </c>
      <c r="B2204" s="12" t="s">
        <v>499</v>
      </c>
      <c r="C2204" s="13" t="s">
        <v>500</v>
      </c>
      <c r="D2204" s="13" t="s">
        <v>276</v>
      </c>
      <c r="E2204" s="12" t="s">
        <v>16</v>
      </c>
      <c r="F2204" s="14">
        <v>24000</v>
      </c>
      <c r="G2204" s="14">
        <v>13410</v>
      </c>
      <c r="H2204" s="13" t="s">
        <v>501</v>
      </c>
      <c r="I2204" s="40" t="s">
        <v>18</v>
      </c>
      <c r="J2204" s="40" t="str">
        <f>HYPERLINK("https://stock.pstatic.net/stock-research/company/66/20260528_company_681197000.pdf","PDF")</f>
        <v>PDF</v>
      </c>
      <c r="K2204" s="12" t="s">
        <v>502</v>
      </c>
      <c r="L2204" s="36">
        <v>0.78970917225950787</v>
      </c>
    </row>
    <row r="2205" spans="1:12" x14ac:dyDescent="0.45">
      <c r="A2205" s="12" t="s">
        <v>484</v>
      </c>
      <c r="B2205" s="12" t="s">
        <v>503</v>
      </c>
      <c r="C2205" s="13" t="s">
        <v>504</v>
      </c>
      <c r="D2205" s="13" t="s">
        <v>276</v>
      </c>
      <c r="E2205" s="12" t="s">
        <v>16</v>
      </c>
      <c r="F2205" s="14">
        <v>110000</v>
      </c>
      <c r="G2205" s="14">
        <v>71700</v>
      </c>
      <c r="H2205" s="13" t="s">
        <v>505</v>
      </c>
      <c r="I2205" s="40" t="s">
        <v>18</v>
      </c>
      <c r="J2205" s="40" t="str">
        <f>HYPERLINK("https://stock.pstatic.net/stock-research/company/66/20260528_company_536918000.pdf","PDF")</f>
        <v>PDF</v>
      </c>
      <c r="K2205" s="12" t="s">
        <v>506</v>
      </c>
      <c r="L2205" s="36">
        <v>0.53417015341701535</v>
      </c>
    </row>
    <row r="2206" spans="1:12" x14ac:dyDescent="0.45">
      <c r="A2206" s="12" t="s">
        <v>484</v>
      </c>
      <c r="B2206" s="12" t="s">
        <v>507</v>
      </c>
      <c r="C2206" s="13" t="s">
        <v>508</v>
      </c>
      <c r="D2206" s="13" t="s">
        <v>276</v>
      </c>
      <c r="E2206" s="12" t="s">
        <v>16</v>
      </c>
      <c r="F2206" s="14">
        <v>5000</v>
      </c>
      <c r="G2206" s="14">
        <v>3640</v>
      </c>
      <c r="H2206" s="13" t="s">
        <v>509</v>
      </c>
      <c r="I2206" s="40" t="s">
        <v>18</v>
      </c>
      <c r="J2206" s="40" t="str">
        <f>HYPERLINK("https://stock.pstatic.net/stock-research/company/66/20260528_company_308910000.pdf","PDF")</f>
        <v>PDF</v>
      </c>
      <c r="K2206" s="12" t="s">
        <v>510</v>
      </c>
      <c r="L2206" s="36">
        <v>0.37362637362637358</v>
      </c>
    </row>
    <row r="2207" spans="1:12" x14ac:dyDescent="0.45">
      <c r="A2207" s="12" t="s">
        <v>484</v>
      </c>
      <c r="B2207" s="12" t="s">
        <v>511</v>
      </c>
      <c r="C2207" s="13" t="s">
        <v>512</v>
      </c>
      <c r="D2207" s="13" t="s">
        <v>276</v>
      </c>
      <c r="E2207" s="12" t="s">
        <v>16</v>
      </c>
      <c r="F2207" s="14">
        <v>100000</v>
      </c>
      <c r="G2207" s="14">
        <v>70500</v>
      </c>
      <c r="H2207" s="13" t="s">
        <v>513</v>
      </c>
      <c r="I2207" s="40" t="s">
        <v>18</v>
      </c>
      <c r="J2207" s="40" t="str">
        <f>HYPERLINK("https://stock.pstatic.net/stock-research/company/66/20260528_company_363589000.pdf","PDF")</f>
        <v>PDF</v>
      </c>
      <c r="K2207" s="12" t="s">
        <v>514</v>
      </c>
      <c r="L2207" s="36">
        <v>0.41843971631205668</v>
      </c>
    </row>
    <row r="2208" spans="1:12" x14ac:dyDescent="0.45">
      <c r="A2208" s="12" t="s">
        <v>484</v>
      </c>
      <c r="B2208" s="12" t="s">
        <v>515</v>
      </c>
      <c r="C2208" s="13" t="s">
        <v>516</v>
      </c>
      <c r="D2208" s="13" t="s">
        <v>276</v>
      </c>
      <c r="E2208" s="12" t="s">
        <v>35</v>
      </c>
      <c r="F2208" s="14">
        <v>4300</v>
      </c>
      <c r="G2208" s="14">
        <v>3465</v>
      </c>
      <c r="H2208" s="13" t="s">
        <v>517</v>
      </c>
      <c r="I2208" s="40" t="s">
        <v>18</v>
      </c>
      <c r="J2208" s="40" t="str">
        <f>HYPERLINK("https://stock.pstatic.net/stock-research/company/66/20260528_company_876208000.pdf","PDF")</f>
        <v>PDF</v>
      </c>
      <c r="K2208" s="12" t="s">
        <v>518</v>
      </c>
      <c r="L2208" s="36">
        <v>0.24098124098124099</v>
      </c>
    </row>
    <row r="2209" spans="1:12" x14ac:dyDescent="0.45">
      <c r="A2209" s="12" t="s">
        <v>484</v>
      </c>
      <c r="B2209" s="12" t="s">
        <v>519</v>
      </c>
      <c r="C2209" s="13" t="s">
        <v>520</v>
      </c>
      <c r="D2209" s="13" t="s">
        <v>23</v>
      </c>
      <c r="E2209" s="12" t="s">
        <v>35</v>
      </c>
      <c r="F2209" s="14">
        <v>800000</v>
      </c>
      <c r="G2209" s="14">
        <v>681000</v>
      </c>
      <c r="H2209" s="13" t="s">
        <v>521</v>
      </c>
      <c r="I2209" s="40" t="s">
        <v>18</v>
      </c>
      <c r="J2209" s="40" t="str">
        <f>HYPERLINK("https://stock.pstatic.net/stock-research/company/21/20260528_company_181656000.pdf","PDF")</f>
        <v>PDF</v>
      </c>
      <c r="K2209" s="12" t="s">
        <v>522</v>
      </c>
      <c r="L2209" s="36">
        <v>0.17474302496328931</v>
      </c>
    </row>
    <row r="2210" spans="1:12" x14ac:dyDescent="0.45">
      <c r="A2210" s="12" t="s">
        <v>484</v>
      </c>
      <c r="B2210" s="12" t="s">
        <v>523</v>
      </c>
      <c r="C2210" s="13" t="s">
        <v>524</v>
      </c>
      <c r="D2210" s="13" t="s">
        <v>179</v>
      </c>
      <c r="E2210" s="12" t="s">
        <v>16</v>
      </c>
      <c r="F2210" s="14">
        <v>40000</v>
      </c>
      <c r="G2210" s="14">
        <v>21900</v>
      </c>
      <c r="H2210" s="13" t="s">
        <v>525</v>
      </c>
      <c r="I2210" s="40" t="s">
        <v>18</v>
      </c>
      <c r="J2210" s="40" t="str">
        <f>HYPERLINK("https://stock.pstatic.net/stock-research/company/64/20260528_company_598061000.pdf","PDF")</f>
        <v>PDF</v>
      </c>
      <c r="K2210" s="12" t="s">
        <v>526</v>
      </c>
      <c r="L2210" s="36">
        <v>0.82648401826484019</v>
      </c>
    </row>
    <row r="2211" spans="1:12" x14ac:dyDescent="0.45">
      <c r="A2211" s="12" t="s">
        <v>484</v>
      </c>
      <c r="B2211" s="12" t="s">
        <v>68</v>
      </c>
      <c r="C2211" s="13" t="s">
        <v>69</v>
      </c>
      <c r="D2211" s="13" t="s">
        <v>60</v>
      </c>
      <c r="E2211" s="12" t="s">
        <v>50</v>
      </c>
      <c r="F2211" s="13"/>
      <c r="G2211" s="14">
        <v>98800</v>
      </c>
      <c r="H2211" s="13" t="s">
        <v>527</v>
      </c>
      <c r="I2211" s="40" t="s">
        <v>18</v>
      </c>
      <c r="J2211" s="40" t="str">
        <f>HYPERLINK("https://stock.pstatic.net/stock-research/company/62/20260528_company_314362000.pdf","PDF")</f>
        <v>PDF</v>
      </c>
      <c r="K2211" s="12" t="s">
        <v>528</v>
      </c>
      <c r="L2211" s="12"/>
    </row>
    <row r="2212" spans="1:12" x14ac:dyDescent="0.45">
      <c r="A2212" s="12" t="s">
        <v>484</v>
      </c>
      <c r="B2212" s="12" t="s">
        <v>529</v>
      </c>
      <c r="C2212" s="13" t="s">
        <v>530</v>
      </c>
      <c r="D2212" s="13" t="s">
        <v>92</v>
      </c>
      <c r="E2212" s="12" t="s">
        <v>50</v>
      </c>
      <c r="F2212" s="13"/>
      <c r="G2212" s="14">
        <v>25200</v>
      </c>
      <c r="H2212" s="13" t="s">
        <v>531</v>
      </c>
      <c r="I2212" s="40" t="s">
        <v>18</v>
      </c>
      <c r="J2212" s="40" t="str">
        <f>HYPERLINK("https://stock.pstatic.net/stock-research/company/63/20260528_company_620259000.pdf","PDF")</f>
        <v>PDF</v>
      </c>
      <c r="K2212" s="12" t="s">
        <v>532</v>
      </c>
      <c r="L2212" s="12"/>
    </row>
    <row r="2213" spans="1:12" x14ac:dyDescent="0.45">
      <c r="A2213" s="12" t="s">
        <v>484</v>
      </c>
      <c r="B2213" s="12" t="s">
        <v>533</v>
      </c>
      <c r="C2213" s="13" t="s">
        <v>534</v>
      </c>
      <c r="D2213" s="13" t="s">
        <v>65</v>
      </c>
      <c r="E2213" s="12" t="s">
        <v>35</v>
      </c>
      <c r="F2213" s="14">
        <v>76000</v>
      </c>
      <c r="G2213" s="14">
        <v>53400</v>
      </c>
      <c r="H2213" s="13" t="s">
        <v>535</v>
      </c>
      <c r="I2213" s="40" t="s">
        <v>18</v>
      </c>
      <c r="J2213" s="40" t="str">
        <f>HYPERLINK("https://stock.pstatic.net/stock-research/company/57/20260528_company_905732000.pdf","PDF")</f>
        <v>PDF</v>
      </c>
      <c r="K2213" s="12" t="s">
        <v>536</v>
      </c>
      <c r="L2213" s="36">
        <v>0.42322097378277151</v>
      </c>
    </row>
    <row r="2214" spans="1:12" x14ac:dyDescent="0.45">
      <c r="A2214" s="12" t="s">
        <v>484</v>
      </c>
      <c r="B2214" s="12" t="s">
        <v>537</v>
      </c>
      <c r="C2214" s="13" t="s">
        <v>538</v>
      </c>
      <c r="D2214" s="13" t="s">
        <v>65</v>
      </c>
      <c r="E2214" s="12" t="s">
        <v>35</v>
      </c>
      <c r="F2214" s="14">
        <v>20000</v>
      </c>
      <c r="G2214" s="14">
        <v>15140</v>
      </c>
      <c r="H2214" s="13" t="s">
        <v>539</v>
      </c>
      <c r="I2214" s="40" t="s">
        <v>18</v>
      </c>
      <c r="J2214" s="40" t="str">
        <f>HYPERLINK("https://stock.pstatic.net/stock-research/company/57/20260528_company_530556000.pdf","PDF")</f>
        <v>PDF</v>
      </c>
      <c r="K2214" s="12" t="s">
        <v>540</v>
      </c>
      <c r="L2214" s="36">
        <v>0.32100396301188899</v>
      </c>
    </row>
    <row r="2215" spans="1:12" x14ac:dyDescent="0.45">
      <c r="A2215" s="12" t="s">
        <v>484</v>
      </c>
      <c r="B2215" s="12" t="s">
        <v>541</v>
      </c>
      <c r="C2215" s="13" t="s">
        <v>542</v>
      </c>
      <c r="D2215" s="13" t="s">
        <v>65</v>
      </c>
      <c r="E2215" s="12" t="s">
        <v>35</v>
      </c>
      <c r="F2215" s="14">
        <v>140000</v>
      </c>
      <c r="G2215" s="14">
        <v>100400</v>
      </c>
      <c r="H2215" s="13" t="s">
        <v>543</v>
      </c>
      <c r="I2215" s="40" t="s">
        <v>18</v>
      </c>
      <c r="J2215" s="40" t="str">
        <f>HYPERLINK("https://stock.pstatic.net/stock-research/company/57/20260528_company_44880000.pdf","PDF")</f>
        <v>PDF</v>
      </c>
      <c r="K2215" s="12" t="s">
        <v>544</v>
      </c>
      <c r="L2215" s="36">
        <v>0.39442231075697209</v>
      </c>
    </row>
    <row r="2216" spans="1:12" x14ac:dyDescent="0.45">
      <c r="A2216" s="12" t="s">
        <v>484</v>
      </c>
      <c r="B2216" s="12" t="s">
        <v>545</v>
      </c>
      <c r="C2216" s="13" t="s">
        <v>546</v>
      </c>
      <c r="D2216" s="13" t="s">
        <v>83</v>
      </c>
      <c r="E2216" s="12" t="s">
        <v>35</v>
      </c>
      <c r="F2216" s="14">
        <v>530000</v>
      </c>
      <c r="G2216" s="14">
        <v>412500</v>
      </c>
      <c r="H2216" s="13" t="s">
        <v>547</v>
      </c>
      <c r="I2216" s="40" t="s">
        <v>18</v>
      </c>
      <c r="J2216" s="40" t="str">
        <f>HYPERLINK("https://stock.pstatic.net/stock-research/company/15/20260528_company_5246000.pdf","PDF")</f>
        <v>PDF</v>
      </c>
      <c r="K2216" s="12" t="s">
        <v>548</v>
      </c>
      <c r="L2216" s="36">
        <v>0.28484848484848491</v>
      </c>
    </row>
    <row r="2217" spans="1:12" x14ac:dyDescent="0.45">
      <c r="A2217" s="12" t="s">
        <v>484</v>
      </c>
      <c r="B2217" s="12" t="s">
        <v>549</v>
      </c>
      <c r="C2217" s="13" t="s">
        <v>550</v>
      </c>
      <c r="D2217" s="13" t="s">
        <v>124</v>
      </c>
      <c r="E2217" s="12" t="s">
        <v>50</v>
      </c>
      <c r="F2217" s="13"/>
      <c r="G2217" s="13"/>
      <c r="H2217" s="13" t="s">
        <v>551</v>
      </c>
      <c r="I2217" s="40" t="s">
        <v>18</v>
      </c>
      <c r="J2217" s="40" t="str">
        <f>HYPERLINK("https://stock.pstatic.net/stock-research/company/74/20260528_company_854593000.pdf","PDF")</f>
        <v>PDF</v>
      </c>
      <c r="K2217" s="12" t="s">
        <v>552</v>
      </c>
      <c r="L2217" s="12"/>
    </row>
    <row r="2218" spans="1:12" x14ac:dyDescent="0.45">
      <c r="A2218" s="12" t="s">
        <v>484</v>
      </c>
      <c r="B2218" s="12" t="s">
        <v>553</v>
      </c>
      <c r="C2218" s="13" t="s">
        <v>554</v>
      </c>
      <c r="D2218" s="13" t="s">
        <v>124</v>
      </c>
      <c r="E2218" s="12" t="s">
        <v>50</v>
      </c>
      <c r="F2218" s="13"/>
      <c r="G2218" s="13"/>
      <c r="H2218" s="13" t="s">
        <v>555</v>
      </c>
      <c r="I2218" s="40" t="s">
        <v>18</v>
      </c>
      <c r="J2218" s="40" t="str">
        <f>HYPERLINK("https://stock.pstatic.net/stock-research/company/74/20260528_company_529041000.pdf","PDF")</f>
        <v>PDF</v>
      </c>
      <c r="K2218" s="12" t="s">
        <v>556</v>
      </c>
      <c r="L2218" s="12"/>
    </row>
    <row r="2219" spans="1:12" x14ac:dyDescent="0.45">
      <c r="A2219" s="12" t="s">
        <v>484</v>
      </c>
      <c r="B2219" s="12" t="s">
        <v>557</v>
      </c>
      <c r="C2219" s="13" t="s">
        <v>558</v>
      </c>
      <c r="D2219" s="13" t="s">
        <v>179</v>
      </c>
      <c r="E2219" s="12" t="s">
        <v>16</v>
      </c>
      <c r="F2219" s="14">
        <v>150000</v>
      </c>
      <c r="G2219" s="14">
        <v>90600</v>
      </c>
      <c r="H2219" s="13" t="s">
        <v>559</v>
      </c>
      <c r="I2219" s="40" t="s">
        <v>18</v>
      </c>
      <c r="J2219" s="40" t="str">
        <f>HYPERLINK("https://stock.pstatic.net/stock-research/company/64/20260528_company_457863000.pdf","PDF")</f>
        <v>PDF</v>
      </c>
      <c r="K2219" s="12" t="s">
        <v>560</v>
      </c>
      <c r="L2219" s="36">
        <v>0.6556291390728477</v>
      </c>
    </row>
    <row r="2220" spans="1:12" x14ac:dyDescent="0.45">
      <c r="A2220" s="12" t="s">
        <v>484</v>
      </c>
      <c r="B2220" s="12" t="s">
        <v>561</v>
      </c>
      <c r="C2220" s="13" t="s">
        <v>562</v>
      </c>
      <c r="D2220" s="13" t="s">
        <v>15</v>
      </c>
      <c r="E2220" s="12" t="s">
        <v>50</v>
      </c>
      <c r="F2220" s="13"/>
      <c r="G2220" s="14">
        <v>5220</v>
      </c>
      <c r="H2220" s="13" t="s">
        <v>563</v>
      </c>
      <c r="I2220" s="40" t="s">
        <v>18</v>
      </c>
      <c r="J2220" s="40" t="str">
        <f>HYPERLINK("https://stock.pstatic.net/stock-research/company/56/20260528_company_976213000.pdf","PDF")</f>
        <v>PDF</v>
      </c>
      <c r="K2220" s="12" t="s">
        <v>564</v>
      </c>
      <c r="L2220" s="12"/>
    </row>
    <row r="2221" spans="1:12" x14ac:dyDescent="0.45">
      <c r="A2221" s="12" t="s">
        <v>484</v>
      </c>
      <c r="B2221" s="12" t="s">
        <v>565</v>
      </c>
      <c r="C2221" s="13" t="s">
        <v>566</v>
      </c>
      <c r="D2221" s="13" t="s">
        <v>15</v>
      </c>
      <c r="E2221" s="12" t="s">
        <v>16</v>
      </c>
      <c r="F2221" s="14">
        <v>74000</v>
      </c>
      <c r="G2221" s="14">
        <v>46400</v>
      </c>
      <c r="H2221" s="13" t="s">
        <v>567</v>
      </c>
      <c r="I2221" s="40" t="s">
        <v>18</v>
      </c>
      <c r="J2221" s="40" t="str">
        <f>HYPERLINK("https://stock.pstatic.net/stock-research/company/56/20260528_company_31494000.pdf","PDF")</f>
        <v>PDF</v>
      </c>
      <c r="K2221" s="12" t="s">
        <v>568</v>
      </c>
      <c r="L2221" s="36">
        <v>0.59482758620689657</v>
      </c>
    </row>
    <row r="2222" spans="1:12" x14ac:dyDescent="0.45">
      <c r="A2222" s="12" t="s">
        <v>484</v>
      </c>
      <c r="B2222" s="12" t="s">
        <v>569</v>
      </c>
      <c r="C2222" s="13" t="s">
        <v>570</v>
      </c>
      <c r="D2222" s="13" t="s">
        <v>92</v>
      </c>
      <c r="E2222" s="12" t="s">
        <v>35</v>
      </c>
      <c r="F2222" s="14">
        <v>26000</v>
      </c>
      <c r="G2222" s="14">
        <v>20850</v>
      </c>
      <c r="H2222" s="13" t="s">
        <v>571</v>
      </c>
      <c r="I2222" s="40" t="s">
        <v>18</v>
      </c>
      <c r="J2222" s="40" t="str">
        <f>HYPERLINK("https://stock.pstatic.net/stock-research/company/63/20260528_company_797637000.pdf","PDF")</f>
        <v>PDF</v>
      </c>
      <c r="K2222" s="12" t="s">
        <v>572</v>
      </c>
      <c r="L2222" s="36">
        <v>0.24700239808153479</v>
      </c>
    </row>
    <row r="2223" spans="1:12" x14ac:dyDescent="0.45">
      <c r="A2223" s="12" t="s">
        <v>484</v>
      </c>
      <c r="B2223" s="12" t="s">
        <v>573</v>
      </c>
      <c r="C2223" s="13" t="s">
        <v>574</v>
      </c>
      <c r="D2223" s="13" t="s">
        <v>92</v>
      </c>
      <c r="E2223" s="12" t="s">
        <v>50</v>
      </c>
      <c r="F2223" s="13"/>
      <c r="G2223" s="14">
        <v>14560</v>
      </c>
      <c r="H2223" s="13" t="s">
        <v>575</v>
      </c>
      <c r="I2223" s="40" t="s">
        <v>18</v>
      </c>
      <c r="J2223" s="40" t="str">
        <f>HYPERLINK("https://stock.pstatic.net/stock-research/company/63/20260528_company_203444000.pdf","PDF")</f>
        <v>PDF</v>
      </c>
      <c r="K2223" s="12" t="s">
        <v>576</v>
      </c>
      <c r="L2223" s="12"/>
    </row>
    <row r="2224" spans="1:12" x14ac:dyDescent="0.45">
      <c r="A2224" s="12" t="s">
        <v>484</v>
      </c>
      <c r="B2224" s="12" t="s">
        <v>577</v>
      </c>
      <c r="C2224" s="13" t="s">
        <v>578</v>
      </c>
      <c r="D2224" s="13" t="s">
        <v>23</v>
      </c>
      <c r="E2224" s="12" t="s">
        <v>16</v>
      </c>
      <c r="F2224" s="14">
        <v>900000</v>
      </c>
      <c r="G2224" s="14">
        <v>688000</v>
      </c>
      <c r="H2224" s="13" t="s">
        <v>579</v>
      </c>
      <c r="I2224" s="40" t="s">
        <v>18</v>
      </c>
      <c r="J2224" s="40" t="str">
        <f>HYPERLINK("https://stock.pstatic.net/stock-research/company/21/20260528_company_860621000.pdf","PDF")</f>
        <v>PDF</v>
      </c>
      <c r="K2224" s="12" t="s">
        <v>580</v>
      </c>
      <c r="L2224" s="36">
        <v>0.30813953488372092</v>
      </c>
    </row>
    <row r="2225" spans="1:12" x14ac:dyDescent="0.45">
      <c r="A2225" s="12" t="s">
        <v>484</v>
      </c>
      <c r="B2225" s="12" t="s">
        <v>581</v>
      </c>
      <c r="C2225" s="13" t="s">
        <v>582</v>
      </c>
      <c r="D2225" s="13" t="s">
        <v>23</v>
      </c>
      <c r="E2225" s="12" t="s">
        <v>50</v>
      </c>
      <c r="F2225" s="13"/>
      <c r="G2225" s="14">
        <v>10490</v>
      </c>
      <c r="H2225" s="13" t="s">
        <v>583</v>
      </c>
      <c r="I2225" s="40" t="s">
        <v>18</v>
      </c>
      <c r="J2225" s="40" t="str">
        <f>HYPERLINK("https://stock.pstatic.net/stock-research/company/21/20260528_company_53966000.pdf","PDF")</f>
        <v>PDF</v>
      </c>
      <c r="K2225" s="12" t="s">
        <v>584</v>
      </c>
      <c r="L2225" s="12"/>
    </row>
    <row r="2226" spans="1:12" x14ac:dyDescent="0.45">
      <c r="A2226" s="12" t="s">
        <v>484</v>
      </c>
      <c r="B2226" s="12" t="s">
        <v>585</v>
      </c>
      <c r="C2226" s="13" t="s">
        <v>586</v>
      </c>
      <c r="D2226" s="13" t="s">
        <v>53</v>
      </c>
      <c r="E2226" s="12" t="s">
        <v>16</v>
      </c>
      <c r="F2226" s="14">
        <v>140000</v>
      </c>
      <c r="G2226" s="14">
        <v>78100</v>
      </c>
      <c r="H2226" s="13" t="s">
        <v>587</v>
      </c>
      <c r="I2226" s="40" t="s">
        <v>18</v>
      </c>
      <c r="J2226" s="40" t="str">
        <f>HYPERLINK("https://stock.pstatic.net/stock-research/company/40/20260528_company_476577000.pdf","PDF")</f>
        <v>PDF</v>
      </c>
      <c r="K2226" s="12" t="s">
        <v>588</v>
      </c>
      <c r="L2226" s="36">
        <v>0.79257362355953909</v>
      </c>
    </row>
    <row r="2227" spans="1:12" x14ac:dyDescent="0.45">
      <c r="A2227" s="12" t="s">
        <v>484</v>
      </c>
      <c r="B2227" s="12" t="s">
        <v>589</v>
      </c>
      <c r="C2227" s="13" t="s">
        <v>590</v>
      </c>
      <c r="D2227" s="13" t="s">
        <v>34</v>
      </c>
      <c r="E2227" s="12" t="s">
        <v>50</v>
      </c>
      <c r="F2227" s="13"/>
      <c r="G2227" s="14">
        <v>9600</v>
      </c>
      <c r="H2227" s="13" t="s">
        <v>591</v>
      </c>
      <c r="I2227" s="40" t="s">
        <v>18</v>
      </c>
      <c r="J2227" s="40" t="str">
        <f>HYPERLINK("https://stock.pstatic.net/stock-research/company/61/20260528_company_107477000.pdf","PDF")</f>
        <v>PDF</v>
      </c>
      <c r="K2227" s="12" t="s">
        <v>592</v>
      </c>
      <c r="L2227" s="12"/>
    </row>
    <row r="2228" spans="1:12" x14ac:dyDescent="0.45">
      <c r="A2228" s="12" t="s">
        <v>484</v>
      </c>
      <c r="B2228" s="12" t="s">
        <v>593</v>
      </c>
      <c r="C2228" s="13" t="s">
        <v>594</v>
      </c>
      <c r="D2228" s="13" t="s">
        <v>44</v>
      </c>
      <c r="E2228" s="12" t="s">
        <v>50</v>
      </c>
      <c r="F2228" s="13"/>
      <c r="G2228" s="14">
        <v>14410</v>
      </c>
      <c r="H2228" s="13" t="s">
        <v>595</v>
      </c>
      <c r="I2228" s="40" t="s">
        <v>18</v>
      </c>
      <c r="J2228" s="40" t="str">
        <f>HYPERLINK("https://stock.pstatic.net/stock-research/company/39/20260528_company_166079000.pdf","PDF")</f>
        <v>PDF</v>
      </c>
      <c r="K2228" s="12" t="s">
        <v>596</v>
      </c>
      <c r="L2228" s="12"/>
    </row>
    <row r="2229" spans="1:12" x14ac:dyDescent="0.45">
      <c r="A2229" s="12" t="s">
        <v>484</v>
      </c>
      <c r="B2229" s="12" t="s">
        <v>68</v>
      </c>
      <c r="C2229" s="13" t="s">
        <v>69</v>
      </c>
      <c r="D2229" s="13" t="s">
        <v>44</v>
      </c>
      <c r="E2229" s="12" t="s">
        <v>50</v>
      </c>
      <c r="F2229" s="13"/>
      <c r="G2229" s="14">
        <v>98800</v>
      </c>
      <c r="H2229" s="13" t="s">
        <v>597</v>
      </c>
      <c r="I2229" s="40" t="s">
        <v>18</v>
      </c>
      <c r="J2229" s="40" t="str">
        <f>HYPERLINK("https://stock.pstatic.net/stock-research/company/39/20260528_company_15288000.pdf","PDF")</f>
        <v>PDF</v>
      </c>
      <c r="K2229" s="12" t="s">
        <v>598</v>
      </c>
      <c r="L2229" s="12"/>
    </row>
    <row r="2230" spans="1:12" x14ac:dyDescent="0.45">
      <c r="A2230" s="12" t="s">
        <v>484</v>
      </c>
      <c r="B2230" s="12" t="s">
        <v>485</v>
      </c>
      <c r="C2230" s="13" t="s">
        <v>486</v>
      </c>
      <c r="D2230" s="13" t="s">
        <v>44</v>
      </c>
      <c r="E2230" s="12" t="s">
        <v>35</v>
      </c>
      <c r="F2230" s="14">
        <v>210000</v>
      </c>
      <c r="G2230" s="14">
        <v>150200</v>
      </c>
      <c r="H2230" s="13" t="s">
        <v>599</v>
      </c>
      <c r="I2230" s="40" t="s">
        <v>18</v>
      </c>
      <c r="J2230" s="40" t="str">
        <f>HYPERLINK("https://stock.pstatic.net/stock-research/company/39/20260528_company_568457000.pdf","PDF")</f>
        <v>PDF</v>
      </c>
      <c r="K2230" s="12" t="s">
        <v>600</v>
      </c>
      <c r="L2230" s="36">
        <v>0.3981358189081225</v>
      </c>
    </row>
    <row r="2231" spans="1:12" x14ac:dyDescent="0.45">
      <c r="A2231" s="12" t="s">
        <v>484</v>
      </c>
      <c r="B2231" s="12" t="s">
        <v>601</v>
      </c>
      <c r="C2231" s="13" t="s">
        <v>602</v>
      </c>
      <c r="D2231" s="13" t="s">
        <v>15</v>
      </c>
      <c r="E2231" s="12" t="s">
        <v>50</v>
      </c>
      <c r="F2231" s="13"/>
      <c r="G2231" s="14">
        <v>61700</v>
      </c>
      <c r="H2231" s="13" t="s">
        <v>603</v>
      </c>
      <c r="I2231" s="40" t="s">
        <v>18</v>
      </c>
      <c r="J2231" s="40" t="str">
        <f>HYPERLINK("https://stock.pstatic.net/stock-research/company/56/20260528_company_644420000.pdf","PDF")</f>
        <v>PDF</v>
      </c>
      <c r="K2231" s="12" t="s">
        <v>604</v>
      </c>
      <c r="L2231" s="12"/>
    </row>
    <row r="2232" spans="1:12" x14ac:dyDescent="0.45">
      <c r="A2232" s="12" t="s">
        <v>484</v>
      </c>
      <c r="B2232" s="12" t="s">
        <v>605</v>
      </c>
      <c r="C2232" s="13" t="s">
        <v>606</v>
      </c>
      <c r="D2232" s="13" t="s">
        <v>53</v>
      </c>
      <c r="E2232" s="12" t="s">
        <v>16</v>
      </c>
      <c r="F2232" s="14">
        <v>40000</v>
      </c>
      <c r="G2232" s="14">
        <v>25550</v>
      </c>
      <c r="H2232" s="13" t="s">
        <v>607</v>
      </c>
      <c r="I2232" s="40" t="s">
        <v>18</v>
      </c>
      <c r="J2232" s="40" t="str">
        <f>HYPERLINK("https://stock.pstatic.net/stock-research/company/40/20260528_company_858745000.pdf","PDF")</f>
        <v>PDF</v>
      </c>
      <c r="K2232" s="12" t="s">
        <v>608</v>
      </c>
      <c r="L2232" s="36">
        <v>0.56555772994129161</v>
      </c>
    </row>
    <row r="2233" spans="1:12" x14ac:dyDescent="0.45">
      <c r="A2233" s="12" t="s">
        <v>484</v>
      </c>
      <c r="B2233" s="12" t="s">
        <v>609</v>
      </c>
      <c r="C2233" s="13" t="s">
        <v>610</v>
      </c>
      <c r="D2233" s="13" t="s">
        <v>124</v>
      </c>
      <c r="E2233" s="12" t="s">
        <v>50</v>
      </c>
      <c r="F2233" s="13"/>
      <c r="G2233" s="13"/>
      <c r="H2233" s="13" t="s">
        <v>611</v>
      </c>
      <c r="I2233" s="40" t="s">
        <v>18</v>
      </c>
      <c r="J2233" s="40" t="str">
        <f>HYPERLINK("https://stock.pstatic.net/stock-research/company/74/20260528_company_998636000.pdf","PDF")</f>
        <v>PDF</v>
      </c>
      <c r="K2233" s="12" t="s">
        <v>612</v>
      </c>
      <c r="L2233" s="12"/>
    </row>
    <row r="2234" spans="1:12" x14ac:dyDescent="0.45">
      <c r="A2234" s="12" t="s">
        <v>484</v>
      </c>
      <c r="B2234" s="12" t="s">
        <v>613</v>
      </c>
      <c r="C2234" s="13" t="s">
        <v>614</v>
      </c>
      <c r="D2234" s="13" t="s">
        <v>124</v>
      </c>
      <c r="E2234" s="12" t="s">
        <v>50</v>
      </c>
      <c r="F2234" s="13"/>
      <c r="G2234" s="14">
        <v>2315</v>
      </c>
      <c r="H2234" s="13" t="s">
        <v>615</v>
      </c>
      <c r="I2234" s="40" t="s">
        <v>18</v>
      </c>
      <c r="J2234" s="40" t="str">
        <f>HYPERLINK("https://stock.pstatic.net/stock-research/company/74/20260528_company_610750000.pdf","PDF")</f>
        <v>PDF</v>
      </c>
      <c r="K2234" s="12" t="s">
        <v>616</v>
      </c>
      <c r="L2234" s="12"/>
    </row>
    <row r="2235" spans="1:12" x14ac:dyDescent="0.45">
      <c r="A2235" s="12" t="s">
        <v>484</v>
      </c>
      <c r="B2235" s="12" t="s">
        <v>617</v>
      </c>
      <c r="C2235" s="13" t="s">
        <v>618</v>
      </c>
      <c r="D2235" s="13" t="s">
        <v>124</v>
      </c>
      <c r="E2235" s="12" t="s">
        <v>50</v>
      </c>
      <c r="F2235" s="13"/>
      <c r="G2235" s="14">
        <v>9570</v>
      </c>
      <c r="H2235" s="13" t="s">
        <v>619</v>
      </c>
      <c r="I2235" s="40" t="s">
        <v>18</v>
      </c>
      <c r="J2235" s="40" t="str">
        <f>HYPERLINK("https://stock.pstatic.net/stock-research/company/74/20260528_company_619202000.pdf","PDF")</f>
        <v>PDF</v>
      </c>
      <c r="K2235" s="12" t="s">
        <v>620</v>
      </c>
      <c r="L2235" s="12"/>
    </row>
    <row r="2236" spans="1:12" x14ac:dyDescent="0.45">
      <c r="A2236" s="12" t="s">
        <v>484</v>
      </c>
      <c r="B2236" s="12" t="s">
        <v>621</v>
      </c>
      <c r="C2236" s="13" t="s">
        <v>622</v>
      </c>
      <c r="D2236" s="13" t="s">
        <v>124</v>
      </c>
      <c r="E2236" s="12" t="s">
        <v>50</v>
      </c>
      <c r="F2236" s="13"/>
      <c r="G2236" s="14">
        <v>29000</v>
      </c>
      <c r="H2236" s="13" t="s">
        <v>623</v>
      </c>
      <c r="I2236" s="40" t="s">
        <v>18</v>
      </c>
      <c r="J2236" s="40" t="str">
        <f>HYPERLINK("https://stock.pstatic.net/stock-research/company/74/20260528_company_351002000.pdf","PDF")</f>
        <v>PDF</v>
      </c>
      <c r="K2236" s="12" t="s">
        <v>624</v>
      </c>
      <c r="L2236" s="12"/>
    </row>
    <row r="2237" spans="1:12" x14ac:dyDescent="0.45">
      <c r="A2237" s="12" t="s">
        <v>484</v>
      </c>
      <c r="B2237" s="12" t="s">
        <v>625</v>
      </c>
      <c r="C2237" s="13" t="s">
        <v>626</v>
      </c>
      <c r="D2237" s="13" t="s">
        <v>124</v>
      </c>
      <c r="E2237" s="12" t="s">
        <v>50</v>
      </c>
      <c r="F2237" s="13"/>
      <c r="G2237" s="14">
        <v>7830</v>
      </c>
      <c r="H2237" s="13" t="s">
        <v>627</v>
      </c>
      <c r="I2237" s="40" t="s">
        <v>18</v>
      </c>
      <c r="J2237" s="40" t="str">
        <f>HYPERLINK("https://stock.pstatic.net/stock-research/company/74/20260528_company_680627000.pdf","PDF")</f>
        <v>PDF</v>
      </c>
      <c r="K2237" s="12" t="s">
        <v>628</v>
      </c>
      <c r="L2237" s="12"/>
    </row>
    <row r="2238" spans="1:12" x14ac:dyDescent="0.45">
      <c r="A2238" s="12" t="s">
        <v>484</v>
      </c>
      <c r="B2238" s="12" t="s">
        <v>629</v>
      </c>
      <c r="C2238" s="13" t="s">
        <v>630</v>
      </c>
      <c r="D2238" s="13" t="s">
        <v>124</v>
      </c>
      <c r="E2238" s="12" t="s">
        <v>50</v>
      </c>
      <c r="F2238" s="13"/>
      <c r="G2238" s="14">
        <v>9370</v>
      </c>
      <c r="H2238" s="13" t="s">
        <v>631</v>
      </c>
      <c r="I2238" s="40" t="s">
        <v>18</v>
      </c>
      <c r="J2238" s="40" t="str">
        <f>HYPERLINK("https://stock.pstatic.net/stock-research/company/74/20260528_company_99791000.pdf","PDF")</f>
        <v>PDF</v>
      </c>
      <c r="K2238" s="12" t="s">
        <v>632</v>
      </c>
      <c r="L2238" s="12"/>
    </row>
    <row r="2239" spans="1:12" x14ac:dyDescent="0.45">
      <c r="A2239" s="12" t="s">
        <v>633</v>
      </c>
      <c r="B2239" s="12" t="s">
        <v>634</v>
      </c>
      <c r="C2239" s="13" t="s">
        <v>635</v>
      </c>
      <c r="D2239" s="13" t="s">
        <v>15</v>
      </c>
      <c r="E2239" s="12" t="s">
        <v>50</v>
      </c>
      <c r="F2239" s="13"/>
      <c r="G2239" s="14">
        <v>17630</v>
      </c>
      <c r="H2239" s="13" t="s">
        <v>636</v>
      </c>
      <c r="I2239" s="40" t="s">
        <v>18</v>
      </c>
      <c r="J2239" s="40" t="str">
        <f>HYPERLINK("https://stock.pstatic.net/stock-research/company/56/20260527_company_527726000.pdf","PDF")</f>
        <v>PDF</v>
      </c>
      <c r="K2239" s="12" t="s">
        <v>637</v>
      </c>
      <c r="L2239" s="12"/>
    </row>
    <row r="2240" spans="1:12" x14ac:dyDescent="0.45">
      <c r="A2240" s="12" t="s">
        <v>633</v>
      </c>
      <c r="B2240" s="12" t="s">
        <v>638</v>
      </c>
      <c r="C2240" s="13" t="s">
        <v>639</v>
      </c>
      <c r="D2240" s="13" t="s">
        <v>83</v>
      </c>
      <c r="E2240" s="12" t="s">
        <v>50</v>
      </c>
      <c r="F2240" s="13"/>
      <c r="G2240" s="14">
        <v>40300</v>
      </c>
      <c r="H2240" s="13" t="s">
        <v>640</v>
      </c>
      <c r="I2240" s="40" t="s">
        <v>18</v>
      </c>
      <c r="J2240" s="40" t="str">
        <f>HYPERLINK("https://stock.pstatic.net/stock-research/company/15/20260527_company_543597000.pdf","PDF")</f>
        <v>PDF</v>
      </c>
      <c r="K2240" s="12" t="s">
        <v>641</v>
      </c>
      <c r="L2240" s="12"/>
    </row>
    <row r="2241" spans="1:12" x14ac:dyDescent="0.45">
      <c r="A2241" s="12" t="s">
        <v>633</v>
      </c>
      <c r="B2241" s="12" t="s">
        <v>86</v>
      </c>
      <c r="C2241" s="13" t="s">
        <v>87</v>
      </c>
      <c r="D2241" s="13" t="s">
        <v>83</v>
      </c>
      <c r="E2241" s="12" t="s">
        <v>642</v>
      </c>
      <c r="F2241" s="14">
        <v>140000</v>
      </c>
      <c r="G2241" s="14">
        <v>106500</v>
      </c>
      <c r="H2241" s="13" t="s">
        <v>643</v>
      </c>
      <c r="I2241" s="40" t="s">
        <v>18</v>
      </c>
      <c r="J2241" s="40" t="str">
        <f>HYPERLINK("https://stock.pstatic.net/stock-research/company/15/20260527_company_958922000.pdf","PDF")</f>
        <v>PDF</v>
      </c>
      <c r="K2241" s="12" t="s">
        <v>644</v>
      </c>
      <c r="L2241" s="36">
        <v>0.31455399061032863</v>
      </c>
    </row>
    <row r="2242" spans="1:12" x14ac:dyDescent="0.45">
      <c r="A2242" s="12" t="s">
        <v>633</v>
      </c>
      <c r="B2242" s="12" t="s">
        <v>645</v>
      </c>
      <c r="C2242" s="13" t="s">
        <v>646</v>
      </c>
      <c r="D2242" s="13" t="s">
        <v>276</v>
      </c>
      <c r="E2242" s="12" t="s">
        <v>16</v>
      </c>
      <c r="F2242" s="14">
        <v>20000</v>
      </c>
      <c r="G2242" s="14">
        <v>13700</v>
      </c>
      <c r="H2242" s="13" t="s">
        <v>647</v>
      </c>
      <c r="I2242" s="40" t="s">
        <v>18</v>
      </c>
      <c r="J2242" s="40" t="str">
        <f>HYPERLINK("https://stock.pstatic.net/stock-research/company/66/20260527_company_747686000.pdf","PDF")</f>
        <v>PDF</v>
      </c>
      <c r="K2242" s="12" t="s">
        <v>648</v>
      </c>
      <c r="L2242" s="36">
        <v>0.45985401459854008</v>
      </c>
    </row>
    <row r="2243" spans="1:12" x14ac:dyDescent="0.45">
      <c r="A2243" s="12" t="s">
        <v>633</v>
      </c>
      <c r="B2243" s="12" t="s">
        <v>649</v>
      </c>
      <c r="C2243" s="13" t="s">
        <v>650</v>
      </c>
      <c r="D2243" s="13" t="s">
        <v>276</v>
      </c>
      <c r="E2243" s="12" t="s">
        <v>16</v>
      </c>
      <c r="F2243" s="14">
        <v>4600</v>
      </c>
      <c r="G2243" s="14">
        <v>2775</v>
      </c>
      <c r="H2243" s="13" t="s">
        <v>651</v>
      </c>
      <c r="I2243" s="40" t="s">
        <v>18</v>
      </c>
      <c r="J2243" s="40" t="str">
        <f>HYPERLINK("https://stock.pstatic.net/stock-research/company/66/20260527_company_564985000.pdf","PDF")</f>
        <v>PDF</v>
      </c>
      <c r="K2243" s="12" t="s">
        <v>652</v>
      </c>
      <c r="L2243" s="36">
        <v>0.65765765765765771</v>
      </c>
    </row>
    <row r="2244" spans="1:12" x14ac:dyDescent="0.45">
      <c r="A2244" s="12" t="s">
        <v>633</v>
      </c>
      <c r="B2244" s="12" t="s">
        <v>653</v>
      </c>
      <c r="C2244" s="13" t="s">
        <v>654</v>
      </c>
      <c r="D2244" s="13" t="s">
        <v>276</v>
      </c>
      <c r="E2244" s="12" t="s">
        <v>16</v>
      </c>
      <c r="F2244" s="14">
        <v>41000</v>
      </c>
      <c r="G2244" s="14">
        <v>28400</v>
      </c>
      <c r="H2244" s="13" t="s">
        <v>655</v>
      </c>
      <c r="I2244" s="40" t="s">
        <v>18</v>
      </c>
      <c r="J2244" s="40" t="str">
        <f>HYPERLINK("https://stock.pstatic.net/stock-research/company/66/20260527_company_711331000.pdf","PDF")</f>
        <v>PDF</v>
      </c>
      <c r="K2244" s="12" t="s">
        <v>656</v>
      </c>
      <c r="L2244" s="36">
        <v>0.44366197183098588</v>
      </c>
    </row>
    <row r="2245" spans="1:12" x14ac:dyDescent="0.45">
      <c r="A2245" s="12" t="s">
        <v>633</v>
      </c>
      <c r="B2245" s="12" t="s">
        <v>657</v>
      </c>
      <c r="C2245" s="13" t="s">
        <v>658</v>
      </c>
      <c r="D2245" s="13" t="s">
        <v>276</v>
      </c>
      <c r="E2245" s="12" t="s">
        <v>16</v>
      </c>
      <c r="F2245" s="14">
        <v>25000</v>
      </c>
      <c r="G2245" s="14">
        <v>20300</v>
      </c>
      <c r="H2245" s="13" t="s">
        <v>659</v>
      </c>
      <c r="I2245" s="40" t="s">
        <v>18</v>
      </c>
      <c r="J2245" s="40" t="str">
        <f>HYPERLINK("https://stock.pstatic.net/stock-research/company/66/20260527_company_9052000.pdf","PDF")</f>
        <v>PDF</v>
      </c>
      <c r="K2245" s="12" t="s">
        <v>660</v>
      </c>
      <c r="L2245" s="36">
        <v>0.23152709359605911</v>
      </c>
    </row>
    <row r="2246" spans="1:12" x14ac:dyDescent="0.45">
      <c r="A2246" s="12" t="s">
        <v>633</v>
      </c>
      <c r="B2246" s="12" t="s">
        <v>661</v>
      </c>
      <c r="C2246" s="13" t="s">
        <v>662</v>
      </c>
      <c r="D2246" s="13" t="s">
        <v>276</v>
      </c>
      <c r="E2246" s="12" t="s">
        <v>16</v>
      </c>
      <c r="F2246" s="14">
        <v>20000</v>
      </c>
      <c r="G2246" s="14">
        <v>14250</v>
      </c>
      <c r="H2246" s="13" t="s">
        <v>663</v>
      </c>
      <c r="I2246" s="40" t="s">
        <v>18</v>
      </c>
      <c r="J2246" s="40" t="str">
        <f>HYPERLINK("https://stock.pstatic.net/stock-research/company/66/20260527_company_51761000.pdf","PDF")</f>
        <v>PDF</v>
      </c>
      <c r="K2246" s="12" t="s">
        <v>664</v>
      </c>
      <c r="L2246" s="36">
        <v>0.40350877192982448</v>
      </c>
    </row>
    <row r="2247" spans="1:12" x14ac:dyDescent="0.45">
      <c r="A2247" s="12" t="s">
        <v>633</v>
      </c>
      <c r="B2247" s="12" t="s">
        <v>665</v>
      </c>
      <c r="C2247" s="13" t="s">
        <v>666</v>
      </c>
      <c r="D2247" s="13" t="s">
        <v>276</v>
      </c>
      <c r="E2247" s="12" t="s">
        <v>16</v>
      </c>
      <c r="F2247" s="14">
        <v>37000</v>
      </c>
      <c r="G2247" s="14">
        <v>22550</v>
      </c>
      <c r="H2247" s="13" t="s">
        <v>667</v>
      </c>
      <c r="I2247" s="40" t="s">
        <v>18</v>
      </c>
      <c r="J2247" s="40" t="str">
        <f>HYPERLINK("https://stock.pstatic.net/stock-research/company/66/20260527_company_899343000.pdf","PDF")</f>
        <v>PDF</v>
      </c>
      <c r="K2247" s="12" t="s">
        <v>668</v>
      </c>
      <c r="L2247" s="36">
        <v>0.64079822616407978</v>
      </c>
    </row>
    <row r="2248" spans="1:12" x14ac:dyDescent="0.45">
      <c r="A2248" s="12" t="s">
        <v>633</v>
      </c>
      <c r="B2248" s="12" t="s">
        <v>669</v>
      </c>
      <c r="C2248" s="13" t="s">
        <v>670</v>
      </c>
      <c r="D2248" s="13" t="s">
        <v>65</v>
      </c>
      <c r="E2248" s="12" t="s">
        <v>35</v>
      </c>
      <c r="F2248" s="14">
        <v>60000</v>
      </c>
      <c r="G2248" s="14">
        <v>30800</v>
      </c>
      <c r="H2248" s="13" t="s">
        <v>671</v>
      </c>
      <c r="I2248" s="40" t="s">
        <v>18</v>
      </c>
      <c r="J2248" s="40" t="str">
        <f>HYPERLINK("https://stock.pstatic.net/stock-research/company/57/20260527_company_974367000.pdf","PDF")</f>
        <v>PDF</v>
      </c>
      <c r="K2248" s="12" t="s">
        <v>672</v>
      </c>
      <c r="L2248" s="36">
        <v>0.94805194805194803</v>
      </c>
    </row>
    <row r="2249" spans="1:12" x14ac:dyDescent="0.45">
      <c r="A2249" s="12" t="s">
        <v>633</v>
      </c>
      <c r="B2249" s="12" t="s">
        <v>673</v>
      </c>
      <c r="C2249" s="13" t="s">
        <v>674</v>
      </c>
      <c r="D2249" s="13" t="s">
        <v>124</v>
      </c>
      <c r="E2249" s="12" t="s">
        <v>50</v>
      </c>
      <c r="F2249" s="13"/>
      <c r="G2249" s="13"/>
      <c r="H2249" s="13" t="s">
        <v>675</v>
      </c>
      <c r="I2249" s="40" t="s">
        <v>18</v>
      </c>
      <c r="J2249" s="40" t="str">
        <f>HYPERLINK("https://stock.pstatic.net/stock-research/company/74/20260527_company_870655000.pdf","PDF")</f>
        <v>PDF</v>
      </c>
      <c r="K2249" s="12" t="s">
        <v>676</v>
      </c>
      <c r="L2249" s="12"/>
    </row>
    <row r="2250" spans="1:12" x14ac:dyDescent="0.45">
      <c r="A2250" s="12" t="s">
        <v>633</v>
      </c>
      <c r="B2250" s="12" t="s">
        <v>677</v>
      </c>
      <c r="C2250" s="13" t="s">
        <v>678</v>
      </c>
      <c r="D2250" s="13" t="s">
        <v>92</v>
      </c>
      <c r="E2250" s="12" t="s">
        <v>159</v>
      </c>
      <c r="F2250" s="14">
        <v>10000</v>
      </c>
      <c r="G2250" s="14">
        <v>9270</v>
      </c>
      <c r="H2250" s="13" t="s">
        <v>679</v>
      </c>
      <c r="I2250" s="40" t="s">
        <v>18</v>
      </c>
      <c r="J2250" s="40" t="str">
        <f>HYPERLINK("https://stock.pstatic.net/stock-research/company/63/20260527_company_703750000.pdf","PDF")</f>
        <v>PDF</v>
      </c>
      <c r="K2250" s="12" t="s">
        <v>680</v>
      </c>
      <c r="L2250" s="36">
        <v>7.8748651564185548E-2</v>
      </c>
    </row>
    <row r="2251" spans="1:12" x14ac:dyDescent="0.45">
      <c r="A2251" s="12" t="s">
        <v>633</v>
      </c>
      <c r="B2251" s="12" t="s">
        <v>38</v>
      </c>
      <c r="C2251" s="13" t="s">
        <v>39</v>
      </c>
      <c r="D2251" s="13" t="s">
        <v>23</v>
      </c>
      <c r="E2251" s="12" t="s">
        <v>16</v>
      </c>
      <c r="F2251" s="14">
        <v>370000</v>
      </c>
      <c r="G2251" s="14">
        <v>286500</v>
      </c>
      <c r="H2251" s="13" t="s">
        <v>681</v>
      </c>
      <c r="I2251" s="40" t="s">
        <v>18</v>
      </c>
      <c r="J2251" s="40" t="str">
        <f>HYPERLINK("https://stock.pstatic.net/stock-research/company/21/20260527_company_253905000.pdf","PDF")</f>
        <v>PDF</v>
      </c>
      <c r="K2251" s="12" t="s">
        <v>682</v>
      </c>
      <c r="L2251" s="36">
        <v>0.29144851657940662</v>
      </c>
    </row>
    <row r="2252" spans="1:12" x14ac:dyDescent="0.45">
      <c r="A2252" s="12" t="s">
        <v>633</v>
      </c>
      <c r="B2252" s="12" t="s">
        <v>13</v>
      </c>
      <c r="C2252" s="13" t="s">
        <v>14</v>
      </c>
      <c r="D2252" s="13" t="s">
        <v>15</v>
      </c>
      <c r="E2252" s="12" t="s">
        <v>16</v>
      </c>
      <c r="F2252" s="14">
        <v>550000</v>
      </c>
      <c r="G2252" s="14">
        <v>299000</v>
      </c>
      <c r="H2252" s="13" t="s">
        <v>683</v>
      </c>
      <c r="I2252" s="40" t="s">
        <v>18</v>
      </c>
      <c r="J2252" s="40" t="str">
        <f>HYPERLINK("https://stock.pstatic.net/stock-research/company/56/20260527_company_215849000.pdf","PDF")</f>
        <v>PDF</v>
      </c>
      <c r="K2252" s="12" t="s">
        <v>684</v>
      </c>
      <c r="L2252" s="36">
        <v>0.83946488294314381</v>
      </c>
    </row>
    <row r="2253" spans="1:12" x14ac:dyDescent="0.45">
      <c r="A2253" s="12" t="s">
        <v>633</v>
      </c>
      <c r="B2253" s="12" t="s">
        <v>685</v>
      </c>
      <c r="C2253" s="13" t="s">
        <v>686</v>
      </c>
      <c r="D2253" s="13" t="s">
        <v>92</v>
      </c>
      <c r="E2253" s="12" t="s">
        <v>50</v>
      </c>
      <c r="F2253" s="13"/>
      <c r="G2253" s="14">
        <v>50500</v>
      </c>
      <c r="H2253" s="13" t="s">
        <v>687</v>
      </c>
      <c r="I2253" s="40" t="s">
        <v>18</v>
      </c>
      <c r="J2253" s="40" t="str">
        <f>HYPERLINK("https://stock.pstatic.net/stock-research/company/63/20260527_company_137846000.pdf","PDF")</f>
        <v>PDF</v>
      </c>
      <c r="K2253" s="12" t="s">
        <v>688</v>
      </c>
      <c r="L2253" s="12"/>
    </row>
    <row r="2254" spans="1:12" x14ac:dyDescent="0.45">
      <c r="A2254" s="12" t="s">
        <v>633</v>
      </c>
      <c r="B2254" s="12" t="s">
        <v>334</v>
      </c>
      <c r="C2254" s="13" t="s">
        <v>335</v>
      </c>
      <c r="D2254" s="13" t="s">
        <v>15</v>
      </c>
      <c r="E2254" s="12" t="s">
        <v>16</v>
      </c>
      <c r="F2254" s="14">
        <v>3800000</v>
      </c>
      <c r="G2254" s="14">
        <v>2052000</v>
      </c>
      <c r="H2254" s="13" t="s">
        <v>689</v>
      </c>
      <c r="I2254" s="40" t="s">
        <v>18</v>
      </c>
      <c r="J2254" s="40" t="str">
        <f>HYPERLINK("https://stock.pstatic.net/stock-research/company/56/20260527_company_18575000.pdf","PDF")</f>
        <v>PDF</v>
      </c>
      <c r="K2254" s="12" t="s">
        <v>690</v>
      </c>
      <c r="L2254" s="36">
        <v>0.85185185185185186</v>
      </c>
    </row>
    <row r="2255" spans="1:12" x14ac:dyDescent="0.45">
      <c r="A2255" s="12" t="s">
        <v>633</v>
      </c>
      <c r="B2255" s="12" t="s">
        <v>691</v>
      </c>
      <c r="C2255" s="13" t="s">
        <v>20</v>
      </c>
      <c r="D2255" s="13" t="s">
        <v>53</v>
      </c>
      <c r="E2255" s="12" t="s">
        <v>16</v>
      </c>
      <c r="F2255" s="14">
        <v>250000</v>
      </c>
      <c r="G2255" s="14">
        <v>195000</v>
      </c>
      <c r="H2255" s="13" t="s">
        <v>692</v>
      </c>
      <c r="I2255" s="40" t="s">
        <v>18</v>
      </c>
      <c r="J2255" s="40" t="str">
        <f>HYPERLINK("https://stock.pstatic.net/stock-research/company/40/20260527_company_517679000.pdf","PDF")</f>
        <v>PDF</v>
      </c>
      <c r="K2255" s="12" t="s">
        <v>693</v>
      </c>
      <c r="L2255" s="36">
        <v>0.28205128205128199</v>
      </c>
    </row>
    <row r="2256" spans="1:12" x14ac:dyDescent="0.45">
      <c r="A2256" s="12" t="s">
        <v>633</v>
      </c>
      <c r="B2256" s="12" t="s">
        <v>694</v>
      </c>
      <c r="C2256" s="13" t="s">
        <v>695</v>
      </c>
      <c r="D2256" s="13" t="s">
        <v>53</v>
      </c>
      <c r="E2256" s="12" t="s">
        <v>16</v>
      </c>
      <c r="F2256" s="14">
        <v>42000</v>
      </c>
      <c r="G2256" s="14">
        <v>29600</v>
      </c>
      <c r="H2256" s="13" t="s">
        <v>696</v>
      </c>
      <c r="I2256" s="40" t="s">
        <v>18</v>
      </c>
      <c r="J2256" s="40" t="str">
        <f>HYPERLINK("https://stock.pstatic.net/stock-research/company/40/20260527_company_884106000.pdf","PDF")</f>
        <v>PDF</v>
      </c>
      <c r="K2256" s="12" t="s">
        <v>697</v>
      </c>
      <c r="L2256" s="36">
        <v>0.41891891891891891</v>
      </c>
    </row>
    <row r="2257" spans="1:12" x14ac:dyDescent="0.45">
      <c r="A2257" s="12" t="s">
        <v>633</v>
      </c>
      <c r="B2257" s="12" t="s">
        <v>698</v>
      </c>
      <c r="C2257" s="13" t="s">
        <v>699</v>
      </c>
      <c r="D2257" s="13" t="s">
        <v>179</v>
      </c>
      <c r="E2257" s="12" t="s">
        <v>16</v>
      </c>
      <c r="F2257" s="14">
        <v>800000</v>
      </c>
      <c r="G2257" s="14">
        <v>656000</v>
      </c>
      <c r="H2257" s="13" t="s">
        <v>700</v>
      </c>
      <c r="I2257" s="40" t="s">
        <v>18</v>
      </c>
      <c r="J2257" s="40" t="str">
        <f>HYPERLINK("https://stock.pstatic.net/stock-research/company/64/20260527_company_307747000.pdf","PDF")</f>
        <v>PDF</v>
      </c>
      <c r="K2257" s="12" t="s">
        <v>701</v>
      </c>
      <c r="L2257" s="36">
        <v>0.21951219512195119</v>
      </c>
    </row>
    <row r="2258" spans="1:12" x14ac:dyDescent="0.45">
      <c r="A2258" s="12" t="s">
        <v>633</v>
      </c>
      <c r="B2258" s="12" t="s">
        <v>702</v>
      </c>
      <c r="C2258" s="13" t="s">
        <v>703</v>
      </c>
      <c r="D2258" s="13" t="s">
        <v>124</v>
      </c>
      <c r="E2258" s="12" t="s">
        <v>50</v>
      </c>
      <c r="F2258" s="13"/>
      <c r="G2258" s="13"/>
      <c r="H2258" s="13" t="s">
        <v>704</v>
      </c>
      <c r="I2258" s="40" t="s">
        <v>18</v>
      </c>
      <c r="J2258" s="40" t="str">
        <f>HYPERLINK("https://stock.pstatic.net/stock-research/company/74/20260527_company_98209000.pdf","PDF")</f>
        <v>PDF</v>
      </c>
      <c r="K2258" s="12" t="s">
        <v>705</v>
      </c>
      <c r="L2258" s="12"/>
    </row>
    <row r="2259" spans="1:12" x14ac:dyDescent="0.45">
      <c r="A2259" s="12" t="s">
        <v>633</v>
      </c>
      <c r="B2259" s="12" t="s">
        <v>706</v>
      </c>
      <c r="C2259" s="13" t="s">
        <v>707</v>
      </c>
      <c r="D2259" s="13" t="s">
        <v>53</v>
      </c>
      <c r="E2259" s="12" t="s">
        <v>16</v>
      </c>
      <c r="F2259" s="14">
        <v>13000</v>
      </c>
      <c r="G2259" s="14">
        <v>7240</v>
      </c>
      <c r="H2259" s="13" t="s">
        <v>708</v>
      </c>
      <c r="I2259" s="40" t="s">
        <v>18</v>
      </c>
      <c r="J2259" s="40" t="str">
        <f>HYPERLINK("https://stock.pstatic.net/stock-research/company/40/20260527_company_371400000.pdf","PDF")</f>
        <v>PDF</v>
      </c>
      <c r="K2259" s="12" t="s">
        <v>709</v>
      </c>
      <c r="L2259" s="36">
        <v>0.79558011049723754</v>
      </c>
    </row>
    <row r="2260" spans="1:12" x14ac:dyDescent="0.45">
      <c r="A2260" s="12" t="s">
        <v>633</v>
      </c>
      <c r="B2260" s="12" t="s">
        <v>710</v>
      </c>
      <c r="C2260" s="13" t="s">
        <v>711</v>
      </c>
      <c r="D2260" s="13" t="s">
        <v>15</v>
      </c>
      <c r="E2260" s="12" t="s">
        <v>50</v>
      </c>
      <c r="F2260" s="13"/>
      <c r="G2260" s="14">
        <v>17900</v>
      </c>
      <c r="H2260" s="13" t="s">
        <v>712</v>
      </c>
      <c r="I2260" s="40" t="s">
        <v>18</v>
      </c>
      <c r="J2260" s="40" t="str">
        <f>HYPERLINK("https://stock.pstatic.net/stock-research/company/56/20260527_company_986605000.pdf","PDF")</f>
        <v>PDF</v>
      </c>
      <c r="K2260" s="12" t="s">
        <v>713</v>
      </c>
      <c r="L2260" s="12"/>
    </row>
    <row r="2261" spans="1:12" x14ac:dyDescent="0.45">
      <c r="A2261" s="12" t="s">
        <v>633</v>
      </c>
      <c r="B2261" s="12" t="s">
        <v>430</v>
      </c>
      <c r="C2261" s="13" t="s">
        <v>431</v>
      </c>
      <c r="D2261" s="13" t="s">
        <v>714</v>
      </c>
      <c r="E2261" s="12" t="s">
        <v>35</v>
      </c>
      <c r="F2261" s="14">
        <v>85000</v>
      </c>
      <c r="G2261" s="14">
        <v>57000</v>
      </c>
      <c r="H2261" s="13" t="s">
        <v>715</v>
      </c>
      <c r="I2261" s="40" t="s">
        <v>18</v>
      </c>
      <c r="J2261" s="40" t="str">
        <f>HYPERLINK("https://stock.pstatic.net/stock-research/company/38/20260527_company_217941000.pdf","PDF")</f>
        <v>PDF</v>
      </c>
      <c r="K2261" s="12" t="s">
        <v>716</v>
      </c>
      <c r="L2261" s="36">
        <v>0.49122807017543862</v>
      </c>
    </row>
    <row r="2262" spans="1:12" x14ac:dyDescent="0.45">
      <c r="A2262" s="12" t="s">
        <v>633</v>
      </c>
      <c r="B2262" s="12" t="s">
        <v>334</v>
      </c>
      <c r="C2262" s="13" t="s">
        <v>335</v>
      </c>
      <c r="D2262" s="13" t="s">
        <v>714</v>
      </c>
      <c r="E2262" s="12" t="s">
        <v>35</v>
      </c>
      <c r="F2262" s="14">
        <v>2650000</v>
      </c>
      <c r="G2262" s="14">
        <v>1835000</v>
      </c>
      <c r="H2262" s="13" t="s">
        <v>717</v>
      </c>
      <c r="I2262" s="40" t="s">
        <v>18</v>
      </c>
      <c r="J2262" s="40" t="str">
        <f>HYPERLINK("https://stock.pstatic.net/stock-research/company/38/20260527_company_80592000.pdf","PDF")</f>
        <v>PDF</v>
      </c>
      <c r="K2262" s="12" t="s">
        <v>718</v>
      </c>
      <c r="L2262" s="36">
        <v>0.44414168937329701</v>
      </c>
    </row>
    <row r="2263" spans="1:12" x14ac:dyDescent="0.45">
      <c r="A2263" s="12" t="s">
        <v>719</v>
      </c>
      <c r="B2263" s="12" t="s">
        <v>720</v>
      </c>
      <c r="C2263" s="13" t="s">
        <v>721</v>
      </c>
      <c r="D2263" s="13" t="s">
        <v>276</v>
      </c>
      <c r="E2263" s="12" t="s">
        <v>16</v>
      </c>
      <c r="F2263" s="14">
        <v>16000</v>
      </c>
      <c r="G2263" s="14">
        <v>9520</v>
      </c>
      <c r="H2263" s="13" t="s">
        <v>722</v>
      </c>
      <c r="I2263" s="40" t="s">
        <v>18</v>
      </c>
      <c r="J2263" s="40" t="str">
        <f>HYPERLINK("https://stock.pstatic.net/stock-research/company/66/20260526_company_643989000.pdf","PDF")</f>
        <v>PDF</v>
      </c>
      <c r="K2263" s="12" t="s">
        <v>723</v>
      </c>
      <c r="L2263" s="36">
        <v>0.68067226890756305</v>
      </c>
    </row>
    <row r="2264" spans="1:12" x14ac:dyDescent="0.45">
      <c r="A2264" s="12" t="s">
        <v>719</v>
      </c>
      <c r="B2264" s="12" t="s">
        <v>724</v>
      </c>
      <c r="C2264" s="13" t="s">
        <v>725</v>
      </c>
      <c r="D2264" s="13" t="s">
        <v>276</v>
      </c>
      <c r="E2264" s="12" t="s">
        <v>16</v>
      </c>
      <c r="F2264" s="14">
        <v>70000</v>
      </c>
      <c r="G2264" s="14">
        <v>51100</v>
      </c>
      <c r="H2264" s="13" t="s">
        <v>726</v>
      </c>
      <c r="I2264" s="40" t="s">
        <v>18</v>
      </c>
      <c r="J2264" s="40" t="str">
        <f>HYPERLINK("https://stock.pstatic.net/stock-research/company/66/20260526_company_661101000.pdf","PDF")</f>
        <v>PDF</v>
      </c>
      <c r="K2264" s="12" t="s">
        <v>727</v>
      </c>
      <c r="L2264" s="36">
        <v>0.36986301369863012</v>
      </c>
    </row>
    <row r="2265" spans="1:12" x14ac:dyDescent="0.45">
      <c r="A2265" s="12" t="s">
        <v>719</v>
      </c>
      <c r="B2265" s="12" t="s">
        <v>728</v>
      </c>
      <c r="C2265" s="13" t="s">
        <v>729</v>
      </c>
      <c r="D2265" s="13" t="s">
        <v>276</v>
      </c>
      <c r="E2265" s="12" t="s">
        <v>16</v>
      </c>
      <c r="F2265" s="14">
        <v>110000</v>
      </c>
      <c r="G2265" s="14">
        <v>80000</v>
      </c>
      <c r="H2265" s="13" t="s">
        <v>730</v>
      </c>
      <c r="I2265" s="40" t="s">
        <v>18</v>
      </c>
      <c r="J2265" s="40" t="str">
        <f>HYPERLINK("https://stock.pstatic.net/stock-research/company/66/20260526_company_705338000.pdf","PDF")</f>
        <v>PDF</v>
      </c>
      <c r="K2265" s="12" t="s">
        <v>731</v>
      </c>
      <c r="L2265" s="36">
        <v>0.375</v>
      </c>
    </row>
    <row r="2266" spans="1:12" x14ac:dyDescent="0.45">
      <c r="A2266" s="12" t="s">
        <v>719</v>
      </c>
      <c r="B2266" s="12" t="s">
        <v>732</v>
      </c>
      <c r="C2266" s="13" t="s">
        <v>733</v>
      </c>
      <c r="D2266" s="13" t="s">
        <v>276</v>
      </c>
      <c r="E2266" s="12" t="s">
        <v>16</v>
      </c>
      <c r="F2266" s="14">
        <v>145000</v>
      </c>
      <c r="G2266" s="14">
        <v>97800</v>
      </c>
      <c r="H2266" s="13" t="s">
        <v>734</v>
      </c>
      <c r="I2266" s="40" t="s">
        <v>18</v>
      </c>
      <c r="J2266" s="40" t="str">
        <f>HYPERLINK("https://stock.pstatic.net/stock-research/company/66/20260526_company_85885000.pdf","PDF")</f>
        <v>PDF</v>
      </c>
      <c r="K2266" s="12" t="s">
        <v>735</v>
      </c>
      <c r="L2266" s="36">
        <v>0.48261758691206552</v>
      </c>
    </row>
    <row r="2267" spans="1:12" x14ac:dyDescent="0.45">
      <c r="A2267" s="12" t="s">
        <v>719</v>
      </c>
      <c r="B2267" s="12" t="s">
        <v>736</v>
      </c>
      <c r="C2267" s="13" t="s">
        <v>737</v>
      </c>
      <c r="D2267" s="13" t="s">
        <v>65</v>
      </c>
      <c r="E2267" s="12" t="s">
        <v>35</v>
      </c>
      <c r="F2267" s="14">
        <v>550000</v>
      </c>
      <c r="G2267" s="14">
        <v>314500</v>
      </c>
      <c r="H2267" s="13" t="s">
        <v>738</v>
      </c>
      <c r="I2267" s="40" t="s">
        <v>18</v>
      </c>
      <c r="J2267" s="40" t="str">
        <f>HYPERLINK("https://stock.pstatic.net/stock-research/company/57/20260526_company_716058000.pdf","PDF")</f>
        <v>PDF</v>
      </c>
      <c r="K2267" s="12" t="s">
        <v>739</v>
      </c>
      <c r="L2267" s="36">
        <v>0.74880763116057236</v>
      </c>
    </row>
    <row r="2268" spans="1:12" x14ac:dyDescent="0.45">
      <c r="A2268" s="12" t="s">
        <v>719</v>
      </c>
      <c r="B2268" s="12" t="s">
        <v>740</v>
      </c>
      <c r="C2268" s="13" t="s">
        <v>741</v>
      </c>
      <c r="D2268" s="13" t="s">
        <v>65</v>
      </c>
      <c r="E2268" s="12" t="s">
        <v>35</v>
      </c>
      <c r="F2268" s="14">
        <v>1300000</v>
      </c>
      <c r="G2268" s="14">
        <v>864000</v>
      </c>
      <c r="H2268" s="13" t="s">
        <v>742</v>
      </c>
      <c r="I2268" s="40" t="s">
        <v>18</v>
      </c>
      <c r="J2268" s="40" t="str">
        <f>HYPERLINK("https://stock.pstatic.net/stock-research/company/57/20260526_company_952064000.pdf","PDF")</f>
        <v>PDF</v>
      </c>
      <c r="K2268" s="12" t="s">
        <v>743</v>
      </c>
      <c r="L2268" s="36">
        <v>0.50462962962962965</v>
      </c>
    </row>
    <row r="2269" spans="1:12" x14ac:dyDescent="0.45">
      <c r="A2269" s="12" t="s">
        <v>719</v>
      </c>
      <c r="B2269" s="12" t="s">
        <v>744</v>
      </c>
      <c r="C2269" s="13" t="s">
        <v>745</v>
      </c>
      <c r="D2269" s="13" t="s">
        <v>57</v>
      </c>
      <c r="E2269" s="12" t="s">
        <v>35</v>
      </c>
      <c r="F2269" s="14">
        <v>40000</v>
      </c>
      <c r="G2269" s="14">
        <v>29500</v>
      </c>
      <c r="H2269" s="13" t="s">
        <v>746</v>
      </c>
      <c r="I2269" s="40" t="s">
        <v>18</v>
      </c>
      <c r="J2269" s="40" t="str">
        <f>HYPERLINK("https://stock.pstatic.net/stock-research/company/16/20260526_company_809154000.pdf","PDF")</f>
        <v>PDF</v>
      </c>
      <c r="K2269" s="12" t="s">
        <v>747</v>
      </c>
      <c r="L2269" s="36">
        <v>0.3559322033898305</v>
      </c>
    </row>
    <row r="2270" spans="1:12" x14ac:dyDescent="0.45">
      <c r="A2270" s="12" t="s">
        <v>719</v>
      </c>
      <c r="B2270" s="12" t="s">
        <v>748</v>
      </c>
      <c r="C2270" s="13" t="s">
        <v>749</v>
      </c>
      <c r="D2270" s="13" t="s">
        <v>57</v>
      </c>
      <c r="E2270" s="12" t="s">
        <v>35</v>
      </c>
      <c r="F2270" s="14">
        <v>25000</v>
      </c>
      <c r="G2270" s="14">
        <v>18130</v>
      </c>
      <c r="H2270" s="13" t="s">
        <v>750</v>
      </c>
      <c r="I2270" s="40" t="s">
        <v>18</v>
      </c>
      <c r="J2270" s="40" t="str">
        <f>HYPERLINK("https://stock.pstatic.net/stock-research/company/16/20260526_company_927989000.pdf","PDF")</f>
        <v>PDF</v>
      </c>
      <c r="K2270" s="12" t="s">
        <v>751</v>
      </c>
      <c r="L2270" s="36">
        <v>0.37892995035852178</v>
      </c>
    </row>
    <row r="2271" spans="1:12" x14ac:dyDescent="0.45">
      <c r="A2271" s="12" t="s">
        <v>719</v>
      </c>
      <c r="B2271" s="12" t="s">
        <v>752</v>
      </c>
      <c r="C2271" s="13" t="s">
        <v>753</v>
      </c>
      <c r="D2271" s="13" t="s">
        <v>57</v>
      </c>
      <c r="E2271" s="12" t="s">
        <v>35</v>
      </c>
      <c r="F2271" s="14">
        <v>300000</v>
      </c>
      <c r="G2271" s="14">
        <v>210000</v>
      </c>
      <c r="H2271" s="13" t="s">
        <v>754</v>
      </c>
      <c r="I2271" s="40" t="s">
        <v>18</v>
      </c>
      <c r="J2271" s="40" t="str">
        <f>HYPERLINK("https://stock.pstatic.net/stock-research/company/16/20260526_company_844350000.pdf","PDF")</f>
        <v>PDF</v>
      </c>
      <c r="K2271" s="12" t="s">
        <v>755</v>
      </c>
      <c r="L2271" s="36">
        <v>0.42857142857142849</v>
      </c>
    </row>
    <row r="2272" spans="1:12" x14ac:dyDescent="0.45">
      <c r="A2272" s="12" t="s">
        <v>719</v>
      </c>
      <c r="B2272" s="12" t="s">
        <v>756</v>
      </c>
      <c r="C2272" s="13" t="s">
        <v>757</v>
      </c>
      <c r="D2272" s="13" t="s">
        <v>158</v>
      </c>
      <c r="E2272" s="12" t="s">
        <v>35</v>
      </c>
      <c r="F2272" s="14">
        <v>125000</v>
      </c>
      <c r="G2272" s="14">
        <v>91200</v>
      </c>
      <c r="H2272" s="13" t="s">
        <v>758</v>
      </c>
      <c r="I2272" s="40" t="s">
        <v>18</v>
      </c>
      <c r="J2272" s="40" t="str">
        <f>HYPERLINK("https://stock.pstatic.net/stock-research/company/18/20260526_company_785924000.pdf","PDF")</f>
        <v>PDF</v>
      </c>
      <c r="K2272" s="12" t="s">
        <v>759</v>
      </c>
      <c r="L2272" s="36">
        <v>0.37061403508771928</v>
      </c>
    </row>
    <row r="2273" spans="1:12" x14ac:dyDescent="0.45">
      <c r="A2273" s="12" t="s">
        <v>719</v>
      </c>
      <c r="B2273" s="12" t="s">
        <v>760</v>
      </c>
      <c r="C2273" s="13" t="s">
        <v>761</v>
      </c>
      <c r="D2273" s="13" t="s">
        <v>158</v>
      </c>
      <c r="E2273" s="12" t="s">
        <v>50</v>
      </c>
      <c r="F2273" s="13"/>
      <c r="G2273" s="14">
        <v>219000</v>
      </c>
      <c r="H2273" s="13" t="s">
        <v>762</v>
      </c>
      <c r="I2273" s="40" t="s">
        <v>18</v>
      </c>
      <c r="J2273" s="40" t="str">
        <f>HYPERLINK("https://stock.pstatic.net/stock-research/company/18/20260526_company_838219000.pdf","PDF")</f>
        <v>PDF</v>
      </c>
      <c r="K2273" s="12" t="s">
        <v>763</v>
      </c>
      <c r="L2273" s="12"/>
    </row>
    <row r="2274" spans="1:12" x14ac:dyDescent="0.45">
      <c r="A2274" s="12" t="s">
        <v>719</v>
      </c>
      <c r="B2274" s="12" t="s">
        <v>764</v>
      </c>
      <c r="C2274" s="13" t="s">
        <v>765</v>
      </c>
      <c r="D2274" s="13" t="s">
        <v>158</v>
      </c>
      <c r="E2274" s="12" t="s">
        <v>35</v>
      </c>
      <c r="F2274" s="14">
        <v>56000</v>
      </c>
      <c r="G2274" s="14">
        <v>38800</v>
      </c>
      <c r="H2274" s="13" t="s">
        <v>766</v>
      </c>
      <c r="I2274" s="40" t="s">
        <v>18</v>
      </c>
      <c r="J2274" s="40" t="str">
        <f>HYPERLINK("https://stock.pstatic.net/stock-research/company/18/20260526_company_483437000.pdf","PDF")</f>
        <v>PDF</v>
      </c>
      <c r="K2274" s="12" t="s">
        <v>767</v>
      </c>
      <c r="L2274" s="36">
        <v>0.44329896907216487</v>
      </c>
    </row>
    <row r="2275" spans="1:12" x14ac:dyDescent="0.45">
      <c r="A2275" s="12" t="s">
        <v>719</v>
      </c>
      <c r="B2275" s="12" t="s">
        <v>768</v>
      </c>
      <c r="C2275" s="13" t="s">
        <v>769</v>
      </c>
      <c r="D2275" s="13" t="s">
        <v>158</v>
      </c>
      <c r="E2275" s="12" t="s">
        <v>35</v>
      </c>
      <c r="F2275" s="14">
        <v>230000</v>
      </c>
      <c r="G2275" s="14">
        <v>183000</v>
      </c>
      <c r="H2275" s="13" t="s">
        <v>770</v>
      </c>
      <c r="I2275" s="40" t="s">
        <v>18</v>
      </c>
      <c r="J2275" s="40" t="str">
        <f>HYPERLINK("https://stock.pstatic.net/stock-research/company/18/20260526_company_101806000.pdf","PDF")</f>
        <v>PDF</v>
      </c>
      <c r="K2275" s="12" t="s">
        <v>771</v>
      </c>
      <c r="L2275" s="36">
        <v>0.25683060109289618</v>
      </c>
    </row>
    <row r="2276" spans="1:12" x14ac:dyDescent="0.45">
      <c r="A2276" s="12" t="s">
        <v>719</v>
      </c>
      <c r="B2276" s="12" t="s">
        <v>772</v>
      </c>
      <c r="C2276" s="13" t="s">
        <v>773</v>
      </c>
      <c r="D2276" s="13" t="s">
        <v>15</v>
      </c>
      <c r="E2276" s="12" t="s">
        <v>50</v>
      </c>
      <c r="F2276" s="13"/>
      <c r="G2276" s="14">
        <v>43000</v>
      </c>
      <c r="H2276" s="13" t="s">
        <v>774</v>
      </c>
      <c r="I2276" s="40" t="s">
        <v>18</v>
      </c>
      <c r="J2276" s="40" t="str">
        <f>HYPERLINK("https://stock.pstatic.net/stock-research/company/56/20260526_company_878400000.pdf","PDF")</f>
        <v>PDF</v>
      </c>
      <c r="K2276" s="12" t="s">
        <v>775</v>
      </c>
      <c r="L2276" s="12"/>
    </row>
    <row r="2277" spans="1:12" x14ac:dyDescent="0.45">
      <c r="A2277" s="12" t="s">
        <v>719</v>
      </c>
      <c r="B2277" s="12" t="s">
        <v>776</v>
      </c>
      <c r="C2277" s="13" t="s">
        <v>777</v>
      </c>
      <c r="D2277" s="13" t="s">
        <v>15</v>
      </c>
      <c r="E2277" s="12" t="s">
        <v>16</v>
      </c>
      <c r="F2277" s="14">
        <v>60000</v>
      </c>
      <c r="G2277" s="14">
        <v>43850</v>
      </c>
      <c r="H2277" s="13" t="s">
        <v>778</v>
      </c>
      <c r="I2277" s="40" t="s">
        <v>18</v>
      </c>
      <c r="J2277" s="40" t="str">
        <f>HYPERLINK("https://stock.pstatic.net/stock-research/company/56/20260526_company_14805000.pdf","PDF")</f>
        <v>PDF</v>
      </c>
      <c r="K2277" s="12" t="s">
        <v>779</v>
      </c>
      <c r="L2277" s="36">
        <v>0.36830102622576971</v>
      </c>
    </row>
    <row r="2278" spans="1:12" x14ac:dyDescent="0.45">
      <c r="A2278" s="12" t="s">
        <v>719</v>
      </c>
      <c r="B2278" s="12" t="s">
        <v>780</v>
      </c>
      <c r="C2278" s="13" t="s">
        <v>781</v>
      </c>
      <c r="D2278" s="13" t="s">
        <v>15</v>
      </c>
      <c r="E2278" s="12" t="s">
        <v>16</v>
      </c>
      <c r="F2278" s="14">
        <v>27000</v>
      </c>
      <c r="G2278" s="14">
        <v>18130</v>
      </c>
      <c r="H2278" s="13" t="s">
        <v>782</v>
      </c>
      <c r="I2278" s="40" t="s">
        <v>18</v>
      </c>
      <c r="J2278" s="40" t="str">
        <f>HYPERLINK("https://stock.pstatic.net/stock-research/company/56/20260526_company_107613000.pdf","PDF")</f>
        <v>PDF</v>
      </c>
      <c r="K2278" s="12" t="s">
        <v>783</v>
      </c>
      <c r="L2278" s="36">
        <v>0.48924434638720349</v>
      </c>
    </row>
    <row r="2279" spans="1:12" x14ac:dyDescent="0.45">
      <c r="A2279" s="12" t="s">
        <v>719</v>
      </c>
      <c r="B2279" s="12" t="s">
        <v>784</v>
      </c>
      <c r="C2279" s="13" t="s">
        <v>785</v>
      </c>
      <c r="D2279" s="13" t="s">
        <v>23</v>
      </c>
      <c r="E2279" s="12" t="s">
        <v>16</v>
      </c>
      <c r="F2279" s="14">
        <v>8000</v>
      </c>
      <c r="G2279" s="14">
        <v>6220</v>
      </c>
      <c r="H2279" s="13" t="s">
        <v>786</v>
      </c>
      <c r="I2279" s="40" t="s">
        <v>18</v>
      </c>
      <c r="J2279" s="40" t="str">
        <f>HYPERLINK("https://stock.pstatic.net/stock-research/company/21/20260526_company_806148000.pdf","PDF")</f>
        <v>PDF</v>
      </c>
      <c r="K2279" s="12" t="s">
        <v>787</v>
      </c>
      <c r="L2279" s="36">
        <v>0.2861736334405145</v>
      </c>
    </row>
    <row r="2280" spans="1:12" x14ac:dyDescent="0.45">
      <c r="A2280" s="12" t="s">
        <v>719</v>
      </c>
      <c r="B2280" s="12" t="s">
        <v>247</v>
      </c>
      <c r="C2280" s="13" t="s">
        <v>248</v>
      </c>
      <c r="D2280" s="13" t="s">
        <v>15</v>
      </c>
      <c r="E2280" s="12" t="s">
        <v>16</v>
      </c>
      <c r="F2280" s="14">
        <v>52000</v>
      </c>
      <c r="G2280" s="14">
        <v>32700</v>
      </c>
      <c r="H2280" s="13" t="s">
        <v>788</v>
      </c>
      <c r="I2280" s="40" t="s">
        <v>18</v>
      </c>
      <c r="J2280" s="40" t="str">
        <f>HYPERLINK("https://stock.pstatic.net/stock-research/company/56/20260526_company_680168000.pdf","PDF")</f>
        <v>PDF</v>
      </c>
      <c r="K2280" s="12" t="s">
        <v>789</v>
      </c>
      <c r="L2280" s="36">
        <v>0.59021406727828751</v>
      </c>
    </row>
    <row r="2281" spans="1:12" x14ac:dyDescent="0.45">
      <c r="A2281" s="12" t="s">
        <v>719</v>
      </c>
      <c r="B2281" s="12" t="s">
        <v>545</v>
      </c>
      <c r="C2281" s="13" t="s">
        <v>546</v>
      </c>
      <c r="D2281" s="13" t="s">
        <v>15</v>
      </c>
      <c r="E2281" s="12" t="s">
        <v>16</v>
      </c>
      <c r="F2281" s="14">
        <v>600000</v>
      </c>
      <c r="G2281" s="14">
        <v>429500</v>
      </c>
      <c r="H2281" s="13" t="s">
        <v>790</v>
      </c>
      <c r="I2281" s="40" t="s">
        <v>18</v>
      </c>
      <c r="J2281" s="40" t="str">
        <f>HYPERLINK("https://stock.pstatic.net/stock-research/company/56/20260526_company_327613000.pdf","PDF")</f>
        <v>PDF</v>
      </c>
      <c r="K2281" s="12" t="s">
        <v>791</v>
      </c>
      <c r="L2281" s="36">
        <v>0.39697322467986029</v>
      </c>
    </row>
    <row r="2282" spans="1:12" x14ac:dyDescent="0.45">
      <c r="A2282" s="12" t="s">
        <v>719</v>
      </c>
      <c r="B2282" s="12" t="s">
        <v>792</v>
      </c>
      <c r="C2282" s="13" t="s">
        <v>793</v>
      </c>
      <c r="D2282" s="13" t="s">
        <v>92</v>
      </c>
      <c r="E2282" s="12" t="s">
        <v>35</v>
      </c>
      <c r="F2282" s="14">
        <v>120000</v>
      </c>
      <c r="G2282" s="14">
        <v>98200</v>
      </c>
      <c r="H2282" s="13" t="s">
        <v>794</v>
      </c>
      <c r="I2282" s="40" t="s">
        <v>18</v>
      </c>
      <c r="J2282" s="40" t="str">
        <f>HYPERLINK("https://stock.pstatic.net/stock-research/company/63/20260526_company_331083000.pdf","PDF")</f>
        <v>PDF</v>
      </c>
      <c r="K2282" s="12" t="s">
        <v>795</v>
      </c>
      <c r="L2282" s="36">
        <v>0.2219959266802444</v>
      </c>
    </row>
    <row r="2283" spans="1:12" x14ac:dyDescent="0.45">
      <c r="A2283" s="12" t="s">
        <v>719</v>
      </c>
      <c r="B2283" s="12" t="s">
        <v>438</v>
      </c>
      <c r="C2283" s="13" t="s">
        <v>439</v>
      </c>
      <c r="D2283" s="13" t="s">
        <v>15</v>
      </c>
      <c r="E2283" s="12" t="s">
        <v>16</v>
      </c>
      <c r="F2283" s="14">
        <v>240000</v>
      </c>
      <c r="G2283" s="14">
        <v>177100</v>
      </c>
      <c r="H2283" s="13" t="s">
        <v>796</v>
      </c>
      <c r="I2283" s="40" t="s">
        <v>18</v>
      </c>
      <c r="J2283" s="40" t="str">
        <f>HYPERLINK("https://stock.pstatic.net/stock-research/company/56/20260526_company_813874000.pdf","PDF")</f>
        <v>PDF</v>
      </c>
      <c r="K2283" s="12" t="s">
        <v>797</v>
      </c>
      <c r="L2283" s="36">
        <v>0.35516657255787693</v>
      </c>
    </row>
    <row r="2284" spans="1:12" x14ac:dyDescent="0.45">
      <c r="A2284" s="12" t="s">
        <v>719</v>
      </c>
      <c r="B2284" s="12" t="s">
        <v>388</v>
      </c>
      <c r="C2284" s="13" t="s">
        <v>389</v>
      </c>
      <c r="D2284" s="13" t="s">
        <v>92</v>
      </c>
      <c r="E2284" s="12" t="s">
        <v>35</v>
      </c>
      <c r="F2284" s="14">
        <v>72000</v>
      </c>
      <c r="G2284" s="14">
        <v>61600</v>
      </c>
      <c r="H2284" s="13" t="s">
        <v>798</v>
      </c>
      <c r="I2284" s="40" t="s">
        <v>18</v>
      </c>
      <c r="J2284" s="40" t="str">
        <f>HYPERLINK("https://stock.pstatic.net/stock-research/company/63/20260526_company_822765000.pdf","PDF")</f>
        <v>PDF</v>
      </c>
      <c r="K2284" s="12" t="s">
        <v>799</v>
      </c>
      <c r="L2284" s="36">
        <v>0.1688311688311688</v>
      </c>
    </row>
    <row r="2285" spans="1:12" x14ac:dyDescent="0.45">
      <c r="A2285" s="12" t="s">
        <v>719</v>
      </c>
      <c r="B2285" s="12" t="s">
        <v>800</v>
      </c>
      <c r="C2285" s="13" t="s">
        <v>801</v>
      </c>
      <c r="D2285" s="13" t="s">
        <v>92</v>
      </c>
      <c r="E2285" s="12" t="s">
        <v>35</v>
      </c>
      <c r="F2285" s="14">
        <v>94000</v>
      </c>
      <c r="G2285" s="14">
        <v>66700</v>
      </c>
      <c r="H2285" s="13" t="s">
        <v>802</v>
      </c>
      <c r="I2285" s="40" t="s">
        <v>18</v>
      </c>
      <c r="J2285" s="40" t="str">
        <f>HYPERLINK("https://stock.pstatic.net/stock-research/company/63/20260526_company_635841000.pdf","PDF")</f>
        <v>PDF</v>
      </c>
      <c r="K2285" s="12" t="s">
        <v>803</v>
      </c>
      <c r="L2285" s="36">
        <v>0.40929535232383812</v>
      </c>
    </row>
    <row r="2286" spans="1:12" x14ac:dyDescent="0.45">
      <c r="A2286" s="12" t="s">
        <v>719</v>
      </c>
      <c r="B2286" s="12" t="s">
        <v>804</v>
      </c>
      <c r="C2286" s="13" t="s">
        <v>805</v>
      </c>
      <c r="D2286" s="13" t="s">
        <v>34</v>
      </c>
      <c r="E2286" s="12" t="s">
        <v>50</v>
      </c>
      <c r="F2286" s="13"/>
      <c r="G2286" s="14">
        <v>41250</v>
      </c>
      <c r="H2286" s="13" t="s">
        <v>806</v>
      </c>
      <c r="I2286" s="40" t="s">
        <v>18</v>
      </c>
      <c r="J2286" s="40" t="str">
        <f>HYPERLINK("https://stock.pstatic.net/stock-research/company/61/20260526_company_704029000.pdf","PDF")</f>
        <v>PDF</v>
      </c>
      <c r="K2286" s="12" t="s">
        <v>807</v>
      </c>
      <c r="L2286" s="12"/>
    </row>
    <row r="2287" spans="1:12" x14ac:dyDescent="0.45">
      <c r="A2287" s="12" t="s">
        <v>719</v>
      </c>
      <c r="B2287" s="12" t="s">
        <v>32</v>
      </c>
      <c r="C2287" s="13" t="s">
        <v>33</v>
      </c>
      <c r="D2287" s="13" t="s">
        <v>179</v>
      </c>
      <c r="E2287" s="12" t="s">
        <v>16</v>
      </c>
      <c r="F2287" s="14">
        <v>2000000</v>
      </c>
      <c r="G2287" s="14">
        <v>1340000</v>
      </c>
      <c r="H2287" s="13" t="s">
        <v>808</v>
      </c>
      <c r="I2287" s="40" t="s">
        <v>18</v>
      </c>
      <c r="J2287" s="40" t="str">
        <f>HYPERLINK("https://stock.pstatic.net/stock-research/company/64/20260526_company_178283000.pdf","PDF")</f>
        <v>PDF</v>
      </c>
      <c r="K2287" s="12" t="s">
        <v>809</v>
      </c>
      <c r="L2287" s="36">
        <v>0.4925373134328358</v>
      </c>
    </row>
    <row r="2288" spans="1:12" x14ac:dyDescent="0.45">
      <c r="A2288" s="12" t="s">
        <v>719</v>
      </c>
      <c r="B2288" s="12" t="s">
        <v>32</v>
      </c>
      <c r="C2288" s="13" t="s">
        <v>33</v>
      </c>
      <c r="D2288" s="13" t="s">
        <v>23</v>
      </c>
      <c r="E2288" s="12" t="s">
        <v>16</v>
      </c>
      <c r="F2288" s="14">
        <v>2000000</v>
      </c>
      <c r="G2288" s="14">
        <v>1340000</v>
      </c>
      <c r="H2288" s="13" t="s">
        <v>810</v>
      </c>
      <c r="I2288" s="40" t="s">
        <v>18</v>
      </c>
      <c r="J2288" s="40" t="str">
        <f>HYPERLINK("https://stock.pstatic.net/stock-research/company/21/20260526_company_566827000.pdf","PDF")</f>
        <v>PDF</v>
      </c>
      <c r="K2288" s="12" t="s">
        <v>811</v>
      </c>
      <c r="L2288" s="36">
        <v>0.4925373134328358</v>
      </c>
    </row>
    <row r="2289" spans="1:12" x14ac:dyDescent="0.45">
      <c r="A2289" s="12" t="s">
        <v>719</v>
      </c>
      <c r="B2289" s="12" t="s">
        <v>812</v>
      </c>
      <c r="C2289" s="13" t="s">
        <v>813</v>
      </c>
      <c r="D2289" s="13" t="s">
        <v>92</v>
      </c>
      <c r="E2289" s="12" t="s">
        <v>35</v>
      </c>
      <c r="F2289" s="14">
        <v>120000</v>
      </c>
      <c r="G2289" s="14">
        <v>86100</v>
      </c>
      <c r="H2289" s="13" t="s">
        <v>814</v>
      </c>
      <c r="I2289" s="40" t="s">
        <v>18</v>
      </c>
      <c r="J2289" s="40" t="str">
        <f>HYPERLINK("https://stock.pstatic.net/stock-research/company/63/20260526_company_776697000.pdf","PDF")</f>
        <v>PDF</v>
      </c>
      <c r="K2289" s="12" t="s">
        <v>815</v>
      </c>
      <c r="L2289" s="36">
        <v>0.39372822299651572</v>
      </c>
    </row>
    <row r="2290" spans="1:12" x14ac:dyDescent="0.45">
      <c r="A2290" s="12" t="s">
        <v>719</v>
      </c>
      <c r="B2290" s="12" t="s">
        <v>816</v>
      </c>
      <c r="C2290" s="13" t="s">
        <v>817</v>
      </c>
      <c r="D2290" s="13" t="s">
        <v>34</v>
      </c>
      <c r="E2290" s="12" t="s">
        <v>50</v>
      </c>
      <c r="F2290" s="13"/>
      <c r="G2290" s="14">
        <v>41200</v>
      </c>
      <c r="H2290" s="13" t="s">
        <v>818</v>
      </c>
      <c r="I2290" s="40" t="s">
        <v>18</v>
      </c>
      <c r="J2290" s="40" t="str">
        <f>HYPERLINK("https://stock.pstatic.net/stock-research/company/61/20260526_company_973214000.pdf","PDF")</f>
        <v>PDF</v>
      </c>
      <c r="K2290" s="12" t="s">
        <v>819</v>
      </c>
      <c r="L2290" s="12"/>
    </row>
    <row r="2291" spans="1:12" x14ac:dyDescent="0.45">
      <c r="A2291" s="12" t="s">
        <v>719</v>
      </c>
      <c r="B2291" s="12" t="s">
        <v>585</v>
      </c>
      <c r="C2291" s="13" t="s">
        <v>586</v>
      </c>
      <c r="D2291" s="13" t="s">
        <v>34</v>
      </c>
      <c r="E2291" s="12" t="s">
        <v>50</v>
      </c>
      <c r="F2291" s="13"/>
      <c r="G2291" s="14">
        <v>78600</v>
      </c>
      <c r="H2291" s="13" t="s">
        <v>820</v>
      </c>
      <c r="I2291" s="40" t="s">
        <v>18</v>
      </c>
      <c r="J2291" s="40" t="str">
        <f>HYPERLINK("https://stock.pstatic.net/stock-research/company/61/20260526_company_255669000.pdf","PDF")</f>
        <v>PDF</v>
      </c>
      <c r="K2291" s="12" t="s">
        <v>821</v>
      </c>
      <c r="L2291" s="12"/>
    </row>
    <row r="2292" spans="1:12" x14ac:dyDescent="0.45">
      <c r="A2292" s="12" t="s">
        <v>719</v>
      </c>
      <c r="B2292" s="12" t="s">
        <v>72</v>
      </c>
      <c r="C2292" s="13" t="s">
        <v>73</v>
      </c>
      <c r="D2292" s="13" t="s">
        <v>34</v>
      </c>
      <c r="E2292" s="12" t="s">
        <v>35</v>
      </c>
      <c r="F2292" s="14">
        <v>550000</v>
      </c>
      <c r="G2292" s="14">
        <v>420500</v>
      </c>
      <c r="H2292" s="13" t="s">
        <v>822</v>
      </c>
      <c r="I2292" s="40" t="s">
        <v>18</v>
      </c>
      <c r="J2292" s="40" t="str">
        <f>HYPERLINK("https://stock.pstatic.net/stock-research/company/61/20260526_company_844817000.pdf","PDF")</f>
        <v>PDF</v>
      </c>
      <c r="K2292" s="12" t="s">
        <v>823</v>
      </c>
      <c r="L2292" s="36">
        <v>0.30796670630202139</v>
      </c>
    </row>
    <row r="2293" spans="1:12" x14ac:dyDescent="0.45">
      <c r="A2293" s="12" t="s">
        <v>719</v>
      </c>
      <c r="B2293" s="12" t="s">
        <v>824</v>
      </c>
      <c r="C2293" s="13" t="s">
        <v>825</v>
      </c>
      <c r="D2293" s="13" t="s">
        <v>23</v>
      </c>
      <c r="E2293" s="12" t="s">
        <v>16</v>
      </c>
      <c r="F2293" s="14">
        <v>58000</v>
      </c>
      <c r="G2293" s="14">
        <v>38900</v>
      </c>
      <c r="H2293" s="13" t="s">
        <v>826</v>
      </c>
      <c r="I2293" s="40" t="s">
        <v>18</v>
      </c>
      <c r="J2293" s="40" t="str">
        <f>HYPERLINK("https://stock.pstatic.net/stock-research/company/21/20260526_company_460558000.pdf","PDF")</f>
        <v>PDF</v>
      </c>
      <c r="K2293" s="12" t="s">
        <v>827</v>
      </c>
      <c r="L2293" s="36">
        <v>0.49100257069408743</v>
      </c>
    </row>
    <row r="2294" spans="1:12" x14ac:dyDescent="0.45">
      <c r="A2294" s="12" t="s">
        <v>719</v>
      </c>
      <c r="B2294" s="12" t="s">
        <v>828</v>
      </c>
      <c r="C2294" s="13" t="s">
        <v>829</v>
      </c>
      <c r="D2294" s="13" t="s">
        <v>179</v>
      </c>
      <c r="E2294" s="12" t="s">
        <v>16</v>
      </c>
      <c r="F2294" s="14">
        <v>77000</v>
      </c>
      <c r="G2294" s="14">
        <v>47700</v>
      </c>
      <c r="H2294" s="13" t="s">
        <v>830</v>
      </c>
      <c r="I2294" s="40" t="s">
        <v>18</v>
      </c>
      <c r="J2294" s="40" t="str">
        <f>HYPERLINK("https://stock.pstatic.net/stock-research/company/64/20260526_company_976169000.pdf","PDF")</f>
        <v>PDF</v>
      </c>
      <c r="K2294" s="12" t="s">
        <v>831</v>
      </c>
      <c r="L2294" s="36">
        <v>0.61425576519916147</v>
      </c>
    </row>
    <row r="2295" spans="1:12" x14ac:dyDescent="0.45">
      <c r="A2295" s="12" t="s">
        <v>719</v>
      </c>
      <c r="B2295" s="12" t="s">
        <v>832</v>
      </c>
      <c r="C2295" s="13" t="s">
        <v>833</v>
      </c>
      <c r="D2295" s="13" t="s">
        <v>124</v>
      </c>
      <c r="E2295" s="12" t="s">
        <v>50</v>
      </c>
      <c r="F2295" s="13"/>
      <c r="G2295" s="13"/>
      <c r="H2295" s="13" t="s">
        <v>834</v>
      </c>
      <c r="I2295" s="40" t="s">
        <v>18</v>
      </c>
      <c r="J2295" s="40" t="str">
        <f>HYPERLINK("https://stock.pstatic.net/stock-research/company/74/20260526_company_818874000.pdf","PDF")</f>
        <v>PDF</v>
      </c>
      <c r="K2295" s="12" t="s">
        <v>835</v>
      </c>
      <c r="L2295" s="12"/>
    </row>
    <row r="2296" spans="1:12" x14ac:dyDescent="0.45">
      <c r="A2296" s="12" t="s">
        <v>719</v>
      </c>
      <c r="B2296" s="12" t="s">
        <v>836</v>
      </c>
      <c r="C2296" s="13" t="s">
        <v>837</v>
      </c>
      <c r="D2296" s="13" t="s">
        <v>83</v>
      </c>
      <c r="E2296" s="12" t="s">
        <v>35</v>
      </c>
      <c r="F2296" s="14">
        <v>1500000</v>
      </c>
      <c r="G2296" s="14">
        <v>1185000</v>
      </c>
      <c r="H2296" s="13" t="s">
        <v>838</v>
      </c>
      <c r="I2296" s="40" t="s">
        <v>18</v>
      </c>
      <c r="J2296" s="40" t="str">
        <f>HYPERLINK("https://stock.pstatic.net/stock-research/company/15/20260526_company_454770000.pdf","PDF")</f>
        <v>PDF</v>
      </c>
      <c r="K2296" s="12" t="s">
        <v>839</v>
      </c>
      <c r="L2296" s="36">
        <v>0.26582278481012661</v>
      </c>
    </row>
    <row r="2297" spans="1:12" x14ac:dyDescent="0.45">
      <c r="A2297" s="12" t="s">
        <v>719</v>
      </c>
      <c r="B2297" s="12" t="s">
        <v>638</v>
      </c>
      <c r="C2297" s="13" t="s">
        <v>639</v>
      </c>
      <c r="D2297" s="13" t="s">
        <v>83</v>
      </c>
      <c r="E2297" s="12" t="s">
        <v>50</v>
      </c>
      <c r="F2297" s="13"/>
      <c r="G2297" s="14">
        <v>40300</v>
      </c>
      <c r="H2297" s="13" t="s">
        <v>640</v>
      </c>
      <c r="I2297" s="40" t="s">
        <v>18</v>
      </c>
      <c r="J2297" s="40" t="str">
        <f>HYPERLINK("https://stock.pstatic.net/stock-research/company/15/20260526_company_877590000.pdf","PDF")</f>
        <v>PDF</v>
      </c>
      <c r="K2297" s="12" t="s">
        <v>840</v>
      </c>
      <c r="L2297" s="12"/>
    </row>
    <row r="2298" spans="1:12" x14ac:dyDescent="0.45">
      <c r="A2298" s="12" t="s">
        <v>719</v>
      </c>
      <c r="B2298" s="12" t="s">
        <v>272</v>
      </c>
      <c r="C2298" s="13" t="s">
        <v>273</v>
      </c>
      <c r="D2298" s="13" t="s">
        <v>83</v>
      </c>
      <c r="E2298" s="12" t="s">
        <v>35</v>
      </c>
      <c r="F2298" s="14">
        <v>620000</v>
      </c>
      <c r="G2298" s="14">
        <v>305000</v>
      </c>
      <c r="H2298" s="13" t="s">
        <v>274</v>
      </c>
      <c r="I2298" s="40" t="s">
        <v>18</v>
      </c>
      <c r="J2298" s="40" t="str">
        <f>HYPERLINK("https://stock.pstatic.net/stock-research/company/15/20260526_company_409983000.pdf","PDF")</f>
        <v>PDF</v>
      </c>
      <c r="K2298" s="12" t="s">
        <v>841</v>
      </c>
      <c r="L2298" s="36">
        <v>1.0327868852459019</v>
      </c>
    </row>
    <row r="2299" spans="1:12" x14ac:dyDescent="0.45">
      <c r="A2299" s="12" t="s">
        <v>719</v>
      </c>
      <c r="B2299" s="12" t="s">
        <v>842</v>
      </c>
      <c r="C2299" s="13" t="s">
        <v>843</v>
      </c>
      <c r="D2299" s="13" t="s">
        <v>83</v>
      </c>
      <c r="E2299" s="12" t="s">
        <v>50</v>
      </c>
      <c r="F2299" s="13"/>
      <c r="G2299" s="14">
        <v>38650</v>
      </c>
      <c r="H2299" s="13" t="s">
        <v>844</v>
      </c>
      <c r="I2299" s="40" t="s">
        <v>18</v>
      </c>
      <c r="J2299" s="40" t="str">
        <f>HYPERLINK("https://stock.pstatic.net/stock-research/company/15/20260526_company_353822000.pdf","PDF")</f>
        <v>PDF</v>
      </c>
      <c r="K2299" s="12" t="s">
        <v>845</v>
      </c>
      <c r="L2299" s="12"/>
    </row>
    <row r="2300" spans="1:12" x14ac:dyDescent="0.45">
      <c r="A2300" s="12" t="s">
        <v>719</v>
      </c>
      <c r="B2300" s="12" t="s">
        <v>418</v>
      </c>
      <c r="C2300" s="13" t="s">
        <v>419</v>
      </c>
      <c r="D2300" s="13" t="s">
        <v>15</v>
      </c>
      <c r="E2300" s="12" t="s">
        <v>16</v>
      </c>
      <c r="F2300" s="14">
        <v>28000</v>
      </c>
      <c r="G2300" s="14">
        <v>19500</v>
      </c>
      <c r="H2300" s="13" t="s">
        <v>846</v>
      </c>
      <c r="I2300" s="40" t="s">
        <v>18</v>
      </c>
      <c r="J2300" s="40" t="str">
        <f>HYPERLINK("https://stock.pstatic.net/stock-research/company/56/20260526_company_865495000.pdf","PDF")</f>
        <v>PDF</v>
      </c>
      <c r="K2300" s="12" t="s">
        <v>847</v>
      </c>
      <c r="L2300" s="36">
        <v>0.4358974358974359</v>
      </c>
    </row>
    <row r="2301" spans="1:12" x14ac:dyDescent="0.45">
      <c r="A2301" s="12" t="s">
        <v>848</v>
      </c>
      <c r="B2301" s="12" t="s">
        <v>849</v>
      </c>
      <c r="C2301" s="13" t="s">
        <v>850</v>
      </c>
      <c r="D2301" s="13" t="s">
        <v>78</v>
      </c>
      <c r="E2301" s="12" t="s">
        <v>50</v>
      </c>
      <c r="F2301" s="13"/>
      <c r="G2301" s="13"/>
      <c r="H2301" s="13" t="s">
        <v>851</v>
      </c>
      <c r="I2301" s="40" t="s">
        <v>18</v>
      </c>
      <c r="J2301" s="12"/>
      <c r="K2301" s="12" t="s">
        <v>852</v>
      </c>
      <c r="L2301" s="12"/>
    </row>
    <row r="2302" spans="1:12" x14ac:dyDescent="0.45">
      <c r="A2302" s="12" t="s">
        <v>848</v>
      </c>
      <c r="B2302" s="12" t="s">
        <v>32</v>
      </c>
      <c r="C2302" s="13" t="s">
        <v>33</v>
      </c>
      <c r="D2302" s="13" t="s">
        <v>853</v>
      </c>
      <c r="E2302" s="12" t="s">
        <v>35</v>
      </c>
      <c r="F2302" s="14">
        <v>1600000</v>
      </c>
      <c r="G2302" s="14">
        <v>1061000</v>
      </c>
      <c r="H2302" s="13" t="s">
        <v>854</v>
      </c>
      <c r="I2302" s="40" t="s">
        <v>18</v>
      </c>
      <c r="J2302" s="40" t="str">
        <f>HYPERLINK("https://stock.pstatic.net/stock-research/company/17/20260522_company_457085000.pdf","PDF")</f>
        <v>PDF</v>
      </c>
      <c r="K2302" s="12" t="s">
        <v>855</v>
      </c>
      <c r="L2302" s="36">
        <v>0.50801131008482558</v>
      </c>
    </row>
    <row r="2303" spans="1:12" x14ac:dyDescent="0.45">
      <c r="A2303" s="12" t="s">
        <v>848</v>
      </c>
      <c r="B2303" s="12" t="s">
        <v>856</v>
      </c>
      <c r="C2303" s="13" t="s">
        <v>857</v>
      </c>
      <c r="D2303" s="13" t="s">
        <v>276</v>
      </c>
      <c r="E2303" s="12" t="s">
        <v>16</v>
      </c>
      <c r="F2303" s="14">
        <v>190000</v>
      </c>
      <c r="G2303" s="14">
        <v>135100</v>
      </c>
      <c r="H2303" s="13" t="s">
        <v>858</v>
      </c>
      <c r="I2303" s="40" t="s">
        <v>18</v>
      </c>
      <c r="J2303" s="40" t="str">
        <f>HYPERLINK("https://stock.pstatic.net/stock-research/company/66/20260522_company_617023000.pdf","PDF")</f>
        <v>PDF</v>
      </c>
      <c r="K2303" s="12" t="s">
        <v>859</v>
      </c>
      <c r="L2303" s="36">
        <v>0.4063656550703183</v>
      </c>
    </row>
    <row r="2304" spans="1:12" x14ac:dyDescent="0.45">
      <c r="A2304" s="12" t="s">
        <v>848</v>
      </c>
      <c r="B2304" s="12" t="s">
        <v>860</v>
      </c>
      <c r="C2304" s="13" t="s">
        <v>861</v>
      </c>
      <c r="D2304" s="13" t="s">
        <v>276</v>
      </c>
      <c r="E2304" s="12" t="s">
        <v>16</v>
      </c>
      <c r="F2304" s="14">
        <v>177000</v>
      </c>
      <c r="G2304" s="14">
        <v>141900</v>
      </c>
      <c r="H2304" s="13" t="s">
        <v>862</v>
      </c>
      <c r="I2304" s="40" t="s">
        <v>18</v>
      </c>
      <c r="J2304" s="40" t="str">
        <f>HYPERLINK("https://stock.pstatic.net/stock-research/company/66/20260522_company_469309000.pdf","PDF")</f>
        <v>PDF</v>
      </c>
      <c r="K2304" s="12" t="s">
        <v>863</v>
      </c>
      <c r="L2304" s="36">
        <v>0.2473572938689218</v>
      </c>
    </row>
    <row r="2305" spans="1:12" x14ac:dyDescent="0.45">
      <c r="A2305" s="12" t="s">
        <v>848</v>
      </c>
      <c r="B2305" s="12" t="s">
        <v>430</v>
      </c>
      <c r="C2305" s="13" t="s">
        <v>431</v>
      </c>
      <c r="D2305" s="13" t="s">
        <v>60</v>
      </c>
      <c r="E2305" s="12" t="s">
        <v>50</v>
      </c>
      <c r="F2305" s="13"/>
      <c r="G2305" s="14">
        <v>50900</v>
      </c>
      <c r="H2305" s="13" t="s">
        <v>864</v>
      </c>
      <c r="I2305" s="40" t="s">
        <v>18</v>
      </c>
      <c r="J2305" s="40" t="str">
        <f>HYPERLINK("https://stock.pstatic.net/stock-research/company/62/20260522_company_707404000.pdf","PDF")</f>
        <v>PDF</v>
      </c>
      <c r="K2305" s="12" t="s">
        <v>865</v>
      </c>
      <c r="L2305" s="12"/>
    </row>
    <row r="2306" spans="1:12" x14ac:dyDescent="0.45">
      <c r="A2306" s="12" t="s">
        <v>848</v>
      </c>
      <c r="B2306" s="12" t="s">
        <v>545</v>
      </c>
      <c r="C2306" s="13" t="s">
        <v>546</v>
      </c>
      <c r="D2306" s="13" t="s">
        <v>60</v>
      </c>
      <c r="E2306" s="12" t="s">
        <v>35</v>
      </c>
      <c r="F2306" s="14">
        <v>580000</v>
      </c>
      <c r="G2306" s="14">
        <v>429000</v>
      </c>
      <c r="H2306" s="13" t="s">
        <v>866</v>
      </c>
      <c r="I2306" s="40" t="s">
        <v>18</v>
      </c>
      <c r="J2306" s="40" t="str">
        <f>HYPERLINK("https://stock.pstatic.net/stock-research/company/62/20260522_company_723532000.pdf","PDF")</f>
        <v>PDF</v>
      </c>
      <c r="K2306" s="12" t="s">
        <v>867</v>
      </c>
      <c r="L2306" s="36">
        <v>0.351981351981352</v>
      </c>
    </row>
    <row r="2307" spans="1:12" x14ac:dyDescent="0.45">
      <c r="A2307" s="12" t="s">
        <v>848</v>
      </c>
      <c r="B2307" s="12" t="s">
        <v>868</v>
      </c>
      <c r="C2307" s="13" t="s">
        <v>869</v>
      </c>
      <c r="D2307" s="13" t="s">
        <v>60</v>
      </c>
      <c r="E2307" s="12" t="s">
        <v>35</v>
      </c>
      <c r="F2307" s="14">
        <v>60000</v>
      </c>
      <c r="G2307" s="14">
        <v>44450</v>
      </c>
      <c r="H2307" s="13" t="s">
        <v>870</v>
      </c>
      <c r="I2307" s="40" t="s">
        <v>18</v>
      </c>
      <c r="J2307" s="40" t="str">
        <f>HYPERLINK("https://stock.pstatic.net/stock-research/company/62/20260522_company_56780000.pdf","PDF")</f>
        <v>PDF</v>
      </c>
      <c r="K2307" s="12" t="s">
        <v>871</v>
      </c>
      <c r="L2307" s="36">
        <v>0.34983127109111362</v>
      </c>
    </row>
    <row r="2308" spans="1:12" x14ac:dyDescent="0.45">
      <c r="A2308" s="12" t="s">
        <v>848</v>
      </c>
      <c r="B2308" s="12" t="s">
        <v>872</v>
      </c>
      <c r="C2308" s="13" t="s">
        <v>873</v>
      </c>
      <c r="D2308" s="13" t="s">
        <v>65</v>
      </c>
      <c r="E2308" s="12" t="s">
        <v>35</v>
      </c>
      <c r="F2308" s="14">
        <v>60000</v>
      </c>
      <c r="G2308" s="14">
        <v>38200</v>
      </c>
      <c r="H2308" s="13" t="s">
        <v>874</v>
      </c>
      <c r="I2308" s="40" t="s">
        <v>18</v>
      </c>
      <c r="J2308" s="40" t="str">
        <f>HYPERLINK("https://stock.pstatic.net/stock-research/company/57/20260522_company_404571000.pdf","PDF")</f>
        <v>PDF</v>
      </c>
      <c r="K2308" s="12" t="s">
        <v>875</v>
      </c>
      <c r="L2308" s="36">
        <v>0.5706806282722513</v>
      </c>
    </row>
    <row r="2309" spans="1:12" x14ac:dyDescent="0.45">
      <c r="A2309" s="12" t="s">
        <v>848</v>
      </c>
      <c r="B2309" s="12" t="s">
        <v>876</v>
      </c>
      <c r="C2309" s="13" t="s">
        <v>877</v>
      </c>
      <c r="D2309" s="13" t="s">
        <v>65</v>
      </c>
      <c r="E2309" s="12" t="s">
        <v>35</v>
      </c>
      <c r="F2309" s="14">
        <v>50000</v>
      </c>
      <c r="G2309" s="14">
        <v>30000</v>
      </c>
      <c r="H2309" s="13" t="s">
        <v>878</v>
      </c>
      <c r="I2309" s="40" t="s">
        <v>18</v>
      </c>
      <c r="J2309" s="40" t="str">
        <f>HYPERLINK("https://stock.pstatic.net/stock-research/company/57/20260522_company_252427000.pdf","PDF")</f>
        <v>PDF</v>
      </c>
      <c r="K2309" s="12" t="s">
        <v>879</v>
      </c>
      <c r="L2309" s="36">
        <v>0.66666666666666663</v>
      </c>
    </row>
    <row r="2310" spans="1:12" x14ac:dyDescent="0.45">
      <c r="A2310" s="12" t="s">
        <v>848</v>
      </c>
      <c r="B2310" s="12" t="s">
        <v>880</v>
      </c>
      <c r="C2310" s="13" t="s">
        <v>881</v>
      </c>
      <c r="D2310" s="13" t="s">
        <v>158</v>
      </c>
      <c r="E2310" s="12" t="s">
        <v>35</v>
      </c>
      <c r="F2310" s="14">
        <v>15000</v>
      </c>
      <c r="G2310" s="14">
        <v>11560</v>
      </c>
      <c r="H2310" s="13" t="s">
        <v>882</v>
      </c>
      <c r="I2310" s="40" t="s">
        <v>18</v>
      </c>
      <c r="J2310" s="40" t="str">
        <f>HYPERLINK("https://stock.pstatic.net/stock-research/company/18/20260522_company_94474000.pdf","PDF")</f>
        <v>PDF</v>
      </c>
      <c r="K2310" s="12" t="s">
        <v>883</v>
      </c>
      <c r="L2310" s="36">
        <v>0.29757785467128028</v>
      </c>
    </row>
    <row r="2311" spans="1:12" x14ac:dyDescent="0.45">
      <c r="A2311" s="12" t="s">
        <v>848</v>
      </c>
      <c r="B2311" s="12" t="s">
        <v>884</v>
      </c>
      <c r="C2311" s="13" t="s">
        <v>885</v>
      </c>
      <c r="D2311" s="13" t="s">
        <v>53</v>
      </c>
      <c r="E2311" s="12" t="s">
        <v>16</v>
      </c>
      <c r="F2311" s="14">
        <v>4000</v>
      </c>
      <c r="G2311" s="14">
        <v>2725</v>
      </c>
      <c r="H2311" s="13" t="s">
        <v>886</v>
      </c>
      <c r="I2311" s="40" t="s">
        <v>18</v>
      </c>
      <c r="J2311" s="40" t="str">
        <f>HYPERLINK("https://stock.pstatic.net/stock-research/company/40/20260522_company_92648000.pdf","PDF")</f>
        <v>PDF</v>
      </c>
      <c r="K2311" s="12" t="s">
        <v>887</v>
      </c>
      <c r="L2311" s="36">
        <v>0.46788990825688082</v>
      </c>
    </row>
    <row r="2312" spans="1:12" x14ac:dyDescent="0.45">
      <c r="A2312" s="12" t="s">
        <v>848</v>
      </c>
      <c r="B2312" s="12" t="s">
        <v>888</v>
      </c>
      <c r="C2312" s="13" t="s">
        <v>889</v>
      </c>
      <c r="D2312" s="13" t="s">
        <v>23</v>
      </c>
      <c r="E2312" s="12" t="s">
        <v>16</v>
      </c>
      <c r="F2312" s="14">
        <v>100000</v>
      </c>
      <c r="G2312" s="14">
        <v>65000</v>
      </c>
      <c r="H2312" s="13" t="s">
        <v>890</v>
      </c>
      <c r="I2312" s="40" t="s">
        <v>18</v>
      </c>
      <c r="J2312" s="40" t="str">
        <f>HYPERLINK("https://stock.pstatic.net/stock-research/company/21/20260522_company_923640000.pdf","PDF")</f>
        <v>PDF</v>
      </c>
      <c r="K2312" s="12" t="s">
        <v>891</v>
      </c>
      <c r="L2312" s="36">
        <v>0.53846153846153844</v>
      </c>
    </row>
    <row r="2313" spans="1:12" x14ac:dyDescent="0.45">
      <c r="A2313" s="12" t="s">
        <v>848</v>
      </c>
      <c r="B2313" s="12" t="s">
        <v>237</v>
      </c>
      <c r="C2313" s="13" t="s">
        <v>238</v>
      </c>
      <c r="D2313" s="13" t="s">
        <v>23</v>
      </c>
      <c r="E2313" s="12" t="s">
        <v>50</v>
      </c>
      <c r="F2313" s="13"/>
      <c r="G2313" s="14">
        <v>39050</v>
      </c>
      <c r="H2313" s="13" t="s">
        <v>892</v>
      </c>
      <c r="I2313" s="40" t="s">
        <v>18</v>
      </c>
      <c r="J2313" s="40" t="str">
        <f>HYPERLINK("https://stock.pstatic.net/stock-research/company/21/20260522_company_661668000.pdf","PDF")</f>
        <v>PDF</v>
      </c>
      <c r="K2313" s="12" t="s">
        <v>893</v>
      </c>
      <c r="L2313" s="12"/>
    </row>
    <row r="2314" spans="1:12" x14ac:dyDescent="0.45">
      <c r="A2314" s="12" t="s">
        <v>848</v>
      </c>
      <c r="B2314" s="12" t="s">
        <v>894</v>
      </c>
      <c r="C2314" s="13" t="s">
        <v>26</v>
      </c>
      <c r="D2314" s="13" t="s">
        <v>23</v>
      </c>
      <c r="E2314" s="12" t="s">
        <v>16</v>
      </c>
      <c r="F2314" s="14">
        <v>140000</v>
      </c>
      <c r="G2314" s="14">
        <v>104000</v>
      </c>
      <c r="H2314" s="13" t="s">
        <v>895</v>
      </c>
      <c r="I2314" s="40" t="s">
        <v>18</v>
      </c>
      <c r="J2314" s="40" t="str">
        <f>HYPERLINK("https://stock.pstatic.net/stock-research/company/21/20260522_company_589843000.pdf","PDF")</f>
        <v>PDF</v>
      </c>
      <c r="K2314" s="12" t="s">
        <v>896</v>
      </c>
      <c r="L2314" s="36">
        <v>0.34615384615384609</v>
      </c>
    </row>
    <row r="2315" spans="1:12" x14ac:dyDescent="0.45">
      <c r="A2315" s="12" t="s">
        <v>848</v>
      </c>
      <c r="B2315" s="12" t="s">
        <v>264</v>
      </c>
      <c r="C2315" s="13" t="s">
        <v>265</v>
      </c>
      <c r="D2315" s="13" t="s">
        <v>44</v>
      </c>
      <c r="E2315" s="12" t="s">
        <v>35</v>
      </c>
      <c r="F2315" s="14">
        <v>700000</v>
      </c>
      <c r="G2315" s="14">
        <v>521000</v>
      </c>
      <c r="H2315" s="13" t="s">
        <v>897</v>
      </c>
      <c r="I2315" s="40" t="s">
        <v>18</v>
      </c>
      <c r="J2315" s="40" t="str">
        <f>HYPERLINK("https://stock.pstatic.net/stock-research/company/39/20260522_company_544740000.pdf","PDF")</f>
        <v>PDF</v>
      </c>
      <c r="K2315" s="12" t="s">
        <v>898</v>
      </c>
      <c r="L2315" s="36">
        <v>0.34357005758157388</v>
      </c>
    </row>
    <row r="2316" spans="1:12" x14ac:dyDescent="0.45">
      <c r="A2316" s="12" t="s">
        <v>848</v>
      </c>
      <c r="B2316" s="12" t="s">
        <v>899</v>
      </c>
      <c r="C2316" s="13" t="s">
        <v>900</v>
      </c>
      <c r="D2316" s="13" t="s">
        <v>44</v>
      </c>
      <c r="E2316" s="12" t="s">
        <v>35</v>
      </c>
      <c r="F2316" s="14">
        <v>76000</v>
      </c>
      <c r="G2316" s="14">
        <v>43600</v>
      </c>
      <c r="H2316" s="13" t="s">
        <v>901</v>
      </c>
      <c r="I2316" s="40" t="s">
        <v>18</v>
      </c>
      <c r="J2316" s="40" t="str">
        <f>HYPERLINK("https://stock.pstatic.net/stock-research/company/39/20260522_company_731014000.pdf","PDF")</f>
        <v>PDF</v>
      </c>
      <c r="K2316" s="12" t="s">
        <v>902</v>
      </c>
      <c r="L2316" s="36">
        <v>0.74311926605504586</v>
      </c>
    </row>
    <row r="2317" spans="1:12" x14ac:dyDescent="0.45">
      <c r="A2317" s="12" t="s">
        <v>848</v>
      </c>
      <c r="B2317" s="12" t="s">
        <v>702</v>
      </c>
      <c r="C2317" s="13" t="s">
        <v>703</v>
      </c>
      <c r="D2317" s="13" t="s">
        <v>124</v>
      </c>
      <c r="E2317" s="12" t="s">
        <v>50</v>
      </c>
      <c r="F2317" s="13"/>
      <c r="G2317" s="13"/>
      <c r="H2317" s="13" t="s">
        <v>704</v>
      </c>
      <c r="I2317" s="40" t="s">
        <v>18</v>
      </c>
      <c r="J2317" s="40" t="str">
        <f>HYPERLINK("https://stock.pstatic.net/stock-research/company/74/20260522_company_422715000.pdf","PDF")</f>
        <v>PDF</v>
      </c>
      <c r="K2317" s="12" t="s">
        <v>903</v>
      </c>
      <c r="L2317" s="12"/>
    </row>
    <row r="2318" spans="1:12" x14ac:dyDescent="0.45">
      <c r="A2318" s="12" t="s">
        <v>848</v>
      </c>
      <c r="B2318" s="12" t="s">
        <v>904</v>
      </c>
      <c r="C2318" s="13" t="s">
        <v>905</v>
      </c>
      <c r="D2318" s="13" t="s">
        <v>15</v>
      </c>
      <c r="E2318" s="12" t="s">
        <v>16</v>
      </c>
      <c r="F2318" s="14">
        <v>32000</v>
      </c>
      <c r="G2318" s="14">
        <v>21100</v>
      </c>
      <c r="H2318" s="13" t="s">
        <v>906</v>
      </c>
      <c r="I2318" s="40" t="s">
        <v>18</v>
      </c>
      <c r="J2318" s="40" t="str">
        <f>HYPERLINK("https://stock.pstatic.net/stock-research/company/56/20260522_company_288081000.pdf","PDF")</f>
        <v>PDF</v>
      </c>
      <c r="K2318" s="12" t="s">
        <v>907</v>
      </c>
      <c r="L2318" s="36">
        <v>0.51658767772511849</v>
      </c>
    </row>
    <row r="2319" spans="1:12" x14ac:dyDescent="0.45">
      <c r="A2319" s="12" t="s">
        <v>848</v>
      </c>
      <c r="B2319" s="12" t="s">
        <v>908</v>
      </c>
      <c r="C2319" s="13" t="s">
        <v>909</v>
      </c>
      <c r="D2319" s="13" t="s">
        <v>15</v>
      </c>
      <c r="E2319" s="12" t="s">
        <v>16</v>
      </c>
      <c r="F2319" s="14">
        <v>240000</v>
      </c>
      <c r="G2319" s="14">
        <v>164800</v>
      </c>
      <c r="H2319" s="13" t="s">
        <v>910</v>
      </c>
      <c r="I2319" s="40" t="s">
        <v>18</v>
      </c>
      <c r="J2319" s="40" t="str">
        <f>HYPERLINK("https://stock.pstatic.net/stock-research/company/56/20260522_company_202476000.pdf","PDF")</f>
        <v>PDF</v>
      </c>
      <c r="K2319" s="12" t="s">
        <v>911</v>
      </c>
      <c r="L2319" s="36">
        <v>0.4563106796116505</v>
      </c>
    </row>
    <row r="2320" spans="1:12" x14ac:dyDescent="0.45">
      <c r="A2320" s="12" t="s">
        <v>848</v>
      </c>
      <c r="B2320" s="12" t="s">
        <v>912</v>
      </c>
      <c r="C2320" s="13" t="s">
        <v>913</v>
      </c>
      <c r="D2320" s="13" t="s">
        <v>15</v>
      </c>
      <c r="E2320" s="12" t="s">
        <v>16</v>
      </c>
      <c r="F2320" s="14">
        <v>110000</v>
      </c>
      <c r="G2320" s="14">
        <v>71200</v>
      </c>
      <c r="H2320" s="13" t="s">
        <v>914</v>
      </c>
      <c r="I2320" s="40" t="s">
        <v>18</v>
      </c>
      <c r="J2320" s="40" t="str">
        <f>HYPERLINK("https://stock.pstatic.net/stock-research/company/56/20260522_company_450408000.pdf","PDF")</f>
        <v>PDF</v>
      </c>
      <c r="K2320" s="12" t="s">
        <v>915</v>
      </c>
      <c r="L2320" s="36">
        <v>0.5449438202247191</v>
      </c>
    </row>
    <row r="2321" spans="1:12" x14ac:dyDescent="0.45">
      <c r="A2321" s="12" t="s">
        <v>848</v>
      </c>
      <c r="B2321" s="12" t="s">
        <v>916</v>
      </c>
      <c r="C2321" s="13" t="s">
        <v>917</v>
      </c>
      <c r="D2321" s="13" t="s">
        <v>15</v>
      </c>
      <c r="E2321" s="12" t="s">
        <v>16</v>
      </c>
      <c r="F2321" s="14">
        <v>58000</v>
      </c>
      <c r="G2321" s="14">
        <v>40150</v>
      </c>
      <c r="H2321" s="13" t="s">
        <v>918</v>
      </c>
      <c r="I2321" s="40" t="s">
        <v>18</v>
      </c>
      <c r="J2321" s="40" t="str">
        <f>HYPERLINK("https://stock.pstatic.net/stock-research/company/56/20260522_company_122394000.pdf","PDF")</f>
        <v>PDF</v>
      </c>
      <c r="K2321" s="12" t="s">
        <v>919</v>
      </c>
      <c r="L2321" s="36">
        <v>0.44458281444582809</v>
      </c>
    </row>
    <row r="2322" spans="1:12" x14ac:dyDescent="0.45">
      <c r="A2322" s="12" t="s">
        <v>848</v>
      </c>
      <c r="B2322" s="12" t="s">
        <v>42</v>
      </c>
      <c r="C2322" s="13" t="s">
        <v>43</v>
      </c>
      <c r="D2322" s="13" t="s">
        <v>15</v>
      </c>
      <c r="E2322" s="12" t="s">
        <v>16</v>
      </c>
      <c r="F2322" s="14">
        <v>280000</v>
      </c>
      <c r="G2322" s="14">
        <v>191500</v>
      </c>
      <c r="H2322" s="13" t="s">
        <v>920</v>
      </c>
      <c r="I2322" s="40" t="s">
        <v>18</v>
      </c>
      <c r="J2322" s="40" t="str">
        <f>HYPERLINK("https://stock.pstatic.net/stock-research/company/56/20260522_company_254399000.pdf","PDF")</f>
        <v>PDF</v>
      </c>
      <c r="K2322" s="12" t="s">
        <v>921</v>
      </c>
      <c r="L2322" s="36">
        <v>0.46214099216710181</v>
      </c>
    </row>
    <row r="2323" spans="1:12" x14ac:dyDescent="0.45">
      <c r="A2323" s="12" t="s">
        <v>848</v>
      </c>
      <c r="B2323" s="12" t="s">
        <v>922</v>
      </c>
      <c r="C2323" s="13" t="s">
        <v>923</v>
      </c>
      <c r="D2323" s="13" t="s">
        <v>207</v>
      </c>
      <c r="E2323" s="12" t="s">
        <v>50</v>
      </c>
      <c r="F2323" s="13"/>
      <c r="G2323" s="14">
        <v>3300</v>
      </c>
      <c r="H2323" s="13" t="s">
        <v>924</v>
      </c>
      <c r="I2323" s="40" t="s">
        <v>18</v>
      </c>
      <c r="J2323" s="40" t="str">
        <f>HYPERLINK("https://stock.pstatic.net/stock-research/company/75/20260522_company_788311000.pdf","PDF")</f>
        <v>PDF</v>
      </c>
      <c r="K2323" s="12" t="s">
        <v>925</v>
      </c>
      <c r="L2323" s="12"/>
    </row>
    <row r="2324" spans="1:12" x14ac:dyDescent="0.45">
      <c r="A2324" s="12" t="s">
        <v>848</v>
      </c>
      <c r="B2324" s="12" t="s">
        <v>926</v>
      </c>
      <c r="C2324" s="13" t="s">
        <v>927</v>
      </c>
      <c r="D2324" s="13" t="s">
        <v>202</v>
      </c>
      <c r="E2324" s="12" t="s">
        <v>50</v>
      </c>
      <c r="F2324" s="13"/>
      <c r="G2324" s="14">
        <v>1105</v>
      </c>
      <c r="H2324" s="13" t="s">
        <v>928</v>
      </c>
      <c r="I2324" s="40" t="s">
        <v>18</v>
      </c>
      <c r="J2324" s="40" t="str">
        <f>HYPERLINK("https://stock.pstatic.net/stock-research/company/69/20260522_company_933028000.pdf","PDF")</f>
        <v>PDF</v>
      </c>
      <c r="K2324" s="12" t="s">
        <v>929</v>
      </c>
      <c r="L2324" s="12"/>
    </row>
    <row r="2325" spans="1:12" x14ac:dyDescent="0.45">
      <c r="A2325" s="12" t="s">
        <v>848</v>
      </c>
      <c r="B2325" s="12" t="s">
        <v>930</v>
      </c>
      <c r="C2325" s="13" t="s">
        <v>931</v>
      </c>
      <c r="D2325" s="13" t="s">
        <v>202</v>
      </c>
      <c r="E2325" s="12" t="s">
        <v>50</v>
      </c>
      <c r="F2325" s="13"/>
      <c r="G2325" s="13"/>
      <c r="H2325" s="13" t="s">
        <v>932</v>
      </c>
      <c r="I2325" s="40" t="s">
        <v>18</v>
      </c>
      <c r="J2325" s="40" t="str">
        <f>HYPERLINK("https://stock.pstatic.net/stock-research/company/69/20260522_company_732714000.pdf","PDF")</f>
        <v>PDF</v>
      </c>
      <c r="K2325" s="12" t="s">
        <v>933</v>
      </c>
      <c r="L2325" s="12"/>
    </row>
    <row r="2326" spans="1:12" x14ac:dyDescent="0.45">
      <c r="A2326" s="12" t="s">
        <v>848</v>
      </c>
      <c r="B2326" s="12" t="s">
        <v>934</v>
      </c>
      <c r="C2326" s="13" t="s">
        <v>935</v>
      </c>
      <c r="D2326" s="13" t="s">
        <v>207</v>
      </c>
      <c r="E2326" s="12" t="s">
        <v>50</v>
      </c>
      <c r="F2326" s="13"/>
      <c r="G2326" s="13"/>
      <c r="H2326" s="13" t="s">
        <v>936</v>
      </c>
      <c r="I2326" s="40" t="s">
        <v>18</v>
      </c>
      <c r="J2326" s="40" t="str">
        <f>HYPERLINK("https://stock.pstatic.net/stock-research/company/75/20260522_company_89210000.pdf","PDF")</f>
        <v>PDF</v>
      </c>
      <c r="K2326" s="12" t="s">
        <v>937</v>
      </c>
      <c r="L2326" s="12"/>
    </row>
    <row r="2327" spans="1:12" x14ac:dyDescent="0.45">
      <c r="A2327" s="12" t="s">
        <v>848</v>
      </c>
      <c r="B2327" s="12" t="s">
        <v>938</v>
      </c>
      <c r="C2327" s="13" t="s">
        <v>939</v>
      </c>
      <c r="D2327" s="13" t="s">
        <v>124</v>
      </c>
      <c r="E2327" s="12" t="s">
        <v>50</v>
      </c>
      <c r="F2327" s="13"/>
      <c r="G2327" s="14">
        <v>14760</v>
      </c>
      <c r="H2327" s="13" t="s">
        <v>940</v>
      </c>
      <c r="I2327" s="40" t="s">
        <v>18</v>
      </c>
      <c r="J2327" s="40" t="str">
        <f>HYPERLINK("https://stock.pstatic.net/stock-research/company/74/20260522_company_522769000.pdf","PDF")</f>
        <v>PDF</v>
      </c>
      <c r="K2327" s="12" t="s">
        <v>941</v>
      </c>
      <c r="L2327" s="12"/>
    </row>
    <row r="2328" spans="1:12" x14ac:dyDescent="0.45">
      <c r="A2328" s="12" t="s">
        <v>848</v>
      </c>
      <c r="B2328" s="12" t="s">
        <v>942</v>
      </c>
      <c r="C2328" s="13" t="s">
        <v>943</v>
      </c>
      <c r="D2328" s="13" t="s">
        <v>124</v>
      </c>
      <c r="E2328" s="12" t="s">
        <v>50</v>
      </c>
      <c r="F2328" s="13"/>
      <c r="G2328" s="14">
        <v>11600</v>
      </c>
      <c r="H2328" s="13" t="s">
        <v>944</v>
      </c>
      <c r="I2328" s="40" t="s">
        <v>18</v>
      </c>
      <c r="J2328" s="40" t="str">
        <f>HYPERLINK("https://stock.pstatic.net/stock-research/company/74/20260522_company_257594000.pdf","PDF")</f>
        <v>PDF</v>
      </c>
      <c r="K2328" s="12" t="s">
        <v>945</v>
      </c>
      <c r="L2328" s="12"/>
    </row>
    <row r="2329" spans="1:12" x14ac:dyDescent="0.45">
      <c r="A2329" s="12" t="s">
        <v>848</v>
      </c>
      <c r="B2329" s="12" t="s">
        <v>946</v>
      </c>
      <c r="C2329" s="13" t="s">
        <v>947</v>
      </c>
      <c r="D2329" s="13" t="s">
        <v>124</v>
      </c>
      <c r="E2329" s="12" t="s">
        <v>50</v>
      </c>
      <c r="F2329" s="13"/>
      <c r="G2329" s="14">
        <v>34050</v>
      </c>
      <c r="H2329" s="13" t="s">
        <v>948</v>
      </c>
      <c r="I2329" s="40" t="s">
        <v>18</v>
      </c>
      <c r="J2329" s="40" t="str">
        <f>HYPERLINK("https://stock.pstatic.net/stock-research/company/74/20260522_company_549657000.pdf","PDF")</f>
        <v>PDF</v>
      </c>
      <c r="K2329" s="12" t="s">
        <v>949</v>
      </c>
      <c r="L2329" s="12"/>
    </row>
    <row r="2330" spans="1:12" x14ac:dyDescent="0.45">
      <c r="A2330" s="12" t="s">
        <v>848</v>
      </c>
      <c r="B2330" s="12" t="s">
        <v>950</v>
      </c>
      <c r="C2330" s="13" t="s">
        <v>951</v>
      </c>
      <c r="D2330" s="13" t="s">
        <v>124</v>
      </c>
      <c r="E2330" s="12" t="s">
        <v>50</v>
      </c>
      <c r="F2330" s="13"/>
      <c r="G2330" s="14">
        <v>50600</v>
      </c>
      <c r="H2330" s="13" t="s">
        <v>952</v>
      </c>
      <c r="I2330" s="40" t="s">
        <v>18</v>
      </c>
      <c r="J2330" s="40" t="str">
        <f>HYPERLINK("https://stock.pstatic.net/stock-research/company/74/20260522_company_126492000.pdf","PDF")</f>
        <v>PDF</v>
      </c>
      <c r="K2330" s="12" t="s">
        <v>953</v>
      </c>
      <c r="L2330" s="12"/>
    </row>
    <row r="2331" spans="1:12" x14ac:dyDescent="0.45">
      <c r="A2331" s="12" t="s">
        <v>954</v>
      </c>
      <c r="B2331" s="12" t="s">
        <v>430</v>
      </c>
      <c r="C2331" s="13" t="s">
        <v>431</v>
      </c>
      <c r="D2331" s="13" t="s">
        <v>15</v>
      </c>
      <c r="E2331" s="12" t="s">
        <v>16</v>
      </c>
      <c r="F2331" s="14">
        <v>71000</v>
      </c>
      <c r="G2331" s="14">
        <v>39200</v>
      </c>
      <c r="H2331" s="13" t="s">
        <v>955</v>
      </c>
      <c r="I2331" s="40" t="s">
        <v>18</v>
      </c>
      <c r="J2331" s="40" t="str">
        <f>HYPERLINK("https://stock.pstatic.net/stock-research/company/56/20260521_company_50477000.pdf","PDF")</f>
        <v>PDF</v>
      </c>
      <c r="K2331" s="12" t="s">
        <v>956</v>
      </c>
      <c r="L2331" s="36">
        <v>0.81122448979591832</v>
      </c>
    </row>
    <row r="2332" spans="1:12" x14ac:dyDescent="0.45">
      <c r="A2332" s="12" t="s">
        <v>954</v>
      </c>
      <c r="B2332" s="12" t="s">
        <v>957</v>
      </c>
      <c r="C2332" s="13" t="s">
        <v>958</v>
      </c>
      <c r="D2332" s="13" t="s">
        <v>276</v>
      </c>
      <c r="E2332" s="12" t="s">
        <v>16</v>
      </c>
      <c r="F2332" s="14">
        <v>380000</v>
      </c>
      <c r="G2332" s="14">
        <v>238500</v>
      </c>
      <c r="H2332" s="13" t="s">
        <v>959</v>
      </c>
      <c r="I2332" s="40" t="s">
        <v>18</v>
      </c>
      <c r="J2332" s="40" t="str">
        <f>HYPERLINK("https://stock.pstatic.net/stock-research/company/66/20260521_company_98223000.pdf","PDF")</f>
        <v>PDF</v>
      </c>
      <c r="K2332" s="12" t="s">
        <v>960</v>
      </c>
      <c r="L2332" s="36">
        <v>0.59329140461215935</v>
      </c>
    </row>
    <row r="2333" spans="1:12" x14ac:dyDescent="0.45">
      <c r="A2333" s="12" t="s">
        <v>954</v>
      </c>
      <c r="B2333" s="12" t="s">
        <v>186</v>
      </c>
      <c r="C2333" s="13" t="s">
        <v>187</v>
      </c>
      <c r="D2333" s="13" t="s">
        <v>60</v>
      </c>
      <c r="E2333" s="12" t="s">
        <v>35</v>
      </c>
      <c r="F2333" s="14">
        <v>7000</v>
      </c>
      <c r="G2333" s="14">
        <v>5400</v>
      </c>
      <c r="H2333" s="13" t="s">
        <v>961</v>
      </c>
      <c r="I2333" s="40" t="s">
        <v>18</v>
      </c>
      <c r="J2333" s="40" t="str">
        <f>HYPERLINK("https://stock.pstatic.net/stock-research/company/62/20260521_company_478492000.pdf","PDF")</f>
        <v>PDF</v>
      </c>
      <c r="K2333" s="12" t="s">
        <v>962</v>
      </c>
      <c r="L2333" s="36">
        <v>0.29629629629629628</v>
      </c>
    </row>
    <row r="2334" spans="1:12" x14ac:dyDescent="0.45">
      <c r="A2334" s="12" t="s">
        <v>954</v>
      </c>
      <c r="B2334" s="12" t="s">
        <v>32</v>
      </c>
      <c r="C2334" s="13" t="s">
        <v>33</v>
      </c>
      <c r="D2334" s="13" t="s">
        <v>65</v>
      </c>
      <c r="E2334" s="12" t="s">
        <v>35</v>
      </c>
      <c r="F2334" s="14">
        <v>1700000</v>
      </c>
      <c r="G2334" s="14">
        <v>1061000</v>
      </c>
      <c r="H2334" s="13" t="s">
        <v>963</v>
      </c>
      <c r="I2334" s="40" t="s">
        <v>18</v>
      </c>
      <c r="J2334" s="40" t="str">
        <f>HYPERLINK("https://stock.pstatic.net/stock-research/company/57/20260521_company_666536000.pdf","PDF")</f>
        <v>PDF</v>
      </c>
      <c r="K2334" s="12" t="s">
        <v>964</v>
      </c>
      <c r="L2334" s="36">
        <v>0.60226201696512727</v>
      </c>
    </row>
    <row r="2335" spans="1:12" x14ac:dyDescent="0.45">
      <c r="A2335" s="12" t="s">
        <v>954</v>
      </c>
      <c r="B2335" s="12" t="s">
        <v>772</v>
      </c>
      <c r="C2335" s="13" t="s">
        <v>773</v>
      </c>
      <c r="D2335" s="13" t="s">
        <v>65</v>
      </c>
      <c r="E2335" s="12" t="s">
        <v>35</v>
      </c>
      <c r="F2335" s="14">
        <v>80000</v>
      </c>
      <c r="G2335" s="14">
        <v>40450</v>
      </c>
      <c r="H2335" s="13" t="s">
        <v>965</v>
      </c>
      <c r="I2335" s="40" t="s">
        <v>18</v>
      </c>
      <c r="J2335" s="40" t="str">
        <f>HYPERLINK("https://stock.pstatic.net/stock-research/company/57/20260521_company_800735000.pdf","PDF")</f>
        <v>PDF</v>
      </c>
      <c r="K2335" s="12" t="s">
        <v>966</v>
      </c>
      <c r="L2335" s="36">
        <v>0.97775030902348581</v>
      </c>
    </row>
    <row r="2336" spans="1:12" x14ac:dyDescent="0.45">
      <c r="A2336" s="12" t="s">
        <v>954</v>
      </c>
      <c r="B2336" s="12" t="s">
        <v>967</v>
      </c>
      <c r="C2336" s="13" t="s">
        <v>968</v>
      </c>
      <c r="D2336" s="13" t="s">
        <v>158</v>
      </c>
      <c r="E2336" s="12" t="s">
        <v>50</v>
      </c>
      <c r="F2336" s="13"/>
      <c r="G2336" s="14">
        <v>2680</v>
      </c>
      <c r="H2336" s="13" t="s">
        <v>969</v>
      </c>
      <c r="I2336" s="40" t="s">
        <v>18</v>
      </c>
      <c r="J2336" s="40" t="str">
        <f>HYPERLINK("https://stock.pstatic.net/stock-research/company/18/20260521_company_830472000.pdf","PDF")</f>
        <v>PDF</v>
      </c>
      <c r="K2336" s="12" t="s">
        <v>970</v>
      </c>
      <c r="L2336" s="12"/>
    </row>
    <row r="2337" spans="1:12" x14ac:dyDescent="0.45">
      <c r="A2337" s="12" t="s">
        <v>954</v>
      </c>
      <c r="B2337" s="12" t="s">
        <v>629</v>
      </c>
      <c r="C2337" s="13" t="s">
        <v>630</v>
      </c>
      <c r="D2337" s="13" t="s">
        <v>158</v>
      </c>
      <c r="E2337" s="12" t="s">
        <v>50</v>
      </c>
      <c r="F2337" s="13"/>
      <c r="G2337" s="14">
        <v>8860</v>
      </c>
      <c r="H2337" s="13" t="s">
        <v>971</v>
      </c>
      <c r="I2337" s="40" t="s">
        <v>18</v>
      </c>
      <c r="J2337" s="40" t="str">
        <f>HYPERLINK("https://stock.pstatic.net/stock-research/company/18/20260521_company_757780000.pdf","PDF")</f>
        <v>PDF</v>
      </c>
      <c r="K2337" s="12" t="s">
        <v>972</v>
      </c>
      <c r="L2337" s="12"/>
    </row>
    <row r="2338" spans="1:12" x14ac:dyDescent="0.45">
      <c r="A2338" s="12" t="s">
        <v>954</v>
      </c>
      <c r="B2338" s="12" t="s">
        <v>973</v>
      </c>
      <c r="C2338" s="13" t="s">
        <v>974</v>
      </c>
      <c r="D2338" s="13" t="s">
        <v>158</v>
      </c>
      <c r="E2338" s="12" t="s">
        <v>50</v>
      </c>
      <c r="F2338" s="13"/>
      <c r="G2338" s="14">
        <v>8720</v>
      </c>
      <c r="H2338" s="13" t="s">
        <v>975</v>
      </c>
      <c r="I2338" s="40" t="s">
        <v>18</v>
      </c>
      <c r="J2338" s="40" t="str">
        <f>HYPERLINK("https://stock.pstatic.net/stock-research/company/18/20260521_company_223231000.pdf","PDF")</f>
        <v>PDF</v>
      </c>
      <c r="K2338" s="12" t="s">
        <v>976</v>
      </c>
      <c r="L2338" s="12"/>
    </row>
    <row r="2339" spans="1:12" x14ac:dyDescent="0.45">
      <c r="A2339" s="12" t="s">
        <v>954</v>
      </c>
      <c r="B2339" s="12" t="s">
        <v>977</v>
      </c>
      <c r="C2339" s="13" t="s">
        <v>978</v>
      </c>
      <c r="D2339" s="13" t="s">
        <v>92</v>
      </c>
      <c r="E2339" s="12" t="s">
        <v>50</v>
      </c>
      <c r="F2339" s="13"/>
      <c r="G2339" s="14">
        <v>7090</v>
      </c>
      <c r="H2339" s="13" t="s">
        <v>979</v>
      </c>
      <c r="I2339" s="40" t="s">
        <v>18</v>
      </c>
      <c r="J2339" s="40" t="str">
        <f>HYPERLINK("https://stock.pstatic.net/stock-research/company/63/20260521_company_430603000.pdf","PDF")</f>
        <v>PDF</v>
      </c>
      <c r="K2339" s="12" t="s">
        <v>980</v>
      </c>
      <c r="L2339" s="12"/>
    </row>
    <row r="2340" spans="1:12" x14ac:dyDescent="0.45">
      <c r="A2340" s="12" t="s">
        <v>954</v>
      </c>
      <c r="B2340" s="12" t="s">
        <v>981</v>
      </c>
      <c r="C2340" s="13" t="s">
        <v>982</v>
      </c>
      <c r="D2340" s="13" t="s">
        <v>92</v>
      </c>
      <c r="E2340" s="12" t="s">
        <v>50</v>
      </c>
      <c r="F2340" s="13"/>
      <c r="G2340" s="14">
        <v>24200</v>
      </c>
      <c r="H2340" s="13" t="s">
        <v>983</v>
      </c>
      <c r="I2340" s="40" t="s">
        <v>18</v>
      </c>
      <c r="J2340" s="40" t="str">
        <f>HYPERLINK("https://stock.pstatic.net/stock-research/company/63/20260521_company_576779000.pdf","PDF")</f>
        <v>PDF</v>
      </c>
      <c r="K2340" s="12" t="s">
        <v>984</v>
      </c>
      <c r="L2340" s="12"/>
    </row>
    <row r="2341" spans="1:12" x14ac:dyDescent="0.45">
      <c r="A2341" s="12" t="s">
        <v>954</v>
      </c>
      <c r="B2341" s="12" t="s">
        <v>985</v>
      </c>
      <c r="C2341" s="13" t="s">
        <v>986</v>
      </c>
      <c r="D2341" s="13" t="s">
        <v>92</v>
      </c>
      <c r="E2341" s="12" t="s">
        <v>35</v>
      </c>
      <c r="F2341" s="14">
        <v>7000</v>
      </c>
      <c r="G2341" s="14">
        <v>4635</v>
      </c>
      <c r="H2341" s="13" t="s">
        <v>987</v>
      </c>
      <c r="I2341" s="40" t="s">
        <v>18</v>
      </c>
      <c r="J2341" s="40" t="str">
        <f>HYPERLINK("https://stock.pstatic.net/stock-research/company/63/20260521_company_901591000.pdf","PDF")</f>
        <v>PDF</v>
      </c>
      <c r="K2341" s="12" t="s">
        <v>988</v>
      </c>
      <c r="L2341" s="36">
        <v>0.51024811218985977</v>
      </c>
    </row>
    <row r="2342" spans="1:12" x14ac:dyDescent="0.45">
      <c r="A2342" s="12" t="s">
        <v>954</v>
      </c>
      <c r="B2342" s="12" t="s">
        <v>430</v>
      </c>
      <c r="C2342" s="13" t="s">
        <v>431</v>
      </c>
      <c r="D2342" s="13" t="s">
        <v>53</v>
      </c>
      <c r="E2342" s="12" t="s">
        <v>16</v>
      </c>
      <c r="F2342" s="14">
        <v>73000</v>
      </c>
      <c r="G2342" s="14">
        <v>39200</v>
      </c>
      <c r="H2342" s="13" t="s">
        <v>989</v>
      </c>
      <c r="I2342" s="40" t="s">
        <v>18</v>
      </c>
      <c r="J2342" s="40" t="str">
        <f>HYPERLINK("https://stock.pstatic.net/stock-research/company/40/20260521_company_584674000.pdf","PDF")</f>
        <v>PDF</v>
      </c>
      <c r="K2342" s="12" t="s">
        <v>990</v>
      </c>
      <c r="L2342" s="36">
        <v>0.86224489795918369</v>
      </c>
    </row>
    <row r="2343" spans="1:12" x14ac:dyDescent="0.45">
      <c r="A2343" s="12" t="s">
        <v>954</v>
      </c>
      <c r="B2343" s="12" t="s">
        <v>334</v>
      </c>
      <c r="C2343" s="13" t="s">
        <v>335</v>
      </c>
      <c r="D2343" s="13" t="s">
        <v>23</v>
      </c>
      <c r="E2343" s="12" t="s">
        <v>16</v>
      </c>
      <c r="F2343" s="14">
        <v>3800000</v>
      </c>
      <c r="G2343" s="14">
        <v>1745000</v>
      </c>
      <c r="H2343" s="13" t="s">
        <v>991</v>
      </c>
      <c r="I2343" s="40" t="s">
        <v>18</v>
      </c>
      <c r="J2343" s="40" t="str">
        <f>HYPERLINK("https://stock.pstatic.net/stock-research/company/21/20260521_company_153830000.pdf","PDF")</f>
        <v>PDF</v>
      </c>
      <c r="K2343" s="12" t="s">
        <v>992</v>
      </c>
      <c r="L2343" s="36">
        <v>1.177650429799427</v>
      </c>
    </row>
    <row r="2344" spans="1:12" x14ac:dyDescent="0.45">
      <c r="A2344" s="12" t="s">
        <v>954</v>
      </c>
      <c r="B2344" s="12" t="s">
        <v>13</v>
      </c>
      <c r="C2344" s="13" t="s">
        <v>14</v>
      </c>
      <c r="D2344" s="13" t="s">
        <v>23</v>
      </c>
      <c r="E2344" s="12" t="s">
        <v>16</v>
      </c>
      <c r="F2344" s="14">
        <v>550000</v>
      </c>
      <c r="G2344" s="14">
        <v>276000</v>
      </c>
      <c r="H2344" s="13" t="s">
        <v>993</v>
      </c>
      <c r="I2344" s="40" t="s">
        <v>18</v>
      </c>
      <c r="J2344" s="40" t="str">
        <f>HYPERLINK("https://stock.pstatic.net/stock-research/company/21/20260521_company_200952000.pdf","PDF")</f>
        <v>PDF</v>
      </c>
      <c r="K2344" s="12" t="s">
        <v>994</v>
      </c>
      <c r="L2344" s="36">
        <v>0.99275362318840576</v>
      </c>
    </row>
    <row r="2345" spans="1:12" x14ac:dyDescent="0.45">
      <c r="A2345" s="12" t="s">
        <v>954</v>
      </c>
      <c r="B2345" s="12" t="s">
        <v>170</v>
      </c>
      <c r="C2345" s="13" t="s">
        <v>171</v>
      </c>
      <c r="D2345" s="13" t="s">
        <v>92</v>
      </c>
      <c r="E2345" s="12" t="s">
        <v>35</v>
      </c>
      <c r="F2345" s="14">
        <v>100000</v>
      </c>
      <c r="G2345" s="14">
        <v>76800</v>
      </c>
      <c r="H2345" s="13" t="s">
        <v>995</v>
      </c>
      <c r="I2345" s="40" t="s">
        <v>18</v>
      </c>
      <c r="J2345" s="40" t="str">
        <f>HYPERLINK("https://stock.pstatic.net/stock-research/company/63/20260521_company_986541000.pdf","PDF")</f>
        <v>PDF</v>
      </c>
      <c r="K2345" s="12" t="s">
        <v>996</v>
      </c>
      <c r="L2345" s="36">
        <v>0.30208333333333331</v>
      </c>
    </row>
    <row r="2346" spans="1:12" x14ac:dyDescent="0.45">
      <c r="A2346" s="12" t="s">
        <v>954</v>
      </c>
      <c r="B2346" s="12" t="s">
        <v>32</v>
      </c>
      <c r="C2346" s="13" t="s">
        <v>33</v>
      </c>
      <c r="D2346" s="13" t="s">
        <v>53</v>
      </c>
      <c r="E2346" s="12" t="s">
        <v>16</v>
      </c>
      <c r="F2346" s="14">
        <v>1050000</v>
      </c>
      <c r="G2346" s="14">
        <v>1061000</v>
      </c>
      <c r="H2346" s="13" t="s">
        <v>997</v>
      </c>
      <c r="I2346" s="40" t="s">
        <v>18</v>
      </c>
      <c r="J2346" s="40" t="str">
        <f>HYPERLINK("https://stock.pstatic.net/stock-research/company/40/20260521_company_493698000.pdf","PDF")</f>
        <v>PDF</v>
      </c>
      <c r="K2346" s="12" t="s">
        <v>998</v>
      </c>
      <c r="L2346" s="36">
        <v>-1.0367577756833181E-2</v>
      </c>
    </row>
    <row r="2347" spans="1:12" x14ac:dyDescent="0.45">
      <c r="A2347" s="12" t="s">
        <v>954</v>
      </c>
      <c r="B2347" s="12" t="s">
        <v>999</v>
      </c>
      <c r="C2347" s="13" t="s">
        <v>1000</v>
      </c>
      <c r="D2347" s="13" t="s">
        <v>53</v>
      </c>
      <c r="E2347" s="12" t="s">
        <v>16</v>
      </c>
      <c r="F2347" s="14">
        <v>49000</v>
      </c>
      <c r="G2347" s="14">
        <v>33350</v>
      </c>
      <c r="H2347" s="13" t="s">
        <v>1001</v>
      </c>
      <c r="I2347" s="40" t="s">
        <v>18</v>
      </c>
      <c r="J2347" s="40" t="str">
        <f>HYPERLINK("https://stock.pstatic.net/stock-research/company/40/20260521_company_534335000.pdf","PDF")</f>
        <v>PDF</v>
      </c>
      <c r="K2347" s="12" t="s">
        <v>1002</v>
      </c>
      <c r="L2347" s="36">
        <v>0.46926536731634177</v>
      </c>
    </row>
    <row r="2348" spans="1:12" x14ac:dyDescent="0.45">
      <c r="A2348" s="12" t="s">
        <v>954</v>
      </c>
      <c r="B2348" s="12" t="s">
        <v>1003</v>
      </c>
      <c r="C2348" s="13" t="s">
        <v>1004</v>
      </c>
      <c r="D2348" s="13" t="s">
        <v>23</v>
      </c>
      <c r="E2348" s="12" t="s">
        <v>50</v>
      </c>
      <c r="F2348" s="13"/>
      <c r="G2348" s="14">
        <v>31300</v>
      </c>
      <c r="H2348" s="13" t="s">
        <v>1005</v>
      </c>
      <c r="I2348" s="40" t="s">
        <v>18</v>
      </c>
      <c r="J2348" s="40" t="str">
        <f>HYPERLINK("https://stock.pstatic.net/stock-research/company/21/20260521_company_781199000.pdf","PDF")</f>
        <v>PDF</v>
      </c>
      <c r="K2348" s="12" t="s">
        <v>1006</v>
      </c>
      <c r="L2348" s="12"/>
    </row>
    <row r="2349" spans="1:12" x14ac:dyDescent="0.45">
      <c r="A2349" s="12" t="s">
        <v>954</v>
      </c>
      <c r="B2349" s="12" t="s">
        <v>503</v>
      </c>
      <c r="C2349" s="13" t="s">
        <v>504</v>
      </c>
      <c r="D2349" s="13" t="s">
        <v>23</v>
      </c>
      <c r="E2349" s="12" t="s">
        <v>16</v>
      </c>
      <c r="F2349" s="14">
        <v>89000</v>
      </c>
      <c r="G2349" s="14">
        <v>68300</v>
      </c>
      <c r="H2349" s="13" t="s">
        <v>1007</v>
      </c>
      <c r="I2349" s="40" t="s">
        <v>18</v>
      </c>
      <c r="J2349" s="40" t="str">
        <f>HYPERLINK("https://stock.pstatic.net/stock-research/company/21/20260521_company_132511000.pdf","PDF")</f>
        <v>PDF</v>
      </c>
      <c r="K2349" s="12" t="s">
        <v>1008</v>
      </c>
      <c r="L2349" s="36">
        <v>0.30307467057101017</v>
      </c>
    </row>
    <row r="2350" spans="1:12" x14ac:dyDescent="0.45">
      <c r="A2350" s="12" t="s">
        <v>954</v>
      </c>
      <c r="B2350" s="12" t="s">
        <v>1009</v>
      </c>
      <c r="C2350" s="13" t="s">
        <v>1010</v>
      </c>
      <c r="D2350" s="13" t="s">
        <v>34</v>
      </c>
      <c r="E2350" s="12" t="s">
        <v>35</v>
      </c>
      <c r="F2350" s="14">
        <v>200000</v>
      </c>
      <c r="G2350" s="14">
        <v>138200</v>
      </c>
      <c r="H2350" s="13" t="s">
        <v>1011</v>
      </c>
      <c r="I2350" s="40" t="s">
        <v>18</v>
      </c>
      <c r="J2350" s="40" t="str">
        <f>HYPERLINK("https://stock.pstatic.net/stock-research/company/61/20260521_company_431058000.pdf","PDF")</f>
        <v>PDF</v>
      </c>
      <c r="K2350" s="12" t="s">
        <v>1012</v>
      </c>
      <c r="L2350" s="36">
        <v>0.447178002894356</v>
      </c>
    </row>
    <row r="2351" spans="1:12" x14ac:dyDescent="0.45">
      <c r="A2351" s="12" t="s">
        <v>954</v>
      </c>
      <c r="B2351" s="12" t="s">
        <v>32</v>
      </c>
      <c r="C2351" s="13" t="s">
        <v>33</v>
      </c>
      <c r="D2351" s="13" t="s">
        <v>34</v>
      </c>
      <c r="E2351" s="12" t="s">
        <v>35</v>
      </c>
      <c r="F2351" s="14">
        <v>1400000</v>
      </c>
      <c r="G2351" s="14">
        <v>1061000</v>
      </c>
      <c r="H2351" s="13" t="s">
        <v>1013</v>
      </c>
      <c r="I2351" s="40" t="s">
        <v>18</v>
      </c>
      <c r="J2351" s="40" t="str">
        <f>HYPERLINK("https://stock.pstatic.net/stock-research/company/61/20260521_company_240819000.pdf","PDF")</f>
        <v>PDF</v>
      </c>
      <c r="K2351" s="12" t="s">
        <v>1014</v>
      </c>
      <c r="L2351" s="36">
        <v>0.31950989632422239</v>
      </c>
    </row>
    <row r="2352" spans="1:12" x14ac:dyDescent="0.45">
      <c r="A2352" s="12" t="s">
        <v>954</v>
      </c>
      <c r="B2352" s="12" t="s">
        <v>1015</v>
      </c>
      <c r="C2352" s="13" t="s">
        <v>1016</v>
      </c>
      <c r="D2352" s="13" t="s">
        <v>179</v>
      </c>
      <c r="E2352" s="12" t="s">
        <v>50</v>
      </c>
      <c r="F2352" s="13"/>
      <c r="G2352" s="14">
        <v>20200</v>
      </c>
      <c r="H2352" s="13" t="s">
        <v>1017</v>
      </c>
      <c r="I2352" s="40" t="s">
        <v>18</v>
      </c>
      <c r="J2352" s="40" t="str">
        <f>HYPERLINK("https://stock.pstatic.net/stock-research/company/64/20260521_company_610185000.pdf","PDF")</f>
        <v>PDF</v>
      </c>
      <c r="K2352" s="12" t="s">
        <v>1018</v>
      </c>
      <c r="L2352" s="12"/>
    </row>
    <row r="2353" spans="1:12" x14ac:dyDescent="0.45">
      <c r="A2353" s="12" t="s">
        <v>954</v>
      </c>
      <c r="B2353" s="12" t="s">
        <v>1019</v>
      </c>
      <c r="C2353" s="13" t="s">
        <v>1020</v>
      </c>
      <c r="D2353" s="13" t="s">
        <v>23</v>
      </c>
      <c r="E2353" s="12" t="s">
        <v>16</v>
      </c>
      <c r="F2353" s="14">
        <v>32000</v>
      </c>
      <c r="G2353" s="14">
        <v>18840</v>
      </c>
      <c r="H2353" s="13" t="s">
        <v>1021</v>
      </c>
      <c r="I2353" s="40" t="s">
        <v>18</v>
      </c>
      <c r="J2353" s="40" t="str">
        <f>HYPERLINK("https://stock.pstatic.net/stock-research/company/21/20260521_company_223767000.pdf","PDF")</f>
        <v>PDF</v>
      </c>
      <c r="K2353" s="12" t="s">
        <v>1022</v>
      </c>
      <c r="L2353" s="36">
        <v>0.69851380042462841</v>
      </c>
    </row>
    <row r="2354" spans="1:12" x14ac:dyDescent="0.45">
      <c r="A2354" s="12" t="s">
        <v>954</v>
      </c>
      <c r="B2354" s="12" t="s">
        <v>1023</v>
      </c>
      <c r="C2354" s="13" t="s">
        <v>15</v>
      </c>
      <c r="D2354" s="13" t="s">
        <v>179</v>
      </c>
      <c r="E2354" s="12" t="s">
        <v>385</v>
      </c>
      <c r="F2354" s="14">
        <v>69000</v>
      </c>
      <c r="G2354" s="14">
        <v>62000</v>
      </c>
      <c r="H2354" s="13" t="s">
        <v>1024</v>
      </c>
      <c r="I2354" s="40" t="s">
        <v>18</v>
      </c>
      <c r="J2354" s="40" t="str">
        <f>HYPERLINK("https://stock.pstatic.net/stock-research/company/64/20260521_company_361743000.pdf","PDF")</f>
        <v>PDF</v>
      </c>
      <c r="K2354" s="12" t="s">
        <v>1025</v>
      </c>
      <c r="L2354" s="36">
        <v>0.1129032258064516</v>
      </c>
    </row>
    <row r="2355" spans="1:12" x14ac:dyDescent="0.45">
      <c r="A2355" s="12" t="s">
        <v>954</v>
      </c>
      <c r="B2355" s="12" t="s">
        <v>894</v>
      </c>
      <c r="C2355" s="13" t="s">
        <v>26</v>
      </c>
      <c r="D2355" s="13" t="s">
        <v>44</v>
      </c>
      <c r="E2355" s="12" t="s">
        <v>35</v>
      </c>
      <c r="F2355" s="14">
        <v>120000</v>
      </c>
      <c r="G2355" s="14">
        <v>96700</v>
      </c>
      <c r="H2355" s="13" t="s">
        <v>1026</v>
      </c>
      <c r="I2355" s="40" t="s">
        <v>18</v>
      </c>
      <c r="J2355" s="40" t="str">
        <f>HYPERLINK("https://stock.pstatic.net/stock-research/company/39/20260521_company_971556000.pdf","PDF")</f>
        <v>PDF</v>
      </c>
      <c r="K2355" s="12" t="s">
        <v>1027</v>
      </c>
      <c r="L2355" s="36">
        <v>0.24095139607032059</v>
      </c>
    </row>
    <row r="2356" spans="1:12" x14ac:dyDescent="0.45">
      <c r="A2356" s="12" t="s">
        <v>954</v>
      </c>
      <c r="B2356" s="12" t="s">
        <v>1028</v>
      </c>
      <c r="C2356" s="13" t="s">
        <v>1029</v>
      </c>
      <c r="D2356" s="13" t="s">
        <v>124</v>
      </c>
      <c r="E2356" s="12" t="s">
        <v>50</v>
      </c>
      <c r="F2356" s="13"/>
      <c r="G2356" s="13"/>
      <c r="H2356" s="13" t="s">
        <v>1030</v>
      </c>
      <c r="I2356" s="40" t="s">
        <v>18</v>
      </c>
      <c r="J2356" s="40" t="str">
        <f>HYPERLINK("https://stock.pstatic.net/stock-research/company/74/20260521_company_259351000.pdf","PDF")</f>
        <v>PDF</v>
      </c>
      <c r="K2356" s="12" t="s">
        <v>1031</v>
      </c>
      <c r="L2356" s="12"/>
    </row>
    <row r="2357" spans="1:12" x14ac:dyDescent="0.45">
      <c r="A2357" s="12" t="s">
        <v>954</v>
      </c>
      <c r="B2357" s="12" t="s">
        <v>1032</v>
      </c>
      <c r="C2357" s="13" t="s">
        <v>1033</v>
      </c>
      <c r="D2357" s="13" t="s">
        <v>124</v>
      </c>
      <c r="E2357" s="12" t="s">
        <v>50</v>
      </c>
      <c r="F2357" s="13"/>
      <c r="G2357" s="13"/>
      <c r="H2357" s="13" t="s">
        <v>1034</v>
      </c>
      <c r="I2357" s="40" t="s">
        <v>18</v>
      </c>
      <c r="J2357" s="40" t="str">
        <f>HYPERLINK("https://stock.pstatic.net/stock-research/company/74/20260521_company_29923000.pdf","PDF")</f>
        <v>PDF</v>
      </c>
      <c r="K2357" s="12" t="s">
        <v>1035</v>
      </c>
      <c r="L2357" s="12"/>
    </row>
    <row r="2358" spans="1:12" x14ac:dyDescent="0.45">
      <c r="A2358" s="12" t="s">
        <v>954</v>
      </c>
      <c r="B2358" s="12" t="s">
        <v>1036</v>
      </c>
      <c r="C2358" s="13" t="s">
        <v>1037</v>
      </c>
      <c r="D2358" s="13" t="s">
        <v>124</v>
      </c>
      <c r="E2358" s="12" t="s">
        <v>50</v>
      </c>
      <c r="F2358" s="13"/>
      <c r="G2358" s="13"/>
      <c r="H2358" s="13" t="s">
        <v>1038</v>
      </c>
      <c r="I2358" s="40" t="s">
        <v>18</v>
      </c>
      <c r="J2358" s="40" t="str">
        <f>HYPERLINK("https://stock.pstatic.net/stock-research/company/74/20260521_company_233235000.pdf","PDF")</f>
        <v>PDF</v>
      </c>
      <c r="K2358" s="12" t="s">
        <v>1039</v>
      </c>
      <c r="L2358" s="12"/>
    </row>
    <row r="2359" spans="1:12" x14ac:dyDescent="0.45">
      <c r="A2359" s="12" t="s">
        <v>954</v>
      </c>
      <c r="B2359" s="12" t="s">
        <v>13</v>
      </c>
      <c r="C2359" s="13" t="s">
        <v>14</v>
      </c>
      <c r="D2359" s="13" t="s">
        <v>15</v>
      </c>
      <c r="E2359" s="12" t="s">
        <v>16</v>
      </c>
      <c r="F2359" s="14">
        <v>480000</v>
      </c>
      <c r="G2359" s="14">
        <v>276000</v>
      </c>
      <c r="H2359" s="13" t="s">
        <v>1040</v>
      </c>
      <c r="I2359" s="40" t="s">
        <v>18</v>
      </c>
      <c r="J2359" s="40" t="str">
        <f>HYPERLINK("https://stock.pstatic.net/stock-research/company/56/20260521_company_973617000.pdf","PDF")</f>
        <v>PDF</v>
      </c>
      <c r="K2359" s="12" t="s">
        <v>1041</v>
      </c>
      <c r="L2359" s="36">
        <v>0.73913043478260865</v>
      </c>
    </row>
    <row r="2360" spans="1:12" x14ac:dyDescent="0.45">
      <c r="A2360" s="12" t="s">
        <v>954</v>
      </c>
      <c r="B2360" s="12" t="s">
        <v>1042</v>
      </c>
      <c r="C2360" s="13" t="s">
        <v>1043</v>
      </c>
      <c r="D2360" s="13" t="s">
        <v>53</v>
      </c>
      <c r="E2360" s="12" t="s">
        <v>16</v>
      </c>
      <c r="F2360" s="14">
        <v>48000</v>
      </c>
      <c r="G2360" s="14">
        <v>24150</v>
      </c>
      <c r="H2360" s="13" t="s">
        <v>1044</v>
      </c>
      <c r="I2360" s="40" t="s">
        <v>18</v>
      </c>
      <c r="J2360" s="40" t="str">
        <f>HYPERLINK("https://stock.pstatic.net/stock-research/company/40/20260521_company_911100000.pdf","PDF")</f>
        <v>PDF</v>
      </c>
      <c r="K2360" s="12" t="s">
        <v>1045</v>
      </c>
      <c r="L2360" s="36">
        <v>0.98757763975155277</v>
      </c>
    </row>
    <row r="2361" spans="1:12" x14ac:dyDescent="0.45">
      <c r="A2361" s="12" t="s">
        <v>1046</v>
      </c>
      <c r="B2361" s="12" t="s">
        <v>1047</v>
      </c>
      <c r="C2361" s="13" t="s">
        <v>1048</v>
      </c>
      <c r="D2361" s="13" t="s">
        <v>15</v>
      </c>
      <c r="E2361" s="12" t="s">
        <v>16</v>
      </c>
      <c r="F2361" s="14">
        <v>19000</v>
      </c>
      <c r="G2361" s="14">
        <v>14500</v>
      </c>
      <c r="H2361" s="13" t="s">
        <v>1049</v>
      </c>
      <c r="I2361" s="40" t="s">
        <v>18</v>
      </c>
      <c r="J2361" s="40" t="str">
        <f>HYPERLINK("https://stock.pstatic.net/stock-research/company/56/20260520_company_104493000.pdf","PDF")</f>
        <v>PDF</v>
      </c>
      <c r="K2361" s="12" t="s">
        <v>1050</v>
      </c>
      <c r="L2361" s="36">
        <v>0.31034482758620691</v>
      </c>
    </row>
    <row r="2362" spans="1:12" x14ac:dyDescent="0.45">
      <c r="A2362" s="12" t="s">
        <v>1046</v>
      </c>
      <c r="B2362" s="12" t="s">
        <v>1051</v>
      </c>
      <c r="C2362" s="13" t="s">
        <v>1052</v>
      </c>
      <c r="D2362" s="13" t="s">
        <v>57</v>
      </c>
      <c r="E2362" s="12" t="s">
        <v>35</v>
      </c>
      <c r="F2362" s="14">
        <v>84000</v>
      </c>
      <c r="G2362" s="14">
        <v>60400</v>
      </c>
      <c r="H2362" s="13" t="s">
        <v>1053</v>
      </c>
      <c r="I2362" s="40" t="s">
        <v>18</v>
      </c>
      <c r="J2362" s="40" t="str">
        <f>HYPERLINK("https://stock.pstatic.net/stock-research/company/16/20260520_company_726771000.pdf","PDF")</f>
        <v>PDF</v>
      </c>
      <c r="K2362" s="12" t="s">
        <v>1054</v>
      </c>
      <c r="L2362" s="36">
        <v>0.39072847682119211</v>
      </c>
    </row>
    <row r="2363" spans="1:12" x14ac:dyDescent="0.45">
      <c r="A2363" s="12" t="s">
        <v>1046</v>
      </c>
      <c r="B2363" s="12" t="s">
        <v>146</v>
      </c>
      <c r="C2363" s="13" t="s">
        <v>147</v>
      </c>
      <c r="D2363" s="13" t="s">
        <v>60</v>
      </c>
      <c r="E2363" s="12" t="s">
        <v>35</v>
      </c>
      <c r="F2363" s="14">
        <v>150000</v>
      </c>
      <c r="G2363" s="14">
        <v>103600</v>
      </c>
      <c r="H2363" s="13" t="s">
        <v>1055</v>
      </c>
      <c r="I2363" s="40" t="s">
        <v>18</v>
      </c>
      <c r="J2363" s="40" t="str">
        <f>HYPERLINK("https://stock.pstatic.net/stock-research/company/62/20260520_company_775585000.pdf","PDF")</f>
        <v>PDF</v>
      </c>
      <c r="K2363" s="12" t="s">
        <v>1056</v>
      </c>
      <c r="L2363" s="36">
        <v>0.44787644787644793</v>
      </c>
    </row>
    <row r="2364" spans="1:12" x14ac:dyDescent="0.45">
      <c r="A2364" s="12" t="s">
        <v>1046</v>
      </c>
      <c r="B2364" s="12" t="s">
        <v>1057</v>
      </c>
      <c r="C2364" s="13" t="s">
        <v>1058</v>
      </c>
      <c r="D2364" s="13" t="s">
        <v>60</v>
      </c>
      <c r="E2364" s="12" t="s">
        <v>35</v>
      </c>
      <c r="F2364" s="14">
        <v>13000</v>
      </c>
      <c r="G2364" s="14">
        <v>10320</v>
      </c>
      <c r="H2364" s="13" t="s">
        <v>1059</v>
      </c>
      <c r="I2364" s="40" t="s">
        <v>18</v>
      </c>
      <c r="J2364" s="40" t="str">
        <f>HYPERLINK("https://stock.pstatic.net/stock-research/company/62/20260520_company_689286000.pdf","PDF")</f>
        <v>PDF</v>
      </c>
      <c r="K2364" s="12" t="s">
        <v>1060</v>
      </c>
      <c r="L2364" s="36">
        <v>0.25968992248062017</v>
      </c>
    </row>
    <row r="2365" spans="1:12" x14ac:dyDescent="0.45">
      <c r="A2365" s="12" t="s">
        <v>1046</v>
      </c>
      <c r="B2365" s="12" t="s">
        <v>1061</v>
      </c>
      <c r="C2365" s="13" t="s">
        <v>1062</v>
      </c>
      <c r="D2365" s="13" t="s">
        <v>60</v>
      </c>
      <c r="E2365" s="12" t="s">
        <v>35</v>
      </c>
      <c r="F2365" s="14">
        <v>36000</v>
      </c>
      <c r="G2365" s="14">
        <v>27700</v>
      </c>
      <c r="H2365" s="13" t="s">
        <v>1063</v>
      </c>
      <c r="I2365" s="40" t="s">
        <v>18</v>
      </c>
      <c r="J2365" s="40" t="str">
        <f>HYPERLINK("https://stock.pstatic.net/stock-research/company/62/20260520_company_282297000.pdf","PDF")</f>
        <v>PDF</v>
      </c>
      <c r="K2365" s="12" t="s">
        <v>1064</v>
      </c>
      <c r="L2365" s="36">
        <v>0.29963898916967507</v>
      </c>
    </row>
    <row r="2366" spans="1:12" x14ac:dyDescent="0.45">
      <c r="A2366" s="12" t="s">
        <v>1046</v>
      </c>
      <c r="B2366" s="12" t="s">
        <v>1065</v>
      </c>
      <c r="C2366" s="13" t="s">
        <v>1066</v>
      </c>
      <c r="D2366" s="13" t="s">
        <v>60</v>
      </c>
      <c r="E2366" s="12" t="s">
        <v>35</v>
      </c>
      <c r="F2366" s="14">
        <v>360000</v>
      </c>
      <c r="G2366" s="14">
        <v>277000</v>
      </c>
      <c r="H2366" s="13" t="s">
        <v>1067</v>
      </c>
      <c r="I2366" s="40" t="s">
        <v>18</v>
      </c>
      <c r="J2366" s="40" t="str">
        <f>HYPERLINK("https://stock.pstatic.net/stock-research/company/62/20260520_company_95912000.pdf","PDF")</f>
        <v>PDF</v>
      </c>
      <c r="K2366" s="12" t="s">
        <v>1068</v>
      </c>
      <c r="L2366" s="36">
        <v>0.29963898916967507</v>
      </c>
    </row>
    <row r="2367" spans="1:12" x14ac:dyDescent="0.45">
      <c r="A2367" s="12" t="s">
        <v>1046</v>
      </c>
      <c r="B2367" s="12" t="s">
        <v>1069</v>
      </c>
      <c r="C2367" s="13" t="s">
        <v>1070</v>
      </c>
      <c r="D2367" s="13" t="s">
        <v>60</v>
      </c>
      <c r="E2367" s="12" t="s">
        <v>35</v>
      </c>
      <c r="F2367" s="14">
        <v>190000</v>
      </c>
      <c r="G2367" s="14">
        <v>162400</v>
      </c>
      <c r="H2367" s="13" t="s">
        <v>1071</v>
      </c>
      <c r="I2367" s="40" t="s">
        <v>18</v>
      </c>
      <c r="J2367" s="40" t="str">
        <f>HYPERLINK("https://stock.pstatic.net/stock-research/company/62/20260520_company_492972000.pdf","PDF")</f>
        <v>PDF</v>
      </c>
      <c r="K2367" s="12" t="s">
        <v>1072</v>
      </c>
      <c r="L2367" s="36">
        <v>0.16995073891625609</v>
      </c>
    </row>
    <row r="2368" spans="1:12" x14ac:dyDescent="0.45">
      <c r="A2368" s="12" t="s">
        <v>1046</v>
      </c>
      <c r="B2368" s="12" t="s">
        <v>1073</v>
      </c>
      <c r="C2368" s="13" t="s">
        <v>1074</v>
      </c>
      <c r="D2368" s="13" t="s">
        <v>60</v>
      </c>
      <c r="E2368" s="12" t="s">
        <v>35</v>
      </c>
      <c r="F2368" s="14">
        <v>60000</v>
      </c>
      <c r="G2368" s="14">
        <v>39650</v>
      </c>
      <c r="H2368" s="13" t="s">
        <v>1075</v>
      </c>
      <c r="I2368" s="40" t="s">
        <v>18</v>
      </c>
      <c r="J2368" s="40" t="str">
        <f>HYPERLINK("https://stock.pstatic.net/stock-research/company/62/20260520_company_776589000.pdf","PDF")</f>
        <v>PDF</v>
      </c>
      <c r="K2368" s="12" t="s">
        <v>1076</v>
      </c>
      <c r="L2368" s="36">
        <v>0.51324085750315263</v>
      </c>
    </row>
    <row r="2369" spans="1:12" x14ac:dyDescent="0.45">
      <c r="A2369" s="12" t="s">
        <v>1046</v>
      </c>
      <c r="B2369" s="12" t="s">
        <v>247</v>
      </c>
      <c r="C2369" s="13" t="s">
        <v>248</v>
      </c>
      <c r="D2369" s="13" t="s">
        <v>65</v>
      </c>
      <c r="E2369" s="12" t="s">
        <v>35</v>
      </c>
      <c r="F2369" s="14">
        <v>50000</v>
      </c>
      <c r="G2369" s="14">
        <v>28700</v>
      </c>
      <c r="H2369" s="13" t="s">
        <v>1077</v>
      </c>
      <c r="I2369" s="40" t="s">
        <v>18</v>
      </c>
      <c r="J2369" s="40" t="str">
        <f>HYPERLINK("https://stock.pstatic.net/stock-research/company/57/20260520_company_685903000.pdf","PDF")</f>
        <v>PDF</v>
      </c>
      <c r="K2369" s="12" t="s">
        <v>1078</v>
      </c>
      <c r="L2369" s="36">
        <v>0.74216027874564461</v>
      </c>
    </row>
    <row r="2370" spans="1:12" x14ac:dyDescent="0.45">
      <c r="A2370" s="12" t="s">
        <v>1046</v>
      </c>
      <c r="B2370" s="12" t="s">
        <v>780</v>
      </c>
      <c r="C2370" s="13" t="s">
        <v>781</v>
      </c>
      <c r="D2370" s="13" t="s">
        <v>65</v>
      </c>
      <c r="E2370" s="12" t="s">
        <v>35</v>
      </c>
      <c r="F2370" s="14">
        <v>30000</v>
      </c>
      <c r="G2370" s="14">
        <v>15130</v>
      </c>
      <c r="H2370" s="13" t="s">
        <v>1079</v>
      </c>
      <c r="I2370" s="40" t="s">
        <v>18</v>
      </c>
      <c r="J2370" s="40" t="str">
        <f>HYPERLINK("https://stock.pstatic.net/stock-research/company/57/20260520_company_948535000.pdf","PDF")</f>
        <v>PDF</v>
      </c>
      <c r="K2370" s="12" t="s">
        <v>1080</v>
      </c>
      <c r="L2370" s="36">
        <v>0.98281559814937214</v>
      </c>
    </row>
    <row r="2371" spans="1:12" x14ac:dyDescent="0.45">
      <c r="A2371" s="12" t="s">
        <v>1046</v>
      </c>
      <c r="B2371" s="12" t="s">
        <v>1081</v>
      </c>
      <c r="C2371" s="13" t="s">
        <v>1082</v>
      </c>
      <c r="D2371" s="13" t="s">
        <v>83</v>
      </c>
      <c r="E2371" s="12" t="s">
        <v>35</v>
      </c>
      <c r="F2371" s="14">
        <v>2000000</v>
      </c>
      <c r="G2371" s="14">
        <v>1346000</v>
      </c>
      <c r="H2371" s="13" t="s">
        <v>1083</v>
      </c>
      <c r="I2371" s="40" t="s">
        <v>18</v>
      </c>
      <c r="J2371" s="40" t="str">
        <f>HYPERLINK("https://stock.pstatic.net/stock-research/company/15/20260520_company_320807000.pdf","PDF")</f>
        <v>PDF</v>
      </c>
      <c r="K2371" s="12" t="s">
        <v>1084</v>
      </c>
      <c r="L2371" s="36">
        <v>0.48588410104011892</v>
      </c>
    </row>
    <row r="2372" spans="1:12" x14ac:dyDescent="0.45">
      <c r="A2372" s="12" t="s">
        <v>1046</v>
      </c>
      <c r="B2372" s="12" t="s">
        <v>691</v>
      </c>
      <c r="C2372" s="13" t="s">
        <v>20</v>
      </c>
      <c r="D2372" s="13" t="s">
        <v>83</v>
      </c>
      <c r="E2372" s="12" t="s">
        <v>35</v>
      </c>
      <c r="F2372" s="14">
        <v>280000</v>
      </c>
      <c r="G2372" s="14">
        <v>182500</v>
      </c>
      <c r="H2372" s="13" t="s">
        <v>1085</v>
      </c>
      <c r="I2372" s="40" t="s">
        <v>18</v>
      </c>
      <c r="J2372" s="40" t="str">
        <f>HYPERLINK("https://stock.pstatic.net/stock-research/company/15/20260520_company_513763000.pdf","PDF")</f>
        <v>PDF</v>
      </c>
      <c r="K2372" s="12" t="s">
        <v>1086</v>
      </c>
      <c r="L2372" s="36">
        <v>0.53424657534246578</v>
      </c>
    </row>
    <row r="2373" spans="1:12" x14ac:dyDescent="0.45">
      <c r="A2373" s="12" t="s">
        <v>1046</v>
      </c>
      <c r="B2373" s="12" t="s">
        <v>1087</v>
      </c>
      <c r="C2373" s="13" t="s">
        <v>1088</v>
      </c>
      <c r="D2373" s="13" t="s">
        <v>83</v>
      </c>
      <c r="E2373" s="12" t="s">
        <v>35</v>
      </c>
      <c r="F2373" s="14">
        <v>200000</v>
      </c>
      <c r="G2373" s="14">
        <v>128600</v>
      </c>
      <c r="H2373" s="13" t="s">
        <v>1089</v>
      </c>
      <c r="I2373" s="40" t="s">
        <v>18</v>
      </c>
      <c r="J2373" s="40" t="str">
        <f>HYPERLINK("https://stock.pstatic.net/stock-research/company/15/20260520_company_964510000.pdf","PDF")</f>
        <v>PDF</v>
      </c>
      <c r="K2373" s="12" t="s">
        <v>1090</v>
      </c>
      <c r="L2373" s="36">
        <v>0.55520995334370138</v>
      </c>
    </row>
    <row r="2374" spans="1:12" x14ac:dyDescent="0.45">
      <c r="A2374" s="12" t="s">
        <v>1046</v>
      </c>
      <c r="B2374" s="12" t="s">
        <v>268</v>
      </c>
      <c r="C2374" s="13" t="s">
        <v>269</v>
      </c>
      <c r="D2374" s="13" t="s">
        <v>83</v>
      </c>
      <c r="E2374" s="12" t="s">
        <v>35</v>
      </c>
      <c r="F2374" s="14">
        <v>500000</v>
      </c>
      <c r="G2374" s="14">
        <v>366500</v>
      </c>
      <c r="H2374" s="13" t="s">
        <v>1091</v>
      </c>
      <c r="I2374" s="40" t="s">
        <v>18</v>
      </c>
      <c r="J2374" s="40" t="str">
        <f>HYPERLINK("https://stock.pstatic.net/stock-research/company/15/20260520_company_94844000.pdf","PDF")</f>
        <v>PDF</v>
      </c>
      <c r="K2374" s="12" t="s">
        <v>1092</v>
      </c>
      <c r="L2374" s="36">
        <v>0.36425648021828111</v>
      </c>
    </row>
    <row r="2375" spans="1:12" x14ac:dyDescent="0.45">
      <c r="A2375" s="12" t="s">
        <v>1046</v>
      </c>
      <c r="B2375" s="12" t="s">
        <v>1093</v>
      </c>
      <c r="C2375" s="13" t="s">
        <v>1094</v>
      </c>
      <c r="D2375" s="13" t="s">
        <v>83</v>
      </c>
      <c r="E2375" s="12" t="s">
        <v>35</v>
      </c>
      <c r="F2375" s="14">
        <v>620000</v>
      </c>
      <c r="G2375" s="14">
        <v>479000</v>
      </c>
      <c r="H2375" s="13" t="s">
        <v>1095</v>
      </c>
      <c r="I2375" s="40" t="s">
        <v>18</v>
      </c>
      <c r="J2375" s="40" t="str">
        <f>HYPERLINK("https://stock.pstatic.net/stock-research/company/15/20260520_company_928234000.pdf","PDF")</f>
        <v>PDF</v>
      </c>
      <c r="K2375" s="12" t="s">
        <v>1096</v>
      </c>
      <c r="L2375" s="36">
        <v>0.29436325678496872</v>
      </c>
    </row>
    <row r="2376" spans="1:12" x14ac:dyDescent="0.45">
      <c r="A2376" s="12" t="s">
        <v>1046</v>
      </c>
      <c r="B2376" s="12" t="s">
        <v>1097</v>
      </c>
      <c r="C2376" s="13" t="s">
        <v>1098</v>
      </c>
      <c r="D2376" s="13" t="s">
        <v>92</v>
      </c>
      <c r="E2376" s="12" t="s">
        <v>35</v>
      </c>
      <c r="F2376" s="14">
        <v>180000</v>
      </c>
      <c r="G2376" s="14">
        <v>133900</v>
      </c>
      <c r="H2376" s="13" t="s">
        <v>1099</v>
      </c>
      <c r="I2376" s="40" t="s">
        <v>18</v>
      </c>
      <c r="J2376" s="40" t="str">
        <f>HYPERLINK("https://stock.pstatic.net/stock-research/company/63/20260520_company_701930000.pdf","PDF")</f>
        <v>PDF</v>
      </c>
      <c r="K2376" s="12" t="s">
        <v>1100</v>
      </c>
      <c r="L2376" s="36">
        <v>0.34428678117998512</v>
      </c>
    </row>
    <row r="2377" spans="1:12" x14ac:dyDescent="0.45">
      <c r="A2377" s="12" t="s">
        <v>1046</v>
      </c>
      <c r="B2377" s="12" t="s">
        <v>1101</v>
      </c>
      <c r="C2377" s="13" t="s">
        <v>1102</v>
      </c>
      <c r="D2377" s="13" t="s">
        <v>23</v>
      </c>
      <c r="E2377" s="12" t="s">
        <v>16</v>
      </c>
      <c r="F2377" s="14">
        <v>45000</v>
      </c>
      <c r="G2377" s="14">
        <v>28700</v>
      </c>
      <c r="H2377" s="13" t="s">
        <v>1103</v>
      </c>
      <c r="I2377" s="40" t="s">
        <v>18</v>
      </c>
      <c r="J2377" s="40" t="str">
        <f>HYPERLINK("https://stock.pstatic.net/stock-research/company/21/20260520_company_770090000.pdf","PDF")</f>
        <v>PDF</v>
      </c>
      <c r="K2377" s="12" t="s">
        <v>1104</v>
      </c>
      <c r="L2377" s="36">
        <v>0.56794425087108014</v>
      </c>
    </row>
    <row r="2378" spans="1:12" x14ac:dyDescent="0.45">
      <c r="A2378" s="12" t="s">
        <v>1046</v>
      </c>
      <c r="B2378" s="12" t="s">
        <v>1105</v>
      </c>
      <c r="C2378" s="13" t="s">
        <v>1106</v>
      </c>
      <c r="D2378" s="13" t="s">
        <v>179</v>
      </c>
      <c r="E2378" s="12" t="s">
        <v>16</v>
      </c>
      <c r="F2378" s="14">
        <v>20000</v>
      </c>
      <c r="G2378" s="14">
        <v>9880</v>
      </c>
      <c r="H2378" s="13" t="s">
        <v>1107</v>
      </c>
      <c r="I2378" s="40" t="s">
        <v>18</v>
      </c>
      <c r="J2378" s="40" t="str">
        <f>HYPERLINK("https://stock.pstatic.net/stock-research/company/64/20260520_company_323875000.pdf","PDF")</f>
        <v>PDF</v>
      </c>
      <c r="K2378" s="12" t="s">
        <v>1108</v>
      </c>
      <c r="L2378" s="36">
        <v>1.024291497975709</v>
      </c>
    </row>
    <row r="2379" spans="1:12" x14ac:dyDescent="0.45">
      <c r="A2379" s="12" t="s">
        <v>1046</v>
      </c>
      <c r="B2379" s="12" t="s">
        <v>1109</v>
      </c>
      <c r="C2379" s="13" t="s">
        <v>1110</v>
      </c>
      <c r="D2379" s="13" t="s">
        <v>179</v>
      </c>
      <c r="E2379" s="12" t="s">
        <v>16</v>
      </c>
      <c r="F2379" s="14">
        <v>9500</v>
      </c>
      <c r="G2379" s="14">
        <v>7230</v>
      </c>
      <c r="H2379" s="13" t="s">
        <v>1111</v>
      </c>
      <c r="I2379" s="40" t="s">
        <v>18</v>
      </c>
      <c r="J2379" s="40" t="str">
        <f>HYPERLINK("https://stock.pstatic.net/stock-research/company/64/20260520_company_545568000.pdf","PDF")</f>
        <v>PDF</v>
      </c>
      <c r="K2379" s="12" t="s">
        <v>1112</v>
      </c>
      <c r="L2379" s="36">
        <v>0.31396957123098201</v>
      </c>
    </row>
    <row r="2380" spans="1:12" x14ac:dyDescent="0.45">
      <c r="A2380" s="12" t="s">
        <v>1046</v>
      </c>
      <c r="B2380" s="12" t="s">
        <v>1113</v>
      </c>
      <c r="C2380" s="13" t="s">
        <v>1114</v>
      </c>
      <c r="D2380" s="13" t="s">
        <v>124</v>
      </c>
      <c r="E2380" s="12" t="s">
        <v>50</v>
      </c>
      <c r="F2380" s="13"/>
      <c r="G2380" s="13"/>
      <c r="H2380" s="13" t="s">
        <v>1115</v>
      </c>
      <c r="I2380" s="40" t="s">
        <v>18</v>
      </c>
      <c r="J2380" s="40" t="str">
        <f>HYPERLINK("https://stock.pstatic.net/stock-research/company/74/20260520_company_929804000.pdf","PDF")</f>
        <v>PDF</v>
      </c>
      <c r="K2380" s="12" t="s">
        <v>1116</v>
      </c>
      <c r="L2380" s="12"/>
    </row>
    <row r="2381" spans="1:12" x14ac:dyDescent="0.45">
      <c r="A2381" s="12" t="s">
        <v>1117</v>
      </c>
      <c r="B2381" s="12" t="s">
        <v>677</v>
      </c>
      <c r="C2381" s="13" t="s">
        <v>678</v>
      </c>
      <c r="D2381" s="13" t="s">
        <v>57</v>
      </c>
      <c r="E2381" s="12" t="s">
        <v>35</v>
      </c>
      <c r="F2381" s="14">
        <v>12000</v>
      </c>
      <c r="G2381" s="14">
        <v>9750</v>
      </c>
      <c r="H2381" s="13" t="s">
        <v>1118</v>
      </c>
      <c r="I2381" s="40" t="s">
        <v>18</v>
      </c>
      <c r="J2381" s="40" t="str">
        <f>HYPERLINK("https://stock.pstatic.net/stock-research/company/16/20260519_company_499245000.pdf","PDF")</f>
        <v>PDF</v>
      </c>
      <c r="K2381" s="12" t="s">
        <v>1119</v>
      </c>
      <c r="L2381" s="36">
        <v>0.23076923076923081</v>
      </c>
    </row>
    <row r="2382" spans="1:12" x14ac:dyDescent="0.45">
      <c r="A2382" s="12" t="s">
        <v>1117</v>
      </c>
      <c r="B2382" s="12" t="s">
        <v>1120</v>
      </c>
      <c r="C2382" s="13" t="s">
        <v>1121</v>
      </c>
      <c r="D2382" s="13" t="s">
        <v>57</v>
      </c>
      <c r="E2382" s="12" t="s">
        <v>35</v>
      </c>
      <c r="F2382" s="14">
        <v>180000</v>
      </c>
      <c r="G2382" s="14">
        <v>141000</v>
      </c>
      <c r="H2382" s="13" t="s">
        <v>1122</v>
      </c>
      <c r="I2382" s="40" t="s">
        <v>18</v>
      </c>
      <c r="J2382" s="40" t="str">
        <f>HYPERLINK("https://stock.pstatic.net/stock-research/company/16/20260519_company_583700000.pdf","PDF")</f>
        <v>PDF</v>
      </c>
      <c r="K2382" s="12" t="s">
        <v>1123</v>
      </c>
      <c r="L2382" s="36">
        <v>0.27659574468085107</v>
      </c>
    </row>
    <row r="2383" spans="1:12" x14ac:dyDescent="0.45">
      <c r="A2383" s="12" t="s">
        <v>1117</v>
      </c>
      <c r="B2383" s="12" t="s">
        <v>1124</v>
      </c>
      <c r="C2383" s="13" t="s">
        <v>1125</v>
      </c>
      <c r="D2383" s="13" t="s">
        <v>276</v>
      </c>
      <c r="E2383" s="12" t="s">
        <v>16</v>
      </c>
      <c r="F2383" s="14">
        <v>400000</v>
      </c>
      <c r="G2383" s="14">
        <v>319500</v>
      </c>
      <c r="H2383" s="13" t="s">
        <v>1126</v>
      </c>
      <c r="I2383" s="40" t="s">
        <v>18</v>
      </c>
      <c r="J2383" s="40" t="str">
        <f>HYPERLINK("https://stock.pstatic.net/stock-research/company/66/20260519_company_41517000.pdf","PDF")</f>
        <v>PDF</v>
      </c>
      <c r="K2383" s="12" t="s">
        <v>1127</v>
      </c>
      <c r="L2383" s="36">
        <v>0.2519561815336463</v>
      </c>
    </row>
    <row r="2384" spans="1:12" x14ac:dyDescent="0.45">
      <c r="A2384" s="12" t="s">
        <v>1117</v>
      </c>
      <c r="B2384" s="12" t="s">
        <v>1128</v>
      </c>
      <c r="C2384" s="13" t="s">
        <v>1129</v>
      </c>
      <c r="D2384" s="13" t="s">
        <v>276</v>
      </c>
      <c r="E2384" s="12" t="s">
        <v>16</v>
      </c>
      <c r="F2384" s="14">
        <v>190000</v>
      </c>
      <c r="G2384" s="14">
        <v>131500</v>
      </c>
      <c r="H2384" s="13" t="s">
        <v>1130</v>
      </c>
      <c r="I2384" s="40" t="s">
        <v>18</v>
      </c>
      <c r="J2384" s="40" t="str">
        <f>HYPERLINK("https://stock.pstatic.net/stock-research/company/66/20260519_company_763227000.pdf","PDF")</f>
        <v>PDF</v>
      </c>
      <c r="K2384" s="12" t="s">
        <v>1131</v>
      </c>
      <c r="L2384" s="36">
        <v>0.44486692015209123</v>
      </c>
    </row>
    <row r="2385" spans="1:12" x14ac:dyDescent="0.45">
      <c r="A2385" s="12" t="s">
        <v>1117</v>
      </c>
      <c r="B2385" s="12" t="s">
        <v>1132</v>
      </c>
      <c r="C2385" s="13" t="s">
        <v>1133</v>
      </c>
      <c r="D2385" s="13" t="s">
        <v>276</v>
      </c>
      <c r="E2385" s="12" t="s">
        <v>16</v>
      </c>
      <c r="F2385" s="14">
        <v>38000</v>
      </c>
      <c r="G2385" s="14">
        <v>21300</v>
      </c>
      <c r="H2385" s="13" t="s">
        <v>1134</v>
      </c>
      <c r="I2385" s="40" t="s">
        <v>18</v>
      </c>
      <c r="J2385" s="40" t="str">
        <f>HYPERLINK("https://stock.pstatic.net/stock-research/company/66/20260519_company_592466000.pdf","PDF")</f>
        <v>PDF</v>
      </c>
      <c r="K2385" s="12" t="s">
        <v>1135</v>
      </c>
      <c r="L2385" s="36">
        <v>0.784037558685446</v>
      </c>
    </row>
    <row r="2386" spans="1:12" x14ac:dyDescent="0.45">
      <c r="A2386" s="12" t="s">
        <v>1117</v>
      </c>
      <c r="B2386" s="12" t="s">
        <v>1136</v>
      </c>
      <c r="C2386" s="13" t="s">
        <v>1137</v>
      </c>
      <c r="D2386" s="13" t="s">
        <v>276</v>
      </c>
      <c r="E2386" s="12" t="s">
        <v>16</v>
      </c>
      <c r="F2386" s="14">
        <v>59000</v>
      </c>
      <c r="G2386" s="14">
        <v>36650</v>
      </c>
      <c r="H2386" s="13" t="s">
        <v>1138</v>
      </c>
      <c r="I2386" s="40" t="s">
        <v>18</v>
      </c>
      <c r="J2386" s="40" t="str">
        <f>HYPERLINK("https://stock.pstatic.net/stock-research/company/66/20260519_company_195862000.pdf","PDF")</f>
        <v>PDF</v>
      </c>
      <c r="K2386" s="12" t="s">
        <v>1139</v>
      </c>
      <c r="L2386" s="36">
        <v>0.60982264665757158</v>
      </c>
    </row>
    <row r="2387" spans="1:12" x14ac:dyDescent="0.45">
      <c r="A2387" s="12" t="s">
        <v>1117</v>
      </c>
      <c r="B2387" s="12" t="s">
        <v>1140</v>
      </c>
      <c r="C2387" s="13" t="s">
        <v>1141</v>
      </c>
      <c r="D2387" s="13" t="s">
        <v>60</v>
      </c>
      <c r="E2387" s="12" t="s">
        <v>50</v>
      </c>
      <c r="F2387" s="14">
        <v>43000</v>
      </c>
      <c r="G2387" s="14">
        <v>37650</v>
      </c>
      <c r="H2387" s="13" t="s">
        <v>1142</v>
      </c>
      <c r="I2387" s="40" t="s">
        <v>18</v>
      </c>
      <c r="J2387" s="40" t="str">
        <f>HYPERLINK("https://stock.pstatic.net/stock-research/company/62/20260519_company_483108000.pdf","PDF")</f>
        <v>PDF</v>
      </c>
      <c r="K2387" s="12" t="s">
        <v>1143</v>
      </c>
      <c r="L2387" s="36">
        <v>0.1420982735723772</v>
      </c>
    </row>
    <row r="2388" spans="1:12" x14ac:dyDescent="0.45">
      <c r="A2388" s="12" t="s">
        <v>1117</v>
      </c>
      <c r="B2388" s="12" t="s">
        <v>1144</v>
      </c>
      <c r="C2388" s="13" t="s">
        <v>1145</v>
      </c>
      <c r="D2388" s="13" t="s">
        <v>60</v>
      </c>
      <c r="E2388" s="12" t="s">
        <v>35</v>
      </c>
      <c r="F2388" s="14">
        <v>192000</v>
      </c>
      <c r="G2388" s="14">
        <v>144700</v>
      </c>
      <c r="H2388" s="13" t="s">
        <v>1146</v>
      </c>
      <c r="I2388" s="40" t="s">
        <v>18</v>
      </c>
      <c r="J2388" s="40" t="str">
        <f>HYPERLINK("https://stock.pstatic.net/stock-research/company/62/20260519_company_998628000.pdf","PDF")</f>
        <v>PDF</v>
      </c>
      <c r="K2388" s="12" t="s">
        <v>1147</v>
      </c>
      <c r="L2388" s="36">
        <v>0.32688320663441611</v>
      </c>
    </row>
    <row r="2389" spans="1:12" x14ac:dyDescent="0.45">
      <c r="A2389" s="12" t="s">
        <v>1117</v>
      </c>
      <c r="B2389" s="12" t="s">
        <v>1120</v>
      </c>
      <c r="C2389" s="13" t="s">
        <v>1121</v>
      </c>
      <c r="D2389" s="13" t="s">
        <v>60</v>
      </c>
      <c r="E2389" s="12" t="s">
        <v>35</v>
      </c>
      <c r="F2389" s="14">
        <v>190000</v>
      </c>
      <c r="G2389" s="14">
        <v>136200</v>
      </c>
      <c r="H2389" s="13" t="s">
        <v>1148</v>
      </c>
      <c r="I2389" s="40" t="s">
        <v>18</v>
      </c>
      <c r="J2389" s="40" t="str">
        <f>HYPERLINK("https://stock.pstatic.net/stock-research/company/62/20260519_company_327162000.pdf","PDF")</f>
        <v>PDF</v>
      </c>
      <c r="K2389" s="12" t="s">
        <v>1149</v>
      </c>
      <c r="L2389" s="36">
        <v>0.39500734214390598</v>
      </c>
    </row>
    <row r="2390" spans="1:12" x14ac:dyDescent="0.45">
      <c r="A2390" s="12" t="s">
        <v>1117</v>
      </c>
      <c r="B2390" s="12" t="s">
        <v>669</v>
      </c>
      <c r="C2390" s="13" t="s">
        <v>670</v>
      </c>
      <c r="D2390" s="13" t="s">
        <v>65</v>
      </c>
      <c r="E2390" s="12" t="s">
        <v>35</v>
      </c>
      <c r="F2390" s="14">
        <v>40000</v>
      </c>
      <c r="G2390" s="14">
        <v>19590</v>
      </c>
      <c r="H2390" s="13" t="s">
        <v>1150</v>
      </c>
      <c r="I2390" s="40" t="s">
        <v>18</v>
      </c>
      <c r="J2390" s="40" t="str">
        <f>HYPERLINK("https://stock.pstatic.net/stock-research/company/57/20260519_company_164662000.pdf","PDF")</f>
        <v>PDF</v>
      </c>
      <c r="K2390" s="12" t="s">
        <v>1151</v>
      </c>
      <c r="L2390" s="36">
        <v>1.0418580908626851</v>
      </c>
    </row>
    <row r="2391" spans="1:12" x14ac:dyDescent="0.45">
      <c r="A2391" s="12" t="s">
        <v>1117</v>
      </c>
      <c r="B2391" s="12" t="s">
        <v>281</v>
      </c>
      <c r="C2391" s="13" t="s">
        <v>282</v>
      </c>
      <c r="D2391" s="13" t="s">
        <v>65</v>
      </c>
      <c r="E2391" s="12" t="s">
        <v>35</v>
      </c>
      <c r="F2391" s="14">
        <v>70000</v>
      </c>
      <c r="G2391" s="14">
        <v>28900</v>
      </c>
      <c r="H2391" s="13" t="s">
        <v>1152</v>
      </c>
      <c r="I2391" s="40" t="s">
        <v>18</v>
      </c>
      <c r="J2391" s="40" t="str">
        <f>HYPERLINK("https://stock.pstatic.net/stock-research/company/57/20260519_company_123293000.pdf","PDF")</f>
        <v>PDF</v>
      </c>
      <c r="K2391" s="12" t="s">
        <v>1153</v>
      </c>
      <c r="L2391" s="36">
        <v>1.422145328719723</v>
      </c>
    </row>
    <row r="2392" spans="1:12" x14ac:dyDescent="0.45">
      <c r="A2392" s="12" t="s">
        <v>1117</v>
      </c>
      <c r="B2392" s="12" t="s">
        <v>585</v>
      </c>
      <c r="C2392" s="13" t="s">
        <v>586</v>
      </c>
      <c r="D2392" s="13" t="s">
        <v>158</v>
      </c>
      <c r="E2392" s="12" t="s">
        <v>35</v>
      </c>
      <c r="F2392" s="14">
        <v>120000</v>
      </c>
      <c r="G2392" s="14">
        <v>82900</v>
      </c>
      <c r="H2392" s="13" t="s">
        <v>1154</v>
      </c>
      <c r="I2392" s="40" t="s">
        <v>18</v>
      </c>
      <c r="J2392" s="40" t="str">
        <f>HYPERLINK("https://stock.pstatic.net/stock-research/company/18/20260519_company_370104000.pdf","PDF")</f>
        <v>PDF</v>
      </c>
      <c r="K2392" s="12" t="s">
        <v>1155</v>
      </c>
      <c r="L2392" s="36">
        <v>0.44752714113389619</v>
      </c>
    </row>
    <row r="2393" spans="1:12" x14ac:dyDescent="0.45">
      <c r="A2393" s="12" t="s">
        <v>1117</v>
      </c>
      <c r="B2393" s="12" t="s">
        <v>1156</v>
      </c>
      <c r="C2393" s="13" t="s">
        <v>1157</v>
      </c>
      <c r="D2393" s="13" t="s">
        <v>158</v>
      </c>
      <c r="E2393" s="12" t="s">
        <v>35</v>
      </c>
      <c r="F2393" s="14">
        <v>32000</v>
      </c>
      <c r="G2393" s="14">
        <v>21000</v>
      </c>
      <c r="H2393" s="13" t="s">
        <v>1158</v>
      </c>
      <c r="I2393" s="40" t="s">
        <v>18</v>
      </c>
      <c r="J2393" s="40" t="str">
        <f>HYPERLINK("https://stock.pstatic.net/stock-research/company/18/20260519_company_912390000.pdf","PDF")</f>
        <v>PDF</v>
      </c>
      <c r="K2393" s="12" t="s">
        <v>1159</v>
      </c>
      <c r="L2393" s="36">
        <v>0.52380952380952384</v>
      </c>
    </row>
    <row r="2394" spans="1:12" x14ac:dyDescent="0.45">
      <c r="A2394" s="12" t="s">
        <v>1117</v>
      </c>
      <c r="B2394" s="12" t="s">
        <v>102</v>
      </c>
      <c r="C2394" s="13" t="s">
        <v>103</v>
      </c>
      <c r="D2394" s="13" t="s">
        <v>83</v>
      </c>
      <c r="E2394" s="12" t="s">
        <v>35</v>
      </c>
      <c r="F2394" s="14">
        <v>52000</v>
      </c>
      <c r="G2394" s="14">
        <v>32350</v>
      </c>
      <c r="H2394" s="13" t="s">
        <v>1160</v>
      </c>
      <c r="I2394" s="40" t="s">
        <v>18</v>
      </c>
      <c r="J2394" s="40" t="str">
        <f>HYPERLINK("https://stock.pstatic.net/stock-research/company/15/20260519_company_803978000.pdf","PDF")</f>
        <v>PDF</v>
      </c>
      <c r="K2394" s="12" t="s">
        <v>1161</v>
      </c>
      <c r="L2394" s="36">
        <v>0.60741885625965997</v>
      </c>
    </row>
    <row r="2395" spans="1:12" x14ac:dyDescent="0.45">
      <c r="A2395" s="12" t="s">
        <v>1117</v>
      </c>
      <c r="B2395" s="12" t="s">
        <v>1162</v>
      </c>
      <c r="C2395" s="13" t="s">
        <v>1163</v>
      </c>
      <c r="D2395" s="13" t="s">
        <v>83</v>
      </c>
      <c r="E2395" s="12" t="s">
        <v>35</v>
      </c>
      <c r="F2395" s="14">
        <v>260000</v>
      </c>
      <c r="G2395" s="14">
        <v>170300</v>
      </c>
      <c r="H2395" s="13" t="s">
        <v>1164</v>
      </c>
      <c r="I2395" s="40" t="s">
        <v>18</v>
      </c>
      <c r="J2395" s="40" t="str">
        <f>HYPERLINK("https://stock.pstatic.net/stock-research/company/15/20260519_company_462094000.pdf","PDF")</f>
        <v>PDF</v>
      </c>
      <c r="K2395" s="12" t="s">
        <v>1165</v>
      </c>
      <c r="L2395" s="36">
        <v>0.52671755725190839</v>
      </c>
    </row>
    <row r="2396" spans="1:12" x14ac:dyDescent="0.45">
      <c r="A2396" s="12" t="s">
        <v>1117</v>
      </c>
      <c r="B2396" s="12" t="s">
        <v>177</v>
      </c>
      <c r="C2396" s="13" t="s">
        <v>178</v>
      </c>
      <c r="D2396" s="13" t="s">
        <v>83</v>
      </c>
      <c r="E2396" s="12" t="s">
        <v>35</v>
      </c>
      <c r="F2396" s="14">
        <v>17000</v>
      </c>
      <c r="G2396" s="14">
        <v>12190</v>
      </c>
      <c r="H2396" s="13" t="s">
        <v>1166</v>
      </c>
      <c r="I2396" s="40" t="s">
        <v>18</v>
      </c>
      <c r="J2396" s="40" t="str">
        <f>HYPERLINK("https://stock.pstatic.net/stock-research/company/15/20260519_company_482100000.pdf","PDF")</f>
        <v>PDF</v>
      </c>
      <c r="K2396" s="12" t="s">
        <v>1167</v>
      </c>
      <c r="L2396" s="36">
        <v>0.39458572600492209</v>
      </c>
    </row>
    <row r="2397" spans="1:12" x14ac:dyDescent="0.45">
      <c r="A2397" s="12" t="s">
        <v>1117</v>
      </c>
      <c r="B2397" s="12" t="s">
        <v>720</v>
      </c>
      <c r="C2397" s="13" t="s">
        <v>721</v>
      </c>
      <c r="D2397" s="13" t="s">
        <v>179</v>
      </c>
      <c r="E2397" s="12" t="s">
        <v>16</v>
      </c>
      <c r="F2397" s="14">
        <v>15000</v>
      </c>
      <c r="G2397" s="14">
        <v>9600</v>
      </c>
      <c r="H2397" s="13" t="s">
        <v>1168</v>
      </c>
      <c r="I2397" s="40" t="s">
        <v>18</v>
      </c>
      <c r="J2397" s="40" t="str">
        <f>HYPERLINK("https://stock.pstatic.net/stock-research/company/64/20260519_company_715197000.pdf","PDF")</f>
        <v>PDF</v>
      </c>
      <c r="K2397" s="12" t="s">
        <v>1169</v>
      </c>
      <c r="L2397" s="36">
        <v>0.5625</v>
      </c>
    </row>
    <row r="2398" spans="1:12" x14ac:dyDescent="0.45">
      <c r="A2398" s="12" t="s">
        <v>1117</v>
      </c>
      <c r="B2398" s="12" t="s">
        <v>1170</v>
      </c>
      <c r="C2398" s="13" t="s">
        <v>1171</v>
      </c>
      <c r="D2398" s="13" t="s">
        <v>179</v>
      </c>
      <c r="E2398" s="12" t="s">
        <v>16</v>
      </c>
      <c r="F2398" s="14">
        <v>14000</v>
      </c>
      <c r="G2398" s="14">
        <v>9460</v>
      </c>
      <c r="H2398" s="13" t="s">
        <v>1172</v>
      </c>
      <c r="I2398" s="40" t="s">
        <v>18</v>
      </c>
      <c r="J2398" s="40" t="str">
        <f>HYPERLINK("https://stock.pstatic.net/stock-research/company/64/20260519_company_819357000.pdf","PDF")</f>
        <v>PDF</v>
      </c>
      <c r="K2398" s="12" t="s">
        <v>1173</v>
      </c>
      <c r="L2398" s="36">
        <v>0.47991543340380549</v>
      </c>
    </row>
    <row r="2399" spans="1:12" x14ac:dyDescent="0.45">
      <c r="A2399" s="12" t="s">
        <v>1117</v>
      </c>
      <c r="B2399" s="12" t="s">
        <v>605</v>
      </c>
      <c r="C2399" s="13" t="s">
        <v>606</v>
      </c>
      <c r="D2399" s="13" t="s">
        <v>179</v>
      </c>
      <c r="E2399" s="12" t="s">
        <v>16</v>
      </c>
      <c r="F2399" s="14">
        <v>33000</v>
      </c>
      <c r="G2399" s="14">
        <v>26800</v>
      </c>
      <c r="H2399" s="13" t="s">
        <v>1174</v>
      </c>
      <c r="I2399" s="40" t="s">
        <v>18</v>
      </c>
      <c r="J2399" s="40" t="str">
        <f>HYPERLINK("https://stock.pstatic.net/stock-research/company/64/20260519_company_63266000.pdf","PDF")</f>
        <v>PDF</v>
      </c>
      <c r="K2399" s="12" t="s">
        <v>1175</v>
      </c>
      <c r="L2399" s="36">
        <v>0.23134328358208961</v>
      </c>
    </row>
    <row r="2400" spans="1:12" x14ac:dyDescent="0.45">
      <c r="A2400" s="12" t="s">
        <v>1117</v>
      </c>
      <c r="B2400" s="12" t="s">
        <v>1176</v>
      </c>
      <c r="C2400" s="13" t="s">
        <v>1177</v>
      </c>
      <c r="D2400" s="13" t="s">
        <v>179</v>
      </c>
      <c r="E2400" s="12" t="s">
        <v>16</v>
      </c>
      <c r="F2400" s="14">
        <v>18000</v>
      </c>
      <c r="G2400" s="14">
        <v>14180</v>
      </c>
      <c r="H2400" s="13" t="s">
        <v>1178</v>
      </c>
      <c r="I2400" s="40" t="s">
        <v>18</v>
      </c>
      <c r="J2400" s="40" t="str">
        <f>HYPERLINK("https://stock.pstatic.net/stock-research/company/64/20260519_company_12524000.pdf","PDF")</f>
        <v>PDF</v>
      </c>
      <c r="K2400" s="12" t="s">
        <v>1179</v>
      </c>
      <c r="L2400" s="36">
        <v>0.26939351198871653</v>
      </c>
    </row>
    <row r="2401" spans="1:12" x14ac:dyDescent="0.45">
      <c r="A2401" s="12" t="s">
        <v>1117</v>
      </c>
      <c r="B2401" s="12" t="s">
        <v>362</v>
      </c>
      <c r="C2401" s="13" t="s">
        <v>363</v>
      </c>
      <c r="D2401" s="13" t="s">
        <v>179</v>
      </c>
      <c r="E2401" s="12" t="s">
        <v>16</v>
      </c>
      <c r="F2401" s="14">
        <v>140000</v>
      </c>
      <c r="G2401" s="14">
        <v>115400</v>
      </c>
      <c r="H2401" s="13" t="s">
        <v>1180</v>
      </c>
      <c r="I2401" s="40" t="s">
        <v>18</v>
      </c>
      <c r="J2401" s="40" t="str">
        <f>HYPERLINK("https://stock.pstatic.net/stock-research/company/64/20260519_company_452289000.pdf","PDF")</f>
        <v>PDF</v>
      </c>
      <c r="K2401" s="12" t="s">
        <v>1181</v>
      </c>
      <c r="L2401" s="36">
        <v>0.21317157712305029</v>
      </c>
    </row>
    <row r="2402" spans="1:12" x14ac:dyDescent="0.45">
      <c r="A2402" s="12" t="s">
        <v>1117</v>
      </c>
      <c r="B2402" s="12" t="s">
        <v>1162</v>
      </c>
      <c r="C2402" s="13" t="s">
        <v>1163</v>
      </c>
      <c r="D2402" s="13" t="s">
        <v>179</v>
      </c>
      <c r="E2402" s="12" t="s">
        <v>16</v>
      </c>
      <c r="F2402" s="14">
        <v>230000</v>
      </c>
      <c r="G2402" s="14">
        <v>170300</v>
      </c>
      <c r="H2402" s="13" t="s">
        <v>1182</v>
      </c>
      <c r="I2402" s="40" t="s">
        <v>18</v>
      </c>
      <c r="J2402" s="40" t="str">
        <f>HYPERLINK("https://stock.pstatic.net/stock-research/company/64/20260519_company_944985000.pdf","PDF")</f>
        <v>PDF</v>
      </c>
      <c r="K2402" s="12" t="s">
        <v>1183</v>
      </c>
      <c r="L2402" s="36">
        <v>0.35055783910745741</v>
      </c>
    </row>
    <row r="2403" spans="1:12" x14ac:dyDescent="0.45">
      <c r="A2403" s="12" t="s">
        <v>1117</v>
      </c>
      <c r="B2403" s="12" t="s">
        <v>1184</v>
      </c>
      <c r="C2403" s="13" t="s">
        <v>1185</v>
      </c>
      <c r="D2403" s="13" t="s">
        <v>92</v>
      </c>
      <c r="E2403" s="12" t="s">
        <v>35</v>
      </c>
      <c r="F2403" s="14">
        <v>34000</v>
      </c>
      <c r="G2403" s="14">
        <v>28400</v>
      </c>
      <c r="H2403" s="13" t="s">
        <v>1186</v>
      </c>
      <c r="I2403" s="40" t="s">
        <v>18</v>
      </c>
      <c r="J2403" s="40" t="str">
        <f>HYPERLINK("https://stock.pstatic.net/stock-research/company/63/20260519_company_76848000.pdf","PDF")</f>
        <v>PDF</v>
      </c>
      <c r="K2403" s="12" t="s">
        <v>1187</v>
      </c>
      <c r="L2403" s="36">
        <v>0.19718309859154931</v>
      </c>
    </row>
    <row r="2404" spans="1:12" x14ac:dyDescent="0.45">
      <c r="A2404" s="12" t="s">
        <v>1117</v>
      </c>
      <c r="B2404" s="12" t="s">
        <v>264</v>
      </c>
      <c r="C2404" s="13" t="s">
        <v>265</v>
      </c>
      <c r="D2404" s="13" t="s">
        <v>179</v>
      </c>
      <c r="E2404" s="12" t="s">
        <v>16</v>
      </c>
      <c r="F2404" s="14">
        <v>630000</v>
      </c>
      <c r="G2404" s="14">
        <v>528000</v>
      </c>
      <c r="H2404" s="13" t="s">
        <v>1188</v>
      </c>
      <c r="I2404" s="40" t="s">
        <v>18</v>
      </c>
      <c r="J2404" s="40" t="str">
        <f>HYPERLINK("https://stock.pstatic.net/stock-research/company/64/20260519_company_83752000.pdf","PDF")</f>
        <v>PDF</v>
      </c>
      <c r="K2404" s="12" t="s">
        <v>1189</v>
      </c>
      <c r="L2404" s="36">
        <v>0.1931818181818182</v>
      </c>
    </row>
    <row r="2405" spans="1:12" x14ac:dyDescent="0.45">
      <c r="A2405" s="12" t="s">
        <v>1117</v>
      </c>
      <c r="B2405" s="12" t="s">
        <v>1190</v>
      </c>
      <c r="C2405" s="13" t="s">
        <v>1191</v>
      </c>
      <c r="D2405" s="13" t="s">
        <v>179</v>
      </c>
      <c r="E2405" s="12" t="s">
        <v>16</v>
      </c>
      <c r="F2405" s="14">
        <v>170000</v>
      </c>
      <c r="G2405" s="14">
        <v>126200</v>
      </c>
      <c r="H2405" s="13" t="s">
        <v>1192</v>
      </c>
      <c r="I2405" s="40" t="s">
        <v>18</v>
      </c>
      <c r="J2405" s="40" t="str">
        <f>HYPERLINK("https://stock.pstatic.net/stock-research/company/64/20260519_company_898026000.pdf","PDF")</f>
        <v>PDF</v>
      </c>
      <c r="K2405" s="12" t="s">
        <v>1193</v>
      </c>
      <c r="L2405" s="36">
        <v>0.34706814580031697</v>
      </c>
    </row>
    <row r="2406" spans="1:12" x14ac:dyDescent="0.45">
      <c r="A2406" s="12" t="s">
        <v>1117</v>
      </c>
      <c r="B2406" s="12" t="s">
        <v>72</v>
      </c>
      <c r="C2406" s="13" t="s">
        <v>73</v>
      </c>
      <c r="D2406" s="13" t="s">
        <v>179</v>
      </c>
      <c r="E2406" s="12" t="s">
        <v>16</v>
      </c>
      <c r="F2406" s="14">
        <v>480000</v>
      </c>
      <c r="G2406" s="14">
        <v>399500</v>
      </c>
      <c r="H2406" s="13" t="s">
        <v>1194</v>
      </c>
      <c r="I2406" s="40" t="s">
        <v>18</v>
      </c>
      <c r="J2406" s="40" t="str">
        <f>HYPERLINK("https://stock.pstatic.net/stock-research/company/64/20260519_company_645784000.pdf","PDF")</f>
        <v>PDF</v>
      </c>
      <c r="K2406" s="12" t="s">
        <v>1195</v>
      </c>
      <c r="L2406" s="36">
        <v>0.20150187734668329</v>
      </c>
    </row>
    <row r="2407" spans="1:12" x14ac:dyDescent="0.45">
      <c r="A2407" s="12" t="s">
        <v>1117</v>
      </c>
      <c r="B2407" s="12" t="s">
        <v>836</v>
      </c>
      <c r="C2407" s="13" t="s">
        <v>837</v>
      </c>
      <c r="D2407" s="13" t="s">
        <v>179</v>
      </c>
      <c r="E2407" s="12" t="s">
        <v>16</v>
      </c>
      <c r="F2407" s="14">
        <v>1450000</v>
      </c>
      <c r="G2407" s="14">
        <v>1093000</v>
      </c>
      <c r="H2407" s="13" t="s">
        <v>1196</v>
      </c>
      <c r="I2407" s="40" t="s">
        <v>18</v>
      </c>
      <c r="J2407" s="40" t="str">
        <f>HYPERLINK("https://stock.pstatic.net/stock-research/company/64/20260519_company_72243000.pdf","PDF")</f>
        <v>PDF</v>
      </c>
      <c r="K2407" s="12" t="s">
        <v>1197</v>
      </c>
      <c r="L2407" s="36">
        <v>0.32662397072278132</v>
      </c>
    </row>
    <row r="2408" spans="1:12" x14ac:dyDescent="0.45">
      <c r="A2408" s="12" t="s">
        <v>1117</v>
      </c>
      <c r="B2408" s="12" t="s">
        <v>1198</v>
      </c>
      <c r="C2408" s="13" t="s">
        <v>1199</v>
      </c>
      <c r="D2408" s="13" t="s">
        <v>92</v>
      </c>
      <c r="E2408" s="12" t="s">
        <v>50</v>
      </c>
      <c r="F2408" s="13"/>
      <c r="G2408" s="14">
        <v>15920</v>
      </c>
      <c r="H2408" s="13" t="s">
        <v>1200</v>
      </c>
      <c r="I2408" s="40" t="s">
        <v>18</v>
      </c>
      <c r="J2408" s="40" t="str">
        <f>HYPERLINK("https://stock.pstatic.net/stock-research/company/63/20260519_company_926703000.pdf","PDF")</f>
        <v>PDF</v>
      </c>
      <c r="K2408" s="12" t="s">
        <v>1201</v>
      </c>
      <c r="L2408" s="12"/>
    </row>
    <row r="2409" spans="1:12" x14ac:dyDescent="0.45">
      <c r="A2409" s="12" t="s">
        <v>1117</v>
      </c>
      <c r="B2409" s="12" t="s">
        <v>1202</v>
      </c>
      <c r="C2409" s="13" t="s">
        <v>1203</v>
      </c>
      <c r="D2409" s="13" t="s">
        <v>92</v>
      </c>
      <c r="E2409" s="12" t="s">
        <v>50</v>
      </c>
      <c r="F2409" s="13"/>
      <c r="G2409" s="14">
        <v>2930</v>
      </c>
      <c r="H2409" s="13" t="s">
        <v>1204</v>
      </c>
      <c r="I2409" s="40" t="s">
        <v>18</v>
      </c>
      <c r="J2409" s="40" t="str">
        <f>HYPERLINK("https://stock.pstatic.net/stock-research/company/63/20260519_company_215276000.pdf","PDF")</f>
        <v>PDF</v>
      </c>
      <c r="K2409" s="12" t="s">
        <v>1205</v>
      </c>
      <c r="L2409" s="12"/>
    </row>
    <row r="2410" spans="1:12" x14ac:dyDescent="0.45">
      <c r="A2410" s="12" t="s">
        <v>1117</v>
      </c>
      <c r="B2410" s="12" t="s">
        <v>698</v>
      </c>
      <c r="C2410" s="13" t="s">
        <v>699</v>
      </c>
      <c r="D2410" s="13" t="s">
        <v>179</v>
      </c>
      <c r="E2410" s="12" t="s">
        <v>16</v>
      </c>
      <c r="F2410" s="14">
        <v>660000</v>
      </c>
      <c r="G2410" s="14">
        <v>530000</v>
      </c>
      <c r="H2410" s="13" t="s">
        <v>1206</v>
      </c>
      <c r="I2410" s="40" t="s">
        <v>18</v>
      </c>
      <c r="J2410" s="40" t="str">
        <f>HYPERLINK("https://stock.pstatic.net/stock-research/company/64/20260519_company_294390000.pdf","PDF")</f>
        <v>PDF</v>
      </c>
      <c r="K2410" s="12" t="s">
        <v>1207</v>
      </c>
      <c r="L2410" s="36">
        <v>0.2452830188679245</v>
      </c>
    </row>
    <row r="2411" spans="1:12" x14ac:dyDescent="0.45">
      <c r="A2411" s="12" t="s">
        <v>1117</v>
      </c>
      <c r="B2411" s="12" t="s">
        <v>1208</v>
      </c>
      <c r="C2411" s="13" t="s">
        <v>1209</v>
      </c>
      <c r="D2411" s="13" t="s">
        <v>179</v>
      </c>
      <c r="E2411" s="12" t="s">
        <v>16</v>
      </c>
      <c r="F2411" s="14">
        <v>100000</v>
      </c>
      <c r="G2411" s="14">
        <v>71300</v>
      </c>
      <c r="H2411" s="13" t="s">
        <v>1210</v>
      </c>
      <c r="I2411" s="40" t="s">
        <v>18</v>
      </c>
      <c r="J2411" s="40" t="str">
        <f>HYPERLINK("https://stock.pstatic.net/stock-research/company/64/20260519_company_880191000.pdf","PDF")</f>
        <v>PDF</v>
      </c>
      <c r="K2411" s="12" t="s">
        <v>1211</v>
      </c>
      <c r="L2411" s="36">
        <v>0.40252454417952321</v>
      </c>
    </row>
    <row r="2412" spans="1:12" x14ac:dyDescent="0.45">
      <c r="A2412" s="12" t="s">
        <v>1117</v>
      </c>
      <c r="B2412" s="12" t="s">
        <v>1212</v>
      </c>
      <c r="C2412" s="13" t="s">
        <v>1213</v>
      </c>
      <c r="D2412" s="13" t="s">
        <v>92</v>
      </c>
      <c r="E2412" s="12" t="s">
        <v>35</v>
      </c>
      <c r="F2412" s="14">
        <v>50000</v>
      </c>
      <c r="G2412" s="14">
        <v>28650</v>
      </c>
      <c r="H2412" s="13" t="s">
        <v>1214</v>
      </c>
      <c r="I2412" s="40" t="s">
        <v>18</v>
      </c>
      <c r="J2412" s="40" t="str">
        <f>HYPERLINK("https://stock.pstatic.net/stock-research/company/63/20260519_company_805784000.pdf","PDF")</f>
        <v>PDF</v>
      </c>
      <c r="K2412" s="12" t="s">
        <v>1215</v>
      </c>
      <c r="L2412" s="36">
        <v>0.74520069808027922</v>
      </c>
    </row>
    <row r="2413" spans="1:12" x14ac:dyDescent="0.45">
      <c r="A2413" s="12" t="s">
        <v>1117</v>
      </c>
      <c r="B2413" s="12" t="s">
        <v>1216</v>
      </c>
      <c r="C2413" s="13" t="s">
        <v>1217</v>
      </c>
      <c r="D2413" s="13" t="s">
        <v>34</v>
      </c>
      <c r="E2413" s="12" t="s">
        <v>50</v>
      </c>
      <c r="F2413" s="13"/>
      <c r="G2413" s="14">
        <v>31950</v>
      </c>
      <c r="H2413" s="13" t="s">
        <v>1218</v>
      </c>
      <c r="I2413" s="40" t="s">
        <v>18</v>
      </c>
      <c r="J2413" s="40" t="str">
        <f>HYPERLINK("https://stock.pstatic.net/stock-research/company/61/20260519_company_793698000.pdf","PDF")</f>
        <v>PDF</v>
      </c>
      <c r="K2413" s="12" t="s">
        <v>1219</v>
      </c>
      <c r="L2413" s="12"/>
    </row>
    <row r="2414" spans="1:12" x14ac:dyDescent="0.45">
      <c r="A2414" s="12" t="s">
        <v>1117</v>
      </c>
      <c r="B2414" s="12" t="s">
        <v>1220</v>
      </c>
      <c r="C2414" s="13" t="s">
        <v>1221</v>
      </c>
      <c r="D2414" s="13" t="s">
        <v>23</v>
      </c>
      <c r="E2414" s="12" t="s">
        <v>16</v>
      </c>
      <c r="F2414" s="14">
        <v>49000</v>
      </c>
      <c r="G2414" s="14">
        <v>37600</v>
      </c>
      <c r="H2414" s="13" t="s">
        <v>1222</v>
      </c>
      <c r="I2414" s="40" t="s">
        <v>18</v>
      </c>
      <c r="J2414" s="40" t="str">
        <f>HYPERLINK("https://stock.pstatic.net/stock-research/company/21/20260519_company_952077000.pdf","PDF")</f>
        <v>PDF</v>
      </c>
      <c r="K2414" s="12" t="s">
        <v>1223</v>
      </c>
      <c r="L2414" s="36">
        <v>0.30319148936170209</v>
      </c>
    </row>
    <row r="2415" spans="1:12" x14ac:dyDescent="0.45">
      <c r="A2415" s="12" t="s">
        <v>1117</v>
      </c>
      <c r="B2415" s="12" t="s">
        <v>1224</v>
      </c>
      <c r="C2415" s="13" t="s">
        <v>83</v>
      </c>
      <c r="D2415" s="13" t="s">
        <v>179</v>
      </c>
      <c r="E2415" s="12" t="s">
        <v>16</v>
      </c>
      <c r="F2415" s="14">
        <v>42000</v>
      </c>
      <c r="G2415" s="14">
        <v>33100</v>
      </c>
      <c r="H2415" s="13" t="s">
        <v>1225</v>
      </c>
      <c r="I2415" s="40" t="s">
        <v>18</v>
      </c>
      <c r="J2415" s="40" t="str">
        <f>HYPERLINK("https://stock.pstatic.net/stock-research/company/64/20260519_company_424720000.pdf","PDF")</f>
        <v>PDF</v>
      </c>
      <c r="K2415" s="12" t="s">
        <v>1226</v>
      </c>
      <c r="L2415" s="36">
        <v>0.26888217522658608</v>
      </c>
    </row>
    <row r="2416" spans="1:12" x14ac:dyDescent="0.45">
      <c r="A2416" s="12" t="s">
        <v>1117</v>
      </c>
      <c r="B2416" s="12" t="s">
        <v>1227</v>
      </c>
      <c r="C2416" s="13" t="s">
        <v>1228</v>
      </c>
      <c r="D2416" s="13" t="s">
        <v>44</v>
      </c>
      <c r="E2416" s="12" t="s">
        <v>50</v>
      </c>
      <c r="F2416" s="13"/>
      <c r="G2416" s="14">
        <v>3735</v>
      </c>
      <c r="H2416" s="13" t="s">
        <v>1229</v>
      </c>
      <c r="I2416" s="40" t="s">
        <v>18</v>
      </c>
      <c r="J2416" s="40" t="str">
        <f>HYPERLINK("https://stock.pstatic.net/stock-research/company/39/20260519_company_453519000.pdf","PDF")</f>
        <v>PDF</v>
      </c>
      <c r="K2416" s="12" t="s">
        <v>1230</v>
      </c>
      <c r="L2416" s="12"/>
    </row>
    <row r="2417" spans="1:12" x14ac:dyDescent="0.45">
      <c r="A2417" s="12" t="s">
        <v>1117</v>
      </c>
      <c r="B2417" s="12" t="s">
        <v>1120</v>
      </c>
      <c r="C2417" s="13" t="s">
        <v>1121</v>
      </c>
      <c r="D2417" s="13" t="s">
        <v>23</v>
      </c>
      <c r="E2417" s="12" t="s">
        <v>16</v>
      </c>
      <c r="F2417" s="14">
        <v>160000</v>
      </c>
      <c r="G2417" s="14">
        <v>136200</v>
      </c>
      <c r="H2417" s="13" t="s">
        <v>1231</v>
      </c>
      <c r="I2417" s="40" t="s">
        <v>18</v>
      </c>
      <c r="J2417" s="40" t="str">
        <f>HYPERLINK("https://stock.pstatic.net/stock-research/company/21/20260519_company_972134000.pdf","PDF")</f>
        <v>PDF</v>
      </c>
      <c r="K2417" s="12" t="s">
        <v>1232</v>
      </c>
      <c r="L2417" s="36">
        <v>0.17474302496328931</v>
      </c>
    </row>
    <row r="2418" spans="1:12" x14ac:dyDescent="0.45">
      <c r="A2418" s="12" t="s">
        <v>1117</v>
      </c>
      <c r="B2418" s="12" t="s">
        <v>1233</v>
      </c>
      <c r="C2418" s="13" t="s">
        <v>1234</v>
      </c>
      <c r="D2418" s="13" t="s">
        <v>15</v>
      </c>
      <c r="E2418" s="12" t="s">
        <v>50</v>
      </c>
      <c r="F2418" s="13"/>
      <c r="G2418" s="14">
        <v>42300</v>
      </c>
      <c r="H2418" s="13" t="s">
        <v>1235</v>
      </c>
      <c r="I2418" s="40" t="s">
        <v>18</v>
      </c>
      <c r="J2418" s="40" t="str">
        <f>HYPERLINK("https://stock.pstatic.net/stock-research/company/56/20260519_company_982167000.pdf","PDF")</f>
        <v>PDF</v>
      </c>
      <c r="K2418" s="12" t="s">
        <v>1236</v>
      </c>
      <c r="L2418" s="12"/>
    </row>
    <row r="2419" spans="1:12" x14ac:dyDescent="0.45">
      <c r="A2419" s="12" t="s">
        <v>1117</v>
      </c>
      <c r="B2419" s="12" t="s">
        <v>1237</v>
      </c>
      <c r="C2419" s="13" t="s">
        <v>1238</v>
      </c>
      <c r="D2419" s="13" t="s">
        <v>15</v>
      </c>
      <c r="E2419" s="12" t="s">
        <v>385</v>
      </c>
      <c r="F2419" s="14">
        <v>5000</v>
      </c>
      <c r="G2419" s="14">
        <v>4940</v>
      </c>
      <c r="H2419" s="13" t="s">
        <v>1239</v>
      </c>
      <c r="I2419" s="40" t="s">
        <v>18</v>
      </c>
      <c r="J2419" s="40" t="str">
        <f>HYPERLINK("https://stock.pstatic.net/stock-research/company/56/20260519_company_313350000.pdf","PDF")</f>
        <v>PDF</v>
      </c>
      <c r="K2419" s="12" t="s">
        <v>1240</v>
      </c>
      <c r="L2419" s="36">
        <v>1.2145748987854249E-2</v>
      </c>
    </row>
    <row r="2420" spans="1:12" x14ac:dyDescent="0.45">
      <c r="A2420" s="12" t="s">
        <v>1117</v>
      </c>
      <c r="B2420" s="12" t="s">
        <v>1241</v>
      </c>
      <c r="C2420" s="13" t="s">
        <v>1242</v>
      </c>
      <c r="D2420" s="13" t="s">
        <v>53</v>
      </c>
      <c r="E2420" s="12" t="s">
        <v>16</v>
      </c>
      <c r="F2420" s="14">
        <v>10500</v>
      </c>
      <c r="G2420" s="14">
        <v>7900</v>
      </c>
      <c r="H2420" s="13" t="s">
        <v>1243</v>
      </c>
      <c r="I2420" s="40" t="s">
        <v>18</v>
      </c>
      <c r="J2420" s="40" t="str">
        <f>HYPERLINK("https://stock.pstatic.net/stock-research/company/40/20260519_company_251168000.pdf","PDF")</f>
        <v>PDF</v>
      </c>
      <c r="K2420" s="12" t="s">
        <v>1244</v>
      </c>
      <c r="L2420" s="36">
        <v>0.32911392405063289</v>
      </c>
    </row>
    <row r="2421" spans="1:12" x14ac:dyDescent="0.45">
      <c r="A2421" s="12" t="s">
        <v>1245</v>
      </c>
      <c r="B2421" s="12" t="s">
        <v>1246</v>
      </c>
      <c r="C2421" s="13" t="s">
        <v>1247</v>
      </c>
      <c r="D2421" s="13" t="s">
        <v>276</v>
      </c>
      <c r="E2421" s="12" t="s">
        <v>16</v>
      </c>
      <c r="F2421" s="14">
        <v>26000</v>
      </c>
      <c r="G2421" s="14">
        <v>17260</v>
      </c>
      <c r="H2421" s="13" t="s">
        <v>1248</v>
      </c>
      <c r="I2421" s="40" t="s">
        <v>18</v>
      </c>
      <c r="J2421" s="40" t="str">
        <f>HYPERLINK("https://stock.pstatic.net/stock-research/company/66/20260518_company_615774000.pdf","PDF")</f>
        <v>PDF</v>
      </c>
      <c r="K2421" s="12" t="s">
        <v>1249</v>
      </c>
      <c r="L2421" s="36">
        <v>0.50637311703360366</v>
      </c>
    </row>
    <row r="2422" spans="1:12" x14ac:dyDescent="0.45">
      <c r="A2422" s="12" t="s">
        <v>1245</v>
      </c>
      <c r="B2422" s="12" t="s">
        <v>1162</v>
      </c>
      <c r="C2422" s="13" t="s">
        <v>1163</v>
      </c>
      <c r="D2422" s="13" t="s">
        <v>276</v>
      </c>
      <c r="E2422" s="12" t="s">
        <v>16</v>
      </c>
      <c r="F2422" s="14">
        <v>310000</v>
      </c>
      <c r="G2422" s="14">
        <v>217000</v>
      </c>
      <c r="H2422" s="13" t="s">
        <v>1250</v>
      </c>
      <c r="I2422" s="40" t="s">
        <v>18</v>
      </c>
      <c r="J2422" s="40" t="str">
        <f>HYPERLINK("https://stock.pstatic.net/stock-research/company/66/20260518_company_734707000.pdf","PDF")</f>
        <v>PDF</v>
      </c>
      <c r="K2422" s="12" t="s">
        <v>1251</v>
      </c>
      <c r="L2422" s="36">
        <v>0.42857142857142849</v>
      </c>
    </row>
    <row r="2423" spans="1:12" x14ac:dyDescent="0.45">
      <c r="A2423" s="12" t="s">
        <v>1245</v>
      </c>
      <c r="B2423" s="12" t="s">
        <v>1252</v>
      </c>
      <c r="C2423" s="13" t="s">
        <v>1253</v>
      </c>
      <c r="D2423" s="13" t="s">
        <v>60</v>
      </c>
      <c r="E2423" s="12" t="s">
        <v>35</v>
      </c>
      <c r="F2423" s="14">
        <v>8300</v>
      </c>
      <c r="G2423" s="14">
        <v>6530</v>
      </c>
      <c r="H2423" s="13" t="s">
        <v>1254</v>
      </c>
      <c r="I2423" s="40" t="s">
        <v>18</v>
      </c>
      <c r="J2423" s="40" t="str">
        <f>HYPERLINK("https://stock.pstatic.net/stock-research/company/62/20260518_company_572416000.pdf","PDF")</f>
        <v>PDF</v>
      </c>
      <c r="K2423" s="12" t="s">
        <v>1255</v>
      </c>
      <c r="L2423" s="36">
        <v>0.27105666156202152</v>
      </c>
    </row>
    <row r="2424" spans="1:12" x14ac:dyDescent="0.45">
      <c r="A2424" s="12" t="s">
        <v>1245</v>
      </c>
      <c r="B2424" s="12" t="s">
        <v>21</v>
      </c>
      <c r="C2424" s="13" t="s">
        <v>22</v>
      </c>
      <c r="D2424" s="13" t="s">
        <v>60</v>
      </c>
      <c r="E2424" s="12" t="s">
        <v>35</v>
      </c>
      <c r="F2424" s="14">
        <v>38000</v>
      </c>
      <c r="G2424" s="14">
        <v>33350</v>
      </c>
      <c r="H2424" s="13" t="s">
        <v>1256</v>
      </c>
      <c r="I2424" s="40" t="s">
        <v>18</v>
      </c>
      <c r="J2424" s="40" t="str">
        <f>HYPERLINK("https://stock.pstatic.net/stock-research/company/62/20260518_company_647492000.pdf","PDF")</f>
        <v>PDF</v>
      </c>
      <c r="K2424" s="12" t="s">
        <v>1257</v>
      </c>
      <c r="L2424" s="36">
        <v>0.1394302848575712</v>
      </c>
    </row>
    <row r="2425" spans="1:12" x14ac:dyDescent="0.45">
      <c r="A2425" s="12" t="s">
        <v>1245</v>
      </c>
      <c r="B2425" s="12" t="s">
        <v>1258</v>
      </c>
      <c r="C2425" s="13" t="s">
        <v>1259</v>
      </c>
      <c r="D2425" s="13" t="s">
        <v>60</v>
      </c>
      <c r="E2425" s="12" t="s">
        <v>35</v>
      </c>
      <c r="F2425" s="14">
        <v>620000</v>
      </c>
      <c r="G2425" s="14">
        <v>554000</v>
      </c>
      <c r="H2425" s="13" t="s">
        <v>1260</v>
      </c>
      <c r="I2425" s="40" t="s">
        <v>18</v>
      </c>
      <c r="J2425" s="40" t="str">
        <f>HYPERLINK("https://stock.pstatic.net/stock-research/company/62/20260518_company_245392000.pdf","PDF")</f>
        <v>PDF</v>
      </c>
      <c r="K2425" s="12" t="s">
        <v>1261</v>
      </c>
      <c r="L2425" s="36">
        <v>0.1191335740072202</v>
      </c>
    </row>
    <row r="2426" spans="1:12" x14ac:dyDescent="0.45">
      <c r="A2426" s="12" t="s">
        <v>1245</v>
      </c>
      <c r="B2426" s="12" t="s">
        <v>1262</v>
      </c>
      <c r="C2426" s="13" t="s">
        <v>1263</v>
      </c>
      <c r="D2426" s="13" t="s">
        <v>60</v>
      </c>
      <c r="E2426" s="12" t="s">
        <v>35</v>
      </c>
      <c r="F2426" s="14">
        <v>7000</v>
      </c>
      <c r="G2426" s="14">
        <v>5390</v>
      </c>
      <c r="H2426" s="13" t="s">
        <v>1264</v>
      </c>
      <c r="I2426" s="40" t="s">
        <v>18</v>
      </c>
      <c r="J2426" s="40" t="str">
        <f>HYPERLINK("https://stock.pstatic.net/stock-research/company/62/20260518_company_448206000.pdf","PDF")</f>
        <v>PDF</v>
      </c>
      <c r="K2426" s="12" t="s">
        <v>1265</v>
      </c>
      <c r="L2426" s="36">
        <v>0.29870129870129869</v>
      </c>
    </row>
    <row r="2427" spans="1:12" x14ac:dyDescent="0.45">
      <c r="A2427" s="12" t="s">
        <v>1245</v>
      </c>
      <c r="B2427" s="12" t="s">
        <v>1266</v>
      </c>
      <c r="C2427" s="13" t="s">
        <v>1267</v>
      </c>
      <c r="D2427" s="13" t="s">
        <v>60</v>
      </c>
      <c r="E2427" s="12" t="s">
        <v>50</v>
      </c>
      <c r="F2427" s="14">
        <v>330000</v>
      </c>
      <c r="G2427" s="14">
        <v>310000</v>
      </c>
      <c r="H2427" s="13" t="s">
        <v>1268</v>
      </c>
      <c r="I2427" s="40" t="s">
        <v>18</v>
      </c>
      <c r="J2427" s="40" t="str">
        <f>HYPERLINK("https://stock.pstatic.net/stock-research/company/62/20260518_company_286003000.pdf","PDF")</f>
        <v>PDF</v>
      </c>
      <c r="K2427" s="12" t="s">
        <v>1269</v>
      </c>
      <c r="L2427" s="36">
        <v>6.4516129032258063E-2</v>
      </c>
    </row>
    <row r="2428" spans="1:12" x14ac:dyDescent="0.45">
      <c r="A2428" s="12" t="s">
        <v>1245</v>
      </c>
      <c r="B2428" s="12" t="s">
        <v>1270</v>
      </c>
      <c r="C2428" s="13" t="s">
        <v>1271</v>
      </c>
      <c r="D2428" s="13" t="s">
        <v>60</v>
      </c>
      <c r="E2428" s="12" t="s">
        <v>35</v>
      </c>
      <c r="F2428" s="14">
        <v>155000</v>
      </c>
      <c r="G2428" s="14">
        <v>123200</v>
      </c>
      <c r="H2428" s="13" t="s">
        <v>1272</v>
      </c>
      <c r="I2428" s="40" t="s">
        <v>18</v>
      </c>
      <c r="J2428" s="40" t="str">
        <f>HYPERLINK("https://stock.pstatic.net/stock-research/company/62/20260518_company_615763000.pdf","PDF")</f>
        <v>PDF</v>
      </c>
      <c r="K2428" s="12" t="s">
        <v>1273</v>
      </c>
      <c r="L2428" s="36">
        <v>0.25811688311688308</v>
      </c>
    </row>
    <row r="2429" spans="1:12" x14ac:dyDescent="0.45">
      <c r="A2429" s="12" t="s">
        <v>1245</v>
      </c>
      <c r="B2429" s="12" t="s">
        <v>1274</v>
      </c>
      <c r="C2429" s="13" t="s">
        <v>1275</v>
      </c>
      <c r="D2429" s="13" t="s">
        <v>60</v>
      </c>
      <c r="E2429" s="12" t="s">
        <v>35</v>
      </c>
      <c r="F2429" s="14">
        <v>219000</v>
      </c>
      <c r="G2429" s="14">
        <v>164500</v>
      </c>
      <c r="H2429" s="13" t="s">
        <v>1276</v>
      </c>
      <c r="I2429" s="40" t="s">
        <v>18</v>
      </c>
      <c r="J2429" s="40" t="str">
        <f>HYPERLINK("https://stock.pstatic.net/stock-research/company/62/20260518_company_938458000.pdf","PDF")</f>
        <v>PDF</v>
      </c>
      <c r="K2429" s="12" t="s">
        <v>1277</v>
      </c>
      <c r="L2429" s="36">
        <v>0.33130699088145898</v>
      </c>
    </row>
    <row r="2430" spans="1:12" x14ac:dyDescent="0.45">
      <c r="A2430" s="12" t="s">
        <v>1245</v>
      </c>
      <c r="B2430" s="12" t="s">
        <v>1278</v>
      </c>
      <c r="C2430" s="13" t="s">
        <v>1279</v>
      </c>
      <c r="D2430" s="13" t="s">
        <v>60</v>
      </c>
      <c r="E2430" s="12" t="s">
        <v>35</v>
      </c>
      <c r="F2430" s="14">
        <v>300000</v>
      </c>
      <c r="G2430" s="14">
        <v>258000</v>
      </c>
      <c r="H2430" s="13" t="s">
        <v>1280</v>
      </c>
      <c r="I2430" s="40" t="s">
        <v>18</v>
      </c>
      <c r="J2430" s="40" t="str">
        <f>HYPERLINK("https://stock.pstatic.net/stock-research/company/62/20260518_company_311745000.pdf","PDF")</f>
        <v>PDF</v>
      </c>
      <c r="K2430" s="12" t="s">
        <v>1281</v>
      </c>
      <c r="L2430" s="36">
        <v>0.16279069767441859</v>
      </c>
    </row>
    <row r="2431" spans="1:12" x14ac:dyDescent="0.45">
      <c r="A2431" s="12" t="s">
        <v>1245</v>
      </c>
      <c r="B2431" s="12" t="s">
        <v>1023</v>
      </c>
      <c r="C2431" s="13" t="s">
        <v>15</v>
      </c>
      <c r="D2431" s="13" t="s">
        <v>60</v>
      </c>
      <c r="E2431" s="12" t="s">
        <v>50</v>
      </c>
      <c r="F2431" s="14">
        <v>80000</v>
      </c>
      <c r="G2431" s="14">
        <v>69900</v>
      </c>
      <c r="H2431" s="13" t="s">
        <v>1282</v>
      </c>
      <c r="I2431" s="40" t="s">
        <v>18</v>
      </c>
      <c r="J2431" s="40" t="str">
        <f>HYPERLINK("https://stock.pstatic.net/stock-research/company/62/20260518_company_208787000.pdf","PDF")</f>
        <v>PDF</v>
      </c>
      <c r="K2431" s="12" t="s">
        <v>1283</v>
      </c>
      <c r="L2431" s="36">
        <v>0.1444921316165951</v>
      </c>
    </row>
    <row r="2432" spans="1:12" x14ac:dyDescent="0.45">
      <c r="A2432" s="12" t="s">
        <v>1245</v>
      </c>
      <c r="B2432" s="12" t="s">
        <v>1097</v>
      </c>
      <c r="C2432" s="13" t="s">
        <v>1098</v>
      </c>
      <c r="D2432" s="13" t="s">
        <v>60</v>
      </c>
      <c r="E2432" s="12" t="s">
        <v>35</v>
      </c>
      <c r="F2432" s="14">
        <v>176000</v>
      </c>
      <c r="G2432" s="14">
        <v>140700</v>
      </c>
      <c r="H2432" s="13" t="s">
        <v>1284</v>
      </c>
      <c r="I2432" s="40" t="s">
        <v>18</v>
      </c>
      <c r="J2432" s="40" t="str">
        <f>HYPERLINK("https://stock.pstatic.net/stock-research/company/62/20260518_company_960783000.pdf","PDF")</f>
        <v>PDF</v>
      </c>
      <c r="K2432" s="12" t="s">
        <v>1285</v>
      </c>
      <c r="L2432" s="36">
        <v>0.25088841506751952</v>
      </c>
    </row>
    <row r="2433" spans="1:12" x14ac:dyDescent="0.45">
      <c r="A2433" s="12" t="s">
        <v>1245</v>
      </c>
      <c r="B2433" s="12" t="s">
        <v>1286</v>
      </c>
      <c r="C2433" s="13" t="s">
        <v>1287</v>
      </c>
      <c r="D2433" s="13" t="s">
        <v>60</v>
      </c>
      <c r="E2433" s="12" t="s">
        <v>35</v>
      </c>
      <c r="F2433" s="14">
        <v>90000</v>
      </c>
      <c r="G2433" s="14">
        <v>71900</v>
      </c>
      <c r="H2433" s="13" t="s">
        <v>1288</v>
      </c>
      <c r="I2433" s="40" t="s">
        <v>18</v>
      </c>
      <c r="J2433" s="40" t="str">
        <f>HYPERLINK("https://stock.pstatic.net/stock-research/company/57/20260518_company_91760000.pdf","PDF")</f>
        <v>PDF</v>
      </c>
      <c r="K2433" s="12" t="s">
        <v>1289</v>
      </c>
      <c r="L2433" s="36">
        <v>0.2517385257301808</v>
      </c>
    </row>
    <row r="2434" spans="1:12" x14ac:dyDescent="0.45">
      <c r="A2434" s="12" t="s">
        <v>1245</v>
      </c>
      <c r="B2434" s="12" t="s">
        <v>1184</v>
      </c>
      <c r="C2434" s="13" t="s">
        <v>1185</v>
      </c>
      <c r="D2434" s="13" t="s">
        <v>60</v>
      </c>
      <c r="E2434" s="12" t="s">
        <v>35</v>
      </c>
      <c r="F2434" s="14">
        <v>36000</v>
      </c>
      <c r="G2434" s="14">
        <v>29450</v>
      </c>
      <c r="H2434" s="13" t="s">
        <v>1290</v>
      </c>
      <c r="I2434" s="40" t="s">
        <v>18</v>
      </c>
      <c r="J2434" s="40" t="str">
        <f>HYPERLINK("https://stock.pstatic.net/stock-research/company/62/20260518_company_319060000.pdf","PDF")</f>
        <v>PDF</v>
      </c>
      <c r="K2434" s="12" t="s">
        <v>1291</v>
      </c>
      <c r="L2434" s="36">
        <v>0.22241086587436329</v>
      </c>
    </row>
    <row r="2435" spans="1:12" x14ac:dyDescent="0.45">
      <c r="A2435" s="12" t="s">
        <v>1245</v>
      </c>
      <c r="B2435" s="12" t="s">
        <v>344</v>
      </c>
      <c r="C2435" s="13" t="s">
        <v>345</v>
      </c>
      <c r="D2435" s="13" t="s">
        <v>65</v>
      </c>
      <c r="E2435" s="12" t="s">
        <v>35</v>
      </c>
      <c r="F2435" s="14">
        <v>21000</v>
      </c>
      <c r="G2435" s="14">
        <v>13300</v>
      </c>
      <c r="H2435" s="13" t="s">
        <v>1292</v>
      </c>
      <c r="I2435" s="40" t="s">
        <v>18</v>
      </c>
      <c r="J2435" s="40" t="str">
        <f>HYPERLINK("https://stock.pstatic.net/stock-research/company/57/20260518_company_375201000.pdf","PDF")</f>
        <v>PDF</v>
      </c>
      <c r="K2435" s="12" t="s">
        <v>1293</v>
      </c>
      <c r="L2435" s="36">
        <v>0.57894736842105265</v>
      </c>
    </row>
    <row r="2436" spans="1:12" x14ac:dyDescent="0.45">
      <c r="A2436" s="12" t="s">
        <v>1245</v>
      </c>
      <c r="B2436" s="12" t="s">
        <v>661</v>
      </c>
      <c r="C2436" s="13" t="s">
        <v>662</v>
      </c>
      <c r="D2436" s="13" t="s">
        <v>65</v>
      </c>
      <c r="E2436" s="12" t="s">
        <v>35</v>
      </c>
      <c r="F2436" s="14">
        <v>20000</v>
      </c>
      <c r="G2436" s="14">
        <v>14860</v>
      </c>
      <c r="H2436" s="13" t="s">
        <v>1294</v>
      </c>
      <c r="I2436" s="40" t="s">
        <v>18</v>
      </c>
      <c r="J2436" s="40" t="str">
        <f>HYPERLINK("https://stock.pstatic.net/stock-research/company/57/20260518_company_410928000.pdf","PDF")</f>
        <v>PDF</v>
      </c>
      <c r="K2436" s="12" t="s">
        <v>1295</v>
      </c>
      <c r="L2436" s="36">
        <v>0.34589502018842527</v>
      </c>
    </row>
    <row r="2437" spans="1:12" x14ac:dyDescent="0.45">
      <c r="A2437" s="12" t="s">
        <v>1245</v>
      </c>
      <c r="B2437" s="12" t="s">
        <v>1128</v>
      </c>
      <c r="C2437" s="13" t="s">
        <v>1129</v>
      </c>
      <c r="D2437" s="13" t="s">
        <v>65</v>
      </c>
      <c r="E2437" s="12" t="s">
        <v>35</v>
      </c>
      <c r="F2437" s="14">
        <v>180000</v>
      </c>
      <c r="G2437" s="14">
        <v>128000</v>
      </c>
      <c r="H2437" s="13" t="s">
        <v>1296</v>
      </c>
      <c r="I2437" s="40" t="s">
        <v>18</v>
      </c>
      <c r="J2437" s="40" t="str">
        <f>HYPERLINK("https://stock.pstatic.net/stock-research/company/57/20260518_company_675576000.pdf","PDF")</f>
        <v>PDF</v>
      </c>
      <c r="K2437" s="12" t="s">
        <v>1297</v>
      </c>
      <c r="L2437" s="36">
        <v>0.40625</v>
      </c>
    </row>
    <row r="2438" spans="1:12" x14ac:dyDescent="0.45">
      <c r="A2438" s="12" t="s">
        <v>1245</v>
      </c>
      <c r="B2438" s="12" t="s">
        <v>698</v>
      </c>
      <c r="C2438" s="13" t="s">
        <v>699</v>
      </c>
      <c r="D2438" s="13" t="s">
        <v>65</v>
      </c>
      <c r="E2438" s="12" t="s">
        <v>35</v>
      </c>
      <c r="F2438" s="14">
        <v>560000</v>
      </c>
      <c r="G2438" s="14">
        <v>503000</v>
      </c>
      <c r="H2438" s="13" t="s">
        <v>1298</v>
      </c>
      <c r="I2438" s="40" t="s">
        <v>18</v>
      </c>
      <c r="J2438" s="40" t="str">
        <f>HYPERLINK("https://stock.pstatic.net/stock-research/company/57/20260518_company_242499000.pdf","PDF")</f>
        <v>PDF</v>
      </c>
      <c r="K2438" s="12" t="s">
        <v>1299</v>
      </c>
      <c r="L2438" s="36">
        <v>0.1133200795228628</v>
      </c>
    </row>
    <row r="2439" spans="1:12" x14ac:dyDescent="0.45">
      <c r="A2439" s="12" t="s">
        <v>1245</v>
      </c>
      <c r="B2439" s="12" t="s">
        <v>1300</v>
      </c>
      <c r="C2439" s="13" t="s">
        <v>1301</v>
      </c>
      <c r="D2439" s="13" t="s">
        <v>65</v>
      </c>
      <c r="E2439" s="12" t="s">
        <v>35</v>
      </c>
      <c r="F2439" s="14">
        <v>200000</v>
      </c>
      <c r="G2439" s="14">
        <v>159400</v>
      </c>
      <c r="H2439" s="13" t="s">
        <v>1302</v>
      </c>
      <c r="I2439" s="40" t="s">
        <v>18</v>
      </c>
      <c r="J2439" s="40" t="str">
        <f>HYPERLINK("https://stock.pstatic.net/stock-research/company/57/20260518_company_666609000.pdf","PDF")</f>
        <v>PDF</v>
      </c>
      <c r="K2439" s="12" t="s">
        <v>1303</v>
      </c>
      <c r="L2439" s="36">
        <v>0.25470514429109159</v>
      </c>
    </row>
    <row r="2440" spans="1:12" x14ac:dyDescent="0.45">
      <c r="A2440" s="12" t="s">
        <v>1245</v>
      </c>
      <c r="B2440" s="12" t="s">
        <v>1286</v>
      </c>
      <c r="C2440" s="13" t="s">
        <v>1287</v>
      </c>
      <c r="D2440" s="13" t="s">
        <v>65</v>
      </c>
      <c r="E2440" s="12" t="s">
        <v>35</v>
      </c>
      <c r="F2440" s="14">
        <v>85000</v>
      </c>
      <c r="G2440" s="14">
        <v>71900</v>
      </c>
      <c r="H2440" s="13" t="s">
        <v>1304</v>
      </c>
      <c r="I2440" s="40" t="s">
        <v>18</v>
      </c>
      <c r="J2440" s="40" t="str">
        <f>HYPERLINK("https://stock.pstatic.net/stock-research/company/57/20260518_company_660244000.pdf","PDF")</f>
        <v>PDF</v>
      </c>
      <c r="K2440" s="12" t="s">
        <v>1305</v>
      </c>
      <c r="L2440" s="36">
        <v>0.1821974965229485</v>
      </c>
    </row>
    <row r="2441" spans="1:12" x14ac:dyDescent="0.45">
      <c r="A2441" s="12" t="s">
        <v>1245</v>
      </c>
      <c r="B2441" s="12" t="s">
        <v>1162</v>
      </c>
      <c r="C2441" s="13" t="s">
        <v>1163</v>
      </c>
      <c r="D2441" s="13" t="s">
        <v>65</v>
      </c>
      <c r="E2441" s="12" t="s">
        <v>35</v>
      </c>
      <c r="F2441" s="14">
        <v>240000</v>
      </c>
      <c r="G2441" s="14">
        <v>217000</v>
      </c>
      <c r="H2441" s="13" t="s">
        <v>1306</v>
      </c>
      <c r="I2441" s="40" t="s">
        <v>18</v>
      </c>
      <c r="J2441" s="40" t="str">
        <f>HYPERLINK("https://stock.pstatic.net/stock-research/company/57/20260518_company_278970000.pdf","PDF")</f>
        <v>PDF</v>
      </c>
      <c r="K2441" s="12" t="s">
        <v>1307</v>
      </c>
      <c r="L2441" s="36">
        <v>0.10599078341013821</v>
      </c>
    </row>
    <row r="2442" spans="1:12" x14ac:dyDescent="0.45">
      <c r="A2442" s="12" t="s">
        <v>1245</v>
      </c>
      <c r="B2442" s="12" t="s">
        <v>1308</v>
      </c>
      <c r="C2442" s="13" t="s">
        <v>1309</v>
      </c>
      <c r="D2442" s="13" t="s">
        <v>65</v>
      </c>
      <c r="E2442" s="12" t="s">
        <v>35</v>
      </c>
      <c r="F2442" s="14">
        <v>540000</v>
      </c>
      <c r="G2442" s="14">
        <v>399000</v>
      </c>
      <c r="H2442" s="13" t="s">
        <v>1310</v>
      </c>
      <c r="I2442" s="40" t="s">
        <v>18</v>
      </c>
      <c r="J2442" s="40" t="str">
        <f>HYPERLINK("https://stock.pstatic.net/stock-research/company/57/20260518_company_383091000.pdf","PDF")</f>
        <v>PDF</v>
      </c>
      <c r="K2442" s="12" t="s">
        <v>1311</v>
      </c>
      <c r="L2442" s="36">
        <v>0.35338345864661652</v>
      </c>
    </row>
    <row r="2443" spans="1:12" x14ac:dyDescent="0.45">
      <c r="A2443" s="12" t="s">
        <v>1245</v>
      </c>
      <c r="B2443" s="12" t="s">
        <v>957</v>
      </c>
      <c r="C2443" s="13" t="s">
        <v>958</v>
      </c>
      <c r="D2443" s="13" t="s">
        <v>65</v>
      </c>
      <c r="E2443" s="12" t="s">
        <v>35</v>
      </c>
      <c r="F2443" s="14">
        <v>365000</v>
      </c>
      <c r="G2443" s="14">
        <v>290000</v>
      </c>
      <c r="H2443" s="13" t="s">
        <v>1312</v>
      </c>
      <c r="I2443" s="40" t="s">
        <v>18</v>
      </c>
      <c r="J2443" s="40" t="str">
        <f>HYPERLINK("https://stock.pstatic.net/stock-research/company/57/20260518_company_387796000.pdf","PDF")</f>
        <v>PDF</v>
      </c>
      <c r="K2443" s="12" t="s">
        <v>1313</v>
      </c>
      <c r="L2443" s="36">
        <v>0.25862068965517238</v>
      </c>
    </row>
    <row r="2444" spans="1:12" x14ac:dyDescent="0.45">
      <c r="A2444" s="12" t="s">
        <v>1245</v>
      </c>
      <c r="B2444" s="12" t="s">
        <v>1286</v>
      </c>
      <c r="C2444" s="13" t="s">
        <v>1287</v>
      </c>
      <c r="D2444" s="13" t="s">
        <v>57</v>
      </c>
      <c r="E2444" s="12" t="s">
        <v>35</v>
      </c>
      <c r="F2444" s="14">
        <v>89000</v>
      </c>
      <c r="G2444" s="14">
        <v>71900</v>
      </c>
      <c r="H2444" s="13" t="s">
        <v>1314</v>
      </c>
      <c r="I2444" s="40" t="s">
        <v>18</v>
      </c>
      <c r="J2444" s="40" t="str">
        <f>HYPERLINK("https://stock.pstatic.net/stock-research/company/16/20260518_company_26009000.pdf","PDF")</f>
        <v>PDF</v>
      </c>
      <c r="K2444" s="12" t="s">
        <v>1315</v>
      </c>
      <c r="L2444" s="36">
        <v>0.23783031988873429</v>
      </c>
    </row>
    <row r="2445" spans="1:12" x14ac:dyDescent="0.45">
      <c r="A2445" s="12" t="s">
        <v>1245</v>
      </c>
      <c r="B2445" s="12" t="s">
        <v>366</v>
      </c>
      <c r="C2445" s="13" t="s">
        <v>367</v>
      </c>
      <c r="D2445" s="13" t="s">
        <v>57</v>
      </c>
      <c r="E2445" s="12" t="s">
        <v>35</v>
      </c>
      <c r="F2445" s="14">
        <v>37000</v>
      </c>
      <c r="G2445" s="14">
        <v>26950</v>
      </c>
      <c r="H2445" s="13" t="s">
        <v>1316</v>
      </c>
      <c r="I2445" s="40" t="s">
        <v>18</v>
      </c>
      <c r="J2445" s="40" t="str">
        <f>HYPERLINK("https://stock.pstatic.net/stock-research/company/16/20260518_company_280090000.pdf","PDF")</f>
        <v>PDF</v>
      </c>
      <c r="K2445" s="12" t="s">
        <v>1317</v>
      </c>
      <c r="L2445" s="36">
        <v>0.37291280148423012</v>
      </c>
    </row>
    <row r="2446" spans="1:12" x14ac:dyDescent="0.45">
      <c r="A2446" s="12" t="s">
        <v>1245</v>
      </c>
      <c r="B2446" s="12" t="s">
        <v>812</v>
      </c>
      <c r="C2446" s="13" t="s">
        <v>813</v>
      </c>
      <c r="D2446" s="13" t="s">
        <v>57</v>
      </c>
      <c r="E2446" s="12" t="s">
        <v>35</v>
      </c>
      <c r="F2446" s="14">
        <v>130000</v>
      </c>
      <c r="G2446" s="14">
        <v>89600</v>
      </c>
      <c r="H2446" s="13" t="s">
        <v>1318</v>
      </c>
      <c r="I2446" s="40" t="s">
        <v>18</v>
      </c>
      <c r="J2446" s="40" t="str">
        <f>HYPERLINK("https://stock.pstatic.net/stock-research/company/16/20260518_company_703814000.pdf","PDF")</f>
        <v>PDF</v>
      </c>
      <c r="K2446" s="12" t="s">
        <v>1319</v>
      </c>
      <c r="L2446" s="36">
        <v>0.45089285714285721</v>
      </c>
    </row>
    <row r="2447" spans="1:12" x14ac:dyDescent="0.45">
      <c r="A2447" s="12" t="s">
        <v>1245</v>
      </c>
      <c r="B2447" s="12" t="s">
        <v>824</v>
      </c>
      <c r="C2447" s="13" t="s">
        <v>825</v>
      </c>
      <c r="D2447" s="13" t="s">
        <v>57</v>
      </c>
      <c r="E2447" s="12" t="s">
        <v>35</v>
      </c>
      <c r="F2447" s="14">
        <v>68000</v>
      </c>
      <c r="G2447" s="14">
        <v>39200</v>
      </c>
      <c r="H2447" s="13" t="s">
        <v>1320</v>
      </c>
      <c r="I2447" s="40" t="s">
        <v>18</v>
      </c>
      <c r="J2447" s="40" t="str">
        <f>HYPERLINK("https://stock.pstatic.net/stock-research/company/16/20260518_company_347885000.pdf","PDF")</f>
        <v>PDF</v>
      </c>
      <c r="K2447" s="12" t="s">
        <v>1321</v>
      </c>
      <c r="L2447" s="36">
        <v>0.73469387755102045</v>
      </c>
    </row>
    <row r="2448" spans="1:12" x14ac:dyDescent="0.45">
      <c r="A2448" s="12" t="s">
        <v>1245</v>
      </c>
      <c r="B2448" s="12" t="s">
        <v>1322</v>
      </c>
      <c r="C2448" s="13" t="s">
        <v>1323</v>
      </c>
      <c r="D2448" s="13" t="s">
        <v>57</v>
      </c>
      <c r="E2448" s="12" t="s">
        <v>35</v>
      </c>
      <c r="F2448" s="14">
        <v>100000</v>
      </c>
      <c r="G2448" s="14">
        <v>64700</v>
      </c>
      <c r="H2448" s="13" t="s">
        <v>1324</v>
      </c>
      <c r="I2448" s="40" t="s">
        <v>18</v>
      </c>
      <c r="J2448" s="40" t="str">
        <f>HYPERLINK("https://stock.pstatic.net/stock-research/company/16/20260518_company_783739000.pdf","PDF")</f>
        <v>PDF</v>
      </c>
      <c r="K2448" s="12" t="s">
        <v>1325</v>
      </c>
      <c r="L2448" s="36">
        <v>0.54559505409582687</v>
      </c>
    </row>
    <row r="2449" spans="1:12" x14ac:dyDescent="0.45">
      <c r="A2449" s="12" t="s">
        <v>1245</v>
      </c>
      <c r="B2449" s="12" t="s">
        <v>698</v>
      </c>
      <c r="C2449" s="13" t="s">
        <v>699</v>
      </c>
      <c r="D2449" s="13" t="s">
        <v>57</v>
      </c>
      <c r="E2449" s="12" t="s">
        <v>35</v>
      </c>
      <c r="F2449" s="14">
        <v>810000</v>
      </c>
      <c r="G2449" s="14">
        <v>503000</v>
      </c>
      <c r="H2449" s="13" t="s">
        <v>1326</v>
      </c>
      <c r="I2449" s="40" t="s">
        <v>18</v>
      </c>
      <c r="J2449" s="40" t="str">
        <f>HYPERLINK("https://stock.pstatic.net/stock-research/company/16/20260518_company_183020000.pdf","PDF")</f>
        <v>PDF</v>
      </c>
      <c r="K2449" s="12" t="s">
        <v>1327</v>
      </c>
      <c r="L2449" s="36">
        <v>0.61033797216699803</v>
      </c>
    </row>
    <row r="2450" spans="1:12" x14ac:dyDescent="0.45">
      <c r="A2450" s="12" t="s">
        <v>1245</v>
      </c>
      <c r="B2450" s="12" t="s">
        <v>1328</v>
      </c>
      <c r="C2450" s="13" t="s">
        <v>1329</v>
      </c>
      <c r="D2450" s="13" t="s">
        <v>57</v>
      </c>
      <c r="E2450" s="12" t="s">
        <v>35</v>
      </c>
      <c r="F2450" s="14">
        <v>19000</v>
      </c>
      <c r="G2450" s="14">
        <v>13130</v>
      </c>
      <c r="H2450" s="13" t="s">
        <v>1330</v>
      </c>
      <c r="I2450" s="40" t="s">
        <v>18</v>
      </c>
      <c r="J2450" s="40" t="str">
        <f>HYPERLINK("https://stock.pstatic.net/stock-research/company/16/20260518_company_539134000.pdf","PDF")</f>
        <v>PDF</v>
      </c>
      <c r="K2450" s="12" t="s">
        <v>1331</v>
      </c>
      <c r="L2450" s="36">
        <v>0.44706778370144712</v>
      </c>
    </row>
    <row r="2451" spans="1:12" x14ac:dyDescent="0.45">
      <c r="A2451" s="12" t="s">
        <v>1245</v>
      </c>
      <c r="B2451" s="12" t="s">
        <v>1300</v>
      </c>
      <c r="C2451" s="13" t="s">
        <v>1301</v>
      </c>
      <c r="D2451" s="13" t="s">
        <v>57</v>
      </c>
      <c r="E2451" s="12" t="s">
        <v>35</v>
      </c>
      <c r="F2451" s="14">
        <v>207000</v>
      </c>
      <c r="G2451" s="14">
        <v>159400</v>
      </c>
      <c r="H2451" s="13" t="s">
        <v>1332</v>
      </c>
      <c r="I2451" s="40" t="s">
        <v>18</v>
      </c>
      <c r="J2451" s="40" t="str">
        <f>HYPERLINK("https://stock.pstatic.net/stock-research/company/16/20260518_company_716867000.pdf","PDF")</f>
        <v>PDF</v>
      </c>
      <c r="K2451" s="12" t="s">
        <v>1333</v>
      </c>
      <c r="L2451" s="36">
        <v>0.29861982434127982</v>
      </c>
    </row>
    <row r="2452" spans="1:12" x14ac:dyDescent="0.45">
      <c r="A2452" s="12" t="s">
        <v>1245</v>
      </c>
      <c r="B2452" s="12" t="s">
        <v>21</v>
      </c>
      <c r="C2452" s="13" t="s">
        <v>22</v>
      </c>
      <c r="D2452" s="13" t="s">
        <v>57</v>
      </c>
      <c r="E2452" s="12" t="s">
        <v>35</v>
      </c>
      <c r="F2452" s="14">
        <v>43000</v>
      </c>
      <c r="G2452" s="14">
        <v>33350</v>
      </c>
      <c r="H2452" s="13" t="s">
        <v>1334</v>
      </c>
      <c r="I2452" s="40" t="s">
        <v>18</v>
      </c>
      <c r="J2452" s="40" t="str">
        <f>HYPERLINK("https://stock.pstatic.net/stock-research/company/16/20260518_company_908964000.pdf","PDF")</f>
        <v>PDF</v>
      </c>
      <c r="K2452" s="12" t="s">
        <v>1335</v>
      </c>
      <c r="L2452" s="36">
        <v>0.2893553223388306</v>
      </c>
    </row>
    <row r="2453" spans="1:12" x14ac:dyDescent="0.45">
      <c r="A2453" s="12" t="s">
        <v>1245</v>
      </c>
      <c r="B2453" s="12" t="s">
        <v>1308</v>
      </c>
      <c r="C2453" s="13" t="s">
        <v>1309</v>
      </c>
      <c r="D2453" s="13" t="s">
        <v>57</v>
      </c>
      <c r="E2453" s="12" t="s">
        <v>35</v>
      </c>
      <c r="F2453" s="14">
        <v>550000</v>
      </c>
      <c r="G2453" s="14">
        <v>389500</v>
      </c>
      <c r="H2453" s="13" t="s">
        <v>1336</v>
      </c>
      <c r="I2453" s="40" t="s">
        <v>18</v>
      </c>
      <c r="J2453" s="40" t="str">
        <f>HYPERLINK("https://stock.pstatic.net/stock-research/company/16/20260518_company_12840000.pdf","PDF")</f>
        <v>PDF</v>
      </c>
      <c r="K2453" s="12" t="s">
        <v>1337</v>
      </c>
      <c r="L2453" s="36">
        <v>0.41206675224646983</v>
      </c>
    </row>
    <row r="2454" spans="1:12" x14ac:dyDescent="0.45">
      <c r="A2454" s="12" t="s">
        <v>1245</v>
      </c>
      <c r="B2454" s="12" t="s">
        <v>1274</v>
      </c>
      <c r="C2454" s="13" t="s">
        <v>1275</v>
      </c>
      <c r="D2454" s="13" t="s">
        <v>57</v>
      </c>
      <c r="E2454" s="12" t="s">
        <v>35</v>
      </c>
      <c r="F2454" s="14">
        <v>256000</v>
      </c>
      <c r="G2454" s="14">
        <v>173000</v>
      </c>
      <c r="H2454" s="13" t="s">
        <v>1338</v>
      </c>
      <c r="I2454" s="40" t="s">
        <v>18</v>
      </c>
      <c r="J2454" s="40" t="str">
        <f>HYPERLINK("https://stock.pstatic.net/stock-research/company/16/20260518_company_104277000.pdf","PDF")</f>
        <v>PDF</v>
      </c>
      <c r="K2454" s="12" t="s">
        <v>1339</v>
      </c>
      <c r="L2454" s="36">
        <v>0.47976878612716761</v>
      </c>
    </row>
    <row r="2455" spans="1:12" x14ac:dyDescent="0.45">
      <c r="A2455" s="12" t="s">
        <v>1245</v>
      </c>
      <c r="B2455" s="12" t="s">
        <v>1128</v>
      </c>
      <c r="C2455" s="13" t="s">
        <v>1129</v>
      </c>
      <c r="D2455" s="13" t="s">
        <v>158</v>
      </c>
      <c r="E2455" s="12" t="s">
        <v>35</v>
      </c>
      <c r="F2455" s="14">
        <v>180000</v>
      </c>
      <c r="G2455" s="14">
        <v>128000</v>
      </c>
      <c r="H2455" s="13" t="s">
        <v>1340</v>
      </c>
      <c r="I2455" s="40" t="s">
        <v>18</v>
      </c>
      <c r="J2455" s="40" t="str">
        <f>HYPERLINK("https://stock.pstatic.net/stock-research/company/18/20260518_company_574225000.pdf","PDF")</f>
        <v>PDF</v>
      </c>
      <c r="K2455" s="12" t="s">
        <v>1341</v>
      </c>
      <c r="L2455" s="36">
        <v>0.40625</v>
      </c>
    </row>
    <row r="2456" spans="1:12" x14ac:dyDescent="0.45">
      <c r="A2456" s="12" t="s">
        <v>1245</v>
      </c>
      <c r="B2456" s="12" t="s">
        <v>740</v>
      </c>
      <c r="C2456" s="13" t="s">
        <v>741</v>
      </c>
      <c r="D2456" s="13" t="s">
        <v>158</v>
      </c>
      <c r="E2456" s="12" t="s">
        <v>35</v>
      </c>
      <c r="F2456" s="14">
        <v>850000</v>
      </c>
      <c r="G2456" s="14">
        <v>732000</v>
      </c>
      <c r="H2456" s="13" t="s">
        <v>1342</v>
      </c>
      <c r="I2456" s="40" t="s">
        <v>18</v>
      </c>
      <c r="J2456" s="40" t="str">
        <f>HYPERLINK("https://stock.pstatic.net/stock-research/company/18/20260518_company_571928000.pdf","PDF")</f>
        <v>PDF</v>
      </c>
      <c r="K2456" s="12" t="s">
        <v>1343</v>
      </c>
      <c r="L2456" s="36">
        <v>0.16120218579234971</v>
      </c>
    </row>
    <row r="2457" spans="1:12" x14ac:dyDescent="0.45">
      <c r="A2457" s="12" t="s">
        <v>1245</v>
      </c>
      <c r="B2457" s="12" t="s">
        <v>1344</v>
      </c>
      <c r="C2457" s="13" t="s">
        <v>1345</v>
      </c>
      <c r="D2457" s="13" t="s">
        <v>158</v>
      </c>
      <c r="E2457" s="12" t="s">
        <v>35</v>
      </c>
      <c r="F2457" s="14">
        <v>150000</v>
      </c>
      <c r="G2457" s="14">
        <v>119100</v>
      </c>
      <c r="H2457" s="13" t="s">
        <v>1346</v>
      </c>
      <c r="I2457" s="40" t="s">
        <v>18</v>
      </c>
      <c r="J2457" s="40" t="str">
        <f>HYPERLINK("https://stock.pstatic.net/stock-research/company/18/20260518_company_924872000.pdf","PDF")</f>
        <v>PDF</v>
      </c>
      <c r="K2457" s="12" t="s">
        <v>1347</v>
      </c>
      <c r="L2457" s="36">
        <v>0.25944584382871538</v>
      </c>
    </row>
    <row r="2458" spans="1:12" x14ac:dyDescent="0.45">
      <c r="A2458" s="12" t="s">
        <v>1245</v>
      </c>
      <c r="B2458" s="12" t="s">
        <v>1308</v>
      </c>
      <c r="C2458" s="13" t="s">
        <v>1309</v>
      </c>
      <c r="D2458" s="13" t="s">
        <v>158</v>
      </c>
      <c r="E2458" s="12" t="s">
        <v>35</v>
      </c>
      <c r="F2458" s="14">
        <v>530000</v>
      </c>
      <c r="G2458" s="14">
        <v>397000</v>
      </c>
      <c r="H2458" s="13" t="s">
        <v>1348</v>
      </c>
      <c r="I2458" s="40" t="s">
        <v>18</v>
      </c>
      <c r="J2458" s="40" t="str">
        <f>HYPERLINK("https://stock.pstatic.net/stock-research/company/18/20260518_company_606344000.pdf","PDF")</f>
        <v>PDF</v>
      </c>
      <c r="K2458" s="12" t="s">
        <v>1349</v>
      </c>
      <c r="L2458" s="36">
        <v>0.33501259445843828</v>
      </c>
    </row>
    <row r="2459" spans="1:12" x14ac:dyDescent="0.45">
      <c r="A2459" s="12" t="s">
        <v>1245</v>
      </c>
      <c r="B2459" s="12" t="s">
        <v>1350</v>
      </c>
      <c r="C2459" s="13" t="s">
        <v>1351</v>
      </c>
      <c r="D2459" s="13" t="s">
        <v>158</v>
      </c>
      <c r="E2459" s="12" t="s">
        <v>35</v>
      </c>
      <c r="F2459" s="14">
        <v>49000</v>
      </c>
      <c r="G2459" s="14">
        <v>26900</v>
      </c>
      <c r="H2459" s="13" t="s">
        <v>1352</v>
      </c>
      <c r="I2459" s="40" t="s">
        <v>18</v>
      </c>
      <c r="J2459" s="40" t="str">
        <f>HYPERLINK("https://stock.pstatic.net/stock-research/company/18/20260518_company_626525000.pdf","PDF")</f>
        <v>PDF</v>
      </c>
      <c r="K2459" s="12" t="s">
        <v>1353</v>
      </c>
      <c r="L2459" s="36">
        <v>0.82156133828996281</v>
      </c>
    </row>
    <row r="2460" spans="1:12" x14ac:dyDescent="0.45">
      <c r="A2460" s="12" t="s">
        <v>1245</v>
      </c>
      <c r="B2460" s="12" t="s">
        <v>824</v>
      </c>
      <c r="C2460" s="13" t="s">
        <v>825</v>
      </c>
      <c r="D2460" s="13" t="s">
        <v>92</v>
      </c>
      <c r="E2460" s="12" t="s">
        <v>35</v>
      </c>
      <c r="F2460" s="14">
        <v>55000</v>
      </c>
      <c r="G2460" s="14">
        <v>39200</v>
      </c>
      <c r="H2460" s="13" t="s">
        <v>1354</v>
      </c>
      <c r="I2460" s="40" t="s">
        <v>18</v>
      </c>
      <c r="J2460" s="40" t="str">
        <f>HYPERLINK("https://stock.pstatic.net/stock-research/company/63/20260518_company_817486000.pdf","PDF")</f>
        <v>PDF</v>
      </c>
      <c r="K2460" s="12" t="s">
        <v>1355</v>
      </c>
      <c r="L2460" s="36">
        <v>0.40306122448979592</v>
      </c>
    </row>
    <row r="2461" spans="1:12" x14ac:dyDescent="0.45">
      <c r="A2461" s="12" t="s">
        <v>1245</v>
      </c>
      <c r="B2461" s="12" t="s">
        <v>1356</v>
      </c>
      <c r="C2461" s="13" t="s">
        <v>1357</v>
      </c>
      <c r="D2461" s="13" t="s">
        <v>15</v>
      </c>
      <c r="E2461" s="12" t="s">
        <v>50</v>
      </c>
      <c r="F2461" s="13"/>
      <c r="G2461" s="14">
        <v>16960</v>
      </c>
      <c r="H2461" s="13" t="s">
        <v>1358</v>
      </c>
      <c r="I2461" s="40" t="s">
        <v>18</v>
      </c>
      <c r="J2461" s="40" t="str">
        <f>HYPERLINK("https://stock.pstatic.net/stock-research/company/56/20260518_company_749794000.pdf","PDF")</f>
        <v>PDF</v>
      </c>
      <c r="K2461" s="12" t="s">
        <v>1359</v>
      </c>
      <c r="L2461" s="12"/>
    </row>
    <row r="2462" spans="1:12" x14ac:dyDescent="0.45">
      <c r="A2462" s="12" t="s">
        <v>1245</v>
      </c>
      <c r="B2462" s="12" t="s">
        <v>1233</v>
      </c>
      <c r="C2462" s="13" t="s">
        <v>1234</v>
      </c>
      <c r="D2462" s="13" t="s">
        <v>124</v>
      </c>
      <c r="E2462" s="12" t="s">
        <v>50</v>
      </c>
      <c r="F2462" s="13"/>
      <c r="G2462" s="13"/>
      <c r="H2462" s="13" t="s">
        <v>1360</v>
      </c>
      <c r="I2462" s="40" t="s">
        <v>18</v>
      </c>
      <c r="J2462" s="40" t="str">
        <f>HYPERLINK("https://stock.pstatic.net/stock-research/company/74/20260518_company_164913000.pdf","PDF")</f>
        <v>PDF</v>
      </c>
      <c r="K2462" s="12" t="s">
        <v>1361</v>
      </c>
      <c r="L2462" s="12"/>
    </row>
    <row r="2463" spans="1:12" x14ac:dyDescent="0.45">
      <c r="A2463" s="12" t="s">
        <v>1245</v>
      </c>
      <c r="B2463" s="12" t="s">
        <v>824</v>
      </c>
      <c r="C2463" s="13" t="s">
        <v>825</v>
      </c>
      <c r="D2463" s="13" t="s">
        <v>15</v>
      </c>
      <c r="E2463" s="12" t="s">
        <v>16</v>
      </c>
      <c r="F2463" s="14">
        <v>60000</v>
      </c>
      <c r="G2463" s="14">
        <v>39200</v>
      </c>
      <c r="H2463" s="13" t="s">
        <v>1362</v>
      </c>
      <c r="I2463" s="40" t="s">
        <v>18</v>
      </c>
      <c r="J2463" s="40" t="str">
        <f>HYPERLINK("https://stock.pstatic.net/stock-research/company/56/20260518_company_287585000.pdf","PDF")</f>
        <v>PDF</v>
      </c>
      <c r="K2463" s="12" t="s">
        <v>1363</v>
      </c>
      <c r="L2463" s="36">
        <v>0.53061224489795922</v>
      </c>
    </row>
    <row r="2464" spans="1:12" x14ac:dyDescent="0.45">
      <c r="A2464" s="12" t="s">
        <v>1245</v>
      </c>
      <c r="B2464" s="12" t="s">
        <v>677</v>
      </c>
      <c r="C2464" s="13" t="s">
        <v>678</v>
      </c>
      <c r="D2464" s="13" t="s">
        <v>15</v>
      </c>
      <c r="E2464" s="12" t="s">
        <v>16</v>
      </c>
      <c r="F2464" s="14">
        <v>13000</v>
      </c>
      <c r="G2464" s="14">
        <v>10650</v>
      </c>
      <c r="H2464" s="13" t="s">
        <v>1364</v>
      </c>
      <c r="I2464" s="40" t="s">
        <v>18</v>
      </c>
      <c r="J2464" s="40" t="str">
        <f>HYPERLINK("https://stock.pstatic.net/stock-research/company/56/20260518_company_653016000.pdf","PDF")</f>
        <v>PDF</v>
      </c>
      <c r="K2464" s="12" t="s">
        <v>1365</v>
      </c>
      <c r="L2464" s="36">
        <v>0.22065727699530521</v>
      </c>
    </row>
    <row r="2465" spans="1:12" x14ac:dyDescent="0.45">
      <c r="A2465" s="12" t="s">
        <v>1245</v>
      </c>
      <c r="B2465" s="12" t="s">
        <v>21</v>
      </c>
      <c r="C2465" s="13" t="s">
        <v>22</v>
      </c>
      <c r="D2465" s="13" t="s">
        <v>15</v>
      </c>
      <c r="E2465" s="12" t="s">
        <v>385</v>
      </c>
      <c r="F2465" s="14">
        <v>32000</v>
      </c>
      <c r="G2465" s="14">
        <v>33350</v>
      </c>
      <c r="H2465" s="13" t="s">
        <v>1366</v>
      </c>
      <c r="I2465" s="40" t="s">
        <v>18</v>
      </c>
      <c r="J2465" s="40" t="str">
        <f>HYPERLINK("https://stock.pstatic.net/stock-research/company/56/20260518_company_13289000.pdf","PDF")</f>
        <v>PDF</v>
      </c>
      <c r="K2465" s="12" t="s">
        <v>1367</v>
      </c>
      <c r="L2465" s="36">
        <v>-4.0479760119940027E-2</v>
      </c>
    </row>
    <row r="2466" spans="1:12" x14ac:dyDescent="0.45">
      <c r="A2466" s="12" t="s">
        <v>1245</v>
      </c>
      <c r="B2466" s="12" t="s">
        <v>1328</v>
      </c>
      <c r="C2466" s="13" t="s">
        <v>1329</v>
      </c>
      <c r="D2466" s="13" t="s">
        <v>15</v>
      </c>
      <c r="E2466" s="12" t="s">
        <v>385</v>
      </c>
      <c r="F2466" s="14">
        <v>14000</v>
      </c>
      <c r="G2466" s="14">
        <v>13130</v>
      </c>
      <c r="H2466" s="13" t="s">
        <v>1368</v>
      </c>
      <c r="I2466" s="40" t="s">
        <v>18</v>
      </c>
      <c r="J2466" s="40" t="str">
        <f>HYPERLINK("https://stock.pstatic.net/stock-research/company/56/20260518_company_650455000.pdf","PDF")</f>
        <v>PDF</v>
      </c>
      <c r="K2466" s="12" t="s">
        <v>1369</v>
      </c>
      <c r="L2466" s="36">
        <v>6.6260472201066262E-2</v>
      </c>
    </row>
    <row r="2467" spans="1:12" x14ac:dyDescent="0.45">
      <c r="A2467" s="12" t="s">
        <v>1245</v>
      </c>
      <c r="B2467" s="12" t="s">
        <v>812</v>
      </c>
      <c r="C2467" s="13" t="s">
        <v>813</v>
      </c>
      <c r="D2467" s="13" t="s">
        <v>15</v>
      </c>
      <c r="E2467" s="12" t="s">
        <v>16</v>
      </c>
      <c r="F2467" s="14">
        <v>130000</v>
      </c>
      <c r="G2467" s="14">
        <v>89600</v>
      </c>
      <c r="H2467" s="13" t="s">
        <v>1370</v>
      </c>
      <c r="I2467" s="40" t="s">
        <v>18</v>
      </c>
      <c r="J2467" s="40" t="str">
        <f>HYPERLINK("https://stock.pstatic.net/stock-research/company/56/20260518_company_246862000.pdf","PDF")</f>
        <v>PDF</v>
      </c>
      <c r="K2467" s="12" t="s">
        <v>1371</v>
      </c>
      <c r="L2467" s="36">
        <v>0.45089285714285721</v>
      </c>
    </row>
    <row r="2468" spans="1:12" x14ac:dyDescent="0.45">
      <c r="A2468" s="12" t="s">
        <v>1245</v>
      </c>
      <c r="B2468" s="12" t="s">
        <v>334</v>
      </c>
      <c r="C2468" s="13" t="s">
        <v>335</v>
      </c>
      <c r="D2468" s="13" t="s">
        <v>15</v>
      </c>
      <c r="E2468" s="12" t="s">
        <v>16</v>
      </c>
      <c r="F2468" s="14">
        <v>3200000</v>
      </c>
      <c r="G2468" s="14">
        <v>1819000</v>
      </c>
      <c r="H2468" s="13" t="s">
        <v>1372</v>
      </c>
      <c r="I2468" s="40" t="s">
        <v>18</v>
      </c>
      <c r="J2468" s="40" t="str">
        <f>HYPERLINK("https://stock.pstatic.net/stock-research/company/56/20260518_company_278596000.pdf","PDF")</f>
        <v>PDF</v>
      </c>
      <c r="K2468" s="12" t="s">
        <v>1373</v>
      </c>
      <c r="L2468" s="36">
        <v>0.75920835623969218</v>
      </c>
    </row>
    <row r="2469" spans="1:12" x14ac:dyDescent="0.45">
      <c r="A2469" s="12" t="s">
        <v>1245</v>
      </c>
      <c r="B2469" s="12" t="s">
        <v>1374</v>
      </c>
      <c r="C2469" s="13" t="s">
        <v>1375</v>
      </c>
      <c r="D2469" s="13" t="s">
        <v>53</v>
      </c>
      <c r="E2469" s="12" t="s">
        <v>50</v>
      </c>
      <c r="F2469" s="14">
        <v>53000</v>
      </c>
      <c r="G2469" s="14">
        <v>52000</v>
      </c>
      <c r="H2469" s="13" t="s">
        <v>188</v>
      </c>
      <c r="I2469" s="40" t="s">
        <v>18</v>
      </c>
      <c r="J2469" s="40" t="str">
        <f>HYPERLINK("https://stock.pstatic.net/stock-research/company/40/20260518_company_805171000.pdf","PDF")</f>
        <v>PDF</v>
      </c>
      <c r="K2469" s="12" t="s">
        <v>1376</v>
      </c>
      <c r="L2469" s="36">
        <v>1.9230769230769228E-2</v>
      </c>
    </row>
    <row r="2470" spans="1:12" x14ac:dyDescent="0.45">
      <c r="A2470" s="12" t="s">
        <v>1245</v>
      </c>
      <c r="B2470" s="12" t="s">
        <v>1377</v>
      </c>
      <c r="C2470" s="13" t="s">
        <v>1378</v>
      </c>
      <c r="D2470" s="13" t="s">
        <v>92</v>
      </c>
      <c r="E2470" s="12" t="s">
        <v>35</v>
      </c>
      <c r="F2470" s="14">
        <v>20000</v>
      </c>
      <c r="G2470" s="14">
        <v>11820</v>
      </c>
      <c r="H2470" s="13" t="s">
        <v>1379</v>
      </c>
      <c r="I2470" s="40" t="s">
        <v>18</v>
      </c>
      <c r="J2470" s="40" t="str">
        <f>HYPERLINK("https://stock.pstatic.net/stock-research/company/63/20260518_company_273232000.pdf","PDF")</f>
        <v>PDF</v>
      </c>
      <c r="K2470" s="12" t="s">
        <v>1380</v>
      </c>
      <c r="L2470" s="36">
        <v>0.69204737732656518</v>
      </c>
    </row>
    <row r="2471" spans="1:12" x14ac:dyDescent="0.45">
      <c r="A2471" s="12" t="s">
        <v>1245</v>
      </c>
      <c r="B2471" s="12" t="s">
        <v>1128</v>
      </c>
      <c r="C2471" s="13" t="s">
        <v>1129</v>
      </c>
      <c r="D2471" s="13" t="s">
        <v>179</v>
      </c>
      <c r="E2471" s="12" t="s">
        <v>16</v>
      </c>
      <c r="F2471" s="14">
        <v>180000</v>
      </c>
      <c r="G2471" s="14">
        <v>128000</v>
      </c>
      <c r="H2471" s="13" t="s">
        <v>1381</v>
      </c>
      <c r="I2471" s="40" t="s">
        <v>18</v>
      </c>
      <c r="J2471" s="40" t="str">
        <f>HYPERLINK("https://stock.pstatic.net/stock-research/company/64/20260518_company_2716000.pdf","PDF")</f>
        <v>PDF</v>
      </c>
      <c r="K2471" s="12" t="s">
        <v>1382</v>
      </c>
      <c r="L2471" s="36">
        <v>0.40625</v>
      </c>
    </row>
    <row r="2472" spans="1:12" x14ac:dyDescent="0.45">
      <c r="A2472" s="12" t="s">
        <v>1245</v>
      </c>
      <c r="B2472" s="12" t="s">
        <v>1383</v>
      </c>
      <c r="C2472" s="13" t="s">
        <v>1384</v>
      </c>
      <c r="D2472" s="13" t="s">
        <v>179</v>
      </c>
      <c r="E2472" s="12" t="s">
        <v>16</v>
      </c>
      <c r="F2472" s="14">
        <v>30000</v>
      </c>
      <c r="G2472" s="14">
        <v>23500</v>
      </c>
      <c r="H2472" s="13" t="s">
        <v>1385</v>
      </c>
      <c r="I2472" s="40" t="s">
        <v>18</v>
      </c>
      <c r="J2472" s="40" t="str">
        <f>HYPERLINK("https://stock.pstatic.net/stock-research/company/64/20260518_company_407778000.pdf","PDF")</f>
        <v>PDF</v>
      </c>
      <c r="K2472" s="12" t="s">
        <v>1386</v>
      </c>
      <c r="L2472" s="36">
        <v>0.27659574468085107</v>
      </c>
    </row>
    <row r="2473" spans="1:12" x14ac:dyDescent="0.45">
      <c r="A2473" s="12" t="s">
        <v>1245</v>
      </c>
      <c r="B2473" s="12" t="s">
        <v>677</v>
      </c>
      <c r="C2473" s="13" t="s">
        <v>678</v>
      </c>
      <c r="D2473" s="13" t="s">
        <v>179</v>
      </c>
      <c r="E2473" s="12" t="s">
        <v>16</v>
      </c>
      <c r="F2473" s="14">
        <v>13000</v>
      </c>
      <c r="G2473" s="14">
        <v>10650</v>
      </c>
      <c r="H2473" s="13" t="s">
        <v>1387</v>
      </c>
      <c r="I2473" s="40" t="s">
        <v>18</v>
      </c>
      <c r="J2473" s="40" t="str">
        <f>HYPERLINK("https://stock.pstatic.net/stock-research/company/64/20260518_company_275372000.pdf","PDF")</f>
        <v>PDF</v>
      </c>
      <c r="K2473" s="12" t="s">
        <v>1388</v>
      </c>
      <c r="L2473" s="36">
        <v>0.22065727699530521</v>
      </c>
    </row>
    <row r="2474" spans="1:12" x14ac:dyDescent="0.45">
      <c r="A2474" s="12" t="s">
        <v>1245</v>
      </c>
      <c r="B2474" s="12" t="s">
        <v>1389</v>
      </c>
      <c r="C2474" s="13" t="s">
        <v>1390</v>
      </c>
      <c r="D2474" s="13" t="s">
        <v>92</v>
      </c>
      <c r="E2474" s="12" t="s">
        <v>35</v>
      </c>
      <c r="F2474" s="14">
        <v>22000</v>
      </c>
      <c r="G2474" s="14">
        <v>14700</v>
      </c>
      <c r="H2474" s="13" t="s">
        <v>1391</v>
      </c>
      <c r="I2474" s="40" t="s">
        <v>18</v>
      </c>
      <c r="J2474" s="40" t="str">
        <f>HYPERLINK("https://stock.pstatic.net/stock-research/company/63/20260518_company_30026000.pdf","PDF")</f>
        <v>PDF</v>
      </c>
      <c r="K2474" s="12" t="s">
        <v>1392</v>
      </c>
      <c r="L2474" s="36">
        <v>0.49659863945578231</v>
      </c>
    </row>
    <row r="2475" spans="1:12" x14ac:dyDescent="0.45">
      <c r="A2475" s="12" t="s">
        <v>1245</v>
      </c>
      <c r="B2475" s="12" t="s">
        <v>812</v>
      </c>
      <c r="C2475" s="13" t="s">
        <v>813</v>
      </c>
      <c r="D2475" s="13" t="s">
        <v>179</v>
      </c>
      <c r="E2475" s="12" t="s">
        <v>16</v>
      </c>
      <c r="F2475" s="14">
        <v>110000</v>
      </c>
      <c r="G2475" s="14">
        <v>89600</v>
      </c>
      <c r="H2475" s="13" t="s">
        <v>1393</v>
      </c>
      <c r="I2475" s="40" t="s">
        <v>18</v>
      </c>
      <c r="J2475" s="40" t="str">
        <f>HYPERLINK("https://stock.pstatic.net/stock-research/company/64/20260518_company_650249000.pdf","PDF")</f>
        <v>PDF</v>
      </c>
      <c r="K2475" s="12" t="s">
        <v>1394</v>
      </c>
      <c r="L2475" s="36">
        <v>0.2276785714285714</v>
      </c>
    </row>
    <row r="2476" spans="1:12" x14ac:dyDescent="0.45">
      <c r="A2476" s="12" t="s">
        <v>1245</v>
      </c>
      <c r="B2476" s="12" t="s">
        <v>824</v>
      </c>
      <c r="C2476" s="13" t="s">
        <v>825</v>
      </c>
      <c r="D2476" s="13" t="s">
        <v>179</v>
      </c>
      <c r="E2476" s="12" t="s">
        <v>16</v>
      </c>
      <c r="F2476" s="14">
        <v>50000</v>
      </c>
      <c r="G2476" s="14">
        <v>39200</v>
      </c>
      <c r="H2476" s="13" t="s">
        <v>1395</v>
      </c>
      <c r="I2476" s="40" t="s">
        <v>18</v>
      </c>
      <c r="J2476" s="40" t="str">
        <f>HYPERLINK("https://stock.pstatic.net/stock-research/company/64/20260518_company_944035000.pdf","PDF")</f>
        <v>PDF</v>
      </c>
      <c r="K2476" s="12" t="s">
        <v>1396</v>
      </c>
      <c r="L2476" s="36">
        <v>0.27551020408163263</v>
      </c>
    </row>
    <row r="2477" spans="1:12" x14ac:dyDescent="0.45">
      <c r="A2477" s="12" t="s">
        <v>1245</v>
      </c>
      <c r="B2477" s="12" t="s">
        <v>414</v>
      </c>
      <c r="C2477" s="13" t="s">
        <v>415</v>
      </c>
      <c r="D2477" s="13" t="s">
        <v>92</v>
      </c>
      <c r="E2477" s="12" t="s">
        <v>50</v>
      </c>
      <c r="F2477" s="13"/>
      <c r="G2477" s="14">
        <v>14930</v>
      </c>
      <c r="H2477" s="13" t="s">
        <v>1397</v>
      </c>
      <c r="I2477" s="40" t="s">
        <v>18</v>
      </c>
      <c r="J2477" s="40" t="str">
        <f>HYPERLINK("https://stock.pstatic.net/stock-research/company/63/20260518_company_546715000.pdf","PDF")</f>
        <v>PDF</v>
      </c>
      <c r="K2477" s="12" t="s">
        <v>1398</v>
      </c>
      <c r="L2477" s="12"/>
    </row>
    <row r="2478" spans="1:12" x14ac:dyDescent="0.45">
      <c r="A2478" s="12" t="s">
        <v>1245</v>
      </c>
      <c r="B2478" s="12" t="s">
        <v>768</v>
      </c>
      <c r="C2478" s="13" t="s">
        <v>769</v>
      </c>
      <c r="D2478" s="13" t="s">
        <v>92</v>
      </c>
      <c r="E2478" s="12" t="s">
        <v>35</v>
      </c>
      <c r="F2478" s="14">
        <v>250000</v>
      </c>
      <c r="G2478" s="14">
        <v>185700</v>
      </c>
      <c r="H2478" s="13" t="s">
        <v>1399</v>
      </c>
      <c r="I2478" s="40" t="s">
        <v>18</v>
      </c>
      <c r="J2478" s="40" t="str">
        <f>HYPERLINK("https://stock.pstatic.net/stock-research/company/63/20260518_company_840073000.pdf","PDF")</f>
        <v>PDF</v>
      </c>
      <c r="K2478" s="12" t="s">
        <v>1400</v>
      </c>
      <c r="L2478" s="36">
        <v>0.34625740441572428</v>
      </c>
    </row>
    <row r="2479" spans="1:12" x14ac:dyDescent="0.45">
      <c r="A2479" s="12" t="s">
        <v>1245</v>
      </c>
      <c r="B2479" s="12" t="s">
        <v>1401</v>
      </c>
      <c r="C2479" s="13" t="s">
        <v>1402</v>
      </c>
      <c r="D2479" s="13" t="s">
        <v>92</v>
      </c>
      <c r="E2479" s="12" t="s">
        <v>50</v>
      </c>
      <c r="F2479" s="13"/>
      <c r="G2479" s="14">
        <v>11600</v>
      </c>
      <c r="H2479" s="13" t="s">
        <v>1403</v>
      </c>
      <c r="I2479" s="40" t="s">
        <v>18</v>
      </c>
      <c r="J2479" s="40" t="str">
        <f>HYPERLINK("https://stock.pstatic.net/stock-research/company/63/20260518_company_726107000.pdf","PDF")</f>
        <v>PDF</v>
      </c>
      <c r="K2479" s="12" t="s">
        <v>1404</v>
      </c>
      <c r="L2479" s="12"/>
    </row>
    <row r="2480" spans="1:12" x14ac:dyDescent="0.45">
      <c r="A2480" s="12" t="s">
        <v>1245</v>
      </c>
      <c r="B2480" s="12" t="s">
        <v>21</v>
      </c>
      <c r="C2480" s="13" t="s">
        <v>22</v>
      </c>
      <c r="D2480" s="13" t="s">
        <v>23</v>
      </c>
      <c r="E2480" s="12" t="s">
        <v>16</v>
      </c>
      <c r="F2480" s="14">
        <v>45000</v>
      </c>
      <c r="G2480" s="14">
        <v>33350</v>
      </c>
      <c r="H2480" s="13" t="s">
        <v>1405</v>
      </c>
      <c r="I2480" s="40" t="s">
        <v>18</v>
      </c>
      <c r="J2480" s="40" t="str">
        <f>HYPERLINK("https://stock.pstatic.net/stock-research/company/21/20260518_company_667437000.pdf","PDF")</f>
        <v>PDF</v>
      </c>
      <c r="K2480" s="12" t="s">
        <v>1406</v>
      </c>
      <c r="L2480" s="36">
        <v>0.34932533733133431</v>
      </c>
    </row>
    <row r="2481" spans="1:12" x14ac:dyDescent="0.45">
      <c r="A2481" s="12" t="s">
        <v>1245</v>
      </c>
      <c r="B2481" s="12" t="s">
        <v>1407</v>
      </c>
      <c r="C2481" s="13" t="s">
        <v>1408</v>
      </c>
      <c r="D2481" s="13" t="s">
        <v>92</v>
      </c>
      <c r="E2481" s="12" t="s">
        <v>35</v>
      </c>
      <c r="F2481" s="14">
        <v>200000</v>
      </c>
      <c r="G2481" s="14">
        <v>162000</v>
      </c>
      <c r="H2481" s="13" t="s">
        <v>1409</v>
      </c>
      <c r="I2481" s="40" t="s">
        <v>18</v>
      </c>
      <c r="J2481" s="40" t="str">
        <f>HYPERLINK("https://stock.pstatic.net/stock-research/company/63/20260518_company_675432000.pdf","PDF")</f>
        <v>PDF</v>
      </c>
      <c r="K2481" s="12" t="s">
        <v>1410</v>
      </c>
      <c r="L2481" s="36">
        <v>0.23456790123456789</v>
      </c>
    </row>
    <row r="2482" spans="1:12" x14ac:dyDescent="0.45">
      <c r="A2482" s="12" t="s">
        <v>1245</v>
      </c>
      <c r="B2482" s="12" t="s">
        <v>1274</v>
      </c>
      <c r="C2482" s="13" t="s">
        <v>1275</v>
      </c>
      <c r="D2482" s="13" t="s">
        <v>23</v>
      </c>
      <c r="E2482" s="12" t="s">
        <v>16</v>
      </c>
      <c r="F2482" s="14">
        <v>220000</v>
      </c>
      <c r="G2482" s="14">
        <v>164500</v>
      </c>
      <c r="H2482" s="13" t="s">
        <v>1411</v>
      </c>
      <c r="I2482" s="40" t="s">
        <v>18</v>
      </c>
      <c r="J2482" s="40" t="str">
        <f>HYPERLINK("https://stock.pstatic.net/stock-research/company/21/20260518_company_915738000.pdf","PDF")</f>
        <v>PDF</v>
      </c>
      <c r="K2482" s="12" t="s">
        <v>1412</v>
      </c>
      <c r="L2482" s="36">
        <v>0.33738601823708209</v>
      </c>
    </row>
    <row r="2483" spans="1:12" x14ac:dyDescent="0.45">
      <c r="A2483" s="12" t="s">
        <v>1245</v>
      </c>
      <c r="B2483" s="12" t="s">
        <v>90</v>
      </c>
      <c r="C2483" s="13" t="s">
        <v>91</v>
      </c>
      <c r="D2483" s="13" t="s">
        <v>92</v>
      </c>
      <c r="E2483" s="12" t="s">
        <v>35</v>
      </c>
      <c r="F2483" s="14">
        <v>70000</v>
      </c>
      <c r="G2483" s="14">
        <v>67000</v>
      </c>
      <c r="H2483" s="13" t="s">
        <v>1413</v>
      </c>
      <c r="I2483" s="40" t="s">
        <v>18</v>
      </c>
      <c r="J2483" s="40" t="str">
        <f>HYPERLINK("https://stock.pstatic.net/stock-research/company/63/20260518_company_710953000.pdf","PDF")</f>
        <v>PDF</v>
      </c>
      <c r="K2483" s="12" t="s">
        <v>1414</v>
      </c>
      <c r="L2483" s="36">
        <v>4.4776119402985072E-2</v>
      </c>
    </row>
    <row r="2484" spans="1:12" x14ac:dyDescent="0.45">
      <c r="A2484" s="12" t="s">
        <v>1245</v>
      </c>
      <c r="B2484" s="12" t="s">
        <v>1415</v>
      </c>
      <c r="C2484" s="13" t="s">
        <v>1416</v>
      </c>
      <c r="D2484" s="13" t="s">
        <v>34</v>
      </c>
      <c r="E2484" s="12" t="s">
        <v>35</v>
      </c>
      <c r="F2484" s="14">
        <v>11000</v>
      </c>
      <c r="G2484" s="14">
        <v>8720</v>
      </c>
      <c r="H2484" s="13" t="s">
        <v>1417</v>
      </c>
      <c r="I2484" s="40" t="s">
        <v>18</v>
      </c>
      <c r="J2484" s="40" t="str">
        <f>HYPERLINK("https://stock.pstatic.net/stock-research/company/61/20260518_company_160529000.pdf","PDF")</f>
        <v>PDF</v>
      </c>
      <c r="K2484" s="12" t="s">
        <v>1418</v>
      </c>
      <c r="L2484" s="36">
        <v>0.26146788990825692</v>
      </c>
    </row>
    <row r="2485" spans="1:12" x14ac:dyDescent="0.45">
      <c r="A2485" s="12" t="s">
        <v>1245</v>
      </c>
      <c r="B2485" s="12" t="s">
        <v>394</v>
      </c>
      <c r="C2485" s="13" t="s">
        <v>395</v>
      </c>
      <c r="D2485" s="13" t="s">
        <v>34</v>
      </c>
      <c r="E2485" s="12" t="s">
        <v>50</v>
      </c>
      <c r="F2485" s="13"/>
      <c r="G2485" s="14">
        <v>47000</v>
      </c>
      <c r="H2485" s="13" t="s">
        <v>1419</v>
      </c>
      <c r="I2485" s="40" t="s">
        <v>18</v>
      </c>
      <c r="J2485" s="40" t="str">
        <f>HYPERLINK("https://stock.pstatic.net/stock-research/company/61/20260518_company_185000000.pdf","PDF")</f>
        <v>PDF</v>
      </c>
      <c r="K2485" s="12" t="s">
        <v>1420</v>
      </c>
      <c r="L2485" s="12"/>
    </row>
    <row r="2486" spans="1:12" x14ac:dyDescent="0.45">
      <c r="A2486" s="12" t="s">
        <v>1245</v>
      </c>
      <c r="B2486" s="12" t="s">
        <v>1308</v>
      </c>
      <c r="C2486" s="13" t="s">
        <v>1309</v>
      </c>
      <c r="D2486" s="13" t="s">
        <v>23</v>
      </c>
      <c r="E2486" s="12" t="s">
        <v>16</v>
      </c>
      <c r="F2486" s="14">
        <v>570000</v>
      </c>
      <c r="G2486" s="14">
        <v>399000</v>
      </c>
      <c r="H2486" s="13" t="s">
        <v>1421</v>
      </c>
      <c r="I2486" s="40" t="s">
        <v>18</v>
      </c>
      <c r="J2486" s="40" t="str">
        <f>HYPERLINK("https://stock.pstatic.net/stock-research/company/21/20260518_company_802255000.pdf","PDF")</f>
        <v>PDF</v>
      </c>
      <c r="K2486" s="12" t="s">
        <v>1422</v>
      </c>
      <c r="L2486" s="36">
        <v>0.42857142857142849</v>
      </c>
    </row>
    <row r="2487" spans="1:12" x14ac:dyDescent="0.45">
      <c r="A2487" s="12" t="s">
        <v>1245</v>
      </c>
      <c r="B2487" s="12" t="s">
        <v>362</v>
      </c>
      <c r="C2487" s="13" t="s">
        <v>363</v>
      </c>
      <c r="D2487" s="13" t="s">
        <v>83</v>
      </c>
      <c r="E2487" s="12" t="s">
        <v>35</v>
      </c>
      <c r="F2487" s="14">
        <v>130000</v>
      </c>
      <c r="G2487" s="14">
        <v>104600</v>
      </c>
      <c r="H2487" s="13" t="s">
        <v>1423</v>
      </c>
      <c r="I2487" s="40" t="s">
        <v>18</v>
      </c>
      <c r="J2487" s="40" t="str">
        <f>HYPERLINK("https://stock.pstatic.net/stock-research/company/15/20260518_company_742779000.pdf","PDF")</f>
        <v>PDF</v>
      </c>
      <c r="K2487" s="12" t="s">
        <v>1424</v>
      </c>
      <c r="L2487" s="36">
        <v>0.24282982791586999</v>
      </c>
    </row>
    <row r="2488" spans="1:12" x14ac:dyDescent="0.45">
      <c r="A2488" s="12" t="s">
        <v>1245</v>
      </c>
      <c r="B2488" s="12" t="s">
        <v>38</v>
      </c>
      <c r="C2488" s="13" t="s">
        <v>39</v>
      </c>
      <c r="D2488" s="13" t="s">
        <v>83</v>
      </c>
      <c r="E2488" s="12" t="s">
        <v>35</v>
      </c>
      <c r="F2488" s="14">
        <v>360000</v>
      </c>
      <c r="G2488" s="14">
        <v>288500</v>
      </c>
      <c r="H2488" s="13" t="s">
        <v>1425</v>
      </c>
      <c r="I2488" s="40" t="s">
        <v>18</v>
      </c>
      <c r="J2488" s="40" t="str">
        <f>HYPERLINK("https://stock.pstatic.net/stock-research/company/15/20260518_company_3269000.pdf","PDF")</f>
        <v>PDF</v>
      </c>
      <c r="K2488" s="12" t="s">
        <v>1426</v>
      </c>
      <c r="L2488" s="36">
        <v>0.2478336221837088</v>
      </c>
    </row>
    <row r="2489" spans="1:12" x14ac:dyDescent="0.45">
      <c r="A2489" s="12" t="s">
        <v>1245</v>
      </c>
      <c r="B2489" s="12" t="s">
        <v>1274</v>
      </c>
      <c r="C2489" s="13" t="s">
        <v>1275</v>
      </c>
      <c r="D2489" s="13" t="s">
        <v>83</v>
      </c>
      <c r="E2489" s="12" t="s">
        <v>35</v>
      </c>
      <c r="F2489" s="14">
        <v>200000</v>
      </c>
      <c r="G2489" s="14">
        <v>173000</v>
      </c>
      <c r="H2489" s="13" t="s">
        <v>1427</v>
      </c>
      <c r="I2489" s="40" t="s">
        <v>18</v>
      </c>
      <c r="J2489" s="40" t="str">
        <f>HYPERLINK("https://stock.pstatic.net/stock-research/company/15/20260518_company_364175000.pdf","PDF")</f>
        <v>PDF</v>
      </c>
      <c r="K2489" s="12" t="s">
        <v>1428</v>
      </c>
      <c r="L2489" s="36">
        <v>0.15606936416184969</v>
      </c>
    </row>
    <row r="2490" spans="1:12" x14ac:dyDescent="0.45">
      <c r="A2490" s="12" t="s">
        <v>1245</v>
      </c>
      <c r="B2490" s="12" t="s">
        <v>661</v>
      </c>
      <c r="C2490" s="13" t="s">
        <v>662</v>
      </c>
      <c r="D2490" s="13" t="s">
        <v>83</v>
      </c>
      <c r="E2490" s="12" t="s">
        <v>35</v>
      </c>
      <c r="F2490" s="14">
        <v>21000</v>
      </c>
      <c r="G2490" s="14">
        <v>14860</v>
      </c>
      <c r="H2490" s="13" t="s">
        <v>1429</v>
      </c>
      <c r="I2490" s="40" t="s">
        <v>18</v>
      </c>
      <c r="J2490" s="40" t="str">
        <f>HYPERLINK("https://stock.pstatic.net/stock-research/company/15/20260518_company_650273000.pdf","PDF")</f>
        <v>PDF</v>
      </c>
      <c r="K2490" s="12" t="s">
        <v>1430</v>
      </c>
      <c r="L2490" s="36">
        <v>0.41318977119784661</v>
      </c>
    </row>
    <row r="2491" spans="1:12" x14ac:dyDescent="0.45">
      <c r="A2491" s="12" t="s">
        <v>1245</v>
      </c>
      <c r="B2491" s="12" t="s">
        <v>1431</v>
      </c>
      <c r="C2491" s="13" t="s">
        <v>1432</v>
      </c>
      <c r="D2491" s="13" t="s">
        <v>83</v>
      </c>
      <c r="E2491" s="12" t="s">
        <v>35</v>
      </c>
      <c r="F2491" s="14">
        <v>410000</v>
      </c>
      <c r="G2491" s="14">
        <v>269500</v>
      </c>
      <c r="H2491" s="13" t="s">
        <v>1433</v>
      </c>
      <c r="I2491" s="40" t="s">
        <v>18</v>
      </c>
      <c r="J2491" s="40" t="str">
        <f>HYPERLINK("https://stock.pstatic.net/stock-research/company/15/20260518_company_570261000.pdf","PDF")</f>
        <v>PDF</v>
      </c>
      <c r="K2491" s="12" t="s">
        <v>1434</v>
      </c>
      <c r="L2491" s="36">
        <v>0.52133580705009275</v>
      </c>
    </row>
    <row r="2492" spans="1:12" x14ac:dyDescent="0.45">
      <c r="A2492" s="12" t="s">
        <v>1245</v>
      </c>
      <c r="B2492" s="12" t="s">
        <v>698</v>
      </c>
      <c r="C2492" s="13" t="s">
        <v>699</v>
      </c>
      <c r="D2492" s="13" t="s">
        <v>83</v>
      </c>
      <c r="E2492" s="12" t="s">
        <v>35</v>
      </c>
      <c r="F2492" s="14">
        <v>880000</v>
      </c>
      <c r="G2492" s="14">
        <v>503000</v>
      </c>
      <c r="H2492" s="13" t="s">
        <v>1435</v>
      </c>
      <c r="I2492" s="40" t="s">
        <v>18</v>
      </c>
      <c r="J2492" s="40" t="str">
        <f>HYPERLINK("https://stock.pstatic.net/stock-research/company/15/20260518_company_159289000.pdf","PDF")</f>
        <v>PDF</v>
      </c>
      <c r="K2492" s="12" t="s">
        <v>1436</v>
      </c>
      <c r="L2492" s="36">
        <v>0.74950298210735589</v>
      </c>
    </row>
    <row r="2493" spans="1:12" x14ac:dyDescent="0.45">
      <c r="A2493" s="12" t="s">
        <v>1245</v>
      </c>
      <c r="B2493" s="12" t="s">
        <v>1437</v>
      </c>
      <c r="C2493" s="13" t="s">
        <v>1438</v>
      </c>
      <c r="D2493" s="13" t="s">
        <v>83</v>
      </c>
      <c r="E2493" s="12" t="s">
        <v>35</v>
      </c>
      <c r="F2493" s="14">
        <v>85000</v>
      </c>
      <c r="G2493" s="14">
        <v>64100</v>
      </c>
      <c r="H2493" s="13" t="s">
        <v>1439</v>
      </c>
      <c r="I2493" s="40" t="s">
        <v>18</v>
      </c>
      <c r="J2493" s="40" t="str">
        <f>HYPERLINK("https://stock.pstatic.net/stock-research/company/15/20260518_company_804936000.pdf","PDF")</f>
        <v>PDF</v>
      </c>
      <c r="K2493" s="12" t="s">
        <v>1440</v>
      </c>
      <c r="L2493" s="36">
        <v>0.32605304212168479</v>
      </c>
    </row>
    <row r="2494" spans="1:12" x14ac:dyDescent="0.45">
      <c r="A2494" s="12" t="s">
        <v>1245</v>
      </c>
      <c r="B2494" s="12" t="s">
        <v>21</v>
      </c>
      <c r="C2494" s="13" t="s">
        <v>22</v>
      </c>
      <c r="D2494" s="13" t="s">
        <v>83</v>
      </c>
      <c r="E2494" s="12" t="s">
        <v>35</v>
      </c>
      <c r="F2494" s="14">
        <v>48000</v>
      </c>
      <c r="G2494" s="14">
        <v>33350</v>
      </c>
      <c r="H2494" s="13" t="s">
        <v>1441</v>
      </c>
      <c r="I2494" s="40" t="s">
        <v>18</v>
      </c>
      <c r="J2494" s="40" t="str">
        <f>HYPERLINK("https://stock.pstatic.net/stock-research/company/15/20260518_company_621688000.pdf","PDF")</f>
        <v>PDF</v>
      </c>
      <c r="K2494" s="12" t="s">
        <v>1442</v>
      </c>
      <c r="L2494" s="36">
        <v>0.43928035982008989</v>
      </c>
    </row>
    <row r="2495" spans="1:12" x14ac:dyDescent="0.45">
      <c r="A2495" s="12" t="s">
        <v>1245</v>
      </c>
      <c r="B2495" s="12" t="s">
        <v>264</v>
      </c>
      <c r="C2495" s="13" t="s">
        <v>265</v>
      </c>
      <c r="D2495" s="13" t="s">
        <v>83</v>
      </c>
      <c r="E2495" s="12" t="s">
        <v>35</v>
      </c>
      <c r="F2495" s="14">
        <v>630000</v>
      </c>
      <c r="G2495" s="14">
        <v>472500</v>
      </c>
      <c r="H2495" s="13" t="s">
        <v>1443</v>
      </c>
      <c r="I2495" s="40" t="s">
        <v>18</v>
      </c>
      <c r="J2495" s="40" t="str">
        <f>HYPERLINK("https://stock.pstatic.net/stock-research/company/15/20260518_company_781236000.pdf","PDF")</f>
        <v>PDF</v>
      </c>
      <c r="K2495" s="12" t="s">
        <v>1444</v>
      </c>
      <c r="L2495" s="36">
        <v>0.33333333333333331</v>
      </c>
    </row>
    <row r="2496" spans="1:12" x14ac:dyDescent="0.45">
      <c r="A2496" s="12" t="s">
        <v>1245</v>
      </c>
      <c r="B2496" s="12" t="s">
        <v>1445</v>
      </c>
      <c r="C2496" s="13" t="s">
        <v>1446</v>
      </c>
      <c r="D2496" s="13" t="s">
        <v>83</v>
      </c>
      <c r="E2496" s="12" t="s">
        <v>35</v>
      </c>
      <c r="F2496" s="14">
        <v>62000</v>
      </c>
      <c r="G2496" s="14">
        <v>55700</v>
      </c>
      <c r="H2496" s="13" t="s">
        <v>1447</v>
      </c>
      <c r="I2496" s="40" t="s">
        <v>18</v>
      </c>
      <c r="J2496" s="40" t="str">
        <f>HYPERLINK("https://stock.pstatic.net/stock-research/company/15/20260518_company_683701000.pdf","PDF")</f>
        <v>PDF</v>
      </c>
      <c r="K2496" s="12" t="s">
        <v>1448</v>
      </c>
      <c r="L2496" s="36">
        <v>0.1131059245960503</v>
      </c>
    </row>
    <row r="2497" spans="1:12" x14ac:dyDescent="0.45">
      <c r="A2497" s="12" t="s">
        <v>1245</v>
      </c>
      <c r="B2497" s="12" t="s">
        <v>1449</v>
      </c>
      <c r="C2497" s="13" t="s">
        <v>1450</v>
      </c>
      <c r="D2497" s="13" t="s">
        <v>83</v>
      </c>
      <c r="E2497" s="12" t="s">
        <v>35</v>
      </c>
      <c r="F2497" s="14">
        <v>63000</v>
      </c>
      <c r="G2497" s="14">
        <v>49500</v>
      </c>
      <c r="H2497" s="13" t="s">
        <v>1451</v>
      </c>
      <c r="I2497" s="40" t="s">
        <v>18</v>
      </c>
      <c r="J2497" s="40" t="str">
        <f>HYPERLINK("https://stock.pstatic.net/stock-research/company/15/20260518_company_208859000.pdf","PDF")</f>
        <v>PDF</v>
      </c>
      <c r="K2497" s="12" t="s">
        <v>1452</v>
      </c>
      <c r="L2497" s="36">
        <v>0.27272727272727271</v>
      </c>
    </row>
    <row r="2498" spans="1:12" x14ac:dyDescent="0.45">
      <c r="A2498" s="12" t="s">
        <v>1245</v>
      </c>
      <c r="B2498" s="12" t="s">
        <v>146</v>
      </c>
      <c r="C2498" s="13" t="s">
        <v>147</v>
      </c>
      <c r="D2498" s="13" t="s">
        <v>83</v>
      </c>
      <c r="E2498" s="12" t="s">
        <v>35</v>
      </c>
      <c r="F2498" s="14">
        <v>150000</v>
      </c>
      <c r="G2498" s="14">
        <v>101400</v>
      </c>
      <c r="H2498" s="13" t="s">
        <v>1453</v>
      </c>
      <c r="I2498" s="40" t="s">
        <v>18</v>
      </c>
      <c r="J2498" s="40" t="str">
        <f>HYPERLINK("https://stock.pstatic.net/stock-research/company/15/20260518_company_149213000.pdf","PDF")</f>
        <v>PDF</v>
      </c>
      <c r="K2498" s="12" t="s">
        <v>1454</v>
      </c>
      <c r="L2498" s="36">
        <v>0.47928994082840243</v>
      </c>
    </row>
    <row r="2499" spans="1:12" x14ac:dyDescent="0.45">
      <c r="A2499" s="12" t="s">
        <v>1245</v>
      </c>
      <c r="B2499" s="12" t="s">
        <v>1455</v>
      </c>
      <c r="C2499" s="13" t="s">
        <v>1456</v>
      </c>
      <c r="D2499" s="13" t="s">
        <v>23</v>
      </c>
      <c r="E2499" s="12" t="s">
        <v>16</v>
      </c>
      <c r="F2499" s="14">
        <v>3000</v>
      </c>
      <c r="G2499" s="14">
        <v>2490</v>
      </c>
      <c r="H2499" s="13" t="s">
        <v>1457</v>
      </c>
      <c r="I2499" s="40" t="s">
        <v>18</v>
      </c>
      <c r="J2499" s="40" t="str">
        <f>HYPERLINK("https://stock.pstatic.net/stock-research/company/21/20260518_company_268875000.pdf","PDF")</f>
        <v>PDF</v>
      </c>
      <c r="K2499" s="12" t="s">
        <v>1458</v>
      </c>
      <c r="L2499" s="36">
        <v>0.2048192771084337</v>
      </c>
    </row>
    <row r="2500" spans="1:12" x14ac:dyDescent="0.45">
      <c r="A2500" s="12" t="s">
        <v>1245</v>
      </c>
      <c r="B2500" s="12" t="s">
        <v>1459</v>
      </c>
      <c r="C2500" s="13" t="s">
        <v>1460</v>
      </c>
      <c r="D2500" s="13" t="s">
        <v>23</v>
      </c>
      <c r="E2500" s="12" t="s">
        <v>16</v>
      </c>
      <c r="F2500" s="14">
        <v>580000</v>
      </c>
      <c r="G2500" s="14">
        <v>442000</v>
      </c>
      <c r="H2500" s="13" t="s">
        <v>1461</v>
      </c>
      <c r="I2500" s="40" t="s">
        <v>18</v>
      </c>
      <c r="J2500" s="40" t="str">
        <f>HYPERLINK("https://stock.pstatic.net/stock-research/company/21/20260518_company_764568000.pdf","PDF")</f>
        <v>PDF</v>
      </c>
      <c r="K2500" s="12" t="s">
        <v>1462</v>
      </c>
      <c r="L2500" s="36">
        <v>0.31221719457013569</v>
      </c>
    </row>
    <row r="2501" spans="1:12" x14ac:dyDescent="0.45">
      <c r="A2501" s="12" t="s">
        <v>1245</v>
      </c>
      <c r="B2501" s="12" t="s">
        <v>1463</v>
      </c>
      <c r="C2501" s="13" t="s">
        <v>1464</v>
      </c>
      <c r="D2501" s="13" t="s">
        <v>23</v>
      </c>
      <c r="E2501" s="12" t="s">
        <v>16</v>
      </c>
      <c r="F2501" s="14">
        <v>300000</v>
      </c>
      <c r="G2501" s="14">
        <v>181500</v>
      </c>
      <c r="H2501" s="13" t="s">
        <v>1465</v>
      </c>
      <c r="I2501" s="40" t="s">
        <v>18</v>
      </c>
      <c r="J2501" s="40" t="str">
        <f>HYPERLINK("https://stock.pstatic.net/stock-research/company/63/20260518_company_682589000.pdf","PDF")</f>
        <v>PDF</v>
      </c>
      <c r="K2501" s="12" t="s">
        <v>1466</v>
      </c>
      <c r="L2501" s="36">
        <v>0.65289256198347112</v>
      </c>
    </row>
    <row r="2502" spans="1:12" x14ac:dyDescent="0.45">
      <c r="A2502" s="12" t="s">
        <v>1245</v>
      </c>
      <c r="B2502" s="12" t="s">
        <v>1467</v>
      </c>
      <c r="C2502" s="13" t="s">
        <v>1468</v>
      </c>
      <c r="D2502" s="13" t="s">
        <v>179</v>
      </c>
      <c r="E2502" s="12" t="s">
        <v>50</v>
      </c>
      <c r="F2502" s="13"/>
      <c r="G2502" s="14">
        <v>6240</v>
      </c>
      <c r="H2502" s="13" t="s">
        <v>1469</v>
      </c>
      <c r="I2502" s="40" t="s">
        <v>18</v>
      </c>
      <c r="J2502" s="40" t="str">
        <f>HYPERLINK("https://stock.pstatic.net/stock-research/company/64/20260518_company_409694000.pdf","PDF")</f>
        <v>PDF</v>
      </c>
      <c r="K2502" s="12" t="s">
        <v>1470</v>
      </c>
      <c r="L2502" s="12"/>
    </row>
    <row r="2503" spans="1:12" x14ac:dyDescent="0.45">
      <c r="A2503" s="12" t="s">
        <v>1245</v>
      </c>
      <c r="B2503" s="12" t="s">
        <v>1328</v>
      </c>
      <c r="C2503" s="13" t="s">
        <v>1329</v>
      </c>
      <c r="D2503" s="13" t="s">
        <v>34</v>
      </c>
      <c r="E2503" s="12" t="s">
        <v>35</v>
      </c>
      <c r="F2503" s="14">
        <v>16000</v>
      </c>
      <c r="G2503" s="14">
        <v>13130</v>
      </c>
      <c r="H2503" s="13" t="s">
        <v>1471</v>
      </c>
      <c r="I2503" s="40" t="s">
        <v>18</v>
      </c>
      <c r="J2503" s="40" t="str">
        <f>HYPERLINK("https://stock.pstatic.net/stock-research/company/61/20260518_company_278737000.pdf","PDF")</f>
        <v>PDF</v>
      </c>
      <c r="K2503" s="12" t="s">
        <v>1472</v>
      </c>
      <c r="L2503" s="36">
        <v>0.2185833968012186</v>
      </c>
    </row>
    <row r="2504" spans="1:12" x14ac:dyDescent="0.45">
      <c r="A2504" s="12" t="s">
        <v>1245</v>
      </c>
      <c r="B2504" s="12" t="s">
        <v>1274</v>
      </c>
      <c r="C2504" s="13" t="s">
        <v>1275</v>
      </c>
      <c r="D2504" s="13" t="s">
        <v>34</v>
      </c>
      <c r="E2504" s="12" t="s">
        <v>35</v>
      </c>
      <c r="F2504" s="14">
        <v>220000</v>
      </c>
      <c r="G2504" s="14">
        <v>164500</v>
      </c>
      <c r="H2504" s="13" t="s">
        <v>1473</v>
      </c>
      <c r="I2504" s="40" t="s">
        <v>18</v>
      </c>
      <c r="J2504" s="40" t="str">
        <f>HYPERLINK("https://stock.pstatic.net/stock-research/company/61/20260518_company_507825000.pdf","PDF")</f>
        <v>PDF</v>
      </c>
      <c r="K2504" s="12" t="s">
        <v>1474</v>
      </c>
      <c r="L2504" s="36">
        <v>0.33738601823708209</v>
      </c>
    </row>
    <row r="2505" spans="1:12" x14ac:dyDescent="0.45">
      <c r="A2505" s="12" t="s">
        <v>1245</v>
      </c>
      <c r="B2505" s="12" t="s">
        <v>21</v>
      </c>
      <c r="C2505" s="13" t="s">
        <v>22</v>
      </c>
      <c r="D2505" s="13" t="s">
        <v>34</v>
      </c>
      <c r="E2505" s="12" t="s">
        <v>35</v>
      </c>
      <c r="F2505" s="14">
        <v>40000</v>
      </c>
      <c r="G2505" s="14">
        <v>33350</v>
      </c>
      <c r="H2505" s="13" t="s">
        <v>1475</v>
      </c>
      <c r="I2505" s="40" t="s">
        <v>18</v>
      </c>
      <c r="J2505" s="40" t="str">
        <f>HYPERLINK("https://stock.pstatic.net/stock-research/company/61/20260518_company_138822000.pdf","PDF")</f>
        <v>PDF</v>
      </c>
      <c r="K2505" s="12" t="s">
        <v>1476</v>
      </c>
      <c r="L2505" s="36">
        <v>0.19940029985007501</v>
      </c>
    </row>
    <row r="2506" spans="1:12" x14ac:dyDescent="0.45">
      <c r="A2506" s="12" t="s">
        <v>1245</v>
      </c>
      <c r="B2506" s="12" t="s">
        <v>1477</v>
      </c>
      <c r="C2506" s="13" t="s">
        <v>1478</v>
      </c>
      <c r="D2506" s="13" t="s">
        <v>44</v>
      </c>
      <c r="E2506" s="12" t="s">
        <v>50</v>
      </c>
      <c r="F2506" s="13"/>
      <c r="G2506" s="14">
        <v>61800</v>
      </c>
      <c r="H2506" s="13" t="s">
        <v>1479</v>
      </c>
      <c r="I2506" s="40" t="s">
        <v>18</v>
      </c>
      <c r="J2506" s="40" t="str">
        <f>HYPERLINK("https://stock.pstatic.net/stock-research/company/39/20260518_company_16359000.pdf","PDF")</f>
        <v>PDF</v>
      </c>
      <c r="K2506" s="12" t="s">
        <v>1480</v>
      </c>
      <c r="L2506" s="12"/>
    </row>
    <row r="2507" spans="1:12" x14ac:dyDescent="0.45">
      <c r="A2507" s="12" t="s">
        <v>1245</v>
      </c>
      <c r="B2507" s="12" t="s">
        <v>1308</v>
      </c>
      <c r="C2507" s="13" t="s">
        <v>1309</v>
      </c>
      <c r="D2507" s="13" t="s">
        <v>44</v>
      </c>
      <c r="E2507" s="12" t="s">
        <v>50</v>
      </c>
      <c r="F2507" s="13"/>
      <c r="G2507" s="13"/>
      <c r="H2507" s="13" t="s">
        <v>1481</v>
      </c>
      <c r="I2507" s="40" t="s">
        <v>18</v>
      </c>
      <c r="J2507" s="40" t="str">
        <f>HYPERLINK("https://stock.pstatic.net/stock-research/company/39/20260518_company_749016000.pdf","PDF")</f>
        <v>PDF</v>
      </c>
      <c r="K2507" s="12" t="s">
        <v>1482</v>
      </c>
      <c r="L2507" s="12"/>
    </row>
    <row r="2508" spans="1:12" x14ac:dyDescent="0.45">
      <c r="A2508" s="12" t="s">
        <v>1245</v>
      </c>
      <c r="B2508" s="12" t="s">
        <v>1483</v>
      </c>
      <c r="C2508" s="13" t="s">
        <v>1484</v>
      </c>
      <c r="D2508" s="13" t="s">
        <v>92</v>
      </c>
      <c r="E2508" s="12" t="s">
        <v>35</v>
      </c>
      <c r="F2508" s="14">
        <v>35000</v>
      </c>
      <c r="G2508" s="14">
        <v>23050</v>
      </c>
      <c r="H2508" s="13" t="s">
        <v>1485</v>
      </c>
      <c r="I2508" s="40" t="s">
        <v>18</v>
      </c>
      <c r="J2508" s="40" t="str">
        <f>HYPERLINK("https://stock.pstatic.net/stock-research/company/63/20260518_company_969643000.pdf","PDF")</f>
        <v>PDF</v>
      </c>
      <c r="K2508" s="12" t="s">
        <v>1486</v>
      </c>
      <c r="L2508" s="36">
        <v>0.51843817787418656</v>
      </c>
    </row>
    <row r="2509" spans="1:12" x14ac:dyDescent="0.45">
      <c r="A2509" s="12" t="s">
        <v>1245</v>
      </c>
      <c r="B2509" s="12" t="s">
        <v>1487</v>
      </c>
      <c r="C2509" s="13" t="s">
        <v>1488</v>
      </c>
      <c r="D2509" s="13" t="s">
        <v>23</v>
      </c>
      <c r="E2509" s="12" t="s">
        <v>35</v>
      </c>
      <c r="F2509" s="14">
        <v>13000</v>
      </c>
      <c r="G2509" s="14">
        <v>8300</v>
      </c>
      <c r="H2509" s="13" t="s">
        <v>1489</v>
      </c>
      <c r="I2509" s="40" t="s">
        <v>18</v>
      </c>
      <c r="J2509" s="40" t="str">
        <f>HYPERLINK("https://stock.pstatic.net/stock-research/company/21/20260518_company_122761000.pdf","PDF")</f>
        <v>PDF</v>
      </c>
      <c r="K2509" s="12" t="s">
        <v>1490</v>
      </c>
      <c r="L2509" s="36">
        <v>0.5662650602409639</v>
      </c>
    </row>
    <row r="2510" spans="1:12" x14ac:dyDescent="0.45">
      <c r="A2510" s="12" t="s">
        <v>1245</v>
      </c>
      <c r="B2510" s="12" t="s">
        <v>1491</v>
      </c>
      <c r="C2510" s="13" t="s">
        <v>1492</v>
      </c>
      <c r="D2510" s="13" t="s">
        <v>92</v>
      </c>
      <c r="E2510" s="12" t="s">
        <v>35</v>
      </c>
      <c r="F2510" s="14">
        <v>30000</v>
      </c>
      <c r="G2510" s="14">
        <v>22800</v>
      </c>
      <c r="H2510" s="13" t="s">
        <v>1493</v>
      </c>
      <c r="I2510" s="40" t="s">
        <v>18</v>
      </c>
      <c r="J2510" s="40" t="str">
        <f>HYPERLINK("https://stock.pstatic.net/stock-research/company/63/20260518_company_454216000.pdf","PDF")</f>
        <v>PDF</v>
      </c>
      <c r="K2510" s="12" t="s">
        <v>1494</v>
      </c>
      <c r="L2510" s="36">
        <v>0.31578947368421051</v>
      </c>
    </row>
    <row r="2511" spans="1:12" x14ac:dyDescent="0.45">
      <c r="A2511" s="12" t="s">
        <v>1245</v>
      </c>
      <c r="B2511" s="12" t="s">
        <v>1495</v>
      </c>
      <c r="C2511" s="13" t="s">
        <v>1496</v>
      </c>
      <c r="D2511" s="13" t="s">
        <v>92</v>
      </c>
      <c r="E2511" s="12" t="s">
        <v>35</v>
      </c>
      <c r="F2511" s="14">
        <v>40000</v>
      </c>
      <c r="G2511" s="14">
        <v>28250</v>
      </c>
      <c r="H2511" s="13" t="s">
        <v>1497</v>
      </c>
      <c r="I2511" s="40" t="s">
        <v>18</v>
      </c>
      <c r="J2511" s="40" t="str">
        <f>HYPERLINK("https://stock.pstatic.net/stock-research/company/63/20260518_company_615724000.pdf","PDF")</f>
        <v>PDF</v>
      </c>
      <c r="K2511" s="12" t="s">
        <v>1498</v>
      </c>
      <c r="L2511" s="36">
        <v>0.41592920353982299</v>
      </c>
    </row>
    <row r="2512" spans="1:12" x14ac:dyDescent="0.45">
      <c r="A2512" s="12" t="s">
        <v>1245</v>
      </c>
      <c r="B2512" s="12" t="s">
        <v>1499</v>
      </c>
      <c r="C2512" s="13" t="s">
        <v>1500</v>
      </c>
      <c r="D2512" s="13" t="s">
        <v>92</v>
      </c>
      <c r="E2512" s="12" t="s">
        <v>35</v>
      </c>
      <c r="F2512" s="14">
        <v>20000</v>
      </c>
      <c r="G2512" s="14">
        <v>11820</v>
      </c>
      <c r="H2512" s="13" t="s">
        <v>1501</v>
      </c>
      <c r="I2512" s="40" t="s">
        <v>18</v>
      </c>
      <c r="J2512" s="40" t="str">
        <f>HYPERLINK("https://stock.pstatic.net/stock-research/company/63/20260518_company_923729000.pdf","PDF")</f>
        <v>PDF</v>
      </c>
      <c r="K2512" s="12" t="s">
        <v>1502</v>
      </c>
      <c r="L2512" s="36">
        <v>0.69204737732656518</v>
      </c>
    </row>
    <row r="2513" spans="1:12" x14ac:dyDescent="0.45">
      <c r="A2513" s="12" t="s">
        <v>1245</v>
      </c>
      <c r="B2513" s="12" t="s">
        <v>1503</v>
      </c>
      <c r="C2513" s="13" t="s">
        <v>1504</v>
      </c>
      <c r="D2513" s="13" t="s">
        <v>92</v>
      </c>
      <c r="E2513" s="12" t="s">
        <v>35</v>
      </c>
      <c r="F2513" s="14">
        <v>13000</v>
      </c>
      <c r="G2513" s="14">
        <v>8160</v>
      </c>
      <c r="H2513" s="13" t="s">
        <v>1505</v>
      </c>
      <c r="I2513" s="40" t="s">
        <v>18</v>
      </c>
      <c r="J2513" s="40" t="str">
        <f>HYPERLINK("https://stock.pstatic.net/stock-research/company/63/20260518_company_38823000.pdf","PDF")</f>
        <v>PDF</v>
      </c>
      <c r="K2513" s="12" t="s">
        <v>1506</v>
      </c>
      <c r="L2513" s="36">
        <v>0.59313725490196079</v>
      </c>
    </row>
    <row r="2514" spans="1:12" x14ac:dyDescent="0.45">
      <c r="A2514" s="12" t="s">
        <v>1245</v>
      </c>
      <c r="B2514" s="12" t="s">
        <v>1507</v>
      </c>
      <c r="C2514" s="13" t="s">
        <v>1508</v>
      </c>
      <c r="D2514" s="13" t="s">
        <v>92</v>
      </c>
      <c r="E2514" s="12" t="s">
        <v>35</v>
      </c>
      <c r="F2514" s="14">
        <v>11000</v>
      </c>
      <c r="G2514" s="14">
        <v>7250</v>
      </c>
      <c r="H2514" s="13" t="s">
        <v>1509</v>
      </c>
      <c r="I2514" s="40" t="s">
        <v>18</v>
      </c>
      <c r="J2514" s="40" t="str">
        <f>HYPERLINK("https://stock.pstatic.net/stock-research/company/63/20260518_company_257132000.pdf","PDF")</f>
        <v>PDF</v>
      </c>
      <c r="K2514" s="12" t="s">
        <v>1510</v>
      </c>
      <c r="L2514" s="36">
        <v>0.51724137931034486</v>
      </c>
    </row>
    <row r="2515" spans="1:12" x14ac:dyDescent="0.45">
      <c r="A2515" s="12" t="s">
        <v>1245</v>
      </c>
      <c r="B2515" s="12" t="s">
        <v>81</v>
      </c>
      <c r="C2515" s="13" t="s">
        <v>82</v>
      </c>
      <c r="D2515" s="13" t="s">
        <v>15</v>
      </c>
      <c r="E2515" s="12" t="s">
        <v>16</v>
      </c>
      <c r="F2515" s="14">
        <v>44000</v>
      </c>
      <c r="G2515" s="14">
        <v>35000</v>
      </c>
      <c r="H2515" s="13" t="s">
        <v>1511</v>
      </c>
      <c r="I2515" s="40" t="s">
        <v>18</v>
      </c>
      <c r="J2515" s="40" t="str">
        <f>HYPERLINK("https://stock.pstatic.net/stock-research/company/56/20260518_company_134795000.pdf","PDF")</f>
        <v>PDF</v>
      </c>
      <c r="K2515" s="12" t="s">
        <v>1512</v>
      </c>
      <c r="L2515" s="36">
        <v>0.25714285714285712</v>
      </c>
    </row>
    <row r="2516" spans="1:12" x14ac:dyDescent="0.45">
      <c r="A2516" s="12" t="s">
        <v>1245</v>
      </c>
      <c r="B2516" s="12" t="s">
        <v>1270</v>
      </c>
      <c r="C2516" s="13" t="s">
        <v>1271</v>
      </c>
      <c r="D2516" s="13" t="s">
        <v>15</v>
      </c>
      <c r="E2516" s="12" t="s">
        <v>16</v>
      </c>
      <c r="F2516" s="14">
        <v>178000</v>
      </c>
      <c r="G2516" s="14">
        <v>130000</v>
      </c>
      <c r="H2516" s="13" t="s">
        <v>1513</v>
      </c>
      <c r="I2516" s="40" t="s">
        <v>18</v>
      </c>
      <c r="J2516" s="40" t="str">
        <f>HYPERLINK("https://stock.pstatic.net/stock-research/company/56/20260518_company_802109000.pdf","PDF")</f>
        <v>PDF</v>
      </c>
      <c r="K2516" s="12" t="s">
        <v>1514</v>
      </c>
      <c r="L2516" s="36">
        <v>0.36923076923076931</v>
      </c>
    </row>
    <row r="2517" spans="1:12" x14ac:dyDescent="0.45">
      <c r="A2517" s="12" t="s">
        <v>1515</v>
      </c>
      <c r="B2517" s="12" t="s">
        <v>86</v>
      </c>
      <c r="C2517" s="13" t="s">
        <v>87</v>
      </c>
      <c r="D2517" s="13" t="s">
        <v>23</v>
      </c>
      <c r="E2517" s="12" t="s">
        <v>16</v>
      </c>
      <c r="F2517" s="14">
        <v>133000</v>
      </c>
      <c r="G2517" s="14">
        <v>110100</v>
      </c>
      <c r="H2517" s="13" t="s">
        <v>1516</v>
      </c>
      <c r="I2517" s="40" t="s">
        <v>18</v>
      </c>
      <c r="J2517" s="40" t="str">
        <f>HYPERLINK("https://stock.pstatic.net/stock-research/company/21/20260515_company_855037000.pdf","PDF")</f>
        <v>PDF</v>
      </c>
      <c r="K2517" s="12" t="s">
        <v>1517</v>
      </c>
      <c r="L2517" s="36">
        <v>0.20799273387829251</v>
      </c>
    </row>
    <row r="2518" spans="1:12" x14ac:dyDescent="0.45">
      <c r="A2518" s="12" t="s">
        <v>1515</v>
      </c>
      <c r="B2518" s="12" t="s">
        <v>1258</v>
      </c>
      <c r="C2518" s="13" t="s">
        <v>1259</v>
      </c>
      <c r="D2518" s="13" t="s">
        <v>23</v>
      </c>
      <c r="E2518" s="12" t="s">
        <v>16</v>
      </c>
      <c r="F2518" s="14">
        <v>685000</v>
      </c>
      <c r="G2518" s="14">
        <v>538000</v>
      </c>
      <c r="H2518" s="13" t="s">
        <v>1518</v>
      </c>
      <c r="I2518" s="40" t="s">
        <v>18</v>
      </c>
      <c r="J2518" s="40" t="str">
        <f>HYPERLINK("https://stock.pstatic.net/stock-research/company/21/20260515_company_954691000.pdf","PDF")</f>
        <v>PDF</v>
      </c>
      <c r="K2518" s="12" t="s">
        <v>1519</v>
      </c>
      <c r="L2518" s="36">
        <v>0.27323420074349442</v>
      </c>
    </row>
    <row r="2519" spans="1:12" x14ac:dyDescent="0.45">
      <c r="A2519" s="12" t="s">
        <v>1515</v>
      </c>
      <c r="B2519" s="12" t="s">
        <v>1278</v>
      </c>
      <c r="C2519" s="13" t="s">
        <v>1279</v>
      </c>
      <c r="D2519" s="13" t="s">
        <v>23</v>
      </c>
      <c r="E2519" s="12" t="s">
        <v>16</v>
      </c>
      <c r="F2519" s="14">
        <v>350000</v>
      </c>
      <c r="G2519" s="14">
        <v>258000</v>
      </c>
      <c r="H2519" s="13" t="s">
        <v>1520</v>
      </c>
      <c r="I2519" s="40" t="s">
        <v>18</v>
      </c>
      <c r="J2519" s="40" t="str">
        <f>HYPERLINK("https://stock.pstatic.net/stock-research/company/21/20260515_company_505115000.pdf","PDF")</f>
        <v>PDF</v>
      </c>
      <c r="K2519" s="12" t="s">
        <v>1521</v>
      </c>
      <c r="L2519" s="36">
        <v>0.35658914728682167</v>
      </c>
    </row>
    <row r="2520" spans="1:12" x14ac:dyDescent="0.45">
      <c r="A2520" s="12" t="s">
        <v>1515</v>
      </c>
      <c r="B2520" s="12" t="s">
        <v>1266</v>
      </c>
      <c r="C2520" s="13" t="s">
        <v>1267</v>
      </c>
      <c r="D2520" s="13" t="s">
        <v>23</v>
      </c>
      <c r="E2520" s="12" t="s">
        <v>16</v>
      </c>
      <c r="F2520" s="14">
        <v>500000</v>
      </c>
      <c r="G2520" s="14">
        <v>330000</v>
      </c>
      <c r="H2520" s="13" t="s">
        <v>1522</v>
      </c>
      <c r="I2520" s="40" t="s">
        <v>18</v>
      </c>
      <c r="J2520" s="40" t="str">
        <f>HYPERLINK("https://stock.pstatic.net/stock-research/company/21/20260515_company_88243000.pdf","PDF")</f>
        <v>PDF</v>
      </c>
      <c r="K2520" s="12" t="s">
        <v>1523</v>
      </c>
      <c r="L2520" s="36">
        <v>0.51515151515151514</v>
      </c>
    </row>
    <row r="2521" spans="1:12" x14ac:dyDescent="0.45">
      <c r="A2521" s="12" t="s">
        <v>1515</v>
      </c>
      <c r="B2521" s="12" t="s">
        <v>1266</v>
      </c>
      <c r="C2521" s="13" t="s">
        <v>1267</v>
      </c>
      <c r="D2521" s="13" t="s">
        <v>57</v>
      </c>
      <c r="E2521" s="12" t="s">
        <v>159</v>
      </c>
      <c r="F2521" s="14">
        <v>312000</v>
      </c>
      <c r="G2521" s="14">
        <v>330000</v>
      </c>
      <c r="H2521" s="13" t="s">
        <v>1524</v>
      </c>
      <c r="I2521" s="40" t="s">
        <v>18</v>
      </c>
      <c r="J2521" s="40" t="str">
        <f>HYPERLINK("https://stock.pstatic.net/stock-research/company/16/20260515_company_755467000.pdf","PDF")</f>
        <v>PDF</v>
      </c>
      <c r="K2521" s="12" t="s">
        <v>1525</v>
      </c>
      <c r="L2521" s="36">
        <v>-5.4545454545454543E-2</v>
      </c>
    </row>
    <row r="2522" spans="1:12" x14ac:dyDescent="0.45">
      <c r="A2522" s="12" t="s">
        <v>1515</v>
      </c>
      <c r="B2522" s="12" t="s">
        <v>1526</v>
      </c>
      <c r="C2522" s="13" t="s">
        <v>1527</v>
      </c>
      <c r="D2522" s="13" t="s">
        <v>57</v>
      </c>
      <c r="E2522" s="12" t="s">
        <v>35</v>
      </c>
      <c r="F2522" s="14">
        <v>25000</v>
      </c>
      <c r="G2522" s="14">
        <v>19720</v>
      </c>
      <c r="H2522" s="13" t="s">
        <v>1528</v>
      </c>
      <c r="I2522" s="40" t="s">
        <v>18</v>
      </c>
      <c r="J2522" s="40" t="str">
        <f>HYPERLINK("https://stock.pstatic.net/stock-research/company/16/20260515_company_624882000.pdf","PDF")</f>
        <v>PDF</v>
      </c>
      <c r="K2522" s="12" t="s">
        <v>1529</v>
      </c>
      <c r="L2522" s="36">
        <v>0.26774847870182561</v>
      </c>
    </row>
    <row r="2523" spans="1:12" x14ac:dyDescent="0.45">
      <c r="A2523" s="12" t="s">
        <v>1515</v>
      </c>
      <c r="B2523" s="12" t="s">
        <v>1530</v>
      </c>
      <c r="C2523" s="13" t="s">
        <v>1531</v>
      </c>
      <c r="D2523" s="13" t="s">
        <v>57</v>
      </c>
      <c r="E2523" s="12" t="s">
        <v>159</v>
      </c>
      <c r="F2523" s="14">
        <v>21000</v>
      </c>
      <c r="G2523" s="14">
        <v>23700</v>
      </c>
      <c r="H2523" s="13" t="s">
        <v>1532</v>
      </c>
      <c r="I2523" s="40" t="s">
        <v>18</v>
      </c>
      <c r="J2523" s="40" t="str">
        <f>HYPERLINK("https://stock.pstatic.net/stock-research/company/16/20260515_company_144868000.pdf","PDF")</f>
        <v>PDF</v>
      </c>
      <c r="K2523" s="12" t="s">
        <v>1533</v>
      </c>
      <c r="L2523" s="36">
        <v>-0.1139240506329114</v>
      </c>
    </row>
    <row r="2524" spans="1:12" x14ac:dyDescent="0.45">
      <c r="A2524" s="12" t="s">
        <v>1515</v>
      </c>
      <c r="B2524" s="12" t="s">
        <v>1258</v>
      </c>
      <c r="C2524" s="13" t="s">
        <v>1259</v>
      </c>
      <c r="D2524" s="13" t="s">
        <v>57</v>
      </c>
      <c r="E2524" s="12" t="s">
        <v>35</v>
      </c>
      <c r="F2524" s="14">
        <v>650000</v>
      </c>
      <c r="G2524" s="14">
        <v>498000</v>
      </c>
      <c r="H2524" s="13" t="s">
        <v>1534</v>
      </c>
      <c r="I2524" s="40" t="s">
        <v>18</v>
      </c>
      <c r="J2524" s="40" t="str">
        <f>HYPERLINK("https://stock.pstatic.net/stock-research/company/16/20260515_company_131817000.pdf","PDF")</f>
        <v>PDF</v>
      </c>
      <c r="K2524" s="12" t="s">
        <v>1535</v>
      </c>
      <c r="L2524" s="36">
        <v>0.30522088353413662</v>
      </c>
    </row>
    <row r="2525" spans="1:12" x14ac:dyDescent="0.45">
      <c r="A2525" s="12" t="s">
        <v>1515</v>
      </c>
      <c r="B2525" s="12" t="s">
        <v>1069</v>
      </c>
      <c r="C2525" s="13" t="s">
        <v>1070</v>
      </c>
      <c r="D2525" s="13" t="s">
        <v>276</v>
      </c>
      <c r="E2525" s="12" t="s">
        <v>16</v>
      </c>
      <c r="F2525" s="14">
        <v>220000</v>
      </c>
      <c r="G2525" s="14">
        <v>190100</v>
      </c>
      <c r="H2525" s="13" t="s">
        <v>1536</v>
      </c>
      <c r="I2525" s="40" t="s">
        <v>18</v>
      </c>
      <c r="J2525" s="40" t="str">
        <f>HYPERLINK("https://stock.pstatic.net/stock-research/company/66/20260515_company_811934000.pdf","PDF")</f>
        <v>PDF</v>
      </c>
      <c r="K2525" s="12" t="s">
        <v>1537</v>
      </c>
      <c r="L2525" s="36">
        <v>0.15728563913729621</v>
      </c>
    </row>
    <row r="2526" spans="1:12" x14ac:dyDescent="0.45">
      <c r="A2526" s="12" t="s">
        <v>1515</v>
      </c>
      <c r="B2526" s="12" t="s">
        <v>259</v>
      </c>
      <c r="C2526" s="13" t="s">
        <v>260</v>
      </c>
      <c r="D2526" s="13" t="s">
        <v>60</v>
      </c>
      <c r="E2526" s="12" t="s">
        <v>35</v>
      </c>
      <c r="F2526" s="14">
        <v>95000</v>
      </c>
      <c r="G2526" s="14">
        <v>59000</v>
      </c>
      <c r="H2526" s="13" t="s">
        <v>1538</v>
      </c>
      <c r="I2526" s="40" t="s">
        <v>18</v>
      </c>
      <c r="J2526" s="40" t="str">
        <f>HYPERLINK("https://stock.pstatic.net/stock-research/company/62/20260515_company_309659000.pdf","PDF")</f>
        <v>PDF</v>
      </c>
      <c r="K2526" s="12" t="s">
        <v>1539</v>
      </c>
      <c r="L2526" s="36">
        <v>0.61016949152542377</v>
      </c>
    </row>
    <row r="2527" spans="1:12" x14ac:dyDescent="0.45">
      <c r="A2527" s="12" t="s">
        <v>1515</v>
      </c>
      <c r="B2527" s="12" t="s">
        <v>1540</v>
      </c>
      <c r="C2527" s="13" t="s">
        <v>1541</v>
      </c>
      <c r="D2527" s="13" t="s">
        <v>60</v>
      </c>
      <c r="E2527" s="12" t="s">
        <v>35</v>
      </c>
      <c r="F2527" s="14">
        <v>66000</v>
      </c>
      <c r="G2527" s="14">
        <v>56900</v>
      </c>
      <c r="H2527" s="13" t="s">
        <v>1542</v>
      </c>
      <c r="I2527" s="40" t="s">
        <v>18</v>
      </c>
      <c r="J2527" s="40" t="str">
        <f>HYPERLINK("https://stock.pstatic.net/stock-research/company/62/20260515_company_170107000.pdf","PDF")</f>
        <v>PDF</v>
      </c>
      <c r="K2527" s="12" t="s">
        <v>1543</v>
      </c>
      <c r="L2527" s="36">
        <v>0.15992970123022851</v>
      </c>
    </row>
    <row r="2528" spans="1:12" x14ac:dyDescent="0.45">
      <c r="A2528" s="12" t="s">
        <v>1515</v>
      </c>
      <c r="B2528" s="12" t="s">
        <v>259</v>
      </c>
      <c r="C2528" s="13" t="s">
        <v>260</v>
      </c>
      <c r="D2528" s="13" t="s">
        <v>65</v>
      </c>
      <c r="E2528" s="12" t="s">
        <v>35</v>
      </c>
      <c r="F2528" s="14">
        <v>90000</v>
      </c>
      <c r="G2528" s="14">
        <v>59000</v>
      </c>
      <c r="H2528" s="13" t="s">
        <v>1544</v>
      </c>
      <c r="I2528" s="40" t="s">
        <v>18</v>
      </c>
      <c r="J2528" s="40" t="str">
        <f>HYPERLINK("https://stock.pstatic.net/stock-research/company/57/20260515_company_928181000.pdf","PDF")</f>
        <v>PDF</v>
      </c>
      <c r="K2528" s="12" t="s">
        <v>1545</v>
      </c>
      <c r="L2528" s="36">
        <v>0.52542372881355937</v>
      </c>
    </row>
    <row r="2529" spans="1:12" x14ac:dyDescent="0.45">
      <c r="A2529" s="12" t="s">
        <v>1515</v>
      </c>
      <c r="B2529" s="12" t="s">
        <v>1019</v>
      </c>
      <c r="C2529" s="13" t="s">
        <v>1020</v>
      </c>
      <c r="D2529" s="13" t="s">
        <v>65</v>
      </c>
      <c r="E2529" s="12" t="s">
        <v>35</v>
      </c>
      <c r="F2529" s="14">
        <v>28000</v>
      </c>
      <c r="G2529" s="14">
        <v>19840</v>
      </c>
      <c r="H2529" s="13" t="s">
        <v>1546</v>
      </c>
      <c r="I2529" s="40" t="s">
        <v>18</v>
      </c>
      <c r="J2529" s="40" t="str">
        <f>HYPERLINK("https://stock.pstatic.net/stock-research/company/57/20260515_company_774423000.pdf","PDF")</f>
        <v>PDF</v>
      </c>
      <c r="K2529" s="12" t="s">
        <v>1547</v>
      </c>
      <c r="L2529" s="36">
        <v>0.41129032258064518</v>
      </c>
    </row>
    <row r="2530" spans="1:12" x14ac:dyDescent="0.45">
      <c r="A2530" s="12" t="s">
        <v>1515</v>
      </c>
      <c r="B2530" s="12" t="s">
        <v>1548</v>
      </c>
      <c r="C2530" s="13" t="s">
        <v>1549</v>
      </c>
      <c r="D2530" s="13" t="s">
        <v>65</v>
      </c>
      <c r="E2530" s="12" t="s">
        <v>35</v>
      </c>
      <c r="F2530" s="14">
        <v>1860000</v>
      </c>
      <c r="G2530" s="14">
        <v>1306000</v>
      </c>
      <c r="H2530" s="13" t="s">
        <v>1550</v>
      </c>
      <c r="I2530" s="40" t="s">
        <v>18</v>
      </c>
      <c r="J2530" s="40" t="str">
        <f>HYPERLINK("https://stock.pstatic.net/stock-research/company/57/20260515_company_388528000.pdf","PDF")</f>
        <v>PDF</v>
      </c>
      <c r="K2530" s="12" t="s">
        <v>1551</v>
      </c>
      <c r="L2530" s="36">
        <v>0.42419601837672283</v>
      </c>
    </row>
    <row r="2531" spans="1:12" x14ac:dyDescent="0.45">
      <c r="A2531" s="12" t="s">
        <v>1515</v>
      </c>
      <c r="B2531" s="12" t="s">
        <v>1552</v>
      </c>
      <c r="C2531" s="13" t="s">
        <v>1553</v>
      </c>
      <c r="D2531" s="13" t="s">
        <v>65</v>
      </c>
      <c r="E2531" s="12" t="s">
        <v>50</v>
      </c>
      <c r="F2531" s="13"/>
      <c r="G2531" s="14">
        <v>171900</v>
      </c>
      <c r="H2531" s="13" t="s">
        <v>1554</v>
      </c>
      <c r="I2531" s="40" t="s">
        <v>18</v>
      </c>
      <c r="J2531" s="40" t="str">
        <f>HYPERLINK("https://stock.pstatic.net/stock-research/company/57/20260515_company_898110000.pdf","PDF")</f>
        <v>PDF</v>
      </c>
      <c r="K2531" s="12" t="s">
        <v>1555</v>
      </c>
      <c r="L2531" s="12"/>
    </row>
    <row r="2532" spans="1:12" x14ac:dyDescent="0.45">
      <c r="A2532" s="12" t="s">
        <v>1515</v>
      </c>
      <c r="B2532" s="12" t="s">
        <v>1556</v>
      </c>
      <c r="C2532" s="13" t="s">
        <v>1557</v>
      </c>
      <c r="D2532" s="13" t="s">
        <v>65</v>
      </c>
      <c r="E2532" s="12" t="s">
        <v>35</v>
      </c>
      <c r="F2532" s="14">
        <v>60000</v>
      </c>
      <c r="G2532" s="14">
        <v>51400</v>
      </c>
      <c r="H2532" s="13" t="s">
        <v>1558</v>
      </c>
      <c r="I2532" s="40" t="s">
        <v>18</v>
      </c>
      <c r="J2532" s="40" t="str">
        <f>HYPERLINK("https://stock.pstatic.net/stock-research/company/57/20260515_company_181407000.pdf","PDF")</f>
        <v>PDF</v>
      </c>
      <c r="K2532" s="12" t="s">
        <v>1559</v>
      </c>
      <c r="L2532" s="36">
        <v>0.16731517509727631</v>
      </c>
    </row>
    <row r="2533" spans="1:12" x14ac:dyDescent="0.45">
      <c r="A2533" s="12" t="s">
        <v>1515</v>
      </c>
      <c r="B2533" s="12" t="s">
        <v>1415</v>
      </c>
      <c r="C2533" s="13" t="s">
        <v>1416</v>
      </c>
      <c r="D2533" s="13" t="s">
        <v>65</v>
      </c>
      <c r="E2533" s="12" t="s">
        <v>35</v>
      </c>
      <c r="F2533" s="14">
        <v>10000</v>
      </c>
      <c r="G2533" s="14">
        <v>7900</v>
      </c>
      <c r="H2533" s="13" t="s">
        <v>1560</v>
      </c>
      <c r="I2533" s="40" t="s">
        <v>18</v>
      </c>
      <c r="J2533" s="40" t="str">
        <f>HYPERLINK("https://stock.pstatic.net/stock-research/company/57/20260515_company_461783000.pdf","PDF")</f>
        <v>PDF</v>
      </c>
      <c r="K2533" s="12" t="s">
        <v>1561</v>
      </c>
      <c r="L2533" s="36">
        <v>0.26582278481012661</v>
      </c>
    </row>
    <row r="2534" spans="1:12" x14ac:dyDescent="0.45">
      <c r="A2534" s="12" t="s">
        <v>1515</v>
      </c>
      <c r="B2534" s="12" t="s">
        <v>1562</v>
      </c>
      <c r="C2534" s="13" t="s">
        <v>1563</v>
      </c>
      <c r="D2534" s="13" t="s">
        <v>92</v>
      </c>
      <c r="E2534" s="12" t="s">
        <v>35</v>
      </c>
      <c r="F2534" s="14">
        <v>35000</v>
      </c>
      <c r="G2534" s="14">
        <v>20150</v>
      </c>
      <c r="H2534" s="13" t="s">
        <v>1564</v>
      </c>
      <c r="I2534" s="40" t="s">
        <v>18</v>
      </c>
      <c r="J2534" s="40" t="str">
        <f>HYPERLINK("https://stock.pstatic.net/stock-research/company/63/20260515_company_743755000.pdf","PDF")</f>
        <v>PDF</v>
      </c>
      <c r="K2534" s="12" t="s">
        <v>1565</v>
      </c>
      <c r="L2534" s="36">
        <v>0.73697270471464016</v>
      </c>
    </row>
    <row r="2535" spans="1:12" x14ac:dyDescent="0.45">
      <c r="A2535" s="12" t="s">
        <v>1515</v>
      </c>
      <c r="B2535" s="12" t="s">
        <v>1566</v>
      </c>
      <c r="C2535" s="13" t="s">
        <v>1567</v>
      </c>
      <c r="D2535" s="13" t="s">
        <v>92</v>
      </c>
      <c r="E2535" s="12" t="s">
        <v>50</v>
      </c>
      <c r="F2535" s="13"/>
      <c r="G2535" s="14">
        <v>2340</v>
      </c>
      <c r="H2535" s="13" t="s">
        <v>1568</v>
      </c>
      <c r="I2535" s="40" t="s">
        <v>18</v>
      </c>
      <c r="J2535" s="40" t="str">
        <f>HYPERLINK("https://stock.pstatic.net/stock-research/company/63/20260515_company_432547000.pdf","PDF")</f>
        <v>PDF</v>
      </c>
      <c r="K2535" s="12" t="s">
        <v>1569</v>
      </c>
      <c r="L2535" s="12"/>
    </row>
    <row r="2536" spans="1:12" x14ac:dyDescent="0.45">
      <c r="A2536" s="12" t="s">
        <v>1515</v>
      </c>
      <c r="B2536" s="12" t="s">
        <v>1258</v>
      </c>
      <c r="C2536" s="13" t="s">
        <v>1259</v>
      </c>
      <c r="D2536" s="13" t="s">
        <v>83</v>
      </c>
      <c r="E2536" s="12" t="s">
        <v>35</v>
      </c>
      <c r="F2536" s="14">
        <v>620000</v>
      </c>
      <c r="G2536" s="14">
        <v>538000</v>
      </c>
      <c r="H2536" s="13" t="s">
        <v>1570</v>
      </c>
      <c r="I2536" s="40" t="s">
        <v>18</v>
      </c>
      <c r="J2536" s="40" t="str">
        <f>HYPERLINK("https://stock.pstatic.net/stock-research/company/15/20260515_company_326350000.pdf","PDF")</f>
        <v>PDF</v>
      </c>
      <c r="K2536" s="12" t="s">
        <v>1571</v>
      </c>
      <c r="L2536" s="36">
        <v>0.15241635687732341</v>
      </c>
    </row>
    <row r="2537" spans="1:12" x14ac:dyDescent="0.45">
      <c r="A2537" s="12" t="s">
        <v>1515</v>
      </c>
      <c r="B2537" s="12" t="s">
        <v>1266</v>
      </c>
      <c r="C2537" s="13" t="s">
        <v>1267</v>
      </c>
      <c r="D2537" s="13" t="s">
        <v>83</v>
      </c>
      <c r="E2537" s="12" t="s">
        <v>642</v>
      </c>
      <c r="F2537" s="14">
        <v>278000</v>
      </c>
      <c r="G2537" s="14">
        <v>330000</v>
      </c>
      <c r="H2537" s="13" t="s">
        <v>1572</v>
      </c>
      <c r="I2537" s="40" t="s">
        <v>18</v>
      </c>
      <c r="J2537" s="40" t="str">
        <f>HYPERLINK("https://stock.pstatic.net/stock-research/company/15/20260515_company_904562000.pdf","PDF")</f>
        <v>PDF</v>
      </c>
      <c r="K2537" s="12" t="s">
        <v>1573</v>
      </c>
      <c r="L2537" s="36">
        <v>-0.15757575757575759</v>
      </c>
    </row>
    <row r="2538" spans="1:12" x14ac:dyDescent="0.45">
      <c r="A2538" s="12" t="s">
        <v>1515</v>
      </c>
      <c r="B2538" s="12" t="s">
        <v>1278</v>
      </c>
      <c r="C2538" s="13" t="s">
        <v>1279</v>
      </c>
      <c r="D2538" s="13" t="s">
        <v>83</v>
      </c>
      <c r="E2538" s="12" t="s">
        <v>35</v>
      </c>
      <c r="F2538" s="14">
        <v>335000</v>
      </c>
      <c r="G2538" s="14">
        <v>258000</v>
      </c>
      <c r="H2538" s="13" t="s">
        <v>1574</v>
      </c>
      <c r="I2538" s="40" t="s">
        <v>18</v>
      </c>
      <c r="J2538" s="40" t="str">
        <f>HYPERLINK("https://stock.pstatic.net/stock-research/company/15/20260515_company_846553000.pdf","PDF")</f>
        <v>PDF</v>
      </c>
      <c r="K2538" s="12" t="s">
        <v>1575</v>
      </c>
      <c r="L2538" s="36">
        <v>0.29844961240310081</v>
      </c>
    </row>
    <row r="2539" spans="1:12" x14ac:dyDescent="0.45">
      <c r="A2539" s="12" t="s">
        <v>1515</v>
      </c>
      <c r="B2539" s="12" t="s">
        <v>812</v>
      </c>
      <c r="C2539" s="13" t="s">
        <v>813</v>
      </c>
      <c r="D2539" s="13" t="s">
        <v>83</v>
      </c>
      <c r="E2539" s="12" t="s">
        <v>35</v>
      </c>
      <c r="F2539" s="14">
        <v>140000</v>
      </c>
      <c r="G2539" s="14">
        <v>80300</v>
      </c>
      <c r="H2539" s="13" t="s">
        <v>1576</v>
      </c>
      <c r="I2539" s="40" t="s">
        <v>18</v>
      </c>
      <c r="J2539" s="40" t="str">
        <f>HYPERLINK("https://stock.pstatic.net/stock-research/company/15/20260515_company_279985000.pdf","PDF")</f>
        <v>PDF</v>
      </c>
      <c r="K2539" s="12" t="s">
        <v>1577</v>
      </c>
      <c r="L2539" s="36">
        <v>0.74346201743462015</v>
      </c>
    </row>
    <row r="2540" spans="1:12" x14ac:dyDescent="0.45">
      <c r="A2540" s="12" t="s">
        <v>1515</v>
      </c>
      <c r="B2540" s="12" t="s">
        <v>1105</v>
      </c>
      <c r="C2540" s="13" t="s">
        <v>1106</v>
      </c>
      <c r="D2540" s="13" t="s">
        <v>92</v>
      </c>
      <c r="E2540" s="12" t="s">
        <v>35</v>
      </c>
      <c r="F2540" s="14">
        <v>14000</v>
      </c>
      <c r="G2540" s="14">
        <v>10150</v>
      </c>
      <c r="H2540" s="13" t="s">
        <v>1578</v>
      </c>
      <c r="I2540" s="40" t="s">
        <v>18</v>
      </c>
      <c r="J2540" s="40" t="str">
        <f>HYPERLINK("https://stock.pstatic.net/stock-research/company/63/20260515_company_892710000.pdf","PDF")</f>
        <v>PDF</v>
      </c>
      <c r="K2540" s="12" t="s">
        <v>1579</v>
      </c>
      <c r="L2540" s="36">
        <v>0.37931034482758619</v>
      </c>
    </row>
    <row r="2541" spans="1:12" x14ac:dyDescent="0.45">
      <c r="A2541" s="12" t="s">
        <v>1515</v>
      </c>
      <c r="B2541" s="12" t="s">
        <v>259</v>
      </c>
      <c r="C2541" s="13" t="s">
        <v>260</v>
      </c>
      <c r="D2541" s="13" t="s">
        <v>92</v>
      </c>
      <c r="E2541" s="12" t="s">
        <v>35</v>
      </c>
      <c r="F2541" s="14">
        <v>88000</v>
      </c>
      <c r="G2541" s="14">
        <v>59000</v>
      </c>
      <c r="H2541" s="13" t="s">
        <v>1580</v>
      </c>
      <c r="I2541" s="40" t="s">
        <v>18</v>
      </c>
      <c r="J2541" s="40" t="str">
        <f>HYPERLINK("https://stock.pstatic.net/stock-research/company/63/20260515_company_786881000.pdf","PDF")</f>
        <v>PDF</v>
      </c>
      <c r="K2541" s="12" t="s">
        <v>1581</v>
      </c>
      <c r="L2541" s="36">
        <v>0.49152542372881358</v>
      </c>
    </row>
    <row r="2542" spans="1:12" x14ac:dyDescent="0.45">
      <c r="A2542" s="12" t="s">
        <v>1515</v>
      </c>
      <c r="B2542" s="12" t="s">
        <v>1019</v>
      </c>
      <c r="C2542" s="13" t="s">
        <v>1020</v>
      </c>
      <c r="D2542" s="13" t="s">
        <v>92</v>
      </c>
      <c r="E2542" s="12" t="s">
        <v>35</v>
      </c>
      <c r="F2542" s="14">
        <v>32000</v>
      </c>
      <c r="G2542" s="14">
        <v>19840</v>
      </c>
      <c r="H2542" s="13" t="s">
        <v>1582</v>
      </c>
      <c r="I2542" s="40" t="s">
        <v>18</v>
      </c>
      <c r="J2542" s="40" t="str">
        <f>HYPERLINK("https://stock.pstatic.net/stock-research/company/63/20260515_company_187615000.pdf","PDF")</f>
        <v>PDF</v>
      </c>
      <c r="K2542" s="12" t="s">
        <v>1583</v>
      </c>
      <c r="L2542" s="36">
        <v>0.61290322580645162</v>
      </c>
    </row>
    <row r="2543" spans="1:12" x14ac:dyDescent="0.45">
      <c r="A2543" s="12" t="s">
        <v>1515</v>
      </c>
      <c r="B2543" s="12" t="s">
        <v>259</v>
      </c>
      <c r="C2543" s="13" t="s">
        <v>260</v>
      </c>
      <c r="D2543" s="13" t="s">
        <v>23</v>
      </c>
      <c r="E2543" s="12" t="s">
        <v>16</v>
      </c>
      <c r="F2543" s="14">
        <v>96000</v>
      </c>
      <c r="G2543" s="14">
        <v>59000</v>
      </c>
      <c r="H2543" s="13" t="s">
        <v>1584</v>
      </c>
      <c r="I2543" s="40" t="s">
        <v>18</v>
      </c>
      <c r="J2543" s="40" t="str">
        <f>HYPERLINK("https://stock.pstatic.net/stock-research/company/21/20260515_company_683492000.pdf","PDF")</f>
        <v>PDF</v>
      </c>
      <c r="K2543" s="12" t="s">
        <v>1585</v>
      </c>
      <c r="L2543" s="36">
        <v>0.6271186440677966</v>
      </c>
    </row>
    <row r="2544" spans="1:12" x14ac:dyDescent="0.45">
      <c r="A2544" s="12" t="s">
        <v>1515</v>
      </c>
      <c r="B2544" s="12" t="s">
        <v>691</v>
      </c>
      <c r="C2544" s="13" t="s">
        <v>20</v>
      </c>
      <c r="D2544" s="13" t="s">
        <v>23</v>
      </c>
      <c r="E2544" s="12" t="s">
        <v>16</v>
      </c>
      <c r="F2544" s="14">
        <v>290000</v>
      </c>
      <c r="G2544" s="14">
        <v>195100</v>
      </c>
      <c r="H2544" s="13" t="s">
        <v>1586</v>
      </c>
      <c r="I2544" s="40" t="s">
        <v>18</v>
      </c>
      <c r="J2544" s="40" t="str">
        <f>HYPERLINK("https://stock.pstatic.net/stock-research/company/21/20260515_company_215867000.pdf","PDF")</f>
        <v>PDF</v>
      </c>
      <c r="K2544" s="12" t="s">
        <v>1587</v>
      </c>
      <c r="L2544" s="36">
        <v>0.48641722193746789</v>
      </c>
    </row>
    <row r="2545" spans="1:12" x14ac:dyDescent="0.45">
      <c r="A2545" s="12" t="s">
        <v>1515</v>
      </c>
      <c r="B2545" s="12" t="s">
        <v>259</v>
      </c>
      <c r="C2545" s="13" t="s">
        <v>260</v>
      </c>
      <c r="D2545" s="13" t="s">
        <v>179</v>
      </c>
      <c r="E2545" s="12" t="s">
        <v>16</v>
      </c>
      <c r="F2545" s="14">
        <v>92000</v>
      </c>
      <c r="G2545" s="14">
        <v>59000</v>
      </c>
      <c r="H2545" s="13" t="s">
        <v>1588</v>
      </c>
      <c r="I2545" s="40" t="s">
        <v>18</v>
      </c>
      <c r="J2545" s="40" t="str">
        <f>HYPERLINK("https://stock.pstatic.net/stock-research/company/64/20260515_company_788517000.pdf","PDF")</f>
        <v>PDF</v>
      </c>
      <c r="K2545" s="12" t="s">
        <v>1589</v>
      </c>
      <c r="L2545" s="36">
        <v>0.55932203389830504</v>
      </c>
    </row>
    <row r="2546" spans="1:12" x14ac:dyDescent="0.45">
      <c r="A2546" s="12" t="s">
        <v>1515</v>
      </c>
      <c r="B2546" s="12" t="s">
        <v>1530</v>
      </c>
      <c r="C2546" s="13" t="s">
        <v>1531</v>
      </c>
      <c r="D2546" s="13" t="s">
        <v>92</v>
      </c>
      <c r="E2546" s="12" t="s">
        <v>159</v>
      </c>
      <c r="F2546" s="14">
        <v>22500</v>
      </c>
      <c r="G2546" s="14">
        <v>23700</v>
      </c>
      <c r="H2546" s="13" t="s">
        <v>1590</v>
      </c>
      <c r="I2546" s="40" t="s">
        <v>18</v>
      </c>
      <c r="J2546" s="40" t="str">
        <f>HYPERLINK("https://stock.pstatic.net/stock-research/company/63/20260515_company_736023000.pdf","PDF")</f>
        <v>PDF</v>
      </c>
      <c r="K2546" s="12" t="s">
        <v>1591</v>
      </c>
      <c r="L2546" s="36">
        <v>-5.0632911392405063E-2</v>
      </c>
    </row>
    <row r="2547" spans="1:12" x14ac:dyDescent="0.45">
      <c r="A2547" s="12" t="s">
        <v>1515</v>
      </c>
      <c r="B2547" s="12" t="s">
        <v>1278</v>
      </c>
      <c r="C2547" s="13" t="s">
        <v>1279</v>
      </c>
      <c r="D2547" s="13" t="s">
        <v>179</v>
      </c>
      <c r="E2547" s="12" t="s">
        <v>16</v>
      </c>
      <c r="F2547" s="14">
        <v>410000</v>
      </c>
      <c r="G2547" s="14">
        <v>258000</v>
      </c>
      <c r="H2547" s="13" t="s">
        <v>1592</v>
      </c>
      <c r="I2547" s="40" t="s">
        <v>18</v>
      </c>
      <c r="J2547" s="40" t="str">
        <f>HYPERLINK("https://stock.pstatic.net/stock-research/company/64/20260515_company_506695000.pdf","PDF")</f>
        <v>PDF</v>
      </c>
      <c r="K2547" s="12" t="s">
        <v>1593</v>
      </c>
      <c r="L2547" s="36">
        <v>0.58914728682170547</v>
      </c>
    </row>
    <row r="2548" spans="1:12" x14ac:dyDescent="0.45">
      <c r="A2548" s="12" t="s">
        <v>1515</v>
      </c>
      <c r="B2548" s="12" t="s">
        <v>259</v>
      </c>
      <c r="C2548" s="13" t="s">
        <v>260</v>
      </c>
      <c r="D2548" s="13" t="s">
        <v>34</v>
      </c>
      <c r="E2548" s="12" t="s">
        <v>35</v>
      </c>
      <c r="F2548" s="14">
        <v>90000</v>
      </c>
      <c r="G2548" s="14">
        <v>59000</v>
      </c>
      <c r="H2548" s="13" t="s">
        <v>1594</v>
      </c>
      <c r="I2548" s="40" t="s">
        <v>18</v>
      </c>
      <c r="J2548" s="40" t="str">
        <f>HYPERLINK("https://stock.pstatic.net/stock-research/company/61/20260515_company_460163000.pdf","PDF")</f>
        <v>PDF</v>
      </c>
      <c r="K2548" s="12" t="s">
        <v>1595</v>
      </c>
      <c r="L2548" s="36">
        <v>0.52542372881355937</v>
      </c>
    </row>
    <row r="2549" spans="1:12" x14ac:dyDescent="0.45">
      <c r="A2549" s="12" t="s">
        <v>1515</v>
      </c>
      <c r="B2549" s="12" t="s">
        <v>1278</v>
      </c>
      <c r="C2549" s="13" t="s">
        <v>1279</v>
      </c>
      <c r="D2549" s="13" t="s">
        <v>34</v>
      </c>
      <c r="E2549" s="12" t="s">
        <v>35</v>
      </c>
      <c r="F2549" s="14">
        <v>310000</v>
      </c>
      <c r="G2549" s="14">
        <v>258000</v>
      </c>
      <c r="H2549" s="13" t="s">
        <v>1596</v>
      </c>
      <c r="I2549" s="40" t="s">
        <v>18</v>
      </c>
      <c r="J2549" s="40" t="str">
        <f>HYPERLINK("https://stock.pstatic.net/stock-research/company/61/20260515_company_705746000.pdf","PDF")</f>
        <v>PDF</v>
      </c>
      <c r="K2549" s="12" t="s">
        <v>1597</v>
      </c>
      <c r="L2549" s="36">
        <v>0.20155038759689919</v>
      </c>
    </row>
    <row r="2550" spans="1:12" x14ac:dyDescent="0.45">
      <c r="A2550" s="12" t="s">
        <v>1515</v>
      </c>
      <c r="B2550" s="12" t="s">
        <v>1266</v>
      </c>
      <c r="C2550" s="13" t="s">
        <v>1267</v>
      </c>
      <c r="D2550" s="13" t="s">
        <v>34</v>
      </c>
      <c r="E2550" s="12" t="s">
        <v>35</v>
      </c>
      <c r="F2550" s="14">
        <v>380000</v>
      </c>
      <c r="G2550" s="14">
        <v>330000</v>
      </c>
      <c r="H2550" s="13" t="s">
        <v>1598</v>
      </c>
      <c r="I2550" s="40" t="s">
        <v>18</v>
      </c>
      <c r="J2550" s="40" t="str">
        <f>HYPERLINK("https://stock.pstatic.net/stock-research/company/61/20260515_company_374267000.pdf","PDF")</f>
        <v>PDF</v>
      </c>
      <c r="K2550" s="12" t="s">
        <v>1599</v>
      </c>
      <c r="L2550" s="36">
        <v>0.15151515151515149</v>
      </c>
    </row>
    <row r="2551" spans="1:12" x14ac:dyDescent="0.45">
      <c r="A2551" s="12" t="s">
        <v>1515</v>
      </c>
      <c r="B2551" s="12" t="s">
        <v>1258</v>
      </c>
      <c r="C2551" s="13" t="s">
        <v>1259</v>
      </c>
      <c r="D2551" s="13" t="s">
        <v>34</v>
      </c>
      <c r="E2551" s="12" t="s">
        <v>35</v>
      </c>
      <c r="F2551" s="14">
        <v>630000</v>
      </c>
      <c r="G2551" s="14">
        <v>538000</v>
      </c>
      <c r="H2551" s="13" t="s">
        <v>1600</v>
      </c>
      <c r="I2551" s="40" t="s">
        <v>18</v>
      </c>
      <c r="J2551" s="40" t="str">
        <f>HYPERLINK("https://stock.pstatic.net/stock-research/company/61/20260515_company_200421000.pdf","PDF")</f>
        <v>PDF</v>
      </c>
      <c r="K2551" s="12" t="s">
        <v>1601</v>
      </c>
      <c r="L2551" s="36">
        <v>0.17100371747211901</v>
      </c>
    </row>
    <row r="2552" spans="1:12" x14ac:dyDescent="0.45">
      <c r="A2552" s="12" t="s">
        <v>1515</v>
      </c>
      <c r="B2552" s="12" t="s">
        <v>1602</v>
      </c>
      <c r="C2552" s="13" t="s">
        <v>1603</v>
      </c>
      <c r="D2552" s="13" t="s">
        <v>44</v>
      </c>
      <c r="E2552" s="12" t="s">
        <v>35</v>
      </c>
      <c r="F2552" s="14">
        <v>82000</v>
      </c>
      <c r="G2552" s="14">
        <v>66900</v>
      </c>
      <c r="H2552" s="13" t="s">
        <v>1604</v>
      </c>
      <c r="I2552" s="40" t="s">
        <v>18</v>
      </c>
      <c r="J2552" s="40" t="str">
        <f>HYPERLINK("https://stock.pstatic.net/stock-research/company/39/20260515_company_700909000.pdf","PDF")</f>
        <v>PDF</v>
      </c>
      <c r="K2552" s="12" t="s">
        <v>1605</v>
      </c>
      <c r="L2552" s="36">
        <v>0.22571001494768311</v>
      </c>
    </row>
    <row r="2553" spans="1:12" x14ac:dyDescent="0.45">
      <c r="A2553" s="12" t="s">
        <v>1515</v>
      </c>
      <c r="B2553" s="12" t="s">
        <v>1606</v>
      </c>
      <c r="C2553" s="13" t="s">
        <v>1607</v>
      </c>
      <c r="D2553" s="13" t="s">
        <v>44</v>
      </c>
      <c r="E2553" s="12" t="s">
        <v>35</v>
      </c>
      <c r="F2553" s="14">
        <v>200000</v>
      </c>
      <c r="G2553" s="14">
        <v>155500</v>
      </c>
      <c r="H2553" s="13" t="s">
        <v>1608</v>
      </c>
      <c r="I2553" s="40" t="s">
        <v>18</v>
      </c>
      <c r="J2553" s="40" t="str">
        <f>HYPERLINK("https://stock.pstatic.net/stock-research/company/39/20260515_company_976221000.pdf","PDF")</f>
        <v>PDF</v>
      </c>
      <c r="K2553" s="12" t="s">
        <v>1609</v>
      </c>
      <c r="L2553" s="36">
        <v>0.2861736334405145</v>
      </c>
    </row>
    <row r="2554" spans="1:12" x14ac:dyDescent="0.45">
      <c r="A2554" s="12" t="s">
        <v>1515</v>
      </c>
      <c r="B2554" s="12" t="s">
        <v>1258</v>
      </c>
      <c r="C2554" s="13" t="s">
        <v>1259</v>
      </c>
      <c r="D2554" s="13" t="s">
        <v>44</v>
      </c>
      <c r="E2554" s="12" t="s">
        <v>35</v>
      </c>
      <c r="F2554" s="14">
        <v>750000</v>
      </c>
      <c r="G2554" s="14">
        <v>538000</v>
      </c>
      <c r="H2554" s="13" t="s">
        <v>1610</v>
      </c>
      <c r="I2554" s="40" t="s">
        <v>18</v>
      </c>
      <c r="J2554" s="40" t="str">
        <f>HYPERLINK("https://stock.pstatic.net/stock-research/company/39/20260515_company_459537000.pdf","PDF")</f>
        <v>PDF</v>
      </c>
      <c r="K2554" s="12" t="s">
        <v>1611</v>
      </c>
      <c r="L2554" s="36">
        <v>0.39405204460966542</v>
      </c>
    </row>
    <row r="2555" spans="1:12" x14ac:dyDescent="0.45">
      <c r="A2555" s="12" t="s">
        <v>1515</v>
      </c>
      <c r="B2555" s="12" t="s">
        <v>1266</v>
      </c>
      <c r="C2555" s="13" t="s">
        <v>1267</v>
      </c>
      <c r="D2555" s="13" t="s">
        <v>44</v>
      </c>
      <c r="E2555" s="12" t="s">
        <v>35</v>
      </c>
      <c r="F2555" s="14">
        <v>400000</v>
      </c>
      <c r="G2555" s="14">
        <v>330000</v>
      </c>
      <c r="H2555" s="13" t="s">
        <v>1612</v>
      </c>
      <c r="I2555" s="40" t="s">
        <v>18</v>
      </c>
      <c r="J2555" s="40" t="str">
        <f>HYPERLINK("https://stock.pstatic.net/stock-research/company/39/20260515_company_623386000.pdf","PDF")</f>
        <v>PDF</v>
      </c>
      <c r="K2555" s="12" t="s">
        <v>1613</v>
      </c>
      <c r="L2555" s="36">
        <v>0.2121212121212121</v>
      </c>
    </row>
    <row r="2556" spans="1:12" x14ac:dyDescent="0.45">
      <c r="A2556" s="12" t="s">
        <v>1515</v>
      </c>
      <c r="B2556" s="12" t="s">
        <v>1530</v>
      </c>
      <c r="C2556" s="13" t="s">
        <v>1531</v>
      </c>
      <c r="D2556" s="13" t="s">
        <v>53</v>
      </c>
      <c r="E2556" s="12" t="s">
        <v>385</v>
      </c>
      <c r="F2556" s="14">
        <v>20000</v>
      </c>
      <c r="G2556" s="14">
        <v>23700</v>
      </c>
      <c r="H2556" s="13" t="s">
        <v>1395</v>
      </c>
      <c r="I2556" s="40" t="s">
        <v>18</v>
      </c>
      <c r="J2556" s="40" t="str">
        <f>HYPERLINK("https://stock.pstatic.net/stock-research/company/40/20260515_company_610927000.pdf","PDF")</f>
        <v>PDF</v>
      </c>
      <c r="K2556" s="12" t="s">
        <v>1614</v>
      </c>
      <c r="L2556" s="36">
        <v>-0.15611814345991559</v>
      </c>
    </row>
    <row r="2557" spans="1:12" x14ac:dyDescent="0.45">
      <c r="A2557" s="12" t="s">
        <v>1515</v>
      </c>
      <c r="B2557" s="12" t="s">
        <v>1407</v>
      </c>
      <c r="C2557" s="13" t="s">
        <v>1408</v>
      </c>
      <c r="D2557" s="13" t="s">
        <v>44</v>
      </c>
      <c r="E2557" s="12" t="s">
        <v>35</v>
      </c>
      <c r="F2557" s="14">
        <v>200000</v>
      </c>
      <c r="G2557" s="14">
        <v>161700</v>
      </c>
      <c r="H2557" s="13" t="s">
        <v>1615</v>
      </c>
      <c r="I2557" s="40" t="s">
        <v>18</v>
      </c>
      <c r="J2557" s="40" t="str">
        <f>HYPERLINK("https://stock.pstatic.net/stock-research/company/39/20260515_company_194900000.pdf","PDF")</f>
        <v>PDF</v>
      </c>
      <c r="K2557" s="12" t="s">
        <v>1616</v>
      </c>
      <c r="L2557" s="36">
        <v>0.23685837971552259</v>
      </c>
    </row>
    <row r="2558" spans="1:12" x14ac:dyDescent="0.45">
      <c r="A2558" s="12" t="s">
        <v>1515</v>
      </c>
      <c r="B2558" s="12" t="s">
        <v>1019</v>
      </c>
      <c r="C2558" s="13" t="s">
        <v>1020</v>
      </c>
      <c r="D2558" s="13" t="s">
        <v>44</v>
      </c>
      <c r="E2558" s="12" t="s">
        <v>35</v>
      </c>
      <c r="F2558" s="14">
        <v>28000</v>
      </c>
      <c r="G2558" s="14">
        <v>19840</v>
      </c>
      <c r="H2558" s="13" t="s">
        <v>1617</v>
      </c>
      <c r="I2558" s="40" t="s">
        <v>18</v>
      </c>
      <c r="J2558" s="40" t="str">
        <f>HYPERLINK("https://stock.pstatic.net/stock-research/company/39/20260515_company_894228000.pdf","PDF")</f>
        <v>PDF</v>
      </c>
      <c r="K2558" s="12" t="s">
        <v>1618</v>
      </c>
      <c r="L2558" s="36">
        <v>0.41129032258064518</v>
      </c>
    </row>
    <row r="2559" spans="1:12" x14ac:dyDescent="0.45">
      <c r="A2559" s="12" t="s">
        <v>1515</v>
      </c>
      <c r="B2559" s="12" t="s">
        <v>259</v>
      </c>
      <c r="C2559" s="13" t="s">
        <v>260</v>
      </c>
      <c r="D2559" s="13" t="s">
        <v>44</v>
      </c>
      <c r="E2559" s="12" t="s">
        <v>35</v>
      </c>
      <c r="F2559" s="14">
        <v>100000</v>
      </c>
      <c r="G2559" s="14">
        <v>59000</v>
      </c>
      <c r="H2559" s="13" t="s">
        <v>1619</v>
      </c>
      <c r="I2559" s="40" t="s">
        <v>18</v>
      </c>
      <c r="J2559" s="40" t="str">
        <f>HYPERLINK("https://stock.pstatic.net/stock-research/company/39/20260515_company_650323000.pdf","PDF")</f>
        <v>PDF</v>
      </c>
      <c r="K2559" s="12" t="s">
        <v>1620</v>
      </c>
      <c r="L2559" s="36">
        <v>0.69491525423728817</v>
      </c>
    </row>
    <row r="2560" spans="1:12" x14ac:dyDescent="0.45">
      <c r="A2560" s="12" t="s">
        <v>1515</v>
      </c>
      <c r="B2560" s="12" t="s">
        <v>1621</v>
      </c>
      <c r="C2560" s="13" t="s">
        <v>1622</v>
      </c>
      <c r="D2560" s="13" t="s">
        <v>44</v>
      </c>
      <c r="E2560" s="12" t="s">
        <v>50</v>
      </c>
      <c r="F2560" s="13"/>
      <c r="G2560" s="14">
        <v>8020</v>
      </c>
      <c r="H2560" s="13" t="s">
        <v>1623</v>
      </c>
      <c r="I2560" s="40" t="s">
        <v>18</v>
      </c>
      <c r="J2560" s="40" t="str">
        <f>HYPERLINK("https://stock.pstatic.net/stock-research/company/39/20260515_company_928610000.pdf","PDF")</f>
        <v>PDF</v>
      </c>
      <c r="K2560" s="12" t="s">
        <v>1624</v>
      </c>
      <c r="L2560" s="12"/>
    </row>
    <row r="2561" spans="1:12" x14ac:dyDescent="0.45">
      <c r="A2561" s="12" t="s">
        <v>1515</v>
      </c>
      <c r="B2561" s="12" t="s">
        <v>295</v>
      </c>
      <c r="C2561" s="13" t="s">
        <v>296</v>
      </c>
      <c r="D2561" s="13" t="s">
        <v>124</v>
      </c>
      <c r="E2561" s="12" t="s">
        <v>50</v>
      </c>
      <c r="F2561" s="13"/>
      <c r="G2561" s="13"/>
      <c r="H2561" s="13" t="s">
        <v>1625</v>
      </c>
      <c r="I2561" s="40" t="s">
        <v>18</v>
      </c>
      <c r="J2561" s="40" t="str">
        <f>HYPERLINK("https://stock.pstatic.net/stock-research/company/74/20260515_company_21435000.pdf","PDF")</f>
        <v>PDF</v>
      </c>
      <c r="K2561" s="12" t="s">
        <v>1626</v>
      </c>
      <c r="L2561" s="12"/>
    </row>
    <row r="2562" spans="1:12" x14ac:dyDescent="0.45">
      <c r="A2562" s="12" t="s">
        <v>1515</v>
      </c>
      <c r="B2562" s="12" t="s">
        <v>1069</v>
      </c>
      <c r="C2562" s="13" t="s">
        <v>1070</v>
      </c>
      <c r="D2562" s="13" t="s">
        <v>124</v>
      </c>
      <c r="E2562" s="12" t="s">
        <v>50</v>
      </c>
      <c r="F2562" s="13"/>
      <c r="G2562" s="13"/>
      <c r="H2562" s="13" t="s">
        <v>1627</v>
      </c>
      <c r="I2562" s="40" t="s">
        <v>18</v>
      </c>
      <c r="J2562" s="40" t="str">
        <f>HYPERLINK("https://stock.pstatic.net/stock-research/company/74/20260515_company_619577000.pdf","PDF")</f>
        <v>PDF</v>
      </c>
      <c r="K2562" s="12" t="s">
        <v>1628</v>
      </c>
      <c r="L2562" s="12"/>
    </row>
    <row r="2563" spans="1:12" x14ac:dyDescent="0.45">
      <c r="A2563" s="12" t="s">
        <v>1515</v>
      </c>
      <c r="B2563" s="12" t="s">
        <v>1258</v>
      </c>
      <c r="C2563" s="13" t="s">
        <v>1259</v>
      </c>
      <c r="D2563" s="13" t="s">
        <v>15</v>
      </c>
      <c r="E2563" s="12" t="s">
        <v>385</v>
      </c>
      <c r="F2563" s="14">
        <v>600000</v>
      </c>
      <c r="G2563" s="14">
        <v>538000</v>
      </c>
      <c r="H2563" s="13" t="s">
        <v>1629</v>
      </c>
      <c r="I2563" s="40" t="s">
        <v>18</v>
      </c>
      <c r="J2563" s="40" t="str">
        <f>HYPERLINK("https://stock.pstatic.net/stock-research/company/56/20260515_company_112398000.pdf","PDF")</f>
        <v>PDF</v>
      </c>
      <c r="K2563" s="12" t="s">
        <v>1630</v>
      </c>
      <c r="L2563" s="36">
        <v>0.1152416356877323</v>
      </c>
    </row>
    <row r="2564" spans="1:12" x14ac:dyDescent="0.45">
      <c r="A2564" s="12" t="s">
        <v>1515</v>
      </c>
      <c r="B2564" s="12" t="s">
        <v>1631</v>
      </c>
      <c r="C2564" s="13" t="s">
        <v>1632</v>
      </c>
      <c r="D2564" s="13" t="s">
        <v>202</v>
      </c>
      <c r="E2564" s="12" t="s">
        <v>50</v>
      </c>
      <c r="F2564" s="13"/>
      <c r="G2564" s="13"/>
      <c r="H2564" s="13" t="s">
        <v>1633</v>
      </c>
      <c r="I2564" s="40" t="s">
        <v>18</v>
      </c>
      <c r="J2564" s="40" t="str">
        <f>HYPERLINK("https://stock.pstatic.net/stock-research/company/69/20260515_company_355926000.pdf","PDF")</f>
        <v>PDF</v>
      </c>
      <c r="K2564" s="12" t="s">
        <v>1634</v>
      </c>
      <c r="L2564" s="12"/>
    </row>
    <row r="2565" spans="1:12" x14ac:dyDescent="0.45">
      <c r="A2565" s="12" t="s">
        <v>1515</v>
      </c>
      <c r="B2565" s="12" t="s">
        <v>1635</v>
      </c>
      <c r="C2565" s="13" t="s">
        <v>1636</v>
      </c>
      <c r="D2565" s="13" t="s">
        <v>207</v>
      </c>
      <c r="E2565" s="12" t="s">
        <v>50</v>
      </c>
      <c r="F2565" s="13"/>
      <c r="G2565" s="13"/>
      <c r="H2565" s="13" t="s">
        <v>1637</v>
      </c>
      <c r="I2565" s="40" t="s">
        <v>18</v>
      </c>
      <c r="J2565" s="40" t="str">
        <f>HYPERLINK("https://stock.pstatic.net/stock-research/company/75/20260515_company_859210000.pdf","PDF")</f>
        <v>PDF</v>
      </c>
      <c r="K2565" s="12" t="s">
        <v>1638</v>
      </c>
      <c r="L2565" s="12"/>
    </row>
    <row r="2566" spans="1:12" x14ac:dyDescent="0.45">
      <c r="A2566" s="12" t="s">
        <v>1515</v>
      </c>
      <c r="B2566" s="12" t="s">
        <v>1639</v>
      </c>
      <c r="C2566" s="13" t="s">
        <v>1640</v>
      </c>
      <c r="D2566" s="13" t="s">
        <v>207</v>
      </c>
      <c r="E2566" s="12" t="s">
        <v>50</v>
      </c>
      <c r="F2566" s="13"/>
      <c r="G2566" s="13"/>
      <c r="H2566" s="13" t="s">
        <v>1641</v>
      </c>
      <c r="I2566" s="40" t="s">
        <v>18</v>
      </c>
      <c r="J2566" s="40" t="str">
        <f>HYPERLINK("https://stock.pstatic.net/stock-research/company/75/20260515_company_420263000.pdf","PDF")</f>
        <v>PDF</v>
      </c>
      <c r="K2566" s="12" t="s">
        <v>1642</v>
      </c>
      <c r="L2566" s="12"/>
    </row>
    <row r="2567" spans="1:12" x14ac:dyDescent="0.45">
      <c r="A2567" s="12" t="s">
        <v>1515</v>
      </c>
      <c r="B2567" s="12" t="s">
        <v>856</v>
      </c>
      <c r="C2567" s="13" t="s">
        <v>857</v>
      </c>
      <c r="D2567" s="13" t="s">
        <v>15</v>
      </c>
      <c r="E2567" s="12" t="s">
        <v>16</v>
      </c>
      <c r="F2567" s="14">
        <v>200000</v>
      </c>
      <c r="G2567" s="14">
        <v>138000</v>
      </c>
      <c r="H2567" s="13" t="s">
        <v>1643</v>
      </c>
      <c r="I2567" s="40" t="s">
        <v>18</v>
      </c>
      <c r="J2567" s="40" t="str">
        <f>HYPERLINK("https://stock.pstatic.net/stock-research/company/56/20260515_company_232572000.pdf","PDF")</f>
        <v>PDF</v>
      </c>
      <c r="K2567" s="12" t="s">
        <v>1644</v>
      </c>
      <c r="L2567" s="36">
        <v>0.44927536231884058</v>
      </c>
    </row>
    <row r="2568" spans="1:12" x14ac:dyDescent="0.45">
      <c r="A2568" s="12" t="s">
        <v>1645</v>
      </c>
      <c r="B2568" s="12" t="s">
        <v>916</v>
      </c>
      <c r="C2568" s="13" t="s">
        <v>917</v>
      </c>
      <c r="D2568" s="13" t="s">
        <v>1271</v>
      </c>
      <c r="E2568" s="12" t="s">
        <v>35</v>
      </c>
      <c r="F2568" s="14">
        <v>60000</v>
      </c>
      <c r="G2568" s="14">
        <v>45250</v>
      </c>
      <c r="H2568" s="13" t="s">
        <v>1646</v>
      </c>
      <c r="I2568" s="40" t="s">
        <v>18</v>
      </c>
      <c r="J2568" s="40" t="str">
        <f>HYPERLINK("https://stock.pstatic.net/stock-research/company/78/20260514_company_495336000.pdf","PDF")</f>
        <v>PDF</v>
      </c>
      <c r="K2568" s="12" t="s">
        <v>1647</v>
      </c>
      <c r="L2568" s="36">
        <v>0.32596685082872928</v>
      </c>
    </row>
    <row r="2569" spans="1:12" x14ac:dyDescent="0.45">
      <c r="A2569" s="12" t="s">
        <v>1645</v>
      </c>
      <c r="B2569" s="12" t="s">
        <v>1648</v>
      </c>
      <c r="C2569" s="13" t="s">
        <v>1649</v>
      </c>
      <c r="D2569" s="13" t="s">
        <v>1271</v>
      </c>
      <c r="E2569" s="12" t="s">
        <v>35</v>
      </c>
      <c r="F2569" s="14">
        <v>133000</v>
      </c>
      <c r="G2569" s="14">
        <v>92200</v>
      </c>
      <c r="H2569" s="13" t="s">
        <v>1650</v>
      </c>
      <c r="I2569" s="40" t="s">
        <v>18</v>
      </c>
      <c r="J2569" s="40" t="str">
        <f>HYPERLINK("https://stock.pstatic.net/stock-research/company/78/20260514_company_775533000.pdf","PDF")</f>
        <v>PDF</v>
      </c>
      <c r="K2569" s="12" t="s">
        <v>1651</v>
      </c>
      <c r="L2569" s="36">
        <v>0.44251626898047719</v>
      </c>
    </row>
    <row r="2570" spans="1:12" x14ac:dyDescent="0.45">
      <c r="A2570" s="12" t="s">
        <v>1645</v>
      </c>
      <c r="B2570" s="12" t="s">
        <v>1652</v>
      </c>
      <c r="C2570" s="13" t="s">
        <v>1653</v>
      </c>
      <c r="D2570" s="13" t="s">
        <v>1271</v>
      </c>
      <c r="E2570" s="12" t="s">
        <v>35</v>
      </c>
      <c r="F2570" s="14">
        <v>79000</v>
      </c>
      <c r="G2570" s="14">
        <v>61200</v>
      </c>
      <c r="H2570" s="13" t="s">
        <v>1654</v>
      </c>
      <c r="I2570" s="40" t="s">
        <v>18</v>
      </c>
      <c r="J2570" s="40" t="str">
        <f>HYPERLINK("https://stock.pstatic.net/stock-research/company/78/20260514_company_726137000.pdf","PDF")</f>
        <v>PDF</v>
      </c>
      <c r="K2570" s="12" t="s">
        <v>1655</v>
      </c>
      <c r="L2570" s="36">
        <v>0.2908496732026144</v>
      </c>
    </row>
    <row r="2571" spans="1:12" x14ac:dyDescent="0.45">
      <c r="A2571" s="12" t="s">
        <v>1645</v>
      </c>
      <c r="B2571" s="12" t="s">
        <v>1656</v>
      </c>
      <c r="C2571" s="13" t="s">
        <v>1657</v>
      </c>
      <c r="D2571" s="13" t="s">
        <v>1271</v>
      </c>
      <c r="E2571" s="12" t="s">
        <v>35</v>
      </c>
      <c r="F2571" s="14">
        <v>565000</v>
      </c>
      <c r="G2571" s="14">
        <v>445500</v>
      </c>
      <c r="H2571" s="13" t="s">
        <v>1658</v>
      </c>
      <c r="I2571" s="40" t="s">
        <v>18</v>
      </c>
      <c r="J2571" s="40" t="str">
        <f>HYPERLINK("https://stock.pstatic.net/stock-research/company/78/20260514_company_582786000.pdf","PDF")</f>
        <v>PDF</v>
      </c>
      <c r="K2571" s="12" t="s">
        <v>1659</v>
      </c>
      <c r="L2571" s="36">
        <v>0.26823793490460163</v>
      </c>
    </row>
    <row r="2572" spans="1:12" x14ac:dyDescent="0.45">
      <c r="A2572" s="12" t="s">
        <v>1645</v>
      </c>
      <c r="B2572" s="12" t="s">
        <v>1660</v>
      </c>
      <c r="C2572" s="13" t="s">
        <v>1661</v>
      </c>
      <c r="D2572" s="13" t="s">
        <v>1271</v>
      </c>
      <c r="E2572" s="12" t="s">
        <v>35</v>
      </c>
      <c r="F2572" s="14">
        <v>47000</v>
      </c>
      <c r="G2572" s="14">
        <v>33800</v>
      </c>
      <c r="H2572" s="13" t="s">
        <v>1662</v>
      </c>
      <c r="I2572" s="40" t="s">
        <v>18</v>
      </c>
      <c r="J2572" s="40" t="str">
        <f>HYPERLINK("https://stock.pstatic.net/stock-research/company/78/20260514_company_538180000.pdf","PDF")</f>
        <v>PDF</v>
      </c>
      <c r="K2572" s="12" t="s">
        <v>1663</v>
      </c>
      <c r="L2572" s="36">
        <v>0.39053254437869822</v>
      </c>
    </row>
    <row r="2573" spans="1:12" x14ac:dyDescent="0.45">
      <c r="A2573" s="12" t="s">
        <v>1645</v>
      </c>
      <c r="B2573" s="12" t="s">
        <v>1350</v>
      </c>
      <c r="C2573" s="13" t="s">
        <v>1351</v>
      </c>
      <c r="D2573" s="13" t="s">
        <v>1271</v>
      </c>
      <c r="E2573" s="12" t="s">
        <v>35</v>
      </c>
      <c r="F2573" s="14">
        <v>45000</v>
      </c>
      <c r="G2573" s="14">
        <v>31450</v>
      </c>
      <c r="H2573" s="13" t="s">
        <v>1664</v>
      </c>
      <c r="I2573" s="40" t="s">
        <v>18</v>
      </c>
      <c r="J2573" s="40" t="str">
        <f>HYPERLINK("https://stock.pstatic.net/stock-research/company/78/20260514_company_53622000.pdf","PDF")</f>
        <v>PDF</v>
      </c>
      <c r="K2573" s="12" t="s">
        <v>1665</v>
      </c>
      <c r="L2573" s="36">
        <v>0.43084260731319562</v>
      </c>
    </row>
    <row r="2574" spans="1:12" x14ac:dyDescent="0.45">
      <c r="A2574" s="12" t="s">
        <v>1645</v>
      </c>
      <c r="B2574" s="12" t="s">
        <v>1666</v>
      </c>
      <c r="C2574" s="13" t="s">
        <v>1667</v>
      </c>
      <c r="D2574" s="13" t="s">
        <v>1271</v>
      </c>
      <c r="E2574" s="12" t="s">
        <v>35</v>
      </c>
      <c r="F2574" s="14">
        <v>59000</v>
      </c>
      <c r="G2574" s="14">
        <v>47100</v>
      </c>
      <c r="H2574" s="13" t="s">
        <v>1668</v>
      </c>
      <c r="I2574" s="40" t="s">
        <v>18</v>
      </c>
      <c r="J2574" s="40" t="str">
        <f>HYPERLINK("https://stock.pstatic.net/stock-research/company/78/20260514_company_198450000.pdf","PDF")</f>
        <v>PDF</v>
      </c>
      <c r="K2574" s="12" t="s">
        <v>1669</v>
      </c>
      <c r="L2574" s="36">
        <v>0.25265392781316348</v>
      </c>
    </row>
    <row r="2575" spans="1:12" x14ac:dyDescent="0.45">
      <c r="A2575" s="12" t="s">
        <v>1645</v>
      </c>
      <c r="B2575" s="12" t="s">
        <v>1670</v>
      </c>
      <c r="C2575" s="13" t="s">
        <v>1671</v>
      </c>
      <c r="D2575" s="13" t="s">
        <v>1271</v>
      </c>
      <c r="E2575" s="12" t="s">
        <v>35</v>
      </c>
      <c r="F2575" s="14">
        <v>175000</v>
      </c>
      <c r="G2575" s="14">
        <v>131800</v>
      </c>
      <c r="H2575" s="13" t="s">
        <v>1672</v>
      </c>
      <c r="I2575" s="40" t="s">
        <v>18</v>
      </c>
      <c r="J2575" s="40" t="str">
        <f>HYPERLINK("https://stock.pstatic.net/stock-research/company/78/20260514_company_519349000.pdf","PDF")</f>
        <v>PDF</v>
      </c>
      <c r="K2575" s="12" t="s">
        <v>1673</v>
      </c>
      <c r="L2575" s="36">
        <v>0.3277693474962064</v>
      </c>
    </row>
    <row r="2576" spans="1:12" x14ac:dyDescent="0.45">
      <c r="A2576" s="12" t="s">
        <v>1645</v>
      </c>
      <c r="B2576" s="12" t="s">
        <v>1674</v>
      </c>
      <c r="C2576" s="13" t="s">
        <v>1675</v>
      </c>
      <c r="D2576" s="13" t="s">
        <v>1271</v>
      </c>
      <c r="E2576" s="12" t="s">
        <v>35</v>
      </c>
      <c r="F2576" s="14">
        <v>800000</v>
      </c>
      <c r="G2576" s="14">
        <v>623000</v>
      </c>
      <c r="H2576" s="13" t="s">
        <v>1676</v>
      </c>
      <c r="I2576" s="40" t="s">
        <v>18</v>
      </c>
      <c r="J2576" s="40" t="str">
        <f>HYPERLINK("https://stock.pstatic.net/stock-research/company/78/20260514_company_41314000.pdf","PDF")</f>
        <v>PDF</v>
      </c>
      <c r="K2576" s="12" t="s">
        <v>1677</v>
      </c>
      <c r="L2576" s="36">
        <v>0.2841091492776886</v>
      </c>
    </row>
    <row r="2577" spans="1:12" x14ac:dyDescent="0.45">
      <c r="A2577" s="12" t="s">
        <v>1645</v>
      </c>
      <c r="B2577" s="12" t="s">
        <v>1678</v>
      </c>
      <c r="C2577" s="13" t="s">
        <v>1679</v>
      </c>
      <c r="D2577" s="13" t="s">
        <v>1271</v>
      </c>
      <c r="E2577" s="12" t="s">
        <v>35</v>
      </c>
      <c r="F2577" s="14">
        <v>71000</v>
      </c>
      <c r="G2577" s="14">
        <v>50100</v>
      </c>
      <c r="H2577" s="13" t="s">
        <v>1680</v>
      </c>
      <c r="I2577" s="40" t="s">
        <v>18</v>
      </c>
      <c r="J2577" s="40" t="str">
        <f>HYPERLINK("https://stock.pstatic.net/stock-research/company/78/20260514_company_871506000.pdf","PDF")</f>
        <v>PDF</v>
      </c>
      <c r="K2577" s="12" t="s">
        <v>1681</v>
      </c>
      <c r="L2577" s="36">
        <v>0.41716566866267463</v>
      </c>
    </row>
    <row r="2578" spans="1:12" x14ac:dyDescent="0.45">
      <c r="A2578" s="12" t="s">
        <v>1645</v>
      </c>
      <c r="B2578" s="12" t="s">
        <v>1682</v>
      </c>
      <c r="C2578" s="13" t="s">
        <v>1683</v>
      </c>
      <c r="D2578" s="13" t="s">
        <v>57</v>
      </c>
      <c r="E2578" s="12" t="s">
        <v>35</v>
      </c>
      <c r="F2578" s="14">
        <v>350000</v>
      </c>
      <c r="G2578" s="14">
        <v>263000</v>
      </c>
      <c r="H2578" s="13" t="s">
        <v>1684</v>
      </c>
      <c r="I2578" s="40" t="s">
        <v>18</v>
      </c>
      <c r="J2578" s="40" t="str">
        <f>HYPERLINK("https://stock.pstatic.net/stock-research/company/16/20260514_company_471488000.pdf","PDF")</f>
        <v>PDF</v>
      </c>
      <c r="K2578" s="12" t="s">
        <v>1685</v>
      </c>
      <c r="L2578" s="36">
        <v>0.33079847908745252</v>
      </c>
    </row>
    <row r="2579" spans="1:12" x14ac:dyDescent="0.45">
      <c r="A2579" s="12" t="s">
        <v>1645</v>
      </c>
      <c r="B2579" s="12" t="s">
        <v>1686</v>
      </c>
      <c r="C2579" s="13" t="s">
        <v>1687</v>
      </c>
      <c r="D2579" s="13" t="s">
        <v>57</v>
      </c>
      <c r="E2579" s="12" t="s">
        <v>35</v>
      </c>
      <c r="F2579" s="14">
        <v>2000000</v>
      </c>
      <c r="G2579" s="14">
        <v>1295000</v>
      </c>
      <c r="H2579" s="13" t="s">
        <v>1688</v>
      </c>
      <c r="I2579" s="40" t="s">
        <v>18</v>
      </c>
      <c r="J2579" s="40" t="str">
        <f>HYPERLINK("https://stock.pstatic.net/stock-research/company/16/20260514_company_323251000.pdf","PDF")</f>
        <v>PDF</v>
      </c>
      <c r="K2579" s="12" t="s">
        <v>1689</v>
      </c>
      <c r="L2579" s="36">
        <v>0.54440154440154442</v>
      </c>
    </row>
    <row r="2580" spans="1:12" x14ac:dyDescent="0.45">
      <c r="A2580" s="12" t="s">
        <v>1645</v>
      </c>
      <c r="B2580" s="12" t="s">
        <v>1690</v>
      </c>
      <c r="C2580" s="13" t="s">
        <v>1691</v>
      </c>
      <c r="D2580" s="13" t="s">
        <v>57</v>
      </c>
      <c r="E2580" s="12" t="s">
        <v>35</v>
      </c>
      <c r="F2580" s="14">
        <v>190000</v>
      </c>
      <c r="G2580" s="14">
        <v>129700</v>
      </c>
      <c r="H2580" s="13" t="s">
        <v>1692</v>
      </c>
      <c r="I2580" s="40" t="s">
        <v>18</v>
      </c>
      <c r="J2580" s="40" t="str">
        <f>HYPERLINK("https://stock.pstatic.net/stock-research/company/16/20260514_company_915860000.pdf","PDF")</f>
        <v>PDF</v>
      </c>
      <c r="K2580" s="12" t="s">
        <v>1693</v>
      </c>
      <c r="L2580" s="36">
        <v>0.46491904394757128</v>
      </c>
    </row>
    <row r="2581" spans="1:12" x14ac:dyDescent="0.45">
      <c r="A2581" s="12" t="s">
        <v>1645</v>
      </c>
      <c r="B2581" s="12" t="s">
        <v>1694</v>
      </c>
      <c r="C2581" s="13" t="s">
        <v>1695</v>
      </c>
      <c r="D2581" s="13" t="s">
        <v>60</v>
      </c>
      <c r="E2581" s="12" t="s">
        <v>35</v>
      </c>
      <c r="F2581" s="14">
        <v>70000</v>
      </c>
      <c r="G2581" s="14">
        <v>51000</v>
      </c>
      <c r="H2581" s="13" t="s">
        <v>1696</v>
      </c>
      <c r="I2581" s="40" t="s">
        <v>18</v>
      </c>
      <c r="J2581" s="40" t="str">
        <f>HYPERLINK("https://stock.pstatic.net/stock-research/company/62/20260514_company_435269000.pdf","PDF")</f>
        <v>PDF</v>
      </c>
      <c r="K2581" s="12" t="s">
        <v>1697</v>
      </c>
      <c r="L2581" s="36">
        <v>0.37254901960784309</v>
      </c>
    </row>
    <row r="2582" spans="1:12" x14ac:dyDescent="0.45">
      <c r="A2582" s="12" t="s">
        <v>1645</v>
      </c>
      <c r="B2582" s="12" t="s">
        <v>442</v>
      </c>
      <c r="C2582" s="13" t="s">
        <v>443</v>
      </c>
      <c r="D2582" s="13" t="s">
        <v>57</v>
      </c>
      <c r="E2582" s="12" t="s">
        <v>35</v>
      </c>
      <c r="F2582" s="14">
        <v>24000</v>
      </c>
      <c r="G2582" s="14">
        <v>17990</v>
      </c>
      <c r="H2582" s="13" t="s">
        <v>1698</v>
      </c>
      <c r="I2582" s="40" t="s">
        <v>18</v>
      </c>
      <c r="J2582" s="40" t="str">
        <f>HYPERLINK("https://stock.pstatic.net/stock-research/company/16/20260514_company_5395000.pdf","PDF")</f>
        <v>PDF</v>
      </c>
      <c r="K2582" s="12" t="s">
        <v>1699</v>
      </c>
      <c r="L2582" s="36">
        <v>0.33407448582545862</v>
      </c>
    </row>
    <row r="2583" spans="1:12" x14ac:dyDescent="0.45">
      <c r="A2583" s="12" t="s">
        <v>1645</v>
      </c>
      <c r="B2583" s="12" t="s">
        <v>888</v>
      </c>
      <c r="C2583" s="13" t="s">
        <v>889</v>
      </c>
      <c r="D2583" s="13" t="s">
        <v>60</v>
      </c>
      <c r="E2583" s="12" t="s">
        <v>35</v>
      </c>
      <c r="F2583" s="14">
        <v>70000</v>
      </c>
      <c r="G2583" s="14">
        <v>57100</v>
      </c>
      <c r="H2583" s="13" t="s">
        <v>1700</v>
      </c>
      <c r="I2583" s="40" t="s">
        <v>18</v>
      </c>
      <c r="J2583" s="40" t="str">
        <f>HYPERLINK("https://stock.pstatic.net/stock-research/company/62/20260515_company_318655000.pdf","PDF")</f>
        <v>PDF</v>
      </c>
      <c r="K2583" s="12" t="s">
        <v>1701</v>
      </c>
      <c r="L2583" s="36">
        <v>0.2259194395796848</v>
      </c>
    </row>
    <row r="2584" spans="1:12" x14ac:dyDescent="0.45">
      <c r="A2584" s="12" t="s">
        <v>1645</v>
      </c>
      <c r="B2584" s="12" t="s">
        <v>446</v>
      </c>
      <c r="C2584" s="13" t="s">
        <v>447</v>
      </c>
      <c r="D2584" s="13" t="s">
        <v>57</v>
      </c>
      <c r="E2584" s="12" t="s">
        <v>35</v>
      </c>
      <c r="F2584" s="14">
        <v>27000</v>
      </c>
      <c r="G2584" s="14">
        <v>17030</v>
      </c>
      <c r="H2584" s="13" t="s">
        <v>1702</v>
      </c>
      <c r="I2584" s="40" t="s">
        <v>18</v>
      </c>
      <c r="J2584" s="40" t="str">
        <f>HYPERLINK("https://stock.pstatic.net/stock-research/company/16/20260514_company_283308000.pdf","PDF")</f>
        <v>PDF</v>
      </c>
      <c r="K2584" s="12" t="s">
        <v>1703</v>
      </c>
      <c r="L2584" s="36">
        <v>0.58543746330005875</v>
      </c>
    </row>
    <row r="2585" spans="1:12" x14ac:dyDescent="0.45">
      <c r="A2585" s="12" t="s">
        <v>1645</v>
      </c>
      <c r="B2585" s="12" t="s">
        <v>118</v>
      </c>
      <c r="C2585" s="13" t="s">
        <v>119</v>
      </c>
      <c r="D2585" s="13" t="s">
        <v>57</v>
      </c>
      <c r="E2585" s="12" t="s">
        <v>35</v>
      </c>
      <c r="F2585" s="14">
        <v>130000</v>
      </c>
      <c r="G2585" s="14">
        <v>107100</v>
      </c>
      <c r="H2585" s="13" t="s">
        <v>1704</v>
      </c>
      <c r="I2585" s="40" t="s">
        <v>18</v>
      </c>
      <c r="J2585" s="40" t="str">
        <f>HYPERLINK("https://stock.pstatic.net/stock-research/company/16/20260514_company_752905000.pdf","PDF")</f>
        <v>PDF</v>
      </c>
      <c r="K2585" s="12" t="s">
        <v>1705</v>
      </c>
      <c r="L2585" s="36">
        <v>0.2138188608776844</v>
      </c>
    </row>
    <row r="2586" spans="1:12" x14ac:dyDescent="0.45">
      <c r="A2586" s="12" t="s">
        <v>1645</v>
      </c>
      <c r="B2586" s="12" t="s">
        <v>118</v>
      </c>
      <c r="C2586" s="13" t="s">
        <v>119</v>
      </c>
      <c r="D2586" s="13" t="s">
        <v>60</v>
      </c>
      <c r="E2586" s="12" t="s">
        <v>35</v>
      </c>
      <c r="F2586" s="14">
        <v>130000</v>
      </c>
      <c r="G2586" s="14">
        <v>106000</v>
      </c>
      <c r="H2586" s="13" t="s">
        <v>1706</v>
      </c>
      <c r="I2586" s="40" t="s">
        <v>18</v>
      </c>
      <c r="J2586" s="40" t="str">
        <f>HYPERLINK("https://stock.pstatic.net/stock-research/company/62/20260514_company_14710000.pdf","PDF")</f>
        <v>PDF</v>
      </c>
      <c r="K2586" s="12" t="s">
        <v>1707</v>
      </c>
      <c r="L2586" s="36">
        <v>0.22641509433962259</v>
      </c>
    </row>
    <row r="2587" spans="1:12" x14ac:dyDescent="0.45">
      <c r="A2587" s="12" t="s">
        <v>1645</v>
      </c>
      <c r="B2587" s="12" t="s">
        <v>1686</v>
      </c>
      <c r="C2587" s="13" t="s">
        <v>1687</v>
      </c>
      <c r="D2587" s="13" t="s">
        <v>276</v>
      </c>
      <c r="E2587" s="12" t="s">
        <v>16</v>
      </c>
      <c r="F2587" s="14">
        <v>1900000</v>
      </c>
      <c r="G2587" s="14">
        <v>1295000</v>
      </c>
      <c r="H2587" s="13" t="s">
        <v>1708</v>
      </c>
      <c r="I2587" s="40" t="s">
        <v>18</v>
      </c>
      <c r="J2587" s="40" t="str">
        <f>HYPERLINK("https://stock.pstatic.net/stock-research/company/66/20260514_company_763645000.pdf","PDF")</f>
        <v>PDF</v>
      </c>
      <c r="K2587" s="12" t="s">
        <v>1709</v>
      </c>
      <c r="L2587" s="36">
        <v>0.46718146718146719</v>
      </c>
    </row>
    <row r="2588" spans="1:12" x14ac:dyDescent="0.45">
      <c r="A2588" s="12" t="s">
        <v>1645</v>
      </c>
      <c r="B2588" s="12" t="s">
        <v>1686</v>
      </c>
      <c r="C2588" s="13" t="s">
        <v>1687</v>
      </c>
      <c r="D2588" s="13" t="s">
        <v>158</v>
      </c>
      <c r="E2588" s="12" t="s">
        <v>35</v>
      </c>
      <c r="F2588" s="14">
        <v>2000000</v>
      </c>
      <c r="G2588" s="14">
        <v>1295000</v>
      </c>
      <c r="H2588" s="13" t="s">
        <v>1710</v>
      </c>
      <c r="I2588" s="40" t="s">
        <v>18</v>
      </c>
      <c r="J2588" s="40" t="str">
        <f>HYPERLINK("https://stock.pstatic.net/stock-research/company/18/20260514_company_356814000.pdf","PDF")</f>
        <v>PDF</v>
      </c>
      <c r="K2588" s="12" t="s">
        <v>1711</v>
      </c>
      <c r="L2588" s="36">
        <v>0.54440154440154442</v>
      </c>
    </row>
    <row r="2589" spans="1:12" x14ac:dyDescent="0.45">
      <c r="A2589" s="12" t="s">
        <v>1645</v>
      </c>
      <c r="B2589" s="12" t="s">
        <v>1712</v>
      </c>
      <c r="C2589" s="13" t="s">
        <v>1713</v>
      </c>
      <c r="D2589" s="13" t="s">
        <v>158</v>
      </c>
      <c r="E2589" s="12" t="s">
        <v>50</v>
      </c>
      <c r="F2589" s="13"/>
      <c r="G2589" s="14">
        <v>21100</v>
      </c>
      <c r="H2589" s="13" t="s">
        <v>1714</v>
      </c>
      <c r="I2589" s="40" t="s">
        <v>18</v>
      </c>
      <c r="J2589" s="40" t="str">
        <f>HYPERLINK("https://stock.pstatic.net/stock-research/company/18/20260514_company_791303000.pdf","PDF")</f>
        <v>PDF</v>
      </c>
      <c r="K2589" s="12" t="s">
        <v>1715</v>
      </c>
      <c r="L2589" s="12"/>
    </row>
    <row r="2590" spans="1:12" x14ac:dyDescent="0.45">
      <c r="A2590" s="12" t="s">
        <v>1645</v>
      </c>
      <c r="B2590" s="12" t="s">
        <v>1682</v>
      </c>
      <c r="C2590" s="13" t="s">
        <v>1683</v>
      </c>
      <c r="D2590" s="13" t="s">
        <v>60</v>
      </c>
      <c r="E2590" s="12" t="s">
        <v>35</v>
      </c>
      <c r="F2590" s="14">
        <v>375000</v>
      </c>
      <c r="G2590" s="14">
        <v>263000</v>
      </c>
      <c r="H2590" s="13" t="s">
        <v>1716</v>
      </c>
      <c r="I2590" s="40" t="s">
        <v>18</v>
      </c>
      <c r="J2590" s="40" t="str">
        <f>HYPERLINK("https://stock.pstatic.net/stock-research/company/62/20260514_company_978483000.pdf","PDF")</f>
        <v>PDF</v>
      </c>
      <c r="K2590" s="12" t="s">
        <v>1717</v>
      </c>
      <c r="L2590" s="36">
        <v>0.42585551330798482</v>
      </c>
    </row>
    <row r="2591" spans="1:12" x14ac:dyDescent="0.45">
      <c r="A2591" s="12" t="s">
        <v>1645</v>
      </c>
      <c r="B2591" s="12" t="s">
        <v>142</v>
      </c>
      <c r="C2591" s="13" t="s">
        <v>143</v>
      </c>
      <c r="D2591" s="13" t="s">
        <v>158</v>
      </c>
      <c r="E2591" s="12" t="s">
        <v>50</v>
      </c>
      <c r="F2591" s="13"/>
      <c r="G2591" s="14">
        <v>23250</v>
      </c>
      <c r="H2591" s="13" t="s">
        <v>1718</v>
      </c>
      <c r="I2591" s="40" t="s">
        <v>18</v>
      </c>
      <c r="J2591" s="40" t="str">
        <f>HYPERLINK("https://stock.pstatic.net/stock-research/company/18/20260514_company_989702000.pdf","PDF")</f>
        <v>PDF</v>
      </c>
      <c r="K2591" s="12" t="s">
        <v>1719</v>
      </c>
      <c r="L2591" s="12"/>
    </row>
    <row r="2592" spans="1:12" x14ac:dyDescent="0.45">
      <c r="A2592" s="12" t="s">
        <v>1645</v>
      </c>
      <c r="B2592" s="12" t="s">
        <v>1682</v>
      </c>
      <c r="C2592" s="13" t="s">
        <v>1683</v>
      </c>
      <c r="D2592" s="13" t="s">
        <v>158</v>
      </c>
      <c r="E2592" s="12" t="s">
        <v>35</v>
      </c>
      <c r="F2592" s="14">
        <v>360000</v>
      </c>
      <c r="G2592" s="14">
        <v>263000</v>
      </c>
      <c r="H2592" s="13" t="s">
        <v>1720</v>
      </c>
      <c r="I2592" s="40" t="s">
        <v>18</v>
      </c>
      <c r="J2592" s="40" t="str">
        <f>HYPERLINK("https://stock.pstatic.net/stock-research/company/18/20260514_company_776643000.pdf","PDF")</f>
        <v>PDF</v>
      </c>
      <c r="K2592" s="12" t="s">
        <v>1721</v>
      </c>
      <c r="L2592" s="36">
        <v>0.36882129277566539</v>
      </c>
    </row>
    <row r="2593" spans="1:12" x14ac:dyDescent="0.45">
      <c r="A2593" s="12" t="s">
        <v>1645</v>
      </c>
      <c r="B2593" s="12" t="s">
        <v>1722</v>
      </c>
      <c r="C2593" s="13" t="s">
        <v>1723</v>
      </c>
      <c r="D2593" s="13" t="s">
        <v>15</v>
      </c>
      <c r="E2593" s="12" t="s">
        <v>50</v>
      </c>
      <c r="F2593" s="13"/>
      <c r="G2593" s="14">
        <v>7010</v>
      </c>
      <c r="H2593" s="13" t="s">
        <v>1724</v>
      </c>
      <c r="I2593" s="40" t="s">
        <v>18</v>
      </c>
      <c r="J2593" s="40" t="str">
        <f>HYPERLINK("https://stock.pstatic.net/stock-research/company/56/20260514_company_523424000.pdf","PDF")</f>
        <v>PDF</v>
      </c>
      <c r="K2593" s="12" t="s">
        <v>1725</v>
      </c>
      <c r="L2593" s="12"/>
    </row>
    <row r="2594" spans="1:12" x14ac:dyDescent="0.45">
      <c r="A2594" s="12" t="s">
        <v>1645</v>
      </c>
      <c r="B2594" s="12" t="s">
        <v>1686</v>
      </c>
      <c r="C2594" s="13" t="s">
        <v>1687</v>
      </c>
      <c r="D2594" s="13" t="s">
        <v>60</v>
      </c>
      <c r="E2594" s="12" t="s">
        <v>35</v>
      </c>
      <c r="F2594" s="14">
        <v>1860000</v>
      </c>
      <c r="G2594" s="14">
        <v>1295000</v>
      </c>
      <c r="H2594" s="13" t="s">
        <v>1726</v>
      </c>
      <c r="I2594" s="40" t="s">
        <v>18</v>
      </c>
      <c r="J2594" s="40" t="str">
        <f>HYPERLINK("https://stock.pstatic.net/stock-research/company/62/20260514_company_231402000.pdf","PDF")</f>
        <v>PDF</v>
      </c>
      <c r="K2594" s="12" t="s">
        <v>1727</v>
      </c>
      <c r="L2594" s="36">
        <v>0.43629343629343631</v>
      </c>
    </row>
    <row r="2595" spans="1:12" x14ac:dyDescent="0.45">
      <c r="A2595" s="12" t="s">
        <v>1645</v>
      </c>
      <c r="B2595" s="12" t="s">
        <v>1690</v>
      </c>
      <c r="C2595" s="13" t="s">
        <v>1691</v>
      </c>
      <c r="D2595" s="13" t="s">
        <v>23</v>
      </c>
      <c r="E2595" s="12" t="s">
        <v>16</v>
      </c>
      <c r="F2595" s="14">
        <v>170000</v>
      </c>
      <c r="G2595" s="14">
        <v>129700</v>
      </c>
      <c r="H2595" s="13" t="s">
        <v>1728</v>
      </c>
      <c r="I2595" s="40" t="s">
        <v>18</v>
      </c>
      <c r="J2595" s="40" t="str">
        <f>HYPERLINK("https://stock.pstatic.net/stock-research/company/21/20260514_company_104140000.pdf","PDF")</f>
        <v>PDF</v>
      </c>
      <c r="K2595" s="12" t="s">
        <v>1729</v>
      </c>
      <c r="L2595" s="36">
        <v>0.31071703932151118</v>
      </c>
    </row>
    <row r="2596" spans="1:12" x14ac:dyDescent="0.45">
      <c r="A2596" s="12" t="s">
        <v>1645</v>
      </c>
      <c r="B2596" s="12" t="s">
        <v>76</v>
      </c>
      <c r="C2596" s="13" t="s">
        <v>77</v>
      </c>
      <c r="D2596" s="13" t="s">
        <v>15</v>
      </c>
      <c r="E2596" s="12" t="s">
        <v>16</v>
      </c>
      <c r="F2596" s="14">
        <v>24000</v>
      </c>
      <c r="G2596" s="14">
        <v>19830</v>
      </c>
      <c r="H2596" s="13" t="s">
        <v>1730</v>
      </c>
      <c r="I2596" s="40" t="s">
        <v>18</v>
      </c>
      <c r="J2596" s="40" t="str">
        <f>HYPERLINK("https://stock.pstatic.net/stock-research/company/56/20260514_company_424458000.pdf","PDF")</f>
        <v>PDF</v>
      </c>
      <c r="K2596" s="12" t="s">
        <v>1731</v>
      </c>
      <c r="L2596" s="36">
        <v>0.2102874432677761</v>
      </c>
    </row>
    <row r="2597" spans="1:12" x14ac:dyDescent="0.45">
      <c r="A2597" s="12" t="s">
        <v>1645</v>
      </c>
      <c r="B2597" s="12" t="s">
        <v>1262</v>
      </c>
      <c r="C2597" s="13" t="s">
        <v>1263</v>
      </c>
      <c r="D2597" s="13" t="s">
        <v>65</v>
      </c>
      <c r="E2597" s="12" t="s">
        <v>35</v>
      </c>
      <c r="F2597" s="14">
        <v>7300</v>
      </c>
      <c r="G2597" s="14">
        <v>4980</v>
      </c>
      <c r="H2597" s="13" t="s">
        <v>1732</v>
      </c>
      <c r="I2597" s="40" t="s">
        <v>18</v>
      </c>
      <c r="J2597" s="40" t="str">
        <f>HYPERLINK("https://stock.pstatic.net/stock-research/company/57/20260514_company_819170000.pdf","PDF")</f>
        <v>PDF</v>
      </c>
      <c r="K2597" s="12" t="s">
        <v>1733</v>
      </c>
      <c r="L2597" s="36">
        <v>0.46586345381526112</v>
      </c>
    </row>
    <row r="2598" spans="1:12" x14ac:dyDescent="0.45">
      <c r="A2598" s="12" t="s">
        <v>1645</v>
      </c>
      <c r="B2598" s="12" t="s">
        <v>1734</v>
      </c>
      <c r="C2598" s="13" t="s">
        <v>1735</v>
      </c>
      <c r="D2598" s="13" t="s">
        <v>65</v>
      </c>
      <c r="E2598" s="12" t="s">
        <v>35</v>
      </c>
      <c r="F2598" s="14">
        <v>55000</v>
      </c>
      <c r="G2598" s="14">
        <v>37300</v>
      </c>
      <c r="H2598" s="13" t="s">
        <v>1736</v>
      </c>
      <c r="I2598" s="40" t="s">
        <v>18</v>
      </c>
      <c r="J2598" s="40" t="str">
        <f>HYPERLINK("https://stock.pstatic.net/stock-research/company/57/20260514_company_603678000.pdf","PDF")</f>
        <v>PDF</v>
      </c>
      <c r="K2598" s="12" t="s">
        <v>1737</v>
      </c>
      <c r="L2598" s="36">
        <v>0.47453083109919569</v>
      </c>
    </row>
    <row r="2599" spans="1:12" x14ac:dyDescent="0.45">
      <c r="A2599" s="12" t="s">
        <v>1645</v>
      </c>
      <c r="B2599" s="12" t="s">
        <v>1140</v>
      </c>
      <c r="C2599" s="13" t="s">
        <v>1141</v>
      </c>
      <c r="D2599" s="13" t="s">
        <v>65</v>
      </c>
      <c r="E2599" s="12" t="s">
        <v>1738</v>
      </c>
      <c r="F2599" s="14">
        <v>45000</v>
      </c>
      <c r="G2599" s="14">
        <v>40750</v>
      </c>
      <c r="H2599" s="13" t="s">
        <v>1739</v>
      </c>
      <c r="I2599" s="40" t="s">
        <v>18</v>
      </c>
      <c r="J2599" s="40" t="str">
        <f>HYPERLINK("https://stock.pstatic.net/stock-research/company/57/20260514_company_944553000.pdf","PDF")</f>
        <v>PDF</v>
      </c>
      <c r="K2599" s="12" t="s">
        <v>1740</v>
      </c>
      <c r="L2599" s="36">
        <v>0.1042944785276074</v>
      </c>
    </row>
    <row r="2600" spans="1:12" x14ac:dyDescent="0.45">
      <c r="A2600" s="12" t="s">
        <v>1645</v>
      </c>
      <c r="B2600" s="12" t="s">
        <v>1741</v>
      </c>
      <c r="C2600" s="13" t="s">
        <v>1742</v>
      </c>
      <c r="D2600" s="13" t="s">
        <v>65</v>
      </c>
      <c r="E2600" s="12" t="s">
        <v>35</v>
      </c>
      <c r="F2600" s="14">
        <v>55000</v>
      </c>
      <c r="G2600" s="14">
        <v>40300</v>
      </c>
      <c r="H2600" s="13" t="s">
        <v>1743</v>
      </c>
      <c r="I2600" s="40" t="s">
        <v>18</v>
      </c>
      <c r="J2600" s="40" t="str">
        <f>HYPERLINK("https://stock.pstatic.net/stock-research/company/57/20260514_company_587491000.pdf","PDF")</f>
        <v>PDF</v>
      </c>
      <c r="K2600" s="12" t="s">
        <v>1744</v>
      </c>
      <c r="L2600" s="36">
        <v>0.36476426799007439</v>
      </c>
    </row>
    <row r="2601" spans="1:12" x14ac:dyDescent="0.45">
      <c r="A2601" s="12" t="s">
        <v>1645</v>
      </c>
      <c r="B2601" s="12" t="s">
        <v>1745</v>
      </c>
      <c r="C2601" s="13" t="s">
        <v>1746</v>
      </c>
      <c r="D2601" s="13" t="s">
        <v>92</v>
      </c>
      <c r="E2601" s="12" t="s">
        <v>35</v>
      </c>
      <c r="F2601" s="14">
        <v>220000</v>
      </c>
      <c r="G2601" s="14">
        <v>125500</v>
      </c>
      <c r="H2601" s="13" t="s">
        <v>1747</v>
      </c>
      <c r="I2601" s="40" t="s">
        <v>18</v>
      </c>
      <c r="J2601" s="40" t="str">
        <f>HYPERLINK("https://stock.pstatic.net/stock-research/company/63/20260514_company_535950000.pdf","PDF")</f>
        <v>PDF</v>
      </c>
      <c r="K2601" s="12" t="s">
        <v>1748</v>
      </c>
      <c r="L2601" s="36">
        <v>0.75298804780876494</v>
      </c>
    </row>
    <row r="2602" spans="1:12" x14ac:dyDescent="0.45">
      <c r="A2602" s="12" t="s">
        <v>1645</v>
      </c>
      <c r="B2602" s="12" t="s">
        <v>1686</v>
      </c>
      <c r="C2602" s="13" t="s">
        <v>1687</v>
      </c>
      <c r="D2602" s="13" t="s">
        <v>65</v>
      </c>
      <c r="E2602" s="12" t="s">
        <v>35</v>
      </c>
      <c r="F2602" s="14">
        <v>1800000</v>
      </c>
      <c r="G2602" s="14">
        <v>1295000</v>
      </c>
      <c r="H2602" s="13" t="s">
        <v>1749</v>
      </c>
      <c r="I2602" s="40" t="s">
        <v>18</v>
      </c>
      <c r="J2602" s="40" t="str">
        <f>HYPERLINK("https://stock.pstatic.net/stock-research/company/57/20260514_company_582097000.pdf","PDF")</f>
        <v>PDF</v>
      </c>
      <c r="K2602" s="12" t="s">
        <v>1750</v>
      </c>
      <c r="L2602" s="36">
        <v>0.38996138996139001</v>
      </c>
    </row>
    <row r="2603" spans="1:12" x14ac:dyDescent="0.45">
      <c r="A2603" s="12" t="s">
        <v>1645</v>
      </c>
      <c r="B2603" s="12" t="s">
        <v>533</v>
      </c>
      <c r="C2603" s="13" t="s">
        <v>534</v>
      </c>
      <c r="D2603" s="13" t="s">
        <v>65</v>
      </c>
      <c r="E2603" s="12" t="s">
        <v>35</v>
      </c>
      <c r="F2603" s="14">
        <v>76000</v>
      </c>
      <c r="G2603" s="14">
        <v>59300</v>
      </c>
      <c r="H2603" s="13" t="s">
        <v>1751</v>
      </c>
      <c r="I2603" s="40" t="s">
        <v>18</v>
      </c>
      <c r="J2603" s="40" t="str">
        <f>HYPERLINK("https://stock.pstatic.net/stock-research/company/57/20260514_company_691959000.pdf","PDF")</f>
        <v>PDF</v>
      </c>
      <c r="K2603" s="12" t="s">
        <v>1752</v>
      </c>
      <c r="L2603" s="36">
        <v>0.28161888701517712</v>
      </c>
    </row>
    <row r="2604" spans="1:12" x14ac:dyDescent="0.45">
      <c r="A2604" s="12" t="s">
        <v>1645</v>
      </c>
      <c r="B2604" s="12" t="s">
        <v>1694</v>
      </c>
      <c r="C2604" s="13" t="s">
        <v>1695</v>
      </c>
      <c r="D2604" s="13" t="s">
        <v>83</v>
      </c>
      <c r="E2604" s="12" t="s">
        <v>35</v>
      </c>
      <c r="F2604" s="14">
        <v>81000</v>
      </c>
      <c r="G2604" s="14">
        <v>51000</v>
      </c>
      <c r="H2604" s="13" t="s">
        <v>1753</v>
      </c>
      <c r="I2604" s="40" t="s">
        <v>18</v>
      </c>
      <c r="J2604" s="40" t="str">
        <f>HYPERLINK("https://stock.pstatic.net/stock-research/company/15/20260514_company_34277000.pdf","PDF")</f>
        <v>PDF</v>
      </c>
      <c r="K2604" s="12" t="s">
        <v>1754</v>
      </c>
      <c r="L2604" s="36">
        <v>0.58823529411764708</v>
      </c>
    </row>
    <row r="2605" spans="1:12" x14ac:dyDescent="0.45">
      <c r="A2605" s="12" t="s">
        <v>1645</v>
      </c>
      <c r="B2605" s="12" t="s">
        <v>876</v>
      </c>
      <c r="C2605" s="13" t="s">
        <v>877</v>
      </c>
      <c r="D2605" s="13" t="s">
        <v>65</v>
      </c>
      <c r="E2605" s="12" t="s">
        <v>35</v>
      </c>
      <c r="F2605" s="14">
        <v>50000</v>
      </c>
      <c r="G2605" s="14">
        <v>27350</v>
      </c>
      <c r="H2605" s="13" t="s">
        <v>1755</v>
      </c>
      <c r="I2605" s="40" t="s">
        <v>18</v>
      </c>
      <c r="J2605" s="40" t="str">
        <f>HYPERLINK("https://stock.pstatic.net/stock-research/company/57/20260514_company_305656000.pdf","PDF")</f>
        <v>PDF</v>
      </c>
      <c r="K2605" s="12" t="s">
        <v>1756</v>
      </c>
      <c r="L2605" s="36">
        <v>0.82815356489945158</v>
      </c>
    </row>
    <row r="2606" spans="1:12" x14ac:dyDescent="0.45">
      <c r="A2606" s="12" t="s">
        <v>1645</v>
      </c>
      <c r="B2606" s="12" t="s">
        <v>1734</v>
      </c>
      <c r="C2606" s="13" t="s">
        <v>1735</v>
      </c>
      <c r="D2606" s="13" t="s">
        <v>83</v>
      </c>
      <c r="E2606" s="12" t="s">
        <v>35</v>
      </c>
      <c r="F2606" s="14">
        <v>42000</v>
      </c>
      <c r="G2606" s="14">
        <v>37300</v>
      </c>
      <c r="H2606" s="13" t="s">
        <v>1757</v>
      </c>
      <c r="I2606" s="40" t="s">
        <v>18</v>
      </c>
      <c r="J2606" s="40" t="str">
        <f>HYPERLINK("https://stock.pstatic.net/stock-research/company/15/20260514_company_448056000.pdf","PDF")</f>
        <v>PDF</v>
      </c>
      <c r="K2606" s="12" t="s">
        <v>1758</v>
      </c>
      <c r="L2606" s="36">
        <v>0.12600536193029491</v>
      </c>
    </row>
    <row r="2607" spans="1:12" x14ac:dyDescent="0.45">
      <c r="A2607" s="12" t="s">
        <v>1645</v>
      </c>
      <c r="B2607" s="12" t="s">
        <v>888</v>
      </c>
      <c r="C2607" s="13" t="s">
        <v>889</v>
      </c>
      <c r="D2607" s="13" t="s">
        <v>65</v>
      </c>
      <c r="E2607" s="12" t="s">
        <v>35</v>
      </c>
      <c r="F2607" s="14">
        <v>80000</v>
      </c>
      <c r="G2607" s="14">
        <v>57100</v>
      </c>
      <c r="H2607" s="13" t="s">
        <v>1759</v>
      </c>
      <c r="I2607" s="40" t="s">
        <v>18</v>
      </c>
      <c r="J2607" s="40" t="str">
        <f>HYPERLINK("https://stock.pstatic.net/stock-research/company/57/20260514_company_186772000.pdf","PDF")</f>
        <v>PDF</v>
      </c>
      <c r="K2607" s="12" t="s">
        <v>1760</v>
      </c>
      <c r="L2607" s="36">
        <v>0.40105078809106831</v>
      </c>
    </row>
    <row r="2608" spans="1:12" x14ac:dyDescent="0.45">
      <c r="A2608" s="12" t="s">
        <v>1645</v>
      </c>
      <c r="B2608" s="12" t="s">
        <v>1140</v>
      </c>
      <c r="C2608" s="13" t="s">
        <v>1141</v>
      </c>
      <c r="D2608" s="13" t="s">
        <v>83</v>
      </c>
      <c r="E2608" s="12" t="s">
        <v>35</v>
      </c>
      <c r="F2608" s="14">
        <v>62000</v>
      </c>
      <c r="G2608" s="14">
        <v>40750</v>
      </c>
      <c r="H2608" s="13" t="s">
        <v>1761</v>
      </c>
      <c r="I2608" s="40" t="s">
        <v>18</v>
      </c>
      <c r="J2608" s="40" t="str">
        <f>HYPERLINK("https://stock.pstatic.net/stock-research/company/15/20260514_company_238327000.pdf","PDF")</f>
        <v>PDF</v>
      </c>
      <c r="K2608" s="12" t="s">
        <v>1762</v>
      </c>
      <c r="L2608" s="36">
        <v>0.5214723926380368</v>
      </c>
    </row>
    <row r="2609" spans="1:12" x14ac:dyDescent="0.45">
      <c r="A2609" s="12" t="s">
        <v>1645</v>
      </c>
      <c r="B2609" s="12" t="s">
        <v>1682</v>
      </c>
      <c r="C2609" s="13" t="s">
        <v>1683</v>
      </c>
      <c r="D2609" s="13" t="s">
        <v>65</v>
      </c>
      <c r="E2609" s="12" t="s">
        <v>35</v>
      </c>
      <c r="F2609" s="14">
        <v>420000</v>
      </c>
      <c r="G2609" s="14">
        <v>263000</v>
      </c>
      <c r="H2609" s="13" t="s">
        <v>1763</v>
      </c>
      <c r="I2609" s="40" t="s">
        <v>18</v>
      </c>
      <c r="J2609" s="40" t="str">
        <f>HYPERLINK("https://stock.pstatic.net/stock-research/company/57/20260514_company_208629000.pdf","PDF")</f>
        <v>PDF</v>
      </c>
      <c r="K2609" s="12" t="s">
        <v>1764</v>
      </c>
      <c r="L2609" s="36">
        <v>0.59695817490494296</v>
      </c>
    </row>
    <row r="2610" spans="1:12" x14ac:dyDescent="0.45">
      <c r="A2610" s="12" t="s">
        <v>1645</v>
      </c>
      <c r="B2610" s="12" t="s">
        <v>1765</v>
      </c>
      <c r="C2610" s="13" t="s">
        <v>1766</v>
      </c>
      <c r="D2610" s="13" t="s">
        <v>83</v>
      </c>
      <c r="E2610" s="12" t="s">
        <v>35</v>
      </c>
      <c r="F2610" s="14">
        <v>240000</v>
      </c>
      <c r="G2610" s="14">
        <v>179500</v>
      </c>
      <c r="H2610" s="13" t="s">
        <v>1767</v>
      </c>
      <c r="I2610" s="40" t="s">
        <v>18</v>
      </c>
      <c r="J2610" s="40" t="str">
        <f>HYPERLINK("https://stock.pstatic.net/stock-research/company/15/20260514_company_734682000.pdf","PDF")</f>
        <v>PDF</v>
      </c>
      <c r="K2610" s="12" t="s">
        <v>1768</v>
      </c>
      <c r="L2610" s="36">
        <v>0.3370473537604457</v>
      </c>
    </row>
    <row r="2611" spans="1:12" x14ac:dyDescent="0.45">
      <c r="A2611" s="12" t="s">
        <v>1645</v>
      </c>
      <c r="B2611" s="12" t="s">
        <v>76</v>
      </c>
      <c r="C2611" s="13" t="s">
        <v>77</v>
      </c>
      <c r="D2611" s="13" t="s">
        <v>65</v>
      </c>
      <c r="E2611" s="12" t="s">
        <v>1738</v>
      </c>
      <c r="F2611" s="14">
        <v>21000</v>
      </c>
      <c r="G2611" s="14">
        <v>19830</v>
      </c>
      <c r="H2611" s="13" t="s">
        <v>1769</v>
      </c>
      <c r="I2611" s="40" t="s">
        <v>18</v>
      </c>
      <c r="J2611" s="40" t="str">
        <f>HYPERLINK("https://stock.pstatic.net/stock-research/company/-/20260514_company_284668000.pdf","PDF")</f>
        <v>PDF</v>
      </c>
      <c r="K2611" s="12" t="s">
        <v>1770</v>
      </c>
      <c r="L2611" s="36">
        <v>5.9001512859304092E-2</v>
      </c>
    </row>
    <row r="2612" spans="1:12" x14ac:dyDescent="0.45">
      <c r="A2612" s="12" t="s">
        <v>1645</v>
      </c>
      <c r="B2612" s="12" t="s">
        <v>1548</v>
      </c>
      <c r="C2612" s="13" t="s">
        <v>1549</v>
      </c>
      <c r="D2612" s="13" t="s">
        <v>83</v>
      </c>
      <c r="E2612" s="12" t="s">
        <v>35</v>
      </c>
      <c r="F2612" s="14">
        <v>1750000</v>
      </c>
      <c r="G2612" s="14">
        <v>1417000</v>
      </c>
      <c r="H2612" s="13" t="s">
        <v>1771</v>
      </c>
      <c r="I2612" s="40" t="s">
        <v>18</v>
      </c>
      <c r="J2612" s="40" t="str">
        <f>HYPERLINK("https://stock.pstatic.net/stock-research/company/15/20260514_company_558263000.pdf","PDF")</f>
        <v>PDF</v>
      </c>
      <c r="K2612" s="12" t="s">
        <v>1772</v>
      </c>
      <c r="L2612" s="36">
        <v>0.23500352858151019</v>
      </c>
    </row>
    <row r="2613" spans="1:12" x14ac:dyDescent="0.45">
      <c r="A2613" s="12" t="s">
        <v>1645</v>
      </c>
      <c r="B2613" s="12" t="s">
        <v>1773</v>
      </c>
      <c r="C2613" s="13" t="s">
        <v>1774</v>
      </c>
      <c r="D2613" s="13" t="s">
        <v>65</v>
      </c>
      <c r="E2613" s="12" t="s">
        <v>35</v>
      </c>
      <c r="F2613" s="14">
        <v>120000</v>
      </c>
      <c r="G2613" s="14">
        <v>95400</v>
      </c>
      <c r="H2613" s="13" t="s">
        <v>1775</v>
      </c>
      <c r="I2613" s="40" t="s">
        <v>18</v>
      </c>
      <c r="J2613" s="40" t="str">
        <f>HYPERLINK("https://stock.pstatic.net/stock-research/company/57/20260514_company_97450000.pdf","PDF")</f>
        <v>PDF</v>
      </c>
      <c r="K2613" s="12" t="s">
        <v>1776</v>
      </c>
      <c r="L2613" s="36">
        <v>0.25786163522012578</v>
      </c>
    </row>
    <row r="2614" spans="1:12" x14ac:dyDescent="0.45">
      <c r="A2614" s="12" t="s">
        <v>1645</v>
      </c>
      <c r="B2614" s="12" t="s">
        <v>1777</v>
      </c>
      <c r="C2614" s="13" t="s">
        <v>1778</v>
      </c>
      <c r="D2614" s="13" t="s">
        <v>92</v>
      </c>
      <c r="E2614" s="12" t="s">
        <v>50</v>
      </c>
      <c r="F2614" s="13"/>
      <c r="G2614" s="14">
        <v>29100</v>
      </c>
      <c r="H2614" s="13" t="s">
        <v>1779</v>
      </c>
      <c r="I2614" s="40" t="s">
        <v>18</v>
      </c>
      <c r="J2614" s="40" t="str">
        <f>HYPERLINK("https://stock.pstatic.net/stock-research/company/63/20260514_company_759511000.pdf","PDF")</f>
        <v>PDF</v>
      </c>
      <c r="K2614" s="12" t="s">
        <v>1780</v>
      </c>
      <c r="L2614" s="12"/>
    </row>
    <row r="2615" spans="1:12" x14ac:dyDescent="0.45">
      <c r="A2615" s="12" t="s">
        <v>1645</v>
      </c>
      <c r="B2615" s="12" t="s">
        <v>1781</v>
      </c>
      <c r="C2615" s="13" t="s">
        <v>1782</v>
      </c>
      <c r="D2615" s="13" t="s">
        <v>65</v>
      </c>
      <c r="E2615" s="12" t="s">
        <v>35</v>
      </c>
      <c r="F2615" s="14">
        <v>230000</v>
      </c>
      <c r="G2615" s="14">
        <v>191400</v>
      </c>
      <c r="H2615" s="13" t="s">
        <v>1783</v>
      </c>
      <c r="I2615" s="40" t="s">
        <v>18</v>
      </c>
      <c r="J2615" s="40" t="str">
        <f>HYPERLINK("https://stock.pstatic.net/stock-research/company/57/20260514_company_447000.pdf","PDF")</f>
        <v>PDF</v>
      </c>
      <c r="K2615" s="12" t="s">
        <v>1784</v>
      </c>
      <c r="L2615" s="36">
        <v>0.2016718913270637</v>
      </c>
    </row>
    <row r="2616" spans="1:12" x14ac:dyDescent="0.45">
      <c r="A2616" s="12" t="s">
        <v>1645</v>
      </c>
      <c r="B2616" s="12" t="s">
        <v>1694</v>
      </c>
      <c r="C2616" s="13" t="s">
        <v>1695</v>
      </c>
      <c r="D2616" s="13" t="s">
        <v>92</v>
      </c>
      <c r="E2616" s="12" t="s">
        <v>35</v>
      </c>
      <c r="F2616" s="14">
        <v>75000</v>
      </c>
      <c r="G2616" s="14">
        <v>51000</v>
      </c>
      <c r="H2616" s="13" t="s">
        <v>1785</v>
      </c>
      <c r="I2616" s="40" t="s">
        <v>18</v>
      </c>
      <c r="J2616" s="40" t="str">
        <f>HYPERLINK("https://stock.pstatic.net/stock-research/company/63/20260514_company_869332000.pdf","PDF")</f>
        <v>PDF</v>
      </c>
      <c r="K2616" s="12" t="s">
        <v>1786</v>
      </c>
      <c r="L2616" s="36">
        <v>0.47058823529411759</v>
      </c>
    </row>
    <row r="2617" spans="1:12" x14ac:dyDescent="0.45">
      <c r="A2617" s="12" t="s">
        <v>1645</v>
      </c>
      <c r="B2617" s="12" t="s">
        <v>1690</v>
      </c>
      <c r="C2617" s="13" t="s">
        <v>1691</v>
      </c>
      <c r="D2617" s="13" t="s">
        <v>65</v>
      </c>
      <c r="E2617" s="12" t="s">
        <v>35</v>
      </c>
      <c r="F2617" s="14">
        <v>170000</v>
      </c>
      <c r="G2617" s="14">
        <v>129700</v>
      </c>
      <c r="H2617" s="13" t="s">
        <v>1787</v>
      </c>
      <c r="I2617" s="40" t="s">
        <v>18</v>
      </c>
      <c r="J2617" s="40" t="str">
        <f>HYPERLINK("https://stock.pstatic.net/stock-research/company/57/20260514_company_245717000.pdf","PDF")</f>
        <v>PDF</v>
      </c>
      <c r="K2617" s="12" t="s">
        <v>1788</v>
      </c>
      <c r="L2617" s="36">
        <v>0.31071703932151118</v>
      </c>
    </row>
    <row r="2618" spans="1:12" x14ac:dyDescent="0.45">
      <c r="A2618" s="12" t="s">
        <v>1645</v>
      </c>
      <c r="B2618" s="12" t="s">
        <v>1789</v>
      </c>
      <c r="C2618" s="13" t="s">
        <v>1790</v>
      </c>
      <c r="D2618" s="13" t="s">
        <v>65</v>
      </c>
      <c r="E2618" s="12" t="s">
        <v>35</v>
      </c>
      <c r="F2618" s="14">
        <v>176000</v>
      </c>
      <c r="G2618" s="14">
        <v>122500</v>
      </c>
      <c r="H2618" s="13" t="s">
        <v>1791</v>
      </c>
      <c r="I2618" s="40" t="s">
        <v>18</v>
      </c>
      <c r="J2618" s="40" t="str">
        <f>HYPERLINK("https://stock.pstatic.net/stock-research/company/57/20260514_company_610466000.pdf","PDF")</f>
        <v>PDF</v>
      </c>
      <c r="K2618" s="12" t="s">
        <v>1792</v>
      </c>
      <c r="L2618" s="36">
        <v>0.43673469387755098</v>
      </c>
    </row>
    <row r="2619" spans="1:12" x14ac:dyDescent="0.45">
      <c r="A2619" s="12" t="s">
        <v>1645</v>
      </c>
      <c r="B2619" s="12" t="s">
        <v>768</v>
      </c>
      <c r="C2619" s="13" t="s">
        <v>769</v>
      </c>
      <c r="D2619" s="13" t="s">
        <v>179</v>
      </c>
      <c r="E2619" s="12" t="s">
        <v>16</v>
      </c>
      <c r="F2619" s="14">
        <v>250000</v>
      </c>
      <c r="G2619" s="14">
        <v>187100</v>
      </c>
      <c r="H2619" s="13" t="s">
        <v>1793</v>
      </c>
      <c r="I2619" s="40" t="s">
        <v>18</v>
      </c>
      <c r="J2619" s="40" t="str">
        <f>HYPERLINK("https://stock.pstatic.net/stock-research/company/64/20260514_company_565247000.pdf","PDF")</f>
        <v>PDF</v>
      </c>
      <c r="K2619" s="12" t="s">
        <v>1794</v>
      </c>
      <c r="L2619" s="36">
        <v>0.3361838588989845</v>
      </c>
    </row>
    <row r="2620" spans="1:12" x14ac:dyDescent="0.45">
      <c r="A2620" s="12" t="s">
        <v>1645</v>
      </c>
      <c r="B2620" s="12" t="s">
        <v>764</v>
      </c>
      <c r="C2620" s="13" t="s">
        <v>765</v>
      </c>
      <c r="D2620" s="13" t="s">
        <v>179</v>
      </c>
      <c r="E2620" s="12" t="s">
        <v>16</v>
      </c>
      <c r="F2620" s="14">
        <v>57000</v>
      </c>
      <c r="G2620" s="14">
        <v>40650</v>
      </c>
      <c r="H2620" s="13" t="s">
        <v>1795</v>
      </c>
      <c r="I2620" s="40" t="s">
        <v>18</v>
      </c>
      <c r="J2620" s="40" t="str">
        <f>HYPERLINK("https://stock.pstatic.net/stock-research/company/64/20260514_company_10957000.pdf","PDF")</f>
        <v>PDF</v>
      </c>
      <c r="K2620" s="12" t="s">
        <v>1796</v>
      </c>
      <c r="L2620" s="36">
        <v>0.40221402214022139</v>
      </c>
    </row>
    <row r="2621" spans="1:12" x14ac:dyDescent="0.45">
      <c r="A2621" s="12" t="s">
        <v>1645</v>
      </c>
      <c r="B2621" s="12" t="s">
        <v>1140</v>
      </c>
      <c r="C2621" s="13" t="s">
        <v>1141</v>
      </c>
      <c r="D2621" s="13" t="s">
        <v>92</v>
      </c>
      <c r="E2621" s="12" t="s">
        <v>35</v>
      </c>
      <c r="F2621" s="14">
        <v>92000</v>
      </c>
      <c r="G2621" s="14">
        <v>40750</v>
      </c>
      <c r="H2621" s="13" t="s">
        <v>1797</v>
      </c>
      <c r="I2621" s="40" t="s">
        <v>18</v>
      </c>
      <c r="J2621" s="40" t="str">
        <f>HYPERLINK("https://stock.pstatic.net/stock-research/company/63/20260514_company_874510000.pdf","PDF")</f>
        <v>PDF</v>
      </c>
      <c r="K2621" s="12" t="s">
        <v>1798</v>
      </c>
      <c r="L2621" s="36">
        <v>1.257668711656442</v>
      </c>
    </row>
    <row r="2622" spans="1:12" x14ac:dyDescent="0.45">
      <c r="A2622" s="12" t="s">
        <v>1645</v>
      </c>
      <c r="B2622" s="12" t="s">
        <v>1799</v>
      </c>
      <c r="C2622" s="13" t="s">
        <v>1800</v>
      </c>
      <c r="D2622" s="13" t="s">
        <v>179</v>
      </c>
      <c r="E2622" s="12" t="s">
        <v>16</v>
      </c>
      <c r="F2622" s="14">
        <v>8100</v>
      </c>
      <c r="G2622" s="14">
        <v>5490</v>
      </c>
      <c r="H2622" s="13" t="s">
        <v>1801</v>
      </c>
      <c r="I2622" s="40" t="s">
        <v>18</v>
      </c>
      <c r="J2622" s="40" t="str">
        <f>HYPERLINK("https://stock.pstatic.net/stock-research/company/64/20260514_company_658829000.pdf","PDF")</f>
        <v>PDF</v>
      </c>
      <c r="K2622" s="12" t="s">
        <v>1802</v>
      </c>
      <c r="L2622" s="36">
        <v>0.47540983606557369</v>
      </c>
    </row>
    <row r="2623" spans="1:12" x14ac:dyDescent="0.45">
      <c r="A2623" s="12" t="s">
        <v>1645</v>
      </c>
      <c r="B2623" s="12" t="s">
        <v>1734</v>
      </c>
      <c r="C2623" s="13" t="s">
        <v>1735</v>
      </c>
      <c r="D2623" s="13" t="s">
        <v>92</v>
      </c>
      <c r="E2623" s="12" t="s">
        <v>35</v>
      </c>
      <c r="F2623" s="14">
        <v>59000</v>
      </c>
      <c r="G2623" s="14">
        <v>37300</v>
      </c>
      <c r="H2623" s="13" t="s">
        <v>1803</v>
      </c>
      <c r="I2623" s="40" t="s">
        <v>18</v>
      </c>
      <c r="J2623" s="40" t="str">
        <f>HYPERLINK("https://stock.pstatic.net/stock-research/company/63/20260514_company_305829000.pdf","PDF")</f>
        <v>PDF</v>
      </c>
      <c r="K2623" s="12" t="s">
        <v>1804</v>
      </c>
      <c r="L2623" s="36">
        <v>0.58176943699731909</v>
      </c>
    </row>
    <row r="2624" spans="1:12" x14ac:dyDescent="0.45">
      <c r="A2624" s="12" t="s">
        <v>1645</v>
      </c>
      <c r="B2624" s="12" t="s">
        <v>1690</v>
      </c>
      <c r="C2624" s="13" t="s">
        <v>1691</v>
      </c>
      <c r="D2624" s="13" t="s">
        <v>92</v>
      </c>
      <c r="E2624" s="12" t="s">
        <v>35</v>
      </c>
      <c r="F2624" s="14">
        <v>160000</v>
      </c>
      <c r="G2624" s="14">
        <v>129700</v>
      </c>
      <c r="H2624" s="13" t="s">
        <v>1805</v>
      </c>
      <c r="I2624" s="40" t="s">
        <v>18</v>
      </c>
      <c r="J2624" s="40" t="str">
        <f>HYPERLINK("https://stock.pstatic.net/stock-research/company/63/20260514_company_59348000.pdf","PDF")</f>
        <v>PDF</v>
      </c>
      <c r="K2624" s="12" t="s">
        <v>1806</v>
      </c>
      <c r="L2624" s="36">
        <v>0.2336160370084811</v>
      </c>
    </row>
    <row r="2625" spans="1:12" x14ac:dyDescent="0.45">
      <c r="A2625" s="12" t="s">
        <v>1645</v>
      </c>
      <c r="B2625" s="12" t="s">
        <v>1047</v>
      </c>
      <c r="C2625" s="13" t="s">
        <v>1048</v>
      </c>
      <c r="D2625" s="13" t="s">
        <v>179</v>
      </c>
      <c r="E2625" s="12" t="s">
        <v>16</v>
      </c>
      <c r="F2625" s="14">
        <v>20000</v>
      </c>
      <c r="G2625" s="14">
        <v>16650</v>
      </c>
      <c r="H2625" s="13" t="s">
        <v>1807</v>
      </c>
      <c r="I2625" s="40" t="s">
        <v>18</v>
      </c>
      <c r="J2625" s="40" t="str">
        <f>HYPERLINK("https://stock.pstatic.net/stock-research/company/64/20260514_company_466479000.pdf","PDF")</f>
        <v>PDF</v>
      </c>
      <c r="K2625" s="12" t="s">
        <v>1808</v>
      </c>
      <c r="L2625" s="36">
        <v>0.20120120120120119</v>
      </c>
    </row>
    <row r="2626" spans="1:12" x14ac:dyDescent="0.45">
      <c r="A2626" s="12" t="s">
        <v>1645</v>
      </c>
      <c r="B2626" s="12" t="s">
        <v>1140</v>
      </c>
      <c r="C2626" s="13" t="s">
        <v>1141</v>
      </c>
      <c r="D2626" s="13" t="s">
        <v>179</v>
      </c>
      <c r="E2626" s="12" t="s">
        <v>385</v>
      </c>
      <c r="F2626" s="14">
        <v>40000</v>
      </c>
      <c r="G2626" s="14">
        <v>40750</v>
      </c>
      <c r="H2626" s="13" t="s">
        <v>1809</v>
      </c>
      <c r="I2626" s="40" t="s">
        <v>18</v>
      </c>
      <c r="J2626" s="40" t="str">
        <f>HYPERLINK("https://stock.pstatic.net/stock-research/company/64/20260514_company_273939000.pdf","PDF")</f>
        <v>PDF</v>
      </c>
      <c r="K2626" s="12" t="s">
        <v>1810</v>
      </c>
      <c r="L2626" s="36">
        <v>-1.8404907975460121E-2</v>
      </c>
    </row>
    <row r="2627" spans="1:12" x14ac:dyDescent="0.45">
      <c r="A2627" s="12" t="s">
        <v>1645</v>
      </c>
      <c r="B2627" s="12" t="s">
        <v>1694</v>
      </c>
      <c r="C2627" s="13" t="s">
        <v>1695</v>
      </c>
      <c r="D2627" s="13" t="s">
        <v>15</v>
      </c>
      <c r="E2627" s="12" t="s">
        <v>16</v>
      </c>
      <c r="F2627" s="14">
        <v>80000</v>
      </c>
      <c r="G2627" s="14">
        <v>51000</v>
      </c>
      <c r="H2627" s="13" t="s">
        <v>1811</v>
      </c>
      <c r="I2627" s="40" t="s">
        <v>18</v>
      </c>
      <c r="J2627" s="40" t="str">
        <f>HYPERLINK("https://stock.pstatic.net/stock-research/company/56/20260514_company_116534000.pdf","PDF")</f>
        <v>PDF</v>
      </c>
      <c r="K2627" s="12" t="s">
        <v>1812</v>
      </c>
      <c r="L2627" s="36">
        <v>0.56862745098039214</v>
      </c>
    </row>
    <row r="2628" spans="1:12" x14ac:dyDescent="0.45">
      <c r="A2628" s="12" t="s">
        <v>1645</v>
      </c>
      <c r="B2628" s="12" t="s">
        <v>1773</v>
      </c>
      <c r="C2628" s="13" t="s">
        <v>1774</v>
      </c>
      <c r="D2628" s="13" t="s">
        <v>34</v>
      </c>
      <c r="E2628" s="12" t="s">
        <v>35</v>
      </c>
      <c r="F2628" s="14">
        <v>140000</v>
      </c>
      <c r="G2628" s="14">
        <v>95400</v>
      </c>
      <c r="H2628" s="13" t="s">
        <v>1813</v>
      </c>
      <c r="I2628" s="40" t="s">
        <v>18</v>
      </c>
      <c r="J2628" s="40" t="str">
        <f>HYPERLINK("https://stock.pstatic.net/stock-research/company/61/20260514_company_694430000.pdf","PDF")</f>
        <v>PDF</v>
      </c>
      <c r="K2628" s="12" t="s">
        <v>1814</v>
      </c>
      <c r="L2628" s="36">
        <v>0.46750524109014668</v>
      </c>
    </row>
    <row r="2629" spans="1:12" x14ac:dyDescent="0.45">
      <c r="A2629" s="12" t="s">
        <v>1645</v>
      </c>
      <c r="B2629" s="12" t="s">
        <v>76</v>
      </c>
      <c r="C2629" s="13" t="s">
        <v>77</v>
      </c>
      <c r="D2629" s="13" t="s">
        <v>34</v>
      </c>
      <c r="E2629" s="12" t="s">
        <v>35</v>
      </c>
      <c r="F2629" s="14">
        <v>23000</v>
      </c>
      <c r="G2629" s="14">
        <v>19830</v>
      </c>
      <c r="H2629" s="13" t="s">
        <v>1815</v>
      </c>
      <c r="I2629" s="40" t="s">
        <v>18</v>
      </c>
      <c r="J2629" s="40" t="str">
        <f>HYPERLINK("https://stock.pstatic.net/stock-research/company/61/20260514_company_33709000.pdf","PDF")</f>
        <v>PDF</v>
      </c>
      <c r="K2629" s="12" t="s">
        <v>1816</v>
      </c>
      <c r="L2629" s="36">
        <v>0.15985879979828541</v>
      </c>
    </row>
    <row r="2630" spans="1:12" x14ac:dyDescent="0.45">
      <c r="A2630" s="12" t="s">
        <v>1645</v>
      </c>
      <c r="B2630" s="12" t="s">
        <v>1817</v>
      </c>
      <c r="C2630" s="13" t="s">
        <v>1818</v>
      </c>
      <c r="D2630" s="13" t="s">
        <v>92</v>
      </c>
      <c r="E2630" s="12" t="s">
        <v>35</v>
      </c>
      <c r="F2630" s="14">
        <v>80000</v>
      </c>
      <c r="G2630" s="14">
        <v>71900</v>
      </c>
      <c r="H2630" s="13" t="s">
        <v>1819</v>
      </c>
      <c r="I2630" s="40" t="s">
        <v>18</v>
      </c>
      <c r="J2630" s="40" t="str">
        <f>HYPERLINK("https://stock.pstatic.net/stock-research/company/63/20260514_company_645539000.pdf","PDF")</f>
        <v>PDF</v>
      </c>
      <c r="K2630" s="12" t="s">
        <v>1820</v>
      </c>
      <c r="L2630" s="36">
        <v>0.1126564673157163</v>
      </c>
    </row>
    <row r="2631" spans="1:12" x14ac:dyDescent="0.45">
      <c r="A2631" s="12" t="s">
        <v>1645</v>
      </c>
      <c r="B2631" s="12" t="s">
        <v>1682</v>
      </c>
      <c r="C2631" s="13" t="s">
        <v>1683</v>
      </c>
      <c r="D2631" s="13" t="s">
        <v>92</v>
      </c>
      <c r="E2631" s="12" t="s">
        <v>35</v>
      </c>
      <c r="F2631" s="14">
        <v>380000</v>
      </c>
      <c r="G2631" s="14">
        <v>263000</v>
      </c>
      <c r="H2631" s="13" t="s">
        <v>1821</v>
      </c>
      <c r="I2631" s="40" t="s">
        <v>18</v>
      </c>
      <c r="J2631" s="40" t="str">
        <f>HYPERLINK("https://stock.pstatic.net/stock-research/company/63/20260514_company_61537000.pdf","PDF")</f>
        <v>PDF</v>
      </c>
      <c r="K2631" s="12" t="s">
        <v>1822</v>
      </c>
      <c r="L2631" s="36">
        <v>0.44486692015209123</v>
      </c>
    </row>
    <row r="2632" spans="1:12" x14ac:dyDescent="0.45">
      <c r="A2632" s="12" t="s">
        <v>1645</v>
      </c>
      <c r="B2632" s="12" t="s">
        <v>268</v>
      </c>
      <c r="C2632" s="13" t="s">
        <v>269</v>
      </c>
      <c r="D2632" s="13" t="s">
        <v>23</v>
      </c>
      <c r="E2632" s="12" t="s">
        <v>16</v>
      </c>
      <c r="F2632" s="14">
        <v>620000</v>
      </c>
      <c r="G2632" s="14">
        <v>354000</v>
      </c>
      <c r="H2632" s="13" t="s">
        <v>1823</v>
      </c>
      <c r="I2632" s="40" t="s">
        <v>18</v>
      </c>
      <c r="J2632" s="40" t="str">
        <f>HYPERLINK("https://stock.pstatic.net/stock-research/company/21/20260514_company_264605000.pdf","PDF")</f>
        <v>PDF</v>
      </c>
      <c r="K2632" s="12" t="s">
        <v>1824</v>
      </c>
      <c r="L2632" s="36">
        <v>0.75141242937853103</v>
      </c>
    </row>
    <row r="2633" spans="1:12" x14ac:dyDescent="0.45">
      <c r="A2633" s="12" t="s">
        <v>1645</v>
      </c>
      <c r="B2633" s="12" t="s">
        <v>760</v>
      </c>
      <c r="C2633" s="13" t="s">
        <v>761</v>
      </c>
      <c r="D2633" s="13" t="s">
        <v>92</v>
      </c>
      <c r="E2633" s="12" t="s">
        <v>35</v>
      </c>
      <c r="F2633" s="14">
        <v>320000</v>
      </c>
      <c r="G2633" s="14">
        <v>250500</v>
      </c>
      <c r="H2633" s="13" t="s">
        <v>1825</v>
      </c>
      <c r="I2633" s="40" t="s">
        <v>18</v>
      </c>
      <c r="J2633" s="40" t="str">
        <f>HYPERLINK("https://stock.pstatic.net/stock-research/company/63/20260514_company_369672000.pdf","PDF")</f>
        <v>PDF</v>
      </c>
      <c r="K2633" s="12" t="s">
        <v>1826</v>
      </c>
      <c r="L2633" s="36">
        <v>0.27744510978043913</v>
      </c>
    </row>
    <row r="2634" spans="1:12" x14ac:dyDescent="0.45">
      <c r="A2634" s="12" t="s">
        <v>1645</v>
      </c>
      <c r="B2634" s="12" t="s">
        <v>888</v>
      </c>
      <c r="C2634" s="13" t="s">
        <v>889</v>
      </c>
      <c r="D2634" s="13" t="s">
        <v>92</v>
      </c>
      <c r="E2634" s="12" t="s">
        <v>35</v>
      </c>
      <c r="F2634" s="14">
        <v>78000</v>
      </c>
      <c r="G2634" s="14">
        <v>57100</v>
      </c>
      <c r="H2634" s="13" t="s">
        <v>1827</v>
      </c>
      <c r="I2634" s="40" t="s">
        <v>18</v>
      </c>
      <c r="J2634" s="40" t="str">
        <f>HYPERLINK("https://stock.pstatic.net/stock-research/company/63/20260514_company_179814000.pdf","PDF")</f>
        <v>PDF</v>
      </c>
      <c r="K2634" s="12" t="s">
        <v>1828</v>
      </c>
      <c r="L2634" s="36">
        <v>0.36602451838879158</v>
      </c>
    </row>
    <row r="2635" spans="1:12" x14ac:dyDescent="0.45">
      <c r="A2635" s="12" t="s">
        <v>1645</v>
      </c>
      <c r="B2635" s="12" t="s">
        <v>1829</v>
      </c>
      <c r="C2635" s="13" t="s">
        <v>1830</v>
      </c>
      <c r="D2635" s="13" t="s">
        <v>179</v>
      </c>
      <c r="E2635" s="12" t="s">
        <v>16</v>
      </c>
      <c r="F2635" s="14">
        <v>30000</v>
      </c>
      <c r="G2635" s="14">
        <v>19240</v>
      </c>
      <c r="H2635" s="13" t="s">
        <v>1831</v>
      </c>
      <c r="I2635" s="40" t="s">
        <v>18</v>
      </c>
      <c r="J2635" s="40" t="str">
        <f>HYPERLINK("https://stock.pstatic.net/stock-research/company/64/20260514_company_834815000.pdf","PDF")</f>
        <v>PDF</v>
      </c>
      <c r="K2635" s="12" t="s">
        <v>1832</v>
      </c>
      <c r="L2635" s="36">
        <v>0.55925155925155923</v>
      </c>
    </row>
    <row r="2636" spans="1:12" x14ac:dyDescent="0.45">
      <c r="A2636" s="12" t="s">
        <v>1645</v>
      </c>
      <c r="B2636" s="12" t="s">
        <v>1431</v>
      </c>
      <c r="C2636" s="13" t="s">
        <v>1432</v>
      </c>
      <c r="D2636" s="13" t="s">
        <v>44</v>
      </c>
      <c r="E2636" s="12" t="s">
        <v>35</v>
      </c>
      <c r="F2636" s="14">
        <v>400000</v>
      </c>
      <c r="G2636" s="14">
        <v>298500</v>
      </c>
      <c r="H2636" s="13" t="s">
        <v>1833</v>
      </c>
      <c r="I2636" s="40" t="s">
        <v>18</v>
      </c>
      <c r="J2636" s="40" t="str">
        <f>HYPERLINK("https://stock.pstatic.net/stock-research/company/39/20260514_company_1908000.pdf","PDF")</f>
        <v>PDF</v>
      </c>
      <c r="K2636" s="12" t="s">
        <v>1834</v>
      </c>
      <c r="L2636" s="36">
        <v>0.34003350083752087</v>
      </c>
    </row>
    <row r="2637" spans="1:12" x14ac:dyDescent="0.45">
      <c r="A2637" s="12" t="s">
        <v>1645</v>
      </c>
      <c r="B2637" s="12" t="s">
        <v>1690</v>
      </c>
      <c r="C2637" s="13" t="s">
        <v>1691</v>
      </c>
      <c r="D2637" s="13" t="s">
        <v>34</v>
      </c>
      <c r="E2637" s="12" t="s">
        <v>35</v>
      </c>
      <c r="F2637" s="14">
        <v>190000</v>
      </c>
      <c r="G2637" s="14">
        <v>129700</v>
      </c>
      <c r="H2637" s="13" t="s">
        <v>1835</v>
      </c>
      <c r="I2637" s="40" t="s">
        <v>18</v>
      </c>
      <c r="J2637" s="40" t="str">
        <f>HYPERLINK("https://stock.pstatic.net/stock-research/company/61/20260514_company_459700000.pdf","PDF")</f>
        <v>PDF</v>
      </c>
      <c r="K2637" s="12" t="s">
        <v>1836</v>
      </c>
      <c r="L2637" s="36">
        <v>0.46491904394757128</v>
      </c>
    </row>
    <row r="2638" spans="1:12" x14ac:dyDescent="0.45">
      <c r="A2638" s="12" t="s">
        <v>1645</v>
      </c>
      <c r="B2638" s="12" t="s">
        <v>1694</v>
      </c>
      <c r="C2638" s="13" t="s">
        <v>1695</v>
      </c>
      <c r="D2638" s="13" t="s">
        <v>23</v>
      </c>
      <c r="E2638" s="12" t="s">
        <v>16</v>
      </c>
      <c r="F2638" s="14">
        <v>87000</v>
      </c>
      <c r="G2638" s="14">
        <v>51000</v>
      </c>
      <c r="H2638" s="13" t="s">
        <v>1837</v>
      </c>
      <c r="I2638" s="40" t="s">
        <v>18</v>
      </c>
      <c r="J2638" s="40" t="str">
        <f>HYPERLINK("https://stock.pstatic.net/stock-research/company/21/20260514_company_591556000.pdf","PDF")</f>
        <v>PDF</v>
      </c>
      <c r="K2638" s="12" t="s">
        <v>1838</v>
      </c>
      <c r="L2638" s="36">
        <v>0.70588235294117652</v>
      </c>
    </row>
    <row r="2639" spans="1:12" x14ac:dyDescent="0.45">
      <c r="A2639" s="12" t="s">
        <v>1645</v>
      </c>
      <c r="B2639" s="12" t="s">
        <v>1140</v>
      </c>
      <c r="C2639" s="13" t="s">
        <v>1141</v>
      </c>
      <c r="D2639" s="13" t="s">
        <v>34</v>
      </c>
      <c r="E2639" s="12" t="s">
        <v>35</v>
      </c>
      <c r="F2639" s="14">
        <v>53000</v>
      </c>
      <c r="G2639" s="14">
        <v>40750</v>
      </c>
      <c r="H2639" s="13" t="s">
        <v>1839</v>
      </c>
      <c r="I2639" s="40" t="s">
        <v>18</v>
      </c>
      <c r="J2639" s="40" t="str">
        <f>HYPERLINK("https://stock.pstatic.net/stock-research/company/61/20260514_company_470591000.pdf","PDF")</f>
        <v>PDF</v>
      </c>
      <c r="K2639" s="12" t="s">
        <v>1840</v>
      </c>
      <c r="L2639" s="36">
        <v>0.30061349693251532</v>
      </c>
    </row>
    <row r="2640" spans="1:12" x14ac:dyDescent="0.45">
      <c r="A2640" s="12" t="s">
        <v>1645</v>
      </c>
      <c r="B2640" s="12" t="s">
        <v>1140</v>
      </c>
      <c r="C2640" s="13" t="s">
        <v>1141</v>
      </c>
      <c r="D2640" s="13" t="s">
        <v>44</v>
      </c>
      <c r="E2640" s="12" t="s">
        <v>45</v>
      </c>
      <c r="F2640" s="14">
        <v>48000</v>
      </c>
      <c r="G2640" s="14">
        <v>40750</v>
      </c>
      <c r="H2640" s="13" t="s">
        <v>1841</v>
      </c>
      <c r="I2640" s="40" t="s">
        <v>18</v>
      </c>
      <c r="J2640" s="40" t="str">
        <f>HYPERLINK("https://stock.pstatic.net/stock-research/company/39/20260514_company_540743000.pdf","PDF")</f>
        <v>PDF</v>
      </c>
      <c r="K2640" s="12" t="s">
        <v>1842</v>
      </c>
      <c r="L2640" s="36">
        <v>0.17791411042944791</v>
      </c>
    </row>
    <row r="2641" spans="1:12" x14ac:dyDescent="0.45">
      <c r="A2641" s="12" t="s">
        <v>1645</v>
      </c>
      <c r="B2641" s="12" t="s">
        <v>1741</v>
      </c>
      <c r="C2641" s="13" t="s">
        <v>1742</v>
      </c>
      <c r="D2641" s="13" t="s">
        <v>44</v>
      </c>
      <c r="E2641" s="12" t="s">
        <v>35</v>
      </c>
      <c r="F2641" s="14">
        <v>54000</v>
      </c>
      <c r="G2641" s="14">
        <v>40300</v>
      </c>
      <c r="H2641" s="13" t="s">
        <v>1843</v>
      </c>
      <c r="I2641" s="40" t="s">
        <v>18</v>
      </c>
      <c r="J2641" s="40" t="str">
        <f>HYPERLINK("https://stock.pstatic.net/stock-research/company/39/20260514_company_397182000.pdf","PDF")</f>
        <v>PDF</v>
      </c>
      <c r="K2641" s="12" t="s">
        <v>1844</v>
      </c>
      <c r="L2641" s="36">
        <v>0.33995037220843671</v>
      </c>
    </row>
    <row r="2642" spans="1:12" x14ac:dyDescent="0.45">
      <c r="A2642" s="12" t="s">
        <v>1645</v>
      </c>
      <c r="B2642" s="12" t="s">
        <v>1686</v>
      </c>
      <c r="C2642" s="13" t="s">
        <v>1687</v>
      </c>
      <c r="D2642" s="13" t="s">
        <v>44</v>
      </c>
      <c r="E2642" s="12" t="s">
        <v>35</v>
      </c>
      <c r="F2642" s="14">
        <v>1850000</v>
      </c>
      <c r="G2642" s="14">
        <v>1295000</v>
      </c>
      <c r="H2642" s="13" t="s">
        <v>1845</v>
      </c>
      <c r="I2642" s="40" t="s">
        <v>18</v>
      </c>
      <c r="J2642" s="40" t="str">
        <f>HYPERLINK("https://stock.pstatic.net/stock-research/company/39/20260514_company_841012000.pdf","PDF")</f>
        <v>PDF</v>
      </c>
      <c r="K2642" s="12" t="s">
        <v>1846</v>
      </c>
      <c r="L2642" s="36">
        <v>0.42857142857142849</v>
      </c>
    </row>
    <row r="2643" spans="1:12" x14ac:dyDescent="0.45">
      <c r="A2643" s="12" t="s">
        <v>1645</v>
      </c>
      <c r="B2643" s="12" t="s">
        <v>880</v>
      </c>
      <c r="C2643" s="13" t="s">
        <v>881</v>
      </c>
      <c r="D2643" s="13" t="s">
        <v>44</v>
      </c>
      <c r="E2643" s="12" t="s">
        <v>35</v>
      </c>
      <c r="F2643" s="14">
        <v>16000</v>
      </c>
      <c r="G2643" s="14">
        <v>11420</v>
      </c>
      <c r="H2643" s="13" t="s">
        <v>1847</v>
      </c>
      <c r="I2643" s="40" t="s">
        <v>18</v>
      </c>
      <c r="J2643" s="40" t="str">
        <f>HYPERLINK("https://stock.pstatic.net/stock-research/company/39/20260514_company_23321000.pdf","PDF")</f>
        <v>PDF</v>
      </c>
      <c r="K2643" s="12" t="s">
        <v>1848</v>
      </c>
      <c r="L2643" s="36">
        <v>0.40105078809106831</v>
      </c>
    </row>
    <row r="2644" spans="1:12" x14ac:dyDescent="0.45">
      <c r="A2644" s="12" t="s">
        <v>1645</v>
      </c>
      <c r="B2644" s="12" t="s">
        <v>1849</v>
      </c>
      <c r="C2644" s="13" t="s">
        <v>1850</v>
      </c>
      <c r="D2644" s="13" t="s">
        <v>44</v>
      </c>
      <c r="E2644" s="12" t="s">
        <v>35</v>
      </c>
      <c r="F2644" s="14">
        <v>26000</v>
      </c>
      <c r="G2644" s="14">
        <v>19930</v>
      </c>
      <c r="H2644" s="13" t="s">
        <v>1851</v>
      </c>
      <c r="I2644" s="40" t="s">
        <v>18</v>
      </c>
      <c r="J2644" s="40" t="str">
        <f>HYPERLINK("https://stock.pstatic.net/stock-research/company/39/20260514_company_614387000.pdf","PDF")</f>
        <v>PDF</v>
      </c>
      <c r="K2644" s="12" t="s">
        <v>1852</v>
      </c>
      <c r="L2644" s="36">
        <v>0.30456598093326642</v>
      </c>
    </row>
    <row r="2645" spans="1:12" x14ac:dyDescent="0.45">
      <c r="A2645" s="12" t="s">
        <v>1645</v>
      </c>
      <c r="B2645" s="12" t="s">
        <v>1682</v>
      </c>
      <c r="C2645" s="13" t="s">
        <v>1683</v>
      </c>
      <c r="D2645" s="13" t="s">
        <v>44</v>
      </c>
      <c r="E2645" s="12" t="s">
        <v>35</v>
      </c>
      <c r="F2645" s="14">
        <v>430000</v>
      </c>
      <c r="G2645" s="14">
        <v>263000</v>
      </c>
      <c r="H2645" s="13" t="s">
        <v>1853</v>
      </c>
      <c r="I2645" s="40" t="s">
        <v>18</v>
      </c>
      <c r="J2645" s="40" t="str">
        <f>HYPERLINK("https://stock.pstatic.net/stock-research/company/39/20260514_company_787451000.pdf","PDF")</f>
        <v>PDF</v>
      </c>
      <c r="K2645" s="12" t="s">
        <v>1854</v>
      </c>
      <c r="L2645" s="36">
        <v>0.63498098859315588</v>
      </c>
    </row>
    <row r="2646" spans="1:12" x14ac:dyDescent="0.45">
      <c r="A2646" s="12" t="s">
        <v>1645</v>
      </c>
      <c r="B2646" s="12" t="s">
        <v>1773</v>
      </c>
      <c r="C2646" s="13" t="s">
        <v>1774</v>
      </c>
      <c r="D2646" s="13" t="s">
        <v>23</v>
      </c>
      <c r="E2646" s="12" t="s">
        <v>16</v>
      </c>
      <c r="F2646" s="14">
        <v>135000</v>
      </c>
      <c r="G2646" s="14">
        <v>95400</v>
      </c>
      <c r="H2646" s="13" t="s">
        <v>1855</v>
      </c>
      <c r="I2646" s="40" t="s">
        <v>18</v>
      </c>
      <c r="J2646" s="40" t="str">
        <f>HYPERLINK("https://stock.pstatic.net/stock-research/company/21/20260514_company_332677000.pdf","PDF")</f>
        <v>PDF</v>
      </c>
      <c r="K2646" s="12" t="s">
        <v>1856</v>
      </c>
      <c r="L2646" s="36">
        <v>0.41509433962264147</v>
      </c>
    </row>
    <row r="2647" spans="1:12" x14ac:dyDescent="0.45">
      <c r="A2647" s="12" t="s">
        <v>1645</v>
      </c>
      <c r="B2647" s="12" t="s">
        <v>118</v>
      </c>
      <c r="C2647" s="13" t="s">
        <v>119</v>
      </c>
      <c r="D2647" s="13" t="s">
        <v>44</v>
      </c>
      <c r="E2647" s="12" t="s">
        <v>50</v>
      </c>
      <c r="F2647" s="13"/>
      <c r="G2647" s="13"/>
      <c r="H2647" s="13" t="s">
        <v>1857</v>
      </c>
      <c r="I2647" s="40" t="s">
        <v>18</v>
      </c>
      <c r="J2647" s="40" t="str">
        <f>HYPERLINK("https://stock.pstatic.net/stock-research/company/39/20260514_company_292721000.pdf","PDF")</f>
        <v>PDF</v>
      </c>
      <c r="K2647" s="12" t="s">
        <v>1858</v>
      </c>
      <c r="L2647" s="12"/>
    </row>
    <row r="2648" spans="1:12" x14ac:dyDescent="0.45">
      <c r="A2648" s="12" t="s">
        <v>1645</v>
      </c>
      <c r="B2648" s="12" t="s">
        <v>1686</v>
      </c>
      <c r="C2648" s="13" t="s">
        <v>1687</v>
      </c>
      <c r="D2648" s="13" t="s">
        <v>23</v>
      </c>
      <c r="E2648" s="12" t="s">
        <v>16</v>
      </c>
      <c r="F2648" s="14">
        <v>1750000</v>
      </c>
      <c r="G2648" s="14">
        <v>1295000</v>
      </c>
      <c r="H2648" s="13" t="s">
        <v>1859</v>
      </c>
      <c r="I2648" s="40" t="s">
        <v>18</v>
      </c>
      <c r="J2648" s="40" t="str">
        <f>HYPERLINK("https://stock.pstatic.net/stock-research/company/21/20260514_company_650886000.pdf","PDF")</f>
        <v>PDF</v>
      </c>
      <c r="K2648" s="12" t="s">
        <v>1860</v>
      </c>
      <c r="L2648" s="36">
        <v>0.35135135135135143</v>
      </c>
    </row>
    <row r="2649" spans="1:12" x14ac:dyDescent="0.45">
      <c r="A2649" s="12" t="s">
        <v>1645</v>
      </c>
      <c r="B2649" s="12" t="s">
        <v>118</v>
      </c>
      <c r="C2649" s="13" t="s">
        <v>119</v>
      </c>
      <c r="D2649" s="13" t="s">
        <v>23</v>
      </c>
      <c r="E2649" s="12" t="s">
        <v>16</v>
      </c>
      <c r="F2649" s="14">
        <v>140000</v>
      </c>
      <c r="G2649" s="14">
        <v>106000</v>
      </c>
      <c r="H2649" s="13" t="s">
        <v>1861</v>
      </c>
      <c r="I2649" s="40" t="s">
        <v>18</v>
      </c>
      <c r="J2649" s="40" t="str">
        <f>HYPERLINK("https://stock.pstatic.net/stock-research/company/21/20260514_company_123774000.pdf","PDF")</f>
        <v>PDF</v>
      </c>
      <c r="K2649" s="12" t="s">
        <v>1862</v>
      </c>
      <c r="L2649" s="36">
        <v>0.32075471698113212</v>
      </c>
    </row>
    <row r="2650" spans="1:12" x14ac:dyDescent="0.45">
      <c r="A2650" s="12" t="s">
        <v>1645</v>
      </c>
      <c r="B2650" s="12" t="s">
        <v>76</v>
      </c>
      <c r="C2650" s="13" t="s">
        <v>77</v>
      </c>
      <c r="D2650" s="13" t="s">
        <v>23</v>
      </c>
      <c r="E2650" s="12" t="s">
        <v>385</v>
      </c>
      <c r="F2650" s="13"/>
      <c r="G2650" s="14">
        <v>19830</v>
      </c>
      <c r="H2650" s="13" t="s">
        <v>1863</v>
      </c>
      <c r="I2650" s="40" t="s">
        <v>18</v>
      </c>
      <c r="J2650" s="40" t="str">
        <f>HYPERLINK("https://stock.pstatic.net/stock-research/company/21/20260514_company_778153000.pdf","PDF")</f>
        <v>PDF</v>
      </c>
      <c r="K2650" s="12" t="s">
        <v>1864</v>
      </c>
      <c r="L2650" s="12"/>
    </row>
    <row r="2651" spans="1:12" x14ac:dyDescent="0.45">
      <c r="A2651" s="12" t="s">
        <v>1645</v>
      </c>
      <c r="B2651" s="12" t="s">
        <v>710</v>
      </c>
      <c r="C2651" s="13" t="s">
        <v>711</v>
      </c>
      <c r="D2651" s="13" t="s">
        <v>44</v>
      </c>
      <c r="E2651" s="12" t="s">
        <v>50</v>
      </c>
      <c r="F2651" s="13"/>
      <c r="G2651" s="14">
        <v>17900</v>
      </c>
      <c r="H2651" s="13" t="s">
        <v>1865</v>
      </c>
      <c r="I2651" s="40" t="s">
        <v>18</v>
      </c>
      <c r="J2651" s="40" t="str">
        <f>HYPERLINK("https://stock.pstatic.net/stock-research/company/39/20260514_company_50529000.pdf","PDF")</f>
        <v>PDF</v>
      </c>
      <c r="K2651" s="12" t="s">
        <v>1866</v>
      </c>
      <c r="L2651" s="12"/>
    </row>
    <row r="2652" spans="1:12" x14ac:dyDescent="0.45">
      <c r="A2652" s="12" t="s">
        <v>1645</v>
      </c>
      <c r="B2652" s="12" t="s">
        <v>1694</v>
      </c>
      <c r="C2652" s="13" t="s">
        <v>1695</v>
      </c>
      <c r="D2652" s="13" t="s">
        <v>44</v>
      </c>
      <c r="E2652" s="12" t="s">
        <v>35</v>
      </c>
      <c r="F2652" s="14">
        <v>72000</v>
      </c>
      <c r="G2652" s="14">
        <v>51000</v>
      </c>
      <c r="H2652" s="13" t="s">
        <v>1867</v>
      </c>
      <c r="I2652" s="40" t="s">
        <v>18</v>
      </c>
      <c r="J2652" s="40" t="str">
        <f>HYPERLINK("https://stock.pstatic.net/stock-research/company/39/20260514_company_948962000.pdf","PDF")</f>
        <v>PDF</v>
      </c>
      <c r="K2652" s="12" t="s">
        <v>1868</v>
      </c>
      <c r="L2652" s="36">
        <v>0.41176470588235292</v>
      </c>
    </row>
    <row r="2653" spans="1:12" x14ac:dyDescent="0.45">
      <c r="A2653" s="12" t="s">
        <v>1645</v>
      </c>
      <c r="B2653" s="12" t="s">
        <v>32</v>
      </c>
      <c r="C2653" s="13" t="s">
        <v>33</v>
      </c>
      <c r="D2653" s="13" t="s">
        <v>179</v>
      </c>
      <c r="E2653" s="12" t="s">
        <v>16</v>
      </c>
      <c r="F2653" s="14">
        <v>1500000</v>
      </c>
      <c r="G2653" s="14">
        <v>1029000</v>
      </c>
      <c r="H2653" s="13" t="s">
        <v>1869</v>
      </c>
      <c r="I2653" s="40" t="s">
        <v>18</v>
      </c>
      <c r="J2653" s="40" t="str">
        <f>HYPERLINK("https://stock.pstatic.net/stock-research/company/64/20260514_company_768000.pdf","PDF")</f>
        <v>PDF</v>
      </c>
      <c r="K2653" s="12" t="s">
        <v>1870</v>
      </c>
      <c r="L2653" s="36">
        <v>0.45772594752186591</v>
      </c>
    </row>
    <row r="2654" spans="1:12" x14ac:dyDescent="0.45">
      <c r="A2654" s="12" t="s">
        <v>1645</v>
      </c>
      <c r="B2654" s="12" t="s">
        <v>1871</v>
      </c>
      <c r="C2654" s="13" t="s">
        <v>1872</v>
      </c>
      <c r="D2654" s="13" t="s">
        <v>124</v>
      </c>
      <c r="E2654" s="12" t="s">
        <v>50</v>
      </c>
      <c r="F2654" s="13"/>
      <c r="G2654" s="13"/>
      <c r="H2654" s="13" t="s">
        <v>1873</v>
      </c>
      <c r="I2654" s="40" t="s">
        <v>18</v>
      </c>
      <c r="J2654" s="40" t="str">
        <f>HYPERLINK("https://stock.pstatic.net/stock-research/company/74/20260514_company_860348000.pdf","PDF")</f>
        <v>PDF</v>
      </c>
      <c r="K2654" s="12" t="s">
        <v>1874</v>
      </c>
      <c r="L2654" s="12"/>
    </row>
    <row r="2655" spans="1:12" x14ac:dyDescent="0.45">
      <c r="A2655" s="12" t="s">
        <v>1645</v>
      </c>
      <c r="B2655" s="12" t="s">
        <v>118</v>
      </c>
      <c r="C2655" s="13" t="s">
        <v>119</v>
      </c>
      <c r="D2655" s="13" t="s">
        <v>53</v>
      </c>
      <c r="E2655" s="12" t="s">
        <v>16</v>
      </c>
      <c r="F2655" s="14">
        <v>120000</v>
      </c>
      <c r="G2655" s="14">
        <v>106000</v>
      </c>
      <c r="H2655" s="13" t="s">
        <v>1875</v>
      </c>
      <c r="I2655" s="40" t="s">
        <v>18</v>
      </c>
      <c r="J2655" s="40" t="str">
        <f>HYPERLINK("https://stock.pstatic.net/stock-research/company/40/20260514_company_16294000.pdf","PDF")</f>
        <v>PDF</v>
      </c>
      <c r="K2655" s="12" t="s">
        <v>1876</v>
      </c>
      <c r="L2655" s="36">
        <v>0.13207547169811321</v>
      </c>
    </row>
    <row r="2656" spans="1:12" x14ac:dyDescent="0.45">
      <c r="A2656" s="12" t="s">
        <v>1645</v>
      </c>
      <c r="B2656" s="12" t="s">
        <v>1773</v>
      </c>
      <c r="C2656" s="13" t="s">
        <v>1774</v>
      </c>
      <c r="D2656" s="13" t="s">
        <v>15</v>
      </c>
      <c r="E2656" s="12" t="s">
        <v>16</v>
      </c>
      <c r="F2656" s="14">
        <v>140000</v>
      </c>
      <c r="G2656" s="14">
        <v>95400</v>
      </c>
      <c r="H2656" s="13" t="s">
        <v>1877</v>
      </c>
      <c r="I2656" s="40" t="s">
        <v>18</v>
      </c>
      <c r="J2656" s="40" t="str">
        <f>HYPERLINK("https://stock.pstatic.net/stock-research/company/56/20260514_company_378011000.pdf","PDF")</f>
        <v>PDF</v>
      </c>
      <c r="K2656" s="12" t="s">
        <v>1878</v>
      </c>
      <c r="L2656" s="36">
        <v>0.46750524109014668</v>
      </c>
    </row>
    <row r="2657" spans="1:12" x14ac:dyDescent="0.45">
      <c r="A2657" s="12" t="s">
        <v>1645</v>
      </c>
      <c r="B2657" s="12" t="s">
        <v>724</v>
      </c>
      <c r="C2657" s="13" t="s">
        <v>725</v>
      </c>
      <c r="D2657" s="13" t="s">
        <v>15</v>
      </c>
      <c r="E2657" s="12" t="s">
        <v>16</v>
      </c>
      <c r="F2657" s="14">
        <v>80000</v>
      </c>
      <c r="G2657" s="14">
        <v>50500</v>
      </c>
      <c r="H2657" s="13" t="s">
        <v>1879</v>
      </c>
      <c r="I2657" s="40" t="s">
        <v>18</v>
      </c>
      <c r="J2657" s="40" t="str">
        <f>HYPERLINK("https://stock.pstatic.net/stock-research/company/56/20260514_company_118390000.pdf","PDF")</f>
        <v>PDF</v>
      </c>
      <c r="K2657" s="12" t="s">
        <v>1880</v>
      </c>
      <c r="L2657" s="36">
        <v>0.58415841584158412</v>
      </c>
    </row>
    <row r="2658" spans="1:12" x14ac:dyDescent="0.45">
      <c r="A2658" s="12" t="s">
        <v>1645</v>
      </c>
      <c r="B2658" s="12" t="s">
        <v>1682</v>
      </c>
      <c r="C2658" s="13" t="s">
        <v>1683</v>
      </c>
      <c r="D2658" s="13" t="s">
        <v>15</v>
      </c>
      <c r="E2658" s="12" t="s">
        <v>16</v>
      </c>
      <c r="F2658" s="14">
        <v>400000</v>
      </c>
      <c r="G2658" s="14">
        <v>250000</v>
      </c>
      <c r="H2658" s="13" t="s">
        <v>1881</v>
      </c>
      <c r="I2658" s="40" t="s">
        <v>18</v>
      </c>
      <c r="J2658" s="40" t="str">
        <f>HYPERLINK("https://stock.pstatic.net/stock-research/company/56/20260514_company_308677000.pdf","PDF")</f>
        <v>PDF</v>
      </c>
      <c r="K2658" s="12" t="s">
        <v>1882</v>
      </c>
      <c r="L2658" s="36">
        <v>0.6</v>
      </c>
    </row>
    <row r="2659" spans="1:12" x14ac:dyDescent="0.45">
      <c r="A2659" s="12" t="s">
        <v>1645</v>
      </c>
      <c r="B2659" s="12" t="s">
        <v>1883</v>
      </c>
      <c r="C2659" s="13" t="s">
        <v>1884</v>
      </c>
      <c r="D2659" s="13" t="s">
        <v>15</v>
      </c>
      <c r="E2659" s="12" t="s">
        <v>16</v>
      </c>
      <c r="F2659" s="14">
        <v>28500</v>
      </c>
      <c r="G2659" s="14">
        <v>22050</v>
      </c>
      <c r="H2659" s="13" t="s">
        <v>1885</v>
      </c>
      <c r="I2659" s="40" t="s">
        <v>18</v>
      </c>
      <c r="J2659" s="40" t="str">
        <f>HYPERLINK("https://stock.pstatic.net/stock-research/company/56/20260514_company_139049000.pdf","PDF")</f>
        <v>PDF</v>
      </c>
      <c r="K2659" s="12" t="s">
        <v>1886</v>
      </c>
      <c r="L2659" s="36">
        <v>0.29251700680272108</v>
      </c>
    </row>
    <row r="2660" spans="1:12" x14ac:dyDescent="0.45">
      <c r="A2660" s="12" t="s">
        <v>1887</v>
      </c>
      <c r="B2660" s="12" t="s">
        <v>1023</v>
      </c>
      <c r="C2660" s="13" t="s">
        <v>15</v>
      </c>
      <c r="D2660" s="13" t="s">
        <v>83</v>
      </c>
      <c r="E2660" s="12" t="s">
        <v>642</v>
      </c>
      <c r="F2660" s="14">
        <v>62000</v>
      </c>
      <c r="G2660" s="14">
        <v>79400</v>
      </c>
      <c r="H2660" s="13" t="s">
        <v>1888</v>
      </c>
      <c r="I2660" s="40" t="s">
        <v>18</v>
      </c>
      <c r="J2660" s="40" t="str">
        <f>HYPERLINK("https://stock.pstatic.net/stock-research/company/15/20260513_company_721479000.pdf","PDF")</f>
        <v>PDF</v>
      </c>
      <c r="K2660" s="12" t="s">
        <v>1889</v>
      </c>
      <c r="L2660" s="36">
        <v>-0.21914357682619651</v>
      </c>
    </row>
    <row r="2661" spans="1:12" x14ac:dyDescent="0.45">
      <c r="A2661" s="12" t="s">
        <v>1887</v>
      </c>
      <c r="B2661" s="12" t="s">
        <v>1047</v>
      </c>
      <c r="C2661" s="13" t="s">
        <v>1048</v>
      </c>
      <c r="D2661" s="13" t="s">
        <v>83</v>
      </c>
      <c r="E2661" s="12" t="s">
        <v>35</v>
      </c>
      <c r="F2661" s="14">
        <v>22000</v>
      </c>
      <c r="G2661" s="14">
        <v>14380</v>
      </c>
      <c r="H2661" s="13" t="s">
        <v>1890</v>
      </c>
      <c r="I2661" s="40" t="s">
        <v>18</v>
      </c>
      <c r="J2661" s="40" t="str">
        <f>HYPERLINK("https://stock.pstatic.net/stock-research/company/15/20260513_company_555995000.pdf","PDF")</f>
        <v>PDF</v>
      </c>
      <c r="K2661" s="12" t="s">
        <v>1891</v>
      </c>
      <c r="L2661" s="36">
        <v>0.5299026425591099</v>
      </c>
    </row>
    <row r="2662" spans="1:12" x14ac:dyDescent="0.45">
      <c r="A2662" s="12" t="s">
        <v>1887</v>
      </c>
      <c r="B2662" s="12" t="s">
        <v>1383</v>
      </c>
      <c r="C2662" s="13" t="s">
        <v>1384</v>
      </c>
      <c r="D2662" s="13" t="s">
        <v>83</v>
      </c>
      <c r="E2662" s="12" t="s">
        <v>35</v>
      </c>
      <c r="F2662" s="14">
        <v>34000</v>
      </c>
      <c r="G2662" s="14">
        <v>22600</v>
      </c>
      <c r="H2662" s="13" t="s">
        <v>1892</v>
      </c>
      <c r="I2662" s="40" t="s">
        <v>18</v>
      </c>
      <c r="J2662" s="40" t="str">
        <f>HYPERLINK("https://stock.pstatic.net/stock-research/company/15/20260513_company_705708000.pdf","PDF")</f>
        <v>PDF</v>
      </c>
      <c r="K2662" s="12" t="s">
        <v>1893</v>
      </c>
      <c r="L2662" s="36">
        <v>0.50442477876106195</v>
      </c>
    </row>
    <row r="2663" spans="1:12" x14ac:dyDescent="0.45">
      <c r="A2663" s="12" t="s">
        <v>1887</v>
      </c>
      <c r="B2663" s="12" t="s">
        <v>533</v>
      </c>
      <c r="C2663" s="13" t="s">
        <v>534</v>
      </c>
      <c r="D2663" s="13" t="s">
        <v>83</v>
      </c>
      <c r="E2663" s="12" t="s">
        <v>35</v>
      </c>
      <c r="F2663" s="14">
        <v>74000</v>
      </c>
      <c r="G2663" s="14">
        <v>59900</v>
      </c>
      <c r="H2663" s="13" t="s">
        <v>1894</v>
      </c>
      <c r="I2663" s="40" t="s">
        <v>18</v>
      </c>
      <c r="J2663" s="40" t="str">
        <f>HYPERLINK("https://stock.pstatic.net/stock-research/company/15/20260513_company_968150000.pdf","PDF")</f>
        <v>PDF</v>
      </c>
      <c r="K2663" s="12" t="s">
        <v>1895</v>
      </c>
      <c r="L2663" s="36">
        <v>0.23539232053422371</v>
      </c>
    </row>
    <row r="2664" spans="1:12" x14ac:dyDescent="0.45">
      <c r="A2664" s="12" t="s">
        <v>1887</v>
      </c>
      <c r="B2664" s="12" t="s">
        <v>1656</v>
      </c>
      <c r="C2664" s="13" t="s">
        <v>1657</v>
      </c>
      <c r="D2664" s="13" t="s">
        <v>83</v>
      </c>
      <c r="E2664" s="12" t="s">
        <v>35</v>
      </c>
      <c r="F2664" s="14">
        <v>600000</v>
      </c>
      <c r="G2664" s="14">
        <v>445500</v>
      </c>
      <c r="H2664" s="13" t="s">
        <v>1896</v>
      </c>
      <c r="I2664" s="40" t="s">
        <v>18</v>
      </c>
      <c r="J2664" s="40" t="str">
        <f>HYPERLINK("https://stock.pstatic.net/stock-research/company/15/20260513_company_700996000.pdf","PDF")</f>
        <v>PDF</v>
      </c>
      <c r="K2664" s="12" t="s">
        <v>1897</v>
      </c>
      <c r="L2664" s="36">
        <v>0.34680134680134678</v>
      </c>
    </row>
    <row r="2665" spans="1:12" x14ac:dyDescent="0.45">
      <c r="A2665" s="12" t="s">
        <v>1887</v>
      </c>
      <c r="B2665" s="12" t="s">
        <v>1023</v>
      </c>
      <c r="C2665" s="13" t="s">
        <v>15</v>
      </c>
      <c r="D2665" s="13" t="s">
        <v>158</v>
      </c>
      <c r="E2665" s="12" t="s">
        <v>35</v>
      </c>
      <c r="F2665" s="14">
        <v>93000</v>
      </c>
      <c r="G2665" s="14">
        <v>74300</v>
      </c>
      <c r="H2665" s="13" t="s">
        <v>1898</v>
      </c>
      <c r="I2665" s="40" t="s">
        <v>18</v>
      </c>
      <c r="J2665" s="40" t="str">
        <f>HYPERLINK("https://stock.pstatic.net/stock-research/company/18/20260513_company_991383000.pdf","PDF")</f>
        <v>PDF</v>
      </c>
      <c r="K2665" s="12" t="s">
        <v>1899</v>
      </c>
      <c r="L2665" s="36">
        <v>0.25168236877523548</v>
      </c>
    </row>
    <row r="2666" spans="1:12" x14ac:dyDescent="0.45">
      <c r="A2666" s="12" t="s">
        <v>1887</v>
      </c>
      <c r="B2666" s="12" t="s">
        <v>1900</v>
      </c>
      <c r="C2666" s="13" t="s">
        <v>1901</v>
      </c>
      <c r="D2666" s="13" t="s">
        <v>15</v>
      </c>
      <c r="E2666" s="12" t="s">
        <v>16</v>
      </c>
      <c r="F2666" s="14">
        <v>30000</v>
      </c>
      <c r="G2666" s="14">
        <v>21250</v>
      </c>
      <c r="H2666" s="13" t="s">
        <v>1902</v>
      </c>
      <c r="I2666" s="40" t="s">
        <v>18</v>
      </c>
      <c r="J2666" s="40" t="str">
        <f>HYPERLINK("https://stock.pstatic.net/stock-research/company/56/20260513_company_521835000.pdf","PDF")</f>
        <v>PDF</v>
      </c>
      <c r="K2666" s="12" t="s">
        <v>1903</v>
      </c>
      <c r="L2666" s="36">
        <v>0.41176470588235292</v>
      </c>
    </row>
    <row r="2667" spans="1:12" x14ac:dyDescent="0.45">
      <c r="A2667" s="12" t="s">
        <v>1887</v>
      </c>
      <c r="B2667" s="12" t="s">
        <v>533</v>
      </c>
      <c r="C2667" s="13" t="s">
        <v>534</v>
      </c>
      <c r="D2667" s="13" t="s">
        <v>158</v>
      </c>
      <c r="E2667" s="12" t="s">
        <v>35</v>
      </c>
      <c r="F2667" s="14">
        <v>73000</v>
      </c>
      <c r="G2667" s="14">
        <v>59900</v>
      </c>
      <c r="H2667" s="13" t="s">
        <v>1904</v>
      </c>
      <c r="I2667" s="40" t="s">
        <v>18</v>
      </c>
      <c r="J2667" s="40" t="str">
        <f>HYPERLINK("https://stock.pstatic.net/stock-research/company/18/20260513_company_61762000.pdf","PDF")</f>
        <v>PDF</v>
      </c>
      <c r="K2667" s="12" t="s">
        <v>1905</v>
      </c>
      <c r="L2667" s="36">
        <v>0.21869782971619359</v>
      </c>
    </row>
    <row r="2668" spans="1:12" x14ac:dyDescent="0.45">
      <c r="A2668" s="12" t="s">
        <v>1887</v>
      </c>
      <c r="B2668" s="12" t="s">
        <v>1906</v>
      </c>
      <c r="C2668" s="13" t="s">
        <v>1907</v>
      </c>
      <c r="D2668" s="13" t="s">
        <v>92</v>
      </c>
      <c r="E2668" s="12" t="s">
        <v>35</v>
      </c>
      <c r="F2668" s="14">
        <v>72000</v>
      </c>
      <c r="G2668" s="14">
        <v>52800</v>
      </c>
      <c r="H2668" s="13" t="s">
        <v>1908</v>
      </c>
      <c r="I2668" s="40" t="s">
        <v>18</v>
      </c>
      <c r="J2668" s="40" t="str">
        <f>HYPERLINK("https://stock.pstatic.net/stock-research/company/63/20260513_company_26645000.pdf","PDF")</f>
        <v>PDF</v>
      </c>
      <c r="K2668" s="12" t="s">
        <v>1909</v>
      </c>
      <c r="L2668" s="36">
        <v>0.36363636363636359</v>
      </c>
    </row>
    <row r="2669" spans="1:12" x14ac:dyDescent="0.45">
      <c r="A2669" s="12" t="s">
        <v>1887</v>
      </c>
      <c r="B2669" s="12" t="s">
        <v>1906</v>
      </c>
      <c r="C2669" s="13" t="s">
        <v>1907</v>
      </c>
      <c r="D2669" s="13" t="s">
        <v>57</v>
      </c>
      <c r="E2669" s="12" t="s">
        <v>35</v>
      </c>
      <c r="F2669" s="14">
        <v>72000</v>
      </c>
      <c r="G2669" s="14">
        <v>52800</v>
      </c>
      <c r="H2669" s="13" t="s">
        <v>1910</v>
      </c>
      <c r="I2669" s="40" t="s">
        <v>18</v>
      </c>
      <c r="J2669" s="40" t="str">
        <f>HYPERLINK("https://stock.pstatic.net/stock-research/company/16/20260513_company_826918000.pdf","PDF")</f>
        <v>PDF</v>
      </c>
      <c r="K2669" s="12" t="s">
        <v>1911</v>
      </c>
      <c r="L2669" s="36">
        <v>0.36363636363636359</v>
      </c>
    </row>
    <row r="2670" spans="1:12" x14ac:dyDescent="0.45">
      <c r="A2670" s="12" t="s">
        <v>1887</v>
      </c>
      <c r="B2670" s="12" t="s">
        <v>1912</v>
      </c>
      <c r="C2670" s="13" t="s">
        <v>1913</v>
      </c>
      <c r="D2670" s="13" t="s">
        <v>15</v>
      </c>
      <c r="E2670" s="12" t="s">
        <v>50</v>
      </c>
      <c r="F2670" s="13"/>
      <c r="G2670" s="14">
        <v>41100</v>
      </c>
      <c r="H2670" s="13" t="s">
        <v>1914</v>
      </c>
      <c r="I2670" s="40" t="s">
        <v>18</v>
      </c>
      <c r="J2670" s="40" t="str">
        <f>HYPERLINK("https://stock.pstatic.net/stock-research/company/56/20260513_company_342193000.pdf","PDF")</f>
        <v>PDF</v>
      </c>
      <c r="K2670" s="12" t="s">
        <v>1915</v>
      </c>
      <c r="L2670" s="12"/>
    </row>
    <row r="2671" spans="1:12" x14ac:dyDescent="0.45">
      <c r="A2671" s="12" t="s">
        <v>1887</v>
      </c>
      <c r="B2671" s="12" t="s">
        <v>768</v>
      </c>
      <c r="C2671" s="13" t="s">
        <v>769</v>
      </c>
      <c r="D2671" s="13" t="s">
        <v>57</v>
      </c>
      <c r="E2671" s="12" t="s">
        <v>35</v>
      </c>
      <c r="F2671" s="14">
        <v>250000</v>
      </c>
      <c r="G2671" s="14">
        <v>219500</v>
      </c>
      <c r="H2671" s="13" t="s">
        <v>1916</v>
      </c>
      <c r="I2671" s="40" t="s">
        <v>18</v>
      </c>
      <c r="J2671" s="40" t="str">
        <f>HYPERLINK("https://stock.pstatic.net/stock-research/company/16/20260513_company_196573000.pdf","PDF")</f>
        <v>PDF</v>
      </c>
      <c r="K2671" s="12" t="s">
        <v>1917</v>
      </c>
      <c r="L2671" s="36">
        <v>0.13895216400911159</v>
      </c>
    </row>
    <row r="2672" spans="1:12" x14ac:dyDescent="0.45">
      <c r="A2672" s="12" t="s">
        <v>1887</v>
      </c>
      <c r="B2672" s="12" t="s">
        <v>1918</v>
      </c>
      <c r="C2672" s="13" t="s">
        <v>1919</v>
      </c>
      <c r="D2672" s="13" t="s">
        <v>92</v>
      </c>
      <c r="E2672" s="12" t="s">
        <v>35</v>
      </c>
      <c r="F2672" s="14">
        <v>6300</v>
      </c>
      <c r="G2672" s="14">
        <v>4175</v>
      </c>
      <c r="H2672" s="13" t="s">
        <v>1920</v>
      </c>
      <c r="I2672" s="40" t="s">
        <v>18</v>
      </c>
      <c r="J2672" s="40" t="str">
        <f>HYPERLINK("https://stock.pstatic.net/stock-research/company/63/20260513_company_412959000.pdf","PDF")</f>
        <v>PDF</v>
      </c>
      <c r="K2672" s="12" t="s">
        <v>1921</v>
      </c>
      <c r="L2672" s="36">
        <v>0.50898203592814373</v>
      </c>
    </row>
    <row r="2673" spans="1:12" x14ac:dyDescent="0.45">
      <c r="A2673" s="12" t="s">
        <v>1887</v>
      </c>
      <c r="B2673" s="12" t="s">
        <v>98</v>
      </c>
      <c r="C2673" s="13" t="s">
        <v>99</v>
      </c>
      <c r="D2673" s="13" t="s">
        <v>57</v>
      </c>
      <c r="E2673" s="12" t="s">
        <v>35</v>
      </c>
      <c r="F2673" s="14">
        <v>48000</v>
      </c>
      <c r="G2673" s="14">
        <v>37850</v>
      </c>
      <c r="H2673" s="13" t="s">
        <v>1922</v>
      </c>
      <c r="I2673" s="40" t="s">
        <v>18</v>
      </c>
      <c r="J2673" s="40" t="str">
        <f>HYPERLINK("https://stock.pstatic.net/stock-research/company/16/20260513_company_820828000.pdf","PDF")</f>
        <v>PDF</v>
      </c>
      <c r="K2673" s="12" t="s">
        <v>1923</v>
      </c>
      <c r="L2673" s="36">
        <v>0.26816380449141353</v>
      </c>
    </row>
    <row r="2674" spans="1:12" x14ac:dyDescent="0.45">
      <c r="A2674" s="12" t="s">
        <v>1887</v>
      </c>
      <c r="B2674" s="12" t="s">
        <v>1252</v>
      </c>
      <c r="C2674" s="13" t="s">
        <v>1253</v>
      </c>
      <c r="D2674" s="13" t="s">
        <v>57</v>
      </c>
      <c r="E2674" s="12" t="s">
        <v>35</v>
      </c>
      <c r="F2674" s="14">
        <v>9500</v>
      </c>
      <c r="G2674" s="14">
        <v>6380</v>
      </c>
      <c r="H2674" s="13" t="s">
        <v>1924</v>
      </c>
      <c r="I2674" s="40" t="s">
        <v>18</v>
      </c>
      <c r="J2674" s="40" t="str">
        <f>HYPERLINK("https://stock.pstatic.net/stock-research/company/16/20260513_company_718790000.pdf","PDF")</f>
        <v>PDF</v>
      </c>
      <c r="K2674" s="12" t="s">
        <v>1925</v>
      </c>
      <c r="L2674" s="36">
        <v>0.4890282131661442</v>
      </c>
    </row>
    <row r="2675" spans="1:12" x14ac:dyDescent="0.45">
      <c r="A2675" s="12" t="s">
        <v>1887</v>
      </c>
      <c r="B2675" s="12" t="s">
        <v>1656</v>
      </c>
      <c r="C2675" s="13" t="s">
        <v>1657</v>
      </c>
      <c r="D2675" s="13" t="s">
        <v>57</v>
      </c>
      <c r="E2675" s="12" t="s">
        <v>35</v>
      </c>
      <c r="F2675" s="14">
        <v>660000</v>
      </c>
      <c r="G2675" s="14">
        <v>441500</v>
      </c>
      <c r="H2675" s="13" t="s">
        <v>1926</v>
      </c>
      <c r="I2675" s="40" t="s">
        <v>18</v>
      </c>
      <c r="J2675" s="40" t="str">
        <f>HYPERLINK("https://stock.pstatic.net/stock-research/company/16/20260513_company_126819000.pdf","PDF")</f>
        <v>PDF</v>
      </c>
      <c r="K2675" s="12" t="s">
        <v>1927</v>
      </c>
      <c r="L2675" s="36">
        <v>0.49490373725934322</v>
      </c>
    </row>
    <row r="2676" spans="1:12" x14ac:dyDescent="0.45">
      <c r="A2676" s="12" t="s">
        <v>1887</v>
      </c>
      <c r="B2676" s="12" t="s">
        <v>1262</v>
      </c>
      <c r="C2676" s="13" t="s">
        <v>1263</v>
      </c>
      <c r="D2676" s="13" t="s">
        <v>57</v>
      </c>
      <c r="E2676" s="12" t="s">
        <v>35</v>
      </c>
      <c r="F2676" s="14">
        <v>6100</v>
      </c>
      <c r="G2676" s="14">
        <v>4845</v>
      </c>
      <c r="H2676" s="13" t="s">
        <v>1928</v>
      </c>
      <c r="I2676" s="40" t="s">
        <v>18</v>
      </c>
      <c r="J2676" s="40" t="str">
        <f>HYPERLINK("https://stock.pstatic.net/stock-research/company/16/20260513_company_519850000.pdf","PDF")</f>
        <v>PDF</v>
      </c>
      <c r="K2676" s="12" t="s">
        <v>1929</v>
      </c>
      <c r="L2676" s="36">
        <v>0.25902992776057793</v>
      </c>
    </row>
    <row r="2677" spans="1:12" x14ac:dyDescent="0.45">
      <c r="A2677" s="12" t="s">
        <v>1887</v>
      </c>
      <c r="B2677" s="12" t="s">
        <v>1930</v>
      </c>
      <c r="C2677" s="13" t="s">
        <v>1931</v>
      </c>
      <c r="D2677" s="13" t="s">
        <v>57</v>
      </c>
      <c r="E2677" s="12" t="s">
        <v>35</v>
      </c>
      <c r="F2677" s="14">
        <v>300000</v>
      </c>
      <c r="G2677" s="14">
        <v>225500</v>
      </c>
      <c r="H2677" s="13" t="s">
        <v>1932</v>
      </c>
      <c r="I2677" s="40" t="s">
        <v>18</v>
      </c>
      <c r="J2677" s="40" t="str">
        <f>HYPERLINK("https://stock.pstatic.net/stock-research/company/16/20260513_company_118436000.pdf","PDF")</f>
        <v>PDF</v>
      </c>
      <c r="K2677" s="12" t="s">
        <v>1933</v>
      </c>
      <c r="L2677" s="36">
        <v>0.3303769401330377</v>
      </c>
    </row>
    <row r="2678" spans="1:12" x14ac:dyDescent="0.45">
      <c r="A2678" s="12" t="s">
        <v>1887</v>
      </c>
      <c r="B2678" s="12" t="s">
        <v>1906</v>
      </c>
      <c r="C2678" s="13" t="s">
        <v>1907</v>
      </c>
      <c r="D2678" s="13" t="s">
        <v>276</v>
      </c>
      <c r="E2678" s="12" t="s">
        <v>16</v>
      </c>
      <c r="F2678" s="14">
        <v>100000</v>
      </c>
      <c r="G2678" s="14">
        <v>52800</v>
      </c>
      <c r="H2678" s="13" t="s">
        <v>1934</v>
      </c>
      <c r="I2678" s="40" t="s">
        <v>18</v>
      </c>
      <c r="J2678" s="40" t="str">
        <f>HYPERLINK("https://stock.pstatic.net/stock-research/company/66/20260513_company_494363000.pdf","PDF")</f>
        <v>PDF</v>
      </c>
      <c r="K2678" s="12" t="s">
        <v>1935</v>
      </c>
      <c r="L2678" s="36">
        <v>0.89393939393939392</v>
      </c>
    </row>
    <row r="2679" spans="1:12" x14ac:dyDescent="0.45">
      <c r="A2679" s="12" t="s">
        <v>1887</v>
      </c>
      <c r="B2679" s="12" t="s">
        <v>1936</v>
      </c>
      <c r="C2679" s="13" t="s">
        <v>1937</v>
      </c>
      <c r="D2679" s="13" t="s">
        <v>276</v>
      </c>
      <c r="E2679" s="12" t="s">
        <v>16</v>
      </c>
      <c r="F2679" s="14">
        <v>11000</v>
      </c>
      <c r="G2679" s="14">
        <v>6890</v>
      </c>
      <c r="H2679" s="13" t="s">
        <v>1938</v>
      </c>
      <c r="I2679" s="40" t="s">
        <v>18</v>
      </c>
      <c r="J2679" s="40" t="str">
        <f>HYPERLINK("https://stock.pstatic.net/stock-research/company/66/20260513_company_397935000.pdf","PDF")</f>
        <v>PDF</v>
      </c>
      <c r="K2679" s="12" t="s">
        <v>1939</v>
      </c>
      <c r="L2679" s="36">
        <v>0.59651669085631354</v>
      </c>
    </row>
    <row r="2680" spans="1:12" x14ac:dyDescent="0.45">
      <c r="A2680" s="12" t="s">
        <v>1887</v>
      </c>
      <c r="B2680" s="12" t="s">
        <v>1940</v>
      </c>
      <c r="C2680" s="13" t="s">
        <v>1941</v>
      </c>
      <c r="D2680" s="13" t="s">
        <v>276</v>
      </c>
      <c r="E2680" s="12" t="s">
        <v>16</v>
      </c>
      <c r="F2680" s="14">
        <v>26000</v>
      </c>
      <c r="G2680" s="14">
        <v>18170</v>
      </c>
      <c r="H2680" s="13" t="s">
        <v>1942</v>
      </c>
      <c r="I2680" s="40" t="s">
        <v>18</v>
      </c>
      <c r="J2680" s="40" t="str">
        <f>HYPERLINK("https://stock.pstatic.net/stock-research/company/66/20260513_company_8731000.pdf","PDF")</f>
        <v>PDF</v>
      </c>
      <c r="K2680" s="12" t="s">
        <v>1943</v>
      </c>
      <c r="L2680" s="36">
        <v>0.43093010456796921</v>
      </c>
    </row>
    <row r="2681" spans="1:12" x14ac:dyDescent="0.45">
      <c r="A2681" s="12" t="s">
        <v>1887</v>
      </c>
      <c r="B2681" s="12" t="s">
        <v>768</v>
      </c>
      <c r="C2681" s="13" t="s">
        <v>769</v>
      </c>
      <c r="D2681" s="13" t="s">
        <v>15</v>
      </c>
      <c r="E2681" s="12" t="s">
        <v>16</v>
      </c>
      <c r="F2681" s="14">
        <v>270000</v>
      </c>
      <c r="G2681" s="14">
        <v>219500</v>
      </c>
      <c r="H2681" s="13" t="s">
        <v>1944</v>
      </c>
      <c r="I2681" s="40" t="s">
        <v>18</v>
      </c>
      <c r="J2681" s="40" t="str">
        <f>HYPERLINK("https://stock.pstatic.net/stock-research/company/56/20260513_company_265254000.pdf","PDF")</f>
        <v>PDF</v>
      </c>
      <c r="K2681" s="12" t="s">
        <v>1945</v>
      </c>
      <c r="L2681" s="36">
        <v>0.23006833712984051</v>
      </c>
    </row>
    <row r="2682" spans="1:12" x14ac:dyDescent="0.45">
      <c r="A2682" s="12" t="s">
        <v>1887</v>
      </c>
      <c r="B2682" s="12" t="s">
        <v>1946</v>
      </c>
      <c r="C2682" s="13" t="s">
        <v>1947</v>
      </c>
      <c r="D2682" s="13" t="s">
        <v>60</v>
      </c>
      <c r="E2682" s="12" t="s">
        <v>35</v>
      </c>
      <c r="F2682" s="14">
        <v>25000</v>
      </c>
      <c r="G2682" s="14">
        <v>20450</v>
      </c>
      <c r="H2682" s="13" t="s">
        <v>1948</v>
      </c>
      <c r="I2682" s="40" t="s">
        <v>18</v>
      </c>
      <c r="J2682" s="40" t="str">
        <f>HYPERLINK("https://stock.pstatic.net/stock-research/company/62/20260513_company_831190000.pdf","PDF")</f>
        <v>PDF</v>
      </c>
      <c r="K2682" s="12" t="s">
        <v>1949</v>
      </c>
      <c r="L2682" s="36">
        <v>0.22249388753056229</v>
      </c>
    </row>
    <row r="2683" spans="1:12" x14ac:dyDescent="0.45">
      <c r="A2683" s="12" t="s">
        <v>1887</v>
      </c>
      <c r="B2683" s="12" t="s">
        <v>1883</v>
      </c>
      <c r="C2683" s="13" t="s">
        <v>1884</v>
      </c>
      <c r="D2683" s="13" t="s">
        <v>92</v>
      </c>
      <c r="E2683" s="12" t="s">
        <v>35</v>
      </c>
      <c r="F2683" s="14">
        <v>31000</v>
      </c>
      <c r="G2683" s="14">
        <v>22050</v>
      </c>
      <c r="H2683" s="13" t="s">
        <v>1950</v>
      </c>
      <c r="I2683" s="40" t="s">
        <v>18</v>
      </c>
      <c r="J2683" s="40" t="str">
        <f>HYPERLINK("https://stock.pstatic.net/stock-research/company/63/20260513_company_859754000.pdf","PDF")</f>
        <v>PDF</v>
      </c>
      <c r="K2683" s="12" t="s">
        <v>1951</v>
      </c>
      <c r="L2683" s="36">
        <v>0.40589569160997729</v>
      </c>
    </row>
    <row r="2684" spans="1:12" x14ac:dyDescent="0.45">
      <c r="A2684" s="12" t="s">
        <v>1887</v>
      </c>
      <c r="B2684" s="12" t="s">
        <v>1656</v>
      </c>
      <c r="C2684" s="13" t="s">
        <v>1657</v>
      </c>
      <c r="D2684" s="13" t="s">
        <v>60</v>
      </c>
      <c r="E2684" s="12" t="s">
        <v>35</v>
      </c>
      <c r="F2684" s="14">
        <v>600000</v>
      </c>
      <c r="G2684" s="14">
        <v>441500</v>
      </c>
      <c r="H2684" s="13" t="s">
        <v>1952</v>
      </c>
      <c r="I2684" s="40" t="s">
        <v>18</v>
      </c>
      <c r="J2684" s="40" t="str">
        <f>HYPERLINK("https://stock.pstatic.net/stock-research/company/62/20260513_company_197496000.pdf","PDF")</f>
        <v>PDF</v>
      </c>
      <c r="K2684" s="12" t="s">
        <v>1953</v>
      </c>
      <c r="L2684" s="36">
        <v>0.35900339750849369</v>
      </c>
    </row>
    <row r="2685" spans="1:12" x14ac:dyDescent="0.45">
      <c r="A2685" s="12" t="s">
        <v>1887</v>
      </c>
      <c r="B2685" s="12" t="s">
        <v>1930</v>
      </c>
      <c r="C2685" s="13" t="s">
        <v>1931</v>
      </c>
      <c r="D2685" s="13" t="s">
        <v>60</v>
      </c>
      <c r="E2685" s="12" t="s">
        <v>35</v>
      </c>
      <c r="F2685" s="14">
        <v>270000</v>
      </c>
      <c r="G2685" s="14">
        <v>212500</v>
      </c>
      <c r="H2685" s="13" t="s">
        <v>1954</v>
      </c>
      <c r="I2685" s="40" t="s">
        <v>18</v>
      </c>
      <c r="J2685" s="40" t="str">
        <f>HYPERLINK("https://stock.pstatic.net/stock-research/company/57/20260513_company_644367000.pdf","PDF")</f>
        <v>PDF</v>
      </c>
      <c r="K2685" s="12" t="s">
        <v>1955</v>
      </c>
      <c r="L2685" s="36">
        <v>0.27058823529411757</v>
      </c>
    </row>
    <row r="2686" spans="1:12" x14ac:dyDescent="0.45">
      <c r="A2686" s="12" t="s">
        <v>1887</v>
      </c>
      <c r="B2686" s="12" t="s">
        <v>760</v>
      </c>
      <c r="C2686" s="13" t="s">
        <v>761</v>
      </c>
      <c r="D2686" s="13" t="s">
        <v>60</v>
      </c>
      <c r="E2686" s="12" t="s">
        <v>35</v>
      </c>
      <c r="F2686" s="14">
        <v>290000</v>
      </c>
      <c r="G2686" s="14">
        <v>247000</v>
      </c>
      <c r="H2686" s="13" t="s">
        <v>1956</v>
      </c>
      <c r="I2686" s="40" t="s">
        <v>18</v>
      </c>
      <c r="J2686" s="40" t="str">
        <f>HYPERLINK("https://stock.pstatic.net/stock-research/company/62/20260513_company_599943000.pdf","PDF")</f>
        <v>PDF</v>
      </c>
      <c r="K2686" s="12" t="s">
        <v>1957</v>
      </c>
      <c r="L2686" s="36">
        <v>0.17408906882591091</v>
      </c>
    </row>
    <row r="2687" spans="1:12" x14ac:dyDescent="0.45">
      <c r="A2687" s="12" t="s">
        <v>1887</v>
      </c>
      <c r="B2687" s="12" t="s">
        <v>768</v>
      </c>
      <c r="C2687" s="13" t="s">
        <v>769</v>
      </c>
      <c r="D2687" s="13" t="s">
        <v>60</v>
      </c>
      <c r="E2687" s="12" t="s">
        <v>35</v>
      </c>
      <c r="F2687" s="14">
        <v>260000</v>
      </c>
      <c r="G2687" s="14">
        <v>219500</v>
      </c>
      <c r="H2687" s="13" t="s">
        <v>1958</v>
      </c>
      <c r="I2687" s="40" t="s">
        <v>18</v>
      </c>
      <c r="J2687" s="40" t="str">
        <f>HYPERLINK("https://stock.pstatic.net/stock-research/company/62/20260513_company_438140000.pdf","PDF")</f>
        <v>PDF</v>
      </c>
      <c r="K2687" s="12" t="s">
        <v>1959</v>
      </c>
      <c r="L2687" s="36">
        <v>0.18451025056947609</v>
      </c>
    </row>
    <row r="2688" spans="1:12" x14ac:dyDescent="0.45">
      <c r="A2688" s="12" t="s">
        <v>1887</v>
      </c>
      <c r="B2688" s="12" t="s">
        <v>856</v>
      </c>
      <c r="C2688" s="13" t="s">
        <v>857</v>
      </c>
      <c r="D2688" s="13" t="s">
        <v>60</v>
      </c>
      <c r="E2688" s="12" t="s">
        <v>35</v>
      </c>
      <c r="F2688" s="14">
        <v>200000</v>
      </c>
      <c r="G2688" s="14">
        <v>143700</v>
      </c>
      <c r="H2688" s="13" t="s">
        <v>1960</v>
      </c>
      <c r="I2688" s="40" t="s">
        <v>18</v>
      </c>
      <c r="J2688" s="40" t="str">
        <f>HYPERLINK("https://stock.pstatic.net/stock-research/company/62/20260513_company_599306000.pdf","PDF")</f>
        <v>PDF</v>
      </c>
      <c r="K2688" s="12" t="s">
        <v>1961</v>
      </c>
      <c r="L2688" s="36">
        <v>0.39178844815588032</v>
      </c>
    </row>
    <row r="2689" spans="1:12" x14ac:dyDescent="0.45">
      <c r="A2689" s="12" t="s">
        <v>1887</v>
      </c>
      <c r="B2689" s="12" t="s">
        <v>98</v>
      </c>
      <c r="C2689" s="13" t="s">
        <v>99</v>
      </c>
      <c r="D2689" s="13" t="s">
        <v>60</v>
      </c>
      <c r="E2689" s="12" t="s">
        <v>35</v>
      </c>
      <c r="F2689" s="14">
        <v>49000</v>
      </c>
      <c r="G2689" s="14">
        <v>37850</v>
      </c>
      <c r="H2689" s="13" t="s">
        <v>1962</v>
      </c>
      <c r="I2689" s="40" t="s">
        <v>18</v>
      </c>
      <c r="J2689" s="40" t="str">
        <f>HYPERLINK("https://stock.pstatic.net/stock-research/company/62/20260513_company_591225000.pdf","PDF")</f>
        <v>PDF</v>
      </c>
      <c r="K2689" s="12" t="s">
        <v>1963</v>
      </c>
      <c r="L2689" s="36">
        <v>0.29458388375165118</v>
      </c>
    </row>
    <row r="2690" spans="1:12" x14ac:dyDescent="0.45">
      <c r="A2690" s="12" t="s">
        <v>1887</v>
      </c>
      <c r="B2690" s="12" t="s">
        <v>1656</v>
      </c>
      <c r="C2690" s="13" t="s">
        <v>1657</v>
      </c>
      <c r="D2690" s="13" t="s">
        <v>15</v>
      </c>
      <c r="E2690" s="12" t="s">
        <v>16</v>
      </c>
      <c r="F2690" s="14">
        <v>600000</v>
      </c>
      <c r="G2690" s="14">
        <v>441500</v>
      </c>
      <c r="H2690" s="13" t="s">
        <v>1964</v>
      </c>
      <c r="I2690" s="40" t="s">
        <v>18</v>
      </c>
      <c r="J2690" s="40" t="str">
        <f>HYPERLINK("https://stock.pstatic.net/stock-research/company/56/20260513_company_478718000.pdf","PDF")</f>
        <v>PDF</v>
      </c>
      <c r="K2690" s="12" t="s">
        <v>1965</v>
      </c>
      <c r="L2690" s="36">
        <v>0.35900339750849369</v>
      </c>
    </row>
    <row r="2691" spans="1:12" x14ac:dyDescent="0.45">
      <c r="A2691" s="12" t="s">
        <v>1887</v>
      </c>
      <c r="B2691" s="12" t="s">
        <v>1966</v>
      </c>
      <c r="C2691" s="13" t="s">
        <v>1967</v>
      </c>
      <c r="D2691" s="13" t="s">
        <v>92</v>
      </c>
      <c r="E2691" s="12" t="s">
        <v>35</v>
      </c>
      <c r="F2691" s="14">
        <v>7800</v>
      </c>
      <c r="G2691" s="14">
        <v>6320</v>
      </c>
      <c r="H2691" s="13" t="s">
        <v>1968</v>
      </c>
      <c r="I2691" s="40" t="s">
        <v>18</v>
      </c>
      <c r="J2691" s="40" t="str">
        <f>HYPERLINK("https://stock.pstatic.net/stock-research/company/63/20260513_company_825290000.pdf","PDF")</f>
        <v>PDF</v>
      </c>
      <c r="K2691" s="12" t="s">
        <v>1969</v>
      </c>
      <c r="L2691" s="36">
        <v>0.23417721518987339</v>
      </c>
    </row>
    <row r="2692" spans="1:12" x14ac:dyDescent="0.45">
      <c r="A2692" s="12" t="s">
        <v>1887</v>
      </c>
      <c r="B2692" s="12" t="s">
        <v>356</v>
      </c>
      <c r="C2692" s="13" t="s">
        <v>357</v>
      </c>
      <c r="D2692" s="13" t="s">
        <v>60</v>
      </c>
      <c r="E2692" s="12" t="s">
        <v>35</v>
      </c>
      <c r="F2692" s="14">
        <v>120000</v>
      </c>
      <c r="G2692" s="14">
        <v>96400</v>
      </c>
      <c r="H2692" s="13" t="s">
        <v>1970</v>
      </c>
      <c r="I2692" s="40" t="s">
        <v>18</v>
      </c>
      <c r="J2692" s="40" t="str">
        <f>HYPERLINK("https://stock.pstatic.net/stock-research/company/62/20260513_company_557555000.pdf","PDF")</f>
        <v>PDF</v>
      </c>
      <c r="K2692" s="12" t="s">
        <v>1971</v>
      </c>
      <c r="L2692" s="36">
        <v>0.24481327800829869</v>
      </c>
    </row>
    <row r="2693" spans="1:12" x14ac:dyDescent="0.45">
      <c r="A2693" s="12" t="s">
        <v>1887</v>
      </c>
      <c r="B2693" s="12" t="s">
        <v>1023</v>
      </c>
      <c r="C2693" s="13" t="s">
        <v>15</v>
      </c>
      <c r="D2693" s="13" t="s">
        <v>65</v>
      </c>
      <c r="E2693" s="12" t="s">
        <v>50</v>
      </c>
      <c r="F2693" s="13"/>
      <c r="G2693" s="13"/>
      <c r="H2693" s="13" t="s">
        <v>1972</v>
      </c>
      <c r="I2693" s="40" t="s">
        <v>18</v>
      </c>
      <c r="J2693" s="40" t="str">
        <f>HYPERLINK("https://stock.pstatic.net/stock-research/company/57/20260513_company_814716000.pdf","PDF")</f>
        <v>PDF</v>
      </c>
      <c r="K2693" s="12" t="s">
        <v>1973</v>
      </c>
      <c r="L2693" s="12"/>
    </row>
    <row r="2694" spans="1:12" x14ac:dyDescent="0.45">
      <c r="A2694" s="12" t="s">
        <v>1887</v>
      </c>
      <c r="B2694" s="12" t="s">
        <v>1023</v>
      </c>
      <c r="C2694" s="13" t="s">
        <v>15</v>
      </c>
      <c r="D2694" s="13" t="s">
        <v>65</v>
      </c>
      <c r="E2694" s="12" t="s">
        <v>35</v>
      </c>
      <c r="F2694" s="14">
        <v>95000</v>
      </c>
      <c r="G2694" s="14">
        <v>74300</v>
      </c>
      <c r="H2694" s="13" t="s">
        <v>1974</v>
      </c>
      <c r="I2694" s="40" t="s">
        <v>18</v>
      </c>
      <c r="J2694" s="40" t="str">
        <f>HYPERLINK("https://stock.pstatic.net/stock-research/company/57/20260513_company_332274000.pdf","PDF")</f>
        <v>PDF</v>
      </c>
      <c r="K2694" s="12" t="s">
        <v>1975</v>
      </c>
      <c r="L2694" s="36">
        <v>0.27860026917900399</v>
      </c>
    </row>
    <row r="2695" spans="1:12" x14ac:dyDescent="0.45">
      <c r="A2695" s="12" t="s">
        <v>1887</v>
      </c>
      <c r="B2695" s="12" t="s">
        <v>784</v>
      </c>
      <c r="C2695" s="13" t="s">
        <v>785</v>
      </c>
      <c r="D2695" s="13" t="s">
        <v>65</v>
      </c>
      <c r="E2695" s="12" t="s">
        <v>35</v>
      </c>
      <c r="F2695" s="14">
        <v>7000</v>
      </c>
      <c r="G2695" s="14">
        <v>6150</v>
      </c>
      <c r="H2695" s="13" t="s">
        <v>1976</v>
      </c>
      <c r="I2695" s="40" t="s">
        <v>18</v>
      </c>
      <c r="J2695" s="40" t="str">
        <f>HYPERLINK("https://stock.pstatic.net/stock-research/company/57/20260513_company_365044000.pdf","PDF")</f>
        <v>PDF</v>
      </c>
      <c r="K2695" s="12" t="s">
        <v>1977</v>
      </c>
      <c r="L2695" s="36">
        <v>0.13821138211382111</v>
      </c>
    </row>
    <row r="2696" spans="1:12" x14ac:dyDescent="0.45">
      <c r="A2696" s="12" t="s">
        <v>1887</v>
      </c>
      <c r="B2696" s="12" t="s">
        <v>268</v>
      </c>
      <c r="C2696" s="13" t="s">
        <v>269</v>
      </c>
      <c r="D2696" s="13" t="s">
        <v>65</v>
      </c>
      <c r="E2696" s="12" t="s">
        <v>35</v>
      </c>
      <c r="F2696" s="14">
        <v>580000</v>
      </c>
      <c r="G2696" s="14">
        <v>342000</v>
      </c>
      <c r="H2696" s="13" t="s">
        <v>1978</v>
      </c>
      <c r="I2696" s="40" t="s">
        <v>18</v>
      </c>
      <c r="J2696" s="40" t="str">
        <f>HYPERLINK("https://stock.pstatic.net/stock-research/company/57/20260513_company_938927000.pdf","PDF")</f>
        <v>PDF</v>
      </c>
      <c r="K2696" s="12" t="s">
        <v>1979</v>
      </c>
      <c r="L2696" s="36">
        <v>0.69590643274853803</v>
      </c>
    </row>
    <row r="2697" spans="1:12" x14ac:dyDescent="0.45">
      <c r="A2697" s="12" t="s">
        <v>1887</v>
      </c>
      <c r="B2697" s="12" t="s">
        <v>1930</v>
      </c>
      <c r="C2697" s="13" t="s">
        <v>1931</v>
      </c>
      <c r="D2697" s="13" t="s">
        <v>65</v>
      </c>
      <c r="E2697" s="12" t="s">
        <v>35</v>
      </c>
      <c r="F2697" s="14">
        <v>300000</v>
      </c>
      <c r="G2697" s="14">
        <v>212500</v>
      </c>
      <c r="H2697" s="13" t="s">
        <v>1980</v>
      </c>
      <c r="I2697" s="40" t="s">
        <v>18</v>
      </c>
      <c r="J2697" s="40" t="str">
        <f>HYPERLINK("https://stock.pstatic.net/stock-research/company/57/20260513_company_665269000.pdf","PDF")</f>
        <v>PDF</v>
      </c>
      <c r="K2697" s="12" t="s">
        <v>1981</v>
      </c>
      <c r="L2697" s="36">
        <v>0.41176470588235292</v>
      </c>
    </row>
    <row r="2698" spans="1:12" x14ac:dyDescent="0.45">
      <c r="A2698" s="12" t="s">
        <v>1887</v>
      </c>
      <c r="B2698" s="12" t="s">
        <v>880</v>
      </c>
      <c r="C2698" s="13" t="s">
        <v>881</v>
      </c>
      <c r="D2698" s="13" t="s">
        <v>65</v>
      </c>
      <c r="E2698" s="12" t="s">
        <v>35</v>
      </c>
      <c r="F2698" s="14">
        <v>16000</v>
      </c>
      <c r="G2698" s="14">
        <v>11220</v>
      </c>
      <c r="H2698" s="13" t="s">
        <v>1982</v>
      </c>
      <c r="I2698" s="40" t="s">
        <v>18</v>
      </c>
      <c r="J2698" s="40" t="str">
        <f>HYPERLINK("https://stock.pstatic.net/stock-research/company/57/20260513_company_884143000.pdf","PDF")</f>
        <v>PDF</v>
      </c>
      <c r="K2698" s="12" t="s">
        <v>1983</v>
      </c>
      <c r="L2698" s="36">
        <v>0.42602495543672009</v>
      </c>
    </row>
    <row r="2699" spans="1:12" x14ac:dyDescent="0.45">
      <c r="A2699" s="12" t="s">
        <v>1887</v>
      </c>
      <c r="B2699" s="12" t="s">
        <v>1946</v>
      </c>
      <c r="C2699" s="13" t="s">
        <v>1947</v>
      </c>
      <c r="D2699" s="13" t="s">
        <v>65</v>
      </c>
      <c r="E2699" s="12" t="s">
        <v>35</v>
      </c>
      <c r="F2699" s="14">
        <v>25000</v>
      </c>
      <c r="G2699" s="14">
        <v>20450</v>
      </c>
      <c r="H2699" s="13" t="s">
        <v>1984</v>
      </c>
      <c r="I2699" s="40" t="s">
        <v>18</v>
      </c>
      <c r="J2699" s="40" t="str">
        <f>HYPERLINK("https://stock.pstatic.net/stock-research/company/57/20260513_company_115925000.pdf","PDF")</f>
        <v>PDF</v>
      </c>
      <c r="K2699" s="12" t="s">
        <v>1985</v>
      </c>
      <c r="L2699" s="36">
        <v>0.22249388753056229</v>
      </c>
    </row>
    <row r="2700" spans="1:12" x14ac:dyDescent="0.45">
      <c r="A2700" s="12" t="s">
        <v>1887</v>
      </c>
      <c r="B2700" s="12" t="s">
        <v>1023</v>
      </c>
      <c r="C2700" s="13" t="s">
        <v>15</v>
      </c>
      <c r="D2700" s="13" t="s">
        <v>44</v>
      </c>
      <c r="E2700" s="12" t="s">
        <v>35</v>
      </c>
      <c r="F2700" s="14">
        <v>90000</v>
      </c>
      <c r="G2700" s="14">
        <v>74300</v>
      </c>
      <c r="H2700" s="13" t="s">
        <v>1986</v>
      </c>
      <c r="I2700" s="40" t="s">
        <v>18</v>
      </c>
      <c r="J2700" s="40" t="str">
        <f>HYPERLINK("https://stock.pstatic.net/stock-research/company/39/20260513_company_698347000.pdf","PDF")</f>
        <v>PDF</v>
      </c>
      <c r="K2700" s="12" t="s">
        <v>1987</v>
      </c>
      <c r="L2700" s="36">
        <v>0.21130551816958279</v>
      </c>
    </row>
    <row r="2701" spans="1:12" x14ac:dyDescent="0.45">
      <c r="A2701" s="12" t="s">
        <v>1887</v>
      </c>
      <c r="B2701" s="12" t="s">
        <v>1047</v>
      </c>
      <c r="C2701" s="13" t="s">
        <v>1048</v>
      </c>
      <c r="D2701" s="13" t="s">
        <v>23</v>
      </c>
      <c r="E2701" s="12" t="s">
        <v>16</v>
      </c>
      <c r="F2701" s="14">
        <v>20000</v>
      </c>
      <c r="G2701" s="14">
        <v>14380</v>
      </c>
      <c r="H2701" s="13" t="s">
        <v>1988</v>
      </c>
      <c r="I2701" s="40" t="s">
        <v>18</v>
      </c>
      <c r="J2701" s="40" t="str">
        <f>HYPERLINK("https://stock.pstatic.net/stock-research/company/21/20260513_company_743419000.pdf","PDF")</f>
        <v>PDF</v>
      </c>
      <c r="K2701" s="12" t="s">
        <v>1989</v>
      </c>
      <c r="L2701" s="36">
        <v>0.39082058414464532</v>
      </c>
    </row>
    <row r="2702" spans="1:12" x14ac:dyDescent="0.45">
      <c r="A2702" s="12" t="s">
        <v>1887</v>
      </c>
      <c r="B2702" s="12" t="s">
        <v>740</v>
      </c>
      <c r="C2702" s="13" t="s">
        <v>741</v>
      </c>
      <c r="D2702" s="13" t="s">
        <v>179</v>
      </c>
      <c r="E2702" s="12" t="s">
        <v>16</v>
      </c>
      <c r="F2702" s="14">
        <v>1000000</v>
      </c>
      <c r="G2702" s="14">
        <v>696000</v>
      </c>
      <c r="H2702" s="13" t="s">
        <v>1990</v>
      </c>
      <c r="I2702" s="40" t="s">
        <v>18</v>
      </c>
      <c r="J2702" s="40" t="str">
        <f>HYPERLINK("https://stock.pstatic.net/stock-research/company/64/20260513_company_916527000.pdf","PDF")</f>
        <v>PDF</v>
      </c>
      <c r="K2702" s="12" t="s">
        <v>1991</v>
      </c>
      <c r="L2702" s="36">
        <v>0.43678160919540232</v>
      </c>
    </row>
    <row r="2703" spans="1:12" x14ac:dyDescent="0.45">
      <c r="A2703" s="12" t="s">
        <v>1887</v>
      </c>
      <c r="B2703" s="12" t="s">
        <v>1262</v>
      </c>
      <c r="C2703" s="13" t="s">
        <v>1263</v>
      </c>
      <c r="D2703" s="13" t="s">
        <v>34</v>
      </c>
      <c r="E2703" s="12" t="s">
        <v>35</v>
      </c>
      <c r="F2703" s="14">
        <v>5900</v>
      </c>
      <c r="G2703" s="14">
        <v>4845</v>
      </c>
      <c r="H2703" s="13" t="s">
        <v>1992</v>
      </c>
      <c r="I2703" s="40" t="s">
        <v>18</v>
      </c>
      <c r="J2703" s="40" t="str">
        <f>HYPERLINK("https://stock.pstatic.net/stock-research/company/61/20260513_company_465475000.pdf","PDF")</f>
        <v>PDF</v>
      </c>
      <c r="K2703" s="12" t="s">
        <v>1993</v>
      </c>
      <c r="L2703" s="36">
        <v>0.21775025799793599</v>
      </c>
    </row>
    <row r="2704" spans="1:12" x14ac:dyDescent="0.45">
      <c r="A2704" s="12" t="s">
        <v>1887</v>
      </c>
      <c r="B2704" s="12" t="s">
        <v>1023</v>
      </c>
      <c r="C2704" s="13" t="s">
        <v>15</v>
      </c>
      <c r="D2704" s="13" t="s">
        <v>23</v>
      </c>
      <c r="E2704" s="12" t="s">
        <v>50</v>
      </c>
      <c r="F2704" s="14">
        <v>74000</v>
      </c>
      <c r="G2704" s="14">
        <v>74300</v>
      </c>
      <c r="H2704" s="13" t="s">
        <v>1994</v>
      </c>
      <c r="I2704" s="40" t="s">
        <v>18</v>
      </c>
      <c r="J2704" s="40" t="str">
        <f>HYPERLINK("https://stock.pstatic.net/stock-research/company/21/20260513_company_590562000.pdf","PDF")</f>
        <v>PDF</v>
      </c>
      <c r="K2704" s="12" t="s">
        <v>1995</v>
      </c>
      <c r="L2704" s="36">
        <v>-4.0376850605652759E-3</v>
      </c>
    </row>
    <row r="2705" spans="1:12" x14ac:dyDescent="0.45">
      <c r="A2705" s="12" t="s">
        <v>1887</v>
      </c>
      <c r="B2705" s="12" t="s">
        <v>1252</v>
      </c>
      <c r="C2705" s="13" t="s">
        <v>1253</v>
      </c>
      <c r="D2705" s="13" t="s">
        <v>23</v>
      </c>
      <c r="E2705" s="12" t="s">
        <v>50</v>
      </c>
      <c r="F2705" s="14">
        <v>7000</v>
      </c>
      <c r="G2705" s="14">
        <v>6380</v>
      </c>
      <c r="H2705" s="13" t="s">
        <v>1996</v>
      </c>
      <c r="I2705" s="40" t="s">
        <v>18</v>
      </c>
      <c r="J2705" s="40" t="str">
        <f>HYPERLINK("https://stock.pstatic.net/stock-research/company/21/20260513_company_240183000.pdf","PDF")</f>
        <v>PDF</v>
      </c>
      <c r="K2705" s="12" t="s">
        <v>1997</v>
      </c>
      <c r="L2705" s="36">
        <v>9.7178683385579931E-2</v>
      </c>
    </row>
    <row r="2706" spans="1:12" x14ac:dyDescent="0.45">
      <c r="A2706" s="12" t="s">
        <v>1887</v>
      </c>
      <c r="B2706" s="12" t="s">
        <v>1023</v>
      </c>
      <c r="C2706" s="13" t="s">
        <v>15</v>
      </c>
      <c r="D2706" s="13" t="s">
        <v>34</v>
      </c>
      <c r="E2706" s="12" t="s">
        <v>159</v>
      </c>
      <c r="F2706" s="14">
        <v>65000</v>
      </c>
      <c r="G2706" s="14">
        <v>74300</v>
      </c>
      <c r="H2706" s="13" t="s">
        <v>1998</v>
      </c>
      <c r="I2706" s="40" t="s">
        <v>18</v>
      </c>
      <c r="J2706" s="40" t="str">
        <f>HYPERLINK("https://stock.pstatic.net/stock-research/company/61/20260513_company_949109000.pdf","PDF")</f>
        <v>PDF</v>
      </c>
      <c r="K2706" s="12" t="s">
        <v>1999</v>
      </c>
      <c r="L2706" s="36">
        <v>-0.12516823687752349</v>
      </c>
    </row>
    <row r="2707" spans="1:12" x14ac:dyDescent="0.45">
      <c r="A2707" s="12" t="s">
        <v>1887</v>
      </c>
      <c r="B2707" s="12" t="s">
        <v>868</v>
      </c>
      <c r="C2707" s="13" t="s">
        <v>869</v>
      </c>
      <c r="D2707" s="13" t="s">
        <v>34</v>
      </c>
      <c r="E2707" s="12" t="s">
        <v>35</v>
      </c>
      <c r="F2707" s="14">
        <v>70000</v>
      </c>
      <c r="G2707" s="14">
        <v>49400</v>
      </c>
      <c r="H2707" s="13" t="s">
        <v>2000</v>
      </c>
      <c r="I2707" s="40" t="s">
        <v>18</v>
      </c>
      <c r="J2707" s="40" t="str">
        <f>HYPERLINK("https://stock.pstatic.net/stock-research/company/61/20260513_company_107725000.pdf","PDF")</f>
        <v>PDF</v>
      </c>
      <c r="K2707" s="12" t="s">
        <v>2001</v>
      </c>
      <c r="L2707" s="36">
        <v>0.41700404858299589</v>
      </c>
    </row>
    <row r="2708" spans="1:12" x14ac:dyDescent="0.45">
      <c r="A2708" s="12" t="s">
        <v>1887</v>
      </c>
      <c r="B2708" s="12" t="s">
        <v>1262</v>
      </c>
      <c r="C2708" s="13" t="s">
        <v>1263</v>
      </c>
      <c r="D2708" s="13" t="s">
        <v>23</v>
      </c>
      <c r="E2708" s="12" t="s">
        <v>50</v>
      </c>
      <c r="F2708" s="14">
        <v>5300</v>
      </c>
      <c r="G2708" s="14">
        <v>4845</v>
      </c>
      <c r="H2708" s="13" t="s">
        <v>2002</v>
      </c>
      <c r="I2708" s="40" t="s">
        <v>18</v>
      </c>
      <c r="J2708" s="40" t="str">
        <f>HYPERLINK("https://stock.pstatic.net/stock-research/company/21/20260513_company_121706000.pdf","PDF")</f>
        <v>PDF</v>
      </c>
      <c r="K2708" s="12" t="s">
        <v>2003</v>
      </c>
      <c r="L2708" s="36">
        <v>9.3911248710010317E-2</v>
      </c>
    </row>
    <row r="2709" spans="1:12" x14ac:dyDescent="0.45">
      <c r="A2709" s="12" t="s">
        <v>1887</v>
      </c>
      <c r="B2709" s="12" t="s">
        <v>1252</v>
      </c>
      <c r="C2709" s="13" t="s">
        <v>1253</v>
      </c>
      <c r="D2709" s="13" t="s">
        <v>34</v>
      </c>
      <c r="E2709" s="12" t="s">
        <v>35</v>
      </c>
      <c r="F2709" s="14">
        <v>8000</v>
      </c>
      <c r="G2709" s="14">
        <v>6380</v>
      </c>
      <c r="H2709" s="13" t="s">
        <v>2004</v>
      </c>
      <c r="I2709" s="40" t="s">
        <v>18</v>
      </c>
      <c r="J2709" s="40" t="str">
        <f>HYPERLINK("https://stock.pstatic.net/stock-research/company/61/20260513_company_80170000.pdf","PDF")</f>
        <v>PDF</v>
      </c>
      <c r="K2709" s="12" t="s">
        <v>2005</v>
      </c>
      <c r="L2709" s="36">
        <v>0.25391849529780558</v>
      </c>
    </row>
    <row r="2710" spans="1:12" x14ac:dyDescent="0.45">
      <c r="A2710" s="12" t="s">
        <v>1887</v>
      </c>
      <c r="B2710" s="12" t="s">
        <v>1656</v>
      </c>
      <c r="C2710" s="13" t="s">
        <v>1657</v>
      </c>
      <c r="D2710" s="13" t="s">
        <v>92</v>
      </c>
      <c r="E2710" s="12" t="s">
        <v>35</v>
      </c>
      <c r="F2710" s="14">
        <v>560000</v>
      </c>
      <c r="G2710" s="14">
        <v>441500</v>
      </c>
      <c r="H2710" s="13" t="s">
        <v>2006</v>
      </c>
      <c r="I2710" s="40" t="s">
        <v>18</v>
      </c>
      <c r="J2710" s="40" t="str">
        <f>HYPERLINK("https://stock.pstatic.net/stock-research/company/63/20260513_company_55287000.pdf","PDF")</f>
        <v>PDF</v>
      </c>
      <c r="K2710" s="12" t="s">
        <v>2007</v>
      </c>
      <c r="L2710" s="36">
        <v>0.26840317100792749</v>
      </c>
    </row>
    <row r="2711" spans="1:12" x14ac:dyDescent="0.45">
      <c r="A2711" s="12" t="s">
        <v>1887</v>
      </c>
      <c r="B2711" s="12" t="s">
        <v>533</v>
      </c>
      <c r="C2711" s="13" t="s">
        <v>534</v>
      </c>
      <c r="D2711" s="13" t="s">
        <v>53</v>
      </c>
      <c r="E2711" s="12" t="s">
        <v>16</v>
      </c>
      <c r="F2711" s="14">
        <v>75000</v>
      </c>
      <c r="G2711" s="14">
        <v>59900</v>
      </c>
      <c r="H2711" s="13" t="s">
        <v>2008</v>
      </c>
      <c r="I2711" s="40" t="s">
        <v>18</v>
      </c>
      <c r="J2711" s="40" t="str">
        <f>HYPERLINK("https://stock.pstatic.net/stock-research/company/40/20260513_company_534223000.pdf","PDF")</f>
        <v>PDF</v>
      </c>
      <c r="K2711" s="12" t="s">
        <v>2009</v>
      </c>
      <c r="L2711" s="36">
        <v>0.25208681135225369</v>
      </c>
    </row>
    <row r="2712" spans="1:12" x14ac:dyDescent="0.45">
      <c r="A2712" s="12" t="s">
        <v>1887</v>
      </c>
      <c r="B2712" s="12" t="s">
        <v>533</v>
      </c>
      <c r="C2712" s="13" t="s">
        <v>534</v>
      </c>
      <c r="D2712" s="13" t="s">
        <v>92</v>
      </c>
      <c r="E2712" s="12" t="s">
        <v>35</v>
      </c>
      <c r="F2712" s="14">
        <v>73000</v>
      </c>
      <c r="G2712" s="14">
        <v>59900</v>
      </c>
      <c r="H2712" s="13" t="s">
        <v>2010</v>
      </c>
      <c r="I2712" s="40" t="s">
        <v>18</v>
      </c>
      <c r="J2712" s="40" t="str">
        <f>HYPERLINK("https://stock.pstatic.net/stock-research/company/63/20260513_company_823106000.pdf","PDF")</f>
        <v>PDF</v>
      </c>
      <c r="K2712" s="12" t="s">
        <v>2011</v>
      </c>
      <c r="L2712" s="36">
        <v>0.21869782971619359</v>
      </c>
    </row>
    <row r="2713" spans="1:12" x14ac:dyDescent="0.45">
      <c r="A2713" s="12" t="s">
        <v>1887</v>
      </c>
      <c r="B2713" s="12" t="s">
        <v>1912</v>
      </c>
      <c r="C2713" s="13" t="s">
        <v>1913</v>
      </c>
      <c r="D2713" s="13" t="s">
        <v>23</v>
      </c>
      <c r="E2713" s="12" t="s">
        <v>50</v>
      </c>
      <c r="F2713" s="13"/>
      <c r="G2713" s="14">
        <v>41100</v>
      </c>
      <c r="H2713" s="13" t="s">
        <v>2012</v>
      </c>
      <c r="I2713" s="40" t="s">
        <v>18</v>
      </c>
      <c r="J2713" s="40" t="str">
        <f>HYPERLINK("https://stock.pstatic.net/stock-research/company/21/20260513_company_497263000.pdf","PDF")</f>
        <v>PDF</v>
      </c>
      <c r="K2713" s="12" t="s">
        <v>2013</v>
      </c>
      <c r="L2713" s="12"/>
    </row>
    <row r="2714" spans="1:12" x14ac:dyDescent="0.45">
      <c r="A2714" s="12" t="s">
        <v>1887</v>
      </c>
      <c r="B2714" s="12" t="s">
        <v>760</v>
      </c>
      <c r="C2714" s="13" t="s">
        <v>761</v>
      </c>
      <c r="D2714" s="13" t="s">
        <v>23</v>
      </c>
      <c r="E2714" s="12" t="s">
        <v>16</v>
      </c>
      <c r="F2714" s="14">
        <v>310000</v>
      </c>
      <c r="G2714" s="14">
        <v>247000</v>
      </c>
      <c r="H2714" s="13" t="s">
        <v>2014</v>
      </c>
      <c r="I2714" s="40" t="s">
        <v>18</v>
      </c>
      <c r="J2714" s="40" t="str">
        <f>HYPERLINK("https://stock.pstatic.net/stock-research/company/21/20260513_company_198327000.pdf","PDF")</f>
        <v>PDF</v>
      </c>
      <c r="K2714" s="12" t="s">
        <v>2015</v>
      </c>
      <c r="L2714" s="36">
        <v>0.25506072874493929</v>
      </c>
    </row>
    <row r="2715" spans="1:12" x14ac:dyDescent="0.45">
      <c r="A2715" s="12" t="s">
        <v>1887</v>
      </c>
      <c r="B2715" s="12" t="s">
        <v>356</v>
      </c>
      <c r="C2715" s="13" t="s">
        <v>357</v>
      </c>
      <c r="D2715" s="13" t="s">
        <v>23</v>
      </c>
      <c r="E2715" s="12" t="s">
        <v>16</v>
      </c>
      <c r="F2715" s="14">
        <v>120000</v>
      </c>
      <c r="G2715" s="14">
        <v>96400</v>
      </c>
      <c r="H2715" s="13" t="s">
        <v>2016</v>
      </c>
      <c r="I2715" s="40" t="s">
        <v>18</v>
      </c>
      <c r="J2715" s="40" t="str">
        <f>HYPERLINK("https://stock.pstatic.net/stock-research/company/21/20260513_company_656031000.pdf","PDF")</f>
        <v>PDF</v>
      </c>
      <c r="K2715" s="12" t="s">
        <v>2017</v>
      </c>
      <c r="L2715" s="36">
        <v>0.24481327800829869</v>
      </c>
    </row>
    <row r="2716" spans="1:12" x14ac:dyDescent="0.45">
      <c r="A2716" s="12" t="s">
        <v>1887</v>
      </c>
      <c r="B2716" s="12" t="s">
        <v>533</v>
      </c>
      <c r="C2716" s="13" t="s">
        <v>534</v>
      </c>
      <c r="D2716" s="13" t="s">
        <v>23</v>
      </c>
      <c r="E2716" s="12" t="s">
        <v>16</v>
      </c>
      <c r="F2716" s="14">
        <v>77000</v>
      </c>
      <c r="G2716" s="14">
        <v>59900</v>
      </c>
      <c r="H2716" s="13" t="s">
        <v>2018</v>
      </c>
      <c r="I2716" s="40" t="s">
        <v>18</v>
      </c>
      <c r="J2716" s="40" t="str">
        <f>HYPERLINK("https://stock.pstatic.net/stock-research/company/21/20260513_company_223420000.pdf","PDF")</f>
        <v>PDF</v>
      </c>
      <c r="K2716" s="12" t="s">
        <v>2019</v>
      </c>
      <c r="L2716" s="36">
        <v>0.28547579298831388</v>
      </c>
    </row>
    <row r="2717" spans="1:12" x14ac:dyDescent="0.45">
      <c r="A2717" s="12" t="s">
        <v>1887</v>
      </c>
      <c r="B2717" s="12" t="s">
        <v>768</v>
      </c>
      <c r="C2717" s="13" t="s">
        <v>769</v>
      </c>
      <c r="D2717" s="13" t="s">
        <v>23</v>
      </c>
      <c r="E2717" s="12" t="s">
        <v>50</v>
      </c>
      <c r="F2717" s="14">
        <v>240000</v>
      </c>
      <c r="G2717" s="14">
        <v>219500</v>
      </c>
      <c r="H2717" s="13" t="s">
        <v>2020</v>
      </c>
      <c r="I2717" s="40" t="s">
        <v>18</v>
      </c>
      <c r="J2717" s="40" t="str">
        <f>HYPERLINK("https://stock.pstatic.net/stock-research/company/21/20260513_company_258483000.pdf","PDF")</f>
        <v>PDF</v>
      </c>
      <c r="K2717" s="12" t="s">
        <v>2021</v>
      </c>
      <c r="L2717" s="36">
        <v>9.3394077448747156E-2</v>
      </c>
    </row>
    <row r="2718" spans="1:12" x14ac:dyDescent="0.45">
      <c r="A2718" s="12" t="s">
        <v>1887</v>
      </c>
      <c r="B2718" s="12" t="s">
        <v>880</v>
      </c>
      <c r="C2718" s="13" t="s">
        <v>881</v>
      </c>
      <c r="D2718" s="13" t="s">
        <v>92</v>
      </c>
      <c r="E2718" s="12" t="s">
        <v>35</v>
      </c>
      <c r="F2718" s="14">
        <v>16000</v>
      </c>
      <c r="G2718" s="14">
        <v>11220</v>
      </c>
      <c r="H2718" s="13" t="s">
        <v>2022</v>
      </c>
      <c r="I2718" s="40" t="s">
        <v>18</v>
      </c>
      <c r="J2718" s="40" t="str">
        <f>HYPERLINK("https://stock.pstatic.net/stock-research/company/63/20260513_company_997344000.pdf","PDF")</f>
        <v>PDF</v>
      </c>
      <c r="K2718" s="12" t="s">
        <v>2023</v>
      </c>
      <c r="L2718" s="36">
        <v>0.42602495543672009</v>
      </c>
    </row>
    <row r="2719" spans="1:12" x14ac:dyDescent="0.45">
      <c r="A2719" s="12" t="s">
        <v>1887</v>
      </c>
      <c r="B2719" s="12" t="s">
        <v>2024</v>
      </c>
      <c r="C2719" s="13" t="s">
        <v>2025</v>
      </c>
      <c r="D2719" s="13" t="s">
        <v>23</v>
      </c>
      <c r="E2719" s="12" t="s">
        <v>16</v>
      </c>
      <c r="F2719" s="14">
        <v>50000</v>
      </c>
      <c r="G2719" s="14">
        <v>36750</v>
      </c>
      <c r="H2719" s="13" t="s">
        <v>2026</v>
      </c>
      <c r="I2719" s="40" t="s">
        <v>18</v>
      </c>
      <c r="J2719" s="40" t="str">
        <f>HYPERLINK("https://stock.pstatic.net/stock-research/company/21/20260513_company_376611000.pdf","PDF")</f>
        <v>PDF</v>
      </c>
      <c r="K2719" s="12" t="s">
        <v>2027</v>
      </c>
      <c r="L2719" s="36">
        <v>0.36054421768707479</v>
      </c>
    </row>
    <row r="2720" spans="1:12" x14ac:dyDescent="0.45">
      <c r="A2720" s="12" t="s">
        <v>1887</v>
      </c>
      <c r="B2720" s="12" t="s">
        <v>1656</v>
      </c>
      <c r="C2720" s="13" t="s">
        <v>1657</v>
      </c>
      <c r="D2720" s="13" t="s">
        <v>23</v>
      </c>
      <c r="E2720" s="12" t="s">
        <v>16</v>
      </c>
      <c r="F2720" s="14">
        <v>560000</v>
      </c>
      <c r="G2720" s="14">
        <v>441500</v>
      </c>
      <c r="H2720" s="13" t="s">
        <v>2028</v>
      </c>
      <c r="I2720" s="40" t="s">
        <v>18</v>
      </c>
      <c r="J2720" s="40" t="str">
        <f>HYPERLINK("https://stock.pstatic.net/stock-research/company/21/20260513_company_412298000.pdf","PDF")</f>
        <v>PDF</v>
      </c>
      <c r="K2720" s="12" t="s">
        <v>2029</v>
      </c>
      <c r="L2720" s="36">
        <v>0.26840317100792749</v>
      </c>
    </row>
    <row r="2721" spans="1:12" x14ac:dyDescent="0.45">
      <c r="A2721" s="12" t="s">
        <v>1887</v>
      </c>
      <c r="B2721" s="12" t="s">
        <v>1930</v>
      </c>
      <c r="C2721" s="13" t="s">
        <v>1931</v>
      </c>
      <c r="D2721" s="13" t="s">
        <v>23</v>
      </c>
      <c r="E2721" s="12" t="s">
        <v>16</v>
      </c>
      <c r="F2721" s="14">
        <v>280000</v>
      </c>
      <c r="G2721" s="14">
        <v>212500</v>
      </c>
      <c r="H2721" s="13" t="s">
        <v>2030</v>
      </c>
      <c r="I2721" s="40" t="s">
        <v>18</v>
      </c>
      <c r="J2721" s="40" t="str">
        <f>HYPERLINK("https://stock.pstatic.net/stock-research/company/21/20260513_company_323550000.pdf","PDF")</f>
        <v>PDF</v>
      </c>
      <c r="K2721" s="12" t="s">
        <v>2031</v>
      </c>
      <c r="L2721" s="36">
        <v>0.31764705882352939</v>
      </c>
    </row>
    <row r="2722" spans="1:12" x14ac:dyDescent="0.45">
      <c r="A2722" s="12" t="s">
        <v>1887</v>
      </c>
      <c r="B2722" s="12" t="s">
        <v>2032</v>
      </c>
      <c r="C2722" s="13" t="s">
        <v>2033</v>
      </c>
      <c r="D2722" s="13" t="s">
        <v>23</v>
      </c>
      <c r="E2722" s="12" t="s">
        <v>16</v>
      </c>
      <c r="F2722" s="14">
        <v>70000</v>
      </c>
      <c r="G2722" s="14">
        <v>60900</v>
      </c>
      <c r="H2722" s="13" t="s">
        <v>2034</v>
      </c>
      <c r="I2722" s="40" t="s">
        <v>18</v>
      </c>
      <c r="J2722" s="40" t="str">
        <f>HYPERLINK("https://stock.pstatic.net/stock-research/company/21/20260513_company_402185000.pdf","PDF")</f>
        <v>PDF</v>
      </c>
      <c r="K2722" s="12" t="s">
        <v>2035</v>
      </c>
      <c r="L2722" s="36">
        <v>0.14942528735632191</v>
      </c>
    </row>
    <row r="2723" spans="1:12" x14ac:dyDescent="0.45">
      <c r="A2723" s="12" t="s">
        <v>1887</v>
      </c>
      <c r="B2723" s="12" t="s">
        <v>868</v>
      </c>
      <c r="C2723" s="13" t="s">
        <v>869</v>
      </c>
      <c r="D2723" s="13" t="s">
        <v>23</v>
      </c>
      <c r="E2723" s="12" t="s">
        <v>16</v>
      </c>
      <c r="F2723" s="14">
        <v>65000</v>
      </c>
      <c r="G2723" s="14">
        <v>49400</v>
      </c>
      <c r="H2723" s="13" t="s">
        <v>2036</v>
      </c>
      <c r="I2723" s="40" t="s">
        <v>18</v>
      </c>
      <c r="J2723" s="40" t="str">
        <f>HYPERLINK("https://stock.pstatic.net/stock-research/company/21/20260513_company_896779000.pdf","PDF")</f>
        <v>PDF</v>
      </c>
      <c r="K2723" s="12" t="s">
        <v>2037</v>
      </c>
      <c r="L2723" s="36">
        <v>0.31578947368421051</v>
      </c>
    </row>
    <row r="2724" spans="1:12" x14ac:dyDescent="0.45">
      <c r="A2724" s="12" t="s">
        <v>1887</v>
      </c>
      <c r="B2724" s="12" t="s">
        <v>1540</v>
      </c>
      <c r="C2724" s="13" t="s">
        <v>1541</v>
      </c>
      <c r="D2724" s="13" t="s">
        <v>92</v>
      </c>
      <c r="E2724" s="12" t="s">
        <v>35</v>
      </c>
      <c r="F2724" s="14">
        <v>67000</v>
      </c>
      <c r="G2724" s="14">
        <v>57400</v>
      </c>
      <c r="H2724" s="13" t="s">
        <v>2038</v>
      </c>
      <c r="I2724" s="40" t="s">
        <v>18</v>
      </c>
      <c r="J2724" s="40" t="str">
        <f>HYPERLINK("https://stock.pstatic.net/stock-research/company/63/20260513_company_15531000.pdf","PDF")</f>
        <v>PDF</v>
      </c>
      <c r="K2724" s="12" t="s">
        <v>2039</v>
      </c>
      <c r="L2724" s="36">
        <v>0.1672473867595819</v>
      </c>
    </row>
    <row r="2725" spans="1:12" x14ac:dyDescent="0.45">
      <c r="A2725" s="12" t="s">
        <v>1887</v>
      </c>
      <c r="B2725" s="12" t="s">
        <v>2040</v>
      </c>
      <c r="C2725" s="13" t="s">
        <v>2041</v>
      </c>
      <c r="D2725" s="13" t="s">
        <v>92</v>
      </c>
      <c r="E2725" s="12" t="s">
        <v>35</v>
      </c>
      <c r="F2725" s="14">
        <v>115000</v>
      </c>
      <c r="G2725" s="14">
        <v>89100</v>
      </c>
      <c r="H2725" s="13" t="s">
        <v>2042</v>
      </c>
      <c r="I2725" s="40" t="s">
        <v>18</v>
      </c>
      <c r="J2725" s="40" t="str">
        <f>HYPERLINK("https://stock.pstatic.net/stock-research/company/63/20260513_company_543620000.pdf","PDF")</f>
        <v>PDF</v>
      </c>
      <c r="K2725" s="12" t="s">
        <v>2043</v>
      </c>
      <c r="L2725" s="36">
        <v>0.29068462401795742</v>
      </c>
    </row>
    <row r="2726" spans="1:12" x14ac:dyDescent="0.45">
      <c r="A2726" s="12" t="s">
        <v>1887</v>
      </c>
      <c r="B2726" s="12" t="s">
        <v>1023</v>
      </c>
      <c r="C2726" s="13" t="s">
        <v>15</v>
      </c>
      <c r="D2726" s="13" t="s">
        <v>179</v>
      </c>
      <c r="E2726" s="12" t="s">
        <v>385</v>
      </c>
      <c r="F2726" s="13"/>
      <c r="G2726" s="14">
        <v>74300</v>
      </c>
      <c r="H2726" s="13" t="s">
        <v>2044</v>
      </c>
      <c r="I2726" s="40" t="s">
        <v>18</v>
      </c>
      <c r="J2726" s="40" t="str">
        <f>HYPERLINK("https://stock.pstatic.net/stock-research/company/64/20260513_company_623167000.pdf","PDF")</f>
        <v>PDF</v>
      </c>
      <c r="K2726" s="12" t="s">
        <v>2045</v>
      </c>
      <c r="L2726" s="12"/>
    </row>
    <row r="2727" spans="1:12" x14ac:dyDescent="0.45">
      <c r="A2727" s="12" t="s">
        <v>1887</v>
      </c>
      <c r="B2727" s="12" t="s">
        <v>1930</v>
      </c>
      <c r="C2727" s="13" t="s">
        <v>1931</v>
      </c>
      <c r="D2727" s="13" t="s">
        <v>44</v>
      </c>
      <c r="E2727" s="12" t="s">
        <v>35</v>
      </c>
      <c r="F2727" s="14">
        <v>310000</v>
      </c>
      <c r="G2727" s="14">
        <v>212500</v>
      </c>
      <c r="H2727" s="13" t="s">
        <v>2046</v>
      </c>
      <c r="I2727" s="40" t="s">
        <v>18</v>
      </c>
      <c r="J2727" s="40" t="str">
        <f>HYPERLINK("https://stock.pstatic.net/stock-research/company/39/20260513_company_664945000.pdf","PDF")</f>
        <v>PDF</v>
      </c>
      <c r="K2727" s="12" t="s">
        <v>2047</v>
      </c>
      <c r="L2727" s="36">
        <v>0.45882352941176469</v>
      </c>
    </row>
    <row r="2728" spans="1:12" x14ac:dyDescent="0.45">
      <c r="A2728" s="12" t="s">
        <v>1887</v>
      </c>
      <c r="B2728" s="12" t="s">
        <v>1656</v>
      </c>
      <c r="C2728" s="13" t="s">
        <v>1657</v>
      </c>
      <c r="D2728" s="13" t="s">
        <v>44</v>
      </c>
      <c r="E2728" s="12" t="s">
        <v>35</v>
      </c>
      <c r="F2728" s="14">
        <v>600000</v>
      </c>
      <c r="G2728" s="14">
        <v>441500</v>
      </c>
      <c r="H2728" s="13" t="s">
        <v>2048</v>
      </c>
      <c r="I2728" s="40" t="s">
        <v>18</v>
      </c>
      <c r="J2728" s="40" t="str">
        <f>HYPERLINK("https://stock.pstatic.net/stock-research/company/39/20260513_company_830194000.pdf","PDF")</f>
        <v>PDF</v>
      </c>
      <c r="K2728" s="12" t="s">
        <v>2049</v>
      </c>
      <c r="L2728" s="36">
        <v>0.35900339750849369</v>
      </c>
    </row>
    <row r="2729" spans="1:12" x14ac:dyDescent="0.45">
      <c r="A2729" s="12" t="s">
        <v>1887</v>
      </c>
      <c r="B2729" s="12" t="s">
        <v>724</v>
      </c>
      <c r="C2729" s="13" t="s">
        <v>725</v>
      </c>
      <c r="D2729" s="13" t="s">
        <v>44</v>
      </c>
      <c r="E2729" s="12" t="s">
        <v>35</v>
      </c>
      <c r="F2729" s="14">
        <v>70000</v>
      </c>
      <c r="G2729" s="14">
        <v>50500</v>
      </c>
      <c r="H2729" s="13" t="s">
        <v>2050</v>
      </c>
      <c r="I2729" s="40" t="s">
        <v>18</v>
      </c>
      <c r="J2729" s="40" t="str">
        <f>HYPERLINK("https://stock.pstatic.net/stock-research/company/39/20260513_company_227054000.pdf","PDF")</f>
        <v>PDF</v>
      </c>
      <c r="K2729" s="12" t="s">
        <v>2051</v>
      </c>
      <c r="L2729" s="36">
        <v>0.38613861386138609</v>
      </c>
    </row>
    <row r="2730" spans="1:12" x14ac:dyDescent="0.45">
      <c r="A2730" s="12" t="s">
        <v>1887</v>
      </c>
      <c r="B2730" s="12" t="s">
        <v>856</v>
      </c>
      <c r="C2730" s="13" t="s">
        <v>857</v>
      </c>
      <c r="D2730" s="13" t="s">
        <v>44</v>
      </c>
      <c r="E2730" s="12" t="s">
        <v>35</v>
      </c>
      <c r="F2730" s="14">
        <v>190000</v>
      </c>
      <c r="G2730" s="14">
        <v>143700</v>
      </c>
      <c r="H2730" s="13" t="s">
        <v>2052</v>
      </c>
      <c r="I2730" s="40" t="s">
        <v>18</v>
      </c>
      <c r="J2730" s="40" t="str">
        <f>HYPERLINK("https://stock.pstatic.net/stock-research/company/39/20260513_company_795934000.pdf","PDF")</f>
        <v>PDF</v>
      </c>
      <c r="K2730" s="12" t="s">
        <v>2053</v>
      </c>
      <c r="L2730" s="36">
        <v>0.32219902574808629</v>
      </c>
    </row>
    <row r="2731" spans="1:12" x14ac:dyDescent="0.45">
      <c r="A2731" s="12" t="s">
        <v>1887</v>
      </c>
      <c r="B2731" s="12" t="s">
        <v>1262</v>
      </c>
      <c r="C2731" s="13" t="s">
        <v>1263</v>
      </c>
      <c r="D2731" s="13" t="s">
        <v>44</v>
      </c>
      <c r="E2731" s="12" t="s">
        <v>35</v>
      </c>
      <c r="F2731" s="14">
        <v>8500</v>
      </c>
      <c r="G2731" s="14">
        <v>4845</v>
      </c>
      <c r="H2731" s="13" t="s">
        <v>2054</v>
      </c>
      <c r="I2731" s="40" t="s">
        <v>18</v>
      </c>
      <c r="J2731" s="40" t="str">
        <f>HYPERLINK("https://stock.pstatic.net/stock-research/company/39/20260513_company_983498000.pdf","PDF")</f>
        <v>PDF</v>
      </c>
      <c r="K2731" s="12" t="s">
        <v>2055</v>
      </c>
      <c r="L2731" s="36">
        <v>0.75438596491228072</v>
      </c>
    </row>
    <row r="2732" spans="1:12" x14ac:dyDescent="0.45">
      <c r="A2732" s="12" t="s">
        <v>1887</v>
      </c>
      <c r="B2732" s="12" t="s">
        <v>2056</v>
      </c>
      <c r="C2732" s="13" t="s">
        <v>2057</v>
      </c>
      <c r="D2732" s="13" t="s">
        <v>124</v>
      </c>
      <c r="E2732" s="12" t="s">
        <v>50</v>
      </c>
      <c r="F2732" s="13"/>
      <c r="G2732" s="13"/>
      <c r="H2732" s="13" t="s">
        <v>2058</v>
      </c>
      <c r="I2732" s="40" t="s">
        <v>18</v>
      </c>
      <c r="J2732" s="40" t="str">
        <f>HYPERLINK("https://stock.pstatic.net/stock-research/company/74/20260513_company_493646000.pdf","PDF")</f>
        <v>PDF</v>
      </c>
      <c r="K2732" s="12" t="s">
        <v>2059</v>
      </c>
      <c r="L2732" s="12"/>
    </row>
    <row r="2733" spans="1:12" x14ac:dyDescent="0.45">
      <c r="A2733" s="12" t="s">
        <v>1887</v>
      </c>
      <c r="B2733" s="12" t="s">
        <v>1940</v>
      </c>
      <c r="C2733" s="13" t="s">
        <v>1941</v>
      </c>
      <c r="D2733" s="13" t="s">
        <v>92</v>
      </c>
      <c r="E2733" s="12" t="s">
        <v>35</v>
      </c>
      <c r="F2733" s="14">
        <v>26000</v>
      </c>
      <c r="G2733" s="14">
        <v>18170</v>
      </c>
      <c r="H2733" s="13" t="s">
        <v>2060</v>
      </c>
      <c r="I2733" s="40" t="s">
        <v>18</v>
      </c>
      <c r="J2733" s="40" t="str">
        <f>HYPERLINK("https://stock.pstatic.net/stock-research/company/63/20260513_company_301241000.pdf","PDF")</f>
        <v>PDF</v>
      </c>
      <c r="K2733" s="12" t="s">
        <v>2061</v>
      </c>
      <c r="L2733" s="36">
        <v>0.43093010456796921</v>
      </c>
    </row>
    <row r="2734" spans="1:12" x14ac:dyDescent="0.45">
      <c r="A2734" s="12" t="s">
        <v>1887</v>
      </c>
      <c r="B2734" s="12" t="s">
        <v>1233</v>
      </c>
      <c r="C2734" s="13" t="s">
        <v>1234</v>
      </c>
      <c r="D2734" s="13" t="s">
        <v>15</v>
      </c>
      <c r="E2734" s="12" t="s">
        <v>50</v>
      </c>
      <c r="F2734" s="13"/>
      <c r="G2734" s="13"/>
      <c r="H2734" s="13" t="s">
        <v>2062</v>
      </c>
      <c r="I2734" s="40" t="s">
        <v>18</v>
      </c>
      <c r="J2734" s="40" t="str">
        <f>HYPERLINK("https://stock.pstatic.net/stock-research/company/56/20260513_company_266566000.pdf","PDF")</f>
        <v>PDF</v>
      </c>
      <c r="K2734" s="12" t="s">
        <v>2063</v>
      </c>
      <c r="L2734" s="12"/>
    </row>
    <row r="2735" spans="1:12" x14ac:dyDescent="0.45">
      <c r="A2735" s="12" t="s">
        <v>1887</v>
      </c>
      <c r="B2735" s="12" t="s">
        <v>1946</v>
      </c>
      <c r="C2735" s="13" t="s">
        <v>1947</v>
      </c>
      <c r="D2735" s="13" t="s">
        <v>92</v>
      </c>
      <c r="E2735" s="12" t="s">
        <v>35</v>
      </c>
      <c r="F2735" s="14">
        <v>27000</v>
      </c>
      <c r="G2735" s="14">
        <v>20450</v>
      </c>
      <c r="H2735" s="13" t="s">
        <v>2064</v>
      </c>
      <c r="I2735" s="40" t="s">
        <v>18</v>
      </c>
      <c r="J2735" s="40" t="str">
        <f>HYPERLINK("https://stock.pstatic.net/stock-research/company/63/20260513_company_880902000.pdf","PDF")</f>
        <v>PDF</v>
      </c>
      <c r="K2735" s="12" t="s">
        <v>2065</v>
      </c>
      <c r="L2735" s="36">
        <v>0.32029339853300731</v>
      </c>
    </row>
    <row r="2736" spans="1:12" x14ac:dyDescent="0.45">
      <c r="A2736" s="12" t="s">
        <v>1887</v>
      </c>
      <c r="B2736" s="12" t="s">
        <v>1656</v>
      </c>
      <c r="C2736" s="13" t="s">
        <v>1657</v>
      </c>
      <c r="D2736" s="13" t="s">
        <v>53</v>
      </c>
      <c r="E2736" s="12" t="s">
        <v>16</v>
      </c>
      <c r="F2736" s="14">
        <v>530000</v>
      </c>
      <c r="G2736" s="14">
        <v>441500</v>
      </c>
      <c r="H2736" s="13" t="s">
        <v>2066</v>
      </c>
      <c r="I2736" s="40" t="s">
        <v>18</v>
      </c>
      <c r="J2736" s="40" t="str">
        <f>HYPERLINK("https://stock.pstatic.net/stock-research/company/40/20260513_company_570690000.pdf","PDF")</f>
        <v>PDF</v>
      </c>
      <c r="K2736" s="12" t="s">
        <v>2067</v>
      </c>
      <c r="L2736" s="36">
        <v>0.20045300113250281</v>
      </c>
    </row>
    <row r="2737" spans="1:12" x14ac:dyDescent="0.45">
      <c r="A2737" s="12" t="s">
        <v>1887</v>
      </c>
      <c r="B2737" s="12" t="s">
        <v>533</v>
      </c>
      <c r="C2737" s="13" t="s">
        <v>534</v>
      </c>
      <c r="D2737" s="13" t="s">
        <v>15</v>
      </c>
      <c r="E2737" s="12" t="s">
        <v>16</v>
      </c>
      <c r="F2737" s="14">
        <v>73000</v>
      </c>
      <c r="G2737" s="14">
        <v>58800</v>
      </c>
      <c r="H2737" s="13" t="s">
        <v>2068</v>
      </c>
      <c r="I2737" s="40" t="s">
        <v>18</v>
      </c>
      <c r="J2737" s="40" t="str">
        <f>HYPERLINK("https://stock.pstatic.net/stock-research/company/56/20260513_company_7285000.pdf","PDF")</f>
        <v>PDF</v>
      </c>
      <c r="K2737" s="12" t="s">
        <v>2069</v>
      </c>
      <c r="L2737" s="36">
        <v>0.2414965986394558</v>
      </c>
    </row>
    <row r="2738" spans="1:12" x14ac:dyDescent="0.45">
      <c r="A2738" s="12" t="s">
        <v>1887</v>
      </c>
      <c r="B2738" s="12" t="s">
        <v>1946</v>
      </c>
      <c r="C2738" s="13" t="s">
        <v>1947</v>
      </c>
      <c r="D2738" s="13" t="s">
        <v>15</v>
      </c>
      <c r="E2738" s="12" t="s">
        <v>50</v>
      </c>
      <c r="F2738" s="14">
        <v>25000</v>
      </c>
      <c r="G2738" s="14">
        <v>20450</v>
      </c>
      <c r="H2738" s="13" t="s">
        <v>2070</v>
      </c>
      <c r="I2738" s="40" t="s">
        <v>18</v>
      </c>
      <c r="J2738" s="40" t="str">
        <f>HYPERLINK("https://stock.pstatic.net/stock-research/company/56/20260513_company_228717000.pdf","PDF")</f>
        <v>PDF</v>
      </c>
      <c r="K2738" s="12" t="s">
        <v>2071</v>
      </c>
      <c r="L2738" s="36">
        <v>0.22249388753056229</v>
      </c>
    </row>
    <row r="2739" spans="1:12" x14ac:dyDescent="0.45">
      <c r="A2739" s="12" t="s">
        <v>1887</v>
      </c>
      <c r="B2739" s="12" t="s">
        <v>309</v>
      </c>
      <c r="C2739" s="13" t="s">
        <v>310</v>
      </c>
      <c r="D2739" s="13" t="s">
        <v>15</v>
      </c>
      <c r="E2739" s="12" t="s">
        <v>50</v>
      </c>
      <c r="F2739" s="13"/>
      <c r="G2739" s="13"/>
      <c r="H2739" s="13" t="s">
        <v>2072</v>
      </c>
      <c r="I2739" s="40" t="s">
        <v>18</v>
      </c>
      <c r="J2739" s="40" t="str">
        <f>HYPERLINK("https://stock.pstatic.net/stock-research/company/56/20260513_company_824236000.pdf","PDF")</f>
        <v>PDF</v>
      </c>
      <c r="K2739" s="12" t="s">
        <v>2073</v>
      </c>
      <c r="L2739" s="12"/>
    </row>
    <row r="2740" spans="1:12" x14ac:dyDescent="0.45">
      <c r="A2740" s="12" t="s">
        <v>2074</v>
      </c>
      <c r="B2740" s="12" t="s">
        <v>1745</v>
      </c>
      <c r="C2740" s="13" t="s">
        <v>1746</v>
      </c>
      <c r="D2740" s="13" t="s">
        <v>23</v>
      </c>
      <c r="E2740" s="12" t="s">
        <v>16</v>
      </c>
      <c r="F2740" s="14">
        <v>200000</v>
      </c>
      <c r="G2740" s="14">
        <v>129700</v>
      </c>
      <c r="H2740" s="13" t="s">
        <v>2075</v>
      </c>
      <c r="I2740" s="40" t="s">
        <v>18</v>
      </c>
      <c r="J2740" s="40" t="str">
        <f>HYPERLINK("https://stock.pstatic.net/stock-research/company/21/20260512_company_522890000.pdf","PDF")</f>
        <v>PDF</v>
      </c>
      <c r="K2740" s="12" t="s">
        <v>2076</v>
      </c>
      <c r="L2740" s="36">
        <v>0.54202004626060141</v>
      </c>
    </row>
    <row r="2741" spans="1:12" x14ac:dyDescent="0.45">
      <c r="A2741" s="12" t="s">
        <v>2074</v>
      </c>
      <c r="B2741" s="12" t="s">
        <v>27</v>
      </c>
      <c r="C2741" s="13" t="s">
        <v>28</v>
      </c>
      <c r="D2741" s="13" t="s">
        <v>83</v>
      </c>
      <c r="E2741" s="12" t="s">
        <v>35</v>
      </c>
      <c r="F2741" s="14">
        <v>200000</v>
      </c>
      <c r="G2741" s="14">
        <v>138100</v>
      </c>
      <c r="H2741" s="13" t="s">
        <v>2077</v>
      </c>
      <c r="I2741" s="40" t="s">
        <v>18</v>
      </c>
      <c r="J2741" s="40" t="str">
        <f>HYPERLINK("https://stock.pstatic.net/stock-research/company/15/20260512_company_7083000.pdf","PDF")</f>
        <v>PDF</v>
      </c>
      <c r="K2741" s="12" t="s">
        <v>2078</v>
      </c>
      <c r="L2741" s="36">
        <v>0.44822592324402599</v>
      </c>
    </row>
    <row r="2742" spans="1:12" x14ac:dyDescent="0.45">
      <c r="A2742" s="12" t="s">
        <v>2074</v>
      </c>
      <c r="B2742" s="12" t="s">
        <v>1540</v>
      </c>
      <c r="C2742" s="13" t="s">
        <v>1541</v>
      </c>
      <c r="D2742" s="13" t="s">
        <v>83</v>
      </c>
      <c r="E2742" s="12" t="s">
        <v>35</v>
      </c>
      <c r="F2742" s="14">
        <v>72000</v>
      </c>
      <c r="G2742" s="14">
        <v>57100</v>
      </c>
      <c r="H2742" s="13" t="s">
        <v>2079</v>
      </c>
      <c r="I2742" s="40" t="s">
        <v>18</v>
      </c>
      <c r="J2742" s="40" t="str">
        <f>HYPERLINK("https://stock.pstatic.net/stock-research/company/15/20260512_company_840415000.pdf","PDF")</f>
        <v>PDF</v>
      </c>
      <c r="K2742" s="12" t="s">
        <v>2080</v>
      </c>
      <c r="L2742" s="36">
        <v>0.26094570928196148</v>
      </c>
    </row>
    <row r="2743" spans="1:12" x14ac:dyDescent="0.45">
      <c r="A2743" s="12" t="s">
        <v>2074</v>
      </c>
      <c r="B2743" s="12" t="s">
        <v>2081</v>
      </c>
      <c r="C2743" s="13" t="s">
        <v>2082</v>
      </c>
      <c r="D2743" s="13" t="s">
        <v>83</v>
      </c>
      <c r="E2743" s="12" t="s">
        <v>35</v>
      </c>
      <c r="F2743" s="14">
        <v>29000</v>
      </c>
      <c r="G2743" s="14">
        <v>20400</v>
      </c>
      <c r="H2743" s="13" t="s">
        <v>2083</v>
      </c>
      <c r="I2743" s="40" t="s">
        <v>18</v>
      </c>
      <c r="J2743" s="40" t="str">
        <f>HYPERLINK("https://stock.pstatic.net/stock-research/company/15/20260512_company_625563000.pdf","PDF")</f>
        <v>PDF</v>
      </c>
      <c r="K2743" s="12" t="s">
        <v>2084</v>
      </c>
      <c r="L2743" s="36">
        <v>0.42156862745098039</v>
      </c>
    </row>
    <row r="2744" spans="1:12" x14ac:dyDescent="0.45">
      <c r="A2744" s="12" t="s">
        <v>2074</v>
      </c>
      <c r="B2744" s="12" t="s">
        <v>1270</v>
      </c>
      <c r="C2744" s="13" t="s">
        <v>1271</v>
      </c>
      <c r="D2744" s="13" t="s">
        <v>83</v>
      </c>
      <c r="E2744" s="12" t="s">
        <v>642</v>
      </c>
      <c r="F2744" s="14">
        <v>148000</v>
      </c>
      <c r="G2744" s="14">
        <v>135200</v>
      </c>
      <c r="H2744" s="13" t="s">
        <v>2085</v>
      </c>
      <c r="I2744" s="40" t="s">
        <v>18</v>
      </c>
      <c r="J2744" s="40" t="str">
        <f>HYPERLINK("https://stock.pstatic.net/stock-research/company/15/20260512_company_702935000.pdf","PDF")</f>
        <v>PDF</v>
      </c>
      <c r="K2744" s="12" t="s">
        <v>2086</v>
      </c>
      <c r="L2744" s="36">
        <v>9.4674556213017749E-2</v>
      </c>
    </row>
    <row r="2745" spans="1:12" x14ac:dyDescent="0.45">
      <c r="A2745" s="12" t="s">
        <v>2074</v>
      </c>
      <c r="B2745" s="12" t="s">
        <v>2040</v>
      </c>
      <c r="C2745" s="13" t="s">
        <v>2041</v>
      </c>
      <c r="D2745" s="13" t="s">
        <v>57</v>
      </c>
      <c r="E2745" s="12" t="s">
        <v>35</v>
      </c>
      <c r="F2745" s="14">
        <v>130000</v>
      </c>
      <c r="G2745" s="14">
        <v>106500</v>
      </c>
      <c r="H2745" s="13" t="s">
        <v>2087</v>
      </c>
      <c r="I2745" s="40" t="s">
        <v>18</v>
      </c>
      <c r="J2745" s="40" t="str">
        <f>HYPERLINK("https://stock.pstatic.net/stock-research/company/16/20260512_company_508375000.pdf","PDF")</f>
        <v>PDF</v>
      </c>
      <c r="K2745" s="12" t="s">
        <v>2088</v>
      </c>
      <c r="L2745" s="36">
        <v>0.22065727699530521</v>
      </c>
    </row>
    <row r="2746" spans="1:12" x14ac:dyDescent="0.45">
      <c r="A2746" s="12" t="s">
        <v>2074</v>
      </c>
      <c r="B2746" s="12" t="s">
        <v>2089</v>
      </c>
      <c r="C2746" s="13" t="s">
        <v>2090</v>
      </c>
      <c r="D2746" s="13" t="s">
        <v>57</v>
      </c>
      <c r="E2746" s="12" t="s">
        <v>35</v>
      </c>
      <c r="F2746" s="14">
        <v>150000</v>
      </c>
      <c r="G2746" s="14">
        <v>110900</v>
      </c>
      <c r="H2746" s="13" t="s">
        <v>2091</v>
      </c>
      <c r="I2746" s="40" t="s">
        <v>18</v>
      </c>
      <c r="J2746" s="40" t="str">
        <f>HYPERLINK("https://stock.pstatic.net/stock-research/company/16/20260512_company_14831000.pdf","PDF")</f>
        <v>PDF</v>
      </c>
      <c r="K2746" s="12" t="s">
        <v>2092</v>
      </c>
      <c r="L2746" s="36">
        <v>0.3525698827772768</v>
      </c>
    </row>
    <row r="2747" spans="1:12" x14ac:dyDescent="0.45">
      <c r="A2747" s="12" t="s">
        <v>2074</v>
      </c>
      <c r="B2747" s="12" t="s">
        <v>27</v>
      </c>
      <c r="C2747" s="13" t="s">
        <v>28</v>
      </c>
      <c r="D2747" s="13" t="s">
        <v>57</v>
      </c>
      <c r="E2747" s="12" t="s">
        <v>35</v>
      </c>
      <c r="F2747" s="14">
        <v>220000</v>
      </c>
      <c r="G2747" s="14">
        <v>145000</v>
      </c>
      <c r="H2747" s="13" t="s">
        <v>2093</v>
      </c>
      <c r="I2747" s="40" t="s">
        <v>18</v>
      </c>
      <c r="J2747" s="40" t="str">
        <f>HYPERLINK("https://stock.pstatic.net/stock-research/company/16/20260512_company_118940000.pdf","PDF")</f>
        <v>PDF</v>
      </c>
      <c r="K2747" s="12" t="s">
        <v>2094</v>
      </c>
      <c r="L2747" s="36">
        <v>0.51724137931034486</v>
      </c>
    </row>
    <row r="2748" spans="1:12" x14ac:dyDescent="0.45">
      <c r="A2748" s="12" t="s">
        <v>2074</v>
      </c>
      <c r="B2748" s="12" t="s">
        <v>1602</v>
      </c>
      <c r="C2748" s="13" t="s">
        <v>1603</v>
      </c>
      <c r="D2748" s="13" t="s">
        <v>276</v>
      </c>
      <c r="E2748" s="12" t="s">
        <v>16</v>
      </c>
      <c r="F2748" s="14">
        <v>100000</v>
      </c>
      <c r="G2748" s="14">
        <v>75400</v>
      </c>
      <c r="H2748" s="13" t="s">
        <v>2095</v>
      </c>
      <c r="I2748" s="40" t="s">
        <v>18</v>
      </c>
      <c r="J2748" s="40" t="str">
        <f>HYPERLINK("https://stock.pstatic.net/stock-research/company/66/20260512_company_133815000.pdf","PDF")</f>
        <v>PDF</v>
      </c>
      <c r="K2748" s="12" t="s">
        <v>2096</v>
      </c>
      <c r="L2748" s="36">
        <v>0.32625994694960209</v>
      </c>
    </row>
    <row r="2749" spans="1:12" x14ac:dyDescent="0.45">
      <c r="A2749" s="12" t="s">
        <v>2074</v>
      </c>
      <c r="B2749" s="12" t="s">
        <v>2097</v>
      </c>
      <c r="C2749" s="13" t="s">
        <v>2098</v>
      </c>
      <c r="D2749" s="13" t="s">
        <v>276</v>
      </c>
      <c r="E2749" s="12" t="s">
        <v>16</v>
      </c>
      <c r="F2749" s="14">
        <v>210000</v>
      </c>
      <c r="G2749" s="14">
        <v>186700</v>
      </c>
      <c r="H2749" s="13" t="s">
        <v>2099</v>
      </c>
      <c r="I2749" s="40" t="s">
        <v>18</v>
      </c>
      <c r="J2749" s="40" t="str">
        <f>HYPERLINK("https://stock.pstatic.net/stock-research/company/66/20260512_company_936035000.pdf","PDF")</f>
        <v>PDF</v>
      </c>
      <c r="K2749" s="12" t="s">
        <v>2100</v>
      </c>
      <c r="L2749" s="36">
        <v>0.12479914301017669</v>
      </c>
    </row>
    <row r="2750" spans="1:12" x14ac:dyDescent="0.45">
      <c r="A2750" s="12" t="s">
        <v>2074</v>
      </c>
      <c r="B2750" s="12" t="s">
        <v>27</v>
      </c>
      <c r="C2750" s="13" t="s">
        <v>28</v>
      </c>
      <c r="D2750" s="13" t="s">
        <v>60</v>
      </c>
      <c r="E2750" s="12" t="s">
        <v>35</v>
      </c>
      <c r="F2750" s="14">
        <v>200000</v>
      </c>
      <c r="G2750" s="14">
        <v>145000</v>
      </c>
      <c r="H2750" s="13" t="s">
        <v>2101</v>
      </c>
      <c r="I2750" s="40" t="s">
        <v>18</v>
      </c>
      <c r="J2750" s="40" t="str">
        <f>HYPERLINK("https://stock.pstatic.net/stock-research/company/62/20260512_company_908393000.pdf","PDF")</f>
        <v>PDF</v>
      </c>
      <c r="K2750" s="12" t="s">
        <v>2102</v>
      </c>
      <c r="L2750" s="36">
        <v>0.37931034482758619</v>
      </c>
    </row>
    <row r="2751" spans="1:12" x14ac:dyDescent="0.45">
      <c r="A2751" s="12" t="s">
        <v>2074</v>
      </c>
      <c r="B2751" s="12" t="s">
        <v>398</v>
      </c>
      <c r="C2751" s="13" t="s">
        <v>399</v>
      </c>
      <c r="D2751" s="13" t="s">
        <v>60</v>
      </c>
      <c r="E2751" s="12" t="s">
        <v>35</v>
      </c>
      <c r="F2751" s="14">
        <v>320000</v>
      </c>
      <c r="G2751" s="14">
        <v>280000</v>
      </c>
      <c r="H2751" s="13" t="s">
        <v>2103</v>
      </c>
      <c r="I2751" s="40" t="s">
        <v>18</v>
      </c>
      <c r="J2751" s="40" t="str">
        <f>HYPERLINK("https://stock.pstatic.net/stock-research/company/62/20260512_company_724298000.pdf","PDF")</f>
        <v>PDF</v>
      </c>
      <c r="K2751" s="12" t="s">
        <v>2104</v>
      </c>
      <c r="L2751" s="36">
        <v>0.14285714285714279</v>
      </c>
    </row>
    <row r="2752" spans="1:12" x14ac:dyDescent="0.45">
      <c r="A2752" s="12" t="s">
        <v>2074</v>
      </c>
      <c r="B2752" s="12" t="s">
        <v>2105</v>
      </c>
      <c r="C2752" s="13" t="s">
        <v>2106</v>
      </c>
      <c r="D2752" s="13" t="s">
        <v>60</v>
      </c>
      <c r="E2752" s="12" t="s">
        <v>35</v>
      </c>
      <c r="F2752" s="14">
        <v>42000</v>
      </c>
      <c r="G2752" s="14">
        <v>31400</v>
      </c>
      <c r="H2752" s="13" t="s">
        <v>2107</v>
      </c>
      <c r="I2752" s="40" t="s">
        <v>18</v>
      </c>
      <c r="J2752" s="40" t="str">
        <f>HYPERLINK("https://stock.pstatic.net/stock-research/company/62/20260512_company_599626000.pdf","PDF")</f>
        <v>PDF</v>
      </c>
      <c r="K2752" s="12" t="s">
        <v>2108</v>
      </c>
      <c r="L2752" s="36">
        <v>0.33757961783439489</v>
      </c>
    </row>
    <row r="2753" spans="1:12" x14ac:dyDescent="0.45">
      <c r="A2753" s="12" t="s">
        <v>2074</v>
      </c>
      <c r="B2753" s="12" t="s">
        <v>1270</v>
      </c>
      <c r="C2753" s="13" t="s">
        <v>1271</v>
      </c>
      <c r="D2753" s="13" t="s">
        <v>65</v>
      </c>
      <c r="E2753" s="12" t="s">
        <v>35</v>
      </c>
      <c r="F2753" s="14">
        <v>175000</v>
      </c>
      <c r="G2753" s="14">
        <v>135200</v>
      </c>
      <c r="H2753" s="13" t="s">
        <v>2109</v>
      </c>
      <c r="I2753" s="40" t="s">
        <v>18</v>
      </c>
      <c r="J2753" s="40" t="str">
        <f>HYPERLINK("https://stock.pstatic.net/stock-research/company/57/20260512_company_637573000.pdf","PDF")</f>
        <v>PDF</v>
      </c>
      <c r="K2753" s="12" t="s">
        <v>2110</v>
      </c>
      <c r="L2753" s="36">
        <v>0.29437869822485208</v>
      </c>
    </row>
    <row r="2754" spans="1:12" x14ac:dyDescent="0.45">
      <c r="A2754" s="12" t="s">
        <v>2074</v>
      </c>
      <c r="B2754" s="12" t="s">
        <v>1540</v>
      </c>
      <c r="C2754" s="13" t="s">
        <v>1541</v>
      </c>
      <c r="D2754" s="13" t="s">
        <v>65</v>
      </c>
      <c r="E2754" s="12" t="s">
        <v>35</v>
      </c>
      <c r="F2754" s="14">
        <v>68000</v>
      </c>
      <c r="G2754" s="14">
        <v>57100</v>
      </c>
      <c r="H2754" s="13" t="s">
        <v>2111</v>
      </c>
      <c r="I2754" s="40" t="s">
        <v>18</v>
      </c>
      <c r="J2754" s="40" t="str">
        <f>HYPERLINK("https://stock.pstatic.net/stock-research/company/57/20260512_company_83828000.pdf","PDF")</f>
        <v>PDF</v>
      </c>
      <c r="K2754" s="12" t="s">
        <v>2112</v>
      </c>
      <c r="L2754" s="36">
        <v>0.19089316987740809</v>
      </c>
    </row>
    <row r="2755" spans="1:12" x14ac:dyDescent="0.45">
      <c r="A2755" s="12" t="s">
        <v>2074</v>
      </c>
      <c r="B2755" s="12" t="s">
        <v>375</v>
      </c>
      <c r="C2755" s="13" t="s">
        <v>376</v>
      </c>
      <c r="D2755" s="13" t="s">
        <v>65</v>
      </c>
      <c r="E2755" s="12" t="s">
        <v>35</v>
      </c>
      <c r="F2755" s="14">
        <v>36000</v>
      </c>
      <c r="G2755" s="14">
        <v>20200</v>
      </c>
      <c r="H2755" s="13" t="s">
        <v>2113</v>
      </c>
      <c r="I2755" s="40" t="s">
        <v>18</v>
      </c>
      <c r="J2755" s="40" t="str">
        <f>HYPERLINK("https://stock.pstatic.net/stock-research/company/57/20260512_company_834532000.pdf","PDF")</f>
        <v>PDF</v>
      </c>
      <c r="K2755" s="12" t="s">
        <v>2114</v>
      </c>
      <c r="L2755" s="36">
        <v>0.78217821782178221</v>
      </c>
    </row>
    <row r="2756" spans="1:12" x14ac:dyDescent="0.45">
      <c r="A2756" s="12" t="s">
        <v>2074</v>
      </c>
      <c r="B2756" s="12" t="s">
        <v>1602</v>
      </c>
      <c r="C2756" s="13" t="s">
        <v>1603</v>
      </c>
      <c r="D2756" s="13" t="s">
        <v>65</v>
      </c>
      <c r="E2756" s="12" t="s">
        <v>35</v>
      </c>
      <c r="F2756" s="14">
        <v>89100</v>
      </c>
      <c r="G2756" s="14">
        <v>75400</v>
      </c>
      <c r="H2756" s="13" t="s">
        <v>2115</v>
      </c>
      <c r="I2756" s="40" t="s">
        <v>18</v>
      </c>
      <c r="J2756" s="40" t="str">
        <f>HYPERLINK("https://stock.pstatic.net/stock-research/company/57/20260512_company_234427000.pdf","PDF")</f>
        <v>PDF</v>
      </c>
      <c r="K2756" s="12" t="s">
        <v>2116</v>
      </c>
      <c r="L2756" s="36">
        <v>0.1816976127320955</v>
      </c>
    </row>
    <row r="2757" spans="1:12" x14ac:dyDescent="0.45">
      <c r="A2757" s="12" t="s">
        <v>2074</v>
      </c>
      <c r="B2757" s="12" t="s">
        <v>2040</v>
      </c>
      <c r="C2757" s="13" t="s">
        <v>2041</v>
      </c>
      <c r="D2757" s="13" t="s">
        <v>65</v>
      </c>
      <c r="E2757" s="12" t="s">
        <v>35</v>
      </c>
      <c r="F2757" s="14">
        <v>120000</v>
      </c>
      <c r="G2757" s="14">
        <v>106500</v>
      </c>
      <c r="H2757" s="13" t="s">
        <v>2117</v>
      </c>
      <c r="I2757" s="40" t="s">
        <v>18</v>
      </c>
      <c r="J2757" s="40" t="str">
        <f>HYPERLINK("https://stock.pstatic.net/stock-research/company/57/20260512_company_473380000.pdf","PDF")</f>
        <v>PDF</v>
      </c>
      <c r="K2757" s="12" t="s">
        <v>2118</v>
      </c>
      <c r="L2757" s="36">
        <v>0.12676056338028169</v>
      </c>
    </row>
    <row r="2758" spans="1:12" x14ac:dyDescent="0.45">
      <c r="A2758" s="12" t="s">
        <v>2074</v>
      </c>
      <c r="B2758" s="12" t="s">
        <v>2089</v>
      </c>
      <c r="C2758" s="13" t="s">
        <v>2090</v>
      </c>
      <c r="D2758" s="13" t="s">
        <v>65</v>
      </c>
      <c r="E2758" s="12" t="s">
        <v>35</v>
      </c>
      <c r="F2758" s="14">
        <v>130000</v>
      </c>
      <c r="G2758" s="14">
        <v>110900</v>
      </c>
      <c r="H2758" s="13" t="s">
        <v>2119</v>
      </c>
      <c r="I2758" s="40" t="s">
        <v>18</v>
      </c>
      <c r="J2758" s="40" t="str">
        <f>HYPERLINK("https://stock.pstatic.net/stock-research/company/57/20260512_company_720605000.pdf","PDF")</f>
        <v>PDF</v>
      </c>
      <c r="K2758" s="12" t="s">
        <v>2120</v>
      </c>
      <c r="L2758" s="36">
        <v>0.1722272317403066</v>
      </c>
    </row>
    <row r="2759" spans="1:12" x14ac:dyDescent="0.45">
      <c r="A2759" s="12" t="s">
        <v>2074</v>
      </c>
      <c r="B2759" s="12" t="s">
        <v>1270</v>
      </c>
      <c r="C2759" s="13" t="s">
        <v>1271</v>
      </c>
      <c r="D2759" s="13" t="s">
        <v>65</v>
      </c>
      <c r="E2759" s="12" t="s">
        <v>35</v>
      </c>
      <c r="F2759" s="14">
        <v>175000</v>
      </c>
      <c r="G2759" s="14">
        <v>135200</v>
      </c>
      <c r="H2759" s="13" t="s">
        <v>1972</v>
      </c>
      <c r="I2759" s="40" t="s">
        <v>18</v>
      </c>
      <c r="J2759" s="40" t="str">
        <f>HYPERLINK("https://stock.pstatic.net/stock-research/company/57/20260512_company_66388000.pdf","PDF")</f>
        <v>PDF</v>
      </c>
      <c r="K2759" s="12" t="s">
        <v>2121</v>
      </c>
      <c r="L2759" s="36">
        <v>0.29437869822485208</v>
      </c>
    </row>
    <row r="2760" spans="1:12" x14ac:dyDescent="0.45">
      <c r="A2760" s="12" t="s">
        <v>2074</v>
      </c>
      <c r="B2760" s="12" t="s">
        <v>27</v>
      </c>
      <c r="C2760" s="13" t="s">
        <v>28</v>
      </c>
      <c r="D2760" s="13" t="s">
        <v>92</v>
      </c>
      <c r="E2760" s="12" t="s">
        <v>35</v>
      </c>
      <c r="F2760" s="14">
        <v>180000</v>
      </c>
      <c r="G2760" s="14">
        <v>145000</v>
      </c>
      <c r="H2760" s="13" t="s">
        <v>2122</v>
      </c>
      <c r="I2760" s="40" t="s">
        <v>18</v>
      </c>
      <c r="J2760" s="40" t="str">
        <f>HYPERLINK("https://stock.pstatic.net/stock-research/company/63/20260512_company_449658000.pdf","PDF")</f>
        <v>PDF</v>
      </c>
      <c r="K2760" s="12" t="s">
        <v>2123</v>
      </c>
      <c r="L2760" s="36">
        <v>0.2413793103448276</v>
      </c>
    </row>
    <row r="2761" spans="1:12" x14ac:dyDescent="0.45">
      <c r="A2761" s="12" t="s">
        <v>2074</v>
      </c>
      <c r="B2761" s="12" t="s">
        <v>2105</v>
      </c>
      <c r="C2761" s="13" t="s">
        <v>2106</v>
      </c>
      <c r="D2761" s="13" t="s">
        <v>15</v>
      </c>
      <c r="E2761" s="12" t="s">
        <v>16</v>
      </c>
      <c r="F2761" s="14">
        <v>48000</v>
      </c>
      <c r="G2761" s="14">
        <v>31400</v>
      </c>
      <c r="H2761" s="13" t="s">
        <v>2124</v>
      </c>
      <c r="I2761" s="40" t="s">
        <v>18</v>
      </c>
      <c r="J2761" s="40" t="str">
        <f>HYPERLINK("https://stock.pstatic.net/stock-research/company/56/20260512_company_358013000.pdf","PDF")</f>
        <v>PDF</v>
      </c>
      <c r="K2761" s="12" t="s">
        <v>2125</v>
      </c>
      <c r="L2761" s="36">
        <v>0.5286624203821656</v>
      </c>
    </row>
    <row r="2762" spans="1:12" x14ac:dyDescent="0.45">
      <c r="A2762" s="12" t="s">
        <v>2074</v>
      </c>
      <c r="B2762" s="12" t="s">
        <v>27</v>
      </c>
      <c r="C2762" s="13" t="s">
        <v>28</v>
      </c>
      <c r="D2762" s="13" t="s">
        <v>15</v>
      </c>
      <c r="E2762" s="12" t="s">
        <v>16</v>
      </c>
      <c r="F2762" s="14">
        <v>190000</v>
      </c>
      <c r="G2762" s="14">
        <v>145000</v>
      </c>
      <c r="H2762" s="13" t="s">
        <v>2126</v>
      </c>
      <c r="I2762" s="40" t="s">
        <v>18</v>
      </c>
      <c r="J2762" s="40" t="str">
        <f>HYPERLINK("https://stock.pstatic.net/stock-research/company/56/20260512_company_290472000.pdf","PDF")</f>
        <v>PDF</v>
      </c>
      <c r="K2762" s="12" t="s">
        <v>2127</v>
      </c>
      <c r="L2762" s="36">
        <v>0.31034482758620691</v>
      </c>
    </row>
    <row r="2763" spans="1:12" x14ac:dyDescent="0.45">
      <c r="A2763" s="12" t="s">
        <v>2074</v>
      </c>
      <c r="B2763" s="12" t="s">
        <v>1270</v>
      </c>
      <c r="C2763" s="13" t="s">
        <v>1271</v>
      </c>
      <c r="D2763" s="13" t="s">
        <v>179</v>
      </c>
      <c r="E2763" s="12" t="s">
        <v>16</v>
      </c>
      <c r="F2763" s="14">
        <v>170000</v>
      </c>
      <c r="G2763" s="14">
        <v>135200</v>
      </c>
      <c r="H2763" s="13" t="s">
        <v>2128</v>
      </c>
      <c r="I2763" s="40" t="s">
        <v>18</v>
      </c>
      <c r="J2763" s="40" t="str">
        <f>HYPERLINK("https://stock.pstatic.net/stock-research/company/64/20260512_company_55190000.pdf","PDF")</f>
        <v>PDF</v>
      </c>
      <c r="K2763" s="12" t="s">
        <v>2129</v>
      </c>
      <c r="L2763" s="36">
        <v>0.25739644970414199</v>
      </c>
    </row>
    <row r="2764" spans="1:12" x14ac:dyDescent="0.45">
      <c r="A2764" s="12" t="s">
        <v>2074</v>
      </c>
      <c r="B2764" s="12" t="s">
        <v>2040</v>
      </c>
      <c r="C2764" s="13" t="s">
        <v>2041</v>
      </c>
      <c r="D2764" s="13" t="s">
        <v>23</v>
      </c>
      <c r="E2764" s="12" t="s">
        <v>16</v>
      </c>
      <c r="F2764" s="14">
        <v>135000</v>
      </c>
      <c r="G2764" s="14">
        <v>106500</v>
      </c>
      <c r="H2764" s="13" t="s">
        <v>2130</v>
      </c>
      <c r="I2764" s="40" t="s">
        <v>18</v>
      </c>
      <c r="J2764" s="40" t="str">
        <f>HYPERLINK("https://stock.pstatic.net/stock-research/company/21/20260512_company_831962000.pdf","PDF")</f>
        <v>PDF</v>
      </c>
      <c r="K2764" s="12" t="s">
        <v>2131</v>
      </c>
      <c r="L2764" s="36">
        <v>0.26760563380281688</v>
      </c>
    </row>
    <row r="2765" spans="1:12" x14ac:dyDescent="0.45">
      <c r="A2765" s="12" t="s">
        <v>2074</v>
      </c>
      <c r="B2765" s="12" t="s">
        <v>1270</v>
      </c>
      <c r="C2765" s="13" t="s">
        <v>1271</v>
      </c>
      <c r="D2765" s="13" t="s">
        <v>44</v>
      </c>
      <c r="E2765" s="12" t="s">
        <v>35</v>
      </c>
      <c r="F2765" s="14">
        <v>180000</v>
      </c>
      <c r="G2765" s="14">
        <v>135200</v>
      </c>
      <c r="H2765" s="13" t="s">
        <v>2132</v>
      </c>
      <c r="I2765" s="40" t="s">
        <v>18</v>
      </c>
      <c r="J2765" s="40" t="str">
        <f>HYPERLINK("https://stock.pstatic.net/stock-research/company/39/20260512_company_56296000.pdf","PDF")</f>
        <v>PDF</v>
      </c>
      <c r="K2765" s="12" t="s">
        <v>2133</v>
      </c>
      <c r="L2765" s="36">
        <v>0.33136094674556221</v>
      </c>
    </row>
    <row r="2766" spans="1:12" x14ac:dyDescent="0.45">
      <c r="A2766" s="12" t="s">
        <v>2074</v>
      </c>
      <c r="B2766" s="12" t="s">
        <v>375</v>
      </c>
      <c r="C2766" s="13" t="s">
        <v>376</v>
      </c>
      <c r="D2766" s="13" t="s">
        <v>92</v>
      </c>
      <c r="E2766" s="12" t="s">
        <v>35</v>
      </c>
      <c r="F2766" s="14">
        <v>28000</v>
      </c>
      <c r="G2766" s="14">
        <v>20200</v>
      </c>
      <c r="H2766" s="13" t="s">
        <v>2134</v>
      </c>
      <c r="I2766" s="40" t="s">
        <v>18</v>
      </c>
      <c r="J2766" s="40" t="str">
        <f>HYPERLINK("https://stock.pstatic.net/stock-research/company/63/20260512_company_739750000.pdf","PDF")</f>
        <v>PDF</v>
      </c>
      <c r="K2766" s="12" t="s">
        <v>2135</v>
      </c>
      <c r="L2766" s="36">
        <v>0.38613861386138609</v>
      </c>
    </row>
    <row r="2767" spans="1:12" x14ac:dyDescent="0.45">
      <c r="A2767" s="12" t="s">
        <v>2074</v>
      </c>
      <c r="B2767" s="12" t="s">
        <v>1602</v>
      </c>
      <c r="C2767" s="13" t="s">
        <v>1603</v>
      </c>
      <c r="D2767" s="13" t="s">
        <v>179</v>
      </c>
      <c r="E2767" s="12" t="s">
        <v>16</v>
      </c>
      <c r="F2767" s="14">
        <v>90000</v>
      </c>
      <c r="G2767" s="14">
        <v>75400</v>
      </c>
      <c r="H2767" s="13" t="s">
        <v>2136</v>
      </c>
      <c r="I2767" s="40" t="s">
        <v>18</v>
      </c>
      <c r="J2767" s="40" t="str">
        <f>HYPERLINK("https://stock.pstatic.net/stock-research/company/64/20260512_company_238345000.pdf","PDF")</f>
        <v>PDF</v>
      </c>
      <c r="K2767" s="12" t="s">
        <v>2137</v>
      </c>
      <c r="L2767" s="36">
        <v>0.19363395225464189</v>
      </c>
    </row>
    <row r="2768" spans="1:12" x14ac:dyDescent="0.45">
      <c r="A2768" s="12" t="s">
        <v>2074</v>
      </c>
      <c r="B2768" s="12" t="s">
        <v>2040</v>
      </c>
      <c r="C2768" s="13" t="s">
        <v>2041</v>
      </c>
      <c r="D2768" s="13" t="s">
        <v>34</v>
      </c>
      <c r="E2768" s="12" t="s">
        <v>35</v>
      </c>
      <c r="F2768" s="14">
        <v>130000</v>
      </c>
      <c r="G2768" s="14">
        <v>106500</v>
      </c>
      <c r="H2768" s="13" t="s">
        <v>2138</v>
      </c>
      <c r="I2768" s="40" t="s">
        <v>18</v>
      </c>
      <c r="J2768" s="40" t="str">
        <f>HYPERLINK("https://stock.pstatic.net/stock-research/company/61/20260512_company_422315000.pdf","PDF")</f>
        <v>PDF</v>
      </c>
      <c r="K2768" s="12" t="s">
        <v>2139</v>
      </c>
      <c r="L2768" s="36">
        <v>0.22065727699530521</v>
      </c>
    </row>
    <row r="2769" spans="1:12" x14ac:dyDescent="0.45">
      <c r="A2769" s="12" t="s">
        <v>2074</v>
      </c>
      <c r="B2769" s="12" t="s">
        <v>2089</v>
      </c>
      <c r="C2769" s="13" t="s">
        <v>2090</v>
      </c>
      <c r="D2769" s="13" t="s">
        <v>34</v>
      </c>
      <c r="E2769" s="12" t="s">
        <v>35</v>
      </c>
      <c r="F2769" s="14">
        <v>135000</v>
      </c>
      <c r="G2769" s="14">
        <v>110900</v>
      </c>
      <c r="H2769" s="13" t="s">
        <v>2140</v>
      </c>
      <c r="I2769" s="40" t="s">
        <v>18</v>
      </c>
      <c r="J2769" s="40" t="str">
        <f>HYPERLINK("https://stock.pstatic.net/stock-research/company/61/20260512_company_412598000.pdf","PDF")</f>
        <v>PDF</v>
      </c>
      <c r="K2769" s="12" t="s">
        <v>2141</v>
      </c>
      <c r="L2769" s="36">
        <v>0.2173128944995491</v>
      </c>
    </row>
    <row r="2770" spans="1:12" x14ac:dyDescent="0.45">
      <c r="A2770" s="12" t="s">
        <v>2074</v>
      </c>
      <c r="B2770" s="12" t="s">
        <v>1270</v>
      </c>
      <c r="C2770" s="13" t="s">
        <v>1271</v>
      </c>
      <c r="D2770" s="13" t="s">
        <v>34</v>
      </c>
      <c r="E2770" s="12" t="s">
        <v>35</v>
      </c>
      <c r="F2770" s="14">
        <v>160000</v>
      </c>
      <c r="G2770" s="14">
        <v>135200</v>
      </c>
      <c r="H2770" s="13" t="s">
        <v>2142</v>
      </c>
      <c r="I2770" s="40" t="s">
        <v>18</v>
      </c>
      <c r="J2770" s="40" t="str">
        <f>HYPERLINK("https://stock.pstatic.net/stock-research/company/61/20260512_company_345510000.pdf","PDF")</f>
        <v>PDF</v>
      </c>
      <c r="K2770" s="12" t="s">
        <v>2143</v>
      </c>
      <c r="L2770" s="36">
        <v>0.18343195266272189</v>
      </c>
    </row>
    <row r="2771" spans="1:12" x14ac:dyDescent="0.45">
      <c r="A2771" s="12" t="s">
        <v>2074</v>
      </c>
      <c r="B2771" s="12" t="s">
        <v>1270</v>
      </c>
      <c r="C2771" s="13" t="s">
        <v>1271</v>
      </c>
      <c r="D2771" s="13" t="s">
        <v>23</v>
      </c>
      <c r="E2771" s="12" t="s">
        <v>16</v>
      </c>
      <c r="F2771" s="14">
        <v>155000</v>
      </c>
      <c r="G2771" s="14">
        <v>135200</v>
      </c>
      <c r="H2771" s="13" t="s">
        <v>2144</v>
      </c>
      <c r="I2771" s="40" t="s">
        <v>18</v>
      </c>
      <c r="J2771" s="40" t="str">
        <f>HYPERLINK("https://stock.pstatic.net/stock-research/company/21/20260512_company_679768000.pdf","PDF")</f>
        <v>PDF</v>
      </c>
      <c r="K2771" s="12" t="s">
        <v>2145</v>
      </c>
      <c r="L2771" s="36">
        <v>0.14644970414201181</v>
      </c>
    </row>
    <row r="2772" spans="1:12" x14ac:dyDescent="0.45">
      <c r="A2772" s="12" t="s">
        <v>2074</v>
      </c>
      <c r="B2772" s="12" t="s">
        <v>2089</v>
      </c>
      <c r="C2772" s="13" t="s">
        <v>2090</v>
      </c>
      <c r="D2772" s="13" t="s">
        <v>92</v>
      </c>
      <c r="E2772" s="12" t="s">
        <v>35</v>
      </c>
      <c r="F2772" s="14">
        <v>126000</v>
      </c>
      <c r="G2772" s="14">
        <v>110900</v>
      </c>
      <c r="H2772" s="13" t="s">
        <v>2146</v>
      </c>
      <c r="I2772" s="40" t="s">
        <v>18</v>
      </c>
      <c r="J2772" s="40" t="str">
        <f>HYPERLINK("https://stock.pstatic.net/stock-research/company/63/20260512_company_313202000.pdf","PDF")</f>
        <v>PDF</v>
      </c>
      <c r="K2772" s="12" t="s">
        <v>2147</v>
      </c>
      <c r="L2772" s="36">
        <v>0.13615870153291251</v>
      </c>
    </row>
    <row r="2773" spans="1:12" x14ac:dyDescent="0.45">
      <c r="A2773" s="12" t="s">
        <v>2074</v>
      </c>
      <c r="B2773" s="12" t="s">
        <v>255</v>
      </c>
      <c r="C2773" s="13" t="s">
        <v>256</v>
      </c>
      <c r="D2773" s="13" t="s">
        <v>23</v>
      </c>
      <c r="E2773" s="12" t="s">
        <v>16</v>
      </c>
      <c r="F2773" s="14">
        <v>60000</v>
      </c>
      <c r="G2773" s="14">
        <v>36050</v>
      </c>
      <c r="H2773" s="13" t="s">
        <v>2148</v>
      </c>
      <c r="I2773" s="40" t="s">
        <v>18</v>
      </c>
      <c r="J2773" s="40" t="str">
        <f>HYPERLINK("https://stock.pstatic.net/stock-research/company/21/20260512_company_770443000.pdf","PDF")</f>
        <v>PDF</v>
      </c>
      <c r="K2773" s="12" t="s">
        <v>2149</v>
      </c>
      <c r="L2773" s="36">
        <v>0.66435506241331488</v>
      </c>
    </row>
    <row r="2774" spans="1:12" x14ac:dyDescent="0.45">
      <c r="A2774" s="12" t="s">
        <v>2074</v>
      </c>
      <c r="B2774" s="12" t="s">
        <v>2089</v>
      </c>
      <c r="C2774" s="13" t="s">
        <v>2090</v>
      </c>
      <c r="D2774" s="13" t="s">
        <v>23</v>
      </c>
      <c r="E2774" s="12" t="s">
        <v>16</v>
      </c>
      <c r="F2774" s="14">
        <v>140000</v>
      </c>
      <c r="G2774" s="14">
        <v>110900</v>
      </c>
      <c r="H2774" s="13" t="s">
        <v>2150</v>
      </c>
      <c r="I2774" s="40" t="s">
        <v>18</v>
      </c>
      <c r="J2774" s="40" t="str">
        <f>HYPERLINK("https://stock.pstatic.net/stock-research/company/21/20260512_company_207520000.pdf","PDF")</f>
        <v>PDF</v>
      </c>
      <c r="K2774" s="12" t="s">
        <v>2151</v>
      </c>
      <c r="L2774" s="36">
        <v>0.26239855725879169</v>
      </c>
    </row>
    <row r="2775" spans="1:12" x14ac:dyDescent="0.45">
      <c r="A2775" s="12" t="s">
        <v>2074</v>
      </c>
      <c r="B2775" s="12" t="s">
        <v>1602</v>
      </c>
      <c r="C2775" s="13" t="s">
        <v>1603</v>
      </c>
      <c r="D2775" s="13" t="s">
        <v>23</v>
      </c>
      <c r="E2775" s="12" t="s">
        <v>16</v>
      </c>
      <c r="F2775" s="14">
        <v>92000</v>
      </c>
      <c r="G2775" s="14">
        <v>75400</v>
      </c>
      <c r="H2775" s="13" t="s">
        <v>2152</v>
      </c>
      <c r="I2775" s="40" t="s">
        <v>18</v>
      </c>
      <c r="J2775" s="40" t="str">
        <f>HYPERLINK("https://stock.pstatic.net/stock-research/company/21/20260512_company_963205000.pdf","PDF")</f>
        <v>PDF</v>
      </c>
      <c r="K2775" s="12" t="s">
        <v>2153</v>
      </c>
      <c r="L2775" s="36">
        <v>0.22015915119363391</v>
      </c>
    </row>
    <row r="2776" spans="1:12" x14ac:dyDescent="0.45">
      <c r="A2776" s="12" t="s">
        <v>2074</v>
      </c>
      <c r="B2776" s="12" t="s">
        <v>27</v>
      </c>
      <c r="C2776" s="13" t="s">
        <v>28</v>
      </c>
      <c r="D2776" s="13" t="s">
        <v>23</v>
      </c>
      <c r="E2776" s="12" t="s">
        <v>16</v>
      </c>
      <c r="F2776" s="14">
        <v>170000</v>
      </c>
      <c r="G2776" s="14">
        <v>145000</v>
      </c>
      <c r="H2776" s="13" t="s">
        <v>2154</v>
      </c>
      <c r="I2776" s="40" t="s">
        <v>18</v>
      </c>
      <c r="J2776" s="40" t="str">
        <f>HYPERLINK("https://stock.pstatic.net/stock-research/company/21/20260512_company_135104000.pdf","PDF")</f>
        <v>PDF</v>
      </c>
      <c r="K2776" s="12" t="s">
        <v>2155</v>
      </c>
      <c r="L2776" s="36">
        <v>0.17241379310344829</v>
      </c>
    </row>
    <row r="2777" spans="1:12" x14ac:dyDescent="0.45">
      <c r="A2777" s="12" t="s">
        <v>2074</v>
      </c>
      <c r="B2777" s="12" t="s">
        <v>1144</v>
      </c>
      <c r="C2777" s="13" t="s">
        <v>1145</v>
      </c>
      <c r="D2777" s="13" t="s">
        <v>92</v>
      </c>
      <c r="E2777" s="12" t="s">
        <v>35</v>
      </c>
      <c r="F2777" s="14">
        <v>200000</v>
      </c>
      <c r="G2777" s="14">
        <v>171400</v>
      </c>
      <c r="H2777" s="13" t="s">
        <v>2156</v>
      </c>
      <c r="I2777" s="40" t="s">
        <v>18</v>
      </c>
      <c r="J2777" s="40" t="str">
        <f>HYPERLINK("https://stock.pstatic.net/stock-research/company/63/20260512_company_736000000.pdf","PDF")</f>
        <v>PDF</v>
      </c>
      <c r="K2777" s="12" t="s">
        <v>2157</v>
      </c>
      <c r="L2777" s="36">
        <v>0.16686114352392059</v>
      </c>
    </row>
    <row r="2778" spans="1:12" x14ac:dyDescent="0.45">
      <c r="A2778" s="12" t="s">
        <v>2074</v>
      </c>
      <c r="B2778" s="12" t="s">
        <v>27</v>
      </c>
      <c r="C2778" s="13" t="s">
        <v>28</v>
      </c>
      <c r="D2778" s="13" t="s">
        <v>44</v>
      </c>
      <c r="E2778" s="12" t="s">
        <v>35</v>
      </c>
      <c r="F2778" s="14">
        <v>190000</v>
      </c>
      <c r="G2778" s="14">
        <v>145000</v>
      </c>
      <c r="H2778" s="13" t="s">
        <v>2158</v>
      </c>
      <c r="I2778" s="40" t="s">
        <v>18</v>
      </c>
      <c r="J2778" s="40" t="str">
        <f>HYPERLINK("https://stock.pstatic.net/stock-research/company/39/20260512_company_742619000.pdf","PDF")</f>
        <v>PDF</v>
      </c>
      <c r="K2778" s="12" t="s">
        <v>2159</v>
      </c>
      <c r="L2778" s="36">
        <v>0.31034482758620691</v>
      </c>
    </row>
    <row r="2779" spans="1:12" x14ac:dyDescent="0.45">
      <c r="A2779" s="12" t="s">
        <v>2074</v>
      </c>
      <c r="B2779" s="12" t="s">
        <v>1602</v>
      </c>
      <c r="C2779" s="13" t="s">
        <v>1603</v>
      </c>
      <c r="D2779" s="13" t="s">
        <v>53</v>
      </c>
      <c r="E2779" s="12" t="s">
        <v>50</v>
      </c>
      <c r="F2779" s="14">
        <v>80000</v>
      </c>
      <c r="G2779" s="14">
        <v>75400</v>
      </c>
      <c r="H2779" s="13" t="s">
        <v>2160</v>
      </c>
      <c r="I2779" s="40" t="s">
        <v>18</v>
      </c>
      <c r="J2779" s="40" t="str">
        <f>HYPERLINK("https://stock.pstatic.net/stock-research/company/40/20260512_company_293260000.pdf","PDF")</f>
        <v>PDF</v>
      </c>
      <c r="K2779" s="12" t="s">
        <v>2161</v>
      </c>
      <c r="L2779" s="36">
        <v>6.1007957559681698E-2</v>
      </c>
    </row>
    <row r="2780" spans="1:12" x14ac:dyDescent="0.45">
      <c r="A2780" s="12" t="s">
        <v>2074</v>
      </c>
      <c r="B2780" s="12" t="s">
        <v>2162</v>
      </c>
      <c r="C2780" s="13" t="s">
        <v>2163</v>
      </c>
      <c r="D2780" s="13" t="s">
        <v>44</v>
      </c>
      <c r="E2780" s="12" t="s">
        <v>35</v>
      </c>
      <c r="F2780" s="14">
        <v>30000</v>
      </c>
      <c r="G2780" s="14">
        <v>20400</v>
      </c>
      <c r="H2780" s="13" t="s">
        <v>2164</v>
      </c>
      <c r="I2780" s="40" t="s">
        <v>18</v>
      </c>
      <c r="J2780" s="40" t="str">
        <f>HYPERLINK("https://stock.pstatic.net/stock-research/company/39/20260512_company_834384000.pdf","PDF")</f>
        <v>PDF</v>
      </c>
      <c r="K2780" s="12" t="s">
        <v>2165</v>
      </c>
      <c r="L2780" s="36">
        <v>0.47058823529411759</v>
      </c>
    </row>
    <row r="2781" spans="1:12" x14ac:dyDescent="0.45">
      <c r="A2781" s="12" t="s">
        <v>2074</v>
      </c>
      <c r="B2781" s="12" t="s">
        <v>1781</v>
      </c>
      <c r="C2781" s="13" t="s">
        <v>1782</v>
      </c>
      <c r="D2781" s="13" t="s">
        <v>92</v>
      </c>
      <c r="E2781" s="12" t="s">
        <v>35</v>
      </c>
      <c r="F2781" s="14">
        <v>195000</v>
      </c>
      <c r="G2781" s="14">
        <v>156700</v>
      </c>
      <c r="H2781" s="13" t="s">
        <v>2166</v>
      </c>
      <c r="I2781" s="40" t="s">
        <v>18</v>
      </c>
      <c r="J2781" s="40" t="str">
        <f>HYPERLINK("https://stock.pstatic.net/stock-research/company/63/20260512_company_51167000.pdf","PDF")</f>
        <v>PDF</v>
      </c>
      <c r="K2781" s="12" t="s">
        <v>2167</v>
      </c>
      <c r="L2781" s="36">
        <v>0.2444160816847479</v>
      </c>
    </row>
    <row r="2782" spans="1:12" x14ac:dyDescent="0.45">
      <c r="A2782" s="12" t="s">
        <v>2074</v>
      </c>
      <c r="B2782" s="12" t="s">
        <v>2040</v>
      </c>
      <c r="C2782" s="13" t="s">
        <v>2041</v>
      </c>
      <c r="D2782" s="13" t="s">
        <v>15</v>
      </c>
      <c r="E2782" s="12" t="s">
        <v>385</v>
      </c>
      <c r="F2782" s="14">
        <v>112000</v>
      </c>
      <c r="G2782" s="14">
        <v>106500</v>
      </c>
      <c r="H2782" s="13" t="s">
        <v>2168</v>
      </c>
      <c r="I2782" s="40" t="s">
        <v>18</v>
      </c>
      <c r="J2782" s="40" t="str">
        <f>HYPERLINK("https://stock.pstatic.net/stock-research/company/56/20260512_company_782946000.pdf","PDF")</f>
        <v>PDF</v>
      </c>
      <c r="K2782" s="12" t="s">
        <v>2169</v>
      </c>
      <c r="L2782" s="36">
        <v>5.1643192488262907E-2</v>
      </c>
    </row>
    <row r="2783" spans="1:12" x14ac:dyDescent="0.45">
      <c r="A2783" s="12" t="s">
        <v>2074</v>
      </c>
      <c r="B2783" s="12" t="s">
        <v>2170</v>
      </c>
      <c r="C2783" s="13" t="s">
        <v>2171</v>
      </c>
      <c r="D2783" s="13" t="s">
        <v>15</v>
      </c>
      <c r="E2783" s="12" t="s">
        <v>16</v>
      </c>
      <c r="F2783" s="14">
        <v>26000</v>
      </c>
      <c r="G2783" s="14">
        <v>15750</v>
      </c>
      <c r="H2783" s="13" t="s">
        <v>2172</v>
      </c>
      <c r="I2783" s="40" t="s">
        <v>18</v>
      </c>
      <c r="J2783" s="40" t="str">
        <f>HYPERLINK("https://stock.pstatic.net/stock-research/company/56/20260512_company_94940000.pdf","PDF")</f>
        <v>PDF</v>
      </c>
      <c r="K2783" s="12" t="s">
        <v>2173</v>
      </c>
      <c r="L2783" s="36">
        <v>0.65079365079365081</v>
      </c>
    </row>
    <row r="2784" spans="1:12" x14ac:dyDescent="0.45">
      <c r="A2784" s="12" t="s">
        <v>2074</v>
      </c>
      <c r="B2784" s="12" t="s">
        <v>2089</v>
      </c>
      <c r="C2784" s="13" t="s">
        <v>2090</v>
      </c>
      <c r="D2784" s="13" t="s">
        <v>15</v>
      </c>
      <c r="E2784" s="12" t="s">
        <v>16</v>
      </c>
      <c r="F2784" s="14">
        <v>135000</v>
      </c>
      <c r="G2784" s="14">
        <v>110900</v>
      </c>
      <c r="H2784" s="13" t="s">
        <v>2174</v>
      </c>
      <c r="I2784" s="40" t="s">
        <v>18</v>
      </c>
      <c r="J2784" s="40" t="str">
        <f>HYPERLINK("https://stock.pstatic.net/stock-research/company/56/20260512_company_858497000.pdf","PDF")</f>
        <v>PDF</v>
      </c>
      <c r="K2784" s="12" t="s">
        <v>2175</v>
      </c>
      <c r="L2784" s="36">
        <v>0.2173128944995491</v>
      </c>
    </row>
    <row r="2785" spans="1:12" x14ac:dyDescent="0.45">
      <c r="A2785" s="12" t="s">
        <v>2074</v>
      </c>
      <c r="B2785" s="12" t="s">
        <v>1144</v>
      </c>
      <c r="C2785" s="13" t="s">
        <v>1145</v>
      </c>
      <c r="D2785" s="13" t="s">
        <v>15</v>
      </c>
      <c r="E2785" s="12" t="s">
        <v>16</v>
      </c>
      <c r="F2785" s="14">
        <v>200000</v>
      </c>
      <c r="G2785" s="14">
        <v>173600</v>
      </c>
      <c r="H2785" s="13" t="s">
        <v>2176</v>
      </c>
      <c r="I2785" s="40" t="s">
        <v>18</v>
      </c>
      <c r="J2785" s="40" t="str">
        <f>HYPERLINK("https://stock.pstatic.net/stock-research/company/56/20260512_company_854914000.pdf","PDF")</f>
        <v>PDF</v>
      </c>
      <c r="K2785" s="12" t="s">
        <v>2177</v>
      </c>
      <c r="L2785" s="36">
        <v>0.15207373271889399</v>
      </c>
    </row>
    <row r="2786" spans="1:12" x14ac:dyDescent="0.45">
      <c r="A2786" s="12" t="s">
        <v>2178</v>
      </c>
      <c r="B2786" s="12" t="s">
        <v>1042</v>
      </c>
      <c r="C2786" s="13" t="s">
        <v>1043</v>
      </c>
      <c r="D2786" s="13" t="s">
        <v>276</v>
      </c>
      <c r="E2786" s="12" t="s">
        <v>16</v>
      </c>
      <c r="F2786" s="14">
        <v>50000</v>
      </c>
      <c r="G2786" s="14">
        <v>27450</v>
      </c>
      <c r="H2786" s="13" t="s">
        <v>2179</v>
      </c>
      <c r="I2786" s="40" t="s">
        <v>18</v>
      </c>
      <c r="J2786" s="40" t="str">
        <f>HYPERLINK("https://stock.pstatic.net/stock-research/company/66/20260511_company_444919000.pdf","PDF")</f>
        <v>PDF</v>
      </c>
      <c r="K2786" s="12" t="s">
        <v>2180</v>
      </c>
      <c r="L2786" s="36">
        <v>0.82149362477231325</v>
      </c>
    </row>
    <row r="2787" spans="1:12" x14ac:dyDescent="0.45">
      <c r="A2787" s="12" t="s">
        <v>2178</v>
      </c>
      <c r="B2787" s="12" t="s">
        <v>1051</v>
      </c>
      <c r="C2787" s="13" t="s">
        <v>1052</v>
      </c>
      <c r="D2787" s="13" t="s">
        <v>276</v>
      </c>
      <c r="E2787" s="12" t="s">
        <v>16</v>
      </c>
      <c r="F2787" s="14">
        <v>83000</v>
      </c>
      <c r="G2787" s="14">
        <v>62100</v>
      </c>
      <c r="H2787" s="13" t="s">
        <v>2181</v>
      </c>
      <c r="I2787" s="40" t="s">
        <v>18</v>
      </c>
      <c r="J2787" s="40" t="str">
        <f>HYPERLINK("https://stock.pstatic.net/stock-research/company/66/20260511_company_872303000.pdf","PDF")</f>
        <v>PDF</v>
      </c>
      <c r="K2787" s="12" t="s">
        <v>2182</v>
      </c>
      <c r="L2787" s="36">
        <v>0.33655394524959742</v>
      </c>
    </row>
    <row r="2788" spans="1:12" x14ac:dyDescent="0.45">
      <c r="A2788" s="12" t="s">
        <v>2178</v>
      </c>
      <c r="B2788" s="12" t="s">
        <v>370</v>
      </c>
      <c r="C2788" s="13" t="s">
        <v>371</v>
      </c>
      <c r="D2788" s="13" t="s">
        <v>60</v>
      </c>
      <c r="E2788" s="12" t="s">
        <v>35</v>
      </c>
      <c r="F2788" s="14">
        <v>80000</v>
      </c>
      <c r="G2788" s="14">
        <v>50200</v>
      </c>
      <c r="H2788" s="13" t="s">
        <v>2183</v>
      </c>
      <c r="I2788" s="40" t="s">
        <v>18</v>
      </c>
      <c r="J2788" s="40" t="str">
        <f>HYPERLINK("https://stock.pstatic.net/stock-research/company/62/20260511_company_209835000.pdf","PDF")</f>
        <v>PDF</v>
      </c>
      <c r="K2788" s="12" t="s">
        <v>2184</v>
      </c>
      <c r="L2788" s="36">
        <v>0.59362549800796816</v>
      </c>
    </row>
    <row r="2789" spans="1:12" x14ac:dyDescent="0.45">
      <c r="A2789" s="12" t="s">
        <v>2178</v>
      </c>
      <c r="B2789" s="12" t="s">
        <v>32</v>
      </c>
      <c r="C2789" s="13" t="s">
        <v>33</v>
      </c>
      <c r="D2789" s="13" t="s">
        <v>60</v>
      </c>
      <c r="E2789" s="12" t="s">
        <v>35</v>
      </c>
      <c r="F2789" s="14">
        <v>1200000</v>
      </c>
      <c r="G2789" s="14">
        <v>914000</v>
      </c>
      <c r="H2789" s="13" t="s">
        <v>2185</v>
      </c>
      <c r="I2789" s="40" t="s">
        <v>18</v>
      </c>
      <c r="J2789" s="40" t="str">
        <f>HYPERLINK("https://stock.pstatic.net/stock-research/company/62/20260511_company_488437000.pdf","PDF")</f>
        <v>PDF</v>
      </c>
      <c r="K2789" s="12" t="s">
        <v>2186</v>
      </c>
      <c r="L2789" s="36">
        <v>0.31291028446389502</v>
      </c>
    </row>
    <row r="2790" spans="1:12" x14ac:dyDescent="0.45">
      <c r="A2790" s="12" t="s">
        <v>2178</v>
      </c>
      <c r="B2790" s="12" t="s">
        <v>2187</v>
      </c>
      <c r="C2790" s="13" t="s">
        <v>2188</v>
      </c>
      <c r="D2790" s="13" t="s">
        <v>60</v>
      </c>
      <c r="E2790" s="12" t="s">
        <v>35</v>
      </c>
      <c r="F2790" s="14">
        <v>175000</v>
      </c>
      <c r="G2790" s="14">
        <v>127600</v>
      </c>
      <c r="H2790" s="13" t="s">
        <v>2189</v>
      </c>
      <c r="I2790" s="40" t="s">
        <v>18</v>
      </c>
      <c r="J2790" s="40" t="str">
        <f>HYPERLINK("https://stock.pstatic.net/stock-research/company/62/20260511_company_764300000.pdf","PDF")</f>
        <v>PDF</v>
      </c>
      <c r="K2790" s="12" t="s">
        <v>2190</v>
      </c>
      <c r="L2790" s="36">
        <v>0.37147335423197492</v>
      </c>
    </row>
    <row r="2791" spans="1:12" x14ac:dyDescent="0.45">
      <c r="A2791" s="12" t="s">
        <v>2178</v>
      </c>
      <c r="B2791" s="12" t="s">
        <v>2191</v>
      </c>
      <c r="C2791" s="13" t="s">
        <v>2192</v>
      </c>
      <c r="D2791" s="13" t="s">
        <v>60</v>
      </c>
      <c r="E2791" s="12" t="s">
        <v>35</v>
      </c>
      <c r="F2791" s="14">
        <v>130000</v>
      </c>
      <c r="G2791" s="14">
        <v>76800</v>
      </c>
      <c r="H2791" s="13" t="s">
        <v>2193</v>
      </c>
      <c r="I2791" s="40" t="s">
        <v>18</v>
      </c>
      <c r="J2791" s="40" t="str">
        <f>HYPERLINK("https://stock.pstatic.net/stock-research/company/62/20260511_company_207911000.pdf","PDF")</f>
        <v>PDF</v>
      </c>
      <c r="K2791" s="12" t="s">
        <v>2194</v>
      </c>
      <c r="L2791" s="36">
        <v>0.69270833333333337</v>
      </c>
    </row>
    <row r="2792" spans="1:12" x14ac:dyDescent="0.45">
      <c r="A2792" s="12" t="s">
        <v>2178</v>
      </c>
      <c r="B2792" s="12" t="s">
        <v>756</v>
      </c>
      <c r="C2792" s="13" t="s">
        <v>757</v>
      </c>
      <c r="D2792" s="13" t="s">
        <v>60</v>
      </c>
      <c r="E2792" s="12" t="s">
        <v>35</v>
      </c>
      <c r="F2792" s="14">
        <v>130000</v>
      </c>
      <c r="G2792" s="14">
        <v>93600</v>
      </c>
      <c r="H2792" s="13" t="s">
        <v>2195</v>
      </c>
      <c r="I2792" s="40" t="s">
        <v>18</v>
      </c>
      <c r="J2792" s="40" t="str">
        <f>HYPERLINK("https://stock.pstatic.net/stock-research/company/62/20260511_company_46273000.pdf","PDF")</f>
        <v>PDF</v>
      </c>
      <c r="K2792" s="12" t="s">
        <v>2196</v>
      </c>
      <c r="L2792" s="36">
        <v>0.3888888888888889</v>
      </c>
    </row>
    <row r="2793" spans="1:12" x14ac:dyDescent="0.45">
      <c r="A2793" s="12" t="s">
        <v>2178</v>
      </c>
      <c r="B2793" s="12" t="s">
        <v>1237</v>
      </c>
      <c r="C2793" s="13" t="s">
        <v>1238</v>
      </c>
      <c r="D2793" s="13" t="s">
        <v>65</v>
      </c>
      <c r="E2793" s="12" t="s">
        <v>50</v>
      </c>
      <c r="F2793" s="13"/>
      <c r="G2793" s="14">
        <v>5420</v>
      </c>
      <c r="H2793" s="13" t="s">
        <v>2197</v>
      </c>
      <c r="I2793" s="40" t="s">
        <v>18</v>
      </c>
      <c r="J2793" s="40" t="str">
        <f>HYPERLINK("https://stock.pstatic.net/stock-research/company/57/20260511_company_707345000.pdf","PDF")</f>
        <v>PDF</v>
      </c>
      <c r="K2793" s="12" t="s">
        <v>2198</v>
      </c>
      <c r="L2793" s="12"/>
    </row>
    <row r="2794" spans="1:12" x14ac:dyDescent="0.45">
      <c r="A2794" s="12" t="s">
        <v>2178</v>
      </c>
      <c r="B2794" s="12" t="s">
        <v>2199</v>
      </c>
      <c r="C2794" s="13" t="s">
        <v>2200</v>
      </c>
      <c r="D2794" s="13" t="s">
        <v>65</v>
      </c>
      <c r="E2794" s="12" t="s">
        <v>35</v>
      </c>
      <c r="F2794" s="14">
        <v>42000</v>
      </c>
      <c r="G2794" s="14">
        <v>33250</v>
      </c>
      <c r="H2794" s="13" t="s">
        <v>2201</v>
      </c>
      <c r="I2794" s="40" t="s">
        <v>18</v>
      </c>
      <c r="J2794" s="40" t="str">
        <f>HYPERLINK("https://stock.pstatic.net/stock-research/company/57/20260511_company_753530000.pdf","PDF")</f>
        <v>PDF</v>
      </c>
      <c r="K2794" s="12" t="s">
        <v>2202</v>
      </c>
      <c r="L2794" s="36">
        <v>0.26315789473684209</v>
      </c>
    </row>
    <row r="2795" spans="1:12" x14ac:dyDescent="0.45">
      <c r="A2795" s="12" t="s">
        <v>2178</v>
      </c>
      <c r="B2795" s="12" t="s">
        <v>1051</v>
      </c>
      <c r="C2795" s="13" t="s">
        <v>1052</v>
      </c>
      <c r="D2795" s="13" t="s">
        <v>65</v>
      </c>
      <c r="E2795" s="12" t="s">
        <v>35</v>
      </c>
      <c r="F2795" s="14">
        <v>80000</v>
      </c>
      <c r="G2795" s="14">
        <v>62100</v>
      </c>
      <c r="H2795" s="13" t="s">
        <v>2203</v>
      </c>
      <c r="I2795" s="40" t="s">
        <v>18</v>
      </c>
      <c r="J2795" s="40" t="str">
        <f>HYPERLINK("https://stock.pstatic.net/stock-research/company/57/20260511_company_25484000.pdf","PDF")</f>
        <v>PDF</v>
      </c>
      <c r="K2795" s="12" t="s">
        <v>2204</v>
      </c>
      <c r="L2795" s="36">
        <v>0.28824476650563607</v>
      </c>
    </row>
    <row r="2796" spans="1:12" x14ac:dyDescent="0.45">
      <c r="A2796" s="12" t="s">
        <v>2178</v>
      </c>
      <c r="B2796" s="12" t="s">
        <v>2205</v>
      </c>
      <c r="C2796" s="13" t="s">
        <v>2206</v>
      </c>
      <c r="D2796" s="13" t="s">
        <v>65</v>
      </c>
      <c r="E2796" s="12" t="s">
        <v>35</v>
      </c>
      <c r="F2796" s="14">
        <v>110000</v>
      </c>
      <c r="G2796" s="14">
        <v>91900</v>
      </c>
      <c r="H2796" s="13" t="s">
        <v>2207</v>
      </c>
      <c r="I2796" s="40" t="s">
        <v>18</v>
      </c>
      <c r="J2796" s="40" t="str">
        <f>HYPERLINK("https://stock.pstatic.net/stock-research/company/57/20260511_company_754400000.pdf","PDF")</f>
        <v>PDF</v>
      </c>
      <c r="K2796" s="12" t="s">
        <v>2208</v>
      </c>
      <c r="L2796" s="36">
        <v>0.1969532100108814</v>
      </c>
    </row>
    <row r="2797" spans="1:12" x14ac:dyDescent="0.45">
      <c r="A2797" s="12" t="s">
        <v>2178</v>
      </c>
      <c r="B2797" s="12" t="s">
        <v>370</v>
      </c>
      <c r="C2797" s="13" t="s">
        <v>371</v>
      </c>
      <c r="D2797" s="13" t="s">
        <v>65</v>
      </c>
      <c r="E2797" s="12" t="s">
        <v>35</v>
      </c>
      <c r="F2797" s="14">
        <v>76000</v>
      </c>
      <c r="G2797" s="14">
        <v>50200</v>
      </c>
      <c r="H2797" s="13" t="s">
        <v>2209</v>
      </c>
      <c r="I2797" s="40" t="s">
        <v>18</v>
      </c>
      <c r="J2797" s="40" t="str">
        <f>HYPERLINK("https://stock.pstatic.net/stock-research/company/57/20260511_company_521572000.pdf","PDF")</f>
        <v>PDF</v>
      </c>
      <c r="K2797" s="12" t="s">
        <v>2210</v>
      </c>
      <c r="L2797" s="36">
        <v>0.51394422310756971</v>
      </c>
    </row>
    <row r="2798" spans="1:12" x14ac:dyDescent="0.45">
      <c r="A2798" s="12" t="s">
        <v>2178</v>
      </c>
      <c r="B2798" s="12" t="s">
        <v>2187</v>
      </c>
      <c r="C2798" s="13" t="s">
        <v>2188</v>
      </c>
      <c r="D2798" s="13" t="s">
        <v>65</v>
      </c>
      <c r="E2798" s="12" t="s">
        <v>35</v>
      </c>
      <c r="F2798" s="14">
        <v>200000</v>
      </c>
      <c r="G2798" s="14">
        <v>127600</v>
      </c>
      <c r="H2798" s="13" t="s">
        <v>2211</v>
      </c>
      <c r="I2798" s="40" t="s">
        <v>18</v>
      </c>
      <c r="J2798" s="40" t="str">
        <f>HYPERLINK("https://stock.pstatic.net/stock-research/company/57/20260511_company_439137000.pdf","PDF")</f>
        <v>PDF</v>
      </c>
      <c r="K2798" s="12" t="s">
        <v>2212</v>
      </c>
      <c r="L2798" s="36">
        <v>0.56739811912225702</v>
      </c>
    </row>
    <row r="2799" spans="1:12" x14ac:dyDescent="0.45">
      <c r="A2799" s="12" t="s">
        <v>2178</v>
      </c>
      <c r="B2799" s="12" t="s">
        <v>1042</v>
      </c>
      <c r="C2799" s="13" t="s">
        <v>1043</v>
      </c>
      <c r="D2799" s="13" t="s">
        <v>65</v>
      </c>
      <c r="E2799" s="12" t="s">
        <v>35</v>
      </c>
      <c r="F2799" s="14">
        <v>48000</v>
      </c>
      <c r="G2799" s="14">
        <v>27450</v>
      </c>
      <c r="H2799" s="13" t="s">
        <v>2213</v>
      </c>
      <c r="I2799" s="40" t="s">
        <v>18</v>
      </c>
      <c r="J2799" s="40" t="str">
        <f>HYPERLINK("https://stock.pstatic.net/stock-research/company/57/20260511_company_18942000.pdf","PDF")</f>
        <v>PDF</v>
      </c>
      <c r="K2799" s="12" t="s">
        <v>2214</v>
      </c>
      <c r="L2799" s="36">
        <v>0.74863387978142082</v>
      </c>
    </row>
    <row r="2800" spans="1:12" x14ac:dyDescent="0.45">
      <c r="A2800" s="12" t="s">
        <v>2178</v>
      </c>
      <c r="B2800" s="12" t="s">
        <v>1144</v>
      </c>
      <c r="C2800" s="13" t="s">
        <v>1145</v>
      </c>
      <c r="D2800" s="13" t="s">
        <v>65</v>
      </c>
      <c r="E2800" s="12" t="s">
        <v>35</v>
      </c>
      <c r="F2800" s="14">
        <v>220000</v>
      </c>
      <c r="G2800" s="14">
        <v>173600</v>
      </c>
      <c r="H2800" s="13" t="s">
        <v>2215</v>
      </c>
      <c r="I2800" s="40" t="s">
        <v>18</v>
      </c>
      <c r="J2800" s="40" t="str">
        <f>HYPERLINK("https://stock.pstatic.net/stock-research/company/57/20260511_company_733669000.pdf","PDF")</f>
        <v>PDF</v>
      </c>
      <c r="K2800" s="12" t="s">
        <v>2216</v>
      </c>
      <c r="L2800" s="36">
        <v>0.26728110599078342</v>
      </c>
    </row>
    <row r="2801" spans="1:12" x14ac:dyDescent="0.45">
      <c r="A2801" s="12" t="s">
        <v>2178</v>
      </c>
      <c r="B2801" s="12" t="s">
        <v>2217</v>
      </c>
      <c r="C2801" s="13" t="s">
        <v>2218</v>
      </c>
      <c r="D2801" s="13" t="s">
        <v>65</v>
      </c>
      <c r="E2801" s="12" t="s">
        <v>35</v>
      </c>
      <c r="F2801" s="14">
        <v>140000</v>
      </c>
      <c r="G2801" s="14">
        <v>75500</v>
      </c>
      <c r="H2801" s="13" t="s">
        <v>2219</v>
      </c>
      <c r="I2801" s="40" t="s">
        <v>18</v>
      </c>
      <c r="J2801" s="40" t="str">
        <f>HYPERLINK("https://stock.pstatic.net/stock-research/company/57/20260511_company_868133000.pdf","PDF")</f>
        <v>PDF</v>
      </c>
      <c r="K2801" s="12" t="s">
        <v>2220</v>
      </c>
      <c r="L2801" s="36">
        <v>0.85430463576158944</v>
      </c>
    </row>
    <row r="2802" spans="1:12" x14ac:dyDescent="0.45">
      <c r="A2802" s="12" t="s">
        <v>2178</v>
      </c>
      <c r="B2802" s="12" t="s">
        <v>72</v>
      </c>
      <c r="C2802" s="13" t="s">
        <v>73</v>
      </c>
      <c r="D2802" s="13" t="s">
        <v>65</v>
      </c>
      <c r="E2802" s="12" t="s">
        <v>35</v>
      </c>
      <c r="F2802" s="14">
        <v>600000</v>
      </c>
      <c r="G2802" s="14">
        <v>422500</v>
      </c>
      <c r="H2802" s="13" t="s">
        <v>2221</v>
      </c>
      <c r="I2802" s="40" t="s">
        <v>18</v>
      </c>
      <c r="J2802" s="40" t="str">
        <f>HYPERLINK("https://stock.pstatic.net/stock-research/company/57/20260511_company_444044000.pdf","PDF")</f>
        <v>PDF</v>
      </c>
      <c r="K2802" s="12" t="s">
        <v>2222</v>
      </c>
      <c r="L2802" s="36">
        <v>0.42011834319526631</v>
      </c>
    </row>
    <row r="2803" spans="1:12" x14ac:dyDescent="0.45">
      <c r="A2803" s="12" t="s">
        <v>2178</v>
      </c>
      <c r="B2803" s="12" t="s">
        <v>2191</v>
      </c>
      <c r="C2803" s="13" t="s">
        <v>2192</v>
      </c>
      <c r="D2803" s="13" t="s">
        <v>57</v>
      </c>
      <c r="E2803" s="12" t="s">
        <v>35</v>
      </c>
      <c r="F2803" s="14">
        <v>120000</v>
      </c>
      <c r="G2803" s="14">
        <v>76800</v>
      </c>
      <c r="H2803" s="13" t="s">
        <v>2223</v>
      </c>
      <c r="I2803" s="40" t="s">
        <v>18</v>
      </c>
      <c r="J2803" s="40" t="str">
        <f>HYPERLINK("https://stock.pstatic.net/stock-research/company/16/20260511_company_426942000.pdf","PDF")</f>
        <v>PDF</v>
      </c>
      <c r="K2803" s="12" t="s">
        <v>2224</v>
      </c>
      <c r="L2803" s="36">
        <v>0.5625</v>
      </c>
    </row>
    <row r="2804" spans="1:12" x14ac:dyDescent="0.45">
      <c r="A2804" s="12" t="s">
        <v>2178</v>
      </c>
      <c r="B2804" s="12" t="s">
        <v>2225</v>
      </c>
      <c r="C2804" s="13" t="s">
        <v>2226</v>
      </c>
      <c r="D2804" s="13" t="s">
        <v>57</v>
      </c>
      <c r="E2804" s="12" t="s">
        <v>35</v>
      </c>
      <c r="F2804" s="14">
        <v>1050000</v>
      </c>
      <c r="G2804" s="14">
        <v>840000</v>
      </c>
      <c r="H2804" s="13" t="s">
        <v>2227</v>
      </c>
      <c r="I2804" s="40" t="s">
        <v>18</v>
      </c>
      <c r="J2804" s="40" t="str">
        <f>HYPERLINK("https://stock.pstatic.net/stock-research/company/16/20260511_company_626302000.pdf","PDF")</f>
        <v>PDF</v>
      </c>
      <c r="K2804" s="12" t="s">
        <v>2228</v>
      </c>
      <c r="L2804" s="36">
        <v>0.25</v>
      </c>
    </row>
    <row r="2805" spans="1:12" x14ac:dyDescent="0.45">
      <c r="A2805" s="12" t="s">
        <v>2178</v>
      </c>
      <c r="B2805" s="12" t="s">
        <v>2187</v>
      </c>
      <c r="C2805" s="13" t="s">
        <v>2188</v>
      </c>
      <c r="D2805" s="13" t="s">
        <v>57</v>
      </c>
      <c r="E2805" s="12" t="s">
        <v>35</v>
      </c>
      <c r="F2805" s="14">
        <v>190000</v>
      </c>
      <c r="G2805" s="14">
        <v>119500</v>
      </c>
      <c r="H2805" s="13" t="s">
        <v>2229</v>
      </c>
      <c r="I2805" s="40" t="s">
        <v>18</v>
      </c>
      <c r="J2805" s="40" t="str">
        <f>HYPERLINK("https://stock.pstatic.net/stock-research/company/16/20260511_company_249348000.pdf","PDF")</f>
        <v>PDF</v>
      </c>
      <c r="K2805" s="12" t="s">
        <v>2230</v>
      </c>
      <c r="L2805" s="36">
        <v>0.58995815899581594</v>
      </c>
    </row>
    <row r="2806" spans="1:12" x14ac:dyDescent="0.45">
      <c r="A2806" s="12" t="s">
        <v>2178</v>
      </c>
      <c r="B2806" s="12" t="s">
        <v>2231</v>
      </c>
      <c r="C2806" s="13" t="s">
        <v>2232</v>
      </c>
      <c r="D2806" s="13" t="s">
        <v>57</v>
      </c>
      <c r="E2806" s="12" t="s">
        <v>35</v>
      </c>
      <c r="F2806" s="14">
        <v>150000</v>
      </c>
      <c r="G2806" s="14">
        <v>86900</v>
      </c>
      <c r="H2806" s="13" t="s">
        <v>2233</v>
      </c>
      <c r="I2806" s="40" t="s">
        <v>18</v>
      </c>
      <c r="J2806" s="40" t="str">
        <f>HYPERLINK("https://stock.pstatic.net/stock-research/company/16/20260511_company_894365000.pdf","PDF")</f>
        <v>PDF</v>
      </c>
      <c r="K2806" s="12" t="s">
        <v>2234</v>
      </c>
      <c r="L2806" s="36">
        <v>0.72612197928653621</v>
      </c>
    </row>
    <row r="2807" spans="1:12" x14ac:dyDescent="0.45">
      <c r="A2807" s="12" t="s">
        <v>2178</v>
      </c>
      <c r="B2807" s="12" t="s">
        <v>1548</v>
      </c>
      <c r="C2807" s="13" t="s">
        <v>1549</v>
      </c>
      <c r="D2807" s="13" t="s">
        <v>158</v>
      </c>
      <c r="E2807" s="12" t="s">
        <v>35</v>
      </c>
      <c r="F2807" s="14">
        <v>1820000</v>
      </c>
      <c r="G2807" s="14">
        <v>1307000</v>
      </c>
      <c r="H2807" s="13" t="s">
        <v>2235</v>
      </c>
      <c r="I2807" s="40" t="s">
        <v>18</v>
      </c>
      <c r="J2807" s="40" t="str">
        <f>HYPERLINK("https://stock.pstatic.net/stock-research/company/18/20260511_company_498793000.pdf","PDF")</f>
        <v>PDF</v>
      </c>
      <c r="K2807" s="12" t="s">
        <v>2236</v>
      </c>
      <c r="L2807" s="36">
        <v>0.39250191277735269</v>
      </c>
    </row>
    <row r="2808" spans="1:12" x14ac:dyDescent="0.45">
      <c r="A2808" s="12" t="s">
        <v>2178</v>
      </c>
      <c r="B2808" s="12" t="s">
        <v>272</v>
      </c>
      <c r="C2808" s="13" t="s">
        <v>273</v>
      </c>
      <c r="D2808" s="13" t="s">
        <v>158</v>
      </c>
      <c r="E2808" s="12" t="s">
        <v>35</v>
      </c>
      <c r="F2808" s="14">
        <v>450000</v>
      </c>
      <c r="G2808" s="14">
        <v>341000</v>
      </c>
      <c r="H2808" s="13" t="s">
        <v>2237</v>
      </c>
      <c r="I2808" s="40" t="s">
        <v>18</v>
      </c>
      <c r="J2808" s="40" t="str">
        <f>HYPERLINK("https://stock.pstatic.net/stock-research/company/18/20260511_company_397747000.pdf","PDF")</f>
        <v>PDF</v>
      </c>
      <c r="K2808" s="12" t="s">
        <v>2238</v>
      </c>
      <c r="L2808" s="36">
        <v>0.31964809384164222</v>
      </c>
    </row>
    <row r="2809" spans="1:12" x14ac:dyDescent="0.45">
      <c r="A2809" s="12" t="s">
        <v>2178</v>
      </c>
      <c r="B2809" s="12" t="s">
        <v>756</v>
      </c>
      <c r="C2809" s="13" t="s">
        <v>757</v>
      </c>
      <c r="D2809" s="13" t="s">
        <v>158</v>
      </c>
      <c r="E2809" s="12" t="s">
        <v>35</v>
      </c>
      <c r="F2809" s="14">
        <v>125000</v>
      </c>
      <c r="G2809" s="14">
        <v>93600</v>
      </c>
      <c r="H2809" s="13" t="s">
        <v>2239</v>
      </c>
      <c r="I2809" s="40" t="s">
        <v>18</v>
      </c>
      <c r="J2809" s="40" t="str">
        <f>HYPERLINK("https://stock.pstatic.net/stock-research/company/18/20260511_company_767469000.pdf","PDF")</f>
        <v>PDF</v>
      </c>
      <c r="K2809" s="12" t="s">
        <v>2240</v>
      </c>
      <c r="L2809" s="36">
        <v>0.33547008547008539</v>
      </c>
    </row>
    <row r="2810" spans="1:12" x14ac:dyDescent="0.45">
      <c r="A2810" s="12" t="s">
        <v>2178</v>
      </c>
      <c r="B2810" s="12" t="s">
        <v>698</v>
      </c>
      <c r="C2810" s="13" t="s">
        <v>699</v>
      </c>
      <c r="D2810" s="13" t="s">
        <v>158</v>
      </c>
      <c r="E2810" s="12" t="s">
        <v>35</v>
      </c>
      <c r="F2810" s="14">
        <v>830000</v>
      </c>
      <c r="G2810" s="14">
        <v>550000</v>
      </c>
      <c r="H2810" s="13" t="s">
        <v>2241</v>
      </c>
      <c r="I2810" s="40" t="s">
        <v>18</v>
      </c>
      <c r="J2810" s="40" t="str">
        <f>HYPERLINK("https://stock.pstatic.net/stock-research/company/18/20260511_company_41834000.pdf","PDF")</f>
        <v>PDF</v>
      </c>
      <c r="K2810" s="12" t="s">
        <v>2242</v>
      </c>
      <c r="L2810" s="36">
        <v>0.50909090909090904</v>
      </c>
    </row>
    <row r="2811" spans="1:12" x14ac:dyDescent="0.45">
      <c r="A2811" s="12" t="s">
        <v>2178</v>
      </c>
      <c r="B2811" s="12" t="s">
        <v>2243</v>
      </c>
      <c r="C2811" s="13" t="s">
        <v>2244</v>
      </c>
      <c r="D2811" s="13" t="s">
        <v>158</v>
      </c>
      <c r="E2811" s="12" t="s">
        <v>50</v>
      </c>
      <c r="F2811" s="13"/>
      <c r="G2811" s="14">
        <v>8440</v>
      </c>
      <c r="H2811" s="13" t="s">
        <v>2245</v>
      </c>
      <c r="I2811" s="40" t="s">
        <v>18</v>
      </c>
      <c r="J2811" s="40" t="str">
        <f>HYPERLINK("https://stock.pstatic.net/stock-research/company/18/20260511_company_224720000.pdf","PDF")</f>
        <v>PDF</v>
      </c>
      <c r="K2811" s="12" t="s">
        <v>2246</v>
      </c>
      <c r="L2811" s="12"/>
    </row>
    <row r="2812" spans="1:12" x14ac:dyDescent="0.45">
      <c r="A2812" s="12" t="s">
        <v>2178</v>
      </c>
      <c r="B2812" s="12" t="s">
        <v>375</v>
      </c>
      <c r="C2812" s="13" t="s">
        <v>376</v>
      </c>
      <c r="D2812" s="13" t="s">
        <v>15</v>
      </c>
      <c r="E2812" s="12" t="s">
        <v>16</v>
      </c>
      <c r="F2812" s="14">
        <v>26000</v>
      </c>
      <c r="G2812" s="14">
        <v>20950</v>
      </c>
      <c r="H2812" s="13" t="s">
        <v>2247</v>
      </c>
      <c r="I2812" s="40" t="s">
        <v>18</v>
      </c>
      <c r="J2812" s="40" t="str">
        <f>HYPERLINK("https://stock.pstatic.net/stock-research/company/56/20260511_company_655243000.pdf","PDF")</f>
        <v>PDF</v>
      </c>
      <c r="K2812" s="12" t="s">
        <v>2248</v>
      </c>
      <c r="L2812" s="36">
        <v>0.24105011933174231</v>
      </c>
    </row>
    <row r="2813" spans="1:12" x14ac:dyDescent="0.45">
      <c r="A2813" s="12" t="s">
        <v>2178</v>
      </c>
      <c r="B2813" s="12" t="s">
        <v>334</v>
      </c>
      <c r="C2813" s="13" t="s">
        <v>335</v>
      </c>
      <c r="D2813" s="13" t="s">
        <v>15</v>
      </c>
      <c r="E2813" s="12" t="s">
        <v>16</v>
      </c>
      <c r="F2813" s="14">
        <v>2700000</v>
      </c>
      <c r="G2813" s="14">
        <v>1686000</v>
      </c>
      <c r="H2813" s="13" t="s">
        <v>2249</v>
      </c>
      <c r="I2813" s="40" t="s">
        <v>18</v>
      </c>
      <c r="J2813" s="40" t="str">
        <f>HYPERLINK("https://stock.pstatic.net/stock-research/company/56/20260511_company_887759000.pdf","PDF")</f>
        <v>PDF</v>
      </c>
      <c r="K2813" s="12" t="s">
        <v>2250</v>
      </c>
      <c r="L2813" s="36">
        <v>0.60142348754448394</v>
      </c>
    </row>
    <row r="2814" spans="1:12" x14ac:dyDescent="0.45">
      <c r="A2814" s="12" t="s">
        <v>2178</v>
      </c>
      <c r="B2814" s="12" t="s">
        <v>13</v>
      </c>
      <c r="C2814" s="13" t="s">
        <v>14</v>
      </c>
      <c r="D2814" s="13" t="s">
        <v>15</v>
      </c>
      <c r="E2814" s="12" t="s">
        <v>16</v>
      </c>
      <c r="F2814" s="14">
        <v>400000</v>
      </c>
      <c r="G2814" s="14">
        <v>268500</v>
      </c>
      <c r="H2814" s="13" t="s">
        <v>2251</v>
      </c>
      <c r="I2814" s="40" t="s">
        <v>18</v>
      </c>
      <c r="J2814" s="40" t="str">
        <f>HYPERLINK("https://stock.pstatic.net/stock-research/company/56/20260511_company_952492000.pdf","PDF")</f>
        <v>PDF</v>
      </c>
      <c r="K2814" s="12" t="s">
        <v>2252</v>
      </c>
      <c r="L2814" s="36">
        <v>0.48975791433891991</v>
      </c>
    </row>
    <row r="2815" spans="1:12" x14ac:dyDescent="0.45">
      <c r="A2815" s="12" t="s">
        <v>2178</v>
      </c>
      <c r="B2815" s="12" t="s">
        <v>2253</v>
      </c>
      <c r="C2815" s="13" t="s">
        <v>2254</v>
      </c>
      <c r="D2815" s="13" t="s">
        <v>15</v>
      </c>
      <c r="E2815" s="12" t="s">
        <v>385</v>
      </c>
      <c r="F2815" s="14">
        <v>7800</v>
      </c>
      <c r="G2815" s="14">
        <v>7830</v>
      </c>
      <c r="H2815" s="13" t="s">
        <v>2255</v>
      </c>
      <c r="I2815" s="40" t="s">
        <v>18</v>
      </c>
      <c r="J2815" s="40" t="str">
        <f>HYPERLINK("https://stock.pstatic.net/stock-research/company/56/20260511_company_934951000.pdf","PDF")</f>
        <v>PDF</v>
      </c>
      <c r="K2815" s="12" t="s">
        <v>2256</v>
      </c>
      <c r="L2815" s="36">
        <v>-3.831417624521073E-3</v>
      </c>
    </row>
    <row r="2816" spans="1:12" x14ac:dyDescent="0.45">
      <c r="A2816" s="12" t="s">
        <v>2178</v>
      </c>
      <c r="B2816" s="12" t="s">
        <v>2217</v>
      </c>
      <c r="C2816" s="13" t="s">
        <v>2218</v>
      </c>
      <c r="D2816" s="13" t="s">
        <v>92</v>
      </c>
      <c r="E2816" s="12" t="s">
        <v>35</v>
      </c>
      <c r="F2816" s="14">
        <v>120000</v>
      </c>
      <c r="G2816" s="14">
        <v>75500</v>
      </c>
      <c r="H2816" s="13" t="s">
        <v>2257</v>
      </c>
      <c r="I2816" s="40" t="s">
        <v>18</v>
      </c>
      <c r="J2816" s="40" t="str">
        <f>HYPERLINK("https://stock.pstatic.net/stock-research/company/63/20260511_company_25619000.pdf","PDF")</f>
        <v>PDF</v>
      </c>
      <c r="K2816" s="12" t="s">
        <v>2258</v>
      </c>
      <c r="L2816" s="36">
        <v>0.58940397350993379</v>
      </c>
    </row>
    <row r="2817" spans="1:12" x14ac:dyDescent="0.45">
      <c r="A2817" s="12" t="s">
        <v>2178</v>
      </c>
      <c r="B2817" s="12" t="s">
        <v>362</v>
      </c>
      <c r="C2817" s="13" t="s">
        <v>363</v>
      </c>
      <c r="D2817" s="13" t="s">
        <v>83</v>
      </c>
      <c r="E2817" s="12" t="s">
        <v>35</v>
      </c>
      <c r="F2817" s="14">
        <v>130000</v>
      </c>
      <c r="G2817" s="14">
        <v>104600</v>
      </c>
      <c r="H2817" s="13" t="s">
        <v>1423</v>
      </c>
      <c r="I2817" s="40" t="s">
        <v>18</v>
      </c>
      <c r="J2817" s="40" t="str">
        <f>HYPERLINK("https://stock.pstatic.net/stock-research/company/15/20260511_company_122501000.pdf","PDF")</f>
        <v>PDF</v>
      </c>
      <c r="K2817" s="12" t="s">
        <v>2259</v>
      </c>
      <c r="L2817" s="36">
        <v>0.24282982791586999</v>
      </c>
    </row>
    <row r="2818" spans="1:12" x14ac:dyDescent="0.45">
      <c r="A2818" s="12" t="s">
        <v>2178</v>
      </c>
      <c r="B2818" s="12" t="s">
        <v>2225</v>
      </c>
      <c r="C2818" s="13" t="s">
        <v>2226</v>
      </c>
      <c r="D2818" s="13" t="s">
        <v>83</v>
      </c>
      <c r="E2818" s="12" t="s">
        <v>35</v>
      </c>
      <c r="F2818" s="14">
        <v>1100000</v>
      </c>
      <c r="G2818" s="14">
        <v>866000</v>
      </c>
      <c r="H2818" s="13" t="s">
        <v>2260</v>
      </c>
      <c r="I2818" s="40" t="s">
        <v>18</v>
      </c>
      <c r="J2818" s="40" t="str">
        <f>HYPERLINK("https://stock.pstatic.net/stock-research/company/15/20260511_company_903213000.pdf","PDF")</f>
        <v>PDF</v>
      </c>
      <c r="K2818" s="12" t="s">
        <v>2261</v>
      </c>
      <c r="L2818" s="36">
        <v>0.2702078521939954</v>
      </c>
    </row>
    <row r="2819" spans="1:12" x14ac:dyDescent="0.45">
      <c r="A2819" s="12" t="s">
        <v>2178</v>
      </c>
      <c r="B2819" s="12" t="s">
        <v>2262</v>
      </c>
      <c r="C2819" s="13" t="s">
        <v>2263</v>
      </c>
      <c r="D2819" s="13" t="s">
        <v>83</v>
      </c>
      <c r="E2819" s="12" t="s">
        <v>35</v>
      </c>
      <c r="F2819" s="14">
        <v>10000</v>
      </c>
      <c r="G2819" s="14">
        <v>5750</v>
      </c>
      <c r="H2819" s="13" t="s">
        <v>2264</v>
      </c>
      <c r="I2819" s="40" t="s">
        <v>18</v>
      </c>
      <c r="J2819" s="40" t="str">
        <f>HYPERLINK("https://stock.pstatic.net/stock-research/company/15/20260511_company_417480000.pdf","PDF")</f>
        <v>PDF</v>
      </c>
      <c r="K2819" s="12" t="s">
        <v>2265</v>
      </c>
      <c r="L2819" s="36">
        <v>0.73913043478260865</v>
      </c>
    </row>
    <row r="2820" spans="1:12" x14ac:dyDescent="0.45">
      <c r="A2820" s="12" t="s">
        <v>2178</v>
      </c>
      <c r="B2820" s="12" t="s">
        <v>2266</v>
      </c>
      <c r="C2820" s="13" t="s">
        <v>2267</v>
      </c>
      <c r="D2820" s="13" t="s">
        <v>83</v>
      </c>
      <c r="E2820" s="12" t="s">
        <v>35</v>
      </c>
      <c r="F2820" s="14">
        <v>196000</v>
      </c>
      <c r="G2820" s="14">
        <v>171800</v>
      </c>
      <c r="H2820" s="13" t="s">
        <v>2268</v>
      </c>
      <c r="I2820" s="40" t="s">
        <v>18</v>
      </c>
      <c r="J2820" s="40" t="str">
        <f>HYPERLINK("https://stock.pstatic.net/stock-research/company/15/20260511_company_793858000.pdf","PDF")</f>
        <v>PDF</v>
      </c>
      <c r="K2820" s="12" t="s">
        <v>2269</v>
      </c>
      <c r="L2820" s="36">
        <v>0.14086146682188591</v>
      </c>
    </row>
    <row r="2821" spans="1:12" x14ac:dyDescent="0.45">
      <c r="A2821" s="12" t="s">
        <v>2178</v>
      </c>
      <c r="B2821" s="12" t="s">
        <v>541</v>
      </c>
      <c r="C2821" s="13" t="s">
        <v>542</v>
      </c>
      <c r="D2821" s="13" t="s">
        <v>83</v>
      </c>
      <c r="E2821" s="12" t="s">
        <v>35</v>
      </c>
      <c r="F2821" s="14">
        <v>110000</v>
      </c>
      <c r="G2821" s="14">
        <v>93200</v>
      </c>
      <c r="H2821" s="13" t="s">
        <v>2270</v>
      </c>
      <c r="I2821" s="40" t="s">
        <v>18</v>
      </c>
      <c r="J2821" s="40" t="str">
        <f>HYPERLINK("https://stock.pstatic.net/stock-research/company/15/20260511_company_864905000.pdf","PDF")</f>
        <v>PDF</v>
      </c>
      <c r="K2821" s="12" t="s">
        <v>2271</v>
      </c>
      <c r="L2821" s="36">
        <v>0.18025751072961371</v>
      </c>
    </row>
    <row r="2822" spans="1:12" x14ac:dyDescent="0.45">
      <c r="A2822" s="12" t="s">
        <v>2178</v>
      </c>
      <c r="B2822" s="12" t="s">
        <v>1678</v>
      </c>
      <c r="C2822" s="13" t="s">
        <v>1679</v>
      </c>
      <c r="D2822" s="13" t="s">
        <v>83</v>
      </c>
      <c r="E2822" s="12" t="s">
        <v>35</v>
      </c>
      <c r="F2822" s="14">
        <v>75000</v>
      </c>
      <c r="G2822" s="14">
        <v>51300</v>
      </c>
      <c r="H2822" s="13" t="s">
        <v>2272</v>
      </c>
      <c r="I2822" s="40" t="s">
        <v>18</v>
      </c>
      <c r="J2822" s="40" t="str">
        <f>HYPERLINK("https://stock.pstatic.net/stock-research/company/15/20260511_company_135680000.pdf","PDF")</f>
        <v>PDF</v>
      </c>
      <c r="K2822" s="12" t="s">
        <v>2273</v>
      </c>
      <c r="L2822" s="36">
        <v>0.46198830409356723</v>
      </c>
    </row>
    <row r="2823" spans="1:12" x14ac:dyDescent="0.45">
      <c r="A2823" s="12" t="s">
        <v>2178</v>
      </c>
      <c r="B2823" s="12" t="s">
        <v>1660</v>
      </c>
      <c r="C2823" s="13" t="s">
        <v>1661</v>
      </c>
      <c r="D2823" s="13" t="s">
        <v>83</v>
      </c>
      <c r="E2823" s="12" t="s">
        <v>35</v>
      </c>
      <c r="F2823" s="14">
        <v>54000</v>
      </c>
      <c r="G2823" s="14">
        <v>33800</v>
      </c>
      <c r="H2823" s="13" t="s">
        <v>2274</v>
      </c>
      <c r="I2823" s="40" t="s">
        <v>18</v>
      </c>
      <c r="J2823" s="40" t="str">
        <f>HYPERLINK("https://stock.pstatic.net/stock-research/company/15/20260511_company_20268000.pdf","PDF")</f>
        <v>PDF</v>
      </c>
      <c r="K2823" s="12" t="s">
        <v>2275</v>
      </c>
      <c r="L2823" s="36">
        <v>0.59763313609467461</v>
      </c>
    </row>
    <row r="2824" spans="1:12" x14ac:dyDescent="0.45">
      <c r="A2824" s="12" t="s">
        <v>2178</v>
      </c>
      <c r="B2824" s="12" t="s">
        <v>537</v>
      </c>
      <c r="C2824" s="13" t="s">
        <v>538</v>
      </c>
      <c r="D2824" s="13" t="s">
        <v>83</v>
      </c>
      <c r="E2824" s="12" t="s">
        <v>35</v>
      </c>
      <c r="F2824" s="14">
        <v>20000</v>
      </c>
      <c r="G2824" s="14">
        <v>15370</v>
      </c>
      <c r="H2824" s="13" t="s">
        <v>2276</v>
      </c>
      <c r="I2824" s="40" t="s">
        <v>18</v>
      </c>
      <c r="J2824" s="40" t="str">
        <f>HYPERLINK("https://stock.pstatic.net/stock-research/company/15/20260511_company_228730000.pdf","PDF")</f>
        <v>PDF</v>
      </c>
      <c r="K2824" s="12" t="s">
        <v>2277</v>
      </c>
      <c r="L2824" s="36">
        <v>0.30123617436564742</v>
      </c>
    </row>
    <row r="2825" spans="1:12" x14ac:dyDescent="0.45">
      <c r="A2825" s="12" t="s">
        <v>2178</v>
      </c>
      <c r="B2825" s="12" t="s">
        <v>2278</v>
      </c>
      <c r="C2825" s="13" t="s">
        <v>2279</v>
      </c>
      <c r="D2825" s="13" t="s">
        <v>83</v>
      </c>
      <c r="E2825" s="12" t="s">
        <v>642</v>
      </c>
      <c r="F2825" s="14">
        <v>2800</v>
      </c>
      <c r="G2825" s="14">
        <v>2265</v>
      </c>
      <c r="H2825" s="13" t="s">
        <v>2280</v>
      </c>
      <c r="I2825" s="40" t="s">
        <v>18</v>
      </c>
      <c r="J2825" s="40" t="str">
        <f>HYPERLINK("https://stock.pstatic.net/stock-research/company/15/20260511_company_842525000.pdf","PDF")</f>
        <v>PDF</v>
      </c>
      <c r="K2825" s="12" t="s">
        <v>2281</v>
      </c>
      <c r="L2825" s="36">
        <v>0.23620309050772631</v>
      </c>
    </row>
    <row r="2826" spans="1:12" x14ac:dyDescent="0.45">
      <c r="A2826" s="12" t="s">
        <v>2178</v>
      </c>
      <c r="B2826" s="12" t="s">
        <v>1097</v>
      </c>
      <c r="C2826" s="13" t="s">
        <v>1098</v>
      </c>
      <c r="D2826" s="13" t="s">
        <v>83</v>
      </c>
      <c r="E2826" s="12" t="s">
        <v>35</v>
      </c>
      <c r="F2826" s="14">
        <v>170000</v>
      </c>
      <c r="G2826" s="14">
        <v>133900</v>
      </c>
      <c r="H2826" s="13" t="s">
        <v>2282</v>
      </c>
      <c r="I2826" s="40" t="s">
        <v>18</v>
      </c>
      <c r="J2826" s="40" t="str">
        <f>HYPERLINK("https://stock.pstatic.net/stock-research/company/15/20260511_company_670872000.pdf","PDF")</f>
        <v>PDF</v>
      </c>
      <c r="K2826" s="12" t="s">
        <v>2283</v>
      </c>
      <c r="L2826" s="36">
        <v>0.26960418222554139</v>
      </c>
    </row>
    <row r="2827" spans="1:12" x14ac:dyDescent="0.45">
      <c r="A2827" s="12" t="s">
        <v>2178</v>
      </c>
      <c r="B2827" s="12" t="s">
        <v>1849</v>
      </c>
      <c r="C2827" s="13" t="s">
        <v>1850</v>
      </c>
      <c r="D2827" s="13" t="s">
        <v>83</v>
      </c>
      <c r="E2827" s="12" t="s">
        <v>35</v>
      </c>
      <c r="F2827" s="14">
        <v>27000</v>
      </c>
      <c r="G2827" s="14">
        <v>20200</v>
      </c>
      <c r="H2827" s="13" t="s">
        <v>2284</v>
      </c>
      <c r="I2827" s="40" t="s">
        <v>18</v>
      </c>
      <c r="J2827" s="40" t="str">
        <f>HYPERLINK("https://stock.pstatic.net/stock-research/company/15/20260511_company_552650000.pdf","PDF")</f>
        <v>PDF</v>
      </c>
      <c r="K2827" s="12" t="s">
        <v>2285</v>
      </c>
      <c r="L2827" s="36">
        <v>0.33663366336633671</v>
      </c>
    </row>
    <row r="2828" spans="1:12" x14ac:dyDescent="0.45">
      <c r="A2828" s="12" t="s">
        <v>2178</v>
      </c>
      <c r="B2828" s="12" t="s">
        <v>2286</v>
      </c>
      <c r="C2828" s="13" t="s">
        <v>2287</v>
      </c>
      <c r="D2828" s="13" t="s">
        <v>83</v>
      </c>
      <c r="E2828" s="12" t="s">
        <v>35</v>
      </c>
      <c r="F2828" s="14">
        <v>7000</v>
      </c>
      <c r="G2828" s="14">
        <v>4990</v>
      </c>
      <c r="H2828" s="13" t="s">
        <v>2288</v>
      </c>
      <c r="I2828" s="40" t="s">
        <v>18</v>
      </c>
      <c r="J2828" s="40" t="str">
        <f>HYPERLINK("https://stock.pstatic.net/stock-research/company/15/20260511_company_445850000.pdf","PDF")</f>
        <v>PDF</v>
      </c>
      <c r="K2828" s="12" t="s">
        <v>2289</v>
      </c>
      <c r="L2828" s="36">
        <v>0.4028056112224449</v>
      </c>
    </row>
    <row r="2829" spans="1:12" x14ac:dyDescent="0.45">
      <c r="A2829" s="12" t="s">
        <v>2178</v>
      </c>
      <c r="B2829" s="12" t="s">
        <v>2290</v>
      </c>
      <c r="C2829" s="13" t="s">
        <v>2291</v>
      </c>
      <c r="D2829" s="13" t="s">
        <v>83</v>
      </c>
      <c r="E2829" s="12" t="s">
        <v>642</v>
      </c>
      <c r="F2829" s="14">
        <v>5600</v>
      </c>
      <c r="G2829" s="14">
        <v>4785</v>
      </c>
      <c r="H2829" s="13" t="s">
        <v>2292</v>
      </c>
      <c r="I2829" s="40" t="s">
        <v>18</v>
      </c>
      <c r="J2829" s="40" t="str">
        <f>HYPERLINK("https://stock.pstatic.net/stock-research/company/15/20260511_company_629580000.pdf","PDF")</f>
        <v>PDF</v>
      </c>
      <c r="K2829" s="12" t="s">
        <v>2293</v>
      </c>
      <c r="L2829" s="36">
        <v>0.17032392894461859</v>
      </c>
    </row>
    <row r="2830" spans="1:12" x14ac:dyDescent="0.45">
      <c r="A2830" s="12" t="s">
        <v>2178</v>
      </c>
      <c r="B2830" s="12" t="s">
        <v>1051</v>
      </c>
      <c r="C2830" s="13" t="s">
        <v>1052</v>
      </c>
      <c r="D2830" s="13" t="s">
        <v>83</v>
      </c>
      <c r="E2830" s="12" t="s">
        <v>35</v>
      </c>
      <c r="F2830" s="14">
        <v>93000</v>
      </c>
      <c r="G2830" s="14">
        <v>62100</v>
      </c>
      <c r="H2830" s="13" t="s">
        <v>2294</v>
      </c>
      <c r="I2830" s="40" t="s">
        <v>18</v>
      </c>
      <c r="J2830" s="40" t="str">
        <f>HYPERLINK("https://stock.pstatic.net/stock-research/company/15/20260511_company_421837000.pdf","PDF")</f>
        <v>PDF</v>
      </c>
      <c r="K2830" s="12" t="s">
        <v>2295</v>
      </c>
      <c r="L2830" s="36">
        <v>0.49758454106280192</v>
      </c>
    </row>
    <row r="2831" spans="1:12" x14ac:dyDescent="0.45">
      <c r="A2831" s="12" t="s">
        <v>2178</v>
      </c>
      <c r="B2831" s="12" t="s">
        <v>272</v>
      </c>
      <c r="C2831" s="13" t="s">
        <v>273</v>
      </c>
      <c r="D2831" s="13" t="s">
        <v>83</v>
      </c>
      <c r="E2831" s="12" t="s">
        <v>35</v>
      </c>
      <c r="F2831" s="14">
        <v>620000</v>
      </c>
      <c r="G2831" s="14">
        <v>341000</v>
      </c>
      <c r="H2831" s="13" t="s">
        <v>2296</v>
      </c>
      <c r="I2831" s="40" t="s">
        <v>18</v>
      </c>
      <c r="J2831" s="40" t="str">
        <f>HYPERLINK("https://stock.pstatic.net/stock-research/company/15/20260511_company_868096000.pdf","PDF")</f>
        <v>PDF</v>
      </c>
      <c r="K2831" s="12" t="s">
        <v>2297</v>
      </c>
      <c r="L2831" s="36">
        <v>0.81818181818181823</v>
      </c>
    </row>
    <row r="2832" spans="1:12" x14ac:dyDescent="0.45">
      <c r="A2832" s="12" t="s">
        <v>2178</v>
      </c>
      <c r="B2832" s="12" t="s">
        <v>485</v>
      </c>
      <c r="C2832" s="13" t="s">
        <v>486</v>
      </c>
      <c r="D2832" s="13" t="s">
        <v>15</v>
      </c>
      <c r="E2832" s="12" t="s">
        <v>16</v>
      </c>
      <c r="F2832" s="14">
        <v>220000</v>
      </c>
      <c r="G2832" s="14">
        <v>138100</v>
      </c>
      <c r="H2832" s="13" t="s">
        <v>2298</v>
      </c>
      <c r="I2832" s="40" t="s">
        <v>18</v>
      </c>
      <c r="J2832" s="40" t="str">
        <f>HYPERLINK("https://stock.pstatic.net/stock-research/company/56/20260511_company_427793000.pdf","PDF")</f>
        <v>PDF</v>
      </c>
      <c r="K2832" s="12" t="s">
        <v>2299</v>
      </c>
      <c r="L2832" s="36">
        <v>0.59304851556842864</v>
      </c>
    </row>
    <row r="2833" spans="1:12" x14ac:dyDescent="0.45">
      <c r="A2833" s="12" t="s">
        <v>2178</v>
      </c>
      <c r="B2833" s="12" t="s">
        <v>756</v>
      </c>
      <c r="C2833" s="13" t="s">
        <v>757</v>
      </c>
      <c r="D2833" s="13" t="s">
        <v>15</v>
      </c>
      <c r="E2833" s="12" t="s">
        <v>16</v>
      </c>
      <c r="F2833" s="14">
        <v>120000</v>
      </c>
      <c r="G2833" s="14">
        <v>93600</v>
      </c>
      <c r="H2833" s="13" t="s">
        <v>2300</v>
      </c>
      <c r="I2833" s="40" t="s">
        <v>18</v>
      </c>
      <c r="J2833" s="40" t="str">
        <f>HYPERLINK("https://stock.pstatic.net/stock-research/company/56/20260511_company_23752000.pdf","PDF")</f>
        <v>PDF</v>
      </c>
      <c r="K2833" s="12" t="s">
        <v>2301</v>
      </c>
      <c r="L2833" s="36">
        <v>0.28205128205128199</v>
      </c>
    </row>
    <row r="2834" spans="1:12" x14ac:dyDescent="0.45">
      <c r="A2834" s="12" t="s">
        <v>2178</v>
      </c>
      <c r="B2834" s="12" t="s">
        <v>2191</v>
      </c>
      <c r="C2834" s="13" t="s">
        <v>2192</v>
      </c>
      <c r="D2834" s="13" t="s">
        <v>15</v>
      </c>
      <c r="E2834" s="12" t="s">
        <v>16</v>
      </c>
      <c r="F2834" s="14">
        <v>120000</v>
      </c>
      <c r="G2834" s="14">
        <v>76800</v>
      </c>
      <c r="H2834" s="13" t="s">
        <v>2302</v>
      </c>
      <c r="I2834" s="40" t="s">
        <v>18</v>
      </c>
      <c r="J2834" s="40" t="str">
        <f>HYPERLINK("https://stock.pstatic.net/stock-research/company/56/20260511_company_950255000.pdf","PDF")</f>
        <v>PDF</v>
      </c>
      <c r="K2834" s="12" t="s">
        <v>2303</v>
      </c>
      <c r="L2834" s="36">
        <v>0.5625</v>
      </c>
    </row>
    <row r="2835" spans="1:12" x14ac:dyDescent="0.45">
      <c r="A2835" s="12" t="s">
        <v>2178</v>
      </c>
      <c r="B2835" s="12" t="s">
        <v>2304</v>
      </c>
      <c r="C2835" s="13" t="s">
        <v>2305</v>
      </c>
      <c r="D2835" s="13" t="s">
        <v>92</v>
      </c>
      <c r="E2835" s="12" t="s">
        <v>35</v>
      </c>
      <c r="F2835" s="14">
        <v>20000</v>
      </c>
      <c r="G2835" s="14">
        <v>16680</v>
      </c>
      <c r="H2835" s="13" t="s">
        <v>2306</v>
      </c>
      <c r="I2835" s="40" t="s">
        <v>18</v>
      </c>
      <c r="J2835" s="40" t="str">
        <f>HYPERLINK("https://stock.pstatic.net/stock-research/company/63/20260511_company_669777000.pdf","PDF")</f>
        <v>PDF</v>
      </c>
      <c r="K2835" s="12" t="s">
        <v>2307</v>
      </c>
      <c r="L2835" s="36">
        <v>0.19904076738609111</v>
      </c>
    </row>
    <row r="2836" spans="1:12" x14ac:dyDescent="0.45">
      <c r="A2836" s="12" t="s">
        <v>2178</v>
      </c>
      <c r="B2836" s="12" t="s">
        <v>2308</v>
      </c>
      <c r="C2836" s="13" t="s">
        <v>2309</v>
      </c>
      <c r="D2836" s="13" t="s">
        <v>92</v>
      </c>
      <c r="E2836" s="12" t="s">
        <v>35</v>
      </c>
      <c r="F2836" s="14">
        <v>28000</v>
      </c>
      <c r="G2836" s="14">
        <v>19970</v>
      </c>
      <c r="H2836" s="13" t="s">
        <v>2310</v>
      </c>
      <c r="I2836" s="40" t="s">
        <v>18</v>
      </c>
      <c r="J2836" s="40" t="str">
        <f>HYPERLINK("https://stock.pstatic.net/stock-research/company/63/20260511_company_621829000.pdf","PDF")</f>
        <v>PDF</v>
      </c>
      <c r="K2836" s="12" t="s">
        <v>2311</v>
      </c>
      <c r="L2836" s="36">
        <v>0.40210315473209812</v>
      </c>
    </row>
    <row r="2837" spans="1:12" x14ac:dyDescent="0.45">
      <c r="A2837" s="12" t="s">
        <v>2178</v>
      </c>
      <c r="B2837" s="12" t="s">
        <v>2312</v>
      </c>
      <c r="C2837" s="13" t="s">
        <v>2313</v>
      </c>
      <c r="D2837" s="13" t="s">
        <v>15</v>
      </c>
      <c r="E2837" s="12" t="s">
        <v>16</v>
      </c>
      <c r="F2837" s="14">
        <v>44000</v>
      </c>
      <c r="G2837" s="14">
        <v>24400</v>
      </c>
      <c r="H2837" s="13" t="s">
        <v>2314</v>
      </c>
      <c r="I2837" s="40" t="s">
        <v>18</v>
      </c>
      <c r="J2837" s="40" t="str">
        <f>HYPERLINK("https://stock.pstatic.net/stock-research/company/56/20260511_company_260228000.pdf","PDF")</f>
        <v>PDF</v>
      </c>
      <c r="K2837" s="12" t="s">
        <v>2315</v>
      </c>
      <c r="L2837" s="36">
        <v>0.80327868852459017</v>
      </c>
    </row>
    <row r="2838" spans="1:12" x14ac:dyDescent="0.45">
      <c r="A2838" s="12" t="s">
        <v>2178</v>
      </c>
      <c r="B2838" s="12" t="s">
        <v>756</v>
      </c>
      <c r="C2838" s="13" t="s">
        <v>757</v>
      </c>
      <c r="D2838" s="13" t="s">
        <v>179</v>
      </c>
      <c r="E2838" s="12" t="s">
        <v>16</v>
      </c>
      <c r="F2838" s="14">
        <v>120000</v>
      </c>
      <c r="G2838" s="14">
        <v>93600</v>
      </c>
      <c r="H2838" s="13" t="s">
        <v>2316</v>
      </c>
      <c r="I2838" s="40" t="s">
        <v>18</v>
      </c>
      <c r="J2838" s="40" t="str">
        <f>HYPERLINK("https://stock.pstatic.net/stock-research/company/64/20260511_company_867094000.pdf","PDF")</f>
        <v>PDF</v>
      </c>
      <c r="K2838" s="12" t="s">
        <v>2317</v>
      </c>
      <c r="L2838" s="36">
        <v>0.28205128205128199</v>
      </c>
    </row>
    <row r="2839" spans="1:12" x14ac:dyDescent="0.45">
      <c r="A2839" s="12" t="s">
        <v>2178</v>
      </c>
      <c r="B2839" s="12" t="s">
        <v>272</v>
      </c>
      <c r="C2839" s="13" t="s">
        <v>273</v>
      </c>
      <c r="D2839" s="13" t="s">
        <v>15</v>
      </c>
      <c r="E2839" s="12" t="s">
        <v>16</v>
      </c>
      <c r="F2839" s="14">
        <v>600000</v>
      </c>
      <c r="G2839" s="14">
        <v>341000</v>
      </c>
      <c r="H2839" s="13" t="s">
        <v>2318</v>
      </c>
      <c r="I2839" s="40" t="s">
        <v>18</v>
      </c>
      <c r="J2839" s="40" t="str">
        <f>HYPERLINK("https://stock.pstatic.net/stock-research/company/56/20260511_company_928729000.pdf","PDF")</f>
        <v>PDF</v>
      </c>
      <c r="K2839" s="12" t="s">
        <v>2319</v>
      </c>
      <c r="L2839" s="36">
        <v>0.7595307917888563</v>
      </c>
    </row>
    <row r="2840" spans="1:12" x14ac:dyDescent="0.45">
      <c r="A2840" s="12" t="s">
        <v>2178</v>
      </c>
      <c r="B2840" s="12" t="s">
        <v>370</v>
      </c>
      <c r="C2840" s="13" t="s">
        <v>371</v>
      </c>
      <c r="D2840" s="13" t="s">
        <v>179</v>
      </c>
      <c r="E2840" s="12" t="s">
        <v>16</v>
      </c>
      <c r="F2840" s="14">
        <v>82000</v>
      </c>
      <c r="G2840" s="14">
        <v>50200</v>
      </c>
      <c r="H2840" s="13" t="s">
        <v>2320</v>
      </c>
      <c r="I2840" s="40" t="s">
        <v>18</v>
      </c>
      <c r="J2840" s="40" t="str">
        <f>HYPERLINK("https://stock.pstatic.net/stock-research/company/64/20260511_company_902719000.pdf","PDF")</f>
        <v>PDF</v>
      </c>
      <c r="K2840" s="12" t="s">
        <v>2321</v>
      </c>
      <c r="L2840" s="36">
        <v>0.63346613545816732</v>
      </c>
    </row>
    <row r="2841" spans="1:12" x14ac:dyDescent="0.45">
      <c r="A2841" s="12" t="s">
        <v>2178</v>
      </c>
      <c r="B2841" s="12" t="s">
        <v>1789</v>
      </c>
      <c r="C2841" s="13" t="s">
        <v>1790</v>
      </c>
      <c r="D2841" s="13" t="s">
        <v>179</v>
      </c>
      <c r="E2841" s="12" t="s">
        <v>16</v>
      </c>
      <c r="F2841" s="14">
        <v>150000</v>
      </c>
      <c r="G2841" s="14">
        <v>92900</v>
      </c>
      <c r="H2841" s="13" t="s">
        <v>2322</v>
      </c>
      <c r="I2841" s="40" t="s">
        <v>18</v>
      </c>
      <c r="J2841" s="40" t="str">
        <f>HYPERLINK("https://stock.pstatic.net/stock-research/company/64/20260511_company_747716000.pdf","PDF")</f>
        <v>PDF</v>
      </c>
      <c r="K2841" s="12" t="s">
        <v>2323</v>
      </c>
      <c r="L2841" s="36">
        <v>0.61463939720129168</v>
      </c>
    </row>
    <row r="2842" spans="1:12" x14ac:dyDescent="0.45">
      <c r="A2842" s="12" t="s">
        <v>2178</v>
      </c>
      <c r="B2842" s="12" t="s">
        <v>1670</v>
      </c>
      <c r="C2842" s="13" t="s">
        <v>1671</v>
      </c>
      <c r="D2842" s="13" t="s">
        <v>92</v>
      </c>
      <c r="E2842" s="12" t="s">
        <v>35</v>
      </c>
      <c r="F2842" s="14">
        <v>177000</v>
      </c>
      <c r="G2842" s="14">
        <v>150800</v>
      </c>
      <c r="H2842" s="13" t="s">
        <v>2324</v>
      </c>
      <c r="I2842" s="40" t="s">
        <v>18</v>
      </c>
      <c r="J2842" s="40" t="str">
        <f>HYPERLINK("https://stock.pstatic.net/stock-research/company/63/20260511_company_246681000.pdf","PDF")</f>
        <v>PDF</v>
      </c>
      <c r="K2842" s="12" t="s">
        <v>2325</v>
      </c>
      <c r="L2842" s="36">
        <v>0.17374005305039791</v>
      </c>
    </row>
    <row r="2843" spans="1:12" x14ac:dyDescent="0.45">
      <c r="A2843" s="12" t="s">
        <v>2178</v>
      </c>
      <c r="B2843" s="12" t="s">
        <v>541</v>
      </c>
      <c r="C2843" s="13" t="s">
        <v>542</v>
      </c>
      <c r="D2843" s="13" t="s">
        <v>92</v>
      </c>
      <c r="E2843" s="12" t="s">
        <v>159</v>
      </c>
      <c r="F2843" s="14">
        <v>94000</v>
      </c>
      <c r="G2843" s="14">
        <v>93500</v>
      </c>
      <c r="H2843" s="13" t="s">
        <v>2326</v>
      </c>
      <c r="I2843" s="40" t="s">
        <v>18</v>
      </c>
      <c r="J2843" s="40" t="str">
        <f>HYPERLINK("https://stock.pstatic.net/stock-research/company/63/20260511_company_66375000.pdf","PDF")</f>
        <v>PDF</v>
      </c>
      <c r="K2843" s="12" t="s">
        <v>2327</v>
      </c>
      <c r="L2843" s="36">
        <v>5.3475935828877002E-3</v>
      </c>
    </row>
    <row r="2844" spans="1:12" x14ac:dyDescent="0.45">
      <c r="A2844" s="12" t="s">
        <v>2178</v>
      </c>
      <c r="B2844" s="12" t="s">
        <v>272</v>
      </c>
      <c r="C2844" s="13" t="s">
        <v>273</v>
      </c>
      <c r="D2844" s="13" t="s">
        <v>23</v>
      </c>
      <c r="E2844" s="12" t="s">
        <v>16</v>
      </c>
      <c r="F2844" s="14">
        <v>430000</v>
      </c>
      <c r="G2844" s="14">
        <v>341000</v>
      </c>
      <c r="H2844" s="13" t="s">
        <v>2328</v>
      </c>
      <c r="I2844" s="40" t="s">
        <v>18</v>
      </c>
      <c r="J2844" s="40" t="str">
        <f>HYPERLINK("https://stock.pstatic.net/stock-research/company/21/20260511_company_813462000.pdf","PDF")</f>
        <v>PDF</v>
      </c>
      <c r="K2844" s="12" t="s">
        <v>2329</v>
      </c>
      <c r="L2844" s="36">
        <v>0.26099706744868029</v>
      </c>
    </row>
    <row r="2845" spans="1:12" x14ac:dyDescent="0.45">
      <c r="A2845" s="12" t="s">
        <v>2178</v>
      </c>
      <c r="B2845" s="12" t="s">
        <v>1690</v>
      </c>
      <c r="C2845" s="13" t="s">
        <v>1691</v>
      </c>
      <c r="D2845" s="13" t="s">
        <v>34</v>
      </c>
      <c r="E2845" s="12" t="s">
        <v>35</v>
      </c>
      <c r="F2845" s="14">
        <v>190000</v>
      </c>
      <c r="G2845" s="14">
        <v>134700</v>
      </c>
      <c r="H2845" s="13" t="s">
        <v>2330</v>
      </c>
      <c r="I2845" s="40" t="s">
        <v>18</v>
      </c>
      <c r="J2845" s="40" t="str">
        <f>HYPERLINK("https://stock.pstatic.net/stock-research/company/61/20260511_company_515251000.pdf","PDF")</f>
        <v>PDF</v>
      </c>
      <c r="K2845" s="12" t="s">
        <v>2331</v>
      </c>
      <c r="L2845" s="36">
        <v>0.41054194506310321</v>
      </c>
    </row>
    <row r="2846" spans="1:12" x14ac:dyDescent="0.45">
      <c r="A2846" s="12" t="s">
        <v>2178</v>
      </c>
      <c r="B2846" s="12" t="s">
        <v>330</v>
      </c>
      <c r="C2846" s="13" t="s">
        <v>331</v>
      </c>
      <c r="D2846" s="13" t="s">
        <v>34</v>
      </c>
      <c r="E2846" s="12" t="s">
        <v>35</v>
      </c>
      <c r="F2846" s="14">
        <v>61000</v>
      </c>
      <c r="G2846" s="14">
        <v>47300</v>
      </c>
      <c r="H2846" s="13" t="s">
        <v>2332</v>
      </c>
      <c r="I2846" s="40" t="s">
        <v>18</v>
      </c>
      <c r="J2846" s="40" t="str">
        <f>HYPERLINK("https://stock.pstatic.net/stock-research/company/61/20260511_company_637214000.pdf","PDF")</f>
        <v>PDF</v>
      </c>
      <c r="K2846" s="12" t="s">
        <v>2333</v>
      </c>
      <c r="L2846" s="36">
        <v>0.28964059196617342</v>
      </c>
    </row>
    <row r="2847" spans="1:12" x14ac:dyDescent="0.45">
      <c r="A2847" s="12" t="s">
        <v>2178</v>
      </c>
      <c r="B2847" s="12" t="s">
        <v>1237</v>
      </c>
      <c r="C2847" s="13" t="s">
        <v>1238</v>
      </c>
      <c r="D2847" s="13" t="s">
        <v>34</v>
      </c>
      <c r="E2847" s="12" t="s">
        <v>35</v>
      </c>
      <c r="F2847" s="14">
        <v>8500</v>
      </c>
      <c r="G2847" s="14">
        <v>5420</v>
      </c>
      <c r="H2847" s="13" t="s">
        <v>2334</v>
      </c>
      <c r="I2847" s="40" t="s">
        <v>18</v>
      </c>
      <c r="J2847" s="40" t="str">
        <f>HYPERLINK("https://stock.pstatic.net/stock-research/company/61/20260511_company_746499000.pdf","PDF")</f>
        <v>PDF</v>
      </c>
      <c r="K2847" s="12" t="s">
        <v>2335</v>
      </c>
      <c r="L2847" s="36">
        <v>0.56826568265682653</v>
      </c>
    </row>
    <row r="2848" spans="1:12" x14ac:dyDescent="0.45">
      <c r="A2848" s="12" t="s">
        <v>2178</v>
      </c>
      <c r="B2848" s="12" t="s">
        <v>957</v>
      </c>
      <c r="C2848" s="13" t="s">
        <v>958</v>
      </c>
      <c r="D2848" s="13" t="s">
        <v>34</v>
      </c>
      <c r="E2848" s="12" t="s">
        <v>35</v>
      </c>
      <c r="F2848" s="14">
        <v>330000</v>
      </c>
      <c r="G2848" s="14">
        <v>263500</v>
      </c>
      <c r="H2848" s="13" t="s">
        <v>2336</v>
      </c>
      <c r="I2848" s="40" t="s">
        <v>18</v>
      </c>
      <c r="J2848" s="40" t="str">
        <f>HYPERLINK("https://stock.pstatic.net/stock-research/company/61/20260511_company_166773000.pdf","PDF")</f>
        <v>PDF</v>
      </c>
      <c r="K2848" s="12" t="s">
        <v>2337</v>
      </c>
      <c r="L2848" s="36">
        <v>0.25237191650853891</v>
      </c>
    </row>
    <row r="2849" spans="1:12" x14ac:dyDescent="0.45">
      <c r="A2849" s="12" t="s">
        <v>2178</v>
      </c>
      <c r="B2849" s="12" t="s">
        <v>537</v>
      </c>
      <c r="C2849" s="13" t="s">
        <v>538</v>
      </c>
      <c r="D2849" s="13" t="s">
        <v>92</v>
      </c>
      <c r="E2849" s="12" t="s">
        <v>35</v>
      </c>
      <c r="F2849" s="14">
        <v>19000</v>
      </c>
      <c r="G2849" s="14">
        <v>15050</v>
      </c>
      <c r="H2849" s="13" t="s">
        <v>2338</v>
      </c>
      <c r="I2849" s="40" t="s">
        <v>18</v>
      </c>
      <c r="J2849" s="40" t="str">
        <f>HYPERLINK("https://stock.pstatic.net/stock-research/company/63/20260511_company_474653000.pdf","PDF")</f>
        <v>PDF</v>
      </c>
      <c r="K2849" s="12" t="s">
        <v>2339</v>
      </c>
      <c r="L2849" s="36">
        <v>0.26245847176079729</v>
      </c>
    </row>
    <row r="2850" spans="1:12" x14ac:dyDescent="0.45">
      <c r="A2850" s="12" t="s">
        <v>2178</v>
      </c>
      <c r="B2850" s="12" t="s">
        <v>1849</v>
      </c>
      <c r="C2850" s="13" t="s">
        <v>1850</v>
      </c>
      <c r="D2850" s="13" t="s">
        <v>92</v>
      </c>
      <c r="E2850" s="12" t="s">
        <v>35</v>
      </c>
      <c r="F2850" s="14">
        <v>26000</v>
      </c>
      <c r="G2850" s="14">
        <v>20200</v>
      </c>
      <c r="H2850" s="13" t="s">
        <v>2340</v>
      </c>
      <c r="I2850" s="40" t="s">
        <v>18</v>
      </c>
      <c r="J2850" s="40" t="str">
        <f>HYPERLINK("https://stock.pstatic.net/stock-research/company/26/20260511_company_543222000.pdf","PDF")</f>
        <v>PDF</v>
      </c>
      <c r="K2850" s="12" t="s">
        <v>2341</v>
      </c>
      <c r="L2850" s="36">
        <v>0.28712871287128711</v>
      </c>
    </row>
    <row r="2851" spans="1:12" x14ac:dyDescent="0.45">
      <c r="A2851" s="12" t="s">
        <v>2178</v>
      </c>
      <c r="B2851" s="12" t="s">
        <v>756</v>
      </c>
      <c r="C2851" s="13" t="s">
        <v>757</v>
      </c>
      <c r="D2851" s="13" t="s">
        <v>23</v>
      </c>
      <c r="E2851" s="12" t="s">
        <v>16</v>
      </c>
      <c r="F2851" s="14">
        <v>123000</v>
      </c>
      <c r="G2851" s="14">
        <v>93600</v>
      </c>
      <c r="H2851" s="13" t="s">
        <v>2342</v>
      </c>
      <c r="I2851" s="40" t="s">
        <v>18</v>
      </c>
      <c r="J2851" s="40" t="str">
        <f>HYPERLINK("https://stock.pstatic.net/stock-research/company/21/20260511_company_623078000.pdf","PDF")</f>
        <v>PDF</v>
      </c>
      <c r="K2851" s="12" t="s">
        <v>2343</v>
      </c>
      <c r="L2851" s="36">
        <v>0.3141025641025641</v>
      </c>
    </row>
    <row r="2852" spans="1:12" x14ac:dyDescent="0.45">
      <c r="A2852" s="12" t="s">
        <v>2178</v>
      </c>
      <c r="B2852" s="12" t="s">
        <v>370</v>
      </c>
      <c r="C2852" s="13" t="s">
        <v>371</v>
      </c>
      <c r="D2852" s="13" t="s">
        <v>92</v>
      </c>
      <c r="E2852" s="12" t="s">
        <v>35</v>
      </c>
      <c r="F2852" s="14">
        <v>78000</v>
      </c>
      <c r="G2852" s="14">
        <v>50200</v>
      </c>
      <c r="H2852" s="13" t="s">
        <v>2344</v>
      </c>
      <c r="I2852" s="40" t="s">
        <v>18</v>
      </c>
      <c r="J2852" s="40" t="str">
        <f>HYPERLINK("https://stock.pstatic.net/stock-research/company/63/20260511_company_569325000.pdf","PDF")</f>
        <v>PDF</v>
      </c>
      <c r="K2852" s="12" t="s">
        <v>2345</v>
      </c>
      <c r="L2852" s="36">
        <v>0.55378486055776888</v>
      </c>
    </row>
    <row r="2853" spans="1:12" x14ac:dyDescent="0.45">
      <c r="A2853" s="12" t="s">
        <v>2178</v>
      </c>
      <c r="B2853" s="12" t="s">
        <v>2346</v>
      </c>
      <c r="C2853" s="13" t="s">
        <v>2347</v>
      </c>
      <c r="D2853" s="13" t="s">
        <v>179</v>
      </c>
      <c r="E2853" s="12" t="s">
        <v>16</v>
      </c>
      <c r="F2853" s="14">
        <v>180000</v>
      </c>
      <c r="G2853" s="14">
        <v>132900</v>
      </c>
      <c r="H2853" s="13" t="s">
        <v>2348</v>
      </c>
      <c r="I2853" s="40" t="s">
        <v>18</v>
      </c>
      <c r="J2853" s="40" t="str">
        <f>HYPERLINK("https://stock.pstatic.net/stock-research/company/64/20260511_company_154611000.pdf","PDF")</f>
        <v>PDF</v>
      </c>
      <c r="K2853" s="12" t="s">
        <v>2349</v>
      </c>
      <c r="L2853" s="36">
        <v>0.35440180586907449</v>
      </c>
    </row>
    <row r="2854" spans="1:12" x14ac:dyDescent="0.45">
      <c r="A2854" s="12" t="s">
        <v>2178</v>
      </c>
      <c r="B2854" s="12" t="s">
        <v>1051</v>
      </c>
      <c r="C2854" s="13" t="s">
        <v>1052</v>
      </c>
      <c r="D2854" s="13" t="s">
        <v>92</v>
      </c>
      <c r="E2854" s="12" t="s">
        <v>35</v>
      </c>
      <c r="F2854" s="14">
        <v>80000</v>
      </c>
      <c r="G2854" s="14">
        <v>62100</v>
      </c>
      <c r="H2854" s="13" t="s">
        <v>2350</v>
      </c>
      <c r="I2854" s="40" t="s">
        <v>18</v>
      </c>
      <c r="J2854" s="40" t="str">
        <f>HYPERLINK("https://stock.pstatic.net/stock-research/company/63/20260511_company_295463000.pdf","PDF")</f>
        <v>PDF</v>
      </c>
      <c r="K2854" s="12" t="s">
        <v>2351</v>
      </c>
      <c r="L2854" s="36">
        <v>0.28824476650563607</v>
      </c>
    </row>
    <row r="2855" spans="1:12" x14ac:dyDescent="0.45">
      <c r="A2855" s="12" t="s">
        <v>2178</v>
      </c>
      <c r="B2855" s="12" t="s">
        <v>2304</v>
      </c>
      <c r="C2855" s="13" t="s">
        <v>2305</v>
      </c>
      <c r="D2855" s="13" t="s">
        <v>34</v>
      </c>
      <c r="E2855" s="12" t="s">
        <v>50</v>
      </c>
      <c r="F2855" s="13"/>
      <c r="G2855" s="14">
        <v>16680</v>
      </c>
      <c r="H2855" s="13" t="s">
        <v>2352</v>
      </c>
      <c r="I2855" s="40" t="s">
        <v>18</v>
      </c>
      <c r="J2855" s="40" t="str">
        <f>HYPERLINK("https://stock.pstatic.net/stock-research/company/61/20260511_company_55361000.pdf","PDF")</f>
        <v>PDF</v>
      </c>
      <c r="K2855" s="12" t="s">
        <v>2353</v>
      </c>
      <c r="L2855" s="12"/>
    </row>
    <row r="2856" spans="1:12" x14ac:dyDescent="0.45">
      <c r="A2856" s="12" t="s">
        <v>2178</v>
      </c>
      <c r="B2856" s="12" t="s">
        <v>2199</v>
      </c>
      <c r="C2856" s="13" t="s">
        <v>2200</v>
      </c>
      <c r="D2856" s="13" t="s">
        <v>92</v>
      </c>
      <c r="E2856" s="12" t="s">
        <v>35</v>
      </c>
      <c r="F2856" s="14">
        <v>46000</v>
      </c>
      <c r="G2856" s="14">
        <v>33250</v>
      </c>
      <c r="H2856" s="13" t="s">
        <v>2354</v>
      </c>
      <c r="I2856" s="40" t="s">
        <v>18</v>
      </c>
      <c r="J2856" s="40" t="str">
        <f>HYPERLINK("https://stock.pstatic.net/stock-research/company/63/20260511_company_306850000.pdf","PDF")</f>
        <v>PDF</v>
      </c>
      <c r="K2856" s="12" t="s">
        <v>2355</v>
      </c>
      <c r="L2856" s="36">
        <v>0.38345864661654128</v>
      </c>
    </row>
    <row r="2857" spans="1:12" x14ac:dyDescent="0.45">
      <c r="A2857" s="12" t="s">
        <v>2178</v>
      </c>
      <c r="B2857" s="12" t="s">
        <v>90</v>
      </c>
      <c r="C2857" s="13" t="s">
        <v>91</v>
      </c>
      <c r="D2857" s="13" t="s">
        <v>34</v>
      </c>
      <c r="E2857" s="12" t="s">
        <v>35</v>
      </c>
      <c r="F2857" s="14">
        <v>77000</v>
      </c>
      <c r="G2857" s="14">
        <v>66100</v>
      </c>
      <c r="H2857" s="13" t="s">
        <v>2356</v>
      </c>
      <c r="I2857" s="40" t="s">
        <v>18</v>
      </c>
      <c r="J2857" s="40" t="str">
        <f>HYPERLINK("https://stock.pstatic.net/stock-research/company/61/20260511_company_280958000.pdf","PDF")</f>
        <v>PDF</v>
      </c>
      <c r="K2857" s="12" t="s">
        <v>2357</v>
      </c>
      <c r="L2857" s="36">
        <v>0.16490166414523449</v>
      </c>
    </row>
    <row r="2858" spans="1:12" x14ac:dyDescent="0.45">
      <c r="A2858" s="12" t="s">
        <v>2178</v>
      </c>
      <c r="B2858" s="12" t="s">
        <v>268</v>
      </c>
      <c r="C2858" s="13" t="s">
        <v>269</v>
      </c>
      <c r="D2858" s="13" t="s">
        <v>23</v>
      </c>
      <c r="E2858" s="12" t="s">
        <v>16</v>
      </c>
      <c r="F2858" s="14">
        <v>570000</v>
      </c>
      <c r="G2858" s="14">
        <v>340500</v>
      </c>
      <c r="H2858" s="13" t="s">
        <v>2358</v>
      </c>
      <c r="I2858" s="40" t="s">
        <v>18</v>
      </c>
      <c r="J2858" s="40" t="str">
        <f>HYPERLINK("https://stock.pstatic.net/stock-research/company/21/20260511_company_289130000.pdf","PDF")</f>
        <v>PDF</v>
      </c>
      <c r="K2858" s="12" t="s">
        <v>2359</v>
      </c>
      <c r="L2858" s="36">
        <v>0.67400881057268724</v>
      </c>
    </row>
    <row r="2859" spans="1:12" x14ac:dyDescent="0.45">
      <c r="A2859" s="12" t="s">
        <v>2178</v>
      </c>
      <c r="B2859" s="12" t="s">
        <v>2231</v>
      </c>
      <c r="C2859" s="13" t="s">
        <v>2232</v>
      </c>
      <c r="D2859" s="13" t="s">
        <v>23</v>
      </c>
      <c r="E2859" s="12" t="s">
        <v>16</v>
      </c>
      <c r="F2859" s="14">
        <v>115000</v>
      </c>
      <c r="G2859" s="14">
        <v>87600</v>
      </c>
      <c r="H2859" s="13" t="s">
        <v>2360</v>
      </c>
      <c r="I2859" s="40" t="s">
        <v>18</v>
      </c>
      <c r="J2859" s="40" t="str">
        <f>HYPERLINK("https://stock.pstatic.net/stock-research/company/21/20260511_company_889283000.pdf","PDF")</f>
        <v>PDF</v>
      </c>
      <c r="K2859" s="12" t="s">
        <v>2361</v>
      </c>
      <c r="L2859" s="36">
        <v>0.31278538812785389</v>
      </c>
    </row>
    <row r="2860" spans="1:12" x14ac:dyDescent="0.45">
      <c r="A2860" s="12" t="s">
        <v>2178</v>
      </c>
      <c r="B2860" s="12" t="s">
        <v>1216</v>
      </c>
      <c r="C2860" s="13" t="s">
        <v>1217</v>
      </c>
      <c r="D2860" s="13" t="s">
        <v>23</v>
      </c>
      <c r="E2860" s="12" t="s">
        <v>16</v>
      </c>
      <c r="F2860" s="14">
        <v>45000</v>
      </c>
      <c r="G2860" s="14">
        <v>37500</v>
      </c>
      <c r="H2860" s="13" t="s">
        <v>2362</v>
      </c>
      <c r="I2860" s="40" t="s">
        <v>18</v>
      </c>
      <c r="J2860" s="40" t="str">
        <f>HYPERLINK("https://stock.pstatic.net/stock-research/company/21/20260511_company_653281000.pdf","PDF")</f>
        <v>PDF</v>
      </c>
      <c r="K2860" s="12" t="s">
        <v>2363</v>
      </c>
      <c r="L2860" s="36">
        <v>0.2</v>
      </c>
    </row>
    <row r="2861" spans="1:12" x14ac:dyDescent="0.45">
      <c r="A2861" s="12" t="s">
        <v>2178</v>
      </c>
      <c r="B2861" s="12" t="s">
        <v>2187</v>
      </c>
      <c r="C2861" s="13" t="s">
        <v>2188</v>
      </c>
      <c r="D2861" s="13" t="s">
        <v>23</v>
      </c>
      <c r="E2861" s="12" t="s">
        <v>16</v>
      </c>
      <c r="F2861" s="14">
        <v>160000</v>
      </c>
      <c r="G2861" s="14">
        <v>127600</v>
      </c>
      <c r="H2861" s="13" t="s">
        <v>1791</v>
      </c>
      <c r="I2861" s="40" t="s">
        <v>18</v>
      </c>
      <c r="J2861" s="40" t="str">
        <f>HYPERLINK("https://stock.pstatic.net/stock-research/company/21/20260511_company_728848000.pdf","PDF")</f>
        <v>PDF</v>
      </c>
      <c r="K2861" s="12" t="s">
        <v>2364</v>
      </c>
      <c r="L2861" s="36">
        <v>0.25391849529780558</v>
      </c>
    </row>
    <row r="2862" spans="1:12" x14ac:dyDescent="0.45">
      <c r="A2862" s="12" t="s">
        <v>2178</v>
      </c>
      <c r="B2862" s="12" t="s">
        <v>2365</v>
      </c>
      <c r="C2862" s="13" t="s">
        <v>2366</v>
      </c>
      <c r="D2862" s="13" t="s">
        <v>34</v>
      </c>
      <c r="E2862" s="12" t="s">
        <v>35</v>
      </c>
      <c r="F2862" s="14">
        <v>250000</v>
      </c>
      <c r="G2862" s="14">
        <v>195800</v>
      </c>
      <c r="H2862" s="13" t="s">
        <v>2367</v>
      </c>
      <c r="I2862" s="40" t="s">
        <v>18</v>
      </c>
      <c r="J2862" s="40" t="str">
        <f>HYPERLINK("https://stock.pstatic.net/stock-research/company/61/20260511_company_846720000.pdf","PDF")</f>
        <v>PDF</v>
      </c>
      <c r="K2862" s="12" t="s">
        <v>2368</v>
      </c>
      <c r="L2862" s="36">
        <v>0.27681307456588361</v>
      </c>
    </row>
    <row r="2863" spans="1:12" x14ac:dyDescent="0.45">
      <c r="A2863" s="12" t="s">
        <v>2178</v>
      </c>
      <c r="B2863" s="12" t="s">
        <v>2369</v>
      </c>
      <c r="C2863" s="13" t="s">
        <v>2370</v>
      </c>
      <c r="D2863" s="13" t="s">
        <v>34</v>
      </c>
      <c r="E2863" s="12" t="s">
        <v>35</v>
      </c>
      <c r="F2863" s="14">
        <v>800000</v>
      </c>
      <c r="G2863" s="14">
        <v>678000</v>
      </c>
      <c r="H2863" s="13" t="s">
        <v>2367</v>
      </c>
      <c r="I2863" s="40" t="s">
        <v>18</v>
      </c>
      <c r="J2863" s="40" t="str">
        <f>HYPERLINK("https://stock.pstatic.net/stock-research/company/61/20260511_company_730828000.pdf","PDF")</f>
        <v>PDF</v>
      </c>
      <c r="K2863" s="12" t="s">
        <v>2371</v>
      </c>
      <c r="L2863" s="36">
        <v>0.17994100294985249</v>
      </c>
    </row>
    <row r="2864" spans="1:12" x14ac:dyDescent="0.45">
      <c r="A2864" s="12" t="s">
        <v>2178</v>
      </c>
      <c r="B2864" s="12" t="s">
        <v>2372</v>
      </c>
      <c r="C2864" s="13" t="s">
        <v>2373</v>
      </c>
      <c r="D2864" s="13" t="s">
        <v>34</v>
      </c>
      <c r="E2864" s="12" t="s">
        <v>35</v>
      </c>
      <c r="F2864" s="14">
        <v>110000</v>
      </c>
      <c r="G2864" s="14">
        <v>80900</v>
      </c>
      <c r="H2864" s="13" t="s">
        <v>2374</v>
      </c>
      <c r="I2864" s="40" t="s">
        <v>18</v>
      </c>
      <c r="J2864" s="40" t="str">
        <f>HYPERLINK("https://stock.pstatic.net/stock-research/company/61/20260511_company_196623000.pdf","PDF")</f>
        <v>PDF</v>
      </c>
      <c r="K2864" s="12" t="s">
        <v>2375</v>
      </c>
      <c r="L2864" s="36">
        <v>0.35970333745364652</v>
      </c>
    </row>
    <row r="2865" spans="1:12" x14ac:dyDescent="0.45">
      <c r="A2865" s="12" t="s">
        <v>2178</v>
      </c>
      <c r="B2865" s="12" t="s">
        <v>1407</v>
      </c>
      <c r="C2865" s="13" t="s">
        <v>1408</v>
      </c>
      <c r="D2865" s="13" t="s">
        <v>34</v>
      </c>
      <c r="E2865" s="12" t="s">
        <v>50</v>
      </c>
      <c r="F2865" s="13"/>
      <c r="G2865" s="14">
        <v>161900</v>
      </c>
      <c r="H2865" s="13" t="s">
        <v>2376</v>
      </c>
      <c r="I2865" s="40" t="s">
        <v>18</v>
      </c>
      <c r="J2865" s="40" t="str">
        <f>HYPERLINK("https://stock.pstatic.net/stock-research/company/61/20260511_company_468979000.pdf","PDF")</f>
        <v>PDF</v>
      </c>
      <c r="K2865" s="12" t="s">
        <v>2377</v>
      </c>
      <c r="L2865" s="12"/>
    </row>
    <row r="2866" spans="1:12" x14ac:dyDescent="0.45">
      <c r="A2866" s="12" t="s">
        <v>2178</v>
      </c>
      <c r="B2866" s="12" t="s">
        <v>2378</v>
      </c>
      <c r="C2866" s="13" t="s">
        <v>2379</v>
      </c>
      <c r="D2866" s="13" t="s">
        <v>34</v>
      </c>
      <c r="E2866" s="12" t="s">
        <v>35</v>
      </c>
      <c r="F2866" s="14">
        <v>620000</v>
      </c>
      <c r="G2866" s="14">
        <v>476500</v>
      </c>
      <c r="H2866" s="13" t="s">
        <v>2380</v>
      </c>
      <c r="I2866" s="40" t="s">
        <v>18</v>
      </c>
      <c r="J2866" s="40" t="str">
        <f>HYPERLINK("https://stock.pstatic.net/stock-research/company/61/20260511_company_470202000.pdf","PDF")</f>
        <v>PDF</v>
      </c>
      <c r="K2866" s="12" t="s">
        <v>2381</v>
      </c>
      <c r="L2866" s="36">
        <v>0.30115424973767052</v>
      </c>
    </row>
    <row r="2867" spans="1:12" x14ac:dyDescent="0.45">
      <c r="A2867" s="12" t="s">
        <v>2178</v>
      </c>
      <c r="B2867" s="12" t="s">
        <v>2382</v>
      </c>
      <c r="C2867" s="13" t="s">
        <v>2383</v>
      </c>
      <c r="D2867" s="13" t="s">
        <v>44</v>
      </c>
      <c r="E2867" s="12" t="s">
        <v>35</v>
      </c>
      <c r="F2867" s="14">
        <v>70000</v>
      </c>
      <c r="G2867" s="14">
        <v>54800</v>
      </c>
      <c r="H2867" s="13" t="s">
        <v>2384</v>
      </c>
      <c r="I2867" s="40" t="s">
        <v>18</v>
      </c>
      <c r="J2867" s="40" t="str">
        <f>HYPERLINK("https://stock.pstatic.net/stock-research/company/39/20260511_company_601026000.pdf","PDF")</f>
        <v>PDF</v>
      </c>
      <c r="K2867" s="12" t="s">
        <v>2385</v>
      </c>
      <c r="L2867" s="36">
        <v>0.27737226277372262</v>
      </c>
    </row>
    <row r="2868" spans="1:12" x14ac:dyDescent="0.45">
      <c r="A2868" s="12" t="s">
        <v>2178</v>
      </c>
      <c r="B2868" s="12" t="s">
        <v>370</v>
      </c>
      <c r="C2868" s="13" t="s">
        <v>371</v>
      </c>
      <c r="D2868" s="13" t="s">
        <v>44</v>
      </c>
      <c r="E2868" s="12" t="s">
        <v>35</v>
      </c>
      <c r="F2868" s="14">
        <v>85000</v>
      </c>
      <c r="G2868" s="14">
        <v>50200</v>
      </c>
      <c r="H2868" s="13" t="s">
        <v>2386</v>
      </c>
      <c r="I2868" s="40" t="s">
        <v>18</v>
      </c>
      <c r="J2868" s="40" t="str">
        <f>HYPERLINK("https://stock.pstatic.net/stock-research/company/39/20260511_company_405800000.pdf","PDF")</f>
        <v>PDF</v>
      </c>
      <c r="K2868" s="12" t="s">
        <v>2387</v>
      </c>
      <c r="L2868" s="36">
        <v>0.69322709163346619</v>
      </c>
    </row>
    <row r="2869" spans="1:12" x14ac:dyDescent="0.45">
      <c r="A2869" s="12" t="s">
        <v>2178</v>
      </c>
      <c r="B2869" s="12" t="s">
        <v>1350</v>
      </c>
      <c r="C2869" s="13" t="s">
        <v>1351</v>
      </c>
      <c r="D2869" s="13" t="s">
        <v>44</v>
      </c>
      <c r="E2869" s="12" t="s">
        <v>35</v>
      </c>
      <c r="F2869" s="14">
        <v>50000</v>
      </c>
      <c r="G2869" s="14">
        <v>29000</v>
      </c>
      <c r="H2869" s="13" t="s">
        <v>2388</v>
      </c>
      <c r="I2869" s="40" t="s">
        <v>18</v>
      </c>
      <c r="J2869" s="40" t="str">
        <f>HYPERLINK("https://stock.pstatic.net/stock-research/company/39/20260511_company_98396000.pdf","PDF")</f>
        <v>PDF</v>
      </c>
      <c r="K2869" s="12" t="s">
        <v>2389</v>
      </c>
      <c r="L2869" s="36">
        <v>0.72413793103448276</v>
      </c>
    </row>
    <row r="2870" spans="1:12" x14ac:dyDescent="0.45">
      <c r="A2870" s="12" t="s">
        <v>2178</v>
      </c>
      <c r="B2870" s="12" t="s">
        <v>1660</v>
      </c>
      <c r="C2870" s="13" t="s">
        <v>1661</v>
      </c>
      <c r="D2870" s="13" t="s">
        <v>44</v>
      </c>
      <c r="E2870" s="12" t="s">
        <v>35</v>
      </c>
      <c r="F2870" s="14">
        <v>50000</v>
      </c>
      <c r="G2870" s="14">
        <v>31700</v>
      </c>
      <c r="H2870" s="13" t="s">
        <v>2390</v>
      </c>
      <c r="I2870" s="40" t="s">
        <v>18</v>
      </c>
      <c r="J2870" s="40" t="str">
        <f>HYPERLINK("https://stock.pstatic.net/stock-research/company/39/20260511_company_345751000.pdf","PDF")</f>
        <v>PDF</v>
      </c>
      <c r="K2870" s="12" t="s">
        <v>2391</v>
      </c>
      <c r="L2870" s="36">
        <v>0.57728706624605675</v>
      </c>
    </row>
    <row r="2871" spans="1:12" x14ac:dyDescent="0.45">
      <c r="A2871" s="12" t="s">
        <v>2178</v>
      </c>
      <c r="B2871" s="12" t="s">
        <v>426</v>
      </c>
      <c r="C2871" s="13" t="s">
        <v>427</v>
      </c>
      <c r="D2871" s="13" t="s">
        <v>44</v>
      </c>
      <c r="E2871" s="12" t="s">
        <v>35</v>
      </c>
      <c r="F2871" s="14">
        <v>23000</v>
      </c>
      <c r="G2871" s="14">
        <v>15810</v>
      </c>
      <c r="H2871" s="13" t="s">
        <v>2392</v>
      </c>
      <c r="I2871" s="40" t="s">
        <v>18</v>
      </c>
      <c r="J2871" s="40" t="str">
        <f>HYPERLINK("https://stock.pstatic.net/stock-research/company/39/20260511_company_646216000.pdf","PDF")</f>
        <v>PDF</v>
      </c>
      <c r="K2871" s="12" t="s">
        <v>2393</v>
      </c>
      <c r="L2871" s="36">
        <v>0.45477545857052498</v>
      </c>
    </row>
    <row r="2872" spans="1:12" x14ac:dyDescent="0.45">
      <c r="A2872" s="12" t="s">
        <v>2178</v>
      </c>
      <c r="B2872" s="12" t="s">
        <v>1648</v>
      </c>
      <c r="C2872" s="13" t="s">
        <v>1649</v>
      </c>
      <c r="D2872" s="13" t="s">
        <v>44</v>
      </c>
      <c r="E2872" s="12" t="s">
        <v>35</v>
      </c>
      <c r="F2872" s="14">
        <v>120000</v>
      </c>
      <c r="G2872" s="14">
        <v>92200</v>
      </c>
      <c r="H2872" s="13" t="s">
        <v>2394</v>
      </c>
      <c r="I2872" s="40" t="s">
        <v>18</v>
      </c>
      <c r="J2872" s="40" t="str">
        <f>HYPERLINK("https://stock.pstatic.net/stock-research/company/39/20260511_company_510882000.pdf","PDF")</f>
        <v>PDF</v>
      </c>
      <c r="K2872" s="12" t="s">
        <v>2395</v>
      </c>
      <c r="L2872" s="36">
        <v>0.30151843817787422</v>
      </c>
    </row>
    <row r="2873" spans="1:12" x14ac:dyDescent="0.45">
      <c r="A2873" s="12" t="s">
        <v>2178</v>
      </c>
      <c r="B2873" s="12" t="s">
        <v>1678</v>
      </c>
      <c r="C2873" s="13" t="s">
        <v>1679</v>
      </c>
      <c r="D2873" s="13" t="s">
        <v>44</v>
      </c>
      <c r="E2873" s="12" t="s">
        <v>35</v>
      </c>
      <c r="F2873" s="14">
        <v>70000</v>
      </c>
      <c r="G2873" s="14">
        <v>50100</v>
      </c>
      <c r="H2873" s="13" t="s">
        <v>2396</v>
      </c>
      <c r="I2873" s="40" t="s">
        <v>18</v>
      </c>
      <c r="J2873" s="40" t="str">
        <f>HYPERLINK("https://stock.pstatic.net/stock-research/company/39/20260511_company_783184000.pdf","PDF")</f>
        <v>PDF</v>
      </c>
      <c r="K2873" s="12" t="s">
        <v>2397</v>
      </c>
      <c r="L2873" s="36">
        <v>0.39720558882235529</v>
      </c>
    </row>
    <row r="2874" spans="1:12" x14ac:dyDescent="0.45">
      <c r="A2874" s="12" t="s">
        <v>2178</v>
      </c>
      <c r="B2874" s="12" t="s">
        <v>2187</v>
      </c>
      <c r="C2874" s="13" t="s">
        <v>2188</v>
      </c>
      <c r="D2874" s="13" t="s">
        <v>44</v>
      </c>
      <c r="E2874" s="12" t="s">
        <v>35</v>
      </c>
      <c r="F2874" s="14">
        <v>170000</v>
      </c>
      <c r="G2874" s="14">
        <v>127600</v>
      </c>
      <c r="H2874" s="13" t="s">
        <v>2398</v>
      </c>
      <c r="I2874" s="40" t="s">
        <v>18</v>
      </c>
      <c r="J2874" s="40" t="str">
        <f>HYPERLINK("https://stock.pstatic.net/stock-research/company/39/20260511_company_932959000.pdf","PDF")</f>
        <v>PDF</v>
      </c>
      <c r="K2874" s="12" t="s">
        <v>2399</v>
      </c>
      <c r="L2874" s="36">
        <v>0.33228840125391851</v>
      </c>
    </row>
    <row r="2875" spans="1:12" x14ac:dyDescent="0.45">
      <c r="A2875" s="12" t="s">
        <v>2178</v>
      </c>
      <c r="B2875" s="12" t="s">
        <v>13</v>
      </c>
      <c r="C2875" s="13" t="s">
        <v>14</v>
      </c>
      <c r="D2875" s="13" t="s">
        <v>44</v>
      </c>
      <c r="E2875" s="12" t="s">
        <v>35</v>
      </c>
      <c r="F2875" s="14">
        <v>330000</v>
      </c>
      <c r="G2875" s="14">
        <v>268500</v>
      </c>
      <c r="H2875" s="13" t="s">
        <v>2400</v>
      </c>
      <c r="I2875" s="40" t="s">
        <v>18</v>
      </c>
      <c r="J2875" s="40" t="str">
        <f>HYPERLINK("https://stock.pstatic.net/stock-research/company/39/20260511_company_207666000.pdf","PDF")</f>
        <v>PDF</v>
      </c>
      <c r="K2875" s="12" t="s">
        <v>2401</v>
      </c>
      <c r="L2875" s="36">
        <v>0.22905027932960889</v>
      </c>
    </row>
    <row r="2876" spans="1:12" x14ac:dyDescent="0.45">
      <c r="A2876" s="12" t="s">
        <v>2178</v>
      </c>
      <c r="B2876" s="12" t="s">
        <v>1042</v>
      </c>
      <c r="C2876" s="13" t="s">
        <v>1043</v>
      </c>
      <c r="D2876" s="13" t="s">
        <v>44</v>
      </c>
      <c r="E2876" s="12" t="s">
        <v>50</v>
      </c>
      <c r="F2876" s="13"/>
      <c r="G2876" s="13"/>
      <c r="H2876" s="13" t="s">
        <v>2402</v>
      </c>
      <c r="I2876" s="40" t="s">
        <v>18</v>
      </c>
      <c r="J2876" s="40" t="str">
        <f>HYPERLINK("https://stock.pstatic.net/stock-research/company/39/20260511_company_389493000.pdf","PDF")</f>
        <v>PDF</v>
      </c>
      <c r="K2876" s="12" t="s">
        <v>2403</v>
      </c>
      <c r="L2876" s="12"/>
    </row>
    <row r="2877" spans="1:12" x14ac:dyDescent="0.45">
      <c r="A2877" s="12" t="s">
        <v>2178</v>
      </c>
      <c r="B2877" s="12" t="s">
        <v>334</v>
      </c>
      <c r="C2877" s="13" t="s">
        <v>335</v>
      </c>
      <c r="D2877" s="13" t="s">
        <v>44</v>
      </c>
      <c r="E2877" s="12" t="s">
        <v>45</v>
      </c>
      <c r="F2877" s="14">
        <v>1900000</v>
      </c>
      <c r="G2877" s="14">
        <v>1686000</v>
      </c>
      <c r="H2877" s="13" t="s">
        <v>2404</v>
      </c>
      <c r="I2877" s="40" t="s">
        <v>18</v>
      </c>
      <c r="J2877" s="40" t="str">
        <f>HYPERLINK("https://stock.pstatic.net/stock-research/company/39/20260511_company_143289000.pdf","PDF")</f>
        <v>PDF</v>
      </c>
      <c r="K2877" s="12" t="s">
        <v>2405</v>
      </c>
      <c r="L2877" s="36">
        <v>0.12692763938315541</v>
      </c>
    </row>
    <row r="2878" spans="1:12" x14ac:dyDescent="0.45">
      <c r="A2878" s="12" t="s">
        <v>2178</v>
      </c>
      <c r="B2878" s="12" t="s">
        <v>1144</v>
      </c>
      <c r="C2878" s="13" t="s">
        <v>1145</v>
      </c>
      <c r="D2878" s="13" t="s">
        <v>44</v>
      </c>
      <c r="E2878" s="12" t="s">
        <v>35</v>
      </c>
      <c r="F2878" s="14">
        <v>213000</v>
      </c>
      <c r="G2878" s="14">
        <v>173600</v>
      </c>
      <c r="H2878" s="13" t="s">
        <v>2406</v>
      </c>
      <c r="I2878" s="40" t="s">
        <v>18</v>
      </c>
      <c r="J2878" s="40" t="str">
        <f>HYPERLINK("https://stock.pstatic.net/stock-research/company/39/20260511_company_864574000.pdf","PDF")</f>
        <v>PDF</v>
      </c>
      <c r="K2878" s="12" t="s">
        <v>2407</v>
      </c>
      <c r="L2878" s="36">
        <v>0.22695852534562211</v>
      </c>
    </row>
    <row r="2879" spans="1:12" x14ac:dyDescent="0.45">
      <c r="A2879" s="12" t="s">
        <v>2178</v>
      </c>
      <c r="B2879" s="12" t="s">
        <v>272</v>
      </c>
      <c r="C2879" s="13" t="s">
        <v>273</v>
      </c>
      <c r="D2879" s="13" t="s">
        <v>44</v>
      </c>
      <c r="E2879" s="12" t="s">
        <v>35</v>
      </c>
      <c r="F2879" s="14">
        <v>440000</v>
      </c>
      <c r="G2879" s="14">
        <v>341000</v>
      </c>
      <c r="H2879" s="13" t="s">
        <v>2408</v>
      </c>
      <c r="I2879" s="40" t="s">
        <v>18</v>
      </c>
      <c r="J2879" s="40" t="str">
        <f>HYPERLINK("https://stock.pstatic.net/stock-research/company/39/20260511_company_830379000.pdf","PDF")</f>
        <v>PDF</v>
      </c>
      <c r="K2879" s="12" t="s">
        <v>2409</v>
      </c>
      <c r="L2879" s="36">
        <v>0.29032258064516131</v>
      </c>
    </row>
    <row r="2880" spans="1:12" x14ac:dyDescent="0.45">
      <c r="A2880" s="12" t="s">
        <v>2178</v>
      </c>
      <c r="B2880" s="12" t="s">
        <v>2410</v>
      </c>
      <c r="C2880" s="13" t="s">
        <v>2411</v>
      </c>
      <c r="D2880" s="13" t="s">
        <v>124</v>
      </c>
      <c r="E2880" s="12" t="s">
        <v>50</v>
      </c>
      <c r="F2880" s="13"/>
      <c r="G2880" s="13"/>
      <c r="H2880" s="13" t="s">
        <v>2412</v>
      </c>
      <c r="I2880" s="40" t="s">
        <v>18</v>
      </c>
      <c r="J2880" s="40" t="str">
        <f>HYPERLINK("https://stock.pstatic.net/stock-research/company/74/20260511_company_253494000.pdf","PDF")</f>
        <v>PDF</v>
      </c>
      <c r="K2880" s="12" t="s">
        <v>2413</v>
      </c>
      <c r="L2880" s="12"/>
    </row>
    <row r="2881" spans="1:12" x14ac:dyDescent="0.45">
      <c r="A2881" s="12" t="s">
        <v>2178</v>
      </c>
      <c r="B2881" s="12" t="s">
        <v>2414</v>
      </c>
      <c r="C2881" s="13" t="s">
        <v>2415</v>
      </c>
      <c r="D2881" s="13" t="s">
        <v>92</v>
      </c>
      <c r="E2881" s="12" t="s">
        <v>35</v>
      </c>
      <c r="F2881" s="14">
        <v>2580000</v>
      </c>
      <c r="G2881" s="14">
        <v>1735000</v>
      </c>
      <c r="H2881" s="13" t="s">
        <v>2416</v>
      </c>
      <c r="I2881" s="40" t="s">
        <v>18</v>
      </c>
      <c r="J2881" s="40" t="str">
        <f>HYPERLINK("https://stock.pstatic.net/stock-research/company/-/20260511_company_261262000.pdf","PDF")</f>
        <v>PDF</v>
      </c>
      <c r="K2881" s="12" t="s">
        <v>2417</v>
      </c>
      <c r="L2881" s="36">
        <v>0.48703170028818438</v>
      </c>
    </row>
    <row r="2882" spans="1:12" x14ac:dyDescent="0.45">
      <c r="A2882" s="12" t="s">
        <v>2178</v>
      </c>
      <c r="B2882" s="12" t="s">
        <v>1176</v>
      </c>
      <c r="C2882" s="13" t="s">
        <v>1177</v>
      </c>
      <c r="D2882" s="13" t="s">
        <v>53</v>
      </c>
      <c r="E2882" s="12" t="s">
        <v>16</v>
      </c>
      <c r="F2882" s="14">
        <v>19000</v>
      </c>
      <c r="G2882" s="14">
        <v>14880</v>
      </c>
      <c r="H2882" s="13" t="s">
        <v>2418</v>
      </c>
      <c r="I2882" s="40" t="s">
        <v>18</v>
      </c>
      <c r="J2882" s="40" t="str">
        <f>HYPERLINK("https://m.stock.naver.com/research/company/92652","PDF")</f>
        <v>PDF</v>
      </c>
      <c r="K2882" s="12" t="s">
        <v>2419</v>
      </c>
      <c r="L2882" s="36">
        <v>0.2768817204301075</v>
      </c>
    </row>
    <row r="2883" spans="1:12" x14ac:dyDescent="0.45">
      <c r="A2883" s="12" t="s">
        <v>2420</v>
      </c>
      <c r="B2883" s="12" t="s">
        <v>756</v>
      </c>
      <c r="C2883" s="13" t="s">
        <v>757</v>
      </c>
      <c r="D2883" s="13" t="s">
        <v>57</v>
      </c>
      <c r="E2883" s="12" t="s">
        <v>35</v>
      </c>
      <c r="F2883" s="14">
        <v>120000</v>
      </c>
      <c r="G2883" s="14">
        <v>86900</v>
      </c>
      <c r="H2883" s="13" t="s">
        <v>2421</v>
      </c>
      <c r="I2883" s="40" t="s">
        <v>18</v>
      </c>
      <c r="J2883" s="40" t="str">
        <f>HYPERLINK("https://stock.pstatic.net/stock-research/company/16/20260508_company_236806000.pdf","PDF")</f>
        <v>PDF</v>
      </c>
      <c r="K2883" s="12" t="s">
        <v>2422</v>
      </c>
      <c r="L2883" s="36">
        <v>0.38089758342922903</v>
      </c>
    </row>
    <row r="2884" spans="1:12" x14ac:dyDescent="0.45">
      <c r="A2884" s="12" t="s">
        <v>2420</v>
      </c>
      <c r="B2884" s="12" t="s">
        <v>916</v>
      </c>
      <c r="C2884" s="13" t="s">
        <v>917</v>
      </c>
      <c r="D2884" s="13" t="s">
        <v>57</v>
      </c>
      <c r="E2884" s="12" t="s">
        <v>35</v>
      </c>
      <c r="F2884" s="14">
        <v>70000</v>
      </c>
      <c r="G2884" s="14">
        <v>45250</v>
      </c>
      <c r="H2884" s="13" t="s">
        <v>2423</v>
      </c>
      <c r="I2884" s="40" t="s">
        <v>18</v>
      </c>
      <c r="J2884" s="40" t="str">
        <f>HYPERLINK("https://stock.pstatic.net/stock-research/company/16/20260508_company_802163000.pdf","PDF")</f>
        <v>PDF</v>
      </c>
      <c r="K2884" s="12" t="s">
        <v>2424</v>
      </c>
      <c r="L2884" s="36">
        <v>0.54696132596685088</v>
      </c>
    </row>
    <row r="2885" spans="1:12" x14ac:dyDescent="0.45">
      <c r="A2885" s="12" t="s">
        <v>2420</v>
      </c>
      <c r="B2885" s="12" t="s">
        <v>2425</v>
      </c>
      <c r="C2885" s="13" t="s">
        <v>2426</v>
      </c>
      <c r="D2885" s="13" t="s">
        <v>57</v>
      </c>
      <c r="E2885" s="12" t="s">
        <v>35</v>
      </c>
      <c r="F2885" s="14">
        <v>250000</v>
      </c>
      <c r="G2885" s="14">
        <v>176700</v>
      </c>
      <c r="H2885" s="13" t="s">
        <v>2427</v>
      </c>
      <c r="I2885" s="40" t="s">
        <v>18</v>
      </c>
      <c r="J2885" s="40" t="str">
        <f>HYPERLINK("https://stock.pstatic.net/stock-research/company/16/20260508_company_96226000.pdf","PDF")</f>
        <v>PDF</v>
      </c>
      <c r="K2885" s="12" t="s">
        <v>2428</v>
      </c>
      <c r="L2885" s="36">
        <v>0.41482739105829092</v>
      </c>
    </row>
    <row r="2886" spans="1:12" x14ac:dyDescent="0.45">
      <c r="A2886" s="12" t="s">
        <v>2420</v>
      </c>
      <c r="B2886" s="12" t="s">
        <v>1184</v>
      </c>
      <c r="C2886" s="13" t="s">
        <v>1185</v>
      </c>
      <c r="D2886" s="13" t="s">
        <v>57</v>
      </c>
      <c r="E2886" s="12" t="s">
        <v>35</v>
      </c>
      <c r="F2886" s="14">
        <v>32000</v>
      </c>
      <c r="G2886" s="14">
        <v>23550</v>
      </c>
      <c r="H2886" s="13" t="s">
        <v>2429</v>
      </c>
      <c r="I2886" s="40" t="s">
        <v>18</v>
      </c>
      <c r="J2886" s="40" t="str">
        <f>HYPERLINK("https://stock.pstatic.net/stock-research/company/16/20260508_company_552264000.pdf","PDF")</f>
        <v>PDF</v>
      </c>
      <c r="K2886" s="12" t="s">
        <v>2430</v>
      </c>
      <c r="L2886" s="36">
        <v>0.35881104033970268</v>
      </c>
    </row>
    <row r="2887" spans="1:12" x14ac:dyDescent="0.45">
      <c r="A2887" s="12" t="s">
        <v>2420</v>
      </c>
      <c r="B2887" s="12" t="s">
        <v>1097</v>
      </c>
      <c r="C2887" s="13" t="s">
        <v>1098</v>
      </c>
      <c r="D2887" s="13" t="s">
        <v>57</v>
      </c>
      <c r="E2887" s="12" t="s">
        <v>35</v>
      </c>
      <c r="F2887" s="14">
        <v>190000</v>
      </c>
      <c r="G2887" s="14">
        <v>133900</v>
      </c>
      <c r="H2887" s="13" t="s">
        <v>2431</v>
      </c>
      <c r="I2887" s="40" t="s">
        <v>18</v>
      </c>
      <c r="J2887" s="40" t="str">
        <f>HYPERLINK("https://stock.pstatic.net/stock-research/company/16/20260508_company_309133000.pdf","PDF")</f>
        <v>PDF</v>
      </c>
      <c r="K2887" s="12" t="s">
        <v>2432</v>
      </c>
      <c r="L2887" s="36">
        <v>0.41896938013442869</v>
      </c>
    </row>
    <row r="2888" spans="1:12" x14ac:dyDescent="0.45">
      <c r="A2888" s="12" t="s">
        <v>2420</v>
      </c>
      <c r="B2888" s="12" t="s">
        <v>362</v>
      </c>
      <c r="C2888" s="13" t="s">
        <v>363</v>
      </c>
      <c r="D2888" s="13" t="s">
        <v>57</v>
      </c>
      <c r="E2888" s="12" t="s">
        <v>35</v>
      </c>
      <c r="F2888" s="14">
        <v>126000</v>
      </c>
      <c r="G2888" s="14">
        <v>104600</v>
      </c>
      <c r="H2888" s="13" t="s">
        <v>2433</v>
      </c>
      <c r="I2888" s="40" t="s">
        <v>18</v>
      </c>
      <c r="J2888" s="40" t="str">
        <f>HYPERLINK("https://stock.pstatic.net/stock-research/company/16/20260508_company_78702000.pdf","PDF")</f>
        <v>PDF</v>
      </c>
      <c r="K2888" s="12" t="s">
        <v>2434</v>
      </c>
      <c r="L2888" s="36">
        <v>0.2045889101338432</v>
      </c>
    </row>
    <row r="2889" spans="1:12" x14ac:dyDescent="0.45">
      <c r="A2889" s="12" t="s">
        <v>2420</v>
      </c>
      <c r="B2889" s="12" t="s">
        <v>2435</v>
      </c>
      <c r="C2889" s="13" t="s">
        <v>2436</v>
      </c>
      <c r="D2889" s="13" t="s">
        <v>57</v>
      </c>
      <c r="E2889" s="12" t="s">
        <v>35</v>
      </c>
      <c r="F2889" s="14">
        <v>870000</v>
      </c>
      <c r="G2889" s="14">
        <v>693000</v>
      </c>
      <c r="H2889" s="13" t="s">
        <v>2437</v>
      </c>
      <c r="I2889" s="40" t="s">
        <v>18</v>
      </c>
      <c r="J2889" s="40" t="str">
        <f>HYPERLINK("https://stock.pstatic.net/stock-research/company/16/20260508_company_486286000.pdf","PDF")</f>
        <v>PDF</v>
      </c>
      <c r="K2889" s="12" t="s">
        <v>2438</v>
      </c>
      <c r="L2889" s="36">
        <v>0.25541125541125542</v>
      </c>
    </row>
    <row r="2890" spans="1:12" x14ac:dyDescent="0.45">
      <c r="A2890" s="12" t="s">
        <v>2420</v>
      </c>
      <c r="B2890" s="12" t="s">
        <v>495</v>
      </c>
      <c r="C2890" s="13" t="s">
        <v>496</v>
      </c>
      <c r="D2890" s="13" t="s">
        <v>57</v>
      </c>
      <c r="E2890" s="12" t="s">
        <v>35</v>
      </c>
      <c r="F2890" s="14">
        <v>500000</v>
      </c>
      <c r="G2890" s="14">
        <v>422000</v>
      </c>
      <c r="H2890" s="13" t="s">
        <v>2439</v>
      </c>
      <c r="I2890" s="40" t="s">
        <v>18</v>
      </c>
      <c r="J2890" s="40" t="str">
        <f>HYPERLINK("https://stock.pstatic.net/stock-research/company/16/20260508_company_37704000.pdf","PDF")</f>
        <v>PDF</v>
      </c>
      <c r="K2890" s="12" t="s">
        <v>2440</v>
      </c>
      <c r="L2890" s="36">
        <v>0.18483412322274881</v>
      </c>
    </row>
    <row r="2891" spans="1:12" x14ac:dyDescent="0.45">
      <c r="A2891" s="12" t="s">
        <v>2420</v>
      </c>
      <c r="B2891" s="12" t="s">
        <v>2425</v>
      </c>
      <c r="C2891" s="13" t="s">
        <v>2426</v>
      </c>
      <c r="D2891" s="13" t="s">
        <v>276</v>
      </c>
      <c r="E2891" s="12" t="s">
        <v>16</v>
      </c>
      <c r="F2891" s="14">
        <v>210000</v>
      </c>
      <c r="G2891" s="14">
        <v>176700</v>
      </c>
      <c r="H2891" s="13" t="s">
        <v>2441</v>
      </c>
      <c r="I2891" s="40" t="s">
        <v>18</v>
      </c>
      <c r="J2891" s="40" t="str">
        <f>HYPERLINK("https://stock.pstatic.net/stock-research/company/66/20260508_company_447767000.pdf","PDF")</f>
        <v>PDF</v>
      </c>
      <c r="K2891" s="12" t="s">
        <v>2442</v>
      </c>
      <c r="L2891" s="36">
        <v>0.18845500848896429</v>
      </c>
    </row>
    <row r="2892" spans="1:12" x14ac:dyDescent="0.45">
      <c r="A2892" s="12" t="s">
        <v>2420</v>
      </c>
      <c r="B2892" s="12" t="s">
        <v>1652</v>
      </c>
      <c r="C2892" s="13" t="s">
        <v>1653</v>
      </c>
      <c r="D2892" s="13" t="s">
        <v>276</v>
      </c>
      <c r="E2892" s="12" t="s">
        <v>16</v>
      </c>
      <c r="F2892" s="14">
        <v>81000</v>
      </c>
      <c r="G2892" s="14">
        <v>61200</v>
      </c>
      <c r="H2892" s="13" t="s">
        <v>2443</v>
      </c>
      <c r="I2892" s="40" t="s">
        <v>18</v>
      </c>
      <c r="J2892" s="40" t="str">
        <f>HYPERLINK("https://stock.pstatic.net/stock-research/company/66/20260508_company_841704000.pdf","PDF")</f>
        <v>PDF</v>
      </c>
      <c r="K2892" s="12" t="s">
        <v>2444</v>
      </c>
      <c r="L2892" s="36">
        <v>0.3235294117647059</v>
      </c>
    </row>
    <row r="2893" spans="1:12" x14ac:dyDescent="0.45">
      <c r="A2893" s="12" t="s">
        <v>2420</v>
      </c>
      <c r="B2893" s="12" t="s">
        <v>2435</v>
      </c>
      <c r="C2893" s="13" t="s">
        <v>2436</v>
      </c>
      <c r="D2893" s="13" t="s">
        <v>276</v>
      </c>
      <c r="E2893" s="12" t="s">
        <v>16</v>
      </c>
      <c r="F2893" s="14">
        <v>900000</v>
      </c>
      <c r="G2893" s="14">
        <v>693000</v>
      </c>
      <c r="H2893" s="13" t="s">
        <v>2445</v>
      </c>
      <c r="I2893" s="40" t="s">
        <v>18</v>
      </c>
      <c r="J2893" s="40" t="str">
        <f>HYPERLINK("https://stock.pstatic.net/stock-research/company/66/20260508_company_616879000.pdf","PDF")</f>
        <v>PDF</v>
      </c>
      <c r="K2893" s="12" t="s">
        <v>2446</v>
      </c>
      <c r="L2893" s="36">
        <v>0.29870129870129869</v>
      </c>
    </row>
    <row r="2894" spans="1:12" x14ac:dyDescent="0.45">
      <c r="A2894" s="12" t="s">
        <v>2420</v>
      </c>
      <c r="B2894" s="12" t="s">
        <v>1666</v>
      </c>
      <c r="C2894" s="13" t="s">
        <v>1667</v>
      </c>
      <c r="D2894" s="13" t="s">
        <v>276</v>
      </c>
      <c r="E2894" s="12" t="s">
        <v>16</v>
      </c>
      <c r="F2894" s="14">
        <v>70000</v>
      </c>
      <c r="G2894" s="14">
        <v>47100</v>
      </c>
      <c r="H2894" s="13" t="s">
        <v>2447</v>
      </c>
      <c r="I2894" s="40" t="s">
        <v>18</v>
      </c>
      <c r="J2894" s="40" t="str">
        <f>HYPERLINK("https://stock.pstatic.net/stock-research/company/66/20260508_company_241693000.pdf","PDF")</f>
        <v>PDF</v>
      </c>
      <c r="K2894" s="12" t="s">
        <v>2448</v>
      </c>
      <c r="L2894" s="36">
        <v>0.4861995753715499</v>
      </c>
    </row>
    <row r="2895" spans="1:12" x14ac:dyDescent="0.45">
      <c r="A2895" s="12" t="s">
        <v>2420</v>
      </c>
      <c r="B2895" s="12" t="s">
        <v>2449</v>
      </c>
      <c r="C2895" s="13" t="s">
        <v>2450</v>
      </c>
      <c r="D2895" s="13" t="s">
        <v>276</v>
      </c>
      <c r="E2895" s="12" t="s">
        <v>16</v>
      </c>
      <c r="F2895" s="14">
        <v>10000</v>
      </c>
      <c r="G2895" s="14">
        <v>5230</v>
      </c>
      <c r="H2895" s="13" t="s">
        <v>2451</v>
      </c>
      <c r="I2895" s="40" t="s">
        <v>18</v>
      </c>
      <c r="J2895" s="40" t="str">
        <f>HYPERLINK("https://stock.pstatic.net/stock-research/company/66/20260508_company_265189000.pdf","PDF")</f>
        <v>PDF</v>
      </c>
      <c r="K2895" s="12" t="s">
        <v>2452</v>
      </c>
      <c r="L2895" s="36">
        <v>0.91204588910133844</v>
      </c>
    </row>
    <row r="2896" spans="1:12" x14ac:dyDescent="0.45">
      <c r="A2896" s="12" t="s">
        <v>2420</v>
      </c>
      <c r="B2896" s="12" t="s">
        <v>1652</v>
      </c>
      <c r="C2896" s="13" t="s">
        <v>1653</v>
      </c>
      <c r="D2896" s="13" t="s">
        <v>60</v>
      </c>
      <c r="E2896" s="12" t="s">
        <v>35</v>
      </c>
      <c r="F2896" s="14">
        <v>77000</v>
      </c>
      <c r="G2896" s="14">
        <v>61200</v>
      </c>
      <c r="H2896" s="13" t="s">
        <v>2453</v>
      </c>
      <c r="I2896" s="40" t="s">
        <v>18</v>
      </c>
      <c r="J2896" s="40" t="str">
        <f>HYPERLINK("https://stock.pstatic.net/stock-research/company/62/20260508_company_521193000.pdf","PDF")</f>
        <v>PDF</v>
      </c>
      <c r="K2896" s="12" t="s">
        <v>2454</v>
      </c>
      <c r="L2896" s="36">
        <v>0.2581699346405229</v>
      </c>
    </row>
    <row r="2897" spans="1:12" x14ac:dyDescent="0.45">
      <c r="A2897" s="12" t="s">
        <v>2420</v>
      </c>
      <c r="B2897" s="12" t="s">
        <v>916</v>
      </c>
      <c r="C2897" s="13" t="s">
        <v>917</v>
      </c>
      <c r="D2897" s="13" t="s">
        <v>60</v>
      </c>
      <c r="E2897" s="12" t="s">
        <v>35</v>
      </c>
      <c r="F2897" s="14">
        <v>76000</v>
      </c>
      <c r="G2897" s="14">
        <v>45250</v>
      </c>
      <c r="H2897" s="13" t="s">
        <v>2455</v>
      </c>
      <c r="I2897" s="40" t="s">
        <v>18</v>
      </c>
      <c r="J2897" s="40" t="str">
        <f>HYPERLINK("https://stock.pstatic.net/stock-research/company/62/20260508_company_715636000.pdf","PDF")</f>
        <v>PDF</v>
      </c>
      <c r="K2897" s="12" t="s">
        <v>2456</v>
      </c>
      <c r="L2897" s="36">
        <v>0.6795580110497238</v>
      </c>
    </row>
    <row r="2898" spans="1:12" x14ac:dyDescent="0.45">
      <c r="A2898" s="12" t="s">
        <v>2420</v>
      </c>
      <c r="B2898" s="12" t="s">
        <v>495</v>
      </c>
      <c r="C2898" s="13" t="s">
        <v>496</v>
      </c>
      <c r="D2898" s="13" t="s">
        <v>60</v>
      </c>
      <c r="E2898" s="12" t="s">
        <v>35</v>
      </c>
      <c r="F2898" s="14">
        <v>550000</v>
      </c>
      <c r="G2898" s="14">
        <v>401500</v>
      </c>
      <c r="H2898" s="13" t="s">
        <v>2457</v>
      </c>
      <c r="I2898" s="40" t="s">
        <v>18</v>
      </c>
      <c r="J2898" s="40" t="str">
        <f>HYPERLINK("https://stock.pstatic.net/stock-research/company/62/20260508_company_529159000.pdf","PDF")</f>
        <v>PDF</v>
      </c>
      <c r="K2898" s="12" t="s">
        <v>2458</v>
      </c>
      <c r="L2898" s="36">
        <v>0.36986301369863012</v>
      </c>
    </row>
    <row r="2899" spans="1:12" x14ac:dyDescent="0.45">
      <c r="A2899" s="12" t="s">
        <v>2420</v>
      </c>
      <c r="B2899" s="12" t="s">
        <v>2266</v>
      </c>
      <c r="C2899" s="13" t="s">
        <v>2267</v>
      </c>
      <c r="D2899" s="13" t="s">
        <v>65</v>
      </c>
      <c r="E2899" s="12" t="s">
        <v>35</v>
      </c>
      <c r="F2899" s="14">
        <v>230000</v>
      </c>
      <c r="G2899" s="14">
        <v>171800</v>
      </c>
      <c r="H2899" s="13" t="s">
        <v>2459</v>
      </c>
      <c r="I2899" s="40" t="s">
        <v>18</v>
      </c>
      <c r="J2899" s="40" t="str">
        <f>HYPERLINK("https://stock.pstatic.net/stock-research/company/57/20260508_company_395202000.pdf","PDF")</f>
        <v>PDF</v>
      </c>
      <c r="K2899" s="12" t="s">
        <v>2460</v>
      </c>
      <c r="L2899" s="36">
        <v>0.33876600698486609</v>
      </c>
    </row>
    <row r="2900" spans="1:12" x14ac:dyDescent="0.45">
      <c r="A2900" s="12" t="s">
        <v>2420</v>
      </c>
      <c r="B2900" s="12" t="s">
        <v>2225</v>
      </c>
      <c r="C2900" s="13" t="s">
        <v>2226</v>
      </c>
      <c r="D2900" s="13" t="s">
        <v>65</v>
      </c>
      <c r="E2900" s="12" t="s">
        <v>35</v>
      </c>
      <c r="F2900" s="14">
        <v>1110000</v>
      </c>
      <c r="G2900" s="14">
        <v>866000</v>
      </c>
      <c r="H2900" s="13" t="s">
        <v>2461</v>
      </c>
      <c r="I2900" s="40" t="s">
        <v>18</v>
      </c>
      <c r="J2900" s="40" t="str">
        <f>HYPERLINK("https://stock.pstatic.net/stock-research/company/57/20260508_company_705665000.pdf","PDF")</f>
        <v>PDF</v>
      </c>
      <c r="K2900" s="12" t="s">
        <v>2462</v>
      </c>
      <c r="L2900" s="36">
        <v>0.28175519630484991</v>
      </c>
    </row>
    <row r="2901" spans="1:12" x14ac:dyDescent="0.45">
      <c r="A2901" s="12" t="s">
        <v>2420</v>
      </c>
      <c r="B2901" s="12" t="s">
        <v>1660</v>
      </c>
      <c r="C2901" s="13" t="s">
        <v>1661</v>
      </c>
      <c r="D2901" s="13" t="s">
        <v>65</v>
      </c>
      <c r="E2901" s="12" t="s">
        <v>35</v>
      </c>
      <c r="F2901" s="14">
        <v>48000</v>
      </c>
      <c r="G2901" s="14">
        <v>33800</v>
      </c>
      <c r="H2901" s="13" t="s">
        <v>2463</v>
      </c>
      <c r="I2901" s="40" t="s">
        <v>18</v>
      </c>
      <c r="J2901" s="40" t="str">
        <f>HYPERLINK("https://stock.pstatic.net/stock-research/company/57/20260508_company_386214000.pdf","PDF")</f>
        <v>PDF</v>
      </c>
      <c r="K2901" s="12" t="s">
        <v>2464</v>
      </c>
      <c r="L2901" s="36">
        <v>0.42011834319526631</v>
      </c>
    </row>
    <row r="2902" spans="1:12" x14ac:dyDescent="0.45">
      <c r="A2902" s="12" t="s">
        <v>2420</v>
      </c>
      <c r="B2902" s="12" t="s">
        <v>1678</v>
      </c>
      <c r="C2902" s="13" t="s">
        <v>1679</v>
      </c>
      <c r="D2902" s="13" t="s">
        <v>65</v>
      </c>
      <c r="E2902" s="12" t="s">
        <v>35</v>
      </c>
      <c r="F2902" s="14">
        <v>70000</v>
      </c>
      <c r="G2902" s="14">
        <v>51300</v>
      </c>
      <c r="H2902" s="13" t="s">
        <v>2465</v>
      </c>
      <c r="I2902" s="40" t="s">
        <v>18</v>
      </c>
      <c r="J2902" s="40" t="str">
        <f>HYPERLINK("https://stock.pstatic.net/stock-research/company/57/20260508_company_132069000.pdf","PDF")</f>
        <v>PDF</v>
      </c>
      <c r="K2902" s="12" t="s">
        <v>2466</v>
      </c>
      <c r="L2902" s="36">
        <v>0.36452241715399608</v>
      </c>
    </row>
    <row r="2903" spans="1:12" x14ac:dyDescent="0.45">
      <c r="A2903" s="12" t="s">
        <v>2420</v>
      </c>
      <c r="B2903" s="12" t="s">
        <v>732</v>
      </c>
      <c r="C2903" s="13" t="s">
        <v>733</v>
      </c>
      <c r="D2903" s="13" t="s">
        <v>65</v>
      </c>
      <c r="E2903" s="12" t="s">
        <v>35</v>
      </c>
      <c r="F2903" s="14">
        <v>150000</v>
      </c>
      <c r="G2903" s="14">
        <v>99600</v>
      </c>
      <c r="H2903" s="13" t="s">
        <v>2467</v>
      </c>
      <c r="I2903" s="40" t="s">
        <v>18</v>
      </c>
      <c r="J2903" s="40" t="str">
        <f>HYPERLINK("https://stock.pstatic.net/stock-research/company/57/20260508_company_449697000.pdf","PDF")</f>
        <v>PDF</v>
      </c>
      <c r="K2903" s="12" t="s">
        <v>2468</v>
      </c>
      <c r="L2903" s="36">
        <v>0.50602409638554213</v>
      </c>
    </row>
    <row r="2904" spans="1:12" x14ac:dyDescent="0.45">
      <c r="A2904" s="12" t="s">
        <v>2420</v>
      </c>
      <c r="B2904" s="12" t="s">
        <v>166</v>
      </c>
      <c r="C2904" s="13" t="s">
        <v>167</v>
      </c>
      <c r="D2904" s="13" t="s">
        <v>65</v>
      </c>
      <c r="E2904" s="12" t="s">
        <v>35</v>
      </c>
      <c r="F2904" s="14">
        <v>70000</v>
      </c>
      <c r="G2904" s="14">
        <v>39950</v>
      </c>
      <c r="H2904" s="13" t="s">
        <v>2469</v>
      </c>
      <c r="I2904" s="40" t="s">
        <v>18</v>
      </c>
      <c r="J2904" s="40" t="str">
        <f>HYPERLINK("https://stock.pstatic.net/stock-research/company/57/20260508_company_186246000.pdf","PDF")</f>
        <v>PDF</v>
      </c>
      <c r="K2904" s="12" t="s">
        <v>2470</v>
      </c>
      <c r="L2904" s="36">
        <v>0.75219023779724659</v>
      </c>
    </row>
    <row r="2905" spans="1:12" x14ac:dyDescent="0.45">
      <c r="A2905" s="12" t="s">
        <v>2420</v>
      </c>
      <c r="B2905" s="12" t="s">
        <v>541</v>
      </c>
      <c r="C2905" s="13" t="s">
        <v>542</v>
      </c>
      <c r="D2905" s="13" t="s">
        <v>65</v>
      </c>
      <c r="E2905" s="12" t="s">
        <v>35</v>
      </c>
      <c r="F2905" s="14">
        <v>140000</v>
      </c>
      <c r="G2905" s="14">
        <v>93200</v>
      </c>
      <c r="H2905" s="13" t="s">
        <v>2471</v>
      </c>
      <c r="I2905" s="40" t="s">
        <v>18</v>
      </c>
      <c r="J2905" s="40" t="str">
        <f>HYPERLINK("https://stock.pstatic.net/stock-research/company/57/20260508_company_659383000.pdf","PDF")</f>
        <v>PDF</v>
      </c>
      <c r="K2905" s="12" t="s">
        <v>2472</v>
      </c>
      <c r="L2905" s="36">
        <v>0.50214592274678116</v>
      </c>
    </row>
    <row r="2906" spans="1:12" x14ac:dyDescent="0.45">
      <c r="A2906" s="12" t="s">
        <v>2420</v>
      </c>
      <c r="B2906" s="12" t="s">
        <v>541</v>
      </c>
      <c r="C2906" s="13" t="s">
        <v>542</v>
      </c>
      <c r="D2906" s="13" t="s">
        <v>65</v>
      </c>
      <c r="E2906" s="12" t="s">
        <v>35</v>
      </c>
      <c r="F2906" s="14">
        <v>140000</v>
      </c>
      <c r="G2906" s="14">
        <v>93200</v>
      </c>
      <c r="H2906" s="13" t="s">
        <v>2473</v>
      </c>
      <c r="I2906" s="40" t="s">
        <v>18</v>
      </c>
      <c r="J2906" s="40" t="str">
        <f>HYPERLINK("https://stock.pstatic.net/stock-research/company/57/20260508_company_943917000.pdf","PDF")</f>
        <v>PDF</v>
      </c>
      <c r="K2906" s="12" t="s">
        <v>2474</v>
      </c>
      <c r="L2906" s="36">
        <v>0.50214592274678116</v>
      </c>
    </row>
    <row r="2907" spans="1:12" x14ac:dyDescent="0.45">
      <c r="A2907" s="12" t="s">
        <v>2420</v>
      </c>
      <c r="B2907" s="12" t="s">
        <v>537</v>
      </c>
      <c r="C2907" s="13" t="s">
        <v>538</v>
      </c>
      <c r="D2907" s="13" t="s">
        <v>65</v>
      </c>
      <c r="E2907" s="12" t="s">
        <v>35</v>
      </c>
      <c r="F2907" s="14">
        <v>20000</v>
      </c>
      <c r="G2907" s="14">
        <v>15370</v>
      </c>
      <c r="H2907" s="13" t="s">
        <v>2473</v>
      </c>
      <c r="I2907" s="40" t="s">
        <v>18</v>
      </c>
      <c r="J2907" s="40" t="str">
        <f>HYPERLINK("https://stock.pstatic.net/stock-research/company/57/20260508_company_270619000.pdf","PDF")</f>
        <v>PDF</v>
      </c>
      <c r="K2907" s="12" t="s">
        <v>2475</v>
      </c>
      <c r="L2907" s="36">
        <v>0.30123617436564742</v>
      </c>
    </row>
    <row r="2908" spans="1:12" x14ac:dyDescent="0.45">
      <c r="A2908" s="12" t="s">
        <v>2420</v>
      </c>
      <c r="B2908" s="12" t="s">
        <v>537</v>
      </c>
      <c r="C2908" s="13" t="s">
        <v>538</v>
      </c>
      <c r="D2908" s="13" t="s">
        <v>65</v>
      </c>
      <c r="E2908" s="12" t="s">
        <v>35</v>
      </c>
      <c r="F2908" s="14">
        <v>20000</v>
      </c>
      <c r="G2908" s="14">
        <v>15370</v>
      </c>
      <c r="H2908" s="13" t="s">
        <v>2476</v>
      </c>
      <c r="I2908" s="40" t="s">
        <v>18</v>
      </c>
      <c r="J2908" s="40" t="str">
        <f>HYPERLINK("https://stock.pstatic.net/stock-research/company/57/20260508_company_435586000.pdf","PDF")</f>
        <v>PDF</v>
      </c>
      <c r="K2908" s="12" t="s">
        <v>2477</v>
      </c>
      <c r="L2908" s="36">
        <v>0.30123617436564742</v>
      </c>
    </row>
    <row r="2909" spans="1:12" x14ac:dyDescent="0.45">
      <c r="A2909" s="12" t="s">
        <v>2420</v>
      </c>
      <c r="B2909" s="12" t="s">
        <v>1670</v>
      </c>
      <c r="C2909" s="13" t="s">
        <v>1671</v>
      </c>
      <c r="D2909" s="13" t="s">
        <v>65</v>
      </c>
      <c r="E2909" s="12" t="s">
        <v>35</v>
      </c>
      <c r="F2909" s="14">
        <v>180000</v>
      </c>
      <c r="G2909" s="14">
        <v>131800</v>
      </c>
      <c r="H2909" s="13" t="s">
        <v>2478</v>
      </c>
      <c r="I2909" s="40" t="s">
        <v>18</v>
      </c>
      <c r="J2909" s="40" t="str">
        <f>HYPERLINK("https://stock.pstatic.net/stock-research/company/57/20260508_company_206678000.pdf","PDF")</f>
        <v>PDF</v>
      </c>
      <c r="K2909" s="12" t="s">
        <v>2479</v>
      </c>
      <c r="L2909" s="36">
        <v>0.36570561456752648</v>
      </c>
    </row>
    <row r="2910" spans="1:12" x14ac:dyDescent="0.45">
      <c r="A2910" s="12" t="s">
        <v>2420</v>
      </c>
      <c r="B2910" s="12" t="s">
        <v>916</v>
      </c>
      <c r="C2910" s="13" t="s">
        <v>917</v>
      </c>
      <c r="D2910" s="13" t="s">
        <v>65</v>
      </c>
      <c r="E2910" s="12" t="s">
        <v>35</v>
      </c>
      <c r="F2910" s="14">
        <v>75000</v>
      </c>
      <c r="G2910" s="14">
        <v>45250</v>
      </c>
      <c r="H2910" s="13" t="s">
        <v>2480</v>
      </c>
      <c r="I2910" s="40" t="s">
        <v>18</v>
      </c>
      <c r="J2910" s="40" t="str">
        <f>HYPERLINK("https://stock.pstatic.net/stock-research/company/57/20260508_company_817732000.pdf","PDF")</f>
        <v>PDF</v>
      </c>
      <c r="K2910" s="12" t="s">
        <v>2481</v>
      </c>
      <c r="L2910" s="36">
        <v>0.65745856353591159</v>
      </c>
    </row>
    <row r="2911" spans="1:12" x14ac:dyDescent="0.45">
      <c r="A2911" s="12" t="s">
        <v>2420</v>
      </c>
      <c r="B2911" s="12" t="s">
        <v>1666</v>
      </c>
      <c r="C2911" s="13" t="s">
        <v>1667</v>
      </c>
      <c r="D2911" s="13" t="s">
        <v>65</v>
      </c>
      <c r="E2911" s="12" t="s">
        <v>35</v>
      </c>
      <c r="F2911" s="14">
        <v>66000</v>
      </c>
      <c r="G2911" s="14">
        <v>47100</v>
      </c>
      <c r="H2911" s="13" t="s">
        <v>2482</v>
      </c>
      <c r="I2911" s="40" t="s">
        <v>18</v>
      </c>
      <c r="J2911" s="40" t="str">
        <f>HYPERLINK("https://stock.pstatic.net/stock-research/company/57/20260508_company_167309000.pdf","PDF")</f>
        <v>PDF</v>
      </c>
      <c r="K2911" s="12" t="s">
        <v>2483</v>
      </c>
      <c r="L2911" s="36">
        <v>0.40127388535031849</v>
      </c>
    </row>
    <row r="2912" spans="1:12" x14ac:dyDescent="0.45">
      <c r="A2912" s="12" t="s">
        <v>2420</v>
      </c>
      <c r="B2912" s="12" t="s">
        <v>1652</v>
      </c>
      <c r="C2912" s="13" t="s">
        <v>1653</v>
      </c>
      <c r="D2912" s="13" t="s">
        <v>65</v>
      </c>
      <c r="E2912" s="12" t="s">
        <v>35</v>
      </c>
      <c r="F2912" s="14">
        <v>80000</v>
      </c>
      <c r="G2912" s="14">
        <v>61200</v>
      </c>
      <c r="H2912" s="13" t="s">
        <v>2484</v>
      </c>
      <c r="I2912" s="40" t="s">
        <v>18</v>
      </c>
      <c r="J2912" s="40" t="str">
        <f>HYPERLINK("https://stock.pstatic.net/stock-research/company/57/20260508_company_61527000.pdf","PDF")</f>
        <v>PDF</v>
      </c>
      <c r="K2912" s="12" t="s">
        <v>2485</v>
      </c>
      <c r="L2912" s="36">
        <v>0.30718954248366009</v>
      </c>
    </row>
    <row r="2913" spans="1:12" x14ac:dyDescent="0.45">
      <c r="A2913" s="12" t="s">
        <v>2420</v>
      </c>
      <c r="B2913" s="12" t="s">
        <v>2435</v>
      </c>
      <c r="C2913" s="13" t="s">
        <v>2436</v>
      </c>
      <c r="D2913" s="13" t="s">
        <v>65</v>
      </c>
      <c r="E2913" s="12" t="s">
        <v>35</v>
      </c>
      <c r="F2913" s="14">
        <v>900000</v>
      </c>
      <c r="G2913" s="14">
        <v>693000</v>
      </c>
      <c r="H2913" s="13" t="s">
        <v>2486</v>
      </c>
      <c r="I2913" s="40" t="s">
        <v>18</v>
      </c>
      <c r="J2913" s="40" t="str">
        <f>HYPERLINK("https://stock.pstatic.net/stock-research/company/57/20260508_company_579371000.pdf","PDF")</f>
        <v>PDF</v>
      </c>
      <c r="K2913" s="12" t="s">
        <v>2487</v>
      </c>
      <c r="L2913" s="36">
        <v>0.29870129870129869</v>
      </c>
    </row>
    <row r="2914" spans="1:12" x14ac:dyDescent="0.45">
      <c r="A2914" s="12" t="s">
        <v>2420</v>
      </c>
      <c r="B2914" s="12" t="s">
        <v>2488</v>
      </c>
      <c r="C2914" s="13" t="s">
        <v>2489</v>
      </c>
      <c r="D2914" s="13" t="s">
        <v>65</v>
      </c>
      <c r="E2914" s="12" t="s">
        <v>35</v>
      </c>
      <c r="F2914" s="14">
        <v>120000</v>
      </c>
      <c r="G2914" s="14">
        <v>99900</v>
      </c>
      <c r="H2914" s="13" t="s">
        <v>2490</v>
      </c>
      <c r="I2914" s="40" t="s">
        <v>18</v>
      </c>
      <c r="J2914" s="40" t="str">
        <f>HYPERLINK("https://stock.pstatic.net/stock-research/company/57/20260508_company_878735000.pdf","PDF")</f>
        <v>PDF</v>
      </c>
      <c r="K2914" s="12" t="s">
        <v>2491</v>
      </c>
      <c r="L2914" s="36">
        <v>0.20120120120120119</v>
      </c>
    </row>
    <row r="2915" spans="1:12" x14ac:dyDescent="0.45">
      <c r="A2915" s="12" t="s">
        <v>2420</v>
      </c>
      <c r="B2915" s="12" t="s">
        <v>2492</v>
      </c>
      <c r="C2915" s="13" t="s">
        <v>2493</v>
      </c>
      <c r="D2915" s="13" t="s">
        <v>65</v>
      </c>
      <c r="E2915" s="12" t="s">
        <v>35</v>
      </c>
      <c r="F2915" s="14">
        <v>570000</v>
      </c>
      <c r="G2915" s="14">
        <v>467500</v>
      </c>
      <c r="H2915" s="13" t="s">
        <v>2494</v>
      </c>
      <c r="I2915" s="40" t="s">
        <v>18</v>
      </c>
      <c r="J2915" s="40" t="str">
        <f>HYPERLINK("https://stock.pstatic.net/stock-research/company/57/20260508_company_983767000.pdf","PDF")</f>
        <v>PDF</v>
      </c>
      <c r="K2915" s="12" t="s">
        <v>2495</v>
      </c>
      <c r="L2915" s="36">
        <v>0.21925133689839571</v>
      </c>
    </row>
    <row r="2916" spans="1:12" x14ac:dyDescent="0.45">
      <c r="A2916" s="12" t="s">
        <v>2420</v>
      </c>
      <c r="B2916" s="12" t="s">
        <v>362</v>
      </c>
      <c r="C2916" s="13" t="s">
        <v>363</v>
      </c>
      <c r="D2916" s="13" t="s">
        <v>65</v>
      </c>
      <c r="E2916" s="12" t="s">
        <v>35</v>
      </c>
      <c r="F2916" s="14">
        <v>125000</v>
      </c>
      <c r="G2916" s="14">
        <v>104600</v>
      </c>
      <c r="H2916" s="13" t="s">
        <v>2496</v>
      </c>
      <c r="I2916" s="40" t="s">
        <v>18</v>
      </c>
      <c r="J2916" s="40" t="str">
        <f>HYPERLINK("https://stock.pstatic.net/stock-research/company/57/20260508_company_675735000.pdf","PDF")</f>
        <v>PDF</v>
      </c>
      <c r="K2916" s="12" t="s">
        <v>2497</v>
      </c>
      <c r="L2916" s="36">
        <v>0.19502868068833651</v>
      </c>
    </row>
    <row r="2917" spans="1:12" x14ac:dyDescent="0.45">
      <c r="A2917" s="12" t="s">
        <v>2420</v>
      </c>
      <c r="B2917" s="12" t="s">
        <v>2266</v>
      </c>
      <c r="C2917" s="13" t="s">
        <v>2267</v>
      </c>
      <c r="D2917" s="13" t="s">
        <v>23</v>
      </c>
      <c r="E2917" s="12" t="s">
        <v>16</v>
      </c>
      <c r="F2917" s="14">
        <v>215000</v>
      </c>
      <c r="G2917" s="14">
        <v>171800</v>
      </c>
      <c r="H2917" s="13" t="s">
        <v>2498</v>
      </c>
      <c r="I2917" s="40" t="s">
        <v>18</v>
      </c>
      <c r="J2917" s="40" t="str">
        <f>HYPERLINK("https://stock.pstatic.net/stock-research/company/21/20260508_company_839889000.pdf","PDF")</f>
        <v>PDF</v>
      </c>
      <c r="K2917" s="12" t="s">
        <v>2499</v>
      </c>
      <c r="L2917" s="36">
        <v>0.25145518044237491</v>
      </c>
    </row>
    <row r="2918" spans="1:12" x14ac:dyDescent="0.45">
      <c r="A2918" s="12" t="s">
        <v>2420</v>
      </c>
      <c r="B2918" s="12" t="s">
        <v>541</v>
      </c>
      <c r="C2918" s="13" t="s">
        <v>542</v>
      </c>
      <c r="D2918" s="13" t="s">
        <v>23</v>
      </c>
      <c r="E2918" s="12" t="s">
        <v>50</v>
      </c>
      <c r="F2918" s="14">
        <v>98000</v>
      </c>
      <c r="G2918" s="14">
        <v>93200</v>
      </c>
      <c r="H2918" s="13" t="s">
        <v>2500</v>
      </c>
      <c r="I2918" s="40" t="s">
        <v>18</v>
      </c>
      <c r="J2918" s="40" t="str">
        <f>HYPERLINK("https://stock.pstatic.net/stock-research/company/21/20260508_company_954201000.pdf","PDF")</f>
        <v>PDF</v>
      </c>
      <c r="K2918" s="12" t="s">
        <v>2501</v>
      </c>
      <c r="L2918" s="36">
        <v>5.1502145922746781E-2</v>
      </c>
    </row>
    <row r="2919" spans="1:12" x14ac:dyDescent="0.45">
      <c r="A2919" s="12" t="s">
        <v>2420</v>
      </c>
      <c r="B2919" s="12" t="s">
        <v>537</v>
      </c>
      <c r="C2919" s="13" t="s">
        <v>538</v>
      </c>
      <c r="D2919" s="13" t="s">
        <v>23</v>
      </c>
      <c r="E2919" s="12" t="s">
        <v>16</v>
      </c>
      <c r="F2919" s="14">
        <v>21000</v>
      </c>
      <c r="G2919" s="14">
        <v>15370</v>
      </c>
      <c r="H2919" s="13" t="s">
        <v>2502</v>
      </c>
      <c r="I2919" s="40" t="s">
        <v>18</v>
      </c>
      <c r="J2919" s="40" t="str">
        <f>HYPERLINK("https://stock.pstatic.net/stock-research/company/21/20260508_company_84908000.pdf","PDF")</f>
        <v>PDF</v>
      </c>
      <c r="K2919" s="12" t="s">
        <v>2503</v>
      </c>
      <c r="L2919" s="36">
        <v>0.36629798308392969</v>
      </c>
    </row>
    <row r="2920" spans="1:12" x14ac:dyDescent="0.45">
      <c r="A2920" s="12" t="s">
        <v>2420</v>
      </c>
      <c r="B2920" s="12" t="s">
        <v>2266</v>
      </c>
      <c r="C2920" s="13" t="s">
        <v>2267</v>
      </c>
      <c r="D2920" s="13" t="s">
        <v>158</v>
      </c>
      <c r="E2920" s="12" t="s">
        <v>35</v>
      </c>
      <c r="F2920" s="14">
        <v>236000</v>
      </c>
      <c r="G2920" s="14">
        <v>171800</v>
      </c>
      <c r="H2920" s="13" t="s">
        <v>2504</v>
      </c>
      <c r="I2920" s="40" t="s">
        <v>18</v>
      </c>
      <c r="J2920" s="40" t="str">
        <f>HYPERLINK("https://stock.pstatic.net/stock-research/company/18/20260508_company_580995000.pdf","PDF")</f>
        <v>PDF</v>
      </c>
      <c r="K2920" s="12" t="s">
        <v>2505</v>
      </c>
      <c r="L2920" s="36">
        <v>0.37369033760186271</v>
      </c>
    </row>
    <row r="2921" spans="1:12" x14ac:dyDescent="0.45">
      <c r="A2921" s="12" t="s">
        <v>2420</v>
      </c>
      <c r="B2921" s="12" t="s">
        <v>2435</v>
      </c>
      <c r="C2921" s="13" t="s">
        <v>2436</v>
      </c>
      <c r="D2921" s="13" t="s">
        <v>158</v>
      </c>
      <c r="E2921" s="12" t="s">
        <v>35</v>
      </c>
      <c r="F2921" s="14">
        <v>842000</v>
      </c>
      <c r="G2921" s="14">
        <v>693000</v>
      </c>
      <c r="H2921" s="13" t="s">
        <v>2506</v>
      </c>
      <c r="I2921" s="40" t="s">
        <v>18</v>
      </c>
      <c r="J2921" s="40" t="str">
        <f>HYPERLINK("https://stock.pstatic.net/stock-research/company/18/20260508_company_938621000.pdf","PDF")</f>
        <v>PDF</v>
      </c>
      <c r="K2921" s="12" t="s">
        <v>2507</v>
      </c>
      <c r="L2921" s="36">
        <v>0.21500721500721501</v>
      </c>
    </row>
    <row r="2922" spans="1:12" x14ac:dyDescent="0.45">
      <c r="A2922" s="12" t="s">
        <v>2420</v>
      </c>
      <c r="B2922" s="12" t="s">
        <v>2425</v>
      </c>
      <c r="C2922" s="13" t="s">
        <v>2426</v>
      </c>
      <c r="D2922" s="13" t="s">
        <v>158</v>
      </c>
      <c r="E2922" s="12" t="s">
        <v>35</v>
      </c>
      <c r="F2922" s="14">
        <v>210000</v>
      </c>
      <c r="G2922" s="14">
        <v>176700</v>
      </c>
      <c r="H2922" s="13" t="s">
        <v>2508</v>
      </c>
      <c r="I2922" s="40" t="s">
        <v>18</v>
      </c>
      <c r="J2922" s="40" t="str">
        <f>HYPERLINK("https://stock.pstatic.net/stock-research/company/18/20260508_company_821147000.pdf","PDF")</f>
        <v>PDF</v>
      </c>
      <c r="K2922" s="12" t="s">
        <v>2509</v>
      </c>
      <c r="L2922" s="36">
        <v>0.18845500848896429</v>
      </c>
    </row>
    <row r="2923" spans="1:12" x14ac:dyDescent="0.45">
      <c r="A2923" s="12" t="s">
        <v>2420</v>
      </c>
      <c r="B2923" s="12" t="s">
        <v>541</v>
      </c>
      <c r="C2923" s="13" t="s">
        <v>542</v>
      </c>
      <c r="D2923" s="13" t="s">
        <v>158</v>
      </c>
      <c r="E2923" s="12" t="s">
        <v>35</v>
      </c>
      <c r="F2923" s="14">
        <v>118000</v>
      </c>
      <c r="G2923" s="14">
        <v>93200</v>
      </c>
      <c r="H2923" s="13" t="s">
        <v>2510</v>
      </c>
      <c r="I2923" s="40" t="s">
        <v>18</v>
      </c>
      <c r="J2923" s="40" t="str">
        <f>HYPERLINK("https://stock.pstatic.net/stock-research/company/18/20260508_company_48990000.pdf","PDF")</f>
        <v>PDF</v>
      </c>
      <c r="K2923" s="12" t="s">
        <v>2511</v>
      </c>
      <c r="L2923" s="36">
        <v>0.26609442060085842</v>
      </c>
    </row>
    <row r="2924" spans="1:12" x14ac:dyDescent="0.45">
      <c r="A2924" s="12" t="s">
        <v>2420</v>
      </c>
      <c r="B2924" s="12" t="s">
        <v>916</v>
      </c>
      <c r="C2924" s="13" t="s">
        <v>917</v>
      </c>
      <c r="D2924" s="13" t="s">
        <v>158</v>
      </c>
      <c r="E2924" s="12" t="s">
        <v>35</v>
      </c>
      <c r="F2924" s="14">
        <v>80000</v>
      </c>
      <c r="G2924" s="14">
        <v>45250</v>
      </c>
      <c r="H2924" s="13" t="s">
        <v>2512</v>
      </c>
      <c r="I2924" s="40" t="s">
        <v>18</v>
      </c>
      <c r="J2924" s="40" t="str">
        <f>HYPERLINK("https://stock.pstatic.net/stock-research/company/18/20260508_company_168218000.pdf","PDF")</f>
        <v>PDF</v>
      </c>
      <c r="K2924" s="12" t="s">
        <v>2513</v>
      </c>
      <c r="L2924" s="36">
        <v>0.76795580110497241</v>
      </c>
    </row>
    <row r="2925" spans="1:12" x14ac:dyDescent="0.45">
      <c r="A2925" s="12" t="s">
        <v>2420</v>
      </c>
      <c r="B2925" s="12" t="s">
        <v>537</v>
      </c>
      <c r="C2925" s="13" t="s">
        <v>538</v>
      </c>
      <c r="D2925" s="13" t="s">
        <v>158</v>
      </c>
      <c r="E2925" s="12" t="s">
        <v>35</v>
      </c>
      <c r="F2925" s="14">
        <v>21000</v>
      </c>
      <c r="G2925" s="14">
        <v>15370</v>
      </c>
      <c r="H2925" s="13" t="s">
        <v>2514</v>
      </c>
      <c r="I2925" s="40" t="s">
        <v>18</v>
      </c>
      <c r="J2925" s="40" t="str">
        <f>HYPERLINK("https://stock.pstatic.net/stock-research/company/18/20260508_company_563246000.pdf","PDF")</f>
        <v>PDF</v>
      </c>
      <c r="K2925" s="12" t="s">
        <v>2515</v>
      </c>
      <c r="L2925" s="36">
        <v>0.36629798308392969</v>
      </c>
    </row>
    <row r="2926" spans="1:12" x14ac:dyDescent="0.45">
      <c r="A2926" s="12" t="s">
        <v>2420</v>
      </c>
      <c r="B2926" s="12" t="s">
        <v>2516</v>
      </c>
      <c r="C2926" s="13" t="s">
        <v>2517</v>
      </c>
      <c r="D2926" s="13" t="s">
        <v>158</v>
      </c>
      <c r="E2926" s="12" t="s">
        <v>50</v>
      </c>
      <c r="F2926" s="13"/>
      <c r="G2926" s="14">
        <v>31150</v>
      </c>
      <c r="H2926" s="13" t="s">
        <v>2518</v>
      </c>
      <c r="I2926" s="40" t="s">
        <v>18</v>
      </c>
      <c r="J2926" s="40" t="str">
        <f>HYPERLINK("https://stock.pstatic.net/stock-research/company/18/20260508_company_940372000.pdf","PDF")</f>
        <v>PDF</v>
      </c>
      <c r="K2926" s="12" t="s">
        <v>2519</v>
      </c>
      <c r="L2926" s="12"/>
    </row>
    <row r="2927" spans="1:12" x14ac:dyDescent="0.45">
      <c r="A2927" s="12" t="s">
        <v>2420</v>
      </c>
      <c r="B2927" s="12" t="s">
        <v>495</v>
      </c>
      <c r="C2927" s="13" t="s">
        <v>496</v>
      </c>
      <c r="D2927" s="13" t="s">
        <v>158</v>
      </c>
      <c r="E2927" s="12" t="s">
        <v>35</v>
      </c>
      <c r="F2927" s="14">
        <v>540000</v>
      </c>
      <c r="G2927" s="14">
        <v>401500</v>
      </c>
      <c r="H2927" s="13" t="s">
        <v>2520</v>
      </c>
      <c r="I2927" s="40" t="s">
        <v>18</v>
      </c>
      <c r="J2927" s="40" t="str">
        <f>HYPERLINK("https://stock.pstatic.net/stock-research/company/18/20260508_company_734745000.pdf","PDF")</f>
        <v>PDF</v>
      </c>
      <c r="K2927" s="12" t="s">
        <v>2521</v>
      </c>
      <c r="L2927" s="36">
        <v>0.34495641344956413</v>
      </c>
    </row>
    <row r="2928" spans="1:12" x14ac:dyDescent="0.45">
      <c r="A2928" s="12" t="s">
        <v>2420</v>
      </c>
      <c r="B2928" s="12" t="s">
        <v>2522</v>
      </c>
      <c r="C2928" s="13" t="s">
        <v>2523</v>
      </c>
      <c r="D2928" s="13" t="s">
        <v>158</v>
      </c>
      <c r="E2928" s="12" t="s">
        <v>35</v>
      </c>
      <c r="F2928" s="14">
        <v>350000</v>
      </c>
      <c r="G2928" s="14">
        <v>270000</v>
      </c>
      <c r="H2928" s="13" t="s">
        <v>2524</v>
      </c>
      <c r="I2928" s="40" t="s">
        <v>18</v>
      </c>
      <c r="J2928" s="40" t="str">
        <f>HYPERLINK("https://stock.pstatic.net/stock-research/company/18/20260508_company_862336000.pdf","PDF")</f>
        <v>PDF</v>
      </c>
      <c r="K2928" s="12" t="s">
        <v>2525</v>
      </c>
      <c r="L2928" s="36">
        <v>0.29629629629629628</v>
      </c>
    </row>
    <row r="2929" spans="1:12" x14ac:dyDescent="0.45">
      <c r="A2929" s="12" t="s">
        <v>2420</v>
      </c>
      <c r="B2929" s="12" t="s">
        <v>1670</v>
      </c>
      <c r="C2929" s="13" t="s">
        <v>1671</v>
      </c>
      <c r="D2929" s="13" t="s">
        <v>15</v>
      </c>
      <c r="E2929" s="12" t="s">
        <v>16</v>
      </c>
      <c r="F2929" s="14">
        <v>160000</v>
      </c>
      <c r="G2929" s="14">
        <v>131800</v>
      </c>
      <c r="H2929" s="13" t="s">
        <v>2526</v>
      </c>
      <c r="I2929" s="40" t="s">
        <v>18</v>
      </c>
      <c r="J2929" s="40" t="str">
        <f>HYPERLINK("https://stock.pstatic.net/stock-research/company/56/20260508_company_905511000.pdf","PDF")</f>
        <v>PDF</v>
      </c>
      <c r="K2929" s="12" t="s">
        <v>2527</v>
      </c>
      <c r="L2929" s="36">
        <v>0.21396054628224581</v>
      </c>
    </row>
    <row r="2930" spans="1:12" x14ac:dyDescent="0.45">
      <c r="A2930" s="12" t="s">
        <v>2420</v>
      </c>
      <c r="B2930" s="12" t="s">
        <v>495</v>
      </c>
      <c r="C2930" s="13" t="s">
        <v>496</v>
      </c>
      <c r="D2930" s="13" t="s">
        <v>92</v>
      </c>
      <c r="E2930" s="12" t="s">
        <v>35</v>
      </c>
      <c r="F2930" s="14">
        <v>510000</v>
      </c>
      <c r="G2930" s="14">
        <v>401500</v>
      </c>
      <c r="H2930" s="13" t="s">
        <v>2528</v>
      </c>
      <c r="I2930" s="40" t="s">
        <v>18</v>
      </c>
      <c r="J2930" s="40" t="str">
        <f>HYPERLINK("https://stock.pstatic.net/stock-research/company/63/20260508_company_841887000.pdf","PDF")</f>
        <v>PDF</v>
      </c>
      <c r="K2930" s="12" t="s">
        <v>2529</v>
      </c>
      <c r="L2930" s="36">
        <v>0.27023661270236621</v>
      </c>
    </row>
    <row r="2931" spans="1:12" x14ac:dyDescent="0.45">
      <c r="A2931" s="12" t="s">
        <v>2420</v>
      </c>
      <c r="B2931" s="12" t="s">
        <v>1666</v>
      </c>
      <c r="C2931" s="13" t="s">
        <v>1667</v>
      </c>
      <c r="D2931" s="13" t="s">
        <v>15</v>
      </c>
      <c r="E2931" s="12" t="s">
        <v>16</v>
      </c>
      <c r="F2931" s="14">
        <v>65000</v>
      </c>
      <c r="G2931" s="14">
        <v>47100</v>
      </c>
      <c r="H2931" s="13" t="s">
        <v>2530</v>
      </c>
      <c r="I2931" s="40" t="s">
        <v>18</v>
      </c>
      <c r="J2931" s="40" t="str">
        <f>HYPERLINK("https://stock.pstatic.net/stock-research/company/56/20260508_company_203469000.pdf","PDF")</f>
        <v>PDF</v>
      </c>
      <c r="K2931" s="12" t="s">
        <v>2531</v>
      </c>
      <c r="L2931" s="36">
        <v>0.38004246284501059</v>
      </c>
    </row>
    <row r="2932" spans="1:12" x14ac:dyDescent="0.45">
      <c r="A2932" s="12" t="s">
        <v>2420</v>
      </c>
      <c r="B2932" s="12" t="s">
        <v>1184</v>
      </c>
      <c r="C2932" s="13" t="s">
        <v>1185</v>
      </c>
      <c r="D2932" s="13" t="s">
        <v>15</v>
      </c>
      <c r="E2932" s="12" t="s">
        <v>16</v>
      </c>
      <c r="F2932" s="14">
        <v>31000</v>
      </c>
      <c r="G2932" s="14">
        <v>23550</v>
      </c>
      <c r="H2932" s="13" t="s">
        <v>2532</v>
      </c>
      <c r="I2932" s="40" t="s">
        <v>18</v>
      </c>
      <c r="J2932" s="40" t="str">
        <f>HYPERLINK("https://stock.pstatic.net/stock-research/company/56/20260508_company_474825000.pdf","PDF")</f>
        <v>PDF</v>
      </c>
      <c r="K2932" s="12" t="s">
        <v>2533</v>
      </c>
      <c r="L2932" s="36">
        <v>0.31634819532908698</v>
      </c>
    </row>
    <row r="2933" spans="1:12" x14ac:dyDescent="0.45">
      <c r="A2933" s="12" t="s">
        <v>2420</v>
      </c>
      <c r="B2933" s="12" t="s">
        <v>1097</v>
      </c>
      <c r="C2933" s="13" t="s">
        <v>1098</v>
      </c>
      <c r="D2933" s="13" t="s">
        <v>15</v>
      </c>
      <c r="E2933" s="12" t="s">
        <v>16</v>
      </c>
      <c r="F2933" s="14">
        <v>180000</v>
      </c>
      <c r="G2933" s="14">
        <v>133900</v>
      </c>
      <c r="H2933" s="13" t="s">
        <v>2534</v>
      </c>
      <c r="I2933" s="40" t="s">
        <v>18</v>
      </c>
      <c r="J2933" s="40" t="str">
        <f>HYPERLINK("https://stock.pstatic.net/stock-research/company/56/20260508_company_455177000.pdf","PDF")</f>
        <v>PDF</v>
      </c>
      <c r="K2933" s="12" t="s">
        <v>2535</v>
      </c>
      <c r="L2933" s="36">
        <v>0.34428678117998512</v>
      </c>
    </row>
    <row r="2934" spans="1:12" x14ac:dyDescent="0.45">
      <c r="A2934" s="12" t="s">
        <v>2420</v>
      </c>
      <c r="B2934" s="12" t="s">
        <v>732</v>
      </c>
      <c r="C2934" s="13" t="s">
        <v>733</v>
      </c>
      <c r="D2934" s="13" t="s">
        <v>179</v>
      </c>
      <c r="E2934" s="12" t="s">
        <v>16</v>
      </c>
      <c r="F2934" s="14">
        <v>160000</v>
      </c>
      <c r="G2934" s="14">
        <v>99600</v>
      </c>
      <c r="H2934" s="13" t="s">
        <v>2536</v>
      </c>
      <c r="I2934" s="40" t="s">
        <v>18</v>
      </c>
      <c r="J2934" s="40" t="str">
        <f>HYPERLINK("https://stock.pstatic.net/stock-research/company/64/20260508_company_57118000.pdf","PDF")</f>
        <v>PDF</v>
      </c>
      <c r="K2934" s="12" t="s">
        <v>2537</v>
      </c>
      <c r="L2934" s="36">
        <v>0.60642570281124497</v>
      </c>
    </row>
    <row r="2935" spans="1:12" x14ac:dyDescent="0.45">
      <c r="A2935" s="12" t="s">
        <v>2420</v>
      </c>
      <c r="B2935" s="12" t="s">
        <v>541</v>
      </c>
      <c r="C2935" s="13" t="s">
        <v>542</v>
      </c>
      <c r="D2935" s="13" t="s">
        <v>15</v>
      </c>
      <c r="E2935" s="12" t="s">
        <v>16</v>
      </c>
      <c r="F2935" s="14">
        <v>120000</v>
      </c>
      <c r="G2935" s="14">
        <v>93200</v>
      </c>
      <c r="H2935" s="13" t="s">
        <v>2538</v>
      </c>
      <c r="I2935" s="40" t="s">
        <v>18</v>
      </c>
      <c r="J2935" s="40" t="str">
        <f>HYPERLINK("https://stock.pstatic.net/stock-research/company/56/20260508_company_156807000.pdf","PDF")</f>
        <v>PDF</v>
      </c>
      <c r="K2935" s="12" t="s">
        <v>2539</v>
      </c>
      <c r="L2935" s="36">
        <v>0.28755364806866951</v>
      </c>
    </row>
    <row r="2936" spans="1:12" x14ac:dyDescent="0.45">
      <c r="A2936" s="12" t="s">
        <v>2420</v>
      </c>
      <c r="B2936" s="12" t="s">
        <v>495</v>
      </c>
      <c r="C2936" s="13" t="s">
        <v>496</v>
      </c>
      <c r="D2936" s="13" t="s">
        <v>179</v>
      </c>
      <c r="E2936" s="12" t="s">
        <v>16</v>
      </c>
      <c r="F2936" s="14">
        <v>510000</v>
      </c>
      <c r="G2936" s="14">
        <v>401500</v>
      </c>
      <c r="H2936" s="13" t="s">
        <v>2540</v>
      </c>
      <c r="I2936" s="40" t="s">
        <v>18</v>
      </c>
      <c r="J2936" s="40" t="str">
        <f>HYPERLINK("https://stock.pstatic.net/stock-research/company/64/20260508_company_404250000.pdf","PDF")</f>
        <v>PDF</v>
      </c>
      <c r="K2936" s="12" t="s">
        <v>2541</v>
      </c>
      <c r="L2936" s="36">
        <v>0.27023661270236621</v>
      </c>
    </row>
    <row r="2937" spans="1:12" x14ac:dyDescent="0.45">
      <c r="A2937" s="12" t="s">
        <v>2420</v>
      </c>
      <c r="B2937" s="12" t="s">
        <v>2225</v>
      </c>
      <c r="C2937" s="13" t="s">
        <v>2226</v>
      </c>
      <c r="D2937" s="13" t="s">
        <v>92</v>
      </c>
      <c r="E2937" s="12" t="s">
        <v>35</v>
      </c>
      <c r="F2937" s="14">
        <v>1040000</v>
      </c>
      <c r="G2937" s="14">
        <v>866000</v>
      </c>
      <c r="H2937" s="13" t="s">
        <v>2542</v>
      </c>
      <c r="I2937" s="40" t="s">
        <v>18</v>
      </c>
      <c r="J2937" s="40" t="str">
        <f>HYPERLINK("https://stock.pstatic.net/stock-research/company/63/20260508_company_891211000.pdf","PDF")</f>
        <v>PDF</v>
      </c>
      <c r="K2937" s="12" t="s">
        <v>2543</v>
      </c>
      <c r="L2937" s="36">
        <v>0.20092378752886841</v>
      </c>
    </row>
    <row r="2938" spans="1:12" x14ac:dyDescent="0.45">
      <c r="A2938" s="12" t="s">
        <v>2420</v>
      </c>
      <c r="B2938" s="12" t="s">
        <v>468</v>
      </c>
      <c r="C2938" s="13" t="s">
        <v>469</v>
      </c>
      <c r="D2938" s="13" t="s">
        <v>92</v>
      </c>
      <c r="E2938" s="12" t="s">
        <v>35</v>
      </c>
      <c r="F2938" s="14">
        <v>50000</v>
      </c>
      <c r="G2938" s="14">
        <v>33950</v>
      </c>
      <c r="H2938" s="13" t="s">
        <v>2544</v>
      </c>
      <c r="I2938" s="40" t="s">
        <v>18</v>
      </c>
      <c r="J2938" s="40" t="str">
        <f>HYPERLINK("https://stock.pstatic.net/stock-research/company/63/20260508_company_500521000.pdf","PDF")</f>
        <v>PDF</v>
      </c>
      <c r="K2938" s="12" t="s">
        <v>2545</v>
      </c>
      <c r="L2938" s="36">
        <v>0.47275405007363769</v>
      </c>
    </row>
    <row r="2939" spans="1:12" x14ac:dyDescent="0.45">
      <c r="A2939" s="12" t="s">
        <v>2420</v>
      </c>
      <c r="B2939" s="12" t="s">
        <v>2546</v>
      </c>
      <c r="C2939" s="13" t="s">
        <v>2547</v>
      </c>
      <c r="D2939" s="13" t="s">
        <v>179</v>
      </c>
      <c r="E2939" s="12" t="s">
        <v>50</v>
      </c>
      <c r="F2939" s="13"/>
      <c r="G2939" s="14">
        <v>105000</v>
      </c>
      <c r="H2939" s="13" t="s">
        <v>2548</v>
      </c>
      <c r="I2939" s="40" t="s">
        <v>18</v>
      </c>
      <c r="J2939" s="40" t="str">
        <f>HYPERLINK("https://stock.pstatic.net/stock-research/company/64/20260508_company_554693000.pdf","PDF")</f>
        <v>PDF</v>
      </c>
      <c r="K2939" s="12" t="s">
        <v>2549</v>
      </c>
      <c r="L2939" s="12"/>
    </row>
    <row r="2940" spans="1:12" x14ac:dyDescent="0.45">
      <c r="A2940" s="12" t="s">
        <v>2420</v>
      </c>
      <c r="B2940" s="12" t="s">
        <v>2550</v>
      </c>
      <c r="C2940" s="13" t="s">
        <v>2551</v>
      </c>
      <c r="D2940" s="13" t="s">
        <v>92</v>
      </c>
      <c r="E2940" s="12" t="s">
        <v>35</v>
      </c>
      <c r="F2940" s="14">
        <v>19000</v>
      </c>
      <c r="G2940" s="14">
        <v>11900</v>
      </c>
      <c r="H2940" s="13" t="s">
        <v>2552</v>
      </c>
      <c r="I2940" s="40" t="s">
        <v>18</v>
      </c>
      <c r="J2940" s="40" t="str">
        <f>HYPERLINK("https://stock.pstatic.net/stock-research/company/63/20260508_company_112041000.pdf","PDF")</f>
        <v>PDF</v>
      </c>
      <c r="K2940" s="12" t="s">
        <v>2553</v>
      </c>
      <c r="L2940" s="36">
        <v>0.59663865546218486</v>
      </c>
    </row>
    <row r="2941" spans="1:12" x14ac:dyDescent="0.45">
      <c r="A2941" s="12" t="s">
        <v>2420</v>
      </c>
      <c r="B2941" s="12" t="s">
        <v>1652</v>
      </c>
      <c r="C2941" s="13" t="s">
        <v>1653</v>
      </c>
      <c r="D2941" s="13" t="s">
        <v>92</v>
      </c>
      <c r="E2941" s="12" t="s">
        <v>35</v>
      </c>
      <c r="F2941" s="14">
        <v>80000</v>
      </c>
      <c r="G2941" s="14">
        <v>61200</v>
      </c>
      <c r="H2941" s="13" t="s">
        <v>2554</v>
      </c>
      <c r="I2941" s="40" t="s">
        <v>18</v>
      </c>
      <c r="J2941" s="40" t="str">
        <f>HYPERLINK("https://stock.pstatic.net/stock-research/company/63/20260508_company_392641000.pdf","PDF")</f>
        <v>PDF</v>
      </c>
      <c r="K2941" s="12" t="s">
        <v>2555</v>
      </c>
      <c r="L2941" s="36">
        <v>0.30718954248366009</v>
      </c>
    </row>
    <row r="2942" spans="1:12" x14ac:dyDescent="0.45">
      <c r="A2942" s="12" t="s">
        <v>2420</v>
      </c>
      <c r="B2942" s="12" t="s">
        <v>565</v>
      </c>
      <c r="C2942" s="13" t="s">
        <v>566</v>
      </c>
      <c r="D2942" s="13" t="s">
        <v>15</v>
      </c>
      <c r="E2942" s="12" t="s">
        <v>16</v>
      </c>
      <c r="F2942" s="14">
        <v>55000</v>
      </c>
      <c r="G2942" s="14">
        <v>29650</v>
      </c>
      <c r="H2942" s="13" t="s">
        <v>2556</v>
      </c>
      <c r="I2942" s="40" t="s">
        <v>18</v>
      </c>
      <c r="J2942" s="40" t="str">
        <f>HYPERLINK("https://stock.pstatic.net/stock-research/company/56/20260508_company_565224000.pdf","PDF")</f>
        <v>PDF</v>
      </c>
      <c r="K2942" s="12" t="s">
        <v>2557</v>
      </c>
      <c r="L2942" s="36">
        <v>0.85497470489038785</v>
      </c>
    </row>
    <row r="2943" spans="1:12" x14ac:dyDescent="0.45">
      <c r="A2943" s="12" t="s">
        <v>2420</v>
      </c>
      <c r="B2943" s="12" t="s">
        <v>2488</v>
      </c>
      <c r="C2943" s="13" t="s">
        <v>2489</v>
      </c>
      <c r="D2943" s="13" t="s">
        <v>179</v>
      </c>
      <c r="E2943" s="12" t="s">
        <v>16</v>
      </c>
      <c r="F2943" s="14">
        <v>120000</v>
      </c>
      <c r="G2943" s="14">
        <v>99900</v>
      </c>
      <c r="H2943" s="13" t="s">
        <v>2558</v>
      </c>
      <c r="I2943" s="40" t="s">
        <v>18</v>
      </c>
      <c r="J2943" s="40" t="str">
        <f>HYPERLINK("https://stock.pstatic.net/stock-research/company/64/20260508_company_615326000.pdf","PDF")</f>
        <v>PDF</v>
      </c>
      <c r="K2943" s="12" t="s">
        <v>2559</v>
      </c>
      <c r="L2943" s="36">
        <v>0.20120120120120119</v>
      </c>
    </row>
    <row r="2944" spans="1:12" x14ac:dyDescent="0.45">
      <c r="A2944" s="12" t="s">
        <v>2420</v>
      </c>
      <c r="B2944" s="12" t="s">
        <v>732</v>
      </c>
      <c r="C2944" s="13" t="s">
        <v>733</v>
      </c>
      <c r="D2944" s="13" t="s">
        <v>53</v>
      </c>
      <c r="E2944" s="12" t="s">
        <v>16</v>
      </c>
      <c r="F2944" s="14">
        <v>165000</v>
      </c>
      <c r="G2944" s="14">
        <v>99600</v>
      </c>
      <c r="H2944" s="13" t="s">
        <v>2560</v>
      </c>
      <c r="I2944" s="40" t="s">
        <v>18</v>
      </c>
      <c r="J2944" s="40" t="str">
        <f>HYPERLINK("https://stock.pstatic.net/stock-research/company/40/20260508_company_420428000.pdf","PDF")</f>
        <v>PDF</v>
      </c>
      <c r="K2944" s="12" t="s">
        <v>2561</v>
      </c>
      <c r="L2944" s="36">
        <v>0.65662650602409633</v>
      </c>
    </row>
    <row r="2945" spans="1:12" x14ac:dyDescent="0.45">
      <c r="A2945" s="12" t="s">
        <v>2420</v>
      </c>
      <c r="B2945" s="12" t="s">
        <v>2492</v>
      </c>
      <c r="C2945" s="13" t="s">
        <v>2493</v>
      </c>
      <c r="D2945" s="13" t="s">
        <v>179</v>
      </c>
      <c r="E2945" s="12" t="s">
        <v>16</v>
      </c>
      <c r="F2945" s="14">
        <v>640000</v>
      </c>
      <c r="G2945" s="14">
        <v>467500</v>
      </c>
      <c r="H2945" s="13" t="s">
        <v>2562</v>
      </c>
      <c r="I2945" s="40" t="s">
        <v>18</v>
      </c>
      <c r="J2945" s="40" t="str">
        <f>HYPERLINK("https://stock.pstatic.net/stock-research/company/64/20260508_company_627788000.pdf","PDF")</f>
        <v>PDF</v>
      </c>
      <c r="K2945" s="12" t="s">
        <v>2563</v>
      </c>
      <c r="L2945" s="36">
        <v>0.36898395721925131</v>
      </c>
    </row>
    <row r="2946" spans="1:12" x14ac:dyDescent="0.45">
      <c r="A2946" s="12" t="s">
        <v>2420</v>
      </c>
      <c r="B2946" s="12" t="s">
        <v>1660</v>
      </c>
      <c r="C2946" s="13" t="s">
        <v>1661</v>
      </c>
      <c r="D2946" s="13" t="s">
        <v>92</v>
      </c>
      <c r="E2946" s="12" t="s">
        <v>35</v>
      </c>
      <c r="F2946" s="14">
        <v>48000</v>
      </c>
      <c r="G2946" s="14">
        <v>33800</v>
      </c>
      <c r="H2946" s="13" t="s">
        <v>2564</v>
      </c>
      <c r="I2946" s="40" t="s">
        <v>18</v>
      </c>
      <c r="J2946" s="40" t="str">
        <f>HYPERLINK("https://stock.pstatic.net/stock-research/company/63/20260508_company_270582000.pdf","PDF")</f>
        <v>PDF</v>
      </c>
      <c r="K2946" s="12" t="s">
        <v>2565</v>
      </c>
      <c r="L2946" s="36">
        <v>0.42011834319526631</v>
      </c>
    </row>
    <row r="2947" spans="1:12" x14ac:dyDescent="0.45">
      <c r="A2947" s="12" t="s">
        <v>2420</v>
      </c>
      <c r="B2947" s="12" t="s">
        <v>1678</v>
      </c>
      <c r="C2947" s="13" t="s">
        <v>1679</v>
      </c>
      <c r="D2947" s="13" t="s">
        <v>92</v>
      </c>
      <c r="E2947" s="12" t="s">
        <v>35</v>
      </c>
      <c r="F2947" s="14">
        <v>70000</v>
      </c>
      <c r="G2947" s="14">
        <v>51300</v>
      </c>
      <c r="H2947" s="13" t="s">
        <v>2566</v>
      </c>
      <c r="I2947" s="40" t="s">
        <v>18</v>
      </c>
      <c r="J2947" s="40" t="str">
        <f>HYPERLINK("https://stock.pstatic.net/stock-research/company/63/20260508_company_105521000.pdf","PDF")</f>
        <v>PDF</v>
      </c>
      <c r="K2947" s="12" t="s">
        <v>2567</v>
      </c>
      <c r="L2947" s="36">
        <v>0.36452241715399608</v>
      </c>
    </row>
    <row r="2948" spans="1:12" x14ac:dyDescent="0.45">
      <c r="A2948" s="12" t="s">
        <v>2420</v>
      </c>
      <c r="B2948" s="12" t="s">
        <v>2435</v>
      </c>
      <c r="C2948" s="13" t="s">
        <v>2436</v>
      </c>
      <c r="D2948" s="13" t="s">
        <v>179</v>
      </c>
      <c r="E2948" s="12" t="s">
        <v>16</v>
      </c>
      <c r="F2948" s="14">
        <v>970000</v>
      </c>
      <c r="G2948" s="14">
        <v>693000</v>
      </c>
      <c r="H2948" s="13" t="s">
        <v>2568</v>
      </c>
      <c r="I2948" s="40" t="s">
        <v>18</v>
      </c>
      <c r="J2948" s="40" t="str">
        <f>HYPERLINK("https://stock.pstatic.net/stock-research/company/64/20260508_company_947365000.pdf","PDF")</f>
        <v>PDF</v>
      </c>
      <c r="K2948" s="12" t="s">
        <v>2569</v>
      </c>
      <c r="L2948" s="36">
        <v>0.39971139971139968</v>
      </c>
    </row>
    <row r="2949" spans="1:12" x14ac:dyDescent="0.45">
      <c r="A2949" s="12" t="s">
        <v>2420</v>
      </c>
      <c r="B2949" s="12" t="s">
        <v>1660</v>
      </c>
      <c r="C2949" s="13" t="s">
        <v>1661</v>
      </c>
      <c r="D2949" s="13" t="s">
        <v>23</v>
      </c>
      <c r="E2949" s="12" t="s">
        <v>16</v>
      </c>
      <c r="F2949" s="14">
        <v>47000</v>
      </c>
      <c r="G2949" s="14">
        <v>33800</v>
      </c>
      <c r="H2949" s="13" t="s">
        <v>2570</v>
      </c>
      <c r="I2949" s="40" t="s">
        <v>18</v>
      </c>
      <c r="J2949" s="40" t="str">
        <f>HYPERLINK("https://stock.pstatic.net/stock-research/company/21/20260508_company_842732000.pdf","PDF")</f>
        <v>PDF</v>
      </c>
      <c r="K2949" s="12" t="s">
        <v>2571</v>
      </c>
      <c r="L2949" s="36">
        <v>0.39053254437869822</v>
      </c>
    </row>
    <row r="2950" spans="1:12" x14ac:dyDescent="0.45">
      <c r="A2950" s="12" t="s">
        <v>2420</v>
      </c>
      <c r="B2950" s="12" t="s">
        <v>1670</v>
      </c>
      <c r="C2950" s="13" t="s">
        <v>1671</v>
      </c>
      <c r="D2950" s="13" t="s">
        <v>23</v>
      </c>
      <c r="E2950" s="12" t="s">
        <v>16</v>
      </c>
      <c r="F2950" s="14">
        <v>200000</v>
      </c>
      <c r="G2950" s="14">
        <v>131800</v>
      </c>
      <c r="H2950" s="13" t="s">
        <v>2572</v>
      </c>
      <c r="I2950" s="40" t="s">
        <v>18</v>
      </c>
      <c r="J2950" s="40" t="str">
        <f>HYPERLINK("https://stock.pstatic.net/stock-research/company/21/20260508_company_742755000.pdf","PDF")</f>
        <v>PDF</v>
      </c>
      <c r="K2950" s="12" t="s">
        <v>2573</v>
      </c>
      <c r="L2950" s="36">
        <v>0.51745068285280726</v>
      </c>
    </row>
    <row r="2951" spans="1:12" x14ac:dyDescent="0.45">
      <c r="A2951" s="12" t="s">
        <v>2420</v>
      </c>
      <c r="B2951" s="12" t="s">
        <v>366</v>
      </c>
      <c r="C2951" s="13" t="s">
        <v>367</v>
      </c>
      <c r="D2951" s="13" t="s">
        <v>23</v>
      </c>
      <c r="E2951" s="12" t="s">
        <v>16</v>
      </c>
      <c r="F2951" s="14">
        <v>36000</v>
      </c>
      <c r="G2951" s="14">
        <v>24300</v>
      </c>
      <c r="H2951" s="13" t="s">
        <v>2574</v>
      </c>
      <c r="I2951" s="40" t="s">
        <v>18</v>
      </c>
      <c r="J2951" s="40" t="str">
        <f>HYPERLINK("https://stock.pstatic.net/stock-research/company/21/20260508_company_838954000.pdf","PDF")</f>
        <v>PDF</v>
      </c>
      <c r="K2951" s="12" t="s">
        <v>2575</v>
      </c>
      <c r="L2951" s="36">
        <v>0.48148148148148151</v>
      </c>
    </row>
    <row r="2952" spans="1:12" x14ac:dyDescent="0.45">
      <c r="A2952" s="12" t="s">
        <v>2420</v>
      </c>
      <c r="B2952" s="12" t="s">
        <v>2576</v>
      </c>
      <c r="C2952" s="13" t="s">
        <v>2577</v>
      </c>
      <c r="D2952" s="13" t="s">
        <v>23</v>
      </c>
      <c r="E2952" s="12" t="s">
        <v>16</v>
      </c>
      <c r="F2952" s="14">
        <v>1900000</v>
      </c>
      <c r="G2952" s="14">
        <v>1560000</v>
      </c>
      <c r="H2952" s="13" t="s">
        <v>2578</v>
      </c>
      <c r="I2952" s="40" t="s">
        <v>18</v>
      </c>
      <c r="J2952" s="40" t="str">
        <f>HYPERLINK("https://stock.pstatic.net/stock-research/company/21/20260508_company_782222000.pdf","PDF")</f>
        <v>PDF</v>
      </c>
      <c r="K2952" s="12" t="s">
        <v>2579</v>
      </c>
      <c r="L2952" s="36">
        <v>0.21794871794871801</v>
      </c>
    </row>
    <row r="2953" spans="1:12" x14ac:dyDescent="0.45">
      <c r="A2953" s="12" t="s">
        <v>2420</v>
      </c>
      <c r="B2953" s="12" t="s">
        <v>541</v>
      </c>
      <c r="C2953" s="13" t="s">
        <v>542</v>
      </c>
      <c r="D2953" s="13" t="s">
        <v>53</v>
      </c>
      <c r="E2953" s="12" t="s">
        <v>16</v>
      </c>
      <c r="F2953" s="14">
        <v>107000</v>
      </c>
      <c r="G2953" s="14">
        <v>93200</v>
      </c>
      <c r="H2953" s="13" t="s">
        <v>2580</v>
      </c>
      <c r="I2953" s="40" t="s">
        <v>18</v>
      </c>
      <c r="J2953" s="40" t="str">
        <f>HYPERLINK("https://stock.pstatic.net/stock-research/company/40/20260508_company_161208000.pdf","PDF")</f>
        <v>PDF</v>
      </c>
      <c r="K2953" s="12" t="s">
        <v>2581</v>
      </c>
      <c r="L2953" s="36">
        <v>0.14806866952789699</v>
      </c>
    </row>
    <row r="2954" spans="1:12" x14ac:dyDescent="0.45">
      <c r="A2954" s="12" t="s">
        <v>2420</v>
      </c>
      <c r="B2954" s="12" t="s">
        <v>2425</v>
      </c>
      <c r="C2954" s="13" t="s">
        <v>2426</v>
      </c>
      <c r="D2954" s="13" t="s">
        <v>23</v>
      </c>
      <c r="E2954" s="12" t="s">
        <v>16</v>
      </c>
      <c r="F2954" s="14">
        <v>220000</v>
      </c>
      <c r="G2954" s="14">
        <v>176700</v>
      </c>
      <c r="H2954" s="13" t="s">
        <v>2582</v>
      </c>
      <c r="I2954" s="40" t="s">
        <v>18</v>
      </c>
      <c r="J2954" s="40" t="str">
        <f>HYPERLINK("https://stock.pstatic.net/stock-research/company/21/20260508_company_220596000.pdf","PDF")</f>
        <v>PDF</v>
      </c>
      <c r="K2954" s="12" t="s">
        <v>2583</v>
      </c>
      <c r="L2954" s="36">
        <v>0.24504810413129599</v>
      </c>
    </row>
    <row r="2955" spans="1:12" x14ac:dyDescent="0.45">
      <c r="A2955" s="12" t="s">
        <v>2420</v>
      </c>
      <c r="B2955" s="12" t="s">
        <v>495</v>
      </c>
      <c r="C2955" s="13" t="s">
        <v>496</v>
      </c>
      <c r="D2955" s="13" t="s">
        <v>23</v>
      </c>
      <c r="E2955" s="12" t="s">
        <v>16</v>
      </c>
      <c r="F2955" s="14">
        <v>500000</v>
      </c>
      <c r="G2955" s="14">
        <v>401500</v>
      </c>
      <c r="H2955" s="13" t="s">
        <v>2584</v>
      </c>
      <c r="I2955" s="40" t="s">
        <v>18</v>
      </c>
      <c r="J2955" s="40" t="str">
        <f>HYPERLINK("https://stock.pstatic.net/stock-research/company/21/20260508_company_493306000.pdf","PDF")</f>
        <v>PDF</v>
      </c>
      <c r="K2955" s="12" t="s">
        <v>2585</v>
      </c>
      <c r="L2955" s="36">
        <v>0.24533001245330011</v>
      </c>
    </row>
    <row r="2956" spans="1:12" x14ac:dyDescent="0.45">
      <c r="A2956" s="12" t="s">
        <v>2420</v>
      </c>
      <c r="B2956" s="12" t="s">
        <v>748</v>
      </c>
      <c r="C2956" s="13" t="s">
        <v>749</v>
      </c>
      <c r="D2956" s="13" t="s">
        <v>23</v>
      </c>
      <c r="E2956" s="12" t="s">
        <v>16</v>
      </c>
      <c r="F2956" s="14">
        <v>28000</v>
      </c>
      <c r="G2956" s="14">
        <v>18620</v>
      </c>
      <c r="H2956" s="13" t="s">
        <v>2586</v>
      </c>
      <c r="I2956" s="40" t="s">
        <v>18</v>
      </c>
      <c r="J2956" s="40" t="str">
        <f>HYPERLINK("https://stock.pstatic.net/stock-research/company/21/20260508_company_97883000.pdf","PDF")</f>
        <v>PDF</v>
      </c>
      <c r="K2956" s="12" t="s">
        <v>2587</v>
      </c>
      <c r="L2956" s="36">
        <v>0.50375939849624063</v>
      </c>
    </row>
    <row r="2957" spans="1:12" x14ac:dyDescent="0.45">
      <c r="A2957" s="12" t="s">
        <v>2420</v>
      </c>
      <c r="B2957" s="12" t="s">
        <v>1530</v>
      </c>
      <c r="C2957" s="13" t="s">
        <v>1531</v>
      </c>
      <c r="D2957" s="13" t="s">
        <v>44</v>
      </c>
      <c r="E2957" s="12" t="s">
        <v>45</v>
      </c>
      <c r="F2957" s="14">
        <v>32000</v>
      </c>
      <c r="G2957" s="14">
        <v>27000</v>
      </c>
      <c r="H2957" s="13" t="s">
        <v>2588</v>
      </c>
      <c r="I2957" s="40" t="s">
        <v>18</v>
      </c>
      <c r="J2957" s="40" t="str">
        <f>HYPERLINK("https://stock.pstatic.net/stock-research/company/39/20260508_company_750314000.pdf","PDF")</f>
        <v>PDF</v>
      </c>
      <c r="K2957" s="12" t="s">
        <v>2589</v>
      </c>
      <c r="L2957" s="36">
        <v>0.1851851851851852</v>
      </c>
    </row>
    <row r="2958" spans="1:12" x14ac:dyDescent="0.45">
      <c r="A2958" s="12" t="s">
        <v>2420</v>
      </c>
      <c r="B2958" s="12" t="s">
        <v>2225</v>
      </c>
      <c r="C2958" s="13" t="s">
        <v>2226</v>
      </c>
      <c r="D2958" s="13" t="s">
        <v>179</v>
      </c>
      <c r="E2958" s="12" t="s">
        <v>16</v>
      </c>
      <c r="F2958" s="14">
        <v>1150000</v>
      </c>
      <c r="G2958" s="14">
        <v>866000</v>
      </c>
      <c r="H2958" s="13" t="s">
        <v>2590</v>
      </c>
      <c r="I2958" s="40" t="s">
        <v>18</v>
      </c>
      <c r="J2958" s="40" t="str">
        <f>HYPERLINK("https://stock.pstatic.net/stock-research/company/64/20260508_company_424880000.pdf","PDF")</f>
        <v>PDF</v>
      </c>
      <c r="K2958" s="12" t="s">
        <v>2591</v>
      </c>
      <c r="L2958" s="36">
        <v>0.32794457274826788</v>
      </c>
    </row>
    <row r="2959" spans="1:12" x14ac:dyDescent="0.45">
      <c r="A2959" s="12" t="s">
        <v>2420</v>
      </c>
      <c r="B2959" s="12" t="s">
        <v>916</v>
      </c>
      <c r="C2959" s="13" t="s">
        <v>917</v>
      </c>
      <c r="D2959" s="13" t="s">
        <v>92</v>
      </c>
      <c r="E2959" s="12" t="s">
        <v>35</v>
      </c>
      <c r="F2959" s="14">
        <v>74000</v>
      </c>
      <c r="G2959" s="14">
        <v>45250</v>
      </c>
      <c r="H2959" s="13" t="s">
        <v>2592</v>
      </c>
      <c r="I2959" s="40" t="s">
        <v>18</v>
      </c>
      <c r="J2959" s="40" t="str">
        <f>HYPERLINK("https://stock.pstatic.net/stock-research/company/63/20260508_company_193313000.pdf","PDF")</f>
        <v>PDF</v>
      </c>
      <c r="K2959" s="12" t="s">
        <v>2593</v>
      </c>
      <c r="L2959" s="36">
        <v>0.63535911602209949</v>
      </c>
    </row>
    <row r="2960" spans="1:12" x14ac:dyDescent="0.45">
      <c r="A2960" s="12" t="s">
        <v>2420</v>
      </c>
      <c r="B2960" s="12" t="s">
        <v>537</v>
      </c>
      <c r="C2960" s="13" t="s">
        <v>538</v>
      </c>
      <c r="D2960" s="13" t="s">
        <v>53</v>
      </c>
      <c r="E2960" s="12" t="s">
        <v>16</v>
      </c>
      <c r="F2960" s="14">
        <v>20000</v>
      </c>
      <c r="G2960" s="14">
        <v>15370</v>
      </c>
      <c r="H2960" s="13" t="s">
        <v>2215</v>
      </c>
      <c r="I2960" s="40" t="s">
        <v>18</v>
      </c>
      <c r="J2960" s="40" t="str">
        <f>HYPERLINK("https://stock.pstatic.net/stock-research/company/40/20260508_company_189501000.pdf","PDF")</f>
        <v>PDF</v>
      </c>
      <c r="K2960" s="12" t="s">
        <v>2594</v>
      </c>
      <c r="L2960" s="36">
        <v>0.30123617436564742</v>
      </c>
    </row>
    <row r="2961" spans="1:12" x14ac:dyDescent="0.45">
      <c r="A2961" s="12" t="s">
        <v>2420</v>
      </c>
      <c r="B2961" s="12" t="s">
        <v>2225</v>
      </c>
      <c r="C2961" s="13" t="s">
        <v>2226</v>
      </c>
      <c r="D2961" s="13" t="s">
        <v>23</v>
      </c>
      <c r="E2961" s="12" t="s">
        <v>16</v>
      </c>
      <c r="F2961" s="14">
        <v>980000</v>
      </c>
      <c r="G2961" s="14">
        <v>866000</v>
      </c>
      <c r="H2961" s="13" t="s">
        <v>2595</v>
      </c>
      <c r="I2961" s="40" t="s">
        <v>18</v>
      </c>
      <c r="J2961" s="40" t="str">
        <f>HYPERLINK("https://m.stock.naver.com/research/company/92573","PDF")</f>
        <v>PDF</v>
      </c>
      <c r="K2961" s="12" t="s">
        <v>2596</v>
      </c>
      <c r="L2961" s="36">
        <v>0.13163972286374129</v>
      </c>
    </row>
    <row r="2962" spans="1:12" x14ac:dyDescent="0.45">
      <c r="A2962" s="12" t="s">
        <v>2420</v>
      </c>
      <c r="B2962" s="12" t="s">
        <v>1184</v>
      </c>
      <c r="C2962" s="13" t="s">
        <v>1185</v>
      </c>
      <c r="D2962" s="13" t="s">
        <v>44</v>
      </c>
      <c r="E2962" s="12" t="s">
        <v>35</v>
      </c>
      <c r="F2962" s="14">
        <v>30000</v>
      </c>
      <c r="G2962" s="14">
        <v>23550</v>
      </c>
      <c r="H2962" s="13" t="s">
        <v>2597</v>
      </c>
      <c r="I2962" s="40" t="s">
        <v>18</v>
      </c>
      <c r="J2962" s="40" t="str">
        <f>HYPERLINK("https://stock.pstatic.net/stock-research/company/39/20260508_company_45855000.pdf","PDF")</f>
        <v>PDF</v>
      </c>
      <c r="K2962" s="12" t="s">
        <v>2598</v>
      </c>
      <c r="L2962" s="36">
        <v>0.27388535031847128</v>
      </c>
    </row>
    <row r="2963" spans="1:12" x14ac:dyDescent="0.45">
      <c r="A2963" s="12" t="s">
        <v>2420</v>
      </c>
      <c r="B2963" s="12" t="s">
        <v>2425</v>
      </c>
      <c r="C2963" s="13" t="s">
        <v>2426</v>
      </c>
      <c r="D2963" s="13" t="s">
        <v>44</v>
      </c>
      <c r="E2963" s="12" t="s">
        <v>50</v>
      </c>
      <c r="F2963" s="13"/>
      <c r="G2963" s="14">
        <v>176700</v>
      </c>
      <c r="H2963" s="13" t="s">
        <v>2599</v>
      </c>
      <c r="I2963" s="40" t="s">
        <v>18</v>
      </c>
      <c r="J2963" s="40" t="str">
        <f>HYPERLINK("https://stock.pstatic.net/stock-research/company/39/20260508_company_627874000.pdf","PDF")</f>
        <v>PDF</v>
      </c>
      <c r="K2963" s="12" t="s">
        <v>2600</v>
      </c>
      <c r="L2963" s="12"/>
    </row>
    <row r="2964" spans="1:12" x14ac:dyDescent="0.45">
      <c r="A2964" s="12" t="s">
        <v>2420</v>
      </c>
      <c r="B2964" s="12" t="s">
        <v>1097</v>
      </c>
      <c r="C2964" s="13" t="s">
        <v>1098</v>
      </c>
      <c r="D2964" s="13" t="s">
        <v>44</v>
      </c>
      <c r="E2964" s="12" t="s">
        <v>35</v>
      </c>
      <c r="F2964" s="14">
        <v>170000</v>
      </c>
      <c r="G2964" s="14">
        <v>133900</v>
      </c>
      <c r="H2964" s="13" t="s">
        <v>2601</v>
      </c>
      <c r="I2964" s="40" t="s">
        <v>18</v>
      </c>
      <c r="J2964" s="40" t="str">
        <f>HYPERLINK("https://stock.pstatic.net/stock-research/company/39/20260508_company_508840000.pdf","PDF")</f>
        <v>PDF</v>
      </c>
      <c r="K2964" s="12" t="s">
        <v>2602</v>
      </c>
      <c r="L2964" s="36">
        <v>0.26960418222554139</v>
      </c>
    </row>
    <row r="2965" spans="1:12" x14ac:dyDescent="0.45">
      <c r="A2965" s="12" t="s">
        <v>2420</v>
      </c>
      <c r="B2965" s="12" t="s">
        <v>2435</v>
      </c>
      <c r="C2965" s="13" t="s">
        <v>2436</v>
      </c>
      <c r="D2965" s="13" t="s">
        <v>44</v>
      </c>
      <c r="E2965" s="12" t="s">
        <v>35</v>
      </c>
      <c r="F2965" s="14">
        <v>950000</v>
      </c>
      <c r="G2965" s="14">
        <v>693000</v>
      </c>
      <c r="H2965" s="13" t="s">
        <v>2603</v>
      </c>
      <c r="I2965" s="40" t="s">
        <v>18</v>
      </c>
      <c r="J2965" s="40" t="str">
        <f>HYPERLINK("https://stock.pstatic.net/stock-research/company/39/20260508_company_187840000.pdf","PDF")</f>
        <v>PDF</v>
      </c>
      <c r="K2965" s="12" t="s">
        <v>2604</v>
      </c>
      <c r="L2965" s="36">
        <v>0.37085137085137088</v>
      </c>
    </row>
    <row r="2966" spans="1:12" x14ac:dyDescent="0.45">
      <c r="A2966" s="12" t="s">
        <v>2420</v>
      </c>
      <c r="B2966" s="12" t="s">
        <v>2225</v>
      </c>
      <c r="C2966" s="13" t="s">
        <v>2226</v>
      </c>
      <c r="D2966" s="13" t="s">
        <v>34</v>
      </c>
      <c r="E2966" s="12" t="s">
        <v>35</v>
      </c>
      <c r="F2966" s="14">
        <v>1230000</v>
      </c>
      <c r="G2966" s="14">
        <v>866000</v>
      </c>
      <c r="H2966" s="13" t="s">
        <v>2605</v>
      </c>
      <c r="I2966" s="40" t="s">
        <v>18</v>
      </c>
      <c r="J2966" s="40" t="str">
        <f>HYPERLINK("https://stock.pstatic.net/stock-research/company/61/20260508_company_333618000.pdf","PDF")</f>
        <v>PDF</v>
      </c>
      <c r="K2966" s="12" t="s">
        <v>2606</v>
      </c>
      <c r="L2966" s="36">
        <v>0.42032332563510388</v>
      </c>
    </row>
    <row r="2967" spans="1:12" x14ac:dyDescent="0.45">
      <c r="A2967" s="12" t="s">
        <v>2420</v>
      </c>
      <c r="B2967" s="12" t="s">
        <v>2225</v>
      </c>
      <c r="C2967" s="13" t="s">
        <v>2226</v>
      </c>
      <c r="D2967" s="13" t="s">
        <v>44</v>
      </c>
      <c r="E2967" s="12" t="s">
        <v>35</v>
      </c>
      <c r="F2967" s="14">
        <v>1250000</v>
      </c>
      <c r="G2967" s="14">
        <v>866000</v>
      </c>
      <c r="H2967" s="13" t="s">
        <v>2607</v>
      </c>
      <c r="I2967" s="40" t="s">
        <v>18</v>
      </c>
      <c r="J2967" s="40" t="str">
        <f>HYPERLINK("https://stock.pstatic.net/stock-research/company/39/20260508_company_557455000.pdf","PDF")</f>
        <v>PDF</v>
      </c>
      <c r="K2967" s="12" t="s">
        <v>2608</v>
      </c>
      <c r="L2967" s="36">
        <v>0.44341801385681301</v>
      </c>
    </row>
    <row r="2968" spans="1:12" x14ac:dyDescent="0.45">
      <c r="A2968" s="12" t="s">
        <v>2420</v>
      </c>
      <c r="B2968" s="12" t="s">
        <v>2576</v>
      </c>
      <c r="C2968" s="13" t="s">
        <v>2577</v>
      </c>
      <c r="D2968" s="13" t="s">
        <v>34</v>
      </c>
      <c r="E2968" s="12" t="s">
        <v>35</v>
      </c>
      <c r="F2968" s="14">
        <v>1950000</v>
      </c>
      <c r="G2968" s="14">
        <v>1560000</v>
      </c>
      <c r="H2968" s="13" t="s">
        <v>2609</v>
      </c>
      <c r="I2968" s="40" t="s">
        <v>18</v>
      </c>
      <c r="J2968" s="40" t="str">
        <f>HYPERLINK("https://stock.pstatic.net/stock-research/company/61/20260508_company_789793000.pdf","PDF")</f>
        <v>PDF</v>
      </c>
      <c r="K2968" s="12" t="s">
        <v>2610</v>
      </c>
      <c r="L2968" s="36">
        <v>0.25</v>
      </c>
    </row>
    <row r="2969" spans="1:12" x14ac:dyDescent="0.45">
      <c r="A2969" s="12" t="s">
        <v>2420</v>
      </c>
      <c r="B2969" s="12" t="s">
        <v>1652</v>
      </c>
      <c r="C2969" s="13" t="s">
        <v>1653</v>
      </c>
      <c r="D2969" s="13" t="s">
        <v>44</v>
      </c>
      <c r="E2969" s="12" t="s">
        <v>35</v>
      </c>
      <c r="F2969" s="14">
        <v>76000</v>
      </c>
      <c r="G2969" s="14">
        <v>42600</v>
      </c>
      <c r="H2969" s="13" t="s">
        <v>2611</v>
      </c>
      <c r="I2969" s="40" t="s">
        <v>18</v>
      </c>
      <c r="J2969" s="40" t="str">
        <f>HYPERLINK("https://stock.pstatic.net/stock-research/company/39/20260508_company_289894000.pdf","PDF")</f>
        <v>PDF</v>
      </c>
      <c r="K2969" s="12" t="s">
        <v>2612</v>
      </c>
      <c r="L2969" s="36">
        <v>0.784037558685446</v>
      </c>
    </row>
    <row r="2970" spans="1:12" x14ac:dyDescent="0.45">
      <c r="A2970" s="12" t="s">
        <v>2420</v>
      </c>
      <c r="B2970" s="12" t="s">
        <v>2613</v>
      </c>
      <c r="C2970" s="13" t="s">
        <v>2614</v>
      </c>
      <c r="D2970" s="13" t="s">
        <v>44</v>
      </c>
      <c r="E2970" s="12" t="s">
        <v>35</v>
      </c>
      <c r="F2970" s="14">
        <v>380000</v>
      </c>
      <c r="G2970" s="14">
        <v>259500</v>
      </c>
      <c r="H2970" s="13" t="s">
        <v>2615</v>
      </c>
      <c r="I2970" s="40" t="s">
        <v>18</v>
      </c>
      <c r="J2970" s="40" t="str">
        <f>HYPERLINK("https://stock.pstatic.net/stock-research/company/39/20260508_company_296887000.pdf","PDF")</f>
        <v>PDF</v>
      </c>
      <c r="K2970" s="12" t="s">
        <v>2616</v>
      </c>
      <c r="L2970" s="36">
        <v>0.46435452793834298</v>
      </c>
    </row>
    <row r="2971" spans="1:12" x14ac:dyDescent="0.45">
      <c r="A2971" s="12" t="s">
        <v>2420</v>
      </c>
      <c r="B2971" s="12" t="s">
        <v>1652</v>
      </c>
      <c r="C2971" s="13" t="s">
        <v>1653</v>
      </c>
      <c r="D2971" s="13" t="s">
        <v>15</v>
      </c>
      <c r="E2971" s="12" t="s">
        <v>16</v>
      </c>
      <c r="F2971" s="14">
        <v>74000</v>
      </c>
      <c r="G2971" s="14">
        <v>61200</v>
      </c>
      <c r="H2971" s="13" t="s">
        <v>2617</v>
      </c>
      <c r="I2971" s="40" t="s">
        <v>18</v>
      </c>
      <c r="J2971" s="40" t="str">
        <f>HYPERLINK("https://stock.pstatic.net/stock-research/company/56/20260508_company_366275000.pdf","PDF")</f>
        <v>PDF</v>
      </c>
      <c r="K2971" s="12" t="s">
        <v>2618</v>
      </c>
      <c r="L2971" s="36">
        <v>0.2091503267973856</v>
      </c>
    </row>
    <row r="2972" spans="1:12" x14ac:dyDescent="0.45">
      <c r="A2972" s="12" t="s">
        <v>2420</v>
      </c>
      <c r="B2972" s="12" t="s">
        <v>2613</v>
      </c>
      <c r="C2972" s="13" t="s">
        <v>2614</v>
      </c>
      <c r="D2972" s="13" t="s">
        <v>15</v>
      </c>
      <c r="E2972" s="12" t="s">
        <v>16</v>
      </c>
      <c r="F2972" s="14">
        <v>350000</v>
      </c>
      <c r="G2972" s="14">
        <v>259500</v>
      </c>
      <c r="H2972" s="13" t="s">
        <v>2619</v>
      </c>
      <c r="I2972" s="40" t="s">
        <v>18</v>
      </c>
      <c r="J2972" s="40" t="str">
        <f>HYPERLINK("https://stock.pstatic.net/stock-research/company/56/20260508_company_252281000.pdf","PDF")</f>
        <v>PDF</v>
      </c>
      <c r="K2972" s="12" t="s">
        <v>2620</v>
      </c>
      <c r="L2972" s="36">
        <v>0.34874759152215801</v>
      </c>
    </row>
    <row r="2973" spans="1:12" x14ac:dyDescent="0.45">
      <c r="A2973" s="12" t="s">
        <v>2420</v>
      </c>
      <c r="B2973" s="12" t="s">
        <v>2621</v>
      </c>
      <c r="C2973" s="13" t="s">
        <v>2622</v>
      </c>
      <c r="D2973" s="13" t="s">
        <v>53</v>
      </c>
      <c r="E2973" s="12" t="s">
        <v>16</v>
      </c>
      <c r="F2973" s="14">
        <v>10500</v>
      </c>
      <c r="G2973" s="14">
        <v>7420</v>
      </c>
      <c r="H2973" s="13" t="s">
        <v>2623</v>
      </c>
      <c r="I2973" s="40" t="s">
        <v>18</v>
      </c>
      <c r="J2973" s="40" t="str">
        <f>HYPERLINK("https://stock.pstatic.net/stock-research/company/40/20260508_company_718345000.pdf","PDF")</f>
        <v>PDF</v>
      </c>
      <c r="K2973" s="12" t="s">
        <v>2624</v>
      </c>
      <c r="L2973" s="36">
        <v>0.41509433962264147</v>
      </c>
    </row>
    <row r="2974" spans="1:12" x14ac:dyDescent="0.45">
      <c r="A2974" s="12" t="s">
        <v>2420</v>
      </c>
      <c r="B2974" s="12" t="s">
        <v>2382</v>
      </c>
      <c r="C2974" s="13" t="s">
        <v>2383</v>
      </c>
      <c r="D2974" s="13" t="s">
        <v>53</v>
      </c>
      <c r="E2974" s="12" t="s">
        <v>50</v>
      </c>
      <c r="F2974" s="13"/>
      <c r="G2974" s="14">
        <v>57400</v>
      </c>
      <c r="H2974" s="13" t="s">
        <v>2625</v>
      </c>
      <c r="I2974" s="40" t="s">
        <v>18</v>
      </c>
      <c r="J2974" s="40" t="str">
        <f>HYPERLINK("https://stock.pstatic.net/stock-research/company/40/20260508_company_277998000.pdf","PDF")</f>
        <v>PDF</v>
      </c>
      <c r="K2974" s="12" t="s">
        <v>2626</v>
      </c>
      <c r="L2974" s="12"/>
    </row>
    <row r="2975" spans="1:12" x14ac:dyDescent="0.45">
      <c r="A2975" s="12" t="s">
        <v>2420</v>
      </c>
      <c r="B2975" s="12" t="s">
        <v>1097</v>
      </c>
      <c r="C2975" s="13" t="s">
        <v>1098</v>
      </c>
      <c r="D2975" s="13" t="s">
        <v>53</v>
      </c>
      <c r="E2975" s="12" t="s">
        <v>16</v>
      </c>
      <c r="F2975" s="14">
        <v>190000</v>
      </c>
      <c r="G2975" s="14">
        <v>133900</v>
      </c>
      <c r="H2975" s="13" t="s">
        <v>2627</v>
      </c>
      <c r="I2975" s="40" t="s">
        <v>18</v>
      </c>
      <c r="J2975" s="40" t="str">
        <f>HYPERLINK("https://stock.pstatic.net/stock-research/company/40/20260508_company_538080000.pdf","PDF")</f>
        <v>PDF</v>
      </c>
      <c r="K2975" s="12" t="s">
        <v>2628</v>
      </c>
      <c r="L2975" s="36">
        <v>0.41896938013442869</v>
      </c>
    </row>
    <row r="2976" spans="1:12" x14ac:dyDescent="0.45">
      <c r="A2976" s="12" t="s">
        <v>2420</v>
      </c>
      <c r="B2976" s="12" t="s">
        <v>537</v>
      </c>
      <c r="C2976" s="13" t="s">
        <v>538</v>
      </c>
      <c r="D2976" s="13" t="s">
        <v>15</v>
      </c>
      <c r="E2976" s="12" t="s">
        <v>16</v>
      </c>
      <c r="F2976" s="14">
        <v>19000</v>
      </c>
      <c r="G2976" s="14">
        <v>15370</v>
      </c>
      <c r="H2976" s="13" t="s">
        <v>2629</v>
      </c>
      <c r="I2976" s="40" t="s">
        <v>18</v>
      </c>
      <c r="J2976" s="40" t="str">
        <f>HYPERLINK("https://m.stock.naver.com/research/company/92558","PDF")</f>
        <v>PDF</v>
      </c>
      <c r="K2976" s="12" t="s">
        <v>2630</v>
      </c>
      <c r="L2976" s="36">
        <v>0.23617436564736499</v>
      </c>
    </row>
    <row r="2977" spans="1:12" x14ac:dyDescent="0.45">
      <c r="A2977" s="12" t="s">
        <v>2420</v>
      </c>
      <c r="B2977" s="12" t="s">
        <v>2631</v>
      </c>
      <c r="C2977" s="13" t="s">
        <v>2632</v>
      </c>
      <c r="D2977" s="13" t="s">
        <v>15</v>
      </c>
      <c r="E2977" s="12" t="s">
        <v>16</v>
      </c>
      <c r="F2977" s="14">
        <v>25000</v>
      </c>
      <c r="G2977" s="14">
        <v>16380</v>
      </c>
      <c r="H2977" s="13" t="s">
        <v>2633</v>
      </c>
      <c r="I2977" s="40" t="s">
        <v>18</v>
      </c>
      <c r="J2977" s="40" t="str">
        <f>HYPERLINK("https://stock.pstatic.net/stock-research/company/56/20260508_company_673311000.pdf","PDF")</f>
        <v>PDF</v>
      </c>
      <c r="K2977" s="12" t="s">
        <v>2634</v>
      </c>
      <c r="L2977" s="36">
        <v>0.52625152625152627</v>
      </c>
    </row>
    <row r="2978" spans="1:12" x14ac:dyDescent="0.45">
      <c r="A2978" s="12" t="s">
        <v>2420</v>
      </c>
      <c r="B2978" s="12" t="s">
        <v>2635</v>
      </c>
      <c r="C2978" s="13" t="s">
        <v>2636</v>
      </c>
      <c r="D2978" s="13" t="s">
        <v>202</v>
      </c>
      <c r="E2978" s="12" t="s">
        <v>50</v>
      </c>
      <c r="F2978" s="13"/>
      <c r="G2978" s="13"/>
      <c r="H2978" s="13" t="s">
        <v>2637</v>
      </c>
      <c r="I2978" s="40" t="s">
        <v>18</v>
      </c>
      <c r="J2978" s="40" t="str">
        <f>HYPERLINK("https://stock.pstatic.net/stock-research/company/69/20260508_company_312109000.pdf","PDF")</f>
        <v>PDF</v>
      </c>
      <c r="K2978" s="12" t="s">
        <v>2638</v>
      </c>
      <c r="L2978" s="12"/>
    </row>
    <row r="2979" spans="1:12" x14ac:dyDescent="0.45">
      <c r="A2979" s="12" t="s">
        <v>2420</v>
      </c>
      <c r="B2979" s="12" t="s">
        <v>2639</v>
      </c>
      <c r="C2979" s="13" t="s">
        <v>2640</v>
      </c>
      <c r="D2979" s="13" t="s">
        <v>202</v>
      </c>
      <c r="E2979" s="12" t="s">
        <v>50</v>
      </c>
      <c r="F2979" s="13"/>
      <c r="G2979" s="13"/>
      <c r="H2979" s="13" t="s">
        <v>2641</v>
      </c>
      <c r="I2979" s="40" t="s">
        <v>18</v>
      </c>
      <c r="J2979" s="40" t="str">
        <f>HYPERLINK("https://m.stock.naver.com/research/company/92555","PDF")</f>
        <v>PDF</v>
      </c>
      <c r="K2979" s="12" t="s">
        <v>2642</v>
      </c>
      <c r="L2979" s="12"/>
    </row>
    <row r="2980" spans="1:12" x14ac:dyDescent="0.45">
      <c r="A2980" s="12" t="s">
        <v>2643</v>
      </c>
      <c r="B2980" s="12" t="s">
        <v>2644</v>
      </c>
      <c r="C2980" s="13" t="s">
        <v>2645</v>
      </c>
      <c r="D2980" s="13" t="s">
        <v>15</v>
      </c>
      <c r="E2980" s="12" t="s">
        <v>16</v>
      </c>
      <c r="F2980" s="14">
        <v>43000</v>
      </c>
      <c r="G2980" s="14">
        <v>29800</v>
      </c>
      <c r="H2980" s="13" t="s">
        <v>2646</v>
      </c>
      <c r="I2980" s="40" t="s">
        <v>18</v>
      </c>
      <c r="J2980" s="40" t="str">
        <f>HYPERLINK("https://m.stock.naver.com/research/company/92554","PDF")</f>
        <v>PDF</v>
      </c>
      <c r="K2980" s="12" t="s">
        <v>2647</v>
      </c>
      <c r="L2980" s="36">
        <v>0.44295302013422821</v>
      </c>
    </row>
    <row r="2981" spans="1:12" x14ac:dyDescent="0.45">
      <c r="A2981" s="12" t="s">
        <v>2643</v>
      </c>
      <c r="B2981" s="12" t="s">
        <v>132</v>
      </c>
      <c r="C2981" s="13" t="s">
        <v>133</v>
      </c>
      <c r="D2981" s="13" t="s">
        <v>57</v>
      </c>
      <c r="E2981" s="12" t="s">
        <v>35</v>
      </c>
      <c r="F2981" s="14">
        <v>160000</v>
      </c>
      <c r="G2981" s="14">
        <v>107700</v>
      </c>
      <c r="H2981" s="13" t="s">
        <v>2648</v>
      </c>
      <c r="I2981" s="40" t="s">
        <v>18</v>
      </c>
      <c r="J2981" s="40" t="str">
        <f>HYPERLINK("https://stock.pstatic.net/stock-research/company/16/20260507_company_985739000.pdf","PDF")</f>
        <v>PDF</v>
      </c>
      <c r="K2981" s="12" t="s">
        <v>2649</v>
      </c>
      <c r="L2981" s="36">
        <v>0.48560817084493962</v>
      </c>
    </row>
    <row r="2982" spans="1:12" x14ac:dyDescent="0.45">
      <c r="A2982" s="12" t="s">
        <v>2643</v>
      </c>
      <c r="B2982" s="12" t="s">
        <v>2650</v>
      </c>
      <c r="C2982" s="13" t="s">
        <v>2651</v>
      </c>
      <c r="D2982" s="13" t="s">
        <v>60</v>
      </c>
      <c r="E2982" s="12" t="s">
        <v>35</v>
      </c>
      <c r="F2982" s="14">
        <v>32000</v>
      </c>
      <c r="G2982" s="14">
        <v>25000</v>
      </c>
      <c r="H2982" s="13" t="s">
        <v>2652</v>
      </c>
      <c r="I2982" s="40" t="s">
        <v>18</v>
      </c>
      <c r="J2982" s="40" t="str">
        <f>HYPERLINK("https://m.stock.naver.com/research/company/92552","PDF")</f>
        <v>PDF</v>
      </c>
      <c r="K2982" s="12" t="s">
        <v>2653</v>
      </c>
      <c r="L2982" s="36">
        <v>0.28000000000000003</v>
      </c>
    </row>
    <row r="2983" spans="1:12" x14ac:dyDescent="0.45">
      <c r="A2983" s="12" t="s">
        <v>2643</v>
      </c>
      <c r="B2983" s="12" t="s">
        <v>63</v>
      </c>
      <c r="C2983" s="13" t="s">
        <v>64</v>
      </c>
      <c r="D2983" s="13" t="s">
        <v>60</v>
      </c>
      <c r="E2983" s="12" t="s">
        <v>35</v>
      </c>
      <c r="F2983" s="14">
        <v>700000</v>
      </c>
      <c r="G2983" s="14">
        <v>434500</v>
      </c>
      <c r="H2983" s="13" t="s">
        <v>2654</v>
      </c>
      <c r="I2983" s="40" t="s">
        <v>18</v>
      </c>
      <c r="J2983" s="40" t="str">
        <f>HYPERLINK("https://stock.pstatic.net/stock-research/company/62/20260507_company_991397000.pdf","PDF")</f>
        <v>PDF</v>
      </c>
      <c r="K2983" s="12" t="s">
        <v>2655</v>
      </c>
      <c r="L2983" s="36">
        <v>0.6110471806674338</v>
      </c>
    </row>
    <row r="2984" spans="1:12" x14ac:dyDescent="0.45">
      <c r="A2984" s="12" t="s">
        <v>2643</v>
      </c>
      <c r="B2984" s="12" t="s">
        <v>691</v>
      </c>
      <c r="C2984" s="13" t="s">
        <v>20</v>
      </c>
      <c r="D2984" s="13" t="s">
        <v>276</v>
      </c>
      <c r="E2984" s="12" t="s">
        <v>16</v>
      </c>
      <c r="F2984" s="14">
        <v>320000</v>
      </c>
      <c r="G2984" s="14">
        <v>197800</v>
      </c>
      <c r="H2984" s="13" t="s">
        <v>2656</v>
      </c>
      <c r="I2984" s="40" t="s">
        <v>18</v>
      </c>
      <c r="J2984" s="40" t="str">
        <f>HYPERLINK("https://stock.pstatic.net/stock-research/company/66/20260507_company_796792000.pdf","PDF")</f>
        <v>PDF</v>
      </c>
      <c r="K2984" s="12" t="s">
        <v>2657</v>
      </c>
      <c r="L2984" s="36">
        <v>0.61779575328614766</v>
      </c>
    </row>
    <row r="2985" spans="1:12" x14ac:dyDescent="0.45">
      <c r="A2985" s="12" t="s">
        <v>2643</v>
      </c>
      <c r="B2985" s="12" t="s">
        <v>2658</v>
      </c>
      <c r="C2985" s="13" t="s">
        <v>2659</v>
      </c>
      <c r="D2985" s="13" t="s">
        <v>60</v>
      </c>
      <c r="E2985" s="12" t="s">
        <v>35</v>
      </c>
      <c r="F2985" s="14">
        <v>130000</v>
      </c>
      <c r="G2985" s="14">
        <v>87800</v>
      </c>
      <c r="H2985" s="13" t="s">
        <v>2660</v>
      </c>
      <c r="I2985" s="40" t="s">
        <v>18</v>
      </c>
      <c r="J2985" s="40" t="str">
        <f>HYPERLINK("https://m.stock.naver.com/research/company/92549","PDF")</f>
        <v>PDF</v>
      </c>
      <c r="K2985" s="12" t="s">
        <v>2661</v>
      </c>
      <c r="L2985" s="36">
        <v>0.48063781321184512</v>
      </c>
    </row>
    <row r="2986" spans="1:12" x14ac:dyDescent="0.45">
      <c r="A2986" s="12" t="s">
        <v>2643</v>
      </c>
      <c r="B2986" s="12" t="s">
        <v>2662</v>
      </c>
      <c r="C2986" s="13" t="s">
        <v>2663</v>
      </c>
      <c r="D2986" s="13" t="s">
        <v>60</v>
      </c>
      <c r="E2986" s="12" t="s">
        <v>50</v>
      </c>
      <c r="F2986" s="14">
        <v>76000</v>
      </c>
      <c r="G2986" s="14">
        <v>63300</v>
      </c>
      <c r="H2986" s="13" t="s">
        <v>2664</v>
      </c>
      <c r="I2986" s="40" t="s">
        <v>18</v>
      </c>
      <c r="J2986" s="40" t="str">
        <f>HYPERLINK("https://m.stock.naver.com/research/company/92548","PDF")</f>
        <v>PDF</v>
      </c>
      <c r="K2986" s="12" t="s">
        <v>2665</v>
      </c>
      <c r="L2986" s="36">
        <v>0.20063191153238549</v>
      </c>
    </row>
    <row r="2987" spans="1:12" x14ac:dyDescent="0.45">
      <c r="A2987" s="12" t="s">
        <v>2643</v>
      </c>
      <c r="B2987" s="12" t="s">
        <v>1648</v>
      </c>
      <c r="C2987" s="13" t="s">
        <v>1649</v>
      </c>
      <c r="D2987" s="13" t="s">
        <v>60</v>
      </c>
      <c r="E2987" s="12" t="s">
        <v>35</v>
      </c>
      <c r="F2987" s="14">
        <v>130000</v>
      </c>
      <c r="G2987" s="14">
        <v>92200</v>
      </c>
      <c r="H2987" s="13" t="s">
        <v>2666</v>
      </c>
      <c r="I2987" s="40" t="s">
        <v>18</v>
      </c>
      <c r="J2987" s="40" t="str">
        <f>HYPERLINK("https://stock.pstatic.net/stock-research/company/62/20260507_company_793784000.pdf","PDF")</f>
        <v>PDF</v>
      </c>
      <c r="K2987" s="12" t="s">
        <v>2667</v>
      </c>
      <c r="L2987" s="36">
        <v>0.40997830802603041</v>
      </c>
    </row>
    <row r="2988" spans="1:12" x14ac:dyDescent="0.45">
      <c r="A2988" s="12" t="s">
        <v>2643</v>
      </c>
      <c r="B2988" s="12" t="s">
        <v>132</v>
      </c>
      <c r="C2988" s="13" t="s">
        <v>133</v>
      </c>
      <c r="D2988" s="13" t="s">
        <v>60</v>
      </c>
      <c r="E2988" s="12" t="s">
        <v>35</v>
      </c>
      <c r="F2988" s="14">
        <v>150000</v>
      </c>
      <c r="G2988" s="14">
        <v>107700</v>
      </c>
      <c r="H2988" s="13" t="s">
        <v>2668</v>
      </c>
      <c r="I2988" s="40" t="s">
        <v>18</v>
      </c>
      <c r="J2988" s="40" t="str">
        <f>HYPERLINK("https://stock.pstatic.net/stock-research/company/62/20260507_company_896129000.pdf","PDF")</f>
        <v>PDF</v>
      </c>
      <c r="K2988" s="12" t="s">
        <v>2669</v>
      </c>
      <c r="L2988" s="36">
        <v>0.39275766016713087</v>
      </c>
    </row>
    <row r="2989" spans="1:12" x14ac:dyDescent="0.45">
      <c r="A2989" s="12" t="s">
        <v>2643</v>
      </c>
      <c r="B2989" s="12" t="s">
        <v>110</v>
      </c>
      <c r="C2989" s="13" t="s">
        <v>111</v>
      </c>
      <c r="D2989" s="13" t="s">
        <v>60</v>
      </c>
      <c r="E2989" s="12" t="s">
        <v>35</v>
      </c>
      <c r="F2989" s="14">
        <v>135000</v>
      </c>
      <c r="G2989" s="14">
        <v>93800</v>
      </c>
      <c r="H2989" s="13" t="s">
        <v>2670</v>
      </c>
      <c r="I2989" s="40" t="s">
        <v>18</v>
      </c>
      <c r="J2989" s="40" t="str">
        <f>HYPERLINK("https://m.stock.naver.com/research/company/92545","PDF")</f>
        <v>PDF</v>
      </c>
      <c r="K2989" s="12" t="s">
        <v>2671</v>
      </c>
      <c r="L2989" s="36">
        <v>0.43923240938166308</v>
      </c>
    </row>
    <row r="2990" spans="1:12" x14ac:dyDescent="0.45">
      <c r="A2990" s="12" t="s">
        <v>2643</v>
      </c>
      <c r="B2990" s="12" t="s">
        <v>1674</v>
      </c>
      <c r="C2990" s="13" t="s">
        <v>1675</v>
      </c>
      <c r="D2990" s="13" t="s">
        <v>65</v>
      </c>
      <c r="E2990" s="12" t="s">
        <v>35</v>
      </c>
      <c r="F2990" s="14">
        <v>730000</v>
      </c>
      <c r="G2990" s="14">
        <v>623000</v>
      </c>
      <c r="H2990" s="13" t="s">
        <v>2672</v>
      </c>
      <c r="I2990" s="40" t="s">
        <v>18</v>
      </c>
      <c r="J2990" s="40" t="str">
        <f>HYPERLINK("https://stock.pstatic.net/stock-research/company/57/20260507_company_192664000.pdf","PDF")</f>
        <v>PDF</v>
      </c>
      <c r="K2990" s="12" t="s">
        <v>2673</v>
      </c>
      <c r="L2990" s="36">
        <v>0.17174959871589079</v>
      </c>
    </row>
    <row r="2991" spans="1:12" x14ac:dyDescent="0.45">
      <c r="A2991" s="12" t="s">
        <v>2643</v>
      </c>
      <c r="B2991" s="12" t="s">
        <v>2650</v>
      </c>
      <c r="C2991" s="13" t="s">
        <v>2651</v>
      </c>
      <c r="D2991" s="13" t="s">
        <v>65</v>
      </c>
      <c r="E2991" s="12" t="s">
        <v>35</v>
      </c>
      <c r="F2991" s="14">
        <v>35000</v>
      </c>
      <c r="G2991" s="14">
        <v>25000</v>
      </c>
      <c r="H2991" s="13" t="s">
        <v>2674</v>
      </c>
      <c r="I2991" s="40" t="s">
        <v>18</v>
      </c>
      <c r="J2991" s="40" t="str">
        <f>HYPERLINK("https://stock.pstatic.net/stock-research/company/57/20260507_company_583646000.pdf","PDF")</f>
        <v>PDF</v>
      </c>
      <c r="K2991" s="12" t="s">
        <v>2675</v>
      </c>
      <c r="L2991" s="36">
        <v>0.4</v>
      </c>
    </row>
    <row r="2992" spans="1:12" x14ac:dyDescent="0.45">
      <c r="A2992" s="12" t="s">
        <v>2643</v>
      </c>
      <c r="B2992" s="12" t="s">
        <v>426</v>
      </c>
      <c r="C2992" s="13" t="s">
        <v>427</v>
      </c>
      <c r="D2992" s="13" t="s">
        <v>65</v>
      </c>
      <c r="E2992" s="12" t="s">
        <v>35</v>
      </c>
      <c r="F2992" s="14">
        <v>25000</v>
      </c>
      <c r="G2992" s="14">
        <v>15420</v>
      </c>
      <c r="H2992" s="13" t="s">
        <v>2676</v>
      </c>
      <c r="I2992" s="40" t="s">
        <v>18</v>
      </c>
      <c r="J2992" s="40" t="str">
        <f>HYPERLINK("https://stock.pstatic.net/stock-research/company/57/20260507_company_803930000.pdf","PDF")</f>
        <v>PDF</v>
      </c>
      <c r="K2992" s="12" t="s">
        <v>2677</v>
      </c>
      <c r="L2992" s="36">
        <v>0.62127107652399483</v>
      </c>
    </row>
    <row r="2993" spans="1:12" x14ac:dyDescent="0.45">
      <c r="A2993" s="12" t="s">
        <v>2643</v>
      </c>
      <c r="B2993" s="12" t="s">
        <v>1648</v>
      </c>
      <c r="C2993" s="13" t="s">
        <v>1649</v>
      </c>
      <c r="D2993" s="13" t="s">
        <v>65</v>
      </c>
      <c r="E2993" s="12" t="s">
        <v>35</v>
      </c>
      <c r="F2993" s="14">
        <v>140000</v>
      </c>
      <c r="G2993" s="14">
        <v>92200</v>
      </c>
      <c r="H2993" s="13" t="s">
        <v>2678</v>
      </c>
      <c r="I2993" s="40" t="s">
        <v>18</v>
      </c>
      <c r="J2993" s="40" t="str">
        <f>HYPERLINK("https://stock.pstatic.net/stock-research/company/57/20260507_company_485988000.pdf","PDF")</f>
        <v>PDF</v>
      </c>
      <c r="K2993" s="12" t="s">
        <v>2679</v>
      </c>
      <c r="L2993" s="36">
        <v>0.51843817787418656</v>
      </c>
    </row>
    <row r="2994" spans="1:12" x14ac:dyDescent="0.45">
      <c r="A2994" s="12" t="s">
        <v>2643</v>
      </c>
      <c r="B2994" s="12" t="s">
        <v>2382</v>
      </c>
      <c r="C2994" s="13" t="s">
        <v>2383</v>
      </c>
      <c r="D2994" s="13" t="s">
        <v>65</v>
      </c>
      <c r="E2994" s="12" t="s">
        <v>35</v>
      </c>
      <c r="F2994" s="14">
        <v>72000</v>
      </c>
      <c r="G2994" s="14">
        <v>54500</v>
      </c>
      <c r="H2994" s="13" t="s">
        <v>2680</v>
      </c>
      <c r="I2994" s="40" t="s">
        <v>18</v>
      </c>
      <c r="J2994" s="40" t="str">
        <f>HYPERLINK("https://stock.pstatic.net/stock-research/company/57/20260507_company_130146000.pdf","PDF")</f>
        <v>PDF</v>
      </c>
      <c r="K2994" s="12" t="s">
        <v>2681</v>
      </c>
      <c r="L2994" s="36">
        <v>0.32110091743119268</v>
      </c>
    </row>
    <row r="2995" spans="1:12" x14ac:dyDescent="0.45">
      <c r="A2995" s="12" t="s">
        <v>2643</v>
      </c>
      <c r="B2995" s="12" t="s">
        <v>132</v>
      </c>
      <c r="C2995" s="13" t="s">
        <v>133</v>
      </c>
      <c r="D2995" s="13" t="s">
        <v>158</v>
      </c>
      <c r="E2995" s="12" t="s">
        <v>35</v>
      </c>
      <c r="F2995" s="14">
        <v>142000</v>
      </c>
      <c r="G2995" s="14">
        <v>107700</v>
      </c>
      <c r="H2995" s="13" t="s">
        <v>2682</v>
      </c>
      <c r="I2995" s="40" t="s">
        <v>18</v>
      </c>
      <c r="J2995" s="40" t="str">
        <f>HYPERLINK("https://stock.pstatic.net/stock-research/company/18/20260507_company_72644000.pdf","PDF")</f>
        <v>PDF</v>
      </c>
      <c r="K2995" s="12" t="s">
        <v>2683</v>
      </c>
      <c r="L2995" s="36">
        <v>0.31847725162488388</v>
      </c>
    </row>
    <row r="2996" spans="1:12" x14ac:dyDescent="0.45">
      <c r="A2996" s="12" t="s">
        <v>2643</v>
      </c>
      <c r="B2996" s="12" t="s">
        <v>691</v>
      </c>
      <c r="C2996" s="13" t="s">
        <v>20</v>
      </c>
      <c r="D2996" s="13" t="s">
        <v>158</v>
      </c>
      <c r="E2996" s="12" t="s">
        <v>35</v>
      </c>
      <c r="F2996" s="14">
        <v>270000</v>
      </c>
      <c r="G2996" s="14">
        <v>194700</v>
      </c>
      <c r="H2996" s="13" t="s">
        <v>2684</v>
      </c>
      <c r="I2996" s="40" t="s">
        <v>18</v>
      </c>
      <c r="J2996" s="40" t="str">
        <f>HYPERLINK("https://m.stock.naver.com/research/company/92538","PDF")</f>
        <v>PDF</v>
      </c>
      <c r="K2996" s="12" t="s">
        <v>2685</v>
      </c>
      <c r="L2996" s="36">
        <v>0.38674884437596302</v>
      </c>
    </row>
    <row r="2997" spans="1:12" x14ac:dyDescent="0.45">
      <c r="A2997" s="12" t="s">
        <v>2643</v>
      </c>
      <c r="B2997" s="12" t="s">
        <v>912</v>
      </c>
      <c r="C2997" s="13" t="s">
        <v>913</v>
      </c>
      <c r="D2997" s="13" t="s">
        <v>158</v>
      </c>
      <c r="E2997" s="12" t="s">
        <v>35</v>
      </c>
      <c r="F2997" s="14">
        <v>93000</v>
      </c>
      <c r="G2997" s="14">
        <v>67000</v>
      </c>
      <c r="H2997" s="13" t="s">
        <v>2686</v>
      </c>
      <c r="I2997" s="40" t="s">
        <v>18</v>
      </c>
      <c r="J2997" s="40" t="str">
        <f>HYPERLINK("https://stock.pstatic.net/stock-research/company/18/20260507_company_304778000.pdf","PDF")</f>
        <v>PDF</v>
      </c>
      <c r="K2997" s="12" t="s">
        <v>2687</v>
      </c>
      <c r="L2997" s="36">
        <v>0.38805970149253732</v>
      </c>
    </row>
    <row r="2998" spans="1:12" x14ac:dyDescent="0.45">
      <c r="A2998" s="12" t="s">
        <v>2643</v>
      </c>
      <c r="B2998" s="12" t="s">
        <v>2688</v>
      </c>
      <c r="C2998" s="13" t="s">
        <v>2689</v>
      </c>
      <c r="D2998" s="13" t="s">
        <v>158</v>
      </c>
      <c r="E2998" s="12" t="s">
        <v>35</v>
      </c>
      <c r="F2998" s="14">
        <v>90000</v>
      </c>
      <c r="G2998" s="14">
        <v>73400</v>
      </c>
      <c r="H2998" s="13" t="s">
        <v>2690</v>
      </c>
      <c r="I2998" s="40" t="s">
        <v>18</v>
      </c>
      <c r="J2998" s="40" t="str">
        <f>HYPERLINK("https://stock.pstatic.net/stock-research/company/18/20260507_company_616468000.pdf","PDF")</f>
        <v>PDF</v>
      </c>
      <c r="K2998" s="12" t="s">
        <v>2691</v>
      </c>
      <c r="L2998" s="36">
        <v>0.226158038147139</v>
      </c>
    </row>
    <row r="2999" spans="1:12" x14ac:dyDescent="0.45">
      <c r="A2999" s="12" t="s">
        <v>2643</v>
      </c>
      <c r="B2999" s="12" t="s">
        <v>132</v>
      </c>
      <c r="C2999" s="13" t="s">
        <v>133</v>
      </c>
      <c r="D2999" s="13" t="s">
        <v>15</v>
      </c>
      <c r="E2999" s="12" t="s">
        <v>16</v>
      </c>
      <c r="F2999" s="14">
        <v>150000</v>
      </c>
      <c r="G2999" s="14">
        <v>107700</v>
      </c>
      <c r="H2999" s="13" t="s">
        <v>2692</v>
      </c>
      <c r="I2999" s="40" t="s">
        <v>18</v>
      </c>
      <c r="J2999" s="40" t="str">
        <f>HYPERLINK("https://m.stock.naver.com/research/company/92535","PDF")</f>
        <v>PDF</v>
      </c>
      <c r="K2999" s="12" t="s">
        <v>2693</v>
      </c>
      <c r="L2999" s="36">
        <v>0.39275766016713087</v>
      </c>
    </row>
    <row r="3000" spans="1:12" x14ac:dyDescent="0.45">
      <c r="A3000" s="12" t="s">
        <v>2643</v>
      </c>
      <c r="B3000" s="12" t="s">
        <v>110</v>
      </c>
      <c r="C3000" s="13" t="s">
        <v>111</v>
      </c>
      <c r="D3000" s="13" t="s">
        <v>83</v>
      </c>
      <c r="E3000" s="12" t="s">
        <v>35</v>
      </c>
      <c r="F3000" s="14">
        <v>105000</v>
      </c>
      <c r="G3000" s="14">
        <v>93800</v>
      </c>
      <c r="H3000" s="13" t="s">
        <v>2694</v>
      </c>
      <c r="I3000" s="40" t="s">
        <v>18</v>
      </c>
      <c r="J3000" s="40" t="str">
        <f>HYPERLINK("https://m.stock.naver.com/research/company/92534","PDF")</f>
        <v>PDF</v>
      </c>
      <c r="K3000" s="12" t="s">
        <v>2695</v>
      </c>
      <c r="L3000" s="36">
        <v>0.11940298507462691</v>
      </c>
    </row>
    <row r="3001" spans="1:12" x14ac:dyDescent="0.45">
      <c r="A3001" s="12" t="s">
        <v>2643</v>
      </c>
      <c r="B3001" s="12" t="s">
        <v>132</v>
      </c>
      <c r="C3001" s="13" t="s">
        <v>133</v>
      </c>
      <c r="D3001" s="13" t="s">
        <v>83</v>
      </c>
      <c r="E3001" s="12" t="s">
        <v>35</v>
      </c>
      <c r="F3001" s="14">
        <v>145000</v>
      </c>
      <c r="G3001" s="14">
        <v>107700</v>
      </c>
      <c r="H3001" s="13" t="s">
        <v>2696</v>
      </c>
      <c r="I3001" s="40" t="s">
        <v>18</v>
      </c>
      <c r="J3001" s="40" t="str">
        <f>HYPERLINK("https://m.stock.naver.com/research/company/92533","PDF")</f>
        <v>PDF</v>
      </c>
      <c r="K3001" s="12" t="s">
        <v>2697</v>
      </c>
      <c r="L3001" s="36">
        <v>0.34633240482822658</v>
      </c>
    </row>
    <row r="3002" spans="1:12" x14ac:dyDescent="0.45">
      <c r="A3002" s="12" t="s">
        <v>2643</v>
      </c>
      <c r="B3002" s="12" t="s">
        <v>2650</v>
      </c>
      <c r="C3002" s="13" t="s">
        <v>2651</v>
      </c>
      <c r="D3002" s="13" t="s">
        <v>83</v>
      </c>
      <c r="E3002" s="12" t="s">
        <v>642</v>
      </c>
      <c r="F3002" s="14">
        <v>26000</v>
      </c>
      <c r="G3002" s="14">
        <v>24400</v>
      </c>
      <c r="H3002" s="13" t="s">
        <v>2698</v>
      </c>
      <c r="I3002" s="40" t="s">
        <v>18</v>
      </c>
      <c r="J3002" s="40" t="str">
        <f>HYPERLINK("https://m.stock.naver.com/research/company/92532","PDF")</f>
        <v>PDF</v>
      </c>
      <c r="K3002" s="12" t="s">
        <v>2699</v>
      </c>
      <c r="L3002" s="36">
        <v>6.5573770491803282E-2</v>
      </c>
    </row>
    <row r="3003" spans="1:12" x14ac:dyDescent="0.45">
      <c r="A3003" s="12" t="s">
        <v>2643</v>
      </c>
      <c r="B3003" s="12" t="s">
        <v>1190</v>
      </c>
      <c r="C3003" s="13" t="s">
        <v>1191</v>
      </c>
      <c r="D3003" s="13" t="s">
        <v>83</v>
      </c>
      <c r="E3003" s="12" t="s">
        <v>35</v>
      </c>
      <c r="F3003" s="14">
        <v>163000</v>
      </c>
      <c r="G3003" s="14">
        <v>140600</v>
      </c>
      <c r="H3003" s="13" t="s">
        <v>2700</v>
      </c>
      <c r="I3003" s="40" t="s">
        <v>18</v>
      </c>
      <c r="J3003" s="40" t="str">
        <f>HYPERLINK("https://m.stock.naver.com/research/company/92531","PDF")</f>
        <v>PDF</v>
      </c>
      <c r="K3003" s="12" t="s">
        <v>2701</v>
      </c>
      <c r="L3003" s="36">
        <v>0.15931721194879089</v>
      </c>
    </row>
    <row r="3004" spans="1:12" x14ac:dyDescent="0.45">
      <c r="A3004" s="12" t="s">
        <v>2643</v>
      </c>
      <c r="B3004" s="12" t="s">
        <v>132</v>
      </c>
      <c r="C3004" s="13" t="s">
        <v>133</v>
      </c>
      <c r="D3004" s="13" t="s">
        <v>92</v>
      </c>
      <c r="E3004" s="12" t="s">
        <v>35</v>
      </c>
      <c r="F3004" s="14">
        <v>150000</v>
      </c>
      <c r="G3004" s="14">
        <v>107700</v>
      </c>
      <c r="H3004" s="13" t="s">
        <v>2702</v>
      </c>
      <c r="I3004" s="40" t="s">
        <v>18</v>
      </c>
      <c r="J3004" s="40" t="str">
        <f>HYPERLINK("https://m.stock.naver.com/research/company/92530","PDF")</f>
        <v>PDF</v>
      </c>
      <c r="K3004" s="12" t="s">
        <v>2703</v>
      </c>
      <c r="L3004" s="36">
        <v>0.39275766016713087</v>
      </c>
    </row>
    <row r="3005" spans="1:12" x14ac:dyDescent="0.45">
      <c r="A3005" s="12" t="s">
        <v>2643</v>
      </c>
      <c r="B3005" s="12" t="s">
        <v>334</v>
      </c>
      <c r="C3005" s="13" t="s">
        <v>335</v>
      </c>
      <c r="D3005" s="13" t="s">
        <v>15</v>
      </c>
      <c r="E3005" s="12" t="s">
        <v>16</v>
      </c>
      <c r="F3005" s="14">
        <v>2700000</v>
      </c>
      <c r="G3005" s="14">
        <v>1601000</v>
      </c>
      <c r="H3005" s="13" t="s">
        <v>2704</v>
      </c>
      <c r="I3005" s="40" t="s">
        <v>18</v>
      </c>
      <c r="J3005" s="40" t="str">
        <f>HYPERLINK("https://m.stock.naver.com/research/company/92529","PDF")</f>
        <v>PDF</v>
      </c>
      <c r="K3005" s="12" t="s">
        <v>2705</v>
      </c>
      <c r="L3005" s="36">
        <v>0.68644597126795748</v>
      </c>
    </row>
    <row r="3006" spans="1:12" x14ac:dyDescent="0.45">
      <c r="A3006" s="12" t="s">
        <v>2643</v>
      </c>
      <c r="B3006" s="12" t="s">
        <v>2382</v>
      </c>
      <c r="C3006" s="13" t="s">
        <v>2383</v>
      </c>
      <c r="D3006" s="13" t="s">
        <v>23</v>
      </c>
      <c r="E3006" s="12" t="s">
        <v>16</v>
      </c>
      <c r="F3006" s="14">
        <v>70000</v>
      </c>
      <c r="G3006" s="14">
        <v>54500</v>
      </c>
      <c r="H3006" s="13" t="s">
        <v>2706</v>
      </c>
      <c r="I3006" s="40" t="s">
        <v>18</v>
      </c>
      <c r="J3006" s="40" t="str">
        <f>HYPERLINK("https://m.stock.naver.com/research/company/92528","PDF")</f>
        <v>PDF</v>
      </c>
      <c r="K3006" s="12" t="s">
        <v>2707</v>
      </c>
      <c r="L3006" s="36">
        <v>0.28440366972477071</v>
      </c>
    </row>
    <row r="3007" spans="1:12" x14ac:dyDescent="0.45">
      <c r="A3007" s="12" t="s">
        <v>2643</v>
      </c>
      <c r="B3007" s="12" t="s">
        <v>13</v>
      </c>
      <c r="C3007" s="13" t="s">
        <v>14</v>
      </c>
      <c r="D3007" s="13" t="s">
        <v>15</v>
      </c>
      <c r="E3007" s="12" t="s">
        <v>16</v>
      </c>
      <c r="F3007" s="14">
        <v>400000</v>
      </c>
      <c r="G3007" s="14">
        <v>266000</v>
      </c>
      <c r="H3007" s="13" t="s">
        <v>2708</v>
      </c>
      <c r="I3007" s="40" t="s">
        <v>18</v>
      </c>
      <c r="J3007" s="40" t="str">
        <f>HYPERLINK("https://m.stock.naver.com/research/company/92527","PDF")</f>
        <v>PDF</v>
      </c>
      <c r="K3007" s="12" t="s">
        <v>2709</v>
      </c>
      <c r="L3007" s="36">
        <v>0.50375939849624063</v>
      </c>
    </row>
    <row r="3008" spans="1:12" x14ac:dyDescent="0.45">
      <c r="A3008" s="12" t="s">
        <v>2643</v>
      </c>
      <c r="B3008" s="12" t="s">
        <v>1350</v>
      </c>
      <c r="C3008" s="13" t="s">
        <v>1351</v>
      </c>
      <c r="D3008" s="13" t="s">
        <v>34</v>
      </c>
      <c r="E3008" s="12" t="s">
        <v>35</v>
      </c>
      <c r="F3008" s="14">
        <v>47000</v>
      </c>
      <c r="G3008" s="14">
        <v>31450</v>
      </c>
      <c r="H3008" s="13" t="s">
        <v>2710</v>
      </c>
      <c r="I3008" s="40" t="s">
        <v>18</v>
      </c>
      <c r="J3008" s="40" t="str">
        <f>HYPERLINK("https://m.stock.naver.com/research/company/92526","PDF")</f>
        <v>PDF</v>
      </c>
      <c r="K3008" s="12" t="s">
        <v>2711</v>
      </c>
      <c r="L3008" s="36">
        <v>0.49443561208267089</v>
      </c>
    </row>
    <row r="3009" spans="1:12" x14ac:dyDescent="0.45">
      <c r="A3009" s="12" t="s">
        <v>2643</v>
      </c>
      <c r="B3009" s="12" t="s">
        <v>2712</v>
      </c>
      <c r="C3009" s="13" t="s">
        <v>2713</v>
      </c>
      <c r="D3009" s="13" t="s">
        <v>23</v>
      </c>
      <c r="E3009" s="12" t="s">
        <v>50</v>
      </c>
      <c r="F3009" s="13"/>
      <c r="G3009" s="14">
        <v>112000</v>
      </c>
      <c r="H3009" s="13" t="s">
        <v>2714</v>
      </c>
      <c r="I3009" s="40" t="s">
        <v>18</v>
      </c>
      <c r="J3009" s="40" t="str">
        <f>HYPERLINK("https://stock.pstatic.net/stock-research/company/21/20260507_company_310494000.pdf","PDF")</f>
        <v>PDF</v>
      </c>
      <c r="K3009" s="12" t="s">
        <v>2715</v>
      </c>
      <c r="L3009" s="12"/>
    </row>
    <row r="3010" spans="1:12" x14ac:dyDescent="0.45">
      <c r="A3010" s="12" t="s">
        <v>2643</v>
      </c>
      <c r="B3010" s="12" t="s">
        <v>1350</v>
      </c>
      <c r="C3010" s="13" t="s">
        <v>1351</v>
      </c>
      <c r="D3010" s="13" t="s">
        <v>23</v>
      </c>
      <c r="E3010" s="12" t="s">
        <v>16</v>
      </c>
      <c r="F3010" s="14">
        <v>48000</v>
      </c>
      <c r="G3010" s="14">
        <v>31450</v>
      </c>
      <c r="H3010" s="13" t="s">
        <v>2716</v>
      </c>
      <c r="I3010" s="40" t="s">
        <v>18</v>
      </c>
      <c r="J3010" s="40" t="str">
        <f>HYPERLINK("https://stock.pstatic.net/stock-research/company/21/20260507_company_390601000.pdf","PDF")</f>
        <v>PDF</v>
      </c>
      <c r="K3010" s="12" t="s">
        <v>2717</v>
      </c>
      <c r="L3010" s="36">
        <v>0.52623211446740858</v>
      </c>
    </row>
    <row r="3011" spans="1:12" x14ac:dyDescent="0.45">
      <c r="A3011" s="12" t="s">
        <v>2643</v>
      </c>
      <c r="B3011" s="12" t="s">
        <v>1648</v>
      </c>
      <c r="C3011" s="13" t="s">
        <v>1649</v>
      </c>
      <c r="D3011" s="13" t="s">
        <v>23</v>
      </c>
      <c r="E3011" s="12" t="s">
        <v>16</v>
      </c>
      <c r="F3011" s="14">
        <v>130000</v>
      </c>
      <c r="G3011" s="14">
        <v>92200</v>
      </c>
      <c r="H3011" s="13" t="s">
        <v>2718</v>
      </c>
      <c r="I3011" s="40" t="s">
        <v>18</v>
      </c>
      <c r="J3011" s="40" t="str">
        <f>HYPERLINK("https://stock.pstatic.net/stock-research/company/21/20260507_company_992720000.pdf","PDF")</f>
        <v>PDF</v>
      </c>
      <c r="K3011" s="12" t="s">
        <v>2719</v>
      </c>
      <c r="L3011" s="36">
        <v>0.40997830802603041</v>
      </c>
    </row>
    <row r="3012" spans="1:12" x14ac:dyDescent="0.45">
      <c r="A3012" s="12" t="s">
        <v>2643</v>
      </c>
      <c r="B3012" s="12" t="s">
        <v>352</v>
      </c>
      <c r="C3012" s="13" t="s">
        <v>353</v>
      </c>
      <c r="D3012" s="13" t="s">
        <v>92</v>
      </c>
      <c r="E3012" s="12" t="s">
        <v>35</v>
      </c>
      <c r="F3012" s="14">
        <v>316000</v>
      </c>
      <c r="G3012" s="14">
        <v>262000</v>
      </c>
      <c r="H3012" s="13" t="s">
        <v>2720</v>
      </c>
      <c r="I3012" s="40" t="s">
        <v>18</v>
      </c>
      <c r="J3012" s="40" t="str">
        <f>HYPERLINK("https://stock.pstatic.net/stock-research/company/63/20260507_company_930977000.pdf","PDF")</f>
        <v>PDF</v>
      </c>
      <c r="K3012" s="12" t="s">
        <v>2721</v>
      </c>
      <c r="L3012" s="36">
        <v>0.20610687022900759</v>
      </c>
    </row>
    <row r="3013" spans="1:12" x14ac:dyDescent="0.45">
      <c r="A3013" s="12" t="s">
        <v>2643</v>
      </c>
      <c r="B3013" s="12" t="s">
        <v>132</v>
      </c>
      <c r="C3013" s="13" t="s">
        <v>133</v>
      </c>
      <c r="D3013" s="13" t="s">
        <v>23</v>
      </c>
      <c r="E3013" s="12" t="s">
        <v>16</v>
      </c>
      <c r="F3013" s="14">
        <v>140000</v>
      </c>
      <c r="G3013" s="14">
        <v>107700</v>
      </c>
      <c r="H3013" s="13" t="s">
        <v>2722</v>
      </c>
      <c r="I3013" s="40" t="s">
        <v>18</v>
      </c>
      <c r="J3013" s="40" t="str">
        <f>HYPERLINK("https://stock.pstatic.net/stock-research/company/21/20260507_company_604265000.pdf","PDF")</f>
        <v>PDF</v>
      </c>
      <c r="K3013" s="12" t="s">
        <v>2723</v>
      </c>
      <c r="L3013" s="36">
        <v>0.29990714948932218</v>
      </c>
    </row>
    <row r="3014" spans="1:12" x14ac:dyDescent="0.45">
      <c r="A3014" s="12" t="s">
        <v>2643</v>
      </c>
      <c r="B3014" s="12" t="s">
        <v>1648</v>
      </c>
      <c r="C3014" s="13" t="s">
        <v>1649</v>
      </c>
      <c r="D3014" s="13" t="s">
        <v>34</v>
      </c>
      <c r="E3014" s="12" t="s">
        <v>35</v>
      </c>
      <c r="F3014" s="14">
        <v>140000</v>
      </c>
      <c r="G3014" s="14">
        <v>92200</v>
      </c>
      <c r="H3014" s="13" t="s">
        <v>2724</v>
      </c>
      <c r="I3014" s="40" t="s">
        <v>18</v>
      </c>
      <c r="J3014" s="40" t="str">
        <f>HYPERLINK("https://stock.pstatic.net/stock-research/company/61/20260507_company_973220000.pdf","PDF")</f>
        <v>PDF</v>
      </c>
      <c r="K3014" s="12" t="s">
        <v>2725</v>
      </c>
      <c r="L3014" s="36">
        <v>0.51843817787418656</v>
      </c>
    </row>
    <row r="3015" spans="1:12" x14ac:dyDescent="0.45">
      <c r="A3015" s="12" t="s">
        <v>2643</v>
      </c>
      <c r="B3015" s="12" t="s">
        <v>2662</v>
      </c>
      <c r="C3015" s="13" t="s">
        <v>2663</v>
      </c>
      <c r="D3015" s="13" t="s">
        <v>23</v>
      </c>
      <c r="E3015" s="12" t="s">
        <v>385</v>
      </c>
      <c r="F3015" s="13"/>
      <c r="G3015" s="14">
        <v>63300</v>
      </c>
      <c r="H3015" s="13" t="s">
        <v>2726</v>
      </c>
      <c r="I3015" s="40" t="s">
        <v>18</v>
      </c>
      <c r="J3015" s="40" t="str">
        <f>HYPERLINK("https://stock.pstatic.net/stock-research/company/21/20260507_company_305312000.pdf","PDF")</f>
        <v>PDF</v>
      </c>
      <c r="K3015" s="12" t="s">
        <v>2727</v>
      </c>
      <c r="L3015" s="12"/>
    </row>
    <row r="3016" spans="1:12" x14ac:dyDescent="0.45">
      <c r="A3016" s="12" t="s">
        <v>2643</v>
      </c>
      <c r="B3016" s="12" t="s">
        <v>2650</v>
      </c>
      <c r="C3016" s="13" t="s">
        <v>2651</v>
      </c>
      <c r="D3016" s="13" t="s">
        <v>23</v>
      </c>
      <c r="E3016" s="12" t="s">
        <v>16</v>
      </c>
      <c r="F3016" s="14">
        <v>29000</v>
      </c>
      <c r="G3016" s="14">
        <v>25000</v>
      </c>
      <c r="H3016" s="13" t="s">
        <v>2728</v>
      </c>
      <c r="I3016" s="40" t="s">
        <v>18</v>
      </c>
      <c r="J3016" s="40" t="str">
        <f>HYPERLINK("https://stock.pstatic.net/stock-research/company/21/20260507_company_789345000.pdf","PDF")</f>
        <v>PDF</v>
      </c>
      <c r="K3016" s="12" t="s">
        <v>2729</v>
      </c>
      <c r="L3016" s="36">
        <v>0.16</v>
      </c>
    </row>
    <row r="3017" spans="1:12" x14ac:dyDescent="0.45">
      <c r="A3017" s="12" t="s">
        <v>2643</v>
      </c>
      <c r="B3017" s="12" t="s">
        <v>691</v>
      </c>
      <c r="C3017" s="13" t="s">
        <v>20</v>
      </c>
      <c r="D3017" s="13" t="s">
        <v>179</v>
      </c>
      <c r="E3017" s="12" t="s">
        <v>16</v>
      </c>
      <c r="F3017" s="14">
        <v>260000</v>
      </c>
      <c r="G3017" s="14">
        <v>194700</v>
      </c>
      <c r="H3017" s="13" t="s">
        <v>2730</v>
      </c>
      <c r="I3017" s="40" t="s">
        <v>18</v>
      </c>
      <c r="J3017" s="40" t="str">
        <f>HYPERLINK("https://stock.pstatic.net/stock-research/company/64/20260507_company_372607000.pdf","PDF")</f>
        <v>PDF</v>
      </c>
      <c r="K3017" s="12" t="s">
        <v>2731</v>
      </c>
      <c r="L3017" s="36">
        <v>0.33538777606574222</v>
      </c>
    </row>
    <row r="3018" spans="1:12" x14ac:dyDescent="0.45">
      <c r="A3018" s="12" t="s">
        <v>2643</v>
      </c>
      <c r="B3018" s="12" t="s">
        <v>110</v>
      </c>
      <c r="C3018" s="13" t="s">
        <v>111</v>
      </c>
      <c r="D3018" s="13" t="s">
        <v>23</v>
      </c>
      <c r="E3018" s="12" t="s">
        <v>16</v>
      </c>
      <c r="F3018" s="14">
        <v>150000</v>
      </c>
      <c r="G3018" s="14">
        <v>93800</v>
      </c>
      <c r="H3018" s="13" t="s">
        <v>2732</v>
      </c>
      <c r="I3018" s="40" t="s">
        <v>18</v>
      </c>
      <c r="J3018" s="40" t="str">
        <f>HYPERLINK("https://stock.pstatic.net/stock-research/company/21/20260507_company_910352000.pdf","PDF")</f>
        <v>PDF</v>
      </c>
      <c r="K3018" s="12" t="s">
        <v>2733</v>
      </c>
      <c r="L3018" s="36">
        <v>0.59914712153518124</v>
      </c>
    </row>
    <row r="3019" spans="1:12" x14ac:dyDescent="0.45">
      <c r="A3019" s="12" t="s">
        <v>2643</v>
      </c>
      <c r="B3019" s="12" t="s">
        <v>1648</v>
      </c>
      <c r="C3019" s="13" t="s">
        <v>1649</v>
      </c>
      <c r="D3019" s="13" t="s">
        <v>92</v>
      </c>
      <c r="E3019" s="12" t="s">
        <v>35</v>
      </c>
      <c r="F3019" s="14">
        <v>130000</v>
      </c>
      <c r="G3019" s="14">
        <v>92200</v>
      </c>
      <c r="H3019" s="13" t="s">
        <v>2734</v>
      </c>
      <c r="I3019" s="40" t="s">
        <v>18</v>
      </c>
      <c r="J3019" s="40" t="str">
        <f>HYPERLINK("https://stock.pstatic.net/stock-research/company/63/20260507_company_432062000.pdf","PDF")</f>
        <v>PDF</v>
      </c>
      <c r="K3019" s="12" t="s">
        <v>2735</v>
      </c>
      <c r="L3019" s="36">
        <v>0.40997830802603041</v>
      </c>
    </row>
    <row r="3020" spans="1:12" x14ac:dyDescent="0.45">
      <c r="A3020" s="12" t="s">
        <v>2643</v>
      </c>
      <c r="B3020" s="12" t="s">
        <v>1648</v>
      </c>
      <c r="C3020" s="13" t="s">
        <v>1649</v>
      </c>
      <c r="D3020" s="13" t="s">
        <v>179</v>
      </c>
      <c r="E3020" s="12" t="s">
        <v>16</v>
      </c>
      <c r="F3020" s="14">
        <v>134000</v>
      </c>
      <c r="G3020" s="14">
        <v>92200</v>
      </c>
      <c r="H3020" s="13" t="s">
        <v>2736</v>
      </c>
      <c r="I3020" s="40" t="s">
        <v>18</v>
      </c>
      <c r="J3020" s="40" t="str">
        <f>HYPERLINK("https://stock.pstatic.net/stock-research/company/64/20260507_company_121965000.pdf","PDF")</f>
        <v>PDF</v>
      </c>
      <c r="K3020" s="12" t="s">
        <v>2737</v>
      </c>
      <c r="L3020" s="36">
        <v>0.45336225596529278</v>
      </c>
    </row>
    <row r="3021" spans="1:12" x14ac:dyDescent="0.45">
      <c r="A3021" s="12" t="s">
        <v>2643</v>
      </c>
      <c r="B3021" s="12" t="s">
        <v>426</v>
      </c>
      <c r="C3021" s="13" t="s">
        <v>427</v>
      </c>
      <c r="D3021" s="13" t="s">
        <v>92</v>
      </c>
      <c r="E3021" s="12" t="s">
        <v>35</v>
      </c>
      <c r="F3021" s="14">
        <v>23000</v>
      </c>
      <c r="G3021" s="14">
        <v>15420</v>
      </c>
      <c r="H3021" s="13" t="s">
        <v>2738</v>
      </c>
      <c r="I3021" s="40" t="s">
        <v>18</v>
      </c>
      <c r="J3021" s="40" t="str">
        <f>HYPERLINK("https://stock.pstatic.net/stock-research/company/63/20260507_company_891276000.pdf","PDF")</f>
        <v>PDF</v>
      </c>
      <c r="K3021" s="12" t="s">
        <v>2739</v>
      </c>
      <c r="L3021" s="36">
        <v>0.4915693904020752</v>
      </c>
    </row>
    <row r="3022" spans="1:12" x14ac:dyDescent="0.45">
      <c r="A3022" s="12" t="s">
        <v>2643</v>
      </c>
      <c r="B3022" s="12" t="s">
        <v>2740</v>
      </c>
      <c r="C3022" s="13" t="s">
        <v>2741</v>
      </c>
      <c r="D3022" s="13" t="s">
        <v>53</v>
      </c>
      <c r="E3022" s="12" t="s">
        <v>16</v>
      </c>
      <c r="F3022" s="14">
        <v>25000</v>
      </c>
      <c r="G3022" s="14">
        <v>16900</v>
      </c>
      <c r="H3022" s="13" t="s">
        <v>2742</v>
      </c>
      <c r="I3022" s="40" t="s">
        <v>18</v>
      </c>
      <c r="J3022" s="40" t="str">
        <f>HYPERLINK("https://stock.pstatic.net/stock-research/company/40/20260507_company_736749000.pdf","PDF")</f>
        <v>PDF</v>
      </c>
      <c r="K3022" s="12" t="s">
        <v>2743</v>
      </c>
      <c r="L3022" s="36">
        <v>0.47928994082840243</v>
      </c>
    </row>
    <row r="3023" spans="1:12" x14ac:dyDescent="0.45">
      <c r="A3023" s="12" t="s">
        <v>2643</v>
      </c>
      <c r="B3023" s="12" t="s">
        <v>110</v>
      </c>
      <c r="C3023" s="13" t="s">
        <v>111</v>
      </c>
      <c r="D3023" s="13" t="s">
        <v>34</v>
      </c>
      <c r="E3023" s="12" t="s">
        <v>35</v>
      </c>
      <c r="F3023" s="14">
        <v>135000</v>
      </c>
      <c r="G3023" s="14">
        <v>93800</v>
      </c>
      <c r="H3023" s="13" t="s">
        <v>2744</v>
      </c>
      <c r="I3023" s="40" t="s">
        <v>18</v>
      </c>
      <c r="J3023" s="40" t="str">
        <f>HYPERLINK("https://stock.pstatic.net/stock-research/company/61/20260507_company_437001000.pdf","PDF")</f>
        <v>PDF</v>
      </c>
      <c r="K3023" s="12" t="s">
        <v>2745</v>
      </c>
      <c r="L3023" s="36">
        <v>0.43923240938166308</v>
      </c>
    </row>
    <row r="3024" spans="1:12" x14ac:dyDescent="0.45">
      <c r="A3024" s="12" t="s">
        <v>2643</v>
      </c>
      <c r="B3024" s="12" t="s">
        <v>132</v>
      </c>
      <c r="C3024" s="13" t="s">
        <v>133</v>
      </c>
      <c r="D3024" s="13" t="s">
        <v>53</v>
      </c>
      <c r="E3024" s="12" t="s">
        <v>16</v>
      </c>
      <c r="F3024" s="14">
        <v>130000</v>
      </c>
      <c r="G3024" s="14">
        <v>107700</v>
      </c>
      <c r="H3024" s="13" t="s">
        <v>2746</v>
      </c>
      <c r="I3024" s="40" t="s">
        <v>18</v>
      </c>
      <c r="J3024" s="40" t="str">
        <f>HYPERLINK("https://stock.pstatic.net/stock-research/company/40/20260507_company_369135000.pdf","PDF")</f>
        <v>PDF</v>
      </c>
      <c r="K3024" s="12" t="s">
        <v>2747</v>
      </c>
      <c r="L3024" s="36">
        <v>0.20705663881151351</v>
      </c>
    </row>
    <row r="3025" spans="1:12" x14ac:dyDescent="0.45">
      <c r="A3025" s="12" t="s">
        <v>2643</v>
      </c>
      <c r="B3025" s="12" t="s">
        <v>2748</v>
      </c>
      <c r="C3025" s="13" t="s">
        <v>2749</v>
      </c>
      <c r="D3025" s="13" t="s">
        <v>44</v>
      </c>
      <c r="E3025" s="12" t="s">
        <v>50</v>
      </c>
      <c r="F3025" s="13"/>
      <c r="G3025" s="14">
        <v>20900</v>
      </c>
      <c r="H3025" s="13" t="s">
        <v>2750</v>
      </c>
      <c r="I3025" s="40" t="s">
        <v>18</v>
      </c>
      <c r="J3025" s="40" t="str">
        <f>HYPERLINK("https://stock.pstatic.net/stock-research/company/39/20260507_company_311868000.pdf","PDF")</f>
        <v>PDF</v>
      </c>
      <c r="K3025" s="12" t="s">
        <v>2751</v>
      </c>
      <c r="L3025" s="12"/>
    </row>
    <row r="3026" spans="1:12" x14ac:dyDescent="0.45">
      <c r="A3026" s="12" t="s">
        <v>2643</v>
      </c>
      <c r="B3026" s="12" t="s">
        <v>132</v>
      </c>
      <c r="C3026" s="13" t="s">
        <v>133</v>
      </c>
      <c r="D3026" s="13" t="s">
        <v>44</v>
      </c>
      <c r="E3026" s="12" t="s">
        <v>35</v>
      </c>
      <c r="F3026" s="14">
        <v>147000</v>
      </c>
      <c r="G3026" s="14">
        <v>107700</v>
      </c>
      <c r="H3026" s="13" t="s">
        <v>2752</v>
      </c>
      <c r="I3026" s="40" t="s">
        <v>18</v>
      </c>
      <c r="J3026" s="40" t="str">
        <f>HYPERLINK("https://stock.pstatic.net/stock-research/company/39/20260507_company_656973000.pdf","PDF")</f>
        <v>PDF</v>
      </c>
      <c r="K3026" s="12" t="s">
        <v>2753</v>
      </c>
      <c r="L3026" s="36">
        <v>0.36490250696378829</v>
      </c>
    </row>
    <row r="3027" spans="1:12" x14ac:dyDescent="0.45">
      <c r="A3027" s="12" t="s">
        <v>2643</v>
      </c>
      <c r="B3027" s="12" t="s">
        <v>691</v>
      </c>
      <c r="C3027" s="13" t="s">
        <v>20</v>
      </c>
      <c r="D3027" s="13" t="s">
        <v>53</v>
      </c>
      <c r="E3027" s="12" t="s">
        <v>16</v>
      </c>
      <c r="F3027" s="14">
        <v>250000</v>
      </c>
      <c r="G3027" s="14">
        <v>194700</v>
      </c>
      <c r="H3027" s="13" t="s">
        <v>2754</v>
      </c>
      <c r="I3027" s="40" t="s">
        <v>18</v>
      </c>
      <c r="J3027" s="40" t="str">
        <f>HYPERLINK("https://stock.pstatic.net/stock-research/company/40/20260507_company_792361000.pdf","PDF")</f>
        <v>PDF</v>
      </c>
      <c r="K3027" s="12" t="s">
        <v>2755</v>
      </c>
      <c r="L3027" s="36">
        <v>0.2840267077555213</v>
      </c>
    </row>
    <row r="3028" spans="1:12" x14ac:dyDescent="0.45">
      <c r="A3028" s="12" t="s">
        <v>2643</v>
      </c>
      <c r="B3028" s="12" t="s">
        <v>2662</v>
      </c>
      <c r="C3028" s="13" t="s">
        <v>2663</v>
      </c>
      <c r="D3028" s="13" t="s">
        <v>44</v>
      </c>
      <c r="E3028" s="12" t="s">
        <v>35</v>
      </c>
      <c r="F3028" s="14">
        <v>130000</v>
      </c>
      <c r="G3028" s="14">
        <v>63300</v>
      </c>
      <c r="H3028" s="13" t="s">
        <v>2756</v>
      </c>
      <c r="I3028" s="40" t="s">
        <v>18</v>
      </c>
      <c r="J3028" s="40" t="str">
        <f>HYPERLINK("https://stock.pstatic.net/stock-research/company/39/20260507_company_480954000.pdf","PDF")</f>
        <v>PDF</v>
      </c>
      <c r="K3028" s="12" t="s">
        <v>2757</v>
      </c>
      <c r="L3028" s="36">
        <v>1.0537124802527651</v>
      </c>
    </row>
    <row r="3029" spans="1:12" x14ac:dyDescent="0.45">
      <c r="A3029" s="12" t="s">
        <v>2643</v>
      </c>
      <c r="B3029" s="12" t="s">
        <v>2758</v>
      </c>
      <c r="C3029" s="13" t="s">
        <v>2759</v>
      </c>
      <c r="D3029" s="13" t="s">
        <v>44</v>
      </c>
      <c r="E3029" s="12" t="s">
        <v>35</v>
      </c>
      <c r="F3029" s="14">
        <v>640000</v>
      </c>
      <c r="G3029" s="14">
        <v>506000</v>
      </c>
      <c r="H3029" s="13" t="s">
        <v>2760</v>
      </c>
      <c r="I3029" s="40" t="s">
        <v>18</v>
      </c>
      <c r="J3029" s="40" t="str">
        <f>HYPERLINK("https://stock.pstatic.net/stock-research/company/39/20260507_company_222462000.pdf","PDF")</f>
        <v>PDF</v>
      </c>
      <c r="K3029" s="12" t="s">
        <v>2761</v>
      </c>
      <c r="L3029" s="36">
        <v>0.2648221343873518</v>
      </c>
    </row>
    <row r="3030" spans="1:12" x14ac:dyDescent="0.45">
      <c r="A3030" s="12" t="s">
        <v>2643</v>
      </c>
      <c r="B3030" s="12" t="s">
        <v>2762</v>
      </c>
      <c r="C3030" s="13" t="s">
        <v>2763</v>
      </c>
      <c r="D3030" s="13" t="s">
        <v>124</v>
      </c>
      <c r="E3030" s="12" t="s">
        <v>50</v>
      </c>
      <c r="F3030" s="13"/>
      <c r="G3030" s="13"/>
      <c r="H3030" s="13" t="s">
        <v>2764</v>
      </c>
      <c r="I3030" s="40" t="s">
        <v>18</v>
      </c>
      <c r="J3030" s="40" t="str">
        <f>HYPERLINK("https://stock.pstatic.net/stock-research/company/74/20260507_company_733067000.pdf","PDF")</f>
        <v>PDF</v>
      </c>
      <c r="K3030" s="12" t="s">
        <v>2765</v>
      </c>
      <c r="L3030" s="12"/>
    </row>
    <row r="3031" spans="1:12" x14ac:dyDescent="0.45">
      <c r="A3031" s="12" t="s">
        <v>2643</v>
      </c>
      <c r="B3031" s="12" t="s">
        <v>1190</v>
      </c>
      <c r="C3031" s="13" t="s">
        <v>1191</v>
      </c>
      <c r="D3031" s="13" t="s">
        <v>44</v>
      </c>
      <c r="E3031" s="12" t="s">
        <v>35</v>
      </c>
      <c r="F3031" s="14">
        <v>169000</v>
      </c>
      <c r="G3031" s="14">
        <v>140600</v>
      </c>
      <c r="H3031" s="13" t="s">
        <v>2766</v>
      </c>
      <c r="I3031" s="40" t="s">
        <v>18</v>
      </c>
      <c r="J3031" s="40" t="str">
        <f>HYPERLINK("https://stock.pstatic.net/stock-research/company/39/20260507_company_393066000.pdf","PDF")</f>
        <v>PDF</v>
      </c>
      <c r="K3031" s="12" t="s">
        <v>2767</v>
      </c>
      <c r="L3031" s="36">
        <v>0.20199146514935989</v>
      </c>
    </row>
    <row r="3032" spans="1:12" x14ac:dyDescent="0.45">
      <c r="A3032" s="12" t="s">
        <v>2643</v>
      </c>
      <c r="B3032" s="12" t="s">
        <v>2768</v>
      </c>
      <c r="C3032" s="13" t="s">
        <v>2769</v>
      </c>
      <c r="D3032" s="13" t="s">
        <v>124</v>
      </c>
      <c r="E3032" s="12" t="s">
        <v>50</v>
      </c>
      <c r="F3032" s="13"/>
      <c r="G3032" s="13"/>
      <c r="H3032" s="13" t="s">
        <v>2770</v>
      </c>
      <c r="I3032" s="40" t="s">
        <v>18</v>
      </c>
      <c r="J3032" s="40" t="str">
        <f>HYPERLINK("https://stock.pstatic.net/stock-research/company/74/20260507_company_897322000.pdf","PDF")</f>
        <v>PDF</v>
      </c>
      <c r="K3032" s="12" t="s">
        <v>2771</v>
      </c>
      <c r="L3032" s="12"/>
    </row>
    <row r="3033" spans="1:12" x14ac:dyDescent="0.45">
      <c r="A3033" s="12" t="s">
        <v>2643</v>
      </c>
      <c r="B3033" s="12" t="s">
        <v>1912</v>
      </c>
      <c r="C3033" s="13" t="s">
        <v>1913</v>
      </c>
      <c r="D3033" s="13" t="s">
        <v>15</v>
      </c>
      <c r="E3033" s="12" t="s">
        <v>50</v>
      </c>
      <c r="F3033" s="13"/>
      <c r="G3033" s="13"/>
      <c r="H3033" s="13" t="s">
        <v>2772</v>
      </c>
      <c r="I3033" s="40" t="s">
        <v>18</v>
      </c>
      <c r="J3033" s="40" t="str">
        <f>HYPERLINK("https://stock.pstatic.net/stock-research/company/56/20260507_company_725755000.pdf","PDF")</f>
        <v>PDF</v>
      </c>
      <c r="K3033" s="12" t="s">
        <v>2773</v>
      </c>
      <c r="L3033" s="12"/>
    </row>
    <row r="3034" spans="1:12" x14ac:dyDescent="0.45">
      <c r="A3034" s="12" t="s">
        <v>2774</v>
      </c>
      <c r="B3034" s="12" t="s">
        <v>2650</v>
      </c>
      <c r="C3034" s="13" t="s">
        <v>2651</v>
      </c>
      <c r="D3034" s="13" t="s">
        <v>57</v>
      </c>
      <c r="E3034" s="12" t="s">
        <v>159</v>
      </c>
      <c r="F3034" s="14">
        <v>26000</v>
      </c>
      <c r="G3034" s="14">
        <v>24400</v>
      </c>
      <c r="H3034" s="13" t="s">
        <v>2775</v>
      </c>
      <c r="I3034" s="40" t="s">
        <v>18</v>
      </c>
      <c r="J3034" s="40" t="str">
        <f>HYPERLINK("https://stock.pstatic.net/stock-research/company/16/20260506_company_919687000.pdf","PDF")</f>
        <v>PDF</v>
      </c>
      <c r="K3034" s="12" t="s">
        <v>2776</v>
      </c>
      <c r="L3034" s="36">
        <v>6.5573770491803282E-2</v>
      </c>
    </row>
    <row r="3035" spans="1:12" x14ac:dyDescent="0.45">
      <c r="A3035" s="12" t="s">
        <v>2774</v>
      </c>
      <c r="B3035" s="12" t="s">
        <v>2777</v>
      </c>
      <c r="C3035" s="13" t="s">
        <v>2778</v>
      </c>
      <c r="D3035" s="13" t="s">
        <v>276</v>
      </c>
      <c r="E3035" s="12" t="s">
        <v>16</v>
      </c>
      <c r="F3035" s="14">
        <v>530000</v>
      </c>
      <c r="G3035" s="14">
        <v>446000</v>
      </c>
      <c r="H3035" s="13" t="s">
        <v>2779</v>
      </c>
      <c r="I3035" s="40" t="s">
        <v>18</v>
      </c>
      <c r="J3035" s="40" t="str">
        <f>HYPERLINK("https://stock.pstatic.net/stock-research/company/66/20260506_company_555366000.pdf","PDF")</f>
        <v>PDF</v>
      </c>
      <c r="K3035" s="12" t="s">
        <v>2780</v>
      </c>
      <c r="L3035" s="36">
        <v>0.18834080717488791</v>
      </c>
    </row>
    <row r="3036" spans="1:12" x14ac:dyDescent="0.45">
      <c r="A3036" s="12" t="s">
        <v>2774</v>
      </c>
      <c r="B3036" s="12" t="s">
        <v>2781</v>
      </c>
      <c r="C3036" s="13" t="s">
        <v>2782</v>
      </c>
      <c r="D3036" s="13" t="s">
        <v>60</v>
      </c>
      <c r="E3036" s="12" t="s">
        <v>35</v>
      </c>
      <c r="F3036" s="14">
        <v>155000</v>
      </c>
      <c r="G3036" s="14">
        <v>126400</v>
      </c>
      <c r="H3036" s="13" t="s">
        <v>2783</v>
      </c>
      <c r="I3036" s="40" t="s">
        <v>18</v>
      </c>
      <c r="J3036" s="40" t="str">
        <f>HYPERLINK("https://stock.pstatic.net/stock-research/company/62/20260506_company_207223000.pdf","PDF")</f>
        <v>PDF</v>
      </c>
      <c r="K3036" s="12" t="s">
        <v>2784</v>
      </c>
      <c r="L3036" s="36">
        <v>0.22626582278481011</v>
      </c>
    </row>
    <row r="3037" spans="1:12" x14ac:dyDescent="0.45">
      <c r="A3037" s="12" t="s">
        <v>2774</v>
      </c>
      <c r="B3037" s="12" t="s">
        <v>13</v>
      </c>
      <c r="C3037" s="13" t="s">
        <v>14</v>
      </c>
      <c r="D3037" s="13" t="s">
        <v>60</v>
      </c>
      <c r="E3037" s="12" t="s">
        <v>35</v>
      </c>
      <c r="F3037" s="14">
        <v>330000</v>
      </c>
      <c r="G3037" s="14">
        <v>232500</v>
      </c>
      <c r="H3037" s="13" t="s">
        <v>2785</v>
      </c>
      <c r="I3037" s="40" t="s">
        <v>18</v>
      </c>
      <c r="J3037" s="40" t="str">
        <f>HYPERLINK("https://stock.pstatic.net/stock-research/company/62/20260506_company_256872000.pdf","PDF")</f>
        <v>PDF</v>
      </c>
      <c r="K3037" s="12" t="s">
        <v>2786</v>
      </c>
      <c r="L3037" s="36">
        <v>0.41935483870967738</v>
      </c>
    </row>
    <row r="3038" spans="1:12" x14ac:dyDescent="0.45">
      <c r="A3038" s="12" t="s">
        <v>2774</v>
      </c>
      <c r="B3038" s="12" t="s">
        <v>2777</v>
      </c>
      <c r="C3038" s="13" t="s">
        <v>2778</v>
      </c>
      <c r="D3038" s="13" t="s">
        <v>60</v>
      </c>
      <c r="E3038" s="12" t="s">
        <v>35</v>
      </c>
      <c r="F3038" s="14">
        <v>540000</v>
      </c>
      <c r="G3038" s="14">
        <v>446000</v>
      </c>
      <c r="H3038" s="13" t="s">
        <v>2787</v>
      </c>
      <c r="I3038" s="40" t="s">
        <v>18</v>
      </c>
      <c r="J3038" s="40" t="str">
        <f>HYPERLINK("https://stock.pstatic.net/stock-research/company/62/20260506_company_461226000.pdf","PDF")</f>
        <v>PDF</v>
      </c>
      <c r="K3038" s="12" t="s">
        <v>2788</v>
      </c>
      <c r="L3038" s="36">
        <v>0.21076233183856499</v>
      </c>
    </row>
    <row r="3039" spans="1:12" x14ac:dyDescent="0.45">
      <c r="A3039" s="12" t="s">
        <v>2774</v>
      </c>
      <c r="B3039" s="12" t="s">
        <v>102</v>
      </c>
      <c r="C3039" s="13" t="s">
        <v>103</v>
      </c>
      <c r="D3039" s="13" t="s">
        <v>60</v>
      </c>
      <c r="E3039" s="12" t="s">
        <v>35</v>
      </c>
      <c r="F3039" s="14">
        <v>42000</v>
      </c>
      <c r="G3039" s="14">
        <v>31950</v>
      </c>
      <c r="H3039" s="13" t="s">
        <v>2789</v>
      </c>
      <c r="I3039" s="40" t="s">
        <v>18</v>
      </c>
      <c r="J3039" s="40" t="str">
        <f>HYPERLINK("https://stock.pstatic.net/stock-research/company/62/20260506_company_796165000.pdf","PDF")</f>
        <v>PDF</v>
      </c>
      <c r="K3039" s="12" t="s">
        <v>2790</v>
      </c>
      <c r="L3039" s="36">
        <v>0.31455399061032863</v>
      </c>
    </row>
    <row r="3040" spans="1:12" x14ac:dyDescent="0.45">
      <c r="A3040" s="12" t="s">
        <v>2774</v>
      </c>
      <c r="B3040" s="12" t="s">
        <v>489</v>
      </c>
      <c r="C3040" s="13" t="s">
        <v>490</v>
      </c>
      <c r="D3040" s="13" t="s">
        <v>60</v>
      </c>
      <c r="E3040" s="12" t="s">
        <v>35</v>
      </c>
      <c r="F3040" s="14">
        <v>100000</v>
      </c>
      <c r="G3040" s="14">
        <v>79500</v>
      </c>
      <c r="H3040" s="13" t="s">
        <v>2791</v>
      </c>
      <c r="I3040" s="40" t="s">
        <v>18</v>
      </c>
      <c r="J3040" s="40" t="str">
        <f>HYPERLINK("https://stock.pstatic.net/stock-research/company/62/20260506_company_214548000.pdf","PDF")</f>
        <v>PDF</v>
      </c>
      <c r="K3040" s="12" t="s">
        <v>2792</v>
      </c>
      <c r="L3040" s="36">
        <v>0.25786163522012578</v>
      </c>
    </row>
    <row r="3041" spans="1:12" x14ac:dyDescent="0.45">
      <c r="A3041" s="12" t="s">
        <v>2774</v>
      </c>
      <c r="B3041" s="12" t="s">
        <v>2781</v>
      </c>
      <c r="C3041" s="13" t="s">
        <v>2782</v>
      </c>
      <c r="D3041" s="13" t="s">
        <v>65</v>
      </c>
      <c r="E3041" s="12" t="s">
        <v>35</v>
      </c>
      <c r="F3041" s="14">
        <v>170000</v>
      </c>
      <c r="G3041" s="14">
        <v>126400</v>
      </c>
      <c r="H3041" s="13" t="s">
        <v>2793</v>
      </c>
      <c r="I3041" s="40" t="s">
        <v>18</v>
      </c>
      <c r="J3041" s="40" t="str">
        <f>HYPERLINK("https://stock.pstatic.net/stock-research/company/57/20260506_company_561698000.pdf","PDF")</f>
        <v>PDF</v>
      </c>
      <c r="K3041" s="12" t="s">
        <v>2794</v>
      </c>
      <c r="L3041" s="36">
        <v>0.3449367088607595</v>
      </c>
    </row>
    <row r="3042" spans="1:12" x14ac:dyDescent="0.45">
      <c r="A3042" s="12" t="s">
        <v>2774</v>
      </c>
      <c r="B3042" s="12" t="s">
        <v>2795</v>
      </c>
      <c r="C3042" s="13" t="s">
        <v>2796</v>
      </c>
      <c r="D3042" s="13" t="s">
        <v>65</v>
      </c>
      <c r="E3042" s="12" t="s">
        <v>35</v>
      </c>
      <c r="F3042" s="14">
        <v>7000</v>
      </c>
      <c r="G3042" s="14">
        <v>5640</v>
      </c>
      <c r="H3042" s="13" t="s">
        <v>2797</v>
      </c>
      <c r="I3042" s="40" t="s">
        <v>18</v>
      </c>
      <c r="J3042" s="40" t="str">
        <f>HYPERLINK("https://stock.pstatic.net/stock-research/company/57/20260506_company_631609000.pdf","PDF")</f>
        <v>PDF</v>
      </c>
      <c r="K3042" s="12" t="s">
        <v>2798</v>
      </c>
      <c r="L3042" s="36">
        <v>0.2411347517730496</v>
      </c>
    </row>
    <row r="3043" spans="1:12" x14ac:dyDescent="0.45">
      <c r="A3043" s="12" t="s">
        <v>2774</v>
      </c>
      <c r="B3043" s="12" t="s">
        <v>2365</v>
      </c>
      <c r="C3043" s="13" t="s">
        <v>2366</v>
      </c>
      <c r="D3043" s="13" t="s">
        <v>65</v>
      </c>
      <c r="E3043" s="12" t="s">
        <v>35</v>
      </c>
      <c r="F3043" s="14">
        <v>273000</v>
      </c>
      <c r="G3043" s="14">
        <v>213000</v>
      </c>
      <c r="H3043" s="13" t="s">
        <v>2799</v>
      </c>
      <c r="I3043" s="40" t="s">
        <v>18</v>
      </c>
      <c r="J3043" s="40" t="str">
        <f>HYPERLINK("https://stock.pstatic.net/stock-research/company/57/20260506_company_78523000.pdf","PDF")</f>
        <v>PDF</v>
      </c>
      <c r="K3043" s="12" t="s">
        <v>2800</v>
      </c>
      <c r="L3043" s="36">
        <v>0.28169014084507038</v>
      </c>
    </row>
    <row r="3044" spans="1:12" x14ac:dyDescent="0.45">
      <c r="A3044" s="12" t="s">
        <v>2774</v>
      </c>
      <c r="B3044" s="12" t="s">
        <v>2801</v>
      </c>
      <c r="C3044" s="13" t="s">
        <v>2802</v>
      </c>
      <c r="D3044" s="13" t="s">
        <v>65</v>
      </c>
      <c r="E3044" s="12" t="s">
        <v>35</v>
      </c>
      <c r="F3044" s="14">
        <v>38000</v>
      </c>
      <c r="G3044" s="14">
        <v>30100</v>
      </c>
      <c r="H3044" s="13" t="s">
        <v>2803</v>
      </c>
      <c r="I3044" s="40" t="s">
        <v>18</v>
      </c>
      <c r="J3044" s="40" t="str">
        <f>HYPERLINK("https://stock.pstatic.net/stock-research/company/57/20260506_company_966506000.pdf","PDF")</f>
        <v>PDF</v>
      </c>
      <c r="K3044" s="12" t="s">
        <v>2804</v>
      </c>
      <c r="L3044" s="36">
        <v>0.26245847176079729</v>
      </c>
    </row>
    <row r="3045" spans="1:12" x14ac:dyDescent="0.45">
      <c r="A3045" s="12" t="s">
        <v>2774</v>
      </c>
      <c r="B3045" s="12" t="s">
        <v>32</v>
      </c>
      <c r="C3045" s="13" t="s">
        <v>33</v>
      </c>
      <c r="D3045" s="13" t="s">
        <v>15</v>
      </c>
      <c r="E3045" s="12" t="s">
        <v>16</v>
      </c>
      <c r="F3045" s="14">
        <v>1300000</v>
      </c>
      <c r="G3045" s="14">
        <v>918000</v>
      </c>
      <c r="H3045" s="13" t="s">
        <v>2805</v>
      </c>
      <c r="I3045" s="40" t="s">
        <v>18</v>
      </c>
      <c r="J3045" s="40" t="str">
        <f>HYPERLINK("https://stock.pstatic.net/stock-research/company/56/20260506_company_375638000.pdf","PDF")</f>
        <v>PDF</v>
      </c>
      <c r="K3045" s="12" t="s">
        <v>2806</v>
      </c>
      <c r="L3045" s="36">
        <v>0.41612200435729851</v>
      </c>
    </row>
    <row r="3046" spans="1:12" x14ac:dyDescent="0.45">
      <c r="A3046" s="12" t="s">
        <v>2774</v>
      </c>
      <c r="B3046" s="12" t="s">
        <v>2807</v>
      </c>
      <c r="C3046" s="13" t="s">
        <v>2808</v>
      </c>
      <c r="D3046" s="13" t="s">
        <v>158</v>
      </c>
      <c r="E3046" s="12" t="s">
        <v>50</v>
      </c>
      <c r="F3046" s="13"/>
      <c r="G3046" s="14">
        <v>16210</v>
      </c>
      <c r="H3046" s="13" t="s">
        <v>2809</v>
      </c>
      <c r="I3046" s="40" t="s">
        <v>18</v>
      </c>
      <c r="J3046" s="40" t="str">
        <f>HYPERLINK("https://stock.pstatic.net/stock-research/company/18/20260506_company_698895000.pdf","PDF")</f>
        <v>PDF</v>
      </c>
      <c r="K3046" s="12" t="s">
        <v>2810</v>
      </c>
      <c r="L3046" s="12"/>
    </row>
    <row r="3047" spans="1:12" x14ac:dyDescent="0.45">
      <c r="A3047" s="12" t="s">
        <v>2774</v>
      </c>
      <c r="B3047" s="12" t="s">
        <v>2811</v>
      </c>
      <c r="C3047" s="13" t="s">
        <v>2812</v>
      </c>
      <c r="D3047" s="13" t="s">
        <v>158</v>
      </c>
      <c r="E3047" s="12" t="s">
        <v>50</v>
      </c>
      <c r="F3047" s="13"/>
      <c r="G3047" s="14">
        <v>29450</v>
      </c>
      <c r="H3047" s="13" t="s">
        <v>2813</v>
      </c>
      <c r="I3047" s="40" t="s">
        <v>18</v>
      </c>
      <c r="J3047" s="40" t="str">
        <f>HYPERLINK("https://stock.pstatic.net/stock-research/company/18/20260506_company_599977000.pdf","PDF")</f>
        <v>PDF</v>
      </c>
      <c r="K3047" s="12" t="s">
        <v>2814</v>
      </c>
      <c r="L3047" s="12"/>
    </row>
    <row r="3048" spans="1:12" x14ac:dyDescent="0.45">
      <c r="A3048" s="12" t="s">
        <v>2774</v>
      </c>
      <c r="B3048" s="12" t="s">
        <v>2815</v>
      </c>
      <c r="C3048" s="13" t="s">
        <v>2816</v>
      </c>
      <c r="D3048" s="13" t="s">
        <v>158</v>
      </c>
      <c r="E3048" s="12" t="s">
        <v>50</v>
      </c>
      <c r="F3048" s="13"/>
      <c r="G3048" s="14">
        <v>22500</v>
      </c>
      <c r="H3048" s="13" t="s">
        <v>2817</v>
      </c>
      <c r="I3048" s="40" t="s">
        <v>18</v>
      </c>
      <c r="J3048" s="40" t="str">
        <f>HYPERLINK("https://stock.pstatic.net/stock-research/company/18/20260506_company_544809000.pdf","PDF")</f>
        <v>PDF</v>
      </c>
      <c r="K3048" s="12" t="s">
        <v>2818</v>
      </c>
      <c r="L3048" s="12"/>
    </row>
    <row r="3049" spans="1:12" x14ac:dyDescent="0.45">
      <c r="A3049" s="12" t="s">
        <v>2774</v>
      </c>
      <c r="B3049" s="12" t="s">
        <v>2819</v>
      </c>
      <c r="C3049" s="13" t="s">
        <v>2820</v>
      </c>
      <c r="D3049" s="13" t="s">
        <v>158</v>
      </c>
      <c r="E3049" s="12" t="s">
        <v>50</v>
      </c>
      <c r="F3049" s="13"/>
      <c r="G3049" s="14">
        <v>16740</v>
      </c>
      <c r="H3049" s="13" t="s">
        <v>2821</v>
      </c>
      <c r="I3049" s="40" t="s">
        <v>18</v>
      </c>
      <c r="J3049" s="40" t="str">
        <f>HYPERLINK("https://stock.pstatic.net/stock-research/company/18/20260506_company_167844000.pdf","PDF")</f>
        <v>PDF</v>
      </c>
      <c r="K3049" s="12" t="s">
        <v>2822</v>
      </c>
      <c r="L3049" s="12"/>
    </row>
    <row r="3050" spans="1:12" x14ac:dyDescent="0.45">
      <c r="A3050" s="12" t="s">
        <v>2774</v>
      </c>
      <c r="B3050" s="12" t="s">
        <v>2823</v>
      </c>
      <c r="C3050" s="13" t="s">
        <v>2824</v>
      </c>
      <c r="D3050" s="13" t="s">
        <v>158</v>
      </c>
      <c r="E3050" s="12" t="s">
        <v>50</v>
      </c>
      <c r="F3050" s="13"/>
      <c r="G3050" s="14">
        <v>34100</v>
      </c>
      <c r="H3050" s="13" t="s">
        <v>2825</v>
      </c>
      <c r="I3050" s="40" t="s">
        <v>18</v>
      </c>
      <c r="J3050" s="40" t="str">
        <f>HYPERLINK("https://stock.pstatic.net/stock-research/company/18/20260506_company_879672000.pdf","PDF")</f>
        <v>PDF</v>
      </c>
      <c r="K3050" s="12" t="s">
        <v>2826</v>
      </c>
      <c r="L3050" s="12"/>
    </row>
    <row r="3051" spans="1:12" x14ac:dyDescent="0.45">
      <c r="A3051" s="12" t="s">
        <v>2774</v>
      </c>
      <c r="B3051" s="12" t="s">
        <v>2827</v>
      </c>
      <c r="C3051" s="13" t="s">
        <v>2828</v>
      </c>
      <c r="D3051" s="13" t="s">
        <v>158</v>
      </c>
      <c r="E3051" s="12" t="s">
        <v>50</v>
      </c>
      <c r="F3051" s="13"/>
      <c r="G3051" s="14">
        <v>42200</v>
      </c>
      <c r="H3051" s="13" t="s">
        <v>2829</v>
      </c>
      <c r="I3051" s="40" t="s">
        <v>18</v>
      </c>
      <c r="J3051" s="40" t="str">
        <f>HYPERLINK("https://stock.pstatic.net/stock-research/company/18/20260506_company_949895000.pdf","PDF")</f>
        <v>PDF</v>
      </c>
      <c r="K3051" s="12" t="s">
        <v>2830</v>
      </c>
      <c r="L3051" s="12"/>
    </row>
    <row r="3052" spans="1:12" x14ac:dyDescent="0.45">
      <c r="A3052" s="12" t="s">
        <v>2774</v>
      </c>
      <c r="B3052" s="12" t="s">
        <v>2831</v>
      </c>
      <c r="C3052" s="13" t="s">
        <v>2832</v>
      </c>
      <c r="D3052" s="13" t="s">
        <v>158</v>
      </c>
      <c r="E3052" s="12" t="s">
        <v>50</v>
      </c>
      <c r="F3052" s="13"/>
      <c r="G3052" s="14">
        <v>89000</v>
      </c>
      <c r="H3052" s="13" t="s">
        <v>2833</v>
      </c>
      <c r="I3052" s="40" t="s">
        <v>18</v>
      </c>
      <c r="J3052" s="40" t="str">
        <f>HYPERLINK("https://stock.pstatic.net/stock-research/company/18/20260506_company_99513000.pdf","PDF")</f>
        <v>PDF</v>
      </c>
      <c r="K3052" s="12" t="s">
        <v>2834</v>
      </c>
      <c r="L3052" s="12"/>
    </row>
    <row r="3053" spans="1:12" x14ac:dyDescent="0.45">
      <c r="A3053" s="12" t="s">
        <v>2774</v>
      </c>
      <c r="B3053" s="12" t="s">
        <v>1407</v>
      </c>
      <c r="C3053" s="13" t="s">
        <v>1408</v>
      </c>
      <c r="D3053" s="13" t="s">
        <v>158</v>
      </c>
      <c r="E3053" s="12" t="s">
        <v>35</v>
      </c>
      <c r="F3053" s="14">
        <v>180000</v>
      </c>
      <c r="G3053" s="14">
        <v>132700</v>
      </c>
      <c r="H3053" s="13" t="s">
        <v>2835</v>
      </c>
      <c r="I3053" s="40" t="s">
        <v>18</v>
      </c>
      <c r="J3053" s="40" t="str">
        <f>HYPERLINK("https://stock.pstatic.net/stock-research/company/18/20260506_company_766049000.pdf","PDF")</f>
        <v>PDF</v>
      </c>
      <c r="K3053" s="12" t="s">
        <v>2836</v>
      </c>
      <c r="L3053" s="36">
        <v>0.35644310474755092</v>
      </c>
    </row>
    <row r="3054" spans="1:12" x14ac:dyDescent="0.45">
      <c r="A3054" s="12" t="s">
        <v>2774</v>
      </c>
      <c r="B3054" s="12" t="s">
        <v>2837</v>
      </c>
      <c r="C3054" s="13" t="s">
        <v>2838</v>
      </c>
      <c r="D3054" s="13" t="s">
        <v>158</v>
      </c>
      <c r="E3054" s="12" t="s">
        <v>35</v>
      </c>
      <c r="F3054" s="14">
        <v>169000</v>
      </c>
      <c r="G3054" s="14">
        <v>117300</v>
      </c>
      <c r="H3054" s="13" t="s">
        <v>2839</v>
      </c>
      <c r="I3054" s="40" t="s">
        <v>18</v>
      </c>
      <c r="J3054" s="40" t="str">
        <f>HYPERLINK("https://stock.pstatic.net/stock-research/company/18/20260506_company_450931000.pdf","PDF")</f>
        <v>PDF</v>
      </c>
      <c r="K3054" s="12" t="s">
        <v>2840</v>
      </c>
      <c r="L3054" s="36">
        <v>0.44075021312872981</v>
      </c>
    </row>
    <row r="3055" spans="1:12" x14ac:dyDescent="0.45">
      <c r="A3055" s="12" t="s">
        <v>2774</v>
      </c>
      <c r="B3055" s="12" t="s">
        <v>2795</v>
      </c>
      <c r="C3055" s="13" t="s">
        <v>2796</v>
      </c>
      <c r="D3055" s="13" t="s">
        <v>158</v>
      </c>
      <c r="E3055" s="12" t="s">
        <v>35</v>
      </c>
      <c r="F3055" s="14">
        <v>7000</v>
      </c>
      <c r="G3055" s="14">
        <v>5640</v>
      </c>
      <c r="H3055" s="13" t="s">
        <v>2841</v>
      </c>
      <c r="I3055" s="40" t="s">
        <v>18</v>
      </c>
      <c r="J3055" s="40" t="str">
        <f>HYPERLINK("https://stock.pstatic.net/stock-research/company/18/20260506_company_449751000.pdf","PDF")</f>
        <v>PDF</v>
      </c>
      <c r="K3055" s="12" t="s">
        <v>2842</v>
      </c>
      <c r="L3055" s="36">
        <v>0.2411347517730496</v>
      </c>
    </row>
    <row r="3056" spans="1:12" x14ac:dyDescent="0.45">
      <c r="A3056" s="12" t="s">
        <v>2774</v>
      </c>
      <c r="B3056" s="12" t="s">
        <v>2843</v>
      </c>
      <c r="C3056" s="13" t="s">
        <v>2844</v>
      </c>
      <c r="D3056" s="13" t="s">
        <v>158</v>
      </c>
      <c r="E3056" s="12" t="s">
        <v>50</v>
      </c>
      <c r="F3056" s="13"/>
      <c r="G3056" s="14">
        <v>7410</v>
      </c>
      <c r="H3056" s="13" t="s">
        <v>2845</v>
      </c>
      <c r="I3056" s="40" t="s">
        <v>18</v>
      </c>
      <c r="J3056" s="40" t="str">
        <f>HYPERLINK("https://stock.pstatic.net/stock-research/company/18/20260506_company_285077000.pdf","PDF")</f>
        <v>PDF</v>
      </c>
      <c r="K3056" s="12" t="s">
        <v>2846</v>
      </c>
      <c r="L3056" s="12"/>
    </row>
    <row r="3057" spans="1:12" x14ac:dyDescent="0.45">
      <c r="A3057" s="12" t="s">
        <v>2774</v>
      </c>
      <c r="B3057" s="12" t="s">
        <v>1389</v>
      </c>
      <c r="C3057" s="13" t="s">
        <v>1390</v>
      </c>
      <c r="D3057" s="13" t="s">
        <v>158</v>
      </c>
      <c r="E3057" s="12" t="s">
        <v>50</v>
      </c>
      <c r="F3057" s="13"/>
      <c r="G3057" s="14">
        <v>17730</v>
      </c>
      <c r="H3057" s="13" t="s">
        <v>2847</v>
      </c>
      <c r="I3057" s="40" t="s">
        <v>18</v>
      </c>
      <c r="J3057" s="40" t="str">
        <f>HYPERLINK("https://stock.pstatic.net/stock-research/company/18/20260506_company_214278000.pdf","PDF")</f>
        <v>PDF</v>
      </c>
      <c r="K3057" s="12" t="s">
        <v>2848</v>
      </c>
      <c r="L3057" s="12"/>
    </row>
    <row r="3058" spans="1:12" x14ac:dyDescent="0.45">
      <c r="A3058" s="12" t="s">
        <v>2774</v>
      </c>
      <c r="B3058" s="12" t="s">
        <v>2849</v>
      </c>
      <c r="C3058" s="13" t="s">
        <v>2850</v>
      </c>
      <c r="D3058" s="13" t="s">
        <v>158</v>
      </c>
      <c r="E3058" s="12" t="s">
        <v>50</v>
      </c>
      <c r="F3058" s="13"/>
      <c r="G3058" s="14">
        <v>5630</v>
      </c>
      <c r="H3058" s="13" t="s">
        <v>2851</v>
      </c>
      <c r="I3058" s="40" t="s">
        <v>18</v>
      </c>
      <c r="J3058" s="40" t="str">
        <f>HYPERLINK("https://stock.pstatic.net/stock-research/company/18/20260506_company_851237000.pdf","PDF")</f>
        <v>PDF</v>
      </c>
      <c r="K3058" s="12" t="s">
        <v>2852</v>
      </c>
      <c r="L3058" s="12"/>
    </row>
    <row r="3059" spans="1:12" x14ac:dyDescent="0.45">
      <c r="A3059" s="12" t="s">
        <v>2774</v>
      </c>
      <c r="B3059" s="12" t="s">
        <v>2853</v>
      </c>
      <c r="C3059" s="13" t="s">
        <v>2854</v>
      </c>
      <c r="D3059" s="13" t="s">
        <v>158</v>
      </c>
      <c r="E3059" s="12" t="s">
        <v>35</v>
      </c>
      <c r="F3059" s="14">
        <v>28000</v>
      </c>
      <c r="G3059" s="14">
        <v>18440</v>
      </c>
      <c r="H3059" s="13" t="s">
        <v>2855</v>
      </c>
      <c r="I3059" s="40" t="s">
        <v>18</v>
      </c>
      <c r="J3059" s="40" t="str">
        <f>HYPERLINK("https://stock.pstatic.net/stock-research/company/18/20260506_company_169181000.pdf","PDF")</f>
        <v>PDF</v>
      </c>
      <c r="K3059" s="12" t="s">
        <v>2856</v>
      </c>
      <c r="L3059" s="36">
        <v>0.51843817787418656</v>
      </c>
    </row>
    <row r="3060" spans="1:12" x14ac:dyDescent="0.45">
      <c r="A3060" s="12" t="s">
        <v>2774</v>
      </c>
      <c r="B3060" s="12" t="s">
        <v>2857</v>
      </c>
      <c r="C3060" s="13" t="s">
        <v>2858</v>
      </c>
      <c r="D3060" s="13" t="s">
        <v>714</v>
      </c>
      <c r="E3060" s="12" t="s">
        <v>35</v>
      </c>
      <c r="F3060" s="14">
        <v>6900</v>
      </c>
      <c r="G3060" s="14">
        <v>4620</v>
      </c>
      <c r="H3060" s="13" t="s">
        <v>2859</v>
      </c>
      <c r="I3060" s="40" t="s">
        <v>18</v>
      </c>
      <c r="J3060" s="40" t="str">
        <f>HYPERLINK("https://stock.pstatic.net/stock-research/company/38/20260506_company_415026000.pdf","PDF")</f>
        <v>PDF</v>
      </c>
      <c r="K3060" s="12" t="s">
        <v>2860</v>
      </c>
      <c r="L3060" s="36">
        <v>0.4935064935064935</v>
      </c>
    </row>
    <row r="3061" spans="1:12" x14ac:dyDescent="0.45">
      <c r="A3061" s="12" t="s">
        <v>2774</v>
      </c>
      <c r="B3061" s="12" t="s">
        <v>2861</v>
      </c>
      <c r="C3061" s="13" t="s">
        <v>2862</v>
      </c>
      <c r="D3061" s="13" t="s">
        <v>714</v>
      </c>
      <c r="E3061" s="12" t="s">
        <v>35</v>
      </c>
      <c r="F3061" s="14">
        <v>40000</v>
      </c>
      <c r="G3061" s="14">
        <v>26900</v>
      </c>
      <c r="H3061" s="13" t="s">
        <v>2863</v>
      </c>
      <c r="I3061" s="40" t="s">
        <v>18</v>
      </c>
      <c r="J3061" s="40" t="str">
        <f>HYPERLINK("https://stock.pstatic.net/stock-research/company/38/20260506_company_608999000.pdf","PDF")</f>
        <v>PDF</v>
      </c>
      <c r="K3061" s="12" t="s">
        <v>2864</v>
      </c>
      <c r="L3061" s="36">
        <v>0.48698884758364308</v>
      </c>
    </row>
    <row r="3062" spans="1:12" x14ac:dyDescent="0.45">
      <c r="A3062" s="12" t="s">
        <v>2774</v>
      </c>
      <c r="B3062" s="12" t="s">
        <v>170</v>
      </c>
      <c r="C3062" s="13" t="s">
        <v>171</v>
      </c>
      <c r="D3062" s="13" t="s">
        <v>83</v>
      </c>
      <c r="E3062" s="12" t="s">
        <v>35</v>
      </c>
      <c r="F3062" s="14">
        <v>100000</v>
      </c>
      <c r="G3062" s="14">
        <v>66900</v>
      </c>
      <c r="H3062" s="13" t="s">
        <v>2865</v>
      </c>
      <c r="I3062" s="40" t="s">
        <v>18</v>
      </c>
      <c r="J3062" s="40" t="str">
        <f>HYPERLINK("https://stock.pstatic.net/stock-research/company/15/20260506_company_546164000.pdf","PDF")</f>
        <v>PDF</v>
      </c>
      <c r="K3062" s="12" t="s">
        <v>2866</v>
      </c>
      <c r="L3062" s="36">
        <v>0.49476831091180867</v>
      </c>
    </row>
    <row r="3063" spans="1:12" x14ac:dyDescent="0.45">
      <c r="A3063" s="12" t="s">
        <v>2774</v>
      </c>
      <c r="B3063" s="12" t="s">
        <v>2867</v>
      </c>
      <c r="C3063" s="13" t="s">
        <v>2868</v>
      </c>
      <c r="D3063" s="13" t="s">
        <v>83</v>
      </c>
      <c r="E3063" s="12" t="s">
        <v>35</v>
      </c>
      <c r="F3063" s="14">
        <v>9000</v>
      </c>
      <c r="G3063" s="14">
        <v>8280</v>
      </c>
      <c r="H3063" s="13" t="s">
        <v>2869</v>
      </c>
      <c r="I3063" s="40" t="s">
        <v>18</v>
      </c>
      <c r="J3063" s="40" t="str">
        <f>HYPERLINK("https://stock.pstatic.net/stock-research/company/15/20260506_company_117283000.pdf","PDF")</f>
        <v>PDF</v>
      </c>
      <c r="K3063" s="12" t="s">
        <v>2870</v>
      </c>
      <c r="L3063" s="36">
        <v>8.6956521739130432E-2</v>
      </c>
    </row>
    <row r="3064" spans="1:12" x14ac:dyDescent="0.45">
      <c r="A3064" s="12" t="s">
        <v>2774</v>
      </c>
      <c r="B3064" s="12" t="s">
        <v>102</v>
      </c>
      <c r="C3064" s="13" t="s">
        <v>103</v>
      </c>
      <c r="D3064" s="13" t="s">
        <v>83</v>
      </c>
      <c r="E3064" s="12" t="s">
        <v>35</v>
      </c>
      <c r="F3064" s="14">
        <v>52000</v>
      </c>
      <c r="G3064" s="14">
        <v>31950</v>
      </c>
      <c r="H3064" s="13" t="s">
        <v>2871</v>
      </c>
      <c r="I3064" s="40" t="s">
        <v>18</v>
      </c>
      <c r="J3064" s="40" t="str">
        <f>HYPERLINK("https://stock.pstatic.net/stock-research/company/15/20260506_company_480830000.pdf","PDF")</f>
        <v>PDF</v>
      </c>
      <c r="K3064" s="12" t="s">
        <v>2872</v>
      </c>
      <c r="L3064" s="36">
        <v>0.62754303599374017</v>
      </c>
    </row>
    <row r="3065" spans="1:12" x14ac:dyDescent="0.45">
      <c r="A3065" s="12" t="s">
        <v>2774</v>
      </c>
      <c r="B3065" s="12" t="s">
        <v>2873</v>
      </c>
      <c r="C3065" s="13" t="s">
        <v>2874</v>
      </c>
      <c r="D3065" s="13" t="s">
        <v>83</v>
      </c>
      <c r="E3065" s="12" t="s">
        <v>35</v>
      </c>
      <c r="F3065" s="14">
        <v>300000</v>
      </c>
      <c r="G3065" s="14">
        <v>221000</v>
      </c>
      <c r="H3065" s="13" t="s">
        <v>2875</v>
      </c>
      <c r="I3065" s="40" t="s">
        <v>18</v>
      </c>
      <c r="J3065" s="40" t="str">
        <f>HYPERLINK("https://stock.pstatic.net/stock-research/company/15/20260506_company_138339000.pdf","PDF")</f>
        <v>PDF</v>
      </c>
      <c r="K3065" s="12" t="s">
        <v>2876</v>
      </c>
      <c r="L3065" s="36">
        <v>0.3574660633484163</v>
      </c>
    </row>
    <row r="3066" spans="1:12" x14ac:dyDescent="0.45">
      <c r="A3066" s="12" t="s">
        <v>2774</v>
      </c>
      <c r="B3066" s="12" t="s">
        <v>102</v>
      </c>
      <c r="C3066" s="13" t="s">
        <v>103</v>
      </c>
      <c r="D3066" s="13" t="s">
        <v>92</v>
      </c>
      <c r="E3066" s="12" t="s">
        <v>35</v>
      </c>
      <c r="F3066" s="14">
        <v>40000</v>
      </c>
      <c r="G3066" s="14">
        <v>31950</v>
      </c>
      <c r="H3066" s="13" t="s">
        <v>2877</v>
      </c>
      <c r="I3066" s="40" t="s">
        <v>18</v>
      </c>
      <c r="J3066" s="40" t="str">
        <f>HYPERLINK("https://stock.pstatic.net/stock-research/company/63/20260506_company_847062000.pdf","PDF")</f>
        <v>PDF</v>
      </c>
      <c r="K3066" s="12" t="s">
        <v>2878</v>
      </c>
      <c r="L3066" s="36">
        <v>0.2519561815336463</v>
      </c>
    </row>
    <row r="3067" spans="1:12" x14ac:dyDescent="0.45">
      <c r="A3067" s="12" t="s">
        <v>2774</v>
      </c>
      <c r="B3067" s="12" t="s">
        <v>489</v>
      </c>
      <c r="C3067" s="13" t="s">
        <v>490</v>
      </c>
      <c r="D3067" s="13" t="s">
        <v>92</v>
      </c>
      <c r="E3067" s="12" t="s">
        <v>35</v>
      </c>
      <c r="F3067" s="14">
        <v>94000</v>
      </c>
      <c r="G3067" s="14">
        <v>79500</v>
      </c>
      <c r="H3067" s="13" t="s">
        <v>2879</v>
      </c>
      <c r="I3067" s="40" t="s">
        <v>18</v>
      </c>
      <c r="J3067" s="40" t="str">
        <f>HYPERLINK("https://stock.pstatic.net/stock-research/company/63/20260506_company_929528000.pdf","PDF")</f>
        <v>PDF</v>
      </c>
      <c r="K3067" s="12" t="s">
        <v>2880</v>
      </c>
      <c r="L3067" s="36">
        <v>0.1823899371069182</v>
      </c>
    </row>
    <row r="3068" spans="1:12" x14ac:dyDescent="0.45">
      <c r="A3068" s="12" t="s">
        <v>2774</v>
      </c>
      <c r="B3068" s="12" t="s">
        <v>2378</v>
      </c>
      <c r="C3068" s="13" t="s">
        <v>2379</v>
      </c>
      <c r="D3068" s="13" t="s">
        <v>92</v>
      </c>
      <c r="E3068" s="12" t="s">
        <v>35</v>
      </c>
      <c r="F3068" s="14">
        <v>550000</v>
      </c>
      <c r="G3068" s="14">
        <v>472000</v>
      </c>
      <c r="H3068" s="13" t="s">
        <v>2881</v>
      </c>
      <c r="I3068" s="40" t="s">
        <v>18</v>
      </c>
      <c r="J3068" s="40" t="str">
        <f>HYPERLINK("https://stock.pstatic.net/stock-research/company/63/20260506_company_867928000.pdf","PDF")</f>
        <v>PDF</v>
      </c>
      <c r="K3068" s="12" t="s">
        <v>2882</v>
      </c>
      <c r="L3068" s="36">
        <v>0.1652542372881356</v>
      </c>
    </row>
    <row r="3069" spans="1:12" x14ac:dyDescent="0.45">
      <c r="A3069" s="12" t="s">
        <v>2774</v>
      </c>
      <c r="B3069" s="12" t="s">
        <v>2883</v>
      </c>
      <c r="C3069" s="13" t="s">
        <v>2884</v>
      </c>
      <c r="D3069" s="13" t="s">
        <v>92</v>
      </c>
      <c r="E3069" s="12" t="s">
        <v>35</v>
      </c>
      <c r="F3069" s="14">
        <v>70000</v>
      </c>
      <c r="G3069" s="14">
        <v>50400</v>
      </c>
      <c r="H3069" s="13" t="s">
        <v>2885</v>
      </c>
      <c r="I3069" s="40" t="s">
        <v>18</v>
      </c>
      <c r="J3069" s="40" t="str">
        <f>HYPERLINK("https://stock.pstatic.net/stock-research/company/63/20260506_company_222333000.pdf","PDF")</f>
        <v>PDF</v>
      </c>
      <c r="K3069" s="12" t="s">
        <v>2886</v>
      </c>
      <c r="L3069" s="36">
        <v>0.3888888888888889</v>
      </c>
    </row>
    <row r="3070" spans="1:12" x14ac:dyDescent="0.45">
      <c r="A3070" s="12" t="s">
        <v>2774</v>
      </c>
      <c r="B3070" s="12" t="s">
        <v>2887</v>
      </c>
      <c r="C3070" s="13" t="s">
        <v>2888</v>
      </c>
      <c r="D3070" s="13" t="s">
        <v>92</v>
      </c>
      <c r="E3070" s="12" t="s">
        <v>35</v>
      </c>
      <c r="F3070" s="14">
        <v>500000</v>
      </c>
      <c r="G3070" s="14">
        <v>429000</v>
      </c>
      <c r="H3070" s="13" t="s">
        <v>2889</v>
      </c>
      <c r="I3070" s="40" t="s">
        <v>18</v>
      </c>
      <c r="J3070" s="40" t="str">
        <f>HYPERLINK("https://stock.pstatic.net/stock-research/company/63/20260506_company_124736000.pdf","PDF")</f>
        <v>PDF</v>
      </c>
      <c r="K3070" s="12" t="s">
        <v>2890</v>
      </c>
      <c r="L3070" s="36">
        <v>0.1655011655011655</v>
      </c>
    </row>
    <row r="3071" spans="1:12" x14ac:dyDescent="0.45">
      <c r="A3071" s="12" t="s">
        <v>2774</v>
      </c>
      <c r="B3071" s="12" t="s">
        <v>102</v>
      </c>
      <c r="C3071" s="13" t="s">
        <v>103</v>
      </c>
      <c r="D3071" s="13" t="s">
        <v>179</v>
      </c>
      <c r="E3071" s="12" t="s">
        <v>16</v>
      </c>
      <c r="F3071" s="14">
        <v>45000</v>
      </c>
      <c r="G3071" s="14">
        <v>31950</v>
      </c>
      <c r="H3071" s="13" t="s">
        <v>2891</v>
      </c>
      <c r="I3071" s="40" t="s">
        <v>18</v>
      </c>
      <c r="J3071" s="40" t="str">
        <f>HYPERLINK("https://stock.pstatic.net/stock-research/company/64/20260506_company_84770000.pdf","PDF")</f>
        <v>PDF</v>
      </c>
      <c r="K3071" s="12" t="s">
        <v>2892</v>
      </c>
      <c r="L3071" s="36">
        <v>0.40845070422535212</v>
      </c>
    </row>
    <row r="3072" spans="1:12" x14ac:dyDescent="0.45">
      <c r="A3072" s="12" t="s">
        <v>2774</v>
      </c>
      <c r="B3072" s="12" t="s">
        <v>2644</v>
      </c>
      <c r="C3072" s="13" t="s">
        <v>2645</v>
      </c>
      <c r="D3072" s="13" t="s">
        <v>92</v>
      </c>
      <c r="E3072" s="12" t="s">
        <v>35</v>
      </c>
      <c r="F3072" s="14">
        <v>34000</v>
      </c>
      <c r="G3072" s="14">
        <v>27400</v>
      </c>
      <c r="H3072" s="13" t="s">
        <v>2893</v>
      </c>
      <c r="I3072" s="40" t="s">
        <v>18</v>
      </c>
      <c r="J3072" s="40" t="str">
        <f>HYPERLINK("https://stock.pstatic.net/stock-research/company/63/20260506_company_837569000.pdf","PDF")</f>
        <v>PDF</v>
      </c>
      <c r="K3072" s="12" t="s">
        <v>2894</v>
      </c>
      <c r="L3072" s="36">
        <v>0.24087591240875911</v>
      </c>
    </row>
    <row r="3073" spans="1:12" x14ac:dyDescent="0.45">
      <c r="A3073" s="12" t="s">
        <v>2774</v>
      </c>
      <c r="B3073" s="12" t="s">
        <v>2777</v>
      </c>
      <c r="C3073" s="13" t="s">
        <v>2778</v>
      </c>
      <c r="D3073" s="13" t="s">
        <v>92</v>
      </c>
      <c r="E3073" s="12" t="s">
        <v>35</v>
      </c>
      <c r="F3073" s="14">
        <v>700000</v>
      </c>
      <c r="G3073" s="14">
        <v>446000</v>
      </c>
      <c r="H3073" s="13" t="s">
        <v>2895</v>
      </c>
      <c r="I3073" s="40" t="s">
        <v>18</v>
      </c>
      <c r="J3073" s="40" t="str">
        <f>HYPERLINK("https://stock.pstatic.net/stock-research/company/63/20260506_company_641651000.pdf","PDF")</f>
        <v>PDF</v>
      </c>
      <c r="K3073" s="12" t="s">
        <v>2896</v>
      </c>
      <c r="L3073" s="36">
        <v>0.56950672645739908</v>
      </c>
    </row>
    <row r="3074" spans="1:12" x14ac:dyDescent="0.45">
      <c r="A3074" s="12" t="s">
        <v>2774</v>
      </c>
      <c r="B3074" s="12" t="s">
        <v>438</v>
      </c>
      <c r="C3074" s="13" t="s">
        <v>439</v>
      </c>
      <c r="D3074" s="13" t="s">
        <v>179</v>
      </c>
      <c r="E3074" s="12" t="s">
        <v>16</v>
      </c>
      <c r="F3074" s="14">
        <v>200000</v>
      </c>
      <c r="G3074" s="14">
        <v>144200</v>
      </c>
      <c r="H3074" s="13" t="s">
        <v>2897</v>
      </c>
      <c r="I3074" s="40" t="s">
        <v>18</v>
      </c>
      <c r="J3074" s="40" t="str">
        <f>HYPERLINK("https://stock.pstatic.net/stock-research/company/64/20260506_company_962458000.pdf","PDF")</f>
        <v>PDF</v>
      </c>
      <c r="K3074" s="12" t="s">
        <v>2898</v>
      </c>
      <c r="L3074" s="36">
        <v>0.3869625520110957</v>
      </c>
    </row>
    <row r="3075" spans="1:12" x14ac:dyDescent="0.45">
      <c r="A3075" s="12" t="s">
        <v>2774</v>
      </c>
      <c r="B3075" s="12" t="s">
        <v>63</v>
      </c>
      <c r="C3075" s="13" t="s">
        <v>64</v>
      </c>
      <c r="D3075" s="13" t="s">
        <v>23</v>
      </c>
      <c r="E3075" s="12" t="s">
        <v>16</v>
      </c>
      <c r="F3075" s="14">
        <v>560000</v>
      </c>
      <c r="G3075" s="14">
        <v>445000</v>
      </c>
      <c r="H3075" s="13" t="s">
        <v>2899</v>
      </c>
      <c r="I3075" s="40" t="s">
        <v>18</v>
      </c>
      <c r="J3075" s="40" t="str">
        <f>HYPERLINK("https://stock.pstatic.net/stock-research/company/21/20260506_company_719147000.pdf","PDF")</f>
        <v>PDF</v>
      </c>
      <c r="K3075" s="12" t="s">
        <v>2900</v>
      </c>
      <c r="L3075" s="36">
        <v>0.25842696629213491</v>
      </c>
    </row>
    <row r="3076" spans="1:12" x14ac:dyDescent="0.45">
      <c r="A3076" s="12" t="s">
        <v>2774</v>
      </c>
      <c r="B3076" s="12" t="s">
        <v>2658</v>
      </c>
      <c r="C3076" s="13" t="s">
        <v>2659</v>
      </c>
      <c r="D3076" s="13" t="s">
        <v>23</v>
      </c>
      <c r="E3076" s="12" t="s">
        <v>16</v>
      </c>
      <c r="F3076" s="14">
        <v>120000</v>
      </c>
      <c r="G3076" s="14">
        <v>90500</v>
      </c>
      <c r="H3076" s="13" t="s">
        <v>2901</v>
      </c>
      <c r="I3076" s="40" t="s">
        <v>18</v>
      </c>
      <c r="J3076" s="40" t="str">
        <f>HYPERLINK("https://stock.pstatic.net/stock-research/company/21/20260506_company_276616000.pdf","PDF")</f>
        <v>PDF</v>
      </c>
      <c r="K3076" s="12" t="s">
        <v>2902</v>
      </c>
      <c r="L3076" s="36">
        <v>0.32596685082872928</v>
      </c>
    </row>
    <row r="3077" spans="1:12" x14ac:dyDescent="0.45">
      <c r="A3077" s="12" t="s">
        <v>2774</v>
      </c>
      <c r="B3077" s="12" t="s">
        <v>2781</v>
      </c>
      <c r="C3077" s="13" t="s">
        <v>2782</v>
      </c>
      <c r="D3077" s="13" t="s">
        <v>23</v>
      </c>
      <c r="E3077" s="12" t="s">
        <v>16</v>
      </c>
      <c r="F3077" s="14">
        <v>160000</v>
      </c>
      <c r="G3077" s="14">
        <v>126400</v>
      </c>
      <c r="H3077" s="13" t="s">
        <v>2903</v>
      </c>
      <c r="I3077" s="40" t="s">
        <v>18</v>
      </c>
      <c r="J3077" s="40" t="str">
        <f>HYPERLINK("https://stock.pstatic.net/stock-research/company/21/20260506_company_716363000.pdf","PDF")</f>
        <v>PDF</v>
      </c>
      <c r="K3077" s="12" t="s">
        <v>2904</v>
      </c>
      <c r="L3077" s="36">
        <v>0.26582278481012661</v>
      </c>
    </row>
    <row r="3078" spans="1:12" x14ac:dyDescent="0.45">
      <c r="A3078" s="12" t="s">
        <v>2774</v>
      </c>
      <c r="B3078" s="12" t="s">
        <v>2795</v>
      </c>
      <c r="C3078" s="13" t="s">
        <v>2796</v>
      </c>
      <c r="D3078" s="13" t="s">
        <v>23</v>
      </c>
      <c r="E3078" s="12" t="s">
        <v>16</v>
      </c>
      <c r="F3078" s="14">
        <v>7500</v>
      </c>
      <c r="G3078" s="14">
        <v>5640</v>
      </c>
      <c r="H3078" s="13" t="s">
        <v>2905</v>
      </c>
      <c r="I3078" s="40" t="s">
        <v>18</v>
      </c>
      <c r="J3078" s="40" t="str">
        <f>HYPERLINK("https://stock.pstatic.net/stock-research/company/21/20260506_company_557082000.pdf","PDF")</f>
        <v>PDF</v>
      </c>
      <c r="K3078" s="12" t="s">
        <v>2906</v>
      </c>
      <c r="L3078" s="36">
        <v>0.32978723404255322</v>
      </c>
    </row>
    <row r="3079" spans="1:12" x14ac:dyDescent="0.45">
      <c r="A3079" s="12" t="s">
        <v>2774</v>
      </c>
      <c r="B3079" s="12" t="s">
        <v>2056</v>
      </c>
      <c r="C3079" s="13" t="s">
        <v>2057</v>
      </c>
      <c r="D3079" s="13" t="s">
        <v>44</v>
      </c>
      <c r="E3079" s="12" t="s">
        <v>50</v>
      </c>
      <c r="F3079" s="13"/>
      <c r="G3079" s="14">
        <v>14130</v>
      </c>
      <c r="H3079" s="13" t="s">
        <v>2907</v>
      </c>
      <c r="I3079" s="40" t="s">
        <v>18</v>
      </c>
      <c r="J3079" s="40" t="str">
        <f>HYPERLINK("https://stock.pstatic.net/stock-research/company/39/20260506_company_358319000.pdf","PDF")</f>
        <v>PDF</v>
      </c>
      <c r="K3079" s="12" t="s">
        <v>2908</v>
      </c>
      <c r="L3079" s="12"/>
    </row>
    <row r="3080" spans="1:12" x14ac:dyDescent="0.45">
      <c r="A3080" s="12" t="s">
        <v>2774</v>
      </c>
      <c r="B3080" s="12" t="s">
        <v>2522</v>
      </c>
      <c r="C3080" s="13" t="s">
        <v>2523</v>
      </c>
      <c r="D3080" s="13" t="s">
        <v>44</v>
      </c>
      <c r="E3080" s="12" t="s">
        <v>45</v>
      </c>
      <c r="F3080" s="14">
        <v>340000</v>
      </c>
      <c r="G3080" s="14">
        <v>288500</v>
      </c>
      <c r="H3080" s="13" t="s">
        <v>2909</v>
      </c>
      <c r="I3080" s="40" t="s">
        <v>18</v>
      </c>
      <c r="J3080" s="40" t="str">
        <f>HYPERLINK("https://stock.pstatic.net/stock-research/company/39/20260506_company_789568000.pdf","PDF")</f>
        <v>PDF</v>
      </c>
      <c r="K3080" s="12" t="s">
        <v>2910</v>
      </c>
      <c r="L3080" s="36">
        <v>0.1785095320623917</v>
      </c>
    </row>
    <row r="3081" spans="1:12" x14ac:dyDescent="0.45">
      <c r="A3081" s="12" t="s">
        <v>2774</v>
      </c>
      <c r="B3081" s="12" t="s">
        <v>2911</v>
      </c>
      <c r="C3081" s="13" t="s">
        <v>2912</v>
      </c>
      <c r="D3081" s="13" t="s">
        <v>34</v>
      </c>
      <c r="E3081" s="12" t="s">
        <v>35</v>
      </c>
      <c r="F3081" s="14">
        <v>38000</v>
      </c>
      <c r="G3081" s="14">
        <v>30500</v>
      </c>
      <c r="H3081" s="13" t="s">
        <v>2913</v>
      </c>
      <c r="I3081" s="40" t="s">
        <v>18</v>
      </c>
      <c r="J3081" s="40" t="str">
        <f>HYPERLINK("https://stock.pstatic.net/stock-research/company/61/20260506_company_467915000.pdf","PDF")</f>
        <v>PDF</v>
      </c>
      <c r="K3081" s="12" t="s">
        <v>2914</v>
      </c>
      <c r="L3081" s="36">
        <v>0.24590163934426229</v>
      </c>
    </row>
    <row r="3082" spans="1:12" x14ac:dyDescent="0.45">
      <c r="A3082" s="12" t="s">
        <v>2774</v>
      </c>
      <c r="B3082" s="12" t="s">
        <v>489</v>
      </c>
      <c r="C3082" s="13" t="s">
        <v>490</v>
      </c>
      <c r="D3082" s="13" t="s">
        <v>34</v>
      </c>
      <c r="E3082" s="12" t="s">
        <v>35</v>
      </c>
      <c r="F3082" s="14">
        <v>92500</v>
      </c>
      <c r="G3082" s="14">
        <v>79500</v>
      </c>
      <c r="H3082" s="13" t="s">
        <v>2915</v>
      </c>
      <c r="I3082" s="40" t="s">
        <v>18</v>
      </c>
      <c r="J3082" s="40" t="str">
        <f>HYPERLINK("https://stock.pstatic.net/stock-research/company/61/20260506_company_936410000.pdf","PDF")</f>
        <v>PDF</v>
      </c>
      <c r="K3082" s="12" t="s">
        <v>2916</v>
      </c>
      <c r="L3082" s="36">
        <v>0.16352201257861629</v>
      </c>
    </row>
    <row r="3083" spans="1:12" x14ac:dyDescent="0.45">
      <c r="A3083" s="12" t="s">
        <v>2774</v>
      </c>
      <c r="B3083" s="12" t="s">
        <v>2917</v>
      </c>
      <c r="C3083" s="13" t="s">
        <v>2918</v>
      </c>
      <c r="D3083" s="13" t="s">
        <v>179</v>
      </c>
      <c r="E3083" s="12" t="s">
        <v>50</v>
      </c>
      <c r="F3083" s="13"/>
      <c r="G3083" s="14">
        <v>7440</v>
      </c>
      <c r="H3083" s="13" t="s">
        <v>2919</v>
      </c>
      <c r="I3083" s="40" t="s">
        <v>18</v>
      </c>
      <c r="J3083" s="40" t="str">
        <f>HYPERLINK("https://stock.pstatic.net/stock-research/company/64/20260506_company_37742000.pdf","PDF")</f>
        <v>PDF</v>
      </c>
      <c r="K3083" s="12" t="s">
        <v>2920</v>
      </c>
      <c r="L3083" s="12"/>
    </row>
    <row r="3084" spans="1:12" x14ac:dyDescent="0.45">
      <c r="A3084" s="12" t="s">
        <v>2774</v>
      </c>
      <c r="B3084" s="12" t="s">
        <v>2781</v>
      </c>
      <c r="C3084" s="13" t="s">
        <v>2782</v>
      </c>
      <c r="D3084" s="13" t="s">
        <v>44</v>
      </c>
      <c r="E3084" s="12" t="s">
        <v>35</v>
      </c>
      <c r="F3084" s="14">
        <v>170000</v>
      </c>
      <c r="G3084" s="14">
        <v>126400</v>
      </c>
      <c r="H3084" s="13" t="s">
        <v>2921</v>
      </c>
      <c r="I3084" s="40" t="s">
        <v>18</v>
      </c>
      <c r="J3084" s="40" t="str">
        <f>HYPERLINK("https://stock.pstatic.net/stock-research/company/39/20260506_company_696963000.pdf","PDF")</f>
        <v>PDF</v>
      </c>
      <c r="K3084" s="12" t="s">
        <v>2922</v>
      </c>
      <c r="L3084" s="36">
        <v>0.3449367088607595</v>
      </c>
    </row>
    <row r="3085" spans="1:12" x14ac:dyDescent="0.45">
      <c r="A3085" s="12" t="s">
        <v>2774</v>
      </c>
      <c r="B3085" s="12" t="s">
        <v>1081</v>
      </c>
      <c r="C3085" s="13" t="s">
        <v>1082</v>
      </c>
      <c r="D3085" s="13" t="s">
        <v>44</v>
      </c>
      <c r="E3085" s="12" t="s">
        <v>50</v>
      </c>
      <c r="F3085" s="13"/>
      <c r="G3085" s="14">
        <v>1485000</v>
      </c>
      <c r="H3085" s="13" t="s">
        <v>2923</v>
      </c>
      <c r="I3085" s="40" t="s">
        <v>18</v>
      </c>
      <c r="J3085" s="40" t="str">
        <f>HYPERLINK("https://stock.pstatic.net/stock-research/company/39/20260506_company_301217000.pdf","PDF")</f>
        <v>PDF</v>
      </c>
      <c r="K3085" s="12" t="s">
        <v>2924</v>
      </c>
      <c r="L3085" s="12"/>
    </row>
    <row r="3086" spans="1:12" x14ac:dyDescent="0.45">
      <c r="A3086" s="12" t="s">
        <v>2774</v>
      </c>
      <c r="B3086" s="12" t="s">
        <v>2925</v>
      </c>
      <c r="C3086" s="13" t="s">
        <v>2926</v>
      </c>
      <c r="D3086" s="13" t="s">
        <v>179</v>
      </c>
      <c r="E3086" s="12" t="s">
        <v>50</v>
      </c>
      <c r="F3086" s="13"/>
      <c r="G3086" s="14">
        <v>18750</v>
      </c>
      <c r="H3086" s="13" t="s">
        <v>2927</v>
      </c>
      <c r="I3086" s="40" t="s">
        <v>18</v>
      </c>
      <c r="J3086" s="40" t="str">
        <f>HYPERLINK("https://stock.pstatic.net/stock-research/company/64/20260506_company_250880000.pdf","PDF")</f>
        <v>PDF</v>
      </c>
      <c r="K3086" s="12" t="s">
        <v>2928</v>
      </c>
      <c r="L3086" s="12"/>
    </row>
    <row r="3087" spans="1:12" x14ac:dyDescent="0.45">
      <c r="A3087" s="12" t="s">
        <v>2774</v>
      </c>
      <c r="B3087" s="12" t="s">
        <v>1057</v>
      </c>
      <c r="C3087" s="13" t="s">
        <v>1058</v>
      </c>
      <c r="D3087" s="13" t="s">
        <v>124</v>
      </c>
      <c r="E3087" s="12" t="s">
        <v>50</v>
      </c>
      <c r="F3087" s="13"/>
      <c r="G3087" s="13"/>
      <c r="H3087" s="13" t="s">
        <v>2929</v>
      </c>
      <c r="I3087" s="40" t="s">
        <v>18</v>
      </c>
      <c r="J3087" s="40" t="str">
        <f>HYPERLINK("https://stock.pstatic.net/stock-research/company/74/20260506_company_249741000.pdf","PDF")</f>
        <v>PDF</v>
      </c>
      <c r="K3087" s="12" t="s">
        <v>2930</v>
      </c>
      <c r="L3087" s="12"/>
    </row>
    <row r="3088" spans="1:12" x14ac:dyDescent="0.45">
      <c r="A3088" s="12" t="s">
        <v>2774</v>
      </c>
      <c r="B3088" s="12" t="s">
        <v>2795</v>
      </c>
      <c r="C3088" s="13" t="s">
        <v>2796</v>
      </c>
      <c r="D3088" s="13" t="s">
        <v>15</v>
      </c>
      <c r="E3088" s="12" t="s">
        <v>16</v>
      </c>
      <c r="F3088" s="14">
        <v>7400</v>
      </c>
      <c r="G3088" s="14">
        <v>5640</v>
      </c>
      <c r="H3088" s="13" t="s">
        <v>2931</v>
      </c>
      <c r="I3088" s="40" t="s">
        <v>18</v>
      </c>
      <c r="J3088" s="40" t="str">
        <f>HYPERLINK("https://stock.pstatic.net/stock-research/company/56/20260506_company_657736000.pdf","PDF")</f>
        <v>PDF</v>
      </c>
      <c r="K3088" s="12" t="s">
        <v>2932</v>
      </c>
      <c r="L3088" s="36">
        <v>0.31205673758865249</v>
      </c>
    </row>
    <row r="3089" spans="1:12" x14ac:dyDescent="0.45">
      <c r="A3089" s="12" t="s">
        <v>2774</v>
      </c>
      <c r="B3089" s="12" t="s">
        <v>2933</v>
      </c>
      <c r="C3089" s="13" t="s">
        <v>2934</v>
      </c>
      <c r="D3089" s="13" t="s">
        <v>23</v>
      </c>
      <c r="E3089" s="12" t="s">
        <v>16</v>
      </c>
      <c r="F3089" s="14">
        <v>370000</v>
      </c>
      <c r="G3089" s="14">
        <v>266000</v>
      </c>
      <c r="H3089" s="13" t="s">
        <v>2935</v>
      </c>
      <c r="I3089" s="40" t="s">
        <v>18</v>
      </c>
      <c r="J3089" s="40" t="str">
        <f>HYPERLINK("https://stock.pstatic.net/stock-research/company/21/20260506_company_894764000.pdf","PDF")</f>
        <v>PDF</v>
      </c>
      <c r="K3089" s="12" t="s">
        <v>2936</v>
      </c>
      <c r="L3089" s="36">
        <v>0.39097744360902248</v>
      </c>
    </row>
    <row r="3090" spans="1:12" x14ac:dyDescent="0.45">
      <c r="A3090" s="12" t="s">
        <v>2937</v>
      </c>
      <c r="B3090" s="12" t="s">
        <v>32</v>
      </c>
      <c r="C3090" s="13" t="s">
        <v>33</v>
      </c>
      <c r="D3090" s="13" t="s">
        <v>23</v>
      </c>
      <c r="E3090" s="12" t="s">
        <v>16</v>
      </c>
      <c r="F3090" s="14">
        <v>1000000</v>
      </c>
      <c r="G3090" s="14">
        <v>832000</v>
      </c>
      <c r="H3090" s="13" t="s">
        <v>2938</v>
      </c>
      <c r="I3090" s="40" t="s">
        <v>18</v>
      </c>
      <c r="J3090" s="40" t="str">
        <f>HYPERLINK("https://stock.pstatic.net/stock-research/company/21/20260504_company_204236000.pdf","PDF")</f>
        <v>PDF</v>
      </c>
      <c r="K3090" s="12" t="s">
        <v>2939</v>
      </c>
      <c r="L3090" s="36">
        <v>0.2019230769230769</v>
      </c>
    </row>
    <row r="3091" spans="1:12" x14ac:dyDescent="0.45">
      <c r="A3091" s="12" t="s">
        <v>2937</v>
      </c>
      <c r="B3091" s="12" t="s">
        <v>32</v>
      </c>
      <c r="C3091" s="13" t="s">
        <v>33</v>
      </c>
      <c r="D3091" s="13" t="s">
        <v>53</v>
      </c>
      <c r="E3091" s="12" t="s">
        <v>16</v>
      </c>
      <c r="F3091" s="14">
        <v>1050000</v>
      </c>
      <c r="G3091" s="14">
        <v>832000</v>
      </c>
      <c r="H3091" s="13" t="s">
        <v>2940</v>
      </c>
      <c r="I3091" s="40" t="s">
        <v>18</v>
      </c>
      <c r="J3091" s="40" t="str">
        <f>HYPERLINK("https://stock.pstatic.net/stock-research/company/40/20260504_company_708716000.pdf","PDF")</f>
        <v>PDF</v>
      </c>
      <c r="K3091" s="12" t="s">
        <v>2941</v>
      </c>
      <c r="L3091" s="36">
        <v>0.26201923076923078</v>
      </c>
    </row>
    <row r="3092" spans="1:12" x14ac:dyDescent="0.45">
      <c r="A3092" s="12" t="s">
        <v>2937</v>
      </c>
      <c r="B3092" s="12" t="s">
        <v>174</v>
      </c>
      <c r="C3092" s="13" t="s">
        <v>44</v>
      </c>
      <c r="D3092" s="13" t="s">
        <v>23</v>
      </c>
      <c r="E3092" s="12" t="s">
        <v>16</v>
      </c>
      <c r="F3092" s="14">
        <v>600000</v>
      </c>
      <c r="G3092" s="14">
        <v>398000</v>
      </c>
      <c r="H3092" s="13" t="s">
        <v>2942</v>
      </c>
      <c r="I3092" s="40" t="s">
        <v>18</v>
      </c>
      <c r="J3092" s="40" t="str">
        <f>HYPERLINK("https://stock.pstatic.net/stock-research/company/21/20260504_company_28163000.pdf","PDF")</f>
        <v>PDF</v>
      </c>
      <c r="K3092" s="12" t="s">
        <v>2943</v>
      </c>
      <c r="L3092" s="36">
        <v>0.50753768844221103</v>
      </c>
    </row>
    <row r="3093" spans="1:12" x14ac:dyDescent="0.45">
      <c r="A3093" s="12" t="s">
        <v>2937</v>
      </c>
      <c r="B3093" s="12" t="s">
        <v>2944</v>
      </c>
      <c r="C3093" s="13" t="s">
        <v>2945</v>
      </c>
      <c r="D3093" s="13" t="s">
        <v>23</v>
      </c>
      <c r="E3093" s="12" t="s">
        <v>16</v>
      </c>
      <c r="F3093" s="14">
        <v>22000</v>
      </c>
      <c r="G3093" s="14">
        <v>18730</v>
      </c>
      <c r="H3093" s="13" t="s">
        <v>2946</v>
      </c>
      <c r="I3093" s="40" t="s">
        <v>18</v>
      </c>
      <c r="J3093" s="40" t="str">
        <f>HYPERLINK("https://stock.pstatic.net/stock-research/company/21/20260504_company_275557000.pdf","PDF")</f>
        <v>PDF</v>
      </c>
      <c r="K3093" s="12" t="s">
        <v>2947</v>
      </c>
      <c r="L3093" s="36">
        <v>0.17458622530699411</v>
      </c>
    </row>
    <row r="3094" spans="1:12" x14ac:dyDescent="0.45">
      <c r="A3094" s="12" t="s">
        <v>2937</v>
      </c>
      <c r="B3094" s="12" t="s">
        <v>468</v>
      </c>
      <c r="C3094" s="13" t="s">
        <v>469</v>
      </c>
      <c r="D3094" s="13" t="s">
        <v>34</v>
      </c>
      <c r="E3094" s="12" t="s">
        <v>50</v>
      </c>
      <c r="F3094" s="13"/>
      <c r="G3094" s="14">
        <v>32150</v>
      </c>
      <c r="H3094" s="13" t="s">
        <v>2948</v>
      </c>
      <c r="I3094" s="40" t="s">
        <v>18</v>
      </c>
      <c r="J3094" s="40" t="str">
        <f>HYPERLINK("https://stock.pstatic.net/stock-research/company/61/20260504_company_565056000.pdf","PDF")</f>
        <v>PDF</v>
      </c>
      <c r="K3094" s="12" t="s">
        <v>2949</v>
      </c>
      <c r="L3094" s="12"/>
    </row>
    <row r="3095" spans="1:12" x14ac:dyDescent="0.45">
      <c r="A3095" s="12" t="s">
        <v>2937</v>
      </c>
      <c r="B3095" s="12" t="s">
        <v>2950</v>
      </c>
      <c r="C3095" s="13" t="s">
        <v>2951</v>
      </c>
      <c r="D3095" s="13" t="s">
        <v>34</v>
      </c>
      <c r="E3095" s="12" t="s">
        <v>50</v>
      </c>
      <c r="F3095" s="13"/>
      <c r="G3095" s="14">
        <v>127100</v>
      </c>
      <c r="H3095" s="13" t="s">
        <v>2952</v>
      </c>
      <c r="I3095" s="40" t="s">
        <v>18</v>
      </c>
      <c r="J3095" s="40" t="str">
        <f>HYPERLINK("https://stock.pstatic.net/stock-research/company/61/20260504_company_34379000.pdf","PDF")</f>
        <v>PDF</v>
      </c>
      <c r="K3095" s="12" t="s">
        <v>2953</v>
      </c>
      <c r="L3095" s="12"/>
    </row>
    <row r="3096" spans="1:12" x14ac:dyDescent="0.45">
      <c r="A3096" s="12" t="s">
        <v>2937</v>
      </c>
      <c r="B3096" s="12" t="s">
        <v>13</v>
      </c>
      <c r="C3096" s="13" t="s">
        <v>14</v>
      </c>
      <c r="D3096" s="13" t="s">
        <v>23</v>
      </c>
      <c r="E3096" s="12" t="s">
        <v>16</v>
      </c>
      <c r="F3096" s="14">
        <v>300000</v>
      </c>
      <c r="G3096" s="14">
        <v>220500</v>
      </c>
      <c r="H3096" s="13" t="s">
        <v>2954</v>
      </c>
      <c r="I3096" s="40" t="s">
        <v>18</v>
      </c>
      <c r="J3096" s="40" t="str">
        <f>HYPERLINK("https://stock.pstatic.net/stock-research/company/21/20260504_company_364708000.pdf","PDF")</f>
        <v>PDF</v>
      </c>
      <c r="K3096" s="12" t="s">
        <v>2955</v>
      </c>
      <c r="L3096" s="36">
        <v>0.36054421768707479</v>
      </c>
    </row>
    <row r="3097" spans="1:12" x14ac:dyDescent="0.45">
      <c r="A3097" s="12" t="s">
        <v>2937</v>
      </c>
      <c r="B3097" s="12" t="s">
        <v>2956</v>
      </c>
      <c r="C3097" s="13" t="s">
        <v>2957</v>
      </c>
      <c r="D3097" s="13" t="s">
        <v>92</v>
      </c>
      <c r="E3097" s="12" t="s">
        <v>35</v>
      </c>
      <c r="F3097" s="14">
        <v>53000</v>
      </c>
      <c r="G3097" s="14">
        <v>38050</v>
      </c>
      <c r="H3097" s="13" t="s">
        <v>2958</v>
      </c>
      <c r="I3097" s="40" t="s">
        <v>18</v>
      </c>
      <c r="J3097" s="40" t="str">
        <f>HYPERLINK("https://stock.pstatic.net/stock-research/company/63/20260504_company_819135000.pdf","PDF")</f>
        <v>PDF</v>
      </c>
      <c r="K3097" s="12" t="s">
        <v>2959</v>
      </c>
      <c r="L3097" s="36">
        <v>0.39290407358738499</v>
      </c>
    </row>
    <row r="3098" spans="1:12" x14ac:dyDescent="0.45">
      <c r="A3098" s="12" t="s">
        <v>2937</v>
      </c>
      <c r="B3098" s="12" t="s">
        <v>2960</v>
      </c>
      <c r="C3098" s="13" t="s">
        <v>2961</v>
      </c>
      <c r="D3098" s="13" t="s">
        <v>34</v>
      </c>
      <c r="E3098" s="12" t="s">
        <v>50</v>
      </c>
      <c r="F3098" s="13"/>
      <c r="G3098" s="14">
        <v>65500</v>
      </c>
      <c r="H3098" s="13" t="s">
        <v>2962</v>
      </c>
      <c r="I3098" s="40" t="s">
        <v>18</v>
      </c>
      <c r="J3098" s="40" t="str">
        <f>HYPERLINK("https://stock.pstatic.net/stock-research/company/61/20260504_company_686290000.pdf","PDF")</f>
        <v>PDF</v>
      </c>
      <c r="K3098" s="12" t="s">
        <v>2963</v>
      </c>
      <c r="L3098" s="12"/>
    </row>
    <row r="3099" spans="1:12" x14ac:dyDescent="0.45">
      <c r="A3099" s="12" t="s">
        <v>2937</v>
      </c>
      <c r="B3099" s="12" t="s">
        <v>1548</v>
      </c>
      <c r="C3099" s="13" t="s">
        <v>1549</v>
      </c>
      <c r="D3099" s="13" t="s">
        <v>34</v>
      </c>
      <c r="E3099" s="12" t="s">
        <v>35</v>
      </c>
      <c r="F3099" s="14">
        <v>1830000</v>
      </c>
      <c r="G3099" s="14">
        <v>1417000</v>
      </c>
      <c r="H3099" s="13" t="s">
        <v>2964</v>
      </c>
      <c r="I3099" s="40" t="s">
        <v>18</v>
      </c>
      <c r="J3099" s="40" t="str">
        <f>HYPERLINK("https://stock.pstatic.net/stock-research/company/61/20260506_company_723374000.pdf","PDF")</f>
        <v>PDF</v>
      </c>
      <c r="K3099" s="12" t="s">
        <v>2965</v>
      </c>
      <c r="L3099" s="36">
        <v>0.29146083274523638</v>
      </c>
    </row>
    <row r="3100" spans="1:12" x14ac:dyDescent="0.45">
      <c r="A3100" s="12" t="s">
        <v>2937</v>
      </c>
      <c r="B3100" s="12" t="s">
        <v>32</v>
      </c>
      <c r="C3100" s="13" t="s">
        <v>33</v>
      </c>
      <c r="D3100" s="13" t="s">
        <v>179</v>
      </c>
      <c r="E3100" s="12" t="s">
        <v>16</v>
      </c>
      <c r="F3100" s="14">
        <v>1100000</v>
      </c>
      <c r="G3100" s="14">
        <v>832000</v>
      </c>
      <c r="H3100" s="13" t="s">
        <v>2966</v>
      </c>
      <c r="I3100" s="40" t="s">
        <v>18</v>
      </c>
      <c r="J3100" s="40" t="str">
        <f>HYPERLINK("https://stock.pstatic.net/stock-research/company/64/20260504_company_814278000.pdf","PDF")</f>
        <v>PDF</v>
      </c>
      <c r="K3100" s="12" t="s">
        <v>2967</v>
      </c>
      <c r="L3100" s="36">
        <v>0.32211538461538458</v>
      </c>
    </row>
    <row r="3101" spans="1:12" x14ac:dyDescent="0.45">
      <c r="A3101" s="12" t="s">
        <v>2937</v>
      </c>
      <c r="B3101" s="12" t="s">
        <v>2365</v>
      </c>
      <c r="C3101" s="13" t="s">
        <v>2366</v>
      </c>
      <c r="D3101" s="13" t="s">
        <v>44</v>
      </c>
      <c r="E3101" s="12" t="s">
        <v>35</v>
      </c>
      <c r="F3101" s="14">
        <v>240000</v>
      </c>
      <c r="G3101" s="14">
        <v>195100</v>
      </c>
      <c r="H3101" s="13" t="s">
        <v>2968</v>
      </c>
      <c r="I3101" s="40" t="s">
        <v>18</v>
      </c>
      <c r="J3101" s="40" t="str">
        <f>HYPERLINK("https://stock.pstatic.net/stock-research/company/39/20260504_company_191485000.pdf","PDF")</f>
        <v>PDF</v>
      </c>
      <c r="K3101" s="12" t="s">
        <v>2969</v>
      </c>
      <c r="L3101" s="36">
        <v>0.23013839056893901</v>
      </c>
    </row>
    <row r="3102" spans="1:12" x14ac:dyDescent="0.45">
      <c r="A3102" s="12" t="s">
        <v>2937</v>
      </c>
      <c r="B3102" s="12" t="s">
        <v>1682</v>
      </c>
      <c r="C3102" s="13" t="s">
        <v>1683</v>
      </c>
      <c r="D3102" s="13" t="s">
        <v>44</v>
      </c>
      <c r="E3102" s="12" t="s">
        <v>35</v>
      </c>
      <c r="F3102" s="14">
        <v>430000</v>
      </c>
      <c r="G3102" s="14">
        <v>270500</v>
      </c>
      <c r="H3102" s="13" t="s">
        <v>2970</v>
      </c>
      <c r="I3102" s="40" t="s">
        <v>18</v>
      </c>
      <c r="J3102" s="40" t="str">
        <f>HYPERLINK("https://stock.pstatic.net/stock-research/company/39/20260504_company_552665000.pdf","PDF")</f>
        <v>PDF</v>
      </c>
      <c r="K3102" s="12" t="s">
        <v>2971</v>
      </c>
      <c r="L3102" s="36">
        <v>0.58964879852125696</v>
      </c>
    </row>
    <row r="3103" spans="1:12" x14ac:dyDescent="0.45">
      <c r="A3103" s="12" t="s">
        <v>2937</v>
      </c>
      <c r="B3103" s="12" t="s">
        <v>2933</v>
      </c>
      <c r="C3103" s="13" t="s">
        <v>2934</v>
      </c>
      <c r="D3103" s="13" t="s">
        <v>92</v>
      </c>
      <c r="E3103" s="12" t="s">
        <v>35</v>
      </c>
      <c r="F3103" s="14">
        <v>350000</v>
      </c>
      <c r="G3103" s="14">
        <v>266000</v>
      </c>
      <c r="H3103" s="13" t="s">
        <v>2972</v>
      </c>
      <c r="I3103" s="40" t="s">
        <v>18</v>
      </c>
      <c r="J3103" s="40" t="str">
        <f>HYPERLINK("https://stock.pstatic.net/stock-research/company/63/20260504_company_736282000.pdf","PDF")</f>
        <v>PDF</v>
      </c>
      <c r="K3103" s="12" t="s">
        <v>2973</v>
      </c>
      <c r="L3103" s="36">
        <v>0.31578947368421051</v>
      </c>
    </row>
    <row r="3104" spans="1:12" x14ac:dyDescent="0.45">
      <c r="A3104" s="12" t="s">
        <v>2937</v>
      </c>
      <c r="B3104" s="12" t="s">
        <v>13</v>
      </c>
      <c r="C3104" s="13" t="s">
        <v>14</v>
      </c>
      <c r="D3104" s="13" t="s">
        <v>44</v>
      </c>
      <c r="E3104" s="12" t="s">
        <v>50</v>
      </c>
      <c r="F3104" s="13"/>
      <c r="G3104" s="14">
        <v>220500</v>
      </c>
      <c r="H3104" s="13" t="s">
        <v>2974</v>
      </c>
      <c r="I3104" s="40" t="s">
        <v>18</v>
      </c>
      <c r="J3104" s="40" t="str">
        <f>HYPERLINK("https://stock.pstatic.net/stock-research/company/39/20260504_company_264792000.pdf","PDF")</f>
        <v>PDF</v>
      </c>
      <c r="K3104" s="12" t="s">
        <v>2975</v>
      </c>
      <c r="L3104" s="12"/>
    </row>
    <row r="3105" spans="1:12" x14ac:dyDescent="0.45">
      <c r="A3105" s="12" t="s">
        <v>2937</v>
      </c>
      <c r="B3105" s="12" t="s">
        <v>744</v>
      </c>
      <c r="C3105" s="13" t="s">
        <v>745</v>
      </c>
      <c r="D3105" s="13" t="s">
        <v>23</v>
      </c>
      <c r="E3105" s="12" t="s">
        <v>16</v>
      </c>
      <c r="F3105" s="14">
        <v>37000</v>
      </c>
      <c r="G3105" s="14">
        <v>32350</v>
      </c>
      <c r="H3105" s="13" t="s">
        <v>2976</v>
      </c>
      <c r="I3105" s="40" t="s">
        <v>18</v>
      </c>
      <c r="J3105" s="40" t="str">
        <f>HYPERLINK("https://stock.pstatic.net/stock-research/company/21/20260504_company_993980000.pdf","PDF")</f>
        <v>PDF</v>
      </c>
      <c r="K3105" s="12" t="s">
        <v>2977</v>
      </c>
      <c r="L3105" s="36">
        <v>0.14374034003091191</v>
      </c>
    </row>
    <row r="3106" spans="1:12" x14ac:dyDescent="0.45">
      <c r="A3106" s="12" t="s">
        <v>2937</v>
      </c>
      <c r="B3106" s="12" t="s">
        <v>2978</v>
      </c>
      <c r="C3106" s="13" t="s">
        <v>2979</v>
      </c>
      <c r="D3106" s="13" t="s">
        <v>23</v>
      </c>
      <c r="E3106" s="12" t="s">
        <v>16</v>
      </c>
      <c r="F3106" s="14">
        <v>21200</v>
      </c>
      <c r="G3106" s="14">
        <v>14790</v>
      </c>
      <c r="H3106" s="13" t="s">
        <v>2980</v>
      </c>
      <c r="I3106" s="40" t="s">
        <v>18</v>
      </c>
      <c r="J3106" s="40" t="str">
        <f>HYPERLINK("https://stock.pstatic.net/stock-research/company/21/20260504_company_59782000.pdf","PDF")</f>
        <v>PDF</v>
      </c>
      <c r="K3106" s="12" t="s">
        <v>2981</v>
      </c>
      <c r="L3106" s="36">
        <v>0.43340094658553069</v>
      </c>
    </row>
    <row r="3107" spans="1:12" x14ac:dyDescent="0.45">
      <c r="A3107" s="12" t="s">
        <v>2937</v>
      </c>
      <c r="B3107" s="12" t="s">
        <v>2982</v>
      </c>
      <c r="C3107" s="13" t="s">
        <v>2983</v>
      </c>
      <c r="D3107" s="13" t="s">
        <v>92</v>
      </c>
      <c r="E3107" s="12" t="s">
        <v>35</v>
      </c>
      <c r="F3107" s="14">
        <v>144000</v>
      </c>
      <c r="G3107" s="14">
        <v>99000</v>
      </c>
      <c r="H3107" s="13" t="s">
        <v>2984</v>
      </c>
      <c r="I3107" s="40" t="s">
        <v>18</v>
      </c>
      <c r="J3107" s="40" t="str">
        <f>HYPERLINK("https://stock.pstatic.net/stock-research/company/63/20260504_company_201834000.pdf","PDF")</f>
        <v>PDF</v>
      </c>
      <c r="K3107" s="12" t="s">
        <v>2985</v>
      </c>
      <c r="L3107" s="36">
        <v>0.45454545454545447</v>
      </c>
    </row>
    <row r="3108" spans="1:12" x14ac:dyDescent="0.45">
      <c r="A3108" s="12" t="s">
        <v>2937</v>
      </c>
      <c r="B3108" s="12" t="s">
        <v>1548</v>
      </c>
      <c r="C3108" s="13" t="s">
        <v>1549</v>
      </c>
      <c r="D3108" s="13" t="s">
        <v>23</v>
      </c>
      <c r="E3108" s="12" t="s">
        <v>16</v>
      </c>
      <c r="F3108" s="14">
        <v>1600000</v>
      </c>
      <c r="G3108" s="14">
        <v>1417000</v>
      </c>
      <c r="H3108" s="13" t="s">
        <v>2986</v>
      </c>
      <c r="I3108" s="40" t="s">
        <v>18</v>
      </c>
      <c r="J3108" s="40" t="str">
        <f>HYPERLINK("https://stock.pstatic.net/stock-research/company/21/20260504_company_878398000.pdf","PDF")</f>
        <v>PDF</v>
      </c>
      <c r="K3108" s="12" t="s">
        <v>2987</v>
      </c>
      <c r="L3108" s="36">
        <v>0.12914608327452359</v>
      </c>
    </row>
    <row r="3109" spans="1:12" x14ac:dyDescent="0.45">
      <c r="A3109" s="12" t="s">
        <v>2937</v>
      </c>
      <c r="B3109" s="12" t="s">
        <v>1552</v>
      </c>
      <c r="C3109" s="13" t="s">
        <v>1553</v>
      </c>
      <c r="D3109" s="13" t="s">
        <v>23</v>
      </c>
      <c r="E3109" s="12" t="s">
        <v>16</v>
      </c>
      <c r="F3109" s="14">
        <v>230000</v>
      </c>
      <c r="G3109" s="14">
        <v>183900</v>
      </c>
      <c r="H3109" s="13" t="s">
        <v>2988</v>
      </c>
      <c r="I3109" s="40" t="s">
        <v>18</v>
      </c>
      <c r="J3109" s="40" t="str">
        <f>HYPERLINK("https://stock.pstatic.net/stock-research/company/21/20260504_company_393724000.pdf","PDF")</f>
        <v>PDF</v>
      </c>
      <c r="K3109" s="12" t="s">
        <v>2989</v>
      </c>
      <c r="L3109" s="36">
        <v>0.25067971723762922</v>
      </c>
    </row>
    <row r="3110" spans="1:12" x14ac:dyDescent="0.45">
      <c r="A3110" s="12" t="s">
        <v>2937</v>
      </c>
      <c r="B3110" s="12" t="s">
        <v>32</v>
      </c>
      <c r="C3110" s="13" t="s">
        <v>33</v>
      </c>
      <c r="D3110" s="13" t="s">
        <v>34</v>
      </c>
      <c r="E3110" s="12" t="s">
        <v>35</v>
      </c>
      <c r="F3110" s="14">
        <v>1100000</v>
      </c>
      <c r="G3110" s="14">
        <v>832000</v>
      </c>
      <c r="H3110" s="13" t="s">
        <v>2990</v>
      </c>
      <c r="I3110" s="40" t="s">
        <v>18</v>
      </c>
      <c r="J3110" s="40" t="str">
        <f>HYPERLINK("https://stock.pstatic.net/stock-research/company/61/20260504_company_51153000.pdf","PDF")</f>
        <v>PDF</v>
      </c>
      <c r="K3110" s="12" t="s">
        <v>2991</v>
      </c>
      <c r="L3110" s="36">
        <v>0.32211538461538458</v>
      </c>
    </row>
    <row r="3111" spans="1:12" x14ac:dyDescent="0.45">
      <c r="A3111" s="12" t="s">
        <v>2937</v>
      </c>
      <c r="B3111" s="12" t="s">
        <v>912</v>
      </c>
      <c r="C3111" s="13" t="s">
        <v>913</v>
      </c>
      <c r="D3111" s="13" t="s">
        <v>92</v>
      </c>
      <c r="E3111" s="12" t="s">
        <v>35</v>
      </c>
      <c r="F3111" s="14">
        <v>93000</v>
      </c>
      <c r="G3111" s="14">
        <v>65000</v>
      </c>
      <c r="H3111" s="13" t="s">
        <v>2992</v>
      </c>
      <c r="I3111" s="40" t="s">
        <v>18</v>
      </c>
      <c r="J3111" s="40" t="str">
        <f>HYPERLINK("https://stock.pstatic.net/stock-research/company/63/20260504_company_462915000.pdf","PDF")</f>
        <v>PDF</v>
      </c>
      <c r="K3111" s="12" t="s">
        <v>2993</v>
      </c>
      <c r="L3111" s="36">
        <v>0.43076923076923079</v>
      </c>
    </row>
    <row r="3112" spans="1:12" x14ac:dyDescent="0.45">
      <c r="A3112" s="12" t="s">
        <v>2937</v>
      </c>
      <c r="B3112" s="12" t="s">
        <v>2365</v>
      </c>
      <c r="C3112" s="13" t="s">
        <v>2366</v>
      </c>
      <c r="D3112" s="13" t="s">
        <v>34</v>
      </c>
      <c r="E3112" s="12" t="s">
        <v>35</v>
      </c>
      <c r="F3112" s="14">
        <v>250000</v>
      </c>
      <c r="G3112" s="14">
        <v>195100</v>
      </c>
      <c r="H3112" s="13" t="s">
        <v>2994</v>
      </c>
      <c r="I3112" s="40" t="s">
        <v>18</v>
      </c>
      <c r="J3112" s="40" t="str">
        <f>HYPERLINK("https://stock.pstatic.net/stock-research/company/61/20260506_company_834557000.pdf","PDF")</f>
        <v>PDF</v>
      </c>
      <c r="K3112" s="12" t="s">
        <v>2995</v>
      </c>
      <c r="L3112" s="36">
        <v>0.28139415684264479</v>
      </c>
    </row>
    <row r="3113" spans="1:12" x14ac:dyDescent="0.45">
      <c r="A3113" s="12" t="s">
        <v>2937</v>
      </c>
      <c r="B3113" s="12" t="s">
        <v>174</v>
      </c>
      <c r="C3113" s="13" t="s">
        <v>44</v>
      </c>
      <c r="D3113" s="13" t="s">
        <v>179</v>
      </c>
      <c r="E3113" s="12" t="s">
        <v>16</v>
      </c>
      <c r="F3113" s="14">
        <v>593000</v>
      </c>
      <c r="G3113" s="14">
        <v>398000</v>
      </c>
      <c r="H3113" s="13" t="s">
        <v>2996</v>
      </c>
      <c r="I3113" s="40" t="s">
        <v>18</v>
      </c>
      <c r="J3113" s="40" t="str">
        <f>HYPERLINK("https://stock.pstatic.net/stock-research/company/64/20260504_company_445045000.pdf","PDF")</f>
        <v>PDF</v>
      </c>
      <c r="K3113" s="12" t="s">
        <v>2997</v>
      </c>
      <c r="L3113" s="36">
        <v>0.4899497487437186</v>
      </c>
    </row>
    <row r="3114" spans="1:12" x14ac:dyDescent="0.45">
      <c r="A3114" s="12" t="s">
        <v>2937</v>
      </c>
      <c r="B3114" s="12" t="s">
        <v>13</v>
      </c>
      <c r="C3114" s="13" t="s">
        <v>14</v>
      </c>
      <c r="D3114" s="13" t="s">
        <v>34</v>
      </c>
      <c r="E3114" s="12" t="s">
        <v>35</v>
      </c>
      <c r="F3114" s="14">
        <v>300000</v>
      </c>
      <c r="G3114" s="14">
        <v>220500</v>
      </c>
      <c r="H3114" s="13" t="s">
        <v>2998</v>
      </c>
      <c r="I3114" s="40" t="s">
        <v>18</v>
      </c>
      <c r="J3114" s="40" t="str">
        <f>HYPERLINK("https://stock.pstatic.net/stock-research/company/61/20260504_company_270668000.pdf","PDF")</f>
        <v>PDF</v>
      </c>
      <c r="K3114" s="12" t="s">
        <v>2999</v>
      </c>
      <c r="L3114" s="36">
        <v>0.36054421768707479</v>
      </c>
    </row>
    <row r="3115" spans="1:12" x14ac:dyDescent="0.45">
      <c r="A3115" s="12" t="s">
        <v>2937</v>
      </c>
      <c r="B3115" s="12" t="s">
        <v>174</v>
      </c>
      <c r="C3115" s="13" t="s">
        <v>44</v>
      </c>
      <c r="D3115" s="13" t="s">
        <v>34</v>
      </c>
      <c r="E3115" s="12" t="s">
        <v>35</v>
      </c>
      <c r="F3115" s="14">
        <v>550000</v>
      </c>
      <c r="G3115" s="14">
        <v>398000</v>
      </c>
      <c r="H3115" s="13" t="s">
        <v>3000</v>
      </c>
      <c r="I3115" s="40" t="s">
        <v>18</v>
      </c>
      <c r="J3115" s="40" t="str">
        <f>HYPERLINK("https://stock.pstatic.net/stock-research/company/61/20260504_company_589962000.pdf","PDF")</f>
        <v>PDF</v>
      </c>
      <c r="K3115" s="12" t="s">
        <v>3001</v>
      </c>
      <c r="L3115" s="36">
        <v>0.38190954773869351</v>
      </c>
    </row>
    <row r="3116" spans="1:12" x14ac:dyDescent="0.45">
      <c r="A3116" s="12" t="s">
        <v>2937</v>
      </c>
      <c r="B3116" s="12" t="s">
        <v>2956</v>
      </c>
      <c r="C3116" s="13" t="s">
        <v>2957</v>
      </c>
      <c r="D3116" s="13" t="s">
        <v>34</v>
      </c>
      <c r="E3116" s="12" t="s">
        <v>35</v>
      </c>
      <c r="F3116" s="14">
        <v>44000</v>
      </c>
      <c r="G3116" s="14">
        <v>38050</v>
      </c>
      <c r="H3116" s="13" t="s">
        <v>3002</v>
      </c>
      <c r="I3116" s="40" t="s">
        <v>18</v>
      </c>
      <c r="J3116" s="40" t="str">
        <f>HYPERLINK("https://stock.pstatic.net/stock-research/company/61/20260504_company_404262000.pdf","PDF")</f>
        <v>PDF</v>
      </c>
      <c r="K3116" s="12" t="s">
        <v>3003</v>
      </c>
      <c r="L3116" s="36">
        <v>0.15637319316688569</v>
      </c>
    </row>
    <row r="3117" spans="1:12" x14ac:dyDescent="0.45">
      <c r="A3117" s="12" t="s">
        <v>2937</v>
      </c>
      <c r="B3117" s="12" t="s">
        <v>2982</v>
      </c>
      <c r="C3117" s="13" t="s">
        <v>2983</v>
      </c>
      <c r="D3117" s="13" t="s">
        <v>34</v>
      </c>
      <c r="E3117" s="12" t="s">
        <v>35</v>
      </c>
      <c r="F3117" s="14">
        <v>145000</v>
      </c>
      <c r="G3117" s="14">
        <v>99000</v>
      </c>
      <c r="H3117" s="13" t="s">
        <v>3004</v>
      </c>
      <c r="I3117" s="40" t="s">
        <v>18</v>
      </c>
      <c r="J3117" s="40" t="str">
        <f>HYPERLINK("https://stock.pstatic.net/stock-research/company/61/20260504_company_334700000.pdf","PDF")</f>
        <v>PDF</v>
      </c>
      <c r="K3117" s="12" t="s">
        <v>3005</v>
      </c>
      <c r="L3117" s="36">
        <v>0.46464646464646459</v>
      </c>
    </row>
    <row r="3118" spans="1:12" x14ac:dyDescent="0.45">
      <c r="A3118" s="12" t="s">
        <v>2937</v>
      </c>
      <c r="B3118" s="12" t="s">
        <v>645</v>
      </c>
      <c r="C3118" s="13" t="s">
        <v>646</v>
      </c>
      <c r="D3118" s="13" t="s">
        <v>44</v>
      </c>
      <c r="E3118" s="12" t="s">
        <v>50</v>
      </c>
      <c r="F3118" s="13"/>
      <c r="G3118" s="14">
        <v>17810</v>
      </c>
      <c r="H3118" s="13" t="s">
        <v>3006</v>
      </c>
      <c r="I3118" s="40" t="s">
        <v>18</v>
      </c>
      <c r="J3118" s="40" t="str">
        <f>HYPERLINK("https://stock.pstatic.net/stock-research/company/39/20260504_company_439003000.pdf","PDF")</f>
        <v>PDF</v>
      </c>
      <c r="K3118" s="12" t="s">
        <v>3007</v>
      </c>
      <c r="L3118" s="12"/>
    </row>
    <row r="3119" spans="1:12" x14ac:dyDescent="0.45">
      <c r="A3119" s="12" t="s">
        <v>2937</v>
      </c>
      <c r="B3119" s="12" t="s">
        <v>2944</v>
      </c>
      <c r="C3119" s="13" t="s">
        <v>2945</v>
      </c>
      <c r="D3119" s="13" t="s">
        <v>34</v>
      </c>
      <c r="E3119" s="12" t="s">
        <v>35</v>
      </c>
      <c r="F3119" s="14">
        <v>23000</v>
      </c>
      <c r="G3119" s="14">
        <v>18730</v>
      </c>
      <c r="H3119" s="13" t="s">
        <v>3008</v>
      </c>
      <c r="I3119" s="40" t="s">
        <v>18</v>
      </c>
      <c r="J3119" s="40" t="str">
        <f>HYPERLINK("https://stock.pstatic.net/stock-research/company/61/20260504_company_41311000.pdf","PDF")</f>
        <v>PDF</v>
      </c>
      <c r="K3119" s="12" t="s">
        <v>3009</v>
      </c>
      <c r="L3119" s="36">
        <v>0.2279765082754939</v>
      </c>
    </row>
    <row r="3120" spans="1:12" x14ac:dyDescent="0.45">
      <c r="A3120" s="12" t="s">
        <v>2937</v>
      </c>
      <c r="B3120" s="12" t="s">
        <v>2944</v>
      </c>
      <c r="C3120" s="13" t="s">
        <v>2945</v>
      </c>
      <c r="D3120" s="13" t="s">
        <v>44</v>
      </c>
      <c r="E3120" s="12" t="s">
        <v>35</v>
      </c>
      <c r="F3120" s="14">
        <v>25000</v>
      </c>
      <c r="G3120" s="14">
        <v>18730</v>
      </c>
      <c r="H3120" s="13" t="s">
        <v>3010</v>
      </c>
      <c r="I3120" s="40" t="s">
        <v>18</v>
      </c>
      <c r="J3120" s="40" t="str">
        <f>HYPERLINK("https://stock.pstatic.net/stock-research/company/39/20260504_company_894497000.pdf","PDF")</f>
        <v>PDF</v>
      </c>
      <c r="K3120" s="12" t="s">
        <v>3011</v>
      </c>
      <c r="L3120" s="36">
        <v>0.33475707421249329</v>
      </c>
    </row>
    <row r="3121" spans="1:12" x14ac:dyDescent="0.45">
      <c r="A3121" s="12" t="s">
        <v>2937</v>
      </c>
      <c r="B3121" s="12" t="s">
        <v>156</v>
      </c>
      <c r="C3121" s="13" t="s">
        <v>157</v>
      </c>
      <c r="D3121" s="13" t="s">
        <v>44</v>
      </c>
      <c r="E3121" s="12" t="s">
        <v>35</v>
      </c>
      <c r="F3121" s="14">
        <v>6500</v>
      </c>
      <c r="G3121" s="14">
        <v>4230</v>
      </c>
      <c r="H3121" s="13" t="s">
        <v>3012</v>
      </c>
      <c r="I3121" s="40" t="s">
        <v>18</v>
      </c>
      <c r="J3121" s="40" t="str">
        <f>HYPERLINK("https://stock.pstatic.net/stock-research/company/39/20260504_company_596288000.pdf","PDF")</f>
        <v>PDF</v>
      </c>
      <c r="K3121" s="12" t="s">
        <v>3013</v>
      </c>
      <c r="L3121" s="36">
        <v>0.53664302600472813</v>
      </c>
    </row>
    <row r="3122" spans="1:12" x14ac:dyDescent="0.45">
      <c r="A3122" s="12" t="s">
        <v>2937</v>
      </c>
      <c r="B3122" s="12" t="s">
        <v>3014</v>
      </c>
      <c r="C3122" s="13" t="s">
        <v>3015</v>
      </c>
      <c r="D3122" s="13" t="s">
        <v>34</v>
      </c>
      <c r="E3122" s="12" t="s">
        <v>159</v>
      </c>
      <c r="F3122" s="14">
        <v>112000</v>
      </c>
      <c r="G3122" s="14">
        <v>99200</v>
      </c>
      <c r="H3122" s="13" t="s">
        <v>3016</v>
      </c>
      <c r="I3122" s="40" t="s">
        <v>18</v>
      </c>
      <c r="J3122" s="40" t="str">
        <f>HYPERLINK("https://stock.pstatic.net/stock-research/company/61/20260504_company_13259000.pdf","PDF")</f>
        <v>PDF</v>
      </c>
      <c r="K3122" s="12" t="s">
        <v>3017</v>
      </c>
      <c r="L3122" s="36">
        <v>0.1290322580645161</v>
      </c>
    </row>
    <row r="3123" spans="1:12" x14ac:dyDescent="0.45">
      <c r="A3123" s="12" t="s">
        <v>2937</v>
      </c>
      <c r="B3123" s="12" t="s">
        <v>3018</v>
      </c>
      <c r="C3123" s="13" t="s">
        <v>3019</v>
      </c>
      <c r="D3123" s="13" t="s">
        <v>44</v>
      </c>
      <c r="E3123" s="12" t="s">
        <v>35</v>
      </c>
      <c r="F3123" s="14">
        <v>22000</v>
      </c>
      <c r="G3123" s="14">
        <v>17200</v>
      </c>
      <c r="H3123" s="13" t="s">
        <v>3020</v>
      </c>
      <c r="I3123" s="40" t="s">
        <v>18</v>
      </c>
      <c r="J3123" s="40" t="str">
        <f>HYPERLINK("https://stock.pstatic.net/stock-research/company/39/20260504_company_821638000.pdf","PDF")</f>
        <v>PDF</v>
      </c>
      <c r="K3123" s="12" t="s">
        <v>3021</v>
      </c>
      <c r="L3123" s="36">
        <v>0.27906976744186052</v>
      </c>
    </row>
    <row r="3124" spans="1:12" x14ac:dyDescent="0.45">
      <c r="A3124" s="12" t="s">
        <v>2937</v>
      </c>
      <c r="B3124" s="12" t="s">
        <v>1548</v>
      </c>
      <c r="C3124" s="13" t="s">
        <v>1549</v>
      </c>
      <c r="D3124" s="13" t="s">
        <v>44</v>
      </c>
      <c r="E3124" s="12" t="s">
        <v>35</v>
      </c>
      <c r="F3124" s="14">
        <v>1900000</v>
      </c>
      <c r="G3124" s="14">
        <v>1417000</v>
      </c>
      <c r="H3124" s="13" t="s">
        <v>3022</v>
      </c>
      <c r="I3124" s="40" t="s">
        <v>18</v>
      </c>
      <c r="J3124" s="40" t="str">
        <f>HYPERLINK("https://stock.pstatic.net/stock-research/company/39/20260504_company_360887000.pdf","PDF")</f>
        <v>PDF</v>
      </c>
      <c r="K3124" s="12" t="s">
        <v>3023</v>
      </c>
      <c r="L3124" s="36">
        <v>0.34086097388849679</v>
      </c>
    </row>
    <row r="3125" spans="1:12" x14ac:dyDescent="0.45">
      <c r="A3125" s="12" t="s">
        <v>2937</v>
      </c>
      <c r="B3125" s="12" t="s">
        <v>3024</v>
      </c>
      <c r="C3125" s="13" t="s">
        <v>3025</v>
      </c>
      <c r="D3125" s="13" t="s">
        <v>44</v>
      </c>
      <c r="E3125" s="12" t="s">
        <v>50</v>
      </c>
      <c r="F3125" s="13"/>
      <c r="G3125" s="14">
        <v>87300</v>
      </c>
      <c r="H3125" s="13" t="s">
        <v>3026</v>
      </c>
      <c r="I3125" s="40" t="s">
        <v>18</v>
      </c>
      <c r="J3125" s="40" t="str">
        <f>HYPERLINK("https://stock.pstatic.net/stock-research/company/39/20260504_company_17018000.pdf","PDF")</f>
        <v>PDF</v>
      </c>
      <c r="K3125" s="12" t="s">
        <v>3027</v>
      </c>
      <c r="L3125" s="12"/>
    </row>
    <row r="3126" spans="1:12" x14ac:dyDescent="0.45">
      <c r="A3126" s="12" t="s">
        <v>2937</v>
      </c>
      <c r="B3126" s="12" t="s">
        <v>744</v>
      </c>
      <c r="C3126" s="13" t="s">
        <v>745</v>
      </c>
      <c r="D3126" s="13" t="s">
        <v>44</v>
      </c>
      <c r="E3126" s="12" t="s">
        <v>35</v>
      </c>
      <c r="F3126" s="14">
        <v>42000</v>
      </c>
      <c r="G3126" s="14">
        <v>32350</v>
      </c>
      <c r="H3126" s="13" t="s">
        <v>3028</v>
      </c>
      <c r="I3126" s="40" t="s">
        <v>18</v>
      </c>
      <c r="J3126" s="40" t="str">
        <f>HYPERLINK("https://stock.pstatic.net/stock-research/company/39/20260504_company_569833000.pdf","PDF")</f>
        <v>PDF</v>
      </c>
      <c r="K3126" s="12" t="s">
        <v>3029</v>
      </c>
      <c r="L3126" s="36">
        <v>0.29829984544049459</v>
      </c>
    </row>
    <row r="3127" spans="1:12" x14ac:dyDescent="0.45">
      <c r="A3127" s="12" t="s">
        <v>2937</v>
      </c>
      <c r="B3127" s="12" t="s">
        <v>2378</v>
      </c>
      <c r="C3127" s="13" t="s">
        <v>2379</v>
      </c>
      <c r="D3127" s="13" t="s">
        <v>44</v>
      </c>
      <c r="E3127" s="12" t="s">
        <v>35</v>
      </c>
      <c r="F3127" s="14">
        <v>590000</v>
      </c>
      <c r="G3127" s="14">
        <v>460500</v>
      </c>
      <c r="H3127" s="13" t="s">
        <v>3030</v>
      </c>
      <c r="I3127" s="40" t="s">
        <v>18</v>
      </c>
      <c r="J3127" s="40" t="str">
        <f>HYPERLINK("https://stock.pstatic.net/stock-research/company/39/20260504_company_296943000.pdf","PDF")</f>
        <v>PDF</v>
      </c>
      <c r="K3127" s="12" t="s">
        <v>3031</v>
      </c>
      <c r="L3127" s="36">
        <v>0.28121606948968508</v>
      </c>
    </row>
    <row r="3128" spans="1:12" x14ac:dyDescent="0.45">
      <c r="A3128" s="12" t="s">
        <v>2937</v>
      </c>
      <c r="B3128" s="12" t="s">
        <v>2982</v>
      </c>
      <c r="C3128" s="13" t="s">
        <v>2983</v>
      </c>
      <c r="D3128" s="13" t="s">
        <v>44</v>
      </c>
      <c r="E3128" s="12" t="s">
        <v>35</v>
      </c>
      <c r="F3128" s="14">
        <v>149000</v>
      </c>
      <c r="G3128" s="14">
        <v>99050</v>
      </c>
      <c r="H3128" s="13" t="s">
        <v>3032</v>
      </c>
      <c r="I3128" s="40" t="s">
        <v>18</v>
      </c>
      <c r="J3128" s="40" t="str">
        <f>HYPERLINK("https://stock.pstatic.net/stock-research/company/39/20260504_company_153350000.pdf","PDF")</f>
        <v>PDF</v>
      </c>
      <c r="K3128" s="12" t="s">
        <v>3033</v>
      </c>
      <c r="L3128" s="36">
        <v>0.50429076224129232</v>
      </c>
    </row>
    <row r="3129" spans="1:12" x14ac:dyDescent="0.45">
      <c r="A3129" s="12" t="s">
        <v>2937</v>
      </c>
      <c r="B3129" s="12" t="s">
        <v>2956</v>
      </c>
      <c r="C3129" s="13" t="s">
        <v>2957</v>
      </c>
      <c r="D3129" s="13" t="s">
        <v>44</v>
      </c>
      <c r="E3129" s="12" t="s">
        <v>35</v>
      </c>
      <c r="F3129" s="14">
        <v>47000</v>
      </c>
      <c r="G3129" s="14">
        <v>38050</v>
      </c>
      <c r="H3129" s="13" t="s">
        <v>3034</v>
      </c>
      <c r="I3129" s="40" t="s">
        <v>18</v>
      </c>
      <c r="J3129" s="40" t="str">
        <f>HYPERLINK("https://stock.pstatic.net/stock-research/company/39/20260504_company_44872000.pdf","PDF")</f>
        <v>PDF</v>
      </c>
      <c r="K3129" s="12" t="s">
        <v>3035</v>
      </c>
      <c r="L3129" s="36">
        <v>0.23521681997371879</v>
      </c>
    </row>
    <row r="3130" spans="1:12" x14ac:dyDescent="0.45">
      <c r="A3130" s="12" t="s">
        <v>2937</v>
      </c>
      <c r="B3130" s="12" t="s">
        <v>3036</v>
      </c>
      <c r="C3130" s="13" t="s">
        <v>3037</v>
      </c>
      <c r="D3130" s="13" t="s">
        <v>44</v>
      </c>
      <c r="E3130" s="12" t="s">
        <v>50</v>
      </c>
      <c r="F3130" s="13"/>
      <c r="G3130" s="14">
        <v>32200</v>
      </c>
      <c r="H3130" s="13" t="s">
        <v>3038</v>
      </c>
      <c r="I3130" s="40" t="s">
        <v>18</v>
      </c>
      <c r="J3130" s="40" t="str">
        <f>HYPERLINK("https://stock.pstatic.net/stock-research/company/39/20260504_company_558251000.pdf","PDF")</f>
        <v>PDF</v>
      </c>
      <c r="K3130" s="12" t="s">
        <v>3039</v>
      </c>
      <c r="L3130" s="12"/>
    </row>
    <row r="3131" spans="1:12" x14ac:dyDescent="0.45">
      <c r="A3131" s="12" t="s">
        <v>2937</v>
      </c>
      <c r="B3131" s="12" t="s">
        <v>383</v>
      </c>
      <c r="C3131" s="13" t="s">
        <v>384</v>
      </c>
      <c r="D3131" s="13" t="s">
        <v>15</v>
      </c>
      <c r="E3131" s="12" t="s">
        <v>50</v>
      </c>
      <c r="F3131" s="13"/>
      <c r="G3131" s="14">
        <v>102200</v>
      </c>
      <c r="H3131" s="13" t="s">
        <v>3040</v>
      </c>
      <c r="I3131" s="40" t="s">
        <v>18</v>
      </c>
      <c r="J3131" s="40" t="str">
        <f>HYPERLINK("https://stock.pstatic.net/stock-research/company/56/20260504_company_113947000.pdf","PDF")</f>
        <v>PDF</v>
      </c>
      <c r="K3131" s="12" t="s">
        <v>3041</v>
      </c>
      <c r="L3131" s="12"/>
    </row>
    <row r="3132" spans="1:12" x14ac:dyDescent="0.45">
      <c r="A3132" s="12" t="s">
        <v>2937</v>
      </c>
      <c r="B3132" s="12" t="s">
        <v>1781</v>
      </c>
      <c r="C3132" s="13" t="s">
        <v>1782</v>
      </c>
      <c r="D3132" s="13" t="s">
        <v>15</v>
      </c>
      <c r="E3132" s="12" t="s">
        <v>16</v>
      </c>
      <c r="F3132" s="14">
        <v>190000</v>
      </c>
      <c r="G3132" s="14">
        <v>140900</v>
      </c>
      <c r="H3132" s="13" t="s">
        <v>3042</v>
      </c>
      <c r="I3132" s="40" t="s">
        <v>18</v>
      </c>
      <c r="J3132" s="40" t="str">
        <f>HYPERLINK("https://stock.pstatic.net/stock-research/company/56/20260504_company_341687000.pdf","PDF")</f>
        <v>PDF</v>
      </c>
      <c r="K3132" s="12" t="s">
        <v>3043</v>
      </c>
      <c r="L3132" s="36">
        <v>0.34847409510290989</v>
      </c>
    </row>
    <row r="3133" spans="1:12" x14ac:dyDescent="0.45">
      <c r="A3133" s="12" t="s">
        <v>2937</v>
      </c>
      <c r="B3133" s="12" t="s">
        <v>2887</v>
      </c>
      <c r="C3133" s="13" t="s">
        <v>2888</v>
      </c>
      <c r="D3133" s="13" t="s">
        <v>15</v>
      </c>
      <c r="E3133" s="12" t="s">
        <v>16</v>
      </c>
      <c r="F3133" s="14">
        <v>480000</v>
      </c>
      <c r="G3133" s="14">
        <v>397000</v>
      </c>
      <c r="H3133" s="13" t="s">
        <v>3044</v>
      </c>
      <c r="I3133" s="40" t="s">
        <v>18</v>
      </c>
      <c r="J3133" s="40" t="str">
        <f>HYPERLINK("https://stock.pstatic.net/stock-research/company/56/20260504_company_784197000.pdf","PDF")</f>
        <v>PDF</v>
      </c>
      <c r="K3133" s="12" t="s">
        <v>3045</v>
      </c>
      <c r="L3133" s="36">
        <v>0.20906801007556669</v>
      </c>
    </row>
    <row r="3134" spans="1:12" x14ac:dyDescent="0.45">
      <c r="A3134" s="12" t="s">
        <v>2937</v>
      </c>
      <c r="B3134" s="12" t="s">
        <v>3024</v>
      </c>
      <c r="C3134" s="13" t="s">
        <v>3025</v>
      </c>
      <c r="D3134" s="13" t="s">
        <v>15</v>
      </c>
      <c r="E3134" s="12" t="s">
        <v>16</v>
      </c>
      <c r="F3134" s="14">
        <v>110000</v>
      </c>
      <c r="G3134" s="14">
        <v>87300</v>
      </c>
      <c r="H3134" s="13" t="s">
        <v>3046</v>
      </c>
      <c r="I3134" s="40" t="s">
        <v>18</v>
      </c>
      <c r="J3134" s="40" t="str">
        <f>HYPERLINK("https://stock.pstatic.net/stock-research/company/56/20260504_company_427162000.pdf","PDF")</f>
        <v>PDF</v>
      </c>
      <c r="K3134" s="12" t="s">
        <v>3047</v>
      </c>
      <c r="L3134" s="36">
        <v>0.26002290950744561</v>
      </c>
    </row>
    <row r="3135" spans="1:12" x14ac:dyDescent="0.45">
      <c r="A3135" s="12" t="s">
        <v>2937</v>
      </c>
      <c r="B3135" s="12" t="s">
        <v>3014</v>
      </c>
      <c r="C3135" s="13" t="s">
        <v>3015</v>
      </c>
      <c r="D3135" s="13" t="s">
        <v>44</v>
      </c>
      <c r="E3135" s="12" t="s">
        <v>35</v>
      </c>
      <c r="F3135" s="14">
        <v>130000</v>
      </c>
      <c r="G3135" s="14">
        <v>99200</v>
      </c>
      <c r="H3135" s="13" t="s">
        <v>3048</v>
      </c>
      <c r="I3135" s="40" t="s">
        <v>18</v>
      </c>
      <c r="J3135" s="40" t="str">
        <f>HYPERLINK("https://stock.pstatic.net/stock-research/company/39/20260504_company_989766000.pdf","PDF")</f>
        <v>PDF</v>
      </c>
      <c r="K3135" s="12" t="s">
        <v>3049</v>
      </c>
      <c r="L3135" s="36">
        <v>0.31048387096774188</v>
      </c>
    </row>
    <row r="3136" spans="1:12" x14ac:dyDescent="0.45">
      <c r="A3136" s="12" t="s">
        <v>2937</v>
      </c>
      <c r="B3136" s="12" t="s">
        <v>1036</v>
      </c>
      <c r="C3136" s="13" t="s">
        <v>1037</v>
      </c>
      <c r="D3136" s="13" t="s">
        <v>53</v>
      </c>
      <c r="E3136" s="12" t="s">
        <v>16</v>
      </c>
      <c r="F3136" s="14">
        <v>16000</v>
      </c>
      <c r="G3136" s="14">
        <v>12020</v>
      </c>
      <c r="H3136" s="13" t="s">
        <v>3050</v>
      </c>
      <c r="I3136" s="40" t="s">
        <v>18</v>
      </c>
      <c r="J3136" s="40" t="str">
        <f>HYPERLINK("https://stock.pstatic.net/stock-research/company/40/20260504_company_352039000.pdf","PDF")</f>
        <v>PDF</v>
      </c>
      <c r="K3136" s="12" t="s">
        <v>3051</v>
      </c>
      <c r="L3136" s="36">
        <v>0.33111480865224618</v>
      </c>
    </row>
    <row r="3137" spans="1:12" x14ac:dyDescent="0.45">
      <c r="A3137" s="12" t="s">
        <v>2937</v>
      </c>
      <c r="B3137" s="12" t="s">
        <v>2944</v>
      </c>
      <c r="C3137" s="13" t="s">
        <v>2945</v>
      </c>
      <c r="D3137" s="13" t="s">
        <v>15</v>
      </c>
      <c r="E3137" s="12" t="s">
        <v>16</v>
      </c>
      <c r="F3137" s="14">
        <v>26000</v>
      </c>
      <c r="G3137" s="14">
        <v>18730</v>
      </c>
      <c r="H3137" s="13" t="s">
        <v>3052</v>
      </c>
      <c r="I3137" s="40" t="s">
        <v>18</v>
      </c>
      <c r="J3137" s="40" t="str">
        <f>HYPERLINK("https://stock.pstatic.net/stock-research/company/56/20260504_company_587121000.pdf","PDF")</f>
        <v>PDF</v>
      </c>
      <c r="K3137" s="12" t="s">
        <v>3053</v>
      </c>
      <c r="L3137" s="36">
        <v>0.38814735718099308</v>
      </c>
    </row>
    <row r="3138" spans="1:12" x14ac:dyDescent="0.45">
      <c r="A3138" s="29" t="s">
        <v>2937</v>
      </c>
      <c r="B3138" s="29" t="s">
        <v>3054</v>
      </c>
      <c r="C3138" s="35" t="s">
        <v>3055</v>
      </c>
      <c r="D3138" s="35" t="s">
        <v>207</v>
      </c>
      <c r="E3138" s="29" t="s">
        <v>50</v>
      </c>
      <c r="F3138" s="35"/>
      <c r="G3138" s="35"/>
      <c r="H3138" s="35" t="s">
        <v>3056</v>
      </c>
      <c r="I3138" s="40" t="s">
        <v>18</v>
      </c>
      <c r="J3138" s="40" t="str">
        <f>HYPERLINK("https://stock.pstatic.net/stock-research/company/75/20260504_company_454212000.pdf","PDF")</f>
        <v>PDF</v>
      </c>
      <c r="K3138" s="29" t="s">
        <v>3057</v>
      </c>
      <c r="L3138" s="29"/>
    </row>
    <row r="3139" spans="1:12" x14ac:dyDescent="0.45">
      <c r="A3139" s="29" t="s">
        <v>2937</v>
      </c>
      <c r="B3139" s="29" t="s">
        <v>3058</v>
      </c>
      <c r="C3139" s="35" t="s">
        <v>3059</v>
      </c>
      <c r="D3139" s="35" t="s">
        <v>202</v>
      </c>
      <c r="E3139" s="29" t="s">
        <v>50</v>
      </c>
      <c r="F3139" s="35"/>
      <c r="G3139" s="35"/>
      <c r="H3139" s="35" t="s">
        <v>3060</v>
      </c>
      <c r="I3139" s="40" t="s">
        <v>18</v>
      </c>
      <c r="J3139" s="40" t="str">
        <f>HYPERLINK("https://stock.pstatic.net/stock-research/company/69/20260504_company_745128000.pdf","PDF")</f>
        <v>PDF</v>
      </c>
      <c r="K3139" s="29" t="s">
        <v>3061</v>
      </c>
      <c r="L3139" s="29"/>
    </row>
    <row r="3140" spans="1:12" x14ac:dyDescent="0.45">
      <c r="A3140" s="29" t="s">
        <v>2937</v>
      </c>
      <c r="B3140" s="29" t="s">
        <v>3062</v>
      </c>
      <c r="C3140" s="35" t="s">
        <v>3063</v>
      </c>
      <c r="D3140" s="35" t="s">
        <v>202</v>
      </c>
      <c r="E3140" s="29" t="s">
        <v>50</v>
      </c>
      <c r="F3140" s="35"/>
      <c r="G3140" s="35"/>
      <c r="H3140" s="35" t="s">
        <v>3064</v>
      </c>
      <c r="I3140" s="40" t="s">
        <v>18</v>
      </c>
      <c r="J3140" s="40" t="str">
        <f>HYPERLINK("https://stock.pstatic.net/stock-research/company/69/20260504_company_572780000.pdf","PDF")</f>
        <v>PDF</v>
      </c>
      <c r="K3140" s="29" t="s">
        <v>3065</v>
      </c>
      <c r="L3140" s="29"/>
    </row>
    <row r="3141" spans="1:12" x14ac:dyDescent="0.45">
      <c r="A3141" s="29" t="s">
        <v>2937</v>
      </c>
      <c r="B3141" s="29" t="s">
        <v>3066</v>
      </c>
      <c r="C3141" s="35" t="s">
        <v>3067</v>
      </c>
      <c r="D3141" s="35" t="s">
        <v>207</v>
      </c>
      <c r="E3141" s="29" t="s">
        <v>50</v>
      </c>
      <c r="F3141" s="35"/>
      <c r="G3141" s="35"/>
      <c r="H3141" s="35" t="s">
        <v>3068</v>
      </c>
      <c r="I3141" s="40" t="s">
        <v>18</v>
      </c>
      <c r="J3141" s="40" t="str">
        <f>HYPERLINK("https://stock.pstatic.net/stock-research/company/75/20260504_company_830107000.pdf","PDF")</f>
        <v>PDF</v>
      </c>
      <c r="K3141" s="29" t="s">
        <v>3069</v>
      </c>
      <c r="L3141" s="29"/>
    </row>
    <row r="3142" spans="1:12" x14ac:dyDescent="0.45">
      <c r="A3142" s="29" t="s">
        <v>2937</v>
      </c>
      <c r="B3142" s="29" t="s">
        <v>3070</v>
      </c>
      <c r="C3142" s="35" t="s">
        <v>3071</v>
      </c>
      <c r="D3142" s="35" t="s">
        <v>202</v>
      </c>
      <c r="E3142" s="29" t="s">
        <v>50</v>
      </c>
      <c r="F3142" s="35"/>
      <c r="G3142" s="35"/>
      <c r="H3142" s="35" t="s">
        <v>3072</v>
      </c>
      <c r="I3142" s="40" t="s">
        <v>18</v>
      </c>
      <c r="J3142" s="40" t="str">
        <f>HYPERLINK("https://stock.pstatic.net/stock-research/company/69/20260504_company_756861000.pdf","PDF")</f>
        <v>PDF</v>
      </c>
      <c r="K3142" s="29" t="s">
        <v>3073</v>
      </c>
      <c r="L3142" s="29"/>
    </row>
    <row r="3143" spans="1:12" x14ac:dyDescent="0.45">
      <c r="A3143" s="29" t="s">
        <v>2937</v>
      </c>
      <c r="B3143" s="29" t="s">
        <v>3074</v>
      </c>
      <c r="C3143" s="35" t="s">
        <v>3075</v>
      </c>
      <c r="D3143" s="35" t="s">
        <v>207</v>
      </c>
      <c r="E3143" s="29" t="s">
        <v>50</v>
      </c>
      <c r="F3143" s="35"/>
      <c r="G3143" s="35"/>
      <c r="H3143" s="35" t="s">
        <v>3076</v>
      </c>
      <c r="I3143" s="40" t="s">
        <v>18</v>
      </c>
      <c r="J3143" s="40" t="str">
        <f>HYPERLINK("https://stock.pstatic.net/stock-research/company/75/20260504_company_554567000.pdf","PDF")</f>
        <v>PDF</v>
      </c>
      <c r="K3143" s="29" t="s">
        <v>3077</v>
      </c>
      <c r="L3143" s="29"/>
    </row>
    <row r="3144" spans="1:12" x14ac:dyDescent="0.45">
      <c r="A3144" s="21" t="s">
        <v>3078</v>
      </c>
      <c r="B3144" s="21" t="s">
        <v>3079</v>
      </c>
      <c r="C3144" s="22" t="s">
        <v>3080</v>
      </c>
      <c r="D3144" s="22" t="s">
        <v>34</v>
      </c>
      <c r="E3144" s="21" t="s">
        <v>159</v>
      </c>
      <c r="F3144" s="23">
        <v>72000</v>
      </c>
      <c r="G3144" s="23">
        <v>73100</v>
      </c>
      <c r="H3144" s="22" t="s">
        <v>3081</v>
      </c>
      <c r="I3144" s="40" t="s">
        <v>18</v>
      </c>
      <c r="J3144" s="40" t="str">
        <f>HYPERLINK("https://stock.pstatic.net/stock-research/company/61/20260430_company_208380000.pdf","PDF")</f>
        <v>PDF</v>
      </c>
      <c r="K3144" s="21" t="s">
        <v>3082</v>
      </c>
      <c r="L3144" s="24">
        <v>-1.5047879616963061E-2</v>
      </c>
    </row>
    <row r="3145" spans="1:12" x14ac:dyDescent="0.45">
      <c r="A3145" s="21" t="s">
        <v>3078</v>
      </c>
      <c r="B3145" s="21" t="s">
        <v>2950</v>
      </c>
      <c r="C3145" s="22" t="s">
        <v>2951</v>
      </c>
      <c r="D3145" s="22" t="s">
        <v>53</v>
      </c>
      <c r="E3145" s="21" t="s">
        <v>16</v>
      </c>
      <c r="F3145" s="23">
        <v>160000</v>
      </c>
      <c r="G3145" s="23">
        <v>129200</v>
      </c>
      <c r="H3145" s="22" t="s">
        <v>3083</v>
      </c>
      <c r="I3145" s="40" t="s">
        <v>18</v>
      </c>
      <c r="J3145" s="40" t="str">
        <f>HYPERLINK("https://stock.pstatic.net/stock-research/company/40/20260506_company_701313000.pdf","PDF")</f>
        <v>PDF</v>
      </c>
      <c r="K3145" s="21" t="s">
        <v>3084</v>
      </c>
      <c r="L3145" s="24">
        <v>0.238390092879257</v>
      </c>
    </row>
    <row r="3146" spans="1:12" x14ac:dyDescent="0.45">
      <c r="A3146" s="21" t="s">
        <v>3078</v>
      </c>
      <c r="B3146" s="21" t="s">
        <v>1670</v>
      </c>
      <c r="C3146" s="22" t="s">
        <v>1671</v>
      </c>
      <c r="D3146" s="22" t="s">
        <v>23</v>
      </c>
      <c r="E3146" s="21" t="s">
        <v>16</v>
      </c>
      <c r="F3146" s="23">
        <v>200000</v>
      </c>
      <c r="G3146" s="23">
        <v>150200</v>
      </c>
      <c r="H3146" s="22" t="s">
        <v>3085</v>
      </c>
      <c r="I3146" s="40" t="s">
        <v>18</v>
      </c>
      <c r="J3146" s="40" t="str">
        <f>HYPERLINK("https://stock.pstatic.net/stock-research/company/21/20260430_company_269798000.pdf","PDF")</f>
        <v>PDF</v>
      </c>
      <c r="K3146" s="21" t="s">
        <v>3086</v>
      </c>
      <c r="L3146" s="24">
        <v>0.33155792276964052</v>
      </c>
    </row>
    <row r="3147" spans="1:12" x14ac:dyDescent="0.45">
      <c r="A3147" s="21" t="s">
        <v>3078</v>
      </c>
      <c r="B3147" s="21" t="s">
        <v>3087</v>
      </c>
      <c r="C3147" s="22" t="s">
        <v>3088</v>
      </c>
      <c r="D3147" s="22" t="s">
        <v>179</v>
      </c>
      <c r="E3147" s="21" t="s">
        <v>16</v>
      </c>
      <c r="F3147" s="23">
        <v>340000</v>
      </c>
      <c r="G3147" s="23">
        <v>268500</v>
      </c>
      <c r="H3147" s="22" t="s">
        <v>3089</v>
      </c>
      <c r="I3147" s="40" t="s">
        <v>18</v>
      </c>
      <c r="J3147" s="40" t="str">
        <f>HYPERLINK("https://stock.pstatic.net/stock-research/company/64/20260430_company_457410000.pdf","PDF")</f>
        <v>PDF</v>
      </c>
      <c r="K3147" s="21" t="s">
        <v>3090</v>
      </c>
      <c r="L3147" s="24">
        <v>0.26629422718808188</v>
      </c>
    </row>
    <row r="3148" spans="1:12" x14ac:dyDescent="0.45">
      <c r="A3148" s="21" t="s">
        <v>3078</v>
      </c>
      <c r="B3148" s="21" t="s">
        <v>72</v>
      </c>
      <c r="C3148" s="22" t="s">
        <v>73</v>
      </c>
      <c r="D3148" s="22" t="s">
        <v>23</v>
      </c>
      <c r="E3148" s="21" t="s">
        <v>16</v>
      </c>
      <c r="F3148" s="23">
        <v>400000</v>
      </c>
      <c r="G3148" s="23">
        <v>308500</v>
      </c>
      <c r="H3148" s="22" t="s">
        <v>3091</v>
      </c>
      <c r="I3148" s="40" t="s">
        <v>18</v>
      </c>
      <c r="J3148" s="40" t="str">
        <f>HYPERLINK("https://stock.pstatic.net/stock-research/company/21/20260430_company_86085000.pdf","PDF")</f>
        <v>PDF</v>
      </c>
      <c r="K3148" s="21" t="s">
        <v>3092</v>
      </c>
      <c r="L3148" s="24">
        <v>0.29659643435980548</v>
      </c>
    </row>
    <row r="3149" spans="1:12" x14ac:dyDescent="0.45">
      <c r="A3149" s="21" t="s">
        <v>3078</v>
      </c>
      <c r="B3149" s="21" t="s">
        <v>3093</v>
      </c>
      <c r="C3149" s="22" t="s">
        <v>3094</v>
      </c>
      <c r="D3149" s="22" t="s">
        <v>23</v>
      </c>
      <c r="E3149" s="21" t="s">
        <v>16</v>
      </c>
      <c r="F3149" s="23">
        <v>8100</v>
      </c>
      <c r="G3149" s="23">
        <v>6760</v>
      </c>
      <c r="H3149" s="22" t="s">
        <v>3095</v>
      </c>
      <c r="I3149" s="40" t="s">
        <v>18</v>
      </c>
      <c r="J3149" s="40" t="str">
        <f>HYPERLINK("https://stock.pstatic.net/stock-research/company/21/20260430_company_625432000.pdf","PDF")</f>
        <v>PDF</v>
      </c>
      <c r="K3149" s="21" t="s">
        <v>3096</v>
      </c>
      <c r="L3149" s="24">
        <v>0.1982248520710059</v>
      </c>
    </row>
    <row r="3150" spans="1:12" x14ac:dyDescent="0.45">
      <c r="A3150" s="21" t="s">
        <v>3078</v>
      </c>
      <c r="B3150" s="21" t="s">
        <v>1065</v>
      </c>
      <c r="C3150" s="22" t="s">
        <v>1066</v>
      </c>
      <c r="D3150" s="22" t="s">
        <v>23</v>
      </c>
      <c r="E3150" s="21" t="s">
        <v>16</v>
      </c>
      <c r="F3150" s="23">
        <v>410000</v>
      </c>
      <c r="G3150" s="23">
        <v>316000</v>
      </c>
      <c r="H3150" s="22" t="s">
        <v>3097</v>
      </c>
      <c r="I3150" s="40" t="s">
        <v>18</v>
      </c>
      <c r="J3150" s="40" t="str">
        <f>HYPERLINK("https://stock.pstatic.net/stock-research/company/21/20260430_company_837290000.pdf","PDF")</f>
        <v>PDF</v>
      </c>
      <c r="K3150" s="21" t="s">
        <v>3098</v>
      </c>
      <c r="L3150" s="24">
        <v>0.29746835443037972</v>
      </c>
    </row>
    <row r="3151" spans="1:12" x14ac:dyDescent="0.45">
      <c r="A3151" s="21" t="s">
        <v>3078</v>
      </c>
      <c r="B3151" s="21" t="s">
        <v>2950</v>
      </c>
      <c r="C3151" s="22" t="s">
        <v>2951</v>
      </c>
      <c r="D3151" s="22" t="s">
        <v>44</v>
      </c>
      <c r="E3151" s="21" t="s">
        <v>35</v>
      </c>
      <c r="F3151" s="23">
        <v>158000</v>
      </c>
      <c r="G3151" s="23">
        <v>129200</v>
      </c>
      <c r="H3151" s="22" t="s">
        <v>3099</v>
      </c>
      <c r="I3151" s="40" t="s">
        <v>18</v>
      </c>
      <c r="J3151" s="40" t="str">
        <f>HYPERLINK("https://stock.pstatic.net/stock-research/company/39/20260430_company_751391000.pdf","PDF")</f>
        <v>PDF</v>
      </c>
      <c r="K3151" s="21" t="s">
        <v>3100</v>
      </c>
      <c r="L3151" s="24">
        <v>0.22291021671826619</v>
      </c>
    </row>
    <row r="3152" spans="1:12" x14ac:dyDescent="0.45">
      <c r="A3152" s="21" t="s">
        <v>3078</v>
      </c>
      <c r="B3152" s="21" t="s">
        <v>3101</v>
      </c>
      <c r="C3152" s="22" t="s">
        <v>3102</v>
      </c>
      <c r="D3152" s="22" t="s">
        <v>44</v>
      </c>
      <c r="E3152" s="21" t="s">
        <v>45</v>
      </c>
      <c r="F3152" s="23">
        <v>240000</v>
      </c>
      <c r="G3152" s="23">
        <v>212500</v>
      </c>
      <c r="H3152" s="22" t="s">
        <v>3103</v>
      </c>
      <c r="I3152" s="40" t="s">
        <v>18</v>
      </c>
      <c r="J3152" s="40" t="str">
        <f>HYPERLINK("https://stock.pstatic.net/stock-research/company/39/20260430_company_174855000.pdf","PDF")</f>
        <v>PDF</v>
      </c>
      <c r="K3152" s="21" t="s">
        <v>3104</v>
      </c>
      <c r="L3152" s="24">
        <v>0.12941176470588239</v>
      </c>
    </row>
    <row r="3153" spans="1:12" x14ac:dyDescent="0.45">
      <c r="A3153" s="21" t="s">
        <v>3078</v>
      </c>
      <c r="B3153" s="21" t="s">
        <v>3105</v>
      </c>
      <c r="C3153" s="22" t="s">
        <v>3106</v>
      </c>
      <c r="D3153" s="22" t="s">
        <v>44</v>
      </c>
      <c r="E3153" s="21" t="s">
        <v>35</v>
      </c>
      <c r="F3153" s="23">
        <v>370000</v>
      </c>
      <c r="G3153" s="23">
        <v>252500</v>
      </c>
      <c r="H3153" s="22" t="s">
        <v>3107</v>
      </c>
      <c r="I3153" s="40" t="s">
        <v>18</v>
      </c>
      <c r="J3153" s="40" t="str">
        <f>HYPERLINK("https://stock.pstatic.net/stock-research/company/39/20260430_company_432370000.pdf","PDF")</f>
        <v>PDF</v>
      </c>
      <c r="K3153" s="21" t="s">
        <v>3108</v>
      </c>
      <c r="L3153" s="24">
        <v>0.46534653465346543</v>
      </c>
    </row>
    <row r="3154" spans="1:12" x14ac:dyDescent="0.45">
      <c r="A3154" s="21" t="s">
        <v>3078</v>
      </c>
      <c r="B3154" s="21" t="s">
        <v>2225</v>
      </c>
      <c r="C3154" s="22" t="s">
        <v>2226</v>
      </c>
      <c r="D3154" s="22" t="s">
        <v>44</v>
      </c>
      <c r="E3154" s="21" t="s">
        <v>35</v>
      </c>
      <c r="F3154" s="23">
        <v>1250000</v>
      </c>
      <c r="G3154" s="23">
        <v>968000</v>
      </c>
      <c r="H3154" s="22" t="s">
        <v>3109</v>
      </c>
      <c r="I3154" s="40" t="s">
        <v>18</v>
      </c>
      <c r="J3154" s="40" t="str">
        <f>HYPERLINK("https://stock.pstatic.net/stock-research/company/39/20260430_company_809777000.pdf","PDF")</f>
        <v>PDF</v>
      </c>
      <c r="K3154" s="21" t="s">
        <v>3110</v>
      </c>
      <c r="L3154" s="24">
        <v>0.29132231404958681</v>
      </c>
    </row>
    <row r="3155" spans="1:12" x14ac:dyDescent="0.45">
      <c r="A3155" s="21" t="s">
        <v>3078</v>
      </c>
      <c r="B3155" s="21" t="s">
        <v>72</v>
      </c>
      <c r="C3155" s="22" t="s">
        <v>73</v>
      </c>
      <c r="D3155" s="22" t="s">
        <v>92</v>
      </c>
      <c r="E3155" s="21" t="s">
        <v>35</v>
      </c>
      <c r="F3155" s="23">
        <v>380000</v>
      </c>
      <c r="G3155" s="23">
        <v>308500</v>
      </c>
      <c r="H3155" s="22" t="s">
        <v>3111</v>
      </c>
      <c r="I3155" s="40" t="s">
        <v>18</v>
      </c>
      <c r="J3155" s="40" t="str">
        <f>HYPERLINK("https://stock.pstatic.net/stock-research/company/63/20260430_company_769684000.pdf","PDF")</f>
        <v>PDF</v>
      </c>
      <c r="K3155" s="21" t="s">
        <v>3112</v>
      </c>
      <c r="L3155" s="24">
        <v>0.2317666126418152</v>
      </c>
    </row>
    <row r="3156" spans="1:12" x14ac:dyDescent="0.45">
      <c r="A3156" s="21" t="s">
        <v>3078</v>
      </c>
      <c r="B3156" s="21" t="s">
        <v>3113</v>
      </c>
      <c r="C3156" s="22" t="s">
        <v>3114</v>
      </c>
      <c r="D3156" s="22" t="s">
        <v>15</v>
      </c>
      <c r="E3156" s="21" t="s">
        <v>385</v>
      </c>
      <c r="F3156" s="23">
        <v>56000</v>
      </c>
      <c r="G3156" s="23">
        <v>56700</v>
      </c>
      <c r="H3156" s="22" t="s">
        <v>3115</v>
      </c>
      <c r="I3156" s="40" t="s">
        <v>18</v>
      </c>
      <c r="J3156" s="40" t="str">
        <f>HYPERLINK("https://stock.pstatic.net/stock-research/company/56/20260430_company_55240000.pdf","PDF")</f>
        <v>PDF</v>
      </c>
      <c r="K3156" s="21" t="s">
        <v>3116</v>
      </c>
      <c r="L3156" s="24">
        <v>-1.234567901234568E-2</v>
      </c>
    </row>
    <row r="3157" spans="1:12" x14ac:dyDescent="0.45">
      <c r="A3157" s="21" t="s">
        <v>3078</v>
      </c>
      <c r="B3157" s="21" t="s">
        <v>3101</v>
      </c>
      <c r="C3157" s="22" t="s">
        <v>3102</v>
      </c>
      <c r="D3157" s="22" t="s">
        <v>53</v>
      </c>
      <c r="E3157" s="21" t="s">
        <v>50</v>
      </c>
      <c r="F3157" s="23">
        <v>220000</v>
      </c>
      <c r="G3157" s="23">
        <v>212500</v>
      </c>
      <c r="H3157" s="22" t="s">
        <v>3117</v>
      </c>
      <c r="I3157" s="40" t="s">
        <v>18</v>
      </c>
      <c r="J3157" s="40" t="str">
        <f>HYPERLINK("https://stock.pstatic.net/stock-research/company/40/20260430_company_406559000.pdf","PDF")</f>
        <v>PDF</v>
      </c>
      <c r="K3157" s="21" t="s">
        <v>3118</v>
      </c>
      <c r="L3157" s="24">
        <v>3.5294117647058823E-2</v>
      </c>
    </row>
    <row r="3158" spans="1:12" x14ac:dyDescent="0.45">
      <c r="A3158" s="21" t="s">
        <v>3078</v>
      </c>
      <c r="B3158" s="21" t="s">
        <v>792</v>
      </c>
      <c r="C3158" s="22" t="s">
        <v>793</v>
      </c>
      <c r="D3158" s="22" t="s">
        <v>92</v>
      </c>
      <c r="E3158" s="21" t="s">
        <v>159</v>
      </c>
      <c r="F3158" s="23">
        <v>55000</v>
      </c>
      <c r="G3158" s="23">
        <v>58600</v>
      </c>
      <c r="H3158" s="22" t="s">
        <v>3119</v>
      </c>
      <c r="I3158" s="40" t="s">
        <v>18</v>
      </c>
      <c r="J3158" s="40" t="str">
        <f>HYPERLINK("https://stock.pstatic.net/stock-research/company/63/20260430_company_656465000.pdf","PDF")</f>
        <v>PDF</v>
      </c>
      <c r="K3158" s="21" t="s">
        <v>3120</v>
      </c>
      <c r="L3158" s="24">
        <v>-6.1433447098976107E-2</v>
      </c>
    </row>
    <row r="3159" spans="1:12" x14ac:dyDescent="0.45">
      <c r="A3159" s="21" t="s">
        <v>3078</v>
      </c>
      <c r="B3159" s="21" t="s">
        <v>2621</v>
      </c>
      <c r="C3159" s="22" t="s">
        <v>2622</v>
      </c>
      <c r="D3159" s="22" t="s">
        <v>53</v>
      </c>
      <c r="E3159" s="21" t="s">
        <v>16</v>
      </c>
      <c r="F3159" s="23">
        <v>10500</v>
      </c>
      <c r="G3159" s="23">
        <v>8100</v>
      </c>
      <c r="H3159" s="22" t="s">
        <v>3121</v>
      </c>
      <c r="I3159" s="40" t="s">
        <v>18</v>
      </c>
      <c r="J3159" s="40" t="str">
        <f>HYPERLINK("https://stock.pstatic.net/stock-research/company/40/20260430_company_744214000.pdf","PDF")</f>
        <v>PDF</v>
      </c>
      <c r="K3159" s="21" t="s">
        <v>3122</v>
      </c>
      <c r="L3159" s="24">
        <v>0.29629629629629628</v>
      </c>
    </row>
    <row r="3160" spans="1:12" x14ac:dyDescent="0.45">
      <c r="A3160" s="21" t="s">
        <v>3078</v>
      </c>
      <c r="B3160" s="21" t="s">
        <v>3123</v>
      </c>
      <c r="C3160" s="22" t="s">
        <v>3124</v>
      </c>
      <c r="D3160" s="22" t="s">
        <v>15</v>
      </c>
      <c r="E3160" s="21" t="s">
        <v>50</v>
      </c>
      <c r="F3160" s="22"/>
      <c r="G3160" s="23">
        <v>81100</v>
      </c>
      <c r="H3160" s="22" t="s">
        <v>3125</v>
      </c>
      <c r="I3160" s="40" t="s">
        <v>18</v>
      </c>
      <c r="J3160" s="40" t="str">
        <f>HYPERLINK("https://stock.pstatic.net/stock-research/company/56/20260430_company_300337000.pdf","PDF")</f>
        <v>PDF</v>
      </c>
      <c r="K3160" s="21" t="s">
        <v>3126</v>
      </c>
      <c r="L3160" s="21"/>
    </row>
    <row r="3161" spans="1:12" x14ac:dyDescent="0.45">
      <c r="A3161" s="21" t="s">
        <v>3078</v>
      </c>
      <c r="B3161" s="21" t="s">
        <v>434</v>
      </c>
      <c r="C3161" s="22" t="s">
        <v>435</v>
      </c>
      <c r="D3161" s="22" t="s">
        <v>15</v>
      </c>
      <c r="E3161" s="21" t="s">
        <v>16</v>
      </c>
      <c r="F3161" s="23">
        <v>180000</v>
      </c>
      <c r="G3161" s="23">
        <v>146200</v>
      </c>
      <c r="H3161" s="22" t="s">
        <v>3127</v>
      </c>
      <c r="I3161" s="40" t="s">
        <v>18</v>
      </c>
      <c r="J3161" s="40" t="str">
        <f>HYPERLINK("https://stock.pstatic.net/stock-research/company/56/20260430_company_390857000.pdf","PDF")</f>
        <v>PDF</v>
      </c>
      <c r="K3161" s="21" t="s">
        <v>3128</v>
      </c>
      <c r="L3161" s="24">
        <v>0.23119015047879621</v>
      </c>
    </row>
    <row r="3162" spans="1:12" x14ac:dyDescent="0.45">
      <c r="A3162" s="21" t="s">
        <v>3078</v>
      </c>
      <c r="B3162" s="21" t="s">
        <v>3101</v>
      </c>
      <c r="C3162" s="22" t="s">
        <v>3102</v>
      </c>
      <c r="D3162" s="22" t="s">
        <v>92</v>
      </c>
      <c r="E3162" s="21" t="s">
        <v>35</v>
      </c>
      <c r="F3162" s="23">
        <v>250000</v>
      </c>
      <c r="G3162" s="23">
        <v>213500</v>
      </c>
      <c r="H3162" s="22" t="s">
        <v>3129</v>
      </c>
      <c r="I3162" s="40" t="s">
        <v>18</v>
      </c>
      <c r="J3162" s="40" t="str">
        <f>HYPERLINK("https://stock.pstatic.net/stock-research/company/63/20260430_company_74361000.pdf","PDF")</f>
        <v>PDF</v>
      </c>
      <c r="K3162" s="21" t="s">
        <v>3130</v>
      </c>
      <c r="L3162" s="24">
        <v>0.17096018735363</v>
      </c>
    </row>
    <row r="3163" spans="1:12" x14ac:dyDescent="0.45">
      <c r="A3163" s="21" t="s">
        <v>3078</v>
      </c>
      <c r="B3163" s="21" t="s">
        <v>1136</v>
      </c>
      <c r="C3163" s="22" t="s">
        <v>1137</v>
      </c>
      <c r="D3163" s="22" t="s">
        <v>15</v>
      </c>
      <c r="E3163" s="21" t="s">
        <v>50</v>
      </c>
      <c r="F3163" s="22"/>
      <c r="G3163" s="23">
        <v>51800</v>
      </c>
      <c r="H3163" s="22" t="s">
        <v>3131</v>
      </c>
      <c r="I3163" s="40" t="s">
        <v>18</v>
      </c>
      <c r="J3163" s="40" t="str">
        <f>HYPERLINK("https://stock.pstatic.net/stock-research/company/56/20260430_company_147671000.pdf","PDF")</f>
        <v>PDF</v>
      </c>
      <c r="K3163" s="21" t="s">
        <v>3132</v>
      </c>
      <c r="L3163" s="21"/>
    </row>
    <row r="3164" spans="1:12" x14ac:dyDescent="0.45">
      <c r="A3164" s="12" t="s">
        <v>3133</v>
      </c>
      <c r="B3164" s="12" t="s">
        <v>434</v>
      </c>
      <c r="C3164" s="13" t="s">
        <v>435</v>
      </c>
      <c r="D3164" s="13" t="s">
        <v>57</v>
      </c>
      <c r="E3164" s="12" t="s">
        <v>35</v>
      </c>
      <c r="F3164" s="14">
        <v>180000</v>
      </c>
      <c r="G3164" s="14">
        <v>146200</v>
      </c>
      <c r="H3164" s="13" t="s">
        <v>3134</v>
      </c>
      <c r="I3164" s="40" t="s">
        <v>18</v>
      </c>
      <c r="J3164" s="40" t="str">
        <f>HYPERLINK("https://stock.pstatic.net/stock-research/company/16/20260429_company_731268000.pdf","PDF")</f>
        <v>PDF</v>
      </c>
      <c r="K3164" s="12" t="s">
        <v>3135</v>
      </c>
      <c r="L3164" s="20">
        <v>0.23119015047879621</v>
      </c>
    </row>
    <row r="3165" spans="1:12" x14ac:dyDescent="0.45">
      <c r="A3165" s="12" t="s">
        <v>3133</v>
      </c>
      <c r="B3165" s="12" t="s">
        <v>2369</v>
      </c>
      <c r="C3165" s="13" t="s">
        <v>2370</v>
      </c>
      <c r="D3165" s="13" t="s">
        <v>179</v>
      </c>
      <c r="E3165" s="12" t="s">
        <v>16</v>
      </c>
      <c r="F3165" s="14">
        <v>810000</v>
      </c>
      <c r="G3165" s="14">
        <v>680000</v>
      </c>
      <c r="H3165" s="13" t="s">
        <v>3136</v>
      </c>
      <c r="I3165" s="40" t="s">
        <v>18</v>
      </c>
      <c r="J3165" s="40" t="str">
        <f>HYPERLINK("https://stock.pstatic.net/stock-research/company/64/20260429_company_836667000.pdf","PDF")</f>
        <v>PDF</v>
      </c>
      <c r="K3165" s="12" t="s">
        <v>3137</v>
      </c>
      <c r="L3165" s="20">
        <v>0.19117647058823531</v>
      </c>
    </row>
    <row r="3166" spans="1:12" x14ac:dyDescent="0.45">
      <c r="A3166" s="12" t="s">
        <v>3133</v>
      </c>
      <c r="B3166" s="12" t="s">
        <v>3138</v>
      </c>
      <c r="C3166" s="13" t="s">
        <v>3139</v>
      </c>
      <c r="D3166" s="13" t="s">
        <v>179</v>
      </c>
      <c r="E3166" s="12" t="s">
        <v>16</v>
      </c>
      <c r="F3166" s="14">
        <v>20000</v>
      </c>
      <c r="G3166" s="14">
        <v>16150</v>
      </c>
      <c r="H3166" s="13" t="s">
        <v>3140</v>
      </c>
      <c r="I3166" s="40" t="s">
        <v>18</v>
      </c>
      <c r="J3166" s="40" t="str">
        <f>HYPERLINK("https://stock.pstatic.net/stock-research/company/64/20260429_company_110595000.pdf","PDF")</f>
        <v>PDF</v>
      </c>
      <c r="K3166" s="12" t="s">
        <v>3141</v>
      </c>
      <c r="L3166" s="20">
        <v>0.238390092879257</v>
      </c>
    </row>
    <row r="3167" spans="1:12" x14ac:dyDescent="0.45">
      <c r="A3167" s="12" t="s">
        <v>3133</v>
      </c>
      <c r="B3167" s="12" t="s">
        <v>2105</v>
      </c>
      <c r="C3167" s="13" t="s">
        <v>2106</v>
      </c>
      <c r="D3167" s="13" t="s">
        <v>23</v>
      </c>
      <c r="E3167" s="12" t="s">
        <v>50</v>
      </c>
      <c r="F3167" s="14">
        <v>37000</v>
      </c>
      <c r="G3167" s="14">
        <v>34800</v>
      </c>
      <c r="H3167" s="13" t="s">
        <v>3142</v>
      </c>
      <c r="I3167" s="40" t="s">
        <v>18</v>
      </c>
      <c r="J3167" s="40" t="str">
        <f>HYPERLINK("https://stock.pstatic.net/stock-research/company/21/20260429_company_414347000.pdf","PDF")</f>
        <v>PDF</v>
      </c>
      <c r="K3167" s="12" t="s">
        <v>3143</v>
      </c>
      <c r="L3167" s="20">
        <v>6.3218390804597707E-2</v>
      </c>
    </row>
    <row r="3168" spans="1:12" x14ac:dyDescent="0.45">
      <c r="A3168" s="12" t="s">
        <v>3133</v>
      </c>
      <c r="B3168" s="12" t="s">
        <v>2369</v>
      </c>
      <c r="C3168" s="13" t="s">
        <v>2370</v>
      </c>
      <c r="D3168" s="13" t="s">
        <v>60</v>
      </c>
      <c r="E3168" s="12" t="s">
        <v>35</v>
      </c>
      <c r="F3168" s="14">
        <v>880000</v>
      </c>
      <c r="G3168" s="14">
        <v>680000</v>
      </c>
      <c r="H3168" s="13" t="s">
        <v>3144</v>
      </c>
      <c r="I3168" s="40" t="s">
        <v>18</v>
      </c>
      <c r="J3168" s="40" t="str">
        <f>HYPERLINK("https://stock.pstatic.net/stock-research/company/62/20260429_company_432179000.pdf","PDF")</f>
        <v>PDF</v>
      </c>
      <c r="K3168" s="12" t="s">
        <v>3145</v>
      </c>
      <c r="L3168" s="20">
        <v>0.29411764705882348</v>
      </c>
    </row>
    <row r="3169" spans="1:12" x14ac:dyDescent="0.45">
      <c r="A3169" s="12" t="s">
        <v>3133</v>
      </c>
      <c r="B3169" s="12" t="s">
        <v>888</v>
      </c>
      <c r="C3169" s="13" t="s">
        <v>889</v>
      </c>
      <c r="D3169" s="13" t="s">
        <v>60</v>
      </c>
      <c r="E3169" s="12" t="s">
        <v>35</v>
      </c>
      <c r="F3169" s="14">
        <v>70000</v>
      </c>
      <c r="G3169" s="14">
        <v>62000</v>
      </c>
      <c r="H3169" s="13" t="s">
        <v>3146</v>
      </c>
      <c r="I3169" s="40" t="s">
        <v>18</v>
      </c>
      <c r="J3169" s="40" t="str">
        <f>HYPERLINK("https://stock.pstatic.net/stock-research/company/62/20260429_company_329624000.pdf","PDF")</f>
        <v>PDF</v>
      </c>
      <c r="K3169" s="12" t="s">
        <v>3147</v>
      </c>
      <c r="L3169" s="20">
        <v>0.1290322580645161</v>
      </c>
    </row>
    <row r="3170" spans="1:12" x14ac:dyDescent="0.45">
      <c r="A3170" s="12" t="s">
        <v>3133</v>
      </c>
      <c r="B3170" s="12" t="s">
        <v>545</v>
      </c>
      <c r="C3170" s="13" t="s">
        <v>546</v>
      </c>
      <c r="D3170" s="13" t="s">
        <v>60</v>
      </c>
      <c r="E3170" s="12" t="s">
        <v>35</v>
      </c>
      <c r="F3170" s="14">
        <v>580000</v>
      </c>
      <c r="G3170" s="14">
        <v>483500</v>
      </c>
      <c r="H3170" s="13" t="s">
        <v>3148</v>
      </c>
      <c r="I3170" s="40" t="s">
        <v>18</v>
      </c>
      <c r="J3170" s="40" t="str">
        <f>HYPERLINK("https://stock.pstatic.net/stock-research/company/62/20260429_company_332463000.pdf","PDF")</f>
        <v>PDF</v>
      </c>
      <c r="K3170" s="12" t="s">
        <v>3149</v>
      </c>
      <c r="L3170" s="20">
        <v>0.19958634953464319</v>
      </c>
    </row>
    <row r="3171" spans="1:12" x14ac:dyDescent="0.45">
      <c r="A3171" s="12" t="s">
        <v>3133</v>
      </c>
      <c r="B3171" s="12" t="s">
        <v>3150</v>
      </c>
      <c r="C3171" s="13" t="s">
        <v>3151</v>
      </c>
      <c r="D3171" s="13" t="s">
        <v>60</v>
      </c>
      <c r="E3171" s="12" t="s">
        <v>35</v>
      </c>
      <c r="F3171" s="14">
        <v>260000</v>
      </c>
      <c r="G3171" s="14">
        <v>139400</v>
      </c>
      <c r="H3171" s="13" t="s">
        <v>3152</v>
      </c>
      <c r="I3171" s="40" t="s">
        <v>18</v>
      </c>
      <c r="J3171" s="40" t="str">
        <f>HYPERLINK("https://stock.pstatic.net/stock-research/company/62/20260429_company_939607000.pdf","PDF")</f>
        <v>PDF</v>
      </c>
      <c r="K3171" s="12" t="s">
        <v>3153</v>
      </c>
      <c r="L3171" s="20">
        <v>0.86513629842180773</v>
      </c>
    </row>
    <row r="3172" spans="1:12" x14ac:dyDescent="0.45">
      <c r="A3172" s="12" t="s">
        <v>3133</v>
      </c>
      <c r="B3172" s="12" t="s">
        <v>3154</v>
      </c>
      <c r="C3172" s="13" t="s">
        <v>3155</v>
      </c>
      <c r="D3172" s="13" t="s">
        <v>57</v>
      </c>
      <c r="E3172" s="12" t="s">
        <v>35</v>
      </c>
      <c r="F3172" s="14">
        <v>8500</v>
      </c>
      <c r="G3172" s="14">
        <v>6120</v>
      </c>
      <c r="H3172" s="13" t="s">
        <v>3156</v>
      </c>
      <c r="I3172" s="40" t="s">
        <v>18</v>
      </c>
      <c r="J3172" s="40" t="str">
        <f>HYPERLINK("https://stock.pstatic.net/stock-research/company/16/20260429_company_677303000.pdf","PDF")</f>
        <v>PDF</v>
      </c>
      <c r="K3172" s="12" t="s">
        <v>3157</v>
      </c>
      <c r="L3172" s="20">
        <v>0.3888888888888889</v>
      </c>
    </row>
    <row r="3173" spans="1:12" x14ac:dyDescent="0.45">
      <c r="A3173" s="12" t="s">
        <v>3133</v>
      </c>
      <c r="B3173" s="12" t="s">
        <v>2369</v>
      </c>
      <c r="C3173" s="13" t="s">
        <v>2370</v>
      </c>
      <c r="D3173" s="13" t="s">
        <v>57</v>
      </c>
      <c r="E3173" s="12" t="s">
        <v>35</v>
      </c>
      <c r="F3173" s="14">
        <v>820000</v>
      </c>
      <c r="G3173" s="14">
        <v>680000</v>
      </c>
      <c r="H3173" s="13" t="s">
        <v>3158</v>
      </c>
      <c r="I3173" s="40" t="s">
        <v>18</v>
      </c>
      <c r="J3173" s="40" t="str">
        <f>HYPERLINK("https://stock.pstatic.net/stock-research/company/16/20260429_company_440148000.pdf","PDF")</f>
        <v>PDF</v>
      </c>
      <c r="K3173" s="12" t="s">
        <v>3159</v>
      </c>
      <c r="L3173" s="20">
        <v>0.20588235294117649</v>
      </c>
    </row>
    <row r="3174" spans="1:12" x14ac:dyDescent="0.45">
      <c r="A3174" s="12" t="s">
        <v>3133</v>
      </c>
      <c r="B3174" s="12" t="s">
        <v>330</v>
      </c>
      <c r="C3174" s="13" t="s">
        <v>331</v>
      </c>
      <c r="D3174" s="13" t="s">
        <v>60</v>
      </c>
      <c r="E3174" s="12" t="s">
        <v>35</v>
      </c>
      <c r="F3174" s="14">
        <v>59000</v>
      </c>
      <c r="G3174" s="14">
        <v>49400</v>
      </c>
      <c r="H3174" s="13" t="s">
        <v>3160</v>
      </c>
      <c r="I3174" s="40" t="s">
        <v>18</v>
      </c>
      <c r="J3174" s="40" t="str">
        <f>HYPERLINK("https://stock.pstatic.net/stock-research/company/62/20260429_company_181706000.pdf","PDF")</f>
        <v>PDF</v>
      </c>
      <c r="K3174" s="12" t="s">
        <v>3161</v>
      </c>
      <c r="L3174" s="20">
        <v>0.19433198380566799</v>
      </c>
    </row>
    <row r="3175" spans="1:12" x14ac:dyDescent="0.45">
      <c r="A3175" s="12" t="s">
        <v>3133</v>
      </c>
      <c r="B3175" s="12" t="s">
        <v>330</v>
      </c>
      <c r="C3175" s="13" t="s">
        <v>331</v>
      </c>
      <c r="D3175" s="13" t="s">
        <v>57</v>
      </c>
      <c r="E3175" s="12" t="s">
        <v>35</v>
      </c>
      <c r="F3175" s="14">
        <v>57000</v>
      </c>
      <c r="G3175" s="14">
        <v>49400</v>
      </c>
      <c r="H3175" s="13" t="s">
        <v>3162</v>
      </c>
      <c r="I3175" s="40" t="s">
        <v>18</v>
      </c>
      <c r="J3175" s="40" t="str">
        <f>HYPERLINK("https://stock.pstatic.net/stock-research/company/16/20260429_company_602800000.pdf","PDF")</f>
        <v>PDF</v>
      </c>
      <c r="K3175" s="12" t="s">
        <v>3163</v>
      </c>
      <c r="L3175" s="20">
        <v>0.15384615384615391</v>
      </c>
    </row>
    <row r="3176" spans="1:12" x14ac:dyDescent="0.45">
      <c r="A3176" s="12" t="s">
        <v>3133</v>
      </c>
      <c r="B3176" s="12" t="s">
        <v>3164</v>
      </c>
      <c r="C3176" s="13" t="s">
        <v>3165</v>
      </c>
      <c r="D3176" s="13" t="s">
        <v>57</v>
      </c>
      <c r="E3176" s="12" t="s">
        <v>35</v>
      </c>
      <c r="F3176" s="14">
        <v>200000</v>
      </c>
      <c r="G3176" s="14">
        <v>167100</v>
      </c>
      <c r="H3176" s="13" t="s">
        <v>3166</v>
      </c>
      <c r="I3176" s="40" t="s">
        <v>18</v>
      </c>
      <c r="J3176" s="40" t="str">
        <f>HYPERLINK("https://stock.pstatic.net/stock-research/company/16/20260429_company_234812000.pdf","PDF")</f>
        <v>PDF</v>
      </c>
      <c r="K3176" s="12" t="s">
        <v>3167</v>
      </c>
      <c r="L3176" s="20">
        <v>0.19688809096349491</v>
      </c>
    </row>
    <row r="3177" spans="1:12" x14ac:dyDescent="0.45">
      <c r="A3177" s="12" t="s">
        <v>3133</v>
      </c>
      <c r="B3177" s="12" t="s">
        <v>3168</v>
      </c>
      <c r="C3177" s="13" t="s">
        <v>3169</v>
      </c>
      <c r="D3177" s="13" t="s">
        <v>60</v>
      </c>
      <c r="E3177" s="12" t="s">
        <v>35</v>
      </c>
      <c r="F3177" s="14">
        <v>22600</v>
      </c>
      <c r="G3177" s="14">
        <v>19280</v>
      </c>
      <c r="H3177" s="13" t="s">
        <v>3170</v>
      </c>
      <c r="I3177" s="40" t="s">
        <v>18</v>
      </c>
      <c r="J3177" s="40" t="str">
        <f>HYPERLINK("https://stock.pstatic.net/stock-research/company/62/20260429_company_29216000.pdf","PDF")</f>
        <v>PDF</v>
      </c>
      <c r="K3177" s="12" t="s">
        <v>3171</v>
      </c>
      <c r="L3177" s="20">
        <v>0.1721991701244813</v>
      </c>
    </row>
    <row r="3178" spans="1:12" x14ac:dyDescent="0.45">
      <c r="A3178" s="12" t="s">
        <v>3133</v>
      </c>
      <c r="B3178" s="12" t="s">
        <v>2369</v>
      </c>
      <c r="C3178" s="13" t="s">
        <v>2370</v>
      </c>
      <c r="D3178" s="13" t="s">
        <v>276</v>
      </c>
      <c r="E3178" s="12" t="s">
        <v>16</v>
      </c>
      <c r="F3178" s="14">
        <v>840000</v>
      </c>
      <c r="G3178" s="14">
        <v>680000</v>
      </c>
      <c r="H3178" s="13" t="s">
        <v>3172</v>
      </c>
      <c r="I3178" s="40" t="s">
        <v>18</v>
      </c>
      <c r="J3178" s="40" t="str">
        <f>HYPERLINK("https://stock.pstatic.net/stock-research/company/66/20260429_company_873593000.pdf","PDF")</f>
        <v>PDF</v>
      </c>
      <c r="K3178" s="12" t="s">
        <v>3173</v>
      </c>
      <c r="L3178" s="20">
        <v>0.23529411764705879</v>
      </c>
    </row>
    <row r="3179" spans="1:12" x14ac:dyDescent="0.45">
      <c r="A3179" s="12" t="s">
        <v>3133</v>
      </c>
      <c r="B3179" s="12" t="s">
        <v>2205</v>
      </c>
      <c r="C3179" s="13" t="s">
        <v>2206</v>
      </c>
      <c r="D3179" s="13" t="s">
        <v>276</v>
      </c>
      <c r="E3179" s="12" t="s">
        <v>16</v>
      </c>
      <c r="F3179" s="14">
        <v>130000</v>
      </c>
      <c r="G3179" s="14">
        <v>100000</v>
      </c>
      <c r="H3179" s="13" t="s">
        <v>3174</v>
      </c>
      <c r="I3179" s="40" t="s">
        <v>18</v>
      </c>
      <c r="J3179" s="40" t="str">
        <f>HYPERLINK("https://stock.pstatic.net/stock-research/company/66/20260429_company_114580000.pdf","PDF")</f>
        <v>PDF</v>
      </c>
      <c r="K3179" s="12" t="s">
        <v>3175</v>
      </c>
      <c r="L3179" s="20">
        <v>0.3</v>
      </c>
    </row>
    <row r="3180" spans="1:12" x14ac:dyDescent="0.45">
      <c r="A3180" s="12" t="s">
        <v>3133</v>
      </c>
      <c r="B3180" s="12" t="s">
        <v>3164</v>
      </c>
      <c r="C3180" s="13" t="s">
        <v>3165</v>
      </c>
      <c r="D3180" s="13" t="s">
        <v>158</v>
      </c>
      <c r="E3180" s="12" t="s">
        <v>35</v>
      </c>
      <c r="F3180" s="14">
        <v>223000</v>
      </c>
      <c r="G3180" s="14">
        <v>167100</v>
      </c>
      <c r="H3180" s="13" t="s">
        <v>3176</v>
      </c>
      <c r="I3180" s="40" t="s">
        <v>18</v>
      </c>
      <c r="J3180" s="40" t="str">
        <f>HYPERLINK("https://stock.pstatic.net/stock-research/company/18/20260429_company_932878000.pdf","PDF")</f>
        <v>PDF</v>
      </c>
      <c r="K3180" s="12" t="s">
        <v>3177</v>
      </c>
      <c r="L3180" s="20">
        <v>0.33453022142429678</v>
      </c>
    </row>
    <row r="3181" spans="1:12" x14ac:dyDescent="0.45">
      <c r="A3181" s="12" t="s">
        <v>3133</v>
      </c>
      <c r="B3181" s="12" t="s">
        <v>166</v>
      </c>
      <c r="C3181" s="13" t="s">
        <v>167</v>
      </c>
      <c r="D3181" s="13" t="s">
        <v>158</v>
      </c>
      <c r="E3181" s="12" t="s">
        <v>50</v>
      </c>
      <c r="F3181" s="13"/>
      <c r="G3181" s="14">
        <v>42850</v>
      </c>
      <c r="H3181" s="13" t="s">
        <v>3178</v>
      </c>
      <c r="I3181" s="40" t="s">
        <v>18</v>
      </c>
      <c r="J3181" s="40" t="str">
        <f>HYPERLINK("https://stock.pstatic.net/stock-research/company/18/20260429_company_933958000.pdf","PDF")</f>
        <v>PDF</v>
      </c>
      <c r="K3181" s="12" t="s">
        <v>3179</v>
      </c>
    </row>
    <row r="3182" spans="1:12" x14ac:dyDescent="0.45">
      <c r="A3182" s="12" t="s">
        <v>3133</v>
      </c>
      <c r="B3182" s="12" t="s">
        <v>3168</v>
      </c>
      <c r="C3182" s="13" t="s">
        <v>3169</v>
      </c>
      <c r="D3182" s="13" t="s">
        <v>65</v>
      </c>
      <c r="E3182" s="12" t="s">
        <v>35</v>
      </c>
      <c r="F3182" s="14">
        <v>24500</v>
      </c>
      <c r="G3182" s="14">
        <v>19280</v>
      </c>
      <c r="H3182" s="13" t="s">
        <v>3180</v>
      </c>
      <c r="I3182" s="40" t="s">
        <v>18</v>
      </c>
      <c r="J3182" s="40" t="str">
        <f>HYPERLINK("https://stock.pstatic.net/stock-research/company/57/20260429_company_170765000.pdf","PDF")</f>
        <v>PDF</v>
      </c>
      <c r="K3182" s="12" t="s">
        <v>3181</v>
      </c>
      <c r="L3182" s="20">
        <v>0.27074688796680502</v>
      </c>
    </row>
    <row r="3183" spans="1:12" x14ac:dyDescent="0.45">
      <c r="A3183" s="12" t="s">
        <v>3133</v>
      </c>
      <c r="B3183" s="12" t="s">
        <v>3182</v>
      </c>
      <c r="C3183" s="13" t="s">
        <v>3183</v>
      </c>
      <c r="D3183" s="13" t="s">
        <v>158</v>
      </c>
      <c r="E3183" s="12" t="s">
        <v>35</v>
      </c>
      <c r="F3183" s="14">
        <v>1450000</v>
      </c>
      <c r="G3183" s="14">
        <v>1238000</v>
      </c>
      <c r="H3183" s="13" t="s">
        <v>3184</v>
      </c>
      <c r="I3183" s="40" t="s">
        <v>18</v>
      </c>
      <c r="J3183" s="40" t="str">
        <f>HYPERLINK("https://stock.pstatic.net/stock-research/company/18/20260429_company_202706000.pdf","PDF")</f>
        <v>PDF</v>
      </c>
      <c r="K3183" s="12" t="s">
        <v>3185</v>
      </c>
      <c r="L3183" s="20">
        <v>0.1712439418416801</v>
      </c>
    </row>
    <row r="3184" spans="1:12" x14ac:dyDescent="0.45">
      <c r="A3184" s="12" t="s">
        <v>3133</v>
      </c>
      <c r="B3184" s="12" t="s">
        <v>3168</v>
      </c>
      <c r="C3184" s="13" t="s">
        <v>3169</v>
      </c>
      <c r="D3184" s="13" t="s">
        <v>15</v>
      </c>
      <c r="E3184" s="12" t="s">
        <v>16</v>
      </c>
      <c r="F3184" s="14">
        <v>25000</v>
      </c>
      <c r="G3184" s="14">
        <v>19280</v>
      </c>
      <c r="H3184" s="13" t="s">
        <v>3186</v>
      </c>
      <c r="I3184" s="40" t="s">
        <v>18</v>
      </c>
      <c r="J3184" s="40" t="str">
        <f>HYPERLINK("https://stock.pstatic.net/stock-research/company/56/20260429_company_80573000.pdf","PDF")</f>
        <v>PDF</v>
      </c>
      <c r="K3184" s="12" t="s">
        <v>3187</v>
      </c>
      <c r="L3184" s="20">
        <v>0.2966804979253112</v>
      </c>
    </row>
    <row r="3185" spans="1:12" x14ac:dyDescent="0.45">
      <c r="A3185" s="12" t="s">
        <v>3133</v>
      </c>
      <c r="B3185" s="12" t="s">
        <v>3154</v>
      </c>
      <c r="C3185" s="13" t="s">
        <v>3155</v>
      </c>
      <c r="D3185" s="13" t="s">
        <v>65</v>
      </c>
      <c r="E3185" s="12" t="s">
        <v>50</v>
      </c>
      <c r="F3185" s="13"/>
      <c r="G3185" s="14">
        <v>6120</v>
      </c>
      <c r="H3185" s="13" t="s">
        <v>3188</v>
      </c>
      <c r="I3185" s="40" t="s">
        <v>18</v>
      </c>
      <c r="J3185" s="40" t="str">
        <f>HYPERLINK("https://stock.pstatic.net/stock-research/company/57/20260429_company_184271000.pdf","PDF")</f>
        <v>PDF</v>
      </c>
      <c r="K3185" s="12" t="s">
        <v>3189</v>
      </c>
    </row>
    <row r="3186" spans="1:12" x14ac:dyDescent="0.45">
      <c r="A3186" s="12" t="s">
        <v>3133</v>
      </c>
      <c r="B3186" s="12" t="s">
        <v>3164</v>
      </c>
      <c r="C3186" s="13" t="s">
        <v>3165</v>
      </c>
      <c r="D3186" s="13" t="s">
        <v>15</v>
      </c>
      <c r="E3186" s="12" t="s">
        <v>16</v>
      </c>
      <c r="F3186" s="14">
        <v>213000</v>
      </c>
      <c r="G3186" s="14">
        <v>167100</v>
      </c>
      <c r="H3186" s="13" t="s">
        <v>3190</v>
      </c>
      <c r="I3186" s="40" t="s">
        <v>18</v>
      </c>
      <c r="J3186" s="40" t="str">
        <f>HYPERLINK("https://stock.pstatic.net/stock-research/company/56/20260429_company_748996000.pdf","PDF")</f>
        <v>PDF</v>
      </c>
      <c r="K3186" s="12" t="s">
        <v>3191</v>
      </c>
      <c r="L3186" s="20">
        <v>0.27468581687612209</v>
      </c>
    </row>
    <row r="3187" spans="1:12" x14ac:dyDescent="0.45">
      <c r="A3187" s="12" t="s">
        <v>3133</v>
      </c>
      <c r="B3187" s="12" t="s">
        <v>3182</v>
      </c>
      <c r="C3187" s="13" t="s">
        <v>3183</v>
      </c>
      <c r="D3187" s="13" t="s">
        <v>65</v>
      </c>
      <c r="E3187" s="12" t="s">
        <v>35</v>
      </c>
      <c r="F3187" s="14">
        <v>1440000</v>
      </c>
      <c r="G3187" s="14">
        <v>1238000</v>
      </c>
      <c r="H3187" s="13" t="s">
        <v>3192</v>
      </c>
      <c r="I3187" s="40" t="s">
        <v>18</v>
      </c>
      <c r="J3187" s="40" t="str">
        <f>HYPERLINK("https://stock.pstatic.net/stock-research/company/57/20260429_company_536768000.pdf","PDF")</f>
        <v>PDF</v>
      </c>
      <c r="K3187" s="12" t="s">
        <v>3193</v>
      </c>
      <c r="L3187" s="20">
        <v>0.16316639741518579</v>
      </c>
    </row>
    <row r="3188" spans="1:12" x14ac:dyDescent="0.45">
      <c r="A3188" s="12" t="s">
        <v>3133</v>
      </c>
      <c r="B3188" s="12" t="s">
        <v>3194</v>
      </c>
      <c r="C3188" s="13" t="s">
        <v>3195</v>
      </c>
      <c r="D3188" s="13" t="s">
        <v>124</v>
      </c>
      <c r="E3188" s="12" t="s">
        <v>50</v>
      </c>
      <c r="F3188" s="13"/>
      <c r="G3188" s="14">
        <v>9270</v>
      </c>
      <c r="H3188" s="13" t="s">
        <v>3196</v>
      </c>
      <c r="I3188" s="40" t="s">
        <v>18</v>
      </c>
      <c r="J3188" s="40" t="str">
        <f>HYPERLINK("https://stock.pstatic.net/stock-research/company/74/20260429_company_604723000.pdf","PDF")</f>
        <v>PDF</v>
      </c>
      <c r="K3188" s="12" t="s">
        <v>3197</v>
      </c>
    </row>
    <row r="3189" spans="1:12" x14ac:dyDescent="0.45">
      <c r="A3189" s="12" t="s">
        <v>3133</v>
      </c>
      <c r="B3189" s="12" t="s">
        <v>2369</v>
      </c>
      <c r="C3189" s="13" t="s">
        <v>2370</v>
      </c>
      <c r="D3189" s="13" t="s">
        <v>65</v>
      </c>
      <c r="E3189" s="12" t="s">
        <v>35</v>
      </c>
      <c r="F3189" s="14">
        <v>857000</v>
      </c>
      <c r="G3189" s="14">
        <v>680000</v>
      </c>
      <c r="H3189" s="13" t="s">
        <v>3198</v>
      </c>
      <c r="I3189" s="40" t="s">
        <v>18</v>
      </c>
      <c r="J3189" s="40" t="str">
        <f>HYPERLINK("https://stock.pstatic.net/stock-research/company/57/20260429_company_705112000.pdf","PDF")</f>
        <v>PDF</v>
      </c>
      <c r="K3189" s="12" t="s">
        <v>3199</v>
      </c>
      <c r="L3189" s="20">
        <v>0.26029411764705879</v>
      </c>
    </row>
    <row r="3190" spans="1:12" x14ac:dyDescent="0.45">
      <c r="A3190" s="12" t="s">
        <v>3133</v>
      </c>
      <c r="B3190" s="12" t="s">
        <v>3200</v>
      </c>
      <c r="C3190" s="13" t="s">
        <v>3201</v>
      </c>
      <c r="D3190" s="13" t="s">
        <v>124</v>
      </c>
      <c r="E3190" s="12" t="s">
        <v>50</v>
      </c>
      <c r="F3190" s="13"/>
      <c r="G3190" s="14">
        <v>20550</v>
      </c>
      <c r="H3190" s="13" t="s">
        <v>3202</v>
      </c>
      <c r="I3190" s="40" t="s">
        <v>18</v>
      </c>
      <c r="J3190" s="40" t="str">
        <f>HYPERLINK("https://stock.pstatic.net/stock-research/company/74/20260429_company_600450000.pdf","PDF")</f>
        <v>PDF</v>
      </c>
      <c r="K3190" s="12" t="s">
        <v>3203</v>
      </c>
    </row>
    <row r="3191" spans="1:12" x14ac:dyDescent="0.45">
      <c r="A3191" s="12" t="s">
        <v>3133</v>
      </c>
      <c r="B3191" s="12" t="s">
        <v>3204</v>
      </c>
      <c r="C3191" s="13" t="s">
        <v>3205</v>
      </c>
      <c r="D3191" s="13" t="s">
        <v>15</v>
      </c>
      <c r="E3191" s="12" t="s">
        <v>385</v>
      </c>
      <c r="F3191" s="14">
        <v>35000</v>
      </c>
      <c r="G3191" s="14">
        <v>37150</v>
      </c>
      <c r="H3191" s="13" t="s">
        <v>3206</v>
      </c>
      <c r="I3191" s="40" t="s">
        <v>18</v>
      </c>
      <c r="J3191" s="40" t="str">
        <f>HYPERLINK("https://stock.pstatic.net/stock-research/company/56/20260429_company_455897000.pdf","PDF")</f>
        <v>PDF</v>
      </c>
      <c r="K3191" s="12" t="s">
        <v>3207</v>
      </c>
      <c r="L3191" s="20">
        <v>-5.7873485868102287E-2</v>
      </c>
    </row>
    <row r="3192" spans="1:12" x14ac:dyDescent="0.45">
      <c r="A3192" s="12" t="s">
        <v>3133</v>
      </c>
      <c r="B3192" s="12" t="s">
        <v>3164</v>
      </c>
      <c r="C3192" s="13" t="s">
        <v>3165</v>
      </c>
      <c r="D3192" s="13" t="s">
        <v>65</v>
      </c>
      <c r="E3192" s="12" t="s">
        <v>35</v>
      </c>
      <c r="F3192" s="14">
        <v>240000</v>
      </c>
      <c r="G3192" s="14">
        <v>167100</v>
      </c>
      <c r="H3192" s="13" t="s">
        <v>3208</v>
      </c>
      <c r="I3192" s="40" t="s">
        <v>18</v>
      </c>
      <c r="J3192" s="40" t="str">
        <f>HYPERLINK("https://stock.pstatic.net/stock-research/company/57/20260429_company_372677000.pdf","PDF")</f>
        <v>PDF</v>
      </c>
      <c r="K3192" s="12" t="s">
        <v>3209</v>
      </c>
      <c r="L3192" s="20">
        <v>0.43626570915619389</v>
      </c>
    </row>
    <row r="3193" spans="1:12" x14ac:dyDescent="0.45">
      <c r="A3193" s="12" t="s">
        <v>3133</v>
      </c>
      <c r="B3193" s="12" t="s">
        <v>330</v>
      </c>
      <c r="C3193" s="13" t="s">
        <v>331</v>
      </c>
      <c r="D3193" s="13" t="s">
        <v>92</v>
      </c>
      <c r="E3193" s="12" t="s">
        <v>35</v>
      </c>
      <c r="F3193" s="14">
        <v>80000</v>
      </c>
      <c r="G3193" s="14">
        <v>49400</v>
      </c>
      <c r="H3193" s="13" t="s">
        <v>3210</v>
      </c>
      <c r="I3193" s="40" t="s">
        <v>18</v>
      </c>
      <c r="J3193" s="40" t="str">
        <f>HYPERLINK("https://stock.pstatic.net/stock-research/company/63/20260429_company_417006000.pdf","PDF")</f>
        <v>PDF</v>
      </c>
      <c r="K3193" s="12" t="s">
        <v>3211</v>
      </c>
      <c r="L3193" s="20">
        <v>0.61943319838056676</v>
      </c>
    </row>
    <row r="3194" spans="1:12" x14ac:dyDescent="0.45">
      <c r="A3194" s="12" t="s">
        <v>3133</v>
      </c>
      <c r="B3194" s="12" t="s">
        <v>3204</v>
      </c>
      <c r="C3194" s="13" t="s">
        <v>3205</v>
      </c>
      <c r="D3194" s="13" t="s">
        <v>65</v>
      </c>
      <c r="E3194" s="12" t="s">
        <v>35</v>
      </c>
      <c r="F3194" s="14">
        <v>49000</v>
      </c>
      <c r="G3194" s="14">
        <v>37150</v>
      </c>
      <c r="H3194" s="13" t="s">
        <v>3212</v>
      </c>
      <c r="I3194" s="40" t="s">
        <v>18</v>
      </c>
      <c r="J3194" s="40" t="str">
        <f>HYPERLINK("https://stock.pstatic.net/stock-research/company/57/20260429_company_305975000.pdf","PDF")</f>
        <v>PDF</v>
      </c>
      <c r="K3194" s="12" t="s">
        <v>3213</v>
      </c>
      <c r="L3194" s="20">
        <v>0.31897711978465682</v>
      </c>
    </row>
    <row r="3195" spans="1:12" x14ac:dyDescent="0.45">
      <c r="A3195" s="12" t="s">
        <v>3133</v>
      </c>
      <c r="B3195" s="12" t="s">
        <v>247</v>
      </c>
      <c r="C3195" s="13" t="s">
        <v>248</v>
      </c>
      <c r="D3195" s="13" t="s">
        <v>65</v>
      </c>
      <c r="E3195" s="12" t="s">
        <v>35</v>
      </c>
      <c r="F3195" s="14">
        <v>50000</v>
      </c>
      <c r="G3195" s="14">
        <v>25200</v>
      </c>
      <c r="H3195" s="13" t="s">
        <v>3214</v>
      </c>
      <c r="I3195" s="40" t="s">
        <v>18</v>
      </c>
      <c r="J3195" s="40" t="str">
        <f>HYPERLINK("https://stock.pstatic.net/stock-research/company/57/20260429_company_384021000.pdf","PDF")</f>
        <v>PDF</v>
      </c>
      <c r="K3195" s="12" t="s">
        <v>3215</v>
      </c>
      <c r="L3195" s="20">
        <v>0.98412698412698407</v>
      </c>
    </row>
    <row r="3196" spans="1:12" x14ac:dyDescent="0.45">
      <c r="A3196" s="12" t="s">
        <v>3133</v>
      </c>
      <c r="B3196" s="12" t="s">
        <v>2369</v>
      </c>
      <c r="C3196" s="13" t="s">
        <v>2370</v>
      </c>
      <c r="D3196" s="13" t="s">
        <v>15</v>
      </c>
      <c r="E3196" s="12" t="s">
        <v>16</v>
      </c>
      <c r="F3196" s="14">
        <v>1000000</v>
      </c>
      <c r="G3196" s="14">
        <v>680000</v>
      </c>
      <c r="H3196" s="13" t="s">
        <v>3216</v>
      </c>
      <c r="I3196" s="40" t="s">
        <v>18</v>
      </c>
      <c r="J3196" s="40" t="str">
        <f>HYPERLINK("https://stock.pstatic.net/stock-research/company/56/20260429_company_875611000.pdf","PDF")</f>
        <v>PDF</v>
      </c>
      <c r="K3196" s="12" t="s">
        <v>3217</v>
      </c>
      <c r="L3196" s="20">
        <v>0.47058823529411759</v>
      </c>
    </row>
    <row r="3197" spans="1:12" x14ac:dyDescent="0.45">
      <c r="A3197" s="12" t="s">
        <v>3133</v>
      </c>
      <c r="B3197" s="12" t="s">
        <v>330</v>
      </c>
      <c r="C3197" s="13" t="s">
        <v>331</v>
      </c>
      <c r="D3197" s="13" t="s">
        <v>65</v>
      </c>
      <c r="E3197" s="12" t="s">
        <v>35</v>
      </c>
      <c r="F3197" s="14">
        <v>60000</v>
      </c>
      <c r="G3197" s="14">
        <v>49400</v>
      </c>
      <c r="H3197" s="13" t="s">
        <v>3218</v>
      </c>
      <c r="I3197" s="40" t="s">
        <v>18</v>
      </c>
      <c r="J3197" s="40" t="str">
        <f>HYPERLINK("https://stock.pstatic.net/stock-research/company/57/20260429_company_883236000.pdf","PDF")</f>
        <v>PDF</v>
      </c>
      <c r="K3197" s="12" t="s">
        <v>3219</v>
      </c>
      <c r="L3197" s="20">
        <v>0.2145748987854251</v>
      </c>
    </row>
    <row r="3198" spans="1:12" x14ac:dyDescent="0.45">
      <c r="A3198" s="12" t="s">
        <v>3133</v>
      </c>
      <c r="B3198" s="12" t="s">
        <v>3182</v>
      </c>
      <c r="C3198" s="13" t="s">
        <v>3183</v>
      </c>
      <c r="D3198" s="13" t="s">
        <v>83</v>
      </c>
      <c r="E3198" s="12" t="s">
        <v>35</v>
      </c>
      <c r="F3198" s="14">
        <v>1500000</v>
      </c>
      <c r="G3198" s="14">
        <v>1238000</v>
      </c>
      <c r="H3198" s="13" t="s">
        <v>3220</v>
      </c>
      <c r="I3198" s="40" t="s">
        <v>18</v>
      </c>
      <c r="J3198" s="40" t="str">
        <f>HYPERLINK("https://stock.pstatic.net/stock-research/company/15/20260429_company_796274000.pdf","PDF")</f>
        <v>PDF</v>
      </c>
      <c r="K3198" s="12" t="s">
        <v>3221</v>
      </c>
      <c r="L3198" s="20">
        <v>0.2116316639741519</v>
      </c>
    </row>
    <row r="3199" spans="1:12" x14ac:dyDescent="0.45">
      <c r="A3199" s="12" t="s">
        <v>3133</v>
      </c>
      <c r="B3199" s="12" t="s">
        <v>330</v>
      </c>
      <c r="C3199" s="13" t="s">
        <v>331</v>
      </c>
      <c r="D3199" s="13" t="s">
        <v>15</v>
      </c>
      <c r="E3199" s="12" t="s">
        <v>385</v>
      </c>
      <c r="F3199" s="14">
        <v>50000</v>
      </c>
      <c r="G3199" s="14">
        <v>49400</v>
      </c>
      <c r="H3199" s="13" t="s">
        <v>3222</v>
      </c>
      <c r="I3199" s="40" t="s">
        <v>18</v>
      </c>
      <c r="J3199" s="40" t="str">
        <f>HYPERLINK("https://stock.pstatic.net/stock-research/company/56/20260429_company_950224000.pdf","PDF")</f>
        <v>PDF</v>
      </c>
      <c r="K3199" s="12" t="s">
        <v>3223</v>
      </c>
      <c r="L3199" s="20">
        <v>1.2145748987854249E-2</v>
      </c>
    </row>
    <row r="3200" spans="1:12" x14ac:dyDescent="0.45">
      <c r="A3200" s="15" t="s">
        <v>3133</v>
      </c>
      <c r="B3200" s="15" t="s">
        <v>442</v>
      </c>
      <c r="C3200" s="16" t="s">
        <v>443</v>
      </c>
      <c r="D3200" s="16" t="s">
        <v>92</v>
      </c>
      <c r="E3200" s="15" t="s">
        <v>35</v>
      </c>
      <c r="F3200" s="17">
        <v>26000</v>
      </c>
      <c r="G3200" s="17">
        <v>18450</v>
      </c>
      <c r="H3200" s="16" t="s">
        <v>3224</v>
      </c>
      <c r="I3200" s="40" t="s">
        <v>18</v>
      </c>
      <c r="J3200" s="40" t="str">
        <f>HYPERLINK("https://stock.pstatic.net/stock-research/company/63/20260429_company_663314000.pdf","PDF")</f>
        <v>PDF</v>
      </c>
      <c r="K3200" s="15" t="s">
        <v>3225</v>
      </c>
      <c r="L3200" s="20">
        <v>0.40921409214092141</v>
      </c>
    </row>
    <row r="3201" spans="1:12" x14ac:dyDescent="0.45">
      <c r="A3201" s="15" t="s">
        <v>3133</v>
      </c>
      <c r="B3201" s="15" t="s">
        <v>1069</v>
      </c>
      <c r="C3201" s="16" t="s">
        <v>1070</v>
      </c>
      <c r="D3201" s="16" t="s">
        <v>179</v>
      </c>
      <c r="E3201" s="15" t="s">
        <v>50</v>
      </c>
      <c r="F3201" s="16"/>
      <c r="G3201" s="17">
        <v>129800</v>
      </c>
      <c r="H3201" s="16" t="s">
        <v>3226</v>
      </c>
      <c r="I3201" s="40" t="s">
        <v>18</v>
      </c>
      <c r="J3201" s="40" t="str">
        <f>HYPERLINK("https://stock.pstatic.net/stock-research/company/64/20260429_company_795269000.pdf","PDF")</f>
        <v>PDF</v>
      </c>
      <c r="K3201" s="15" t="s">
        <v>3227</v>
      </c>
    </row>
    <row r="3202" spans="1:12" x14ac:dyDescent="0.45">
      <c r="A3202" s="15" t="s">
        <v>3133</v>
      </c>
      <c r="B3202" s="15" t="s">
        <v>2369</v>
      </c>
      <c r="C3202" s="16" t="s">
        <v>2370</v>
      </c>
      <c r="D3202" s="16" t="s">
        <v>53</v>
      </c>
      <c r="E3202" s="15" t="s">
        <v>16</v>
      </c>
      <c r="F3202" s="17">
        <v>800000</v>
      </c>
      <c r="G3202" s="17">
        <v>680000</v>
      </c>
      <c r="H3202" s="16" t="s">
        <v>3228</v>
      </c>
      <c r="I3202" s="40" t="s">
        <v>18</v>
      </c>
      <c r="J3202" s="40" t="str">
        <f>HYPERLINK("https://stock.pstatic.net/stock-research/company/40/20260429_company_407344000.pdf","PDF")</f>
        <v>PDF</v>
      </c>
      <c r="K3202" s="15" t="s">
        <v>3229</v>
      </c>
      <c r="L3202" s="20">
        <v>0.1764705882352941</v>
      </c>
    </row>
    <row r="3203" spans="1:12" x14ac:dyDescent="0.45">
      <c r="A3203" s="15" t="s">
        <v>3133</v>
      </c>
      <c r="B3203" s="15" t="s">
        <v>3230</v>
      </c>
      <c r="C3203" s="16" t="s">
        <v>3231</v>
      </c>
      <c r="D3203" s="16" t="s">
        <v>92</v>
      </c>
      <c r="E3203" s="15" t="s">
        <v>35</v>
      </c>
      <c r="F3203" s="17">
        <v>5000000</v>
      </c>
      <c r="G3203" s="17">
        <v>3976000</v>
      </c>
      <c r="H3203" s="16" t="s">
        <v>3232</v>
      </c>
      <c r="I3203" s="40" t="s">
        <v>18</v>
      </c>
      <c r="J3203" s="40" t="str">
        <f>HYPERLINK("https://stock.pstatic.net/stock-research/company/63/20260429_company_662330000.pdf","PDF")</f>
        <v>PDF</v>
      </c>
      <c r="K3203" s="15" t="s">
        <v>3233</v>
      </c>
      <c r="L3203" s="20">
        <v>0.25754527162977869</v>
      </c>
    </row>
    <row r="3204" spans="1:12" x14ac:dyDescent="0.45">
      <c r="A3204" s="15" t="s">
        <v>3133</v>
      </c>
      <c r="B3204" s="15" t="s">
        <v>3204</v>
      </c>
      <c r="C3204" s="16" t="s">
        <v>3205</v>
      </c>
      <c r="D3204" s="16" t="s">
        <v>23</v>
      </c>
      <c r="E3204" s="15" t="s">
        <v>385</v>
      </c>
      <c r="F3204" s="16"/>
      <c r="G3204" s="17">
        <v>33200</v>
      </c>
      <c r="H3204" s="16" t="s">
        <v>3234</v>
      </c>
      <c r="I3204" s="40" t="s">
        <v>18</v>
      </c>
      <c r="J3204" s="40" t="str">
        <f>HYPERLINK("https://stock.pstatic.net/stock-research/company/21/20260429_company_219751000.pdf","PDF")</f>
        <v>PDF</v>
      </c>
      <c r="K3204" s="15" t="s">
        <v>3235</v>
      </c>
    </row>
    <row r="3205" spans="1:12" x14ac:dyDescent="0.45">
      <c r="A3205" s="15" t="s">
        <v>3133</v>
      </c>
      <c r="B3205" s="15" t="s">
        <v>3168</v>
      </c>
      <c r="C3205" s="16" t="s">
        <v>3169</v>
      </c>
      <c r="D3205" s="16" t="s">
        <v>23</v>
      </c>
      <c r="E3205" s="15" t="s">
        <v>16</v>
      </c>
      <c r="F3205" s="17">
        <v>22000</v>
      </c>
      <c r="G3205" s="17">
        <v>19280</v>
      </c>
      <c r="H3205" s="16" t="s">
        <v>3236</v>
      </c>
      <c r="I3205" s="40" t="s">
        <v>18</v>
      </c>
      <c r="J3205" s="40" t="str">
        <f>HYPERLINK("https://stock.pstatic.net/stock-research/company/21/20260429_company_63818000.pdf","PDF")</f>
        <v>PDF</v>
      </c>
      <c r="K3205" s="15" t="s">
        <v>3237</v>
      </c>
      <c r="L3205" s="20">
        <v>0.14107883817427391</v>
      </c>
    </row>
    <row r="3206" spans="1:12" x14ac:dyDescent="0.45">
      <c r="A3206" s="15" t="s">
        <v>3133</v>
      </c>
      <c r="B3206" s="15" t="s">
        <v>3164</v>
      </c>
      <c r="C3206" s="16" t="s">
        <v>3165</v>
      </c>
      <c r="D3206" s="16" t="s">
        <v>23</v>
      </c>
      <c r="E3206" s="15" t="s">
        <v>16</v>
      </c>
      <c r="F3206" s="17">
        <v>220000</v>
      </c>
      <c r="G3206" s="17">
        <v>167100</v>
      </c>
      <c r="H3206" s="16" t="s">
        <v>3238</v>
      </c>
      <c r="I3206" s="40" t="s">
        <v>18</v>
      </c>
      <c r="J3206" s="40" t="str">
        <f>HYPERLINK("https://stock.pstatic.net/stock-research/company/21/20260429_company_750214000.pdf","PDF")</f>
        <v>PDF</v>
      </c>
      <c r="K3206" s="15" t="s">
        <v>3239</v>
      </c>
      <c r="L3206" s="20">
        <v>0.3165769000598444</v>
      </c>
    </row>
    <row r="3207" spans="1:12" x14ac:dyDescent="0.45">
      <c r="A3207" s="15" t="s">
        <v>3133</v>
      </c>
      <c r="B3207" s="15" t="s">
        <v>3138</v>
      </c>
      <c r="C3207" s="16" t="s">
        <v>3139</v>
      </c>
      <c r="D3207" s="16" t="s">
        <v>53</v>
      </c>
      <c r="E3207" s="15" t="s">
        <v>16</v>
      </c>
      <c r="F3207" s="17">
        <v>20000</v>
      </c>
      <c r="G3207" s="17">
        <v>16150</v>
      </c>
      <c r="H3207" s="16" t="s">
        <v>3240</v>
      </c>
      <c r="I3207" s="40" t="s">
        <v>18</v>
      </c>
      <c r="J3207" s="40" t="str">
        <f>HYPERLINK("https://stock.pstatic.net/stock-research/company/40/20260429_company_102951000.pdf","PDF")</f>
        <v>PDF</v>
      </c>
      <c r="K3207" s="15" t="s">
        <v>3241</v>
      </c>
      <c r="L3207" s="20">
        <v>0.238390092879257</v>
      </c>
    </row>
    <row r="3208" spans="1:12" x14ac:dyDescent="0.45">
      <c r="A3208" s="15" t="s">
        <v>3133</v>
      </c>
      <c r="B3208" s="15" t="s">
        <v>3182</v>
      </c>
      <c r="C3208" s="16" t="s">
        <v>3183</v>
      </c>
      <c r="D3208" s="16" t="s">
        <v>92</v>
      </c>
      <c r="E3208" s="15" t="s">
        <v>35</v>
      </c>
      <c r="F3208" s="17">
        <v>1500000</v>
      </c>
      <c r="G3208" s="17">
        <v>1238000</v>
      </c>
      <c r="H3208" s="16" t="s">
        <v>3242</v>
      </c>
      <c r="I3208" s="40" t="s">
        <v>18</v>
      </c>
      <c r="J3208" s="40" t="str">
        <f>HYPERLINK("https://stock.pstatic.net/stock-research/company/63/20260429_company_586063000.pdf","PDF")</f>
        <v>PDF</v>
      </c>
      <c r="K3208" s="15" t="s">
        <v>3243</v>
      </c>
      <c r="L3208" s="20">
        <v>0.2116316639741519</v>
      </c>
    </row>
    <row r="3209" spans="1:12" x14ac:dyDescent="0.45">
      <c r="A3209" s="15" t="s">
        <v>3133</v>
      </c>
      <c r="B3209" s="15" t="s">
        <v>3244</v>
      </c>
      <c r="C3209" s="16" t="s">
        <v>3245</v>
      </c>
      <c r="D3209" s="16" t="s">
        <v>23</v>
      </c>
      <c r="E3209" s="15" t="s">
        <v>16</v>
      </c>
      <c r="F3209" s="17">
        <v>85000</v>
      </c>
      <c r="G3209" s="17">
        <v>76500</v>
      </c>
      <c r="H3209" s="16" t="s">
        <v>3246</v>
      </c>
      <c r="I3209" s="40" t="s">
        <v>18</v>
      </c>
      <c r="J3209" s="40" t="str">
        <f>HYPERLINK("https://stock.pstatic.net/stock-research/company/21/20260429_company_49330000.pdf","PDF")</f>
        <v>PDF</v>
      </c>
      <c r="K3209" s="15" t="s">
        <v>3247</v>
      </c>
      <c r="L3209" s="20">
        <v>0.1111111111111111</v>
      </c>
    </row>
    <row r="3210" spans="1:12" x14ac:dyDescent="0.45">
      <c r="A3210" s="15" t="s">
        <v>3133</v>
      </c>
      <c r="B3210" s="15" t="s">
        <v>3182</v>
      </c>
      <c r="C3210" s="16" t="s">
        <v>3183</v>
      </c>
      <c r="D3210" s="16" t="s">
        <v>23</v>
      </c>
      <c r="E3210" s="15" t="s">
        <v>16</v>
      </c>
      <c r="F3210" s="17">
        <v>1500000</v>
      </c>
      <c r="G3210" s="17">
        <v>1238000</v>
      </c>
      <c r="H3210" s="16" t="s">
        <v>3248</v>
      </c>
      <c r="I3210" s="40" t="s">
        <v>18</v>
      </c>
      <c r="J3210" s="40" t="str">
        <f>HYPERLINK("https://stock.pstatic.net/stock-research/company/21/20260429_company_597002000.pdf","PDF")</f>
        <v>PDF</v>
      </c>
      <c r="K3210" s="15" t="s">
        <v>3249</v>
      </c>
      <c r="L3210" s="20">
        <v>0.2116316639741519</v>
      </c>
    </row>
    <row r="3211" spans="1:12" x14ac:dyDescent="0.45">
      <c r="A3211" s="15" t="s">
        <v>3133</v>
      </c>
      <c r="B3211" s="15" t="s">
        <v>3182</v>
      </c>
      <c r="C3211" s="16" t="s">
        <v>3183</v>
      </c>
      <c r="D3211" s="16" t="s">
        <v>179</v>
      </c>
      <c r="E3211" s="15" t="s">
        <v>16</v>
      </c>
      <c r="F3211" s="17">
        <v>1500000</v>
      </c>
      <c r="G3211" s="17">
        <v>1238000</v>
      </c>
      <c r="H3211" s="16" t="s">
        <v>3250</v>
      </c>
      <c r="I3211" s="40" t="s">
        <v>18</v>
      </c>
      <c r="J3211" s="40" t="str">
        <f>HYPERLINK("https://stock.pstatic.net/stock-research/company/64/20260429_company_55715000.pdf","PDF")</f>
        <v>PDF</v>
      </c>
      <c r="K3211" s="15" t="s">
        <v>3251</v>
      </c>
      <c r="L3211" s="20">
        <v>0.2116316639741519</v>
      </c>
    </row>
    <row r="3212" spans="1:12" x14ac:dyDescent="0.45">
      <c r="A3212" s="15" t="s">
        <v>3133</v>
      </c>
      <c r="B3212" s="15" t="s">
        <v>3182</v>
      </c>
      <c r="C3212" s="16" t="s">
        <v>3183</v>
      </c>
      <c r="D3212" s="16" t="s">
        <v>53</v>
      </c>
      <c r="E3212" s="15" t="s">
        <v>16</v>
      </c>
      <c r="F3212" s="17">
        <v>1500000</v>
      </c>
      <c r="G3212" s="17">
        <v>1238000</v>
      </c>
      <c r="H3212" s="16" t="s">
        <v>3252</v>
      </c>
      <c r="I3212" s="40" t="s">
        <v>18</v>
      </c>
      <c r="J3212" s="40" t="str">
        <f>HYPERLINK("https://stock.pstatic.net/stock-research/company/40/20260429_company_947597000.pdf","PDF")</f>
        <v>PDF</v>
      </c>
      <c r="K3212" s="15" t="s">
        <v>3253</v>
      </c>
      <c r="L3212" s="20">
        <v>0.2116316639741519</v>
      </c>
    </row>
    <row r="3213" spans="1:12" x14ac:dyDescent="0.45">
      <c r="A3213" s="15" t="s">
        <v>3133</v>
      </c>
      <c r="B3213" s="15" t="s">
        <v>1051</v>
      </c>
      <c r="C3213" s="16" t="s">
        <v>1052</v>
      </c>
      <c r="D3213" s="16" t="s">
        <v>92</v>
      </c>
      <c r="E3213" s="15" t="s">
        <v>35</v>
      </c>
      <c r="F3213" s="17">
        <v>80000</v>
      </c>
      <c r="G3213" s="17">
        <v>62200</v>
      </c>
      <c r="H3213" s="16" t="s">
        <v>3254</v>
      </c>
      <c r="I3213" s="40" t="s">
        <v>18</v>
      </c>
      <c r="J3213" s="40" t="str">
        <f>HYPERLINK("https://stock.pstatic.net/stock-research/company/63/20260429_company_310420000.pdf","PDF")</f>
        <v>PDF</v>
      </c>
      <c r="K3213" s="15" t="s">
        <v>3255</v>
      </c>
      <c r="L3213" s="20">
        <v>0.2861736334405145</v>
      </c>
    </row>
    <row r="3214" spans="1:12" x14ac:dyDescent="0.45">
      <c r="A3214" s="15" t="s">
        <v>3133</v>
      </c>
      <c r="B3214" s="15" t="s">
        <v>3164</v>
      </c>
      <c r="C3214" s="16" t="s">
        <v>3165</v>
      </c>
      <c r="D3214" s="16" t="s">
        <v>34</v>
      </c>
      <c r="E3214" s="15" t="s">
        <v>35</v>
      </c>
      <c r="F3214" s="17">
        <v>210000</v>
      </c>
      <c r="G3214" s="17">
        <v>167100</v>
      </c>
      <c r="H3214" s="16" t="s">
        <v>3256</v>
      </c>
      <c r="I3214" s="40" t="s">
        <v>18</v>
      </c>
      <c r="J3214" s="40" t="str">
        <f>HYPERLINK("https://stock.pstatic.net/stock-research/company/61/20260429_company_950808000.pdf","PDF")</f>
        <v>PDF</v>
      </c>
      <c r="K3214" s="15" t="s">
        <v>3257</v>
      </c>
      <c r="L3214" s="20">
        <v>0.25673249551166971</v>
      </c>
    </row>
    <row r="3215" spans="1:12" x14ac:dyDescent="0.45">
      <c r="A3215" s="15" t="s">
        <v>3133</v>
      </c>
      <c r="B3215" s="15" t="s">
        <v>2199</v>
      </c>
      <c r="C3215" s="16" t="s">
        <v>2200</v>
      </c>
      <c r="D3215" s="16" t="s">
        <v>92</v>
      </c>
      <c r="E3215" s="15" t="s">
        <v>35</v>
      </c>
      <c r="F3215" s="17">
        <v>46000</v>
      </c>
      <c r="G3215" s="17">
        <v>33700</v>
      </c>
      <c r="H3215" s="16" t="s">
        <v>3258</v>
      </c>
      <c r="I3215" s="40" t="s">
        <v>18</v>
      </c>
      <c r="J3215" s="40" t="str">
        <f>HYPERLINK("https://stock.pstatic.net/stock-research/company/63/20260429_company_185451000.pdf","PDF")</f>
        <v>PDF</v>
      </c>
      <c r="K3215" s="15" t="s">
        <v>3259</v>
      </c>
      <c r="L3215" s="20">
        <v>0.36498516320474778</v>
      </c>
    </row>
    <row r="3216" spans="1:12" x14ac:dyDescent="0.45">
      <c r="A3216" s="15" t="s">
        <v>3133</v>
      </c>
      <c r="B3216" s="15" t="s">
        <v>3154</v>
      </c>
      <c r="C3216" s="16" t="s">
        <v>3155</v>
      </c>
      <c r="D3216" s="16" t="s">
        <v>23</v>
      </c>
      <c r="E3216" s="15" t="s">
        <v>16</v>
      </c>
      <c r="F3216" s="17">
        <v>8500</v>
      </c>
      <c r="G3216" s="17">
        <v>6120</v>
      </c>
      <c r="H3216" s="16" t="s">
        <v>3260</v>
      </c>
      <c r="I3216" s="40" t="s">
        <v>18</v>
      </c>
      <c r="J3216" s="40" t="str">
        <f>HYPERLINK("https://stock.pstatic.net/stock-research/company/21/20260429_company_786578000.pdf","PDF")</f>
        <v>PDF</v>
      </c>
      <c r="K3216" s="15" t="s">
        <v>3261</v>
      </c>
      <c r="L3216" s="20">
        <v>0.3888888888888889</v>
      </c>
    </row>
    <row r="3217" spans="1:12" x14ac:dyDescent="0.45">
      <c r="A3217" s="15" t="s">
        <v>3133</v>
      </c>
      <c r="B3217" s="15" t="s">
        <v>366</v>
      </c>
      <c r="C3217" s="16" t="s">
        <v>367</v>
      </c>
      <c r="D3217" s="16" t="s">
        <v>23</v>
      </c>
      <c r="E3217" s="15" t="s">
        <v>16</v>
      </c>
      <c r="F3217" s="17">
        <v>36000</v>
      </c>
      <c r="G3217" s="17">
        <v>25800</v>
      </c>
      <c r="H3217" s="16" t="s">
        <v>3262</v>
      </c>
      <c r="I3217" s="40" t="s">
        <v>18</v>
      </c>
      <c r="J3217" s="40" t="str">
        <f>HYPERLINK("https://stock.pstatic.net/stock-research/company/21/20260429_company_162734000.pdf","PDF")</f>
        <v>PDF</v>
      </c>
      <c r="K3217" s="15" t="s">
        <v>3263</v>
      </c>
      <c r="L3217" s="20">
        <v>0.39534883720930231</v>
      </c>
    </row>
    <row r="3218" spans="1:12" x14ac:dyDescent="0.45">
      <c r="A3218" s="15" t="s">
        <v>3133</v>
      </c>
      <c r="B3218" s="15" t="s">
        <v>1906</v>
      </c>
      <c r="C3218" s="16" t="s">
        <v>1907</v>
      </c>
      <c r="D3218" s="16" t="s">
        <v>23</v>
      </c>
      <c r="E3218" s="15" t="s">
        <v>16</v>
      </c>
      <c r="F3218" s="17">
        <v>72000</v>
      </c>
      <c r="G3218" s="17">
        <v>60600</v>
      </c>
      <c r="H3218" s="16" t="s">
        <v>3264</v>
      </c>
      <c r="I3218" s="40" t="s">
        <v>18</v>
      </c>
      <c r="J3218" s="40" t="str">
        <f>HYPERLINK("https://stock.pstatic.net/stock-research/company/21/20260429_company_934949000.pdf","PDF")</f>
        <v>PDF</v>
      </c>
      <c r="K3218" s="15" t="s">
        <v>3265</v>
      </c>
      <c r="L3218" s="20">
        <v>0.18811881188118809</v>
      </c>
    </row>
    <row r="3219" spans="1:12" x14ac:dyDescent="0.45">
      <c r="A3219" s="15" t="s">
        <v>3133</v>
      </c>
      <c r="B3219" s="15" t="s">
        <v>3123</v>
      </c>
      <c r="C3219" s="16" t="s">
        <v>3124</v>
      </c>
      <c r="D3219" s="16" t="s">
        <v>34</v>
      </c>
      <c r="E3219" s="15" t="s">
        <v>35</v>
      </c>
      <c r="F3219" s="17">
        <v>101000</v>
      </c>
      <c r="G3219" s="17">
        <v>81100</v>
      </c>
      <c r="H3219" s="16" t="s">
        <v>3266</v>
      </c>
      <c r="I3219" s="40" t="s">
        <v>18</v>
      </c>
      <c r="J3219" s="40" t="str">
        <f>HYPERLINK("https://stock.pstatic.net/stock-research/company/61/20260429_company_489832000.pdf","PDF")</f>
        <v>PDF</v>
      </c>
      <c r="K3219" s="15" t="s">
        <v>3267</v>
      </c>
      <c r="L3219" s="20">
        <v>0.24537607891491989</v>
      </c>
    </row>
    <row r="3220" spans="1:12" x14ac:dyDescent="0.45">
      <c r="A3220" s="15" t="s">
        <v>3133</v>
      </c>
      <c r="B3220" s="15" t="s">
        <v>3244</v>
      </c>
      <c r="C3220" s="16" t="s">
        <v>3245</v>
      </c>
      <c r="D3220" s="16" t="s">
        <v>44</v>
      </c>
      <c r="E3220" s="15" t="s">
        <v>35</v>
      </c>
      <c r="F3220" s="17">
        <v>96000</v>
      </c>
      <c r="G3220" s="17">
        <v>76500</v>
      </c>
      <c r="H3220" s="16" t="s">
        <v>3268</v>
      </c>
      <c r="I3220" s="40" t="s">
        <v>18</v>
      </c>
      <c r="J3220" s="40" t="str">
        <f>HYPERLINK("https://stock.pstatic.net/stock-research/company/39/20260429_company_440262000.pdf","PDF")</f>
        <v>PDF</v>
      </c>
      <c r="K3220" s="15" t="s">
        <v>3269</v>
      </c>
      <c r="L3220" s="20">
        <v>0.25490196078431371</v>
      </c>
    </row>
    <row r="3221" spans="1:12" x14ac:dyDescent="0.45">
      <c r="A3221" s="15" t="s">
        <v>3133</v>
      </c>
      <c r="B3221" s="15" t="s">
        <v>330</v>
      </c>
      <c r="C3221" s="16" t="s">
        <v>331</v>
      </c>
      <c r="D3221" s="16" t="s">
        <v>23</v>
      </c>
      <c r="E3221" s="15" t="s">
        <v>16</v>
      </c>
      <c r="F3221" s="17">
        <v>55000</v>
      </c>
      <c r="G3221" s="17">
        <v>49400</v>
      </c>
      <c r="H3221" s="16" t="s">
        <v>3270</v>
      </c>
      <c r="I3221" s="40" t="s">
        <v>18</v>
      </c>
      <c r="J3221" s="40" t="str">
        <f>HYPERLINK("https://stock.pstatic.net/stock-research/company/21/20260429_company_619473000.pdf","PDF")</f>
        <v>PDF</v>
      </c>
      <c r="K3221" s="15" t="s">
        <v>3271</v>
      </c>
      <c r="L3221" s="20">
        <v>0.11336032388663971</v>
      </c>
    </row>
    <row r="3222" spans="1:12" x14ac:dyDescent="0.45">
      <c r="A3222" s="15" t="s">
        <v>3133</v>
      </c>
      <c r="B3222" s="15" t="s">
        <v>3204</v>
      </c>
      <c r="C3222" s="16" t="s">
        <v>3205</v>
      </c>
      <c r="D3222" s="16" t="s">
        <v>44</v>
      </c>
      <c r="E3222" s="15" t="s">
        <v>50</v>
      </c>
      <c r="F3222" s="16"/>
      <c r="G3222" s="17">
        <v>37150</v>
      </c>
      <c r="H3222" s="16" t="s">
        <v>3272</v>
      </c>
      <c r="I3222" s="40" t="s">
        <v>18</v>
      </c>
      <c r="J3222" s="40" t="str">
        <f>HYPERLINK("https://stock.pstatic.net/stock-research/company/39/20260429_company_1673000.pdf","PDF")</f>
        <v>PDF</v>
      </c>
      <c r="K3222" s="15" t="s">
        <v>3273</v>
      </c>
    </row>
    <row r="3223" spans="1:12" x14ac:dyDescent="0.45">
      <c r="A3223" s="15" t="s">
        <v>3133</v>
      </c>
      <c r="B3223" s="15" t="s">
        <v>2369</v>
      </c>
      <c r="C3223" s="16" t="s">
        <v>2370</v>
      </c>
      <c r="D3223" s="16" t="s">
        <v>34</v>
      </c>
      <c r="E3223" s="15" t="s">
        <v>35</v>
      </c>
      <c r="F3223" s="17">
        <v>800000</v>
      </c>
      <c r="G3223" s="17">
        <v>680000</v>
      </c>
      <c r="H3223" s="16" t="s">
        <v>3274</v>
      </c>
      <c r="I3223" s="40" t="s">
        <v>18</v>
      </c>
      <c r="J3223" s="40" t="str">
        <f>HYPERLINK("https://stock.pstatic.net/stock-research/company/61/20260429_company_677538000.pdf","PDF")</f>
        <v>PDF</v>
      </c>
      <c r="K3223" s="15" t="s">
        <v>3275</v>
      </c>
      <c r="L3223" s="20">
        <v>0.1764705882352941</v>
      </c>
    </row>
    <row r="3224" spans="1:12" x14ac:dyDescent="0.45">
      <c r="A3224" s="15" t="s">
        <v>3133</v>
      </c>
      <c r="B3224" s="15" t="s">
        <v>2369</v>
      </c>
      <c r="C3224" s="16" t="s">
        <v>2370</v>
      </c>
      <c r="D3224" s="16" t="s">
        <v>23</v>
      </c>
      <c r="E3224" s="15" t="s">
        <v>16</v>
      </c>
      <c r="F3224" s="17">
        <v>800000</v>
      </c>
      <c r="G3224" s="17">
        <v>680000</v>
      </c>
      <c r="H3224" s="16" t="s">
        <v>3276</v>
      </c>
      <c r="I3224" s="40" t="s">
        <v>18</v>
      </c>
      <c r="J3224" s="40" t="str">
        <f>HYPERLINK("https://stock.pstatic.net/stock-research/company/21/20260429_company_507253000.pdf","PDF")</f>
        <v>PDF</v>
      </c>
      <c r="K3224" s="15" t="s">
        <v>3277</v>
      </c>
      <c r="L3224" s="20">
        <v>0.1764705882352941</v>
      </c>
    </row>
    <row r="3225" spans="1:12" x14ac:dyDescent="0.45">
      <c r="A3225" s="15" t="s">
        <v>3133</v>
      </c>
      <c r="B3225" s="15" t="s">
        <v>2837</v>
      </c>
      <c r="C3225" s="16" t="s">
        <v>2838</v>
      </c>
      <c r="D3225" s="16" t="s">
        <v>44</v>
      </c>
      <c r="E3225" s="15" t="s">
        <v>35</v>
      </c>
      <c r="F3225" s="17">
        <v>170000</v>
      </c>
      <c r="G3225" s="17">
        <v>119900</v>
      </c>
      <c r="H3225" s="16" t="s">
        <v>3278</v>
      </c>
      <c r="I3225" s="40" t="s">
        <v>18</v>
      </c>
      <c r="J3225" s="40" t="str">
        <f>HYPERLINK("https://stock.pstatic.net/stock-research/company/39/20260429_company_491730000.pdf","PDF")</f>
        <v>PDF</v>
      </c>
      <c r="K3225" s="15" t="s">
        <v>3279</v>
      </c>
      <c r="L3225" s="20">
        <v>0.41784820683903251</v>
      </c>
    </row>
    <row r="3226" spans="1:12" x14ac:dyDescent="0.45">
      <c r="A3226" s="15" t="s">
        <v>3133</v>
      </c>
      <c r="B3226" s="15" t="s">
        <v>3280</v>
      </c>
      <c r="C3226" s="16" t="s">
        <v>3281</v>
      </c>
      <c r="D3226" s="16" t="s">
        <v>23</v>
      </c>
      <c r="E3226" s="15" t="s">
        <v>16</v>
      </c>
      <c r="F3226" s="17">
        <v>100000</v>
      </c>
      <c r="G3226" s="17">
        <v>64500</v>
      </c>
      <c r="H3226" s="16" t="s">
        <v>3282</v>
      </c>
      <c r="I3226" s="40" t="s">
        <v>18</v>
      </c>
      <c r="J3226" s="40" t="str">
        <f>HYPERLINK("https://stock.pstatic.net/stock-research/company/21/20260429_company_161288000.pdf","PDF")</f>
        <v>PDF</v>
      </c>
      <c r="K3226" s="15" t="s">
        <v>3283</v>
      </c>
      <c r="L3226" s="20">
        <v>0.55038759689922478</v>
      </c>
    </row>
    <row r="3227" spans="1:12" x14ac:dyDescent="0.45">
      <c r="A3227" s="15" t="s">
        <v>3133</v>
      </c>
      <c r="B3227" s="15" t="s">
        <v>3284</v>
      </c>
      <c r="C3227" s="16" t="s">
        <v>3285</v>
      </c>
      <c r="D3227" s="16" t="s">
        <v>44</v>
      </c>
      <c r="E3227" s="15" t="s">
        <v>35</v>
      </c>
      <c r="F3227" s="17">
        <v>179000</v>
      </c>
      <c r="G3227" s="17">
        <v>133900</v>
      </c>
      <c r="H3227" s="16" t="s">
        <v>3286</v>
      </c>
      <c r="I3227" s="40" t="s">
        <v>18</v>
      </c>
      <c r="J3227" s="40" t="str">
        <f>HYPERLINK("https://stock.pstatic.net/stock-research/company/39/20260429_company_680080000.pdf","PDF")</f>
        <v>PDF</v>
      </c>
      <c r="K3227" s="15" t="s">
        <v>3287</v>
      </c>
      <c r="L3227" s="20">
        <v>0.33681852128454071</v>
      </c>
    </row>
    <row r="3228" spans="1:12" x14ac:dyDescent="0.45">
      <c r="A3228" s="15" t="s">
        <v>3133</v>
      </c>
      <c r="B3228" s="15" t="s">
        <v>352</v>
      </c>
      <c r="C3228" s="16" t="s">
        <v>353</v>
      </c>
      <c r="D3228" s="16" t="s">
        <v>44</v>
      </c>
      <c r="E3228" s="15" t="s">
        <v>35</v>
      </c>
      <c r="F3228" s="17">
        <v>340000</v>
      </c>
      <c r="G3228" s="17">
        <v>244500</v>
      </c>
      <c r="H3228" s="16" t="s">
        <v>3288</v>
      </c>
      <c r="I3228" s="40" t="s">
        <v>18</v>
      </c>
      <c r="J3228" s="40" t="str">
        <f>HYPERLINK("https://stock.pstatic.net/stock-research/company/39/20260429_company_107217000.pdf","PDF")</f>
        <v>PDF</v>
      </c>
      <c r="K3228" s="15" t="s">
        <v>3289</v>
      </c>
      <c r="L3228" s="20">
        <v>0.39059304703476477</v>
      </c>
    </row>
    <row r="3229" spans="1:12" x14ac:dyDescent="0.45">
      <c r="A3229" s="15" t="s">
        <v>3133</v>
      </c>
      <c r="B3229" s="15" t="s">
        <v>2369</v>
      </c>
      <c r="C3229" s="16" t="s">
        <v>2370</v>
      </c>
      <c r="D3229" s="16" t="s">
        <v>44</v>
      </c>
      <c r="E3229" s="15" t="s">
        <v>35</v>
      </c>
      <c r="F3229" s="17">
        <v>820000</v>
      </c>
      <c r="G3229" s="17">
        <v>680000</v>
      </c>
      <c r="H3229" s="16" t="s">
        <v>3290</v>
      </c>
      <c r="I3229" s="40" t="s">
        <v>18</v>
      </c>
      <c r="J3229" s="40" t="str">
        <f>HYPERLINK("https://stock.pstatic.net/stock-research/company/39/20260429_company_63549000.pdf","PDF")</f>
        <v>PDF</v>
      </c>
      <c r="K3229" s="15" t="s">
        <v>3291</v>
      </c>
      <c r="L3229" s="20">
        <v>0.20588235294117649</v>
      </c>
    </row>
    <row r="3230" spans="1:12" x14ac:dyDescent="0.45">
      <c r="A3230" s="15" t="s">
        <v>3133</v>
      </c>
      <c r="B3230" s="15" t="s">
        <v>330</v>
      </c>
      <c r="C3230" s="16" t="s">
        <v>331</v>
      </c>
      <c r="D3230" s="16" t="s">
        <v>34</v>
      </c>
      <c r="E3230" s="15" t="s">
        <v>35</v>
      </c>
      <c r="F3230" s="17">
        <v>61000</v>
      </c>
      <c r="G3230" s="17">
        <v>49400</v>
      </c>
      <c r="H3230" s="16" t="s">
        <v>3292</v>
      </c>
      <c r="I3230" s="40" t="s">
        <v>18</v>
      </c>
      <c r="J3230" s="40" t="str">
        <f>HYPERLINK("https://stock.pstatic.net/stock-research/company/61/20260429_company_748814000.pdf","PDF")</f>
        <v>PDF</v>
      </c>
      <c r="K3230" s="15" t="s">
        <v>3293</v>
      </c>
      <c r="L3230" s="20">
        <v>0.23481781376518221</v>
      </c>
    </row>
    <row r="3231" spans="1:12" x14ac:dyDescent="0.45">
      <c r="A3231" s="15" t="s">
        <v>3133</v>
      </c>
      <c r="B3231" s="15" t="s">
        <v>3168</v>
      </c>
      <c r="C3231" s="16" t="s">
        <v>3169</v>
      </c>
      <c r="D3231" s="16" t="s">
        <v>34</v>
      </c>
      <c r="E3231" s="15" t="s">
        <v>35</v>
      </c>
      <c r="F3231" s="17">
        <v>23000</v>
      </c>
      <c r="G3231" s="17">
        <v>19280</v>
      </c>
      <c r="H3231" s="16" t="s">
        <v>3294</v>
      </c>
      <c r="I3231" s="40" t="s">
        <v>18</v>
      </c>
      <c r="J3231" s="40" t="str">
        <f>HYPERLINK("https://stock.pstatic.net/stock-research/company/61/20260429_company_371352000.pdf","PDF")</f>
        <v>PDF</v>
      </c>
      <c r="K3231" s="15" t="s">
        <v>3295</v>
      </c>
      <c r="L3231" s="20">
        <v>0.19294605809128629</v>
      </c>
    </row>
    <row r="3232" spans="1:12" x14ac:dyDescent="0.45">
      <c r="A3232" s="15" t="s">
        <v>3133</v>
      </c>
      <c r="B3232" s="15" t="s">
        <v>3296</v>
      </c>
      <c r="C3232" s="16" t="s">
        <v>3297</v>
      </c>
      <c r="D3232" s="16" t="s">
        <v>34</v>
      </c>
      <c r="E3232" s="15" t="s">
        <v>35</v>
      </c>
      <c r="F3232" s="17">
        <v>70000</v>
      </c>
      <c r="G3232" s="17">
        <v>54500</v>
      </c>
      <c r="H3232" s="16" t="s">
        <v>3298</v>
      </c>
      <c r="I3232" s="40" t="s">
        <v>18</v>
      </c>
      <c r="J3232" s="40" t="str">
        <f>HYPERLINK("https://stock.pstatic.net/stock-research/company/61/20260429_company_831308000.pdf","PDF")</f>
        <v>PDF</v>
      </c>
      <c r="K3232" s="15" t="s">
        <v>3299</v>
      </c>
      <c r="L3232" s="20">
        <v>0.28440366972477071</v>
      </c>
    </row>
    <row r="3233" spans="1:12" x14ac:dyDescent="0.45">
      <c r="A3233" s="15" t="s">
        <v>3133</v>
      </c>
      <c r="B3233" s="15" t="s">
        <v>330</v>
      </c>
      <c r="C3233" s="16" t="s">
        <v>331</v>
      </c>
      <c r="D3233" s="16" t="s">
        <v>44</v>
      </c>
      <c r="E3233" s="15" t="s">
        <v>35</v>
      </c>
      <c r="F3233" s="17">
        <v>60000</v>
      </c>
      <c r="G3233" s="17">
        <v>49400</v>
      </c>
      <c r="H3233" s="16" t="s">
        <v>3300</v>
      </c>
      <c r="I3233" s="40" t="s">
        <v>18</v>
      </c>
      <c r="J3233" s="40" t="str">
        <f>HYPERLINK("https://stock.pstatic.net/stock-research/company/39/20260429_company_323291000.pdf","PDF")</f>
        <v>PDF</v>
      </c>
      <c r="K3233" s="15" t="s">
        <v>3301</v>
      </c>
      <c r="L3233" s="20">
        <v>0.2145748987854251</v>
      </c>
    </row>
    <row r="3234" spans="1:12" x14ac:dyDescent="0.45">
      <c r="A3234" s="15" t="s">
        <v>3133</v>
      </c>
      <c r="B3234" s="15" t="s">
        <v>3150</v>
      </c>
      <c r="C3234" s="16" t="s">
        <v>3151</v>
      </c>
      <c r="D3234" s="16" t="s">
        <v>44</v>
      </c>
      <c r="E3234" s="15" t="s">
        <v>35</v>
      </c>
      <c r="F3234" s="17">
        <v>200000</v>
      </c>
      <c r="G3234" s="17">
        <v>139400</v>
      </c>
      <c r="H3234" s="16" t="s">
        <v>3302</v>
      </c>
      <c r="I3234" s="40" t="s">
        <v>18</v>
      </c>
      <c r="J3234" s="40" t="str">
        <f>HYPERLINK("https://stock.pstatic.net/stock-research/company/39/20260429_company_332951000.pdf","PDF")</f>
        <v>PDF</v>
      </c>
      <c r="K3234" s="15" t="s">
        <v>3303</v>
      </c>
      <c r="L3234" s="20">
        <v>0.4347202295552367</v>
      </c>
    </row>
    <row r="3235" spans="1:12" x14ac:dyDescent="0.45">
      <c r="A3235" s="15" t="s">
        <v>3133</v>
      </c>
      <c r="B3235" s="15" t="s">
        <v>3296</v>
      </c>
      <c r="C3235" s="16" t="s">
        <v>3297</v>
      </c>
      <c r="D3235" s="16" t="s">
        <v>44</v>
      </c>
      <c r="E3235" s="15" t="s">
        <v>35</v>
      </c>
      <c r="F3235" s="17">
        <v>69000</v>
      </c>
      <c r="G3235" s="17">
        <v>54500</v>
      </c>
      <c r="H3235" s="16" t="s">
        <v>3304</v>
      </c>
      <c r="I3235" s="40" t="s">
        <v>18</v>
      </c>
      <c r="J3235" s="40" t="str">
        <f>HYPERLINK("https://stock.pstatic.net/stock-research/company/39/20260429_company_882072000.pdf","PDF")</f>
        <v>PDF</v>
      </c>
      <c r="K3235" s="15" t="s">
        <v>3305</v>
      </c>
      <c r="L3235" s="20">
        <v>0.26605504587155959</v>
      </c>
    </row>
    <row r="3236" spans="1:12" x14ac:dyDescent="0.45">
      <c r="A3236" s="15" t="s">
        <v>3133</v>
      </c>
      <c r="B3236" s="15" t="s">
        <v>3164</v>
      </c>
      <c r="C3236" s="16" t="s">
        <v>3165</v>
      </c>
      <c r="D3236" s="16" t="s">
        <v>44</v>
      </c>
      <c r="E3236" s="15" t="s">
        <v>35</v>
      </c>
      <c r="F3236" s="17">
        <v>214000</v>
      </c>
      <c r="G3236" s="17">
        <v>167100</v>
      </c>
      <c r="H3236" s="16" t="s">
        <v>3306</v>
      </c>
      <c r="I3236" s="40" t="s">
        <v>18</v>
      </c>
      <c r="J3236" s="40" t="str">
        <f>HYPERLINK("https://stock.pstatic.net/stock-research/company/39/20260429_company_569464000.pdf","PDF")</f>
        <v>PDF</v>
      </c>
      <c r="K3236" s="15" t="s">
        <v>3307</v>
      </c>
      <c r="L3236" s="20">
        <v>0.28067025733093948</v>
      </c>
    </row>
    <row r="3237" spans="1:12" x14ac:dyDescent="0.45">
      <c r="A3237" s="15" t="s">
        <v>3133</v>
      </c>
      <c r="B3237" s="15" t="s">
        <v>3308</v>
      </c>
      <c r="C3237" s="16" t="s">
        <v>3309</v>
      </c>
      <c r="D3237" s="16" t="s">
        <v>44</v>
      </c>
      <c r="E3237" s="15" t="s">
        <v>50</v>
      </c>
      <c r="F3237" s="16"/>
      <c r="G3237" s="17">
        <v>4340</v>
      </c>
      <c r="H3237" s="16" t="s">
        <v>3310</v>
      </c>
      <c r="I3237" s="40" t="s">
        <v>18</v>
      </c>
      <c r="J3237" s="40" t="str">
        <f>HYPERLINK("https://stock.pstatic.net/stock-research/company/39/20260429_company_27672000.pdf","PDF")</f>
        <v>PDF</v>
      </c>
      <c r="K3237" s="15" t="s">
        <v>3311</v>
      </c>
    </row>
    <row r="3238" spans="1:12" x14ac:dyDescent="0.45">
      <c r="A3238" s="15" t="s">
        <v>3133</v>
      </c>
      <c r="B3238" s="15" t="s">
        <v>3168</v>
      </c>
      <c r="C3238" s="16" t="s">
        <v>3169</v>
      </c>
      <c r="D3238" s="16" t="s">
        <v>44</v>
      </c>
      <c r="E3238" s="15" t="s">
        <v>35</v>
      </c>
      <c r="F3238" s="17">
        <v>25500</v>
      </c>
      <c r="G3238" s="17">
        <v>19280</v>
      </c>
      <c r="H3238" s="16" t="s">
        <v>3312</v>
      </c>
      <c r="I3238" s="40" t="s">
        <v>18</v>
      </c>
      <c r="J3238" s="40" t="str">
        <f>HYPERLINK("https://stock.pstatic.net/stock-research/company/39/20260429_company_90172000.pdf","PDF")</f>
        <v>PDF</v>
      </c>
      <c r="K3238" s="15" t="s">
        <v>3313</v>
      </c>
      <c r="L3238" s="20">
        <v>0.32261410788381739</v>
      </c>
    </row>
    <row r="3239" spans="1:12" x14ac:dyDescent="0.45">
      <c r="A3239" s="15" t="s">
        <v>3133</v>
      </c>
      <c r="B3239" s="15" t="s">
        <v>3314</v>
      </c>
      <c r="C3239" s="16" t="s">
        <v>3315</v>
      </c>
      <c r="D3239" s="16" t="s">
        <v>124</v>
      </c>
      <c r="E3239" s="15" t="s">
        <v>50</v>
      </c>
      <c r="F3239" s="16"/>
      <c r="G3239" s="16"/>
      <c r="H3239" s="16" t="s">
        <v>3316</v>
      </c>
      <c r="I3239" s="40" t="s">
        <v>18</v>
      </c>
      <c r="J3239" s="40" t="str">
        <f>HYPERLINK("https://stock.pstatic.net/stock-research/company/74/20260429_company_992853000.pdf","PDF")</f>
        <v>PDF</v>
      </c>
      <c r="K3239" s="15" t="s">
        <v>3317</v>
      </c>
    </row>
    <row r="3240" spans="1:12" x14ac:dyDescent="0.45">
      <c r="A3240" s="15" t="s">
        <v>3133</v>
      </c>
      <c r="B3240" s="15" t="s">
        <v>334</v>
      </c>
      <c r="C3240" s="16" t="s">
        <v>335</v>
      </c>
      <c r="D3240" s="16" t="s">
        <v>853</v>
      </c>
      <c r="E3240" s="15" t="s">
        <v>35</v>
      </c>
      <c r="F3240" s="17">
        <v>2000000</v>
      </c>
      <c r="G3240" s="17">
        <v>1225000</v>
      </c>
      <c r="H3240" s="16" t="s">
        <v>3318</v>
      </c>
      <c r="I3240" s="40" t="s">
        <v>18</v>
      </c>
      <c r="J3240" s="40" t="str">
        <f>HYPERLINK("https://stock.pstatic.net/stock-research/company/17/20260429_company_568167000.pdf","PDF")</f>
        <v>PDF</v>
      </c>
      <c r="K3240" s="15" t="s">
        <v>3319</v>
      </c>
      <c r="L3240" s="20">
        <v>0.63265306122448983</v>
      </c>
    </row>
    <row r="3241" spans="1:12" x14ac:dyDescent="0.45">
      <c r="A3241" s="15" t="s">
        <v>3320</v>
      </c>
      <c r="B3241" s="15" t="s">
        <v>888</v>
      </c>
      <c r="C3241" s="16" t="s">
        <v>889</v>
      </c>
      <c r="D3241" s="16" t="s">
        <v>57</v>
      </c>
      <c r="E3241" s="15" t="s">
        <v>35</v>
      </c>
      <c r="F3241" s="17">
        <v>80000</v>
      </c>
      <c r="G3241" s="17">
        <v>57100</v>
      </c>
      <c r="H3241" s="16" t="s">
        <v>3321</v>
      </c>
      <c r="I3241" s="40" t="s">
        <v>18</v>
      </c>
      <c r="J3241" s="40" t="str">
        <f>HYPERLINK("https://stock.pstatic.net/stock-research/company/16/20260428_company_606363000.pdf","PDF")</f>
        <v>PDF</v>
      </c>
      <c r="K3241" s="15" t="s">
        <v>3322</v>
      </c>
      <c r="L3241" s="20">
        <v>0.40105078809106831</v>
      </c>
    </row>
    <row r="3242" spans="1:12" x14ac:dyDescent="0.45">
      <c r="A3242" s="15" t="s">
        <v>3320</v>
      </c>
      <c r="B3242" s="15" t="s">
        <v>3284</v>
      </c>
      <c r="C3242" s="16" t="s">
        <v>3285</v>
      </c>
      <c r="D3242" s="16" t="s">
        <v>57</v>
      </c>
      <c r="E3242" s="15" t="s">
        <v>35</v>
      </c>
      <c r="F3242" s="17">
        <v>175000</v>
      </c>
      <c r="G3242" s="17">
        <v>133500</v>
      </c>
      <c r="H3242" s="16" t="s">
        <v>3323</v>
      </c>
      <c r="I3242" s="40" t="s">
        <v>18</v>
      </c>
      <c r="J3242" s="40" t="str">
        <f>HYPERLINK("https://stock.pstatic.net/stock-research/company/16/20260428_company_93305000.pdf","PDF")</f>
        <v>PDF</v>
      </c>
      <c r="K3242" s="15" t="s">
        <v>3324</v>
      </c>
      <c r="L3242" s="20">
        <v>0.31086142322097382</v>
      </c>
    </row>
    <row r="3243" spans="1:12" x14ac:dyDescent="0.45">
      <c r="A3243" s="15" t="s">
        <v>3320</v>
      </c>
      <c r="B3243" s="15" t="s">
        <v>3150</v>
      </c>
      <c r="C3243" s="16" t="s">
        <v>3151</v>
      </c>
      <c r="D3243" s="16" t="s">
        <v>276</v>
      </c>
      <c r="E3243" s="15" t="s">
        <v>50</v>
      </c>
      <c r="F3243" s="16"/>
      <c r="G3243" s="17">
        <v>172700</v>
      </c>
      <c r="H3243" s="16" t="s">
        <v>3325</v>
      </c>
      <c r="I3243" s="40" t="s">
        <v>18</v>
      </c>
      <c r="J3243" s="40" t="str">
        <f>HYPERLINK("https://stock.pstatic.net/stock-research/company/66/20260428_company_165384000.pdf","PDF")</f>
        <v>PDF</v>
      </c>
      <c r="K3243" s="15" t="s">
        <v>3326</v>
      </c>
    </row>
    <row r="3244" spans="1:12" x14ac:dyDescent="0.45">
      <c r="A3244" s="15" t="s">
        <v>3320</v>
      </c>
      <c r="B3244" s="15" t="s">
        <v>3327</v>
      </c>
      <c r="C3244" s="16" t="s">
        <v>3328</v>
      </c>
      <c r="D3244" s="16" t="s">
        <v>276</v>
      </c>
      <c r="E3244" s="15" t="s">
        <v>50</v>
      </c>
      <c r="F3244" s="16"/>
      <c r="G3244" s="17">
        <v>196800</v>
      </c>
      <c r="H3244" s="16" t="s">
        <v>3329</v>
      </c>
      <c r="I3244" s="40" t="s">
        <v>18</v>
      </c>
      <c r="J3244" s="40" t="str">
        <f>HYPERLINK("https://stock.pstatic.net/stock-research/company/66/20260428_company_987922000.pdf","PDF")</f>
        <v>PDF</v>
      </c>
      <c r="K3244" s="15" t="s">
        <v>3330</v>
      </c>
    </row>
    <row r="3245" spans="1:12" x14ac:dyDescent="0.45">
      <c r="A3245" s="15" t="s">
        <v>3320</v>
      </c>
      <c r="B3245" s="15" t="s">
        <v>3284</v>
      </c>
      <c r="C3245" s="16" t="s">
        <v>3285</v>
      </c>
      <c r="D3245" s="16" t="s">
        <v>276</v>
      </c>
      <c r="E3245" s="15" t="s">
        <v>16</v>
      </c>
      <c r="F3245" s="17">
        <v>170000</v>
      </c>
      <c r="G3245" s="17">
        <v>133500</v>
      </c>
      <c r="H3245" s="16" t="s">
        <v>3331</v>
      </c>
      <c r="I3245" s="40" t="s">
        <v>18</v>
      </c>
      <c r="J3245" s="40" t="str">
        <f>HYPERLINK("https://stock.pstatic.net/stock-research/company/66/20260428_company_737267000.pdf","PDF")</f>
        <v>PDF</v>
      </c>
      <c r="K3245" s="15" t="s">
        <v>3332</v>
      </c>
      <c r="L3245" s="20">
        <v>0.27340823970037448</v>
      </c>
    </row>
    <row r="3246" spans="1:12" x14ac:dyDescent="0.45">
      <c r="A3246" s="15" t="s">
        <v>3320</v>
      </c>
      <c r="B3246" s="15" t="s">
        <v>740</v>
      </c>
      <c r="C3246" s="16" t="s">
        <v>741</v>
      </c>
      <c r="D3246" s="16" t="s">
        <v>276</v>
      </c>
      <c r="E3246" s="15" t="s">
        <v>16</v>
      </c>
      <c r="F3246" s="17">
        <v>660000</v>
      </c>
      <c r="G3246" s="17">
        <v>536000</v>
      </c>
      <c r="H3246" s="16" t="s">
        <v>3333</v>
      </c>
      <c r="I3246" s="40" t="s">
        <v>18</v>
      </c>
      <c r="J3246" s="40" t="str">
        <f>HYPERLINK("https://stock.pstatic.net/stock-research/company/66/20260428_company_682380000.pdf","PDF")</f>
        <v>PDF</v>
      </c>
      <c r="K3246" s="15" t="s">
        <v>3334</v>
      </c>
      <c r="L3246" s="20">
        <v>0.23134328358208961</v>
      </c>
    </row>
    <row r="3247" spans="1:12" x14ac:dyDescent="0.45">
      <c r="A3247" s="15" t="s">
        <v>3320</v>
      </c>
      <c r="B3247" s="15" t="s">
        <v>740</v>
      </c>
      <c r="C3247" s="16" t="s">
        <v>741</v>
      </c>
      <c r="D3247" s="16" t="s">
        <v>60</v>
      </c>
      <c r="E3247" s="15" t="s">
        <v>35</v>
      </c>
      <c r="F3247" s="17">
        <v>680000</v>
      </c>
      <c r="G3247" s="17">
        <v>536000</v>
      </c>
      <c r="H3247" s="16" t="s">
        <v>3335</v>
      </c>
      <c r="I3247" s="40" t="s">
        <v>18</v>
      </c>
      <c r="J3247" s="40" t="str">
        <f>HYPERLINK("https://stock.pstatic.net/stock-research/company/62/20260428_company_432657000.pdf","PDF")</f>
        <v>PDF</v>
      </c>
      <c r="K3247" s="15" t="s">
        <v>3336</v>
      </c>
      <c r="L3247" s="20">
        <v>0.26865671641791039</v>
      </c>
    </row>
    <row r="3248" spans="1:12" x14ac:dyDescent="0.45">
      <c r="A3248" s="15" t="s">
        <v>3320</v>
      </c>
      <c r="B3248" s="15" t="s">
        <v>1087</v>
      </c>
      <c r="C3248" s="16" t="s">
        <v>1088</v>
      </c>
      <c r="D3248" s="16" t="s">
        <v>65</v>
      </c>
      <c r="E3248" s="15" t="s">
        <v>35</v>
      </c>
      <c r="F3248" s="17">
        <v>210000</v>
      </c>
      <c r="G3248" s="17">
        <v>167500</v>
      </c>
      <c r="H3248" s="16" t="s">
        <v>3337</v>
      </c>
      <c r="I3248" s="40" t="s">
        <v>18</v>
      </c>
      <c r="J3248" s="40" t="str">
        <f>HYPERLINK("https://stock.pstatic.net/stock-research/company/57/20260428_company_524634000.pdf","PDF")</f>
        <v>PDF</v>
      </c>
      <c r="K3248" s="15" t="s">
        <v>3338</v>
      </c>
      <c r="L3248" s="20">
        <v>0.2537313432835821</v>
      </c>
    </row>
    <row r="3249" spans="1:12" x14ac:dyDescent="0.45">
      <c r="A3249" s="15" t="s">
        <v>3320</v>
      </c>
      <c r="B3249" s="15" t="s">
        <v>3284</v>
      </c>
      <c r="C3249" s="16" t="s">
        <v>3285</v>
      </c>
      <c r="D3249" s="16" t="s">
        <v>65</v>
      </c>
      <c r="E3249" s="15" t="s">
        <v>35</v>
      </c>
      <c r="F3249" s="17">
        <v>175000</v>
      </c>
      <c r="G3249" s="17">
        <v>133500</v>
      </c>
      <c r="H3249" s="16" t="s">
        <v>3339</v>
      </c>
      <c r="I3249" s="40" t="s">
        <v>18</v>
      </c>
      <c r="J3249" s="40" t="str">
        <f>HYPERLINK("https://stock.pstatic.net/stock-research/company/57/20260428_company_797951000.pdf","PDF")</f>
        <v>PDF</v>
      </c>
      <c r="K3249" s="15" t="s">
        <v>3340</v>
      </c>
      <c r="L3249" s="20">
        <v>0.31086142322097382</v>
      </c>
    </row>
    <row r="3250" spans="1:12" x14ac:dyDescent="0.45">
      <c r="A3250" s="15" t="s">
        <v>3320</v>
      </c>
      <c r="B3250" s="15" t="s">
        <v>533</v>
      </c>
      <c r="C3250" s="16" t="s">
        <v>534</v>
      </c>
      <c r="D3250" s="16" t="s">
        <v>65</v>
      </c>
      <c r="E3250" s="15" t="s">
        <v>35</v>
      </c>
      <c r="F3250" s="17">
        <v>76000</v>
      </c>
      <c r="G3250" s="17">
        <v>61100</v>
      </c>
      <c r="H3250" s="16" t="s">
        <v>3341</v>
      </c>
      <c r="I3250" s="40" t="s">
        <v>18</v>
      </c>
      <c r="J3250" s="40" t="str">
        <f>HYPERLINK("https://stock.pstatic.net/stock-research/company/57/20260428_company_521135000.pdf","PDF")</f>
        <v>PDF</v>
      </c>
      <c r="K3250" s="15" t="s">
        <v>3342</v>
      </c>
      <c r="L3250" s="20">
        <v>0.24386252045826509</v>
      </c>
    </row>
    <row r="3251" spans="1:12" x14ac:dyDescent="0.45">
      <c r="A3251" s="15" t="s">
        <v>3320</v>
      </c>
      <c r="B3251" s="15" t="s">
        <v>537</v>
      </c>
      <c r="C3251" s="16" t="s">
        <v>538</v>
      </c>
      <c r="D3251" s="16" t="s">
        <v>65</v>
      </c>
      <c r="E3251" s="15" t="s">
        <v>35</v>
      </c>
      <c r="F3251" s="17">
        <v>20000</v>
      </c>
      <c r="G3251" s="17">
        <v>16430</v>
      </c>
      <c r="H3251" s="16" t="s">
        <v>3343</v>
      </c>
      <c r="I3251" s="40" t="s">
        <v>18</v>
      </c>
      <c r="J3251" s="40" t="str">
        <f>HYPERLINK("https://stock.pstatic.net/stock-research/company/57/20260428_company_435019000.pdf","PDF")</f>
        <v>PDF</v>
      </c>
      <c r="K3251" s="15" t="s">
        <v>3344</v>
      </c>
      <c r="L3251" s="20">
        <v>0.21728545343883141</v>
      </c>
    </row>
    <row r="3252" spans="1:12" x14ac:dyDescent="0.45">
      <c r="A3252" s="15" t="s">
        <v>3320</v>
      </c>
      <c r="B3252" s="15" t="s">
        <v>541</v>
      </c>
      <c r="C3252" s="16" t="s">
        <v>542</v>
      </c>
      <c r="D3252" s="16" t="s">
        <v>65</v>
      </c>
      <c r="E3252" s="15" t="s">
        <v>35</v>
      </c>
      <c r="F3252" s="17">
        <v>140000</v>
      </c>
      <c r="G3252" s="17">
        <v>98000</v>
      </c>
      <c r="H3252" s="16" t="s">
        <v>3345</v>
      </c>
      <c r="I3252" s="40" t="s">
        <v>18</v>
      </c>
      <c r="J3252" s="40" t="str">
        <f>HYPERLINK("https://stock.pstatic.net/stock-research/company/57/20260428_company_438492000.pdf","PDF")</f>
        <v>PDF</v>
      </c>
      <c r="K3252" s="15" t="s">
        <v>3346</v>
      </c>
      <c r="L3252" s="20">
        <v>0.42857142857142849</v>
      </c>
    </row>
    <row r="3253" spans="1:12" x14ac:dyDescent="0.45">
      <c r="A3253" s="15" t="s">
        <v>3320</v>
      </c>
      <c r="B3253" s="15" t="s">
        <v>1789</v>
      </c>
      <c r="C3253" s="16" t="s">
        <v>1790</v>
      </c>
      <c r="D3253" s="16" t="s">
        <v>65</v>
      </c>
      <c r="E3253" s="15" t="s">
        <v>35</v>
      </c>
      <c r="F3253" s="17">
        <v>117000</v>
      </c>
      <c r="G3253" s="17">
        <v>88500</v>
      </c>
      <c r="H3253" s="16" t="s">
        <v>3347</v>
      </c>
      <c r="I3253" s="40" t="s">
        <v>18</v>
      </c>
      <c r="J3253" s="40" t="str">
        <f>HYPERLINK("https://stock.pstatic.net/stock-research/company/57/20260428_company_990017000.pdf","PDF")</f>
        <v>PDF</v>
      </c>
      <c r="K3253" s="15" t="s">
        <v>3348</v>
      </c>
      <c r="L3253" s="20">
        <v>0.32203389830508472</v>
      </c>
    </row>
    <row r="3254" spans="1:12" x14ac:dyDescent="0.45">
      <c r="A3254" s="15" t="s">
        <v>3320</v>
      </c>
      <c r="B3254" s="15" t="s">
        <v>3349</v>
      </c>
      <c r="C3254" s="16" t="s">
        <v>3350</v>
      </c>
      <c r="D3254" s="16" t="s">
        <v>65</v>
      </c>
      <c r="E3254" s="15" t="s">
        <v>35</v>
      </c>
      <c r="F3254" s="17">
        <v>29000</v>
      </c>
      <c r="G3254" s="17">
        <v>22950</v>
      </c>
      <c r="H3254" s="16" t="s">
        <v>3351</v>
      </c>
      <c r="I3254" s="40" t="s">
        <v>18</v>
      </c>
      <c r="J3254" s="40" t="str">
        <f>HYPERLINK("https://stock.pstatic.net/stock-research/company/57/20260428_company_433639000.pdf","PDF")</f>
        <v>PDF</v>
      </c>
      <c r="K3254" s="15" t="s">
        <v>3352</v>
      </c>
      <c r="L3254" s="20">
        <v>0.26361655773420478</v>
      </c>
    </row>
    <row r="3255" spans="1:12" x14ac:dyDescent="0.45">
      <c r="A3255" s="15" t="s">
        <v>3320</v>
      </c>
      <c r="B3255" s="15" t="s">
        <v>740</v>
      </c>
      <c r="C3255" s="16" t="s">
        <v>741</v>
      </c>
      <c r="D3255" s="16" t="s">
        <v>65</v>
      </c>
      <c r="E3255" s="15" t="s">
        <v>35</v>
      </c>
      <c r="F3255" s="17">
        <v>700000</v>
      </c>
      <c r="G3255" s="17">
        <v>536000</v>
      </c>
      <c r="H3255" s="16" t="s">
        <v>3353</v>
      </c>
      <c r="I3255" s="40" t="s">
        <v>18</v>
      </c>
      <c r="J3255" s="40" t="str">
        <f>HYPERLINK("https://stock.pstatic.net/stock-research/company/57/20260428_company_739626000.pdf","PDF")</f>
        <v>PDF</v>
      </c>
      <c r="K3255" s="15" t="s">
        <v>3354</v>
      </c>
      <c r="L3255" s="20">
        <v>0.30597014925373128</v>
      </c>
    </row>
    <row r="3256" spans="1:12" x14ac:dyDescent="0.45">
      <c r="A3256" s="15" t="s">
        <v>3320</v>
      </c>
      <c r="B3256" s="15" t="s">
        <v>3355</v>
      </c>
      <c r="C3256" s="16" t="s">
        <v>3356</v>
      </c>
      <c r="D3256" s="16" t="s">
        <v>158</v>
      </c>
      <c r="E3256" s="15" t="s">
        <v>35</v>
      </c>
      <c r="F3256" s="17">
        <v>60000</v>
      </c>
      <c r="G3256" s="17">
        <v>45750</v>
      </c>
      <c r="H3256" s="16" t="s">
        <v>3357</v>
      </c>
      <c r="I3256" s="40" t="s">
        <v>18</v>
      </c>
      <c r="J3256" s="40" t="str">
        <f>HYPERLINK("https://stock.pstatic.net/stock-research/company/18/20260428_company_40449000.pdf","PDF")</f>
        <v>PDF</v>
      </c>
      <c r="K3256" s="15" t="s">
        <v>3358</v>
      </c>
      <c r="L3256" s="20">
        <v>0.31147540983606559</v>
      </c>
    </row>
    <row r="3257" spans="1:12" x14ac:dyDescent="0.45">
      <c r="A3257" s="15" t="s">
        <v>3320</v>
      </c>
      <c r="B3257" s="15" t="s">
        <v>1087</v>
      </c>
      <c r="C3257" s="16" t="s">
        <v>1088</v>
      </c>
      <c r="D3257" s="16" t="s">
        <v>158</v>
      </c>
      <c r="E3257" s="15" t="s">
        <v>35</v>
      </c>
      <c r="F3257" s="17">
        <v>200000</v>
      </c>
      <c r="G3257" s="17">
        <v>167500</v>
      </c>
      <c r="H3257" s="16" t="s">
        <v>3359</v>
      </c>
      <c r="I3257" s="40" t="s">
        <v>18</v>
      </c>
      <c r="J3257" s="40" t="str">
        <f>HYPERLINK("https://stock.pstatic.net/stock-research/company/18/20260428_company_355457000.pdf","PDF")</f>
        <v>PDF</v>
      </c>
      <c r="K3257" s="15" t="s">
        <v>3360</v>
      </c>
      <c r="L3257" s="20">
        <v>0.19402985074626869</v>
      </c>
    </row>
    <row r="3258" spans="1:12" x14ac:dyDescent="0.45">
      <c r="A3258" s="15" t="s">
        <v>3320</v>
      </c>
      <c r="B3258" s="15" t="s">
        <v>3284</v>
      </c>
      <c r="C3258" s="16" t="s">
        <v>3285</v>
      </c>
      <c r="D3258" s="16" t="s">
        <v>158</v>
      </c>
      <c r="E3258" s="15" t="s">
        <v>35</v>
      </c>
      <c r="F3258" s="17">
        <v>179000</v>
      </c>
      <c r="G3258" s="17">
        <v>133500</v>
      </c>
      <c r="H3258" s="16" t="s">
        <v>3361</v>
      </c>
      <c r="I3258" s="40" t="s">
        <v>18</v>
      </c>
      <c r="J3258" s="40" t="str">
        <f>HYPERLINK("https://stock.pstatic.net/stock-research/company/18/20260428_company_80282000.pdf","PDF")</f>
        <v>PDF</v>
      </c>
      <c r="K3258" s="15" t="s">
        <v>3362</v>
      </c>
      <c r="L3258" s="20">
        <v>0.34082397003745318</v>
      </c>
    </row>
    <row r="3259" spans="1:12" x14ac:dyDescent="0.45">
      <c r="A3259" s="15" t="s">
        <v>3320</v>
      </c>
      <c r="B3259" s="15" t="s">
        <v>740</v>
      </c>
      <c r="C3259" s="16" t="s">
        <v>741</v>
      </c>
      <c r="D3259" s="16" t="s">
        <v>158</v>
      </c>
      <c r="E3259" s="15" t="s">
        <v>35</v>
      </c>
      <c r="F3259" s="17">
        <v>670000</v>
      </c>
      <c r="G3259" s="17">
        <v>536000</v>
      </c>
      <c r="H3259" s="16" t="s">
        <v>3363</v>
      </c>
      <c r="I3259" s="40" t="s">
        <v>18</v>
      </c>
      <c r="J3259" s="40" t="str">
        <f>HYPERLINK("https://stock.pstatic.net/stock-research/company/18/20260428_company_359064000.pdf","PDF")</f>
        <v>PDF</v>
      </c>
      <c r="K3259" s="15" t="s">
        <v>3364</v>
      </c>
      <c r="L3259" s="20">
        <v>0.25</v>
      </c>
    </row>
    <row r="3260" spans="1:12" x14ac:dyDescent="0.45">
      <c r="A3260" s="15" t="s">
        <v>3320</v>
      </c>
      <c r="B3260" s="15" t="s">
        <v>3365</v>
      </c>
      <c r="C3260" s="16" t="s">
        <v>3366</v>
      </c>
      <c r="D3260" s="16" t="s">
        <v>158</v>
      </c>
      <c r="E3260" s="15" t="s">
        <v>159</v>
      </c>
      <c r="F3260" s="17">
        <v>110000</v>
      </c>
      <c r="G3260" s="17">
        <v>124700</v>
      </c>
      <c r="H3260" s="16" t="s">
        <v>3367</v>
      </c>
      <c r="I3260" s="40" t="s">
        <v>18</v>
      </c>
      <c r="J3260" s="40" t="str">
        <f>HYPERLINK("https://stock.pstatic.net/stock-research/company/18/20260428_company_712809000.pdf","PDF")</f>
        <v>PDF</v>
      </c>
      <c r="K3260" s="15" t="s">
        <v>3368</v>
      </c>
      <c r="L3260" s="20">
        <v>-0.1178829190056135</v>
      </c>
    </row>
    <row r="3261" spans="1:12" x14ac:dyDescent="0.45">
      <c r="A3261" s="15" t="s">
        <v>3320</v>
      </c>
      <c r="B3261" s="15" t="s">
        <v>3369</v>
      </c>
      <c r="C3261" s="16" t="s">
        <v>3370</v>
      </c>
      <c r="D3261" s="16" t="s">
        <v>158</v>
      </c>
      <c r="E3261" s="15" t="s">
        <v>35</v>
      </c>
      <c r="F3261" s="17">
        <v>45000</v>
      </c>
      <c r="G3261" s="17">
        <v>27500</v>
      </c>
      <c r="H3261" s="16" t="s">
        <v>3371</v>
      </c>
      <c r="I3261" s="40" t="s">
        <v>18</v>
      </c>
      <c r="J3261" s="40" t="str">
        <f>HYPERLINK("https://stock.pstatic.net/stock-research/company/18/20260428_company_450313000.pdf","PDF")</f>
        <v>PDF</v>
      </c>
      <c r="K3261" s="15" t="s">
        <v>3372</v>
      </c>
      <c r="L3261" s="20">
        <v>0.63636363636363635</v>
      </c>
    </row>
    <row r="3262" spans="1:12" x14ac:dyDescent="0.45">
      <c r="A3262" s="15" t="s">
        <v>3320</v>
      </c>
      <c r="B3262" s="15" t="s">
        <v>3373</v>
      </c>
      <c r="C3262" s="16" t="s">
        <v>3374</v>
      </c>
      <c r="D3262" s="16" t="s">
        <v>158</v>
      </c>
      <c r="E3262" s="15" t="s">
        <v>35</v>
      </c>
      <c r="F3262" s="17">
        <v>220000</v>
      </c>
      <c r="G3262" s="17">
        <v>157400</v>
      </c>
      <c r="H3262" s="16" t="s">
        <v>3375</v>
      </c>
      <c r="I3262" s="40" t="s">
        <v>18</v>
      </c>
      <c r="J3262" s="40" t="str">
        <f>HYPERLINK("https://stock.pstatic.net/stock-research/company/18/20260428_company_714521000.pdf","PDF")</f>
        <v>PDF</v>
      </c>
      <c r="K3262" s="15" t="s">
        <v>3376</v>
      </c>
      <c r="L3262" s="20">
        <v>0.397712833545108</v>
      </c>
    </row>
    <row r="3263" spans="1:12" x14ac:dyDescent="0.45">
      <c r="A3263" s="15" t="s">
        <v>3320</v>
      </c>
      <c r="B3263" s="15" t="s">
        <v>102</v>
      </c>
      <c r="C3263" s="16" t="s">
        <v>103</v>
      </c>
      <c r="D3263" s="16" t="s">
        <v>83</v>
      </c>
      <c r="E3263" s="15" t="s">
        <v>35</v>
      </c>
      <c r="F3263" s="17">
        <v>52000</v>
      </c>
      <c r="G3263" s="17">
        <v>36050</v>
      </c>
      <c r="H3263" s="16" t="s">
        <v>3377</v>
      </c>
      <c r="I3263" s="40" t="s">
        <v>18</v>
      </c>
      <c r="J3263" s="40" t="str">
        <f>HYPERLINK("https://stock.pstatic.net/stock-research/company/15/20260428_company_195454000.pdf","PDF")</f>
        <v>PDF</v>
      </c>
      <c r="K3263" s="15" t="s">
        <v>3378</v>
      </c>
      <c r="L3263" s="20">
        <v>0.44244105409153961</v>
      </c>
    </row>
    <row r="3264" spans="1:12" x14ac:dyDescent="0.45">
      <c r="A3264" s="15" t="s">
        <v>3320</v>
      </c>
      <c r="B3264" s="15" t="s">
        <v>740</v>
      </c>
      <c r="C3264" s="16" t="s">
        <v>741</v>
      </c>
      <c r="D3264" s="16" t="s">
        <v>83</v>
      </c>
      <c r="E3264" s="15" t="s">
        <v>35</v>
      </c>
      <c r="F3264" s="17">
        <v>630000</v>
      </c>
      <c r="G3264" s="17">
        <v>536000</v>
      </c>
      <c r="H3264" s="16" t="s">
        <v>3379</v>
      </c>
      <c r="I3264" s="40" t="s">
        <v>18</v>
      </c>
      <c r="J3264" s="40" t="str">
        <f>HYPERLINK("https://stock.pstatic.net/stock-research/company/15/20260428_company_566818000.pdf","PDF")</f>
        <v>PDF</v>
      </c>
      <c r="K3264" s="15" t="s">
        <v>3380</v>
      </c>
      <c r="L3264" s="20">
        <v>0.17537313432835819</v>
      </c>
    </row>
    <row r="3265" spans="1:12" x14ac:dyDescent="0.45">
      <c r="A3265" s="15" t="s">
        <v>3320</v>
      </c>
      <c r="B3265" s="15" t="s">
        <v>836</v>
      </c>
      <c r="C3265" s="16" t="s">
        <v>837</v>
      </c>
      <c r="D3265" s="16" t="s">
        <v>83</v>
      </c>
      <c r="E3265" s="15" t="s">
        <v>35</v>
      </c>
      <c r="F3265" s="17">
        <v>1000000</v>
      </c>
      <c r="G3265" s="17">
        <v>789000</v>
      </c>
      <c r="H3265" s="16" t="s">
        <v>3381</v>
      </c>
      <c r="I3265" s="40" t="s">
        <v>18</v>
      </c>
      <c r="J3265" s="40" t="str">
        <f>HYPERLINK("https://stock.pstatic.net/stock-research/company/15/20260428_company_239857000.pdf","PDF")</f>
        <v>PDF</v>
      </c>
      <c r="K3265" s="15" t="s">
        <v>3382</v>
      </c>
      <c r="L3265" s="20">
        <v>0.26742712294043092</v>
      </c>
    </row>
    <row r="3266" spans="1:12" x14ac:dyDescent="0.45">
      <c r="A3266" s="15" t="s">
        <v>3320</v>
      </c>
      <c r="B3266" s="15" t="s">
        <v>3383</v>
      </c>
      <c r="C3266" s="16" t="s">
        <v>3384</v>
      </c>
      <c r="D3266" s="16" t="s">
        <v>83</v>
      </c>
      <c r="E3266" s="15" t="s">
        <v>35</v>
      </c>
      <c r="F3266" s="17">
        <v>106000</v>
      </c>
      <c r="G3266" s="17">
        <v>73400</v>
      </c>
      <c r="H3266" s="16" t="s">
        <v>3385</v>
      </c>
      <c r="I3266" s="40" t="s">
        <v>18</v>
      </c>
      <c r="J3266" s="40" t="str">
        <f>HYPERLINK("https://stock.pstatic.net/stock-research/company/15/20260428_company_69423000.pdf","PDF")</f>
        <v>PDF</v>
      </c>
      <c r="K3266" s="15" t="s">
        <v>3386</v>
      </c>
      <c r="L3266" s="20">
        <v>0.44414168937329701</v>
      </c>
    </row>
    <row r="3267" spans="1:12" x14ac:dyDescent="0.45">
      <c r="A3267" s="15" t="s">
        <v>3320</v>
      </c>
      <c r="B3267" s="15" t="s">
        <v>2837</v>
      </c>
      <c r="C3267" s="16" t="s">
        <v>2838</v>
      </c>
      <c r="D3267" s="16" t="s">
        <v>83</v>
      </c>
      <c r="E3267" s="15" t="s">
        <v>35</v>
      </c>
      <c r="F3267" s="17">
        <v>150000</v>
      </c>
      <c r="G3267" s="17">
        <v>126500</v>
      </c>
      <c r="H3267" s="16" t="s">
        <v>3387</v>
      </c>
      <c r="I3267" s="40" t="s">
        <v>18</v>
      </c>
      <c r="J3267" s="40" t="str">
        <f>HYPERLINK("https://stock.pstatic.net/stock-research/company/15/20260428_company_948585000.pdf","PDF")</f>
        <v>PDF</v>
      </c>
      <c r="K3267" s="15" t="s">
        <v>3388</v>
      </c>
      <c r="L3267" s="20">
        <v>0.1857707509881423</v>
      </c>
    </row>
    <row r="3268" spans="1:12" x14ac:dyDescent="0.45">
      <c r="A3268" s="15" t="s">
        <v>3320</v>
      </c>
      <c r="B3268" s="15" t="s">
        <v>3284</v>
      </c>
      <c r="C3268" s="16" t="s">
        <v>3285</v>
      </c>
      <c r="D3268" s="16" t="s">
        <v>83</v>
      </c>
      <c r="E3268" s="15" t="s">
        <v>35</v>
      </c>
      <c r="F3268" s="17">
        <v>164000</v>
      </c>
      <c r="G3268" s="17">
        <v>133500</v>
      </c>
      <c r="H3268" s="16" t="s">
        <v>3389</v>
      </c>
      <c r="I3268" s="40" t="s">
        <v>18</v>
      </c>
      <c r="J3268" s="40" t="str">
        <f>HYPERLINK("https://stock.pstatic.net/stock-research/company/15/20260428_company_777208000.pdf","PDF")</f>
        <v>PDF</v>
      </c>
      <c r="K3268" s="15" t="s">
        <v>3390</v>
      </c>
      <c r="L3268" s="20">
        <v>0.22846441947565541</v>
      </c>
    </row>
    <row r="3269" spans="1:12" x14ac:dyDescent="0.45">
      <c r="A3269" s="15" t="s">
        <v>3320</v>
      </c>
      <c r="B3269" s="15" t="s">
        <v>3391</v>
      </c>
      <c r="C3269" s="16" t="s">
        <v>3392</v>
      </c>
      <c r="D3269" s="16" t="s">
        <v>124</v>
      </c>
      <c r="E3269" s="15" t="s">
        <v>50</v>
      </c>
      <c r="F3269" s="16"/>
      <c r="G3269" s="16"/>
      <c r="H3269" s="16" t="s">
        <v>3393</v>
      </c>
      <c r="I3269" s="40" t="s">
        <v>18</v>
      </c>
      <c r="J3269" s="40" t="str">
        <f>HYPERLINK("https://stock.pstatic.net/stock-research/company/74/20260429_company_934135000.pdf","PDF")</f>
        <v>PDF</v>
      </c>
      <c r="K3269" s="15" t="s">
        <v>3394</v>
      </c>
    </row>
    <row r="3270" spans="1:12" x14ac:dyDescent="0.45">
      <c r="A3270" s="15" t="s">
        <v>3320</v>
      </c>
      <c r="B3270" s="15" t="s">
        <v>3395</v>
      </c>
      <c r="C3270" s="16" t="s">
        <v>3396</v>
      </c>
      <c r="D3270" s="16" t="s">
        <v>15</v>
      </c>
      <c r="E3270" s="15" t="s">
        <v>16</v>
      </c>
      <c r="F3270" s="17">
        <v>52500</v>
      </c>
      <c r="G3270" s="17">
        <v>43500</v>
      </c>
      <c r="H3270" s="16" t="s">
        <v>3397</v>
      </c>
      <c r="I3270" s="40" t="s">
        <v>18</v>
      </c>
      <c r="J3270" s="40" t="str">
        <f>HYPERLINK("https://stock.pstatic.net/stock-research/company/56/20260428_company_29076000.pdf","PDF")</f>
        <v>PDF</v>
      </c>
      <c r="K3270" s="15" t="s">
        <v>3398</v>
      </c>
      <c r="L3270" s="20">
        <v>0.2068965517241379</v>
      </c>
    </row>
    <row r="3271" spans="1:12" x14ac:dyDescent="0.45">
      <c r="A3271" s="15" t="s">
        <v>3320</v>
      </c>
      <c r="B3271" s="15" t="s">
        <v>3399</v>
      </c>
      <c r="C3271" s="16" t="s">
        <v>3400</v>
      </c>
      <c r="D3271" s="16" t="s">
        <v>15</v>
      </c>
      <c r="E3271" s="15" t="s">
        <v>16</v>
      </c>
      <c r="F3271" s="17">
        <v>40000</v>
      </c>
      <c r="G3271" s="17">
        <v>21800</v>
      </c>
      <c r="H3271" s="16" t="s">
        <v>3401</v>
      </c>
      <c r="I3271" s="40" t="s">
        <v>18</v>
      </c>
      <c r="J3271" s="40" t="str">
        <f>HYPERLINK("https://stock.pstatic.net/stock-research/company/56/20260428_company_252041000.pdf","PDF")</f>
        <v>PDF</v>
      </c>
      <c r="K3271" s="15" t="s">
        <v>3402</v>
      </c>
      <c r="L3271" s="20">
        <v>0.83486238532110091</v>
      </c>
    </row>
    <row r="3272" spans="1:12" x14ac:dyDescent="0.45">
      <c r="A3272" s="15" t="s">
        <v>3320</v>
      </c>
      <c r="B3272" s="15" t="s">
        <v>3403</v>
      </c>
      <c r="C3272" s="16" t="s">
        <v>3404</v>
      </c>
      <c r="D3272" s="16" t="s">
        <v>179</v>
      </c>
      <c r="E3272" s="15" t="s">
        <v>16</v>
      </c>
      <c r="F3272" s="17">
        <v>90000</v>
      </c>
      <c r="G3272" s="17">
        <v>68300</v>
      </c>
      <c r="H3272" s="16" t="s">
        <v>3405</v>
      </c>
      <c r="I3272" s="40" t="s">
        <v>18</v>
      </c>
      <c r="J3272" s="40" t="str">
        <f>HYPERLINK("https://stock.pstatic.net/stock-research/company/64/20260428_company_424637000.pdf","PDF")</f>
        <v>PDF</v>
      </c>
      <c r="K3272" s="15" t="s">
        <v>3406</v>
      </c>
      <c r="L3272" s="20">
        <v>0.31771595900439242</v>
      </c>
    </row>
    <row r="3273" spans="1:12" x14ac:dyDescent="0.45">
      <c r="A3273" s="15" t="s">
        <v>3320</v>
      </c>
      <c r="B3273" s="15" t="s">
        <v>2837</v>
      </c>
      <c r="C3273" s="16" t="s">
        <v>2838</v>
      </c>
      <c r="D3273" s="16" t="s">
        <v>23</v>
      </c>
      <c r="E3273" s="15" t="s">
        <v>385</v>
      </c>
      <c r="F3273" s="16"/>
      <c r="G3273" s="17">
        <v>126100</v>
      </c>
      <c r="H3273" s="16" t="s">
        <v>3407</v>
      </c>
      <c r="I3273" s="40" t="s">
        <v>18</v>
      </c>
      <c r="J3273" s="40" t="str">
        <f>HYPERLINK("https://stock.pstatic.net/stock-research/company/21/20260428_company_796644000.pdf","PDF")</f>
        <v>PDF</v>
      </c>
      <c r="K3273" s="15" t="s">
        <v>3408</v>
      </c>
    </row>
    <row r="3274" spans="1:12" x14ac:dyDescent="0.45">
      <c r="A3274" s="15" t="s">
        <v>3320</v>
      </c>
      <c r="B3274" s="15" t="s">
        <v>752</v>
      </c>
      <c r="C3274" s="16" t="s">
        <v>753</v>
      </c>
      <c r="D3274" s="16" t="s">
        <v>179</v>
      </c>
      <c r="E3274" s="15" t="s">
        <v>16</v>
      </c>
      <c r="F3274" s="17">
        <v>280000</v>
      </c>
      <c r="G3274" s="17">
        <v>240500</v>
      </c>
      <c r="H3274" s="16" t="s">
        <v>3409</v>
      </c>
      <c r="I3274" s="40" t="s">
        <v>18</v>
      </c>
      <c r="J3274" s="40" t="str">
        <f>HYPERLINK("https://stock.pstatic.net/stock-research/company/64/20260428_company_568964000.pdf","PDF")</f>
        <v>PDF</v>
      </c>
      <c r="K3274" s="15" t="s">
        <v>3410</v>
      </c>
      <c r="L3274" s="20">
        <v>0.16424116424116431</v>
      </c>
    </row>
    <row r="3275" spans="1:12" x14ac:dyDescent="0.45">
      <c r="A3275" s="15" t="s">
        <v>3320</v>
      </c>
      <c r="B3275" s="15" t="s">
        <v>3349</v>
      </c>
      <c r="C3275" s="16" t="s">
        <v>3350</v>
      </c>
      <c r="D3275" s="16" t="s">
        <v>92</v>
      </c>
      <c r="E3275" s="15" t="s">
        <v>35</v>
      </c>
      <c r="F3275" s="17">
        <v>30000</v>
      </c>
      <c r="G3275" s="17">
        <v>22950</v>
      </c>
      <c r="H3275" s="16" t="s">
        <v>3411</v>
      </c>
      <c r="I3275" s="40" t="s">
        <v>18</v>
      </c>
      <c r="J3275" s="40" t="str">
        <f>HYPERLINK("https://stock.pstatic.net/stock-research/company/63/20260428_company_214958000.pdf","PDF")</f>
        <v>PDF</v>
      </c>
      <c r="K3275" s="15" t="s">
        <v>3412</v>
      </c>
      <c r="L3275" s="20">
        <v>0.30718954248366009</v>
      </c>
    </row>
    <row r="3276" spans="1:12" x14ac:dyDescent="0.45">
      <c r="A3276" s="15" t="s">
        <v>3320</v>
      </c>
      <c r="B3276" s="15" t="s">
        <v>1552</v>
      </c>
      <c r="C3276" s="16" t="s">
        <v>1553</v>
      </c>
      <c r="D3276" s="16" t="s">
        <v>23</v>
      </c>
      <c r="E3276" s="15" t="s">
        <v>16</v>
      </c>
      <c r="F3276" s="17">
        <v>230000</v>
      </c>
      <c r="G3276" s="17">
        <v>198100</v>
      </c>
      <c r="H3276" s="16" t="s">
        <v>3413</v>
      </c>
      <c r="I3276" s="40" t="s">
        <v>18</v>
      </c>
      <c r="J3276" s="40" t="str">
        <f>HYPERLINK("https://stock.pstatic.net/stock-research/company/21/20260428_company_556758000.pdf","PDF")</f>
        <v>PDF</v>
      </c>
      <c r="K3276" s="15" t="s">
        <v>3414</v>
      </c>
      <c r="L3276" s="20">
        <v>0.16102978293791009</v>
      </c>
    </row>
    <row r="3277" spans="1:12" x14ac:dyDescent="0.45">
      <c r="A3277" s="15" t="s">
        <v>3320</v>
      </c>
      <c r="B3277" s="15" t="s">
        <v>740</v>
      </c>
      <c r="C3277" s="16" t="s">
        <v>741</v>
      </c>
      <c r="D3277" s="16" t="s">
        <v>179</v>
      </c>
      <c r="E3277" s="15" t="s">
        <v>16</v>
      </c>
      <c r="F3277" s="17">
        <v>850000</v>
      </c>
      <c r="G3277" s="17">
        <v>536000</v>
      </c>
      <c r="H3277" s="16" t="s">
        <v>3415</v>
      </c>
      <c r="I3277" s="40" t="s">
        <v>18</v>
      </c>
      <c r="J3277" s="40" t="str">
        <f>HYPERLINK("https://stock.pstatic.net/stock-research/company/64/20260428_company_472232000.pdf","PDF")</f>
        <v>PDF</v>
      </c>
      <c r="K3277" s="15" t="s">
        <v>3416</v>
      </c>
      <c r="L3277" s="20">
        <v>0.58582089552238803</v>
      </c>
    </row>
    <row r="3278" spans="1:12" x14ac:dyDescent="0.45">
      <c r="A3278" s="15" t="s">
        <v>3320</v>
      </c>
      <c r="B3278" s="15" t="s">
        <v>128</v>
      </c>
      <c r="C3278" s="16" t="s">
        <v>129</v>
      </c>
      <c r="D3278" s="16" t="s">
        <v>23</v>
      </c>
      <c r="E3278" s="15" t="s">
        <v>16</v>
      </c>
      <c r="F3278" s="17">
        <v>89000</v>
      </c>
      <c r="G3278" s="17">
        <v>93100</v>
      </c>
      <c r="H3278" s="16" t="s">
        <v>3417</v>
      </c>
      <c r="I3278" s="40" t="s">
        <v>18</v>
      </c>
      <c r="J3278" s="40" t="str">
        <f>HYPERLINK("https://stock.pstatic.net/stock-research/company/21/20260428_company_905477000.pdf","PDF")</f>
        <v>PDF</v>
      </c>
      <c r="K3278" s="15" t="s">
        <v>3418</v>
      </c>
      <c r="L3278" s="20">
        <v>-4.4038668098818477E-2</v>
      </c>
    </row>
    <row r="3279" spans="1:12" x14ac:dyDescent="0.45">
      <c r="A3279" s="15" t="s">
        <v>3320</v>
      </c>
      <c r="B3279" s="15" t="s">
        <v>3230</v>
      </c>
      <c r="C3279" s="16" t="s">
        <v>3231</v>
      </c>
      <c r="D3279" s="16" t="s">
        <v>53</v>
      </c>
      <c r="E3279" s="15" t="s">
        <v>16</v>
      </c>
      <c r="F3279" s="17">
        <v>4900000</v>
      </c>
      <c r="G3279" s="17">
        <v>3941000</v>
      </c>
      <c r="H3279" s="16" t="s">
        <v>3419</v>
      </c>
      <c r="I3279" s="40" t="s">
        <v>18</v>
      </c>
      <c r="J3279" s="40" t="str">
        <f>HYPERLINK("https://stock.pstatic.net/stock-research/company/40/20260428_company_488063000.pdf","PDF")</f>
        <v>PDF</v>
      </c>
      <c r="K3279" s="15" t="s">
        <v>3420</v>
      </c>
      <c r="L3279" s="20">
        <v>0.2433392539964476</v>
      </c>
    </row>
    <row r="3280" spans="1:12" x14ac:dyDescent="0.45">
      <c r="A3280" s="15" t="s">
        <v>3320</v>
      </c>
      <c r="B3280" s="15" t="s">
        <v>334</v>
      </c>
      <c r="C3280" s="16" t="s">
        <v>335</v>
      </c>
      <c r="D3280" s="16" t="s">
        <v>15</v>
      </c>
      <c r="E3280" s="15" t="s">
        <v>16</v>
      </c>
      <c r="F3280" s="17">
        <v>2000000</v>
      </c>
      <c r="G3280" s="17">
        <v>1292000</v>
      </c>
      <c r="H3280" s="16" t="s">
        <v>3421</v>
      </c>
      <c r="I3280" s="40" t="s">
        <v>18</v>
      </c>
      <c r="J3280" s="40" t="str">
        <f>HYPERLINK("https://stock.pstatic.net/stock-research/company/56/20260428_company_6706000.pdf","PDF")</f>
        <v>PDF</v>
      </c>
      <c r="K3280" s="15" t="s">
        <v>3422</v>
      </c>
      <c r="L3280" s="20">
        <v>0.54798761609907121</v>
      </c>
    </row>
    <row r="3281" spans="1:12" x14ac:dyDescent="0.45">
      <c r="A3281" s="15" t="s">
        <v>3320</v>
      </c>
      <c r="B3281" s="15" t="s">
        <v>3423</v>
      </c>
      <c r="C3281" s="16" t="s">
        <v>3424</v>
      </c>
      <c r="D3281" s="16" t="s">
        <v>23</v>
      </c>
      <c r="E3281" s="15" t="s">
        <v>50</v>
      </c>
      <c r="F3281" s="16"/>
      <c r="G3281" s="17">
        <v>62100</v>
      </c>
      <c r="H3281" s="16" t="s">
        <v>3425</v>
      </c>
      <c r="I3281" s="40" t="s">
        <v>18</v>
      </c>
      <c r="J3281" s="40" t="str">
        <f>HYPERLINK("https://stock.pstatic.net/stock-research/company/21/20260428_company_696234000.pdf","PDF")</f>
        <v>PDF</v>
      </c>
      <c r="K3281" s="15" t="s">
        <v>3426</v>
      </c>
    </row>
    <row r="3282" spans="1:12" x14ac:dyDescent="0.45">
      <c r="A3282" s="15" t="s">
        <v>3320</v>
      </c>
      <c r="B3282" s="15" t="s">
        <v>740</v>
      </c>
      <c r="C3282" s="16" t="s">
        <v>741</v>
      </c>
      <c r="D3282" s="16" t="s">
        <v>23</v>
      </c>
      <c r="E3282" s="15" t="s">
        <v>16</v>
      </c>
      <c r="F3282" s="17">
        <v>700000</v>
      </c>
      <c r="G3282" s="17">
        <v>536000</v>
      </c>
      <c r="H3282" s="16" t="s">
        <v>3427</v>
      </c>
      <c r="I3282" s="40" t="s">
        <v>18</v>
      </c>
      <c r="J3282" s="40" t="str">
        <f>HYPERLINK("https://stock.pstatic.net/stock-research/company/21/20260428_company_191237000.pdf","PDF")</f>
        <v>PDF</v>
      </c>
      <c r="K3282" s="15" t="s">
        <v>3428</v>
      </c>
      <c r="L3282" s="20">
        <v>0.30597014925373128</v>
      </c>
    </row>
    <row r="3283" spans="1:12" x14ac:dyDescent="0.45">
      <c r="A3283" s="15" t="s">
        <v>3320</v>
      </c>
      <c r="B3283" s="15" t="s">
        <v>752</v>
      </c>
      <c r="C3283" s="16" t="s">
        <v>753</v>
      </c>
      <c r="D3283" s="16" t="s">
        <v>23</v>
      </c>
      <c r="E3283" s="15" t="s">
        <v>16</v>
      </c>
      <c r="F3283" s="17">
        <v>310000</v>
      </c>
      <c r="G3283" s="17">
        <v>240500</v>
      </c>
      <c r="H3283" s="16" t="s">
        <v>3429</v>
      </c>
      <c r="I3283" s="40" t="s">
        <v>18</v>
      </c>
      <c r="J3283" s="40" t="str">
        <f>HYPERLINK("https://stock.pstatic.net/stock-research/company/21/20260428_company_41540000.pdf","PDF")</f>
        <v>PDF</v>
      </c>
      <c r="K3283" s="15" t="s">
        <v>3430</v>
      </c>
      <c r="L3283" s="20">
        <v>0.288981288981289</v>
      </c>
    </row>
    <row r="3284" spans="1:12" x14ac:dyDescent="0.45">
      <c r="A3284" s="15" t="s">
        <v>3320</v>
      </c>
      <c r="B3284" s="15" t="s">
        <v>3284</v>
      </c>
      <c r="C3284" s="16" t="s">
        <v>3285</v>
      </c>
      <c r="D3284" s="16" t="s">
        <v>23</v>
      </c>
      <c r="E3284" s="15" t="s">
        <v>16</v>
      </c>
      <c r="F3284" s="17">
        <v>160000</v>
      </c>
      <c r="G3284" s="17">
        <v>133500</v>
      </c>
      <c r="H3284" s="16" t="s">
        <v>3431</v>
      </c>
      <c r="I3284" s="40" t="s">
        <v>18</v>
      </c>
      <c r="J3284" s="40" t="str">
        <f>HYPERLINK("https://stock.pstatic.net/stock-research/company/21/20260428_company_744805000.pdf","PDF")</f>
        <v>PDF</v>
      </c>
      <c r="K3284" s="15" t="s">
        <v>3432</v>
      </c>
      <c r="L3284" s="20">
        <v>0.19850187265917599</v>
      </c>
    </row>
    <row r="3285" spans="1:12" x14ac:dyDescent="0.45">
      <c r="A3285" s="15" t="s">
        <v>3320</v>
      </c>
      <c r="B3285" s="15" t="s">
        <v>1350</v>
      </c>
      <c r="C3285" s="16" t="s">
        <v>1351</v>
      </c>
      <c r="D3285" s="16" t="s">
        <v>23</v>
      </c>
      <c r="E3285" s="15" t="s">
        <v>16</v>
      </c>
      <c r="F3285" s="17">
        <v>48000</v>
      </c>
      <c r="G3285" s="17">
        <v>31900</v>
      </c>
      <c r="H3285" s="16" t="s">
        <v>3433</v>
      </c>
      <c r="I3285" s="40" t="s">
        <v>18</v>
      </c>
      <c r="J3285" s="40" t="str">
        <f>HYPERLINK("https://stock.pstatic.net/stock-research/company/21/20260428_company_857932000.pdf","PDF")</f>
        <v>PDF</v>
      </c>
      <c r="K3285" s="15" t="s">
        <v>3434</v>
      </c>
      <c r="L3285" s="20">
        <v>0.50470219435736674</v>
      </c>
    </row>
    <row r="3286" spans="1:12" x14ac:dyDescent="0.45">
      <c r="A3286" s="15" t="s">
        <v>3320</v>
      </c>
      <c r="B3286" s="15" t="s">
        <v>3349</v>
      </c>
      <c r="C3286" s="16" t="s">
        <v>3350</v>
      </c>
      <c r="D3286" s="16" t="s">
        <v>34</v>
      </c>
      <c r="E3286" s="15" t="s">
        <v>35</v>
      </c>
      <c r="F3286" s="17">
        <v>28000</v>
      </c>
      <c r="G3286" s="17">
        <v>22950</v>
      </c>
      <c r="H3286" s="16" t="s">
        <v>3435</v>
      </c>
      <c r="I3286" s="40" t="s">
        <v>18</v>
      </c>
      <c r="J3286" s="40" t="str">
        <f>HYPERLINK("https://stock.pstatic.net/stock-research/company/61/20260428_company_497819000.pdf","PDF")</f>
        <v>PDF</v>
      </c>
      <c r="K3286" s="15" t="s">
        <v>3436</v>
      </c>
      <c r="L3286" s="20">
        <v>0.22004357298474941</v>
      </c>
    </row>
    <row r="3287" spans="1:12" x14ac:dyDescent="0.45">
      <c r="A3287" s="15" t="s">
        <v>3320</v>
      </c>
      <c r="B3287" s="15" t="s">
        <v>1105</v>
      </c>
      <c r="C3287" s="16" t="s">
        <v>1106</v>
      </c>
      <c r="D3287" s="16" t="s">
        <v>92</v>
      </c>
      <c r="E3287" s="15" t="s">
        <v>35</v>
      </c>
      <c r="F3287" s="17">
        <v>14000</v>
      </c>
      <c r="G3287" s="17">
        <v>10880</v>
      </c>
      <c r="H3287" s="16" t="s">
        <v>3437</v>
      </c>
      <c r="I3287" s="40" t="s">
        <v>18</v>
      </c>
      <c r="J3287" s="40" t="str">
        <f>HYPERLINK("https://stock.pstatic.net/stock-research/company/63/20260428_company_796397000.pdf","PDF")</f>
        <v>PDF</v>
      </c>
      <c r="K3287" s="15" t="s">
        <v>3438</v>
      </c>
      <c r="L3287" s="20">
        <v>0.28676470588235292</v>
      </c>
    </row>
    <row r="3288" spans="1:12" x14ac:dyDescent="0.45">
      <c r="A3288" s="15" t="s">
        <v>3320</v>
      </c>
      <c r="B3288" s="15" t="s">
        <v>1552</v>
      </c>
      <c r="C3288" s="16" t="s">
        <v>1553</v>
      </c>
      <c r="D3288" s="16" t="s">
        <v>44</v>
      </c>
      <c r="E3288" s="15" t="s">
        <v>35</v>
      </c>
      <c r="F3288" s="17">
        <v>245000</v>
      </c>
      <c r="G3288" s="17">
        <v>198100</v>
      </c>
      <c r="H3288" s="16" t="s">
        <v>3439</v>
      </c>
      <c r="I3288" s="40" t="s">
        <v>18</v>
      </c>
      <c r="J3288" s="40" t="str">
        <f>HYPERLINK("https://stock.pstatic.net/stock-research/company/39/20260428_company_879227000.pdf","PDF")</f>
        <v>PDF</v>
      </c>
      <c r="K3288" s="15" t="s">
        <v>3440</v>
      </c>
      <c r="L3288" s="20">
        <v>0.23674911660777381</v>
      </c>
    </row>
    <row r="3289" spans="1:12" x14ac:dyDescent="0.45">
      <c r="A3289" s="15" t="s">
        <v>3320</v>
      </c>
      <c r="B3289" s="15" t="s">
        <v>740</v>
      </c>
      <c r="C3289" s="16" t="s">
        <v>741</v>
      </c>
      <c r="D3289" s="16" t="s">
        <v>34</v>
      </c>
      <c r="E3289" s="15" t="s">
        <v>35</v>
      </c>
      <c r="F3289" s="17">
        <v>630000</v>
      </c>
      <c r="G3289" s="17">
        <v>536000</v>
      </c>
      <c r="H3289" s="16" t="s">
        <v>3441</v>
      </c>
      <c r="I3289" s="40" t="s">
        <v>18</v>
      </c>
      <c r="J3289" s="40" t="str">
        <f>HYPERLINK("https://stock.pstatic.net/stock-research/company/61/20260428_company_95457000.pdf","PDF")</f>
        <v>PDF</v>
      </c>
      <c r="K3289" s="15" t="s">
        <v>3442</v>
      </c>
      <c r="L3289" s="20">
        <v>0.17537313432835819</v>
      </c>
    </row>
    <row r="3290" spans="1:12" x14ac:dyDescent="0.45">
      <c r="A3290" s="15" t="s">
        <v>3320</v>
      </c>
      <c r="B3290" s="15" t="s">
        <v>3284</v>
      </c>
      <c r="C3290" s="16" t="s">
        <v>3285</v>
      </c>
      <c r="D3290" s="16" t="s">
        <v>179</v>
      </c>
      <c r="E3290" s="15" t="s">
        <v>16</v>
      </c>
      <c r="F3290" s="17">
        <v>175000</v>
      </c>
      <c r="G3290" s="17">
        <v>133500</v>
      </c>
      <c r="H3290" s="16" t="s">
        <v>3443</v>
      </c>
      <c r="I3290" s="40" t="s">
        <v>18</v>
      </c>
      <c r="J3290" s="40" t="str">
        <f>HYPERLINK("https://stock.pstatic.net/stock-research/company/64/20260428_company_410667000.pdf","PDF")</f>
        <v>PDF</v>
      </c>
      <c r="K3290" s="15" t="s">
        <v>3444</v>
      </c>
      <c r="L3290" s="20">
        <v>0.31086142322097382</v>
      </c>
    </row>
    <row r="3291" spans="1:12" x14ac:dyDescent="0.45">
      <c r="A3291" s="15" t="s">
        <v>3320</v>
      </c>
      <c r="B3291" s="15" t="s">
        <v>1745</v>
      </c>
      <c r="C3291" s="16" t="s">
        <v>1746</v>
      </c>
      <c r="D3291" s="16" t="s">
        <v>92</v>
      </c>
      <c r="E3291" s="15" t="s">
        <v>35</v>
      </c>
      <c r="F3291" s="17">
        <v>220000</v>
      </c>
      <c r="G3291" s="17">
        <v>151800</v>
      </c>
      <c r="H3291" s="16" t="s">
        <v>3445</v>
      </c>
      <c r="I3291" s="40" t="s">
        <v>18</v>
      </c>
      <c r="J3291" s="40" t="str">
        <f>HYPERLINK("https://stock.pstatic.net/stock-research/company/63/20260428_company_747588000.pdf","PDF")</f>
        <v>PDF</v>
      </c>
      <c r="K3291" s="15" t="s">
        <v>3446</v>
      </c>
      <c r="L3291" s="20">
        <v>0.44927536231884058</v>
      </c>
    </row>
    <row r="3292" spans="1:12" x14ac:dyDescent="0.45">
      <c r="A3292" s="15" t="s">
        <v>3320</v>
      </c>
      <c r="B3292" s="15" t="s">
        <v>3284</v>
      </c>
      <c r="C3292" s="16" t="s">
        <v>3285</v>
      </c>
      <c r="D3292" s="16" t="s">
        <v>34</v>
      </c>
      <c r="E3292" s="15" t="s">
        <v>35</v>
      </c>
      <c r="F3292" s="17">
        <v>167000</v>
      </c>
      <c r="G3292" s="17">
        <v>133500</v>
      </c>
      <c r="H3292" s="16" t="s">
        <v>3447</v>
      </c>
      <c r="I3292" s="40" t="s">
        <v>18</v>
      </c>
      <c r="J3292" s="40" t="str">
        <f>HYPERLINK("https://stock.pstatic.net/stock-research/company/61/20260428_company_835536000.pdf","PDF")</f>
        <v>PDF</v>
      </c>
      <c r="K3292" s="15" t="s">
        <v>3448</v>
      </c>
      <c r="L3292" s="20">
        <v>0.25093632958801498</v>
      </c>
    </row>
    <row r="3293" spans="1:12" x14ac:dyDescent="0.45">
      <c r="A3293" s="15" t="s">
        <v>3320</v>
      </c>
      <c r="B3293" s="15" t="s">
        <v>740</v>
      </c>
      <c r="C3293" s="16" t="s">
        <v>741</v>
      </c>
      <c r="D3293" s="16" t="s">
        <v>53</v>
      </c>
      <c r="E3293" s="15" t="s">
        <v>16</v>
      </c>
      <c r="F3293" s="17">
        <v>700000</v>
      </c>
      <c r="G3293" s="17">
        <v>536000</v>
      </c>
      <c r="H3293" s="16" t="s">
        <v>3449</v>
      </c>
      <c r="I3293" s="40" t="s">
        <v>18</v>
      </c>
      <c r="J3293" s="40" t="str">
        <f>HYPERLINK("https://stock.pstatic.net/stock-research/company/40/20260428_company_361645000.pdf","PDF")</f>
        <v>PDF</v>
      </c>
      <c r="K3293" s="15" t="s">
        <v>3450</v>
      </c>
      <c r="L3293" s="20">
        <v>0.30597014925373128</v>
      </c>
    </row>
    <row r="3294" spans="1:12" x14ac:dyDescent="0.45">
      <c r="A3294" s="15" t="s">
        <v>3320</v>
      </c>
      <c r="B3294" s="15" t="s">
        <v>3451</v>
      </c>
      <c r="C3294" s="16" t="s">
        <v>3452</v>
      </c>
      <c r="D3294" s="16" t="s">
        <v>34</v>
      </c>
      <c r="E3294" s="15" t="s">
        <v>35</v>
      </c>
      <c r="F3294" s="17">
        <v>300000</v>
      </c>
      <c r="G3294" s="17">
        <v>239000</v>
      </c>
      <c r="H3294" s="16" t="s">
        <v>3453</v>
      </c>
      <c r="I3294" s="40" t="s">
        <v>18</v>
      </c>
      <c r="J3294" s="40" t="str">
        <f>HYPERLINK("https://stock.pstatic.net/stock-research/company/61/20260428_company_516398000.pdf","PDF")</f>
        <v>PDF</v>
      </c>
      <c r="K3294" s="15" t="s">
        <v>3454</v>
      </c>
      <c r="L3294" s="20">
        <v>0.25523012552301261</v>
      </c>
    </row>
    <row r="3295" spans="1:12" x14ac:dyDescent="0.45">
      <c r="A3295" s="15" t="s">
        <v>3320</v>
      </c>
      <c r="B3295" s="15" t="s">
        <v>1015</v>
      </c>
      <c r="C3295" s="16" t="s">
        <v>1016</v>
      </c>
      <c r="D3295" s="16" t="s">
        <v>44</v>
      </c>
      <c r="E3295" s="15" t="s">
        <v>50</v>
      </c>
      <c r="F3295" s="16"/>
      <c r="G3295" s="17">
        <v>22950</v>
      </c>
      <c r="H3295" s="16" t="s">
        <v>3455</v>
      </c>
      <c r="I3295" s="40" t="s">
        <v>18</v>
      </c>
      <c r="J3295" s="40" t="str">
        <f>HYPERLINK("https://stock.pstatic.net/stock-research/company/39/20260428_company_941620000.pdf","PDF")</f>
        <v>PDF</v>
      </c>
      <c r="K3295" s="15" t="s">
        <v>3456</v>
      </c>
    </row>
    <row r="3296" spans="1:12" x14ac:dyDescent="0.45">
      <c r="A3296" s="15" t="s">
        <v>3320</v>
      </c>
      <c r="B3296" s="15" t="s">
        <v>3349</v>
      </c>
      <c r="C3296" s="16" t="s">
        <v>3350</v>
      </c>
      <c r="D3296" s="16" t="s">
        <v>23</v>
      </c>
      <c r="E3296" s="15" t="s">
        <v>16</v>
      </c>
      <c r="F3296" s="17">
        <v>36000</v>
      </c>
      <c r="G3296" s="17">
        <v>22950</v>
      </c>
      <c r="H3296" s="16" t="s">
        <v>3457</v>
      </c>
      <c r="I3296" s="40" t="s">
        <v>18</v>
      </c>
      <c r="J3296" s="40" t="str">
        <f>HYPERLINK("https://stock.pstatic.net/stock-research/company/21/20260428_company_377220000.pdf","PDF")</f>
        <v>PDF</v>
      </c>
      <c r="K3296" s="15" t="s">
        <v>3458</v>
      </c>
      <c r="L3296" s="20">
        <v>0.56862745098039214</v>
      </c>
    </row>
    <row r="3297" spans="1:12" x14ac:dyDescent="0.45">
      <c r="A3297" s="15" t="s">
        <v>3320</v>
      </c>
      <c r="B3297" s="15" t="s">
        <v>2662</v>
      </c>
      <c r="C3297" s="16" t="s">
        <v>2663</v>
      </c>
      <c r="D3297" s="16" t="s">
        <v>44</v>
      </c>
      <c r="E3297" s="15" t="s">
        <v>35</v>
      </c>
      <c r="F3297" s="17">
        <v>130000</v>
      </c>
      <c r="G3297" s="17">
        <v>54900</v>
      </c>
      <c r="H3297" s="16" t="s">
        <v>3459</v>
      </c>
      <c r="I3297" s="40" t="s">
        <v>18</v>
      </c>
      <c r="J3297" s="40" t="str">
        <f>HYPERLINK("https://stock.pstatic.net/stock-research/company/39/20260428_company_238156000.pdf","PDF")</f>
        <v>PDF</v>
      </c>
      <c r="K3297" s="15" t="s">
        <v>3460</v>
      </c>
      <c r="L3297" s="20">
        <v>1.367941712204007</v>
      </c>
    </row>
    <row r="3298" spans="1:12" x14ac:dyDescent="0.45">
      <c r="A3298" s="15" t="s">
        <v>3320</v>
      </c>
      <c r="B3298" s="15" t="s">
        <v>3349</v>
      </c>
      <c r="C3298" s="16" t="s">
        <v>3350</v>
      </c>
      <c r="D3298" s="16" t="s">
        <v>44</v>
      </c>
      <c r="E3298" s="15" t="s">
        <v>35</v>
      </c>
      <c r="F3298" s="17">
        <v>34000</v>
      </c>
      <c r="G3298" s="17">
        <v>22950</v>
      </c>
      <c r="H3298" s="16" t="s">
        <v>3461</v>
      </c>
      <c r="I3298" s="40" t="s">
        <v>18</v>
      </c>
      <c r="J3298" s="40" t="str">
        <f>HYPERLINK("https://stock.pstatic.net/stock-research/company/39/20260428_company_663019000.pdf","PDF")</f>
        <v>PDF</v>
      </c>
      <c r="K3298" s="15" t="s">
        <v>3462</v>
      </c>
      <c r="L3298" s="20">
        <v>0.48148148148148151</v>
      </c>
    </row>
    <row r="3299" spans="1:12" x14ac:dyDescent="0.45">
      <c r="A3299" s="15" t="s">
        <v>3320</v>
      </c>
      <c r="B3299" s="15" t="s">
        <v>3463</v>
      </c>
      <c r="C3299" s="16" t="s">
        <v>3464</v>
      </c>
      <c r="D3299" s="16" t="s">
        <v>44</v>
      </c>
      <c r="E3299" s="15" t="s">
        <v>50</v>
      </c>
      <c r="F3299" s="16"/>
      <c r="G3299" s="17">
        <v>41550</v>
      </c>
      <c r="H3299" s="16" t="s">
        <v>3465</v>
      </c>
      <c r="I3299" s="40" t="s">
        <v>18</v>
      </c>
      <c r="J3299" s="40" t="str">
        <f>HYPERLINK("https://stock.pstatic.net/stock-research/company/39/20260428_company_430668000.pdf","PDF")</f>
        <v>PDF</v>
      </c>
      <c r="K3299" s="15" t="s">
        <v>3466</v>
      </c>
    </row>
    <row r="3300" spans="1:12" x14ac:dyDescent="0.45">
      <c r="A3300" s="15" t="s">
        <v>3320</v>
      </c>
      <c r="B3300" s="15" t="s">
        <v>3467</v>
      </c>
      <c r="C3300" s="16" t="s">
        <v>3468</v>
      </c>
      <c r="D3300" s="16" t="s">
        <v>124</v>
      </c>
      <c r="E3300" s="15" t="s">
        <v>50</v>
      </c>
      <c r="F3300" s="16"/>
      <c r="G3300" s="16"/>
      <c r="H3300" s="16" t="s">
        <v>3469</v>
      </c>
      <c r="I3300" s="40" t="s">
        <v>18</v>
      </c>
      <c r="J3300" s="40" t="str">
        <f>HYPERLINK("https://stock.pstatic.net/stock-research/company/74/20260428_company_398031000.pdf","PDF")</f>
        <v>PDF</v>
      </c>
      <c r="K3300" s="15" t="s">
        <v>3470</v>
      </c>
    </row>
    <row r="3301" spans="1:12" x14ac:dyDescent="0.45">
      <c r="A3301" s="15" t="s">
        <v>3320</v>
      </c>
      <c r="B3301" s="15" t="s">
        <v>740</v>
      </c>
      <c r="C3301" s="16" t="s">
        <v>741</v>
      </c>
      <c r="D3301" s="16" t="s">
        <v>92</v>
      </c>
      <c r="E3301" s="15" t="s">
        <v>35</v>
      </c>
      <c r="F3301" s="17">
        <v>660000</v>
      </c>
      <c r="G3301" s="17">
        <v>536000</v>
      </c>
      <c r="H3301" s="16" t="s">
        <v>3471</v>
      </c>
      <c r="I3301" s="40" t="s">
        <v>18</v>
      </c>
      <c r="J3301" s="40" t="str">
        <f>HYPERLINK("https://stock.pstatic.net/stock-research/company/63/20260428_company_634165000.pdf","PDF")</f>
        <v>PDF</v>
      </c>
      <c r="K3301" s="15" t="s">
        <v>3472</v>
      </c>
      <c r="L3301" s="20">
        <v>0.23134328358208961</v>
      </c>
    </row>
    <row r="3302" spans="1:12" x14ac:dyDescent="0.45">
      <c r="A3302" s="15" t="s">
        <v>3320</v>
      </c>
      <c r="B3302" s="15" t="s">
        <v>740</v>
      </c>
      <c r="C3302" s="16" t="s">
        <v>741</v>
      </c>
      <c r="D3302" s="16" t="s">
        <v>15</v>
      </c>
      <c r="E3302" s="15" t="s">
        <v>16</v>
      </c>
      <c r="F3302" s="17">
        <v>680000</v>
      </c>
      <c r="G3302" s="17">
        <v>536000</v>
      </c>
      <c r="H3302" s="16" t="s">
        <v>3473</v>
      </c>
      <c r="I3302" s="40" t="s">
        <v>18</v>
      </c>
      <c r="J3302" s="40" t="str">
        <f>HYPERLINK("https://stock.pstatic.net/stock-research/company/56/20260428_company_612631000.pdf","PDF")</f>
        <v>PDF</v>
      </c>
      <c r="K3302" s="15" t="s">
        <v>3474</v>
      </c>
      <c r="L3302" s="20">
        <v>0.26865671641791039</v>
      </c>
    </row>
    <row r="3303" spans="1:12" x14ac:dyDescent="0.45">
      <c r="A3303" s="15" t="s">
        <v>3320</v>
      </c>
      <c r="B3303" s="15" t="s">
        <v>3349</v>
      </c>
      <c r="C3303" s="16" t="s">
        <v>3350</v>
      </c>
      <c r="D3303" s="16" t="s">
        <v>53</v>
      </c>
      <c r="E3303" s="15" t="s">
        <v>16</v>
      </c>
      <c r="F3303" s="17">
        <v>35000</v>
      </c>
      <c r="G3303" s="17">
        <v>22950</v>
      </c>
      <c r="H3303" s="16" t="s">
        <v>3475</v>
      </c>
      <c r="I3303" s="40" t="s">
        <v>18</v>
      </c>
      <c r="J3303" s="40" t="str">
        <f>HYPERLINK("https://stock.pstatic.net/stock-research/company/40/20260428_company_288195000.pdf","PDF")</f>
        <v>PDF</v>
      </c>
      <c r="K3303" s="15" t="s">
        <v>3476</v>
      </c>
      <c r="L3303" s="20">
        <v>0.52505446623093677</v>
      </c>
    </row>
    <row r="3304" spans="1:12" x14ac:dyDescent="0.45">
      <c r="A3304" s="15" t="s">
        <v>3477</v>
      </c>
      <c r="B3304" s="15" t="s">
        <v>3478</v>
      </c>
      <c r="C3304" s="16" t="s">
        <v>3479</v>
      </c>
      <c r="D3304" s="16" t="s">
        <v>57</v>
      </c>
      <c r="E3304" s="15" t="s">
        <v>35</v>
      </c>
      <c r="F3304" s="17">
        <v>50000</v>
      </c>
      <c r="G3304" s="17">
        <v>42500</v>
      </c>
      <c r="H3304" s="16" t="s">
        <v>3480</v>
      </c>
      <c r="I3304" s="40" t="s">
        <v>18</v>
      </c>
      <c r="J3304" s="40" t="str">
        <f>HYPERLINK("https://stock.pstatic.net/stock-research/company/16/20260427_company_680684000.pdf","PDF")</f>
        <v>PDF</v>
      </c>
      <c r="K3304" s="15" t="s">
        <v>3481</v>
      </c>
      <c r="L3304" s="20">
        <v>0.1764705882352941</v>
      </c>
    </row>
    <row r="3305" spans="1:12" x14ac:dyDescent="0.45">
      <c r="A3305" s="15" t="s">
        <v>3477</v>
      </c>
      <c r="B3305" s="15" t="s">
        <v>3482</v>
      </c>
      <c r="C3305" s="16" t="s">
        <v>3483</v>
      </c>
      <c r="D3305" s="16" t="s">
        <v>57</v>
      </c>
      <c r="E3305" s="15" t="s">
        <v>35</v>
      </c>
      <c r="F3305" s="17">
        <v>168000</v>
      </c>
      <c r="G3305" s="17">
        <v>123300</v>
      </c>
      <c r="H3305" s="16" t="s">
        <v>3484</v>
      </c>
      <c r="I3305" s="40" t="s">
        <v>18</v>
      </c>
      <c r="J3305" s="40" t="str">
        <f>HYPERLINK("https://stock.pstatic.net/stock-research/company/16/20260427_company_923095000.pdf","PDF")</f>
        <v>PDF</v>
      </c>
      <c r="K3305" s="15" t="s">
        <v>3485</v>
      </c>
      <c r="L3305" s="20">
        <v>0.36253041362530408</v>
      </c>
    </row>
    <row r="3306" spans="1:12" x14ac:dyDescent="0.45">
      <c r="A3306" s="15" t="s">
        <v>3477</v>
      </c>
      <c r="B3306" s="15" t="s">
        <v>577</v>
      </c>
      <c r="C3306" s="16" t="s">
        <v>578</v>
      </c>
      <c r="D3306" s="16" t="s">
        <v>57</v>
      </c>
      <c r="E3306" s="15" t="s">
        <v>35</v>
      </c>
      <c r="F3306" s="17">
        <v>590000</v>
      </c>
      <c r="G3306" s="17">
        <v>422500</v>
      </c>
      <c r="H3306" s="16" t="s">
        <v>3486</v>
      </c>
      <c r="I3306" s="40" t="s">
        <v>18</v>
      </c>
      <c r="J3306" s="40" t="str">
        <f>HYPERLINK("https://stock.pstatic.net/stock-research/company/16/20260427_company_86660000.pdf","PDF")</f>
        <v>PDF</v>
      </c>
      <c r="K3306" s="15" t="s">
        <v>3487</v>
      </c>
      <c r="L3306" s="20">
        <v>0.39644970414201192</v>
      </c>
    </row>
    <row r="3307" spans="1:12" x14ac:dyDescent="0.45">
      <c r="A3307" s="15" t="s">
        <v>3477</v>
      </c>
      <c r="B3307" s="15" t="s">
        <v>3488</v>
      </c>
      <c r="C3307" s="16" t="s">
        <v>3489</v>
      </c>
      <c r="D3307" s="16" t="s">
        <v>57</v>
      </c>
      <c r="E3307" s="15" t="s">
        <v>35</v>
      </c>
      <c r="F3307" s="17">
        <v>43000</v>
      </c>
      <c r="G3307" s="17">
        <v>35050</v>
      </c>
      <c r="H3307" s="16" t="s">
        <v>3490</v>
      </c>
      <c r="I3307" s="40" t="s">
        <v>18</v>
      </c>
      <c r="J3307" s="40" t="str">
        <f>HYPERLINK("https://stock.pstatic.net/stock-research/company/16/20260427_company_218939000.pdf","PDF")</f>
        <v>PDF</v>
      </c>
      <c r="K3307" s="15" t="s">
        <v>3491</v>
      </c>
      <c r="L3307" s="20">
        <v>0.22681883024251071</v>
      </c>
    </row>
    <row r="3308" spans="1:12" x14ac:dyDescent="0.45">
      <c r="A3308" s="15" t="s">
        <v>3477</v>
      </c>
      <c r="B3308" s="15" t="s">
        <v>3492</v>
      </c>
      <c r="C3308" s="16" t="s">
        <v>3493</v>
      </c>
      <c r="D3308" s="16" t="s">
        <v>57</v>
      </c>
      <c r="E3308" s="15" t="s">
        <v>35</v>
      </c>
      <c r="F3308" s="17">
        <v>30000</v>
      </c>
      <c r="G3308" s="17">
        <v>22350</v>
      </c>
      <c r="H3308" s="16" t="s">
        <v>3494</v>
      </c>
      <c r="I3308" s="40" t="s">
        <v>18</v>
      </c>
      <c r="J3308" s="40" t="str">
        <f>HYPERLINK("https://stock.pstatic.net/stock-research/company/16/20260427_company_981274000.pdf","PDF")</f>
        <v>PDF</v>
      </c>
      <c r="K3308" s="15" t="s">
        <v>3495</v>
      </c>
      <c r="L3308" s="20">
        <v>0.34228187919463088</v>
      </c>
    </row>
    <row r="3309" spans="1:12" x14ac:dyDescent="0.45">
      <c r="A3309" s="15" t="s">
        <v>3477</v>
      </c>
      <c r="B3309" s="15" t="s">
        <v>1765</v>
      </c>
      <c r="C3309" s="16" t="s">
        <v>1766</v>
      </c>
      <c r="D3309" s="16" t="s">
        <v>57</v>
      </c>
      <c r="E3309" s="15" t="s">
        <v>35</v>
      </c>
      <c r="F3309" s="17">
        <v>245000</v>
      </c>
      <c r="G3309" s="17">
        <v>153400</v>
      </c>
      <c r="H3309" s="16" t="s">
        <v>3496</v>
      </c>
      <c r="I3309" s="40" t="s">
        <v>18</v>
      </c>
      <c r="J3309" s="40" t="str">
        <f>HYPERLINK("https://stock.pstatic.net/stock-research/company/16/20260427_company_644360000.pdf","PDF")</f>
        <v>PDF</v>
      </c>
      <c r="K3309" s="15" t="s">
        <v>3497</v>
      </c>
      <c r="L3309" s="20">
        <v>0.59713168187744459</v>
      </c>
    </row>
    <row r="3310" spans="1:12" x14ac:dyDescent="0.45">
      <c r="A3310" s="15" t="s">
        <v>3477</v>
      </c>
      <c r="B3310" s="15" t="s">
        <v>352</v>
      </c>
      <c r="C3310" s="16" t="s">
        <v>353</v>
      </c>
      <c r="D3310" s="16" t="s">
        <v>57</v>
      </c>
      <c r="E3310" s="15" t="s">
        <v>35</v>
      </c>
      <c r="F3310" s="17">
        <v>320000</v>
      </c>
      <c r="G3310" s="17">
        <v>233000</v>
      </c>
      <c r="H3310" s="16" t="s">
        <v>3498</v>
      </c>
      <c r="I3310" s="40" t="s">
        <v>18</v>
      </c>
      <c r="J3310" s="40" t="str">
        <f>HYPERLINK("https://stock.pstatic.net/stock-research/company/16/20260427_company_521404000.pdf","PDF")</f>
        <v>PDF</v>
      </c>
      <c r="K3310" s="15" t="s">
        <v>3499</v>
      </c>
      <c r="L3310" s="20">
        <v>0.37339055793991421</v>
      </c>
    </row>
    <row r="3311" spans="1:12" x14ac:dyDescent="0.45">
      <c r="A3311" s="15" t="s">
        <v>3477</v>
      </c>
      <c r="B3311" s="15" t="s">
        <v>2960</v>
      </c>
      <c r="C3311" s="16" t="s">
        <v>2961</v>
      </c>
      <c r="D3311" s="16" t="s">
        <v>57</v>
      </c>
      <c r="E3311" s="15" t="s">
        <v>35</v>
      </c>
      <c r="F3311" s="17">
        <v>98000</v>
      </c>
      <c r="G3311" s="17">
        <v>62300</v>
      </c>
      <c r="H3311" s="16" t="s">
        <v>3500</v>
      </c>
      <c r="I3311" s="40" t="s">
        <v>18</v>
      </c>
      <c r="J3311" s="40" t="str">
        <f>HYPERLINK("https://stock.pstatic.net/stock-research/company/16/20260427_company_683932000.pdf","PDF")</f>
        <v>PDF</v>
      </c>
      <c r="K3311" s="15" t="s">
        <v>3501</v>
      </c>
      <c r="L3311" s="20">
        <v>0.5730337078651685</v>
      </c>
    </row>
    <row r="3312" spans="1:12" x14ac:dyDescent="0.45">
      <c r="A3312" s="15" t="s">
        <v>3477</v>
      </c>
      <c r="B3312" s="15" t="s">
        <v>1350</v>
      </c>
      <c r="C3312" s="16" t="s">
        <v>1351</v>
      </c>
      <c r="D3312" s="16" t="s">
        <v>276</v>
      </c>
      <c r="E3312" s="15" t="s">
        <v>16</v>
      </c>
      <c r="F3312" s="17">
        <v>50000</v>
      </c>
      <c r="G3312" s="17">
        <v>32200</v>
      </c>
      <c r="H3312" s="16" t="s">
        <v>3502</v>
      </c>
      <c r="I3312" s="40" t="s">
        <v>18</v>
      </c>
      <c r="J3312" s="40" t="str">
        <f>HYPERLINK("https://stock.pstatic.net/stock-research/company/66/20260427_company_237822000.pdf","PDF")</f>
        <v>PDF</v>
      </c>
      <c r="K3312" s="15" t="s">
        <v>3503</v>
      </c>
      <c r="L3312" s="20">
        <v>0.55279503105590067</v>
      </c>
    </row>
    <row r="3313" spans="1:12" x14ac:dyDescent="0.45">
      <c r="A3313" s="15" t="s">
        <v>3477</v>
      </c>
      <c r="B3313" s="15" t="s">
        <v>577</v>
      </c>
      <c r="C3313" s="16" t="s">
        <v>578</v>
      </c>
      <c r="D3313" s="16" t="s">
        <v>276</v>
      </c>
      <c r="E3313" s="15" t="s">
        <v>16</v>
      </c>
      <c r="F3313" s="17">
        <v>600000</v>
      </c>
      <c r="G3313" s="17">
        <v>422500</v>
      </c>
      <c r="H3313" s="16" t="s">
        <v>3504</v>
      </c>
      <c r="I3313" s="40" t="s">
        <v>18</v>
      </c>
      <c r="J3313" s="40" t="str">
        <f>HYPERLINK("https://stock.pstatic.net/stock-research/company/66/20260427_company_506867000.pdf","PDF")</f>
        <v>PDF</v>
      </c>
      <c r="K3313" s="15" t="s">
        <v>3505</v>
      </c>
      <c r="L3313" s="20">
        <v>0.42011834319526631</v>
      </c>
    </row>
    <row r="3314" spans="1:12" x14ac:dyDescent="0.45">
      <c r="A3314" s="15" t="s">
        <v>3477</v>
      </c>
      <c r="B3314" s="15" t="s">
        <v>1765</v>
      </c>
      <c r="C3314" s="16" t="s">
        <v>1766</v>
      </c>
      <c r="D3314" s="16" t="s">
        <v>276</v>
      </c>
      <c r="E3314" s="15" t="s">
        <v>16</v>
      </c>
      <c r="F3314" s="17">
        <v>210000</v>
      </c>
      <c r="G3314" s="17">
        <v>153400</v>
      </c>
      <c r="H3314" s="16" t="s">
        <v>3506</v>
      </c>
      <c r="I3314" s="40" t="s">
        <v>18</v>
      </c>
      <c r="J3314" s="40" t="str">
        <f>HYPERLINK("https://stock.pstatic.net/stock-research/company/66/20260427_company_839987000.pdf","PDF")</f>
        <v>PDF</v>
      </c>
      <c r="K3314" s="15" t="s">
        <v>3507</v>
      </c>
      <c r="L3314" s="20">
        <v>0.36897001303780957</v>
      </c>
    </row>
    <row r="3315" spans="1:12" x14ac:dyDescent="0.45">
      <c r="A3315" s="15" t="s">
        <v>3477</v>
      </c>
      <c r="B3315" s="15" t="s">
        <v>2960</v>
      </c>
      <c r="C3315" s="16" t="s">
        <v>2961</v>
      </c>
      <c r="D3315" s="16" t="s">
        <v>60</v>
      </c>
      <c r="E3315" s="15" t="s">
        <v>35</v>
      </c>
      <c r="F3315" s="17">
        <v>80000</v>
      </c>
      <c r="G3315" s="17">
        <v>62300</v>
      </c>
      <c r="H3315" s="16" t="s">
        <v>3508</v>
      </c>
      <c r="I3315" s="40" t="s">
        <v>18</v>
      </c>
      <c r="J3315" s="40" t="str">
        <f>HYPERLINK("https://stock.pstatic.net/stock-research/company/62/20260427_company_870971000.pdf","PDF")</f>
        <v>PDF</v>
      </c>
      <c r="K3315" s="15" t="s">
        <v>3509</v>
      </c>
      <c r="L3315" s="20">
        <v>0.2841091492776886</v>
      </c>
    </row>
    <row r="3316" spans="1:12" x14ac:dyDescent="0.45">
      <c r="A3316" s="15" t="s">
        <v>3477</v>
      </c>
      <c r="B3316" s="15" t="s">
        <v>577</v>
      </c>
      <c r="C3316" s="16" t="s">
        <v>578</v>
      </c>
      <c r="D3316" s="16" t="s">
        <v>60</v>
      </c>
      <c r="E3316" s="15" t="s">
        <v>35</v>
      </c>
      <c r="F3316" s="17">
        <v>550000</v>
      </c>
      <c r="G3316" s="17">
        <v>422500</v>
      </c>
      <c r="H3316" s="16" t="s">
        <v>3510</v>
      </c>
      <c r="I3316" s="40" t="s">
        <v>18</v>
      </c>
      <c r="J3316" s="40" t="str">
        <f>HYPERLINK("https://stock.pstatic.net/stock-research/company/62/20260427_company_350450000.pdf","PDF")</f>
        <v>PDF</v>
      </c>
      <c r="K3316" s="15" t="s">
        <v>3511</v>
      </c>
      <c r="L3316" s="20">
        <v>0.30177514792899413</v>
      </c>
    </row>
    <row r="3317" spans="1:12" x14ac:dyDescent="0.45">
      <c r="A3317" s="15" t="s">
        <v>3477</v>
      </c>
      <c r="B3317" s="15" t="s">
        <v>1765</v>
      </c>
      <c r="C3317" s="16" t="s">
        <v>1766</v>
      </c>
      <c r="D3317" s="16" t="s">
        <v>60</v>
      </c>
      <c r="E3317" s="15" t="s">
        <v>35</v>
      </c>
      <c r="F3317" s="17">
        <v>210000</v>
      </c>
      <c r="G3317" s="17">
        <v>153400</v>
      </c>
      <c r="H3317" s="16" t="s">
        <v>3512</v>
      </c>
      <c r="I3317" s="40" t="s">
        <v>18</v>
      </c>
      <c r="J3317" s="40" t="str">
        <f>HYPERLINK("https://stock.pstatic.net/stock-research/company/62/20260427_company_662005000.pdf","PDF")</f>
        <v>PDF</v>
      </c>
      <c r="K3317" s="15" t="s">
        <v>3513</v>
      </c>
      <c r="L3317" s="20">
        <v>0.36897001303780957</v>
      </c>
    </row>
    <row r="3318" spans="1:12" x14ac:dyDescent="0.45">
      <c r="A3318" s="15" t="s">
        <v>3477</v>
      </c>
      <c r="B3318" s="15" t="s">
        <v>3230</v>
      </c>
      <c r="C3318" s="16" t="s">
        <v>3231</v>
      </c>
      <c r="D3318" s="16" t="s">
        <v>60</v>
      </c>
      <c r="E3318" s="15" t="s">
        <v>35</v>
      </c>
      <c r="F3318" s="17">
        <v>4800000</v>
      </c>
      <c r="G3318" s="17">
        <v>3552000</v>
      </c>
      <c r="H3318" s="16" t="s">
        <v>3514</v>
      </c>
      <c r="I3318" s="40" t="s">
        <v>18</v>
      </c>
      <c r="J3318" s="40" t="str">
        <f>HYPERLINK("https://stock.pstatic.net/stock-research/company/62/20260427_company_175114000.pdf","PDF")</f>
        <v>PDF</v>
      </c>
      <c r="K3318" s="15" t="s">
        <v>3515</v>
      </c>
      <c r="L3318" s="20">
        <v>0.35135135135135143</v>
      </c>
    </row>
    <row r="3319" spans="1:12" x14ac:dyDescent="0.45">
      <c r="A3319" s="15" t="s">
        <v>3477</v>
      </c>
      <c r="B3319" s="15" t="s">
        <v>3488</v>
      </c>
      <c r="C3319" s="16" t="s">
        <v>3489</v>
      </c>
      <c r="D3319" s="16" t="s">
        <v>60</v>
      </c>
      <c r="E3319" s="15" t="s">
        <v>35</v>
      </c>
      <c r="F3319" s="17">
        <v>40000</v>
      </c>
      <c r="G3319" s="17">
        <v>35050</v>
      </c>
      <c r="H3319" s="16" t="s">
        <v>3516</v>
      </c>
      <c r="I3319" s="40" t="s">
        <v>18</v>
      </c>
      <c r="J3319" s="40" t="str">
        <f>HYPERLINK("https://stock.pstatic.net/stock-research/company/62/20260427_company_139499000.pdf","PDF")</f>
        <v>PDF</v>
      </c>
      <c r="K3319" s="15" t="s">
        <v>3517</v>
      </c>
      <c r="L3319" s="20">
        <v>0.14122681883024249</v>
      </c>
    </row>
    <row r="3320" spans="1:12" x14ac:dyDescent="0.45">
      <c r="A3320" s="15" t="s">
        <v>3477</v>
      </c>
      <c r="B3320" s="15" t="s">
        <v>3492</v>
      </c>
      <c r="C3320" s="16" t="s">
        <v>3493</v>
      </c>
      <c r="D3320" s="16" t="s">
        <v>60</v>
      </c>
      <c r="E3320" s="15" t="s">
        <v>35</v>
      </c>
      <c r="F3320" s="17">
        <v>27000</v>
      </c>
      <c r="G3320" s="17">
        <v>22350</v>
      </c>
      <c r="H3320" s="16" t="s">
        <v>3518</v>
      </c>
      <c r="I3320" s="40" t="s">
        <v>18</v>
      </c>
      <c r="J3320" s="40" t="str">
        <f>HYPERLINK("https://stock.pstatic.net/stock-research/company/62/20260427_company_236441000.pdf","PDF")</f>
        <v>PDF</v>
      </c>
      <c r="K3320" s="15" t="s">
        <v>3519</v>
      </c>
      <c r="L3320" s="20">
        <v>0.20805369127516779</v>
      </c>
    </row>
    <row r="3321" spans="1:12" x14ac:dyDescent="0.45">
      <c r="A3321" s="15" t="s">
        <v>3477</v>
      </c>
      <c r="B3321" s="15" t="s">
        <v>3482</v>
      </c>
      <c r="C3321" s="16" t="s">
        <v>3483</v>
      </c>
      <c r="D3321" s="16" t="s">
        <v>60</v>
      </c>
      <c r="E3321" s="15" t="s">
        <v>35</v>
      </c>
      <c r="F3321" s="17">
        <v>140000</v>
      </c>
      <c r="G3321" s="17">
        <v>123300</v>
      </c>
      <c r="H3321" s="16" t="s">
        <v>3520</v>
      </c>
      <c r="I3321" s="40" t="s">
        <v>18</v>
      </c>
      <c r="J3321" s="40" t="str">
        <f>HYPERLINK("https://stock.pstatic.net/stock-research/company/62/20260427_company_56506000.pdf","PDF")</f>
        <v>PDF</v>
      </c>
      <c r="K3321" s="15" t="s">
        <v>3521</v>
      </c>
      <c r="L3321" s="20">
        <v>0.13544201135442011</v>
      </c>
    </row>
    <row r="3322" spans="1:12" x14ac:dyDescent="0.45">
      <c r="A3322" s="15" t="s">
        <v>3477</v>
      </c>
      <c r="B3322" s="15" t="s">
        <v>352</v>
      </c>
      <c r="C3322" s="16" t="s">
        <v>353</v>
      </c>
      <c r="D3322" s="16" t="s">
        <v>65</v>
      </c>
      <c r="E3322" s="15" t="s">
        <v>35</v>
      </c>
      <c r="F3322" s="17">
        <v>283000</v>
      </c>
      <c r="G3322" s="17">
        <v>233000</v>
      </c>
      <c r="H3322" s="16" t="s">
        <v>3522</v>
      </c>
      <c r="I3322" s="40" t="s">
        <v>18</v>
      </c>
      <c r="J3322" s="40" t="str">
        <f>HYPERLINK("https://stock.pstatic.net/stock-research/company/57/20260427_company_810717000.pdf","PDF")</f>
        <v>PDF</v>
      </c>
      <c r="K3322" s="15" t="s">
        <v>3523</v>
      </c>
      <c r="L3322" s="20">
        <v>0.21459227467811159</v>
      </c>
    </row>
    <row r="3323" spans="1:12" x14ac:dyDescent="0.45">
      <c r="A3323" s="15" t="s">
        <v>3477</v>
      </c>
      <c r="B3323" s="15" t="s">
        <v>2266</v>
      </c>
      <c r="C3323" s="16" t="s">
        <v>2267</v>
      </c>
      <c r="D3323" s="16" t="s">
        <v>65</v>
      </c>
      <c r="E3323" s="15" t="s">
        <v>35</v>
      </c>
      <c r="F3323" s="17">
        <v>230000</v>
      </c>
      <c r="G3323" s="17">
        <v>171400</v>
      </c>
      <c r="H3323" s="16" t="s">
        <v>3524</v>
      </c>
      <c r="I3323" s="40" t="s">
        <v>18</v>
      </c>
      <c r="J3323" s="40" t="str">
        <f>HYPERLINK("https://stock.pstatic.net/stock-research/company/57/20260427_company_764383000.pdf","PDF")</f>
        <v>PDF</v>
      </c>
      <c r="K3323" s="15" t="s">
        <v>3525</v>
      </c>
      <c r="L3323" s="20">
        <v>0.34189031505250878</v>
      </c>
    </row>
    <row r="3324" spans="1:12" x14ac:dyDescent="0.45">
      <c r="A3324" s="15" t="s">
        <v>3477</v>
      </c>
      <c r="B3324" s="15" t="s">
        <v>3482</v>
      </c>
      <c r="C3324" s="16" t="s">
        <v>3483</v>
      </c>
      <c r="D3324" s="16" t="s">
        <v>65</v>
      </c>
      <c r="E3324" s="15" t="s">
        <v>35</v>
      </c>
      <c r="F3324" s="17">
        <v>157000</v>
      </c>
      <c r="G3324" s="17">
        <v>123300</v>
      </c>
      <c r="H3324" s="16" t="s">
        <v>3526</v>
      </c>
      <c r="I3324" s="40" t="s">
        <v>18</v>
      </c>
      <c r="J3324" s="40" t="str">
        <f>HYPERLINK("https://stock.pstatic.net/stock-research/company/57/20260427_company_914438000.pdf","PDF")</f>
        <v>PDF</v>
      </c>
      <c r="K3324" s="15" t="s">
        <v>3527</v>
      </c>
      <c r="L3324" s="20">
        <v>0.27331711273317111</v>
      </c>
    </row>
    <row r="3325" spans="1:12" x14ac:dyDescent="0.45">
      <c r="A3325" s="15" t="s">
        <v>3477</v>
      </c>
      <c r="B3325" s="15" t="s">
        <v>3488</v>
      </c>
      <c r="C3325" s="16" t="s">
        <v>3489</v>
      </c>
      <c r="D3325" s="16" t="s">
        <v>65</v>
      </c>
      <c r="E3325" s="15" t="s">
        <v>35</v>
      </c>
      <c r="F3325" s="17">
        <v>43000</v>
      </c>
      <c r="G3325" s="17">
        <v>35050</v>
      </c>
      <c r="H3325" s="16" t="s">
        <v>3528</v>
      </c>
      <c r="I3325" s="40" t="s">
        <v>18</v>
      </c>
      <c r="J3325" s="40" t="str">
        <f>HYPERLINK("https://stock.pstatic.net/stock-research/company/57/20260427_company_350222000.pdf","PDF")</f>
        <v>PDF</v>
      </c>
      <c r="K3325" s="15" t="s">
        <v>3529</v>
      </c>
      <c r="L3325" s="20">
        <v>0.22681883024251071</v>
      </c>
    </row>
    <row r="3326" spans="1:12" x14ac:dyDescent="0.45">
      <c r="A3326" s="15" t="s">
        <v>3477</v>
      </c>
      <c r="B3326" s="15" t="s">
        <v>3530</v>
      </c>
      <c r="C3326" s="16" t="s">
        <v>3531</v>
      </c>
      <c r="D3326" s="16" t="s">
        <v>65</v>
      </c>
      <c r="E3326" s="15" t="s">
        <v>35</v>
      </c>
      <c r="F3326" s="17">
        <v>14000</v>
      </c>
      <c r="G3326" s="17">
        <v>11810</v>
      </c>
      <c r="H3326" s="16" t="s">
        <v>3532</v>
      </c>
      <c r="I3326" s="40" t="s">
        <v>18</v>
      </c>
      <c r="J3326" s="40" t="str">
        <f>HYPERLINK("https://stock.pstatic.net/stock-research/company/57/20260427_company_310560000.pdf","PDF")</f>
        <v>PDF</v>
      </c>
      <c r="K3326" s="15" t="s">
        <v>3533</v>
      </c>
      <c r="L3326" s="20">
        <v>0.18543607112616431</v>
      </c>
    </row>
    <row r="3327" spans="1:12" x14ac:dyDescent="0.45">
      <c r="A3327" s="15" t="s">
        <v>3477</v>
      </c>
      <c r="B3327" s="15" t="s">
        <v>3478</v>
      </c>
      <c r="C3327" s="16" t="s">
        <v>3479</v>
      </c>
      <c r="D3327" s="16" t="s">
        <v>65</v>
      </c>
      <c r="E3327" s="15" t="s">
        <v>35</v>
      </c>
      <c r="F3327" s="17">
        <v>50000</v>
      </c>
      <c r="G3327" s="17">
        <v>42500</v>
      </c>
      <c r="H3327" s="16" t="s">
        <v>3534</v>
      </c>
      <c r="I3327" s="40" t="s">
        <v>18</v>
      </c>
      <c r="J3327" s="40" t="str">
        <f>HYPERLINK("https://stock.pstatic.net/stock-research/company/57/20260427_company_371896000.pdf","PDF")</f>
        <v>PDF</v>
      </c>
      <c r="K3327" s="15" t="s">
        <v>3535</v>
      </c>
      <c r="L3327" s="20">
        <v>0.1764705882352941</v>
      </c>
    </row>
    <row r="3328" spans="1:12" x14ac:dyDescent="0.45">
      <c r="A3328" s="15" t="s">
        <v>3477</v>
      </c>
      <c r="B3328" s="15" t="s">
        <v>3536</v>
      </c>
      <c r="C3328" s="16" t="s">
        <v>3537</v>
      </c>
      <c r="D3328" s="16" t="s">
        <v>65</v>
      </c>
      <c r="E3328" s="15" t="s">
        <v>35</v>
      </c>
      <c r="F3328" s="17">
        <v>590000</v>
      </c>
      <c r="G3328" s="17">
        <v>530000</v>
      </c>
      <c r="H3328" s="16" t="s">
        <v>3538</v>
      </c>
      <c r="I3328" s="40" t="s">
        <v>18</v>
      </c>
      <c r="J3328" s="40" t="str">
        <f>HYPERLINK("https://stock.pstatic.net/stock-research/company/57/20260427_company_579838000.pdf","PDF")</f>
        <v>PDF</v>
      </c>
      <c r="K3328" s="15" t="s">
        <v>3539</v>
      </c>
      <c r="L3328" s="20">
        <v>0.1132075471698113</v>
      </c>
    </row>
    <row r="3329" spans="1:12" x14ac:dyDescent="0.45">
      <c r="A3329" s="15" t="s">
        <v>3477</v>
      </c>
      <c r="B3329" s="15" t="s">
        <v>3308</v>
      </c>
      <c r="C3329" s="16" t="s">
        <v>3309</v>
      </c>
      <c r="D3329" s="16" t="s">
        <v>65</v>
      </c>
      <c r="E3329" s="15" t="s">
        <v>50</v>
      </c>
      <c r="F3329" s="16"/>
      <c r="G3329" s="17">
        <v>4180</v>
      </c>
      <c r="H3329" s="16" t="s">
        <v>3540</v>
      </c>
      <c r="I3329" s="40" t="s">
        <v>18</v>
      </c>
      <c r="J3329" s="40" t="str">
        <f>HYPERLINK("https://stock.pstatic.net/stock-research/company/57/20260427_company_533218000.pdf","PDF")</f>
        <v>PDF</v>
      </c>
      <c r="K3329" s="15" t="s">
        <v>3541</v>
      </c>
    </row>
    <row r="3330" spans="1:12" x14ac:dyDescent="0.45">
      <c r="A3330" s="15" t="s">
        <v>3477</v>
      </c>
      <c r="B3330" s="15" t="s">
        <v>577</v>
      </c>
      <c r="C3330" s="16" t="s">
        <v>578</v>
      </c>
      <c r="D3330" s="16" t="s">
        <v>65</v>
      </c>
      <c r="E3330" s="15" t="s">
        <v>35</v>
      </c>
      <c r="F3330" s="17">
        <v>570000</v>
      </c>
      <c r="G3330" s="17">
        <v>422500</v>
      </c>
      <c r="H3330" s="16" t="s">
        <v>3542</v>
      </c>
      <c r="I3330" s="40" t="s">
        <v>18</v>
      </c>
      <c r="J3330" s="40" t="str">
        <f>HYPERLINK("https://stock.pstatic.net/stock-research/company/57/20260427_company_752312000.pdf","PDF")</f>
        <v>PDF</v>
      </c>
      <c r="K3330" s="15" t="s">
        <v>3543</v>
      </c>
      <c r="L3330" s="20">
        <v>0.34911242603550302</v>
      </c>
    </row>
    <row r="3331" spans="1:12" x14ac:dyDescent="0.45">
      <c r="A3331" s="15" t="s">
        <v>3477</v>
      </c>
      <c r="B3331" s="15" t="s">
        <v>3230</v>
      </c>
      <c r="C3331" s="16" t="s">
        <v>3231</v>
      </c>
      <c r="D3331" s="16" t="s">
        <v>65</v>
      </c>
      <c r="E3331" s="15" t="s">
        <v>35</v>
      </c>
      <c r="F3331" s="17">
        <v>4300000</v>
      </c>
      <c r="G3331" s="17">
        <v>3552000</v>
      </c>
      <c r="H3331" s="16" t="s">
        <v>3544</v>
      </c>
      <c r="I3331" s="40" t="s">
        <v>18</v>
      </c>
      <c r="J3331" s="40" t="str">
        <f>HYPERLINK("https://stock.pstatic.net/stock-research/company/57/20260427_company_271029000.pdf","PDF")</f>
        <v>PDF</v>
      </c>
      <c r="K3331" s="15" t="s">
        <v>3545</v>
      </c>
      <c r="L3331" s="20">
        <v>0.2105855855855856</v>
      </c>
    </row>
    <row r="3332" spans="1:12" x14ac:dyDescent="0.45">
      <c r="A3332" s="15" t="s">
        <v>3477</v>
      </c>
      <c r="B3332" s="15" t="s">
        <v>3087</v>
      </c>
      <c r="C3332" s="16" t="s">
        <v>3088</v>
      </c>
      <c r="D3332" s="16" t="s">
        <v>65</v>
      </c>
      <c r="E3332" s="15" t="s">
        <v>35</v>
      </c>
      <c r="F3332" s="17">
        <v>330000</v>
      </c>
      <c r="G3332" s="17">
        <v>253500</v>
      </c>
      <c r="H3332" s="16" t="s">
        <v>3546</v>
      </c>
      <c r="I3332" s="40" t="s">
        <v>18</v>
      </c>
      <c r="J3332" s="40" t="str">
        <f>HYPERLINK("https://stock.pstatic.net/stock-research/company/57/20260427_company_982768000.pdf","PDF")</f>
        <v>PDF</v>
      </c>
      <c r="K3332" s="15" t="s">
        <v>3547</v>
      </c>
      <c r="L3332" s="20">
        <v>0.30177514792899413</v>
      </c>
    </row>
    <row r="3333" spans="1:12" x14ac:dyDescent="0.45">
      <c r="A3333" s="15" t="s">
        <v>3477</v>
      </c>
      <c r="B3333" s="15" t="s">
        <v>3548</v>
      </c>
      <c r="C3333" s="16" t="s">
        <v>3549</v>
      </c>
      <c r="D3333" s="16" t="s">
        <v>65</v>
      </c>
      <c r="E3333" s="15" t="s">
        <v>35</v>
      </c>
      <c r="F3333" s="17">
        <v>100000</v>
      </c>
      <c r="G3333" s="17">
        <v>82700</v>
      </c>
      <c r="H3333" s="16" t="s">
        <v>3550</v>
      </c>
      <c r="I3333" s="40" t="s">
        <v>18</v>
      </c>
      <c r="J3333" s="40" t="str">
        <f>HYPERLINK("https://stock.pstatic.net/stock-research/company/57/20260427_company_598350000.pdf","PDF")</f>
        <v>PDF</v>
      </c>
      <c r="K3333" s="15" t="s">
        <v>3551</v>
      </c>
      <c r="L3333" s="20">
        <v>0.20918984280532041</v>
      </c>
    </row>
    <row r="3334" spans="1:12" x14ac:dyDescent="0.45">
      <c r="A3334" s="15" t="s">
        <v>3477</v>
      </c>
      <c r="B3334" s="15" t="s">
        <v>1765</v>
      </c>
      <c r="C3334" s="16" t="s">
        <v>1766</v>
      </c>
      <c r="D3334" s="16" t="s">
        <v>65</v>
      </c>
      <c r="E3334" s="15" t="s">
        <v>35</v>
      </c>
      <c r="F3334" s="17">
        <v>210000</v>
      </c>
      <c r="G3334" s="17">
        <v>153400</v>
      </c>
      <c r="H3334" s="16" t="s">
        <v>3552</v>
      </c>
      <c r="I3334" s="40" t="s">
        <v>18</v>
      </c>
      <c r="J3334" s="40" t="str">
        <f>HYPERLINK("https://stock.pstatic.net/stock-research/company/57/20260427_company_905310000.pdf","PDF")</f>
        <v>PDF</v>
      </c>
      <c r="K3334" s="15" t="s">
        <v>3553</v>
      </c>
      <c r="L3334" s="20">
        <v>0.36897001303780957</v>
      </c>
    </row>
    <row r="3335" spans="1:12" x14ac:dyDescent="0.45">
      <c r="A3335" s="15" t="s">
        <v>3477</v>
      </c>
      <c r="B3335" s="15" t="s">
        <v>495</v>
      </c>
      <c r="C3335" s="16" t="s">
        <v>496</v>
      </c>
      <c r="D3335" s="16" t="s">
        <v>158</v>
      </c>
      <c r="E3335" s="15" t="s">
        <v>35</v>
      </c>
      <c r="F3335" s="17">
        <v>540000</v>
      </c>
      <c r="G3335" s="17">
        <v>450000</v>
      </c>
      <c r="H3335" s="16" t="s">
        <v>3554</v>
      </c>
      <c r="I3335" s="40" t="s">
        <v>18</v>
      </c>
      <c r="J3335" s="40" t="str">
        <f>HYPERLINK("https://stock.pstatic.net/stock-research/company/18/20260427_company_144022000.pdf","PDF")</f>
        <v>PDF</v>
      </c>
      <c r="K3335" s="15" t="s">
        <v>3555</v>
      </c>
      <c r="L3335" s="20">
        <v>0.2</v>
      </c>
    </row>
    <row r="3336" spans="1:12" x14ac:dyDescent="0.45">
      <c r="A3336" s="15" t="s">
        <v>3477</v>
      </c>
      <c r="B3336" s="15" t="s">
        <v>3087</v>
      </c>
      <c r="C3336" s="16" t="s">
        <v>3088</v>
      </c>
      <c r="D3336" s="16" t="s">
        <v>158</v>
      </c>
      <c r="E3336" s="15" t="s">
        <v>35</v>
      </c>
      <c r="F3336" s="17">
        <v>433000</v>
      </c>
      <c r="G3336" s="17">
        <v>253500</v>
      </c>
      <c r="H3336" s="16" t="s">
        <v>3556</v>
      </c>
      <c r="I3336" s="40" t="s">
        <v>18</v>
      </c>
      <c r="J3336" s="40" t="str">
        <f>HYPERLINK("https://stock.pstatic.net/stock-research/company/18/20260427_company_253415000.pdf","PDF")</f>
        <v>PDF</v>
      </c>
      <c r="K3336" s="15" t="s">
        <v>3557</v>
      </c>
      <c r="L3336" s="20">
        <v>0.70808678500986189</v>
      </c>
    </row>
    <row r="3337" spans="1:12" x14ac:dyDescent="0.45">
      <c r="A3337" s="15" t="s">
        <v>3477</v>
      </c>
      <c r="B3337" s="15" t="s">
        <v>3488</v>
      </c>
      <c r="C3337" s="16" t="s">
        <v>3489</v>
      </c>
      <c r="D3337" s="16" t="s">
        <v>158</v>
      </c>
      <c r="E3337" s="15" t="s">
        <v>35</v>
      </c>
      <c r="F3337" s="17">
        <v>48000</v>
      </c>
      <c r="G3337" s="17">
        <v>35050</v>
      </c>
      <c r="H3337" s="16" t="s">
        <v>3558</v>
      </c>
      <c r="I3337" s="40" t="s">
        <v>18</v>
      </c>
      <c r="J3337" s="40" t="str">
        <f>HYPERLINK("https://stock.pstatic.net/stock-research/company/18/20260427_company_422522000.pdf","PDF")</f>
        <v>PDF</v>
      </c>
      <c r="K3337" s="15" t="s">
        <v>3559</v>
      </c>
      <c r="L3337" s="20">
        <v>0.369472182596291</v>
      </c>
    </row>
    <row r="3338" spans="1:12" x14ac:dyDescent="0.45">
      <c r="A3338" s="15" t="s">
        <v>3477</v>
      </c>
      <c r="B3338" s="15" t="s">
        <v>352</v>
      </c>
      <c r="C3338" s="16" t="s">
        <v>353</v>
      </c>
      <c r="D3338" s="16" t="s">
        <v>158</v>
      </c>
      <c r="E3338" s="15" t="s">
        <v>35</v>
      </c>
      <c r="F3338" s="17">
        <v>300000</v>
      </c>
      <c r="G3338" s="17">
        <v>233000</v>
      </c>
      <c r="H3338" s="16" t="s">
        <v>3560</v>
      </c>
      <c r="I3338" s="40" t="s">
        <v>18</v>
      </c>
      <c r="J3338" s="40" t="str">
        <f>HYPERLINK("https://stock.pstatic.net/stock-research/company/18/20260427_company_151807000.pdf","PDF")</f>
        <v>PDF</v>
      </c>
      <c r="K3338" s="15" t="s">
        <v>3561</v>
      </c>
      <c r="L3338" s="20">
        <v>0.28755364806866951</v>
      </c>
    </row>
    <row r="3339" spans="1:12" x14ac:dyDescent="0.45">
      <c r="A3339" s="15" t="s">
        <v>3477</v>
      </c>
      <c r="B3339" s="15" t="s">
        <v>3230</v>
      </c>
      <c r="C3339" s="16" t="s">
        <v>3231</v>
      </c>
      <c r="D3339" s="16" t="s">
        <v>158</v>
      </c>
      <c r="E3339" s="15" t="s">
        <v>35</v>
      </c>
      <c r="F3339" s="17">
        <v>5000000</v>
      </c>
      <c r="G3339" s="17">
        <v>3552000</v>
      </c>
      <c r="H3339" s="16" t="s">
        <v>3562</v>
      </c>
      <c r="I3339" s="40" t="s">
        <v>18</v>
      </c>
      <c r="J3339" s="40" t="str">
        <f>HYPERLINK("https://stock.pstatic.net/stock-research/company/18/20260427_company_865833000.pdf","PDF")</f>
        <v>PDF</v>
      </c>
      <c r="K3339" s="15" t="s">
        <v>3563</v>
      </c>
      <c r="L3339" s="20">
        <v>0.40765765765765771</v>
      </c>
    </row>
    <row r="3340" spans="1:12" x14ac:dyDescent="0.45">
      <c r="A3340" s="15" t="s">
        <v>3477</v>
      </c>
      <c r="B3340" s="15" t="s">
        <v>2308</v>
      </c>
      <c r="C3340" s="16" t="s">
        <v>2309</v>
      </c>
      <c r="D3340" s="16" t="s">
        <v>158</v>
      </c>
      <c r="E3340" s="15" t="s">
        <v>50</v>
      </c>
      <c r="F3340" s="16"/>
      <c r="G3340" s="17">
        <v>19370</v>
      </c>
      <c r="H3340" s="16" t="s">
        <v>3564</v>
      </c>
      <c r="I3340" s="40" t="s">
        <v>18</v>
      </c>
      <c r="J3340" s="40" t="str">
        <f>HYPERLINK("https://stock.pstatic.net/stock-research/company/18/20260427_company_482678000.pdf","PDF")</f>
        <v>PDF</v>
      </c>
      <c r="K3340" s="15" t="s">
        <v>3565</v>
      </c>
    </row>
    <row r="3341" spans="1:12" x14ac:dyDescent="0.45">
      <c r="A3341" s="15" t="s">
        <v>3477</v>
      </c>
      <c r="B3341" s="15" t="s">
        <v>3478</v>
      </c>
      <c r="C3341" s="16" t="s">
        <v>3479</v>
      </c>
      <c r="D3341" s="16" t="s">
        <v>15</v>
      </c>
      <c r="E3341" s="15" t="s">
        <v>16</v>
      </c>
      <c r="F3341" s="17">
        <v>55000</v>
      </c>
      <c r="G3341" s="17">
        <v>42500</v>
      </c>
      <c r="H3341" s="16" t="s">
        <v>3566</v>
      </c>
      <c r="I3341" s="40" t="s">
        <v>18</v>
      </c>
      <c r="J3341" s="40" t="str">
        <f>HYPERLINK("https://stock.pstatic.net/stock-research/company/56/20260427_company_166787000.pdf","PDF")</f>
        <v>PDF</v>
      </c>
      <c r="K3341" s="15" t="s">
        <v>3567</v>
      </c>
      <c r="L3341" s="20">
        <v>0.29411764705882348</v>
      </c>
    </row>
    <row r="3342" spans="1:12" x14ac:dyDescent="0.45">
      <c r="A3342" s="15" t="s">
        <v>3477</v>
      </c>
      <c r="B3342" s="15" t="s">
        <v>3548</v>
      </c>
      <c r="C3342" s="16" t="s">
        <v>3549</v>
      </c>
      <c r="D3342" s="16" t="s">
        <v>92</v>
      </c>
      <c r="E3342" s="15" t="s">
        <v>35</v>
      </c>
      <c r="F3342" s="17">
        <v>95000</v>
      </c>
      <c r="G3342" s="17">
        <v>82700</v>
      </c>
      <c r="H3342" s="16" t="s">
        <v>3568</v>
      </c>
      <c r="I3342" s="40" t="s">
        <v>18</v>
      </c>
      <c r="J3342" s="40" t="str">
        <f>HYPERLINK("https://stock.pstatic.net/stock-research/company/63/20260427_company_46322000.pdf","PDF")</f>
        <v>PDF</v>
      </c>
      <c r="K3342" s="15" t="s">
        <v>3569</v>
      </c>
      <c r="L3342" s="20">
        <v>0.14873035066505441</v>
      </c>
    </row>
    <row r="3343" spans="1:12" x14ac:dyDescent="0.45">
      <c r="A3343" s="15" t="s">
        <v>3477</v>
      </c>
      <c r="B3343" s="15" t="s">
        <v>2960</v>
      </c>
      <c r="C3343" s="16" t="s">
        <v>2961</v>
      </c>
      <c r="D3343" s="16" t="s">
        <v>15</v>
      </c>
      <c r="E3343" s="15" t="s">
        <v>16</v>
      </c>
      <c r="F3343" s="17">
        <v>78000</v>
      </c>
      <c r="G3343" s="17">
        <v>62300</v>
      </c>
      <c r="H3343" s="16" t="s">
        <v>3570</v>
      </c>
      <c r="I3343" s="40" t="s">
        <v>18</v>
      </c>
      <c r="J3343" s="40" t="str">
        <f>HYPERLINK("https://stock.pstatic.net/stock-research/company/56/20260427_company_199086000.pdf","PDF")</f>
        <v>PDF</v>
      </c>
      <c r="K3343" s="15" t="s">
        <v>3571</v>
      </c>
      <c r="L3343" s="20">
        <v>0.2520064205457464</v>
      </c>
    </row>
    <row r="3344" spans="1:12" x14ac:dyDescent="0.45">
      <c r="A3344" s="15" t="s">
        <v>3477</v>
      </c>
      <c r="B3344" s="15" t="s">
        <v>577</v>
      </c>
      <c r="C3344" s="16" t="s">
        <v>578</v>
      </c>
      <c r="D3344" s="16" t="s">
        <v>92</v>
      </c>
      <c r="E3344" s="15" t="s">
        <v>35</v>
      </c>
      <c r="F3344" s="17">
        <v>560000</v>
      </c>
      <c r="G3344" s="17">
        <v>422500</v>
      </c>
      <c r="H3344" s="16" t="s">
        <v>3572</v>
      </c>
      <c r="I3344" s="40" t="s">
        <v>18</v>
      </c>
      <c r="J3344" s="40" t="str">
        <f>HYPERLINK("https://stock.pstatic.net/stock-research/company/63/20260427_company_699677000.pdf","PDF")</f>
        <v>PDF</v>
      </c>
      <c r="K3344" s="15" t="s">
        <v>3573</v>
      </c>
      <c r="L3344" s="20">
        <v>0.32544378698224852</v>
      </c>
    </row>
    <row r="3345" spans="1:12" x14ac:dyDescent="0.45">
      <c r="A3345" s="15" t="s">
        <v>3477</v>
      </c>
      <c r="B3345" s="15" t="s">
        <v>1765</v>
      </c>
      <c r="C3345" s="16" t="s">
        <v>1766</v>
      </c>
      <c r="D3345" s="16" t="s">
        <v>92</v>
      </c>
      <c r="E3345" s="15" t="s">
        <v>35</v>
      </c>
      <c r="F3345" s="17">
        <v>300000</v>
      </c>
      <c r="G3345" s="17">
        <v>153400</v>
      </c>
      <c r="H3345" s="16" t="s">
        <v>3574</v>
      </c>
      <c r="I3345" s="40" t="s">
        <v>18</v>
      </c>
      <c r="J3345" s="40" t="str">
        <f>HYPERLINK("https://stock.pstatic.net/stock-research/company/63/20260427_company_907164000.pdf","PDF")</f>
        <v>PDF</v>
      </c>
      <c r="K3345" s="15" t="s">
        <v>3575</v>
      </c>
      <c r="L3345" s="20">
        <v>0.95567144719687092</v>
      </c>
    </row>
    <row r="3346" spans="1:12" x14ac:dyDescent="0.45">
      <c r="A3346" s="15" t="s">
        <v>3477</v>
      </c>
      <c r="B3346" s="15" t="s">
        <v>577</v>
      </c>
      <c r="C3346" s="16" t="s">
        <v>578</v>
      </c>
      <c r="D3346" s="16" t="s">
        <v>83</v>
      </c>
      <c r="E3346" s="15" t="s">
        <v>35</v>
      </c>
      <c r="F3346" s="17">
        <v>570000</v>
      </c>
      <c r="G3346" s="17">
        <v>442500</v>
      </c>
      <c r="H3346" s="16" t="s">
        <v>3576</v>
      </c>
      <c r="I3346" s="40" t="s">
        <v>18</v>
      </c>
      <c r="J3346" s="40" t="str">
        <f>HYPERLINK("https://stock.pstatic.net/stock-research/company/15/20260427_company_51112000.pdf","PDF")</f>
        <v>PDF</v>
      </c>
      <c r="K3346" s="15" t="s">
        <v>3577</v>
      </c>
      <c r="L3346" s="20">
        <v>0.28813559322033899</v>
      </c>
    </row>
    <row r="3347" spans="1:12" x14ac:dyDescent="0.45">
      <c r="A3347" s="15" t="s">
        <v>3477</v>
      </c>
      <c r="B3347" s="15" t="s">
        <v>81</v>
      </c>
      <c r="C3347" s="16" t="s">
        <v>82</v>
      </c>
      <c r="D3347" s="16" t="s">
        <v>83</v>
      </c>
      <c r="E3347" s="15" t="s">
        <v>35</v>
      </c>
      <c r="F3347" s="17">
        <v>45000</v>
      </c>
      <c r="G3347" s="17">
        <v>34950</v>
      </c>
      <c r="H3347" s="16" t="s">
        <v>3578</v>
      </c>
      <c r="I3347" s="40" t="s">
        <v>18</v>
      </c>
      <c r="J3347" s="40" t="str">
        <f>HYPERLINK("https://stock.pstatic.net/stock-research/company/15/20260427_company_127575000.pdf","PDF")</f>
        <v>PDF</v>
      </c>
      <c r="K3347" s="15" t="s">
        <v>3579</v>
      </c>
      <c r="L3347" s="20">
        <v>0.28755364806866951</v>
      </c>
    </row>
    <row r="3348" spans="1:12" x14ac:dyDescent="0.45">
      <c r="A3348" s="15" t="s">
        <v>3477</v>
      </c>
      <c r="B3348" s="15" t="s">
        <v>1765</v>
      </c>
      <c r="C3348" s="16" t="s">
        <v>1766</v>
      </c>
      <c r="D3348" s="16" t="s">
        <v>83</v>
      </c>
      <c r="E3348" s="15" t="s">
        <v>35</v>
      </c>
      <c r="F3348" s="17">
        <v>240000</v>
      </c>
      <c r="G3348" s="17">
        <v>158400</v>
      </c>
      <c r="H3348" s="16" t="s">
        <v>3580</v>
      </c>
      <c r="I3348" s="40" t="s">
        <v>18</v>
      </c>
      <c r="J3348" s="40" t="str">
        <f>HYPERLINK("https://stock.pstatic.net/stock-research/company/15/20260427_company_253416000.pdf","PDF")</f>
        <v>PDF</v>
      </c>
      <c r="K3348" s="15" t="s">
        <v>3581</v>
      </c>
      <c r="L3348" s="20">
        <v>0.51515151515151514</v>
      </c>
    </row>
    <row r="3349" spans="1:12" x14ac:dyDescent="0.45">
      <c r="A3349" s="15" t="s">
        <v>3477</v>
      </c>
      <c r="B3349" s="15" t="s">
        <v>3548</v>
      </c>
      <c r="C3349" s="16" t="s">
        <v>3549</v>
      </c>
      <c r="D3349" s="16" t="s">
        <v>83</v>
      </c>
      <c r="E3349" s="15" t="s">
        <v>35</v>
      </c>
      <c r="F3349" s="17">
        <v>105000</v>
      </c>
      <c r="G3349" s="17">
        <v>82700</v>
      </c>
      <c r="H3349" s="16" t="s">
        <v>3582</v>
      </c>
      <c r="I3349" s="40" t="s">
        <v>18</v>
      </c>
      <c r="J3349" s="40" t="str">
        <f>HYPERLINK("https://stock.pstatic.net/stock-research/company/15/20260427_company_828282000.pdf","PDF")</f>
        <v>PDF</v>
      </c>
      <c r="K3349" s="15" t="s">
        <v>3583</v>
      </c>
      <c r="L3349" s="20">
        <v>0.26964933494558652</v>
      </c>
    </row>
    <row r="3350" spans="1:12" x14ac:dyDescent="0.45">
      <c r="A3350" s="15" t="s">
        <v>3477</v>
      </c>
      <c r="B3350" s="15" t="s">
        <v>3584</v>
      </c>
      <c r="C3350" s="16" t="s">
        <v>3585</v>
      </c>
      <c r="D3350" s="16" t="s">
        <v>83</v>
      </c>
      <c r="E3350" s="15" t="s">
        <v>35</v>
      </c>
      <c r="F3350" s="17">
        <v>27000</v>
      </c>
      <c r="G3350" s="17">
        <v>19750</v>
      </c>
      <c r="H3350" s="16" t="s">
        <v>3586</v>
      </c>
      <c r="I3350" s="40" t="s">
        <v>18</v>
      </c>
      <c r="J3350" s="40" t="str">
        <f>HYPERLINK("https://stock.pstatic.net/stock-research/company/15/20260427_company_741503000.pdf","PDF")</f>
        <v>PDF</v>
      </c>
      <c r="K3350" s="15" t="s">
        <v>3587</v>
      </c>
      <c r="L3350" s="20">
        <v>0.36708860759493672</v>
      </c>
    </row>
    <row r="3351" spans="1:12" x14ac:dyDescent="0.45">
      <c r="A3351" s="15" t="s">
        <v>3477</v>
      </c>
      <c r="B3351" s="15" t="s">
        <v>3482</v>
      </c>
      <c r="C3351" s="16" t="s">
        <v>3483</v>
      </c>
      <c r="D3351" s="16" t="s">
        <v>83</v>
      </c>
      <c r="E3351" s="15" t="s">
        <v>35</v>
      </c>
      <c r="F3351" s="17">
        <v>143000</v>
      </c>
      <c r="G3351" s="17">
        <v>123300</v>
      </c>
      <c r="H3351" s="16" t="s">
        <v>3588</v>
      </c>
      <c r="I3351" s="40" t="s">
        <v>18</v>
      </c>
      <c r="J3351" s="40" t="str">
        <f>HYPERLINK("https://stock.pstatic.net/stock-research/company/15/20260427_company_149175000.pdf","PDF")</f>
        <v>PDF</v>
      </c>
      <c r="K3351" s="15" t="s">
        <v>3589</v>
      </c>
      <c r="L3351" s="20">
        <v>0.15977291159772911</v>
      </c>
    </row>
    <row r="3352" spans="1:12" x14ac:dyDescent="0.45">
      <c r="A3352" s="15" t="s">
        <v>3477</v>
      </c>
      <c r="B3352" s="15" t="s">
        <v>3488</v>
      </c>
      <c r="C3352" s="16" t="s">
        <v>3489</v>
      </c>
      <c r="D3352" s="16" t="s">
        <v>83</v>
      </c>
      <c r="E3352" s="15" t="s">
        <v>35</v>
      </c>
      <c r="F3352" s="17">
        <v>43000</v>
      </c>
      <c r="G3352" s="17">
        <v>35050</v>
      </c>
      <c r="H3352" s="16" t="s">
        <v>3590</v>
      </c>
      <c r="I3352" s="40" t="s">
        <v>18</v>
      </c>
      <c r="J3352" s="40" t="str">
        <f>HYPERLINK("https://stock.pstatic.net/stock-research/company/15/20260427_company_823429000.pdf","PDF")</f>
        <v>PDF</v>
      </c>
      <c r="K3352" s="15" t="s">
        <v>3591</v>
      </c>
      <c r="L3352" s="20">
        <v>0.22681883024251071</v>
      </c>
    </row>
    <row r="3353" spans="1:12" x14ac:dyDescent="0.45">
      <c r="A3353" s="15" t="s">
        <v>3477</v>
      </c>
      <c r="B3353" s="15" t="s">
        <v>3230</v>
      </c>
      <c r="C3353" s="16" t="s">
        <v>3231</v>
      </c>
      <c r="D3353" s="16" t="s">
        <v>83</v>
      </c>
      <c r="E3353" s="15" t="s">
        <v>35</v>
      </c>
      <c r="F3353" s="17">
        <v>4800000</v>
      </c>
      <c r="G3353" s="17">
        <v>3552000</v>
      </c>
      <c r="H3353" s="16" t="s">
        <v>3592</v>
      </c>
      <c r="I3353" s="40" t="s">
        <v>18</v>
      </c>
      <c r="J3353" s="40" t="str">
        <f>HYPERLINK("https://stock.pstatic.net/stock-research/company/15/20260427_company_373250000.pdf","PDF")</f>
        <v>PDF</v>
      </c>
      <c r="K3353" s="15" t="s">
        <v>3593</v>
      </c>
      <c r="L3353" s="20">
        <v>0.35135135135135143</v>
      </c>
    </row>
    <row r="3354" spans="1:12" x14ac:dyDescent="0.45">
      <c r="A3354" s="15" t="s">
        <v>3477</v>
      </c>
      <c r="B3354" s="15" t="s">
        <v>2873</v>
      </c>
      <c r="C3354" s="16" t="s">
        <v>2874</v>
      </c>
      <c r="D3354" s="16" t="s">
        <v>83</v>
      </c>
      <c r="E3354" s="15" t="s">
        <v>35</v>
      </c>
      <c r="F3354" s="17">
        <v>230000</v>
      </c>
      <c r="G3354" s="17">
        <v>171000</v>
      </c>
      <c r="H3354" s="16" t="s">
        <v>3594</v>
      </c>
      <c r="I3354" s="40" t="s">
        <v>18</v>
      </c>
      <c r="J3354" s="40" t="str">
        <f>HYPERLINK("https://stock.pstatic.net/stock-research/company/15/20260427_company_954147000.pdf","PDF")</f>
        <v>PDF</v>
      </c>
      <c r="K3354" s="15" t="s">
        <v>3595</v>
      </c>
      <c r="L3354" s="20">
        <v>0.34502923976608191</v>
      </c>
    </row>
    <row r="3355" spans="1:12" x14ac:dyDescent="0.45">
      <c r="A3355" s="15" t="s">
        <v>3477</v>
      </c>
      <c r="B3355" s="15" t="s">
        <v>1548</v>
      </c>
      <c r="C3355" s="16" t="s">
        <v>1549</v>
      </c>
      <c r="D3355" s="16" t="s">
        <v>83</v>
      </c>
      <c r="E3355" s="15" t="s">
        <v>35</v>
      </c>
      <c r="F3355" s="17">
        <v>1880000</v>
      </c>
      <c r="G3355" s="17">
        <v>1467000</v>
      </c>
      <c r="H3355" s="16" t="s">
        <v>3596</v>
      </c>
      <c r="I3355" s="40" t="s">
        <v>18</v>
      </c>
      <c r="J3355" s="40" t="str">
        <f>HYPERLINK("https://stock.pstatic.net/stock-research/company/15/20260427_company_472391000.pdf","PDF")</f>
        <v>PDF</v>
      </c>
      <c r="K3355" s="15" t="s">
        <v>3597</v>
      </c>
      <c r="L3355" s="20">
        <v>0.28152692569870491</v>
      </c>
    </row>
    <row r="3356" spans="1:12" x14ac:dyDescent="0.45">
      <c r="A3356" s="15" t="s">
        <v>3477</v>
      </c>
      <c r="B3356" s="15" t="s">
        <v>2960</v>
      </c>
      <c r="C3356" s="16" t="s">
        <v>2961</v>
      </c>
      <c r="D3356" s="16" t="s">
        <v>83</v>
      </c>
      <c r="E3356" s="15" t="s">
        <v>35</v>
      </c>
      <c r="F3356" s="17">
        <v>90000</v>
      </c>
      <c r="G3356" s="17">
        <v>62300</v>
      </c>
      <c r="H3356" s="16" t="s">
        <v>3598</v>
      </c>
      <c r="I3356" s="40" t="s">
        <v>18</v>
      </c>
      <c r="J3356" s="40" t="str">
        <f>HYPERLINK("https://stock.pstatic.net/stock-research/company/15/20260427_company_55591000.pdf","PDF")</f>
        <v>PDF</v>
      </c>
      <c r="K3356" s="15" t="s">
        <v>3599</v>
      </c>
      <c r="L3356" s="20">
        <v>0.4446227929373997</v>
      </c>
    </row>
    <row r="3357" spans="1:12" x14ac:dyDescent="0.45">
      <c r="A3357" s="15" t="s">
        <v>3477</v>
      </c>
      <c r="B3357" s="15" t="s">
        <v>352</v>
      </c>
      <c r="C3357" s="16" t="s">
        <v>353</v>
      </c>
      <c r="D3357" s="16" t="s">
        <v>83</v>
      </c>
      <c r="E3357" s="15" t="s">
        <v>35</v>
      </c>
      <c r="F3357" s="17">
        <v>280000</v>
      </c>
      <c r="G3357" s="17">
        <v>233000</v>
      </c>
      <c r="H3357" s="16" t="s">
        <v>3600</v>
      </c>
      <c r="I3357" s="40" t="s">
        <v>18</v>
      </c>
      <c r="J3357" s="40" t="str">
        <f>HYPERLINK("https://stock.pstatic.net/stock-research/company/15/20260427_company_267557000.pdf","PDF")</f>
        <v>PDF</v>
      </c>
      <c r="K3357" s="15" t="s">
        <v>3601</v>
      </c>
      <c r="L3357" s="20">
        <v>0.20171673819742489</v>
      </c>
    </row>
    <row r="3358" spans="1:12" x14ac:dyDescent="0.45">
      <c r="A3358" s="15" t="s">
        <v>3477</v>
      </c>
      <c r="B3358" s="15" t="s">
        <v>3602</v>
      </c>
      <c r="C3358" s="16" t="s">
        <v>3603</v>
      </c>
      <c r="D3358" s="16" t="s">
        <v>124</v>
      </c>
      <c r="E3358" s="15" t="s">
        <v>50</v>
      </c>
      <c r="F3358" s="16"/>
      <c r="G3358" s="16"/>
      <c r="H3358" s="16" t="s">
        <v>3604</v>
      </c>
      <c r="I3358" s="40" t="s">
        <v>18</v>
      </c>
      <c r="J3358" s="40" t="str">
        <f>HYPERLINK("https://stock.pstatic.net/stock-research/company/74/20260427_company_553218000.pdf","PDF")</f>
        <v>PDF</v>
      </c>
      <c r="K3358" s="15" t="s">
        <v>3605</v>
      </c>
    </row>
    <row r="3359" spans="1:12" x14ac:dyDescent="0.45">
      <c r="A3359" s="15" t="s">
        <v>3477</v>
      </c>
      <c r="B3359" s="15" t="s">
        <v>3606</v>
      </c>
      <c r="C3359" s="16" t="s">
        <v>3607</v>
      </c>
      <c r="D3359" s="16" t="s">
        <v>92</v>
      </c>
      <c r="E3359" s="15" t="s">
        <v>50</v>
      </c>
      <c r="F3359" s="16"/>
      <c r="G3359" s="17">
        <v>17480</v>
      </c>
      <c r="H3359" s="16" t="s">
        <v>3608</v>
      </c>
      <c r="I3359" s="40" t="s">
        <v>18</v>
      </c>
      <c r="J3359" s="40" t="str">
        <f>HYPERLINK("https://stock.pstatic.net/stock-research/company/63/20260427_company_365804000.pdf","PDF")</f>
        <v>PDF</v>
      </c>
      <c r="K3359" s="15" t="s">
        <v>3609</v>
      </c>
    </row>
    <row r="3360" spans="1:12" x14ac:dyDescent="0.45">
      <c r="A3360" s="15" t="s">
        <v>3477</v>
      </c>
      <c r="B3360" s="15" t="s">
        <v>352</v>
      </c>
      <c r="C3360" s="16" t="s">
        <v>353</v>
      </c>
      <c r="D3360" s="16" t="s">
        <v>23</v>
      </c>
      <c r="E3360" s="15" t="s">
        <v>16</v>
      </c>
      <c r="F3360" s="17">
        <v>290000</v>
      </c>
      <c r="G3360" s="17">
        <v>233000</v>
      </c>
      <c r="H3360" s="16" t="s">
        <v>3610</v>
      </c>
      <c r="I3360" s="40" t="s">
        <v>18</v>
      </c>
      <c r="J3360" s="40" t="str">
        <f>HYPERLINK("https://stock.pstatic.net/stock-research/company/21/20260427_company_995155000.pdf","PDF")</f>
        <v>PDF</v>
      </c>
      <c r="K3360" s="15" t="s">
        <v>3611</v>
      </c>
      <c r="L3360" s="20">
        <v>0.24463519313304721</v>
      </c>
    </row>
    <row r="3361" spans="1:12" x14ac:dyDescent="0.45">
      <c r="A3361" s="15" t="s">
        <v>3477</v>
      </c>
      <c r="B3361" s="15" t="s">
        <v>577</v>
      </c>
      <c r="C3361" s="16" t="s">
        <v>578</v>
      </c>
      <c r="D3361" s="16" t="s">
        <v>15</v>
      </c>
      <c r="E3361" s="15" t="s">
        <v>16</v>
      </c>
      <c r="F3361" s="17">
        <v>550000</v>
      </c>
      <c r="G3361" s="17">
        <v>422500</v>
      </c>
      <c r="H3361" s="16" t="s">
        <v>3612</v>
      </c>
      <c r="I3361" s="40" t="s">
        <v>18</v>
      </c>
      <c r="J3361" s="40" t="str">
        <f>HYPERLINK("https://stock.pstatic.net/stock-research/company/56/20260427_company_155099000.pdf","PDF")</f>
        <v>PDF</v>
      </c>
      <c r="K3361" s="15" t="s">
        <v>3613</v>
      </c>
      <c r="L3361" s="20">
        <v>0.30177514792899413</v>
      </c>
    </row>
    <row r="3362" spans="1:12" x14ac:dyDescent="0.45">
      <c r="A3362" s="15" t="s">
        <v>3477</v>
      </c>
      <c r="B3362" s="15" t="s">
        <v>3395</v>
      </c>
      <c r="C3362" s="16" t="s">
        <v>3396</v>
      </c>
      <c r="D3362" s="16" t="s">
        <v>34</v>
      </c>
      <c r="E3362" s="15" t="s">
        <v>35</v>
      </c>
      <c r="F3362" s="17">
        <v>50000</v>
      </c>
      <c r="G3362" s="17">
        <v>42300</v>
      </c>
      <c r="H3362" s="16" t="s">
        <v>3614</v>
      </c>
      <c r="I3362" s="40" t="s">
        <v>18</v>
      </c>
      <c r="J3362" s="40" t="str">
        <f>HYPERLINK("https://stock.pstatic.net/stock-research/company/61/20260427_company_638083000.pdf","PDF")</f>
        <v>PDF</v>
      </c>
      <c r="K3362" s="15" t="s">
        <v>3615</v>
      </c>
      <c r="L3362" s="20">
        <v>0.18203309692671399</v>
      </c>
    </row>
    <row r="3363" spans="1:12" x14ac:dyDescent="0.45">
      <c r="A3363" s="15" t="s">
        <v>3477</v>
      </c>
      <c r="B3363" s="15" t="s">
        <v>577</v>
      </c>
      <c r="C3363" s="16" t="s">
        <v>578</v>
      </c>
      <c r="D3363" s="16" t="s">
        <v>23</v>
      </c>
      <c r="E3363" s="15" t="s">
        <v>16</v>
      </c>
      <c r="F3363" s="17">
        <v>570000</v>
      </c>
      <c r="G3363" s="17">
        <v>422500</v>
      </c>
      <c r="H3363" s="16" t="s">
        <v>3616</v>
      </c>
      <c r="I3363" s="40" t="s">
        <v>18</v>
      </c>
      <c r="J3363" s="40" t="str">
        <f>HYPERLINK("https://stock.pstatic.net/stock-research/company/21/20260427_company_399241000.pdf","PDF")</f>
        <v>PDF</v>
      </c>
      <c r="K3363" s="15" t="s">
        <v>3617</v>
      </c>
      <c r="L3363" s="20">
        <v>0.34911242603550302</v>
      </c>
    </row>
    <row r="3364" spans="1:12" x14ac:dyDescent="0.45">
      <c r="A3364" s="15" t="s">
        <v>3477</v>
      </c>
      <c r="B3364" s="15" t="s">
        <v>519</v>
      </c>
      <c r="C3364" s="16" t="s">
        <v>520</v>
      </c>
      <c r="D3364" s="16" t="s">
        <v>23</v>
      </c>
      <c r="E3364" s="15" t="s">
        <v>16</v>
      </c>
      <c r="F3364" s="17">
        <v>670000</v>
      </c>
      <c r="G3364" s="17">
        <v>513000</v>
      </c>
      <c r="H3364" s="16" t="s">
        <v>3618</v>
      </c>
      <c r="I3364" s="40" t="s">
        <v>18</v>
      </c>
      <c r="J3364" s="40" t="str">
        <f>HYPERLINK("https://m.stock.naver.com/research/company/91969","PDF")</f>
        <v>PDF</v>
      </c>
      <c r="K3364" s="15" t="s">
        <v>3619</v>
      </c>
      <c r="L3364" s="20">
        <v>0.30604288499025339</v>
      </c>
    </row>
    <row r="3365" spans="1:12" x14ac:dyDescent="0.45">
      <c r="A3365" s="15" t="s">
        <v>3477</v>
      </c>
      <c r="B3365" s="15" t="s">
        <v>3478</v>
      </c>
      <c r="C3365" s="16" t="s">
        <v>3479</v>
      </c>
      <c r="D3365" s="16" t="s">
        <v>23</v>
      </c>
      <c r="E3365" s="15" t="s">
        <v>16</v>
      </c>
      <c r="F3365" s="17">
        <v>49000</v>
      </c>
      <c r="G3365" s="17">
        <v>42500</v>
      </c>
      <c r="H3365" s="16" t="s">
        <v>3620</v>
      </c>
      <c r="I3365" s="40" t="s">
        <v>18</v>
      </c>
      <c r="J3365" s="40" t="str">
        <f>HYPERLINK("https://stock.pstatic.net/stock-research/company/21/20260427_company_923697000.pdf","PDF")</f>
        <v>PDF</v>
      </c>
      <c r="K3365" s="15" t="s">
        <v>3621</v>
      </c>
      <c r="L3365" s="20">
        <v>0.15294117647058819</v>
      </c>
    </row>
    <row r="3366" spans="1:12" x14ac:dyDescent="0.45">
      <c r="A3366" s="15" t="s">
        <v>3477</v>
      </c>
      <c r="B3366" s="15" t="s">
        <v>1765</v>
      </c>
      <c r="C3366" s="16" t="s">
        <v>1766</v>
      </c>
      <c r="D3366" s="16" t="s">
        <v>15</v>
      </c>
      <c r="E3366" s="15" t="s">
        <v>16</v>
      </c>
      <c r="F3366" s="17">
        <v>200000</v>
      </c>
      <c r="G3366" s="17">
        <v>153400</v>
      </c>
      <c r="H3366" s="16" t="s">
        <v>3622</v>
      </c>
      <c r="I3366" s="40" t="s">
        <v>18</v>
      </c>
      <c r="J3366" s="40" t="str">
        <f>HYPERLINK("https://stock.pstatic.net/stock-research/company/56/20260427_company_795962000.pdf","PDF")</f>
        <v>PDF</v>
      </c>
      <c r="K3366" s="15" t="s">
        <v>3623</v>
      </c>
      <c r="L3366" s="20">
        <v>0.30378096479791389</v>
      </c>
    </row>
    <row r="3367" spans="1:12" x14ac:dyDescent="0.45">
      <c r="A3367" s="15" t="s">
        <v>3477</v>
      </c>
      <c r="B3367" s="15" t="s">
        <v>1495</v>
      </c>
      <c r="C3367" s="16" t="s">
        <v>1496</v>
      </c>
      <c r="D3367" s="16" t="s">
        <v>92</v>
      </c>
      <c r="E3367" s="15" t="s">
        <v>35</v>
      </c>
      <c r="F3367" s="17">
        <v>40000</v>
      </c>
      <c r="G3367" s="17">
        <v>32150</v>
      </c>
      <c r="H3367" s="16" t="s">
        <v>3624</v>
      </c>
      <c r="I3367" s="40" t="s">
        <v>18</v>
      </c>
      <c r="J3367" s="40" t="str">
        <f>HYPERLINK("https://m.stock.naver.com/research/company/91966","PDF")</f>
        <v>PDF</v>
      </c>
      <c r="K3367" s="15" t="s">
        <v>3625</v>
      </c>
      <c r="L3367" s="20">
        <v>0.2441679626749611</v>
      </c>
    </row>
    <row r="3368" spans="1:12" x14ac:dyDescent="0.45">
      <c r="A3368" s="15" t="s">
        <v>3477</v>
      </c>
      <c r="B3368" s="15" t="s">
        <v>908</v>
      </c>
      <c r="C3368" s="16" t="s">
        <v>909</v>
      </c>
      <c r="D3368" s="16" t="s">
        <v>34</v>
      </c>
      <c r="E3368" s="15" t="s">
        <v>35</v>
      </c>
      <c r="F3368" s="17">
        <v>220000</v>
      </c>
      <c r="G3368" s="17">
        <v>169800</v>
      </c>
      <c r="H3368" s="16" t="s">
        <v>3626</v>
      </c>
      <c r="I3368" s="40" t="s">
        <v>18</v>
      </c>
      <c r="J3368" s="40" t="str">
        <f>HYPERLINK("https://stock.pstatic.net/stock-research/company/61/20260427_company_482728000.pdf","PDF")</f>
        <v>PDF</v>
      </c>
      <c r="K3368" s="15" t="s">
        <v>3627</v>
      </c>
      <c r="L3368" s="20">
        <v>0.2956419316843345</v>
      </c>
    </row>
    <row r="3369" spans="1:12" x14ac:dyDescent="0.45">
      <c r="A3369" s="15" t="s">
        <v>3477</v>
      </c>
      <c r="B3369" s="15" t="s">
        <v>3628</v>
      </c>
      <c r="C3369" s="16" t="s">
        <v>3629</v>
      </c>
      <c r="D3369" s="16" t="s">
        <v>34</v>
      </c>
      <c r="E3369" s="15" t="s">
        <v>50</v>
      </c>
      <c r="F3369" s="16"/>
      <c r="G3369" s="17">
        <v>35500</v>
      </c>
      <c r="H3369" s="16" t="s">
        <v>3630</v>
      </c>
      <c r="I3369" s="40" t="s">
        <v>18</v>
      </c>
      <c r="J3369" s="40" t="str">
        <f>HYPERLINK("https://stock.pstatic.net/stock-research/company/61/20260427_company_299930000.pdf","PDF")</f>
        <v>PDF</v>
      </c>
      <c r="K3369" s="15" t="s">
        <v>3631</v>
      </c>
    </row>
    <row r="3370" spans="1:12" x14ac:dyDescent="0.45">
      <c r="A3370" s="15" t="s">
        <v>3477</v>
      </c>
      <c r="B3370" s="15" t="s">
        <v>1765</v>
      </c>
      <c r="C3370" s="16" t="s">
        <v>1766</v>
      </c>
      <c r="D3370" s="16" t="s">
        <v>23</v>
      </c>
      <c r="E3370" s="15" t="s">
        <v>16</v>
      </c>
      <c r="F3370" s="17">
        <v>220000</v>
      </c>
      <c r="G3370" s="17">
        <v>153400</v>
      </c>
      <c r="H3370" s="16" t="s">
        <v>3632</v>
      </c>
      <c r="I3370" s="40" t="s">
        <v>18</v>
      </c>
      <c r="J3370" s="40" t="str">
        <f>HYPERLINK("https://m.stock.naver.com/research/company/91963","PDF")</f>
        <v>PDF</v>
      </c>
      <c r="K3370" s="15" t="s">
        <v>3633</v>
      </c>
      <c r="L3370" s="20">
        <v>0.43415906127770543</v>
      </c>
    </row>
    <row r="3371" spans="1:12" x14ac:dyDescent="0.45">
      <c r="A3371" s="15" t="s">
        <v>3477</v>
      </c>
      <c r="B3371" s="15" t="s">
        <v>2662</v>
      </c>
      <c r="C3371" s="16" t="s">
        <v>2663</v>
      </c>
      <c r="D3371" s="16" t="s">
        <v>23</v>
      </c>
      <c r="E3371" s="15" t="s">
        <v>385</v>
      </c>
      <c r="F3371" s="16"/>
      <c r="G3371" s="17">
        <v>55300</v>
      </c>
      <c r="H3371" s="16" t="s">
        <v>3634</v>
      </c>
      <c r="I3371" s="40" t="s">
        <v>18</v>
      </c>
      <c r="J3371" s="40" t="str">
        <f>HYPERLINK("https://stock.pstatic.net/stock-research/company/21/20260427_company_149178000.pdf","PDF")</f>
        <v>PDF</v>
      </c>
      <c r="K3371" s="15" t="s">
        <v>3635</v>
      </c>
    </row>
    <row r="3372" spans="1:12" x14ac:dyDescent="0.45">
      <c r="A3372" s="15" t="s">
        <v>3477</v>
      </c>
      <c r="B3372" s="15" t="s">
        <v>3584</v>
      </c>
      <c r="C3372" s="16" t="s">
        <v>3585</v>
      </c>
      <c r="D3372" s="16" t="s">
        <v>92</v>
      </c>
      <c r="E3372" s="15" t="s">
        <v>35</v>
      </c>
      <c r="F3372" s="17">
        <v>26000</v>
      </c>
      <c r="G3372" s="17">
        <v>19750</v>
      </c>
      <c r="H3372" s="16" t="s">
        <v>3636</v>
      </c>
      <c r="I3372" s="40" t="s">
        <v>18</v>
      </c>
      <c r="J3372" s="40" t="str">
        <f>HYPERLINK("https://stock.pstatic.net/stock-research/company/63/20260427_company_474165000.pdf","PDF")</f>
        <v>PDF</v>
      </c>
      <c r="K3372" s="15" t="s">
        <v>3637</v>
      </c>
      <c r="L3372" s="20">
        <v>0.31645569620253172</v>
      </c>
    </row>
    <row r="3373" spans="1:12" x14ac:dyDescent="0.45">
      <c r="A3373" s="15" t="s">
        <v>3477</v>
      </c>
      <c r="B3373" s="15" t="s">
        <v>3536</v>
      </c>
      <c r="C3373" s="16" t="s">
        <v>3537</v>
      </c>
      <c r="D3373" s="16" t="s">
        <v>34</v>
      </c>
      <c r="E3373" s="15" t="s">
        <v>35</v>
      </c>
      <c r="F3373" s="17">
        <v>670000</v>
      </c>
      <c r="G3373" s="17">
        <v>530000</v>
      </c>
      <c r="H3373" s="16" t="s">
        <v>3638</v>
      </c>
      <c r="I3373" s="40" t="s">
        <v>18</v>
      </c>
      <c r="J3373" s="40" t="str">
        <f>HYPERLINK("https://m.stock.naver.com/research/company/91960","PDF")</f>
        <v>PDF</v>
      </c>
      <c r="K3373" s="15" t="s">
        <v>3639</v>
      </c>
      <c r="L3373" s="20">
        <v>0.26415094339622641</v>
      </c>
    </row>
    <row r="3374" spans="1:12" x14ac:dyDescent="0.45">
      <c r="A3374" s="15" t="s">
        <v>3477</v>
      </c>
      <c r="B3374" s="15" t="s">
        <v>3230</v>
      </c>
      <c r="C3374" s="16" t="s">
        <v>3231</v>
      </c>
      <c r="D3374" s="16" t="s">
        <v>179</v>
      </c>
      <c r="E3374" s="15" t="s">
        <v>16</v>
      </c>
      <c r="F3374" s="17">
        <v>4700000</v>
      </c>
      <c r="G3374" s="17">
        <v>3552000</v>
      </c>
      <c r="H3374" s="16" t="s">
        <v>3640</v>
      </c>
      <c r="I3374" s="40" t="s">
        <v>18</v>
      </c>
      <c r="J3374" s="40" t="str">
        <f>HYPERLINK("https://stock.pstatic.net/stock-research/company/64/20260427_company_507961000.pdf","PDF")</f>
        <v>PDF</v>
      </c>
      <c r="K3374" s="15" t="s">
        <v>3641</v>
      </c>
      <c r="L3374" s="20">
        <v>0.32319819819819823</v>
      </c>
    </row>
    <row r="3375" spans="1:12" x14ac:dyDescent="0.45">
      <c r="A3375" s="15" t="s">
        <v>3477</v>
      </c>
      <c r="B3375" s="15" t="s">
        <v>3482</v>
      </c>
      <c r="C3375" s="16" t="s">
        <v>3483</v>
      </c>
      <c r="D3375" s="16" t="s">
        <v>23</v>
      </c>
      <c r="E3375" s="15" t="s">
        <v>16</v>
      </c>
      <c r="F3375" s="17">
        <v>145000</v>
      </c>
      <c r="G3375" s="17">
        <v>123300</v>
      </c>
      <c r="H3375" s="16" t="s">
        <v>3642</v>
      </c>
      <c r="I3375" s="40" t="s">
        <v>18</v>
      </c>
      <c r="J3375" s="40" t="str">
        <f>HYPERLINK("https://stock.pstatic.net/stock-research/company/21/20260427_company_527328000.pdf","PDF")</f>
        <v>PDF</v>
      </c>
      <c r="K3375" s="15" t="s">
        <v>3643</v>
      </c>
      <c r="L3375" s="20">
        <v>0.17599351175993511</v>
      </c>
    </row>
    <row r="3376" spans="1:12" x14ac:dyDescent="0.45">
      <c r="A3376" s="15" t="s">
        <v>3477</v>
      </c>
      <c r="B3376" s="15" t="s">
        <v>3488</v>
      </c>
      <c r="C3376" s="16" t="s">
        <v>3489</v>
      </c>
      <c r="D3376" s="16" t="s">
        <v>23</v>
      </c>
      <c r="E3376" s="15" t="s">
        <v>16</v>
      </c>
      <c r="F3376" s="17">
        <v>39000</v>
      </c>
      <c r="G3376" s="17">
        <v>35050</v>
      </c>
      <c r="H3376" s="16" t="s">
        <v>3644</v>
      </c>
      <c r="I3376" s="40" t="s">
        <v>18</v>
      </c>
      <c r="J3376" s="40" t="str">
        <f>HYPERLINK("https://stock.pstatic.net/stock-research/company/21/20260427_company_664030000.pdf","PDF")</f>
        <v>PDF</v>
      </c>
      <c r="K3376" s="15" t="s">
        <v>3645</v>
      </c>
      <c r="L3376" s="20">
        <v>0.11269614835948651</v>
      </c>
    </row>
    <row r="3377" spans="1:12" x14ac:dyDescent="0.45">
      <c r="A3377" s="15" t="s">
        <v>3477</v>
      </c>
      <c r="B3377" s="15" t="s">
        <v>3230</v>
      </c>
      <c r="C3377" s="16" t="s">
        <v>3231</v>
      </c>
      <c r="D3377" s="16" t="s">
        <v>23</v>
      </c>
      <c r="E3377" s="15" t="s">
        <v>16</v>
      </c>
      <c r="F3377" s="17">
        <v>4200000</v>
      </c>
      <c r="G3377" s="17">
        <v>3552000</v>
      </c>
      <c r="H3377" s="16" t="s">
        <v>3646</v>
      </c>
      <c r="I3377" s="40" t="s">
        <v>18</v>
      </c>
      <c r="J3377" s="40" t="str">
        <f>HYPERLINK("https://stock.pstatic.net/stock-research/company/21/20260427_company_983623000.pdf","PDF")</f>
        <v>PDF</v>
      </c>
      <c r="K3377" s="15" t="s">
        <v>3647</v>
      </c>
      <c r="L3377" s="20">
        <v>0.1824324324324324</v>
      </c>
    </row>
    <row r="3378" spans="1:12" x14ac:dyDescent="0.45">
      <c r="A3378" s="15" t="s">
        <v>3477</v>
      </c>
      <c r="B3378" s="15" t="s">
        <v>3492</v>
      </c>
      <c r="C3378" s="16" t="s">
        <v>3493</v>
      </c>
      <c r="D3378" s="16" t="s">
        <v>23</v>
      </c>
      <c r="E3378" s="15" t="s">
        <v>16</v>
      </c>
      <c r="F3378" s="17">
        <v>26000</v>
      </c>
      <c r="G3378" s="17">
        <v>22350</v>
      </c>
      <c r="H3378" s="16" t="s">
        <v>3648</v>
      </c>
      <c r="I3378" s="40" t="s">
        <v>18</v>
      </c>
      <c r="J3378" s="40" t="str">
        <f>HYPERLINK("https://stock.pstatic.net/stock-research/company/21/20260427_company_306136000.pdf","PDF")</f>
        <v>PDF</v>
      </c>
      <c r="K3378" s="15" t="s">
        <v>3649</v>
      </c>
      <c r="L3378" s="20">
        <v>0.16331096196868011</v>
      </c>
    </row>
    <row r="3379" spans="1:12" x14ac:dyDescent="0.45">
      <c r="A3379" s="15" t="s">
        <v>3477</v>
      </c>
      <c r="B3379" s="15" t="s">
        <v>3536</v>
      </c>
      <c r="C3379" s="16" t="s">
        <v>3537</v>
      </c>
      <c r="D3379" s="16" t="s">
        <v>23</v>
      </c>
      <c r="E3379" s="15" t="s">
        <v>16</v>
      </c>
      <c r="F3379" s="17">
        <v>850000</v>
      </c>
      <c r="G3379" s="17">
        <v>530000</v>
      </c>
      <c r="H3379" s="16" t="s">
        <v>3650</v>
      </c>
      <c r="I3379" s="40" t="s">
        <v>18</v>
      </c>
      <c r="J3379" s="40" t="str">
        <f>HYPERLINK("https://m.stock.naver.com/research/company/91954","PDF")</f>
        <v>PDF</v>
      </c>
      <c r="K3379" s="15" t="s">
        <v>3651</v>
      </c>
      <c r="L3379" s="20">
        <v>0.60377358490566035</v>
      </c>
    </row>
    <row r="3380" spans="1:12" x14ac:dyDescent="0.45">
      <c r="A3380" s="15" t="s">
        <v>3477</v>
      </c>
      <c r="B3380" s="15" t="s">
        <v>2960</v>
      </c>
      <c r="C3380" s="16" t="s">
        <v>2961</v>
      </c>
      <c r="D3380" s="16" t="s">
        <v>23</v>
      </c>
      <c r="E3380" s="15" t="s">
        <v>16</v>
      </c>
      <c r="F3380" s="17">
        <v>77000</v>
      </c>
      <c r="G3380" s="17">
        <v>62300</v>
      </c>
      <c r="H3380" s="16" t="s">
        <v>3652</v>
      </c>
      <c r="I3380" s="40" t="s">
        <v>18</v>
      </c>
      <c r="J3380" s="40" t="str">
        <f>HYPERLINK("https://stock.pstatic.net/stock-research/company/21/20260427_company_564979000.pdf","PDF")</f>
        <v>PDF</v>
      </c>
      <c r="K3380" s="15" t="s">
        <v>3653</v>
      </c>
      <c r="L3380" s="20">
        <v>0.2359550561797753</v>
      </c>
    </row>
    <row r="3381" spans="1:12" x14ac:dyDescent="0.45">
      <c r="A3381" s="15" t="s">
        <v>3477</v>
      </c>
      <c r="B3381" s="15" t="s">
        <v>110</v>
      </c>
      <c r="C3381" s="16" t="s">
        <v>111</v>
      </c>
      <c r="D3381" s="16" t="s">
        <v>23</v>
      </c>
      <c r="E3381" s="15" t="s">
        <v>16</v>
      </c>
      <c r="F3381" s="17">
        <v>120000</v>
      </c>
      <c r="G3381" s="17">
        <v>88900</v>
      </c>
      <c r="H3381" s="16" t="s">
        <v>3654</v>
      </c>
      <c r="I3381" s="40" t="s">
        <v>18</v>
      </c>
      <c r="J3381" s="40" t="str">
        <f>HYPERLINK("https://stock.pstatic.net/stock-research/company/21/20260427_company_656824000.pdf","PDF")</f>
        <v>PDF</v>
      </c>
      <c r="K3381" s="15" t="s">
        <v>3655</v>
      </c>
      <c r="L3381" s="20">
        <v>0.34983127109111362</v>
      </c>
    </row>
    <row r="3382" spans="1:12" x14ac:dyDescent="0.45">
      <c r="A3382" s="15" t="s">
        <v>3477</v>
      </c>
      <c r="B3382" s="15" t="s">
        <v>2516</v>
      </c>
      <c r="C3382" s="16" t="s">
        <v>2517</v>
      </c>
      <c r="D3382" s="16" t="s">
        <v>179</v>
      </c>
      <c r="E3382" s="15" t="s">
        <v>50</v>
      </c>
      <c r="F3382" s="16"/>
      <c r="G3382" s="17">
        <v>29450</v>
      </c>
      <c r="H3382" s="16" t="s">
        <v>3656</v>
      </c>
      <c r="I3382" s="40" t="s">
        <v>18</v>
      </c>
      <c r="J3382" s="40" t="str">
        <f>HYPERLINK("https://stock.pstatic.net/stock-research/company/64/20260427_company_489403000.pdf","PDF")</f>
        <v>PDF</v>
      </c>
      <c r="K3382" s="15" t="s">
        <v>3657</v>
      </c>
    </row>
    <row r="3383" spans="1:12" x14ac:dyDescent="0.45">
      <c r="A3383" s="15" t="s">
        <v>3477</v>
      </c>
      <c r="B3383" s="15" t="s">
        <v>2982</v>
      </c>
      <c r="C3383" s="16" t="s">
        <v>2983</v>
      </c>
      <c r="D3383" s="16" t="s">
        <v>92</v>
      </c>
      <c r="E3383" s="15" t="s">
        <v>35</v>
      </c>
      <c r="F3383" s="17">
        <v>144000</v>
      </c>
      <c r="G3383" s="17">
        <v>99000</v>
      </c>
      <c r="H3383" s="16" t="s">
        <v>3658</v>
      </c>
      <c r="I3383" s="40" t="s">
        <v>18</v>
      </c>
      <c r="J3383" s="40" t="str">
        <f>HYPERLINK("https://stock.pstatic.net/stock-research/company/63/20260427_company_949082000.pdf","PDF")</f>
        <v>PDF</v>
      </c>
      <c r="K3383" s="15" t="s">
        <v>3659</v>
      </c>
      <c r="L3383" s="20">
        <v>0.45454545454545447</v>
      </c>
    </row>
    <row r="3384" spans="1:12" x14ac:dyDescent="0.45">
      <c r="A3384" s="15" t="s">
        <v>3477</v>
      </c>
      <c r="B3384" s="15" t="s">
        <v>3482</v>
      </c>
      <c r="C3384" s="16" t="s">
        <v>3483</v>
      </c>
      <c r="D3384" s="16" t="s">
        <v>34</v>
      </c>
      <c r="E3384" s="15" t="s">
        <v>35</v>
      </c>
      <c r="F3384" s="17">
        <v>150000</v>
      </c>
      <c r="G3384" s="17">
        <v>123300</v>
      </c>
      <c r="H3384" s="16" t="s">
        <v>3660</v>
      </c>
      <c r="I3384" s="40" t="s">
        <v>18</v>
      </c>
      <c r="J3384" s="40" t="str">
        <f>HYPERLINK("https://m.stock.naver.com/research/company/91949","PDF")</f>
        <v>PDF</v>
      </c>
      <c r="K3384" s="15" t="s">
        <v>3661</v>
      </c>
      <c r="L3384" s="20">
        <v>0.21654501216545011</v>
      </c>
    </row>
    <row r="3385" spans="1:12" x14ac:dyDescent="0.45">
      <c r="A3385" s="15" t="s">
        <v>3477</v>
      </c>
      <c r="B3385" s="15" t="s">
        <v>3488</v>
      </c>
      <c r="C3385" s="16" t="s">
        <v>3489</v>
      </c>
      <c r="D3385" s="16" t="s">
        <v>34</v>
      </c>
      <c r="E3385" s="15" t="s">
        <v>35</v>
      </c>
      <c r="F3385" s="17">
        <v>42000</v>
      </c>
      <c r="G3385" s="17">
        <v>35050</v>
      </c>
      <c r="H3385" s="16" t="s">
        <v>3662</v>
      </c>
      <c r="I3385" s="40" t="s">
        <v>18</v>
      </c>
      <c r="J3385" s="40" t="str">
        <f>HYPERLINK("https://stock.pstatic.net/stock-research/company/61/20260427_company_364117000.pdf","PDF")</f>
        <v>PDF</v>
      </c>
      <c r="K3385" s="15" t="s">
        <v>3663</v>
      </c>
      <c r="L3385" s="20">
        <v>0.1982881597717546</v>
      </c>
    </row>
    <row r="3386" spans="1:12" x14ac:dyDescent="0.45">
      <c r="A3386" s="15" t="s">
        <v>3477</v>
      </c>
      <c r="B3386" s="15" t="s">
        <v>352</v>
      </c>
      <c r="C3386" s="16" t="s">
        <v>353</v>
      </c>
      <c r="D3386" s="16" t="s">
        <v>34</v>
      </c>
      <c r="E3386" s="15" t="s">
        <v>35</v>
      </c>
      <c r="F3386" s="17">
        <v>320000</v>
      </c>
      <c r="G3386" s="17">
        <v>233000</v>
      </c>
      <c r="H3386" s="16" t="s">
        <v>3664</v>
      </c>
      <c r="I3386" s="40" t="s">
        <v>18</v>
      </c>
      <c r="J3386" s="40" t="str">
        <f>HYPERLINK("https://stock.pstatic.net/stock-research/company/61/20260427_company_676432000.pdf","PDF")</f>
        <v>PDF</v>
      </c>
      <c r="K3386" s="15" t="s">
        <v>3665</v>
      </c>
      <c r="L3386" s="20">
        <v>0.37339055793991421</v>
      </c>
    </row>
    <row r="3387" spans="1:12" x14ac:dyDescent="0.45">
      <c r="A3387" s="15" t="s">
        <v>3477</v>
      </c>
      <c r="B3387" s="15" t="s">
        <v>3123</v>
      </c>
      <c r="C3387" s="16" t="s">
        <v>3124</v>
      </c>
      <c r="D3387" s="16" t="s">
        <v>179</v>
      </c>
      <c r="E3387" s="15" t="s">
        <v>16</v>
      </c>
      <c r="F3387" s="17">
        <v>100000</v>
      </c>
      <c r="G3387" s="17">
        <v>76000</v>
      </c>
      <c r="H3387" s="16" t="s">
        <v>3666</v>
      </c>
      <c r="I3387" s="40" t="s">
        <v>18</v>
      </c>
      <c r="J3387" s="40" t="str">
        <f>HYPERLINK("https://stock.pstatic.net/stock-research/company/64/20260427_company_637859000.pdf","PDF")</f>
        <v>PDF</v>
      </c>
      <c r="K3387" s="15" t="s">
        <v>3667</v>
      </c>
      <c r="L3387" s="20">
        <v>0.31578947368421051</v>
      </c>
    </row>
    <row r="3388" spans="1:12" x14ac:dyDescent="0.45">
      <c r="A3388" s="15" t="s">
        <v>3477</v>
      </c>
      <c r="B3388" s="15" t="s">
        <v>3478</v>
      </c>
      <c r="C3388" s="16" t="s">
        <v>3479</v>
      </c>
      <c r="D3388" s="16" t="s">
        <v>34</v>
      </c>
      <c r="E3388" s="15" t="s">
        <v>35</v>
      </c>
      <c r="F3388" s="17">
        <v>50000</v>
      </c>
      <c r="G3388" s="17">
        <v>42500</v>
      </c>
      <c r="H3388" s="16" t="s">
        <v>3668</v>
      </c>
      <c r="I3388" s="40" t="s">
        <v>18</v>
      </c>
      <c r="J3388" s="40" t="str">
        <f>HYPERLINK("https://m.stock.naver.com/research/company/91945","PDF")</f>
        <v>PDF</v>
      </c>
      <c r="K3388" s="15" t="s">
        <v>3669</v>
      </c>
      <c r="L3388" s="20">
        <v>0.1764705882352941</v>
      </c>
    </row>
    <row r="3389" spans="1:12" x14ac:dyDescent="0.45">
      <c r="A3389" s="15" t="s">
        <v>3477</v>
      </c>
      <c r="B3389" s="15" t="s">
        <v>577</v>
      </c>
      <c r="C3389" s="16" t="s">
        <v>578</v>
      </c>
      <c r="D3389" s="16" t="s">
        <v>34</v>
      </c>
      <c r="E3389" s="15" t="s">
        <v>35</v>
      </c>
      <c r="F3389" s="17">
        <v>580000</v>
      </c>
      <c r="G3389" s="17">
        <v>422500</v>
      </c>
      <c r="H3389" s="16" t="s">
        <v>3670</v>
      </c>
      <c r="I3389" s="40" t="s">
        <v>18</v>
      </c>
      <c r="J3389" s="40" t="str">
        <f>HYPERLINK("https://m.stock.naver.com/research/company/91944","PDF")</f>
        <v>PDF</v>
      </c>
      <c r="K3389" s="15" t="s">
        <v>3671</v>
      </c>
      <c r="L3389" s="20">
        <v>0.37278106508875741</v>
      </c>
    </row>
    <row r="3390" spans="1:12" x14ac:dyDescent="0.45">
      <c r="A3390" s="15" t="s">
        <v>3477</v>
      </c>
      <c r="B3390" s="15" t="s">
        <v>1765</v>
      </c>
      <c r="C3390" s="16" t="s">
        <v>1766</v>
      </c>
      <c r="D3390" s="16" t="s">
        <v>34</v>
      </c>
      <c r="E3390" s="15" t="s">
        <v>35</v>
      </c>
      <c r="F3390" s="17">
        <v>240000</v>
      </c>
      <c r="G3390" s="17">
        <v>153400</v>
      </c>
      <c r="H3390" s="16" t="s">
        <v>3672</v>
      </c>
      <c r="I3390" s="40" t="s">
        <v>18</v>
      </c>
      <c r="J3390" s="40" t="str">
        <f>HYPERLINK("https://stock.pstatic.net/stock-research/company/61/20260427_company_600468000.pdf","PDF")</f>
        <v>PDF</v>
      </c>
      <c r="K3390" s="15" t="s">
        <v>3673</v>
      </c>
      <c r="L3390" s="20">
        <v>0.56453715775749669</v>
      </c>
    </row>
    <row r="3391" spans="1:12" x14ac:dyDescent="0.45">
      <c r="A3391" s="15" t="s">
        <v>3477</v>
      </c>
      <c r="B3391" s="15" t="s">
        <v>3584</v>
      </c>
      <c r="C3391" s="16" t="s">
        <v>3585</v>
      </c>
      <c r="D3391" s="16" t="s">
        <v>44</v>
      </c>
      <c r="E3391" s="15" t="s">
        <v>35</v>
      </c>
      <c r="F3391" s="17">
        <v>25000</v>
      </c>
      <c r="G3391" s="17">
        <v>19750</v>
      </c>
      <c r="H3391" s="16" t="s">
        <v>3674</v>
      </c>
      <c r="I3391" s="40" t="s">
        <v>18</v>
      </c>
      <c r="J3391" s="40" t="str">
        <f>HYPERLINK("https://m.stock.naver.com/research/company/91942","PDF")</f>
        <v>PDF</v>
      </c>
      <c r="K3391" s="15" t="s">
        <v>3675</v>
      </c>
      <c r="L3391" s="20">
        <v>0.26582278481012661</v>
      </c>
    </row>
    <row r="3392" spans="1:12" x14ac:dyDescent="0.45">
      <c r="A3392" s="15" t="s">
        <v>3477</v>
      </c>
      <c r="B3392" s="15" t="s">
        <v>2982</v>
      </c>
      <c r="C3392" s="16" t="s">
        <v>2983</v>
      </c>
      <c r="D3392" s="16" t="s">
        <v>44</v>
      </c>
      <c r="E3392" s="15" t="s">
        <v>50</v>
      </c>
      <c r="F3392" s="16"/>
      <c r="G3392" s="17">
        <v>99000</v>
      </c>
      <c r="H3392" s="16" t="s">
        <v>3676</v>
      </c>
      <c r="I3392" s="40" t="s">
        <v>18</v>
      </c>
      <c r="J3392" s="40" t="str">
        <f>HYPERLINK("https://stock.pstatic.net/stock-research/company/39/20260427_company_124872000.pdf","PDF")</f>
        <v>PDF</v>
      </c>
      <c r="K3392" s="15" t="s">
        <v>3677</v>
      </c>
    </row>
    <row r="3393" spans="1:12" x14ac:dyDescent="0.45">
      <c r="A3393" s="15" t="s">
        <v>3477</v>
      </c>
      <c r="B3393" s="15" t="s">
        <v>1765</v>
      </c>
      <c r="C3393" s="16" t="s">
        <v>1766</v>
      </c>
      <c r="D3393" s="16" t="s">
        <v>44</v>
      </c>
      <c r="E3393" s="15" t="s">
        <v>45</v>
      </c>
      <c r="F3393" s="17">
        <v>175000</v>
      </c>
      <c r="G3393" s="17">
        <v>153400</v>
      </c>
      <c r="H3393" s="16" t="s">
        <v>3678</v>
      </c>
      <c r="I3393" s="40" t="s">
        <v>18</v>
      </c>
      <c r="J3393" s="40" t="str">
        <f>HYPERLINK("https://stock.pstatic.net/stock-research/company/39/20260427_company_183260000.pdf","PDF")</f>
        <v>PDF</v>
      </c>
      <c r="K3393" s="15" t="s">
        <v>3679</v>
      </c>
      <c r="L3393" s="20">
        <v>0.1408083441981747</v>
      </c>
    </row>
    <row r="3394" spans="1:12" x14ac:dyDescent="0.45">
      <c r="A3394" s="15" t="s">
        <v>3477</v>
      </c>
      <c r="B3394" s="15" t="s">
        <v>3492</v>
      </c>
      <c r="C3394" s="16" t="s">
        <v>3493</v>
      </c>
      <c r="D3394" s="16" t="s">
        <v>44</v>
      </c>
      <c r="E3394" s="15" t="s">
        <v>35</v>
      </c>
      <c r="F3394" s="17">
        <v>30000</v>
      </c>
      <c r="G3394" s="17">
        <v>22350</v>
      </c>
      <c r="H3394" s="16" t="s">
        <v>3680</v>
      </c>
      <c r="I3394" s="40" t="s">
        <v>18</v>
      </c>
      <c r="J3394" s="40" t="str">
        <f>HYPERLINK("https://stock.pstatic.net/stock-research/company/39/20260427_company_348390000.pdf","PDF")</f>
        <v>PDF</v>
      </c>
      <c r="K3394" s="15" t="s">
        <v>3681</v>
      </c>
      <c r="L3394" s="20">
        <v>0.34228187919463088</v>
      </c>
    </row>
    <row r="3395" spans="1:12" x14ac:dyDescent="0.45">
      <c r="A3395" s="15" t="s">
        <v>3477</v>
      </c>
      <c r="B3395" s="15" t="s">
        <v>3369</v>
      </c>
      <c r="C3395" s="16" t="s">
        <v>3370</v>
      </c>
      <c r="D3395" s="16" t="s">
        <v>44</v>
      </c>
      <c r="E3395" s="15" t="s">
        <v>35</v>
      </c>
      <c r="F3395" s="17">
        <v>42000</v>
      </c>
      <c r="G3395" s="17">
        <v>28700</v>
      </c>
      <c r="H3395" s="16" t="s">
        <v>3682</v>
      </c>
      <c r="I3395" s="40" t="s">
        <v>18</v>
      </c>
      <c r="J3395" s="40" t="str">
        <f>HYPERLINK("https://stock.pstatic.net/stock-research/company/39/20260427_company_205518000.pdf","PDF")</f>
        <v>PDF</v>
      </c>
      <c r="K3395" s="15" t="s">
        <v>3683</v>
      </c>
      <c r="L3395" s="20">
        <v>0.46341463414634149</v>
      </c>
    </row>
    <row r="3396" spans="1:12" x14ac:dyDescent="0.45">
      <c r="A3396" s="15" t="s">
        <v>3477</v>
      </c>
      <c r="B3396" s="15" t="s">
        <v>3482</v>
      </c>
      <c r="C3396" s="16" t="s">
        <v>3483</v>
      </c>
      <c r="D3396" s="16" t="s">
        <v>44</v>
      </c>
      <c r="E3396" s="15" t="s">
        <v>35</v>
      </c>
      <c r="F3396" s="17">
        <v>175000</v>
      </c>
      <c r="G3396" s="17">
        <v>123300</v>
      </c>
      <c r="H3396" s="16" t="s">
        <v>3684</v>
      </c>
      <c r="I3396" s="40" t="s">
        <v>18</v>
      </c>
      <c r="J3396" s="40" t="str">
        <f>HYPERLINK("https://m.stock.naver.com/research/company/91937","PDF")</f>
        <v>PDF</v>
      </c>
      <c r="K3396" s="15" t="s">
        <v>3685</v>
      </c>
      <c r="L3396" s="20">
        <v>0.41930251419302522</v>
      </c>
    </row>
    <row r="3397" spans="1:12" x14ac:dyDescent="0.45">
      <c r="A3397" s="15" t="s">
        <v>3477</v>
      </c>
      <c r="B3397" s="15" t="s">
        <v>3488</v>
      </c>
      <c r="C3397" s="16" t="s">
        <v>3489</v>
      </c>
      <c r="D3397" s="16" t="s">
        <v>44</v>
      </c>
      <c r="E3397" s="15" t="s">
        <v>35</v>
      </c>
      <c r="F3397" s="17">
        <v>48000</v>
      </c>
      <c r="G3397" s="17">
        <v>35050</v>
      </c>
      <c r="H3397" s="16" t="s">
        <v>3686</v>
      </c>
      <c r="I3397" s="40" t="s">
        <v>18</v>
      </c>
      <c r="J3397" s="40" t="str">
        <f>HYPERLINK("https://stock.pstatic.net/stock-research/company/39/20260427_company_106848000.pdf","PDF")</f>
        <v>PDF</v>
      </c>
      <c r="K3397" s="15" t="s">
        <v>3687</v>
      </c>
      <c r="L3397" s="20">
        <v>0.369472182596291</v>
      </c>
    </row>
    <row r="3398" spans="1:12" x14ac:dyDescent="0.45">
      <c r="A3398" s="15" t="s">
        <v>3477</v>
      </c>
      <c r="B3398" s="15" t="s">
        <v>3688</v>
      </c>
      <c r="C3398" s="16" t="s">
        <v>3689</v>
      </c>
      <c r="D3398" s="16" t="s">
        <v>44</v>
      </c>
      <c r="E3398" s="15" t="s">
        <v>35</v>
      </c>
      <c r="F3398" s="17">
        <v>140000</v>
      </c>
      <c r="G3398" s="17">
        <v>100000</v>
      </c>
      <c r="H3398" s="16" t="s">
        <v>3690</v>
      </c>
      <c r="I3398" s="40" t="s">
        <v>18</v>
      </c>
      <c r="J3398" s="40" t="str">
        <f>HYPERLINK("https://stock.pstatic.net/stock-research/company/39/20260427_company_397248000.pdf","PDF")</f>
        <v>PDF</v>
      </c>
      <c r="K3398" s="15" t="s">
        <v>3691</v>
      </c>
      <c r="L3398" s="20">
        <v>0.4</v>
      </c>
    </row>
    <row r="3399" spans="1:12" x14ac:dyDescent="0.45">
      <c r="A3399" s="15" t="s">
        <v>3477</v>
      </c>
      <c r="B3399" s="15" t="s">
        <v>3373</v>
      </c>
      <c r="C3399" s="16" t="s">
        <v>3374</v>
      </c>
      <c r="D3399" s="16" t="s">
        <v>44</v>
      </c>
      <c r="E3399" s="15" t="s">
        <v>35</v>
      </c>
      <c r="F3399" s="17">
        <v>220000</v>
      </c>
      <c r="G3399" s="17">
        <v>157400</v>
      </c>
      <c r="H3399" s="16" t="s">
        <v>3692</v>
      </c>
      <c r="I3399" s="40" t="s">
        <v>18</v>
      </c>
      <c r="J3399" s="40" t="str">
        <f>HYPERLINK("https://stock.pstatic.net/stock-research/company/39/20260427_company_277798000.pdf","PDF")</f>
        <v>PDF</v>
      </c>
      <c r="K3399" s="15" t="s">
        <v>3693</v>
      </c>
      <c r="L3399" s="20">
        <v>0.397712833545108</v>
      </c>
    </row>
    <row r="3400" spans="1:12" x14ac:dyDescent="0.45">
      <c r="A3400" s="15" t="s">
        <v>3477</v>
      </c>
      <c r="B3400" s="15" t="s">
        <v>2960</v>
      </c>
      <c r="C3400" s="16" t="s">
        <v>2961</v>
      </c>
      <c r="D3400" s="16" t="s">
        <v>53</v>
      </c>
      <c r="E3400" s="15" t="s">
        <v>16</v>
      </c>
      <c r="F3400" s="17">
        <v>81000</v>
      </c>
      <c r="G3400" s="17">
        <v>62300</v>
      </c>
      <c r="H3400" s="16" t="s">
        <v>3694</v>
      </c>
      <c r="I3400" s="40" t="s">
        <v>18</v>
      </c>
      <c r="J3400" s="40" t="str">
        <f>HYPERLINK("https://stock.pstatic.net/stock-research/company/40/20260427_company_131515000.pdf","PDF")</f>
        <v>PDF</v>
      </c>
      <c r="K3400" s="15" t="s">
        <v>3695</v>
      </c>
      <c r="L3400" s="20">
        <v>0.3001605136436597</v>
      </c>
    </row>
    <row r="3401" spans="1:12" x14ac:dyDescent="0.45">
      <c r="A3401" s="15" t="s">
        <v>3477</v>
      </c>
      <c r="B3401" s="15" t="s">
        <v>3488</v>
      </c>
      <c r="C3401" s="16" t="s">
        <v>3489</v>
      </c>
      <c r="D3401" s="16" t="s">
        <v>15</v>
      </c>
      <c r="E3401" s="15" t="s">
        <v>16</v>
      </c>
      <c r="F3401" s="17">
        <v>43000</v>
      </c>
      <c r="G3401" s="17">
        <v>35050</v>
      </c>
      <c r="H3401" s="16" t="s">
        <v>3696</v>
      </c>
      <c r="I3401" s="40" t="s">
        <v>18</v>
      </c>
      <c r="J3401" s="40" t="str">
        <f>HYPERLINK("https://stock.pstatic.net/stock-research/company/56/20260427_company_167888000.pdf","PDF")</f>
        <v>PDF</v>
      </c>
      <c r="K3401" s="15" t="s">
        <v>3697</v>
      </c>
      <c r="L3401" s="20">
        <v>0.22681883024251071</v>
      </c>
    </row>
    <row r="3402" spans="1:12" x14ac:dyDescent="0.45">
      <c r="A3402" s="15" t="s">
        <v>3477</v>
      </c>
      <c r="B3402" s="15" t="s">
        <v>3482</v>
      </c>
      <c r="C3402" s="16" t="s">
        <v>3483</v>
      </c>
      <c r="D3402" s="16" t="s">
        <v>15</v>
      </c>
      <c r="E3402" s="15" t="s">
        <v>16</v>
      </c>
      <c r="F3402" s="17">
        <v>179000</v>
      </c>
      <c r="G3402" s="17">
        <v>123300</v>
      </c>
      <c r="H3402" s="16" t="s">
        <v>3698</v>
      </c>
      <c r="I3402" s="40" t="s">
        <v>18</v>
      </c>
      <c r="J3402" s="40" t="str">
        <f>HYPERLINK("https://stock.pstatic.net/stock-research/company/56/20260427_company_750043000.pdf","PDF")</f>
        <v>PDF</v>
      </c>
      <c r="K3402" s="15" t="s">
        <v>3699</v>
      </c>
      <c r="L3402" s="20">
        <v>0.45174371451743722</v>
      </c>
    </row>
    <row r="3403" spans="1:12" x14ac:dyDescent="0.45">
      <c r="A3403" s="15" t="s">
        <v>3477</v>
      </c>
      <c r="B3403" s="15" t="s">
        <v>3700</v>
      </c>
      <c r="C3403" s="16" t="s">
        <v>3701</v>
      </c>
      <c r="D3403" s="16" t="s">
        <v>124</v>
      </c>
      <c r="E3403" s="15" t="s">
        <v>50</v>
      </c>
      <c r="F3403" s="16"/>
      <c r="G3403" s="17">
        <v>1497</v>
      </c>
      <c r="H3403" s="16" t="s">
        <v>3702</v>
      </c>
      <c r="I3403" s="40" t="s">
        <v>18</v>
      </c>
      <c r="J3403" s="40" t="str">
        <f>HYPERLINK("https://stock.pstatic.net/stock-research/company/74/20260427_company_301150000.pdf","PDF")</f>
        <v>PDF</v>
      </c>
      <c r="K3403" s="15" t="s">
        <v>3703</v>
      </c>
    </row>
    <row r="3404" spans="1:12" x14ac:dyDescent="0.45">
      <c r="A3404" s="15" t="s">
        <v>3477</v>
      </c>
      <c r="B3404" s="15" t="s">
        <v>3704</v>
      </c>
      <c r="C3404" s="16" t="s">
        <v>3705</v>
      </c>
      <c r="D3404" s="16" t="s">
        <v>124</v>
      </c>
      <c r="E3404" s="15" t="s">
        <v>50</v>
      </c>
      <c r="F3404" s="16"/>
      <c r="G3404" s="17">
        <v>16200</v>
      </c>
      <c r="H3404" s="16" t="s">
        <v>3706</v>
      </c>
      <c r="I3404" s="40" t="s">
        <v>18</v>
      </c>
      <c r="J3404" s="40" t="str">
        <f>HYPERLINK("https://stock.pstatic.net/stock-research/company/74/20260427_company_437801000.pdf","PDF")</f>
        <v>PDF</v>
      </c>
      <c r="K3404" s="15" t="s">
        <v>3707</v>
      </c>
    </row>
    <row r="3405" spans="1:12" x14ac:dyDescent="0.45">
      <c r="A3405" s="15" t="s">
        <v>3477</v>
      </c>
      <c r="B3405" s="15" t="s">
        <v>3708</v>
      </c>
      <c r="C3405" s="16" t="s">
        <v>3709</v>
      </c>
      <c r="D3405" s="16" t="s">
        <v>124</v>
      </c>
      <c r="E3405" s="15" t="s">
        <v>50</v>
      </c>
      <c r="F3405" s="16"/>
      <c r="G3405" s="17">
        <v>18920</v>
      </c>
      <c r="H3405" s="16" t="s">
        <v>3710</v>
      </c>
      <c r="I3405" s="40" t="s">
        <v>18</v>
      </c>
      <c r="J3405" s="40" t="str">
        <f>HYPERLINK("https://stock.pstatic.net/stock-research/company/74/20260427_company_457304000.pdf","PDF")</f>
        <v>PDF</v>
      </c>
      <c r="K3405" s="15" t="s">
        <v>3711</v>
      </c>
    </row>
    <row r="3406" spans="1:12" x14ac:dyDescent="0.45">
      <c r="A3406" s="15" t="s">
        <v>3477</v>
      </c>
      <c r="B3406" s="15" t="s">
        <v>1912</v>
      </c>
      <c r="C3406" s="16" t="s">
        <v>1913</v>
      </c>
      <c r="D3406" s="16" t="s">
        <v>124</v>
      </c>
      <c r="E3406" s="15" t="s">
        <v>50</v>
      </c>
      <c r="F3406" s="16"/>
      <c r="G3406" s="17">
        <v>44800</v>
      </c>
      <c r="H3406" s="16" t="s">
        <v>3712</v>
      </c>
      <c r="I3406" s="40" t="s">
        <v>18</v>
      </c>
      <c r="J3406" s="40" t="str">
        <f>HYPERLINK("https://stock.pstatic.net/stock-research/company/74/20260427_company_930759000.pdf","PDF")</f>
        <v>PDF</v>
      </c>
      <c r="K3406" s="15" t="s">
        <v>3713</v>
      </c>
    </row>
    <row r="3407" spans="1:12" x14ac:dyDescent="0.45">
      <c r="A3407" s="15" t="s">
        <v>3477</v>
      </c>
      <c r="B3407" s="15" t="s">
        <v>3714</v>
      </c>
      <c r="C3407" s="16" t="s">
        <v>3715</v>
      </c>
      <c r="D3407" s="16" t="s">
        <v>124</v>
      </c>
      <c r="E3407" s="15" t="s">
        <v>50</v>
      </c>
      <c r="F3407" s="16"/>
      <c r="G3407" s="17">
        <v>7530</v>
      </c>
      <c r="H3407" s="16" t="s">
        <v>3716</v>
      </c>
      <c r="I3407" s="40" t="s">
        <v>18</v>
      </c>
      <c r="J3407" s="40" t="str">
        <f>HYPERLINK("https://stock.pstatic.net/stock-research/company/74/20260427_company_600259000.pdf","PDF")</f>
        <v>PDF</v>
      </c>
      <c r="K3407" s="15" t="s">
        <v>3717</v>
      </c>
    </row>
    <row r="3408" spans="1:12" x14ac:dyDescent="0.45">
      <c r="A3408" s="15" t="s">
        <v>3477</v>
      </c>
      <c r="B3408" s="15" t="s">
        <v>3718</v>
      </c>
      <c r="C3408" s="16" t="s">
        <v>3719</v>
      </c>
      <c r="D3408" s="16" t="s">
        <v>124</v>
      </c>
      <c r="E3408" s="15" t="s">
        <v>50</v>
      </c>
      <c r="F3408" s="16"/>
      <c r="G3408" s="17">
        <v>7400</v>
      </c>
      <c r="H3408" s="16" t="s">
        <v>3720</v>
      </c>
      <c r="I3408" s="40" t="s">
        <v>18</v>
      </c>
      <c r="J3408" s="40" t="str">
        <f>HYPERLINK("https://m.stock.naver.com/research/company/91925","PDF")</f>
        <v>PDF</v>
      </c>
      <c r="K3408" s="15" t="s">
        <v>3721</v>
      </c>
    </row>
    <row r="3409" spans="1:12" x14ac:dyDescent="0.45">
      <c r="A3409" s="15" t="s">
        <v>3722</v>
      </c>
      <c r="B3409" s="15" t="s">
        <v>908</v>
      </c>
      <c r="C3409" s="16" t="s">
        <v>909</v>
      </c>
      <c r="D3409" s="16" t="s">
        <v>57</v>
      </c>
      <c r="E3409" s="15" t="s">
        <v>35</v>
      </c>
      <c r="F3409" s="17">
        <v>210000</v>
      </c>
      <c r="G3409" s="17">
        <v>178400</v>
      </c>
      <c r="H3409" s="16" t="s">
        <v>3723</v>
      </c>
      <c r="I3409" s="40" t="s">
        <v>18</v>
      </c>
      <c r="J3409" s="40" t="str">
        <f>HYPERLINK("https://stock.pstatic.net/stock-research/company/16/20260424_company_717332000.pdf","PDF")</f>
        <v>PDF</v>
      </c>
      <c r="K3409" s="15" t="s">
        <v>3724</v>
      </c>
      <c r="L3409" s="20">
        <v>0.17713004484304931</v>
      </c>
    </row>
    <row r="3410" spans="1:12" x14ac:dyDescent="0.45">
      <c r="A3410" s="15" t="s">
        <v>3722</v>
      </c>
      <c r="B3410" s="15" t="s">
        <v>3688</v>
      </c>
      <c r="C3410" s="16" t="s">
        <v>3689</v>
      </c>
      <c r="D3410" s="16" t="s">
        <v>60</v>
      </c>
      <c r="E3410" s="15" t="s">
        <v>35</v>
      </c>
      <c r="F3410" s="17">
        <v>121000</v>
      </c>
      <c r="G3410" s="17">
        <v>99900</v>
      </c>
      <c r="H3410" s="16" t="s">
        <v>3725</v>
      </c>
      <c r="I3410" s="40" t="s">
        <v>18</v>
      </c>
      <c r="J3410" s="40" t="str">
        <f>HYPERLINK("https://m.stock.naver.com/research/company/91923","PDF")</f>
        <v>PDF</v>
      </c>
      <c r="K3410" s="15" t="s">
        <v>3726</v>
      </c>
      <c r="L3410" s="20">
        <v>0.2112112112112112</v>
      </c>
    </row>
    <row r="3411" spans="1:12" x14ac:dyDescent="0.45">
      <c r="A3411" s="15" t="s">
        <v>3722</v>
      </c>
      <c r="B3411" s="15" t="s">
        <v>519</v>
      </c>
      <c r="C3411" s="16" t="s">
        <v>520</v>
      </c>
      <c r="D3411" s="16" t="s">
        <v>60</v>
      </c>
      <c r="E3411" s="15" t="s">
        <v>35</v>
      </c>
      <c r="F3411" s="17">
        <v>800000</v>
      </c>
      <c r="G3411" s="17">
        <v>532000</v>
      </c>
      <c r="H3411" s="16" t="s">
        <v>3727</v>
      </c>
      <c r="I3411" s="40" t="s">
        <v>18</v>
      </c>
      <c r="J3411" s="40" t="str">
        <f>HYPERLINK("https://m.stock.naver.com/research/company/91922","PDF")</f>
        <v>PDF</v>
      </c>
      <c r="K3411" s="15" t="s">
        <v>3728</v>
      </c>
      <c r="L3411" s="20">
        <v>0.50375939849624063</v>
      </c>
    </row>
    <row r="3412" spans="1:12" x14ac:dyDescent="0.45">
      <c r="A3412" s="15" t="s">
        <v>3722</v>
      </c>
      <c r="B3412" s="15" t="s">
        <v>3369</v>
      </c>
      <c r="C3412" s="16" t="s">
        <v>3370</v>
      </c>
      <c r="D3412" s="16" t="s">
        <v>60</v>
      </c>
      <c r="E3412" s="15" t="s">
        <v>35</v>
      </c>
      <c r="F3412" s="17">
        <v>38000</v>
      </c>
      <c r="G3412" s="17">
        <v>30050</v>
      </c>
      <c r="H3412" s="16" t="s">
        <v>3729</v>
      </c>
      <c r="I3412" s="40" t="s">
        <v>18</v>
      </c>
      <c r="J3412" s="40" t="str">
        <f>HYPERLINK("https://m.stock.naver.com/research/company/91921","PDF")</f>
        <v>PDF</v>
      </c>
      <c r="K3412" s="15" t="s">
        <v>3730</v>
      </c>
      <c r="L3412" s="20">
        <v>0.26455906821963387</v>
      </c>
    </row>
    <row r="3413" spans="1:12" x14ac:dyDescent="0.45">
      <c r="A3413" s="15" t="s">
        <v>3722</v>
      </c>
      <c r="B3413" s="15" t="s">
        <v>95</v>
      </c>
      <c r="C3413" s="16" t="s">
        <v>31</v>
      </c>
      <c r="D3413" s="16" t="s">
        <v>60</v>
      </c>
      <c r="E3413" s="15" t="s">
        <v>35</v>
      </c>
      <c r="F3413" s="17">
        <v>66000</v>
      </c>
      <c r="G3413" s="17">
        <v>50300</v>
      </c>
      <c r="H3413" s="16" t="s">
        <v>3731</v>
      </c>
      <c r="I3413" s="40" t="s">
        <v>18</v>
      </c>
      <c r="J3413" s="40" t="str">
        <f>HYPERLINK("https://m.stock.naver.com/research/company/91920","PDF")</f>
        <v>PDF</v>
      </c>
      <c r="K3413" s="15" t="s">
        <v>3732</v>
      </c>
      <c r="L3413" s="20">
        <v>0.31212723658051689</v>
      </c>
    </row>
    <row r="3414" spans="1:12" x14ac:dyDescent="0.45">
      <c r="A3414" s="15" t="s">
        <v>3722</v>
      </c>
      <c r="B3414" s="15" t="s">
        <v>334</v>
      </c>
      <c r="C3414" s="16" t="s">
        <v>335</v>
      </c>
      <c r="D3414" s="16" t="s">
        <v>60</v>
      </c>
      <c r="E3414" s="15" t="s">
        <v>35</v>
      </c>
      <c r="F3414" s="17">
        <v>1900000</v>
      </c>
      <c r="G3414" s="17">
        <v>1225000</v>
      </c>
      <c r="H3414" s="16" t="s">
        <v>3733</v>
      </c>
      <c r="I3414" s="40" t="s">
        <v>18</v>
      </c>
      <c r="J3414" s="40" t="str">
        <f>HYPERLINK("https://m.stock.naver.com/research/company/91919","PDF")</f>
        <v>PDF</v>
      </c>
      <c r="K3414" s="15" t="s">
        <v>3734</v>
      </c>
      <c r="L3414" s="20">
        <v>0.55102040816326525</v>
      </c>
    </row>
    <row r="3415" spans="1:12" x14ac:dyDescent="0.45">
      <c r="A3415" s="15" t="s">
        <v>3722</v>
      </c>
      <c r="B3415" s="15" t="s">
        <v>3735</v>
      </c>
      <c r="C3415" s="16" t="s">
        <v>3736</v>
      </c>
      <c r="D3415" s="16" t="s">
        <v>65</v>
      </c>
      <c r="E3415" s="15" t="s">
        <v>35</v>
      </c>
      <c r="F3415" s="17">
        <v>23000</v>
      </c>
      <c r="G3415" s="17">
        <v>17070</v>
      </c>
      <c r="H3415" s="16" t="s">
        <v>3737</v>
      </c>
      <c r="I3415" s="40" t="s">
        <v>18</v>
      </c>
      <c r="J3415" s="40" t="str">
        <f>HYPERLINK("https://m.stock.naver.com/research/company/91918","PDF")</f>
        <v>PDF</v>
      </c>
      <c r="K3415" s="15" t="s">
        <v>3738</v>
      </c>
      <c r="L3415" s="20">
        <v>0.34739308728763912</v>
      </c>
    </row>
    <row r="3416" spans="1:12" x14ac:dyDescent="0.45">
      <c r="A3416" s="15" t="s">
        <v>3722</v>
      </c>
      <c r="B3416" s="15" t="s">
        <v>3373</v>
      </c>
      <c r="C3416" s="16" t="s">
        <v>3374</v>
      </c>
      <c r="D3416" s="16" t="s">
        <v>65</v>
      </c>
      <c r="E3416" s="15" t="s">
        <v>35</v>
      </c>
      <c r="F3416" s="17">
        <v>200000</v>
      </c>
      <c r="G3416" s="17">
        <v>158000</v>
      </c>
      <c r="H3416" s="16" t="s">
        <v>3739</v>
      </c>
      <c r="I3416" s="40" t="s">
        <v>18</v>
      </c>
      <c r="J3416" s="40" t="str">
        <f>HYPERLINK("https://m.stock.naver.com/research/company/91917","PDF")</f>
        <v>PDF</v>
      </c>
      <c r="K3416" s="15" t="s">
        <v>3740</v>
      </c>
      <c r="L3416" s="20">
        <v>0.26582278481012661</v>
      </c>
    </row>
    <row r="3417" spans="1:12" x14ac:dyDescent="0.45">
      <c r="A3417" s="15" t="s">
        <v>3722</v>
      </c>
      <c r="B3417" s="15" t="s">
        <v>736</v>
      </c>
      <c r="C3417" s="16" t="s">
        <v>737</v>
      </c>
      <c r="D3417" s="16" t="s">
        <v>60</v>
      </c>
      <c r="E3417" s="15" t="s">
        <v>35</v>
      </c>
      <c r="F3417" s="17">
        <v>430000</v>
      </c>
      <c r="G3417" s="17">
        <v>322000</v>
      </c>
      <c r="H3417" s="16" t="s">
        <v>3741</v>
      </c>
      <c r="I3417" s="40" t="s">
        <v>18</v>
      </c>
      <c r="J3417" s="40" t="str">
        <f>HYPERLINK("https://m.stock.naver.com/research/company/91916","PDF")</f>
        <v>PDF</v>
      </c>
      <c r="K3417" s="15" t="s">
        <v>3742</v>
      </c>
      <c r="L3417" s="20">
        <v>0.33540372670807461</v>
      </c>
    </row>
    <row r="3418" spans="1:12" x14ac:dyDescent="0.45">
      <c r="A3418" s="15" t="s">
        <v>3722</v>
      </c>
      <c r="B3418" s="15" t="s">
        <v>3688</v>
      </c>
      <c r="C3418" s="16" t="s">
        <v>3689</v>
      </c>
      <c r="D3418" s="16" t="s">
        <v>65</v>
      </c>
      <c r="E3418" s="15" t="s">
        <v>35</v>
      </c>
      <c r="F3418" s="17">
        <v>126000</v>
      </c>
      <c r="G3418" s="17">
        <v>99900</v>
      </c>
      <c r="H3418" s="16" t="s">
        <v>3743</v>
      </c>
      <c r="I3418" s="40" t="s">
        <v>18</v>
      </c>
      <c r="J3418" s="40" t="str">
        <f>HYPERLINK("https://m.stock.naver.com/research/company/91915","PDF")</f>
        <v>PDF</v>
      </c>
      <c r="K3418" s="15" t="s">
        <v>3744</v>
      </c>
      <c r="L3418" s="20">
        <v>0.26126126126126131</v>
      </c>
    </row>
    <row r="3419" spans="1:12" x14ac:dyDescent="0.45">
      <c r="A3419" s="15" t="s">
        <v>3722</v>
      </c>
      <c r="B3419" s="15" t="s">
        <v>908</v>
      </c>
      <c r="C3419" s="16" t="s">
        <v>909</v>
      </c>
      <c r="D3419" s="16" t="s">
        <v>60</v>
      </c>
      <c r="E3419" s="15" t="s">
        <v>35</v>
      </c>
      <c r="F3419" s="17">
        <v>216000</v>
      </c>
      <c r="G3419" s="17">
        <v>178400</v>
      </c>
      <c r="H3419" s="16" t="s">
        <v>3745</v>
      </c>
      <c r="I3419" s="40" t="s">
        <v>18</v>
      </c>
      <c r="J3419" s="40" t="str">
        <f>HYPERLINK("https://stock.pstatic.net/stock-research/company/62/20260424_company_410186000.pdf","PDF")</f>
        <v>PDF</v>
      </c>
      <c r="K3419" s="15" t="s">
        <v>3746</v>
      </c>
      <c r="L3419" s="20">
        <v>0.21076233183856499</v>
      </c>
    </row>
    <row r="3420" spans="1:12" x14ac:dyDescent="0.45">
      <c r="A3420" s="15" t="s">
        <v>3722</v>
      </c>
      <c r="B3420" s="15" t="s">
        <v>908</v>
      </c>
      <c r="C3420" s="16" t="s">
        <v>909</v>
      </c>
      <c r="D3420" s="16" t="s">
        <v>65</v>
      </c>
      <c r="E3420" s="15" t="s">
        <v>35</v>
      </c>
      <c r="F3420" s="17">
        <v>220000</v>
      </c>
      <c r="G3420" s="17">
        <v>178400</v>
      </c>
      <c r="H3420" s="16" t="s">
        <v>3747</v>
      </c>
      <c r="I3420" s="40" t="s">
        <v>18</v>
      </c>
      <c r="J3420" s="40" t="str">
        <f>HYPERLINK("https://stock.pstatic.net/stock-research/company/57/20260424_company_138830000.pdf","PDF")</f>
        <v>PDF</v>
      </c>
      <c r="K3420" s="15" t="s">
        <v>3748</v>
      </c>
      <c r="L3420" s="20">
        <v>0.23318385650224219</v>
      </c>
    </row>
    <row r="3421" spans="1:12" x14ac:dyDescent="0.45">
      <c r="A3421" s="15" t="s">
        <v>3722</v>
      </c>
      <c r="B3421" s="15" t="s">
        <v>3749</v>
      </c>
      <c r="C3421" s="16" t="s">
        <v>3750</v>
      </c>
      <c r="D3421" s="16" t="s">
        <v>65</v>
      </c>
      <c r="E3421" s="15" t="s">
        <v>35</v>
      </c>
      <c r="F3421" s="17">
        <v>310000</v>
      </c>
      <c r="G3421" s="17">
        <v>230000</v>
      </c>
      <c r="H3421" s="16" t="s">
        <v>3751</v>
      </c>
      <c r="I3421" s="40" t="s">
        <v>18</v>
      </c>
      <c r="J3421" s="40" t="str">
        <f>HYPERLINK("https://stock.pstatic.net/stock-research/company/57/20260424_company_980691000.pdf","PDF")</f>
        <v>PDF</v>
      </c>
      <c r="K3421" s="15" t="s">
        <v>3752</v>
      </c>
      <c r="L3421" s="20">
        <v>0.34782608695652167</v>
      </c>
    </row>
    <row r="3422" spans="1:12" x14ac:dyDescent="0.45">
      <c r="A3422" s="15" t="s">
        <v>3722</v>
      </c>
      <c r="B3422" s="15" t="s">
        <v>3373</v>
      </c>
      <c r="C3422" s="16" t="s">
        <v>3374</v>
      </c>
      <c r="D3422" s="16" t="s">
        <v>60</v>
      </c>
      <c r="E3422" s="15" t="s">
        <v>35</v>
      </c>
      <c r="F3422" s="17">
        <v>190000</v>
      </c>
      <c r="G3422" s="17">
        <v>158000</v>
      </c>
      <c r="H3422" s="16" t="s">
        <v>3753</v>
      </c>
      <c r="I3422" s="40" t="s">
        <v>18</v>
      </c>
      <c r="J3422" s="40" t="str">
        <f>HYPERLINK("https://stock.pstatic.net/stock-research/company/62/20260424_company_187086000.pdf","PDF")</f>
        <v>PDF</v>
      </c>
      <c r="K3422" s="15" t="s">
        <v>3754</v>
      </c>
      <c r="L3422" s="20">
        <v>0.20253164556962031</v>
      </c>
    </row>
    <row r="3423" spans="1:12" x14ac:dyDescent="0.45">
      <c r="A3423" s="15" t="s">
        <v>3722</v>
      </c>
      <c r="B3423" s="15" t="s">
        <v>519</v>
      </c>
      <c r="C3423" s="16" t="s">
        <v>520</v>
      </c>
      <c r="D3423" s="16" t="s">
        <v>276</v>
      </c>
      <c r="E3423" s="15" t="s">
        <v>16</v>
      </c>
      <c r="F3423" s="17">
        <v>740000</v>
      </c>
      <c r="G3423" s="17">
        <v>532000</v>
      </c>
      <c r="H3423" s="16" t="s">
        <v>3755</v>
      </c>
      <c r="I3423" s="40" t="s">
        <v>18</v>
      </c>
      <c r="J3423" s="40" t="str">
        <f>HYPERLINK("https://stock.pstatic.net/stock-research/company/66/20260424_company_696646000.pdf","PDF")</f>
        <v>PDF</v>
      </c>
      <c r="K3423" s="15" t="s">
        <v>3756</v>
      </c>
      <c r="L3423" s="20">
        <v>0.39097744360902248</v>
      </c>
    </row>
    <row r="3424" spans="1:12" x14ac:dyDescent="0.45">
      <c r="A3424" s="15" t="s">
        <v>3722</v>
      </c>
      <c r="B3424" s="15" t="s">
        <v>95</v>
      </c>
      <c r="C3424" s="16" t="s">
        <v>31</v>
      </c>
      <c r="D3424" s="16" t="s">
        <v>65</v>
      </c>
      <c r="E3424" s="15" t="s">
        <v>35</v>
      </c>
      <c r="F3424" s="17">
        <v>67000</v>
      </c>
      <c r="G3424" s="17">
        <v>50300</v>
      </c>
      <c r="H3424" s="16" t="s">
        <v>3757</v>
      </c>
      <c r="I3424" s="40" t="s">
        <v>18</v>
      </c>
      <c r="J3424" s="40" t="str">
        <f>HYPERLINK("https://stock.pstatic.net/stock-research/company/57/20260424_company_381770000.pdf","PDF")</f>
        <v>PDF</v>
      </c>
      <c r="K3424" s="15" t="s">
        <v>3758</v>
      </c>
      <c r="L3424" s="20">
        <v>0.33200795228628233</v>
      </c>
    </row>
    <row r="3425" spans="1:12" x14ac:dyDescent="0.45">
      <c r="A3425" s="15" t="s">
        <v>3722</v>
      </c>
      <c r="B3425" s="15" t="s">
        <v>2205</v>
      </c>
      <c r="C3425" s="16" t="s">
        <v>2206</v>
      </c>
      <c r="D3425" s="16" t="s">
        <v>276</v>
      </c>
      <c r="E3425" s="15" t="s">
        <v>16</v>
      </c>
      <c r="F3425" s="17">
        <v>130000</v>
      </c>
      <c r="G3425" s="17">
        <v>89300</v>
      </c>
      <c r="H3425" s="16" t="s">
        <v>3759</v>
      </c>
      <c r="I3425" s="40" t="s">
        <v>18</v>
      </c>
      <c r="J3425" s="40" t="str">
        <f>HYPERLINK("https://stock.pstatic.net/stock-research/company/66/20260424_company_900095000.pdf","PDF")</f>
        <v>PDF</v>
      </c>
      <c r="K3425" s="15" t="s">
        <v>3760</v>
      </c>
      <c r="L3425" s="20">
        <v>0.45576707726763721</v>
      </c>
    </row>
    <row r="3426" spans="1:12" x14ac:dyDescent="0.45">
      <c r="A3426" s="15" t="s">
        <v>3722</v>
      </c>
      <c r="B3426" s="15" t="s">
        <v>334</v>
      </c>
      <c r="C3426" s="16" t="s">
        <v>335</v>
      </c>
      <c r="D3426" s="16" t="s">
        <v>65</v>
      </c>
      <c r="E3426" s="15" t="s">
        <v>35</v>
      </c>
      <c r="F3426" s="17">
        <v>1750000</v>
      </c>
      <c r="G3426" s="17">
        <v>1225000</v>
      </c>
      <c r="H3426" s="16" t="s">
        <v>3761</v>
      </c>
      <c r="I3426" s="40" t="s">
        <v>18</v>
      </c>
      <c r="J3426" s="40" t="str">
        <f>HYPERLINK("https://stock.pstatic.net/stock-research/company/57/20260424_company_295487000.pdf","PDF")</f>
        <v>PDF</v>
      </c>
      <c r="K3426" s="15" t="s">
        <v>3762</v>
      </c>
      <c r="L3426" s="20">
        <v>0.42857142857142849</v>
      </c>
    </row>
    <row r="3427" spans="1:12" x14ac:dyDescent="0.45">
      <c r="A3427" s="15" t="s">
        <v>3722</v>
      </c>
      <c r="B3427" s="15" t="s">
        <v>1093</v>
      </c>
      <c r="C3427" s="16" t="s">
        <v>1094</v>
      </c>
      <c r="D3427" s="16" t="s">
        <v>65</v>
      </c>
      <c r="E3427" s="15" t="s">
        <v>1738</v>
      </c>
      <c r="F3427" s="17">
        <v>620000</v>
      </c>
      <c r="G3427" s="17">
        <v>587000</v>
      </c>
      <c r="H3427" s="16" t="s">
        <v>3763</v>
      </c>
      <c r="I3427" s="40" t="s">
        <v>18</v>
      </c>
      <c r="J3427" s="40" t="str">
        <f>HYPERLINK("https://stock.pstatic.net/stock-research/company/57/20260424_company_847613000.pdf","PDF")</f>
        <v>PDF</v>
      </c>
      <c r="K3427" s="15" t="s">
        <v>3764</v>
      </c>
      <c r="L3427" s="20">
        <v>5.6218057921635443E-2</v>
      </c>
    </row>
    <row r="3428" spans="1:12" x14ac:dyDescent="0.45">
      <c r="A3428" s="15" t="s">
        <v>3722</v>
      </c>
      <c r="B3428" s="15" t="s">
        <v>334</v>
      </c>
      <c r="C3428" s="16" t="s">
        <v>335</v>
      </c>
      <c r="D3428" s="16" t="s">
        <v>276</v>
      </c>
      <c r="E3428" s="15" t="s">
        <v>16</v>
      </c>
      <c r="F3428" s="17">
        <v>1600000</v>
      </c>
      <c r="G3428" s="17">
        <v>1223000</v>
      </c>
      <c r="H3428" s="16" t="s">
        <v>3765</v>
      </c>
      <c r="I3428" s="40" t="s">
        <v>18</v>
      </c>
      <c r="J3428" s="40" t="str">
        <f>HYPERLINK("https://stock.pstatic.net/stock-research/company/66/20260424_company_997745000.pdf","PDF")</f>
        <v>PDF</v>
      </c>
      <c r="K3428" s="15" t="s">
        <v>3766</v>
      </c>
      <c r="L3428" s="20">
        <v>0.30825838103025349</v>
      </c>
    </row>
    <row r="3429" spans="1:12" x14ac:dyDescent="0.45">
      <c r="A3429" s="15" t="s">
        <v>3722</v>
      </c>
      <c r="B3429" s="15" t="s">
        <v>519</v>
      </c>
      <c r="C3429" s="16" t="s">
        <v>520</v>
      </c>
      <c r="D3429" s="16" t="s">
        <v>65</v>
      </c>
      <c r="E3429" s="15" t="s">
        <v>35</v>
      </c>
      <c r="F3429" s="17">
        <v>660000</v>
      </c>
      <c r="G3429" s="17">
        <v>532000</v>
      </c>
      <c r="H3429" s="16" t="s">
        <v>3767</v>
      </c>
      <c r="I3429" s="40" t="s">
        <v>18</v>
      </c>
      <c r="J3429" s="40" t="str">
        <f>HYPERLINK("https://stock.pstatic.net/stock-research/company/57/20260424_company_548812000.pdf","PDF")</f>
        <v>PDF</v>
      </c>
      <c r="K3429" s="15" t="s">
        <v>3768</v>
      </c>
      <c r="L3429" s="20">
        <v>0.24060150375939851</v>
      </c>
    </row>
    <row r="3430" spans="1:12" x14ac:dyDescent="0.45">
      <c r="A3430" s="15" t="s">
        <v>3722</v>
      </c>
      <c r="B3430" s="15" t="s">
        <v>2187</v>
      </c>
      <c r="C3430" s="16" t="s">
        <v>2188</v>
      </c>
      <c r="D3430" s="16" t="s">
        <v>57</v>
      </c>
      <c r="E3430" s="15" t="s">
        <v>35</v>
      </c>
      <c r="F3430" s="17">
        <v>170000</v>
      </c>
      <c r="G3430" s="17">
        <v>116000</v>
      </c>
      <c r="H3430" s="16" t="s">
        <v>3769</v>
      </c>
      <c r="I3430" s="40" t="s">
        <v>18</v>
      </c>
      <c r="J3430" s="40" t="str">
        <f>HYPERLINK("https://stock.pstatic.net/stock-research/company/16/20260424_company_729803000.pdf","PDF")</f>
        <v>PDF</v>
      </c>
      <c r="K3430" s="15" t="s">
        <v>3770</v>
      </c>
      <c r="L3430" s="20">
        <v>0.46551724137931028</v>
      </c>
    </row>
    <row r="3431" spans="1:12" x14ac:dyDescent="0.45">
      <c r="A3431" s="15" t="s">
        <v>3722</v>
      </c>
      <c r="B3431" s="15" t="s">
        <v>3749</v>
      </c>
      <c r="C3431" s="16" t="s">
        <v>3750</v>
      </c>
      <c r="D3431" s="16" t="s">
        <v>158</v>
      </c>
      <c r="E3431" s="15" t="s">
        <v>35</v>
      </c>
      <c r="F3431" s="17">
        <v>320000</v>
      </c>
      <c r="G3431" s="17">
        <v>230000</v>
      </c>
      <c r="H3431" s="16" t="s">
        <v>3771</v>
      </c>
      <c r="I3431" s="40" t="s">
        <v>18</v>
      </c>
      <c r="J3431" s="40" t="str">
        <f>HYPERLINK("https://stock.pstatic.net/stock-research/company/18/20260424_company_645953000.pdf","PDF")</f>
        <v>PDF</v>
      </c>
      <c r="K3431" s="15" t="s">
        <v>3772</v>
      </c>
      <c r="L3431" s="20">
        <v>0.39130434782608697</v>
      </c>
    </row>
    <row r="3432" spans="1:12" x14ac:dyDescent="0.45">
      <c r="A3432" s="15" t="s">
        <v>3722</v>
      </c>
      <c r="B3432" s="15" t="s">
        <v>3749</v>
      </c>
      <c r="C3432" s="16" t="s">
        <v>3750</v>
      </c>
      <c r="D3432" s="16" t="s">
        <v>57</v>
      </c>
      <c r="E3432" s="15" t="s">
        <v>35</v>
      </c>
      <c r="F3432" s="17">
        <v>370000</v>
      </c>
      <c r="G3432" s="17">
        <v>230000</v>
      </c>
      <c r="H3432" s="16" t="s">
        <v>3773</v>
      </c>
      <c r="I3432" s="40" t="s">
        <v>18</v>
      </c>
      <c r="J3432" s="40" t="str">
        <f>HYPERLINK("https://stock.pstatic.net/stock-research/company/16/20260424_company_981150000.pdf","PDF")</f>
        <v>PDF</v>
      </c>
      <c r="K3432" s="15" t="s">
        <v>3774</v>
      </c>
      <c r="L3432" s="20">
        <v>0.60869565217391308</v>
      </c>
    </row>
    <row r="3433" spans="1:12" x14ac:dyDescent="0.45">
      <c r="A3433" s="15" t="s">
        <v>3722</v>
      </c>
      <c r="B3433" s="15" t="s">
        <v>3775</v>
      </c>
      <c r="C3433" s="16" t="s">
        <v>3776</v>
      </c>
      <c r="D3433" s="16" t="s">
        <v>158</v>
      </c>
      <c r="E3433" s="15" t="s">
        <v>50</v>
      </c>
      <c r="F3433" s="16"/>
      <c r="G3433" s="17">
        <v>19200</v>
      </c>
      <c r="H3433" s="16" t="s">
        <v>3777</v>
      </c>
      <c r="I3433" s="40" t="s">
        <v>18</v>
      </c>
      <c r="J3433" s="40" t="str">
        <f>HYPERLINK("https://stock.pstatic.net/stock-research/company/18/20260424_company_696701000.pdf","PDF")</f>
        <v>PDF</v>
      </c>
      <c r="K3433" s="15" t="s">
        <v>3778</v>
      </c>
    </row>
    <row r="3434" spans="1:12" x14ac:dyDescent="0.45">
      <c r="A3434" s="15" t="s">
        <v>3722</v>
      </c>
      <c r="B3434" s="15" t="s">
        <v>908</v>
      </c>
      <c r="C3434" s="16" t="s">
        <v>909</v>
      </c>
      <c r="D3434" s="16" t="s">
        <v>158</v>
      </c>
      <c r="E3434" s="15" t="s">
        <v>35</v>
      </c>
      <c r="F3434" s="17">
        <v>250000</v>
      </c>
      <c r="G3434" s="17">
        <v>178400</v>
      </c>
      <c r="H3434" s="16" t="s">
        <v>3779</v>
      </c>
      <c r="I3434" s="40" t="s">
        <v>18</v>
      </c>
      <c r="J3434" s="40" t="str">
        <f>HYPERLINK("https://stock.pstatic.net/stock-research/company/18/20260424_company_662793000.pdf","PDF")</f>
        <v>PDF</v>
      </c>
      <c r="K3434" s="15" t="s">
        <v>3780</v>
      </c>
      <c r="L3434" s="20">
        <v>0.40134529147982062</v>
      </c>
    </row>
    <row r="3435" spans="1:12" x14ac:dyDescent="0.45">
      <c r="A3435" s="15" t="s">
        <v>3722</v>
      </c>
      <c r="B3435" s="15" t="s">
        <v>1019</v>
      </c>
      <c r="C3435" s="16" t="s">
        <v>1020</v>
      </c>
      <c r="D3435" s="16" t="s">
        <v>158</v>
      </c>
      <c r="E3435" s="15" t="s">
        <v>35</v>
      </c>
      <c r="F3435" s="17">
        <v>27000</v>
      </c>
      <c r="G3435" s="17">
        <v>19570</v>
      </c>
      <c r="H3435" s="16" t="s">
        <v>3781</v>
      </c>
      <c r="I3435" s="40" t="s">
        <v>18</v>
      </c>
      <c r="J3435" s="40" t="str">
        <f>HYPERLINK("https://stock.pstatic.net/stock-research/company/18/20260424_company_274322000.pdf","PDF")</f>
        <v>PDF</v>
      </c>
      <c r="K3435" s="15" t="s">
        <v>3782</v>
      </c>
      <c r="L3435" s="20">
        <v>0.37966274910577408</v>
      </c>
    </row>
    <row r="3436" spans="1:12" x14ac:dyDescent="0.45">
      <c r="A3436" s="15" t="s">
        <v>3722</v>
      </c>
      <c r="B3436" s="15" t="s">
        <v>334</v>
      </c>
      <c r="C3436" s="16" t="s">
        <v>335</v>
      </c>
      <c r="D3436" s="16" t="s">
        <v>158</v>
      </c>
      <c r="E3436" s="15" t="s">
        <v>35</v>
      </c>
      <c r="F3436" s="17">
        <v>1900000</v>
      </c>
      <c r="G3436" s="17">
        <v>1225000</v>
      </c>
      <c r="H3436" s="16" t="s">
        <v>3783</v>
      </c>
      <c r="I3436" s="40" t="s">
        <v>18</v>
      </c>
      <c r="J3436" s="40" t="str">
        <f>HYPERLINK("https://stock.pstatic.net/stock-research/company/18/20260424_company_68079000.pdf","PDF")</f>
        <v>PDF</v>
      </c>
      <c r="K3436" s="15" t="s">
        <v>3784</v>
      </c>
      <c r="L3436" s="20">
        <v>0.55102040816326525</v>
      </c>
    </row>
    <row r="3437" spans="1:12" x14ac:dyDescent="0.45">
      <c r="A3437" s="15" t="s">
        <v>3722</v>
      </c>
      <c r="B3437" s="15" t="s">
        <v>3688</v>
      </c>
      <c r="C3437" s="16" t="s">
        <v>3689</v>
      </c>
      <c r="D3437" s="16" t="s">
        <v>57</v>
      </c>
      <c r="E3437" s="15" t="s">
        <v>35</v>
      </c>
      <c r="F3437" s="17">
        <v>132000</v>
      </c>
      <c r="G3437" s="17">
        <v>99900</v>
      </c>
      <c r="H3437" s="16" t="s">
        <v>3785</v>
      </c>
      <c r="I3437" s="40" t="s">
        <v>18</v>
      </c>
      <c r="J3437" s="40" t="str">
        <f>HYPERLINK("https://stock.pstatic.net/stock-research/company/16/20260424_company_401141000.pdf","PDF")</f>
        <v>PDF</v>
      </c>
      <c r="K3437" s="15" t="s">
        <v>3786</v>
      </c>
      <c r="L3437" s="20">
        <v>0.3213213213213213</v>
      </c>
    </row>
    <row r="3438" spans="1:12" x14ac:dyDescent="0.45">
      <c r="A3438" s="15" t="s">
        <v>3722</v>
      </c>
      <c r="B3438" s="15" t="s">
        <v>1602</v>
      </c>
      <c r="C3438" s="16" t="s">
        <v>1603</v>
      </c>
      <c r="D3438" s="16" t="s">
        <v>179</v>
      </c>
      <c r="E3438" s="15" t="s">
        <v>16</v>
      </c>
      <c r="F3438" s="17">
        <v>90000</v>
      </c>
      <c r="G3438" s="17">
        <v>63400</v>
      </c>
      <c r="H3438" s="16" t="s">
        <v>3787</v>
      </c>
      <c r="I3438" s="40" t="s">
        <v>18</v>
      </c>
      <c r="J3438" s="40" t="str">
        <f>HYPERLINK("https://stock.pstatic.net/stock-research/company/64/20260424_company_122830000.pdf","PDF")</f>
        <v>PDF</v>
      </c>
      <c r="K3438" s="15" t="s">
        <v>3788</v>
      </c>
      <c r="L3438" s="20">
        <v>0.4195583596214511</v>
      </c>
    </row>
    <row r="3439" spans="1:12" x14ac:dyDescent="0.45">
      <c r="A3439" s="15" t="s">
        <v>3722</v>
      </c>
      <c r="B3439" s="15" t="s">
        <v>736</v>
      </c>
      <c r="C3439" s="16" t="s">
        <v>737</v>
      </c>
      <c r="D3439" s="16" t="s">
        <v>15</v>
      </c>
      <c r="E3439" s="15" t="s">
        <v>16</v>
      </c>
      <c r="F3439" s="17">
        <v>400000</v>
      </c>
      <c r="G3439" s="17">
        <v>322000</v>
      </c>
      <c r="H3439" s="16" t="s">
        <v>3789</v>
      </c>
      <c r="I3439" s="40" t="s">
        <v>18</v>
      </c>
      <c r="J3439" s="40" t="str">
        <f>HYPERLINK("https://stock.pstatic.net/stock-research/company/56/20260424_company_924749000.pdf","PDF")</f>
        <v>PDF</v>
      </c>
      <c r="K3439" s="15" t="s">
        <v>3790</v>
      </c>
      <c r="L3439" s="20">
        <v>0.24223602484472051</v>
      </c>
    </row>
    <row r="3440" spans="1:12" x14ac:dyDescent="0.45">
      <c r="A3440" s="15" t="s">
        <v>3722</v>
      </c>
      <c r="B3440" s="15" t="s">
        <v>3373</v>
      </c>
      <c r="C3440" s="16" t="s">
        <v>3374</v>
      </c>
      <c r="D3440" s="16" t="s">
        <v>57</v>
      </c>
      <c r="E3440" s="15" t="s">
        <v>35</v>
      </c>
      <c r="F3440" s="17">
        <v>210000</v>
      </c>
      <c r="G3440" s="17">
        <v>158000</v>
      </c>
      <c r="H3440" s="16" t="s">
        <v>3791</v>
      </c>
      <c r="I3440" s="40" t="s">
        <v>18</v>
      </c>
      <c r="J3440" s="40" t="str">
        <f>HYPERLINK("https://stock.pstatic.net/stock-research/company/16/20260424_company_280194000.pdf","PDF")</f>
        <v>PDF</v>
      </c>
      <c r="K3440" s="15" t="s">
        <v>3792</v>
      </c>
      <c r="L3440" s="20">
        <v>0.32911392405063289</v>
      </c>
    </row>
    <row r="3441" spans="1:12" x14ac:dyDescent="0.45">
      <c r="A3441" s="15" t="s">
        <v>3722</v>
      </c>
      <c r="B3441" s="15" t="s">
        <v>519</v>
      </c>
      <c r="C3441" s="16" t="s">
        <v>520</v>
      </c>
      <c r="D3441" s="16" t="s">
        <v>15</v>
      </c>
      <c r="E3441" s="15" t="s">
        <v>16</v>
      </c>
      <c r="F3441" s="17">
        <v>640000</v>
      </c>
      <c r="G3441" s="17">
        <v>532000</v>
      </c>
      <c r="H3441" s="16" t="s">
        <v>3793</v>
      </c>
      <c r="I3441" s="40" t="s">
        <v>18</v>
      </c>
      <c r="J3441" s="40" t="str">
        <f>HYPERLINK("https://stock.pstatic.net/stock-research/company/56/20260424_company_55537000.pdf","PDF")</f>
        <v>PDF</v>
      </c>
      <c r="K3441" s="15" t="s">
        <v>3794</v>
      </c>
      <c r="L3441" s="20">
        <v>0.2030075187969925</v>
      </c>
    </row>
    <row r="3442" spans="1:12" x14ac:dyDescent="0.45">
      <c r="A3442" s="15" t="s">
        <v>3722</v>
      </c>
      <c r="B3442" s="15" t="s">
        <v>519</v>
      </c>
      <c r="C3442" s="16" t="s">
        <v>520</v>
      </c>
      <c r="D3442" s="16" t="s">
        <v>57</v>
      </c>
      <c r="E3442" s="15" t="s">
        <v>35</v>
      </c>
      <c r="F3442" s="17">
        <v>660000</v>
      </c>
      <c r="G3442" s="17">
        <v>532000</v>
      </c>
      <c r="H3442" s="16" t="s">
        <v>3795</v>
      </c>
      <c r="I3442" s="40" t="s">
        <v>18</v>
      </c>
      <c r="J3442" s="40" t="str">
        <f>HYPERLINK("https://stock.pstatic.net/stock-research/company/16/20260424_company_270318000.pdf","PDF")</f>
        <v>PDF</v>
      </c>
      <c r="K3442" s="15" t="s">
        <v>3796</v>
      </c>
      <c r="L3442" s="20">
        <v>0.24060150375939851</v>
      </c>
    </row>
    <row r="3443" spans="1:12" x14ac:dyDescent="0.45">
      <c r="A3443" s="15" t="s">
        <v>3722</v>
      </c>
      <c r="B3443" s="15" t="s">
        <v>3395</v>
      </c>
      <c r="C3443" s="16" t="s">
        <v>3396</v>
      </c>
      <c r="D3443" s="16" t="s">
        <v>92</v>
      </c>
      <c r="E3443" s="15" t="s">
        <v>35</v>
      </c>
      <c r="F3443" s="17">
        <v>41000</v>
      </c>
      <c r="G3443" s="17">
        <v>32550</v>
      </c>
      <c r="H3443" s="16" t="s">
        <v>3797</v>
      </c>
      <c r="I3443" s="40" t="s">
        <v>18</v>
      </c>
      <c r="J3443" s="40" t="str">
        <f>HYPERLINK("https://stock.pstatic.net/stock-research/company/63/20260424_company_119185000.pdf","PDF")</f>
        <v>PDF</v>
      </c>
      <c r="K3443" s="15" t="s">
        <v>3798</v>
      </c>
      <c r="L3443" s="20">
        <v>0.25960061443932408</v>
      </c>
    </row>
    <row r="3444" spans="1:12" x14ac:dyDescent="0.45">
      <c r="A3444" s="15" t="s">
        <v>3722</v>
      </c>
      <c r="B3444" s="15" t="s">
        <v>756</v>
      </c>
      <c r="C3444" s="16" t="s">
        <v>757</v>
      </c>
      <c r="D3444" s="16" t="s">
        <v>57</v>
      </c>
      <c r="E3444" s="15" t="s">
        <v>35</v>
      </c>
      <c r="F3444" s="17">
        <v>110000</v>
      </c>
      <c r="G3444" s="17">
        <v>88000</v>
      </c>
      <c r="H3444" s="16" t="s">
        <v>3799</v>
      </c>
      <c r="I3444" s="40" t="s">
        <v>18</v>
      </c>
      <c r="J3444" s="40" t="str">
        <f>HYPERLINK("https://stock.pstatic.net/stock-research/company/16/20260424_company_723686000.pdf","PDF")</f>
        <v>PDF</v>
      </c>
      <c r="K3444" s="15" t="s">
        <v>3800</v>
      </c>
      <c r="L3444" s="20">
        <v>0.25</v>
      </c>
    </row>
    <row r="3445" spans="1:12" x14ac:dyDescent="0.45">
      <c r="A3445" s="15" t="s">
        <v>3722</v>
      </c>
      <c r="B3445" s="15" t="s">
        <v>95</v>
      </c>
      <c r="C3445" s="16" t="s">
        <v>31</v>
      </c>
      <c r="D3445" s="16" t="s">
        <v>57</v>
      </c>
      <c r="E3445" s="15" t="s">
        <v>35</v>
      </c>
      <c r="F3445" s="17">
        <v>63000</v>
      </c>
      <c r="G3445" s="17">
        <v>50300</v>
      </c>
      <c r="H3445" s="16" t="s">
        <v>3801</v>
      </c>
      <c r="I3445" s="40" t="s">
        <v>18</v>
      </c>
      <c r="J3445" s="40" t="str">
        <f>HYPERLINK("https://stock.pstatic.net/stock-research/company/16/20260424_company_708335000.pdf","PDF")</f>
        <v>PDF</v>
      </c>
      <c r="K3445" s="15" t="s">
        <v>3802</v>
      </c>
      <c r="L3445" s="20">
        <v>0.25248508946322068</v>
      </c>
    </row>
    <row r="3446" spans="1:12" x14ac:dyDescent="0.45">
      <c r="A3446" s="15" t="s">
        <v>3722</v>
      </c>
      <c r="B3446" s="15" t="s">
        <v>334</v>
      </c>
      <c r="C3446" s="16" t="s">
        <v>335</v>
      </c>
      <c r="D3446" s="16" t="s">
        <v>57</v>
      </c>
      <c r="E3446" s="15" t="s">
        <v>35</v>
      </c>
      <c r="F3446" s="17">
        <v>1630000</v>
      </c>
      <c r="G3446" s="17">
        <v>1225000</v>
      </c>
      <c r="H3446" s="16" t="s">
        <v>3803</v>
      </c>
      <c r="I3446" s="40" t="s">
        <v>18</v>
      </c>
      <c r="J3446" s="40" t="str">
        <f>HYPERLINK("https://stock.pstatic.net/stock-research/company/16/20260424_company_538918000.pdf","PDF")</f>
        <v>PDF</v>
      </c>
      <c r="K3446" s="15" t="s">
        <v>3804</v>
      </c>
      <c r="L3446" s="20">
        <v>0.33061224489795921</v>
      </c>
    </row>
    <row r="3447" spans="1:12" x14ac:dyDescent="0.45">
      <c r="A3447" s="15" t="s">
        <v>3722</v>
      </c>
      <c r="B3447" s="15" t="s">
        <v>3805</v>
      </c>
      <c r="C3447" s="16" t="s">
        <v>3806</v>
      </c>
      <c r="D3447" s="16" t="s">
        <v>124</v>
      </c>
      <c r="E3447" s="15" t="s">
        <v>50</v>
      </c>
      <c r="F3447" s="16"/>
      <c r="G3447" s="16"/>
      <c r="H3447" s="16" t="s">
        <v>3807</v>
      </c>
      <c r="I3447" s="40" t="s">
        <v>18</v>
      </c>
      <c r="J3447" s="40" t="str">
        <f>HYPERLINK("https://stock.pstatic.net/stock-research/company/74/20260424_company_903595000.pdf","PDF")</f>
        <v>PDF</v>
      </c>
      <c r="K3447" s="15" t="s">
        <v>3808</v>
      </c>
    </row>
    <row r="3448" spans="1:12" x14ac:dyDescent="0.45">
      <c r="A3448" s="15" t="s">
        <v>3722</v>
      </c>
      <c r="B3448" s="15" t="s">
        <v>3688</v>
      </c>
      <c r="C3448" s="16" t="s">
        <v>3689</v>
      </c>
      <c r="D3448" s="16" t="s">
        <v>83</v>
      </c>
      <c r="E3448" s="15" t="s">
        <v>35</v>
      </c>
      <c r="F3448" s="17">
        <v>120000</v>
      </c>
      <c r="G3448" s="17">
        <v>99900</v>
      </c>
      <c r="H3448" s="16" t="s">
        <v>3809</v>
      </c>
      <c r="I3448" s="40" t="s">
        <v>18</v>
      </c>
      <c r="J3448" s="40" t="str">
        <f>HYPERLINK("https://stock.pstatic.net/stock-research/company/15/20260424_company_653099000.pdf","PDF")</f>
        <v>PDF</v>
      </c>
      <c r="K3448" s="15" t="s">
        <v>3810</v>
      </c>
      <c r="L3448" s="20">
        <v>0.20120120120120119</v>
      </c>
    </row>
    <row r="3449" spans="1:12" x14ac:dyDescent="0.45">
      <c r="A3449" s="15" t="s">
        <v>3722</v>
      </c>
      <c r="B3449" s="15" t="s">
        <v>3373</v>
      </c>
      <c r="C3449" s="16" t="s">
        <v>3374</v>
      </c>
      <c r="D3449" s="16" t="s">
        <v>83</v>
      </c>
      <c r="E3449" s="15" t="s">
        <v>35</v>
      </c>
      <c r="F3449" s="17">
        <v>190000</v>
      </c>
      <c r="G3449" s="17">
        <v>158000</v>
      </c>
      <c r="H3449" s="16" t="s">
        <v>3811</v>
      </c>
      <c r="I3449" s="40" t="s">
        <v>18</v>
      </c>
      <c r="J3449" s="40" t="str">
        <f>HYPERLINK("https://stock.pstatic.net/stock-research/company/15/20260424_company_215823000.pdf","PDF")</f>
        <v>PDF</v>
      </c>
      <c r="K3449" s="15" t="s">
        <v>3812</v>
      </c>
      <c r="L3449" s="20">
        <v>0.20253164556962031</v>
      </c>
    </row>
    <row r="3450" spans="1:12" x14ac:dyDescent="0.45">
      <c r="A3450" s="15" t="s">
        <v>3722</v>
      </c>
      <c r="B3450" s="15" t="s">
        <v>3813</v>
      </c>
      <c r="C3450" s="16" t="s">
        <v>3814</v>
      </c>
      <c r="D3450" s="16" t="s">
        <v>83</v>
      </c>
      <c r="E3450" s="15" t="s">
        <v>35</v>
      </c>
      <c r="F3450" s="17">
        <v>17000</v>
      </c>
      <c r="G3450" s="17">
        <v>14010</v>
      </c>
      <c r="H3450" s="16" t="s">
        <v>3815</v>
      </c>
      <c r="I3450" s="40" t="s">
        <v>18</v>
      </c>
      <c r="J3450" s="40" t="str">
        <f>HYPERLINK("https://stock.pstatic.net/stock-research/company/15/20260424_company_39234000.pdf","PDF")</f>
        <v>PDF</v>
      </c>
      <c r="K3450" s="15" t="s">
        <v>3816</v>
      </c>
      <c r="L3450" s="20">
        <v>0.21341898643825841</v>
      </c>
    </row>
    <row r="3451" spans="1:12" x14ac:dyDescent="0.45">
      <c r="A3451" s="15" t="s">
        <v>3722</v>
      </c>
      <c r="B3451" s="15" t="s">
        <v>519</v>
      </c>
      <c r="C3451" s="16" t="s">
        <v>520</v>
      </c>
      <c r="D3451" s="16" t="s">
        <v>83</v>
      </c>
      <c r="E3451" s="15" t="s">
        <v>35</v>
      </c>
      <c r="F3451" s="17">
        <v>660000</v>
      </c>
      <c r="G3451" s="17">
        <v>532000</v>
      </c>
      <c r="H3451" s="16" t="s">
        <v>3817</v>
      </c>
      <c r="I3451" s="40" t="s">
        <v>18</v>
      </c>
      <c r="J3451" s="40" t="str">
        <f>HYPERLINK("https://stock.pstatic.net/stock-research/company/15/20260424_company_595493000.pdf","PDF")</f>
        <v>PDF</v>
      </c>
      <c r="K3451" s="15" t="s">
        <v>3818</v>
      </c>
      <c r="L3451" s="20">
        <v>0.24060150375939851</v>
      </c>
    </row>
    <row r="3452" spans="1:12" x14ac:dyDescent="0.45">
      <c r="A3452" s="15" t="s">
        <v>3722</v>
      </c>
      <c r="B3452" s="15" t="s">
        <v>2414</v>
      </c>
      <c r="C3452" s="16" t="s">
        <v>2415</v>
      </c>
      <c r="D3452" s="16" t="s">
        <v>83</v>
      </c>
      <c r="E3452" s="15" t="s">
        <v>35</v>
      </c>
      <c r="F3452" s="17">
        <v>1920000</v>
      </c>
      <c r="G3452" s="17">
        <v>1442000</v>
      </c>
      <c r="H3452" s="16" t="s">
        <v>3819</v>
      </c>
      <c r="I3452" s="40" t="s">
        <v>18</v>
      </c>
      <c r="J3452" s="40" t="str">
        <f>HYPERLINK("https://stock.pstatic.net/stock-research/company/15/20260424_company_9701000.pdf","PDF")</f>
        <v>PDF</v>
      </c>
      <c r="K3452" s="15" t="s">
        <v>3820</v>
      </c>
      <c r="L3452" s="20">
        <v>0.33148404993065189</v>
      </c>
    </row>
    <row r="3453" spans="1:12" x14ac:dyDescent="0.45">
      <c r="A3453" s="15" t="s">
        <v>3722</v>
      </c>
      <c r="B3453" s="15" t="s">
        <v>334</v>
      </c>
      <c r="C3453" s="16" t="s">
        <v>335</v>
      </c>
      <c r="D3453" s="16" t="s">
        <v>83</v>
      </c>
      <c r="E3453" s="15" t="s">
        <v>35</v>
      </c>
      <c r="F3453" s="17">
        <v>1700000</v>
      </c>
      <c r="G3453" s="17">
        <v>1225000</v>
      </c>
      <c r="H3453" s="16" t="s">
        <v>3821</v>
      </c>
      <c r="I3453" s="40" t="s">
        <v>18</v>
      </c>
      <c r="J3453" s="40" t="str">
        <f>HYPERLINK("https://stock.pstatic.net/stock-research/company/15/20260424_company_618325000.pdf","PDF")</f>
        <v>PDF</v>
      </c>
      <c r="K3453" s="15" t="s">
        <v>3822</v>
      </c>
      <c r="L3453" s="20">
        <v>0.38775510204081631</v>
      </c>
    </row>
    <row r="3454" spans="1:12" x14ac:dyDescent="0.45">
      <c r="A3454" s="15" t="s">
        <v>3722</v>
      </c>
      <c r="B3454" s="15" t="s">
        <v>95</v>
      </c>
      <c r="C3454" s="16" t="s">
        <v>31</v>
      </c>
      <c r="D3454" s="16" t="s">
        <v>92</v>
      </c>
      <c r="E3454" s="15" t="s">
        <v>35</v>
      </c>
      <c r="F3454" s="17">
        <v>68000</v>
      </c>
      <c r="G3454" s="17">
        <v>50300</v>
      </c>
      <c r="H3454" s="16" t="s">
        <v>3823</v>
      </c>
      <c r="I3454" s="40" t="s">
        <v>18</v>
      </c>
      <c r="J3454" s="40" t="str">
        <f>HYPERLINK("https://stock.pstatic.net/stock-research/company/63/20260424_company_471569000.pdf","PDF")</f>
        <v>PDF</v>
      </c>
      <c r="K3454" s="15" t="s">
        <v>3824</v>
      </c>
      <c r="L3454" s="20">
        <v>0.35188866799204771</v>
      </c>
    </row>
    <row r="3455" spans="1:12" x14ac:dyDescent="0.45">
      <c r="A3455" s="15" t="s">
        <v>3722</v>
      </c>
      <c r="B3455" s="15" t="s">
        <v>95</v>
      </c>
      <c r="C3455" s="16" t="s">
        <v>31</v>
      </c>
      <c r="D3455" s="16" t="s">
        <v>15</v>
      </c>
      <c r="E3455" s="15" t="s">
        <v>16</v>
      </c>
      <c r="F3455" s="17">
        <v>70000</v>
      </c>
      <c r="G3455" s="17">
        <v>50300</v>
      </c>
      <c r="H3455" s="16" t="s">
        <v>3825</v>
      </c>
      <c r="I3455" s="40" t="s">
        <v>18</v>
      </c>
      <c r="J3455" s="40" t="str">
        <f>HYPERLINK("https://stock.pstatic.net/stock-research/company/56/20260424_company_868105000.pdf","PDF")</f>
        <v>PDF</v>
      </c>
      <c r="K3455" s="15" t="s">
        <v>3826</v>
      </c>
      <c r="L3455" s="20">
        <v>0.39165009940357848</v>
      </c>
    </row>
    <row r="3456" spans="1:12" x14ac:dyDescent="0.45">
      <c r="A3456" s="15" t="s">
        <v>3722</v>
      </c>
      <c r="B3456" s="15" t="s">
        <v>736</v>
      </c>
      <c r="C3456" s="16" t="s">
        <v>737</v>
      </c>
      <c r="D3456" s="16" t="s">
        <v>92</v>
      </c>
      <c r="E3456" s="15" t="s">
        <v>35</v>
      </c>
      <c r="F3456" s="17">
        <v>400000</v>
      </c>
      <c r="G3456" s="17">
        <v>322000</v>
      </c>
      <c r="H3456" s="16" t="s">
        <v>3827</v>
      </c>
      <c r="I3456" s="40" t="s">
        <v>18</v>
      </c>
      <c r="J3456" s="40" t="str">
        <f>HYPERLINK("https://stock.pstatic.net/stock-research/company/63/20260424_company_113721000.pdf","PDF")</f>
        <v>PDF</v>
      </c>
      <c r="K3456" s="15" t="s">
        <v>3828</v>
      </c>
      <c r="L3456" s="20">
        <v>0.24223602484472051</v>
      </c>
    </row>
    <row r="3457" spans="1:12" x14ac:dyDescent="0.45">
      <c r="A3457" s="15" t="s">
        <v>3722</v>
      </c>
      <c r="B3457" s="15" t="s">
        <v>3813</v>
      </c>
      <c r="C3457" s="16" t="s">
        <v>3814</v>
      </c>
      <c r="D3457" s="16" t="s">
        <v>53</v>
      </c>
      <c r="E3457" s="15" t="s">
        <v>16</v>
      </c>
      <c r="F3457" s="17">
        <v>20000</v>
      </c>
      <c r="G3457" s="17">
        <v>13250</v>
      </c>
      <c r="H3457" s="16" t="s">
        <v>3829</v>
      </c>
      <c r="I3457" s="40" t="s">
        <v>18</v>
      </c>
      <c r="J3457" s="40" t="str">
        <f>HYPERLINK("https://stock.pstatic.net/stock-research/company/40/20260424_company_831791000.pdf","PDF")</f>
        <v>PDF</v>
      </c>
      <c r="K3457" s="15" t="s">
        <v>3830</v>
      </c>
      <c r="L3457" s="20">
        <v>0.50943396226415094</v>
      </c>
    </row>
    <row r="3458" spans="1:12" x14ac:dyDescent="0.45">
      <c r="A3458" s="15" t="s">
        <v>3722</v>
      </c>
      <c r="B3458" s="15" t="s">
        <v>3831</v>
      </c>
      <c r="C3458" s="16" t="s">
        <v>3832</v>
      </c>
      <c r="D3458" s="16" t="s">
        <v>92</v>
      </c>
      <c r="E3458" s="15" t="s">
        <v>35</v>
      </c>
      <c r="F3458" s="17">
        <v>75000</v>
      </c>
      <c r="G3458" s="17">
        <v>53400</v>
      </c>
      <c r="H3458" s="16" t="s">
        <v>3833</v>
      </c>
      <c r="I3458" s="40" t="s">
        <v>18</v>
      </c>
      <c r="J3458" s="40" t="str">
        <f>HYPERLINK("https://stock.pstatic.net/stock-research/company/63/20260424_company_552547000.pdf","PDF")</f>
        <v>PDF</v>
      </c>
      <c r="K3458" s="15" t="s">
        <v>3834</v>
      </c>
      <c r="L3458" s="20">
        <v>0.4044943820224719</v>
      </c>
    </row>
    <row r="3459" spans="1:12" x14ac:dyDescent="0.45">
      <c r="A3459" s="15" t="s">
        <v>3722</v>
      </c>
      <c r="B3459" s="15" t="s">
        <v>3688</v>
      </c>
      <c r="C3459" s="16" t="s">
        <v>3689</v>
      </c>
      <c r="D3459" s="16" t="s">
        <v>34</v>
      </c>
      <c r="E3459" s="15" t="s">
        <v>35</v>
      </c>
      <c r="F3459" s="17">
        <v>120000</v>
      </c>
      <c r="G3459" s="17">
        <v>99900</v>
      </c>
      <c r="H3459" s="16" t="s">
        <v>3835</v>
      </c>
      <c r="I3459" s="40" t="s">
        <v>18</v>
      </c>
      <c r="J3459" s="40" t="str">
        <f>HYPERLINK("https://stock.pstatic.net/stock-research/company/61/20260424_company_549575000.pdf","PDF")</f>
        <v>PDF</v>
      </c>
      <c r="K3459" s="15" t="s">
        <v>3836</v>
      </c>
      <c r="L3459" s="20">
        <v>0.20120120120120119</v>
      </c>
    </row>
    <row r="3460" spans="1:12" x14ac:dyDescent="0.45">
      <c r="A3460" s="15" t="s">
        <v>3722</v>
      </c>
      <c r="B3460" s="15" t="s">
        <v>3280</v>
      </c>
      <c r="C3460" s="16" t="s">
        <v>3281</v>
      </c>
      <c r="D3460" s="16" t="s">
        <v>23</v>
      </c>
      <c r="E3460" s="15" t="s">
        <v>16</v>
      </c>
      <c r="F3460" s="17">
        <v>100000</v>
      </c>
      <c r="G3460" s="17">
        <v>55800</v>
      </c>
      <c r="H3460" s="16" t="s">
        <v>3837</v>
      </c>
      <c r="I3460" s="40" t="s">
        <v>18</v>
      </c>
      <c r="J3460" s="40" t="str">
        <f>HYPERLINK("https://stock.pstatic.net/stock-research/company/21/20260424_company_504808000.pdf","PDF")</f>
        <v>PDF</v>
      </c>
      <c r="K3460" s="15" t="s">
        <v>3838</v>
      </c>
      <c r="L3460" s="20">
        <v>0.79211469534050183</v>
      </c>
    </row>
    <row r="3461" spans="1:12" x14ac:dyDescent="0.45">
      <c r="A3461" s="15" t="s">
        <v>3722</v>
      </c>
      <c r="B3461" s="15" t="s">
        <v>3373</v>
      </c>
      <c r="C3461" s="16" t="s">
        <v>3374</v>
      </c>
      <c r="D3461" s="16" t="s">
        <v>34</v>
      </c>
      <c r="E3461" s="15" t="s">
        <v>35</v>
      </c>
      <c r="F3461" s="17">
        <v>190000</v>
      </c>
      <c r="G3461" s="17">
        <v>158000</v>
      </c>
      <c r="H3461" s="16" t="s">
        <v>3839</v>
      </c>
      <c r="I3461" s="40" t="s">
        <v>18</v>
      </c>
      <c r="J3461" s="40" t="str">
        <f>HYPERLINK("https://stock.pstatic.net/stock-research/company/61/20260424_company_970519000.pdf","PDF")</f>
        <v>PDF</v>
      </c>
      <c r="K3461" s="15" t="s">
        <v>3840</v>
      </c>
      <c r="L3461" s="20">
        <v>0.20253164556962031</v>
      </c>
    </row>
    <row r="3462" spans="1:12" x14ac:dyDescent="0.45">
      <c r="A3462" s="15" t="s">
        <v>3722</v>
      </c>
      <c r="B3462" s="15" t="s">
        <v>3841</v>
      </c>
      <c r="C3462" s="16" t="s">
        <v>3842</v>
      </c>
      <c r="D3462" s="16" t="s">
        <v>179</v>
      </c>
      <c r="E3462" s="15" t="s">
        <v>50</v>
      </c>
      <c r="F3462" s="16"/>
      <c r="G3462" s="17">
        <v>7190</v>
      </c>
      <c r="H3462" s="16" t="s">
        <v>3843</v>
      </c>
      <c r="I3462" s="40" t="s">
        <v>18</v>
      </c>
      <c r="J3462" s="40" t="str">
        <f>HYPERLINK("https://stock.pstatic.net/stock-research/company/64/20260424_company_566403000.pdf","PDF")</f>
        <v>PDF</v>
      </c>
      <c r="K3462" s="15" t="s">
        <v>3844</v>
      </c>
    </row>
    <row r="3463" spans="1:12" x14ac:dyDescent="0.45">
      <c r="A3463" s="15" t="s">
        <v>3722</v>
      </c>
      <c r="B3463" s="15" t="s">
        <v>95</v>
      </c>
      <c r="C3463" s="16" t="s">
        <v>31</v>
      </c>
      <c r="D3463" s="16" t="s">
        <v>23</v>
      </c>
      <c r="E3463" s="15" t="s">
        <v>16</v>
      </c>
      <c r="F3463" s="17">
        <v>64000</v>
      </c>
      <c r="G3463" s="17">
        <v>50300</v>
      </c>
      <c r="H3463" s="16" t="s">
        <v>3845</v>
      </c>
      <c r="I3463" s="40" t="s">
        <v>18</v>
      </c>
      <c r="J3463" s="40" t="str">
        <f>HYPERLINK("https://stock.pstatic.net/stock-research/company/21/20260424_company_740545000.pdf","PDF")</f>
        <v>PDF</v>
      </c>
      <c r="K3463" s="15" t="s">
        <v>3846</v>
      </c>
      <c r="L3463" s="20">
        <v>0.27236580516898612</v>
      </c>
    </row>
    <row r="3464" spans="1:12" x14ac:dyDescent="0.45">
      <c r="A3464" s="15" t="s">
        <v>3722</v>
      </c>
      <c r="B3464" s="15" t="s">
        <v>81</v>
      </c>
      <c r="C3464" s="16" t="s">
        <v>82</v>
      </c>
      <c r="D3464" s="16" t="s">
        <v>34</v>
      </c>
      <c r="E3464" s="15" t="s">
        <v>35</v>
      </c>
      <c r="F3464" s="17">
        <v>41000</v>
      </c>
      <c r="G3464" s="17">
        <v>34950</v>
      </c>
      <c r="H3464" s="16" t="s">
        <v>3847</v>
      </c>
      <c r="I3464" s="40" t="s">
        <v>18</v>
      </c>
      <c r="J3464" s="40" t="str">
        <f>HYPERLINK("https://stock.pstatic.net/stock-research/company/61/20260424_company_509666000.pdf","PDF")</f>
        <v>PDF</v>
      </c>
      <c r="K3464" s="15" t="s">
        <v>3848</v>
      </c>
      <c r="L3464" s="20">
        <v>0.17310443490701</v>
      </c>
    </row>
    <row r="3465" spans="1:12" x14ac:dyDescent="0.45">
      <c r="A3465" s="15" t="s">
        <v>3722</v>
      </c>
      <c r="B3465" s="15" t="s">
        <v>334</v>
      </c>
      <c r="C3465" s="16" t="s">
        <v>335</v>
      </c>
      <c r="D3465" s="16" t="s">
        <v>23</v>
      </c>
      <c r="E3465" s="15" t="s">
        <v>16</v>
      </c>
      <c r="F3465" s="17">
        <v>1900000</v>
      </c>
      <c r="G3465" s="17">
        <v>1225000</v>
      </c>
      <c r="H3465" s="16" t="s">
        <v>3849</v>
      </c>
      <c r="I3465" s="40" t="s">
        <v>18</v>
      </c>
      <c r="J3465" s="40" t="str">
        <f>HYPERLINK("https://stock.pstatic.net/stock-research/company/21/20260424_company_299775000.pdf","PDF")</f>
        <v>PDF</v>
      </c>
      <c r="K3465" s="15" t="s">
        <v>3850</v>
      </c>
      <c r="L3465" s="20">
        <v>0.55102040816326525</v>
      </c>
    </row>
    <row r="3466" spans="1:12" x14ac:dyDescent="0.45">
      <c r="A3466" s="15" t="s">
        <v>3722</v>
      </c>
      <c r="B3466" s="15" t="s">
        <v>334</v>
      </c>
      <c r="C3466" s="16" t="s">
        <v>335</v>
      </c>
      <c r="D3466" s="16" t="s">
        <v>44</v>
      </c>
      <c r="E3466" s="15" t="s">
        <v>50</v>
      </c>
      <c r="F3466" s="16"/>
      <c r="G3466" s="17">
        <v>1225000</v>
      </c>
      <c r="H3466" s="16" t="s">
        <v>3851</v>
      </c>
      <c r="I3466" s="40" t="s">
        <v>18</v>
      </c>
      <c r="J3466" s="40" t="str">
        <f>HYPERLINK("https://stock.pstatic.net/stock-research/company/39/20260424_company_758134000.pdf","PDF")</f>
        <v>PDF</v>
      </c>
      <c r="K3466" s="15" t="s">
        <v>3852</v>
      </c>
    </row>
    <row r="3467" spans="1:12" x14ac:dyDescent="0.45">
      <c r="A3467" s="15" t="s">
        <v>3722</v>
      </c>
      <c r="B3467" s="15" t="s">
        <v>740</v>
      </c>
      <c r="C3467" s="16" t="s">
        <v>741</v>
      </c>
      <c r="D3467" s="16" t="s">
        <v>23</v>
      </c>
      <c r="E3467" s="15" t="s">
        <v>16</v>
      </c>
      <c r="F3467" s="17">
        <v>650000</v>
      </c>
      <c r="G3467" s="17">
        <v>500000</v>
      </c>
      <c r="H3467" s="16" t="s">
        <v>3853</v>
      </c>
      <c r="I3467" s="40" t="s">
        <v>18</v>
      </c>
      <c r="J3467" s="40" t="str">
        <f>HYPERLINK("https://stock.pstatic.net/stock-research/company/21/20260424_company_860395000.pdf","PDF")</f>
        <v>PDF</v>
      </c>
      <c r="K3467" s="15" t="s">
        <v>3854</v>
      </c>
      <c r="L3467" s="20">
        <v>0.3</v>
      </c>
    </row>
    <row r="3468" spans="1:12" x14ac:dyDescent="0.45">
      <c r="A3468" s="15" t="s">
        <v>3722</v>
      </c>
      <c r="B3468" s="15" t="s">
        <v>3813</v>
      </c>
      <c r="C3468" s="16" t="s">
        <v>3814</v>
      </c>
      <c r="D3468" s="16" t="s">
        <v>23</v>
      </c>
      <c r="E3468" s="15" t="s">
        <v>16</v>
      </c>
      <c r="F3468" s="17">
        <v>18000</v>
      </c>
      <c r="G3468" s="17">
        <v>13250</v>
      </c>
      <c r="H3468" s="16" t="s">
        <v>3855</v>
      </c>
      <c r="I3468" s="40" t="s">
        <v>18</v>
      </c>
      <c r="J3468" s="40" t="str">
        <f>HYPERLINK("https://stock.pstatic.net/stock-research/company/21/20260424_company_108813000.pdf","PDF")</f>
        <v>PDF</v>
      </c>
      <c r="K3468" s="15" t="s">
        <v>3856</v>
      </c>
      <c r="L3468" s="20">
        <v>0.35849056603773582</v>
      </c>
    </row>
    <row r="3469" spans="1:12" x14ac:dyDescent="0.45">
      <c r="A3469" s="15" t="s">
        <v>3722</v>
      </c>
      <c r="B3469" s="15" t="s">
        <v>95</v>
      </c>
      <c r="C3469" s="16" t="s">
        <v>31</v>
      </c>
      <c r="D3469" s="16" t="s">
        <v>34</v>
      </c>
      <c r="E3469" s="15" t="s">
        <v>35</v>
      </c>
      <c r="F3469" s="17">
        <v>67000</v>
      </c>
      <c r="G3469" s="17">
        <v>50300</v>
      </c>
      <c r="H3469" s="16" t="s">
        <v>3857</v>
      </c>
      <c r="I3469" s="40" t="s">
        <v>18</v>
      </c>
      <c r="J3469" s="40" t="str">
        <f>HYPERLINK("https://stock.pstatic.net/stock-research/company/61/20260424_company_390728000.pdf","PDF")</f>
        <v>PDF</v>
      </c>
      <c r="K3469" s="15" t="s">
        <v>3858</v>
      </c>
      <c r="L3469" s="20">
        <v>0.33200795228628233</v>
      </c>
    </row>
    <row r="3470" spans="1:12" x14ac:dyDescent="0.45">
      <c r="A3470" s="15" t="s">
        <v>3722</v>
      </c>
      <c r="B3470" s="15" t="s">
        <v>3369</v>
      </c>
      <c r="C3470" s="16" t="s">
        <v>3370</v>
      </c>
      <c r="D3470" s="16" t="s">
        <v>23</v>
      </c>
      <c r="E3470" s="15" t="s">
        <v>16</v>
      </c>
      <c r="F3470" s="17">
        <v>35000</v>
      </c>
      <c r="G3470" s="17">
        <v>30050</v>
      </c>
      <c r="H3470" s="16" t="s">
        <v>3859</v>
      </c>
      <c r="I3470" s="40" t="s">
        <v>18</v>
      </c>
      <c r="J3470" s="40" t="str">
        <f>HYPERLINK("https://stock.pstatic.net/stock-research/company/21/20260424_company_511081000.pdf","PDF")</f>
        <v>PDF</v>
      </c>
      <c r="K3470" s="15" t="s">
        <v>3860</v>
      </c>
      <c r="L3470" s="20">
        <v>0.16472545757071549</v>
      </c>
    </row>
    <row r="3471" spans="1:12" x14ac:dyDescent="0.45">
      <c r="A3471" s="15" t="s">
        <v>3722</v>
      </c>
      <c r="B3471" s="15" t="s">
        <v>3373</v>
      </c>
      <c r="C3471" s="16" t="s">
        <v>3374</v>
      </c>
      <c r="D3471" s="16" t="s">
        <v>23</v>
      </c>
      <c r="E3471" s="15" t="s">
        <v>16</v>
      </c>
      <c r="F3471" s="17">
        <v>180000</v>
      </c>
      <c r="G3471" s="17">
        <v>158000</v>
      </c>
      <c r="H3471" s="16" t="s">
        <v>3861</v>
      </c>
      <c r="I3471" s="40" t="s">
        <v>18</v>
      </c>
      <c r="J3471" s="40" t="str">
        <f>HYPERLINK("https://stock.pstatic.net/stock-research/company/21/20260424_company_293767000.pdf","PDF")</f>
        <v>PDF</v>
      </c>
      <c r="K3471" s="15" t="s">
        <v>3862</v>
      </c>
      <c r="L3471" s="20">
        <v>0.13924050632911389</v>
      </c>
    </row>
    <row r="3472" spans="1:12" x14ac:dyDescent="0.45">
      <c r="A3472" s="15" t="s">
        <v>3722</v>
      </c>
      <c r="B3472" s="15" t="s">
        <v>3813</v>
      </c>
      <c r="C3472" s="16" t="s">
        <v>3814</v>
      </c>
      <c r="D3472" s="16" t="s">
        <v>34</v>
      </c>
      <c r="E3472" s="15" t="s">
        <v>35</v>
      </c>
      <c r="F3472" s="17">
        <v>17000</v>
      </c>
      <c r="G3472" s="17">
        <v>13250</v>
      </c>
      <c r="H3472" s="16" t="s">
        <v>3863</v>
      </c>
      <c r="I3472" s="40" t="s">
        <v>18</v>
      </c>
      <c r="J3472" s="40" t="str">
        <f>HYPERLINK("https://stock.pstatic.net/stock-research/company/61/20260424_company_1855000.pdf","PDF")</f>
        <v>PDF</v>
      </c>
      <c r="K3472" s="15" t="s">
        <v>3864</v>
      </c>
      <c r="L3472" s="20">
        <v>0.28301886792452829</v>
      </c>
    </row>
    <row r="3473" spans="1:12" x14ac:dyDescent="0.45">
      <c r="A3473" s="15" t="s">
        <v>3722</v>
      </c>
      <c r="B3473" s="15" t="s">
        <v>334</v>
      </c>
      <c r="C3473" s="16" t="s">
        <v>335</v>
      </c>
      <c r="D3473" s="16" t="s">
        <v>34</v>
      </c>
      <c r="E3473" s="15" t="s">
        <v>35</v>
      </c>
      <c r="F3473" s="17">
        <v>1500000</v>
      </c>
      <c r="G3473" s="17">
        <v>1225000</v>
      </c>
      <c r="H3473" s="16" t="s">
        <v>3865</v>
      </c>
      <c r="I3473" s="40" t="s">
        <v>18</v>
      </c>
      <c r="J3473" s="40" t="str">
        <f>HYPERLINK("https://stock.pstatic.net/stock-research/company/61/20260424_company_315515000.pdf","PDF")</f>
        <v>PDF</v>
      </c>
      <c r="K3473" s="15" t="s">
        <v>3866</v>
      </c>
      <c r="L3473" s="20">
        <v>0.22448979591836729</v>
      </c>
    </row>
    <row r="3474" spans="1:12" x14ac:dyDescent="0.45">
      <c r="A3474" s="15" t="s">
        <v>3722</v>
      </c>
      <c r="B3474" s="15" t="s">
        <v>1101</v>
      </c>
      <c r="C3474" s="16" t="s">
        <v>1102</v>
      </c>
      <c r="D3474" s="16" t="s">
        <v>23</v>
      </c>
      <c r="E3474" s="15" t="s">
        <v>16</v>
      </c>
      <c r="F3474" s="17">
        <v>45000</v>
      </c>
      <c r="G3474" s="17">
        <v>31900</v>
      </c>
      <c r="H3474" s="16" t="s">
        <v>3867</v>
      </c>
      <c r="I3474" s="40" t="s">
        <v>18</v>
      </c>
      <c r="J3474" s="40" t="str">
        <f>HYPERLINK("https://stock.pstatic.net/stock-research/company/21/20260424_company_624240000.pdf","PDF")</f>
        <v>PDF</v>
      </c>
      <c r="K3474" s="15" t="s">
        <v>3868</v>
      </c>
      <c r="L3474" s="20">
        <v>0.41065830721003133</v>
      </c>
    </row>
    <row r="3475" spans="1:12" x14ac:dyDescent="0.45">
      <c r="A3475" s="15" t="s">
        <v>3722</v>
      </c>
      <c r="B3475" s="15" t="s">
        <v>81</v>
      </c>
      <c r="C3475" s="16" t="s">
        <v>82</v>
      </c>
      <c r="D3475" s="16" t="s">
        <v>179</v>
      </c>
      <c r="E3475" s="15" t="s">
        <v>16</v>
      </c>
      <c r="F3475" s="17">
        <v>44000</v>
      </c>
      <c r="G3475" s="17">
        <v>34950</v>
      </c>
      <c r="H3475" s="16" t="s">
        <v>3869</v>
      </c>
      <c r="I3475" s="40" t="s">
        <v>18</v>
      </c>
      <c r="J3475" s="40" t="str">
        <f>HYPERLINK("https://stock.pstatic.net/stock-research/company/64/20260424_company_30918000.pdf","PDF")</f>
        <v>PDF</v>
      </c>
      <c r="K3475" s="15" t="s">
        <v>3870</v>
      </c>
      <c r="L3475" s="20">
        <v>0.25894134477825459</v>
      </c>
    </row>
    <row r="3476" spans="1:12" x14ac:dyDescent="0.45">
      <c r="A3476" s="15" t="s">
        <v>3722</v>
      </c>
      <c r="B3476" s="15" t="s">
        <v>81</v>
      </c>
      <c r="C3476" s="16" t="s">
        <v>82</v>
      </c>
      <c r="D3476" s="16" t="s">
        <v>23</v>
      </c>
      <c r="E3476" s="15" t="s">
        <v>16</v>
      </c>
      <c r="F3476" s="17">
        <v>44000</v>
      </c>
      <c r="G3476" s="17">
        <v>34950</v>
      </c>
      <c r="H3476" s="16" t="s">
        <v>3871</v>
      </c>
      <c r="I3476" s="40" t="s">
        <v>18</v>
      </c>
      <c r="J3476" s="40" t="str">
        <f>HYPERLINK("https://stock.pstatic.net/stock-research/company/21/20260424_company_406985000.pdf","PDF")</f>
        <v>PDF</v>
      </c>
      <c r="K3476" s="15" t="s">
        <v>3872</v>
      </c>
      <c r="L3476" s="20">
        <v>0.25894134477825459</v>
      </c>
    </row>
    <row r="3477" spans="1:12" x14ac:dyDescent="0.45">
      <c r="A3477" s="15" t="s">
        <v>3722</v>
      </c>
      <c r="B3477" s="15" t="s">
        <v>519</v>
      </c>
      <c r="C3477" s="16" t="s">
        <v>520</v>
      </c>
      <c r="D3477" s="16" t="s">
        <v>34</v>
      </c>
      <c r="E3477" s="15" t="s">
        <v>35</v>
      </c>
      <c r="F3477" s="17">
        <v>650000</v>
      </c>
      <c r="G3477" s="17">
        <v>532000</v>
      </c>
      <c r="H3477" s="16" t="s">
        <v>3873</v>
      </c>
      <c r="I3477" s="40" t="s">
        <v>18</v>
      </c>
      <c r="J3477" s="40" t="str">
        <f>HYPERLINK("https://stock.pstatic.net/stock-research/company/61/20260424_company_731859000.pdf","PDF")</f>
        <v>PDF</v>
      </c>
      <c r="K3477" s="15" t="s">
        <v>3874</v>
      </c>
      <c r="L3477" s="20">
        <v>0.2218045112781955</v>
      </c>
    </row>
    <row r="3478" spans="1:12" x14ac:dyDescent="0.45">
      <c r="A3478" s="15" t="s">
        <v>3722</v>
      </c>
      <c r="B3478" s="15" t="s">
        <v>519</v>
      </c>
      <c r="C3478" s="16" t="s">
        <v>520</v>
      </c>
      <c r="D3478" s="16" t="s">
        <v>92</v>
      </c>
      <c r="E3478" s="15" t="s">
        <v>35</v>
      </c>
      <c r="F3478" s="17">
        <v>1000000</v>
      </c>
      <c r="G3478" s="17">
        <v>532000</v>
      </c>
      <c r="H3478" s="16" t="s">
        <v>3875</v>
      </c>
      <c r="I3478" s="40" t="s">
        <v>18</v>
      </c>
      <c r="J3478" s="40" t="str">
        <f>HYPERLINK("https://stock.pstatic.net/stock-research/company/63/20260424_company_26241000.pdf","PDF")</f>
        <v>PDF</v>
      </c>
      <c r="K3478" s="15" t="s">
        <v>3876</v>
      </c>
      <c r="L3478" s="20">
        <v>0.87969924812030076</v>
      </c>
    </row>
    <row r="3479" spans="1:12" x14ac:dyDescent="0.45">
      <c r="A3479" s="15" t="s">
        <v>3722</v>
      </c>
      <c r="B3479" s="15" t="s">
        <v>259</v>
      </c>
      <c r="C3479" s="16" t="s">
        <v>260</v>
      </c>
      <c r="D3479" s="16" t="s">
        <v>34</v>
      </c>
      <c r="E3479" s="15" t="s">
        <v>35</v>
      </c>
      <c r="F3479" s="17">
        <v>90000</v>
      </c>
      <c r="G3479" s="17">
        <v>63000</v>
      </c>
      <c r="H3479" s="16" t="s">
        <v>3877</v>
      </c>
      <c r="I3479" s="40" t="s">
        <v>18</v>
      </c>
      <c r="J3479" s="40" t="str">
        <f>HYPERLINK("https://stock.pstatic.net/stock-research/company/61/20260424_company_687214000.pdf","PDF")</f>
        <v>PDF</v>
      </c>
      <c r="K3479" s="15" t="s">
        <v>3878</v>
      </c>
      <c r="L3479" s="20">
        <v>0.42857142857142849</v>
      </c>
    </row>
    <row r="3480" spans="1:12" x14ac:dyDescent="0.45">
      <c r="A3480" s="15" t="s">
        <v>3722</v>
      </c>
      <c r="B3480" s="15" t="s">
        <v>3749</v>
      </c>
      <c r="C3480" s="16" t="s">
        <v>3750</v>
      </c>
      <c r="D3480" s="16" t="s">
        <v>34</v>
      </c>
      <c r="E3480" s="15" t="s">
        <v>35</v>
      </c>
      <c r="F3480" s="17">
        <v>325000</v>
      </c>
      <c r="G3480" s="17">
        <v>230000</v>
      </c>
      <c r="H3480" s="16" t="s">
        <v>3879</v>
      </c>
      <c r="I3480" s="40" t="s">
        <v>18</v>
      </c>
      <c r="J3480" s="40" t="str">
        <f>HYPERLINK("https://stock.pstatic.net/stock-research/company/61/20260424_company_808056000.pdf","PDF")</f>
        <v>PDF</v>
      </c>
      <c r="K3480" s="15" t="s">
        <v>3880</v>
      </c>
      <c r="L3480" s="20">
        <v>0.41304347826086962</v>
      </c>
    </row>
    <row r="3481" spans="1:12" x14ac:dyDescent="0.45">
      <c r="A3481" s="15" t="s">
        <v>3722</v>
      </c>
      <c r="B3481" s="15" t="s">
        <v>3395</v>
      </c>
      <c r="C3481" s="16" t="s">
        <v>3396</v>
      </c>
      <c r="D3481" s="16" t="s">
        <v>23</v>
      </c>
      <c r="E3481" s="15" t="s">
        <v>16</v>
      </c>
      <c r="F3481" s="17">
        <v>40000</v>
      </c>
      <c r="G3481" s="17">
        <v>32550</v>
      </c>
      <c r="H3481" s="16" t="s">
        <v>3881</v>
      </c>
      <c r="I3481" s="40" t="s">
        <v>18</v>
      </c>
      <c r="J3481" s="40" t="str">
        <f>HYPERLINK("https://stock.pstatic.net/stock-research/company/21/20260424_company_678284000.pdf","PDF")</f>
        <v>PDF</v>
      </c>
      <c r="K3481" s="15" t="s">
        <v>3882</v>
      </c>
      <c r="L3481" s="20">
        <v>0.22887864823348689</v>
      </c>
    </row>
    <row r="3482" spans="1:12" x14ac:dyDescent="0.45">
      <c r="A3482" s="15" t="s">
        <v>3722</v>
      </c>
      <c r="B3482" s="15" t="s">
        <v>2883</v>
      </c>
      <c r="C3482" s="16" t="s">
        <v>2884</v>
      </c>
      <c r="D3482" s="16" t="s">
        <v>23</v>
      </c>
      <c r="E3482" s="15" t="s">
        <v>16</v>
      </c>
      <c r="F3482" s="17">
        <v>73000</v>
      </c>
      <c r="G3482" s="17">
        <v>51000</v>
      </c>
      <c r="H3482" s="16" t="s">
        <v>3883</v>
      </c>
      <c r="I3482" s="40" t="s">
        <v>18</v>
      </c>
      <c r="J3482" s="40" t="str">
        <f>HYPERLINK("https://stock.pstatic.net/stock-research/company/21/20260424_company_931021000.pdf","PDF")</f>
        <v>PDF</v>
      </c>
      <c r="K3482" s="15" t="s">
        <v>3884</v>
      </c>
      <c r="L3482" s="20">
        <v>0.43137254901960792</v>
      </c>
    </row>
    <row r="3483" spans="1:12" x14ac:dyDescent="0.45">
      <c r="A3483" s="15" t="s">
        <v>3722</v>
      </c>
      <c r="B3483" s="15" t="s">
        <v>3749</v>
      </c>
      <c r="C3483" s="16" t="s">
        <v>3750</v>
      </c>
      <c r="D3483" s="16" t="s">
        <v>23</v>
      </c>
      <c r="E3483" s="15" t="s">
        <v>16</v>
      </c>
      <c r="F3483" s="17">
        <v>320000</v>
      </c>
      <c r="G3483" s="17">
        <v>230000</v>
      </c>
      <c r="H3483" s="16" t="s">
        <v>3885</v>
      </c>
      <c r="I3483" s="40" t="s">
        <v>18</v>
      </c>
      <c r="J3483" s="40" t="str">
        <f>HYPERLINK("https://stock.pstatic.net/stock-research/company/21/20260424_company_1985000.pdf","PDF")</f>
        <v>PDF</v>
      </c>
      <c r="K3483" s="15" t="s">
        <v>3886</v>
      </c>
      <c r="L3483" s="20">
        <v>0.39130434782608697</v>
      </c>
    </row>
    <row r="3484" spans="1:12" x14ac:dyDescent="0.45">
      <c r="A3484" s="15" t="s">
        <v>3722</v>
      </c>
      <c r="B3484" s="15" t="s">
        <v>3887</v>
      </c>
      <c r="C3484" s="16" t="s">
        <v>3888</v>
      </c>
      <c r="D3484" s="16" t="s">
        <v>179</v>
      </c>
      <c r="E3484" s="15" t="s">
        <v>16</v>
      </c>
      <c r="F3484" s="17">
        <v>86000</v>
      </c>
      <c r="G3484" s="17">
        <v>68600</v>
      </c>
      <c r="H3484" s="16" t="s">
        <v>3889</v>
      </c>
      <c r="I3484" s="40" t="s">
        <v>18</v>
      </c>
      <c r="J3484" s="40" t="str">
        <f>HYPERLINK("https://stock.pstatic.net/stock-research/company/64/20260424_company_782508000.pdf","PDF")</f>
        <v>PDF</v>
      </c>
      <c r="K3484" s="15" t="s">
        <v>3890</v>
      </c>
      <c r="L3484" s="20">
        <v>0.25364431486880468</v>
      </c>
    </row>
    <row r="3485" spans="1:12" x14ac:dyDescent="0.45">
      <c r="A3485" s="15" t="s">
        <v>3722</v>
      </c>
      <c r="B3485" s="15" t="s">
        <v>736</v>
      </c>
      <c r="C3485" s="16" t="s">
        <v>737</v>
      </c>
      <c r="D3485" s="16" t="s">
        <v>44</v>
      </c>
      <c r="E3485" s="15" t="s">
        <v>35</v>
      </c>
      <c r="F3485" s="17">
        <v>390000</v>
      </c>
      <c r="G3485" s="17">
        <v>322000</v>
      </c>
      <c r="H3485" s="16" t="s">
        <v>3891</v>
      </c>
      <c r="I3485" s="40" t="s">
        <v>18</v>
      </c>
      <c r="J3485" s="40" t="str">
        <f>HYPERLINK("https://stock.pstatic.net/stock-research/company/39/20260424_company_916375000.pdf","PDF")</f>
        <v>PDF</v>
      </c>
      <c r="K3485" s="15" t="s">
        <v>3892</v>
      </c>
      <c r="L3485" s="20">
        <v>0.21118012422360249</v>
      </c>
    </row>
    <row r="3486" spans="1:12" x14ac:dyDescent="0.45">
      <c r="A3486" s="15" t="s">
        <v>3722</v>
      </c>
      <c r="B3486" s="15" t="s">
        <v>3395</v>
      </c>
      <c r="C3486" s="16" t="s">
        <v>3396</v>
      </c>
      <c r="D3486" s="16" t="s">
        <v>44</v>
      </c>
      <c r="E3486" s="15" t="s">
        <v>50</v>
      </c>
      <c r="F3486" s="16"/>
      <c r="G3486" s="17">
        <v>32550</v>
      </c>
      <c r="H3486" s="16" t="s">
        <v>3893</v>
      </c>
      <c r="I3486" s="40" t="s">
        <v>18</v>
      </c>
      <c r="J3486" s="40" t="str">
        <f>HYPERLINK("https://stock.pstatic.net/stock-research/company/39/20260424_company_67049000.pdf","PDF")</f>
        <v>PDF</v>
      </c>
      <c r="K3486" s="15" t="s">
        <v>3894</v>
      </c>
    </row>
    <row r="3487" spans="1:12" x14ac:dyDescent="0.45">
      <c r="A3487" s="15" t="s">
        <v>3722</v>
      </c>
      <c r="B3487" s="15" t="s">
        <v>3895</v>
      </c>
      <c r="C3487" s="16" t="s">
        <v>3896</v>
      </c>
      <c r="D3487" s="16" t="s">
        <v>44</v>
      </c>
      <c r="E3487" s="15" t="s">
        <v>50</v>
      </c>
      <c r="F3487" s="16"/>
      <c r="G3487" s="17">
        <v>26350</v>
      </c>
      <c r="H3487" s="16" t="s">
        <v>3897</v>
      </c>
      <c r="I3487" s="40" t="s">
        <v>18</v>
      </c>
      <c r="J3487" s="40" t="str">
        <f>HYPERLINK("https://stock.pstatic.net/stock-research/company/39/20260424_company_518346000.pdf","PDF")</f>
        <v>PDF</v>
      </c>
      <c r="K3487" s="15" t="s">
        <v>3898</v>
      </c>
    </row>
    <row r="3488" spans="1:12" x14ac:dyDescent="0.45">
      <c r="A3488" s="15" t="s">
        <v>3722</v>
      </c>
      <c r="B3488" s="15" t="s">
        <v>334</v>
      </c>
      <c r="C3488" s="16" t="s">
        <v>335</v>
      </c>
      <c r="D3488" s="16" t="s">
        <v>53</v>
      </c>
      <c r="E3488" s="15" t="s">
        <v>16</v>
      </c>
      <c r="F3488" s="17">
        <v>1800000</v>
      </c>
      <c r="G3488" s="17">
        <v>1225000</v>
      </c>
      <c r="H3488" s="16" t="s">
        <v>3899</v>
      </c>
      <c r="I3488" s="40" t="s">
        <v>18</v>
      </c>
      <c r="J3488" s="40" t="str">
        <f>HYPERLINK("https://stock.pstatic.net/stock-research/company/40/20260424_company_474578000.pdf","PDF")</f>
        <v>PDF</v>
      </c>
      <c r="K3488" s="15" t="s">
        <v>3900</v>
      </c>
      <c r="L3488" s="20">
        <v>0.46938775510204078</v>
      </c>
    </row>
    <row r="3489" spans="1:12" x14ac:dyDescent="0.45">
      <c r="A3489" s="15" t="s">
        <v>3722</v>
      </c>
      <c r="B3489" s="15" t="s">
        <v>95</v>
      </c>
      <c r="C3489" s="16" t="s">
        <v>31</v>
      </c>
      <c r="D3489" s="16" t="s">
        <v>44</v>
      </c>
      <c r="E3489" s="15" t="s">
        <v>35</v>
      </c>
      <c r="F3489" s="17">
        <v>67000</v>
      </c>
      <c r="G3489" s="17">
        <v>50300</v>
      </c>
      <c r="H3489" s="16" t="s">
        <v>3901</v>
      </c>
      <c r="I3489" s="40" t="s">
        <v>18</v>
      </c>
      <c r="J3489" s="40" t="str">
        <f>HYPERLINK("https://stock.pstatic.net/stock-research/company/39/20260424_company_149072000.pdf","PDF")</f>
        <v>PDF</v>
      </c>
      <c r="K3489" s="15" t="s">
        <v>3902</v>
      </c>
      <c r="L3489" s="20">
        <v>0.33200795228628233</v>
      </c>
    </row>
    <row r="3490" spans="1:12" x14ac:dyDescent="0.45">
      <c r="A3490" s="15" t="s">
        <v>3722</v>
      </c>
      <c r="B3490" s="15" t="s">
        <v>519</v>
      </c>
      <c r="C3490" s="16" t="s">
        <v>520</v>
      </c>
      <c r="D3490" s="16" t="s">
        <v>44</v>
      </c>
      <c r="E3490" s="15" t="s">
        <v>35</v>
      </c>
      <c r="F3490" s="17">
        <v>650000</v>
      </c>
      <c r="G3490" s="17">
        <v>532000</v>
      </c>
      <c r="H3490" s="16" t="s">
        <v>3903</v>
      </c>
      <c r="I3490" s="40" t="s">
        <v>18</v>
      </c>
      <c r="J3490" s="40" t="str">
        <f>HYPERLINK("https://stock.pstatic.net/stock-research/company/39/20260424_company_259324000.pdf","PDF")</f>
        <v>PDF</v>
      </c>
      <c r="K3490" s="15" t="s">
        <v>3904</v>
      </c>
      <c r="L3490" s="20">
        <v>0.2218045112781955</v>
      </c>
    </row>
    <row r="3491" spans="1:12" x14ac:dyDescent="0.45">
      <c r="A3491" s="15" t="s">
        <v>3722</v>
      </c>
      <c r="B3491" s="15" t="s">
        <v>81</v>
      </c>
      <c r="C3491" s="16" t="s">
        <v>82</v>
      </c>
      <c r="D3491" s="16" t="s">
        <v>44</v>
      </c>
      <c r="E3491" s="15" t="s">
        <v>35</v>
      </c>
      <c r="F3491" s="17">
        <v>44000</v>
      </c>
      <c r="G3491" s="17">
        <v>34950</v>
      </c>
      <c r="H3491" s="16" t="s">
        <v>3905</v>
      </c>
      <c r="I3491" s="40" t="s">
        <v>18</v>
      </c>
      <c r="J3491" s="40" t="str">
        <f>HYPERLINK("https://stock.pstatic.net/stock-research/company/39/20260424_company_336500000.pdf","PDF")</f>
        <v>PDF</v>
      </c>
      <c r="K3491" s="15" t="s">
        <v>3906</v>
      </c>
      <c r="L3491" s="20">
        <v>0.25894134477825459</v>
      </c>
    </row>
    <row r="3492" spans="1:12" x14ac:dyDescent="0.45">
      <c r="A3492" s="15" t="s">
        <v>3722</v>
      </c>
      <c r="B3492" s="15" t="s">
        <v>3907</v>
      </c>
      <c r="C3492" s="16" t="s">
        <v>3908</v>
      </c>
      <c r="D3492" s="16" t="s">
        <v>124</v>
      </c>
      <c r="E3492" s="15" t="s">
        <v>50</v>
      </c>
      <c r="F3492" s="16"/>
      <c r="G3492" s="16"/>
      <c r="H3492" s="16" t="s">
        <v>3909</v>
      </c>
      <c r="I3492" s="40" t="s">
        <v>18</v>
      </c>
      <c r="J3492" s="40" t="str">
        <f>HYPERLINK("https://stock.pstatic.net/stock-research/company/74/20260424_company_854586000.pdf","PDF")</f>
        <v>PDF</v>
      </c>
      <c r="K3492" s="15" t="s">
        <v>3910</v>
      </c>
    </row>
    <row r="3493" spans="1:12" x14ac:dyDescent="0.45">
      <c r="A3493" s="15" t="s">
        <v>3722</v>
      </c>
      <c r="B3493" s="15" t="s">
        <v>3911</v>
      </c>
      <c r="C3493" s="16" t="s">
        <v>3912</v>
      </c>
      <c r="D3493" s="16" t="s">
        <v>124</v>
      </c>
      <c r="E3493" s="15" t="s">
        <v>50</v>
      </c>
      <c r="F3493" s="16"/>
      <c r="G3493" s="16"/>
      <c r="H3493" s="16" t="s">
        <v>3913</v>
      </c>
      <c r="I3493" s="40" t="s">
        <v>18</v>
      </c>
      <c r="J3493" s="40" t="str">
        <f>HYPERLINK("https://stock.pstatic.net/stock-research/company/74/20260424_company_39264000.pdf","PDF")</f>
        <v>PDF</v>
      </c>
      <c r="K3493" s="15" t="s">
        <v>3914</v>
      </c>
    </row>
    <row r="3494" spans="1:12" x14ac:dyDescent="0.45">
      <c r="A3494" s="15" t="s">
        <v>3722</v>
      </c>
      <c r="B3494" s="15" t="s">
        <v>334</v>
      </c>
      <c r="C3494" s="16" t="s">
        <v>335</v>
      </c>
      <c r="D3494" s="16" t="s">
        <v>15</v>
      </c>
      <c r="E3494" s="15" t="s">
        <v>16</v>
      </c>
      <c r="F3494" s="17">
        <v>1660000</v>
      </c>
      <c r="G3494" s="17">
        <v>1225000</v>
      </c>
      <c r="H3494" s="16" t="s">
        <v>3915</v>
      </c>
      <c r="I3494" s="40" t="s">
        <v>18</v>
      </c>
      <c r="J3494" s="40" t="str">
        <f>HYPERLINK("https://stock.pstatic.net/stock-research/company/56/20260424_company_96067000.pdf","PDF")</f>
        <v>PDF</v>
      </c>
      <c r="K3494" s="15" t="s">
        <v>3916</v>
      </c>
      <c r="L3494" s="20">
        <v>0.35510204081632651</v>
      </c>
    </row>
    <row r="3495" spans="1:12" x14ac:dyDescent="0.45">
      <c r="A3495" s="15" t="s">
        <v>3722</v>
      </c>
      <c r="B3495" s="15" t="s">
        <v>3373</v>
      </c>
      <c r="C3495" s="16" t="s">
        <v>3374</v>
      </c>
      <c r="D3495" s="16" t="s">
        <v>15</v>
      </c>
      <c r="E3495" s="15" t="s">
        <v>16</v>
      </c>
      <c r="F3495" s="17">
        <v>216000</v>
      </c>
      <c r="G3495" s="17">
        <v>158000</v>
      </c>
      <c r="H3495" s="16" t="s">
        <v>3917</v>
      </c>
      <c r="I3495" s="40" t="s">
        <v>18</v>
      </c>
      <c r="J3495" s="40" t="str">
        <f>HYPERLINK("https://stock.pstatic.net/stock-research/company/56/20260424_company_264975000.pdf","PDF")</f>
        <v>PDF</v>
      </c>
      <c r="K3495" s="15" t="s">
        <v>3918</v>
      </c>
      <c r="L3495" s="20">
        <v>0.36708860759493672</v>
      </c>
    </row>
    <row r="3496" spans="1:12" x14ac:dyDescent="0.45">
      <c r="A3496" s="15" t="s">
        <v>3722</v>
      </c>
      <c r="B3496" s="15" t="s">
        <v>3749</v>
      </c>
      <c r="C3496" s="16" t="s">
        <v>3750</v>
      </c>
      <c r="D3496" s="16" t="s">
        <v>15</v>
      </c>
      <c r="E3496" s="15" t="s">
        <v>16</v>
      </c>
      <c r="F3496" s="17">
        <v>310000</v>
      </c>
      <c r="G3496" s="17">
        <v>230000</v>
      </c>
      <c r="H3496" s="16" t="s">
        <v>3919</v>
      </c>
      <c r="I3496" s="40" t="s">
        <v>18</v>
      </c>
      <c r="J3496" s="40" t="str">
        <f>HYPERLINK("https://stock.pstatic.net/stock-research/company/56/20260424_company_895120000.pdf","PDF")</f>
        <v>PDF</v>
      </c>
      <c r="K3496" s="15" t="s">
        <v>3920</v>
      </c>
      <c r="L3496" s="20">
        <v>0.34782608695652167</v>
      </c>
    </row>
    <row r="3497" spans="1:12" x14ac:dyDescent="0.45">
      <c r="A3497" s="15" t="s">
        <v>3722</v>
      </c>
      <c r="B3497" s="15" t="s">
        <v>3688</v>
      </c>
      <c r="C3497" s="16" t="s">
        <v>3689</v>
      </c>
      <c r="D3497" s="16" t="s">
        <v>15</v>
      </c>
      <c r="E3497" s="15" t="s">
        <v>16</v>
      </c>
      <c r="F3497" s="17">
        <v>131000</v>
      </c>
      <c r="G3497" s="17">
        <v>99900</v>
      </c>
      <c r="H3497" s="16" t="s">
        <v>3921</v>
      </c>
      <c r="I3497" s="40" t="s">
        <v>18</v>
      </c>
      <c r="J3497" s="40" t="str">
        <f>HYPERLINK("https://stock.pstatic.net/stock-research/company/56/20260424_company_645905000.pdf","PDF")</f>
        <v>PDF</v>
      </c>
      <c r="K3497" s="15" t="s">
        <v>3922</v>
      </c>
      <c r="L3497" s="20">
        <v>0.31131131131131129</v>
      </c>
    </row>
    <row r="3498" spans="1:12" x14ac:dyDescent="0.45">
      <c r="A3498" s="15" t="s">
        <v>3722</v>
      </c>
      <c r="B3498" s="15" t="s">
        <v>3923</v>
      </c>
      <c r="C3498" s="16" t="s">
        <v>3924</v>
      </c>
      <c r="D3498" s="16" t="s">
        <v>207</v>
      </c>
      <c r="E3498" s="15" t="s">
        <v>50</v>
      </c>
      <c r="F3498" s="16"/>
      <c r="G3498" s="16"/>
      <c r="H3498" s="16" t="s">
        <v>3925</v>
      </c>
      <c r="I3498" s="40" t="s">
        <v>18</v>
      </c>
      <c r="J3498" s="40" t="str">
        <f>HYPERLINK("https://stock.pstatic.net/stock-research/company/75/20260424_company_927630000.pdf","PDF")</f>
        <v>PDF</v>
      </c>
      <c r="K3498" s="15" t="s">
        <v>3926</v>
      </c>
    </row>
    <row r="3499" spans="1:12" x14ac:dyDescent="0.45">
      <c r="A3499" s="15" t="s">
        <v>3722</v>
      </c>
      <c r="B3499" s="15" t="s">
        <v>3927</v>
      </c>
      <c r="C3499" s="16" t="s">
        <v>3928</v>
      </c>
      <c r="D3499" s="16" t="s">
        <v>207</v>
      </c>
      <c r="E3499" s="15" t="s">
        <v>50</v>
      </c>
      <c r="F3499" s="16"/>
      <c r="G3499" s="16"/>
      <c r="H3499" s="16" t="s">
        <v>3929</v>
      </c>
      <c r="I3499" s="40" t="s">
        <v>18</v>
      </c>
      <c r="J3499" s="40" t="str">
        <f>HYPERLINK("https://stock.pstatic.net/stock-research/company/75/20260424_company_209927000.pdf","PDF")</f>
        <v>PDF</v>
      </c>
      <c r="K3499" s="15" t="s">
        <v>3930</v>
      </c>
    </row>
    <row r="3500" spans="1:12" x14ac:dyDescent="0.45">
      <c r="A3500" s="15" t="s">
        <v>3722</v>
      </c>
      <c r="B3500" s="15" t="s">
        <v>3931</v>
      </c>
      <c r="C3500" s="16" t="s">
        <v>3932</v>
      </c>
      <c r="D3500" s="16" t="s">
        <v>202</v>
      </c>
      <c r="E3500" s="15" t="s">
        <v>50</v>
      </c>
      <c r="F3500" s="16"/>
      <c r="G3500" s="16"/>
      <c r="H3500" s="16" t="s">
        <v>3933</v>
      </c>
      <c r="I3500" s="40" t="s">
        <v>18</v>
      </c>
      <c r="J3500" s="40" t="str">
        <f>HYPERLINK("https://stock.pstatic.net/stock-research/company/69/20260424_company_440483000.pdf","PDF")</f>
        <v>PDF</v>
      </c>
      <c r="K3500" s="15" t="s">
        <v>3934</v>
      </c>
    </row>
    <row r="3501" spans="1:12" x14ac:dyDescent="0.45">
      <c r="A3501" s="15" t="s">
        <v>3722</v>
      </c>
      <c r="B3501" s="15" t="s">
        <v>3935</v>
      </c>
      <c r="C3501" s="16" t="s">
        <v>3936</v>
      </c>
      <c r="D3501" s="16" t="s">
        <v>202</v>
      </c>
      <c r="E3501" s="15" t="s">
        <v>50</v>
      </c>
      <c r="F3501" s="16"/>
      <c r="G3501" s="16"/>
      <c r="H3501" s="16" t="s">
        <v>3937</v>
      </c>
      <c r="I3501" s="40" t="s">
        <v>18</v>
      </c>
      <c r="J3501" s="40" t="str">
        <f>HYPERLINK("https://stock.pstatic.net/stock-research/company/69/20260424_company_671949000.pdf","PDF")</f>
        <v>PDF</v>
      </c>
      <c r="K3501" s="15" t="s">
        <v>3938</v>
      </c>
    </row>
    <row r="3502" spans="1:12" x14ac:dyDescent="0.45">
      <c r="A3502" s="15" t="s">
        <v>3722</v>
      </c>
      <c r="B3502" s="15" t="s">
        <v>3939</v>
      </c>
      <c r="C3502" s="16" t="s">
        <v>3940</v>
      </c>
      <c r="D3502" s="16" t="s">
        <v>207</v>
      </c>
      <c r="E3502" s="15" t="s">
        <v>50</v>
      </c>
      <c r="F3502" s="16"/>
      <c r="G3502" s="16"/>
      <c r="H3502" s="16" t="s">
        <v>3941</v>
      </c>
      <c r="I3502" s="40" t="s">
        <v>18</v>
      </c>
      <c r="J3502" s="40" t="str">
        <f>HYPERLINK("https://stock.pstatic.net/stock-research/company/75/20260424_company_652205000.pdf","PDF")</f>
        <v>PDF</v>
      </c>
      <c r="K3502" s="15" t="s">
        <v>3942</v>
      </c>
    </row>
    <row r="3503" spans="1:12" x14ac:dyDescent="0.45">
      <c r="A3503" s="15" t="s">
        <v>3722</v>
      </c>
      <c r="B3503" s="15" t="s">
        <v>330</v>
      </c>
      <c r="C3503" s="16" t="s">
        <v>331</v>
      </c>
      <c r="D3503" s="16" t="s">
        <v>23</v>
      </c>
      <c r="E3503" s="15" t="s">
        <v>16</v>
      </c>
      <c r="F3503" s="17">
        <v>44000</v>
      </c>
      <c r="G3503" s="17">
        <v>47550</v>
      </c>
      <c r="H3503" s="16" t="s">
        <v>3943</v>
      </c>
      <c r="I3503" s="40" t="s">
        <v>18</v>
      </c>
      <c r="J3503" s="40" t="str">
        <f>HYPERLINK("https://stock.pstatic.net/stock-research/company/21/20260424_company_311227000.pdf","PDF")</f>
        <v>PDF</v>
      </c>
      <c r="K3503" s="15" t="s">
        <v>3944</v>
      </c>
      <c r="L3503" s="20">
        <v>-7.4658254468980015E-2</v>
      </c>
    </row>
    <row r="3504" spans="1:12" x14ac:dyDescent="0.45">
      <c r="A3504" s="15" t="s">
        <v>3945</v>
      </c>
      <c r="B3504" s="15" t="s">
        <v>334</v>
      </c>
      <c r="C3504" s="16" t="s">
        <v>335</v>
      </c>
      <c r="D3504" s="16" t="s">
        <v>179</v>
      </c>
      <c r="E3504" s="15" t="s">
        <v>16</v>
      </c>
      <c r="F3504" s="17">
        <v>2000000</v>
      </c>
      <c r="G3504" s="17">
        <v>1223000</v>
      </c>
      <c r="H3504" s="16" t="s">
        <v>3946</v>
      </c>
      <c r="I3504" s="40" t="s">
        <v>18</v>
      </c>
      <c r="J3504" s="40" t="str">
        <f>HYPERLINK("https://stock.pstatic.net/stock-research/company/64/20260423_company_226275000.pdf","PDF")</f>
        <v>PDF</v>
      </c>
      <c r="K3504" s="15" t="s">
        <v>3947</v>
      </c>
      <c r="L3504" s="20">
        <v>0.63532297628781687</v>
      </c>
    </row>
    <row r="3505" spans="1:12" x14ac:dyDescent="0.45">
      <c r="A3505" s="15" t="s">
        <v>3945</v>
      </c>
      <c r="B3505" s="15" t="s">
        <v>330</v>
      </c>
      <c r="C3505" s="16" t="s">
        <v>331</v>
      </c>
      <c r="D3505" s="16" t="s">
        <v>57</v>
      </c>
      <c r="E3505" s="15" t="s">
        <v>50</v>
      </c>
      <c r="F3505" s="16"/>
      <c r="G3505" s="17">
        <v>47550</v>
      </c>
      <c r="H3505" s="16" t="s">
        <v>3948</v>
      </c>
      <c r="I3505" s="40" t="s">
        <v>18</v>
      </c>
      <c r="J3505" s="40" t="str">
        <f>HYPERLINK("https://stock.pstatic.net/stock-research/company/16/20260423_company_71811000.pdf","PDF")</f>
        <v>PDF</v>
      </c>
      <c r="K3505" s="15" t="s">
        <v>3949</v>
      </c>
    </row>
    <row r="3506" spans="1:12" x14ac:dyDescent="0.45">
      <c r="A3506" s="15" t="s">
        <v>3945</v>
      </c>
      <c r="B3506" s="15" t="s">
        <v>1081</v>
      </c>
      <c r="C3506" s="16" t="s">
        <v>1082</v>
      </c>
      <c r="D3506" s="16" t="s">
        <v>276</v>
      </c>
      <c r="E3506" s="15" t="s">
        <v>16</v>
      </c>
      <c r="F3506" s="17">
        <v>2100000</v>
      </c>
      <c r="G3506" s="17">
        <v>1561000</v>
      </c>
      <c r="H3506" s="16" t="s">
        <v>3950</v>
      </c>
      <c r="I3506" s="40" t="s">
        <v>18</v>
      </c>
      <c r="J3506" s="40" t="str">
        <f>HYPERLINK("https://stock.pstatic.net/stock-research/company/66/20260423_company_780627000.pdf","PDF")</f>
        <v>PDF</v>
      </c>
      <c r="K3506" s="15" t="s">
        <v>3951</v>
      </c>
      <c r="L3506" s="20">
        <v>0.3452914798206278</v>
      </c>
    </row>
    <row r="3507" spans="1:12" x14ac:dyDescent="0.45">
      <c r="A3507" s="15" t="s">
        <v>3945</v>
      </c>
      <c r="B3507" s="15" t="s">
        <v>1912</v>
      </c>
      <c r="C3507" s="16" t="s">
        <v>1913</v>
      </c>
      <c r="D3507" s="16" t="s">
        <v>92</v>
      </c>
      <c r="E3507" s="15" t="s">
        <v>35</v>
      </c>
      <c r="F3507" s="17">
        <v>80000</v>
      </c>
      <c r="G3507" s="17">
        <v>46200</v>
      </c>
      <c r="H3507" s="16" t="s">
        <v>3952</v>
      </c>
      <c r="I3507" s="40" t="s">
        <v>18</v>
      </c>
      <c r="J3507" s="40" t="str">
        <f>HYPERLINK("https://stock.pstatic.net/stock-research/company/63/20260423_company_554023000.pdf","PDF")</f>
        <v>PDF</v>
      </c>
      <c r="K3507" s="15" t="s">
        <v>3953</v>
      </c>
      <c r="L3507" s="20">
        <v>0.73160173160173159</v>
      </c>
    </row>
    <row r="3508" spans="1:12" x14ac:dyDescent="0.45">
      <c r="A3508" s="15" t="s">
        <v>3945</v>
      </c>
      <c r="B3508" s="15" t="s">
        <v>511</v>
      </c>
      <c r="C3508" s="16" t="s">
        <v>512</v>
      </c>
      <c r="D3508" s="16" t="s">
        <v>65</v>
      </c>
      <c r="E3508" s="15" t="s">
        <v>35</v>
      </c>
      <c r="F3508" s="17">
        <v>110000</v>
      </c>
      <c r="G3508" s="17">
        <v>85900</v>
      </c>
      <c r="H3508" s="16" t="s">
        <v>3954</v>
      </c>
      <c r="I3508" s="40" t="s">
        <v>18</v>
      </c>
      <c r="J3508" s="40" t="str">
        <f>HYPERLINK("https://stock.pstatic.net/stock-research/company/57/20260423_company_320657000.pdf","PDF")</f>
        <v>PDF</v>
      </c>
      <c r="K3508" s="15" t="s">
        <v>3955</v>
      </c>
      <c r="L3508" s="20">
        <v>0.28055878928987188</v>
      </c>
    </row>
    <row r="3509" spans="1:12" x14ac:dyDescent="0.45">
      <c r="A3509" s="15" t="s">
        <v>3945</v>
      </c>
      <c r="B3509" s="15" t="s">
        <v>1081</v>
      </c>
      <c r="C3509" s="16" t="s">
        <v>1082</v>
      </c>
      <c r="D3509" s="16" t="s">
        <v>65</v>
      </c>
      <c r="E3509" s="15" t="s">
        <v>35</v>
      </c>
      <c r="F3509" s="17">
        <v>2050000</v>
      </c>
      <c r="G3509" s="17">
        <v>1561000</v>
      </c>
      <c r="H3509" s="16" t="s">
        <v>3956</v>
      </c>
      <c r="I3509" s="40" t="s">
        <v>18</v>
      </c>
      <c r="J3509" s="40" t="str">
        <f>HYPERLINK("https://stock.pstatic.net/stock-research/company/57/20260423_company_710809000.pdf","PDF")</f>
        <v>PDF</v>
      </c>
      <c r="K3509" s="15" t="s">
        <v>3957</v>
      </c>
      <c r="L3509" s="20">
        <v>0.31326073030108897</v>
      </c>
    </row>
    <row r="3510" spans="1:12" x14ac:dyDescent="0.45">
      <c r="A3510" s="15" t="s">
        <v>3945</v>
      </c>
      <c r="B3510" s="15" t="s">
        <v>3087</v>
      </c>
      <c r="C3510" s="16" t="s">
        <v>3088</v>
      </c>
      <c r="D3510" s="16" t="s">
        <v>158</v>
      </c>
      <c r="E3510" s="15" t="s">
        <v>35</v>
      </c>
      <c r="F3510" s="17">
        <v>270000</v>
      </c>
      <c r="G3510" s="17">
        <v>232500</v>
      </c>
      <c r="H3510" s="16" t="s">
        <v>3958</v>
      </c>
      <c r="I3510" s="40" t="s">
        <v>18</v>
      </c>
      <c r="J3510" s="40" t="str">
        <f>HYPERLINK("https://stock.pstatic.net/stock-research/company/18/20260423_company_569167000.pdf","PDF")</f>
        <v>PDF</v>
      </c>
      <c r="K3510" s="15" t="s">
        <v>3959</v>
      </c>
      <c r="L3510" s="20">
        <v>0.16129032258064521</v>
      </c>
    </row>
    <row r="3511" spans="1:12" x14ac:dyDescent="0.45">
      <c r="A3511" s="15" t="s">
        <v>3945</v>
      </c>
      <c r="B3511" s="15" t="s">
        <v>2435</v>
      </c>
      <c r="C3511" s="16" t="s">
        <v>2436</v>
      </c>
      <c r="D3511" s="16" t="s">
        <v>78</v>
      </c>
      <c r="E3511" s="15" t="s">
        <v>50</v>
      </c>
      <c r="F3511" s="16"/>
      <c r="G3511" s="17">
        <v>641000</v>
      </c>
      <c r="H3511" s="16" t="s">
        <v>3960</v>
      </c>
      <c r="I3511" s="40" t="s">
        <v>18</v>
      </c>
      <c r="J3511" s="40" t="str">
        <f>HYPERLINK("https://m.stock.naver.com/research/company/91822","PDF")</f>
        <v>PDF</v>
      </c>
      <c r="K3511" s="15" t="s">
        <v>3961</v>
      </c>
    </row>
    <row r="3512" spans="1:12" x14ac:dyDescent="0.45">
      <c r="A3512" s="15" t="s">
        <v>3945</v>
      </c>
      <c r="B3512" s="15" t="s">
        <v>1237</v>
      </c>
      <c r="C3512" s="16" t="s">
        <v>1238</v>
      </c>
      <c r="D3512" s="16" t="s">
        <v>78</v>
      </c>
      <c r="E3512" s="15" t="s">
        <v>50</v>
      </c>
      <c r="F3512" s="16"/>
      <c r="G3512" s="17">
        <v>5440</v>
      </c>
      <c r="H3512" s="16" t="s">
        <v>3962</v>
      </c>
      <c r="I3512" s="40" t="s">
        <v>18</v>
      </c>
      <c r="J3512" s="40" t="str">
        <f>HYPERLINK("https://m.stock.naver.com/research/company/91821","PDF")</f>
        <v>PDF</v>
      </c>
      <c r="K3512" s="15" t="s">
        <v>3963</v>
      </c>
    </row>
    <row r="3513" spans="1:12" x14ac:dyDescent="0.45">
      <c r="A3513" s="15" t="s">
        <v>3945</v>
      </c>
      <c r="B3513" s="15" t="s">
        <v>3138</v>
      </c>
      <c r="C3513" s="16" t="s">
        <v>3139</v>
      </c>
      <c r="D3513" s="16" t="s">
        <v>179</v>
      </c>
      <c r="E3513" s="15" t="s">
        <v>16</v>
      </c>
      <c r="F3513" s="17">
        <v>20000</v>
      </c>
      <c r="G3513" s="17">
        <v>13500</v>
      </c>
      <c r="H3513" s="16" t="s">
        <v>3964</v>
      </c>
      <c r="I3513" s="40" t="s">
        <v>18</v>
      </c>
      <c r="J3513" s="40" t="str">
        <f>HYPERLINK("https://stock.pstatic.net/stock-research/company/64/20260423_company_580515000.pdf","PDF")</f>
        <v>PDF</v>
      </c>
      <c r="K3513" s="15" t="s">
        <v>3965</v>
      </c>
      <c r="L3513" s="20">
        <v>0.48148148148148151</v>
      </c>
    </row>
    <row r="3514" spans="1:12" x14ac:dyDescent="0.45">
      <c r="A3514" s="15" t="s">
        <v>3945</v>
      </c>
      <c r="B3514" s="15" t="s">
        <v>1081</v>
      </c>
      <c r="C3514" s="16" t="s">
        <v>1082</v>
      </c>
      <c r="D3514" s="16" t="s">
        <v>23</v>
      </c>
      <c r="E3514" s="15" t="s">
        <v>16</v>
      </c>
      <c r="F3514" s="17">
        <v>1900000</v>
      </c>
      <c r="G3514" s="17">
        <v>1561000</v>
      </c>
      <c r="H3514" s="16" t="s">
        <v>3966</v>
      </c>
      <c r="I3514" s="40" t="s">
        <v>18</v>
      </c>
      <c r="J3514" s="40" t="str">
        <f>HYPERLINK("https://stock.pstatic.net/stock-research/company/21/20260423_company_425024000.pdf","PDF")</f>
        <v>PDF</v>
      </c>
      <c r="K3514" s="15" t="s">
        <v>3967</v>
      </c>
      <c r="L3514" s="20">
        <v>0.2171684817424728</v>
      </c>
    </row>
    <row r="3515" spans="1:12" x14ac:dyDescent="0.45">
      <c r="A3515" s="15" t="s">
        <v>3945</v>
      </c>
      <c r="B3515" s="15" t="s">
        <v>511</v>
      </c>
      <c r="C3515" s="16" t="s">
        <v>512</v>
      </c>
      <c r="D3515" s="16" t="s">
        <v>23</v>
      </c>
      <c r="E3515" s="15" t="s">
        <v>16</v>
      </c>
      <c r="F3515" s="17">
        <v>110000</v>
      </c>
      <c r="G3515" s="17">
        <v>85900</v>
      </c>
      <c r="H3515" s="16" t="s">
        <v>3968</v>
      </c>
      <c r="I3515" s="40" t="s">
        <v>18</v>
      </c>
      <c r="J3515" s="40" t="str">
        <f>HYPERLINK("https://stock.pstatic.net/stock-research/company/21/20260423_company_965590000.pdf","PDF")</f>
        <v>PDF</v>
      </c>
      <c r="K3515" s="15" t="s">
        <v>3969</v>
      </c>
      <c r="L3515" s="20">
        <v>0.28055878928987188</v>
      </c>
    </row>
    <row r="3516" spans="1:12" x14ac:dyDescent="0.45">
      <c r="A3516" s="15" t="s">
        <v>3945</v>
      </c>
      <c r="B3516" s="15" t="s">
        <v>533</v>
      </c>
      <c r="C3516" s="16" t="s">
        <v>534</v>
      </c>
      <c r="D3516" s="16" t="s">
        <v>53</v>
      </c>
      <c r="E3516" s="15" t="s">
        <v>16</v>
      </c>
      <c r="F3516" s="17">
        <v>75000</v>
      </c>
      <c r="G3516" s="17">
        <v>61800</v>
      </c>
      <c r="H3516" s="16" t="s">
        <v>3970</v>
      </c>
      <c r="I3516" s="40" t="s">
        <v>18</v>
      </c>
      <c r="J3516" s="40" t="str">
        <f>HYPERLINK("https://stock.pstatic.net/stock-research/company/40/20260423_company_422269000.pdf","PDF")</f>
        <v>PDF</v>
      </c>
      <c r="K3516" s="15" t="s">
        <v>3971</v>
      </c>
      <c r="L3516" s="20">
        <v>0.2135922330097087</v>
      </c>
    </row>
    <row r="3517" spans="1:12" x14ac:dyDescent="0.45">
      <c r="A3517" s="15" t="s">
        <v>3945</v>
      </c>
      <c r="B3517" s="15" t="s">
        <v>3972</v>
      </c>
      <c r="C3517" s="16" t="s">
        <v>3973</v>
      </c>
      <c r="D3517" s="16" t="s">
        <v>23</v>
      </c>
      <c r="E3517" s="15" t="s">
        <v>16</v>
      </c>
      <c r="F3517" s="17">
        <v>169000</v>
      </c>
      <c r="G3517" s="17">
        <v>114000</v>
      </c>
      <c r="H3517" s="16" t="s">
        <v>3974</v>
      </c>
      <c r="I3517" s="40" t="s">
        <v>18</v>
      </c>
      <c r="J3517" s="40" t="str">
        <f>HYPERLINK("https://stock.pstatic.net/stock-research/company/21/20260423_company_933547000.pdf","PDF")</f>
        <v>PDF</v>
      </c>
      <c r="K3517" s="15" t="s">
        <v>3975</v>
      </c>
      <c r="L3517" s="20">
        <v>0.48245614035087719</v>
      </c>
    </row>
    <row r="3518" spans="1:12" x14ac:dyDescent="0.45">
      <c r="A3518" s="15" t="s">
        <v>3945</v>
      </c>
      <c r="B3518" s="15" t="s">
        <v>1526</v>
      </c>
      <c r="C3518" s="16" t="s">
        <v>1527</v>
      </c>
      <c r="D3518" s="16" t="s">
        <v>23</v>
      </c>
      <c r="E3518" s="15" t="s">
        <v>16</v>
      </c>
      <c r="F3518" s="17">
        <v>24000</v>
      </c>
      <c r="G3518" s="17">
        <v>20950</v>
      </c>
      <c r="H3518" s="16" t="s">
        <v>3976</v>
      </c>
      <c r="I3518" s="40" t="s">
        <v>18</v>
      </c>
      <c r="J3518" s="40" t="str">
        <f>HYPERLINK("https://stock.pstatic.net/stock-research/company/21/20260423_company_507286000.pdf","PDF")</f>
        <v>PDF</v>
      </c>
      <c r="K3518" s="15" t="s">
        <v>3977</v>
      </c>
      <c r="L3518" s="20">
        <v>0.14558472553699281</v>
      </c>
    </row>
    <row r="3519" spans="1:12" x14ac:dyDescent="0.45">
      <c r="A3519" s="15" t="s">
        <v>3945</v>
      </c>
      <c r="B3519" s="15" t="s">
        <v>3978</v>
      </c>
      <c r="C3519" s="16" t="s">
        <v>3979</v>
      </c>
      <c r="D3519" s="16" t="s">
        <v>23</v>
      </c>
      <c r="E3519" s="15" t="s">
        <v>16</v>
      </c>
      <c r="F3519" s="17">
        <v>70000</v>
      </c>
      <c r="G3519" s="17">
        <v>51200</v>
      </c>
      <c r="H3519" s="16" t="s">
        <v>3980</v>
      </c>
      <c r="I3519" s="40" t="s">
        <v>18</v>
      </c>
      <c r="J3519" s="40" t="str">
        <f>HYPERLINK("https://stock.pstatic.net/stock-research/company/21/20260423_company_490959000.pdf","PDF")</f>
        <v>PDF</v>
      </c>
      <c r="K3519" s="15" t="s">
        <v>3981</v>
      </c>
      <c r="L3519" s="20">
        <v>0.3671875</v>
      </c>
    </row>
    <row r="3520" spans="1:12" x14ac:dyDescent="0.45">
      <c r="A3520" s="15" t="s">
        <v>3945</v>
      </c>
      <c r="B3520" s="15" t="s">
        <v>1081</v>
      </c>
      <c r="C3520" s="16" t="s">
        <v>1082</v>
      </c>
      <c r="D3520" s="16" t="s">
        <v>53</v>
      </c>
      <c r="E3520" s="15" t="s">
        <v>16</v>
      </c>
      <c r="F3520" s="17">
        <v>2090000</v>
      </c>
      <c r="G3520" s="17">
        <v>1561000</v>
      </c>
      <c r="H3520" s="16" t="s">
        <v>3982</v>
      </c>
      <c r="I3520" s="40" t="s">
        <v>18</v>
      </c>
      <c r="J3520" s="40" t="str">
        <f>HYPERLINK("https://stock.pstatic.net/stock-research/company/40/20260423_company_96950000.pdf","PDF")</f>
        <v>PDF</v>
      </c>
      <c r="K3520" s="15" t="s">
        <v>3983</v>
      </c>
      <c r="L3520" s="20">
        <v>0.33888532991671999</v>
      </c>
    </row>
    <row r="3521" spans="1:12" x14ac:dyDescent="0.45">
      <c r="A3521" s="15" t="s">
        <v>3945</v>
      </c>
      <c r="B3521" s="15" t="s">
        <v>1499</v>
      </c>
      <c r="C3521" s="16" t="s">
        <v>1500</v>
      </c>
      <c r="D3521" s="16" t="s">
        <v>92</v>
      </c>
      <c r="E3521" s="15" t="s">
        <v>35</v>
      </c>
      <c r="F3521" s="17">
        <v>20000</v>
      </c>
      <c r="G3521" s="17">
        <v>14100</v>
      </c>
      <c r="H3521" s="16" t="s">
        <v>3984</v>
      </c>
      <c r="I3521" s="40" t="s">
        <v>18</v>
      </c>
      <c r="J3521" s="40" t="str">
        <f>HYPERLINK("https://stock.pstatic.net/stock-research/company/63/20260423_company_271446000.pdf","PDF")</f>
        <v>PDF</v>
      </c>
      <c r="K3521" s="15" t="s">
        <v>3985</v>
      </c>
      <c r="L3521" s="20">
        <v>0.41843971631205668</v>
      </c>
    </row>
    <row r="3522" spans="1:12" x14ac:dyDescent="0.45">
      <c r="A3522" s="15" t="s">
        <v>3945</v>
      </c>
      <c r="B3522" s="15" t="s">
        <v>537</v>
      </c>
      <c r="C3522" s="16" t="s">
        <v>538</v>
      </c>
      <c r="D3522" s="16" t="s">
        <v>53</v>
      </c>
      <c r="E3522" s="15" t="s">
        <v>16</v>
      </c>
      <c r="F3522" s="17">
        <v>20000</v>
      </c>
      <c r="G3522" s="17">
        <v>16730</v>
      </c>
      <c r="H3522" s="16" t="s">
        <v>3986</v>
      </c>
      <c r="I3522" s="40" t="s">
        <v>18</v>
      </c>
      <c r="J3522" s="40" t="str">
        <f>HYPERLINK("https://stock.pstatic.net/stock-research/company/40/20260423_company_500375000.pdf","PDF")</f>
        <v>PDF</v>
      </c>
      <c r="K3522" s="15" t="s">
        <v>3987</v>
      </c>
      <c r="L3522" s="20">
        <v>0.19545726240286909</v>
      </c>
    </row>
    <row r="3523" spans="1:12" x14ac:dyDescent="0.45">
      <c r="A3523" s="15" t="s">
        <v>3945</v>
      </c>
      <c r="B3523" s="15" t="s">
        <v>3988</v>
      </c>
      <c r="C3523" s="16" t="s">
        <v>3989</v>
      </c>
      <c r="D3523" s="16" t="s">
        <v>92</v>
      </c>
      <c r="E3523" s="15" t="s">
        <v>50</v>
      </c>
      <c r="F3523" s="16"/>
      <c r="G3523" s="17">
        <v>4495</v>
      </c>
      <c r="H3523" s="16" t="s">
        <v>3990</v>
      </c>
      <c r="I3523" s="40" t="s">
        <v>18</v>
      </c>
      <c r="J3523" s="40" t="str">
        <f>HYPERLINK("https://stock.pstatic.net/stock-research/company/63/20260423_company_217997000.pdf","PDF")</f>
        <v>PDF</v>
      </c>
      <c r="K3523" s="15" t="s">
        <v>3991</v>
      </c>
    </row>
    <row r="3524" spans="1:12" x14ac:dyDescent="0.45">
      <c r="A3524" s="15" t="s">
        <v>3945</v>
      </c>
      <c r="B3524" s="15" t="s">
        <v>3992</v>
      </c>
      <c r="C3524" s="16" t="s">
        <v>3993</v>
      </c>
      <c r="D3524" s="16" t="s">
        <v>179</v>
      </c>
      <c r="E3524" s="15" t="s">
        <v>16</v>
      </c>
      <c r="F3524" s="17">
        <v>24000</v>
      </c>
      <c r="G3524" s="17">
        <v>12720</v>
      </c>
      <c r="H3524" s="16" t="s">
        <v>3994</v>
      </c>
      <c r="I3524" s="40" t="s">
        <v>18</v>
      </c>
      <c r="J3524" s="40" t="str">
        <f>HYPERLINK("https://stock.pstatic.net/stock-research/company/64/20260423_company_127810000.pdf","PDF")</f>
        <v>PDF</v>
      </c>
      <c r="K3524" s="15" t="s">
        <v>3995</v>
      </c>
      <c r="L3524" s="20">
        <v>0.8867924528301887</v>
      </c>
    </row>
    <row r="3525" spans="1:12" x14ac:dyDescent="0.45">
      <c r="A3525" s="15" t="s">
        <v>3945</v>
      </c>
      <c r="B3525" s="15" t="s">
        <v>1081</v>
      </c>
      <c r="C3525" s="16" t="s">
        <v>1082</v>
      </c>
      <c r="D3525" s="16" t="s">
        <v>34</v>
      </c>
      <c r="E3525" s="15" t="s">
        <v>35</v>
      </c>
      <c r="F3525" s="17">
        <v>2200000</v>
      </c>
      <c r="G3525" s="17">
        <v>1561000</v>
      </c>
      <c r="H3525" s="16" t="s">
        <v>3996</v>
      </c>
      <c r="I3525" s="40" t="s">
        <v>18</v>
      </c>
      <c r="J3525" s="40" t="str">
        <f>HYPERLINK("https://stock.pstatic.net/stock-research/company/61/20260423_company_786742000.pdf","PDF")</f>
        <v>PDF</v>
      </c>
      <c r="K3525" s="15" t="s">
        <v>3997</v>
      </c>
      <c r="L3525" s="20">
        <v>0.40935297885970529</v>
      </c>
    </row>
    <row r="3526" spans="1:12" x14ac:dyDescent="0.45">
      <c r="A3526" s="15" t="s">
        <v>3945</v>
      </c>
      <c r="B3526" s="15" t="s">
        <v>511</v>
      </c>
      <c r="C3526" s="16" t="s">
        <v>512</v>
      </c>
      <c r="D3526" s="16" t="s">
        <v>34</v>
      </c>
      <c r="E3526" s="15" t="s">
        <v>35</v>
      </c>
      <c r="F3526" s="17">
        <v>110000</v>
      </c>
      <c r="G3526" s="17">
        <v>85900</v>
      </c>
      <c r="H3526" s="16" t="s">
        <v>3998</v>
      </c>
      <c r="I3526" s="40" t="s">
        <v>18</v>
      </c>
      <c r="J3526" s="40" t="str">
        <f>HYPERLINK("https://stock.pstatic.net/stock-research/company/61/20260423_company_248293000.pdf","PDF")</f>
        <v>PDF</v>
      </c>
      <c r="K3526" s="15" t="s">
        <v>3999</v>
      </c>
      <c r="L3526" s="20">
        <v>0.28055878928987188</v>
      </c>
    </row>
    <row r="3527" spans="1:12" x14ac:dyDescent="0.45">
      <c r="A3527" s="15" t="s">
        <v>3945</v>
      </c>
      <c r="B3527" s="15" t="s">
        <v>1081</v>
      </c>
      <c r="C3527" s="16" t="s">
        <v>1082</v>
      </c>
      <c r="D3527" s="16" t="s">
        <v>44</v>
      </c>
      <c r="E3527" s="15" t="s">
        <v>50</v>
      </c>
      <c r="F3527" s="16"/>
      <c r="G3527" s="17">
        <v>1561000</v>
      </c>
      <c r="H3527" s="16" t="s">
        <v>4000</v>
      </c>
      <c r="I3527" s="40" t="s">
        <v>18</v>
      </c>
      <c r="J3527" s="40" t="str">
        <f>HYPERLINK("https://stock.pstatic.net/stock-research/company/39/20260423_company_729314000.pdf","PDF")</f>
        <v>PDF</v>
      </c>
      <c r="K3527" s="15" t="s">
        <v>4001</v>
      </c>
    </row>
    <row r="3528" spans="1:12" x14ac:dyDescent="0.45">
      <c r="A3528" s="15" t="s">
        <v>3945</v>
      </c>
      <c r="B3528" s="15" t="s">
        <v>383</v>
      </c>
      <c r="C3528" s="16" t="s">
        <v>384</v>
      </c>
      <c r="D3528" s="16" t="s">
        <v>15</v>
      </c>
      <c r="E3528" s="15" t="s">
        <v>50</v>
      </c>
      <c r="F3528" s="16"/>
      <c r="G3528" s="17">
        <v>92900</v>
      </c>
      <c r="H3528" s="16" t="s">
        <v>4002</v>
      </c>
      <c r="I3528" s="40" t="s">
        <v>18</v>
      </c>
      <c r="J3528" s="40" t="str">
        <f>HYPERLINK("https://stock.pstatic.net/stock-research/company/56/20260423_company_742807000.pdf","PDF")</f>
        <v>PDF</v>
      </c>
      <c r="K3528" s="15" t="s">
        <v>4003</v>
      </c>
    </row>
    <row r="3529" spans="1:12" x14ac:dyDescent="0.45">
      <c r="A3529" s="15" t="s">
        <v>3945</v>
      </c>
      <c r="B3529" s="15" t="s">
        <v>4004</v>
      </c>
      <c r="C3529" s="16" t="s">
        <v>4005</v>
      </c>
      <c r="D3529" s="16" t="s">
        <v>23</v>
      </c>
      <c r="E3529" s="15" t="s">
        <v>50</v>
      </c>
      <c r="F3529" s="16"/>
      <c r="G3529" s="17">
        <v>9350</v>
      </c>
      <c r="H3529" s="16" t="s">
        <v>4006</v>
      </c>
      <c r="I3529" s="40" t="s">
        <v>18</v>
      </c>
      <c r="J3529" s="40" t="str">
        <f>HYPERLINK("https://stock.pstatic.net/stock-research/company/21/20260423_company_728353000.pdf","PDF")</f>
        <v>PDF</v>
      </c>
      <c r="K3529" s="15" t="s">
        <v>4007</v>
      </c>
    </row>
    <row r="3530" spans="1:12" x14ac:dyDescent="0.45">
      <c r="A3530" s="15" t="s">
        <v>3945</v>
      </c>
      <c r="B3530" s="15" t="s">
        <v>4008</v>
      </c>
      <c r="C3530" s="16" t="s">
        <v>4009</v>
      </c>
      <c r="D3530" s="16" t="s">
        <v>124</v>
      </c>
      <c r="E3530" s="15" t="s">
        <v>50</v>
      </c>
      <c r="F3530" s="16"/>
      <c r="G3530" s="17">
        <v>2005</v>
      </c>
      <c r="H3530" s="16" t="s">
        <v>4010</v>
      </c>
      <c r="I3530" s="40" t="s">
        <v>18</v>
      </c>
      <c r="J3530" s="40" t="str">
        <f>HYPERLINK("https://stock.pstatic.net/stock-research/company/74/20260423_company_333925000.pdf","PDF")</f>
        <v>PDF</v>
      </c>
      <c r="K3530" s="15" t="s">
        <v>4011</v>
      </c>
    </row>
    <row r="3531" spans="1:12" x14ac:dyDescent="0.45">
      <c r="A3531" s="15" t="s">
        <v>3945</v>
      </c>
      <c r="B3531" s="15" t="s">
        <v>4012</v>
      </c>
      <c r="C3531" s="16" t="s">
        <v>4013</v>
      </c>
      <c r="D3531" s="16" t="s">
        <v>124</v>
      </c>
      <c r="E3531" s="15" t="s">
        <v>50</v>
      </c>
      <c r="F3531" s="16"/>
      <c r="G3531" s="17">
        <v>3100</v>
      </c>
      <c r="H3531" s="16" t="s">
        <v>4014</v>
      </c>
      <c r="I3531" s="40" t="s">
        <v>18</v>
      </c>
      <c r="J3531" s="40" t="str">
        <f>HYPERLINK("https://stock.pstatic.net/stock-research/company/74/20260423_company_587283000.pdf","PDF")</f>
        <v>PDF</v>
      </c>
      <c r="K3531" s="15" t="s">
        <v>4015</v>
      </c>
    </row>
    <row r="3532" spans="1:12" x14ac:dyDescent="0.45">
      <c r="A3532" s="15" t="s">
        <v>4016</v>
      </c>
      <c r="B3532" s="15" t="s">
        <v>3887</v>
      </c>
      <c r="C3532" s="16" t="s">
        <v>3888</v>
      </c>
      <c r="D3532" s="16" t="s">
        <v>276</v>
      </c>
      <c r="E3532" s="15" t="s">
        <v>16</v>
      </c>
      <c r="F3532" s="17">
        <v>83000</v>
      </c>
      <c r="G3532" s="17">
        <v>52800</v>
      </c>
      <c r="H3532" s="16" t="s">
        <v>4017</v>
      </c>
      <c r="I3532" s="40" t="s">
        <v>18</v>
      </c>
      <c r="J3532" s="40" t="str">
        <f>HYPERLINK("https://stock.pstatic.net/stock-research/company/66/20260422_company_197739000.pdf","PDF")</f>
        <v>PDF</v>
      </c>
      <c r="K3532" s="15" t="s">
        <v>4018</v>
      </c>
      <c r="L3532" s="20">
        <v>0.57196969696969702</v>
      </c>
    </row>
    <row r="3533" spans="1:12" x14ac:dyDescent="0.45">
      <c r="A3533" s="15" t="s">
        <v>4016</v>
      </c>
      <c r="B3533" s="15" t="s">
        <v>2887</v>
      </c>
      <c r="C3533" s="16" t="s">
        <v>2888</v>
      </c>
      <c r="D3533" s="16" t="s">
        <v>57</v>
      </c>
      <c r="E3533" s="15" t="s">
        <v>35</v>
      </c>
      <c r="F3533" s="17">
        <v>470000</v>
      </c>
      <c r="G3533" s="17">
        <v>389500</v>
      </c>
      <c r="H3533" s="16" t="s">
        <v>4019</v>
      </c>
      <c r="I3533" s="40" t="s">
        <v>18</v>
      </c>
      <c r="J3533" s="40" t="str">
        <f>HYPERLINK("https://stock.pstatic.net/stock-research/company/16/20260422_company_719876000.pdf","PDF")</f>
        <v>PDF</v>
      </c>
      <c r="K3533" s="15" t="s">
        <v>4020</v>
      </c>
      <c r="L3533" s="20">
        <v>0.20667522464698329</v>
      </c>
    </row>
    <row r="3534" spans="1:12" x14ac:dyDescent="0.45">
      <c r="A3534" s="15" t="s">
        <v>4016</v>
      </c>
      <c r="B3534" s="15" t="s">
        <v>4021</v>
      </c>
      <c r="C3534" s="16" t="s">
        <v>4022</v>
      </c>
      <c r="D3534" s="16" t="s">
        <v>60</v>
      </c>
      <c r="E3534" s="15" t="s">
        <v>35</v>
      </c>
      <c r="F3534" s="17">
        <v>240000</v>
      </c>
      <c r="G3534" s="17">
        <v>184700</v>
      </c>
      <c r="H3534" s="16" t="s">
        <v>4023</v>
      </c>
      <c r="I3534" s="40" t="s">
        <v>18</v>
      </c>
      <c r="J3534" s="40" t="str">
        <f>HYPERLINK("https://stock.pstatic.net/stock-research/company/62/20260422_company_926341000.pdf","PDF")</f>
        <v>PDF</v>
      </c>
      <c r="K3534" s="15" t="s">
        <v>4024</v>
      </c>
      <c r="L3534" s="20">
        <v>0.29940443963183538</v>
      </c>
    </row>
    <row r="3535" spans="1:12" x14ac:dyDescent="0.45">
      <c r="A3535" s="15" t="s">
        <v>4016</v>
      </c>
      <c r="B3535" s="15" t="s">
        <v>330</v>
      </c>
      <c r="C3535" s="16" t="s">
        <v>331</v>
      </c>
      <c r="D3535" s="16" t="s">
        <v>60</v>
      </c>
      <c r="E3535" s="15" t="s">
        <v>50</v>
      </c>
      <c r="F3535" s="16"/>
      <c r="G3535" s="17">
        <v>45450</v>
      </c>
      <c r="H3535" s="16" t="s">
        <v>4025</v>
      </c>
      <c r="I3535" s="40" t="s">
        <v>18</v>
      </c>
      <c r="J3535" s="40" t="str">
        <f>HYPERLINK("https://stock.pstatic.net/stock-research/company/62/20260422_company_787992000.pdf","PDF")</f>
        <v>PDF</v>
      </c>
      <c r="K3535" s="15" t="s">
        <v>4026</v>
      </c>
    </row>
    <row r="3536" spans="1:12" x14ac:dyDescent="0.45">
      <c r="A3536" s="15" t="s">
        <v>4016</v>
      </c>
      <c r="B3536" s="15" t="s">
        <v>102</v>
      </c>
      <c r="C3536" s="16" t="s">
        <v>103</v>
      </c>
      <c r="D3536" s="16" t="s">
        <v>60</v>
      </c>
      <c r="E3536" s="15" t="s">
        <v>35</v>
      </c>
      <c r="F3536" s="17">
        <v>42000</v>
      </c>
      <c r="G3536" s="17">
        <v>33850</v>
      </c>
      <c r="H3536" s="16" t="s">
        <v>4027</v>
      </c>
      <c r="I3536" s="40" t="s">
        <v>18</v>
      </c>
      <c r="J3536" s="40" t="str">
        <f>HYPERLINK("https://stock.pstatic.net/stock-research/company/62/20260422_company_47706000.pdf","PDF")</f>
        <v>PDF</v>
      </c>
      <c r="K3536" s="15" t="s">
        <v>4028</v>
      </c>
      <c r="L3536" s="20">
        <v>0.24076809453471201</v>
      </c>
    </row>
    <row r="3537" spans="1:12" x14ac:dyDescent="0.45">
      <c r="A3537" s="15" t="s">
        <v>4016</v>
      </c>
      <c r="B3537" s="15" t="s">
        <v>110</v>
      </c>
      <c r="C3537" s="16" t="s">
        <v>111</v>
      </c>
      <c r="D3537" s="16" t="s">
        <v>60</v>
      </c>
      <c r="E3537" s="15" t="s">
        <v>35</v>
      </c>
      <c r="F3537" s="17">
        <v>100000</v>
      </c>
      <c r="G3537" s="17">
        <v>79400</v>
      </c>
      <c r="H3537" s="16" t="s">
        <v>4029</v>
      </c>
      <c r="I3537" s="40" t="s">
        <v>18</v>
      </c>
      <c r="J3537" s="40" t="str">
        <f>HYPERLINK("https://stock.pstatic.net/stock-research/company/62/20260422_company_749352000.pdf","PDF")</f>
        <v>PDF</v>
      </c>
      <c r="K3537" s="15" t="s">
        <v>4030</v>
      </c>
      <c r="L3537" s="20">
        <v>0.25944584382871538</v>
      </c>
    </row>
    <row r="3538" spans="1:12" x14ac:dyDescent="0.45">
      <c r="A3538" s="15" t="s">
        <v>4016</v>
      </c>
      <c r="B3538" s="15" t="s">
        <v>1120</v>
      </c>
      <c r="C3538" s="16" t="s">
        <v>1121</v>
      </c>
      <c r="D3538" s="16" t="s">
        <v>60</v>
      </c>
      <c r="E3538" s="15" t="s">
        <v>35</v>
      </c>
      <c r="F3538" s="17">
        <v>190000</v>
      </c>
      <c r="G3538" s="17">
        <v>135400</v>
      </c>
      <c r="H3538" s="16" t="s">
        <v>4031</v>
      </c>
      <c r="I3538" s="40" t="s">
        <v>18</v>
      </c>
      <c r="J3538" s="40" t="str">
        <f>HYPERLINK("https://stock.pstatic.net/stock-research/company/62/20260422_company_64998000.pdf","PDF")</f>
        <v>PDF</v>
      </c>
      <c r="K3538" s="15" t="s">
        <v>4032</v>
      </c>
      <c r="L3538" s="20">
        <v>0.40324963072378139</v>
      </c>
    </row>
    <row r="3539" spans="1:12" x14ac:dyDescent="0.45">
      <c r="A3539" s="15" t="s">
        <v>4016</v>
      </c>
      <c r="B3539" s="15" t="s">
        <v>1773</v>
      </c>
      <c r="C3539" s="16" t="s">
        <v>1774</v>
      </c>
      <c r="D3539" s="16" t="s">
        <v>65</v>
      </c>
      <c r="E3539" s="15" t="s">
        <v>35</v>
      </c>
      <c r="F3539" s="17">
        <v>165000</v>
      </c>
      <c r="G3539" s="17">
        <v>107000</v>
      </c>
      <c r="H3539" s="16" t="s">
        <v>4033</v>
      </c>
      <c r="I3539" s="40" t="s">
        <v>18</v>
      </c>
      <c r="J3539" s="40" t="str">
        <f>HYPERLINK("https://stock.pstatic.net/stock-research/company/57/20260422_company_772911000.pdf","PDF")</f>
        <v>PDF</v>
      </c>
      <c r="K3539" s="15" t="s">
        <v>4034</v>
      </c>
      <c r="L3539" s="20">
        <v>0.54205607476635509</v>
      </c>
    </row>
    <row r="3540" spans="1:12" x14ac:dyDescent="0.45">
      <c r="A3540" s="15" t="s">
        <v>4016</v>
      </c>
      <c r="B3540" s="15" t="s">
        <v>3887</v>
      </c>
      <c r="C3540" s="16" t="s">
        <v>3888</v>
      </c>
      <c r="D3540" s="16" t="s">
        <v>65</v>
      </c>
      <c r="E3540" s="15" t="s">
        <v>35</v>
      </c>
      <c r="F3540" s="17">
        <v>76000</v>
      </c>
      <c r="G3540" s="17">
        <v>52800</v>
      </c>
      <c r="H3540" s="16" t="s">
        <v>4035</v>
      </c>
      <c r="I3540" s="40" t="s">
        <v>18</v>
      </c>
      <c r="J3540" s="40" t="str">
        <f>HYPERLINK("https://stock.pstatic.net/stock-research/company/57/20260422_company_821108000.pdf","PDF")</f>
        <v>PDF</v>
      </c>
      <c r="K3540" s="15" t="s">
        <v>4036</v>
      </c>
      <c r="L3540" s="20">
        <v>0.43939393939393939</v>
      </c>
    </row>
    <row r="3541" spans="1:12" x14ac:dyDescent="0.45">
      <c r="A3541" s="15" t="s">
        <v>4016</v>
      </c>
      <c r="B3541" s="15" t="s">
        <v>4021</v>
      </c>
      <c r="C3541" s="16" t="s">
        <v>4022</v>
      </c>
      <c r="D3541" s="16" t="s">
        <v>65</v>
      </c>
      <c r="E3541" s="15" t="s">
        <v>35</v>
      </c>
      <c r="F3541" s="17">
        <v>220000</v>
      </c>
      <c r="G3541" s="17">
        <v>184700</v>
      </c>
      <c r="H3541" s="16" t="s">
        <v>4037</v>
      </c>
      <c r="I3541" s="40" t="s">
        <v>18</v>
      </c>
      <c r="J3541" s="40" t="str">
        <f>HYPERLINK("https://stock.pstatic.net/stock-research/company/57/20260422_company_865183000.pdf","PDF")</f>
        <v>PDF</v>
      </c>
      <c r="K3541" s="15" t="s">
        <v>4038</v>
      </c>
      <c r="L3541" s="20">
        <v>0.19112073632918239</v>
      </c>
    </row>
    <row r="3542" spans="1:12" x14ac:dyDescent="0.45">
      <c r="A3542" s="15" t="s">
        <v>4016</v>
      </c>
      <c r="B3542" s="15" t="s">
        <v>1120</v>
      </c>
      <c r="C3542" s="16" t="s">
        <v>1121</v>
      </c>
      <c r="D3542" s="16" t="s">
        <v>65</v>
      </c>
      <c r="E3542" s="15" t="s">
        <v>35</v>
      </c>
      <c r="F3542" s="17">
        <v>200000</v>
      </c>
      <c r="G3542" s="17">
        <v>135400</v>
      </c>
      <c r="H3542" s="16" t="s">
        <v>4039</v>
      </c>
      <c r="I3542" s="40" t="s">
        <v>18</v>
      </c>
      <c r="J3542" s="40" t="str">
        <f>HYPERLINK("https://stock.pstatic.net/stock-research/company/57/20260422_company_779873000.pdf","PDF")</f>
        <v>PDF</v>
      </c>
      <c r="K3542" s="15" t="s">
        <v>4040</v>
      </c>
      <c r="L3542" s="20">
        <v>0.47710487444608568</v>
      </c>
    </row>
    <row r="3543" spans="1:12" x14ac:dyDescent="0.45">
      <c r="A3543" s="15" t="s">
        <v>4016</v>
      </c>
      <c r="B3543" s="15" t="s">
        <v>4041</v>
      </c>
      <c r="C3543" s="16" t="s">
        <v>4042</v>
      </c>
      <c r="D3543" s="16" t="s">
        <v>158</v>
      </c>
      <c r="E3543" s="15" t="s">
        <v>35</v>
      </c>
      <c r="F3543" s="17">
        <v>28000</v>
      </c>
      <c r="G3543" s="17">
        <v>17680</v>
      </c>
      <c r="H3543" s="16" t="s">
        <v>4043</v>
      </c>
      <c r="I3543" s="40" t="s">
        <v>18</v>
      </c>
      <c r="J3543" s="40" t="str">
        <f>HYPERLINK("https://stock.pstatic.net/stock-research/company/18/20260422_company_133092000.pdf","PDF")</f>
        <v>PDF</v>
      </c>
      <c r="K3543" s="15" t="s">
        <v>4044</v>
      </c>
      <c r="L3543" s="20">
        <v>0.58371040723981904</v>
      </c>
    </row>
    <row r="3544" spans="1:12" x14ac:dyDescent="0.45">
      <c r="A3544" s="15" t="s">
        <v>4016</v>
      </c>
      <c r="B3544" s="15" t="s">
        <v>4021</v>
      </c>
      <c r="C3544" s="16" t="s">
        <v>4022</v>
      </c>
      <c r="D3544" s="16" t="s">
        <v>158</v>
      </c>
      <c r="E3544" s="15" t="s">
        <v>35</v>
      </c>
      <c r="F3544" s="17">
        <v>260000</v>
      </c>
      <c r="G3544" s="17">
        <v>184700</v>
      </c>
      <c r="H3544" s="16" t="s">
        <v>4045</v>
      </c>
      <c r="I3544" s="40" t="s">
        <v>18</v>
      </c>
      <c r="J3544" s="40" t="str">
        <f>HYPERLINK("https://stock.pstatic.net/stock-research/company/18/20260422_company_818069000.pdf","PDF")</f>
        <v>PDF</v>
      </c>
      <c r="K3544" s="15" t="s">
        <v>4046</v>
      </c>
      <c r="L3544" s="20">
        <v>0.40768814293448841</v>
      </c>
    </row>
    <row r="3545" spans="1:12" x14ac:dyDescent="0.45">
      <c r="A3545" s="15" t="s">
        <v>4016</v>
      </c>
      <c r="B3545" s="15" t="s">
        <v>1741</v>
      </c>
      <c r="C3545" s="16" t="s">
        <v>1742</v>
      </c>
      <c r="D3545" s="16" t="s">
        <v>179</v>
      </c>
      <c r="E3545" s="15" t="s">
        <v>16</v>
      </c>
      <c r="F3545" s="17">
        <v>82000</v>
      </c>
      <c r="G3545" s="17">
        <v>42700</v>
      </c>
      <c r="H3545" s="16" t="s">
        <v>4047</v>
      </c>
      <c r="I3545" s="40" t="s">
        <v>18</v>
      </c>
      <c r="J3545" s="40" t="str">
        <f>HYPERLINK("https://stock.pstatic.net/stock-research/company/64/20260422_company_533998000.pdf","PDF")</f>
        <v>PDF</v>
      </c>
      <c r="K3545" s="15" t="s">
        <v>4048</v>
      </c>
      <c r="L3545" s="20">
        <v>0.92037470725995318</v>
      </c>
    </row>
    <row r="3546" spans="1:12" x14ac:dyDescent="0.45">
      <c r="A3546" s="15" t="s">
        <v>4016</v>
      </c>
      <c r="B3546" s="15" t="s">
        <v>4021</v>
      </c>
      <c r="C3546" s="16" t="s">
        <v>4022</v>
      </c>
      <c r="D3546" s="16" t="s">
        <v>179</v>
      </c>
      <c r="E3546" s="15" t="s">
        <v>16</v>
      </c>
      <c r="F3546" s="17">
        <v>240000</v>
      </c>
      <c r="G3546" s="17">
        <v>184700</v>
      </c>
      <c r="H3546" s="16" t="s">
        <v>4049</v>
      </c>
      <c r="I3546" s="40" t="s">
        <v>18</v>
      </c>
      <c r="J3546" s="40" t="str">
        <f>HYPERLINK("https://stock.pstatic.net/stock-research/company/64/20260422_company_995691000.pdf","PDF")</f>
        <v>PDF</v>
      </c>
      <c r="K3546" s="15" t="s">
        <v>4050</v>
      </c>
      <c r="L3546" s="20">
        <v>0.29940443963183538</v>
      </c>
    </row>
    <row r="3547" spans="1:12" x14ac:dyDescent="0.45">
      <c r="A3547" s="15" t="s">
        <v>4016</v>
      </c>
      <c r="B3547" s="15" t="s">
        <v>426</v>
      </c>
      <c r="C3547" s="16" t="s">
        <v>427</v>
      </c>
      <c r="D3547" s="16" t="s">
        <v>179</v>
      </c>
      <c r="E3547" s="15" t="s">
        <v>16</v>
      </c>
      <c r="F3547" s="17">
        <v>25000</v>
      </c>
      <c r="G3547" s="17">
        <v>15350</v>
      </c>
      <c r="H3547" s="16" t="s">
        <v>4051</v>
      </c>
      <c r="I3547" s="40" t="s">
        <v>18</v>
      </c>
      <c r="J3547" s="40" t="str">
        <f>HYPERLINK("https://stock.pstatic.net/stock-research/company/64/20260422_company_187733000.pdf","PDF")</f>
        <v>PDF</v>
      </c>
      <c r="K3547" s="15" t="s">
        <v>4052</v>
      </c>
      <c r="L3547" s="20">
        <v>0.62866449511400646</v>
      </c>
    </row>
    <row r="3548" spans="1:12" x14ac:dyDescent="0.45">
      <c r="A3548" s="15" t="s">
        <v>4016</v>
      </c>
      <c r="B3548" s="15" t="s">
        <v>740</v>
      </c>
      <c r="C3548" s="16" t="s">
        <v>741</v>
      </c>
      <c r="D3548" s="16" t="s">
        <v>179</v>
      </c>
      <c r="E3548" s="15" t="s">
        <v>16</v>
      </c>
      <c r="F3548" s="17">
        <v>600000</v>
      </c>
      <c r="G3548" s="17">
        <v>425000</v>
      </c>
      <c r="H3548" s="16" t="s">
        <v>4053</v>
      </c>
      <c r="I3548" s="40" t="s">
        <v>18</v>
      </c>
      <c r="J3548" s="40" t="str">
        <f>HYPERLINK("https://stock.pstatic.net/stock-research/company/64/20260422_company_987531000.pdf","PDF")</f>
        <v>PDF</v>
      </c>
      <c r="K3548" s="15" t="s">
        <v>4054</v>
      </c>
      <c r="L3548" s="20">
        <v>0.41176470588235292</v>
      </c>
    </row>
    <row r="3549" spans="1:12" x14ac:dyDescent="0.45">
      <c r="A3549" s="15" t="s">
        <v>4016</v>
      </c>
      <c r="B3549" s="15" t="s">
        <v>118</v>
      </c>
      <c r="C3549" s="16" t="s">
        <v>119</v>
      </c>
      <c r="D3549" s="16" t="s">
        <v>179</v>
      </c>
      <c r="E3549" s="15" t="s">
        <v>50</v>
      </c>
      <c r="F3549" s="16"/>
      <c r="G3549" s="17">
        <v>101700</v>
      </c>
      <c r="H3549" s="16" t="s">
        <v>4055</v>
      </c>
      <c r="I3549" s="40" t="s">
        <v>18</v>
      </c>
      <c r="J3549" s="40" t="str">
        <f>HYPERLINK("https://stock.pstatic.net/stock-research/company/64/20260422_company_35685000.pdf","PDF")</f>
        <v>PDF</v>
      </c>
      <c r="K3549" s="15" t="s">
        <v>4056</v>
      </c>
    </row>
    <row r="3550" spans="1:12" x14ac:dyDescent="0.45">
      <c r="A3550" s="15" t="s">
        <v>4016</v>
      </c>
      <c r="B3550" s="15" t="s">
        <v>2960</v>
      </c>
      <c r="C3550" s="16" t="s">
        <v>2961</v>
      </c>
      <c r="D3550" s="16" t="s">
        <v>179</v>
      </c>
      <c r="E3550" s="15" t="s">
        <v>50</v>
      </c>
      <c r="F3550" s="16"/>
      <c r="G3550" s="17">
        <v>53900</v>
      </c>
      <c r="H3550" s="16" t="s">
        <v>4057</v>
      </c>
      <c r="I3550" s="40" t="s">
        <v>18</v>
      </c>
      <c r="J3550" s="40" t="str">
        <f>HYPERLINK("https://stock.pstatic.net/stock-research/company/64/20260422_company_735667000.pdf","PDF")</f>
        <v>PDF</v>
      </c>
      <c r="K3550" s="15" t="s">
        <v>4058</v>
      </c>
    </row>
    <row r="3551" spans="1:12" x14ac:dyDescent="0.45">
      <c r="A3551" s="15" t="s">
        <v>4016</v>
      </c>
      <c r="B3551" s="15" t="s">
        <v>2382</v>
      </c>
      <c r="C3551" s="16" t="s">
        <v>2383</v>
      </c>
      <c r="D3551" s="16" t="s">
        <v>179</v>
      </c>
      <c r="E3551" s="15" t="s">
        <v>50</v>
      </c>
      <c r="F3551" s="16"/>
      <c r="G3551" s="17">
        <v>48000</v>
      </c>
      <c r="H3551" s="16" t="s">
        <v>4059</v>
      </c>
      <c r="I3551" s="40" t="s">
        <v>18</v>
      </c>
      <c r="J3551" s="40" t="str">
        <f>HYPERLINK("https://stock.pstatic.net/stock-research/company/64/20260422_company_655244000.pdf","PDF")</f>
        <v>PDF</v>
      </c>
      <c r="K3551" s="15" t="s">
        <v>4060</v>
      </c>
    </row>
    <row r="3552" spans="1:12" x14ac:dyDescent="0.45">
      <c r="A3552" s="15" t="s">
        <v>4016</v>
      </c>
      <c r="B3552" s="15" t="s">
        <v>344</v>
      </c>
      <c r="C3552" s="16" t="s">
        <v>345</v>
      </c>
      <c r="D3552" s="16" t="s">
        <v>179</v>
      </c>
      <c r="E3552" s="15" t="s">
        <v>16</v>
      </c>
      <c r="F3552" s="17">
        <v>20000</v>
      </c>
      <c r="G3552" s="17">
        <v>13830</v>
      </c>
      <c r="H3552" s="16" t="s">
        <v>4061</v>
      </c>
      <c r="I3552" s="40" t="s">
        <v>18</v>
      </c>
      <c r="J3552" s="40" t="str">
        <f>HYPERLINK("https://stock.pstatic.net/stock-research/company/64/20260422_company_645989000.pdf","PDF")</f>
        <v>PDF</v>
      </c>
      <c r="K3552" s="15" t="s">
        <v>4062</v>
      </c>
      <c r="L3552" s="20">
        <v>0.44613159797541568</v>
      </c>
    </row>
    <row r="3553" spans="1:12" x14ac:dyDescent="0.45">
      <c r="A3553" s="15" t="s">
        <v>4016</v>
      </c>
      <c r="B3553" s="15" t="s">
        <v>1019</v>
      </c>
      <c r="C3553" s="16" t="s">
        <v>1020</v>
      </c>
      <c r="D3553" s="16" t="s">
        <v>179</v>
      </c>
      <c r="E3553" s="15" t="s">
        <v>16</v>
      </c>
      <c r="F3553" s="17">
        <v>31000</v>
      </c>
      <c r="G3553" s="17">
        <v>19740</v>
      </c>
      <c r="H3553" s="16" t="s">
        <v>4063</v>
      </c>
      <c r="I3553" s="40" t="s">
        <v>18</v>
      </c>
      <c r="J3553" s="40" t="str">
        <f>HYPERLINK("https://stock.pstatic.net/stock-research/company/64/20260422_company_161570000.pdf","PDF")</f>
        <v>PDF</v>
      </c>
      <c r="K3553" s="15" t="s">
        <v>4064</v>
      </c>
      <c r="L3553" s="20">
        <v>0.57041540020263426</v>
      </c>
    </row>
    <row r="3554" spans="1:12" x14ac:dyDescent="0.45">
      <c r="A3554" s="15" t="s">
        <v>4016</v>
      </c>
      <c r="B3554" s="15" t="s">
        <v>370</v>
      </c>
      <c r="C3554" s="16" t="s">
        <v>371</v>
      </c>
      <c r="D3554" s="16" t="s">
        <v>179</v>
      </c>
      <c r="E3554" s="15" t="s">
        <v>16</v>
      </c>
      <c r="F3554" s="17">
        <v>82000</v>
      </c>
      <c r="G3554" s="17">
        <v>53800</v>
      </c>
      <c r="H3554" s="16" t="s">
        <v>4065</v>
      </c>
      <c r="I3554" s="40" t="s">
        <v>18</v>
      </c>
      <c r="J3554" s="40" t="str">
        <f>HYPERLINK("https://stock.pstatic.net/stock-research/company/64/20260422_company_591375000.pdf","PDF")</f>
        <v>PDF</v>
      </c>
      <c r="K3554" s="15" t="s">
        <v>4066</v>
      </c>
      <c r="L3554" s="20">
        <v>0.52416356877323422</v>
      </c>
    </row>
    <row r="3555" spans="1:12" x14ac:dyDescent="0.45">
      <c r="A3555" s="15" t="s">
        <v>4016</v>
      </c>
      <c r="B3555" s="15" t="s">
        <v>1648</v>
      </c>
      <c r="C3555" s="16" t="s">
        <v>1649</v>
      </c>
      <c r="D3555" s="16" t="s">
        <v>179</v>
      </c>
      <c r="E3555" s="15" t="s">
        <v>16</v>
      </c>
      <c r="F3555" s="17">
        <v>134000</v>
      </c>
      <c r="G3555" s="17">
        <v>93000</v>
      </c>
      <c r="H3555" s="16" t="s">
        <v>4067</v>
      </c>
      <c r="I3555" s="40" t="s">
        <v>18</v>
      </c>
      <c r="J3555" s="40" t="str">
        <f>HYPERLINK("https://stock.pstatic.net/stock-research/company/64/20260422_company_651345000.pdf","PDF")</f>
        <v>PDF</v>
      </c>
      <c r="K3555" s="15" t="s">
        <v>4068</v>
      </c>
      <c r="L3555" s="20">
        <v>0.44086021505376338</v>
      </c>
    </row>
    <row r="3556" spans="1:12" x14ac:dyDescent="0.45">
      <c r="A3556" s="15" t="s">
        <v>4016</v>
      </c>
      <c r="B3556" s="15" t="s">
        <v>1278</v>
      </c>
      <c r="C3556" s="16" t="s">
        <v>1279</v>
      </c>
      <c r="D3556" s="16" t="s">
        <v>83</v>
      </c>
      <c r="E3556" s="15" t="s">
        <v>35</v>
      </c>
      <c r="F3556" s="17">
        <v>335000</v>
      </c>
      <c r="G3556" s="17">
        <v>262000</v>
      </c>
      <c r="H3556" s="16" t="s">
        <v>4069</v>
      </c>
      <c r="I3556" s="40" t="s">
        <v>18</v>
      </c>
      <c r="J3556" s="40" t="str">
        <f>HYPERLINK("https://stock.pstatic.net/stock-research/company/15/20260422_company_163687000.pdf","PDF")</f>
        <v>PDF</v>
      </c>
      <c r="K3556" s="15" t="s">
        <v>4070</v>
      </c>
      <c r="L3556" s="20">
        <v>0.2786259541984733</v>
      </c>
    </row>
    <row r="3557" spans="1:12" x14ac:dyDescent="0.45">
      <c r="A3557" s="15" t="s">
        <v>4016</v>
      </c>
      <c r="B3557" s="15" t="s">
        <v>4021</v>
      </c>
      <c r="C3557" s="16" t="s">
        <v>4022</v>
      </c>
      <c r="D3557" s="16" t="s">
        <v>83</v>
      </c>
      <c r="E3557" s="15" t="s">
        <v>35</v>
      </c>
      <c r="F3557" s="17">
        <v>217000</v>
      </c>
      <c r="G3557" s="17">
        <v>184700</v>
      </c>
      <c r="H3557" s="16" t="s">
        <v>4071</v>
      </c>
      <c r="I3557" s="40" t="s">
        <v>18</v>
      </c>
      <c r="J3557" s="40" t="str">
        <f>HYPERLINK("https://stock.pstatic.net/stock-research/company/15/20260422_company_94143000.pdf","PDF")</f>
        <v>PDF</v>
      </c>
      <c r="K3557" s="15" t="s">
        <v>4072</v>
      </c>
      <c r="L3557" s="20">
        <v>0.17487818083378451</v>
      </c>
    </row>
    <row r="3558" spans="1:12" x14ac:dyDescent="0.45">
      <c r="A3558" s="15" t="s">
        <v>4016</v>
      </c>
      <c r="B3558" s="15" t="s">
        <v>1449</v>
      </c>
      <c r="C3558" s="16" t="s">
        <v>1450</v>
      </c>
      <c r="D3558" s="16" t="s">
        <v>83</v>
      </c>
      <c r="E3558" s="15" t="s">
        <v>35</v>
      </c>
      <c r="F3558" s="17">
        <v>58000</v>
      </c>
      <c r="G3558" s="17">
        <v>46600</v>
      </c>
      <c r="H3558" s="16" t="s">
        <v>4073</v>
      </c>
      <c r="I3558" s="40" t="s">
        <v>18</v>
      </c>
      <c r="J3558" s="40" t="str">
        <f>HYPERLINK("https://stock.pstatic.net/stock-research/company/15/20260422_company_52326000.pdf","PDF")</f>
        <v>PDF</v>
      </c>
      <c r="K3558" s="15" t="s">
        <v>4074</v>
      </c>
      <c r="L3558" s="20">
        <v>0.24463519313304721</v>
      </c>
    </row>
    <row r="3559" spans="1:12" x14ac:dyDescent="0.45">
      <c r="A3559" s="15" t="s">
        <v>4016</v>
      </c>
      <c r="B3559" s="15" t="s">
        <v>32</v>
      </c>
      <c r="C3559" s="16" t="s">
        <v>33</v>
      </c>
      <c r="D3559" s="16" t="s">
        <v>83</v>
      </c>
      <c r="E3559" s="15" t="s">
        <v>35</v>
      </c>
      <c r="F3559" s="17">
        <v>920000</v>
      </c>
      <c r="G3559" s="17">
        <v>772000</v>
      </c>
      <c r="H3559" s="16" t="s">
        <v>4075</v>
      </c>
      <c r="I3559" s="40" t="s">
        <v>18</v>
      </c>
      <c r="J3559" s="40" t="str">
        <f>HYPERLINK("https://stock.pstatic.net/stock-research/company/15/20260422_company_615574000.pdf","PDF")</f>
        <v>PDF</v>
      </c>
      <c r="K3559" s="15" t="s">
        <v>4076</v>
      </c>
      <c r="L3559" s="20">
        <v>0.19170984455958551</v>
      </c>
    </row>
    <row r="3560" spans="1:12" x14ac:dyDescent="0.45">
      <c r="A3560" s="15" t="s">
        <v>4016</v>
      </c>
      <c r="B3560" s="15" t="s">
        <v>259</v>
      </c>
      <c r="C3560" s="16" t="s">
        <v>260</v>
      </c>
      <c r="D3560" s="16" t="s">
        <v>179</v>
      </c>
      <c r="E3560" s="15" t="s">
        <v>16</v>
      </c>
      <c r="F3560" s="17">
        <v>92000</v>
      </c>
      <c r="G3560" s="17">
        <v>61700</v>
      </c>
      <c r="H3560" s="16" t="s">
        <v>4077</v>
      </c>
      <c r="I3560" s="40" t="s">
        <v>18</v>
      </c>
      <c r="J3560" s="40" t="str">
        <f>HYPERLINK("https://stock.pstatic.net/stock-research/company/64/20260422_company_601127000.pdf","PDF")</f>
        <v>PDF</v>
      </c>
      <c r="K3560" s="15" t="s">
        <v>4078</v>
      </c>
      <c r="L3560" s="20">
        <v>0.49108589951377629</v>
      </c>
    </row>
    <row r="3561" spans="1:12" x14ac:dyDescent="0.45">
      <c r="A3561" s="15" t="s">
        <v>4016</v>
      </c>
      <c r="B3561" s="15" t="s">
        <v>4079</v>
      </c>
      <c r="C3561" s="16" t="s">
        <v>4080</v>
      </c>
      <c r="D3561" s="16" t="s">
        <v>179</v>
      </c>
      <c r="E3561" s="15" t="s">
        <v>50</v>
      </c>
      <c r="F3561" s="16"/>
      <c r="G3561" s="17">
        <v>17940</v>
      </c>
      <c r="H3561" s="16" t="s">
        <v>4081</v>
      </c>
      <c r="I3561" s="40" t="s">
        <v>18</v>
      </c>
      <c r="J3561" s="40" t="str">
        <f>HYPERLINK("https://stock.pstatic.net/stock-research/company/64/20260422_company_192296000.pdf","PDF")</f>
        <v>PDF</v>
      </c>
      <c r="K3561" s="15" t="s">
        <v>4082</v>
      </c>
    </row>
    <row r="3562" spans="1:12" x14ac:dyDescent="0.45">
      <c r="A3562" s="15" t="s">
        <v>4016</v>
      </c>
      <c r="B3562" s="15" t="s">
        <v>156</v>
      </c>
      <c r="C3562" s="16" t="s">
        <v>157</v>
      </c>
      <c r="D3562" s="16" t="s">
        <v>92</v>
      </c>
      <c r="E3562" s="15" t="s">
        <v>35</v>
      </c>
      <c r="F3562" s="17">
        <v>5250</v>
      </c>
      <c r="G3562" s="17">
        <v>4250</v>
      </c>
      <c r="H3562" s="16" t="s">
        <v>4083</v>
      </c>
      <c r="I3562" s="40" t="s">
        <v>18</v>
      </c>
      <c r="J3562" s="40" t="str">
        <f>HYPERLINK("https://stock.pstatic.net/stock-research/company/63/20260422_company_547494000.pdf","PDF")</f>
        <v>PDF</v>
      </c>
      <c r="K3562" s="15" t="s">
        <v>4084</v>
      </c>
      <c r="L3562" s="20">
        <v>0.23529411764705879</v>
      </c>
    </row>
    <row r="3563" spans="1:12" x14ac:dyDescent="0.45">
      <c r="A3563" s="15" t="s">
        <v>4016</v>
      </c>
      <c r="B3563" s="15" t="s">
        <v>4021</v>
      </c>
      <c r="C3563" s="16" t="s">
        <v>4022</v>
      </c>
      <c r="D3563" s="16" t="s">
        <v>92</v>
      </c>
      <c r="E3563" s="15" t="s">
        <v>35</v>
      </c>
      <c r="F3563" s="17">
        <v>200000</v>
      </c>
      <c r="G3563" s="17">
        <v>184700</v>
      </c>
      <c r="H3563" s="16" t="s">
        <v>4085</v>
      </c>
      <c r="I3563" s="40" t="s">
        <v>18</v>
      </c>
      <c r="J3563" s="40" t="str">
        <f>HYPERLINK("https://stock.pstatic.net/stock-research/company/63/20260422_company_402235000.pdf","PDF")</f>
        <v>PDF</v>
      </c>
      <c r="K3563" s="15" t="s">
        <v>4086</v>
      </c>
      <c r="L3563" s="20">
        <v>8.2837033026529505E-2</v>
      </c>
    </row>
    <row r="3564" spans="1:12" x14ac:dyDescent="0.45">
      <c r="A3564" s="15" t="s">
        <v>4016</v>
      </c>
      <c r="B3564" s="15" t="s">
        <v>1799</v>
      </c>
      <c r="C3564" s="16" t="s">
        <v>1800</v>
      </c>
      <c r="D3564" s="16" t="s">
        <v>179</v>
      </c>
      <c r="E3564" s="15" t="s">
        <v>16</v>
      </c>
      <c r="F3564" s="17">
        <v>8100</v>
      </c>
      <c r="G3564" s="17">
        <v>5800</v>
      </c>
      <c r="H3564" s="16" t="s">
        <v>4087</v>
      </c>
      <c r="I3564" s="40" t="s">
        <v>18</v>
      </c>
      <c r="J3564" s="40" t="str">
        <f>HYPERLINK("https://stock.pstatic.net/stock-research/company/64/20260422_company_159082000.pdf","PDF")</f>
        <v>PDF</v>
      </c>
      <c r="K3564" s="15" t="s">
        <v>4088</v>
      </c>
      <c r="L3564" s="20">
        <v>0.39655172413793099</v>
      </c>
    </row>
    <row r="3565" spans="1:12" x14ac:dyDescent="0.45">
      <c r="A3565" s="15" t="s">
        <v>4016</v>
      </c>
      <c r="B3565" s="15" t="s">
        <v>1602</v>
      </c>
      <c r="C3565" s="16" t="s">
        <v>1603</v>
      </c>
      <c r="D3565" s="16" t="s">
        <v>92</v>
      </c>
      <c r="E3565" s="15" t="s">
        <v>35</v>
      </c>
      <c r="F3565" s="17">
        <v>65000</v>
      </c>
      <c r="G3565" s="17">
        <v>56700</v>
      </c>
      <c r="H3565" s="16" t="s">
        <v>4089</v>
      </c>
      <c r="I3565" s="40" t="s">
        <v>18</v>
      </c>
      <c r="J3565" s="40" t="str">
        <f>HYPERLINK("https://stock.pstatic.net/stock-research/company/63/20260422_company_681569000.pdf","PDF")</f>
        <v>PDF</v>
      </c>
      <c r="K3565" s="15" t="s">
        <v>4090</v>
      </c>
      <c r="L3565" s="20">
        <v>0.14638447971781299</v>
      </c>
    </row>
    <row r="3566" spans="1:12" x14ac:dyDescent="0.45">
      <c r="A3566" s="15" t="s">
        <v>4016</v>
      </c>
      <c r="B3566" s="15" t="s">
        <v>4021</v>
      </c>
      <c r="C3566" s="16" t="s">
        <v>4022</v>
      </c>
      <c r="D3566" s="16" t="s">
        <v>23</v>
      </c>
      <c r="E3566" s="15" t="s">
        <v>16</v>
      </c>
      <c r="F3566" s="17">
        <v>210000</v>
      </c>
      <c r="G3566" s="17">
        <v>184700</v>
      </c>
      <c r="H3566" s="16" t="s">
        <v>4091</v>
      </c>
      <c r="I3566" s="40" t="s">
        <v>18</v>
      </c>
      <c r="J3566" s="40" t="str">
        <f>HYPERLINK("https://stock.pstatic.net/stock-research/company/21/20260422_company_823388000.pdf","PDF")</f>
        <v>PDF</v>
      </c>
      <c r="K3566" s="15" t="s">
        <v>4092</v>
      </c>
      <c r="L3566" s="20">
        <v>0.13697888467785599</v>
      </c>
    </row>
    <row r="3567" spans="1:12" x14ac:dyDescent="0.45">
      <c r="A3567" s="15" t="s">
        <v>4016</v>
      </c>
      <c r="B3567" s="15" t="s">
        <v>3349</v>
      </c>
      <c r="C3567" s="16" t="s">
        <v>3350</v>
      </c>
      <c r="D3567" s="16" t="s">
        <v>23</v>
      </c>
      <c r="E3567" s="15" t="s">
        <v>16</v>
      </c>
      <c r="F3567" s="17">
        <v>32000</v>
      </c>
      <c r="G3567" s="17">
        <v>23200</v>
      </c>
      <c r="H3567" s="16" t="s">
        <v>4093</v>
      </c>
      <c r="I3567" s="40" t="s">
        <v>18</v>
      </c>
      <c r="J3567" s="40" t="str">
        <f>HYPERLINK("https://stock.pstatic.net/stock-research/company/21/20260422_company_983703000.pdf","PDF")</f>
        <v>PDF</v>
      </c>
      <c r="K3567" s="15" t="s">
        <v>4094</v>
      </c>
      <c r="L3567" s="20">
        <v>0.37931034482758619</v>
      </c>
    </row>
    <row r="3568" spans="1:12" x14ac:dyDescent="0.45">
      <c r="A3568" s="15" t="s">
        <v>4016</v>
      </c>
      <c r="B3568" s="15" t="s">
        <v>4095</v>
      </c>
      <c r="C3568" s="16" t="s">
        <v>4096</v>
      </c>
      <c r="D3568" s="16" t="s">
        <v>23</v>
      </c>
      <c r="E3568" s="15" t="s">
        <v>16</v>
      </c>
      <c r="F3568" s="17">
        <v>200000</v>
      </c>
      <c r="G3568" s="17">
        <v>158900</v>
      </c>
      <c r="H3568" s="16" t="s">
        <v>4097</v>
      </c>
      <c r="I3568" s="40" t="s">
        <v>18</v>
      </c>
      <c r="J3568" s="40" t="str">
        <f>HYPERLINK("https://stock.pstatic.net/stock-research/company/21/20260422_company_82729000.pdf","PDF")</f>
        <v>PDF</v>
      </c>
      <c r="K3568" s="15" t="s">
        <v>4098</v>
      </c>
      <c r="L3568" s="20">
        <v>0.25865324103209558</v>
      </c>
    </row>
    <row r="3569" spans="1:12" x14ac:dyDescent="0.45">
      <c r="A3569" s="15" t="s">
        <v>4016</v>
      </c>
      <c r="B3569" s="15" t="s">
        <v>330</v>
      </c>
      <c r="C3569" s="16" t="s">
        <v>331</v>
      </c>
      <c r="D3569" s="16" t="s">
        <v>92</v>
      </c>
      <c r="E3569" s="15" t="s">
        <v>35</v>
      </c>
      <c r="F3569" s="17">
        <v>50000</v>
      </c>
      <c r="G3569" s="17">
        <v>45450</v>
      </c>
      <c r="H3569" s="16" t="s">
        <v>4099</v>
      </c>
      <c r="I3569" s="40" t="s">
        <v>18</v>
      </c>
      <c r="J3569" s="40" t="str">
        <f>HYPERLINK("https://stock.pstatic.net/stock-research/company/63/20260422_company_86788000.pdf","PDF")</f>
        <v>PDF</v>
      </c>
      <c r="K3569" s="15" t="s">
        <v>4100</v>
      </c>
      <c r="L3569" s="20">
        <v>0.1001100110011001</v>
      </c>
    </row>
    <row r="3570" spans="1:12" x14ac:dyDescent="0.45">
      <c r="A3570" s="15" t="s">
        <v>4016</v>
      </c>
      <c r="B3570" s="15" t="s">
        <v>1087</v>
      </c>
      <c r="C3570" s="16" t="s">
        <v>1088</v>
      </c>
      <c r="D3570" s="16" t="s">
        <v>44</v>
      </c>
      <c r="E3570" s="15" t="s">
        <v>35</v>
      </c>
      <c r="F3570" s="17">
        <v>190000</v>
      </c>
      <c r="G3570" s="17">
        <v>135800</v>
      </c>
      <c r="H3570" s="16" t="s">
        <v>4101</v>
      </c>
      <c r="I3570" s="40" t="s">
        <v>18</v>
      </c>
      <c r="J3570" s="40" t="str">
        <f>HYPERLINK("https://stock.pstatic.net/stock-research/company/39/20260422_company_194107000.pdf","PDF")</f>
        <v>PDF</v>
      </c>
      <c r="K3570" s="15" t="s">
        <v>4102</v>
      </c>
      <c r="L3570" s="20">
        <v>0.39911634756995579</v>
      </c>
    </row>
    <row r="3571" spans="1:12" x14ac:dyDescent="0.45">
      <c r="A3571" s="15" t="s">
        <v>4016</v>
      </c>
      <c r="B3571" s="15" t="s">
        <v>3355</v>
      </c>
      <c r="C3571" s="16" t="s">
        <v>3356</v>
      </c>
      <c r="D3571" s="16" t="s">
        <v>44</v>
      </c>
      <c r="E3571" s="15" t="s">
        <v>35</v>
      </c>
      <c r="F3571" s="17">
        <v>60000</v>
      </c>
      <c r="G3571" s="17">
        <v>44900</v>
      </c>
      <c r="H3571" s="16" t="s">
        <v>4103</v>
      </c>
      <c r="I3571" s="40" t="s">
        <v>18</v>
      </c>
      <c r="J3571" s="40" t="str">
        <f>HYPERLINK("https://stock.pstatic.net/stock-research/company/39/20260422_company_843092000.pdf","PDF")</f>
        <v>PDF</v>
      </c>
      <c r="K3571" s="15" t="s">
        <v>4104</v>
      </c>
      <c r="L3571" s="20">
        <v>0.33630289532293989</v>
      </c>
    </row>
    <row r="3572" spans="1:12" x14ac:dyDescent="0.45">
      <c r="A3572" s="15" t="s">
        <v>4016</v>
      </c>
      <c r="B3572" s="15" t="s">
        <v>4105</v>
      </c>
      <c r="C3572" s="16" t="s">
        <v>4106</v>
      </c>
      <c r="D3572" s="16" t="s">
        <v>124</v>
      </c>
      <c r="E3572" s="15" t="s">
        <v>50</v>
      </c>
      <c r="F3572" s="16"/>
      <c r="G3572" s="16"/>
      <c r="H3572" s="16" t="s">
        <v>4107</v>
      </c>
      <c r="I3572" s="40" t="s">
        <v>18</v>
      </c>
      <c r="J3572" s="40" t="str">
        <f>HYPERLINK("https://stock.pstatic.net/stock-research/company/74/20260422_company_862359000.pdf","PDF")</f>
        <v>PDF</v>
      </c>
      <c r="K3572" s="15" t="s">
        <v>4108</v>
      </c>
    </row>
    <row r="3573" spans="1:12" x14ac:dyDescent="0.45">
      <c r="A3573" s="15" t="s">
        <v>4016</v>
      </c>
      <c r="B3573" s="15" t="s">
        <v>4109</v>
      </c>
      <c r="C3573" s="16" t="s">
        <v>4110</v>
      </c>
      <c r="D3573" s="16" t="s">
        <v>124</v>
      </c>
      <c r="E3573" s="15" t="s">
        <v>50</v>
      </c>
      <c r="F3573" s="16"/>
      <c r="G3573" s="16"/>
      <c r="H3573" s="16" t="s">
        <v>4111</v>
      </c>
      <c r="I3573" s="40" t="s">
        <v>18</v>
      </c>
      <c r="J3573" s="40" t="str">
        <f>HYPERLINK("https://stock.pstatic.net/stock-research/company/74/20260422_company_334034000.pdf","PDF")</f>
        <v>PDF</v>
      </c>
      <c r="K3573" s="15" t="s">
        <v>4112</v>
      </c>
    </row>
    <row r="3574" spans="1:12" x14ac:dyDescent="0.45">
      <c r="A3574" s="15" t="s">
        <v>4016</v>
      </c>
      <c r="B3574" s="15" t="s">
        <v>132</v>
      </c>
      <c r="C3574" s="16" t="s">
        <v>133</v>
      </c>
      <c r="D3574" s="16" t="s">
        <v>53</v>
      </c>
      <c r="E3574" s="15" t="s">
        <v>16</v>
      </c>
      <c r="F3574" s="17">
        <v>130000</v>
      </c>
      <c r="G3574" s="17">
        <v>92300</v>
      </c>
      <c r="H3574" s="16" t="s">
        <v>4113</v>
      </c>
      <c r="I3574" s="40" t="s">
        <v>18</v>
      </c>
      <c r="J3574" s="40" t="str">
        <f>HYPERLINK("https://stock.pstatic.net/stock-research/company/40/20260422_company_505919000.pdf","PDF")</f>
        <v>PDF</v>
      </c>
      <c r="K3574" s="15" t="s">
        <v>4114</v>
      </c>
      <c r="L3574" s="20">
        <v>0.40845070422535212</v>
      </c>
    </row>
    <row r="3575" spans="1:12" x14ac:dyDescent="0.45">
      <c r="A3575" s="15" t="s">
        <v>4016</v>
      </c>
      <c r="B3575" s="15" t="s">
        <v>4115</v>
      </c>
      <c r="C3575" s="16" t="s">
        <v>4116</v>
      </c>
      <c r="D3575" s="16" t="s">
        <v>124</v>
      </c>
      <c r="E3575" s="15" t="s">
        <v>50</v>
      </c>
      <c r="F3575" s="16"/>
      <c r="G3575" s="17">
        <v>2515</v>
      </c>
      <c r="H3575" s="16" t="s">
        <v>4117</v>
      </c>
      <c r="I3575" s="40" t="s">
        <v>18</v>
      </c>
      <c r="J3575" s="40" t="str">
        <f>HYPERLINK("https://stock.pstatic.net/stock-research/company/74/20260422_company_438371000.pdf","PDF")</f>
        <v>PDF</v>
      </c>
      <c r="K3575" s="15" t="s">
        <v>4118</v>
      </c>
    </row>
    <row r="3576" spans="1:12" x14ac:dyDescent="0.45">
      <c r="A3576" s="15" t="s">
        <v>4016</v>
      </c>
      <c r="B3576" s="15" t="s">
        <v>4119</v>
      </c>
      <c r="C3576" s="16" t="s">
        <v>4120</v>
      </c>
      <c r="D3576" s="16" t="s">
        <v>124</v>
      </c>
      <c r="E3576" s="15" t="s">
        <v>50</v>
      </c>
      <c r="F3576" s="16"/>
      <c r="G3576" s="17">
        <v>7860</v>
      </c>
      <c r="H3576" s="16" t="s">
        <v>4121</v>
      </c>
      <c r="I3576" s="40" t="s">
        <v>18</v>
      </c>
      <c r="J3576" s="40" t="str">
        <f>HYPERLINK("https://stock.pstatic.net/stock-research/company/74/20260422_company_578620000.pdf","PDF")</f>
        <v>PDF</v>
      </c>
      <c r="K3576" s="15" t="s">
        <v>4122</v>
      </c>
    </row>
    <row r="3577" spans="1:12" x14ac:dyDescent="0.45">
      <c r="A3577" s="15" t="s">
        <v>4016</v>
      </c>
      <c r="B3577" s="15" t="s">
        <v>2831</v>
      </c>
      <c r="C3577" s="16" t="s">
        <v>2832</v>
      </c>
      <c r="D3577" s="16" t="s">
        <v>124</v>
      </c>
      <c r="E3577" s="15" t="s">
        <v>50</v>
      </c>
      <c r="F3577" s="16"/>
      <c r="G3577" s="17">
        <v>89700</v>
      </c>
      <c r="H3577" s="16" t="s">
        <v>4123</v>
      </c>
      <c r="I3577" s="40" t="s">
        <v>18</v>
      </c>
      <c r="J3577" s="40" t="str">
        <f>HYPERLINK("https://stock.pstatic.net/stock-research/company/74/20260422_company_82271000.pdf","PDF")</f>
        <v>PDF</v>
      </c>
      <c r="K3577" s="15" t="s">
        <v>4124</v>
      </c>
    </row>
    <row r="3578" spans="1:12" x14ac:dyDescent="0.45">
      <c r="A3578" s="15" t="s">
        <v>4016</v>
      </c>
      <c r="B3578" s="15" t="s">
        <v>4125</v>
      </c>
      <c r="C3578" s="16" t="s">
        <v>4126</v>
      </c>
      <c r="D3578" s="16" t="s">
        <v>124</v>
      </c>
      <c r="E3578" s="15" t="s">
        <v>50</v>
      </c>
      <c r="F3578" s="16"/>
      <c r="G3578" s="17">
        <v>38900</v>
      </c>
      <c r="H3578" s="16" t="s">
        <v>4127</v>
      </c>
      <c r="I3578" s="40" t="s">
        <v>18</v>
      </c>
      <c r="J3578" s="40" t="str">
        <f>HYPERLINK("https://stock.pstatic.net/stock-research/company/74/20260422_company_302902000.pdf","PDF")</f>
        <v>PDF</v>
      </c>
      <c r="K3578" s="15" t="s">
        <v>4128</v>
      </c>
    </row>
    <row r="3579" spans="1:12" x14ac:dyDescent="0.45">
      <c r="A3579" s="15" t="s">
        <v>4016</v>
      </c>
      <c r="B3579" s="15" t="s">
        <v>4129</v>
      </c>
      <c r="C3579" s="16" t="s">
        <v>4130</v>
      </c>
      <c r="D3579" s="16" t="s">
        <v>124</v>
      </c>
      <c r="E3579" s="15" t="s">
        <v>50</v>
      </c>
      <c r="F3579" s="16"/>
      <c r="G3579" s="17">
        <v>35800</v>
      </c>
      <c r="H3579" s="16" t="s">
        <v>4131</v>
      </c>
      <c r="I3579" s="40" t="s">
        <v>18</v>
      </c>
      <c r="J3579" s="40" t="str">
        <f>HYPERLINK("https://stock.pstatic.net/stock-research/company/74/20260422_company_760700000.pdf","PDF")</f>
        <v>PDF</v>
      </c>
      <c r="K3579" s="15" t="s">
        <v>4132</v>
      </c>
    </row>
    <row r="3580" spans="1:12" x14ac:dyDescent="0.45">
      <c r="A3580" s="15" t="s">
        <v>4016</v>
      </c>
      <c r="B3580" s="15" t="s">
        <v>4133</v>
      </c>
      <c r="C3580" s="16" t="s">
        <v>4134</v>
      </c>
      <c r="D3580" s="16" t="s">
        <v>124</v>
      </c>
      <c r="E3580" s="15" t="s">
        <v>50</v>
      </c>
      <c r="F3580" s="16"/>
      <c r="G3580" s="17">
        <v>6360</v>
      </c>
      <c r="H3580" s="16" t="s">
        <v>4135</v>
      </c>
      <c r="I3580" s="40" t="s">
        <v>18</v>
      </c>
      <c r="J3580" s="40" t="str">
        <f>HYPERLINK("https://stock.pstatic.net/stock-research/company/74/20260422_company_650365000.pdf","PDF")</f>
        <v>PDF</v>
      </c>
      <c r="K3580" s="15" t="s">
        <v>4136</v>
      </c>
    </row>
    <row r="3581" spans="1:12" x14ac:dyDescent="0.45">
      <c r="A3581" s="15" t="s">
        <v>4016</v>
      </c>
      <c r="B3581" s="15" t="s">
        <v>4137</v>
      </c>
      <c r="C3581" s="16" t="s">
        <v>4138</v>
      </c>
      <c r="D3581" s="16" t="s">
        <v>124</v>
      </c>
      <c r="E3581" s="15" t="s">
        <v>50</v>
      </c>
      <c r="F3581" s="16"/>
      <c r="G3581" s="17">
        <v>7160</v>
      </c>
      <c r="H3581" s="16" t="s">
        <v>4139</v>
      </c>
      <c r="I3581" s="40" t="s">
        <v>18</v>
      </c>
      <c r="J3581" s="40" t="str">
        <f>HYPERLINK("https://stock.pstatic.net/stock-research/company/74/20260422_company_261386000.pdf","PDF")</f>
        <v>PDF</v>
      </c>
      <c r="K3581" s="15" t="s">
        <v>4140</v>
      </c>
    </row>
    <row r="3582" spans="1:12" x14ac:dyDescent="0.45">
      <c r="A3582" s="15" t="s">
        <v>4141</v>
      </c>
      <c r="B3582" s="15" t="s">
        <v>1849</v>
      </c>
      <c r="C3582" s="16" t="s">
        <v>1850</v>
      </c>
      <c r="D3582" s="16" t="s">
        <v>57</v>
      </c>
      <c r="E3582" s="15" t="s">
        <v>35</v>
      </c>
      <c r="F3582" s="17">
        <v>25000</v>
      </c>
      <c r="G3582" s="17">
        <v>18840</v>
      </c>
      <c r="H3582" s="16" t="s">
        <v>4142</v>
      </c>
      <c r="I3582" s="40" t="s">
        <v>18</v>
      </c>
      <c r="J3582" s="40" t="str">
        <f>HYPERLINK("https://stock.pstatic.net/stock-research/company/16/20260421_company_139172000.pdf","PDF")</f>
        <v>PDF</v>
      </c>
      <c r="K3582" s="15" t="s">
        <v>4143</v>
      </c>
      <c r="L3582" s="20">
        <v>0.32696390658174102</v>
      </c>
    </row>
    <row r="3583" spans="1:12" x14ac:dyDescent="0.45">
      <c r="A3583" s="15" t="s">
        <v>4141</v>
      </c>
      <c r="B3583" s="15" t="s">
        <v>1140</v>
      </c>
      <c r="C3583" s="16" t="s">
        <v>1141</v>
      </c>
      <c r="D3583" s="16" t="s">
        <v>57</v>
      </c>
      <c r="E3583" s="15" t="s">
        <v>35</v>
      </c>
      <c r="F3583" s="17">
        <v>64000</v>
      </c>
      <c r="G3583" s="17">
        <v>46100</v>
      </c>
      <c r="H3583" s="16" t="s">
        <v>4144</v>
      </c>
      <c r="I3583" s="40" t="s">
        <v>18</v>
      </c>
      <c r="J3583" s="40" t="str">
        <f>HYPERLINK("https://stock.pstatic.net/stock-research/company/16/20260421_company_652987000.pdf","PDF")</f>
        <v>PDF</v>
      </c>
      <c r="K3583" s="15" t="s">
        <v>4145</v>
      </c>
      <c r="L3583" s="20">
        <v>0.38828633405639912</v>
      </c>
    </row>
    <row r="3584" spans="1:12" x14ac:dyDescent="0.45">
      <c r="A3584" s="15" t="s">
        <v>4141</v>
      </c>
      <c r="B3584" s="15" t="s">
        <v>3972</v>
      </c>
      <c r="C3584" s="16" t="s">
        <v>3973</v>
      </c>
      <c r="D3584" s="16" t="s">
        <v>276</v>
      </c>
      <c r="E3584" s="15" t="s">
        <v>16</v>
      </c>
      <c r="F3584" s="17">
        <v>167000</v>
      </c>
      <c r="G3584" s="17">
        <v>100900</v>
      </c>
      <c r="H3584" s="16" t="s">
        <v>4146</v>
      </c>
      <c r="I3584" s="40" t="s">
        <v>18</v>
      </c>
      <c r="J3584" s="40" t="str">
        <f>HYPERLINK("https://stock.pstatic.net/stock-research/company/66/20260421_company_707666000.pdf","PDF")</f>
        <v>PDF</v>
      </c>
      <c r="K3584" s="15" t="s">
        <v>4147</v>
      </c>
      <c r="L3584" s="20">
        <v>0.65510406342913774</v>
      </c>
    </row>
    <row r="3585" spans="1:12" x14ac:dyDescent="0.45">
      <c r="A3585" s="15" t="s">
        <v>4141</v>
      </c>
      <c r="B3585" s="15" t="s">
        <v>1042</v>
      </c>
      <c r="C3585" s="16" t="s">
        <v>1043</v>
      </c>
      <c r="D3585" s="16" t="s">
        <v>276</v>
      </c>
      <c r="E3585" s="15" t="s">
        <v>16</v>
      </c>
      <c r="F3585" s="17">
        <v>50000</v>
      </c>
      <c r="G3585" s="17">
        <v>28550</v>
      </c>
      <c r="H3585" s="16" t="s">
        <v>4148</v>
      </c>
      <c r="I3585" s="40" t="s">
        <v>18</v>
      </c>
      <c r="J3585" s="40" t="str">
        <f>HYPERLINK("https://stock.pstatic.net/stock-research/company/66/20260421_company_303263000.pdf","PDF")</f>
        <v>PDF</v>
      </c>
      <c r="K3585" s="15" t="s">
        <v>4149</v>
      </c>
      <c r="L3585" s="20">
        <v>0.75131348511383533</v>
      </c>
    </row>
    <row r="3586" spans="1:12" x14ac:dyDescent="0.45">
      <c r="A3586" s="15" t="s">
        <v>4141</v>
      </c>
      <c r="B3586" s="15" t="s">
        <v>1682</v>
      </c>
      <c r="C3586" s="16" t="s">
        <v>1683</v>
      </c>
      <c r="D3586" s="16" t="s">
        <v>60</v>
      </c>
      <c r="E3586" s="15" t="s">
        <v>35</v>
      </c>
      <c r="F3586" s="17">
        <v>340000</v>
      </c>
      <c r="G3586" s="17">
        <v>267500</v>
      </c>
      <c r="H3586" s="16" t="s">
        <v>4150</v>
      </c>
      <c r="I3586" s="40" t="s">
        <v>18</v>
      </c>
      <c r="J3586" s="40" t="str">
        <f>HYPERLINK("https://stock.pstatic.net/stock-research/company/62/20260421_company_567564000.pdf","PDF")</f>
        <v>PDF</v>
      </c>
      <c r="K3586" s="15" t="s">
        <v>4151</v>
      </c>
      <c r="L3586" s="20">
        <v>0.27102803738317749</v>
      </c>
    </row>
    <row r="3587" spans="1:12" x14ac:dyDescent="0.45">
      <c r="A3587" s="15" t="s">
        <v>4141</v>
      </c>
      <c r="B3587" s="15" t="s">
        <v>3327</v>
      </c>
      <c r="C3587" s="16" t="s">
        <v>3328</v>
      </c>
      <c r="D3587" s="16" t="s">
        <v>60</v>
      </c>
      <c r="E3587" s="15" t="s">
        <v>50</v>
      </c>
      <c r="F3587" s="16"/>
      <c r="G3587" s="17">
        <v>202000</v>
      </c>
      <c r="H3587" s="16" t="s">
        <v>4152</v>
      </c>
      <c r="I3587" s="40" t="s">
        <v>18</v>
      </c>
      <c r="J3587" s="40" t="str">
        <f>HYPERLINK("https://stock.pstatic.net/stock-research/company/62/20260421_company_118602000.pdf","PDF")</f>
        <v>PDF</v>
      </c>
      <c r="K3587" s="15" t="s">
        <v>4153</v>
      </c>
    </row>
    <row r="3588" spans="1:12" x14ac:dyDescent="0.45">
      <c r="A3588" s="15" t="s">
        <v>4141</v>
      </c>
      <c r="B3588" s="15" t="s">
        <v>76</v>
      </c>
      <c r="C3588" s="16" t="s">
        <v>77</v>
      </c>
      <c r="D3588" s="16" t="s">
        <v>65</v>
      </c>
      <c r="E3588" s="15" t="s">
        <v>1738</v>
      </c>
      <c r="F3588" s="17">
        <v>21000</v>
      </c>
      <c r="G3588" s="17">
        <v>21000</v>
      </c>
      <c r="H3588" s="16" t="s">
        <v>4154</v>
      </c>
      <c r="I3588" s="40" t="s">
        <v>18</v>
      </c>
      <c r="J3588" s="40" t="str">
        <f>HYPERLINK("https://stock.pstatic.net/stock-research/company/57/20260421_company_219937000.pdf","PDF")</f>
        <v>PDF</v>
      </c>
      <c r="K3588" s="15" t="s">
        <v>4155</v>
      </c>
      <c r="L3588" s="20">
        <v>0</v>
      </c>
    </row>
    <row r="3589" spans="1:12" x14ac:dyDescent="0.45">
      <c r="A3589" s="15" t="s">
        <v>4141</v>
      </c>
      <c r="B3589" s="15" t="s">
        <v>669</v>
      </c>
      <c r="C3589" s="16" t="s">
        <v>670</v>
      </c>
      <c r="D3589" s="16" t="s">
        <v>65</v>
      </c>
      <c r="E3589" s="15" t="s">
        <v>35</v>
      </c>
      <c r="F3589" s="17">
        <v>40000</v>
      </c>
      <c r="G3589" s="17">
        <v>26650</v>
      </c>
      <c r="H3589" s="16" t="s">
        <v>4156</v>
      </c>
      <c r="I3589" s="40" t="s">
        <v>18</v>
      </c>
      <c r="J3589" s="40" t="str">
        <f>HYPERLINK("https://stock.pstatic.net/stock-research/company/57/20260421_company_263204000.pdf","PDF")</f>
        <v>PDF</v>
      </c>
      <c r="K3589" s="15" t="s">
        <v>4157</v>
      </c>
      <c r="L3589" s="20">
        <v>0.50093808630393999</v>
      </c>
    </row>
    <row r="3590" spans="1:12" x14ac:dyDescent="0.45">
      <c r="A3590" s="15" t="s">
        <v>4141</v>
      </c>
      <c r="B3590" s="15" t="s">
        <v>772</v>
      </c>
      <c r="C3590" s="16" t="s">
        <v>773</v>
      </c>
      <c r="D3590" s="16" t="s">
        <v>65</v>
      </c>
      <c r="E3590" s="15" t="s">
        <v>35</v>
      </c>
      <c r="F3590" s="17">
        <v>80000</v>
      </c>
      <c r="G3590" s="17">
        <v>48100</v>
      </c>
      <c r="H3590" s="16" t="s">
        <v>4158</v>
      </c>
      <c r="I3590" s="40" t="s">
        <v>18</v>
      </c>
      <c r="J3590" s="40" t="str">
        <f>HYPERLINK("https://stock.pstatic.net/stock-research/company/57/20260421_company_487350000.pdf","PDF")</f>
        <v>PDF</v>
      </c>
      <c r="K3590" s="15" t="s">
        <v>4159</v>
      </c>
      <c r="L3590" s="20">
        <v>0.66320166320166318</v>
      </c>
    </row>
    <row r="3591" spans="1:12" x14ac:dyDescent="0.45">
      <c r="A3591" s="15" t="s">
        <v>4141</v>
      </c>
      <c r="B3591" s="15" t="s">
        <v>3327</v>
      </c>
      <c r="C3591" s="16" t="s">
        <v>3328</v>
      </c>
      <c r="D3591" s="16" t="s">
        <v>65</v>
      </c>
      <c r="E3591" s="15" t="s">
        <v>50</v>
      </c>
      <c r="F3591" s="16"/>
      <c r="G3591" s="17">
        <v>202000</v>
      </c>
      <c r="H3591" s="16" t="s">
        <v>4160</v>
      </c>
      <c r="I3591" s="40" t="s">
        <v>18</v>
      </c>
      <c r="J3591" s="40" t="str">
        <f>HYPERLINK("https://stock.pstatic.net/stock-research/company/57/20260421_company_49842000.pdf","PDF")</f>
        <v>PDF</v>
      </c>
      <c r="K3591" s="15" t="s">
        <v>4161</v>
      </c>
    </row>
    <row r="3592" spans="1:12" x14ac:dyDescent="0.45">
      <c r="A3592" s="15" t="s">
        <v>4141</v>
      </c>
      <c r="B3592" s="15" t="s">
        <v>2425</v>
      </c>
      <c r="C3592" s="16" t="s">
        <v>2426</v>
      </c>
      <c r="D3592" s="16" t="s">
        <v>158</v>
      </c>
      <c r="E3592" s="15" t="s">
        <v>35</v>
      </c>
      <c r="F3592" s="17">
        <v>210000</v>
      </c>
      <c r="G3592" s="17">
        <v>171500</v>
      </c>
      <c r="H3592" s="16" t="s">
        <v>4162</v>
      </c>
      <c r="I3592" s="40" t="s">
        <v>18</v>
      </c>
      <c r="J3592" s="40" t="str">
        <f>HYPERLINK("https://stock.pstatic.net/stock-research/company/18/20260421_company_285084000.pdf","PDF")</f>
        <v>PDF</v>
      </c>
      <c r="K3592" s="15" t="s">
        <v>4163</v>
      </c>
      <c r="L3592" s="20">
        <v>0.22448979591836729</v>
      </c>
    </row>
    <row r="3593" spans="1:12" x14ac:dyDescent="0.45">
      <c r="A3593" s="15" t="s">
        <v>4141</v>
      </c>
      <c r="B3593" s="15" t="s">
        <v>1773</v>
      </c>
      <c r="C3593" s="16" t="s">
        <v>1774</v>
      </c>
      <c r="D3593" s="16" t="s">
        <v>158</v>
      </c>
      <c r="E3593" s="15" t="s">
        <v>35</v>
      </c>
      <c r="F3593" s="17">
        <v>150000</v>
      </c>
      <c r="G3593" s="17">
        <v>107200</v>
      </c>
      <c r="H3593" s="16" t="s">
        <v>4164</v>
      </c>
      <c r="I3593" s="40" t="s">
        <v>18</v>
      </c>
      <c r="J3593" s="40" t="str">
        <f>HYPERLINK("https://stock.pstatic.net/stock-research/company/18/20260421_company_76307000.pdf","PDF")</f>
        <v>PDF</v>
      </c>
      <c r="K3593" s="15" t="s">
        <v>4165</v>
      </c>
      <c r="L3593" s="20">
        <v>0.39925373134328362</v>
      </c>
    </row>
    <row r="3594" spans="1:12" x14ac:dyDescent="0.45">
      <c r="A3594" s="15" t="s">
        <v>4141</v>
      </c>
      <c r="B3594" s="15" t="s">
        <v>366</v>
      </c>
      <c r="C3594" s="16" t="s">
        <v>367</v>
      </c>
      <c r="D3594" s="16" t="s">
        <v>83</v>
      </c>
      <c r="E3594" s="15" t="s">
        <v>35</v>
      </c>
      <c r="F3594" s="17">
        <v>35000</v>
      </c>
      <c r="G3594" s="17">
        <v>24900</v>
      </c>
      <c r="H3594" s="16" t="s">
        <v>4166</v>
      </c>
      <c r="I3594" s="40" t="s">
        <v>18</v>
      </c>
      <c r="J3594" s="40" t="str">
        <f>HYPERLINK("https://stock.pstatic.net/stock-research/company/15/20260421_company_646818000.pdf","PDF")</f>
        <v>PDF</v>
      </c>
      <c r="K3594" s="15" t="s">
        <v>4167</v>
      </c>
      <c r="L3594" s="20">
        <v>0.40562248995983929</v>
      </c>
    </row>
    <row r="3595" spans="1:12" x14ac:dyDescent="0.45">
      <c r="A3595" s="15" t="s">
        <v>4141</v>
      </c>
      <c r="B3595" s="15" t="s">
        <v>2631</v>
      </c>
      <c r="C3595" s="16" t="s">
        <v>2632</v>
      </c>
      <c r="D3595" s="16" t="s">
        <v>83</v>
      </c>
      <c r="E3595" s="15" t="s">
        <v>50</v>
      </c>
      <c r="F3595" s="16"/>
      <c r="G3595" s="17">
        <v>17680</v>
      </c>
      <c r="H3595" s="16" t="s">
        <v>4168</v>
      </c>
      <c r="I3595" s="40" t="s">
        <v>18</v>
      </c>
      <c r="J3595" s="40" t="str">
        <f>HYPERLINK("https://stock.pstatic.net/stock-research/company/15/20260421_company_264297000.pdf","PDF")</f>
        <v>PDF</v>
      </c>
      <c r="K3595" s="15" t="s">
        <v>4169</v>
      </c>
    </row>
    <row r="3596" spans="1:12" x14ac:dyDescent="0.45">
      <c r="A3596" s="15" t="s">
        <v>4141</v>
      </c>
      <c r="B3596" s="15" t="s">
        <v>406</v>
      </c>
      <c r="C3596" s="16" t="s">
        <v>407</v>
      </c>
      <c r="D3596" s="16" t="s">
        <v>83</v>
      </c>
      <c r="E3596" s="15" t="s">
        <v>50</v>
      </c>
      <c r="F3596" s="16"/>
      <c r="G3596" s="17">
        <v>14850</v>
      </c>
      <c r="H3596" s="16" t="s">
        <v>4170</v>
      </c>
      <c r="I3596" s="40" t="s">
        <v>18</v>
      </c>
      <c r="J3596" s="40" t="str">
        <f>HYPERLINK("https://stock.pstatic.net/stock-research/company/15/20260421_company_876473000.pdf","PDF")</f>
        <v>PDF</v>
      </c>
      <c r="K3596" s="15" t="s">
        <v>4171</v>
      </c>
    </row>
    <row r="3597" spans="1:12" x14ac:dyDescent="0.45">
      <c r="A3597" s="15" t="s">
        <v>4141</v>
      </c>
      <c r="B3597" s="15" t="s">
        <v>4172</v>
      </c>
      <c r="C3597" s="16" t="s">
        <v>4173</v>
      </c>
      <c r="D3597" s="16" t="s">
        <v>83</v>
      </c>
      <c r="E3597" s="15" t="s">
        <v>35</v>
      </c>
      <c r="F3597" s="17">
        <v>13000</v>
      </c>
      <c r="G3597" s="17">
        <v>10570</v>
      </c>
      <c r="H3597" s="16" t="s">
        <v>4174</v>
      </c>
      <c r="I3597" s="40" t="s">
        <v>18</v>
      </c>
      <c r="J3597" s="40" t="str">
        <f>HYPERLINK("https://stock.pstatic.net/stock-research/company/15/20260421_company_837267000.pdf","PDF")</f>
        <v>PDF</v>
      </c>
      <c r="K3597" s="15" t="s">
        <v>4175</v>
      </c>
      <c r="L3597" s="20">
        <v>0.22989593188268681</v>
      </c>
    </row>
    <row r="3598" spans="1:12" x14ac:dyDescent="0.45">
      <c r="A3598" s="15" t="s">
        <v>4141</v>
      </c>
      <c r="B3598" s="15" t="s">
        <v>1047</v>
      </c>
      <c r="C3598" s="16" t="s">
        <v>1048</v>
      </c>
      <c r="D3598" s="16" t="s">
        <v>83</v>
      </c>
      <c r="E3598" s="15" t="s">
        <v>35</v>
      </c>
      <c r="F3598" s="17">
        <v>20000</v>
      </c>
      <c r="G3598" s="17">
        <v>13970</v>
      </c>
      <c r="H3598" s="16" t="s">
        <v>4176</v>
      </c>
      <c r="I3598" s="40" t="s">
        <v>18</v>
      </c>
      <c r="J3598" s="40" t="str">
        <f>HYPERLINK("https://stock.pstatic.net/stock-research/company/15/20260421_company_503150000.pdf","PDF")</f>
        <v>PDF</v>
      </c>
      <c r="K3598" s="15" t="s">
        <v>4177</v>
      </c>
      <c r="L3598" s="20">
        <v>0.43163922691481749</v>
      </c>
    </row>
    <row r="3599" spans="1:12" x14ac:dyDescent="0.45">
      <c r="A3599" s="15" t="s">
        <v>4141</v>
      </c>
      <c r="B3599" s="15" t="s">
        <v>264</v>
      </c>
      <c r="C3599" s="16" t="s">
        <v>265</v>
      </c>
      <c r="D3599" s="16" t="s">
        <v>83</v>
      </c>
      <c r="E3599" s="15" t="s">
        <v>35</v>
      </c>
      <c r="F3599" s="17">
        <v>460000</v>
      </c>
      <c r="G3599" s="17">
        <v>332000</v>
      </c>
      <c r="H3599" s="16" t="s">
        <v>4178</v>
      </c>
      <c r="I3599" s="40" t="s">
        <v>18</v>
      </c>
      <c r="J3599" s="40" t="str">
        <f>HYPERLINK("https://stock.pstatic.net/stock-research/company/15/20260421_company_641501000.pdf","PDF")</f>
        <v>PDF</v>
      </c>
      <c r="K3599" s="15" t="s">
        <v>4179</v>
      </c>
      <c r="L3599" s="20">
        <v>0.38554216867469882</v>
      </c>
    </row>
    <row r="3600" spans="1:12" x14ac:dyDescent="0.45">
      <c r="A3600" s="15" t="s">
        <v>4141</v>
      </c>
      <c r="B3600" s="15" t="s">
        <v>1437</v>
      </c>
      <c r="C3600" s="16" t="s">
        <v>1438</v>
      </c>
      <c r="D3600" s="16" t="s">
        <v>179</v>
      </c>
      <c r="E3600" s="15" t="s">
        <v>50</v>
      </c>
      <c r="F3600" s="16"/>
      <c r="G3600" s="17">
        <v>76700</v>
      </c>
      <c r="H3600" s="16" t="s">
        <v>4180</v>
      </c>
      <c r="I3600" s="40" t="s">
        <v>18</v>
      </c>
      <c r="J3600" s="40" t="str">
        <f>HYPERLINK("https://stock.pstatic.net/stock-research/company/64/20260421_company_573115000.pdf","PDF")</f>
        <v>PDF</v>
      </c>
      <c r="K3600" s="15" t="s">
        <v>4181</v>
      </c>
    </row>
    <row r="3601" spans="1:12" x14ac:dyDescent="0.45">
      <c r="A3601" s="15" t="s">
        <v>4141</v>
      </c>
      <c r="B3601" s="15" t="s">
        <v>3138</v>
      </c>
      <c r="C3601" s="16" t="s">
        <v>3139</v>
      </c>
      <c r="D3601" s="16" t="s">
        <v>92</v>
      </c>
      <c r="E3601" s="15" t="s">
        <v>35</v>
      </c>
      <c r="F3601" s="17">
        <v>16000</v>
      </c>
      <c r="G3601" s="17">
        <v>11010</v>
      </c>
      <c r="H3601" s="16" t="s">
        <v>4182</v>
      </c>
      <c r="I3601" s="40" t="s">
        <v>18</v>
      </c>
      <c r="J3601" s="40" t="str">
        <f>HYPERLINK("https://stock.pstatic.net/stock-research/company/63/20260421_company_394216000.pdf","PDF")</f>
        <v>PDF</v>
      </c>
      <c r="K3601" s="15" t="s">
        <v>4183</v>
      </c>
      <c r="L3601" s="20">
        <v>0.45322434150772017</v>
      </c>
    </row>
    <row r="3602" spans="1:12" x14ac:dyDescent="0.45">
      <c r="A3602" s="15" t="s">
        <v>4141</v>
      </c>
      <c r="B3602" s="15" t="s">
        <v>1212</v>
      </c>
      <c r="C3602" s="16" t="s">
        <v>1213</v>
      </c>
      <c r="D3602" s="16" t="s">
        <v>23</v>
      </c>
      <c r="E3602" s="15" t="s">
        <v>50</v>
      </c>
      <c r="F3602" s="16"/>
      <c r="G3602" s="17">
        <v>37600</v>
      </c>
      <c r="H3602" s="16" t="s">
        <v>4184</v>
      </c>
      <c r="I3602" s="40" t="s">
        <v>18</v>
      </c>
      <c r="J3602" s="40" t="str">
        <f>HYPERLINK("https://stock.pstatic.net/stock-research/company/21/20260421_company_257383000.pdf","PDF")</f>
        <v>PDF</v>
      </c>
      <c r="K3602" s="15" t="s">
        <v>4185</v>
      </c>
    </row>
    <row r="3603" spans="1:12" x14ac:dyDescent="0.45">
      <c r="A3603" s="15" t="s">
        <v>4141</v>
      </c>
      <c r="B3603" s="15" t="s">
        <v>912</v>
      </c>
      <c r="C3603" s="16" t="s">
        <v>913</v>
      </c>
      <c r="D3603" s="16" t="s">
        <v>179</v>
      </c>
      <c r="E3603" s="15" t="s">
        <v>16</v>
      </c>
      <c r="F3603" s="17">
        <v>91000</v>
      </c>
      <c r="G3603" s="17">
        <v>65200</v>
      </c>
      <c r="H3603" s="16" t="s">
        <v>4186</v>
      </c>
      <c r="I3603" s="40" t="s">
        <v>18</v>
      </c>
      <c r="J3603" s="40" t="str">
        <f>HYPERLINK("https://stock.pstatic.net/stock-research/company/64/20260421_company_292349000.pdf","PDF")</f>
        <v>PDF</v>
      </c>
      <c r="K3603" s="15" t="s">
        <v>4187</v>
      </c>
      <c r="L3603" s="20">
        <v>0.39570552147239257</v>
      </c>
    </row>
    <row r="3604" spans="1:12" x14ac:dyDescent="0.45">
      <c r="A3604" s="15" t="s">
        <v>4141</v>
      </c>
      <c r="B3604" s="15" t="s">
        <v>3105</v>
      </c>
      <c r="C3604" s="16" t="s">
        <v>3106</v>
      </c>
      <c r="D3604" s="16" t="s">
        <v>53</v>
      </c>
      <c r="E3604" s="15" t="s">
        <v>16</v>
      </c>
      <c r="F3604" s="17">
        <v>400000</v>
      </c>
      <c r="G3604" s="17">
        <v>255000</v>
      </c>
      <c r="H3604" s="16" t="s">
        <v>4188</v>
      </c>
      <c r="I3604" s="40" t="s">
        <v>18</v>
      </c>
      <c r="J3604" s="40" t="str">
        <f>HYPERLINK("https://stock.pstatic.net/stock-research/company/40/20260421_company_724568000.pdf","PDF")</f>
        <v>PDF</v>
      </c>
      <c r="K3604" s="15" t="s">
        <v>4189</v>
      </c>
      <c r="L3604" s="20">
        <v>0.56862745098039214</v>
      </c>
    </row>
    <row r="3605" spans="1:12" x14ac:dyDescent="0.45">
      <c r="A3605" s="15" t="s">
        <v>4141</v>
      </c>
      <c r="B3605" s="15" t="s">
        <v>3327</v>
      </c>
      <c r="C3605" s="16" t="s">
        <v>3328</v>
      </c>
      <c r="D3605" s="16" t="s">
        <v>23</v>
      </c>
      <c r="E3605" s="15" t="s">
        <v>50</v>
      </c>
      <c r="F3605" s="16"/>
      <c r="G3605" s="17">
        <v>202000</v>
      </c>
      <c r="H3605" s="16" t="s">
        <v>4190</v>
      </c>
      <c r="I3605" s="40" t="s">
        <v>18</v>
      </c>
      <c r="J3605" s="40" t="str">
        <f>HYPERLINK("https://stock.pstatic.net/stock-research/company/21/20260421_company_395400000.pdf","PDF")</f>
        <v>PDF</v>
      </c>
      <c r="K3605" s="15" t="s">
        <v>4191</v>
      </c>
    </row>
    <row r="3606" spans="1:12" x14ac:dyDescent="0.45">
      <c r="A3606" s="15" t="s">
        <v>4141</v>
      </c>
      <c r="B3606" s="15" t="s">
        <v>4192</v>
      </c>
      <c r="C3606" s="16" t="s">
        <v>4193</v>
      </c>
      <c r="D3606" s="16" t="s">
        <v>23</v>
      </c>
      <c r="E3606" s="15" t="s">
        <v>50</v>
      </c>
      <c r="F3606" s="16"/>
      <c r="G3606" s="17">
        <v>12380</v>
      </c>
      <c r="H3606" s="16" t="s">
        <v>4194</v>
      </c>
      <c r="I3606" s="40" t="s">
        <v>18</v>
      </c>
      <c r="J3606" s="40" t="str">
        <f>HYPERLINK("https://stock.pstatic.net/stock-research/company/21/20260421_company_738339000.pdf","PDF")</f>
        <v>PDF</v>
      </c>
      <c r="K3606" s="15" t="s">
        <v>4195</v>
      </c>
    </row>
    <row r="3607" spans="1:12" x14ac:dyDescent="0.45">
      <c r="A3607" s="15" t="s">
        <v>4141</v>
      </c>
      <c r="B3607" s="15" t="s">
        <v>2365</v>
      </c>
      <c r="C3607" s="16" t="s">
        <v>2366</v>
      </c>
      <c r="D3607" s="16" t="s">
        <v>23</v>
      </c>
      <c r="E3607" s="15" t="s">
        <v>16</v>
      </c>
      <c r="F3607" s="17">
        <v>240000</v>
      </c>
      <c r="G3607" s="17">
        <v>183700</v>
      </c>
      <c r="H3607" s="16" t="s">
        <v>4196</v>
      </c>
      <c r="I3607" s="40" t="s">
        <v>18</v>
      </c>
      <c r="J3607" s="40" t="str">
        <f>HYPERLINK("https://stock.pstatic.net/stock-research/company/21/20260421_company_297951000.pdf","PDF")</f>
        <v>PDF</v>
      </c>
      <c r="K3607" s="15" t="s">
        <v>4197</v>
      </c>
      <c r="L3607" s="20">
        <v>0.30647795318454002</v>
      </c>
    </row>
    <row r="3608" spans="1:12" x14ac:dyDescent="0.45">
      <c r="A3608" s="15" t="s">
        <v>4141</v>
      </c>
      <c r="B3608" s="15" t="s">
        <v>2105</v>
      </c>
      <c r="C3608" s="16" t="s">
        <v>2106</v>
      </c>
      <c r="D3608" s="16" t="s">
        <v>179</v>
      </c>
      <c r="E3608" s="15" t="s">
        <v>16</v>
      </c>
      <c r="F3608" s="17">
        <v>42000</v>
      </c>
      <c r="G3608" s="17">
        <v>33750</v>
      </c>
      <c r="H3608" s="16" t="s">
        <v>4198</v>
      </c>
      <c r="I3608" s="40" t="s">
        <v>18</v>
      </c>
      <c r="J3608" s="40" t="str">
        <f>HYPERLINK("https://stock.pstatic.net/stock-research/company/64/20260421_company_763158000.pdf","PDF")</f>
        <v>PDF</v>
      </c>
      <c r="K3608" s="15" t="s">
        <v>4199</v>
      </c>
      <c r="L3608" s="20">
        <v>0.24444444444444441</v>
      </c>
    </row>
    <row r="3609" spans="1:12" x14ac:dyDescent="0.45">
      <c r="A3609" s="15" t="s">
        <v>4141</v>
      </c>
      <c r="B3609" s="15" t="s">
        <v>90</v>
      </c>
      <c r="C3609" s="16" t="s">
        <v>91</v>
      </c>
      <c r="D3609" s="16" t="s">
        <v>92</v>
      </c>
      <c r="E3609" s="15" t="s">
        <v>35</v>
      </c>
      <c r="F3609" s="17">
        <v>70000</v>
      </c>
      <c r="G3609" s="17">
        <v>51800</v>
      </c>
      <c r="H3609" s="16" t="s">
        <v>4200</v>
      </c>
      <c r="I3609" s="40" t="s">
        <v>18</v>
      </c>
      <c r="J3609" s="40" t="str">
        <f>HYPERLINK("https://stock.pstatic.net/stock-research/company/63/20260421_company_486394000.pdf","PDF")</f>
        <v>PDF</v>
      </c>
      <c r="K3609" s="15" t="s">
        <v>4201</v>
      </c>
      <c r="L3609" s="20">
        <v>0.35135135135135143</v>
      </c>
    </row>
    <row r="3610" spans="1:12" x14ac:dyDescent="0.45">
      <c r="A3610" s="15" t="s">
        <v>4141</v>
      </c>
      <c r="B3610" s="15" t="s">
        <v>13</v>
      </c>
      <c r="C3610" s="16" t="s">
        <v>14</v>
      </c>
      <c r="D3610" s="16" t="s">
        <v>23</v>
      </c>
      <c r="E3610" s="15" t="s">
        <v>16</v>
      </c>
      <c r="F3610" s="17">
        <v>300000</v>
      </c>
      <c r="G3610" s="17">
        <v>214500</v>
      </c>
      <c r="H3610" s="16" t="s">
        <v>4202</v>
      </c>
      <c r="I3610" s="40" t="s">
        <v>18</v>
      </c>
      <c r="J3610" s="40" t="str">
        <f>HYPERLINK("https://stock.pstatic.net/stock-research/company/21/20260421_company_269963000.pdf","PDF")</f>
        <v>PDF</v>
      </c>
      <c r="K3610" s="15" t="s">
        <v>4203</v>
      </c>
      <c r="L3610" s="20">
        <v>0.39860139860139859</v>
      </c>
    </row>
    <row r="3611" spans="1:12" x14ac:dyDescent="0.45">
      <c r="A3611" s="15" t="s">
        <v>4141</v>
      </c>
      <c r="B3611" s="15" t="s">
        <v>2576</v>
      </c>
      <c r="C3611" s="16" t="s">
        <v>2577</v>
      </c>
      <c r="D3611" s="16" t="s">
        <v>23</v>
      </c>
      <c r="E3611" s="15" t="s">
        <v>16</v>
      </c>
      <c r="F3611" s="17">
        <v>1900000</v>
      </c>
      <c r="G3611" s="17">
        <v>1665000</v>
      </c>
      <c r="H3611" s="16" t="s">
        <v>4204</v>
      </c>
      <c r="I3611" s="40" t="s">
        <v>18</v>
      </c>
      <c r="J3611" s="40" t="str">
        <f>HYPERLINK("https://stock.pstatic.net/stock-research/company/21/20260421_company_527187000.pdf","PDF")</f>
        <v>PDF</v>
      </c>
      <c r="K3611" s="15" t="s">
        <v>4205</v>
      </c>
      <c r="L3611" s="20">
        <v>0.14114114114114121</v>
      </c>
    </row>
    <row r="3612" spans="1:12" x14ac:dyDescent="0.45">
      <c r="A3612" s="15" t="s">
        <v>4141</v>
      </c>
      <c r="B3612" s="15" t="s">
        <v>4206</v>
      </c>
      <c r="C3612" s="16" t="s">
        <v>4207</v>
      </c>
      <c r="D3612" s="16" t="s">
        <v>44</v>
      </c>
      <c r="E3612" s="15" t="s">
        <v>35</v>
      </c>
      <c r="F3612" s="17">
        <v>50000</v>
      </c>
      <c r="G3612" s="17">
        <v>41600</v>
      </c>
      <c r="H3612" s="16" t="s">
        <v>4208</v>
      </c>
      <c r="I3612" s="40" t="s">
        <v>18</v>
      </c>
      <c r="J3612" s="40" t="str">
        <f>HYPERLINK("https://stock.pstatic.net/stock-research/company/39/20260421_company_432374000.pdf","PDF")</f>
        <v>PDF</v>
      </c>
      <c r="K3612" s="15" t="s">
        <v>4209</v>
      </c>
      <c r="L3612" s="20">
        <v>0.2019230769230769</v>
      </c>
    </row>
    <row r="3613" spans="1:12" x14ac:dyDescent="0.45">
      <c r="A3613" s="15" t="s">
        <v>4141</v>
      </c>
      <c r="B3613" s="15" t="s">
        <v>375</v>
      </c>
      <c r="C3613" s="16" t="s">
        <v>376</v>
      </c>
      <c r="D3613" s="16" t="s">
        <v>44</v>
      </c>
      <c r="E3613" s="15" t="s">
        <v>35</v>
      </c>
      <c r="F3613" s="17">
        <v>30000</v>
      </c>
      <c r="G3613" s="17">
        <v>23850</v>
      </c>
      <c r="H3613" s="16" t="s">
        <v>4210</v>
      </c>
      <c r="I3613" s="40" t="s">
        <v>18</v>
      </c>
      <c r="J3613" s="40" t="str">
        <f>HYPERLINK("https://stock.pstatic.net/stock-research/company/39/20260421_company_698250000.pdf","PDF")</f>
        <v>PDF</v>
      </c>
      <c r="K3613" s="15" t="s">
        <v>4211</v>
      </c>
      <c r="L3613" s="20">
        <v>0.25786163522012578</v>
      </c>
    </row>
    <row r="3614" spans="1:12" x14ac:dyDescent="0.45">
      <c r="A3614" s="15" t="s">
        <v>4141</v>
      </c>
      <c r="B3614" s="15" t="s">
        <v>1773</v>
      </c>
      <c r="C3614" s="16" t="s">
        <v>1774</v>
      </c>
      <c r="D3614" s="16" t="s">
        <v>15</v>
      </c>
      <c r="E3614" s="15" t="s">
        <v>16</v>
      </c>
      <c r="F3614" s="17">
        <v>160000</v>
      </c>
      <c r="G3614" s="17">
        <v>107200</v>
      </c>
      <c r="H3614" s="16" t="s">
        <v>4212</v>
      </c>
      <c r="I3614" s="40" t="s">
        <v>18</v>
      </c>
      <c r="J3614" s="40" t="str">
        <f>HYPERLINK("https://stock.pstatic.net/stock-research/company/56/20260421_company_735018000.pdf","PDF")</f>
        <v>PDF</v>
      </c>
      <c r="K3614" s="15" t="s">
        <v>4213</v>
      </c>
      <c r="L3614" s="20">
        <v>0.4925373134328358</v>
      </c>
    </row>
    <row r="3615" spans="1:12" x14ac:dyDescent="0.45">
      <c r="A3615" s="15" t="s">
        <v>4141</v>
      </c>
      <c r="B3615" s="15" t="s">
        <v>4214</v>
      </c>
      <c r="C3615" s="16" t="s">
        <v>4215</v>
      </c>
      <c r="D3615" s="16" t="s">
        <v>124</v>
      </c>
      <c r="E3615" s="15" t="s">
        <v>50</v>
      </c>
      <c r="F3615" s="16"/>
      <c r="G3615" s="17">
        <v>43800</v>
      </c>
      <c r="H3615" s="16" t="s">
        <v>4216</v>
      </c>
      <c r="I3615" s="40" t="s">
        <v>18</v>
      </c>
      <c r="J3615" s="40" t="str">
        <f>HYPERLINK("https://stock.pstatic.net/stock-research/company/74/20260421_company_573391000.pdf","PDF")</f>
        <v>PDF</v>
      </c>
      <c r="K3615" s="15" t="s">
        <v>4217</v>
      </c>
    </row>
    <row r="3616" spans="1:12" x14ac:dyDescent="0.45">
      <c r="A3616" s="15" t="s">
        <v>4141</v>
      </c>
      <c r="B3616" s="15" t="s">
        <v>4218</v>
      </c>
      <c r="C3616" s="16" t="s">
        <v>4219</v>
      </c>
      <c r="D3616" s="16" t="s">
        <v>124</v>
      </c>
      <c r="E3616" s="15" t="s">
        <v>50</v>
      </c>
      <c r="F3616" s="16"/>
      <c r="G3616" s="17">
        <v>2530</v>
      </c>
      <c r="H3616" s="16" t="s">
        <v>4220</v>
      </c>
      <c r="I3616" s="40" t="s">
        <v>18</v>
      </c>
      <c r="J3616" s="40" t="str">
        <f>HYPERLINK("https://stock.pstatic.net/stock-research/company/74/20260421_company_280449000.pdf","PDF")</f>
        <v>PDF</v>
      </c>
      <c r="K3616" s="15" t="s">
        <v>4221</v>
      </c>
    </row>
    <row r="3617" spans="1:12" x14ac:dyDescent="0.45">
      <c r="A3617" s="15" t="s">
        <v>4141</v>
      </c>
      <c r="B3617" s="15" t="s">
        <v>4222</v>
      </c>
      <c r="C3617" s="16" t="s">
        <v>4223</v>
      </c>
      <c r="D3617" s="16" t="s">
        <v>124</v>
      </c>
      <c r="E3617" s="15" t="s">
        <v>50</v>
      </c>
      <c r="F3617" s="16"/>
      <c r="G3617" s="17">
        <v>1163</v>
      </c>
      <c r="H3617" s="16" t="s">
        <v>4224</v>
      </c>
      <c r="I3617" s="40" t="s">
        <v>18</v>
      </c>
      <c r="J3617" s="40" t="str">
        <f>HYPERLINK("https://stock.pstatic.net/stock-research/company/74/20260421_company_44937000.pdf","PDF")</f>
        <v>PDF</v>
      </c>
      <c r="K3617" s="15" t="s">
        <v>4225</v>
      </c>
    </row>
    <row r="3618" spans="1:12" x14ac:dyDescent="0.45">
      <c r="A3618" s="15" t="s">
        <v>4141</v>
      </c>
      <c r="B3618" s="15" t="s">
        <v>4226</v>
      </c>
      <c r="C3618" s="16" t="s">
        <v>4227</v>
      </c>
      <c r="D3618" s="16" t="s">
        <v>124</v>
      </c>
      <c r="E3618" s="15" t="s">
        <v>50</v>
      </c>
      <c r="F3618" s="16"/>
      <c r="G3618" s="17">
        <v>2765</v>
      </c>
      <c r="H3618" s="16" t="s">
        <v>4228</v>
      </c>
      <c r="I3618" s="40" t="s">
        <v>18</v>
      </c>
      <c r="J3618" s="40" t="str">
        <f>HYPERLINK("https://stock.pstatic.net/stock-research/company/74/20260421_company_692417000.pdf","PDF")</f>
        <v>PDF</v>
      </c>
      <c r="K3618" s="15" t="s">
        <v>4229</v>
      </c>
    </row>
    <row r="3619" spans="1:12" x14ac:dyDescent="0.45">
      <c r="A3619" s="15" t="s">
        <v>4141</v>
      </c>
      <c r="B3619" s="15" t="s">
        <v>4230</v>
      </c>
      <c r="C3619" s="16" t="s">
        <v>4231</v>
      </c>
      <c r="D3619" s="16" t="s">
        <v>124</v>
      </c>
      <c r="E3619" s="15" t="s">
        <v>50</v>
      </c>
      <c r="F3619" s="16"/>
      <c r="G3619" s="17">
        <v>4430</v>
      </c>
      <c r="H3619" s="16" t="s">
        <v>4232</v>
      </c>
      <c r="I3619" s="40" t="s">
        <v>18</v>
      </c>
      <c r="J3619" s="40" t="str">
        <f>HYPERLINK("https://stock.pstatic.net/stock-research/company/74/20260421_company_634620000.pdf","PDF")</f>
        <v>PDF</v>
      </c>
      <c r="K3619" s="15" t="s">
        <v>4233</v>
      </c>
    </row>
    <row r="3620" spans="1:12" x14ac:dyDescent="0.45">
      <c r="A3620" s="15" t="s">
        <v>4234</v>
      </c>
      <c r="B3620" s="15" t="s">
        <v>2631</v>
      </c>
      <c r="C3620" s="16" t="s">
        <v>2632</v>
      </c>
      <c r="D3620" s="16" t="s">
        <v>34</v>
      </c>
      <c r="E3620" s="15" t="s">
        <v>50</v>
      </c>
      <c r="F3620" s="16"/>
      <c r="G3620" s="17">
        <v>17900</v>
      </c>
      <c r="H3620" s="16" t="s">
        <v>4235</v>
      </c>
      <c r="I3620" s="40" t="s">
        <v>18</v>
      </c>
      <c r="J3620" s="40" t="str">
        <f>HYPERLINK("https://stock.pstatic.net/stock-research/company/61/20260420_company_593862000.pdf","PDF")</f>
        <v>PDF</v>
      </c>
      <c r="K3620" s="15" t="s">
        <v>4236</v>
      </c>
    </row>
    <row r="3621" spans="1:12" x14ac:dyDescent="0.45">
      <c r="A3621" s="15" t="s">
        <v>4234</v>
      </c>
      <c r="B3621" s="15" t="s">
        <v>816</v>
      </c>
      <c r="C3621" s="16" t="s">
        <v>817</v>
      </c>
      <c r="D3621" s="16" t="s">
        <v>34</v>
      </c>
      <c r="E3621" s="15" t="s">
        <v>50</v>
      </c>
      <c r="F3621" s="16"/>
      <c r="G3621" s="17">
        <v>49300</v>
      </c>
      <c r="H3621" s="16" t="s">
        <v>4237</v>
      </c>
      <c r="I3621" s="40" t="s">
        <v>18</v>
      </c>
      <c r="J3621" s="40" t="str">
        <f>HYPERLINK("https://stock.pstatic.net/stock-research/company/61/20260420_company_49368000.pdf","PDF")</f>
        <v>PDF</v>
      </c>
      <c r="K3621" s="15" t="s">
        <v>4238</v>
      </c>
    </row>
    <row r="3622" spans="1:12" x14ac:dyDescent="0.45">
      <c r="A3622" s="15" t="s">
        <v>4234</v>
      </c>
      <c r="B3622" s="15" t="s">
        <v>3831</v>
      </c>
      <c r="C3622" s="16" t="s">
        <v>3832</v>
      </c>
      <c r="D3622" s="16" t="s">
        <v>57</v>
      </c>
      <c r="E3622" s="15" t="s">
        <v>35</v>
      </c>
      <c r="F3622" s="17">
        <v>83000</v>
      </c>
      <c r="G3622" s="17">
        <v>52900</v>
      </c>
      <c r="H3622" s="16" t="s">
        <v>4239</v>
      </c>
      <c r="I3622" s="40" t="s">
        <v>18</v>
      </c>
      <c r="J3622" s="40" t="str">
        <f>HYPERLINK("https://stock.pstatic.net/stock-research/company/16/20260420_company_361811000.pdf","PDF")</f>
        <v>PDF</v>
      </c>
      <c r="K3622" s="15" t="s">
        <v>4240</v>
      </c>
      <c r="L3622" s="20">
        <v>0.56899810964083175</v>
      </c>
    </row>
    <row r="3623" spans="1:12" x14ac:dyDescent="0.45">
      <c r="A3623" s="15" t="s">
        <v>4234</v>
      </c>
      <c r="B3623" s="15" t="s">
        <v>366</v>
      </c>
      <c r="C3623" s="16" t="s">
        <v>367</v>
      </c>
      <c r="D3623" s="16" t="s">
        <v>57</v>
      </c>
      <c r="E3623" s="15" t="s">
        <v>35</v>
      </c>
      <c r="F3623" s="17">
        <v>33000</v>
      </c>
      <c r="G3623" s="17">
        <v>25000</v>
      </c>
      <c r="H3623" s="16" t="s">
        <v>4241</v>
      </c>
      <c r="I3623" s="40" t="s">
        <v>18</v>
      </c>
      <c r="J3623" s="40" t="str">
        <f>HYPERLINK("https://stock.pstatic.net/stock-research/company/16/20260420_company_742818000.pdf","PDF")</f>
        <v>PDF</v>
      </c>
      <c r="K3623" s="15" t="s">
        <v>4242</v>
      </c>
      <c r="L3623" s="20">
        <v>0.32</v>
      </c>
    </row>
    <row r="3624" spans="1:12" x14ac:dyDescent="0.45">
      <c r="A3624" s="15" t="s">
        <v>4234</v>
      </c>
      <c r="B3624" s="15" t="s">
        <v>744</v>
      </c>
      <c r="C3624" s="16" t="s">
        <v>745</v>
      </c>
      <c r="D3624" s="16" t="s">
        <v>276</v>
      </c>
      <c r="E3624" s="15" t="s">
        <v>16</v>
      </c>
      <c r="F3624" s="17">
        <v>42000</v>
      </c>
      <c r="G3624" s="17">
        <v>29050</v>
      </c>
      <c r="H3624" s="16" t="s">
        <v>4243</v>
      </c>
      <c r="I3624" s="40" t="s">
        <v>18</v>
      </c>
      <c r="J3624" s="40" t="str">
        <f>HYPERLINK("https://stock.pstatic.net/stock-research/company/66/20260420_company_267365000.pdf","PDF")</f>
        <v>PDF</v>
      </c>
      <c r="K3624" s="15" t="s">
        <v>4244</v>
      </c>
      <c r="L3624" s="20">
        <v>0.44578313253012047</v>
      </c>
    </row>
    <row r="3625" spans="1:12" x14ac:dyDescent="0.45">
      <c r="A3625" s="15" t="s">
        <v>4234</v>
      </c>
      <c r="B3625" s="15" t="s">
        <v>2522</v>
      </c>
      <c r="C3625" s="16" t="s">
        <v>2523</v>
      </c>
      <c r="D3625" s="16" t="s">
        <v>60</v>
      </c>
      <c r="E3625" s="15" t="s">
        <v>35</v>
      </c>
      <c r="F3625" s="17">
        <v>346000</v>
      </c>
      <c r="G3625" s="17">
        <v>263500</v>
      </c>
      <c r="H3625" s="16" t="s">
        <v>4245</v>
      </c>
      <c r="I3625" s="40" t="s">
        <v>18</v>
      </c>
      <c r="J3625" s="40" t="str">
        <f>HYPERLINK("https://stock.pstatic.net/stock-research/company/62/20260420_company_400991000.pdf","PDF")</f>
        <v>PDF</v>
      </c>
      <c r="K3625" s="15" t="s">
        <v>4246</v>
      </c>
      <c r="L3625" s="20">
        <v>0.31309297912713469</v>
      </c>
    </row>
    <row r="3626" spans="1:12" x14ac:dyDescent="0.45">
      <c r="A3626" s="15" t="s">
        <v>4234</v>
      </c>
      <c r="B3626" s="15" t="s">
        <v>2795</v>
      </c>
      <c r="C3626" s="16" t="s">
        <v>2796</v>
      </c>
      <c r="D3626" s="16" t="s">
        <v>65</v>
      </c>
      <c r="E3626" s="15" t="s">
        <v>35</v>
      </c>
      <c r="F3626" s="17">
        <v>6400</v>
      </c>
      <c r="G3626" s="17">
        <v>5470</v>
      </c>
      <c r="H3626" s="16" t="s">
        <v>4247</v>
      </c>
      <c r="I3626" s="40" t="s">
        <v>18</v>
      </c>
      <c r="J3626" s="40" t="str">
        <f>HYPERLINK("https://stock.pstatic.net/stock-research/company/57/20260420_company_952819000.pdf","PDF")</f>
        <v>PDF</v>
      </c>
      <c r="K3626" s="15" t="s">
        <v>4248</v>
      </c>
      <c r="L3626" s="20">
        <v>0.17001828153564899</v>
      </c>
    </row>
    <row r="3627" spans="1:12" x14ac:dyDescent="0.45">
      <c r="A3627" s="15" t="s">
        <v>4234</v>
      </c>
      <c r="B3627" s="15" t="s">
        <v>744</v>
      </c>
      <c r="C3627" s="16" t="s">
        <v>745</v>
      </c>
      <c r="D3627" s="16" t="s">
        <v>158</v>
      </c>
      <c r="E3627" s="15" t="s">
        <v>35</v>
      </c>
      <c r="F3627" s="17">
        <v>36000</v>
      </c>
      <c r="G3627" s="17">
        <v>29050</v>
      </c>
      <c r="H3627" s="16" t="s">
        <v>4249</v>
      </c>
      <c r="I3627" s="40" t="s">
        <v>18</v>
      </c>
      <c r="J3627" s="40" t="str">
        <f>HYPERLINK("https://stock.pstatic.net/stock-research/company/18/20260420_company_367202000.pdf","PDF")</f>
        <v>PDF</v>
      </c>
      <c r="K3627" s="15" t="s">
        <v>4250</v>
      </c>
      <c r="L3627" s="20">
        <v>0.23924268502581761</v>
      </c>
    </row>
    <row r="3628" spans="1:12" x14ac:dyDescent="0.45">
      <c r="A3628" s="15" t="s">
        <v>4234</v>
      </c>
      <c r="B3628" s="15" t="s">
        <v>2435</v>
      </c>
      <c r="C3628" s="16" t="s">
        <v>2436</v>
      </c>
      <c r="D3628" s="16" t="s">
        <v>158</v>
      </c>
      <c r="E3628" s="15" t="s">
        <v>35</v>
      </c>
      <c r="F3628" s="17">
        <v>781000</v>
      </c>
      <c r="G3628" s="17">
        <v>514000</v>
      </c>
      <c r="H3628" s="16" t="s">
        <v>4251</v>
      </c>
      <c r="I3628" s="40" t="s">
        <v>18</v>
      </c>
      <c r="J3628" s="40" t="str">
        <f>HYPERLINK("https://stock.pstatic.net/stock-research/company/18/20260420_company_945730000.pdf","PDF")</f>
        <v>PDF</v>
      </c>
      <c r="K3628" s="15" t="s">
        <v>4252</v>
      </c>
      <c r="L3628" s="20">
        <v>0.51945525291828798</v>
      </c>
    </row>
    <row r="3629" spans="1:12" x14ac:dyDescent="0.45">
      <c r="A3629" s="15" t="s">
        <v>4234</v>
      </c>
      <c r="B3629" s="15" t="s">
        <v>4253</v>
      </c>
      <c r="C3629" s="16" t="s">
        <v>4254</v>
      </c>
      <c r="D3629" s="16" t="s">
        <v>158</v>
      </c>
      <c r="E3629" s="15" t="s">
        <v>35</v>
      </c>
      <c r="F3629" s="17">
        <v>450000</v>
      </c>
      <c r="G3629" s="17">
        <v>307000</v>
      </c>
      <c r="H3629" s="16" t="s">
        <v>4255</v>
      </c>
      <c r="I3629" s="40" t="s">
        <v>18</v>
      </c>
      <c r="J3629" s="40" t="str">
        <f>HYPERLINK("https://stock.pstatic.net/stock-research/company/18/20260420_company_688426000.pdf","PDF")</f>
        <v>PDF</v>
      </c>
      <c r="K3629" s="15" t="s">
        <v>4256</v>
      </c>
      <c r="L3629" s="20">
        <v>0.46579804560260579</v>
      </c>
    </row>
    <row r="3630" spans="1:12" x14ac:dyDescent="0.45">
      <c r="A3630" s="15" t="s">
        <v>4234</v>
      </c>
      <c r="B3630" s="15" t="s">
        <v>541</v>
      </c>
      <c r="C3630" s="16" t="s">
        <v>542</v>
      </c>
      <c r="D3630" s="16" t="s">
        <v>158</v>
      </c>
      <c r="E3630" s="15" t="s">
        <v>35</v>
      </c>
      <c r="F3630" s="17">
        <v>118000</v>
      </c>
      <c r="G3630" s="17">
        <v>98300</v>
      </c>
      <c r="H3630" s="16" t="s">
        <v>4257</v>
      </c>
      <c r="I3630" s="40" t="s">
        <v>18</v>
      </c>
      <c r="J3630" s="40" t="str">
        <f>HYPERLINK("https://stock.pstatic.net/stock-research/company/18/20260420_company_78307000.pdf","PDF")</f>
        <v>PDF</v>
      </c>
      <c r="K3630" s="15" t="s">
        <v>4258</v>
      </c>
      <c r="L3630" s="20">
        <v>0.20040691759918619</v>
      </c>
    </row>
    <row r="3631" spans="1:12" x14ac:dyDescent="0.45">
      <c r="A3631" s="15" t="s">
        <v>4234</v>
      </c>
      <c r="B3631" s="15" t="s">
        <v>102</v>
      </c>
      <c r="C3631" s="16" t="s">
        <v>103</v>
      </c>
      <c r="D3631" s="16" t="s">
        <v>83</v>
      </c>
      <c r="E3631" s="15" t="s">
        <v>35</v>
      </c>
      <c r="F3631" s="17">
        <v>43000</v>
      </c>
      <c r="G3631" s="17">
        <v>31400</v>
      </c>
      <c r="H3631" s="16" t="s">
        <v>4259</v>
      </c>
      <c r="I3631" s="40" t="s">
        <v>18</v>
      </c>
      <c r="J3631" s="40" t="str">
        <f>HYPERLINK("https://stock.pstatic.net/stock-research/company/15/20260420_company_301739000.pdf","PDF")</f>
        <v>PDF</v>
      </c>
      <c r="K3631" s="15" t="s">
        <v>4260</v>
      </c>
      <c r="L3631" s="20">
        <v>0.36942675159235672</v>
      </c>
    </row>
    <row r="3632" spans="1:12" x14ac:dyDescent="0.45">
      <c r="A3632" s="15" t="s">
        <v>4234</v>
      </c>
      <c r="B3632" s="15" t="s">
        <v>1849</v>
      </c>
      <c r="C3632" s="16" t="s">
        <v>1850</v>
      </c>
      <c r="D3632" s="16" t="s">
        <v>83</v>
      </c>
      <c r="E3632" s="15" t="s">
        <v>35</v>
      </c>
      <c r="F3632" s="17">
        <v>27000</v>
      </c>
      <c r="G3632" s="17">
        <v>18720</v>
      </c>
      <c r="H3632" s="16" t="s">
        <v>4261</v>
      </c>
      <c r="I3632" s="40" t="s">
        <v>18</v>
      </c>
      <c r="J3632" s="40" t="str">
        <f>HYPERLINK("https://stock.pstatic.net/stock-research/company/15/20260420_company_988412000.pdf","PDF")</f>
        <v>PDF</v>
      </c>
      <c r="K3632" s="15" t="s">
        <v>4262</v>
      </c>
      <c r="L3632" s="20">
        <v>0.44230769230769229</v>
      </c>
    </row>
    <row r="3633" spans="1:12" x14ac:dyDescent="0.45">
      <c r="A3633" s="15" t="s">
        <v>4234</v>
      </c>
      <c r="B3633" s="15" t="s">
        <v>3284</v>
      </c>
      <c r="C3633" s="16" t="s">
        <v>3285</v>
      </c>
      <c r="D3633" s="16" t="s">
        <v>83</v>
      </c>
      <c r="E3633" s="15" t="s">
        <v>35</v>
      </c>
      <c r="F3633" s="17">
        <v>164000</v>
      </c>
      <c r="G3633" s="17">
        <v>131900</v>
      </c>
      <c r="H3633" s="16" t="s">
        <v>4263</v>
      </c>
      <c r="I3633" s="40" t="s">
        <v>18</v>
      </c>
      <c r="J3633" s="40" t="str">
        <f>HYPERLINK("https://stock.pstatic.net/stock-research/company/15/20260420_company_958338000.pdf","PDF")</f>
        <v>PDF</v>
      </c>
      <c r="K3633" s="15" t="s">
        <v>4264</v>
      </c>
      <c r="L3633" s="20">
        <v>0.243366186504928</v>
      </c>
    </row>
    <row r="3634" spans="1:12" x14ac:dyDescent="0.45">
      <c r="A3634" s="15" t="s">
        <v>4234</v>
      </c>
      <c r="B3634" s="15" t="s">
        <v>430</v>
      </c>
      <c r="C3634" s="16" t="s">
        <v>431</v>
      </c>
      <c r="D3634" s="16" t="s">
        <v>92</v>
      </c>
      <c r="E3634" s="15" t="s">
        <v>35</v>
      </c>
      <c r="F3634" s="17">
        <v>100000</v>
      </c>
      <c r="G3634" s="17">
        <v>48600</v>
      </c>
      <c r="H3634" s="16" t="s">
        <v>4265</v>
      </c>
      <c r="I3634" s="40" t="s">
        <v>18</v>
      </c>
      <c r="J3634" s="40" t="str">
        <f>HYPERLINK("https://stock.pstatic.net/stock-research/company/63/20260420_company_290231000.pdf","PDF")</f>
        <v>PDF</v>
      </c>
      <c r="K3634" s="15" t="s">
        <v>4266</v>
      </c>
      <c r="L3634" s="20">
        <v>1.05761316872428</v>
      </c>
    </row>
    <row r="3635" spans="1:12" x14ac:dyDescent="0.45">
      <c r="A3635" s="15" t="s">
        <v>4234</v>
      </c>
      <c r="B3635" s="15" t="s">
        <v>2369</v>
      </c>
      <c r="C3635" s="16" t="s">
        <v>2370</v>
      </c>
      <c r="D3635" s="16" t="s">
        <v>23</v>
      </c>
      <c r="E3635" s="15" t="s">
        <v>16</v>
      </c>
      <c r="F3635" s="17">
        <v>580000</v>
      </c>
      <c r="G3635" s="17">
        <v>513000</v>
      </c>
      <c r="H3635" s="16" t="s">
        <v>4267</v>
      </c>
      <c r="I3635" s="40" t="s">
        <v>18</v>
      </c>
      <c r="J3635" s="40" t="str">
        <f>HYPERLINK("https://stock.pstatic.net/stock-research/company/21/20260420_company_342146000.pdf","PDF")</f>
        <v>PDF</v>
      </c>
      <c r="K3635" s="15" t="s">
        <v>4268</v>
      </c>
      <c r="L3635" s="20">
        <v>0.13060428849902531</v>
      </c>
    </row>
    <row r="3636" spans="1:12" x14ac:dyDescent="0.45">
      <c r="A3636" s="15" t="s">
        <v>4234</v>
      </c>
      <c r="B3636" s="15" t="s">
        <v>2801</v>
      </c>
      <c r="C3636" s="16" t="s">
        <v>2802</v>
      </c>
      <c r="D3636" s="16" t="s">
        <v>23</v>
      </c>
      <c r="E3636" s="15" t="s">
        <v>16</v>
      </c>
      <c r="F3636" s="17">
        <v>35000</v>
      </c>
      <c r="G3636" s="17">
        <v>27250</v>
      </c>
      <c r="H3636" s="16" t="s">
        <v>4269</v>
      </c>
      <c r="I3636" s="40" t="s">
        <v>18</v>
      </c>
      <c r="J3636" s="40" t="str">
        <f>HYPERLINK("https://stock.pstatic.net/stock-research/company/21/20260420_company_793410000.pdf","PDF")</f>
        <v>PDF</v>
      </c>
      <c r="K3636" s="15" t="s">
        <v>4270</v>
      </c>
      <c r="L3636" s="20">
        <v>0.28440366972477071</v>
      </c>
    </row>
    <row r="3637" spans="1:12" x14ac:dyDescent="0.45">
      <c r="A3637" s="15" t="s">
        <v>4234</v>
      </c>
      <c r="B3637" s="15" t="s">
        <v>3164</v>
      </c>
      <c r="C3637" s="16" t="s">
        <v>3165</v>
      </c>
      <c r="D3637" s="16" t="s">
        <v>44</v>
      </c>
      <c r="E3637" s="15" t="s">
        <v>35</v>
      </c>
      <c r="F3637" s="17">
        <v>214000</v>
      </c>
      <c r="G3637" s="17">
        <v>177000</v>
      </c>
      <c r="H3637" s="16" t="s">
        <v>4271</v>
      </c>
      <c r="I3637" s="40" t="s">
        <v>18</v>
      </c>
      <c r="J3637" s="40" t="str">
        <f>HYPERLINK("https://stock.pstatic.net/stock-research/company/39/20260420_company_869829000.pdf","PDF")</f>
        <v>PDF</v>
      </c>
      <c r="K3637" s="15" t="s">
        <v>4272</v>
      </c>
      <c r="L3637" s="20">
        <v>0.20903954802259889</v>
      </c>
    </row>
    <row r="3638" spans="1:12" x14ac:dyDescent="0.45">
      <c r="A3638" s="15" t="s">
        <v>4234</v>
      </c>
      <c r="B3638" s="15" t="s">
        <v>1208</v>
      </c>
      <c r="C3638" s="16" t="s">
        <v>1209</v>
      </c>
      <c r="D3638" s="16" t="s">
        <v>44</v>
      </c>
      <c r="E3638" s="15" t="s">
        <v>35</v>
      </c>
      <c r="F3638" s="17">
        <v>120000</v>
      </c>
      <c r="G3638" s="17">
        <v>79300</v>
      </c>
      <c r="H3638" s="16" t="s">
        <v>4273</v>
      </c>
      <c r="I3638" s="40" t="s">
        <v>18</v>
      </c>
      <c r="J3638" s="40" t="str">
        <f>HYPERLINK("https://stock.pstatic.net/stock-research/company/39/20260420_company_48186000.pdf","PDF")</f>
        <v>PDF</v>
      </c>
      <c r="K3638" s="15" t="s">
        <v>4274</v>
      </c>
      <c r="L3638" s="20">
        <v>0.51324085750315263</v>
      </c>
    </row>
    <row r="3639" spans="1:12" x14ac:dyDescent="0.45">
      <c r="A3639" s="15" t="s">
        <v>4234</v>
      </c>
      <c r="B3639" s="15" t="s">
        <v>2382</v>
      </c>
      <c r="C3639" s="16" t="s">
        <v>2383</v>
      </c>
      <c r="D3639" s="16" t="s">
        <v>44</v>
      </c>
      <c r="E3639" s="15" t="s">
        <v>35</v>
      </c>
      <c r="F3639" s="17">
        <v>67000</v>
      </c>
      <c r="G3639" s="17">
        <v>49050</v>
      </c>
      <c r="H3639" s="16" t="s">
        <v>4275</v>
      </c>
      <c r="I3639" s="40" t="s">
        <v>18</v>
      </c>
      <c r="J3639" s="40" t="str">
        <f>HYPERLINK("https://stock.pstatic.net/stock-research/company/39/20260420_company_634171000.pdf","PDF")</f>
        <v>PDF</v>
      </c>
      <c r="K3639" s="15" t="s">
        <v>4276</v>
      </c>
      <c r="L3639" s="20">
        <v>0.3659531090723751</v>
      </c>
    </row>
    <row r="3640" spans="1:12" x14ac:dyDescent="0.45">
      <c r="A3640" s="15" t="s">
        <v>4234</v>
      </c>
      <c r="B3640" s="15" t="s">
        <v>485</v>
      </c>
      <c r="C3640" s="16" t="s">
        <v>486</v>
      </c>
      <c r="D3640" s="16" t="s">
        <v>44</v>
      </c>
      <c r="E3640" s="15" t="s">
        <v>45</v>
      </c>
      <c r="F3640" s="17">
        <v>180000</v>
      </c>
      <c r="G3640" s="17">
        <v>151200</v>
      </c>
      <c r="H3640" s="16" t="s">
        <v>4277</v>
      </c>
      <c r="I3640" s="40" t="s">
        <v>18</v>
      </c>
      <c r="J3640" s="40" t="str">
        <f>HYPERLINK("https://stock.pstatic.net/stock-research/company/39/20260420_company_13148000.pdf","PDF")</f>
        <v>PDF</v>
      </c>
      <c r="K3640" s="15" t="s">
        <v>4278</v>
      </c>
      <c r="L3640" s="20">
        <v>0.19047619047619049</v>
      </c>
    </row>
    <row r="3641" spans="1:12" x14ac:dyDescent="0.45">
      <c r="A3641" s="15" t="s">
        <v>4234</v>
      </c>
      <c r="B3641" s="15" t="s">
        <v>2658</v>
      </c>
      <c r="C3641" s="16" t="s">
        <v>2659</v>
      </c>
      <c r="D3641" s="16" t="s">
        <v>44</v>
      </c>
      <c r="E3641" s="15" t="s">
        <v>35</v>
      </c>
      <c r="F3641" s="17">
        <v>120000</v>
      </c>
      <c r="G3641" s="17">
        <v>97500</v>
      </c>
      <c r="H3641" s="16" t="s">
        <v>4279</v>
      </c>
      <c r="I3641" s="40" t="s">
        <v>18</v>
      </c>
      <c r="J3641" s="40" t="str">
        <f>HYPERLINK("https://stock.pstatic.net/stock-research/company/39/20260420_company_598018000.pdf","PDF")</f>
        <v>PDF</v>
      </c>
      <c r="K3641" s="15" t="s">
        <v>4280</v>
      </c>
      <c r="L3641" s="20">
        <v>0.23076923076923081</v>
      </c>
    </row>
    <row r="3642" spans="1:12" x14ac:dyDescent="0.45">
      <c r="A3642" s="15" t="s">
        <v>4234</v>
      </c>
      <c r="B3642" s="15" t="s">
        <v>106</v>
      </c>
      <c r="C3642" s="16" t="s">
        <v>107</v>
      </c>
      <c r="D3642" s="16" t="s">
        <v>124</v>
      </c>
      <c r="E3642" s="15" t="s">
        <v>50</v>
      </c>
      <c r="F3642" s="16"/>
      <c r="G3642" s="16"/>
      <c r="H3642" s="16" t="s">
        <v>4281</v>
      </c>
      <c r="I3642" s="40" t="s">
        <v>18</v>
      </c>
      <c r="J3642" s="40" t="str">
        <f>HYPERLINK("https://stock.pstatic.net/stock-research/company/74/20260420_company_364991000.pdf","PDF")</f>
        <v>PDF</v>
      </c>
      <c r="K3642" s="15" t="s">
        <v>4282</v>
      </c>
    </row>
    <row r="3643" spans="1:12" x14ac:dyDescent="0.45">
      <c r="A3643" s="15" t="s">
        <v>4234</v>
      </c>
      <c r="B3643" s="15" t="s">
        <v>118</v>
      </c>
      <c r="C3643" s="16" t="s">
        <v>119</v>
      </c>
      <c r="D3643" s="16" t="s">
        <v>53</v>
      </c>
      <c r="E3643" s="15" t="s">
        <v>16</v>
      </c>
      <c r="F3643" s="17">
        <v>120000</v>
      </c>
      <c r="G3643" s="17">
        <v>101700</v>
      </c>
      <c r="H3643" s="16" t="s">
        <v>1362</v>
      </c>
      <c r="I3643" s="40" t="s">
        <v>18</v>
      </c>
      <c r="J3643" s="40" t="str">
        <f>HYPERLINK("https://stock.pstatic.net/stock-research/company/40/20260420_company_198935000.pdf","PDF")</f>
        <v>PDF</v>
      </c>
      <c r="K3643" s="15" t="s">
        <v>4283</v>
      </c>
      <c r="L3643" s="20">
        <v>0.17994100294985249</v>
      </c>
    </row>
    <row r="3644" spans="1:12" x14ac:dyDescent="0.45">
      <c r="A3644" s="15" t="s">
        <v>4234</v>
      </c>
      <c r="B3644" s="15" t="s">
        <v>800</v>
      </c>
      <c r="C3644" s="16" t="s">
        <v>801</v>
      </c>
      <c r="D3644" s="16" t="s">
        <v>124</v>
      </c>
      <c r="E3644" s="15" t="s">
        <v>50</v>
      </c>
      <c r="F3644" s="16"/>
      <c r="G3644" s="17">
        <v>64900</v>
      </c>
      <c r="H3644" s="16" t="s">
        <v>4284</v>
      </c>
      <c r="I3644" s="40" t="s">
        <v>18</v>
      </c>
      <c r="J3644" s="40" t="str">
        <f>HYPERLINK("https://stock.pstatic.net/stock-research/company/74/20260420_company_17289000.pdf","PDF")</f>
        <v>PDF</v>
      </c>
      <c r="K3644" s="15" t="s">
        <v>4285</v>
      </c>
    </row>
    <row r="3645" spans="1:12" x14ac:dyDescent="0.45">
      <c r="A3645" s="15" t="s">
        <v>4234</v>
      </c>
      <c r="B3645" s="15" t="s">
        <v>291</v>
      </c>
      <c r="C3645" s="16" t="s">
        <v>292</v>
      </c>
      <c r="D3645" s="16" t="s">
        <v>124</v>
      </c>
      <c r="E3645" s="15" t="s">
        <v>50</v>
      </c>
      <c r="F3645" s="16"/>
      <c r="G3645" s="17">
        <v>30850</v>
      </c>
      <c r="H3645" s="16" t="s">
        <v>4286</v>
      </c>
      <c r="I3645" s="40" t="s">
        <v>18</v>
      </c>
      <c r="J3645" s="40" t="str">
        <f>HYPERLINK("https://stock.pstatic.net/stock-research/company/74/20260420_company_971857000.pdf","PDF")</f>
        <v>PDF</v>
      </c>
      <c r="K3645" s="15" t="s">
        <v>4287</v>
      </c>
    </row>
    <row r="3646" spans="1:12" x14ac:dyDescent="0.45">
      <c r="A3646" s="15" t="s">
        <v>4234</v>
      </c>
      <c r="B3646" s="15" t="s">
        <v>4288</v>
      </c>
      <c r="C3646" s="16" t="s">
        <v>4289</v>
      </c>
      <c r="D3646" s="16" t="s">
        <v>124</v>
      </c>
      <c r="E3646" s="15" t="s">
        <v>50</v>
      </c>
      <c r="F3646" s="16"/>
      <c r="G3646" s="17">
        <v>8410</v>
      </c>
      <c r="H3646" s="16" t="s">
        <v>623</v>
      </c>
      <c r="I3646" s="40" t="s">
        <v>18</v>
      </c>
      <c r="J3646" s="40" t="str">
        <f>HYPERLINK("https://stock.pstatic.net/stock-research/company/74/20260420_company_770683000.pdf","PDF")</f>
        <v>PDF</v>
      </c>
      <c r="K3646" s="15" t="s">
        <v>4290</v>
      </c>
    </row>
    <row r="3647" spans="1:12" x14ac:dyDescent="0.45">
      <c r="A3647" s="15" t="s">
        <v>4234</v>
      </c>
      <c r="B3647" s="15" t="s">
        <v>4291</v>
      </c>
      <c r="C3647" s="16" t="s">
        <v>4292</v>
      </c>
      <c r="D3647" s="16" t="s">
        <v>124</v>
      </c>
      <c r="E3647" s="15" t="s">
        <v>50</v>
      </c>
      <c r="F3647" s="16"/>
      <c r="G3647" s="17">
        <v>9810</v>
      </c>
      <c r="H3647" s="16" t="s">
        <v>4293</v>
      </c>
      <c r="I3647" s="40" t="s">
        <v>18</v>
      </c>
      <c r="J3647" s="40" t="str">
        <f>HYPERLINK("https://stock.pstatic.net/stock-research/company/74/20260420_company_872879000.pdf","PDF")</f>
        <v>PDF</v>
      </c>
      <c r="K3647" s="15" t="s">
        <v>4294</v>
      </c>
    </row>
    <row r="3648" spans="1:12" x14ac:dyDescent="0.45">
      <c r="A3648" s="15" t="s">
        <v>4234</v>
      </c>
      <c r="B3648" s="15" t="s">
        <v>899</v>
      </c>
      <c r="C3648" s="16" t="s">
        <v>900</v>
      </c>
      <c r="D3648" s="16" t="s">
        <v>124</v>
      </c>
      <c r="E3648" s="15" t="s">
        <v>50</v>
      </c>
      <c r="F3648" s="16"/>
      <c r="G3648" s="17">
        <v>52100</v>
      </c>
      <c r="H3648" s="16" t="s">
        <v>4295</v>
      </c>
      <c r="I3648" s="40" t="s">
        <v>18</v>
      </c>
      <c r="J3648" s="40" t="str">
        <f>HYPERLINK("https://stock.pstatic.net/stock-research/company/74/20260420_company_400091000.pdf","PDF")</f>
        <v>PDF</v>
      </c>
      <c r="K3648" s="15" t="s">
        <v>4296</v>
      </c>
    </row>
    <row r="3649" spans="1:12" x14ac:dyDescent="0.45">
      <c r="A3649" s="15" t="s">
        <v>4234</v>
      </c>
      <c r="B3649" s="15" t="s">
        <v>4297</v>
      </c>
      <c r="C3649" s="16" t="s">
        <v>4298</v>
      </c>
      <c r="D3649" s="16" t="s">
        <v>124</v>
      </c>
      <c r="E3649" s="15" t="s">
        <v>50</v>
      </c>
      <c r="F3649" s="16"/>
      <c r="G3649" s="17">
        <v>27800</v>
      </c>
      <c r="H3649" s="16" t="s">
        <v>4299</v>
      </c>
      <c r="I3649" s="40" t="s">
        <v>18</v>
      </c>
      <c r="J3649" s="40" t="str">
        <f>HYPERLINK("https://stock.pstatic.net/stock-research/company/74/20260420_company_744754000.pdf","PDF")</f>
        <v>PDF</v>
      </c>
      <c r="K3649" s="15" t="s">
        <v>4300</v>
      </c>
    </row>
    <row r="3650" spans="1:12" x14ac:dyDescent="0.45">
      <c r="A3650" s="15" t="s">
        <v>4234</v>
      </c>
      <c r="B3650" s="15" t="s">
        <v>4301</v>
      </c>
      <c r="C3650" s="16" t="s">
        <v>4302</v>
      </c>
      <c r="D3650" s="16" t="s">
        <v>124</v>
      </c>
      <c r="E3650" s="15" t="s">
        <v>50</v>
      </c>
      <c r="F3650" s="16"/>
      <c r="G3650" s="17">
        <v>1684</v>
      </c>
      <c r="H3650" s="16" t="s">
        <v>4303</v>
      </c>
      <c r="I3650" s="40" t="s">
        <v>18</v>
      </c>
      <c r="J3650" s="40" t="str">
        <f>HYPERLINK("https://stock.pstatic.net/stock-research/company/74/20260420_company_417934000.pdf","PDF")</f>
        <v>PDF</v>
      </c>
      <c r="K3650" s="15" t="s">
        <v>4304</v>
      </c>
    </row>
    <row r="3651" spans="1:12" x14ac:dyDescent="0.45">
      <c r="A3651" s="15" t="s">
        <v>4305</v>
      </c>
      <c r="B3651" s="15" t="s">
        <v>2089</v>
      </c>
      <c r="C3651" s="16" t="s">
        <v>2090</v>
      </c>
      <c r="D3651" s="16" t="s">
        <v>57</v>
      </c>
      <c r="E3651" s="15" t="s">
        <v>35</v>
      </c>
      <c r="F3651" s="17">
        <v>150000</v>
      </c>
      <c r="G3651" s="17">
        <v>118100</v>
      </c>
      <c r="H3651" s="16" t="s">
        <v>4306</v>
      </c>
      <c r="I3651" s="40" t="s">
        <v>18</v>
      </c>
      <c r="J3651" s="40" t="str">
        <f>HYPERLINK("https://stock.pstatic.net/stock-research/company/16/20260417_company_155137000.pdf","PDF")</f>
        <v>PDF</v>
      </c>
      <c r="K3651" s="15" t="s">
        <v>4307</v>
      </c>
      <c r="L3651" s="20">
        <v>0.2701100762066046</v>
      </c>
    </row>
    <row r="3652" spans="1:12" x14ac:dyDescent="0.45">
      <c r="A3652" s="15" t="s">
        <v>4305</v>
      </c>
      <c r="B3652" s="15" t="s">
        <v>4308</v>
      </c>
      <c r="C3652" s="16" t="s">
        <v>4309</v>
      </c>
      <c r="D3652" s="16" t="s">
        <v>57</v>
      </c>
      <c r="E3652" s="15" t="s">
        <v>35</v>
      </c>
      <c r="F3652" s="17">
        <v>6800</v>
      </c>
      <c r="G3652" s="17">
        <v>4545</v>
      </c>
      <c r="H3652" s="16" t="s">
        <v>4310</v>
      </c>
      <c r="I3652" s="40" t="s">
        <v>18</v>
      </c>
      <c r="J3652" s="40" t="str">
        <f>HYPERLINK("https://stock.pstatic.net/stock-research/company/16/20260417_company_928643000.pdf","PDF")</f>
        <v>PDF</v>
      </c>
      <c r="K3652" s="15" t="s">
        <v>4311</v>
      </c>
      <c r="L3652" s="20">
        <v>0.49614961496149618</v>
      </c>
    </row>
    <row r="3653" spans="1:12" x14ac:dyDescent="0.45">
      <c r="A3653" s="15" t="s">
        <v>4305</v>
      </c>
      <c r="B3653" s="15" t="s">
        <v>3024</v>
      </c>
      <c r="C3653" s="16" t="s">
        <v>3025</v>
      </c>
      <c r="D3653" s="16" t="s">
        <v>158</v>
      </c>
      <c r="E3653" s="15" t="s">
        <v>35</v>
      </c>
      <c r="F3653" s="17">
        <v>97000</v>
      </c>
      <c r="G3653" s="17">
        <v>72800</v>
      </c>
      <c r="H3653" s="16" t="s">
        <v>4312</v>
      </c>
      <c r="I3653" s="40" t="s">
        <v>18</v>
      </c>
      <c r="J3653" s="40" t="str">
        <f>HYPERLINK("https://stock.pstatic.net/stock-research/company/18/20260417_company_828831000.pdf","PDF")</f>
        <v>PDF</v>
      </c>
      <c r="K3653" s="15" t="s">
        <v>4313</v>
      </c>
      <c r="L3653" s="20">
        <v>0.3324175824175824</v>
      </c>
    </row>
    <row r="3654" spans="1:12" x14ac:dyDescent="0.45">
      <c r="A3654" s="15" t="s">
        <v>4305</v>
      </c>
      <c r="B3654" s="15" t="s">
        <v>68</v>
      </c>
      <c r="C3654" s="16" t="s">
        <v>69</v>
      </c>
      <c r="D3654" s="16" t="s">
        <v>276</v>
      </c>
      <c r="E3654" s="15" t="s">
        <v>50</v>
      </c>
      <c r="F3654" s="16"/>
      <c r="G3654" s="17">
        <v>79800</v>
      </c>
      <c r="H3654" s="16" t="s">
        <v>4314</v>
      </c>
      <c r="I3654" s="40" t="s">
        <v>18</v>
      </c>
      <c r="J3654" s="40" t="str">
        <f>HYPERLINK("https://stock.pstatic.net/stock-research/company/66/20260417_company_17566000.pdf","PDF")</f>
        <v>PDF</v>
      </c>
      <c r="K3654" s="15" t="s">
        <v>4315</v>
      </c>
    </row>
    <row r="3655" spans="1:12" x14ac:dyDescent="0.45">
      <c r="A3655" s="15" t="s">
        <v>4305</v>
      </c>
      <c r="B3655" s="15" t="s">
        <v>669</v>
      </c>
      <c r="C3655" s="16" t="s">
        <v>670</v>
      </c>
      <c r="D3655" s="16" t="s">
        <v>65</v>
      </c>
      <c r="E3655" s="15" t="s">
        <v>35</v>
      </c>
      <c r="F3655" s="17">
        <v>40000</v>
      </c>
      <c r="G3655" s="17">
        <v>21350</v>
      </c>
      <c r="H3655" s="16" t="s">
        <v>4316</v>
      </c>
      <c r="I3655" s="40" t="s">
        <v>18</v>
      </c>
      <c r="J3655" s="40" t="str">
        <f>HYPERLINK("https://stock.pstatic.net/stock-research/company/57/20260417_company_687040000.pdf","PDF")</f>
        <v>PDF</v>
      </c>
      <c r="K3655" s="15" t="s">
        <v>4317</v>
      </c>
      <c r="L3655" s="20">
        <v>0.87353629976580793</v>
      </c>
    </row>
    <row r="3656" spans="1:12" x14ac:dyDescent="0.45">
      <c r="A3656" s="15" t="s">
        <v>4305</v>
      </c>
      <c r="B3656" s="15" t="s">
        <v>780</v>
      </c>
      <c r="C3656" s="16" t="s">
        <v>781</v>
      </c>
      <c r="D3656" s="16" t="s">
        <v>65</v>
      </c>
      <c r="E3656" s="15" t="s">
        <v>35</v>
      </c>
      <c r="F3656" s="17">
        <v>30000</v>
      </c>
      <c r="G3656" s="17">
        <v>16670</v>
      </c>
      <c r="H3656" s="16" t="s">
        <v>4318</v>
      </c>
      <c r="I3656" s="40" t="s">
        <v>18</v>
      </c>
      <c r="J3656" s="40" t="str">
        <f>HYPERLINK("https://stock.pstatic.net/stock-research/company/57/20260417_company_603672000.pdf","PDF")</f>
        <v>PDF</v>
      </c>
      <c r="K3656" s="15" t="s">
        <v>4319</v>
      </c>
      <c r="L3656" s="20">
        <v>0.79964007198560283</v>
      </c>
    </row>
    <row r="3657" spans="1:12" x14ac:dyDescent="0.45">
      <c r="A3657" s="15" t="s">
        <v>4305</v>
      </c>
      <c r="B3657" s="15" t="s">
        <v>541</v>
      </c>
      <c r="C3657" s="16" t="s">
        <v>542</v>
      </c>
      <c r="D3657" s="16" t="s">
        <v>65</v>
      </c>
      <c r="E3657" s="15" t="s">
        <v>35</v>
      </c>
      <c r="F3657" s="17">
        <v>140000</v>
      </c>
      <c r="G3657" s="17">
        <v>95900</v>
      </c>
      <c r="H3657" s="16" t="s">
        <v>4320</v>
      </c>
      <c r="I3657" s="40" t="s">
        <v>18</v>
      </c>
      <c r="J3657" s="40" t="str">
        <f>HYPERLINK("https://stock.pstatic.net/stock-research/company/57/20260417_company_603114000.pdf","PDF")</f>
        <v>PDF</v>
      </c>
      <c r="K3657" s="15" t="s">
        <v>4321</v>
      </c>
      <c r="L3657" s="20">
        <v>0.45985401459854008</v>
      </c>
    </row>
    <row r="3658" spans="1:12" x14ac:dyDescent="0.45">
      <c r="A3658" s="15" t="s">
        <v>4305</v>
      </c>
      <c r="B3658" s="15" t="s">
        <v>32</v>
      </c>
      <c r="C3658" s="16" t="s">
        <v>33</v>
      </c>
      <c r="D3658" s="16" t="s">
        <v>65</v>
      </c>
      <c r="E3658" s="15" t="s">
        <v>35</v>
      </c>
      <c r="F3658" s="17">
        <v>810000</v>
      </c>
      <c r="G3658" s="17">
        <v>639000</v>
      </c>
      <c r="H3658" s="16" t="s">
        <v>4322</v>
      </c>
      <c r="I3658" s="40" t="s">
        <v>18</v>
      </c>
      <c r="J3658" s="40" t="str">
        <f>HYPERLINK("https://stock.pstatic.net/stock-research/company/57/20260417_company_168647000.pdf","PDF")</f>
        <v>PDF</v>
      </c>
      <c r="K3658" s="15" t="s">
        <v>4323</v>
      </c>
      <c r="L3658" s="20">
        <v>0.26760563380281688</v>
      </c>
    </row>
    <row r="3659" spans="1:12" x14ac:dyDescent="0.45">
      <c r="A3659" s="15" t="s">
        <v>4305</v>
      </c>
      <c r="B3659" s="15" t="s">
        <v>3230</v>
      </c>
      <c r="C3659" s="16" t="s">
        <v>3231</v>
      </c>
      <c r="D3659" s="16" t="s">
        <v>92</v>
      </c>
      <c r="E3659" s="15" t="s">
        <v>35</v>
      </c>
      <c r="F3659" s="17">
        <v>4000000</v>
      </c>
      <c r="G3659" s="17">
        <v>2990000</v>
      </c>
      <c r="H3659" s="16" t="s">
        <v>4324</v>
      </c>
      <c r="I3659" s="40" t="s">
        <v>18</v>
      </c>
      <c r="J3659" s="40" t="str">
        <f>HYPERLINK("https://stock.pstatic.net/stock-research/company/63/20260417_company_976732000.pdf","PDF")</f>
        <v>PDF</v>
      </c>
      <c r="K3659" s="15" t="s">
        <v>4325</v>
      </c>
      <c r="L3659" s="20">
        <v>0.33779264214046822</v>
      </c>
    </row>
    <row r="3660" spans="1:12" x14ac:dyDescent="0.45">
      <c r="A3660" s="15" t="s">
        <v>4305</v>
      </c>
      <c r="B3660" s="15" t="s">
        <v>2032</v>
      </c>
      <c r="C3660" s="16" t="s">
        <v>2033</v>
      </c>
      <c r="D3660" s="16" t="s">
        <v>23</v>
      </c>
      <c r="E3660" s="15" t="s">
        <v>16</v>
      </c>
      <c r="F3660" s="17">
        <v>65000</v>
      </c>
      <c r="G3660" s="17">
        <v>56500</v>
      </c>
      <c r="H3660" s="16" t="s">
        <v>4326</v>
      </c>
      <c r="I3660" s="40" t="s">
        <v>18</v>
      </c>
      <c r="J3660" s="40" t="str">
        <f>HYPERLINK("https://stock.pstatic.net/stock-research/company/21/20260417_company_607064000.pdf","PDF")</f>
        <v>PDF</v>
      </c>
      <c r="K3660" s="15" t="s">
        <v>4327</v>
      </c>
      <c r="L3660" s="20">
        <v>0.15044247787610621</v>
      </c>
    </row>
    <row r="3661" spans="1:12" x14ac:dyDescent="0.45">
      <c r="A3661" s="15" t="s">
        <v>4305</v>
      </c>
      <c r="B3661" s="15" t="s">
        <v>2933</v>
      </c>
      <c r="C3661" s="16" t="s">
        <v>2934</v>
      </c>
      <c r="D3661" s="16" t="s">
        <v>179</v>
      </c>
      <c r="E3661" s="15" t="s">
        <v>16</v>
      </c>
      <c r="F3661" s="17">
        <v>250000</v>
      </c>
      <c r="G3661" s="17">
        <v>189000</v>
      </c>
      <c r="H3661" s="16" t="s">
        <v>4328</v>
      </c>
      <c r="I3661" s="40" t="s">
        <v>18</v>
      </c>
      <c r="J3661" s="40" t="str">
        <f>HYPERLINK("https://stock.pstatic.net/stock-research/company/64/20260417_company_384830000.pdf","PDF")</f>
        <v>PDF</v>
      </c>
      <c r="K3661" s="15" t="s">
        <v>4329</v>
      </c>
      <c r="L3661" s="20">
        <v>0.32275132275132268</v>
      </c>
    </row>
    <row r="3662" spans="1:12" x14ac:dyDescent="0.45">
      <c r="A3662" s="15" t="s">
        <v>4305</v>
      </c>
      <c r="B3662" s="15" t="s">
        <v>4021</v>
      </c>
      <c r="C3662" s="16" t="s">
        <v>4022</v>
      </c>
      <c r="D3662" s="16" t="s">
        <v>179</v>
      </c>
      <c r="E3662" s="15" t="s">
        <v>16</v>
      </c>
      <c r="F3662" s="17">
        <v>220000</v>
      </c>
      <c r="G3662" s="17">
        <v>188600</v>
      </c>
      <c r="H3662" s="16" t="s">
        <v>4330</v>
      </c>
      <c r="I3662" s="40" t="s">
        <v>18</v>
      </c>
      <c r="J3662" s="40" t="str">
        <f>HYPERLINK("https://stock.pstatic.net/stock-research/company/64/20260417_company_293352000.pdf","PDF")</f>
        <v>PDF</v>
      </c>
      <c r="K3662" s="15" t="s">
        <v>4331</v>
      </c>
      <c r="L3662" s="20">
        <v>0.16648992576882291</v>
      </c>
    </row>
    <row r="3663" spans="1:12" x14ac:dyDescent="0.45">
      <c r="A3663" s="15" t="s">
        <v>4305</v>
      </c>
      <c r="B3663" s="15" t="s">
        <v>888</v>
      </c>
      <c r="C3663" s="16" t="s">
        <v>889</v>
      </c>
      <c r="D3663" s="16" t="s">
        <v>179</v>
      </c>
      <c r="E3663" s="15" t="s">
        <v>16</v>
      </c>
      <c r="F3663" s="17">
        <v>62000</v>
      </c>
      <c r="G3663" s="17">
        <v>51900</v>
      </c>
      <c r="H3663" s="16" t="s">
        <v>4332</v>
      </c>
      <c r="I3663" s="40" t="s">
        <v>18</v>
      </c>
      <c r="J3663" s="40" t="str">
        <f>HYPERLINK("https://stock.pstatic.net/stock-research/company/64/20260417_company_388494000.pdf","PDF")</f>
        <v>PDF</v>
      </c>
      <c r="K3663" s="15" t="s">
        <v>4333</v>
      </c>
      <c r="L3663" s="20">
        <v>0.19460500963391139</v>
      </c>
    </row>
    <row r="3664" spans="1:12" x14ac:dyDescent="0.45">
      <c r="A3664" s="15" t="s">
        <v>4305</v>
      </c>
      <c r="B3664" s="15" t="s">
        <v>485</v>
      </c>
      <c r="C3664" s="16" t="s">
        <v>486</v>
      </c>
      <c r="D3664" s="16" t="s">
        <v>34</v>
      </c>
      <c r="E3664" s="15" t="s">
        <v>35</v>
      </c>
      <c r="F3664" s="17">
        <v>220000</v>
      </c>
      <c r="G3664" s="17">
        <v>149600</v>
      </c>
      <c r="H3664" s="16" t="s">
        <v>4334</v>
      </c>
      <c r="I3664" s="40" t="s">
        <v>18</v>
      </c>
      <c r="J3664" s="40" t="str">
        <f>HYPERLINK("https://stock.pstatic.net/stock-research/company/61/20260417_company_342930000.pdf","PDF")</f>
        <v>PDF</v>
      </c>
      <c r="K3664" s="15" t="s">
        <v>4335</v>
      </c>
      <c r="L3664" s="20">
        <v>0.47058823529411759</v>
      </c>
    </row>
    <row r="3665" spans="1:12" x14ac:dyDescent="0.45">
      <c r="A3665" s="15" t="s">
        <v>4305</v>
      </c>
      <c r="B3665" s="15" t="s">
        <v>4336</v>
      </c>
      <c r="C3665" s="16" t="s">
        <v>4337</v>
      </c>
      <c r="D3665" s="16" t="s">
        <v>44</v>
      </c>
      <c r="E3665" s="15" t="s">
        <v>50</v>
      </c>
      <c r="F3665" s="16"/>
      <c r="G3665" s="17">
        <v>2475</v>
      </c>
      <c r="H3665" s="16" t="s">
        <v>4338</v>
      </c>
      <c r="I3665" s="40" t="s">
        <v>18</v>
      </c>
      <c r="J3665" s="40" t="str">
        <f>HYPERLINK("https://stock.pstatic.net/stock-research/company/39/20260417_company_522859000.pdf","PDF")</f>
        <v>PDF</v>
      </c>
      <c r="K3665" s="15" t="s">
        <v>4339</v>
      </c>
    </row>
    <row r="3666" spans="1:12" x14ac:dyDescent="0.45">
      <c r="A3666" s="15" t="s">
        <v>4305</v>
      </c>
      <c r="B3666" s="15" t="s">
        <v>272</v>
      </c>
      <c r="C3666" s="16" t="s">
        <v>273</v>
      </c>
      <c r="D3666" s="16" t="s">
        <v>44</v>
      </c>
      <c r="E3666" s="15" t="s">
        <v>35</v>
      </c>
      <c r="F3666" s="17">
        <v>410000</v>
      </c>
      <c r="G3666" s="17">
        <v>310000</v>
      </c>
      <c r="H3666" s="16" t="s">
        <v>4340</v>
      </c>
      <c r="I3666" s="40" t="s">
        <v>18</v>
      </c>
      <c r="J3666" s="40" t="str">
        <f>HYPERLINK("https://stock.pstatic.net/stock-research/company/39/20260417_company_208769000.pdf","PDF")</f>
        <v>PDF</v>
      </c>
      <c r="K3666" s="15" t="s">
        <v>4341</v>
      </c>
      <c r="L3666" s="20">
        <v>0.32258064516129031</v>
      </c>
    </row>
    <row r="3667" spans="1:12" x14ac:dyDescent="0.45">
      <c r="A3667" s="15" t="s">
        <v>4305</v>
      </c>
      <c r="B3667" s="15" t="s">
        <v>3284</v>
      </c>
      <c r="C3667" s="16" t="s">
        <v>3285</v>
      </c>
      <c r="D3667" s="16" t="s">
        <v>44</v>
      </c>
      <c r="E3667" s="15" t="s">
        <v>35</v>
      </c>
      <c r="F3667" s="17">
        <v>179000</v>
      </c>
      <c r="G3667" s="17">
        <v>131900</v>
      </c>
      <c r="H3667" s="16" t="s">
        <v>4342</v>
      </c>
      <c r="I3667" s="40" t="s">
        <v>18</v>
      </c>
      <c r="J3667" s="40" t="str">
        <f>HYPERLINK("https://stock.pstatic.net/stock-research/company/39/20260417_company_928727000.pdf","PDF")</f>
        <v>PDF</v>
      </c>
      <c r="K3667" s="15" t="s">
        <v>4343</v>
      </c>
      <c r="L3667" s="20">
        <v>0.35708870356330552</v>
      </c>
    </row>
    <row r="3668" spans="1:12" x14ac:dyDescent="0.45">
      <c r="A3668" s="15" t="s">
        <v>4305</v>
      </c>
      <c r="B3668" s="15" t="s">
        <v>744</v>
      </c>
      <c r="C3668" s="16" t="s">
        <v>745</v>
      </c>
      <c r="D3668" s="16" t="s">
        <v>44</v>
      </c>
      <c r="E3668" s="15" t="s">
        <v>35</v>
      </c>
      <c r="F3668" s="17">
        <v>39000</v>
      </c>
      <c r="G3668" s="17">
        <v>28700</v>
      </c>
      <c r="H3668" s="16" t="s">
        <v>4344</v>
      </c>
      <c r="I3668" s="40" t="s">
        <v>18</v>
      </c>
      <c r="J3668" s="40" t="str">
        <f>HYPERLINK("https://stock.pstatic.net/stock-research/company/39/20260417_company_837276000.pdf","PDF")</f>
        <v>PDF</v>
      </c>
      <c r="K3668" s="15" t="s">
        <v>4345</v>
      </c>
      <c r="L3668" s="20">
        <v>0.35888501742160278</v>
      </c>
    </row>
    <row r="3669" spans="1:12" x14ac:dyDescent="0.45">
      <c r="A3669" s="15" t="s">
        <v>4305</v>
      </c>
      <c r="B3669" s="15" t="s">
        <v>2492</v>
      </c>
      <c r="C3669" s="16" t="s">
        <v>2493</v>
      </c>
      <c r="D3669" s="16" t="s">
        <v>44</v>
      </c>
      <c r="E3669" s="15" t="s">
        <v>35</v>
      </c>
      <c r="F3669" s="17">
        <v>600000</v>
      </c>
      <c r="G3669" s="17">
        <v>408000</v>
      </c>
      <c r="H3669" s="16" t="s">
        <v>4346</v>
      </c>
      <c r="I3669" s="40" t="s">
        <v>18</v>
      </c>
      <c r="J3669" s="40" t="str">
        <f>HYPERLINK("https://stock.pstatic.net/stock-research/company/39/20260417_company_524361000.pdf","PDF")</f>
        <v>PDF</v>
      </c>
      <c r="K3669" s="15" t="s">
        <v>4347</v>
      </c>
      <c r="L3669" s="20">
        <v>0.47058823529411759</v>
      </c>
    </row>
    <row r="3670" spans="1:12" x14ac:dyDescent="0.45">
      <c r="A3670" s="15" t="s">
        <v>4305</v>
      </c>
      <c r="B3670" s="15" t="s">
        <v>2435</v>
      </c>
      <c r="C3670" s="16" t="s">
        <v>2436</v>
      </c>
      <c r="D3670" s="16" t="s">
        <v>44</v>
      </c>
      <c r="E3670" s="15" t="s">
        <v>35</v>
      </c>
      <c r="F3670" s="17">
        <v>810000</v>
      </c>
      <c r="G3670" s="17">
        <v>493500</v>
      </c>
      <c r="H3670" s="16" t="s">
        <v>4348</v>
      </c>
      <c r="I3670" s="40" t="s">
        <v>18</v>
      </c>
      <c r="J3670" s="40" t="str">
        <f>HYPERLINK("https://stock.pstatic.net/stock-research/company/39/20260417_company_981909000.pdf","PDF")</f>
        <v>PDF</v>
      </c>
      <c r="K3670" s="15" t="s">
        <v>4349</v>
      </c>
      <c r="L3670" s="20">
        <v>0.64133738601823709</v>
      </c>
    </row>
    <row r="3671" spans="1:12" x14ac:dyDescent="0.45">
      <c r="A3671" s="15" t="s">
        <v>4305</v>
      </c>
      <c r="B3671" s="15" t="s">
        <v>3349</v>
      </c>
      <c r="C3671" s="16" t="s">
        <v>3350</v>
      </c>
      <c r="D3671" s="16" t="s">
        <v>44</v>
      </c>
      <c r="E3671" s="15" t="s">
        <v>35</v>
      </c>
      <c r="F3671" s="17">
        <v>34000</v>
      </c>
      <c r="G3671" s="17">
        <v>23650</v>
      </c>
      <c r="H3671" s="16" t="s">
        <v>4350</v>
      </c>
      <c r="I3671" s="40" t="s">
        <v>18</v>
      </c>
      <c r="J3671" s="40" t="str">
        <f>HYPERLINK("https://stock.pstatic.net/stock-research/company/39/20260417_company_95335000.pdf","PDF")</f>
        <v>PDF</v>
      </c>
      <c r="K3671" s="15" t="s">
        <v>4351</v>
      </c>
      <c r="L3671" s="20">
        <v>0.43763213530655393</v>
      </c>
    </row>
    <row r="3672" spans="1:12" x14ac:dyDescent="0.45">
      <c r="A3672" s="15" t="s">
        <v>4305</v>
      </c>
      <c r="B3672" s="15" t="s">
        <v>4352</v>
      </c>
      <c r="C3672" s="16" t="s">
        <v>4353</v>
      </c>
      <c r="D3672" s="16" t="s">
        <v>124</v>
      </c>
      <c r="E3672" s="15" t="s">
        <v>50</v>
      </c>
      <c r="F3672" s="16"/>
      <c r="G3672" s="17">
        <v>12300</v>
      </c>
      <c r="H3672" s="16" t="s">
        <v>4354</v>
      </c>
      <c r="I3672" s="40" t="s">
        <v>18</v>
      </c>
      <c r="J3672" s="40" t="str">
        <f>HYPERLINK("https://stock.pstatic.net/stock-research/company/74/20260417_company_991160000.pdf","PDF")</f>
        <v>PDF</v>
      </c>
      <c r="K3672" s="15" t="s">
        <v>4355</v>
      </c>
    </row>
    <row r="3673" spans="1:12" x14ac:dyDescent="0.45">
      <c r="A3673" s="15" t="s">
        <v>4305</v>
      </c>
      <c r="B3673" s="15" t="s">
        <v>4356</v>
      </c>
      <c r="C3673" s="16" t="s">
        <v>4357</v>
      </c>
      <c r="D3673" s="16" t="s">
        <v>124</v>
      </c>
      <c r="E3673" s="15" t="s">
        <v>50</v>
      </c>
      <c r="F3673" s="16"/>
      <c r="G3673" s="17">
        <v>3155</v>
      </c>
      <c r="H3673" s="16" t="s">
        <v>4358</v>
      </c>
      <c r="I3673" s="40" t="s">
        <v>18</v>
      </c>
      <c r="J3673" s="40" t="str">
        <f>HYPERLINK("https://stock.pstatic.net/stock-research/company/74/20260417_company_849813000.pdf","PDF")</f>
        <v>PDF</v>
      </c>
      <c r="K3673" s="15" t="s">
        <v>4359</v>
      </c>
    </row>
    <row r="3674" spans="1:12" x14ac:dyDescent="0.45">
      <c r="A3674" s="15" t="s">
        <v>4305</v>
      </c>
      <c r="B3674" s="15" t="s">
        <v>4360</v>
      </c>
      <c r="C3674" s="16" t="s">
        <v>4361</v>
      </c>
      <c r="D3674" s="16" t="s">
        <v>124</v>
      </c>
      <c r="E3674" s="15" t="s">
        <v>50</v>
      </c>
      <c r="F3674" s="16"/>
      <c r="G3674" s="17">
        <v>8020</v>
      </c>
      <c r="H3674" s="16" t="s">
        <v>4362</v>
      </c>
      <c r="I3674" s="40" t="s">
        <v>18</v>
      </c>
      <c r="J3674" s="40" t="str">
        <f>HYPERLINK("https://stock.pstatic.net/stock-research/company/74/20260417_company_767579000.pdf","PDF")</f>
        <v>PDF</v>
      </c>
      <c r="K3674" s="15" t="s">
        <v>4363</v>
      </c>
    </row>
    <row r="3675" spans="1:12" x14ac:dyDescent="0.45">
      <c r="A3675" s="15" t="s">
        <v>4305</v>
      </c>
      <c r="B3675" s="15" t="s">
        <v>4364</v>
      </c>
      <c r="C3675" s="16" t="s">
        <v>4365</v>
      </c>
      <c r="D3675" s="16" t="s">
        <v>124</v>
      </c>
      <c r="E3675" s="15" t="s">
        <v>50</v>
      </c>
      <c r="F3675" s="16"/>
      <c r="G3675" s="17">
        <v>4170</v>
      </c>
      <c r="H3675" s="16" t="s">
        <v>4366</v>
      </c>
      <c r="I3675" s="40" t="s">
        <v>18</v>
      </c>
      <c r="J3675" s="40" t="str">
        <f>HYPERLINK("https://stock.pstatic.net/stock-research/company/74/20260417_company_47673000.pdf","PDF")</f>
        <v>PDF</v>
      </c>
      <c r="K3675" s="15" t="s">
        <v>4367</v>
      </c>
    </row>
    <row r="3676" spans="1:12" x14ac:dyDescent="0.45">
      <c r="A3676" s="15" t="s">
        <v>4305</v>
      </c>
      <c r="B3676" s="15" t="s">
        <v>4368</v>
      </c>
      <c r="C3676" s="16" t="s">
        <v>4369</v>
      </c>
      <c r="D3676" s="16" t="s">
        <v>124</v>
      </c>
      <c r="E3676" s="15" t="s">
        <v>50</v>
      </c>
      <c r="F3676" s="16"/>
      <c r="G3676" s="17">
        <v>20200</v>
      </c>
      <c r="H3676" s="16" t="s">
        <v>4370</v>
      </c>
      <c r="I3676" s="40" t="s">
        <v>18</v>
      </c>
      <c r="J3676" s="40" t="str">
        <f>HYPERLINK("https://stock.pstatic.net/stock-research/company/74/20260417_company_765314000.pdf","PDF")</f>
        <v>PDF</v>
      </c>
      <c r="K3676" s="15" t="s">
        <v>4371</v>
      </c>
    </row>
    <row r="3677" spans="1:12" x14ac:dyDescent="0.45">
      <c r="A3677" s="15" t="s">
        <v>4305</v>
      </c>
      <c r="B3677" s="15" t="s">
        <v>4372</v>
      </c>
      <c r="C3677" s="16" t="s">
        <v>4373</v>
      </c>
      <c r="D3677" s="16" t="s">
        <v>124</v>
      </c>
      <c r="E3677" s="15" t="s">
        <v>50</v>
      </c>
      <c r="F3677" s="16"/>
      <c r="G3677" s="17">
        <v>11350</v>
      </c>
      <c r="H3677" s="16" t="s">
        <v>4374</v>
      </c>
      <c r="I3677" s="40" t="s">
        <v>18</v>
      </c>
      <c r="J3677" s="40" t="str">
        <f>HYPERLINK("https://stock.pstatic.net/stock-research/company/74/20260417_company_27264000.pdf","PDF")</f>
        <v>PDF</v>
      </c>
      <c r="K3677" s="15" t="s">
        <v>4375</v>
      </c>
    </row>
    <row r="3678" spans="1:12" x14ac:dyDescent="0.45">
      <c r="A3678" s="15" t="s">
        <v>4305</v>
      </c>
      <c r="B3678" s="15" t="s">
        <v>4376</v>
      </c>
      <c r="C3678" s="16" t="s">
        <v>4377</v>
      </c>
      <c r="D3678" s="16" t="s">
        <v>124</v>
      </c>
      <c r="E3678" s="15" t="s">
        <v>50</v>
      </c>
      <c r="F3678" s="16"/>
      <c r="G3678" s="17">
        <v>9180</v>
      </c>
      <c r="H3678" s="16" t="s">
        <v>4378</v>
      </c>
      <c r="I3678" s="40" t="s">
        <v>18</v>
      </c>
      <c r="J3678" s="40" t="str">
        <f>HYPERLINK("https://stock.pstatic.net/stock-research/company/74/20260417_company_75586000.pdf","PDF")</f>
        <v>PDF</v>
      </c>
      <c r="K3678" s="15" t="s">
        <v>4379</v>
      </c>
    </row>
    <row r="3679" spans="1:12" x14ac:dyDescent="0.45">
      <c r="A3679" s="15" t="s">
        <v>4305</v>
      </c>
      <c r="B3679" s="15" t="s">
        <v>3036</v>
      </c>
      <c r="C3679" s="16" t="s">
        <v>4380</v>
      </c>
      <c r="D3679" s="16" t="s">
        <v>124</v>
      </c>
      <c r="E3679" s="15" t="s">
        <v>50</v>
      </c>
      <c r="F3679" s="16"/>
      <c r="G3679" s="17">
        <v>30050</v>
      </c>
      <c r="H3679" s="16" t="s">
        <v>4381</v>
      </c>
      <c r="I3679" s="40" t="s">
        <v>18</v>
      </c>
      <c r="J3679" s="40" t="str">
        <f>HYPERLINK("https://stock.pstatic.net/stock-research/company/74/20260417_company_304782000.pdf","PDF")</f>
        <v>PDF</v>
      </c>
      <c r="K3679" s="15" t="s">
        <v>4382</v>
      </c>
    </row>
    <row r="3680" spans="1:12" x14ac:dyDescent="0.45">
      <c r="A3680" s="15" t="s">
        <v>4305</v>
      </c>
      <c r="B3680" s="15" t="s">
        <v>4383</v>
      </c>
      <c r="C3680" s="16" t="s">
        <v>4384</v>
      </c>
      <c r="D3680" s="16" t="s">
        <v>124</v>
      </c>
      <c r="E3680" s="15" t="s">
        <v>50</v>
      </c>
      <c r="F3680" s="16"/>
      <c r="G3680" s="17">
        <v>3900</v>
      </c>
      <c r="H3680" s="16" t="s">
        <v>4385</v>
      </c>
      <c r="I3680" s="40" t="s">
        <v>18</v>
      </c>
      <c r="J3680" s="40" t="str">
        <f>HYPERLINK("https://stock.pstatic.net/stock-research/company/74/20260417_company_581732000.pdf","PDF")</f>
        <v>PDF</v>
      </c>
      <c r="K3680" s="15" t="s">
        <v>4386</v>
      </c>
    </row>
    <row r="3681" spans="1:12" x14ac:dyDescent="0.45">
      <c r="A3681" s="15" t="s">
        <v>4305</v>
      </c>
      <c r="B3681" s="15" t="s">
        <v>4387</v>
      </c>
      <c r="C3681" s="16" t="s">
        <v>4388</v>
      </c>
      <c r="D3681" s="16" t="s">
        <v>207</v>
      </c>
      <c r="E3681" s="15" t="s">
        <v>50</v>
      </c>
      <c r="F3681" s="16"/>
      <c r="G3681" s="16"/>
      <c r="H3681" s="16" t="s">
        <v>4389</v>
      </c>
      <c r="I3681" s="40" t="s">
        <v>18</v>
      </c>
      <c r="J3681" s="40" t="str">
        <f>HYPERLINK("https://stock.pstatic.net/stock-research/company/75/20260417_company_592631000.pdf","PDF")</f>
        <v>PDF</v>
      </c>
      <c r="K3681" s="15" t="s">
        <v>4390</v>
      </c>
    </row>
    <row r="3682" spans="1:12" x14ac:dyDescent="0.45">
      <c r="A3682" s="15" t="s">
        <v>4305</v>
      </c>
      <c r="B3682" s="15" t="s">
        <v>4391</v>
      </c>
      <c r="C3682" s="16" t="s">
        <v>4392</v>
      </c>
      <c r="D3682" s="16" t="s">
        <v>202</v>
      </c>
      <c r="E3682" s="15" t="s">
        <v>50</v>
      </c>
      <c r="F3682" s="16"/>
      <c r="G3682" s="16"/>
      <c r="H3682" s="16" t="s">
        <v>4393</v>
      </c>
      <c r="I3682" s="40" t="s">
        <v>18</v>
      </c>
      <c r="J3682" s="40" t="str">
        <f>HYPERLINK("https://stock.pstatic.net/stock-research/company/69/20260417_company_409400000.pdf","PDF")</f>
        <v>PDF</v>
      </c>
      <c r="K3682" s="15" t="s">
        <v>4394</v>
      </c>
    </row>
    <row r="3683" spans="1:12" x14ac:dyDescent="0.45">
      <c r="A3683" s="15" t="s">
        <v>4305</v>
      </c>
      <c r="B3683" s="15" t="s">
        <v>4395</v>
      </c>
      <c r="C3683" s="16" t="s">
        <v>4396</v>
      </c>
      <c r="D3683" s="16" t="s">
        <v>202</v>
      </c>
      <c r="E3683" s="15" t="s">
        <v>50</v>
      </c>
      <c r="F3683" s="16"/>
      <c r="G3683" s="16"/>
      <c r="H3683" s="16" t="s">
        <v>4397</v>
      </c>
      <c r="I3683" s="40" t="s">
        <v>18</v>
      </c>
      <c r="J3683" s="40" t="str">
        <f>HYPERLINK("https://stock.pstatic.net/stock-research/company/69/20260417_company_554748000.pdf","PDF")</f>
        <v>PDF</v>
      </c>
      <c r="K3683" s="15" t="s">
        <v>4398</v>
      </c>
    </row>
    <row r="3684" spans="1:12" x14ac:dyDescent="0.45">
      <c r="A3684" s="15" t="s">
        <v>4305</v>
      </c>
      <c r="B3684" s="15" t="s">
        <v>4399</v>
      </c>
      <c r="C3684" s="16" t="s">
        <v>4400</v>
      </c>
      <c r="D3684" s="16" t="s">
        <v>207</v>
      </c>
      <c r="E3684" s="15" t="s">
        <v>50</v>
      </c>
      <c r="F3684" s="16"/>
      <c r="G3684" s="16"/>
      <c r="H3684" s="16" t="s">
        <v>4401</v>
      </c>
      <c r="I3684" s="40" t="s">
        <v>18</v>
      </c>
      <c r="J3684" s="40" t="str">
        <f>HYPERLINK("https://stock.pstatic.net/stock-research/company/75/20260417_company_727152000.pdf","PDF")</f>
        <v>PDF</v>
      </c>
      <c r="K3684" s="15" t="s">
        <v>4402</v>
      </c>
    </row>
    <row r="3685" spans="1:12" x14ac:dyDescent="0.45">
      <c r="A3685" s="15" t="s">
        <v>4305</v>
      </c>
      <c r="B3685" s="15" t="s">
        <v>4403</v>
      </c>
      <c r="C3685" s="16" t="s">
        <v>4404</v>
      </c>
      <c r="D3685" s="16" t="s">
        <v>202</v>
      </c>
      <c r="E3685" s="15" t="s">
        <v>50</v>
      </c>
      <c r="F3685" s="16"/>
      <c r="G3685" s="16"/>
      <c r="H3685" s="16" t="s">
        <v>4405</v>
      </c>
      <c r="I3685" s="40" t="s">
        <v>18</v>
      </c>
      <c r="J3685" s="40" t="str">
        <f>HYPERLINK("https://stock.pstatic.net/stock-research/company/69/20260417_company_603579000.pdf","PDF")</f>
        <v>PDF</v>
      </c>
      <c r="K3685" s="15" t="s">
        <v>4406</v>
      </c>
    </row>
    <row r="3686" spans="1:12" x14ac:dyDescent="0.45">
      <c r="A3686" s="15" t="s">
        <v>4305</v>
      </c>
      <c r="B3686" s="15" t="s">
        <v>4407</v>
      </c>
      <c r="C3686" s="16" t="s">
        <v>4408</v>
      </c>
      <c r="D3686" s="16" t="s">
        <v>207</v>
      </c>
      <c r="E3686" s="15" t="s">
        <v>50</v>
      </c>
      <c r="F3686" s="16"/>
      <c r="G3686" s="16"/>
      <c r="H3686" s="16" t="s">
        <v>4409</v>
      </c>
      <c r="I3686" s="40" t="s">
        <v>18</v>
      </c>
      <c r="J3686" s="40" t="str">
        <f>HYPERLINK("https://stock.pstatic.net/stock-research/company/75/20260417_company_33716000.pdf","PDF")</f>
        <v>PDF</v>
      </c>
      <c r="K3686" s="15" t="s">
        <v>4410</v>
      </c>
    </row>
    <row r="3687" spans="1:12" x14ac:dyDescent="0.45">
      <c r="A3687" s="15" t="s">
        <v>4411</v>
      </c>
      <c r="B3687" s="15" t="s">
        <v>352</v>
      </c>
      <c r="C3687" s="16" t="s">
        <v>353</v>
      </c>
      <c r="D3687" s="16" t="s">
        <v>1271</v>
      </c>
      <c r="E3687" s="15" t="s">
        <v>35</v>
      </c>
      <c r="F3687" s="17">
        <v>292000</v>
      </c>
      <c r="G3687" s="17">
        <v>210000</v>
      </c>
      <c r="H3687" s="16" t="s">
        <v>4412</v>
      </c>
      <c r="I3687" s="40" t="s">
        <v>18</v>
      </c>
      <c r="J3687" s="40" t="str">
        <f>HYPERLINK("https://stock.pstatic.net/stock-research/company/78/20260416_company_342000000.pdf","PDF")</f>
        <v>PDF</v>
      </c>
      <c r="K3687" s="15" t="s">
        <v>4413</v>
      </c>
      <c r="L3687" s="20">
        <v>0.39047619047619048</v>
      </c>
    </row>
    <row r="3688" spans="1:12" x14ac:dyDescent="0.45">
      <c r="A3688" s="15" t="s">
        <v>4411</v>
      </c>
      <c r="B3688" s="15" t="s">
        <v>3105</v>
      </c>
      <c r="C3688" s="16" t="s">
        <v>3106</v>
      </c>
      <c r="D3688" s="16" t="s">
        <v>1271</v>
      </c>
      <c r="E3688" s="15" t="s">
        <v>35</v>
      </c>
      <c r="F3688" s="17">
        <v>380000</v>
      </c>
      <c r="G3688" s="17">
        <v>260500</v>
      </c>
      <c r="H3688" s="16" t="s">
        <v>4414</v>
      </c>
      <c r="I3688" s="40" t="s">
        <v>18</v>
      </c>
      <c r="J3688" s="40" t="str">
        <f>HYPERLINK("https://stock.pstatic.net/stock-research/company/78/20260416_company_592172000.pdf","PDF")</f>
        <v>PDF</v>
      </c>
      <c r="K3688" s="15" t="s">
        <v>4415</v>
      </c>
      <c r="L3688" s="20">
        <v>0.45873320537428031</v>
      </c>
    </row>
    <row r="3689" spans="1:12" x14ac:dyDescent="0.45">
      <c r="A3689" s="15" t="s">
        <v>4411</v>
      </c>
      <c r="B3689" s="15" t="s">
        <v>398</v>
      </c>
      <c r="C3689" s="16" t="s">
        <v>399</v>
      </c>
      <c r="D3689" s="16" t="s">
        <v>1271</v>
      </c>
      <c r="E3689" s="15" t="s">
        <v>35</v>
      </c>
      <c r="F3689" s="17">
        <v>271000</v>
      </c>
      <c r="G3689" s="17">
        <v>218000</v>
      </c>
      <c r="H3689" s="16" t="s">
        <v>4416</v>
      </c>
      <c r="I3689" s="40" t="s">
        <v>18</v>
      </c>
      <c r="J3689" s="40" t="str">
        <f>HYPERLINK("https://stock.pstatic.net/stock-research/company/78/20260416_company_578359000.pdf","PDF")</f>
        <v>PDF</v>
      </c>
      <c r="K3689" s="15" t="s">
        <v>4417</v>
      </c>
      <c r="L3689" s="20">
        <v>0.24311926605504591</v>
      </c>
    </row>
    <row r="3690" spans="1:12" x14ac:dyDescent="0.45">
      <c r="A3690" s="15" t="s">
        <v>4411</v>
      </c>
      <c r="B3690" s="15" t="s">
        <v>1660</v>
      </c>
      <c r="C3690" s="16" t="s">
        <v>1661</v>
      </c>
      <c r="D3690" s="16" t="s">
        <v>1271</v>
      </c>
      <c r="E3690" s="15" t="s">
        <v>35</v>
      </c>
      <c r="F3690" s="17">
        <v>51000</v>
      </c>
      <c r="G3690" s="17">
        <v>34200</v>
      </c>
      <c r="H3690" s="16" t="s">
        <v>4418</v>
      </c>
      <c r="I3690" s="40" t="s">
        <v>18</v>
      </c>
      <c r="J3690" s="40" t="str">
        <f>HYPERLINK("https://stock.pstatic.net/stock-research/company/78/20260416_company_548224000.pdf","PDF")</f>
        <v>PDF</v>
      </c>
      <c r="K3690" s="15" t="s">
        <v>4419</v>
      </c>
      <c r="L3690" s="20">
        <v>0.49122807017543862</v>
      </c>
    </row>
    <row r="3691" spans="1:12" x14ac:dyDescent="0.45">
      <c r="A3691" s="15" t="s">
        <v>4411</v>
      </c>
      <c r="B3691" s="15" t="s">
        <v>824</v>
      </c>
      <c r="C3691" s="16" t="s">
        <v>825</v>
      </c>
      <c r="D3691" s="16" t="s">
        <v>1271</v>
      </c>
      <c r="E3691" s="15" t="s">
        <v>35</v>
      </c>
      <c r="F3691" s="17">
        <v>54000</v>
      </c>
      <c r="G3691" s="17">
        <v>42350</v>
      </c>
      <c r="H3691" s="16" t="s">
        <v>4420</v>
      </c>
      <c r="I3691" s="40" t="s">
        <v>18</v>
      </c>
      <c r="J3691" s="40" t="str">
        <f>HYPERLINK("https://stock.pstatic.net/stock-research/company/78/20260416_company_303861000.pdf","PDF")</f>
        <v>PDF</v>
      </c>
      <c r="K3691" s="15" t="s">
        <v>4421</v>
      </c>
      <c r="L3691" s="20">
        <v>0.27508854781582048</v>
      </c>
    </row>
    <row r="3692" spans="1:12" x14ac:dyDescent="0.45">
      <c r="A3692" s="15" t="s">
        <v>4411</v>
      </c>
      <c r="B3692" s="15" t="s">
        <v>3280</v>
      </c>
      <c r="C3692" s="16" t="s">
        <v>3281</v>
      </c>
      <c r="D3692" s="16" t="s">
        <v>1271</v>
      </c>
      <c r="E3692" s="15" t="s">
        <v>35</v>
      </c>
      <c r="F3692" s="17">
        <v>65000</v>
      </c>
      <c r="G3692" s="17">
        <v>50700</v>
      </c>
      <c r="H3692" s="16" t="s">
        <v>4422</v>
      </c>
      <c r="I3692" s="40" t="s">
        <v>18</v>
      </c>
      <c r="J3692" s="40" t="str">
        <f>HYPERLINK("https://stock.pstatic.net/stock-research/company/78/20260416_company_116169000.pdf","PDF")</f>
        <v>PDF</v>
      </c>
      <c r="K3692" s="15" t="s">
        <v>4423</v>
      </c>
      <c r="L3692" s="20">
        <v>0.28205128205128199</v>
      </c>
    </row>
    <row r="3693" spans="1:12" x14ac:dyDescent="0.45">
      <c r="A3693" s="15" t="s">
        <v>4411</v>
      </c>
      <c r="B3693" s="15" t="s">
        <v>1799</v>
      </c>
      <c r="C3693" s="16" t="s">
        <v>1800</v>
      </c>
      <c r="D3693" s="16" t="s">
        <v>1271</v>
      </c>
      <c r="E3693" s="15" t="s">
        <v>35</v>
      </c>
      <c r="F3693" s="17">
        <v>7000</v>
      </c>
      <c r="G3693" s="17">
        <v>5360</v>
      </c>
      <c r="H3693" s="16" t="s">
        <v>4424</v>
      </c>
      <c r="I3693" s="40" t="s">
        <v>18</v>
      </c>
      <c r="J3693" s="40" t="str">
        <f>HYPERLINK("https://stock.pstatic.net/stock-research/company/78/20260416_company_552411000.pdf","PDF")</f>
        <v>PDF</v>
      </c>
      <c r="K3693" s="15" t="s">
        <v>4425</v>
      </c>
      <c r="L3693" s="20">
        <v>0.30597014925373128</v>
      </c>
    </row>
    <row r="3694" spans="1:12" x14ac:dyDescent="0.45">
      <c r="A3694" s="15" t="s">
        <v>4411</v>
      </c>
      <c r="B3694" s="15" t="s">
        <v>2089</v>
      </c>
      <c r="C3694" s="16" t="s">
        <v>2090</v>
      </c>
      <c r="D3694" s="16" t="s">
        <v>1271</v>
      </c>
      <c r="E3694" s="15" t="s">
        <v>35</v>
      </c>
      <c r="F3694" s="17">
        <v>150000</v>
      </c>
      <c r="G3694" s="17">
        <v>120700</v>
      </c>
      <c r="H3694" s="16" t="s">
        <v>4426</v>
      </c>
      <c r="I3694" s="40" t="s">
        <v>18</v>
      </c>
      <c r="J3694" s="40" t="str">
        <f>HYPERLINK("https://stock.pstatic.net/stock-research/company/78/20260416_company_503719000.pdf","PDF")</f>
        <v>PDF</v>
      </c>
      <c r="K3694" s="15" t="s">
        <v>4427</v>
      </c>
      <c r="L3694" s="20">
        <v>0.2427506213753107</v>
      </c>
    </row>
    <row r="3695" spans="1:12" x14ac:dyDescent="0.45">
      <c r="A3695" s="15" t="s">
        <v>4411</v>
      </c>
      <c r="B3695" s="15" t="s">
        <v>170</v>
      </c>
      <c r="C3695" s="16" t="s">
        <v>171</v>
      </c>
      <c r="D3695" s="16" t="s">
        <v>1271</v>
      </c>
      <c r="E3695" s="15" t="s">
        <v>35</v>
      </c>
      <c r="F3695" s="17">
        <v>85000</v>
      </c>
      <c r="G3695" s="17">
        <v>67000</v>
      </c>
      <c r="H3695" s="16" t="s">
        <v>4428</v>
      </c>
      <c r="I3695" s="40" t="s">
        <v>18</v>
      </c>
      <c r="J3695" s="40" t="str">
        <f>HYPERLINK("https://stock.pstatic.net/stock-research/company/78/20260416_company_110383000.pdf","PDF")</f>
        <v>PDF</v>
      </c>
      <c r="K3695" s="15" t="s">
        <v>4429</v>
      </c>
      <c r="L3695" s="20">
        <v>0.26865671641791039</v>
      </c>
    </row>
    <row r="3696" spans="1:12" x14ac:dyDescent="0.45">
      <c r="A3696" s="15" t="s">
        <v>4411</v>
      </c>
      <c r="B3696" s="15" t="s">
        <v>1678</v>
      </c>
      <c r="C3696" s="16" t="s">
        <v>1679</v>
      </c>
      <c r="D3696" s="16" t="s">
        <v>1271</v>
      </c>
      <c r="E3696" s="15" t="s">
        <v>35</v>
      </c>
      <c r="F3696" s="17">
        <v>80000</v>
      </c>
      <c r="G3696" s="17">
        <v>53500</v>
      </c>
      <c r="H3696" s="16" t="s">
        <v>4430</v>
      </c>
      <c r="I3696" s="40" t="s">
        <v>18</v>
      </c>
      <c r="J3696" s="40" t="str">
        <f>HYPERLINK("https://stock.pstatic.net/stock-research/company/78/20260416_company_186019000.pdf","PDF")</f>
        <v>PDF</v>
      </c>
      <c r="K3696" s="15" t="s">
        <v>4431</v>
      </c>
      <c r="L3696" s="20">
        <v>0.49532710280373832</v>
      </c>
    </row>
    <row r="3697" spans="1:12" x14ac:dyDescent="0.45">
      <c r="A3697" s="15" t="s">
        <v>4411</v>
      </c>
      <c r="B3697" s="15" t="s">
        <v>3079</v>
      </c>
      <c r="C3697" s="16" t="s">
        <v>3080</v>
      </c>
      <c r="D3697" s="16" t="s">
        <v>57</v>
      </c>
      <c r="E3697" s="15" t="s">
        <v>35</v>
      </c>
      <c r="F3697" s="17">
        <v>89000</v>
      </c>
      <c r="G3697" s="17">
        <v>68200</v>
      </c>
      <c r="H3697" s="16" t="s">
        <v>4432</v>
      </c>
      <c r="I3697" s="40" t="s">
        <v>18</v>
      </c>
      <c r="J3697" s="40" t="str">
        <f>HYPERLINK("https://stock.pstatic.net/stock-research/company/16/20260416_company_280319000.pdf","PDF")</f>
        <v>PDF</v>
      </c>
      <c r="K3697" s="15" t="s">
        <v>4433</v>
      </c>
      <c r="L3697" s="20">
        <v>0.30498533724340182</v>
      </c>
    </row>
    <row r="3698" spans="1:12" x14ac:dyDescent="0.45">
      <c r="A3698" s="15" t="s">
        <v>4411</v>
      </c>
      <c r="B3698" s="15" t="s">
        <v>3478</v>
      </c>
      <c r="C3698" s="16" t="s">
        <v>3479</v>
      </c>
      <c r="D3698" s="16" t="s">
        <v>57</v>
      </c>
      <c r="E3698" s="15" t="s">
        <v>35</v>
      </c>
      <c r="F3698" s="17">
        <v>50000</v>
      </c>
      <c r="G3698" s="17">
        <v>40000</v>
      </c>
      <c r="H3698" s="16" t="s">
        <v>4434</v>
      </c>
      <c r="I3698" s="40" t="s">
        <v>18</v>
      </c>
      <c r="J3698" s="40" t="str">
        <f>HYPERLINK("https://stock.pstatic.net/stock-research/company/16/20260416_company_8849000.pdf","PDF")</f>
        <v>PDF</v>
      </c>
      <c r="K3698" s="15" t="s">
        <v>4435</v>
      </c>
      <c r="L3698" s="20">
        <v>0.25</v>
      </c>
    </row>
    <row r="3699" spans="1:12" x14ac:dyDescent="0.45">
      <c r="A3699" s="15" t="s">
        <v>4411</v>
      </c>
      <c r="B3699" s="15" t="s">
        <v>884</v>
      </c>
      <c r="C3699" s="16" t="s">
        <v>885</v>
      </c>
      <c r="D3699" s="16" t="s">
        <v>57</v>
      </c>
      <c r="E3699" s="15" t="s">
        <v>35</v>
      </c>
      <c r="F3699" s="17">
        <v>5500</v>
      </c>
      <c r="G3699" s="17">
        <v>3610</v>
      </c>
      <c r="H3699" s="16" t="s">
        <v>4436</v>
      </c>
      <c r="I3699" s="40" t="s">
        <v>18</v>
      </c>
      <c r="J3699" s="40" t="str">
        <f>HYPERLINK("https://stock.pstatic.net/stock-research/company/16/20260416_company_83779000.pdf","PDF")</f>
        <v>PDF</v>
      </c>
      <c r="K3699" s="15" t="s">
        <v>4437</v>
      </c>
      <c r="L3699" s="20">
        <v>0.52354570637119113</v>
      </c>
    </row>
    <row r="3700" spans="1:12" x14ac:dyDescent="0.45">
      <c r="A3700" s="15" t="s">
        <v>4411</v>
      </c>
      <c r="B3700" s="15" t="s">
        <v>1940</v>
      </c>
      <c r="C3700" s="16" t="s">
        <v>1941</v>
      </c>
      <c r="D3700" s="16" t="s">
        <v>276</v>
      </c>
      <c r="E3700" s="15" t="s">
        <v>16</v>
      </c>
      <c r="F3700" s="17">
        <v>25000</v>
      </c>
      <c r="G3700" s="17">
        <v>17900</v>
      </c>
      <c r="H3700" s="16" t="s">
        <v>4438</v>
      </c>
      <c r="I3700" s="40" t="s">
        <v>18</v>
      </c>
      <c r="J3700" s="40" t="str">
        <f>HYPERLINK("https://stock.pstatic.net/stock-research/company/66/20260416_company_797398000.pdf","PDF")</f>
        <v>PDF</v>
      </c>
      <c r="K3700" s="15" t="s">
        <v>4439</v>
      </c>
      <c r="L3700" s="20">
        <v>0.39664804469273751</v>
      </c>
    </row>
    <row r="3701" spans="1:12" x14ac:dyDescent="0.45">
      <c r="A3701" s="15" t="s">
        <v>4411</v>
      </c>
      <c r="B3701" s="15" t="s">
        <v>4440</v>
      </c>
      <c r="C3701" s="16" t="s">
        <v>4441</v>
      </c>
      <c r="D3701" s="16" t="s">
        <v>276</v>
      </c>
      <c r="E3701" s="15" t="s">
        <v>16</v>
      </c>
      <c r="F3701" s="17">
        <v>34000</v>
      </c>
      <c r="G3701" s="17">
        <v>22250</v>
      </c>
      <c r="H3701" s="16" t="s">
        <v>4442</v>
      </c>
      <c r="I3701" s="40" t="s">
        <v>18</v>
      </c>
      <c r="J3701" s="40" t="str">
        <f>HYPERLINK("https://stock.pstatic.net/stock-research/company/66/20260416_company_123279000.pdf","PDF")</f>
        <v>PDF</v>
      </c>
      <c r="K3701" s="15" t="s">
        <v>4443</v>
      </c>
      <c r="L3701" s="20">
        <v>0.5280898876404494</v>
      </c>
    </row>
    <row r="3702" spans="1:12" x14ac:dyDescent="0.45">
      <c r="A3702" s="15" t="s">
        <v>4411</v>
      </c>
      <c r="B3702" s="15" t="s">
        <v>2414</v>
      </c>
      <c r="C3702" s="16" t="s">
        <v>2415</v>
      </c>
      <c r="D3702" s="16" t="s">
        <v>276</v>
      </c>
      <c r="E3702" s="15" t="s">
        <v>16</v>
      </c>
      <c r="F3702" s="17">
        <v>2000000</v>
      </c>
      <c r="G3702" s="17">
        <v>1358000</v>
      </c>
      <c r="H3702" s="16" t="s">
        <v>4444</v>
      </c>
      <c r="I3702" s="40" t="s">
        <v>18</v>
      </c>
      <c r="J3702" s="40" t="str">
        <f>HYPERLINK("https://stock.pstatic.net/stock-research/company/66/20260416_company_746139000.pdf","PDF")</f>
        <v>PDF</v>
      </c>
      <c r="K3702" s="15" t="s">
        <v>4445</v>
      </c>
      <c r="L3702" s="20">
        <v>0.47275405007363769</v>
      </c>
    </row>
    <row r="3703" spans="1:12" x14ac:dyDescent="0.45">
      <c r="A3703" s="15" t="s">
        <v>4411</v>
      </c>
      <c r="B3703" s="15" t="s">
        <v>4446</v>
      </c>
      <c r="C3703" s="16" t="s">
        <v>4447</v>
      </c>
      <c r="D3703" s="16" t="s">
        <v>65</v>
      </c>
      <c r="E3703" s="15" t="s">
        <v>50</v>
      </c>
      <c r="F3703" s="16"/>
      <c r="G3703" s="17">
        <v>74700</v>
      </c>
      <c r="H3703" s="16" t="s">
        <v>4448</v>
      </c>
      <c r="I3703" s="40" t="s">
        <v>18</v>
      </c>
      <c r="J3703" s="40" t="str">
        <f>HYPERLINK("https://stock.pstatic.net/stock-research/company/57/20260416_company_624106000.pdf","PDF")</f>
        <v>PDF</v>
      </c>
      <c r="K3703" s="15" t="s">
        <v>4449</v>
      </c>
    </row>
    <row r="3704" spans="1:12" x14ac:dyDescent="0.45">
      <c r="A3704" s="15" t="s">
        <v>4411</v>
      </c>
      <c r="B3704" s="15" t="s">
        <v>4450</v>
      </c>
      <c r="C3704" s="16" t="s">
        <v>4451</v>
      </c>
      <c r="D3704" s="16" t="s">
        <v>65</v>
      </c>
      <c r="E3704" s="15" t="s">
        <v>35</v>
      </c>
      <c r="F3704" s="17">
        <v>84000</v>
      </c>
      <c r="G3704" s="17">
        <v>50000</v>
      </c>
      <c r="H3704" s="16" t="s">
        <v>4452</v>
      </c>
      <c r="I3704" s="40" t="s">
        <v>18</v>
      </c>
      <c r="J3704" s="40" t="str">
        <f>HYPERLINK("https://stock.pstatic.net/stock-research/company/57/20260416_company_267000.pdf","PDF")</f>
        <v>PDF</v>
      </c>
      <c r="K3704" s="15" t="s">
        <v>4453</v>
      </c>
      <c r="L3704" s="20">
        <v>0.68</v>
      </c>
    </row>
    <row r="3705" spans="1:12" x14ac:dyDescent="0.45">
      <c r="A3705" s="15" t="s">
        <v>4411</v>
      </c>
      <c r="B3705" s="15" t="s">
        <v>732</v>
      </c>
      <c r="C3705" s="16" t="s">
        <v>733</v>
      </c>
      <c r="D3705" s="16" t="s">
        <v>65</v>
      </c>
      <c r="E3705" s="15" t="s">
        <v>35</v>
      </c>
      <c r="F3705" s="17">
        <v>150000</v>
      </c>
      <c r="G3705" s="17">
        <v>105700</v>
      </c>
      <c r="H3705" s="16" t="s">
        <v>4454</v>
      </c>
      <c r="I3705" s="40" t="s">
        <v>18</v>
      </c>
      <c r="J3705" s="40" t="str">
        <f>HYPERLINK("https://stock.pstatic.net/stock-research/company/57/20260416_company_23090000.pdf","PDF")</f>
        <v>PDF</v>
      </c>
      <c r="K3705" s="15" t="s">
        <v>4455</v>
      </c>
      <c r="L3705" s="20">
        <v>0.41911069063386952</v>
      </c>
    </row>
    <row r="3706" spans="1:12" x14ac:dyDescent="0.45">
      <c r="A3706" s="15" t="s">
        <v>4411</v>
      </c>
      <c r="B3706" s="15" t="s">
        <v>1548</v>
      </c>
      <c r="C3706" s="16" t="s">
        <v>1549</v>
      </c>
      <c r="D3706" s="16" t="s">
        <v>65</v>
      </c>
      <c r="E3706" s="15" t="s">
        <v>35</v>
      </c>
      <c r="F3706" s="17">
        <v>1750000</v>
      </c>
      <c r="G3706" s="17">
        <v>1509000</v>
      </c>
      <c r="H3706" s="16" t="s">
        <v>4456</v>
      </c>
      <c r="I3706" s="40" t="s">
        <v>18</v>
      </c>
      <c r="J3706" s="40" t="str">
        <f>HYPERLINK("https://stock.pstatic.net/stock-research/company/57/20260416_company_340519000.pdf","PDF")</f>
        <v>PDF</v>
      </c>
      <c r="K3706" s="15" t="s">
        <v>4457</v>
      </c>
      <c r="L3706" s="20">
        <v>0.15970841616964879</v>
      </c>
    </row>
    <row r="3707" spans="1:12" x14ac:dyDescent="0.45">
      <c r="A3707" s="15" t="s">
        <v>4411</v>
      </c>
      <c r="B3707" s="15" t="s">
        <v>3284</v>
      </c>
      <c r="C3707" s="16" t="s">
        <v>3285</v>
      </c>
      <c r="D3707" s="16" t="s">
        <v>158</v>
      </c>
      <c r="E3707" s="15" t="s">
        <v>35</v>
      </c>
      <c r="F3707" s="17">
        <v>179000</v>
      </c>
      <c r="G3707" s="17">
        <v>125800</v>
      </c>
      <c r="H3707" s="16" t="s">
        <v>4458</v>
      </c>
      <c r="I3707" s="40" t="s">
        <v>18</v>
      </c>
      <c r="J3707" s="40" t="str">
        <f>HYPERLINK("https://stock.pstatic.net/stock-research/company/18/20260416_company_396084000.pdf","PDF")</f>
        <v>PDF</v>
      </c>
      <c r="K3707" s="15" t="s">
        <v>4459</v>
      </c>
      <c r="L3707" s="20">
        <v>0.42289348171701108</v>
      </c>
    </row>
    <row r="3708" spans="1:12" x14ac:dyDescent="0.45">
      <c r="A3708" s="15" t="s">
        <v>4411</v>
      </c>
      <c r="B3708" s="15" t="s">
        <v>1686</v>
      </c>
      <c r="C3708" s="16" t="s">
        <v>1687</v>
      </c>
      <c r="D3708" s="16" t="s">
        <v>158</v>
      </c>
      <c r="E3708" s="15" t="s">
        <v>35</v>
      </c>
      <c r="F3708" s="17">
        <v>2000000</v>
      </c>
      <c r="G3708" s="17">
        <v>1281000</v>
      </c>
      <c r="H3708" s="16" t="s">
        <v>4460</v>
      </c>
      <c r="I3708" s="40" t="s">
        <v>18</v>
      </c>
      <c r="J3708" s="40" t="str">
        <f>HYPERLINK("https://stock.pstatic.net/stock-research/company/18/20260416_company_206662000.pdf","PDF")</f>
        <v>PDF</v>
      </c>
      <c r="K3708" s="15" t="s">
        <v>4461</v>
      </c>
      <c r="L3708" s="20">
        <v>0.56128024980483993</v>
      </c>
    </row>
    <row r="3709" spans="1:12" x14ac:dyDescent="0.45">
      <c r="A3709" s="15" t="s">
        <v>4411</v>
      </c>
      <c r="B3709" s="15" t="s">
        <v>2492</v>
      </c>
      <c r="C3709" s="16" t="s">
        <v>2493</v>
      </c>
      <c r="D3709" s="16" t="s">
        <v>78</v>
      </c>
      <c r="E3709" s="15" t="s">
        <v>50</v>
      </c>
      <c r="F3709" s="16"/>
      <c r="G3709" s="16"/>
      <c r="H3709" s="16" t="s">
        <v>4462</v>
      </c>
      <c r="I3709" s="40" t="s">
        <v>18</v>
      </c>
      <c r="J3709" s="40" t="str">
        <f>HYPERLINK("https://m.stock.naver.com/research/company/91624","PDF")</f>
        <v>PDF</v>
      </c>
      <c r="K3709" s="15" t="s">
        <v>4463</v>
      </c>
    </row>
    <row r="3710" spans="1:12" x14ac:dyDescent="0.45">
      <c r="A3710" s="15" t="s">
        <v>4411</v>
      </c>
      <c r="B3710" s="15" t="s">
        <v>4172</v>
      </c>
      <c r="C3710" s="16" t="s">
        <v>4173</v>
      </c>
      <c r="D3710" s="16" t="s">
        <v>78</v>
      </c>
      <c r="E3710" s="15" t="s">
        <v>50</v>
      </c>
      <c r="F3710" s="16"/>
      <c r="G3710" s="16"/>
      <c r="H3710" s="16" t="s">
        <v>4464</v>
      </c>
      <c r="I3710" s="40" t="s">
        <v>18</v>
      </c>
      <c r="J3710" s="40" t="str">
        <f>HYPERLINK("https://m.stock.naver.com/research/company/91623","PDF")</f>
        <v>PDF</v>
      </c>
      <c r="K3710" s="15" t="s">
        <v>4465</v>
      </c>
    </row>
    <row r="3711" spans="1:12" x14ac:dyDescent="0.45">
      <c r="A3711" s="15" t="s">
        <v>4411</v>
      </c>
      <c r="B3711" s="15" t="s">
        <v>4466</v>
      </c>
      <c r="C3711" s="16" t="s">
        <v>4467</v>
      </c>
      <c r="D3711" s="16" t="s">
        <v>92</v>
      </c>
      <c r="E3711" s="15" t="s">
        <v>50</v>
      </c>
      <c r="F3711" s="16"/>
      <c r="G3711" s="17">
        <v>1318</v>
      </c>
      <c r="H3711" s="16" t="s">
        <v>4468</v>
      </c>
      <c r="I3711" s="40" t="s">
        <v>18</v>
      </c>
      <c r="J3711" s="40" t="str">
        <f>HYPERLINK("https://stock.pstatic.net/stock-research/company/63/20260416_company_658087000.pdf","PDF")</f>
        <v>PDF</v>
      </c>
      <c r="K3711" s="15" t="s">
        <v>4469</v>
      </c>
    </row>
    <row r="3712" spans="1:12" x14ac:dyDescent="0.45">
      <c r="A3712" s="15" t="s">
        <v>4411</v>
      </c>
      <c r="B3712" s="15" t="s">
        <v>4470</v>
      </c>
      <c r="C3712" s="16" t="s">
        <v>4471</v>
      </c>
      <c r="D3712" s="16" t="s">
        <v>124</v>
      </c>
      <c r="E3712" s="15" t="s">
        <v>50</v>
      </c>
      <c r="F3712" s="16"/>
      <c r="G3712" s="16"/>
      <c r="H3712" s="16" t="s">
        <v>4472</v>
      </c>
      <c r="I3712" s="40" t="s">
        <v>18</v>
      </c>
      <c r="J3712" s="40" t="str">
        <f>HYPERLINK("https://stock.pstatic.net/stock-research/company/74/20260416_company_770686000.pdf","PDF")</f>
        <v>PDF</v>
      </c>
      <c r="K3712" s="15" t="s">
        <v>4473</v>
      </c>
    </row>
    <row r="3713" spans="1:12" x14ac:dyDescent="0.45">
      <c r="A3713" s="15" t="s">
        <v>4411</v>
      </c>
      <c r="B3713" s="15" t="s">
        <v>102</v>
      </c>
      <c r="C3713" s="16" t="s">
        <v>103</v>
      </c>
      <c r="D3713" s="16" t="s">
        <v>179</v>
      </c>
      <c r="E3713" s="15" t="s">
        <v>16</v>
      </c>
      <c r="F3713" s="17">
        <v>45000</v>
      </c>
      <c r="G3713" s="17">
        <v>23950</v>
      </c>
      <c r="H3713" s="16" t="s">
        <v>4474</v>
      </c>
      <c r="I3713" s="40" t="s">
        <v>18</v>
      </c>
      <c r="J3713" s="40" t="str">
        <f>HYPERLINK("https://stock.pstatic.net/stock-research/company/64/20260416_company_623366000.pdf","PDF")</f>
        <v>PDF</v>
      </c>
      <c r="K3713" s="15" t="s">
        <v>4475</v>
      </c>
      <c r="L3713" s="20">
        <v>0.87891440501043838</v>
      </c>
    </row>
    <row r="3714" spans="1:12" x14ac:dyDescent="0.45">
      <c r="A3714" s="15" t="s">
        <v>4411</v>
      </c>
      <c r="B3714" s="15" t="s">
        <v>1682</v>
      </c>
      <c r="C3714" s="16" t="s">
        <v>1683</v>
      </c>
      <c r="D3714" s="16" t="s">
        <v>179</v>
      </c>
      <c r="E3714" s="15" t="s">
        <v>16</v>
      </c>
      <c r="F3714" s="17">
        <v>360000</v>
      </c>
      <c r="G3714" s="17">
        <v>247500</v>
      </c>
      <c r="H3714" s="16" t="s">
        <v>4476</v>
      </c>
      <c r="I3714" s="40" t="s">
        <v>18</v>
      </c>
      <c r="J3714" s="40" t="str">
        <f>HYPERLINK("https://stock.pstatic.net/stock-research/company/64/20260416_company_444028000.pdf","PDF")</f>
        <v>PDF</v>
      </c>
      <c r="K3714" s="15" t="s">
        <v>4477</v>
      </c>
      <c r="L3714" s="20">
        <v>0.45454545454545447</v>
      </c>
    </row>
    <row r="3715" spans="1:12" x14ac:dyDescent="0.45">
      <c r="A3715" s="15" t="s">
        <v>4411</v>
      </c>
      <c r="B3715" s="15" t="s">
        <v>1773</v>
      </c>
      <c r="C3715" s="16" t="s">
        <v>1774</v>
      </c>
      <c r="D3715" s="16" t="s">
        <v>23</v>
      </c>
      <c r="E3715" s="15" t="s">
        <v>16</v>
      </c>
      <c r="F3715" s="17">
        <v>145000</v>
      </c>
      <c r="G3715" s="17">
        <v>103600</v>
      </c>
      <c r="H3715" s="16" t="s">
        <v>4478</v>
      </c>
      <c r="I3715" s="40" t="s">
        <v>18</v>
      </c>
      <c r="J3715" s="40" t="str">
        <f>HYPERLINK("https://stock.pstatic.net/stock-research/company/21/20260416_company_150268000.pdf","PDF")</f>
        <v>PDF</v>
      </c>
      <c r="K3715" s="15" t="s">
        <v>4479</v>
      </c>
      <c r="L3715" s="20">
        <v>0.39961389961389959</v>
      </c>
    </row>
    <row r="3716" spans="1:12" x14ac:dyDescent="0.45">
      <c r="A3716" s="15" t="s">
        <v>4411</v>
      </c>
      <c r="B3716" s="15" t="s">
        <v>1015</v>
      </c>
      <c r="C3716" s="16" t="s">
        <v>1016</v>
      </c>
      <c r="D3716" s="16" t="s">
        <v>179</v>
      </c>
      <c r="E3716" s="15" t="s">
        <v>50</v>
      </c>
      <c r="F3716" s="16"/>
      <c r="G3716" s="17">
        <v>21800</v>
      </c>
      <c r="H3716" s="16" t="s">
        <v>4480</v>
      </c>
      <c r="I3716" s="40" t="s">
        <v>18</v>
      </c>
      <c r="J3716" s="40" t="str">
        <f>HYPERLINK("https://stock.pstatic.net/stock-research/company/64/20260416_company_593473000.pdf","PDF")</f>
        <v>PDF</v>
      </c>
      <c r="K3716" s="15" t="s">
        <v>4481</v>
      </c>
    </row>
    <row r="3717" spans="1:12" x14ac:dyDescent="0.45">
      <c r="A3717" s="15" t="s">
        <v>4411</v>
      </c>
      <c r="B3717" s="15" t="s">
        <v>691</v>
      </c>
      <c r="C3717" s="16" t="s">
        <v>20</v>
      </c>
      <c r="D3717" s="16" t="s">
        <v>23</v>
      </c>
      <c r="E3717" s="15" t="s">
        <v>16</v>
      </c>
      <c r="F3717" s="17">
        <v>290000</v>
      </c>
      <c r="G3717" s="17">
        <v>202000</v>
      </c>
      <c r="H3717" s="16" t="s">
        <v>4482</v>
      </c>
      <c r="I3717" s="40" t="s">
        <v>18</v>
      </c>
      <c r="J3717" s="40" t="str">
        <f>HYPERLINK("https://stock.pstatic.net/stock-research/company/21/20260416_company_402795000.pdf","PDF")</f>
        <v>PDF</v>
      </c>
      <c r="K3717" s="15" t="s">
        <v>4483</v>
      </c>
      <c r="L3717" s="20">
        <v>0.43564356435643559</v>
      </c>
    </row>
    <row r="3718" spans="1:12" x14ac:dyDescent="0.45">
      <c r="A3718" s="15" t="s">
        <v>4411</v>
      </c>
      <c r="B3718" s="15" t="s">
        <v>366</v>
      </c>
      <c r="C3718" s="16" t="s">
        <v>367</v>
      </c>
      <c r="D3718" s="16" t="s">
        <v>34</v>
      </c>
      <c r="E3718" s="15" t="s">
        <v>35</v>
      </c>
      <c r="F3718" s="17">
        <v>32000</v>
      </c>
      <c r="G3718" s="17">
        <v>23900</v>
      </c>
      <c r="H3718" s="16" t="s">
        <v>4484</v>
      </c>
      <c r="I3718" s="40" t="s">
        <v>18</v>
      </c>
      <c r="J3718" s="40" t="str">
        <f>HYPERLINK("https://stock.pstatic.net/stock-research/company/61/20260416_company_386390000.pdf","PDF")</f>
        <v>PDF</v>
      </c>
      <c r="K3718" s="15" t="s">
        <v>4485</v>
      </c>
      <c r="L3718" s="20">
        <v>0.33891213389121339</v>
      </c>
    </row>
    <row r="3719" spans="1:12" x14ac:dyDescent="0.45">
      <c r="A3719" s="15" t="s">
        <v>4411</v>
      </c>
      <c r="B3719" s="15" t="s">
        <v>3831</v>
      </c>
      <c r="C3719" s="16" t="s">
        <v>3832</v>
      </c>
      <c r="D3719" s="16" t="s">
        <v>44</v>
      </c>
      <c r="E3719" s="15" t="s">
        <v>642</v>
      </c>
      <c r="F3719" s="17">
        <v>55000</v>
      </c>
      <c r="G3719" s="17">
        <v>52700</v>
      </c>
      <c r="H3719" s="16" t="s">
        <v>4486</v>
      </c>
      <c r="I3719" s="40" t="s">
        <v>18</v>
      </c>
      <c r="J3719" s="40" t="str">
        <f>HYPERLINK("https://stock.pstatic.net/stock-research/company/39/20260416_company_195813000.pdf","PDF")</f>
        <v>PDF</v>
      </c>
      <c r="K3719" s="15" t="s">
        <v>4487</v>
      </c>
      <c r="L3719" s="20">
        <v>4.3643263757115747E-2</v>
      </c>
    </row>
    <row r="3720" spans="1:12" x14ac:dyDescent="0.45">
      <c r="A3720" s="15" t="s">
        <v>4411</v>
      </c>
      <c r="B3720" s="15" t="s">
        <v>1216</v>
      </c>
      <c r="C3720" s="16" t="s">
        <v>1217</v>
      </c>
      <c r="D3720" s="16" t="s">
        <v>124</v>
      </c>
      <c r="E3720" s="15" t="s">
        <v>50</v>
      </c>
      <c r="F3720" s="16"/>
      <c r="G3720" s="16"/>
      <c r="H3720" s="16" t="s">
        <v>4488</v>
      </c>
      <c r="I3720" s="40" t="s">
        <v>18</v>
      </c>
      <c r="J3720" s="40" t="str">
        <f>HYPERLINK("https://stock.pstatic.net/stock-research/company/74/20260417_company_152856000.pdf","PDF")</f>
        <v>PDF</v>
      </c>
      <c r="K3720" s="15" t="s">
        <v>4489</v>
      </c>
    </row>
    <row r="3721" spans="1:12" x14ac:dyDescent="0.45">
      <c r="A3721" s="15" t="s">
        <v>4411</v>
      </c>
      <c r="B3721" s="15" t="s">
        <v>2522</v>
      </c>
      <c r="C3721" s="16" t="s">
        <v>2523</v>
      </c>
      <c r="D3721" s="16" t="s">
        <v>15</v>
      </c>
      <c r="E3721" s="15" t="s">
        <v>16</v>
      </c>
      <c r="F3721" s="17">
        <v>390000</v>
      </c>
      <c r="G3721" s="17">
        <v>244000</v>
      </c>
      <c r="H3721" s="16" t="s">
        <v>4490</v>
      </c>
      <c r="I3721" s="40" t="s">
        <v>18</v>
      </c>
      <c r="J3721" s="40" t="str">
        <f>HYPERLINK("https://stock.pstatic.net/stock-research/company/56/20260416_company_443552000.pdf","PDF")</f>
        <v>PDF</v>
      </c>
      <c r="K3721" s="15" t="s">
        <v>4491</v>
      </c>
      <c r="L3721" s="20">
        <v>0.59836065573770492</v>
      </c>
    </row>
    <row r="3722" spans="1:12" x14ac:dyDescent="0.45">
      <c r="A3722" s="15" t="s">
        <v>4411</v>
      </c>
      <c r="B3722" s="15" t="s">
        <v>4492</v>
      </c>
      <c r="C3722" s="16" t="s">
        <v>4493</v>
      </c>
      <c r="D3722" s="16" t="s">
        <v>15</v>
      </c>
      <c r="E3722" s="15" t="s">
        <v>50</v>
      </c>
      <c r="F3722" s="16"/>
      <c r="G3722" s="17">
        <v>10570</v>
      </c>
      <c r="H3722" s="16" t="s">
        <v>4494</v>
      </c>
      <c r="I3722" s="40" t="s">
        <v>18</v>
      </c>
      <c r="J3722" s="40" t="str">
        <f>HYPERLINK("https://stock.pstatic.net/stock-research/company/56/20260416_company_606162000.pdf","PDF")</f>
        <v>PDF</v>
      </c>
      <c r="K3722" s="15" t="s">
        <v>4495</v>
      </c>
    </row>
    <row r="3723" spans="1:12" x14ac:dyDescent="0.45">
      <c r="A3723" s="15" t="s">
        <v>4411</v>
      </c>
      <c r="B3723" s="15" t="s">
        <v>4496</v>
      </c>
      <c r="C3723" s="16" t="s">
        <v>4497</v>
      </c>
      <c r="D3723" s="16" t="s">
        <v>124</v>
      </c>
      <c r="E3723" s="15" t="s">
        <v>50</v>
      </c>
      <c r="F3723" s="16"/>
      <c r="G3723" s="17">
        <v>3970</v>
      </c>
      <c r="H3723" s="16" t="s">
        <v>4498</v>
      </c>
      <c r="I3723" s="40" t="s">
        <v>18</v>
      </c>
      <c r="J3723" s="40" t="str">
        <f>HYPERLINK("https://stock.pstatic.net/stock-research/company/74/20260416_company_747044000.pdf","PDF")</f>
        <v>PDF</v>
      </c>
      <c r="K3723" s="15" t="s">
        <v>4499</v>
      </c>
    </row>
    <row r="3724" spans="1:12" x14ac:dyDescent="0.45">
      <c r="A3724" s="15" t="s">
        <v>4411</v>
      </c>
      <c r="B3724" s="15" t="s">
        <v>4500</v>
      </c>
      <c r="C3724" s="16" t="s">
        <v>4501</v>
      </c>
      <c r="D3724" s="16" t="s">
        <v>124</v>
      </c>
      <c r="E3724" s="15" t="s">
        <v>50</v>
      </c>
      <c r="F3724" s="16"/>
      <c r="G3724" s="17">
        <v>2995</v>
      </c>
      <c r="H3724" s="16" t="s">
        <v>4502</v>
      </c>
      <c r="I3724" s="40" t="s">
        <v>18</v>
      </c>
      <c r="J3724" s="40" t="str">
        <f>HYPERLINK("https://stock.pstatic.net/stock-research/company/74/20260416_company_872598000.pdf","PDF")</f>
        <v>PDF</v>
      </c>
      <c r="K3724" s="15" t="s">
        <v>4503</v>
      </c>
    </row>
    <row r="3725" spans="1:12" x14ac:dyDescent="0.45">
      <c r="A3725" s="15" t="s">
        <v>4411</v>
      </c>
      <c r="B3725" s="15" t="s">
        <v>4504</v>
      </c>
      <c r="C3725" s="16" t="s">
        <v>4505</v>
      </c>
      <c r="D3725" s="16" t="s">
        <v>124</v>
      </c>
      <c r="E3725" s="15" t="s">
        <v>50</v>
      </c>
      <c r="F3725" s="16"/>
      <c r="G3725" s="17">
        <v>1808</v>
      </c>
      <c r="H3725" s="16" t="s">
        <v>4506</v>
      </c>
      <c r="I3725" s="40" t="s">
        <v>18</v>
      </c>
      <c r="J3725" s="40" t="str">
        <f>HYPERLINK("https://stock.pstatic.net/stock-research/company/74/20260416_company_351665000.pdf","PDF")</f>
        <v>PDF</v>
      </c>
      <c r="K3725" s="15" t="s">
        <v>4507</v>
      </c>
    </row>
    <row r="3726" spans="1:12" x14ac:dyDescent="0.45">
      <c r="A3726" s="15" t="s">
        <v>4411</v>
      </c>
      <c r="B3726" s="15" t="s">
        <v>4508</v>
      </c>
      <c r="C3726" s="16" t="s">
        <v>4509</v>
      </c>
      <c r="D3726" s="16" t="s">
        <v>124</v>
      </c>
      <c r="E3726" s="15" t="s">
        <v>50</v>
      </c>
      <c r="F3726" s="16"/>
      <c r="G3726" s="17">
        <v>11120</v>
      </c>
      <c r="H3726" s="16" t="s">
        <v>4510</v>
      </c>
      <c r="I3726" s="40" t="s">
        <v>18</v>
      </c>
      <c r="J3726" s="40" t="str">
        <f>HYPERLINK("https://stock.pstatic.net/stock-research/company/74/20260416_company_92085000.pdf","PDF")</f>
        <v>PDF</v>
      </c>
      <c r="K3726" s="15" t="s">
        <v>4511</v>
      </c>
    </row>
    <row r="3727" spans="1:12" x14ac:dyDescent="0.45">
      <c r="A3727" s="15" t="s">
        <v>4411</v>
      </c>
      <c r="B3727" s="15" t="s">
        <v>4512</v>
      </c>
      <c r="C3727" s="16" t="s">
        <v>4513</v>
      </c>
      <c r="D3727" s="16" t="s">
        <v>124</v>
      </c>
      <c r="E3727" s="15" t="s">
        <v>50</v>
      </c>
      <c r="F3727" s="16"/>
      <c r="G3727" s="17">
        <v>34750</v>
      </c>
      <c r="H3727" s="16" t="s">
        <v>4514</v>
      </c>
      <c r="I3727" s="40" t="s">
        <v>18</v>
      </c>
      <c r="J3727" s="40" t="str">
        <f>HYPERLINK("https://stock.pstatic.net/stock-research/company/74/20260416_company_802091000.pdf","PDF")</f>
        <v>PDF</v>
      </c>
      <c r="K3727" s="15" t="s">
        <v>4515</v>
      </c>
    </row>
    <row r="3728" spans="1:12" x14ac:dyDescent="0.45">
      <c r="A3728" s="15" t="s">
        <v>4411</v>
      </c>
      <c r="B3728" s="15" t="s">
        <v>4516</v>
      </c>
      <c r="C3728" s="16" t="s">
        <v>4517</v>
      </c>
      <c r="D3728" s="16" t="s">
        <v>124</v>
      </c>
      <c r="E3728" s="15" t="s">
        <v>50</v>
      </c>
      <c r="F3728" s="16"/>
      <c r="G3728" s="17">
        <v>6390</v>
      </c>
      <c r="H3728" s="16" t="s">
        <v>4518</v>
      </c>
      <c r="I3728" s="40" t="s">
        <v>18</v>
      </c>
      <c r="J3728" s="40" t="str">
        <f>HYPERLINK("https://stock.pstatic.net/stock-research/company/74/20260416_company_347430000.pdf","PDF")</f>
        <v>PDF</v>
      </c>
      <c r="K3728" s="15" t="s">
        <v>4519</v>
      </c>
    </row>
    <row r="3729" spans="1:12" x14ac:dyDescent="0.45">
      <c r="A3729" s="15" t="s">
        <v>4411</v>
      </c>
      <c r="B3729" s="15" t="s">
        <v>4079</v>
      </c>
      <c r="C3729" s="16" t="s">
        <v>4080</v>
      </c>
      <c r="D3729" s="16" t="s">
        <v>15</v>
      </c>
      <c r="E3729" s="15" t="s">
        <v>50</v>
      </c>
      <c r="F3729" s="16"/>
      <c r="G3729" s="17">
        <v>16880</v>
      </c>
      <c r="H3729" s="16" t="s">
        <v>4520</v>
      </c>
      <c r="I3729" s="40" t="s">
        <v>18</v>
      </c>
      <c r="J3729" s="40" t="str">
        <f>HYPERLINK("https://stock.pstatic.net/stock-research/company/56/20260416_company_972127000.pdf","PDF")</f>
        <v>PDF</v>
      </c>
      <c r="K3729" s="15" t="s">
        <v>4521</v>
      </c>
    </row>
    <row r="3730" spans="1:12" x14ac:dyDescent="0.45">
      <c r="A3730" s="15" t="s">
        <v>4411</v>
      </c>
      <c r="B3730" s="15" t="s">
        <v>495</v>
      </c>
      <c r="C3730" s="16" t="s">
        <v>496</v>
      </c>
      <c r="D3730" s="16" t="s">
        <v>15</v>
      </c>
      <c r="E3730" s="15" t="s">
        <v>16</v>
      </c>
      <c r="F3730" s="17">
        <v>480000</v>
      </c>
      <c r="G3730" s="17">
        <v>386000</v>
      </c>
      <c r="H3730" s="16" t="s">
        <v>4522</v>
      </c>
      <c r="I3730" s="40" t="s">
        <v>18</v>
      </c>
      <c r="J3730" s="40" t="str">
        <f>HYPERLINK("https://stock.pstatic.net/stock-research/company/56/20260416_company_143578000.pdf","PDF")</f>
        <v>PDF</v>
      </c>
      <c r="K3730" s="15" t="s">
        <v>4523</v>
      </c>
      <c r="L3730" s="20">
        <v>0.2435233160621762</v>
      </c>
    </row>
    <row r="3731" spans="1:12" x14ac:dyDescent="0.45">
      <c r="A3731" s="15" t="s">
        <v>4411</v>
      </c>
      <c r="B3731" s="15" t="s">
        <v>2960</v>
      </c>
      <c r="C3731" s="16" t="s">
        <v>2961</v>
      </c>
      <c r="D3731" s="16" t="s">
        <v>15</v>
      </c>
      <c r="E3731" s="15" t="s">
        <v>16</v>
      </c>
      <c r="F3731" s="17">
        <v>60000</v>
      </c>
      <c r="G3731" s="17">
        <v>48550</v>
      </c>
      <c r="H3731" s="16" t="s">
        <v>4524</v>
      </c>
      <c r="I3731" s="40" t="s">
        <v>18</v>
      </c>
      <c r="J3731" s="40" t="str">
        <f>HYPERLINK("https://stock.pstatic.net/stock-research/company/56/20260416_company_608958000.pdf","PDF")</f>
        <v>PDF</v>
      </c>
      <c r="K3731" s="15" t="s">
        <v>4525</v>
      </c>
      <c r="L3731" s="20">
        <v>0.23583934088568489</v>
      </c>
    </row>
    <row r="3732" spans="1:12" x14ac:dyDescent="0.45">
      <c r="A3732" s="15" t="s">
        <v>4411</v>
      </c>
      <c r="B3732" s="15" t="s">
        <v>27</v>
      </c>
      <c r="C3732" s="16" t="s">
        <v>28</v>
      </c>
      <c r="D3732" s="16" t="s">
        <v>15</v>
      </c>
      <c r="E3732" s="15" t="s">
        <v>16</v>
      </c>
      <c r="F3732" s="17">
        <v>140000</v>
      </c>
      <c r="G3732" s="17">
        <v>105300</v>
      </c>
      <c r="H3732" s="16" t="s">
        <v>4526</v>
      </c>
      <c r="I3732" s="40" t="s">
        <v>18</v>
      </c>
      <c r="J3732" s="40" t="str">
        <f>HYPERLINK("https://stock.pstatic.net/stock-research/company/56/20260416_company_696106000.pdf","PDF")</f>
        <v>PDF</v>
      </c>
      <c r="K3732" s="15" t="s">
        <v>4527</v>
      </c>
      <c r="L3732" s="20">
        <v>0.32953466286799621</v>
      </c>
    </row>
    <row r="3733" spans="1:12" x14ac:dyDescent="0.45">
      <c r="A3733" s="15" t="s">
        <v>4411</v>
      </c>
      <c r="B3733" s="15" t="s">
        <v>1656</v>
      </c>
      <c r="C3733" s="16" t="s">
        <v>1657</v>
      </c>
      <c r="D3733" s="16" t="s">
        <v>15</v>
      </c>
      <c r="E3733" s="15" t="s">
        <v>16</v>
      </c>
      <c r="F3733" s="17">
        <v>450000</v>
      </c>
      <c r="G3733" s="17">
        <v>346500</v>
      </c>
      <c r="H3733" s="16" t="s">
        <v>4528</v>
      </c>
      <c r="I3733" s="40" t="s">
        <v>18</v>
      </c>
      <c r="J3733" s="40" t="str">
        <f>HYPERLINK("https://stock.pstatic.net/stock-research/company/56/20260416_company_269665000.pdf","PDF")</f>
        <v>PDF</v>
      </c>
      <c r="K3733" s="15" t="s">
        <v>4529</v>
      </c>
      <c r="L3733" s="20">
        <v>0.29870129870129869</v>
      </c>
    </row>
    <row r="3734" spans="1:12" x14ac:dyDescent="0.45">
      <c r="A3734" s="15" t="s">
        <v>4530</v>
      </c>
      <c r="B3734" s="15" t="s">
        <v>908</v>
      </c>
      <c r="C3734" s="16" t="s">
        <v>909</v>
      </c>
      <c r="D3734" s="16" t="s">
        <v>57</v>
      </c>
      <c r="E3734" s="15" t="s">
        <v>35</v>
      </c>
      <c r="F3734" s="17">
        <v>210000</v>
      </c>
      <c r="G3734" s="17">
        <v>151500</v>
      </c>
      <c r="H3734" s="16" t="s">
        <v>4531</v>
      </c>
      <c r="I3734" s="40" t="s">
        <v>18</v>
      </c>
      <c r="J3734" s="40" t="str">
        <f>HYPERLINK("https://stock.pstatic.net/stock-research/company/16/20260415_company_147522000.pdf","PDF")</f>
        <v>PDF</v>
      </c>
      <c r="K3734" s="15" t="s">
        <v>4532</v>
      </c>
      <c r="L3734" s="20">
        <v>0.38613861386138609</v>
      </c>
    </row>
    <row r="3735" spans="1:12" x14ac:dyDescent="0.45">
      <c r="A3735" s="15" t="s">
        <v>4530</v>
      </c>
      <c r="B3735" s="15" t="s">
        <v>1262</v>
      </c>
      <c r="C3735" s="16" t="s">
        <v>1263</v>
      </c>
      <c r="D3735" s="16" t="s">
        <v>57</v>
      </c>
      <c r="E3735" s="15" t="s">
        <v>35</v>
      </c>
      <c r="F3735" s="17">
        <v>5800</v>
      </c>
      <c r="G3735" s="17">
        <v>4805</v>
      </c>
      <c r="H3735" s="16" t="s">
        <v>4533</v>
      </c>
      <c r="I3735" s="40" t="s">
        <v>18</v>
      </c>
      <c r="J3735" s="40" t="str">
        <f>HYPERLINK("https://stock.pstatic.net/stock-research/company/16/20260415_company_135416000.pdf","PDF")</f>
        <v>PDF</v>
      </c>
      <c r="K3735" s="15" t="s">
        <v>4534</v>
      </c>
      <c r="L3735" s="20">
        <v>0.20707596253902191</v>
      </c>
    </row>
    <row r="3736" spans="1:12" x14ac:dyDescent="0.45">
      <c r="A3736" s="15" t="s">
        <v>4530</v>
      </c>
      <c r="B3736" s="15" t="s">
        <v>3014</v>
      </c>
      <c r="C3736" s="16" t="s">
        <v>3015</v>
      </c>
      <c r="D3736" s="16" t="s">
        <v>57</v>
      </c>
      <c r="E3736" s="15" t="s">
        <v>35</v>
      </c>
      <c r="F3736" s="17">
        <v>147000</v>
      </c>
      <c r="G3736" s="17">
        <v>100700</v>
      </c>
      <c r="H3736" s="16" t="s">
        <v>4535</v>
      </c>
      <c r="I3736" s="40" t="s">
        <v>18</v>
      </c>
      <c r="J3736" s="40" t="str">
        <f>HYPERLINK("https://stock.pstatic.net/stock-research/company/16/20260415_company_431142000.pdf","PDF")</f>
        <v>PDF</v>
      </c>
      <c r="K3736" s="15" t="s">
        <v>4536</v>
      </c>
      <c r="L3736" s="20">
        <v>0.45978152929493538</v>
      </c>
    </row>
    <row r="3737" spans="1:12" x14ac:dyDescent="0.45">
      <c r="A3737" s="15" t="s">
        <v>4530</v>
      </c>
      <c r="B3737" s="15" t="s">
        <v>1190</v>
      </c>
      <c r="C3737" s="16" t="s">
        <v>1191</v>
      </c>
      <c r="D3737" s="16" t="s">
        <v>57</v>
      </c>
      <c r="E3737" s="15" t="s">
        <v>35</v>
      </c>
      <c r="F3737" s="17">
        <v>170000</v>
      </c>
      <c r="G3737" s="17">
        <v>123900</v>
      </c>
      <c r="H3737" s="16" t="s">
        <v>4537</v>
      </c>
      <c r="I3737" s="40" t="s">
        <v>18</v>
      </c>
      <c r="J3737" s="40" t="str">
        <f>HYPERLINK("https://stock.pstatic.net/stock-research/company/16/20260415_company_746560000.pdf","PDF")</f>
        <v>PDF</v>
      </c>
      <c r="K3737" s="15" t="s">
        <v>4538</v>
      </c>
      <c r="L3737" s="20">
        <v>0.37207425343018558</v>
      </c>
    </row>
    <row r="3738" spans="1:12" x14ac:dyDescent="0.45">
      <c r="A3738" s="15" t="s">
        <v>4530</v>
      </c>
      <c r="B3738" s="15" t="s">
        <v>1266</v>
      </c>
      <c r="C3738" s="16" t="s">
        <v>1267</v>
      </c>
      <c r="D3738" s="16" t="s">
        <v>57</v>
      </c>
      <c r="E3738" s="15" t="s">
        <v>159</v>
      </c>
      <c r="F3738" s="17">
        <v>250000</v>
      </c>
      <c r="G3738" s="17">
        <v>246000</v>
      </c>
      <c r="H3738" s="16" t="s">
        <v>4539</v>
      </c>
      <c r="I3738" s="40" t="s">
        <v>18</v>
      </c>
      <c r="J3738" s="40" t="str">
        <f>HYPERLINK("https://stock.pstatic.net/stock-research/company/16/20260415_company_805063000.pdf","PDF")</f>
        <v>PDF</v>
      </c>
      <c r="K3738" s="15" t="s">
        <v>4540</v>
      </c>
      <c r="L3738" s="20">
        <v>1.6260162601626021E-2</v>
      </c>
    </row>
    <row r="3739" spans="1:12" x14ac:dyDescent="0.45">
      <c r="A3739" s="15" t="s">
        <v>4530</v>
      </c>
      <c r="B3739" s="15" t="s">
        <v>1120</v>
      </c>
      <c r="C3739" s="16" t="s">
        <v>1121</v>
      </c>
      <c r="D3739" s="16" t="s">
        <v>57</v>
      </c>
      <c r="E3739" s="15" t="s">
        <v>35</v>
      </c>
      <c r="F3739" s="17">
        <v>180000</v>
      </c>
      <c r="G3739" s="17">
        <v>131400</v>
      </c>
      <c r="H3739" s="16" t="s">
        <v>4541</v>
      </c>
      <c r="I3739" s="40" t="s">
        <v>18</v>
      </c>
      <c r="J3739" s="40" t="str">
        <f>HYPERLINK("https://stock.pstatic.net/stock-research/company/16/20260415_company_8640000.pdf","PDF")</f>
        <v>PDF</v>
      </c>
      <c r="K3739" s="15" t="s">
        <v>4542</v>
      </c>
      <c r="L3739" s="20">
        <v>0.36986301369863012</v>
      </c>
    </row>
    <row r="3740" spans="1:12" x14ac:dyDescent="0.45">
      <c r="A3740" s="15" t="s">
        <v>4530</v>
      </c>
      <c r="B3740" s="15" t="s">
        <v>2097</v>
      </c>
      <c r="C3740" s="16" t="s">
        <v>2098</v>
      </c>
      <c r="D3740" s="16" t="s">
        <v>276</v>
      </c>
      <c r="E3740" s="15" t="s">
        <v>16</v>
      </c>
      <c r="F3740" s="17">
        <v>112000</v>
      </c>
      <c r="G3740" s="17">
        <v>96700</v>
      </c>
      <c r="H3740" s="16" t="s">
        <v>4543</v>
      </c>
      <c r="I3740" s="40" t="s">
        <v>18</v>
      </c>
      <c r="J3740" s="40" t="str">
        <f>HYPERLINK("https://stock.pstatic.net/stock-research/company/66/20260415_company_639772000.pdf","PDF")</f>
        <v>PDF</v>
      </c>
      <c r="K3740" s="15" t="s">
        <v>4544</v>
      </c>
      <c r="L3740" s="20">
        <v>0.15822130299896589</v>
      </c>
    </row>
    <row r="3741" spans="1:12" x14ac:dyDescent="0.45">
      <c r="A3741" s="15" t="s">
        <v>4530</v>
      </c>
      <c r="B3741" s="15" t="s">
        <v>519</v>
      </c>
      <c r="C3741" s="16" t="s">
        <v>520</v>
      </c>
      <c r="D3741" s="16" t="s">
        <v>276</v>
      </c>
      <c r="E3741" s="15" t="s">
        <v>16</v>
      </c>
      <c r="F3741" s="17">
        <v>740000</v>
      </c>
      <c r="G3741" s="17">
        <v>491500</v>
      </c>
      <c r="H3741" s="16" t="s">
        <v>4545</v>
      </c>
      <c r="I3741" s="40" t="s">
        <v>18</v>
      </c>
      <c r="J3741" s="40" t="str">
        <f>HYPERLINK("https://stock.pstatic.net/stock-research/company/66/20260415_company_174722000.pdf","PDF")</f>
        <v>PDF</v>
      </c>
      <c r="K3741" s="15" t="s">
        <v>4546</v>
      </c>
      <c r="L3741" s="20">
        <v>0.50559511698880977</v>
      </c>
    </row>
    <row r="3742" spans="1:12" x14ac:dyDescent="0.45">
      <c r="A3742" s="15" t="s">
        <v>4530</v>
      </c>
      <c r="B3742" s="15" t="s">
        <v>669</v>
      </c>
      <c r="C3742" s="16" t="s">
        <v>670</v>
      </c>
      <c r="D3742" s="16" t="s">
        <v>65</v>
      </c>
      <c r="E3742" s="15" t="s">
        <v>35</v>
      </c>
      <c r="F3742" s="17">
        <v>28000</v>
      </c>
      <c r="G3742" s="17">
        <v>17660</v>
      </c>
      <c r="H3742" s="16" t="s">
        <v>4547</v>
      </c>
      <c r="I3742" s="40" t="s">
        <v>18</v>
      </c>
      <c r="J3742" s="40" t="str">
        <f>HYPERLINK("https://stock.pstatic.net/stock-research/company/57/20260415_company_274228000.pdf","PDF")</f>
        <v>PDF</v>
      </c>
      <c r="K3742" s="15" t="s">
        <v>4548</v>
      </c>
      <c r="L3742" s="20">
        <v>0.58550396375990943</v>
      </c>
    </row>
    <row r="3743" spans="1:12" x14ac:dyDescent="0.45">
      <c r="A3743" s="15" t="s">
        <v>4530</v>
      </c>
      <c r="B3743" s="15" t="s">
        <v>281</v>
      </c>
      <c r="C3743" s="16" t="s">
        <v>282</v>
      </c>
      <c r="D3743" s="16" t="s">
        <v>65</v>
      </c>
      <c r="E3743" s="15" t="s">
        <v>35</v>
      </c>
      <c r="F3743" s="17">
        <v>50000</v>
      </c>
      <c r="G3743" s="17">
        <v>28450</v>
      </c>
      <c r="H3743" s="16" t="s">
        <v>4549</v>
      </c>
      <c r="I3743" s="40" t="s">
        <v>18</v>
      </c>
      <c r="J3743" s="40" t="str">
        <f>HYPERLINK("https://stock.pstatic.net/stock-research/company/57/20260415_company_462112000.pdf","PDF")</f>
        <v>PDF</v>
      </c>
      <c r="K3743" s="15" t="s">
        <v>4550</v>
      </c>
      <c r="L3743" s="20">
        <v>0.75746924428822493</v>
      </c>
    </row>
    <row r="3744" spans="1:12" x14ac:dyDescent="0.45">
      <c r="A3744" s="15" t="s">
        <v>4530</v>
      </c>
      <c r="B3744" s="15" t="s">
        <v>3373</v>
      </c>
      <c r="C3744" s="16" t="s">
        <v>3374</v>
      </c>
      <c r="D3744" s="16" t="s">
        <v>65</v>
      </c>
      <c r="E3744" s="15" t="s">
        <v>35</v>
      </c>
      <c r="F3744" s="17">
        <v>200000</v>
      </c>
      <c r="G3744" s="17">
        <v>155900</v>
      </c>
      <c r="H3744" s="16" t="s">
        <v>4551</v>
      </c>
      <c r="I3744" s="40" t="s">
        <v>18</v>
      </c>
      <c r="J3744" s="40" t="str">
        <f>HYPERLINK("https://stock.pstatic.net/stock-research/company/57/20260415_company_780580000.pdf","PDF")</f>
        <v>PDF</v>
      </c>
      <c r="K3744" s="15" t="s">
        <v>4552</v>
      </c>
      <c r="L3744" s="20">
        <v>0.28287363694676082</v>
      </c>
    </row>
    <row r="3745" spans="1:12" x14ac:dyDescent="0.45">
      <c r="A3745" s="15" t="s">
        <v>4530</v>
      </c>
      <c r="B3745" s="15" t="s">
        <v>1140</v>
      </c>
      <c r="C3745" s="16" t="s">
        <v>1141</v>
      </c>
      <c r="D3745" s="16" t="s">
        <v>65</v>
      </c>
      <c r="E3745" s="15" t="s">
        <v>35</v>
      </c>
      <c r="F3745" s="17">
        <v>55000</v>
      </c>
      <c r="G3745" s="17">
        <v>44350</v>
      </c>
      <c r="H3745" s="16" t="s">
        <v>4553</v>
      </c>
      <c r="I3745" s="40" t="s">
        <v>18</v>
      </c>
      <c r="J3745" s="40" t="str">
        <f>HYPERLINK("https://stock.pstatic.net/stock-research/company/57/20260415_company_701146000.pdf","PDF")</f>
        <v>PDF</v>
      </c>
      <c r="K3745" s="15" t="s">
        <v>4554</v>
      </c>
      <c r="L3745" s="20">
        <v>0.24013528748590759</v>
      </c>
    </row>
    <row r="3746" spans="1:12" x14ac:dyDescent="0.45">
      <c r="A3746" s="15" t="s">
        <v>4530</v>
      </c>
      <c r="B3746" s="15" t="s">
        <v>3014</v>
      </c>
      <c r="C3746" s="16" t="s">
        <v>3015</v>
      </c>
      <c r="D3746" s="16" t="s">
        <v>65</v>
      </c>
      <c r="E3746" s="15" t="s">
        <v>35</v>
      </c>
      <c r="F3746" s="17">
        <v>160000</v>
      </c>
      <c r="G3746" s="17">
        <v>100700</v>
      </c>
      <c r="H3746" s="16" t="s">
        <v>4555</v>
      </c>
      <c r="I3746" s="40" t="s">
        <v>18</v>
      </c>
      <c r="J3746" s="40" t="str">
        <f>HYPERLINK("https://stock.pstatic.net/stock-research/company/57/20260415_company_811237000.pdf","PDF")</f>
        <v>PDF</v>
      </c>
      <c r="K3746" s="15" t="s">
        <v>4556</v>
      </c>
      <c r="L3746" s="20">
        <v>0.58887785501489576</v>
      </c>
    </row>
    <row r="3747" spans="1:12" x14ac:dyDescent="0.45">
      <c r="A3747" s="15" t="s">
        <v>4530</v>
      </c>
      <c r="B3747" s="15" t="s">
        <v>4557</v>
      </c>
      <c r="C3747" s="16" t="s">
        <v>4558</v>
      </c>
      <c r="D3747" s="16" t="s">
        <v>158</v>
      </c>
      <c r="E3747" s="15" t="s">
        <v>50</v>
      </c>
      <c r="F3747" s="16"/>
      <c r="G3747" s="17">
        <v>21250</v>
      </c>
      <c r="H3747" s="16" t="s">
        <v>4559</v>
      </c>
      <c r="I3747" s="40" t="s">
        <v>18</v>
      </c>
      <c r="J3747" s="40" t="str">
        <f>HYPERLINK("https://stock.pstatic.net/stock-research/company/18/20260415_company_511088000.pdf","PDF")</f>
        <v>PDF</v>
      </c>
      <c r="K3747" s="15" t="s">
        <v>4560</v>
      </c>
    </row>
    <row r="3748" spans="1:12" x14ac:dyDescent="0.45">
      <c r="A3748" s="15" t="s">
        <v>4530</v>
      </c>
      <c r="B3748" s="15" t="s">
        <v>4470</v>
      </c>
      <c r="C3748" s="16" t="s">
        <v>4471</v>
      </c>
      <c r="D3748" s="16" t="s">
        <v>158</v>
      </c>
      <c r="E3748" s="15" t="s">
        <v>50</v>
      </c>
      <c r="F3748" s="16"/>
      <c r="G3748" s="17">
        <v>17530</v>
      </c>
      <c r="H3748" s="16" t="s">
        <v>4561</v>
      </c>
      <c r="I3748" s="40" t="s">
        <v>18</v>
      </c>
      <c r="J3748" s="40" t="str">
        <f>HYPERLINK("https://stock.pstatic.net/stock-research/company/18/20260415_company_479826000.pdf","PDF")</f>
        <v>PDF</v>
      </c>
      <c r="K3748" s="15" t="s">
        <v>4562</v>
      </c>
    </row>
    <row r="3749" spans="1:12" x14ac:dyDescent="0.45">
      <c r="A3749" s="15" t="s">
        <v>4530</v>
      </c>
      <c r="B3749" s="15" t="s">
        <v>1190</v>
      </c>
      <c r="C3749" s="16" t="s">
        <v>1191</v>
      </c>
      <c r="D3749" s="16" t="s">
        <v>83</v>
      </c>
      <c r="E3749" s="15" t="s">
        <v>35</v>
      </c>
      <c r="F3749" s="17">
        <v>163000</v>
      </c>
      <c r="G3749" s="17">
        <v>123900</v>
      </c>
      <c r="H3749" s="16" t="s">
        <v>4563</v>
      </c>
      <c r="I3749" s="40" t="s">
        <v>18</v>
      </c>
      <c r="J3749" s="40" t="str">
        <f>HYPERLINK("https://stock.pstatic.net/stock-research/company/15/20260415_company_772565000.pdf","PDF")</f>
        <v>PDF</v>
      </c>
      <c r="K3749" s="15" t="s">
        <v>4564</v>
      </c>
      <c r="L3749" s="20">
        <v>0.31557707828894271</v>
      </c>
    </row>
    <row r="3750" spans="1:12" x14ac:dyDescent="0.45">
      <c r="A3750" s="15" t="s">
        <v>4530</v>
      </c>
      <c r="B3750" s="15" t="s">
        <v>2081</v>
      </c>
      <c r="C3750" s="16" t="s">
        <v>2082</v>
      </c>
      <c r="D3750" s="16" t="s">
        <v>83</v>
      </c>
      <c r="E3750" s="15" t="s">
        <v>35</v>
      </c>
      <c r="F3750" s="17">
        <v>24000</v>
      </c>
      <c r="G3750" s="17">
        <v>18050</v>
      </c>
      <c r="H3750" s="16" t="s">
        <v>4565</v>
      </c>
      <c r="I3750" s="40" t="s">
        <v>18</v>
      </c>
      <c r="J3750" s="40" t="str">
        <f>HYPERLINK("https://stock.pstatic.net/stock-research/company/15/20260415_company_510404000.pdf","PDF")</f>
        <v>PDF</v>
      </c>
      <c r="K3750" s="15" t="s">
        <v>4566</v>
      </c>
      <c r="L3750" s="20">
        <v>0.32963988919667592</v>
      </c>
    </row>
    <row r="3751" spans="1:12" x14ac:dyDescent="0.45">
      <c r="A3751" s="15" t="s">
        <v>4530</v>
      </c>
      <c r="B3751" s="15" t="s">
        <v>4567</v>
      </c>
      <c r="C3751" s="16" t="s">
        <v>4568</v>
      </c>
      <c r="D3751" s="16" t="s">
        <v>179</v>
      </c>
      <c r="E3751" s="15" t="s">
        <v>16</v>
      </c>
      <c r="F3751" s="17">
        <v>120000</v>
      </c>
      <c r="G3751" s="17">
        <v>88500</v>
      </c>
      <c r="H3751" s="16" t="s">
        <v>4569</v>
      </c>
      <c r="I3751" s="40" t="s">
        <v>18</v>
      </c>
      <c r="J3751" s="40" t="str">
        <f>HYPERLINK("https://stock.pstatic.net/stock-research/company/64/20260415_company_193922000.pdf","PDF")</f>
        <v>PDF</v>
      </c>
      <c r="K3751" s="15" t="s">
        <v>4570</v>
      </c>
      <c r="L3751" s="20">
        <v>0.3559322033898305</v>
      </c>
    </row>
    <row r="3752" spans="1:12" x14ac:dyDescent="0.45">
      <c r="A3752" s="15" t="s">
        <v>4530</v>
      </c>
      <c r="B3752" s="15" t="s">
        <v>1694</v>
      </c>
      <c r="C3752" s="16" t="s">
        <v>1695</v>
      </c>
      <c r="D3752" s="16" t="s">
        <v>23</v>
      </c>
      <c r="E3752" s="15" t="s">
        <v>16</v>
      </c>
      <c r="F3752" s="17">
        <v>87000</v>
      </c>
      <c r="G3752" s="17">
        <v>54500</v>
      </c>
      <c r="H3752" s="16" t="s">
        <v>4571</v>
      </c>
      <c r="I3752" s="40" t="s">
        <v>18</v>
      </c>
      <c r="J3752" s="40" t="str">
        <f>HYPERLINK("https://stock.pstatic.net/stock-research/company/21/20260415_company_264162000.pdf","PDF")</f>
        <v>PDF</v>
      </c>
      <c r="K3752" s="15" t="s">
        <v>4572</v>
      </c>
      <c r="L3752" s="20">
        <v>0.59633027522935778</v>
      </c>
    </row>
    <row r="3753" spans="1:12" x14ac:dyDescent="0.45">
      <c r="A3753" s="15" t="s">
        <v>4530</v>
      </c>
      <c r="B3753" s="15" t="s">
        <v>842</v>
      </c>
      <c r="C3753" s="16" t="s">
        <v>843</v>
      </c>
      <c r="D3753" s="16" t="s">
        <v>23</v>
      </c>
      <c r="E3753" s="15" t="s">
        <v>16</v>
      </c>
      <c r="F3753" s="17">
        <v>57000</v>
      </c>
      <c r="G3753" s="17">
        <v>44950</v>
      </c>
      <c r="H3753" s="16" t="s">
        <v>4573</v>
      </c>
      <c r="I3753" s="40" t="s">
        <v>18</v>
      </c>
      <c r="J3753" s="40" t="str">
        <f>HYPERLINK("https://stock.pstatic.net/stock-research/company/21/20260415_company_370097000.pdf","PDF")</f>
        <v>PDF</v>
      </c>
      <c r="K3753" s="15" t="s">
        <v>4574</v>
      </c>
      <c r="L3753" s="20">
        <v>0.26807563959955499</v>
      </c>
    </row>
    <row r="3754" spans="1:12" x14ac:dyDescent="0.45">
      <c r="A3754" s="15" t="s">
        <v>4530</v>
      </c>
      <c r="B3754" s="15" t="s">
        <v>1120</v>
      </c>
      <c r="C3754" s="16" t="s">
        <v>1121</v>
      </c>
      <c r="D3754" s="16" t="s">
        <v>23</v>
      </c>
      <c r="E3754" s="15" t="s">
        <v>16</v>
      </c>
      <c r="F3754" s="17">
        <v>160000</v>
      </c>
      <c r="G3754" s="17">
        <v>131400</v>
      </c>
      <c r="H3754" s="16" t="s">
        <v>4575</v>
      </c>
      <c r="I3754" s="40" t="s">
        <v>18</v>
      </c>
      <c r="J3754" s="40" t="str">
        <f>HYPERLINK("https://stock.pstatic.net/stock-research/company/21/20260415_company_580926000.pdf","PDF")</f>
        <v>PDF</v>
      </c>
      <c r="K3754" s="15" t="s">
        <v>4576</v>
      </c>
      <c r="L3754" s="20">
        <v>0.21765601217656011</v>
      </c>
    </row>
    <row r="3755" spans="1:12" x14ac:dyDescent="0.45">
      <c r="A3755" s="15" t="s">
        <v>4530</v>
      </c>
      <c r="B3755" s="15" t="s">
        <v>98</v>
      </c>
      <c r="C3755" s="16" t="s">
        <v>99</v>
      </c>
      <c r="D3755" s="16" t="s">
        <v>23</v>
      </c>
      <c r="E3755" s="15" t="s">
        <v>16</v>
      </c>
      <c r="F3755" s="17">
        <v>45000</v>
      </c>
      <c r="G3755" s="17">
        <v>39650</v>
      </c>
      <c r="H3755" s="16" t="s">
        <v>4577</v>
      </c>
      <c r="I3755" s="40" t="s">
        <v>18</v>
      </c>
      <c r="J3755" s="40" t="str">
        <f>HYPERLINK("https://stock.pstatic.net/stock-research/company/21/20260415_company_128147000.pdf","PDF")</f>
        <v>PDF</v>
      </c>
      <c r="K3755" s="15" t="s">
        <v>4578</v>
      </c>
      <c r="L3755" s="20">
        <v>0.13493064312736441</v>
      </c>
    </row>
    <row r="3756" spans="1:12" x14ac:dyDescent="0.45">
      <c r="A3756" s="15" t="s">
        <v>4530</v>
      </c>
      <c r="B3756" s="15" t="s">
        <v>370</v>
      </c>
      <c r="C3756" s="16" t="s">
        <v>371</v>
      </c>
      <c r="D3756" s="16" t="s">
        <v>34</v>
      </c>
      <c r="E3756" s="15" t="s">
        <v>35</v>
      </c>
      <c r="F3756" s="17">
        <v>85000</v>
      </c>
      <c r="G3756" s="17">
        <v>51600</v>
      </c>
      <c r="H3756" s="16" t="s">
        <v>4579</v>
      </c>
      <c r="I3756" s="40" t="s">
        <v>18</v>
      </c>
      <c r="J3756" s="40" t="str">
        <f>HYPERLINK("https://stock.pstatic.net/stock-research/company/61/20260415_company_330884000.pdf","PDF")</f>
        <v>PDF</v>
      </c>
      <c r="K3756" s="15" t="s">
        <v>4580</v>
      </c>
      <c r="L3756" s="20">
        <v>0.6472868217054264</v>
      </c>
    </row>
    <row r="3757" spans="1:12" x14ac:dyDescent="0.45">
      <c r="A3757" s="15" t="s">
        <v>4530</v>
      </c>
      <c r="B3757" s="15" t="s">
        <v>1648</v>
      </c>
      <c r="C3757" s="16" t="s">
        <v>1649</v>
      </c>
      <c r="D3757" s="16" t="s">
        <v>34</v>
      </c>
      <c r="E3757" s="15" t="s">
        <v>35</v>
      </c>
      <c r="F3757" s="17">
        <v>140000</v>
      </c>
      <c r="G3757" s="17">
        <v>88000</v>
      </c>
      <c r="H3757" s="16" t="s">
        <v>4581</v>
      </c>
      <c r="I3757" s="40" t="s">
        <v>18</v>
      </c>
      <c r="J3757" s="40" t="str">
        <f>HYPERLINK("https://stock.pstatic.net/stock-research/company/61/20260415_company_209921000.pdf","PDF")</f>
        <v>PDF</v>
      </c>
      <c r="K3757" s="15" t="s">
        <v>4582</v>
      </c>
      <c r="L3757" s="20">
        <v>0.59090909090909094</v>
      </c>
    </row>
    <row r="3758" spans="1:12" x14ac:dyDescent="0.45">
      <c r="A3758" s="15" t="s">
        <v>4530</v>
      </c>
      <c r="B3758" s="15" t="s">
        <v>2516</v>
      </c>
      <c r="C3758" s="16" t="s">
        <v>2517</v>
      </c>
      <c r="D3758" s="16" t="s">
        <v>34</v>
      </c>
      <c r="E3758" s="15" t="s">
        <v>50</v>
      </c>
      <c r="F3758" s="16"/>
      <c r="G3758" s="17">
        <v>24100</v>
      </c>
      <c r="H3758" s="16" t="s">
        <v>4583</v>
      </c>
      <c r="I3758" s="40" t="s">
        <v>18</v>
      </c>
      <c r="J3758" s="40" t="str">
        <f>HYPERLINK("https://stock.pstatic.net/stock-research/company/61/20260415_company_407346000.pdf","PDF")</f>
        <v>PDF</v>
      </c>
      <c r="K3758" s="15" t="s">
        <v>4584</v>
      </c>
    </row>
    <row r="3759" spans="1:12" x14ac:dyDescent="0.45">
      <c r="A3759" s="15" t="s">
        <v>4530</v>
      </c>
      <c r="B3759" s="15" t="s">
        <v>573</v>
      </c>
      <c r="C3759" s="16" t="s">
        <v>574</v>
      </c>
      <c r="D3759" s="16" t="s">
        <v>92</v>
      </c>
      <c r="E3759" s="15" t="s">
        <v>50</v>
      </c>
      <c r="F3759" s="16"/>
      <c r="G3759" s="17">
        <v>17810</v>
      </c>
      <c r="H3759" s="16" t="s">
        <v>4585</v>
      </c>
      <c r="I3759" s="40" t="s">
        <v>18</v>
      </c>
      <c r="J3759" s="40" t="str">
        <f>HYPERLINK("https://stock.pstatic.net/stock-research/company/63/20260415_company_422750000.pdf","PDF")</f>
        <v>PDF</v>
      </c>
      <c r="K3759" s="15" t="s">
        <v>4586</v>
      </c>
    </row>
    <row r="3760" spans="1:12" x14ac:dyDescent="0.45">
      <c r="A3760" s="15" t="s">
        <v>4530</v>
      </c>
      <c r="B3760" s="15" t="s">
        <v>1777</v>
      </c>
      <c r="C3760" s="16" t="s">
        <v>1778</v>
      </c>
      <c r="D3760" s="16" t="s">
        <v>92</v>
      </c>
      <c r="E3760" s="15" t="s">
        <v>50</v>
      </c>
      <c r="F3760" s="16"/>
      <c r="G3760" s="17">
        <v>26250</v>
      </c>
      <c r="H3760" s="16" t="s">
        <v>4587</v>
      </c>
      <c r="I3760" s="40" t="s">
        <v>18</v>
      </c>
      <c r="J3760" s="40" t="str">
        <f>HYPERLINK("https://stock.pstatic.net/stock-research/company/63/20260415_company_237815000.pdf","PDF")</f>
        <v>PDF</v>
      </c>
      <c r="K3760" s="15" t="s">
        <v>4588</v>
      </c>
    </row>
    <row r="3761" spans="1:12" x14ac:dyDescent="0.45">
      <c r="A3761" s="15" t="s">
        <v>4530</v>
      </c>
      <c r="B3761" s="15" t="s">
        <v>3296</v>
      </c>
      <c r="C3761" s="16" t="s">
        <v>3297</v>
      </c>
      <c r="D3761" s="16" t="s">
        <v>179</v>
      </c>
      <c r="E3761" s="15" t="s">
        <v>16</v>
      </c>
      <c r="F3761" s="17">
        <v>65000</v>
      </c>
      <c r="G3761" s="17">
        <v>48600</v>
      </c>
      <c r="H3761" s="16" t="s">
        <v>4589</v>
      </c>
      <c r="I3761" s="40" t="s">
        <v>18</v>
      </c>
      <c r="J3761" s="40" t="str">
        <f>HYPERLINK("https://stock.pstatic.net/stock-research/company/64/20260415_company_204424000.pdf","PDF")</f>
        <v>PDF</v>
      </c>
      <c r="K3761" s="15" t="s">
        <v>4590</v>
      </c>
      <c r="L3761" s="20">
        <v>0.33744855967078191</v>
      </c>
    </row>
    <row r="3762" spans="1:12" x14ac:dyDescent="0.45">
      <c r="A3762" s="15" t="s">
        <v>4530</v>
      </c>
      <c r="B3762" s="15" t="s">
        <v>2982</v>
      </c>
      <c r="C3762" s="16" t="s">
        <v>2983</v>
      </c>
      <c r="D3762" s="16" t="s">
        <v>44</v>
      </c>
      <c r="E3762" s="15" t="s">
        <v>35</v>
      </c>
      <c r="F3762" s="17">
        <v>142000</v>
      </c>
      <c r="G3762" s="17">
        <v>99000</v>
      </c>
      <c r="H3762" s="16" t="s">
        <v>4591</v>
      </c>
      <c r="I3762" s="40" t="s">
        <v>18</v>
      </c>
      <c r="J3762" s="40" t="str">
        <f>HYPERLINK("https://stock.pstatic.net/stock-research/company/39/20260415_company_516128000.pdf","PDF")</f>
        <v>PDF</v>
      </c>
      <c r="K3762" s="15" t="s">
        <v>4592</v>
      </c>
      <c r="L3762" s="20">
        <v>0.43434343434343442</v>
      </c>
    </row>
    <row r="3763" spans="1:12" x14ac:dyDescent="0.45">
      <c r="A3763" s="15" t="s">
        <v>4530</v>
      </c>
      <c r="B3763" s="15" t="s">
        <v>334</v>
      </c>
      <c r="C3763" s="16" t="s">
        <v>335</v>
      </c>
      <c r="D3763" s="16" t="s">
        <v>53</v>
      </c>
      <c r="E3763" s="15" t="s">
        <v>16</v>
      </c>
      <c r="F3763" s="17">
        <v>1800000</v>
      </c>
      <c r="G3763" s="17">
        <v>1103000</v>
      </c>
      <c r="H3763" s="16" t="s">
        <v>4593</v>
      </c>
      <c r="I3763" s="40" t="s">
        <v>18</v>
      </c>
      <c r="J3763" s="40" t="str">
        <f>HYPERLINK("https://stock.pstatic.net/stock-research/company/40/20260415_company_968030000.pdf","PDF")</f>
        <v>PDF</v>
      </c>
      <c r="K3763" s="15" t="s">
        <v>4594</v>
      </c>
      <c r="L3763" s="20">
        <v>0.63191296464188573</v>
      </c>
    </row>
    <row r="3764" spans="1:12" x14ac:dyDescent="0.45">
      <c r="A3764" s="15" t="s">
        <v>4530</v>
      </c>
      <c r="B3764" s="15" t="s">
        <v>3403</v>
      </c>
      <c r="C3764" s="16" t="s">
        <v>3404</v>
      </c>
      <c r="D3764" s="16" t="s">
        <v>53</v>
      </c>
      <c r="E3764" s="15" t="s">
        <v>16</v>
      </c>
      <c r="F3764" s="17">
        <v>65000</v>
      </c>
      <c r="G3764" s="17">
        <v>44500</v>
      </c>
      <c r="H3764" s="16" t="s">
        <v>4595</v>
      </c>
      <c r="I3764" s="40" t="s">
        <v>18</v>
      </c>
      <c r="J3764" s="40" t="str">
        <f>HYPERLINK("https://stock.pstatic.net/stock-research/company/40/20260415_company_123629000.pdf","PDF")</f>
        <v>PDF</v>
      </c>
      <c r="K3764" s="15" t="s">
        <v>4596</v>
      </c>
      <c r="L3764" s="20">
        <v>0.4606741573033708</v>
      </c>
    </row>
    <row r="3765" spans="1:12" x14ac:dyDescent="0.45">
      <c r="A3765" s="15" t="s">
        <v>4530</v>
      </c>
      <c r="B3765" s="15" t="s">
        <v>2658</v>
      </c>
      <c r="C3765" s="16" t="s">
        <v>2659</v>
      </c>
      <c r="D3765" s="16" t="s">
        <v>34</v>
      </c>
      <c r="E3765" s="15" t="s">
        <v>35</v>
      </c>
      <c r="F3765" s="17">
        <v>150000</v>
      </c>
      <c r="G3765" s="17">
        <v>93600</v>
      </c>
      <c r="H3765" s="16" t="s">
        <v>4597</v>
      </c>
      <c r="I3765" s="40" t="s">
        <v>18</v>
      </c>
      <c r="J3765" s="40" t="str">
        <f>HYPERLINK("https://stock.pstatic.net/stock-research/company/61/20260415_company_241930000.pdf","PDF")</f>
        <v>PDF</v>
      </c>
      <c r="K3765" s="15" t="s">
        <v>4598</v>
      </c>
      <c r="L3765" s="20">
        <v>0.60256410256410253</v>
      </c>
    </row>
    <row r="3766" spans="1:12" x14ac:dyDescent="0.45">
      <c r="A3766" s="15" t="s">
        <v>4530</v>
      </c>
      <c r="B3766" s="15" t="s">
        <v>1190</v>
      </c>
      <c r="C3766" s="16" t="s">
        <v>1191</v>
      </c>
      <c r="D3766" s="16" t="s">
        <v>44</v>
      </c>
      <c r="E3766" s="15" t="s">
        <v>50</v>
      </c>
      <c r="F3766" s="16"/>
      <c r="G3766" s="17">
        <v>123900</v>
      </c>
      <c r="H3766" s="16" t="s">
        <v>4599</v>
      </c>
      <c r="I3766" s="40" t="s">
        <v>18</v>
      </c>
      <c r="J3766" s="40" t="str">
        <f>HYPERLINK("https://stock.pstatic.net/stock-research/company/39/20260415_company_354978000.pdf","PDF")</f>
        <v>PDF</v>
      </c>
      <c r="K3766" s="15" t="s">
        <v>4600</v>
      </c>
    </row>
    <row r="3767" spans="1:12" x14ac:dyDescent="0.45">
      <c r="A3767" s="15" t="s">
        <v>4530</v>
      </c>
      <c r="B3767" s="15" t="s">
        <v>736</v>
      </c>
      <c r="C3767" s="16" t="s">
        <v>737</v>
      </c>
      <c r="D3767" s="16" t="s">
        <v>44</v>
      </c>
      <c r="E3767" s="15" t="s">
        <v>50</v>
      </c>
      <c r="F3767" s="16"/>
      <c r="G3767" s="17">
        <v>188100</v>
      </c>
      <c r="H3767" s="16" t="s">
        <v>4601</v>
      </c>
      <c r="I3767" s="40" t="s">
        <v>18</v>
      </c>
      <c r="J3767" s="40" t="str">
        <f>HYPERLINK("https://stock.pstatic.net/stock-research/company/39/20260415_company_934541000.pdf","PDF")</f>
        <v>PDF</v>
      </c>
      <c r="K3767" s="15" t="s">
        <v>4602</v>
      </c>
    </row>
    <row r="3768" spans="1:12" x14ac:dyDescent="0.45">
      <c r="A3768" s="15" t="s">
        <v>4530</v>
      </c>
      <c r="B3768" s="15" t="s">
        <v>816</v>
      </c>
      <c r="C3768" s="16" t="s">
        <v>817</v>
      </c>
      <c r="D3768" s="16" t="s">
        <v>44</v>
      </c>
      <c r="E3768" s="15" t="s">
        <v>50</v>
      </c>
      <c r="F3768" s="16"/>
      <c r="G3768" s="17">
        <v>46550</v>
      </c>
      <c r="H3768" s="16" t="s">
        <v>4603</v>
      </c>
      <c r="I3768" s="40" t="s">
        <v>18</v>
      </c>
      <c r="J3768" s="40" t="str">
        <f>HYPERLINK("https://stock.pstatic.net/stock-research/company/39/20260415_company_505415000.pdf","PDF")</f>
        <v>PDF</v>
      </c>
      <c r="K3768" s="15" t="s">
        <v>4604</v>
      </c>
    </row>
    <row r="3769" spans="1:12" x14ac:dyDescent="0.45">
      <c r="A3769" s="15" t="s">
        <v>4530</v>
      </c>
      <c r="B3769" s="15" t="s">
        <v>3018</v>
      </c>
      <c r="C3769" s="16" t="s">
        <v>3019</v>
      </c>
      <c r="D3769" s="16" t="s">
        <v>44</v>
      </c>
      <c r="E3769" s="15" t="s">
        <v>35</v>
      </c>
      <c r="F3769" s="17">
        <v>22000</v>
      </c>
      <c r="G3769" s="17">
        <v>16970</v>
      </c>
      <c r="H3769" s="16" t="s">
        <v>4605</v>
      </c>
      <c r="I3769" s="40" t="s">
        <v>18</v>
      </c>
      <c r="J3769" s="40" t="str">
        <f>HYPERLINK("https://stock.pstatic.net/stock-research/company/39/20260415_company_870182000.pdf","PDF")</f>
        <v>PDF</v>
      </c>
      <c r="K3769" s="15" t="s">
        <v>4606</v>
      </c>
      <c r="L3769" s="20">
        <v>0.29640542133176201</v>
      </c>
    </row>
    <row r="3770" spans="1:12" x14ac:dyDescent="0.45">
      <c r="A3770" s="15" t="s">
        <v>4530</v>
      </c>
      <c r="B3770" s="15" t="s">
        <v>1656</v>
      </c>
      <c r="C3770" s="16" t="s">
        <v>1657</v>
      </c>
      <c r="D3770" s="16" t="s">
        <v>53</v>
      </c>
      <c r="E3770" s="15" t="s">
        <v>16</v>
      </c>
      <c r="F3770" s="17">
        <v>410000</v>
      </c>
      <c r="G3770" s="17">
        <v>346500</v>
      </c>
      <c r="H3770" s="16" t="s">
        <v>4607</v>
      </c>
      <c r="I3770" s="40" t="s">
        <v>18</v>
      </c>
      <c r="J3770" s="40" t="str">
        <f>HYPERLINK("https://stock.pstatic.net/stock-research/company/40/20260415_company_69909000.pdf","PDF")</f>
        <v>PDF</v>
      </c>
      <c r="K3770" s="15" t="s">
        <v>4608</v>
      </c>
      <c r="L3770" s="20">
        <v>0.18326118326118329</v>
      </c>
    </row>
    <row r="3771" spans="1:12" x14ac:dyDescent="0.45">
      <c r="A3771" s="15" t="s">
        <v>4530</v>
      </c>
      <c r="B3771" s="15" t="s">
        <v>4609</v>
      </c>
      <c r="C3771" s="16" t="s">
        <v>4610</v>
      </c>
      <c r="D3771" s="16" t="s">
        <v>124</v>
      </c>
      <c r="E3771" s="15" t="s">
        <v>50</v>
      </c>
      <c r="F3771" s="16"/>
      <c r="G3771" s="17">
        <v>5580</v>
      </c>
      <c r="H3771" s="16" t="s">
        <v>4611</v>
      </c>
      <c r="I3771" s="40" t="s">
        <v>18</v>
      </c>
      <c r="J3771" s="40" t="str">
        <f>HYPERLINK("https://stock.pstatic.net/stock-research/company/74/20260415_company_920912000.pdf","PDF")</f>
        <v>PDF</v>
      </c>
      <c r="K3771" s="15" t="s">
        <v>4612</v>
      </c>
    </row>
    <row r="3772" spans="1:12" x14ac:dyDescent="0.45">
      <c r="A3772" s="15" t="s">
        <v>4530</v>
      </c>
      <c r="B3772" s="15" t="s">
        <v>4613</v>
      </c>
      <c r="C3772" s="16" t="s">
        <v>4614</v>
      </c>
      <c r="D3772" s="16" t="s">
        <v>124</v>
      </c>
      <c r="E3772" s="15" t="s">
        <v>50</v>
      </c>
      <c r="F3772" s="16"/>
      <c r="G3772" s="17">
        <v>3375</v>
      </c>
      <c r="H3772" s="16" t="s">
        <v>4615</v>
      </c>
      <c r="I3772" s="40" t="s">
        <v>18</v>
      </c>
      <c r="J3772" s="40" t="str">
        <f>HYPERLINK("https://stock.pstatic.net/stock-research/company/74/20260415_company_478149000.pdf","PDF")</f>
        <v>PDF</v>
      </c>
      <c r="K3772" s="15" t="s">
        <v>4616</v>
      </c>
    </row>
    <row r="3773" spans="1:12" x14ac:dyDescent="0.45">
      <c r="A3773" s="15" t="s">
        <v>4530</v>
      </c>
      <c r="B3773" s="15" t="s">
        <v>4617</v>
      </c>
      <c r="C3773" s="16" t="s">
        <v>4618</v>
      </c>
      <c r="D3773" s="16" t="s">
        <v>124</v>
      </c>
      <c r="E3773" s="15" t="s">
        <v>50</v>
      </c>
      <c r="F3773" s="16"/>
      <c r="G3773" s="17">
        <v>19610</v>
      </c>
      <c r="H3773" s="16" t="s">
        <v>4619</v>
      </c>
      <c r="I3773" s="40" t="s">
        <v>18</v>
      </c>
      <c r="J3773" s="40" t="str">
        <f>HYPERLINK("https://stock.pstatic.net/stock-research/company/74/20260415_company_988492000.pdf","PDF")</f>
        <v>PDF</v>
      </c>
      <c r="K3773" s="15" t="s">
        <v>4620</v>
      </c>
    </row>
    <row r="3774" spans="1:12" x14ac:dyDescent="0.45">
      <c r="A3774" s="15" t="s">
        <v>4530</v>
      </c>
      <c r="B3774" s="15" t="s">
        <v>4621</v>
      </c>
      <c r="C3774" s="16" t="s">
        <v>4622</v>
      </c>
      <c r="D3774" s="16" t="s">
        <v>124</v>
      </c>
      <c r="E3774" s="15" t="s">
        <v>50</v>
      </c>
      <c r="F3774" s="16"/>
      <c r="G3774" s="17">
        <v>2455</v>
      </c>
      <c r="H3774" s="16" t="s">
        <v>4623</v>
      </c>
      <c r="I3774" s="40" t="s">
        <v>18</v>
      </c>
      <c r="J3774" s="40" t="str">
        <f>HYPERLINK("https://stock.pstatic.net/stock-research/company/74/20260415_company_417560000.pdf","PDF")</f>
        <v>PDF</v>
      </c>
      <c r="K3774" s="15" t="s">
        <v>4624</v>
      </c>
    </row>
    <row r="3775" spans="1:12" x14ac:dyDescent="0.45">
      <c r="A3775" s="15" t="s">
        <v>4530</v>
      </c>
      <c r="B3775" s="15" t="s">
        <v>4625</v>
      </c>
      <c r="C3775" s="16" t="s">
        <v>4626</v>
      </c>
      <c r="D3775" s="16" t="s">
        <v>124</v>
      </c>
      <c r="E3775" s="15" t="s">
        <v>50</v>
      </c>
      <c r="F3775" s="16"/>
      <c r="G3775" s="17">
        <v>11500</v>
      </c>
      <c r="H3775" s="16" t="s">
        <v>4627</v>
      </c>
      <c r="I3775" s="40" t="s">
        <v>18</v>
      </c>
      <c r="J3775" s="40" t="str">
        <f>HYPERLINK("https://stock.pstatic.net/stock-research/company/74/20260415_company_49222000.pdf","PDF")</f>
        <v>PDF</v>
      </c>
      <c r="K3775" s="15" t="s">
        <v>4628</v>
      </c>
    </row>
    <row r="3776" spans="1:12" x14ac:dyDescent="0.45">
      <c r="A3776" s="15" t="s">
        <v>4530</v>
      </c>
      <c r="B3776" s="15" t="s">
        <v>3395</v>
      </c>
      <c r="C3776" s="16" t="s">
        <v>3396</v>
      </c>
      <c r="D3776" s="16" t="s">
        <v>124</v>
      </c>
      <c r="E3776" s="15" t="s">
        <v>50</v>
      </c>
      <c r="F3776" s="16"/>
      <c r="G3776" s="17">
        <v>27100</v>
      </c>
      <c r="H3776" s="16" t="s">
        <v>4629</v>
      </c>
      <c r="I3776" s="40" t="s">
        <v>18</v>
      </c>
      <c r="J3776" s="40" t="str">
        <f>HYPERLINK("https://stock.pstatic.net/stock-research/company/74/20260415_company_791411000.pdf","PDF")</f>
        <v>PDF</v>
      </c>
      <c r="K3776" s="15" t="s">
        <v>4630</v>
      </c>
    </row>
    <row r="3777" spans="1:12" x14ac:dyDescent="0.45">
      <c r="A3777" s="15" t="s">
        <v>4530</v>
      </c>
      <c r="B3777" s="15" t="s">
        <v>4631</v>
      </c>
      <c r="C3777" s="16" t="s">
        <v>4632</v>
      </c>
      <c r="D3777" s="16" t="s">
        <v>124</v>
      </c>
      <c r="E3777" s="15" t="s">
        <v>50</v>
      </c>
      <c r="F3777" s="16"/>
      <c r="G3777" s="17">
        <v>10390</v>
      </c>
      <c r="H3777" s="16" t="s">
        <v>4633</v>
      </c>
      <c r="I3777" s="40" t="s">
        <v>18</v>
      </c>
      <c r="J3777" s="40" t="str">
        <f>HYPERLINK("https://stock.pstatic.net/stock-research/company/74/20260415_company_390225000.pdf","PDF")</f>
        <v>PDF</v>
      </c>
      <c r="K3777" s="15" t="s">
        <v>4634</v>
      </c>
    </row>
    <row r="3778" spans="1:12" x14ac:dyDescent="0.45">
      <c r="A3778" s="15" t="s">
        <v>4530</v>
      </c>
      <c r="B3778" s="15" t="s">
        <v>128</v>
      </c>
      <c r="C3778" s="16" t="s">
        <v>129</v>
      </c>
      <c r="D3778" s="16" t="s">
        <v>124</v>
      </c>
      <c r="E3778" s="15" t="s">
        <v>50</v>
      </c>
      <c r="F3778" s="16"/>
      <c r="G3778" s="17">
        <v>85800</v>
      </c>
      <c r="H3778" s="16" t="s">
        <v>4635</v>
      </c>
      <c r="I3778" s="40" t="s">
        <v>18</v>
      </c>
      <c r="J3778" s="40" t="str">
        <f>HYPERLINK("https://stock.pstatic.net/stock-research/company/74/20260415_company_323910000.pdf","PDF")</f>
        <v>PDF</v>
      </c>
      <c r="K3778" s="15" t="s">
        <v>4636</v>
      </c>
    </row>
    <row r="3779" spans="1:12" x14ac:dyDescent="0.45">
      <c r="A3779" s="15" t="s">
        <v>4530</v>
      </c>
      <c r="B3779" s="15" t="s">
        <v>4637</v>
      </c>
      <c r="C3779" s="16" t="s">
        <v>4638</v>
      </c>
      <c r="D3779" s="16" t="s">
        <v>124</v>
      </c>
      <c r="E3779" s="15" t="s">
        <v>50</v>
      </c>
      <c r="F3779" s="16"/>
      <c r="G3779" s="17">
        <v>2965</v>
      </c>
      <c r="H3779" s="16" t="s">
        <v>4639</v>
      </c>
      <c r="I3779" s="40" t="s">
        <v>18</v>
      </c>
      <c r="J3779" s="40" t="str">
        <f>HYPERLINK("https://stock.pstatic.net/stock-research/company/74/20260415_company_736775000.pdf","PDF")</f>
        <v>PDF</v>
      </c>
      <c r="K3779" s="15" t="s">
        <v>4640</v>
      </c>
    </row>
    <row r="3780" spans="1:12" x14ac:dyDescent="0.45">
      <c r="A3780" s="15" t="s">
        <v>4641</v>
      </c>
      <c r="B3780" s="15" t="s">
        <v>4642</v>
      </c>
      <c r="C3780" s="16" t="s">
        <v>4643</v>
      </c>
      <c r="D3780" s="16" t="s">
        <v>57</v>
      </c>
      <c r="E3780" s="15" t="s">
        <v>35</v>
      </c>
      <c r="F3780" s="17">
        <v>32000</v>
      </c>
      <c r="G3780" s="17">
        <v>23950</v>
      </c>
      <c r="H3780" s="16" t="s">
        <v>4644</v>
      </c>
      <c r="I3780" s="40" t="s">
        <v>18</v>
      </c>
      <c r="J3780" s="40" t="str">
        <f>HYPERLINK("https://stock.pstatic.net/stock-research/company/16/20260414_company_238288000.pdf","PDF")</f>
        <v>PDF</v>
      </c>
      <c r="K3780" s="15" t="s">
        <v>4645</v>
      </c>
      <c r="L3780" s="20">
        <v>0.33611691022964513</v>
      </c>
    </row>
    <row r="3781" spans="1:12" x14ac:dyDescent="0.45">
      <c r="A3781" s="15" t="s">
        <v>4641</v>
      </c>
      <c r="B3781" s="15" t="s">
        <v>3349</v>
      </c>
      <c r="C3781" s="16" t="s">
        <v>3350</v>
      </c>
      <c r="D3781" s="16" t="s">
        <v>57</v>
      </c>
      <c r="E3781" s="15" t="s">
        <v>35</v>
      </c>
      <c r="F3781" s="17">
        <v>32000</v>
      </c>
      <c r="G3781" s="17">
        <v>21800</v>
      </c>
      <c r="H3781" s="16" t="s">
        <v>4646</v>
      </c>
      <c r="I3781" s="40" t="s">
        <v>18</v>
      </c>
      <c r="J3781" s="40" t="str">
        <f>HYPERLINK("https://stock.pstatic.net/stock-research/company/16/20260414_company_873454000.pdf","PDF")</f>
        <v>PDF</v>
      </c>
      <c r="K3781" s="15" t="s">
        <v>4647</v>
      </c>
      <c r="L3781" s="20">
        <v>0.46788990825688082</v>
      </c>
    </row>
    <row r="3782" spans="1:12" x14ac:dyDescent="0.45">
      <c r="A3782" s="15" t="s">
        <v>4641</v>
      </c>
      <c r="B3782" s="15" t="s">
        <v>916</v>
      </c>
      <c r="C3782" s="16" t="s">
        <v>917</v>
      </c>
      <c r="D3782" s="16" t="s">
        <v>276</v>
      </c>
      <c r="E3782" s="15" t="s">
        <v>16</v>
      </c>
      <c r="F3782" s="17">
        <v>65000</v>
      </c>
      <c r="G3782" s="17">
        <v>47000</v>
      </c>
      <c r="H3782" s="16" t="s">
        <v>4648</v>
      </c>
      <c r="I3782" s="40" t="s">
        <v>18</v>
      </c>
      <c r="J3782" s="40" t="str">
        <f>HYPERLINK("https://stock.pstatic.net/stock-research/company/66/20260414_company_930571000.pdf","PDF")</f>
        <v>PDF</v>
      </c>
      <c r="K3782" s="15" t="s">
        <v>4649</v>
      </c>
      <c r="L3782" s="20">
        <v>0.38297872340425532</v>
      </c>
    </row>
    <row r="3783" spans="1:12" x14ac:dyDescent="0.45">
      <c r="A3783" s="15" t="s">
        <v>4641</v>
      </c>
      <c r="B3783" s="15" t="s">
        <v>42</v>
      </c>
      <c r="C3783" s="16" t="s">
        <v>43</v>
      </c>
      <c r="D3783" s="16" t="s">
        <v>276</v>
      </c>
      <c r="E3783" s="15" t="s">
        <v>16</v>
      </c>
      <c r="F3783" s="17">
        <v>300000</v>
      </c>
      <c r="G3783" s="17">
        <v>199000</v>
      </c>
      <c r="H3783" s="16" t="s">
        <v>4650</v>
      </c>
      <c r="I3783" s="40" t="s">
        <v>18</v>
      </c>
      <c r="J3783" s="40" t="str">
        <f>HYPERLINK("https://stock.pstatic.net/stock-research/company/66/20260414_company_189000.pdf","PDF")</f>
        <v>PDF</v>
      </c>
      <c r="K3783" s="15" t="s">
        <v>4651</v>
      </c>
      <c r="L3783" s="20">
        <v>0.50753768844221103</v>
      </c>
    </row>
    <row r="3784" spans="1:12" x14ac:dyDescent="0.45">
      <c r="A3784" s="15" t="s">
        <v>4641</v>
      </c>
      <c r="B3784" s="15" t="s">
        <v>736</v>
      </c>
      <c r="C3784" s="16" t="s">
        <v>737</v>
      </c>
      <c r="D3784" s="16" t="s">
        <v>60</v>
      </c>
      <c r="E3784" s="15" t="s">
        <v>35</v>
      </c>
      <c r="F3784" s="17">
        <v>260000</v>
      </c>
      <c r="G3784" s="17">
        <v>193600</v>
      </c>
      <c r="H3784" s="16" t="s">
        <v>4652</v>
      </c>
      <c r="I3784" s="40" t="s">
        <v>18</v>
      </c>
      <c r="J3784" s="40" t="str">
        <f>HYPERLINK("https://stock.pstatic.net/stock-research/company/62/20260414_company_752669000.pdf","PDF")</f>
        <v>PDF</v>
      </c>
      <c r="K3784" s="15" t="s">
        <v>4653</v>
      </c>
      <c r="L3784" s="20">
        <v>0.34297520661157033</v>
      </c>
    </row>
    <row r="3785" spans="1:12" x14ac:dyDescent="0.45">
      <c r="A3785" s="15" t="s">
        <v>4641</v>
      </c>
      <c r="B3785" s="15" t="s">
        <v>356</v>
      </c>
      <c r="C3785" s="16" t="s">
        <v>357</v>
      </c>
      <c r="D3785" s="16" t="s">
        <v>60</v>
      </c>
      <c r="E3785" s="15" t="s">
        <v>35</v>
      </c>
      <c r="F3785" s="17">
        <v>95000</v>
      </c>
      <c r="G3785" s="17">
        <v>74500</v>
      </c>
      <c r="H3785" s="16" t="s">
        <v>4654</v>
      </c>
      <c r="I3785" s="40" t="s">
        <v>18</v>
      </c>
      <c r="J3785" s="40" t="str">
        <f>HYPERLINK("https://stock.pstatic.net/stock-research/company/62/20260414_company_367185000.pdf","PDF")</f>
        <v>PDF</v>
      </c>
      <c r="K3785" s="15" t="s">
        <v>4655</v>
      </c>
      <c r="L3785" s="20">
        <v>0.27516778523489932</v>
      </c>
    </row>
    <row r="3786" spans="1:12" x14ac:dyDescent="0.45">
      <c r="A3786" s="15" t="s">
        <v>4641</v>
      </c>
      <c r="B3786" s="15" t="s">
        <v>4656</v>
      </c>
      <c r="C3786" s="16" t="s">
        <v>4657</v>
      </c>
      <c r="D3786" s="16" t="s">
        <v>65</v>
      </c>
      <c r="E3786" s="15" t="s">
        <v>35</v>
      </c>
      <c r="F3786" s="17">
        <v>25000</v>
      </c>
      <c r="G3786" s="17">
        <v>16900</v>
      </c>
      <c r="H3786" s="16" t="s">
        <v>4658</v>
      </c>
      <c r="I3786" s="40" t="s">
        <v>18</v>
      </c>
      <c r="J3786" s="40" t="str">
        <f>HYPERLINK("https://stock.pstatic.net/stock-research/company/57/20260414_company_124803000.pdf","PDF")</f>
        <v>PDF</v>
      </c>
      <c r="K3786" s="15" t="s">
        <v>4659</v>
      </c>
      <c r="L3786" s="20">
        <v>0.47928994082840243</v>
      </c>
    </row>
    <row r="3787" spans="1:12" x14ac:dyDescent="0.45">
      <c r="A3787" s="15" t="s">
        <v>4641</v>
      </c>
      <c r="B3787" s="15" t="s">
        <v>4660</v>
      </c>
      <c r="C3787" s="16" t="s">
        <v>4661</v>
      </c>
      <c r="D3787" s="16" t="s">
        <v>65</v>
      </c>
      <c r="E3787" s="15" t="s">
        <v>50</v>
      </c>
      <c r="F3787" s="16"/>
      <c r="G3787" s="17">
        <v>60500</v>
      </c>
      <c r="H3787" s="16" t="s">
        <v>4662</v>
      </c>
      <c r="I3787" s="40" t="s">
        <v>18</v>
      </c>
      <c r="J3787" s="40" t="str">
        <f>HYPERLINK("https://stock.pstatic.net/stock-research/company/57/20260414_company_441879000.pdf","PDF")</f>
        <v>PDF</v>
      </c>
      <c r="K3787" s="15" t="s">
        <v>4663</v>
      </c>
    </row>
    <row r="3788" spans="1:12" x14ac:dyDescent="0.45">
      <c r="A3788" s="15" t="s">
        <v>4641</v>
      </c>
      <c r="B3788" s="15" t="s">
        <v>4642</v>
      </c>
      <c r="C3788" s="16" t="s">
        <v>4643</v>
      </c>
      <c r="D3788" s="16" t="s">
        <v>65</v>
      </c>
      <c r="E3788" s="15" t="s">
        <v>35</v>
      </c>
      <c r="F3788" s="17">
        <v>32000</v>
      </c>
      <c r="G3788" s="17">
        <v>23950</v>
      </c>
      <c r="H3788" s="16" t="s">
        <v>4664</v>
      </c>
      <c r="I3788" s="40" t="s">
        <v>18</v>
      </c>
      <c r="J3788" s="40" t="str">
        <f>HYPERLINK("https://stock.pstatic.net/stock-research/company/57/20260414_company_625186000.pdf","PDF")</f>
        <v>PDF</v>
      </c>
      <c r="K3788" s="15" t="s">
        <v>4665</v>
      </c>
      <c r="L3788" s="20">
        <v>0.33611691022964513</v>
      </c>
    </row>
    <row r="3789" spans="1:12" x14ac:dyDescent="0.45">
      <c r="A3789" s="15" t="s">
        <v>4641</v>
      </c>
      <c r="B3789" s="15" t="s">
        <v>1694</v>
      </c>
      <c r="C3789" s="16" t="s">
        <v>1695</v>
      </c>
      <c r="D3789" s="16" t="s">
        <v>158</v>
      </c>
      <c r="E3789" s="15" t="s">
        <v>35</v>
      </c>
      <c r="F3789" s="17">
        <v>74000</v>
      </c>
      <c r="G3789" s="17">
        <v>53800</v>
      </c>
      <c r="H3789" s="16" t="s">
        <v>4666</v>
      </c>
      <c r="I3789" s="40" t="s">
        <v>18</v>
      </c>
      <c r="J3789" s="40" t="str">
        <f>HYPERLINK("https://stock.pstatic.net/stock-research/company/18/20260414_company_197092000.pdf","PDF")</f>
        <v>PDF</v>
      </c>
      <c r="K3789" s="15" t="s">
        <v>4667</v>
      </c>
      <c r="L3789" s="20">
        <v>0.37546468401486988</v>
      </c>
    </row>
    <row r="3790" spans="1:12" x14ac:dyDescent="0.45">
      <c r="A3790" s="15" t="s">
        <v>4641</v>
      </c>
      <c r="B3790" s="15" t="s">
        <v>4668</v>
      </c>
      <c r="C3790" s="16" t="s">
        <v>4669</v>
      </c>
      <c r="D3790" s="16" t="s">
        <v>158</v>
      </c>
      <c r="E3790" s="15" t="s">
        <v>35</v>
      </c>
      <c r="F3790" s="17">
        <v>39000</v>
      </c>
      <c r="G3790" s="17">
        <v>32000</v>
      </c>
      <c r="H3790" s="16" t="s">
        <v>4670</v>
      </c>
      <c r="I3790" s="40" t="s">
        <v>18</v>
      </c>
      <c r="J3790" s="40" t="str">
        <f>HYPERLINK("https://stock.pstatic.net/stock-research/company/18/20260414_company_527060000.pdf","PDF")</f>
        <v>PDF</v>
      </c>
      <c r="K3790" s="15" t="s">
        <v>4671</v>
      </c>
      <c r="L3790" s="20">
        <v>0.21875</v>
      </c>
    </row>
    <row r="3791" spans="1:12" x14ac:dyDescent="0.45">
      <c r="A3791" s="15" t="s">
        <v>4641</v>
      </c>
      <c r="B3791" s="15" t="s">
        <v>1344</v>
      </c>
      <c r="C3791" s="16" t="s">
        <v>1345</v>
      </c>
      <c r="D3791" s="16" t="s">
        <v>158</v>
      </c>
      <c r="E3791" s="15" t="s">
        <v>35</v>
      </c>
      <c r="F3791" s="17">
        <v>110000</v>
      </c>
      <c r="G3791" s="17">
        <v>83000</v>
      </c>
      <c r="H3791" s="16" t="s">
        <v>4672</v>
      </c>
      <c r="I3791" s="40" t="s">
        <v>18</v>
      </c>
      <c r="J3791" s="40" t="str">
        <f>HYPERLINK("https://stock.pstatic.net/stock-research/company/18/20260414_company_790176000.pdf","PDF")</f>
        <v>PDF</v>
      </c>
      <c r="K3791" s="15" t="s">
        <v>4673</v>
      </c>
      <c r="L3791" s="20">
        <v>0.3253012048192771</v>
      </c>
    </row>
    <row r="3792" spans="1:12" x14ac:dyDescent="0.45">
      <c r="A3792" s="15" t="s">
        <v>4641</v>
      </c>
      <c r="B3792" s="15" t="s">
        <v>2933</v>
      </c>
      <c r="C3792" s="16" t="s">
        <v>2934</v>
      </c>
      <c r="D3792" s="16" t="s">
        <v>158</v>
      </c>
      <c r="E3792" s="15" t="s">
        <v>35</v>
      </c>
      <c r="F3792" s="17">
        <v>239000</v>
      </c>
      <c r="G3792" s="17">
        <v>172900</v>
      </c>
      <c r="H3792" s="16" t="s">
        <v>4674</v>
      </c>
      <c r="I3792" s="40" t="s">
        <v>18</v>
      </c>
      <c r="J3792" s="40" t="str">
        <f>HYPERLINK("https://stock.pstatic.net/stock-research/company/18/20260414_company_814825000.pdf","PDF")</f>
        <v>PDF</v>
      </c>
      <c r="K3792" s="15" t="s">
        <v>4675</v>
      </c>
      <c r="L3792" s="20">
        <v>0.38230190861769808</v>
      </c>
    </row>
    <row r="3793" spans="1:12" x14ac:dyDescent="0.45">
      <c r="A3793" s="15" t="s">
        <v>4641</v>
      </c>
      <c r="B3793" s="15" t="s">
        <v>3182</v>
      </c>
      <c r="C3793" s="16" t="s">
        <v>3183</v>
      </c>
      <c r="D3793" s="16" t="s">
        <v>158</v>
      </c>
      <c r="E3793" s="15" t="s">
        <v>35</v>
      </c>
      <c r="F3793" s="17">
        <v>1320000</v>
      </c>
      <c r="G3793" s="17">
        <v>1007000</v>
      </c>
      <c r="H3793" s="16" t="s">
        <v>4676</v>
      </c>
      <c r="I3793" s="40" t="s">
        <v>18</v>
      </c>
      <c r="J3793" s="40" t="str">
        <f>HYPERLINK("https://stock.pstatic.net/stock-research/company/18/20260414_company_627818000.pdf","PDF")</f>
        <v>PDF</v>
      </c>
      <c r="K3793" s="15" t="s">
        <v>4677</v>
      </c>
      <c r="L3793" s="20">
        <v>0.31082423038728901</v>
      </c>
    </row>
    <row r="3794" spans="1:12" x14ac:dyDescent="0.45">
      <c r="A3794" s="15" t="s">
        <v>4641</v>
      </c>
      <c r="B3794" s="15" t="s">
        <v>4021</v>
      </c>
      <c r="C3794" s="16" t="s">
        <v>4022</v>
      </c>
      <c r="D3794" s="16" t="s">
        <v>158</v>
      </c>
      <c r="E3794" s="15" t="s">
        <v>35</v>
      </c>
      <c r="F3794" s="17">
        <v>260000</v>
      </c>
      <c r="G3794" s="17">
        <v>179200</v>
      </c>
      <c r="H3794" s="16" t="s">
        <v>4678</v>
      </c>
      <c r="I3794" s="40" t="s">
        <v>18</v>
      </c>
      <c r="J3794" s="40" t="str">
        <f>HYPERLINK("https://stock.pstatic.net/stock-research/company/18/20260414_company_124828000.pdf","PDF")</f>
        <v>PDF</v>
      </c>
      <c r="K3794" s="15" t="s">
        <v>4679</v>
      </c>
      <c r="L3794" s="20">
        <v>0.45089285714285721</v>
      </c>
    </row>
    <row r="3795" spans="1:12" x14ac:dyDescent="0.45">
      <c r="A3795" s="15" t="s">
        <v>4641</v>
      </c>
      <c r="B3795" s="15" t="s">
        <v>3230</v>
      </c>
      <c r="C3795" s="16" t="s">
        <v>3231</v>
      </c>
      <c r="D3795" s="16" t="s">
        <v>158</v>
      </c>
      <c r="E3795" s="15" t="s">
        <v>35</v>
      </c>
      <c r="F3795" s="17">
        <v>4200000</v>
      </c>
      <c r="G3795" s="17">
        <v>3058000</v>
      </c>
      <c r="H3795" s="16" t="s">
        <v>4680</v>
      </c>
      <c r="I3795" s="40" t="s">
        <v>18</v>
      </c>
      <c r="J3795" s="40" t="str">
        <f>HYPERLINK("https://stock.pstatic.net/stock-research/company/18/20260414_company_553265000.pdf","PDF")</f>
        <v>PDF</v>
      </c>
      <c r="K3795" s="15" t="s">
        <v>4681</v>
      </c>
      <c r="L3795" s="20">
        <v>0.3734466971877044</v>
      </c>
    </row>
    <row r="3796" spans="1:12" x14ac:dyDescent="0.45">
      <c r="A3796" s="15" t="s">
        <v>4641</v>
      </c>
      <c r="B3796" s="15" t="s">
        <v>4642</v>
      </c>
      <c r="C3796" s="16" t="s">
        <v>4643</v>
      </c>
      <c r="D3796" s="16" t="s">
        <v>158</v>
      </c>
      <c r="E3796" s="15" t="s">
        <v>35</v>
      </c>
      <c r="F3796" s="17">
        <v>32000</v>
      </c>
      <c r="G3796" s="17">
        <v>23950</v>
      </c>
      <c r="H3796" s="16" t="s">
        <v>4682</v>
      </c>
      <c r="I3796" s="40" t="s">
        <v>18</v>
      </c>
      <c r="J3796" s="40" t="str">
        <f>HYPERLINK("https://m.stock.naver.com/research/company/91537","PDF")</f>
        <v>PDF</v>
      </c>
      <c r="K3796" s="15" t="s">
        <v>4683</v>
      </c>
      <c r="L3796" s="20">
        <v>0.33611691022964513</v>
      </c>
    </row>
    <row r="3797" spans="1:12" x14ac:dyDescent="0.45">
      <c r="A3797" s="15" t="s">
        <v>4641</v>
      </c>
      <c r="B3797" s="15" t="s">
        <v>1212</v>
      </c>
      <c r="C3797" s="16" t="s">
        <v>1213</v>
      </c>
      <c r="D3797" s="16" t="s">
        <v>158</v>
      </c>
      <c r="E3797" s="15" t="s">
        <v>50</v>
      </c>
      <c r="F3797" s="16"/>
      <c r="G3797" s="17">
        <v>33300</v>
      </c>
      <c r="H3797" s="16" t="s">
        <v>4684</v>
      </c>
      <c r="I3797" s="40" t="s">
        <v>18</v>
      </c>
      <c r="J3797" s="40" t="str">
        <f>HYPERLINK("https://stock.pstatic.net/stock-research/company/18/20260414_company_329699000.pdf","PDF")</f>
        <v>PDF</v>
      </c>
      <c r="K3797" s="15" t="s">
        <v>4685</v>
      </c>
    </row>
    <row r="3798" spans="1:12" x14ac:dyDescent="0.45">
      <c r="A3798" s="15" t="s">
        <v>4641</v>
      </c>
      <c r="B3798" s="15" t="s">
        <v>2956</v>
      </c>
      <c r="C3798" s="16" t="s">
        <v>2957</v>
      </c>
      <c r="D3798" s="16" t="s">
        <v>23</v>
      </c>
      <c r="E3798" s="15" t="s">
        <v>16</v>
      </c>
      <c r="F3798" s="17">
        <v>48000</v>
      </c>
      <c r="G3798" s="17">
        <v>36300</v>
      </c>
      <c r="H3798" s="16" t="s">
        <v>4686</v>
      </c>
      <c r="I3798" s="40" t="s">
        <v>18</v>
      </c>
      <c r="J3798" s="40" t="str">
        <f>HYPERLINK("https://m.stock.naver.com/research/company/91535","PDF")</f>
        <v>PDF</v>
      </c>
      <c r="K3798" s="15" t="s">
        <v>4687</v>
      </c>
      <c r="L3798" s="20">
        <v>0.32231404958677679</v>
      </c>
    </row>
    <row r="3799" spans="1:12" x14ac:dyDescent="0.45">
      <c r="A3799" s="15" t="s">
        <v>4641</v>
      </c>
      <c r="B3799" s="15" t="s">
        <v>3164</v>
      </c>
      <c r="C3799" s="16" t="s">
        <v>3165</v>
      </c>
      <c r="D3799" s="16" t="s">
        <v>23</v>
      </c>
      <c r="E3799" s="15" t="s">
        <v>16</v>
      </c>
      <c r="F3799" s="17">
        <v>220000</v>
      </c>
      <c r="G3799" s="17">
        <v>176000</v>
      </c>
      <c r="H3799" s="16" t="s">
        <v>4688</v>
      </c>
      <c r="I3799" s="40" t="s">
        <v>18</v>
      </c>
      <c r="J3799" s="40" t="str">
        <f>HYPERLINK("https://m.stock.naver.com/research/company/91534","PDF")</f>
        <v>PDF</v>
      </c>
      <c r="K3799" s="15" t="s">
        <v>4689</v>
      </c>
      <c r="L3799" s="20">
        <v>0.25</v>
      </c>
    </row>
    <row r="3800" spans="1:12" x14ac:dyDescent="0.45">
      <c r="A3800" s="15" t="s">
        <v>4641</v>
      </c>
      <c r="B3800" s="15" t="s">
        <v>2982</v>
      </c>
      <c r="C3800" s="16" t="s">
        <v>2983</v>
      </c>
      <c r="D3800" s="16" t="s">
        <v>23</v>
      </c>
      <c r="E3800" s="15" t="s">
        <v>16</v>
      </c>
      <c r="F3800" s="17">
        <v>120000</v>
      </c>
      <c r="G3800" s="17">
        <v>94500</v>
      </c>
      <c r="H3800" s="16" t="s">
        <v>4690</v>
      </c>
      <c r="I3800" s="40" t="s">
        <v>18</v>
      </c>
      <c r="J3800" s="40" t="str">
        <f>HYPERLINK("https://m.stock.naver.com/research/company/91533","PDF")</f>
        <v>PDF</v>
      </c>
      <c r="K3800" s="15" t="s">
        <v>4691</v>
      </c>
      <c r="L3800" s="20">
        <v>0.26984126984126983</v>
      </c>
    </row>
    <row r="3801" spans="1:12" x14ac:dyDescent="0.45">
      <c r="A3801" s="15" t="s">
        <v>4641</v>
      </c>
      <c r="B3801" s="15" t="s">
        <v>2613</v>
      </c>
      <c r="C3801" s="16" t="s">
        <v>2614</v>
      </c>
      <c r="D3801" s="16" t="s">
        <v>83</v>
      </c>
      <c r="E3801" s="15" t="s">
        <v>35</v>
      </c>
      <c r="F3801" s="17">
        <v>400000</v>
      </c>
      <c r="G3801" s="17">
        <v>256000</v>
      </c>
      <c r="H3801" s="16" t="s">
        <v>4692</v>
      </c>
      <c r="I3801" s="40" t="s">
        <v>18</v>
      </c>
      <c r="J3801" s="40" t="str">
        <f>HYPERLINK("https://m.stock.naver.com/research/company/91532","PDF")</f>
        <v>PDF</v>
      </c>
      <c r="K3801" s="15" t="s">
        <v>4693</v>
      </c>
      <c r="L3801" s="20">
        <v>0.5625</v>
      </c>
    </row>
    <row r="3802" spans="1:12" x14ac:dyDescent="0.45">
      <c r="A3802" s="15" t="s">
        <v>4641</v>
      </c>
      <c r="B3802" s="15" t="s">
        <v>4642</v>
      </c>
      <c r="C3802" s="16" t="s">
        <v>4643</v>
      </c>
      <c r="D3802" s="16" t="s">
        <v>15</v>
      </c>
      <c r="E3802" s="15" t="s">
        <v>16</v>
      </c>
      <c r="F3802" s="17">
        <v>31000</v>
      </c>
      <c r="G3802" s="17">
        <v>23950</v>
      </c>
      <c r="H3802" s="16" t="s">
        <v>4694</v>
      </c>
      <c r="I3802" s="40" t="s">
        <v>18</v>
      </c>
      <c r="J3802" s="40" t="str">
        <f>HYPERLINK("https://stock.pstatic.net/stock-research/company/56/20260414_company_351528000.pdf","PDF")</f>
        <v>PDF</v>
      </c>
      <c r="K3802" s="15" t="s">
        <v>4695</v>
      </c>
      <c r="L3802" s="20">
        <v>0.29436325678496872</v>
      </c>
    </row>
    <row r="3803" spans="1:12" x14ac:dyDescent="0.45">
      <c r="A3803" s="15" t="s">
        <v>4641</v>
      </c>
      <c r="B3803" s="15" t="s">
        <v>272</v>
      </c>
      <c r="C3803" s="16" t="s">
        <v>273</v>
      </c>
      <c r="D3803" s="16" t="s">
        <v>23</v>
      </c>
      <c r="E3803" s="15" t="s">
        <v>16</v>
      </c>
      <c r="F3803" s="17">
        <v>430000</v>
      </c>
      <c r="G3803" s="17">
        <v>296000</v>
      </c>
      <c r="H3803" s="16" t="s">
        <v>4696</v>
      </c>
      <c r="I3803" s="40" t="s">
        <v>18</v>
      </c>
      <c r="J3803" s="40" t="str">
        <f>HYPERLINK("https://stock.pstatic.net/stock-research/company/21/20260414_company_287540000.pdf","PDF")</f>
        <v>PDF</v>
      </c>
      <c r="K3803" s="15" t="s">
        <v>4697</v>
      </c>
      <c r="L3803" s="20">
        <v>0.45270270270270269</v>
      </c>
    </row>
    <row r="3804" spans="1:12" x14ac:dyDescent="0.45">
      <c r="A3804" s="15" t="s">
        <v>4641</v>
      </c>
      <c r="B3804" s="15" t="s">
        <v>756</v>
      </c>
      <c r="C3804" s="16" t="s">
        <v>757</v>
      </c>
      <c r="D3804" s="16" t="s">
        <v>179</v>
      </c>
      <c r="E3804" s="15" t="s">
        <v>16</v>
      </c>
      <c r="F3804" s="17">
        <v>106000</v>
      </c>
      <c r="G3804" s="17">
        <v>81900</v>
      </c>
      <c r="H3804" s="16" t="s">
        <v>4698</v>
      </c>
      <c r="I3804" s="40" t="s">
        <v>18</v>
      </c>
      <c r="J3804" s="40" t="str">
        <f>HYPERLINK("https://m.stock.naver.com/research/company/91529","PDF")</f>
        <v>PDF</v>
      </c>
      <c r="K3804" s="15" t="s">
        <v>4699</v>
      </c>
      <c r="L3804" s="20">
        <v>0.29426129426129433</v>
      </c>
    </row>
    <row r="3805" spans="1:12" x14ac:dyDescent="0.45">
      <c r="A3805" s="15" t="s">
        <v>4641</v>
      </c>
      <c r="B3805" s="15" t="s">
        <v>237</v>
      </c>
      <c r="C3805" s="16" t="s">
        <v>238</v>
      </c>
      <c r="D3805" s="16" t="s">
        <v>92</v>
      </c>
      <c r="E3805" s="15" t="s">
        <v>35</v>
      </c>
      <c r="F3805" s="17">
        <v>75000</v>
      </c>
      <c r="G3805" s="17">
        <v>55200</v>
      </c>
      <c r="H3805" s="16" t="s">
        <v>4700</v>
      </c>
      <c r="I3805" s="40" t="s">
        <v>18</v>
      </c>
      <c r="J3805" s="40" t="str">
        <f>HYPERLINK("https://stock.pstatic.net/stock-research/company/63/20260414_company_993238000.pdf","PDF")</f>
        <v>PDF</v>
      </c>
      <c r="K3805" s="15" t="s">
        <v>4701</v>
      </c>
      <c r="L3805" s="20">
        <v>0.35869565217391303</v>
      </c>
    </row>
    <row r="3806" spans="1:12" x14ac:dyDescent="0.45">
      <c r="A3806" s="15" t="s">
        <v>4641</v>
      </c>
      <c r="B3806" s="15" t="s">
        <v>495</v>
      </c>
      <c r="C3806" s="16" t="s">
        <v>496</v>
      </c>
      <c r="D3806" s="16" t="s">
        <v>179</v>
      </c>
      <c r="E3806" s="15" t="s">
        <v>16</v>
      </c>
      <c r="F3806" s="17">
        <v>510000</v>
      </c>
      <c r="G3806" s="17">
        <v>399500</v>
      </c>
      <c r="H3806" s="16" t="s">
        <v>4702</v>
      </c>
      <c r="I3806" s="40" t="s">
        <v>18</v>
      </c>
      <c r="J3806" s="40" t="str">
        <f>HYPERLINK("https://stock.pstatic.net/stock-research/company/64/20260414_company_167712000.pdf","PDF")</f>
        <v>PDF</v>
      </c>
      <c r="K3806" s="15" t="s">
        <v>4703</v>
      </c>
      <c r="L3806" s="20">
        <v>0.27659574468085107</v>
      </c>
    </row>
    <row r="3807" spans="1:12" x14ac:dyDescent="0.45">
      <c r="A3807" s="15" t="s">
        <v>4641</v>
      </c>
      <c r="B3807" s="15" t="s">
        <v>4642</v>
      </c>
      <c r="C3807" s="16" t="s">
        <v>4643</v>
      </c>
      <c r="D3807" s="16" t="s">
        <v>34</v>
      </c>
      <c r="E3807" s="15" t="s">
        <v>35</v>
      </c>
      <c r="F3807" s="17">
        <v>34000</v>
      </c>
      <c r="G3807" s="17">
        <v>23950</v>
      </c>
      <c r="H3807" s="16" t="s">
        <v>4704</v>
      </c>
      <c r="I3807" s="40" t="s">
        <v>18</v>
      </c>
      <c r="J3807" s="40" t="str">
        <f>HYPERLINK("https://stock.pstatic.net/stock-research/company/61/20260414_company_83715000.pdf","PDF")</f>
        <v>PDF</v>
      </c>
      <c r="K3807" s="15" t="s">
        <v>4705</v>
      </c>
      <c r="L3807" s="20">
        <v>0.41962421711899789</v>
      </c>
    </row>
    <row r="3808" spans="1:12" x14ac:dyDescent="0.45">
      <c r="A3808" s="15" t="s">
        <v>4641</v>
      </c>
      <c r="B3808" s="15" t="s">
        <v>916</v>
      </c>
      <c r="C3808" s="16" t="s">
        <v>917</v>
      </c>
      <c r="D3808" s="16" t="s">
        <v>23</v>
      </c>
      <c r="E3808" s="15" t="s">
        <v>16</v>
      </c>
      <c r="F3808" s="17">
        <v>75000</v>
      </c>
      <c r="G3808" s="17">
        <v>47000</v>
      </c>
      <c r="H3808" s="16" t="s">
        <v>4706</v>
      </c>
      <c r="I3808" s="40" t="s">
        <v>18</v>
      </c>
      <c r="J3808" s="40" t="str">
        <f>HYPERLINK("https://m.stock.naver.com/research/company/91525","PDF")</f>
        <v>PDF</v>
      </c>
      <c r="K3808" s="15" t="s">
        <v>4707</v>
      </c>
      <c r="L3808" s="20">
        <v>0.5957446808510638</v>
      </c>
    </row>
    <row r="3809" spans="1:12" x14ac:dyDescent="0.45">
      <c r="A3809" s="15" t="s">
        <v>4641</v>
      </c>
      <c r="B3809" s="15" t="s">
        <v>3536</v>
      </c>
      <c r="C3809" s="16" t="s">
        <v>3537</v>
      </c>
      <c r="D3809" s="16" t="s">
        <v>23</v>
      </c>
      <c r="E3809" s="15" t="s">
        <v>16</v>
      </c>
      <c r="F3809" s="17">
        <v>600000</v>
      </c>
      <c r="G3809" s="17">
        <v>502000</v>
      </c>
      <c r="H3809" s="16" t="s">
        <v>4708</v>
      </c>
      <c r="I3809" s="40" t="s">
        <v>18</v>
      </c>
      <c r="J3809" s="40" t="str">
        <f>HYPERLINK("https://m.stock.naver.com/research/company/91524","PDF")</f>
        <v>PDF</v>
      </c>
      <c r="K3809" s="15" t="s">
        <v>4709</v>
      </c>
      <c r="L3809" s="20">
        <v>0.19521912350597609</v>
      </c>
    </row>
    <row r="3810" spans="1:12" x14ac:dyDescent="0.45">
      <c r="A3810" s="15" t="s">
        <v>4641</v>
      </c>
      <c r="B3810" s="15" t="s">
        <v>3813</v>
      </c>
      <c r="C3810" s="16" t="s">
        <v>3814</v>
      </c>
      <c r="D3810" s="16" t="s">
        <v>23</v>
      </c>
      <c r="E3810" s="15" t="s">
        <v>16</v>
      </c>
      <c r="F3810" s="17">
        <v>18000</v>
      </c>
      <c r="G3810" s="17">
        <v>12380</v>
      </c>
      <c r="H3810" s="16" t="s">
        <v>4710</v>
      </c>
      <c r="I3810" s="40" t="s">
        <v>18</v>
      </c>
      <c r="J3810" s="40" t="str">
        <f>HYPERLINK("https://stock.pstatic.net/stock-research/company/21/20260414_company_247718000.pdf","PDF")</f>
        <v>PDF</v>
      </c>
      <c r="K3810" s="15" t="s">
        <v>4711</v>
      </c>
      <c r="L3810" s="20">
        <v>0.45395799676898219</v>
      </c>
    </row>
    <row r="3811" spans="1:12" x14ac:dyDescent="0.45">
      <c r="A3811" s="15" t="s">
        <v>4641</v>
      </c>
      <c r="B3811" s="15" t="s">
        <v>533</v>
      </c>
      <c r="C3811" s="16" t="s">
        <v>534</v>
      </c>
      <c r="D3811" s="16" t="s">
        <v>92</v>
      </c>
      <c r="E3811" s="15" t="s">
        <v>35</v>
      </c>
      <c r="F3811" s="17">
        <v>73000</v>
      </c>
      <c r="G3811" s="17">
        <v>63000</v>
      </c>
      <c r="H3811" s="16" t="s">
        <v>4712</v>
      </c>
      <c r="I3811" s="40" t="s">
        <v>18</v>
      </c>
      <c r="J3811" s="40" t="str">
        <f>HYPERLINK("https://stock.pstatic.net/stock-research/company/63/20260414_company_774867000.pdf","PDF")</f>
        <v>PDF</v>
      </c>
      <c r="K3811" s="15" t="s">
        <v>4713</v>
      </c>
      <c r="L3811" s="20">
        <v>0.15873015873015869</v>
      </c>
    </row>
    <row r="3812" spans="1:12" x14ac:dyDescent="0.45">
      <c r="A3812" s="15" t="s">
        <v>4641</v>
      </c>
      <c r="B3812" s="15" t="s">
        <v>4291</v>
      </c>
      <c r="C3812" s="16" t="s">
        <v>4292</v>
      </c>
      <c r="D3812" s="16" t="s">
        <v>179</v>
      </c>
      <c r="E3812" s="15" t="s">
        <v>16</v>
      </c>
      <c r="F3812" s="17">
        <v>15000</v>
      </c>
      <c r="G3812" s="17">
        <v>9810</v>
      </c>
      <c r="H3812" s="16" t="s">
        <v>4714</v>
      </c>
      <c r="I3812" s="40" t="s">
        <v>18</v>
      </c>
      <c r="J3812" s="40" t="str">
        <f>HYPERLINK("https://m.stock.naver.com/research/company/91521","PDF")</f>
        <v>PDF</v>
      </c>
      <c r="K3812" s="15" t="s">
        <v>4715</v>
      </c>
      <c r="L3812" s="20">
        <v>0.52905198776758411</v>
      </c>
    </row>
    <row r="3813" spans="1:12" x14ac:dyDescent="0.45">
      <c r="A3813" s="15" t="s">
        <v>4641</v>
      </c>
      <c r="B3813" s="15" t="s">
        <v>81</v>
      </c>
      <c r="C3813" s="16" t="s">
        <v>82</v>
      </c>
      <c r="D3813" s="16" t="s">
        <v>179</v>
      </c>
      <c r="E3813" s="15" t="s">
        <v>16</v>
      </c>
      <c r="F3813" s="17">
        <v>42000</v>
      </c>
      <c r="G3813" s="17">
        <v>33850</v>
      </c>
      <c r="H3813" s="16" t="s">
        <v>4716</v>
      </c>
      <c r="I3813" s="40" t="s">
        <v>18</v>
      </c>
      <c r="J3813" s="40" t="str">
        <f>HYPERLINK("https://stock.pstatic.net/stock-research/company/64/20260414_company_710338000.pdf","PDF")</f>
        <v>PDF</v>
      </c>
      <c r="K3813" s="15" t="s">
        <v>4717</v>
      </c>
      <c r="L3813" s="20">
        <v>0.24076809453471201</v>
      </c>
    </row>
    <row r="3814" spans="1:12" x14ac:dyDescent="0.45">
      <c r="A3814" s="15" t="s">
        <v>4641</v>
      </c>
      <c r="B3814" s="15" t="s">
        <v>1023</v>
      </c>
      <c r="C3814" s="16" t="s">
        <v>15</v>
      </c>
      <c r="D3814" s="16" t="s">
        <v>179</v>
      </c>
      <c r="E3814" s="15" t="s">
        <v>385</v>
      </c>
      <c r="F3814" s="16"/>
      <c r="G3814" s="17">
        <v>65300</v>
      </c>
      <c r="H3814" s="16" t="s">
        <v>4718</v>
      </c>
      <c r="I3814" s="40" t="s">
        <v>18</v>
      </c>
      <c r="J3814" s="40" t="str">
        <f>HYPERLINK("https://stock.pstatic.net/stock-research/company/64/20260414_company_526244000.pdf","PDF")</f>
        <v>PDF</v>
      </c>
      <c r="K3814" s="15" t="s">
        <v>4719</v>
      </c>
    </row>
    <row r="3815" spans="1:12" x14ac:dyDescent="0.45">
      <c r="A3815" s="15" t="s">
        <v>4641</v>
      </c>
      <c r="B3815" s="15" t="s">
        <v>3749</v>
      </c>
      <c r="C3815" s="16" t="s">
        <v>3750</v>
      </c>
      <c r="D3815" s="16" t="s">
        <v>23</v>
      </c>
      <c r="E3815" s="15" t="s">
        <v>16</v>
      </c>
      <c r="F3815" s="17">
        <v>320000</v>
      </c>
      <c r="G3815" s="17">
        <v>212000</v>
      </c>
      <c r="H3815" s="16" t="s">
        <v>4720</v>
      </c>
      <c r="I3815" s="40" t="s">
        <v>18</v>
      </c>
      <c r="J3815" s="40" t="str">
        <f>HYPERLINK("https://m.stock.naver.com/research/company/91518","PDF")</f>
        <v>PDF</v>
      </c>
      <c r="K3815" s="15" t="s">
        <v>4721</v>
      </c>
      <c r="L3815" s="20">
        <v>0.50943396226415094</v>
      </c>
    </row>
    <row r="3816" spans="1:12" x14ac:dyDescent="0.45">
      <c r="A3816" s="15" t="s">
        <v>4641</v>
      </c>
      <c r="B3816" s="15" t="s">
        <v>42</v>
      </c>
      <c r="C3816" s="16" t="s">
        <v>43</v>
      </c>
      <c r="D3816" s="16" t="s">
        <v>23</v>
      </c>
      <c r="E3816" s="15" t="s">
        <v>16</v>
      </c>
      <c r="F3816" s="17">
        <v>240000</v>
      </c>
      <c r="G3816" s="17">
        <v>199000</v>
      </c>
      <c r="H3816" s="16" t="s">
        <v>4722</v>
      </c>
      <c r="I3816" s="40" t="s">
        <v>18</v>
      </c>
      <c r="J3816" s="40" t="str">
        <f>HYPERLINK("https://m.stock.naver.com/research/company/91517","PDF")</f>
        <v>PDF</v>
      </c>
      <c r="K3816" s="15" t="s">
        <v>4723</v>
      </c>
      <c r="L3816" s="20">
        <v>0.20603015075376879</v>
      </c>
    </row>
    <row r="3817" spans="1:12" x14ac:dyDescent="0.45">
      <c r="A3817" s="15" t="s">
        <v>4641</v>
      </c>
      <c r="B3817" s="15" t="s">
        <v>4642</v>
      </c>
      <c r="C3817" s="16" t="s">
        <v>4643</v>
      </c>
      <c r="D3817" s="16" t="s">
        <v>23</v>
      </c>
      <c r="E3817" s="15" t="s">
        <v>16</v>
      </c>
      <c r="F3817" s="17">
        <v>28000</v>
      </c>
      <c r="G3817" s="17">
        <v>23950</v>
      </c>
      <c r="H3817" s="16" t="s">
        <v>4724</v>
      </c>
      <c r="I3817" s="40" t="s">
        <v>18</v>
      </c>
      <c r="J3817" s="40" t="str">
        <f>HYPERLINK("https://m.stock.naver.com/research/company/91516","PDF")</f>
        <v>PDF</v>
      </c>
      <c r="K3817" s="15" t="s">
        <v>4725</v>
      </c>
      <c r="L3817" s="20">
        <v>0.16910229645093949</v>
      </c>
    </row>
    <row r="3818" spans="1:12" x14ac:dyDescent="0.45">
      <c r="A3818" s="15" t="s">
        <v>4641</v>
      </c>
      <c r="B3818" s="15" t="s">
        <v>3087</v>
      </c>
      <c r="C3818" s="16" t="s">
        <v>3088</v>
      </c>
      <c r="D3818" s="16" t="s">
        <v>179</v>
      </c>
      <c r="E3818" s="15" t="s">
        <v>16</v>
      </c>
      <c r="F3818" s="17">
        <v>270000</v>
      </c>
      <c r="G3818" s="17">
        <v>184600</v>
      </c>
      <c r="H3818" s="16" t="s">
        <v>4726</v>
      </c>
      <c r="I3818" s="40" t="s">
        <v>18</v>
      </c>
      <c r="J3818" s="40" t="str">
        <f>HYPERLINK("https://m.stock.naver.com/research/company/91515","PDF")</f>
        <v>PDF</v>
      </c>
      <c r="K3818" s="15" t="s">
        <v>4727</v>
      </c>
      <c r="L3818" s="20">
        <v>0.4626218851570964</v>
      </c>
    </row>
    <row r="3819" spans="1:12" x14ac:dyDescent="0.45">
      <c r="A3819" s="15" t="s">
        <v>4641</v>
      </c>
      <c r="B3819" s="15" t="s">
        <v>3284</v>
      </c>
      <c r="C3819" s="16" t="s">
        <v>3285</v>
      </c>
      <c r="D3819" s="16" t="s">
        <v>179</v>
      </c>
      <c r="E3819" s="15" t="s">
        <v>16</v>
      </c>
      <c r="F3819" s="17">
        <v>175000</v>
      </c>
      <c r="G3819" s="17">
        <v>120100</v>
      </c>
      <c r="H3819" s="16" t="s">
        <v>4728</v>
      </c>
      <c r="I3819" s="40" t="s">
        <v>18</v>
      </c>
      <c r="J3819" s="40" t="str">
        <f>HYPERLINK("https://stock.pstatic.net/stock-research/company/64/20260414_company_469403000.pdf","PDF")</f>
        <v>PDF</v>
      </c>
      <c r="K3819" s="15" t="s">
        <v>4729</v>
      </c>
      <c r="L3819" s="20">
        <v>0.45711906744379682</v>
      </c>
    </row>
    <row r="3820" spans="1:12" x14ac:dyDescent="0.45">
      <c r="A3820" s="15" t="s">
        <v>4641</v>
      </c>
      <c r="B3820" s="15" t="s">
        <v>63</v>
      </c>
      <c r="C3820" s="16" t="s">
        <v>64</v>
      </c>
      <c r="D3820" s="16" t="s">
        <v>34</v>
      </c>
      <c r="E3820" s="15" t="s">
        <v>35</v>
      </c>
      <c r="F3820" s="17">
        <v>600000</v>
      </c>
      <c r="G3820" s="17">
        <v>510000</v>
      </c>
      <c r="H3820" s="16" t="s">
        <v>4730</v>
      </c>
      <c r="I3820" s="40" t="s">
        <v>18</v>
      </c>
      <c r="J3820" s="40" t="str">
        <f>HYPERLINK("https://m.stock.naver.com/research/company/91513","PDF")</f>
        <v>PDF</v>
      </c>
      <c r="K3820" s="15" t="s">
        <v>4731</v>
      </c>
      <c r="L3820" s="20">
        <v>0.1764705882352941</v>
      </c>
    </row>
    <row r="3821" spans="1:12" x14ac:dyDescent="0.45">
      <c r="A3821" s="15" t="s">
        <v>4641</v>
      </c>
      <c r="B3821" s="15" t="s">
        <v>3841</v>
      </c>
      <c r="C3821" s="16" t="s">
        <v>3842</v>
      </c>
      <c r="D3821" s="16" t="s">
        <v>44</v>
      </c>
      <c r="E3821" s="15" t="s">
        <v>50</v>
      </c>
      <c r="F3821" s="16"/>
      <c r="G3821" s="17">
        <v>7580</v>
      </c>
      <c r="H3821" s="16" t="s">
        <v>4732</v>
      </c>
      <c r="I3821" s="40" t="s">
        <v>18</v>
      </c>
      <c r="J3821" s="40" t="str">
        <f>HYPERLINK("https://stock.pstatic.net/stock-research/company/39/20260414_company_177024000.pdf","PDF")</f>
        <v>PDF</v>
      </c>
      <c r="K3821" s="15" t="s">
        <v>4733</v>
      </c>
    </row>
    <row r="3822" spans="1:12" x14ac:dyDescent="0.45">
      <c r="A3822" s="15" t="s">
        <v>4641</v>
      </c>
      <c r="B3822" s="15" t="s">
        <v>728</v>
      </c>
      <c r="C3822" s="16" t="s">
        <v>729</v>
      </c>
      <c r="D3822" s="16" t="s">
        <v>44</v>
      </c>
      <c r="E3822" s="15" t="s">
        <v>35</v>
      </c>
      <c r="F3822" s="17">
        <v>110000</v>
      </c>
      <c r="G3822" s="17">
        <v>87500</v>
      </c>
      <c r="H3822" s="16" t="s">
        <v>4734</v>
      </c>
      <c r="I3822" s="40" t="s">
        <v>18</v>
      </c>
      <c r="J3822" s="40" t="str">
        <f>HYPERLINK("https://stock.pstatic.net/stock-research/company/39/20260414_company_866043000.pdf","PDF")</f>
        <v>PDF</v>
      </c>
      <c r="K3822" s="15" t="s">
        <v>4735</v>
      </c>
      <c r="L3822" s="20">
        <v>0.25714285714285712</v>
      </c>
    </row>
    <row r="3823" spans="1:12" x14ac:dyDescent="0.45">
      <c r="A3823" s="15" t="s">
        <v>4641</v>
      </c>
      <c r="B3823" s="15" t="s">
        <v>519</v>
      </c>
      <c r="C3823" s="16" t="s">
        <v>520</v>
      </c>
      <c r="D3823" s="16" t="s">
        <v>44</v>
      </c>
      <c r="E3823" s="15" t="s">
        <v>35</v>
      </c>
      <c r="F3823" s="17">
        <v>650000</v>
      </c>
      <c r="G3823" s="17">
        <v>478500</v>
      </c>
      <c r="H3823" s="16" t="s">
        <v>4736</v>
      </c>
      <c r="I3823" s="40" t="s">
        <v>18</v>
      </c>
      <c r="J3823" s="40" t="str">
        <f>HYPERLINK("https://stock.pstatic.net/stock-research/company/39/20260414_company_2628000.pdf","PDF")</f>
        <v>PDF</v>
      </c>
      <c r="K3823" s="15" t="s">
        <v>4737</v>
      </c>
      <c r="L3823" s="20">
        <v>0.35841170323928939</v>
      </c>
    </row>
    <row r="3824" spans="1:12" x14ac:dyDescent="0.45">
      <c r="A3824" s="15" t="s">
        <v>4641</v>
      </c>
      <c r="B3824" s="15" t="s">
        <v>2843</v>
      </c>
      <c r="C3824" s="16" t="s">
        <v>2844</v>
      </c>
      <c r="D3824" s="16" t="s">
        <v>179</v>
      </c>
      <c r="E3824" s="15" t="s">
        <v>50</v>
      </c>
      <c r="F3824" s="16"/>
      <c r="G3824" s="17">
        <v>11320</v>
      </c>
      <c r="H3824" s="16" t="s">
        <v>4738</v>
      </c>
      <c r="I3824" s="40" t="s">
        <v>18</v>
      </c>
      <c r="J3824" s="40" t="str">
        <f>HYPERLINK("https://m.stock.naver.com/research/company/91509","PDF")</f>
        <v>PDF</v>
      </c>
      <c r="K3824" s="15" t="s">
        <v>4739</v>
      </c>
    </row>
    <row r="3825" spans="1:12" x14ac:dyDescent="0.45">
      <c r="A3825" s="15" t="s">
        <v>4641</v>
      </c>
      <c r="B3825" s="15" t="s">
        <v>1047</v>
      </c>
      <c r="C3825" s="16" t="s">
        <v>1048</v>
      </c>
      <c r="D3825" s="16" t="s">
        <v>124</v>
      </c>
      <c r="E3825" s="15" t="s">
        <v>50</v>
      </c>
      <c r="F3825" s="16"/>
      <c r="G3825" s="16"/>
      <c r="H3825" s="16" t="s">
        <v>4740</v>
      </c>
      <c r="I3825" s="40" t="s">
        <v>18</v>
      </c>
      <c r="J3825" s="40" t="str">
        <f>HYPERLINK("https://stock.pstatic.net/stock-research/company/74/20260414_company_289980000.pdf","PDF")</f>
        <v>PDF</v>
      </c>
      <c r="K3825" s="15" t="s">
        <v>4741</v>
      </c>
    </row>
    <row r="3826" spans="1:12" x14ac:dyDescent="0.45">
      <c r="A3826" s="15" t="s">
        <v>4641</v>
      </c>
      <c r="B3826" s="15" t="s">
        <v>4742</v>
      </c>
      <c r="C3826" s="16" t="s">
        <v>4743</v>
      </c>
      <c r="D3826" s="16" t="s">
        <v>124</v>
      </c>
      <c r="E3826" s="15" t="s">
        <v>50</v>
      </c>
      <c r="F3826" s="16"/>
      <c r="G3826" s="16"/>
      <c r="H3826" s="16" t="s">
        <v>4744</v>
      </c>
      <c r="I3826" s="40" t="s">
        <v>18</v>
      </c>
      <c r="J3826" s="40" t="str">
        <f>HYPERLINK("https://stock.pstatic.net/stock-research/company/74/20260414_company_432650000.pdf","PDF")</f>
        <v>PDF</v>
      </c>
      <c r="K3826" s="15" t="s">
        <v>4745</v>
      </c>
    </row>
    <row r="3827" spans="1:12" x14ac:dyDescent="0.45">
      <c r="A3827" s="15" t="s">
        <v>4641</v>
      </c>
      <c r="B3827" s="15" t="s">
        <v>4746</v>
      </c>
      <c r="C3827" s="16" t="s">
        <v>4747</v>
      </c>
      <c r="D3827" s="16" t="s">
        <v>124</v>
      </c>
      <c r="E3827" s="15" t="s">
        <v>50</v>
      </c>
      <c r="F3827" s="16"/>
      <c r="G3827" s="16"/>
      <c r="H3827" s="16" t="s">
        <v>4748</v>
      </c>
      <c r="I3827" s="40" t="s">
        <v>18</v>
      </c>
      <c r="J3827" s="40" t="str">
        <f>HYPERLINK("https://stock.pstatic.net/stock-research/company/74/20260414_company_282848000.pdf","PDF")</f>
        <v>PDF</v>
      </c>
      <c r="K3827" s="15" t="s">
        <v>4749</v>
      </c>
    </row>
    <row r="3828" spans="1:12" x14ac:dyDescent="0.45">
      <c r="A3828" s="15" t="s">
        <v>4641</v>
      </c>
      <c r="B3828" s="15" t="s">
        <v>2950</v>
      </c>
      <c r="C3828" s="16" t="s">
        <v>2951</v>
      </c>
      <c r="D3828" s="16" t="s">
        <v>15</v>
      </c>
      <c r="E3828" s="15" t="s">
        <v>16</v>
      </c>
      <c r="F3828" s="17">
        <v>120000</v>
      </c>
      <c r="G3828" s="17">
        <v>99300</v>
      </c>
      <c r="H3828" s="16" t="s">
        <v>4750</v>
      </c>
      <c r="I3828" s="40" t="s">
        <v>18</v>
      </c>
      <c r="J3828" s="40" t="str">
        <f>HYPERLINK("https://m.stock.naver.com/research/company/91505","PDF")</f>
        <v>PDF</v>
      </c>
      <c r="K3828" s="15" t="s">
        <v>4751</v>
      </c>
      <c r="L3828" s="20">
        <v>0.20845921450151059</v>
      </c>
    </row>
    <row r="3829" spans="1:12" x14ac:dyDescent="0.45">
      <c r="A3829" s="15" t="s">
        <v>4641</v>
      </c>
      <c r="B3829" s="15" t="s">
        <v>4752</v>
      </c>
      <c r="C3829" s="16" t="s">
        <v>4753</v>
      </c>
      <c r="D3829" s="16" t="s">
        <v>124</v>
      </c>
      <c r="E3829" s="15" t="s">
        <v>50</v>
      </c>
      <c r="F3829" s="16"/>
      <c r="G3829" s="17">
        <v>3165</v>
      </c>
      <c r="H3829" s="16" t="s">
        <v>4754</v>
      </c>
      <c r="I3829" s="40" t="s">
        <v>18</v>
      </c>
      <c r="J3829" s="40" t="str">
        <f>HYPERLINK("https://m.stock.naver.com/research/company/91504","PDF")</f>
        <v>PDF</v>
      </c>
      <c r="K3829" s="15" t="s">
        <v>4755</v>
      </c>
    </row>
    <row r="3830" spans="1:12" x14ac:dyDescent="0.45">
      <c r="A3830" s="15" t="s">
        <v>4641</v>
      </c>
      <c r="B3830" s="15" t="s">
        <v>561</v>
      </c>
      <c r="C3830" s="16" t="s">
        <v>562</v>
      </c>
      <c r="D3830" s="16" t="s">
        <v>124</v>
      </c>
      <c r="E3830" s="15" t="s">
        <v>50</v>
      </c>
      <c r="F3830" s="16"/>
      <c r="G3830" s="17">
        <v>6410</v>
      </c>
      <c r="H3830" s="16" t="s">
        <v>4756</v>
      </c>
      <c r="I3830" s="40" t="s">
        <v>18</v>
      </c>
      <c r="J3830" s="40" t="str">
        <f>HYPERLINK("https://m.stock.naver.com/research/company/91503","PDF")</f>
        <v>PDF</v>
      </c>
      <c r="K3830" s="15" t="s">
        <v>4757</v>
      </c>
    </row>
    <row r="3831" spans="1:12" x14ac:dyDescent="0.45">
      <c r="A3831" s="15" t="s">
        <v>4641</v>
      </c>
      <c r="B3831" s="15" t="s">
        <v>4758</v>
      </c>
      <c r="C3831" s="16" t="s">
        <v>4759</v>
      </c>
      <c r="D3831" s="16" t="s">
        <v>124</v>
      </c>
      <c r="E3831" s="15" t="s">
        <v>50</v>
      </c>
      <c r="F3831" s="16"/>
      <c r="G3831" s="17">
        <v>865</v>
      </c>
      <c r="H3831" s="16" t="s">
        <v>4760</v>
      </c>
      <c r="I3831" s="40" t="s">
        <v>18</v>
      </c>
      <c r="J3831" s="40" t="str">
        <f>HYPERLINK("https://m.stock.naver.com/research/company/91502","PDF")</f>
        <v>PDF</v>
      </c>
      <c r="K3831" s="15" t="s">
        <v>4761</v>
      </c>
    </row>
    <row r="3832" spans="1:12" x14ac:dyDescent="0.45">
      <c r="A3832" s="15" t="s">
        <v>4641</v>
      </c>
      <c r="B3832" s="15" t="s">
        <v>2807</v>
      </c>
      <c r="C3832" s="16" t="s">
        <v>2808</v>
      </c>
      <c r="D3832" s="16" t="s">
        <v>124</v>
      </c>
      <c r="E3832" s="15" t="s">
        <v>50</v>
      </c>
      <c r="F3832" s="16"/>
      <c r="G3832" s="17">
        <v>14100</v>
      </c>
      <c r="H3832" s="16" t="s">
        <v>4762</v>
      </c>
      <c r="I3832" s="40" t="s">
        <v>18</v>
      </c>
      <c r="J3832" s="40" t="str">
        <f>HYPERLINK("https://m.stock.naver.com/research/company/91501","PDF")</f>
        <v>PDF</v>
      </c>
      <c r="K3832" s="15" t="s">
        <v>4763</v>
      </c>
    </row>
    <row r="3833" spans="1:12" x14ac:dyDescent="0.45">
      <c r="A3833" s="15" t="s">
        <v>4641</v>
      </c>
      <c r="B3833" s="15" t="s">
        <v>4764</v>
      </c>
      <c r="C3833" s="16" t="s">
        <v>4765</v>
      </c>
      <c r="D3833" s="16" t="s">
        <v>124</v>
      </c>
      <c r="E3833" s="15" t="s">
        <v>50</v>
      </c>
      <c r="F3833" s="16"/>
      <c r="G3833" s="17">
        <v>13960</v>
      </c>
      <c r="H3833" s="16" t="s">
        <v>4766</v>
      </c>
      <c r="I3833" s="40" t="s">
        <v>18</v>
      </c>
      <c r="J3833" s="40" t="str">
        <f>HYPERLINK("https://stock.pstatic.net/stock-research/company/74/20260414_company_606514000.pdf","PDF")</f>
        <v>PDF</v>
      </c>
      <c r="K3833" s="15" t="s">
        <v>4767</v>
      </c>
    </row>
    <row r="3834" spans="1:12" x14ac:dyDescent="0.45">
      <c r="A3834" s="15" t="s">
        <v>4641</v>
      </c>
      <c r="B3834" s="15" t="s">
        <v>4768</v>
      </c>
      <c r="C3834" s="16" t="s">
        <v>4769</v>
      </c>
      <c r="D3834" s="16" t="s">
        <v>124</v>
      </c>
      <c r="E3834" s="15" t="s">
        <v>50</v>
      </c>
      <c r="F3834" s="16"/>
      <c r="G3834" s="17">
        <v>10360</v>
      </c>
      <c r="H3834" s="16" t="s">
        <v>4770</v>
      </c>
      <c r="I3834" s="40" t="s">
        <v>18</v>
      </c>
      <c r="J3834" s="40" t="str">
        <f>HYPERLINK("https://stock.pstatic.net/stock-research/company/74/20260414_company_300990000.pdf","PDF")</f>
        <v>PDF</v>
      </c>
      <c r="K3834" s="15" t="s">
        <v>4771</v>
      </c>
    </row>
    <row r="3835" spans="1:12" x14ac:dyDescent="0.45">
      <c r="A3835" s="15" t="s">
        <v>4772</v>
      </c>
      <c r="B3835" s="15" t="s">
        <v>2231</v>
      </c>
      <c r="C3835" s="16" t="s">
        <v>2232</v>
      </c>
      <c r="D3835" s="16" t="s">
        <v>57</v>
      </c>
      <c r="E3835" s="15" t="s">
        <v>35</v>
      </c>
      <c r="F3835" s="17">
        <v>150000</v>
      </c>
      <c r="G3835" s="17">
        <v>75500</v>
      </c>
      <c r="H3835" s="16" t="s">
        <v>4773</v>
      </c>
      <c r="I3835" s="40" t="s">
        <v>18</v>
      </c>
      <c r="J3835" s="40" t="str">
        <f>HYPERLINK("https://stock.pstatic.net/stock-research/company/16/20260413_company_789211000.pdf","PDF")</f>
        <v>PDF</v>
      </c>
      <c r="K3835" s="15" t="s">
        <v>4774</v>
      </c>
      <c r="L3835" s="20">
        <v>0.98675496688741726</v>
      </c>
    </row>
    <row r="3836" spans="1:12" x14ac:dyDescent="0.45">
      <c r="A3836" s="15" t="s">
        <v>4772</v>
      </c>
      <c r="B3836" s="15" t="s">
        <v>577</v>
      </c>
      <c r="C3836" s="16" t="s">
        <v>578</v>
      </c>
      <c r="D3836" s="16" t="s">
        <v>57</v>
      </c>
      <c r="E3836" s="15" t="s">
        <v>35</v>
      </c>
      <c r="F3836" s="17">
        <v>590000</v>
      </c>
      <c r="G3836" s="17">
        <v>402500</v>
      </c>
      <c r="H3836" s="16" t="s">
        <v>4775</v>
      </c>
      <c r="I3836" s="40" t="s">
        <v>18</v>
      </c>
      <c r="J3836" s="40" t="str">
        <f>HYPERLINK("https://stock.pstatic.net/stock-research/company/16/20260413_company_550242000.pdf","PDF")</f>
        <v>PDF</v>
      </c>
      <c r="K3836" s="15" t="s">
        <v>4776</v>
      </c>
      <c r="L3836" s="20">
        <v>0.46583850931677018</v>
      </c>
    </row>
    <row r="3837" spans="1:12" x14ac:dyDescent="0.45">
      <c r="A3837" s="15" t="s">
        <v>4772</v>
      </c>
      <c r="B3837" s="15" t="s">
        <v>2777</v>
      </c>
      <c r="C3837" s="16" t="s">
        <v>2778</v>
      </c>
      <c r="D3837" s="16" t="s">
        <v>57</v>
      </c>
      <c r="E3837" s="15" t="s">
        <v>35</v>
      </c>
      <c r="F3837" s="17">
        <v>470000</v>
      </c>
      <c r="G3837" s="17">
        <v>391500</v>
      </c>
      <c r="H3837" s="16" t="s">
        <v>4777</v>
      </c>
      <c r="I3837" s="40" t="s">
        <v>18</v>
      </c>
      <c r="J3837" s="40" t="str">
        <f>HYPERLINK("https://stock.pstatic.net/stock-research/company/16/20260413_company_635523000.pdf","PDF")</f>
        <v>PDF</v>
      </c>
      <c r="K3837" s="15" t="s">
        <v>4778</v>
      </c>
      <c r="L3837" s="20">
        <v>0.20051085568326951</v>
      </c>
    </row>
    <row r="3838" spans="1:12" x14ac:dyDescent="0.45">
      <c r="A3838" s="15" t="s">
        <v>4772</v>
      </c>
      <c r="B3838" s="15" t="s">
        <v>370</v>
      </c>
      <c r="C3838" s="16" t="s">
        <v>371</v>
      </c>
      <c r="D3838" s="16" t="s">
        <v>57</v>
      </c>
      <c r="E3838" s="15" t="s">
        <v>35</v>
      </c>
      <c r="F3838" s="17">
        <v>70000</v>
      </c>
      <c r="G3838" s="17">
        <v>51200</v>
      </c>
      <c r="H3838" s="16" t="s">
        <v>4779</v>
      </c>
      <c r="I3838" s="40" t="s">
        <v>18</v>
      </c>
      <c r="J3838" s="40" t="str">
        <f>HYPERLINK("https://stock.pstatic.net/stock-research/company/16/20260413_company_408439000.pdf","PDF")</f>
        <v>PDF</v>
      </c>
      <c r="K3838" s="15" t="s">
        <v>4780</v>
      </c>
      <c r="L3838" s="20">
        <v>0.3671875</v>
      </c>
    </row>
    <row r="3839" spans="1:12" x14ac:dyDescent="0.45">
      <c r="A3839" s="15" t="s">
        <v>4772</v>
      </c>
      <c r="B3839" s="15" t="s">
        <v>1648</v>
      </c>
      <c r="C3839" s="16" t="s">
        <v>1649</v>
      </c>
      <c r="D3839" s="16" t="s">
        <v>57</v>
      </c>
      <c r="E3839" s="15" t="s">
        <v>35</v>
      </c>
      <c r="F3839" s="17">
        <v>120000</v>
      </c>
      <c r="G3839" s="17">
        <v>85600</v>
      </c>
      <c r="H3839" s="16" t="s">
        <v>4781</v>
      </c>
      <c r="I3839" s="40" t="s">
        <v>18</v>
      </c>
      <c r="J3839" s="40" t="str">
        <f>HYPERLINK("https://stock.pstatic.net/stock-research/company/16/20260413_company_44845000.pdf","PDF")</f>
        <v>PDF</v>
      </c>
      <c r="K3839" s="15" t="s">
        <v>4782</v>
      </c>
      <c r="L3839" s="20">
        <v>0.40186915887850472</v>
      </c>
    </row>
    <row r="3840" spans="1:12" x14ac:dyDescent="0.45">
      <c r="A3840" s="15" t="s">
        <v>4772</v>
      </c>
      <c r="B3840" s="15" t="s">
        <v>495</v>
      </c>
      <c r="C3840" s="16" t="s">
        <v>496</v>
      </c>
      <c r="D3840" s="16" t="s">
        <v>57</v>
      </c>
      <c r="E3840" s="15" t="s">
        <v>35</v>
      </c>
      <c r="F3840" s="17">
        <v>450000</v>
      </c>
      <c r="G3840" s="17">
        <v>365500</v>
      </c>
      <c r="H3840" s="16" t="s">
        <v>4783</v>
      </c>
      <c r="I3840" s="40" t="s">
        <v>18</v>
      </c>
      <c r="J3840" s="40" t="str">
        <f>HYPERLINK("https://stock.pstatic.net/stock-research/company/16/20260413_company_673174000.pdf","PDF")</f>
        <v>PDF</v>
      </c>
      <c r="K3840" s="15" t="s">
        <v>4784</v>
      </c>
      <c r="L3840" s="20">
        <v>0.23119015047879621</v>
      </c>
    </row>
    <row r="3841" spans="1:12" x14ac:dyDescent="0.45">
      <c r="A3841" s="15" t="s">
        <v>4772</v>
      </c>
      <c r="B3841" s="15" t="s">
        <v>63</v>
      </c>
      <c r="C3841" s="16" t="s">
        <v>64</v>
      </c>
      <c r="D3841" s="16" t="s">
        <v>276</v>
      </c>
      <c r="E3841" s="15" t="s">
        <v>16</v>
      </c>
      <c r="F3841" s="17">
        <v>680000</v>
      </c>
      <c r="G3841" s="17">
        <v>500000</v>
      </c>
      <c r="H3841" s="16" t="s">
        <v>4785</v>
      </c>
      <c r="I3841" s="40" t="s">
        <v>18</v>
      </c>
      <c r="J3841" s="40" t="str">
        <f>HYPERLINK("https://stock.pstatic.net/stock-research/company/66/20260413_company_221411000.pdf","PDF")</f>
        <v>PDF</v>
      </c>
      <c r="K3841" s="15" t="s">
        <v>4786</v>
      </c>
      <c r="L3841" s="20">
        <v>0.36</v>
      </c>
    </row>
    <row r="3842" spans="1:12" x14ac:dyDescent="0.45">
      <c r="A3842" s="15" t="s">
        <v>4772</v>
      </c>
      <c r="B3842" s="15" t="s">
        <v>1682</v>
      </c>
      <c r="C3842" s="16" t="s">
        <v>4787</v>
      </c>
      <c r="D3842" s="16" t="s">
        <v>276</v>
      </c>
      <c r="E3842" s="15" t="s">
        <v>16</v>
      </c>
      <c r="F3842" s="17">
        <v>340000</v>
      </c>
      <c r="G3842" s="17">
        <v>240000</v>
      </c>
      <c r="H3842" s="16" t="s">
        <v>4788</v>
      </c>
      <c r="I3842" s="40" t="s">
        <v>18</v>
      </c>
      <c r="J3842" s="40" t="str">
        <f>HYPERLINK("https://stock.pstatic.net/stock-research/company/66/20260413_company_174888000.pdf","PDF")</f>
        <v>PDF</v>
      </c>
      <c r="K3842" s="15" t="s">
        <v>4789</v>
      </c>
      <c r="L3842" s="20">
        <v>0.41666666666666669</v>
      </c>
    </row>
    <row r="3843" spans="1:12" x14ac:dyDescent="0.45">
      <c r="A3843" s="15" t="s">
        <v>4772</v>
      </c>
      <c r="B3843" s="15" t="s">
        <v>2170</v>
      </c>
      <c r="C3843" s="16" t="s">
        <v>2171</v>
      </c>
      <c r="D3843" s="16" t="s">
        <v>60</v>
      </c>
      <c r="E3843" s="15" t="s">
        <v>35</v>
      </c>
      <c r="F3843" s="17">
        <v>24000</v>
      </c>
      <c r="G3843" s="17">
        <v>16820</v>
      </c>
      <c r="H3843" s="16" t="s">
        <v>4790</v>
      </c>
      <c r="I3843" s="40" t="s">
        <v>18</v>
      </c>
      <c r="J3843" s="40" t="str">
        <f>HYPERLINK("https://stock.pstatic.net/stock-research/company/62/20260413_company_650593000.pdf","PDF")</f>
        <v>PDF</v>
      </c>
      <c r="K3843" s="15" t="s">
        <v>4791</v>
      </c>
      <c r="L3843" s="20">
        <v>0.42687277051129607</v>
      </c>
    </row>
    <row r="3844" spans="1:12" x14ac:dyDescent="0.45">
      <c r="A3844" s="15" t="s">
        <v>4772</v>
      </c>
      <c r="B3844" s="15" t="s">
        <v>2781</v>
      </c>
      <c r="C3844" s="16" t="s">
        <v>2782</v>
      </c>
      <c r="D3844" s="16" t="s">
        <v>60</v>
      </c>
      <c r="E3844" s="15" t="s">
        <v>35</v>
      </c>
      <c r="F3844" s="17">
        <v>155000</v>
      </c>
      <c r="G3844" s="17">
        <v>118200</v>
      </c>
      <c r="H3844" s="16" t="s">
        <v>4792</v>
      </c>
      <c r="I3844" s="40" t="s">
        <v>18</v>
      </c>
      <c r="J3844" s="40" t="str">
        <f>HYPERLINK("https://stock.pstatic.net/stock-research/company/62/20260413_company_343764000.pdf","PDF")</f>
        <v>PDF</v>
      </c>
      <c r="K3844" s="15" t="s">
        <v>4793</v>
      </c>
      <c r="L3844" s="20">
        <v>0.31133671742808799</v>
      </c>
    </row>
    <row r="3845" spans="1:12" x14ac:dyDescent="0.45">
      <c r="A3845" s="15" t="s">
        <v>4772</v>
      </c>
      <c r="B3845" s="15" t="s">
        <v>1686</v>
      </c>
      <c r="C3845" s="16" t="s">
        <v>1687</v>
      </c>
      <c r="D3845" s="16" t="s">
        <v>60</v>
      </c>
      <c r="E3845" s="15" t="s">
        <v>35</v>
      </c>
      <c r="F3845" s="17">
        <v>1860000</v>
      </c>
      <c r="G3845" s="17">
        <v>1238000</v>
      </c>
      <c r="H3845" s="16" t="s">
        <v>4794</v>
      </c>
      <c r="I3845" s="40" t="s">
        <v>18</v>
      </c>
      <c r="J3845" s="40" t="str">
        <f>HYPERLINK("https://stock.pstatic.net/stock-research/company/62/20260413_company_126402000.pdf","PDF")</f>
        <v>PDF</v>
      </c>
      <c r="K3845" s="15" t="s">
        <v>4795</v>
      </c>
      <c r="L3845" s="20">
        <v>0.50242326332794829</v>
      </c>
    </row>
    <row r="3846" spans="1:12" x14ac:dyDescent="0.45">
      <c r="A3846" s="15" t="s">
        <v>4772</v>
      </c>
      <c r="B3846" s="15" t="s">
        <v>63</v>
      </c>
      <c r="C3846" s="16" t="s">
        <v>64</v>
      </c>
      <c r="D3846" s="16" t="s">
        <v>65</v>
      </c>
      <c r="E3846" s="15" t="s">
        <v>35</v>
      </c>
      <c r="F3846" s="17">
        <v>640000</v>
      </c>
      <c r="G3846" s="17">
        <v>500000</v>
      </c>
      <c r="H3846" s="16" t="s">
        <v>4796</v>
      </c>
      <c r="I3846" s="40" t="s">
        <v>18</v>
      </c>
      <c r="J3846" s="40" t="str">
        <f>HYPERLINK("https://stock.pstatic.net/stock-research/company/57/20260413_company_747975000.pdf","PDF")</f>
        <v>PDF</v>
      </c>
      <c r="K3846" s="15" t="s">
        <v>4797</v>
      </c>
      <c r="L3846" s="20">
        <v>0.28000000000000003</v>
      </c>
    </row>
    <row r="3847" spans="1:12" x14ac:dyDescent="0.45">
      <c r="A3847" s="15" t="s">
        <v>4772</v>
      </c>
      <c r="B3847" s="15" t="s">
        <v>3079</v>
      </c>
      <c r="C3847" s="16" t="s">
        <v>3080</v>
      </c>
      <c r="D3847" s="16" t="s">
        <v>65</v>
      </c>
      <c r="E3847" s="15" t="s">
        <v>35</v>
      </c>
      <c r="F3847" s="17">
        <v>89000</v>
      </c>
      <c r="G3847" s="17">
        <v>63100</v>
      </c>
      <c r="H3847" s="16" t="s">
        <v>4798</v>
      </c>
      <c r="I3847" s="40" t="s">
        <v>18</v>
      </c>
      <c r="J3847" s="40" t="str">
        <f>HYPERLINK("https://stock.pstatic.net/stock-research/company/57/20260413_company_188856000.pdf","PDF")</f>
        <v>PDF</v>
      </c>
      <c r="K3847" s="15" t="s">
        <v>4799</v>
      </c>
      <c r="L3847" s="20">
        <v>0.41045958795562598</v>
      </c>
    </row>
    <row r="3848" spans="1:12" x14ac:dyDescent="0.45">
      <c r="A3848" s="15" t="s">
        <v>4772</v>
      </c>
      <c r="B3848" s="15" t="s">
        <v>3530</v>
      </c>
      <c r="C3848" s="16" t="s">
        <v>3531</v>
      </c>
      <c r="D3848" s="16" t="s">
        <v>65</v>
      </c>
      <c r="E3848" s="15" t="s">
        <v>35</v>
      </c>
      <c r="F3848" s="17">
        <v>14000</v>
      </c>
      <c r="G3848" s="17">
        <v>10410</v>
      </c>
      <c r="H3848" s="16" t="s">
        <v>4800</v>
      </c>
      <c r="I3848" s="40" t="s">
        <v>18</v>
      </c>
      <c r="J3848" s="40" t="str">
        <f>HYPERLINK("https://stock.pstatic.net/stock-research/company/57/20260413_company_247232000.pdf","PDF")</f>
        <v>PDF</v>
      </c>
      <c r="K3848" s="15" t="s">
        <v>4801</v>
      </c>
      <c r="L3848" s="20">
        <v>0.34486071085494718</v>
      </c>
    </row>
    <row r="3849" spans="1:12" x14ac:dyDescent="0.45">
      <c r="A3849" s="15" t="s">
        <v>4772</v>
      </c>
      <c r="B3849" s="15" t="s">
        <v>2266</v>
      </c>
      <c r="C3849" s="16" t="s">
        <v>2267</v>
      </c>
      <c r="D3849" s="16" t="s">
        <v>65</v>
      </c>
      <c r="E3849" s="15" t="s">
        <v>35</v>
      </c>
      <c r="F3849" s="17">
        <v>230000</v>
      </c>
      <c r="G3849" s="17">
        <v>199900</v>
      </c>
      <c r="H3849" s="16" t="s">
        <v>4802</v>
      </c>
      <c r="I3849" s="40" t="s">
        <v>18</v>
      </c>
      <c r="J3849" s="40" t="str">
        <f>HYPERLINK("https://stock.pstatic.net/stock-research/company/57/20260413_company_197682000.pdf","PDF")</f>
        <v>PDF</v>
      </c>
      <c r="K3849" s="15" t="s">
        <v>4803</v>
      </c>
      <c r="L3849" s="20">
        <v>0.15057528764382189</v>
      </c>
    </row>
    <row r="3850" spans="1:12" x14ac:dyDescent="0.45">
      <c r="A3850" s="15" t="s">
        <v>4772</v>
      </c>
      <c r="B3850" s="15" t="s">
        <v>533</v>
      </c>
      <c r="C3850" s="16" t="s">
        <v>534</v>
      </c>
      <c r="D3850" s="16" t="s">
        <v>65</v>
      </c>
      <c r="E3850" s="15" t="s">
        <v>35</v>
      </c>
      <c r="F3850" s="17">
        <v>76000</v>
      </c>
      <c r="G3850" s="17">
        <v>62100</v>
      </c>
      <c r="H3850" s="16" t="s">
        <v>4804</v>
      </c>
      <c r="I3850" s="40" t="s">
        <v>18</v>
      </c>
      <c r="J3850" s="40" t="str">
        <f>HYPERLINK("https://stock.pstatic.net/stock-research/company/57/20260413_company_210782000.pdf","PDF")</f>
        <v>PDF</v>
      </c>
      <c r="K3850" s="15" t="s">
        <v>4805</v>
      </c>
      <c r="L3850" s="20">
        <v>0.22383252818035429</v>
      </c>
    </row>
    <row r="3851" spans="1:12" x14ac:dyDescent="0.45">
      <c r="A3851" s="15" t="s">
        <v>4772</v>
      </c>
      <c r="B3851" s="15" t="s">
        <v>2425</v>
      </c>
      <c r="C3851" s="16" t="s">
        <v>2426</v>
      </c>
      <c r="D3851" s="16" t="s">
        <v>65</v>
      </c>
      <c r="E3851" s="15" t="s">
        <v>35</v>
      </c>
      <c r="F3851" s="17">
        <v>180000</v>
      </c>
      <c r="G3851" s="17">
        <v>164300</v>
      </c>
      <c r="H3851" s="16" t="s">
        <v>4806</v>
      </c>
      <c r="I3851" s="40" t="s">
        <v>18</v>
      </c>
      <c r="J3851" s="40" t="str">
        <f>HYPERLINK("https://stock.pstatic.net/stock-research/company/57/20260413_company_483386000.pdf","PDF")</f>
        <v>PDF</v>
      </c>
      <c r="K3851" s="15" t="s">
        <v>4807</v>
      </c>
      <c r="L3851" s="20">
        <v>9.5556908094948267E-2</v>
      </c>
    </row>
    <row r="3852" spans="1:12" x14ac:dyDescent="0.45">
      <c r="A3852" s="15" t="s">
        <v>4772</v>
      </c>
      <c r="B3852" s="15" t="s">
        <v>2944</v>
      </c>
      <c r="C3852" s="16" t="s">
        <v>2945</v>
      </c>
      <c r="D3852" s="16" t="s">
        <v>158</v>
      </c>
      <c r="E3852" s="15" t="s">
        <v>35</v>
      </c>
      <c r="F3852" s="17">
        <v>27000</v>
      </c>
      <c r="G3852" s="17">
        <v>18450</v>
      </c>
      <c r="H3852" s="16" t="s">
        <v>4808</v>
      </c>
      <c r="I3852" s="40" t="s">
        <v>18</v>
      </c>
      <c r="J3852" s="40" t="str">
        <f>HYPERLINK("https://stock.pstatic.net/stock-research/company/18/20260413_company_790483000.pdf","PDF")</f>
        <v>PDF</v>
      </c>
      <c r="K3852" s="15" t="s">
        <v>4809</v>
      </c>
      <c r="L3852" s="20">
        <v>0.46341463414634149</v>
      </c>
    </row>
    <row r="3853" spans="1:12" x14ac:dyDescent="0.45">
      <c r="A3853" s="15" t="s">
        <v>4772</v>
      </c>
      <c r="B3853" s="15" t="s">
        <v>3230</v>
      </c>
      <c r="C3853" s="16" t="s">
        <v>3231</v>
      </c>
      <c r="D3853" s="16" t="s">
        <v>83</v>
      </c>
      <c r="E3853" s="15" t="s">
        <v>35</v>
      </c>
      <c r="F3853" s="17">
        <v>4000000</v>
      </c>
      <c r="G3853" s="17">
        <v>2940000</v>
      </c>
      <c r="H3853" s="16" t="s">
        <v>4810</v>
      </c>
      <c r="I3853" s="40" t="s">
        <v>18</v>
      </c>
      <c r="J3853" s="40" t="str">
        <f>HYPERLINK("https://stock.pstatic.net/stock-research/company/15/20260413_company_268182000.pdf","PDF")</f>
        <v>PDF</v>
      </c>
      <c r="K3853" s="15" t="s">
        <v>4811</v>
      </c>
      <c r="L3853" s="20">
        <v>0.36054421768707479</v>
      </c>
    </row>
    <row r="3854" spans="1:12" x14ac:dyDescent="0.45">
      <c r="A3854" s="15" t="s">
        <v>4772</v>
      </c>
      <c r="B3854" s="15" t="s">
        <v>533</v>
      </c>
      <c r="C3854" s="16" t="s">
        <v>534</v>
      </c>
      <c r="D3854" s="16" t="s">
        <v>83</v>
      </c>
      <c r="E3854" s="15" t="s">
        <v>35</v>
      </c>
      <c r="F3854" s="17">
        <v>74000</v>
      </c>
      <c r="G3854" s="17">
        <v>62100</v>
      </c>
      <c r="H3854" s="16" t="s">
        <v>4812</v>
      </c>
      <c r="I3854" s="40" t="s">
        <v>18</v>
      </c>
      <c r="J3854" s="40" t="str">
        <f>HYPERLINK("https://stock.pstatic.net/stock-research/company/15/20260413_company_765653000.pdf","PDF")</f>
        <v>PDF</v>
      </c>
      <c r="K3854" s="15" t="s">
        <v>4813</v>
      </c>
      <c r="L3854" s="20">
        <v>0.19162640901771341</v>
      </c>
    </row>
    <row r="3855" spans="1:12" x14ac:dyDescent="0.45">
      <c r="A3855" s="15" t="s">
        <v>4772</v>
      </c>
      <c r="B3855" s="15" t="s">
        <v>3182</v>
      </c>
      <c r="C3855" s="16" t="s">
        <v>3183</v>
      </c>
      <c r="D3855" s="16" t="s">
        <v>83</v>
      </c>
      <c r="E3855" s="15" t="s">
        <v>35</v>
      </c>
      <c r="F3855" s="17">
        <v>1220000</v>
      </c>
      <c r="G3855" s="17">
        <v>999000</v>
      </c>
      <c r="H3855" s="16" t="s">
        <v>4814</v>
      </c>
      <c r="I3855" s="40" t="s">
        <v>18</v>
      </c>
      <c r="J3855" s="40" t="str">
        <f>HYPERLINK("https://stock.pstatic.net/stock-research/company/15/20260413_company_981906000.pdf","PDF")</f>
        <v>PDF</v>
      </c>
      <c r="K3855" s="15" t="s">
        <v>4815</v>
      </c>
      <c r="L3855" s="20">
        <v>0.2212212212212212</v>
      </c>
    </row>
    <row r="3856" spans="1:12" x14ac:dyDescent="0.45">
      <c r="A3856" s="15" t="s">
        <v>4772</v>
      </c>
      <c r="B3856" s="15" t="s">
        <v>541</v>
      </c>
      <c r="C3856" s="16" t="s">
        <v>542</v>
      </c>
      <c r="D3856" s="16" t="s">
        <v>83</v>
      </c>
      <c r="E3856" s="15" t="s">
        <v>35</v>
      </c>
      <c r="F3856" s="17">
        <v>110000</v>
      </c>
      <c r="G3856" s="17">
        <v>93000</v>
      </c>
      <c r="H3856" s="16" t="s">
        <v>4816</v>
      </c>
      <c r="I3856" s="40" t="s">
        <v>18</v>
      </c>
      <c r="J3856" s="40" t="str">
        <f>HYPERLINK("https://stock.pstatic.net/stock-research/company/15/20260413_company_401442000.pdf","PDF")</f>
        <v>PDF</v>
      </c>
      <c r="K3856" s="15" t="s">
        <v>4817</v>
      </c>
      <c r="L3856" s="20">
        <v>0.18279569892473119</v>
      </c>
    </row>
    <row r="3857" spans="1:12" x14ac:dyDescent="0.45">
      <c r="A3857" s="15" t="s">
        <v>4772</v>
      </c>
      <c r="B3857" s="15" t="s">
        <v>507</v>
      </c>
      <c r="C3857" s="16" t="s">
        <v>508</v>
      </c>
      <c r="D3857" s="16" t="s">
        <v>83</v>
      </c>
      <c r="E3857" s="15" t="s">
        <v>35</v>
      </c>
      <c r="F3857" s="17">
        <v>6400</v>
      </c>
      <c r="G3857" s="17">
        <v>4620</v>
      </c>
      <c r="H3857" s="16" t="s">
        <v>4818</v>
      </c>
      <c r="I3857" s="40" t="s">
        <v>18</v>
      </c>
      <c r="J3857" s="40" t="str">
        <f>HYPERLINK("https://stock.pstatic.net/stock-research/company/15/20260413_company_358535000.pdf","PDF")</f>
        <v>PDF</v>
      </c>
      <c r="K3857" s="15" t="s">
        <v>4819</v>
      </c>
      <c r="L3857" s="20">
        <v>0.38528138528138528</v>
      </c>
    </row>
    <row r="3858" spans="1:12" x14ac:dyDescent="0.45">
      <c r="A3858" s="15" t="s">
        <v>4772</v>
      </c>
      <c r="B3858" s="15" t="s">
        <v>812</v>
      </c>
      <c r="C3858" s="16" t="s">
        <v>813</v>
      </c>
      <c r="D3858" s="16" t="s">
        <v>83</v>
      </c>
      <c r="E3858" s="15" t="s">
        <v>35</v>
      </c>
      <c r="F3858" s="17">
        <v>140000</v>
      </c>
      <c r="G3858" s="17">
        <v>82500</v>
      </c>
      <c r="H3858" s="16" t="s">
        <v>4820</v>
      </c>
      <c r="I3858" s="40" t="s">
        <v>18</v>
      </c>
      <c r="J3858" s="40" t="str">
        <f>HYPERLINK("https://stock.pstatic.net/stock-research/company/15/20260413_company_757421000.pdf","PDF")</f>
        <v>PDF</v>
      </c>
      <c r="K3858" s="15" t="s">
        <v>4821</v>
      </c>
      <c r="L3858" s="20">
        <v>0.69696969696969702</v>
      </c>
    </row>
    <row r="3859" spans="1:12" x14ac:dyDescent="0.45">
      <c r="A3859" s="15" t="s">
        <v>4772</v>
      </c>
      <c r="B3859" s="15" t="s">
        <v>677</v>
      </c>
      <c r="C3859" s="16" t="s">
        <v>678</v>
      </c>
      <c r="D3859" s="16" t="s">
        <v>83</v>
      </c>
      <c r="E3859" s="15" t="s">
        <v>35</v>
      </c>
      <c r="F3859" s="17">
        <v>14000</v>
      </c>
      <c r="G3859" s="17">
        <v>11550</v>
      </c>
      <c r="H3859" s="16" t="s">
        <v>4822</v>
      </c>
      <c r="I3859" s="40" t="s">
        <v>18</v>
      </c>
      <c r="J3859" s="40" t="str">
        <f>HYPERLINK("https://stock.pstatic.net/stock-research/company/15/20260413_company_522306000.pdf","PDF")</f>
        <v>PDF</v>
      </c>
      <c r="K3859" s="15" t="s">
        <v>4823</v>
      </c>
      <c r="L3859" s="20">
        <v>0.2121212121212121</v>
      </c>
    </row>
    <row r="3860" spans="1:12" x14ac:dyDescent="0.45">
      <c r="A3860" s="15" t="s">
        <v>4772</v>
      </c>
      <c r="B3860" s="15" t="s">
        <v>2414</v>
      </c>
      <c r="C3860" s="16" t="s">
        <v>2415</v>
      </c>
      <c r="D3860" s="16" t="s">
        <v>92</v>
      </c>
      <c r="E3860" s="15" t="s">
        <v>35</v>
      </c>
      <c r="F3860" s="17">
        <v>1860000</v>
      </c>
      <c r="G3860" s="17">
        <v>1281000</v>
      </c>
      <c r="H3860" s="16" t="s">
        <v>4824</v>
      </c>
      <c r="I3860" s="40" t="s">
        <v>18</v>
      </c>
      <c r="J3860" s="40" t="str">
        <f>HYPERLINK("https://stock.pstatic.net/stock-research/company/63/20260413_company_744021000.pdf","PDF")</f>
        <v>PDF</v>
      </c>
      <c r="K3860" s="15" t="s">
        <v>4825</v>
      </c>
      <c r="L3860" s="20">
        <v>0.45199063231850117</v>
      </c>
    </row>
    <row r="3861" spans="1:12" x14ac:dyDescent="0.45">
      <c r="A3861" s="15" t="s">
        <v>4772</v>
      </c>
      <c r="B3861" s="15" t="s">
        <v>3369</v>
      </c>
      <c r="C3861" s="16" t="s">
        <v>3370</v>
      </c>
      <c r="D3861" s="16" t="s">
        <v>15</v>
      </c>
      <c r="E3861" s="15" t="s">
        <v>385</v>
      </c>
      <c r="F3861" s="17">
        <v>35000</v>
      </c>
      <c r="G3861" s="17">
        <v>30950</v>
      </c>
      <c r="H3861" s="16" t="s">
        <v>4826</v>
      </c>
      <c r="I3861" s="40" t="s">
        <v>18</v>
      </c>
      <c r="J3861" s="40" t="str">
        <f>HYPERLINK("https://stock.pstatic.net/stock-research/company/56/20260413_company_392953000.pdf","PDF")</f>
        <v>PDF</v>
      </c>
      <c r="K3861" s="15" t="s">
        <v>4827</v>
      </c>
      <c r="L3861" s="20">
        <v>0.13085621970920841</v>
      </c>
    </row>
    <row r="3862" spans="1:12" x14ac:dyDescent="0.45">
      <c r="A3862" s="15" t="s">
        <v>4772</v>
      </c>
      <c r="B3862" s="15" t="s">
        <v>370</v>
      </c>
      <c r="C3862" s="16" t="s">
        <v>371</v>
      </c>
      <c r="D3862" s="16" t="s">
        <v>92</v>
      </c>
      <c r="E3862" s="15" t="s">
        <v>35</v>
      </c>
      <c r="F3862" s="17">
        <v>78000</v>
      </c>
      <c r="G3862" s="17">
        <v>51200</v>
      </c>
      <c r="H3862" s="16" t="s">
        <v>4828</v>
      </c>
      <c r="I3862" s="40" t="s">
        <v>18</v>
      </c>
      <c r="J3862" s="40" t="str">
        <f>HYPERLINK("https://stock.pstatic.net/stock-research/company/63/20260413_company_698451000.pdf","PDF")</f>
        <v>PDF</v>
      </c>
      <c r="K3862" s="15" t="s">
        <v>4829</v>
      </c>
      <c r="L3862" s="20">
        <v>0.5234375</v>
      </c>
    </row>
    <row r="3863" spans="1:12" x14ac:dyDescent="0.45">
      <c r="A3863" s="15" t="s">
        <v>4772</v>
      </c>
      <c r="B3863" s="15" t="s">
        <v>1648</v>
      </c>
      <c r="C3863" s="16" t="s">
        <v>1649</v>
      </c>
      <c r="D3863" s="16" t="s">
        <v>92</v>
      </c>
      <c r="E3863" s="15" t="s">
        <v>35</v>
      </c>
      <c r="F3863" s="17">
        <v>130000</v>
      </c>
      <c r="G3863" s="17">
        <v>85600</v>
      </c>
      <c r="H3863" s="16" t="s">
        <v>4830</v>
      </c>
      <c r="I3863" s="40" t="s">
        <v>18</v>
      </c>
      <c r="J3863" s="40" t="str">
        <f>HYPERLINK("https://stock.pstatic.net/stock-research/company/63/20260413_company_412852000.pdf","PDF")</f>
        <v>PDF</v>
      </c>
      <c r="K3863" s="15" t="s">
        <v>4831</v>
      </c>
      <c r="L3863" s="20">
        <v>0.51869158878504673</v>
      </c>
    </row>
    <row r="3864" spans="1:12" x14ac:dyDescent="0.45">
      <c r="A3864" s="15" t="s">
        <v>4772</v>
      </c>
      <c r="B3864" s="15" t="s">
        <v>3105</v>
      </c>
      <c r="C3864" s="16" t="s">
        <v>3106</v>
      </c>
      <c r="D3864" s="16" t="s">
        <v>92</v>
      </c>
      <c r="E3864" s="15" t="s">
        <v>35</v>
      </c>
      <c r="F3864" s="17">
        <v>380000</v>
      </c>
      <c r="G3864" s="17">
        <v>254000</v>
      </c>
      <c r="H3864" s="16" t="s">
        <v>4832</v>
      </c>
      <c r="I3864" s="40" t="s">
        <v>18</v>
      </c>
      <c r="J3864" s="40" t="str">
        <f>HYPERLINK("https://stock.pstatic.net/stock-research/company/63/20260413_company_366792000.pdf","PDF")</f>
        <v>PDF</v>
      </c>
      <c r="K3864" s="15" t="s">
        <v>4833</v>
      </c>
      <c r="L3864" s="20">
        <v>0.49606299212598431</v>
      </c>
    </row>
    <row r="3865" spans="1:12" x14ac:dyDescent="0.45">
      <c r="A3865" s="15" t="s">
        <v>4772</v>
      </c>
      <c r="B3865" s="15" t="s">
        <v>259</v>
      </c>
      <c r="C3865" s="16" t="s">
        <v>260</v>
      </c>
      <c r="D3865" s="16" t="s">
        <v>92</v>
      </c>
      <c r="E3865" s="15" t="s">
        <v>35</v>
      </c>
      <c r="F3865" s="17">
        <v>88000</v>
      </c>
      <c r="G3865" s="17">
        <v>60200</v>
      </c>
      <c r="H3865" s="16" t="s">
        <v>4834</v>
      </c>
      <c r="I3865" s="40" t="s">
        <v>18</v>
      </c>
      <c r="J3865" s="40" t="str">
        <f>HYPERLINK("https://stock.pstatic.net/stock-research/company/63/20260413_company_167437000.pdf","PDF")</f>
        <v>PDF</v>
      </c>
      <c r="K3865" s="15" t="s">
        <v>4835</v>
      </c>
      <c r="L3865" s="20">
        <v>0.46179401993355479</v>
      </c>
    </row>
    <row r="3866" spans="1:12" x14ac:dyDescent="0.45">
      <c r="A3866" s="15" t="s">
        <v>4772</v>
      </c>
      <c r="B3866" s="15" t="s">
        <v>1552</v>
      </c>
      <c r="C3866" s="16" t="s">
        <v>1553</v>
      </c>
      <c r="D3866" s="16" t="s">
        <v>44</v>
      </c>
      <c r="E3866" s="15" t="s">
        <v>35</v>
      </c>
      <c r="F3866" s="17">
        <v>210000</v>
      </c>
      <c r="G3866" s="17">
        <v>162700</v>
      </c>
      <c r="H3866" s="16" t="s">
        <v>4836</v>
      </c>
      <c r="I3866" s="40" t="s">
        <v>18</v>
      </c>
      <c r="J3866" s="40" t="str">
        <f>HYPERLINK("https://stock.pstatic.net/stock-research/company/39/20260413_company_567169000.pdf","PDF")</f>
        <v>PDF</v>
      </c>
      <c r="K3866" s="15" t="s">
        <v>4837</v>
      </c>
      <c r="L3866" s="20">
        <v>0.29071911493546398</v>
      </c>
    </row>
    <row r="3867" spans="1:12" x14ac:dyDescent="0.45">
      <c r="A3867" s="15" t="s">
        <v>4772</v>
      </c>
      <c r="B3867" s="15" t="s">
        <v>4838</v>
      </c>
      <c r="C3867" s="16" t="s">
        <v>4839</v>
      </c>
      <c r="D3867" s="16" t="s">
        <v>92</v>
      </c>
      <c r="E3867" s="15" t="s">
        <v>50</v>
      </c>
      <c r="F3867" s="16"/>
      <c r="G3867" s="17">
        <v>10100</v>
      </c>
      <c r="H3867" s="16" t="s">
        <v>4840</v>
      </c>
      <c r="I3867" s="40" t="s">
        <v>18</v>
      </c>
      <c r="J3867" s="40" t="str">
        <f>HYPERLINK("https://stock.pstatic.net/stock-research/company/63/20260413_company_6676000.pdf","PDF")</f>
        <v>PDF</v>
      </c>
      <c r="K3867" s="15" t="s">
        <v>4841</v>
      </c>
    </row>
    <row r="3868" spans="1:12" x14ac:dyDescent="0.45">
      <c r="A3868" s="15" t="s">
        <v>4772</v>
      </c>
      <c r="B3868" s="15" t="s">
        <v>577</v>
      </c>
      <c r="C3868" s="16" t="s">
        <v>578</v>
      </c>
      <c r="D3868" s="16" t="s">
        <v>92</v>
      </c>
      <c r="E3868" s="15" t="s">
        <v>35</v>
      </c>
      <c r="F3868" s="17">
        <v>560000</v>
      </c>
      <c r="G3868" s="17">
        <v>402500</v>
      </c>
      <c r="H3868" s="16" t="s">
        <v>4842</v>
      </c>
      <c r="I3868" s="40" t="s">
        <v>18</v>
      </c>
      <c r="J3868" s="40" t="str">
        <f>HYPERLINK("https://stock.pstatic.net/stock-research/company/63/20260413_company_565168000.pdf","PDF")</f>
        <v>PDF</v>
      </c>
      <c r="K3868" s="15" t="s">
        <v>4843</v>
      </c>
      <c r="L3868" s="20">
        <v>0.39130434782608697</v>
      </c>
    </row>
    <row r="3869" spans="1:12" x14ac:dyDescent="0.45">
      <c r="A3869" s="15" t="s">
        <v>4772</v>
      </c>
      <c r="B3869" s="15" t="s">
        <v>872</v>
      </c>
      <c r="C3869" s="16" t="s">
        <v>873</v>
      </c>
      <c r="D3869" s="16" t="s">
        <v>34</v>
      </c>
      <c r="E3869" s="15" t="s">
        <v>50</v>
      </c>
      <c r="F3869" s="16"/>
      <c r="G3869" s="17">
        <v>41500</v>
      </c>
      <c r="H3869" s="16" t="s">
        <v>4844</v>
      </c>
      <c r="I3869" s="40" t="s">
        <v>18</v>
      </c>
      <c r="J3869" s="40" t="str">
        <f>HYPERLINK("https://stock.pstatic.net/stock-research/company/61/20260413_company_482647000.pdf","PDF")</f>
        <v>PDF</v>
      </c>
      <c r="K3869" s="15" t="s">
        <v>4845</v>
      </c>
    </row>
    <row r="3870" spans="1:12" x14ac:dyDescent="0.45">
      <c r="A3870" s="15" t="s">
        <v>4772</v>
      </c>
      <c r="B3870" s="15" t="s">
        <v>4846</v>
      </c>
      <c r="C3870" s="16" t="s">
        <v>4847</v>
      </c>
      <c r="D3870" s="16" t="s">
        <v>34</v>
      </c>
      <c r="E3870" s="15" t="s">
        <v>50</v>
      </c>
      <c r="F3870" s="16"/>
      <c r="G3870" s="17">
        <v>32350</v>
      </c>
      <c r="H3870" s="16" t="s">
        <v>4848</v>
      </c>
      <c r="I3870" s="40" t="s">
        <v>18</v>
      </c>
      <c r="J3870" s="40" t="str">
        <f>HYPERLINK("https://stock.pstatic.net/stock-research/company/61/20260413_company_11496000.pdf","PDF")</f>
        <v>PDF</v>
      </c>
      <c r="K3870" s="15" t="s">
        <v>4849</v>
      </c>
    </row>
    <row r="3871" spans="1:12" x14ac:dyDescent="0.45">
      <c r="A3871" s="15" t="s">
        <v>4772</v>
      </c>
      <c r="B3871" s="15" t="s">
        <v>1278</v>
      </c>
      <c r="C3871" s="16" t="s">
        <v>1279</v>
      </c>
      <c r="D3871" s="16" t="s">
        <v>179</v>
      </c>
      <c r="E3871" s="15" t="s">
        <v>16</v>
      </c>
      <c r="F3871" s="17">
        <v>399000</v>
      </c>
      <c r="G3871" s="17">
        <v>241500</v>
      </c>
      <c r="H3871" s="16" t="s">
        <v>4850</v>
      </c>
      <c r="I3871" s="40" t="s">
        <v>18</v>
      </c>
      <c r="J3871" s="40" t="str">
        <f>HYPERLINK("https://stock.pstatic.net/stock-research/company/64/20260413_company_43747000.pdf","PDF")</f>
        <v>PDF</v>
      </c>
      <c r="K3871" s="15" t="s">
        <v>4851</v>
      </c>
      <c r="L3871" s="20">
        <v>0.65217391304347827</v>
      </c>
    </row>
    <row r="3872" spans="1:12" x14ac:dyDescent="0.45">
      <c r="A3872" s="15" t="s">
        <v>4772</v>
      </c>
      <c r="B3872" s="15" t="s">
        <v>1552</v>
      </c>
      <c r="C3872" s="16" t="s">
        <v>1553</v>
      </c>
      <c r="D3872" s="16" t="s">
        <v>34</v>
      </c>
      <c r="E3872" s="15" t="s">
        <v>50</v>
      </c>
      <c r="F3872" s="16"/>
      <c r="G3872" s="17">
        <v>162700</v>
      </c>
      <c r="H3872" s="16" t="s">
        <v>4852</v>
      </c>
      <c r="I3872" s="40" t="s">
        <v>18</v>
      </c>
      <c r="J3872" s="40" t="str">
        <f>HYPERLINK("https://stock.pstatic.net/stock-research/company/61/20260413_company_112981000.pdf","PDF")</f>
        <v>PDF</v>
      </c>
      <c r="K3872" s="15" t="s">
        <v>4853</v>
      </c>
    </row>
    <row r="3873" spans="1:12" x14ac:dyDescent="0.45">
      <c r="A3873" s="15" t="s">
        <v>4772</v>
      </c>
      <c r="B3873" s="15" t="s">
        <v>174</v>
      </c>
      <c r="C3873" s="16" t="s">
        <v>44</v>
      </c>
      <c r="D3873" s="16" t="s">
        <v>179</v>
      </c>
      <c r="E3873" s="15" t="s">
        <v>16</v>
      </c>
      <c r="F3873" s="17">
        <v>593000</v>
      </c>
      <c r="G3873" s="17">
        <v>453000</v>
      </c>
      <c r="H3873" s="16" t="s">
        <v>4854</v>
      </c>
      <c r="I3873" s="40" t="s">
        <v>18</v>
      </c>
      <c r="J3873" s="40" t="str">
        <f>HYPERLINK("https://stock.pstatic.net/stock-research/company/64/20260413_company_467690000.pdf","PDF")</f>
        <v>PDF</v>
      </c>
      <c r="K3873" s="15" t="s">
        <v>4855</v>
      </c>
      <c r="L3873" s="20">
        <v>0.30905077262693159</v>
      </c>
    </row>
    <row r="3874" spans="1:12" x14ac:dyDescent="0.45">
      <c r="A3874" s="15" t="s">
        <v>4772</v>
      </c>
      <c r="B3874" s="15" t="s">
        <v>503</v>
      </c>
      <c r="C3874" s="16" t="s">
        <v>504</v>
      </c>
      <c r="D3874" s="16" t="s">
        <v>23</v>
      </c>
      <c r="E3874" s="15" t="s">
        <v>16</v>
      </c>
      <c r="F3874" s="17">
        <v>89000</v>
      </c>
      <c r="G3874" s="17">
        <v>64300</v>
      </c>
      <c r="H3874" s="16" t="s">
        <v>4856</v>
      </c>
      <c r="I3874" s="40" t="s">
        <v>18</v>
      </c>
      <c r="J3874" s="40" t="str">
        <f>HYPERLINK("https://stock.pstatic.net/stock-research/company/21/20260413_company_892985000.pdf","PDF")</f>
        <v>PDF</v>
      </c>
      <c r="K3874" s="15" t="s">
        <v>4857</v>
      </c>
      <c r="L3874" s="20">
        <v>0.38413685847589418</v>
      </c>
    </row>
    <row r="3875" spans="1:12" x14ac:dyDescent="0.45">
      <c r="A3875" s="15" t="s">
        <v>4772</v>
      </c>
      <c r="B3875" s="15" t="s">
        <v>541</v>
      </c>
      <c r="C3875" s="16" t="s">
        <v>542</v>
      </c>
      <c r="D3875" s="16" t="s">
        <v>92</v>
      </c>
      <c r="E3875" s="15" t="s">
        <v>159</v>
      </c>
      <c r="F3875" s="17">
        <v>85000</v>
      </c>
      <c r="G3875" s="17">
        <v>93000</v>
      </c>
      <c r="H3875" s="16" t="s">
        <v>4858</v>
      </c>
      <c r="I3875" s="40" t="s">
        <v>18</v>
      </c>
      <c r="J3875" s="40" t="str">
        <f>HYPERLINK("https://stock.pstatic.net/stock-research/company/63/20260413_company_70604000.pdf","PDF")</f>
        <v>PDF</v>
      </c>
      <c r="K3875" s="15" t="s">
        <v>4859</v>
      </c>
      <c r="L3875" s="20">
        <v>-8.6021505376344093E-2</v>
      </c>
    </row>
    <row r="3876" spans="1:12" x14ac:dyDescent="0.45">
      <c r="A3876" s="15" t="s">
        <v>4772</v>
      </c>
      <c r="B3876" s="15" t="s">
        <v>3244</v>
      </c>
      <c r="C3876" s="16" t="s">
        <v>3245</v>
      </c>
      <c r="D3876" s="16" t="s">
        <v>44</v>
      </c>
      <c r="E3876" s="15" t="s">
        <v>35</v>
      </c>
      <c r="F3876" s="17">
        <v>96000</v>
      </c>
      <c r="G3876" s="17">
        <v>69500</v>
      </c>
      <c r="H3876" s="16" t="s">
        <v>4860</v>
      </c>
      <c r="I3876" s="40" t="s">
        <v>18</v>
      </c>
      <c r="J3876" s="40" t="str">
        <f>HYPERLINK("https://stock.pstatic.net/stock-research/company/39/20260413_company_987821000.pdf","PDF")</f>
        <v>PDF</v>
      </c>
      <c r="K3876" s="15" t="s">
        <v>4861</v>
      </c>
      <c r="L3876" s="20">
        <v>0.38129496402877699</v>
      </c>
    </row>
    <row r="3877" spans="1:12" x14ac:dyDescent="0.45">
      <c r="A3877" s="15" t="s">
        <v>4772</v>
      </c>
      <c r="B3877" s="15" t="s">
        <v>352</v>
      </c>
      <c r="C3877" s="16" t="s">
        <v>353</v>
      </c>
      <c r="D3877" s="16" t="s">
        <v>44</v>
      </c>
      <c r="E3877" s="15" t="s">
        <v>35</v>
      </c>
      <c r="F3877" s="17">
        <v>340000</v>
      </c>
      <c r="G3877" s="17">
        <v>210000</v>
      </c>
      <c r="H3877" s="16" t="s">
        <v>4862</v>
      </c>
      <c r="I3877" s="40" t="s">
        <v>18</v>
      </c>
      <c r="J3877" s="40" t="str">
        <f>HYPERLINK("https://stock.pstatic.net/stock-research/company/39/20260413_company_20222000.pdf","PDF")</f>
        <v>PDF</v>
      </c>
      <c r="K3877" s="15" t="s">
        <v>4863</v>
      </c>
      <c r="L3877" s="20">
        <v>0.61904761904761907</v>
      </c>
    </row>
    <row r="3878" spans="1:12" x14ac:dyDescent="0.45">
      <c r="A3878" s="15" t="s">
        <v>4772</v>
      </c>
      <c r="B3878" s="15" t="s">
        <v>4864</v>
      </c>
      <c r="C3878" s="16" t="s">
        <v>4865</v>
      </c>
      <c r="D3878" s="16" t="s">
        <v>44</v>
      </c>
      <c r="E3878" s="15" t="s">
        <v>45</v>
      </c>
      <c r="F3878" s="17">
        <v>40000</v>
      </c>
      <c r="G3878" s="17">
        <v>34050</v>
      </c>
      <c r="H3878" s="16" t="s">
        <v>4866</v>
      </c>
      <c r="I3878" s="40" t="s">
        <v>18</v>
      </c>
      <c r="J3878" s="40" t="str">
        <f>HYPERLINK("https://stock.pstatic.net/stock-research/company/39/20260413_company_226473000.pdf","PDF")</f>
        <v>PDF</v>
      </c>
      <c r="K3878" s="15" t="s">
        <v>4867</v>
      </c>
      <c r="L3878" s="20">
        <v>0.17474302496328931</v>
      </c>
    </row>
    <row r="3879" spans="1:12" x14ac:dyDescent="0.45">
      <c r="A3879" s="15" t="s">
        <v>4772</v>
      </c>
      <c r="B3879" s="15" t="s">
        <v>519</v>
      </c>
      <c r="C3879" s="16" t="s">
        <v>520</v>
      </c>
      <c r="D3879" s="16" t="s">
        <v>92</v>
      </c>
      <c r="E3879" s="15" t="s">
        <v>35</v>
      </c>
      <c r="F3879" s="17">
        <v>600000</v>
      </c>
      <c r="G3879" s="17">
        <v>489500</v>
      </c>
      <c r="H3879" s="16" t="s">
        <v>4868</v>
      </c>
      <c r="I3879" s="40" t="s">
        <v>18</v>
      </c>
      <c r="J3879" s="40" t="str">
        <f>HYPERLINK("https://stock.pstatic.net/stock-research/company/63/20260413_company_255260000.pdf","PDF")</f>
        <v>PDF</v>
      </c>
      <c r="K3879" s="15" t="s">
        <v>4869</v>
      </c>
      <c r="L3879" s="20">
        <v>0.22574055158324821</v>
      </c>
    </row>
    <row r="3880" spans="1:12" x14ac:dyDescent="0.45">
      <c r="A3880" s="15" t="s">
        <v>4772</v>
      </c>
      <c r="B3880" s="15" t="s">
        <v>1765</v>
      </c>
      <c r="C3880" s="16" t="s">
        <v>1766</v>
      </c>
      <c r="D3880" s="16" t="s">
        <v>92</v>
      </c>
      <c r="E3880" s="15" t="s">
        <v>35</v>
      </c>
      <c r="F3880" s="17">
        <v>170000</v>
      </c>
      <c r="G3880" s="17">
        <v>149000</v>
      </c>
      <c r="H3880" s="16" t="s">
        <v>4870</v>
      </c>
      <c r="I3880" s="40" t="s">
        <v>18</v>
      </c>
      <c r="J3880" s="40" t="str">
        <f>HYPERLINK("https://stock.pstatic.net/stock-research/company/63/20260413_company_221004000.pdf","PDF")</f>
        <v>PDF</v>
      </c>
      <c r="K3880" s="15" t="s">
        <v>4871</v>
      </c>
      <c r="L3880" s="20">
        <v>0.1409395973154362</v>
      </c>
    </row>
    <row r="3881" spans="1:12" x14ac:dyDescent="0.45">
      <c r="A3881" s="15" t="s">
        <v>4772</v>
      </c>
      <c r="B3881" s="15" t="s">
        <v>63</v>
      </c>
      <c r="C3881" s="16" t="s">
        <v>64</v>
      </c>
      <c r="D3881" s="16" t="s">
        <v>44</v>
      </c>
      <c r="E3881" s="15" t="s">
        <v>45</v>
      </c>
      <c r="F3881" s="17">
        <v>560000</v>
      </c>
      <c r="G3881" s="17">
        <v>500000</v>
      </c>
      <c r="H3881" s="16" t="s">
        <v>4872</v>
      </c>
      <c r="I3881" s="40" t="s">
        <v>18</v>
      </c>
      <c r="J3881" s="40" t="str">
        <f>HYPERLINK("https://stock.pstatic.net/stock-research/company/39/20260413_company_406038000.pdf","PDF")</f>
        <v>PDF</v>
      </c>
      <c r="K3881" s="15" t="s">
        <v>4873</v>
      </c>
      <c r="L3881" s="20">
        <v>0.12</v>
      </c>
    </row>
    <row r="3882" spans="1:12" x14ac:dyDescent="0.45">
      <c r="A3882" s="15" t="s">
        <v>4772</v>
      </c>
      <c r="B3882" s="15" t="s">
        <v>1124</v>
      </c>
      <c r="C3882" s="16" t="s">
        <v>1125</v>
      </c>
      <c r="D3882" s="16" t="s">
        <v>44</v>
      </c>
      <c r="E3882" s="15" t="s">
        <v>35</v>
      </c>
      <c r="F3882" s="17">
        <v>350000</v>
      </c>
      <c r="G3882" s="17">
        <v>277000</v>
      </c>
      <c r="H3882" s="16" t="s">
        <v>4874</v>
      </c>
      <c r="I3882" s="40" t="s">
        <v>18</v>
      </c>
      <c r="J3882" s="40" t="str">
        <f>HYPERLINK("https://stock.pstatic.net/stock-research/company/39/20260413_company_238667000.pdf","PDF")</f>
        <v>PDF</v>
      </c>
      <c r="K3882" s="15" t="s">
        <v>4875</v>
      </c>
      <c r="L3882" s="20">
        <v>0.26353790613718409</v>
      </c>
    </row>
    <row r="3883" spans="1:12" x14ac:dyDescent="0.45">
      <c r="A3883" s="15" t="s">
        <v>4772</v>
      </c>
      <c r="B3883" s="15" t="s">
        <v>38</v>
      </c>
      <c r="C3883" s="16" t="s">
        <v>39</v>
      </c>
      <c r="D3883" s="16" t="s">
        <v>124</v>
      </c>
      <c r="E3883" s="15" t="s">
        <v>50</v>
      </c>
      <c r="F3883" s="16"/>
      <c r="G3883" s="16"/>
      <c r="H3883" s="16" t="s">
        <v>4876</v>
      </c>
      <c r="I3883" s="40" t="s">
        <v>18</v>
      </c>
      <c r="J3883" s="40" t="str">
        <f>HYPERLINK("https://stock.pstatic.net/stock-research/company/74/20260413_company_700307000.pdf","PDF")</f>
        <v>PDF</v>
      </c>
      <c r="K3883" s="15" t="s">
        <v>4877</v>
      </c>
    </row>
    <row r="3884" spans="1:12" x14ac:dyDescent="0.45">
      <c r="A3884" s="15" t="s">
        <v>4772</v>
      </c>
      <c r="B3884" s="15" t="s">
        <v>950</v>
      </c>
      <c r="C3884" s="16" t="s">
        <v>951</v>
      </c>
      <c r="D3884" s="16" t="s">
        <v>15</v>
      </c>
      <c r="E3884" s="15" t="s">
        <v>16</v>
      </c>
      <c r="F3884" s="17">
        <v>79000</v>
      </c>
      <c r="G3884" s="17">
        <v>54000</v>
      </c>
      <c r="H3884" s="16" t="s">
        <v>4878</v>
      </c>
      <c r="I3884" s="40" t="s">
        <v>18</v>
      </c>
      <c r="J3884" s="40" t="str">
        <f>HYPERLINK("https://stock.pstatic.net/stock-research/company/56/20260413_company_630448000.pdf","PDF")</f>
        <v>PDF</v>
      </c>
      <c r="K3884" s="15" t="s">
        <v>4879</v>
      </c>
      <c r="L3884" s="20">
        <v>0.46296296296296302</v>
      </c>
    </row>
    <row r="3885" spans="1:12" x14ac:dyDescent="0.45">
      <c r="A3885" s="15" t="s">
        <v>4772</v>
      </c>
      <c r="B3885" s="15" t="s">
        <v>2795</v>
      </c>
      <c r="C3885" s="16" t="s">
        <v>2796</v>
      </c>
      <c r="D3885" s="16" t="s">
        <v>15</v>
      </c>
      <c r="E3885" s="15" t="s">
        <v>16</v>
      </c>
      <c r="F3885" s="17">
        <v>7400</v>
      </c>
      <c r="G3885" s="17">
        <v>5360</v>
      </c>
      <c r="H3885" s="16" t="s">
        <v>4880</v>
      </c>
      <c r="I3885" s="40" t="s">
        <v>18</v>
      </c>
      <c r="J3885" s="40" t="str">
        <f>HYPERLINK("https://stock.pstatic.net/stock-research/company/56/20260413_company_412549000.pdf","PDF")</f>
        <v>PDF</v>
      </c>
      <c r="K3885" s="15" t="s">
        <v>4881</v>
      </c>
      <c r="L3885" s="20">
        <v>0.38059701492537312</v>
      </c>
    </row>
    <row r="3886" spans="1:12" x14ac:dyDescent="0.45">
      <c r="A3886" s="15" t="s">
        <v>4772</v>
      </c>
      <c r="B3886" s="15" t="s">
        <v>4882</v>
      </c>
      <c r="C3886" s="16" t="s">
        <v>4883</v>
      </c>
      <c r="D3886" s="16" t="s">
        <v>124</v>
      </c>
      <c r="E3886" s="15" t="s">
        <v>50</v>
      </c>
      <c r="F3886" s="16"/>
      <c r="G3886" s="17">
        <v>18200</v>
      </c>
      <c r="H3886" s="16" t="s">
        <v>4884</v>
      </c>
      <c r="I3886" s="40" t="s">
        <v>18</v>
      </c>
      <c r="J3886" s="40" t="str">
        <f>HYPERLINK("https://stock.pstatic.net/stock-research/company/74/20260413_company_921981000.pdf","PDF")</f>
        <v>PDF</v>
      </c>
      <c r="K3886" s="15" t="s">
        <v>4885</v>
      </c>
    </row>
    <row r="3887" spans="1:12" x14ac:dyDescent="0.45">
      <c r="A3887" s="15" t="s">
        <v>4772</v>
      </c>
      <c r="B3887" s="15" t="s">
        <v>3978</v>
      </c>
      <c r="C3887" s="16" t="s">
        <v>3979</v>
      </c>
      <c r="D3887" s="16" t="s">
        <v>124</v>
      </c>
      <c r="E3887" s="15" t="s">
        <v>50</v>
      </c>
      <c r="F3887" s="16"/>
      <c r="G3887" s="17">
        <v>42250</v>
      </c>
      <c r="H3887" s="16" t="s">
        <v>4886</v>
      </c>
      <c r="I3887" s="40" t="s">
        <v>18</v>
      </c>
      <c r="J3887" s="40" t="str">
        <f>HYPERLINK("https://stock.pstatic.net/stock-research/company/74/20260413_company_873898000.pdf","PDF")</f>
        <v>PDF</v>
      </c>
      <c r="K3887" s="15" t="s">
        <v>4887</v>
      </c>
    </row>
    <row r="3888" spans="1:12" x14ac:dyDescent="0.45">
      <c r="A3888" s="15" t="s">
        <v>4772</v>
      </c>
      <c r="B3888" s="15" t="s">
        <v>4888</v>
      </c>
      <c r="C3888" s="16" t="s">
        <v>4889</v>
      </c>
      <c r="D3888" s="16" t="s">
        <v>124</v>
      </c>
      <c r="E3888" s="15" t="s">
        <v>50</v>
      </c>
      <c r="F3888" s="16"/>
      <c r="G3888" s="17">
        <v>2375</v>
      </c>
      <c r="H3888" s="16" t="s">
        <v>4890</v>
      </c>
      <c r="I3888" s="40" t="s">
        <v>18</v>
      </c>
      <c r="J3888" s="40" t="str">
        <f>HYPERLINK("https://stock.pstatic.net/stock-research/company/74/20260413_company_2355000.pdf","PDF")</f>
        <v>PDF</v>
      </c>
      <c r="K3888" s="15" t="s">
        <v>4891</v>
      </c>
    </row>
    <row r="3889" spans="1:12" x14ac:dyDescent="0.45">
      <c r="A3889" s="15" t="s">
        <v>4772</v>
      </c>
      <c r="B3889" s="15" t="s">
        <v>4892</v>
      </c>
      <c r="C3889" s="16" t="s">
        <v>4893</v>
      </c>
      <c r="D3889" s="16" t="s">
        <v>124</v>
      </c>
      <c r="E3889" s="15" t="s">
        <v>50</v>
      </c>
      <c r="F3889" s="16"/>
      <c r="G3889" s="17">
        <v>25750</v>
      </c>
      <c r="H3889" s="16" t="s">
        <v>4894</v>
      </c>
      <c r="I3889" s="40" t="s">
        <v>18</v>
      </c>
      <c r="J3889" s="40" t="str">
        <f>HYPERLINK("https://stock.pstatic.net/stock-research/company/74/20260413_company_317423000.pdf","PDF")</f>
        <v>PDF</v>
      </c>
      <c r="K3889" s="15" t="s">
        <v>4895</v>
      </c>
    </row>
    <row r="3890" spans="1:12" x14ac:dyDescent="0.45">
      <c r="A3890" s="15" t="s">
        <v>4772</v>
      </c>
      <c r="B3890" s="15" t="s">
        <v>4896</v>
      </c>
      <c r="C3890" s="16" t="s">
        <v>4897</v>
      </c>
      <c r="D3890" s="16" t="s">
        <v>124</v>
      </c>
      <c r="E3890" s="15" t="s">
        <v>50</v>
      </c>
      <c r="F3890" s="16"/>
      <c r="G3890" s="17">
        <v>3405</v>
      </c>
      <c r="H3890" s="16" t="s">
        <v>4898</v>
      </c>
      <c r="I3890" s="40" t="s">
        <v>18</v>
      </c>
      <c r="J3890" s="40" t="str">
        <f>HYPERLINK("https://stock.pstatic.net/stock-research/company/74/20260413_company_308388000.pdf","PDF")</f>
        <v>PDF</v>
      </c>
      <c r="K3890" s="15" t="s">
        <v>4899</v>
      </c>
    </row>
    <row r="3891" spans="1:12" x14ac:dyDescent="0.45">
      <c r="A3891" s="15" t="s">
        <v>4772</v>
      </c>
      <c r="B3891" s="15" t="s">
        <v>442</v>
      </c>
      <c r="C3891" s="16" t="s">
        <v>443</v>
      </c>
      <c r="D3891" s="16" t="s">
        <v>124</v>
      </c>
      <c r="E3891" s="15" t="s">
        <v>50</v>
      </c>
      <c r="F3891" s="16"/>
      <c r="G3891" s="17">
        <v>15450</v>
      </c>
      <c r="H3891" s="16" t="s">
        <v>4900</v>
      </c>
      <c r="I3891" s="40" t="s">
        <v>18</v>
      </c>
      <c r="J3891" s="40" t="str">
        <f>HYPERLINK("https://stock.pstatic.net/stock-research/company/74/20260413_company_836860000.pdf","PDF")</f>
        <v>PDF</v>
      </c>
      <c r="K3891" s="15" t="s">
        <v>4901</v>
      </c>
    </row>
    <row r="3892" spans="1:12" x14ac:dyDescent="0.45">
      <c r="A3892" s="15" t="s">
        <v>4772</v>
      </c>
      <c r="B3892" s="15" t="s">
        <v>1227</v>
      </c>
      <c r="C3892" s="16" t="s">
        <v>1228</v>
      </c>
      <c r="D3892" s="16" t="s">
        <v>124</v>
      </c>
      <c r="E3892" s="15" t="s">
        <v>50</v>
      </c>
      <c r="F3892" s="16"/>
      <c r="G3892" s="17">
        <v>3740</v>
      </c>
      <c r="H3892" s="16" t="s">
        <v>4902</v>
      </c>
      <c r="I3892" s="40" t="s">
        <v>18</v>
      </c>
      <c r="J3892" s="40" t="str">
        <f>HYPERLINK("https://stock.pstatic.net/stock-research/company/74/20260413_company_310638000.pdf","PDF")</f>
        <v>PDF</v>
      </c>
      <c r="K3892" s="15" t="s">
        <v>4903</v>
      </c>
    </row>
    <row r="3893" spans="1:12" x14ac:dyDescent="0.45">
      <c r="A3893" s="15" t="s">
        <v>4772</v>
      </c>
      <c r="B3893" s="15" t="s">
        <v>4904</v>
      </c>
      <c r="C3893" s="16" t="s">
        <v>4905</v>
      </c>
      <c r="D3893" s="16" t="s">
        <v>124</v>
      </c>
      <c r="E3893" s="15" t="s">
        <v>50</v>
      </c>
      <c r="F3893" s="16"/>
      <c r="G3893" s="17">
        <v>6830</v>
      </c>
      <c r="H3893" s="16" t="s">
        <v>4906</v>
      </c>
      <c r="I3893" s="40" t="s">
        <v>18</v>
      </c>
      <c r="J3893" s="40" t="str">
        <f>HYPERLINK("https://stock.pstatic.net/stock-research/company/74/20260413_company_570105000.pdf","PDF")</f>
        <v>PDF</v>
      </c>
      <c r="K3893" s="15" t="s">
        <v>4907</v>
      </c>
    </row>
    <row r="3894" spans="1:12" x14ac:dyDescent="0.45">
      <c r="A3894" s="15" t="s">
        <v>4772</v>
      </c>
      <c r="B3894" s="15" t="s">
        <v>3399</v>
      </c>
      <c r="C3894" s="16" t="s">
        <v>3400</v>
      </c>
      <c r="D3894" s="16" t="s">
        <v>124</v>
      </c>
      <c r="E3894" s="15" t="s">
        <v>50</v>
      </c>
      <c r="F3894" s="16"/>
      <c r="G3894" s="17">
        <v>18350</v>
      </c>
      <c r="H3894" s="16" t="s">
        <v>4908</v>
      </c>
      <c r="I3894" s="40" t="s">
        <v>18</v>
      </c>
      <c r="J3894" s="40" t="str">
        <f>HYPERLINK("https://stock.pstatic.net/stock-research/company/74/20260413_company_108376000.pdf","PDF")</f>
        <v>PDF</v>
      </c>
      <c r="K3894" s="15" t="s">
        <v>4909</v>
      </c>
    </row>
    <row r="3895" spans="1:12" x14ac:dyDescent="0.45">
      <c r="A3895" s="15" t="s">
        <v>4772</v>
      </c>
      <c r="B3895" s="15" t="s">
        <v>4910</v>
      </c>
      <c r="C3895" s="16" t="s">
        <v>4911</v>
      </c>
      <c r="D3895" s="16" t="s">
        <v>124</v>
      </c>
      <c r="E3895" s="15" t="s">
        <v>50</v>
      </c>
      <c r="F3895" s="16"/>
      <c r="G3895" s="17">
        <v>6730</v>
      </c>
      <c r="H3895" s="16" t="s">
        <v>4912</v>
      </c>
      <c r="I3895" s="40" t="s">
        <v>18</v>
      </c>
      <c r="J3895" s="40" t="str">
        <f>HYPERLINK("https://stock.pstatic.net/stock-research/company/74/20260413_company_163984000.pdf","PDF")</f>
        <v>PDF</v>
      </c>
      <c r="K3895" s="15" t="s">
        <v>4913</v>
      </c>
    </row>
    <row r="3896" spans="1:12" x14ac:dyDescent="0.45">
      <c r="A3896" s="15" t="s">
        <v>4772</v>
      </c>
      <c r="B3896" s="15" t="s">
        <v>4914</v>
      </c>
      <c r="C3896" s="16" t="s">
        <v>4915</v>
      </c>
      <c r="D3896" s="16" t="s">
        <v>124</v>
      </c>
      <c r="E3896" s="15" t="s">
        <v>50</v>
      </c>
      <c r="F3896" s="16"/>
      <c r="G3896" s="17">
        <v>4105</v>
      </c>
      <c r="H3896" s="16" t="s">
        <v>4916</v>
      </c>
      <c r="I3896" s="40" t="s">
        <v>18</v>
      </c>
      <c r="J3896" s="40" t="str">
        <f>HYPERLINK("https://stock.pstatic.net/stock-research/company/74/20260413_company_535923000.pdf","PDF")</f>
        <v>PDF</v>
      </c>
      <c r="K3896" s="15" t="s">
        <v>4917</v>
      </c>
    </row>
    <row r="3897" spans="1:12" x14ac:dyDescent="0.45">
      <c r="A3897" s="15" t="s">
        <v>4918</v>
      </c>
      <c r="B3897" s="15" t="s">
        <v>1765</v>
      </c>
      <c r="C3897" s="16" t="s">
        <v>1766</v>
      </c>
      <c r="D3897" s="16" t="s">
        <v>57</v>
      </c>
      <c r="E3897" s="15" t="s">
        <v>35</v>
      </c>
      <c r="F3897" s="17">
        <v>245000</v>
      </c>
      <c r="G3897" s="17">
        <v>150500</v>
      </c>
      <c r="H3897" s="16" t="s">
        <v>4919</v>
      </c>
      <c r="I3897" s="40" t="s">
        <v>18</v>
      </c>
      <c r="J3897" s="40" t="str">
        <f>HYPERLINK("https://stock.pstatic.net/stock-research/company/16/20260410_company_396337000.pdf","PDF")</f>
        <v>PDF</v>
      </c>
      <c r="K3897" s="15" t="s">
        <v>4920</v>
      </c>
      <c r="L3897" s="20">
        <v>0.62790697674418605</v>
      </c>
    </row>
    <row r="3898" spans="1:12" x14ac:dyDescent="0.45">
      <c r="A3898" s="15" t="s">
        <v>4918</v>
      </c>
      <c r="B3898" s="15" t="s">
        <v>4921</v>
      </c>
      <c r="C3898" s="16" t="s">
        <v>4922</v>
      </c>
      <c r="D3898" s="16" t="s">
        <v>57</v>
      </c>
      <c r="E3898" s="15" t="s">
        <v>35</v>
      </c>
      <c r="F3898" s="17">
        <v>46000</v>
      </c>
      <c r="G3898" s="17">
        <v>30700</v>
      </c>
      <c r="H3898" s="16" t="s">
        <v>4923</v>
      </c>
      <c r="I3898" s="40" t="s">
        <v>18</v>
      </c>
      <c r="J3898" s="40" t="str">
        <f>HYPERLINK("https://stock.pstatic.net/stock-research/company/16/20260410_company_558061000.pdf","PDF")</f>
        <v>PDF</v>
      </c>
      <c r="K3898" s="15" t="s">
        <v>4924</v>
      </c>
      <c r="L3898" s="20">
        <v>0.49837133550488599</v>
      </c>
    </row>
    <row r="3899" spans="1:12" x14ac:dyDescent="0.45">
      <c r="A3899" s="15" t="s">
        <v>4918</v>
      </c>
      <c r="B3899" s="15" t="s">
        <v>3105</v>
      </c>
      <c r="C3899" s="16" t="s">
        <v>3106</v>
      </c>
      <c r="D3899" s="16" t="s">
        <v>57</v>
      </c>
      <c r="E3899" s="15" t="s">
        <v>35</v>
      </c>
      <c r="F3899" s="17">
        <v>380000</v>
      </c>
      <c r="G3899" s="17">
        <v>255500</v>
      </c>
      <c r="H3899" s="16" t="s">
        <v>4925</v>
      </c>
      <c r="I3899" s="40" t="s">
        <v>18</v>
      </c>
      <c r="J3899" s="40" t="str">
        <f>HYPERLINK("https://stock.pstatic.net/stock-research/company/16/20260410_company_86965000.pdf","PDF")</f>
        <v>PDF</v>
      </c>
      <c r="K3899" s="15" t="s">
        <v>4926</v>
      </c>
      <c r="L3899" s="20">
        <v>0.48727984344422698</v>
      </c>
    </row>
    <row r="3900" spans="1:12" x14ac:dyDescent="0.45">
      <c r="A3900" s="15" t="s">
        <v>4918</v>
      </c>
      <c r="B3900" s="15" t="s">
        <v>4927</v>
      </c>
      <c r="C3900" s="16" t="s">
        <v>4928</v>
      </c>
      <c r="D3900" s="16" t="s">
        <v>57</v>
      </c>
      <c r="E3900" s="15" t="s">
        <v>50</v>
      </c>
      <c r="F3900" s="16"/>
      <c r="G3900" s="17">
        <v>150900</v>
      </c>
      <c r="H3900" s="16" t="s">
        <v>4929</v>
      </c>
      <c r="I3900" s="40" t="s">
        <v>18</v>
      </c>
      <c r="J3900" s="40" t="str">
        <f>HYPERLINK("https://stock.pstatic.net/stock-research/company/16/20260410_company_600235000.pdf","PDF")</f>
        <v>PDF</v>
      </c>
      <c r="K3900" s="15" t="s">
        <v>4930</v>
      </c>
    </row>
    <row r="3901" spans="1:12" x14ac:dyDescent="0.45">
      <c r="A3901" s="15" t="s">
        <v>4918</v>
      </c>
      <c r="B3901" s="15" t="s">
        <v>1765</v>
      </c>
      <c r="C3901" s="16" t="s">
        <v>1766</v>
      </c>
      <c r="D3901" s="16" t="s">
        <v>276</v>
      </c>
      <c r="E3901" s="15" t="s">
        <v>16</v>
      </c>
      <c r="F3901" s="17">
        <v>210000</v>
      </c>
      <c r="G3901" s="17">
        <v>150500</v>
      </c>
      <c r="H3901" s="16" t="s">
        <v>4931</v>
      </c>
      <c r="I3901" s="40" t="s">
        <v>18</v>
      </c>
      <c r="J3901" s="40" t="str">
        <f>HYPERLINK("https://stock.pstatic.net/stock-research/company/66/20260410_company_496107000.pdf","PDF")</f>
        <v>PDF</v>
      </c>
      <c r="K3901" s="15" t="s">
        <v>4932</v>
      </c>
      <c r="L3901" s="20">
        <v>0.39534883720930231</v>
      </c>
    </row>
    <row r="3902" spans="1:12" x14ac:dyDescent="0.45">
      <c r="A3902" s="15" t="s">
        <v>4918</v>
      </c>
      <c r="B3902" s="15" t="s">
        <v>3296</v>
      </c>
      <c r="C3902" s="16" t="s">
        <v>3297</v>
      </c>
      <c r="D3902" s="16" t="s">
        <v>276</v>
      </c>
      <c r="E3902" s="15" t="s">
        <v>16</v>
      </c>
      <c r="F3902" s="17">
        <v>61000</v>
      </c>
      <c r="G3902" s="17">
        <v>48050</v>
      </c>
      <c r="H3902" s="16" t="s">
        <v>4933</v>
      </c>
      <c r="I3902" s="40" t="s">
        <v>18</v>
      </c>
      <c r="J3902" s="40" t="str">
        <f>HYPERLINK("https://stock.pstatic.net/stock-research/company/66/20260410_company_985736000.pdf","PDF")</f>
        <v>PDF</v>
      </c>
      <c r="K3902" s="15" t="s">
        <v>4934</v>
      </c>
      <c r="L3902" s="20">
        <v>0.26951092611862643</v>
      </c>
    </row>
    <row r="3903" spans="1:12" x14ac:dyDescent="0.45">
      <c r="A3903" s="15" t="s">
        <v>4918</v>
      </c>
      <c r="B3903" s="15" t="s">
        <v>1765</v>
      </c>
      <c r="C3903" s="16" t="s">
        <v>1766</v>
      </c>
      <c r="D3903" s="16" t="s">
        <v>60</v>
      </c>
      <c r="E3903" s="15" t="s">
        <v>50</v>
      </c>
      <c r="F3903" s="16"/>
      <c r="G3903" s="17">
        <v>150500</v>
      </c>
      <c r="H3903" s="16" t="s">
        <v>4935</v>
      </c>
      <c r="I3903" s="40" t="s">
        <v>18</v>
      </c>
      <c r="J3903" s="40" t="str">
        <f>HYPERLINK("https://stock.pstatic.net/stock-research/company/62/20260410_company_43848000.pdf","PDF")</f>
        <v>PDF</v>
      </c>
      <c r="K3903" s="15" t="s">
        <v>4936</v>
      </c>
    </row>
    <row r="3904" spans="1:12" x14ac:dyDescent="0.45">
      <c r="A3904" s="15" t="s">
        <v>4918</v>
      </c>
      <c r="B3904" s="15" t="s">
        <v>1765</v>
      </c>
      <c r="C3904" s="16" t="s">
        <v>1766</v>
      </c>
      <c r="D3904" s="16" t="s">
        <v>65</v>
      </c>
      <c r="E3904" s="15" t="s">
        <v>35</v>
      </c>
      <c r="F3904" s="17">
        <v>210000</v>
      </c>
      <c r="G3904" s="17">
        <v>150500</v>
      </c>
      <c r="H3904" s="16" t="s">
        <v>4937</v>
      </c>
      <c r="I3904" s="40" t="s">
        <v>18</v>
      </c>
      <c r="J3904" s="40" t="str">
        <f>HYPERLINK("https://stock.pstatic.net/stock-research/company/57/20260410_company_274104000.pdf","PDF")</f>
        <v>PDF</v>
      </c>
      <c r="K3904" s="15" t="s">
        <v>4938</v>
      </c>
      <c r="L3904" s="20">
        <v>0.39534883720930231</v>
      </c>
    </row>
    <row r="3905" spans="1:12" x14ac:dyDescent="0.45">
      <c r="A3905" s="15" t="s">
        <v>4918</v>
      </c>
      <c r="B3905" s="15" t="s">
        <v>537</v>
      </c>
      <c r="C3905" s="16" t="s">
        <v>538</v>
      </c>
      <c r="D3905" s="16" t="s">
        <v>65</v>
      </c>
      <c r="E3905" s="15" t="s">
        <v>35</v>
      </c>
      <c r="F3905" s="17">
        <v>20000</v>
      </c>
      <c r="G3905" s="17">
        <v>16190</v>
      </c>
      <c r="H3905" s="16" t="s">
        <v>4939</v>
      </c>
      <c r="I3905" s="40" t="s">
        <v>18</v>
      </c>
      <c r="J3905" s="40" t="str">
        <f>HYPERLINK("https://stock.pstatic.net/stock-research/company/57/20260410_company_427316000.pdf","PDF")</f>
        <v>PDF</v>
      </c>
      <c r="K3905" s="15" t="s">
        <v>4940</v>
      </c>
      <c r="L3905" s="20">
        <v>0.23533045089561461</v>
      </c>
    </row>
    <row r="3906" spans="1:12" x14ac:dyDescent="0.45">
      <c r="A3906" s="15" t="s">
        <v>4918</v>
      </c>
      <c r="B3906" s="15" t="s">
        <v>3168</v>
      </c>
      <c r="C3906" s="16" t="s">
        <v>3169</v>
      </c>
      <c r="D3906" s="16" t="s">
        <v>158</v>
      </c>
      <c r="E3906" s="15" t="s">
        <v>35</v>
      </c>
      <c r="F3906" s="17">
        <v>26000</v>
      </c>
      <c r="G3906" s="17">
        <v>16900</v>
      </c>
      <c r="H3906" s="16" t="s">
        <v>4941</v>
      </c>
      <c r="I3906" s="40" t="s">
        <v>18</v>
      </c>
      <c r="J3906" s="40" t="str">
        <f>HYPERLINK("https://stock.pstatic.net/stock-research/company/18/20260410_company_10744000.pdf","PDF")</f>
        <v>PDF</v>
      </c>
      <c r="K3906" s="15" t="s">
        <v>4942</v>
      </c>
      <c r="L3906" s="20">
        <v>0.53846153846153844</v>
      </c>
    </row>
    <row r="3907" spans="1:12" x14ac:dyDescent="0.45">
      <c r="A3907" s="15" t="s">
        <v>4918</v>
      </c>
      <c r="B3907" s="15" t="s">
        <v>2982</v>
      </c>
      <c r="C3907" s="16" t="s">
        <v>2983</v>
      </c>
      <c r="D3907" s="16" t="s">
        <v>15</v>
      </c>
      <c r="E3907" s="15" t="s">
        <v>16</v>
      </c>
      <c r="F3907" s="17">
        <v>128000</v>
      </c>
      <c r="G3907" s="17">
        <v>94300</v>
      </c>
      <c r="H3907" s="16" t="s">
        <v>4943</v>
      </c>
      <c r="I3907" s="40" t="s">
        <v>18</v>
      </c>
      <c r="J3907" s="40" t="str">
        <f>HYPERLINK("https://stock.pstatic.net/stock-research/company/56/20260410_company_179513000.pdf","PDF")</f>
        <v>PDF</v>
      </c>
      <c r="K3907" s="15" t="s">
        <v>4944</v>
      </c>
      <c r="L3907" s="20">
        <v>0.35737009544008491</v>
      </c>
    </row>
    <row r="3908" spans="1:12" x14ac:dyDescent="0.45">
      <c r="A3908" s="15" t="s">
        <v>4918</v>
      </c>
      <c r="B3908" s="15" t="s">
        <v>102</v>
      </c>
      <c r="C3908" s="16" t="s">
        <v>103</v>
      </c>
      <c r="D3908" s="16" t="s">
        <v>92</v>
      </c>
      <c r="E3908" s="15" t="s">
        <v>35</v>
      </c>
      <c r="F3908" s="17">
        <v>27000</v>
      </c>
      <c r="G3908" s="17">
        <v>21750</v>
      </c>
      <c r="H3908" s="16" t="s">
        <v>4945</v>
      </c>
      <c r="I3908" s="40" t="s">
        <v>18</v>
      </c>
      <c r="J3908" s="40" t="str">
        <f>HYPERLINK("https://stock.pstatic.net/stock-research/company/63/20260410_company_465831000.pdf","PDF")</f>
        <v>PDF</v>
      </c>
      <c r="K3908" s="15" t="s">
        <v>4946</v>
      </c>
      <c r="L3908" s="20">
        <v>0.2413793103448276</v>
      </c>
    </row>
    <row r="3909" spans="1:12" x14ac:dyDescent="0.45">
      <c r="A3909" s="15" t="s">
        <v>4918</v>
      </c>
      <c r="B3909" s="15" t="s">
        <v>2956</v>
      </c>
      <c r="C3909" s="16" t="s">
        <v>2957</v>
      </c>
      <c r="D3909" s="16" t="s">
        <v>15</v>
      </c>
      <c r="E3909" s="15" t="s">
        <v>16</v>
      </c>
      <c r="F3909" s="17">
        <v>49000</v>
      </c>
      <c r="G3909" s="17">
        <v>35550</v>
      </c>
      <c r="H3909" s="16" t="s">
        <v>4947</v>
      </c>
      <c r="I3909" s="40" t="s">
        <v>18</v>
      </c>
      <c r="J3909" s="40" t="str">
        <f>HYPERLINK("https://stock.pstatic.net/stock-research/company/56/20260410_company_602438000.pdf","PDF")</f>
        <v>PDF</v>
      </c>
      <c r="K3909" s="15" t="s">
        <v>4948</v>
      </c>
      <c r="L3909" s="20">
        <v>0.37834036568213791</v>
      </c>
    </row>
    <row r="3910" spans="1:12" x14ac:dyDescent="0.45">
      <c r="A3910" s="15" t="s">
        <v>4918</v>
      </c>
      <c r="B3910" s="15" t="s">
        <v>1765</v>
      </c>
      <c r="C3910" s="16" t="s">
        <v>1766</v>
      </c>
      <c r="D3910" s="16" t="s">
        <v>83</v>
      </c>
      <c r="E3910" s="15" t="s">
        <v>35</v>
      </c>
      <c r="F3910" s="17">
        <v>240000</v>
      </c>
      <c r="G3910" s="17">
        <v>150500</v>
      </c>
      <c r="H3910" s="16" t="s">
        <v>4949</v>
      </c>
      <c r="I3910" s="40" t="s">
        <v>18</v>
      </c>
      <c r="J3910" s="40" t="str">
        <f>HYPERLINK("https://stock.pstatic.net/stock-research/company/15/20260410_company_832858000.pdf","PDF")</f>
        <v>PDF</v>
      </c>
      <c r="K3910" s="15" t="s">
        <v>4950</v>
      </c>
      <c r="L3910" s="20">
        <v>0.59468438538205981</v>
      </c>
    </row>
    <row r="3911" spans="1:12" x14ac:dyDescent="0.45">
      <c r="A3911" s="15" t="s">
        <v>4918</v>
      </c>
      <c r="B3911" s="15" t="s">
        <v>537</v>
      </c>
      <c r="C3911" s="16" t="s">
        <v>538</v>
      </c>
      <c r="D3911" s="16" t="s">
        <v>92</v>
      </c>
      <c r="E3911" s="15" t="s">
        <v>35</v>
      </c>
      <c r="F3911" s="17">
        <v>19000</v>
      </c>
      <c r="G3911" s="17">
        <v>16190</v>
      </c>
      <c r="H3911" s="16" t="s">
        <v>4951</v>
      </c>
      <c r="I3911" s="40" t="s">
        <v>18</v>
      </c>
      <c r="J3911" s="40" t="str">
        <f>HYPERLINK("https://stock.pstatic.net/stock-research/company/63/20260410_company_149903000.pdf","PDF")</f>
        <v>PDF</v>
      </c>
      <c r="K3911" s="15" t="s">
        <v>4952</v>
      </c>
      <c r="L3911" s="20">
        <v>0.17356392835083381</v>
      </c>
    </row>
    <row r="3912" spans="1:12" x14ac:dyDescent="0.45">
      <c r="A3912" s="15" t="s">
        <v>4918</v>
      </c>
      <c r="B3912" s="15" t="s">
        <v>3230</v>
      </c>
      <c r="C3912" s="16" t="s">
        <v>3231</v>
      </c>
      <c r="D3912" s="16" t="s">
        <v>179</v>
      </c>
      <c r="E3912" s="15" t="s">
        <v>16</v>
      </c>
      <c r="F3912" s="17">
        <v>3600000</v>
      </c>
      <c r="G3912" s="17">
        <v>2882000</v>
      </c>
      <c r="H3912" s="16" t="s">
        <v>4953</v>
      </c>
      <c r="I3912" s="40" t="s">
        <v>18</v>
      </c>
      <c r="J3912" s="40" t="str">
        <f>HYPERLINK("https://stock.pstatic.net/stock-research/company/64/20260410_company_676482000.pdf","PDF")</f>
        <v>PDF</v>
      </c>
      <c r="K3912" s="15" t="s">
        <v>4954</v>
      </c>
      <c r="L3912" s="20">
        <v>0.24913254684247049</v>
      </c>
    </row>
    <row r="3913" spans="1:12" x14ac:dyDescent="0.45">
      <c r="A3913" s="15" t="s">
        <v>4918</v>
      </c>
      <c r="B3913" s="15" t="s">
        <v>768</v>
      </c>
      <c r="C3913" s="16" t="s">
        <v>769</v>
      </c>
      <c r="D3913" s="16" t="s">
        <v>179</v>
      </c>
      <c r="E3913" s="15" t="s">
        <v>16</v>
      </c>
      <c r="F3913" s="17">
        <v>240000</v>
      </c>
      <c r="G3913" s="17">
        <v>185800</v>
      </c>
      <c r="H3913" s="16" t="s">
        <v>4955</v>
      </c>
      <c r="I3913" s="40" t="s">
        <v>18</v>
      </c>
      <c r="J3913" s="40" t="str">
        <f>HYPERLINK("https://stock.pstatic.net/stock-research/company/64/20260410_company_729306000.pdf","PDF")</f>
        <v>PDF</v>
      </c>
      <c r="K3913" s="15" t="s">
        <v>4956</v>
      </c>
      <c r="L3913" s="20">
        <v>0.29171151776103338</v>
      </c>
    </row>
    <row r="3914" spans="1:12" x14ac:dyDescent="0.45">
      <c r="A3914" s="15" t="s">
        <v>4918</v>
      </c>
      <c r="B3914" s="15" t="s">
        <v>691</v>
      </c>
      <c r="C3914" s="16" t="s">
        <v>20</v>
      </c>
      <c r="D3914" s="16" t="s">
        <v>92</v>
      </c>
      <c r="E3914" s="15" t="s">
        <v>35</v>
      </c>
      <c r="F3914" s="17">
        <v>280000</v>
      </c>
      <c r="G3914" s="17">
        <v>201500</v>
      </c>
      <c r="H3914" s="16" t="s">
        <v>4957</v>
      </c>
      <c r="I3914" s="40" t="s">
        <v>18</v>
      </c>
      <c r="J3914" s="40" t="str">
        <f>HYPERLINK("https://stock.pstatic.net/stock-research/company/63/20260410_company_819481000.pdf","PDF")</f>
        <v>PDF</v>
      </c>
      <c r="K3914" s="15" t="s">
        <v>4958</v>
      </c>
      <c r="L3914" s="20">
        <v>0.38957816377171223</v>
      </c>
    </row>
    <row r="3915" spans="1:12" x14ac:dyDescent="0.45">
      <c r="A3915" s="15" t="s">
        <v>4918</v>
      </c>
      <c r="B3915" s="15" t="s">
        <v>3296</v>
      </c>
      <c r="C3915" s="16" t="s">
        <v>3297</v>
      </c>
      <c r="D3915" s="16" t="s">
        <v>34</v>
      </c>
      <c r="E3915" s="15" t="s">
        <v>35</v>
      </c>
      <c r="F3915" s="17">
        <v>70000</v>
      </c>
      <c r="G3915" s="17">
        <v>48050</v>
      </c>
      <c r="H3915" s="16" t="s">
        <v>4959</v>
      </c>
      <c r="I3915" s="40" t="s">
        <v>18</v>
      </c>
      <c r="J3915" s="40" t="str">
        <f>HYPERLINK("https://stock.pstatic.net/stock-research/company/61/20260410_company_54708000.pdf","PDF")</f>
        <v>PDF</v>
      </c>
      <c r="K3915" s="15" t="s">
        <v>4960</v>
      </c>
      <c r="L3915" s="20">
        <v>0.45681581685744022</v>
      </c>
    </row>
    <row r="3916" spans="1:12" x14ac:dyDescent="0.45">
      <c r="A3916" s="15" t="s">
        <v>4918</v>
      </c>
      <c r="B3916" s="15" t="s">
        <v>170</v>
      </c>
      <c r="C3916" s="16" t="s">
        <v>171</v>
      </c>
      <c r="D3916" s="16" t="s">
        <v>179</v>
      </c>
      <c r="E3916" s="15" t="s">
        <v>16</v>
      </c>
      <c r="F3916" s="17">
        <v>90000</v>
      </c>
      <c r="G3916" s="17">
        <v>64500</v>
      </c>
      <c r="H3916" s="16" t="s">
        <v>4961</v>
      </c>
      <c r="I3916" s="40" t="s">
        <v>18</v>
      </c>
      <c r="J3916" s="40" t="str">
        <f>HYPERLINK("https://stock.pstatic.net/stock-research/company/64/20260410_company_218070000.pdf","PDF")</f>
        <v>PDF</v>
      </c>
      <c r="K3916" s="15" t="s">
        <v>4962</v>
      </c>
      <c r="L3916" s="20">
        <v>0.39534883720930231</v>
      </c>
    </row>
    <row r="3917" spans="1:12" x14ac:dyDescent="0.45">
      <c r="A3917" s="15" t="s">
        <v>4918</v>
      </c>
      <c r="B3917" s="15" t="s">
        <v>2425</v>
      </c>
      <c r="C3917" s="16" t="s">
        <v>2426</v>
      </c>
      <c r="D3917" s="16" t="s">
        <v>23</v>
      </c>
      <c r="E3917" s="15" t="s">
        <v>16</v>
      </c>
      <c r="F3917" s="17">
        <v>200000</v>
      </c>
      <c r="G3917" s="17">
        <v>163200</v>
      </c>
      <c r="H3917" s="16" t="s">
        <v>4963</v>
      </c>
      <c r="I3917" s="40" t="s">
        <v>18</v>
      </c>
      <c r="J3917" s="40" t="str">
        <f>HYPERLINK("https://stock.pstatic.net/stock-research/company/21/20260410_company_694701000.pdf","PDF")</f>
        <v>PDF</v>
      </c>
      <c r="K3917" s="15" t="s">
        <v>4964</v>
      </c>
      <c r="L3917" s="20">
        <v>0.2254901960784314</v>
      </c>
    </row>
    <row r="3918" spans="1:12" x14ac:dyDescent="0.45">
      <c r="A3918" s="15" t="s">
        <v>4918</v>
      </c>
      <c r="B3918" s="15" t="s">
        <v>495</v>
      </c>
      <c r="C3918" s="16" t="s">
        <v>496</v>
      </c>
      <c r="D3918" s="16" t="s">
        <v>23</v>
      </c>
      <c r="E3918" s="15" t="s">
        <v>16</v>
      </c>
      <c r="F3918" s="17">
        <v>500000</v>
      </c>
      <c r="G3918" s="17">
        <v>365500</v>
      </c>
      <c r="H3918" s="16" t="s">
        <v>4965</v>
      </c>
      <c r="I3918" s="40" t="s">
        <v>18</v>
      </c>
      <c r="J3918" s="40" t="str">
        <f>HYPERLINK("https://stock.pstatic.net/stock-research/company/21/20260410_company_835717000.pdf","PDF")</f>
        <v>PDF</v>
      </c>
      <c r="K3918" s="15" t="s">
        <v>4966</v>
      </c>
      <c r="L3918" s="20">
        <v>0.36798905608755128</v>
      </c>
    </row>
    <row r="3919" spans="1:12" x14ac:dyDescent="0.45">
      <c r="A3919" s="15" t="s">
        <v>4918</v>
      </c>
      <c r="B3919" s="15" t="s">
        <v>1765</v>
      </c>
      <c r="C3919" s="16" t="s">
        <v>1766</v>
      </c>
      <c r="D3919" s="16" t="s">
        <v>23</v>
      </c>
      <c r="E3919" s="15" t="s">
        <v>16</v>
      </c>
      <c r="F3919" s="17">
        <v>220000</v>
      </c>
      <c r="G3919" s="17">
        <v>150500</v>
      </c>
      <c r="H3919" s="16" t="s">
        <v>4967</v>
      </c>
      <c r="I3919" s="40" t="s">
        <v>18</v>
      </c>
      <c r="J3919" s="40" t="str">
        <f>HYPERLINK("https://stock.pstatic.net/stock-research/company/21/20260410_company_242455000.pdf","PDF")</f>
        <v>PDF</v>
      </c>
      <c r="K3919" s="15" t="s">
        <v>4968</v>
      </c>
      <c r="L3919" s="20">
        <v>0.46179401993355479</v>
      </c>
    </row>
    <row r="3920" spans="1:12" x14ac:dyDescent="0.45">
      <c r="A3920" s="15" t="s">
        <v>4918</v>
      </c>
      <c r="B3920" s="15" t="s">
        <v>577</v>
      </c>
      <c r="C3920" s="16" t="s">
        <v>578</v>
      </c>
      <c r="D3920" s="16" t="s">
        <v>23</v>
      </c>
      <c r="E3920" s="15" t="s">
        <v>16</v>
      </c>
      <c r="F3920" s="17">
        <v>570000</v>
      </c>
      <c r="G3920" s="17">
        <v>401500</v>
      </c>
      <c r="H3920" s="16" t="s">
        <v>4969</v>
      </c>
      <c r="I3920" s="40" t="s">
        <v>18</v>
      </c>
      <c r="J3920" s="40" t="str">
        <f>HYPERLINK("https://stock.pstatic.net/stock-research/company/21/20260410_company_870050000.pdf","PDF")</f>
        <v>PDF</v>
      </c>
      <c r="K3920" s="15" t="s">
        <v>4970</v>
      </c>
      <c r="L3920" s="20">
        <v>0.41967621419676221</v>
      </c>
    </row>
    <row r="3921" spans="1:12" x14ac:dyDescent="0.45">
      <c r="A3921" s="15" t="s">
        <v>4918</v>
      </c>
      <c r="B3921" s="15" t="s">
        <v>4971</v>
      </c>
      <c r="C3921" s="16" t="s">
        <v>4972</v>
      </c>
      <c r="D3921" s="16" t="s">
        <v>179</v>
      </c>
      <c r="E3921" s="15" t="s">
        <v>50</v>
      </c>
      <c r="F3921" s="16"/>
      <c r="G3921" s="17">
        <v>14450</v>
      </c>
      <c r="H3921" s="16" t="s">
        <v>4973</v>
      </c>
      <c r="I3921" s="40" t="s">
        <v>18</v>
      </c>
      <c r="J3921" s="40" t="str">
        <f>HYPERLINK("https://stock.pstatic.net/stock-research/company/64/20260410_company_260207000.pdf","PDF")</f>
        <v>PDF</v>
      </c>
      <c r="K3921" s="15" t="s">
        <v>4974</v>
      </c>
    </row>
    <row r="3922" spans="1:12" x14ac:dyDescent="0.45">
      <c r="A3922" s="15" t="s">
        <v>4918</v>
      </c>
      <c r="B3922" s="15" t="s">
        <v>1765</v>
      </c>
      <c r="C3922" s="16" t="s">
        <v>1766</v>
      </c>
      <c r="D3922" s="16" t="s">
        <v>34</v>
      </c>
      <c r="E3922" s="15" t="s">
        <v>35</v>
      </c>
      <c r="F3922" s="17">
        <v>240000</v>
      </c>
      <c r="G3922" s="17">
        <v>150500</v>
      </c>
      <c r="H3922" s="16" t="s">
        <v>4975</v>
      </c>
      <c r="I3922" s="40" t="s">
        <v>18</v>
      </c>
      <c r="J3922" s="40" t="str">
        <f>HYPERLINK("https://stock.pstatic.net/stock-research/company/61/20260410_company_305344000.pdf","PDF")</f>
        <v>PDF</v>
      </c>
      <c r="K3922" s="15" t="s">
        <v>4976</v>
      </c>
      <c r="L3922" s="20">
        <v>0.59468438538205981</v>
      </c>
    </row>
    <row r="3923" spans="1:12" x14ac:dyDescent="0.45">
      <c r="A3923" s="15" t="s">
        <v>4918</v>
      </c>
      <c r="B3923" s="15" t="s">
        <v>4977</v>
      </c>
      <c r="C3923" s="16" t="s">
        <v>4978</v>
      </c>
      <c r="D3923" s="16" t="s">
        <v>179</v>
      </c>
      <c r="E3923" s="15" t="s">
        <v>50</v>
      </c>
      <c r="F3923" s="16"/>
      <c r="G3923" s="17">
        <v>49000</v>
      </c>
      <c r="H3923" s="16" t="s">
        <v>4979</v>
      </c>
      <c r="I3923" s="40" t="s">
        <v>18</v>
      </c>
      <c r="J3923" s="40" t="str">
        <f>HYPERLINK("https://stock.pstatic.net/stock-research/company/64/20260410_company_585112000.pdf","PDF")</f>
        <v>PDF</v>
      </c>
      <c r="K3923" s="15" t="s">
        <v>4980</v>
      </c>
    </row>
    <row r="3924" spans="1:12" x14ac:dyDescent="0.45">
      <c r="A3924" s="15" t="s">
        <v>4918</v>
      </c>
      <c r="B3924" s="15" t="s">
        <v>1666</v>
      </c>
      <c r="C3924" s="16" t="s">
        <v>1667</v>
      </c>
      <c r="D3924" s="16" t="s">
        <v>179</v>
      </c>
      <c r="E3924" s="15" t="s">
        <v>16</v>
      </c>
      <c r="F3924" s="17">
        <v>79000</v>
      </c>
      <c r="G3924" s="17">
        <v>50000</v>
      </c>
      <c r="H3924" s="16" t="s">
        <v>4981</v>
      </c>
      <c r="I3924" s="40" t="s">
        <v>18</v>
      </c>
      <c r="J3924" s="40" t="str">
        <f>HYPERLINK("https://stock.pstatic.net/stock-research/company/64/20260410_company_52918000.pdf","PDF")</f>
        <v>PDF</v>
      </c>
      <c r="K3924" s="15" t="s">
        <v>4982</v>
      </c>
      <c r="L3924" s="20">
        <v>0.57999999999999996</v>
      </c>
    </row>
    <row r="3925" spans="1:12" x14ac:dyDescent="0.45">
      <c r="A3925" s="15" t="s">
        <v>4918</v>
      </c>
      <c r="B3925" s="15" t="s">
        <v>3296</v>
      </c>
      <c r="C3925" s="16" t="s">
        <v>3297</v>
      </c>
      <c r="D3925" s="16" t="s">
        <v>44</v>
      </c>
      <c r="E3925" s="15" t="s">
        <v>35</v>
      </c>
      <c r="F3925" s="17">
        <v>66000</v>
      </c>
      <c r="G3925" s="17">
        <v>48050</v>
      </c>
      <c r="H3925" s="16" t="s">
        <v>4983</v>
      </c>
      <c r="I3925" s="40" t="s">
        <v>18</v>
      </c>
      <c r="J3925" s="40" t="str">
        <f>HYPERLINK("https://stock.pstatic.net/stock-research/company/39/20260410_company_923614000.pdf","PDF")</f>
        <v>PDF</v>
      </c>
      <c r="K3925" s="15" t="s">
        <v>4984</v>
      </c>
      <c r="L3925" s="20">
        <v>0.37356919875130068</v>
      </c>
    </row>
    <row r="3926" spans="1:12" x14ac:dyDescent="0.45">
      <c r="A3926" s="15" t="s">
        <v>4918</v>
      </c>
      <c r="B3926" s="15" t="s">
        <v>541</v>
      </c>
      <c r="C3926" s="16" t="s">
        <v>542</v>
      </c>
      <c r="D3926" s="16" t="s">
        <v>179</v>
      </c>
      <c r="E3926" s="15" t="s">
        <v>16</v>
      </c>
      <c r="F3926" s="17">
        <v>110000</v>
      </c>
      <c r="G3926" s="17">
        <v>93800</v>
      </c>
      <c r="H3926" s="16" t="s">
        <v>4985</v>
      </c>
      <c r="I3926" s="40" t="s">
        <v>18</v>
      </c>
      <c r="J3926" s="40" t="str">
        <f>HYPERLINK("https://stock.pstatic.net/stock-research/company/64/20260410_company_113590000.pdf","PDF")</f>
        <v>PDF</v>
      </c>
      <c r="K3926" s="15" t="s">
        <v>4986</v>
      </c>
      <c r="L3926" s="20">
        <v>0.1727078891257996</v>
      </c>
    </row>
    <row r="3927" spans="1:12" x14ac:dyDescent="0.45">
      <c r="A3927" s="15" t="s">
        <v>4918</v>
      </c>
      <c r="B3927" s="15" t="s">
        <v>3079</v>
      </c>
      <c r="C3927" s="16" t="s">
        <v>3080</v>
      </c>
      <c r="D3927" s="16" t="s">
        <v>44</v>
      </c>
      <c r="E3927" s="15" t="s">
        <v>45</v>
      </c>
      <c r="F3927" s="17">
        <v>77000</v>
      </c>
      <c r="G3927" s="17">
        <v>69500</v>
      </c>
      <c r="H3927" s="16" t="s">
        <v>4987</v>
      </c>
      <c r="I3927" s="40" t="s">
        <v>18</v>
      </c>
      <c r="J3927" s="40" t="str">
        <f>HYPERLINK("https://stock.pstatic.net/stock-research/company/39/20260410_company_492782000.pdf","PDF")</f>
        <v>PDF</v>
      </c>
      <c r="K3927" s="15" t="s">
        <v>4988</v>
      </c>
      <c r="L3927" s="20">
        <v>0.1079136690647482</v>
      </c>
    </row>
    <row r="3928" spans="1:12" x14ac:dyDescent="0.45">
      <c r="A3928" s="15" t="s">
        <v>4918</v>
      </c>
      <c r="B3928" s="15" t="s">
        <v>710</v>
      </c>
      <c r="C3928" s="16" t="s">
        <v>711</v>
      </c>
      <c r="D3928" s="16" t="s">
        <v>124</v>
      </c>
      <c r="E3928" s="15" t="s">
        <v>50</v>
      </c>
      <c r="F3928" s="16"/>
      <c r="G3928" s="16"/>
      <c r="H3928" s="16" t="s">
        <v>4989</v>
      </c>
      <c r="I3928" s="40" t="s">
        <v>18</v>
      </c>
      <c r="J3928" s="40" t="str">
        <f>HYPERLINK("https://stock.pstatic.net/stock-research/company/74/20260410_company_604118000.pdf","PDF")</f>
        <v>PDF</v>
      </c>
      <c r="K3928" s="15" t="s">
        <v>4990</v>
      </c>
    </row>
    <row r="3929" spans="1:12" x14ac:dyDescent="0.45">
      <c r="A3929" s="15" t="s">
        <v>4918</v>
      </c>
      <c r="B3929" s="15" t="s">
        <v>1765</v>
      </c>
      <c r="C3929" s="16" t="s">
        <v>1766</v>
      </c>
      <c r="D3929" s="16" t="s">
        <v>23</v>
      </c>
      <c r="E3929" s="15" t="s">
        <v>16</v>
      </c>
      <c r="F3929" s="17">
        <v>220000</v>
      </c>
      <c r="G3929" s="17">
        <v>150500</v>
      </c>
      <c r="H3929" s="16" t="s">
        <v>4991</v>
      </c>
      <c r="I3929" s="40" t="s">
        <v>18</v>
      </c>
      <c r="J3929" s="40" t="str">
        <f>HYPERLINK("https://stock.pstatic.net/stock-research/company/21/20260410_company_3790000.pdf","PDF")</f>
        <v>PDF</v>
      </c>
      <c r="K3929" s="15" t="s">
        <v>4992</v>
      </c>
      <c r="L3929" s="20">
        <v>0.46179401993355479</v>
      </c>
    </row>
    <row r="3930" spans="1:12" x14ac:dyDescent="0.45">
      <c r="A3930" s="15" t="s">
        <v>4918</v>
      </c>
      <c r="B3930" s="15" t="s">
        <v>1765</v>
      </c>
      <c r="C3930" s="16" t="s">
        <v>1766</v>
      </c>
      <c r="D3930" s="16" t="s">
        <v>23</v>
      </c>
      <c r="E3930" s="15" t="s">
        <v>16</v>
      </c>
      <c r="F3930" s="17">
        <v>220000</v>
      </c>
      <c r="G3930" s="17">
        <v>150500</v>
      </c>
      <c r="H3930" s="16" t="s">
        <v>4993</v>
      </c>
      <c r="I3930" s="40" t="s">
        <v>18</v>
      </c>
      <c r="J3930" s="40" t="str">
        <f>HYPERLINK("https://stock.pstatic.net/stock-research/company/21/20260410_company_692774000.pdf","PDF")</f>
        <v>PDF</v>
      </c>
      <c r="K3930" s="15" t="s">
        <v>4994</v>
      </c>
      <c r="L3930" s="20">
        <v>0.46179401993355479</v>
      </c>
    </row>
    <row r="3931" spans="1:12" x14ac:dyDescent="0.45">
      <c r="A3931" s="15" t="s">
        <v>4918</v>
      </c>
      <c r="B3931" s="15" t="s">
        <v>4995</v>
      </c>
      <c r="C3931" s="16" t="s">
        <v>4996</v>
      </c>
      <c r="D3931" s="16" t="s">
        <v>207</v>
      </c>
      <c r="E3931" s="15" t="s">
        <v>50</v>
      </c>
      <c r="F3931" s="16"/>
      <c r="G3931" s="17">
        <v>1478</v>
      </c>
      <c r="H3931" s="16" t="s">
        <v>4997</v>
      </c>
      <c r="I3931" s="40" t="s">
        <v>18</v>
      </c>
      <c r="J3931" s="40" t="str">
        <f>HYPERLINK("https://stock.pstatic.net/stock-research/company/75/20260410_company_515350000.pdf","PDF")</f>
        <v>PDF</v>
      </c>
      <c r="K3931" s="15" t="s">
        <v>4998</v>
      </c>
    </row>
    <row r="3932" spans="1:12" x14ac:dyDescent="0.45">
      <c r="A3932" s="15" t="s">
        <v>4918</v>
      </c>
      <c r="B3932" s="15" t="s">
        <v>4999</v>
      </c>
      <c r="C3932" s="16" t="s">
        <v>5000</v>
      </c>
      <c r="D3932" s="16" t="s">
        <v>207</v>
      </c>
      <c r="E3932" s="15" t="s">
        <v>50</v>
      </c>
      <c r="F3932" s="16"/>
      <c r="G3932" s="16"/>
      <c r="H3932" s="16" t="s">
        <v>5001</v>
      </c>
      <c r="I3932" s="40" t="s">
        <v>18</v>
      </c>
      <c r="J3932" s="40" t="str">
        <f>HYPERLINK("https://stock.pstatic.net/stock-research/company/75/20260410_company_667227000.pdf","PDF")</f>
        <v>PDF</v>
      </c>
      <c r="K3932" s="15" t="s">
        <v>5002</v>
      </c>
    </row>
    <row r="3933" spans="1:12" x14ac:dyDescent="0.45">
      <c r="A3933" s="15" t="s">
        <v>4918</v>
      </c>
      <c r="B3933" s="15" t="s">
        <v>5003</v>
      </c>
      <c r="C3933" s="16" t="s">
        <v>5004</v>
      </c>
      <c r="D3933" s="16" t="s">
        <v>207</v>
      </c>
      <c r="E3933" s="15" t="s">
        <v>50</v>
      </c>
      <c r="F3933" s="16"/>
      <c r="G3933" s="16"/>
      <c r="H3933" s="16" t="s">
        <v>5005</v>
      </c>
      <c r="I3933" s="40" t="s">
        <v>18</v>
      </c>
      <c r="J3933" s="40" t="str">
        <f>HYPERLINK("https://stock.pstatic.net/stock-research/company/75/20260410_company_978366000.pdf","PDF")</f>
        <v>PDF</v>
      </c>
      <c r="K3933" s="15" t="s">
        <v>5006</v>
      </c>
    </row>
    <row r="3934" spans="1:12" x14ac:dyDescent="0.45">
      <c r="A3934" s="15" t="s">
        <v>4918</v>
      </c>
      <c r="B3934" s="15" t="s">
        <v>5007</v>
      </c>
      <c r="C3934" s="16" t="s">
        <v>5008</v>
      </c>
      <c r="D3934" s="16" t="s">
        <v>207</v>
      </c>
      <c r="E3934" s="15" t="s">
        <v>50</v>
      </c>
      <c r="F3934" s="16"/>
      <c r="G3934" s="16"/>
      <c r="H3934" s="16" t="s">
        <v>5009</v>
      </c>
      <c r="I3934" s="40" t="s">
        <v>18</v>
      </c>
      <c r="J3934" s="40" t="str">
        <f>HYPERLINK("https://stock.pstatic.net/stock-research/company/75/20260410_company_167806000.pdf","PDF")</f>
        <v>PDF</v>
      </c>
      <c r="K3934" s="15" t="s">
        <v>5010</v>
      </c>
    </row>
    <row r="3935" spans="1:12" x14ac:dyDescent="0.45">
      <c r="A3935" s="15" t="s">
        <v>4918</v>
      </c>
      <c r="B3935" s="15" t="s">
        <v>5011</v>
      </c>
      <c r="C3935" s="16" t="s">
        <v>5012</v>
      </c>
      <c r="D3935" s="16" t="s">
        <v>124</v>
      </c>
      <c r="E3935" s="15" t="s">
        <v>50</v>
      </c>
      <c r="F3935" s="16"/>
      <c r="G3935" s="17">
        <v>167400</v>
      </c>
      <c r="H3935" s="16" t="s">
        <v>5013</v>
      </c>
      <c r="I3935" s="40" t="s">
        <v>18</v>
      </c>
      <c r="J3935" s="40" t="str">
        <f>HYPERLINK("https://stock.pstatic.net/stock-research/company/74/20260410_company_788596000.pdf","PDF")</f>
        <v>PDF</v>
      </c>
      <c r="K3935" s="15" t="s">
        <v>5014</v>
      </c>
    </row>
    <row r="3936" spans="1:12" x14ac:dyDescent="0.45">
      <c r="A3936" s="15" t="s">
        <v>4918</v>
      </c>
      <c r="B3936" s="15" t="s">
        <v>5015</v>
      </c>
      <c r="C3936" s="16" t="s">
        <v>5016</v>
      </c>
      <c r="D3936" s="16" t="s">
        <v>124</v>
      </c>
      <c r="E3936" s="15" t="s">
        <v>50</v>
      </c>
      <c r="F3936" s="16"/>
      <c r="G3936" s="17">
        <v>4310</v>
      </c>
      <c r="H3936" s="16" t="s">
        <v>5017</v>
      </c>
      <c r="I3936" s="40" t="s">
        <v>18</v>
      </c>
      <c r="J3936" s="40" t="str">
        <f>HYPERLINK("https://stock.pstatic.net/stock-research/company/74/20260410_company_470242000.pdf","PDF")</f>
        <v>PDF</v>
      </c>
      <c r="K3936" s="15" t="s">
        <v>5018</v>
      </c>
    </row>
    <row r="3937" spans="1:12" x14ac:dyDescent="0.45">
      <c r="A3937" s="15" t="s">
        <v>4918</v>
      </c>
      <c r="B3937" s="15" t="s">
        <v>5019</v>
      </c>
      <c r="C3937" s="16" t="s">
        <v>5020</v>
      </c>
      <c r="D3937" s="16" t="s">
        <v>124</v>
      </c>
      <c r="E3937" s="15" t="s">
        <v>50</v>
      </c>
      <c r="F3937" s="16"/>
      <c r="G3937" s="17">
        <v>5810</v>
      </c>
      <c r="H3937" s="16" t="s">
        <v>5021</v>
      </c>
      <c r="I3937" s="40" t="s">
        <v>18</v>
      </c>
      <c r="J3937" s="40" t="str">
        <f>HYPERLINK("https://stock.pstatic.net/stock-research/company/74/20260410_company_417518000.pdf","PDF")</f>
        <v>PDF</v>
      </c>
      <c r="K3937" s="15" t="s">
        <v>5022</v>
      </c>
    </row>
    <row r="3938" spans="1:12" x14ac:dyDescent="0.45">
      <c r="A3938" s="15" t="s">
        <v>4918</v>
      </c>
      <c r="B3938" s="15" t="s">
        <v>1407</v>
      </c>
      <c r="C3938" s="16" t="s">
        <v>1408</v>
      </c>
      <c r="D3938" s="16" t="s">
        <v>124</v>
      </c>
      <c r="E3938" s="15" t="s">
        <v>50</v>
      </c>
      <c r="F3938" s="16"/>
      <c r="G3938" s="17">
        <v>119300</v>
      </c>
      <c r="H3938" s="16" t="s">
        <v>5023</v>
      </c>
      <c r="I3938" s="40" t="s">
        <v>18</v>
      </c>
      <c r="J3938" s="40" t="str">
        <f>HYPERLINK("https://stock.pstatic.net/stock-research/company/74/20260410_company_381548000.pdf","PDF")</f>
        <v>PDF</v>
      </c>
      <c r="K3938" s="15" t="s">
        <v>5024</v>
      </c>
    </row>
    <row r="3939" spans="1:12" x14ac:dyDescent="0.45">
      <c r="A3939" s="15" t="s">
        <v>4918</v>
      </c>
      <c r="B3939" s="15" t="s">
        <v>2056</v>
      </c>
      <c r="C3939" s="16" t="s">
        <v>2057</v>
      </c>
      <c r="D3939" s="16" t="s">
        <v>124</v>
      </c>
      <c r="E3939" s="15" t="s">
        <v>50</v>
      </c>
      <c r="F3939" s="16"/>
      <c r="G3939" s="17">
        <v>9200</v>
      </c>
      <c r="H3939" s="16" t="s">
        <v>5025</v>
      </c>
      <c r="I3939" s="40" t="s">
        <v>18</v>
      </c>
      <c r="J3939" s="40" t="str">
        <f>HYPERLINK("https://stock.pstatic.net/stock-research/company/74/20260410_company_877863000.pdf","PDF")</f>
        <v>PDF</v>
      </c>
      <c r="K3939" s="15" t="s">
        <v>5026</v>
      </c>
    </row>
    <row r="3940" spans="1:12" x14ac:dyDescent="0.45">
      <c r="A3940" s="15" t="s">
        <v>5027</v>
      </c>
      <c r="B3940" s="15" t="s">
        <v>5028</v>
      </c>
      <c r="C3940" s="16" t="s">
        <v>5029</v>
      </c>
      <c r="D3940" s="16" t="s">
        <v>124</v>
      </c>
      <c r="E3940" s="15" t="s">
        <v>50</v>
      </c>
      <c r="F3940" s="16"/>
      <c r="G3940" s="17">
        <v>5020</v>
      </c>
      <c r="H3940" s="16" t="s">
        <v>5030</v>
      </c>
      <c r="I3940" s="40" t="s">
        <v>18</v>
      </c>
      <c r="J3940" s="40" t="str">
        <f>HYPERLINK("https://stock.pstatic.net/stock-research/company/74/20260409_company_664205000.pdf","PDF")</f>
        <v>PDF</v>
      </c>
      <c r="K3940" s="15" t="s">
        <v>5031</v>
      </c>
    </row>
    <row r="3941" spans="1:12" x14ac:dyDescent="0.45">
      <c r="A3941" s="15" t="s">
        <v>5027</v>
      </c>
      <c r="B3941" s="15" t="s">
        <v>5032</v>
      </c>
      <c r="C3941" s="16" t="s">
        <v>5033</v>
      </c>
      <c r="D3941" s="16" t="s">
        <v>124</v>
      </c>
      <c r="E3941" s="15" t="s">
        <v>50</v>
      </c>
      <c r="F3941" s="16"/>
      <c r="G3941" s="17">
        <v>3945</v>
      </c>
      <c r="H3941" s="16" t="s">
        <v>5034</v>
      </c>
      <c r="I3941" s="40" t="s">
        <v>18</v>
      </c>
      <c r="J3941" s="40" t="str">
        <f>HYPERLINK("https://stock.pstatic.net/stock-research/company/74/20260409_company_513523000.pdf","PDF")</f>
        <v>PDF</v>
      </c>
      <c r="K3941" s="15" t="s">
        <v>5035</v>
      </c>
    </row>
    <row r="3942" spans="1:12" x14ac:dyDescent="0.45">
      <c r="A3942" s="15" t="s">
        <v>5027</v>
      </c>
      <c r="B3942" s="15" t="s">
        <v>5036</v>
      </c>
      <c r="C3942" s="16" t="s">
        <v>5037</v>
      </c>
      <c r="D3942" s="16" t="s">
        <v>124</v>
      </c>
      <c r="E3942" s="15" t="s">
        <v>50</v>
      </c>
      <c r="F3942" s="16"/>
      <c r="G3942" s="17">
        <v>2050</v>
      </c>
      <c r="H3942" s="16" t="s">
        <v>5038</v>
      </c>
      <c r="I3942" s="40" t="s">
        <v>18</v>
      </c>
      <c r="J3942" s="40" t="str">
        <f>HYPERLINK("https://stock.pstatic.net/stock-research/company/74/20260409_company_865575000.pdf","PDF")</f>
        <v>PDF</v>
      </c>
      <c r="K3942" s="15" t="s">
        <v>5039</v>
      </c>
    </row>
    <row r="3943" spans="1:12" x14ac:dyDescent="0.45">
      <c r="A3943" s="15" t="s">
        <v>5027</v>
      </c>
      <c r="B3943" s="15" t="s">
        <v>5040</v>
      </c>
      <c r="C3943" s="16" t="s">
        <v>5041</v>
      </c>
      <c r="D3943" s="16" t="s">
        <v>124</v>
      </c>
      <c r="E3943" s="15" t="s">
        <v>50</v>
      </c>
      <c r="F3943" s="16"/>
      <c r="G3943" s="17">
        <v>46600</v>
      </c>
      <c r="H3943" s="16" t="s">
        <v>5042</v>
      </c>
      <c r="I3943" s="40" t="s">
        <v>18</v>
      </c>
      <c r="J3943" s="40" t="str">
        <f>HYPERLINK("https://stock.pstatic.net/stock-research/company/74/20260409_company_873956000.pdf","PDF")</f>
        <v>PDF</v>
      </c>
      <c r="K3943" s="15" t="s">
        <v>5043</v>
      </c>
    </row>
    <row r="3944" spans="1:12" x14ac:dyDescent="0.45">
      <c r="A3944" s="15" t="s">
        <v>5027</v>
      </c>
      <c r="B3944" s="15" t="s">
        <v>5044</v>
      </c>
      <c r="C3944" s="16" t="s">
        <v>5045</v>
      </c>
      <c r="D3944" s="16" t="s">
        <v>124</v>
      </c>
      <c r="E3944" s="15" t="s">
        <v>50</v>
      </c>
      <c r="F3944" s="16"/>
      <c r="G3944" s="17">
        <v>6230</v>
      </c>
      <c r="H3944" s="16" t="s">
        <v>5046</v>
      </c>
      <c r="I3944" s="40" t="s">
        <v>18</v>
      </c>
      <c r="J3944" s="40" t="str">
        <f>HYPERLINK("https://stock.pstatic.net/stock-research/company/74/20260409_company_188810000.pdf","PDF")</f>
        <v>PDF</v>
      </c>
      <c r="K3944" s="15" t="s">
        <v>5047</v>
      </c>
    </row>
    <row r="3945" spans="1:12" x14ac:dyDescent="0.45">
      <c r="A3945" s="15" t="s">
        <v>5027</v>
      </c>
      <c r="B3945" s="15" t="s">
        <v>5048</v>
      </c>
      <c r="C3945" s="16" t="s">
        <v>5049</v>
      </c>
      <c r="D3945" s="16" t="s">
        <v>124</v>
      </c>
      <c r="E3945" s="15" t="s">
        <v>50</v>
      </c>
      <c r="F3945" s="16"/>
      <c r="G3945" s="17">
        <v>6090</v>
      </c>
      <c r="H3945" s="16" t="s">
        <v>5050</v>
      </c>
      <c r="I3945" s="40" t="s">
        <v>18</v>
      </c>
      <c r="J3945" s="40" t="str">
        <f>HYPERLINK("https://stock.pstatic.net/stock-research/company/74/20260409_company_255575000.pdf","PDF")</f>
        <v>PDF</v>
      </c>
      <c r="K3945" s="15" t="s">
        <v>5051</v>
      </c>
    </row>
    <row r="3946" spans="1:12" x14ac:dyDescent="0.45">
      <c r="A3946" s="15" t="s">
        <v>5027</v>
      </c>
      <c r="B3946" s="15" t="s">
        <v>5052</v>
      </c>
      <c r="C3946" s="16" t="s">
        <v>5053</v>
      </c>
      <c r="D3946" s="16" t="s">
        <v>124</v>
      </c>
      <c r="E3946" s="15" t="s">
        <v>50</v>
      </c>
      <c r="F3946" s="16"/>
      <c r="G3946" s="17">
        <v>1780</v>
      </c>
      <c r="H3946" s="16" t="s">
        <v>5054</v>
      </c>
      <c r="I3946" s="40" t="s">
        <v>18</v>
      </c>
      <c r="J3946" s="40" t="str">
        <f>HYPERLINK("https://stock.pstatic.net/stock-research/company/74/20260409_company_361087000.pdf","PDF")</f>
        <v>PDF</v>
      </c>
      <c r="K3946" s="15" t="s">
        <v>5055</v>
      </c>
    </row>
    <row r="3947" spans="1:12" x14ac:dyDescent="0.45">
      <c r="A3947" s="15" t="s">
        <v>5027</v>
      </c>
      <c r="B3947" s="15" t="s">
        <v>669</v>
      </c>
      <c r="C3947" s="16" t="s">
        <v>670</v>
      </c>
      <c r="D3947" s="16" t="s">
        <v>124</v>
      </c>
      <c r="E3947" s="15" t="s">
        <v>50</v>
      </c>
      <c r="F3947" s="16"/>
      <c r="G3947" s="17">
        <v>13960</v>
      </c>
      <c r="H3947" s="16" t="s">
        <v>5056</v>
      </c>
      <c r="I3947" s="40" t="s">
        <v>18</v>
      </c>
      <c r="J3947" s="40" t="str">
        <f>HYPERLINK("https://stock.pstatic.net/stock-research/company/74/20260409_company_276056000.pdf","PDF")</f>
        <v>PDF</v>
      </c>
      <c r="K3947" s="15" t="s">
        <v>5057</v>
      </c>
    </row>
    <row r="3948" spans="1:12" x14ac:dyDescent="0.45">
      <c r="A3948" s="15" t="s">
        <v>5027</v>
      </c>
      <c r="B3948" s="15" t="s">
        <v>1526</v>
      </c>
      <c r="C3948" s="16" t="s">
        <v>1527</v>
      </c>
      <c r="D3948" s="16" t="s">
        <v>124</v>
      </c>
      <c r="E3948" s="15" t="s">
        <v>50</v>
      </c>
      <c r="F3948" s="16"/>
      <c r="G3948" s="17">
        <v>16970</v>
      </c>
      <c r="H3948" s="16" t="s">
        <v>5058</v>
      </c>
      <c r="I3948" s="40" t="s">
        <v>18</v>
      </c>
      <c r="J3948" s="40" t="str">
        <f>HYPERLINK("https://stock.pstatic.net/stock-research/company/74/20260409_company_435011000.pdf","PDF")</f>
        <v>PDF</v>
      </c>
      <c r="K3948" s="15" t="s">
        <v>5059</v>
      </c>
    </row>
    <row r="3949" spans="1:12" x14ac:dyDescent="0.45">
      <c r="A3949" s="15" t="s">
        <v>5027</v>
      </c>
      <c r="B3949" s="15" t="s">
        <v>5060</v>
      </c>
      <c r="C3949" s="16" t="s">
        <v>5061</v>
      </c>
      <c r="D3949" s="16" t="s">
        <v>124</v>
      </c>
      <c r="E3949" s="15" t="s">
        <v>50</v>
      </c>
      <c r="F3949" s="16"/>
      <c r="G3949" s="17">
        <v>6720</v>
      </c>
      <c r="H3949" s="16" t="s">
        <v>5062</v>
      </c>
      <c r="I3949" s="40" t="s">
        <v>18</v>
      </c>
      <c r="J3949" s="40" t="str">
        <f>HYPERLINK("https://stock.pstatic.net/stock-research/company/74/20260409_company_976052000.pdf","PDF")</f>
        <v>PDF</v>
      </c>
      <c r="K3949" s="15" t="s">
        <v>5063</v>
      </c>
    </row>
    <row r="3950" spans="1:12" x14ac:dyDescent="0.45">
      <c r="A3950" s="15" t="s">
        <v>5027</v>
      </c>
      <c r="B3950" s="15" t="s">
        <v>2956</v>
      </c>
      <c r="C3950" s="16" t="s">
        <v>2957</v>
      </c>
      <c r="D3950" s="16" t="s">
        <v>57</v>
      </c>
      <c r="E3950" s="15" t="s">
        <v>35</v>
      </c>
      <c r="F3950" s="17">
        <v>50000</v>
      </c>
      <c r="G3950" s="17">
        <v>37400</v>
      </c>
      <c r="H3950" s="16" t="s">
        <v>5064</v>
      </c>
      <c r="I3950" s="40" t="s">
        <v>18</v>
      </c>
      <c r="J3950" s="40" t="str">
        <f>HYPERLINK("https://stock.pstatic.net/stock-research/company/16/20260409_company_875487000.pdf","PDF")</f>
        <v>PDF</v>
      </c>
      <c r="K3950" s="15" t="s">
        <v>5065</v>
      </c>
      <c r="L3950" s="20">
        <v>0.33689839572192509</v>
      </c>
    </row>
    <row r="3951" spans="1:12" x14ac:dyDescent="0.45">
      <c r="A3951" s="15" t="s">
        <v>5027</v>
      </c>
      <c r="B3951" s="15" t="s">
        <v>434</v>
      </c>
      <c r="C3951" s="16" t="s">
        <v>435</v>
      </c>
      <c r="D3951" s="16" t="s">
        <v>57</v>
      </c>
      <c r="E3951" s="15" t="s">
        <v>35</v>
      </c>
      <c r="F3951" s="17">
        <v>180000</v>
      </c>
      <c r="G3951" s="17">
        <v>130300</v>
      </c>
      <c r="H3951" s="16" t="s">
        <v>5066</v>
      </c>
      <c r="I3951" s="40" t="s">
        <v>18</v>
      </c>
      <c r="J3951" s="40" t="str">
        <f>HYPERLINK("https://stock.pstatic.net/stock-research/company/16/20260409_company_642566000.pdf","PDF")</f>
        <v>PDF</v>
      </c>
      <c r="K3951" s="15" t="s">
        <v>5067</v>
      </c>
      <c r="L3951" s="20">
        <v>0.38142747505755947</v>
      </c>
    </row>
    <row r="3952" spans="1:12" x14ac:dyDescent="0.45">
      <c r="A3952" s="15" t="s">
        <v>5027</v>
      </c>
      <c r="B3952" s="15" t="s">
        <v>334</v>
      </c>
      <c r="C3952" s="16" t="s">
        <v>335</v>
      </c>
      <c r="D3952" s="16" t="s">
        <v>276</v>
      </c>
      <c r="E3952" s="15" t="s">
        <v>16</v>
      </c>
      <c r="F3952" s="17">
        <v>1300000</v>
      </c>
      <c r="G3952" s="17">
        <v>1033000</v>
      </c>
      <c r="H3952" s="16" t="s">
        <v>5068</v>
      </c>
      <c r="I3952" s="40" t="s">
        <v>18</v>
      </c>
      <c r="J3952" s="40" t="str">
        <f>HYPERLINK("https://stock.pstatic.net/stock-research/company/66/20260409_company_365911000.pdf","PDF")</f>
        <v>PDF</v>
      </c>
      <c r="K3952" s="15" t="s">
        <v>5069</v>
      </c>
      <c r="L3952" s="20">
        <v>0.25847047434656339</v>
      </c>
    </row>
    <row r="3953" spans="1:12" x14ac:dyDescent="0.45">
      <c r="A3953" s="15" t="s">
        <v>5027</v>
      </c>
      <c r="B3953" s="15" t="s">
        <v>2613</v>
      </c>
      <c r="C3953" s="16" t="s">
        <v>2614</v>
      </c>
      <c r="D3953" s="16" t="s">
        <v>60</v>
      </c>
      <c r="E3953" s="15" t="s">
        <v>35</v>
      </c>
      <c r="F3953" s="17">
        <v>350000</v>
      </c>
      <c r="G3953" s="17">
        <v>251500</v>
      </c>
      <c r="H3953" s="16" t="s">
        <v>5070</v>
      </c>
      <c r="I3953" s="40" t="s">
        <v>18</v>
      </c>
      <c r="J3953" s="40" t="str">
        <f>HYPERLINK("https://stock.pstatic.net/stock-research/company/62/20260409_company_520964000.pdf","PDF")</f>
        <v>PDF</v>
      </c>
      <c r="K3953" s="15" t="s">
        <v>5071</v>
      </c>
      <c r="L3953" s="20">
        <v>0.39165009940357848</v>
      </c>
    </row>
    <row r="3954" spans="1:12" x14ac:dyDescent="0.45">
      <c r="A3954" s="15" t="s">
        <v>5027</v>
      </c>
      <c r="B3954" s="15" t="s">
        <v>2191</v>
      </c>
      <c r="C3954" s="16" t="s">
        <v>2192</v>
      </c>
      <c r="D3954" s="16" t="s">
        <v>60</v>
      </c>
      <c r="E3954" s="15" t="s">
        <v>35</v>
      </c>
      <c r="F3954" s="17">
        <v>130000</v>
      </c>
      <c r="G3954" s="17">
        <v>75200</v>
      </c>
      <c r="H3954" s="16" t="s">
        <v>5072</v>
      </c>
      <c r="I3954" s="40" t="s">
        <v>18</v>
      </c>
      <c r="J3954" s="40" t="str">
        <f>HYPERLINK("https://stock.pstatic.net/stock-research/company/62/20260409_company_911127000.pdf","PDF")</f>
        <v>PDF</v>
      </c>
      <c r="K3954" s="15" t="s">
        <v>5073</v>
      </c>
      <c r="L3954" s="20">
        <v>0.72872340425531912</v>
      </c>
    </row>
    <row r="3955" spans="1:12" x14ac:dyDescent="0.45">
      <c r="A3955" s="15" t="s">
        <v>5027</v>
      </c>
      <c r="B3955" s="15" t="s">
        <v>495</v>
      </c>
      <c r="C3955" s="16" t="s">
        <v>496</v>
      </c>
      <c r="D3955" s="16" t="s">
        <v>60</v>
      </c>
      <c r="E3955" s="15" t="s">
        <v>35</v>
      </c>
      <c r="F3955" s="17">
        <v>470000</v>
      </c>
      <c r="G3955" s="17">
        <v>335500</v>
      </c>
      <c r="H3955" s="16" t="s">
        <v>5074</v>
      </c>
      <c r="I3955" s="40" t="s">
        <v>18</v>
      </c>
      <c r="J3955" s="40" t="str">
        <f>HYPERLINK("https://stock.pstatic.net/stock-research/company/62/20260409_company_843176000.pdf","PDF")</f>
        <v>PDF</v>
      </c>
      <c r="K3955" s="15" t="s">
        <v>5075</v>
      </c>
      <c r="L3955" s="20">
        <v>0.4008941877794337</v>
      </c>
    </row>
    <row r="3956" spans="1:12" x14ac:dyDescent="0.45">
      <c r="A3956" s="15" t="s">
        <v>5027</v>
      </c>
      <c r="B3956" s="15" t="s">
        <v>3164</v>
      </c>
      <c r="C3956" s="16" t="s">
        <v>3165</v>
      </c>
      <c r="D3956" s="16" t="s">
        <v>65</v>
      </c>
      <c r="E3956" s="15" t="s">
        <v>35</v>
      </c>
      <c r="F3956" s="17">
        <v>240000</v>
      </c>
      <c r="G3956" s="17">
        <v>188700</v>
      </c>
      <c r="H3956" s="16" t="s">
        <v>5076</v>
      </c>
      <c r="I3956" s="40" t="s">
        <v>18</v>
      </c>
      <c r="J3956" s="40" t="str">
        <f>HYPERLINK("https://stock.pstatic.net/stock-research/company/57/20260409_company_321736000.pdf","PDF")</f>
        <v>PDF</v>
      </c>
      <c r="K3956" s="15" t="s">
        <v>5077</v>
      </c>
      <c r="L3956" s="20">
        <v>0.27186009538950717</v>
      </c>
    </row>
    <row r="3957" spans="1:12" x14ac:dyDescent="0.45">
      <c r="A3957" s="15" t="s">
        <v>5027</v>
      </c>
      <c r="B3957" s="15" t="s">
        <v>1300</v>
      </c>
      <c r="C3957" s="16" t="s">
        <v>1301</v>
      </c>
      <c r="D3957" s="16" t="s">
        <v>65</v>
      </c>
      <c r="E3957" s="15" t="s">
        <v>35</v>
      </c>
      <c r="F3957" s="17">
        <v>200000</v>
      </c>
      <c r="G3957" s="17">
        <v>141900</v>
      </c>
      <c r="H3957" s="16" t="s">
        <v>5078</v>
      </c>
      <c r="I3957" s="40" t="s">
        <v>18</v>
      </c>
      <c r="J3957" s="40" t="str">
        <f>HYPERLINK("https://stock.pstatic.net/stock-research/company/57/20260409_company_468616000.pdf","PDF")</f>
        <v>PDF</v>
      </c>
      <c r="K3957" s="15" t="s">
        <v>5079</v>
      </c>
      <c r="L3957" s="20">
        <v>0.4094432699083862</v>
      </c>
    </row>
    <row r="3958" spans="1:12" x14ac:dyDescent="0.45">
      <c r="A3958" s="15" t="s">
        <v>5027</v>
      </c>
      <c r="B3958" s="15" t="s">
        <v>3478</v>
      </c>
      <c r="C3958" s="16" t="s">
        <v>3479</v>
      </c>
      <c r="D3958" s="16" t="s">
        <v>65</v>
      </c>
      <c r="E3958" s="15" t="s">
        <v>35</v>
      </c>
      <c r="F3958" s="17">
        <v>50000</v>
      </c>
      <c r="G3958" s="17">
        <v>37850</v>
      </c>
      <c r="H3958" s="16" t="s">
        <v>5080</v>
      </c>
      <c r="I3958" s="40" t="s">
        <v>18</v>
      </c>
      <c r="J3958" s="40" t="str">
        <f>HYPERLINK("https://stock.pstatic.net/stock-research/company/57/20260409_company_280770000.pdf","PDF")</f>
        <v>PDF</v>
      </c>
      <c r="K3958" s="15" t="s">
        <v>5081</v>
      </c>
      <c r="L3958" s="20">
        <v>0.32100396301188899</v>
      </c>
    </row>
    <row r="3959" spans="1:12" x14ac:dyDescent="0.45">
      <c r="A3959" s="15" t="s">
        <v>5027</v>
      </c>
      <c r="B3959" s="15" t="s">
        <v>669</v>
      </c>
      <c r="C3959" s="16" t="s">
        <v>670</v>
      </c>
      <c r="D3959" s="16" t="s">
        <v>65</v>
      </c>
      <c r="E3959" s="15" t="s">
        <v>35</v>
      </c>
      <c r="F3959" s="17">
        <v>28000</v>
      </c>
      <c r="G3959" s="17">
        <v>14250</v>
      </c>
      <c r="H3959" s="16" t="s">
        <v>5082</v>
      </c>
      <c r="I3959" s="40" t="s">
        <v>18</v>
      </c>
      <c r="J3959" s="40" t="str">
        <f>HYPERLINK("https://stock.pstatic.net/stock-research/company/57/20260409_company_935534000.pdf","PDF")</f>
        <v>PDF</v>
      </c>
      <c r="K3959" s="15" t="s">
        <v>5083</v>
      </c>
      <c r="L3959" s="20">
        <v>0.96491228070175439</v>
      </c>
    </row>
    <row r="3960" spans="1:12" x14ac:dyDescent="0.45">
      <c r="A3960" s="15" t="s">
        <v>5027</v>
      </c>
      <c r="B3960" s="15" t="s">
        <v>541</v>
      </c>
      <c r="C3960" s="16" t="s">
        <v>542</v>
      </c>
      <c r="D3960" s="16" t="s">
        <v>65</v>
      </c>
      <c r="E3960" s="15" t="s">
        <v>35</v>
      </c>
      <c r="F3960" s="17">
        <v>100000</v>
      </c>
      <c r="G3960" s="17">
        <v>89000</v>
      </c>
      <c r="H3960" s="16" t="s">
        <v>5084</v>
      </c>
      <c r="I3960" s="40" t="s">
        <v>18</v>
      </c>
      <c r="J3960" s="40" t="str">
        <f>HYPERLINK("https://stock.pstatic.net/stock-research/company/57/20260409_company_93179000.pdf","PDF")</f>
        <v>PDF</v>
      </c>
      <c r="K3960" s="15" t="s">
        <v>5085</v>
      </c>
      <c r="L3960" s="20">
        <v>0.1235955056179775</v>
      </c>
    </row>
    <row r="3961" spans="1:12" x14ac:dyDescent="0.45">
      <c r="A3961" s="15" t="s">
        <v>5027</v>
      </c>
      <c r="B3961" s="15" t="s">
        <v>537</v>
      </c>
      <c r="C3961" s="16" t="s">
        <v>538</v>
      </c>
      <c r="D3961" s="16" t="s">
        <v>158</v>
      </c>
      <c r="E3961" s="15" t="s">
        <v>35</v>
      </c>
      <c r="F3961" s="17">
        <v>19000</v>
      </c>
      <c r="G3961" s="17">
        <v>16130</v>
      </c>
      <c r="H3961" s="16" t="s">
        <v>5086</v>
      </c>
      <c r="I3961" s="40" t="s">
        <v>18</v>
      </c>
      <c r="J3961" s="40" t="str">
        <f>HYPERLINK("https://stock.pstatic.net/stock-research/company/18/20260409_company_601317000.pdf","PDF")</f>
        <v>PDF</v>
      </c>
      <c r="K3961" s="15" t="s">
        <v>5087</v>
      </c>
      <c r="L3961" s="20">
        <v>0.17792932424054561</v>
      </c>
    </row>
    <row r="3962" spans="1:12" x14ac:dyDescent="0.45">
      <c r="A3962" s="15" t="s">
        <v>5027</v>
      </c>
      <c r="B3962" s="15" t="s">
        <v>170</v>
      </c>
      <c r="C3962" s="16" t="s">
        <v>171</v>
      </c>
      <c r="D3962" s="16" t="s">
        <v>83</v>
      </c>
      <c r="E3962" s="15" t="s">
        <v>35</v>
      </c>
      <c r="F3962" s="17">
        <v>90000</v>
      </c>
      <c r="G3962" s="17">
        <v>61100</v>
      </c>
      <c r="H3962" s="16" t="s">
        <v>5088</v>
      </c>
      <c r="I3962" s="40" t="s">
        <v>18</v>
      </c>
      <c r="J3962" s="40" t="str">
        <f>HYPERLINK("https://stock.pstatic.net/stock-research/company/15/20260409_company_903931000.pdf","PDF")</f>
        <v>PDF</v>
      </c>
      <c r="K3962" s="15" t="s">
        <v>5089</v>
      </c>
      <c r="L3962" s="20">
        <v>0.47299509001636658</v>
      </c>
    </row>
    <row r="3963" spans="1:12" x14ac:dyDescent="0.45">
      <c r="A3963" s="15" t="s">
        <v>5027</v>
      </c>
      <c r="B3963" s="15" t="s">
        <v>3584</v>
      </c>
      <c r="C3963" s="16" t="s">
        <v>3585</v>
      </c>
      <c r="D3963" s="16" t="s">
        <v>83</v>
      </c>
      <c r="E3963" s="15" t="s">
        <v>35</v>
      </c>
      <c r="F3963" s="17">
        <v>27000</v>
      </c>
      <c r="G3963" s="17">
        <v>19380</v>
      </c>
      <c r="H3963" s="16" t="s">
        <v>5090</v>
      </c>
      <c r="I3963" s="40" t="s">
        <v>18</v>
      </c>
      <c r="J3963" s="40" t="str">
        <f>HYPERLINK("https://stock.pstatic.net/stock-research/company/15/20260409_company_493300000.pdf","PDF")</f>
        <v>PDF</v>
      </c>
      <c r="K3963" s="15" t="s">
        <v>5091</v>
      </c>
      <c r="L3963" s="20">
        <v>0.39318885448916407</v>
      </c>
    </row>
    <row r="3964" spans="1:12" x14ac:dyDescent="0.45">
      <c r="A3964" s="15" t="s">
        <v>5027</v>
      </c>
      <c r="B3964" s="15" t="s">
        <v>3831</v>
      </c>
      <c r="C3964" s="16" t="s">
        <v>3832</v>
      </c>
      <c r="D3964" s="16" t="s">
        <v>23</v>
      </c>
      <c r="E3964" s="15" t="s">
        <v>16</v>
      </c>
      <c r="F3964" s="17">
        <v>66000</v>
      </c>
      <c r="G3964" s="17">
        <v>50900</v>
      </c>
      <c r="H3964" s="16" t="s">
        <v>5092</v>
      </c>
      <c r="I3964" s="40" t="s">
        <v>18</v>
      </c>
      <c r="J3964" s="40" t="str">
        <f>HYPERLINK("https://stock.pstatic.net/stock-research/company/21/20260409_company_215056000.pdf","PDF")</f>
        <v>PDF</v>
      </c>
      <c r="K3964" s="15" t="s">
        <v>5093</v>
      </c>
      <c r="L3964" s="20">
        <v>0.29666011787819252</v>
      </c>
    </row>
    <row r="3965" spans="1:12" x14ac:dyDescent="0.45">
      <c r="A3965" s="15" t="s">
        <v>5027</v>
      </c>
      <c r="B3965" s="15" t="s">
        <v>545</v>
      </c>
      <c r="C3965" s="16" t="s">
        <v>546</v>
      </c>
      <c r="D3965" s="16" t="s">
        <v>179</v>
      </c>
      <c r="E3965" s="15" t="s">
        <v>16</v>
      </c>
      <c r="F3965" s="17">
        <v>500000</v>
      </c>
      <c r="G3965" s="17">
        <v>412000</v>
      </c>
      <c r="H3965" s="16" t="s">
        <v>5094</v>
      </c>
      <c r="I3965" s="40" t="s">
        <v>18</v>
      </c>
      <c r="J3965" s="40" t="str">
        <f>HYPERLINK("https://stock.pstatic.net/stock-research/company/64/20260409_company_301664000.pdf","PDF")</f>
        <v>PDF</v>
      </c>
      <c r="K3965" s="15" t="s">
        <v>5095</v>
      </c>
      <c r="L3965" s="20">
        <v>0.2135922330097087</v>
      </c>
    </row>
    <row r="3966" spans="1:12" x14ac:dyDescent="0.45">
      <c r="A3966" s="15" t="s">
        <v>5027</v>
      </c>
      <c r="B3966" s="15" t="s">
        <v>489</v>
      </c>
      <c r="C3966" s="16" t="s">
        <v>490</v>
      </c>
      <c r="D3966" s="16" t="s">
        <v>92</v>
      </c>
      <c r="E3966" s="15" t="s">
        <v>35</v>
      </c>
      <c r="F3966" s="17">
        <v>82000</v>
      </c>
      <c r="G3966" s="17">
        <v>55600</v>
      </c>
      <c r="H3966" s="16" t="s">
        <v>5096</v>
      </c>
      <c r="I3966" s="40" t="s">
        <v>18</v>
      </c>
      <c r="J3966" s="40" t="str">
        <f>HYPERLINK("https://stock.pstatic.net/stock-research/company/63/20260409_company_537679000.pdf","PDF")</f>
        <v>PDF</v>
      </c>
      <c r="K3966" s="15" t="s">
        <v>5097</v>
      </c>
      <c r="L3966" s="20">
        <v>0.47482014388489208</v>
      </c>
    </row>
    <row r="3967" spans="1:12" x14ac:dyDescent="0.45">
      <c r="A3967" s="15" t="s">
        <v>5027</v>
      </c>
      <c r="B3967" s="15" t="s">
        <v>5098</v>
      </c>
      <c r="C3967" s="16" t="s">
        <v>5099</v>
      </c>
      <c r="D3967" s="16" t="s">
        <v>23</v>
      </c>
      <c r="E3967" s="15" t="s">
        <v>50</v>
      </c>
      <c r="F3967" s="16"/>
      <c r="G3967" s="17">
        <v>14300</v>
      </c>
      <c r="H3967" s="16" t="s">
        <v>5100</v>
      </c>
      <c r="I3967" s="40" t="s">
        <v>18</v>
      </c>
      <c r="J3967" s="40" t="str">
        <f>HYPERLINK("https://stock.pstatic.net/stock-research/company/21/20260409_company_141592000.pdf","PDF")</f>
        <v>PDF</v>
      </c>
      <c r="K3967" s="15" t="s">
        <v>5101</v>
      </c>
    </row>
    <row r="3968" spans="1:12" x14ac:dyDescent="0.45">
      <c r="A3968" s="15" t="s">
        <v>5027</v>
      </c>
      <c r="B3968" s="15" t="s">
        <v>2795</v>
      </c>
      <c r="C3968" s="16" t="s">
        <v>2796</v>
      </c>
      <c r="D3968" s="16" t="s">
        <v>34</v>
      </c>
      <c r="E3968" s="15" t="s">
        <v>35</v>
      </c>
      <c r="F3968" s="17">
        <v>7000</v>
      </c>
      <c r="G3968" s="17">
        <v>5160</v>
      </c>
      <c r="H3968" s="16" t="s">
        <v>5102</v>
      </c>
      <c r="I3968" s="40" t="s">
        <v>18</v>
      </c>
      <c r="J3968" s="40" t="str">
        <f>HYPERLINK("https://stock.pstatic.net/stock-research/company/61/20260409_company_282001000.pdf","PDF")</f>
        <v>PDF</v>
      </c>
      <c r="K3968" s="15" t="s">
        <v>5103</v>
      </c>
      <c r="L3968" s="20">
        <v>0.35658914728682167</v>
      </c>
    </row>
    <row r="3969" spans="1:12" x14ac:dyDescent="0.45">
      <c r="A3969" s="15" t="s">
        <v>5027</v>
      </c>
      <c r="B3969" s="15" t="s">
        <v>32</v>
      </c>
      <c r="C3969" s="16" t="s">
        <v>33</v>
      </c>
      <c r="D3969" s="16" t="s">
        <v>23</v>
      </c>
      <c r="E3969" s="15" t="s">
        <v>16</v>
      </c>
      <c r="F3969" s="17">
        <v>700000</v>
      </c>
      <c r="G3969" s="17">
        <v>514000</v>
      </c>
      <c r="H3969" s="16" t="s">
        <v>5104</v>
      </c>
      <c r="I3969" s="40" t="s">
        <v>18</v>
      </c>
      <c r="J3969" s="40" t="str">
        <f>HYPERLINK("https://stock.pstatic.net/stock-research/company/21/20260409_company_94713000.pdf","PDF")</f>
        <v>PDF</v>
      </c>
      <c r="K3969" s="15" t="s">
        <v>5105</v>
      </c>
      <c r="L3969" s="20">
        <v>0.36186770428015558</v>
      </c>
    </row>
    <row r="3970" spans="1:12" x14ac:dyDescent="0.45">
      <c r="A3970" s="15" t="s">
        <v>5027</v>
      </c>
      <c r="B3970" s="15" t="s">
        <v>1383</v>
      </c>
      <c r="C3970" s="16" t="s">
        <v>1384</v>
      </c>
      <c r="D3970" s="16" t="s">
        <v>23</v>
      </c>
      <c r="E3970" s="15" t="s">
        <v>16</v>
      </c>
      <c r="F3970" s="17">
        <v>30000</v>
      </c>
      <c r="G3970" s="17">
        <v>22350</v>
      </c>
      <c r="H3970" s="16" t="s">
        <v>5106</v>
      </c>
      <c r="I3970" s="40" t="s">
        <v>18</v>
      </c>
      <c r="J3970" s="40" t="str">
        <f>HYPERLINK("https://stock.pstatic.net/stock-research/company/21/20260409_company_962875000.pdf","PDF")</f>
        <v>PDF</v>
      </c>
      <c r="K3970" s="15" t="s">
        <v>5107</v>
      </c>
      <c r="L3970" s="20">
        <v>0.34228187919463088</v>
      </c>
    </row>
    <row r="3971" spans="1:12" x14ac:dyDescent="0.45">
      <c r="A3971" s="15" t="s">
        <v>5027</v>
      </c>
      <c r="B3971" s="15" t="s">
        <v>42</v>
      </c>
      <c r="C3971" s="16" t="s">
        <v>43</v>
      </c>
      <c r="D3971" s="16" t="s">
        <v>179</v>
      </c>
      <c r="E3971" s="15" t="s">
        <v>16</v>
      </c>
      <c r="F3971" s="17">
        <v>320000</v>
      </c>
      <c r="G3971" s="17">
        <v>201500</v>
      </c>
      <c r="H3971" s="16" t="s">
        <v>5108</v>
      </c>
      <c r="I3971" s="40" t="s">
        <v>18</v>
      </c>
      <c r="J3971" s="40" t="str">
        <f>HYPERLINK("https://stock.pstatic.net/stock-research/company/64/20260409_company_851716000.pdf","PDF")</f>
        <v>PDF</v>
      </c>
      <c r="K3971" s="15" t="s">
        <v>5109</v>
      </c>
      <c r="L3971" s="20">
        <v>0.58808933002481389</v>
      </c>
    </row>
    <row r="3972" spans="1:12" x14ac:dyDescent="0.45">
      <c r="A3972" s="15" t="s">
        <v>5027</v>
      </c>
      <c r="B3972" s="15" t="s">
        <v>569</v>
      </c>
      <c r="C3972" s="16" t="s">
        <v>570</v>
      </c>
      <c r="D3972" s="16" t="s">
        <v>92</v>
      </c>
      <c r="E3972" s="15" t="s">
        <v>35</v>
      </c>
      <c r="F3972" s="17">
        <v>26000</v>
      </c>
      <c r="G3972" s="17">
        <v>16000</v>
      </c>
      <c r="H3972" s="16" t="s">
        <v>5110</v>
      </c>
      <c r="I3972" s="40" t="s">
        <v>18</v>
      </c>
      <c r="J3972" s="40" t="str">
        <f>HYPERLINK("https://stock.pstatic.net/stock-research/company/63/20260409_company_109034000.pdf","PDF")</f>
        <v>PDF</v>
      </c>
      <c r="K3972" s="15" t="s">
        <v>5111</v>
      </c>
      <c r="L3972" s="20">
        <v>0.625</v>
      </c>
    </row>
    <row r="3973" spans="1:12" x14ac:dyDescent="0.45">
      <c r="A3973" s="15" t="s">
        <v>5027</v>
      </c>
      <c r="B3973" s="15" t="s">
        <v>2032</v>
      </c>
      <c r="C3973" s="16" t="s">
        <v>2033</v>
      </c>
      <c r="D3973" s="16" t="s">
        <v>92</v>
      </c>
      <c r="E3973" s="15" t="s">
        <v>35</v>
      </c>
      <c r="F3973" s="17">
        <v>45000</v>
      </c>
      <c r="G3973" s="17">
        <v>38850</v>
      </c>
      <c r="H3973" s="16" t="s">
        <v>5112</v>
      </c>
      <c r="I3973" s="40" t="s">
        <v>18</v>
      </c>
      <c r="J3973" s="40" t="str">
        <f>HYPERLINK("https://stock.pstatic.net/stock-research/company/63/20260409_company_192775000.pdf","PDF")</f>
        <v>PDF</v>
      </c>
      <c r="K3973" s="15" t="s">
        <v>5113</v>
      </c>
      <c r="L3973" s="20">
        <v>0.15830115830115829</v>
      </c>
    </row>
    <row r="3974" spans="1:12" x14ac:dyDescent="0.45">
      <c r="A3974" s="15" t="s">
        <v>5027</v>
      </c>
      <c r="B3974" s="15" t="s">
        <v>541</v>
      </c>
      <c r="C3974" s="16" t="s">
        <v>542</v>
      </c>
      <c r="D3974" s="16" t="s">
        <v>53</v>
      </c>
      <c r="E3974" s="15" t="s">
        <v>16</v>
      </c>
      <c r="F3974" s="17">
        <v>107000</v>
      </c>
      <c r="G3974" s="17">
        <v>89000</v>
      </c>
      <c r="H3974" s="16" t="s">
        <v>5114</v>
      </c>
      <c r="I3974" s="40" t="s">
        <v>18</v>
      </c>
      <c r="J3974" s="40" t="str">
        <f>HYPERLINK("https://stock.pstatic.net/stock-research/company/40/20260409_company_202457000.pdf","PDF")</f>
        <v>PDF</v>
      </c>
      <c r="K3974" s="15" t="s">
        <v>5115</v>
      </c>
      <c r="L3974" s="20">
        <v>0.20224719101123589</v>
      </c>
    </row>
    <row r="3975" spans="1:12" x14ac:dyDescent="0.45">
      <c r="A3975" s="15" t="s">
        <v>5027</v>
      </c>
      <c r="B3975" s="15" t="s">
        <v>916</v>
      </c>
      <c r="C3975" s="16" t="s">
        <v>917</v>
      </c>
      <c r="D3975" s="16" t="s">
        <v>179</v>
      </c>
      <c r="E3975" s="15" t="s">
        <v>16</v>
      </c>
      <c r="F3975" s="17">
        <v>74000</v>
      </c>
      <c r="G3975" s="17">
        <v>47850</v>
      </c>
      <c r="H3975" s="16" t="s">
        <v>5116</v>
      </c>
      <c r="I3975" s="40" t="s">
        <v>18</v>
      </c>
      <c r="J3975" s="40" t="str">
        <f>HYPERLINK("https://stock.pstatic.net/stock-research/company/64/20260409_company_403267000.pdf","PDF")</f>
        <v>PDF</v>
      </c>
      <c r="K3975" s="15" t="s">
        <v>5117</v>
      </c>
      <c r="L3975" s="20">
        <v>0.54649947753396033</v>
      </c>
    </row>
    <row r="3976" spans="1:12" x14ac:dyDescent="0.45">
      <c r="A3976" s="15" t="s">
        <v>5027</v>
      </c>
      <c r="B3976" s="15" t="s">
        <v>3105</v>
      </c>
      <c r="C3976" s="16" t="s">
        <v>3106</v>
      </c>
      <c r="D3976" s="16" t="s">
        <v>179</v>
      </c>
      <c r="E3976" s="15" t="s">
        <v>16</v>
      </c>
      <c r="F3976" s="17">
        <v>400000</v>
      </c>
      <c r="G3976" s="17">
        <v>260500</v>
      </c>
      <c r="H3976" s="16" t="s">
        <v>5118</v>
      </c>
      <c r="I3976" s="40" t="s">
        <v>18</v>
      </c>
      <c r="J3976" s="40" t="str">
        <f>HYPERLINK("https://stock.pstatic.net/stock-research/company/64/20260409_company_368945000.pdf","PDF")</f>
        <v>PDF</v>
      </c>
      <c r="K3976" s="15" t="s">
        <v>5119</v>
      </c>
      <c r="L3976" s="20">
        <v>0.53550863723608444</v>
      </c>
    </row>
    <row r="3977" spans="1:12" x14ac:dyDescent="0.45">
      <c r="A3977" s="15" t="s">
        <v>5027</v>
      </c>
      <c r="B3977" s="15" t="s">
        <v>1190</v>
      </c>
      <c r="C3977" s="16" t="s">
        <v>1191</v>
      </c>
      <c r="D3977" s="16" t="s">
        <v>179</v>
      </c>
      <c r="E3977" s="15" t="s">
        <v>50</v>
      </c>
      <c r="F3977" s="16"/>
      <c r="G3977" s="17">
        <v>123800</v>
      </c>
      <c r="H3977" s="16" t="s">
        <v>5120</v>
      </c>
      <c r="I3977" s="40" t="s">
        <v>18</v>
      </c>
      <c r="J3977" s="40" t="str">
        <f>HYPERLINK("https://stock.pstatic.net/stock-research/company/64/20260409_company_256483000.pdf","PDF")</f>
        <v>PDF</v>
      </c>
      <c r="K3977" s="15" t="s">
        <v>5121</v>
      </c>
    </row>
    <row r="3978" spans="1:12" x14ac:dyDescent="0.45">
      <c r="A3978" s="15" t="s">
        <v>5027</v>
      </c>
      <c r="B3978" s="15" t="s">
        <v>577</v>
      </c>
      <c r="C3978" s="16" t="s">
        <v>578</v>
      </c>
      <c r="D3978" s="16" t="s">
        <v>44</v>
      </c>
      <c r="E3978" s="15" t="s">
        <v>35</v>
      </c>
      <c r="F3978" s="17">
        <v>550000</v>
      </c>
      <c r="G3978" s="17">
        <v>407000</v>
      </c>
      <c r="H3978" s="16" t="s">
        <v>5122</v>
      </c>
      <c r="I3978" s="40" t="s">
        <v>18</v>
      </c>
      <c r="J3978" s="40" t="str">
        <f>HYPERLINK("https://stock.pstatic.net/stock-research/company/39/20260409_company_623097000.pdf","PDF")</f>
        <v>PDF</v>
      </c>
      <c r="K3978" s="15" t="s">
        <v>5123</v>
      </c>
      <c r="L3978" s="20">
        <v>0.35135135135135143</v>
      </c>
    </row>
    <row r="3979" spans="1:12" x14ac:dyDescent="0.45">
      <c r="A3979" s="15" t="s">
        <v>5027</v>
      </c>
      <c r="B3979" s="15" t="s">
        <v>2956</v>
      </c>
      <c r="C3979" s="16" t="s">
        <v>2957</v>
      </c>
      <c r="D3979" s="16" t="s">
        <v>44</v>
      </c>
      <c r="E3979" s="15" t="s">
        <v>35</v>
      </c>
      <c r="F3979" s="17">
        <v>47000</v>
      </c>
      <c r="G3979" s="17">
        <v>37400</v>
      </c>
      <c r="H3979" s="16" t="s">
        <v>5124</v>
      </c>
      <c r="I3979" s="40" t="s">
        <v>18</v>
      </c>
      <c r="J3979" s="40" t="str">
        <f>HYPERLINK("https://stock.pstatic.net/stock-research/company/39/20260409_company_812658000.pdf","PDF")</f>
        <v>PDF</v>
      </c>
      <c r="K3979" s="15" t="s">
        <v>5125</v>
      </c>
      <c r="L3979" s="20">
        <v>0.25668449197860971</v>
      </c>
    </row>
    <row r="3980" spans="1:12" x14ac:dyDescent="0.45">
      <c r="A3980" s="15" t="s">
        <v>5027</v>
      </c>
      <c r="B3980" s="15" t="s">
        <v>334</v>
      </c>
      <c r="C3980" s="16" t="s">
        <v>335</v>
      </c>
      <c r="D3980" s="16" t="s">
        <v>44</v>
      </c>
      <c r="E3980" s="15" t="s">
        <v>35</v>
      </c>
      <c r="F3980" s="17">
        <v>1300000</v>
      </c>
      <c r="G3980" s="17">
        <v>1033000</v>
      </c>
      <c r="H3980" s="16" t="s">
        <v>5126</v>
      </c>
      <c r="I3980" s="40" t="s">
        <v>18</v>
      </c>
      <c r="J3980" s="40" t="str">
        <f>HYPERLINK("https://stock.pstatic.net/stock-research/company/39/20260409_company_742153000.pdf","PDF")</f>
        <v>PDF</v>
      </c>
      <c r="K3980" s="15" t="s">
        <v>5127</v>
      </c>
      <c r="L3980" s="20">
        <v>0.25847047434656339</v>
      </c>
    </row>
    <row r="3981" spans="1:12" x14ac:dyDescent="0.45">
      <c r="A3981" s="15" t="s">
        <v>5027</v>
      </c>
      <c r="B3981" s="15" t="s">
        <v>142</v>
      </c>
      <c r="C3981" s="16" t="s">
        <v>143</v>
      </c>
      <c r="D3981" s="16" t="s">
        <v>124</v>
      </c>
      <c r="E3981" s="15" t="s">
        <v>50</v>
      </c>
      <c r="F3981" s="16"/>
      <c r="G3981" s="16"/>
      <c r="H3981" s="16" t="s">
        <v>5128</v>
      </c>
      <c r="I3981" s="40" t="s">
        <v>18</v>
      </c>
      <c r="J3981" s="40" t="str">
        <f>HYPERLINK("https://stock.pstatic.net/stock-research/company/74/20260409_company_198235000.pdf","PDF")</f>
        <v>PDF</v>
      </c>
      <c r="K3981" s="15" t="s">
        <v>5129</v>
      </c>
    </row>
    <row r="3982" spans="1:12" x14ac:dyDescent="0.45">
      <c r="A3982" s="15" t="s">
        <v>5027</v>
      </c>
      <c r="B3982" s="15" t="s">
        <v>495</v>
      </c>
      <c r="C3982" s="16" t="s">
        <v>496</v>
      </c>
      <c r="D3982" s="16" t="s">
        <v>15</v>
      </c>
      <c r="E3982" s="15" t="s">
        <v>16</v>
      </c>
      <c r="F3982" s="17">
        <v>480000</v>
      </c>
      <c r="G3982" s="17">
        <v>335500</v>
      </c>
      <c r="H3982" s="16" t="s">
        <v>5130</v>
      </c>
      <c r="I3982" s="40" t="s">
        <v>18</v>
      </c>
      <c r="J3982" s="40" t="str">
        <f>HYPERLINK("https://stock.pstatic.net/stock-research/company/56/20260409_company_121467000.pdf","PDF")</f>
        <v>PDF</v>
      </c>
      <c r="K3982" s="15" t="s">
        <v>5131</v>
      </c>
      <c r="L3982" s="20">
        <v>0.43070044709388972</v>
      </c>
    </row>
    <row r="3983" spans="1:12" x14ac:dyDescent="0.45">
      <c r="A3983" s="15" t="s">
        <v>5132</v>
      </c>
      <c r="B3983" s="15" t="s">
        <v>3164</v>
      </c>
      <c r="C3983" s="16" t="s">
        <v>3165</v>
      </c>
      <c r="D3983" s="16" t="s">
        <v>57</v>
      </c>
      <c r="E3983" s="15" t="s">
        <v>35</v>
      </c>
      <c r="F3983" s="17">
        <v>200000</v>
      </c>
      <c r="G3983" s="17">
        <v>155900</v>
      </c>
      <c r="H3983" s="16" t="s">
        <v>5133</v>
      </c>
      <c r="I3983" s="40" t="s">
        <v>18</v>
      </c>
      <c r="J3983" s="40" t="str">
        <f>HYPERLINK("https://stock.pstatic.net/stock-research/company/16/20260408_company_300156000.pdf","PDF")</f>
        <v>PDF</v>
      </c>
      <c r="K3983" s="15" t="s">
        <v>5134</v>
      </c>
      <c r="L3983" s="20">
        <v>0.28287363694676082</v>
      </c>
    </row>
    <row r="3984" spans="1:12" x14ac:dyDescent="0.45">
      <c r="A3984" s="15" t="s">
        <v>5132</v>
      </c>
      <c r="B3984" s="15" t="s">
        <v>2378</v>
      </c>
      <c r="C3984" s="16" t="s">
        <v>2379</v>
      </c>
      <c r="D3984" s="16" t="s">
        <v>57</v>
      </c>
      <c r="E3984" s="15" t="s">
        <v>35</v>
      </c>
      <c r="F3984" s="17">
        <v>500000</v>
      </c>
      <c r="G3984" s="17">
        <v>408500</v>
      </c>
      <c r="H3984" s="16" t="s">
        <v>5135</v>
      </c>
      <c r="I3984" s="40" t="s">
        <v>18</v>
      </c>
      <c r="J3984" s="40" t="str">
        <f>HYPERLINK("https://stock.pstatic.net/stock-research/company/16/20260408_company_312240000.pdf","PDF")</f>
        <v>PDF</v>
      </c>
      <c r="K3984" s="15" t="s">
        <v>5136</v>
      </c>
      <c r="L3984" s="20">
        <v>0.22399020807833539</v>
      </c>
    </row>
    <row r="3985" spans="1:12" x14ac:dyDescent="0.45">
      <c r="A3985" s="15" t="s">
        <v>5132</v>
      </c>
      <c r="B3985" s="15" t="s">
        <v>13</v>
      </c>
      <c r="C3985" s="16" t="s">
        <v>14</v>
      </c>
      <c r="D3985" s="16" t="s">
        <v>57</v>
      </c>
      <c r="E3985" s="15" t="s">
        <v>35</v>
      </c>
      <c r="F3985" s="17">
        <v>300000</v>
      </c>
      <c r="G3985" s="17">
        <v>196500</v>
      </c>
      <c r="H3985" s="16" t="s">
        <v>5137</v>
      </c>
      <c r="I3985" s="40" t="s">
        <v>18</v>
      </c>
      <c r="J3985" s="40" t="str">
        <f>HYPERLINK("https://stock.pstatic.net/stock-research/company/16/20260408_company_410966000.pdf","PDF")</f>
        <v>PDF</v>
      </c>
      <c r="K3985" s="15" t="s">
        <v>5138</v>
      </c>
      <c r="L3985" s="20">
        <v>0.52671755725190839</v>
      </c>
    </row>
    <row r="3986" spans="1:12" x14ac:dyDescent="0.45">
      <c r="A3986" s="15" t="s">
        <v>5132</v>
      </c>
      <c r="B3986" s="15" t="s">
        <v>13</v>
      </c>
      <c r="C3986" s="16" t="s">
        <v>14</v>
      </c>
      <c r="D3986" s="16" t="s">
        <v>276</v>
      </c>
      <c r="E3986" s="15" t="s">
        <v>16</v>
      </c>
      <c r="F3986" s="17">
        <v>300000</v>
      </c>
      <c r="G3986" s="17">
        <v>193100</v>
      </c>
      <c r="H3986" s="16" t="s">
        <v>5139</v>
      </c>
      <c r="I3986" s="40" t="s">
        <v>18</v>
      </c>
      <c r="J3986" s="40" t="str">
        <f>HYPERLINK("https://stock.pstatic.net/stock-research/company/66/20260408_company_380373000.pdf","PDF")</f>
        <v>PDF</v>
      </c>
      <c r="K3986" s="15" t="s">
        <v>5140</v>
      </c>
      <c r="L3986" s="20">
        <v>0.55359917141377524</v>
      </c>
    </row>
    <row r="3987" spans="1:12" x14ac:dyDescent="0.45">
      <c r="A3987" s="15" t="s">
        <v>5132</v>
      </c>
      <c r="B3987" s="15" t="s">
        <v>132</v>
      </c>
      <c r="C3987" s="16" t="s">
        <v>133</v>
      </c>
      <c r="D3987" s="16" t="s">
        <v>60</v>
      </c>
      <c r="E3987" s="15" t="s">
        <v>35</v>
      </c>
      <c r="F3987" s="17">
        <v>130000</v>
      </c>
      <c r="G3987" s="17">
        <v>74700</v>
      </c>
      <c r="H3987" s="16" t="s">
        <v>5141</v>
      </c>
      <c r="I3987" s="40" t="s">
        <v>18</v>
      </c>
      <c r="J3987" s="40" t="str">
        <f>HYPERLINK("https://stock.pstatic.net/stock-research/company/62/20260408_company_407936000.pdf","PDF")</f>
        <v>PDF</v>
      </c>
      <c r="K3987" s="15" t="s">
        <v>5142</v>
      </c>
      <c r="L3987" s="20">
        <v>0.74029451137884872</v>
      </c>
    </row>
    <row r="3988" spans="1:12" x14ac:dyDescent="0.45">
      <c r="A3988" s="15" t="s">
        <v>5132</v>
      </c>
      <c r="B3988" s="15" t="s">
        <v>1656</v>
      </c>
      <c r="C3988" s="16" t="s">
        <v>1657</v>
      </c>
      <c r="D3988" s="16" t="s">
        <v>60</v>
      </c>
      <c r="E3988" s="15" t="s">
        <v>35</v>
      </c>
      <c r="F3988" s="17">
        <v>430000</v>
      </c>
      <c r="G3988" s="17">
        <v>311000</v>
      </c>
      <c r="H3988" s="16" t="s">
        <v>5143</v>
      </c>
      <c r="I3988" s="40" t="s">
        <v>18</v>
      </c>
      <c r="J3988" s="40" t="str">
        <f>HYPERLINK("https://stock.pstatic.net/stock-research/company/62/20260408_company_736516000.pdf","PDF")</f>
        <v>PDF</v>
      </c>
      <c r="K3988" s="15" t="s">
        <v>5144</v>
      </c>
      <c r="L3988" s="20">
        <v>0.38263665594855312</v>
      </c>
    </row>
    <row r="3989" spans="1:12" x14ac:dyDescent="0.45">
      <c r="A3989" s="15" t="s">
        <v>5132</v>
      </c>
      <c r="B3989" s="15" t="s">
        <v>13</v>
      </c>
      <c r="C3989" s="16" t="s">
        <v>14</v>
      </c>
      <c r="D3989" s="16" t="s">
        <v>60</v>
      </c>
      <c r="E3989" s="15" t="s">
        <v>50</v>
      </c>
      <c r="F3989" s="16"/>
      <c r="G3989" s="17">
        <v>196500</v>
      </c>
      <c r="H3989" s="16" t="s">
        <v>5145</v>
      </c>
      <c r="I3989" s="40" t="s">
        <v>18</v>
      </c>
      <c r="J3989" s="40" t="str">
        <f>HYPERLINK("https://stock.pstatic.net/stock-research/company/62/20260408_company_920788000.pdf","PDF")</f>
        <v>PDF</v>
      </c>
      <c r="K3989" s="15" t="s">
        <v>5146</v>
      </c>
    </row>
    <row r="3990" spans="1:12" x14ac:dyDescent="0.45">
      <c r="A3990" s="15" t="s">
        <v>5132</v>
      </c>
      <c r="B3990" s="15" t="s">
        <v>1781</v>
      </c>
      <c r="C3990" s="16" t="s">
        <v>1782</v>
      </c>
      <c r="D3990" s="16" t="s">
        <v>60</v>
      </c>
      <c r="E3990" s="15" t="s">
        <v>50</v>
      </c>
      <c r="F3990" s="16"/>
      <c r="G3990" s="17">
        <v>107100</v>
      </c>
      <c r="H3990" s="16" t="s">
        <v>5147</v>
      </c>
      <c r="I3990" s="40" t="s">
        <v>18</v>
      </c>
      <c r="J3990" s="40" t="str">
        <f>HYPERLINK("https://stock.pstatic.net/stock-research/company/62/20260408_company_444989000.pdf","PDF")</f>
        <v>PDF</v>
      </c>
      <c r="K3990" s="15" t="s">
        <v>5148</v>
      </c>
    </row>
    <row r="3991" spans="1:12" x14ac:dyDescent="0.45">
      <c r="A3991" s="15" t="s">
        <v>5132</v>
      </c>
      <c r="B3991" s="15" t="s">
        <v>2425</v>
      </c>
      <c r="C3991" s="16" t="s">
        <v>2426</v>
      </c>
      <c r="D3991" s="16" t="s">
        <v>60</v>
      </c>
      <c r="E3991" s="15" t="s">
        <v>35</v>
      </c>
      <c r="F3991" s="17">
        <v>190000</v>
      </c>
      <c r="G3991" s="17">
        <v>154700</v>
      </c>
      <c r="H3991" s="16" t="s">
        <v>5149</v>
      </c>
      <c r="I3991" s="40" t="s">
        <v>18</v>
      </c>
      <c r="J3991" s="40" t="str">
        <f>HYPERLINK("https://stock.pstatic.net/stock-research/company/62/20260408_company_476466000.pdf","PDF")</f>
        <v>PDF</v>
      </c>
      <c r="K3991" s="15" t="s">
        <v>5150</v>
      </c>
      <c r="L3991" s="20">
        <v>0.22818358112475759</v>
      </c>
    </row>
    <row r="3992" spans="1:12" x14ac:dyDescent="0.45">
      <c r="A3992" s="15" t="s">
        <v>5132</v>
      </c>
      <c r="B3992" s="15" t="s">
        <v>1781</v>
      </c>
      <c r="C3992" s="16" t="s">
        <v>1782</v>
      </c>
      <c r="D3992" s="16" t="s">
        <v>65</v>
      </c>
      <c r="E3992" s="15" t="s">
        <v>35</v>
      </c>
      <c r="F3992" s="17">
        <v>160000</v>
      </c>
      <c r="G3992" s="17">
        <v>107100</v>
      </c>
      <c r="H3992" s="16" t="s">
        <v>5151</v>
      </c>
      <c r="I3992" s="40" t="s">
        <v>18</v>
      </c>
      <c r="J3992" s="40" t="str">
        <f>HYPERLINK("https://stock.pstatic.net/stock-research/company/57/20260408_company_541858000.pdf","PDF")</f>
        <v>PDF</v>
      </c>
      <c r="K3992" s="15" t="s">
        <v>5152</v>
      </c>
      <c r="L3992" s="20">
        <v>0.4939309056956116</v>
      </c>
    </row>
    <row r="3993" spans="1:12" x14ac:dyDescent="0.45">
      <c r="A3993" s="15" t="s">
        <v>5132</v>
      </c>
      <c r="B3993" s="15" t="s">
        <v>2378</v>
      </c>
      <c r="C3993" s="16" t="s">
        <v>2379</v>
      </c>
      <c r="D3993" s="16" t="s">
        <v>65</v>
      </c>
      <c r="E3993" s="15" t="s">
        <v>35</v>
      </c>
      <c r="F3993" s="17">
        <v>518000</v>
      </c>
      <c r="G3993" s="17">
        <v>408500</v>
      </c>
      <c r="H3993" s="16" t="s">
        <v>5153</v>
      </c>
      <c r="I3993" s="40" t="s">
        <v>18</v>
      </c>
      <c r="J3993" s="40" t="str">
        <f>HYPERLINK("https://stock.pstatic.net/stock-research/company/57/20260408_company_252750000.pdf","PDF")</f>
        <v>PDF</v>
      </c>
      <c r="K3993" s="15" t="s">
        <v>5154</v>
      </c>
      <c r="L3993" s="20">
        <v>0.26805385556915551</v>
      </c>
    </row>
    <row r="3994" spans="1:12" x14ac:dyDescent="0.45">
      <c r="A3994" s="15" t="s">
        <v>5132</v>
      </c>
      <c r="B3994" s="15" t="s">
        <v>13</v>
      </c>
      <c r="C3994" s="16" t="s">
        <v>14</v>
      </c>
      <c r="D3994" s="16" t="s">
        <v>65</v>
      </c>
      <c r="E3994" s="15" t="s">
        <v>35</v>
      </c>
      <c r="F3994" s="17">
        <v>300000</v>
      </c>
      <c r="G3994" s="17">
        <v>196500</v>
      </c>
      <c r="H3994" s="16" t="s">
        <v>5155</v>
      </c>
      <c r="I3994" s="40" t="s">
        <v>18</v>
      </c>
      <c r="J3994" s="40" t="str">
        <f>HYPERLINK("https://stock.pstatic.net/stock-research/company/57/20260408_company_903550000.pdf","PDF")</f>
        <v>PDF</v>
      </c>
      <c r="K3994" s="15" t="s">
        <v>5156</v>
      </c>
      <c r="L3994" s="20">
        <v>0.52671755725190839</v>
      </c>
    </row>
    <row r="3995" spans="1:12" x14ac:dyDescent="0.45">
      <c r="A3995" s="15" t="s">
        <v>5132</v>
      </c>
      <c r="B3995" s="15" t="s">
        <v>1042</v>
      </c>
      <c r="C3995" s="16" t="s">
        <v>1043</v>
      </c>
      <c r="D3995" s="16" t="s">
        <v>65</v>
      </c>
      <c r="E3995" s="15" t="s">
        <v>35</v>
      </c>
      <c r="F3995" s="17">
        <v>48000</v>
      </c>
      <c r="G3995" s="17">
        <v>26250</v>
      </c>
      <c r="H3995" s="16" t="s">
        <v>5157</v>
      </c>
      <c r="I3995" s="40" t="s">
        <v>18</v>
      </c>
      <c r="J3995" s="40" t="str">
        <f>HYPERLINK("https://stock.pstatic.net/stock-research/company/57/20260408_company_599903000.pdf","PDF")</f>
        <v>PDF</v>
      </c>
      <c r="K3995" s="15" t="s">
        <v>5158</v>
      </c>
      <c r="L3995" s="20">
        <v>0.82857142857142863</v>
      </c>
    </row>
    <row r="3996" spans="1:12" x14ac:dyDescent="0.45">
      <c r="A3996" s="15" t="s">
        <v>5132</v>
      </c>
      <c r="B3996" s="15" t="s">
        <v>2956</v>
      </c>
      <c r="C3996" s="16" t="s">
        <v>2957</v>
      </c>
      <c r="D3996" s="16" t="s">
        <v>65</v>
      </c>
      <c r="E3996" s="15" t="s">
        <v>35</v>
      </c>
      <c r="F3996" s="17">
        <v>39000</v>
      </c>
      <c r="G3996" s="17">
        <v>28800</v>
      </c>
      <c r="H3996" s="16" t="s">
        <v>5159</v>
      </c>
      <c r="I3996" s="40" t="s">
        <v>18</v>
      </c>
      <c r="J3996" s="40" t="str">
        <f>HYPERLINK("https://stock.pstatic.net/stock-research/company/57/20260408_company_723342000.pdf","PDF")</f>
        <v>PDF</v>
      </c>
      <c r="K3996" s="15" t="s">
        <v>5160</v>
      </c>
      <c r="L3996" s="20">
        <v>0.35416666666666669</v>
      </c>
    </row>
    <row r="3997" spans="1:12" x14ac:dyDescent="0.45">
      <c r="A3997" s="15" t="s">
        <v>5132</v>
      </c>
      <c r="B3997" s="15" t="s">
        <v>2982</v>
      </c>
      <c r="C3997" s="16" t="s">
        <v>2983</v>
      </c>
      <c r="D3997" s="16" t="s">
        <v>65</v>
      </c>
      <c r="E3997" s="15" t="s">
        <v>35</v>
      </c>
      <c r="F3997" s="17">
        <v>100000</v>
      </c>
      <c r="G3997" s="17">
        <v>75600</v>
      </c>
      <c r="H3997" s="16" t="s">
        <v>5161</v>
      </c>
      <c r="I3997" s="40" t="s">
        <v>18</v>
      </c>
      <c r="J3997" s="40" t="str">
        <f>HYPERLINK("https://stock.pstatic.net/stock-research/company/57/20260408_company_722085000.pdf","PDF")</f>
        <v>PDF</v>
      </c>
      <c r="K3997" s="15" t="s">
        <v>5162</v>
      </c>
      <c r="L3997" s="20">
        <v>0.32275132275132268</v>
      </c>
    </row>
    <row r="3998" spans="1:12" x14ac:dyDescent="0.45">
      <c r="A3998" s="15" t="s">
        <v>5132</v>
      </c>
      <c r="B3998" s="15" t="s">
        <v>2199</v>
      </c>
      <c r="C3998" s="16" t="s">
        <v>2200</v>
      </c>
      <c r="D3998" s="16" t="s">
        <v>65</v>
      </c>
      <c r="E3998" s="15" t="s">
        <v>35</v>
      </c>
      <c r="F3998" s="17">
        <v>42000</v>
      </c>
      <c r="G3998" s="17">
        <v>30850</v>
      </c>
      <c r="H3998" s="16" t="s">
        <v>5163</v>
      </c>
      <c r="I3998" s="40" t="s">
        <v>18</v>
      </c>
      <c r="J3998" s="40" t="str">
        <f>HYPERLINK("https://stock.pstatic.net/stock-research/company/57/20260408_company_380682000.pdf","PDF")</f>
        <v>PDF</v>
      </c>
      <c r="K3998" s="15" t="s">
        <v>5164</v>
      </c>
      <c r="L3998" s="20">
        <v>0.36142625607779583</v>
      </c>
    </row>
    <row r="3999" spans="1:12" x14ac:dyDescent="0.45">
      <c r="A3999" s="15" t="s">
        <v>5132</v>
      </c>
      <c r="B3999" s="15" t="s">
        <v>1023</v>
      </c>
      <c r="C3999" s="16" t="s">
        <v>15</v>
      </c>
      <c r="D3999" s="16" t="s">
        <v>65</v>
      </c>
      <c r="E3999" s="15" t="s">
        <v>35</v>
      </c>
      <c r="F3999" s="17">
        <v>81000</v>
      </c>
      <c r="G3999" s="17">
        <v>61500</v>
      </c>
      <c r="H3999" s="16" t="s">
        <v>5165</v>
      </c>
      <c r="I3999" s="40" t="s">
        <v>18</v>
      </c>
      <c r="J3999" s="40" t="str">
        <f>HYPERLINK("https://stock.pstatic.net/stock-research/company/57/20260408_company_709808000.pdf","PDF")</f>
        <v>PDF</v>
      </c>
      <c r="K3999" s="15" t="s">
        <v>5166</v>
      </c>
      <c r="L3999" s="20">
        <v>0.31707317073170732</v>
      </c>
    </row>
    <row r="4000" spans="1:12" x14ac:dyDescent="0.45">
      <c r="A4000" s="15" t="s">
        <v>5132</v>
      </c>
      <c r="B4000" s="15" t="s">
        <v>2105</v>
      </c>
      <c r="C4000" s="16" t="s">
        <v>2106</v>
      </c>
      <c r="D4000" s="16" t="s">
        <v>65</v>
      </c>
      <c r="E4000" s="15" t="s">
        <v>35</v>
      </c>
      <c r="F4000" s="17">
        <v>45000</v>
      </c>
      <c r="G4000" s="17">
        <v>32000</v>
      </c>
      <c r="H4000" s="16" t="s">
        <v>5167</v>
      </c>
      <c r="I4000" s="40" t="s">
        <v>18</v>
      </c>
      <c r="J4000" s="40" t="str">
        <f>HYPERLINK("https://stock.pstatic.net/stock-research/company/57/20260408_company_573269000.pdf","PDF")</f>
        <v>PDF</v>
      </c>
      <c r="K4000" s="15" t="s">
        <v>5168</v>
      </c>
      <c r="L4000" s="20">
        <v>0.40625</v>
      </c>
    </row>
    <row r="4001" spans="1:12" x14ac:dyDescent="0.45">
      <c r="A4001" s="15" t="s">
        <v>5132</v>
      </c>
      <c r="B4001" s="15" t="s">
        <v>3164</v>
      </c>
      <c r="C4001" s="16" t="s">
        <v>3165</v>
      </c>
      <c r="D4001" s="16" t="s">
        <v>158</v>
      </c>
      <c r="E4001" s="15" t="s">
        <v>35</v>
      </c>
      <c r="F4001" s="17">
        <v>202000</v>
      </c>
      <c r="G4001" s="17">
        <v>155900</v>
      </c>
      <c r="H4001" s="16" t="s">
        <v>5169</v>
      </c>
      <c r="I4001" s="40" t="s">
        <v>18</v>
      </c>
      <c r="J4001" s="40" t="str">
        <f>HYPERLINK("https://stock.pstatic.net/stock-research/company/18/20260408_company_87715000.pdf","PDF")</f>
        <v>PDF</v>
      </c>
      <c r="K4001" s="15" t="s">
        <v>5170</v>
      </c>
      <c r="L4001" s="20">
        <v>0.29570237331622828</v>
      </c>
    </row>
    <row r="4002" spans="1:12" x14ac:dyDescent="0.45">
      <c r="A4002" s="15" t="s">
        <v>5132</v>
      </c>
      <c r="B4002" s="15" t="s">
        <v>434</v>
      </c>
      <c r="C4002" s="16" t="s">
        <v>435</v>
      </c>
      <c r="D4002" s="16" t="s">
        <v>158</v>
      </c>
      <c r="E4002" s="15" t="s">
        <v>35</v>
      </c>
      <c r="F4002" s="17">
        <v>178000</v>
      </c>
      <c r="G4002" s="17">
        <v>127700</v>
      </c>
      <c r="H4002" s="16" t="s">
        <v>5171</v>
      </c>
      <c r="I4002" s="40" t="s">
        <v>18</v>
      </c>
      <c r="J4002" s="40" t="str">
        <f>HYPERLINK("https://stock.pstatic.net/stock-research/company/18/20260408_company_276798000.pdf","PDF")</f>
        <v>PDF</v>
      </c>
      <c r="K4002" s="15" t="s">
        <v>5172</v>
      </c>
      <c r="L4002" s="20">
        <v>0.39389193422083008</v>
      </c>
    </row>
    <row r="4003" spans="1:12" x14ac:dyDescent="0.45">
      <c r="A4003" s="15" t="s">
        <v>5132</v>
      </c>
      <c r="B4003" s="15" t="s">
        <v>533</v>
      </c>
      <c r="C4003" s="16" t="s">
        <v>534</v>
      </c>
      <c r="D4003" s="16" t="s">
        <v>158</v>
      </c>
      <c r="E4003" s="15" t="s">
        <v>35</v>
      </c>
      <c r="F4003" s="17">
        <v>73000</v>
      </c>
      <c r="G4003" s="17">
        <v>59100</v>
      </c>
      <c r="H4003" s="16" t="s">
        <v>5173</v>
      </c>
      <c r="I4003" s="40" t="s">
        <v>18</v>
      </c>
      <c r="J4003" s="40" t="str">
        <f>HYPERLINK("https://stock.pstatic.net/stock-research/company/18/20260408_company_481227000.pdf","PDF")</f>
        <v>PDF</v>
      </c>
      <c r="K4003" s="15" t="s">
        <v>5174</v>
      </c>
      <c r="L4003" s="20">
        <v>0.23519458544839261</v>
      </c>
    </row>
    <row r="4004" spans="1:12" x14ac:dyDescent="0.45">
      <c r="A4004" s="15" t="s">
        <v>5132</v>
      </c>
      <c r="B4004" s="15" t="s">
        <v>541</v>
      </c>
      <c r="C4004" s="16" t="s">
        <v>542</v>
      </c>
      <c r="D4004" s="16" t="s">
        <v>15</v>
      </c>
      <c r="E4004" s="15" t="s">
        <v>16</v>
      </c>
      <c r="F4004" s="17">
        <v>98000</v>
      </c>
      <c r="G4004" s="17">
        <v>81600</v>
      </c>
      <c r="H4004" s="16" t="s">
        <v>5175</v>
      </c>
      <c r="I4004" s="40" t="s">
        <v>18</v>
      </c>
      <c r="J4004" s="40" t="str">
        <f>HYPERLINK("https://stock.pstatic.net/stock-research/company/56/20260408_company_572957000.pdf","PDF")</f>
        <v>PDF</v>
      </c>
      <c r="K4004" s="15" t="s">
        <v>5176</v>
      </c>
      <c r="L4004" s="20">
        <v>0.20098039215686281</v>
      </c>
    </row>
    <row r="4005" spans="1:12" x14ac:dyDescent="0.45">
      <c r="A4005" s="15" t="s">
        <v>5132</v>
      </c>
      <c r="B4005" s="15" t="s">
        <v>13</v>
      </c>
      <c r="C4005" s="16" t="s">
        <v>14</v>
      </c>
      <c r="D4005" s="16" t="s">
        <v>83</v>
      </c>
      <c r="E4005" s="15" t="s">
        <v>35</v>
      </c>
      <c r="F4005" s="17">
        <v>270000</v>
      </c>
      <c r="G4005" s="17">
        <v>193100</v>
      </c>
      <c r="H4005" s="16" t="s">
        <v>5177</v>
      </c>
      <c r="I4005" s="40" t="s">
        <v>18</v>
      </c>
      <c r="J4005" s="40" t="str">
        <f>HYPERLINK("https://stock.pstatic.net/stock-research/company/15/20260408_company_27311000.pdf","PDF")</f>
        <v>PDF</v>
      </c>
      <c r="K4005" s="15" t="s">
        <v>5178</v>
      </c>
      <c r="L4005" s="20">
        <v>0.3982392542723977</v>
      </c>
    </row>
    <row r="4006" spans="1:12" x14ac:dyDescent="0.45">
      <c r="A4006" s="15" t="s">
        <v>5132</v>
      </c>
      <c r="B4006" s="15" t="s">
        <v>102</v>
      </c>
      <c r="C4006" s="16" t="s">
        <v>103</v>
      </c>
      <c r="D4006" s="16" t="s">
        <v>83</v>
      </c>
      <c r="E4006" s="15" t="s">
        <v>35</v>
      </c>
      <c r="F4006" s="17">
        <v>35000</v>
      </c>
      <c r="G4006" s="17">
        <v>22200</v>
      </c>
      <c r="H4006" s="16" t="s">
        <v>5179</v>
      </c>
      <c r="I4006" s="40" t="s">
        <v>18</v>
      </c>
      <c r="J4006" s="40" t="str">
        <f>HYPERLINK("https://stock.pstatic.net/stock-research/company/15/20260408_company_935277000.pdf","PDF")</f>
        <v>PDF</v>
      </c>
      <c r="K4006" s="15" t="s">
        <v>5180</v>
      </c>
      <c r="L4006" s="20">
        <v>0.57657657657657657</v>
      </c>
    </row>
    <row r="4007" spans="1:12" x14ac:dyDescent="0.45">
      <c r="A4007" s="15" t="s">
        <v>5132</v>
      </c>
      <c r="B4007" s="15" t="s">
        <v>32</v>
      </c>
      <c r="C4007" s="16" t="s">
        <v>33</v>
      </c>
      <c r="D4007" s="16" t="s">
        <v>83</v>
      </c>
      <c r="E4007" s="15" t="s">
        <v>35</v>
      </c>
      <c r="F4007" s="17">
        <v>550000</v>
      </c>
      <c r="G4007" s="17">
        <v>462000</v>
      </c>
      <c r="H4007" s="16" t="s">
        <v>5181</v>
      </c>
      <c r="I4007" s="40" t="s">
        <v>18</v>
      </c>
      <c r="J4007" s="40" t="str">
        <f>HYPERLINK("https://stock.pstatic.net/stock-research/company/15/20260408_company_28861000.pdf","PDF")</f>
        <v>PDF</v>
      </c>
      <c r="K4007" s="15" t="s">
        <v>5182</v>
      </c>
      <c r="L4007" s="20">
        <v>0.19047619047619049</v>
      </c>
    </row>
    <row r="4008" spans="1:12" x14ac:dyDescent="0.45">
      <c r="A4008" s="15" t="s">
        <v>5132</v>
      </c>
      <c r="B4008" s="15" t="s">
        <v>1781</v>
      </c>
      <c r="C4008" s="16" t="s">
        <v>1782</v>
      </c>
      <c r="D4008" s="16" t="s">
        <v>83</v>
      </c>
      <c r="E4008" s="15" t="s">
        <v>35</v>
      </c>
      <c r="F4008" s="17">
        <v>160000</v>
      </c>
      <c r="G4008" s="17">
        <v>107100</v>
      </c>
      <c r="H4008" s="16" t="s">
        <v>5183</v>
      </c>
      <c r="I4008" s="40" t="s">
        <v>18</v>
      </c>
      <c r="J4008" s="40" t="str">
        <f>HYPERLINK("https://stock.pstatic.net/stock-research/company/15/20260408_company_443364000.pdf","PDF")</f>
        <v>PDF</v>
      </c>
      <c r="K4008" s="15" t="s">
        <v>5184</v>
      </c>
      <c r="L4008" s="20">
        <v>0.4939309056956116</v>
      </c>
    </row>
    <row r="4009" spans="1:12" x14ac:dyDescent="0.45">
      <c r="A4009" s="15" t="s">
        <v>5132</v>
      </c>
      <c r="B4009" s="15" t="s">
        <v>1678</v>
      </c>
      <c r="C4009" s="16" t="s">
        <v>1679</v>
      </c>
      <c r="D4009" s="16" t="s">
        <v>83</v>
      </c>
      <c r="E4009" s="15" t="s">
        <v>35</v>
      </c>
      <c r="F4009" s="17">
        <v>85000</v>
      </c>
      <c r="G4009" s="17">
        <v>52000</v>
      </c>
      <c r="H4009" s="16" t="s">
        <v>5185</v>
      </c>
      <c r="I4009" s="40" t="s">
        <v>18</v>
      </c>
      <c r="J4009" s="40" t="str">
        <f>HYPERLINK("https://stock.pstatic.net/stock-research/company/15/20260408_company_627798000.pdf","PDF")</f>
        <v>PDF</v>
      </c>
      <c r="K4009" s="15" t="s">
        <v>5186</v>
      </c>
      <c r="L4009" s="20">
        <v>0.63461538461538458</v>
      </c>
    </row>
    <row r="4010" spans="1:12" x14ac:dyDescent="0.45">
      <c r="A4010" s="15" t="s">
        <v>5132</v>
      </c>
      <c r="B4010" s="15" t="s">
        <v>3182</v>
      </c>
      <c r="C4010" s="16" t="s">
        <v>3183</v>
      </c>
      <c r="D4010" s="16" t="s">
        <v>83</v>
      </c>
      <c r="E4010" s="15" t="s">
        <v>35</v>
      </c>
      <c r="F4010" s="17">
        <v>1100000</v>
      </c>
      <c r="G4010" s="17">
        <v>862000</v>
      </c>
      <c r="H4010" s="16" t="s">
        <v>5187</v>
      </c>
      <c r="I4010" s="40" t="s">
        <v>18</v>
      </c>
      <c r="J4010" s="40" t="str">
        <f>HYPERLINK("https://stock.pstatic.net/stock-research/company/15/20260408_company_963985000.pdf","PDF")</f>
        <v>PDF</v>
      </c>
      <c r="K4010" s="15" t="s">
        <v>5188</v>
      </c>
      <c r="L4010" s="20">
        <v>0.27610208816705328</v>
      </c>
    </row>
    <row r="4011" spans="1:12" x14ac:dyDescent="0.45">
      <c r="A4011" s="15" t="s">
        <v>5132</v>
      </c>
      <c r="B4011" s="15" t="s">
        <v>3327</v>
      </c>
      <c r="C4011" s="16" t="s">
        <v>3328</v>
      </c>
      <c r="D4011" s="16" t="s">
        <v>23</v>
      </c>
      <c r="E4011" s="15" t="s">
        <v>50</v>
      </c>
      <c r="F4011" s="16"/>
      <c r="G4011" s="17">
        <v>176400</v>
      </c>
      <c r="H4011" s="16" t="s">
        <v>5189</v>
      </c>
      <c r="I4011" s="40" t="s">
        <v>18</v>
      </c>
      <c r="J4011" s="40" t="str">
        <f>HYPERLINK("https://stock.pstatic.net/stock-research/company/21/20260408_company_500189000.pdf","PDF")</f>
        <v>PDF</v>
      </c>
      <c r="K4011" s="15" t="s">
        <v>5190</v>
      </c>
    </row>
    <row r="4012" spans="1:12" x14ac:dyDescent="0.45">
      <c r="A4012" s="15" t="s">
        <v>5132</v>
      </c>
      <c r="B4012" s="15" t="s">
        <v>1781</v>
      </c>
      <c r="C4012" s="16" t="s">
        <v>1782</v>
      </c>
      <c r="D4012" s="16" t="s">
        <v>92</v>
      </c>
      <c r="E4012" s="15" t="s">
        <v>35</v>
      </c>
      <c r="F4012" s="17">
        <v>132000</v>
      </c>
      <c r="G4012" s="17">
        <v>107100</v>
      </c>
      <c r="H4012" s="16" t="s">
        <v>5191</v>
      </c>
      <c r="I4012" s="40" t="s">
        <v>18</v>
      </c>
      <c r="J4012" s="40" t="str">
        <f>HYPERLINK("https://stock.pstatic.net/stock-research/company/63/20260408_company_860975000.pdf","PDF")</f>
        <v>PDF</v>
      </c>
      <c r="K4012" s="15" t="s">
        <v>5192</v>
      </c>
      <c r="L4012" s="20">
        <v>0.23249299719887959</v>
      </c>
    </row>
    <row r="4013" spans="1:12" x14ac:dyDescent="0.45">
      <c r="A4013" s="15" t="s">
        <v>5132</v>
      </c>
      <c r="B4013" s="15" t="s">
        <v>3105</v>
      </c>
      <c r="C4013" s="16" t="s">
        <v>3106</v>
      </c>
      <c r="D4013" s="16" t="s">
        <v>34</v>
      </c>
      <c r="E4013" s="15" t="s">
        <v>35</v>
      </c>
      <c r="F4013" s="17">
        <v>400000</v>
      </c>
      <c r="G4013" s="17">
        <v>256000</v>
      </c>
      <c r="H4013" s="16" t="s">
        <v>5193</v>
      </c>
      <c r="I4013" s="40" t="s">
        <v>18</v>
      </c>
      <c r="J4013" s="40" t="str">
        <f>HYPERLINK("https://stock.pstatic.net/stock-research/company/61/20260408_company_235430000.pdf","PDF")</f>
        <v>PDF</v>
      </c>
      <c r="K4013" s="15" t="s">
        <v>5194</v>
      </c>
      <c r="L4013" s="20">
        <v>0.5625</v>
      </c>
    </row>
    <row r="4014" spans="1:12" x14ac:dyDescent="0.45">
      <c r="A4014" s="15" t="s">
        <v>5132</v>
      </c>
      <c r="B4014" s="15" t="s">
        <v>2378</v>
      </c>
      <c r="C4014" s="16" t="s">
        <v>2379</v>
      </c>
      <c r="D4014" s="16" t="s">
        <v>53</v>
      </c>
      <c r="E4014" s="15" t="s">
        <v>50</v>
      </c>
      <c r="F4014" s="16"/>
      <c r="G4014" s="17">
        <v>408500</v>
      </c>
      <c r="H4014" s="16" t="s">
        <v>5195</v>
      </c>
      <c r="I4014" s="40" t="s">
        <v>18</v>
      </c>
      <c r="J4014" s="40" t="str">
        <f>HYPERLINK("https://stock.pstatic.net/stock-research/company/40/20260408_company_767212000.pdf","PDF")</f>
        <v>PDF</v>
      </c>
      <c r="K4014" s="15" t="s">
        <v>5196</v>
      </c>
    </row>
    <row r="4015" spans="1:12" x14ac:dyDescent="0.45">
      <c r="A4015" s="15" t="s">
        <v>5132</v>
      </c>
      <c r="B4015" s="15" t="s">
        <v>4567</v>
      </c>
      <c r="C4015" s="16" t="s">
        <v>4568</v>
      </c>
      <c r="D4015" s="16" t="s">
        <v>92</v>
      </c>
      <c r="E4015" s="15" t="s">
        <v>35</v>
      </c>
      <c r="F4015" s="17">
        <v>120000</v>
      </c>
      <c r="G4015" s="17">
        <v>82500</v>
      </c>
      <c r="H4015" s="16" t="s">
        <v>5197</v>
      </c>
      <c r="I4015" s="40" t="s">
        <v>18</v>
      </c>
      <c r="J4015" s="40" t="str">
        <f>HYPERLINK("https://stock.pstatic.net/stock-research/company/63/20260408_company_284194000.pdf","PDF")</f>
        <v>PDF</v>
      </c>
      <c r="K4015" s="15" t="s">
        <v>5198</v>
      </c>
      <c r="L4015" s="20">
        <v>0.45454545454545447</v>
      </c>
    </row>
    <row r="4016" spans="1:12" x14ac:dyDescent="0.45">
      <c r="A4016" s="15" t="s">
        <v>5132</v>
      </c>
      <c r="B4016" s="15" t="s">
        <v>4557</v>
      </c>
      <c r="C4016" s="16" t="s">
        <v>4558</v>
      </c>
      <c r="D4016" s="16" t="s">
        <v>92</v>
      </c>
      <c r="E4016" s="15" t="s">
        <v>50</v>
      </c>
      <c r="F4016" s="16"/>
      <c r="G4016" s="17">
        <v>19120</v>
      </c>
      <c r="H4016" s="16" t="s">
        <v>5199</v>
      </c>
      <c r="I4016" s="40" t="s">
        <v>18</v>
      </c>
      <c r="J4016" s="40" t="str">
        <f>HYPERLINK("https://stock.pstatic.net/stock-research/company/63/20260408_company_585485000.pdf","PDF")</f>
        <v>PDF</v>
      </c>
      <c r="K4016" s="15" t="s">
        <v>5200</v>
      </c>
    </row>
    <row r="4017" spans="1:12" x14ac:dyDescent="0.45">
      <c r="A4017" s="15" t="s">
        <v>5132</v>
      </c>
      <c r="B4017" s="15" t="s">
        <v>2378</v>
      </c>
      <c r="C4017" s="16" t="s">
        <v>2379</v>
      </c>
      <c r="D4017" s="16" t="s">
        <v>23</v>
      </c>
      <c r="E4017" s="15" t="s">
        <v>16</v>
      </c>
      <c r="F4017" s="17">
        <v>510000</v>
      </c>
      <c r="G4017" s="17">
        <v>408500</v>
      </c>
      <c r="H4017" s="16" t="s">
        <v>5201</v>
      </c>
      <c r="I4017" s="40" t="s">
        <v>18</v>
      </c>
      <c r="J4017" s="40" t="str">
        <f>HYPERLINK("https://stock.pstatic.net/stock-research/company/21/20260408_company_983359000.pdf","PDF")</f>
        <v>PDF</v>
      </c>
      <c r="K4017" s="15" t="s">
        <v>5202</v>
      </c>
      <c r="L4017" s="20">
        <v>0.24847001223990209</v>
      </c>
    </row>
    <row r="4018" spans="1:12" x14ac:dyDescent="0.45">
      <c r="A4018" s="15" t="s">
        <v>5132</v>
      </c>
      <c r="B4018" s="15" t="s">
        <v>2378</v>
      </c>
      <c r="C4018" s="16" t="s">
        <v>2379</v>
      </c>
      <c r="D4018" s="16" t="s">
        <v>34</v>
      </c>
      <c r="E4018" s="15" t="s">
        <v>35</v>
      </c>
      <c r="F4018" s="17">
        <v>560000</v>
      </c>
      <c r="G4018" s="17">
        <v>408500</v>
      </c>
      <c r="H4018" s="16" t="s">
        <v>5203</v>
      </c>
      <c r="I4018" s="40" t="s">
        <v>18</v>
      </c>
      <c r="J4018" s="40" t="str">
        <f>HYPERLINK("https://stock.pstatic.net/stock-research/company/61/20260408_company_281509000.pdf","PDF")</f>
        <v>PDF</v>
      </c>
      <c r="K4018" s="15" t="s">
        <v>5204</v>
      </c>
      <c r="L4018" s="20">
        <v>0.37086903304773561</v>
      </c>
    </row>
    <row r="4019" spans="1:12" x14ac:dyDescent="0.45">
      <c r="A4019" s="15" t="s">
        <v>5132</v>
      </c>
      <c r="B4019" s="15" t="s">
        <v>1270</v>
      </c>
      <c r="C4019" s="16" t="s">
        <v>1271</v>
      </c>
      <c r="D4019" s="16" t="s">
        <v>179</v>
      </c>
      <c r="E4019" s="15" t="s">
        <v>16</v>
      </c>
      <c r="F4019" s="17">
        <v>154000</v>
      </c>
      <c r="G4019" s="17">
        <v>95200</v>
      </c>
      <c r="H4019" s="16" t="s">
        <v>5205</v>
      </c>
      <c r="I4019" s="40" t="s">
        <v>18</v>
      </c>
      <c r="J4019" s="40" t="str">
        <f>HYPERLINK("https://stock.pstatic.net/stock-research/company/64/20260408_company_255325000.pdf","PDF")</f>
        <v>PDF</v>
      </c>
      <c r="K4019" s="15" t="s">
        <v>5206</v>
      </c>
      <c r="L4019" s="20">
        <v>0.61764705882352944</v>
      </c>
    </row>
    <row r="4020" spans="1:12" x14ac:dyDescent="0.45">
      <c r="A4020" s="15" t="s">
        <v>5132</v>
      </c>
      <c r="B4020" s="15" t="s">
        <v>1781</v>
      </c>
      <c r="C4020" s="16" t="s">
        <v>1782</v>
      </c>
      <c r="D4020" s="16" t="s">
        <v>34</v>
      </c>
      <c r="E4020" s="15" t="s">
        <v>35</v>
      </c>
      <c r="F4020" s="17">
        <v>124000</v>
      </c>
      <c r="G4020" s="17">
        <v>107100</v>
      </c>
      <c r="H4020" s="16" t="s">
        <v>5207</v>
      </c>
      <c r="I4020" s="40" t="s">
        <v>18</v>
      </c>
      <c r="J4020" s="40" t="str">
        <f>HYPERLINK("https://stock.pstatic.net/stock-research/company/61/20260408_company_58025000.pdf","PDF")</f>
        <v>PDF</v>
      </c>
      <c r="K4020" s="15" t="s">
        <v>5208</v>
      </c>
      <c r="L4020" s="20">
        <v>0.157796451914099</v>
      </c>
    </row>
    <row r="4021" spans="1:12" x14ac:dyDescent="0.45">
      <c r="A4021" s="15" t="s">
        <v>5132</v>
      </c>
      <c r="B4021" s="15" t="s">
        <v>13</v>
      </c>
      <c r="C4021" s="16" t="s">
        <v>14</v>
      </c>
      <c r="D4021" s="16" t="s">
        <v>34</v>
      </c>
      <c r="E4021" s="15" t="s">
        <v>35</v>
      </c>
      <c r="F4021" s="17">
        <v>300000</v>
      </c>
      <c r="G4021" s="17">
        <v>196500</v>
      </c>
      <c r="H4021" s="16" t="s">
        <v>5209</v>
      </c>
      <c r="I4021" s="40" t="s">
        <v>18</v>
      </c>
      <c r="J4021" s="40" t="str">
        <f>HYPERLINK("https://stock.pstatic.net/stock-research/company/61/20260408_company_178533000.pdf","PDF")</f>
        <v>PDF</v>
      </c>
      <c r="K4021" s="15" t="s">
        <v>5210</v>
      </c>
      <c r="L4021" s="20">
        <v>0.52671755725190839</v>
      </c>
    </row>
    <row r="4022" spans="1:12" x14ac:dyDescent="0.45">
      <c r="A4022" s="15" t="s">
        <v>5132</v>
      </c>
      <c r="B4022" s="15" t="s">
        <v>2378</v>
      </c>
      <c r="C4022" s="16" t="s">
        <v>2379</v>
      </c>
      <c r="D4022" s="16" t="s">
        <v>44</v>
      </c>
      <c r="E4022" s="15" t="s">
        <v>50</v>
      </c>
      <c r="F4022" s="16"/>
      <c r="G4022" s="17">
        <v>408500</v>
      </c>
      <c r="H4022" s="16" t="s">
        <v>5211</v>
      </c>
      <c r="I4022" s="40" t="s">
        <v>18</v>
      </c>
      <c r="J4022" s="40" t="str">
        <f>HYPERLINK("https://stock.pstatic.net/stock-research/company/39/20260408_company_449700000.pdf","PDF")</f>
        <v>PDF</v>
      </c>
      <c r="K4022" s="15" t="s">
        <v>5212</v>
      </c>
    </row>
    <row r="4023" spans="1:12" x14ac:dyDescent="0.45">
      <c r="A4023" s="15" t="s">
        <v>5132</v>
      </c>
      <c r="B4023" s="15" t="s">
        <v>2982</v>
      </c>
      <c r="C4023" s="16" t="s">
        <v>2983</v>
      </c>
      <c r="D4023" s="16" t="s">
        <v>44</v>
      </c>
      <c r="E4023" s="15" t="s">
        <v>35</v>
      </c>
      <c r="F4023" s="17">
        <v>103000</v>
      </c>
      <c r="G4023" s="17">
        <v>75600</v>
      </c>
      <c r="H4023" s="16" t="s">
        <v>5213</v>
      </c>
      <c r="I4023" s="40" t="s">
        <v>18</v>
      </c>
      <c r="J4023" s="40" t="str">
        <f>HYPERLINK("https://stock.pstatic.net/stock-research/company/39/20260408_company_311906000.pdf","PDF")</f>
        <v>PDF</v>
      </c>
      <c r="K4023" s="15" t="s">
        <v>5214</v>
      </c>
      <c r="L4023" s="20">
        <v>0.36243386243386239</v>
      </c>
    </row>
    <row r="4024" spans="1:12" x14ac:dyDescent="0.45">
      <c r="A4024" s="15" t="s">
        <v>5132</v>
      </c>
      <c r="B4024" s="15" t="s">
        <v>13</v>
      </c>
      <c r="C4024" s="16" t="s">
        <v>14</v>
      </c>
      <c r="D4024" s="16" t="s">
        <v>44</v>
      </c>
      <c r="E4024" s="15" t="s">
        <v>35</v>
      </c>
      <c r="F4024" s="17">
        <v>260000</v>
      </c>
      <c r="G4024" s="17">
        <v>196500</v>
      </c>
      <c r="H4024" s="16" t="s">
        <v>5215</v>
      </c>
      <c r="I4024" s="40" t="s">
        <v>18</v>
      </c>
      <c r="J4024" s="40" t="str">
        <f>HYPERLINK("https://stock.pstatic.net/stock-research/company/39/20260408_company_809579000.pdf","PDF")</f>
        <v>PDF</v>
      </c>
      <c r="K4024" s="15" t="s">
        <v>5216</v>
      </c>
      <c r="L4024" s="20">
        <v>0.32315521628498728</v>
      </c>
    </row>
    <row r="4025" spans="1:12" x14ac:dyDescent="0.45">
      <c r="A4025" s="15" t="s">
        <v>5132</v>
      </c>
      <c r="B4025" s="15" t="s">
        <v>13</v>
      </c>
      <c r="C4025" s="16" t="s">
        <v>14</v>
      </c>
      <c r="D4025" s="16" t="s">
        <v>53</v>
      </c>
      <c r="E4025" s="15" t="s">
        <v>16</v>
      </c>
      <c r="F4025" s="17">
        <v>350000</v>
      </c>
      <c r="G4025" s="17">
        <v>196500</v>
      </c>
      <c r="H4025" s="16" t="s">
        <v>5217</v>
      </c>
      <c r="I4025" s="40" t="s">
        <v>18</v>
      </c>
      <c r="J4025" s="40" t="str">
        <f>HYPERLINK("https://stock.pstatic.net/stock-research/company/40/20260408_company_711086000.pdf","PDF")</f>
        <v>PDF</v>
      </c>
      <c r="K4025" s="15" t="s">
        <v>5218</v>
      </c>
      <c r="L4025" s="20">
        <v>0.78117048346055984</v>
      </c>
    </row>
    <row r="4026" spans="1:12" x14ac:dyDescent="0.45">
      <c r="A4026" s="15" t="s">
        <v>5132</v>
      </c>
      <c r="B4026" s="15" t="s">
        <v>3606</v>
      </c>
      <c r="C4026" s="16" t="s">
        <v>3607</v>
      </c>
      <c r="D4026" s="16" t="s">
        <v>124</v>
      </c>
      <c r="E4026" s="15" t="s">
        <v>50</v>
      </c>
      <c r="F4026" s="16"/>
      <c r="G4026" s="16"/>
      <c r="H4026" s="16" t="s">
        <v>5219</v>
      </c>
      <c r="I4026" s="40" t="s">
        <v>18</v>
      </c>
      <c r="J4026" s="40" t="str">
        <f>HYPERLINK("https://stock.pstatic.net/stock-research/company/74/20260408_company_715156000.pdf","PDF")</f>
        <v>PDF</v>
      </c>
      <c r="K4026" s="15" t="s">
        <v>5220</v>
      </c>
    </row>
    <row r="4027" spans="1:12" x14ac:dyDescent="0.45">
      <c r="A4027" s="15" t="s">
        <v>5221</v>
      </c>
      <c r="B4027" s="15" t="s">
        <v>1765</v>
      </c>
      <c r="C4027" s="16" t="s">
        <v>1766</v>
      </c>
      <c r="D4027" s="16" t="s">
        <v>57</v>
      </c>
      <c r="E4027" s="15" t="s">
        <v>35</v>
      </c>
      <c r="F4027" s="17">
        <v>245000</v>
      </c>
      <c r="G4027" s="17">
        <v>151600</v>
      </c>
      <c r="H4027" s="16" t="s">
        <v>5222</v>
      </c>
      <c r="I4027" s="40" t="s">
        <v>18</v>
      </c>
      <c r="J4027" s="40" t="str">
        <f>HYPERLINK("https://stock.pstatic.net/stock-research/company/16/20260407_company_956203000.pdf","PDF")</f>
        <v>PDF</v>
      </c>
      <c r="K4027" s="15" t="s">
        <v>5223</v>
      </c>
      <c r="L4027" s="20">
        <v>0.61609498680738783</v>
      </c>
    </row>
    <row r="4028" spans="1:12" x14ac:dyDescent="0.45">
      <c r="A4028" s="15" t="s">
        <v>5221</v>
      </c>
      <c r="B4028" s="15" t="s">
        <v>519</v>
      </c>
      <c r="C4028" s="16" t="s">
        <v>520</v>
      </c>
      <c r="D4028" s="16" t="s">
        <v>57</v>
      </c>
      <c r="E4028" s="15" t="s">
        <v>35</v>
      </c>
      <c r="F4028" s="17">
        <v>660000</v>
      </c>
      <c r="G4028" s="17">
        <v>469000</v>
      </c>
      <c r="H4028" s="16" t="s">
        <v>5224</v>
      </c>
      <c r="I4028" s="40" t="s">
        <v>18</v>
      </c>
      <c r="J4028" s="40" t="str">
        <f>HYPERLINK("https://stock.pstatic.net/stock-research/company/16/20260407_company_363615000.pdf","PDF")</f>
        <v>PDF</v>
      </c>
      <c r="K4028" s="15" t="s">
        <v>5225</v>
      </c>
      <c r="L4028" s="20">
        <v>0.40724946695095948</v>
      </c>
    </row>
    <row r="4029" spans="1:12" x14ac:dyDescent="0.45">
      <c r="A4029" s="15" t="s">
        <v>5221</v>
      </c>
      <c r="B4029" s="15" t="s">
        <v>3150</v>
      </c>
      <c r="C4029" s="16" t="s">
        <v>3151</v>
      </c>
      <c r="D4029" s="16" t="s">
        <v>276</v>
      </c>
      <c r="E4029" s="15" t="s">
        <v>50</v>
      </c>
      <c r="F4029" s="16"/>
      <c r="G4029" s="17">
        <v>154400</v>
      </c>
      <c r="H4029" s="16" t="s">
        <v>5226</v>
      </c>
      <c r="I4029" s="40" t="s">
        <v>18</v>
      </c>
      <c r="J4029" s="40" t="str">
        <f>HYPERLINK("https://stock.pstatic.net/stock-research/company/66/20260407_company_837153000.pdf","PDF")</f>
        <v>PDF</v>
      </c>
      <c r="K4029" s="15" t="s">
        <v>5227</v>
      </c>
    </row>
    <row r="4030" spans="1:12" x14ac:dyDescent="0.45">
      <c r="A4030" s="15" t="s">
        <v>5221</v>
      </c>
      <c r="B4030" s="15" t="s">
        <v>691</v>
      </c>
      <c r="C4030" s="16" t="s">
        <v>20</v>
      </c>
      <c r="D4030" s="16" t="s">
        <v>276</v>
      </c>
      <c r="E4030" s="15" t="s">
        <v>16</v>
      </c>
      <c r="F4030" s="17">
        <v>320000</v>
      </c>
      <c r="G4030" s="17">
        <v>195800</v>
      </c>
      <c r="H4030" s="16" t="s">
        <v>5228</v>
      </c>
      <c r="I4030" s="40" t="s">
        <v>18</v>
      </c>
      <c r="J4030" s="40" t="str">
        <f>HYPERLINK("https://stock.pstatic.net/stock-research/company/66/20260407_company_325418000.pdf","PDF")</f>
        <v>PDF</v>
      </c>
      <c r="K4030" s="15" t="s">
        <v>5229</v>
      </c>
      <c r="L4030" s="20">
        <v>0.63432073544433099</v>
      </c>
    </row>
    <row r="4031" spans="1:12" x14ac:dyDescent="0.45">
      <c r="A4031" s="15" t="s">
        <v>5221</v>
      </c>
      <c r="B4031" s="15" t="s">
        <v>760</v>
      </c>
      <c r="C4031" s="16" t="s">
        <v>761</v>
      </c>
      <c r="D4031" s="16" t="s">
        <v>60</v>
      </c>
      <c r="E4031" s="15" t="s">
        <v>35</v>
      </c>
      <c r="F4031" s="17">
        <v>220000</v>
      </c>
      <c r="G4031" s="17">
        <v>151700</v>
      </c>
      <c r="H4031" s="16" t="s">
        <v>5230</v>
      </c>
      <c r="I4031" s="40" t="s">
        <v>18</v>
      </c>
      <c r="J4031" s="40" t="str">
        <f>HYPERLINK("https://stock.pstatic.net/stock-research/company/62/20260407_company_161429000.pdf","PDF")</f>
        <v>PDF</v>
      </c>
      <c r="K4031" s="15" t="s">
        <v>5231</v>
      </c>
      <c r="L4031" s="20">
        <v>0.45023071852340152</v>
      </c>
    </row>
    <row r="4032" spans="1:12" x14ac:dyDescent="0.45">
      <c r="A4032" s="15" t="s">
        <v>5221</v>
      </c>
      <c r="B4032" s="15" t="s">
        <v>2187</v>
      </c>
      <c r="C4032" s="16" t="s">
        <v>2188</v>
      </c>
      <c r="D4032" s="16" t="s">
        <v>60</v>
      </c>
      <c r="E4032" s="15" t="s">
        <v>35</v>
      </c>
      <c r="F4032" s="17">
        <v>175000</v>
      </c>
      <c r="G4032" s="17">
        <v>109400</v>
      </c>
      <c r="H4032" s="16" t="s">
        <v>5232</v>
      </c>
      <c r="I4032" s="40" t="s">
        <v>18</v>
      </c>
      <c r="J4032" s="40" t="str">
        <f>HYPERLINK("https://stock.pstatic.net/stock-research/company/62/20260407_company_352223000.pdf","PDF")</f>
        <v>PDF</v>
      </c>
      <c r="K4032" s="15" t="s">
        <v>5233</v>
      </c>
      <c r="L4032" s="20">
        <v>0.59963436928702007</v>
      </c>
    </row>
    <row r="4033" spans="1:12" x14ac:dyDescent="0.45">
      <c r="A4033" s="15" t="s">
        <v>5221</v>
      </c>
      <c r="B4033" s="15" t="s">
        <v>434</v>
      </c>
      <c r="C4033" s="16" t="s">
        <v>435</v>
      </c>
      <c r="D4033" s="16" t="s">
        <v>60</v>
      </c>
      <c r="E4033" s="15" t="s">
        <v>35</v>
      </c>
      <c r="F4033" s="17">
        <v>180000</v>
      </c>
      <c r="G4033" s="17">
        <v>131200</v>
      </c>
      <c r="H4033" s="16" t="s">
        <v>5234</v>
      </c>
      <c r="I4033" s="40" t="s">
        <v>18</v>
      </c>
      <c r="J4033" s="40" t="str">
        <f>HYPERLINK("https://stock.pstatic.net/stock-research/company/62/20260407_company_180662000.pdf","PDF")</f>
        <v>PDF</v>
      </c>
      <c r="K4033" s="15" t="s">
        <v>5235</v>
      </c>
      <c r="L4033" s="20">
        <v>0.37195121951219512</v>
      </c>
    </row>
    <row r="4034" spans="1:12" x14ac:dyDescent="0.45">
      <c r="A4034" s="15" t="s">
        <v>5221</v>
      </c>
      <c r="B4034" s="15" t="s">
        <v>2960</v>
      </c>
      <c r="C4034" s="16" t="s">
        <v>2961</v>
      </c>
      <c r="D4034" s="16" t="s">
        <v>60</v>
      </c>
      <c r="E4034" s="15" t="s">
        <v>35</v>
      </c>
      <c r="F4034" s="17">
        <v>60000</v>
      </c>
      <c r="G4034" s="17">
        <v>43950</v>
      </c>
      <c r="H4034" s="16" t="s">
        <v>5236</v>
      </c>
      <c r="I4034" s="40" t="s">
        <v>18</v>
      </c>
      <c r="J4034" s="40" t="str">
        <f>HYPERLINK("https://stock.pstatic.net/stock-research/company/62/20260407_company_691834000.pdf","PDF")</f>
        <v>PDF</v>
      </c>
      <c r="K4034" s="15" t="s">
        <v>5237</v>
      </c>
      <c r="L4034" s="20">
        <v>0.3651877133105802</v>
      </c>
    </row>
    <row r="4035" spans="1:12" x14ac:dyDescent="0.45">
      <c r="A4035" s="15" t="s">
        <v>5221</v>
      </c>
      <c r="B4035" s="15" t="s">
        <v>1270</v>
      </c>
      <c r="C4035" s="16" t="s">
        <v>1271</v>
      </c>
      <c r="D4035" s="16" t="s">
        <v>65</v>
      </c>
      <c r="E4035" s="15" t="s">
        <v>35</v>
      </c>
      <c r="F4035" s="17">
        <v>145000</v>
      </c>
      <c r="G4035" s="17">
        <v>96200</v>
      </c>
      <c r="H4035" s="16" t="s">
        <v>5238</v>
      </c>
      <c r="I4035" s="40" t="s">
        <v>18</v>
      </c>
      <c r="J4035" s="40" t="str">
        <f>HYPERLINK("https://stock.pstatic.net/stock-research/company/57/20260407_company_229320000.pdf","PDF")</f>
        <v>PDF</v>
      </c>
      <c r="K4035" s="15" t="s">
        <v>5239</v>
      </c>
      <c r="L4035" s="20">
        <v>0.5072765072765073</v>
      </c>
    </row>
    <row r="4036" spans="1:12" x14ac:dyDescent="0.45">
      <c r="A4036" s="15" t="s">
        <v>5221</v>
      </c>
      <c r="B4036" s="15" t="s">
        <v>352</v>
      </c>
      <c r="C4036" s="16" t="s">
        <v>353</v>
      </c>
      <c r="D4036" s="16" t="s">
        <v>65</v>
      </c>
      <c r="E4036" s="15" t="s">
        <v>35</v>
      </c>
      <c r="F4036" s="17">
        <v>283000</v>
      </c>
      <c r="G4036" s="17">
        <v>211000</v>
      </c>
      <c r="H4036" s="16" t="s">
        <v>5240</v>
      </c>
      <c r="I4036" s="40" t="s">
        <v>18</v>
      </c>
      <c r="J4036" s="40" t="str">
        <f>HYPERLINK("https://stock.pstatic.net/stock-research/company/57/20260407_company_282324000.pdf","PDF")</f>
        <v>PDF</v>
      </c>
      <c r="K4036" s="15" t="s">
        <v>5241</v>
      </c>
      <c r="L4036" s="20">
        <v>0.34123222748815168</v>
      </c>
    </row>
    <row r="4037" spans="1:12" x14ac:dyDescent="0.45">
      <c r="A4037" s="15" t="s">
        <v>5221</v>
      </c>
      <c r="B4037" s="15" t="s">
        <v>1682</v>
      </c>
      <c r="C4037" s="16" t="s">
        <v>4787</v>
      </c>
      <c r="D4037" s="16" t="s">
        <v>65</v>
      </c>
      <c r="E4037" s="15" t="s">
        <v>35</v>
      </c>
      <c r="F4037" s="17">
        <v>320000</v>
      </c>
      <c r="G4037" s="17">
        <v>213000</v>
      </c>
      <c r="H4037" s="16" t="s">
        <v>5242</v>
      </c>
      <c r="I4037" s="40" t="s">
        <v>18</v>
      </c>
      <c r="J4037" s="40" t="str">
        <f>HYPERLINK("https://stock.pstatic.net/stock-research/company/57/20260407_company_413462000.pdf","PDF")</f>
        <v>PDF</v>
      </c>
      <c r="K4037" s="15" t="s">
        <v>5243</v>
      </c>
      <c r="L4037" s="20">
        <v>0.50234741784037562</v>
      </c>
    </row>
    <row r="4038" spans="1:12" x14ac:dyDescent="0.45">
      <c r="A4038" s="15" t="s">
        <v>5221</v>
      </c>
      <c r="B4038" s="15" t="s">
        <v>691</v>
      </c>
      <c r="C4038" s="16" t="s">
        <v>20</v>
      </c>
      <c r="D4038" s="16" t="s">
        <v>158</v>
      </c>
      <c r="E4038" s="15" t="s">
        <v>35</v>
      </c>
      <c r="F4038" s="17">
        <v>270000</v>
      </c>
      <c r="G4038" s="17">
        <v>195800</v>
      </c>
      <c r="H4038" s="16" t="s">
        <v>5244</v>
      </c>
      <c r="I4038" s="40" t="s">
        <v>18</v>
      </c>
      <c r="J4038" s="40" t="str">
        <f>HYPERLINK("https://stock.pstatic.net/stock-research/company/18/20260407_company_785861000.pdf","PDF")</f>
        <v>PDF</v>
      </c>
      <c r="K4038" s="15" t="s">
        <v>5245</v>
      </c>
      <c r="L4038" s="20">
        <v>0.37895812053115419</v>
      </c>
    </row>
    <row r="4039" spans="1:12" x14ac:dyDescent="0.45">
      <c r="A4039" s="15" t="s">
        <v>5221</v>
      </c>
      <c r="B4039" s="15" t="s">
        <v>5246</v>
      </c>
      <c r="C4039" s="16" t="s">
        <v>5247</v>
      </c>
      <c r="D4039" s="16" t="s">
        <v>158</v>
      </c>
      <c r="E4039" s="15" t="s">
        <v>50</v>
      </c>
      <c r="F4039" s="16"/>
      <c r="G4039" s="17">
        <v>5560</v>
      </c>
      <c r="H4039" s="16" t="s">
        <v>5248</v>
      </c>
      <c r="I4039" s="40" t="s">
        <v>18</v>
      </c>
      <c r="J4039" s="40" t="str">
        <f>HYPERLINK("https://stock.pstatic.net/stock-research/company/18/20260407_company_120808000.pdf","PDF")</f>
        <v>PDF</v>
      </c>
      <c r="K4039" s="15" t="s">
        <v>5249</v>
      </c>
    </row>
    <row r="4040" spans="1:12" x14ac:dyDescent="0.45">
      <c r="A4040" s="15" t="s">
        <v>5221</v>
      </c>
      <c r="B4040" s="15" t="s">
        <v>13</v>
      </c>
      <c r="C4040" s="16" t="s">
        <v>14</v>
      </c>
      <c r="D4040" s="16" t="s">
        <v>15</v>
      </c>
      <c r="E4040" s="15" t="s">
        <v>16</v>
      </c>
      <c r="F4040" s="17">
        <v>300000</v>
      </c>
      <c r="G4040" s="17">
        <v>193100</v>
      </c>
      <c r="H4040" s="16" t="s">
        <v>5250</v>
      </c>
      <c r="I4040" s="40" t="s">
        <v>18</v>
      </c>
      <c r="J4040" s="40" t="str">
        <f>HYPERLINK("https://stock.pstatic.net/stock-research/company/56/20260407_company_463615000.pdf","PDF")</f>
        <v>PDF</v>
      </c>
      <c r="K4040" s="15" t="s">
        <v>5251</v>
      </c>
      <c r="L4040" s="20">
        <v>0.55359917141377524</v>
      </c>
    </row>
    <row r="4041" spans="1:12" x14ac:dyDescent="0.45">
      <c r="A4041" s="15" t="s">
        <v>5221</v>
      </c>
      <c r="B4041" s="15" t="s">
        <v>5252</v>
      </c>
      <c r="C4041" s="16" t="s">
        <v>5253</v>
      </c>
      <c r="D4041" s="16" t="s">
        <v>179</v>
      </c>
      <c r="E4041" s="15" t="s">
        <v>50</v>
      </c>
      <c r="F4041" s="16"/>
      <c r="G4041" s="17">
        <v>80800</v>
      </c>
      <c r="H4041" s="16" t="s">
        <v>5254</v>
      </c>
      <c r="I4041" s="40" t="s">
        <v>18</v>
      </c>
      <c r="J4041" s="40" t="str">
        <f>HYPERLINK("https://stock.pstatic.net/stock-research/company/64/20260407_company_557222000.pdf","PDF")</f>
        <v>PDF</v>
      </c>
      <c r="K4041" s="15" t="s">
        <v>5255</v>
      </c>
    </row>
    <row r="4042" spans="1:12" x14ac:dyDescent="0.45">
      <c r="A4042" s="15" t="s">
        <v>5221</v>
      </c>
      <c r="B4042" s="15" t="s">
        <v>1540</v>
      </c>
      <c r="C4042" s="16" t="s">
        <v>1541</v>
      </c>
      <c r="D4042" s="16" t="s">
        <v>83</v>
      </c>
      <c r="E4042" s="15" t="s">
        <v>35</v>
      </c>
      <c r="F4042" s="17">
        <v>72000</v>
      </c>
      <c r="G4042" s="17">
        <v>56300</v>
      </c>
      <c r="H4042" s="16" t="s">
        <v>5256</v>
      </c>
      <c r="I4042" s="40" t="s">
        <v>18</v>
      </c>
      <c r="J4042" s="40" t="str">
        <f>HYPERLINK("https://stock.pstatic.net/stock-research/company/15/20260407_company_981152000.pdf","PDF")</f>
        <v>PDF</v>
      </c>
      <c r="K4042" s="15" t="s">
        <v>5257</v>
      </c>
      <c r="L4042" s="20">
        <v>0.27886323268206042</v>
      </c>
    </row>
    <row r="4043" spans="1:12" x14ac:dyDescent="0.45">
      <c r="A4043" s="15" t="s">
        <v>5221</v>
      </c>
      <c r="B4043" s="15" t="s">
        <v>3230</v>
      </c>
      <c r="C4043" s="16" t="s">
        <v>3231</v>
      </c>
      <c r="D4043" s="16" t="s">
        <v>53</v>
      </c>
      <c r="E4043" s="15" t="s">
        <v>16</v>
      </c>
      <c r="F4043" s="17">
        <v>3300000</v>
      </c>
      <c r="G4043" s="17">
        <v>2633000</v>
      </c>
      <c r="H4043" s="16" t="s">
        <v>5258</v>
      </c>
      <c r="I4043" s="40" t="s">
        <v>18</v>
      </c>
      <c r="J4043" s="40" t="str">
        <f>HYPERLINK("https://stock.pstatic.net/stock-research/company/40/20260407_company_290722000.pdf","PDF")</f>
        <v>PDF</v>
      </c>
      <c r="K4043" s="15" t="s">
        <v>5259</v>
      </c>
      <c r="L4043" s="20">
        <v>0.25332320546904669</v>
      </c>
    </row>
    <row r="4044" spans="1:12" x14ac:dyDescent="0.45">
      <c r="A4044" s="15" t="s">
        <v>5221</v>
      </c>
      <c r="B4044" s="15" t="s">
        <v>519</v>
      </c>
      <c r="C4044" s="16" t="s">
        <v>520</v>
      </c>
      <c r="D4044" s="16" t="s">
        <v>23</v>
      </c>
      <c r="E4044" s="15" t="s">
        <v>16</v>
      </c>
      <c r="F4044" s="17">
        <v>670000</v>
      </c>
      <c r="G4044" s="17">
        <v>528000</v>
      </c>
      <c r="H4044" s="16" t="s">
        <v>5260</v>
      </c>
      <c r="I4044" s="40" t="s">
        <v>18</v>
      </c>
      <c r="J4044" s="40" t="str">
        <f>HYPERLINK("https://stock.pstatic.net/stock-research/company/21/20260407_company_422994000.pdf","PDF")</f>
        <v>PDF</v>
      </c>
      <c r="K4044" s="15" t="s">
        <v>5261</v>
      </c>
      <c r="L4044" s="20">
        <v>0.26893939393939392</v>
      </c>
    </row>
    <row r="4045" spans="1:12" x14ac:dyDescent="0.45">
      <c r="A4045" s="15" t="s">
        <v>5221</v>
      </c>
      <c r="B4045" s="15" t="s">
        <v>2758</v>
      </c>
      <c r="C4045" s="16" t="s">
        <v>2759</v>
      </c>
      <c r="D4045" s="16" t="s">
        <v>23</v>
      </c>
      <c r="E4045" s="15" t="s">
        <v>16</v>
      </c>
      <c r="F4045" s="17">
        <v>440000</v>
      </c>
      <c r="G4045" s="17">
        <v>349000</v>
      </c>
      <c r="H4045" s="16" t="s">
        <v>5262</v>
      </c>
      <c r="I4045" s="40" t="s">
        <v>18</v>
      </c>
      <c r="J4045" s="40" t="str">
        <f>HYPERLINK("https://stock.pstatic.net/stock-research/company/21/20260407_company_334979000.pdf","PDF")</f>
        <v>PDF</v>
      </c>
      <c r="K4045" s="15" t="s">
        <v>5263</v>
      </c>
      <c r="L4045" s="20">
        <v>0.26074498567335241</v>
      </c>
    </row>
    <row r="4046" spans="1:12" x14ac:dyDescent="0.45">
      <c r="A4046" s="15" t="s">
        <v>5221</v>
      </c>
      <c r="B4046" s="15" t="s">
        <v>1930</v>
      </c>
      <c r="C4046" s="16" t="s">
        <v>1931</v>
      </c>
      <c r="D4046" s="16" t="s">
        <v>23</v>
      </c>
      <c r="E4046" s="15" t="s">
        <v>16</v>
      </c>
      <c r="F4046" s="17">
        <v>280000</v>
      </c>
      <c r="G4046" s="17">
        <v>233000</v>
      </c>
      <c r="H4046" s="16" t="s">
        <v>5264</v>
      </c>
      <c r="I4046" s="40" t="s">
        <v>18</v>
      </c>
      <c r="J4046" s="40" t="str">
        <f>HYPERLINK("https://stock.pstatic.net/stock-research/company/21/20260407_company_34871000.pdf","PDF")</f>
        <v>PDF</v>
      </c>
      <c r="K4046" s="15" t="s">
        <v>5265</v>
      </c>
      <c r="L4046" s="20">
        <v>0.20171673819742489</v>
      </c>
    </row>
    <row r="4047" spans="1:12" x14ac:dyDescent="0.45">
      <c r="A4047" s="15" t="s">
        <v>5221</v>
      </c>
      <c r="B4047" s="15" t="s">
        <v>2266</v>
      </c>
      <c r="C4047" s="16" t="s">
        <v>2267</v>
      </c>
      <c r="D4047" s="16" t="s">
        <v>179</v>
      </c>
      <c r="E4047" s="15" t="s">
        <v>16</v>
      </c>
      <c r="F4047" s="17">
        <v>230000</v>
      </c>
      <c r="G4047" s="17">
        <v>183100</v>
      </c>
      <c r="H4047" s="16" t="s">
        <v>5266</v>
      </c>
      <c r="I4047" s="40" t="s">
        <v>18</v>
      </c>
      <c r="J4047" s="40" t="str">
        <f>HYPERLINK("https://stock.pstatic.net/stock-research/company/64/20260407_company_540661000.pdf","PDF")</f>
        <v>PDF</v>
      </c>
      <c r="K4047" s="15" t="s">
        <v>5267</v>
      </c>
      <c r="L4047" s="20">
        <v>0.25614418350628071</v>
      </c>
    </row>
    <row r="4048" spans="1:12" x14ac:dyDescent="0.45">
      <c r="A4048" s="15" t="s">
        <v>5221</v>
      </c>
      <c r="B4048" s="15" t="s">
        <v>3105</v>
      </c>
      <c r="C4048" s="16" t="s">
        <v>3106</v>
      </c>
      <c r="D4048" s="16" t="s">
        <v>23</v>
      </c>
      <c r="E4048" s="15" t="s">
        <v>16</v>
      </c>
      <c r="F4048" s="17">
        <v>400000</v>
      </c>
      <c r="G4048" s="17">
        <v>271000</v>
      </c>
      <c r="H4048" s="16" t="s">
        <v>5268</v>
      </c>
      <c r="I4048" s="40" t="s">
        <v>18</v>
      </c>
      <c r="J4048" s="40" t="str">
        <f>HYPERLINK("https://stock.pstatic.net/stock-research/company/21/20260407_company_424584000.pdf","PDF")</f>
        <v>PDF</v>
      </c>
      <c r="K4048" s="15" t="s">
        <v>5269</v>
      </c>
      <c r="L4048" s="20">
        <v>0.47601476014760152</v>
      </c>
    </row>
    <row r="4049" spans="1:12" x14ac:dyDescent="0.45">
      <c r="A4049" s="15" t="s">
        <v>5221</v>
      </c>
      <c r="B4049" s="15" t="s">
        <v>760</v>
      </c>
      <c r="C4049" s="16" t="s">
        <v>761</v>
      </c>
      <c r="D4049" s="16" t="s">
        <v>23</v>
      </c>
      <c r="E4049" s="15" t="s">
        <v>16</v>
      </c>
      <c r="F4049" s="17">
        <v>260000</v>
      </c>
      <c r="G4049" s="17">
        <v>151700</v>
      </c>
      <c r="H4049" s="16" t="s">
        <v>5270</v>
      </c>
      <c r="I4049" s="40" t="s">
        <v>18</v>
      </c>
      <c r="J4049" s="40" t="str">
        <f>HYPERLINK("https://stock.pstatic.net/stock-research/company/21/20260407_company_854989000.pdf","PDF")</f>
        <v>PDF</v>
      </c>
      <c r="K4049" s="15" t="s">
        <v>5271</v>
      </c>
      <c r="L4049" s="20">
        <v>0.71390903098220171</v>
      </c>
    </row>
    <row r="4050" spans="1:12" x14ac:dyDescent="0.45">
      <c r="A4050" s="15" t="s">
        <v>5221</v>
      </c>
      <c r="B4050" s="15" t="s">
        <v>2837</v>
      </c>
      <c r="C4050" s="16" t="s">
        <v>2838</v>
      </c>
      <c r="D4050" s="16" t="s">
        <v>179</v>
      </c>
      <c r="E4050" s="15" t="s">
        <v>16</v>
      </c>
      <c r="F4050" s="17">
        <v>160000</v>
      </c>
      <c r="G4050" s="17">
        <v>127600</v>
      </c>
      <c r="H4050" s="16" t="s">
        <v>5272</v>
      </c>
      <c r="I4050" s="40" t="s">
        <v>18</v>
      </c>
      <c r="J4050" s="40" t="str">
        <f>HYPERLINK("https://stock.pstatic.net/stock-research/company/64/20260407_company_709388000.pdf","PDF")</f>
        <v>PDF</v>
      </c>
      <c r="K4050" s="15" t="s">
        <v>5273</v>
      </c>
      <c r="L4050" s="20">
        <v>0.25391849529780558</v>
      </c>
    </row>
    <row r="4051" spans="1:12" x14ac:dyDescent="0.45">
      <c r="A4051" s="15" t="s">
        <v>5221</v>
      </c>
      <c r="B4051" s="15" t="s">
        <v>388</v>
      </c>
      <c r="C4051" s="16" t="s">
        <v>389</v>
      </c>
      <c r="D4051" s="16" t="s">
        <v>92</v>
      </c>
      <c r="E4051" s="15" t="s">
        <v>35</v>
      </c>
      <c r="F4051" s="17">
        <v>72000</v>
      </c>
      <c r="G4051" s="17">
        <v>55200</v>
      </c>
      <c r="H4051" s="16" t="s">
        <v>5274</v>
      </c>
      <c r="I4051" s="40" t="s">
        <v>18</v>
      </c>
      <c r="J4051" s="40" t="str">
        <f>HYPERLINK("https://stock.pstatic.net/stock-research/company/63/20260407_company_66007000.pdf","PDF")</f>
        <v>PDF</v>
      </c>
      <c r="K4051" s="15" t="s">
        <v>5275</v>
      </c>
      <c r="L4051" s="20">
        <v>0.30434782608695649</v>
      </c>
    </row>
    <row r="4052" spans="1:12" x14ac:dyDescent="0.45">
      <c r="A4052" s="15" t="s">
        <v>5221</v>
      </c>
      <c r="B4052" s="15" t="s">
        <v>1548</v>
      </c>
      <c r="C4052" s="16" t="s">
        <v>1549</v>
      </c>
      <c r="D4052" s="16" t="s">
        <v>179</v>
      </c>
      <c r="E4052" s="15" t="s">
        <v>16</v>
      </c>
      <c r="F4052" s="17">
        <v>1900000</v>
      </c>
      <c r="G4052" s="17">
        <v>1450000</v>
      </c>
      <c r="H4052" s="16" t="s">
        <v>5276</v>
      </c>
      <c r="I4052" s="40" t="s">
        <v>18</v>
      </c>
      <c r="J4052" s="40" t="str">
        <f>HYPERLINK("https://stock.pstatic.net/stock-research/company/64/20260407_company_572966000.pdf","PDF")</f>
        <v>PDF</v>
      </c>
      <c r="K4052" s="15" t="s">
        <v>5277</v>
      </c>
      <c r="L4052" s="20">
        <v>0.31034482758620691</v>
      </c>
    </row>
    <row r="4053" spans="1:12" x14ac:dyDescent="0.45">
      <c r="A4053" s="15" t="s">
        <v>5221</v>
      </c>
      <c r="B4053" s="15" t="s">
        <v>352</v>
      </c>
      <c r="C4053" s="16" t="s">
        <v>353</v>
      </c>
      <c r="D4053" s="16" t="s">
        <v>179</v>
      </c>
      <c r="E4053" s="15" t="s">
        <v>16</v>
      </c>
      <c r="F4053" s="17">
        <v>310000</v>
      </c>
      <c r="G4053" s="17">
        <v>211000</v>
      </c>
      <c r="H4053" s="16" t="s">
        <v>5278</v>
      </c>
      <c r="I4053" s="40" t="s">
        <v>18</v>
      </c>
      <c r="J4053" s="40" t="str">
        <f>HYPERLINK("https://stock.pstatic.net/stock-research/company/64/20260407_company_283624000.pdf","PDF")</f>
        <v>PDF</v>
      </c>
      <c r="K4053" s="15" t="s">
        <v>5279</v>
      </c>
      <c r="L4053" s="20">
        <v>0.46919431279620849</v>
      </c>
    </row>
    <row r="4054" spans="1:12" x14ac:dyDescent="0.45">
      <c r="A4054" s="15" t="s">
        <v>5221</v>
      </c>
      <c r="B4054" s="15" t="s">
        <v>740</v>
      </c>
      <c r="C4054" s="16" t="s">
        <v>741</v>
      </c>
      <c r="D4054" s="16" t="s">
        <v>53</v>
      </c>
      <c r="E4054" s="15" t="s">
        <v>16</v>
      </c>
      <c r="F4054" s="17">
        <v>460000</v>
      </c>
      <c r="G4054" s="17">
        <v>336500</v>
      </c>
      <c r="H4054" s="16" t="s">
        <v>5280</v>
      </c>
      <c r="I4054" s="40" t="s">
        <v>18</v>
      </c>
      <c r="J4054" s="40" t="str">
        <f>HYPERLINK("https://stock.pstatic.net/stock-research/company/40/20260408_company_580768000.pdf","PDF")</f>
        <v>PDF</v>
      </c>
      <c r="K4054" s="15" t="s">
        <v>5281</v>
      </c>
      <c r="L4054" s="20">
        <v>0.36701337295690928</v>
      </c>
    </row>
    <row r="4055" spans="1:12" x14ac:dyDescent="0.45">
      <c r="A4055" s="15" t="s">
        <v>5221</v>
      </c>
      <c r="B4055" s="15" t="s">
        <v>2225</v>
      </c>
      <c r="C4055" s="16" t="s">
        <v>5282</v>
      </c>
      <c r="D4055" s="16" t="s">
        <v>179</v>
      </c>
      <c r="E4055" s="15" t="s">
        <v>16</v>
      </c>
      <c r="F4055" s="17">
        <v>1150000</v>
      </c>
      <c r="G4055" s="17">
        <v>810000</v>
      </c>
      <c r="H4055" s="16" t="s">
        <v>5283</v>
      </c>
      <c r="I4055" s="40" t="s">
        <v>18</v>
      </c>
      <c r="J4055" s="40" t="str">
        <f>HYPERLINK("https://stock.pstatic.net/stock-research/company/64/20260407_company_497597000.pdf","PDF")</f>
        <v>PDF</v>
      </c>
      <c r="K4055" s="15" t="s">
        <v>5284</v>
      </c>
      <c r="L4055" s="20">
        <v>0.41975308641975312</v>
      </c>
    </row>
    <row r="4056" spans="1:12" x14ac:dyDescent="0.45">
      <c r="A4056" s="15" t="s">
        <v>5221</v>
      </c>
      <c r="B4056" s="15" t="s">
        <v>32</v>
      </c>
      <c r="C4056" s="16" t="s">
        <v>33</v>
      </c>
      <c r="D4056" s="16" t="s">
        <v>53</v>
      </c>
      <c r="E4056" s="15" t="s">
        <v>16</v>
      </c>
      <c r="F4056" s="17">
        <v>600000</v>
      </c>
      <c r="G4056" s="17">
        <v>462000</v>
      </c>
      <c r="H4056" s="16" t="s">
        <v>5285</v>
      </c>
      <c r="I4056" s="40" t="s">
        <v>18</v>
      </c>
      <c r="J4056" s="40" t="str">
        <f>HYPERLINK("https://stock.pstatic.net/stock-research/company/40/20260407_company_368782000.pdf","PDF")</f>
        <v>PDF</v>
      </c>
      <c r="K4056" s="15" t="s">
        <v>5286</v>
      </c>
      <c r="L4056" s="20">
        <v>0.29870129870129869</v>
      </c>
    </row>
    <row r="4057" spans="1:12" x14ac:dyDescent="0.45">
      <c r="A4057" s="15" t="s">
        <v>5221</v>
      </c>
      <c r="B4057" s="15" t="s">
        <v>856</v>
      </c>
      <c r="C4057" s="16" t="s">
        <v>857</v>
      </c>
      <c r="D4057" s="16" t="s">
        <v>44</v>
      </c>
      <c r="E4057" s="15" t="s">
        <v>35</v>
      </c>
      <c r="F4057" s="17">
        <v>210000</v>
      </c>
      <c r="G4057" s="17">
        <v>153600</v>
      </c>
      <c r="H4057" s="16" t="s">
        <v>5287</v>
      </c>
      <c r="I4057" s="40" t="s">
        <v>18</v>
      </c>
      <c r="J4057" s="40" t="str">
        <f>HYPERLINK("https://stock.pstatic.net/stock-research/company/39/20260407_company_672188000.pdf","PDF")</f>
        <v>PDF</v>
      </c>
      <c r="K4057" s="15" t="s">
        <v>5288</v>
      </c>
      <c r="L4057" s="20">
        <v>0.3671875</v>
      </c>
    </row>
    <row r="4058" spans="1:12" x14ac:dyDescent="0.45">
      <c r="A4058" s="15" t="s">
        <v>5221</v>
      </c>
      <c r="B4058" s="15" t="s">
        <v>95</v>
      </c>
      <c r="C4058" s="16" t="s">
        <v>31</v>
      </c>
      <c r="D4058" s="16" t="s">
        <v>44</v>
      </c>
      <c r="E4058" s="15" t="s">
        <v>35</v>
      </c>
      <c r="F4058" s="17">
        <v>56000</v>
      </c>
      <c r="G4058" s="17">
        <v>45650</v>
      </c>
      <c r="H4058" s="16" t="s">
        <v>5289</v>
      </c>
      <c r="I4058" s="40" t="s">
        <v>18</v>
      </c>
      <c r="J4058" s="40" t="str">
        <f>HYPERLINK("https://stock.pstatic.net/stock-research/company/39/20260407_company_906871000.pdf","PDF")</f>
        <v>PDF</v>
      </c>
      <c r="K4058" s="15" t="s">
        <v>5290</v>
      </c>
      <c r="L4058" s="20">
        <v>0.2267250821467689</v>
      </c>
    </row>
    <row r="4059" spans="1:12" x14ac:dyDescent="0.45">
      <c r="A4059" s="15" t="s">
        <v>5221</v>
      </c>
      <c r="B4059" s="15" t="s">
        <v>981</v>
      </c>
      <c r="C4059" s="16" t="s">
        <v>982</v>
      </c>
      <c r="D4059" s="16" t="s">
        <v>124</v>
      </c>
      <c r="E4059" s="15" t="s">
        <v>50</v>
      </c>
      <c r="F4059" s="16"/>
      <c r="G4059" s="16"/>
      <c r="H4059" s="16" t="s">
        <v>5291</v>
      </c>
      <c r="I4059" s="40" t="s">
        <v>18</v>
      </c>
      <c r="J4059" s="40" t="str">
        <f>HYPERLINK("https://stock.pstatic.net/stock-research/company/74/20260407_company_151357000.pdf","PDF")</f>
        <v>PDF</v>
      </c>
      <c r="K4059" s="15" t="s">
        <v>5292</v>
      </c>
    </row>
    <row r="4060" spans="1:12" x14ac:dyDescent="0.45">
      <c r="A4060" s="15" t="s">
        <v>5293</v>
      </c>
      <c r="B4060" s="15" t="s">
        <v>1300</v>
      </c>
      <c r="C4060" s="16" t="s">
        <v>1301</v>
      </c>
      <c r="D4060" s="16" t="s">
        <v>57</v>
      </c>
      <c r="E4060" s="15" t="s">
        <v>35</v>
      </c>
      <c r="F4060" s="17">
        <v>170000</v>
      </c>
      <c r="G4060" s="17">
        <v>147600</v>
      </c>
      <c r="H4060" s="16" t="s">
        <v>5294</v>
      </c>
      <c r="I4060" s="40" t="s">
        <v>18</v>
      </c>
      <c r="J4060" s="40" t="str">
        <f>HYPERLINK("https://stock.pstatic.net/stock-research/company/16/20260406_company_52119000.pdf","PDF")</f>
        <v>PDF</v>
      </c>
      <c r="K4060" s="15" t="s">
        <v>5295</v>
      </c>
      <c r="L4060" s="20">
        <v>0.15176151761517609</v>
      </c>
    </row>
    <row r="4061" spans="1:12" x14ac:dyDescent="0.45">
      <c r="A4061" s="15" t="s">
        <v>5293</v>
      </c>
      <c r="B4061" s="15" t="s">
        <v>118</v>
      </c>
      <c r="C4061" s="16" t="s">
        <v>119</v>
      </c>
      <c r="D4061" s="16" t="s">
        <v>57</v>
      </c>
      <c r="E4061" s="15" t="s">
        <v>35</v>
      </c>
      <c r="F4061" s="17">
        <v>150000</v>
      </c>
      <c r="G4061" s="17">
        <v>90200</v>
      </c>
      <c r="H4061" s="16" t="s">
        <v>5296</v>
      </c>
      <c r="I4061" s="40" t="s">
        <v>18</v>
      </c>
      <c r="J4061" s="40" t="str">
        <f>HYPERLINK("https://stock.pstatic.net/stock-research/company/16/20260406_company_131775000.pdf","PDF")</f>
        <v>PDF</v>
      </c>
      <c r="K4061" s="15" t="s">
        <v>5297</v>
      </c>
      <c r="L4061" s="20">
        <v>0.66297117516629711</v>
      </c>
    </row>
    <row r="4062" spans="1:12" x14ac:dyDescent="0.45">
      <c r="A4062" s="15" t="s">
        <v>5293</v>
      </c>
      <c r="B4062" s="15" t="s">
        <v>2960</v>
      </c>
      <c r="C4062" s="16" t="s">
        <v>2961</v>
      </c>
      <c r="D4062" s="16" t="s">
        <v>57</v>
      </c>
      <c r="E4062" s="15" t="s">
        <v>35</v>
      </c>
      <c r="F4062" s="17">
        <v>70000</v>
      </c>
      <c r="G4062" s="17">
        <v>43100</v>
      </c>
      <c r="H4062" s="16" t="s">
        <v>5298</v>
      </c>
      <c r="I4062" s="40" t="s">
        <v>18</v>
      </c>
      <c r="J4062" s="40" t="str">
        <f>HYPERLINK("https://stock.pstatic.net/stock-research/company/16/20260406_company_402923000.pdf","PDF")</f>
        <v>PDF</v>
      </c>
      <c r="K4062" s="15" t="s">
        <v>5299</v>
      </c>
      <c r="L4062" s="20">
        <v>0.62412993039443154</v>
      </c>
    </row>
    <row r="4063" spans="1:12" x14ac:dyDescent="0.45">
      <c r="A4063" s="15" t="s">
        <v>5293</v>
      </c>
      <c r="B4063" s="15" t="s">
        <v>1184</v>
      </c>
      <c r="C4063" s="16" t="s">
        <v>1185</v>
      </c>
      <c r="D4063" s="16" t="s">
        <v>57</v>
      </c>
      <c r="E4063" s="15" t="s">
        <v>35</v>
      </c>
      <c r="F4063" s="17">
        <v>30000</v>
      </c>
      <c r="G4063" s="17">
        <v>21450</v>
      </c>
      <c r="H4063" s="16" t="s">
        <v>5300</v>
      </c>
      <c r="I4063" s="40" t="s">
        <v>18</v>
      </c>
      <c r="J4063" s="40" t="str">
        <f>HYPERLINK("https://stock.pstatic.net/stock-research/company/16/20260406_company_228561000.pdf","PDF")</f>
        <v>PDF</v>
      </c>
      <c r="K4063" s="15" t="s">
        <v>5301</v>
      </c>
      <c r="L4063" s="20">
        <v>0.39860139860139859</v>
      </c>
    </row>
    <row r="4064" spans="1:12" x14ac:dyDescent="0.45">
      <c r="A4064" s="15" t="s">
        <v>5293</v>
      </c>
      <c r="B4064" s="15" t="s">
        <v>1097</v>
      </c>
      <c r="C4064" s="16" t="s">
        <v>1098</v>
      </c>
      <c r="D4064" s="16" t="s">
        <v>57</v>
      </c>
      <c r="E4064" s="15" t="s">
        <v>35</v>
      </c>
      <c r="F4064" s="17">
        <v>180000</v>
      </c>
      <c r="G4064" s="17">
        <v>133900</v>
      </c>
      <c r="H4064" s="16" t="s">
        <v>5300</v>
      </c>
      <c r="I4064" s="40" t="s">
        <v>18</v>
      </c>
      <c r="J4064" s="40" t="str">
        <f>HYPERLINK("https://stock.pstatic.net/stock-research/company/16/20260406_company_714846000.pdf","PDF")</f>
        <v>PDF</v>
      </c>
      <c r="K4064" s="15" t="s">
        <v>5302</v>
      </c>
      <c r="L4064" s="20">
        <v>0.34428678117998512</v>
      </c>
    </row>
    <row r="4065" spans="1:12" x14ac:dyDescent="0.45">
      <c r="A4065" s="15" t="s">
        <v>5293</v>
      </c>
      <c r="B4065" s="15" t="s">
        <v>398</v>
      </c>
      <c r="C4065" s="16" t="s">
        <v>399</v>
      </c>
      <c r="D4065" s="16" t="s">
        <v>60</v>
      </c>
      <c r="E4065" s="15" t="s">
        <v>35</v>
      </c>
      <c r="F4065" s="17">
        <v>280000</v>
      </c>
      <c r="G4065" s="17">
        <v>211500</v>
      </c>
      <c r="H4065" s="16" t="s">
        <v>5303</v>
      </c>
      <c r="I4065" s="40" t="s">
        <v>18</v>
      </c>
      <c r="J4065" s="40" t="str">
        <f>HYPERLINK("https://stock.pstatic.net/stock-research/company/62/20260406_company_17332000.pdf","PDF")</f>
        <v>PDF</v>
      </c>
      <c r="K4065" s="15" t="s">
        <v>5304</v>
      </c>
      <c r="L4065" s="20">
        <v>0.32387706855791959</v>
      </c>
    </row>
    <row r="4066" spans="1:12" x14ac:dyDescent="0.45">
      <c r="A4066" s="15" t="s">
        <v>5293</v>
      </c>
      <c r="B4066" s="15" t="s">
        <v>3101</v>
      </c>
      <c r="C4066" s="16" t="s">
        <v>3102</v>
      </c>
      <c r="D4066" s="16" t="s">
        <v>60</v>
      </c>
      <c r="E4066" s="15" t="s">
        <v>35</v>
      </c>
      <c r="F4066" s="17">
        <v>250000</v>
      </c>
      <c r="G4066" s="17">
        <v>192600</v>
      </c>
      <c r="H4066" s="16" t="s">
        <v>5305</v>
      </c>
      <c r="I4066" s="40" t="s">
        <v>18</v>
      </c>
      <c r="J4066" s="40" t="str">
        <f>HYPERLINK("https://stock.pstatic.net/stock-research/company/62/20260406_company_482303000.pdf","PDF")</f>
        <v>PDF</v>
      </c>
      <c r="K4066" s="15" t="s">
        <v>5306</v>
      </c>
      <c r="L4066" s="20">
        <v>0.29802699896157842</v>
      </c>
    </row>
    <row r="4067" spans="1:12" x14ac:dyDescent="0.45">
      <c r="A4067" s="15" t="s">
        <v>5293</v>
      </c>
      <c r="B4067" s="15" t="s">
        <v>768</v>
      </c>
      <c r="C4067" s="16" t="s">
        <v>769</v>
      </c>
      <c r="D4067" s="16" t="s">
        <v>60</v>
      </c>
      <c r="E4067" s="15" t="s">
        <v>35</v>
      </c>
      <c r="F4067" s="17">
        <v>230000</v>
      </c>
      <c r="G4067" s="17">
        <v>189300</v>
      </c>
      <c r="H4067" s="16" t="s">
        <v>5307</v>
      </c>
      <c r="I4067" s="40" t="s">
        <v>18</v>
      </c>
      <c r="J4067" s="40" t="str">
        <f>HYPERLINK("https://stock.pstatic.net/stock-research/company/62/20260406_company_962353000.pdf","PDF")</f>
        <v>PDF</v>
      </c>
      <c r="K4067" s="15" t="s">
        <v>5308</v>
      </c>
      <c r="L4067" s="20">
        <v>0.21500264131008981</v>
      </c>
    </row>
    <row r="4068" spans="1:12" x14ac:dyDescent="0.45">
      <c r="A4068" s="15" t="s">
        <v>5293</v>
      </c>
      <c r="B4068" s="15" t="s">
        <v>2365</v>
      </c>
      <c r="C4068" s="16" t="s">
        <v>2366</v>
      </c>
      <c r="D4068" s="16" t="s">
        <v>60</v>
      </c>
      <c r="E4068" s="15" t="s">
        <v>35</v>
      </c>
      <c r="F4068" s="17">
        <v>280000</v>
      </c>
      <c r="G4068" s="17">
        <v>166400</v>
      </c>
      <c r="H4068" s="16" t="s">
        <v>5309</v>
      </c>
      <c r="I4068" s="40" t="s">
        <v>18</v>
      </c>
      <c r="J4068" s="40" t="str">
        <f>HYPERLINK("https://stock.pstatic.net/stock-research/company/62/20260406_company_756081000.pdf","PDF")</f>
        <v>PDF</v>
      </c>
      <c r="K4068" s="15" t="s">
        <v>5310</v>
      </c>
      <c r="L4068" s="20">
        <v>0.68269230769230771</v>
      </c>
    </row>
    <row r="4069" spans="1:12" x14ac:dyDescent="0.45">
      <c r="A4069" s="15" t="s">
        <v>5293</v>
      </c>
      <c r="B4069" s="15" t="s">
        <v>756</v>
      </c>
      <c r="C4069" s="16" t="s">
        <v>757</v>
      </c>
      <c r="D4069" s="16" t="s">
        <v>60</v>
      </c>
      <c r="E4069" s="15" t="s">
        <v>35</v>
      </c>
      <c r="F4069" s="17">
        <v>100000</v>
      </c>
      <c r="G4069" s="17">
        <v>76100</v>
      </c>
      <c r="H4069" s="16" t="s">
        <v>5311</v>
      </c>
      <c r="I4069" s="40" t="s">
        <v>18</v>
      </c>
      <c r="J4069" s="40" t="str">
        <f>HYPERLINK("https://stock.pstatic.net/stock-research/company/62/20260406_company_349578000.pdf","PDF")</f>
        <v>PDF</v>
      </c>
      <c r="K4069" s="15" t="s">
        <v>5312</v>
      </c>
      <c r="L4069" s="20">
        <v>0.31406044678055189</v>
      </c>
    </row>
    <row r="4070" spans="1:12" x14ac:dyDescent="0.45">
      <c r="A4070" s="15" t="s">
        <v>5293</v>
      </c>
      <c r="B4070" s="15" t="s">
        <v>908</v>
      </c>
      <c r="C4070" s="16" t="s">
        <v>909</v>
      </c>
      <c r="D4070" s="16" t="s">
        <v>65</v>
      </c>
      <c r="E4070" s="15" t="s">
        <v>35</v>
      </c>
      <c r="F4070" s="17">
        <v>220000</v>
      </c>
      <c r="G4070" s="17">
        <v>152200</v>
      </c>
      <c r="H4070" s="16" t="s">
        <v>5313</v>
      </c>
      <c r="I4070" s="40" t="s">
        <v>18</v>
      </c>
      <c r="J4070" s="40" t="str">
        <f>HYPERLINK("https://stock.pstatic.net/stock-research/company/57/20260406_company_230217000.pdf","PDF")</f>
        <v>PDF</v>
      </c>
      <c r="K4070" s="15" t="s">
        <v>5314</v>
      </c>
      <c r="L4070" s="20">
        <v>0.44546649145860712</v>
      </c>
    </row>
    <row r="4071" spans="1:12" x14ac:dyDescent="0.45">
      <c r="A4071" s="15" t="s">
        <v>5293</v>
      </c>
      <c r="B4071" s="15" t="s">
        <v>894</v>
      </c>
      <c r="C4071" s="16" t="s">
        <v>26</v>
      </c>
      <c r="D4071" s="16" t="s">
        <v>65</v>
      </c>
      <c r="E4071" s="15" t="s">
        <v>35</v>
      </c>
      <c r="F4071" s="17">
        <v>170000</v>
      </c>
      <c r="G4071" s="17">
        <v>110400</v>
      </c>
      <c r="H4071" s="16" t="s">
        <v>5315</v>
      </c>
      <c r="I4071" s="40" t="s">
        <v>18</v>
      </c>
      <c r="J4071" s="40" t="str">
        <f>HYPERLINK("https://stock.pstatic.net/stock-research/company/57/20260406_company_15546000.pdf","PDF")</f>
        <v>PDF</v>
      </c>
      <c r="K4071" s="15" t="s">
        <v>5316</v>
      </c>
      <c r="L4071" s="20">
        <v>0.53985507246376807</v>
      </c>
    </row>
    <row r="4072" spans="1:12" x14ac:dyDescent="0.45">
      <c r="A4072" s="15" t="s">
        <v>5293</v>
      </c>
      <c r="B4072" s="15" t="s">
        <v>1437</v>
      </c>
      <c r="C4072" s="16" t="s">
        <v>1438</v>
      </c>
      <c r="D4072" s="16" t="s">
        <v>83</v>
      </c>
      <c r="E4072" s="15" t="s">
        <v>35</v>
      </c>
      <c r="F4072" s="17">
        <v>85000</v>
      </c>
      <c r="G4072" s="17">
        <v>66000</v>
      </c>
      <c r="H4072" s="16" t="s">
        <v>5317</v>
      </c>
      <c r="I4072" s="40" t="s">
        <v>18</v>
      </c>
      <c r="J4072" s="40" t="str">
        <f>HYPERLINK("https://stock.pstatic.net/stock-research/company/15/20260406_company_982523000.pdf","PDF")</f>
        <v>PDF</v>
      </c>
      <c r="K4072" s="15" t="s">
        <v>5318</v>
      </c>
      <c r="L4072" s="20">
        <v>0.2878787878787879</v>
      </c>
    </row>
    <row r="4073" spans="1:12" x14ac:dyDescent="0.45">
      <c r="A4073" s="15" t="s">
        <v>5293</v>
      </c>
      <c r="B4073" s="15" t="s">
        <v>132</v>
      </c>
      <c r="C4073" s="16" t="s">
        <v>133</v>
      </c>
      <c r="D4073" s="16" t="s">
        <v>83</v>
      </c>
      <c r="E4073" s="15" t="s">
        <v>35</v>
      </c>
      <c r="F4073" s="17">
        <v>145000</v>
      </c>
      <c r="G4073" s="17">
        <v>75500</v>
      </c>
      <c r="H4073" s="16" t="s">
        <v>5319</v>
      </c>
      <c r="I4073" s="40" t="s">
        <v>18</v>
      </c>
      <c r="J4073" s="40" t="str">
        <f>HYPERLINK("https://stock.pstatic.net/stock-research/company/15/20260406_company_634608000.pdf","PDF")</f>
        <v>PDF</v>
      </c>
      <c r="K4073" s="15" t="s">
        <v>5320</v>
      </c>
      <c r="L4073" s="20">
        <v>0.92052980132450335</v>
      </c>
    </row>
    <row r="4074" spans="1:12" x14ac:dyDescent="0.45">
      <c r="A4074" s="15" t="s">
        <v>5293</v>
      </c>
      <c r="B4074" s="15" t="s">
        <v>1656</v>
      </c>
      <c r="C4074" s="16" t="s">
        <v>1657</v>
      </c>
      <c r="D4074" s="16" t="s">
        <v>83</v>
      </c>
      <c r="E4074" s="15" t="s">
        <v>35</v>
      </c>
      <c r="F4074" s="17">
        <v>460000</v>
      </c>
      <c r="G4074" s="17">
        <v>305000</v>
      </c>
      <c r="H4074" s="16" t="s">
        <v>5321</v>
      </c>
      <c r="I4074" s="40" t="s">
        <v>18</v>
      </c>
      <c r="J4074" s="40" t="str">
        <f>HYPERLINK("https://stock.pstatic.net/stock-research/company/15/20260406_company_495586000.pdf","PDF")</f>
        <v>PDF</v>
      </c>
      <c r="K4074" s="15" t="s">
        <v>5322</v>
      </c>
      <c r="L4074" s="20">
        <v>0.50819672131147542</v>
      </c>
    </row>
    <row r="4075" spans="1:12" x14ac:dyDescent="0.45">
      <c r="A4075" s="15" t="s">
        <v>5293</v>
      </c>
      <c r="B4075" s="15" t="s">
        <v>27</v>
      </c>
      <c r="C4075" s="16" t="s">
        <v>28</v>
      </c>
      <c r="D4075" s="16" t="s">
        <v>83</v>
      </c>
      <c r="E4075" s="15" t="s">
        <v>35</v>
      </c>
      <c r="F4075" s="17">
        <v>130000</v>
      </c>
      <c r="G4075" s="17">
        <v>99500</v>
      </c>
      <c r="H4075" s="16" t="s">
        <v>5323</v>
      </c>
      <c r="I4075" s="40" t="s">
        <v>18</v>
      </c>
      <c r="J4075" s="40" t="str">
        <f>HYPERLINK("https://stock.pstatic.net/stock-research/company/15/20260406_company_903142000.pdf","PDF")</f>
        <v>PDF</v>
      </c>
      <c r="K4075" s="15" t="s">
        <v>5324</v>
      </c>
      <c r="L4075" s="20">
        <v>0.30653266331658291</v>
      </c>
    </row>
    <row r="4076" spans="1:12" x14ac:dyDescent="0.45">
      <c r="A4076" s="15" t="s">
        <v>5293</v>
      </c>
      <c r="B4076" s="15" t="s">
        <v>1270</v>
      </c>
      <c r="C4076" s="16" t="s">
        <v>1271</v>
      </c>
      <c r="D4076" s="16" t="s">
        <v>158</v>
      </c>
      <c r="E4076" s="15" t="s">
        <v>35</v>
      </c>
      <c r="F4076" s="17">
        <v>120000</v>
      </c>
      <c r="G4076" s="17">
        <v>93400</v>
      </c>
      <c r="H4076" s="16" t="s">
        <v>5325</v>
      </c>
      <c r="I4076" s="40" t="s">
        <v>18</v>
      </c>
      <c r="J4076" s="40" t="str">
        <f>HYPERLINK("https://stock.pstatic.net/stock-research/company/18/20260406_company_360061000.pdf","PDF")</f>
        <v>PDF</v>
      </c>
      <c r="K4076" s="15" t="s">
        <v>5326</v>
      </c>
      <c r="L4076" s="20">
        <v>0.28479657387580298</v>
      </c>
    </row>
    <row r="4077" spans="1:12" x14ac:dyDescent="0.45">
      <c r="A4077" s="15" t="s">
        <v>5293</v>
      </c>
      <c r="B4077" s="15" t="s">
        <v>174</v>
      </c>
      <c r="C4077" s="16" t="s">
        <v>44</v>
      </c>
      <c r="D4077" s="16" t="s">
        <v>158</v>
      </c>
      <c r="E4077" s="15" t="s">
        <v>35</v>
      </c>
      <c r="F4077" s="17">
        <v>550000</v>
      </c>
      <c r="G4077" s="17">
        <v>412000</v>
      </c>
      <c r="H4077" s="16" t="s">
        <v>5327</v>
      </c>
      <c r="I4077" s="40" t="s">
        <v>18</v>
      </c>
      <c r="J4077" s="40" t="str">
        <f>HYPERLINK("https://stock.pstatic.net/stock-research/company/18/20260406_company_937683000.pdf","PDF")</f>
        <v>PDF</v>
      </c>
      <c r="K4077" s="15" t="s">
        <v>5328</v>
      </c>
      <c r="L4077" s="20">
        <v>0.33495145631067957</v>
      </c>
    </row>
    <row r="4078" spans="1:12" x14ac:dyDescent="0.45">
      <c r="A4078" s="15" t="s">
        <v>5293</v>
      </c>
      <c r="B4078" s="15" t="s">
        <v>1278</v>
      </c>
      <c r="C4078" s="16" t="s">
        <v>1279</v>
      </c>
      <c r="D4078" s="16" t="s">
        <v>158</v>
      </c>
      <c r="E4078" s="15" t="s">
        <v>35</v>
      </c>
      <c r="F4078" s="17">
        <v>270000</v>
      </c>
      <c r="G4078" s="17">
        <v>212000</v>
      </c>
      <c r="H4078" s="16" t="s">
        <v>5329</v>
      </c>
      <c r="I4078" s="40" t="s">
        <v>18</v>
      </c>
      <c r="J4078" s="40" t="str">
        <f>HYPERLINK("https://stock.pstatic.net/stock-research/company/18/20260406_company_444233000.pdf","PDF")</f>
        <v>PDF</v>
      </c>
      <c r="K4078" s="15" t="s">
        <v>5330</v>
      </c>
      <c r="L4078" s="20">
        <v>0.27358490566037741</v>
      </c>
    </row>
    <row r="4079" spans="1:12" x14ac:dyDescent="0.45">
      <c r="A4079" s="15" t="s">
        <v>5293</v>
      </c>
      <c r="B4079" s="15" t="s">
        <v>81</v>
      </c>
      <c r="C4079" s="16" t="s">
        <v>82</v>
      </c>
      <c r="D4079" s="16" t="s">
        <v>158</v>
      </c>
      <c r="E4079" s="15" t="s">
        <v>35</v>
      </c>
      <c r="F4079" s="17">
        <v>38000</v>
      </c>
      <c r="G4079" s="17">
        <v>29950</v>
      </c>
      <c r="H4079" s="16" t="s">
        <v>5331</v>
      </c>
      <c r="I4079" s="40" t="s">
        <v>18</v>
      </c>
      <c r="J4079" s="40" t="str">
        <f>HYPERLINK("https://stock.pstatic.net/stock-research/company/18/20260406_company_804235000.pdf","PDF")</f>
        <v>PDF</v>
      </c>
      <c r="K4079" s="15" t="s">
        <v>5332</v>
      </c>
      <c r="L4079" s="20">
        <v>0.26878130217028379</v>
      </c>
    </row>
    <row r="4080" spans="1:12" x14ac:dyDescent="0.45">
      <c r="A4080" s="15" t="s">
        <v>5293</v>
      </c>
      <c r="B4080" s="15" t="s">
        <v>1023</v>
      </c>
      <c r="C4080" s="16" t="s">
        <v>15</v>
      </c>
      <c r="D4080" s="16" t="s">
        <v>158</v>
      </c>
      <c r="E4080" s="15" t="s">
        <v>35</v>
      </c>
      <c r="F4080" s="17">
        <v>83000</v>
      </c>
      <c r="G4080" s="17">
        <v>63100</v>
      </c>
      <c r="H4080" s="16" t="s">
        <v>5333</v>
      </c>
      <c r="I4080" s="40" t="s">
        <v>18</v>
      </c>
      <c r="J4080" s="40" t="str">
        <f>HYPERLINK("https://stock.pstatic.net/stock-research/company/18/20260406_company_178798000.pdf","PDF")</f>
        <v>PDF</v>
      </c>
      <c r="K4080" s="15" t="s">
        <v>5334</v>
      </c>
      <c r="L4080" s="20">
        <v>0.31537242472266241</v>
      </c>
    </row>
    <row r="4081" spans="1:12" x14ac:dyDescent="0.45">
      <c r="A4081" s="15" t="s">
        <v>5293</v>
      </c>
      <c r="B4081" s="15" t="s">
        <v>5335</v>
      </c>
      <c r="C4081" s="16" t="s">
        <v>5336</v>
      </c>
      <c r="D4081" s="16" t="s">
        <v>158</v>
      </c>
      <c r="E4081" s="15" t="s">
        <v>35</v>
      </c>
      <c r="F4081" s="17">
        <v>48000</v>
      </c>
      <c r="G4081" s="17">
        <v>37000</v>
      </c>
      <c r="H4081" s="16" t="s">
        <v>5337</v>
      </c>
      <c r="I4081" s="40" t="s">
        <v>18</v>
      </c>
      <c r="J4081" s="40" t="str">
        <f>HYPERLINK("https://stock.pstatic.net/stock-research/company/18/20260406_company_213298000.pdf","PDF")</f>
        <v>PDF</v>
      </c>
      <c r="K4081" s="15" t="s">
        <v>5338</v>
      </c>
      <c r="L4081" s="20">
        <v>0.29729729729729731</v>
      </c>
    </row>
    <row r="4082" spans="1:12" x14ac:dyDescent="0.45">
      <c r="A4082" s="15" t="s">
        <v>5293</v>
      </c>
      <c r="B4082" s="15" t="s">
        <v>95</v>
      </c>
      <c r="C4082" s="16" t="s">
        <v>31</v>
      </c>
      <c r="D4082" s="16" t="s">
        <v>15</v>
      </c>
      <c r="E4082" s="15" t="s">
        <v>16</v>
      </c>
      <c r="F4082" s="17">
        <v>53000</v>
      </c>
      <c r="G4082" s="17">
        <v>40550</v>
      </c>
      <c r="H4082" s="16" t="s">
        <v>5339</v>
      </c>
      <c r="I4082" s="40" t="s">
        <v>18</v>
      </c>
      <c r="J4082" s="40" t="str">
        <f>HYPERLINK("https://stock.pstatic.net/stock-research/company/56/20260406_company_606149000.pdf","PDF")</f>
        <v>PDF</v>
      </c>
      <c r="K4082" s="15" t="s">
        <v>5340</v>
      </c>
      <c r="L4082" s="20">
        <v>0.30702836004932182</v>
      </c>
    </row>
    <row r="4083" spans="1:12" x14ac:dyDescent="0.45">
      <c r="A4083" s="15" t="s">
        <v>5293</v>
      </c>
      <c r="B4083" s="15" t="s">
        <v>334</v>
      </c>
      <c r="C4083" s="16" t="s">
        <v>335</v>
      </c>
      <c r="D4083" s="16" t="s">
        <v>15</v>
      </c>
      <c r="E4083" s="15" t="s">
        <v>16</v>
      </c>
      <c r="F4083" s="17">
        <v>1540000</v>
      </c>
      <c r="G4083" s="17">
        <v>876000</v>
      </c>
      <c r="H4083" s="16" t="s">
        <v>5341</v>
      </c>
      <c r="I4083" s="40" t="s">
        <v>18</v>
      </c>
      <c r="J4083" s="40" t="str">
        <f>HYPERLINK("https://stock.pstatic.net/stock-research/company/56/20260406_company_219375000.pdf","PDF")</f>
        <v>PDF</v>
      </c>
      <c r="K4083" s="15" t="s">
        <v>5342</v>
      </c>
      <c r="L4083" s="20">
        <v>0.75799086757990863</v>
      </c>
    </row>
    <row r="4084" spans="1:12" x14ac:dyDescent="0.45">
      <c r="A4084" s="15" t="s">
        <v>5293</v>
      </c>
      <c r="B4084" s="15" t="s">
        <v>81</v>
      </c>
      <c r="C4084" s="16" t="s">
        <v>82</v>
      </c>
      <c r="D4084" s="16" t="s">
        <v>15</v>
      </c>
      <c r="E4084" s="15" t="s">
        <v>16</v>
      </c>
      <c r="F4084" s="17">
        <v>37000</v>
      </c>
      <c r="G4084" s="17">
        <v>29950</v>
      </c>
      <c r="H4084" s="16" t="s">
        <v>5343</v>
      </c>
      <c r="I4084" s="40" t="s">
        <v>18</v>
      </c>
      <c r="J4084" s="40" t="str">
        <f>HYPERLINK("https://stock.pstatic.net/stock-research/company/56/20260406_company_299938000.pdf","PDF")</f>
        <v>PDF</v>
      </c>
      <c r="K4084" s="15" t="s">
        <v>5344</v>
      </c>
      <c r="L4084" s="20">
        <v>0.23539232053422371</v>
      </c>
    </row>
    <row r="4085" spans="1:12" x14ac:dyDescent="0.45">
      <c r="A4085" s="15" t="s">
        <v>5293</v>
      </c>
      <c r="B4085" s="15" t="s">
        <v>13</v>
      </c>
      <c r="C4085" s="16" t="s">
        <v>14</v>
      </c>
      <c r="D4085" s="16" t="s">
        <v>15</v>
      </c>
      <c r="E4085" s="15" t="s">
        <v>16</v>
      </c>
      <c r="F4085" s="17">
        <v>300000</v>
      </c>
      <c r="G4085" s="17">
        <v>186200</v>
      </c>
      <c r="H4085" s="16" t="s">
        <v>5345</v>
      </c>
      <c r="I4085" s="40" t="s">
        <v>18</v>
      </c>
      <c r="J4085" s="40" t="str">
        <f>HYPERLINK("https://stock.pstatic.net/stock-research/company/56/20260406_company_338320000.pdf","PDF")</f>
        <v>PDF</v>
      </c>
      <c r="K4085" s="15" t="s">
        <v>5346</v>
      </c>
      <c r="L4085" s="20">
        <v>0.61117078410311498</v>
      </c>
    </row>
    <row r="4086" spans="1:12" x14ac:dyDescent="0.45">
      <c r="A4086" s="15" t="s">
        <v>5293</v>
      </c>
      <c r="B4086" s="15" t="s">
        <v>740</v>
      </c>
      <c r="C4086" s="16" t="s">
        <v>741</v>
      </c>
      <c r="D4086" s="16" t="s">
        <v>15</v>
      </c>
      <c r="E4086" s="15" t="s">
        <v>16</v>
      </c>
      <c r="F4086" s="17">
        <v>480000</v>
      </c>
      <c r="G4086" s="17">
        <v>324500</v>
      </c>
      <c r="H4086" s="16" t="s">
        <v>5347</v>
      </c>
      <c r="I4086" s="40" t="s">
        <v>18</v>
      </c>
      <c r="J4086" s="40" t="str">
        <f>HYPERLINK("https://stock.pstatic.net/stock-research/company/56/20260406_company_672660000.pdf","PDF")</f>
        <v>PDF</v>
      </c>
      <c r="K4086" s="15" t="s">
        <v>5348</v>
      </c>
      <c r="L4086" s="20">
        <v>0.47919876733436062</v>
      </c>
    </row>
    <row r="4087" spans="1:12" x14ac:dyDescent="0.45">
      <c r="A4087" s="15" t="s">
        <v>5293</v>
      </c>
      <c r="B4087" s="15" t="s">
        <v>3113</v>
      </c>
      <c r="C4087" s="16" t="s">
        <v>3114</v>
      </c>
      <c r="D4087" s="16" t="s">
        <v>34</v>
      </c>
      <c r="E4087" s="15" t="s">
        <v>35</v>
      </c>
      <c r="F4087" s="17">
        <v>65000</v>
      </c>
      <c r="G4087" s="17">
        <v>53100</v>
      </c>
      <c r="H4087" s="16" t="s">
        <v>5349</v>
      </c>
      <c r="I4087" s="40" t="s">
        <v>18</v>
      </c>
      <c r="J4087" s="40" t="str">
        <f>HYPERLINK("https://stock.pstatic.net/stock-research/company/61/20260406_company_924870000.pdf","PDF")</f>
        <v>PDF</v>
      </c>
      <c r="K4087" s="15" t="s">
        <v>5350</v>
      </c>
      <c r="L4087" s="20">
        <v>0.22410546139359699</v>
      </c>
    </row>
    <row r="4088" spans="1:12" x14ac:dyDescent="0.45">
      <c r="A4088" s="15" t="s">
        <v>5293</v>
      </c>
      <c r="B4088" s="15" t="s">
        <v>3536</v>
      </c>
      <c r="C4088" s="16" t="s">
        <v>3537</v>
      </c>
      <c r="D4088" s="16" t="s">
        <v>23</v>
      </c>
      <c r="E4088" s="15" t="s">
        <v>16</v>
      </c>
      <c r="F4088" s="17">
        <v>600000</v>
      </c>
      <c r="G4088" s="17">
        <v>376000</v>
      </c>
      <c r="H4088" s="16" t="s">
        <v>5351</v>
      </c>
      <c r="I4088" s="40" t="s">
        <v>18</v>
      </c>
      <c r="J4088" s="40" t="str">
        <f>HYPERLINK("https://stock.pstatic.net/stock-research/company/21/20260406_company_415639000.pdf","PDF")</f>
        <v>PDF</v>
      </c>
      <c r="K4088" s="15" t="s">
        <v>5352</v>
      </c>
      <c r="L4088" s="20">
        <v>0.5957446808510638</v>
      </c>
    </row>
    <row r="4089" spans="1:12" x14ac:dyDescent="0.45">
      <c r="A4089" s="15" t="s">
        <v>5293</v>
      </c>
      <c r="B4089" s="15" t="s">
        <v>999</v>
      </c>
      <c r="C4089" s="16" t="s">
        <v>1000</v>
      </c>
      <c r="D4089" s="16" t="s">
        <v>34</v>
      </c>
      <c r="E4089" s="15" t="s">
        <v>50</v>
      </c>
      <c r="F4089" s="16"/>
      <c r="G4089" s="17">
        <v>39600</v>
      </c>
      <c r="H4089" s="16" t="s">
        <v>5353</v>
      </c>
      <c r="I4089" s="40" t="s">
        <v>18</v>
      </c>
      <c r="J4089" s="40" t="str">
        <f>HYPERLINK("https://stock.pstatic.net/stock-research/company/61/20260406_company_654894000.pdf","PDF")</f>
        <v>PDF</v>
      </c>
      <c r="K4089" s="15" t="s">
        <v>5354</v>
      </c>
    </row>
    <row r="4090" spans="1:12" x14ac:dyDescent="0.45">
      <c r="A4090" s="15" t="s">
        <v>5293</v>
      </c>
      <c r="B4090" s="15" t="s">
        <v>5355</v>
      </c>
      <c r="C4090" s="16" t="s">
        <v>5356</v>
      </c>
      <c r="D4090" s="16" t="s">
        <v>34</v>
      </c>
      <c r="E4090" s="15" t="s">
        <v>50</v>
      </c>
      <c r="F4090" s="16"/>
      <c r="G4090" s="17">
        <v>52100</v>
      </c>
      <c r="H4090" s="16" t="s">
        <v>5357</v>
      </c>
      <c r="I4090" s="40" t="s">
        <v>18</v>
      </c>
      <c r="J4090" s="40" t="str">
        <f>HYPERLINK("https://stock.pstatic.net/stock-research/company/61/20260406_company_293767000.pdf","PDF")</f>
        <v>PDF</v>
      </c>
      <c r="K4090" s="15" t="s">
        <v>5358</v>
      </c>
    </row>
    <row r="4091" spans="1:12" x14ac:dyDescent="0.45">
      <c r="A4091" s="15" t="s">
        <v>5293</v>
      </c>
      <c r="B4091" s="15" t="s">
        <v>5359</v>
      </c>
      <c r="C4091" s="16" t="s">
        <v>5360</v>
      </c>
      <c r="D4091" s="16" t="s">
        <v>23</v>
      </c>
      <c r="E4091" s="15" t="s">
        <v>50</v>
      </c>
      <c r="F4091" s="16"/>
      <c r="G4091" s="17">
        <v>12530</v>
      </c>
      <c r="H4091" s="16" t="s">
        <v>5361</v>
      </c>
      <c r="I4091" s="40" t="s">
        <v>18</v>
      </c>
      <c r="J4091" s="40" t="str">
        <f>HYPERLINK("https://stock.pstatic.net/stock-research/company/21/20260406_company_400877000.pdf","PDF")</f>
        <v>PDF</v>
      </c>
      <c r="K4091" s="15" t="s">
        <v>5362</v>
      </c>
    </row>
    <row r="4092" spans="1:12" x14ac:dyDescent="0.45">
      <c r="A4092" s="15" t="s">
        <v>5293</v>
      </c>
      <c r="B4092" s="15" t="s">
        <v>334</v>
      </c>
      <c r="C4092" s="16" t="s">
        <v>335</v>
      </c>
      <c r="D4092" s="16" t="s">
        <v>23</v>
      </c>
      <c r="E4092" s="15" t="s">
        <v>16</v>
      </c>
      <c r="F4092" s="17">
        <v>1500000</v>
      </c>
      <c r="G4092" s="17">
        <v>876000</v>
      </c>
      <c r="H4092" s="16" t="s">
        <v>5363</v>
      </c>
      <c r="I4092" s="40" t="s">
        <v>18</v>
      </c>
      <c r="J4092" s="40" t="str">
        <f>HYPERLINK("https://stock.pstatic.net/stock-research/company/21/20260406_company_978787000.pdf","PDF")</f>
        <v>PDF</v>
      </c>
      <c r="K4092" s="15" t="s">
        <v>5364</v>
      </c>
      <c r="L4092" s="20">
        <v>0.71232876712328763</v>
      </c>
    </row>
    <row r="4093" spans="1:12" x14ac:dyDescent="0.45">
      <c r="A4093" s="15" t="s">
        <v>5293</v>
      </c>
      <c r="B4093" s="15" t="s">
        <v>2414</v>
      </c>
      <c r="C4093" s="16" t="s">
        <v>2415</v>
      </c>
      <c r="D4093" s="16" t="s">
        <v>23</v>
      </c>
      <c r="E4093" s="15" t="s">
        <v>16</v>
      </c>
      <c r="F4093" s="17">
        <v>1700000</v>
      </c>
      <c r="G4093" s="17">
        <v>1071000</v>
      </c>
      <c r="H4093" s="16" t="s">
        <v>5365</v>
      </c>
      <c r="I4093" s="40" t="s">
        <v>18</v>
      </c>
      <c r="J4093" s="40" t="str">
        <f>HYPERLINK("https://stock.pstatic.net/stock-research/company/21/20260406_company_690798000.pdf","PDF")</f>
        <v>PDF</v>
      </c>
      <c r="K4093" s="15" t="s">
        <v>5366</v>
      </c>
      <c r="L4093" s="20">
        <v>0.58730158730158732</v>
      </c>
    </row>
    <row r="4094" spans="1:12" x14ac:dyDescent="0.45">
      <c r="A4094" s="15" t="s">
        <v>5293</v>
      </c>
      <c r="B4094" s="15" t="s">
        <v>13</v>
      </c>
      <c r="C4094" s="16" t="s">
        <v>14</v>
      </c>
      <c r="D4094" s="16" t="s">
        <v>23</v>
      </c>
      <c r="E4094" s="15" t="s">
        <v>16</v>
      </c>
      <c r="F4094" s="17">
        <v>270000</v>
      </c>
      <c r="G4094" s="17">
        <v>186200</v>
      </c>
      <c r="H4094" s="16" t="s">
        <v>5367</v>
      </c>
      <c r="I4094" s="40" t="s">
        <v>18</v>
      </c>
      <c r="J4094" s="40" t="str">
        <f>HYPERLINK("https://stock.pstatic.net/stock-research/company/21/20260406_company_297676000.pdf","PDF")</f>
        <v>PDF</v>
      </c>
      <c r="K4094" s="15" t="s">
        <v>5368</v>
      </c>
      <c r="L4094" s="20">
        <v>0.45005370569280351</v>
      </c>
    </row>
    <row r="4095" spans="1:12" x14ac:dyDescent="0.45">
      <c r="A4095" s="15" t="s">
        <v>5293</v>
      </c>
      <c r="B4095" s="15" t="s">
        <v>32</v>
      </c>
      <c r="C4095" s="16" t="s">
        <v>33</v>
      </c>
      <c r="D4095" s="16" t="s">
        <v>34</v>
      </c>
      <c r="E4095" s="15" t="s">
        <v>35</v>
      </c>
      <c r="F4095" s="17">
        <v>600000</v>
      </c>
      <c r="G4095" s="17">
        <v>456000</v>
      </c>
      <c r="H4095" s="16" t="s">
        <v>5369</v>
      </c>
      <c r="I4095" s="40" t="s">
        <v>18</v>
      </c>
      <c r="J4095" s="40" t="str">
        <f>HYPERLINK("https://stock.pstatic.net/stock-research/company/61/20260406_company_942501000.pdf","PDF")</f>
        <v>PDF</v>
      </c>
      <c r="K4095" s="15" t="s">
        <v>5370</v>
      </c>
      <c r="L4095" s="20">
        <v>0.31578947368421051</v>
      </c>
    </row>
    <row r="4096" spans="1:12" x14ac:dyDescent="0.45">
      <c r="A4096" s="15" t="s">
        <v>5293</v>
      </c>
      <c r="B4096" s="15" t="s">
        <v>110</v>
      </c>
      <c r="C4096" s="16" t="s">
        <v>111</v>
      </c>
      <c r="D4096" s="16" t="s">
        <v>34</v>
      </c>
      <c r="E4096" s="15" t="s">
        <v>35</v>
      </c>
      <c r="F4096" s="17">
        <v>70000</v>
      </c>
      <c r="G4096" s="17">
        <v>49550</v>
      </c>
      <c r="H4096" s="16" t="s">
        <v>5371</v>
      </c>
      <c r="I4096" s="40" t="s">
        <v>18</v>
      </c>
      <c r="J4096" s="40" t="str">
        <f>HYPERLINK("https://stock.pstatic.net/stock-research/company/61/20260406_company_16356000.pdf","PDF")</f>
        <v>PDF</v>
      </c>
      <c r="K4096" s="15" t="s">
        <v>5372</v>
      </c>
      <c r="L4096" s="20">
        <v>0.4127144298688194</v>
      </c>
    </row>
    <row r="4097" spans="1:12" x14ac:dyDescent="0.45">
      <c r="A4097" s="15" t="s">
        <v>5293</v>
      </c>
      <c r="B4097" s="15" t="s">
        <v>5373</v>
      </c>
      <c r="C4097" s="16" t="s">
        <v>5374</v>
      </c>
      <c r="D4097" s="16" t="s">
        <v>124</v>
      </c>
      <c r="E4097" s="15" t="s">
        <v>50</v>
      </c>
      <c r="F4097" s="16"/>
      <c r="G4097" s="16"/>
      <c r="H4097" s="16" t="s">
        <v>5375</v>
      </c>
      <c r="I4097" s="40" t="s">
        <v>18</v>
      </c>
      <c r="J4097" s="40" t="str">
        <f>HYPERLINK("https://stock.pstatic.net/stock-research/company/74/20260406_company_204697000.pdf","PDF")</f>
        <v>PDF</v>
      </c>
      <c r="K4097" s="15" t="s">
        <v>5376</v>
      </c>
    </row>
    <row r="4098" spans="1:12" x14ac:dyDescent="0.45">
      <c r="A4098" s="15" t="s">
        <v>5293</v>
      </c>
      <c r="B4098" s="15" t="s">
        <v>2382</v>
      </c>
      <c r="C4098" s="16" t="s">
        <v>2383</v>
      </c>
      <c r="D4098" s="16" t="s">
        <v>53</v>
      </c>
      <c r="E4098" s="15" t="s">
        <v>16</v>
      </c>
      <c r="F4098" s="17">
        <v>76000</v>
      </c>
      <c r="G4098" s="17">
        <v>40600</v>
      </c>
      <c r="H4098" s="16" t="s">
        <v>5377</v>
      </c>
      <c r="I4098" s="40" t="s">
        <v>18</v>
      </c>
      <c r="J4098" s="40" t="str">
        <f>HYPERLINK("https://stock.pstatic.net/stock-research/company/40/20260406_company_605616000.pdf","PDF")</f>
        <v>PDF</v>
      </c>
      <c r="K4098" s="15" t="s">
        <v>5378</v>
      </c>
      <c r="L4098" s="20">
        <v>0.8719211822660099</v>
      </c>
    </row>
    <row r="4099" spans="1:12" x14ac:dyDescent="0.45">
      <c r="A4099" s="15" t="s">
        <v>5379</v>
      </c>
      <c r="B4099" s="15" t="s">
        <v>916</v>
      </c>
      <c r="C4099" s="16" t="s">
        <v>917</v>
      </c>
      <c r="D4099" s="16" t="s">
        <v>57</v>
      </c>
      <c r="E4099" s="15" t="s">
        <v>35</v>
      </c>
      <c r="F4099" s="17">
        <v>85000</v>
      </c>
      <c r="G4099" s="17">
        <v>45400</v>
      </c>
      <c r="H4099" s="16" t="s">
        <v>5380</v>
      </c>
      <c r="I4099" s="40" t="s">
        <v>18</v>
      </c>
      <c r="J4099" s="40" t="str">
        <f>HYPERLINK("https://stock.pstatic.net/stock-research/company/16/20260403_company_471073000.pdf","PDF")</f>
        <v>PDF</v>
      </c>
      <c r="K4099" s="15" t="s">
        <v>5381</v>
      </c>
      <c r="L4099" s="20">
        <v>0.8722466960352423</v>
      </c>
    </row>
    <row r="4100" spans="1:12" x14ac:dyDescent="0.45">
      <c r="A4100" s="15" t="s">
        <v>5379</v>
      </c>
      <c r="B4100" s="15" t="s">
        <v>42</v>
      </c>
      <c r="C4100" s="16" t="s">
        <v>43</v>
      </c>
      <c r="D4100" s="16" t="s">
        <v>57</v>
      </c>
      <c r="E4100" s="15" t="s">
        <v>35</v>
      </c>
      <c r="F4100" s="17">
        <v>300000</v>
      </c>
      <c r="G4100" s="17">
        <v>195800</v>
      </c>
      <c r="H4100" s="16" t="s">
        <v>5382</v>
      </c>
      <c r="I4100" s="40" t="s">
        <v>18</v>
      </c>
      <c r="J4100" s="40" t="str">
        <f>HYPERLINK("https://stock.pstatic.net/stock-research/company/16/20260403_company_315968000.pdf","PDF")</f>
        <v>PDF</v>
      </c>
      <c r="K4100" s="15" t="s">
        <v>5383</v>
      </c>
      <c r="L4100" s="20">
        <v>0.53217568947906024</v>
      </c>
    </row>
    <row r="4101" spans="1:12" x14ac:dyDescent="0.45">
      <c r="A4101" s="15" t="s">
        <v>5379</v>
      </c>
      <c r="B4101" s="15" t="s">
        <v>768</v>
      </c>
      <c r="C4101" s="16" t="s">
        <v>769</v>
      </c>
      <c r="D4101" s="16" t="s">
        <v>57</v>
      </c>
      <c r="E4101" s="15" t="s">
        <v>35</v>
      </c>
      <c r="F4101" s="17">
        <v>230000</v>
      </c>
      <c r="G4101" s="17">
        <v>194500</v>
      </c>
      <c r="H4101" s="16" t="s">
        <v>5384</v>
      </c>
      <c r="I4101" s="40" t="s">
        <v>18</v>
      </c>
      <c r="J4101" s="40" t="str">
        <f>HYPERLINK("https://stock.pstatic.net/stock-research/company/16/20260403_company_453992000.pdf","PDF")</f>
        <v>PDF</v>
      </c>
      <c r="K4101" s="15" t="s">
        <v>5385</v>
      </c>
      <c r="L4101" s="20">
        <v>0.1825192802056555</v>
      </c>
    </row>
    <row r="4102" spans="1:12" x14ac:dyDescent="0.45">
      <c r="A4102" s="15" t="s">
        <v>5379</v>
      </c>
      <c r="B4102" s="15" t="s">
        <v>430</v>
      </c>
      <c r="C4102" s="16" t="s">
        <v>431</v>
      </c>
      <c r="D4102" s="16" t="s">
        <v>276</v>
      </c>
      <c r="E4102" s="15" t="s">
        <v>5386</v>
      </c>
      <c r="F4102" s="17">
        <v>42000</v>
      </c>
      <c r="G4102" s="17">
        <v>54400</v>
      </c>
      <c r="H4102" s="16" t="s">
        <v>5387</v>
      </c>
      <c r="I4102" s="40" t="s">
        <v>18</v>
      </c>
      <c r="J4102" s="40" t="str">
        <f>HYPERLINK("https://stock.pstatic.net/stock-research/company/66/20260403_company_316079000.pdf","PDF")</f>
        <v>PDF</v>
      </c>
      <c r="K4102" s="15" t="s">
        <v>5388</v>
      </c>
      <c r="L4102" s="20">
        <v>-0.2279411764705882</v>
      </c>
    </row>
    <row r="4103" spans="1:12" x14ac:dyDescent="0.45">
      <c r="A4103" s="15" t="s">
        <v>5379</v>
      </c>
      <c r="B4103" s="15" t="s">
        <v>1918</v>
      </c>
      <c r="C4103" s="16" t="s">
        <v>1919</v>
      </c>
      <c r="D4103" s="16" t="s">
        <v>276</v>
      </c>
      <c r="E4103" s="15" t="s">
        <v>16</v>
      </c>
      <c r="F4103" s="17">
        <v>7000</v>
      </c>
      <c r="G4103" s="17">
        <v>4080</v>
      </c>
      <c r="H4103" s="16" t="s">
        <v>5389</v>
      </c>
      <c r="I4103" s="40" t="s">
        <v>18</v>
      </c>
      <c r="J4103" s="40" t="str">
        <f>HYPERLINK("https://stock.pstatic.net/stock-research/company/66/20260403_company_932070000.pdf","PDF")</f>
        <v>PDF</v>
      </c>
      <c r="K4103" s="15" t="s">
        <v>5390</v>
      </c>
      <c r="L4103" s="20">
        <v>0.71568627450980393</v>
      </c>
    </row>
    <row r="4104" spans="1:12" x14ac:dyDescent="0.45">
      <c r="A4104" s="15" t="s">
        <v>5379</v>
      </c>
      <c r="B4104" s="15" t="s">
        <v>3584</v>
      </c>
      <c r="C4104" s="16" t="s">
        <v>3585</v>
      </c>
      <c r="D4104" s="16" t="s">
        <v>276</v>
      </c>
      <c r="E4104" s="15" t="s">
        <v>16</v>
      </c>
      <c r="F4104" s="17">
        <v>26000</v>
      </c>
      <c r="G4104" s="17">
        <v>18670</v>
      </c>
      <c r="H4104" s="16" t="s">
        <v>5391</v>
      </c>
      <c r="I4104" s="40" t="s">
        <v>18</v>
      </c>
      <c r="J4104" s="40" t="str">
        <f>HYPERLINK("https://stock.pstatic.net/stock-research/company/66/20260403_company_102076000.pdf","PDF")</f>
        <v>PDF</v>
      </c>
      <c r="K4104" s="15" t="s">
        <v>5392</v>
      </c>
      <c r="L4104" s="20">
        <v>0.39260846277450462</v>
      </c>
    </row>
    <row r="4105" spans="1:12" x14ac:dyDescent="0.45">
      <c r="A4105" s="15" t="s">
        <v>5379</v>
      </c>
      <c r="B4105" s="15" t="s">
        <v>2712</v>
      </c>
      <c r="C4105" s="16" t="s">
        <v>2713</v>
      </c>
      <c r="D4105" s="16" t="s">
        <v>65</v>
      </c>
      <c r="E4105" s="15" t="s">
        <v>35</v>
      </c>
      <c r="F4105" s="17">
        <v>120000</v>
      </c>
      <c r="G4105" s="17">
        <v>68900</v>
      </c>
      <c r="H4105" s="16" t="s">
        <v>5393</v>
      </c>
      <c r="I4105" s="40" t="s">
        <v>18</v>
      </c>
      <c r="J4105" s="40" t="str">
        <f>HYPERLINK("https://stock.pstatic.net/stock-research/company/57/20260403_company_333432000.pdf","PDF")</f>
        <v>PDF</v>
      </c>
      <c r="K4105" s="15" t="s">
        <v>5394</v>
      </c>
      <c r="L4105" s="20">
        <v>0.74165457184325112</v>
      </c>
    </row>
    <row r="4106" spans="1:12" x14ac:dyDescent="0.45">
      <c r="A4106" s="15" t="s">
        <v>5379</v>
      </c>
      <c r="B4106" s="15" t="s">
        <v>5395</v>
      </c>
      <c r="C4106" s="16" t="s">
        <v>5396</v>
      </c>
      <c r="D4106" s="16" t="s">
        <v>65</v>
      </c>
      <c r="E4106" s="15" t="s">
        <v>35</v>
      </c>
      <c r="F4106" s="17">
        <v>72000</v>
      </c>
      <c r="G4106" s="17">
        <v>37500</v>
      </c>
      <c r="H4106" s="16" t="s">
        <v>5397</v>
      </c>
      <c r="I4106" s="40" t="s">
        <v>18</v>
      </c>
      <c r="J4106" s="40" t="str">
        <f>HYPERLINK("https://stock.pstatic.net/stock-research/company/57/20260403_company_908186000.pdf","PDF")</f>
        <v>PDF</v>
      </c>
      <c r="K4106" s="15" t="s">
        <v>5398</v>
      </c>
      <c r="L4106" s="20">
        <v>0.92</v>
      </c>
    </row>
    <row r="4107" spans="1:12" x14ac:dyDescent="0.45">
      <c r="A4107" s="15" t="s">
        <v>5379</v>
      </c>
      <c r="B4107" s="15" t="s">
        <v>2758</v>
      </c>
      <c r="C4107" s="16" t="s">
        <v>2759</v>
      </c>
      <c r="D4107" s="16" t="s">
        <v>65</v>
      </c>
      <c r="E4107" s="15" t="s">
        <v>35</v>
      </c>
      <c r="F4107" s="17">
        <v>740000</v>
      </c>
      <c r="G4107" s="17">
        <v>341000</v>
      </c>
      <c r="H4107" s="16" t="s">
        <v>5399</v>
      </c>
      <c r="I4107" s="40" t="s">
        <v>18</v>
      </c>
      <c r="J4107" s="40" t="str">
        <f>HYPERLINK("https://stock.pstatic.net/stock-research/company/57/20260403_company_465756000.pdf","PDF")</f>
        <v>PDF</v>
      </c>
      <c r="K4107" s="15" t="s">
        <v>5400</v>
      </c>
      <c r="L4107" s="20">
        <v>1.17008797653959</v>
      </c>
    </row>
    <row r="4108" spans="1:12" x14ac:dyDescent="0.45">
      <c r="A4108" s="15" t="s">
        <v>5379</v>
      </c>
      <c r="B4108" s="15" t="s">
        <v>81</v>
      </c>
      <c r="C4108" s="16" t="s">
        <v>82</v>
      </c>
      <c r="D4108" s="16" t="s">
        <v>65</v>
      </c>
      <c r="E4108" s="15" t="s">
        <v>35</v>
      </c>
      <c r="F4108" s="17">
        <v>44000</v>
      </c>
      <c r="G4108" s="17">
        <v>29750</v>
      </c>
      <c r="H4108" s="16" t="s">
        <v>5401</v>
      </c>
      <c r="I4108" s="40" t="s">
        <v>18</v>
      </c>
      <c r="J4108" s="40" t="str">
        <f>HYPERLINK("https://stock.pstatic.net/stock-research/company/57/20260403_company_786469000.pdf","PDF")</f>
        <v>PDF</v>
      </c>
      <c r="K4108" s="15" t="s">
        <v>5402</v>
      </c>
      <c r="L4108" s="20">
        <v>0.47899159663865548</v>
      </c>
    </row>
    <row r="4109" spans="1:12" x14ac:dyDescent="0.45">
      <c r="A4109" s="15" t="s">
        <v>5379</v>
      </c>
      <c r="B4109" s="15" t="s">
        <v>259</v>
      </c>
      <c r="C4109" s="16" t="s">
        <v>260</v>
      </c>
      <c r="D4109" s="16" t="s">
        <v>158</v>
      </c>
      <c r="E4109" s="15" t="s">
        <v>35</v>
      </c>
      <c r="F4109" s="17">
        <v>88000</v>
      </c>
      <c r="G4109" s="17">
        <v>60100</v>
      </c>
      <c r="H4109" s="16" t="s">
        <v>5403</v>
      </c>
      <c r="I4109" s="40" t="s">
        <v>18</v>
      </c>
      <c r="J4109" s="40" t="str">
        <f>HYPERLINK("https://stock.pstatic.net/stock-research/company/18/20260403_company_861273000.pdf","PDF")</f>
        <v>PDF</v>
      </c>
      <c r="K4109" s="15" t="s">
        <v>5404</v>
      </c>
      <c r="L4109" s="20">
        <v>0.46422628951747091</v>
      </c>
    </row>
    <row r="4110" spans="1:12" x14ac:dyDescent="0.45">
      <c r="A4110" s="15" t="s">
        <v>5379</v>
      </c>
      <c r="B4110" s="15" t="s">
        <v>166</v>
      </c>
      <c r="C4110" s="16" t="s">
        <v>167</v>
      </c>
      <c r="D4110" s="16" t="s">
        <v>158</v>
      </c>
      <c r="E4110" s="15" t="s">
        <v>50</v>
      </c>
      <c r="F4110" s="16"/>
      <c r="G4110" s="17">
        <v>37200</v>
      </c>
      <c r="H4110" s="16" t="s">
        <v>5405</v>
      </c>
      <c r="I4110" s="40" t="s">
        <v>18</v>
      </c>
      <c r="J4110" s="40" t="str">
        <f>HYPERLINK("https://stock.pstatic.net/stock-research/company/18/20260403_company_300916000.pdf","PDF")</f>
        <v>PDF</v>
      </c>
      <c r="K4110" s="15" t="s">
        <v>5406</v>
      </c>
    </row>
    <row r="4111" spans="1:12" x14ac:dyDescent="0.45">
      <c r="A4111" s="15" t="s">
        <v>5379</v>
      </c>
      <c r="B4111" s="15" t="s">
        <v>32</v>
      </c>
      <c r="C4111" s="16" t="s">
        <v>33</v>
      </c>
      <c r="D4111" s="16" t="s">
        <v>179</v>
      </c>
      <c r="E4111" s="15" t="s">
        <v>16</v>
      </c>
      <c r="F4111" s="17">
        <v>600000</v>
      </c>
      <c r="G4111" s="17">
        <v>417000</v>
      </c>
      <c r="H4111" s="16" t="s">
        <v>5407</v>
      </c>
      <c r="I4111" s="40" t="s">
        <v>18</v>
      </c>
      <c r="J4111" s="40" t="str">
        <f>HYPERLINK("https://stock.pstatic.net/stock-research/company/64/20260403_company_837102000.pdf","PDF")</f>
        <v>PDF</v>
      </c>
      <c r="K4111" s="15" t="s">
        <v>5408</v>
      </c>
      <c r="L4111" s="20">
        <v>0.43884892086330929</v>
      </c>
    </row>
    <row r="4112" spans="1:12" x14ac:dyDescent="0.45">
      <c r="A4112" s="15" t="s">
        <v>5379</v>
      </c>
      <c r="B4112" s="15" t="s">
        <v>519</v>
      </c>
      <c r="C4112" s="16" t="s">
        <v>520</v>
      </c>
      <c r="D4112" s="16" t="s">
        <v>179</v>
      </c>
      <c r="E4112" s="15" t="s">
        <v>16</v>
      </c>
      <c r="F4112" s="17">
        <v>630000</v>
      </c>
      <c r="G4112" s="17">
        <v>465500</v>
      </c>
      <c r="H4112" s="16" t="s">
        <v>5409</v>
      </c>
      <c r="I4112" s="40" t="s">
        <v>18</v>
      </c>
      <c r="J4112" s="40" t="str">
        <f>HYPERLINK("https://stock.pstatic.net/stock-research/company/64/20260403_company_811999000.pdf","PDF")</f>
        <v>PDF</v>
      </c>
      <c r="K4112" s="15" t="s">
        <v>5410</v>
      </c>
      <c r="L4112" s="20">
        <v>0.35338345864661652</v>
      </c>
    </row>
    <row r="4113" spans="1:12" x14ac:dyDescent="0.45">
      <c r="A4113" s="15" t="s">
        <v>5379</v>
      </c>
      <c r="B4113" s="15" t="s">
        <v>1686</v>
      </c>
      <c r="C4113" s="16" t="s">
        <v>1687</v>
      </c>
      <c r="D4113" s="16" t="s">
        <v>23</v>
      </c>
      <c r="E4113" s="15" t="s">
        <v>16</v>
      </c>
      <c r="F4113" s="17">
        <v>1750000</v>
      </c>
      <c r="G4113" s="17">
        <v>1273000</v>
      </c>
      <c r="H4113" s="16" t="s">
        <v>5411</v>
      </c>
      <c r="I4113" s="40" t="s">
        <v>18</v>
      </c>
      <c r="J4113" s="40" t="str">
        <f>HYPERLINK("https://stock.pstatic.net/stock-research/company/21/20260403_company_228977000.pdf","PDF")</f>
        <v>PDF</v>
      </c>
      <c r="K4113" s="15" t="s">
        <v>5412</v>
      </c>
      <c r="L4113" s="20">
        <v>0.37470542026708559</v>
      </c>
    </row>
    <row r="4114" spans="1:12" x14ac:dyDescent="0.45">
      <c r="A4114" s="15" t="s">
        <v>5379</v>
      </c>
      <c r="B4114" s="15" t="s">
        <v>1765</v>
      </c>
      <c r="C4114" s="16" t="s">
        <v>1766</v>
      </c>
      <c r="D4114" s="16" t="s">
        <v>179</v>
      </c>
      <c r="E4114" s="15" t="s">
        <v>16</v>
      </c>
      <c r="F4114" s="17">
        <v>200000</v>
      </c>
      <c r="G4114" s="17">
        <v>150600</v>
      </c>
      <c r="H4114" s="16" t="s">
        <v>5413</v>
      </c>
      <c r="I4114" s="40" t="s">
        <v>18</v>
      </c>
      <c r="J4114" s="40" t="str">
        <f>HYPERLINK("https://stock.pstatic.net/stock-research/company/64/20260403_company_721607000.pdf","PDF")</f>
        <v>PDF</v>
      </c>
      <c r="K4114" s="15" t="s">
        <v>5414</v>
      </c>
      <c r="L4114" s="20">
        <v>0.32802124833997343</v>
      </c>
    </row>
    <row r="4115" spans="1:12" x14ac:dyDescent="0.45">
      <c r="A4115" s="15" t="s">
        <v>5379</v>
      </c>
      <c r="B4115" s="15" t="s">
        <v>5355</v>
      </c>
      <c r="C4115" s="16" t="s">
        <v>5356</v>
      </c>
      <c r="D4115" s="16" t="s">
        <v>23</v>
      </c>
      <c r="E4115" s="15" t="s">
        <v>50</v>
      </c>
      <c r="F4115" s="16"/>
      <c r="G4115" s="17">
        <v>46900</v>
      </c>
      <c r="H4115" s="16" t="s">
        <v>5415</v>
      </c>
      <c r="I4115" s="40" t="s">
        <v>18</v>
      </c>
      <c r="J4115" s="40" t="str">
        <f>HYPERLINK("https://stock.pstatic.net/stock-research/company/21/20260403_company_627900000.pdf","PDF")</f>
        <v>PDF</v>
      </c>
      <c r="K4115" s="15" t="s">
        <v>5416</v>
      </c>
    </row>
    <row r="4116" spans="1:12" x14ac:dyDescent="0.45">
      <c r="A4116" s="15" t="s">
        <v>5379</v>
      </c>
      <c r="B4116" s="15" t="s">
        <v>430</v>
      </c>
      <c r="C4116" s="16" t="s">
        <v>431</v>
      </c>
      <c r="D4116" s="16" t="s">
        <v>53</v>
      </c>
      <c r="E4116" s="15" t="s">
        <v>16</v>
      </c>
      <c r="F4116" s="17">
        <v>64000</v>
      </c>
      <c r="G4116" s="17">
        <v>54400</v>
      </c>
      <c r="H4116" s="16" t="s">
        <v>5417</v>
      </c>
      <c r="I4116" s="40" t="s">
        <v>18</v>
      </c>
      <c r="J4116" s="40" t="str">
        <f>HYPERLINK("https://stock.pstatic.net/stock-research/company/40/20260403_company_268625000.pdf","PDF")</f>
        <v>PDF</v>
      </c>
      <c r="K4116" s="15" t="s">
        <v>5418</v>
      </c>
      <c r="L4116" s="20">
        <v>0.1764705882352941</v>
      </c>
    </row>
    <row r="4117" spans="1:12" x14ac:dyDescent="0.45">
      <c r="A4117" s="15" t="s">
        <v>5379</v>
      </c>
      <c r="B4117" s="15" t="s">
        <v>32</v>
      </c>
      <c r="C4117" s="16" t="s">
        <v>33</v>
      </c>
      <c r="D4117" s="16" t="s">
        <v>92</v>
      </c>
      <c r="E4117" s="15" t="s">
        <v>35</v>
      </c>
      <c r="F4117" s="17">
        <v>590000</v>
      </c>
      <c r="G4117" s="17">
        <v>417000</v>
      </c>
      <c r="H4117" s="16" t="s">
        <v>5419</v>
      </c>
      <c r="I4117" s="40" t="s">
        <v>18</v>
      </c>
      <c r="J4117" s="40" t="str">
        <f>HYPERLINK("https://stock.pstatic.net/stock-research/company/63/20260403_company_697010000.pdf","PDF")</f>
        <v>PDF</v>
      </c>
      <c r="K4117" s="15" t="s">
        <v>5420</v>
      </c>
      <c r="L4117" s="20">
        <v>0.4148681055155875</v>
      </c>
    </row>
    <row r="4118" spans="1:12" x14ac:dyDescent="0.45">
      <c r="A4118" s="15" t="s">
        <v>5379</v>
      </c>
      <c r="B4118" s="15" t="s">
        <v>977</v>
      </c>
      <c r="C4118" s="16" t="s">
        <v>978</v>
      </c>
      <c r="D4118" s="16" t="s">
        <v>179</v>
      </c>
      <c r="E4118" s="15" t="s">
        <v>50</v>
      </c>
      <c r="F4118" s="16"/>
      <c r="G4118" s="17">
        <v>995</v>
      </c>
      <c r="H4118" s="16" t="s">
        <v>5421</v>
      </c>
      <c r="I4118" s="40" t="s">
        <v>18</v>
      </c>
      <c r="J4118" s="40" t="str">
        <f>HYPERLINK("https://stock.pstatic.net/stock-research/company/64/20260403_company_148856000.pdf","PDF")</f>
        <v>PDF</v>
      </c>
      <c r="K4118" s="15" t="s">
        <v>5422</v>
      </c>
    </row>
    <row r="4119" spans="1:12" x14ac:dyDescent="0.45">
      <c r="A4119" s="15" t="s">
        <v>5379</v>
      </c>
      <c r="B4119" s="15" t="s">
        <v>1686</v>
      </c>
      <c r="C4119" s="16" t="s">
        <v>1687</v>
      </c>
      <c r="D4119" s="16" t="s">
        <v>53</v>
      </c>
      <c r="E4119" s="15" t="s">
        <v>16</v>
      </c>
      <c r="F4119" s="17">
        <v>1670000</v>
      </c>
      <c r="G4119" s="17">
        <v>1273000</v>
      </c>
      <c r="H4119" s="16" t="s">
        <v>5423</v>
      </c>
      <c r="I4119" s="40" t="s">
        <v>18</v>
      </c>
      <c r="J4119" s="40" t="str">
        <f>HYPERLINK("https://stock.pstatic.net/stock-research/company/40/20260403_company_519518000.pdf","PDF")</f>
        <v>PDF</v>
      </c>
      <c r="K4119" s="15" t="s">
        <v>5424</v>
      </c>
      <c r="L4119" s="20">
        <v>0.31186174391201887</v>
      </c>
    </row>
    <row r="4120" spans="1:12" x14ac:dyDescent="0.45">
      <c r="A4120" s="15" t="s">
        <v>5379</v>
      </c>
      <c r="B4120" s="15" t="s">
        <v>2613</v>
      </c>
      <c r="C4120" s="16" t="s">
        <v>2614</v>
      </c>
      <c r="D4120" s="16" t="s">
        <v>44</v>
      </c>
      <c r="E4120" s="15" t="s">
        <v>35</v>
      </c>
      <c r="F4120" s="17">
        <v>360000</v>
      </c>
      <c r="G4120" s="17">
        <v>243000</v>
      </c>
      <c r="H4120" s="16" t="s">
        <v>5425</v>
      </c>
      <c r="I4120" s="40" t="s">
        <v>18</v>
      </c>
      <c r="J4120" s="40" t="str">
        <f>HYPERLINK("https://stock.pstatic.net/stock-research/company/39/20260403_company_997635000.pdf","PDF")</f>
        <v>PDF</v>
      </c>
      <c r="K4120" s="15" t="s">
        <v>5426</v>
      </c>
      <c r="L4120" s="20">
        <v>0.48148148148148151</v>
      </c>
    </row>
    <row r="4121" spans="1:12" x14ac:dyDescent="0.45">
      <c r="A4121" s="15" t="s">
        <v>5379</v>
      </c>
      <c r="B4121" s="15" t="s">
        <v>5427</v>
      </c>
      <c r="C4121" s="16" t="s">
        <v>5428</v>
      </c>
      <c r="D4121" s="16" t="s">
        <v>124</v>
      </c>
      <c r="E4121" s="15" t="s">
        <v>50</v>
      </c>
      <c r="F4121" s="16"/>
      <c r="G4121" s="16"/>
      <c r="H4121" s="16" t="s">
        <v>5429</v>
      </c>
      <c r="I4121" s="40" t="s">
        <v>18</v>
      </c>
      <c r="J4121" s="40" t="str">
        <f>HYPERLINK("https://stock.pstatic.net/stock-research/company/74/20260403_company_391114000.pdf","PDF")</f>
        <v>PDF</v>
      </c>
      <c r="K4121" s="15" t="s">
        <v>5430</v>
      </c>
    </row>
    <row r="4122" spans="1:12" x14ac:dyDescent="0.45">
      <c r="A4122" s="15" t="s">
        <v>5379</v>
      </c>
      <c r="B4122" s="15" t="s">
        <v>1799</v>
      </c>
      <c r="C4122" s="16" t="s">
        <v>1800</v>
      </c>
      <c r="D4122" s="16" t="s">
        <v>124</v>
      </c>
      <c r="E4122" s="15" t="s">
        <v>50</v>
      </c>
      <c r="F4122" s="16"/>
      <c r="G4122" s="16"/>
      <c r="H4122" s="16" t="s">
        <v>5431</v>
      </c>
      <c r="I4122" s="40" t="s">
        <v>18</v>
      </c>
      <c r="J4122" s="40" t="str">
        <f>HYPERLINK("https://stock.pstatic.net/stock-research/company/74/20260403_company_689951000.pdf","PDF")</f>
        <v>PDF</v>
      </c>
      <c r="K4122" s="15" t="s">
        <v>5432</v>
      </c>
    </row>
    <row r="4123" spans="1:12" x14ac:dyDescent="0.45">
      <c r="A4123" s="15" t="s">
        <v>5379</v>
      </c>
      <c r="B4123" s="15" t="s">
        <v>5433</v>
      </c>
      <c r="C4123" s="16" t="s">
        <v>5434</v>
      </c>
      <c r="D4123" s="16" t="s">
        <v>202</v>
      </c>
      <c r="E4123" s="15" t="s">
        <v>50</v>
      </c>
      <c r="F4123" s="16"/>
      <c r="G4123" s="16"/>
      <c r="H4123" s="16" t="s">
        <v>5435</v>
      </c>
      <c r="I4123" s="40" t="s">
        <v>18</v>
      </c>
      <c r="J4123" s="40" t="str">
        <f>HYPERLINK("https://stock.pstatic.net/stock-research/company/69/20260403_company_846780000.pdf","PDF")</f>
        <v>PDF</v>
      </c>
      <c r="K4123" s="15" t="s">
        <v>5436</v>
      </c>
    </row>
    <row r="4124" spans="1:12" x14ac:dyDescent="0.45">
      <c r="A4124" s="15" t="s">
        <v>5437</v>
      </c>
      <c r="B4124" s="15" t="s">
        <v>98</v>
      </c>
      <c r="C4124" s="16" t="s">
        <v>99</v>
      </c>
      <c r="D4124" s="16" t="s">
        <v>57</v>
      </c>
      <c r="E4124" s="15" t="s">
        <v>35</v>
      </c>
      <c r="F4124" s="17">
        <v>48000</v>
      </c>
      <c r="G4124" s="17">
        <v>38750</v>
      </c>
      <c r="H4124" s="16" t="s">
        <v>5438</v>
      </c>
      <c r="I4124" s="40" t="s">
        <v>18</v>
      </c>
      <c r="J4124" s="40" t="str">
        <f>HYPERLINK("https://stock.pstatic.net/stock-research/company/16/20260402_company_624070000.pdf","PDF")</f>
        <v>PDF</v>
      </c>
      <c r="K4124" s="15" t="s">
        <v>5439</v>
      </c>
      <c r="L4124" s="20">
        <v>0.23870967741935481</v>
      </c>
    </row>
    <row r="4125" spans="1:12" x14ac:dyDescent="0.45">
      <c r="A4125" s="15" t="s">
        <v>5437</v>
      </c>
      <c r="B4125" s="15" t="s">
        <v>2522</v>
      </c>
      <c r="C4125" s="16" t="s">
        <v>2523</v>
      </c>
      <c r="D4125" s="16" t="s">
        <v>57</v>
      </c>
      <c r="E4125" s="15" t="s">
        <v>35</v>
      </c>
      <c r="F4125" s="17">
        <v>380000</v>
      </c>
      <c r="G4125" s="17">
        <v>262000</v>
      </c>
      <c r="H4125" s="16" t="s">
        <v>5440</v>
      </c>
      <c r="I4125" s="40" t="s">
        <v>18</v>
      </c>
      <c r="J4125" s="40" t="str">
        <f>HYPERLINK("https://stock.pstatic.net/stock-research/company/16/20260402_company_41674000.pdf","PDF")</f>
        <v>PDF</v>
      </c>
      <c r="K4125" s="15" t="s">
        <v>5441</v>
      </c>
      <c r="L4125" s="20">
        <v>0.45038167938931289</v>
      </c>
    </row>
    <row r="4126" spans="1:12" x14ac:dyDescent="0.45">
      <c r="A4126" s="15" t="s">
        <v>5437</v>
      </c>
      <c r="B4126" s="15" t="s">
        <v>1930</v>
      </c>
      <c r="C4126" s="16" t="s">
        <v>1931</v>
      </c>
      <c r="D4126" s="16" t="s">
        <v>57</v>
      </c>
      <c r="E4126" s="15" t="s">
        <v>35</v>
      </c>
      <c r="F4126" s="17">
        <v>300000</v>
      </c>
      <c r="G4126" s="17">
        <v>220000</v>
      </c>
      <c r="H4126" s="16" t="s">
        <v>5442</v>
      </c>
      <c r="I4126" s="40" t="s">
        <v>18</v>
      </c>
      <c r="J4126" s="40" t="str">
        <f>HYPERLINK("https://stock.pstatic.net/stock-research/company/16/20260402_company_651090000.pdf","PDF")</f>
        <v>PDF</v>
      </c>
      <c r="K4126" s="15" t="s">
        <v>5443</v>
      </c>
      <c r="L4126" s="20">
        <v>0.36363636363636359</v>
      </c>
    </row>
    <row r="4127" spans="1:12" x14ac:dyDescent="0.45">
      <c r="A4127" s="15" t="s">
        <v>5437</v>
      </c>
      <c r="B4127" s="15" t="s">
        <v>102</v>
      </c>
      <c r="C4127" s="16" t="s">
        <v>103</v>
      </c>
      <c r="D4127" s="16" t="s">
        <v>276</v>
      </c>
      <c r="E4127" s="15" t="s">
        <v>16</v>
      </c>
      <c r="F4127" s="17">
        <v>37000</v>
      </c>
      <c r="G4127" s="17">
        <v>22000</v>
      </c>
      <c r="H4127" s="16" t="s">
        <v>5444</v>
      </c>
      <c r="I4127" s="40" t="s">
        <v>18</v>
      </c>
      <c r="J4127" s="40" t="str">
        <f>HYPERLINK("https://stock.pstatic.net/stock-research/company/66/20260402_company_182870000.pdf","PDF")</f>
        <v>PDF</v>
      </c>
      <c r="K4127" s="15" t="s">
        <v>5445</v>
      </c>
      <c r="L4127" s="20">
        <v>0.68181818181818177</v>
      </c>
    </row>
    <row r="4128" spans="1:12" x14ac:dyDescent="0.45">
      <c r="A4128" s="15" t="s">
        <v>5437</v>
      </c>
      <c r="B4128" s="15" t="s">
        <v>1081</v>
      </c>
      <c r="C4128" s="16" t="s">
        <v>1082</v>
      </c>
      <c r="D4128" s="16" t="s">
        <v>65</v>
      </c>
      <c r="E4128" s="15" t="s">
        <v>35</v>
      </c>
      <c r="F4128" s="17">
        <v>2050000</v>
      </c>
      <c r="G4128" s="17">
        <v>1572000</v>
      </c>
      <c r="H4128" s="16" t="s">
        <v>5446</v>
      </c>
      <c r="I4128" s="40" t="s">
        <v>18</v>
      </c>
      <c r="J4128" s="40" t="str">
        <f>HYPERLINK("https://stock.pstatic.net/stock-research/company/57/20260402_company_189308000.pdf","PDF")</f>
        <v>PDF</v>
      </c>
      <c r="K4128" s="15" t="s">
        <v>5447</v>
      </c>
      <c r="L4128" s="20">
        <v>0.30407124681933839</v>
      </c>
    </row>
    <row r="4129" spans="1:12" x14ac:dyDescent="0.45">
      <c r="A4129" s="15" t="s">
        <v>5437</v>
      </c>
      <c r="B4129" s="15" t="s">
        <v>334</v>
      </c>
      <c r="C4129" s="16" t="s">
        <v>335</v>
      </c>
      <c r="D4129" s="16" t="s">
        <v>65</v>
      </c>
      <c r="E4129" s="15" t="s">
        <v>35</v>
      </c>
      <c r="F4129" s="17">
        <v>1600000</v>
      </c>
      <c r="G4129" s="17">
        <v>893000</v>
      </c>
      <c r="H4129" s="16" t="s">
        <v>5448</v>
      </c>
      <c r="I4129" s="40" t="s">
        <v>18</v>
      </c>
      <c r="J4129" s="40" t="str">
        <f>HYPERLINK("https://stock.pstatic.net/stock-research/company/57/20260402_company_794574000.pdf","PDF")</f>
        <v>PDF</v>
      </c>
      <c r="K4129" s="15" t="s">
        <v>5449</v>
      </c>
      <c r="L4129" s="20">
        <v>0.79171332586786114</v>
      </c>
    </row>
    <row r="4130" spans="1:12" x14ac:dyDescent="0.45">
      <c r="A4130" s="15" t="s">
        <v>5437</v>
      </c>
      <c r="B4130" s="15" t="s">
        <v>1690</v>
      </c>
      <c r="C4130" s="16" t="s">
        <v>1691</v>
      </c>
      <c r="D4130" s="16" t="s">
        <v>158</v>
      </c>
      <c r="E4130" s="15" t="s">
        <v>35</v>
      </c>
      <c r="F4130" s="17">
        <v>170000</v>
      </c>
      <c r="G4130" s="17">
        <v>114500</v>
      </c>
      <c r="H4130" s="16" t="s">
        <v>5450</v>
      </c>
      <c r="I4130" s="40" t="s">
        <v>18</v>
      </c>
      <c r="J4130" s="40" t="str">
        <f>HYPERLINK("https://stock.pstatic.net/stock-research/company/18/20260402_company_728444000.pdf","PDF")</f>
        <v>PDF</v>
      </c>
      <c r="K4130" s="15" t="s">
        <v>5451</v>
      </c>
      <c r="L4130" s="20">
        <v>0.48471615720524019</v>
      </c>
    </row>
    <row r="4131" spans="1:12" x14ac:dyDescent="0.45">
      <c r="A4131" s="15" t="s">
        <v>5437</v>
      </c>
      <c r="B4131" s="15" t="s">
        <v>1081</v>
      </c>
      <c r="C4131" s="16" t="s">
        <v>1082</v>
      </c>
      <c r="D4131" s="16" t="s">
        <v>158</v>
      </c>
      <c r="E4131" s="15" t="s">
        <v>35</v>
      </c>
      <c r="F4131" s="17">
        <v>2100000</v>
      </c>
      <c r="G4131" s="17">
        <v>1572000</v>
      </c>
      <c r="H4131" s="16" t="s">
        <v>5452</v>
      </c>
      <c r="I4131" s="40" t="s">
        <v>18</v>
      </c>
      <c r="J4131" s="40" t="str">
        <f>HYPERLINK("https://stock.pstatic.net/stock-research/company/18/20260402_company_496287000.pdf","PDF")</f>
        <v>PDF</v>
      </c>
      <c r="K4131" s="15" t="s">
        <v>5453</v>
      </c>
      <c r="L4131" s="20">
        <v>0.33587786259541991</v>
      </c>
    </row>
    <row r="4132" spans="1:12" x14ac:dyDescent="0.45">
      <c r="A4132" s="15" t="s">
        <v>5437</v>
      </c>
      <c r="B4132" s="15" t="s">
        <v>4021</v>
      </c>
      <c r="C4132" s="16" t="s">
        <v>4022</v>
      </c>
      <c r="D4132" s="16" t="s">
        <v>83</v>
      </c>
      <c r="E4132" s="15" t="s">
        <v>35</v>
      </c>
      <c r="F4132" s="17">
        <v>1000000</v>
      </c>
      <c r="G4132" s="17">
        <v>794000</v>
      </c>
      <c r="H4132" s="16" t="s">
        <v>5454</v>
      </c>
      <c r="I4132" s="40" t="s">
        <v>18</v>
      </c>
      <c r="J4132" s="40" t="str">
        <f>HYPERLINK("https://stock.pstatic.net/stock-research/company/15/20260402_company_834211000.pdf","PDF")</f>
        <v>PDF</v>
      </c>
      <c r="K4132" s="15" t="s">
        <v>5455</v>
      </c>
      <c r="L4132" s="20">
        <v>0.25944584382871538</v>
      </c>
    </row>
    <row r="4133" spans="1:12" x14ac:dyDescent="0.45">
      <c r="A4133" s="15" t="s">
        <v>5437</v>
      </c>
      <c r="B4133" s="15" t="s">
        <v>1190</v>
      </c>
      <c r="C4133" s="16" t="s">
        <v>1191</v>
      </c>
      <c r="D4133" s="16" t="s">
        <v>83</v>
      </c>
      <c r="E4133" s="15" t="s">
        <v>35</v>
      </c>
      <c r="F4133" s="17">
        <v>130000</v>
      </c>
      <c r="G4133" s="17">
        <v>113800</v>
      </c>
      <c r="H4133" s="16" t="s">
        <v>5456</v>
      </c>
      <c r="I4133" s="40" t="s">
        <v>18</v>
      </c>
      <c r="J4133" s="40" t="str">
        <f>HYPERLINK("https://stock.pstatic.net/stock-research/company/15/20260402_company_47189000.pdf","PDF")</f>
        <v>PDF</v>
      </c>
      <c r="K4133" s="15" t="s">
        <v>5457</v>
      </c>
      <c r="L4133" s="20">
        <v>0.14235500878734619</v>
      </c>
    </row>
    <row r="4134" spans="1:12" x14ac:dyDescent="0.45">
      <c r="A4134" s="15" t="s">
        <v>5437</v>
      </c>
      <c r="B4134" s="15" t="s">
        <v>362</v>
      </c>
      <c r="C4134" s="16" t="s">
        <v>363</v>
      </c>
      <c r="D4134" s="16" t="s">
        <v>83</v>
      </c>
      <c r="E4134" s="15" t="s">
        <v>35</v>
      </c>
      <c r="F4134" s="17">
        <v>110000</v>
      </c>
      <c r="G4134" s="17">
        <v>87200</v>
      </c>
      <c r="H4134" s="16" t="s">
        <v>5458</v>
      </c>
      <c r="I4134" s="40" t="s">
        <v>18</v>
      </c>
      <c r="J4134" s="40" t="str">
        <f>HYPERLINK("https://stock.pstatic.net/stock-research/company/15/20260402_company_314055000.pdf","PDF")</f>
        <v>PDF</v>
      </c>
      <c r="K4134" s="15" t="s">
        <v>5459</v>
      </c>
      <c r="L4134" s="20">
        <v>0.26146788990825692</v>
      </c>
    </row>
    <row r="4135" spans="1:12" x14ac:dyDescent="0.45">
      <c r="A4135" s="15" t="s">
        <v>5437</v>
      </c>
      <c r="B4135" s="15" t="s">
        <v>1431</v>
      </c>
      <c r="C4135" s="16" t="s">
        <v>1432</v>
      </c>
      <c r="D4135" s="16" t="s">
        <v>83</v>
      </c>
      <c r="E4135" s="15" t="s">
        <v>35</v>
      </c>
      <c r="F4135" s="17">
        <v>300000</v>
      </c>
      <c r="G4135" s="17">
        <v>247000</v>
      </c>
      <c r="H4135" s="16" t="s">
        <v>5460</v>
      </c>
      <c r="I4135" s="40" t="s">
        <v>18</v>
      </c>
      <c r="J4135" s="40" t="str">
        <f>HYPERLINK("https://stock.pstatic.net/stock-research/company/15/20260402_company_150616000.pdf","PDF")</f>
        <v>PDF</v>
      </c>
      <c r="K4135" s="15" t="s">
        <v>5461</v>
      </c>
      <c r="L4135" s="20">
        <v>0.2145748987854251</v>
      </c>
    </row>
    <row r="4136" spans="1:12" x14ac:dyDescent="0.45">
      <c r="A4136" s="15" t="s">
        <v>5437</v>
      </c>
      <c r="B4136" s="15" t="s">
        <v>2414</v>
      </c>
      <c r="C4136" s="16" t="s">
        <v>2415</v>
      </c>
      <c r="D4136" s="16" t="s">
        <v>83</v>
      </c>
      <c r="E4136" s="15" t="s">
        <v>35</v>
      </c>
      <c r="F4136" s="17">
        <v>1370000</v>
      </c>
      <c r="G4136" s="17">
        <v>1115000</v>
      </c>
      <c r="H4136" s="16" t="s">
        <v>5462</v>
      </c>
      <c r="I4136" s="40" t="s">
        <v>18</v>
      </c>
      <c r="J4136" s="40" t="str">
        <f>HYPERLINK("https://stock.pstatic.net/stock-research/company/15/20260402_company_368718000.pdf","PDF")</f>
        <v>PDF</v>
      </c>
      <c r="K4136" s="15" t="s">
        <v>5463</v>
      </c>
      <c r="L4136" s="20">
        <v>0.22869955156950669</v>
      </c>
    </row>
    <row r="4137" spans="1:12" x14ac:dyDescent="0.45">
      <c r="A4137" s="15" t="s">
        <v>5437</v>
      </c>
      <c r="B4137" s="15" t="s">
        <v>1162</v>
      </c>
      <c r="C4137" s="16" t="s">
        <v>1163</v>
      </c>
      <c r="D4137" s="16" t="s">
        <v>83</v>
      </c>
      <c r="E4137" s="15" t="s">
        <v>35</v>
      </c>
      <c r="F4137" s="17">
        <v>260000</v>
      </c>
      <c r="G4137" s="17">
        <v>201000</v>
      </c>
      <c r="H4137" s="16" t="s">
        <v>5464</v>
      </c>
      <c r="I4137" s="40" t="s">
        <v>18</v>
      </c>
      <c r="J4137" s="40" t="str">
        <f>HYPERLINK("https://stock.pstatic.net/stock-research/company/15/20260402_company_518973000.pdf","PDF")</f>
        <v>PDF</v>
      </c>
      <c r="K4137" s="15" t="s">
        <v>5465</v>
      </c>
      <c r="L4137" s="20">
        <v>0.29353233830845771</v>
      </c>
    </row>
    <row r="4138" spans="1:12" x14ac:dyDescent="0.45">
      <c r="A4138" s="15" t="s">
        <v>5437</v>
      </c>
      <c r="B4138" s="15" t="s">
        <v>2873</v>
      </c>
      <c r="C4138" s="16" t="s">
        <v>2874</v>
      </c>
      <c r="D4138" s="16" t="s">
        <v>83</v>
      </c>
      <c r="E4138" s="15" t="s">
        <v>35</v>
      </c>
      <c r="F4138" s="17">
        <v>180000</v>
      </c>
      <c r="G4138" s="17">
        <v>138100</v>
      </c>
      <c r="H4138" s="16" t="s">
        <v>5466</v>
      </c>
      <c r="I4138" s="40" t="s">
        <v>18</v>
      </c>
      <c r="J4138" s="40" t="str">
        <f>HYPERLINK("https://stock.pstatic.net/stock-research/company/15/20260402_company_782927000.pdf","PDF")</f>
        <v>PDF</v>
      </c>
      <c r="K4138" s="15" t="s">
        <v>5467</v>
      </c>
      <c r="L4138" s="20">
        <v>0.30340333091962352</v>
      </c>
    </row>
    <row r="4139" spans="1:12" x14ac:dyDescent="0.45">
      <c r="A4139" s="15" t="s">
        <v>5437</v>
      </c>
      <c r="B4139" s="15" t="s">
        <v>698</v>
      </c>
      <c r="C4139" s="16" t="s">
        <v>699</v>
      </c>
      <c r="D4139" s="16" t="s">
        <v>83</v>
      </c>
      <c r="E4139" s="15" t="s">
        <v>35</v>
      </c>
      <c r="F4139" s="17">
        <v>390000</v>
      </c>
      <c r="G4139" s="17">
        <v>321000</v>
      </c>
      <c r="H4139" s="16" t="s">
        <v>5468</v>
      </c>
      <c r="I4139" s="40" t="s">
        <v>18</v>
      </c>
      <c r="J4139" s="40" t="str">
        <f>HYPERLINK("https://stock.pstatic.net/stock-research/company/15/20260402_company_528134000.pdf","PDF")</f>
        <v>PDF</v>
      </c>
      <c r="K4139" s="15" t="s">
        <v>5469</v>
      </c>
      <c r="L4139" s="20">
        <v>0.21495327102803741</v>
      </c>
    </row>
    <row r="4140" spans="1:12" x14ac:dyDescent="0.45">
      <c r="A4140" s="15" t="s">
        <v>5437</v>
      </c>
      <c r="B4140" s="15" t="s">
        <v>146</v>
      </c>
      <c r="C4140" s="16" t="s">
        <v>147</v>
      </c>
      <c r="D4140" s="16" t="s">
        <v>83</v>
      </c>
      <c r="E4140" s="15" t="s">
        <v>35</v>
      </c>
      <c r="F4140" s="17">
        <v>130000</v>
      </c>
      <c r="G4140" s="17">
        <v>86400</v>
      </c>
      <c r="H4140" s="16" t="s">
        <v>5470</v>
      </c>
      <c r="I4140" s="40" t="s">
        <v>18</v>
      </c>
      <c r="J4140" s="40" t="str">
        <f>HYPERLINK("https://stock.pstatic.net/stock-research/company/15/20260402_company_848255000.pdf","PDF")</f>
        <v>PDF</v>
      </c>
      <c r="K4140" s="15" t="s">
        <v>5471</v>
      </c>
      <c r="L4140" s="20">
        <v>0.50462962962962965</v>
      </c>
    </row>
    <row r="4141" spans="1:12" x14ac:dyDescent="0.45">
      <c r="A4141" s="15" t="s">
        <v>5437</v>
      </c>
      <c r="B4141" s="15" t="s">
        <v>1660</v>
      </c>
      <c r="C4141" s="16" t="s">
        <v>1661</v>
      </c>
      <c r="D4141" s="16" t="s">
        <v>83</v>
      </c>
      <c r="E4141" s="15" t="s">
        <v>35</v>
      </c>
      <c r="F4141" s="17">
        <v>64000</v>
      </c>
      <c r="G4141" s="17">
        <v>36700</v>
      </c>
      <c r="H4141" s="16" t="s">
        <v>5472</v>
      </c>
      <c r="I4141" s="40" t="s">
        <v>18</v>
      </c>
      <c r="J4141" s="40" t="str">
        <f>HYPERLINK("https://stock.pstatic.net/stock-research/company/15/20260402_company_12681000.pdf","PDF")</f>
        <v>PDF</v>
      </c>
      <c r="K4141" s="15" t="s">
        <v>5473</v>
      </c>
      <c r="L4141" s="20">
        <v>0.7438692098092643</v>
      </c>
    </row>
    <row r="4142" spans="1:12" x14ac:dyDescent="0.45">
      <c r="A4142" s="15" t="s">
        <v>5437</v>
      </c>
      <c r="B4142" s="15" t="s">
        <v>13</v>
      </c>
      <c r="C4142" s="16" t="s">
        <v>14</v>
      </c>
      <c r="D4142" s="16" t="s">
        <v>15</v>
      </c>
      <c r="E4142" s="15" t="s">
        <v>16</v>
      </c>
      <c r="F4142" s="17">
        <v>300000</v>
      </c>
      <c r="G4142" s="17">
        <v>189600</v>
      </c>
      <c r="H4142" s="16" t="s">
        <v>5474</v>
      </c>
      <c r="I4142" s="40" t="s">
        <v>18</v>
      </c>
      <c r="J4142" s="40" t="str">
        <f>HYPERLINK("https://stock.pstatic.net/stock-research/company/56/20260402_company_170183000.pdf","PDF")</f>
        <v>PDF</v>
      </c>
      <c r="K4142" s="15" t="s">
        <v>5475</v>
      </c>
      <c r="L4142" s="20">
        <v>0.58227848101265822</v>
      </c>
    </row>
    <row r="4143" spans="1:12" x14ac:dyDescent="0.45">
      <c r="A4143" s="15" t="s">
        <v>5437</v>
      </c>
      <c r="B4143" s="15" t="s">
        <v>1656</v>
      </c>
      <c r="C4143" s="16" t="s">
        <v>1657</v>
      </c>
      <c r="D4143" s="16" t="s">
        <v>15</v>
      </c>
      <c r="E4143" s="15" t="s">
        <v>16</v>
      </c>
      <c r="F4143" s="17">
        <v>450000</v>
      </c>
      <c r="G4143" s="17">
        <v>316500</v>
      </c>
      <c r="H4143" s="16" t="s">
        <v>5476</v>
      </c>
      <c r="I4143" s="40" t="s">
        <v>18</v>
      </c>
      <c r="J4143" s="40" t="str">
        <f>HYPERLINK("https://stock.pstatic.net/stock-research/company/56/20260402_company_397852000.pdf","PDF")</f>
        <v>PDF</v>
      </c>
      <c r="K4143" s="15" t="s">
        <v>5477</v>
      </c>
      <c r="L4143" s="20">
        <v>0.4218009478672986</v>
      </c>
    </row>
    <row r="4144" spans="1:12" x14ac:dyDescent="0.45">
      <c r="A4144" s="15" t="s">
        <v>5437</v>
      </c>
      <c r="B4144" s="15" t="s">
        <v>2378</v>
      </c>
      <c r="C4144" s="16" t="s">
        <v>2379</v>
      </c>
      <c r="D4144" s="16" t="s">
        <v>23</v>
      </c>
      <c r="E4144" s="15" t="s">
        <v>16</v>
      </c>
      <c r="F4144" s="17">
        <v>510000</v>
      </c>
      <c r="G4144" s="17">
        <v>407000</v>
      </c>
      <c r="H4144" s="16" t="s">
        <v>2130</v>
      </c>
      <c r="I4144" s="40" t="s">
        <v>18</v>
      </c>
      <c r="J4144" s="40" t="str">
        <f>HYPERLINK("https://stock.pstatic.net/stock-research/company/21/20260402_company_535640000.pdf","PDF")</f>
        <v>PDF</v>
      </c>
      <c r="K4144" s="15" t="s">
        <v>5478</v>
      </c>
      <c r="L4144" s="20">
        <v>0.25307125307125311</v>
      </c>
    </row>
    <row r="4145" spans="1:12" x14ac:dyDescent="0.45">
      <c r="A4145" s="15" t="s">
        <v>5437</v>
      </c>
      <c r="B4145" s="15" t="s">
        <v>5479</v>
      </c>
      <c r="C4145" s="16" t="s">
        <v>5480</v>
      </c>
      <c r="D4145" s="16" t="s">
        <v>124</v>
      </c>
      <c r="E4145" s="15" t="s">
        <v>50</v>
      </c>
      <c r="F4145" s="16"/>
      <c r="G4145" s="16"/>
      <c r="H4145" s="16" t="s">
        <v>5481</v>
      </c>
      <c r="I4145" s="40" t="s">
        <v>18</v>
      </c>
      <c r="J4145" s="40" t="str">
        <f>HYPERLINK("https://stock.pstatic.net/stock-research/company/74/20260402_company_723596000.pdf","PDF")</f>
        <v>PDF</v>
      </c>
      <c r="K4145" s="15" t="s">
        <v>5482</v>
      </c>
    </row>
    <row r="4146" spans="1:12" x14ac:dyDescent="0.45">
      <c r="A4146" s="15" t="s">
        <v>5437</v>
      </c>
      <c r="B4146" s="15" t="s">
        <v>95</v>
      </c>
      <c r="C4146" s="16" t="s">
        <v>31</v>
      </c>
      <c r="D4146" s="16" t="s">
        <v>34</v>
      </c>
      <c r="E4146" s="15" t="s">
        <v>35</v>
      </c>
      <c r="F4146" s="17">
        <v>56000</v>
      </c>
      <c r="G4146" s="17">
        <v>37900</v>
      </c>
      <c r="H4146" s="16" t="s">
        <v>5483</v>
      </c>
      <c r="I4146" s="40" t="s">
        <v>18</v>
      </c>
      <c r="J4146" s="40" t="str">
        <f>HYPERLINK("https://stock.pstatic.net/stock-research/company/61/20260402_company_241466000.pdf","PDF")</f>
        <v>PDF</v>
      </c>
      <c r="K4146" s="15" t="s">
        <v>5484</v>
      </c>
      <c r="L4146" s="20">
        <v>0.47757255936675458</v>
      </c>
    </row>
    <row r="4147" spans="1:12" x14ac:dyDescent="0.45">
      <c r="A4147" s="15" t="s">
        <v>5437</v>
      </c>
      <c r="B4147" s="15" t="s">
        <v>1789</v>
      </c>
      <c r="C4147" s="16" t="s">
        <v>1790</v>
      </c>
      <c r="D4147" s="16" t="s">
        <v>179</v>
      </c>
      <c r="E4147" s="15" t="s">
        <v>16</v>
      </c>
      <c r="F4147" s="17">
        <v>88000</v>
      </c>
      <c r="G4147" s="17">
        <v>61300</v>
      </c>
      <c r="H4147" s="16" t="s">
        <v>5485</v>
      </c>
      <c r="I4147" s="40" t="s">
        <v>18</v>
      </c>
      <c r="J4147" s="40" t="str">
        <f>HYPERLINK("https://stock.pstatic.net/stock-research/company/64/20260402_company_824826000.pdf","PDF")</f>
        <v>PDF</v>
      </c>
      <c r="K4147" s="15" t="s">
        <v>5486</v>
      </c>
      <c r="L4147" s="20">
        <v>0.43556280587275692</v>
      </c>
    </row>
    <row r="4148" spans="1:12" x14ac:dyDescent="0.45">
      <c r="A4148" s="15" t="s">
        <v>5437</v>
      </c>
      <c r="B4148" s="15" t="s">
        <v>691</v>
      </c>
      <c r="C4148" s="16" t="s">
        <v>20</v>
      </c>
      <c r="D4148" s="16" t="s">
        <v>34</v>
      </c>
      <c r="E4148" s="15" t="s">
        <v>35</v>
      </c>
      <c r="F4148" s="17">
        <v>260000</v>
      </c>
      <c r="G4148" s="17">
        <v>206000</v>
      </c>
      <c r="H4148" s="16" t="s">
        <v>5487</v>
      </c>
      <c r="I4148" s="40" t="s">
        <v>18</v>
      </c>
      <c r="J4148" s="40" t="str">
        <f>HYPERLINK("https://stock.pstatic.net/stock-research/company/61/20260402_company_260918000.pdf","PDF")</f>
        <v>PDF</v>
      </c>
      <c r="K4148" s="15" t="s">
        <v>5488</v>
      </c>
      <c r="L4148" s="20">
        <v>0.26213592233009708</v>
      </c>
    </row>
    <row r="4149" spans="1:12" x14ac:dyDescent="0.45">
      <c r="A4149" s="15" t="s">
        <v>5437</v>
      </c>
      <c r="B4149" s="15" t="s">
        <v>5489</v>
      </c>
      <c r="C4149" s="16" t="s">
        <v>5490</v>
      </c>
      <c r="D4149" s="16" t="s">
        <v>15</v>
      </c>
      <c r="E4149" s="15" t="s">
        <v>50</v>
      </c>
      <c r="F4149" s="16"/>
      <c r="G4149" s="17">
        <v>15920</v>
      </c>
      <c r="H4149" s="16" t="s">
        <v>5491</v>
      </c>
      <c r="I4149" s="40" t="s">
        <v>18</v>
      </c>
      <c r="J4149" s="40" t="str">
        <f>HYPERLINK("https://stock.pstatic.net/stock-research/company/56/20260402_company_906880000.pdf","PDF")</f>
        <v>PDF</v>
      </c>
      <c r="K4149" s="15" t="s">
        <v>5492</v>
      </c>
    </row>
    <row r="4150" spans="1:12" x14ac:dyDescent="0.45">
      <c r="A4150" s="15" t="s">
        <v>5437</v>
      </c>
      <c r="B4150" s="15" t="s">
        <v>102</v>
      </c>
      <c r="C4150" s="16" t="s">
        <v>103</v>
      </c>
      <c r="D4150" s="16" t="s">
        <v>34</v>
      </c>
      <c r="E4150" s="15" t="s">
        <v>35</v>
      </c>
      <c r="F4150" s="17">
        <v>30000</v>
      </c>
      <c r="G4150" s="17">
        <v>22000</v>
      </c>
      <c r="H4150" s="16" t="s">
        <v>5493</v>
      </c>
      <c r="I4150" s="40" t="s">
        <v>18</v>
      </c>
      <c r="J4150" s="40" t="str">
        <f>HYPERLINK("https://stock.pstatic.net/stock-research/company/61/20260402_company_228595000.pdf","PDF")</f>
        <v>PDF</v>
      </c>
      <c r="K4150" s="15" t="s">
        <v>5494</v>
      </c>
      <c r="L4150" s="20">
        <v>0.36363636363636359</v>
      </c>
    </row>
    <row r="4151" spans="1:12" x14ac:dyDescent="0.45">
      <c r="A4151" s="15" t="s">
        <v>5437</v>
      </c>
      <c r="B4151" s="15" t="s">
        <v>5495</v>
      </c>
      <c r="C4151" s="16" t="s">
        <v>5496</v>
      </c>
      <c r="D4151" s="16" t="s">
        <v>92</v>
      </c>
      <c r="E4151" s="15" t="s">
        <v>50</v>
      </c>
      <c r="F4151" s="16"/>
      <c r="G4151" s="17">
        <v>7640</v>
      </c>
      <c r="H4151" s="16" t="s">
        <v>5497</v>
      </c>
      <c r="I4151" s="40" t="s">
        <v>18</v>
      </c>
      <c r="J4151" s="40" t="str">
        <f>HYPERLINK("https://stock.pstatic.net/stock-research/company/63/20260402_company_833363000.pdf","PDF")</f>
        <v>PDF</v>
      </c>
      <c r="K4151" s="15" t="s">
        <v>5498</v>
      </c>
    </row>
    <row r="4152" spans="1:12" x14ac:dyDescent="0.45">
      <c r="A4152" s="15" t="s">
        <v>5437</v>
      </c>
      <c r="B4152" s="15" t="s">
        <v>977</v>
      </c>
      <c r="C4152" s="16" t="s">
        <v>978</v>
      </c>
      <c r="D4152" s="16" t="s">
        <v>92</v>
      </c>
      <c r="E4152" s="15" t="s">
        <v>50</v>
      </c>
      <c r="F4152" s="16"/>
      <c r="G4152" s="17">
        <v>1036</v>
      </c>
      <c r="H4152" s="16" t="s">
        <v>5499</v>
      </c>
      <c r="I4152" s="40" t="s">
        <v>18</v>
      </c>
      <c r="J4152" s="40" t="str">
        <f>HYPERLINK("https://stock.pstatic.net/stock-research/company/63/20260402_company_113325000.pdf","PDF")</f>
        <v>PDF</v>
      </c>
      <c r="K4152" s="15" t="s">
        <v>5500</v>
      </c>
    </row>
    <row r="4153" spans="1:12" x14ac:dyDescent="0.45">
      <c r="A4153" s="15" t="s">
        <v>5437</v>
      </c>
      <c r="B4153" s="15" t="s">
        <v>2522</v>
      </c>
      <c r="C4153" s="16" t="s">
        <v>2523</v>
      </c>
      <c r="D4153" s="16" t="s">
        <v>179</v>
      </c>
      <c r="E4153" s="15" t="s">
        <v>16</v>
      </c>
      <c r="F4153" s="17">
        <v>360000</v>
      </c>
      <c r="G4153" s="17">
        <v>262000</v>
      </c>
      <c r="H4153" s="16" t="s">
        <v>5501</v>
      </c>
      <c r="I4153" s="40" t="s">
        <v>18</v>
      </c>
      <c r="J4153" s="40" t="str">
        <f>HYPERLINK("https://stock.pstatic.net/stock-research/company/64/20260402_company_873478000.pdf","PDF")</f>
        <v>PDF</v>
      </c>
      <c r="K4153" s="15" t="s">
        <v>5502</v>
      </c>
      <c r="L4153" s="20">
        <v>0.37404580152671763</v>
      </c>
    </row>
    <row r="4154" spans="1:12" x14ac:dyDescent="0.45">
      <c r="A4154" s="15" t="s">
        <v>5437</v>
      </c>
      <c r="B4154" s="15" t="s">
        <v>5503</v>
      </c>
      <c r="C4154" s="16" t="s">
        <v>5504</v>
      </c>
      <c r="D4154" s="16" t="s">
        <v>92</v>
      </c>
      <c r="E4154" s="15" t="s">
        <v>35</v>
      </c>
      <c r="F4154" s="17">
        <v>10000</v>
      </c>
      <c r="G4154" s="17">
        <v>7140</v>
      </c>
      <c r="H4154" s="16" t="s">
        <v>5505</v>
      </c>
      <c r="I4154" s="40" t="s">
        <v>18</v>
      </c>
      <c r="J4154" s="40" t="str">
        <f>HYPERLINK("https://stock.pstatic.net/stock-research/company/63/20260402_company_382743000.pdf","PDF")</f>
        <v>PDF</v>
      </c>
      <c r="K4154" s="15" t="s">
        <v>5506</v>
      </c>
      <c r="L4154" s="20">
        <v>0.40056022408963587</v>
      </c>
    </row>
    <row r="4155" spans="1:12" x14ac:dyDescent="0.45">
      <c r="A4155" s="15" t="s">
        <v>5437</v>
      </c>
      <c r="B4155" s="15" t="s">
        <v>5507</v>
      </c>
      <c r="C4155" s="16" t="s">
        <v>5508</v>
      </c>
      <c r="D4155" s="16" t="s">
        <v>179</v>
      </c>
      <c r="E4155" s="15" t="s">
        <v>50</v>
      </c>
      <c r="F4155" s="16"/>
      <c r="G4155" s="17">
        <v>27150</v>
      </c>
      <c r="H4155" s="16" t="s">
        <v>5509</v>
      </c>
      <c r="I4155" s="40" t="s">
        <v>18</v>
      </c>
      <c r="J4155" s="40" t="str">
        <f>HYPERLINK("https://stock.pstatic.net/stock-research/company/64/20260402_company_394406000.pdf","PDF")</f>
        <v>PDF</v>
      </c>
      <c r="K4155" s="15" t="s">
        <v>5510</v>
      </c>
    </row>
    <row r="4156" spans="1:12" x14ac:dyDescent="0.45">
      <c r="A4156" s="15" t="s">
        <v>5437</v>
      </c>
      <c r="B4156" s="15" t="s">
        <v>3403</v>
      </c>
      <c r="C4156" s="16" t="s">
        <v>3404</v>
      </c>
      <c r="D4156" s="16" t="s">
        <v>53</v>
      </c>
      <c r="E4156" s="15" t="s">
        <v>16</v>
      </c>
      <c r="F4156" s="17">
        <v>55000</v>
      </c>
      <c r="G4156" s="17">
        <v>44350</v>
      </c>
      <c r="H4156" s="16" t="s">
        <v>5511</v>
      </c>
      <c r="I4156" s="40" t="s">
        <v>18</v>
      </c>
      <c r="J4156" s="40" t="str">
        <f>HYPERLINK("https://stock.pstatic.net/stock-research/company/40/20260402_company_374793000.pdf","PDF")</f>
        <v>PDF</v>
      </c>
      <c r="K4156" s="15" t="s">
        <v>5512</v>
      </c>
      <c r="L4156" s="20">
        <v>0.24013528748590759</v>
      </c>
    </row>
    <row r="4157" spans="1:12" x14ac:dyDescent="0.45">
      <c r="A4157" s="15" t="s">
        <v>5437</v>
      </c>
      <c r="B4157" s="15" t="s">
        <v>2369</v>
      </c>
      <c r="C4157" s="16" t="s">
        <v>2370</v>
      </c>
      <c r="D4157" s="16" t="s">
        <v>53</v>
      </c>
      <c r="E4157" s="15" t="s">
        <v>16</v>
      </c>
      <c r="F4157" s="17">
        <v>500000</v>
      </c>
      <c r="G4157" s="17">
        <v>432000</v>
      </c>
      <c r="H4157" s="16" t="s">
        <v>5513</v>
      </c>
      <c r="I4157" s="40" t="s">
        <v>18</v>
      </c>
      <c r="J4157" s="40" t="str">
        <f>HYPERLINK("https://stock.pstatic.net/stock-research/company/40/20260402_company_660263000.pdf","PDF")</f>
        <v>PDF</v>
      </c>
      <c r="K4157" s="15" t="s">
        <v>5514</v>
      </c>
      <c r="L4157" s="20">
        <v>0.15740740740740741</v>
      </c>
    </row>
    <row r="4158" spans="1:12" x14ac:dyDescent="0.45">
      <c r="A4158" s="15" t="s">
        <v>5437</v>
      </c>
      <c r="B4158" s="15" t="s">
        <v>1081</v>
      </c>
      <c r="C4158" s="16" t="s">
        <v>1082</v>
      </c>
      <c r="D4158" s="16" t="s">
        <v>44</v>
      </c>
      <c r="E4158" s="15" t="s">
        <v>35</v>
      </c>
      <c r="F4158" s="17">
        <v>2100000</v>
      </c>
      <c r="G4158" s="17">
        <v>1572000</v>
      </c>
      <c r="H4158" s="16" t="s">
        <v>5515</v>
      </c>
      <c r="I4158" s="40" t="s">
        <v>18</v>
      </c>
      <c r="J4158" s="40" t="str">
        <f>HYPERLINK("https://stock.pstatic.net/stock-research/company/39/20260402_company_661095000.pdf","PDF")</f>
        <v>PDF</v>
      </c>
      <c r="K4158" s="15" t="s">
        <v>5516</v>
      </c>
      <c r="L4158" s="20">
        <v>0.33587786259541991</v>
      </c>
    </row>
    <row r="4159" spans="1:12" x14ac:dyDescent="0.45">
      <c r="A4159" s="15" t="s">
        <v>5437</v>
      </c>
      <c r="B4159" s="15" t="s">
        <v>5517</v>
      </c>
      <c r="C4159" s="16" t="s">
        <v>5518</v>
      </c>
      <c r="D4159" s="16" t="s">
        <v>44</v>
      </c>
      <c r="E4159" s="15" t="s">
        <v>50</v>
      </c>
      <c r="F4159" s="16"/>
      <c r="G4159" s="17">
        <v>15040</v>
      </c>
      <c r="H4159" s="16" t="s">
        <v>5519</v>
      </c>
      <c r="I4159" s="40" t="s">
        <v>18</v>
      </c>
      <c r="J4159" s="40" t="str">
        <f>HYPERLINK("https://stock.pstatic.net/stock-research/company/39/20260402_company_557334000.pdf","PDF")</f>
        <v>PDF</v>
      </c>
      <c r="K4159" s="15" t="s">
        <v>5520</v>
      </c>
    </row>
    <row r="4160" spans="1:12" x14ac:dyDescent="0.45">
      <c r="A4160" s="15" t="s">
        <v>5437</v>
      </c>
      <c r="B4160" s="15" t="s">
        <v>842</v>
      </c>
      <c r="C4160" s="16" t="s">
        <v>843</v>
      </c>
      <c r="D4160" s="16" t="s">
        <v>124</v>
      </c>
      <c r="E4160" s="15" t="s">
        <v>50</v>
      </c>
      <c r="F4160" s="16"/>
      <c r="G4160" s="16"/>
      <c r="H4160" s="16" t="s">
        <v>5521</v>
      </c>
      <c r="I4160" s="40" t="s">
        <v>18</v>
      </c>
      <c r="J4160" s="40" t="str">
        <f>HYPERLINK("https://stock.pstatic.net/stock-research/company/74/20260402_company_517775000.pdf","PDF")</f>
        <v>PDF</v>
      </c>
      <c r="K4160" s="15" t="s">
        <v>5522</v>
      </c>
    </row>
    <row r="4161" spans="1:12" x14ac:dyDescent="0.45">
      <c r="A4161" s="15" t="s">
        <v>5523</v>
      </c>
      <c r="B4161" s="15" t="s">
        <v>3327</v>
      </c>
      <c r="C4161" s="16" t="s">
        <v>3328</v>
      </c>
      <c r="D4161" s="16" t="s">
        <v>276</v>
      </c>
      <c r="E4161" s="15" t="s">
        <v>50</v>
      </c>
      <c r="F4161" s="16"/>
      <c r="G4161" s="17">
        <v>197600</v>
      </c>
      <c r="H4161" s="16" t="s">
        <v>5524</v>
      </c>
      <c r="I4161" s="40" t="s">
        <v>18</v>
      </c>
      <c r="J4161" s="40" t="str">
        <f>HYPERLINK("https://stock.pstatic.net/stock-research/company/66/20260401_company_427296000.pdf","PDF")</f>
        <v>PDF</v>
      </c>
      <c r="K4161" s="15" t="s">
        <v>5525</v>
      </c>
    </row>
    <row r="4162" spans="1:12" x14ac:dyDescent="0.45">
      <c r="A4162" s="15" t="s">
        <v>5523</v>
      </c>
      <c r="B4162" s="15" t="s">
        <v>1781</v>
      </c>
      <c r="C4162" s="16" t="s">
        <v>1782</v>
      </c>
      <c r="D4162" s="16" t="s">
        <v>276</v>
      </c>
      <c r="E4162" s="15" t="s">
        <v>16</v>
      </c>
      <c r="F4162" s="17">
        <v>170000</v>
      </c>
      <c r="G4162" s="17">
        <v>105600</v>
      </c>
      <c r="H4162" s="16" t="s">
        <v>5526</v>
      </c>
      <c r="I4162" s="40" t="s">
        <v>18</v>
      </c>
      <c r="J4162" s="40" t="str">
        <f>HYPERLINK("https://stock.pstatic.net/stock-research/company/66/20260401_company_235000.pdf","PDF")</f>
        <v>PDF</v>
      </c>
      <c r="K4162" s="15" t="s">
        <v>5527</v>
      </c>
      <c r="L4162" s="20">
        <v>0.60984848484848486</v>
      </c>
    </row>
    <row r="4163" spans="1:12" x14ac:dyDescent="0.45">
      <c r="A4163" s="15" t="s">
        <v>5523</v>
      </c>
      <c r="B4163" s="15" t="s">
        <v>1009</v>
      </c>
      <c r="C4163" s="16" t="s">
        <v>1010</v>
      </c>
      <c r="D4163" s="16" t="s">
        <v>60</v>
      </c>
      <c r="E4163" s="15" t="s">
        <v>16</v>
      </c>
      <c r="F4163" s="17">
        <v>230000</v>
      </c>
      <c r="G4163" s="17">
        <v>192000</v>
      </c>
      <c r="H4163" s="16" t="s">
        <v>5528</v>
      </c>
      <c r="I4163" s="40" t="s">
        <v>18</v>
      </c>
      <c r="J4163" s="40" t="str">
        <f>HYPERLINK("https://stock.pstatic.net/stock-research/company/62/20260401_company_352048000.pdf","PDF")</f>
        <v>PDF</v>
      </c>
      <c r="K4163" s="15" t="s">
        <v>5529</v>
      </c>
      <c r="L4163" s="20">
        <v>0.19791666666666671</v>
      </c>
    </row>
    <row r="4164" spans="1:12" x14ac:dyDescent="0.45">
      <c r="A4164" s="15" t="s">
        <v>5523</v>
      </c>
      <c r="B4164" s="15" t="s">
        <v>3113</v>
      </c>
      <c r="C4164" s="16" t="s">
        <v>3114</v>
      </c>
      <c r="D4164" s="16" t="s">
        <v>65</v>
      </c>
      <c r="E4164" s="15" t="s">
        <v>35</v>
      </c>
      <c r="F4164" s="17">
        <v>66000</v>
      </c>
      <c r="G4164" s="17">
        <v>45250</v>
      </c>
      <c r="H4164" s="16" t="s">
        <v>5530</v>
      </c>
      <c r="I4164" s="40" t="s">
        <v>18</v>
      </c>
      <c r="J4164" s="40" t="str">
        <f>HYPERLINK("https://stock.pstatic.net/stock-research/company/57/20260401_company_94473000.pdf","PDF")</f>
        <v>PDF</v>
      </c>
      <c r="K4164" s="15" t="s">
        <v>5531</v>
      </c>
      <c r="L4164" s="20">
        <v>0.4585635359116022</v>
      </c>
    </row>
    <row r="4165" spans="1:12" x14ac:dyDescent="0.45">
      <c r="A4165" s="15" t="s">
        <v>5523</v>
      </c>
      <c r="B4165" s="15" t="s">
        <v>1120</v>
      </c>
      <c r="C4165" s="16" t="s">
        <v>1121</v>
      </c>
      <c r="D4165" s="16" t="s">
        <v>65</v>
      </c>
      <c r="E4165" s="15" t="s">
        <v>35</v>
      </c>
      <c r="F4165" s="17">
        <v>200000</v>
      </c>
      <c r="G4165" s="17">
        <v>128000</v>
      </c>
      <c r="H4165" s="16" t="s">
        <v>5532</v>
      </c>
      <c r="I4165" s="40" t="s">
        <v>18</v>
      </c>
      <c r="J4165" s="40" t="str">
        <f>HYPERLINK("https://stock.pstatic.net/stock-research/company/57/20260401_company_856877000.pdf","PDF")</f>
        <v>PDF</v>
      </c>
      <c r="K4165" s="15" t="s">
        <v>5533</v>
      </c>
      <c r="L4165" s="20">
        <v>0.5625</v>
      </c>
    </row>
    <row r="4166" spans="1:12" x14ac:dyDescent="0.45">
      <c r="A4166" s="15" t="s">
        <v>5523</v>
      </c>
      <c r="B4166" s="15" t="s">
        <v>2187</v>
      </c>
      <c r="C4166" s="16" t="s">
        <v>2188</v>
      </c>
      <c r="D4166" s="16" t="s">
        <v>65</v>
      </c>
      <c r="E4166" s="15" t="s">
        <v>35</v>
      </c>
      <c r="F4166" s="17">
        <v>200000</v>
      </c>
      <c r="G4166" s="17">
        <v>111100</v>
      </c>
      <c r="H4166" s="16" t="s">
        <v>5534</v>
      </c>
      <c r="I4166" s="40" t="s">
        <v>18</v>
      </c>
      <c r="J4166" s="40" t="str">
        <f>HYPERLINK("https://stock.pstatic.net/stock-research/company/57/20260401_company_879581000.pdf","PDF")</f>
        <v>PDF</v>
      </c>
      <c r="K4166" s="15" t="s">
        <v>5535</v>
      </c>
      <c r="L4166" s="20">
        <v>0.80018001800180016</v>
      </c>
    </row>
    <row r="4167" spans="1:12" x14ac:dyDescent="0.45">
      <c r="A4167" s="15" t="s">
        <v>5523</v>
      </c>
      <c r="B4167" s="15" t="s">
        <v>95</v>
      </c>
      <c r="C4167" s="16" t="s">
        <v>31</v>
      </c>
      <c r="D4167" s="16" t="s">
        <v>65</v>
      </c>
      <c r="E4167" s="15" t="s">
        <v>35</v>
      </c>
      <c r="F4167" s="17">
        <v>46000</v>
      </c>
      <c r="G4167" s="17">
        <v>35700</v>
      </c>
      <c r="H4167" s="16" t="s">
        <v>5536</v>
      </c>
      <c r="I4167" s="40" t="s">
        <v>18</v>
      </c>
      <c r="J4167" s="40" t="str">
        <f>HYPERLINK("https://stock.pstatic.net/stock-research/company/57/20260401_company_697944000.pdf","PDF")</f>
        <v>PDF</v>
      </c>
      <c r="K4167" s="15" t="s">
        <v>5537</v>
      </c>
      <c r="L4167" s="20">
        <v>0.28851540616246502</v>
      </c>
    </row>
    <row r="4168" spans="1:12" x14ac:dyDescent="0.45">
      <c r="A4168" s="15" t="s">
        <v>5523</v>
      </c>
      <c r="B4168" s="15" t="s">
        <v>764</v>
      </c>
      <c r="C4168" s="16" t="s">
        <v>765</v>
      </c>
      <c r="D4168" s="16" t="s">
        <v>158</v>
      </c>
      <c r="E4168" s="15" t="s">
        <v>35</v>
      </c>
      <c r="F4168" s="17">
        <v>56000</v>
      </c>
      <c r="G4168" s="17">
        <v>38150</v>
      </c>
      <c r="H4168" s="16" t="s">
        <v>5538</v>
      </c>
      <c r="I4168" s="40" t="s">
        <v>18</v>
      </c>
      <c r="J4168" s="40" t="str">
        <f>HYPERLINK("https://stock.pstatic.net/stock-research/company/18/20260401_company_102864000.pdf","PDF")</f>
        <v>PDF</v>
      </c>
      <c r="K4168" s="15" t="s">
        <v>5539</v>
      </c>
      <c r="L4168" s="20">
        <v>0.46788990825688082</v>
      </c>
    </row>
    <row r="4169" spans="1:12" x14ac:dyDescent="0.45">
      <c r="A4169" s="15" t="s">
        <v>5523</v>
      </c>
      <c r="B4169" s="15" t="s">
        <v>756</v>
      </c>
      <c r="C4169" s="16" t="s">
        <v>757</v>
      </c>
      <c r="D4169" s="16" t="s">
        <v>158</v>
      </c>
      <c r="E4169" s="15" t="s">
        <v>35</v>
      </c>
      <c r="F4169" s="17">
        <v>88000</v>
      </c>
      <c r="G4169" s="17">
        <v>76000</v>
      </c>
      <c r="H4169" s="16" t="s">
        <v>5540</v>
      </c>
      <c r="I4169" s="40" t="s">
        <v>18</v>
      </c>
      <c r="J4169" s="40" t="str">
        <f>HYPERLINK("https://stock.pstatic.net/stock-research/company/18/20260401_company_279727000.pdf","PDF")</f>
        <v>PDF</v>
      </c>
      <c r="K4169" s="15" t="s">
        <v>5541</v>
      </c>
      <c r="L4169" s="20">
        <v>0.15789473684210531</v>
      </c>
    </row>
    <row r="4170" spans="1:12" x14ac:dyDescent="0.45">
      <c r="A4170" s="15" t="s">
        <v>5523</v>
      </c>
      <c r="B4170" s="15" t="s">
        <v>768</v>
      </c>
      <c r="C4170" s="16" t="s">
        <v>769</v>
      </c>
      <c r="D4170" s="16" t="s">
        <v>158</v>
      </c>
      <c r="E4170" s="15" t="s">
        <v>35</v>
      </c>
      <c r="F4170" s="17">
        <v>230000</v>
      </c>
      <c r="G4170" s="17">
        <v>196500</v>
      </c>
      <c r="H4170" s="16" t="s">
        <v>5542</v>
      </c>
      <c r="I4170" s="40" t="s">
        <v>18</v>
      </c>
      <c r="J4170" s="40" t="str">
        <f>HYPERLINK("https://stock.pstatic.net/stock-research/company/18/20260401_company_242892000.pdf","PDF")</f>
        <v>PDF</v>
      </c>
      <c r="K4170" s="15" t="s">
        <v>5543</v>
      </c>
      <c r="L4170" s="20">
        <v>0.17048346055979641</v>
      </c>
    </row>
    <row r="4171" spans="1:12" x14ac:dyDescent="0.45">
      <c r="A4171" s="15" t="s">
        <v>5523</v>
      </c>
      <c r="B4171" s="15" t="s">
        <v>1162</v>
      </c>
      <c r="C4171" s="16" t="s">
        <v>1163</v>
      </c>
      <c r="D4171" s="16" t="s">
        <v>158</v>
      </c>
      <c r="E4171" s="15" t="s">
        <v>35</v>
      </c>
      <c r="F4171" s="17">
        <v>250000</v>
      </c>
      <c r="G4171" s="17">
        <v>189000</v>
      </c>
      <c r="H4171" s="16" t="s">
        <v>5544</v>
      </c>
      <c r="I4171" s="40" t="s">
        <v>18</v>
      </c>
      <c r="J4171" s="40" t="str">
        <f>HYPERLINK("https://stock.pstatic.net/stock-research/company/18/20260401_company_867579000.pdf","PDF")</f>
        <v>PDF</v>
      </c>
      <c r="K4171" s="15" t="s">
        <v>5545</v>
      </c>
      <c r="L4171" s="20">
        <v>0.32275132275132268</v>
      </c>
    </row>
    <row r="4172" spans="1:12" x14ac:dyDescent="0.45">
      <c r="A4172" s="15" t="s">
        <v>5523</v>
      </c>
      <c r="B4172" s="15" t="s">
        <v>362</v>
      </c>
      <c r="C4172" s="16" t="s">
        <v>363</v>
      </c>
      <c r="D4172" s="16" t="s">
        <v>158</v>
      </c>
      <c r="E4172" s="15" t="s">
        <v>35</v>
      </c>
      <c r="F4172" s="17">
        <v>110000</v>
      </c>
      <c r="G4172" s="17">
        <v>82800</v>
      </c>
      <c r="H4172" s="16" t="s">
        <v>5546</v>
      </c>
      <c r="I4172" s="40" t="s">
        <v>18</v>
      </c>
      <c r="J4172" s="40" t="str">
        <f>HYPERLINK("https://stock.pstatic.net/stock-research/company/18/20260401_company_614320000.pdf","PDF")</f>
        <v>PDF</v>
      </c>
      <c r="K4172" s="15" t="s">
        <v>5547</v>
      </c>
      <c r="L4172" s="20">
        <v>0.32850241545893721</v>
      </c>
    </row>
    <row r="4173" spans="1:12" x14ac:dyDescent="0.45">
      <c r="A4173" s="15" t="s">
        <v>5523</v>
      </c>
      <c r="B4173" s="15" t="s">
        <v>836</v>
      </c>
      <c r="C4173" s="16" t="s">
        <v>837</v>
      </c>
      <c r="D4173" s="16" t="s">
        <v>158</v>
      </c>
      <c r="E4173" s="15" t="s">
        <v>35</v>
      </c>
      <c r="F4173" s="17">
        <v>840000</v>
      </c>
      <c r="G4173" s="17">
        <v>466500</v>
      </c>
      <c r="H4173" s="16" t="s">
        <v>5548</v>
      </c>
      <c r="I4173" s="40" t="s">
        <v>18</v>
      </c>
      <c r="J4173" s="40" t="str">
        <f>HYPERLINK("https://stock.pstatic.net/stock-research/company/18/20260401_company_936003000.pdf","PDF")</f>
        <v>PDF</v>
      </c>
      <c r="K4173" s="15" t="s">
        <v>5549</v>
      </c>
      <c r="L4173" s="20">
        <v>0.80064308681672025</v>
      </c>
    </row>
    <row r="4174" spans="1:12" x14ac:dyDescent="0.45">
      <c r="A4174" s="15" t="s">
        <v>5523</v>
      </c>
      <c r="B4174" s="15" t="s">
        <v>698</v>
      </c>
      <c r="C4174" s="16" t="s">
        <v>699</v>
      </c>
      <c r="D4174" s="16" t="s">
        <v>158</v>
      </c>
      <c r="E4174" s="15" t="s">
        <v>35</v>
      </c>
      <c r="F4174" s="17">
        <v>550000</v>
      </c>
      <c r="G4174" s="17">
        <v>301000</v>
      </c>
      <c r="H4174" s="16" t="s">
        <v>5550</v>
      </c>
      <c r="I4174" s="40" t="s">
        <v>18</v>
      </c>
      <c r="J4174" s="40" t="str">
        <f>HYPERLINK("https://stock.pstatic.net/stock-research/company/18/20260401_company_597686000.pdf","PDF")</f>
        <v>PDF</v>
      </c>
      <c r="K4174" s="15" t="s">
        <v>5551</v>
      </c>
      <c r="L4174" s="20">
        <v>0.8272425249169435</v>
      </c>
    </row>
    <row r="4175" spans="1:12" x14ac:dyDescent="0.45">
      <c r="A4175" s="15" t="s">
        <v>5523</v>
      </c>
      <c r="B4175" s="15" t="s">
        <v>860</v>
      </c>
      <c r="C4175" s="16" t="s">
        <v>861</v>
      </c>
      <c r="D4175" s="16" t="s">
        <v>23</v>
      </c>
      <c r="E4175" s="15" t="s">
        <v>16</v>
      </c>
      <c r="F4175" s="17">
        <v>160000</v>
      </c>
      <c r="G4175" s="17">
        <v>115100</v>
      </c>
      <c r="H4175" s="16" t="s">
        <v>5552</v>
      </c>
      <c r="I4175" s="40" t="s">
        <v>18</v>
      </c>
      <c r="J4175" s="40" t="str">
        <f>HYPERLINK("https://stock.pstatic.net/stock-research/company/21/20260401_company_404483000.pdf","PDF")</f>
        <v>PDF</v>
      </c>
      <c r="K4175" s="15" t="s">
        <v>5553</v>
      </c>
      <c r="L4175" s="20">
        <v>0.39009556907037363</v>
      </c>
    </row>
    <row r="4176" spans="1:12" x14ac:dyDescent="0.45">
      <c r="A4176" s="15" t="s">
        <v>5523</v>
      </c>
      <c r="B4176" s="15" t="s">
        <v>3548</v>
      </c>
      <c r="C4176" s="16" t="s">
        <v>3549</v>
      </c>
      <c r="D4176" s="16" t="s">
        <v>23</v>
      </c>
      <c r="E4176" s="15" t="s">
        <v>16</v>
      </c>
      <c r="F4176" s="17">
        <v>99000</v>
      </c>
      <c r="G4176" s="17">
        <v>77100</v>
      </c>
      <c r="H4176" s="16" t="s">
        <v>5554</v>
      </c>
      <c r="I4176" s="40" t="s">
        <v>18</v>
      </c>
      <c r="J4176" s="40" t="str">
        <f>HYPERLINK("https://stock.pstatic.net/stock-research/company/21/20260401_company_181726000.pdf","PDF")</f>
        <v>PDF</v>
      </c>
      <c r="K4176" s="15" t="s">
        <v>5555</v>
      </c>
      <c r="L4176" s="20">
        <v>0.28404669260700388</v>
      </c>
    </row>
    <row r="4177" spans="1:12" x14ac:dyDescent="0.45">
      <c r="A4177" s="15" t="s">
        <v>5523</v>
      </c>
      <c r="B4177" s="15" t="s">
        <v>334</v>
      </c>
      <c r="C4177" s="16" t="s">
        <v>335</v>
      </c>
      <c r="D4177" s="16" t="s">
        <v>15</v>
      </c>
      <c r="E4177" s="15" t="s">
        <v>16</v>
      </c>
      <c r="F4177" s="17">
        <v>1540000</v>
      </c>
      <c r="G4177" s="17">
        <v>807000</v>
      </c>
      <c r="H4177" s="16" t="s">
        <v>5556</v>
      </c>
      <c r="I4177" s="40" t="s">
        <v>18</v>
      </c>
      <c r="J4177" s="40" t="str">
        <f>HYPERLINK("https://stock.pstatic.net/stock-research/company/56/20260401_company_380018000.pdf","PDF")</f>
        <v>PDF</v>
      </c>
      <c r="K4177" s="15" t="s">
        <v>5557</v>
      </c>
      <c r="L4177" s="20">
        <v>0.90830235439900864</v>
      </c>
    </row>
    <row r="4178" spans="1:12" x14ac:dyDescent="0.45">
      <c r="A4178" s="15" t="s">
        <v>5523</v>
      </c>
      <c r="B4178" s="15" t="s">
        <v>5558</v>
      </c>
      <c r="C4178" s="16" t="s">
        <v>5559</v>
      </c>
      <c r="D4178" s="16" t="s">
        <v>92</v>
      </c>
      <c r="E4178" s="15" t="s">
        <v>50</v>
      </c>
      <c r="F4178" s="16"/>
      <c r="G4178" s="17">
        <v>70800</v>
      </c>
      <c r="H4178" s="16" t="s">
        <v>5560</v>
      </c>
      <c r="I4178" s="40" t="s">
        <v>18</v>
      </c>
      <c r="J4178" s="40" t="str">
        <f>HYPERLINK("https://stock.pstatic.net/stock-research/company/63/20260401_company_251976000.pdf","PDF")</f>
        <v>PDF</v>
      </c>
      <c r="K4178" s="15" t="s">
        <v>5561</v>
      </c>
    </row>
    <row r="4179" spans="1:12" x14ac:dyDescent="0.45">
      <c r="A4179" s="15" t="s">
        <v>5523</v>
      </c>
      <c r="B4179" s="15" t="s">
        <v>334</v>
      </c>
      <c r="C4179" s="16" t="s">
        <v>335</v>
      </c>
      <c r="D4179" s="16" t="s">
        <v>34</v>
      </c>
      <c r="E4179" s="15" t="s">
        <v>35</v>
      </c>
      <c r="F4179" s="17">
        <v>1500000</v>
      </c>
      <c r="G4179" s="17">
        <v>807000</v>
      </c>
      <c r="H4179" s="16" t="s">
        <v>5562</v>
      </c>
      <c r="I4179" s="40" t="s">
        <v>18</v>
      </c>
      <c r="J4179" s="40" t="str">
        <f>HYPERLINK("https://stock.pstatic.net/stock-research/company/61/20260401_company_689956000.pdf","PDF")</f>
        <v>PDF</v>
      </c>
      <c r="K4179" s="15" t="s">
        <v>5563</v>
      </c>
      <c r="L4179" s="20">
        <v>0.85873605947955389</v>
      </c>
    </row>
    <row r="4180" spans="1:12" x14ac:dyDescent="0.45">
      <c r="A4180" s="15" t="s">
        <v>5523</v>
      </c>
      <c r="B4180" s="15" t="s">
        <v>13</v>
      </c>
      <c r="C4180" s="16" t="s">
        <v>14</v>
      </c>
      <c r="D4180" s="16" t="s">
        <v>34</v>
      </c>
      <c r="E4180" s="15" t="s">
        <v>35</v>
      </c>
      <c r="F4180" s="17">
        <v>280000</v>
      </c>
      <c r="G4180" s="17">
        <v>167200</v>
      </c>
      <c r="H4180" s="16" t="s">
        <v>5564</v>
      </c>
      <c r="I4180" s="40" t="s">
        <v>18</v>
      </c>
      <c r="J4180" s="40" t="str">
        <f>HYPERLINK("https://stock.pstatic.net/stock-research/company/61/20260401_company_147850000.pdf","PDF")</f>
        <v>PDF</v>
      </c>
      <c r="K4180" s="15" t="s">
        <v>5565</v>
      </c>
      <c r="L4180" s="20">
        <v>0.67464114832535882</v>
      </c>
    </row>
    <row r="4181" spans="1:12" x14ac:dyDescent="0.45">
      <c r="A4181" s="15" t="s">
        <v>5523</v>
      </c>
      <c r="B4181" s="15" t="s">
        <v>2435</v>
      </c>
      <c r="C4181" s="16" t="s">
        <v>2436</v>
      </c>
      <c r="D4181" s="16" t="s">
        <v>34</v>
      </c>
      <c r="E4181" s="15" t="s">
        <v>35</v>
      </c>
      <c r="F4181" s="17">
        <v>860000</v>
      </c>
      <c r="G4181" s="17">
        <v>465000</v>
      </c>
      <c r="H4181" s="16" t="s">
        <v>5566</v>
      </c>
      <c r="I4181" s="40" t="s">
        <v>18</v>
      </c>
      <c r="J4181" s="40" t="str">
        <f>HYPERLINK("https://stock.pstatic.net/stock-research/company/61/20260401_company_41703000.pdf","PDF")</f>
        <v>PDF</v>
      </c>
      <c r="K4181" s="15" t="s">
        <v>5567</v>
      </c>
      <c r="L4181" s="20">
        <v>0.84946236559139787</v>
      </c>
    </row>
    <row r="4182" spans="1:12" x14ac:dyDescent="0.45">
      <c r="A4182" s="15" t="s">
        <v>5523</v>
      </c>
      <c r="B4182" s="15" t="s">
        <v>740</v>
      </c>
      <c r="C4182" s="16" t="s">
        <v>741</v>
      </c>
      <c r="D4182" s="16" t="s">
        <v>34</v>
      </c>
      <c r="E4182" s="15" t="s">
        <v>35</v>
      </c>
      <c r="F4182" s="17">
        <v>385000</v>
      </c>
      <c r="G4182" s="17">
        <v>293500</v>
      </c>
      <c r="H4182" s="16" t="s">
        <v>5568</v>
      </c>
      <c r="I4182" s="40" t="s">
        <v>18</v>
      </c>
      <c r="J4182" s="40" t="str">
        <f>HYPERLINK("https://stock.pstatic.net/stock-research/company/61/20260401_company_431988000.pdf","PDF")</f>
        <v>PDF</v>
      </c>
      <c r="K4182" s="15" t="s">
        <v>5569</v>
      </c>
      <c r="L4182" s="20">
        <v>0.31175468483816021</v>
      </c>
    </row>
    <row r="4183" spans="1:12" x14ac:dyDescent="0.45">
      <c r="A4183" s="15" t="s">
        <v>5523</v>
      </c>
      <c r="B4183" s="15" t="s">
        <v>740</v>
      </c>
      <c r="C4183" s="16" t="s">
        <v>741</v>
      </c>
      <c r="D4183" s="16" t="s">
        <v>179</v>
      </c>
      <c r="E4183" s="15" t="s">
        <v>16</v>
      </c>
      <c r="F4183" s="17">
        <v>385000</v>
      </c>
      <c r="G4183" s="17">
        <v>293500</v>
      </c>
      <c r="H4183" s="16" t="s">
        <v>5570</v>
      </c>
      <c r="I4183" s="40" t="s">
        <v>18</v>
      </c>
      <c r="J4183" s="40" t="str">
        <f>HYPERLINK("https://stock.pstatic.net/stock-research/company/64/20260401_company_980244000.pdf","PDF")</f>
        <v>PDF</v>
      </c>
      <c r="K4183" s="15" t="s">
        <v>5571</v>
      </c>
      <c r="L4183" s="20">
        <v>0.31175468483816021</v>
      </c>
    </row>
    <row r="4184" spans="1:12" x14ac:dyDescent="0.45">
      <c r="A4184" s="15" t="s">
        <v>5523</v>
      </c>
      <c r="B4184" s="15" t="s">
        <v>740</v>
      </c>
      <c r="C4184" s="16" t="s">
        <v>741</v>
      </c>
      <c r="D4184" s="16" t="s">
        <v>92</v>
      </c>
      <c r="E4184" s="15" t="s">
        <v>35</v>
      </c>
      <c r="F4184" s="17">
        <v>353000</v>
      </c>
      <c r="G4184" s="17">
        <v>293500</v>
      </c>
      <c r="H4184" s="16" t="s">
        <v>5572</v>
      </c>
      <c r="I4184" s="40" t="s">
        <v>18</v>
      </c>
      <c r="J4184" s="40" t="str">
        <f>HYPERLINK("https://stock.pstatic.net/stock-research/company/63/20260401_company_195526000.pdf","PDF")</f>
        <v>PDF</v>
      </c>
      <c r="K4184" s="15" t="s">
        <v>5573</v>
      </c>
      <c r="L4184" s="20">
        <v>0.20272572402044289</v>
      </c>
    </row>
    <row r="4185" spans="1:12" x14ac:dyDescent="0.45">
      <c r="A4185" s="15" t="s">
        <v>5523</v>
      </c>
      <c r="B4185" s="15" t="s">
        <v>1930</v>
      </c>
      <c r="C4185" s="16" t="s">
        <v>1931</v>
      </c>
      <c r="D4185" s="16" t="s">
        <v>44</v>
      </c>
      <c r="E4185" s="15" t="s">
        <v>35</v>
      </c>
      <c r="F4185" s="17">
        <v>310000</v>
      </c>
      <c r="G4185" s="17">
        <v>216500</v>
      </c>
      <c r="H4185" s="16" t="s">
        <v>5574</v>
      </c>
      <c r="I4185" s="40" t="s">
        <v>18</v>
      </c>
      <c r="J4185" s="40" t="str">
        <f>HYPERLINK("https://stock.pstatic.net/stock-research/company/39/20260401_company_460013000.pdf","PDF")</f>
        <v>PDF</v>
      </c>
      <c r="K4185" s="15" t="s">
        <v>5575</v>
      </c>
      <c r="L4185" s="20">
        <v>0.43187066974595839</v>
      </c>
    </row>
    <row r="4186" spans="1:12" x14ac:dyDescent="0.45">
      <c r="A4186" s="15" t="s">
        <v>5523</v>
      </c>
      <c r="B4186" s="15" t="s">
        <v>259</v>
      </c>
      <c r="C4186" s="16" t="s">
        <v>260</v>
      </c>
      <c r="D4186" s="16" t="s">
        <v>853</v>
      </c>
      <c r="E4186" s="15" t="s">
        <v>35</v>
      </c>
      <c r="F4186" s="17">
        <v>98000</v>
      </c>
      <c r="G4186" s="17">
        <v>66700</v>
      </c>
      <c r="H4186" s="16" t="s">
        <v>5576</v>
      </c>
      <c r="I4186" s="40" t="s">
        <v>18</v>
      </c>
      <c r="J4186" s="40" t="str">
        <f>HYPERLINK("https://stock.pstatic.net/stock-research/company/17/20260401_company_515462000.pdf","PDF")</f>
        <v>PDF</v>
      </c>
      <c r="K4186" s="15" t="s">
        <v>5577</v>
      </c>
      <c r="L4186" s="20">
        <v>0.46926536731634177</v>
      </c>
    </row>
    <row r="4187" spans="1:12" x14ac:dyDescent="0.45">
      <c r="A4187" s="15" t="s">
        <v>5523</v>
      </c>
      <c r="B4187" s="15" t="s">
        <v>3113</v>
      </c>
      <c r="C4187" s="16" t="s">
        <v>3114</v>
      </c>
      <c r="D4187" s="16" t="s">
        <v>15</v>
      </c>
      <c r="E4187" s="15" t="s">
        <v>385</v>
      </c>
      <c r="F4187" s="17">
        <v>45000</v>
      </c>
      <c r="G4187" s="17">
        <v>45250</v>
      </c>
      <c r="H4187" s="16" t="s">
        <v>5578</v>
      </c>
      <c r="I4187" s="40" t="s">
        <v>18</v>
      </c>
      <c r="J4187" s="40" t="str">
        <f>HYPERLINK("https://stock.pstatic.net/stock-research/company/56/20260401_company_889087000.pdf","PDF")</f>
        <v>PDF</v>
      </c>
      <c r="K4187" s="15" t="s">
        <v>5579</v>
      </c>
      <c r="L4187" s="20">
        <v>-5.5248618784530376E-3</v>
      </c>
    </row>
    <row r="4188" spans="1:12" x14ac:dyDescent="0.45">
      <c r="A4188" s="12" t="s">
        <v>5580</v>
      </c>
      <c r="B4188" s="12" t="s">
        <v>657</v>
      </c>
      <c r="C4188" s="13" t="s">
        <v>658</v>
      </c>
      <c r="D4188" s="13" t="s">
        <v>57</v>
      </c>
      <c r="E4188" s="12" t="s">
        <v>35</v>
      </c>
      <c r="F4188" s="14">
        <v>27000</v>
      </c>
      <c r="G4188" s="14">
        <v>22100</v>
      </c>
      <c r="H4188" s="13" t="s">
        <v>5581</v>
      </c>
      <c r="I4188" s="40" t="s">
        <v>18</v>
      </c>
      <c r="J4188" s="40" t="str">
        <f>HYPERLINK("https://stock.pstatic.net/stock-research/company/16/20260331_company_254045000.pdf","PDF")</f>
        <v>PDF</v>
      </c>
      <c r="K4188" s="12" t="s">
        <v>5582</v>
      </c>
      <c r="L4188" s="20">
        <v>0.22171945701357471</v>
      </c>
    </row>
    <row r="4189" spans="1:12" x14ac:dyDescent="0.45">
      <c r="A4189" s="12" t="s">
        <v>5580</v>
      </c>
      <c r="B4189" s="12" t="s">
        <v>2522</v>
      </c>
      <c r="C4189" s="13" t="s">
        <v>2523</v>
      </c>
      <c r="D4189" s="13" t="s">
        <v>65</v>
      </c>
      <c r="E4189" s="12" t="s">
        <v>35</v>
      </c>
      <c r="F4189" s="14">
        <v>420000</v>
      </c>
      <c r="G4189" s="14">
        <v>250500</v>
      </c>
      <c r="H4189" s="13" t="s">
        <v>5583</v>
      </c>
      <c r="I4189" s="40" t="s">
        <v>18</v>
      </c>
      <c r="J4189" s="40" t="str">
        <f>HYPERLINK("https://stock.pstatic.net/stock-research/company/57/20260331_company_548475000.pdf","PDF")</f>
        <v>PDF</v>
      </c>
      <c r="K4189" s="12" t="s">
        <v>5584</v>
      </c>
      <c r="L4189" s="20">
        <v>0.67664670658682635</v>
      </c>
    </row>
    <row r="4190" spans="1:12" x14ac:dyDescent="0.45">
      <c r="A4190" s="12" t="s">
        <v>5580</v>
      </c>
      <c r="B4190" s="12" t="s">
        <v>957</v>
      </c>
      <c r="C4190" s="13" t="s">
        <v>958</v>
      </c>
      <c r="D4190" s="13" t="s">
        <v>65</v>
      </c>
      <c r="E4190" s="12" t="s">
        <v>35</v>
      </c>
      <c r="F4190" s="14">
        <v>330000</v>
      </c>
      <c r="G4190" s="14">
        <v>261000</v>
      </c>
      <c r="H4190" s="13" t="s">
        <v>5585</v>
      </c>
      <c r="I4190" s="40" t="s">
        <v>18</v>
      </c>
      <c r="J4190" s="40" t="str">
        <f>HYPERLINK("https://stock.pstatic.net/stock-research/company/57/20260331_company_584076000.pdf","PDF")</f>
        <v>PDF</v>
      </c>
      <c r="K4190" s="12" t="s">
        <v>5586</v>
      </c>
      <c r="L4190" s="20">
        <v>0.26436781609195398</v>
      </c>
    </row>
    <row r="4191" spans="1:12" x14ac:dyDescent="0.45">
      <c r="A4191" s="12" t="s">
        <v>5580</v>
      </c>
      <c r="B4191" s="12" t="s">
        <v>128</v>
      </c>
      <c r="C4191" s="13" t="s">
        <v>129</v>
      </c>
      <c r="D4191" s="13" t="s">
        <v>65</v>
      </c>
      <c r="E4191" s="12" t="s">
        <v>35</v>
      </c>
      <c r="F4191" s="14">
        <v>150000</v>
      </c>
      <c r="G4191" s="14">
        <v>78700</v>
      </c>
      <c r="H4191" s="13" t="s">
        <v>5587</v>
      </c>
      <c r="I4191" s="40" t="s">
        <v>18</v>
      </c>
      <c r="J4191" s="40" t="str">
        <f>HYPERLINK("https://stock.pstatic.net/stock-research/company/57/20260331_company_412000000.pdf","PDF")</f>
        <v>PDF</v>
      </c>
      <c r="K4191" s="12" t="s">
        <v>5588</v>
      </c>
      <c r="L4191" s="20">
        <v>0.90597204574332912</v>
      </c>
    </row>
    <row r="4192" spans="1:12" x14ac:dyDescent="0.45">
      <c r="A4192" s="12" t="s">
        <v>5580</v>
      </c>
      <c r="B4192" s="12" t="s">
        <v>541</v>
      </c>
      <c r="C4192" s="13" t="s">
        <v>542</v>
      </c>
      <c r="D4192" s="13" t="s">
        <v>65</v>
      </c>
      <c r="E4192" s="12" t="s">
        <v>35</v>
      </c>
      <c r="F4192" s="14">
        <v>100000</v>
      </c>
      <c r="G4192" s="14">
        <v>78300</v>
      </c>
      <c r="H4192" s="13" t="s">
        <v>5589</v>
      </c>
      <c r="I4192" s="40" t="s">
        <v>18</v>
      </c>
      <c r="J4192" s="40" t="str">
        <f>HYPERLINK("https://stock.pstatic.net/stock-research/company/57/20260331_company_466506000.pdf","PDF")</f>
        <v>PDF</v>
      </c>
      <c r="K4192" s="12" t="s">
        <v>5590</v>
      </c>
      <c r="L4192" s="20">
        <v>0.27713920817369092</v>
      </c>
    </row>
    <row r="4193" spans="1:12" x14ac:dyDescent="0.45">
      <c r="A4193" s="12" t="s">
        <v>5580</v>
      </c>
      <c r="B4193" s="12" t="s">
        <v>533</v>
      </c>
      <c r="C4193" s="13" t="s">
        <v>534</v>
      </c>
      <c r="D4193" s="13" t="s">
        <v>65</v>
      </c>
      <c r="E4193" s="12" t="s">
        <v>35</v>
      </c>
      <c r="F4193" s="14">
        <v>76000</v>
      </c>
      <c r="G4193" s="14">
        <v>60800</v>
      </c>
      <c r="H4193" s="13" t="s">
        <v>5591</v>
      </c>
      <c r="I4193" s="40" t="s">
        <v>18</v>
      </c>
      <c r="J4193" s="40" t="str">
        <f>HYPERLINK("https://stock.pstatic.net/stock-research/company/57/20260331_company_142208000.pdf","PDF")</f>
        <v>PDF</v>
      </c>
      <c r="K4193" s="12" t="s">
        <v>5592</v>
      </c>
      <c r="L4193" s="20">
        <v>0.25</v>
      </c>
    </row>
    <row r="4194" spans="1:12" x14ac:dyDescent="0.45">
      <c r="A4194" s="12" t="s">
        <v>5580</v>
      </c>
      <c r="B4194" s="12" t="s">
        <v>537</v>
      </c>
      <c r="C4194" s="13" t="s">
        <v>538</v>
      </c>
      <c r="D4194" s="13" t="s">
        <v>65</v>
      </c>
      <c r="E4194" s="12" t="s">
        <v>35</v>
      </c>
      <c r="F4194" s="14">
        <v>20000</v>
      </c>
      <c r="G4194" s="14">
        <v>15400</v>
      </c>
      <c r="H4194" s="13" t="s">
        <v>5593</v>
      </c>
      <c r="I4194" s="40" t="s">
        <v>18</v>
      </c>
      <c r="J4194" s="40" t="str">
        <f>HYPERLINK("https://stock.pstatic.net/stock-research/company/57/20260331_company_898358000.pdf","PDF")</f>
        <v>PDF</v>
      </c>
      <c r="K4194" s="12" t="s">
        <v>5594</v>
      </c>
      <c r="L4194" s="20">
        <v>0.29870129870129869</v>
      </c>
    </row>
    <row r="4195" spans="1:12" x14ac:dyDescent="0.45">
      <c r="A4195" s="12" t="s">
        <v>5580</v>
      </c>
      <c r="B4195" s="12" t="s">
        <v>728</v>
      </c>
      <c r="C4195" s="13" t="s">
        <v>729</v>
      </c>
      <c r="D4195" s="13" t="s">
        <v>158</v>
      </c>
      <c r="E4195" s="12" t="s">
        <v>35</v>
      </c>
      <c r="F4195" s="14">
        <v>130000</v>
      </c>
      <c r="G4195" s="14">
        <v>90100</v>
      </c>
      <c r="H4195" s="13" t="s">
        <v>5595</v>
      </c>
      <c r="I4195" s="40" t="s">
        <v>18</v>
      </c>
      <c r="J4195" s="40" t="str">
        <f>HYPERLINK("https://stock.pstatic.net/stock-research/company/18/20260331_company_858761000.pdf","PDF")</f>
        <v>PDF</v>
      </c>
      <c r="K4195" s="12" t="s">
        <v>5596</v>
      </c>
      <c r="L4195" s="20">
        <v>0.44284128745837958</v>
      </c>
    </row>
    <row r="4196" spans="1:12" x14ac:dyDescent="0.45">
      <c r="A4196" s="12" t="s">
        <v>5580</v>
      </c>
      <c r="B4196" s="12" t="s">
        <v>5597</v>
      </c>
      <c r="C4196" s="13" t="s">
        <v>5598</v>
      </c>
      <c r="D4196" s="13" t="s">
        <v>158</v>
      </c>
      <c r="E4196" s="12" t="s">
        <v>35</v>
      </c>
      <c r="F4196" s="14">
        <v>156000</v>
      </c>
      <c r="G4196" s="14">
        <v>81300</v>
      </c>
      <c r="H4196" s="13" t="s">
        <v>5599</v>
      </c>
      <c r="I4196" s="40" t="s">
        <v>18</v>
      </c>
      <c r="J4196" s="40" t="str">
        <f>HYPERLINK("https://stock.pstatic.net/stock-research/company/18/20260331_company_291306000.pdf","PDF")</f>
        <v>PDF</v>
      </c>
      <c r="K4196" s="12" t="s">
        <v>5600</v>
      </c>
      <c r="L4196" s="20">
        <v>0.91881918819188191</v>
      </c>
    </row>
    <row r="4197" spans="1:12" x14ac:dyDescent="0.45">
      <c r="A4197" s="12" t="s">
        <v>5580</v>
      </c>
      <c r="B4197" s="12" t="s">
        <v>5601</v>
      </c>
      <c r="C4197" s="13" t="s">
        <v>5602</v>
      </c>
      <c r="D4197" s="13" t="s">
        <v>124</v>
      </c>
      <c r="E4197" s="12" t="s">
        <v>50</v>
      </c>
      <c r="F4197" s="13"/>
      <c r="G4197" s="13"/>
      <c r="H4197" s="13" t="s">
        <v>5603</v>
      </c>
      <c r="I4197" s="40" t="s">
        <v>18</v>
      </c>
      <c r="J4197" s="40" t="str">
        <f>HYPERLINK("https://stock.pstatic.net/stock-research/company/74/20260331_company_576518000.pdf","PDF")</f>
        <v>PDF</v>
      </c>
      <c r="K4197" s="12" t="s">
        <v>5604</v>
      </c>
    </row>
    <row r="4198" spans="1:12" x14ac:dyDescent="0.45">
      <c r="A4198" s="12" t="s">
        <v>5580</v>
      </c>
      <c r="B4198" s="12" t="s">
        <v>5605</v>
      </c>
      <c r="C4198" s="13" t="s">
        <v>5606</v>
      </c>
      <c r="D4198" s="13" t="s">
        <v>124</v>
      </c>
      <c r="E4198" s="12" t="s">
        <v>50</v>
      </c>
      <c r="F4198" s="13"/>
      <c r="G4198" s="13"/>
      <c r="H4198" s="13" t="s">
        <v>5607</v>
      </c>
      <c r="I4198" s="40" t="s">
        <v>18</v>
      </c>
      <c r="J4198" s="40" t="str">
        <f>HYPERLINK("https://stock.pstatic.net/stock-research/company/74/20260331_company_421373000.pdf","PDF")</f>
        <v>PDF</v>
      </c>
      <c r="K4198" s="12" t="s">
        <v>5608</v>
      </c>
    </row>
    <row r="4199" spans="1:12" x14ac:dyDescent="0.45">
      <c r="A4199" s="12" t="s">
        <v>5580</v>
      </c>
      <c r="B4199" s="12" t="s">
        <v>32</v>
      </c>
      <c r="C4199" s="13" t="s">
        <v>33</v>
      </c>
      <c r="D4199" s="13" t="s">
        <v>15</v>
      </c>
      <c r="E4199" s="12" t="s">
        <v>16</v>
      </c>
      <c r="F4199" s="14">
        <v>530000</v>
      </c>
      <c r="G4199" s="14">
        <v>429000</v>
      </c>
      <c r="H4199" s="13" t="s">
        <v>5609</v>
      </c>
      <c r="I4199" s="40" t="s">
        <v>18</v>
      </c>
      <c r="J4199" s="40" t="str">
        <f>HYPERLINK("https://stock.pstatic.net/stock-research/company/56/20260331_company_445518000.pdf","PDF")</f>
        <v>PDF</v>
      </c>
      <c r="K4199" s="12" t="s">
        <v>5610</v>
      </c>
      <c r="L4199" s="20">
        <v>0.2354312354312354</v>
      </c>
    </row>
    <row r="4200" spans="1:12" x14ac:dyDescent="0.45">
      <c r="A4200" s="12" t="s">
        <v>5580</v>
      </c>
      <c r="B4200" s="12" t="s">
        <v>1132</v>
      </c>
      <c r="C4200" s="13" t="s">
        <v>1133</v>
      </c>
      <c r="D4200" s="13" t="s">
        <v>23</v>
      </c>
      <c r="E4200" s="12" t="s">
        <v>16</v>
      </c>
      <c r="F4200" s="14">
        <v>33000</v>
      </c>
      <c r="G4200" s="14">
        <v>21750</v>
      </c>
      <c r="H4200" s="13" t="s">
        <v>5611</v>
      </c>
      <c r="I4200" s="40" t="s">
        <v>18</v>
      </c>
      <c r="J4200" s="40" t="str">
        <f>HYPERLINK("https://stock.pstatic.net/stock-research/company/21/20260331_company_904054000.pdf","PDF")</f>
        <v>PDF</v>
      </c>
      <c r="K4200" s="12" t="s">
        <v>5612</v>
      </c>
      <c r="L4200" s="20">
        <v>0.51724137931034486</v>
      </c>
    </row>
    <row r="4201" spans="1:12" x14ac:dyDescent="0.45">
      <c r="A4201" s="12" t="s">
        <v>5580</v>
      </c>
      <c r="B4201" s="12" t="s">
        <v>4301</v>
      </c>
      <c r="C4201" s="13" t="s">
        <v>4302</v>
      </c>
      <c r="D4201" s="13" t="s">
        <v>23</v>
      </c>
      <c r="E4201" s="12" t="s">
        <v>16</v>
      </c>
      <c r="F4201" s="14">
        <v>2500</v>
      </c>
      <c r="G4201" s="14">
        <v>1692</v>
      </c>
      <c r="H4201" s="13" t="s">
        <v>5613</v>
      </c>
      <c r="I4201" s="40" t="s">
        <v>18</v>
      </c>
      <c r="J4201" s="40" t="str">
        <f>HYPERLINK("https://stock.pstatic.net/stock-research/company/21/20260331_company_291165000.pdf","PDF")</f>
        <v>PDF</v>
      </c>
      <c r="K4201" s="12" t="s">
        <v>5614</v>
      </c>
      <c r="L4201" s="20">
        <v>0.47754137115839251</v>
      </c>
    </row>
    <row r="4202" spans="1:12" x14ac:dyDescent="0.45">
      <c r="A4202" s="12" t="s">
        <v>5580</v>
      </c>
      <c r="B4202" s="12" t="s">
        <v>3123</v>
      </c>
      <c r="C4202" s="13" t="s">
        <v>3124</v>
      </c>
      <c r="D4202" s="13" t="s">
        <v>23</v>
      </c>
      <c r="E4202" s="12" t="s">
        <v>16</v>
      </c>
      <c r="F4202" s="14">
        <v>53000</v>
      </c>
      <c r="G4202" s="14">
        <v>44600</v>
      </c>
      <c r="H4202" s="13" t="s">
        <v>5615</v>
      </c>
      <c r="I4202" s="40" t="s">
        <v>18</v>
      </c>
      <c r="J4202" s="40" t="str">
        <f>HYPERLINK("https://stock.pstatic.net/stock-research/company/21/20260331_company_158380000.pdf","PDF")</f>
        <v>PDF</v>
      </c>
      <c r="K4202" s="12" t="s">
        <v>5616</v>
      </c>
      <c r="L4202" s="20">
        <v>0.18834080717488791</v>
      </c>
    </row>
    <row r="4203" spans="1:12" x14ac:dyDescent="0.45">
      <c r="A4203" s="12" t="s">
        <v>5580</v>
      </c>
      <c r="B4203" s="12" t="s">
        <v>95</v>
      </c>
      <c r="C4203" s="13" t="s">
        <v>31</v>
      </c>
      <c r="D4203" s="13" t="s">
        <v>92</v>
      </c>
      <c r="E4203" s="12" t="s">
        <v>35</v>
      </c>
      <c r="F4203" s="14">
        <v>49000</v>
      </c>
      <c r="G4203" s="14">
        <v>33250</v>
      </c>
      <c r="H4203" s="13" t="s">
        <v>5617</v>
      </c>
      <c r="I4203" s="40" t="s">
        <v>18</v>
      </c>
      <c r="J4203" s="40" t="str">
        <f>HYPERLINK("https://stock.pstatic.net/stock-research/company/63/20260331_company_473996000.pdf","PDF")</f>
        <v>PDF</v>
      </c>
      <c r="K4203" s="12" t="s">
        <v>5618</v>
      </c>
      <c r="L4203" s="20">
        <v>0.47368421052631582</v>
      </c>
    </row>
    <row r="4204" spans="1:12" x14ac:dyDescent="0.45">
      <c r="A4204" s="12" t="s">
        <v>5580</v>
      </c>
      <c r="B4204" s="12" t="s">
        <v>1401</v>
      </c>
      <c r="C4204" s="13" t="s">
        <v>1402</v>
      </c>
      <c r="D4204" s="13" t="s">
        <v>92</v>
      </c>
      <c r="E4204" s="12" t="s">
        <v>50</v>
      </c>
      <c r="F4204" s="13"/>
      <c r="G4204" s="14">
        <v>8790</v>
      </c>
      <c r="H4204" s="13" t="s">
        <v>5619</v>
      </c>
      <c r="I4204" s="40" t="s">
        <v>18</v>
      </c>
      <c r="J4204" s="40" t="str">
        <f>HYPERLINK("https://stock.pstatic.net/stock-research/company/63/20260331_company_671343000.pdf","PDF")</f>
        <v>PDF</v>
      </c>
      <c r="K4204" s="12" t="s">
        <v>5620</v>
      </c>
    </row>
    <row r="4205" spans="1:12" x14ac:dyDescent="0.45">
      <c r="A4205" s="12" t="s">
        <v>5580</v>
      </c>
      <c r="B4205" s="12" t="s">
        <v>1686</v>
      </c>
      <c r="C4205" s="13" t="s">
        <v>1687</v>
      </c>
      <c r="D4205" s="13" t="s">
        <v>44</v>
      </c>
      <c r="E4205" s="12" t="s">
        <v>35</v>
      </c>
      <c r="F4205" s="14">
        <v>1850000</v>
      </c>
      <c r="G4205" s="14">
        <v>1174000</v>
      </c>
      <c r="H4205" s="13" t="s">
        <v>5621</v>
      </c>
      <c r="I4205" s="40" t="s">
        <v>18</v>
      </c>
      <c r="J4205" s="40" t="str">
        <f>HYPERLINK("https://stock.pstatic.net/stock-research/company/39/20260331_company_902599000.pdf","PDF")</f>
        <v>PDF</v>
      </c>
      <c r="K4205" s="12" t="s">
        <v>5622</v>
      </c>
      <c r="L4205" s="20">
        <v>0.575809199318569</v>
      </c>
    </row>
    <row r="4206" spans="1:12" x14ac:dyDescent="0.45">
      <c r="A4206" s="12" t="s">
        <v>5580</v>
      </c>
      <c r="B4206" s="12" t="s">
        <v>5623</v>
      </c>
      <c r="C4206" s="13" t="s">
        <v>5624</v>
      </c>
      <c r="D4206" s="13" t="s">
        <v>44</v>
      </c>
      <c r="E4206" s="12" t="s">
        <v>35</v>
      </c>
      <c r="F4206" s="14">
        <v>9500</v>
      </c>
      <c r="G4206" s="14">
        <v>5710</v>
      </c>
      <c r="H4206" s="13" t="s">
        <v>5625</v>
      </c>
      <c r="I4206" s="40" t="s">
        <v>18</v>
      </c>
      <c r="J4206" s="40" t="str">
        <f>HYPERLINK("https://stock.pstatic.net/stock-research/company/39/20260331_company_392388000.pdf","PDF")</f>
        <v>PDF</v>
      </c>
      <c r="K4206" s="12" t="s">
        <v>5626</v>
      </c>
      <c r="L4206" s="20">
        <v>0.66374781085814361</v>
      </c>
    </row>
    <row r="4207" spans="1:12" x14ac:dyDescent="0.45">
      <c r="A4207" s="12" t="s">
        <v>5580</v>
      </c>
      <c r="B4207" s="12" t="s">
        <v>4921</v>
      </c>
      <c r="C4207" s="13" t="s">
        <v>4922</v>
      </c>
      <c r="D4207" s="13" t="s">
        <v>53</v>
      </c>
      <c r="E4207" s="12" t="s">
        <v>16</v>
      </c>
      <c r="F4207" s="14">
        <v>32000</v>
      </c>
      <c r="G4207" s="14">
        <v>30500</v>
      </c>
      <c r="H4207" s="13" t="s">
        <v>5627</v>
      </c>
      <c r="I4207" s="40" t="s">
        <v>18</v>
      </c>
      <c r="J4207" s="40" t="str">
        <f>HYPERLINK("https://m.stock.naver.com/research/company/91126","PDF")</f>
        <v>PDF</v>
      </c>
      <c r="K4207" s="12" t="s">
        <v>5628</v>
      </c>
      <c r="L4207" s="20">
        <v>4.9180327868852458E-2</v>
      </c>
    </row>
    <row r="4208" spans="1:12" x14ac:dyDescent="0.45">
      <c r="A4208" s="12" t="s">
        <v>5580</v>
      </c>
      <c r="B4208" s="12" t="s">
        <v>894</v>
      </c>
      <c r="C4208" s="13" t="s">
        <v>26</v>
      </c>
      <c r="D4208" s="13" t="s">
        <v>124</v>
      </c>
      <c r="E4208" s="12" t="s">
        <v>50</v>
      </c>
      <c r="F4208" s="13"/>
      <c r="G4208" s="13"/>
      <c r="H4208" s="13" t="s">
        <v>5629</v>
      </c>
      <c r="I4208" s="40" t="s">
        <v>18</v>
      </c>
      <c r="J4208" s="40" t="str">
        <f>HYPERLINK("https://stock.pstatic.net/stock-research/company/74/20260331_company_472676000.pdf","PDF")</f>
        <v>PDF</v>
      </c>
      <c r="K4208" s="12" t="s">
        <v>5630</v>
      </c>
    </row>
    <row r="4209" spans="1:12" x14ac:dyDescent="0.45">
      <c r="A4209" s="12" t="s">
        <v>5631</v>
      </c>
      <c r="B4209" s="12" t="s">
        <v>1678</v>
      </c>
      <c r="C4209" s="13" t="s">
        <v>1679</v>
      </c>
      <c r="D4209" s="13" t="s">
        <v>57</v>
      </c>
      <c r="E4209" s="12" t="s">
        <v>35</v>
      </c>
      <c r="F4209" s="14">
        <v>85000</v>
      </c>
      <c r="G4209" s="14">
        <v>59300</v>
      </c>
      <c r="H4209" s="13" t="s">
        <v>5632</v>
      </c>
      <c r="I4209" s="40" t="s">
        <v>18</v>
      </c>
      <c r="J4209" s="40" t="str">
        <f>HYPERLINK("https://stock.pstatic.net/stock-research/company/16/20260330_company_816781000.pdf","PDF")</f>
        <v>PDF</v>
      </c>
      <c r="K4209" s="12" t="s">
        <v>5633</v>
      </c>
      <c r="L4209" s="20">
        <v>0.43338954468802698</v>
      </c>
    </row>
    <row r="4210" spans="1:12" x14ac:dyDescent="0.45">
      <c r="A4210" s="12" t="s">
        <v>5631</v>
      </c>
      <c r="B4210" s="12" t="s">
        <v>4921</v>
      </c>
      <c r="C4210" s="13" t="s">
        <v>4922</v>
      </c>
      <c r="D4210" s="13" t="s">
        <v>57</v>
      </c>
      <c r="E4210" s="12" t="s">
        <v>35</v>
      </c>
      <c r="F4210" s="14">
        <v>46000</v>
      </c>
      <c r="G4210" s="14">
        <v>26100</v>
      </c>
      <c r="H4210" s="13" t="s">
        <v>5634</v>
      </c>
      <c r="I4210" s="40" t="s">
        <v>18</v>
      </c>
      <c r="J4210" s="40" t="str">
        <f>HYPERLINK("https://stock.pstatic.net/stock-research/company/16/20260330_company_858214000.pdf","PDF")</f>
        <v>PDF</v>
      </c>
      <c r="K4210" s="12" t="s">
        <v>5635</v>
      </c>
      <c r="L4210" s="20">
        <v>0.76245210727969348</v>
      </c>
    </row>
    <row r="4211" spans="1:12" x14ac:dyDescent="0.45">
      <c r="A4211" s="12" t="s">
        <v>5631</v>
      </c>
      <c r="B4211" s="12" t="s">
        <v>3327</v>
      </c>
      <c r="C4211" s="13" t="s">
        <v>3328</v>
      </c>
      <c r="D4211" s="13" t="s">
        <v>276</v>
      </c>
      <c r="E4211" s="12" t="s">
        <v>50</v>
      </c>
      <c r="F4211" s="13"/>
      <c r="G4211" s="14">
        <v>230500</v>
      </c>
      <c r="H4211" s="13" t="s">
        <v>5636</v>
      </c>
      <c r="I4211" s="40" t="s">
        <v>18</v>
      </c>
      <c r="J4211" s="40" t="str">
        <f>HYPERLINK("https://stock.pstatic.net/stock-research/company/66/20260330_company_566330000.pdf","PDF")</f>
        <v>PDF</v>
      </c>
      <c r="K4211" s="12" t="s">
        <v>5637</v>
      </c>
    </row>
    <row r="4212" spans="1:12" x14ac:dyDescent="0.45">
      <c r="A4212" s="12" t="s">
        <v>5631</v>
      </c>
      <c r="B4212" s="12" t="s">
        <v>1906</v>
      </c>
      <c r="C4212" s="13" t="s">
        <v>1907</v>
      </c>
      <c r="D4212" s="13" t="s">
        <v>276</v>
      </c>
      <c r="E4212" s="12" t="s">
        <v>16</v>
      </c>
      <c r="F4212" s="14">
        <v>90000</v>
      </c>
      <c r="G4212" s="14">
        <v>58800</v>
      </c>
      <c r="H4212" s="13" t="s">
        <v>5638</v>
      </c>
      <c r="I4212" s="40" t="s">
        <v>18</v>
      </c>
      <c r="J4212" s="40" t="str">
        <f>HYPERLINK("https://stock.pstatic.net/stock-research/company/66/20260330_company_604793000.pdf","PDF")</f>
        <v>PDF</v>
      </c>
      <c r="K4212" s="12" t="s">
        <v>5639</v>
      </c>
      <c r="L4212" s="20">
        <v>0.53061224489795922</v>
      </c>
    </row>
    <row r="4213" spans="1:12" x14ac:dyDescent="0.45">
      <c r="A4213" s="12" t="s">
        <v>5631</v>
      </c>
      <c r="B4213" s="12" t="s">
        <v>1745</v>
      </c>
      <c r="C4213" s="13" t="s">
        <v>1746</v>
      </c>
      <c r="D4213" s="13" t="s">
        <v>276</v>
      </c>
      <c r="E4213" s="12" t="s">
        <v>16</v>
      </c>
      <c r="F4213" s="14">
        <v>200000</v>
      </c>
      <c r="G4213" s="14">
        <v>145500</v>
      </c>
      <c r="H4213" s="13" t="s">
        <v>5640</v>
      </c>
      <c r="I4213" s="40" t="s">
        <v>18</v>
      </c>
      <c r="J4213" s="40" t="str">
        <f>HYPERLINK("https://stock.pstatic.net/stock-research/company/66/20260407_company_807866000.pdf","PDF")</f>
        <v>PDF</v>
      </c>
      <c r="K4213" s="12" t="s">
        <v>5641</v>
      </c>
      <c r="L4213" s="20">
        <v>0.37457044673539519</v>
      </c>
    </row>
    <row r="4214" spans="1:12" x14ac:dyDescent="0.45">
      <c r="A4214" s="12" t="s">
        <v>5631</v>
      </c>
      <c r="B4214" s="12" t="s">
        <v>2378</v>
      </c>
      <c r="C4214" s="13" t="s">
        <v>2379</v>
      </c>
      <c r="D4214" s="13" t="s">
        <v>60</v>
      </c>
      <c r="E4214" s="12" t="s">
        <v>35</v>
      </c>
      <c r="F4214" s="14">
        <v>570000</v>
      </c>
      <c r="G4214" s="14">
        <v>394500</v>
      </c>
      <c r="H4214" s="13" t="s">
        <v>5642</v>
      </c>
      <c r="I4214" s="40" t="s">
        <v>18</v>
      </c>
      <c r="J4214" s="40" t="str">
        <f>HYPERLINK("https://stock.pstatic.net/stock-research/company/62/20260330_company_288870000.pdf","PDF")</f>
        <v>PDF</v>
      </c>
      <c r="K4214" s="12" t="s">
        <v>5643</v>
      </c>
      <c r="L4214" s="20">
        <v>0.44486692015209123</v>
      </c>
    </row>
    <row r="4215" spans="1:12" x14ac:dyDescent="0.45">
      <c r="A4215" s="12" t="s">
        <v>5631</v>
      </c>
      <c r="B4215" s="12" t="s">
        <v>2369</v>
      </c>
      <c r="C4215" s="13" t="s">
        <v>2370</v>
      </c>
      <c r="D4215" s="13" t="s">
        <v>60</v>
      </c>
      <c r="E4215" s="12" t="s">
        <v>35</v>
      </c>
      <c r="F4215" s="14">
        <v>580000</v>
      </c>
      <c r="G4215" s="14">
        <v>405500</v>
      </c>
      <c r="H4215" s="13" t="s">
        <v>5644</v>
      </c>
      <c r="I4215" s="40" t="s">
        <v>18</v>
      </c>
      <c r="J4215" s="40" t="str">
        <f>HYPERLINK("https://stock.pstatic.net/stock-research/company/62/20260330_company_684234000.pdf","PDF")</f>
        <v>PDF</v>
      </c>
      <c r="K4215" s="12" t="s">
        <v>5645</v>
      </c>
      <c r="L4215" s="20">
        <v>0.43033292231812581</v>
      </c>
    </row>
    <row r="4216" spans="1:12" x14ac:dyDescent="0.45">
      <c r="A4216" s="12" t="s">
        <v>5631</v>
      </c>
      <c r="B4216" s="12" t="s">
        <v>430</v>
      </c>
      <c r="C4216" s="13" t="s">
        <v>431</v>
      </c>
      <c r="D4216" s="13" t="s">
        <v>714</v>
      </c>
      <c r="E4216" s="12" t="s">
        <v>35</v>
      </c>
      <c r="F4216" s="14">
        <v>83000</v>
      </c>
      <c r="G4216" s="14">
        <v>55500</v>
      </c>
      <c r="H4216" s="13" t="s">
        <v>5646</v>
      </c>
      <c r="I4216" s="40" t="s">
        <v>18</v>
      </c>
      <c r="J4216" s="40" t="str">
        <f>HYPERLINK("https://stock.pstatic.net/stock-research/company/38/20260330_company_829243000.pdf","PDF")</f>
        <v>PDF</v>
      </c>
      <c r="K4216" s="12" t="s">
        <v>5647</v>
      </c>
      <c r="L4216" s="20">
        <v>0.49549549549549549</v>
      </c>
    </row>
    <row r="4217" spans="1:12" x14ac:dyDescent="0.45">
      <c r="A4217" s="12" t="s">
        <v>5631</v>
      </c>
      <c r="B4217" s="12" t="s">
        <v>2861</v>
      </c>
      <c r="C4217" s="13" t="s">
        <v>2862</v>
      </c>
      <c r="D4217" s="13" t="s">
        <v>714</v>
      </c>
      <c r="E4217" s="12" t="s">
        <v>35</v>
      </c>
      <c r="F4217" s="14">
        <v>21500</v>
      </c>
      <c r="G4217" s="14">
        <v>14450</v>
      </c>
      <c r="H4217" s="13" t="s">
        <v>5648</v>
      </c>
      <c r="I4217" s="40" t="s">
        <v>18</v>
      </c>
      <c r="J4217" s="40" t="str">
        <f>HYPERLINK("https://stock.pstatic.net/stock-research/company/38/20260330_company_936518000.pdf","PDF")</f>
        <v>PDF</v>
      </c>
      <c r="K4217" s="12" t="s">
        <v>5649</v>
      </c>
      <c r="L4217" s="20">
        <v>0.48788927335640142</v>
      </c>
    </row>
    <row r="4218" spans="1:12" x14ac:dyDescent="0.45">
      <c r="A4218" s="12" t="s">
        <v>5631</v>
      </c>
      <c r="B4218" s="12" t="s">
        <v>309</v>
      </c>
      <c r="C4218" s="13" t="s">
        <v>310</v>
      </c>
      <c r="D4218" s="13" t="s">
        <v>15</v>
      </c>
      <c r="E4218" s="12" t="s">
        <v>50</v>
      </c>
      <c r="F4218" s="13"/>
      <c r="G4218" s="14">
        <v>79300</v>
      </c>
      <c r="H4218" s="13" t="s">
        <v>5650</v>
      </c>
      <c r="I4218" s="40" t="s">
        <v>18</v>
      </c>
      <c r="J4218" s="40" t="str">
        <f>HYPERLINK("https://m.stock.naver.com/research/company/91115","PDF")</f>
        <v>PDF</v>
      </c>
      <c r="K4218" s="12" t="s">
        <v>5651</v>
      </c>
    </row>
    <row r="4219" spans="1:12" x14ac:dyDescent="0.45">
      <c r="A4219" s="12" t="s">
        <v>5631</v>
      </c>
      <c r="B4219" s="12" t="s">
        <v>438</v>
      </c>
      <c r="C4219" s="13" t="s">
        <v>439</v>
      </c>
      <c r="D4219" s="13" t="s">
        <v>179</v>
      </c>
      <c r="E4219" s="12" t="s">
        <v>16</v>
      </c>
      <c r="F4219" s="14">
        <v>150000</v>
      </c>
      <c r="G4219" s="14">
        <v>107500</v>
      </c>
      <c r="H4219" s="13" t="s">
        <v>5652</v>
      </c>
      <c r="I4219" s="40" t="s">
        <v>18</v>
      </c>
      <c r="J4219" s="40" t="str">
        <f>HYPERLINK("https://stock.pstatic.net/stock-research/company/64/20260330_company_191853000.pdf","PDF")</f>
        <v>PDF</v>
      </c>
      <c r="K4219" s="12" t="s">
        <v>5653</v>
      </c>
      <c r="L4219" s="20">
        <v>0.39534883720930231</v>
      </c>
    </row>
    <row r="4220" spans="1:12" x14ac:dyDescent="0.45">
      <c r="A4220" s="12" t="s">
        <v>5631</v>
      </c>
      <c r="B4220" s="12" t="s">
        <v>5654</v>
      </c>
      <c r="C4220" s="13" t="s">
        <v>5655</v>
      </c>
      <c r="D4220" s="13" t="s">
        <v>23</v>
      </c>
      <c r="E4220" s="12" t="s">
        <v>16</v>
      </c>
      <c r="F4220" s="14">
        <v>22000</v>
      </c>
      <c r="G4220" s="14">
        <v>17100</v>
      </c>
      <c r="H4220" s="13" t="s">
        <v>5656</v>
      </c>
      <c r="I4220" s="40" t="s">
        <v>18</v>
      </c>
      <c r="J4220" s="40" t="str">
        <f>HYPERLINK("https://m.stock.naver.com/research/company/91113","PDF")</f>
        <v>PDF</v>
      </c>
      <c r="K4220" s="12" t="s">
        <v>5657</v>
      </c>
      <c r="L4220" s="20">
        <v>0.28654970760233922</v>
      </c>
    </row>
    <row r="4221" spans="1:12" x14ac:dyDescent="0.45">
      <c r="A4221" s="12" t="s">
        <v>5631</v>
      </c>
      <c r="B4221" s="12" t="s">
        <v>5658</v>
      </c>
      <c r="C4221" s="13" t="s">
        <v>5659</v>
      </c>
      <c r="D4221" s="13" t="s">
        <v>34</v>
      </c>
      <c r="E4221" s="12" t="s">
        <v>50</v>
      </c>
      <c r="F4221" s="13"/>
      <c r="G4221" s="14">
        <v>28550</v>
      </c>
      <c r="H4221" s="13" t="s">
        <v>5660</v>
      </c>
      <c r="I4221" s="40" t="s">
        <v>18</v>
      </c>
      <c r="J4221" s="40" t="str">
        <f>HYPERLINK("https://stock.pstatic.net/stock-research/company/61/20260330_company_63879000.pdf","PDF")</f>
        <v>PDF</v>
      </c>
      <c r="K4221" s="12" t="s">
        <v>5661</v>
      </c>
    </row>
    <row r="4222" spans="1:12" x14ac:dyDescent="0.45">
      <c r="A4222" s="12" t="s">
        <v>5631</v>
      </c>
      <c r="B4222" s="12" t="s">
        <v>752</v>
      </c>
      <c r="C4222" s="13" t="s">
        <v>753</v>
      </c>
      <c r="D4222" s="13" t="s">
        <v>34</v>
      </c>
      <c r="E4222" s="12" t="s">
        <v>35</v>
      </c>
      <c r="F4222" s="14">
        <v>290000</v>
      </c>
      <c r="G4222" s="14">
        <v>250000</v>
      </c>
      <c r="H4222" s="13" t="s">
        <v>5662</v>
      </c>
      <c r="I4222" s="40" t="s">
        <v>18</v>
      </c>
      <c r="J4222" s="40" t="str">
        <f>HYPERLINK("https://m.stock.naver.com/research/company/91111","PDF")</f>
        <v>PDF</v>
      </c>
      <c r="K4222" s="12" t="s">
        <v>5663</v>
      </c>
      <c r="L4222" s="20">
        <v>0.16</v>
      </c>
    </row>
    <row r="4223" spans="1:12" x14ac:dyDescent="0.45">
      <c r="A4223" s="12" t="s">
        <v>5631</v>
      </c>
      <c r="B4223" s="12" t="s">
        <v>800</v>
      </c>
      <c r="C4223" s="13" t="s">
        <v>801</v>
      </c>
      <c r="D4223" s="13" t="s">
        <v>53</v>
      </c>
      <c r="E4223" s="12" t="s">
        <v>50</v>
      </c>
      <c r="F4223" s="14">
        <v>60000</v>
      </c>
      <c r="G4223" s="14">
        <v>59900</v>
      </c>
      <c r="H4223" s="13" t="s">
        <v>5664</v>
      </c>
      <c r="I4223" s="40" t="s">
        <v>18</v>
      </c>
      <c r="J4223" s="40" t="str">
        <f>HYPERLINK("https://stock.pstatic.net/stock-research/company/40/20260330_company_810626000.pdf","PDF")</f>
        <v>PDF</v>
      </c>
      <c r="K4223" s="12" t="s">
        <v>5665</v>
      </c>
      <c r="L4223" s="20">
        <v>1.6694490818030051E-3</v>
      </c>
    </row>
    <row r="4224" spans="1:12" x14ac:dyDescent="0.45">
      <c r="A4224" s="12" t="s">
        <v>5631</v>
      </c>
      <c r="B4224" s="12" t="s">
        <v>1202</v>
      </c>
      <c r="C4224" s="13" t="s">
        <v>1203</v>
      </c>
      <c r="D4224" s="13" t="s">
        <v>92</v>
      </c>
      <c r="E4224" s="12" t="s">
        <v>50</v>
      </c>
      <c r="F4224" s="13"/>
      <c r="G4224" s="14">
        <v>3295</v>
      </c>
      <c r="H4224" s="13" t="s">
        <v>5666</v>
      </c>
      <c r="I4224" s="40" t="s">
        <v>18</v>
      </c>
      <c r="J4224" s="40" t="str">
        <f>HYPERLINK("https://stock.pstatic.net/stock-research/company/63/20260330_company_82534000.pdf","PDF")</f>
        <v>PDF</v>
      </c>
      <c r="K4224" s="12" t="s">
        <v>5667</v>
      </c>
    </row>
    <row r="4225" spans="1:12" x14ac:dyDescent="0.45">
      <c r="A4225" s="12" t="s">
        <v>5631</v>
      </c>
      <c r="B4225" s="12" t="s">
        <v>691</v>
      </c>
      <c r="C4225" s="13" t="s">
        <v>20</v>
      </c>
      <c r="D4225" s="13" t="s">
        <v>53</v>
      </c>
      <c r="E4225" s="12" t="s">
        <v>16</v>
      </c>
      <c r="F4225" s="14">
        <v>250000</v>
      </c>
      <c r="G4225" s="14">
        <v>206000</v>
      </c>
      <c r="H4225" s="13" t="s">
        <v>5668</v>
      </c>
      <c r="I4225" s="40" t="s">
        <v>18</v>
      </c>
      <c r="J4225" s="40" t="str">
        <f>HYPERLINK("https://stock.pstatic.net/stock-research/company/40/20260330_company_149154000.pdf","PDF")</f>
        <v>PDF</v>
      </c>
      <c r="K4225" s="12" t="s">
        <v>5669</v>
      </c>
      <c r="L4225" s="20">
        <v>0.2135922330097087</v>
      </c>
    </row>
    <row r="4226" spans="1:12" x14ac:dyDescent="0.45">
      <c r="A4226" s="12" t="s">
        <v>5631</v>
      </c>
      <c r="B4226" s="12" t="s">
        <v>13</v>
      </c>
      <c r="C4226" s="13" t="s">
        <v>14</v>
      </c>
      <c r="D4226" s="13" t="s">
        <v>44</v>
      </c>
      <c r="E4226" s="12" t="s">
        <v>35</v>
      </c>
      <c r="F4226" s="14">
        <v>260000</v>
      </c>
      <c r="G4226" s="14">
        <v>179700</v>
      </c>
      <c r="H4226" s="13" t="s">
        <v>5670</v>
      </c>
      <c r="I4226" s="40" t="s">
        <v>18</v>
      </c>
      <c r="J4226" s="40" t="str">
        <f>HYPERLINK("https://stock.pstatic.net/stock-research/company/39/20260330_company_33852000.pdf","PDF")</f>
        <v>PDF</v>
      </c>
      <c r="K4226" s="12" t="s">
        <v>5671</v>
      </c>
      <c r="L4226" s="20">
        <v>0.4468558708959377</v>
      </c>
    </row>
    <row r="4227" spans="1:12" x14ac:dyDescent="0.45">
      <c r="A4227" s="12" t="s">
        <v>5631</v>
      </c>
      <c r="B4227" s="12" t="s">
        <v>5672</v>
      </c>
      <c r="C4227" s="13" t="s">
        <v>5673</v>
      </c>
      <c r="D4227" s="13" t="s">
        <v>124</v>
      </c>
      <c r="E4227" s="12" t="s">
        <v>50</v>
      </c>
      <c r="F4227" s="13"/>
      <c r="G4227" s="13"/>
      <c r="H4227" s="13" t="s">
        <v>5674</v>
      </c>
      <c r="I4227" s="40" t="s">
        <v>18</v>
      </c>
      <c r="J4227" s="40" t="str">
        <f>HYPERLINK("https://m.stock.naver.com/research/company/91106","PDF")</f>
        <v>PDF</v>
      </c>
      <c r="K4227" s="12" t="s">
        <v>5675</v>
      </c>
    </row>
    <row r="4228" spans="1:12" x14ac:dyDescent="0.45">
      <c r="A4228" s="12" t="s">
        <v>5631</v>
      </c>
      <c r="B4228" s="12" t="s">
        <v>5359</v>
      </c>
      <c r="C4228" s="13" t="s">
        <v>5360</v>
      </c>
      <c r="D4228" s="13" t="s">
        <v>15</v>
      </c>
      <c r="E4228" s="12" t="s">
        <v>50</v>
      </c>
      <c r="F4228" s="13"/>
      <c r="G4228" s="14">
        <v>14680</v>
      </c>
      <c r="H4228" s="13" t="s">
        <v>5676</v>
      </c>
      <c r="I4228" s="40" t="s">
        <v>18</v>
      </c>
      <c r="J4228" s="40" t="str">
        <f>HYPERLINK("https://stock.pstatic.net/stock-research/company/56/20260330_company_830793000.pdf","PDF")</f>
        <v>PDF</v>
      </c>
      <c r="K4228" s="12" t="s">
        <v>5677</v>
      </c>
    </row>
    <row r="4229" spans="1:12" x14ac:dyDescent="0.45">
      <c r="A4229" s="12" t="s">
        <v>5631</v>
      </c>
      <c r="B4229" s="12" t="s">
        <v>557</v>
      </c>
      <c r="C4229" s="13" t="s">
        <v>558</v>
      </c>
      <c r="D4229" s="13" t="s">
        <v>15</v>
      </c>
      <c r="E4229" s="12" t="s">
        <v>50</v>
      </c>
      <c r="F4229" s="13"/>
      <c r="G4229" s="14">
        <v>98400</v>
      </c>
      <c r="H4229" s="13" t="s">
        <v>5678</v>
      </c>
      <c r="I4229" s="40" t="s">
        <v>18</v>
      </c>
      <c r="J4229" s="40" t="str">
        <f>HYPERLINK("https://m.stock.naver.com/research/company/91104","PDF")</f>
        <v>PDF</v>
      </c>
      <c r="K4229" s="12" t="s">
        <v>5679</v>
      </c>
    </row>
    <row r="4230" spans="1:12" x14ac:dyDescent="0.45">
      <c r="A4230" s="12" t="s">
        <v>5680</v>
      </c>
      <c r="B4230" s="12" t="s">
        <v>1132</v>
      </c>
      <c r="C4230" s="13" t="s">
        <v>1133</v>
      </c>
      <c r="D4230" s="13" t="s">
        <v>15</v>
      </c>
      <c r="E4230" s="12" t="s">
        <v>50</v>
      </c>
      <c r="F4230" s="13"/>
      <c r="G4230" s="14">
        <v>24000</v>
      </c>
      <c r="H4230" s="13" t="s">
        <v>5681</v>
      </c>
      <c r="I4230" s="40" t="s">
        <v>18</v>
      </c>
      <c r="J4230" s="40" t="str">
        <f>HYPERLINK("https://stock.pstatic.net/stock-research/company/56/20260327_company_481485000.pdf","PDF")</f>
        <v>PDF</v>
      </c>
      <c r="K4230" s="12" t="s">
        <v>5682</v>
      </c>
    </row>
    <row r="4231" spans="1:12" x14ac:dyDescent="0.45">
      <c r="A4231" s="12" t="s">
        <v>5680</v>
      </c>
      <c r="B4231" s="12" t="s">
        <v>330</v>
      </c>
      <c r="C4231" s="13" t="s">
        <v>331</v>
      </c>
      <c r="D4231" s="13" t="s">
        <v>57</v>
      </c>
      <c r="E4231" s="12" t="s">
        <v>35</v>
      </c>
      <c r="F4231" s="14">
        <v>45000</v>
      </c>
      <c r="G4231" s="14">
        <v>36800</v>
      </c>
      <c r="H4231" s="13" t="s">
        <v>5683</v>
      </c>
      <c r="I4231" s="40" t="s">
        <v>18</v>
      </c>
      <c r="J4231" s="40" t="str">
        <f>HYPERLINK("https://m.stock.naver.com/research/company/91102","PDF")</f>
        <v>PDF</v>
      </c>
      <c r="K4231" s="12" t="s">
        <v>5684</v>
      </c>
      <c r="L4231" s="20">
        <v>0.2228260869565217</v>
      </c>
    </row>
    <row r="4232" spans="1:12" x14ac:dyDescent="0.45">
      <c r="A4232" s="12" t="s">
        <v>5680</v>
      </c>
      <c r="B4232" s="12" t="s">
        <v>4642</v>
      </c>
      <c r="C4232" s="13" t="s">
        <v>4643</v>
      </c>
      <c r="D4232" s="13" t="s">
        <v>158</v>
      </c>
      <c r="E4232" s="12" t="s">
        <v>35</v>
      </c>
      <c r="F4232" s="14">
        <v>32000</v>
      </c>
      <c r="G4232" s="14">
        <v>24950</v>
      </c>
      <c r="H4232" s="13" t="s">
        <v>5685</v>
      </c>
      <c r="I4232" s="40" t="s">
        <v>18</v>
      </c>
      <c r="J4232" s="40" t="str">
        <f>HYPERLINK("https://m.stock.naver.com/research/company/91101","PDF")</f>
        <v>PDF</v>
      </c>
      <c r="K4232" s="12" t="s">
        <v>5686</v>
      </c>
      <c r="L4232" s="20">
        <v>0.28256513026052099</v>
      </c>
    </row>
    <row r="4233" spans="1:12" x14ac:dyDescent="0.45">
      <c r="A4233" s="12" t="s">
        <v>5680</v>
      </c>
      <c r="B4233" s="12" t="s">
        <v>330</v>
      </c>
      <c r="C4233" s="13" t="s">
        <v>331</v>
      </c>
      <c r="D4233" s="13" t="s">
        <v>276</v>
      </c>
      <c r="E4233" s="12" t="s">
        <v>5386</v>
      </c>
      <c r="F4233" s="14">
        <v>25000</v>
      </c>
      <c r="G4233" s="14">
        <v>36800</v>
      </c>
      <c r="H4233" s="13" t="s">
        <v>5687</v>
      </c>
      <c r="I4233" s="40" t="s">
        <v>18</v>
      </c>
      <c r="J4233" s="40" t="str">
        <f>HYPERLINK("https://m.stock.naver.com/research/company/91100","PDF")</f>
        <v>PDF</v>
      </c>
      <c r="K4233" s="12" t="s">
        <v>5688</v>
      </c>
      <c r="L4233" s="20">
        <v>-0.32065217391304351</v>
      </c>
    </row>
    <row r="4234" spans="1:12" x14ac:dyDescent="0.45">
      <c r="A4234" s="12" t="s">
        <v>5680</v>
      </c>
      <c r="B4234" s="12" t="s">
        <v>740</v>
      </c>
      <c r="C4234" s="13" t="s">
        <v>741</v>
      </c>
      <c r="D4234" s="13" t="s">
        <v>65</v>
      </c>
      <c r="E4234" s="12" t="s">
        <v>35</v>
      </c>
      <c r="F4234" s="14">
        <v>480000</v>
      </c>
      <c r="G4234" s="14">
        <v>303000</v>
      </c>
      <c r="H4234" s="13" t="s">
        <v>5689</v>
      </c>
      <c r="I4234" s="40" t="s">
        <v>18</v>
      </c>
      <c r="J4234" s="40" t="str">
        <f>HYPERLINK("https://m.stock.naver.com/research/company/91099","PDF")</f>
        <v>PDF</v>
      </c>
      <c r="K4234" s="12" t="s">
        <v>5690</v>
      </c>
      <c r="L4234" s="20">
        <v>0.58415841584158412</v>
      </c>
    </row>
    <row r="4235" spans="1:12" x14ac:dyDescent="0.45">
      <c r="A4235" s="12" t="s">
        <v>5680</v>
      </c>
      <c r="B4235" s="12" t="s">
        <v>402</v>
      </c>
      <c r="C4235" s="13" t="s">
        <v>403</v>
      </c>
      <c r="D4235" s="13" t="s">
        <v>65</v>
      </c>
      <c r="E4235" s="12" t="s">
        <v>35</v>
      </c>
      <c r="F4235" s="14">
        <v>145000</v>
      </c>
      <c r="G4235" s="14">
        <v>101300</v>
      </c>
      <c r="H4235" s="13" t="s">
        <v>5691</v>
      </c>
      <c r="I4235" s="40" t="s">
        <v>18</v>
      </c>
      <c r="J4235" s="40" t="str">
        <f>HYPERLINK("https://stock.pstatic.net/stock-research/company/57/20260327_company_657522000.pdf","PDF")</f>
        <v>PDF</v>
      </c>
      <c r="K4235" s="12" t="s">
        <v>5692</v>
      </c>
      <c r="L4235" s="20">
        <v>0.43139190523198417</v>
      </c>
    </row>
    <row r="4236" spans="1:12" x14ac:dyDescent="0.45">
      <c r="A4236" s="12" t="s">
        <v>5680</v>
      </c>
      <c r="B4236" s="12" t="s">
        <v>330</v>
      </c>
      <c r="C4236" s="13" t="s">
        <v>331</v>
      </c>
      <c r="D4236" s="13" t="s">
        <v>15</v>
      </c>
      <c r="E4236" s="12" t="s">
        <v>385</v>
      </c>
      <c r="F4236" s="14">
        <v>38000</v>
      </c>
      <c r="G4236" s="14">
        <v>36800</v>
      </c>
      <c r="H4236" s="13" t="s">
        <v>5693</v>
      </c>
      <c r="I4236" s="40" t="s">
        <v>18</v>
      </c>
      <c r="J4236" s="40" t="str">
        <f>HYPERLINK("https://m.stock.naver.com/research/company/91097","PDF")</f>
        <v>PDF</v>
      </c>
      <c r="K4236" s="12" t="s">
        <v>5694</v>
      </c>
      <c r="L4236" s="20">
        <v>3.2608695652173912E-2</v>
      </c>
    </row>
    <row r="4237" spans="1:12" x14ac:dyDescent="0.45">
      <c r="A4237" s="12" t="s">
        <v>5680</v>
      </c>
      <c r="B4237" s="12" t="s">
        <v>4041</v>
      </c>
      <c r="C4237" s="13" t="s">
        <v>4042</v>
      </c>
      <c r="D4237" s="13" t="s">
        <v>23</v>
      </c>
      <c r="E4237" s="12" t="s">
        <v>50</v>
      </c>
      <c r="F4237" s="13"/>
      <c r="G4237" s="14">
        <v>17300</v>
      </c>
      <c r="H4237" s="13" t="s">
        <v>5695</v>
      </c>
      <c r="I4237" s="40" t="s">
        <v>18</v>
      </c>
      <c r="J4237" s="40" t="str">
        <f>HYPERLINK("https://m.stock.naver.com/research/company/91096","PDF")</f>
        <v>PDF</v>
      </c>
      <c r="K4237" s="12" t="s">
        <v>5696</v>
      </c>
    </row>
    <row r="4238" spans="1:12" x14ac:dyDescent="0.45">
      <c r="A4238" s="12" t="s">
        <v>5680</v>
      </c>
      <c r="B4238" s="12" t="s">
        <v>268</v>
      </c>
      <c r="C4238" s="13" t="s">
        <v>269</v>
      </c>
      <c r="D4238" s="13" t="s">
        <v>23</v>
      </c>
      <c r="E4238" s="12" t="s">
        <v>16</v>
      </c>
      <c r="F4238" s="14">
        <v>570000</v>
      </c>
      <c r="G4238" s="14">
        <v>381000</v>
      </c>
      <c r="H4238" s="13" t="s">
        <v>5697</v>
      </c>
      <c r="I4238" s="40" t="s">
        <v>18</v>
      </c>
      <c r="J4238" s="40" t="str">
        <f>HYPERLINK("https://stock.pstatic.net/stock-research/company/21/20260327_company_201513000.pdf","PDF")</f>
        <v>PDF</v>
      </c>
      <c r="K4238" s="12" t="s">
        <v>5698</v>
      </c>
      <c r="L4238" s="20">
        <v>0.49606299212598431</v>
      </c>
    </row>
    <row r="4239" spans="1:12" x14ac:dyDescent="0.45">
      <c r="A4239" s="12" t="s">
        <v>5680</v>
      </c>
      <c r="B4239" s="12" t="s">
        <v>5699</v>
      </c>
      <c r="C4239" s="13" t="s">
        <v>5700</v>
      </c>
      <c r="D4239" s="13" t="s">
        <v>23</v>
      </c>
      <c r="E4239" s="12" t="s">
        <v>50</v>
      </c>
      <c r="F4239" s="13"/>
      <c r="G4239" s="14">
        <v>28550</v>
      </c>
      <c r="H4239" s="13" t="s">
        <v>5701</v>
      </c>
      <c r="I4239" s="40" t="s">
        <v>18</v>
      </c>
      <c r="J4239" s="40" t="str">
        <f>HYPERLINK("https://m.stock.naver.com/research/company/91094","PDF")</f>
        <v>PDF</v>
      </c>
      <c r="K4239" s="12" t="s">
        <v>5702</v>
      </c>
    </row>
    <row r="4240" spans="1:12" x14ac:dyDescent="0.45">
      <c r="A4240" s="12" t="s">
        <v>5680</v>
      </c>
      <c r="B4240" s="12" t="s">
        <v>2933</v>
      </c>
      <c r="C4240" s="13" t="s">
        <v>2934</v>
      </c>
      <c r="D4240" s="13" t="s">
        <v>179</v>
      </c>
      <c r="E4240" s="12" t="s">
        <v>16</v>
      </c>
      <c r="F4240" s="14">
        <v>220000</v>
      </c>
      <c r="G4240" s="14">
        <v>168600</v>
      </c>
      <c r="H4240" s="13" t="s">
        <v>5703</v>
      </c>
      <c r="I4240" s="40" t="s">
        <v>18</v>
      </c>
      <c r="J4240" s="40" t="str">
        <f>HYPERLINK("https://m.stock.naver.com/research/company/91093","PDF")</f>
        <v>PDF</v>
      </c>
      <c r="K4240" s="12" t="s">
        <v>5704</v>
      </c>
      <c r="L4240" s="20">
        <v>0.30486358244365358</v>
      </c>
    </row>
    <row r="4241" spans="1:12" x14ac:dyDescent="0.45">
      <c r="A4241" s="12" t="s">
        <v>5680</v>
      </c>
      <c r="B4241" s="12" t="s">
        <v>5705</v>
      </c>
      <c r="C4241" s="13" t="s">
        <v>5706</v>
      </c>
      <c r="D4241" s="13" t="s">
        <v>53</v>
      </c>
      <c r="E4241" s="12" t="s">
        <v>16</v>
      </c>
      <c r="F4241" s="14">
        <v>95000</v>
      </c>
      <c r="G4241" s="14">
        <v>73200</v>
      </c>
      <c r="H4241" s="13" t="s">
        <v>5707</v>
      </c>
      <c r="I4241" s="40" t="s">
        <v>18</v>
      </c>
      <c r="J4241" s="40" t="str">
        <f>HYPERLINK("https://stock.pstatic.net/stock-research/company/40/20260327_company_626139000.pdf","PDF")</f>
        <v>PDF</v>
      </c>
      <c r="K4241" s="12" t="s">
        <v>5708</v>
      </c>
      <c r="L4241" s="20">
        <v>0.29781420765027322</v>
      </c>
    </row>
    <row r="4242" spans="1:12" x14ac:dyDescent="0.45">
      <c r="A4242" s="12" t="s">
        <v>5680</v>
      </c>
      <c r="B4242" s="12" t="s">
        <v>330</v>
      </c>
      <c r="C4242" s="13" t="s">
        <v>331</v>
      </c>
      <c r="D4242" s="13" t="s">
        <v>23</v>
      </c>
      <c r="E4242" s="12" t="s">
        <v>16</v>
      </c>
      <c r="F4242" s="14">
        <v>44000</v>
      </c>
      <c r="G4242" s="14">
        <v>36800</v>
      </c>
      <c r="H4242" s="13" t="s">
        <v>5709</v>
      </c>
      <c r="I4242" s="40" t="s">
        <v>18</v>
      </c>
      <c r="J4242" s="40" t="str">
        <f>HYPERLINK("https://m.stock.naver.com/research/company/91091","PDF")</f>
        <v>PDF</v>
      </c>
      <c r="K4242" s="12" t="s">
        <v>5710</v>
      </c>
      <c r="L4242" s="20">
        <v>0.19565217391304349</v>
      </c>
    </row>
    <row r="4243" spans="1:12" x14ac:dyDescent="0.45">
      <c r="A4243" s="12" t="s">
        <v>5680</v>
      </c>
      <c r="B4243" s="12" t="s">
        <v>5711</v>
      </c>
      <c r="C4243" s="13" t="s">
        <v>5712</v>
      </c>
      <c r="D4243" s="13" t="s">
        <v>124</v>
      </c>
      <c r="E4243" s="12" t="s">
        <v>50</v>
      </c>
      <c r="F4243" s="13"/>
      <c r="G4243" s="13"/>
      <c r="H4243" s="13" t="s">
        <v>5713</v>
      </c>
      <c r="I4243" s="40" t="s">
        <v>18</v>
      </c>
      <c r="J4243" s="40" t="str">
        <f>HYPERLINK("https://m.stock.naver.com/research/company/91090","PDF")</f>
        <v>PDF</v>
      </c>
      <c r="K4243" s="12" t="s">
        <v>5714</v>
      </c>
    </row>
    <row r="4244" spans="1:12" x14ac:dyDescent="0.45">
      <c r="A4244" s="12" t="s">
        <v>5680</v>
      </c>
      <c r="B4244" s="12" t="s">
        <v>5715</v>
      </c>
      <c r="C4244" s="13" t="s">
        <v>5716</v>
      </c>
      <c r="D4244" s="13" t="s">
        <v>124</v>
      </c>
      <c r="E4244" s="12" t="s">
        <v>50</v>
      </c>
      <c r="F4244" s="13"/>
      <c r="G4244" s="13"/>
      <c r="H4244" s="13" t="s">
        <v>5717</v>
      </c>
      <c r="I4244" s="40" t="s">
        <v>18</v>
      </c>
      <c r="J4244" s="40" t="str">
        <f>HYPERLINK("https://m.stock.naver.com/research/company/91089","PDF")</f>
        <v>PDF</v>
      </c>
      <c r="K4244" s="12" t="s">
        <v>5718</v>
      </c>
    </row>
    <row r="4245" spans="1:12" x14ac:dyDescent="0.45">
      <c r="A4245" s="12" t="s">
        <v>5680</v>
      </c>
      <c r="B4245" s="12" t="s">
        <v>3150</v>
      </c>
      <c r="C4245" s="13" t="s">
        <v>3151</v>
      </c>
      <c r="D4245" s="13" t="s">
        <v>15</v>
      </c>
      <c r="E4245" s="12" t="s">
        <v>50</v>
      </c>
      <c r="F4245" s="13"/>
      <c r="G4245" s="14">
        <v>172300</v>
      </c>
      <c r="H4245" s="13" t="s">
        <v>5719</v>
      </c>
      <c r="I4245" s="40" t="s">
        <v>18</v>
      </c>
      <c r="J4245" s="40" t="str">
        <f>HYPERLINK("https://m.stock.naver.com/research/company/91088","PDF")</f>
        <v>PDF</v>
      </c>
      <c r="K4245" s="12" t="s">
        <v>5720</v>
      </c>
    </row>
    <row r="4246" spans="1:12" x14ac:dyDescent="0.45">
      <c r="A4246" s="12" t="s">
        <v>5680</v>
      </c>
      <c r="B4246" s="12" t="s">
        <v>3164</v>
      </c>
      <c r="C4246" s="13" t="s">
        <v>3165</v>
      </c>
      <c r="D4246" s="13" t="s">
        <v>15</v>
      </c>
      <c r="E4246" s="12" t="s">
        <v>16</v>
      </c>
      <c r="F4246" s="14">
        <v>195000</v>
      </c>
      <c r="G4246" s="14">
        <v>157900</v>
      </c>
      <c r="H4246" s="13" t="s">
        <v>5721</v>
      </c>
      <c r="I4246" s="40" t="s">
        <v>18</v>
      </c>
      <c r="J4246" s="40" t="str">
        <f>HYPERLINK("https://m.stock.naver.com/research/company/91087","PDF")</f>
        <v>PDF</v>
      </c>
      <c r="K4246" s="12" t="s">
        <v>5722</v>
      </c>
      <c r="L4246" s="20">
        <v>0.23495883470550979</v>
      </c>
    </row>
    <row r="4247" spans="1:12" x14ac:dyDescent="0.45">
      <c r="A4247" s="12" t="s">
        <v>5680</v>
      </c>
      <c r="B4247" s="12" t="s">
        <v>2982</v>
      </c>
      <c r="C4247" s="13" t="s">
        <v>2983</v>
      </c>
      <c r="D4247" s="13" t="s">
        <v>15</v>
      </c>
      <c r="E4247" s="12" t="s">
        <v>16</v>
      </c>
      <c r="F4247" s="14">
        <v>102000</v>
      </c>
      <c r="G4247" s="14">
        <v>69300</v>
      </c>
      <c r="H4247" s="13" t="s">
        <v>5723</v>
      </c>
      <c r="I4247" s="40" t="s">
        <v>18</v>
      </c>
      <c r="J4247" s="40" t="str">
        <f>HYPERLINK("https://m.stock.naver.com/research/company/91086","PDF")</f>
        <v>PDF</v>
      </c>
      <c r="K4247" s="12" t="s">
        <v>5724</v>
      </c>
      <c r="L4247" s="20">
        <v>0.47186147186147193</v>
      </c>
    </row>
    <row r="4248" spans="1:12" x14ac:dyDescent="0.45">
      <c r="A4248" s="12" t="s">
        <v>5680</v>
      </c>
      <c r="B4248" s="12" t="s">
        <v>5725</v>
      </c>
      <c r="C4248" s="13" t="s">
        <v>5726</v>
      </c>
      <c r="D4248" s="13" t="s">
        <v>207</v>
      </c>
      <c r="E4248" s="12" t="s">
        <v>50</v>
      </c>
      <c r="F4248" s="13"/>
      <c r="G4248" s="13"/>
      <c r="H4248" s="13" t="s">
        <v>5727</v>
      </c>
      <c r="I4248" s="40" t="s">
        <v>18</v>
      </c>
      <c r="J4248" s="40" t="str">
        <f>HYPERLINK("https://stock.pstatic.net/stock-research/company/75/20260327_company_186736000.pdf","PDF")</f>
        <v>PDF</v>
      </c>
      <c r="K4248" s="12" t="s">
        <v>5728</v>
      </c>
    </row>
    <row r="4249" spans="1:12" x14ac:dyDescent="0.45">
      <c r="A4249" s="12" t="s">
        <v>5680</v>
      </c>
      <c r="B4249" s="12" t="s">
        <v>5729</v>
      </c>
      <c r="C4249" s="13" t="s">
        <v>5730</v>
      </c>
      <c r="D4249" s="13" t="s">
        <v>207</v>
      </c>
      <c r="E4249" s="12" t="s">
        <v>50</v>
      </c>
      <c r="F4249" s="13"/>
      <c r="G4249" s="13"/>
      <c r="H4249" s="13" t="s">
        <v>5731</v>
      </c>
      <c r="I4249" s="40" t="s">
        <v>18</v>
      </c>
      <c r="J4249" s="40" t="str">
        <f>HYPERLINK("https://stock.pstatic.net/stock-research/company/75/20260327_company_36936000.pdf","PDF")</f>
        <v>PDF</v>
      </c>
      <c r="K4249" s="12" t="s">
        <v>5732</v>
      </c>
    </row>
    <row r="4250" spans="1:12" x14ac:dyDescent="0.45">
      <c r="A4250" s="12" t="s">
        <v>5680</v>
      </c>
      <c r="B4250" s="12" t="s">
        <v>5733</v>
      </c>
      <c r="C4250" s="13" t="s">
        <v>5734</v>
      </c>
      <c r="D4250" s="13" t="s">
        <v>207</v>
      </c>
      <c r="E4250" s="12" t="s">
        <v>50</v>
      </c>
      <c r="F4250" s="13"/>
      <c r="G4250" s="13"/>
      <c r="H4250" s="13" t="s">
        <v>5735</v>
      </c>
      <c r="I4250" s="40" t="s">
        <v>18</v>
      </c>
      <c r="J4250" s="40" t="str">
        <f>HYPERLINK("https://stock.pstatic.net/stock-research/company/75/20260327_company_359744000.pdf","PDF")</f>
        <v>PDF</v>
      </c>
      <c r="K4250" s="12" t="s">
        <v>5736</v>
      </c>
    </row>
    <row r="4251" spans="1:12" x14ac:dyDescent="0.45">
      <c r="A4251" s="12" t="s">
        <v>5737</v>
      </c>
      <c r="B4251" s="12" t="s">
        <v>268</v>
      </c>
      <c r="C4251" s="13" t="s">
        <v>269</v>
      </c>
      <c r="D4251" s="13" t="s">
        <v>65</v>
      </c>
      <c r="E4251" s="12" t="s">
        <v>35</v>
      </c>
      <c r="F4251" s="14">
        <v>580000</v>
      </c>
      <c r="G4251" s="14">
        <v>358500</v>
      </c>
      <c r="H4251" s="13" t="s">
        <v>5738</v>
      </c>
      <c r="I4251" s="40" t="s">
        <v>18</v>
      </c>
      <c r="J4251" s="40" t="str">
        <f>HYPERLINK("https://stock.pstatic.net/stock-research/company/57/20260326_company_602790000.pdf","PDF")</f>
        <v>PDF</v>
      </c>
      <c r="K4251" s="12" t="s">
        <v>5739</v>
      </c>
      <c r="L4251" s="20">
        <v>0.61785216178521618</v>
      </c>
    </row>
    <row r="4252" spans="1:12" x14ac:dyDescent="0.45">
      <c r="A4252" s="12" t="s">
        <v>5737</v>
      </c>
      <c r="B4252" s="12" t="s">
        <v>872</v>
      </c>
      <c r="C4252" s="13" t="s">
        <v>873</v>
      </c>
      <c r="D4252" s="13" t="s">
        <v>65</v>
      </c>
      <c r="E4252" s="12" t="s">
        <v>35</v>
      </c>
      <c r="F4252" s="14">
        <v>60000</v>
      </c>
      <c r="G4252" s="14">
        <v>41600</v>
      </c>
      <c r="H4252" s="13" t="s">
        <v>5740</v>
      </c>
      <c r="I4252" s="40" t="s">
        <v>18</v>
      </c>
      <c r="J4252" s="40" t="str">
        <f>HYPERLINK("https://stock.pstatic.net/stock-research/company/57/20260326_company_166786000.pdf","PDF")</f>
        <v>PDF</v>
      </c>
      <c r="K4252" s="12" t="s">
        <v>5741</v>
      </c>
      <c r="L4252" s="20">
        <v>0.44230769230769229</v>
      </c>
    </row>
    <row r="4253" spans="1:12" x14ac:dyDescent="0.45">
      <c r="A4253" s="12" t="s">
        <v>5737</v>
      </c>
      <c r="B4253" s="12" t="s">
        <v>2758</v>
      </c>
      <c r="C4253" s="13" t="s">
        <v>2759</v>
      </c>
      <c r="D4253" s="13" t="s">
        <v>57</v>
      </c>
      <c r="E4253" s="12" t="s">
        <v>35</v>
      </c>
      <c r="F4253" s="14">
        <v>490000</v>
      </c>
      <c r="G4253" s="14">
        <v>342000</v>
      </c>
      <c r="H4253" s="13" t="s">
        <v>5742</v>
      </c>
      <c r="I4253" s="40" t="s">
        <v>18</v>
      </c>
      <c r="J4253" s="40" t="str">
        <f>HYPERLINK("https://stock.pstatic.net/stock-research/company/16/20260326_company_189592000.pdf","PDF")</f>
        <v>PDF</v>
      </c>
      <c r="K4253" s="12" t="s">
        <v>5743</v>
      </c>
      <c r="L4253" s="20">
        <v>0.43274853801169588</v>
      </c>
    </row>
    <row r="4254" spans="1:12" x14ac:dyDescent="0.45">
      <c r="A4254" s="12" t="s">
        <v>5737</v>
      </c>
      <c r="B4254" s="12" t="s">
        <v>291</v>
      </c>
      <c r="C4254" s="13" t="s">
        <v>292</v>
      </c>
      <c r="D4254" s="13" t="s">
        <v>158</v>
      </c>
      <c r="E4254" s="12" t="s">
        <v>50</v>
      </c>
      <c r="F4254" s="13"/>
      <c r="G4254" s="14">
        <v>34400</v>
      </c>
      <c r="H4254" s="13" t="s">
        <v>5744</v>
      </c>
      <c r="I4254" s="40" t="s">
        <v>18</v>
      </c>
      <c r="J4254" s="40" t="str">
        <f>HYPERLINK("https://stock.pstatic.net/stock-research/company/18/20260326_company_154468000.pdf","PDF")</f>
        <v>PDF</v>
      </c>
      <c r="K4254" s="12" t="s">
        <v>5745</v>
      </c>
    </row>
    <row r="4255" spans="1:12" x14ac:dyDescent="0.45">
      <c r="A4255" s="12" t="s">
        <v>5737</v>
      </c>
      <c r="B4255" s="12" t="s">
        <v>1065</v>
      </c>
      <c r="C4255" s="13" t="s">
        <v>1066</v>
      </c>
      <c r="D4255" s="13" t="s">
        <v>23</v>
      </c>
      <c r="E4255" s="12" t="s">
        <v>16</v>
      </c>
      <c r="F4255" s="14">
        <v>320000</v>
      </c>
      <c r="G4255" s="14">
        <v>240000</v>
      </c>
      <c r="H4255" s="13" t="s">
        <v>5746</v>
      </c>
      <c r="I4255" s="40" t="s">
        <v>18</v>
      </c>
      <c r="J4255" s="40" t="str">
        <f>HYPERLINK("https://stock.pstatic.net/stock-research/company/21/20260326_company_756966000.pdf","PDF")</f>
        <v>PDF</v>
      </c>
      <c r="K4255" s="12" t="s">
        <v>5747</v>
      </c>
      <c r="L4255" s="20">
        <v>0.33333333333333331</v>
      </c>
    </row>
    <row r="4256" spans="1:12" x14ac:dyDescent="0.45">
      <c r="A4256" s="12" t="s">
        <v>5737</v>
      </c>
      <c r="B4256" s="12" t="s">
        <v>3887</v>
      </c>
      <c r="C4256" s="13" t="s">
        <v>3888</v>
      </c>
      <c r="D4256" s="13" t="s">
        <v>179</v>
      </c>
      <c r="E4256" s="12" t="s">
        <v>16</v>
      </c>
      <c r="F4256" s="14">
        <v>86000</v>
      </c>
      <c r="G4256" s="14">
        <v>62000</v>
      </c>
      <c r="H4256" s="13" t="s">
        <v>5748</v>
      </c>
      <c r="I4256" s="40" t="s">
        <v>18</v>
      </c>
      <c r="J4256" s="40" t="str">
        <f>HYPERLINK("https://stock.pstatic.net/stock-research/company/64/20260326_company_352456000.pdf","PDF")</f>
        <v>PDF</v>
      </c>
      <c r="K4256" s="12" t="s">
        <v>5749</v>
      </c>
      <c r="L4256" s="20">
        <v>0.38709677419354838</v>
      </c>
    </row>
    <row r="4257" spans="1:12" x14ac:dyDescent="0.45">
      <c r="A4257" s="12" t="s">
        <v>5737</v>
      </c>
      <c r="B4257" s="12" t="s">
        <v>1124</v>
      </c>
      <c r="C4257" s="13" t="s">
        <v>1125</v>
      </c>
      <c r="D4257" s="13" t="s">
        <v>34</v>
      </c>
      <c r="E4257" s="12" t="s">
        <v>35</v>
      </c>
      <c r="F4257" s="14">
        <v>350000</v>
      </c>
      <c r="G4257" s="14">
        <v>282500</v>
      </c>
      <c r="H4257" s="13" t="s">
        <v>5750</v>
      </c>
      <c r="I4257" s="40" t="s">
        <v>18</v>
      </c>
      <c r="J4257" s="40" t="str">
        <f>HYPERLINK("https://stock.pstatic.net/stock-research/company/61/20260326_company_736863000.pdf","PDF")</f>
        <v>PDF</v>
      </c>
      <c r="K4257" s="12" t="s">
        <v>5751</v>
      </c>
      <c r="L4257" s="20">
        <v>0.23893805309734509</v>
      </c>
    </row>
    <row r="4258" spans="1:12" x14ac:dyDescent="0.45">
      <c r="A4258" s="12" t="s">
        <v>5737</v>
      </c>
      <c r="B4258" s="12" t="s">
        <v>5752</v>
      </c>
      <c r="C4258" s="13" t="s">
        <v>5753</v>
      </c>
      <c r="D4258" s="13" t="s">
        <v>23</v>
      </c>
      <c r="E4258" s="12" t="s">
        <v>50</v>
      </c>
      <c r="F4258" s="13"/>
      <c r="G4258" s="14">
        <v>16990</v>
      </c>
      <c r="H4258" s="13" t="s">
        <v>5754</v>
      </c>
      <c r="I4258" s="40" t="s">
        <v>18</v>
      </c>
      <c r="J4258" s="40" t="str">
        <f>HYPERLINK("https://stock.pstatic.net/stock-research/company/21/20260326_company_901856000.pdf","PDF")</f>
        <v>PDF</v>
      </c>
      <c r="K4258" s="12" t="s">
        <v>5755</v>
      </c>
    </row>
    <row r="4259" spans="1:12" x14ac:dyDescent="0.45">
      <c r="A4259" s="12" t="s">
        <v>5737</v>
      </c>
      <c r="B4259" s="12" t="s">
        <v>836</v>
      </c>
      <c r="C4259" s="13" t="s">
        <v>837</v>
      </c>
      <c r="D4259" s="13" t="s">
        <v>179</v>
      </c>
      <c r="E4259" s="12" t="s">
        <v>16</v>
      </c>
      <c r="F4259" s="14">
        <v>740000</v>
      </c>
      <c r="G4259" s="14">
        <v>605000</v>
      </c>
      <c r="H4259" s="13" t="s">
        <v>5756</v>
      </c>
      <c r="I4259" s="40" t="s">
        <v>18</v>
      </c>
      <c r="J4259" s="40" t="str">
        <f>HYPERLINK("https://stock.pstatic.net/stock-research/company/64/20260326_company_212554000.pdf","PDF")</f>
        <v>PDF</v>
      </c>
      <c r="K4259" s="12" t="s">
        <v>5757</v>
      </c>
      <c r="L4259" s="20">
        <v>0.2231404958677686</v>
      </c>
    </row>
    <row r="4260" spans="1:12" x14ac:dyDescent="0.45">
      <c r="A4260" s="12" t="s">
        <v>5737</v>
      </c>
      <c r="B4260" s="12" t="s">
        <v>5758</v>
      </c>
      <c r="C4260" s="13" t="s">
        <v>5759</v>
      </c>
      <c r="D4260" s="13" t="s">
        <v>44</v>
      </c>
      <c r="E4260" s="12" t="s">
        <v>50</v>
      </c>
      <c r="F4260" s="13"/>
      <c r="G4260" s="14">
        <v>2065</v>
      </c>
      <c r="H4260" s="13" t="s">
        <v>5760</v>
      </c>
      <c r="I4260" s="40" t="s">
        <v>18</v>
      </c>
      <c r="J4260" s="40" t="str">
        <f>HYPERLINK("https://stock.pstatic.net/stock-research/company/39/20260326_company_825038000.pdf","PDF")</f>
        <v>PDF</v>
      </c>
      <c r="K4260" s="12" t="s">
        <v>5761</v>
      </c>
    </row>
    <row r="4261" spans="1:12" x14ac:dyDescent="0.45">
      <c r="A4261" s="12" t="s">
        <v>5737</v>
      </c>
      <c r="B4261" s="12" t="s">
        <v>593</v>
      </c>
      <c r="C4261" s="13" t="s">
        <v>594</v>
      </c>
      <c r="D4261" s="13" t="s">
        <v>124</v>
      </c>
      <c r="E4261" s="12" t="s">
        <v>50</v>
      </c>
      <c r="F4261" s="13"/>
      <c r="G4261" s="13"/>
      <c r="H4261" s="13" t="s">
        <v>5762</v>
      </c>
      <c r="I4261" s="40" t="s">
        <v>18</v>
      </c>
      <c r="J4261" s="40" t="str">
        <f>HYPERLINK("https://stock.pstatic.net/stock-research/company/74/20260326_company_808220000.pdf","PDF")</f>
        <v>PDF</v>
      </c>
      <c r="K4261" s="12" t="s">
        <v>5763</v>
      </c>
    </row>
    <row r="4262" spans="1:12" x14ac:dyDescent="0.45">
      <c r="A4262" s="12" t="s">
        <v>5737</v>
      </c>
      <c r="B4262" s="12" t="s">
        <v>1184</v>
      </c>
      <c r="C4262" s="13" t="s">
        <v>1185</v>
      </c>
      <c r="D4262" s="13" t="s">
        <v>53</v>
      </c>
      <c r="E4262" s="12" t="s">
        <v>16</v>
      </c>
      <c r="F4262" s="14">
        <v>27000</v>
      </c>
      <c r="G4262" s="14">
        <v>20600</v>
      </c>
      <c r="H4262" s="13" t="s">
        <v>5764</v>
      </c>
      <c r="I4262" s="40" t="s">
        <v>18</v>
      </c>
      <c r="J4262" s="40" t="str">
        <f>HYPERLINK("https://stock.pstatic.net/stock-research/company/40/20260326_company_587357000.pdf","PDF")</f>
        <v>PDF</v>
      </c>
      <c r="K4262" s="12" t="s">
        <v>5765</v>
      </c>
      <c r="L4262" s="20">
        <v>0.31067961165048541</v>
      </c>
    </row>
    <row r="4263" spans="1:12" x14ac:dyDescent="0.45">
      <c r="A4263" s="12" t="s">
        <v>5766</v>
      </c>
      <c r="B4263" s="12" t="s">
        <v>5767</v>
      </c>
      <c r="C4263" s="13" t="s">
        <v>5768</v>
      </c>
      <c r="D4263" s="13" t="s">
        <v>83</v>
      </c>
      <c r="E4263" s="12" t="s">
        <v>35</v>
      </c>
      <c r="F4263" s="14">
        <v>49000</v>
      </c>
      <c r="G4263" s="14">
        <v>33650</v>
      </c>
      <c r="H4263" s="13" t="s">
        <v>5769</v>
      </c>
      <c r="I4263" s="40" t="s">
        <v>18</v>
      </c>
      <c r="J4263" s="40" t="str">
        <f>HYPERLINK("https://stock.pstatic.net/stock-research/company/15/20260325_company_599749000.pdf","PDF")</f>
        <v>PDF</v>
      </c>
      <c r="K4263" s="12" t="s">
        <v>5770</v>
      </c>
      <c r="L4263" s="20">
        <v>0.45616641901931648</v>
      </c>
    </row>
    <row r="4264" spans="1:12" x14ac:dyDescent="0.45">
      <c r="A4264" s="12" t="s">
        <v>5766</v>
      </c>
      <c r="B4264" s="12" t="s">
        <v>537</v>
      </c>
      <c r="C4264" s="13" t="s">
        <v>538</v>
      </c>
      <c r="D4264" s="13" t="s">
        <v>83</v>
      </c>
      <c r="E4264" s="12" t="s">
        <v>35</v>
      </c>
      <c r="F4264" s="14">
        <v>20000</v>
      </c>
      <c r="G4264" s="14">
        <v>15270</v>
      </c>
      <c r="H4264" s="13" t="s">
        <v>5771</v>
      </c>
      <c r="I4264" s="40" t="s">
        <v>18</v>
      </c>
      <c r="J4264" s="40" t="str">
        <f>HYPERLINK("https://stock.pstatic.net/stock-research/company/15/20260325_company_594596000.pdf","PDF")</f>
        <v>PDF</v>
      </c>
      <c r="K4264" s="12" t="s">
        <v>5772</v>
      </c>
      <c r="L4264" s="20">
        <v>0.3097576948264571</v>
      </c>
    </row>
    <row r="4265" spans="1:12" x14ac:dyDescent="0.45">
      <c r="A4265" s="12" t="s">
        <v>5766</v>
      </c>
      <c r="B4265" s="12" t="s">
        <v>533</v>
      </c>
      <c r="C4265" s="13" t="s">
        <v>534</v>
      </c>
      <c r="D4265" s="13" t="s">
        <v>83</v>
      </c>
      <c r="E4265" s="12" t="s">
        <v>35</v>
      </c>
      <c r="F4265" s="14">
        <v>74000</v>
      </c>
      <c r="G4265" s="14">
        <v>59300</v>
      </c>
      <c r="H4265" s="13" t="s">
        <v>5773</v>
      </c>
      <c r="I4265" s="40" t="s">
        <v>18</v>
      </c>
      <c r="J4265" s="40" t="str">
        <f>HYPERLINK("https://stock.pstatic.net/stock-research/company/15/20260325_company_266763000.pdf","PDF")</f>
        <v>PDF</v>
      </c>
      <c r="K4265" s="12" t="s">
        <v>5774</v>
      </c>
      <c r="L4265" s="20">
        <v>0.2478920741989882</v>
      </c>
    </row>
    <row r="4266" spans="1:12" x14ac:dyDescent="0.45">
      <c r="A4266" s="12" t="s">
        <v>5766</v>
      </c>
      <c r="B4266" s="12" t="s">
        <v>541</v>
      </c>
      <c r="C4266" s="13" t="s">
        <v>542</v>
      </c>
      <c r="D4266" s="13" t="s">
        <v>83</v>
      </c>
      <c r="E4266" s="12" t="s">
        <v>35</v>
      </c>
      <c r="F4266" s="14">
        <v>97000</v>
      </c>
      <c r="G4266" s="14">
        <v>76600</v>
      </c>
      <c r="H4266" s="13" t="s">
        <v>5775</v>
      </c>
      <c r="I4266" s="40" t="s">
        <v>18</v>
      </c>
      <c r="J4266" s="40" t="str">
        <f>HYPERLINK("https://stock.pstatic.net/stock-research/company/15/20260325_company_660568000.pdf","PDF")</f>
        <v>PDF</v>
      </c>
      <c r="K4266" s="12" t="s">
        <v>5776</v>
      </c>
      <c r="L4266" s="20">
        <v>0.26631853785900778</v>
      </c>
    </row>
    <row r="4267" spans="1:12" x14ac:dyDescent="0.45">
      <c r="A4267" s="12" t="s">
        <v>5766</v>
      </c>
      <c r="B4267" s="12" t="s">
        <v>32</v>
      </c>
      <c r="C4267" s="13" t="s">
        <v>33</v>
      </c>
      <c r="D4267" s="13" t="s">
        <v>83</v>
      </c>
      <c r="E4267" s="12" t="s">
        <v>35</v>
      </c>
      <c r="F4267" s="14">
        <v>550000</v>
      </c>
      <c r="G4267" s="14">
        <v>437000</v>
      </c>
      <c r="H4267" s="13" t="s">
        <v>5777</v>
      </c>
      <c r="I4267" s="40" t="s">
        <v>18</v>
      </c>
      <c r="J4267" s="40" t="str">
        <f>HYPERLINK("https://stock.pstatic.net/stock-research/company/15/20260325_company_64839000.pdf","PDF")</f>
        <v>PDF</v>
      </c>
      <c r="K4267" s="12" t="s">
        <v>5778</v>
      </c>
      <c r="L4267" s="20">
        <v>0.2585812356979405</v>
      </c>
    </row>
    <row r="4268" spans="1:12" x14ac:dyDescent="0.45">
      <c r="A4268" s="12" t="s">
        <v>5766</v>
      </c>
      <c r="B4268" s="12" t="s">
        <v>5779</v>
      </c>
      <c r="C4268" s="13" t="s">
        <v>5780</v>
      </c>
      <c r="D4268" s="13" t="s">
        <v>124</v>
      </c>
      <c r="E4268" s="12" t="s">
        <v>50</v>
      </c>
      <c r="F4268" s="13"/>
      <c r="G4268" s="13"/>
      <c r="H4268" s="13" t="s">
        <v>5781</v>
      </c>
      <c r="I4268" s="40" t="s">
        <v>18</v>
      </c>
      <c r="J4268" s="40" t="str">
        <f>HYPERLINK("https://stock.pstatic.net/stock-research/company/74/20260325_company_56899000.pdf","PDF")</f>
        <v>PDF</v>
      </c>
      <c r="K4268" s="12" t="s">
        <v>5782</v>
      </c>
    </row>
    <row r="4269" spans="1:12" x14ac:dyDescent="0.45">
      <c r="A4269" s="12" t="s">
        <v>5766</v>
      </c>
      <c r="B4269" s="12" t="s">
        <v>334</v>
      </c>
      <c r="C4269" s="13" t="s">
        <v>335</v>
      </c>
      <c r="D4269" s="13" t="s">
        <v>15</v>
      </c>
      <c r="E4269" s="12" t="s">
        <v>16</v>
      </c>
      <c r="F4269" s="14">
        <v>1540000</v>
      </c>
      <c r="G4269" s="14">
        <v>986000</v>
      </c>
      <c r="H4269" s="13" t="s">
        <v>5783</v>
      </c>
      <c r="I4269" s="40" t="s">
        <v>18</v>
      </c>
      <c r="J4269" s="40" t="str">
        <f>HYPERLINK("https://stock.pstatic.net/stock-research/company/56/20260325_company_893618000.pdf","PDF")</f>
        <v>PDF</v>
      </c>
      <c r="K4269" s="12" t="s">
        <v>5784</v>
      </c>
      <c r="L4269" s="20">
        <v>0.56186612576064909</v>
      </c>
    </row>
    <row r="4270" spans="1:12" x14ac:dyDescent="0.45">
      <c r="A4270" s="12" t="s">
        <v>5766</v>
      </c>
      <c r="B4270" s="12" t="s">
        <v>5658</v>
      </c>
      <c r="C4270" s="13" t="s">
        <v>5659</v>
      </c>
      <c r="D4270" s="13" t="s">
        <v>57</v>
      </c>
      <c r="E4270" s="12" t="s">
        <v>35</v>
      </c>
      <c r="F4270" s="14">
        <v>34000</v>
      </c>
      <c r="G4270" s="14">
        <v>26550</v>
      </c>
      <c r="H4270" s="13" t="s">
        <v>5785</v>
      </c>
      <c r="I4270" s="40" t="s">
        <v>18</v>
      </c>
      <c r="J4270" s="40" t="str">
        <f>HYPERLINK("https://stock.pstatic.net/stock-research/company/16/20260325_company_697140000.pdf","PDF")</f>
        <v>PDF</v>
      </c>
      <c r="K4270" s="12" t="s">
        <v>5786</v>
      </c>
      <c r="L4270" s="20">
        <v>0.28060263653483991</v>
      </c>
    </row>
    <row r="4271" spans="1:12" x14ac:dyDescent="0.45">
      <c r="A4271" s="12" t="s">
        <v>5766</v>
      </c>
      <c r="B4271" s="12" t="s">
        <v>5787</v>
      </c>
      <c r="C4271" s="13" t="s">
        <v>5788</v>
      </c>
      <c r="D4271" s="13" t="s">
        <v>276</v>
      </c>
      <c r="E4271" s="12" t="s">
        <v>16</v>
      </c>
      <c r="F4271" s="14">
        <v>17000</v>
      </c>
      <c r="G4271" s="14">
        <v>12490</v>
      </c>
      <c r="H4271" s="13" t="s">
        <v>5789</v>
      </c>
      <c r="I4271" s="40" t="s">
        <v>18</v>
      </c>
      <c r="J4271" s="40" t="str">
        <f>HYPERLINK("https://stock.pstatic.net/stock-research/company/66/20260325_company_402277000.pdf","PDF")</f>
        <v>PDF</v>
      </c>
      <c r="K4271" s="12" t="s">
        <v>5790</v>
      </c>
      <c r="L4271" s="20">
        <v>0.36108887109687748</v>
      </c>
    </row>
    <row r="4272" spans="1:12" x14ac:dyDescent="0.45">
      <c r="A4272" s="12" t="s">
        <v>5766</v>
      </c>
      <c r="B4272" s="12" t="s">
        <v>4656</v>
      </c>
      <c r="C4272" s="13" t="s">
        <v>4657</v>
      </c>
      <c r="D4272" s="13" t="s">
        <v>65</v>
      </c>
      <c r="E4272" s="12" t="s">
        <v>35</v>
      </c>
      <c r="F4272" s="14">
        <v>15000</v>
      </c>
      <c r="G4272" s="14">
        <v>9900</v>
      </c>
      <c r="H4272" s="13" t="s">
        <v>5791</v>
      </c>
      <c r="I4272" s="40" t="s">
        <v>18</v>
      </c>
      <c r="J4272" s="40" t="str">
        <f>HYPERLINK("https://stock.pstatic.net/stock-research/company/57/20260325_company_276859000.pdf","PDF")</f>
        <v>PDF</v>
      </c>
      <c r="K4272" s="12" t="s">
        <v>5792</v>
      </c>
      <c r="L4272" s="20">
        <v>0.51515151515151514</v>
      </c>
    </row>
    <row r="4273" spans="1:12" x14ac:dyDescent="0.45">
      <c r="A4273" s="12" t="s">
        <v>5766</v>
      </c>
      <c r="B4273" s="12" t="s">
        <v>32</v>
      </c>
      <c r="C4273" s="13" t="s">
        <v>33</v>
      </c>
      <c r="D4273" s="13" t="s">
        <v>65</v>
      </c>
      <c r="E4273" s="12" t="s">
        <v>35</v>
      </c>
      <c r="F4273" s="14">
        <v>550000</v>
      </c>
      <c r="G4273" s="14">
        <v>437000</v>
      </c>
      <c r="H4273" s="13" t="s">
        <v>5793</v>
      </c>
      <c r="I4273" s="40" t="s">
        <v>18</v>
      </c>
      <c r="J4273" s="40" t="str">
        <f>HYPERLINK("https://stock.pstatic.net/stock-research/company/57/20260325_company_593617000.pdf","PDF")</f>
        <v>PDF</v>
      </c>
      <c r="K4273" s="12" t="s">
        <v>5794</v>
      </c>
      <c r="L4273" s="20">
        <v>0.2585812356979405</v>
      </c>
    </row>
    <row r="4274" spans="1:12" x14ac:dyDescent="0.45">
      <c r="A4274" s="12" t="s">
        <v>5766</v>
      </c>
      <c r="B4274" s="12" t="s">
        <v>5767</v>
      </c>
      <c r="C4274" s="13" t="s">
        <v>5768</v>
      </c>
      <c r="D4274" s="13" t="s">
        <v>65</v>
      </c>
      <c r="E4274" s="12" t="s">
        <v>35</v>
      </c>
      <c r="F4274" s="14">
        <v>40000</v>
      </c>
      <c r="G4274" s="14">
        <v>33650</v>
      </c>
      <c r="H4274" s="13" t="s">
        <v>5795</v>
      </c>
      <c r="I4274" s="40" t="s">
        <v>18</v>
      </c>
      <c r="J4274" s="40" t="str">
        <f>HYPERLINK("https://stock.pstatic.net/stock-research/company/57/20260325_company_75643000.pdf","PDF")</f>
        <v>PDF</v>
      </c>
      <c r="K4274" s="12" t="s">
        <v>5796</v>
      </c>
      <c r="L4274" s="20">
        <v>0.18870728083209509</v>
      </c>
    </row>
    <row r="4275" spans="1:12" x14ac:dyDescent="0.45">
      <c r="A4275" s="12" t="s">
        <v>5766</v>
      </c>
      <c r="B4275" s="12" t="s">
        <v>1455</v>
      </c>
      <c r="C4275" s="13" t="s">
        <v>1456</v>
      </c>
      <c r="D4275" s="13" t="s">
        <v>65</v>
      </c>
      <c r="E4275" s="12" t="s">
        <v>50</v>
      </c>
      <c r="F4275" s="13"/>
      <c r="G4275" s="14">
        <v>2335</v>
      </c>
      <c r="H4275" s="13" t="s">
        <v>5797</v>
      </c>
      <c r="I4275" s="40" t="s">
        <v>18</v>
      </c>
      <c r="J4275" s="40" t="str">
        <f>HYPERLINK("https://stock.pstatic.net/stock-research/company/57/20260325_company_946047000.pdf","PDF")</f>
        <v>PDF</v>
      </c>
      <c r="K4275" s="12" t="s">
        <v>5798</v>
      </c>
    </row>
    <row r="4276" spans="1:12" x14ac:dyDescent="0.45">
      <c r="A4276" s="12" t="s">
        <v>5766</v>
      </c>
      <c r="B4276" s="12" t="s">
        <v>146</v>
      </c>
      <c r="C4276" s="13" t="s">
        <v>147</v>
      </c>
      <c r="D4276" s="13" t="s">
        <v>65</v>
      </c>
      <c r="E4276" s="12" t="s">
        <v>35</v>
      </c>
      <c r="F4276" s="14">
        <v>105000</v>
      </c>
      <c r="G4276" s="14">
        <v>79800</v>
      </c>
      <c r="H4276" s="13" t="s">
        <v>5799</v>
      </c>
      <c r="I4276" s="40" t="s">
        <v>18</v>
      </c>
      <c r="J4276" s="40" t="str">
        <f>HYPERLINK("https://stock.pstatic.net/stock-research/company/57/20260325_company_367307000.pdf","PDF")</f>
        <v>PDF</v>
      </c>
      <c r="K4276" s="12" t="s">
        <v>5800</v>
      </c>
      <c r="L4276" s="20">
        <v>0.31578947368421051</v>
      </c>
    </row>
    <row r="4277" spans="1:12" x14ac:dyDescent="0.45">
      <c r="A4277" s="12" t="s">
        <v>5766</v>
      </c>
      <c r="B4277" s="12" t="s">
        <v>410</v>
      </c>
      <c r="C4277" s="13" t="s">
        <v>411</v>
      </c>
      <c r="D4277" s="13" t="s">
        <v>158</v>
      </c>
      <c r="E4277" s="12" t="s">
        <v>50</v>
      </c>
      <c r="F4277" s="13"/>
      <c r="G4277" s="14">
        <v>11520</v>
      </c>
      <c r="H4277" s="13" t="s">
        <v>5801</v>
      </c>
      <c r="I4277" s="40" t="s">
        <v>18</v>
      </c>
      <c r="J4277" s="40" t="str">
        <f>HYPERLINK("https://stock.pstatic.net/stock-research/company/18/20260325_company_585524000.pdf","PDF")</f>
        <v>PDF</v>
      </c>
      <c r="K4277" s="12" t="s">
        <v>5802</v>
      </c>
    </row>
    <row r="4278" spans="1:12" x14ac:dyDescent="0.45">
      <c r="A4278" s="12" t="s">
        <v>5766</v>
      </c>
      <c r="B4278" s="12" t="s">
        <v>4095</v>
      </c>
      <c r="C4278" s="13" t="s">
        <v>4096</v>
      </c>
      <c r="D4278" s="13" t="s">
        <v>158</v>
      </c>
      <c r="E4278" s="12" t="s">
        <v>35</v>
      </c>
      <c r="F4278" s="14">
        <v>200000</v>
      </c>
      <c r="G4278" s="14">
        <v>135100</v>
      </c>
      <c r="H4278" s="13" t="s">
        <v>5803</v>
      </c>
      <c r="I4278" s="40" t="s">
        <v>18</v>
      </c>
      <c r="J4278" s="40" t="str">
        <f>HYPERLINK("https://stock.pstatic.net/stock-research/company/18/20260325_company_554831000.pdf","PDF")</f>
        <v>PDF</v>
      </c>
      <c r="K4278" s="12" t="s">
        <v>5804</v>
      </c>
      <c r="L4278" s="20">
        <v>0.48038490007401918</v>
      </c>
    </row>
    <row r="4279" spans="1:12" x14ac:dyDescent="0.45">
      <c r="A4279" s="12" t="s">
        <v>5766</v>
      </c>
      <c r="B4279" s="12" t="s">
        <v>5805</v>
      </c>
      <c r="C4279" s="13" t="s">
        <v>5806</v>
      </c>
      <c r="D4279" s="13" t="s">
        <v>179</v>
      </c>
      <c r="E4279" s="12" t="s">
        <v>16</v>
      </c>
      <c r="F4279" s="14">
        <v>18000</v>
      </c>
      <c r="G4279" s="14">
        <v>10190</v>
      </c>
      <c r="H4279" s="13" t="s">
        <v>5807</v>
      </c>
      <c r="I4279" s="40" t="s">
        <v>18</v>
      </c>
      <c r="J4279" s="40" t="str">
        <f>HYPERLINK("https://stock.pstatic.net/stock-research/company/64/20260325_company_226451000.pdf","PDF")</f>
        <v>PDF</v>
      </c>
      <c r="K4279" s="12" t="s">
        <v>5808</v>
      </c>
      <c r="L4279" s="20">
        <v>0.76643768400392542</v>
      </c>
    </row>
    <row r="4280" spans="1:12" x14ac:dyDescent="0.45">
      <c r="A4280" s="12" t="s">
        <v>5766</v>
      </c>
      <c r="B4280" s="12" t="s">
        <v>2365</v>
      </c>
      <c r="C4280" s="13" t="s">
        <v>2366</v>
      </c>
      <c r="D4280" s="13" t="s">
        <v>15</v>
      </c>
      <c r="E4280" s="12" t="s">
        <v>16</v>
      </c>
      <c r="F4280" s="14">
        <v>180000</v>
      </c>
      <c r="G4280" s="14">
        <v>125000</v>
      </c>
      <c r="H4280" s="13" t="s">
        <v>5809</v>
      </c>
      <c r="I4280" s="40" t="s">
        <v>18</v>
      </c>
      <c r="J4280" s="40" t="str">
        <f>HYPERLINK("https://stock.pstatic.net/stock-research/company/56/20260325_company_765526000.pdf","PDF")</f>
        <v>PDF</v>
      </c>
      <c r="K4280" s="12" t="s">
        <v>5810</v>
      </c>
      <c r="L4280" s="20">
        <v>0.44</v>
      </c>
    </row>
    <row r="4281" spans="1:12" x14ac:dyDescent="0.45">
      <c r="A4281" s="12" t="s">
        <v>5811</v>
      </c>
      <c r="B4281" s="12" t="s">
        <v>3024</v>
      </c>
      <c r="C4281" s="13" t="s">
        <v>3025</v>
      </c>
      <c r="D4281" s="13" t="s">
        <v>1271</v>
      </c>
      <c r="E4281" s="12" t="s">
        <v>35</v>
      </c>
      <c r="F4281" s="14">
        <v>88000</v>
      </c>
      <c r="G4281" s="14">
        <v>72000</v>
      </c>
      <c r="H4281" s="13" t="s">
        <v>5812</v>
      </c>
      <c r="I4281" s="40" t="s">
        <v>18</v>
      </c>
      <c r="J4281" s="40" t="str">
        <f>HYPERLINK("https://stock.pstatic.net/stock-research/company/78/20260324_company_859246000.pdf","PDF")</f>
        <v>PDF</v>
      </c>
      <c r="K4281" s="12" t="s">
        <v>5813</v>
      </c>
      <c r="L4281" s="20">
        <v>0.22222222222222221</v>
      </c>
    </row>
    <row r="4282" spans="1:12" x14ac:dyDescent="0.45">
      <c r="A4282" s="12" t="s">
        <v>5811</v>
      </c>
      <c r="B4282" s="12" t="s">
        <v>1682</v>
      </c>
      <c r="C4282" s="13" t="s">
        <v>4787</v>
      </c>
      <c r="D4282" s="13" t="s">
        <v>1271</v>
      </c>
      <c r="E4282" s="12" t="s">
        <v>35</v>
      </c>
      <c r="F4282" s="14">
        <v>280000</v>
      </c>
      <c r="G4282" s="14">
        <v>212000</v>
      </c>
      <c r="H4282" s="13" t="s">
        <v>5814</v>
      </c>
      <c r="I4282" s="40" t="s">
        <v>18</v>
      </c>
      <c r="J4282" s="40" t="str">
        <f>HYPERLINK("https://stock.pstatic.net/stock-research/company/78/20260324_company_581320000.pdf","PDF")</f>
        <v>PDF</v>
      </c>
      <c r="K4282" s="12" t="s">
        <v>5815</v>
      </c>
      <c r="L4282" s="20">
        <v>0.32075471698113212</v>
      </c>
    </row>
    <row r="4283" spans="1:12" x14ac:dyDescent="0.45">
      <c r="A4283" s="12" t="s">
        <v>5811</v>
      </c>
      <c r="B4283" s="12" t="s">
        <v>1286</v>
      </c>
      <c r="C4283" s="13" t="s">
        <v>1287</v>
      </c>
      <c r="D4283" s="13" t="s">
        <v>1271</v>
      </c>
      <c r="E4283" s="12" t="s">
        <v>35</v>
      </c>
      <c r="F4283" s="14">
        <v>87000</v>
      </c>
      <c r="G4283" s="14">
        <v>65300</v>
      </c>
      <c r="H4283" s="13" t="s">
        <v>5816</v>
      </c>
      <c r="I4283" s="40" t="s">
        <v>18</v>
      </c>
      <c r="J4283" s="40" t="str">
        <f>HYPERLINK("https://stock.pstatic.net/stock-research/company/78/20260324_company_553818000.pdf","PDF")</f>
        <v>PDF</v>
      </c>
      <c r="K4283" s="12" t="s">
        <v>5817</v>
      </c>
      <c r="L4283" s="20">
        <v>0.33231240428790199</v>
      </c>
    </row>
    <row r="4284" spans="1:12" x14ac:dyDescent="0.45">
      <c r="A4284" s="12" t="s">
        <v>5811</v>
      </c>
      <c r="B4284" s="12" t="s">
        <v>824</v>
      </c>
      <c r="C4284" s="13" t="s">
        <v>825</v>
      </c>
      <c r="D4284" s="13" t="s">
        <v>1271</v>
      </c>
      <c r="E4284" s="12" t="s">
        <v>35</v>
      </c>
      <c r="F4284" s="14">
        <v>54000</v>
      </c>
      <c r="G4284" s="14">
        <v>44450</v>
      </c>
      <c r="H4284" s="13" t="s">
        <v>5818</v>
      </c>
      <c r="I4284" s="40" t="s">
        <v>18</v>
      </c>
      <c r="J4284" s="40" t="str">
        <f>HYPERLINK("https://stock.pstatic.net/stock-research/company/78/20260324_company_70951000.pdf","PDF")</f>
        <v>PDF</v>
      </c>
      <c r="K4284" s="12" t="s">
        <v>5819</v>
      </c>
      <c r="L4284" s="20">
        <v>0.21484814398200219</v>
      </c>
    </row>
    <row r="4285" spans="1:12" x14ac:dyDescent="0.45">
      <c r="A4285" s="12" t="s">
        <v>5811</v>
      </c>
      <c r="B4285" s="12" t="s">
        <v>2950</v>
      </c>
      <c r="C4285" s="13" t="s">
        <v>2951</v>
      </c>
      <c r="D4285" s="13" t="s">
        <v>1271</v>
      </c>
      <c r="E4285" s="12" t="s">
        <v>35</v>
      </c>
      <c r="F4285" s="14">
        <v>120000</v>
      </c>
      <c r="G4285" s="14">
        <v>102500</v>
      </c>
      <c r="H4285" s="13" t="s">
        <v>5820</v>
      </c>
      <c r="I4285" s="40" t="s">
        <v>18</v>
      </c>
      <c r="J4285" s="40" t="str">
        <f>HYPERLINK("https://stock.pstatic.net/stock-research/company/78/20260324_company_241157000.pdf","PDF")</f>
        <v>PDF</v>
      </c>
      <c r="K4285" s="12" t="s">
        <v>5821</v>
      </c>
      <c r="L4285" s="20">
        <v>0.17073170731707321</v>
      </c>
    </row>
    <row r="4286" spans="1:12" x14ac:dyDescent="0.45">
      <c r="A4286" s="12" t="s">
        <v>5811</v>
      </c>
      <c r="B4286" s="12" t="s">
        <v>724</v>
      </c>
      <c r="C4286" s="13" t="s">
        <v>725</v>
      </c>
      <c r="D4286" s="13" t="s">
        <v>1271</v>
      </c>
      <c r="E4286" s="12" t="s">
        <v>35</v>
      </c>
      <c r="F4286" s="14">
        <v>70000</v>
      </c>
      <c r="G4286" s="14">
        <v>48700</v>
      </c>
      <c r="H4286" s="13" t="s">
        <v>5822</v>
      </c>
      <c r="I4286" s="40" t="s">
        <v>18</v>
      </c>
      <c r="J4286" s="40" t="str">
        <f>HYPERLINK("https://stock.pstatic.net/stock-research/company/78/20260324_company_316267000.pdf","PDF")</f>
        <v>PDF</v>
      </c>
      <c r="K4286" s="12" t="s">
        <v>5823</v>
      </c>
      <c r="L4286" s="20">
        <v>0.43737166324435323</v>
      </c>
    </row>
    <row r="4287" spans="1:12" x14ac:dyDescent="0.45">
      <c r="A4287" s="12" t="s">
        <v>5811</v>
      </c>
      <c r="B4287" s="12" t="s">
        <v>1799</v>
      </c>
      <c r="C4287" s="13" t="s">
        <v>1800</v>
      </c>
      <c r="D4287" s="13" t="s">
        <v>1271</v>
      </c>
      <c r="E4287" s="12" t="s">
        <v>35</v>
      </c>
      <c r="F4287" s="14">
        <v>8000</v>
      </c>
      <c r="G4287" s="14">
        <v>5600</v>
      </c>
      <c r="H4287" s="13" t="s">
        <v>5824</v>
      </c>
      <c r="I4287" s="40" t="s">
        <v>18</v>
      </c>
      <c r="J4287" s="40" t="str">
        <f>HYPERLINK("https://stock.pstatic.net/stock-research/company/78/20260324_company_292462000.pdf","PDF")</f>
        <v>PDF</v>
      </c>
      <c r="K4287" s="12" t="s">
        <v>5825</v>
      </c>
      <c r="L4287" s="20">
        <v>0.42857142857142849</v>
      </c>
    </row>
    <row r="4288" spans="1:12" x14ac:dyDescent="0.45">
      <c r="A4288" s="12" t="s">
        <v>5811</v>
      </c>
      <c r="B4288" s="12" t="s">
        <v>2089</v>
      </c>
      <c r="C4288" s="13" t="s">
        <v>2090</v>
      </c>
      <c r="D4288" s="13" t="s">
        <v>1271</v>
      </c>
      <c r="E4288" s="12" t="s">
        <v>35</v>
      </c>
      <c r="F4288" s="14">
        <v>140000</v>
      </c>
      <c r="G4288" s="14">
        <v>110000</v>
      </c>
      <c r="H4288" s="13" t="s">
        <v>5826</v>
      </c>
      <c r="I4288" s="40" t="s">
        <v>18</v>
      </c>
      <c r="J4288" s="40" t="str">
        <f>HYPERLINK("https://stock.pstatic.net/stock-research/company/78/20260324_company_268052000.pdf","PDF")</f>
        <v>PDF</v>
      </c>
      <c r="K4288" s="12" t="s">
        <v>5827</v>
      </c>
      <c r="L4288" s="20">
        <v>0.27272727272727271</v>
      </c>
    </row>
    <row r="4289" spans="1:12" x14ac:dyDescent="0.45">
      <c r="A4289" s="12" t="s">
        <v>5811</v>
      </c>
      <c r="B4289" s="12" t="s">
        <v>537</v>
      </c>
      <c r="C4289" s="13" t="s">
        <v>538</v>
      </c>
      <c r="D4289" s="13" t="s">
        <v>1271</v>
      </c>
      <c r="E4289" s="12" t="s">
        <v>35</v>
      </c>
      <c r="F4289" s="14">
        <v>19000</v>
      </c>
      <c r="G4289" s="14">
        <v>15260</v>
      </c>
      <c r="H4289" s="13" t="s">
        <v>5828</v>
      </c>
      <c r="I4289" s="40" t="s">
        <v>18</v>
      </c>
      <c r="J4289" s="40" t="str">
        <f>HYPERLINK("https://stock.pstatic.net/stock-research/company/78/20260324_company_769052000.pdf","PDF")</f>
        <v>PDF</v>
      </c>
      <c r="K4289" s="12" t="s">
        <v>5829</v>
      </c>
      <c r="L4289" s="20">
        <v>0.2450851900393185</v>
      </c>
    </row>
    <row r="4290" spans="1:12" x14ac:dyDescent="0.45">
      <c r="A4290" s="12" t="s">
        <v>5811</v>
      </c>
      <c r="B4290" s="12" t="s">
        <v>259</v>
      </c>
      <c r="C4290" s="13" t="s">
        <v>260</v>
      </c>
      <c r="D4290" s="13" t="s">
        <v>1271</v>
      </c>
      <c r="E4290" s="12" t="s">
        <v>35</v>
      </c>
      <c r="F4290" s="14">
        <v>94000</v>
      </c>
      <c r="G4290" s="14">
        <v>62600</v>
      </c>
      <c r="H4290" s="13" t="s">
        <v>5830</v>
      </c>
      <c r="I4290" s="40" t="s">
        <v>18</v>
      </c>
      <c r="J4290" s="40" t="str">
        <f>HYPERLINK("https://stock.pstatic.net/stock-research/company/78/20260324_company_122455000.pdf","PDF")</f>
        <v>PDF</v>
      </c>
      <c r="K4290" s="12" t="s">
        <v>5831</v>
      </c>
      <c r="L4290" s="20">
        <v>0.50159744408945683</v>
      </c>
    </row>
    <row r="4291" spans="1:12" x14ac:dyDescent="0.45">
      <c r="A4291" s="12" t="s">
        <v>5811</v>
      </c>
      <c r="B4291" s="12" t="s">
        <v>2819</v>
      </c>
      <c r="C4291" s="13" t="s">
        <v>2820</v>
      </c>
      <c r="D4291" s="13" t="s">
        <v>83</v>
      </c>
      <c r="E4291" s="12" t="s">
        <v>50</v>
      </c>
      <c r="F4291" s="13"/>
      <c r="G4291" s="14">
        <v>16520</v>
      </c>
      <c r="H4291" s="13" t="s">
        <v>5832</v>
      </c>
      <c r="I4291" s="40" t="s">
        <v>18</v>
      </c>
      <c r="J4291" s="40" t="str">
        <f>HYPERLINK("https://stock.pstatic.net/stock-research/company/15/20260324_company_996462000.pdf","PDF")</f>
        <v>PDF</v>
      </c>
      <c r="K4291" s="12" t="s">
        <v>5833</v>
      </c>
    </row>
    <row r="4292" spans="1:12" x14ac:dyDescent="0.45">
      <c r="A4292" s="12" t="s">
        <v>5811</v>
      </c>
      <c r="B4292" s="12" t="s">
        <v>5011</v>
      </c>
      <c r="C4292" s="13" t="s">
        <v>5012</v>
      </c>
      <c r="D4292" s="13" t="s">
        <v>83</v>
      </c>
      <c r="E4292" s="12" t="s">
        <v>50</v>
      </c>
      <c r="F4292" s="13"/>
      <c r="G4292" s="14">
        <v>193200</v>
      </c>
      <c r="H4292" s="13" t="s">
        <v>5834</v>
      </c>
      <c r="I4292" s="40" t="s">
        <v>18</v>
      </c>
      <c r="J4292" s="40" t="str">
        <f>HYPERLINK("https://stock.pstatic.net/stock-research/company/15/20260324_company_26363000.pdf","PDF")</f>
        <v>PDF</v>
      </c>
      <c r="K4292" s="12" t="s">
        <v>5835</v>
      </c>
    </row>
    <row r="4293" spans="1:12" x14ac:dyDescent="0.45">
      <c r="A4293" s="12" t="s">
        <v>5811</v>
      </c>
      <c r="B4293" s="12" t="s">
        <v>1407</v>
      </c>
      <c r="C4293" s="13" t="s">
        <v>1408</v>
      </c>
      <c r="D4293" s="13" t="s">
        <v>83</v>
      </c>
      <c r="E4293" s="12" t="s">
        <v>50</v>
      </c>
      <c r="F4293" s="13"/>
      <c r="G4293" s="14">
        <v>127400</v>
      </c>
      <c r="H4293" s="13" t="s">
        <v>5836</v>
      </c>
      <c r="I4293" s="40" t="s">
        <v>18</v>
      </c>
      <c r="J4293" s="40" t="str">
        <f>HYPERLINK("https://stock.pstatic.net/stock-research/company/15/20260324_company_159969000.pdf","PDF")</f>
        <v>PDF</v>
      </c>
      <c r="K4293" s="12" t="s">
        <v>5837</v>
      </c>
    </row>
    <row r="4294" spans="1:12" x14ac:dyDescent="0.45">
      <c r="A4294" s="12" t="s">
        <v>5811</v>
      </c>
      <c r="B4294" s="12" t="s">
        <v>2827</v>
      </c>
      <c r="C4294" s="13" t="s">
        <v>2828</v>
      </c>
      <c r="D4294" s="13" t="s">
        <v>83</v>
      </c>
      <c r="E4294" s="12" t="s">
        <v>50</v>
      </c>
      <c r="F4294" s="13"/>
      <c r="G4294" s="14">
        <v>44750</v>
      </c>
      <c r="H4294" s="13" t="s">
        <v>5838</v>
      </c>
      <c r="I4294" s="40" t="s">
        <v>18</v>
      </c>
      <c r="J4294" s="40" t="str">
        <f>HYPERLINK("https://stock.pstatic.net/stock-research/company/15/20260324_company_417187000.pdf","PDF")</f>
        <v>PDF</v>
      </c>
      <c r="K4294" s="12" t="s">
        <v>5839</v>
      </c>
    </row>
    <row r="4295" spans="1:12" x14ac:dyDescent="0.45">
      <c r="A4295" s="12" t="s">
        <v>5811</v>
      </c>
      <c r="B4295" s="12" t="s">
        <v>772</v>
      </c>
      <c r="C4295" s="13" t="s">
        <v>5840</v>
      </c>
      <c r="D4295" s="13" t="s">
        <v>83</v>
      </c>
      <c r="E4295" s="12" t="s">
        <v>50</v>
      </c>
      <c r="F4295" s="13"/>
      <c r="G4295" s="14">
        <v>42350</v>
      </c>
      <c r="H4295" s="13" t="s">
        <v>5841</v>
      </c>
      <c r="I4295" s="40" t="s">
        <v>18</v>
      </c>
      <c r="J4295" s="40" t="str">
        <f>HYPERLINK("https://stock.pstatic.net/stock-research/company/15/20260324_company_567605000.pdf","PDF")</f>
        <v>PDF</v>
      </c>
      <c r="K4295" s="12" t="s">
        <v>5842</v>
      </c>
    </row>
    <row r="4296" spans="1:12" x14ac:dyDescent="0.45">
      <c r="A4296" s="12" t="s">
        <v>5811</v>
      </c>
      <c r="B4296" s="12" t="s">
        <v>2811</v>
      </c>
      <c r="C4296" s="13" t="s">
        <v>2812</v>
      </c>
      <c r="D4296" s="13" t="s">
        <v>83</v>
      </c>
      <c r="E4296" s="12" t="s">
        <v>50</v>
      </c>
      <c r="F4296" s="13"/>
      <c r="G4296" s="14">
        <v>29600</v>
      </c>
      <c r="H4296" s="13" t="s">
        <v>5843</v>
      </c>
      <c r="I4296" s="40" t="s">
        <v>18</v>
      </c>
      <c r="J4296" s="40" t="str">
        <f>HYPERLINK("https://stock.pstatic.net/stock-research/company/15/20260324_company_675352000.pdf","PDF")</f>
        <v>PDF</v>
      </c>
      <c r="K4296" s="12" t="s">
        <v>5844</v>
      </c>
    </row>
    <row r="4297" spans="1:12" x14ac:dyDescent="0.45">
      <c r="A4297" s="12" t="s">
        <v>5811</v>
      </c>
      <c r="B4297" s="12" t="s">
        <v>2815</v>
      </c>
      <c r="C4297" s="13" t="s">
        <v>2816</v>
      </c>
      <c r="D4297" s="13" t="s">
        <v>83</v>
      </c>
      <c r="E4297" s="12" t="s">
        <v>50</v>
      </c>
      <c r="F4297" s="13"/>
      <c r="G4297" s="14">
        <v>17490</v>
      </c>
      <c r="H4297" s="13" t="s">
        <v>5845</v>
      </c>
      <c r="I4297" s="40" t="s">
        <v>18</v>
      </c>
      <c r="J4297" s="40" t="str">
        <f>HYPERLINK("https://stock.pstatic.net/stock-research/company/15/20260324_company_448964000.pdf","PDF")</f>
        <v>PDF</v>
      </c>
      <c r="K4297" s="12" t="s">
        <v>5846</v>
      </c>
    </row>
    <row r="4298" spans="1:12" x14ac:dyDescent="0.45">
      <c r="A4298" s="12" t="s">
        <v>5811</v>
      </c>
      <c r="B4298" s="12" t="s">
        <v>1781</v>
      </c>
      <c r="C4298" s="13" t="s">
        <v>1782</v>
      </c>
      <c r="D4298" s="13" t="s">
        <v>83</v>
      </c>
      <c r="E4298" s="12" t="s">
        <v>35</v>
      </c>
      <c r="F4298" s="14">
        <v>160000</v>
      </c>
      <c r="G4298" s="14">
        <v>109500</v>
      </c>
      <c r="H4298" s="13" t="s">
        <v>5847</v>
      </c>
      <c r="I4298" s="40" t="s">
        <v>18</v>
      </c>
      <c r="J4298" s="40" t="str">
        <f>HYPERLINK("https://stock.pstatic.net/stock-research/company/15/20260324_company_9135000.pdf","PDF")</f>
        <v>PDF</v>
      </c>
      <c r="K4298" s="12" t="s">
        <v>5848</v>
      </c>
      <c r="L4298" s="20">
        <v>0.46118721461187212</v>
      </c>
    </row>
    <row r="4299" spans="1:12" x14ac:dyDescent="0.45">
      <c r="A4299" s="12" t="s">
        <v>5811</v>
      </c>
      <c r="B4299" s="12" t="s">
        <v>3584</v>
      </c>
      <c r="C4299" s="13" t="s">
        <v>3585</v>
      </c>
      <c r="D4299" s="13" t="s">
        <v>57</v>
      </c>
      <c r="E4299" s="12" t="s">
        <v>35</v>
      </c>
      <c r="F4299" s="14">
        <v>25000</v>
      </c>
      <c r="G4299" s="14">
        <v>20350</v>
      </c>
      <c r="H4299" s="13" t="s">
        <v>5849</v>
      </c>
      <c r="I4299" s="40" t="s">
        <v>18</v>
      </c>
      <c r="J4299" s="40" t="str">
        <f>HYPERLINK("https://stock.pstatic.net/stock-research/company/16/20260324_company_635852000.pdf","PDF")</f>
        <v>PDF</v>
      </c>
      <c r="K4299" s="12" t="s">
        <v>5850</v>
      </c>
      <c r="L4299" s="20">
        <v>0.2285012285012285</v>
      </c>
    </row>
    <row r="4300" spans="1:12" x14ac:dyDescent="0.45">
      <c r="A4300" s="12" t="s">
        <v>5811</v>
      </c>
      <c r="B4300" s="12" t="s">
        <v>32</v>
      </c>
      <c r="C4300" s="13" t="s">
        <v>33</v>
      </c>
      <c r="D4300" s="13" t="s">
        <v>60</v>
      </c>
      <c r="E4300" s="12" t="s">
        <v>35</v>
      </c>
      <c r="F4300" s="14">
        <v>600000</v>
      </c>
      <c r="G4300" s="14">
        <v>427500</v>
      </c>
      <c r="H4300" s="13" t="s">
        <v>5851</v>
      </c>
      <c r="I4300" s="40" t="s">
        <v>18</v>
      </c>
      <c r="J4300" s="40" t="str">
        <f>HYPERLINK("https://stock.pstatic.net/stock-research/company/62/20260324_company_476928000.pdf","PDF")</f>
        <v>PDF</v>
      </c>
      <c r="K4300" s="12" t="s">
        <v>5852</v>
      </c>
      <c r="L4300" s="20">
        <v>0.40350877192982448</v>
      </c>
    </row>
    <row r="4301" spans="1:12" x14ac:dyDescent="0.45">
      <c r="A4301" s="12" t="s">
        <v>5811</v>
      </c>
      <c r="B4301" s="12" t="s">
        <v>3105</v>
      </c>
      <c r="C4301" s="13" t="s">
        <v>3106</v>
      </c>
      <c r="D4301" s="13" t="s">
        <v>65</v>
      </c>
      <c r="E4301" s="12" t="s">
        <v>35</v>
      </c>
      <c r="F4301" s="14">
        <v>440000</v>
      </c>
      <c r="G4301" s="14">
        <v>290500</v>
      </c>
      <c r="H4301" s="13" t="s">
        <v>5853</v>
      </c>
      <c r="I4301" s="40" t="s">
        <v>18</v>
      </c>
      <c r="J4301" s="40" t="str">
        <f>HYPERLINK("https://stock.pstatic.net/stock-research/company/57/20260324_company_785312000.pdf","PDF")</f>
        <v>PDF</v>
      </c>
      <c r="K4301" s="12" t="s">
        <v>5854</v>
      </c>
      <c r="L4301" s="20">
        <v>0.51462994836488818</v>
      </c>
    </row>
    <row r="4302" spans="1:12" x14ac:dyDescent="0.45">
      <c r="A4302" s="12" t="s">
        <v>5811</v>
      </c>
      <c r="B4302" s="12" t="s">
        <v>3887</v>
      </c>
      <c r="C4302" s="13" t="s">
        <v>3888</v>
      </c>
      <c r="D4302" s="13" t="s">
        <v>65</v>
      </c>
      <c r="E4302" s="12" t="s">
        <v>35</v>
      </c>
      <c r="F4302" s="14">
        <v>76000</v>
      </c>
      <c r="G4302" s="14">
        <v>57300</v>
      </c>
      <c r="H4302" s="13" t="s">
        <v>5855</v>
      </c>
      <c r="I4302" s="40" t="s">
        <v>18</v>
      </c>
      <c r="J4302" s="40" t="str">
        <f>HYPERLINK("https://stock.pstatic.net/stock-research/company/57/20260324_company_570952000.pdf","PDF")</f>
        <v>PDF</v>
      </c>
      <c r="K4302" s="12" t="s">
        <v>5856</v>
      </c>
      <c r="L4302" s="20">
        <v>0.32635253054101221</v>
      </c>
    </row>
    <row r="4303" spans="1:12" x14ac:dyDescent="0.45">
      <c r="A4303" s="12" t="s">
        <v>5811</v>
      </c>
      <c r="B4303" s="12" t="s">
        <v>3105</v>
      </c>
      <c r="C4303" s="13" t="s">
        <v>3106</v>
      </c>
      <c r="D4303" s="13" t="s">
        <v>179</v>
      </c>
      <c r="E4303" s="12" t="s">
        <v>50</v>
      </c>
      <c r="F4303" s="13"/>
      <c r="G4303" s="14">
        <v>290500</v>
      </c>
      <c r="H4303" s="13" t="s">
        <v>5857</v>
      </c>
      <c r="I4303" s="40" t="s">
        <v>18</v>
      </c>
      <c r="J4303" s="40" t="str">
        <f>HYPERLINK("https://stock.pstatic.net/stock-research/company/64/20260324_company_927778000.pdf","PDF")</f>
        <v>PDF</v>
      </c>
      <c r="K4303" s="12" t="s">
        <v>5858</v>
      </c>
    </row>
    <row r="4304" spans="1:12" x14ac:dyDescent="0.45">
      <c r="A4304" s="12" t="s">
        <v>5811</v>
      </c>
      <c r="B4304" s="12" t="s">
        <v>322</v>
      </c>
      <c r="C4304" s="13" t="s">
        <v>323</v>
      </c>
      <c r="D4304" s="13" t="s">
        <v>92</v>
      </c>
      <c r="E4304" s="12" t="s">
        <v>35</v>
      </c>
      <c r="F4304" s="14">
        <v>80000</v>
      </c>
      <c r="G4304" s="14">
        <v>72600</v>
      </c>
      <c r="H4304" s="13" t="s">
        <v>5859</v>
      </c>
      <c r="I4304" s="40" t="s">
        <v>18</v>
      </c>
      <c r="J4304" s="40" t="str">
        <f>HYPERLINK("https://stock.pstatic.net/stock-research/company/63/20260324_company_982250000.pdf","PDF")</f>
        <v>PDF</v>
      </c>
      <c r="K4304" s="12" t="s">
        <v>5860</v>
      </c>
      <c r="L4304" s="20">
        <v>0.1019283746556474</v>
      </c>
    </row>
    <row r="4305" spans="1:12" x14ac:dyDescent="0.45">
      <c r="A4305" s="12" t="s">
        <v>5811</v>
      </c>
      <c r="B4305" s="12" t="s">
        <v>1009</v>
      </c>
      <c r="C4305" s="13" t="s">
        <v>1010</v>
      </c>
      <c r="D4305" s="13" t="s">
        <v>23</v>
      </c>
      <c r="E4305" s="12" t="s">
        <v>50</v>
      </c>
      <c r="F4305" s="13"/>
      <c r="G4305" s="14">
        <v>191700</v>
      </c>
      <c r="H4305" s="13" t="s">
        <v>5861</v>
      </c>
      <c r="I4305" s="40" t="s">
        <v>18</v>
      </c>
      <c r="J4305" s="40" t="str">
        <f>HYPERLINK("https://stock.pstatic.net/stock-research/company/21/20260324_company_594685000.pdf","PDF")</f>
        <v>PDF</v>
      </c>
      <c r="K4305" s="12" t="s">
        <v>5862</v>
      </c>
    </row>
    <row r="4306" spans="1:12" x14ac:dyDescent="0.45">
      <c r="A4306" s="12" t="s">
        <v>5811</v>
      </c>
      <c r="B4306" s="12" t="s">
        <v>3105</v>
      </c>
      <c r="C4306" s="13" t="s">
        <v>3106</v>
      </c>
      <c r="D4306" s="13" t="s">
        <v>23</v>
      </c>
      <c r="E4306" s="12" t="s">
        <v>16</v>
      </c>
      <c r="F4306" s="14">
        <v>450000</v>
      </c>
      <c r="G4306" s="14">
        <v>290500</v>
      </c>
      <c r="H4306" s="13" t="s">
        <v>5863</v>
      </c>
      <c r="I4306" s="40" t="s">
        <v>18</v>
      </c>
      <c r="J4306" s="40" t="str">
        <f>HYPERLINK("https://stock.pstatic.net/stock-research/company/21/20260324_company_319776000.pdf","PDF")</f>
        <v>PDF</v>
      </c>
      <c r="K4306" s="12" t="s">
        <v>5864</v>
      </c>
      <c r="L4306" s="20">
        <v>0.54905335628227192</v>
      </c>
    </row>
    <row r="4307" spans="1:12" x14ac:dyDescent="0.45">
      <c r="A4307" s="12" t="s">
        <v>5811</v>
      </c>
      <c r="B4307" s="12" t="s">
        <v>894</v>
      </c>
      <c r="C4307" s="13" t="s">
        <v>26</v>
      </c>
      <c r="D4307" s="13" t="s">
        <v>23</v>
      </c>
      <c r="E4307" s="12" t="s">
        <v>16</v>
      </c>
      <c r="F4307" s="14">
        <v>130000</v>
      </c>
      <c r="G4307" s="14">
        <v>106100</v>
      </c>
      <c r="H4307" s="13" t="s">
        <v>5865</v>
      </c>
      <c r="I4307" s="40" t="s">
        <v>18</v>
      </c>
      <c r="J4307" s="40" t="str">
        <f>HYPERLINK("https://stock.pstatic.net/stock-research/company/21/20260324_company_225644000.pdf","PDF")</f>
        <v>PDF</v>
      </c>
      <c r="K4307" s="12" t="s">
        <v>5866</v>
      </c>
      <c r="L4307" s="20">
        <v>0.22525918944392079</v>
      </c>
    </row>
    <row r="4308" spans="1:12" x14ac:dyDescent="0.45">
      <c r="A4308" s="12" t="s">
        <v>5811</v>
      </c>
      <c r="B4308" s="12" t="s">
        <v>348</v>
      </c>
      <c r="C4308" s="13" t="s">
        <v>349</v>
      </c>
      <c r="D4308" s="13" t="s">
        <v>92</v>
      </c>
      <c r="E4308" s="12" t="s">
        <v>50</v>
      </c>
      <c r="F4308" s="13"/>
      <c r="G4308" s="14">
        <v>25300</v>
      </c>
      <c r="H4308" s="13" t="s">
        <v>5867</v>
      </c>
      <c r="I4308" s="40" t="s">
        <v>18</v>
      </c>
      <c r="J4308" s="40" t="str">
        <f>HYPERLINK("https://stock.pstatic.net/stock-research/company/63/20260324_company_470258000.pdf","PDF")</f>
        <v>PDF</v>
      </c>
      <c r="K4308" s="12" t="s">
        <v>5868</v>
      </c>
    </row>
    <row r="4309" spans="1:12" x14ac:dyDescent="0.45">
      <c r="A4309" s="12" t="s">
        <v>5811</v>
      </c>
      <c r="B4309" s="12" t="s">
        <v>868</v>
      </c>
      <c r="C4309" s="13" t="s">
        <v>869</v>
      </c>
      <c r="D4309" s="13" t="s">
        <v>34</v>
      </c>
      <c r="E4309" s="12" t="s">
        <v>35</v>
      </c>
      <c r="F4309" s="14">
        <v>70000</v>
      </c>
      <c r="G4309" s="14">
        <v>48500</v>
      </c>
      <c r="H4309" s="13" t="s">
        <v>5869</v>
      </c>
      <c r="I4309" s="40" t="s">
        <v>18</v>
      </c>
      <c r="J4309" s="40" t="str">
        <f>HYPERLINK("https://stock.pstatic.net/stock-research/company/61/20260324_company_424803000.pdf","PDF")</f>
        <v>PDF</v>
      </c>
      <c r="K4309" s="12" t="s">
        <v>5870</v>
      </c>
      <c r="L4309" s="20">
        <v>0.44329896907216487</v>
      </c>
    </row>
    <row r="4310" spans="1:12" x14ac:dyDescent="0.45">
      <c r="A4310" s="12" t="s">
        <v>5811</v>
      </c>
      <c r="B4310" s="12" t="s">
        <v>4440</v>
      </c>
      <c r="C4310" s="13" t="s">
        <v>4441</v>
      </c>
      <c r="D4310" s="13" t="s">
        <v>44</v>
      </c>
      <c r="E4310" s="12" t="s">
        <v>50</v>
      </c>
      <c r="F4310" s="13"/>
      <c r="G4310" s="14">
        <v>19630</v>
      </c>
      <c r="H4310" s="13" t="s">
        <v>5871</v>
      </c>
      <c r="I4310" s="40" t="s">
        <v>18</v>
      </c>
      <c r="J4310" s="40" t="str">
        <f>HYPERLINK("https://stock.pstatic.net/stock-research/company/39/20260324_company_354749000.pdf","PDF")</f>
        <v>PDF</v>
      </c>
      <c r="K4310" s="12" t="s">
        <v>5872</v>
      </c>
    </row>
    <row r="4311" spans="1:12" x14ac:dyDescent="0.45">
      <c r="A4311" s="12" t="s">
        <v>5811</v>
      </c>
      <c r="B4311" s="12" t="s">
        <v>5873</v>
      </c>
      <c r="C4311" s="13" t="s">
        <v>5874</v>
      </c>
      <c r="D4311" s="13" t="s">
        <v>124</v>
      </c>
      <c r="E4311" s="12" t="s">
        <v>50</v>
      </c>
      <c r="F4311" s="13"/>
      <c r="G4311" s="13"/>
      <c r="H4311" s="13" t="s">
        <v>5875</v>
      </c>
      <c r="I4311" s="40" t="s">
        <v>18</v>
      </c>
      <c r="J4311" s="40" t="str">
        <f>HYPERLINK("https://m.stock.naver.com/research/company/91022","PDF")</f>
        <v>PDF</v>
      </c>
      <c r="K4311" s="12" t="s">
        <v>5876</v>
      </c>
    </row>
    <row r="4312" spans="1:12" x14ac:dyDescent="0.45">
      <c r="A4312" s="12" t="s">
        <v>5877</v>
      </c>
      <c r="B4312" s="12" t="s">
        <v>334</v>
      </c>
      <c r="C4312" s="13" t="s">
        <v>335</v>
      </c>
      <c r="D4312" s="13" t="s">
        <v>15</v>
      </c>
      <c r="E4312" s="12" t="s">
        <v>16</v>
      </c>
      <c r="F4312" s="14">
        <v>1540000</v>
      </c>
      <c r="G4312" s="14">
        <v>1007000</v>
      </c>
      <c r="H4312" s="13" t="s">
        <v>5878</v>
      </c>
      <c r="I4312" s="40" t="s">
        <v>18</v>
      </c>
      <c r="J4312" s="40" t="str">
        <f>HYPERLINK("https://stock.pstatic.net/stock-research/company/56/20260323_company_952436000.pdf","PDF")</f>
        <v>PDF</v>
      </c>
      <c r="K4312" s="12" t="s">
        <v>5879</v>
      </c>
      <c r="L4312" s="20">
        <v>0.52929493545183715</v>
      </c>
    </row>
    <row r="4313" spans="1:12" x14ac:dyDescent="0.45">
      <c r="A4313" s="12" t="s">
        <v>5877</v>
      </c>
      <c r="B4313" s="12" t="s">
        <v>13</v>
      </c>
      <c r="C4313" s="13" t="s">
        <v>14</v>
      </c>
      <c r="D4313" s="13" t="s">
        <v>15</v>
      </c>
      <c r="E4313" s="12" t="s">
        <v>16</v>
      </c>
      <c r="F4313" s="14">
        <v>300000</v>
      </c>
      <c r="G4313" s="14">
        <v>199400</v>
      </c>
      <c r="H4313" s="13" t="s">
        <v>5880</v>
      </c>
      <c r="I4313" s="40" t="s">
        <v>18</v>
      </c>
      <c r="J4313" s="40" t="str">
        <f>HYPERLINK("https://stock.pstatic.net/stock-research/company/56/20260323_company_707107000.pdf","PDF")</f>
        <v>PDF</v>
      </c>
      <c r="K4313" s="12" t="s">
        <v>5881</v>
      </c>
      <c r="L4313" s="20">
        <v>0.5045135406218656</v>
      </c>
    </row>
    <row r="4314" spans="1:12" x14ac:dyDescent="0.45">
      <c r="A4314" s="12" t="s">
        <v>5877</v>
      </c>
      <c r="B4314" s="12" t="s">
        <v>2982</v>
      </c>
      <c r="C4314" s="13" t="s">
        <v>2983</v>
      </c>
      <c r="D4314" s="13" t="s">
        <v>57</v>
      </c>
      <c r="E4314" s="12" t="s">
        <v>35</v>
      </c>
      <c r="F4314" s="14">
        <v>110000</v>
      </c>
      <c r="G4314" s="14">
        <v>67400</v>
      </c>
      <c r="H4314" s="13" t="s">
        <v>5882</v>
      </c>
      <c r="I4314" s="40" t="s">
        <v>18</v>
      </c>
      <c r="J4314" s="40" t="str">
        <f>HYPERLINK("https://stock.pstatic.net/stock-research/company/16/20260323_company_955694000.pdf","PDF")</f>
        <v>PDF</v>
      </c>
      <c r="K4314" s="12" t="s">
        <v>5883</v>
      </c>
      <c r="L4314" s="20">
        <v>0.63204747774480707</v>
      </c>
    </row>
    <row r="4315" spans="1:12" x14ac:dyDescent="0.45">
      <c r="A4315" s="12" t="s">
        <v>5877</v>
      </c>
      <c r="B4315" s="12" t="s">
        <v>1686</v>
      </c>
      <c r="C4315" s="13" t="s">
        <v>1687</v>
      </c>
      <c r="D4315" s="13" t="s">
        <v>57</v>
      </c>
      <c r="E4315" s="12" t="s">
        <v>35</v>
      </c>
      <c r="F4315" s="14">
        <v>1900000</v>
      </c>
      <c r="G4315" s="14">
        <v>1151000</v>
      </c>
      <c r="H4315" s="13" t="s">
        <v>5884</v>
      </c>
      <c r="I4315" s="40" t="s">
        <v>18</v>
      </c>
      <c r="J4315" s="40" t="str">
        <f>HYPERLINK("https://stock.pstatic.net/stock-research/company/16/20260323_company_894210000.pdf","PDF")</f>
        <v>PDF</v>
      </c>
      <c r="K4315" s="12" t="s">
        <v>5885</v>
      </c>
      <c r="L4315" s="20">
        <v>0.65073848827106862</v>
      </c>
    </row>
    <row r="4316" spans="1:12" x14ac:dyDescent="0.45">
      <c r="A4316" s="12" t="s">
        <v>5877</v>
      </c>
      <c r="B4316" s="12" t="s">
        <v>1930</v>
      </c>
      <c r="C4316" s="13" t="s">
        <v>1931</v>
      </c>
      <c r="D4316" s="13" t="s">
        <v>65</v>
      </c>
      <c r="E4316" s="12" t="s">
        <v>35</v>
      </c>
      <c r="F4316" s="14">
        <v>300000</v>
      </c>
      <c r="G4316" s="14">
        <v>212000</v>
      </c>
      <c r="H4316" s="13" t="s">
        <v>5886</v>
      </c>
      <c r="I4316" s="40" t="s">
        <v>18</v>
      </c>
      <c r="J4316" s="40" t="str">
        <f>HYPERLINK("https://stock.pstatic.net/stock-research/company/57/20260323_company_167626000.pdf","PDF")</f>
        <v>PDF</v>
      </c>
      <c r="K4316" s="12" t="s">
        <v>5887</v>
      </c>
      <c r="L4316" s="20">
        <v>0.41509433962264147</v>
      </c>
    </row>
    <row r="4317" spans="1:12" x14ac:dyDescent="0.45">
      <c r="A4317" s="12" t="s">
        <v>5877</v>
      </c>
      <c r="B4317" s="12" t="s">
        <v>609</v>
      </c>
      <c r="C4317" s="13" t="s">
        <v>610</v>
      </c>
      <c r="D4317" s="13" t="s">
        <v>158</v>
      </c>
      <c r="E4317" s="12" t="s">
        <v>50</v>
      </c>
      <c r="F4317" s="13"/>
      <c r="G4317" s="14">
        <v>47700</v>
      </c>
      <c r="H4317" s="13" t="s">
        <v>5888</v>
      </c>
      <c r="I4317" s="40" t="s">
        <v>18</v>
      </c>
      <c r="J4317" s="40" t="str">
        <f>HYPERLINK("https://stock.pstatic.net/stock-research/company/18/20260323_company_389412000.pdf","PDF")</f>
        <v>PDF</v>
      </c>
      <c r="K4317" s="12" t="s">
        <v>5889</v>
      </c>
    </row>
    <row r="4318" spans="1:12" x14ac:dyDescent="0.45">
      <c r="A4318" s="12" t="s">
        <v>5877</v>
      </c>
      <c r="B4318" s="12" t="s">
        <v>3087</v>
      </c>
      <c r="C4318" s="13" t="s">
        <v>3088</v>
      </c>
      <c r="D4318" s="13" t="s">
        <v>158</v>
      </c>
      <c r="E4318" s="12" t="s">
        <v>35</v>
      </c>
      <c r="F4318" s="14">
        <v>270000</v>
      </c>
      <c r="G4318" s="14">
        <v>182700</v>
      </c>
      <c r="H4318" s="13" t="s">
        <v>5890</v>
      </c>
      <c r="I4318" s="40" t="s">
        <v>18</v>
      </c>
      <c r="J4318" s="40" t="str">
        <f>HYPERLINK("https://stock.pstatic.net/stock-research/company/18/20260323_company_361739000.pdf","PDF")</f>
        <v>PDF</v>
      </c>
      <c r="K4318" s="12" t="s">
        <v>5891</v>
      </c>
      <c r="L4318" s="20">
        <v>0.47783251231527102</v>
      </c>
    </row>
    <row r="4319" spans="1:12" x14ac:dyDescent="0.45">
      <c r="A4319" s="12" t="s">
        <v>5877</v>
      </c>
      <c r="B4319" s="12" t="s">
        <v>5892</v>
      </c>
      <c r="C4319" s="13" t="s">
        <v>5893</v>
      </c>
      <c r="D4319" s="13" t="s">
        <v>158</v>
      </c>
      <c r="E4319" s="12" t="s">
        <v>50</v>
      </c>
      <c r="F4319" s="13"/>
      <c r="G4319" s="14">
        <v>6380</v>
      </c>
      <c r="H4319" s="13" t="s">
        <v>5894</v>
      </c>
      <c r="I4319" s="40" t="s">
        <v>18</v>
      </c>
      <c r="J4319" s="40" t="str">
        <f>HYPERLINK("https://stock.pstatic.net/stock-research/company/18/20260323_company_703577000.pdf","PDF")</f>
        <v>PDF</v>
      </c>
      <c r="K4319" s="12" t="s">
        <v>5895</v>
      </c>
    </row>
    <row r="4320" spans="1:12" x14ac:dyDescent="0.45">
      <c r="A4320" s="12" t="s">
        <v>5877</v>
      </c>
      <c r="B4320" s="12" t="s">
        <v>5896</v>
      </c>
      <c r="C4320" s="13" t="s">
        <v>5897</v>
      </c>
      <c r="D4320" s="13" t="s">
        <v>124</v>
      </c>
      <c r="E4320" s="12" t="s">
        <v>50</v>
      </c>
      <c r="F4320" s="13"/>
      <c r="G4320" s="13"/>
      <c r="H4320" s="13" t="s">
        <v>5898</v>
      </c>
      <c r="I4320" s="40" t="s">
        <v>18</v>
      </c>
      <c r="J4320" s="40" t="str">
        <f>HYPERLINK("https://stock.pstatic.net/stock-research/company/74/20260323_company_858951000.pdf","PDF")</f>
        <v>PDF</v>
      </c>
      <c r="K4320" s="12" t="s">
        <v>5899</v>
      </c>
    </row>
    <row r="4321" spans="1:12" x14ac:dyDescent="0.45">
      <c r="A4321" s="12" t="s">
        <v>5877</v>
      </c>
      <c r="B4321" s="12" t="s">
        <v>102</v>
      </c>
      <c r="C4321" s="13" t="s">
        <v>103</v>
      </c>
      <c r="D4321" s="13" t="s">
        <v>83</v>
      </c>
      <c r="E4321" s="12" t="s">
        <v>35</v>
      </c>
      <c r="F4321" s="14">
        <v>35000</v>
      </c>
      <c r="G4321" s="14">
        <v>22150</v>
      </c>
      <c r="H4321" s="13" t="s">
        <v>5900</v>
      </c>
      <c r="I4321" s="40" t="s">
        <v>18</v>
      </c>
      <c r="J4321" s="40" t="str">
        <f>HYPERLINK("https://stock.pstatic.net/stock-research/company/15/20260323_company_437349000.pdf","PDF")</f>
        <v>PDF</v>
      </c>
      <c r="K4321" s="12" t="s">
        <v>5901</v>
      </c>
      <c r="L4321" s="20">
        <v>0.58013544018058694</v>
      </c>
    </row>
    <row r="4322" spans="1:12" x14ac:dyDescent="0.45">
      <c r="A4322" s="12" t="s">
        <v>5877</v>
      </c>
      <c r="B4322" s="12" t="s">
        <v>4567</v>
      </c>
      <c r="C4322" s="13" t="s">
        <v>4568</v>
      </c>
      <c r="D4322" s="13" t="s">
        <v>83</v>
      </c>
      <c r="E4322" s="12" t="s">
        <v>35</v>
      </c>
      <c r="F4322" s="14">
        <v>95000</v>
      </c>
      <c r="G4322" s="14">
        <v>82800</v>
      </c>
      <c r="H4322" s="13" t="s">
        <v>5902</v>
      </c>
      <c r="I4322" s="40" t="s">
        <v>18</v>
      </c>
      <c r="J4322" s="40" t="str">
        <f>HYPERLINK("https://stock.pstatic.net/stock-research/company/15/20260323_company_847691000.pdf","PDF")</f>
        <v>PDF</v>
      </c>
      <c r="K4322" s="12" t="s">
        <v>5903</v>
      </c>
      <c r="L4322" s="20">
        <v>0.14734299516908211</v>
      </c>
    </row>
    <row r="4323" spans="1:12" x14ac:dyDescent="0.45">
      <c r="A4323" s="12" t="s">
        <v>5877</v>
      </c>
      <c r="B4323" s="12" t="s">
        <v>1906</v>
      </c>
      <c r="C4323" s="13" t="s">
        <v>1907</v>
      </c>
      <c r="D4323" s="13" t="s">
        <v>179</v>
      </c>
      <c r="E4323" s="12" t="s">
        <v>50</v>
      </c>
      <c r="F4323" s="13"/>
      <c r="G4323" s="14">
        <v>41500</v>
      </c>
      <c r="H4323" s="13" t="s">
        <v>5904</v>
      </c>
      <c r="I4323" s="40" t="s">
        <v>18</v>
      </c>
      <c r="J4323" s="40" t="str">
        <f>HYPERLINK("https://stock.pstatic.net/stock-research/company/64/20260323_company_250947000.pdf","PDF")</f>
        <v>PDF</v>
      </c>
      <c r="K4323" s="12" t="s">
        <v>5905</v>
      </c>
    </row>
    <row r="4324" spans="1:12" x14ac:dyDescent="0.45">
      <c r="A4324" s="12" t="s">
        <v>5877</v>
      </c>
      <c r="B4324" s="12" t="s">
        <v>557</v>
      </c>
      <c r="C4324" s="13" t="s">
        <v>558</v>
      </c>
      <c r="D4324" s="13" t="s">
        <v>34</v>
      </c>
      <c r="E4324" s="12" t="s">
        <v>35</v>
      </c>
      <c r="F4324" s="14">
        <v>140000</v>
      </c>
      <c r="G4324" s="14">
        <v>102400</v>
      </c>
      <c r="H4324" s="13" t="s">
        <v>5906</v>
      </c>
      <c r="I4324" s="40" t="s">
        <v>18</v>
      </c>
      <c r="J4324" s="40" t="str">
        <f>HYPERLINK("https://stock.pstatic.net/stock-research/company/61/20260323_company_232016000.pdf","PDF")</f>
        <v>PDF</v>
      </c>
      <c r="K4324" s="12" t="s">
        <v>5907</v>
      </c>
      <c r="L4324" s="20">
        <v>0.3671875</v>
      </c>
    </row>
    <row r="4325" spans="1:12" x14ac:dyDescent="0.45">
      <c r="A4325" s="12" t="s">
        <v>5877</v>
      </c>
      <c r="B4325" s="12" t="s">
        <v>3024</v>
      </c>
      <c r="C4325" s="13" t="s">
        <v>3025</v>
      </c>
      <c r="D4325" s="13" t="s">
        <v>34</v>
      </c>
      <c r="E4325" s="12" t="s">
        <v>35</v>
      </c>
      <c r="F4325" s="14">
        <v>90000</v>
      </c>
      <c r="G4325" s="14">
        <v>77000</v>
      </c>
      <c r="H4325" s="13" t="s">
        <v>5908</v>
      </c>
      <c r="I4325" s="40" t="s">
        <v>18</v>
      </c>
      <c r="J4325" s="40" t="str">
        <f>HYPERLINK("https://stock.pstatic.net/stock-research/company/61/20260323_company_734803000.pdf","PDF")</f>
        <v>PDF</v>
      </c>
      <c r="K4325" s="12" t="s">
        <v>5909</v>
      </c>
      <c r="L4325" s="20">
        <v>0.1688311688311688</v>
      </c>
    </row>
    <row r="4326" spans="1:12" x14ac:dyDescent="0.45">
      <c r="A4326" s="12" t="s">
        <v>5877</v>
      </c>
      <c r="B4326" s="12" t="s">
        <v>665</v>
      </c>
      <c r="C4326" s="13" t="s">
        <v>666</v>
      </c>
      <c r="D4326" s="13" t="s">
        <v>53</v>
      </c>
      <c r="E4326" s="12" t="s">
        <v>16</v>
      </c>
      <c r="F4326" s="14">
        <v>42000</v>
      </c>
      <c r="G4326" s="14">
        <v>28450</v>
      </c>
      <c r="H4326" s="13" t="s">
        <v>5910</v>
      </c>
      <c r="I4326" s="40" t="s">
        <v>18</v>
      </c>
      <c r="J4326" s="40" t="str">
        <f>HYPERLINK("https://stock.pstatic.net/stock-research/company/40/20260323_company_164025000.pdf","PDF")</f>
        <v>PDF</v>
      </c>
      <c r="K4326" s="12" t="s">
        <v>5911</v>
      </c>
      <c r="L4326" s="20">
        <v>0.47627416520210902</v>
      </c>
    </row>
    <row r="4327" spans="1:12" x14ac:dyDescent="0.45">
      <c r="A4327" s="12" t="s">
        <v>5877</v>
      </c>
      <c r="B4327" s="12" t="s">
        <v>5912</v>
      </c>
      <c r="C4327" s="13" t="s">
        <v>5913</v>
      </c>
      <c r="D4327" s="13" t="s">
        <v>23</v>
      </c>
      <c r="E4327" s="12" t="s">
        <v>16</v>
      </c>
      <c r="F4327" s="14">
        <v>27000</v>
      </c>
      <c r="G4327" s="14">
        <v>19130</v>
      </c>
      <c r="H4327" s="13" t="s">
        <v>5914</v>
      </c>
      <c r="I4327" s="40" t="s">
        <v>18</v>
      </c>
      <c r="J4327" s="40" t="str">
        <f>HYPERLINK("https://stock.pstatic.net/stock-research/company/21/20260323_company_843032000.pdf","PDF")</f>
        <v>PDF</v>
      </c>
      <c r="K4327" s="12" t="s">
        <v>5915</v>
      </c>
      <c r="L4327" s="20">
        <v>0.41139571353894411</v>
      </c>
    </row>
    <row r="4328" spans="1:12" x14ac:dyDescent="0.45">
      <c r="A4328" s="12" t="s">
        <v>5877</v>
      </c>
      <c r="B4328" s="12" t="s">
        <v>468</v>
      </c>
      <c r="C4328" s="13" t="s">
        <v>469</v>
      </c>
      <c r="D4328" s="13" t="s">
        <v>92</v>
      </c>
      <c r="E4328" s="12" t="s">
        <v>35</v>
      </c>
      <c r="F4328" s="14">
        <v>50000</v>
      </c>
      <c r="G4328" s="14">
        <v>40000</v>
      </c>
      <c r="H4328" s="13" t="s">
        <v>5916</v>
      </c>
      <c r="I4328" s="40" t="s">
        <v>18</v>
      </c>
      <c r="J4328" s="40" t="str">
        <f>HYPERLINK("https://stock.pstatic.net/stock-research/company/63/20260323_company_520572000.pdf","PDF")</f>
        <v>PDF</v>
      </c>
      <c r="K4328" s="12" t="s">
        <v>5917</v>
      </c>
      <c r="L4328" s="20">
        <v>0.25</v>
      </c>
    </row>
    <row r="4329" spans="1:12" x14ac:dyDescent="0.45">
      <c r="A4329" s="12" t="s">
        <v>5877</v>
      </c>
      <c r="B4329" s="12" t="s">
        <v>5918</v>
      </c>
      <c r="C4329" s="13" t="s">
        <v>5919</v>
      </c>
      <c r="D4329" s="13" t="s">
        <v>34</v>
      </c>
      <c r="E4329" s="12" t="s">
        <v>50</v>
      </c>
      <c r="F4329" s="13"/>
      <c r="G4329" s="14">
        <v>40500</v>
      </c>
      <c r="H4329" s="13" t="s">
        <v>5920</v>
      </c>
      <c r="I4329" s="40" t="s">
        <v>18</v>
      </c>
      <c r="J4329" s="40" t="str">
        <f>HYPERLINK("https://stock.pstatic.net/stock-research/company/61/20260323_company_728860000.pdf","PDF")</f>
        <v>PDF</v>
      </c>
      <c r="K4329" s="12" t="s">
        <v>5921</v>
      </c>
    </row>
    <row r="4330" spans="1:12" x14ac:dyDescent="0.45">
      <c r="A4330" s="12" t="s">
        <v>5877</v>
      </c>
      <c r="B4330" s="12" t="s">
        <v>2777</v>
      </c>
      <c r="C4330" s="13" t="s">
        <v>2778</v>
      </c>
      <c r="D4330" s="13" t="s">
        <v>92</v>
      </c>
      <c r="E4330" s="12" t="s">
        <v>35</v>
      </c>
      <c r="F4330" s="14">
        <v>510000</v>
      </c>
      <c r="G4330" s="14">
        <v>430500</v>
      </c>
      <c r="H4330" s="13" t="s">
        <v>5922</v>
      </c>
      <c r="I4330" s="40" t="s">
        <v>18</v>
      </c>
      <c r="J4330" s="40" t="str">
        <f>HYPERLINK("https://stock.pstatic.net/stock-research/company/63/20260323_company_523400000.pdf","PDF")</f>
        <v>PDF</v>
      </c>
      <c r="K4330" s="12" t="s">
        <v>5923</v>
      </c>
      <c r="L4330" s="20">
        <v>0.18466898954703831</v>
      </c>
    </row>
    <row r="4331" spans="1:12" x14ac:dyDescent="0.45">
      <c r="A4331" s="12" t="s">
        <v>5877</v>
      </c>
      <c r="B4331" s="12" t="s">
        <v>5924</v>
      </c>
      <c r="C4331" s="13" t="s">
        <v>5925</v>
      </c>
      <c r="D4331" s="13" t="s">
        <v>124</v>
      </c>
      <c r="E4331" s="12" t="s">
        <v>50</v>
      </c>
      <c r="F4331" s="13"/>
      <c r="G4331" s="13"/>
      <c r="H4331" s="13" t="s">
        <v>5926</v>
      </c>
      <c r="I4331" s="40" t="s">
        <v>18</v>
      </c>
      <c r="J4331" s="40" t="str">
        <f>HYPERLINK("https://stock.pstatic.net/stock-research/company/74/20260324_company_33387000.pdf","PDF")</f>
        <v>PDF</v>
      </c>
      <c r="K4331" s="12" t="s">
        <v>5927</v>
      </c>
    </row>
    <row r="4332" spans="1:12" x14ac:dyDescent="0.45">
      <c r="A4332" s="12" t="s">
        <v>5928</v>
      </c>
      <c r="B4332" s="12" t="s">
        <v>2777</v>
      </c>
      <c r="C4332" s="13" t="s">
        <v>2778</v>
      </c>
      <c r="D4332" s="13" t="s">
        <v>57</v>
      </c>
      <c r="E4332" s="12" t="s">
        <v>159</v>
      </c>
      <c r="F4332" s="14">
        <v>450000</v>
      </c>
      <c r="G4332" s="14">
        <v>426000</v>
      </c>
      <c r="H4332" s="13" t="s">
        <v>5929</v>
      </c>
      <c r="I4332" s="40" t="s">
        <v>18</v>
      </c>
      <c r="J4332" s="40" t="str">
        <f>HYPERLINK("https://stock.pstatic.net/stock-research/company/16/20260320_company_424830000.pdf","PDF")</f>
        <v>PDF</v>
      </c>
      <c r="K4332" s="12" t="s">
        <v>5930</v>
      </c>
      <c r="L4332" s="20">
        <v>5.6338028169014093E-2</v>
      </c>
    </row>
    <row r="4333" spans="1:12" x14ac:dyDescent="0.45">
      <c r="A4333" s="12" t="s">
        <v>5928</v>
      </c>
      <c r="B4333" s="12" t="s">
        <v>698</v>
      </c>
      <c r="C4333" s="13" t="s">
        <v>699</v>
      </c>
      <c r="D4333" s="13" t="s">
        <v>65</v>
      </c>
      <c r="E4333" s="12" t="s">
        <v>35</v>
      </c>
      <c r="F4333" s="14">
        <v>400000</v>
      </c>
      <c r="G4333" s="14">
        <v>346000</v>
      </c>
      <c r="H4333" s="13" t="s">
        <v>5931</v>
      </c>
      <c r="I4333" s="40" t="s">
        <v>18</v>
      </c>
      <c r="J4333" s="40" t="str">
        <f>HYPERLINK("https://stock.pstatic.net/stock-research/company/57/20260320_company_864113000.pdf","PDF")</f>
        <v>PDF</v>
      </c>
      <c r="K4333" s="12" t="s">
        <v>5932</v>
      </c>
      <c r="L4333" s="20">
        <v>0.15606936416184969</v>
      </c>
    </row>
    <row r="4334" spans="1:12" x14ac:dyDescent="0.45">
      <c r="A4334" s="12" t="s">
        <v>5928</v>
      </c>
      <c r="B4334" s="12" t="s">
        <v>4567</v>
      </c>
      <c r="C4334" s="13" t="s">
        <v>4568</v>
      </c>
      <c r="D4334" s="13" t="s">
        <v>65</v>
      </c>
      <c r="E4334" s="12" t="s">
        <v>35</v>
      </c>
      <c r="F4334" s="14">
        <v>110000</v>
      </c>
      <c r="G4334" s="14">
        <v>77300</v>
      </c>
      <c r="H4334" s="13" t="s">
        <v>5933</v>
      </c>
      <c r="I4334" s="40" t="s">
        <v>18</v>
      </c>
      <c r="J4334" s="40" t="str">
        <f>HYPERLINK("https://stock.pstatic.net/stock-research/company/57/20260320_company_916439000.pdf","PDF")</f>
        <v>PDF</v>
      </c>
      <c r="K4334" s="12" t="s">
        <v>5934</v>
      </c>
      <c r="L4334" s="20">
        <v>0.42302716688227682</v>
      </c>
    </row>
    <row r="4335" spans="1:12" x14ac:dyDescent="0.45">
      <c r="A4335" s="12" t="s">
        <v>5928</v>
      </c>
      <c r="B4335" s="12" t="s">
        <v>1682</v>
      </c>
      <c r="C4335" s="13" t="s">
        <v>4787</v>
      </c>
      <c r="D4335" s="13" t="s">
        <v>158</v>
      </c>
      <c r="E4335" s="12" t="s">
        <v>35</v>
      </c>
      <c r="F4335" s="14">
        <v>360000</v>
      </c>
      <c r="G4335" s="14">
        <v>221000</v>
      </c>
      <c r="H4335" s="13" t="s">
        <v>5935</v>
      </c>
      <c r="I4335" s="40" t="s">
        <v>18</v>
      </c>
      <c r="J4335" s="40" t="str">
        <f>HYPERLINK("https://stock.pstatic.net/stock-research/company/18/20260320_company_145216000.pdf","PDF")</f>
        <v>PDF</v>
      </c>
      <c r="K4335" s="12" t="s">
        <v>5936</v>
      </c>
      <c r="L4335" s="20">
        <v>0.62895927601809953</v>
      </c>
    </row>
    <row r="4336" spans="1:12" x14ac:dyDescent="0.45">
      <c r="A4336" s="12" t="s">
        <v>5928</v>
      </c>
      <c r="B4336" s="12" t="s">
        <v>3024</v>
      </c>
      <c r="C4336" s="13" t="s">
        <v>3025</v>
      </c>
      <c r="D4336" s="13" t="s">
        <v>15</v>
      </c>
      <c r="E4336" s="12" t="s">
        <v>16</v>
      </c>
      <c r="F4336" s="14">
        <v>88000</v>
      </c>
      <c r="G4336" s="14">
        <v>71800</v>
      </c>
      <c r="H4336" s="13" t="s">
        <v>5937</v>
      </c>
      <c r="I4336" s="40" t="s">
        <v>18</v>
      </c>
      <c r="J4336" s="40" t="str">
        <f>HYPERLINK("https://stock.pstatic.net/stock-research/company/56/20260320_company_724896000.pdf","PDF")</f>
        <v>PDF</v>
      </c>
      <c r="K4336" s="12" t="s">
        <v>5938</v>
      </c>
      <c r="L4336" s="20">
        <v>0.22562674094707519</v>
      </c>
    </row>
    <row r="4337" spans="1:12" x14ac:dyDescent="0.45">
      <c r="A4337" s="12" t="s">
        <v>5928</v>
      </c>
      <c r="B4337" s="12" t="s">
        <v>356</v>
      </c>
      <c r="C4337" s="13" t="s">
        <v>357</v>
      </c>
      <c r="D4337" s="13" t="s">
        <v>179</v>
      </c>
      <c r="E4337" s="12" t="s">
        <v>50</v>
      </c>
      <c r="F4337" s="13"/>
      <c r="G4337" s="14">
        <v>79800</v>
      </c>
      <c r="H4337" s="13" t="s">
        <v>5939</v>
      </c>
      <c r="I4337" s="40" t="s">
        <v>18</v>
      </c>
      <c r="J4337" s="40" t="str">
        <f>HYPERLINK("https://stock.pstatic.net/stock-research/company/64/20260320_company_71816000.pdf","PDF")</f>
        <v>PDF</v>
      </c>
      <c r="K4337" s="12" t="s">
        <v>5940</v>
      </c>
    </row>
    <row r="4338" spans="1:12" x14ac:dyDescent="0.45">
      <c r="A4338" s="12" t="s">
        <v>5928</v>
      </c>
      <c r="B4338" s="12" t="s">
        <v>3451</v>
      </c>
      <c r="C4338" s="13" t="s">
        <v>3452</v>
      </c>
      <c r="D4338" s="13" t="s">
        <v>23</v>
      </c>
      <c r="E4338" s="12" t="s">
        <v>16</v>
      </c>
      <c r="F4338" s="14">
        <v>300000</v>
      </c>
      <c r="G4338" s="14">
        <v>221000</v>
      </c>
      <c r="H4338" s="13" t="s">
        <v>5941</v>
      </c>
      <c r="I4338" s="40" t="s">
        <v>18</v>
      </c>
      <c r="J4338" s="40" t="str">
        <f>HYPERLINK("https://stock.pstatic.net/stock-research/company/21/20260320_company_87985000.pdf","PDF")</f>
        <v>PDF</v>
      </c>
      <c r="K4338" s="12" t="s">
        <v>5942</v>
      </c>
      <c r="L4338" s="20">
        <v>0.3574660633484163</v>
      </c>
    </row>
    <row r="4339" spans="1:12" x14ac:dyDescent="0.45">
      <c r="A4339" s="12" t="s">
        <v>5928</v>
      </c>
      <c r="B4339" s="12" t="s">
        <v>736</v>
      </c>
      <c r="C4339" s="13" t="s">
        <v>737</v>
      </c>
      <c r="D4339" s="13" t="s">
        <v>15</v>
      </c>
      <c r="E4339" s="12" t="s">
        <v>16</v>
      </c>
      <c r="F4339" s="14">
        <v>270000</v>
      </c>
      <c r="G4339" s="14">
        <v>198200</v>
      </c>
      <c r="H4339" s="13" t="s">
        <v>5943</v>
      </c>
      <c r="I4339" s="40" t="s">
        <v>18</v>
      </c>
      <c r="J4339" s="40" t="str">
        <f>HYPERLINK("https://stock.pstatic.net/stock-research/company/56/20260320_company_198729000.pdf","PDF")</f>
        <v>PDF</v>
      </c>
      <c r="K4339" s="12" t="s">
        <v>5944</v>
      </c>
      <c r="L4339" s="20">
        <v>0.36226034308779009</v>
      </c>
    </row>
    <row r="4340" spans="1:12" x14ac:dyDescent="0.45">
      <c r="A4340" s="12" t="s">
        <v>5928</v>
      </c>
      <c r="B4340" s="12" t="s">
        <v>5945</v>
      </c>
      <c r="C4340" s="13" t="s">
        <v>5946</v>
      </c>
      <c r="D4340" s="13" t="s">
        <v>179</v>
      </c>
      <c r="E4340" s="12" t="s">
        <v>50</v>
      </c>
      <c r="F4340" s="13"/>
      <c r="G4340" s="14">
        <v>5380</v>
      </c>
      <c r="H4340" s="13" t="s">
        <v>5947</v>
      </c>
      <c r="I4340" s="40" t="s">
        <v>18</v>
      </c>
      <c r="J4340" s="40" t="str">
        <f>HYPERLINK("https://stock.pstatic.net/stock-research/company/64/20260320_company_773506000.pdf","PDF")</f>
        <v>PDF</v>
      </c>
      <c r="K4340" s="12" t="s">
        <v>5948</v>
      </c>
    </row>
    <row r="4341" spans="1:12" x14ac:dyDescent="0.45">
      <c r="A4341" s="12" t="s">
        <v>5928</v>
      </c>
      <c r="B4341" s="12" t="s">
        <v>5949</v>
      </c>
      <c r="C4341" s="13" t="s">
        <v>5950</v>
      </c>
      <c r="D4341" s="13" t="s">
        <v>44</v>
      </c>
      <c r="E4341" s="12" t="s">
        <v>50</v>
      </c>
      <c r="F4341" s="13"/>
      <c r="G4341" s="14">
        <v>5130</v>
      </c>
      <c r="H4341" s="13" t="s">
        <v>5951</v>
      </c>
      <c r="I4341" s="40" t="s">
        <v>18</v>
      </c>
      <c r="J4341" s="40" t="str">
        <f>HYPERLINK("https://stock.pstatic.net/stock-research/company/39/20260320_company_968545000.pdf","PDF")</f>
        <v>PDF</v>
      </c>
      <c r="K4341" s="12" t="s">
        <v>5952</v>
      </c>
    </row>
    <row r="4342" spans="1:12" x14ac:dyDescent="0.45">
      <c r="A4342" s="12" t="s">
        <v>5953</v>
      </c>
      <c r="B4342" s="12" t="s">
        <v>824</v>
      </c>
      <c r="C4342" s="13" t="s">
        <v>825</v>
      </c>
      <c r="D4342" s="13" t="s">
        <v>57</v>
      </c>
      <c r="E4342" s="12" t="s">
        <v>35</v>
      </c>
      <c r="F4342" s="14">
        <v>68000</v>
      </c>
      <c r="G4342" s="14">
        <v>48750</v>
      </c>
      <c r="H4342" s="13" t="s">
        <v>5954</v>
      </c>
      <c r="I4342" s="40" t="s">
        <v>18</v>
      </c>
      <c r="J4342" s="40" t="str">
        <f>HYPERLINK("https://stock.pstatic.net/stock-research/company/16/20260319_company_679559000.pdf","PDF")</f>
        <v>PDF</v>
      </c>
      <c r="K4342" s="12" t="s">
        <v>5955</v>
      </c>
      <c r="L4342" s="20">
        <v>0.39487179487179491</v>
      </c>
    </row>
    <row r="4343" spans="1:12" x14ac:dyDescent="0.45">
      <c r="A4343" s="12" t="s">
        <v>5953</v>
      </c>
      <c r="B4343" s="12" t="s">
        <v>740</v>
      </c>
      <c r="C4343" s="13" t="s">
        <v>741</v>
      </c>
      <c r="D4343" s="13" t="s">
        <v>276</v>
      </c>
      <c r="E4343" s="12" t="s">
        <v>16</v>
      </c>
      <c r="F4343" s="14">
        <v>390000</v>
      </c>
      <c r="G4343" s="14">
        <v>268500</v>
      </c>
      <c r="H4343" s="13" t="s">
        <v>5956</v>
      </c>
      <c r="I4343" s="40" t="s">
        <v>18</v>
      </c>
      <c r="J4343" s="40" t="str">
        <f>HYPERLINK("https://stock.pstatic.net/stock-research/company/66/20260319_company_596734000.pdf","PDF")</f>
        <v>PDF</v>
      </c>
      <c r="K4343" s="12" t="s">
        <v>5957</v>
      </c>
      <c r="L4343" s="20">
        <v>0.45251396648044689</v>
      </c>
    </row>
    <row r="4344" spans="1:12" x14ac:dyDescent="0.45">
      <c r="A4344" s="12" t="s">
        <v>5953</v>
      </c>
      <c r="B4344" s="12" t="s">
        <v>4450</v>
      </c>
      <c r="C4344" s="13" t="s">
        <v>4451</v>
      </c>
      <c r="D4344" s="13" t="s">
        <v>65</v>
      </c>
      <c r="E4344" s="12" t="s">
        <v>35</v>
      </c>
      <c r="F4344" s="14">
        <v>63000</v>
      </c>
      <c r="G4344" s="14">
        <v>45900</v>
      </c>
      <c r="H4344" s="13" t="s">
        <v>5958</v>
      </c>
      <c r="I4344" s="40" t="s">
        <v>18</v>
      </c>
      <c r="J4344" s="40" t="str">
        <f>HYPERLINK("https://stock.pstatic.net/stock-research/company/57/20260319_company_842170000.pdf","PDF")</f>
        <v>PDF</v>
      </c>
      <c r="K4344" s="12" t="s">
        <v>5959</v>
      </c>
      <c r="L4344" s="20">
        <v>0.37254901960784309</v>
      </c>
    </row>
    <row r="4345" spans="1:12" x14ac:dyDescent="0.45">
      <c r="A4345" s="12" t="s">
        <v>5953</v>
      </c>
      <c r="B4345" s="12" t="s">
        <v>5960</v>
      </c>
      <c r="C4345" s="13" t="s">
        <v>5961</v>
      </c>
      <c r="D4345" s="13" t="s">
        <v>65</v>
      </c>
      <c r="E4345" s="12" t="s">
        <v>50</v>
      </c>
      <c r="F4345" s="13"/>
      <c r="G4345" s="14">
        <v>143400</v>
      </c>
      <c r="H4345" s="13" t="s">
        <v>5962</v>
      </c>
      <c r="I4345" s="40" t="s">
        <v>18</v>
      </c>
      <c r="J4345" s="40" t="str">
        <f>HYPERLINK("https://stock.pstatic.net/stock-research/company/57/20260319_company_228500000.pdf","PDF")</f>
        <v>PDF</v>
      </c>
      <c r="K4345" s="12" t="s">
        <v>5963</v>
      </c>
    </row>
    <row r="4346" spans="1:12" x14ac:dyDescent="0.45">
      <c r="A4346" s="12" t="s">
        <v>5953</v>
      </c>
      <c r="B4346" s="12" t="s">
        <v>1162</v>
      </c>
      <c r="C4346" s="13" t="s">
        <v>1163</v>
      </c>
      <c r="D4346" s="13" t="s">
        <v>65</v>
      </c>
      <c r="E4346" s="12" t="s">
        <v>35</v>
      </c>
      <c r="F4346" s="14">
        <v>240000</v>
      </c>
      <c r="G4346" s="14">
        <v>200000</v>
      </c>
      <c r="H4346" s="13" t="s">
        <v>5964</v>
      </c>
      <c r="I4346" s="40" t="s">
        <v>18</v>
      </c>
      <c r="J4346" s="40" t="str">
        <f>HYPERLINK("https://stock.pstatic.net/stock-research/company/57/20260319_company_390683000.pdf","PDF")</f>
        <v>PDF</v>
      </c>
      <c r="K4346" s="12" t="s">
        <v>5965</v>
      </c>
      <c r="L4346" s="20">
        <v>0.2</v>
      </c>
    </row>
    <row r="4347" spans="1:12" x14ac:dyDescent="0.45">
      <c r="A4347" s="12" t="s">
        <v>5953</v>
      </c>
      <c r="B4347" s="12" t="s">
        <v>370</v>
      </c>
      <c r="C4347" s="13" t="s">
        <v>371</v>
      </c>
      <c r="D4347" s="13" t="s">
        <v>158</v>
      </c>
      <c r="E4347" s="12" t="s">
        <v>35</v>
      </c>
      <c r="F4347" s="14">
        <v>85000</v>
      </c>
      <c r="G4347" s="14">
        <v>62200</v>
      </c>
      <c r="H4347" s="13" t="s">
        <v>5966</v>
      </c>
      <c r="I4347" s="40" t="s">
        <v>18</v>
      </c>
      <c r="J4347" s="40" t="str">
        <f>HYPERLINK("https://stock.pstatic.net/stock-research/company/18/20260319_company_466854000.pdf","PDF")</f>
        <v>PDF</v>
      </c>
      <c r="K4347" s="12" t="s">
        <v>5967</v>
      </c>
      <c r="L4347" s="20">
        <v>0.36655948553054662</v>
      </c>
    </row>
    <row r="4348" spans="1:12" x14ac:dyDescent="0.45">
      <c r="A4348" s="12" t="s">
        <v>5953</v>
      </c>
      <c r="B4348" s="12" t="s">
        <v>1648</v>
      </c>
      <c r="C4348" s="13" t="s">
        <v>1649</v>
      </c>
      <c r="D4348" s="13" t="s">
        <v>158</v>
      </c>
      <c r="E4348" s="12" t="s">
        <v>35</v>
      </c>
      <c r="F4348" s="14">
        <v>140000</v>
      </c>
      <c r="G4348" s="14">
        <v>99700</v>
      </c>
      <c r="H4348" s="13" t="s">
        <v>5968</v>
      </c>
      <c r="I4348" s="40" t="s">
        <v>18</v>
      </c>
      <c r="J4348" s="40" t="str">
        <f>HYPERLINK("https://stock.pstatic.net/stock-research/company/18/20260319_company_322879000.pdf","PDF")</f>
        <v>PDF</v>
      </c>
      <c r="K4348" s="12" t="s">
        <v>5969</v>
      </c>
      <c r="L4348" s="20">
        <v>0.40421263791374118</v>
      </c>
    </row>
    <row r="4349" spans="1:12" x14ac:dyDescent="0.45">
      <c r="A4349" s="12" t="s">
        <v>5953</v>
      </c>
      <c r="B4349" s="12" t="s">
        <v>259</v>
      </c>
      <c r="C4349" s="13" t="s">
        <v>260</v>
      </c>
      <c r="D4349" s="13" t="s">
        <v>158</v>
      </c>
      <c r="E4349" s="12" t="s">
        <v>35</v>
      </c>
      <c r="F4349" s="14">
        <v>88000</v>
      </c>
      <c r="G4349" s="14">
        <v>66700</v>
      </c>
      <c r="H4349" s="13" t="s">
        <v>5970</v>
      </c>
      <c r="I4349" s="40" t="s">
        <v>18</v>
      </c>
      <c r="J4349" s="40" t="str">
        <f>HYPERLINK("https://stock.pstatic.net/stock-research/company/18/20260319_company_920670000.pdf","PDF")</f>
        <v>PDF</v>
      </c>
      <c r="K4349" s="12" t="s">
        <v>5971</v>
      </c>
      <c r="L4349" s="20">
        <v>0.31934032983508248</v>
      </c>
    </row>
    <row r="4350" spans="1:12" x14ac:dyDescent="0.45">
      <c r="A4350" s="12" t="s">
        <v>5953</v>
      </c>
      <c r="B4350" s="12" t="s">
        <v>3105</v>
      </c>
      <c r="C4350" s="13" t="s">
        <v>3106</v>
      </c>
      <c r="D4350" s="13" t="s">
        <v>158</v>
      </c>
      <c r="E4350" s="12" t="s">
        <v>35</v>
      </c>
      <c r="F4350" s="14">
        <v>450000</v>
      </c>
      <c r="G4350" s="14">
        <v>367500</v>
      </c>
      <c r="H4350" s="13" t="s">
        <v>5972</v>
      </c>
      <c r="I4350" s="40" t="s">
        <v>18</v>
      </c>
      <c r="J4350" s="40" t="str">
        <f>HYPERLINK("https://stock.pstatic.net/stock-research/company/18/20260319_company_221413000.pdf","PDF")</f>
        <v>PDF</v>
      </c>
      <c r="K4350" s="12" t="s">
        <v>5973</v>
      </c>
      <c r="L4350" s="20">
        <v>0.22448979591836729</v>
      </c>
    </row>
    <row r="4351" spans="1:12" x14ac:dyDescent="0.45">
      <c r="A4351" s="12" t="s">
        <v>5953</v>
      </c>
      <c r="B4351" s="12" t="s">
        <v>2089</v>
      </c>
      <c r="C4351" s="13" t="s">
        <v>2090</v>
      </c>
      <c r="D4351" s="13" t="s">
        <v>158</v>
      </c>
      <c r="E4351" s="12" t="s">
        <v>35</v>
      </c>
      <c r="F4351" s="14">
        <v>131000</v>
      </c>
      <c r="G4351" s="14">
        <v>110600</v>
      </c>
      <c r="H4351" s="13" t="s">
        <v>5974</v>
      </c>
      <c r="I4351" s="40" t="s">
        <v>18</v>
      </c>
      <c r="J4351" s="40" t="str">
        <f>HYPERLINK("https://stock.pstatic.net/stock-research/company/18/20260319_company_770125000.pdf","PDF")</f>
        <v>PDF</v>
      </c>
      <c r="K4351" s="12" t="s">
        <v>5975</v>
      </c>
      <c r="L4351" s="20">
        <v>0.18444846292947559</v>
      </c>
    </row>
    <row r="4352" spans="1:12" x14ac:dyDescent="0.45">
      <c r="A4352" s="12" t="s">
        <v>5953</v>
      </c>
      <c r="B4352" s="12" t="s">
        <v>2956</v>
      </c>
      <c r="C4352" s="13" t="s">
        <v>2957</v>
      </c>
      <c r="D4352" s="13" t="s">
        <v>15</v>
      </c>
      <c r="E4352" s="12" t="s">
        <v>16</v>
      </c>
      <c r="F4352" s="14">
        <v>34000</v>
      </c>
      <c r="G4352" s="14">
        <v>25650</v>
      </c>
      <c r="H4352" s="13" t="s">
        <v>5976</v>
      </c>
      <c r="I4352" s="40" t="s">
        <v>18</v>
      </c>
      <c r="J4352" s="40" t="str">
        <f>HYPERLINK("https://stock.pstatic.net/stock-research/company/56/20260319_company_511912000.pdf","PDF")</f>
        <v>PDF</v>
      </c>
      <c r="K4352" s="12" t="s">
        <v>5977</v>
      </c>
      <c r="L4352" s="20">
        <v>0.32553606237816762</v>
      </c>
    </row>
    <row r="4353" spans="1:12" x14ac:dyDescent="0.45">
      <c r="A4353" s="12" t="s">
        <v>5953</v>
      </c>
      <c r="B4353" s="12" t="s">
        <v>1073</v>
      </c>
      <c r="C4353" s="13" t="s">
        <v>1074</v>
      </c>
      <c r="D4353" s="13" t="s">
        <v>23</v>
      </c>
      <c r="E4353" s="12" t="s">
        <v>16</v>
      </c>
      <c r="F4353" s="14">
        <v>57000</v>
      </c>
      <c r="G4353" s="14">
        <v>46400</v>
      </c>
      <c r="H4353" s="13" t="s">
        <v>5978</v>
      </c>
      <c r="I4353" s="40" t="s">
        <v>18</v>
      </c>
      <c r="J4353" s="40" t="str">
        <f>HYPERLINK("https://stock.pstatic.net/stock-research/company/21/20260319_company_615462000.pdf","PDF")</f>
        <v>PDF</v>
      </c>
      <c r="K4353" s="12" t="s">
        <v>5979</v>
      </c>
      <c r="L4353" s="20">
        <v>0.22844827586206901</v>
      </c>
    </row>
    <row r="4354" spans="1:12" x14ac:dyDescent="0.45">
      <c r="A4354" s="12" t="s">
        <v>5953</v>
      </c>
      <c r="B4354" s="12" t="s">
        <v>3024</v>
      </c>
      <c r="C4354" s="13" t="s">
        <v>3025</v>
      </c>
      <c r="D4354" s="13" t="s">
        <v>23</v>
      </c>
      <c r="E4354" s="12" t="s">
        <v>16</v>
      </c>
      <c r="F4354" s="14">
        <v>83000</v>
      </c>
      <c r="G4354" s="14">
        <v>71600</v>
      </c>
      <c r="H4354" s="13" t="s">
        <v>5980</v>
      </c>
      <c r="I4354" s="40" t="s">
        <v>18</v>
      </c>
      <c r="J4354" s="40" t="str">
        <f>HYPERLINK("https://stock.pstatic.net/stock-research/company/21/20260319_company_349580000.pdf","PDF")</f>
        <v>PDF</v>
      </c>
      <c r="K4354" s="12" t="s">
        <v>5981</v>
      </c>
      <c r="L4354" s="20">
        <v>0.15921787709497209</v>
      </c>
    </row>
    <row r="4355" spans="1:12" x14ac:dyDescent="0.45">
      <c r="A4355" s="12" t="s">
        <v>5953</v>
      </c>
      <c r="B4355" s="12" t="s">
        <v>4567</v>
      </c>
      <c r="C4355" s="13" t="s">
        <v>4568</v>
      </c>
      <c r="D4355" s="13" t="s">
        <v>34</v>
      </c>
      <c r="E4355" s="12" t="s">
        <v>35</v>
      </c>
      <c r="F4355" s="14">
        <v>105000</v>
      </c>
      <c r="G4355" s="14">
        <v>74800</v>
      </c>
      <c r="H4355" s="13" t="s">
        <v>5982</v>
      </c>
      <c r="I4355" s="40" t="s">
        <v>18</v>
      </c>
      <c r="J4355" s="40" t="str">
        <f>HYPERLINK("https://stock.pstatic.net/stock-research/company/61/20260319_company_72935000.pdf","PDF")</f>
        <v>PDF</v>
      </c>
      <c r="K4355" s="12" t="s">
        <v>5983</v>
      </c>
      <c r="L4355" s="20">
        <v>0.40374331550802139</v>
      </c>
    </row>
    <row r="4356" spans="1:12" x14ac:dyDescent="0.45">
      <c r="A4356" s="12" t="s">
        <v>5953</v>
      </c>
      <c r="B4356" s="12" t="s">
        <v>1459</v>
      </c>
      <c r="C4356" s="13" t="s">
        <v>1460</v>
      </c>
      <c r="D4356" s="13" t="s">
        <v>34</v>
      </c>
      <c r="E4356" s="12" t="s">
        <v>35</v>
      </c>
      <c r="F4356" s="14">
        <v>485000</v>
      </c>
      <c r="G4356" s="14">
        <v>410500</v>
      </c>
      <c r="H4356" s="13" t="s">
        <v>5984</v>
      </c>
      <c r="I4356" s="40" t="s">
        <v>18</v>
      </c>
      <c r="J4356" s="40" t="str">
        <f>HYPERLINK("https://stock.pstatic.net/stock-research/company/61/20260319_company_117709000.pdf","PDF")</f>
        <v>PDF</v>
      </c>
      <c r="K4356" s="12" t="s">
        <v>5985</v>
      </c>
      <c r="L4356" s="20">
        <v>0.18148599269183921</v>
      </c>
    </row>
    <row r="4357" spans="1:12" x14ac:dyDescent="0.45">
      <c r="A4357" s="12" t="s">
        <v>5953</v>
      </c>
      <c r="B4357" s="12" t="s">
        <v>1162</v>
      </c>
      <c r="C4357" s="13" t="s">
        <v>1163</v>
      </c>
      <c r="D4357" s="13" t="s">
        <v>179</v>
      </c>
      <c r="E4357" s="12" t="s">
        <v>16</v>
      </c>
      <c r="F4357" s="14">
        <v>230000</v>
      </c>
      <c r="G4357" s="14">
        <v>200000</v>
      </c>
      <c r="H4357" s="13" t="s">
        <v>5986</v>
      </c>
      <c r="I4357" s="40" t="s">
        <v>18</v>
      </c>
      <c r="J4357" s="40" t="str">
        <f>HYPERLINK("https://stock.pstatic.net/stock-research/company/64/20260319_company_762240000.pdf","PDF")</f>
        <v>PDF</v>
      </c>
      <c r="K4357" s="12" t="s">
        <v>5987</v>
      </c>
      <c r="L4357" s="20">
        <v>0.15</v>
      </c>
    </row>
    <row r="4358" spans="1:12" x14ac:dyDescent="0.45">
      <c r="A4358" s="12" t="s">
        <v>5953</v>
      </c>
      <c r="B4358" s="12" t="s">
        <v>5988</v>
      </c>
      <c r="C4358" s="13" t="s">
        <v>5989</v>
      </c>
      <c r="D4358" s="13" t="s">
        <v>124</v>
      </c>
      <c r="E4358" s="12" t="s">
        <v>50</v>
      </c>
      <c r="F4358" s="13"/>
      <c r="G4358" s="13"/>
      <c r="H4358" s="13" t="s">
        <v>5990</v>
      </c>
      <c r="I4358" s="40" t="s">
        <v>18</v>
      </c>
      <c r="J4358" s="40" t="str">
        <f>HYPERLINK("https://stock.pstatic.net/stock-research/company/74/20260319_company_77768000.pdf","PDF")</f>
        <v>PDF</v>
      </c>
      <c r="K4358" s="12" t="s">
        <v>5991</v>
      </c>
    </row>
    <row r="4359" spans="1:12" x14ac:dyDescent="0.45">
      <c r="A4359" s="12" t="s">
        <v>5953</v>
      </c>
      <c r="B4359" s="12" t="s">
        <v>5992</v>
      </c>
      <c r="C4359" s="13" t="s">
        <v>5993</v>
      </c>
      <c r="D4359" s="13" t="s">
        <v>124</v>
      </c>
      <c r="E4359" s="12" t="s">
        <v>50</v>
      </c>
      <c r="F4359" s="13"/>
      <c r="G4359" s="13"/>
      <c r="H4359" s="13" t="s">
        <v>5994</v>
      </c>
      <c r="I4359" s="40" t="s">
        <v>18</v>
      </c>
      <c r="J4359" s="40" t="str">
        <f>HYPERLINK("https://stock.pstatic.net/stock-research/company/74/20260319_company_399794000.pdf","PDF")</f>
        <v>PDF</v>
      </c>
      <c r="K4359" s="12" t="s">
        <v>5995</v>
      </c>
    </row>
    <row r="4360" spans="1:12" x14ac:dyDescent="0.45">
      <c r="A4360" s="12" t="s">
        <v>5953</v>
      </c>
      <c r="B4360" s="12" t="s">
        <v>2378</v>
      </c>
      <c r="C4360" s="13" t="s">
        <v>2379</v>
      </c>
      <c r="D4360" s="13" t="s">
        <v>15</v>
      </c>
      <c r="E4360" s="12" t="s">
        <v>16</v>
      </c>
      <c r="F4360" s="14">
        <v>520000</v>
      </c>
      <c r="G4360" s="14">
        <v>383500</v>
      </c>
      <c r="H4360" s="13" t="s">
        <v>5996</v>
      </c>
      <c r="I4360" s="40" t="s">
        <v>18</v>
      </c>
      <c r="J4360" s="40" t="str">
        <f>HYPERLINK("https://stock.pstatic.net/stock-research/company/56/20260319_company_381231000.pdf","PDF")</f>
        <v>PDF</v>
      </c>
      <c r="K4360" s="12" t="s">
        <v>5997</v>
      </c>
      <c r="L4360" s="20">
        <v>0.3559322033898305</v>
      </c>
    </row>
    <row r="4361" spans="1:12" x14ac:dyDescent="0.45">
      <c r="A4361" s="12" t="s">
        <v>5953</v>
      </c>
      <c r="B4361" s="12" t="s">
        <v>2369</v>
      </c>
      <c r="C4361" s="13" t="s">
        <v>2370</v>
      </c>
      <c r="D4361" s="13" t="s">
        <v>15</v>
      </c>
      <c r="E4361" s="12" t="s">
        <v>16</v>
      </c>
      <c r="F4361" s="14">
        <v>600000</v>
      </c>
      <c r="G4361" s="14">
        <v>389000</v>
      </c>
      <c r="H4361" s="13" t="s">
        <v>5998</v>
      </c>
      <c r="I4361" s="40" t="s">
        <v>18</v>
      </c>
      <c r="J4361" s="40" t="str">
        <f>HYPERLINK("https://stock.pstatic.net/stock-research/company/56/20260319_company_280953000.pdf","PDF")</f>
        <v>PDF</v>
      </c>
      <c r="K4361" s="12" t="s">
        <v>5999</v>
      </c>
      <c r="L4361" s="20">
        <v>0.54241645244215941</v>
      </c>
    </row>
    <row r="4362" spans="1:12" x14ac:dyDescent="0.45">
      <c r="A4362" s="12" t="s">
        <v>5953</v>
      </c>
      <c r="B4362" s="12" t="s">
        <v>2170</v>
      </c>
      <c r="C4362" s="13" t="s">
        <v>2171</v>
      </c>
      <c r="D4362" s="13" t="s">
        <v>15</v>
      </c>
      <c r="E4362" s="12" t="s">
        <v>16</v>
      </c>
      <c r="F4362" s="14">
        <v>22000</v>
      </c>
      <c r="G4362" s="14">
        <v>12520</v>
      </c>
      <c r="H4362" s="13" t="s">
        <v>6000</v>
      </c>
      <c r="I4362" s="40" t="s">
        <v>18</v>
      </c>
      <c r="J4362" s="40" t="str">
        <f>HYPERLINK("https://stock.pstatic.net/stock-research/company/56/20260319_company_526017000.pdf","PDF")</f>
        <v>PDF</v>
      </c>
      <c r="K4362" s="12" t="s">
        <v>6001</v>
      </c>
      <c r="L4362" s="20">
        <v>0.75718849840255587</v>
      </c>
    </row>
    <row r="4363" spans="1:12" x14ac:dyDescent="0.45">
      <c r="A4363" s="12" t="s">
        <v>6002</v>
      </c>
      <c r="B4363" s="12" t="s">
        <v>1300</v>
      </c>
      <c r="C4363" s="13" t="s">
        <v>1301</v>
      </c>
      <c r="D4363" s="13" t="s">
        <v>57</v>
      </c>
      <c r="E4363" s="12" t="s">
        <v>35</v>
      </c>
      <c r="F4363" s="14">
        <v>170000</v>
      </c>
      <c r="G4363" s="14">
        <v>138800</v>
      </c>
      <c r="H4363" s="13" t="s">
        <v>6003</v>
      </c>
      <c r="I4363" s="40" t="s">
        <v>18</v>
      </c>
      <c r="J4363" s="40" t="str">
        <f>HYPERLINK("https://stock.pstatic.net/stock-research/company/16/20260318_company_236629000.pdf","PDF")</f>
        <v>PDF</v>
      </c>
      <c r="K4363" s="12" t="s">
        <v>6004</v>
      </c>
      <c r="L4363" s="20">
        <v>0.22478386167146969</v>
      </c>
    </row>
    <row r="4364" spans="1:12" x14ac:dyDescent="0.45">
      <c r="A4364" s="12" t="s">
        <v>6002</v>
      </c>
      <c r="B4364" s="12" t="s">
        <v>6005</v>
      </c>
      <c r="C4364" s="13" t="s">
        <v>6006</v>
      </c>
      <c r="D4364" s="13" t="s">
        <v>65</v>
      </c>
      <c r="E4364" s="12" t="s">
        <v>50</v>
      </c>
      <c r="F4364" s="13"/>
      <c r="G4364" s="14">
        <v>9040</v>
      </c>
      <c r="H4364" s="13" t="s">
        <v>6007</v>
      </c>
      <c r="I4364" s="40" t="s">
        <v>18</v>
      </c>
      <c r="J4364" s="40" t="str">
        <f>HYPERLINK("https://stock.pstatic.net/stock-research/company/57/20260318_company_500164000.pdf","PDF")</f>
        <v>PDF</v>
      </c>
      <c r="K4364" s="12" t="s">
        <v>6008</v>
      </c>
    </row>
    <row r="4365" spans="1:12" x14ac:dyDescent="0.45">
      <c r="A4365" s="12" t="s">
        <v>6002</v>
      </c>
      <c r="B4365" s="12" t="s">
        <v>3488</v>
      </c>
      <c r="C4365" s="13" t="s">
        <v>3489</v>
      </c>
      <c r="D4365" s="13" t="s">
        <v>65</v>
      </c>
      <c r="E4365" s="12" t="s">
        <v>35</v>
      </c>
      <c r="F4365" s="14">
        <v>43000</v>
      </c>
      <c r="G4365" s="14">
        <v>32600</v>
      </c>
      <c r="H4365" s="13" t="s">
        <v>6009</v>
      </c>
      <c r="I4365" s="40" t="s">
        <v>18</v>
      </c>
      <c r="J4365" s="40" t="str">
        <f>HYPERLINK("https://stock.pstatic.net/stock-research/company/57/20260318_company_765838000.pdf","PDF")</f>
        <v>PDF</v>
      </c>
      <c r="K4365" s="12" t="s">
        <v>6010</v>
      </c>
      <c r="L4365" s="20">
        <v>0.31901840490797551</v>
      </c>
    </row>
    <row r="4366" spans="1:12" x14ac:dyDescent="0.45">
      <c r="A4366" s="12" t="s">
        <v>6002</v>
      </c>
      <c r="B4366" s="12" t="s">
        <v>259</v>
      </c>
      <c r="C4366" s="13" t="s">
        <v>260</v>
      </c>
      <c r="D4366" s="13" t="s">
        <v>179</v>
      </c>
      <c r="E4366" s="12" t="s">
        <v>16</v>
      </c>
      <c r="F4366" s="14">
        <v>92000</v>
      </c>
      <c r="G4366" s="14">
        <v>66400</v>
      </c>
      <c r="H4366" s="13" t="s">
        <v>6011</v>
      </c>
      <c r="I4366" s="40" t="s">
        <v>18</v>
      </c>
      <c r="J4366" s="40" t="str">
        <f>HYPERLINK("https://stock.pstatic.net/stock-research/company/64/20260318_company_217424000.pdf","PDF")</f>
        <v>PDF</v>
      </c>
      <c r="K4366" s="12" t="s">
        <v>6012</v>
      </c>
      <c r="L4366" s="20">
        <v>0.38554216867469882</v>
      </c>
    </row>
    <row r="4367" spans="1:12" x14ac:dyDescent="0.45">
      <c r="A4367" s="12" t="s">
        <v>6002</v>
      </c>
      <c r="B4367" s="12" t="s">
        <v>1648</v>
      </c>
      <c r="C4367" s="13" t="s">
        <v>1649</v>
      </c>
      <c r="D4367" s="13" t="s">
        <v>179</v>
      </c>
      <c r="E4367" s="12" t="s">
        <v>16</v>
      </c>
      <c r="F4367" s="14">
        <v>134000</v>
      </c>
      <c r="G4367" s="14">
        <v>99500</v>
      </c>
      <c r="H4367" s="13" t="s">
        <v>6013</v>
      </c>
      <c r="I4367" s="40" t="s">
        <v>18</v>
      </c>
      <c r="J4367" s="40" t="str">
        <f>HYPERLINK("https://stock.pstatic.net/stock-research/company/64/20260318_company_199785000.pdf","PDF")</f>
        <v>PDF</v>
      </c>
      <c r="K4367" s="12" t="s">
        <v>6014</v>
      </c>
      <c r="L4367" s="20">
        <v>0.34673366834170849</v>
      </c>
    </row>
    <row r="4368" spans="1:12" x14ac:dyDescent="0.45">
      <c r="A4368" s="12" t="s">
        <v>6002</v>
      </c>
      <c r="B4368" s="12" t="s">
        <v>370</v>
      </c>
      <c r="C4368" s="13" t="s">
        <v>371</v>
      </c>
      <c r="D4368" s="13" t="s">
        <v>179</v>
      </c>
      <c r="E4368" s="12" t="s">
        <v>16</v>
      </c>
      <c r="F4368" s="14">
        <v>100000</v>
      </c>
      <c r="G4368" s="14">
        <v>62300</v>
      </c>
      <c r="H4368" s="13" t="s">
        <v>6015</v>
      </c>
      <c r="I4368" s="40" t="s">
        <v>18</v>
      </c>
      <c r="J4368" s="40" t="str">
        <f>HYPERLINK("https://stock.pstatic.net/stock-research/company/64/20260318_company_418270000.pdf","PDF")</f>
        <v>PDF</v>
      </c>
      <c r="K4368" s="12" t="s">
        <v>6016</v>
      </c>
      <c r="L4368" s="20">
        <v>0.60513643659711081</v>
      </c>
    </row>
    <row r="4369" spans="1:12" x14ac:dyDescent="0.45">
      <c r="A4369" s="12" t="s">
        <v>6002</v>
      </c>
      <c r="B4369" s="12" t="s">
        <v>3105</v>
      </c>
      <c r="C4369" s="13" t="s">
        <v>3106</v>
      </c>
      <c r="D4369" s="13" t="s">
        <v>179</v>
      </c>
      <c r="E4369" s="12" t="s">
        <v>16</v>
      </c>
      <c r="F4369" s="14">
        <v>480000</v>
      </c>
      <c r="G4369" s="14">
        <v>365000</v>
      </c>
      <c r="H4369" s="13" t="s">
        <v>6017</v>
      </c>
      <c r="I4369" s="40" t="s">
        <v>18</v>
      </c>
      <c r="J4369" s="40" t="str">
        <f>HYPERLINK("https://stock.pstatic.net/stock-research/company/64/20260318_company_871903000.pdf","PDF")</f>
        <v>PDF</v>
      </c>
      <c r="K4369" s="12" t="s">
        <v>6018</v>
      </c>
      <c r="L4369" s="20">
        <v>0.31506849315068491</v>
      </c>
    </row>
    <row r="4370" spans="1:12" x14ac:dyDescent="0.45">
      <c r="A4370" s="12" t="s">
        <v>6002</v>
      </c>
      <c r="B4370" s="12" t="s">
        <v>13</v>
      </c>
      <c r="C4370" s="13" t="s">
        <v>14</v>
      </c>
      <c r="D4370" s="13" t="s">
        <v>15</v>
      </c>
      <c r="E4370" s="12" t="s">
        <v>16</v>
      </c>
      <c r="F4370" s="14">
        <v>300000</v>
      </c>
      <c r="G4370" s="14">
        <v>193900</v>
      </c>
      <c r="H4370" s="13" t="s">
        <v>6019</v>
      </c>
      <c r="I4370" s="40" t="s">
        <v>18</v>
      </c>
      <c r="J4370" s="40" t="str">
        <f>HYPERLINK("https://stock.pstatic.net/stock-research/company/56/20260318_company_573575000.pdf","PDF")</f>
        <v>PDF</v>
      </c>
      <c r="K4370" s="12" t="s">
        <v>6020</v>
      </c>
      <c r="L4370" s="20">
        <v>0.54718927282104179</v>
      </c>
    </row>
    <row r="4371" spans="1:12" x14ac:dyDescent="0.45">
      <c r="A4371" s="12" t="s">
        <v>6002</v>
      </c>
      <c r="B4371" s="12" t="s">
        <v>1120</v>
      </c>
      <c r="C4371" s="13" t="s">
        <v>1121</v>
      </c>
      <c r="D4371" s="13" t="s">
        <v>23</v>
      </c>
      <c r="E4371" s="12" t="s">
        <v>16</v>
      </c>
      <c r="F4371" s="14">
        <v>160000</v>
      </c>
      <c r="G4371" s="14">
        <v>129000</v>
      </c>
      <c r="H4371" s="13" t="s">
        <v>1231</v>
      </c>
      <c r="I4371" s="40" t="s">
        <v>18</v>
      </c>
      <c r="J4371" s="40" t="str">
        <f>HYPERLINK("https://stock.pstatic.net/stock-research/company/21/20260318_company_53446000.pdf","PDF")</f>
        <v>PDF</v>
      </c>
      <c r="K4371" s="12" t="s">
        <v>6021</v>
      </c>
      <c r="L4371" s="20">
        <v>0.24031007751937991</v>
      </c>
    </row>
    <row r="4372" spans="1:12" x14ac:dyDescent="0.45">
      <c r="A4372" s="12" t="s">
        <v>6002</v>
      </c>
      <c r="B4372" s="12" t="s">
        <v>6022</v>
      </c>
      <c r="C4372" s="13" t="s">
        <v>6023</v>
      </c>
      <c r="D4372" s="13" t="s">
        <v>53</v>
      </c>
      <c r="E4372" s="12" t="s">
        <v>50</v>
      </c>
      <c r="F4372" s="13"/>
      <c r="G4372" s="14">
        <v>12220</v>
      </c>
      <c r="H4372" s="13" t="s">
        <v>6024</v>
      </c>
      <c r="I4372" s="40" t="s">
        <v>18</v>
      </c>
      <c r="J4372" s="40" t="str">
        <f>HYPERLINK("https://stock.pstatic.net/stock-research/company/40/20260318_company_562030000.pdf","PDF")</f>
        <v>PDF</v>
      </c>
      <c r="K4372" s="12" t="s">
        <v>6025</v>
      </c>
    </row>
    <row r="4373" spans="1:12" x14ac:dyDescent="0.45">
      <c r="A4373" s="12" t="s">
        <v>6002</v>
      </c>
      <c r="B4373" s="12" t="s">
        <v>1503</v>
      </c>
      <c r="C4373" s="13" t="s">
        <v>1504</v>
      </c>
      <c r="D4373" s="13" t="s">
        <v>92</v>
      </c>
      <c r="E4373" s="12" t="s">
        <v>35</v>
      </c>
      <c r="F4373" s="14">
        <v>13000</v>
      </c>
      <c r="G4373" s="14">
        <v>8740</v>
      </c>
      <c r="H4373" s="13" t="s">
        <v>6026</v>
      </c>
      <c r="I4373" s="40" t="s">
        <v>18</v>
      </c>
      <c r="J4373" s="40" t="str">
        <f>HYPERLINK("https://stock.pstatic.net/stock-research/company/63/20260318_company_848545000.pdf","PDF")</f>
        <v>PDF</v>
      </c>
      <c r="K4373" s="12" t="s">
        <v>6027</v>
      </c>
      <c r="L4373" s="20">
        <v>0.48741418764302058</v>
      </c>
    </row>
    <row r="4374" spans="1:12" x14ac:dyDescent="0.45">
      <c r="A4374" s="12" t="s">
        <v>6002</v>
      </c>
      <c r="B4374" s="12" t="s">
        <v>27</v>
      </c>
      <c r="C4374" s="13" t="s">
        <v>28</v>
      </c>
      <c r="D4374" s="13" t="s">
        <v>44</v>
      </c>
      <c r="E4374" s="12" t="s">
        <v>35</v>
      </c>
      <c r="F4374" s="14">
        <v>144000</v>
      </c>
      <c r="G4374" s="14">
        <v>103500</v>
      </c>
      <c r="H4374" s="13" t="s">
        <v>6028</v>
      </c>
      <c r="I4374" s="40" t="s">
        <v>18</v>
      </c>
      <c r="J4374" s="40" t="str">
        <f>HYPERLINK("https://stock.pstatic.net/stock-research/company/39/20260318_company_90621000.pdf","PDF")</f>
        <v>PDF</v>
      </c>
      <c r="K4374" s="12" t="s">
        <v>6029</v>
      </c>
      <c r="L4374" s="20">
        <v>0.39130434782608697</v>
      </c>
    </row>
    <row r="4375" spans="1:12" x14ac:dyDescent="0.45">
      <c r="A4375" s="12" t="s">
        <v>6030</v>
      </c>
      <c r="B4375" s="12" t="s">
        <v>1120</v>
      </c>
      <c r="C4375" s="13" t="s">
        <v>1121</v>
      </c>
      <c r="D4375" s="13" t="s">
        <v>57</v>
      </c>
      <c r="E4375" s="12" t="s">
        <v>35</v>
      </c>
      <c r="F4375" s="14">
        <v>180000</v>
      </c>
      <c r="G4375" s="14">
        <v>129000</v>
      </c>
      <c r="H4375" s="13" t="s">
        <v>6031</v>
      </c>
      <c r="I4375" s="40" t="s">
        <v>18</v>
      </c>
      <c r="J4375" s="40" t="str">
        <f>HYPERLINK("https://stock.pstatic.net/stock-research/company/16/20260317_company_95086000.pdf","PDF")</f>
        <v>PDF</v>
      </c>
      <c r="K4375" s="12" t="s">
        <v>6032</v>
      </c>
      <c r="L4375" s="20">
        <v>0.39534883720930231</v>
      </c>
    </row>
    <row r="4376" spans="1:12" x14ac:dyDescent="0.45">
      <c r="A4376" s="12" t="s">
        <v>6030</v>
      </c>
      <c r="B4376" s="12" t="s">
        <v>3327</v>
      </c>
      <c r="C4376" s="13" t="s">
        <v>3328</v>
      </c>
      <c r="D4376" s="13" t="s">
        <v>60</v>
      </c>
      <c r="E4376" s="12" t="s">
        <v>50</v>
      </c>
      <c r="F4376" s="13"/>
      <c r="G4376" s="14">
        <v>193900</v>
      </c>
      <c r="H4376" s="13" t="s">
        <v>6033</v>
      </c>
      <c r="I4376" s="40" t="s">
        <v>18</v>
      </c>
      <c r="J4376" s="40" t="str">
        <f>HYPERLINK("https://stock.pstatic.net/stock-research/company/62/20260317_company_430007000.pdf","PDF")</f>
        <v>PDF</v>
      </c>
      <c r="K4376" s="12" t="s">
        <v>6034</v>
      </c>
    </row>
    <row r="4377" spans="1:12" x14ac:dyDescent="0.45">
      <c r="A4377" s="12" t="s">
        <v>6030</v>
      </c>
      <c r="B4377" s="12" t="s">
        <v>281</v>
      </c>
      <c r="C4377" s="13" t="s">
        <v>282</v>
      </c>
      <c r="D4377" s="13" t="s">
        <v>65</v>
      </c>
      <c r="E4377" s="12" t="s">
        <v>35</v>
      </c>
      <c r="F4377" s="14">
        <v>50000</v>
      </c>
      <c r="G4377" s="14">
        <v>26000</v>
      </c>
      <c r="H4377" s="13" t="s">
        <v>6035</v>
      </c>
      <c r="I4377" s="40" t="s">
        <v>18</v>
      </c>
      <c r="J4377" s="40" t="str">
        <f>HYPERLINK("https://stock.pstatic.net/stock-research/company/57/20260317_company_690867000.pdf","PDF")</f>
        <v>PDF</v>
      </c>
      <c r="K4377" s="12" t="s">
        <v>6036</v>
      </c>
      <c r="L4377" s="20">
        <v>0.92307692307692313</v>
      </c>
    </row>
    <row r="4378" spans="1:12" x14ac:dyDescent="0.45">
      <c r="A4378" s="12" t="s">
        <v>6030</v>
      </c>
      <c r="B4378" s="12" t="s">
        <v>3024</v>
      </c>
      <c r="C4378" s="13" t="s">
        <v>3025</v>
      </c>
      <c r="D4378" s="13" t="s">
        <v>65</v>
      </c>
      <c r="E4378" s="12" t="s">
        <v>35</v>
      </c>
      <c r="F4378" s="14">
        <v>90000</v>
      </c>
      <c r="G4378" s="14">
        <v>73800</v>
      </c>
      <c r="H4378" s="13" t="s">
        <v>6037</v>
      </c>
      <c r="I4378" s="40" t="s">
        <v>18</v>
      </c>
      <c r="J4378" s="40" t="str">
        <f>HYPERLINK("https://stock.pstatic.net/stock-research/company/57/20260317_company_597031000.pdf","PDF")</f>
        <v>PDF</v>
      </c>
      <c r="K4378" s="12" t="s">
        <v>6038</v>
      </c>
      <c r="L4378" s="20">
        <v>0.21951219512195119</v>
      </c>
    </row>
    <row r="4379" spans="1:12" x14ac:dyDescent="0.45">
      <c r="A4379" s="12" t="s">
        <v>6030</v>
      </c>
      <c r="B4379" s="12" t="s">
        <v>4206</v>
      </c>
      <c r="C4379" s="13" t="s">
        <v>4207</v>
      </c>
      <c r="D4379" s="13" t="s">
        <v>65</v>
      </c>
      <c r="E4379" s="12" t="s">
        <v>50</v>
      </c>
      <c r="F4379" s="13"/>
      <c r="G4379" s="14">
        <v>35850</v>
      </c>
      <c r="H4379" s="13" t="s">
        <v>6039</v>
      </c>
      <c r="I4379" s="40" t="s">
        <v>18</v>
      </c>
      <c r="J4379" s="40" t="str">
        <f>HYPERLINK("https://stock.pstatic.net/stock-research/company/57/20260317_company_381869000.pdf","PDF")</f>
        <v>PDF</v>
      </c>
      <c r="K4379" s="12" t="s">
        <v>6040</v>
      </c>
    </row>
    <row r="4380" spans="1:12" x14ac:dyDescent="0.45">
      <c r="A4380" s="12" t="s">
        <v>6030</v>
      </c>
      <c r="B4380" s="12" t="s">
        <v>2414</v>
      </c>
      <c r="C4380" s="13" t="s">
        <v>2415</v>
      </c>
      <c r="D4380" s="13" t="s">
        <v>65</v>
      </c>
      <c r="E4380" s="12" t="s">
        <v>35</v>
      </c>
      <c r="F4380" s="14">
        <v>1670000</v>
      </c>
      <c r="G4380" s="14">
        <v>1088000</v>
      </c>
      <c r="H4380" s="13" t="s">
        <v>6041</v>
      </c>
      <c r="I4380" s="40" t="s">
        <v>18</v>
      </c>
      <c r="J4380" s="40" t="str">
        <f>HYPERLINK("https://stock.pstatic.net/stock-research/company/57/20260317_company_420958000.pdf","PDF")</f>
        <v>PDF</v>
      </c>
      <c r="K4380" s="12" t="s">
        <v>6042</v>
      </c>
      <c r="L4380" s="20">
        <v>0.53492647058823528</v>
      </c>
    </row>
    <row r="4381" spans="1:12" x14ac:dyDescent="0.45">
      <c r="A4381" s="12" t="s">
        <v>6030</v>
      </c>
      <c r="B4381" s="12" t="s">
        <v>2944</v>
      </c>
      <c r="C4381" s="13" t="s">
        <v>2945</v>
      </c>
      <c r="D4381" s="13" t="s">
        <v>65</v>
      </c>
      <c r="E4381" s="12" t="s">
        <v>35</v>
      </c>
      <c r="F4381" s="14">
        <v>24500</v>
      </c>
      <c r="G4381" s="14">
        <v>18140</v>
      </c>
      <c r="H4381" s="13" t="s">
        <v>6043</v>
      </c>
      <c r="I4381" s="40" t="s">
        <v>18</v>
      </c>
      <c r="J4381" s="40" t="str">
        <f>HYPERLINK("https://stock.pstatic.net/stock-research/company/57/20260317_company_832775000.pdf","PDF")</f>
        <v>PDF</v>
      </c>
      <c r="K4381" s="12" t="s">
        <v>6044</v>
      </c>
      <c r="L4381" s="20">
        <v>0.35060639470782801</v>
      </c>
    </row>
    <row r="4382" spans="1:12" x14ac:dyDescent="0.45">
      <c r="A4382" s="12" t="s">
        <v>6030</v>
      </c>
      <c r="B4382" s="12" t="s">
        <v>6045</v>
      </c>
      <c r="C4382" s="13" t="s">
        <v>6046</v>
      </c>
      <c r="D4382" s="13" t="s">
        <v>83</v>
      </c>
      <c r="E4382" s="12" t="s">
        <v>50</v>
      </c>
      <c r="F4382" s="13"/>
      <c r="G4382" s="14">
        <v>13200</v>
      </c>
      <c r="H4382" s="13" t="s">
        <v>6047</v>
      </c>
      <c r="I4382" s="40" t="s">
        <v>18</v>
      </c>
      <c r="J4382" s="40" t="str">
        <f>HYPERLINK("https://stock.pstatic.net/stock-research/company/15/20260317_company_582055000.pdf","PDF")</f>
        <v>PDF</v>
      </c>
      <c r="K4382" s="12" t="s">
        <v>6048</v>
      </c>
    </row>
    <row r="4383" spans="1:12" x14ac:dyDescent="0.45">
      <c r="A4383" s="12" t="s">
        <v>6030</v>
      </c>
      <c r="B4383" s="12" t="s">
        <v>3548</v>
      </c>
      <c r="C4383" s="13" t="s">
        <v>3549</v>
      </c>
      <c r="D4383" s="13" t="s">
        <v>92</v>
      </c>
      <c r="E4383" s="12" t="s">
        <v>35</v>
      </c>
      <c r="F4383" s="14">
        <v>95000</v>
      </c>
      <c r="G4383" s="14">
        <v>81200</v>
      </c>
      <c r="H4383" s="13" t="s">
        <v>6049</v>
      </c>
      <c r="I4383" s="40" t="s">
        <v>18</v>
      </c>
      <c r="J4383" s="40" t="str">
        <f>HYPERLINK("https://stock.pstatic.net/stock-research/company/63/20260317_company_387761000.pdf","PDF")</f>
        <v>PDF</v>
      </c>
      <c r="K4383" s="12" t="s">
        <v>6050</v>
      </c>
      <c r="L4383" s="20">
        <v>0.16995073891625609</v>
      </c>
    </row>
    <row r="4384" spans="1:12" x14ac:dyDescent="0.45">
      <c r="A4384" s="12" t="s">
        <v>6030</v>
      </c>
      <c r="B4384" s="12" t="s">
        <v>237</v>
      </c>
      <c r="C4384" s="13" t="s">
        <v>238</v>
      </c>
      <c r="D4384" s="13" t="s">
        <v>92</v>
      </c>
      <c r="E4384" s="12" t="s">
        <v>35</v>
      </c>
      <c r="F4384" s="14">
        <v>75000</v>
      </c>
      <c r="G4384" s="14">
        <v>59300</v>
      </c>
      <c r="H4384" s="13" t="s">
        <v>6051</v>
      </c>
      <c r="I4384" s="40" t="s">
        <v>18</v>
      </c>
      <c r="J4384" s="40" t="str">
        <f>HYPERLINK("https://stock.pstatic.net/stock-research/company/63/20260317_company_336562000.pdf","PDF")</f>
        <v>PDF</v>
      </c>
      <c r="K4384" s="12" t="s">
        <v>6052</v>
      </c>
      <c r="L4384" s="20">
        <v>0.26475548060708259</v>
      </c>
    </row>
    <row r="4385" spans="1:12" x14ac:dyDescent="0.45">
      <c r="A4385" s="12" t="s">
        <v>6030</v>
      </c>
      <c r="B4385" s="12" t="s">
        <v>1491</v>
      </c>
      <c r="C4385" s="13" t="s">
        <v>1492</v>
      </c>
      <c r="D4385" s="13" t="s">
        <v>92</v>
      </c>
      <c r="E4385" s="12" t="s">
        <v>35</v>
      </c>
      <c r="F4385" s="14">
        <v>30000</v>
      </c>
      <c r="G4385" s="14">
        <v>22000</v>
      </c>
      <c r="H4385" s="13" t="s">
        <v>6053</v>
      </c>
      <c r="I4385" s="40" t="s">
        <v>18</v>
      </c>
      <c r="J4385" s="40" t="str">
        <f>HYPERLINK("https://stock.pstatic.net/stock-research/company/63/20260317_company_394738000.pdf","PDF")</f>
        <v>PDF</v>
      </c>
      <c r="K4385" s="12" t="s">
        <v>6054</v>
      </c>
      <c r="L4385" s="20">
        <v>0.36363636363636359</v>
      </c>
    </row>
    <row r="4386" spans="1:12" x14ac:dyDescent="0.45">
      <c r="A4386" s="12" t="s">
        <v>6030</v>
      </c>
      <c r="B4386" s="12" t="s">
        <v>842</v>
      </c>
      <c r="C4386" s="13" t="s">
        <v>843</v>
      </c>
      <c r="D4386" s="13" t="s">
        <v>23</v>
      </c>
      <c r="E4386" s="12" t="s">
        <v>16</v>
      </c>
      <c r="F4386" s="14">
        <v>38000</v>
      </c>
      <c r="G4386" s="14">
        <v>28650</v>
      </c>
      <c r="H4386" s="13" t="s">
        <v>6055</v>
      </c>
      <c r="I4386" s="40" t="s">
        <v>18</v>
      </c>
      <c r="J4386" s="40" t="str">
        <f>HYPERLINK("https://stock.pstatic.net/stock-research/company/21/20260317_company_571691000.pdf","PDF")</f>
        <v>PDF</v>
      </c>
      <c r="K4386" s="12" t="s">
        <v>6056</v>
      </c>
      <c r="L4386" s="20">
        <v>0.32635253054101221</v>
      </c>
    </row>
    <row r="4387" spans="1:12" x14ac:dyDescent="0.45">
      <c r="A4387" s="12" t="s">
        <v>6030</v>
      </c>
      <c r="B4387" s="12" t="s">
        <v>6057</v>
      </c>
      <c r="C4387" s="13" t="s">
        <v>6058</v>
      </c>
      <c r="D4387" s="13" t="s">
        <v>23</v>
      </c>
      <c r="E4387" s="12" t="s">
        <v>50</v>
      </c>
      <c r="F4387" s="13"/>
      <c r="G4387" s="14">
        <v>100200</v>
      </c>
      <c r="H4387" s="13" t="s">
        <v>6059</v>
      </c>
      <c r="I4387" s="40" t="s">
        <v>18</v>
      </c>
      <c r="J4387" s="40" t="str">
        <f>HYPERLINK("https://stock.pstatic.net/stock-research/company/21/20260317_company_117090000.pdf","PDF")</f>
        <v>PDF</v>
      </c>
      <c r="K4387" s="12" t="s">
        <v>6060</v>
      </c>
    </row>
    <row r="4388" spans="1:12" x14ac:dyDescent="0.45">
      <c r="A4388" s="12" t="s">
        <v>6030</v>
      </c>
      <c r="B4388" s="12" t="s">
        <v>95</v>
      </c>
      <c r="C4388" s="13" t="s">
        <v>31</v>
      </c>
      <c r="D4388" s="13" t="s">
        <v>23</v>
      </c>
      <c r="E4388" s="12" t="s">
        <v>16</v>
      </c>
      <c r="F4388" s="14">
        <v>45000</v>
      </c>
      <c r="G4388" s="14">
        <v>31350</v>
      </c>
      <c r="H4388" s="13" t="s">
        <v>6061</v>
      </c>
      <c r="I4388" s="40" t="s">
        <v>18</v>
      </c>
      <c r="J4388" s="40" t="str">
        <f>HYPERLINK("https://stock.pstatic.net/stock-research/company/21/20260317_company_598828000.pdf","PDF")</f>
        <v>PDF</v>
      </c>
      <c r="K4388" s="12" t="s">
        <v>6062</v>
      </c>
      <c r="L4388" s="20">
        <v>0.4354066985645933</v>
      </c>
    </row>
    <row r="4389" spans="1:12" x14ac:dyDescent="0.45">
      <c r="A4389" s="12" t="s">
        <v>6030</v>
      </c>
      <c r="B4389" s="12" t="s">
        <v>800</v>
      </c>
      <c r="C4389" s="13" t="s">
        <v>801</v>
      </c>
      <c r="D4389" s="13" t="s">
        <v>92</v>
      </c>
      <c r="E4389" s="12" t="s">
        <v>35</v>
      </c>
      <c r="F4389" s="14">
        <v>73000</v>
      </c>
      <c r="G4389" s="14">
        <v>56300</v>
      </c>
      <c r="H4389" s="13" t="s">
        <v>6063</v>
      </c>
      <c r="I4389" s="40" t="s">
        <v>18</v>
      </c>
      <c r="J4389" s="40" t="str">
        <f>HYPERLINK("https://stock.pstatic.net/stock-research/company/63/20260317_company_648157000.pdf","PDF")</f>
        <v>PDF</v>
      </c>
      <c r="K4389" s="12" t="s">
        <v>6064</v>
      </c>
      <c r="L4389" s="20">
        <v>0.2966252220248668</v>
      </c>
    </row>
    <row r="4390" spans="1:12" x14ac:dyDescent="0.45">
      <c r="A4390" s="12" t="s">
        <v>6030</v>
      </c>
      <c r="B4390" s="12" t="s">
        <v>1829</v>
      </c>
      <c r="C4390" s="13" t="s">
        <v>1830</v>
      </c>
      <c r="D4390" s="13" t="s">
        <v>179</v>
      </c>
      <c r="E4390" s="12" t="s">
        <v>16</v>
      </c>
      <c r="F4390" s="14">
        <v>30000</v>
      </c>
      <c r="G4390" s="14">
        <v>14190</v>
      </c>
      <c r="H4390" s="13" t="s">
        <v>6065</v>
      </c>
      <c r="I4390" s="40" t="s">
        <v>18</v>
      </c>
      <c r="J4390" s="40" t="str">
        <f>HYPERLINK("https://stock.pstatic.net/stock-research/company/64/20260317_company_913513000.pdf","PDF")</f>
        <v>PDF</v>
      </c>
      <c r="K4390" s="12" t="s">
        <v>6066</v>
      </c>
      <c r="L4390" s="20">
        <v>1.114164904862579</v>
      </c>
    </row>
    <row r="4391" spans="1:12" x14ac:dyDescent="0.45">
      <c r="A4391" s="12" t="s">
        <v>6030</v>
      </c>
      <c r="B4391" s="12" t="s">
        <v>1120</v>
      </c>
      <c r="C4391" s="13" t="s">
        <v>1121</v>
      </c>
      <c r="D4391" s="13" t="s">
        <v>44</v>
      </c>
      <c r="E4391" s="12" t="s">
        <v>35</v>
      </c>
      <c r="F4391" s="14">
        <v>175000</v>
      </c>
      <c r="G4391" s="14">
        <v>129000</v>
      </c>
      <c r="H4391" s="13" t="s">
        <v>6067</v>
      </c>
      <c r="I4391" s="40" t="s">
        <v>18</v>
      </c>
      <c r="J4391" s="40" t="str">
        <f>HYPERLINK("https://stock.pstatic.net/stock-research/company/39/20260317_company_505172000.pdf","PDF")</f>
        <v>PDF</v>
      </c>
      <c r="K4391" s="12" t="s">
        <v>6068</v>
      </c>
      <c r="L4391" s="20">
        <v>0.35658914728682167</v>
      </c>
    </row>
    <row r="4392" spans="1:12" x14ac:dyDescent="0.45">
      <c r="A4392" s="12" t="s">
        <v>6030</v>
      </c>
      <c r="B4392" s="12" t="s">
        <v>2621</v>
      </c>
      <c r="C4392" s="13" t="s">
        <v>2622</v>
      </c>
      <c r="D4392" s="13" t="s">
        <v>124</v>
      </c>
      <c r="E4392" s="12" t="s">
        <v>50</v>
      </c>
      <c r="F4392" s="13"/>
      <c r="G4392" s="13"/>
      <c r="H4392" s="13" t="s">
        <v>6069</v>
      </c>
      <c r="I4392" s="40" t="s">
        <v>18</v>
      </c>
      <c r="J4392" s="40" t="str">
        <f>HYPERLINK("https://stock.pstatic.net/stock-research/company/74/20260317_company_966835000.pdf","PDF")</f>
        <v>PDF</v>
      </c>
      <c r="K4392" s="12" t="s">
        <v>6070</v>
      </c>
    </row>
    <row r="4393" spans="1:12" x14ac:dyDescent="0.45">
      <c r="A4393" s="12" t="s">
        <v>6030</v>
      </c>
      <c r="B4393" s="12" t="s">
        <v>6071</v>
      </c>
      <c r="C4393" s="13" t="s">
        <v>6072</v>
      </c>
      <c r="D4393" s="13" t="s">
        <v>124</v>
      </c>
      <c r="E4393" s="12" t="s">
        <v>50</v>
      </c>
      <c r="F4393" s="13"/>
      <c r="G4393" s="13"/>
      <c r="H4393" s="13" t="s">
        <v>6073</v>
      </c>
      <c r="I4393" s="40" t="s">
        <v>18</v>
      </c>
      <c r="J4393" s="40" t="str">
        <f>HYPERLINK("https://stock.pstatic.net/stock-research/company/74/20260317_company_756902000.pdf","PDF")</f>
        <v>PDF</v>
      </c>
      <c r="K4393" s="12" t="s">
        <v>6074</v>
      </c>
    </row>
    <row r="4394" spans="1:12" x14ac:dyDescent="0.45">
      <c r="A4394" s="12" t="s">
        <v>6030</v>
      </c>
      <c r="B4394" s="12" t="s">
        <v>1176</v>
      </c>
      <c r="C4394" s="13" t="s">
        <v>1177</v>
      </c>
      <c r="D4394" s="13" t="s">
        <v>53</v>
      </c>
      <c r="E4394" s="12" t="s">
        <v>16</v>
      </c>
      <c r="F4394" s="14">
        <v>19000</v>
      </c>
      <c r="G4394" s="14">
        <v>15600</v>
      </c>
      <c r="H4394" s="13" t="s">
        <v>6075</v>
      </c>
      <c r="I4394" s="40" t="s">
        <v>18</v>
      </c>
      <c r="J4394" s="40" t="str">
        <f>HYPERLINK("https://stock.pstatic.net/stock-research/company/40/20260317_company_960230000.pdf","PDF")</f>
        <v>PDF</v>
      </c>
      <c r="K4394" s="12" t="s">
        <v>6076</v>
      </c>
      <c r="L4394" s="20">
        <v>0.21794871794871801</v>
      </c>
    </row>
    <row r="4395" spans="1:12" x14ac:dyDescent="0.45">
      <c r="A4395" s="12" t="s">
        <v>6077</v>
      </c>
      <c r="B4395" s="12" t="s">
        <v>3244</v>
      </c>
      <c r="C4395" s="13" t="s">
        <v>3245</v>
      </c>
      <c r="D4395" s="13" t="s">
        <v>57</v>
      </c>
      <c r="E4395" s="12" t="s">
        <v>35</v>
      </c>
      <c r="F4395" s="14">
        <v>80000</v>
      </c>
      <c r="G4395" s="14">
        <v>60400</v>
      </c>
      <c r="H4395" s="13" t="s">
        <v>6078</v>
      </c>
      <c r="I4395" s="40" t="s">
        <v>18</v>
      </c>
      <c r="J4395" s="40" t="str">
        <f>HYPERLINK("https://stock.pstatic.net/stock-research/company/16/20260316_company_650926000.pdf","PDF")</f>
        <v>PDF</v>
      </c>
      <c r="K4395" s="12" t="s">
        <v>6079</v>
      </c>
      <c r="L4395" s="20">
        <v>0.32450331125827808</v>
      </c>
    </row>
    <row r="4396" spans="1:12" x14ac:dyDescent="0.45">
      <c r="A4396" s="12" t="s">
        <v>6077</v>
      </c>
      <c r="B4396" s="12" t="s">
        <v>4446</v>
      </c>
      <c r="C4396" s="13" t="s">
        <v>4447</v>
      </c>
      <c r="D4396" s="13" t="s">
        <v>65</v>
      </c>
      <c r="E4396" s="12" t="s">
        <v>50</v>
      </c>
      <c r="F4396" s="13"/>
      <c r="G4396" s="14">
        <v>72600</v>
      </c>
      <c r="H4396" s="13" t="s">
        <v>6080</v>
      </c>
      <c r="I4396" s="40" t="s">
        <v>18</v>
      </c>
      <c r="J4396" s="40" t="str">
        <f>HYPERLINK("https://stock.pstatic.net/stock-research/company/57/20260316_company_228528000.pdf","PDF")</f>
        <v>PDF</v>
      </c>
      <c r="K4396" s="12" t="s">
        <v>6081</v>
      </c>
    </row>
    <row r="4397" spans="1:12" x14ac:dyDescent="0.45">
      <c r="A4397" s="12" t="s">
        <v>6077</v>
      </c>
      <c r="B4397" s="12" t="s">
        <v>1065</v>
      </c>
      <c r="C4397" s="13" t="s">
        <v>1066</v>
      </c>
      <c r="D4397" s="13" t="s">
        <v>158</v>
      </c>
      <c r="E4397" s="12" t="s">
        <v>35</v>
      </c>
      <c r="F4397" s="14">
        <v>300000</v>
      </c>
      <c r="G4397" s="14">
        <v>232500</v>
      </c>
      <c r="H4397" s="13" t="s">
        <v>6082</v>
      </c>
      <c r="I4397" s="40" t="s">
        <v>18</v>
      </c>
      <c r="J4397" s="40" t="str">
        <f>HYPERLINK("https://stock.pstatic.net/stock-research/company/18/20260316_company_462644000.pdf","PDF")</f>
        <v>PDF</v>
      </c>
      <c r="K4397" s="12" t="s">
        <v>6083</v>
      </c>
      <c r="L4397" s="20">
        <v>0.29032258064516131</v>
      </c>
    </row>
    <row r="4398" spans="1:12" x14ac:dyDescent="0.45">
      <c r="A4398" s="12" t="s">
        <v>6077</v>
      </c>
      <c r="B4398" s="12" t="s">
        <v>1136</v>
      </c>
      <c r="C4398" s="13" t="s">
        <v>1137</v>
      </c>
      <c r="D4398" s="13" t="s">
        <v>23</v>
      </c>
      <c r="E4398" s="12" t="s">
        <v>16</v>
      </c>
      <c r="F4398" s="14">
        <v>56000</v>
      </c>
      <c r="G4398" s="14">
        <v>46550</v>
      </c>
      <c r="H4398" s="13" t="s">
        <v>6084</v>
      </c>
      <c r="I4398" s="40" t="s">
        <v>18</v>
      </c>
      <c r="J4398" s="40" t="str">
        <f>HYPERLINK("https://stock.pstatic.net/stock-research/company/21/20260316_company_631187000.pdf","PDF")</f>
        <v>PDF</v>
      </c>
      <c r="K4398" s="12" t="s">
        <v>6085</v>
      </c>
      <c r="L4398" s="20">
        <v>0.2030075187969925</v>
      </c>
    </row>
    <row r="4399" spans="1:12" x14ac:dyDescent="0.45">
      <c r="A4399" s="12" t="s">
        <v>6077</v>
      </c>
      <c r="B4399" s="12" t="s">
        <v>6086</v>
      </c>
      <c r="C4399" s="13" t="s">
        <v>6087</v>
      </c>
      <c r="D4399" s="13" t="s">
        <v>15</v>
      </c>
      <c r="E4399" s="12" t="s">
        <v>50</v>
      </c>
      <c r="F4399" s="13"/>
      <c r="G4399" s="14">
        <v>10970</v>
      </c>
      <c r="H4399" s="13" t="s">
        <v>6088</v>
      </c>
      <c r="I4399" s="40" t="s">
        <v>18</v>
      </c>
      <c r="J4399" s="40" t="str">
        <f>HYPERLINK("https://stock.pstatic.net/stock-research/company/56/20260316_company_579931000.pdf","PDF")</f>
        <v>PDF</v>
      </c>
      <c r="K4399" s="12" t="s">
        <v>6089</v>
      </c>
    </row>
    <row r="4400" spans="1:12" x14ac:dyDescent="0.45">
      <c r="A4400" s="12" t="s">
        <v>6077</v>
      </c>
      <c r="B4400" s="12" t="s">
        <v>13</v>
      </c>
      <c r="C4400" s="13" t="s">
        <v>14</v>
      </c>
      <c r="D4400" s="13" t="s">
        <v>83</v>
      </c>
      <c r="E4400" s="12" t="s">
        <v>35</v>
      </c>
      <c r="F4400" s="14">
        <v>270000</v>
      </c>
      <c r="G4400" s="14">
        <v>183500</v>
      </c>
      <c r="H4400" s="13" t="s">
        <v>6090</v>
      </c>
      <c r="I4400" s="40" t="s">
        <v>18</v>
      </c>
      <c r="J4400" s="40" t="str">
        <f>HYPERLINK("https://stock.pstatic.net/stock-research/company/15/20260316_company_287102000.pdf","PDF")</f>
        <v>PDF</v>
      </c>
      <c r="K4400" s="12" t="s">
        <v>6091</v>
      </c>
      <c r="L4400" s="20">
        <v>0.47138964577656678</v>
      </c>
    </row>
    <row r="4401" spans="1:12" x14ac:dyDescent="0.45">
      <c r="A4401" s="12" t="s">
        <v>6077</v>
      </c>
      <c r="B4401" s="12" t="s">
        <v>334</v>
      </c>
      <c r="C4401" s="13" t="s">
        <v>335</v>
      </c>
      <c r="D4401" s="13" t="s">
        <v>83</v>
      </c>
      <c r="E4401" s="12" t="s">
        <v>35</v>
      </c>
      <c r="F4401" s="14">
        <v>1450000</v>
      </c>
      <c r="G4401" s="14">
        <v>910000</v>
      </c>
      <c r="H4401" s="13" t="s">
        <v>6092</v>
      </c>
      <c r="I4401" s="40" t="s">
        <v>18</v>
      </c>
      <c r="J4401" s="40" t="str">
        <f>HYPERLINK("https://stock.pstatic.net/stock-research/company/15/20260316_company_77747000.pdf","PDF")</f>
        <v>PDF</v>
      </c>
      <c r="K4401" s="12" t="s">
        <v>6093</v>
      </c>
      <c r="L4401" s="20">
        <v>0.59340659340659341</v>
      </c>
    </row>
    <row r="4402" spans="1:12" x14ac:dyDescent="0.45">
      <c r="A4402" s="12" t="s">
        <v>6077</v>
      </c>
      <c r="B4402" s="12" t="s">
        <v>519</v>
      </c>
      <c r="C4402" s="13" t="s">
        <v>520</v>
      </c>
      <c r="D4402" s="13" t="s">
        <v>83</v>
      </c>
      <c r="E4402" s="12" t="s">
        <v>35</v>
      </c>
      <c r="F4402" s="14">
        <v>660000</v>
      </c>
      <c r="G4402" s="14">
        <v>521000</v>
      </c>
      <c r="H4402" s="13" t="s">
        <v>6094</v>
      </c>
      <c r="I4402" s="40" t="s">
        <v>18</v>
      </c>
      <c r="J4402" s="40" t="str">
        <f>HYPERLINK("https://stock.pstatic.net/stock-research/company/15/20260316_company_2226000.pdf","PDF")</f>
        <v>PDF</v>
      </c>
      <c r="K4402" s="12" t="s">
        <v>6095</v>
      </c>
      <c r="L4402" s="20">
        <v>0.2667946257197697</v>
      </c>
    </row>
    <row r="4403" spans="1:12" x14ac:dyDescent="0.45">
      <c r="A4403" s="12" t="s">
        <v>6077</v>
      </c>
      <c r="B4403" s="12" t="s">
        <v>665</v>
      </c>
      <c r="C4403" s="13" t="s">
        <v>666</v>
      </c>
      <c r="D4403" s="13" t="s">
        <v>53</v>
      </c>
      <c r="E4403" s="12" t="s">
        <v>16</v>
      </c>
      <c r="F4403" s="14">
        <v>42000</v>
      </c>
      <c r="G4403" s="14">
        <v>26900</v>
      </c>
      <c r="H4403" s="13" t="s">
        <v>6096</v>
      </c>
      <c r="I4403" s="40" t="s">
        <v>18</v>
      </c>
      <c r="J4403" s="40" t="str">
        <f>HYPERLINK("https://stock.pstatic.net/stock-research/company/40/20260316_company_455873000.pdf","PDF")</f>
        <v>PDF</v>
      </c>
      <c r="K4403" s="12" t="s">
        <v>6097</v>
      </c>
      <c r="L4403" s="20">
        <v>0.56133828996282531</v>
      </c>
    </row>
    <row r="4404" spans="1:12" x14ac:dyDescent="0.45">
      <c r="A4404" s="12" t="s">
        <v>6077</v>
      </c>
      <c r="B4404" s="12" t="s">
        <v>90</v>
      </c>
      <c r="C4404" s="13" t="s">
        <v>91</v>
      </c>
      <c r="D4404" s="13" t="s">
        <v>92</v>
      </c>
      <c r="E4404" s="12" t="s">
        <v>35</v>
      </c>
      <c r="F4404" s="14">
        <v>70000</v>
      </c>
      <c r="G4404" s="14">
        <v>45900</v>
      </c>
      <c r="H4404" s="13" t="s">
        <v>6098</v>
      </c>
      <c r="I4404" s="40" t="s">
        <v>18</v>
      </c>
      <c r="J4404" s="40" t="str">
        <f>HYPERLINK("https://stock.pstatic.net/stock-research/company/63/20260316_company_818281000.pdf","PDF")</f>
        <v>PDF</v>
      </c>
      <c r="K4404" s="12" t="s">
        <v>6099</v>
      </c>
      <c r="L4404" s="20">
        <v>0.52505446623093677</v>
      </c>
    </row>
    <row r="4405" spans="1:12" x14ac:dyDescent="0.45">
      <c r="A4405" s="12" t="s">
        <v>6077</v>
      </c>
      <c r="B4405" s="12" t="s">
        <v>3403</v>
      </c>
      <c r="C4405" s="13" t="s">
        <v>3404</v>
      </c>
      <c r="D4405" s="13" t="s">
        <v>34</v>
      </c>
      <c r="E4405" s="12" t="s">
        <v>35</v>
      </c>
      <c r="F4405" s="14">
        <v>57000</v>
      </c>
      <c r="G4405" s="14">
        <v>47800</v>
      </c>
      <c r="H4405" s="13" t="s">
        <v>6100</v>
      </c>
      <c r="I4405" s="40" t="s">
        <v>18</v>
      </c>
      <c r="J4405" s="40" t="str">
        <f>HYPERLINK("https://stock.pstatic.net/stock-research/company/61/20260316_company_605149000.pdf","PDF")</f>
        <v>PDF</v>
      </c>
      <c r="K4405" s="12" t="s">
        <v>6101</v>
      </c>
      <c r="L4405" s="20">
        <v>0.1924686192468619</v>
      </c>
    </row>
    <row r="4406" spans="1:12" x14ac:dyDescent="0.45">
      <c r="A4406" s="12" t="s">
        <v>6077</v>
      </c>
      <c r="B4406" s="12" t="s">
        <v>6102</v>
      </c>
      <c r="C4406" s="13" t="s">
        <v>6103</v>
      </c>
      <c r="D4406" s="13" t="s">
        <v>92</v>
      </c>
      <c r="E4406" s="12" t="s">
        <v>50</v>
      </c>
      <c r="F4406" s="13"/>
      <c r="G4406" s="14">
        <v>4720</v>
      </c>
      <c r="H4406" s="13" t="s">
        <v>6104</v>
      </c>
      <c r="I4406" s="40" t="s">
        <v>18</v>
      </c>
      <c r="J4406" s="40" t="str">
        <f>HYPERLINK("https://stock.pstatic.net/stock-research/company/63/20260316_company_191588000.pdf","PDF")</f>
        <v>PDF</v>
      </c>
      <c r="K4406" s="12" t="s">
        <v>6105</v>
      </c>
    </row>
    <row r="4407" spans="1:12" x14ac:dyDescent="0.45">
      <c r="A4407" s="12" t="s">
        <v>6077</v>
      </c>
      <c r="B4407" s="12" t="s">
        <v>2827</v>
      </c>
      <c r="C4407" s="13" t="s">
        <v>2828</v>
      </c>
      <c r="D4407" s="13" t="s">
        <v>34</v>
      </c>
      <c r="E4407" s="12" t="s">
        <v>50</v>
      </c>
      <c r="F4407" s="13"/>
      <c r="G4407" s="14">
        <v>52400</v>
      </c>
      <c r="H4407" s="13" t="s">
        <v>6106</v>
      </c>
      <c r="I4407" s="40" t="s">
        <v>18</v>
      </c>
      <c r="J4407" s="40" t="str">
        <f>HYPERLINK("https://stock.pstatic.net/stock-research/company/61/20260316_company_613743000.pdf","PDF")</f>
        <v>PDF</v>
      </c>
      <c r="K4407" s="12" t="s">
        <v>6107</v>
      </c>
    </row>
    <row r="4408" spans="1:12" x14ac:dyDescent="0.45">
      <c r="A4408" s="12" t="s">
        <v>6077</v>
      </c>
      <c r="B4408" s="12" t="s">
        <v>334</v>
      </c>
      <c r="C4408" s="13" t="s">
        <v>335</v>
      </c>
      <c r="D4408" s="13" t="s">
        <v>15</v>
      </c>
      <c r="E4408" s="12" t="s">
        <v>16</v>
      </c>
      <c r="F4408" s="14">
        <v>1540000</v>
      </c>
      <c r="G4408" s="14">
        <v>910000</v>
      </c>
      <c r="H4408" s="13" t="s">
        <v>6108</v>
      </c>
      <c r="I4408" s="40" t="s">
        <v>18</v>
      </c>
      <c r="J4408" s="40" t="str">
        <f>HYPERLINK("https://stock.pstatic.net/stock-research/company/56/20260316_company_995708000.pdf","PDF")</f>
        <v>PDF</v>
      </c>
      <c r="K4408" s="12" t="s">
        <v>6109</v>
      </c>
      <c r="L4408" s="20">
        <v>0.69230769230769229</v>
      </c>
    </row>
    <row r="4409" spans="1:12" x14ac:dyDescent="0.45">
      <c r="A4409" s="12" t="s">
        <v>6077</v>
      </c>
      <c r="B4409" s="12" t="s">
        <v>6110</v>
      </c>
      <c r="C4409" s="13" t="s">
        <v>6111</v>
      </c>
      <c r="D4409" s="13" t="s">
        <v>92</v>
      </c>
      <c r="E4409" s="12" t="s">
        <v>50</v>
      </c>
      <c r="F4409" s="13"/>
      <c r="G4409" s="14">
        <v>3310</v>
      </c>
      <c r="H4409" s="13" t="s">
        <v>6112</v>
      </c>
      <c r="I4409" s="40" t="s">
        <v>18</v>
      </c>
      <c r="J4409" s="40" t="str">
        <f>HYPERLINK("https://stock.pstatic.net/stock-research/company/63/20260316_company_880550000.pdf","PDF")</f>
        <v>PDF</v>
      </c>
      <c r="K4409" s="12" t="s">
        <v>6113</v>
      </c>
    </row>
    <row r="4410" spans="1:12" x14ac:dyDescent="0.45">
      <c r="A4410" s="12" t="s">
        <v>6077</v>
      </c>
      <c r="B4410" s="12" t="s">
        <v>1656</v>
      </c>
      <c r="C4410" s="13" t="s">
        <v>1657</v>
      </c>
      <c r="D4410" s="13" t="s">
        <v>44</v>
      </c>
      <c r="E4410" s="12" t="s">
        <v>35</v>
      </c>
      <c r="F4410" s="14">
        <v>450000</v>
      </c>
      <c r="G4410" s="14">
        <v>326000</v>
      </c>
      <c r="H4410" s="13" t="s">
        <v>6114</v>
      </c>
      <c r="I4410" s="40" t="s">
        <v>18</v>
      </c>
      <c r="J4410" s="40" t="str">
        <f>HYPERLINK("https://stock.pstatic.net/stock-research/company/39/20260316_company_741590000.pdf","PDF")</f>
        <v>PDF</v>
      </c>
      <c r="K4410" s="12" t="s">
        <v>6115</v>
      </c>
      <c r="L4410" s="20">
        <v>0.38036809815950923</v>
      </c>
    </row>
    <row r="4411" spans="1:12" x14ac:dyDescent="0.45">
      <c r="A4411" s="12" t="s">
        <v>6077</v>
      </c>
      <c r="B4411" s="12" t="s">
        <v>1682</v>
      </c>
      <c r="C4411" s="13" t="s">
        <v>4787</v>
      </c>
      <c r="D4411" s="13" t="s">
        <v>44</v>
      </c>
      <c r="E4411" s="12" t="s">
        <v>35</v>
      </c>
      <c r="F4411" s="14">
        <v>430000</v>
      </c>
      <c r="G4411" s="14">
        <v>228500</v>
      </c>
      <c r="H4411" s="13" t="s">
        <v>6116</v>
      </c>
      <c r="I4411" s="40" t="s">
        <v>18</v>
      </c>
      <c r="J4411" s="40" t="str">
        <f>HYPERLINK("https://stock.pstatic.net/stock-research/company/39/20260316_company_676609000.pdf","PDF")</f>
        <v>PDF</v>
      </c>
      <c r="K4411" s="12" t="s">
        <v>6117</v>
      </c>
      <c r="L4411" s="20">
        <v>0.88183807439824946</v>
      </c>
    </row>
    <row r="4412" spans="1:12" x14ac:dyDescent="0.45">
      <c r="A4412" s="12" t="s">
        <v>6077</v>
      </c>
      <c r="B4412" s="12" t="s">
        <v>740</v>
      </c>
      <c r="C4412" s="13" t="s">
        <v>741</v>
      </c>
      <c r="D4412" s="13" t="s">
        <v>15</v>
      </c>
      <c r="E4412" s="12" t="s">
        <v>16</v>
      </c>
      <c r="F4412" s="14">
        <v>360000</v>
      </c>
      <c r="G4412" s="14">
        <v>254000</v>
      </c>
      <c r="H4412" s="13" t="s">
        <v>6118</v>
      </c>
      <c r="I4412" s="40" t="s">
        <v>18</v>
      </c>
      <c r="J4412" s="40" t="str">
        <f>HYPERLINK("https://stock.pstatic.net/stock-research/company/56/20260316_company_103486000.pdf","PDF")</f>
        <v>PDF</v>
      </c>
      <c r="K4412" s="12" t="s">
        <v>6119</v>
      </c>
      <c r="L4412" s="20">
        <v>0.41732283464566933</v>
      </c>
    </row>
    <row r="4413" spans="1:12" x14ac:dyDescent="0.45">
      <c r="A4413" s="12" t="s">
        <v>6120</v>
      </c>
      <c r="B4413" s="12" t="s">
        <v>2308</v>
      </c>
      <c r="C4413" s="13" t="s">
        <v>2309</v>
      </c>
      <c r="D4413" s="13" t="s">
        <v>158</v>
      </c>
      <c r="E4413" s="12" t="s">
        <v>50</v>
      </c>
      <c r="F4413" s="13"/>
      <c r="G4413" s="14">
        <v>21000</v>
      </c>
      <c r="H4413" s="13" t="s">
        <v>6121</v>
      </c>
      <c r="I4413" s="40" t="s">
        <v>18</v>
      </c>
      <c r="J4413" s="40" t="str">
        <f>HYPERLINK("https://stock.pstatic.net/stock-research/company/18/20260313_company_888728000.pdf","PDF")</f>
        <v>PDF</v>
      </c>
      <c r="K4413" s="12" t="s">
        <v>6122</v>
      </c>
    </row>
    <row r="4414" spans="1:12" x14ac:dyDescent="0.45">
      <c r="A4414" s="12" t="s">
        <v>6120</v>
      </c>
      <c r="B4414" s="12" t="s">
        <v>2243</v>
      </c>
      <c r="C4414" s="13" t="s">
        <v>2244</v>
      </c>
      <c r="D4414" s="13" t="s">
        <v>158</v>
      </c>
      <c r="E4414" s="12" t="s">
        <v>50</v>
      </c>
      <c r="F4414" s="13"/>
      <c r="G4414" s="14">
        <v>8770</v>
      </c>
      <c r="H4414" s="13" t="s">
        <v>6123</v>
      </c>
      <c r="I4414" s="40" t="s">
        <v>18</v>
      </c>
      <c r="J4414" s="40" t="str">
        <f>HYPERLINK("https://stock.pstatic.net/stock-research/company/18/20260313_company_321074000.pdf","PDF")</f>
        <v>PDF</v>
      </c>
      <c r="K4414" s="12" t="s">
        <v>6124</v>
      </c>
    </row>
    <row r="4415" spans="1:12" x14ac:dyDescent="0.45">
      <c r="A4415" s="12" t="s">
        <v>6120</v>
      </c>
      <c r="B4415" s="12" t="s">
        <v>2712</v>
      </c>
      <c r="C4415" s="13" t="s">
        <v>2713</v>
      </c>
      <c r="D4415" s="13" t="s">
        <v>65</v>
      </c>
      <c r="E4415" s="12" t="s">
        <v>35</v>
      </c>
      <c r="F4415" s="14">
        <v>80000</v>
      </c>
      <c r="G4415" s="14">
        <v>64400</v>
      </c>
      <c r="H4415" s="13" t="s">
        <v>6125</v>
      </c>
      <c r="I4415" s="40" t="s">
        <v>18</v>
      </c>
      <c r="J4415" s="40" t="str">
        <f>HYPERLINK("https://stock.pstatic.net/stock-research/company/57/20260313_company_921243000.pdf","PDF")</f>
        <v>PDF</v>
      </c>
      <c r="K4415" s="12" t="s">
        <v>6126</v>
      </c>
      <c r="L4415" s="20">
        <v>0.24223602484472051</v>
      </c>
    </row>
    <row r="4416" spans="1:12" x14ac:dyDescent="0.45">
      <c r="A4416" s="12" t="s">
        <v>6120</v>
      </c>
      <c r="B4416" s="12" t="s">
        <v>541</v>
      </c>
      <c r="C4416" s="13" t="s">
        <v>542</v>
      </c>
      <c r="D4416" s="13" t="s">
        <v>65</v>
      </c>
      <c r="E4416" s="12" t="s">
        <v>35</v>
      </c>
      <c r="F4416" s="14">
        <v>100000</v>
      </c>
      <c r="G4416" s="14">
        <v>76200</v>
      </c>
      <c r="H4416" s="13" t="s">
        <v>6127</v>
      </c>
      <c r="I4416" s="40" t="s">
        <v>18</v>
      </c>
      <c r="J4416" s="40" t="str">
        <f>HYPERLINK("https://stock.pstatic.net/stock-research/company/57/20260313_company_363254000.pdf","PDF")</f>
        <v>PDF</v>
      </c>
      <c r="K4416" s="12" t="s">
        <v>6128</v>
      </c>
      <c r="L4416" s="20">
        <v>0.31233595800524933</v>
      </c>
    </row>
    <row r="4417" spans="1:12" x14ac:dyDescent="0.45">
      <c r="A4417" s="12" t="s">
        <v>6120</v>
      </c>
      <c r="B4417" s="12" t="s">
        <v>13</v>
      </c>
      <c r="C4417" s="13" t="s">
        <v>14</v>
      </c>
      <c r="D4417" s="13" t="s">
        <v>65</v>
      </c>
      <c r="E4417" s="12" t="s">
        <v>35</v>
      </c>
      <c r="F4417" s="14">
        <v>300000</v>
      </c>
      <c r="G4417" s="14">
        <v>187900</v>
      </c>
      <c r="H4417" s="13" t="s">
        <v>6129</v>
      </c>
      <c r="I4417" s="40" t="s">
        <v>18</v>
      </c>
      <c r="J4417" s="40" t="str">
        <f>HYPERLINK("https://stock.pstatic.net/stock-research/company/57/20260313_company_646345000.pdf","PDF")</f>
        <v>PDF</v>
      </c>
      <c r="K4417" s="12" t="s">
        <v>6130</v>
      </c>
      <c r="L4417" s="20">
        <v>0.59659393294305485</v>
      </c>
    </row>
    <row r="4418" spans="1:12" x14ac:dyDescent="0.45">
      <c r="A4418" s="12" t="s">
        <v>6120</v>
      </c>
      <c r="B4418" s="12" t="s">
        <v>6131</v>
      </c>
      <c r="C4418" s="13" t="s">
        <v>6132</v>
      </c>
      <c r="D4418" s="13" t="s">
        <v>65</v>
      </c>
      <c r="E4418" s="12" t="s">
        <v>35</v>
      </c>
      <c r="F4418" s="14">
        <v>15000</v>
      </c>
      <c r="G4418" s="14">
        <v>12130</v>
      </c>
      <c r="H4418" s="13" t="s">
        <v>6133</v>
      </c>
      <c r="I4418" s="40" t="s">
        <v>18</v>
      </c>
      <c r="J4418" s="40" t="str">
        <f>HYPERLINK("https://stock.pstatic.net/stock-research/company/57/20260313_company_852013000.pdf","PDF")</f>
        <v>PDF</v>
      </c>
      <c r="K4418" s="12" t="s">
        <v>6134</v>
      </c>
      <c r="L4418" s="20">
        <v>0.23660346248969499</v>
      </c>
    </row>
    <row r="4419" spans="1:12" x14ac:dyDescent="0.45">
      <c r="A4419" s="12" t="s">
        <v>6120</v>
      </c>
      <c r="B4419" s="12" t="s">
        <v>3244</v>
      </c>
      <c r="C4419" s="13" t="s">
        <v>3245</v>
      </c>
      <c r="D4419" s="13" t="s">
        <v>65</v>
      </c>
      <c r="E4419" s="12" t="s">
        <v>50</v>
      </c>
      <c r="F4419" s="13"/>
      <c r="G4419" s="14">
        <v>60700</v>
      </c>
      <c r="H4419" s="13" t="s">
        <v>6135</v>
      </c>
      <c r="I4419" s="40" t="s">
        <v>18</v>
      </c>
      <c r="J4419" s="40" t="str">
        <f>HYPERLINK("https://stock.pstatic.net/stock-research/company/57/20260313_company_43393000.pdf","PDF")</f>
        <v>PDF</v>
      </c>
      <c r="K4419" s="12" t="s">
        <v>6136</v>
      </c>
    </row>
    <row r="4420" spans="1:12" x14ac:dyDescent="0.45">
      <c r="A4420" s="12" t="s">
        <v>6120</v>
      </c>
      <c r="B4420" s="12" t="s">
        <v>6137</v>
      </c>
      <c r="C4420" s="13" t="s">
        <v>6138</v>
      </c>
      <c r="D4420" s="13" t="s">
        <v>23</v>
      </c>
      <c r="E4420" s="12" t="s">
        <v>50</v>
      </c>
      <c r="F4420" s="13"/>
      <c r="G4420" s="14">
        <v>38500</v>
      </c>
      <c r="H4420" s="13" t="s">
        <v>6139</v>
      </c>
      <c r="I4420" s="40" t="s">
        <v>18</v>
      </c>
      <c r="J4420" s="40" t="str">
        <f>HYPERLINK("https://stock.pstatic.net/stock-research/company/21/20260313_company_972154000.pdf","PDF")</f>
        <v>PDF</v>
      </c>
      <c r="K4420" s="12" t="s">
        <v>6140</v>
      </c>
    </row>
    <row r="4421" spans="1:12" x14ac:dyDescent="0.45">
      <c r="A4421" s="12" t="s">
        <v>6120</v>
      </c>
      <c r="B4421" s="12" t="s">
        <v>4864</v>
      </c>
      <c r="C4421" s="13" t="s">
        <v>4865</v>
      </c>
      <c r="D4421" s="13" t="s">
        <v>23</v>
      </c>
      <c r="E4421" s="12" t="s">
        <v>50</v>
      </c>
      <c r="F4421" s="14">
        <v>32000</v>
      </c>
      <c r="G4421" s="14">
        <v>32300</v>
      </c>
      <c r="H4421" s="13" t="s">
        <v>6141</v>
      </c>
      <c r="I4421" s="40" t="s">
        <v>18</v>
      </c>
      <c r="J4421" s="40" t="str">
        <f>HYPERLINK("https://stock.pstatic.net/stock-research/company/21/20260313_company_511711000.pdf","PDF")</f>
        <v>PDF</v>
      </c>
      <c r="K4421" s="12" t="s">
        <v>6142</v>
      </c>
      <c r="L4421" s="20">
        <v>-9.2879256965944269E-3</v>
      </c>
    </row>
    <row r="4422" spans="1:12" x14ac:dyDescent="0.45">
      <c r="A4422" s="12" t="s">
        <v>6120</v>
      </c>
      <c r="B4422" s="12" t="s">
        <v>2308</v>
      </c>
      <c r="C4422" s="13" t="s">
        <v>2309</v>
      </c>
      <c r="D4422" s="13" t="s">
        <v>92</v>
      </c>
      <c r="E4422" s="12" t="s">
        <v>35</v>
      </c>
      <c r="F4422" s="14">
        <v>28000</v>
      </c>
      <c r="G4422" s="14">
        <v>21000</v>
      </c>
      <c r="H4422" s="13" t="s">
        <v>6143</v>
      </c>
      <c r="I4422" s="40" t="s">
        <v>18</v>
      </c>
      <c r="J4422" s="40" t="str">
        <f>HYPERLINK("https://stock.pstatic.net/stock-research/company/63/20260313_company_966210000.pdf","PDF")</f>
        <v>PDF</v>
      </c>
      <c r="K4422" s="12" t="s">
        <v>6144</v>
      </c>
      <c r="L4422" s="20">
        <v>0.33333333333333331</v>
      </c>
    </row>
    <row r="4423" spans="1:12" x14ac:dyDescent="0.45">
      <c r="A4423" s="12" t="s">
        <v>6120</v>
      </c>
      <c r="B4423" s="12" t="s">
        <v>5246</v>
      </c>
      <c r="C4423" s="13" t="s">
        <v>5247</v>
      </c>
      <c r="D4423" s="13" t="s">
        <v>179</v>
      </c>
      <c r="E4423" s="12" t="s">
        <v>50</v>
      </c>
      <c r="F4423" s="13"/>
      <c r="G4423" s="14">
        <v>4780</v>
      </c>
      <c r="H4423" s="13" t="s">
        <v>6145</v>
      </c>
      <c r="I4423" s="40" t="s">
        <v>18</v>
      </c>
      <c r="J4423" s="40" t="str">
        <f>HYPERLINK("https://stock.pstatic.net/stock-research/company/64/20260313_company_791053000.pdf","PDF")</f>
        <v>PDF</v>
      </c>
      <c r="K4423" s="12" t="s">
        <v>6146</v>
      </c>
    </row>
    <row r="4424" spans="1:12" x14ac:dyDescent="0.45">
      <c r="A4424" s="12" t="s">
        <v>6120</v>
      </c>
      <c r="B4424" s="12" t="s">
        <v>868</v>
      </c>
      <c r="C4424" s="13" t="s">
        <v>869</v>
      </c>
      <c r="D4424" s="13" t="s">
        <v>124</v>
      </c>
      <c r="E4424" s="12" t="s">
        <v>50</v>
      </c>
      <c r="F4424" s="13"/>
      <c r="G4424" s="13"/>
      <c r="H4424" s="13" t="s">
        <v>6147</v>
      </c>
      <c r="I4424" s="40" t="s">
        <v>18</v>
      </c>
      <c r="J4424" s="40" t="str">
        <f>HYPERLINK("https://stock.pstatic.net/stock-research/company/74/20260313_company_982413000.pdf","PDF")</f>
        <v>PDF</v>
      </c>
      <c r="K4424" s="12" t="s">
        <v>6148</v>
      </c>
    </row>
    <row r="4425" spans="1:12" x14ac:dyDescent="0.45">
      <c r="A4425" s="12" t="s">
        <v>6149</v>
      </c>
      <c r="B4425" s="12" t="s">
        <v>1308</v>
      </c>
      <c r="C4425" s="13" t="s">
        <v>1309</v>
      </c>
      <c r="D4425" s="13" t="s">
        <v>276</v>
      </c>
      <c r="E4425" s="12" t="s">
        <v>16</v>
      </c>
      <c r="F4425" s="14">
        <v>550000</v>
      </c>
      <c r="G4425" s="14">
        <v>394000</v>
      </c>
      <c r="H4425" s="13" t="s">
        <v>6150</v>
      </c>
      <c r="I4425" s="40" t="s">
        <v>18</v>
      </c>
      <c r="J4425" s="40" t="str">
        <f>HYPERLINK("https://stock.pstatic.net/stock-research/company/66/20260312_company_407662000.pdf","PDF")</f>
        <v>PDF</v>
      </c>
      <c r="K4425" s="12" t="s">
        <v>6151</v>
      </c>
      <c r="L4425" s="20">
        <v>0.39593908629441632</v>
      </c>
    </row>
    <row r="4426" spans="1:12" x14ac:dyDescent="0.45">
      <c r="A4426" s="12" t="s">
        <v>6149</v>
      </c>
      <c r="B4426" s="12" t="s">
        <v>1308</v>
      </c>
      <c r="C4426" s="13" t="s">
        <v>1309</v>
      </c>
      <c r="D4426" s="13" t="s">
        <v>60</v>
      </c>
      <c r="E4426" s="12" t="s">
        <v>35</v>
      </c>
      <c r="F4426" s="14">
        <v>570000</v>
      </c>
      <c r="G4426" s="14">
        <v>394000</v>
      </c>
      <c r="H4426" s="13" t="s">
        <v>6152</v>
      </c>
      <c r="I4426" s="40" t="s">
        <v>18</v>
      </c>
      <c r="J4426" s="40" t="str">
        <f>HYPERLINK("https://stock.pstatic.net/stock-research/company/62/20260312_company_138587000.pdf","PDF")</f>
        <v>PDF</v>
      </c>
      <c r="K4426" s="12" t="s">
        <v>6153</v>
      </c>
      <c r="L4426" s="20">
        <v>0.4467005076142132</v>
      </c>
    </row>
    <row r="4427" spans="1:12" x14ac:dyDescent="0.45">
      <c r="A4427" s="12" t="s">
        <v>6149</v>
      </c>
      <c r="B4427" s="12" t="s">
        <v>780</v>
      </c>
      <c r="C4427" s="13" t="s">
        <v>781</v>
      </c>
      <c r="D4427" s="13" t="s">
        <v>65</v>
      </c>
      <c r="E4427" s="12" t="s">
        <v>35</v>
      </c>
      <c r="F4427" s="14">
        <v>20000</v>
      </c>
      <c r="G4427" s="14">
        <v>11710</v>
      </c>
      <c r="H4427" s="13" t="s">
        <v>6154</v>
      </c>
      <c r="I4427" s="40" t="s">
        <v>18</v>
      </c>
      <c r="J4427" s="40" t="str">
        <f>HYPERLINK("https://stock.pstatic.net/stock-research/company/57/20260312_company_409724000.pdf","PDF")</f>
        <v>PDF</v>
      </c>
      <c r="K4427" s="12" t="s">
        <v>6155</v>
      </c>
      <c r="L4427" s="20">
        <v>0.70794192997438088</v>
      </c>
    </row>
    <row r="4428" spans="1:12" x14ac:dyDescent="0.45">
      <c r="A4428" s="12" t="s">
        <v>6149</v>
      </c>
      <c r="B4428" s="12" t="s">
        <v>872</v>
      </c>
      <c r="C4428" s="13" t="s">
        <v>873</v>
      </c>
      <c r="D4428" s="13" t="s">
        <v>65</v>
      </c>
      <c r="E4428" s="12" t="s">
        <v>35</v>
      </c>
      <c r="F4428" s="14">
        <v>50000</v>
      </c>
      <c r="G4428" s="14">
        <v>30650</v>
      </c>
      <c r="H4428" s="13" t="s">
        <v>6156</v>
      </c>
      <c r="I4428" s="40" t="s">
        <v>18</v>
      </c>
      <c r="J4428" s="40" t="str">
        <f>HYPERLINK("https://stock.pstatic.net/stock-research/company/57/20260312_company_238436000.pdf","PDF")</f>
        <v>PDF</v>
      </c>
      <c r="K4428" s="12" t="s">
        <v>6157</v>
      </c>
      <c r="L4428" s="20">
        <v>0.63132137030995106</v>
      </c>
    </row>
    <row r="4429" spans="1:12" x14ac:dyDescent="0.45">
      <c r="A4429" s="12" t="s">
        <v>6149</v>
      </c>
      <c r="B4429" s="12" t="s">
        <v>1308</v>
      </c>
      <c r="C4429" s="13" t="s">
        <v>1309</v>
      </c>
      <c r="D4429" s="13" t="s">
        <v>65</v>
      </c>
      <c r="E4429" s="12" t="s">
        <v>35</v>
      </c>
      <c r="F4429" s="14">
        <v>540000</v>
      </c>
      <c r="G4429" s="14">
        <v>394000</v>
      </c>
      <c r="H4429" s="13" t="s">
        <v>6158</v>
      </c>
      <c r="I4429" s="40" t="s">
        <v>18</v>
      </c>
      <c r="J4429" s="40" t="str">
        <f>HYPERLINK("https://stock.pstatic.net/stock-research/company/57/20260312_company_396226000.pdf","PDF")</f>
        <v>PDF</v>
      </c>
      <c r="K4429" s="12" t="s">
        <v>6159</v>
      </c>
      <c r="L4429" s="20">
        <v>0.37055837563451782</v>
      </c>
    </row>
    <row r="4430" spans="1:12" x14ac:dyDescent="0.45">
      <c r="A4430" s="12" t="s">
        <v>6149</v>
      </c>
      <c r="B4430" s="12" t="s">
        <v>1308</v>
      </c>
      <c r="C4430" s="13" t="s">
        <v>1309</v>
      </c>
      <c r="D4430" s="13" t="s">
        <v>57</v>
      </c>
      <c r="E4430" s="12" t="s">
        <v>35</v>
      </c>
      <c r="F4430" s="14">
        <v>550000</v>
      </c>
      <c r="G4430" s="14">
        <v>394000</v>
      </c>
      <c r="H4430" s="13" t="s">
        <v>6160</v>
      </c>
      <c r="I4430" s="40" t="s">
        <v>18</v>
      </c>
      <c r="J4430" s="40" t="str">
        <f>HYPERLINK("https://stock.pstatic.net/stock-research/company/16/20260312_company_935667000.pdf","PDF")</f>
        <v>PDF</v>
      </c>
      <c r="K4430" s="12" t="s">
        <v>6161</v>
      </c>
      <c r="L4430" s="20">
        <v>0.39593908629441632</v>
      </c>
    </row>
    <row r="4431" spans="1:12" x14ac:dyDescent="0.45">
      <c r="A4431" s="12" t="s">
        <v>6149</v>
      </c>
      <c r="B4431" s="12" t="s">
        <v>4567</v>
      </c>
      <c r="C4431" s="13" t="s">
        <v>4568</v>
      </c>
      <c r="D4431" s="13" t="s">
        <v>158</v>
      </c>
      <c r="E4431" s="12" t="s">
        <v>35</v>
      </c>
      <c r="F4431" s="14">
        <v>83000</v>
      </c>
      <c r="G4431" s="14">
        <v>62500</v>
      </c>
      <c r="H4431" s="13" t="s">
        <v>6162</v>
      </c>
      <c r="I4431" s="40" t="s">
        <v>18</v>
      </c>
      <c r="J4431" s="40" t="str">
        <f>HYPERLINK("https://stock.pstatic.net/stock-research/company/18/20260312_company_583498000.pdf","PDF")</f>
        <v>PDF</v>
      </c>
      <c r="K4431" s="12" t="s">
        <v>6163</v>
      </c>
      <c r="L4431" s="20">
        <v>0.32800000000000001</v>
      </c>
    </row>
    <row r="4432" spans="1:12" x14ac:dyDescent="0.45">
      <c r="A4432" s="12" t="s">
        <v>6149</v>
      </c>
      <c r="B4432" s="12" t="s">
        <v>32</v>
      </c>
      <c r="C4432" s="13" t="s">
        <v>33</v>
      </c>
      <c r="D4432" s="13" t="s">
        <v>158</v>
      </c>
      <c r="E4432" s="12" t="s">
        <v>35</v>
      </c>
      <c r="F4432" s="14">
        <v>540000</v>
      </c>
      <c r="G4432" s="14">
        <v>406000</v>
      </c>
      <c r="H4432" s="13" t="s">
        <v>6164</v>
      </c>
      <c r="I4432" s="40" t="s">
        <v>18</v>
      </c>
      <c r="J4432" s="40" t="str">
        <f>HYPERLINK("https://stock.pstatic.net/stock-research/company/18/20260312_company_274594000.pdf","PDF")</f>
        <v>PDF</v>
      </c>
      <c r="K4432" s="12" t="s">
        <v>6165</v>
      </c>
      <c r="L4432" s="20">
        <v>0.33004926108374377</v>
      </c>
    </row>
    <row r="4433" spans="1:12" x14ac:dyDescent="0.45">
      <c r="A4433" s="12" t="s">
        <v>6149</v>
      </c>
      <c r="B4433" s="12" t="s">
        <v>1308</v>
      </c>
      <c r="C4433" s="13" t="s">
        <v>1309</v>
      </c>
      <c r="D4433" s="13" t="s">
        <v>158</v>
      </c>
      <c r="E4433" s="12" t="s">
        <v>35</v>
      </c>
      <c r="F4433" s="14">
        <v>530000</v>
      </c>
      <c r="G4433" s="14">
        <v>394000</v>
      </c>
      <c r="H4433" s="13" t="s">
        <v>6166</v>
      </c>
      <c r="I4433" s="40" t="s">
        <v>18</v>
      </c>
      <c r="J4433" s="40" t="str">
        <f>HYPERLINK("https://stock.pstatic.net/stock-research/company/18/20260312_company_41350000.pdf","PDF")</f>
        <v>PDF</v>
      </c>
      <c r="K4433" s="12" t="s">
        <v>6167</v>
      </c>
      <c r="L4433" s="20">
        <v>0.34517766497461932</v>
      </c>
    </row>
    <row r="4434" spans="1:12" x14ac:dyDescent="0.45">
      <c r="A4434" s="12" t="s">
        <v>6149</v>
      </c>
      <c r="B4434" s="12" t="s">
        <v>6168</v>
      </c>
      <c r="C4434" s="13" t="s">
        <v>6169</v>
      </c>
      <c r="D4434" s="13" t="s">
        <v>158</v>
      </c>
      <c r="E4434" s="12" t="s">
        <v>50</v>
      </c>
      <c r="F4434" s="13"/>
      <c r="G4434" s="14">
        <v>11080</v>
      </c>
      <c r="H4434" s="13" t="s">
        <v>6170</v>
      </c>
      <c r="I4434" s="40" t="s">
        <v>18</v>
      </c>
      <c r="J4434" s="40" t="str">
        <f>HYPERLINK("https://stock.pstatic.net/stock-research/company/18/20260312_company_739351000.pdf","PDF")</f>
        <v>PDF</v>
      </c>
      <c r="K4434" s="12" t="s">
        <v>6171</v>
      </c>
    </row>
    <row r="4435" spans="1:12" x14ac:dyDescent="0.45">
      <c r="A4435" s="12" t="s">
        <v>6149</v>
      </c>
      <c r="B4435" s="12" t="s">
        <v>102</v>
      </c>
      <c r="C4435" s="13" t="s">
        <v>103</v>
      </c>
      <c r="D4435" s="13" t="s">
        <v>83</v>
      </c>
      <c r="E4435" s="12" t="s">
        <v>35</v>
      </c>
      <c r="F4435" s="14">
        <v>30000</v>
      </c>
      <c r="G4435" s="14">
        <v>17610</v>
      </c>
      <c r="H4435" s="13" t="s">
        <v>6172</v>
      </c>
      <c r="I4435" s="40" t="s">
        <v>18</v>
      </c>
      <c r="J4435" s="40" t="str">
        <f>HYPERLINK("https://stock.pstatic.net/stock-research/company/15/20260312_company_666496000.pdf","PDF")</f>
        <v>PDF</v>
      </c>
      <c r="K4435" s="12" t="s">
        <v>6173</v>
      </c>
      <c r="L4435" s="20">
        <v>0.70357751277683134</v>
      </c>
    </row>
    <row r="4436" spans="1:12" x14ac:dyDescent="0.45">
      <c r="A4436" s="12" t="s">
        <v>6149</v>
      </c>
      <c r="B4436" s="12" t="s">
        <v>98</v>
      </c>
      <c r="C4436" s="13" t="s">
        <v>99</v>
      </c>
      <c r="D4436" s="13" t="s">
        <v>23</v>
      </c>
      <c r="E4436" s="12" t="s">
        <v>50</v>
      </c>
      <c r="F4436" s="14">
        <v>40000</v>
      </c>
      <c r="G4436" s="14">
        <v>36600</v>
      </c>
      <c r="H4436" s="13" t="s">
        <v>6174</v>
      </c>
      <c r="I4436" s="40" t="s">
        <v>18</v>
      </c>
      <c r="J4436" s="40" t="str">
        <f>HYPERLINK("https://stock.pstatic.net/stock-research/company/21/20260312_company_972947000.pdf","PDF")</f>
        <v>PDF</v>
      </c>
      <c r="K4436" s="12" t="s">
        <v>6175</v>
      </c>
      <c r="L4436" s="20">
        <v>9.2896174863387984E-2</v>
      </c>
    </row>
    <row r="4437" spans="1:12" x14ac:dyDescent="0.45">
      <c r="A4437" s="12" t="s">
        <v>6149</v>
      </c>
      <c r="B4437" s="12" t="s">
        <v>1308</v>
      </c>
      <c r="C4437" s="13" t="s">
        <v>1309</v>
      </c>
      <c r="D4437" s="13" t="s">
        <v>23</v>
      </c>
      <c r="E4437" s="12" t="s">
        <v>16</v>
      </c>
      <c r="F4437" s="14">
        <v>570000</v>
      </c>
      <c r="G4437" s="14">
        <v>394000</v>
      </c>
      <c r="H4437" s="13" t="s">
        <v>6176</v>
      </c>
      <c r="I4437" s="40" t="s">
        <v>18</v>
      </c>
      <c r="J4437" s="40" t="str">
        <f>HYPERLINK("https://stock.pstatic.net/stock-research/company/21/20260312_company_325452000.pdf","PDF")</f>
        <v>PDF</v>
      </c>
      <c r="K4437" s="12" t="s">
        <v>6177</v>
      </c>
      <c r="L4437" s="20">
        <v>0.4467005076142132</v>
      </c>
    </row>
    <row r="4438" spans="1:12" x14ac:dyDescent="0.45">
      <c r="A4438" s="12" t="s">
        <v>6149</v>
      </c>
      <c r="B4438" s="12" t="s">
        <v>6178</v>
      </c>
      <c r="C4438" s="13" t="s">
        <v>6179</v>
      </c>
      <c r="D4438" s="13" t="s">
        <v>124</v>
      </c>
      <c r="E4438" s="12" t="s">
        <v>50</v>
      </c>
      <c r="F4438" s="13"/>
      <c r="G4438" s="13"/>
      <c r="H4438" s="13" t="s">
        <v>6180</v>
      </c>
      <c r="I4438" s="40" t="s">
        <v>18</v>
      </c>
      <c r="J4438" s="40" t="str">
        <f>HYPERLINK("https://stock.pstatic.net/stock-research/company/74/20260312_company_488464000.pdf","PDF")</f>
        <v>PDF</v>
      </c>
      <c r="K4438" s="12" t="s">
        <v>6181</v>
      </c>
    </row>
    <row r="4439" spans="1:12" x14ac:dyDescent="0.45">
      <c r="A4439" s="12" t="s">
        <v>6149</v>
      </c>
      <c r="B4439" s="12" t="s">
        <v>3536</v>
      </c>
      <c r="C4439" s="13" t="s">
        <v>3537</v>
      </c>
      <c r="D4439" s="13" t="s">
        <v>23</v>
      </c>
      <c r="E4439" s="12" t="s">
        <v>16</v>
      </c>
      <c r="F4439" s="14">
        <v>600000</v>
      </c>
      <c r="G4439" s="14">
        <v>360000</v>
      </c>
      <c r="H4439" s="13" t="s">
        <v>6182</v>
      </c>
      <c r="I4439" s="40" t="s">
        <v>18</v>
      </c>
      <c r="J4439" s="40" t="str">
        <f>HYPERLINK("https://stock.pstatic.net/stock-research/company/21/20260312_company_710600000.pdf","PDF")</f>
        <v>PDF</v>
      </c>
      <c r="K4439" s="12" t="s">
        <v>6183</v>
      </c>
      <c r="L4439" s="20">
        <v>0.66666666666666663</v>
      </c>
    </row>
    <row r="4440" spans="1:12" x14ac:dyDescent="0.45">
      <c r="A4440" s="12" t="s">
        <v>6184</v>
      </c>
      <c r="B4440" s="12" t="s">
        <v>1266</v>
      </c>
      <c r="C4440" s="13" t="s">
        <v>1267</v>
      </c>
      <c r="D4440" s="13" t="s">
        <v>15</v>
      </c>
      <c r="E4440" s="12" t="s">
        <v>385</v>
      </c>
      <c r="F4440" s="14">
        <v>193000</v>
      </c>
      <c r="G4440" s="14">
        <v>211500</v>
      </c>
      <c r="H4440" s="13" t="s">
        <v>6185</v>
      </c>
      <c r="I4440" s="40" t="s">
        <v>18</v>
      </c>
      <c r="J4440" s="40" t="str">
        <f>HYPERLINK("https://stock.pstatic.net/stock-research/company/56/20260311_company_577097000.pdf","PDF")</f>
        <v>PDF</v>
      </c>
      <c r="K4440" s="12" t="s">
        <v>6186</v>
      </c>
      <c r="L4440" s="20">
        <v>-8.7470449172576833E-2</v>
      </c>
    </row>
    <row r="4441" spans="1:12" x14ac:dyDescent="0.45">
      <c r="A4441" s="12" t="s">
        <v>6184</v>
      </c>
      <c r="B4441" s="12" t="s">
        <v>804</v>
      </c>
      <c r="C4441" s="13" t="s">
        <v>805</v>
      </c>
      <c r="D4441" s="13" t="s">
        <v>15</v>
      </c>
      <c r="E4441" s="12" t="s">
        <v>50</v>
      </c>
      <c r="F4441" s="13"/>
      <c r="G4441" s="14">
        <v>49400</v>
      </c>
      <c r="H4441" s="13" t="s">
        <v>6187</v>
      </c>
      <c r="I4441" s="40" t="s">
        <v>18</v>
      </c>
      <c r="J4441" s="40" t="str">
        <f>HYPERLINK("https://stock.pstatic.net/stock-research/company/56/20260311_company_475347000.pdf","PDF")</f>
        <v>PDF</v>
      </c>
      <c r="K4441" s="12" t="s">
        <v>6188</v>
      </c>
    </row>
    <row r="4442" spans="1:12" x14ac:dyDescent="0.45">
      <c r="A4442" s="12" t="s">
        <v>6184</v>
      </c>
      <c r="B4442" s="12" t="s">
        <v>1144</v>
      </c>
      <c r="C4442" s="13" t="s">
        <v>1145</v>
      </c>
      <c r="D4442" s="13" t="s">
        <v>57</v>
      </c>
      <c r="E4442" s="12" t="s">
        <v>35</v>
      </c>
      <c r="F4442" s="14">
        <v>210000</v>
      </c>
      <c r="G4442" s="14">
        <v>160000</v>
      </c>
      <c r="H4442" s="13" t="s">
        <v>6189</v>
      </c>
      <c r="I4442" s="40" t="s">
        <v>18</v>
      </c>
      <c r="J4442" s="40" t="str">
        <f>HYPERLINK("https://stock.pstatic.net/stock-research/company/16/20260311_company_369906000.pdf","PDF")</f>
        <v>PDF</v>
      </c>
      <c r="K4442" s="12" t="s">
        <v>6190</v>
      </c>
      <c r="L4442" s="20">
        <v>0.3125</v>
      </c>
    </row>
    <row r="4443" spans="1:12" x14ac:dyDescent="0.45">
      <c r="A4443" s="12" t="s">
        <v>6184</v>
      </c>
      <c r="B4443" s="12" t="s">
        <v>1799</v>
      </c>
      <c r="C4443" s="13" t="s">
        <v>1800</v>
      </c>
      <c r="D4443" s="13" t="s">
        <v>276</v>
      </c>
      <c r="E4443" s="12" t="s">
        <v>16</v>
      </c>
      <c r="F4443" s="14">
        <v>7500</v>
      </c>
      <c r="G4443" s="14">
        <v>5660</v>
      </c>
      <c r="H4443" s="13" t="s">
        <v>6191</v>
      </c>
      <c r="I4443" s="40" t="s">
        <v>18</v>
      </c>
      <c r="J4443" s="40" t="str">
        <f>HYPERLINK("https://stock.pstatic.net/stock-research/company/66/20260311_company_200860000.pdf","PDF")</f>
        <v>PDF</v>
      </c>
      <c r="K4443" s="12" t="s">
        <v>6192</v>
      </c>
      <c r="L4443" s="20">
        <v>0.32508833922261482</v>
      </c>
    </row>
    <row r="4444" spans="1:12" x14ac:dyDescent="0.45">
      <c r="A4444" s="12" t="s">
        <v>6184</v>
      </c>
      <c r="B4444" s="12" t="s">
        <v>1198</v>
      </c>
      <c r="C4444" s="13" t="s">
        <v>1199</v>
      </c>
      <c r="D4444" s="13" t="s">
        <v>276</v>
      </c>
      <c r="E4444" s="12" t="s">
        <v>16</v>
      </c>
      <c r="F4444" s="14">
        <v>23000</v>
      </c>
      <c r="G4444" s="14">
        <v>16770</v>
      </c>
      <c r="H4444" s="13" t="s">
        <v>6193</v>
      </c>
      <c r="I4444" s="40" t="s">
        <v>18</v>
      </c>
      <c r="J4444" s="40" t="str">
        <f>HYPERLINK("https://stock.pstatic.net/stock-research/company/66/20260311_company_186414000.pdf","PDF")</f>
        <v>PDF</v>
      </c>
      <c r="K4444" s="12" t="s">
        <v>6194</v>
      </c>
      <c r="L4444" s="20">
        <v>0.37149672033392961</v>
      </c>
    </row>
    <row r="4445" spans="1:12" x14ac:dyDescent="0.45">
      <c r="A4445" s="12" t="s">
        <v>6184</v>
      </c>
      <c r="B4445" s="12" t="s">
        <v>1940</v>
      </c>
      <c r="C4445" s="13" t="s">
        <v>1941</v>
      </c>
      <c r="D4445" s="13" t="s">
        <v>276</v>
      </c>
      <c r="E4445" s="12" t="s">
        <v>16</v>
      </c>
      <c r="F4445" s="14">
        <v>25000</v>
      </c>
      <c r="G4445" s="14">
        <v>14800</v>
      </c>
      <c r="H4445" s="13" t="s">
        <v>6195</v>
      </c>
      <c r="I4445" s="40" t="s">
        <v>18</v>
      </c>
      <c r="J4445" s="40" t="str">
        <f>HYPERLINK("https://stock.pstatic.net/stock-research/company/66/20260311_company_851945000.pdf","PDF")</f>
        <v>PDF</v>
      </c>
      <c r="K4445" s="12" t="s">
        <v>6196</v>
      </c>
      <c r="L4445" s="20">
        <v>0.68918918918918914</v>
      </c>
    </row>
    <row r="4446" spans="1:12" x14ac:dyDescent="0.45">
      <c r="A4446" s="12" t="s">
        <v>6184</v>
      </c>
      <c r="B4446" s="12" t="s">
        <v>698</v>
      </c>
      <c r="C4446" s="13" t="s">
        <v>699</v>
      </c>
      <c r="D4446" s="13" t="s">
        <v>276</v>
      </c>
      <c r="E4446" s="12" t="s">
        <v>16</v>
      </c>
      <c r="F4446" s="14">
        <v>630000</v>
      </c>
      <c r="G4446" s="14">
        <v>351000</v>
      </c>
      <c r="H4446" s="13" t="s">
        <v>6197</v>
      </c>
      <c r="I4446" s="40" t="s">
        <v>18</v>
      </c>
      <c r="J4446" s="40" t="str">
        <f>HYPERLINK("https://stock.pstatic.net/stock-research/company/66/20260311_company_10310000.pdf","PDF")</f>
        <v>PDF</v>
      </c>
      <c r="K4446" s="12" t="s">
        <v>6198</v>
      </c>
      <c r="L4446" s="20">
        <v>0.79487179487179482</v>
      </c>
    </row>
    <row r="4447" spans="1:12" x14ac:dyDescent="0.45">
      <c r="A4447" s="12" t="s">
        <v>6184</v>
      </c>
      <c r="B4447" s="12" t="s">
        <v>1556</v>
      </c>
      <c r="C4447" s="13" t="s">
        <v>1557</v>
      </c>
      <c r="D4447" s="13" t="s">
        <v>276</v>
      </c>
      <c r="E4447" s="12" t="s">
        <v>16</v>
      </c>
      <c r="F4447" s="14">
        <v>43000</v>
      </c>
      <c r="G4447" s="14">
        <v>28600</v>
      </c>
      <c r="H4447" s="13" t="s">
        <v>6199</v>
      </c>
      <c r="I4447" s="40" t="s">
        <v>18</v>
      </c>
      <c r="J4447" s="40" t="str">
        <f>HYPERLINK("https://stock.pstatic.net/stock-research/company/66/20260311_company_371267000.pdf","PDF")</f>
        <v>PDF</v>
      </c>
      <c r="K4447" s="12" t="s">
        <v>6200</v>
      </c>
      <c r="L4447" s="20">
        <v>0.50349650349650354</v>
      </c>
    </row>
    <row r="4448" spans="1:12" x14ac:dyDescent="0.45">
      <c r="A4448" s="12" t="s">
        <v>6184</v>
      </c>
      <c r="B4448" s="12" t="s">
        <v>1073</v>
      </c>
      <c r="C4448" s="13" t="s">
        <v>1074</v>
      </c>
      <c r="D4448" s="13" t="s">
        <v>60</v>
      </c>
      <c r="E4448" s="12" t="s">
        <v>35</v>
      </c>
      <c r="F4448" s="14">
        <v>60000</v>
      </c>
      <c r="G4448" s="14">
        <v>42500</v>
      </c>
      <c r="H4448" s="13" t="s">
        <v>6201</v>
      </c>
      <c r="I4448" s="40" t="s">
        <v>18</v>
      </c>
      <c r="J4448" s="40" t="str">
        <f>HYPERLINK("https://stock.pstatic.net/stock-research/company/62/20260311_company_444941000.pdf","PDF")</f>
        <v>PDF</v>
      </c>
      <c r="K4448" s="12" t="s">
        <v>6202</v>
      </c>
      <c r="L4448" s="20">
        <v>0.41176470588235292</v>
      </c>
    </row>
    <row r="4449" spans="1:12" x14ac:dyDescent="0.45">
      <c r="A4449" s="12" t="s">
        <v>6184</v>
      </c>
      <c r="B4449" s="12" t="s">
        <v>259</v>
      </c>
      <c r="C4449" s="13" t="s">
        <v>260</v>
      </c>
      <c r="D4449" s="13" t="s">
        <v>60</v>
      </c>
      <c r="E4449" s="12" t="s">
        <v>35</v>
      </c>
      <c r="F4449" s="14">
        <v>95000</v>
      </c>
      <c r="G4449" s="14">
        <v>62600</v>
      </c>
      <c r="H4449" s="13" t="s">
        <v>6203</v>
      </c>
      <c r="I4449" s="40" t="s">
        <v>18</v>
      </c>
      <c r="J4449" s="40" t="str">
        <f>HYPERLINK("https://stock.pstatic.net/stock-research/company/62/20260311_company_868792000.pdf","PDF")</f>
        <v>PDF</v>
      </c>
      <c r="K4449" s="12" t="s">
        <v>6204</v>
      </c>
      <c r="L4449" s="20">
        <v>0.51757188498402551</v>
      </c>
    </row>
    <row r="4450" spans="1:12" x14ac:dyDescent="0.45">
      <c r="A4450" s="12" t="s">
        <v>6184</v>
      </c>
      <c r="B4450" s="12" t="s">
        <v>1682</v>
      </c>
      <c r="C4450" s="13" t="s">
        <v>4787</v>
      </c>
      <c r="D4450" s="13" t="s">
        <v>65</v>
      </c>
      <c r="E4450" s="12" t="s">
        <v>35</v>
      </c>
      <c r="F4450" s="14">
        <v>320000</v>
      </c>
      <c r="G4450" s="14">
        <v>219500</v>
      </c>
      <c r="H4450" s="13" t="s">
        <v>6205</v>
      </c>
      <c r="I4450" s="40" t="s">
        <v>18</v>
      </c>
      <c r="J4450" s="40" t="str">
        <f>HYPERLINK("https://stock.pstatic.net/stock-research/company/57/20260311_company_965225000.pdf","PDF")</f>
        <v>PDF</v>
      </c>
      <c r="K4450" s="12" t="s">
        <v>6206</v>
      </c>
      <c r="L4450" s="20">
        <v>0.45785876993166291</v>
      </c>
    </row>
    <row r="4451" spans="1:12" x14ac:dyDescent="0.45">
      <c r="A4451" s="12" t="s">
        <v>6184</v>
      </c>
      <c r="B4451" s="12" t="s">
        <v>259</v>
      </c>
      <c r="C4451" s="13" t="s">
        <v>260</v>
      </c>
      <c r="D4451" s="13" t="s">
        <v>65</v>
      </c>
      <c r="E4451" s="12" t="s">
        <v>35</v>
      </c>
      <c r="F4451" s="14">
        <v>95000</v>
      </c>
      <c r="G4451" s="14">
        <v>62600</v>
      </c>
      <c r="H4451" s="13" t="s">
        <v>6207</v>
      </c>
      <c r="I4451" s="40" t="s">
        <v>18</v>
      </c>
      <c r="J4451" s="40" t="str">
        <f>HYPERLINK("https://stock.pstatic.net/stock-research/company/57/20260311_company_866511000.pdf","PDF")</f>
        <v>PDF</v>
      </c>
      <c r="K4451" s="12" t="s">
        <v>6208</v>
      </c>
      <c r="L4451" s="20">
        <v>0.51757188498402551</v>
      </c>
    </row>
    <row r="4452" spans="1:12" x14ac:dyDescent="0.45">
      <c r="A4452" s="12" t="s">
        <v>6184</v>
      </c>
      <c r="B4452" s="12" t="s">
        <v>876</v>
      </c>
      <c r="C4452" s="13" t="s">
        <v>877</v>
      </c>
      <c r="D4452" s="13" t="s">
        <v>65</v>
      </c>
      <c r="E4452" s="12" t="s">
        <v>35</v>
      </c>
      <c r="F4452" s="14">
        <v>50000</v>
      </c>
      <c r="G4452" s="14">
        <v>28700</v>
      </c>
      <c r="H4452" s="13" t="s">
        <v>6209</v>
      </c>
      <c r="I4452" s="40" t="s">
        <v>18</v>
      </c>
      <c r="J4452" s="40" t="str">
        <f>HYPERLINK("https://stock.pstatic.net/stock-research/company/57/20260311_company_788410000.pdf","PDF")</f>
        <v>PDF</v>
      </c>
      <c r="K4452" s="12" t="s">
        <v>6210</v>
      </c>
      <c r="L4452" s="20">
        <v>0.74216027874564461</v>
      </c>
    </row>
    <row r="4453" spans="1:12" x14ac:dyDescent="0.45">
      <c r="A4453" s="12" t="s">
        <v>6184</v>
      </c>
      <c r="B4453" s="12" t="s">
        <v>3704</v>
      </c>
      <c r="C4453" s="13" t="s">
        <v>3705</v>
      </c>
      <c r="D4453" s="13" t="s">
        <v>158</v>
      </c>
      <c r="E4453" s="12" t="s">
        <v>50</v>
      </c>
      <c r="F4453" s="13"/>
      <c r="G4453" s="14">
        <v>16000</v>
      </c>
      <c r="H4453" s="13" t="s">
        <v>6211</v>
      </c>
      <c r="I4453" s="40" t="s">
        <v>18</v>
      </c>
      <c r="J4453" s="40" t="str">
        <f>HYPERLINK("https://stock.pstatic.net/stock-research/company/18/20260311_company_926333000.pdf","PDF")</f>
        <v>PDF</v>
      </c>
      <c r="K4453" s="12" t="s">
        <v>6212</v>
      </c>
    </row>
    <row r="4454" spans="1:12" x14ac:dyDescent="0.45">
      <c r="A4454" s="12" t="s">
        <v>6184</v>
      </c>
      <c r="B4454" s="12" t="s">
        <v>6213</v>
      </c>
      <c r="C4454" s="13" t="s">
        <v>6214</v>
      </c>
      <c r="D4454" s="13" t="s">
        <v>23</v>
      </c>
      <c r="E4454" s="12" t="s">
        <v>50</v>
      </c>
      <c r="F4454" s="13"/>
      <c r="G4454" s="14">
        <v>15840</v>
      </c>
      <c r="H4454" s="13" t="s">
        <v>6215</v>
      </c>
      <c r="I4454" s="40" t="s">
        <v>18</v>
      </c>
      <c r="J4454" s="40" t="str">
        <f>HYPERLINK("https://stock.pstatic.net/stock-research/company/21/20260311_company_939630000.pdf","PDF")</f>
        <v>PDF</v>
      </c>
      <c r="K4454" s="12" t="s">
        <v>6216</v>
      </c>
    </row>
    <row r="4455" spans="1:12" x14ac:dyDescent="0.45">
      <c r="A4455" s="12" t="s">
        <v>6184</v>
      </c>
      <c r="B4455" s="12" t="s">
        <v>259</v>
      </c>
      <c r="C4455" s="13" t="s">
        <v>260</v>
      </c>
      <c r="D4455" s="13" t="s">
        <v>34</v>
      </c>
      <c r="E4455" s="12" t="s">
        <v>35</v>
      </c>
      <c r="F4455" s="14">
        <v>100000</v>
      </c>
      <c r="G4455" s="14">
        <v>62600</v>
      </c>
      <c r="H4455" s="13" t="s">
        <v>6217</v>
      </c>
      <c r="I4455" s="40" t="s">
        <v>18</v>
      </c>
      <c r="J4455" s="40" t="str">
        <f>HYPERLINK("https://stock.pstatic.net/stock-research/company/21/20260311_company_975395000.pdf","PDF")</f>
        <v>PDF</v>
      </c>
      <c r="K4455" s="12" t="s">
        <v>6218</v>
      </c>
      <c r="L4455" s="20">
        <v>0.597444089456869</v>
      </c>
    </row>
    <row r="4456" spans="1:12" x14ac:dyDescent="0.45">
      <c r="A4456" s="12" t="s">
        <v>6184</v>
      </c>
      <c r="B4456" s="12" t="s">
        <v>6219</v>
      </c>
      <c r="C4456" s="13" t="s">
        <v>6220</v>
      </c>
      <c r="D4456" s="13" t="s">
        <v>23</v>
      </c>
      <c r="E4456" s="12" t="s">
        <v>50</v>
      </c>
      <c r="F4456" s="13"/>
      <c r="G4456" s="14">
        <v>64400</v>
      </c>
      <c r="H4456" s="13" t="s">
        <v>6221</v>
      </c>
      <c r="I4456" s="40" t="s">
        <v>18</v>
      </c>
      <c r="J4456" s="40" t="str">
        <f>HYPERLINK("https://stock.pstatic.net/stock-research/company/21/20260311_company_101269000.pdf","PDF")</f>
        <v>PDF</v>
      </c>
      <c r="K4456" s="12" t="s">
        <v>6222</v>
      </c>
    </row>
    <row r="4457" spans="1:12" x14ac:dyDescent="0.45">
      <c r="A4457" s="12" t="s">
        <v>6184</v>
      </c>
      <c r="B4457" s="12" t="s">
        <v>259</v>
      </c>
      <c r="C4457" s="13" t="s">
        <v>260</v>
      </c>
      <c r="D4457" s="13" t="s">
        <v>92</v>
      </c>
      <c r="E4457" s="12" t="s">
        <v>35</v>
      </c>
      <c r="F4457" s="14">
        <v>97000</v>
      </c>
      <c r="G4457" s="14">
        <v>62600</v>
      </c>
      <c r="H4457" s="13" t="s">
        <v>6223</v>
      </c>
      <c r="I4457" s="40" t="s">
        <v>18</v>
      </c>
      <c r="J4457" s="40" t="str">
        <f>HYPERLINK("https://stock.pstatic.net/stock-research/company/63/20260311_company_164259000.pdf","PDF")</f>
        <v>PDF</v>
      </c>
      <c r="K4457" s="12" t="s">
        <v>6224</v>
      </c>
      <c r="L4457" s="20">
        <v>0.54952076677316297</v>
      </c>
    </row>
    <row r="4458" spans="1:12" x14ac:dyDescent="0.45">
      <c r="A4458" s="12" t="s">
        <v>6184</v>
      </c>
      <c r="B4458" s="12" t="s">
        <v>485</v>
      </c>
      <c r="C4458" s="13" t="s">
        <v>486</v>
      </c>
      <c r="D4458" s="13" t="s">
        <v>53</v>
      </c>
      <c r="E4458" s="12" t="s">
        <v>50</v>
      </c>
      <c r="F4458" s="13"/>
      <c r="G4458" s="14">
        <v>151500</v>
      </c>
      <c r="H4458" s="13" t="s">
        <v>6225</v>
      </c>
      <c r="I4458" s="40" t="s">
        <v>18</v>
      </c>
      <c r="J4458" s="40" t="str">
        <f>HYPERLINK("https://stock.pstatic.net/stock-research/company/40/20260311_company_430862000.pdf","PDF")</f>
        <v>PDF</v>
      </c>
      <c r="K4458" s="12" t="s">
        <v>6226</v>
      </c>
    </row>
    <row r="4459" spans="1:12" x14ac:dyDescent="0.45">
      <c r="A4459" s="12" t="s">
        <v>6184</v>
      </c>
      <c r="B4459" s="12" t="s">
        <v>698</v>
      </c>
      <c r="C4459" s="13" t="s">
        <v>699</v>
      </c>
      <c r="D4459" s="13" t="s">
        <v>44</v>
      </c>
      <c r="E4459" s="12" t="s">
        <v>50</v>
      </c>
      <c r="F4459" s="13"/>
      <c r="G4459" s="14">
        <v>351000</v>
      </c>
      <c r="H4459" s="13" t="s">
        <v>6227</v>
      </c>
      <c r="I4459" s="40" t="s">
        <v>18</v>
      </c>
      <c r="J4459" s="40" t="str">
        <f>HYPERLINK("https://stock.pstatic.net/stock-research/company/39/20260311_company_892008000.pdf","PDF")</f>
        <v>PDF</v>
      </c>
      <c r="K4459" s="12" t="s">
        <v>6228</v>
      </c>
    </row>
    <row r="4460" spans="1:12" x14ac:dyDescent="0.45">
      <c r="A4460" s="12" t="s">
        <v>6184</v>
      </c>
      <c r="B4460" s="12" t="s">
        <v>259</v>
      </c>
      <c r="C4460" s="13" t="s">
        <v>260</v>
      </c>
      <c r="D4460" s="13" t="s">
        <v>44</v>
      </c>
      <c r="E4460" s="12" t="s">
        <v>35</v>
      </c>
      <c r="F4460" s="14">
        <v>100000</v>
      </c>
      <c r="G4460" s="14">
        <v>62600</v>
      </c>
      <c r="H4460" s="13" t="s">
        <v>6229</v>
      </c>
      <c r="I4460" s="40" t="s">
        <v>18</v>
      </c>
      <c r="J4460" s="40" t="str">
        <f>HYPERLINK("https://stock.pstatic.net/stock-research/company/39/20260311_company_137826000.pdf","PDF")</f>
        <v>PDF</v>
      </c>
      <c r="K4460" s="12" t="s">
        <v>6230</v>
      </c>
      <c r="L4460" s="20">
        <v>0.597444089456869</v>
      </c>
    </row>
    <row r="4461" spans="1:12" x14ac:dyDescent="0.45">
      <c r="A4461" s="12" t="s">
        <v>6184</v>
      </c>
      <c r="B4461" s="12" t="s">
        <v>13</v>
      </c>
      <c r="C4461" s="13" t="s">
        <v>14</v>
      </c>
      <c r="D4461" s="13" t="s">
        <v>53</v>
      </c>
      <c r="E4461" s="12" t="s">
        <v>50</v>
      </c>
      <c r="F4461" s="13"/>
      <c r="G4461" s="14">
        <v>187900</v>
      </c>
      <c r="H4461" s="13" t="s">
        <v>6231</v>
      </c>
      <c r="I4461" s="40" t="s">
        <v>18</v>
      </c>
      <c r="J4461" s="40" t="str">
        <f>HYPERLINK("https://stock.pstatic.net/stock-research/company/40/20260311_company_751195000.pdf","PDF")</f>
        <v>PDF</v>
      </c>
      <c r="K4461" s="12" t="s">
        <v>6232</v>
      </c>
    </row>
    <row r="4462" spans="1:12" x14ac:dyDescent="0.45">
      <c r="A4462" s="12" t="s">
        <v>6184</v>
      </c>
      <c r="B4462" s="12" t="s">
        <v>4470</v>
      </c>
      <c r="C4462" s="13" t="s">
        <v>4471</v>
      </c>
      <c r="D4462" s="13" t="s">
        <v>179</v>
      </c>
      <c r="E4462" s="12" t="s">
        <v>50</v>
      </c>
      <c r="F4462" s="13"/>
      <c r="G4462" s="14">
        <v>15450</v>
      </c>
      <c r="H4462" s="13" t="s">
        <v>6233</v>
      </c>
      <c r="I4462" s="40" t="s">
        <v>18</v>
      </c>
      <c r="J4462" s="40" t="str">
        <f>HYPERLINK("https://stock.pstatic.net/stock-research/company/64/20260311_company_301625000.pdf","PDF")</f>
        <v>PDF</v>
      </c>
      <c r="K4462" s="12" t="s">
        <v>6234</v>
      </c>
    </row>
    <row r="4463" spans="1:12" x14ac:dyDescent="0.45">
      <c r="A4463" s="12" t="s">
        <v>6184</v>
      </c>
      <c r="B4463" s="12" t="s">
        <v>6235</v>
      </c>
      <c r="C4463" s="13" t="s">
        <v>6236</v>
      </c>
      <c r="D4463" s="13" t="s">
        <v>124</v>
      </c>
      <c r="E4463" s="12" t="s">
        <v>50</v>
      </c>
      <c r="F4463" s="13"/>
      <c r="G4463" s="13"/>
      <c r="H4463" s="13" t="s">
        <v>6237</v>
      </c>
      <c r="I4463" s="40" t="s">
        <v>18</v>
      </c>
      <c r="J4463" s="40" t="str">
        <f>HYPERLINK("https://stock.pstatic.net/stock-research/company/74/20260311_company_52062000.pdf","PDF")</f>
        <v>PDF</v>
      </c>
      <c r="K4463" s="12" t="s">
        <v>6238</v>
      </c>
    </row>
    <row r="4464" spans="1:12" x14ac:dyDescent="0.45">
      <c r="A4464" s="12" t="s">
        <v>6184</v>
      </c>
      <c r="B4464" s="12" t="s">
        <v>4642</v>
      </c>
      <c r="C4464" s="13" t="s">
        <v>4643</v>
      </c>
      <c r="D4464" s="13" t="s">
        <v>15</v>
      </c>
      <c r="E4464" s="12" t="s">
        <v>16</v>
      </c>
      <c r="F4464" s="14">
        <v>31000</v>
      </c>
      <c r="G4464" s="14">
        <v>24350</v>
      </c>
      <c r="H4464" s="13" t="s">
        <v>6239</v>
      </c>
      <c r="I4464" s="40" t="s">
        <v>18</v>
      </c>
      <c r="J4464" s="40" t="str">
        <f>HYPERLINK("https://stock.pstatic.net/stock-research/company/56/20260311_company_981764000.pdf","PDF")</f>
        <v>PDF</v>
      </c>
      <c r="K4464" s="12" t="s">
        <v>6240</v>
      </c>
      <c r="L4464" s="20">
        <v>0.2731006160164271</v>
      </c>
    </row>
    <row r="4465" spans="1:12" x14ac:dyDescent="0.45">
      <c r="A4465" s="12" t="s">
        <v>6241</v>
      </c>
      <c r="B4465" s="12" t="s">
        <v>1105</v>
      </c>
      <c r="C4465" s="13" t="s">
        <v>1106</v>
      </c>
      <c r="D4465" s="13" t="s">
        <v>65</v>
      </c>
      <c r="E4465" s="12" t="s">
        <v>50</v>
      </c>
      <c r="F4465" s="13"/>
      <c r="G4465" s="14">
        <v>14310</v>
      </c>
      <c r="H4465" s="13" t="s">
        <v>6242</v>
      </c>
      <c r="I4465" s="40" t="s">
        <v>18</v>
      </c>
      <c r="J4465" s="40" t="str">
        <f>HYPERLINK("https://stock.pstatic.net/stock-research/company/57/20260310_company_27079000.pdf","PDF")</f>
        <v>PDF</v>
      </c>
      <c r="K4465" s="12" t="s">
        <v>6243</v>
      </c>
    </row>
    <row r="4466" spans="1:12" x14ac:dyDescent="0.45">
      <c r="A4466" s="12" t="s">
        <v>6241</v>
      </c>
      <c r="B4466" s="12" t="s">
        <v>128</v>
      </c>
      <c r="C4466" s="13" t="s">
        <v>129</v>
      </c>
      <c r="D4466" s="13" t="s">
        <v>65</v>
      </c>
      <c r="E4466" s="12" t="s">
        <v>35</v>
      </c>
      <c r="F4466" s="14">
        <v>100000</v>
      </c>
      <c r="G4466" s="14">
        <v>63200</v>
      </c>
      <c r="H4466" s="13" t="s">
        <v>6244</v>
      </c>
      <c r="I4466" s="40" t="s">
        <v>18</v>
      </c>
      <c r="J4466" s="40" t="str">
        <f>HYPERLINK("https://stock.pstatic.net/stock-research/company/57/20260310_company_290953000.pdf","PDF")</f>
        <v>PDF</v>
      </c>
      <c r="K4466" s="12" t="s">
        <v>6245</v>
      </c>
      <c r="L4466" s="20">
        <v>0.58227848101265822</v>
      </c>
    </row>
    <row r="4467" spans="1:12" x14ac:dyDescent="0.45">
      <c r="A4467" s="12" t="s">
        <v>6241</v>
      </c>
      <c r="B4467" s="12" t="s">
        <v>4206</v>
      </c>
      <c r="C4467" s="13" t="s">
        <v>4207</v>
      </c>
      <c r="D4467" s="13" t="s">
        <v>65</v>
      </c>
      <c r="E4467" s="12" t="s">
        <v>50</v>
      </c>
      <c r="F4467" s="13"/>
      <c r="G4467" s="14">
        <v>26300</v>
      </c>
      <c r="H4467" s="13" t="s">
        <v>6246</v>
      </c>
      <c r="I4467" s="40" t="s">
        <v>18</v>
      </c>
      <c r="J4467" s="40" t="str">
        <f>HYPERLINK("https://stock.pstatic.net/stock-research/company/57/20260310_company_987958000.pdf","PDF")</f>
        <v>PDF</v>
      </c>
      <c r="K4467" s="12" t="s">
        <v>6247</v>
      </c>
    </row>
    <row r="4468" spans="1:12" x14ac:dyDescent="0.45">
      <c r="A4468" s="12" t="s">
        <v>6241</v>
      </c>
      <c r="B4468" s="12" t="s">
        <v>999</v>
      </c>
      <c r="C4468" s="13" t="s">
        <v>1000</v>
      </c>
      <c r="D4468" s="13" t="s">
        <v>23</v>
      </c>
      <c r="E4468" s="12" t="s">
        <v>16</v>
      </c>
      <c r="F4468" s="14">
        <v>40000</v>
      </c>
      <c r="G4468" s="14">
        <v>35850</v>
      </c>
      <c r="H4468" s="13" t="s">
        <v>6248</v>
      </c>
      <c r="I4468" s="40" t="s">
        <v>18</v>
      </c>
      <c r="J4468" s="40" t="str">
        <f>HYPERLINK("https://stock.pstatic.net/stock-research/company/21/20260310_company_935726000.pdf","PDF")</f>
        <v>PDF</v>
      </c>
      <c r="K4468" s="12" t="s">
        <v>6249</v>
      </c>
      <c r="L4468" s="20">
        <v>0.1157601115760112</v>
      </c>
    </row>
    <row r="4469" spans="1:12" x14ac:dyDescent="0.45">
      <c r="A4469" s="12" t="s">
        <v>6241</v>
      </c>
      <c r="B4469" s="12" t="s">
        <v>2187</v>
      </c>
      <c r="C4469" s="13" t="s">
        <v>2188</v>
      </c>
      <c r="D4469" s="13" t="s">
        <v>23</v>
      </c>
      <c r="E4469" s="12" t="s">
        <v>16</v>
      </c>
      <c r="F4469" s="14">
        <v>140000</v>
      </c>
      <c r="G4469" s="14">
        <v>110300</v>
      </c>
      <c r="H4469" s="13" t="s">
        <v>6250</v>
      </c>
      <c r="I4469" s="40" t="s">
        <v>18</v>
      </c>
      <c r="J4469" s="40" t="str">
        <f>HYPERLINK("https://stock.pstatic.net/stock-research/company/21/20260310_company_194477000.pdf","PDF")</f>
        <v>PDF</v>
      </c>
      <c r="K4469" s="12" t="s">
        <v>6251</v>
      </c>
      <c r="L4469" s="20">
        <v>0.26926563916591117</v>
      </c>
    </row>
    <row r="4470" spans="1:12" x14ac:dyDescent="0.45">
      <c r="A4470" s="12" t="s">
        <v>6241</v>
      </c>
      <c r="B4470" s="12" t="s">
        <v>6252</v>
      </c>
      <c r="C4470" s="13" t="s">
        <v>6253</v>
      </c>
      <c r="D4470" s="13" t="s">
        <v>53</v>
      </c>
      <c r="E4470" s="12" t="s">
        <v>50</v>
      </c>
      <c r="F4470" s="13"/>
      <c r="G4470" s="14">
        <v>68400</v>
      </c>
      <c r="H4470" s="13" t="s">
        <v>6254</v>
      </c>
      <c r="I4470" s="40" t="s">
        <v>18</v>
      </c>
      <c r="J4470" s="40" t="str">
        <f>HYPERLINK("https://stock.pstatic.net/stock-research/company/40/20260310_company_555116000.pdf","PDF")</f>
        <v>PDF</v>
      </c>
      <c r="K4470" s="12" t="s">
        <v>6255</v>
      </c>
    </row>
    <row r="4471" spans="1:12" x14ac:dyDescent="0.45">
      <c r="A4471" s="12" t="s">
        <v>6241</v>
      </c>
      <c r="B4471" s="12" t="s">
        <v>2032</v>
      </c>
      <c r="C4471" s="13" t="s">
        <v>2033</v>
      </c>
      <c r="D4471" s="13" t="s">
        <v>23</v>
      </c>
      <c r="E4471" s="12" t="s">
        <v>16</v>
      </c>
      <c r="F4471" s="14">
        <v>25500</v>
      </c>
      <c r="G4471" s="14">
        <v>20050</v>
      </c>
      <c r="H4471" s="13" t="s">
        <v>6256</v>
      </c>
      <c r="I4471" s="40" t="s">
        <v>18</v>
      </c>
      <c r="J4471" s="40" t="str">
        <f>HYPERLINK("https://stock.pstatic.net/stock-research/company/21/20260310_company_769169000.pdf","PDF")</f>
        <v>PDF</v>
      </c>
      <c r="K4471" s="12" t="s">
        <v>6257</v>
      </c>
      <c r="L4471" s="20">
        <v>0.27182044887780549</v>
      </c>
    </row>
    <row r="4472" spans="1:12" x14ac:dyDescent="0.45">
      <c r="A4472" s="12" t="s">
        <v>6241</v>
      </c>
      <c r="B4472" s="12" t="s">
        <v>2346</v>
      </c>
      <c r="C4472" s="13" t="s">
        <v>2347</v>
      </c>
      <c r="D4472" s="13" t="s">
        <v>44</v>
      </c>
      <c r="E4472" s="12" t="s">
        <v>35</v>
      </c>
      <c r="F4472" s="14">
        <v>160000</v>
      </c>
      <c r="G4472" s="14">
        <v>124300</v>
      </c>
      <c r="H4472" s="13" t="s">
        <v>6258</v>
      </c>
      <c r="I4472" s="40" t="s">
        <v>18</v>
      </c>
      <c r="J4472" s="40" t="str">
        <f>HYPERLINK("https://stock.pstatic.net/stock-research/company/39/20260310_company_22984000.pdf","PDF")</f>
        <v>PDF</v>
      </c>
      <c r="K4472" s="12" t="s">
        <v>6259</v>
      </c>
      <c r="L4472" s="20">
        <v>0.28720836685438461</v>
      </c>
    </row>
    <row r="4473" spans="1:12" x14ac:dyDescent="0.45">
      <c r="A4473" s="12" t="s">
        <v>6241</v>
      </c>
      <c r="B4473" s="12" t="s">
        <v>6260</v>
      </c>
      <c r="C4473" s="13" t="s">
        <v>6261</v>
      </c>
      <c r="D4473" s="13" t="s">
        <v>124</v>
      </c>
      <c r="E4473" s="12" t="s">
        <v>50</v>
      </c>
      <c r="F4473" s="13"/>
      <c r="G4473" s="13"/>
      <c r="H4473" s="13" t="s">
        <v>6262</v>
      </c>
      <c r="I4473" s="40" t="s">
        <v>18</v>
      </c>
      <c r="J4473" s="40" t="str">
        <f>HYPERLINK("https://stock.pstatic.net/stock-research/company/74/20260310_company_225247000.pdf","PDF")</f>
        <v>PDF</v>
      </c>
      <c r="K4473" s="12" t="s">
        <v>6263</v>
      </c>
    </row>
    <row r="4474" spans="1:12" x14ac:dyDescent="0.45">
      <c r="A4474" s="12" t="s">
        <v>6241</v>
      </c>
      <c r="B4474" s="12" t="s">
        <v>6264</v>
      </c>
      <c r="C4474" s="13" t="s">
        <v>6265</v>
      </c>
      <c r="D4474" s="13" t="s">
        <v>124</v>
      </c>
      <c r="E4474" s="12" t="s">
        <v>50</v>
      </c>
      <c r="F4474" s="13"/>
      <c r="G4474" s="13"/>
      <c r="H4474" s="13" t="s">
        <v>6266</v>
      </c>
      <c r="I4474" s="40" t="s">
        <v>18</v>
      </c>
      <c r="J4474" s="40" t="str">
        <f>HYPERLINK("https://stock.pstatic.net/stock-research/company/74/20260310_company_710358000.pdf","PDF")</f>
        <v>PDF</v>
      </c>
      <c r="K4474" s="12" t="s">
        <v>6267</v>
      </c>
    </row>
    <row r="4475" spans="1:12" x14ac:dyDescent="0.45">
      <c r="A4475" s="12" t="s">
        <v>6241</v>
      </c>
      <c r="B4475" s="12" t="s">
        <v>13</v>
      </c>
      <c r="C4475" s="13" t="s">
        <v>14</v>
      </c>
      <c r="D4475" s="13" t="s">
        <v>15</v>
      </c>
      <c r="E4475" s="12" t="s">
        <v>16</v>
      </c>
      <c r="F4475" s="14">
        <v>275000</v>
      </c>
      <c r="G4475" s="14">
        <v>173500</v>
      </c>
      <c r="H4475" s="13" t="s">
        <v>6268</v>
      </c>
      <c r="I4475" s="40" t="s">
        <v>18</v>
      </c>
      <c r="J4475" s="40" t="str">
        <f>HYPERLINK("https://stock.pstatic.net/stock-research/company/56/20260310_company_716140000.pdf","PDF")</f>
        <v>PDF</v>
      </c>
      <c r="K4475" s="12" t="s">
        <v>6269</v>
      </c>
      <c r="L4475" s="20">
        <v>0.58501440922190207</v>
      </c>
    </row>
    <row r="4476" spans="1:12" x14ac:dyDescent="0.45">
      <c r="A4476" s="12" t="s">
        <v>6270</v>
      </c>
      <c r="B4476" s="12" t="s">
        <v>366</v>
      </c>
      <c r="C4476" s="13" t="s">
        <v>367</v>
      </c>
      <c r="D4476" s="13" t="s">
        <v>83</v>
      </c>
      <c r="E4476" s="12" t="s">
        <v>35</v>
      </c>
      <c r="F4476" s="14">
        <v>35000</v>
      </c>
      <c r="G4476" s="14">
        <v>21600</v>
      </c>
      <c r="H4476" s="13" t="s">
        <v>6271</v>
      </c>
      <c r="I4476" s="40" t="s">
        <v>18</v>
      </c>
      <c r="J4476" s="40" t="str">
        <f>HYPERLINK("https://stock.pstatic.net/stock-research/company/15/20260309_company_512912000.pdf","PDF")</f>
        <v>PDF</v>
      </c>
      <c r="K4476" s="12" t="s">
        <v>6272</v>
      </c>
      <c r="L4476" s="20">
        <v>0.62037037037037035</v>
      </c>
    </row>
    <row r="4477" spans="1:12" x14ac:dyDescent="0.45">
      <c r="A4477" s="12" t="s">
        <v>6270</v>
      </c>
      <c r="B4477" s="12" t="s">
        <v>5705</v>
      </c>
      <c r="C4477" s="13" t="s">
        <v>5706</v>
      </c>
      <c r="D4477" s="13" t="s">
        <v>276</v>
      </c>
      <c r="E4477" s="12" t="s">
        <v>16</v>
      </c>
      <c r="F4477" s="14">
        <v>100000</v>
      </c>
      <c r="G4477" s="14">
        <v>76400</v>
      </c>
      <c r="H4477" s="13" t="s">
        <v>6273</v>
      </c>
      <c r="I4477" s="40" t="s">
        <v>18</v>
      </c>
      <c r="J4477" s="40" t="str">
        <f>HYPERLINK("https://stock.pstatic.net/stock-research/company/66/20260309_company_957413000.pdf","PDF")</f>
        <v>PDF</v>
      </c>
      <c r="K4477" s="12" t="s">
        <v>6274</v>
      </c>
      <c r="L4477" s="20">
        <v>0.30890052356020942</v>
      </c>
    </row>
    <row r="4478" spans="1:12" x14ac:dyDescent="0.45">
      <c r="A4478" s="12" t="s">
        <v>6270</v>
      </c>
      <c r="B4478" s="12" t="s">
        <v>398</v>
      </c>
      <c r="C4478" s="13" t="s">
        <v>399</v>
      </c>
      <c r="D4478" s="13" t="s">
        <v>276</v>
      </c>
      <c r="E4478" s="12" t="s">
        <v>16</v>
      </c>
      <c r="F4478" s="14">
        <v>290000</v>
      </c>
      <c r="G4478" s="14">
        <v>215500</v>
      </c>
      <c r="H4478" s="13" t="s">
        <v>6275</v>
      </c>
      <c r="I4478" s="40" t="s">
        <v>18</v>
      </c>
      <c r="J4478" s="40" t="str">
        <f>HYPERLINK("https://stock.pstatic.net/stock-research/company/66/20260309_company_796689000.pdf","PDF")</f>
        <v>PDF</v>
      </c>
      <c r="K4478" s="12" t="s">
        <v>6276</v>
      </c>
      <c r="L4478" s="20">
        <v>0.345707656612529</v>
      </c>
    </row>
    <row r="4479" spans="1:12" x14ac:dyDescent="0.45">
      <c r="A4479" s="12" t="s">
        <v>6270</v>
      </c>
      <c r="B4479" s="12" t="s">
        <v>2205</v>
      </c>
      <c r="C4479" s="13" t="s">
        <v>2206</v>
      </c>
      <c r="D4479" s="13" t="s">
        <v>23</v>
      </c>
      <c r="E4479" s="12" t="s">
        <v>16</v>
      </c>
      <c r="F4479" s="14">
        <v>88000</v>
      </c>
      <c r="G4479" s="14">
        <v>62900</v>
      </c>
      <c r="H4479" s="13" t="s">
        <v>6277</v>
      </c>
      <c r="I4479" s="40" t="s">
        <v>18</v>
      </c>
      <c r="J4479" s="40" t="str">
        <f>HYPERLINK("https://stock.pstatic.net/stock-research/company/21/20260309_company_954403000.pdf","PDF")</f>
        <v>PDF</v>
      </c>
      <c r="K4479" s="12" t="s">
        <v>6278</v>
      </c>
      <c r="L4479" s="20">
        <v>0.39904610492845788</v>
      </c>
    </row>
    <row r="4480" spans="1:12" x14ac:dyDescent="0.45">
      <c r="A4480" s="12" t="s">
        <v>6270</v>
      </c>
      <c r="B4480" s="12" t="s">
        <v>5699</v>
      </c>
      <c r="C4480" s="13" t="s">
        <v>5700</v>
      </c>
      <c r="D4480" s="13" t="s">
        <v>23</v>
      </c>
      <c r="E4480" s="12" t="s">
        <v>50</v>
      </c>
      <c r="F4480" s="13"/>
      <c r="G4480" s="14">
        <v>29200</v>
      </c>
      <c r="H4480" s="13" t="s">
        <v>6279</v>
      </c>
      <c r="I4480" s="40" t="s">
        <v>18</v>
      </c>
      <c r="J4480" s="40" t="str">
        <f>HYPERLINK("https://stock.pstatic.net/stock-research/company/21/20260309_company_938505000.pdf","PDF")</f>
        <v>PDF</v>
      </c>
      <c r="K4480" s="12" t="s">
        <v>6280</v>
      </c>
    </row>
    <row r="4481" spans="1:12" x14ac:dyDescent="0.45">
      <c r="A4481" s="12" t="s">
        <v>6270</v>
      </c>
      <c r="B4481" s="12" t="s">
        <v>468</v>
      </c>
      <c r="C4481" s="13" t="s">
        <v>469</v>
      </c>
      <c r="D4481" s="13" t="s">
        <v>34</v>
      </c>
      <c r="E4481" s="12" t="s">
        <v>50</v>
      </c>
      <c r="F4481" s="13"/>
      <c r="G4481" s="14">
        <v>34500</v>
      </c>
      <c r="H4481" s="13" t="s">
        <v>6281</v>
      </c>
      <c r="I4481" s="40" t="s">
        <v>18</v>
      </c>
      <c r="J4481" s="40" t="str">
        <f>HYPERLINK("https://stock.pstatic.net/stock-research/company/61/20260309_company_190319000.pdf","PDF")</f>
        <v>PDF</v>
      </c>
      <c r="K4481" s="12" t="s">
        <v>6282</v>
      </c>
    </row>
    <row r="4482" spans="1:12" x14ac:dyDescent="0.45">
      <c r="A4482" s="12" t="s">
        <v>6270</v>
      </c>
      <c r="B4482" s="12" t="s">
        <v>4557</v>
      </c>
      <c r="C4482" s="13" t="s">
        <v>4558</v>
      </c>
      <c r="D4482" s="13" t="s">
        <v>34</v>
      </c>
      <c r="E4482" s="12" t="s">
        <v>50</v>
      </c>
      <c r="F4482" s="13"/>
      <c r="G4482" s="14">
        <v>21800</v>
      </c>
      <c r="H4482" s="13" t="s">
        <v>6283</v>
      </c>
      <c r="I4482" s="40" t="s">
        <v>18</v>
      </c>
      <c r="J4482" s="40" t="str">
        <f>HYPERLINK("https://stock.pstatic.net/stock-research/company/61/20260309_company_366862000.pdf","PDF")</f>
        <v>PDF</v>
      </c>
      <c r="K4482" s="12" t="s">
        <v>6284</v>
      </c>
    </row>
    <row r="4483" spans="1:12" x14ac:dyDescent="0.45">
      <c r="A4483" s="12" t="s">
        <v>6270</v>
      </c>
      <c r="B4483" s="12" t="s">
        <v>912</v>
      </c>
      <c r="C4483" s="13" t="s">
        <v>913</v>
      </c>
      <c r="D4483" s="13" t="s">
        <v>34</v>
      </c>
      <c r="E4483" s="12" t="s">
        <v>50</v>
      </c>
      <c r="F4483" s="13"/>
      <c r="G4483" s="14">
        <v>64900</v>
      </c>
      <c r="H4483" s="13" t="s">
        <v>6285</v>
      </c>
      <c r="I4483" s="40" t="s">
        <v>18</v>
      </c>
      <c r="J4483" s="40" t="str">
        <f>HYPERLINK("https://stock.pstatic.net/stock-research/company/61/20260309_company_91788000.pdf","PDF")</f>
        <v>PDF</v>
      </c>
      <c r="K4483" s="12" t="s">
        <v>6286</v>
      </c>
    </row>
    <row r="4484" spans="1:12" x14ac:dyDescent="0.45">
      <c r="A4484" s="12" t="s">
        <v>6270</v>
      </c>
      <c r="B4484" s="12" t="s">
        <v>868</v>
      </c>
      <c r="C4484" s="13" t="s">
        <v>869</v>
      </c>
      <c r="D4484" s="13" t="s">
        <v>34</v>
      </c>
      <c r="E4484" s="12" t="s">
        <v>35</v>
      </c>
      <c r="F4484" s="14">
        <v>70000</v>
      </c>
      <c r="G4484" s="14">
        <v>39050</v>
      </c>
      <c r="H4484" s="13" t="s">
        <v>6287</v>
      </c>
      <c r="I4484" s="40" t="s">
        <v>18</v>
      </c>
      <c r="J4484" s="40" t="str">
        <f>HYPERLINK("https://stock.pstatic.net/stock-research/company/61/20260309_company_83938000.pdf","PDF")</f>
        <v>PDF</v>
      </c>
      <c r="K4484" s="12" t="s">
        <v>6288</v>
      </c>
      <c r="L4484" s="20">
        <v>0.79257362355953909</v>
      </c>
    </row>
    <row r="4485" spans="1:12" x14ac:dyDescent="0.45">
      <c r="A4485" s="12" t="s">
        <v>6289</v>
      </c>
      <c r="B4485" s="12" t="s">
        <v>888</v>
      </c>
      <c r="C4485" s="13" t="s">
        <v>889</v>
      </c>
      <c r="D4485" s="13" t="s">
        <v>57</v>
      </c>
      <c r="E4485" s="12" t="s">
        <v>35</v>
      </c>
      <c r="F4485" s="14">
        <v>72000</v>
      </c>
      <c r="G4485" s="14">
        <v>49250</v>
      </c>
      <c r="H4485" s="13" t="s">
        <v>6290</v>
      </c>
      <c r="I4485" s="40" t="s">
        <v>18</v>
      </c>
      <c r="J4485" s="40" t="str">
        <f>HYPERLINK("https://stock.pstatic.net/stock-research/company/16/20260306_company_528945000.pdf","PDF")</f>
        <v>PDF</v>
      </c>
      <c r="K4485" s="12" t="s">
        <v>6291</v>
      </c>
      <c r="L4485" s="20">
        <v>0.46192893401015228</v>
      </c>
    </row>
    <row r="4486" spans="1:12" x14ac:dyDescent="0.45">
      <c r="A4486" s="12" t="s">
        <v>6289</v>
      </c>
      <c r="B4486" s="12" t="s">
        <v>3478</v>
      </c>
      <c r="C4486" s="13" t="s">
        <v>3479</v>
      </c>
      <c r="D4486" s="13" t="s">
        <v>57</v>
      </c>
      <c r="E4486" s="12" t="s">
        <v>35</v>
      </c>
      <c r="F4486" s="14">
        <v>50000</v>
      </c>
      <c r="G4486" s="14">
        <v>35800</v>
      </c>
      <c r="H4486" s="13" t="s">
        <v>6292</v>
      </c>
      <c r="I4486" s="40" t="s">
        <v>18</v>
      </c>
      <c r="J4486" s="40" t="str">
        <f>HYPERLINK("https://stock.pstatic.net/stock-research/company/16/20260306_company_167921000.pdf","PDF")</f>
        <v>PDF</v>
      </c>
      <c r="K4486" s="12" t="s">
        <v>6293</v>
      </c>
      <c r="L4486" s="20">
        <v>0.39664804469273751</v>
      </c>
    </row>
    <row r="4487" spans="1:12" x14ac:dyDescent="0.45">
      <c r="A4487" s="12" t="s">
        <v>6289</v>
      </c>
      <c r="B4487" s="12" t="s">
        <v>146</v>
      </c>
      <c r="C4487" s="13" t="s">
        <v>147</v>
      </c>
      <c r="D4487" s="13" t="s">
        <v>276</v>
      </c>
      <c r="E4487" s="12" t="s">
        <v>16</v>
      </c>
      <c r="F4487" s="14">
        <v>81000</v>
      </c>
      <c r="G4487" s="14">
        <v>65300</v>
      </c>
      <c r="H4487" s="13" t="s">
        <v>6294</v>
      </c>
      <c r="I4487" s="40" t="s">
        <v>18</v>
      </c>
      <c r="J4487" s="40" t="str">
        <f>HYPERLINK("https://stock.pstatic.net/stock-research/company/66/20260306_company_55945000.pdf","PDF")</f>
        <v>PDF</v>
      </c>
      <c r="K4487" s="12" t="s">
        <v>6295</v>
      </c>
      <c r="L4487" s="20">
        <v>0.2404287901990812</v>
      </c>
    </row>
    <row r="4488" spans="1:12" x14ac:dyDescent="0.45">
      <c r="A4488" s="12" t="s">
        <v>6289</v>
      </c>
      <c r="B4488" s="12" t="s">
        <v>255</v>
      </c>
      <c r="C4488" s="13" t="s">
        <v>256</v>
      </c>
      <c r="D4488" s="13" t="s">
        <v>158</v>
      </c>
      <c r="E4488" s="12" t="s">
        <v>35</v>
      </c>
      <c r="F4488" s="14">
        <v>41000</v>
      </c>
      <c r="G4488" s="14">
        <v>30700</v>
      </c>
      <c r="H4488" s="13" t="s">
        <v>6296</v>
      </c>
      <c r="I4488" s="40" t="s">
        <v>18</v>
      </c>
      <c r="J4488" s="40" t="str">
        <f>HYPERLINK("https://stock.pstatic.net/stock-research/company/18/20260306_company_109571000.pdf","PDF")</f>
        <v>PDF</v>
      </c>
      <c r="K4488" s="12" t="s">
        <v>6297</v>
      </c>
      <c r="L4488" s="20">
        <v>0.33550488599348532</v>
      </c>
    </row>
    <row r="4489" spans="1:12" x14ac:dyDescent="0.45">
      <c r="A4489" s="12" t="s">
        <v>6289</v>
      </c>
      <c r="B4489" s="12" t="s">
        <v>6298</v>
      </c>
      <c r="C4489" s="13" t="s">
        <v>6299</v>
      </c>
      <c r="D4489" s="13" t="s">
        <v>158</v>
      </c>
      <c r="E4489" s="12" t="s">
        <v>50</v>
      </c>
      <c r="F4489" s="13"/>
      <c r="G4489" s="14">
        <v>14040</v>
      </c>
      <c r="H4489" s="13" t="s">
        <v>6300</v>
      </c>
      <c r="I4489" s="40" t="s">
        <v>18</v>
      </c>
      <c r="J4489" s="40" t="str">
        <f>HYPERLINK("https://stock.pstatic.net/stock-research/company/18/20260306_company_177766000.pdf","PDF")</f>
        <v>PDF</v>
      </c>
      <c r="K4489" s="12" t="s">
        <v>6301</v>
      </c>
    </row>
    <row r="4490" spans="1:12" x14ac:dyDescent="0.45">
      <c r="A4490" s="12" t="s">
        <v>6289</v>
      </c>
      <c r="B4490" s="12" t="s">
        <v>5040</v>
      </c>
      <c r="C4490" s="13" t="s">
        <v>5041</v>
      </c>
      <c r="D4490" s="13" t="s">
        <v>15</v>
      </c>
      <c r="E4490" s="12" t="s">
        <v>50</v>
      </c>
      <c r="F4490" s="13"/>
      <c r="G4490" s="14">
        <v>60800</v>
      </c>
      <c r="H4490" s="13" t="s">
        <v>6302</v>
      </c>
      <c r="I4490" s="40" t="s">
        <v>18</v>
      </c>
      <c r="J4490" s="40" t="str">
        <f>HYPERLINK("https://stock.pstatic.net/stock-research/company/56/20260306_company_803761000.pdf","PDF")</f>
        <v>PDF</v>
      </c>
      <c r="K4490" s="12" t="s">
        <v>6303</v>
      </c>
    </row>
    <row r="4491" spans="1:12" x14ac:dyDescent="0.45">
      <c r="A4491" s="12" t="s">
        <v>6289</v>
      </c>
      <c r="B4491" s="12" t="s">
        <v>495</v>
      </c>
      <c r="C4491" s="13" t="s">
        <v>496</v>
      </c>
      <c r="D4491" s="13" t="s">
        <v>15</v>
      </c>
      <c r="E4491" s="12" t="s">
        <v>16</v>
      </c>
      <c r="F4491" s="14">
        <v>450000</v>
      </c>
      <c r="G4491" s="14">
        <v>283000</v>
      </c>
      <c r="H4491" s="13" t="s">
        <v>6304</v>
      </c>
      <c r="I4491" s="40" t="s">
        <v>18</v>
      </c>
      <c r="J4491" s="40" t="str">
        <f>HYPERLINK("https://stock.pstatic.net/stock-research/company/56/20260306_company_304069000.pdf","PDF")</f>
        <v>PDF</v>
      </c>
      <c r="K4491" s="12" t="s">
        <v>6305</v>
      </c>
      <c r="L4491" s="20">
        <v>0.59010600706713778</v>
      </c>
    </row>
    <row r="4492" spans="1:12" x14ac:dyDescent="0.45">
      <c r="A4492" s="12" t="s">
        <v>6289</v>
      </c>
      <c r="B4492" s="12" t="s">
        <v>999</v>
      </c>
      <c r="C4492" s="13" t="s">
        <v>1000</v>
      </c>
      <c r="D4492" s="13" t="s">
        <v>23</v>
      </c>
      <c r="E4492" s="12" t="s">
        <v>16</v>
      </c>
      <c r="F4492" s="14">
        <v>40000</v>
      </c>
      <c r="G4492" s="14">
        <v>32800</v>
      </c>
      <c r="H4492" s="13" t="s">
        <v>6306</v>
      </c>
      <c r="I4492" s="40" t="s">
        <v>18</v>
      </c>
      <c r="J4492" s="40" t="str">
        <f>HYPERLINK("https://stock.pstatic.net/stock-research/company/21/20260306_company_819574000.pdf","PDF")</f>
        <v>PDF</v>
      </c>
      <c r="K4492" s="12" t="s">
        <v>6307</v>
      </c>
      <c r="L4492" s="20">
        <v>0.21951219512195119</v>
      </c>
    </row>
    <row r="4493" spans="1:12" x14ac:dyDescent="0.45">
      <c r="A4493" s="12" t="s">
        <v>6289</v>
      </c>
      <c r="B4493" s="12" t="s">
        <v>3423</v>
      </c>
      <c r="C4493" s="13" t="s">
        <v>3424</v>
      </c>
      <c r="D4493" s="13" t="s">
        <v>23</v>
      </c>
      <c r="E4493" s="12" t="s">
        <v>50</v>
      </c>
      <c r="F4493" s="13"/>
      <c r="G4493" s="14">
        <v>66300</v>
      </c>
      <c r="H4493" s="13" t="s">
        <v>6308</v>
      </c>
      <c r="I4493" s="40" t="s">
        <v>18</v>
      </c>
      <c r="J4493" s="40" t="str">
        <f>HYPERLINK("https://stock.pstatic.net/stock-research/company/21/20260306_company_898952000.pdf","PDF")</f>
        <v>PDF</v>
      </c>
      <c r="K4493" s="12" t="s">
        <v>6309</v>
      </c>
    </row>
    <row r="4494" spans="1:12" x14ac:dyDescent="0.45">
      <c r="A4494" s="12" t="s">
        <v>6289</v>
      </c>
      <c r="B4494" s="12" t="s">
        <v>6310</v>
      </c>
      <c r="C4494" s="13" t="s">
        <v>6311</v>
      </c>
      <c r="D4494" s="13" t="s">
        <v>23</v>
      </c>
      <c r="E4494" s="12" t="s">
        <v>16</v>
      </c>
      <c r="F4494" s="14">
        <v>200000</v>
      </c>
      <c r="G4494" s="14">
        <v>146900</v>
      </c>
      <c r="H4494" s="13" t="s">
        <v>6312</v>
      </c>
      <c r="I4494" s="40" t="s">
        <v>18</v>
      </c>
      <c r="J4494" s="40" t="str">
        <f>HYPERLINK("https://stock.pstatic.net/stock-research/company/21/20260306_company_2010000.pdf","PDF")</f>
        <v>PDF</v>
      </c>
      <c r="K4494" s="12" t="s">
        <v>6313</v>
      </c>
      <c r="L4494" s="20">
        <v>0.36147038801906062</v>
      </c>
    </row>
    <row r="4495" spans="1:12" x14ac:dyDescent="0.45">
      <c r="A4495" s="12" t="s">
        <v>6289</v>
      </c>
      <c r="B4495" s="12" t="s">
        <v>1666</v>
      </c>
      <c r="C4495" s="13" t="s">
        <v>1667</v>
      </c>
      <c r="D4495" s="13" t="s">
        <v>15</v>
      </c>
      <c r="E4495" s="12" t="s">
        <v>16</v>
      </c>
      <c r="F4495" s="14">
        <v>85000</v>
      </c>
      <c r="G4495" s="14">
        <v>48500</v>
      </c>
      <c r="H4495" s="13" t="s">
        <v>6314</v>
      </c>
      <c r="I4495" s="40" t="s">
        <v>18</v>
      </c>
      <c r="J4495" s="40" t="str">
        <f>HYPERLINK("https://stock.pstatic.net/stock-research/company/56/20260306_company_887721000.pdf","PDF")</f>
        <v>PDF</v>
      </c>
      <c r="K4495" s="12" t="s">
        <v>6315</v>
      </c>
      <c r="L4495" s="20">
        <v>0.75257731958762886</v>
      </c>
    </row>
    <row r="4496" spans="1:12" x14ac:dyDescent="0.45">
      <c r="A4496" s="12" t="s">
        <v>6289</v>
      </c>
      <c r="B4496" s="12" t="s">
        <v>255</v>
      </c>
      <c r="C4496" s="13" t="s">
        <v>256</v>
      </c>
      <c r="D4496" s="13" t="s">
        <v>23</v>
      </c>
      <c r="E4496" s="12" t="s">
        <v>16</v>
      </c>
      <c r="F4496" s="14">
        <v>45000</v>
      </c>
      <c r="G4496" s="14">
        <v>30700</v>
      </c>
      <c r="H4496" s="13" t="s">
        <v>6316</v>
      </c>
      <c r="I4496" s="40" t="s">
        <v>18</v>
      </c>
      <c r="J4496" s="40" t="str">
        <f>HYPERLINK("https://stock.pstatic.net/stock-research/company/21/20260306_company_86748000.pdf","PDF")</f>
        <v>PDF</v>
      </c>
      <c r="K4496" s="12" t="s">
        <v>6317</v>
      </c>
      <c r="L4496" s="20">
        <v>0.46579804560260579</v>
      </c>
    </row>
    <row r="4497" spans="1:12" x14ac:dyDescent="0.45">
      <c r="A4497" s="12" t="s">
        <v>6289</v>
      </c>
      <c r="B4497" s="12" t="s">
        <v>1463</v>
      </c>
      <c r="C4497" s="13" t="s">
        <v>1464</v>
      </c>
      <c r="D4497" s="13" t="s">
        <v>23</v>
      </c>
      <c r="E4497" s="12" t="s">
        <v>16</v>
      </c>
      <c r="F4497" s="14">
        <v>140000</v>
      </c>
      <c r="G4497" s="14">
        <v>95100</v>
      </c>
      <c r="H4497" s="13" t="s">
        <v>6318</v>
      </c>
      <c r="I4497" s="40" t="s">
        <v>18</v>
      </c>
      <c r="J4497" s="40" t="str">
        <f>HYPERLINK("https://stock.pstatic.net/stock-research/company/21/20260306_company_177560000.pdf","PDF")</f>
        <v>PDF</v>
      </c>
      <c r="K4497" s="12" t="s">
        <v>6319</v>
      </c>
      <c r="L4497" s="20">
        <v>0.47213459516298628</v>
      </c>
    </row>
    <row r="4498" spans="1:12" x14ac:dyDescent="0.45">
      <c r="A4498" s="12" t="s">
        <v>6289</v>
      </c>
      <c r="B4498" s="12" t="s">
        <v>6320</v>
      </c>
      <c r="C4498" s="13" t="s">
        <v>6321</v>
      </c>
      <c r="D4498" s="13" t="s">
        <v>44</v>
      </c>
      <c r="E4498" s="12" t="s">
        <v>50</v>
      </c>
      <c r="F4498" s="13"/>
      <c r="G4498" s="14">
        <v>4510</v>
      </c>
      <c r="H4498" s="13" t="s">
        <v>6322</v>
      </c>
      <c r="I4498" s="40" t="s">
        <v>18</v>
      </c>
      <c r="J4498" s="40" t="str">
        <f>HYPERLINK("https://stock.pstatic.net/stock-research/company/39/20260306_company_109767000.pdf","PDF")</f>
        <v>PDF</v>
      </c>
      <c r="K4498" s="12" t="s">
        <v>6323</v>
      </c>
    </row>
    <row r="4499" spans="1:12" x14ac:dyDescent="0.45">
      <c r="A4499" s="12" t="s">
        <v>6289</v>
      </c>
      <c r="B4499" s="12" t="s">
        <v>1208</v>
      </c>
      <c r="C4499" s="13" t="s">
        <v>1209</v>
      </c>
      <c r="D4499" s="13" t="s">
        <v>44</v>
      </c>
      <c r="E4499" s="12" t="s">
        <v>35</v>
      </c>
      <c r="F4499" s="14">
        <v>120000</v>
      </c>
      <c r="G4499" s="14">
        <v>78300</v>
      </c>
      <c r="H4499" s="13" t="s">
        <v>6324</v>
      </c>
      <c r="I4499" s="40" t="s">
        <v>18</v>
      </c>
      <c r="J4499" s="40" t="str">
        <f>HYPERLINK("https://stock.pstatic.net/stock-research/company/39/20260306_company_538800000.pdf","PDF")</f>
        <v>PDF</v>
      </c>
      <c r="K4499" s="12" t="s">
        <v>6325</v>
      </c>
      <c r="L4499" s="20">
        <v>0.53256704980842917</v>
      </c>
    </row>
    <row r="4500" spans="1:12" x14ac:dyDescent="0.45">
      <c r="A4500" s="12" t="s">
        <v>6289</v>
      </c>
      <c r="B4500" s="12" t="s">
        <v>5892</v>
      </c>
      <c r="C4500" s="13" t="s">
        <v>5893</v>
      </c>
      <c r="D4500" s="13" t="s">
        <v>124</v>
      </c>
      <c r="E4500" s="12" t="s">
        <v>50</v>
      </c>
      <c r="F4500" s="13"/>
      <c r="G4500" s="13"/>
      <c r="H4500" s="13" t="s">
        <v>6326</v>
      </c>
      <c r="I4500" s="40" t="s">
        <v>18</v>
      </c>
      <c r="J4500" s="40" t="str">
        <f>HYPERLINK("https://stock.pstatic.net/stock-research/company/74/20260306_company_825072000.pdf","PDF")</f>
        <v>PDF</v>
      </c>
      <c r="K4500" s="12" t="s">
        <v>6327</v>
      </c>
    </row>
    <row r="4501" spans="1:12" x14ac:dyDescent="0.45">
      <c r="A4501" s="12" t="s">
        <v>6289</v>
      </c>
      <c r="B4501" s="12" t="s">
        <v>6328</v>
      </c>
      <c r="C4501" s="13" t="s">
        <v>6329</v>
      </c>
      <c r="D4501" s="13" t="s">
        <v>124</v>
      </c>
      <c r="E4501" s="12" t="s">
        <v>50</v>
      </c>
      <c r="F4501" s="13"/>
      <c r="G4501" s="13"/>
      <c r="H4501" s="13" t="s">
        <v>6330</v>
      </c>
      <c r="I4501" s="40" t="s">
        <v>18</v>
      </c>
      <c r="J4501" s="40" t="str">
        <f>HYPERLINK("https://stock.pstatic.net/stock-research/company/74/20260306_company_127086000.pdf","PDF")</f>
        <v>PDF</v>
      </c>
      <c r="K4501" s="12" t="s">
        <v>6331</v>
      </c>
    </row>
    <row r="4502" spans="1:12" x14ac:dyDescent="0.45">
      <c r="A4502" s="12" t="s">
        <v>6289</v>
      </c>
      <c r="B4502" s="12" t="s">
        <v>1140</v>
      </c>
      <c r="C4502" s="13" t="s">
        <v>1141</v>
      </c>
      <c r="D4502" s="13" t="s">
        <v>15</v>
      </c>
      <c r="E4502" s="12" t="s">
        <v>385</v>
      </c>
      <c r="F4502" s="14">
        <v>51000</v>
      </c>
      <c r="G4502" s="14">
        <v>48200</v>
      </c>
      <c r="H4502" s="13" t="s">
        <v>6332</v>
      </c>
      <c r="I4502" s="40" t="s">
        <v>18</v>
      </c>
      <c r="J4502" s="40" t="str">
        <f>HYPERLINK("https://stock.pstatic.net/stock-research/company/56/20260306_company_5930000.pdf","PDF")</f>
        <v>PDF</v>
      </c>
      <c r="K4502" s="12" t="s">
        <v>6333</v>
      </c>
      <c r="L4502" s="20">
        <v>5.8091286307053937E-2</v>
      </c>
    </row>
    <row r="4503" spans="1:12" x14ac:dyDescent="0.45">
      <c r="A4503" s="12" t="s">
        <v>6289</v>
      </c>
      <c r="B4503" s="12" t="s">
        <v>6334</v>
      </c>
      <c r="C4503" s="13" t="s">
        <v>6335</v>
      </c>
      <c r="D4503" s="13" t="s">
        <v>124</v>
      </c>
      <c r="E4503" s="12" t="s">
        <v>50</v>
      </c>
      <c r="F4503" s="13"/>
      <c r="G4503" s="14">
        <v>2300</v>
      </c>
      <c r="H4503" s="13" t="s">
        <v>6336</v>
      </c>
      <c r="I4503" s="40" t="s">
        <v>18</v>
      </c>
      <c r="J4503" s="40" t="str">
        <f>HYPERLINK("https://stock.pstatic.net/stock-research/company/74/20260306_company_631890000.pdf","PDF")</f>
        <v>PDF</v>
      </c>
      <c r="K4503" s="12" t="s">
        <v>6337</v>
      </c>
    </row>
    <row r="4504" spans="1:12" x14ac:dyDescent="0.45">
      <c r="A4504" s="12" t="s">
        <v>6289</v>
      </c>
      <c r="B4504" s="12" t="s">
        <v>2811</v>
      </c>
      <c r="C4504" s="13" t="s">
        <v>2812</v>
      </c>
      <c r="D4504" s="13" t="s">
        <v>124</v>
      </c>
      <c r="E4504" s="12" t="s">
        <v>50</v>
      </c>
      <c r="F4504" s="13"/>
      <c r="G4504" s="14">
        <v>27100</v>
      </c>
      <c r="H4504" s="13" t="s">
        <v>6338</v>
      </c>
      <c r="I4504" s="40" t="s">
        <v>18</v>
      </c>
      <c r="J4504" s="40" t="str">
        <f>HYPERLINK("https://stock.pstatic.net/stock-research/company/74/20260306_company_478901000.pdf","PDF")</f>
        <v>PDF</v>
      </c>
      <c r="K4504" s="12" t="s">
        <v>6339</v>
      </c>
    </row>
    <row r="4505" spans="1:12" x14ac:dyDescent="0.45">
      <c r="A4505" s="12" t="s">
        <v>6340</v>
      </c>
      <c r="B4505" s="12" t="s">
        <v>32</v>
      </c>
      <c r="C4505" s="13" t="s">
        <v>33</v>
      </c>
      <c r="D4505" s="13" t="s">
        <v>15</v>
      </c>
      <c r="E4505" s="12" t="s">
        <v>16</v>
      </c>
      <c r="F4505" s="14">
        <v>500000</v>
      </c>
      <c r="G4505" s="14">
        <v>362500</v>
      </c>
      <c r="H4505" s="13" t="s">
        <v>6341</v>
      </c>
      <c r="I4505" s="40" t="s">
        <v>18</v>
      </c>
      <c r="J4505" s="40" t="str">
        <f>HYPERLINK("https://stock.pstatic.net/stock-research/company/56/20260305_company_188440000.pdf","PDF")</f>
        <v>PDF</v>
      </c>
      <c r="K4505" s="12" t="s">
        <v>6342</v>
      </c>
      <c r="L4505" s="20">
        <v>0.37931034482758619</v>
      </c>
    </row>
    <row r="4506" spans="1:12" x14ac:dyDescent="0.45">
      <c r="A4506" s="12" t="s">
        <v>6340</v>
      </c>
      <c r="B4506" s="12" t="s">
        <v>1734</v>
      </c>
      <c r="C4506" s="13" t="s">
        <v>1735</v>
      </c>
      <c r="D4506" s="13" t="s">
        <v>57</v>
      </c>
      <c r="E4506" s="12" t="s">
        <v>35</v>
      </c>
      <c r="F4506" s="14">
        <v>50000</v>
      </c>
      <c r="G4506" s="14">
        <v>36150</v>
      </c>
      <c r="H4506" s="13" t="s">
        <v>6343</v>
      </c>
      <c r="I4506" s="40" t="s">
        <v>18</v>
      </c>
      <c r="J4506" s="40" t="str">
        <f>HYPERLINK("https://stock.pstatic.net/stock-research/company/16/20260305_company_764632000.pdf","PDF")</f>
        <v>PDF</v>
      </c>
      <c r="K4506" s="12" t="s">
        <v>6344</v>
      </c>
      <c r="L4506" s="20">
        <v>0.38312586445366531</v>
      </c>
    </row>
    <row r="4507" spans="1:12" x14ac:dyDescent="0.45">
      <c r="A4507" s="12" t="s">
        <v>6340</v>
      </c>
      <c r="B4507" s="12" t="s">
        <v>370</v>
      </c>
      <c r="C4507" s="13" t="s">
        <v>371</v>
      </c>
      <c r="D4507" s="13" t="s">
        <v>65</v>
      </c>
      <c r="E4507" s="12" t="s">
        <v>35</v>
      </c>
      <c r="F4507" s="14">
        <v>100000</v>
      </c>
      <c r="G4507" s="14">
        <v>62600</v>
      </c>
      <c r="H4507" s="13" t="s">
        <v>6345</v>
      </c>
      <c r="I4507" s="40" t="s">
        <v>18</v>
      </c>
      <c r="J4507" s="40" t="str">
        <f>HYPERLINK("https://stock.pstatic.net/stock-research/company/57/20260305_company_182302000.pdf","PDF")</f>
        <v>PDF</v>
      </c>
      <c r="K4507" s="12" t="s">
        <v>6346</v>
      </c>
      <c r="L4507" s="20">
        <v>0.597444089456869</v>
      </c>
    </row>
    <row r="4508" spans="1:12" x14ac:dyDescent="0.45">
      <c r="A4508" s="12" t="s">
        <v>6340</v>
      </c>
      <c r="B4508" s="12" t="s">
        <v>6347</v>
      </c>
      <c r="C4508" s="13" t="s">
        <v>6348</v>
      </c>
      <c r="D4508" s="13" t="s">
        <v>158</v>
      </c>
      <c r="E4508" s="12" t="s">
        <v>50</v>
      </c>
      <c r="F4508" s="13"/>
      <c r="G4508" s="14">
        <v>43200</v>
      </c>
      <c r="H4508" s="13" t="s">
        <v>6349</v>
      </c>
      <c r="I4508" s="40" t="s">
        <v>18</v>
      </c>
      <c r="J4508" s="40" t="str">
        <f>HYPERLINK("https://stock.pstatic.net/stock-research/company/18/20260305_company_668097000.pdf","PDF")</f>
        <v>PDF</v>
      </c>
      <c r="K4508" s="12" t="s">
        <v>6350</v>
      </c>
    </row>
    <row r="4509" spans="1:12" x14ac:dyDescent="0.45">
      <c r="A4509" s="12" t="s">
        <v>6340</v>
      </c>
      <c r="B4509" s="12" t="s">
        <v>6351</v>
      </c>
      <c r="C4509" s="13" t="s">
        <v>6352</v>
      </c>
      <c r="D4509" s="13" t="s">
        <v>83</v>
      </c>
      <c r="E4509" s="12" t="s">
        <v>35</v>
      </c>
      <c r="F4509" s="14">
        <v>7200</v>
      </c>
      <c r="G4509" s="14">
        <v>5530</v>
      </c>
      <c r="H4509" s="13" t="s">
        <v>6353</v>
      </c>
      <c r="I4509" s="40" t="s">
        <v>18</v>
      </c>
      <c r="J4509" s="40" t="str">
        <f>HYPERLINK("https://stock.pstatic.net/stock-research/company/15/20260305_company_825362000.pdf","PDF")</f>
        <v>PDF</v>
      </c>
      <c r="K4509" s="12" t="s">
        <v>6354</v>
      </c>
      <c r="L4509" s="20">
        <v>0.30198915009041588</v>
      </c>
    </row>
    <row r="4510" spans="1:12" x14ac:dyDescent="0.45">
      <c r="A4510" s="12" t="s">
        <v>6340</v>
      </c>
      <c r="B4510" s="12" t="s">
        <v>3383</v>
      </c>
      <c r="C4510" s="13" t="s">
        <v>3384</v>
      </c>
      <c r="D4510" s="13" t="s">
        <v>83</v>
      </c>
      <c r="E4510" s="12" t="s">
        <v>35</v>
      </c>
      <c r="F4510" s="14">
        <v>78000</v>
      </c>
      <c r="G4510" s="14">
        <v>53900</v>
      </c>
      <c r="H4510" s="13" t="s">
        <v>6355</v>
      </c>
      <c r="I4510" s="40" t="s">
        <v>18</v>
      </c>
      <c r="J4510" s="40" t="str">
        <f>HYPERLINK("https://stock.pstatic.net/stock-research/company/15/20260305_company_556195000.pdf","PDF")</f>
        <v>PDF</v>
      </c>
      <c r="K4510" s="12" t="s">
        <v>6356</v>
      </c>
      <c r="L4510" s="20">
        <v>0.44712430426716138</v>
      </c>
    </row>
    <row r="4511" spans="1:12" x14ac:dyDescent="0.45">
      <c r="A4511" s="12" t="s">
        <v>6340</v>
      </c>
      <c r="B4511" s="12" t="s">
        <v>724</v>
      </c>
      <c r="C4511" s="13" t="s">
        <v>725</v>
      </c>
      <c r="D4511" s="13" t="s">
        <v>15</v>
      </c>
      <c r="E4511" s="12" t="s">
        <v>16</v>
      </c>
      <c r="F4511" s="14">
        <v>90000</v>
      </c>
      <c r="G4511" s="14">
        <v>44100</v>
      </c>
      <c r="H4511" s="13" t="s">
        <v>6357</v>
      </c>
      <c r="I4511" s="40" t="s">
        <v>18</v>
      </c>
      <c r="J4511" s="40" t="str">
        <f>HYPERLINK("https://stock.pstatic.net/stock-research/company/56/20260305_company_737774000.pdf","PDF")</f>
        <v>PDF</v>
      </c>
      <c r="K4511" s="12" t="s">
        <v>6358</v>
      </c>
      <c r="L4511" s="20">
        <v>1.0408163265306121</v>
      </c>
    </row>
    <row r="4512" spans="1:12" x14ac:dyDescent="0.45">
      <c r="A4512" s="12" t="s">
        <v>6340</v>
      </c>
      <c r="B4512" s="12" t="s">
        <v>985</v>
      </c>
      <c r="C4512" s="13" t="s">
        <v>986</v>
      </c>
      <c r="D4512" s="13" t="s">
        <v>23</v>
      </c>
      <c r="E4512" s="12" t="s">
        <v>16</v>
      </c>
      <c r="F4512" s="14">
        <v>6500</v>
      </c>
      <c r="G4512" s="14">
        <v>4710</v>
      </c>
      <c r="H4512" s="13" t="s">
        <v>6359</v>
      </c>
      <c r="I4512" s="40" t="s">
        <v>18</v>
      </c>
      <c r="J4512" s="40" t="str">
        <f>HYPERLINK("https://stock.pstatic.net/stock-research/company/21/20260305_company_116267000.pdf","PDF")</f>
        <v>PDF</v>
      </c>
      <c r="K4512" s="12" t="s">
        <v>6360</v>
      </c>
      <c r="L4512" s="20">
        <v>0.38004246284501059</v>
      </c>
    </row>
    <row r="4513" spans="1:12" x14ac:dyDescent="0.45">
      <c r="A4513" s="12" t="s">
        <v>6340</v>
      </c>
      <c r="B4513" s="12" t="s">
        <v>370</v>
      </c>
      <c r="C4513" s="13" t="s">
        <v>371</v>
      </c>
      <c r="D4513" s="13" t="s">
        <v>34</v>
      </c>
      <c r="E4513" s="12" t="s">
        <v>35</v>
      </c>
      <c r="F4513" s="14">
        <v>100000</v>
      </c>
      <c r="G4513" s="14">
        <v>62600</v>
      </c>
      <c r="H4513" s="13" t="s">
        <v>6361</v>
      </c>
      <c r="I4513" s="40" t="s">
        <v>18</v>
      </c>
      <c r="J4513" s="40" t="str">
        <f>HYPERLINK("https://stock.pstatic.net/stock-research/company/61/20260305_company_454026000.pdf","PDF")</f>
        <v>PDF</v>
      </c>
      <c r="K4513" s="12" t="s">
        <v>6362</v>
      </c>
      <c r="L4513" s="20">
        <v>0.597444089456869</v>
      </c>
    </row>
    <row r="4514" spans="1:12" x14ac:dyDescent="0.45">
      <c r="A4514" s="12" t="s">
        <v>6340</v>
      </c>
      <c r="B4514" s="12" t="s">
        <v>1065</v>
      </c>
      <c r="C4514" s="13" t="s">
        <v>1066</v>
      </c>
      <c r="D4514" s="13" t="s">
        <v>44</v>
      </c>
      <c r="E4514" s="12" t="s">
        <v>35</v>
      </c>
      <c r="F4514" s="14">
        <v>320000</v>
      </c>
      <c r="G4514" s="14">
        <v>199500</v>
      </c>
      <c r="H4514" s="13" t="s">
        <v>6363</v>
      </c>
      <c r="I4514" s="40" t="s">
        <v>18</v>
      </c>
      <c r="J4514" s="40" t="str">
        <f>HYPERLINK("https://stock.pstatic.net/stock-research/company/39/20260305_company_186794000.pdf","PDF")</f>
        <v>PDF</v>
      </c>
      <c r="K4514" s="12" t="s">
        <v>6364</v>
      </c>
      <c r="L4514" s="20">
        <v>0.60401002506265666</v>
      </c>
    </row>
    <row r="4515" spans="1:12" x14ac:dyDescent="0.45">
      <c r="A4515" s="12" t="s">
        <v>6340</v>
      </c>
      <c r="B4515" s="12" t="s">
        <v>6365</v>
      </c>
      <c r="C4515" s="13" t="s">
        <v>6366</v>
      </c>
      <c r="D4515" s="13" t="s">
        <v>44</v>
      </c>
      <c r="E4515" s="12" t="s">
        <v>50</v>
      </c>
      <c r="F4515" s="13"/>
      <c r="G4515" s="14">
        <v>22650</v>
      </c>
      <c r="H4515" s="13" t="s">
        <v>6367</v>
      </c>
      <c r="I4515" s="40" t="s">
        <v>18</v>
      </c>
      <c r="J4515" s="40" t="str">
        <f>HYPERLINK("https://stock.pstatic.net/stock-research/company/39/20260305_company_688176000.pdf","PDF")</f>
        <v>PDF</v>
      </c>
      <c r="K4515" s="12" t="s">
        <v>6368</v>
      </c>
    </row>
    <row r="4516" spans="1:12" x14ac:dyDescent="0.45">
      <c r="A4516" s="12" t="s">
        <v>6340</v>
      </c>
      <c r="B4516" s="12" t="s">
        <v>593</v>
      </c>
      <c r="C4516" s="13" t="s">
        <v>594</v>
      </c>
      <c r="D4516" s="13" t="s">
        <v>179</v>
      </c>
      <c r="E4516" s="12" t="s">
        <v>50</v>
      </c>
      <c r="F4516" s="13"/>
      <c r="G4516" s="14">
        <v>10280</v>
      </c>
      <c r="H4516" s="13" t="s">
        <v>6369</v>
      </c>
      <c r="I4516" s="40" t="s">
        <v>18</v>
      </c>
      <c r="J4516" s="40" t="str">
        <f>HYPERLINK("https://stock.pstatic.net/stock-research/company/64/20260305_company_539743000.pdf","PDF")</f>
        <v>PDF</v>
      </c>
      <c r="K4516" s="12" t="s">
        <v>6370</v>
      </c>
    </row>
    <row r="4517" spans="1:12" x14ac:dyDescent="0.45">
      <c r="A4517" s="12" t="s">
        <v>6340</v>
      </c>
      <c r="B4517" s="12" t="s">
        <v>6371</v>
      </c>
      <c r="C4517" s="13" t="s">
        <v>6372</v>
      </c>
      <c r="D4517" s="13" t="s">
        <v>124</v>
      </c>
      <c r="E4517" s="12" t="s">
        <v>50</v>
      </c>
      <c r="F4517" s="13"/>
      <c r="G4517" s="13"/>
      <c r="H4517" s="13" t="s">
        <v>6373</v>
      </c>
      <c r="I4517" s="40" t="s">
        <v>18</v>
      </c>
      <c r="J4517" s="40" t="str">
        <f>HYPERLINK("https://stock.pstatic.net/stock-research/company/74/20260305_company_104192000.pdf","PDF")</f>
        <v>PDF</v>
      </c>
      <c r="K4517" s="12" t="s">
        <v>6374</v>
      </c>
    </row>
    <row r="4518" spans="1:12" x14ac:dyDescent="0.45">
      <c r="A4518" s="12" t="s">
        <v>6340</v>
      </c>
      <c r="B4518" s="12" t="s">
        <v>13</v>
      </c>
      <c r="C4518" s="13" t="s">
        <v>14</v>
      </c>
      <c r="D4518" s="13" t="s">
        <v>15</v>
      </c>
      <c r="E4518" s="12" t="s">
        <v>16</v>
      </c>
      <c r="F4518" s="14">
        <v>275000</v>
      </c>
      <c r="G4518" s="14">
        <v>172200</v>
      </c>
      <c r="H4518" s="13" t="s">
        <v>6375</v>
      </c>
      <c r="I4518" s="40" t="s">
        <v>18</v>
      </c>
      <c r="J4518" s="40" t="str">
        <f>HYPERLINK("https://stock.pstatic.net/stock-research/company/56/20260305_company_761607000.pdf","PDF")</f>
        <v>PDF</v>
      </c>
      <c r="K4518" s="12" t="s">
        <v>6376</v>
      </c>
      <c r="L4518" s="20">
        <v>0.59698025551684086</v>
      </c>
    </row>
    <row r="4519" spans="1:12" x14ac:dyDescent="0.45">
      <c r="A4519" s="12" t="s">
        <v>6340</v>
      </c>
      <c r="B4519" s="12" t="s">
        <v>334</v>
      </c>
      <c r="C4519" s="13" t="s">
        <v>335</v>
      </c>
      <c r="D4519" s="13" t="s">
        <v>15</v>
      </c>
      <c r="E4519" s="12" t="s">
        <v>16</v>
      </c>
      <c r="F4519" s="14">
        <v>1540000</v>
      </c>
      <c r="G4519" s="14">
        <v>849000</v>
      </c>
      <c r="H4519" s="13" t="s">
        <v>6377</v>
      </c>
      <c r="I4519" s="40" t="s">
        <v>18</v>
      </c>
      <c r="J4519" s="40" t="str">
        <f>HYPERLINK("https://stock.pstatic.net/stock-research/company/56/20260305_company_254145000.pdf","PDF")</f>
        <v>PDF</v>
      </c>
      <c r="K4519" s="12" t="s">
        <v>6378</v>
      </c>
      <c r="L4519" s="20">
        <v>0.81389870435806833</v>
      </c>
    </row>
    <row r="4520" spans="1:12" x14ac:dyDescent="0.45">
      <c r="A4520" s="12" t="s">
        <v>6379</v>
      </c>
      <c r="B4520" s="12" t="s">
        <v>1407</v>
      </c>
      <c r="C4520" s="13" t="s">
        <v>1408</v>
      </c>
      <c r="D4520" s="13" t="s">
        <v>57</v>
      </c>
      <c r="E4520" s="12" t="s">
        <v>35</v>
      </c>
      <c r="F4520" s="14">
        <v>150000</v>
      </c>
      <c r="G4520" s="14">
        <v>116700</v>
      </c>
      <c r="H4520" s="13" t="s">
        <v>6380</v>
      </c>
      <c r="I4520" s="40" t="s">
        <v>18</v>
      </c>
      <c r="J4520" s="40" t="str">
        <f>HYPERLINK("https://stock.pstatic.net/stock-research/company/16/20260304_company_927065000.pdf","PDF")</f>
        <v>PDF</v>
      </c>
      <c r="K4520" s="12" t="s">
        <v>6381</v>
      </c>
      <c r="L4520" s="20">
        <v>0.28534704370179947</v>
      </c>
    </row>
    <row r="4521" spans="1:12" x14ac:dyDescent="0.45">
      <c r="A4521" s="12" t="s">
        <v>6379</v>
      </c>
      <c r="B4521" s="12" t="s">
        <v>370</v>
      </c>
      <c r="C4521" s="13" t="s">
        <v>371</v>
      </c>
      <c r="D4521" s="13" t="s">
        <v>276</v>
      </c>
      <c r="E4521" s="12" t="s">
        <v>16</v>
      </c>
      <c r="F4521" s="14">
        <v>100000</v>
      </c>
      <c r="G4521" s="14">
        <v>67700</v>
      </c>
      <c r="H4521" s="13" t="s">
        <v>6382</v>
      </c>
      <c r="I4521" s="40" t="s">
        <v>18</v>
      </c>
      <c r="J4521" s="40" t="str">
        <f>HYPERLINK("https://stock.pstatic.net/stock-research/company/66/20260304_company_863447000.pdf","PDF")</f>
        <v>PDF</v>
      </c>
      <c r="K4521" s="12" t="s">
        <v>6383</v>
      </c>
      <c r="L4521" s="20">
        <v>0.47710487444608568</v>
      </c>
    </row>
    <row r="4522" spans="1:12" x14ac:dyDescent="0.45">
      <c r="A4522" s="12" t="s">
        <v>6379</v>
      </c>
      <c r="B4522" s="12" t="s">
        <v>243</v>
      </c>
      <c r="C4522" s="13" t="s">
        <v>244</v>
      </c>
      <c r="D4522" s="13" t="s">
        <v>60</v>
      </c>
      <c r="E4522" s="12" t="s">
        <v>50</v>
      </c>
      <c r="F4522" s="13"/>
      <c r="G4522" s="14">
        <v>194200</v>
      </c>
      <c r="H4522" s="13" t="s">
        <v>6384</v>
      </c>
      <c r="I4522" s="40" t="s">
        <v>18</v>
      </c>
      <c r="J4522" s="40" t="str">
        <f>HYPERLINK("https://stock.pstatic.net/stock-research/company/62/20260304_company_118385000.pdf","PDF")</f>
        <v>PDF</v>
      </c>
      <c r="K4522" s="12" t="s">
        <v>6385</v>
      </c>
    </row>
    <row r="4523" spans="1:12" x14ac:dyDescent="0.45">
      <c r="A4523" s="12" t="s">
        <v>6379</v>
      </c>
      <c r="B4523" s="12" t="s">
        <v>732</v>
      </c>
      <c r="C4523" s="13" t="s">
        <v>733</v>
      </c>
      <c r="D4523" s="13" t="s">
        <v>60</v>
      </c>
      <c r="E4523" s="12" t="s">
        <v>35</v>
      </c>
      <c r="F4523" s="14">
        <v>150000</v>
      </c>
      <c r="G4523" s="14">
        <v>110200</v>
      </c>
      <c r="H4523" s="13" t="s">
        <v>6386</v>
      </c>
      <c r="I4523" s="40" t="s">
        <v>18</v>
      </c>
      <c r="J4523" s="40" t="str">
        <f>HYPERLINK("https://stock.pstatic.net/stock-research/company/62/20260304_company_761993000.pdf","PDF")</f>
        <v>PDF</v>
      </c>
      <c r="K4523" s="12" t="s">
        <v>6387</v>
      </c>
      <c r="L4523" s="20">
        <v>0.36116152450090738</v>
      </c>
    </row>
    <row r="4524" spans="1:12" x14ac:dyDescent="0.45">
      <c r="A4524" s="12" t="s">
        <v>6379</v>
      </c>
      <c r="B4524" s="12" t="s">
        <v>2658</v>
      </c>
      <c r="C4524" s="13" t="s">
        <v>2659</v>
      </c>
      <c r="D4524" s="13" t="s">
        <v>60</v>
      </c>
      <c r="E4524" s="12" t="s">
        <v>35</v>
      </c>
      <c r="F4524" s="14">
        <v>150000</v>
      </c>
      <c r="G4524" s="14">
        <v>106500</v>
      </c>
      <c r="H4524" s="13" t="s">
        <v>6388</v>
      </c>
      <c r="I4524" s="40" t="s">
        <v>18</v>
      </c>
      <c r="J4524" s="40" t="str">
        <f>HYPERLINK("https://stock.pstatic.net/stock-research/company/62/20260304_company_831887000.pdf","PDF")</f>
        <v>PDF</v>
      </c>
      <c r="K4524" s="12" t="s">
        <v>6389</v>
      </c>
      <c r="L4524" s="20">
        <v>0.40845070422535212</v>
      </c>
    </row>
    <row r="4525" spans="1:12" x14ac:dyDescent="0.45">
      <c r="A4525" s="12" t="s">
        <v>6379</v>
      </c>
      <c r="B4525" s="12" t="s">
        <v>174</v>
      </c>
      <c r="C4525" s="13" t="s">
        <v>44</v>
      </c>
      <c r="D4525" s="13" t="s">
        <v>65</v>
      </c>
      <c r="E4525" s="12" t="s">
        <v>35</v>
      </c>
      <c r="F4525" s="14">
        <v>570000</v>
      </c>
      <c r="G4525" s="14">
        <v>424500</v>
      </c>
      <c r="H4525" s="13" t="s">
        <v>6390</v>
      </c>
      <c r="I4525" s="40" t="s">
        <v>18</v>
      </c>
      <c r="J4525" s="40" t="str">
        <f>HYPERLINK("https://stock.pstatic.net/stock-research/company/57/20260304_company_990674000.pdf","PDF")</f>
        <v>PDF</v>
      </c>
      <c r="K4525" s="12" t="s">
        <v>6391</v>
      </c>
      <c r="L4525" s="20">
        <v>0.34275618374558298</v>
      </c>
    </row>
    <row r="4526" spans="1:12" x14ac:dyDescent="0.45">
      <c r="A4526" s="12" t="s">
        <v>6379</v>
      </c>
      <c r="B4526" s="12" t="s">
        <v>128</v>
      </c>
      <c r="C4526" s="13" t="s">
        <v>129</v>
      </c>
      <c r="D4526" s="13" t="s">
        <v>65</v>
      </c>
      <c r="E4526" s="12" t="s">
        <v>35</v>
      </c>
      <c r="F4526" s="14">
        <v>80000</v>
      </c>
      <c r="G4526" s="14">
        <v>56800</v>
      </c>
      <c r="H4526" s="13" t="s">
        <v>6392</v>
      </c>
      <c r="I4526" s="40" t="s">
        <v>18</v>
      </c>
      <c r="J4526" s="40" t="str">
        <f>HYPERLINK("https://stock.pstatic.net/stock-research/company/57/20260304_company_91629000.pdf","PDF")</f>
        <v>PDF</v>
      </c>
      <c r="K4526" s="12" t="s">
        <v>6393</v>
      </c>
      <c r="L4526" s="20">
        <v>0.40845070422535212</v>
      </c>
    </row>
    <row r="4527" spans="1:12" x14ac:dyDescent="0.45">
      <c r="A4527" s="12" t="s">
        <v>6379</v>
      </c>
      <c r="B4527" s="12" t="s">
        <v>780</v>
      </c>
      <c r="C4527" s="13" t="s">
        <v>781</v>
      </c>
      <c r="D4527" s="13" t="s">
        <v>65</v>
      </c>
      <c r="E4527" s="12" t="s">
        <v>35</v>
      </c>
      <c r="F4527" s="14">
        <v>15000</v>
      </c>
      <c r="G4527" s="14">
        <v>8410</v>
      </c>
      <c r="H4527" s="13" t="s">
        <v>6394</v>
      </c>
      <c r="I4527" s="40" t="s">
        <v>18</v>
      </c>
      <c r="J4527" s="40" t="str">
        <f>HYPERLINK("https://stock.pstatic.net/stock-research/company/57/20260304_company_410336000.pdf","PDF")</f>
        <v>PDF</v>
      </c>
      <c r="K4527" s="12" t="s">
        <v>6395</v>
      </c>
      <c r="L4527" s="20">
        <v>0.78359096313912013</v>
      </c>
    </row>
    <row r="4528" spans="1:12" x14ac:dyDescent="0.45">
      <c r="A4528" s="12" t="s">
        <v>6379</v>
      </c>
      <c r="B4528" s="12" t="s">
        <v>772</v>
      </c>
      <c r="C4528" s="13" t="s">
        <v>5840</v>
      </c>
      <c r="D4528" s="13" t="s">
        <v>65</v>
      </c>
      <c r="E4528" s="12" t="s">
        <v>35</v>
      </c>
      <c r="F4528" s="14">
        <v>60000</v>
      </c>
      <c r="G4528" s="14">
        <v>33900</v>
      </c>
      <c r="H4528" s="13" t="s">
        <v>6396</v>
      </c>
      <c r="I4528" s="40" t="s">
        <v>18</v>
      </c>
      <c r="J4528" s="40" t="str">
        <f>HYPERLINK("https://stock.pstatic.net/stock-research/company/57/20260304_company_392651000.pdf","PDF")</f>
        <v>PDF</v>
      </c>
      <c r="K4528" s="12" t="s">
        <v>6397</v>
      </c>
      <c r="L4528" s="20">
        <v>0.76991150442477874</v>
      </c>
    </row>
    <row r="4529" spans="1:12" x14ac:dyDescent="0.45">
      <c r="A4529" s="12" t="s">
        <v>6379</v>
      </c>
      <c r="B4529" s="12" t="s">
        <v>872</v>
      </c>
      <c r="C4529" s="13" t="s">
        <v>873</v>
      </c>
      <c r="D4529" s="13" t="s">
        <v>65</v>
      </c>
      <c r="E4529" s="12" t="s">
        <v>35</v>
      </c>
      <c r="F4529" s="14">
        <v>30000</v>
      </c>
      <c r="G4529" s="14">
        <v>19650</v>
      </c>
      <c r="H4529" s="13" t="s">
        <v>6398</v>
      </c>
      <c r="I4529" s="40" t="s">
        <v>18</v>
      </c>
      <c r="J4529" s="40" t="str">
        <f>HYPERLINK("https://stock.pstatic.net/stock-research/company/57/20260304_company_384247000.pdf","PDF")</f>
        <v>PDF</v>
      </c>
      <c r="K4529" s="12" t="s">
        <v>6399</v>
      </c>
      <c r="L4529" s="20">
        <v>0.52671755725190839</v>
      </c>
    </row>
    <row r="4530" spans="1:12" x14ac:dyDescent="0.45">
      <c r="A4530" s="12" t="s">
        <v>6379</v>
      </c>
      <c r="B4530" s="12" t="s">
        <v>6400</v>
      </c>
      <c r="C4530" s="13" t="s">
        <v>6401</v>
      </c>
      <c r="D4530" s="13" t="s">
        <v>65</v>
      </c>
      <c r="E4530" s="12" t="s">
        <v>35</v>
      </c>
      <c r="F4530" s="14">
        <v>22000</v>
      </c>
      <c r="G4530" s="14">
        <v>12000</v>
      </c>
      <c r="H4530" s="13" t="s">
        <v>6402</v>
      </c>
      <c r="I4530" s="40" t="s">
        <v>18</v>
      </c>
      <c r="J4530" s="40" t="str">
        <f>HYPERLINK("https://stock.pstatic.net/stock-research/company/57/20260304_company_640910000.pdf","PDF")</f>
        <v>PDF</v>
      </c>
      <c r="K4530" s="12" t="s">
        <v>6403</v>
      </c>
      <c r="L4530" s="20">
        <v>0.83333333333333337</v>
      </c>
    </row>
    <row r="4531" spans="1:12" x14ac:dyDescent="0.45">
      <c r="A4531" s="12" t="s">
        <v>6379</v>
      </c>
      <c r="B4531" s="12" t="s">
        <v>4656</v>
      </c>
      <c r="C4531" s="13" t="s">
        <v>4657</v>
      </c>
      <c r="D4531" s="13" t="s">
        <v>65</v>
      </c>
      <c r="E4531" s="12" t="s">
        <v>35</v>
      </c>
      <c r="F4531" s="14">
        <v>10000</v>
      </c>
      <c r="G4531" s="14">
        <v>7180</v>
      </c>
      <c r="H4531" s="13" t="s">
        <v>6404</v>
      </c>
      <c r="I4531" s="40" t="s">
        <v>18</v>
      </c>
      <c r="J4531" s="40" t="str">
        <f>HYPERLINK("https://stock.pstatic.net/stock-research/company/57/20260304_company_385361000.pdf","PDF")</f>
        <v>PDF</v>
      </c>
      <c r="K4531" s="12" t="s">
        <v>6405</v>
      </c>
      <c r="L4531" s="20">
        <v>0.39275766016713087</v>
      </c>
    </row>
    <row r="4532" spans="1:12" x14ac:dyDescent="0.45">
      <c r="A4532" s="12" t="s">
        <v>6379</v>
      </c>
      <c r="B4532" s="12" t="s">
        <v>2712</v>
      </c>
      <c r="C4532" s="13" t="s">
        <v>2713</v>
      </c>
      <c r="D4532" s="13" t="s">
        <v>65</v>
      </c>
      <c r="E4532" s="12" t="s">
        <v>35</v>
      </c>
      <c r="F4532" s="14">
        <v>80000</v>
      </c>
      <c r="G4532" s="14">
        <v>51500</v>
      </c>
      <c r="H4532" s="13" t="s">
        <v>6406</v>
      </c>
      <c r="I4532" s="40" t="s">
        <v>18</v>
      </c>
      <c r="J4532" s="40" t="str">
        <f>HYPERLINK("https://stock.pstatic.net/stock-research/company/57/20260304_company_865838000.pdf","PDF")</f>
        <v>PDF</v>
      </c>
      <c r="K4532" s="12" t="s">
        <v>6407</v>
      </c>
      <c r="L4532" s="20">
        <v>0.55339805825242716</v>
      </c>
    </row>
    <row r="4533" spans="1:12" x14ac:dyDescent="0.45">
      <c r="A4533" s="12" t="s">
        <v>6379</v>
      </c>
      <c r="B4533" s="12" t="s">
        <v>281</v>
      </c>
      <c r="C4533" s="13" t="s">
        <v>282</v>
      </c>
      <c r="D4533" s="13" t="s">
        <v>65</v>
      </c>
      <c r="E4533" s="12" t="s">
        <v>35</v>
      </c>
      <c r="F4533" s="14">
        <v>35000</v>
      </c>
      <c r="G4533" s="14">
        <v>18700</v>
      </c>
      <c r="H4533" s="13" t="s">
        <v>6408</v>
      </c>
      <c r="I4533" s="40" t="s">
        <v>18</v>
      </c>
      <c r="J4533" s="40" t="str">
        <f>HYPERLINK("https://stock.pstatic.net/stock-research/company/57/20260304_company_181282000.pdf","PDF")</f>
        <v>PDF</v>
      </c>
      <c r="K4533" s="12" t="s">
        <v>6409</v>
      </c>
      <c r="L4533" s="20">
        <v>0.87165775401069523</v>
      </c>
    </row>
    <row r="4534" spans="1:12" x14ac:dyDescent="0.45">
      <c r="A4534" s="12" t="s">
        <v>6379</v>
      </c>
      <c r="B4534" s="12" t="s">
        <v>669</v>
      </c>
      <c r="C4534" s="13" t="s">
        <v>670</v>
      </c>
      <c r="D4534" s="13" t="s">
        <v>65</v>
      </c>
      <c r="E4534" s="12" t="s">
        <v>35</v>
      </c>
      <c r="F4534" s="14">
        <v>28000</v>
      </c>
      <c r="G4534" s="14">
        <v>17420</v>
      </c>
      <c r="H4534" s="13" t="s">
        <v>6410</v>
      </c>
      <c r="I4534" s="40" t="s">
        <v>18</v>
      </c>
      <c r="J4534" s="40" t="str">
        <f>HYPERLINK("https://stock.pstatic.net/stock-research/company/57/20260304_company_632168000.pdf","PDF")</f>
        <v>PDF</v>
      </c>
      <c r="K4534" s="12" t="s">
        <v>6411</v>
      </c>
      <c r="L4534" s="20">
        <v>0.60734787600459239</v>
      </c>
    </row>
    <row r="4535" spans="1:12" x14ac:dyDescent="0.45">
      <c r="A4535" s="12" t="s">
        <v>6379</v>
      </c>
      <c r="B4535" s="12" t="s">
        <v>4668</v>
      </c>
      <c r="C4535" s="13" t="s">
        <v>4669</v>
      </c>
      <c r="D4535" s="13" t="s">
        <v>158</v>
      </c>
      <c r="E4535" s="12" t="s">
        <v>35</v>
      </c>
      <c r="F4535" s="14">
        <v>39000</v>
      </c>
      <c r="G4535" s="14">
        <v>32050</v>
      </c>
      <c r="H4535" s="13" t="s">
        <v>6412</v>
      </c>
      <c r="I4535" s="40" t="s">
        <v>18</v>
      </c>
      <c r="J4535" s="40" t="str">
        <f>HYPERLINK("https://stock.pstatic.net/stock-research/company/18/20260304_company_85115000.pdf","PDF")</f>
        <v>PDF</v>
      </c>
      <c r="K4535" s="12" t="s">
        <v>6413</v>
      </c>
      <c r="L4535" s="20">
        <v>0.21684867394695789</v>
      </c>
    </row>
    <row r="4536" spans="1:12" x14ac:dyDescent="0.45">
      <c r="A4536" s="12" t="s">
        <v>6379</v>
      </c>
      <c r="B4536" s="12" t="s">
        <v>1344</v>
      </c>
      <c r="C4536" s="13" t="s">
        <v>1345</v>
      </c>
      <c r="D4536" s="13" t="s">
        <v>158</v>
      </c>
      <c r="E4536" s="12" t="s">
        <v>35</v>
      </c>
      <c r="F4536" s="14">
        <v>110000</v>
      </c>
      <c r="G4536" s="14">
        <v>83200</v>
      </c>
      <c r="H4536" s="13" t="s">
        <v>4672</v>
      </c>
      <c r="I4536" s="40" t="s">
        <v>18</v>
      </c>
      <c r="J4536" s="40" t="str">
        <f>HYPERLINK("https://stock.pstatic.net/stock-research/company/18/20260304_company_195925000.pdf","PDF")</f>
        <v>PDF</v>
      </c>
      <c r="K4536" s="12" t="s">
        <v>6414</v>
      </c>
      <c r="L4536" s="20">
        <v>0.32211538461538458</v>
      </c>
    </row>
    <row r="4537" spans="1:12" x14ac:dyDescent="0.45">
      <c r="A4537" s="12" t="s">
        <v>6379</v>
      </c>
      <c r="B4537" s="12" t="s">
        <v>2933</v>
      </c>
      <c r="C4537" s="13" t="s">
        <v>2934</v>
      </c>
      <c r="D4537" s="13" t="s">
        <v>158</v>
      </c>
      <c r="E4537" s="12" t="s">
        <v>35</v>
      </c>
      <c r="F4537" s="14">
        <v>200000</v>
      </c>
      <c r="G4537" s="14">
        <v>150200</v>
      </c>
      <c r="H4537" s="13" t="s">
        <v>6415</v>
      </c>
      <c r="I4537" s="40" t="s">
        <v>18</v>
      </c>
      <c r="J4537" s="40" t="str">
        <f>HYPERLINK("https://stock.pstatic.net/stock-research/company/18/20260304_company_147240000.pdf","PDF")</f>
        <v>PDF</v>
      </c>
      <c r="K4537" s="12" t="s">
        <v>6416</v>
      </c>
      <c r="L4537" s="20">
        <v>0.33155792276964052</v>
      </c>
    </row>
    <row r="4538" spans="1:12" x14ac:dyDescent="0.45">
      <c r="A4538" s="12" t="s">
        <v>6379</v>
      </c>
      <c r="B4538" s="12" t="s">
        <v>3182</v>
      </c>
      <c r="C4538" s="13" t="s">
        <v>3183</v>
      </c>
      <c r="D4538" s="13" t="s">
        <v>158</v>
      </c>
      <c r="E4538" s="12" t="s">
        <v>35</v>
      </c>
      <c r="F4538" s="14">
        <v>1160000</v>
      </c>
      <c r="G4538" s="14">
        <v>987000</v>
      </c>
      <c r="H4538" s="13" t="s">
        <v>6417</v>
      </c>
      <c r="I4538" s="40" t="s">
        <v>18</v>
      </c>
      <c r="J4538" s="40" t="str">
        <f>HYPERLINK("https://stock.pstatic.net/stock-research/company/18/20260304_company_296808000.pdf","PDF")</f>
        <v>PDF</v>
      </c>
      <c r="K4538" s="12" t="s">
        <v>6418</v>
      </c>
      <c r="L4538" s="20">
        <v>0.17527862208713271</v>
      </c>
    </row>
    <row r="4539" spans="1:12" x14ac:dyDescent="0.45">
      <c r="A4539" s="12" t="s">
        <v>6379</v>
      </c>
      <c r="B4539" s="12" t="s">
        <v>4021</v>
      </c>
      <c r="C4539" s="13" t="s">
        <v>4022</v>
      </c>
      <c r="D4539" s="13" t="s">
        <v>158</v>
      </c>
      <c r="E4539" s="12" t="s">
        <v>35</v>
      </c>
      <c r="F4539" s="14">
        <v>880000</v>
      </c>
      <c r="G4539" s="14">
        <v>714000</v>
      </c>
      <c r="H4539" s="13" t="s">
        <v>6419</v>
      </c>
      <c r="I4539" s="40" t="s">
        <v>18</v>
      </c>
      <c r="J4539" s="40" t="str">
        <f>HYPERLINK("https://stock.pstatic.net/stock-research/company/18/20260304_company_340664000.pdf","PDF")</f>
        <v>PDF</v>
      </c>
      <c r="K4539" s="12" t="s">
        <v>6420</v>
      </c>
      <c r="L4539" s="20">
        <v>0.23249299719887959</v>
      </c>
    </row>
    <row r="4540" spans="1:12" x14ac:dyDescent="0.45">
      <c r="A4540" s="12" t="s">
        <v>6379</v>
      </c>
      <c r="B4540" s="12" t="s">
        <v>3230</v>
      </c>
      <c r="C4540" s="13" t="s">
        <v>3231</v>
      </c>
      <c r="D4540" s="13" t="s">
        <v>158</v>
      </c>
      <c r="E4540" s="12" t="s">
        <v>35</v>
      </c>
      <c r="F4540" s="14">
        <v>3520000</v>
      </c>
      <c r="G4540" s="14">
        <v>2606000</v>
      </c>
      <c r="H4540" s="13" t="s">
        <v>6421</v>
      </c>
      <c r="I4540" s="40" t="s">
        <v>18</v>
      </c>
      <c r="J4540" s="40" t="str">
        <f>HYPERLINK("https://stock.pstatic.net/stock-research/company/18/20260304_company_684062000.pdf","PDF")</f>
        <v>PDF</v>
      </c>
      <c r="K4540" s="12" t="s">
        <v>6422</v>
      </c>
      <c r="L4540" s="20">
        <v>0.35072908672294711</v>
      </c>
    </row>
    <row r="4541" spans="1:12" x14ac:dyDescent="0.45">
      <c r="A4541" s="12" t="s">
        <v>6379</v>
      </c>
      <c r="B4541" s="12" t="s">
        <v>5597</v>
      </c>
      <c r="C4541" s="13" t="s">
        <v>5598</v>
      </c>
      <c r="D4541" s="13" t="s">
        <v>158</v>
      </c>
      <c r="E4541" s="12" t="s">
        <v>35</v>
      </c>
      <c r="F4541" s="14">
        <v>156000</v>
      </c>
      <c r="G4541" s="14">
        <v>96000</v>
      </c>
      <c r="H4541" s="13" t="s">
        <v>6423</v>
      </c>
      <c r="I4541" s="40" t="s">
        <v>18</v>
      </c>
      <c r="J4541" s="40" t="str">
        <f>HYPERLINK("https://stock.pstatic.net/stock-research/company/18/20260304_company_579156000.pdf","PDF")</f>
        <v>PDF</v>
      </c>
      <c r="K4541" s="12" t="s">
        <v>6424</v>
      </c>
      <c r="L4541" s="20">
        <v>0.625</v>
      </c>
    </row>
    <row r="4542" spans="1:12" x14ac:dyDescent="0.45">
      <c r="A4542" s="12" t="s">
        <v>6379</v>
      </c>
      <c r="B4542" s="12" t="s">
        <v>2040</v>
      </c>
      <c r="C4542" s="13" t="s">
        <v>2041</v>
      </c>
      <c r="D4542" s="13" t="s">
        <v>158</v>
      </c>
      <c r="E4542" s="12" t="s">
        <v>35</v>
      </c>
      <c r="F4542" s="14">
        <v>165000</v>
      </c>
      <c r="G4542" s="14">
        <v>84300</v>
      </c>
      <c r="H4542" s="13" t="s">
        <v>6425</v>
      </c>
      <c r="I4542" s="40" t="s">
        <v>18</v>
      </c>
      <c r="J4542" s="40" t="str">
        <f>HYPERLINK("https://stock.pstatic.net/stock-research/company/18/20260304_company_262315000.pdf","PDF")</f>
        <v>PDF</v>
      </c>
      <c r="K4542" s="12" t="s">
        <v>6426</v>
      </c>
      <c r="L4542" s="20">
        <v>0.95729537366548045</v>
      </c>
    </row>
    <row r="4543" spans="1:12" x14ac:dyDescent="0.45">
      <c r="A4543" s="12" t="s">
        <v>6379</v>
      </c>
      <c r="B4543" s="12" t="s">
        <v>370</v>
      </c>
      <c r="C4543" s="13" t="s">
        <v>371</v>
      </c>
      <c r="D4543" s="13" t="s">
        <v>53</v>
      </c>
      <c r="E4543" s="12" t="s">
        <v>16</v>
      </c>
      <c r="F4543" s="14">
        <v>100000</v>
      </c>
      <c r="G4543" s="14">
        <v>67700</v>
      </c>
      <c r="H4543" s="13" t="s">
        <v>6427</v>
      </c>
      <c r="I4543" s="40" t="s">
        <v>18</v>
      </c>
      <c r="J4543" s="40" t="str">
        <f>HYPERLINK("https://stock.pstatic.net/stock-research/company/40/20260304_company_62487000.pdf","PDF")</f>
        <v>PDF</v>
      </c>
      <c r="K4543" s="12" t="s">
        <v>6428</v>
      </c>
      <c r="L4543" s="20">
        <v>0.47710487444608568</v>
      </c>
    </row>
    <row r="4544" spans="1:12" x14ac:dyDescent="0.45">
      <c r="A4544" s="12" t="s">
        <v>6379</v>
      </c>
      <c r="B4544" s="12" t="s">
        <v>356</v>
      </c>
      <c r="C4544" s="13" t="s">
        <v>357</v>
      </c>
      <c r="D4544" s="13" t="s">
        <v>83</v>
      </c>
      <c r="E4544" s="12" t="s">
        <v>35</v>
      </c>
      <c r="F4544" s="14">
        <v>70000</v>
      </c>
      <c r="G4544" s="14">
        <v>57000</v>
      </c>
      <c r="H4544" s="13" t="s">
        <v>6429</v>
      </c>
      <c r="I4544" s="40" t="s">
        <v>18</v>
      </c>
      <c r="J4544" s="40" t="str">
        <f>HYPERLINK("https://stock.pstatic.net/stock-research/company/15/20260304_company_370514000.pdf","PDF")</f>
        <v>PDF</v>
      </c>
      <c r="K4544" s="12" t="s">
        <v>6430</v>
      </c>
      <c r="L4544" s="20">
        <v>0.22807017543859651</v>
      </c>
    </row>
    <row r="4545" spans="1:12" x14ac:dyDescent="0.45">
      <c r="A4545" s="12" t="s">
        <v>6379</v>
      </c>
      <c r="B4545" s="12" t="s">
        <v>110</v>
      </c>
      <c r="C4545" s="13" t="s">
        <v>111</v>
      </c>
      <c r="D4545" s="13" t="s">
        <v>83</v>
      </c>
      <c r="E4545" s="12" t="s">
        <v>35</v>
      </c>
      <c r="F4545" s="14">
        <v>60000</v>
      </c>
      <c r="G4545" s="14">
        <v>51300</v>
      </c>
      <c r="H4545" s="13" t="s">
        <v>6431</v>
      </c>
      <c r="I4545" s="40" t="s">
        <v>18</v>
      </c>
      <c r="J4545" s="40" t="str">
        <f>HYPERLINK("https://stock.pstatic.net/stock-research/company/15/20260304_company_42727000.pdf","PDF")</f>
        <v>PDF</v>
      </c>
      <c r="K4545" s="12" t="s">
        <v>6432</v>
      </c>
      <c r="L4545" s="20">
        <v>0.16959064327485379</v>
      </c>
    </row>
    <row r="4546" spans="1:12" x14ac:dyDescent="0.45">
      <c r="A4546" s="12" t="s">
        <v>6379</v>
      </c>
      <c r="B4546" s="12" t="s">
        <v>177</v>
      </c>
      <c r="C4546" s="13" t="s">
        <v>178</v>
      </c>
      <c r="D4546" s="13" t="s">
        <v>83</v>
      </c>
      <c r="E4546" s="12" t="s">
        <v>35</v>
      </c>
      <c r="F4546" s="14">
        <v>18000</v>
      </c>
      <c r="G4546" s="14">
        <v>16440</v>
      </c>
      <c r="H4546" s="13" t="s">
        <v>6433</v>
      </c>
      <c r="I4546" s="40" t="s">
        <v>18</v>
      </c>
      <c r="J4546" s="40" t="str">
        <f>HYPERLINK("https://stock.pstatic.net/stock-research/company/15/20260304_company_344607000.pdf","PDF")</f>
        <v>PDF</v>
      </c>
      <c r="K4546" s="12" t="s">
        <v>6434</v>
      </c>
      <c r="L4546" s="20">
        <v>9.4890510948905105E-2</v>
      </c>
    </row>
    <row r="4547" spans="1:12" x14ac:dyDescent="0.45">
      <c r="A4547" s="12" t="s">
        <v>6379</v>
      </c>
      <c r="B4547" s="12" t="s">
        <v>2883</v>
      </c>
      <c r="C4547" s="13" t="s">
        <v>2884</v>
      </c>
      <c r="D4547" s="13" t="s">
        <v>92</v>
      </c>
      <c r="E4547" s="12" t="s">
        <v>35</v>
      </c>
      <c r="F4547" s="14">
        <v>79000</v>
      </c>
      <c r="G4547" s="14">
        <v>53000</v>
      </c>
      <c r="H4547" s="13" t="s">
        <v>6435</v>
      </c>
      <c r="I4547" s="40" t="s">
        <v>18</v>
      </c>
      <c r="J4547" s="40" t="str">
        <f>HYPERLINK("https://stock.pstatic.net/stock-research/company/63/20260304_company_901226000.pdf","PDF")</f>
        <v>PDF</v>
      </c>
      <c r="K4547" s="12" t="s">
        <v>6436</v>
      </c>
      <c r="L4547" s="20">
        <v>0.49056603773584911</v>
      </c>
    </row>
    <row r="4548" spans="1:12" x14ac:dyDescent="0.45">
      <c r="A4548" s="12" t="s">
        <v>6379</v>
      </c>
      <c r="B4548" s="12" t="s">
        <v>1128</v>
      </c>
      <c r="C4548" s="13" t="s">
        <v>1129</v>
      </c>
      <c r="D4548" s="13" t="s">
        <v>23</v>
      </c>
      <c r="E4548" s="12" t="s">
        <v>16</v>
      </c>
      <c r="F4548" s="14">
        <v>160000</v>
      </c>
      <c r="G4548" s="14">
        <v>115000</v>
      </c>
      <c r="H4548" s="13" t="s">
        <v>6437</v>
      </c>
      <c r="I4548" s="40" t="s">
        <v>18</v>
      </c>
      <c r="J4548" s="40" t="str">
        <f>HYPERLINK("https://stock.pstatic.net/stock-research/company/21/20260304_company_708662000.pdf","PDF")</f>
        <v>PDF</v>
      </c>
      <c r="K4548" s="12" t="s">
        <v>6438</v>
      </c>
      <c r="L4548" s="20">
        <v>0.39130434782608697</v>
      </c>
    </row>
    <row r="4549" spans="1:12" x14ac:dyDescent="0.45">
      <c r="A4549" s="12" t="s">
        <v>6379</v>
      </c>
      <c r="B4549" s="12" t="s">
        <v>5892</v>
      </c>
      <c r="C4549" s="13" t="s">
        <v>5893</v>
      </c>
      <c r="D4549" s="13" t="s">
        <v>92</v>
      </c>
      <c r="E4549" s="12" t="s">
        <v>50</v>
      </c>
      <c r="F4549" s="13"/>
      <c r="G4549" s="14">
        <v>7600</v>
      </c>
      <c r="H4549" s="13" t="s">
        <v>6439</v>
      </c>
      <c r="I4549" s="40" t="s">
        <v>18</v>
      </c>
      <c r="J4549" s="40" t="str">
        <f>HYPERLINK("https://stock.pstatic.net/stock-research/company/63/20260304_company_559889000.pdf","PDF")</f>
        <v>PDF</v>
      </c>
      <c r="K4549" s="12" t="s">
        <v>6440</v>
      </c>
    </row>
    <row r="4550" spans="1:12" x14ac:dyDescent="0.45">
      <c r="A4550" s="12" t="s">
        <v>6379</v>
      </c>
      <c r="B4550" s="12" t="s">
        <v>724</v>
      </c>
      <c r="C4550" s="13" t="s">
        <v>725</v>
      </c>
      <c r="D4550" s="13" t="s">
        <v>44</v>
      </c>
      <c r="E4550" s="12" t="s">
        <v>45</v>
      </c>
      <c r="F4550" s="14">
        <v>57000</v>
      </c>
      <c r="G4550" s="14">
        <v>48700</v>
      </c>
      <c r="H4550" s="13" t="s">
        <v>6441</v>
      </c>
      <c r="I4550" s="40" t="s">
        <v>18</v>
      </c>
      <c r="J4550" s="40" t="str">
        <f>HYPERLINK("https://stock.pstatic.net/stock-research/company/39/20260304_company_270835000.pdf","PDF")</f>
        <v>PDF</v>
      </c>
      <c r="K4550" s="12" t="s">
        <v>6442</v>
      </c>
      <c r="L4550" s="20">
        <v>0.17043121149897331</v>
      </c>
    </row>
    <row r="4551" spans="1:12" x14ac:dyDescent="0.45">
      <c r="A4551" s="12" t="s">
        <v>6379</v>
      </c>
      <c r="B4551" s="12" t="s">
        <v>162</v>
      </c>
      <c r="C4551" s="13" t="s">
        <v>163</v>
      </c>
      <c r="D4551" s="13" t="s">
        <v>124</v>
      </c>
      <c r="E4551" s="12" t="s">
        <v>50</v>
      </c>
      <c r="F4551" s="13"/>
      <c r="G4551" s="13"/>
      <c r="H4551" s="13" t="s">
        <v>6443</v>
      </c>
      <c r="I4551" s="40" t="s">
        <v>18</v>
      </c>
      <c r="J4551" s="40" t="str">
        <f>HYPERLINK("https://stock.pstatic.net/stock-research/company/74/20260304_company_698986000.pdf","PDF")</f>
        <v>PDF</v>
      </c>
      <c r="K4551" s="12" t="s">
        <v>6444</v>
      </c>
    </row>
    <row r="4552" spans="1:12" x14ac:dyDescent="0.45">
      <c r="A4552" s="12" t="s">
        <v>6445</v>
      </c>
      <c r="B4552" s="12" t="s">
        <v>3154</v>
      </c>
      <c r="C4552" s="13" t="s">
        <v>3155</v>
      </c>
      <c r="D4552" s="13" t="s">
        <v>276</v>
      </c>
      <c r="E4552" s="12" t="s">
        <v>16</v>
      </c>
      <c r="F4552" s="14">
        <v>9700</v>
      </c>
      <c r="G4552" s="14">
        <v>6980</v>
      </c>
      <c r="H4552" s="13" t="s">
        <v>6446</v>
      </c>
      <c r="I4552" s="40" t="s">
        <v>18</v>
      </c>
      <c r="J4552" s="40" t="str">
        <f>HYPERLINK("https://stock.pstatic.net/stock-research/company/66/20260303_company_534031000.pdf","PDF")</f>
        <v>PDF</v>
      </c>
      <c r="K4552" s="12" t="s">
        <v>6447</v>
      </c>
      <c r="L4552" s="20">
        <v>0.38968481375358172</v>
      </c>
    </row>
    <row r="4553" spans="1:12" x14ac:dyDescent="0.45">
      <c r="A4553" s="12" t="s">
        <v>6445</v>
      </c>
      <c r="B4553" s="12" t="s">
        <v>860</v>
      </c>
      <c r="C4553" s="13" t="s">
        <v>861</v>
      </c>
      <c r="D4553" s="13" t="s">
        <v>276</v>
      </c>
      <c r="E4553" s="12" t="s">
        <v>16</v>
      </c>
      <c r="F4553" s="14">
        <v>177000</v>
      </c>
      <c r="G4553" s="14">
        <v>123600</v>
      </c>
      <c r="H4553" s="13" t="s">
        <v>6448</v>
      </c>
      <c r="I4553" s="40" t="s">
        <v>18</v>
      </c>
      <c r="J4553" s="40" t="str">
        <f>HYPERLINK("https://stock.pstatic.net/stock-research/company/66/20260303_company_543216000.pdf","PDF")</f>
        <v>PDF</v>
      </c>
      <c r="K4553" s="12" t="s">
        <v>6449</v>
      </c>
      <c r="L4553" s="20">
        <v>0.43203883495145629</v>
      </c>
    </row>
    <row r="4554" spans="1:12" x14ac:dyDescent="0.45">
      <c r="A4554" s="12" t="s">
        <v>6445</v>
      </c>
      <c r="B4554" s="12" t="s">
        <v>519</v>
      </c>
      <c r="C4554" s="13" t="s">
        <v>520</v>
      </c>
      <c r="D4554" s="13" t="s">
        <v>60</v>
      </c>
      <c r="E4554" s="12" t="s">
        <v>35</v>
      </c>
      <c r="F4554" s="14">
        <v>900000</v>
      </c>
      <c r="G4554" s="14">
        <v>674000</v>
      </c>
      <c r="H4554" s="13" t="s">
        <v>6450</v>
      </c>
      <c r="I4554" s="40" t="s">
        <v>18</v>
      </c>
      <c r="J4554" s="40" t="str">
        <f>HYPERLINK("https://stock.pstatic.net/stock-research/company/62/20260303_company_37983000.pdf","PDF")</f>
        <v>PDF</v>
      </c>
      <c r="K4554" s="12" t="s">
        <v>6451</v>
      </c>
      <c r="L4554" s="20">
        <v>0.33531157270029671</v>
      </c>
    </row>
    <row r="4555" spans="1:12" x14ac:dyDescent="0.45">
      <c r="A4555" s="12" t="s">
        <v>6445</v>
      </c>
      <c r="B4555" s="12" t="s">
        <v>2225</v>
      </c>
      <c r="C4555" s="13" t="s">
        <v>5282</v>
      </c>
      <c r="D4555" s="13" t="s">
        <v>65</v>
      </c>
      <c r="E4555" s="12" t="s">
        <v>35</v>
      </c>
      <c r="F4555" s="14">
        <v>710000</v>
      </c>
      <c r="G4555" s="14">
        <v>509000</v>
      </c>
      <c r="H4555" s="13" t="s">
        <v>6452</v>
      </c>
      <c r="I4555" s="40" t="s">
        <v>18</v>
      </c>
      <c r="J4555" s="40" t="str">
        <f>HYPERLINK("https://stock.pstatic.net/stock-research/company/57/20260303_company_362736000.pdf","PDF")</f>
        <v>PDF</v>
      </c>
      <c r="K4555" s="12" t="s">
        <v>6453</v>
      </c>
      <c r="L4555" s="20">
        <v>0.39489194499017682</v>
      </c>
    </row>
    <row r="4556" spans="1:12" x14ac:dyDescent="0.45">
      <c r="A4556" s="12" t="s">
        <v>6445</v>
      </c>
      <c r="B4556" s="12" t="s">
        <v>2205</v>
      </c>
      <c r="C4556" s="13" t="s">
        <v>2206</v>
      </c>
      <c r="D4556" s="13" t="s">
        <v>65</v>
      </c>
      <c r="E4556" s="12" t="s">
        <v>35</v>
      </c>
      <c r="F4556" s="14">
        <v>90000</v>
      </c>
      <c r="G4556" s="14">
        <v>67600</v>
      </c>
      <c r="H4556" s="13" t="s">
        <v>6454</v>
      </c>
      <c r="I4556" s="40" t="s">
        <v>18</v>
      </c>
      <c r="J4556" s="40" t="str">
        <f>HYPERLINK("https://stock.pstatic.net/stock-research/company/57/20260303_company_244161000.pdf","PDF")</f>
        <v>PDF</v>
      </c>
      <c r="K4556" s="12" t="s">
        <v>6455</v>
      </c>
      <c r="L4556" s="20">
        <v>0.33136094674556221</v>
      </c>
    </row>
    <row r="4557" spans="1:12" x14ac:dyDescent="0.45">
      <c r="A4557" s="12" t="s">
        <v>6445</v>
      </c>
      <c r="B4557" s="12" t="s">
        <v>768</v>
      </c>
      <c r="C4557" s="13" t="s">
        <v>769</v>
      </c>
      <c r="D4557" s="13" t="s">
        <v>158</v>
      </c>
      <c r="E4557" s="12" t="s">
        <v>35</v>
      </c>
      <c r="F4557" s="14">
        <v>230000</v>
      </c>
      <c r="G4557" s="14">
        <v>190000</v>
      </c>
      <c r="H4557" s="13" t="s">
        <v>6456</v>
      </c>
      <c r="I4557" s="40" t="s">
        <v>18</v>
      </c>
      <c r="J4557" s="40" t="str">
        <f>HYPERLINK("https://stock.pstatic.net/stock-research/company/18/20260303_company_72257000.pdf","PDF")</f>
        <v>PDF</v>
      </c>
      <c r="K4557" s="12" t="s">
        <v>6457</v>
      </c>
      <c r="L4557" s="20">
        <v>0.2105263157894737</v>
      </c>
    </row>
    <row r="4558" spans="1:12" x14ac:dyDescent="0.45">
      <c r="A4558" s="12" t="s">
        <v>6445</v>
      </c>
      <c r="B4558" s="12" t="s">
        <v>756</v>
      </c>
      <c r="C4558" s="13" t="s">
        <v>757</v>
      </c>
      <c r="D4558" s="13" t="s">
        <v>158</v>
      </c>
      <c r="E4558" s="12" t="s">
        <v>35</v>
      </c>
      <c r="F4558" s="14">
        <v>88000</v>
      </c>
      <c r="G4558" s="14">
        <v>76300</v>
      </c>
      <c r="H4558" s="13" t="s">
        <v>6458</v>
      </c>
      <c r="I4558" s="40" t="s">
        <v>18</v>
      </c>
      <c r="J4558" s="40" t="str">
        <f>HYPERLINK("https://stock.pstatic.net/stock-research/company/18/20260303_company_894674000.pdf","PDF")</f>
        <v>PDF</v>
      </c>
      <c r="K4558" s="12" t="s">
        <v>6459</v>
      </c>
      <c r="L4558" s="20">
        <v>0.15334207077326339</v>
      </c>
    </row>
    <row r="4559" spans="1:12" x14ac:dyDescent="0.45">
      <c r="A4559" s="12" t="s">
        <v>6445</v>
      </c>
      <c r="B4559" s="12" t="s">
        <v>322</v>
      </c>
      <c r="C4559" s="13" t="s">
        <v>323</v>
      </c>
      <c r="D4559" s="13" t="s">
        <v>158</v>
      </c>
      <c r="E4559" s="12" t="s">
        <v>50</v>
      </c>
      <c r="F4559" s="13"/>
      <c r="G4559" s="14">
        <v>98600</v>
      </c>
      <c r="H4559" s="13" t="s">
        <v>6460</v>
      </c>
      <c r="I4559" s="40" t="s">
        <v>18</v>
      </c>
      <c r="J4559" s="40" t="str">
        <f>HYPERLINK("https://stock.pstatic.net/stock-research/company/18/20260303_company_732969000.pdf","PDF")</f>
        <v>PDF</v>
      </c>
      <c r="K4559" s="12" t="s">
        <v>6461</v>
      </c>
    </row>
    <row r="4560" spans="1:12" x14ac:dyDescent="0.45">
      <c r="A4560" s="12" t="s">
        <v>6445</v>
      </c>
      <c r="B4560" s="12" t="s">
        <v>698</v>
      </c>
      <c r="C4560" s="13" t="s">
        <v>699</v>
      </c>
      <c r="D4560" s="13" t="s">
        <v>158</v>
      </c>
      <c r="E4560" s="12" t="s">
        <v>35</v>
      </c>
      <c r="F4560" s="14">
        <v>550000</v>
      </c>
      <c r="G4560" s="14">
        <v>401000</v>
      </c>
      <c r="H4560" s="13" t="s">
        <v>6462</v>
      </c>
      <c r="I4560" s="40" t="s">
        <v>18</v>
      </c>
      <c r="J4560" s="40" t="str">
        <f>HYPERLINK("https://stock.pstatic.net/stock-research/company/18/20260303_company_957063000.pdf","PDF")</f>
        <v>PDF</v>
      </c>
      <c r="K4560" s="12" t="s">
        <v>6463</v>
      </c>
      <c r="L4560" s="20">
        <v>0.371571072319202</v>
      </c>
    </row>
    <row r="4561" spans="1:12" x14ac:dyDescent="0.45">
      <c r="A4561" s="12" t="s">
        <v>6445</v>
      </c>
      <c r="B4561" s="12" t="s">
        <v>836</v>
      </c>
      <c r="C4561" s="13" t="s">
        <v>837</v>
      </c>
      <c r="D4561" s="13" t="s">
        <v>158</v>
      </c>
      <c r="E4561" s="12" t="s">
        <v>35</v>
      </c>
      <c r="F4561" s="14">
        <v>840000</v>
      </c>
      <c r="G4561" s="14">
        <v>645000</v>
      </c>
      <c r="H4561" s="13" t="s">
        <v>6464</v>
      </c>
      <c r="I4561" s="40" t="s">
        <v>18</v>
      </c>
      <c r="J4561" s="40" t="str">
        <f>HYPERLINK("https://stock.pstatic.net/stock-research/company/18/20260303_company_1427000.pdf","PDF")</f>
        <v>PDF</v>
      </c>
      <c r="K4561" s="12" t="s">
        <v>6465</v>
      </c>
      <c r="L4561" s="20">
        <v>0.30232558139534882</v>
      </c>
    </row>
    <row r="4562" spans="1:12" x14ac:dyDescent="0.45">
      <c r="A4562" s="12" t="s">
        <v>6445</v>
      </c>
      <c r="B4562" s="12" t="s">
        <v>4192</v>
      </c>
      <c r="C4562" s="13" t="s">
        <v>4193</v>
      </c>
      <c r="D4562" s="13" t="s">
        <v>124</v>
      </c>
      <c r="E4562" s="12" t="s">
        <v>50</v>
      </c>
      <c r="F4562" s="13"/>
      <c r="G4562" s="13"/>
      <c r="H4562" s="13" t="s">
        <v>6466</v>
      </c>
      <c r="I4562" s="40" t="s">
        <v>18</v>
      </c>
      <c r="J4562" s="40" t="str">
        <f>HYPERLINK("https://stock.pstatic.net/stock-research/company/74/20260303_company_188653000.pdf","PDF")</f>
        <v>PDF</v>
      </c>
      <c r="K4562" s="12" t="s">
        <v>6467</v>
      </c>
    </row>
    <row r="4563" spans="1:12" x14ac:dyDescent="0.45">
      <c r="A4563" s="12" t="s">
        <v>6445</v>
      </c>
      <c r="B4563" s="12" t="s">
        <v>3536</v>
      </c>
      <c r="C4563" s="13" t="s">
        <v>3537</v>
      </c>
      <c r="D4563" s="13" t="s">
        <v>23</v>
      </c>
      <c r="E4563" s="12" t="s">
        <v>16</v>
      </c>
      <c r="F4563" s="14">
        <v>600000</v>
      </c>
      <c r="G4563" s="14">
        <v>425500</v>
      </c>
      <c r="H4563" s="13" t="s">
        <v>6468</v>
      </c>
      <c r="I4563" s="40" t="s">
        <v>18</v>
      </c>
      <c r="J4563" s="40" t="str">
        <f>HYPERLINK("https://stock.pstatic.net/stock-research/company/21/20260303_company_71267000.pdf","PDF")</f>
        <v>PDF</v>
      </c>
      <c r="K4563" s="12" t="s">
        <v>6469</v>
      </c>
      <c r="L4563" s="20">
        <v>0.41010575793184489</v>
      </c>
    </row>
    <row r="4564" spans="1:12" x14ac:dyDescent="0.45">
      <c r="A4564" s="12" t="s">
        <v>6445</v>
      </c>
      <c r="B4564" s="12" t="s">
        <v>174</v>
      </c>
      <c r="C4564" s="13" t="s">
        <v>44</v>
      </c>
      <c r="D4564" s="13" t="s">
        <v>179</v>
      </c>
      <c r="E4564" s="12" t="s">
        <v>16</v>
      </c>
      <c r="F4564" s="14">
        <v>593000</v>
      </c>
      <c r="G4564" s="14">
        <v>466000</v>
      </c>
      <c r="H4564" s="13" t="s">
        <v>6470</v>
      </c>
      <c r="I4564" s="40" t="s">
        <v>18</v>
      </c>
      <c r="J4564" s="40" t="str">
        <f>HYPERLINK("https://stock.pstatic.net/stock-research/company/64/20260303_company_331936000.pdf","PDF")</f>
        <v>PDF</v>
      </c>
      <c r="K4564" s="12" t="s">
        <v>6471</v>
      </c>
      <c r="L4564" s="20">
        <v>0.27253218884120167</v>
      </c>
    </row>
    <row r="4565" spans="1:12" x14ac:dyDescent="0.45">
      <c r="A4565" s="12" t="s">
        <v>6445</v>
      </c>
      <c r="B4565" s="12" t="s">
        <v>81</v>
      </c>
      <c r="C4565" s="13" t="s">
        <v>82</v>
      </c>
      <c r="D4565" s="13" t="s">
        <v>179</v>
      </c>
      <c r="E4565" s="12" t="s">
        <v>16</v>
      </c>
      <c r="F4565" s="14">
        <v>42000</v>
      </c>
      <c r="G4565" s="14">
        <v>35500</v>
      </c>
      <c r="H4565" s="13" t="s">
        <v>6472</v>
      </c>
      <c r="I4565" s="40" t="s">
        <v>18</v>
      </c>
      <c r="J4565" s="40" t="str">
        <f>HYPERLINK("https://stock.pstatic.net/stock-research/company/64/20260303_company_870768000.pdf","PDF")</f>
        <v>PDF</v>
      </c>
      <c r="K4565" s="12" t="s">
        <v>6473</v>
      </c>
      <c r="L4565" s="20">
        <v>0.18309859154929581</v>
      </c>
    </row>
    <row r="4566" spans="1:12" x14ac:dyDescent="0.45">
      <c r="A4566" s="12" t="s">
        <v>6445</v>
      </c>
      <c r="B4566" s="12" t="s">
        <v>1270</v>
      </c>
      <c r="C4566" s="13" t="s">
        <v>1271</v>
      </c>
      <c r="D4566" s="13" t="s">
        <v>179</v>
      </c>
      <c r="E4566" s="12" t="s">
        <v>16</v>
      </c>
      <c r="F4566" s="14">
        <v>154000</v>
      </c>
      <c r="G4566" s="14">
        <v>106800</v>
      </c>
      <c r="H4566" s="13" t="s">
        <v>6474</v>
      </c>
      <c r="I4566" s="40" t="s">
        <v>18</v>
      </c>
      <c r="J4566" s="40" t="str">
        <f>HYPERLINK("https://stock.pstatic.net/stock-research/company/64/20260303_company_7259000.pdf","PDF")</f>
        <v>PDF</v>
      </c>
      <c r="K4566" s="12" t="s">
        <v>6475</v>
      </c>
      <c r="L4566" s="20">
        <v>0.44194756554307119</v>
      </c>
    </row>
    <row r="4567" spans="1:12" x14ac:dyDescent="0.45">
      <c r="A4567" s="12" t="s">
        <v>6445</v>
      </c>
      <c r="B4567" s="12" t="s">
        <v>1278</v>
      </c>
      <c r="C4567" s="13" t="s">
        <v>1279</v>
      </c>
      <c r="D4567" s="13" t="s">
        <v>179</v>
      </c>
      <c r="E4567" s="12" t="s">
        <v>16</v>
      </c>
      <c r="F4567" s="14">
        <v>399000</v>
      </c>
      <c r="G4567" s="14">
        <v>258500</v>
      </c>
      <c r="H4567" s="13" t="s">
        <v>6476</v>
      </c>
      <c r="I4567" s="40" t="s">
        <v>18</v>
      </c>
      <c r="J4567" s="40" t="str">
        <f>HYPERLINK("https://stock.pstatic.net/stock-research/company/64/20260303_company_963549000.pdf","PDF")</f>
        <v>PDF</v>
      </c>
      <c r="K4567" s="12" t="s">
        <v>6477</v>
      </c>
      <c r="L4567" s="20">
        <v>0.54352030947775631</v>
      </c>
    </row>
    <row r="4568" spans="1:12" x14ac:dyDescent="0.45">
      <c r="A4568" s="12" t="s">
        <v>6445</v>
      </c>
      <c r="B4568" s="12" t="s">
        <v>1377</v>
      </c>
      <c r="C4568" s="13" t="s">
        <v>1378</v>
      </c>
      <c r="D4568" s="13" t="s">
        <v>92</v>
      </c>
      <c r="E4568" s="12" t="s">
        <v>35</v>
      </c>
      <c r="F4568" s="14">
        <v>20000</v>
      </c>
      <c r="G4568" s="14">
        <v>12400</v>
      </c>
      <c r="H4568" s="13" t="s">
        <v>6478</v>
      </c>
      <c r="I4568" s="40" t="s">
        <v>18</v>
      </c>
      <c r="J4568" s="40" t="str">
        <f>HYPERLINK("https://stock.pstatic.net/stock-research/company/63/20260303_company_483076000.pdf","PDF")</f>
        <v>PDF</v>
      </c>
      <c r="K4568" s="12" t="s">
        <v>6479</v>
      </c>
      <c r="L4568" s="20">
        <v>0.61290322580645162</v>
      </c>
    </row>
    <row r="4569" spans="1:12" x14ac:dyDescent="0.45">
      <c r="A4569" s="12" t="s">
        <v>6445</v>
      </c>
      <c r="B4569" s="12" t="s">
        <v>1023</v>
      </c>
      <c r="C4569" s="13" t="s">
        <v>15</v>
      </c>
      <c r="D4569" s="13" t="s">
        <v>179</v>
      </c>
      <c r="E4569" s="12" t="s">
        <v>385</v>
      </c>
      <c r="F4569" s="13"/>
      <c r="G4569" s="14">
        <v>72000</v>
      </c>
      <c r="H4569" s="13" t="s">
        <v>6480</v>
      </c>
      <c r="I4569" s="40" t="s">
        <v>18</v>
      </c>
      <c r="J4569" s="40" t="str">
        <f>HYPERLINK("https://stock.pstatic.net/stock-research/company/64/20260303_company_766898000.pdf","PDF")</f>
        <v>PDF</v>
      </c>
      <c r="K4569" s="12" t="s">
        <v>6481</v>
      </c>
    </row>
    <row r="4570" spans="1:12" x14ac:dyDescent="0.45">
      <c r="A4570" s="12" t="s">
        <v>6445</v>
      </c>
      <c r="B4570" s="12" t="s">
        <v>243</v>
      </c>
      <c r="C4570" s="13" t="s">
        <v>244</v>
      </c>
      <c r="D4570" s="13" t="s">
        <v>23</v>
      </c>
      <c r="E4570" s="12" t="s">
        <v>50</v>
      </c>
      <c r="F4570" s="13"/>
      <c r="G4570" s="14">
        <v>180000</v>
      </c>
      <c r="H4570" s="13" t="s">
        <v>6482</v>
      </c>
      <c r="I4570" s="40" t="s">
        <v>18</v>
      </c>
      <c r="J4570" s="40" t="str">
        <f>HYPERLINK("https://stock.pstatic.net/stock-research/company/21/20260303_company_183153000.pdf","PDF")</f>
        <v>PDF</v>
      </c>
      <c r="K4570" s="12" t="s">
        <v>6483</v>
      </c>
    </row>
    <row r="4571" spans="1:12" x14ac:dyDescent="0.45">
      <c r="A4571" s="12" t="s">
        <v>6445</v>
      </c>
      <c r="B4571" s="12" t="s">
        <v>685</v>
      </c>
      <c r="C4571" s="13" t="s">
        <v>686</v>
      </c>
      <c r="D4571" s="13" t="s">
        <v>92</v>
      </c>
      <c r="E4571" s="12" t="s">
        <v>50</v>
      </c>
      <c r="F4571" s="13"/>
      <c r="G4571" s="14">
        <v>34150</v>
      </c>
      <c r="H4571" s="13" t="s">
        <v>6484</v>
      </c>
      <c r="I4571" s="40" t="s">
        <v>18</v>
      </c>
      <c r="J4571" s="40" t="str">
        <f>HYPERLINK("https://stock.pstatic.net/stock-research/company/63/20260303_company_26723000.pdf","PDF")</f>
        <v>PDF</v>
      </c>
      <c r="K4571" s="12" t="s">
        <v>6485</v>
      </c>
    </row>
    <row r="4572" spans="1:12" x14ac:dyDescent="0.45">
      <c r="A4572" s="12" t="s">
        <v>6445</v>
      </c>
      <c r="B4572" s="12" t="s">
        <v>32</v>
      </c>
      <c r="C4572" s="13" t="s">
        <v>33</v>
      </c>
      <c r="D4572" s="13" t="s">
        <v>34</v>
      </c>
      <c r="E4572" s="12" t="s">
        <v>35</v>
      </c>
      <c r="F4572" s="14">
        <v>600000</v>
      </c>
      <c r="G4572" s="14">
        <v>448500</v>
      </c>
      <c r="H4572" s="13" t="s">
        <v>6486</v>
      </c>
      <c r="I4572" s="40" t="s">
        <v>18</v>
      </c>
      <c r="J4572" s="40" t="str">
        <f>HYPERLINK("https://stock.pstatic.net/stock-research/company/61/20260303_company_271800000.pdf","PDF")</f>
        <v>PDF</v>
      </c>
      <c r="K4572" s="12" t="s">
        <v>6487</v>
      </c>
      <c r="L4572" s="20">
        <v>0.33779264214046822</v>
      </c>
    </row>
    <row r="4573" spans="1:12" x14ac:dyDescent="0.45">
      <c r="A4573" s="12" t="s">
        <v>6445</v>
      </c>
      <c r="B4573" s="12" t="s">
        <v>2024</v>
      </c>
      <c r="C4573" s="13" t="s">
        <v>2025</v>
      </c>
      <c r="D4573" s="13" t="s">
        <v>34</v>
      </c>
      <c r="E4573" s="12" t="s">
        <v>35</v>
      </c>
      <c r="F4573" s="14">
        <v>67000</v>
      </c>
      <c r="G4573" s="14">
        <v>49650</v>
      </c>
      <c r="H4573" s="13" t="s">
        <v>6488</v>
      </c>
      <c r="I4573" s="40" t="s">
        <v>18</v>
      </c>
      <c r="J4573" s="40" t="str">
        <f>HYPERLINK("https://stock.pstatic.net/stock-research/company/61/20260303_company_287888000.pdf","PDF")</f>
        <v>PDF</v>
      </c>
      <c r="K4573" s="12" t="s">
        <v>6489</v>
      </c>
      <c r="L4573" s="20">
        <v>0.34944612286002008</v>
      </c>
    </row>
    <row r="4574" spans="1:12" x14ac:dyDescent="0.45">
      <c r="A4574" s="12" t="s">
        <v>6445</v>
      </c>
      <c r="B4574" s="12" t="s">
        <v>334</v>
      </c>
      <c r="C4574" s="13" t="s">
        <v>335</v>
      </c>
      <c r="D4574" s="13" t="s">
        <v>44</v>
      </c>
      <c r="E4574" s="12" t="s">
        <v>35</v>
      </c>
      <c r="F4574" s="14">
        <v>1300000</v>
      </c>
      <c r="G4574" s="14">
        <v>1061000</v>
      </c>
      <c r="H4574" s="13" t="s">
        <v>6490</v>
      </c>
      <c r="I4574" s="40" t="s">
        <v>18</v>
      </c>
      <c r="J4574" s="40" t="str">
        <f>HYPERLINK("https://stock.pstatic.net/stock-research/company/39/20260303_company_694480000.pdf","PDF")</f>
        <v>PDF</v>
      </c>
      <c r="K4574" s="12" t="s">
        <v>6491</v>
      </c>
      <c r="L4574" s="20">
        <v>0.22525918944392079</v>
      </c>
    </row>
    <row r="4575" spans="1:12" x14ac:dyDescent="0.45">
      <c r="A4575" s="12" t="s">
        <v>6445</v>
      </c>
      <c r="B4575" s="12" t="s">
        <v>13</v>
      </c>
      <c r="C4575" s="13" t="s">
        <v>14</v>
      </c>
      <c r="D4575" s="13" t="s">
        <v>44</v>
      </c>
      <c r="E4575" s="12" t="s">
        <v>35</v>
      </c>
      <c r="F4575" s="14">
        <v>260000</v>
      </c>
      <c r="G4575" s="14">
        <v>216500</v>
      </c>
      <c r="H4575" s="13" t="s">
        <v>6492</v>
      </c>
      <c r="I4575" s="40" t="s">
        <v>18</v>
      </c>
      <c r="J4575" s="40" t="str">
        <f>HYPERLINK("https://stock.pstatic.net/stock-research/company/39/20260303_company_768582000.pdf","PDF")</f>
        <v>PDF</v>
      </c>
      <c r="K4575" s="12" t="s">
        <v>6493</v>
      </c>
      <c r="L4575" s="20">
        <v>0.20092378752886841</v>
      </c>
    </row>
    <row r="4576" spans="1:12" x14ac:dyDescent="0.45">
      <c r="A4576" s="12" t="s">
        <v>6494</v>
      </c>
      <c r="B4576" s="12" t="s">
        <v>370</v>
      </c>
      <c r="C4576" s="13" t="s">
        <v>371</v>
      </c>
      <c r="D4576" s="13" t="s">
        <v>57</v>
      </c>
      <c r="E4576" s="12" t="s">
        <v>35</v>
      </c>
      <c r="F4576" s="14">
        <v>90000</v>
      </c>
      <c r="G4576" s="14">
        <v>71300</v>
      </c>
      <c r="H4576" s="13" t="s">
        <v>6495</v>
      </c>
      <c r="I4576" s="40" t="s">
        <v>18</v>
      </c>
      <c r="J4576" s="40" t="str">
        <f>HYPERLINK("https://stock.pstatic.net/stock-research/company/16/20260227_company_708655000.pdf","PDF")</f>
        <v>PDF</v>
      </c>
      <c r="K4576" s="12" t="s">
        <v>6496</v>
      </c>
      <c r="L4576" s="20">
        <v>0.26227208976157079</v>
      </c>
    </row>
    <row r="4577" spans="1:12" x14ac:dyDescent="0.45">
      <c r="A4577" s="12" t="s">
        <v>6494</v>
      </c>
      <c r="B4577" s="12" t="s">
        <v>2414</v>
      </c>
      <c r="C4577" s="13" t="s">
        <v>2415</v>
      </c>
      <c r="D4577" s="13" t="s">
        <v>276</v>
      </c>
      <c r="E4577" s="12" t="s">
        <v>16</v>
      </c>
      <c r="F4577" s="14">
        <v>2000000</v>
      </c>
      <c r="G4577" s="14">
        <v>1215000</v>
      </c>
      <c r="H4577" s="13" t="s">
        <v>6497</v>
      </c>
      <c r="I4577" s="40" t="s">
        <v>18</v>
      </c>
      <c r="J4577" s="40" t="str">
        <f>HYPERLINK("https://stock.pstatic.net/stock-research/company/66/20260227_company_528120000.pdf","PDF")</f>
        <v>PDF</v>
      </c>
      <c r="K4577" s="12" t="s">
        <v>6498</v>
      </c>
      <c r="L4577" s="20">
        <v>0.64609053497942381</v>
      </c>
    </row>
    <row r="4578" spans="1:12" x14ac:dyDescent="0.45">
      <c r="A4578" s="12" t="s">
        <v>6494</v>
      </c>
      <c r="B4578" s="12" t="s">
        <v>884</v>
      </c>
      <c r="C4578" s="13" t="s">
        <v>885</v>
      </c>
      <c r="D4578" s="13" t="s">
        <v>60</v>
      </c>
      <c r="E4578" s="12" t="s">
        <v>35</v>
      </c>
      <c r="F4578" s="14">
        <v>5000</v>
      </c>
      <c r="G4578" s="14">
        <v>3850</v>
      </c>
      <c r="H4578" s="13" t="s">
        <v>6499</v>
      </c>
      <c r="I4578" s="40" t="s">
        <v>18</v>
      </c>
      <c r="J4578" s="40" t="str">
        <f>HYPERLINK("https://stock.pstatic.net/stock-research/company/62/20260227_company_38573000.pdf","PDF")</f>
        <v>PDF</v>
      </c>
      <c r="K4578" s="12" t="s">
        <v>6500</v>
      </c>
      <c r="L4578" s="20">
        <v>0.29870129870129869</v>
      </c>
    </row>
    <row r="4579" spans="1:12" x14ac:dyDescent="0.45">
      <c r="A4579" s="12" t="s">
        <v>6494</v>
      </c>
      <c r="B4579" s="12" t="s">
        <v>370</v>
      </c>
      <c r="C4579" s="13" t="s">
        <v>371</v>
      </c>
      <c r="D4579" s="13" t="s">
        <v>60</v>
      </c>
      <c r="E4579" s="12" t="s">
        <v>35</v>
      </c>
      <c r="F4579" s="14">
        <v>92000</v>
      </c>
      <c r="G4579" s="14">
        <v>71300</v>
      </c>
      <c r="H4579" s="13" t="s">
        <v>6501</v>
      </c>
      <c r="I4579" s="40" t="s">
        <v>18</v>
      </c>
      <c r="J4579" s="40" t="str">
        <f>HYPERLINK("https://stock.pstatic.net/stock-research/company/62/20260227_company_341536000.pdf","PDF")</f>
        <v>PDF</v>
      </c>
      <c r="K4579" s="12" t="s">
        <v>6502</v>
      </c>
      <c r="L4579" s="20">
        <v>0.29032258064516131</v>
      </c>
    </row>
    <row r="4580" spans="1:12" x14ac:dyDescent="0.45">
      <c r="A4580" s="12" t="s">
        <v>6494</v>
      </c>
      <c r="B4580" s="12" t="s">
        <v>4642</v>
      </c>
      <c r="C4580" s="13" t="s">
        <v>4643</v>
      </c>
      <c r="D4580" s="13" t="s">
        <v>65</v>
      </c>
      <c r="E4580" s="12" t="s">
        <v>35</v>
      </c>
      <c r="F4580" s="14">
        <v>32000</v>
      </c>
      <c r="G4580" s="14">
        <v>28100</v>
      </c>
      <c r="H4580" s="13" t="s">
        <v>6503</v>
      </c>
      <c r="I4580" s="40" t="s">
        <v>18</v>
      </c>
      <c r="J4580" s="40" t="str">
        <f>HYPERLINK("https://stock.pstatic.net/stock-research/company/57/20260227_company_128683000.pdf","PDF")</f>
        <v>PDF</v>
      </c>
      <c r="K4580" s="12" t="s">
        <v>6504</v>
      </c>
      <c r="L4580" s="20">
        <v>0.13879003558718861</v>
      </c>
    </row>
    <row r="4581" spans="1:12" x14ac:dyDescent="0.45">
      <c r="A4581" s="12" t="s">
        <v>6494</v>
      </c>
      <c r="B4581" s="12" t="s">
        <v>370</v>
      </c>
      <c r="C4581" s="13" t="s">
        <v>371</v>
      </c>
      <c r="D4581" s="13" t="s">
        <v>65</v>
      </c>
      <c r="E4581" s="12" t="s">
        <v>35</v>
      </c>
      <c r="F4581" s="14">
        <v>100000</v>
      </c>
      <c r="G4581" s="14">
        <v>71300</v>
      </c>
      <c r="H4581" s="13" t="s">
        <v>6505</v>
      </c>
      <c r="I4581" s="40" t="s">
        <v>18</v>
      </c>
      <c r="J4581" s="40" t="str">
        <f>HYPERLINK("https://stock.pstatic.net/stock-research/company/57/20260227_company_9123000.pdf","PDF")</f>
        <v>PDF</v>
      </c>
      <c r="K4581" s="12" t="s">
        <v>6506</v>
      </c>
      <c r="L4581" s="20">
        <v>0.40252454417952321</v>
      </c>
    </row>
    <row r="4582" spans="1:12" x14ac:dyDescent="0.45">
      <c r="A4582" s="12" t="s">
        <v>6494</v>
      </c>
      <c r="B4582" s="12" t="s">
        <v>519</v>
      </c>
      <c r="C4582" s="13" t="s">
        <v>520</v>
      </c>
      <c r="D4582" s="13" t="s">
        <v>65</v>
      </c>
      <c r="E4582" s="12" t="s">
        <v>35</v>
      </c>
      <c r="F4582" s="14">
        <v>660000</v>
      </c>
      <c r="G4582" s="14">
        <v>609000</v>
      </c>
      <c r="H4582" s="13" t="s">
        <v>6507</v>
      </c>
      <c r="I4582" s="40" t="s">
        <v>18</v>
      </c>
      <c r="J4582" s="40" t="str">
        <f>HYPERLINK("https://stock.pstatic.net/stock-research/company/57/20260227_company_771923000.pdf","PDF")</f>
        <v>PDF</v>
      </c>
      <c r="K4582" s="12" t="s">
        <v>6508</v>
      </c>
      <c r="L4582" s="20">
        <v>8.3743842364532015E-2</v>
      </c>
    </row>
    <row r="4583" spans="1:12" x14ac:dyDescent="0.45">
      <c r="A4583" s="12" t="s">
        <v>6494</v>
      </c>
      <c r="B4583" s="12" t="s">
        <v>1140</v>
      </c>
      <c r="C4583" s="13" t="s">
        <v>1141</v>
      </c>
      <c r="D4583" s="13" t="s">
        <v>65</v>
      </c>
      <c r="E4583" s="12" t="s">
        <v>35</v>
      </c>
      <c r="F4583" s="14">
        <v>73000</v>
      </c>
      <c r="G4583" s="14">
        <v>63300</v>
      </c>
      <c r="H4583" s="13" t="s">
        <v>6509</v>
      </c>
      <c r="I4583" s="40" t="s">
        <v>18</v>
      </c>
      <c r="J4583" s="40" t="str">
        <f>HYPERLINK("https://stock.pstatic.net/stock-research/company/57/20260227_company_323475000.pdf","PDF")</f>
        <v>PDF</v>
      </c>
      <c r="K4583" s="12" t="s">
        <v>6510</v>
      </c>
      <c r="L4583" s="20">
        <v>0.1532385466034755</v>
      </c>
    </row>
    <row r="4584" spans="1:12" x14ac:dyDescent="0.45">
      <c r="A4584" s="12" t="s">
        <v>6494</v>
      </c>
      <c r="B4584" s="12" t="s">
        <v>1734</v>
      </c>
      <c r="C4584" s="13" t="s">
        <v>1735</v>
      </c>
      <c r="D4584" s="13" t="s">
        <v>65</v>
      </c>
      <c r="E4584" s="12" t="s">
        <v>35</v>
      </c>
      <c r="F4584" s="14">
        <v>55000</v>
      </c>
      <c r="G4584" s="14">
        <v>43900</v>
      </c>
      <c r="H4584" s="13" t="s">
        <v>6511</v>
      </c>
      <c r="I4584" s="40" t="s">
        <v>18</v>
      </c>
      <c r="J4584" s="40" t="str">
        <f>HYPERLINK("https://stock.pstatic.net/stock-research/company/57/20260227_company_139893000.pdf","PDF")</f>
        <v>PDF</v>
      </c>
      <c r="K4584" s="12" t="s">
        <v>6512</v>
      </c>
      <c r="L4584" s="20">
        <v>0.2528473804100228</v>
      </c>
    </row>
    <row r="4585" spans="1:12" x14ac:dyDescent="0.45">
      <c r="A4585" s="12" t="s">
        <v>6494</v>
      </c>
      <c r="B4585" s="12" t="s">
        <v>370</v>
      </c>
      <c r="C4585" s="13" t="s">
        <v>371</v>
      </c>
      <c r="D4585" s="13" t="s">
        <v>158</v>
      </c>
      <c r="E4585" s="12" t="s">
        <v>35</v>
      </c>
      <c r="F4585" s="14">
        <v>85000</v>
      </c>
      <c r="G4585" s="14">
        <v>71300</v>
      </c>
      <c r="H4585" s="13" t="s">
        <v>6513</v>
      </c>
      <c r="I4585" s="40" t="s">
        <v>18</v>
      </c>
      <c r="J4585" s="40" t="str">
        <f>HYPERLINK("https://stock.pstatic.net/stock-research/company/18/20260227_company_926735000.pdf","PDF")</f>
        <v>PDF</v>
      </c>
      <c r="K4585" s="12" t="s">
        <v>6514</v>
      </c>
      <c r="L4585" s="20">
        <v>0.19214586255259469</v>
      </c>
    </row>
    <row r="4586" spans="1:12" x14ac:dyDescent="0.45">
      <c r="A4586" s="12" t="s">
        <v>6494</v>
      </c>
      <c r="B4586" s="12" t="s">
        <v>6515</v>
      </c>
      <c r="C4586" s="13" t="s">
        <v>6516</v>
      </c>
      <c r="D4586" s="13" t="s">
        <v>158</v>
      </c>
      <c r="E4586" s="12" t="s">
        <v>50</v>
      </c>
      <c r="F4586" s="13"/>
      <c r="G4586" s="14">
        <v>10890</v>
      </c>
      <c r="H4586" s="13" t="s">
        <v>6517</v>
      </c>
      <c r="I4586" s="40" t="s">
        <v>18</v>
      </c>
      <c r="J4586" s="40" t="str">
        <f>HYPERLINK("https://stock.pstatic.net/stock-research/company/18/20260227_company_497417000.pdf","PDF")</f>
        <v>PDF</v>
      </c>
      <c r="K4586" s="12" t="s">
        <v>6518</v>
      </c>
    </row>
    <row r="4587" spans="1:12" x14ac:dyDescent="0.45">
      <c r="A4587" s="12" t="s">
        <v>6494</v>
      </c>
      <c r="B4587" s="12" t="s">
        <v>6519</v>
      </c>
      <c r="C4587" s="13" t="s">
        <v>6520</v>
      </c>
      <c r="D4587" s="13" t="s">
        <v>158</v>
      </c>
      <c r="E4587" s="12" t="s">
        <v>50</v>
      </c>
      <c r="F4587" s="13"/>
      <c r="G4587" s="14">
        <v>11250</v>
      </c>
      <c r="H4587" s="13" t="s">
        <v>6521</v>
      </c>
      <c r="I4587" s="40" t="s">
        <v>18</v>
      </c>
      <c r="J4587" s="40" t="str">
        <f>HYPERLINK("https://stock.pstatic.net/stock-research/company/18/20260227_company_493070000.pdf","PDF")</f>
        <v>PDF</v>
      </c>
      <c r="K4587" s="12" t="s">
        <v>6522</v>
      </c>
    </row>
    <row r="4588" spans="1:12" x14ac:dyDescent="0.45">
      <c r="A4588" s="12" t="s">
        <v>6494</v>
      </c>
      <c r="B4588" s="12" t="s">
        <v>6523</v>
      </c>
      <c r="C4588" s="13" t="s">
        <v>6524</v>
      </c>
      <c r="D4588" s="13" t="s">
        <v>124</v>
      </c>
      <c r="E4588" s="12" t="s">
        <v>50</v>
      </c>
      <c r="F4588" s="13"/>
      <c r="G4588" s="13"/>
      <c r="H4588" s="13" t="s">
        <v>6525</v>
      </c>
      <c r="I4588" s="40" t="s">
        <v>18</v>
      </c>
      <c r="J4588" s="40" t="str">
        <f>HYPERLINK("https://stock.pstatic.net/stock-research/company/74/20260227_company_423207000.pdf","PDF")</f>
        <v>PDF</v>
      </c>
      <c r="K4588" s="12" t="s">
        <v>6526</v>
      </c>
    </row>
    <row r="4589" spans="1:12" x14ac:dyDescent="0.45">
      <c r="A4589" s="12" t="s">
        <v>6494</v>
      </c>
      <c r="B4589" s="12" t="s">
        <v>812</v>
      </c>
      <c r="C4589" s="13" t="s">
        <v>813</v>
      </c>
      <c r="D4589" s="13" t="s">
        <v>83</v>
      </c>
      <c r="E4589" s="12" t="s">
        <v>35</v>
      </c>
      <c r="F4589" s="14">
        <v>140000</v>
      </c>
      <c r="G4589" s="14">
        <v>93000</v>
      </c>
      <c r="H4589" s="13" t="s">
        <v>6527</v>
      </c>
      <c r="I4589" s="40" t="s">
        <v>18</v>
      </c>
      <c r="J4589" s="40" t="str">
        <f>HYPERLINK("https://stock.pstatic.net/stock-research/company/15/20260227_company_391170000.pdf","PDF")</f>
        <v>PDF</v>
      </c>
      <c r="K4589" s="12" t="s">
        <v>6528</v>
      </c>
      <c r="L4589" s="20">
        <v>0.5053763440860215</v>
      </c>
    </row>
    <row r="4590" spans="1:12" x14ac:dyDescent="0.45">
      <c r="A4590" s="12" t="s">
        <v>6494</v>
      </c>
      <c r="B4590" s="12" t="s">
        <v>1883</v>
      </c>
      <c r="C4590" s="13" t="s">
        <v>1884</v>
      </c>
      <c r="D4590" s="13" t="s">
        <v>83</v>
      </c>
      <c r="E4590" s="12" t="s">
        <v>35</v>
      </c>
      <c r="F4590" s="14">
        <v>32000</v>
      </c>
      <c r="G4590" s="14">
        <v>21050</v>
      </c>
      <c r="H4590" s="13" t="s">
        <v>6529</v>
      </c>
      <c r="I4590" s="40" t="s">
        <v>18</v>
      </c>
      <c r="J4590" s="40" t="str">
        <f>HYPERLINK("https://stock.pstatic.net/stock-research/company/15/20260227_company_102754000.pdf","PDF")</f>
        <v>PDF</v>
      </c>
      <c r="K4590" s="12" t="s">
        <v>6530</v>
      </c>
      <c r="L4590" s="20">
        <v>0.52019002375296908</v>
      </c>
    </row>
    <row r="4591" spans="1:12" x14ac:dyDescent="0.45">
      <c r="A4591" s="12" t="s">
        <v>6494</v>
      </c>
      <c r="B4591" s="12" t="s">
        <v>1140</v>
      </c>
      <c r="C4591" s="13" t="s">
        <v>1141</v>
      </c>
      <c r="D4591" s="13" t="s">
        <v>83</v>
      </c>
      <c r="E4591" s="12" t="s">
        <v>35</v>
      </c>
      <c r="F4591" s="14">
        <v>80000</v>
      </c>
      <c r="G4591" s="14">
        <v>63300</v>
      </c>
      <c r="H4591" s="13" t="s">
        <v>6531</v>
      </c>
      <c r="I4591" s="40" t="s">
        <v>18</v>
      </c>
      <c r="J4591" s="40" t="str">
        <f>HYPERLINK("https://stock.pstatic.net/stock-research/company/15/20260227_company_294394000.pdf","PDF")</f>
        <v>PDF</v>
      </c>
      <c r="K4591" s="12" t="s">
        <v>6532</v>
      </c>
      <c r="L4591" s="20">
        <v>0.26382306477093209</v>
      </c>
    </row>
    <row r="4592" spans="1:12" x14ac:dyDescent="0.45">
      <c r="A4592" s="12" t="s">
        <v>6494</v>
      </c>
      <c r="B4592" s="12" t="s">
        <v>495</v>
      </c>
      <c r="C4592" s="13" t="s">
        <v>496</v>
      </c>
      <c r="D4592" s="13" t="s">
        <v>179</v>
      </c>
      <c r="E4592" s="12" t="s">
        <v>16</v>
      </c>
      <c r="F4592" s="14">
        <v>440000</v>
      </c>
      <c r="G4592" s="14">
        <v>317000</v>
      </c>
      <c r="H4592" s="13" t="s">
        <v>6533</v>
      </c>
      <c r="I4592" s="40" t="s">
        <v>18</v>
      </c>
      <c r="J4592" s="40" t="str">
        <f>HYPERLINK("https://stock.pstatic.net/stock-research/company/64/20260227_company_753678000.pdf","PDF")</f>
        <v>PDF</v>
      </c>
      <c r="K4592" s="12" t="s">
        <v>6534</v>
      </c>
      <c r="L4592" s="20">
        <v>0.38801261829652989</v>
      </c>
    </row>
    <row r="4593" spans="1:12" x14ac:dyDescent="0.45">
      <c r="A4593" s="12" t="s">
        <v>6494</v>
      </c>
      <c r="B4593" s="12" t="s">
        <v>764</v>
      </c>
      <c r="C4593" s="13" t="s">
        <v>765</v>
      </c>
      <c r="D4593" s="13" t="s">
        <v>179</v>
      </c>
      <c r="E4593" s="12" t="s">
        <v>16</v>
      </c>
      <c r="F4593" s="14">
        <v>57000</v>
      </c>
      <c r="G4593" s="14">
        <v>42200</v>
      </c>
      <c r="H4593" s="13" t="s">
        <v>6535</v>
      </c>
      <c r="I4593" s="40" t="s">
        <v>18</v>
      </c>
      <c r="J4593" s="40" t="str">
        <f>HYPERLINK("https://stock.pstatic.net/stock-research/company/64/20260227_company_628014000.pdf","PDF")</f>
        <v>PDF</v>
      </c>
      <c r="K4593" s="12" t="s">
        <v>6536</v>
      </c>
      <c r="L4593" s="20">
        <v>0.35071090047393372</v>
      </c>
    </row>
    <row r="4594" spans="1:12" x14ac:dyDescent="0.45">
      <c r="A4594" s="12" t="s">
        <v>6494</v>
      </c>
      <c r="B4594" s="12" t="s">
        <v>1459</v>
      </c>
      <c r="C4594" s="13" t="s">
        <v>1460</v>
      </c>
      <c r="D4594" s="13" t="s">
        <v>23</v>
      </c>
      <c r="E4594" s="12" t="s">
        <v>16</v>
      </c>
      <c r="F4594" s="14">
        <v>480000</v>
      </c>
      <c r="G4594" s="14">
        <v>421000</v>
      </c>
      <c r="H4594" s="13" t="s">
        <v>6537</v>
      </c>
      <c r="I4594" s="40" t="s">
        <v>18</v>
      </c>
      <c r="J4594" s="40" t="str">
        <f>HYPERLINK("https://stock.pstatic.net/stock-research/company/21/20260227_company_49759000.pdf","PDF")</f>
        <v>PDF</v>
      </c>
      <c r="K4594" s="12" t="s">
        <v>6538</v>
      </c>
      <c r="L4594" s="20">
        <v>0.14014251781472681</v>
      </c>
    </row>
    <row r="4595" spans="1:12" x14ac:dyDescent="0.45">
      <c r="A4595" s="12" t="s">
        <v>6494</v>
      </c>
      <c r="B4595" s="12" t="s">
        <v>1140</v>
      </c>
      <c r="C4595" s="13" t="s">
        <v>1141</v>
      </c>
      <c r="D4595" s="13" t="s">
        <v>53</v>
      </c>
      <c r="E4595" s="12" t="s">
        <v>16</v>
      </c>
      <c r="F4595" s="14">
        <v>77000</v>
      </c>
      <c r="G4595" s="14">
        <v>63300</v>
      </c>
      <c r="H4595" s="13" t="s">
        <v>6539</v>
      </c>
      <c r="I4595" s="40" t="s">
        <v>18</v>
      </c>
      <c r="J4595" s="40" t="str">
        <f>HYPERLINK("https://stock.pstatic.net/stock-research/company/40/20260227_company_791538000.pdf","PDF")</f>
        <v>PDF</v>
      </c>
      <c r="K4595" s="12" t="s">
        <v>6540</v>
      </c>
      <c r="L4595" s="20">
        <v>0.21642969984202209</v>
      </c>
    </row>
    <row r="4596" spans="1:12" x14ac:dyDescent="0.45">
      <c r="A4596" s="12" t="s">
        <v>6494</v>
      </c>
      <c r="B4596" s="12" t="s">
        <v>6541</v>
      </c>
      <c r="C4596" s="13" t="s">
        <v>6542</v>
      </c>
      <c r="D4596" s="13" t="s">
        <v>179</v>
      </c>
      <c r="E4596" s="12" t="s">
        <v>50</v>
      </c>
      <c r="F4596" s="13"/>
      <c r="G4596" s="14">
        <v>80500</v>
      </c>
      <c r="H4596" s="13" t="s">
        <v>6543</v>
      </c>
      <c r="I4596" s="40" t="s">
        <v>18</v>
      </c>
      <c r="J4596" s="40" t="str">
        <f>HYPERLINK("https://stock.pstatic.net/stock-research/company/64/20260227_company_984891000.pdf","PDF")</f>
        <v>PDF</v>
      </c>
      <c r="K4596" s="12" t="s">
        <v>6544</v>
      </c>
    </row>
    <row r="4597" spans="1:12" x14ac:dyDescent="0.45">
      <c r="A4597" s="12" t="s">
        <v>6494</v>
      </c>
      <c r="B4597" s="12" t="s">
        <v>6545</v>
      </c>
      <c r="C4597" s="13" t="s">
        <v>6546</v>
      </c>
      <c r="D4597" s="13" t="s">
        <v>23</v>
      </c>
      <c r="E4597" s="12" t="s">
        <v>16</v>
      </c>
      <c r="F4597" s="14">
        <v>21000</v>
      </c>
      <c r="G4597" s="14">
        <v>16140</v>
      </c>
      <c r="H4597" s="13" t="s">
        <v>6547</v>
      </c>
      <c r="I4597" s="40" t="s">
        <v>18</v>
      </c>
      <c r="J4597" s="40" t="str">
        <f>HYPERLINK("https://stock.pstatic.net/stock-research/company/21/20260227_company_226670000.pdf","PDF")</f>
        <v>PDF</v>
      </c>
      <c r="K4597" s="12" t="s">
        <v>6548</v>
      </c>
      <c r="L4597" s="20">
        <v>0.30111524163568781</v>
      </c>
    </row>
    <row r="4598" spans="1:12" x14ac:dyDescent="0.45">
      <c r="A4598" s="12" t="s">
        <v>6494</v>
      </c>
      <c r="B4598" s="12" t="s">
        <v>4352</v>
      </c>
      <c r="C4598" s="13" t="s">
        <v>4353</v>
      </c>
      <c r="D4598" s="13" t="s">
        <v>23</v>
      </c>
      <c r="E4598" s="12" t="s">
        <v>16</v>
      </c>
      <c r="F4598" s="14">
        <v>17000</v>
      </c>
      <c r="G4598" s="14">
        <v>12070</v>
      </c>
      <c r="H4598" s="13" t="s">
        <v>6549</v>
      </c>
      <c r="I4598" s="40" t="s">
        <v>18</v>
      </c>
      <c r="J4598" s="40" t="str">
        <f>HYPERLINK("https://stock.pstatic.net/stock-research/company/21/20260227_company_260204000.pdf","PDF")</f>
        <v>PDF</v>
      </c>
      <c r="K4598" s="12" t="s">
        <v>6550</v>
      </c>
      <c r="L4598" s="20">
        <v>0.40845070422535212</v>
      </c>
    </row>
    <row r="4599" spans="1:12" x14ac:dyDescent="0.45">
      <c r="A4599" s="12" t="s">
        <v>6494</v>
      </c>
      <c r="B4599" s="12" t="s">
        <v>1208</v>
      </c>
      <c r="C4599" s="13" t="s">
        <v>1209</v>
      </c>
      <c r="D4599" s="13" t="s">
        <v>179</v>
      </c>
      <c r="E4599" s="12" t="s">
        <v>16</v>
      </c>
      <c r="F4599" s="14">
        <v>100000</v>
      </c>
      <c r="G4599" s="14">
        <v>75800</v>
      </c>
      <c r="H4599" s="13" t="s">
        <v>6551</v>
      </c>
      <c r="I4599" s="40" t="s">
        <v>18</v>
      </c>
      <c r="J4599" s="40" t="str">
        <f>HYPERLINK("https://stock.pstatic.net/stock-research/company/64/20260227_company_194785000.pdf","PDF")</f>
        <v>PDF</v>
      </c>
      <c r="K4599" s="12" t="s">
        <v>6552</v>
      </c>
      <c r="L4599" s="20">
        <v>0.31926121372031657</v>
      </c>
    </row>
    <row r="4600" spans="1:12" x14ac:dyDescent="0.45">
      <c r="A4600" s="12" t="s">
        <v>6494</v>
      </c>
      <c r="B4600" s="12" t="s">
        <v>1140</v>
      </c>
      <c r="C4600" s="13" t="s">
        <v>1141</v>
      </c>
      <c r="D4600" s="13" t="s">
        <v>92</v>
      </c>
      <c r="E4600" s="12" t="s">
        <v>35</v>
      </c>
      <c r="F4600" s="14">
        <v>92000</v>
      </c>
      <c r="G4600" s="14">
        <v>63300</v>
      </c>
      <c r="H4600" s="13" t="s">
        <v>6553</v>
      </c>
      <c r="I4600" s="40" t="s">
        <v>18</v>
      </c>
      <c r="J4600" s="40" t="str">
        <f>HYPERLINK("https://stock.pstatic.net/stock-research/company/63/20260227_company_412774000.pdf","PDF")</f>
        <v>PDF</v>
      </c>
      <c r="K4600" s="12" t="s">
        <v>6554</v>
      </c>
      <c r="L4600" s="20">
        <v>0.45339652448657192</v>
      </c>
    </row>
    <row r="4601" spans="1:12" x14ac:dyDescent="0.45">
      <c r="A4601" s="12" t="s">
        <v>6494</v>
      </c>
      <c r="B4601" s="12" t="s">
        <v>565</v>
      </c>
      <c r="C4601" s="13" t="s">
        <v>566</v>
      </c>
      <c r="D4601" s="13" t="s">
        <v>15</v>
      </c>
      <c r="E4601" s="12" t="s">
        <v>16</v>
      </c>
      <c r="F4601" s="14">
        <v>45000</v>
      </c>
      <c r="G4601" s="14">
        <v>33500</v>
      </c>
      <c r="H4601" s="13" t="s">
        <v>6555</v>
      </c>
      <c r="I4601" s="40" t="s">
        <v>18</v>
      </c>
      <c r="J4601" s="40" t="str">
        <f>HYPERLINK("https://stock.pstatic.net/stock-research/company/56/20260227_company_74068000.pdf","PDF")</f>
        <v>PDF</v>
      </c>
      <c r="K4601" s="12" t="s">
        <v>6556</v>
      </c>
      <c r="L4601" s="20">
        <v>0.34328358208955218</v>
      </c>
    </row>
    <row r="4602" spans="1:12" x14ac:dyDescent="0.45">
      <c r="A4602" s="12" t="s">
        <v>6494</v>
      </c>
      <c r="B4602" s="12" t="s">
        <v>1140</v>
      </c>
      <c r="C4602" s="13" t="s">
        <v>1141</v>
      </c>
      <c r="D4602" s="13" t="s">
        <v>23</v>
      </c>
      <c r="E4602" s="12" t="s">
        <v>50</v>
      </c>
      <c r="F4602" s="14">
        <v>60000</v>
      </c>
      <c r="G4602" s="14">
        <v>63300</v>
      </c>
      <c r="H4602" s="13" t="s">
        <v>6557</v>
      </c>
      <c r="I4602" s="40" t="s">
        <v>18</v>
      </c>
      <c r="J4602" s="40" t="str">
        <f>HYPERLINK("https://stock.pstatic.net/stock-research/company/21/20260227_company_638336000.pdf","PDF")</f>
        <v>PDF</v>
      </c>
      <c r="K4602" s="12" t="s">
        <v>6558</v>
      </c>
      <c r="L4602" s="20">
        <v>-5.2132701421800938E-2</v>
      </c>
    </row>
    <row r="4603" spans="1:12" x14ac:dyDescent="0.45">
      <c r="A4603" s="12" t="s">
        <v>6494</v>
      </c>
      <c r="B4603" s="12" t="s">
        <v>1734</v>
      </c>
      <c r="C4603" s="13" t="s">
        <v>1735</v>
      </c>
      <c r="D4603" s="13" t="s">
        <v>23</v>
      </c>
      <c r="E4603" s="12" t="s">
        <v>50</v>
      </c>
      <c r="F4603" s="14">
        <v>40000</v>
      </c>
      <c r="G4603" s="14">
        <v>43900</v>
      </c>
      <c r="H4603" s="13" t="s">
        <v>6559</v>
      </c>
      <c r="I4603" s="40" t="s">
        <v>18</v>
      </c>
      <c r="J4603" s="40" t="str">
        <f>HYPERLINK("https://stock.pstatic.net/stock-research/company/21/20260227_company_711811000.pdf","PDF")</f>
        <v>PDF</v>
      </c>
      <c r="K4603" s="12" t="s">
        <v>6560</v>
      </c>
      <c r="L4603" s="20">
        <v>-8.8838268792710701E-2</v>
      </c>
    </row>
    <row r="4604" spans="1:12" x14ac:dyDescent="0.45">
      <c r="A4604" s="12" t="s">
        <v>6494</v>
      </c>
      <c r="B4604" s="12" t="s">
        <v>661</v>
      </c>
      <c r="C4604" s="13" t="s">
        <v>662</v>
      </c>
      <c r="D4604" s="13" t="s">
        <v>23</v>
      </c>
      <c r="E4604" s="12" t="s">
        <v>16</v>
      </c>
      <c r="F4604" s="14">
        <v>24000</v>
      </c>
      <c r="G4604" s="14">
        <v>18500</v>
      </c>
      <c r="H4604" s="13" t="s">
        <v>6561</v>
      </c>
      <c r="I4604" s="40" t="s">
        <v>18</v>
      </c>
      <c r="J4604" s="40" t="str">
        <f>HYPERLINK("https://stock.pstatic.net/stock-research/company/21/20260227_company_996149000.pdf","PDF")</f>
        <v>PDF</v>
      </c>
      <c r="K4604" s="12" t="s">
        <v>6562</v>
      </c>
      <c r="L4604" s="20">
        <v>0.29729729729729731</v>
      </c>
    </row>
    <row r="4605" spans="1:12" x14ac:dyDescent="0.45">
      <c r="A4605" s="12" t="s">
        <v>6494</v>
      </c>
      <c r="B4605" s="12" t="s">
        <v>2346</v>
      </c>
      <c r="C4605" s="13" t="s">
        <v>2347</v>
      </c>
      <c r="D4605" s="13" t="s">
        <v>179</v>
      </c>
      <c r="E4605" s="12" t="s">
        <v>16</v>
      </c>
      <c r="F4605" s="14">
        <v>140000</v>
      </c>
      <c r="G4605" s="14">
        <v>114800</v>
      </c>
      <c r="H4605" s="13" t="s">
        <v>6563</v>
      </c>
      <c r="I4605" s="40" t="s">
        <v>18</v>
      </c>
      <c r="J4605" s="40" t="str">
        <f>HYPERLINK("https://stock.pstatic.net/stock-research/company/64/20260227_company_966114000.pdf","PDF")</f>
        <v>PDF</v>
      </c>
      <c r="K4605" s="12" t="s">
        <v>6564</v>
      </c>
      <c r="L4605" s="20">
        <v>0.21951219512195119</v>
      </c>
    </row>
    <row r="4606" spans="1:12" x14ac:dyDescent="0.45">
      <c r="A4606" s="12" t="s">
        <v>6494</v>
      </c>
      <c r="B4606" s="12" t="s">
        <v>370</v>
      </c>
      <c r="C4606" s="13" t="s">
        <v>371</v>
      </c>
      <c r="D4606" s="13" t="s">
        <v>34</v>
      </c>
      <c r="E4606" s="12" t="s">
        <v>35</v>
      </c>
      <c r="F4606" s="14">
        <v>93000</v>
      </c>
      <c r="G4606" s="14">
        <v>71300</v>
      </c>
      <c r="H4606" s="13" t="s">
        <v>6565</v>
      </c>
      <c r="I4606" s="40" t="s">
        <v>18</v>
      </c>
      <c r="J4606" s="40" t="str">
        <f>HYPERLINK("https://stock.pstatic.net/stock-research/company/61/20260227_company_316065000.pdf","PDF")</f>
        <v>PDF</v>
      </c>
      <c r="K4606" s="12" t="s">
        <v>6566</v>
      </c>
      <c r="L4606" s="20">
        <v>0.30434782608695649</v>
      </c>
    </row>
    <row r="4607" spans="1:12" x14ac:dyDescent="0.45">
      <c r="A4607" s="12" t="s">
        <v>6494</v>
      </c>
      <c r="B4607" s="12" t="s">
        <v>370</v>
      </c>
      <c r="C4607" s="13" t="s">
        <v>371</v>
      </c>
      <c r="D4607" s="13" t="s">
        <v>92</v>
      </c>
      <c r="E4607" s="12" t="s">
        <v>35</v>
      </c>
      <c r="F4607" s="14">
        <v>90000</v>
      </c>
      <c r="G4607" s="14">
        <v>71300</v>
      </c>
      <c r="H4607" s="13" t="s">
        <v>6567</v>
      </c>
      <c r="I4607" s="40" t="s">
        <v>18</v>
      </c>
      <c r="J4607" s="40" t="str">
        <f>HYPERLINK("https://stock.pstatic.net/stock-research/company/63/20260227_company_239589000.pdf","PDF")</f>
        <v>PDF</v>
      </c>
      <c r="K4607" s="12" t="s">
        <v>6568</v>
      </c>
      <c r="L4607" s="20">
        <v>0.26227208976157079</v>
      </c>
    </row>
    <row r="4608" spans="1:12" x14ac:dyDescent="0.45">
      <c r="A4608" s="12" t="s">
        <v>6494</v>
      </c>
      <c r="B4608" s="12" t="s">
        <v>985</v>
      </c>
      <c r="C4608" s="13" t="s">
        <v>986</v>
      </c>
      <c r="D4608" s="13" t="s">
        <v>92</v>
      </c>
      <c r="E4608" s="12" t="s">
        <v>35</v>
      </c>
      <c r="F4608" s="14">
        <v>7000</v>
      </c>
      <c r="G4608" s="14">
        <v>5080</v>
      </c>
      <c r="H4608" s="13" t="s">
        <v>6569</v>
      </c>
      <c r="I4608" s="40" t="s">
        <v>18</v>
      </c>
      <c r="J4608" s="40" t="str">
        <f>HYPERLINK("https://stock.pstatic.net/stock-research/company/63/20260227_company_212395000.pdf","PDF")</f>
        <v>PDF</v>
      </c>
      <c r="K4608" s="12" t="s">
        <v>6570</v>
      </c>
      <c r="L4608" s="20">
        <v>0.37795275590551181</v>
      </c>
    </row>
    <row r="4609" spans="1:12" x14ac:dyDescent="0.45">
      <c r="A4609" s="12" t="s">
        <v>6494</v>
      </c>
      <c r="B4609" s="12" t="s">
        <v>698</v>
      </c>
      <c r="C4609" s="13" t="s">
        <v>699</v>
      </c>
      <c r="D4609" s="13" t="s">
        <v>179</v>
      </c>
      <c r="E4609" s="12" t="s">
        <v>16</v>
      </c>
      <c r="F4609" s="14">
        <v>530000</v>
      </c>
      <c r="G4609" s="14">
        <v>422500</v>
      </c>
      <c r="H4609" s="13" t="s">
        <v>6571</v>
      </c>
      <c r="I4609" s="40" t="s">
        <v>18</v>
      </c>
      <c r="J4609" s="40" t="str">
        <f>HYPERLINK("https://stock.pstatic.net/stock-research/company/64/20260227_company_756412000.pdf","PDF")</f>
        <v>PDF</v>
      </c>
      <c r="K4609" s="12" t="s">
        <v>6572</v>
      </c>
      <c r="L4609" s="20">
        <v>0.25443786982248517</v>
      </c>
    </row>
    <row r="4610" spans="1:12" x14ac:dyDescent="0.45">
      <c r="A4610" s="12" t="s">
        <v>6494</v>
      </c>
      <c r="B4610" s="12" t="s">
        <v>1140</v>
      </c>
      <c r="C4610" s="13" t="s">
        <v>1141</v>
      </c>
      <c r="D4610" s="13" t="s">
        <v>44</v>
      </c>
      <c r="E4610" s="12" t="s">
        <v>45</v>
      </c>
      <c r="F4610" s="14">
        <v>70000</v>
      </c>
      <c r="G4610" s="14">
        <v>63300</v>
      </c>
      <c r="H4610" s="13" t="s">
        <v>6573</v>
      </c>
      <c r="I4610" s="40" t="s">
        <v>18</v>
      </c>
      <c r="J4610" s="40" t="str">
        <f>HYPERLINK("https://stock.pstatic.net/stock-research/company/39/20260227_company_237892000.pdf","PDF")</f>
        <v>PDF</v>
      </c>
      <c r="K4610" s="12" t="s">
        <v>6574</v>
      </c>
      <c r="L4610" s="20">
        <v>0.10584518167456559</v>
      </c>
    </row>
    <row r="4611" spans="1:12" x14ac:dyDescent="0.45">
      <c r="A4611" s="12" t="s">
        <v>6494</v>
      </c>
      <c r="B4611" s="12" t="s">
        <v>6575</v>
      </c>
      <c r="C4611" s="13" t="s">
        <v>6576</v>
      </c>
      <c r="D4611" s="13" t="s">
        <v>44</v>
      </c>
      <c r="E4611" s="12" t="s">
        <v>35</v>
      </c>
      <c r="F4611" s="14">
        <v>2700</v>
      </c>
      <c r="G4611" s="14">
        <v>2135</v>
      </c>
      <c r="H4611" s="13" t="s">
        <v>6577</v>
      </c>
      <c r="I4611" s="40" t="s">
        <v>18</v>
      </c>
      <c r="J4611" s="40" t="str">
        <f>HYPERLINK("https://stock.pstatic.net/stock-research/company/39/20260227_company_370974000.pdf","PDF")</f>
        <v>PDF</v>
      </c>
      <c r="K4611" s="12" t="s">
        <v>6578</v>
      </c>
      <c r="L4611" s="20">
        <v>0.26463700234192039</v>
      </c>
    </row>
    <row r="4612" spans="1:12" x14ac:dyDescent="0.45">
      <c r="A4612" s="12" t="s">
        <v>6494</v>
      </c>
      <c r="B4612" s="12" t="s">
        <v>6579</v>
      </c>
      <c r="C4612" s="13" t="s">
        <v>6580</v>
      </c>
      <c r="D4612" s="13" t="s">
        <v>15</v>
      </c>
      <c r="E4612" s="12" t="s">
        <v>16</v>
      </c>
      <c r="F4612" s="14">
        <v>70000</v>
      </c>
      <c r="G4612" s="14">
        <v>54300</v>
      </c>
      <c r="H4612" s="13" t="s">
        <v>6581</v>
      </c>
      <c r="I4612" s="40" t="s">
        <v>18</v>
      </c>
      <c r="J4612" s="40" t="str">
        <f>HYPERLINK("https://stock.pstatic.net/stock-research/company/56/20260227_company_690257000.pdf","PDF")</f>
        <v>PDF</v>
      </c>
      <c r="K4612" s="12" t="s">
        <v>6582</v>
      </c>
      <c r="L4612" s="20">
        <v>0.28913443830570901</v>
      </c>
    </row>
    <row r="4613" spans="1:12" x14ac:dyDescent="0.45">
      <c r="A4613" s="12" t="s">
        <v>6494</v>
      </c>
      <c r="B4613" s="12" t="s">
        <v>6583</v>
      </c>
      <c r="C4613" s="13" t="s">
        <v>6584</v>
      </c>
      <c r="D4613" s="13" t="s">
        <v>124</v>
      </c>
      <c r="E4613" s="12" t="s">
        <v>50</v>
      </c>
      <c r="F4613" s="13"/>
      <c r="G4613" s="13"/>
      <c r="H4613" s="13" t="s">
        <v>6585</v>
      </c>
      <c r="I4613" s="40" t="s">
        <v>18</v>
      </c>
      <c r="J4613" s="40" t="str">
        <f>HYPERLINK("https://stock.pstatic.net/stock-research/company/74/20260227_company_886480000.pdf","PDF")</f>
        <v>PDF</v>
      </c>
      <c r="K4613" s="12" t="s">
        <v>6586</v>
      </c>
    </row>
    <row r="4614" spans="1:12" x14ac:dyDescent="0.45">
      <c r="A4614" s="12" t="s">
        <v>6494</v>
      </c>
      <c r="B4614" s="12" t="s">
        <v>450</v>
      </c>
      <c r="C4614" s="13" t="s">
        <v>451</v>
      </c>
      <c r="D4614" s="13" t="s">
        <v>15</v>
      </c>
      <c r="E4614" s="12" t="s">
        <v>385</v>
      </c>
      <c r="F4614" s="14">
        <v>290000</v>
      </c>
      <c r="G4614" s="14">
        <v>269000</v>
      </c>
      <c r="H4614" s="13" t="s">
        <v>6587</v>
      </c>
      <c r="I4614" s="40" t="s">
        <v>18</v>
      </c>
      <c r="J4614" s="40" t="str">
        <f>HYPERLINK("https://stock.pstatic.net/stock-research/company/56/20260227_company_55302000.pdf","PDF")</f>
        <v>PDF</v>
      </c>
      <c r="K4614" s="12" t="s">
        <v>6588</v>
      </c>
      <c r="L4614" s="20">
        <v>7.8066914498141265E-2</v>
      </c>
    </row>
    <row r="4615" spans="1:12" x14ac:dyDescent="0.45">
      <c r="A4615" s="12" t="s">
        <v>6494</v>
      </c>
      <c r="B4615" s="12" t="s">
        <v>728</v>
      </c>
      <c r="C4615" s="13" t="s">
        <v>729</v>
      </c>
      <c r="D4615" s="13" t="s">
        <v>15</v>
      </c>
      <c r="E4615" s="12" t="s">
        <v>16</v>
      </c>
      <c r="F4615" s="14">
        <v>155000</v>
      </c>
      <c r="G4615" s="14">
        <v>94700</v>
      </c>
      <c r="H4615" s="13" t="s">
        <v>6589</v>
      </c>
      <c r="I4615" s="40" t="s">
        <v>18</v>
      </c>
      <c r="J4615" s="40" t="str">
        <f>HYPERLINK("https://stock.pstatic.net/stock-research/company/56/20260227_company_93847000.pdf","PDF")</f>
        <v>PDF</v>
      </c>
      <c r="K4615" s="12" t="s">
        <v>6590</v>
      </c>
      <c r="L4615" s="20">
        <v>0.63674762407602958</v>
      </c>
    </row>
    <row r="4616" spans="1:12" x14ac:dyDescent="0.45">
      <c r="A4616" s="12" t="s">
        <v>6494</v>
      </c>
      <c r="B4616" s="12" t="s">
        <v>1540</v>
      </c>
      <c r="C4616" s="13" t="s">
        <v>1541</v>
      </c>
      <c r="D4616" s="13" t="s">
        <v>15</v>
      </c>
      <c r="E4616" s="12" t="s">
        <v>385</v>
      </c>
      <c r="F4616" s="14">
        <v>64000</v>
      </c>
      <c r="G4616" s="14">
        <v>62000</v>
      </c>
      <c r="H4616" s="13" t="s">
        <v>6591</v>
      </c>
      <c r="I4616" s="40" t="s">
        <v>18</v>
      </c>
      <c r="J4616" s="40" t="str">
        <f>HYPERLINK("https://stock.pstatic.net/stock-research/company/56/20260227_company_76124000.pdf","PDF")</f>
        <v>PDF</v>
      </c>
      <c r="K4616" s="12" t="s">
        <v>6592</v>
      </c>
      <c r="L4616" s="20">
        <v>3.2258064516129031E-2</v>
      </c>
    </row>
    <row r="4617" spans="1:12" x14ac:dyDescent="0.45">
      <c r="A4617" s="12" t="s">
        <v>6494</v>
      </c>
      <c r="B4617" s="12" t="s">
        <v>6593</v>
      </c>
      <c r="C4617" s="13" t="s">
        <v>6594</v>
      </c>
      <c r="D4617" s="13" t="s">
        <v>124</v>
      </c>
      <c r="E4617" s="12" t="s">
        <v>50</v>
      </c>
      <c r="F4617" s="13"/>
      <c r="G4617" s="14">
        <v>9680</v>
      </c>
      <c r="H4617" s="13" t="s">
        <v>6595</v>
      </c>
      <c r="I4617" s="40" t="s">
        <v>18</v>
      </c>
      <c r="J4617" s="40" t="str">
        <f>HYPERLINK("https://stock.pstatic.net/stock-research/company/74/20260227_company_554373000.pdf","PDF")</f>
        <v>PDF</v>
      </c>
      <c r="K4617" s="12" t="s">
        <v>6596</v>
      </c>
    </row>
    <row r="4618" spans="1:12" x14ac:dyDescent="0.45">
      <c r="A4618" s="12" t="s">
        <v>6494</v>
      </c>
      <c r="B4618" s="12" t="s">
        <v>6597</v>
      </c>
      <c r="C4618" s="13" t="s">
        <v>6598</v>
      </c>
      <c r="D4618" s="13" t="s">
        <v>124</v>
      </c>
      <c r="E4618" s="12" t="s">
        <v>50</v>
      </c>
      <c r="F4618" s="13"/>
      <c r="G4618" s="14">
        <v>1481</v>
      </c>
      <c r="H4618" s="13" t="s">
        <v>6599</v>
      </c>
      <c r="I4618" s="40" t="s">
        <v>18</v>
      </c>
      <c r="J4618" s="40" t="str">
        <f>HYPERLINK("https://stock.pstatic.net/stock-research/company/74/20260227_company_697776000.pdf","PDF")</f>
        <v>PDF</v>
      </c>
      <c r="K4618" s="12" t="s">
        <v>6600</v>
      </c>
    </row>
    <row r="4619" spans="1:12" x14ac:dyDescent="0.45">
      <c r="A4619" s="12" t="s">
        <v>6601</v>
      </c>
      <c r="B4619" s="12" t="s">
        <v>1562</v>
      </c>
      <c r="C4619" s="13" t="s">
        <v>1563</v>
      </c>
      <c r="D4619" s="13" t="s">
        <v>23</v>
      </c>
      <c r="E4619" s="12" t="s">
        <v>16</v>
      </c>
      <c r="F4619" s="14">
        <v>35000</v>
      </c>
      <c r="G4619" s="14">
        <v>22800</v>
      </c>
      <c r="H4619" s="13" t="s">
        <v>6602</v>
      </c>
      <c r="I4619" s="40" t="s">
        <v>18</v>
      </c>
      <c r="J4619" s="40" t="str">
        <f>HYPERLINK("https://stock.pstatic.net/stock-research/company/21/20260226_company_612653000.pdf","PDF")</f>
        <v>PDF</v>
      </c>
      <c r="K4619" s="12" t="s">
        <v>6603</v>
      </c>
      <c r="L4619" s="20">
        <v>0.53508771929824561</v>
      </c>
    </row>
    <row r="4620" spans="1:12" x14ac:dyDescent="0.45">
      <c r="A4620" s="12" t="s">
        <v>6601</v>
      </c>
      <c r="B4620" s="12" t="s">
        <v>876</v>
      </c>
      <c r="C4620" s="13" t="s">
        <v>877</v>
      </c>
      <c r="D4620" s="13" t="s">
        <v>15</v>
      </c>
      <c r="E4620" s="12" t="s">
        <v>50</v>
      </c>
      <c r="F4620" s="13"/>
      <c r="G4620" s="14">
        <v>31800</v>
      </c>
      <c r="H4620" s="13" t="s">
        <v>6604</v>
      </c>
      <c r="I4620" s="40" t="s">
        <v>18</v>
      </c>
      <c r="J4620" s="40" t="str">
        <f>HYPERLINK("https://stock.pstatic.net/stock-research/company/56/20260226_company_536277000.pdf","PDF")</f>
        <v>PDF</v>
      </c>
      <c r="K4620" s="12" t="s">
        <v>6605</v>
      </c>
    </row>
    <row r="4621" spans="1:12" x14ac:dyDescent="0.45">
      <c r="A4621" s="12" t="s">
        <v>6601</v>
      </c>
      <c r="B4621" s="12" t="s">
        <v>2312</v>
      </c>
      <c r="C4621" s="13" t="s">
        <v>2313</v>
      </c>
      <c r="D4621" s="13" t="s">
        <v>15</v>
      </c>
      <c r="E4621" s="12" t="s">
        <v>16</v>
      </c>
      <c r="F4621" s="14">
        <v>44000</v>
      </c>
      <c r="G4621" s="14">
        <v>27000</v>
      </c>
      <c r="H4621" s="13" t="s">
        <v>6606</v>
      </c>
      <c r="I4621" s="40" t="s">
        <v>18</v>
      </c>
      <c r="J4621" s="40" t="str">
        <f>HYPERLINK("https://stock.pstatic.net/stock-research/company/56/20260226_company_562302000.pdf","PDF")</f>
        <v>PDF</v>
      </c>
      <c r="K4621" s="12" t="s">
        <v>6607</v>
      </c>
      <c r="L4621" s="20">
        <v>0.62962962962962965</v>
      </c>
    </row>
    <row r="4622" spans="1:12" x14ac:dyDescent="0.45">
      <c r="A4622" s="12" t="s">
        <v>6601</v>
      </c>
      <c r="B4622" s="12" t="s">
        <v>756</v>
      </c>
      <c r="C4622" s="13" t="s">
        <v>757</v>
      </c>
      <c r="D4622" s="13" t="s">
        <v>15</v>
      </c>
      <c r="E4622" s="12" t="s">
        <v>16</v>
      </c>
      <c r="F4622" s="14">
        <v>95000</v>
      </c>
      <c r="G4622" s="14">
        <v>71600</v>
      </c>
      <c r="H4622" s="13" t="s">
        <v>6608</v>
      </c>
      <c r="I4622" s="40" t="s">
        <v>18</v>
      </c>
      <c r="J4622" s="40" t="str">
        <f>HYPERLINK("https://stock.pstatic.net/stock-research/company/56/20260226_company_243681000.pdf","PDF")</f>
        <v>PDF</v>
      </c>
      <c r="K4622" s="12" t="s">
        <v>6609</v>
      </c>
      <c r="L4622" s="20">
        <v>0.32681564245810057</v>
      </c>
    </row>
    <row r="4623" spans="1:12" x14ac:dyDescent="0.45">
      <c r="A4623" s="12" t="s">
        <v>6601</v>
      </c>
      <c r="B4623" s="12" t="s">
        <v>1765</v>
      </c>
      <c r="C4623" s="13" t="s">
        <v>1766</v>
      </c>
      <c r="D4623" s="13" t="s">
        <v>57</v>
      </c>
      <c r="E4623" s="12" t="s">
        <v>35</v>
      </c>
      <c r="F4623" s="14">
        <v>240000</v>
      </c>
      <c r="G4623" s="14">
        <v>196100</v>
      </c>
      <c r="H4623" s="13" t="s">
        <v>6610</v>
      </c>
      <c r="I4623" s="40" t="s">
        <v>18</v>
      </c>
      <c r="J4623" s="40" t="str">
        <f>HYPERLINK("https://m.stock.naver.com/research/company/90709","PDF")</f>
        <v>PDF</v>
      </c>
      <c r="K4623" s="12" t="s">
        <v>6611</v>
      </c>
      <c r="L4623" s="20">
        <v>0.223865374808771</v>
      </c>
    </row>
    <row r="4624" spans="1:12" x14ac:dyDescent="0.45">
      <c r="A4624" s="12" t="s">
        <v>6601</v>
      </c>
      <c r="B4624" s="12" t="s">
        <v>1120</v>
      </c>
      <c r="C4624" s="13" t="s">
        <v>1121</v>
      </c>
      <c r="D4624" s="13" t="s">
        <v>57</v>
      </c>
      <c r="E4624" s="12" t="s">
        <v>35</v>
      </c>
      <c r="F4624" s="14">
        <v>180000</v>
      </c>
      <c r="G4624" s="14">
        <v>141000</v>
      </c>
      <c r="H4624" s="13" t="s">
        <v>6612</v>
      </c>
      <c r="I4624" s="40" t="s">
        <v>18</v>
      </c>
      <c r="J4624" s="40" t="str">
        <f>HYPERLINK("https://stock.pstatic.net/stock-research/company/16/20260226_company_153502000.pdf","PDF")</f>
        <v>PDF</v>
      </c>
      <c r="K4624" s="12" t="s">
        <v>6613</v>
      </c>
      <c r="L4624" s="20">
        <v>0.27659574468085107</v>
      </c>
    </row>
    <row r="4625" spans="1:12" x14ac:dyDescent="0.45">
      <c r="A4625" s="12" t="s">
        <v>6601</v>
      </c>
      <c r="B4625" s="12" t="s">
        <v>6614</v>
      </c>
      <c r="C4625" s="13" t="s">
        <v>6615</v>
      </c>
      <c r="D4625" s="13" t="s">
        <v>276</v>
      </c>
      <c r="E4625" s="12" t="s">
        <v>16</v>
      </c>
      <c r="F4625" s="14">
        <v>9900</v>
      </c>
      <c r="G4625" s="14">
        <v>7210</v>
      </c>
      <c r="H4625" s="13" t="s">
        <v>6616</v>
      </c>
      <c r="I4625" s="40" t="s">
        <v>18</v>
      </c>
      <c r="J4625" s="40" t="str">
        <f>HYPERLINK("https://stock.pstatic.net/stock-research/company/66/20260226_company_874536000.pdf","PDF")</f>
        <v>PDF</v>
      </c>
      <c r="K4625" s="12" t="s">
        <v>6617</v>
      </c>
      <c r="L4625" s="20">
        <v>0.37309292649098469</v>
      </c>
    </row>
    <row r="4626" spans="1:12" x14ac:dyDescent="0.45">
      <c r="A4626" s="12" t="s">
        <v>6601</v>
      </c>
      <c r="B4626" s="12" t="s">
        <v>740</v>
      </c>
      <c r="C4626" s="13" t="s">
        <v>741</v>
      </c>
      <c r="D4626" s="13" t="s">
        <v>60</v>
      </c>
      <c r="E4626" s="12" t="s">
        <v>35</v>
      </c>
      <c r="F4626" s="14">
        <v>370000</v>
      </c>
      <c r="G4626" s="14">
        <v>287500</v>
      </c>
      <c r="H4626" s="13" t="s">
        <v>6618</v>
      </c>
      <c r="I4626" s="40" t="s">
        <v>18</v>
      </c>
      <c r="J4626" s="40" t="str">
        <f>HYPERLINK("https://m.stock.naver.com/research/company/90706","PDF")</f>
        <v>PDF</v>
      </c>
      <c r="K4626" s="12" t="s">
        <v>6619</v>
      </c>
      <c r="L4626" s="20">
        <v>0.28695652173913039</v>
      </c>
    </row>
    <row r="4627" spans="1:12" x14ac:dyDescent="0.45">
      <c r="A4627" s="12" t="s">
        <v>6601</v>
      </c>
      <c r="B4627" s="12" t="s">
        <v>63</v>
      </c>
      <c r="C4627" s="13" t="s">
        <v>64</v>
      </c>
      <c r="D4627" s="13" t="s">
        <v>60</v>
      </c>
      <c r="E4627" s="12" t="s">
        <v>35</v>
      </c>
      <c r="F4627" s="14">
        <v>700000</v>
      </c>
      <c r="G4627" s="14">
        <v>591000</v>
      </c>
      <c r="H4627" s="13" t="s">
        <v>6620</v>
      </c>
      <c r="I4627" s="40" t="s">
        <v>18</v>
      </c>
      <c r="J4627" s="40" t="str">
        <f>HYPERLINK("https://stock.pstatic.net/stock-research/company/62/20260226_company_434496000.pdf","PDF")</f>
        <v>PDF</v>
      </c>
      <c r="K4627" s="12" t="s">
        <v>6621</v>
      </c>
      <c r="L4627" s="20">
        <v>0.18443316412859559</v>
      </c>
    </row>
    <row r="4628" spans="1:12" x14ac:dyDescent="0.45">
      <c r="A4628" s="12" t="s">
        <v>6601</v>
      </c>
      <c r="B4628" s="12" t="s">
        <v>1120</v>
      </c>
      <c r="C4628" s="13" t="s">
        <v>1121</v>
      </c>
      <c r="D4628" s="13" t="s">
        <v>60</v>
      </c>
      <c r="E4628" s="12" t="s">
        <v>35</v>
      </c>
      <c r="F4628" s="14">
        <v>160000</v>
      </c>
      <c r="G4628" s="14">
        <v>141000</v>
      </c>
      <c r="H4628" s="13" t="s">
        <v>6622</v>
      </c>
      <c r="I4628" s="40" t="s">
        <v>18</v>
      </c>
      <c r="J4628" s="40" t="str">
        <f>HYPERLINK("https://m.stock.naver.com/research/company/90704","PDF")</f>
        <v>PDF</v>
      </c>
      <c r="K4628" s="12" t="s">
        <v>6623</v>
      </c>
      <c r="L4628" s="20">
        <v>0.13475177304964539</v>
      </c>
    </row>
    <row r="4629" spans="1:12" x14ac:dyDescent="0.45">
      <c r="A4629" s="12" t="s">
        <v>6601</v>
      </c>
      <c r="B4629" s="12" t="s">
        <v>5479</v>
      </c>
      <c r="C4629" s="13" t="s">
        <v>5480</v>
      </c>
      <c r="D4629" s="13" t="s">
        <v>83</v>
      </c>
      <c r="E4629" s="12" t="s">
        <v>50</v>
      </c>
      <c r="F4629" s="13"/>
      <c r="G4629" s="14">
        <v>24300</v>
      </c>
      <c r="H4629" s="13" t="s">
        <v>6624</v>
      </c>
      <c r="I4629" s="40" t="s">
        <v>18</v>
      </c>
      <c r="J4629" s="40" t="str">
        <f>HYPERLINK("https://m.stock.naver.com/research/company/90703","PDF")</f>
        <v>PDF</v>
      </c>
      <c r="K4629" s="12" t="s">
        <v>6625</v>
      </c>
    </row>
    <row r="4630" spans="1:12" x14ac:dyDescent="0.45">
      <c r="A4630" s="12" t="s">
        <v>6601</v>
      </c>
      <c r="B4630" s="12" t="s">
        <v>756</v>
      </c>
      <c r="C4630" s="13" t="s">
        <v>757</v>
      </c>
      <c r="D4630" s="13" t="s">
        <v>179</v>
      </c>
      <c r="E4630" s="12" t="s">
        <v>16</v>
      </c>
      <c r="F4630" s="14">
        <v>95000</v>
      </c>
      <c r="G4630" s="14">
        <v>71600</v>
      </c>
      <c r="H4630" s="13" t="s">
        <v>6626</v>
      </c>
      <c r="I4630" s="40" t="s">
        <v>18</v>
      </c>
      <c r="J4630" s="40" t="str">
        <f>HYPERLINK("https://stock.pstatic.net/stock-research/company/64/20260226_company_720576000.pdf","PDF")</f>
        <v>PDF</v>
      </c>
      <c r="K4630" s="12" t="s">
        <v>6627</v>
      </c>
      <c r="L4630" s="20">
        <v>0.32681564245810057</v>
      </c>
    </row>
    <row r="4631" spans="1:12" x14ac:dyDescent="0.45">
      <c r="A4631" s="12" t="s">
        <v>6601</v>
      </c>
      <c r="B4631" s="12" t="s">
        <v>1120</v>
      </c>
      <c r="C4631" s="13" t="s">
        <v>1121</v>
      </c>
      <c r="D4631" s="13" t="s">
        <v>53</v>
      </c>
      <c r="E4631" s="12" t="s">
        <v>16</v>
      </c>
      <c r="F4631" s="14">
        <v>170000</v>
      </c>
      <c r="G4631" s="14">
        <v>141000</v>
      </c>
      <c r="H4631" s="13" t="s">
        <v>6628</v>
      </c>
      <c r="I4631" s="40" t="s">
        <v>18</v>
      </c>
      <c r="J4631" s="40" t="str">
        <f>HYPERLINK("https://m.stock.naver.com/research/company/90701","PDF")</f>
        <v>PDF</v>
      </c>
      <c r="K4631" s="12" t="s">
        <v>6629</v>
      </c>
      <c r="L4631" s="20">
        <v>0.20567375886524819</v>
      </c>
    </row>
    <row r="4632" spans="1:12" x14ac:dyDescent="0.45">
      <c r="A4632" s="12" t="s">
        <v>6601</v>
      </c>
      <c r="B4632" s="12" t="s">
        <v>2867</v>
      </c>
      <c r="C4632" s="13" t="s">
        <v>2868</v>
      </c>
      <c r="D4632" s="13" t="s">
        <v>34</v>
      </c>
      <c r="E4632" s="12" t="s">
        <v>35</v>
      </c>
      <c r="F4632" s="14">
        <v>11500</v>
      </c>
      <c r="G4632" s="14">
        <v>8560</v>
      </c>
      <c r="H4632" s="13" t="s">
        <v>6630</v>
      </c>
      <c r="I4632" s="40" t="s">
        <v>18</v>
      </c>
      <c r="J4632" s="40" t="str">
        <f>HYPERLINK("https://m.stock.naver.com/research/company/90700","PDF")</f>
        <v>PDF</v>
      </c>
      <c r="K4632" s="12" t="s">
        <v>6631</v>
      </c>
      <c r="L4632" s="20">
        <v>0.34345794392523371</v>
      </c>
    </row>
    <row r="4633" spans="1:12" x14ac:dyDescent="0.45">
      <c r="A4633" s="12" t="s">
        <v>6601</v>
      </c>
      <c r="B4633" s="12" t="s">
        <v>6632</v>
      </c>
      <c r="C4633" s="13" t="s">
        <v>6633</v>
      </c>
      <c r="D4633" s="13" t="s">
        <v>23</v>
      </c>
      <c r="E4633" s="12" t="s">
        <v>385</v>
      </c>
      <c r="F4633" s="13"/>
      <c r="G4633" s="14">
        <v>13620</v>
      </c>
      <c r="H4633" s="13" t="s">
        <v>6634</v>
      </c>
      <c r="I4633" s="40" t="s">
        <v>18</v>
      </c>
      <c r="J4633" s="40" t="str">
        <f>HYPERLINK("https://m.stock.naver.com/research/company/90699","PDF")</f>
        <v>PDF</v>
      </c>
      <c r="K4633" s="12" t="s">
        <v>6635</v>
      </c>
    </row>
    <row r="4634" spans="1:12" x14ac:dyDescent="0.45">
      <c r="A4634" s="12" t="s">
        <v>6601</v>
      </c>
      <c r="B4634" s="12" t="s">
        <v>1487</v>
      </c>
      <c r="C4634" s="13" t="s">
        <v>1488</v>
      </c>
      <c r="D4634" s="13" t="s">
        <v>92</v>
      </c>
      <c r="E4634" s="12" t="s">
        <v>35</v>
      </c>
      <c r="F4634" s="14">
        <v>10000</v>
      </c>
      <c r="G4634" s="14">
        <v>6200</v>
      </c>
      <c r="H4634" s="13" t="s">
        <v>6636</v>
      </c>
      <c r="I4634" s="40" t="s">
        <v>18</v>
      </c>
      <c r="J4634" s="40" t="str">
        <f>HYPERLINK("https://m.stock.naver.com/research/company/90698","PDF")</f>
        <v>PDF</v>
      </c>
      <c r="K4634" s="12" t="s">
        <v>6637</v>
      </c>
      <c r="L4634" s="20">
        <v>0.61290322580645162</v>
      </c>
    </row>
    <row r="4635" spans="1:12" x14ac:dyDescent="0.45">
      <c r="A4635" s="12" t="s">
        <v>6601</v>
      </c>
      <c r="B4635" s="12" t="s">
        <v>6638</v>
      </c>
      <c r="C4635" s="13" t="s">
        <v>6639</v>
      </c>
      <c r="D4635" s="13" t="s">
        <v>179</v>
      </c>
      <c r="E4635" s="12" t="s">
        <v>50</v>
      </c>
      <c r="F4635" s="13"/>
      <c r="G4635" s="14">
        <v>22850</v>
      </c>
      <c r="H4635" s="13" t="s">
        <v>6640</v>
      </c>
      <c r="I4635" s="40" t="s">
        <v>18</v>
      </c>
      <c r="J4635" s="40" t="str">
        <f>HYPERLINK("https://stock.pstatic.net/stock-research/company/64/20260226_company_333055000.pdf","PDF")</f>
        <v>PDF</v>
      </c>
      <c r="K4635" s="12" t="s">
        <v>6641</v>
      </c>
    </row>
    <row r="4636" spans="1:12" x14ac:dyDescent="0.45">
      <c r="A4636" s="12" t="s">
        <v>6601</v>
      </c>
      <c r="B4636" s="12" t="s">
        <v>6642</v>
      </c>
      <c r="C4636" s="13" t="s">
        <v>6643</v>
      </c>
      <c r="D4636" s="13" t="s">
        <v>92</v>
      </c>
      <c r="E4636" s="12" t="s">
        <v>50</v>
      </c>
      <c r="F4636" s="13"/>
      <c r="G4636" s="14">
        <v>30200</v>
      </c>
      <c r="H4636" s="13" t="s">
        <v>6644</v>
      </c>
      <c r="I4636" s="40" t="s">
        <v>18</v>
      </c>
      <c r="J4636" s="40" t="str">
        <f>HYPERLINK("https://stock.pstatic.net/stock-research/company/63/20260226_company_863045000.pdf","PDF")</f>
        <v>PDF</v>
      </c>
      <c r="K4636" s="12" t="s">
        <v>6645</v>
      </c>
    </row>
    <row r="4637" spans="1:12" x14ac:dyDescent="0.45">
      <c r="A4637" s="12" t="s">
        <v>6601</v>
      </c>
      <c r="B4637" s="12" t="s">
        <v>2748</v>
      </c>
      <c r="C4637" s="13" t="s">
        <v>2749</v>
      </c>
      <c r="D4637" s="13" t="s">
        <v>124</v>
      </c>
      <c r="E4637" s="12" t="s">
        <v>50</v>
      </c>
      <c r="F4637" s="13"/>
      <c r="G4637" s="13"/>
      <c r="H4637" s="13" t="s">
        <v>6646</v>
      </c>
      <c r="I4637" s="40" t="s">
        <v>18</v>
      </c>
      <c r="J4637" s="40" t="str">
        <f>HYPERLINK("https://stock.pstatic.net/stock-research/company/74/20260226_company_880473000.pdf","PDF")</f>
        <v>PDF</v>
      </c>
      <c r="K4637" s="12" t="s">
        <v>6647</v>
      </c>
    </row>
    <row r="4638" spans="1:12" x14ac:dyDescent="0.45">
      <c r="A4638" s="12" t="s">
        <v>6601</v>
      </c>
      <c r="B4638" s="12" t="s">
        <v>102</v>
      </c>
      <c r="C4638" s="13" t="s">
        <v>103</v>
      </c>
      <c r="D4638" s="13" t="s">
        <v>15</v>
      </c>
      <c r="E4638" s="12" t="s">
        <v>16</v>
      </c>
      <c r="F4638" s="14">
        <v>25000</v>
      </c>
      <c r="G4638" s="14">
        <v>20200</v>
      </c>
      <c r="H4638" s="13" t="s">
        <v>6648</v>
      </c>
      <c r="I4638" s="40" t="s">
        <v>18</v>
      </c>
      <c r="J4638" s="40" t="str">
        <f>HYPERLINK("https://stock.pstatic.net/stock-research/company/56/20260226_company_462133000.pdf","PDF")</f>
        <v>PDF</v>
      </c>
      <c r="K4638" s="12" t="s">
        <v>6649</v>
      </c>
      <c r="L4638" s="20">
        <v>0.23762376237623761</v>
      </c>
    </row>
    <row r="4639" spans="1:12" x14ac:dyDescent="0.45">
      <c r="A4639" s="12" t="s">
        <v>6650</v>
      </c>
      <c r="B4639" s="12" t="s">
        <v>356</v>
      </c>
      <c r="C4639" s="13" t="s">
        <v>357</v>
      </c>
      <c r="D4639" s="13" t="s">
        <v>60</v>
      </c>
      <c r="E4639" s="12" t="s">
        <v>35</v>
      </c>
      <c r="F4639" s="14">
        <v>82000</v>
      </c>
      <c r="G4639" s="14">
        <v>62800</v>
      </c>
      <c r="H4639" s="13" t="s">
        <v>6651</v>
      </c>
      <c r="I4639" s="40" t="s">
        <v>18</v>
      </c>
      <c r="J4639" s="40" t="str">
        <f>HYPERLINK("https://m.stock.naver.com/research/company/90693","PDF")</f>
        <v>PDF</v>
      </c>
      <c r="K4639" s="12" t="s">
        <v>6652</v>
      </c>
      <c r="L4639" s="20">
        <v>0.30573248407643311</v>
      </c>
    </row>
    <row r="4640" spans="1:12" x14ac:dyDescent="0.45">
      <c r="A4640" s="12" t="s">
        <v>6650</v>
      </c>
      <c r="B4640" s="12" t="s">
        <v>110</v>
      </c>
      <c r="C4640" s="13" t="s">
        <v>111</v>
      </c>
      <c r="D4640" s="13" t="s">
        <v>60</v>
      </c>
      <c r="E4640" s="12" t="s">
        <v>35</v>
      </c>
      <c r="F4640" s="14">
        <v>67000</v>
      </c>
      <c r="G4640" s="14">
        <v>53400</v>
      </c>
      <c r="H4640" s="13" t="s">
        <v>6653</v>
      </c>
      <c r="I4640" s="40" t="s">
        <v>18</v>
      </c>
      <c r="J4640" s="40" t="str">
        <f>HYPERLINK("https://m.stock.naver.com/research/company/90692","PDF")</f>
        <v>PDF</v>
      </c>
      <c r="K4640" s="12" t="s">
        <v>6654</v>
      </c>
      <c r="L4640" s="20">
        <v>0.25468164794007492</v>
      </c>
    </row>
    <row r="4641" spans="1:12" x14ac:dyDescent="0.45">
      <c r="A4641" s="12" t="s">
        <v>6650</v>
      </c>
      <c r="B4641" s="12" t="s">
        <v>3308</v>
      </c>
      <c r="C4641" s="13" t="s">
        <v>3309</v>
      </c>
      <c r="D4641" s="13" t="s">
        <v>65</v>
      </c>
      <c r="E4641" s="12" t="s">
        <v>50</v>
      </c>
      <c r="F4641" s="13"/>
      <c r="G4641" s="14">
        <v>4055</v>
      </c>
      <c r="H4641" s="13" t="s">
        <v>6655</v>
      </c>
      <c r="I4641" s="40" t="s">
        <v>18</v>
      </c>
      <c r="J4641" s="40" t="str">
        <f>HYPERLINK("https://stock.pstatic.net/stock-research/company/57/20260225_company_600969000.pdf","PDF")</f>
        <v>PDF</v>
      </c>
      <c r="K4641" s="12" t="s">
        <v>6656</v>
      </c>
    </row>
    <row r="4642" spans="1:12" x14ac:dyDescent="0.45">
      <c r="A4642" s="12" t="s">
        <v>6650</v>
      </c>
      <c r="B4642" s="12" t="s">
        <v>162</v>
      </c>
      <c r="C4642" s="13" t="s">
        <v>163</v>
      </c>
      <c r="D4642" s="13" t="s">
        <v>158</v>
      </c>
      <c r="E4642" s="12" t="s">
        <v>50</v>
      </c>
      <c r="F4642" s="13"/>
      <c r="G4642" s="14">
        <v>23850</v>
      </c>
      <c r="H4642" s="13" t="s">
        <v>6657</v>
      </c>
      <c r="I4642" s="40" t="s">
        <v>18</v>
      </c>
      <c r="J4642" s="40" t="str">
        <f>HYPERLINK("https://stock.pstatic.net/stock-research/company/18/20260225_company_828124000.pdf","PDF")</f>
        <v>PDF</v>
      </c>
      <c r="K4642" s="12" t="s">
        <v>6658</v>
      </c>
    </row>
    <row r="4643" spans="1:12" x14ac:dyDescent="0.45">
      <c r="A4643" s="12" t="s">
        <v>6650</v>
      </c>
      <c r="B4643" s="12" t="s">
        <v>2849</v>
      </c>
      <c r="C4643" s="13" t="s">
        <v>2850</v>
      </c>
      <c r="D4643" s="13" t="s">
        <v>158</v>
      </c>
      <c r="E4643" s="12" t="s">
        <v>50</v>
      </c>
      <c r="F4643" s="13"/>
      <c r="G4643" s="14">
        <v>6160</v>
      </c>
      <c r="H4643" s="13" t="s">
        <v>6659</v>
      </c>
      <c r="I4643" s="40" t="s">
        <v>18</v>
      </c>
      <c r="J4643" s="40" t="str">
        <f>HYPERLINK("https://m.stock.naver.com/research/company/90689","PDF")</f>
        <v>PDF</v>
      </c>
      <c r="K4643" s="12" t="s">
        <v>6660</v>
      </c>
    </row>
    <row r="4644" spans="1:12" x14ac:dyDescent="0.45">
      <c r="A4644" s="12" t="s">
        <v>6650</v>
      </c>
      <c r="B4644" s="12" t="s">
        <v>2950</v>
      </c>
      <c r="C4644" s="13" t="s">
        <v>2951</v>
      </c>
      <c r="D4644" s="13" t="s">
        <v>83</v>
      </c>
      <c r="E4644" s="12" t="s">
        <v>35</v>
      </c>
      <c r="F4644" s="14">
        <v>130000</v>
      </c>
      <c r="G4644" s="14">
        <v>102000</v>
      </c>
      <c r="H4644" s="13" t="s">
        <v>6661</v>
      </c>
      <c r="I4644" s="40" t="s">
        <v>18</v>
      </c>
      <c r="J4644" s="40" t="str">
        <f>HYPERLINK("https://stock.pstatic.net/stock-research/company/15/20260225_company_127775000.pdf","PDF")</f>
        <v>PDF</v>
      </c>
      <c r="K4644" s="12" t="s">
        <v>6662</v>
      </c>
      <c r="L4644" s="20">
        <v>0.27450980392156871</v>
      </c>
    </row>
    <row r="4645" spans="1:12" x14ac:dyDescent="0.45">
      <c r="A4645" s="12" t="s">
        <v>6650</v>
      </c>
      <c r="B4645" s="12" t="s">
        <v>1144</v>
      </c>
      <c r="C4645" s="13" t="s">
        <v>1145</v>
      </c>
      <c r="D4645" s="13" t="s">
        <v>83</v>
      </c>
      <c r="E4645" s="12" t="s">
        <v>35</v>
      </c>
      <c r="F4645" s="14">
        <v>215000</v>
      </c>
      <c r="G4645" s="14">
        <v>161600</v>
      </c>
      <c r="H4645" s="13" t="s">
        <v>6663</v>
      </c>
      <c r="I4645" s="40" t="s">
        <v>18</v>
      </c>
      <c r="J4645" s="40" t="str">
        <f>HYPERLINK("https://m.stock.naver.com/research/company/90687","PDF")</f>
        <v>PDF</v>
      </c>
      <c r="K4645" s="12" t="s">
        <v>6664</v>
      </c>
      <c r="L4645" s="20">
        <v>0.33044554455445552</v>
      </c>
    </row>
    <row r="4646" spans="1:12" x14ac:dyDescent="0.45">
      <c r="A4646" s="12" t="s">
        <v>6650</v>
      </c>
      <c r="B4646" s="12" t="s">
        <v>836</v>
      </c>
      <c r="C4646" s="13" t="s">
        <v>837</v>
      </c>
      <c r="D4646" s="13" t="s">
        <v>83</v>
      </c>
      <c r="E4646" s="12" t="s">
        <v>35</v>
      </c>
      <c r="F4646" s="14">
        <v>760000</v>
      </c>
      <c r="G4646" s="14">
        <v>617000</v>
      </c>
      <c r="H4646" s="13" t="s">
        <v>6665</v>
      </c>
      <c r="I4646" s="40" t="s">
        <v>18</v>
      </c>
      <c r="J4646" s="40" t="str">
        <f>HYPERLINK("https://m.stock.naver.com/research/company/90686","PDF")</f>
        <v>PDF</v>
      </c>
      <c r="K4646" s="12" t="s">
        <v>6666</v>
      </c>
      <c r="L4646" s="20">
        <v>0.2317666126418152</v>
      </c>
    </row>
    <row r="4647" spans="1:12" x14ac:dyDescent="0.45">
      <c r="A4647" s="12" t="s">
        <v>6650</v>
      </c>
      <c r="B4647" s="12" t="s">
        <v>1140</v>
      </c>
      <c r="C4647" s="13" t="s">
        <v>1141</v>
      </c>
      <c r="D4647" s="13" t="s">
        <v>83</v>
      </c>
      <c r="E4647" s="12" t="s">
        <v>35</v>
      </c>
      <c r="F4647" s="14">
        <v>80000</v>
      </c>
      <c r="G4647" s="14">
        <v>62700</v>
      </c>
      <c r="H4647" s="13" t="s">
        <v>6667</v>
      </c>
      <c r="I4647" s="40" t="s">
        <v>18</v>
      </c>
      <c r="J4647" s="40" t="str">
        <f>HYPERLINK("https://stock.pstatic.net/stock-research/company/15/20260225_company_215282000.pdf","PDF")</f>
        <v>PDF</v>
      </c>
      <c r="K4647" s="12" t="s">
        <v>6668</v>
      </c>
      <c r="L4647" s="20">
        <v>0.27591706539074962</v>
      </c>
    </row>
    <row r="4648" spans="1:12" x14ac:dyDescent="0.45">
      <c r="A4648" s="12" t="s">
        <v>6650</v>
      </c>
      <c r="B4648" s="12" t="s">
        <v>3735</v>
      </c>
      <c r="C4648" s="13" t="s">
        <v>3736</v>
      </c>
      <c r="D4648" s="13" t="s">
        <v>714</v>
      </c>
      <c r="E4648" s="12" t="s">
        <v>35</v>
      </c>
      <c r="F4648" s="14">
        <v>16500</v>
      </c>
      <c r="G4648" s="14">
        <v>11560</v>
      </c>
      <c r="H4648" s="13" t="s">
        <v>6669</v>
      </c>
      <c r="I4648" s="40" t="s">
        <v>18</v>
      </c>
      <c r="J4648" s="40" t="str">
        <f>HYPERLINK("https://stock.pstatic.net/stock-research/company/38/20260225_company_565732000.pdf","PDF")</f>
        <v>PDF</v>
      </c>
      <c r="K4648" s="12" t="s">
        <v>6670</v>
      </c>
      <c r="L4648" s="20">
        <v>0.4273356401384083</v>
      </c>
    </row>
    <row r="4649" spans="1:12" x14ac:dyDescent="0.45">
      <c r="A4649" s="12" t="s">
        <v>6650</v>
      </c>
      <c r="B4649" s="12" t="s">
        <v>95</v>
      </c>
      <c r="C4649" s="13" t="s">
        <v>31</v>
      </c>
      <c r="D4649" s="13" t="s">
        <v>92</v>
      </c>
      <c r="E4649" s="12" t="s">
        <v>35</v>
      </c>
      <c r="F4649" s="14">
        <v>54000</v>
      </c>
      <c r="G4649" s="14">
        <v>36500</v>
      </c>
      <c r="H4649" s="13" t="s">
        <v>6671</v>
      </c>
      <c r="I4649" s="40" t="s">
        <v>18</v>
      </c>
      <c r="J4649" s="40" t="str">
        <f>HYPERLINK("https://stock.pstatic.net/stock-research/company/63/20260225_company_366801000.pdf","PDF")</f>
        <v>PDF</v>
      </c>
      <c r="K4649" s="12" t="s">
        <v>6672</v>
      </c>
      <c r="L4649" s="20">
        <v>0.47945205479452052</v>
      </c>
    </row>
    <row r="4650" spans="1:12" x14ac:dyDescent="0.45">
      <c r="A4650" s="12" t="s">
        <v>6650</v>
      </c>
      <c r="B4650" s="12" t="s">
        <v>110</v>
      </c>
      <c r="C4650" s="13" t="s">
        <v>111</v>
      </c>
      <c r="D4650" s="13" t="s">
        <v>23</v>
      </c>
      <c r="E4650" s="12" t="s">
        <v>16</v>
      </c>
      <c r="F4650" s="14">
        <v>73000</v>
      </c>
      <c r="G4650" s="14">
        <v>53400</v>
      </c>
      <c r="H4650" s="13" t="s">
        <v>6673</v>
      </c>
      <c r="I4650" s="40" t="s">
        <v>18</v>
      </c>
      <c r="J4650" s="40" t="str">
        <f>HYPERLINK("https://stock.pstatic.net/stock-research/company/21/20260225_company_196658000.pdf","PDF")</f>
        <v>PDF</v>
      </c>
      <c r="K4650" s="12" t="s">
        <v>6674</v>
      </c>
      <c r="L4650" s="20">
        <v>0.36704119850187272</v>
      </c>
    </row>
    <row r="4651" spans="1:12" x14ac:dyDescent="0.45">
      <c r="A4651" s="12" t="s">
        <v>6650</v>
      </c>
      <c r="B4651" s="12" t="s">
        <v>4450</v>
      </c>
      <c r="C4651" s="13" t="s">
        <v>4451</v>
      </c>
      <c r="D4651" s="13" t="s">
        <v>179</v>
      </c>
      <c r="E4651" s="12" t="s">
        <v>50</v>
      </c>
      <c r="F4651" s="13"/>
      <c r="G4651" s="14">
        <v>41350</v>
      </c>
      <c r="H4651" s="13" t="s">
        <v>6675</v>
      </c>
      <c r="I4651" s="40" t="s">
        <v>18</v>
      </c>
      <c r="J4651" s="40" t="str">
        <f>HYPERLINK("https://m.stock.naver.com/research/company/90681","PDF")</f>
        <v>PDF</v>
      </c>
      <c r="K4651" s="12" t="s">
        <v>6676</v>
      </c>
    </row>
    <row r="4652" spans="1:12" x14ac:dyDescent="0.45">
      <c r="A4652" s="12" t="s">
        <v>6650</v>
      </c>
      <c r="B4652" s="12" t="s">
        <v>356</v>
      </c>
      <c r="C4652" s="13" t="s">
        <v>357</v>
      </c>
      <c r="D4652" s="13" t="s">
        <v>23</v>
      </c>
      <c r="E4652" s="12" t="s">
        <v>16</v>
      </c>
      <c r="F4652" s="14">
        <v>90000</v>
      </c>
      <c r="G4652" s="14">
        <v>62800</v>
      </c>
      <c r="H4652" s="13" t="s">
        <v>6677</v>
      </c>
      <c r="I4652" s="40" t="s">
        <v>18</v>
      </c>
      <c r="J4652" s="40" t="str">
        <f>HYPERLINK("https://stock.pstatic.net/stock-research/company/21/20260225_company_628434000.pdf","PDF")</f>
        <v>PDF</v>
      </c>
      <c r="K4652" s="12" t="s">
        <v>6678</v>
      </c>
      <c r="L4652" s="20">
        <v>0.43312101910828033</v>
      </c>
    </row>
    <row r="4653" spans="1:12" x14ac:dyDescent="0.45">
      <c r="A4653" s="12" t="s">
        <v>6650</v>
      </c>
      <c r="B4653" s="12" t="s">
        <v>3972</v>
      </c>
      <c r="C4653" s="13" t="s">
        <v>3973</v>
      </c>
      <c r="D4653" s="13" t="s">
        <v>53</v>
      </c>
      <c r="E4653" s="12" t="s">
        <v>16</v>
      </c>
      <c r="F4653" s="14">
        <v>163000</v>
      </c>
      <c r="G4653" s="14">
        <v>124400</v>
      </c>
      <c r="H4653" s="13" t="s">
        <v>6679</v>
      </c>
      <c r="I4653" s="40" t="s">
        <v>18</v>
      </c>
      <c r="J4653" s="40" t="str">
        <f>HYPERLINK("https://m.stock.naver.com/research/company/90679","PDF")</f>
        <v>PDF</v>
      </c>
      <c r="K4653" s="12" t="s">
        <v>6680</v>
      </c>
      <c r="L4653" s="20">
        <v>0.31028938906752412</v>
      </c>
    </row>
    <row r="4654" spans="1:12" x14ac:dyDescent="0.45">
      <c r="A4654" s="12" t="s">
        <v>6650</v>
      </c>
      <c r="B4654" s="12" t="s">
        <v>1562</v>
      </c>
      <c r="C4654" s="13" t="s">
        <v>1563</v>
      </c>
      <c r="D4654" s="13" t="s">
        <v>92</v>
      </c>
      <c r="E4654" s="12" t="s">
        <v>35</v>
      </c>
      <c r="F4654" s="14">
        <v>35000</v>
      </c>
      <c r="G4654" s="14">
        <v>23150</v>
      </c>
      <c r="H4654" s="13" t="s">
        <v>6681</v>
      </c>
      <c r="I4654" s="40" t="s">
        <v>18</v>
      </c>
      <c r="J4654" s="40" t="str">
        <f>HYPERLINK("https://m.stock.naver.com/research/company/90678","PDF")</f>
        <v>PDF</v>
      </c>
      <c r="K4654" s="12" t="s">
        <v>6682</v>
      </c>
      <c r="L4654" s="20">
        <v>0.51187904967602593</v>
      </c>
    </row>
    <row r="4655" spans="1:12" x14ac:dyDescent="0.45">
      <c r="A4655" s="12" t="s">
        <v>6650</v>
      </c>
      <c r="B4655" s="12" t="s">
        <v>110</v>
      </c>
      <c r="C4655" s="13" t="s">
        <v>111</v>
      </c>
      <c r="D4655" s="13" t="s">
        <v>34</v>
      </c>
      <c r="E4655" s="12" t="s">
        <v>35</v>
      </c>
      <c r="F4655" s="14">
        <v>65000</v>
      </c>
      <c r="G4655" s="14">
        <v>53400</v>
      </c>
      <c r="H4655" s="13" t="s">
        <v>6683</v>
      </c>
      <c r="I4655" s="40" t="s">
        <v>18</v>
      </c>
      <c r="J4655" s="40" t="str">
        <f>HYPERLINK("https://m.stock.naver.com/research/company/90677","PDF")</f>
        <v>PDF</v>
      </c>
      <c r="K4655" s="12" t="s">
        <v>6684</v>
      </c>
      <c r="L4655" s="20">
        <v>0.21722846441947569</v>
      </c>
    </row>
    <row r="4656" spans="1:12" x14ac:dyDescent="0.45">
      <c r="A4656" s="12" t="s">
        <v>6650</v>
      </c>
      <c r="B4656" s="12" t="s">
        <v>1566</v>
      </c>
      <c r="C4656" s="13" t="s">
        <v>1567</v>
      </c>
      <c r="D4656" s="13" t="s">
        <v>92</v>
      </c>
      <c r="E4656" s="12" t="s">
        <v>50</v>
      </c>
      <c r="F4656" s="13"/>
      <c r="G4656" s="14">
        <v>2940</v>
      </c>
      <c r="H4656" s="13" t="s">
        <v>6685</v>
      </c>
      <c r="I4656" s="40" t="s">
        <v>18</v>
      </c>
      <c r="J4656" s="40" t="str">
        <f>HYPERLINK("https://m.stock.naver.com/research/company/90676","PDF")</f>
        <v>PDF</v>
      </c>
      <c r="K4656" s="12" t="s">
        <v>6686</v>
      </c>
    </row>
    <row r="4657" spans="1:12" x14ac:dyDescent="0.45">
      <c r="A4657" s="12" t="s">
        <v>6650</v>
      </c>
      <c r="B4657" s="12" t="s">
        <v>1407</v>
      </c>
      <c r="C4657" s="13" t="s">
        <v>1408</v>
      </c>
      <c r="D4657" s="13" t="s">
        <v>44</v>
      </c>
      <c r="E4657" s="12" t="s">
        <v>35</v>
      </c>
      <c r="F4657" s="14">
        <v>170000</v>
      </c>
      <c r="G4657" s="14">
        <v>110800</v>
      </c>
      <c r="H4657" s="13" t="s">
        <v>6687</v>
      </c>
      <c r="I4657" s="40" t="s">
        <v>18</v>
      </c>
      <c r="J4657" s="40" t="str">
        <f>HYPERLINK("https://m.stock.naver.com/research/company/90675","PDF")</f>
        <v>PDF</v>
      </c>
      <c r="K4657" s="12" t="s">
        <v>6688</v>
      </c>
      <c r="L4657" s="20">
        <v>0.53429602888086647</v>
      </c>
    </row>
    <row r="4658" spans="1:12" x14ac:dyDescent="0.45">
      <c r="A4658" s="12" t="s">
        <v>6650</v>
      </c>
      <c r="B4658" s="12" t="s">
        <v>6689</v>
      </c>
      <c r="C4658" s="13" t="s">
        <v>6690</v>
      </c>
      <c r="D4658" s="13" t="s">
        <v>44</v>
      </c>
      <c r="E4658" s="12" t="s">
        <v>50</v>
      </c>
      <c r="F4658" s="13"/>
      <c r="G4658" s="14">
        <v>18920</v>
      </c>
      <c r="H4658" s="13" t="s">
        <v>6691</v>
      </c>
      <c r="I4658" s="40" t="s">
        <v>18</v>
      </c>
      <c r="J4658" s="40" t="str">
        <f>HYPERLINK("https://m.stock.naver.com/research/company/90674","PDF")</f>
        <v>PDF</v>
      </c>
      <c r="K4658" s="12" t="s">
        <v>6692</v>
      </c>
    </row>
    <row r="4659" spans="1:12" x14ac:dyDescent="0.45">
      <c r="A4659" s="12" t="s">
        <v>6650</v>
      </c>
      <c r="B4659" s="12" t="s">
        <v>1136</v>
      </c>
      <c r="C4659" s="13" t="s">
        <v>1137</v>
      </c>
      <c r="D4659" s="13" t="s">
        <v>179</v>
      </c>
      <c r="E4659" s="12" t="s">
        <v>16</v>
      </c>
      <c r="F4659" s="14">
        <v>58000</v>
      </c>
      <c r="G4659" s="14">
        <v>41500</v>
      </c>
      <c r="H4659" s="13" t="s">
        <v>6693</v>
      </c>
      <c r="I4659" s="40" t="s">
        <v>18</v>
      </c>
      <c r="J4659" s="40" t="str">
        <f>HYPERLINK("https://stock.pstatic.net/stock-research/company/64/20260225_company_420439000.pdf","PDF")</f>
        <v>PDF</v>
      </c>
      <c r="K4659" s="12" t="s">
        <v>6694</v>
      </c>
      <c r="L4659" s="20">
        <v>0.39759036144578308</v>
      </c>
    </row>
    <row r="4660" spans="1:12" x14ac:dyDescent="0.45">
      <c r="A4660" s="12" t="s">
        <v>6650</v>
      </c>
      <c r="B4660" s="12" t="s">
        <v>4838</v>
      </c>
      <c r="C4660" s="13" t="s">
        <v>4839</v>
      </c>
      <c r="D4660" s="13" t="s">
        <v>124</v>
      </c>
      <c r="E4660" s="12" t="s">
        <v>50</v>
      </c>
      <c r="F4660" s="13"/>
      <c r="G4660" s="13"/>
      <c r="H4660" s="13" t="s">
        <v>6695</v>
      </c>
      <c r="I4660" s="40" t="s">
        <v>18</v>
      </c>
      <c r="J4660" s="40" t="str">
        <f>HYPERLINK("https://stock.pstatic.net/stock-research/company/74/20260225_company_684625000.pdf","PDF")</f>
        <v>PDF</v>
      </c>
      <c r="K4660" s="12" t="s">
        <v>6696</v>
      </c>
    </row>
    <row r="4661" spans="1:12" x14ac:dyDescent="0.45">
      <c r="A4661" s="12" t="s">
        <v>6697</v>
      </c>
      <c r="B4661" s="12" t="s">
        <v>6698</v>
      </c>
      <c r="C4661" s="13" t="s">
        <v>6699</v>
      </c>
      <c r="D4661" s="13" t="s">
        <v>124</v>
      </c>
      <c r="E4661" s="12" t="s">
        <v>50</v>
      </c>
      <c r="F4661" s="13"/>
      <c r="G4661" s="14">
        <v>30100</v>
      </c>
      <c r="H4661" s="13" t="s">
        <v>6700</v>
      </c>
      <c r="I4661" s="40" t="s">
        <v>18</v>
      </c>
      <c r="J4661" s="40" t="str">
        <f>HYPERLINK("https://stock.pstatic.net/stock-research/company/74/20260224_company_763767000.pdf","PDF")</f>
        <v>PDF</v>
      </c>
      <c r="K4661" s="12" t="s">
        <v>6701</v>
      </c>
    </row>
    <row r="4662" spans="1:12" x14ac:dyDescent="0.45">
      <c r="A4662" s="12" t="s">
        <v>6697</v>
      </c>
      <c r="B4662" s="12" t="s">
        <v>6702</v>
      </c>
      <c r="C4662" s="13" t="s">
        <v>6703</v>
      </c>
      <c r="D4662" s="13" t="s">
        <v>124</v>
      </c>
      <c r="E4662" s="12" t="s">
        <v>50</v>
      </c>
      <c r="F4662" s="13"/>
      <c r="G4662" s="14">
        <v>15320</v>
      </c>
      <c r="H4662" s="13" t="s">
        <v>6704</v>
      </c>
      <c r="I4662" s="40" t="s">
        <v>18</v>
      </c>
      <c r="J4662" s="40" t="str">
        <f>HYPERLINK("https://stock.pstatic.net/stock-research/company/74/20260224_company_19137000.pdf","PDF")</f>
        <v>PDF</v>
      </c>
      <c r="K4662" s="12" t="s">
        <v>6705</v>
      </c>
    </row>
    <row r="4663" spans="1:12" x14ac:dyDescent="0.45">
      <c r="A4663" s="12" t="s">
        <v>6697</v>
      </c>
      <c r="B4663" s="12" t="s">
        <v>6706</v>
      </c>
      <c r="C4663" s="13" t="s">
        <v>6707</v>
      </c>
      <c r="D4663" s="13" t="s">
        <v>124</v>
      </c>
      <c r="E4663" s="12" t="s">
        <v>50</v>
      </c>
      <c r="F4663" s="13"/>
      <c r="G4663" s="14">
        <v>13670</v>
      </c>
      <c r="H4663" s="13" t="s">
        <v>6708</v>
      </c>
      <c r="I4663" s="40" t="s">
        <v>18</v>
      </c>
      <c r="J4663" s="40" t="str">
        <f>HYPERLINK("https://stock.pstatic.net/stock-research/company/74/20260224_company_872035000.pdf","PDF")</f>
        <v>PDF</v>
      </c>
      <c r="K4663" s="12" t="s">
        <v>6709</v>
      </c>
    </row>
    <row r="4664" spans="1:12" x14ac:dyDescent="0.45">
      <c r="A4664" s="12" t="s">
        <v>6697</v>
      </c>
      <c r="B4664" s="12" t="s">
        <v>6710</v>
      </c>
      <c r="C4664" s="13" t="s">
        <v>6711</v>
      </c>
      <c r="D4664" s="13" t="s">
        <v>124</v>
      </c>
      <c r="E4664" s="12" t="s">
        <v>50</v>
      </c>
      <c r="F4664" s="13"/>
      <c r="G4664" s="14">
        <v>7560</v>
      </c>
      <c r="H4664" s="13" t="s">
        <v>6712</v>
      </c>
      <c r="I4664" s="40" t="s">
        <v>18</v>
      </c>
      <c r="J4664" s="40" t="str">
        <f>HYPERLINK("https://stock.pstatic.net/stock-research/company/74/20260224_company_588003000.pdf","PDF")</f>
        <v>PDF</v>
      </c>
      <c r="K4664" s="12" t="s">
        <v>6713</v>
      </c>
    </row>
    <row r="4665" spans="1:12" x14ac:dyDescent="0.45">
      <c r="A4665" s="12" t="s">
        <v>6697</v>
      </c>
      <c r="B4665" s="12" t="s">
        <v>1198</v>
      </c>
      <c r="C4665" s="13" t="s">
        <v>1199</v>
      </c>
      <c r="D4665" s="13" t="s">
        <v>15</v>
      </c>
      <c r="E4665" s="12" t="s">
        <v>50</v>
      </c>
      <c r="F4665" s="13"/>
      <c r="G4665" s="14">
        <v>18300</v>
      </c>
      <c r="H4665" s="13" t="s">
        <v>6714</v>
      </c>
      <c r="I4665" s="40" t="s">
        <v>18</v>
      </c>
      <c r="J4665" s="40" t="str">
        <f>HYPERLINK("https://stock.pstatic.net/stock-research/company/56/20260224_company_596420000.pdf","PDF")</f>
        <v>PDF</v>
      </c>
      <c r="K4665" s="12" t="s">
        <v>6715</v>
      </c>
    </row>
    <row r="4666" spans="1:12" x14ac:dyDescent="0.45">
      <c r="A4666" s="12" t="s">
        <v>6697</v>
      </c>
      <c r="B4666" s="12" t="s">
        <v>768</v>
      </c>
      <c r="C4666" s="13" t="s">
        <v>769</v>
      </c>
      <c r="D4666" s="13" t="s">
        <v>60</v>
      </c>
      <c r="E4666" s="12" t="s">
        <v>35</v>
      </c>
      <c r="F4666" s="14">
        <v>230000</v>
      </c>
      <c r="G4666" s="14">
        <v>189900</v>
      </c>
      <c r="H4666" s="13" t="s">
        <v>6716</v>
      </c>
      <c r="I4666" s="40" t="s">
        <v>18</v>
      </c>
      <c r="J4666" s="40" t="str">
        <f>HYPERLINK("https://stock.pstatic.net/stock-research/company/62/20260224_company_284395000.pdf","PDF")</f>
        <v>PDF</v>
      </c>
      <c r="K4666" s="12" t="s">
        <v>6717</v>
      </c>
      <c r="L4666" s="20">
        <v>0.2111637704054766</v>
      </c>
    </row>
    <row r="4667" spans="1:12" x14ac:dyDescent="0.45">
      <c r="A4667" s="12" t="s">
        <v>6697</v>
      </c>
      <c r="B4667" s="12" t="s">
        <v>1042</v>
      </c>
      <c r="C4667" s="13" t="s">
        <v>1043</v>
      </c>
      <c r="D4667" s="13" t="s">
        <v>65</v>
      </c>
      <c r="E4667" s="12" t="s">
        <v>35</v>
      </c>
      <c r="F4667" s="14">
        <v>48000</v>
      </c>
      <c r="G4667" s="14">
        <v>34950</v>
      </c>
      <c r="H4667" s="13" t="s">
        <v>6718</v>
      </c>
      <c r="I4667" s="40" t="s">
        <v>18</v>
      </c>
      <c r="J4667" s="40" t="str">
        <f>HYPERLINK("https://stock.pstatic.net/stock-research/company/57/20260224_company_262266000.pdf","PDF")</f>
        <v>PDF</v>
      </c>
      <c r="K4667" s="12" t="s">
        <v>6719</v>
      </c>
      <c r="L4667" s="20">
        <v>0.37339055793991421</v>
      </c>
    </row>
    <row r="4668" spans="1:12" x14ac:dyDescent="0.45">
      <c r="A4668" s="12" t="s">
        <v>6697</v>
      </c>
      <c r="B4668" s="12" t="s">
        <v>537</v>
      </c>
      <c r="C4668" s="13" t="s">
        <v>538</v>
      </c>
      <c r="D4668" s="13" t="s">
        <v>65</v>
      </c>
      <c r="E4668" s="12" t="s">
        <v>35</v>
      </c>
      <c r="F4668" s="14">
        <v>20000</v>
      </c>
      <c r="G4668" s="14">
        <v>17300</v>
      </c>
      <c r="H4668" s="13" t="s">
        <v>6720</v>
      </c>
      <c r="I4668" s="40" t="s">
        <v>18</v>
      </c>
      <c r="J4668" s="40" t="str">
        <f>HYPERLINK("https://stock.pstatic.net/stock-research/company/57/20260224_company_242476000.pdf","PDF")</f>
        <v>PDF</v>
      </c>
      <c r="K4668" s="12" t="s">
        <v>6721</v>
      </c>
      <c r="L4668" s="20">
        <v>0.15606936416184969</v>
      </c>
    </row>
    <row r="4669" spans="1:12" x14ac:dyDescent="0.45">
      <c r="A4669" s="12" t="s">
        <v>6697</v>
      </c>
      <c r="B4669" s="12" t="s">
        <v>533</v>
      </c>
      <c r="C4669" s="13" t="s">
        <v>534</v>
      </c>
      <c r="D4669" s="13" t="s">
        <v>65</v>
      </c>
      <c r="E4669" s="12" t="s">
        <v>35</v>
      </c>
      <c r="F4669" s="14">
        <v>76000</v>
      </c>
      <c r="G4669" s="14">
        <v>67700</v>
      </c>
      <c r="H4669" s="13" t="s">
        <v>6722</v>
      </c>
      <c r="I4669" s="40" t="s">
        <v>18</v>
      </c>
      <c r="J4669" s="40" t="str">
        <f>HYPERLINK("https://stock.pstatic.net/stock-research/company/57/20260224_company_803729000.pdf","PDF")</f>
        <v>PDF</v>
      </c>
      <c r="K4669" s="12" t="s">
        <v>6723</v>
      </c>
      <c r="L4669" s="20">
        <v>0.1225997045790251</v>
      </c>
    </row>
    <row r="4670" spans="1:12" x14ac:dyDescent="0.45">
      <c r="A4670" s="12" t="s">
        <v>6697</v>
      </c>
      <c r="B4670" s="12" t="s">
        <v>541</v>
      </c>
      <c r="C4670" s="13" t="s">
        <v>542</v>
      </c>
      <c r="D4670" s="13" t="s">
        <v>65</v>
      </c>
      <c r="E4670" s="12" t="s">
        <v>35</v>
      </c>
      <c r="F4670" s="14">
        <v>100000</v>
      </c>
      <c r="G4670" s="14">
        <v>80100</v>
      </c>
      <c r="H4670" s="13" t="s">
        <v>6724</v>
      </c>
      <c r="I4670" s="40" t="s">
        <v>18</v>
      </c>
      <c r="J4670" s="40" t="str">
        <f>HYPERLINK("https://stock.pstatic.net/stock-research/company/57/20260224_company_929059000.pdf","PDF")</f>
        <v>PDF</v>
      </c>
      <c r="K4670" s="12" t="s">
        <v>6725</v>
      </c>
      <c r="L4670" s="20">
        <v>0.24843945068664169</v>
      </c>
    </row>
    <row r="4671" spans="1:12" x14ac:dyDescent="0.45">
      <c r="A4671" s="12" t="s">
        <v>6697</v>
      </c>
      <c r="B4671" s="12" t="s">
        <v>1946</v>
      </c>
      <c r="C4671" s="13" t="s">
        <v>1947</v>
      </c>
      <c r="D4671" s="13" t="s">
        <v>65</v>
      </c>
      <c r="E4671" s="12" t="s">
        <v>35</v>
      </c>
      <c r="F4671" s="14">
        <v>25000</v>
      </c>
      <c r="G4671" s="14">
        <v>18770</v>
      </c>
      <c r="H4671" s="13" t="s">
        <v>6726</v>
      </c>
      <c r="I4671" s="40" t="s">
        <v>18</v>
      </c>
      <c r="J4671" s="40" t="str">
        <f>HYPERLINK("https://stock.pstatic.net/stock-research/company/57/20260224_company_391202000.pdf","PDF")</f>
        <v>PDF</v>
      </c>
      <c r="K4671" s="12" t="s">
        <v>6727</v>
      </c>
      <c r="L4671" s="20">
        <v>0.33191262653169951</v>
      </c>
    </row>
    <row r="4672" spans="1:12" x14ac:dyDescent="0.45">
      <c r="A4672" s="12" t="s">
        <v>6697</v>
      </c>
      <c r="B4672" s="12" t="s">
        <v>410</v>
      </c>
      <c r="C4672" s="13" t="s">
        <v>411</v>
      </c>
      <c r="D4672" s="13" t="s">
        <v>158</v>
      </c>
      <c r="E4672" s="12" t="s">
        <v>50</v>
      </c>
      <c r="F4672" s="13"/>
      <c r="G4672" s="14">
        <v>7690</v>
      </c>
      <c r="H4672" s="13" t="s">
        <v>6728</v>
      </c>
      <c r="I4672" s="40" t="s">
        <v>18</v>
      </c>
      <c r="J4672" s="40" t="str">
        <f>HYPERLINK("https://stock.pstatic.net/stock-research/company/18/20260224_company_426627000.pdf","PDF")</f>
        <v>PDF</v>
      </c>
      <c r="K4672" s="12" t="s">
        <v>6729</v>
      </c>
    </row>
    <row r="4673" spans="1:12" x14ac:dyDescent="0.45">
      <c r="A4673" s="12" t="s">
        <v>6697</v>
      </c>
      <c r="B4673" s="12" t="s">
        <v>334</v>
      </c>
      <c r="C4673" s="13" t="s">
        <v>335</v>
      </c>
      <c r="D4673" s="13" t="s">
        <v>179</v>
      </c>
      <c r="E4673" s="12" t="s">
        <v>16</v>
      </c>
      <c r="F4673" s="14">
        <v>1600000</v>
      </c>
      <c r="G4673" s="14">
        <v>951000</v>
      </c>
      <c r="H4673" s="13" t="s">
        <v>6730</v>
      </c>
      <c r="I4673" s="40" t="s">
        <v>18</v>
      </c>
      <c r="J4673" s="40" t="str">
        <f>HYPERLINK("https://stock.pstatic.net/stock-research/company/64/20260224_company_433372000.pdf","PDF")</f>
        <v>PDF</v>
      </c>
      <c r="K4673" s="12" t="s">
        <v>6731</v>
      </c>
      <c r="L4673" s="20">
        <v>0.68243953732912721</v>
      </c>
    </row>
    <row r="4674" spans="1:12" x14ac:dyDescent="0.45">
      <c r="A4674" s="12" t="s">
        <v>6697</v>
      </c>
      <c r="B4674" s="12" t="s">
        <v>13</v>
      </c>
      <c r="C4674" s="13" t="s">
        <v>14</v>
      </c>
      <c r="D4674" s="13" t="s">
        <v>179</v>
      </c>
      <c r="E4674" s="12" t="s">
        <v>16</v>
      </c>
      <c r="F4674" s="14">
        <v>300000</v>
      </c>
      <c r="G4674" s="14">
        <v>193000</v>
      </c>
      <c r="H4674" s="13" t="s">
        <v>6732</v>
      </c>
      <c r="I4674" s="40" t="s">
        <v>18</v>
      </c>
      <c r="J4674" s="40" t="str">
        <f>HYPERLINK("https://stock.pstatic.net/stock-research/company/64/20260224_company_886741000.pdf","PDF")</f>
        <v>PDF</v>
      </c>
      <c r="K4674" s="12" t="s">
        <v>6733</v>
      </c>
      <c r="L4674" s="20">
        <v>0.55440414507772018</v>
      </c>
    </row>
    <row r="4675" spans="1:12" x14ac:dyDescent="0.45">
      <c r="A4675" s="12" t="s">
        <v>6697</v>
      </c>
      <c r="B4675" s="12" t="s">
        <v>21</v>
      </c>
      <c r="C4675" s="13" t="s">
        <v>22</v>
      </c>
      <c r="D4675" s="13" t="s">
        <v>83</v>
      </c>
      <c r="E4675" s="12" t="s">
        <v>35</v>
      </c>
      <c r="F4675" s="14">
        <v>48000</v>
      </c>
      <c r="G4675" s="14">
        <v>37900</v>
      </c>
      <c r="H4675" s="13" t="s">
        <v>4482</v>
      </c>
      <c r="I4675" s="40" t="s">
        <v>18</v>
      </c>
      <c r="J4675" s="40" t="str">
        <f>HYPERLINK("https://stock.pstatic.net/stock-research/company/15/20260224_company_652782000.pdf","PDF")</f>
        <v>PDF</v>
      </c>
      <c r="K4675" s="12" t="s">
        <v>6734</v>
      </c>
      <c r="L4675" s="20">
        <v>0.26649076517150388</v>
      </c>
    </row>
    <row r="4676" spans="1:12" x14ac:dyDescent="0.45">
      <c r="A4676" s="12" t="s">
        <v>6697</v>
      </c>
      <c r="B4676" s="12" t="s">
        <v>768</v>
      </c>
      <c r="C4676" s="13" t="s">
        <v>769</v>
      </c>
      <c r="D4676" s="13" t="s">
        <v>23</v>
      </c>
      <c r="E4676" s="12" t="s">
        <v>16</v>
      </c>
      <c r="F4676" s="14">
        <v>240000</v>
      </c>
      <c r="G4676" s="14">
        <v>189900</v>
      </c>
      <c r="H4676" s="13" t="s">
        <v>6735</v>
      </c>
      <c r="I4676" s="40" t="s">
        <v>18</v>
      </c>
      <c r="J4676" s="40" t="str">
        <f>HYPERLINK("https://stock.pstatic.net/stock-research/company/21/20260224_company_589236000.pdf","PDF")</f>
        <v>PDF</v>
      </c>
      <c r="K4676" s="12" t="s">
        <v>6736</v>
      </c>
      <c r="L4676" s="20">
        <v>0.26382306477093209</v>
      </c>
    </row>
    <row r="4677" spans="1:12" x14ac:dyDescent="0.45">
      <c r="A4677" s="12" t="s">
        <v>6697</v>
      </c>
      <c r="B4677" s="12" t="s">
        <v>6737</v>
      </c>
      <c r="C4677" s="13" t="s">
        <v>6738</v>
      </c>
      <c r="D4677" s="13" t="s">
        <v>23</v>
      </c>
      <c r="E4677" s="12" t="s">
        <v>16</v>
      </c>
      <c r="F4677" s="14">
        <v>2300</v>
      </c>
      <c r="G4677" s="14">
        <v>1469</v>
      </c>
      <c r="H4677" s="13" t="s">
        <v>6739</v>
      </c>
      <c r="I4677" s="40" t="s">
        <v>18</v>
      </c>
      <c r="J4677" s="40" t="str">
        <f>HYPERLINK("https://stock.pstatic.net/stock-research/company/21/20260224_company_876263000.pdf","PDF")</f>
        <v>PDF</v>
      </c>
      <c r="K4677" s="12" t="s">
        <v>6740</v>
      </c>
      <c r="L4677" s="20">
        <v>0.56569094622191962</v>
      </c>
    </row>
    <row r="4678" spans="1:12" x14ac:dyDescent="0.45">
      <c r="A4678" s="12" t="s">
        <v>6697</v>
      </c>
      <c r="B4678" s="12" t="s">
        <v>1946</v>
      </c>
      <c r="C4678" s="13" t="s">
        <v>1947</v>
      </c>
      <c r="D4678" s="13" t="s">
        <v>92</v>
      </c>
      <c r="E4678" s="12" t="s">
        <v>35</v>
      </c>
      <c r="F4678" s="14">
        <v>27000</v>
      </c>
      <c r="G4678" s="14">
        <v>18770</v>
      </c>
      <c r="H4678" s="13" t="s">
        <v>6741</v>
      </c>
      <c r="I4678" s="40" t="s">
        <v>18</v>
      </c>
      <c r="J4678" s="40" t="str">
        <f>HYPERLINK("https://stock.pstatic.net/stock-research/company/63/20260224_company_681767000.pdf","PDF")</f>
        <v>PDF</v>
      </c>
      <c r="K4678" s="12" t="s">
        <v>6742</v>
      </c>
      <c r="L4678" s="20">
        <v>0.43846563665423549</v>
      </c>
    </row>
    <row r="4679" spans="1:12" x14ac:dyDescent="0.45">
      <c r="A4679" s="12" t="s">
        <v>6697</v>
      </c>
      <c r="B4679" s="12" t="s">
        <v>1262</v>
      </c>
      <c r="C4679" s="13" t="s">
        <v>1263</v>
      </c>
      <c r="D4679" s="13" t="s">
        <v>44</v>
      </c>
      <c r="E4679" s="12" t="s">
        <v>35</v>
      </c>
      <c r="F4679" s="14">
        <v>8500</v>
      </c>
      <c r="G4679" s="14">
        <v>5970</v>
      </c>
      <c r="H4679" s="13" t="s">
        <v>6743</v>
      </c>
      <c r="I4679" s="40" t="s">
        <v>18</v>
      </c>
      <c r="J4679" s="40" t="str">
        <f>HYPERLINK("https://stock.pstatic.net/stock-research/company/39/20260224_company_186492000.pdf","PDF")</f>
        <v>PDF</v>
      </c>
      <c r="K4679" s="12" t="s">
        <v>6744</v>
      </c>
      <c r="L4679" s="20">
        <v>0.42378559463986598</v>
      </c>
    </row>
    <row r="4680" spans="1:12" x14ac:dyDescent="0.45">
      <c r="A4680" s="12" t="s">
        <v>6697</v>
      </c>
      <c r="B4680" s="12" t="s">
        <v>768</v>
      </c>
      <c r="C4680" s="13" t="s">
        <v>769</v>
      </c>
      <c r="D4680" s="13" t="s">
        <v>179</v>
      </c>
      <c r="E4680" s="12" t="s">
        <v>16</v>
      </c>
      <c r="F4680" s="14">
        <v>240000</v>
      </c>
      <c r="G4680" s="14">
        <v>189900</v>
      </c>
      <c r="H4680" s="13" t="s">
        <v>6745</v>
      </c>
      <c r="I4680" s="40" t="s">
        <v>18</v>
      </c>
      <c r="J4680" s="40" t="str">
        <f>HYPERLINK("https://stock.pstatic.net/stock-research/company/64/20260224_company_199692000.pdf","PDF")</f>
        <v>PDF</v>
      </c>
      <c r="K4680" s="12" t="s">
        <v>6746</v>
      </c>
      <c r="L4680" s="20">
        <v>0.26382306477093209</v>
      </c>
    </row>
    <row r="4681" spans="1:12" x14ac:dyDescent="0.45">
      <c r="A4681" s="12" t="s">
        <v>6697</v>
      </c>
      <c r="B4681" s="12" t="s">
        <v>414</v>
      </c>
      <c r="C4681" s="13" t="s">
        <v>415</v>
      </c>
      <c r="D4681" s="13" t="s">
        <v>92</v>
      </c>
      <c r="E4681" s="12" t="s">
        <v>50</v>
      </c>
      <c r="F4681" s="13"/>
      <c r="G4681" s="14">
        <v>17540</v>
      </c>
      <c r="H4681" s="13" t="s">
        <v>6747</v>
      </c>
      <c r="I4681" s="40" t="s">
        <v>18</v>
      </c>
      <c r="J4681" s="40" t="str">
        <f>HYPERLINK("https://stock.pstatic.net/stock-research/company/63/20260224_company_812288000.pdf","PDF")</f>
        <v>PDF</v>
      </c>
      <c r="K4681" s="12" t="s">
        <v>6748</v>
      </c>
    </row>
    <row r="4682" spans="1:12" x14ac:dyDescent="0.45">
      <c r="A4682" s="12" t="s">
        <v>6697</v>
      </c>
      <c r="B4682" s="12" t="s">
        <v>2199</v>
      </c>
      <c r="C4682" s="13" t="s">
        <v>2200</v>
      </c>
      <c r="D4682" s="13" t="s">
        <v>44</v>
      </c>
      <c r="E4682" s="12" t="s">
        <v>35</v>
      </c>
      <c r="F4682" s="14">
        <v>41000</v>
      </c>
      <c r="G4682" s="14">
        <v>34150</v>
      </c>
      <c r="H4682" s="13" t="s">
        <v>6749</v>
      </c>
      <c r="I4682" s="40" t="s">
        <v>18</v>
      </c>
      <c r="J4682" s="40" t="str">
        <f>HYPERLINK("https://stock.pstatic.net/stock-research/company/39/20260224_company_427936000.pdf","PDF")</f>
        <v>PDF</v>
      </c>
      <c r="K4682" s="12" t="s">
        <v>6750</v>
      </c>
      <c r="L4682" s="20">
        <v>0.20058565153733529</v>
      </c>
    </row>
    <row r="4683" spans="1:12" x14ac:dyDescent="0.45">
      <c r="A4683" s="12" t="s">
        <v>6697</v>
      </c>
      <c r="B4683" s="12" t="s">
        <v>6751</v>
      </c>
      <c r="C4683" s="13" t="s">
        <v>6752</v>
      </c>
      <c r="D4683" s="13" t="s">
        <v>124</v>
      </c>
      <c r="E4683" s="12" t="s">
        <v>50</v>
      </c>
      <c r="F4683" s="13"/>
      <c r="G4683" s="13"/>
      <c r="H4683" s="13" t="s">
        <v>6753</v>
      </c>
      <c r="I4683" s="40" t="s">
        <v>18</v>
      </c>
      <c r="J4683" s="40" t="str">
        <f>HYPERLINK("https://stock.pstatic.net/stock-research/company/74/20260224_company_745975000.pdf","PDF")</f>
        <v>PDF</v>
      </c>
      <c r="K4683" s="12" t="s">
        <v>6754</v>
      </c>
    </row>
    <row r="4684" spans="1:12" x14ac:dyDescent="0.45">
      <c r="A4684" s="12" t="s">
        <v>6697</v>
      </c>
      <c r="B4684" s="12" t="s">
        <v>1946</v>
      </c>
      <c r="C4684" s="13" t="s">
        <v>1947</v>
      </c>
      <c r="D4684" s="13" t="s">
        <v>15</v>
      </c>
      <c r="E4684" s="12" t="s">
        <v>16</v>
      </c>
      <c r="F4684" s="14">
        <v>25000</v>
      </c>
      <c r="G4684" s="14">
        <v>18770</v>
      </c>
      <c r="H4684" s="13" t="s">
        <v>6755</v>
      </c>
      <c r="I4684" s="40" t="s">
        <v>18</v>
      </c>
      <c r="J4684" s="40" t="str">
        <f>HYPERLINK("https://stock.pstatic.net/stock-research/company/56/20260224_company_940329000.pdf","PDF")</f>
        <v>PDF</v>
      </c>
      <c r="K4684" s="12" t="s">
        <v>6756</v>
      </c>
      <c r="L4684" s="20">
        <v>0.33191262653169951</v>
      </c>
    </row>
    <row r="4685" spans="1:12" x14ac:dyDescent="0.45">
      <c r="A4685" s="12" t="s">
        <v>6757</v>
      </c>
      <c r="B4685" s="12" t="s">
        <v>3373</v>
      </c>
      <c r="C4685" s="13" t="s">
        <v>3374</v>
      </c>
      <c r="D4685" s="13" t="s">
        <v>853</v>
      </c>
      <c r="E4685" s="12" t="s">
        <v>35</v>
      </c>
      <c r="F4685" s="14">
        <v>175000</v>
      </c>
      <c r="G4685" s="14">
        <v>139500</v>
      </c>
      <c r="H4685" s="13" t="s">
        <v>6758</v>
      </c>
      <c r="I4685" s="40" t="s">
        <v>18</v>
      </c>
      <c r="J4685" s="40" t="str">
        <f>HYPERLINK("https://stock.pstatic.net/stock-research/company/17/20260223_company_656354000.pdf","PDF")</f>
        <v>PDF</v>
      </c>
      <c r="K4685" s="12" t="s">
        <v>6759</v>
      </c>
      <c r="L4685" s="20">
        <v>0.25448028673835132</v>
      </c>
    </row>
    <row r="4686" spans="1:12" x14ac:dyDescent="0.45">
      <c r="A4686" s="12" t="s">
        <v>6757</v>
      </c>
      <c r="B4686" s="12" t="s">
        <v>2225</v>
      </c>
      <c r="C4686" s="13" t="s">
        <v>5282</v>
      </c>
      <c r="D4686" s="13" t="s">
        <v>57</v>
      </c>
      <c r="E4686" s="12" t="s">
        <v>35</v>
      </c>
      <c r="F4686" s="14">
        <v>740000</v>
      </c>
      <c r="G4686" s="14">
        <v>486500</v>
      </c>
      <c r="H4686" s="13" t="s">
        <v>6760</v>
      </c>
      <c r="I4686" s="40" t="s">
        <v>18</v>
      </c>
      <c r="J4686" s="40" t="str">
        <f>HYPERLINK("https://stock.pstatic.net/stock-research/company/16/20260223_company_984749000.pdf","PDF")</f>
        <v>PDF</v>
      </c>
      <c r="K4686" s="12" t="s">
        <v>6761</v>
      </c>
      <c r="L4686" s="20">
        <v>0.52106885919835555</v>
      </c>
    </row>
    <row r="4687" spans="1:12" x14ac:dyDescent="0.45">
      <c r="A4687" s="12" t="s">
        <v>6757</v>
      </c>
      <c r="B4687" s="12" t="s">
        <v>1266</v>
      </c>
      <c r="C4687" s="13" t="s">
        <v>1267</v>
      </c>
      <c r="D4687" s="13" t="s">
        <v>57</v>
      </c>
      <c r="E4687" s="12" t="s">
        <v>159</v>
      </c>
      <c r="F4687" s="14">
        <v>176000</v>
      </c>
      <c r="G4687" s="14">
        <v>219000</v>
      </c>
      <c r="H4687" s="13" t="s">
        <v>6762</v>
      </c>
      <c r="I4687" s="40" t="s">
        <v>18</v>
      </c>
      <c r="J4687" s="40" t="str">
        <f>HYPERLINK("https://stock.pstatic.net/stock-research/company/16/20260223_company_193542000.pdf","PDF")</f>
        <v>PDF</v>
      </c>
      <c r="K4687" s="12" t="s">
        <v>6763</v>
      </c>
      <c r="L4687" s="20">
        <v>-0.19634703196347031</v>
      </c>
    </row>
    <row r="4688" spans="1:12" x14ac:dyDescent="0.45">
      <c r="A4688" s="12" t="s">
        <v>6757</v>
      </c>
      <c r="B4688" s="12" t="s">
        <v>1286</v>
      </c>
      <c r="C4688" s="13" t="s">
        <v>1287</v>
      </c>
      <c r="D4688" s="13" t="s">
        <v>57</v>
      </c>
      <c r="E4688" s="12" t="s">
        <v>35</v>
      </c>
      <c r="F4688" s="14">
        <v>80000</v>
      </c>
      <c r="G4688" s="14">
        <v>61100</v>
      </c>
      <c r="H4688" s="13" t="s">
        <v>6764</v>
      </c>
      <c r="I4688" s="40" t="s">
        <v>18</v>
      </c>
      <c r="J4688" s="40" t="str">
        <f>HYPERLINK("https://stock.pstatic.net/stock-research/company/16/20260223_company_21178000.pdf","PDF")</f>
        <v>PDF</v>
      </c>
      <c r="K4688" s="12" t="s">
        <v>6765</v>
      </c>
      <c r="L4688" s="20">
        <v>0.30932896890343697</v>
      </c>
    </row>
    <row r="4689" spans="1:12" x14ac:dyDescent="0.45">
      <c r="A4689" s="12" t="s">
        <v>6757</v>
      </c>
      <c r="B4689" s="12" t="s">
        <v>2262</v>
      </c>
      <c r="C4689" s="13" t="s">
        <v>2263</v>
      </c>
      <c r="D4689" s="13" t="s">
        <v>276</v>
      </c>
      <c r="E4689" s="12" t="s">
        <v>16</v>
      </c>
      <c r="F4689" s="14">
        <v>14000</v>
      </c>
      <c r="G4689" s="14">
        <v>7360</v>
      </c>
      <c r="H4689" s="13" t="s">
        <v>6766</v>
      </c>
      <c r="I4689" s="40" t="s">
        <v>18</v>
      </c>
      <c r="J4689" s="40" t="str">
        <f>HYPERLINK("https://stock.pstatic.net/stock-research/company/66/20260223_company_837347000.pdf","PDF")</f>
        <v>PDF</v>
      </c>
      <c r="K4689" s="12" t="s">
        <v>6767</v>
      </c>
      <c r="L4689" s="20">
        <v>0.90217391304347827</v>
      </c>
    </row>
    <row r="4690" spans="1:12" x14ac:dyDescent="0.45">
      <c r="A4690" s="12" t="s">
        <v>6757</v>
      </c>
      <c r="B4690" s="12" t="s">
        <v>2777</v>
      </c>
      <c r="C4690" s="13" t="s">
        <v>2778</v>
      </c>
      <c r="D4690" s="13" t="s">
        <v>60</v>
      </c>
      <c r="E4690" s="12" t="s">
        <v>35</v>
      </c>
      <c r="F4690" s="14">
        <v>540000</v>
      </c>
      <c r="G4690" s="14">
        <v>434000</v>
      </c>
      <c r="H4690" s="13" t="s">
        <v>6768</v>
      </c>
      <c r="I4690" s="40" t="s">
        <v>18</v>
      </c>
      <c r="J4690" s="40" t="str">
        <f>HYPERLINK("https://stock.pstatic.net/stock-research/company/62/20260223_company_351548000.pdf","PDF")</f>
        <v>PDF</v>
      </c>
      <c r="K4690" s="12" t="s">
        <v>6769</v>
      </c>
      <c r="L4690" s="20">
        <v>0.2442396313364055</v>
      </c>
    </row>
    <row r="4691" spans="1:12" x14ac:dyDescent="0.45">
      <c r="A4691" s="12" t="s">
        <v>6757</v>
      </c>
      <c r="B4691" s="12" t="s">
        <v>760</v>
      </c>
      <c r="C4691" s="13" t="s">
        <v>761</v>
      </c>
      <c r="D4691" s="13" t="s">
        <v>60</v>
      </c>
      <c r="E4691" s="12" t="s">
        <v>35</v>
      </c>
      <c r="F4691" s="14">
        <v>220000</v>
      </c>
      <c r="G4691" s="14">
        <v>171800</v>
      </c>
      <c r="H4691" s="13" t="s">
        <v>6770</v>
      </c>
      <c r="I4691" s="40" t="s">
        <v>18</v>
      </c>
      <c r="J4691" s="40" t="str">
        <f>HYPERLINK("https://stock.pstatic.net/stock-research/company/62/20260223_company_407902000.pdf","PDF")</f>
        <v>PDF</v>
      </c>
      <c r="K4691" s="12" t="s">
        <v>6771</v>
      </c>
      <c r="L4691" s="20">
        <v>0.28055878928987188</v>
      </c>
    </row>
    <row r="4692" spans="1:12" x14ac:dyDescent="0.45">
      <c r="A4692" s="12" t="s">
        <v>6757</v>
      </c>
      <c r="B4692" s="12" t="s">
        <v>2191</v>
      </c>
      <c r="C4692" s="13" t="s">
        <v>2192</v>
      </c>
      <c r="D4692" s="13" t="s">
        <v>60</v>
      </c>
      <c r="E4692" s="12" t="s">
        <v>35</v>
      </c>
      <c r="F4692" s="14">
        <v>130000</v>
      </c>
      <c r="G4692" s="14">
        <v>101400</v>
      </c>
      <c r="H4692" s="13" t="s">
        <v>6772</v>
      </c>
      <c r="I4692" s="40" t="s">
        <v>18</v>
      </c>
      <c r="J4692" s="40" t="str">
        <f>HYPERLINK("https://stock.pstatic.net/stock-research/company/62/20260223_company_942090000.pdf","PDF")</f>
        <v>PDF</v>
      </c>
      <c r="K4692" s="12" t="s">
        <v>6773</v>
      </c>
      <c r="L4692" s="20">
        <v>0.28205128205128199</v>
      </c>
    </row>
    <row r="4693" spans="1:12" x14ac:dyDescent="0.45">
      <c r="A4693" s="12" t="s">
        <v>6757</v>
      </c>
      <c r="B4693" s="12" t="s">
        <v>4642</v>
      </c>
      <c r="C4693" s="13" t="s">
        <v>4643</v>
      </c>
      <c r="D4693" s="13" t="s">
        <v>65</v>
      </c>
      <c r="E4693" s="12" t="s">
        <v>35</v>
      </c>
      <c r="F4693" s="14">
        <v>32000</v>
      </c>
      <c r="G4693" s="14">
        <v>25150</v>
      </c>
      <c r="H4693" s="13" t="s">
        <v>6774</v>
      </c>
      <c r="I4693" s="40" t="s">
        <v>18</v>
      </c>
      <c r="J4693" s="40" t="str">
        <f>HYPERLINK("https://stock.pstatic.net/stock-research/company/57/20260223_company_178550000.pdf","PDF")</f>
        <v>PDF</v>
      </c>
      <c r="K4693" s="12" t="s">
        <v>6775</v>
      </c>
      <c r="L4693" s="20">
        <v>0.27236580516898612</v>
      </c>
    </row>
    <row r="4694" spans="1:12" x14ac:dyDescent="0.45">
      <c r="A4694" s="12" t="s">
        <v>6757</v>
      </c>
      <c r="B4694" s="12" t="s">
        <v>344</v>
      </c>
      <c r="C4694" s="13" t="s">
        <v>345</v>
      </c>
      <c r="D4694" s="13" t="s">
        <v>65</v>
      </c>
      <c r="E4694" s="12" t="s">
        <v>35</v>
      </c>
      <c r="F4694" s="14">
        <v>21000</v>
      </c>
      <c r="G4694" s="14">
        <v>17250</v>
      </c>
      <c r="H4694" s="13" t="s">
        <v>6776</v>
      </c>
      <c r="I4694" s="40" t="s">
        <v>18</v>
      </c>
      <c r="J4694" s="40" t="str">
        <f>HYPERLINK("https://stock.pstatic.net/stock-research/company/57/20260223_company_173552000.pdf","PDF")</f>
        <v>PDF</v>
      </c>
      <c r="K4694" s="12" t="s">
        <v>6777</v>
      </c>
      <c r="L4694" s="20">
        <v>0.21739130434782611</v>
      </c>
    </row>
    <row r="4695" spans="1:12" x14ac:dyDescent="0.45">
      <c r="A4695" s="12" t="s">
        <v>6757</v>
      </c>
      <c r="B4695" s="12" t="s">
        <v>1690</v>
      </c>
      <c r="C4695" s="13" t="s">
        <v>1691</v>
      </c>
      <c r="D4695" s="13" t="s">
        <v>65</v>
      </c>
      <c r="E4695" s="12" t="s">
        <v>35</v>
      </c>
      <c r="F4695" s="14">
        <v>170000</v>
      </c>
      <c r="G4695" s="14">
        <v>127600</v>
      </c>
      <c r="H4695" s="13" t="s">
        <v>6778</v>
      </c>
      <c r="I4695" s="40" t="s">
        <v>18</v>
      </c>
      <c r="J4695" s="40" t="str">
        <f>HYPERLINK("https://stock.pstatic.net/stock-research/company/57/20260223_company_926625000.pdf","PDF")</f>
        <v>PDF</v>
      </c>
      <c r="K4695" s="12" t="s">
        <v>6779</v>
      </c>
      <c r="L4695" s="20">
        <v>0.33228840125391851</v>
      </c>
    </row>
    <row r="4696" spans="1:12" x14ac:dyDescent="0.45">
      <c r="A4696" s="12" t="s">
        <v>6757</v>
      </c>
      <c r="B4696" s="12" t="s">
        <v>2801</v>
      </c>
      <c r="C4696" s="13" t="s">
        <v>2802</v>
      </c>
      <c r="D4696" s="13" t="s">
        <v>65</v>
      </c>
      <c r="E4696" s="12" t="s">
        <v>35</v>
      </c>
      <c r="F4696" s="14">
        <v>33000</v>
      </c>
      <c r="G4696" s="14">
        <v>28400</v>
      </c>
      <c r="H4696" s="13" t="s">
        <v>6780</v>
      </c>
      <c r="I4696" s="40" t="s">
        <v>18</v>
      </c>
      <c r="J4696" s="40" t="str">
        <f>HYPERLINK("https://stock.pstatic.net/stock-research/company/57/20260223_company_568569000.pdf","PDF")</f>
        <v>PDF</v>
      </c>
      <c r="K4696" s="12" t="s">
        <v>6781</v>
      </c>
      <c r="L4696" s="20">
        <v>0.1619718309859155</v>
      </c>
    </row>
    <row r="4697" spans="1:12" x14ac:dyDescent="0.45">
      <c r="A4697" s="12" t="s">
        <v>6757</v>
      </c>
      <c r="B4697" s="12" t="s">
        <v>2191</v>
      </c>
      <c r="C4697" s="13" t="s">
        <v>2192</v>
      </c>
      <c r="D4697" s="13" t="s">
        <v>158</v>
      </c>
      <c r="E4697" s="12" t="s">
        <v>35</v>
      </c>
      <c r="F4697" s="14">
        <v>120000</v>
      </c>
      <c r="G4697" s="14">
        <v>101400</v>
      </c>
      <c r="H4697" s="13" t="s">
        <v>6782</v>
      </c>
      <c r="I4697" s="40" t="s">
        <v>18</v>
      </c>
      <c r="J4697" s="40" t="str">
        <f>HYPERLINK("https://stock.pstatic.net/stock-research/company/18/20260223_company_25797000.pdf","PDF")</f>
        <v>PDF</v>
      </c>
      <c r="K4697" s="12" t="s">
        <v>6783</v>
      </c>
      <c r="L4697" s="20">
        <v>0.18343195266272189</v>
      </c>
    </row>
    <row r="4698" spans="1:12" x14ac:dyDescent="0.45">
      <c r="A4698" s="12" t="s">
        <v>6757</v>
      </c>
      <c r="B4698" s="12" t="s">
        <v>6784</v>
      </c>
      <c r="C4698" s="13" t="s">
        <v>6785</v>
      </c>
      <c r="D4698" s="13" t="s">
        <v>158</v>
      </c>
      <c r="E4698" s="12" t="s">
        <v>50</v>
      </c>
      <c r="F4698" s="13"/>
      <c r="G4698" s="14">
        <v>6290</v>
      </c>
      <c r="H4698" s="13" t="s">
        <v>6786</v>
      </c>
      <c r="I4698" s="40" t="s">
        <v>18</v>
      </c>
      <c r="J4698" s="40" t="str">
        <f>HYPERLINK("https://stock.pstatic.net/stock-research/company/18/20260223_company_52691000.pdf","PDF")</f>
        <v>PDF</v>
      </c>
      <c r="K4698" s="12" t="s">
        <v>6787</v>
      </c>
    </row>
    <row r="4699" spans="1:12" x14ac:dyDescent="0.45">
      <c r="A4699" s="12" t="s">
        <v>6757</v>
      </c>
      <c r="B4699" s="12" t="s">
        <v>446</v>
      </c>
      <c r="C4699" s="13" t="s">
        <v>447</v>
      </c>
      <c r="D4699" s="13" t="s">
        <v>83</v>
      </c>
      <c r="E4699" s="12" t="s">
        <v>50</v>
      </c>
      <c r="F4699" s="13"/>
      <c r="G4699" s="14">
        <v>6600</v>
      </c>
      <c r="H4699" s="13" t="s">
        <v>6788</v>
      </c>
      <c r="I4699" s="40" t="s">
        <v>18</v>
      </c>
      <c r="J4699" s="40" t="str">
        <f>HYPERLINK("https://stock.pstatic.net/stock-research/company/15/20260223_company_513345000.pdf","PDF")</f>
        <v>PDF</v>
      </c>
      <c r="K4699" s="12" t="s">
        <v>6789</v>
      </c>
    </row>
    <row r="4700" spans="1:12" x14ac:dyDescent="0.45">
      <c r="A4700" s="12" t="s">
        <v>6757</v>
      </c>
      <c r="B4700" s="12" t="s">
        <v>1266</v>
      </c>
      <c r="C4700" s="13" t="s">
        <v>1267</v>
      </c>
      <c r="D4700" s="13" t="s">
        <v>83</v>
      </c>
      <c r="E4700" s="12" t="s">
        <v>642</v>
      </c>
      <c r="F4700" s="14">
        <v>220000</v>
      </c>
      <c r="G4700" s="14">
        <v>219000</v>
      </c>
      <c r="H4700" s="13" t="s">
        <v>6790</v>
      </c>
      <c r="I4700" s="40" t="s">
        <v>18</v>
      </c>
      <c r="J4700" s="40" t="str">
        <f>HYPERLINK("https://stock.pstatic.net/stock-research/company/15/20260223_company_662368000.pdf","PDF")</f>
        <v>PDF</v>
      </c>
      <c r="K4700" s="12" t="s">
        <v>6791</v>
      </c>
      <c r="L4700" s="20">
        <v>4.5662100456621002E-3</v>
      </c>
    </row>
    <row r="4701" spans="1:12" x14ac:dyDescent="0.45">
      <c r="A4701" s="12" t="s">
        <v>6757</v>
      </c>
      <c r="B4701" s="12" t="s">
        <v>2811</v>
      </c>
      <c r="C4701" s="13" t="s">
        <v>2812</v>
      </c>
      <c r="D4701" s="13" t="s">
        <v>83</v>
      </c>
      <c r="E4701" s="12" t="s">
        <v>50</v>
      </c>
      <c r="F4701" s="13"/>
      <c r="G4701" s="14">
        <v>30250</v>
      </c>
      <c r="H4701" s="13" t="s">
        <v>6792</v>
      </c>
      <c r="I4701" s="40" t="s">
        <v>18</v>
      </c>
      <c r="J4701" s="40" t="str">
        <f>HYPERLINK("https://stock.pstatic.net/stock-research/company/15/20260223_company_72528000.pdf","PDF")</f>
        <v>PDF</v>
      </c>
      <c r="K4701" s="12" t="s">
        <v>6793</v>
      </c>
    </row>
    <row r="4702" spans="1:12" x14ac:dyDescent="0.45">
      <c r="A4702" s="12" t="s">
        <v>6757</v>
      </c>
      <c r="B4702" s="12" t="s">
        <v>334</v>
      </c>
      <c r="C4702" s="13" t="s">
        <v>335</v>
      </c>
      <c r="D4702" s="13" t="s">
        <v>83</v>
      </c>
      <c r="E4702" s="12" t="s">
        <v>35</v>
      </c>
      <c r="F4702" s="14">
        <v>1450000</v>
      </c>
      <c r="G4702" s="14">
        <v>949000</v>
      </c>
      <c r="H4702" s="13" t="s">
        <v>6794</v>
      </c>
      <c r="I4702" s="40" t="s">
        <v>18</v>
      </c>
      <c r="J4702" s="40" t="str">
        <f>HYPERLINK("https://stock.pstatic.net/stock-research/company/15/20260223_company_732932000.pdf","PDF")</f>
        <v>PDF</v>
      </c>
      <c r="K4702" s="12" t="s">
        <v>6795</v>
      </c>
      <c r="L4702" s="20">
        <v>0.52792413066385668</v>
      </c>
    </row>
    <row r="4703" spans="1:12" x14ac:dyDescent="0.45">
      <c r="A4703" s="12" t="s">
        <v>6757</v>
      </c>
      <c r="B4703" s="12" t="s">
        <v>13</v>
      </c>
      <c r="C4703" s="13" t="s">
        <v>14</v>
      </c>
      <c r="D4703" s="13" t="s">
        <v>83</v>
      </c>
      <c r="E4703" s="12" t="s">
        <v>35</v>
      </c>
      <c r="F4703" s="14">
        <v>270000</v>
      </c>
      <c r="G4703" s="14">
        <v>190100</v>
      </c>
      <c r="H4703" s="13" t="s">
        <v>6796</v>
      </c>
      <c r="I4703" s="40" t="s">
        <v>18</v>
      </c>
      <c r="J4703" s="40" t="str">
        <f>HYPERLINK("https://stock.pstatic.net/stock-research/company/15/20260223_company_796505000.pdf","PDF")</f>
        <v>PDF</v>
      </c>
      <c r="K4703" s="12" t="s">
        <v>6797</v>
      </c>
      <c r="L4703" s="20">
        <v>0.42030510257759068</v>
      </c>
    </row>
    <row r="4704" spans="1:12" x14ac:dyDescent="0.45">
      <c r="A4704" s="12" t="s">
        <v>6757</v>
      </c>
      <c r="B4704" s="12" t="s">
        <v>1274</v>
      </c>
      <c r="C4704" s="13" t="s">
        <v>1275</v>
      </c>
      <c r="D4704" s="13" t="s">
        <v>83</v>
      </c>
      <c r="E4704" s="12" t="s">
        <v>35</v>
      </c>
      <c r="F4704" s="14">
        <v>250000</v>
      </c>
      <c r="G4704" s="14">
        <v>192300</v>
      </c>
      <c r="H4704" s="13" t="s">
        <v>6798</v>
      </c>
      <c r="I4704" s="40" t="s">
        <v>18</v>
      </c>
      <c r="J4704" s="40" t="str">
        <f>HYPERLINK("https://stock.pstatic.net/stock-research/company/15/20260223_company_983865000.pdf","PDF")</f>
        <v>PDF</v>
      </c>
      <c r="K4704" s="12" t="s">
        <v>6799</v>
      </c>
      <c r="L4704" s="20">
        <v>0.3000520020800832</v>
      </c>
    </row>
    <row r="4705" spans="1:12" x14ac:dyDescent="0.45">
      <c r="A4705" s="12" t="s">
        <v>6757</v>
      </c>
      <c r="B4705" s="12" t="s">
        <v>1258</v>
      </c>
      <c r="C4705" s="13" t="s">
        <v>1259</v>
      </c>
      <c r="D4705" s="13" t="s">
        <v>83</v>
      </c>
      <c r="E4705" s="12" t="s">
        <v>642</v>
      </c>
      <c r="F4705" s="14">
        <v>620000</v>
      </c>
      <c r="G4705" s="14">
        <v>570000</v>
      </c>
      <c r="H4705" s="13" t="s">
        <v>6800</v>
      </c>
      <c r="I4705" s="40" t="s">
        <v>18</v>
      </c>
      <c r="J4705" s="40" t="str">
        <f>HYPERLINK("https://stock.pstatic.net/stock-research/company/15/20260223_company_941851000.pdf","PDF")</f>
        <v>PDF</v>
      </c>
      <c r="K4705" s="12" t="s">
        <v>6801</v>
      </c>
      <c r="L4705" s="20">
        <v>8.771929824561403E-2</v>
      </c>
    </row>
    <row r="4706" spans="1:12" x14ac:dyDescent="0.45">
      <c r="A4706" s="12" t="s">
        <v>6757</v>
      </c>
      <c r="B4706" s="12" t="s">
        <v>1694</v>
      </c>
      <c r="C4706" s="13" t="s">
        <v>1695</v>
      </c>
      <c r="D4706" s="13" t="s">
        <v>15</v>
      </c>
      <c r="E4706" s="12" t="s">
        <v>16</v>
      </c>
      <c r="F4706" s="14">
        <v>100000</v>
      </c>
      <c r="G4706" s="14">
        <v>69500</v>
      </c>
      <c r="H4706" s="13" t="s">
        <v>6802</v>
      </c>
      <c r="I4706" s="40" t="s">
        <v>18</v>
      </c>
      <c r="J4706" s="40" t="str">
        <f>HYPERLINK("https://stock.pstatic.net/stock-research/company/56/20260223_company_405479000.pdf","PDF")</f>
        <v>PDF</v>
      </c>
      <c r="K4706" s="12" t="s">
        <v>6803</v>
      </c>
      <c r="L4706" s="20">
        <v>0.43884892086330929</v>
      </c>
    </row>
    <row r="4707" spans="1:12" x14ac:dyDescent="0.45">
      <c r="A4707" s="12" t="s">
        <v>6757</v>
      </c>
      <c r="B4707" s="12" t="s">
        <v>72</v>
      </c>
      <c r="C4707" s="13" t="s">
        <v>73</v>
      </c>
      <c r="D4707" s="13" t="s">
        <v>92</v>
      </c>
      <c r="E4707" s="12" t="s">
        <v>35</v>
      </c>
      <c r="F4707" s="14">
        <v>380000</v>
      </c>
      <c r="G4707" s="14">
        <v>331000</v>
      </c>
      <c r="H4707" s="13" t="s">
        <v>6804</v>
      </c>
      <c r="I4707" s="40" t="s">
        <v>18</v>
      </c>
      <c r="J4707" s="40" t="str">
        <f>HYPERLINK("https://stock.pstatic.net/stock-research/company/63/20260223_company_316759000.pdf","PDF")</f>
        <v>PDF</v>
      </c>
      <c r="K4707" s="12" t="s">
        <v>6805</v>
      </c>
      <c r="L4707" s="20">
        <v>0.14803625377643501</v>
      </c>
    </row>
    <row r="4708" spans="1:12" x14ac:dyDescent="0.45">
      <c r="A4708" s="12" t="s">
        <v>6757</v>
      </c>
      <c r="B4708" s="12" t="s">
        <v>6806</v>
      </c>
      <c r="C4708" s="13" t="s">
        <v>6807</v>
      </c>
      <c r="D4708" s="13" t="s">
        <v>15</v>
      </c>
      <c r="E4708" s="12" t="s">
        <v>50</v>
      </c>
      <c r="F4708" s="13"/>
      <c r="G4708" s="14">
        <v>38700</v>
      </c>
      <c r="H4708" s="13" t="s">
        <v>6808</v>
      </c>
      <c r="I4708" s="40" t="s">
        <v>18</v>
      </c>
      <c r="J4708" s="40" t="str">
        <f>HYPERLINK("https://stock.pstatic.net/stock-research/company/56/20260223_company_665922000.pdf","PDF")</f>
        <v>PDF</v>
      </c>
      <c r="K4708" s="12" t="s">
        <v>6809</v>
      </c>
    </row>
    <row r="4709" spans="1:12" x14ac:dyDescent="0.45">
      <c r="A4709" s="12" t="s">
        <v>6757</v>
      </c>
      <c r="B4709" s="12" t="s">
        <v>3805</v>
      </c>
      <c r="C4709" s="13" t="s">
        <v>3806</v>
      </c>
      <c r="D4709" s="13" t="s">
        <v>23</v>
      </c>
      <c r="E4709" s="12" t="s">
        <v>16</v>
      </c>
      <c r="F4709" s="14">
        <v>7700</v>
      </c>
      <c r="G4709" s="14">
        <v>5940</v>
      </c>
      <c r="H4709" s="13" t="s">
        <v>6810</v>
      </c>
      <c r="I4709" s="40" t="s">
        <v>18</v>
      </c>
      <c r="J4709" s="40" t="str">
        <f>HYPERLINK("https://stock.pstatic.net/stock-research/company/21/20260223_company_914251000.pdf","PDF")</f>
        <v>PDF</v>
      </c>
      <c r="K4709" s="12" t="s">
        <v>6811</v>
      </c>
      <c r="L4709" s="20">
        <v>0.29629629629629628</v>
      </c>
    </row>
    <row r="4710" spans="1:12" x14ac:dyDescent="0.45">
      <c r="A4710" s="12" t="s">
        <v>6757</v>
      </c>
      <c r="B4710" s="12" t="s">
        <v>6812</v>
      </c>
      <c r="C4710" s="13" t="s">
        <v>6813</v>
      </c>
      <c r="D4710" s="13" t="s">
        <v>34</v>
      </c>
      <c r="E4710" s="12" t="s">
        <v>35</v>
      </c>
      <c r="F4710" s="14">
        <v>51000</v>
      </c>
      <c r="G4710" s="14">
        <v>43850</v>
      </c>
      <c r="H4710" s="13" t="s">
        <v>6814</v>
      </c>
      <c r="I4710" s="40" t="s">
        <v>18</v>
      </c>
      <c r="J4710" s="40" t="str">
        <f>HYPERLINK("https://stock.pstatic.net/stock-research/company/61/20260223_company_405489000.pdf","PDF")</f>
        <v>PDF</v>
      </c>
      <c r="K4710" s="12" t="s">
        <v>6815</v>
      </c>
      <c r="L4710" s="20">
        <v>0.16305587229190421</v>
      </c>
    </row>
    <row r="4711" spans="1:12" x14ac:dyDescent="0.45">
      <c r="A4711" s="12" t="s">
        <v>6757</v>
      </c>
      <c r="B4711" s="12" t="s">
        <v>1266</v>
      </c>
      <c r="C4711" s="13" t="s">
        <v>1267</v>
      </c>
      <c r="D4711" s="13" t="s">
        <v>23</v>
      </c>
      <c r="E4711" s="12" t="s">
        <v>16</v>
      </c>
      <c r="F4711" s="14">
        <v>330000</v>
      </c>
      <c r="G4711" s="14">
        <v>219000</v>
      </c>
      <c r="H4711" s="13" t="s">
        <v>6816</v>
      </c>
      <c r="I4711" s="40" t="s">
        <v>18</v>
      </c>
      <c r="J4711" s="40" t="str">
        <f>HYPERLINK("https://stock.pstatic.net/stock-research/company/21/20260223_company_708812000.pdf","PDF")</f>
        <v>PDF</v>
      </c>
      <c r="K4711" s="12" t="s">
        <v>6817</v>
      </c>
      <c r="L4711" s="20">
        <v>0.50684931506849318</v>
      </c>
    </row>
    <row r="4712" spans="1:12" x14ac:dyDescent="0.45">
      <c r="A4712" s="12" t="s">
        <v>6757</v>
      </c>
      <c r="B4712" s="12" t="s">
        <v>1258</v>
      </c>
      <c r="C4712" s="13" t="s">
        <v>1259</v>
      </c>
      <c r="D4712" s="13" t="s">
        <v>23</v>
      </c>
      <c r="E4712" s="12" t="s">
        <v>16</v>
      </c>
      <c r="F4712" s="14">
        <v>850000</v>
      </c>
      <c r="G4712" s="14">
        <v>618000</v>
      </c>
      <c r="H4712" s="13" t="s">
        <v>6818</v>
      </c>
      <c r="I4712" s="40" t="s">
        <v>18</v>
      </c>
      <c r="J4712" s="40" t="str">
        <f>HYPERLINK("https://stock.pstatic.net/stock-research/company/21/20260223_company_564146000.pdf","PDF")</f>
        <v>PDF</v>
      </c>
      <c r="K4712" s="12" t="s">
        <v>6819</v>
      </c>
      <c r="L4712" s="20">
        <v>0.37540453074433661</v>
      </c>
    </row>
    <row r="4713" spans="1:12" x14ac:dyDescent="0.45">
      <c r="A4713" s="12" t="s">
        <v>6757</v>
      </c>
      <c r="B4713" s="12" t="s">
        <v>1274</v>
      </c>
      <c r="C4713" s="13" t="s">
        <v>1275</v>
      </c>
      <c r="D4713" s="13" t="s">
        <v>23</v>
      </c>
      <c r="E4713" s="12" t="s">
        <v>16</v>
      </c>
      <c r="F4713" s="14">
        <v>283000</v>
      </c>
      <c r="G4713" s="14">
        <v>192300</v>
      </c>
      <c r="H4713" s="13" t="s">
        <v>6820</v>
      </c>
      <c r="I4713" s="40" t="s">
        <v>18</v>
      </c>
      <c r="J4713" s="40" t="str">
        <f>HYPERLINK("https://stock.pstatic.net/stock-research/company/21/20260223_company_271115000.pdf","PDF")</f>
        <v>PDF</v>
      </c>
      <c r="K4713" s="12" t="s">
        <v>6821</v>
      </c>
      <c r="L4713" s="20">
        <v>0.4716588663546542</v>
      </c>
    </row>
    <row r="4714" spans="1:12" x14ac:dyDescent="0.45">
      <c r="A4714" s="12" t="s">
        <v>6757</v>
      </c>
      <c r="B4714" s="12" t="s">
        <v>268</v>
      </c>
      <c r="C4714" s="13" t="s">
        <v>269</v>
      </c>
      <c r="D4714" s="13" t="s">
        <v>23</v>
      </c>
      <c r="E4714" s="12" t="s">
        <v>16</v>
      </c>
      <c r="F4714" s="14">
        <v>570000</v>
      </c>
      <c r="G4714" s="14">
        <v>402000</v>
      </c>
      <c r="H4714" s="13" t="s">
        <v>6822</v>
      </c>
      <c r="I4714" s="40" t="s">
        <v>18</v>
      </c>
      <c r="J4714" s="40" t="str">
        <f>HYPERLINK("https://stock.pstatic.net/stock-research/company/21/20260223_company_845620000.pdf","PDF")</f>
        <v>PDF</v>
      </c>
      <c r="K4714" s="12" t="s">
        <v>6823</v>
      </c>
      <c r="L4714" s="20">
        <v>0.41791044776119401</v>
      </c>
    </row>
    <row r="4715" spans="1:12" x14ac:dyDescent="0.45">
      <c r="A4715" s="12" t="s">
        <v>6757</v>
      </c>
      <c r="B4715" s="12" t="s">
        <v>760</v>
      </c>
      <c r="C4715" s="13" t="s">
        <v>761</v>
      </c>
      <c r="D4715" s="13" t="s">
        <v>23</v>
      </c>
      <c r="E4715" s="12" t="s">
        <v>16</v>
      </c>
      <c r="F4715" s="14">
        <v>260000</v>
      </c>
      <c r="G4715" s="14">
        <v>171800</v>
      </c>
      <c r="H4715" s="13" t="s">
        <v>6824</v>
      </c>
      <c r="I4715" s="40" t="s">
        <v>18</v>
      </c>
      <c r="J4715" s="40" t="str">
        <f>HYPERLINK("https://stock.pstatic.net/stock-research/company/21/20260223_company_525971000.pdf","PDF")</f>
        <v>PDF</v>
      </c>
      <c r="K4715" s="12" t="s">
        <v>6825</v>
      </c>
      <c r="L4715" s="20">
        <v>0.51338766006984871</v>
      </c>
    </row>
    <row r="4716" spans="1:12" x14ac:dyDescent="0.45">
      <c r="A4716" s="12" t="s">
        <v>6757</v>
      </c>
      <c r="B4716" s="12" t="s">
        <v>1274</v>
      </c>
      <c r="C4716" s="13" t="s">
        <v>1275</v>
      </c>
      <c r="D4716" s="13" t="s">
        <v>44</v>
      </c>
      <c r="E4716" s="12" t="s">
        <v>35</v>
      </c>
      <c r="F4716" s="14">
        <v>250000</v>
      </c>
      <c r="G4716" s="14">
        <v>192300</v>
      </c>
      <c r="H4716" s="13" t="s">
        <v>6826</v>
      </c>
      <c r="I4716" s="40" t="s">
        <v>18</v>
      </c>
      <c r="J4716" s="40" t="str">
        <f>HYPERLINK("https://stock.pstatic.net/stock-research/company/39/20260223_company_702531000.pdf","PDF")</f>
        <v>PDF</v>
      </c>
      <c r="K4716" s="12" t="s">
        <v>6827</v>
      </c>
      <c r="L4716" s="20">
        <v>0.3000520020800832</v>
      </c>
    </row>
    <row r="4717" spans="1:12" x14ac:dyDescent="0.45">
      <c r="A4717" s="12" t="s">
        <v>6757</v>
      </c>
      <c r="B4717" s="12" t="s">
        <v>418</v>
      </c>
      <c r="C4717" s="13" t="s">
        <v>419</v>
      </c>
      <c r="D4717" s="13" t="s">
        <v>34</v>
      </c>
      <c r="E4717" s="12" t="s">
        <v>35</v>
      </c>
      <c r="F4717" s="14">
        <v>23000</v>
      </c>
      <c r="G4717" s="14">
        <v>17930</v>
      </c>
      <c r="H4717" s="13" t="s">
        <v>6828</v>
      </c>
      <c r="I4717" s="40" t="s">
        <v>18</v>
      </c>
      <c r="J4717" s="40" t="str">
        <f>HYPERLINK("https://stock.pstatic.net/stock-research/company/61/20260223_company_38900000.pdf","PDF")</f>
        <v>PDF</v>
      </c>
      <c r="K4717" s="12" t="s">
        <v>6829</v>
      </c>
      <c r="L4717" s="20">
        <v>0.28276631344115999</v>
      </c>
    </row>
    <row r="4718" spans="1:12" x14ac:dyDescent="0.45">
      <c r="A4718" s="12" t="s">
        <v>6757</v>
      </c>
      <c r="B4718" s="12" t="s">
        <v>1258</v>
      </c>
      <c r="C4718" s="13" t="s">
        <v>1259</v>
      </c>
      <c r="D4718" s="13" t="s">
        <v>44</v>
      </c>
      <c r="E4718" s="12" t="s">
        <v>35</v>
      </c>
      <c r="F4718" s="14">
        <v>750000</v>
      </c>
      <c r="G4718" s="14">
        <v>618000</v>
      </c>
      <c r="H4718" s="13" t="s">
        <v>6830</v>
      </c>
      <c r="I4718" s="40" t="s">
        <v>18</v>
      </c>
      <c r="J4718" s="40" t="str">
        <f>HYPERLINK("https://stock.pstatic.net/stock-research/company/39/20260223_company_967638000.pdf","PDF")</f>
        <v>PDF</v>
      </c>
      <c r="K4718" s="12" t="s">
        <v>6831</v>
      </c>
      <c r="L4718" s="20">
        <v>0.2135922330097087</v>
      </c>
    </row>
    <row r="4719" spans="1:12" x14ac:dyDescent="0.45">
      <c r="A4719" s="12" t="s">
        <v>6757</v>
      </c>
      <c r="B4719" s="12" t="s">
        <v>1266</v>
      </c>
      <c r="C4719" s="13" t="s">
        <v>1267</v>
      </c>
      <c r="D4719" s="13" t="s">
        <v>44</v>
      </c>
      <c r="E4719" s="12" t="s">
        <v>35</v>
      </c>
      <c r="F4719" s="14">
        <v>300000</v>
      </c>
      <c r="G4719" s="14">
        <v>219000</v>
      </c>
      <c r="H4719" s="13" t="s">
        <v>6832</v>
      </c>
      <c r="I4719" s="40" t="s">
        <v>18</v>
      </c>
      <c r="J4719" s="40" t="str">
        <f>HYPERLINK("https://stock.pstatic.net/stock-research/company/39/20260223_company_985678000.pdf","PDF")</f>
        <v>PDF</v>
      </c>
      <c r="K4719" s="12" t="s">
        <v>6833</v>
      </c>
      <c r="L4719" s="20">
        <v>0.36986301369863012</v>
      </c>
    </row>
    <row r="4720" spans="1:12" x14ac:dyDescent="0.45">
      <c r="A4720" s="12" t="s">
        <v>6757</v>
      </c>
      <c r="B4720" s="12" t="s">
        <v>1966</v>
      </c>
      <c r="C4720" s="13" t="s">
        <v>1967</v>
      </c>
      <c r="D4720" s="13" t="s">
        <v>92</v>
      </c>
      <c r="E4720" s="12" t="s">
        <v>35</v>
      </c>
      <c r="F4720" s="14">
        <v>7800</v>
      </c>
      <c r="G4720" s="14">
        <v>5210</v>
      </c>
      <c r="H4720" s="13" t="s">
        <v>6834</v>
      </c>
      <c r="I4720" s="40" t="s">
        <v>18</v>
      </c>
      <c r="J4720" s="40" t="str">
        <f>HYPERLINK("https://stock.pstatic.net/stock-research/company/63/20260223_company_517240000.pdf","PDF")</f>
        <v>PDF</v>
      </c>
      <c r="K4720" s="12" t="s">
        <v>6835</v>
      </c>
      <c r="L4720" s="20">
        <v>0.49712092130518232</v>
      </c>
    </row>
    <row r="4721" spans="1:12" x14ac:dyDescent="0.45">
      <c r="A4721" s="12" t="s">
        <v>6757</v>
      </c>
      <c r="B4721" s="12" t="s">
        <v>981</v>
      </c>
      <c r="C4721" s="13" t="s">
        <v>982</v>
      </c>
      <c r="D4721" s="13" t="s">
        <v>92</v>
      </c>
      <c r="E4721" s="12" t="s">
        <v>50</v>
      </c>
      <c r="F4721" s="13"/>
      <c r="G4721" s="14">
        <v>34150</v>
      </c>
      <c r="H4721" s="13" t="s">
        <v>6836</v>
      </c>
      <c r="I4721" s="40" t="s">
        <v>18</v>
      </c>
      <c r="J4721" s="40" t="str">
        <f>HYPERLINK("https://stock.pstatic.net/stock-research/company/63/20260223_company_605709000.pdf","PDF")</f>
        <v>PDF</v>
      </c>
      <c r="K4721" s="12" t="s">
        <v>6837</v>
      </c>
    </row>
    <row r="4722" spans="1:12" x14ac:dyDescent="0.45">
      <c r="A4722" s="12" t="s">
        <v>6757</v>
      </c>
      <c r="B4722" s="12" t="s">
        <v>2365</v>
      </c>
      <c r="C4722" s="13" t="s">
        <v>2366</v>
      </c>
      <c r="D4722" s="13" t="s">
        <v>44</v>
      </c>
      <c r="E4722" s="12" t="s">
        <v>35</v>
      </c>
      <c r="F4722" s="14">
        <v>177000</v>
      </c>
      <c r="G4722" s="14">
        <v>114700</v>
      </c>
      <c r="H4722" s="13" t="s">
        <v>6838</v>
      </c>
      <c r="I4722" s="40" t="s">
        <v>18</v>
      </c>
      <c r="J4722" s="40" t="str">
        <f>HYPERLINK("https://stock.pstatic.net/stock-research/company/39/20260223_company_871053000.pdf","PDF")</f>
        <v>PDF</v>
      </c>
      <c r="K4722" s="12" t="s">
        <v>6839</v>
      </c>
      <c r="L4722" s="20">
        <v>0.54315605928509159</v>
      </c>
    </row>
    <row r="4723" spans="1:12" x14ac:dyDescent="0.45">
      <c r="A4723" s="12" t="s">
        <v>6757</v>
      </c>
      <c r="B4723" s="12" t="s">
        <v>398</v>
      </c>
      <c r="C4723" s="13" t="s">
        <v>399</v>
      </c>
      <c r="D4723" s="13" t="s">
        <v>44</v>
      </c>
      <c r="E4723" s="12" t="s">
        <v>45</v>
      </c>
      <c r="F4723" s="14">
        <v>270000</v>
      </c>
      <c r="G4723" s="14">
        <v>233000</v>
      </c>
      <c r="H4723" s="13" t="s">
        <v>6840</v>
      </c>
      <c r="I4723" s="40" t="s">
        <v>18</v>
      </c>
      <c r="J4723" s="40" t="str">
        <f>HYPERLINK("https://stock.pstatic.net/stock-research/company/39/20260223_company_384140000.pdf","PDF")</f>
        <v>PDF</v>
      </c>
      <c r="K4723" s="12" t="s">
        <v>6841</v>
      </c>
      <c r="L4723" s="20">
        <v>0.15879828326180259</v>
      </c>
    </row>
    <row r="4724" spans="1:12" x14ac:dyDescent="0.45">
      <c r="A4724" s="12" t="s">
        <v>6757</v>
      </c>
      <c r="B4724" s="12" t="s">
        <v>4846</v>
      </c>
      <c r="C4724" s="13" t="s">
        <v>4847</v>
      </c>
      <c r="D4724" s="13" t="s">
        <v>124</v>
      </c>
      <c r="E4724" s="12" t="s">
        <v>50</v>
      </c>
      <c r="F4724" s="13"/>
      <c r="G4724" s="13"/>
      <c r="H4724" s="13" t="s">
        <v>6842</v>
      </c>
      <c r="I4724" s="40" t="s">
        <v>18</v>
      </c>
      <c r="J4724" s="40" t="str">
        <f>HYPERLINK("https://stock.pstatic.net/stock-research/company/74/20260223_company_743932000.pdf","PDF")</f>
        <v>PDF</v>
      </c>
      <c r="K4724" s="12" t="s">
        <v>6843</v>
      </c>
    </row>
    <row r="4725" spans="1:12" x14ac:dyDescent="0.45">
      <c r="A4725" s="12" t="s">
        <v>6757</v>
      </c>
      <c r="B4725" s="12" t="s">
        <v>1274</v>
      </c>
      <c r="C4725" s="13" t="s">
        <v>1275</v>
      </c>
      <c r="D4725" s="13" t="s">
        <v>15</v>
      </c>
      <c r="E4725" s="12" t="s">
        <v>385</v>
      </c>
      <c r="F4725" s="14">
        <v>210000</v>
      </c>
      <c r="G4725" s="14">
        <v>192300</v>
      </c>
      <c r="H4725" s="13" t="s">
        <v>6844</v>
      </c>
      <c r="I4725" s="40" t="s">
        <v>18</v>
      </c>
      <c r="J4725" s="40" t="str">
        <f>HYPERLINK("https://stock.pstatic.net/stock-research/company/56/20260223_company_74639000.pdf","PDF")</f>
        <v>PDF</v>
      </c>
      <c r="K4725" s="12" t="s">
        <v>6845</v>
      </c>
      <c r="L4725" s="20">
        <v>9.2043681747269887E-2</v>
      </c>
    </row>
    <row r="4726" spans="1:12" x14ac:dyDescent="0.45">
      <c r="A4726" s="12" t="s">
        <v>6757</v>
      </c>
      <c r="B4726" s="12" t="s">
        <v>1042</v>
      </c>
      <c r="C4726" s="13" t="s">
        <v>1043</v>
      </c>
      <c r="D4726" s="13" t="s">
        <v>53</v>
      </c>
      <c r="E4726" s="12" t="s">
        <v>16</v>
      </c>
      <c r="F4726" s="14">
        <v>48000</v>
      </c>
      <c r="G4726" s="14">
        <v>33800</v>
      </c>
      <c r="H4726" s="13" t="s">
        <v>6846</v>
      </c>
      <c r="I4726" s="40" t="s">
        <v>18</v>
      </c>
      <c r="J4726" s="40" t="str">
        <f>HYPERLINK("https://stock.pstatic.net/stock-research/company/40/20260223_company_262872000.pdf","PDF")</f>
        <v>PDF</v>
      </c>
      <c r="K4726" s="12" t="s">
        <v>6847</v>
      </c>
      <c r="L4726" s="20">
        <v>0.42011834319526631</v>
      </c>
    </row>
    <row r="4727" spans="1:12" x14ac:dyDescent="0.45">
      <c r="A4727" s="12" t="s">
        <v>6757</v>
      </c>
      <c r="B4727" s="12" t="s">
        <v>1258</v>
      </c>
      <c r="C4727" s="13" t="s">
        <v>1259</v>
      </c>
      <c r="D4727" s="13" t="s">
        <v>15</v>
      </c>
      <c r="E4727" s="12" t="s">
        <v>385</v>
      </c>
      <c r="F4727" s="14">
        <v>600000</v>
      </c>
      <c r="G4727" s="14">
        <v>570000</v>
      </c>
      <c r="H4727" s="13" t="s">
        <v>6848</v>
      </c>
      <c r="I4727" s="40" t="s">
        <v>18</v>
      </c>
      <c r="J4727" s="40" t="str">
        <f>HYPERLINK("https://stock.pstatic.net/stock-research/company/56/20260223_company_10372000.pdf","PDF")</f>
        <v>PDF</v>
      </c>
      <c r="K4727" s="12" t="s">
        <v>6849</v>
      </c>
      <c r="L4727" s="20">
        <v>5.2631578947368418E-2</v>
      </c>
    </row>
    <row r="4728" spans="1:12" x14ac:dyDescent="0.45">
      <c r="A4728" s="12" t="s">
        <v>6850</v>
      </c>
      <c r="B4728" s="12" t="s">
        <v>2369</v>
      </c>
      <c r="C4728" s="13" t="s">
        <v>2370</v>
      </c>
      <c r="D4728" s="13" t="s">
        <v>65</v>
      </c>
      <c r="E4728" s="12" t="s">
        <v>35</v>
      </c>
      <c r="F4728" s="14">
        <v>469000</v>
      </c>
      <c r="G4728" s="14">
        <v>408000</v>
      </c>
      <c r="H4728" s="13" t="s">
        <v>6851</v>
      </c>
      <c r="I4728" s="40" t="s">
        <v>18</v>
      </c>
      <c r="J4728" s="40" t="str">
        <f>HYPERLINK("https://stock.pstatic.net/stock-research/company/57/20260220_company_734575000.pdf","PDF")</f>
        <v>PDF</v>
      </c>
      <c r="K4728" s="12" t="s">
        <v>6852</v>
      </c>
      <c r="L4728" s="20">
        <v>0.1495098039215686</v>
      </c>
    </row>
    <row r="4729" spans="1:12" x14ac:dyDescent="0.45">
      <c r="A4729" s="12" t="s">
        <v>6850</v>
      </c>
      <c r="B4729" s="12" t="s">
        <v>330</v>
      </c>
      <c r="C4729" s="13" t="s">
        <v>331</v>
      </c>
      <c r="D4729" s="13" t="s">
        <v>65</v>
      </c>
      <c r="E4729" s="12" t="s">
        <v>35</v>
      </c>
      <c r="F4729" s="14">
        <v>65000</v>
      </c>
      <c r="G4729" s="14">
        <v>58500</v>
      </c>
      <c r="H4729" s="13" t="s">
        <v>6853</v>
      </c>
      <c r="I4729" s="40" t="s">
        <v>18</v>
      </c>
      <c r="J4729" s="40" t="str">
        <f>HYPERLINK("https://stock.pstatic.net/stock-research/company/57/20260220_company_384531000.pdf","PDF")</f>
        <v>PDF</v>
      </c>
      <c r="K4729" s="12" t="s">
        <v>6854</v>
      </c>
      <c r="L4729" s="20">
        <v>0.1111111111111111</v>
      </c>
    </row>
    <row r="4730" spans="1:12" x14ac:dyDescent="0.45">
      <c r="A4730" s="12" t="s">
        <v>6850</v>
      </c>
      <c r="B4730" s="12" t="s">
        <v>1883</v>
      </c>
      <c r="C4730" s="13" t="s">
        <v>1884</v>
      </c>
      <c r="D4730" s="13" t="s">
        <v>15</v>
      </c>
      <c r="E4730" s="12" t="s">
        <v>16</v>
      </c>
      <c r="F4730" s="14">
        <v>28500</v>
      </c>
      <c r="G4730" s="14">
        <v>22050</v>
      </c>
      <c r="H4730" s="13" t="s">
        <v>6855</v>
      </c>
      <c r="I4730" s="40" t="s">
        <v>18</v>
      </c>
      <c r="J4730" s="40" t="str">
        <f>HYPERLINK("https://stock.pstatic.net/stock-research/company/56/20260220_company_964447000.pdf","PDF")</f>
        <v>PDF</v>
      </c>
      <c r="K4730" s="12" t="s">
        <v>6856</v>
      </c>
      <c r="L4730" s="20">
        <v>0.29251700680272108</v>
      </c>
    </row>
    <row r="4731" spans="1:12" x14ac:dyDescent="0.45">
      <c r="A4731" s="12" t="s">
        <v>6850</v>
      </c>
      <c r="B4731" s="12" t="s">
        <v>1344</v>
      </c>
      <c r="C4731" s="13" t="s">
        <v>1345</v>
      </c>
      <c r="D4731" s="13" t="s">
        <v>179</v>
      </c>
      <c r="E4731" s="12" t="s">
        <v>16</v>
      </c>
      <c r="F4731" s="14">
        <v>124000</v>
      </c>
      <c r="G4731" s="14">
        <v>71400</v>
      </c>
      <c r="H4731" s="13" t="s">
        <v>6857</v>
      </c>
      <c r="I4731" s="40" t="s">
        <v>18</v>
      </c>
      <c r="J4731" s="40" t="str">
        <f>HYPERLINK("https://stock.pstatic.net/stock-research/company/64/20260220_company_675775000.pdf","PDF")</f>
        <v>PDF</v>
      </c>
      <c r="K4731" s="12" t="s">
        <v>6858</v>
      </c>
      <c r="L4731" s="20">
        <v>0.73669467787114851</v>
      </c>
    </row>
    <row r="4732" spans="1:12" x14ac:dyDescent="0.45">
      <c r="A4732" s="12" t="s">
        <v>6850</v>
      </c>
      <c r="B4732" s="12" t="s">
        <v>4021</v>
      </c>
      <c r="C4732" s="13" t="s">
        <v>4022</v>
      </c>
      <c r="D4732" s="13" t="s">
        <v>179</v>
      </c>
      <c r="E4732" s="12" t="s">
        <v>16</v>
      </c>
      <c r="F4732" s="14">
        <v>824000</v>
      </c>
      <c r="G4732" s="14">
        <v>676000</v>
      </c>
      <c r="H4732" s="13" t="s">
        <v>6859</v>
      </c>
      <c r="I4732" s="40" t="s">
        <v>18</v>
      </c>
      <c r="J4732" s="40" t="str">
        <f>HYPERLINK("https://stock.pstatic.net/stock-research/company/64/20260220_company_390092000.pdf","PDF")</f>
        <v>PDF</v>
      </c>
      <c r="K4732" s="12" t="s">
        <v>6860</v>
      </c>
      <c r="L4732" s="20">
        <v>0.21893491124260361</v>
      </c>
    </row>
    <row r="4733" spans="1:12" x14ac:dyDescent="0.45">
      <c r="A4733" s="12" t="s">
        <v>6850</v>
      </c>
      <c r="B4733" s="12" t="s">
        <v>3230</v>
      </c>
      <c r="C4733" s="13" t="s">
        <v>3231</v>
      </c>
      <c r="D4733" s="13" t="s">
        <v>179</v>
      </c>
      <c r="E4733" s="12" t="s">
        <v>35</v>
      </c>
      <c r="F4733" s="14">
        <v>3000000</v>
      </c>
      <c r="G4733" s="14">
        <v>2453000</v>
      </c>
      <c r="H4733" s="13" t="s">
        <v>6861</v>
      </c>
      <c r="I4733" s="40" t="s">
        <v>18</v>
      </c>
      <c r="J4733" s="40" t="str">
        <f>HYPERLINK("https://stock.pstatic.net/stock-research/company/64/20260220_company_835630000.pdf","PDF")</f>
        <v>PDF</v>
      </c>
      <c r="K4733" s="12" t="s">
        <v>6862</v>
      </c>
      <c r="L4733" s="20">
        <v>0.2229922543823889</v>
      </c>
    </row>
    <row r="4734" spans="1:12" x14ac:dyDescent="0.45">
      <c r="A4734" s="12" t="s">
        <v>6850</v>
      </c>
      <c r="B4734" s="12" t="s">
        <v>128</v>
      </c>
      <c r="C4734" s="13" t="s">
        <v>129</v>
      </c>
      <c r="D4734" s="13" t="s">
        <v>23</v>
      </c>
      <c r="E4734" s="12" t="s">
        <v>16</v>
      </c>
      <c r="F4734" s="14">
        <v>69000</v>
      </c>
      <c r="G4734" s="14">
        <v>58900</v>
      </c>
      <c r="H4734" s="13" t="s">
        <v>6863</v>
      </c>
      <c r="I4734" s="40" t="s">
        <v>18</v>
      </c>
      <c r="J4734" s="40" t="str">
        <f>HYPERLINK("https://stock.pstatic.net/stock-research/company/21/20260220_company_94252000.pdf","PDF")</f>
        <v>PDF</v>
      </c>
      <c r="K4734" s="12" t="s">
        <v>6864</v>
      </c>
      <c r="L4734" s="20">
        <v>0.17147707979626489</v>
      </c>
    </row>
    <row r="4735" spans="1:12" x14ac:dyDescent="0.45">
      <c r="A4735" s="12" t="s">
        <v>6850</v>
      </c>
      <c r="B4735" s="12" t="s">
        <v>3182</v>
      </c>
      <c r="C4735" s="13" t="s">
        <v>3183</v>
      </c>
      <c r="D4735" s="13" t="s">
        <v>179</v>
      </c>
      <c r="E4735" s="12" t="s">
        <v>16</v>
      </c>
      <c r="F4735" s="14">
        <v>1200000</v>
      </c>
      <c r="G4735" s="14">
        <v>967000</v>
      </c>
      <c r="H4735" s="13" t="s">
        <v>6865</v>
      </c>
      <c r="I4735" s="40" t="s">
        <v>18</v>
      </c>
      <c r="J4735" s="40" t="str">
        <f>HYPERLINK("https://stock.pstatic.net/stock-research/company/64/20260220_company_131120000.pdf","PDF")</f>
        <v>PDF</v>
      </c>
      <c r="K4735" s="12" t="s">
        <v>6866</v>
      </c>
      <c r="L4735" s="20">
        <v>0.24095139607032059</v>
      </c>
    </row>
    <row r="4736" spans="1:12" x14ac:dyDescent="0.45">
      <c r="A4736" s="12" t="s">
        <v>6850</v>
      </c>
      <c r="B4736" s="12" t="s">
        <v>2369</v>
      </c>
      <c r="C4736" s="13" t="s">
        <v>2370</v>
      </c>
      <c r="D4736" s="13" t="s">
        <v>15</v>
      </c>
      <c r="E4736" s="12" t="s">
        <v>16</v>
      </c>
      <c r="F4736" s="14">
        <v>600000</v>
      </c>
      <c r="G4736" s="14">
        <v>408000</v>
      </c>
      <c r="H4736" s="13" t="s">
        <v>6867</v>
      </c>
      <c r="I4736" s="40" t="s">
        <v>18</v>
      </c>
      <c r="J4736" s="40" t="str">
        <f>HYPERLINK("https://stock.pstatic.net/stock-research/company/56/20260220_company_702022000.pdf","PDF")</f>
        <v>PDF</v>
      </c>
      <c r="K4736" s="12" t="s">
        <v>6868</v>
      </c>
      <c r="L4736" s="20">
        <v>0.47058823529411759</v>
      </c>
    </row>
    <row r="4737" spans="1:12" x14ac:dyDescent="0.45">
      <c r="A4737" s="12" t="s">
        <v>6850</v>
      </c>
      <c r="B4737" s="12" t="s">
        <v>1383</v>
      </c>
      <c r="C4737" s="13" t="s">
        <v>1384</v>
      </c>
      <c r="D4737" s="13" t="s">
        <v>83</v>
      </c>
      <c r="E4737" s="12" t="s">
        <v>35</v>
      </c>
      <c r="F4737" s="14">
        <v>37000</v>
      </c>
      <c r="G4737" s="14">
        <v>28800</v>
      </c>
      <c r="H4737" s="13" t="s">
        <v>6869</v>
      </c>
      <c r="I4737" s="40" t="s">
        <v>18</v>
      </c>
      <c r="J4737" s="40" t="str">
        <f>HYPERLINK("https://stock.pstatic.net/stock-research/company/15/20260220_company_755151000.pdf","PDF")</f>
        <v>PDF</v>
      </c>
      <c r="K4737" s="12" t="s">
        <v>6870</v>
      </c>
      <c r="L4737" s="20">
        <v>0.28472222222222221</v>
      </c>
    </row>
    <row r="4738" spans="1:12" x14ac:dyDescent="0.45">
      <c r="A4738" s="12" t="s">
        <v>6850</v>
      </c>
      <c r="B4738" s="12" t="s">
        <v>3813</v>
      </c>
      <c r="C4738" s="13" t="s">
        <v>3814</v>
      </c>
      <c r="D4738" s="13" t="s">
        <v>83</v>
      </c>
      <c r="E4738" s="12" t="s">
        <v>35</v>
      </c>
      <c r="F4738" s="14">
        <v>17000</v>
      </c>
      <c r="G4738" s="14">
        <v>12280</v>
      </c>
      <c r="H4738" s="13" t="s">
        <v>6871</v>
      </c>
      <c r="I4738" s="40" t="s">
        <v>18</v>
      </c>
      <c r="J4738" s="40" t="str">
        <f>HYPERLINK("https://stock.pstatic.net/stock-research/company/15/20260220_company_740225000.pdf","PDF")</f>
        <v>PDF</v>
      </c>
      <c r="K4738" s="12" t="s">
        <v>6872</v>
      </c>
      <c r="L4738" s="20">
        <v>0.38436482084690549</v>
      </c>
    </row>
    <row r="4739" spans="1:12" x14ac:dyDescent="0.45">
      <c r="A4739" s="12" t="s">
        <v>6850</v>
      </c>
      <c r="B4739" s="12" t="s">
        <v>6873</v>
      </c>
      <c r="C4739" s="13" t="s">
        <v>6874</v>
      </c>
      <c r="D4739" s="13" t="s">
        <v>83</v>
      </c>
      <c r="E4739" s="12" t="s">
        <v>35</v>
      </c>
      <c r="F4739" s="14">
        <v>82000</v>
      </c>
      <c r="G4739" s="14">
        <v>57900</v>
      </c>
      <c r="H4739" s="13" t="s">
        <v>6875</v>
      </c>
      <c r="I4739" s="40" t="s">
        <v>18</v>
      </c>
      <c r="J4739" s="40" t="str">
        <f>HYPERLINK("https://stock.pstatic.net/stock-research/company/15/20260220_company_363609000.pdf","PDF")</f>
        <v>PDF</v>
      </c>
      <c r="K4739" s="12" t="s">
        <v>6876</v>
      </c>
      <c r="L4739" s="20">
        <v>0.41623488773747841</v>
      </c>
    </row>
    <row r="4740" spans="1:12" x14ac:dyDescent="0.45">
      <c r="A4740" s="12" t="s">
        <v>6850</v>
      </c>
      <c r="B4740" s="12" t="s">
        <v>2225</v>
      </c>
      <c r="C4740" s="13" t="s">
        <v>5282</v>
      </c>
      <c r="D4740" s="13" t="s">
        <v>23</v>
      </c>
      <c r="E4740" s="12" t="s">
        <v>16</v>
      </c>
      <c r="F4740" s="14">
        <v>550000</v>
      </c>
      <c r="G4740" s="14">
        <v>463000</v>
      </c>
      <c r="H4740" s="13" t="s">
        <v>6877</v>
      </c>
      <c r="I4740" s="40" t="s">
        <v>18</v>
      </c>
      <c r="J4740" s="40" t="str">
        <f>HYPERLINK("https://stock.pstatic.net/stock-research/company/21/20260220_company_851014000.pdf","PDF")</f>
        <v>PDF</v>
      </c>
      <c r="K4740" s="12" t="s">
        <v>6878</v>
      </c>
      <c r="L4740" s="20">
        <v>0.18790496760259179</v>
      </c>
    </row>
    <row r="4741" spans="1:12" x14ac:dyDescent="0.45">
      <c r="A4741" s="12" t="s">
        <v>6850</v>
      </c>
      <c r="B4741" s="12" t="s">
        <v>1883</v>
      </c>
      <c r="C4741" s="13" t="s">
        <v>1884</v>
      </c>
      <c r="D4741" s="13" t="s">
        <v>92</v>
      </c>
      <c r="E4741" s="12" t="s">
        <v>35</v>
      </c>
      <c r="F4741" s="14">
        <v>31000</v>
      </c>
      <c r="G4741" s="14">
        <v>22050</v>
      </c>
      <c r="H4741" s="13" t="s">
        <v>6879</v>
      </c>
      <c r="I4741" s="40" t="s">
        <v>18</v>
      </c>
      <c r="J4741" s="40" t="str">
        <f>HYPERLINK("https://stock.pstatic.net/stock-research/company/63/20260220_company_749561000.pdf","PDF")</f>
        <v>PDF</v>
      </c>
      <c r="K4741" s="12" t="s">
        <v>6880</v>
      </c>
      <c r="L4741" s="20">
        <v>0.40589569160997729</v>
      </c>
    </row>
    <row r="4742" spans="1:12" x14ac:dyDescent="0.45">
      <c r="A4742" s="12" t="s">
        <v>6850</v>
      </c>
      <c r="B4742" s="12" t="s">
        <v>6881</v>
      </c>
      <c r="C4742" s="13" t="s">
        <v>6882</v>
      </c>
      <c r="D4742" s="13" t="s">
        <v>179</v>
      </c>
      <c r="E4742" s="12" t="s">
        <v>50</v>
      </c>
      <c r="F4742" s="13"/>
      <c r="G4742" s="14">
        <v>11090</v>
      </c>
      <c r="H4742" s="13" t="s">
        <v>6883</v>
      </c>
      <c r="I4742" s="40" t="s">
        <v>18</v>
      </c>
      <c r="J4742" s="40" t="str">
        <f>HYPERLINK("https://stock.pstatic.net/stock-research/company/64/20260220_company_172432000.pdf","PDF")</f>
        <v>PDF</v>
      </c>
      <c r="K4742" s="12" t="s">
        <v>6884</v>
      </c>
    </row>
    <row r="4743" spans="1:12" x14ac:dyDescent="0.45">
      <c r="A4743" s="12" t="s">
        <v>6850</v>
      </c>
      <c r="B4743" s="12" t="s">
        <v>2369</v>
      </c>
      <c r="C4743" s="13" t="s">
        <v>2370</v>
      </c>
      <c r="D4743" s="13" t="s">
        <v>53</v>
      </c>
      <c r="E4743" s="12" t="s">
        <v>50</v>
      </c>
      <c r="F4743" s="13"/>
      <c r="G4743" s="14">
        <v>408000</v>
      </c>
      <c r="H4743" s="13" t="s">
        <v>6885</v>
      </c>
      <c r="I4743" s="40" t="s">
        <v>18</v>
      </c>
      <c r="J4743" s="40" t="str">
        <f>HYPERLINK("https://stock.pstatic.net/stock-research/company/40/20260220_company_506914000.pdf","PDF")</f>
        <v>PDF</v>
      </c>
      <c r="K4743" s="12" t="s">
        <v>6886</v>
      </c>
    </row>
    <row r="4744" spans="1:12" x14ac:dyDescent="0.45">
      <c r="A4744" s="12" t="s">
        <v>6850</v>
      </c>
      <c r="B4744" s="12" t="s">
        <v>6347</v>
      </c>
      <c r="C4744" s="13" t="s">
        <v>6348</v>
      </c>
      <c r="D4744" s="13" t="s">
        <v>23</v>
      </c>
      <c r="E4744" s="12" t="s">
        <v>16</v>
      </c>
      <c r="F4744" s="14">
        <v>63000</v>
      </c>
      <c r="G4744" s="14">
        <v>45550</v>
      </c>
      <c r="H4744" s="13" t="s">
        <v>6887</v>
      </c>
      <c r="I4744" s="40" t="s">
        <v>18</v>
      </c>
      <c r="J4744" s="40" t="str">
        <f>HYPERLINK("https://stock.pstatic.net/stock-research/company/21/20260220_company_599633000.pdf","PDF")</f>
        <v>PDF</v>
      </c>
      <c r="K4744" s="12" t="s">
        <v>6888</v>
      </c>
      <c r="L4744" s="20">
        <v>0.38309549945115262</v>
      </c>
    </row>
    <row r="4745" spans="1:12" x14ac:dyDescent="0.45">
      <c r="A4745" s="12" t="s">
        <v>6850</v>
      </c>
      <c r="B4745" s="12" t="s">
        <v>1356</v>
      </c>
      <c r="C4745" s="13" t="s">
        <v>1357</v>
      </c>
      <c r="D4745" s="13" t="s">
        <v>23</v>
      </c>
      <c r="E4745" s="12" t="s">
        <v>16</v>
      </c>
      <c r="F4745" s="14">
        <v>25000</v>
      </c>
      <c r="G4745" s="14">
        <v>18060</v>
      </c>
      <c r="H4745" s="13" t="s">
        <v>6889</v>
      </c>
      <c r="I4745" s="40" t="s">
        <v>18</v>
      </c>
      <c r="J4745" s="40" t="str">
        <f>HYPERLINK("https://stock.pstatic.net/stock-research/company/21/20260220_company_600130000.pdf","PDF")</f>
        <v>PDF</v>
      </c>
      <c r="K4745" s="12" t="s">
        <v>6890</v>
      </c>
      <c r="L4745" s="20">
        <v>0.38427464008859358</v>
      </c>
    </row>
    <row r="4746" spans="1:12" x14ac:dyDescent="0.45">
      <c r="A4746" s="12" t="s">
        <v>6850</v>
      </c>
      <c r="B4746" s="12" t="s">
        <v>2024</v>
      </c>
      <c r="C4746" s="13" t="s">
        <v>2025</v>
      </c>
      <c r="D4746" s="13" t="s">
        <v>23</v>
      </c>
      <c r="E4746" s="12" t="s">
        <v>50</v>
      </c>
      <c r="F4746" s="14">
        <v>50000</v>
      </c>
      <c r="G4746" s="14">
        <v>47050</v>
      </c>
      <c r="H4746" s="13" t="s">
        <v>6891</v>
      </c>
      <c r="I4746" s="40" t="s">
        <v>18</v>
      </c>
      <c r="J4746" s="40" t="str">
        <f>HYPERLINK("https://stock.pstatic.net/stock-research/company/21/20260220_company_124383000.pdf","PDF")</f>
        <v>PDF</v>
      </c>
      <c r="K4746" s="12" t="s">
        <v>6892</v>
      </c>
      <c r="L4746" s="20">
        <v>6.2699256110520726E-2</v>
      </c>
    </row>
    <row r="4747" spans="1:12" x14ac:dyDescent="0.45">
      <c r="A4747" s="12" t="s">
        <v>6850</v>
      </c>
      <c r="B4747" s="12" t="s">
        <v>330</v>
      </c>
      <c r="C4747" s="13" t="s">
        <v>331</v>
      </c>
      <c r="D4747" s="13" t="s">
        <v>34</v>
      </c>
      <c r="E4747" s="12" t="s">
        <v>159</v>
      </c>
      <c r="F4747" s="14">
        <v>50000</v>
      </c>
      <c r="G4747" s="14">
        <v>58500</v>
      </c>
      <c r="H4747" s="13" t="s">
        <v>6893</v>
      </c>
      <c r="I4747" s="40" t="s">
        <v>18</v>
      </c>
      <c r="J4747" s="40" t="str">
        <f>HYPERLINK("https://stock.pstatic.net/stock-research/company/61/20260220_company_835589000.pdf","PDF")</f>
        <v>PDF</v>
      </c>
      <c r="K4747" s="12" t="s">
        <v>6894</v>
      </c>
      <c r="L4747" s="20">
        <v>-0.14529914529914531</v>
      </c>
    </row>
    <row r="4748" spans="1:12" x14ac:dyDescent="0.45">
      <c r="A4748" s="12" t="s">
        <v>6850</v>
      </c>
      <c r="B4748" s="12" t="s">
        <v>1682</v>
      </c>
      <c r="C4748" s="13" t="s">
        <v>4787</v>
      </c>
      <c r="D4748" s="13" t="s">
        <v>44</v>
      </c>
      <c r="E4748" s="12" t="s">
        <v>35</v>
      </c>
      <c r="F4748" s="14">
        <v>430000</v>
      </c>
      <c r="G4748" s="14">
        <v>227000</v>
      </c>
      <c r="H4748" s="13" t="s">
        <v>6895</v>
      </c>
      <c r="I4748" s="40" t="s">
        <v>18</v>
      </c>
      <c r="J4748" s="40" t="str">
        <f>HYPERLINK("https://stock.pstatic.net/stock-research/company/39/20260220_company_973690000.pdf","PDF")</f>
        <v>PDF</v>
      </c>
      <c r="K4748" s="12" t="s">
        <v>6896</v>
      </c>
      <c r="L4748" s="20">
        <v>0.89427312775330392</v>
      </c>
    </row>
    <row r="4749" spans="1:12" x14ac:dyDescent="0.45">
      <c r="A4749" s="12" t="s">
        <v>6850</v>
      </c>
      <c r="B4749" s="12" t="s">
        <v>694</v>
      </c>
      <c r="C4749" s="13" t="s">
        <v>695</v>
      </c>
      <c r="D4749" s="13" t="s">
        <v>44</v>
      </c>
      <c r="E4749" s="12" t="s">
        <v>50</v>
      </c>
      <c r="F4749" s="13"/>
      <c r="G4749" s="14">
        <v>10530</v>
      </c>
      <c r="H4749" s="13" t="s">
        <v>6897</v>
      </c>
      <c r="I4749" s="40" t="s">
        <v>18</v>
      </c>
      <c r="J4749" s="40" t="str">
        <f>HYPERLINK("https://stock.pstatic.net/stock-research/company/39/20260220_company_468848000.pdf","PDF")</f>
        <v>PDF</v>
      </c>
      <c r="K4749" s="12" t="s">
        <v>6898</v>
      </c>
    </row>
    <row r="4750" spans="1:12" x14ac:dyDescent="0.45">
      <c r="A4750" s="12" t="s">
        <v>6850</v>
      </c>
      <c r="B4750" s="12" t="s">
        <v>6899</v>
      </c>
      <c r="C4750" s="13" t="s">
        <v>6900</v>
      </c>
      <c r="D4750" s="13" t="s">
        <v>44</v>
      </c>
      <c r="E4750" s="12" t="s">
        <v>50</v>
      </c>
      <c r="F4750" s="13"/>
      <c r="G4750" s="14">
        <v>31300</v>
      </c>
      <c r="H4750" s="13" t="s">
        <v>6901</v>
      </c>
      <c r="I4750" s="40" t="s">
        <v>18</v>
      </c>
      <c r="J4750" s="40" t="str">
        <f>HYPERLINK("https://stock.pstatic.net/stock-research/company/39/20260220_company_66122000.pdf","PDF")</f>
        <v>PDF</v>
      </c>
      <c r="K4750" s="12" t="s">
        <v>6902</v>
      </c>
    </row>
    <row r="4751" spans="1:12" x14ac:dyDescent="0.45">
      <c r="A4751" s="12" t="s">
        <v>6850</v>
      </c>
      <c r="B4751" s="12" t="s">
        <v>2032</v>
      </c>
      <c r="C4751" s="13" t="s">
        <v>2033</v>
      </c>
      <c r="D4751" s="13" t="s">
        <v>124</v>
      </c>
      <c r="E4751" s="12" t="s">
        <v>50</v>
      </c>
      <c r="F4751" s="13"/>
      <c r="G4751" s="13"/>
      <c r="H4751" s="13" t="s">
        <v>6903</v>
      </c>
      <c r="I4751" s="40" t="s">
        <v>18</v>
      </c>
      <c r="J4751" s="40" t="str">
        <f>HYPERLINK("https://stock.pstatic.net/stock-research/company/74/20260220_company_942865000.pdf","PDF")</f>
        <v>PDF</v>
      </c>
      <c r="K4751" s="12" t="s">
        <v>6904</v>
      </c>
    </row>
    <row r="4752" spans="1:12" x14ac:dyDescent="0.45">
      <c r="A4752" s="12" t="s">
        <v>6850</v>
      </c>
      <c r="B4752" s="12" t="s">
        <v>2631</v>
      </c>
      <c r="C4752" s="13" t="s">
        <v>2632</v>
      </c>
      <c r="D4752" s="13" t="s">
        <v>15</v>
      </c>
      <c r="E4752" s="12" t="s">
        <v>16</v>
      </c>
      <c r="F4752" s="14">
        <v>25000</v>
      </c>
      <c r="G4752" s="14">
        <v>18300</v>
      </c>
      <c r="H4752" s="13" t="s">
        <v>6905</v>
      </c>
      <c r="I4752" s="40" t="s">
        <v>18</v>
      </c>
      <c r="J4752" s="40" t="str">
        <f>HYPERLINK("https://stock.pstatic.net/stock-research/company/56/20260220_company_598427000.pdf","PDF")</f>
        <v>PDF</v>
      </c>
      <c r="K4752" s="12" t="s">
        <v>6906</v>
      </c>
      <c r="L4752" s="20">
        <v>0.36612021857923499</v>
      </c>
    </row>
    <row r="4753" spans="1:12" x14ac:dyDescent="0.45">
      <c r="A4753" s="12" t="s">
        <v>6907</v>
      </c>
      <c r="B4753" s="12" t="s">
        <v>519</v>
      </c>
      <c r="C4753" s="13" t="s">
        <v>520</v>
      </c>
      <c r="D4753" s="13" t="s">
        <v>57</v>
      </c>
      <c r="E4753" s="12" t="s">
        <v>35</v>
      </c>
      <c r="F4753" s="14">
        <v>650000</v>
      </c>
      <c r="G4753" s="14">
        <v>499000</v>
      </c>
      <c r="H4753" s="13" t="s">
        <v>6908</v>
      </c>
      <c r="I4753" s="40" t="s">
        <v>18</v>
      </c>
      <c r="J4753" s="40" t="str">
        <f>HYPERLINK("https://stock.pstatic.net/stock-research/company/16/20260219_company_868637000.pdf","PDF")</f>
        <v>PDF</v>
      </c>
      <c r="K4753" s="12" t="s">
        <v>6909</v>
      </c>
      <c r="L4753" s="20">
        <v>0.30260521042084171</v>
      </c>
    </row>
    <row r="4754" spans="1:12" x14ac:dyDescent="0.45">
      <c r="A4754" s="12" t="s">
        <v>6907</v>
      </c>
      <c r="B4754" s="12" t="s">
        <v>1552</v>
      </c>
      <c r="C4754" s="13" t="s">
        <v>1553</v>
      </c>
      <c r="D4754" s="13" t="s">
        <v>57</v>
      </c>
      <c r="E4754" s="12" t="s">
        <v>35</v>
      </c>
      <c r="F4754" s="14">
        <v>192000</v>
      </c>
      <c r="G4754" s="14">
        <v>140900</v>
      </c>
      <c r="H4754" s="13" t="s">
        <v>6910</v>
      </c>
      <c r="I4754" s="40" t="s">
        <v>18</v>
      </c>
      <c r="J4754" s="40" t="str">
        <f>HYPERLINK("https://stock.pstatic.net/stock-research/company/16/20260219_company_914705000.pdf","PDF")</f>
        <v>PDF</v>
      </c>
      <c r="K4754" s="12" t="s">
        <v>6911</v>
      </c>
      <c r="L4754" s="20">
        <v>0.36266855926188779</v>
      </c>
    </row>
    <row r="4755" spans="1:12" x14ac:dyDescent="0.45">
      <c r="A4755" s="12" t="s">
        <v>6907</v>
      </c>
      <c r="B4755" s="12" t="s">
        <v>1652</v>
      </c>
      <c r="C4755" s="13" t="s">
        <v>1653</v>
      </c>
      <c r="D4755" s="13" t="s">
        <v>276</v>
      </c>
      <c r="E4755" s="12" t="s">
        <v>16</v>
      </c>
      <c r="F4755" s="14">
        <v>65000</v>
      </c>
      <c r="G4755" s="14">
        <v>42600</v>
      </c>
      <c r="H4755" s="13" t="s">
        <v>6912</v>
      </c>
      <c r="I4755" s="40" t="s">
        <v>18</v>
      </c>
      <c r="J4755" s="40" t="str">
        <f>HYPERLINK("https://stock.pstatic.net/stock-research/company/66/20260219_company_336695000.pdf","PDF")</f>
        <v>PDF</v>
      </c>
      <c r="K4755" s="12" t="s">
        <v>6913</v>
      </c>
      <c r="L4755" s="20">
        <v>0.5258215962441315</v>
      </c>
    </row>
    <row r="4756" spans="1:12" x14ac:dyDescent="0.45">
      <c r="A4756" s="12" t="s">
        <v>6907</v>
      </c>
      <c r="B4756" s="12" t="s">
        <v>6914</v>
      </c>
      <c r="C4756" s="13" t="s">
        <v>6915</v>
      </c>
      <c r="D4756" s="13" t="s">
        <v>60</v>
      </c>
      <c r="E4756" s="12" t="s">
        <v>50</v>
      </c>
      <c r="F4756" s="13"/>
      <c r="G4756" s="14">
        <v>57600</v>
      </c>
      <c r="H4756" s="13" t="s">
        <v>6916</v>
      </c>
      <c r="I4756" s="40" t="s">
        <v>18</v>
      </c>
      <c r="J4756" s="40" t="str">
        <f>HYPERLINK("https://stock.pstatic.net/stock-research/company/62/20260219_company_249976000.pdf","PDF")</f>
        <v>PDF</v>
      </c>
      <c r="K4756" s="12" t="s">
        <v>6917</v>
      </c>
    </row>
    <row r="4757" spans="1:12" x14ac:dyDescent="0.45">
      <c r="A4757" s="12" t="s">
        <v>6907</v>
      </c>
      <c r="B4757" s="12" t="s">
        <v>2950</v>
      </c>
      <c r="C4757" s="13" t="s">
        <v>2951</v>
      </c>
      <c r="D4757" s="13" t="s">
        <v>60</v>
      </c>
      <c r="E4757" s="12" t="s">
        <v>35</v>
      </c>
      <c r="F4757" s="14">
        <v>113000</v>
      </c>
      <c r="G4757" s="14">
        <v>96700</v>
      </c>
      <c r="H4757" s="13" t="s">
        <v>6918</v>
      </c>
      <c r="I4757" s="40" t="s">
        <v>18</v>
      </c>
      <c r="J4757" s="40" t="str">
        <f>HYPERLINK("https://stock.pstatic.net/stock-research/company/62/20260219_company_508998000.pdf","PDF")</f>
        <v>PDF</v>
      </c>
      <c r="K4757" s="12" t="s">
        <v>6919</v>
      </c>
      <c r="L4757" s="20">
        <v>0.16856256463288519</v>
      </c>
    </row>
    <row r="4758" spans="1:12" x14ac:dyDescent="0.45">
      <c r="A4758" s="12" t="s">
        <v>6907</v>
      </c>
      <c r="B4758" s="12" t="s">
        <v>1144</v>
      </c>
      <c r="C4758" s="13" t="s">
        <v>1145</v>
      </c>
      <c r="D4758" s="13" t="s">
        <v>60</v>
      </c>
      <c r="E4758" s="12" t="s">
        <v>35</v>
      </c>
      <c r="F4758" s="14">
        <v>173000</v>
      </c>
      <c r="G4758" s="14">
        <v>147800</v>
      </c>
      <c r="H4758" s="13" t="s">
        <v>6920</v>
      </c>
      <c r="I4758" s="40" t="s">
        <v>18</v>
      </c>
      <c r="J4758" s="40" t="str">
        <f>HYPERLINK("https://stock.pstatic.net/stock-research/company/62/20260219_company_732711000.pdf","PDF")</f>
        <v>PDF</v>
      </c>
      <c r="K4758" s="12" t="s">
        <v>6921</v>
      </c>
      <c r="L4758" s="20">
        <v>0.17050067658998649</v>
      </c>
    </row>
    <row r="4759" spans="1:12" x14ac:dyDescent="0.45">
      <c r="A4759" s="12" t="s">
        <v>6907</v>
      </c>
      <c r="B4759" s="12" t="s">
        <v>6922</v>
      </c>
      <c r="C4759" s="13" t="s">
        <v>6923</v>
      </c>
      <c r="D4759" s="13" t="s">
        <v>65</v>
      </c>
      <c r="E4759" s="12" t="s">
        <v>35</v>
      </c>
      <c r="F4759" s="14">
        <v>61000</v>
      </c>
      <c r="G4759" s="14">
        <v>43850</v>
      </c>
      <c r="H4759" s="13" t="s">
        <v>6924</v>
      </c>
      <c r="I4759" s="40" t="s">
        <v>18</v>
      </c>
      <c r="J4759" s="40" t="str">
        <f>HYPERLINK("https://stock.pstatic.net/stock-research/company/57/20260219_company_518181000.pdf","PDF")</f>
        <v>PDF</v>
      </c>
      <c r="K4759" s="12" t="s">
        <v>6925</v>
      </c>
      <c r="L4759" s="20">
        <v>0.39110604332953253</v>
      </c>
    </row>
    <row r="4760" spans="1:12" x14ac:dyDescent="0.45">
      <c r="A4760" s="12" t="s">
        <v>6907</v>
      </c>
      <c r="B4760" s="12" t="s">
        <v>2225</v>
      </c>
      <c r="C4760" s="13" t="s">
        <v>5282</v>
      </c>
      <c r="D4760" s="13" t="s">
        <v>65</v>
      </c>
      <c r="E4760" s="12" t="s">
        <v>35</v>
      </c>
      <c r="F4760" s="14">
        <v>562000</v>
      </c>
      <c r="G4760" s="14">
        <v>460000</v>
      </c>
      <c r="H4760" s="13" t="s">
        <v>6926</v>
      </c>
      <c r="I4760" s="40" t="s">
        <v>18</v>
      </c>
      <c r="J4760" s="40" t="str">
        <f>HYPERLINK("https://stock.pstatic.net/stock-research/company/57/20260219_company_91445000.pdf","PDF")</f>
        <v>PDF</v>
      </c>
      <c r="K4760" s="12" t="s">
        <v>6927</v>
      </c>
      <c r="L4760" s="20">
        <v>0.22173913043478261</v>
      </c>
    </row>
    <row r="4761" spans="1:12" x14ac:dyDescent="0.45">
      <c r="A4761" s="12" t="s">
        <v>6907</v>
      </c>
      <c r="B4761" s="12" t="s">
        <v>81</v>
      </c>
      <c r="C4761" s="13" t="s">
        <v>82</v>
      </c>
      <c r="D4761" s="13" t="s">
        <v>65</v>
      </c>
      <c r="E4761" s="12" t="s">
        <v>35</v>
      </c>
      <c r="F4761" s="14">
        <v>37000</v>
      </c>
      <c r="G4761" s="14">
        <v>30900</v>
      </c>
      <c r="H4761" s="13" t="s">
        <v>6928</v>
      </c>
      <c r="I4761" s="40" t="s">
        <v>18</v>
      </c>
      <c r="J4761" s="40" t="str">
        <f>HYPERLINK("https://stock.pstatic.net/stock-research/company/57/20260219_company_117745000.pdf","PDF")</f>
        <v>PDF</v>
      </c>
      <c r="K4761" s="12" t="s">
        <v>6929</v>
      </c>
      <c r="L4761" s="20">
        <v>0.19741100323624591</v>
      </c>
    </row>
    <row r="4762" spans="1:12" x14ac:dyDescent="0.45">
      <c r="A4762" s="12" t="s">
        <v>6907</v>
      </c>
      <c r="B4762" s="12" t="s">
        <v>268</v>
      </c>
      <c r="C4762" s="13" t="s">
        <v>269</v>
      </c>
      <c r="D4762" s="13" t="s">
        <v>65</v>
      </c>
      <c r="E4762" s="12" t="s">
        <v>35</v>
      </c>
      <c r="F4762" s="14">
        <v>580000</v>
      </c>
      <c r="G4762" s="14">
        <v>382000</v>
      </c>
      <c r="H4762" s="13" t="s">
        <v>6930</v>
      </c>
      <c r="I4762" s="40" t="s">
        <v>18</v>
      </c>
      <c r="J4762" s="40" t="str">
        <f>HYPERLINK("https://stock.pstatic.net/stock-research/company/57/20260219_company_496123000.pdf","PDF")</f>
        <v>PDF</v>
      </c>
      <c r="K4762" s="12" t="s">
        <v>6931</v>
      </c>
      <c r="L4762" s="20">
        <v>0.51832460732984298</v>
      </c>
    </row>
    <row r="4763" spans="1:12" x14ac:dyDescent="0.45">
      <c r="A4763" s="12" t="s">
        <v>6907</v>
      </c>
      <c r="B4763" s="12" t="s">
        <v>1694</v>
      </c>
      <c r="C4763" s="13" t="s">
        <v>1695</v>
      </c>
      <c r="D4763" s="13" t="s">
        <v>65</v>
      </c>
      <c r="E4763" s="12" t="s">
        <v>35</v>
      </c>
      <c r="F4763" s="14">
        <v>92000</v>
      </c>
      <c r="G4763" s="14">
        <v>63400</v>
      </c>
      <c r="H4763" s="13" t="s">
        <v>6932</v>
      </c>
      <c r="I4763" s="40" t="s">
        <v>18</v>
      </c>
      <c r="J4763" s="40" t="str">
        <f>HYPERLINK("https://stock.pstatic.net/stock-research/company/57/20260219_company_368520000.pdf","PDF")</f>
        <v>PDF</v>
      </c>
      <c r="K4763" s="12" t="s">
        <v>6933</v>
      </c>
      <c r="L4763" s="20">
        <v>0.45110410094637232</v>
      </c>
    </row>
    <row r="4764" spans="1:12" x14ac:dyDescent="0.45">
      <c r="A4764" s="12" t="s">
        <v>6907</v>
      </c>
      <c r="B4764" s="12" t="s">
        <v>1652</v>
      </c>
      <c r="C4764" s="13" t="s">
        <v>1653</v>
      </c>
      <c r="D4764" s="13" t="s">
        <v>65</v>
      </c>
      <c r="E4764" s="12" t="s">
        <v>35</v>
      </c>
      <c r="F4764" s="14">
        <v>68000</v>
      </c>
      <c r="G4764" s="14">
        <v>42600</v>
      </c>
      <c r="H4764" s="13" t="s">
        <v>6934</v>
      </c>
      <c r="I4764" s="40" t="s">
        <v>18</v>
      </c>
      <c r="J4764" s="40" t="str">
        <f>HYPERLINK("https://stock.pstatic.net/stock-research/company/57/20260219_company_218286000.pdf","PDF")</f>
        <v>PDF</v>
      </c>
      <c r="K4764" s="12" t="s">
        <v>6935</v>
      </c>
      <c r="L4764" s="20">
        <v>0.59624413145539901</v>
      </c>
    </row>
    <row r="4765" spans="1:12" x14ac:dyDescent="0.45">
      <c r="A4765" s="12" t="s">
        <v>6907</v>
      </c>
      <c r="B4765" s="12" t="s">
        <v>2225</v>
      </c>
      <c r="C4765" s="13" t="s">
        <v>5282</v>
      </c>
      <c r="D4765" s="13" t="s">
        <v>158</v>
      </c>
      <c r="E4765" s="12" t="s">
        <v>35</v>
      </c>
      <c r="F4765" s="14">
        <v>690000</v>
      </c>
      <c r="G4765" s="14">
        <v>460000</v>
      </c>
      <c r="H4765" s="13" t="s">
        <v>6936</v>
      </c>
      <c r="I4765" s="40" t="s">
        <v>18</v>
      </c>
      <c r="J4765" s="40" t="str">
        <f>HYPERLINK("https://stock.pstatic.net/stock-research/company/18/20260219_company_607748000.pdf","PDF")</f>
        <v>PDF</v>
      </c>
      <c r="K4765" s="12" t="s">
        <v>6937</v>
      </c>
      <c r="L4765" s="20">
        <v>0.5</v>
      </c>
    </row>
    <row r="4766" spans="1:12" x14ac:dyDescent="0.45">
      <c r="A4766" s="12" t="s">
        <v>6907</v>
      </c>
      <c r="B4766" s="12" t="s">
        <v>326</v>
      </c>
      <c r="C4766" s="13" t="s">
        <v>327</v>
      </c>
      <c r="D4766" s="13" t="s">
        <v>158</v>
      </c>
      <c r="E4766" s="12" t="s">
        <v>50</v>
      </c>
      <c r="F4766" s="13"/>
      <c r="G4766" s="14">
        <v>42800</v>
      </c>
      <c r="H4766" s="13" t="s">
        <v>6938</v>
      </c>
      <c r="I4766" s="40" t="s">
        <v>18</v>
      </c>
      <c r="J4766" s="40" t="str">
        <f>HYPERLINK("https://stock.pstatic.net/stock-research/company/18/20260219_company_243876000.pdf","PDF")</f>
        <v>PDF</v>
      </c>
      <c r="K4766" s="12" t="s">
        <v>6939</v>
      </c>
    </row>
    <row r="4767" spans="1:12" x14ac:dyDescent="0.45">
      <c r="A4767" s="12" t="s">
        <v>6907</v>
      </c>
      <c r="B4767" s="12" t="s">
        <v>1694</v>
      </c>
      <c r="C4767" s="13" t="s">
        <v>1695</v>
      </c>
      <c r="D4767" s="13" t="s">
        <v>83</v>
      </c>
      <c r="E4767" s="12" t="s">
        <v>35</v>
      </c>
      <c r="F4767" s="14">
        <v>88000</v>
      </c>
      <c r="G4767" s="14">
        <v>63400</v>
      </c>
      <c r="H4767" s="13" t="s">
        <v>6940</v>
      </c>
      <c r="I4767" s="40" t="s">
        <v>18</v>
      </c>
      <c r="J4767" s="40" t="str">
        <f>HYPERLINK("https://stock.pstatic.net/stock-research/company/15/20260219_company_353754000.pdf","PDF")</f>
        <v>PDF</v>
      </c>
      <c r="K4767" s="12" t="s">
        <v>6941</v>
      </c>
      <c r="L4767" s="20">
        <v>0.38801261829652989</v>
      </c>
    </row>
    <row r="4768" spans="1:12" x14ac:dyDescent="0.45">
      <c r="A4768" s="12" t="s">
        <v>6907</v>
      </c>
      <c r="B4768" s="12" t="s">
        <v>3399</v>
      </c>
      <c r="C4768" s="13" t="s">
        <v>3400</v>
      </c>
      <c r="D4768" s="13" t="s">
        <v>15</v>
      </c>
      <c r="E4768" s="12" t="s">
        <v>16</v>
      </c>
      <c r="F4768" s="14">
        <v>40000</v>
      </c>
      <c r="G4768" s="14">
        <v>25300</v>
      </c>
      <c r="H4768" s="13" t="s">
        <v>6942</v>
      </c>
      <c r="I4768" s="40" t="s">
        <v>18</v>
      </c>
      <c r="J4768" s="40" t="str">
        <f>HYPERLINK("https://stock.pstatic.net/stock-research/company/56/20260219_company_897516000.pdf","PDF")</f>
        <v>PDF</v>
      </c>
      <c r="K4768" s="12" t="s">
        <v>6943</v>
      </c>
      <c r="L4768" s="20">
        <v>0.5810276679841897</v>
      </c>
    </row>
    <row r="4769" spans="1:12" x14ac:dyDescent="0.45">
      <c r="A4769" s="12" t="s">
        <v>6907</v>
      </c>
      <c r="B4769" s="12" t="s">
        <v>1495</v>
      </c>
      <c r="C4769" s="13" t="s">
        <v>1496</v>
      </c>
      <c r="D4769" s="13" t="s">
        <v>92</v>
      </c>
      <c r="E4769" s="12" t="s">
        <v>35</v>
      </c>
      <c r="F4769" s="14">
        <v>40000</v>
      </c>
      <c r="G4769" s="14">
        <v>23300</v>
      </c>
      <c r="H4769" s="13" t="s">
        <v>6944</v>
      </c>
      <c r="I4769" s="40" t="s">
        <v>18</v>
      </c>
      <c r="J4769" s="40" t="str">
        <f>HYPERLINK("https://stock.pstatic.net/stock-research/company/63/20260219_company_689267000.pdf","PDF")</f>
        <v>PDF</v>
      </c>
      <c r="K4769" s="12" t="s">
        <v>6945</v>
      </c>
      <c r="L4769" s="20">
        <v>0.71673819742489275</v>
      </c>
    </row>
    <row r="4770" spans="1:12" x14ac:dyDescent="0.45">
      <c r="A4770" s="12" t="s">
        <v>6907</v>
      </c>
      <c r="B4770" s="12" t="s">
        <v>1652</v>
      </c>
      <c r="C4770" s="13" t="s">
        <v>1653</v>
      </c>
      <c r="D4770" s="13" t="s">
        <v>92</v>
      </c>
      <c r="E4770" s="12" t="s">
        <v>35</v>
      </c>
      <c r="F4770" s="14">
        <v>70000</v>
      </c>
      <c r="G4770" s="14">
        <v>42600</v>
      </c>
      <c r="H4770" s="13" t="s">
        <v>6946</v>
      </c>
      <c r="I4770" s="40" t="s">
        <v>18</v>
      </c>
      <c r="J4770" s="40" t="str">
        <f>HYPERLINK("https://stock.pstatic.net/stock-research/company/63/20260219_company_579300000.pdf","PDF")</f>
        <v>PDF</v>
      </c>
      <c r="K4770" s="12" t="s">
        <v>6947</v>
      </c>
      <c r="L4770" s="20">
        <v>0.64319248826291076</v>
      </c>
    </row>
    <row r="4771" spans="1:12" x14ac:dyDescent="0.45">
      <c r="A4771" s="12" t="s">
        <v>6907</v>
      </c>
      <c r="B4771" s="12" t="s">
        <v>2225</v>
      </c>
      <c r="C4771" s="13" t="s">
        <v>5282</v>
      </c>
      <c r="D4771" s="13" t="s">
        <v>23</v>
      </c>
      <c r="E4771" s="12" t="s">
        <v>16</v>
      </c>
      <c r="F4771" s="14">
        <v>560000</v>
      </c>
      <c r="G4771" s="14">
        <v>458500</v>
      </c>
      <c r="H4771" s="13" t="s">
        <v>6948</v>
      </c>
      <c r="I4771" s="40" t="s">
        <v>18</v>
      </c>
      <c r="J4771" s="40" t="str">
        <f>HYPERLINK("https://stock.pstatic.net/stock-research/company/21/20260219_company_146650000.pdf","PDF")</f>
        <v>PDF</v>
      </c>
      <c r="K4771" s="12" t="s">
        <v>6949</v>
      </c>
      <c r="L4771" s="20">
        <v>0.2213740458015267</v>
      </c>
    </row>
    <row r="4772" spans="1:12" x14ac:dyDescent="0.45">
      <c r="A4772" s="12" t="s">
        <v>6907</v>
      </c>
      <c r="B4772" s="12" t="s">
        <v>573</v>
      </c>
      <c r="C4772" s="13" t="s">
        <v>574</v>
      </c>
      <c r="D4772" s="13" t="s">
        <v>92</v>
      </c>
      <c r="E4772" s="12" t="s">
        <v>50</v>
      </c>
      <c r="F4772" s="13"/>
      <c r="G4772" s="14">
        <v>28400</v>
      </c>
      <c r="H4772" s="13" t="s">
        <v>6950</v>
      </c>
      <c r="I4772" s="40" t="s">
        <v>18</v>
      </c>
      <c r="J4772" s="40" t="str">
        <f>HYPERLINK("https://stock.pstatic.net/stock-research/company/63/20260219_company_832613000.pdf","PDF")</f>
        <v>PDF</v>
      </c>
      <c r="K4772" s="12" t="s">
        <v>6951</v>
      </c>
    </row>
    <row r="4773" spans="1:12" x14ac:dyDescent="0.45">
      <c r="A4773" s="12" t="s">
        <v>6907</v>
      </c>
      <c r="B4773" s="12" t="s">
        <v>3244</v>
      </c>
      <c r="C4773" s="13" t="s">
        <v>3245</v>
      </c>
      <c r="D4773" s="13" t="s">
        <v>23</v>
      </c>
      <c r="E4773" s="12" t="s">
        <v>16</v>
      </c>
      <c r="F4773" s="14">
        <v>78000</v>
      </c>
      <c r="G4773" s="14">
        <v>64700</v>
      </c>
      <c r="H4773" s="13" t="s">
        <v>6952</v>
      </c>
      <c r="I4773" s="40" t="s">
        <v>18</v>
      </c>
      <c r="J4773" s="40" t="str">
        <f>HYPERLINK("https://stock.pstatic.net/stock-research/company/21/20260219_company_829614000.pdf","PDF")</f>
        <v>PDF</v>
      </c>
      <c r="K4773" s="12" t="s">
        <v>6953</v>
      </c>
      <c r="L4773" s="20">
        <v>0.205564142194745</v>
      </c>
    </row>
    <row r="4774" spans="1:12" x14ac:dyDescent="0.45">
      <c r="A4774" s="12" t="s">
        <v>6907</v>
      </c>
      <c r="B4774" s="12" t="s">
        <v>356</v>
      </c>
      <c r="C4774" s="13" t="s">
        <v>357</v>
      </c>
      <c r="D4774" s="13" t="s">
        <v>23</v>
      </c>
      <c r="E4774" s="12" t="s">
        <v>16</v>
      </c>
      <c r="F4774" s="14">
        <v>90000</v>
      </c>
      <c r="G4774" s="14">
        <v>55500</v>
      </c>
      <c r="H4774" s="13" t="s">
        <v>6954</v>
      </c>
      <c r="I4774" s="40" t="s">
        <v>18</v>
      </c>
      <c r="J4774" s="40" t="str">
        <f>HYPERLINK("https://stock.pstatic.net/stock-research/company/21/20260219_company_477487000.pdf","PDF")</f>
        <v>PDF</v>
      </c>
      <c r="K4774" s="12" t="s">
        <v>6955</v>
      </c>
      <c r="L4774" s="20">
        <v>0.6216216216216216</v>
      </c>
    </row>
    <row r="4775" spans="1:12" x14ac:dyDescent="0.45">
      <c r="A4775" s="12" t="s">
        <v>6907</v>
      </c>
      <c r="B4775" s="12" t="s">
        <v>110</v>
      </c>
      <c r="C4775" s="13" t="s">
        <v>111</v>
      </c>
      <c r="D4775" s="13" t="s">
        <v>23</v>
      </c>
      <c r="E4775" s="12" t="s">
        <v>16</v>
      </c>
      <c r="F4775" s="14">
        <v>73000</v>
      </c>
      <c r="G4775" s="14">
        <v>50600</v>
      </c>
      <c r="H4775" s="13" t="s">
        <v>6956</v>
      </c>
      <c r="I4775" s="40" t="s">
        <v>18</v>
      </c>
      <c r="J4775" s="40" t="str">
        <f>HYPERLINK("https://stock.pstatic.net/stock-research/company/21/20260219_company_593925000.pdf","PDF")</f>
        <v>PDF</v>
      </c>
      <c r="K4775" s="12" t="s">
        <v>6957</v>
      </c>
      <c r="L4775" s="20">
        <v>0.44268774703557312</v>
      </c>
    </row>
    <row r="4776" spans="1:12" x14ac:dyDescent="0.45">
      <c r="A4776" s="12" t="s">
        <v>6907</v>
      </c>
      <c r="B4776" s="12" t="s">
        <v>1694</v>
      </c>
      <c r="C4776" s="13" t="s">
        <v>1695</v>
      </c>
      <c r="D4776" s="13" t="s">
        <v>92</v>
      </c>
      <c r="E4776" s="12" t="s">
        <v>35</v>
      </c>
      <c r="F4776" s="14">
        <v>88000</v>
      </c>
      <c r="G4776" s="14">
        <v>63400</v>
      </c>
      <c r="H4776" s="13" t="s">
        <v>6958</v>
      </c>
      <c r="I4776" s="40" t="s">
        <v>18</v>
      </c>
      <c r="J4776" s="40" t="str">
        <f>HYPERLINK("https://stock.pstatic.net/stock-research/company/63/20260219_company_975308000.pdf","PDF")</f>
        <v>PDF</v>
      </c>
      <c r="K4776" s="12" t="s">
        <v>6959</v>
      </c>
      <c r="L4776" s="20">
        <v>0.38801261829652989</v>
      </c>
    </row>
    <row r="4777" spans="1:12" x14ac:dyDescent="0.45">
      <c r="A4777" s="12" t="s">
        <v>6907</v>
      </c>
      <c r="B4777" s="12" t="s">
        <v>3972</v>
      </c>
      <c r="C4777" s="13" t="s">
        <v>3973</v>
      </c>
      <c r="D4777" s="13" t="s">
        <v>92</v>
      </c>
      <c r="E4777" s="12" t="s">
        <v>6960</v>
      </c>
      <c r="F4777" s="14">
        <v>160000</v>
      </c>
      <c r="G4777" s="14">
        <v>100000</v>
      </c>
      <c r="H4777" s="13" t="s">
        <v>6961</v>
      </c>
      <c r="I4777" s="40" t="s">
        <v>18</v>
      </c>
      <c r="J4777" s="40" t="str">
        <f>HYPERLINK("https://stock.pstatic.net/stock-research/company/63/20260219_company_99349000.pdf","PDF")</f>
        <v>PDF</v>
      </c>
      <c r="K4777" s="12" t="s">
        <v>6962</v>
      </c>
      <c r="L4777" s="20">
        <v>0.6</v>
      </c>
    </row>
    <row r="4778" spans="1:12" x14ac:dyDescent="0.45">
      <c r="A4778" s="12" t="s">
        <v>6907</v>
      </c>
      <c r="B4778" s="12" t="s">
        <v>1940</v>
      </c>
      <c r="C4778" s="13" t="s">
        <v>1941</v>
      </c>
      <c r="D4778" s="13" t="s">
        <v>92</v>
      </c>
      <c r="E4778" s="12" t="s">
        <v>35</v>
      </c>
      <c r="F4778" s="14">
        <v>24000</v>
      </c>
      <c r="G4778" s="14">
        <v>16350</v>
      </c>
      <c r="H4778" s="13" t="s">
        <v>6963</v>
      </c>
      <c r="I4778" s="40" t="s">
        <v>18</v>
      </c>
      <c r="J4778" s="40" t="str">
        <f>HYPERLINK("https://stock.pstatic.net/stock-research/company/63/20260219_company_446952000.pdf","PDF")</f>
        <v>PDF</v>
      </c>
      <c r="K4778" s="12" t="s">
        <v>6964</v>
      </c>
      <c r="L4778" s="20">
        <v>0.46788990825688082</v>
      </c>
    </row>
    <row r="4779" spans="1:12" x14ac:dyDescent="0.45">
      <c r="A4779" s="12" t="s">
        <v>6907</v>
      </c>
      <c r="B4779" s="12" t="s">
        <v>5355</v>
      </c>
      <c r="C4779" s="13" t="s">
        <v>5356</v>
      </c>
      <c r="D4779" s="13" t="s">
        <v>34</v>
      </c>
      <c r="E4779" s="12" t="s">
        <v>50</v>
      </c>
      <c r="F4779" s="13"/>
      <c r="G4779" s="14">
        <v>47400</v>
      </c>
      <c r="H4779" s="13" t="s">
        <v>6965</v>
      </c>
      <c r="I4779" s="40" t="s">
        <v>18</v>
      </c>
      <c r="J4779" s="40" t="str">
        <f>HYPERLINK("https://stock.pstatic.net/stock-research/company/61/20260219_company_238638000.pdf","PDF")</f>
        <v>PDF</v>
      </c>
      <c r="K4779" s="12" t="s">
        <v>6966</v>
      </c>
    </row>
    <row r="4780" spans="1:12" x14ac:dyDescent="0.45">
      <c r="A4780" s="12" t="s">
        <v>6907</v>
      </c>
      <c r="B4780" s="12" t="s">
        <v>6967</v>
      </c>
      <c r="C4780" s="13" t="s">
        <v>6968</v>
      </c>
      <c r="D4780" s="13" t="s">
        <v>34</v>
      </c>
      <c r="E4780" s="12" t="s">
        <v>35</v>
      </c>
      <c r="F4780" s="14">
        <v>27000</v>
      </c>
      <c r="G4780" s="14">
        <v>21800</v>
      </c>
      <c r="H4780" s="13" t="s">
        <v>6969</v>
      </c>
      <c r="I4780" s="40" t="s">
        <v>18</v>
      </c>
      <c r="J4780" s="40" t="str">
        <f>HYPERLINK("https://stock.pstatic.net/stock-research/company/61/20260219_company_561236000.pdf","PDF")</f>
        <v>PDF</v>
      </c>
      <c r="K4780" s="12" t="s">
        <v>6970</v>
      </c>
      <c r="L4780" s="20">
        <v>0.2385321100917431</v>
      </c>
    </row>
    <row r="4781" spans="1:12" x14ac:dyDescent="0.45">
      <c r="A4781" s="12" t="s">
        <v>6907</v>
      </c>
      <c r="B4781" s="12" t="s">
        <v>2631</v>
      </c>
      <c r="C4781" s="13" t="s">
        <v>2632</v>
      </c>
      <c r="D4781" s="13" t="s">
        <v>34</v>
      </c>
      <c r="E4781" s="12" t="s">
        <v>50</v>
      </c>
      <c r="F4781" s="13"/>
      <c r="G4781" s="14">
        <v>17900</v>
      </c>
      <c r="H4781" s="13" t="s">
        <v>6971</v>
      </c>
      <c r="I4781" s="40" t="s">
        <v>18</v>
      </c>
      <c r="J4781" s="40" t="str">
        <f>HYPERLINK("https://stock.pstatic.net/stock-research/company/61/20260219_company_614188000.pdf","PDF")</f>
        <v>PDF</v>
      </c>
      <c r="K4781" s="12" t="s">
        <v>6972</v>
      </c>
    </row>
    <row r="4782" spans="1:12" x14ac:dyDescent="0.45">
      <c r="A4782" s="12" t="s">
        <v>6907</v>
      </c>
      <c r="B4782" s="12" t="s">
        <v>828</v>
      </c>
      <c r="C4782" s="13" t="s">
        <v>829</v>
      </c>
      <c r="D4782" s="13" t="s">
        <v>34</v>
      </c>
      <c r="E4782" s="12" t="s">
        <v>50</v>
      </c>
      <c r="F4782" s="13"/>
      <c r="G4782" s="14">
        <v>55000</v>
      </c>
      <c r="H4782" s="13" t="s">
        <v>6973</v>
      </c>
      <c r="I4782" s="40" t="s">
        <v>18</v>
      </c>
      <c r="J4782" s="40" t="str">
        <f>HYPERLINK("https://stock.pstatic.net/stock-research/company/61/20260219_company_83070000.pdf","PDF")</f>
        <v>PDF</v>
      </c>
      <c r="K4782" s="12" t="s">
        <v>6974</v>
      </c>
    </row>
    <row r="4783" spans="1:12" x14ac:dyDescent="0.45">
      <c r="A4783" s="12" t="s">
        <v>6907</v>
      </c>
      <c r="B4783" s="12" t="s">
        <v>2950</v>
      </c>
      <c r="C4783" s="13" t="s">
        <v>2951</v>
      </c>
      <c r="D4783" s="13" t="s">
        <v>34</v>
      </c>
      <c r="E4783" s="12" t="s">
        <v>50</v>
      </c>
      <c r="F4783" s="13"/>
      <c r="G4783" s="14">
        <v>96700</v>
      </c>
      <c r="H4783" s="13" t="s">
        <v>6975</v>
      </c>
      <c r="I4783" s="40" t="s">
        <v>18</v>
      </c>
      <c r="J4783" s="40" t="str">
        <f>HYPERLINK("https://stock.pstatic.net/stock-research/company/61/20260219_company_981716000.pdf","PDF")</f>
        <v>PDF</v>
      </c>
      <c r="K4783" s="12" t="s">
        <v>6976</v>
      </c>
    </row>
    <row r="4784" spans="1:12" x14ac:dyDescent="0.45">
      <c r="A4784" s="12" t="s">
        <v>6907</v>
      </c>
      <c r="B4784" s="12" t="s">
        <v>3244</v>
      </c>
      <c r="C4784" s="13" t="s">
        <v>3245</v>
      </c>
      <c r="D4784" s="13" t="s">
        <v>44</v>
      </c>
      <c r="E4784" s="12" t="s">
        <v>35</v>
      </c>
      <c r="F4784" s="14">
        <v>82000</v>
      </c>
      <c r="G4784" s="14">
        <v>64700</v>
      </c>
      <c r="H4784" s="13" t="s">
        <v>6977</v>
      </c>
      <c r="I4784" s="40" t="s">
        <v>18</v>
      </c>
      <c r="J4784" s="40" t="str">
        <f>HYPERLINK("https://stock.pstatic.net/stock-research/company/39/20260219_company_155065000.pdf","PDF")</f>
        <v>PDF</v>
      </c>
      <c r="K4784" s="12" t="s">
        <v>6978</v>
      </c>
      <c r="L4784" s="20">
        <v>0.26738794435857799</v>
      </c>
    </row>
    <row r="4785" spans="1:12" x14ac:dyDescent="0.45">
      <c r="A4785" s="12" t="s">
        <v>6907</v>
      </c>
      <c r="B4785" s="12" t="s">
        <v>2225</v>
      </c>
      <c r="C4785" s="13" t="s">
        <v>5282</v>
      </c>
      <c r="D4785" s="13" t="s">
        <v>44</v>
      </c>
      <c r="E4785" s="12" t="s">
        <v>35</v>
      </c>
      <c r="F4785" s="14">
        <v>700000</v>
      </c>
      <c r="G4785" s="14">
        <v>460000</v>
      </c>
      <c r="H4785" s="13" t="s">
        <v>6979</v>
      </c>
      <c r="I4785" s="40" t="s">
        <v>18</v>
      </c>
      <c r="J4785" s="40" t="str">
        <f>HYPERLINK("https://stock.pstatic.net/stock-research/company/39/20260219_company_200600000.pdf","PDF")</f>
        <v>PDF</v>
      </c>
      <c r="K4785" s="12" t="s">
        <v>6980</v>
      </c>
      <c r="L4785" s="20">
        <v>0.52173913043478259</v>
      </c>
    </row>
    <row r="4786" spans="1:12" x14ac:dyDescent="0.45">
      <c r="A4786" s="12" t="s">
        <v>6907</v>
      </c>
      <c r="B4786" s="12" t="s">
        <v>1694</v>
      </c>
      <c r="C4786" s="13" t="s">
        <v>1695</v>
      </c>
      <c r="D4786" s="13" t="s">
        <v>44</v>
      </c>
      <c r="E4786" s="12" t="s">
        <v>35</v>
      </c>
      <c r="F4786" s="14">
        <v>83000</v>
      </c>
      <c r="G4786" s="14">
        <v>63400</v>
      </c>
      <c r="H4786" s="13" t="s">
        <v>6981</v>
      </c>
      <c r="I4786" s="40" t="s">
        <v>18</v>
      </c>
      <c r="J4786" s="40" t="str">
        <f>HYPERLINK("https://stock.pstatic.net/stock-research/company/39/20260219_company_895483000.pdf","PDF")</f>
        <v>PDF</v>
      </c>
      <c r="K4786" s="12" t="s">
        <v>6982</v>
      </c>
      <c r="L4786" s="20">
        <v>0.30914826498422721</v>
      </c>
    </row>
    <row r="4787" spans="1:12" x14ac:dyDescent="0.45">
      <c r="A4787" s="12" t="s">
        <v>6907</v>
      </c>
      <c r="B4787" s="12" t="s">
        <v>1652</v>
      </c>
      <c r="C4787" s="13" t="s">
        <v>1653</v>
      </c>
      <c r="D4787" s="13" t="s">
        <v>44</v>
      </c>
      <c r="E4787" s="12" t="s">
        <v>35</v>
      </c>
      <c r="F4787" s="14">
        <v>62000</v>
      </c>
      <c r="G4787" s="14">
        <v>42600</v>
      </c>
      <c r="H4787" s="13" t="s">
        <v>6983</v>
      </c>
      <c r="I4787" s="40" t="s">
        <v>18</v>
      </c>
      <c r="J4787" s="40" t="str">
        <f>HYPERLINK("https://stock.pstatic.net/stock-research/company/39/20260219_company_579857000.pdf","PDF")</f>
        <v>PDF</v>
      </c>
      <c r="K4787" s="12" t="s">
        <v>6984</v>
      </c>
      <c r="L4787" s="20">
        <v>0.45539906103286393</v>
      </c>
    </row>
    <row r="4788" spans="1:12" x14ac:dyDescent="0.45">
      <c r="A4788" s="12" t="s">
        <v>6907</v>
      </c>
      <c r="B4788" s="12" t="s">
        <v>6985</v>
      </c>
      <c r="C4788" s="13" t="s">
        <v>6986</v>
      </c>
      <c r="D4788" s="13" t="s">
        <v>124</v>
      </c>
      <c r="E4788" s="12" t="s">
        <v>50</v>
      </c>
      <c r="F4788" s="13"/>
      <c r="G4788" s="13"/>
      <c r="H4788" s="13" t="s">
        <v>6987</v>
      </c>
      <c r="I4788" s="40" t="s">
        <v>18</v>
      </c>
      <c r="J4788" s="40" t="str">
        <f>HYPERLINK("https://stock.pstatic.net/stock-research/company/74/20260219_company_710202000.pdf","PDF")</f>
        <v>PDF</v>
      </c>
      <c r="K4788" s="12" t="s">
        <v>6988</v>
      </c>
    </row>
    <row r="4789" spans="1:12" x14ac:dyDescent="0.45">
      <c r="A4789" s="12" t="s">
        <v>6907</v>
      </c>
      <c r="B4789" s="12" t="s">
        <v>1777</v>
      </c>
      <c r="C4789" s="13" t="s">
        <v>1778</v>
      </c>
      <c r="D4789" s="13" t="s">
        <v>124</v>
      </c>
      <c r="E4789" s="12" t="s">
        <v>50</v>
      </c>
      <c r="F4789" s="13"/>
      <c r="G4789" s="13"/>
      <c r="H4789" s="13" t="s">
        <v>6989</v>
      </c>
      <c r="I4789" s="40" t="s">
        <v>18</v>
      </c>
      <c r="J4789" s="40" t="str">
        <f>HYPERLINK("https://stock.pstatic.net/stock-research/company/74/20260220_company_87871000.pdf","PDF")</f>
        <v>PDF</v>
      </c>
      <c r="K4789" s="12" t="s">
        <v>6990</v>
      </c>
    </row>
    <row r="4790" spans="1:12" x14ac:dyDescent="0.45">
      <c r="A4790" s="12" t="s">
        <v>6907</v>
      </c>
      <c r="B4790" s="12" t="s">
        <v>1652</v>
      </c>
      <c r="C4790" s="13" t="s">
        <v>1653</v>
      </c>
      <c r="D4790" s="13" t="s">
        <v>15</v>
      </c>
      <c r="E4790" s="12" t="s">
        <v>16</v>
      </c>
      <c r="F4790" s="14">
        <v>52000</v>
      </c>
      <c r="G4790" s="14">
        <v>42600</v>
      </c>
      <c r="H4790" s="13" t="s">
        <v>6991</v>
      </c>
      <c r="I4790" s="40" t="s">
        <v>18</v>
      </c>
      <c r="J4790" s="40" t="str">
        <f>HYPERLINK("https://stock.pstatic.net/stock-research/company/56/20260219_company_902432000.pdf","PDF")</f>
        <v>PDF</v>
      </c>
      <c r="K4790" s="12" t="s">
        <v>6992</v>
      </c>
      <c r="L4790" s="20">
        <v>0.22065727699530521</v>
      </c>
    </row>
    <row r="4791" spans="1:12" x14ac:dyDescent="0.45">
      <c r="A4791" s="12" t="s">
        <v>6993</v>
      </c>
      <c r="B4791" s="12" t="s">
        <v>1906</v>
      </c>
      <c r="C4791" s="13" t="s">
        <v>1907</v>
      </c>
      <c r="D4791" s="13" t="s">
        <v>276</v>
      </c>
      <c r="E4791" s="12" t="s">
        <v>16</v>
      </c>
      <c r="F4791" s="14">
        <v>65000</v>
      </c>
      <c r="G4791" s="14">
        <v>53500</v>
      </c>
      <c r="H4791" s="13" t="s">
        <v>6994</v>
      </c>
      <c r="I4791" s="40" t="s">
        <v>18</v>
      </c>
      <c r="J4791" s="40" t="str">
        <f>HYPERLINK("https://stock.pstatic.net/stock-research/company/66/20260213_company_671896000.pdf","PDF")</f>
        <v>PDF</v>
      </c>
      <c r="K4791" s="12" t="s">
        <v>6995</v>
      </c>
      <c r="L4791" s="20">
        <v>0.21495327102803741</v>
      </c>
    </row>
    <row r="4792" spans="1:12" x14ac:dyDescent="0.45">
      <c r="A4792" s="12" t="s">
        <v>6993</v>
      </c>
      <c r="B4792" s="12" t="s">
        <v>2837</v>
      </c>
      <c r="C4792" s="13" t="s">
        <v>2838</v>
      </c>
      <c r="D4792" s="13" t="s">
        <v>276</v>
      </c>
      <c r="E4792" s="12" t="s">
        <v>16</v>
      </c>
      <c r="F4792" s="14">
        <v>137000</v>
      </c>
      <c r="G4792" s="14">
        <v>105800</v>
      </c>
      <c r="H4792" s="13" t="s">
        <v>6996</v>
      </c>
      <c r="I4792" s="40" t="s">
        <v>18</v>
      </c>
      <c r="J4792" s="40" t="str">
        <f>HYPERLINK("https://stock.pstatic.net/stock-research/company/66/20260213_company_959256000.pdf","PDF")</f>
        <v>PDF</v>
      </c>
      <c r="K4792" s="12" t="s">
        <v>6997</v>
      </c>
      <c r="L4792" s="20">
        <v>0.29489603024574668</v>
      </c>
    </row>
    <row r="4793" spans="1:12" x14ac:dyDescent="0.45">
      <c r="A4793" s="12" t="s">
        <v>6993</v>
      </c>
      <c r="B4793" s="12" t="s">
        <v>2414</v>
      </c>
      <c r="C4793" s="13" t="s">
        <v>2415</v>
      </c>
      <c r="D4793" s="13" t="s">
        <v>276</v>
      </c>
      <c r="E4793" s="12" t="s">
        <v>16</v>
      </c>
      <c r="F4793" s="14">
        <v>1800000</v>
      </c>
      <c r="G4793" s="14">
        <v>973000</v>
      </c>
      <c r="H4793" s="13" t="s">
        <v>6998</v>
      </c>
      <c r="I4793" s="40" t="s">
        <v>18</v>
      </c>
      <c r="J4793" s="40" t="str">
        <f>HYPERLINK("https://stock.pstatic.net/stock-research/company/66/20260213_company_969448000.pdf","PDF")</f>
        <v>PDF</v>
      </c>
      <c r="K4793" s="12" t="s">
        <v>6999</v>
      </c>
      <c r="L4793" s="20">
        <v>0.84994861253854059</v>
      </c>
    </row>
    <row r="4794" spans="1:12" x14ac:dyDescent="0.45">
      <c r="A4794" s="12" t="s">
        <v>6993</v>
      </c>
      <c r="B4794" s="12" t="s">
        <v>7000</v>
      </c>
      <c r="C4794" s="13" t="s">
        <v>7001</v>
      </c>
      <c r="D4794" s="13" t="s">
        <v>15</v>
      </c>
      <c r="E4794" s="12" t="s">
        <v>50</v>
      </c>
      <c r="F4794" s="13"/>
      <c r="G4794" s="14">
        <v>60000</v>
      </c>
      <c r="H4794" s="13" t="s">
        <v>7002</v>
      </c>
      <c r="I4794" s="40" t="s">
        <v>18</v>
      </c>
      <c r="J4794" s="40" t="str">
        <f>HYPERLINK("https://stock.pstatic.net/stock-research/company/56/20260213_company_536725000.pdf","PDF")</f>
        <v>PDF</v>
      </c>
      <c r="K4794" s="12" t="s">
        <v>7003</v>
      </c>
    </row>
    <row r="4795" spans="1:12" x14ac:dyDescent="0.45">
      <c r="A4795" s="12" t="s">
        <v>6993</v>
      </c>
      <c r="B4795" s="12" t="s">
        <v>3105</v>
      </c>
      <c r="C4795" s="13" t="s">
        <v>3106</v>
      </c>
      <c r="D4795" s="13" t="s">
        <v>60</v>
      </c>
      <c r="E4795" s="12" t="s">
        <v>35</v>
      </c>
      <c r="F4795" s="14">
        <v>455000</v>
      </c>
      <c r="G4795" s="14">
        <v>380500</v>
      </c>
      <c r="H4795" s="13" t="s">
        <v>7004</v>
      </c>
      <c r="I4795" s="40" t="s">
        <v>18</v>
      </c>
      <c r="J4795" s="40" t="str">
        <f>HYPERLINK("https://stock.pstatic.net/stock-research/company/62/20260213_company_839673000.pdf","PDF")</f>
        <v>PDF</v>
      </c>
      <c r="K4795" s="12" t="s">
        <v>7005</v>
      </c>
      <c r="L4795" s="20">
        <v>0.19579500657030219</v>
      </c>
    </row>
    <row r="4796" spans="1:12" x14ac:dyDescent="0.45">
      <c r="A4796" s="12" t="s">
        <v>6993</v>
      </c>
      <c r="B4796" s="12" t="s">
        <v>2414</v>
      </c>
      <c r="C4796" s="13" t="s">
        <v>2415</v>
      </c>
      <c r="D4796" s="13" t="s">
        <v>60</v>
      </c>
      <c r="E4796" s="12" t="s">
        <v>35</v>
      </c>
      <c r="F4796" s="14">
        <v>1300000</v>
      </c>
      <c r="G4796" s="14">
        <v>973000</v>
      </c>
      <c r="H4796" s="13" t="s">
        <v>7006</v>
      </c>
      <c r="I4796" s="40" t="s">
        <v>18</v>
      </c>
      <c r="J4796" s="40" t="str">
        <f>HYPERLINK("https://stock.pstatic.net/stock-research/company/62/20260213_company_83876000.pdf","PDF")</f>
        <v>PDF</v>
      </c>
      <c r="K4796" s="12" t="s">
        <v>7007</v>
      </c>
      <c r="L4796" s="20">
        <v>0.33607399794450149</v>
      </c>
    </row>
    <row r="4797" spans="1:12" x14ac:dyDescent="0.45">
      <c r="A4797" s="12" t="s">
        <v>6993</v>
      </c>
      <c r="B4797" s="12" t="s">
        <v>916</v>
      </c>
      <c r="C4797" s="13" t="s">
        <v>917</v>
      </c>
      <c r="D4797" s="13" t="s">
        <v>60</v>
      </c>
      <c r="E4797" s="12" t="s">
        <v>35</v>
      </c>
      <c r="F4797" s="14">
        <v>76000</v>
      </c>
      <c r="G4797" s="14">
        <v>58800</v>
      </c>
      <c r="H4797" s="13" t="s">
        <v>7008</v>
      </c>
      <c r="I4797" s="40" t="s">
        <v>18</v>
      </c>
      <c r="J4797" s="40" t="str">
        <f>HYPERLINK("https://stock.pstatic.net/stock-research/company/62/20260213_company_277497000.pdf","PDF")</f>
        <v>PDF</v>
      </c>
      <c r="K4797" s="12" t="s">
        <v>7009</v>
      </c>
      <c r="L4797" s="20">
        <v>0.29251700680272108</v>
      </c>
    </row>
    <row r="4798" spans="1:12" x14ac:dyDescent="0.45">
      <c r="A4798" s="12" t="s">
        <v>6993</v>
      </c>
      <c r="B4798" s="12" t="s">
        <v>98</v>
      </c>
      <c r="C4798" s="13" t="s">
        <v>99</v>
      </c>
      <c r="D4798" s="13" t="s">
        <v>60</v>
      </c>
      <c r="E4798" s="12" t="s">
        <v>35</v>
      </c>
      <c r="F4798" s="14">
        <v>41000</v>
      </c>
      <c r="G4798" s="14">
        <v>35000</v>
      </c>
      <c r="H4798" s="13" t="s">
        <v>7010</v>
      </c>
      <c r="I4798" s="40" t="s">
        <v>18</v>
      </c>
      <c r="J4798" s="40" t="str">
        <f>HYPERLINK("https://stock.pstatic.net/stock-research/company/62/20260213_company_814217000.pdf","PDF")</f>
        <v>PDF</v>
      </c>
      <c r="K4798" s="12" t="s">
        <v>7011</v>
      </c>
      <c r="L4798" s="20">
        <v>0.1714285714285714</v>
      </c>
    </row>
    <row r="4799" spans="1:12" x14ac:dyDescent="0.45">
      <c r="A4799" s="12" t="s">
        <v>6993</v>
      </c>
      <c r="B4799" s="12" t="s">
        <v>2950</v>
      </c>
      <c r="C4799" s="13" t="s">
        <v>2951</v>
      </c>
      <c r="D4799" s="13" t="s">
        <v>65</v>
      </c>
      <c r="E4799" s="12" t="s">
        <v>35</v>
      </c>
      <c r="F4799" s="14">
        <v>165000</v>
      </c>
      <c r="G4799" s="14">
        <v>95500</v>
      </c>
      <c r="H4799" s="13" t="s">
        <v>7012</v>
      </c>
      <c r="I4799" s="40" t="s">
        <v>18</v>
      </c>
      <c r="J4799" s="40" t="str">
        <f>HYPERLINK("https://stock.pstatic.net/stock-research/company/57/20260213_company_670295000.pdf","PDF")</f>
        <v>PDF</v>
      </c>
      <c r="K4799" s="12" t="s">
        <v>7013</v>
      </c>
      <c r="L4799" s="20">
        <v>0.72774869109947649</v>
      </c>
    </row>
    <row r="4800" spans="1:12" x14ac:dyDescent="0.45">
      <c r="A4800" s="12" t="s">
        <v>6993</v>
      </c>
      <c r="B4800" s="12" t="s">
        <v>5395</v>
      </c>
      <c r="C4800" s="13" t="s">
        <v>5396</v>
      </c>
      <c r="D4800" s="13" t="s">
        <v>65</v>
      </c>
      <c r="E4800" s="12" t="s">
        <v>35</v>
      </c>
      <c r="F4800" s="14">
        <v>72000</v>
      </c>
      <c r="G4800" s="14">
        <v>43850</v>
      </c>
      <c r="H4800" s="13" t="s">
        <v>7014</v>
      </c>
      <c r="I4800" s="40" t="s">
        <v>18</v>
      </c>
      <c r="J4800" s="40" t="str">
        <f>HYPERLINK("https://stock.pstatic.net/stock-research/company/57/20260213_company_665690000.pdf","PDF")</f>
        <v>PDF</v>
      </c>
      <c r="K4800" s="12" t="s">
        <v>7015</v>
      </c>
      <c r="L4800" s="20">
        <v>0.64196123147092365</v>
      </c>
    </row>
    <row r="4801" spans="1:12" x14ac:dyDescent="0.45">
      <c r="A4801" s="12" t="s">
        <v>6993</v>
      </c>
      <c r="B4801" s="12" t="s">
        <v>916</v>
      </c>
      <c r="C4801" s="13" t="s">
        <v>917</v>
      </c>
      <c r="D4801" s="13" t="s">
        <v>65</v>
      </c>
      <c r="E4801" s="12" t="s">
        <v>35</v>
      </c>
      <c r="F4801" s="14">
        <v>75000</v>
      </c>
      <c r="G4801" s="14">
        <v>58800</v>
      </c>
      <c r="H4801" s="13" t="s">
        <v>7016</v>
      </c>
      <c r="I4801" s="40" t="s">
        <v>18</v>
      </c>
      <c r="J4801" s="40" t="str">
        <f>HYPERLINK("https://stock.pstatic.net/stock-research/company/57/20260213_company_554378000.pdf","PDF")</f>
        <v>PDF</v>
      </c>
      <c r="K4801" s="12" t="s">
        <v>7017</v>
      </c>
      <c r="L4801" s="20">
        <v>0.27551020408163263</v>
      </c>
    </row>
    <row r="4802" spans="1:12" x14ac:dyDescent="0.45">
      <c r="A4802" s="12" t="s">
        <v>6993</v>
      </c>
      <c r="B4802" s="12" t="s">
        <v>3105</v>
      </c>
      <c r="C4802" s="13" t="s">
        <v>3106</v>
      </c>
      <c r="D4802" s="13" t="s">
        <v>65</v>
      </c>
      <c r="E4802" s="12" t="s">
        <v>35</v>
      </c>
      <c r="F4802" s="14">
        <v>440000</v>
      </c>
      <c r="G4802" s="14">
        <v>380500</v>
      </c>
      <c r="H4802" s="13" t="s">
        <v>7018</v>
      </c>
      <c r="I4802" s="40" t="s">
        <v>18</v>
      </c>
      <c r="J4802" s="40" t="str">
        <f>HYPERLINK("https://stock.pstatic.net/stock-research/company/57/20260213_company_393161000.pdf","PDF")</f>
        <v>PDF</v>
      </c>
      <c r="K4802" s="12" t="s">
        <v>7019</v>
      </c>
      <c r="L4802" s="20">
        <v>0.15637319316688569</v>
      </c>
    </row>
    <row r="4803" spans="1:12" x14ac:dyDescent="0.45">
      <c r="A4803" s="12" t="s">
        <v>6993</v>
      </c>
      <c r="B4803" s="12" t="s">
        <v>1019</v>
      </c>
      <c r="C4803" s="13" t="s">
        <v>1020</v>
      </c>
      <c r="D4803" s="13" t="s">
        <v>65</v>
      </c>
      <c r="E4803" s="12" t="s">
        <v>35</v>
      </c>
      <c r="F4803" s="14">
        <v>31000</v>
      </c>
      <c r="G4803" s="14">
        <v>25400</v>
      </c>
      <c r="H4803" s="13" t="s">
        <v>7020</v>
      </c>
      <c r="I4803" s="40" t="s">
        <v>18</v>
      </c>
      <c r="J4803" s="40" t="str">
        <f>HYPERLINK("https://stock.pstatic.net/stock-research/company/57/20260213_company_897462000.pdf","PDF")</f>
        <v>PDF</v>
      </c>
      <c r="K4803" s="12" t="s">
        <v>7021</v>
      </c>
      <c r="L4803" s="20">
        <v>0.22047244094488189</v>
      </c>
    </row>
    <row r="4804" spans="1:12" x14ac:dyDescent="0.45">
      <c r="A4804" s="12" t="s">
        <v>6993</v>
      </c>
      <c r="B4804" s="12" t="s">
        <v>1019</v>
      </c>
      <c r="C4804" s="13" t="s">
        <v>1020</v>
      </c>
      <c r="D4804" s="13" t="s">
        <v>57</v>
      </c>
      <c r="E4804" s="12" t="s">
        <v>35</v>
      </c>
      <c r="F4804" s="14">
        <v>32000</v>
      </c>
      <c r="G4804" s="14">
        <v>25400</v>
      </c>
      <c r="H4804" s="13" t="s">
        <v>7022</v>
      </c>
      <c r="I4804" s="40" t="s">
        <v>18</v>
      </c>
      <c r="J4804" s="40" t="str">
        <f>HYPERLINK("https://stock.pstatic.net/stock-research/company/16/20260213_company_821541000.pdf","PDF")</f>
        <v>PDF</v>
      </c>
      <c r="K4804" s="12" t="s">
        <v>7023</v>
      </c>
      <c r="L4804" s="20">
        <v>0.25984251968503941</v>
      </c>
    </row>
    <row r="4805" spans="1:12" x14ac:dyDescent="0.45">
      <c r="A4805" s="12" t="s">
        <v>6993</v>
      </c>
      <c r="B4805" s="12" t="s">
        <v>3105</v>
      </c>
      <c r="C4805" s="13" t="s">
        <v>3106</v>
      </c>
      <c r="D4805" s="13" t="s">
        <v>57</v>
      </c>
      <c r="E4805" s="12" t="s">
        <v>35</v>
      </c>
      <c r="F4805" s="14">
        <v>440000</v>
      </c>
      <c r="G4805" s="14">
        <v>380500</v>
      </c>
      <c r="H4805" s="13" t="s">
        <v>7024</v>
      </c>
      <c r="I4805" s="40" t="s">
        <v>18</v>
      </c>
      <c r="J4805" s="40" t="str">
        <f>HYPERLINK("https://stock.pstatic.net/stock-research/company/16/20260213_company_359901000.pdf","PDF")</f>
        <v>PDF</v>
      </c>
      <c r="K4805" s="12" t="s">
        <v>7025</v>
      </c>
      <c r="L4805" s="20">
        <v>0.15637319316688569</v>
      </c>
    </row>
    <row r="4806" spans="1:12" x14ac:dyDescent="0.45">
      <c r="A4806" s="12" t="s">
        <v>6993</v>
      </c>
      <c r="B4806" s="12" t="s">
        <v>98</v>
      </c>
      <c r="C4806" s="13" t="s">
        <v>99</v>
      </c>
      <c r="D4806" s="13" t="s">
        <v>57</v>
      </c>
      <c r="E4806" s="12" t="s">
        <v>35</v>
      </c>
      <c r="F4806" s="14">
        <v>43000</v>
      </c>
      <c r="G4806" s="14">
        <v>33150</v>
      </c>
      <c r="H4806" s="13" t="s">
        <v>7026</v>
      </c>
      <c r="I4806" s="40" t="s">
        <v>18</v>
      </c>
      <c r="J4806" s="40" t="str">
        <f>HYPERLINK("https://stock.pstatic.net/stock-research/company/16/20260213_company_418940000.pdf","PDF")</f>
        <v>PDF</v>
      </c>
      <c r="K4806" s="12" t="s">
        <v>7027</v>
      </c>
      <c r="L4806" s="20">
        <v>0.2971342383107089</v>
      </c>
    </row>
    <row r="4807" spans="1:12" x14ac:dyDescent="0.45">
      <c r="A4807" s="12" t="s">
        <v>6993</v>
      </c>
      <c r="B4807" s="12" t="s">
        <v>916</v>
      </c>
      <c r="C4807" s="13" t="s">
        <v>917</v>
      </c>
      <c r="D4807" s="13" t="s">
        <v>57</v>
      </c>
      <c r="E4807" s="12" t="s">
        <v>35</v>
      </c>
      <c r="F4807" s="14">
        <v>85000</v>
      </c>
      <c r="G4807" s="14">
        <v>58900</v>
      </c>
      <c r="H4807" s="13" t="s">
        <v>7028</v>
      </c>
      <c r="I4807" s="40" t="s">
        <v>18</v>
      </c>
      <c r="J4807" s="40" t="str">
        <f>HYPERLINK("https://stock.pstatic.net/stock-research/company/16/20260213_company_586151000.pdf","PDF")</f>
        <v>PDF</v>
      </c>
      <c r="K4807" s="12" t="s">
        <v>7029</v>
      </c>
      <c r="L4807" s="20">
        <v>0.44312393887945672</v>
      </c>
    </row>
    <row r="4808" spans="1:12" x14ac:dyDescent="0.45">
      <c r="A4808" s="12" t="s">
        <v>6993</v>
      </c>
      <c r="B4808" s="12" t="s">
        <v>916</v>
      </c>
      <c r="C4808" s="13" t="s">
        <v>917</v>
      </c>
      <c r="D4808" s="13" t="s">
        <v>158</v>
      </c>
      <c r="E4808" s="12" t="s">
        <v>35</v>
      </c>
      <c r="F4808" s="14">
        <v>80000</v>
      </c>
      <c r="G4808" s="14">
        <v>58800</v>
      </c>
      <c r="H4808" s="13" t="s">
        <v>7030</v>
      </c>
      <c r="I4808" s="40" t="s">
        <v>18</v>
      </c>
      <c r="J4808" s="40" t="str">
        <f>HYPERLINK("https://stock.pstatic.net/stock-research/company/18/20260213_company_508522000.pdf","PDF")</f>
        <v>PDF</v>
      </c>
      <c r="K4808" s="12" t="s">
        <v>7031</v>
      </c>
      <c r="L4808" s="20">
        <v>0.36054421768707479</v>
      </c>
    </row>
    <row r="4809" spans="1:12" x14ac:dyDescent="0.45">
      <c r="A4809" s="12" t="s">
        <v>6993</v>
      </c>
      <c r="B4809" s="12" t="s">
        <v>2795</v>
      </c>
      <c r="C4809" s="13" t="s">
        <v>2796</v>
      </c>
      <c r="D4809" s="13" t="s">
        <v>158</v>
      </c>
      <c r="E4809" s="12" t="s">
        <v>35</v>
      </c>
      <c r="F4809" s="14">
        <v>6200</v>
      </c>
      <c r="G4809" s="14">
        <v>5120</v>
      </c>
      <c r="H4809" s="13" t="s">
        <v>7032</v>
      </c>
      <c r="I4809" s="40" t="s">
        <v>18</v>
      </c>
      <c r="J4809" s="40" t="str">
        <f>HYPERLINK("https://stock.pstatic.net/stock-research/company/18/20260213_company_363832000.pdf","PDF")</f>
        <v>PDF</v>
      </c>
      <c r="K4809" s="12" t="s">
        <v>7033</v>
      </c>
      <c r="L4809" s="20">
        <v>0.2109375</v>
      </c>
    </row>
    <row r="4810" spans="1:12" x14ac:dyDescent="0.45">
      <c r="A4810" s="12" t="s">
        <v>6993</v>
      </c>
      <c r="B4810" s="12" t="s">
        <v>76</v>
      </c>
      <c r="C4810" s="13" t="s">
        <v>77</v>
      </c>
      <c r="D4810" s="13" t="s">
        <v>158</v>
      </c>
      <c r="E4810" s="12" t="s">
        <v>159</v>
      </c>
      <c r="F4810" s="14">
        <v>22000</v>
      </c>
      <c r="G4810" s="14">
        <v>21350</v>
      </c>
      <c r="H4810" s="13" t="s">
        <v>7034</v>
      </c>
      <c r="I4810" s="40" t="s">
        <v>18</v>
      </c>
      <c r="J4810" s="40" t="str">
        <f>HYPERLINK("https://stock.pstatic.net/stock-research/company/18/20260213_company_314591000.pdf","PDF")</f>
        <v>PDF</v>
      </c>
      <c r="K4810" s="12" t="s">
        <v>7035</v>
      </c>
      <c r="L4810" s="20">
        <v>3.0444964871194378E-2</v>
      </c>
    </row>
    <row r="4811" spans="1:12" x14ac:dyDescent="0.45">
      <c r="A4811" s="12" t="s">
        <v>6993</v>
      </c>
      <c r="B4811" s="12" t="s">
        <v>3168</v>
      </c>
      <c r="C4811" s="13" t="s">
        <v>3169</v>
      </c>
      <c r="D4811" s="13" t="s">
        <v>158</v>
      </c>
      <c r="E4811" s="12" t="s">
        <v>35</v>
      </c>
      <c r="F4811" s="14">
        <v>25000</v>
      </c>
      <c r="G4811" s="14">
        <v>20250</v>
      </c>
      <c r="H4811" s="13" t="s">
        <v>7036</v>
      </c>
      <c r="I4811" s="40" t="s">
        <v>18</v>
      </c>
      <c r="J4811" s="40" t="str">
        <f>HYPERLINK("https://stock.pstatic.net/stock-research/company/18/20260213_company_901886000.pdf","PDF")</f>
        <v>PDF</v>
      </c>
      <c r="K4811" s="12" t="s">
        <v>7037</v>
      </c>
      <c r="L4811" s="20">
        <v>0.23456790123456789</v>
      </c>
    </row>
    <row r="4812" spans="1:12" x14ac:dyDescent="0.45">
      <c r="A4812" s="12" t="s">
        <v>6993</v>
      </c>
      <c r="B4812" s="12" t="s">
        <v>2950</v>
      </c>
      <c r="C4812" s="13" t="s">
        <v>2951</v>
      </c>
      <c r="D4812" s="13" t="s">
        <v>15</v>
      </c>
      <c r="E4812" s="12" t="s">
        <v>16</v>
      </c>
      <c r="F4812" s="14">
        <v>116000</v>
      </c>
      <c r="G4812" s="14">
        <v>95500</v>
      </c>
      <c r="H4812" s="13" t="s">
        <v>7038</v>
      </c>
      <c r="I4812" s="40" t="s">
        <v>18</v>
      </c>
      <c r="J4812" s="40" t="str">
        <f>HYPERLINK("https://stock.pstatic.net/stock-research/company/56/20260213_company_584489000.pdf","PDF")</f>
        <v>PDF</v>
      </c>
      <c r="K4812" s="12" t="s">
        <v>7039</v>
      </c>
      <c r="L4812" s="20">
        <v>0.21465968586387429</v>
      </c>
    </row>
    <row r="4813" spans="1:12" x14ac:dyDescent="0.45">
      <c r="A4813" s="12" t="s">
        <v>6993</v>
      </c>
      <c r="B4813" s="12" t="s">
        <v>503</v>
      </c>
      <c r="C4813" s="13" t="s">
        <v>504</v>
      </c>
      <c r="D4813" s="13" t="s">
        <v>23</v>
      </c>
      <c r="E4813" s="12" t="s">
        <v>16</v>
      </c>
      <c r="F4813" s="14">
        <v>89000</v>
      </c>
      <c r="G4813" s="14">
        <v>69000</v>
      </c>
      <c r="H4813" s="13" t="s">
        <v>7040</v>
      </c>
      <c r="I4813" s="40" t="s">
        <v>18</v>
      </c>
      <c r="J4813" s="40" t="str">
        <f>HYPERLINK("https://stock.pstatic.net/stock-research/company/21/20260213_company_890053000.pdf","PDF")</f>
        <v>PDF</v>
      </c>
      <c r="K4813" s="12" t="s">
        <v>7041</v>
      </c>
      <c r="L4813" s="20">
        <v>0.28985507246376813</v>
      </c>
    </row>
    <row r="4814" spans="1:12" x14ac:dyDescent="0.45">
      <c r="A4814" s="12" t="s">
        <v>6993</v>
      </c>
      <c r="B4814" s="12" t="s">
        <v>2644</v>
      </c>
      <c r="C4814" s="13" t="s">
        <v>2645</v>
      </c>
      <c r="D4814" s="13" t="s">
        <v>15</v>
      </c>
      <c r="E4814" s="12" t="s">
        <v>16</v>
      </c>
      <c r="F4814" s="14">
        <v>35000</v>
      </c>
      <c r="G4814" s="14">
        <v>26500</v>
      </c>
      <c r="H4814" s="13" t="s">
        <v>7042</v>
      </c>
      <c r="I4814" s="40" t="s">
        <v>18</v>
      </c>
      <c r="J4814" s="40" t="str">
        <f>HYPERLINK("https://stock.pstatic.net/stock-research/company/56/20260213_company_819481000.pdf","PDF")</f>
        <v>PDF</v>
      </c>
      <c r="K4814" s="12" t="s">
        <v>7043</v>
      </c>
      <c r="L4814" s="20">
        <v>0.32075471698113212</v>
      </c>
    </row>
    <row r="4815" spans="1:12" x14ac:dyDescent="0.45">
      <c r="A4815" s="12" t="s">
        <v>6993</v>
      </c>
      <c r="B4815" s="12" t="s">
        <v>1906</v>
      </c>
      <c r="C4815" s="13" t="s">
        <v>1907</v>
      </c>
      <c r="D4815" s="13" t="s">
        <v>15</v>
      </c>
      <c r="E4815" s="12" t="s">
        <v>5386</v>
      </c>
      <c r="F4815" s="14">
        <v>36000</v>
      </c>
      <c r="G4815" s="14">
        <v>53500</v>
      </c>
      <c r="H4815" s="13" t="s">
        <v>7044</v>
      </c>
      <c r="I4815" s="40" t="s">
        <v>18</v>
      </c>
      <c r="J4815" s="40" t="str">
        <f>HYPERLINK("https://stock.pstatic.net/stock-research/company/56/20260213_company_309745000.pdf","PDF")</f>
        <v>PDF</v>
      </c>
      <c r="K4815" s="12" t="s">
        <v>7045</v>
      </c>
      <c r="L4815" s="20">
        <v>-0.32710280373831768</v>
      </c>
    </row>
    <row r="4816" spans="1:12" x14ac:dyDescent="0.45">
      <c r="A4816" s="12" t="s">
        <v>6993</v>
      </c>
      <c r="B4816" s="12" t="s">
        <v>3105</v>
      </c>
      <c r="C4816" s="13" t="s">
        <v>3106</v>
      </c>
      <c r="D4816" s="13" t="s">
        <v>53</v>
      </c>
      <c r="E4816" s="12" t="s">
        <v>16</v>
      </c>
      <c r="F4816" s="14">
        <v>480000</v>
      </c>
      <c r="G4816" s="14">
        <v>380500</v>
      </c>
      <c r="H4816" s="13" t="s">
        <v>7046</v>
      </c>
      <c r="I4816" s="40" t="s">
        <v>18</v>
      </c>
      <c r="J4816" s="40" t="str">
        <f>HYPERLINK("https://stock.pstatic.net/stock-research/company/40/20260213_company_453023000.pdf","PDF")</f>
        <v>PDF</v>
      </c>
      <c r="K4816" s="12" t="s">
        <v>7047</v>
      </c>
      <c r="L4816" s="20">
        <v>0.26149802890932983</v>
      </c>
    </row>
    <row r="4817" spans="1:12" x14ac:dyDescent="0.45">
      <c r="A4817" s="12" t="s">
        <v>6993</v>
      </c>
      <c r="B4817" s="12" t="s">
        <v>1019</v>
      </c>
      <c r="C4817" s="13" t="s">
        <v>1020</v>
      </c>
      <c r="D4817" s="13" t="s">
        <v>53</v>
      </c>
      <c r="E4817" s="12" t="s">
        <v>16</v>
      </c>
      <c r="F4817" s="14">
        <v>32000</v>
      </c>
      <c r="G4817" s="14">
        <v>25400</v>
      </c>
      <c r="H4817" s="13" t="s">
        <v>7048</v>
      </c>
      <c r="I4817" s="40" t="s">
        <v>18</v>
      </c>
      <c r="J4817" s="40" t="str">
        <f>HYPERLINK("https://stock.pstatic.net/stock-research/company/40/20260213_company_427133000.pdf","PDF")</f>
        <v>PDF</v>
      </c>
      <c r="K4817" s="12" t="s">
        <v>7049</v>
      </c>
      <c r="L4817" s="20">
        <v>0.25984251968503941</v>
      </c>
    </row>
    <row r="4818" spans="1:12" x14ac:dyDescent="0.45">
      <c r="A4818" s="12" t="s">
        <v>6993</v>
      </c>
      <c r="B4818" s="12" t="s">
        <v>1105</v>
      </c>
      <c r="C4818" s="13" t="s">
        <v>1106</v>
      </c>
      <c r="D4818" s="13" t="s">
        <v>92</v>
      </c>
      <c r="E4818" s="12" t="s">
        <v>35</v>
      </c>
      <c r="F4818" s="14">
        <v>20500</v>
      </c>
      <c r="G4818" s="14">
        <v>15140</v>
      </c>
      <c r="H4818" s="13" t="s">
        <v>7050</v>
      </c>
      <c r="I4818" s="40" t="s">
        <v>18</v>
      </c>
      <c r="J4818" s="40" t="str">
        <f>HYPERLINK("https://stock.pstatic.net/stock-research/company/63/20260213_company_662975000.pdf","PDF")</f>
        <v>PDF</v>
      </c>
      <c r="K4818" s="12" t="s">
        <v>7051</v>
      </c>
      <c r="L4818" s="20">
        <v>0.35402906208718632</v>
      </c>
    </row>
    <row r="4819" spans="1:12" x14ac:dyDescent="0.45">
      <c r="A4819" s="12" t="s">
        <v>6993</v>
      </c>
      <c r="B4819" s="12" t="s">
        <v>888</v>
      </c>
      <c r="C4819" s="13" t="s">
        <v>889</v>
      </c>
      <c r="D4819" s="13" t="s">
        <v>92</v>
      </c>
      <c r="E4819" s="12" t="s">
        <v>35</v>
      </c>
      <c r="F4819" s="14">
        <v>69000</v>
      </c>
      <c r="G4819" s="14">
        <v>55300</v>
      </c>
      <c r="H4819" s="13" t="s">
        <v>7052</v>
      </c>
      <c r="I4819" s="40" t="s">
        <v>18</v>
      </c>
      <c r="J4819" s="40" t="str">
        <f>HYPERLINK("https://stock.pstatic.net/stock-research/company/63/20260213_company_259331000.pdf","PDF")</f>
        <v>PDF</v>
      </c>
      <c r="K4819" s="12" t="s">
        <v>7053</v>
      </c>
      <c r="L4819" s="20">
        <v>0.24773960216998189</v>
      </c>
    </row>
    <row r="4820" spans="1:12" x14ac:dyDescent="0.45">
      <c r="A4820" s="12" t="s">
        <v>6993</v>
      </c>
      <c r="B4820" s="12" t="s">
        <v>1906</v>
      </c>
      <c r="C4820" s="13" t="s">
        <v>1907</v>
      </c>
      <c r="D4820" s="13" t="s">
        <v>92</v>
      </c>
      <c r="E4820" s="12" t="s">
        <v>159</v>
      </c>
      <c r="F4820" s="14">
        <v>35000</v>
      </c>
      <c r="G4820" s="14">
        <v>53500</v>
      </c>
      <c r="H4820" s="13" t="s">
        <v>7054</v>
      </c>
      <c r="I4820" s="40" t="s">
        <v>18</v>
      </c>
      <c r="J4820" s="40" t="str">
        <f>HYPERLINK("https://stock.pstatic.net/stock-research/company/63/20260213_company_96874000.pdf","PDF")</f>
        <v>PDF</v>
      </c>
      <c r="K4820" s="12" t="s">
        <v>7055</v>
      </c>
      <c r="L4820" s="20">
        <v>-0.34579439252336452</v>
      </c>
    </row>
    <row r="4821" spans="1:12" x14ac:dyDescent="0.45">
      <c r="A4821" s="12" t="s">
        <v>6993</v>
      </c>
      <c r="B4821" s="12" t="s">
        <v>1389</v>
      </c>
      <c r="C4821" s="13" t="s">
        <v>1390</v>
      </c>
      <c r="D4821" s="13" t="s">
        <v>92</v>
      </c>
      <c r="E4821" s="12" t="s">
        <v>35</v>
      </c>
      <c r="F4821" s="14">
        <v>22000</v>
      </c>
      <c r="G4821" s="14">
        <v>17900</v>
      </c>
      <c r="H4821" s="13" t="s">
        <v>7056</v>
      </c>
      <c r="I4821" s="40" t="s">
        <v>18</v>
      </c>
      <c r="J4821" s="40" t="str">
        <f>HYPERLINK("https://stock.pstatic.net/stock-research/company/63/20260213_company_826973000.pdf","PDF")</f>
        <v>PDF</v>
      </c>
      <c r="K4821" s="12" t="s">
        <v>7057</v>
      </c>
      <c r="L4821" s="20">
        <v>0.22905027932960889</v>
      </c>
    </row>
    <row r="4822" spans="1:12" x14ac:dyDescent="0.45">
      <c r="A4822" s="12" t="s">
        <v>6993</v>
      </c>
      <c r="B4822" s="12" t="s">
        <v>1120</v>
      </c>
      <c r="C4822" s="13" t="s">
        <v>1121</v>
      </c>
      <c r="D4822" s="13" t="s">
        <v>53</v>
      </c>
      <c r="E4822" s="12" t="s">
        <v>16</v>
      </c>
      <c r="F4822" s="14">
        <v>160000</v>
      </c>
      <c r="G4822" s="14">
        <v>138600</v>
      </c>
      <c r="H4822" s="13" t="s">
        <v>7058</v>
      </c>
      <c r="I4822" s="40" t="s">
        <v>18</v>
      </c>
      <c r="J4822" s="40" t="str">
        <f>HYPERLINK("https://stock.pstatic.net/stock-research/company/40/20260213_company_58396000.pdf","PDF")</f>
        <v>PDF</v>
      </c>
      <c r="K4822" s="12" t="s">
        <v>7059</v>
      </c>
      <c r="L4822" s="20">
        <v>0.1544011544011544</v>
      </c>
    </row>
    <row r="4823" spans="1:12" x14ac:dyDescent="0.45">
      <c r="A4823" s="12" t="s">
        <v>6993</v>
      </c>
      <c r="B4823" s="12" t="s">
        <v>2414</v>
      </c>
      <c r="C4823" s="13" t="s">
        <v>2415</v>
      </c>
      <c r="D4823" s="13" t="s">
        <v>92</v>
      </c>
      <c r="E4823" s="12" t="s">
        <v>35</v>
      </c>
      <c r="F4823" s="14">
        <v>1540000</v>
      </c>
      <c r="G4823" s="14">
        <v>973000</v>
      </c>
      <c r="H4823" s="13" t="s">
        <v>7060</v>
      </c>
      <c r="I4823" s="40" t="s">
        <v>18</v>
      </c>
      <c r="J4823" s="40" t="str">
        <f>HYPERLINK("https://stock.pstatic.net/stock-research/company/63/20260213_company_410789000.pdf","PDF")</f>
        <v>PDF</v>
      </c>
      <c r="K4823" s="12" t="s">
        <v>7061</v>
      </c>
      <c r="L4823" s="20">
        <v>0.58273381294964033</v>
      </c>
    </row>
    <row r="4824" spans="1:12" x14ac:dyDescent="0.45">
      <c r="A4824" s="12" t="s">
        <v>6993</v>
      </c>
      <c r="B4824" s="12" t="s">
        <v>2950</v>
      </c>
      <c r="C4824" s="13" t="s">
        <v>2951</v>
      </c>
      <c r="D4824" s="13" t="s">
        <v>179</v>
      </c>
      <c r="E4824" s="12" t="s">
        <v>16</v>
      </c>
      <c r="F4824" s="14">
        <v>92000</v>
      </c>
      <c r="G4824" s="13"/>
      <c r="H4824" s="13" t="s">
        <v>7062</v>
      </c>
      <c r="I4824" s="40" t="s">
        <v>18</v>
      </c>
      <c r="J4824" s="40" t="str">
        <f>HYPERLINK("https://stock.pstatic.net/stock-research/company/64/20260213_company_88533000.pdf","PDF")</f>
        <v>PDF</v>
      </c>
      <c r="K4824" s="12" t="s">
        <v>7063</v>
      </c>
    </row>
    <row r="4825" spans="1:12" x14ac:dyDescent="0.45">
      <c r="A4825" s="12" t="s">
        <v>6993</v>
      </c>
      <c r="B4825" s="12" t="s">
        <v>2644</v>
      </c>
      <c r="C4825" s="13" t="s">
        <v>2645</v>
      </c>
      <c r="D4825" s="13" t="s">
        <v>92</v>
      </c>
      <c r="E4825" s="12" t="s">
        <v>35</v>
      </c>
      <c r="F4825" s="14">
        <v>34000</v>
      </c>
      <c r="G4825" s="14">
        <v>26500</v>
      </c>
      <c r="H4825" s="13" t="s">
        <v>7064</v>
      </c>
      <c r="I4825" s="40" t="s">
        <v>18</v>
      </c>
      <c r="J4825" s="40" t="str">
        <f>HYPERLINK("https://stock.pstatic.net/stock-research/company/63/20260213_company_746968000.pdf","PDF")</f>
        <v>PDF</v>
      </c>
      <c r="K4825" s="12" t="s">
        <v>7065</v>
      </c>
      <c r="L4825" s="20">
        <v>0.28301886792452829</v>
      </c>
    </row>
    <row r="4826" spans="1:12" x14ac:dyDescent="0.45">
      <c r="A4826" s="12" t="s">
        <v>6993</v>
      </c>
      <c r="B4826" s="12" t="s">
        <v>3105</v>
      </c>
      <c r="C4826" s="13" t="s">
        <v>3106</v>
      </c>
      <c r="D4826" s="13" t="s">
        <v>23</v>
      </c>
      <c r="E4826" s="12" t="s">
        <v>16</v>
      </c>
      <c r="F4826" s="14">
        <v>450000</v>
      </c>
      <c r="G4826" s="14">
        <v>380500</v>
      </c>
      <c r="H4826" s="13" t="s">
        <v>7066</v>
      </c>
      <c r="I4826" s="40" t="s">
        <v>18</v>
      </c>
      <c r="J4826" s="40" t="str">
        <f>HYPERLINK("https://stock.pstatic.net/stock-research/company/21/20260213_company_821616000.pdf","PDF")</f>
        <v>PDF</v>
      </c>
      <c r="K4826" s="12" t="s">
        <v>7067</v>
      </c>
      <c r="L4826" s="20">
        <v>0.1826544021024967</v>
      </c>
    </row>
    <row r="4827" spans="1:12" x14ac:dyDescent="0.45">
      <c r="A4827" s="12" t="s">
        <v>6993</v>
      </c>
      <c r="B4827" s="12" t="s">
        <v>1278</v>
      </c>
      <c r="C4827" s="13" t="s">
        <v>1279</v>
      </c>
      <c r="D4827" s="13" t="s">
        <v>83</v>
      </c>
      <c r="E4827" s="12" t="s">
        <v>35</v>
      </c>
      <c r="F4827" s="14">
        <v>335000</v>
      </c>
      <c r="G4827" s="14">
        <v>226500</v>
      </c>
      <c r="H4827" s="13" t="s">
        <v>7068</v>
      </c>
      <c r="I4827" s="40" t="s">
        <v>18</v>
      </c>
      <c r="J4827" s="40" t="str">
        <f>HYPERLINK("https://stock.pstatic.net/stock-research/company/15/20260213_company_363425000.pdf","PDF")</f>
        <v>PDF</v>
      </c>
      <c r="K4827" s="12" t="s">
        <v>7069</v>
      </c>
      <c r="L4827" s="20">
        <v>0.47902869757174388</v>
      </c>
    </row>
    <row r="4828" spans="1:12" x14ac:dyDescent="0.45">
      <c r="A4828" s="12" t="s">
        <v>6993</v>
      </c>
      <c r="B4828" s="12" t="s">
        <v>1105</v>
      </c>
      <c r="C4828" s="13" t="s">
        <v>1106</v>
      </c>
      <c r="D4828" s="13" t="s">
        <v>83</v>
      </c>
      <c r="E4828" s="12" t="s">
        <v>50</v>
      </c>
      <c r="F4828" s="13"/>
      <c r="G4828" s="14">
        <v>15140</v>
      </c>
      <c r="H4828" s="13" t="s">
        <v>7070</v>
      </c>
      <c r="I4828" s="40" t="s">
        <v>18</v>
      </c>
      <c r="J4828" s="40" t="str">
        <f>HYPERLINK("https://stock.pstatic.net/stock-research/company/15/20260213_company_531915000.pdf","PDF")</f>
        <v>PDF</v>
      </c>
      <c r="K4828" s="12" t="s">
        <v>7071</v>
      </c>
    </row>
    <row r="4829" spans="1:12" x14ac:dyDescent="0.45">
      <c r="A4829" s="12" t="s">
        <v>6993</v>
      </c>
      <c r="B4829" s="12" t="s">
        <v>7072</v>
      </c>
      <c r="C4829" s="13" t="s">
        <v>7073</v>
      </c>
      <c r="D4829" s="13" t="s">
        <v>83</v>
      </c>
      <c r="E4829" s="12" t="s">
        <v>642</v>
      </c>
      <c r="F4829" s="14">
        <v>7500</v>
      </c>
      <c r="G4829" s="14">
        <v>7510</v>
      </c>
      <c r="H4829" s="13" t="s">
        <v>7074</v>
      </c>
      <c r="I4829" s="40" t="s">
        <v>18</v>
      </c>
      <c r="J4829" s="40" t="str">
        <f>HYPERLINK("https://stock.pstatic.net/stock-research/company/15/20260213_company_345659000.pdf","PDF")</f>
        <v>PDF</v>
      </c>
      <c r="K4829" s="12" t="s">
        <v>7075</v>
      </c>
      <c r="L4829" s="20">
        <v>-1.331557922769641E-3</v>
      </c>
    </row>
    <row r="4830" spans="1:12" x14ac:dyDescent="0.45">
      <c r="A4830" s="12" t="s">
        <v>6993</v>
      </c>
      <c r="B4830" s="12" t="s">
        <v>2262</v>
      </c>
      <c r="C4830" s="13" t="s">
        <v>2263</v>
      </c>
      <c r="D4830" s="13" t="s">
        <v>83</v>
      </c>
      <c r="E4830" s="12" t="s">
        <v>35</v>
      </c>
      <c r="F4830" s="14">
        <v>13000</v>
      </c>
      <c r="G4830" s="14">
        <v>7240</v>
      </c>
      <c r="H4830" s="13" t="s">
        <v>7076</v>
      </c>
      <c r="I4830" s="40" t="s">
        <v>18</v>
      </c>
      <c r="J4830" s="40" t="str">
        <f>HYPERLINK("https://stock.pstatic.net/stock-research/company/15/20260213_company_413019000.pdf","PDF")</f>
        <v>PDF</v>
      </c>
      <c r="K4830" s="12" t="s">
        <v>7077</v>
      </c>
      <c r="L4830" s="20">
        <v>0.79558011049723754</v>
      </c>
    </row>
    <row r="4831" spans="1:12" x14ac:dyDescent="0.45">
      <c r="A4831" s="12" t="s">
        <v>6993</v>
      </c>
      <c r="B4831" s="12" t="s">
        <v>2950</v>
      </c>
      <c r="C4831" s="13" t="s">
        <v>2951</v>
      </c>
      <c r="D4831" s="13" t="s">
        <v>83</v>
      </c>
      <c r="E4831" s="12" t="s">
        <v>35</v>
      </c>
      <c r="F4831" s="14">
        <v>125000</v>
      </c>
      <c r="G4831" s="14">
        <v>95500</v>
      </c>
      <c r="H4831" s="13" t="s">
        <v>7078</v>
      </c>
      <c r="I4831" s="40" t="s">
        <v>18</v>
      </c>
      <c r="J4831" s="40" t="str">
        <f>HYPERLINK("https://stock.pstatic.net/stock-research/company/15/20260213_company_837974000.pdf","PDF")</f>
        <v>PDF</v>
      </c>
      <c r="K4831" s="12" t="s">
        <v>7079</v>
      </c>
      <c r="L4831" s="20">
        <v>0.30890052356020942</v>
      </c>
    </row>
    <row r="4832" spans="1:12" x14ac:dyDescent="0.45">
      <c r="A4832" s="12" t="s">
        <v>6993</v>
      </c>
      <c r="B4832" s="12" t="s">
        <v>868</v>
      </c>
      <c r="C4832" s="13" t="s">
        <v>869</v>
      </c>
      <c r="D4832" s="13" t="s">
        <v>53</v>
      </c>
      <c r="E4832" s="12" t="s">
        <v>16</v>
      </c>
      <c r="F4832" s="14">
        <v>60000</v>
      </c>
      <c r="G4832" s="14">
        <v>45250</v>
      </c>
      <c r="H4832" s="13" t="s">
        <v>7080</v>
      </c>
      <c r="I4832" s="40" t="s">
        <v>18</v>
      </c>
      <c r="J4832" s="40" t="str">
        <f>HYPERLINK("https://stock.pstatic.net/stock-research/company/40/20260213_company_822768000.pdf","PDF")</f>
        <v>PDF</v>
      </c>
      <c r="K4832" s="12" t="s">
        <v>7081</v>
      </c>
      <c r="L4832" s="20">
        <v>0.32596685082872928</v>
      </c>
    </row>
    <row r="4833" spans="1:12" x14ac:dyDescent="0.45">
      <c r="A4833" s="12" t="s">
        <v>6993</v>
      </c>
      <c r="B4833" s="12" t="s">
        <v>3105</v>
      </c>
      <c r="C4833" s="13" t="s">
        <v>3106</v>
      </c>
      <c r="D4833" s="13" t="s">
        <v>34</v>
      </c>
      <c r="E4833" s="12" t="s">
        <v>35</v>
      </c>
      <c r="F4833" s="14">
        <v>450000</v>
      </c>
      <c r="G4833" s="14">
        <v>380500</v>
      </c>
      <c r="H4833" s="13" t="s">
        <v>7082</v>
      </c>
      <c r="I4833" s="40" t="s">
        <v>18</v>
      </c>
      <c r="J4833" s="40" t="str">
        <f>HYPERLINK("https://stock.pstatic.net/stock-research/company/61/20260213_company_811399000.pdf","PDF")</f>
        <v>PDF</v>
      </c>
      <c r="K4833" s="12" t="s">
        <v>7083</v>
      </c>
      <c r="L4833" s="20">
        <v>0.1826544021024967</v>
      </c>
    </row>
    <row r="4834" spans="1:12" x14ac:dyDescent="0.45">
      <c r="A4834" s="12" t="s">
        <v>6993</v>
      </c>
      <c r="B4834" s="12" t="s">
        <v>3105</v>
      </c>
      <c r="C4834" s="13" t="s">
        <v>3106</v>
      </c>
      <c r="D4834" s="13" t="s">
        <v>92</v>
      </c>
      <c r="E4834" s="12" t="s">
        <v>35</v>
      </c>
      <c r="F4834" s="14">
        <v>450000</v>
      </c>
      <c r="G4834" s="14">
        <v>380500</v>
      </c>
      <c r="H4834" s="13" t="s">
        <v>7084</v>
      </c>
      <c r="I4834" s="40" t="s">
        <v>18</v>
      </c>
      <c r="J4834" s="40" t="str">
        <f>HYPERLINK("https://stock.pstatic.net/stock-research/company/-/20260213_company_81018000.pdf","PDF")</f>
        <v>PDF</v>
      </c>
      <c r="K4834" s="12" t="s">
        <v>7085</v>
      </c>
      <c r="L4834" s="20">
        <v>0.1826544021024967</v>
      </c>
    </row>
    <row r="4835" spans="1:12" x14ac:dyDescent="0.45">
      <c r="A4835" s="12" t="s">
        <v>6993</v>
      </c>
      <c r="B4835" s="12" t="s">
        <v>1019</v>
      </c>
      <c r="C4835" s="13" t="s">
        <v>1020</v>
      </c>
      <c r="D4835" s="13" t="s">
        <v>92</v>
      </c>
      <c r="E4835" s="12" t="s">
        <v>35</v>
      </c>
      <c r="F4835" s="14">
        <v>32000</v>
      </c>
      <c r="G4835" s="14">
        <v>25400</v>
      </c>
      <c r="H4835" s="13" t="s">
        <v>7086</v>
      </c>
      <c r="I4835" s="40" t="s">
        <v>18</v>
      </c>
      <c r="J4835" s="40" t="str">
        <f>HYPERLINK("https://stock.pstatic.net/stock-research/company/63/20260213_company_787454000.pdf","PDF")</f>
        <v>PDF</v>
      </c>
      <c r="K4835" s="12" t="s">
        <v>7087</v>
      </c>
      <c r="L4835" s="20">
        <v>0.25984251968503941</v>
      </c>
    </row>
    <row r="4836" spans="1:12" x14ac:dyDescent="0.45">
      <c r="A4836" s="12" t="s">
        <v>6993</v>
      </c>
      <c r="B4836" s="12" t="s">
        <v>2950</v>
      </c>
      <c r="C4836" s="13" t="s">
        <v>2951</v>
      </c>
      <c r="D4836" s="13" t="s">
        <v>23</v>
      </c>
      <c r="E4836" s="12" t="s">
        <v>16</v>
      </c>
      <c r="F4836" s="14">
        <v>157000</v>
      </c>
      <c r="G4836" s="14">
        <v>95500</v>
      </c>
      <c r="H4836" s="13" t="s">
        <v>7088</v>
      </c>
      <c r="I4836" s="40" t="s">
        <v>18</v>
      </c>
      <c r="J4836" s="40" t="str">
        <f>HYPERLINK("https://stock.pstatic.net/stock-research/company/21/20260213_company_905847000.pdf","PDF")</f>
        <v>PDF</v>
      </c>
      <c r="K4836" s="12" t="s">
        <v>7089</v>
      </c>
      <c r="L4836" s="20">
        <v>0.64397905759162299</v>
      </c>
    </row>
    <row r="4837" spans="1:12" x14ac:dyDescent="0.45">
      <c r="A4837" s="12" t="s">
        <v>6993</v>
      </c>
      <c r="B4837" s="12" t="s">
        <v>916</v>
      </c>
      <c r="C4837" s="13" t="s">
        <v>917</v>
      </c>
      <c r="D4837" s="13" t="s">
        <v>179</v>
      </c>
      <c r="E4837" s="12" t="s">
        <v>16</v>
      </c>
      <c r="F4837" s="14">
        <v>87000</v>
      </c>
      <c r="G4837" s="14">
        <v>58800</v>
      </c>
      <c r="H4837" s="13" t="s">
        <v>7090</v>
      </c>
      <c r="I4837" s="40" t="s">
        <v>18</v>
      </c>
      <c r="J4837" s="40" t="str">
        <f>HYPERLINK("https://stock.pstatic.net/stock-research/company/64/20260213_company_58144000.pdf","PDF")</f>
        <v>PDF</v>
      </c>
      <c r="K4837" s="12" t="s">
        <v>7091</v>
      </c>
      <c r="L4837" s="20">
        <v>0.47959183673469391</v>
      </c>
    </row>
    <row r="4838" spans="1:12" x14ac:dyDescent="0.45">
      <c r="A4838" s="12" t="s">
        <v>6993</v>
      </c>
      <c r="B4838" s="12" t="s">
        <v>3105</v>
      </c>
      <c r="C4838" s="13" t="s">
        <v>3106</v>
      </c>
      <c r="D4838" s="13" t="s">
        <v>44</v>
      </c>
      <c r="E4838" s="12" t="s">
        <v>35</v>
      </c>
      <c r="F4838" s="14">
        <v>450000</v>
      </c>
      <c r="G4838" s="14">
        <v>380500</v>
      </c>
      <c r="H4838" s="13" t="s">
        <v>7092</v>
      </c>
      <c r="I4838" s="40" t="s">
        <v>18</v>
      </c>
      <c r="J4838" s="40" t="str">
        <f>HYPERLINK("https://stock.pstatic.net/stock-research/company/39/20260213_company_721275000.pdf","PDF")</f>
        <v>PDF</v>
      </c>
      <c r="K4838" s="12" t="s">
        <v>7093</v>
      </c>
      <c r="L4838" s="20">
        <v>0.1826544021024967</v>
      </c>
    </row>
    <row r="4839" spans="1:12" x14ac:dyDescent="0.45">
      <c r="A4839" s="12" t="s">
        <v>6993</v>
      </c>
      <c r="B4839" s="12" t="s">
        <v>916</v>
      </c>
      <c r="C4839" s="13" t="s">
        <v>917</v>
      </c>
      <c r="D4839" s="13" t="s">
        <v>44</v>
      </c>
      <c r="E4839" s="12" t="s">
        <v>35</v>
      </c>
      <c r="F4839" s="14">
        <v>110000</v>
      </c>
      <c r="G4839" s="14">
        <v>58800</v>
      </c>
      <c r="H4839" s="13" t="s">
        <v>7094</v>
      </c>
      <c r="I4839" s="40" t="s">
        <v>18</v>
      </c>
      <c r="J4839" s="40" t="str">
        <f>HYPERLINK("https://stock.pstatic.net/stock-research/company/39/20260213_company_336660000.pdf","PDF")</f>
        <v>PDF</v>
      </c>
      <c r="K4839" s="12" t="s">
        <v>7095</v>
      </c>
      <c r="L4839" s="20">
        <v>0.87074829931972786</v>
      </c>
    </row>
    <row r="4840" spans="1:12" x14ac:dyDescent="0.45">
      <c r="A4840" s="12" t="s">
        <v>6993</v>
      </c>
      <c r="B4840" s="12" t="s">
        <v>2662</v>
      </c>
      <c r="C4840" s="13" t="s">
        <v>2663</v>
      </c>
      <c r="D4840" s="13" t="s">
        <v>44</v>
      </c>
      <c r="E4840" s="12" t="s">
        <v>35</v>
      </c>
      <c r="F4840" s="14">
        <v>130000</v>
      </c>
      <c r="G4840" s="14">
        <v>63700</v>
      </c>
      <c r="H4840" s="13" t="s">
        <v>7096</v>
      </c>
      <c r="I4840" s="40" t="s">
        <v>18</v>
      </c>
      <c r="J4840" s="40" t="str">
        <f>HYPERLINK("https://stock.pstatic.net/stock-research/company/39/20260213_company_893326000.pdf","PDF")</f>
        <v>PDF</v>
      </c>
      <c r="K4840" s="12" t="s">
        <v>7097</v>
      </c>
      <c r="L4840" s="20">
        <v>1.0408163265306121</v>
      </c>
    </row>
    <row r="4841" spans="1:12" x14ac:dyDescent="0.45">
      <c r="A4841" s="12" t="s">
        <v>6993</v>
      </c>
      <c r="B4841" s="12" t="s">
        <v>1036</v>
      </c>
      <c r="C4841" s="13" t="s">
        <v>1037</v>
      </c>
      <c r="D4841" s="13" t="s">
        <v>44</v>
      </c>
      <c r="E4841" s="12" t="s">
        <v>642</v>
      </c>
      <c r="F4841" s="14">
        <v>16000</v>
      </c>
      <c r="G4841" s="14">
        <v>15630</v>
      </c>
      <c r="H4841" s="13" t="s">
        <v>7098</v>
      </c>
      <c r="I4841" s="40" t="s">
        <v>18</v>
      </c>
      <c r="J4841" s="40" t="str">
        <f>HYPERLINK("https://stock.pstatic.net/stock-research/company/39/20260213_company_145034000.pdf","PDF")</f>
        <v>PDF</v>
      </c>
      <c r="K4841" s="12" t="s">
        <v>7099</v>
      </c>
      <c r="L4841" s="20">
        <v>2.36724248240563E-2</v>
      </c>
    </row>
    <row r="4842" spans="1:12" x14ac:dyDescent="0.45">
      <c r="A4842" s="12" t="s">
        <v>6993</v>
      </c>
      <c r="B4842" s="12" t="s">
        <v>2170</v>
      </c>
      <c r="C4842" s="13" t="s">
        <v>2171</v>
      </c>
      <c r="D4842" s="13" t="s">
        <v>53</v>
      </c>
      <c r="E4842" s="12" t="s">
        <v>50</v>
      </c>
      <c r="F4842" s="14">
        <v>11000</v>
      </c>
      <c r="G4842" s="14">
        <v>9950</v>
      </c>
      <c r="H4842" s="13" t="s">
        <v>7100</v>
      </c>
      <c r="I4842" s="40" t="s">
        <v>18</v>
      </c>
      <c r="J4842" s="40" t="str">
        <f>HYPERLINK("https://stock.pstatic.net/stock-research/company/40/20260213_company_590818000.pdf","PDF")</f>
        <v>PDF</v>
      </c>
      <c r="K4842" s="12" t="s">
        <v>7101</v>
      </c>
      <c r="L4842" s="20">
        <v>0.1055276381909548</v>
      </c>
    </row>
    <row r="4843" spans="1:12" x14ac:dyDescent="0.45">
      <c r="A4843" s="12" t="s">
        <v>6993</v>
      </c>
      <c r="B4843" s="12" t="s">
        <v>2414</v>
      </c>
      <c r="C4843" s="13" t="s">
        <v>2415</v>
      </c>
      <c r="D4843" s="13" t="s">
        <v>44</v>
      </c>
      <c r="E4843" s="12" t="s">
        <v>35</v>
      </c>
      <c r="F4843" s="14">
        <v>1200000</v>
      </c>
      <c r="G4843" s="14">
        <v>973000</v>
      </c>
      <c r="H4843" s="13" t="s">
        <v>7102</v>
      </c>
      <c r="I4843" s="40" t="s">
        <v>18</v>
      </c>
      <c r="J4843" s="40" t="str">
        <f>HYPERLINK("https://stock.pstatic.net/stock-research/company/39/20260213_company_22689000.pdf","PDF")</f>
        <v>PDF</v>
      </c>
      <c r="K4843" s="12" t="s">
        <v>7103</v>
      </c>
      <c r="L4843" s="20">
        <v>0.23329907502569369</v>
      </c>
    </row>
    <row r="4844" spans="1:12" x14ac:dyDescent="0.45">
      <c r="A4844" s="12" t="s">
        <v>6993</v>
      </c>
      <c r="B4844" s="12" t="s">
        <v>2950</v>
      </c>
      <c r="C4844" s="13" t="s">
        <v>2951</v>
      </c>
      <c r="D4844" s="13" t="s">
        <v>44</v>
      </c>
      <c r="E4844" s="12" t="s">
        <v>35</v>
      </c>
      <c r="F4844" s="14">
        <v>122000</v>
      </c>
      <c r="G4844" s="14">
        <v>95500</v>
      </c>
      <c r="H4844" s="13" t="s">
        <v>7104</v>
      </c>
      <c r="I4844" s="40" t="s">
        <v>18</v>
      </c>
      <c r="J4844" s="40" t="str">
        <f>HYPERLINK("https://stock.pstatic.net/stock-research/company/39/20260213_company_551693000.pdf","PDF")</f>
        <v>PDF</v>
      </c>
      <c r="K4844" s="12" t="s">
        <v>7105</v>
      </c>
      <c r="L4844" s="20">
        <v>0.27748691099476441</v>
      </c>
    </row>
    <row r="4845" spans="1:12" x14ac:dyDescent="0.45">
      <c r="A4845" s="12" t="s">
        <v>6993</v>
      </c>
      <c r="B4845" s="12" t="s">
        <v>264</v>
      </c>
      <c r="C4845" s="13" t="s">
        <v>265</v>
      </c>
      <c r="D4845" s="13" t="s">
        <v>44</v>
      </c>
      <c r="E4845" s="12" t="s">
        <v>35</v>
      </c>
      <c r="F4845" s="14">
        <v>350000</v>
      </c>
      <c r="G4845" s="14">
        <v>250500</v>
      </c>
      <c r="H4845" s="13" t="s">
        <v>7106</v>
      </c>
      <c r="I4845" s="40" t="s">
        <v>18</v>
      </c>
      <c r="J4845" s="40" t="str">
        <f>HYPERLINK("https://stock.pstatic.net/stock-research/company/39/20260213_company_141501000.pdf","PDF")</f>
        <v>PDF</v>
      </c>
      <c r="K4845" s="12" t="s">
        <v>7107</v>
      </c>
      <c r="L4845" s="20">
        <v>0.39720558882235529</v>
      </c>
    </row>
    <row r="4846" spans="1:12" x14ac:dyDescent="0.45">
      <c r="A4846" s="12" t="s">
        <v>6993</v>
      </c>
      <c r="B4846" s="12" t="s">
        <v>1278</v>
      </c>
      <c r="C4846" s="13" t="s">
        <v>1279</v>
      </c>
      <c r="D4846" s="13" t="s">
        <v>44</v>
      </c>
      <c r="E4846" s="12" t="s">
        <v>35</v>
      </c>
      <c r="F4846" s="14">
        <v>310000</v>
      </c>
      <c r="G4846" s="14">
        <v>246500</v>
      </c>
      <c r="H4846" s="13" t="s">
        <v>7108</v>
      </c>
      <c r="I4846" s="40" t="s">
        <v>18</v>
      </c>
      <c r="J4846" s="40" t="str">
        <f>HYPERLINK("https://stock.pstatic.net/stock-research/company/39/20260213_company_149343000.pdf","PDF")</f>
        <v>PDF</v>
      </c>
      <c r="K4846" s="12" t="s">
        <v>7109</v>
      </c>
      <c r="L4846" s="20">
        <v>0.25760649087221088</v>
      </c>
    </row>
    <row r="4847" spans="1:12" x14ac:dyDescent="0.45">
      <c r="A4847" s="12" t="s">
        <v>6993</v>
      </c>
      <c r="B4847" s="12" t="s">
        <v>2762</v>
      </c>
      <c r="C4847" s="13" t="s">
        <v>2763</v>
      </c>
      <c r="D4847" s="13" t="s">
        <v>15</v>
      </c>
      <c r="E4847" s="12" t="s">
        <v>385</v>
      </c>
      <c r="F4847" s="14">
        <v>70000</v>
      </c>
      <c r="G4847" s="14">
        <v>70400</v>
      </c>
      <c r="H4847" s="13" t="s">
        <v>7110</v>
      </c>
      <c r="I4847" s="40" t="s">
        <v>18</v>
      </c>
      <c r="J4847" s="40" t="str">
        <f>HYPERLINK("https://stock.pstatic.net/stock-research/company/-/20260213_company_449362000.pdf","PDF")</f>
        <v>PDF</v>
      </c>
      <c r="K4847" s="12" t="s">
        <v>7111</v>
      </c>
      <c r="L4847" s="20">
        <v>-5.681818181818182E-3</v>
      </c>
    </row>
    <row r="4848" spans="1:12" x14ac:dyDescent="0.45">
      <c r="A4848" s="12" t="s">
        <v>6993</v>
      </c>
      <c r="B4848" s="12" t="s">
        <v>916</v>
      </c>
      <c r="C4848" s="13" t="s">
        <v>917</v>
      </c>
      <c r="D4848" s="13" t="s">
        <v>15</v>
      </c>
      <c r="E4848" s="12" t="s">
        <v>16</v>
      </c>
      <c r="F4848" s="14">
        <v>78000</v>
      </c>
      <c r="G4848" s="14">
        <v>58800</v>
      </c>
      <c r="H4848" s="13" t="s">
        <v>7112</v>
      </c>
      <c r="I4848" s="40" t="s">
        <v>18</v>
      </c>
      <c r="J4848" s="40" t="str">
        <f>HYPERLINK("https://stock.pstatic.net/stock-research/company/56/20260213_company_686659000.pdf","PDF")</f>
        <v>PDF</v>
      </c>
      <c r="K4848" s="12" t="s">
        <v>7113</v>
      </c>
      <c r="L4848" s="20">
        <v>0.32653061224489788</v>
      </c>
    </row>
    <row r="4849" spans="1:12" x14ac:dyDescent="0.45">
      <c r="A4849" s="12" t="s">
        <v>6993</v>
      </c>
      <c r="B4849" s="12" t="s">
        <v>2346</v>
      </c>
      <c r="C4849" s="13" t="s">
        <v>2347</v>
      </c>
      <c r="D4849" s="13" t="s">
        <v>124</v>
      </c>
      <c r="E4849" s="12" t="s">
        <v>50</v>
      </c>
      <c r="F4849" s="13"/>
      <c r="G4849" s="13"/>
      <c r="H4849" s="13" t="s">
        <v>7114</v>
      </c>
      <c r="I4849" s="40" t="s">
        <v>18</v>
      </c>
      <c r="J4849" s="40" t="str">
        <f>HYPERLINK("https://stock.pstatic.net/stock-research/company/-/20260213_company_454324000.pdf","PDF")</f>
        <v>PDF</v>
      </c>
      <c r="K4849" s="12" t="s">
        <v>7115</v>
      </c>
    </row>
    <row r="4850" spans="1:12" x14ac:dyDescent="0.45">
      <c r="A4850" s="12" t="s">
        <v>6993</v>
      </c>
      <c r="B4850" s="12" t="s">
        <v>7116</v>
      </c>
      <c r="C4850" s="13" t="s">
        <v>7117</v>
      </c>
      <c r="D4850" s="13" t="s">
        <v>124</v>
      </c>
      <c r="E4850" s="12" t="s">
        <v>50</v>
      </c>
      <c r="F4850" s="13"/>
      <c r="G4850" s="13"/>
      <c r="H4850" s="13" t="s">
        <v>7118</v>
      </c>
      <c r="I4850" s="40" t="s">
        <v>18</v>
      </c>
      <c r="J4850" s="40" t="str">
        <f>HYPERLINK("https://stock.pstatic.net/stock-research/company/74/20260213_company_429629000.pdf","PDF")</f>
        <v>PDF</v>
      </c>
      <c r="K4850" s="12" t="s">
        <v>7119</v>
      </c>
    </row>
    <row r="4851" spans="1:12" x14ac:dyDescent="0.45">
      <c r="A4851" s="12" t="s">
        <v>6993</v>
      </c>
      <c r="B4851" s="12" t="s">
        <v>7120</v>
      </c>
      <c r="C4851" s="13" t="s">
        <v>7121</v>
      </c>
      <c r="D4851" s="13" t="s">
        <v>124</v>
      </c>
      <c r="E4851" s="12" t="s">
        <v>50</v>
      </c>
      <c r="F4851" s="13"/>
      <c r="G4851" s="13"/>
      <c r="H4851" s="13" t="s">
        <v>7122</v>
      </c>
      <c r="I4851" s="40" t="s">
        <v>18</v>
      </c>
      <c r="J4851" s="40" t="str">
        <f>HYPERLINK("https://stock.pstatic.net/stock-research/company/74/20260213_company_575415000.pdf","PDF")</f>
        <v>PDF</v>
      </c>
      <c r="K4851" s="12" t="s">
        <v>7123</v>
      </c>
    </row>
    <row r="4852" spans="1:12" x14ac:dyDescent="0.45">
      <c r="A4852" s="12" t="s">
        <v>6993</v>
      </c>
      <c r="B4852" s="12" t="s">
        <v>2546</v>
      </c>
      <c r="C4852" s="13" t="s">
        <v>2547</v>
      </c>
      <c r="D4852" s="13" t="s">
        <v>15</v>
      </c>
      <c r="E4852" s="12" t="s">
        <v>50</v>
      </c>
      <c r="F4852" s="13"/>
      <c r="G4852" s="14">
        <v>60700</v>
      </c>
      <c r="H4852" s="13" t="s">
        <v>7124</v>
      </c>
      <c r="I4852" s="40" t="s">
        <v>18</v>
      </c>
      <c r="J4852" s="40" t="str">
        <f>HYPERLINK("https://stock.pstatic.net/stock-research/company/56/20260213_company_202838000.pdf","PDF")</f>
        <v>PDF</v>
      </c>
      <c r="K4852" s="12" t="s">
        <v>7125</v>
      </c>
    </row>
    <row r="4853" spans="1:12" x14ac:dyDescent="0.45">
      <c r="A4853" s="12" t="s">
        <v>6993</v>
      </c>
      <c r="B4853" s="12" t="s">
        <v>1198</v>
      </c>
      <c r="C4853" s="13" t="s">
        <v>1199</v>
      </c>
      <c r="D4853" s="13" t="s">
        <v>124</v>
      </c>
      <c r="E4853" s="12" t="s">
        <v>50</v>
      </c>
      <c r="F4853" s="13"/>
      <c r="G4853" s="14">
        <v>18290</v>
      </c>
      <c r="H4853" s="13" t="s">
        <v>7126</v>
      </c>
      <c r="I4853" s="40" t="s">
        <v>18</v>
      </c>
      <c r="J4853" s="40" t="str">
        <f>HYPERLINK("https://stock.pstatic.net/stock-research/company/-/20260213_company_437899000.pdf","PDF")</f>
        <v>PDF</v>
      </c>
      <c r="K4853" s="12" t="s">
        <v>7127</v>
      </c>
    </row>
    <row r="4854" spans="1:12" x14ac:dyDescent="0.45">
      <c r="A4854" s="12" t="s">
        <v>6993</v>
      </c>
      <c r="B4854" s="12" t="s">
        <v>7128</v>
      </c>
      <c r="C4854" s="13" t="s">
        <v>7129</v>
      </c>
      <c r="D4854" s="13" t="s">
        <v>124</v>
      </c>
      <c r="E4854" s="12" t="s">
        <v>50</v>
      </c>
      <c r="F4854" s="13"/>
      <c r="G4854" s="14">
        <v>17740</v>
      </c>
      <c r="H4854" s="13" t="s">
        <v>7130</v>
      </c>
      <c r="I4854" s="40" t="s">
        <v>18</v>
      </c>
      <c r="J4854" s="40" t="str">
        <f>HYPERLINK("https://stock.pstatic.net/stock-research/company/74/20260213_company_464788000.pdf","PDF")</f>
        <v>PDF</v>
      </c>
      <c r="K4854" s="12" t="s">
        <v>7131</v>
      </c>
    </row>
    <row r="4855" spans="1:12" x14ac:dyDescent="0.45">
      <c r="A4855" s="12" t="s">
        <v>7132</v>
      </c>
      <c r="B4855" s="12" t="s">
        <v>1270</v>
      </c>
      <c r="C4855" s="13" t="s">
        <v>1271</v>
      </c>
      <c r="D4855" s="13" t="s">
        <v>15</v>
      </c>
      <c r="E4855" s="12" t="s">
        <v>16</v>
      </c>
      <c r="F4855" s="14">
        <v>138000</v>
      </c>
      <c r="G4855" s="14">
        <v>95900</v>
      </c>
      <c r="H4855" s="13" t="s">
        <v>7133</v>
      </c>
      <c r="I4855" s="40" t="s">
        <v>18</v>
      </c>
      <c r="J4855" s="40" t="str">
        <f>HYPERLINK("https://stock.pstatic.net/stock-research/company/56/20260212_company_740795000.pdf","PDF")</f>
        <v>PDF</v>
      </c>
      <c r="K4855" s="12" t="s">
        <v>7134</v>
      </c>
      <c r="L4855" s="20">
        <v>0.43899895724713239</v>
      </c>
    </row>
    <row r="4856" spans="1:12" x14ac:dyDescent="0.45">
      <c r="A4856" s="12" t="s">
        <v>7132</v>
      </c>
      <c r="B4856" s="12" t="s">
        <v>86</v>
      </c>
      <c r="C4856" s="13" t="s">
        <v>87</v>
      </c>
      <c r="D4856" s="13" t="s">
        <v>15</v>
      </c>
      <c r="E4856" s="12" t="s">
        <v>16</v>
      </c>
      <c r="F4856" s="14">
        <v>161000</v>
      </c>
      <c r="G4856" s="14">
        <v>131200</v>
      </c>
      <c r="H4856" s="13" t="s">
        <v>7135</v>
      </c>
      <c r="I4856" s="40" t="s">
        <v>18</v>
      </c>
      <c r="J4856" s="40" t="str">
        <f>HYPERLINK("https://stock.pstatic.net/stock-research/company/56/20260212_company_417536000.pdf","PDF")</f>
        <v>PDF</v>
      </c>
      <c r="K4856" s="12" t="s">
        <v>7136</v>
      </c>
      <c r="L4856" s="20">
        <v>0.22713414634146339</v>
      </c>
    </row>
    <row r="4857" spans="1:12" x14ac:dyDescent="0.45">
      <c r="A4857" s="12" t="s">
        <v>7132</v>
      </c>
      <c r="B4857" s="12" t="s">
        <v>1278</v>
      </c>
      <c r="C4857" s="13" t="s">
        <v>1279</v>
      </c>
      <c r="D4857" s="13" t="s">
        <v>15</v>
      </c>
      <c r="E4857" s="12" t="s">
        <v>385</v>
      </c>
      <c r="F4857" s="14">
        <v>253000</v>
      </c>
      <c r="G4857" s="14">
        <v>226500</v>
      </c>
      <c r="H4857" s="13" t="s">
        <v>7137</v>
      </c>
      <c r="I4857" s="40" t="s">
        <v>18</v>
      </c>
      <c r="J4857" s="40" t="str">
        <f>HYPERLINK("https://stock.pstatic.net/stock-research/company/56/20260212_company_26574000.pdf","PDF")</f>
        <v>PDF</v>
      </c>
      <c r="K4857" s="12" t="s">
        <v>7138</v>
      </c>
      <c r="L4857" s="20">
        <v>0.1169977924944812</v>
      </c>
    </row>
    <row r="4858" spans="1:12" x14ac:dyDescent="0.45">
      <c r="A4858" s="12" t="s">
        <v>7132</v>
      </c>
      <c r="B4858" s="12" t="s">
        <v>691</v>
      </c>
      <c r="C4858" s="13" t="s">
        <v>20</v>
      </c>
      <c r="D4858" s="13" t="s">
        <v>276</v>
      </c>
      <c r="E4858" s="12" t="s">
        <v>16</v>
      </c>
      <c r="F4858" s="14">
        <v>320000</v>
      </c>
      <c r="G4858" s="14">
        <v>239500</v>
      </c>
      <c r="H4858" s="13" t="s">
        <v>7139</v>
      </c>
      <c r="I4858" s="40" t="s">
        <v>18</v>
      </c>
      <c r="J4858" s="40" t="str">
        <f>HYPERLINK("https://stock.pstatic.net/stock-research/company/66/20260212_company_215049000.pdf","PDF")</f>
        <v>PDF</v>
      </c>
      <c r="K4858" s="12" t="s">
        <v>7140</v>
      </c>
      <c r="L4858" s="20">
        <v>0.33611691022964513</v>
      </c>
    </row>
    <row r="4859" spans="1:12" x14ac:dyDescent="0.45">
      <c r="A4859" s="12" t="s">
        <v>7132</v>
      </c>
      <c r="B4859" s="12" t="s">
        <v>6632</v>
      </c>
      <c r="C4859" s="13" t="s">
        <v>6633</v>
      </c>
      <c r="D4859" s="13" t="s">
        <v>276</v>
      </c>
      <c r="E4859" s="12" t="s">
        <v>16</v>
      </c>
      <c r="F4859" s="14">
        <v>22000</v>
      </c>
      <c r="G4859" s="14">
        <v>14660</v>
      </c>
      <c r="H4859" s="13" t="s">
        <v>7141</v>
      </c>
      <c r="I4859" s="40" t="s">
        <v>18</v>
      </c>
      <c r="J4859" s="40" t="str">
        <f>HYPERLINK("https://stock.pstatic.net/stock-research/company/66/20260212_company_982854000.pdf","PDF")</f>
        <v>PDF</v>
      </c>
      <c r="K4859" s="12" t="s">
        <v>7142</v>
      </c>
      <c r="L4859" s="20">
        <v>0.50068212824010916</v>
      </c>
    </row>
    <row r="4860" spans="1:12" x14ac:dyDescent="0.45">
      <c r="A4860" s="12" t="s">
        <v>7132</v>
      </c>
      <c r="B4860" s="12" t="s">
        <v>7143</v>
      </c>
      <c r="C4860" s="13" t="s">
        <v>7144</v>
      </c>
      <c r="D4860" s="13" t="s">
        <v>276</v>
      </c>
      <c r="E4860" s="12" t="s">
        <v>16</v>
      </c>
      <c r="F4860" s="14">
        <v>122000</v>
      </c>
      <c r="G4860" s="14">
        <v>83200</v>
      </c>
      <c r="H4860" s="13" t="s">
        <v>7145</v>
      </c>
      <c r="I4860" s="40" t="s">
        <v>18</v>
      </c>
      <c r="J4860" s="40" t="str">
        <f>HYPERLINK("https://stock.pstatic.net/stock-research/company/66/20260212_company_941103000.pdf","PDF")</f>
        <v>PDF</v>
      </c>
      <c r="K4860" s="12" t="s">
        <v>7146</v>
      </c>
      <c r="L4860" s="20">
        <v>0.46634615384615391</v>
      </c>
    </row>
    <row r="4861" spans="1:12" x14ac:dyDescent="0.45">
      <c r="A4861" s="12" t="s">
        <v>7132</v>
      </c>
      <c r="B4861" s="12" t="s">
        <v>1120</v>
      </c>
      <c r="C4861" s="13" t="s">
        <v>1121</v>
      </c>
      <c r="D4861" s="13" t="s">
        <v>276</v>
      </c>
      <c r="E4861" s="12" t="s">
        <v>16</v>
      </c>
      <c r="F4861" s="14">
        <v>180000</v>
      </c>
      <c r="G4861" s="14">
        <v>130000</v>
      </c>
      <c r="H4861" s="13" t="s">
        <v>7147</v>
      </c>
      <c r="I4861" s="40" t="s">
        <v>18</v>
      </c>
      <c r="J4861" s="40" t="str">
        <f>HYPERLINK("https://stock.pstatic.net/stock-research/company/66/20260212_company_230831000.pdf","PDF")</f>
        <v>PDF</v>
      </c>
      <c r="K4861" s="12" t="s">
        <v>7148</v>
      </c>
      <c r="L4861" s="20">
        <v>0.38461538461538458</v>
      </c>
    </row>
    <row r="4862" spans="1:12" x14ac:dyDescent="0.45">
      <c r="A4862" s="12" t="s">
        <v>7132</v>
      </c>
      <c r="B4862" s="12" t="s">
        <v>2613</v>
      </c>
      <c r="C4862" s="13" t="s">
        <v>2614</v>
      </c>
      <c r="D4862" s="13" t="s">
        <v>60</v>
      </c>
      <c r="E4862" s="12" t="s">
        <v>35</v>
      </c>
      <c r="F4862" s="14">
        <v>350000</v>
      </c>
      <c r="G4862" s="14">
        <v>286000</v>
      </c>
      <c r="H4862" s="13" t="s">
        <v>7149</v>
      </c>
      <c r="I4862" s="40" t="s">
        <v>18</v>
      </c>
      <c r="J4862" s="40" t="str">
        <f>HYPERLINK("https://stock.pstatic.net/stock-research/company/62/20260212_company_544560000.pdf","PDF")</f>
        <v>PDF</v>
      </c>
      <c r="K4862" s="12" t="s">
        <v>7150</v>
      </c>
      <c r="L4862" s="20">
        <v>0.2237762237762238</v>
      </c>
    </row>
    <row r="4863" spans="1:12" x14ac:dyDescent="0.45">
      <c r="A4863" s="12" t="s">
        <v>7132</v>
      </c>
      <c r="B4863" s="12" t="s">
        <v>7151</v>
      </c>
      <c r="C4863" s="13" t="s">
        <v>7152</v>
      </c>
      <c r="D4863" s="13" t="s">
        <v>60</v>
      </c>
      <c r="E4863" s="12" t="s">
        <v>35</v>
      </c>
      <c r="F4863" s="14">
        <v>100000</v>
      </c>
      <c r="G4863" s="14">
        <v>69200</v>
      </c>
      <c r="H4863" s="13" t="s">
        <v>7153</v>
      </c>
      <c r="I4863" s="40" t="s">
        <v>18</v>
      </c>
      <c r="J4863" s="40" t="str">
        <f>HYPERLINK("https://stock.pstatic.net/stock-research/company/62/20260212_company_800805000.pdf","PDF")</f>
        <v>PDF</v>
      </c>
      <c r="K4863" s="12" t="s">
        <v>7154</v>
      </c>
      <c r="L4863" s="20">
        <v>0.44508670520231208</v>
      </c>
    </row>
    <row r="4864" spans="1:12" x14ac:dyDescent="0.45">
      <c r="A4864" s="12" t="s">
        <v>7132</v>
      </c>
      <c r="B4864" s="12" t="s">
        <v>118</v>
      </c>
      <c r="C4864" s="13" t="s">
        <v>119</v>
      </c>
      <c r="D4864" s="13" t="s">
        <v>60</v>
      </c>
      <c r="E4864" s="12" t="s">
        <v>35</v>
      </c>
      <c r="F4864" s="14">
        <v>150000</v>
      </c>
      <c r="G4864" s="14">
        <v>127600</v>
      </c>
      <c r="H4864" s="13" t="s">
        <v>7155</v>
      </c>
      <c r="I4864" s="40" t="s">
        <v>18</v>
      </c>
      <c r="J4864" s="40" t="str">
        <f>HYPERLINK("https://stock.pstatic.net/stock-research/company/62/20260212_company_777211000.pdf","PDF")</f>
        <v>PDF</v>
      </c>
      <c r="K4864" s="12" t="s">
        <v>7156</v>
      </c>
      <c r="L4864" s="20">
        <v>0.17554858934169279</v>
      </c>
    </row>
    <row r="4865" spans="1:12" x14ac:dyDescent="0.45">
      <c r="A4865" s="12" t="s">
        <v>7132</v>
      </c>
      <c r="B4865" s="12" t="s">
        <v>2105</v>
      </c>
      <c r="C4865" s="13" t="s">
        <v>2106</v>
      </c>
      <c r="D4865" s="13" t="s">
        <v>60</v>
      </c>
      <c r="E4865" s="12" t="s">
        <v>35</v>
      </c>
      <c r="F4865" s="14">
        <v>48000</v>
      </c>
      <c r="G4865" s="14">
        <v>34000</v>
      </c>
      <c r="H4865" s="13" t="s">
        <v>7098</v>
      </c>
      <c r="I4865" s="40" t="s">
        <v>18</v>
      </c>
      <c r="J4865" s="40" t="str">
        <f>HYPERLINK("https://stock.pstatic.net/stock-research/company/62/20260212_company_189182000.pdf","PDF")</f>
        <v>PDF</v>
      </c>
      <c r="K4865" s="12" t="s">
        <v>7157</v>
      </c>
      <c r="L4865" s="20">
        <v>0.41176470588235292</v>
      </c>
    </row>
    <row r="4866" spans="1:12" x14ac:dyDescent="0.45">
      <c r="A4866" s="12" t="s">
        <v>7132</v>
      </c>
      <c r="B4866" s="12" t="s">
        <v>1120</v>
      </c>
      <c r="C4866" s="13" t="s">
        <v>1121</v>
      </c>
      <c r="D4866" s="13" t="s">
        <v>60</v>
      </c>
      <c r="E4866" s="12" t="s">
        <v>35</v>
      </c>
      <c r="F4866" s="14">
        <v>160000</v>
      </c>
      <c r="G4866" s="14">
        <v>130000</v>
      </c>
      <c r="H4866" s="13" t="s">
        <v>7158</v>
      </c>
      <c r="I4866" s="40" t="s">
        <v>18</v>
      </c>
      <c r="J4866" s="40" t="str">
        <f>HYPERLINK("https://stock.pstatic.net/stock-research/company/62/20260212_company_640437000.pdf","PDF")</f>
        <v>PDF</v>
      </c>
      <c r="K4866" s="12" t="s">
        <v>7159</v>
      </c>
      <c r="L4866" s="20">
        <v>0.23076923076923081</v>
      </c>
    </row>
    <row r="4867" spans="1:12" x14ac:dyDescent="0.45">
      <c r="A4867" s="12" t="s">
        <v>7132</v>
      </c>
      <c r="B4867" s="12" t="s">
        <v>495</v>
      </c>
      <c r="C4867" s="13" t="s">
        <v>496</v>
      </c>
      <c r="D4867" s="13" t="s">
        <v>60</v>
      </c>
      <c r="E4867" s="12" t="s">
        <v>35</v>
      </c>
      <c r="F4867" s="14">
        <v>370000</v>
      </c>
      <c r="G4867" s="14">
        <v>282000</v>
      </c>
      <c r="H4867" s="13" t="s">
        <v>7160</v>
      </c>
      <c r="I4867" s="40" t="s">
        <v>18</v>
      </c>
      <c r="J4867" s="40" t="str">
        <f>HYPERLINK("https://stock.pstatic.net/stock-research/company/62/20260212_company_185123000.pdf","PDF")</f>
        <v>PDF</v>
      </c>
      <c r="K4867" s="12" t="s">
        <v>7161</v>
      </c>
      <c r="L4867" s="20">
        <v>0.31205673758865249</v>
      </c>
    </row>
    <row r="4868" spans="1:12" x14ac:dyDescent="0.45">
      <c r="A4868" s="12" t="s">
        <v>7132</v>
      </c>
      <c r="B4868" s="12" t="s">
        <v>132</v>
      </c>
      <c r="C4868" s="13" t="s">
        <v>133</v>
      </c>
      <c r="D4868" s="13" t="s">
        <v>60</v>
      </c>
      <c r="E4868" s="12" t="s">
        <v>35</v>
      </c>
      <c r="F4868" s="14">
        <v>130000</v>
      </c>
      <c r="G4868" s="14">
        <v>107100</v>
      </c>
      <c r="H4868" s="13" t="s">
        <v>7162</v>
      </c>
      <c r="I4868" s="40" t="s">
        <v>18</v>
      </c>
      <c r="J4868" s="40" t="str">
        <f>HYPERLINK("https://stock.pstatic.net/stock-research/company/62/20260212_company_399726000.pdf","PDF")</f>
        <v>PDF</v>
      </c>
      <c r="K4868" s="12" t="s">
        <v>7163</v>
      </c>
      <c r="L4868" s="20">
        <v>0.2138188608776844</v>
      </c>
    </row>
    <row r="4869" spans="1:12" x14ac:dyDescent="0.45">
      <c r="A4869" s="12" t="s">
        <v>7132</v>
      </c>
      <c r="B4869" s="12" t="s">
        <v>2613</v>
      </c>
      <c r="C4869" s="13" t="s">
        <v>2614</v>
      </c>
      <c r="D4869" s="13" t="s">
        <v>65</v>
      </c>
      <c r="E4869" s="12" t="s">
        <v>35</v>
      </c>
      <c r="F4869" s="14">
        <v>410000</v>
      </c>
      <c r="G4869" s="14">
        <v>286000</v>
      </c>
      <c r="H4869" s="13" t="s">
        <v>7164</v>
      </c>
      <c r="I4869" s="40" t="s">
        <v>18</v>
      </c>
      <c r="J4869" s="40" t="str">
        <f>HYPERLINK("https://stock.pstatic.net/stock-research/company/57/20260212_company_174953000.pdf","PDF")</f>
        <v>PDF</v>
      </c>
      <c r="K4869" s="12" t="s">
        <v>7165</v>
      </c>
      <c r="L4869" s="20">
        <v>0.43356643356643348</v>
      </c>
    </row>
    <row r="4870" spans="1:12" x14ac:dyDescent="0.45">
      <c r="A4870" s="12" t="s">
        <v>7132</v>
      </c>
      <c r="B4870" s="12" t="s">
        <v>792</v>
      </c>
      <c r="C4870" s="13" t="s">
        <v>793</v>
      </c>
      <c r="D4870" s="13" t="s">
        <v>65</v>
      </c>
      <c r="E4870" s="12" t="s">
        <v>35</v>
      </c>
      <c r="F4870" s="14">
        <v>48000</v>
      </c>
      <c r="G4870" s="14">
        <v>33850</v>
      </c>
      <c r="H4870" s="13" t="s">
        <v>7166</v>
      </c>
      <c r="I4870" s="40" t="s">
        <v>18</v>
      </c>
      <c r="J4870" s="40" t="str">
        <f>HYPERLINK("https://stock.pstatic.net/stock-research/company/57/20260212_company_168768000.pdf","PDF")</f>
        <v>PDF</v>
      </c>
      <c r="K4870" s="12" t="s">
        <v>7167</v>
      </c>
      <c r="L4870" s="20">
        <v>0.41802067946824217</v>
      </c>
    </row>
    <row r="4871" spans="1:12" x14ac:dyDescent="0.45">
      <c r="A4871" s="12" t="s">
        <v>7132</v>
      </c>
      <c r="B4871" s="12" t="s">
        <v>2795</v>
      </c>
      <c r="C4871" s="13" t="s">
        <v>2796</v>
      </c>
      <c r="D4871" s="13" t="s">
        <v>65</v>
      </c>
      <c r="E4871" s="12" t="s">
        <v>35</v>
      </c>
      <c r="F4871" s="14">
        <v>6400</v>
      </c>
      <c r="G4871" s="14">
        <v>4910</v>
      </c>
      <c r="H4871" s="13" t="s">
        <v>7168</v>
      </c>
      <c r="I4871" s="40" t="s">
        <v>18</v>
      </c>
      <c r="J4871" s="40" t="str">
        <f>HYPERLINK("https://stock.pstatic.net/stock-research/company/57/20260212_company_725720000.pdf","PDF")</f>
        <v>PDF</v>
      </c>
      <c r="K4871" s="12" t="s">
        <v>7169</v>
      </c>
      <c r="L4871" s="20">
        <v>0.30346232179226068</v>
      </c>
    </row>
    <row r="4872" spans="1:12" x14ac:dyDescent="0.45">
      <c r="A4872" s="12" t="s">
        <v>7132</v>
      </c>
      <c r="B4872" s="12" t="s">
        <v>1648</v>
      </c>
      <c r="C4872" s="13" t="s">
        <v>1649</v>
      </c>
      <c r="D4872" s="13" t="s">
        <v>65</v>
      </c>
      <c r="E4872" s="12" t="s">
        <v>35</v>
      </c>
      <c r="F4872" s="14">
        <v>160000</v>
      </c>
      <c r="G4872" s="14">
        <v>120200</v>
      </c>
      <c r="H4872" s="13" t="s">
        <v>7170</v>
      </c>
      <c r="I4872" s="40" t="s">
        <v>18</v>
      </c>
      <c r="J4872" s="40" t="str">
        <f>HYPERLINK("https://stock.pstatic.net/stock-research/company/57/20260212_company_641895000.pdf","PDF")</f>
        <v>PDF</v>
      </c>
      <c r="K4872" s="12" t="s">
        <v>7171</v>
      </c>
      <c r="L4872" s="20">
        <v>0.33111480865224618</v>
      </c>
    </row>
    <row r="4873" spans="1:12" x14ac:dyDescent="0.45">
      <c r="A4873" s="12" t="s">
        <v>7132</v>
      </c>
      <c r="B4873" s="12" t="s">
        <v>3014</v>
      </c>
      <c r="C4873" s="13" t="s">
        <v>3015</v>
      </c>
      <c r="D4873" s="13" t="s">
        <v>65</v>
      </c>
      <c r="E4873" s="12" t="s">
        <v>35</v>
      </c>
      <c r="F4873" s="14">
        <v>160000</v>
      </c>
      <c r="G4873" s="14">
        <v>111600</v>
      </c>
      <c r="H4873" s="13" t="s">
        <v>7172</v>
      </c>
      <c r="I4873" s="40" t="s">
        <v>18</v>
      </c>
      <c r="J4873" s="40" t="str">
        <f>HYPERLINK("https://stock.pstatic.net/stock-research/company/57/20260212_company_854869000.pdf","PDF")</f>
        <v>PDF</v>
      </c>
      <c r="K4873" s="12" t="s">
        <v>7173</v>
      </c>
      <c r="L4873" s="20">
        <v>0.43369175627240142</v>
      </c>
    </row>
    <row r="4874" spans="1:12" x14ac:dyDescent="0.45">
      <c r="A4874" s="12" t="s">
        <v>7132</v>
      </c>
      <c r="B4874" s="12" t="s">
        <v>1120</v>
      </c>
      <c r="C4874" s="13" t="s">
        <v>1121</v>
      </c>
      <c r="D4874" s="13" t="s">
        <v>65</v>
      </c>
      <c r="E4874" s="12" t="s">
        <v>35</v>
      </c>
      <c r="F4874" s="14">
        <v>155000</v>
      </c>
      <c r="G4874" s="14">
        <v>130000</v>
      </c>
      <c r="H4874" s="13" t="s">
        <v>7174</v>
      </c>
      <c r="I4874" s="40" t="s">
        <v>18</v>
      </c>
      <c r="J4874" s="40" t="str">
        <f>HYPERLINK("https://stock.pstatic.net/stock-research/company/57/20260212_company_22715000.pdf","PDF")</f>
        <v>PDF</v>
      </c>
      <c r="K4874" s="12" t="s">
        <v>7175</v>
      </c>
      <c r="L4874" s="20">
        <v>0.19230769230769229</v>
      </c>
    </row>
    <row r="4875" spans="1:12" x14ac:dyDescent="0.45">
      <c r="A4875" s="12" t="s">
        <v>7132</v>
      </c>
      <c r="B4875" s="12" t="s">
        <v>3014</v>
      </c>
      <c r="C4875" s="13" t="s">
        <v>3015</v>
      </c>
      <c r="D4875" s="13" t="s">
        <v>57</v>
      </c>
      <c r="E4875" s="12" t="s">
        <v>35</v>
      </c>
      <c r="F4875" s="14">
        <v>147000</v>
      </c>
      <c r="G4875" s="14">
        <v>111600</v>
      </c>
      <c r="H4875" s="13" t="s">
        <v>7176</v>
      </c>
      <c r="I4875" s="40" t="s">
        <v>18</v>
      </c>
      <c r="J4875" s="40" t="str">
        <f>HYPERLINK("https://stock.pstatic.net/stock-research/company/16/20260212_company_499107000.pdf","PDF")</f>
        <v>PDF</v>
      </c>
      <c r="K4875" s="12" t="s">
        <v>7177</v>
      </c>
      <c r="L4875" s="20">
        <v>0.31720430107526881</v>
      </c>
    </row>
    <row r="4876" spans="1:12" x14ac:dyDescent="0.45">
      <c r="A4876" s="12" t="s">
        <v>7132</v>
      </c>
      <c r="B4876" s="12" t="s">
        <v>132</v>
      </c>
      <c r="C4876" s="13" t="s">
        <v>133</v>
      </c>
      <c r="D4876" s="13" t="s">
        <v>57</v>
      </c>
      <c r="E4876" s="12" t="s">
        <v>35</v>
      </c>
      <c r="F4876" s="14">
        <v>130000</v>
      </c>
      <c r="G4876" s="14">
        <v>107100</v>
      </c>
      <c r="H4876" s="13" t="s">
        <v>7178</v>
      </c>
      <c r="I4876" s="40" t="s">
        <v>18</v>
      </c>
      <c r="J4876" s="40" t="str">
        <f>HYPERLINK("https://stock.pstatic.net/stock-research/company/16/20260212_company_314226000.pdf","PDF")</f>
        <v>PDF</v>
      </c>
      <c r="K4876" s="12" t="s">
        <v>7179</v>
      </c>
      <c r="L4876" s="20">
        <v>0.2138188608776844</v>
      </c>
    </row>
    <row r="4877" spans="1:12" x14ac:dyDescent="0.45">
      <c r="A4877" s="12" t="s">
        <v>7132</v>
      </c>
      <c r="B4877" s="12" t="s">
        <v>118</v>
      </c>
      <c r="C4877" s="13" t="s">
        <v>119</v>
      </c>
      <c r="D4877" s="13" t="s">
        <v>57</v>
      </c>
      <c r="E4877" s="12" t="s">
        <v>35</v>
      </c>
      <c r="F4877" s="14">
        <v>150000</v>
      </c>
      <c r="G4877" s="14">
        <v>127600</v>
      </c>
      <c r="H4877" s="13" t="s">
        <v>7180</v>
      </c>
      <c r="I4877" s="40" t="s">
        <v>18</v>
      </c>
      <c r="J4877" s="40" t="str">
        <f>HYPERLINK("https://stock.pstatic.net/stock-research/company/16/20260212_company_163580000.pdf","PDF")</f>
        <v>PDF</v>
      </c>
      <c r="K4877" s="12" t="s">
        <v>7181</v>
      </c>
      <c r="L4877" s="20">
        <v>0.17554858934169279</v>
      </c>
    </row>
    <row r="4878" spans="1:12" x14ac:dyDescent="0.45">
      <c r="A4878" s="12" t="s">
        <v>7132</v>
      </c>
      <c r="B4878" s="12" t="s">
        <v>1648</v>
      </c>
      <c r="C4878" s="13" t="s">
        <v>1649</v>
      </c>
      <c r="D4878" s="13" t="s">
        <v>57</v>
      </c>
      <c r="E4878" s="12" t="s">
        <v>35</v>
      </c>
      <c r="F4878" s="14">
        <v>150000</v>
      </c>
      <c r="G4878" s="14">
        <v>120200</v>
      </c>
      <c r="H4878" s="13" t="s">
        <v>7182</v>
      </c>
      <c r="I4878" s="40" t="s">
        <v>18</v>
      </c>
      <c r="J4878" s="40" t="str">
        <f>HYPERLINK("https://stock.pstatic.net/stock-research/company/16/20260212_company_186867000.pdf","PDF")</f>
        <v>PDF</v>
      </c>
      <c r="K4878" s="12" t="s">
        <v>7183</v>
      </c>
      <c r="L4878" s="20">
        <v>0.24792013311148089</v>
      </c>
    </row>
    <row r="4879" spans="1:12" x14ac:dyDescent="0.45">
      <c r="A4879" s="12" t="s">
        <v>7132</v>
      </c>
      <c r="B4879" s="12" t="s">
        <v>1120</v>
      </c>
      <c r="C4879" s="13" t="s">
        <v>1121</v>
      </c>
      <c r="D4879" s="13" t="s">
        <v>57</v>
      </c>
      <c r="E4879" s="12" t="s">
        <v>35</v>
      </c>
      <c r="F4879" s="14">
        <v>180000</v>
      </c>
      <c r="G4879" s="14">
        <v>130000</v>
      </c>
      <c r="H4879" s="13" t="s">
        <v>7184</v>
      </c>
      <c r="I4879" s="40" t="s">
        <v>18</v>
      </c>
      <c r="J4879" s="40" t="str">
        <f>HYPERLINK("https://stock.pstatic.net/stock-research/company/16/20260212_company_868098000.pdf","PDF")</f>
        <v>PDF</v>
      </c>
      <c r="K4879" s="12" t="s">
        <v>7185</v>
      </c>
      <c r="L4879" s="20">
        <v>0.38461538461538458</v>
      </c>
    </row>
    <row r="4880" spans="1:12" x14ac:dyDescent="0.45">
      <c r="A4880" s="12" t="s">
        <v>7132</v>
      </c>
      <c r="B4880" s="12" t="s">
        <v>1036</v>
      </c>
      <c r="C4880" s="13" t="s">
        <v>1037</v>
      </c>
      <c r="D4880" s="13" t="s">
        <v>57</v>
      </c>
      <c r="E4880" s="12" t="s">
        <v>159</v>
      </c>
      <c r="F4880" s="14">
        <v>15000</v>
      </c>
      <c r="G4880" s="14">
        <v>15800</v>
      </c>
      <c r="H4880" s="13" t="s">
        <v>7186</v>
      </c>
      <c r="I4880" s="40" t="s">
        <v>18</v>
      </c>
      <c r="J4880" s="40" t="str">
        <f>HYPERLINK("https://stock.pstatic.net/stock-research/company/16/20260212_company_949950000.pdf","PDF")</f>
        <v>PDF</v>
      </c>
      <c r="K4880" s="12" t="s">
        <v>7187</v>
      </c>
      <c r="L4880" s="20">
        <v>-5.0632911392405063E-2</v>
      </c>
    </row>
    <row r="4881" spans="1:12" x14ac:dyDescent="0.45">
      <c r="A4881" s="12" t="s">
        <v>7132</v>
      </c>
      <c r="B4881" s="12" t="s">
        <v>1023</v>
      </c>
      <c r="C4881" s="13" t="s">
        <v>15</v>
      </c>
      <c r="D4881" s="13" t="s">
        <v>158</v>
      </c>
      <c r="E4881" s="12" t="s">
        <v>35</v>
      </c>
      <c r="F4881" s="14">
        <v>61500</v>
      </c>
      <c r="G4881" s="14">
        <v>51300</v>
      </c>
      <c r="H4881" s="13" t="s">
        <v>7188</v>
      </c>
      <c r="I4881" s="40" t="s">
        <v>18</v>
      </c>
      <c r="J4881" s="40" t="str">
        <f>HYPERLINK("https://stock.pstatic.net/stock-research/company/18/20260212_company_125678000.pdf","PDF")</f>
        <v>PDF</v>
      </c>
      <c r="K4881" s="12" t="s">
        <v>7189</v>
      </c>
      <c r="L4881" s="20">
        <v>0.19883040935672511</v>
      </c>
    </row>
    <row r="4882" spans="1:12" x14ac:dyDescent="0.45">
      <c r="A4882" s="12" t="s">
        <v>7132</v>
      </c>
      <c r="B4882" s="12" t="s">
        <v>1648</v>
      </c>
      <c r="C4882" s="13" t="s">
        <v>1649</v>
      </c>
      <c r="D4882" s="13" t="s">
        <v>158</v>
      </c>
      <c r="E4882" s="12" t="s">
        <v>35</v>
      </c>
      <c r="F4882" s="14">
        <v>140000</v>
      </c>
      <c r="G4882" s="14">
        <v>120200</v>
      </c>
      <c r="H4882" s="13" t="s">
        <v>7190</v>
      </c>
      <c r="I4882" s="40" t="s">
        <v>18</v>
      </c>
      <c r="J4882" s="40" t="str">
        <f>HYPERLINK("https://stock.pstatic.net/stock-research/company/18/20260212_company_719609000.pdf","PDF")</f>
        <v>PDF</v>
      </c>
      <c r="K4882" s="12" t="s">
        <v>7191</v>
      </c>
      <c r="L4882" s="20">
        <v>0.16472545757071549</v>
      </c>
    </row>
    <row r="4883" spans="1:12" x14ac:dyDescent="0.45">
      <c r="A4883" s="12" t="s">
        <v>7132</v>
      </c>
      <c r="B4883" s="12" t="s">
        <v>1120</v>
      </c>
      <c r="C4883" s="13" t="s">
        <v>1121</v>
      </c>
      <c r="D4883" s="13" t="s">
        <v>158</v>
      </c>
      <c r="E4883" s="12" t="s">
        <v>35</v>
      </c>
      <c r="F4883" s="14">
        <v>155000</v>
      </c>
      <c r="G4883" s="14">
        <v>130000</v>
      </c>
      <c r="H4883" s="13" t="s">
        <v>7192</v>
      </c>
      <c r="I4883" s="40" t="s">
        <v>18</v>
      </c>
      <c r="J4883" s="40" t="str">
        <f>HYPERLINK("https://stock.pstatic.net/stock-research/company/18/20260212_company_971315000.pdf","PDF")</f>
        <v>PDF</v>
      </c>
      <c r="K4883" s="12" t="s">
        <v>7193</v>
      </c>
      <c r="L4883" s="20">
        <v>0.19230769230769229</v>
      </c>
    </row>
    <row r="4884" spans="1:12" x14ac:dyDescent="0.45">
      <c r="A4884" s="12" t="s">
        <v>7132</v>
      </c>
      <c r="B4884" s="12" t="s">
        <v>1682</v>
      </c>
      <c r="C4884" s="13" t="s">
        <v>4787</v>
      </c>
      <c r="D4884" s="13" t="s">
        <v>158</v>
      </c>
      <c r="E4884" s="12" t="s">
        <v>35</v>
      </c>
      <c r="F4884" s="14">
        <v>310000</v>
      </c>
      <c r="G4884" s="14">
        <v>213500</v>
      </c>
      <c r="H4884" s="13" t="s">
        <v>7194</v>
      </c>
      <c r="I4884" s="40" t="s">
        <v>18</v>
      </c>
      <c r="J4884" s="40" t="str">
        <f>HYPERLINK("https://stock.pstatic.net/stock-research/company/18/20260212_company_109147000.pdf","PDF")</f>
        <v>PDF</v>
      </c>
      <c r="K4884" s="12" t="s">
        <v>7195</v>
      </c>
      <c r="L4884" s="20">
        <v>0.45199063231850117</v>
      </c>
    </row>
    <row r="4885" spans="1:12" x14ac:dyDescent="0.45">
      <c r="A4885" s="12" t="s">
        <v>7132</v>
      </c>
      <c r="B4885" s="12" t="s">
        <v>344</v>
      </c>
      <c r="C4885" s="13" t="s">
        <v>345</v>
      </c>
      <c r="D4885" s="13" t="s">
        <v>15</v>
      </c>
      <c r="E4885" s="12" t="s">
        <v>50</v>
      </c>
      <c r="F4885" s="13"/>
      <c r="G4885" s="14">
        <v>17620</v>
      </c>
      <c r="H4885" s="13" t="s">
        <v>7196</v>
      </c>
      <c r="I4885" s="40" t="s">
        <v>18</v>
      </c>
      <c r="J4885" s="40" t="str">
        <f>HYPERLINK("https://stock.pstatic.net/stock-research/company/56/20260212_company_419716000.pdf","PDF")</f>
        <v>PDF</v>
      </c>
      <c r="K4885" s="12" t="s">
        <v>7197</v>
      </c>
    </row>
    <row r="4886" spans="1:12" x14ac:dyDescent="0.45">
      <c r="A4886" s="12" t="s">
        <v>7132</v>
      </c>
      <c r="B4886" s="12" t="s">
        <v>3014</v>
      </c>
      <c r="C4886" s="13" t="s">
        <v>3015</v>
      </c>
      <c r="D4886" s="13" t="s">
        <v>23</v>
      </c>
      <c r="E4886" s="12" t="s">
        <v>16</v>
      </c>
      <c r="F4886" s="14">
        <v>160000</v>
      </c>
      <c r="G4886" s="14">
        <v>111600</v>
      </c>
      <c r="H4886" s="13" t="s">
        <v>7198</v>
      </c>
      <c r="I4886" s="40" t="s">
        <v>18</v>
      </c>
      <c r="J4886" s="40" t="str">
        <f>HYPERLINK("https://stock.pstatic.net/stock-research/company/21/20260212_company_993025000.pdf","PDF")</f>
        <v>PDF</v>
      </c>
      <c r="K4886" s="12" t="s">
        <v>7199</v>
      </c>
      <c r="L4886" s="20">
        <v>0.43369175627240142</v>
      </c>
    </row>
    <row r="4887" spans="1:12" x14ac:dyDescent="0.45">
      <c r="A4887" s="12" t="s">
        <v>7132</v>
      </c>
      <c r="B4887" s="12" t="s">
        <v>2658</v>
      </c>
      <c r="C4887" s="13" t="s">
        <v>2659</v>
      </c>
      <c r="D4887" s="13" t="s">
        <v>15</v>
      </c>
      <c r="E4887" s="12" t="s">
        <v>16</v>
      </c>
      <c r="F4887" s="14">
        <v>150000</v>
      </c>
      <c r="G4887" s="14">
        <v>109200</v>
      </c>
      <c r="H4887" s="13" t="s">
        <v>7200</v>
      </c>
      <c r="I4887" s="40" t="s">
        <v>18</v>
      </c>
      <c r="J4887" s="40" t="str">
        <f>HYPERLINK("https://stock.pstatic.net/stock-research/company/56/20260212_company_300049000.pdf","PDF")</f>
        <v>PDF</v>
      </c>
      <c r="K4887" s="12" t="s">
        <v>7201</v>
      </c>
      <c r="L4887" s="20">
        <v>0.37362637362637358</v>
      </c>
    </row>
    <row r="4888" spans="1:12" x14ac:dyDescent="0.45">
      <c r="A4888" s="12" t="s">
        <v>7132</v>
      </c>
      <c r="B4888" s="12" t="s">
        <v>2613</v>
      </c>
      <c r="C4888" s="13" t="s">
        <v>2614</v>
      </c>
      <c r="D4888" s="13" t="s">
        <v>83</v>
      </c>
      <c r="E4888" s="12" t="s">
        <v>35</v>
      </c>
      <c r="F4888" s="14">
        <v>400000</v>
      </c>
      <c r="G4888" s="14">
        <v>286000</v>
      </c>
      <c r="H4888" s="13" t="s">
        <v>7202</v>
      </c>
      <c r="I4888" s="40" t="s">
        <v>18</v>
      </c>
      <c r="J4888" s="40" t="str">
        <f>HYPERLINK("https://stock.pstatic.net/stock-research/company/15/20260212_company_618918000.pdf","PDF")</f>
        <v>PDF</v>
      </c>
      <c r="K4888" s="12" t="s">
        <v>7203</v>
      </c>
      <c r="L4888" s="20">
        <v>0.39860139860139859</v>
      </c>
    </row>
    <row r="4889" spans="1:12" x14ac:dyDescent="0.45">
      <c r="A4889" s="12" t="s">
        <v>7132</v>
      </c>
      <c r="B4889" s="12" t="s">
        <v>264</v>
      </c>
      <c r="C4889" s="13" t="s">
        <v>265</v>
      </c>
      <c r="D4889" s="13" t="s">
        <v>83</v>
      </c>
      <c r="E4889" s="12" t="s">
        <v>35</v>
      </c>
      <c r="F4889" s="14">
        <v>300000</v>
      </c>
      <c r="G4889" s="14">
        <v>233000</v>
      </c>
      <c r="H4889" s="13" t="s">
        <v>7204</v>
      </c>
      <c r="I4889" s="40" t="s">
        <v>18</v>
      </c>
      <c r="J4889" s="40" t="str">
        <f>HYPERLINK("https://stock.pstatic.net/stock-research/company/15/20260212_company_876828000.pdf","PDF")</f>
        <v>PDF</v>
      </c>
      <c r="K4889" s="12" t="s">
        <v>7205</v>
      </c>
      <c r="L4889" s="20">
        <v>0.28755364806866951</v>
      </c>
    </row>
    <row r="4890" spans="1:12" x14ac:dyDescent="0.45">
      <c r="A4890" s="12" t="s">
        <v>7132</v>
      </c>
      <c r="B4890" s="12" t="s">
        <v>132</v>
      </c>
      <c r="C4890" s="13" t="s">
        <v>133</v>
      </c>
      <c r="D4890" s="13" t="s">
        <v>83</v>
      </c>
      <c r="E4890" s="12" t="s">
        <v>35</v>
      </c>
      <c r="F4890" s="14">
        <v>145000</v>
      </c>
      <c r="G4890" s="14">
        <v>107100</v>
      </c>
      <c r="H4890" s="13" t="s">
        <v>7206</v>
      </c>
      <c r="I4890" s="40" t="s">
        <v>18</v>
      </c>
      <c r="J4890" s="40" t="str">
        <f>HYPERLINK("https://stock.pstatic.net/stock-research/company/15/20260212_company_861488000.pdf","PDF")</f>
        <v>PDF</v>
      </c>
      <c r="K4890" s="12" t="s">
        <v>7207</v>
      </c>
      <c r="L4890" s="20">
        <v>0.35387488328664801</v>
      </c>
    </row>
    <row r="4891" spans="1:12" x14ac:dyDescent="0.45">
      <c r="A4891" s="12" t="s">
        <v>7132</v>
      </c>
      <c r="B4891" s="12" t="s">
        <v>118</v>
      </c>
      <c r="C4891" s="13" t="s">
        <v>119</v>
      </c>
      <c r="D4891" s="13" t="s">
        <v>83</v>
      </c>
      <c r="E4891" s="12" t="s">
        <v>35</v>
      </c>
      <c r="F4891" s="14">
        <v>150000</v>
      </c>
      <c r="G4891" s="14">
        <v>127600</v>
      </c>
      <c r="H4891" s="13" t="s">
        <v>7208</v>
      </c>
      <c r="I4891" s="40" t="s">
        <v>18</v>
      </c>
      <c r="J4891" s="40" t="str">
        <f>HYPERLINK("https://stock.pstatic.net/stock-research/company/15/20260212_company_284367000.pdf","PDF")</f>
        <v>PDF</v>
      </c>
      <c r="K4891" s="12" t="s">
        <v>7209</v>
      </c>
      <c r="L4891" s="20">
        <v>0.17554858934169279</v>
      </c>
    </row>
    <row r="4892" spans="1:12" x14ac:dyDescent="0.45">
      <c r="A4892" s="12" t="s">
        <v>7132</v>
      </c>
      <c r="B4892" s="12" t="s">
        <v>76</v>
      </c>
      <c r="C4892" s="13" t="s">
        <v>77</v>
      </c>
      <c r="D4892" s="13" t="s">
        <v>15</v>
      </c>
      <c r="E4892" s="12" t="s">
        <v>16</v>
      </c>
      <c r="F4892" s="14">
        <v>24000</v>
      </c>
      <c r="G4892" s="14">
        <v>21050</v>
      </c>
      <c r="H4892" s="13" t="s">
        <v>7210</v>
      </c>
      <c r="I4892" s="40" t="s">
        <v>18</v>
      </c>
      <c r="J4892" s="40" t="str">
        <f>HYPERLINK("https://stock.pstatic.net/stock-research/company/56/20260212_company_57476000.pdf","PDF")</f>
        <v>PDF</v>
      </c>
      <c r="K4892" s="12" t="s">
        <v>7211</v>
      </c>
      <c r="L4892" s="20">
        <v>0.14014251781472681</v>
      </c>
    </row>
    <row r="4893" spans="1:12" x14ac:dyDescent="0.45">
      <c r="A4893" s="12" t="s">
        <v>7132</v>
      </c>
      <c r="B4893" s="12" t="s">
        <v>2795</v>
      </c>
      <c r="C4893" s="13" t="s">
        <v>2796</v>
      </c>
      <c r="D4893" s="13" t="s">
        <v>15</v>
      </c>
      <c r="E4893" s="12" t="s">
        <v>16</v>
      </c>
      <c r="F4893" s="14">
        <v>6000</v>
      </c>
      <c r="G4893" s="14">
        <v>4910</v>
      </c>
      <c r="H4893" s="13" t="s">
        <v>7212</v>
      </c>
      <c r="I4893" s="40" t="s">
        <v>18</v>
      </c>
      <c r="J4893" s="40" t="str">
        <f>HYPERLINK("https://stock.pstatic.net/stock-research/company/56/20260212_company_263853000.pdf","PDF")</f>
        <v>PDF</v>
      </c>
      <c r="K4893" s="12" t="s">
        <v>7213</v>
      </c>
      <c r="L4893" s="20">
        <v>0.2219959266802444</v>
      </c>
    </row>
    <row r="4894" spans="1:12" x14ac:dyDescent="0.45">
      <c r="A4894" s="12" t="s">
        <v>7132</v>
      </c>
      <c r="B4894" s="12" t="s">
        <v>736</v>
      </c>
      <c r="C4894" s="13" t="s">
        <v>737</v>
      </c>
      <c r="D4894" s="13" t="s">
        <v>92</v>
      </c>
      <c r="E4894" s="12" t="s">
        <v>35</v>
      </c>
      <c r="F4894" s="14">
        <v>200000</v>
      </c>
      <c r="G4894" s="14">
        <v>148700</v>
      </c>
      <c r="H4894" s="13" t="s">
        <v>7214</v>
      </c>
      <c r="I4894" s="40" t="s">
        <v>18</v>
      </c>
      <c r="J4894" s="40" t="str">
        <f>HYPERLINK("https://stock.pstatic.net/stock-research/company/63/20260212_company_895350000.pdf","PDF")</f>
        <v>PDF</v>
      </c>
      <c r="K4894" s="12" t="s">
        <v>7215</v>
      </c>
      <c r="L4894" s="20">
        <v>0.3449899125756557</v>
      </c>
    </row>
    <row r="4895" spans="1:12" x14ac:dyDescent="0.45">
      <c r="A4895" s="12" t="s">
        <v>7132</v>
      </c>
      <c r="B4895" s="12" t="s">
        <v>1212</v>
      </c>
      <c r="C4895" s="13" t="s">
        <v>1213</v>
      </c>
      <c r="D4895" s="13" t="s">
        <v>92</v>
      </c>
      <c r="E4895" s="12" t="s">
        <v>35</v>
      </c>
      <c r="F4895" s="14">
        <v>70000</v>
      </c>
      <c r="G4895" s="14">
        <v>45300</v>
      </c>
      <c r="H4895" s="13" t="s">
        <v>7216</v>
      </c>
      <c r="I4895" s="40" t="s">
        <v>18</v>
      </c>
      <c r="J4895" s="40" t="str">
        <f>HYPERLINK("https://stock.pstatic.net/stock-research/company/63/20260212_company_160128000.pdf","PDF")</f>
        <v>PDF</v>
      </c>
      <c r="K4895" s="12" t="s">
        <v>7217</v>
      </c>
      <c r="L4895" s="20">
        <v>0.54525386313465785</v>
      </c>
    </row>
    <row r="4896" spans="1:12" x14ac:dyDescent="0.45">
      <c r="A4896" s="12" t="s">
        <v>7132</v>
      </c>
      <c r="B4896" s="12" t="s">
        <v>792</v>
      </c>
      <c r="C4896" s="13" t="s">
        <v>793</v>
      </c>
      <c r="D4896" s="13" t="s">
        <v>179</v>
      </c>
      <c r="E4896" s="12" t="s">
        <v>16</v>
      </c>
      <c r="F4896" s="14">
        <v>42000</v>
      </c>
      <c r="G4896" s="14">
        <v>33850</v>
      </c>
      <c r="H4896" s="13" t="s">
        <v>7218</v>
      </c>
      <c r="I4896" s="40" t="s">
        <v>18</v>
      </c>
      <c r="J4896" s="40" t="str">
        <f>HYPERLINK("https://stock.pstatic.net/stock-research/company/64/20260212_company_799874000.pdf","PDF")</f>
        <v>PDF</v>
      </c>
      <c r="K4896" s="12" t="s">
        <v>7219</v>
      </c>
      <c r="L4896" s="20">
        <v>0.24076809453471201</v>
      </c>
    </row>
    <row r="4897" spans="1:12" x14ac:dyDescent="0.45">
      <c r="A4897" s="12" t="s">
        <v>7132</v>
      </c>
      <c r="B4897" s="12" t="s">
        <v>792</v>
      </c>
      <c r="C4897" s="13" t="s">
        <v>793</v>
      </c>
      <c r="D4897" s="13" t="s">
        <v>23</v>
      </c>
      <c r="E4897" s="12" t="s">
        <v>16</v>
      </c>
      <c r="F4897" s="14">
        <v>55000</v>
      </c>
      <c r="G4897" s="14">
        <v>33850</v>
      </c>
      <c r="H4897" s="13" t="s">
        <v>7220</v>
      </c>
      <c r="I4897" s="40" t="s">
        <v>18</v>
      </c>
      <c r="J4897" s="40" t="str">
        <f>HYPERLINK("https://stock.pstatic.net/stock-research/company/21/20260212_company_186897000.pdf","PDF")</f>
        <v>PDF</v>
      </c>
      <c r="K4897" s="12" t="s">
        <v>7221</v>
      </c>
      <c r="L4897" s="20">
        <v>0.6248153618906942</v>
      </c>
    </row>
    <row r="4898" spans="1:12" x14ac:dyDescent="0.45">
      <c r="A4898" s="12" t="s">
        <v>7132</v>
      </c>
      <c r="B4898" s="12" t="s">
        <v>118</v>
      </c>
      <c r="C4898" s="13" t="s">
        <v>119</v>
      </c>
      <c r="D4898" s="13" t="s">
        <v>23</v>
      </c>
      <c r="E4898" s="12" t="s">
        <v>16</v>
      </c>
      <c r="F4898" s="14">
        <v>160000</v>
      </c>
      <c r="G4898" s="14">
        <v>127600</v>
      </c>
      <c r="H4898" s="13" t="s">
        <v>7222</v>
      </c>
      <c r="I4898" s="40" t="s">
        <v>18</v>
      </c>
      <c r="J4898" s="40" t="str">
        <f>HYPERLINK("https://stock.pstatic.net/stock-research/company/21/20260212_company_298551000.pdf","PDF")</f>
        <v>PDF</v>
      </c>
      <c r="K4898" s="12" t="s">
        <v>7223</v>
      </c>
      <c r="L4898" s="20">
        <v>0.25391849529780558</v>
      </c>
    </row>
    <row r="4899" spans="1:12" x14ac:dyDescent="0.45">
      <c r="A4899" s="12" t="s">
        <v>7132</v>
      </c>
      <c r="B4899" s="12" t="s">
        <v>2658</v>
      </c>
      <c r="C4899" s="13" t="s">
        <v>2659</v>
      </c>
      <c r="D4899" s="13" t="s">
        <v>53</v>
      </c>
      <c r="E4899" s="12" t="s">
        <v>16</v>
      </c>
      <c r="F4899" s="14">
        <v>160000</v>
      </c>
      <c r="G4899" s="14">
        <v>109200</v>
      </c>
      <c r="H4899" s="13" t="s">
        <v>7224</v>
      </c>
      <c r="I4899" s="40" t="s">
        <v>18</v>
      </c>
      <c r="J4899" s="40" t="str">
        <f>HYPERLINK("https://stock.pstatic.net/stock-research/company/40/20260212_company_166258000.pdf","PDF")</f>
        <v>PDF</v>
      </c>
      <c r="K4899" s="12" t="s">
        <v>7225</v>
      </c>
      <c r="L4899" s="20">
        <v>0.46520146520146521</v>
      </c>
    </row>
    <row r="4900" spans="1:12" x14ac:dyDescent="0.45">
      <c r="A4900" s="12" t="s">
        <v>7132</v>
      </c>
      <c r="B4900" s="12" t="s">
        <v>132</v>
      </c>
      <c r="C4900" s="13" t="s">
        <v>133</v>
      </c>
      <c r="D4900" s="13" t="s">
        <v>23</v>
      </c>
      <c r="E4900" s="12" t="s">
        <v>16</v>
      </c>
      <c r="F4900" s="14">
        <v>130000</v>
      </c>
      <c r="G4900" s="14">
        <v>107100</v>
      </c>
      <c r="H4900" s="13" t="s">
        <v>7226</v>
      </c>
      <c r="I4900" s="40" t="s">
        <v>18</v>
      </c>
      <c r="J4900" s="40" t="str">
        <f>HYPERLINK("https://stock.pstatic.net/stock-research/company/-/20260212_company_87754000.pdf","PDF")</f>
        <v>PDF</v>
      </c>
      <c r="K4900" s="12" t="s">
        <v>7227</v>
      </c>
      <c r="L4900" s="20">
        <v>0.2138188608776844</v>
      </c>
    </row>
    <row r="4901" spans="1:12" x14ac:dyDescent="0.45">
      <c r="A4901" s="12" t="s">
        <v>7132</v>
      </c>
      <c r="B4901" s="12" t="s">
        <v>76</v>
      </c>
      <c r="C4901" s="13" t="s">
        <v>77</v>
      </c>
      <c r="D4901" s="13" t="s">
        <v>23</v>
      </c>
      <c r="E4901" s="12" t="s">
        <v>385</v>
      </c>
      <c r="F4901" s="13"/>
      <c r="G4901" s="14">
        <v>21050</v>
      </c>
      <c r="H4901" s="13" t="s">
        <v>7228</v>
      </c>
      <c r="I4901" s="40" t="s">
        <v>18</v>
      </c>
      <c r="J4901" s="40" t="str">
        <f>HYPERLINK("https://stock.pstatic.net/stock-research/company/21/20260212_company_893524000.pdf","PDF")</f>
        <v>PDF</v>
      </c>
      <c r="K4901" s="12" t="s">
        <v>7229</v>
      </c>
    </row>
    <row r="4902" spans="1:12" x14ac:dyDescent="0.45">
      <c r="A4902" s="12" t="s">
        <v>7132</v>
      </c>
      <c r="B4902" s="12" t="s">
        <v>1648</v>
      </c>
      <c r="C4902" s="13" t="s">
        <v>1649</v>
      </c>
      <c r="D4902" s="13" t="s">
        <v>23</v>
      </c>
      <c r="E4902" s="12" t="s">
        <v>16</v>
      </c>
      <c r="F4902" s="14">
        <v>160000</v>
      </c>
      <c r="G4902" s="14">
        <v>120200</v>
      </c>
      <c r="H4902" s="13" t="s">
        <v>7230</v>
      </c>
      <c r="I4902" s="40" t="s">
        <v>18</v>
      </c>
      <c r="J4902" s="40" t="str">
        <f>HYPERLINK("https://stock.pstatic.net/stock-research/company/21/20260212_company_718711000.pdf","PDF")</f>
        <v>PDF</v>
      </c>
      <c r="K4902" s="12" t="s">
        <v>7231</v>
      </c>
      <c r="L4902" s="20">
        <v>0.33111480865224618</v>
      </c>
    </row>
    <row r="4903" spans="1:12" x14ac:dyDescent="0.45">
      <c r="A4903" s="12" t="s">
        <v>7132</v>
      </c>
      <c r="B4903" s="12" t="s">
        <v>2658</v>
      </c>
      <c r="C4903" s="13" t="s">
        <v>2659</v>
      </c>
      <c r="D4903" s="13" t="s">
        <v>179</v>
      </c>
      <c r="E4903" s="12" t="s">
        <v>16</v>
      </c>
      <c r="F4903" s="14">
        <v>160000</v>
      </c>
      <c r="G4903" s="14">
        <v>109200</v>
      </c>
      <c r="H4903" s="13" t="s">
        <v>7232</v>
      </c>
      <c r="I4903" s="40" t="s">
        <v>18</v>
      </c>
      <c r="J4903" s="40" t="str">
        <f>HYPERLINK("https://stock.pstatic.net/stock-research/company/64/20260212_company_638742000.pdf","PDF")</f>
        <v>PDF</v>
      </c>
      <c r="K4903" s="12" t="s">
        <v>7233</v>
      </c>
      <c r="L4903" s="20">
        <v>0.46520146520146521</v>
      </c>
    </row>
    <row r="4904" spans="1:12" x14ac:dyDescent="0.45">
      <c r="A4904" s="12" t="s">
        <v>7132</v>
      </c>
      <c r="B4904" s="12" t="s">
        <v>1648</v>
      </c>
      <c r="C4904" s="13" t="s">
        <v>1649</v>
      </c>
      <c r="D4904" s="13" t="s">
        <v>34</v>
      </c>
      <c r="E4904" s="12" t="s">
        <v>35</v>
      </c>
      <c r="F4904" s="14">
        <v>160000</v>
      </c>
      <c r="G4904" s="14">
        <v>120200</v>
      </c>
      <c r="H4904" s="13" t="s">
        <v>7234</v>
      </c>
      <c r="I4904" s="40" t="s">
        <v>18</v>
      </c>
      <c r="J4904" s="40" t="str">
        <f>HYPERLINK("https://stock.pstatic.net/stock-research/company/61/20260212_company_878135000.pdf","PDF")</f>
        <v>PDF</v>
      </c>
      <c r="K4904" s="12" t="s">
        <v>7235</v>
      </c>
      <c r="L4904" s="20">
        <v>0.33111480865224618</v>
      </c>
    </row>
    <row r="4905" spans="1:12" x14ac:dyDescent="0.45">
      <c r="A4905" s="12" t="s">
        <v>7132</v>
      </c>
      <c r="B4905" s="12" t="s">
        <v>2550</v>
      </c>
      <c r="C4905" s="13" t="s">
        <v>2551</v>
      </c>
      <c r="D4905" s="13" t="s">
        <v>92</v>
      </c>
      <c r="E4905" s="12" t="s">
        <v>35</v>
      </c>
      <c r="F4905" s="14">
        <v>19000</v>
      </c>
      <c r="G4905" s="14">
        <v>12760</v>
      </c>
      <c r="H4905" s="13" t="s">
        <v>7236</v>
      </c>
      <c r="I4905" s="40" t="s">
        <v>18</v>
      </c>
      <c r="J4905" s="40" t="str">
        <f>HYPERLINK("https://stock.pstatic.net/stock-research/company/63/20260212_company_842089000.pdf","PDF")</f>
        <v>PDF</v>
      </c>
      <c r="K4905" s="12" t="s">
        <v>7237</v>
      </c>
      <c r="L4905" s="20">
        <v>0.4890282131661442</v>
      </c>
    </row>
    <row r="4906" spans="1:12" x14ac:dyDescent="0.45">
      <c r="A4906" s="12" t="s">
        <v>7132</v>
      </c>
      <c r="B4906" s="12" t="s">
        <v>2658</v>
      </c>
      <c r="C4906" s="13" t="s">
        <v>2659</v>
      </c>
      <c r="D4906" s="13" t="s">
        <v>92</v>
      </c>
      <c r="E4906" s="12" t="s">
        <v>35</v>
      </c>
      <c r="F4906" s="14">
        <v>170000</v>
      </c>
      <c r="G4906" s="14">
        <v>109200</v>
      </c>
      <c r="H4906" s="13" t="s">
        <v>7238</v>
      </c>
      <c r="I4906" s="40" t="s">
        <v>18</v>
      </c>
      <c r="J4906" s="40" t="str">
        <f>HYPERLINK("https://stock.pstatic.net/stock-research/company/63/20260212_company_636908000.pdf","PDF")</f>
        <v>PDF</v>
      </c>
      <c r="K4906" s="12" t="s">
        <v>7239</v>
      </c>
      <c r="L4906" s="20">
        <v>0.5567765567765568</v>
      </c>
    </row>
    <row r="4907" spans="1:12" x14ac:dyDescent="0.45">
      <c r="A4907" s="12" t="s">
        <v>7132</v>
      </c>
      <c r="B4907" s="12" t="s">
        <v>1648</v>
      </c>
      <c r="C4907" s="13" t="s">
        <v>1649</v>
      </c>
      <c r="D4907" s="13" t="s">
        <v>53</v>
      </c>
      <c r="E4907" s="12" t="s">
        <v>16</v>
      </c>
      <c r="F4907" s="14">
        <v>150000</v>
      </c>
      <c r="G4907" s="14">
        <v>120200</v>
      </c>
      <c r="H4907" s="13" t="s">
        <v>7240</v>
      </c>
      <c r="I4907" s="40" t="s">
        <v>18</v>
      </c>
      <c r="J4907" s="40" t="str">
        <f>HYPERLINK("https://stock.pstatic.net/stock-research/company/40/20260212_company_823527000.pdf","PDF")</f>
        <v>PDF</v>
      </c>
      <c r="K4907" s="12" t="s">
        <v>7241</v>
      </c>
      <c r="L4907" s="20">
        <v>0.24792013311148089</v>
      </c>
    </row>
    <row r="4908" spans="1:12" x14ac:dyDescent="0.45">
      <c r="A4908" s="12" t="s">
        <v>7132</v>
      </c>
      <c r="B4908" s="12" t="s">
        <v>1648</v>
      </c>
      <c r="C4908" s="13" t="s">
        <v>1649</v>
      </c>
      <c r="D4908" s="13" t="s">
        <v>92</v>
      </c>
      <c r="E4908" s="12" t="s">
        <v>35</v>
      </c>
      <c r="F4908" s="14">
        <v>160000</v>
      </c>
      <c r="G4908" s="14">
        <v>120200</v>
      </c>
      <c r="H4908" s="13" t="s">
        <v>7242</v>
      </c>
      <c r="I4908" s="40" t="s">
        <v>18</v>
      </c>
      <c r="J4908" s="40" t="str">
        <f>HYPERLINK("https://stock.pstatic.net/stock-research/company/63/20260212_company_427124000.pdf","PDF")</f>
        <v>PDF</v>
      </c>
      <c r="K4908" s="12" t="s">
        <v>7243</v>
      </c>
      <c r="L4908" s="20">
        <v>0.33111480865224618</v>
      </c>
    </row>
    <row r="4909" spans="1:12" x14ac:dyDescent="0.45">
      <c r="A4909" s="12" t="s">
        <v>7132</v>
      </c>
      <c r="B4909" s="12" t="s">
        <v>3093</v>
      </c>
      <c r="C4909" s="13" t="s">
        <v>3094</v>
      </c>
      <c r="D4909" s="13" t="s">
        <v>23</v>
      </c>
      <c r="E4909" s="12" t="s">
        <v>16</v>
      </c>
      <c r="F4909" s="14">
        <v>7000</v>
      </c>
      <c r="G4909" s="14">
        <v>5840</v>
      </c>
      <c r="H4909" s="13" t="s">
        <v>1122</v>
      </c>
      <c r="I4909" s="40" t="s">
        <v>18</v>
      </c>
      <c r="J4909" s="40" t="str">
        <f>HYPERLINK("https://stock.pstatic.net/stock-research/company/21/20260212_company_779173000.pdf","PDF")</f>
        <v>PDF</v>
      </c>
      <c r="K4909" s="12" t="s">
        <v>7244</v>
      </c>
      <c r="L4909" s="20">
        <v>0.19863013698630139</v>
      </c>
    </row>
    <row r="4910" spans="1:12" x14ac:dyDescent="0.45">
      <c r="A4910" s="12" t="s">
        <v>7132</v>
      </c>
      <c r="B4910" s="12" t="s">
        <v>2199</v>
      </c>
      <c r="C4910" s="13" t="s">
        <v>2200</v>
      </c>
      <c r="D4910" s="13" t="s">
        <v>23</v>
      </c>
      <c r="E4910" s="12" t="s">
        <v>16</v>
      </c>
      <c r="F4910" s="14">
        <v>43000</v>
      </c>
      <c r="G4910" s="14">
        <v>33850</v>
      </c>
      <c r="H4910" s="13" t="s">
        <v>7245</v>
      </c>
      <c r="I4910" s="40" t="s">
        <v>18</v>
      </c>
      <c r="J4910" s="40" t="str">
        <f>HYPERLINK("https://stock.pstatic.net/stock-research/company/21/20260212_company_126751000.pdf","PDF")</f>
        <v>PDF</v>
      </c>
      <c r="K4910" s="12" t="s">
        <v>7246</v>
      </c>
      <c r="L4910" s="20">
        <v>0.27031019202363371</v>
      </c>
    </row>
    <row r="4911" spans="1:12" x14ac:dyDescent="0.45">
      <c r="A4911" s="12" t="s">
        <v>7132</v>
      </c>
      <c r="B4911" s="12" t="s">
        <v>1073</v>
      </c>
      <c r="C4911" s="13" t="s">
        <v>1074</v>
      </c>
      <c r="D4911" s="13" t="s">
        <v>23</v>
      </c>
      <c r="E4911" s="12" t="s">
        <v>16</v>
      </c>
      <c r="F4911" s="14">
        <v>49000</v>
      </c>
      <c r="G4911" s="14">
        <v>39850</v>
      </c>
      <c r="H4911" s="13" t="s">
        <v>7247</v>
      </c>
      <c r="I4911" s="40" t="s">
        <v>18</v>
      </c>
      <c r="J4911" s="40" t="str">
        <f>HYPERLINK("https://stock.pstatic.net/stock-research/company/21/20260212_company_346710000.pdf","PDF")</f>
        <v>PDF</v>
      </c>
      <c r="K4911" s="12" t="s">
        <v>7248</v>
      </c>
      <c r="L4911" s="20">
        <v>0.22961104140526981</v>
      </c>
    </row>
    <row r="4912" spans="1:12" x14ac:dyDescent="0.45">
      <c r="A4912" s="12" t="s">
        <v>7132</v>
      </c>
      <c r="B4912" s="12" t="s">
        <v>86</v>
      </c>
      <c r="C4912" s="13" t="s">
        <v>87</v>
      </c>
      <c r="D4912" s="13" t="s">
        <v>23</v>
      </c>
      <c r="E4912" s="12" t="s">
        <v>16</v>
      </c>
      <c r="F4912" s="14">
        <v>146000</v>
      </c>
      <c r="G4912" s="14">
        <v>131200</v>
      </c>
      <c r="H4912" s="13" t="s">
        <v>7249</v>
      </c>
      <c r="I4912" s="40" t="s">
        <v>18</v>
      </c>
      <c r="J4912" s="40" t="str">
        <f>HYPERLINK("https://stock.pstatic.net/stock-research/company/21/20260212_company_684735000.pdf","PDF")</f>
        <v>PDF</v>
      </c>
      <c r="K4912" s="12" t="s">
        <v>7250</v>
      </c>
      <c r="L4912" s="20">
        <v>0.1128048780487805</v>
      </c>
    </row>
    <row r="4913" spans="1:12" x14ac:dyDescent="0.45">
      <c r="A4913" s="12" t="s">
        <v>7132</v>
      </c>
      <c r="B4913" s="12" t="s">
        <v>2795</v>
      </c>
      <c r="C4913" s="13" t="s">
        <v>2796</v>
      </c>
      <c r="D4913" s="13" t="s">
        <v>23</v>
      </c>
      <c r="E4913" s="12" t="s">
        <v>16</v>
      </c>
      <c r="F4913" s="14">
        <v>6200</v>
      </c>
      <c r="G4913" s="14">
        <v>4910</v>
      </c>
      <c r="H4913" s="13" t="s">
        <v>7251</v>
      </c>
      <c r="I4913" s="40" t="s">
        <v>18</v>
      </c>
      <c r="J4913" s="40" t="str">
        <f>HYPERLINK("https://stock.pstatic.net/stock-research/company/21/20260212_company_538423000.pdf","PDF")</f>
        <v>PDF</v>
      </c>
      <c r="K4913" s="12" t="s">
        <v>7252</v>
      </c>
      <c r="L4913" s="20">
        <v>0.26272912423625261</v>
      </c>
    </row>
    <row r="4914" spans="1:12" x14ac:dyDescent="0.45">
      <c r="A4914" s="12" t="s">
        <v>7132</v>
      </c>
      <c r="B4914" s="12" t="s">
        <v>1278</v>
      </c>
      <c r="C4914" s="13" t="s">
        <v>1279</v>
      </c>
      <c r="D4914" s="13" t="s">
        <v>23</v>
      </c>
      <c r="E4914" s="12" t="s">
        <v>16</v>
      </c>
      <c r="F4914" s="14">
        <v>350000</v>
      </c>
      <c r="G4914" s="14">
        <v>226500</v>
      </c>
      <c r="H4914" s="13" t="s">
        <v>7253</v>
      </c>
      <c r="I4914" s="40" t="s">
        <v>18</v>
      </c>
      <c r="J4914" s="40" t="str">
        <f>HYPERLINK("https://stock.pstatic.net/stock-research/company/21/20260212_company_455671000.pdf","PDF")</f>
        <v>PDF</v>
      </c>
      <c r="K4914" s="12" t="s">
        <v>7254</v>
      </c>
      <c r="L4914" s="20">
        <v>0.54525386313465785</v>
      </c>
    </row>
    <row r="4915" spans="1:12" x14ac:dyDescent="0.45">
      <c r="A4915" s="12" t="s">
        <v>7132</v>
      </c>
      <c r="B4915" s="12" t="s">
        <v>868</v>
      </c>
      <c r="C4915" s="13" t="s">
        <v>869</v>
      </c>
      <c r="D4915" s="13" t="s">
        <v>34</v>
      </c>
      <c r="E4915" s="12" t="s">
        <v>35</v>
      </c>
      <c r="F4915" s="14">
        <v>70000</v>
      </c>
      <c r="G4915" s="14">
        <v>42800</v>
      </c>
      <c r="H4915" s="13" t="s">
        <v>7255</v>
      </c>
      <c r="I4915" s="40" t="s">
        <v>18</v>
      </c>
      <c r="J4915" s="40" t="str">
        <f>HYPERLINK("https://stock.pstatic.net/stock-research/company/61/20260212_company_554260000.pdf","PDF")</f>
        <v>PDF</v>
      </c>
      <c r="K4915" s="12" t="s">
        <v>7256</v>
      </c>
      <c r="L4915" s="20">
        <v>0.63551401869158874</v>
      </c>
    </row>
    <row r="4916" spans="1:12" x14ac:dyDescent="0.45">
      <c r="A4916" s="12" t="s">
        <v>7132</v>
      </c>
      <c r="B4916" s="12" t="s">
        <v>1036</v>
      </c>
      <c r="C4916" s="13" t="s">
        <v>1037</v>
      </c>
      <c r="D4916" s="13" t="s">
        <v>92</v>
      </c>
      <c r="E4916" s="12" t="s">
        <v>159</v>
      </c>
      <c r="F4916" s="14">
        <v>13000</v>
      </c>
      <c r="G4916" s="14">
        <v>15730</v>
      </c>
      <c r="H4916" s="13" t="s">
        <v>7257</v>
      </c>
      <c r="I4916" s="40" t="s">
        <v>18</v>
      </c>
      <c r="J4916" s="40" t="str">
        <f>HYPERLINK("https://stock.pstatic.net/stock-research/company/63/20260212_company_781722000.pdf","PDF")</f>
        <v>PDF</v>
      </c>
      <c r="K4916" s="12" t="s">
        <v>7258</v>
      </c>
      <c r="L4916" s="20">
        <v>-0.1735537190082645</v>
      </c>
    </row>
    <row r="4917" spans="1:12" x14ac:dyDescent="0.45">
      <c r="A4917" s="12" t="s">
        <v>7132</v>
      </c>
      <c r="B4917" s="12" t="s">
        <v>2658</v>
      </c>
      <c r="C4917" s="13" t="s">
        <v>2659</v>
      </c>
      <c r="D4917" s="13" t="s">
        <v>34</v>
      </c>
      <c r="E4917" s="12" t="s">
        <v>35</v>
      </c>
      <c r="F4917" s="14">
        <v>150000</v>
      </c>
      <c r="G4917" s="14">
        <v>109200</v>
      </c>
      <c r="H4917" s="13" t="s">
        <v>7259</v>
      </c>
      <c r="I4917" s="40" t="s">
        <v>18</v>
      </c>
      <c r="J4917" s="40" t="str">
        <f>HYPERLINK("https://stock.pstatic.net/stock-research/company/61/20260212_company_21480000.pdf","PDF")</f>
        <v>PDF</v>
      </c>
      <c r="K4917" s="12" t="s">
        <v>7260</v>
      </c>
      <c r="L4917" s="20">
        <v>0.37362637362637358</v>
      </c>
    </row>
    <row r="4918" spans="1:12" x14ac:dyDescent="0.45">
      <c r="A4918" s="12" t="s">
        <v>7132</v>
      </c>
      <c r="B4918" s="12" t="s">
        <v>3014</v>
      </c>
      <c r="C4918" s="13" t="s">
        <v>3015</v>
      </c>
      <c r="D4918" s="13" t="s">
        <v>34</v>
      </c>
      <c r="E4918" s="12" t="s">
        <v>159</v>
      </c>
      <c r="F4918" s="14">
        <v>125000</v>
      </c>
      <c r="G4918" s="14">
        <v>111600</v>
      </c>
      <c r="H4918" s="13" t="s">
        <v>7261</v>
      </c>
      <c r="I4918" s="40" t="s">
        <v>18</v>
      </c>
      <c r="J4918" s="40" t="str">
        <f>HYPERLINK("https://stock.pstatic.net/stock-research/company/61/20260212_company_418724000.pdf","PDF")</f>
        <v>PDF</v>
      </c>
      <c r="K4918" s="12" t="s">
        <v>7262</v>
      </c>
      <c r="L4918" s="20">
        <v>0.1200716845878136</v>
      </c>
    </row>
    <row r="4919" spans="1:12" x14ac:dyDescent="0.45">
      <c r="A4919" s="12" t="s">
        <v>7132</v>
      </c>
      <c r="B4919" s="12" t="s">
        <v>1648</v>
      </c>
      <c r="C4919" s="13" t="s">
        <v>1649</v>
      </c>
      <c r="D4919" s="13" t="s">
        <v>44</v>
      </c>
      <c r="E4919" s="12" t="s">
        <v>35</v>
      </c>
      <c r="F4919" s="14">
        <v>180000</v>
      </c>
      <c r="G4919" s="14">
        <v>120200</v>
      </c>
      <c r="H4919" s="13" t="s">
        <v>7263</v>
      </c>
      <c r="I4919" s="40" t="s">
        <v>18</v>
      </c>
      <c r="J4919" s="40" t="str">
        <f>HYPERLINK("https://stock.pstatic.net/stock-research/company/39/20260212_company_231475000.pdf","PDF")</f>
        <v>PDF</v>
      </c>
      <c r="K4919" s="12" t="s">
        <v>7264</v>
      </c>
      <c r="L4919" s="20">
        <v>0.49750415973377698</v>
      </c>
    </row>
    <row r="4920" spans="1:12" x14ac:dyDescent="0.45">
      <c r="A4920" s="12" t="s">
        <v>7132</v>
      </c>
      <c r="B4920" s="12" t="s">
        <v>868</v>
      </c>
      <c r="C4920" s="13" t="s">
        <v>869</v>
      </c>
      <c r="D4920" s="13" t="s">
        <v>179</v>
      </c>
      <c r="E4920" s="12" t="s">
        <v>16</v>
      </c>
      <c r="F4920" s="14">
        <v>55000</v>
      </c>
      <c r="G4920" s="14">
        <v>42800</v>
      </c>
      <c r="H4920" s="13" t="s">
        <v>7265</v>
      </c>
      <c r="I4920" s="40" t="s">
        <v>18</v>
      </c>
      <c r="J4920" s="40" t="str">
        <f>HYPERLINK("https://stock.pstatic.net/stock-research/company/64/20260212_company_596245000.pdf","PDF")</f>
        <v>PDF</v>
      </c>
      <c r="K4920" s="12" t="s">
        <v>7266</v>
      </c>
      <c r="L4920" s="20">
        <v>0.28504672897196259</v>
      </c>
    </row>
    <row r="4921" spans="1:12" x14ac:dyDescent="0.45">
      <c r="A4921" s="12" t="s">
        <v>7132</v>
      </c>
      <c r="B4921" s="12" t="s">
        <v>868</v>
      </c>
      <c r="C4921" s="13" t="s">
        <v>869</v>
      </c>
      <c r="D4921" s="13" t="s">
        <v>44</v>
      </c>
      <c r="E4921" s="12" t="s">
        <v>35</v>
      </c>
      <c r="F4921" s="14">
        <v>63000</v>
      </c>
      <c r="G4921" s="14">
        <v>42800</v>
      </c>
      <c r="H4921" s="13" t="s">
        <v>7267</v>
      </c>
      <c r="I4921" s="40" t="s">
        <v>18</v>
      </c>
      <c r="J4921" s="40" t="str">
        <f>HYPERLINK("https://stock.pstatic.net/stock-research/company/39/20260212_company_331115000.pdf","PDF")</f>
        <v>PDF</v>
      </c>
      <c r="K4921" s="12" t="s">
        <v>7268</v>
      </c>
      <c r="L4921" s="20">
        <v>0.4719626168224299</v>
      </c>
    </row>
    <row r="4922" spans="1:12" x14ac:dyDescent="0.45">
      <c r="A4922" s="12" t="s">
        <v>7132</v>
      </c>
      <c r="B4922" s="12" t="s">
        <v>1176</v>
      </c>
      <c r="C4922" s="13" t="s">
        <v>1177</v>
      </c>
      <c r="D4922" s="13" t="s">
        <v>179</v>
      </c>
      <c r="E4922" s="12" t="s">
        <v>16</v>
      </c>
      <c r="F4922" s="14">
        <v>14500</v>
      </c>
      <c r="G4922" s="14">
        <v>12100</v>
      </c>
      <c r="H4922" s="13" t="s">
        <v>7269</v>
      </c>
      <c r="I4922" s="40" t="s">
        <v>18</v>
      </c>
      <c r="J4922" s="40" t="str">
        <f>HYPERLINK("https://stock.pstatic.net/stock-research/company/64/20260212_company_748634000.pdf","PDF")</f>
        <v>PDF</v>
      </c>
      <c r="K4922" s="12" t="s">
        <v>7270</v>
      </c>
      <c r="L4922" s="20">
        <v>0.19834710743801651</v>
      </c>
    </row>
    <row r="4923" spans="1:12" x14ac:dyDescent="0.45">
      <c r="A4923" s="12" t="s">
        <v>7132</v>
      </c>
      <c r="B4923" s="12" t="s">
        <v>7271</v>
      </c>
      <c r="C4923" s="13" t="s">
        <v>7272</v>
      </c>
      <c r="D4923" s="13" t="s">
        <v>44</v>
      </c>
      <c r="E4923" s="12" t="s">
        <v>50</v>
      </c>
      <c r="F4923" s="13"/>
      <c r="G4923" s="14">
        <v>66800</v>
      </c>
      <c r="H4923" s="13" t="s">
        <v>7273</v>
      </c>
      <c r="I4923" s="40" t="s">
        <v>18</v>
      </c>
      <c r="J4923" s="40" t="str">
        <f>HYPERLINK("https://stock.pstatic.net/stock-research/company/39/20260212_company_141027000.pdf","PDF")</f>
        <v>PDF</v>
      </c>
      <c r="K4923" s="12" t="s">
        <v>7274</v>
      </c>
    </row>
    <row r="4924" spans="1:12" x14ac:dyDescent="0.45">
      <c r="A4924" s="12" t="s">
        <v>7132</v>
      </c>
      <c r="B4924" s="12" t="s">
        <v>264</v>
      </c>
      <c r="C4924" s="13" t="s">
        <v>265</v>
      </c>
      <c r="D4924" s="13" t="s">
        <v>179</v>
      </c>
      <c r="E4924" s="12" t="s">
        <v>16</v>
      </c>
      <c r="F4924" s="14">
        <v>280000</v>
      </c>
      <c r="G4924" s="14">
        <v>233000</v>
      </c>
      <c r="H4924" s="13" t="s">
        <v>7275</v>
      </c>
      <c r="I4924" s="40" t="s">
        <v>18</v>
      </c>
      <c r="J4924" s="40" t="str">
        <f>HYPERLINK("https://stock.pstatic.net/stock-research/company/64/20260212_company_82858000.pdf","PDF")</f>
        <v>PDF</v>
      </c>
      <c r="K4924" s="12" t="s">
        <v>7276</v>
      </c>
      <c r="L4924" s="20">
        <v>0.20171673819742489</v>
      </c>
    </row>
    <row r="4925" spans="1:12" x14ac:dyDescent="0.45">
      <c r="A4925" s="12" t="s">
        <v>7132</v>
      </c>
      <c r="B4925" s="12" t="s">
        <v>118</v>
      </c>
      <c r="C4925" s="13" t="s">
        <v>119</v>
      </c>
      <c r="D4925" s="13" t="s">
        <v>44</v>
      </c>
      <c r="E4925" s="12" t="s">
        <v>50</v>
      </c>
      <c r="F4925" s="13"/>
      <c r="G4925" s="13"/>
      <c r="H4925" s="13" t="s">
        <v>7277</v>
      </c>
      <c r="I4925" s="40" t="s">
        <v>18</v>
      </c>
      <c r="J4925" s="40" t="str">
        <f>HYPERLINK("https://stock.pstatic.net/stock-research/company/39/20260212_company_908842000.pdf","PDF")</f>
        <v>PDF</v>
      </c>
      <c r="K4925" s="12" t="s">
        <v>7278</v>
      </c>
    </row>
    <row r="4926" spans="1:12" x14ac:dyDescent="0.45">
      <c r="A4926" s="12" t="s">
        <v>7132</v>
      </c>
      <c r="B4926" s="12" t="s">
        <v>1120</v>
      </c>
      <c r="C4926" s="13" t="s">
        <v>1121</v>
      </c>
      <c r="D4926" s="13" t="s">
        <v>44</v>
      </c>
      <c r="E4926" s="12" t="s">
        <v>35</v>
      </c>
      <c r="F4926" s="14">
        <v>175000</v>
      </c>
      <c r="G4926" s="14">
        <v>130000</v>
      </c>
      <c r="H4926" s="13" t="s">
        <v>7279</v>
      </c>
      <c r="I4926" s="40" t="s">
        <v>18</v>
      </c>
      <c r="J4926" s="40" t="str">
        <f>HYPERLINK("https://stock.pstatic.net/stock-research/company/39/20260212_company_709172000.pdf","PDF")</f>
        <v>PDF</v>
      </c>
      <c r="K4926" s="12" t="s">
        <v>7280</v>
      </c>
      <c r="L4926" s="20">
        <v>0.34615384615384609</v>
      </c>
    </row>
    <row r="4927" spans="1:12" x14ac:dyDescent="0.45">
      <c r="A4927" s="12" t="s">
        <v>7132</v>
      </c>
      <c r="B4927" s="12" t="s">
        <v>132</v>
      </c>
      <c r="C4927" s="13" t="s">
        <v>133</v>
      </c>
      <c r="D4927" s="13" t="s">
        <v>44</v>
      </c>
      <c r="E4927" s="12" t="s">
        <v>35</v>
      </c>
      <c r="F4927" s="14">
        <v>147000</v>
      </c>
      <c r="G4927" s="14">
        <v>107100</v>
      </c>
      <c r="H4927" s="13" t="s">
        <v>7281</v>
      </c>
      <c r="I4927" s="40" t="s">
        <v>18</v>
      </c>
      <c r="J4927" s="40" t="str">
        <f>HYPERLINK("https://stock.pstatic.net/stock-research/company/39/20260212_company_6562000.pdf","PDF")</f>
        <v>PDF</v>
      </c>
      <c r="K4927" s="12" t="s">
        <v>7282</v>
      </c>
      <c r="L4927" s="20">
        <v>0.37254901960784309</v>
      </c>
    </row>
    <row r="4928" spans="1:12" x14ac:dyDescent="0.45">
      <c r="A4928" s="12" t="s">
        <v>7132</v>
      </c>
      <c r="B4928" s="12" t="s">
        <v>2658</v>
      </c>
      <c r="C4928" s="13" t="s">
        <v>2659</v>
      </c>
      <c r="D4928" s="13" t="s">
        <v>44</v>
      </c>
      <c r="E4928" s="12" t="s">
        <v>50</v>
      </c>
      <c r="F4928" s="13"/>
      <c r="G4928" s="13"/>
      <c r="H4928" s="13" t="s">
        <v>7283</v>
      </c>
      <c r="I4928" s="40" t="s">
        <v>18</v>
      </c>
      <c r="J4928" s="40" t="str">
        <f>HYPERLINK("https://stock.pstatic.net/stock-research/company/39/20260212_company_953702000.pdf","PDF")</f>
        <v>PDF</v>
      </c>
      <c r="K4928" s="12" t="s">
        <v>7284</v>
      </c>
    </row>
    <row r="4929" spans="1:12" x14ac:dyDescent="0.45">
      <c r="A4929" s="12" t="s">
        <v>7132</v>
      </c>
      <c r="B4929" s="12" t="s">
        <v>2613</v>
      </c>
      <c r="C4929" s="13" t="s">
        <v>2614</v>
      </c>
      <c r="D4929" s="13" t="s">
        <v>44</v>
      </c>
      <c r="E4929" s="12" t="s">
        <v>35</v>
      </c>
      <c r="F4929" s="14">
        <v>350000</v>
      </c>
      <c r="G4929" s="14">
        <v>286000</v>
      </c>
      <c r="H4929" s="13" t="s">
        <v>7285</v>
      </c>
      <c r="I4929" s="40" t="s">
        <v>18</v>
      </c>
      <c r="J4929" s="40" t="str">
        <f>HYPERLINK("https://stock.pstatic.net/stock-research/company/39/20260212_company_396919000.pdf","PDF")</f>
        <v>PDF</v>
      </c>
      <c r="K4929" s="12" t="s">
        <v>7286</v>
      </c>
      <c r="L4929" s="20">
        <v>0.2237762237762238</v>
      </c>
    </row>
    <row r="4930" spans="1:12" x14ac:dyDescent="0.45">
      <c r="A4930" s="12" t="s">
        <v>7132</v>
      </c>
      <c r="B4930" s="12" t="s">
        <v>7287</v>
      </c>
      <c r="C4930" s="13" t="s">
        <v>7288</v>
      </c>
      <c r="D4930" s="13" t="s">
        <v>44</v>
      </c>
      <c r="E4930" s="12" t="s">
        <v>50</v>
      </c>
      <c r="F4930" s="13"/>
      <c r="G4930" s="13"/>
      <c r="H4930" s="13" t="s">
        <v>7289</v>
      </c>
      <c r="I4930" s="40" t="s">
        <v>18</v>
      </c>
      <c r="J4930" s="40" t="str">
        <f>HYPERLINK("https://stock.pstatic.net/stock-research/company/39/20260212_company_329126000.pdf","PDF")</f>
        <v>PDF</v>
      </c>
      <c r="K4930" s="12" t="s">
        <v>7290</v>
      </c>
    </row>
    <row r="4931" spans="1:12" x14ac:dyDescent="0.45">
      <c r="A4931" s="12" t="s">
        <v>7132</v>
      </c>
      <c r="B4931" s="12" t="s">
        <v>86</v>
      </c>
      <c r="C4931" s="13" t="s">
        <v>87</v>
      </c>
      <c r="D4931" s="13" t="s">
        <v>44</v>
      </c>
      <c r="E4931" s="12" t="s">
        <v>35</v>
      </c>
      <c r="F4931" s="14">
        <v>170000</v>
      </c>
      <c r="G4931" s="14">
        <v>131200</v>
      </c>
      <c r="H4931" s="13" t="s">
        <v>7291</v>
      </c>
      <c r="I4931" s="40" t="s">
        <v>18</v>
      </c>
      <c r="J4931" s="40" t="str">
        <f>HYPERLINK("https://stock.pstatic.net/stock-research/company/39/20260212_company_658394000.pdf","PDF")</f>
        <v>PDF</v>
      </c>
      <c r="K4931" s="12" t="s">
        <v>7292</v>
      </c>
      <c r="L4931" s="20">
        <v>0.29573170731707321</v>
      </c>
    </row>
    <row r="4932" spans="1:12" x14ac:dyDescent="0.45">
      <c r="A4932" s="12" t="s">
        <v>7132</v>
      </c>
      <c r="B4932" s="12" t="s">
        <v>7293</v>
      </c>
      <c r="C4932" s="13" t="s">
        <v>7294</v>
      </c>
      <c r="D4932" s="13" t="s">
        <v>124</v>
      </c>
      <c r="E4932" s="12" t="s">
        <v>50</v>
      </c>
      <c r="F4932" s="13"/>
      <c r="G4932" s="13"/>
      <c r="H4932" s="13" t="s">
        <v>7295</v>
      </c>
      <c r="I4932" s="40" t="s">
        <v>18</v>
      </c>
      <c r="J4932" s="40" t="str">
        <f>HYPERLINK("https://stock.pstatic.net/stock-research/company/74/20260212_company_121343000.pdf","PDF")</f>
        <v>PDF</v>
      </c>
      <c r="K4932" s="12" t="s">
        <v>7296</v>
      </c>
    </row>
    <row r="4933" spans="1:12" x14ac:dyDescent="0.45">
      <c r="A4933" s="12" t="s">
        <v>7132</v>
      </c>
      <c r="B4933" s="12" t="s">
        <v>7297</v>
      </c>
      <c r="C4933" s="13" t="s">
        <v>7298</v>
      </c>
      <c r="D4933" s="13" t="s">
        <v>124</v>
      </c>
      <c r="E4933" s="12" t="s">
        <v>50</v>
      </c>
      <c r="F4933" s="13"/>
      <c r="G4933" s="13"/>
      <c r="H4933" s="13" t="s">
        <v>7299</v>
      </c>
      <c r="I4933" s="40" t="s">
        <v>18</v>
      </c>
      <c r="J4933" s="40" t="str">
        <f>HYPERLINK("https://stock.pstatic.net/stock-research/company/74/20260212_company_968024000.pdf","PDF")</f>
        <v>PDF</v>
      </c>
      <c r="K4933" s="12" t="s">
        <v>7300</v>
      </c>
    </row>
    <row r="4934" spans="1:12" x14ac:dyDescent="0.45">
      <c r="A4934" s="12" t="s">
        <v>7132</v>
      </c>
      <c r="B4934" s="12" t="s">
        <v>2105</v>
      </c>
      <c r="C4934" s="13" t="s">
        <v>2106</v>
      </c>
      <c r="D4934" s="13" t="s">
        <v>15</v>
      </c>
      <c r="E4934" s="12" t="s">
        <v>16</v>
      </c>
      <c r="F4934" s="14">
        <v>48000</v>
      </c>
      <c r="G4934" s="14">
        <v>34000</v>
      </c>
      <c r="H4934" s="13" t="s">
        <v>7301</v>
      </c>
      <c r="I4934" s="40" t="s">
        <v>18</v>
      </c>
      <c r="J4934" s="40" t="str">
        <f>HYPERLINK("https://stock.pstatic.net/stock-research/company/56/20260212_company_172112000.pdf","PDF")</f>
        <v>PDF</v>
      </c>
      <c r="K4934" s="12" t="s">
        <v>7302</v>
      </c>
      <c r="L4934" s="20">
        <v>0.41176470588235292</v>
      </c>
    </row>
    <row r="4935" spans="1:12" x14ac:dyDescent="0.45">
      <c r="A4935" s="12" t="s">
        <v>7132</v>
      </c>
      <c r="B4935" s="12" t="s">
        <v>736</v>
      </c>
      <c r="C4935" s="13" t="s">
        <v>737</v>
      </c>
      <c r="D4935" s="13" t="s">
        <v>15</v>
      </c>
      <c r="E4935" s="12" t="s">
        <v>16</v>
      </c>
      <c r="F4935" s="14">
        <v>180000</v>
      </c>
      <c r="G4935" s="14">
        <v>148700</v>
      </c>
      <c r="H4935" s="13" t="s">
        <v>7303</v>
      </c>
      <c r="I4935" s="40" t="s">
        <v>18</v>
      </c>
      <c r="J4935" s="40" t="str">
        <f>HYPERLINK("https://stock.pstatic.net/stock-research/company/56/20260212_company_475754000.pdf","PDF")</f>
        <v>PDF</v>
      </c>
      <c r="K4935" s="12" t="s">
        <v>7304</v>
      </c>
      <c r="L4935" s="20">
        <v>0.21049092131809011</v>
      </c>
    </row>
    <row r="4936" spans="1:12" x14ac:dyDescent="0.45">
      <c r="A4936" s="12" t="s">
        <v>7132</v>
      </c>
      <c r="B4936" s="12" t="s">
        <v>1900</v>
      </c>
      <c r="C4936" s="13" t="s">
        <v>1901</v>
      </c>
      <c r="D4936" s="13" t="s">
        <v>15</v>
      </c>
      <c r="E4936" s="12" t="s">
        <v>16</v>
      </c>
      <c r="F4936" s="14">
        <v>38000</v>
      </c>
      <c r="G4936" s="14">
        <v>29800</v>
      </c>
      <c r="H4936" s="13" t="s">
        <v>7305</v>
      </c>
      <c r="I4936" s="40" t="s">
        <v>18</v>
      </c>
      <c r="J4936" s="40" t="str">
        <f>HYPERLINK("https://stock.pstatic.net/stock-research/company/56/20260212_company_875280000.pdf","PDF")</f>
        <v>PDF</v>
      </c>
      <c r="K4936" s="12" t="s">
        <v>7306</v>
      </c>
      <c r="L4936" s="20">
        <v>0.27516778523489932</v>
      </c>
    </row>
    <row r="4937" spans="1:12" x14ac:dyDescent="0.45">
      <c r="A4937" s="12" t="s">
        <v>7132</v>
      </c>
      <c r="B4937" s="12" t="s">
        <v>132</v>
      </c>
      <c r="C4937" s="13" t="s">
        <v>133</v>
      </c>
      <c r="D4937" s="13" t="s">
        <v>53</v>
      </c>
      <c r="E4937" s="12" t="s">
        <v>16</v>
      </c>
      <c r="F4937" s="14">
        <v>130000</v>
      </c>
      <c r="G4937" s="14">
        <v>107100</v>
      </c>
      <c r="H4937" s="13" t="s">
        <v>7307</v>
      </c>
      <c r="I4937" s="40" t="s">
        <v>18</v>
      </c>
      <c r="J4937" s="40" t="str">
        <f>HYPERLINK("https://stock.pstatic.net/stock-research/company/40/20260212_company_194487000.pdf","PDF")</f>
        <v>PDF</v>
      </c>
      <c r="K4937" s="12" t="s">
        <v>7308</v>
      </c>
      <c r="L4937" s="20">
        <v>0.2138188608776844</v>
      </c>
    </row>
    <row r="4938" spans="1:12" x14ac:dyDescent="0.45">
      <c r="A4938" s="12" t="s">
        <v>7132</v>
      </c>
      <c r="B4938" s="12" t="s">
        <v>1144</v>
      </c>
      <c r="C4938" s="13" t="s">
        <v>1145</v>
      </c>
      <c r="D4938" s="13" t="s">
        <v>15</v>
      </c>
      <c r="E4938" s="12" t="s">
        <v>16</v>
      </c>
      <c r="F4938" s="14">
        <v>168000</v>
      </c>
      <c r="G4938" s="14">
        <v>146000</v>
      </c>
      <c r="H4938" s="13" t="s">
        <v>7309</v>
      </c>
      <c r="I4938" s="40" t="s">
        <v>18</v>
      </c>
      <c r="J4938" s="40" t="str">
        <f>HYPERLINK("https://stock.pstatic.net/stock-research/company/56/20260212_company_718019000.pdf","PDF")</f>
        <v>PDF</v>
      </c>
      <c r="K4938" s="12" t="s">
        <v>7310</v>
      </c>
      <c r="L4938" s="20">
        <v>0.15068493150684931</v>
      </c>
    </row>
    <row r="4939" spans="1:12" x14ac:dyDescent="0.45">
      <c r="A4939" s="12" t="s">
        <v>7311</v>
      </c>
      <c r="B4939" s="12" t="s">
        <v>1144</v>
      </c>
      <c r="C4939" s="13" t="s">
        <v>1145</v>
      </c>
      <c r="D4939" s="13" t="s">
        <v>15</v>
      </c>
      <c r="E4939" s="12" t="s">
        <v>16</v>
      </c>
      <c r="F4939" s="14">
        <v>34000</v>
      </c>
      <c r="G4939" s="14">
        <v>26700</v>
      </c>
      <c r="H4939" s="13" t="s">
        <v>7312</v>
      </c>
      <c r="I4939" s="40" t="s">
        <v>18</v>
      </c>
      <c r="J4939" s="40" t="str">
        <f>HYPERLINK("https://stock.pstatic.net/stock-research/company/56/20260211_company_553989000.pdf","PDF")</f>
        <v>PDF</v>
      </c>
      <c r="K4939" s="12" t="s">
        <v>7313</v>
      </c>
      <c r="L4939" s="20">
        <v>0.27340823970037448</v>
      </c>
    </row>
    <row r="4940" spans="1:12" x14ac:dyDescent="0.45">
      <c r="A4940" s="12" t="s">
        <v>7311</v>
      </c>
      <c r="B4940" s="12" t="s">
        <v>1036</v>
      </c>
      <c r="C4940" s="13" t="s">
        <v>1037</v>
      </c>
      <c r="D4940" s="13" t="s">
        <v>15</v>
      </c>
      <c r="E4940" s="12" t="s">
        <v>385</v>
      </c>
      <c r="F4940" s="14">
        <v>15000</v>
      </c>
      <c r="G4940" s="14">
        <v>15800</v>
      </c>
      <c r="H4940" s="13" t="s">
        <v>7314</v>
      </c>
      <c r="I4940" s="40" t="s">
        <v>18</v>
      </c>
      <c r="J4940" s="40" t="str">
        <f>HYPERLINK("https://stock.pstatic.net/stock-research/company/56/20260211_company_931205000.pdf","PDF")</f>
        <v>PDF</v>
      </c>
      <c r="K4940" s="12" t="s">
        <v>7315</v>
      </c>
      <c r="L4940" s="20">
        <v>-5.0632911392405063E-2</v>
      </c>
    </row>
    <row r="4941" spans="1:12" x14ac:dyDescent="0.45">
      <c r="A4941" s="12" t="s">
        <v>7311</v>
      </c>
      <c r="B4941" s="12" t="s">
        <v>1682</v>
      </c>
      <c r="C4941" s="13" t="s">
        <v>4787</v>
      </c>
      <c r="D4941" s="13" t="s">
        <v>276</v>
      </c>
      <c r="E4941" s="12" t="s">
        <v>16</v>
      </c>
      <c r="F4941" s="14">
        <v>300000</v>
      </c>
      <c r="G4941" s="14">
        <v>203500</v>
      </c>
      <c r="H4941" s="13" t="s">
        <v>7316</v>
      </c>
      <c r="I4941" s="40" t="s">
        <v>18</v>
      </c>
      <c r="J4941" s="40" t="str">
        <f>HYPERLINK("https://stock.pstatic.net/stock-research/company/66/20260211_company_652802000.pdf","PDF")</f>
        <v>PDF</v>
      </c>
      <c r="K4941" s="12" t="s">
        <v>7317</v>
      </c>
      <c r="L4941" s="20">
        <v>0.47420147420147418</v>
      </c>
    </row>
    <row r="4942" spans="1:12" x14ac:dyDescent="0.45">
      <c r="A4942" s="12" t="s">
        <v>7311</v>
      </c>
      <c r="B4942" s="12" t="s">
        <v>7151</v>
      </c>
      <c r="C4942" s="13" t="s">
        <v>7152</v>
      </c>
      <c r="D4942" s="13" t="s">
        <v>276</v>
      </c>
      <c r="E4942" s="12" t="s">
        <v>16</v>
      </c>
      <c r="F4942" s="14">
        <v>100000</v>
      </c>
      <c r="G4942" s="14">
        <v>53300</v>
      </c>
      <c r="H4942" s="13" t="s">
        <v>7318</v>
      </c>
      <c r="I4942" s="40" t="s">
        <v>18</v>
      </c>
      <c r="J4942" s="40" t="str">
        <f>HYPERLINK("https://stock.pstatic.net/stock-research/company/66/20260211_company_350907000.pdf","PDF")</f>
        <v>PDF</v>
      </c>
      <c r="K4942" s="12" t="s">
        <v>7319</v>
      </c>
      <c r="L4942" s="20">
        <v>0.8761726078799249</v>
      </c>
    </row>
    <row r="4943" spans="1:12" x14ac:dyDescent="0.45">
      <c r="A4943" s="12" t="s">
        <v>7311</v>
      </c>
      <c r="B4943" s="12" t="s">
        <v>2286</v>
      </c>
      <c r="C4943" s="13" t="s">
        <v>2287</v>
      </c>
      <c r="D4943" s="13" t="s">
        <v>276</v>
      </c>
      <c r="E4943" s="12" t="s">
        <v>16</v>
      </c>
      <c r="F4943" s="14">
        <v>8000</v>
      </c>
      <c r="G4943" s="14">
        <v>6090</v>
      </c>
      <c r="H4943" s="13" t="s">
        <v>7320</v>
      </c>
      <c r="I4943" s="40" t="s">
        <v>18</v>
      </c>
      <c r="J4943" s="40" t="str">
        <f>HYPERLINK("https://stock.pstatic.net/stock-research/company/66/20260211_company_160394000.pdf","PDF")</f>
        <v>PDF</v>
      </c>
      <c r="K4943" s="12" t="s">
        <v>7321</v>
      </c>
      <c r="L4943" s="20">
        <v>0.31362889983579639</v>
      </c>
    </row>
    <row r="4944" spans="1:12" x14ac:dyDescent="0.45">
      <c r="A4944" s="12" t="s">
        <v>7311</v>
      </c>
      <c r="B4944" s="12" t="s">
        <v>1930</v>
      </c>
      <c r="C4944" s="13" t="s">
        <v>1931</v>
      </c>
      <c r="D4944" s="13" t="s">
        <v>276</v>
      </c>
      <c r="E4944" s="12" t="s">
        <v>16</v>
      </c>
      <c r="F4944" s="14">
        <v>300000</v>
      </c>
      <c r="G4944" s="14">
        <v>228500</v>
      </c>
      <c r="H4944" s="13" t="s">
        <v>7322</v>
      </c>
      <c r="I4944" s="40" t="s">
        <v>18</v>
      </c>
      <c r="J4944" s="40" t="str">
        <f>HYPERLINK("https://stock.pstatic.net/stock-research/company/66/20260211_company_744550000.pdf","PDF")</f>
        <v>PDF</v>
      </c>
      <c r="K4944" s="12" t="s">
        <v>7323</v>
      </c>
      <c r="L4944" s="20">
        <v>0.31291028446389502</v>
      </c>
    </row>
    <row r="4945" spans="1:12" x14ac:dyDescent="0.45">
      <c r="A4945" s="12" t="s">
        <v>7311</v>
      </c>
      <c r="B4945" s="12" t="s">
        <v>2199</v>
      </c>
      <c r="C4945" s="13" t="s">
        <v>2200</v>
      </c>
      <c r="D4945" s="13" t="s">
        <v>65</v>
      </c>
      <c r="E4945" s="12" t="s">
        <v>35</v>
      </c>
      <c r="F4945" s="14">
        <v>38000</v>
      </c>
      <c r="G4945" s="14">
        <v>33200</v>
      </c>
      <c r="H4945" s="13" t="s">
        <v>7324</v>
      </c>
      <c r="I4945" s="40" t="s">
        <v>18</v>
      </c>
      <c r="J4945" s="40" t="str">
        <f>HYPERLINK("https://stock.pstatic.net/stock-research/company/57/20260211_company_605286000.pdf","PDF")</f>
        <v>PDF</v>
      </c>
      <c r="K4945" s="12" t="s">
        <v>7325</v>
      </c>
      <c r="L4945" s="20">
        <v>0.14457831325301199</v>
      </c>
    </row>
    <row r="4946" spans="1:12" x14ac:dyDescent="0.45">
      <c r="A4946" s="12" t="s">
        <v>7311</v>
      </c>
      <c r="B4946" s="12" t="s">
        <v>957</v>
      </c>
      <c r="C4946" s="13" t="s">
        <v>958</v>
      </c>
      <c r="D4946" s="13" t="s">
        <v>276</v>
      </c>
      <c r="E4946" s="12" t="s">
        <v>16</v>
      </c>
      <c r="F4946" s="14">
        <v>380000</v>
      </c>
      <c r="G4946" s="14">
        <v>224000</v>
      </c>
      <c r="H4946" s="13" t="s">
        <v>7326</v>
      </c>
      <c r="I4946" s="40" t="s">
        <v>18</v>
      </c>
      <c r="J4946" s="40" t="str">
        <f>HYPERLINK("https://stock.pstatic.net/stock-research/company/66/20260211_company_385446000.pdf","PDF")</f>
        <v>PDF</v>
      </c>
      <c r="K4946" s="12" t="s">
        <v>7327</v>
      </c>
      <c r="L4946" s="20">
        <v>0.6964285714285714</v>
      </c>
    </row>
    <row r="4947" spans="1:12" x14ac:dyDescent="0.45">
      <c r="A4947" s="12" t="s">
        <v>7311</v>
      </c>
      <c r="B4947" s="12" t="s">
        <v>1144</v>
      </c>
      <c r="C4947" s="13" t="s">
        <v>1145</v>
      </c>
      <c r="D4947" s="13" t="s">
        <v>65</v>
      </c>
      <c r="E4947" s="12" t="s">
        <v>35</v>
      </c>
      <c r="F4947" s="14">
        <v>220000</v>
      </c>
      <c r="G4947" s="14">
        <v>146000</v>
      </c>
      <c r="H4947" s="13" t="s">
        <v>7328</v>
      </c>
      <c r="I4947" s="40" t="s">
        <v>18</v>
      </c>
      <c r="J4947" s="40" t="str">
        <f>HYPERLINK("https://stock.pstatic.net/stock-research/company/57/20260211_company_710468000.pdf","PDF")</f>
        <v>PDF</v>
      </c>
      <c r="K4947" s="12" t="s">
        <v>7329</v>
      </c>
      <c r="L4947" s="20">
        <v>0.50684931506849318</v>
      </c>
    </row>
    <row r="4948" spans="1:12" x14ac:dyDescent="0.45">
      <c r="A4948" s="12" t="s">
        <v>7311</v>
      </c>
      <c r="B4948" s="12" t="s">
        <v>1540</v>
      </c>
      <c r="C4948" s="13" t="s">
        <v>1541</v>
      </c>
      <c r="D4948" s="13" t="s">
        <v>65</v>
      </c>
      <c r="E4948" s="12" t="s">
        <v>35</v>
      </c>
      <c r="F4948" s="14">
        <v>68000</v>
      </c>
      <c r="G4948" s="14">
        <v>58300</v>
      </c>
      <c r="H4948" s="13" t="s">
        <v>7330</v>
      </c>
      <c r="I4948" s="40" t="s">
        <v>18</v>
      </c>
      <c r="J4948" s="40" t="str">
        <f>HYPERLINK("https://stock.pstatic.net/stock-research/company/57/20260211_company_363979000.pdf","PDF")</f>
        <v>PDF</v>
      </c>
      <c r="K4948" s="12" t="s">
        <v>7331</v>
      </c>
      <c r="L4948" s="20">
        <v>0.1663807890222985</v>
      </c>
    </row>
    <row r="4949" spans="1:12" x14ac:dyDescent="0.45">
      <c r="A4949" s="12" t="s">
        <v>7311</v>
      </c>
      <c r="B4949" s="12" t="s">
        <v>6519</v>
      </c>
      <c r="C4949" s="13" t="s">
        <v>6520</v>
      </c>
      <c r="D4949" s="13" t="s">
        <v>60</v>
      </c>
      <c r="E4949" s="12" t="s">
        <v>50</v>
      </c>
      <c r="F4949" s="13"/>
      <c r="G4949" s="14">
        <v>9660</v>
      </c>
      <c r="H4949" s="13" t="s">
        <v>7332</v>
      </c>
      <c r="I4949" s="40" t="s">
        <v>18</v>
      </c>
      <c r="J4949" s="40" t="str">
        <f>HYPERLINK("https://stock.pstatic.net/stock-research/company/62/20260211_company_620604000.pdf","PDF")</f>
        <v>PDF</v>
      </c>
      <c r="K4949" s="12" t="s">
        <v>7333</v>
      </c>
    </row>
    <row r="4950" spans="1:12" x14ac:dyDescent="0.45">
      <c r="A4950" s="12" t="s">
        <v>7311</v>
      </c>
      <c r="B4950" s="12" t="s">
        <v>2217</v>
      </c>
      <c r="C4950" s="13" t="s">
        <v>2218</v>
      </c>
      <c r="D4950" s="13" t="s">
        <v>65</v>
      </c>
      <c r="E4950" s="12" t="s">
        <v>35</v>
      </c>
      <c r="F4950" s="14">
        <v>140000</v>
      </c>
      <c r="G4950" s="14">
        <v>98400</v>
      </c>
      <c r="H4950" s="13" t="s">
        <v>7334</v>
      </c>
      <c r="I4950" s="40" t="s">
        <v>18</v>
      </c>
      <c r="J4950" s="40" t="str">
        <f>HYPERLINK("https://stock.pstatic.net/stock-research/company/57/20260211_company_570520000.pdf","PDF")</f>
        <v>PDF</v>
      </c>
      <c r="K4950" s="12" t="s">
        <v>7335</v>
      </c>
      <c r="L4950" s="20">
        <v>0.42276422764227639</v>
      </c>
    </row>
    <row r="4951" spans="1:12" x14ac:dyDescent="0.45">
      <c r="A4951" s="12" t="s">
        <v>7311</v>
      </c>
      <c r="B4951" s="12" t="s">
        <v>1773</v>
      </c>
      <c r="C4951" s="13" t="s">
        <v>1774</v>
      </c>
      <c r="D4951" s="13" t="s">
        <v>65</v>
      </c>
      <c r="E4951" s="12" t="s">
        <v>35</v>
      </c>
      <c r="F4951" s="14">
        <v>180000</v>
      </c>
      <c r="G4951" s="14">
        <v>136700</v>
      </c>
      <c r="H4951" s="13" t="s">
        <v>7336</v>
      </c>
      <c r="I4951" s="40" t="s">
        <v>18</v>
      </c>
      <c r="J4951" s="40" t="str">
        <f>HYPERLINK("https://stock.pstatic.net/stock-research/company/57/20260211_company_760903000.pdf","PDF")</f>
        <v>PDF</v>
      </c>
      <c r="K4951" s="12" t="s">
        <v>7337</v>
      </c>
      <c r="L4951" s="20">
        <v>0.31675201170446232</v>
      </c>
    </row>
    <row r="4952" spans="1:12" x14ac:dyDescent="0.45">
      <c r="A4952" s="12" t="s">
        <v>7311</v>
      </c>
      <c r="B4952" s="12" t="s">
        <v>426</v>
      </c>
      <c r="C4952" s="13" t="s">
        <v>427</v>
      </c>
      <c r="D4952" s="13" t="s">
        <v>65</v>
      </c>
      <c r="E4952" s="12" t="s">
        <v>35</v>
      </c>
      <c r="F4952" s="14">
        <v>27000</v>
      </c>
      <c r="G4952" s="14">
        <v>21250</v>
      </c>
      <c r="H4952" s="13" t="s">
        <v>7338</v>
      </c>
      <c r="I4952" s="40" t="s">
        <v>18</v>
      </c>
      <c r="J4952" s="40" t="str">
        <f>HYPERLINK("https://stock.pstatic.net/stock-research/company/57/20260211_company_540470000.pdf","PDF")</f>
        <v>PDF</v>
      </c>
      <c r="K4952" s="12" t="s">
        <v>7339</v>
      </c>
      <c r="L4952" s="20">
        <v>0.27058823529411757</v>
      </c>
    </row>
    <row r="4953" spans="1:12" x14ac:dyDescent="0.45">
      <c r="A4953" s="12" t="s">
        <v>7311</v>
      </c>
      <c r="B4953" s="12" t="s">
        <v>1682</v>
      </c>
      <c r="C4953" s="13" t="s">
        <v>4787</v>
      </c>
      <c r="D4953" s="13" t="s">
        <v>60</v>
      </c>
      <c r="E4953" s="12" t="s">
        <v>50</v>
      </c>
      <c r="F4953" s="14">
        <v>270000</v>
      </c>
      <c r="G4953" s="14">
        <v>203500</v>
      </c>
      <c r="H4953" s="13" t="s">
        <v>7340</v>
      </c>
      <c r="I4953" s="40" t="s">
        <v>18</v>
      </c>
      <c r="J4953" s="40" t="str">
        <f>HYPERLINK("https://stock.pstatic.net/stock-research/company/62/20260211_company_734081000.pdf","PDF")</f>
        <v>PDF</v>
      </c>
      <c r="K4953" s="12" t="s">
        <v>7341</v>
      </c>
      <c r="L4953" s="20">
        <v>0.32678132678132682</v>
      </c>
    </row>
    <row r="4954" spans="1:12" x14ac:dyDescent="0.45">
      <c r="A4954" s="12" t="s">
        <v>7311</v>
      </c>
      <c r="B4954" s="12" t="s">
        <v>533</v>
      </c>
      <c r="C4954" s="13" t="s">
        <v>534</v>
      </c>
      <c r="D4954" s="13" t="s">
        <v>65</v>
      </c>
      <c r="E4954" s="12" t="s">
        <v>35</v>
      </c>
      <c r="F4954" s="14">
        <v>76000</v>
      </c>
      <c r="G4954" s="14">
        <v>60700</v>
      </c>
      <c r="H4954" s="13" t="s">
        <v>7342</v>
      </c>
      <c r="I4954" s="40" t="s">
        <v>18</v>
      </c>
      <c r="J4954" s="40" t="str">
        <f>HYPERLINK("https://stock.pstatic.net/stock-research/company/57/20260211_company_703160000.pdf","PDF")</f>
        <v>PDF</v>
      </c>
      <c r="K4954" s="12" t="s">
        <v>7343</v>
      </c>
      <c r="L4954" s="20">
        <v>0.25205930807248772</v>
      </c>
    </row>
    <row r="4955" spans="1:12" x14ac:dyDescent="0.45">
      <c r="A4955" s="12" t="s">
        <v>7311</v>
      </c>
      <c r="B4955" s="12" t="s">
        <v>533</v>
      </c>
      <c r="C4955" s="13" t="s">
        <v>534</v>
      </c>
      <c r="D4955" s="13" t="s">
        <v>65</v>
      </c>
      <c r="E4955" s="12" t="s">
        <v>35</v>
      </c>
      <c r="F4955" s="14">
        <v>76000</v>
      </c>
      <c r="G4955" s="14">
        <v>60700</v>
      </c>
      <c r="H4955" s="13" t="s">
        <v>7344</v>
      </c>
      <c r="I4955" s="40" t="s">
        <v>18</v>
      </c>
      <c r="J4955" s="40" t="str">
        <f>HYPERLINK("https://stock.pstatic.net/stock-research/company/57/20260211_company_987259000.pdf","PDF")</f>
        <v>PDF</v>
      </c>
      <c r="K4955" s="12" t="s">
        <v>7345</v>
      </c>
      <c r="L4955" s="20">
        <v>0.25205930807248772</v>
      </c>
    </row>
    <row r="4956" spans="1:12" x14ac:dyDescent="0.45">
      <c r="A4956" s="12" t="s">
        <v>7311</v>
      </c>
      <c r="B4956" s="12" t="s">
        <v>1930</v>
      </c>
      <c r="C4956" s="13" t="s">
        <v>1931</v>
      </c>
      <c r="D4956" s="13" t="s">
        <v>65</v>
      </c>
      <c r="E4956" s="12" t="s">
        <v>35</v>
      </c>
      <c r="F4956" s="14">
        <v>300000</v>
      </c>
      <c r="G4956" s="14">
        <v>228500</v>
      </c>
      <c r="H4956" s="13" t="s">
        <v>7346</v>
      </c>
      <c r="I4956" s="40" t="s">
        <v>18</v>
      </c>
      <c r="J4956" s="40" t="str">
        <f>HYPERLINK("https://stock.pstatic.net/stock-research/company/57/20260211_company_329921000.pdf","PDF")</f>
        <v>PDF</v>
      </c>
      <c r="K4956" s="12" t="s">
        <v>7347</v>
      </c>
      <c r="L4956" s="20">
        <v>0.31291028446389502</v>
      </c>
    </row>
    <row r="4957" spans="1:12" x14ac:dyDescent="0.45">
      <c r="A4957" s="12" t="s">
        <v>7311</v>
      </c>
      <c r="B4957" s="12" t="s">
        <v>375</v>
      </c>
      <c r="C4957" s="13" t="s">
        <v>376</v>
      </c>
      <c r="D4957" s="13" t="s">
        <v>60</v>
      </c>
      <c r="E4957" s="12" t="s">
        <v>35</v>
      </c>
      <c r="F4957" s="14">
        <v>35000</v>
      </c>
      <c r="G4957" s="14">
        <v>26700</v>
      </c>
      <c r="H4957" s="13" t="s">
        <v>7348</v>
      </c>
      <c r="I4957" s="40" t="s">
        <v>18</v>
      </c>
      <c r="J4957" s="40" t="str">
        <f>HYPERLINK("https://stock.pstatic.net/stock-research/company/62/20260211_company_809427000.pdf","PDF")</f>
        <v>PDF</v>
      </c>
      <c r="K4957" s="12" t="s">
        <v>7349</v>
      </c>
      <c r="L4957" s="20">
        <v>0.31086142322097382</v>
      </c>
    </row>
    <row r="4958" spans="1:12" x14ac:dyDescent="0.45">
      <c r="A4958" s="12" t="s">
        <v>7311</v>
      </c>
      <c r="B4958" s="12" t="s">
        <v>375</v>
      </c>
      <c r="C4958" s="13" t="s">
        <v>376</v>
      </c>
      <c r="D4958" s="13" t="s">
        <v>65</v>
      </c>
      <c r="E4958" s="12" t="s">
        <v>35</v>
      </c>
      <c r="F4958" s="14">
        <v>36000</v>
      </c>
      <c r="G4958" s="14">
        <v>26700</v>
      </c>
      <c r="H4958" s="13" t="s">
        <v>7350</v>
      </c>
      <c r="I4958" s="40" t="s">
        <v>18</v>
      </c>
      <c r="J4958" s="40" t="str">
        <f>HYPERLINK("https://stock.pstatic.net/stock-research/company/57/20260211_company_139804000.pdf","PDF")</f>
        <v>PDF</v>
      </c>
      <c r="K4958" s="12" t="s">
        <v>7351</v>
      </c>
      <c r="L4958" s="20">
        <v>0.34831460674157311</v>
      </c>
    </row>
    <row r="4959" spans="1:12" x14ac:dyDescent="0.45">
      <c r="A4959" s="12" t="s">
        <v>7311</v>
      </c>
      <c r="B4959" s="12" t="s">
        <v>1682</v>
      </c>
      <c r="C4959" s="13" t="s">
        <v>4787</v>
      </c>
      <c r="D4959" s="13" t="s">
        <v>65</v>
      </c>
      <c r="E4959" s="12" t="s">
        <v>35</v>
      </c>
      <c r="F4959" s="14">
        <v>320000</v>
      </c>
      <c r="G4959" s="14">
        <v>203500</v>
      </c>
      <c r="H4959" s="13" t="s">
        <v>7352</v>
      </c>
      <c r="I4959" s="40" t="s">
        <v>18</v>
      </c>
      <c r="J4959" s="40" t="str">
        <f>HYPERLINK("https://stock.pstatic.net/stock-research/company/57/20260211_company_933615000.pdf","PDF")</f>
        <v>PDF</v>
      </c>
      <c r="K4959" s="12" t="s">
        <v>7353</v>
      </c>
      <c r="L4959" s="20">
        <v>0.5724815724815725</v>
      </c>
    </row>
    <row r="4960" spans="1:12" x14ac:dyDescent="0.45">
      <c r="A4960" s="12" t="s">
        <v>7311</v>
      </c>
      <c r="B4960" s="12" t="s">
        <v>1930</v>
      </c>
      <c r="C4960" s="13" t="s">
        <v>1931</v>
      </c>
      <c r="D4960" s="13" t="s">
        <v>60</v>
      </c>
      <c r="E4960" s="12" t="s">
        <v>35</v>
      </c>
      <c r="F4960" s="14">
        <v>270000</v>
      </c>
      <c r="G4960" s="13"/>
      <c r="H4960" s="13" t="s">
        <v>7354</v>
      </c>
      <c r="I4960" s="40" t="s">
        <v>18</v>
      </c>
      <c r="J4960" s="40" t="str">
        <f>HYPERLINK("https://stock.pstatic.net/stock-research/company/62/20260211_company_510243000.pdf","PDF")</f>
        <v>PDF</v>
      </c>
      <c r="K4960" s="12" t="s">
        <v>7355</v>
      </c>
    </row>
    <row r="4961" spans="1:12" x14ac:dyDescent="0.45">
      <c r="A4961" s="12" t="s">
        <v>7311</v>
      </c>
      <c r="B4961" s="12" t="s">
        <v>81</v>
      </c>
      <c r="C4961" s="13" t="s">
        <v>82</v>
      </c>
      <c r="D4961" s="13" t="s">
        <v>65</v>
      </c>
      <c r="E4961" s="12" t="s">
        <v>35</v>
      </c>
      <c r="F4961" s="14">
        <v>37000</v>
      </c>
      <c r="G4961" s="14">
        <v>28450</v>
      </c>
      <c r="H4961" s="13" t="s">
        <v>7356</v>
      </c>
      <c r="I4961" s="40" t="s">
        <v>18</v>
      </c>
      <c r="J4961" s="40" t="str">
        <f>HYPERLINK("https://stock.pstatic.net/stock-research/company/57/20260211_company_127048000.pdf","PDF")</f>
        <v>PDF</v>
      </c>
      <c r="K4961" s="12" t="s">
        <v>7357</v>
      </c>
      <c r="L4961" s="20">
        <v>0.30052724077328652</v>
      </c>
    </row>
    <row r="4962" spans="1:12" x14ac:dyDescent="0.45">
      <c r="A4962" s="12" t="s">
        <v>7311</v>
      </c>
      <c r="B4962" s="12" t="s">
        <v>1682</v>
      </c>
      <c r="C4962" s="13" t="s">
        <v>4787</v>
      </c>
      <c r="D4962" s="13" t="s">
        <v>57</v>
      </c>
      <c r="E4962" s="12" t="s">
        <v>35</v>
      </c>
      <c r="F4962" s="14">
        <v>280000</v>
      </c>
      <c r="G4962" s="14">
        <v>203500</v>
      </c>
      <c r="H4962" s="13" t="s">
        <v>7358</v>
      </c>
      <c r="I4962" s="40" t="s">
        <v>18</v>
      </c>
      <c r="J4962" s="40" t="str">
        <f>HYPERLINK("https://stock.pstatic.net/stock-research/company/16/20260211_company_335209000.pdf","PDF")</f>
        <v>PDF</v>
      </c>
      <c r="K4962" s="12" t="s">
        <v>7359</v>
      </c>
      <c r="L4962" s="20">
        <v>0.37592137592137592</v>
      </c>
    </row>
    <row r="4963" spans="1:12" x14ac:dyDescent="0.45">
      <c r="A4963" s="12" t="s">
        <v>7311</v>
      </c>
      <c r="B4963" s="12" t="s">
        <v>1270</v>
      </c>
      <c r="C4963" s="13" t="s">
        <v>1271</v>
      </c>
      <c r="D4963" s="13" t="s">
        <v>65</v>
      </c>
      <c r="E4963" s="12" t="s">
        <v>35</v>
      </c>
      <c r="F4963" s="14">
        <v>130000</v>
      </c>
      <c r="G4963" s="14">
        <v>95600</v>
      </c>
      <c r="H4963" s="13" t="s">
        <v>7360</v>
      </c>
      <c r="I4963" s="40" t="s">
        <v>18</v>
      </c>
      <c r="J4963" s="40" t="str">
        <f>HYPERLINK("https://stock.pstatic.net/stock-research/company/57/20260211_company_702513000.pdf","PDF")</f>
        <v>PDF</v>
      </c>
      <c r="K4963" s="12" t="s">
        <v>7361</v>
      </c>
      <c r="L4963" s="20">
        <v>0.35983263598326359</v>
      </c>
    </row>
    <row r="4964" spans="1:12" x14ac:dyDescent="0.45">
      <c r="A4964" s="12" t="s">
        <v>7311</v>
      </c>
      <c r="B4964" s="12" t="s">
        <v>426</v>
      </c>
      <c r="C4964" s="13" t="s">
        <v>427</v>
      </c>
      <c r="D4964" s="13" t="s">
        <v>57</v>
      </c>
      <c r="E4964" s="12" t="s">
        <v>35</v>
      </c>
      <c r="F4964" s="14">
        <v>30000</v>
      </c>
      <c r="G4964" s="14">
        <v>21250</v>
      </c>
      <c r="H4964" s="13" t="s">
        <v>7362</v>
      </c>
      <c r="I4964" s="40" t="s">
        <v>18</v>
      </c>
      <c r="J4964" s="40" t="str">
        <f>HYPERLINK("https://stock.pstatic.net/stock-research/company/16/20260211_company_392563000.pdf","PDF")</f>
        <v>PDF</v>
      </c>
      <c r="K4964" s="12" t="s">
        <v>7363</v>
      </c>
      <c r="L4964" s="20">
        <v>0.41176470588235292</v>
      </c>
    </row>
    <row r="4965" spans="1:12" x14ac:dyDescent="0.45">
      <c r="A4965" s="12" t="s">
        <v>7311</v>
      </c>
      <c r="B4965" s="12" t="s">
        <v>1097</v>
      </c>
      <c r="C4965" s="13" t="s">
        <v>1098</v>
      </c>
      <c r="D4965" s="13" t="s">
        <v>57</v>
      </c>
      <c r="E4965" s="12" t="s">
        <v>35</v>
      </c>
      <c r="F4965" s="14">
        <v>160000</v>
      </c>
      <c r="G4965" s="14">
        <v>126200</v>
      </c>
      <c r="H4965" s="13" t="s">
        <v>7364</v>
      </c>
      <c r="I4965" s="40" t="s">
        <v>18</v>
      </c>
      <c r="J4965" s="40" t="str">
        <f>HYPERLINK("https://stock.pstatic.net/stock-research/company/-/20260211_company_931500000.pdf","PDF")</f>
        <v>PDF</v>
      </c>
      <c r="K4965" s="12" t="s">
        <v>7365</v>
      </c>
      <c r="L4965" s="20">
        <v>0.26782884310618071</v>
      </c>
    </row>
    <row r="4966" spans="1:12" x14ac:dyDescent="0.45">
      <c r="A4966" s="12" t="s">
        <v>7311</v>
      </c>
      <c r="B4966" s="12" t="s">
        <v>1773</v>
      </c>
      <c r="C4966" s="13" t="s">
        <v>1774</v>
      </c>
      <c r="D4966" s="13" t="s">
        <v>158</v>
      </c>
      <c r="E4966" s="12" t="s">
        <v>35</v>
      </c>
      <c r="F4966" s="14">
        <v>170000</v>
      </c>
      <c r="G4966" s="14">
        <v>136700</v>
      </c>
      <c r="H4966" s="13" t="s">
        <v>7366</v>
      </c>
      <c r="I4966" s="40" t="s">
        <v>18</v>
      </c>
      <c r="J4966" s="40" t="str">
        <f>HYPERLINK("https://stock.pstatic.net/stock-research/company/18/20260211_company_105062000.pdf","PDF")</f>
        <v>PDF</v>
      </c>
      <c r="K4966" s="12" t="s">
        <v>7367</v>
      </c>
      <c r="L4966" s="20">
        <v>0.2435991221653255</v>
      </c>
    </row>
    <row r="4967" spans="1:12" x14ac:dyDescent="0.45">
      <c r="A4967" s="12" t="s">
        <v>7311</v>
      </c>
      <c r="B4967" s="12" t="s">
        <v>533</v>
      </c>
      <c r="C4967" s="13" t="s">
        <v>534</v>
      </c>
      <c r="D4967" s="13" t="s">
        <v>158</v>
      </c>
      <c r="E4967" s="12" t="s">
        <v>35</v>
      </c>
      <c r="F4967" s="14">
        <v>73000</v>
      </c>
      <c r="G4967" s="14">
        <v>60700</v>
      </c>
      <c r="H4967" s="13" t="s">
        <v>7368</v>
      </c>
      <c r="I4967" s="40" t="s">
        <v>18</v>
      </c>
      <c r="J4967" s="40" t="str">
        <f>HYPERLINK("https://stock.pstatic.net/stock-research/company/18/20260211_company_976424000.pdf","PDF")</f>
        <v>PDF</v>
      </c>
      <c r="K4967" s="12" t="s">
        <v>7369</v>
      </c>
      <c r="L4967" s="20">
        <v>0.20263591433278419</v>
      </c>
    </row>
    <row r="4968" spans="1:12" x14ac:dyDescent="0.45">
      <c r="A4968" s="12" t="s">
        <v>7311</v>
      </c>
      <c r="B4968" s="12" t="s">
        <v>170</v>
      </c>
      <c r="C4968" s="13" t="s">
        <v>171</v>
      </c>
      <c r="D4968" s="13" t="s">
        <v>57</v>
      </c>
      <c r="E4968" s="12" t="s">
        <v>35</v>
      </c>
      <c r="F4968" s="14">
        <v>94000</v>
      </c>
      <c r="G4968" s="14">
        <v>77500</v>
      </c>
      <c r="H4968" s="13" t="s">
        <v>7370</v>
      </c>
      <c r="I4968" s="40" t="s">
        <v>18</v>
      </c>
      <c r="J4968" s="40" t="str">
        <f>HYPERLINK("https://stock.pstatic.net/stock-research/company/16/20260211_company_931155000.pdf","PDF")</f>
        <v>PDF</v>
      </c>
      <c r="K4968" s="12" t="s">
        <v>7371</v>
      </c>
      <c r="L4968" s="20">
        <v>0.2129032258064516</v>
      </c>
    </row>
    <row r="4969" spans="1:12" x14ac:dyDescent="0.45">
      <c r="A4969" s="12" t="s">
        <v>7311</v>
      </c>
      <c r="B4969" s="12" t="s">
        <v>2205</v>
      </c>
      <c r="C4969" s="13" t="s">
        <v>2206</v>
      </c>
      <c r="D4969" s="13" t="s">
        <v>158</v>
      </c>
      <c r="E4969" s="12" t="s">
        <v>35</v>
      </c>
      <c r="F4969" s="14">
        <v>83000</v>
      </c>
      <c r="G4969" s="14">
        <v>61800</v>
      </c>
      <c r="H4969" s="13" t="s">
        <v>7372</v>
      </c>
      <c r="I4969" s="40" t="s">
        <v>18</v>
      </c>
      <c r="J4969" s="40" t="str">
        <f>HYPERLINK("https://stock.pstatic.net/stock-research/company/18/20260211_company_470872000.pdf","PDF")</f>
        <v>PDF</v>
      </c>
      <c r="K4969" s="12" t="s">
        <v>7373</v>
      </c>
      <c r="L4969" s="20">
        <v>0.34304207119741098</v>
      </c>
    </row>
    <row r="4970" spans="1:12" x14ac:dyDescent="0.45">
      <c r="A4970" s="12" t="s">
        <v>7311</v>
      </c>
      <c r="B4970" s="12" t="s">
        <v>2522</v>
      </c>
      <c r="C4970" s="13" t="s">
        <v>2523</v>
      </c>
      <c r="D4970" s="13" t="s">
        <v>158</v>
      </c>
      <c r="E4970" s="12" t="s">
        <v>35</v>
      </c>
      <c r="F4970" s="14">
        <v>300000</v>
      </c>
      <c r="G4970" s="14">
        <v>236500</v>
      </c>
      <c r="H4970" s="13" t="s">
        <v>7374</v>
      </c>
      <c r="I4970" s="40" t="s">
        <v>18</v>
      </c>
      <c r="J4970" s="40" t="str">
        <f>HYPERLINK("https://stock.pstatic.net/stock-research/company/18/20260211_company_762313000.pdf","PDF")</f>
        <v>PDF</v>
      </c>
      <c r="K4970" s="12" t="s">
        <v>7375</v>
      </c>
      <c r="L4970" s="20">
        <v>0.26849894291754761</v>
      </c>
    </row>
    <row r="4971" spans="1:12" x14ac:dyDescent="0.45">
      <c r="A4971" s="12" t="s">
        <v>7311</v>
      </c>
      <c r="B4971" s="12" t="s">
        <v>3478</v>
      </c>
      <c r="C4971" s="13" t="s">
        <v>3479</v>
      </c>
      <c r="D4971" s="13" t="s">
        <v>1271</v>
      </c>
      <c r="E4971" s="12" t="s">
        <v>35</v>
      </c>
      <c r="F4971" s="14">
        <v>41000</v>
      </c>
      <c r="G4971" s="14">
        <v>31250</v>
      </c>
      <c r="H4971" s="13" t="s">
        <v>7376</v>
      </c>
      <c r="I4971" s="40" t="s">
        <v>18</v>
      </c>
      <c r="J4971" s="40" t="str">
        <f>HYPERLINK("https://stock.pstatic.net/stock-research/company/78/20260211_company_707141000.pdf","PDF")</f>
        <v>PDF</v>
      </c>
      <c r="K4971" s="12" t="s">
        <v>7377</v>
      </c>
      <c r="L4971" s="20">
        <v>0.312</v>
      </c>
    </row>
    <row r="4972" spans="1:12" x14ac:dyDescent="0.45">
      <c r="A4972" s="12" t="s">
        <v>7311</v>
      </c>
      <c r="B4972" s="12" t="s">
        <v>1930</v>
      </c>
      <c r="C4972" s="13" t="s">
        <v>1931</v>
      </c>
      <c r="D4972" s="13" t="s">
        <v>57</v>
      </c>
      <c r="E4972" s="12" t="s">
        <v>159</v>
      </c>
      <c r="F4972" s="14">
        <v>210000</v>
      </c>
      <c r="G4972" s="14">
        <v>219000</v>
      </c>
      <c r="H4972" s="13" t="s">
        <v>7378</v>
      </c>
      <c r="I4972" s="40" t="s">
        <v>18</v>
      </c>
      <c r="J4972" s="40" t="str">
        <f>HYPERLINK("https://stock.pstatic.net/stock-research/company/16/20260211_company_286721000.pdf","PDF")</f>
        <v>PDF</v>
      </c>
      <c r="K4972" s="12" t="s">
        <v>7379</v>
      </c>
      <c r="L4972" s="20">
        <v>-4.1095890410958902E-2</v>
      </c>
    </row>
    <row r="4973" spans="1:12" x14ac:dyDescent="0.45">
      <c r="A4973" s="12" t="s">
        <v>7311</v>
      </c>
      <c r="B4973" s="12" t="s">
        <v>1051</v>
      </c>
      <c r="C4973" s="13" t="s">
        <v>1052</v>
      </c>
      <c r="D4973" s="13" t="s">
        <v>1271</v>
      </c>
      <c r="E4973" s="12" t="s">
        <v>35</v>
      </c>
      <c r="F4973" s="14">
        <v>85000</v>
      </c>
      <c r="G4973" s="14">
        <v>65100</v>
      </c>
      <c r="H4973" s="13" t="s">
        <v>7380</v>
      </c>
      <c r="I4973" s="40" t="s">
        <v>18</v>
      </c>
      <c r="J4973" s="40" t="str">
        <f>HYPERLINK("https://stock.pstatic.net/stock-research/company/78/20260211_company_300515000.pdf","PDF")</f>
        <v>PDF</v>
      </c>
      <c r="K4973" s="12" t="s">
        <v>7381</v>
      </c>
      <c r="L4973" s="20">
        <v>0.30568356374807992</v>
      </c>
    </row>
    <row r="4974" spans="1:12" x14ac:dyDescent="0.45">
      <c r="A4974" s="12" t="s">
        <v>7311</v>
      </c>
      <c r="B4974" s="12" t="s">
        <v>1849</v>
      </c>
      <c r="C4974" s="13" t="s">
        <v>1850</v>
      </c>
      <c r="D4974" s="13" t="s">
        <v>1271</v>
      </c>
      <c r="E4974" s="12" t="s">
        <v>35</v>
      </c>
      <c r="F4974" s="14">
        <v>25000</v>
      </c>
      <c r="G4974" s="14">
        <v>18810</v>
      </c>
      <c r="H4974" s="13" t="s">
        <v>7382</v>
      </c>
      <c r="I4974" s="40" t="s">
        <v>18</v>
      </c>
      <c r="J4974" s="40" t="str">
        <f>HYPERLINK("https://stock.pstatic.net/stock-research/company/78/20260211_company_350590000.pdf","PDF")</f>
        <v>PDF</v>
      </c>
      <c r="K4974" s="12" t="s">
        <v>7383</v>
      </c>
      <c r="L4974" s="20">
        <v>0.32908027644869747</v>
      </c>
    </row>
    <row r="4975" spans="1:12" x14ac:dyDescent="0.45">
      <c r="A4975" s="12" t="s">
        <v>7311</v>
      </c>
      <c r="B4975" s="12" t="s">
        <v>880</v>
      </c>
      <c r="C4975" s="13" t="s">
        <v>881</v>
      </c>
      <c r="D4975" s="13" t="s">
        <v>57</v>
      </c>
      <c r="E4975" s="12" t="s">
        <v>35</v>
      </c>
      <c r="F4975" s="14">
        <v>18000</v>
      </c>
      <c r="G4975" s="14">
        <v>13160</v>
      </c>
      <c r="H4975" s="13" t="s">
        <v>7384</v>
      </c>
      <c r="I4975" s="40" t="s">
        <v>18</v>
      </c>
      <c r="J4975" s="40" t="str">
        <f>HYPERLINK("https://stock.pstatic.net/stock-research/company/16/20260211_company_605429000.pdf","PDF")</f>
        <v>PDF</v>
      </c>
      <c r="K4975" s="12" t="s">
        <v>7385</v>
      </c>
      <c r="L4975" s="20">
        <v>0.36778115501519759</v>
      </c>
    </row>
    <row r="4976" spans="1:12" x14ac:dyDescent="0.45">
      <c r="A4976" s="12" t="s">
        <v>7311</v>
      </c>
      <c r="B4976" s="12" t="s">
        <v>1660</v>
      </c>
      <c r="C4976" s="13" t="s">
        <v>1661</v>
      </c>
      <c r="D4976" s="13" t="s">
        <v>1271</v>
      </c>
      <c r="E4976" s="12" t="s">
        <v>35</v>
      </c>
      <c r="F4976" s="14">
        <v>60000</v>
      </c>
      <c r="G4976" s="14">
        <v>45400</v>
      </c>
      <c r="H4976" s="13" t="s">
        <v>7386</v>
      </c>
      <c r="I4976" s="40" t="s">
        <v>18</v>
      </c>
      <c r="J4976" s="40" t="str">
        <f>HYPERLINK("https://stock.pstatic.net/stock-research/company/78/20260211_company_139065000.pdf","PDF")</f>
        <v>PDF</v>
      </c>
      <c r="K4976" s="12" t="s">
        <v>7387</v>
      </c>
      <c r="L4976" s="20">
        <v>0.32158590308370039</v>
      </c>
    </row>
    <row r="4977" spans="1:12" x14ac:dyDescent="0.45">
      <c r="A4977" s="12" t="s">
        <v>7311</v>
      </c>
      <c r="B4977" s="12" t="s">
        <v>1666</v>
      </c>
      <c r="C4977" s="13" t="s">
        <v>1667</v>
      </c>
      <c r="D4977" s="13" t="s">
        <v>1271</v>
      </c>
      <c r="E4977" s="12" t="s">
        <v>35</v>
      </c>
      <c r="F4977" s="14">
        <v>74000</v>
      </c>
      <c r="G4977" s="14">
        <v>50800</v>
      </c>
      <c r="H4977" s="13" t="s">
        <v>7388</v>
      </c>
      <c r="I4977" s="40" t="s">
        <v>18</v>
      </c>
      <c r="J4977" s="40" t="str">
        <f>HYPERLINK("https://stock.pstatic.net/stock-research/company/78/20260211_company_538090000.pdf","PDF")</f>
        <v>PDF</v>
      </c>
      <c r="K4977" s="12" t="s">
        <v>7389</v>
      </c>
      <c r="L4977" s="20">
        <v>0.45669291338582679</v>
      </c>
    </row>
    <row r="4978" spans="1:12" x14ac:dyDescent="0.45">
      <c r="A4978" s="12" t="s">
        <v>7311</v>
      </c>
      <c r="B4978" s="12" t="s">
        <v>2911</v>
      </c>
      <c r="C4978" s="13" t="s">
        <v>2912</v>
      </c>
      <c r="D4978" s="13" t="s">
        <v>1271</v>
      </c>
      <c r="E4978" s="12" t="s">
        <v>35</v>
      </c>
      <c r="F4978" s="14">
        <v>24000</v>
      </c>
      <c r="G4978" s="14">
        <v>19140</v>
      </c>
      <c r="H4978" s="13" t="s">
        <v>7390</v>
      </c>
      <c r="I4978" s="40" t="s">
        <v>18</v>
      </c>
      <c r="J4978" s="40" t="str">
        <f>HYPERLINK("https://stock.pstatic.net/stock-research/company/78/20260211_company_746345000.pdf","PDF")</f>
        <v>PDF</v>
      </c>
      <c r="K4978" s="12" t="s">
        <v>7391</v>
      </c>
      <c r="L4978" s="20">
        <v>0.25391849529780558</v>
      </c>
    </row>
    <row r="4979" spans="1:12" x14ac:dyDescent="0.45">
      <c r="A4979" s="12" t="s">
        <v>7311</v>
      </c>
      <c r="B4979" s="12" t="s">
        <v>3831</v>
      </c>
      <c r="C4979" s="13" t="s">
        <v>3832</v>
      </c>
      <c r="D4979" s="13" t="s">
        <v>1271</v>
      </c>
      <c r="E4979" s="12" t="s">
        <v>35</v>
      </c>
      <c r="F4979" s="14">
        <v>75000</v>
      </c>
      <c r="G4979" s="14">
        <v>61500</v>
      </c>
      <c r="H4979" s="13" t="s">
        <v>7392</v>
      </c>
      <c r="I4979" s="40" t="s">
        <v>18</v>
      </c>
      <c r="J4979" s="40" t="str">
        <f>HYPERLINK("https://stock.pstatic.net/stock-research/company/78/20260211_company_91427000.pdf","PDF")</f>
        <v>PDF</v>
      </c>
      <c r="K4979" s="12" t="s">
        <v>7393</v>
      </c>
      <c r="L4979" s="20">
        <v>0.21951219512195119</v>
      </c>
    </row>
    <row r="4980" spans="1:12" x14ac:dyDescent="0.45">
      <c r="A4980" s="12" t="s">
        <v>7311</v>
      </c>
      <c r="B4980" s="12" t="s">
        <v>1184</v>
      </c>
      <c r="C4980" s="13" t="s">
        <v>1185</v>
      </c>
      <c r="D4980" s="13" t="s">
        <v>1271</v>
      </c>
      <c r="E4980" s="12" t="s">
        <v>35</v>
      </c>
      <c r="F4980" s="14">
        <v>28000</v>
      </c>
      <c r="G4980" s="14">
        <v>23550</v>
      </c>
      <c r="H4980" s="13" t="s">
        <v>7394</v>
      </c>
      <c r="I4980" s="40" t="s">
        <v>18</v>
      </c>
      <c r="J4980" s="40" t="str">
        <f>HYPERLINK("https://stock.pstatic.net/stock-research/company/78/20260211_company_11201000.pdf","PDF")</f>
        <v>PDF</v>
      </c>
      <c r="K4980" s="12" t="s">
        <v>7395</v>
      </c>
      <c r="L4980" s="20">
        <v>0.1889596602972399</v>
      </c>
    </row>
    <row r="4981" spans="1:12" x14ac:dyDescent="0.45">
      <c r="A4981" s="12" t="s">
        <v>7311</v>
      </c>
      <c r="B4981" s="12" t="s">
        <v>3182</v>
      </c>
      <c r="C4981" s="13" t="s">
        <v>3183</v>
      </c>
      <c r="D4981" s="13" t="s">
        <v>1271</v>
      </c>
      <c r="E4981" s="12" t="s">
        <v>35</v>
      </c>
      <c r="F4981" s="14">
        <v>1020000</v>
      </c>
      <c r="G4981" s="14">
        <v>840000</v>
      </c>
      <c r="H4981" s="13" t="s">
        <v>7396</v>
      </c>
      <c r="I4981" s="40" t="s">
        <v>18</v>
      </c>
      <c r="J4981" s="40" t="str">
        <f>HYPERLINK("https://stock.pstatic.net/stock-research/company/78/20260211_company_672736000.pdf","PDF")</f>
        <v>PDF</v>
      </c>
      <c r="K4981" s="12" t="s">
        <v>7397</v>
      </c>
      <c r="L4981" s="20">
        <v>0.2142857142857143</v>
      </c>
    </row>
    <row r="4982" spans="1:12" x14ac:dyDescent="0.45">
      <c r="A4982" s="12" t="s">
        <v>7311</v>
      </c>
      <c r="B4982" s="12" t="s">
        <v>2956</v>
      </c>
      <c r="C4982" s="13" t="s">
        <v>2957</v>
      </c>
      <c r="D4982" s="13" t="s">
        <v>1271</v>
      </c>
      <c r="E4982" s="12" t="s">
        <v>35</v>
      </c>
      <c r="F4982" s="14">
        <v>25000</v>
      </c>
      <c r="G4982" s="14">
        <v>19110</v>
      </c>
      <c r="H4982" s="13" t="s">
        <v>7398</v>
      </c>
      <c r="I4982" s="40" t="s">
        <v>18</v>
      </c>
      <c r="J4982" s="40" t="str">
        <f>HYPERLINK("https://stock.pstatic.net/stock-research/company/78/20260211_company_301669000.pdf","PDF")</f>
        <v>PDF</v>
      </c>
      <c r="K4982" s="12" t="s">
        <v>7399</v>
      </c>
      <c r="L4982" s="20">
        <v>0.30821559392987963</v>
      </c>
    </row>
    <row r="4983" spans="1:12" x14ac:dyDescent="0.45">
      <c r="A4983" s="12" t="s">
        <v>7311</v>
      </c>
      <c r="B4983" s="12" t="s">
        <v>1773</v>
      </c>
      <c r="C4983" s="13" t="s">
        <v>1774</v>
      </c>
      <c r="D4983" s="13" t="s">
        <v>23</v>
      </c>
      <c r="E4983" s="12" t="s">
        <v>16</v>
      </c>
      <c r="F4983" s="14">
        <v>180000</v>
      </c>
      <c r="G4983" s="14">
        <v>136700</v>
      </c>
      <c r="H4983" s="13" t="s">
        <v>7400</v>
      </c>
      <c r="I4983" s="40" t="s">
        <v>18</v>
      </c>
      <c r="J4983" s="40" t="str">
        <f>HYPERLINK("https://stock.pstatic.net/stock-research/company/21/20260211_company_169050000.pdf","PDF")</f>
        <v>PDF</v>
      </c>
      <c r="K4983" s="12" t="s">
        <v>7401</v>
      </c>
      <c r="L4983" s="20">
        <v>0.31675201170446232</v>
      </c>
    </row>
    <row r="4984" spans="1:12" x14ac:dyDescent="0.45">
      <c r="A4984" s="12" t="s">
        <v>7311</v>
      </c>
      <c r="B4984" s="12" t="s">
        <v>1097</v>
      </c>
      <c r="C4984" s="13" t="s">
        <v>1098</v>
      </c>
      <c r="D4984" s="13" t="s">
        <v>15</v>
      </c>
      <c r="E4984" s="12" t="s">
        <v>16</v>
      </c>
      <c r="F4984" s="14">
        <v>160000</v>
      </c>
      <c r="G4984" s="14">
        <v>126200</v>
      </c>
      <c r="H4984" s="13" t="s">
        <v>7402</v>
      </c>
      <c r="I4984" s="40" t="s">
        <v>18</v>
      </c>
      <c r="J4984" s="40" t="str">
        <f>HYPERLINK("https://stock.pstatic.net/stock-research/company/56/20260211_company_917948000.pdf","PDF")</f>
        <v>PDF</v>
      </c>
      <c r="K4984" s="12" t="s">
        <v>7403</v>
      </c>
      <c r="L4984" s="20">
        <v>0.26782884310618071</v>
      </c>
    </row>
    <row r="4985" spans="1:12" x14ac:dyDescent="0.45">
      <c r="A4985" s="12" t="s">
        <v>7311</v>
      </c>
      <c r="B4985" s="12" t="s">
        <v>3399</v>
      </c>
      <c r="C4985" s="13" t="s">
        <v>3400</v>
      </c>
      <c r="D4985" s="13" t="s">
        <v>15</v>
      </c>
      <c r="E4985" s="12" t="s">
        <v>16</v>
      </c>
      <c r="F4985" s="14">
        <v>32000</v>
      </c>
      <c r="G4985" s="14">
        <v>19220</v>
      </c>
      <c r="H4985" s="13" t="s">
        <v>7404</v>
      </c>
      <c r="I4985" s="40" t="s">
        <v>18</v>
      </c>
      <c r="J4985" s="40" t="str">
        <f>HYPERLINK("https://stock.pstatic.net/stock-research/company/56/20260211_company_376346000.pdf","PDF")</f>
        <v>PDF</v>
      </c>
      <c r="K4985" s="12" t="s">
        <v>7405</v>
      </c>
      <c r="L4985" s="20">
        <v>0.66493236212278872</v>
      </c>
    </row>
    <row r="4986" spans="1:12" x14ac:dyDescent="0.45">
      <c r="A4986" s="12" t="s">
        <v>7311</v>
      </c>
      <c r="B4986" s="12" t="s">
        <v>1047</v>
      </c>
      <c r="C4986" s="13" t="s">
        <v>1048</v>
      </c>
      <c r="D4986" s="13" t="s">
        <v>83</v>
      </c>
      <c r="E4986" s="12" t="s">
        <v>35</v>
      </c>
      <c r="F4986" s="14">
        <v>17000</v>
      </c>
      <c r="G4986" s="14">
        <v>11720</v>
      </c>
      <c r="H4986" s="13" t="s">
        <v>7406</v>
      </c>
      <c r="I4986" s="40" t="s">
        <v>18</v>
      </c>
      <c r="J4986" s="40" t="str">
        <f>HYPERLINK("https://stock.pstatic.net/stock-research/company/15/20260211_company_238308000.pdf","PDF")</f>
        <v>PDF</v>
      </c>
      <c r="K4986" s="12" t="s">
        <v>7407</v>
      </c>
      <c r="L4986" s="20">
        <v>0.45051194539249151</v>
      </c>
    </row>
    <row r="4987" spans="1:12" x14ac:dyDescent="0.45">
      <c r="A4987" s="12" t="s">
        <v>7311</v>
      </c>
      <c r="B4987" s="12" t="s">
        <v>1097</v>
      </c>
      <c r="C4987" s="13" t="s">
        <v>1098</v>
      </c>
      <c r="D4987" s="13" t="s">
        <v>83</v>
      </c>
      <c r="E4987" s="12" t="s">
        <v>35</v>
      </c>
      <c r="F4987" s="14">
        <v>170000</v>
      </c>
      <c r="G4987" s="14">
        <v>126200</v>
      </c>
      <c r="H4987" s="13" t="s">
        <v>7408</v>
      </c>
      <c r="I4987" s="40" t="s">
        <v>18</v>
      </c>
      <c r="J4987" s="40" t="str">
        <f>HYPERLINK("https://stock.pstatic.net/stock-research/company/15/20260211_company_795370000.pdf","PDF")</f>
        <v>PDF</v>
      </c>
      <c r="K4987" s="12" t="s">
        <v>7409</v>
      </c>
      <c r="L4987" s="20">
        <v>0.34706814580031697</v>
      </c>
    </row>
    <row r="4988" spans="1:12" x14ac:dyDescent="0.45">
      <c r="A4988" s="12" t="s">
        <v>7311</v>
      </c>
      <c r="B4988" s="12" t="s">
        <v>2867</v>
      </c>
      <c r="C4988" s="13" t="s">
        <v>2868</v>
      </c>
      <c r="D4988" s="13" t="s">
        <v>83</v>
      </c>
      <c r="E4988" s="12" t="s">
        <v>35</v>
      </c>
      <c r="F4988" s="14">
        <v>9000</v>
      </c>
      <c r="G4988" s="14">
        <v>7280</v>
      </c>
      <c r="H4988" s="13" t="s">
        <v>7410</v>
      </c>
      <c r="I4988" s="40" t="s">
        <v>18</v>
      </c>
      <c r="J4988" s="40" t="str">
        <f>HYPERLINK("https://stock.pstatic.net/stock-research/company/15/20260211_company_127713000.pdf","PDF")</f>
        <v>PDF</v>
      </c>
      <c r="K4988" s="12" t="s">
        <v>7411</v>
      </c>
      <c r="L4988" s="20">
        <v>0.23626373626373631</v>
      </c>
    </row>
    <row r="4989" spans="1:12" x14ac:dyDescent="0.45">
      <c r="A4989" s="12" t="s">
        <v>7311</v>
      </c>
      <c r="B4989" s="12" t="s">
        <v>1781</v>
      </c>
      <c r="C4989" s="13" t="s">
        <v>1782</v>
      </c>
      <c r="D4989" s="13" t="s">
        <v>83</v>
      </c>
      <c r="E4989" s="12" t="s">
        <v>35</v>
      </c>
      <c r="F4989" s="14">
        <v>160000</v>
      </c>
      <c r="G4989" s="14">
        <v>104000</v>
      </c>
      <c r="H4989" s="13" t="s">
        <v>7412</v>
      </c>
      <c r="I4989" s="40" t="s">
        <v>18</v>
      </c>
      <c r="J4989" s="40" t="str">
        <f>HYPERLINK("https://stock.pstatic.net/stock-research/company/15/20260211_company_960823000.pdf","PDF")</f>
        <v>PDF</v>
      </c>
      <c r="K4989" s="12" t="s">
        <v>7413</v>
      </c>
      <c r="L4989" s="20">
        <v>0.53846153846153844</v>
      </c>
    </row>
    <row r="4990" spans="1:12" x14ac:dyDescent="0.45">
      <c r="A4990" s="12" t="s">
        <v>7311</v>
      </c>
      <c r="B4990" s="12" t="s">
        <v>102</v>
      </c>
      <c r="C4990" s="13" t="s">
        <v>103</v>
      </c>
      <c r="D4990" s="13" t="s">
        <v>83</v>
      </c>
      <c r="E4990" s="12" t="s">
        <v>35</v>
      </c>
      <c r="F4990" s="14">
        <v>30000</v>
      </c>
      <c r="G4990" s="14">
        <v>19950</v>
      </c>
      <c r="H4990" s="13" t="s">
        <v>7414</v>
      </c>
      <c r="I4990" s="40" t="s">
        <v>18</v>
      </c>
      <c r="J4990" s="40" t="str">
        <f>HYPERLINK("https://stock.pstatic.net/stock-research/company/15/20260211_company_240394000.pdf","PDF")</f>
        <v>PDF</v>
      </c>
      <c r="K4990" s="12" t="s">
        <v>7415</v>
      </c>
      <c r="L4990" s="20">
        <v>0.50375939849624063</v>
      </c>
    </row>
    <row r="4991" spans="1:12" x14ac:dyDescent="0.45">
      <c r="A4991" s="12" t="s">
        <v>7311</v>
      </c>
      <c r="B4991" s="12" t="s">
        <v>5011</v>
      </c>
      <c r="C4991" s="13" t="s">
        <v>5012</v>
      </c>
      <c r="D4991" s="13" t="s">
        <v>83</v>
      </c>
      <c r="E4991" s="12" t="s">
        <v>50</v>
      </c>
      <c r="F4991" s="13"/>
      <c r="G4991" s="14">
        <v>187000</v>
      </c>
      <c r="H4991" s="13" t="s">
        <v>7416</v>
      </c>
      <c r="I4991" s="40" t="s">
        <v>18</v>
      </c>
      <c r="J4991" s="40" t="str">
        <f>HYPERLINK("https://stock.pstatic.net/stock-research/company/15/20260211_company_973349000.pdf","PDF")</f>
        <v>PDF</v>
      </c>
      <c r="K4991" s="12" t="s">
        <v>7417</v>
      </c>
    </row>
    <row r="4992" spans="1:12" x14ac:dyDescent="0.45">
      <c r="A4992" s="12" t="s">
        <v>7311</v>
      </c>
      <c r="B4992" s="12" t="s">
        <v>533</v>
      </c>
      <c r="C4992" s="13" t="s">
        <v>534</v>
      </c>
      <c r="D4992" s="13" t="s">
        <v>83</v>
      </c>
      <c r="E4992" s="12" t="s">
        <v>35</v>
      </c>
      <c r="F4992" s="14">
        <v>74000</v>
      </c>
      <c r="G4992" s="14">
        <v>60700</v>
      </c>
      <c r="H4992" s="13" t="s">
        <v>7418</v>
      </c>
      <c r="I4992" s="40" t="s">
        <v>18</v>
      </c>
      <c r="J4992" s="40" t="str">
        <f>HYPERLINK("https://stock.pstatic.net/stock-research/company/15/20260211_company_218244000.pdf","PDF")</f>
        <v>PDF</v>
      </c>
      <c r="K4992" s="12" t="s">
        <v>7419</v>
      </c>
      <c r="L4992" s="20">
        <v>0.21911037891268531</v>
      </c>
    </row>
    <row r="4993" spans="1:12" x14ac:dyDescent="0.45">
      <c r="A4993" s="12" t="s">
        <v>7311</v>
      </c>
      <c r="B4993" s="12" t="s">
        <v>772</v>
      </c>
      <c r="C4993" s="13" t="s">
        <v>5840</v>
      </c>
      <c r="D4993" s="13" t="s">
        <v>83</v>
      </c>
      <c r="E4993" s="12" t="s">
        <v>50</v>
      </c>
      <c r="F4993" s="13"/>
      <c r="G4993" s="14">
        <v>32700</v>
      </c>
      <c r="H4993" s="13" t="s">
        <v>5841</v>
      </c>
      <c r="I4993" s="40" t="s">
        <v>18</v>
      </c>
      <c r="J4993" s="40" t="str">
        <f>HYPERLINK("https://stock.pstatic.net/stock-research/company/15/20260211_company_918841000.pdf","PDF")</f>
        <v>PDF</v>
      </c>
      <c r="K4993" s="12" t="s">
        <v>7420</v>
      </c>
    </row>
    <row r="4994" spans="1:12" x14ac:dyDescent="0.45">
      <c r="A4994" s="12" t="s">
        <v>7311</v>
      </c>
      <c r="B4994" s="12" t="s">
        <v>1682</v>
      </c>
      <c r="C4994" s="13" t="s">
        <v>4787</v>
      </c>
      <c r="D4994" s="13" t="s">
        <v>83</v>
      </c>
      <c r="E4994" s="12" t="s">
        <v>35</v>
      </c>
      <c r="F4994" s="14">
        <v>300000</v>
      </c>
      <c r="G4994" s="14">
        <v>203500</v>
      </c>
      <c r="H4994" s="13" t="s">
        <v>7421</v>
      </c>
      <c r="I4994" s="40" t="s">
        <v>18</v>
      </c>
      <c r="J4994" s="40" t="str">
        <f>HYPERLINK("https://stock.pstatic.net/stock-research/company/15/20260211_company_69257000.pdf","PDF")</f>
        <v>PDF</v>
      </c>
      <c r="K4994" s="12" t="s">
        <v>7422</v>
      </c>
      <c r="L4994" s="20">
        <v>0.47420147420147418</v>
      </c>
    </row>
    <row r="4995" spans="1:12" x14ac:dyDescent="0.45">
      <c r="A4995" s="12" t="s">
        <v>7311</v>
      </c>
      <c r="B4995" s="12" t="s">
        <v>1144</v>
      </c>
      <c r="C4995" s="13" t="s">
        <v>1145</v>
      </c>
      <c r="D4995" s="13" t="s">
        <v>83</v>
      </c>
      <c r="E4995" s="12" t="s">
        <v>35</v>
      </c>
      <c r="F4995" s="14">
        <v>200000</v>
      </c>
      <c r="G4995" s="14">
        <v>146000</v>
      </c>
      <c r="H4995" s="13" t="s">
        <v>7423</v>
      </c>
      <c r="I4995" s="40" t="s">
        <v>18</v>
      </c>
      <c r="J4995" s="40" t="str">
        <f>HYPERLINK("https://stock.pstatic.net/stock-research/company/15/20260211_company_830642000.pdf","PDF")</f>
        <v>PDF</v>
      </c>
      <c r="K4995" s="12" t="s">
        <v>7424</v>
      </c>
      <c r="L4995" s="20">
        <v>0.36986301369863012</v>
      </c>
    </row>
    <row r="4996" spans="1:12" x14ac:dyDescent="0.45">
      <c r="A4996" s="12" t="s">
        <v>7311</v>
      </c>
      <c r="B4996" s="12" t="s">
        <v>533</v>
      </c>
      <c r="C4996" s="13" t="s">
        <v>534</v>
      </c>
      <c r="D4996" s="13" t="s">
        <v>92</v>
      </c>
      <c r="E4996" s="12" t="s">
        <v>35</v>
      </c>
      <c r="F4996" s="14">
        <v>71000</v>
      </c>
      <c r="G4996" s="14">
        <v>60700</v>
      </c>
      <c r="H4996" s="13" t="s">
        <v>7425</v>
      </c>
      <c r="I4996" s="40" t="s">
        <v>18</v>
      </c>
      <c r="J4996" s="40" t="str">
        <f>HYPERLINK("https://stock.pstatic.net/stock-research/company/63/20260211_company_147775000.pdf","PDF")</f>
        <v>PDF</v>
      </c>
      <c r="K4996" s="12" t="s">
        <v>7426</v>
      </c>
      <c r="L4996" s="20">
        <v>0.16968698517298189</v>
      </c>
    </row>
    <row r="4997" spans="1:12" x14ac:dyDescent="0.45">
      <c r="A4997" s="12" t="s">
        <v>7311</v>
      </c>
      <c r="B4997" s="12" t="s">
        <v>426</v>
      </c>
      <c r="C4997" s="13" t="s">
        <v>427</v>
      </c>
      <c r="D4997" s="13" t="s">
        <v>23</v>
      </c>
      <c r="E4997" s="12" t="s">
        <v>16</v>
      </c>
      <c r="F4997" s="14">
        <v>25000</v>
      </c>
      <c r="G4997" s="14">
        <v>21250</v>
      </c>
      <c r="H4997" s="13" t="s">
        <v>7427</v>
      </c>
      <c r="I4997" s="40" t="s">
        <v>18</v>
      </c>
      <c r="J4997" s="40" t="str">
        <f>HYPERLINK("https://stock.pstatic.net/stock-research/company/21/20260211_company_697735000.pdf","PDF")</f>
        <v>PDF</v>
      </c>
      <c r="K4997" s="12" t="s">
        <v>7428</v>
      </c>
      <c r="L4997" s="20">
        <v>0.1764705882352941</v>
      </c>
    </row>
    <row r="4998" spans="1:12" x14ac:dyDescent="0.45">
      <c r="A4998" s="12" t="s">
        <v>7311</v>
      </c>
      <c r="B4998" s="12" t="s">
        <v>170</v>
      </c>
      <c r="C4998" s="13" t="s">
        <v>171</v>
      </c>
      <c r="D4998" s="13" t="s">
        <v>23</v>
      </c>
      <c r="E4998" s="12" t="s">
        <v>16</v>
      </c>
      <c r="F4998" s="14">
        <v>99000</v>
      </c>
      <c r="G4998" s="14">
        <v>77500</v>
      </c>
      <c r="H4998" s="13" t="s">
        <v>7429</v>
      </c>
      <c r="I4998" s="40" t="s">
        <v>18</v>
      </c>
      <c r="J4998" s="40" t="str">
        <f>HYPERLINK("https://stock.pstatic.net/stock-research/company/21/20260211_company_704134000.pdf","PDF")</f>
        <v>PDF</v>
      </c>
      <c r="K4998" s="12" t="s">
        <v>7430</v>
      </c>
      <c r="L4998" s="20">
        <v>0.27741935483870972</v>
      </c>
    </row>
    <row r="4999" spans="1:12" x14ac:dyDescent="0.45">
      <c r="A4999" s="12" t="s">
        <v>7311</v>
      </c>
      <c r="B4999" s="12" t="s">
        <v>426</v>
      </c>
      <c r="C4999" s="13" t="s">
        <v>427</v>
      </c>
      <c r="D4999" s="13" t="s">
        <v>53</v>
      </c>
      <c r="E4999" s="12" t="s">
        <v>16</v>
      </c>
      <c r="F4999" s="14">
        <v>27000</v>
      </c>
      <c r="G4999" s="14">
        <v>21250</v>
      </c>
      <c r="H4999" s="13" t="s">
        <v>7431</v>
      </c>
      <c r="I4999" s="40" t="s">
        <v>18</v>
      </c>
      <c r="J4999" s="40" t="str">
        <f>HYPERLINK("https://stock.pstatic.net/stock-research/company/40/20260211_company_218111000.pdf","PDF")</f>
        <v>PDF</v>
      </c>
      <c r="K4999" s="12" t="s">
        <v>7432</v>
      </c>
      <c r="L4999" s="20">
        <v>0.27058823529411757</v>
      </c>
    </row>
    <row r="5000" spans="1:12" x14ac:dyDescent="0.45">
      <c r="A5000" s="12" t="s">
        <v>7311</v>
      </c>
      <c r="B5000" s="12" t="s">
        <v>533</v>
      </c>
      <c r="C5000" s="13" t="s">
        <v>534</v>
      </c>
      <c r="D5000" s="13" t="s">
        <v>23</v>
      </c>
      <c r="E5000" s="12" t="s">
        <v>16</v>
      </c>
      <c r="F5000" s="14">
        <v>72000</v>
      </c>
      <c r="G5000" s="14">
        <v>60700</v>
      </c>
      <c r="H5000" s="13" t="s">
        <v>7433</v>
      </c>
      <c r="I5000" s="40" t="s">
        <v>18</v>
      </c>
      <c r="J5000" s="40" t="str">
        <f>HYPERLINK("https://stock.pstatic.net/stock-research/company/21/20260211_company_273512000.pdf","PDF")</f>
        <v>PDF</v>
      </c>
      <c r="K5000" s="12" t="s">
        <v>7434</v>
      </c>
      <c r="L5000" s="20">
        <v>0.18616144975288301</v>
      </c>
    </row>
    <row r="5001" spans="1:12" x14ac:dyDescent="0.45">
      <c r="A5001" s="12" t="s">
        <v>7311</v>
      </c>
      <c r="B5001" s="12" t="s">
        <v>1540</v>
      </c>
      <c r="C5001" s="13" t="s">
        <v>1541</v>
      </c>
      <c r="D5001" s="13" t="s">
        <v>23</v>
      </c>
      <c r="E5001" s="12" t="s">
        <v>50</v>
      </c>
      <c r="F5001" s="14">
        <v>61000</v>
      </c>
      <c r="G5001" s="14">
        <v>58300</v>
      </c>
      <c r="H5001" s="13" t="s">
        <v>7435</v>
      </c>
      <c r="I5001" s="40" t="s">
        <v>18</v>
      </c>
      <c r="J5001" s="40" t="str">
        <f>HYPERLINK("https://stock.pstatic.net/stock-research/company/21/20260211_company_579783000.pdf","PDF")</f>
        <v>PDF</v>
      </c>
      <c r="K5001" s="12" t="s">
        <v>7436</v>
      </c>
      <c r="L5001" s="20">
        <v>4.6312178387650088E-2</v>
      </c>
    </row>
    <row r="5002" spans="1:12" x14ac:dyDescent="0.45">
      <c r="A5002" s="12" t="s">
        <v>7311</v>
      </c>
      <c r="B5002" s="12" t="s">
        <v>2576</v>
      </c>
      <c r="C5002" s="13" t="s">
        <v>2577</v>
      </c>
      <c r="D5002" s="13" t="s">
        <v>23</v>
      </c>
      <c r="E5002" s="12" t="s">
        <v>50</v>
      </c>
      <c r="F5002" s="14">
        <v>1800000</v>
      </c>
      <c r="G5002" s="14">
        <v>1701000</v>
      </c>
      <c r="H5002" s="13" t="s">
        <v>7437</v>
      </c>
      <c r="I5002" s="40" t="s">
        <v>18</v>
      </c>
      <c r="J5002" s="40" t="str">
        <f>HYPERLINK("https://stock.pstatic.net/stock-research/company/21/20260211_company_595421000.pdf","PDF")</f>
        <v>PDF</v>
      </c>
      <c r="K5002" s="12" t="s">
        <v>7438</v>
      </c>
      <c r="L5002" s="20">
        <v>5.8201058201058198E-2</v>
      </c>
    </row>
    <row r="5003" spans="1:12" x14ac:dyDescent="0.45">
      <c r="A5003" s="12" t="s">
        <v>7311</v>
      </c>
      <c r="B5003" s="12" t="s">
        <v>1930</v>
      </c>
      <c r="C5003" s="13" t="s">
        <v>1931</v>
      </c>
      <c r="D5003" s="13" t="s">
        <v>23</v>
      </c>
      <c r="E5003" s="12" t="s">
        <v>16</v>
      </c>
      <c r="F5003" s="14">
        <v>260000</v>
      </c>
      <c r="G5003" s="14">
        <v>228500</v>
      </c>
      <c r="H5003" s="13" t="s">
        <v>7439</v>
      </c>
      <c r="I5003" s="40" t="s">
        <v>18</v>
      </c>
      <c r="J5003" s="40" t="str">
        <f>HYPERLINK("https://stock.pstatic.net/stock-research/company/21/20260211_company_73395000.pdf","PDF")</f>
        <v>PDF</v>
      </c>
      <c r="K5003" s="12" t="s">
        <v>7440</v>
      </c>
      <c r="L5003" s="20">
        <v>0.137855579868709</v>
      </c>
    </row>
    <row r="5004" spans="1:12" x14ac:dyDescent="0.45">
      <c r="A5004" s="12" t="s">
        <v>7311</v>
      </c>
      <c r="B5004" s="12" t="s">
        <v>1097</v>
      </c>
      <c r="C5004" s="13" t="s">
        <v>1098</v>
      </c>
      <c r="D5004" s="13" t="s">
        <v>23</v>
      </c>
      <c r="E5004" s="12" t="s">
        <v>16</v>
      </c>
      <c r="F5004" s="14">
        <v>155000</v>
      </c>
      <c r="G5004" s="14">
        <v>126200</v>
      </c>
      <c r="H5004" s="13" t="s">
        <v>7441</v>
      </c>
      <c r="I5004" s="40" t="s">
        <v>18</v>
      </c>
      <c r="J5004" s="40" t="str">
        <f>HYPERLINK("https://stock.pstatic.net/stock-research/company/21/20260211_company_342417000.pdf","PDF")</f>
        <v>PDF</v>
      </c>
      <c r="K5004" s="12" t="s">
        <v>7442</v>
      </c>
      <c r="L5004" s="20">
        <v>0.2282091917591125</v>
      </c>
    </row>
    <row r="5005" spans="1:12" x14ac:dyDescent="0.45">
      <c r="A5005" s="12" t="s">
        <v>7311</v>
      </c>
      <c r="B5005" s="12" t="s">
        <v>1682</v>
      </c>
      <c r="C5005" s="13" t="s">
        <v>4787</v>
      </c>
      <c r="D5005" s="13" t="s">
        <v>92</v>
      </c>
      <c r="E5005" s="12" t="s">
        <v>35</v>
      </c>
      <c r="F5005" s="14">
        <v>280000</v>
      </c>
      <c r="G5005" s="14">
        <v>203500</v>
      </c>
      <c r="H5005" s="13" t="s">
        <v>7443</v>
      </c>
      <c r="I5005" s="40" t="s">
        <v>18</v>
      </c>
      <c r="J5005" s="40" t="str">
        <f>HYPERLINK("https://stock.pstatic.net/stock-research/company/63/20260211_company_688562000.pdf","PDF")</f>
        <v>PDF</v>
      </c>
      <c r="K5005" s="12" t="s">
        <v>7444</v>
      </c>
      <c r="L5005" s="20">
        <v>0.37592137592137592</v>
      </c>
    </row>
    <row r="5006" spans="1:12" x14ac:dyDescent="0.45">
      <c r="A5006" s="12" t="s">
        <v>7311</v>
      </c>
      <c r="B5006" s="12" t="s">
        <v>2304</v>
      </c>
      <c r="C5006" s="13" t="s">
        <v>2305</v>
      </c>
      <c r="D5006" s="13" t="s">
        <v>92</v>
      </c>
      <c r="E5006" s="12" t="s">
        <v>35</v>
      </c>
      <c r="F5006" s="14">
        <v>20000</v>
      </c>
      <c r="G5006" s="14">
        <v>14170</v>
      </c>
      <c r="H5006" s="13" t="s">
        <v>7445</v>
      </c>
      <c r="I5006" s="40" t="s">
        <v>18</v>
      </c>
      <c r="J5006" s="40" t="str">
        <f>HYPERLINK("https://stock.pstatic.net/stock-research/company/63/20260211_company_803868000.pdf","PDF")</f>
        <v>PDF</v>
      </c>
      <c r="K5006" s="12" t="s">
        <v>7446</v>
      </c>
      <c r="L5006" s="20">
        <v>0.41143260409315457</v>
      </c>
    </row>
    <row r="5007" spans="1:12" x14ac:dyDescent="0.45">
      <c r="A5007" s="12" t="s">
        <v>7311</v>
      </c>
      <c r="B5007" s="12" t="s">
        <v>894</v>
      </c>
      <c r="C5007" s="13" t="s">
        <v>26</v>
      </c>
      <c r="D5007" s="13" t="s">
        <v>179</v>
      </c>
      <c r="E5007" s="12" t="s">
        <v>16</v>
      </c>
      <c r="F5007" s="14">
        <v>115000</v>
      </c>
      <c r="G5007" s="14">
        <v>96600</v>
      </c>
      <c r="H5007" s="13" t="s">
        <v>7447</v>
      </c>
      <c r="I5007" s="40" t="s">
        <v>18</v>
      </c>
      <c r="J5007" s="40" t="str">
        <f>HYPERLINK("https://stock.pstatic.net/stock-research/company/64/20260211_company_986656000.pdf","PDF")</f>
        <v>PDF</v>
      </c>
      <c r="K5007" s="12" t="s">
        <v>7448</v>
      </c>
      <c r="L5007" s="20">
        <v>0.19047619047619049</v>
      </c>
    </row>
    <row r="5008" spans="1:12" x14ac:dyDescent="0.45">
      <c r="A5008" s="12" t="s">
        <v>7311</v>
      </c>
      <c r="B5008" s="12" t="s">
        <v>426</v>
      </c>
      <c r="C5008" s="13" t="s">
        <v>427</v>
      </c>
      <c r="D5008" s="13" t="s">
        <v>92</v>
      </c>
      <c r="E5008" s="12" t="s">
        <v>35</v>
      </c>
      <c r="F5008" s="14">
        <v>26000</v>
      </c>
      <c r="G5008" s="14">
        <v>21250</v>
      </c>
      <c r="H5008" s="13" t="s">
        <v>7449</v>
      </c>
      <c r="I5008" s="40" t="s">
        <v>18</v>
      </c>
      <c r="J5008" s="40" t="str">
        <f>HYPERLINK("https://stock.pstatic.net/stock-research/company/63/20260211_company_718601000.pdf","PDF")</f>
        <v>PDF</v>
      </c>
      <c r="K5008" s="12" t="s">
        <v>7450</v>
      </c>
      <c r="L5008" s="20">
        <v>0.22352941176470589</v>
      </c>
    </row>
    <row r="5009" spans="1:12" x14ac:dyDescent="0.45">
      <c r="A5009" s="12" t="s">
        <v>7311</v>
      </c>
      <c r="B5009" s="12" t="s">
        <v>375</v>
      </c>
      <c r="C5009" s="13" t="s">
        <v>376</v>
      </c>
      <c r="D5009" s="13" t="s">
        <v>92</v>
      </c>
      <c r="E5009" s="12" t="s">
        <v>35</v>
      </c>
      <c r="F5009" s="14">
        <v>35000</v>
      </c>
      <c r="G5009" s="14">
        <v>26700</v>
      </c>
      <c r="H5009" s="13" t="s">
        <v>7451</v>
      </c>
      <c r="I5009" s="40" t="s">
        <v>18</v>
      </c>
      <c r="J5009" s="40" t="str">
        <f>HYPERLINK("https://stock.pstatic.net/stock-research/company/63/20260211_company_874831000.pdf","PDF")</f>
        <v>PDF</v>
      </c>
      <c r="K5009" s="12" t="s">
        <v>7452</v>
      </c>
      <c r="L5009" s="20">
        <v>0.31086142322097382</v>
      </c>
    </row>
    <row r="5010" spans="1:12" x14ac:dyDescent="0.45">
      <c r="A5010" s="12" t="s">
        <v>7311</v>
      </c>
      <c r="B5010" s="12" t="s">
        <v>2576</v>
      </c>
      <c r="C5010" s="13" t="s">
        <v>2577</v>
      </c>
      <c r="D5010" s="13" t="s">
        <v>34</v>
      </c>
      <c r="E5010" s="12" t="s">
        <v>50</v>
      </c>
      <c r="F5010" s="13"/>
      <c r="G5010" s="14">
        <v>1701000</v>
      </c>
      <c r="H5010" s="13" t="s">
        <v>7453</v>
      </c>
      <c r="I5010" s="40" t="s">
        <v>18</v>
      </c>
      <c r="J5010" s="40" t="str">
        <f>HYPERLINK("https://stock.pstatic.net/stock-research/company/61/20260211_company_84111000.pdf","PDF")</f>
        <v>PDF</v>
      </c>
      <c r="K5010" s="12" t="s">
        <v>7454</v>
      </c>
    </row>
    <row r="5011" spans="1:12" x14ac:dyDescent="0.45">
      <c r="A5011" s="12" t="s">
        <v>7311</v>
      </c>
      <c r="B5011" s="12" t="s">
        <v>1773</v>
      </c>
      <c r="C5011" s="13" t="s">
        <v>1774</v>
      </c>
      <c r="D5011" s="13" t="s">
        <v>34</v>
      </c>
      <c r="E5011" s="12" t="s">
        <v>35</v>
      </c>
      <c r="F5011" s="14">
        <v>190000</v>
      </c>
      <c r="G5011" s="14">
        <v>136700</v>
      </c>
      <c r="H5011" s="13" t="s">
        <v>7455</v>
      </c>
      <c r="I5011" s="40" t="s">
        <v>18</v>
      </c>
      <c r="J5011" s="40" t="str">
        <f>HYPERLINK("https://stock.pstatic.net/stock-research/company/61/20260211_company_38925000.pdf","PDF")</f>
        <v>PDF</v>
      </c>
      <c r="K5011" s="12" t="s">
        <v>7456</v>
      </c>
      <c r="L5011" s="20">
        <v>0.38990490124359911</v>
      </c>
    </row>
    <row r="5012" spans="1:12" x14ac:dyDescent="0.45">
      <c r="A5012" s="12" t="s">
        <v>7311</v>
      </c>
      <c r="B5012" s="12" t="s">
        <v>1087</v>
      </c>
      <c r="C5012" s="13" t="s">
        <v>1088</v>
      </c>
      <c r="D5012" s="13" t="s">
        <v>53</v>
      </c>
      <c r="E5012" s="12" t="s">
        <v>16</v>
      </c>
      <c r="F5012" s="14">
        <v>180000</v>
      </c>
      <c r="G5012" s="14">
        <v>152400</v>
      </c>
      <c r="H5012" s="13" t="s">
        <v>7457</v>
      </c>
      <c r="I5012" s="40" t="s">
        <v>18</v>
      </c>
      <c r="J5012" s="40" t="str">
        <f>HYPERLINK("https://stock.pstatic.net/stock-research/company/40/20260211_company_342383000.pdf","PDF")</f>
        <v>PDF</v>
      </c>
      <c r="K5012" s="12" t="s">
        <v>7458</v>
      </c>
      <c r="L5012" s="20">
        <v>0.18110236220472439</v>
      </c>
    </row>
    <row r="5013" spans="1:12" x14ac:dyDescent="0.45">
      <c r="A5013" s="12" t="s">
        <v>7311</v>
      </c>
      <c r="B5013" s="12" t="s">
        <v>2199</v>
      </c>
      <c r="C5013" s="13" t="s">
        <v>2200</v>
      </c>
      <c r="D5013" s="13" t="s">
        <v>179</v>
      </c>
      <c r="E5013" s="12" t="s">
        <v>16</v>
      </c>
      <c r="F5013" s="14">
        <v>49000</v>
      </c>
      <c r="G5013" s="14">
        <v>33200</v>
      </c>
      <c r="H5013" s="13" t="s">
        <v>7459</v>
      </c>
      <c r="I5013" s="40" t="s">
        <v>18</v>
      </c>
      <c r="J5013" s="40" t="str">
        <f>HYPERLINK("https://stock.pstatic.net/stock-research/company/64/20260211_company_78640000.pdf","PDF")</f>
        <v>PDF</v>
      </c>
      <c r="K5013" s="12" t="s">
        <v>7460</v>
      </c>
      <c r="L5013" s="20">
        <v>0.4759036144578313</v>
      </c>
    </row>
    <row r="5014" spans="1:12" x14ac:dyDescent="0.45">
      <c r="A5014" s="12" t="s">
        <v>7311</v>
      </c>
      <c r="B5014" s="12" t="s">
        <v>2217</v>
      </c>
      <c r="C5014" s="13" t="s">
        <v>2218</v>
      </c>
      <c r="D5014" s="13" t="s">
        <v>92</v>
      </c>
      <c r="E5014" s="12" t="s">
        <v>35</v>
      </c>
      <c r="F5014" s="14">
        <v>120000</v>
      </c>
      <c r="G5014" s="14">
        <v>98400</v>
      </c>
      <c r="H5014" s="13" t="s">
        <v>7461</v>
      </c>
      <c r="I5014" s="40" t="s">
        <v>18</v>
      </c>
      <c r="J5014" s="40" t="str">
        <f>HYPERLINK("https://stock.pstatic.net/stock-research/company/63/20260211_company_322814000.pdf","PDF")</f>
        <v>PDF</v>
      </c>
      <c r="K5014" s="12" t="s">
        <v>7462</v>
      </c>
      <c r="L5014" s="20">
        <v>0.21951219512195119</v>
      </c>
    </row>
    <row r="5015" spans="1:12" x14ac:dyDescent="0.45">
      <c r="A5015" s="12" t="s">
        <v>7311</v>
      </c>
      <c r="B5015" s="12" t="s">
        <v>1190</v>
      </c>
      <c r="C5015" s="13" t="s">
        <v>1191</v>
      </c>
      <c r="D5015" s="13" t="s">
        <v>179</v>
      </c>
      <c r="E5015" s="12" t="s">
        <v>16</v>
      </c>
      <c r="F5015" s="14">
        <v>140000</v>
      </c>
      <c r="G5015" s="14">
        <v>118700</v>
      </c>
      <c r="H5015" s="13" t="s">
        <v>7463</v>
      </c>
      <c r="I5015" s="40" t="s">
        <v>18</v>
      </c>
      <c r="J5015" s="40" t="str">
        <f>HYPERLINK("https://stock.pstatic.net/stock-research/company/64/20260211_company_559089000.pdf","PDF")</f>
        <v>PDF</v>
      </c>
      <c r="K5015" s="12" t="s">
        <v>7464</v>
      </c>
      <c r="L5015" s="20">
        <v>0.1794439764111205</v>
      </c>
    </row>
    <row r="5016" spans="1:12" x14ac:dyDescent="0.45">
      <c r="A5016" s="12" t="s">
        <v>7311</v>
      </c>
      <c r="B5016" s="12" t="s">
        <v>1540</v>
      </c>
      <c r="C5016" s="13" t="s">
        <v>1541</v>
      </c>
      <c r="D5016" s="13" t="s">
        <v>92</v>
      </c>
      <c r="E5016" s="12" t="s">
        <v>35</v>
      </c>
      <c r="F5016" s="14">
        <v>67000</v>
      </c>
      <c r="G5016" s="14">
        <v>58300</v>
      </c>
      <c r="H5016" s="13" t="s">
        <v>7465</v>
      </c>
      <c r="I5016" s="40" t="s">
        <v>18</v>
      </c>
      <c r="J5016" s="40" t="str">
        <f>HYPERLINK("https://stock.pstatic.net/stock-research/company/63/20260211_company_750694000.pdf","PDF")</f>
        <v>PDF</v>
      </c>
      <c r="K5016" s="12" t="s">
        <v>7466</v>
      </c>
      <c r="L5016" s="20">
        <v>0.1492281303602058</v>
      </c>
    </row>
    <row r="5017" spans="1:12" x14ac:dyDescent="0.45">
      <c r="A5017" s="12" t="s">
        <v>7311</v>
      </c>
      <c r="B5017" s="12" t="s">
        <v>1817</v>
      </c>
      <c r="C5017" s="13" t="s">
        <v>1818</v>
      </c>
      <c r="D5017" s="13" t="s">
        <v>92</v>
      </c>
      <c r="E5017" s="12" t="s">
        <v>35</v>
      </c>
      <c r="F5017" s="14">
        <v>80000</v>
      </c>
      <c r="G5017" s="14">
        <v>70000</v>
      </c>
      <c r="H5017" s="13" t="s">
        <v>7467</v>
      </c>
      <c r="I5017" s="40" t="s">
        <v>18</v>
      </c>
      <c r="J5017" s="40" t="str">
        <f>HYPERLINK("https://stock.pstatic.net/stock-research/company/63/20260211_company_374097000.pdf","PDF")</f>
        <v>PDF</v>
      </c>
      <c r="K5017" s="12" t="s">
        <v>7468</v>
      </c>
      <c r="L5017" s="20">
        <v>0.14285714285714279</v>
      </c>
    </row>
    <row r="5018" spans="1:12" x14ac:dyDescent="0.45">
      <c r="A5018" s="12" t="s">
        <v>7311</v>
      </c>
      <c r="B5018" s="12" t="s">
        <v>533</v>
      </c>
      <c r="C5018" s="13" t="s">
        <v>534</v>
      </c>
      <c r="D5018" s="13" t="s">
        <v>179</v>
      </c>
      <c r="E5018" s="12" t="s">
        <v>16</v>
      </c>
      <c r="F5018" s="14">
        <v>72000</v>
      </c>
      <c r="G5018" s="14">
        <v>60700</v>
      </c>
      <c r="H5018" s="13" t="s">
        <v>7469</v>
      </c>
      <c r="I5018" s="40" t="s">
        <v>18</v>
      </c>
      <c r="J5018" s="40" t="str">
        <f>HYPERLINK("https://stock.pstatic.net/stock-research/company/64/20260211_company_186881000.pdf","PDF")</f>
        <v>PDF</v>
      </c>
      <c r="K5018" s="12" t="s">
        <v>7470</v>
      </c>
      <c r="L5018" s="20">
        <v>0.18616144975288301</v>
      </c>
    </row>
    <row r="5019" spans="1:12" x14ac:dyDescent="0.45">
      <c r="A5019" s="12" t="s">
        <v>7311</v>
      </c>
      <c r="B5019" s="12" t="s">
        <v>698</v>
      </c>
      <c r="C5019" s="13" t="s">
        <v>699</v>
      </c>
      <c r="D5019" s="13" t="s">
        <v>179</v>
      </c>
      <c r="E5019" s="12" t="s">
        <v>50</v>
      </c>
      <c r="F5019" s="13"/>
      <c r="G5019" s="14">
        <v>330500</v>
      </c>
      <c r="H5019" s="13" t="s">
        <v>7471</v>
      </c>
      <c r="I5019" s="40" t="s">
        <v>18</v>
      </c>
      <c r="J5019" s="40" t="str">
        <f>HYPERLINK("https://stock.pstatic.net/stock-research/company/64/20260211_company_272006000.pdf","PDF")</f>
        <v>PDF</v>
      </c>
      <c r="K5019" s="12" t="s">
        <v>7472</v>
      </c>
    </row>
    <row r="5020" spans="1:12" x14ac:dyDescent="0.45">
      <c r="A5020" s="12" t="s">
        <v>7311</v>
      </c>
      <c r="B5020" s="12" t="s">
        <v>1682</v>
      </c>
      <c r="C5020" s="13" t="s">
        <v>4787</v>
      </c>
      <c r="D5020" s="13" t="s">
        <v>44</v>
      </c>
      <c r="E5020" s="12" t="s">
        <v>35</v>
      </c>
      <c r="F5020" s="14">
        <v>430000</v>
      </c>
      <c r="G5020" s="14">
        <v>203500</v>
      </c>
      <c r="H5020" s="13" t="s">
        <v>7473</v>
      </c>
      <c r="I5020" s="40" t="s">
        <v>18</v>
      </c>
      <c r="J5020" s="40" t="str">
        <f>HYPERLINK("https://stock.pstatic.net/stock-research/company/39/20260211_company_285541000.pdf","PDF")</f>
        <v>PDF</v>
      </c>
      <c r="K5020" s="12" t="s">
        <v>7474</v>
      </c>
      <c r="L5020" s="20">
        <v>1.113022113022113</v>
      </c>
    </row>
    <row r="5021" spans="1:12" x14ac:dyDescent="0.45">
      <c r="A5021" s="12" t="s">
        <v>7311</v>
      </c>
      <c r="B5021" s="12" t="s">
        <v>1208</v>
      </c>
      <c r="C5021" s="13" t="s">
        <v>1209</v>
      </c>
      <c r="D5021" s="13" t="s">
        <v>44</v>
      </c>
      <c r="E5021" s="12" t="s">
        <v>35</v>
      </c>
      <c r="F5021" s="14">
        <v>90000</v>
      </c>
      <c r="G5021" s="14">
        <v>59200</v>
      </c>
      <c r="H5021" s="13" t="s">
        <v>7475</v>
      </c>
      <c r="I5021" s="40" t="s">
        <v>18</v>
      </c>
      <c r="J5021" s="40" t="str">
        <f>HYPERLINK("https://stock.pstatic.net/stock-research/company/39/20260211_company_908062000.pdf","PDF")</f>
        <v>PDF</v>
      </c>
      <c r="K5021" s="12" t="s">
        <v>7476</v>
      </c>
      <c r="L5021" s="20">
        <v>0.52027027027027029</v>
      </c>
    </row>
    <row r="5022" spans="1:12" x14ac:dyDescent="0.45">
      <c r="A5022" s="12" t="s">
        <v>7311</v>
      </c>
      <c r="B5022" s="12" t="s">
        <v>2435</v>
      </c>
      <c r="C5022" s="13" t="s">
        <v>2436</v>
      </c>
      <c r="D5022" s="13" t="s">
        <v>44</v>
      </c>
      <c r="E5022" s="12" t="s">
        <v>35</v>
      </c>
      <c r="F5022" s="14">
        <v>810000</v>
      </c>
      <c r="G5022" s="14">
        <v>534000</v>
      </c>
      <c r="H5022" s="13" t="s">
        <v>7477</v>
      </c>
      <c r="I5022" s="40" t="s">
        <v>18</v>
      </c>
      <c r="J5022" s="40" t="str">
        <f>HYPERLINK("https://stock.pstatic.net/stock-research/company/39/20260211_company_997316000.pdf","PDF")</f>
        <v>PDF</v>
      </c>
      <c r="K5022" s="12" t="s">
        <v>7478</v>
      </c>
      <c r="L5022" s="20">
        <v>0.5168539325842697</v>
      </c>
    </row>
    <row r="5023" spans="1:12" x14ac:dyDescent="0.45">
      <c r="A5023" s="12" t="s">
        <v>7311</v>
      </c>
      <c r="B5023" s="12" t="s">
        <v>426</v>
      </c>
      <c r="C5023" s="13" t="s">
        <v>427</v>
      </c>
      <c r="D5023" s="13" t="s">
        <v>44</v>
      </c>
      <c r="E5023" s="12" t="s">
        <v>35</v>
      </c>
      <c r="F5023" s="14">
        <v>26000</v>
      </c>
      <c r="G5023" s="14">
        <v>21250</v>
      </c>
      <c r="H5023" s="13" t="s">
        <v>7479</v>
      </c>
      <c r="I5023" s="40" t="s">
        <v>18</v>
      </c>
      <c r="J5023" s="40" t="str">
        <f>HYPERLINK("https://stock.pstatic.net/stock-research/company/39/20260211_company_559765000.pdf","PDF")</f>
        <v>PDF</v>
      </c>
      <c r="K5023" s="12" t="s">
        <v>7480</v>
      </c>
      <c r="L5023" s="20">
        <v>0.22352941176470589</v>
      </c>
    </row>
    <row r="5024" spans="1:12" x14ac:dyDescent="0.45">
      <c r="A5024" s="12" t="s">
        <v>7311</v>
      </c>
      <c r="B5024" s="12" t="s">
        <v>1548</v>
      </c>
      <c r="C5024" s="13" t="s">
        <v>1549</v>
      </c>
      <c r="D5024" s="13" t="s">
        <v>44</v>
      </c>
      <c r="E5024" s="12" t="s">
        <v>35</v>
      </c>
      <c r="F5024" s="14">
        <v>1650000</v>
      </c>
      <c r="G5024" s="14">
        <v>1146000</v>
      </c>
      <c r="H5024" s="13" t="s">
        <v>7481</v>
      </c>
      <c r="I5024" s="40" t="s">
        <v>18</v>
      </c>
      <c r="J5024" s="40" t="str">
        <f>HYPERLINK("https://stock.pstatic.net/stock-research/company/39/20260211_company_965513000.pdf","PDF")</f>
        <v>PDF</v>
      </c>
      <c r="K5024" s="12" t="s">
        <v>7482</v>
      </c>
      <c r="L5024" s="20">
        <v>0.43979057591623039</v>
      </c>
    </row>
    <row r="5025" spans="1:12" x14ac:dyDescent="0.45">
      <c r="A5025" s="12" t="s">
        <v>7311</v>
      </c>
      <c r="B5025" s="12" t="s">
        <v>1097</v>
      </c>
      <c r="C5025" s="13" t="s">
        <v>1098</v>
      </c>
      <c r="D5025" s="13" t="s">
        <v>44</v>
      </c>
      <c r="E5025" s="12" t="s">
        <v>50</v>
      </c>
      <c r="F5025" s="13"/>
      <c r="G5025" s="14">
        <v>126200</v>
      </c>
      <c r="H5025" s="13" t="s">
        <v>7483</v>
      </c>
      <c r="I5025" s="40" t="s">
        <v>18</v>
      </c>
      <c r="J5025" s="40" t="str">
        <f>HYPERLINK("https://stock.pstatic.net/stock-research/company/39/20260211_company_445812000.pdf","PDF")</f>
        <v>PDF</v>
      </c>
      <c r="K5025" s="12" t="s">
        <v>7484</v>
      </c>
    </row>
    <row r="5026" spans="1:12" x14ac:dyDescent="0.45">
      <c r="A5026" s="12" t="s">
        <v>7311</v>
      </c>
      <c r="B5026" s="12" t="s">
        <v>1930</v>
      </c>
      <c r="C5026" s="13" t="s">
        <v>1931</v>
      </c>
      <c r="D5026" s="13" t="s">
        <v>44</v>
      </c>
      <c r="E5026" s="12" t="s">
        <v>50</v>
      </c>
      <c r="F5026" s="13"/>
      <c r="G5026" s="14">
        <v>228500</v>
      </c>
      <c r="H5026" s="13" t="s">
        <v>7485</v>
      </c>
      <c r="I5026" s="40" t="s">
        <v>18</v>
      </c>
      <c r="J5026" s="40" t="str">
        <f>HYPERLINK("https://stock.pstatic.net/stock-research/company/39/20260211_company_144869000.pdf","PDF")</f>
        <v>PDF</v>
      </c>
      <c r="K5026" s="12" t="s">
        <v>7486</v>
      </c>
    </row>
    <row r="5027" spans="1:12" x14ac:dyDescent="0.45">
      <c r="A5027" s="12" t="s">
        <v>7311</v>
      </c>
      <c r="B5027" s="12" t="s">
        <v>2217</v>
      </c>
      <c r="C5027" s="13" t="s">
        <v>2218</v>
      </c>
      <c r="D5027" s="13" t="s">
        <v>34</v>
      </c>
      <c r="E5027" s="12" t="s">
        <v>35</v>
      </c>
      <c r="F5027" s="14">
        <v>135000</v>
      </c>
      <c r="G5027" s="14">
        <v>98400</v>
      </c>
      <c r="H5027" s="13" t="s">
        <v>7487</v>
      </c>
      <c r="I5027" s="40" t="s">
        <v>18</v>
      </c>
      <c r="J5027" s="40" t="str">
        <f>HYPERLINK("https://stock.pstatic.net/stock-research/company/61/20260211_company_689478000.pdf","PDF")</f>
        <v>PDF</v>
      </c>
      <c r="K5027" s="12" t="s">
        <v>7488</v>
      </c>
      <c r="L5027" s="20">
        <v>0.37195121951219512</v>
      </c>
    </row>
    <row r="5028" spans="1:12" x14ac:dyDescent="0.45">
      <c r="A5028" s="12" t="s">
        <v>7311</v>
      </c>
      <c r="B5028" s="12" t="s">
        <v>1144</v>
      </c>
      <c r="C5028" s="13" t="s">
        <v>1145</v>
      </c>
      <c r="D5028" s="13" t="s">
        <v>44</v>
      </c>
      <c r="E5028" s="12" t="s">
        <v>50</v>
      </c>
      <c r="F5028" s="13"/>
      <c r="G5028" s="14">
        <v>146000</v>
      </c>
      <c r="H5028" s="13" t="s">
        <v>7489</v>
      </c>
      <c r="I5028" s="40" t="s">
        <v>18</v>
      </c>
      <c r="J5028" s="40" t="str">
        <f>HYPERLINK("https://stock.pstatic.net/stock-research/company/39/20260211_company_253969000.pdf","PDF")</f>
        <v>PDF</v>
      </c>
      <c r="K5028" s="12" t="s">
        <v>7490</v>
      </c>
    </row>
    <row r="5029" spans="1:12" x14ac:dyDescent="0.45">
      <c r="A5029" s="12" t="s">
        <v>7311</v>
      </c>
      <c r="B5029" s="12" t="s">
        <v>1540</v>
      </c>
      <c r="C5029" s="13" t="s">
        <v>1541</v>
      </c>
      <c r="D5029" s="13" t="s">
        <v>44</v>
      </c>
      <c r="E5029" s="12" t="s">
        <v>50</v>
      </c>
      <c r="F5029" s="13"/>
      <c r="G5029" s="14">
        <v>58300</v>
      </c>
      <c r="H5029" s="13" t="s">
        <v>7491</v>
      </c>
      <c r="I5029" s="40" t="s">
        <v>18</v>
      </c>
      <c r="J5029" s="40" t="str">
        <f>HYPERLINK("https://m.stock.naver.com/research/company/90302","PDF")</f>
        <v>PDF</v>
      </c>
      <c r="K5029" s="12" t="s">
        <v>7492</v>
      </c>
    </row>
    <row r="5030" spans="1:12" x14ac:dyDescent="0.45">
      <c r="A5030" s="12" t="s">
        <v>7311</v>
      </c>
      <c r="B5030" s="12" t="s">
        <v>90</v>
      </c>
      <c r="C5030" s="13" t="s">
        <v>91</v>
      </c>
      <c r="D5030" s="13" t="s">
        <v>179</v>
      </c>
      <c r="E5030" s="12" t="s">
        <v>16</v>
      </c>
      <c r="F5030" s="14">
        <v>55000</v>
      </c>
      <c r="G5030" s="14">
        <v>34450</v>
      </c>
      <c r="H5030" s="13" t="s">
        <v>7493</v>
      </c>
      <c r="I5030" s="40" t="s">
        <v>18</v>
      </c>
      <c r="J5030" s="40" t="str">
        <f>HYPERLINK("https://stock.pstatic.net/stock-research/company/64/20260211_company_572898000.pdf","PDF")</f>
        <v>PDF</v>
      </c>
      <c r="K5030" s="12" t="s">
        <v>7494</v>
      </c>
      <c r="L5030" s="20">
        <v>0.59651669085631354</v>
      </c>
    </row>
    <row r="5031" spans="1:12" x14ac:dyDescent="0.45">
      <c r="A5031" s="12" t="s">
        <v>7311</v>
      </c>
      <c r="B5031" s="12" t="s">
        <v>1212</v>
      </c>
      <c r="C5031" s="13" t="s">
        <v>1213</v>
      </c>
      <c r="D5031" s="13" t="s">
        <v>44</v>
      </c>
      <c r="E5031" s="12" t="s">
        <v>50</v>
      </c>
      <c r="F5031" s="13"/>
      <c r="G5031" s="14">
        <v>40200</v>
      </c>
      <c r="H5031" s="13" t="s">
        <v>7495</v>
      </c>
      <c r="I5031" s="40" t="s">
        <v>18</v>
      </c>
      <c r="J5031" s="40" t="str">
        <f>HYPERLINK("https://stock.pstatic.net/stock-research/company/39/20260211_company_320196000.pdf","PDF")</f>
        <v>PDF</v>
      </c>
      <c r="K5031" s="12" t="s">
        <v>7496</v>
      </c>
    </row>
    <row r="5032" spans="1:12" x14ac:dyDescent="0.45">
      <c r="A5032" s="12" t="s">
        <v>7311</v>
      </c>
      <c r="B5032" s="12" t="s">
        <v>3296</v>
      </c>
      <c r="C5032" s="13" t="s">
        <v>3297</v>
      </c>
      <c r="D5032" s="13" t="s">
        <v>44</v>
      </c>
      <c r="E5032" s="12" t="s">
        <v>35</v>
      </c>
      <c r="F5032" s="14">
        <v>67000</v>
      </c>
      <c r="G5032" s="14">
        <v>55000</v>
      </c>
      <c r="H5032" s="13" t="s">
        <v>7497</v>
      </c>
      <c r="I5032" s="40" t="s">
        <v>18</v>
      </c>
      <c r="J5032" s="40" t="str">
        <f>HYPERLINK("https://stock.pstatic.net/stock-research/company/39/20260211_company_599258000.pdf","PDF")</f>
        <v>PDF</v>
      </c>
      <c r="K5032" s="12" t="s">
        <v>7498</v>
      </c>
      <c r="L5032" s="20">
        <v>0.2181818181818182</v>
      </c>
    </row>
    <row r="5033" spans="1:12" x14ac:dyDescent="0.45">
      <c r="A5033" s="12" t="s">
        <v>7311</v>
      </c>
      <c r="B5033" s="12" t="s">
        <v>1936</v>
      </c>
      <c r="C5033" s="13" t="s">
        <v>1937</v>
      </c>
      <c r="D5033" s="13" t="s">
        <v>44</v>
      </c>
      <c r="E5033" s="12" t="s">
        <v>35</v>
      </c>
      <c r="F5033" s="14">
        <v>12500</v>
      </c>
      <c r="G5033" s="14">
        <v>9730</v>
      </c>
      <c r="H5033" s="13" t="s">
        <v>7499</v>
      </c>
      <c r="I5033" s="40" t="s">
        <v>18</v>
      </c>
      <c r="J5033" s="40" t="str">
        <f>HYPERLINK("https://stock.pstatic.net/stock-research/company/39/20260211_company_544572000.pdf","PDF")</f>
        <v>PDF</v>
      </c>
      <c r="K5033" s="12" t="s">
        <v>7500</v>
      </c>
      <c r="L5033" s="20">
        <v>0.28468653648509762</v>
      </c>
    </row>
    <row r="5034" spans="1:12" x14ac:dyDescent="0.45">
      <c r="A5034" s="12" t="s">
        <v>7311</v>
      </c>
      <c r="B5034" s="12" t="s">
        <v>7501</v>
      </c>
      <c r="C5034" s="13" t="s">
        <v>7502</v>
      </c>
      <c r="D5034" s="13" t="s">
        <v>124</v>
      </c>
      <c r="E5034" s="12" t="s">
        <v>50</v>
      </c>
      <c r="F5034" s="13"/>
      <c r="G5034" s="13"/>
      <c r="H5034" s="13" t="s">
        <v>7503</v>
      </c>
      <c r="I5034" s="40" t="s">
        <v>18</v>
      </c>
      <c r="J5034" s="40" t="str">
        <f>HYPERLINK("https://stock.pstatic.net/stock-research/company/74/20260211_company_681175000.pdf","PDF")</f>
        <v>PDF</v>
      </c>
      <c r="K5034" s="12" t="s">
        <v>7504</v>
      </c>
    </row>
    <row r="5035" spans="1:12" x14ac:dyDescent="0.45">
      <c r="A5035" s="12" t="s">
        <v>7311</v>
      </c>
      <c r="B5035" s="12" t="s">
        <v>1682</v>
      </c>
      <c r="C5035" s="13" t="s">
        <v>4787</v>
      </c>
      <c r="D5035" s="13" t="s">
        <v>15</v>
      </c>
      <c r="E5035" s="12" t="s">
        <v>16</v>
      </c>
      <c r="F5035" s="14">
        <v>280000</v>
      </c>
      <c r="G5035" s="14">
        <v>203500</v>
      </c>
      <c r="H5035" s="13" t="s">
        <v>7505</v>
      </c>
      <c r="I5035" s="40" t="s">
        <v>18</v>
      </c>
      <c r="J5035" s="40" t="str">
        <f>HYPERLINK("https://stock.pstatic.net/stock-research/company/56/20260211_company_173047000.pdf","PDF")</f>
        <v>PDF</v>
      </c>
      <c r="K5035" s="12" t="s">
        <v>7506</v>
      </c>
      <c r="L5035" s="20">
        <v>0.37592137592137592</v>
      </c>
    </row>
    <row r="5036" spans="1:12" x14ac:dyDescent="0.45">
      <c r="A5036" s="12" t="s">
        <v>7311</v>
      </c>
      <c r="B5036" s="12" t="s">
        <v>1097</v>
      </c>
      <c r="C5036" s="13" t="s">
        <v>1098</v>
      </c>
      <c r="D5036" s="13" t="s">
        <v>53</v>
      </c>
      <c r="E5036" s="12" t="s">
        <v>16</v>
      </c>
      <c r="F5036" s="14">
        <v>190000</v>
      </c>
      <c r="G5036" s="14">
        <v>126200</v>
      </c>
      <c r="H5036" s="13" t="s">
        <v>7507</v>
      </c>
      <c r="I5036" s="40" t="s">
        <v>18</v>
      </c>
      <c r="J5036" s="40" t="str">
        <f>HYPERLINK("https://stock.pstatic.net/stock-research/company/40/20260211_company_206435000.pdf","PDF")</f>
        <v>PDF</v>
      </c>
      <c r="K5036" s="12" t="s">
        <v>7508</v>
      </c>
      <c r="L5036" s="20">
        <v>0.50554675118858949</v>
      </c>
    </row>
    <row r="5037" spans="1:12" x14ac:dyDescent="0.45">
      <c r="A5037" s="12" t="s">
        <v>7311</v>
      </c>
      <c r="B5037" s="12" t="s">
        <v>1773</v>
      </c>
      <c r="C5037" s="13" t="s">
        <v>1774</v>
      </c>
      <c r="D5037" s="13" t="s">
        <v>15</v>
      </c>
      <c r="E5037" s="12" t="s">
        <v>16</v>
      </c>
      <c r="F5037" s="14">
        <v>170000</v>
      </c>
      <c r="G5037" s="14">
        <v>136700</v>
      </c>
      <c r="H5037" s="13" t="s">
        <v>7509</v>
      </c>
      <c r="I5037" s="40" t="s">
        <v>18</v>
      </c>
      <c r="J5037" s="40" t="str">
        <f>HYPERLINK("https://stock.pstatic.net/stock-research/company/56/20260211_company_873602000.pdf","PDF")</f>
        <v>PDF</v>
      </c>
      <c r="K5037" s="12" t="s">
        <v>7510</v>
      </c>
      <c r="L5037" s="20">
        <v>0.2435991221653255</v>
      </c>
    </row>
    <row r="5038" spans="1:12" x14ac:dyDescent="0.45">
      <c r="A5038" s="12" t="s">
        <v>7311</v>
      </c>
      <c r="B5038" s="12" t="s">
        <v>7511</v>
      </c>
      <c r="C5038" s="13" t="s">
        <v>7512</v>
      </c>
      <c r="D5038" s="13" t="s">
        <v>15</v>
      </c>
      <c r="E5038" s="12" t="s">
        <v>50</v>
      </c>
      <c r="F5038" s="13"/>
      <c r="G5038" s="14">
        <v>14770</v>
      </c>
      <c r="H5038" s="13" t="s">
        <v>7513</v>
      </c>
      <c r="I5038" s="40" t="s">
        <v>18</v>
      </c>
      <c r="J5038" s="40" t="str">
        <f>HYPERLINK("https://stock.pstatic.net/stock-research/company/56/20260211_company_221563000.pdf","PDF")</f>
        <v>PDF</v>
      </c>
      <c r="K5038" s="12" t="s">
        <v>7514</v>
      </c>
    </row>
    <row r="5039" spans="1:12" x14ac:dyDescent="0.45">
      <c r="A5039" s="12" t="s">
        <v>7515</v>
      </c>
      <c r="B5039" s="12" t="s">
        <v>7516</v>
      </c>
      <c r="C5039" s="13" t="s">
        <v>7517</v>
      </c>
      <c r="D5039" s="13" t="s">
        <v>23</v>
      </c>
      <c r="E5039" s="12" t="s">
        <v>16</v>
      </c>
      <c r="F5039" s="14">
        <v>20000</v>
      </c>
      <c r="G5039" s="14">
        <v>13530</v>
      </c>
      <c r="H5039" s="13" t="s">
        <v>7518</v>
      </c>
      <c r="I5039" s="40" t="s">
        <v>18</v>
      </c>
      <c r="J5039" s="40" t="str">
        <f>HYPERLINK("https://stock.pstatic.net/stock-research/company/21/20260210_company_851696000.pdf","PDF")</f>
        <v>PDF</v>
      </c>
      <c r="K5039" s="12" t="s">
        <v>7519</v>
      </c>
      <c r="L5039" s="20">
        <v>0.47819660014781967</v>
      </c>
    </row>
    <row r="5040" spans="1:12" x14ac:dyDescent="0.45">
      <c r="A5040" s="12" t="s">
        <v>7515</v>
      </c>
      <c r="B5040" s="12" t="s">
        <v>3355</v>
      </c>
      <c r="C5040" s="13" t="s">
        <v>3356</v>
      </c>
      <c r="D5040" s="13" t="s">
        <v>15</v>
      </c>
      <c r="E5040" s="12" t="s">
        <v>16</v>
      </c>
      <c r="F5040" s="14">
        <v>68000</v>
      </c>
      <c r="G5040" s="14">
        <v>55200</v>
      </c>
      <c r="H5040" s="13" t="s">
        <v>7520</v>
      </c>
      <c r="I5040" s="40" t="s">
        <v>18</v>
      </c>
      <c r="J5040" s="40" t="str">
        <f>HYPERLINK("https://m.stock.naver.com/research/company/90291","PDF")</f>
        <v>PDF</v>
      </c>
      <c r="K5040" s="12" t="s">
        <v>7521</v>
      </c>
      <c r="L5040" s="20">
        <v>0.2318840579710145</v>
      </c>
    </row>
    <row r="5041" spans="1:12" x14ac:dyDescent="0.45">
      <c r="A5041" s="12" t="s">
        <v>7515</v>
      </c>
      <c r="B5041" s="12" t="s">
        <v>1548</v>
      </c>
      <c r="C5041" s="13" t="s">
        <v>1549</v>
      </c>
      <c r="D5041" s="13" t="s">
        <v>15</v>
      </c>
      <c r="E5041" s="12" t="s">
        <v>16</v>
      </c>
      <c r="F5041" s="14">
        <v>1650000</v>
      </c>
      <c r="G5041" s="14">
        <v>1193000</v>
      </c>
      <c r="H5041" s="13" t="s">
        <v>7522</v>
      </c>
      <c r="I5041" s="40" t="s">
        <v>18</v>
      </c>
      <c r="J5041" s="40" t="str">
        <f>HYPERLINK("https://m.stock.naver.com/research/company/90290","PDF")</f>
        <v>PDF</v>
      </c>
      <c r="K5041" s="12" t="s">
        <v>7523</v>
      </c>
      <c r="L5041" s="20">
        <v>0.38306789606035208</v>
      </c>
    </row>
    <row r="5042" spans="1:12" x14ac:dyDescent="0.45">
      <c r="A5042" s="12" t="s">
        <v>7515</v>
      </c>
      <c r="B5042" s="12" t="s">
        <v>2933</v>
      </c>
      <c r="C5042" s="13" t="s">
        <v>2934</v>
      </c>
      <c r="D5042" s="13" t="s">
        <v>60</v>
      </c>
      <c r="E5042" s="12" t="s">
        <v>35</v>
      </c>
      <c r="F5042" s="14">
        <v>200000</v>
      </c>
      <c r="G5042" s="14">
        <v>159500</v>
      </c>
      <c r="H5042" s="13" t="s">
        <v>7524</v>
      </c>
      <c r="I5042" s="40" t="s">
        <v>18</v>
      </c>
      <c r="J5042" s="40" t="str">
        <f>HYPERLINK("https://stock.pstatic.net/stock-research/company/62/20260210_company_773486000.pdf","PDF")</f>
        <v>PDF</v>
      </c>
      <c r="K5042" s="12" t="s">
        <v>7525</v>
      </c>
      <c r="L5042" s="20">
        <v>0.25391849529780558</v>
      </c>
    </row>
    <row r="5043" spans="1:12" x14ac:dyDescent="0.45">
      <c r="A5043" s="12" t="s">
        <v>7515</v>
      </c>
      <c r="B5043" s="12" t="s">
        <v>3200</v>
      </c>
      <c r="C5043" s="13" t="s">
        <v>3201</v>
      </c>
      <c r="D5043" s="13" t="s">
        <v>15</v>
      </c>
      <c r="E5043" s="12" t="s">
        <v>50</v>
      </c>
      <c r="F5043" s="13"/>
      <c r="G5043" s="14">
        <v>22550</v>
      </c>
      <c r="H5043" s="13" t="s">
        <v>7526</v>
      </c>
      <c r="I5043" s="40" t="s">
        <v>18</v>
      </c>
      <c r="J5043" s="40" t="str">
        <f>HYPERLINK("https://stock.pstatic.net/stock-research/company/56/20260210_company_407804000.pdf","PDF")</f>
        <v>PDF</v>
      </c>
      <c r="K5043" s="12" t="s">
        <v>7527</v>
      </c>
    </row>
    <row r="5044" spans="1:12" x14ac:dyDescent="0.45">
      <c r="A5044" s="12" t="s">
        <v>7515</v>
      </c>
      <c r="B5044" s="12" t="s">
        <v>1656</v>
      </c>
      <c r="C5044" s="13" t="s">
        <v>1657</v>
      </c>
      <c r="D5044" s="13" t="s">
        <v>60</v>
      </c>
      <c r="E5044" s="12" t="s">
        <v>35</v>
      </c>
      <c r="F5044" s="14">
        <v>430000</v>
      </c>
      <c r="G5044" s="14">
        <v>355000</v>
      </c>
      <c r="H5044" s="13" t="s">
        <v>7528</v>
      </c>
      <c r="I5044" s="40" t="s">
        <v>18</v>
      </c>
      <c r="J5044" s="40" t="str">
        <f>HYPERLINK("https://m.stock.naver.com/research/company/90287","PDF")</f>
        <v>PDF</v>
      </c>
      <c r="K5044" s="12" t="s">
        <v>7529</v>
      </c>
      <c r="L5044" s="20">
        <v>0.21126760563380281</v>
      </c>
    </row>
    <row r="5045" spans="1:12" x14ac:dyDescent="0.45">
      <c r="A5045" s="12" t="s">
        <v>7515</v>
      </c>
      <c r="B5045" s="12" t="s">
        <v>1548</v>
      </c>
      <c r="C5045" s="13" t="s">
        <v>1549</v>
      </c>
      <c r="D5045" s="13" t="s">
        <v>276</v>
      </c>
      <c r="E5045" s="12" t="s">
        <v>16</v>
      </c>
      <c r="F5045" s="14">
        <v>1570000</v>
      </c>
      <c r="G5045" s="14">
        <v>1193000</v>
      </c>
      <c r="H5045" s="13" t="s">
        <v>7530</v>
      </c>
      <c r="I5045" s="40" t="s">
        <v>18</v>
      </c>
      <c r="J5045" s="40" t="str">
        <f>HYPERLINK("https://m.stock.naver.com/research/company/90286","PDF")</f>
        <v>PDF</v>
      </c>
      <c r="K5045" s="12" t="s">
        <v>7531</v>
      </c>
      <c r="L5045" s="20">
        <v>0.31601005867560772</v>
      </c>
    </row>
    <row r="5046" spans="1:12" x14ac:dyDescent="0.45">
      <c r="A5046" s="12" t="s">
        <v>7515</v>
      </c>
      <c r="B5046" s="12" t="s">
        <v>3204</v>
      </c>
      <c r="C5046" s="13" t="s">
        <v>3205</v>
      </c>
      <c r="D5046" s="13" t="s">
        <v>60</v>
      </c>
      <c r="E5046" s="12" t="s">
        <v>35</v>
      </c>
      <c r="F5046" s="14">
        <v>7000</v>
      </c>
      <c r="G5046" s="14">
        <v>5770</v>
      </c>
      <c r="H5046" s="13" t="s">
        <v>7532</v>
      </c>
      <c r="I5046" s="40" t="s">
        <v>18</v>
      </c>
      <c r="J5046" s="40" t="str">
        <f>HYPERLINK("https://stock.pstatic.net/stock-research/company/62/20260210_company_197395000.pdf","PDF")</f>
        <v>PDF</v>
      </c>
      <c r="K5046" s="12" t="s">
        <v>7533</v>
      </c>
      <c r="L5046" s="20">
        <v>0.21317157712305029</v>
      </c>
    </row>
    <row r="5047" spans="1:12" x14ac:dyDescent="0.45">
      <c r="A5047" s="12" t="s">
        <v>7515</v>
      </c>
      <c r="B5047" s="12" t="s">
        <v>3355</v>
      </c>
      <c r="C5047" s="13" t="s">
        <v>3356</v>
      </c>
      <c r="D5047" s="13" t="s">
        <v>276</v>
      </c>
      <c r="E5047" s="12" t="s">
        <v>16</v>
      </c>
      <c r="F5047" s="14">
        <v>63000</v>
      </c>
      <c r="G5047" s="14">
        <v>55200</v>
      </c>
      <c r="H5047" s="13" t="s">
        <v>7534</v>
      </c>
      <c r="I5047" s="40" t="s">
        <v>18</v>
      </c>
      <c r="J5047" s="40" t="str">
        <f>HYPERLINK("https://stock.pstatic.net/stock-research/company/66/20260210_company_836576000.pdf","PDF")</f>
        <v>PDF</v>
      </c>
      <c r="K5047" s="12" t="s">
        <v>7535</v>
      </c>
      <c r="L5047" s="20">
        <v>0.14130434782608689</v>
      </c>
    </row>
    <row r="5048" spans="1:12" x14ac:dyDescent="0.45">
      <c r="A5048" s="12" t="s">
        <v>7515</v>
      </c>
      <c r="B5048" s="12" t="s">
        <v>2522</v>
      </c>
      <c r="C5048" s="13" t="s">
        <v>2523</v>
      </c>
      <c r="D5048" s="13" t="s">
        <v>60</v>
      </c>
      <c r="E5048" s="12" t="s">
        <v>35</v>
      </c>
      <c r="F5048" s="14">
        <v>346000</v>
      </c>
      <c r="G5048" s="14">
        <v>236500</v>
      </c>
      <c r="H5048" s="13" t="s">
        <v>7536</v>
      </c>
      <c r="I5048" s="40" t="s">
        <v>18</v>
      </c>
      <c r="J5048" s="40" t="str">
        <f>HYPERLINK("https://stock.pstatic.net/stock-research/company/62/20260210_company_895344000.pdf","PDF")</f>
        <v>PDF</v>
      </c>
      <c r="K5048" s="12" t="s">
        <v>7537</v>
      </c>
      <c r="L5048" s="20">
        <v>0.46300211416490489</v>
      </c>
    </row>
    <row r="5049" spans="1:12" x14ac:dyDescent="0.45">
      <c r="A5049" s="12" t="s">
        <v>7515</v>
      </c>
      <c r="B5049" s="12" t="s">
        <v>2522</v>
      </c>
      <c r="C5049" s="13" t="s">
        <v>2523</v>
      </c>
      <c r="D5049" s="13" t="s">
        <v>276</v>
      </c>
      <c r="E5049" s="12" t="s">
        <v>16</v>
      </c>
      <c r="F5049" s="14">
        <v>300000</v>
      </c>
      <c r="G5049" s="14">
        <v>236500</v>
      </c>
      <c r="H5049" s="13" t="s">
        <v>7538</v>
      </c>
      <c r="I5049" s="40" t="s">
        <v>18</v>
      </c>
      <c r="J5049" s="40" t="str">
        <f>HYPERLINK("https://m.stock.naver.com/research/company/90282","PDF")</f>
        <v>PDF</v>
      </c>
      <c r="K5049" s="12" t="s">
        <v>7539</v>
      </c>
      <c r="L5049" s="20">
        <v>0.26849894291754761</v>
      </c>
    </row>
    <row r="5050" spans="1:12" x14ac:dyDescent="0.45">
      <c r="A5050" s="12" t="s">
        <v>7515</v>
      </c>
      <c r="B5050" s="12" t="s">
        <v>1556</v>
      </c>
      <c r="C5050" s="13" t="s">
        <v>1557</v>
      </c>
      <c r="D5050" s="13" t="s">
        <v>65</v>
      </c>
      <c r="E5050" s="12" t="s">
        <v>35</v>
      </c>
      <c r="F5050" s="14">
        <v>28000</v>
      </c>
      <c r="G5050" s="14">
        <v>22600</v>
      </c>
      <c r="H5050" s="13" t="s">
        <v>7540</v>
      </c>
      <c r="I5050" s="40" t="s">
        <v>18</v>
      </c>
      <c r="J5050" s="40" t="str">
        <f>HYPERLINK("https://m.stock.naver.com/research/company/90281","PDF")</f>
        <v>PDF</v>
      </c>
      <c r="K5050" s="12" t="s">
        <v>7541</v>
      </c>
      <c r="L5050" s="20">
        <v>0.23893805309734509</v>
      </c>
    </row>
    <row r="5051" spans="1:12" x14ac:dyDescent="0.45">
      <c r="A5051" s="12" t="s">
        <v>7515</v>
      </c>
      <c r="B5051" s="12" t="s">
        <v>1415</v>
      </c>
      <c r="C5051" s="13" t="s">
        <v>1416</v>
      </c>
      <c r="D5051" s="13" t="s">
        <v>65</v>
      </c>
      <c r="E5051" s="12" t="s">
        <v>35</v>
      </c>
      <c r="F5051" s="14">
        <v>7000</v>
      </c>
      <c r="G5051" s="14">
        <v>5240</v>
      </c>
      <c r="H5051" s="13" t="s">
        <v>7542</v>
      </c>
      <c r="I5051" s="40" t="s">
        <v>18</v>
      </c>
      <c r="J5051" s="40" t="str">
        <f>HYPERLINK("https://stock.pstatic.net/stock-research/company/57/20260210_company_297384000.pdf","PDF")</f>
        <v>PDF</v>
      </c>
      <c r="K5051" s="12" t="s">
        <v>7543</v>
      </c>
      <c r="L5051" s="20">
        <v>0.33587786259541991</v>
      </c>
    </row>
    <row r="5052" spans="1:12" x14ac:dyDescent="0.45">
      <c r="A5052" s="12" t="s">
        <v>7515</v>
      </c>
      <c r="B5052" s="12" t="s">
        <v>7544</v>
      </c>
      <c r="C5052" s="13" t="s">
        <v>7545</v>
      </c>
      <c r="D5052" s="13" t="s">
        <v>276</v>
      </c>
      <c r="E5052" s="12" t="s">
        <v>16</v>
      </c>
      <c r="F5052" s="14">
        <v>47000</v>
      </c>
      <c r="G5052" s="14">
        <v>39100</v>
      </c>
      <c r="H5052" s="13" t="s">
        <v>7546</v>
      </c>
      <c r="I5052" s="40" t="s">
        <v>18</v>
      </c>
      <c r="J5052" s="40" t="str">
        <f>HYPERLINK("https://stock.pstatic.net/stock-research/company/66/20260210_company_185398000.pdf","PDF")</f>
        <v>PDF</v>
      </c>
      <c r="K5052" s="12" t="s">
        <v>7547</v>
      </c>
      <c r="L5052" s="20">
        <v>0.20204603580562661</v>
      </c>
    </row>
    <row r="5053" spans="1:12" x14ac:dyDescent="0.45">
      <c r="A5053" s="12" t="s">
        <v>7515</v>
      </c>
      <c r="B5053" s="12" t="s">
        <v>2435</v>
      </c>
      <c r="C5053" s="13" t="s">
        <v>2436</v>
      </c>
      <c r="D5053" s="13" t="s">
        <v>65</v>
      </c>
      <c r="E5053" s="12" t="s">
        <v>35</v>
      </c>
      <c r="F5053" s="14">
        <v>740000</v>
      </c>
      <c r="G5053" s="14">
        <v>540000</v>
      </c>
      <c r="H5053" s="13" t="s">
        <v>7548</v>
      </c>
      <c r="I5053" s="40" t="s">
        <v>18</v>
      </c>
      <c r="J5053" s="40" t="str">
        <f>HYPERLINK("https://stock.pstatic.net/stock-research/company/57/20260210_company_66673000.pdf","PDF")</f>
        <v>PDF</v>
      </c>
      <c r="K5053" s="12" t="s">
        <v>7549</v>
      </c>
      <c r="L5053" s="20">
        <v>0.37037037037037029</v>
      </c>
    </row>
    <row r="5054" spans="1:12" x14ac:dyDescent="0.45">
      <c r="A5054" s="12" t="s">
        <v>7515</v>
      </c>
      <c r="B5054" s="12" t="s">
        <v>2435</v>
      </c>
      <c r="C5054" s="13" t="s">
        <v>2436</v>
      </c>
      <c r="D5054" s="13" t="s">
        <v>276</v>
      </c>
      <c r="E5054" s="12" t="s">
        <v>16</v>
      </c>
      <c r="F5054" s="14">
        <v>780000</v>
      </c>
      <c r="G5054" s="14">
        <v>540000</v>
      </c>
      <c r="H5054" s="13" t="s">
        <v>7550</v>
      </c>
      <c r="I5054" s="40" t="s">
        <v>18</v>
      </c>
      <c r="J5054" s="40" t="str">
        <f>HYPERLINK("https://m.stock.naver.com/research/company/90277","PDF")</f>
        <v>PDF</v>
      </c>
      <c r="K5054" s="12" t="s">
        <v>7551</v>
      </c>
      <c r="L5054" s="20">
        <v>0.44444444444444442</v>
      </c>
    </row>
    <row r="5055" spans="1:12" x14ac:dyDescent="0.45">
      <c r="A5055" s="12" t="s">
        <v>7515</v>
      </c>
      <c r="B5055" s="12" t="s">
        <v>2488</v>
      </c>
      <c r="C5055" s="13" t="s">
        <v>2489</v>
      </c>
      <c r="D5055" s="13" t="s">
        <v>65</v>
      </c>
      <c r="E5055" s="12" t="s">
        <v>35</v>
      </c>
      <c r="F5055" s="14">
        <v>120000</v>
      </c>
      <c r="G5055" s="14">
        <v>82600</v>
      </c>
      <c r="H5055" s="13" t="s">
        <v>7552</v>
      </c>
      <c r="I5055" s="40" t="s">
        <v>18</v>
      </c>
      <c r="J5055" s="40" t="str">
        <f>HYPERLINK("https://stock.pstatic.net/stock-research/company/57/20260210_company_724154000.pdf","PDF")</f>
        <v>PDF</v>
      </c>
      <c r="K5055" s="12" t="s">
        <v>7553</v>
      </c>
      <c r="L5055" s="20">
        <v>0.45278450363196132</v>
      </c>
    </row>
    <row r="5056" spans="1:12" x14ac:dyDescent="0.45">
      <c r="A5056" s="12" t="s">
        <v>7515</v>
      </c>
      <c r="B5056" s="12" t="s">
        <v>2492</v>
      </c>
      <c r="C5056" s="13" t="s">
        <v>2493</v>
      </c>
      <c r="D5056" s="13" t="s">
        <v>65</v>
      </c>
      <c r="E5056" s="12" t="s">
        <v>35</v>
      </c>
      <c r="F5056" s="14">
        <v>570000</v>
      </c>
      <c r="G5056" s="14">
        <v>390000</v>
      </c>
      <c r="H5056" s="13" t="s">
        <v>7554</v>
      </c>
      <c r="I5056" s="40" t="s">
        <v>18</v>
      </c>
      <c r="J5056" s="40" t="str">
        <f>HYPERLINK("https://m.stock.naver.com/research/company/90275","PDF")</f>
        <v>PDF</v>
      </c>
      <c r="K5056" s="12" t="s">
        <v>7555</v>
      </c>
      <c r="L5056" s="20">
        <v>0.46153846153846162</v>
      </c>
    </row>
    <row r="5057" spans="1:12" x14ac:dyDescent="0.45">
      <c r="A5057" s="12" t="s">
        <v>7515</v>
      </c>
      <c r="B5057" s="12" t="s">
        <v>1023</v>
      </c>
      <c r="C5057" s="13" t="s">
        <v>15</v>
      </c>
      <c r="D5057" s="13" t="s">
        <v>65</v>
      </c>
      <c r="E5057" s="12" t="s">
        <v>35</v>
      </c>
      <c r="F5057" s="14">
        <v>65000</v>
      </c>
      <c r="G5057" s="14">
        <v>53400</v>
      </c>
      <c r="H5057" s="13" t="s">
        <v>7556</v>
      </c>
      <c r="I5057" s="40" t="s">
        <v>18</v>
      </c>
      <c r="J5057" s="40" t="str">
        <f>HYPERLINK("https://stock.pstatic.net/stock-research/company/57/20260210_company_241164000.pdf","PDF")</f>
        <v>PDF</v>
      </c>
      <c r="K5057" s="12" t="s">
        <v>7557</v>
      </c>
      <c r="L5057" s="20">
        <v>0.21722846441947569</v>
      </c>
    </row>
    <row r="5058" spans="1:12" x14ac:dyDescent="0.45">
      <c r="A5058" s="12" t="s">
        <v>7515</v>
      </c>
      <c r="B5058" s="12" t="s">
        <v>1023</v>
      </c>
      <c r="C5058" s="13" t="s">
        <v>15</v>
      </c>
      <c r="D5058" s="13" t="s">
        <v>65</v>
      </c>
      <c r="E5058" s="12" t="s">
        <v>35</v>
      </c>
      <c r="F5058" s="14">
        <v>65000</v>
      </c>
      <c r="G5058" s="14">
        <v>53400</v>
      </c>
      <c r="H5058" s="13" t="s">
        <v>7558</v>
      </c>
      <c r="I5058" s="40" t="s">
        <v>18</v>
      </c>
      <c r="J5058" s="40" t="str">
        <f>HYPERLINK("https://m.stock.naver.com/research/company/90273","PDF")</f>
        <v>PDF</v>
      </c>
      <c r="K5058" s="12" t="s">
        <v>7559</v>
      </c>
      <c r="L5058" s="20">
        <v>0.21722846441947569</v>
      </c>
    </row>
    <row r="5059" spans="1:12" x14ac:dyDescent="0.45">
      <c r="A5059" s="12" t="s">
        <v>7515</v>
      </c>
      <c r="B5059" s="12" t="s">
        <v>2522</v>
      </c>
      <c r="C5059" s="13" t="s">
        <v>2523</v>
      </c>
      <c r="D5059" s="13" t="s">
        <v>57</v>
      </c>
      <c r="E5059" s="12" t="s">
        <v>35</v>
      </c>
      <c r="F5059" s="14">
        <v>380000</v>
      </c>
      <c r="G5059" s="14">
        <v>236500</v>
      </c>
      <c r="H5059" s="13" t="s">
        <v>7560</v>
      </c>
      <c r="I5059" s="40" t="s">
        <v>18</v>
      </c>
      <c r="J5059" s="40" t="str">
        <f>HYPERLINK("https://m.stock.naver.com/research/company/90272","PDF")</f>
        <v>PDF</v>
      </c>
      <c r="K5059" s="12" t="s">
        <v>7561</v>
      </c>
      <c r="L5059" s="20">
        <v>0.60676532769556024</v>
      </c>
    </row>
    <row r="5060" spans="1:12" x14ac:dyDescent="0.45">
      <c r="A5060" s="12" t="s">
        <v>7515</v>
      </c>
      <c r="B5060" s="12" t="s">
        <v>1237</v>
      </c>
      <c r="C5060" s="13" t="s">
        <v>1238</v>
      </c>
      <c r="D5060" s="13" t="s">
        <v>65</v>
      </c>
      <c r="E5060" s="12" t="s">
        <v>50</v>
      </c>
      <c r="F5060" s="13"/>
      <c r="G5060" s="14">
        <v>6090</v>
      </c>
      <c r="H5060" s="13" t="s">
        <v>7562</v>
      </c>
      <c r="I5060" s="40" t="s">
        <v>18</v>
      </c>
      <c r="J5060" s="40" t="str">
        <f>HYPERLINK("https://stock.pstatic.net/stock-research/company/57/20260210_company_782840000.pdf","PDF")</f>
        <v>PDF</v>
      </c>
      <c r="K5060" s="12" t="s">
        <v>7563</v>
      </c>
    </row>
    <row r="5061" spans="1:12" x14ac:dyDescent="0.45">
      <c r="A5061" s="12" t="s">
        <v>7515</v>
      </c>
      <c r="B5061" s="12" t="s">
        <v>3079</v>
      </c>
      <c r="C5061" s="13" t="s">
        <v>3080</v>
      </c>
      <c r="D5061" s="13" t="s">
        <v>57</v>
      </c>
      <c r="E5061" s="12" t="s">
        <v>35</v>
      </c>
      <c r="F5061" s="14">
        <v>89000</v>
      </c>
      <c r="G5061" s="14">
        <v>84400</v>
      </c>
      <c r="H5061" s="13" t="s">
        <v>7564</v>
      </c>
      <c r="I5061" s="40" t="s">
        <v>18</v>
      </c>
      <c r="J5061" s="40" t="str">
        <f>HYPERLINK("https://stock.pstatic.net/stock-research/company/16/20260210_company_54322000.pdf","PDF")</f>
        <v>PDF</v>
      </c>
      <c r="K5061" s="12" t="s">
        <v>7565</v>
      </c>
      <c r="L5061" s="20">
        <v>5.4502369668246453E-2</v>
      </c>
    </row>
    <row r="5062" spans="1:12" x14ac:dyDescent="0.45">
      <c r="A5062" s="12" t="s">
        <v>7515</v>
      </c>
      <c r="B5062" s="12" t="s">
        <v>2522</v>
      </c>
      <c r="C5062" s="13" t="s">
        <v>2523</v>
      </c>
      <c r="D5062" s="13" t="s">
        <v>65</v>
      </c>
      <c r="E5062" s="12" t="s">
        <v>35</v>
      </c>
      <c r="F5062" s="14">
        <v>420000</v>
      </c>
      <c r="G5062" s="14">
        <v>236500</v>
      </c>
      <c r="H5062" s="13" t="s">
        <v>7566</v>
      </c>
      <c r="I5062" s="40" t="s">
        <v>18</v>
      </c>
      <c r="J5062" s="40" t="str">
        <f>HYPERLINK("https://m.stock.naver.com/research/company/90269","PDF")</f>
        <v>PDF</v>
      </c>
      <c r="K5062" s="12" t="s">
        <v>7567</v>
      </c>
      <c r="L5062" s="20">
        <v>0.77589852008456661</v>
      </c>
    </row>
    <row r="5063" spans="1:12" x14ac:dyDescent="0.45">
      <c r="A5063" s="12" t="s">
        <v>7515</v>
      </c>
      <c r="B5063" s="12" t="s">
        <v>957</v>
      </c>
      <c r="C5063" s="13" t="s">
        <v>958</v>
      </c>
      <c r="D5063" s="13" t="s">
        <v>57</v>
      </c>
      <c r="E5063" s="12" t="s">
        <v>35</v>
      </c>
      <c r="F5063" s="14">
        <v>320000</v>
      </c>
      <c r="G5063" s="14">
        <v>222500</v>
      </c>
      <c r="H5063" s="13" t="s">
        <v>7568</v>
      </c>
      <c r="I5063" s="40" t="s">
        <v>18</v>
      </c>
      <c r="J5063" s="40" t="str">
        <f>HYPERLINK("https://stock.pstatic.net/stock-research/company/16/20260210_company_294729000.pdf","PDF")</f>
        <v>PDF</v>
      </c>
      <c r="K5063" s="12" t="s">
        <v>7569</v>
      </c>
      <c r="L5063" s="20">
        <v>0.43820224719101131</v>
      </c>
    </row>
    <row r="5064" spans="1:12" x14ac:dyDescent="0.45">
      <c r="A5064" s="12" t="s">
        <v>7515</v>
      </c>
      <c r="B5064" s="12" t="s">
        <v>880</v>
      </c>
      <c r="C5064" s="13" t="s">
        <v>881</v>
      </c>
      <c r="D5064" s="13" t="s">
        <v>65</v>
      </c>
      <c r="E5064" s="12" t="s">
        <v>35</v>
      </c>
      <c r="F5064" s="14">
        <v>18000</v>
      </c>
      <c r="G5064" s="14">
        <v>13160</v>
      </c>
      <c r="H5064" s="13" t="s">
        <v>7570</v>
      </c>
      <c r="I5064" s="40" t="s">
        <v>18</v>
      </c>
      <c r="J5064" s="40" t="str">
        <f>HYPERLINK("https://m.stock.naver.com/research/company/90267","PDF")</f>
        <v>PDF</v>
      </c>
      <c r="K5064" s="12" t="s">
        <v>7571</v>
      </c>
      <c r="L5064" s="20">
        <v>0.36778115501519759</v>
      </c>
    </row>
    <row r="5065" spans="1:12" x14ac:dyDescent="0.45">
      <c r="A5065" s="12" t="s">
        <v>7515</v>
      </c>
      <c r="B5065" s="12" t="s">
        <v>1548</v>
      </c>
      <c r="C5065" s="13" t="s">
        <v>1549</v>
      </c>
      <c r="D5065" s="13" t="s">
        <v>57</v>
      </c>
      <c r="E5065" s="12" t="s">
        <v>35</v>
      </c>
      <c r="F5065" s="14">
        <v>1500000</v>
      </c>
      <c r="G5065" s="14">
        <v>1193000</v>
      </c>
      <c r="H5065" s="13" t="s">
        <v>7572</v>
      </c>
      <c r="I5065" s="40" t="s">
        <v>18</v>
      </c>
      <c r="J5065" s="40" t="str">
        <f>HYPERLINK("https://stock.pstatic.net/stock-research/company/16/20260210_company_527215000.pdf","PDF")</f>
        <v>PDF</v>
      </c>
      <c r="K5065" s="12" t="s">
        <v>7573</v>
      </c>
      <c r="L5065" s="20">
        <v>0.25733445096395641</v>
      </c>
    </row>
    <row r="5066" spans="1:12" x14ac:dyDescent="0.45">
      <c r="A5066" s="12" t="s">
        <v>7515</v>
      </c>
      <c r="B5066" s="12" t="s">
        <v>3204</v>
      </c>
      <c r="C5066" s="13" t="s">
        <v>3205</v>
      </c>
      <c r="D5066" s="13" t="s">
        <v>65</v>
      </c>
      <c r="E5066" s="12" t="s">
        <v>35</v>
      </c>
      <c r="F5066" s="14">
        <v>8000</v>
      </c>
      <c r="G5066" s="14">
        <v>5770</v>
      </c>
      <c r="H5066" s="13" t="s">
        <v>7574</v>
      </c>
      <c r="I5066" s="40" t="s">
        <v>18</v>
      </c>
      <c r="J5066" s="40" t="str">
        <f>HYPERLINK("https://m.stock.naver.com/research/company/90265","PDF")</f>
        <v>PDF</v>
      </c>
      <c r="K5066" s="12" t="s">
        <v>7575</v>
      </c>
      <c r="L5066" s="20">
        <v>0.38648180242634322</v>
      </c>
    </row>
    <row r="5067" spans="1:12" x14ac:dyDescent="0.45">
      <c r="A5067" s="12" t="s">
        <v>7515</v>
      </c>
      <c r="B5067" s="12" t="s">
        <v>366</v>
      </c>
      <c r="C5067" s="13" t="s">
        <v>367</v>
      </c>
      <c r="D5067" s="13" t="s">
        <v>57</v>
      </c>
      <c r="E5067" s="12" t="s">
        <v>35</v>
      </c>
      <c r="F5067" s="14">
        <v>26000</v>
      </c>
      <c r="G5067" s="14">
        <v>18250</v>
      </c>
      <c r="H5067" s="13" t="s">
        <v>7576</v>
      </c>
      <c r="I5067" s="40" t="s">
        <v>18</v>
      </c>
      <c r="J5067" s="40" t="str">
        <f>HYPERLINK("https://stock.pstatic.net/stock-research/company/16/20260210_company_6755000.pdf","PDF")</f>
        <v>PDF</v>
      </c>
      <c r="K5067" s="12" t="s">
        <v>7577</v>
      </c>
      <c r="L5067" s="20">
        <v>0.42465753424657532</v>
      </c>
    </row>
    <row r="5068" spans="1:12" x14ac:dyDescent="0.45">
      <c r="A5068" s="12" t="s">
        <v>7515</v>
      </c>
      <c r="B5068" s="12" t="s">
        <v>38</v>
      </c>
      <c r="C5068" s="13" t="s">
        <v>39</v>
      </c>
      <c r="D5068" s="13" t="s">
        <v>65</v>
      </c>
      <c r="E5068" s="12" t="s">
        <v>35</v>
      </c>
      <c r="F5068" s="14">
        <v>315000</v>
      </c>
      <c r="G5068" s="14">
        <v>258500</v>
      </c>
      <c r="H5068" s="13" t="s">
        <v>7578</v>
      </c>
      <c r="I5068" s="40" t="s">
        <v>18</v>
      </c>
      <c r="J5068" s="40" t="str">
        <f>HYPERLINK("https://stock.pstatic.net/stock-research/company/57/20260210_company_205251000.pdf","PDF")</f>
        <v>PDF</v>
      </c>
      <c r="K5068" s="12" t="s">
        <v>7579</v>
      </c>
      <c r="L5068" s="20">
        <v>0.21856866537717601</v>
      </c>
    </row>
    <row r="5069" spans="1:12" x14ac:dyDescent="0.45">
      <c r="A5069" s="12" t="s">
        <v>7515</v>
      </c>
      <c r="B5069" s="12" t="s">
        <v>1656</v>
      </c>
      <c r="C5069" s="13" t="s">
        <v>1657</v>
      </c>
      <c r="D5069" s="13" t="s">
        <v>57</v>
      </c>
      <c r="E5069" s="12" t="s">
        <v>35</v>
      </c>
      <c r="F5069" s="14">
        <v>470000</v>
      </c>
      <c r="G5069" s="14">
        <v>355000</v>
      </c>
      <c r="H5069" s="13" t="s">
        <v>7580</v>
      </c>
      <c r="I5069" s="40" t="s">
        <v>18</v>
      </c>
      <c r="J5069" s="40" t="str">
        <f>HYPERLINK("https://m.stock.naver.com/research/company/90262","PDF")</f>
        <v>PDF</v>
      </c>
      <c r="K5069" s="12" t="s">
        <v>7581</v>
      </c>
      <c r="L5069" s="20">
        <v>0.323943661971831</v>
      </c>
    </row>
    <row r="5070" spans="1:12" x14ac:dyDescent="0.45">
      <c r="A5070" s="12" t="s">
        <v>7515</v>
      </c>
      <c r="B5070" s="12" t="s">
        <v>541</v>
      </c>
      <c r="C5070" s="13" t="s">
        <v>542</v>
      </c>
      <c r="D5070" s="13" t="s">
        <v>65</v>
      </c>
      <c r="E5070" s="12" t="s">
        <v>35</v>
      </c>
      <c r="F5070" s="14">
        <v>100000</v>
      </c>
      <c r="G5070" s="14">
        <v>73400</v>
      </c>
      <c r="H5070" s="13" t="s">
        <v>7582</v>
      </c>
      <c r="I5070" s="40" t="s">
        <v>18</v>
      </c>
      <c r="J5070" s="40" t="str">
        <f>HYPERLINK("https://m.stock.naver.com/research/company/90261","PDF")</f>
        <v>PDF</v>
      </c>
      <c r="K5070" s="12" t="s">
        <v>7583</v>
      </c>
      <c r="L5070" s="20">
        <v>0.36239782016348782</v>
      </c>
    </row>
    <row r="5071" spans="1:12" x14ac:dyDescent="0.45">
      <c r="A5071" s="12" t="s">
        <v>7515</v>
      </c>
      <c r="B5071" s="12" t="s">
        <v>1548</v>
      </c>
      <c r="C5071" s="13" t="s">
        <v>1549</v>
      </c>
      <c r="D5071" s="13" t="s">
        <v>65</v>
      </c>
      <c r="E5071" s="12" t="s">
        <v>35</v>
      </c>
      <c r="F5071" s="14">
        <v>1460000</v>
      </c>
      <c r="G5071" s="14">
        <v>1193000</v>
      </c>
      <c r="H5071" s="13" t="s">
        <v>7584</v>
      </c>
      <c r="I5071" s="40" t="s">
        <v>18</v>
      </c>
      <c r="J5071" s="40" t="str">
        <f>HYPERLINK("https://m.stock.naver.com/research/company/90259","PDF")</f>
        <v>PDF</v>
      </c>
      <c r="K5071" s="12" t="s">
        <v>7585</v>
      </c>
      <c r="L5071" s="20">
        <v>0.2238055322715842</v>
      </c>
    </row>
    <row r="5072" spans="1:12" x14ac:dyDescent="0.45">
      <c r="A5072" s="12" t="s">
        <v>7515</v>
      </c>
      <c r="B5072" s="12" t="s">
        <v>1047</v>
      </c>
      <c r="C5072" s="13" t="s">
        <v>1048</v>
      </c>
      <c r="D5072" s="13" t="s">
        <v>57</v>
      </c>
      <c r="E5072" s="12" t="s">
        <v>35</v>
      </c>
      <c r="F5072" s="14">
        <v>15000</v>
      </c>
      <c r="G5072" s="14">
        <v>11720</v>
      </c>
      <c r="H5072" s="13" t="s">
        <v>7586</v>
      </c>
      <c r="I5072" s="40" t="s">
        <v>18</v>
      </c>
      <c r="J5072" s="40" t="str">
        <f>HYPERLINK("https://m.stock.naver.com/research/company/90258","PDF")</f>
        <v>PDF</v>
      </c>
      <c r="K5072" s="12" t="s">
        <v>7587</v>
      </c>
      <c r="L5072" s="20">
        <v>0.27986348122866889</v>
      </c>
    </row>
    <row r="5073" spans="1:12" x14ac:dyDescent="0.45">
      <c r="A5073" s="12" t="s">
        <v>7515</v>
      </c>
      <c r="B5073" s="12" t="s">
        <v>1548</v>
      </c>
      <c r="C5073" s="13" t="s">
        <v>1549</v>
      </c>
      <c r="D5073" s="13" t="s">
        <v>158</v>
      </c>
      <c r="E5073" s="12" t="s">
        <v>35</v>
      </c>
      <c r="F5073" s="14">
        <v>1700000</v>
      </c>
      <c r="G5073" s="14">
        <v>1193000</v>
      </c>
      <c r="H5073" s="13" t="s">
        <v>7588</v>
      </c>
      <c r="I5073" s="40" t="s">
        <v>18</v>
      </c>
      <c r="J5073" s="40" t="str">
        <f>HYPERLINK("https://m.stock.naver.com/research/company/90257","PDF")</f>
        <v>PDF</v>
      </c>
      <c r="K5073" s="12" t="s">
        <v>7589</v>
      </c>
      <c r="L5073" s="20">
        <v>0.42497904442581719</v>
      </c>
    </row>
    <row r="5074" spans="1:12" x14ac:dyDescent="0.45">
      <c r="A5074" s="12" t="s">
        <v>7515</v>
      </c>
      <c r="B5074" s="12" t="s">
        <v>3204</v>
      </c>
      <c r="C5074" s="13" t="s">
        <v>3205</v>
      </c>
      <c r="D5074" s="13" t="s">
        <v>57</v>
      </c>
      <c r="E5074" s="12" t="s">
        <v>35</v>
      </c>
      <c r="F5074" s="14">
        <v>7300</v>
      </c>
      <c r="G5074" s="14">
        <v>5520</v>
      </c>
      <c r="H5074" s="13" t="s">
        <v>7590</v>
      </c>
      <c r="I5074" s="40" t="s">
        <v>18</v>
      </c>
      <c r="J5074" s="40" t="str">
        <f>HYPERLINK("https://m.stock.naver.com/research/company/90256","PDF")</f>
        <v>PDF</v>
      </c>
      <c r="K5074" s="12" t="s">
        <v>7591</v>
      </c>
      <c r="L5074" s="20">
        <v>0.32246376811594202</v>
      </c>
    </row>
    <row r="5075" spans="1:12" x14ac:dyDescent="0.45">
      <c r="A5075" s="12" t="s">
        <v>7515</v>
      </c>
      <c r="B5075" s="12" t="s">
        <v>3230</v>
      </c>
      <c r="C5075" s="13" t="s">
        <v>3231</v>
      </c>
      <c r="D5075" s="13" t="s">
        <v>23</v>
      </c>
      <c r="E5075" s="12" t="s">
        <v>16</v>
      </c>
      <c r="F5075" s="14">
        <v>2900000</v>
      </c>
      <c r="G5075" s="14">
        <v>2396000</v>
      </c>
      <c r="H5075" s="13" t="s">
        <v>7592</v>
      </c>
      <c r="I5075" s="40" t="s">
        <v>18</v>
      </c>
      <c r="J5075" s="40" t="str">
        <f>HYPERLINK("https://stock.pstatic.net/stock-research/company/21/20260210_company_757223000.pdf","PDF")</f>
        <v>PDF</v>
      </c>
      <c r="K5075" s="12" t="s">
        <v>7593</v>
      </c>
      <c r="L5075" s="20">
        <v>0.2103505843071786</v>
      </c>
    </row>
    <row r="5076" spans="1:12" x14ac:dyDescent="0.45">
      <c r="A5076" s="12" t="s">
        <v>7515</v>
      </c>
      <c r="B5076" s="12" t="s">
        <v>2522</v>
      </c>
      <c r="C5076" s="13" t="s">
        <v>2523</v>
      </c>
      <c r="D5076" s="13" t="s">
        <v>23</v>
      </c>
      <c r="E5076" s="12" t="s">
        <v>385</v>
      </c>
      <c r="F5076" s="13"/>
      <c r="G5076" s="14">
        <v>236500</v>
      </c>
      <c r="H5076" s="13" t="s">
        <v>7594</v>
      </c>
      <c r="I5076" s="40" t="s">
        <v>18</v>
      </c>
      <c r="J5076" s="40" t="str">
        <f>HYPERLINK("https://stock.pstatic.net/stock-research/company/21/20260210_company_969879000.pdf","PDF")</f>
        <v>PDF</v>
      </c>
      <c r="K5076" s="12" t="s">
        <v>7595</v>
      </c>
    </row>
    <row r="5077" spans="1:12" x14ac:dyDescent="0.45">
      <c r="A5077" s="12" t="s">
        <v>7515</v>
      </c>
      <c r="B5077" s="12" t="s">
        <v>42</v>
      </c>
      <c r="C5077" s="13" t="s">
        <v>43</v>
      </c>
      <c r="D5077" s="13" t="s">
        <v>23</v>
      </c>
      <c r="E5077" s="12" t="s">
        <v>50</v>
      </c>
      <c r="F5077" s="14">
        <v>270000</v>
      </c>
      <c r="G5077" s="14">
        <v>250000</v>
      </c>
      <c r="H5077" s="13" t="s">
        <v>7596</v>
      </c>
      <c r="I5077" s="40" t="s">
        <v>18</v>
      </c>
      <c r="J5077" s="40" t="str">
        <f>HYPERLINK("https://stock.pstatic.net/stock-research/company/21/20260210_company_945861000.pdf","PDF")</f>
        <v>PDF</v>
      </c>
      <c r="K5077" s="12" t="s">
        <v>7597</v>
      </c>
      <c r="L5077" s="20">
        <v>0.08</v>
      </c>
    </row>
    <row r="5078" spans="1:12" x14ac:dyDescent="0.45">
      <c r="A5078" s="12" t="s">
        <v>7515</v>
      </c>
      <c r="B5078" s="12" t="s">
        <v>7598</v>
      </c>
      <c r="C5078" s="13" t="s">
        <v>7599</v>
      </c>
      <c r="D5078" s="13" t="s">
        <v>15</v>
      </c>
      <c r="E5078" s="12" t="s">
        <v>50</v>
      </c>
      <c r="F5078" s="13"/>
      <c r="G5078" s="14">
        <v>51500</v>
      </c>
      <c r="H5078" s="13" t="s">
        <v>7600</v>
      </c>
      <c r="I5078" s="40" t="s">
        <v>18</v>
      </c>
      <c r="J5078" s="40" t="str">
        <f>HYPERLINK("https://stock.pstatic.net/stock-research/company/56/20260210_company_809564000.pdf","PDF")</f>
        <v>PDF</v>
      </c>
      <c r="K5078" s="12" t="s">
        <v>7601</v>
      </c>
    </row>
    <row r="5079" spans="1:12" x14ac:dyDescent="0.45">
      <c r="A5079" s="12" t="s">
        <v>7515</v>
      </c>
      <c r="B5079" s="12" t="s">
        <v>3204</v>
      </c>
      <c r="C5079" s="13" t="s">
        <v>3205</v>
      </c>
      <c r="D5079" s="13" t="s">
        <v>15</v>
      </c>
      <c r="E5079" s="12" t="s">
        <v>16</v>
      </c>
      <c r="F5079" s="14">
        <v>7900</v>
      </c>
      <c r="G5079" s="14">
        <v>5770</v>
      </c>
      <c r="H5079" s="13" t="s">
        <v>7602</v>
      </c>
      <c r="I5079" s="40" t="s">
        <v>18</v>
      </c>
      <c r="J5079" s="40" t="str">
        <f>HYPERLINK("https://stock.pstatic.net/stock-research/company/56/20260210_company_575272000.pdf","PDF")</f>
        <v>PDF</v>
      </c>
      <c r="K5079" s="12" t="s">
        <v>7603</v>
      </c>
      <c r="L5079" s="20">
        <v>0.36915077989601391</v>
      </c>
    </row>
    <row r="5080" spans="1:12" x14ac:dyDescent="0.45">
      <c r="A5080" s="12" t="s">
        <v>7515</v>
      </c>
      <c r="B5080" s="12" t="s">
        <v>1087</v>
      </c>
      <c r="C5080" s="13" t="s">
        <v>1088</v>
      </c>
      <c r="D5080" s="13" t="s">
        <v>15</v>
      </c>
      <c r="E5080" s="12" t="s">
        <v>16</v>
      </c>
      <c r="F5080" s="14">
        <v>200000</v>
      </c>
      <c r="G5080" s="14">
        <v>154800</v>
      </c>
      <c r="H5080" s="13" t="s">
        <v>7604</v>
      </c>
      <c r="I5080" s="40" t="s">
        <v>18</v>
      </c>
      <c r="J5080" s="40" t="str">
        <f>HYPERLINK("https://stock.pstatic.net/stock-research/company/56/20260210_company_31020000.pdf","PDF")</f>
        <v>PDF</v>
      </c>
      <c r="K5080" s="12" t="s">
        <v>7605</v>
      </c>
      <c r="L5080" s="20">
        <v>0.29198966408268728</v>
      </c>
    </row>
    <row r="5081" spans="1:12" x14ac:dyDescent="0.45">
      <c r="A5081" s="12" t="s">
        <v>7515</v>
      </c>
      <c r="B5081" s="12" t="s">
        <v>2435</v>
      </c>
      <c r="C5081" s="13" t="s">
        <v>2436</v>
      </c>
      <c r="D5081" s="13" t="s">
        <v>92</v>
      </c>
      <c r="E5081" s="12" t="s">
        <v>35</v>
      </c>
      <c r="F5081" s="14">
        <v>870000</v>
      </c>
      <c r="G5081" s="14">
        <v>540000</v>
      </c>
      <c r="H5081" s="13" t="s">
        <v>7606</v>
      </c>
      <c r="I5081" s="40" t="s">
        <v>18</v>
      </c>
      <c r="J5081" s="40" t="str">
        <f>HYPERLINK("https://stock.pstatic.net/stock-research/company/63/20260210_company_680236000.pdf","PDF")</f>
        <v>PDF</v>
      </c>
      <c r="K5081" s="12" t="s">
        <v>7607</v>
      </c>
      <c r="L5081" s="20">
        <v>0.61111111111111116</v>
      </c>
    </row>
    <row r="5082" spans="1:12" x14ac:dyDescent="0.45">
      <c r="A5082" s="12" t="s">
        <v>7515</v>
      </c>
      <c r="B5082" s="12" t="s">
        <v>1548</v>
      </c>
      <c r="C5082" s="13" t="s">
        <v>1549</v>
      </c>
      <c r="D5082" s="13" t="s">
        <v>92</v>
      </c>
      <c r="E5082" s="12" t="s">
        <v>35</v>
      </c>
      <c r="F5082" s="14">
        <v>1650000</v>
      </c>
      <c r="G5082" s="14">
        <v>1193000</v>
      </c>
      <c r="H5082" s="13" t="s">
        <v>7608</v>
      </c>
      <c r="I5082" s="40" t="s">
        <v>18</v>
      </c>
      <c r="J5082" s="40" t="str">
        <f>HYPERLINK("https://stock.pstatic.net/stock-research/company/63/20260210_company_495702000.pdf","PDF")</f>
        <v>PDF</v>
      </c>
      <c r="K5082" s="12" t="s">
        <v>7609</v>
      </c>
      <c r="L5082" s="20">
        <v>0.38306789606035208</v>
      </c>
    </row>
    <row r="5083" spans="1:12" x14ac:dyDescent="0.45">
      <c r="A5083" s="12" t="s">
        <v>7515</v>
      </c>
      <c r="B5083" s="12" t="s">
        <v>366</v>
      </c>
      <c r="C5083" s="13" t="s">
        <v>367</v>
      </c>
      <c r="D5083" s="13" t="s">
        <v>83</v>
      </c>
      <c r="E5083" s="12" t="s">
        <v>35</v>
      </c>
      <c r="F5083" s="14">
        <v>25000</v>
      </c>
      <c r="G5083" s="14">
        <v>18550</v>
      </c>
      <c r="H5083" s="13" t="s">
        <v>7610</v>
      </c>
      <c r="I5083" s="40" t="s">
        <v>18</v>
      </c>
      <c r="J5083" s="40" t="str">
        <f>HYPERLINK("https://stock.pstatic.net/stock-research/company/15/20260210_company_629638000.pdf","PDF")</f>
        <v>PDF</v>
      </c>
      <c r="K5083" s="12" t="s">
        <v>7611</v>
      </c>
      <c r="L5083" s="20">
        <v>0.34770889487870621</v>
      </c>
    </row>
    <row r="5084" spans="1:12" x14ac:dyDescent="0.45">
      <c r="A5084" s="12" t="s">
        <v>7515</v>
      </c>
      <c r="B5084" s="12" t="s">
        <v>1656</v>
      </c>
      <c r="C5084" s="13" t="s">
        <v>1657</v>
      </c>
      <c r="D5084" s="13" t="s">
        <v>83</v>
      </c>
      <c r="E5084" s="12" t="s">
        <v>35</v>
      </c>
      <c r="F5084" s="14">
        <v>410000</v>
      </c>
      <c r="G5084" s="14">
        <v>329500</v>
      </c>
      <c r="H5084" s="13" t="s">
        <v>7612</v>
      </c>
      <c r="I5084" s="40" t="s">
        <v>18</v>
      </c>
      <c r="J5084" s="40" t="str">
        <f>HYPERLINK("https://stock.pstatic.net/stock-research/company/15/20260210_company_60317000.pdf","PDF")</f>
        <v>PDF</v>
      </c>
      <c r="K5084" s="12" t="s">
        <v>7613</v>
      </c>
      <c r="L5084" s="20">
        <v>0.24430955993930201</v>
      </c>
    </row>
    <row r="5085" spans="1:12" x14ac:dyDescent="0.45">
      <c r="A5085" s="12" t="s">
        <v>7515</v>
      </c>
      <c r="B5085" s="12" t="s">
        <v>2435</v>
      </c>
      <c r="C5085" s="13" t="s">
        <v>2436</v>
      </c>
      <c r="D5085" s="13" t="s">
        <v>83</v>
      </c>
      <c r="E5085" s="12" t="s">
        <v>35</v>
      </c>
      <c r="F5085" s="14">
        <v>780000</v>
      </c>
      <c r="G5085" s="14">
        <v>540000</v>
      </c>
      <c r="H5085" s="13" t="s">
        <v>7614</v>
      </c>
      <c r="I5085" s="40" t="s">
        <v>18</v>
      </c>
      <c r="J5085" s="40" t="str">
        <f>HYPERLINK("https://stock.pstatic.net/stock-research/company/15/20260210_company_821076000.pdf","PDF")</f>
        <v>PDF</v>
      </c>
      <c r="K5085" s="12" t="s">
        <v>7615</v>
      </c>
      <c r="L5085" s="20">
        <v>0.44444444444444442</v>
      </c>
    </row>
    <row r="5086" spans="1:12" x14ac:dyDescent="0.45">
      <c r="A5086" s="12" t="s">
        <v>7515</v>
      </c>
      <c r="B5086" s="12" t="s">
        <v>2522</v>
      </c>
      <c r="C5086" s="13" t="s">
        <v>2523</v>
      </c>
      <c r="D5086" s="13" t="s">
        <v>83</v>
      </c>
      <c r="E5086" s="12" t="s">
        <v>35</v>
      </c>
      <c r="F5086" s="14">
        <v>370000</v>
      </c>
      <c r="G5086" s="14">
        <v>236500</v>
      </c>
      <c r="H5086" s="13" t="s">
        <v>7616</v>
      </c>
      <c r="I5086" s="40" t="s">
        <v>18</v>
      </c>
      <c r="J5086" s="40" t="str">
        <f>HYPERLINK("https://stock.pstatic.net/stock-research/company/15/20260210_company_944737000.pdf","PDF")</f>
        <v>PDF</v>
      </c>
      <c r="K5086" s="12" t="s">
        <v>7617</v>
      </c>
      <c r="L5086" s="20">
        <v>0.56448202959830862</v>
      </c>
    </row>
    <row r="5087" spans="1:12" x14ac:dyDescent="0.45">
      <c r="A5087" s="12" t="s">
        <v>7515</v>
      </c>
      <c r="B5087" s="12" t="s">
        <v>38</v>
      </c>
      <c r="C5087" s="13" t="s">
        <v>39</v>
      </c>
      <c r="D5087" s="13" t="s">
        <v>83</v>
      </c>
      <c r="E5087" s="12" t="s">
        <v>35</v>
      </c>
      <c r="F5087" s="14">
        <v>310000</v>
      </c>
      <c r="G5087" s="14">
        <v>258500</v>
      </c>
      <c r="H5087" s="13" t="s">
        <v>7618</v>
      </c>
      <c r="I5087" s="40" t="s">
        <v>18</v>
      </c>
      <c r="J5087" s="40" t="str">
        <f>HYPERLINK("https://stock.pstatic.net/stock-research/company/15/20260210_company_142636000.pdf","PDF")</f>
        <v>PDF</v>
      </c>
      <c r="K5087" s="12" t="s">
        <v>7619</v>
      </c>
      <c r="L5087" s="20">
        <v>0.19922630560928431</v>
      </c>
    </row>
    <row r="5088" spans="1:12" x14ac:dyDescent="0.45">
      <c r="A5088" s="12" t="s">
        <v>7515</v>
      </c>
      <c r="B5088" s="12" t="s">
        <v>2290</v>
      </c>
      <c r="C5088" s="13" t="s">
        <v>2291</v>
      </c>
      <c r="D5088" s="13" t="s">
        <v>83</v>
      </c>
      <c r="E5088" s="12" t="s">
        <v>642</v>
      </c>
      <c r="F5088" s="14">
        <v>5600</v>
      </c>
      <c r="G5088" s="14">
        <v>4995</v>
      </c>
      <c r="H5088" s="13" t="s">
        <v>7620</v>
      </c>
      <c r="I5088" s="40" t="s">
        <v>18</v>
      </c>
      <c r="J5088" s="40" t="str">
        <f>HYPERLINK("https://stock.pstatic.net/stock-research/company/15/20260210_company_975986000.pdf","PDF")</f>
        <v>PDF</v>
      </c>
      <c r="K5088" s="12" t="s">
        <v>7621</v>
      </c>
      <c r="L5088" s="20">
        <v>0.1211211211211211</v>
      </c>
    </row>
    <row r="5089" spans="1:12" x14ac:dyDescent="0.45">
      <c r="A5089" s="12" t="s">
        <v>7515</v>
      </c>
      <c r="B5089" s="12" t="s">
        <v>1023</v>
      </c>
      <c r="C5089" s="13" t="s">
        <v>15</v>
      </c>
      <c r="D5089" s="13" t="s">
        <v>83</v>
      </c>
      <c r="E5089" s="12" t="s">
        <v>642</v>
      </c>
      <c r="F5089" s="14">
        <v>53000</v>
      </c>
      <c r="G5089" s="14">
        <v>53400</v>
      </c>
      <c r="H5089" s="13" t="s">
        <v>7622</v>
      </c>
      <c r="I5089" s="40" t="s">
        <v>18</v>
      </c>
      <c r="J5089" s="40" t="str">
        <f>HYPERLINK("https://stock.pstatic.net/stock-research/company/15/20260210_company_42160000.pdf","PDF")</f>
        <v>PDF</v>
      </c>
      <c r="K5089" s="12" t="s">
        <v>7623</v>
      </c>
      <c r="L5089" s="20">
        <v>-7.4906367041198503E-3</v>
      </c>
    </row>
    <row r="5090" spans="1:12" x14ac:dyDescent="0.45">
      <c r="A5090" s="12" t="s">
        <v>7515</v>
      </c>
      <c r="B5090" s="12" t="s">
        <v>1407</v>
      </c>
      <c r="C5090" s="13" t="s">
        <v>1408</v>
      </c>
      <c r="D5090" s="13" t="s">
        <v>92</v>
      </c>
      <c r="E5090" s="12" t="s">
        <v>35</v>
      </c>
      <c r="F5090" s="14">
        <v>150000</v>
      </c>
      <c r="G5090" s="14">
        <v>128400</v>
      </c>
      <c r="H5090" s="13" t="s">
        <v>7624</v>
      </c>
      <c r="I5090" s="40" t="s">
        <v>18</v>
      </c>
      <c r="J5090" s="40" t="str">
        <f>HYPERLINK("https://stock.pstatic.net/stock-research/company/63/20260210_company_523395000.pdf","PDF")</f>
        <v>PDF</v>
      </c>
      <c r="K5090" s="12" t="s">
        <v>7625</v>
      </c>
      <c r="L5090" s="20">
        <v>0.16822429906542061</v>
      </c>
    </row>
    <row r="5091" spans="1:12" x14ac:dyDescent="0.45">
      <c r="A5091" s="12" t="s">
        <v>7515</v>
      </c>
      <c r="B5091" s="12" t="s">
        <v>880</v>
      </c>
      <c r="C5091" s="13" t="s">
        <v>881</v>
      </c>
      <c r="D5091" s="13" t="s">
        <v>23</v>
      </c>
      <c r="E5091" s="12" t="s">
        <v>16</v>
      </c>
      <c r="F5091" s="14">
        <v>17000</v>
      </c>
      <c r="G5091" s="14">
        <v>13160</v>
      </c>
      <c r="H5091" s="13" t="s">
        <v>7626</v>
      </c>
      <c r="I5091" s="40" t="s">
        <v>18</v>
      </c>
      <c r="J5091" s="40" t="str">
        <f>HYPERLINK("https://stock.pstatic.net/stock-research/company/21/20260210_company_728074000.pdf","PDF")</f>
        <v>PDF</v>
      </c>
      <c r="K5091" s="12" t="s">
        <v>7627</v>
      </c>
      <c r="L5091" s="20">
        <v>0.2917933130699088</v>
      </c>
    </row>
    <row r="5092" spans="1:12" x14ac:dyDescent="0.45">
      <c r="A5092" s="12" t="s">
        <v>7515</v>
      </c>
      <c r="B5092" s="12" t="s">
        <v>2522</v>
      </c>
      <c r="C5092" s="13" t="s">
        <v>2523</v>
      </c>
      <c r="D5092" s="13" t="s">
        <v>92</v>
      </c>
      <c r="E5092" s="12" t="s">
        <v>35</v>
      </c>
      <c r="F5092" s="14">
        <v>360000</v>
      </c>
      <c r="G5092" s="14">
        <v>236500</v>
      </c>
      <c r="H5092" s="13" t="s">
        <v>7628</v>
      </c>
      <c r="I5092" s="40" t="s">
        <v>18</v>
      </c>
      <c r="J5092" s="40" t="str">
        <f>HYPERLINK("https://stock.pstatic.net/stock-research/company/63/20260210_company_375232000.pdf","PDF")</f>
        <v>PDF</v>
      </c>
      <c r="K5092" s="12" t="s">
        <v>7629</v>
      </c>
      <c r="L5092" s="20">
        <v>0.52219873150105711</v>
      </c>
    </row>
    <row r="5093" spans="1:12" x14ac:dyDescent="0.45">
      <c r="A5093" s="12" t="s">
        <v>7515</v>
      </c>
      <c r="B5093" s="12" t="s">
        <v>3079</v>
      </c>
      <c r="C5093" s="13" t="s">
        <v>3080</v>
      </c>
      <c r="D5093" s="13" t="s">
        <v>23</v>
      </c>
      <c r="E5093" s="12" t="s">
        <v>16</v>
      </c>
      <c r="F5093" s="14">
        <v>97000</v>
      </c>
      <c r="G5093" s="14">
        <v>84400</v>
      </c>
      <c r="H5093" s="13" t="s">
        <v>7630</v>
      </c>
      <c r="I5093" s="40" t="s">
        <v>18</v>
      </c>
      <c r="J5093" s="40" t="str">
        <f>HYPERLINK("https://stock.pstatic.net/stock-research/company/21/20260210_company_209054000.pdf","PDF")</f>
        <v>PDF</v>
      </c>
      <c r="K5093" s="12" t="s">
        <v>7631</v>
      </c>
      <c r="L5093" s="20">
        <v>0.14928909952606631</v>
      </c>
    </row>
    <row r="5094" spans="1:12" x14ac:dyDescent="0.45">
      <c r="A5094" s="12" t="s">
        <v>7515</v>
      </c>
      <c r="B5094" s="12" t="s">
        <v>1656</v>
      </c>
      <c r="C5094" s="13" t="s">
        <v>1657</v>
      </c>
      <c r="D5094" s="13" t="s">
        <v>23</v>
      </c>
      <c r="E5094" s="12" t="s">
        <v>16</v>
      </c>
      <c r="F5094" s="14">
        <v>420000</v>
      </c>
      <c r="G5094" s="14">
        <v>355000</v>
      </c>
      <c r="H5094" s="13" t="s">
        <v>7632</v>
      </c>
      <c r="I5094" s="40" t="s">
        <v>18</v>
      </c>
      <c r="J5094" s="40" t="str">
        <f>HYPERLINK("https://stock.pstatic.net/stock-research/company/21/20260210_company_187946000.pdf","PDF")</f>
        <v>PDF</v>
      </c>
      <c r="K5094" s="12" t="s">
        <v>7633</v>
      </c>
      <c r="L5094" s="20">
        <v>0.18309859154929581</v>
      </c>
    </row>
    <row r="5095" spans="1:12" x14ac:dyDescent="0.45">
      <c r="A5095" s="12" t="s">
        <v>7515</v>
      </c>
      <c r="B5095" s="12" t="s">
        <v>366</v>
      </c>
      <c r="C5095" s="13" t="s">
        <v>367</v>
      </c>
      <c r="D5095" s="13" t="s">
        <v>23</v>
      </c>
      <c r="E5095" s="12" t="s">
        <v>16</v>
      </c>
      <c r="F5095" s="14">
        <v>25000</v>
      </c>
      <c r="G5095" s="14">
        <v>18250</v>
      </c>
      <c r="H5095" s="13" t="s">
        <v>7634</v>
      </c>
      <c r="I5095" s="40" t="s">
        <v>18</v>
      </c>
      <c r="J5095" s="40" t="str">
        <f>HYPERLINK("https://stock.pstatic.net/stock-research/company/21/20260210_company_587427000.pdf","PDF")</f>
        <v>PDF</v>
      </c>
      <c r="K5095" s="12" t="s">
        <v>7635</v>
      </c>
      <c r="L5095" s="20">
        <v>0.36986301369863012</v>
      </c>
    </row>
    <row r="5096" spans="1:12" x14ac:dyDescent="0.45">
      <c r="A5096" s="12" t="s">
        <v>7515</v>
      </c>
      <c r="B5096" s="12" t="s">
        <v>1407</v>
      </c>
      <c r="C5096" s="13" t="s">
        <v>1408</v>
      </c>
      <c r="D5096" s="13" t="s">
        <v>23</v>
      </c>
      <c r="E5096" s="12" t="s">
        <v>16</v>
      </c>
      <c r="F5096" s="14">
        <v>144000</v>
      </c>
      <c r="G5096" s="14">
        <v>128400</v>
      </c>
      <c r="H5096" s="13" t="s">
        <v>7636</v>
      </c>
      <c r="I5096" s="40" t="s">
        <v>18</v>
      </c>
      <c r="J5096" s="40" t="str">
        <f>HYPERLINK("https://stock.pstatic.net/stock-research/company/21/20260210_company_768404000.pdf","PDF")</f>
        <v>PDF</v>
      </c>
      <c r="K5096" s="12" t="s">
        <v>7637</v>
      </c>
      <c r="L5096" s="20">
        <v>0.1214953271028037</v>
      </c>
    </row>
    <row r="5097" spans="1:12" x14ac:dyDescent="0.45">
      <c r="A5097" s="12" t="s">
        <v>7515</v>
      </c>
      <c r="B5097" s="12" t="s">
        <v>3204</v>
      </c>
      <c r="C5097" s="13" t="s">
        <v>3205</v>
      </c>
      <c r="D5097" s="13" t="s">
        <v>23</v>
      </c>
      <c r="E5097" s="12" t="s">
        <v>50</v>
      </c>
      <c r="F5097" s="14">
        <v>5700</v>
      </c>
      <c r="G5097" s="14">
        <v>5770</v>
      </c>
      <c r="H5097" s="13" t="s">
        <v>7638</v>
      </c>
      <c r="I5097" s="40" t="s">
        <v>18</v>
      </c>
      <c r="J5097" s="40" t="str">
        <f>HYPERLINK("https://stock.pstatic.net/stock-research/company/21/20260210_company_879093000.pdf","PDF")</f>
        <v>PDF</v>
      </c>
      <c r="K5097" s="12" t="s">
        <v>7639</v>
      </c>
      <c r="L5097" s="20">
        <v>-1.2131715771230501E-2</v>
      </c>
    </row>
    <row r="5098" spans="1:12" x14ac:dyDescent="0.45">
      <c r="A5098" s="12" t="s">
        <v>7515</v>
      </c>
      <c r="B5098" s="12" t="s">
        <v>81</v>
      </c>
      <c r="C5098" s="13" t="s">
        <v>82</v>
      </c>
      <c r="D5098" s="13" t="s">
        <v>23</v>
      </c>
      <c r="E5098" s="12" t="s">
        <v>16</v>
      </c>
      <c r="F5098" s="14">
        <v>37000</v>
      </c>
      <c r="G5098" s="14">
        <v>26750</v>
      </c>
      <c r="H5098" s="13" t="s">
        <v>7640</v>
      </c>
      <c r="I5098" s="40" t="s">
        <v>18</v>
      </c>
      <c r="J5098" s="40" t="str">
        <f>HYPERLINK("https://stock.pstatic.net/stock-research/company/21/20260210_company_756860000.pdf","PDF")</f>
        <v>PDF</v>
      </c>
      <c r="K5098" s="12" t="s">
        <v>7641</v>
      </c>
      <c r="L5098" s="20">
        <v>0.38317757009345788</v>
      </c>
    </row>
    <row r="5099" spans="1:12" x14ac:dyDescent="0.45">
      <c r="A5099" s="12" t="s">
        <v>7515</v>
      </c>
      <c r="B5099" s="12" t="s">
        <v>1237</v>
      </c>
      <c r="C5099" s="13" t="s">
        <v>1238</v>
      </c>
      <c r="D5099" s="13" t="s">
        <v>34</v>
      </c>
      <c r="E5099" s="12" t="s">
        <v>35</v>
      </c>
      <c r="F5099" s="14">
        <v>8500</v>
      </c>
      <c r="G5099" s="14">
        <v>6090</v>
      </c>
      <c r="H5099" s="13" t="s">
        <v>7642</v>
      </c>
      <c r="I5099" s="40" t="s">
        <v>18</v>
      </c>
      <c r="J5099" s="40" t="str">
        <f>HYPERLINK("https://stock.pstatic.net/stock-research/company/61/20260210_company_660873000.pdf","PDF")</f>
        <v>PDF</v>
      </c>
      <c r="K5099" s="12" t="s">
        <v>7643</v>
      </c>
      <c r="L5099" s="20">
        <v>0.39573070607553368</v>
      </c>
    </row>
    <row r="5100" spans="1:12" x14ac:dyDescent="0.45">
      <c r="A5100" s="12" t="s">
        <v>7515</v>
      </c>
      <c r="B5100" s="12" t="s">
        <v>880</v>
      </c>
      <c r="C5100" s="13" t="s">
        <v>881</v>
      </c>
      <c r="D5100" s="13" t="s">
        <v>92</v>
      </c>
      <c r="E5100" s="12" t="s">
        <v>35</v>
      </c>
      <c r="F5100" s="14">
        <v>19000</v>
      </c>
      <c r="G5100" s="14">
        <v>16570</v>
      </c>
      <c r="H5100" s="13" t="s">
        <v>7644</v>
      </c>
      <c r="I5100" s="40" t="s">
        <v>18</v>
      </c>
      <c r="J5100" s="40" t="str">
        <f>HYPERLINK("https://stock.pstatic.net/stock-research/company/63/20260210_company_860008000.pdf","PDF")</f>
        <v>PDF</v>
      </c>
      <c r="K5100" s="12" t="s">
        <v>7645</v>
      </c>
      <c r="L5100" s="20">
        <v>0.14665057332528669</v>
      </c>
    </row>
    <row r="5101" spans="1:12" x14ac:dyDescent="0.45">
      <c r="A5101" s="12" t="s">
        <v>7515</v>
      </c>
      <c r="B5101" s="12" t="s">
        <v>102</v>
      </c>
      <c r="C5101" s="13" t="s">
        <v>103</v>
      </c>
      <c r="D5101" s="13" t="s">
        <v>23</v>
      </c>
      <c r="E5101" s="12" t="s">
        <v>16</v>
      </c>
      <c r="F5101" s="14">
        <v>25000</v>
      </c>
      <c r="G5101" s="14">
        <v>19890</v>
      </c>
      <c r="H5101" s="13" t="s">
        <v>7646</v>
      </c>
      <c r="I5101" s="40" t="s">
        <v>18</v>
      </c>
      <c r="J5101" s="40" t="str">
        <f>HYPERLINK("https://stock.pstatic.net/stock-research/company/21/20260210_company_365408000.pdf","PDF")</f>
        <v>PDF</v>
      </c>
      <c r="K5101" s="12" t="s">
        <v>7647</v>
      </c>
      <c r="L5101" s="20">
        <v>0.25691302161890389</v>
      </c>
    </row>
    <row r="5102" spans="1:12" x14ac:dyDescent="0.45">
      <c r="A5102" s="12" t="s">
        <v>7515</v>
      </c>
      <c r="B5102" s="12" t="s">
        <v>1023</v>
      </c>
      <c r="C5102" s="13" t="s">
        <v>15</v>
      </c>
      <c r="D5102" s="13" t="s">
        <v>23</v>
      </c>
      <c r="E5102" s="12" t="s">
        <v>50</v>
      </c>
      <c r="F5102" s="14">
        <v>54000</v>
      </c>
      <c r="G5102" s="14">
        <v>53400</v>
      </c>
      <c r="H5102" s="13" t="s">
        <v>7648</v>
      </c>
      <c r="I5102" s="40" t="s">
        <v>18</v>
      </c>
      <c r="J5102" s="40" t="str">
        <f>HYPERLINK("https://stock.pstatic.net/stock-research/company/21/20260210_company_753582000.pdf","PDF")</f>
        <v>PDF</v>
      </c>
      <c r="K5102" s="12" t="s">
        <v>7649</v>
      </c>
      <c r="L5102" s="20">
        <v>1.123595505617977E-2</v>
      </c>
    </row>
    <row r="5103" spans="1:12" x14ac:dyDescent="0.45">
      <c r="A5103" s="12" t="s">
        <v>7515</v>
      </c>
      <c r="B5103" s="12" t="s">
        <v>856</v>
      </c>
      <c r="C5103" s="13" t="s">
        <v>857</v>
      </c>
      <c r="D5103" s="13" t="s">
        <v>179</v>
      </c>
      <c r="E5103" s="12" t="s">
        <v>16</v>
      </c>
      <c r="F5103" s="14">
        <v>210000</v>
      </c>
      <c r="G5103" s="14">
        <v>168800</v>
      </c>
      <c r="H5103" s="13" t="s">
        <v>7650</v>
      </c>
      <c r="I5103" s="40" t="s">
        <v>18</v>
      </c>
      <c r="J5103" s="40" t="str">
        <f>HYPERLINK("https://stock.pstatic.net/stock-research/company/64/20260210_company_729699000.pdf","PDF")</f>
        <v>PDF</v>
      </c>
      <c r="K5103" s="12" t="s">
        <v>7651</v>
      </c>
      <c r="L5103" s="20">
        <v>0.24407582938388631</v>
      </c>
    </row>
    <row r="5104" spans="1:12" x14ac:dyDescent="0.45">
      <c r="A5104" s="12" t="s">
        <v>7515</v>
      </c>
      <c r="B5104" s="12" t="s">
        <v>1548</v>
      </c>
      <c r="C5104" s="13" t="s">
        <v>1549</v>
      </c>
      <c r="D5104" s="13" t="s">
        <v>23</v>
      </c>
      <c r="E5104" s="12" t="s">
        <v>16</v>
      </c>
      <c r="F5104" s="14">
        <v>1370000</v>
      </c>
      <c r="G5104" s="14">
        <v>1193000</v>
      </c>
      <c r="H5104" s="13" t="s">
        <v>7652</v>
      </c>
      <c r="I5104" s="40" t="s">
        <v>18</v>
      </c>
      <c r="J5104" s="40" t="str">
        <f>HYPERLINK("https://stock.pstatic.net/stock-research/company/21/20260210_company_911393000.pdf","PDF")</f>
        <v>PDF</v>
      </c>
      <c r="K5104" s="12" t="s">
        <v>7653</v>
      </c>
      <c r="L5104" s="20">
        <v>0.14836546521374691</v>
      </c>
    </row>
    <row r="5105" spans="1:12" x14ac:dyDescent="0.45">
      <c r="A5105" s="12" t="s">
        <v>7515</v>
      </c>
      <c r="B5105" s="12" t="s">
        <v>3204</v>
      </c>
      <c r="C5105" s="13" t="s">
        <v>3205</v>
      </c>
      <c r="D5105" s="13" t="s">
        <v>34</v>
      </c>
      <c r="E5105" s="12" t="s">
        <v>35</v>
      </c>
      <c r="F5105" s="14">
        <v>6700</v>
      </c>
      <c r="G5105" s="14">
        <v>5770</v>
      </c>
      <c r="H5105" s="13" t="s">
        <v>7654</v>
      </c>
      <c r="I5105" s="40" t="s">
        <v>18</v>
      </c>
      <c r="J5105" s="40" t="str">
        <f>HYPERLINK("https://stock.pstatic.net/stock-research/company/61/20260210_company_766203000.pdf","PDF")</f>
        <v>PDF</v>
      </c>
      <c r="K5105" s="12" t="s">
        <v>7655</v>
      </c>
      <c r="L5105" s="20">
        <v>0.16117850953206239</v>
      </c>
    </row>
    <row r="5106" spans="1:12" x14ac:dyDescent="0.45">
      <c r="A5106" s="12" t="s">
        <v>7515</v>
      </c>
      <c r="B5106" s="12" t="s">
        <v>102</v>
      </c>
      <c r="C5106" s="13" t="s">
        <v>103</v>
      </c>
      <c r="D5106" s="13" t="s">
        <v>92</v>
      </c>
      <c r="E5106" s="12" t="s">
        <v>35</v>
      </c>
      <c r="F5106" s="14">
        <v>23000</v>
      </c>
      <c r="G5106" s="14">
        <v>19890</v>
      </c>
      <c r="H5106" s="13" t="s">
        <v>7656</v>
      </c>
      <c r="I5106" s="40" t="s">
        <v>18</v>
      </c>
      <c r="J5106" s="40" t="str">
        <f>HYPERLINK("https://stock.pstatic.net/stock-research/company/63/20260210_company_793689000.pdf","PDF")</f>
        <v>PDF</v>
      </c>
      <c r="K5106" s="12" t="s">
        <v>7657</v>
      </c>
      <c r="L5106" s="20">
        <v>0.15635997988939171</v>
      </c>
    </row>
    <row r="5107" spans="1:12" x14ac:dyDescent="0.45">
      <c r="A5107" s="12" t="s">
        <v>7515</v>
      </c>
      <c r="B5107" s="12" t="s">
        <v>2522</v>
      </c>
      <c r="C5107" s="13" t="s">
        <v>2523</v>
      </c>
      <c r="D5107" s="13" t="s">
        <v>179</v>
      </c>
      <c r="E5107" s="12" t="s">
        <v>16</v>
      </c>
      <c r="F5107" s="14">
        <v>330000</v>
      </c>
      <c r="G5107" s="14">
        <v>236500</v>
      </c>
      <c r="H5107" s="13" t="s">
        <v>7658</v>
      </c>
      <c r="I5107" s="40" t="s">
        <v>18</v>
      </c>
      <c r="J5107" s="40" t="str">
        <f>HYPERLINK("https://stock.pstatic.net/stock-research/company/64/20260210_company_757151000.pdf","PDF")</f>
        <v>PDF</v>
      </c>
      <c r="K5107" s="12" t="s">
        <v>7659</v>
      </c>
      <c r="L5107" s="20">
        <v>0.39534883720930231</v>
      </c>
    </row>
    <row r="5108" spans="1:12" x14ac:dyDescent="0.45">
      <c r="A5108" s="12" t="s">
        <v>7515</v>
      </c>
      <c r="B5108" s="12" t="s">
        <v>1270</v>
      </c>
      <c r="C5108" s="13" t="s">
        <v>1271</v>
      </c>
      <c r="D5108" s="13" t="s">
        <v>23</v>
      </c>
      <c r="E5108" s="12" t="s">
        <v>16</v>
      </c>
      <c r="F5108" s="14">
        <v>125000</v>
      </c>
      <c r="G5108" s="14">
        <v>92600</v>
      </c>
      <c r="H5108" s="13" t="s">
        <v>7660</v>
      </c>
      <c r="I5108" s="40" t="s">
        <v>18</v>
      </c>
      <c r="J5108" s="40" t="str">
        <f>HYPERLINK("https://stock.pstatic.net/stock-research/company/21/20260210_company_604583000.pdf","PDF")</f>
        <v>PDF</v>
      </c>
      <c r="K5108" s="12" t="s">
        <v>7661</v>
      </c>
      <c r="L5108" s="20">
        <v>0.34989200863930892</v>
      </c>
    </row>
    <row r="5109" spans="1:12" x14ac:dyDescent="0.45">
      <c r="A5109" s="12" t="s">
        <v>7515</v>
      </c>
      <c r="B5109" s="12" t="s">
        <v>1656</v>
      </c>
      <c r="C5109" s="13" t="s">
        <v>1657</v>
      </c>
      <c r="D5109" s="13" t="s">
        <v>53</v>
      </c>
      <c r="E5109" s="12" t="s">
        <v>16</v>
      </c>
      <c r="F5109" s="14">
        <v>410000</v>
      </c>
      <c r="G5109" s="14">
        <v>355000</v>
      </c>
      <c r="H5109" s="13" t="s">
        <v>7662</v>
      </c>
      <c r="I5109" s="40" t="s">
        <v>18</v>
      </c>
      <c r="J5109" s="40" t="str">
        <f>HYPERLINK("https://stock.pstatic.net/stock-research/company/40/20260210_company_956656000.pdf","PDF")</f>
        <v>PDF</v>
      </c>
      <c r="K5109" s="12" t="s">
        <v>7663</v>
      </c>
      <c r="L5109" s="20">
        <v>0.15492957746478869</v>
      </c>
    </row>
    <row r="5110" spans="1:12" x14ac:dyDescent="0.45">
      <c r="A5110" s="12" t="s">
        <v>7515</v>
      </c>
      <c r="B5110" s="12" t="s">
        <v>102</v>
      </c>
      <c r="C5110" s="13" t="s">
        <v>103</v>
      </c>
      <c r="D5110" s="13" t="s">
        <v>34</v>
      </c>
      <c r="E5110" s="12" t="s">
        <v>35</v>
      </c>
      <c r="F5110" s="14">
        <v>25000</v>
      </c>
      <c r="G5110" s="14">
        <v>19890</v>
      </c>
      <c r="H5110" s="13" t="s">
        <v>7664</v>
      </c>
      <c r="I5110" s="40" t="s">
        <v>18</v>
      </c>
      <c r="J5110" s="40" t="str">
        <f>HYPERLINK("https://stock.pstatic.net/stock-research/company/61/20260210_company_709242000.pdf","PDF")</f>
        <v>PDF</v>
      </c>
      <c r="K5110" s="12" t="s">
        <v>7665</v>
      </c>
      <c r="L5110" s="20">
        <v>0.25691302161890389</v>
      </c>
    </row>
    <row r="5111" spans="1:12" x14ac:dyDescent="0.45">
      <c r="A5111" s="12" t="s">
        <v>7515</v>
      </c>
      <c r="B5111" s="12" t="s">
        <v>2435</v>
      </c>
      <c r="C5111" s="13" t="s">
        <v>2436</v>
      </c>
      <c r="D5111" s="13" t="s">
        <v>34</v>
      </c>
      <c r="E5111" s="12" t="s">
        <v>35</v>
      </c>
      <c r="F5111" s="14">
        <v>860000</v>
      </c>
      <c r="G5111" s="14">
        <v>540000</v>
      </c>
      <c r="H5111" s="13" t="s">
        <v>7666</v>
      </c>
      <c r="I5111" s="40" t="s">
        <v>18</v>
      </c>
      <c r="J5111" s="40" t="str">
        <f>HYPERLINK("https://stock.pstatic.net/stock-research/company/61/20260210_company_705413000.pdf","PDF")</f>
        <v>PDF</v>
      </c>
      <c r="K5111" s="12" t="s">
        <v>7667</v>
      </c>
      <c r="L5111" s="20">
        <v>0.59259259259259256</v>
      </c>
    </row>
    <row r="5112" spans="1:12" x14ac:dyDescent="0.45">
      <c r="A5112" s="12" t="s">
        <v>7515</v>
      </c>
      <c r="B5112" s="12" t="s">
        <v>1548</v>
      </c>
      <c r="C5112" s="13" t="s">
        <v>1549</v>
      </c>
      <c r="D5112" s="13" t="s">
        <v>34</v>
      </c>
      <c r="E5112" s="12" t="s">
        <v>35</v>
      </c>
      <c r="F5112" s="14">
        <v>1680000</v>
      </c>
      <c r="G5112" s="14">
        <v>1193000</v>
      </c>
      <c r="H5112" s="13" t="s">
        <v>7668</v>
      </c>
      <c r="I5112" s="40" t="s">
        <v>18</v>
      </c>
      <c r="J5112" s="40" t="str">
        <f>HYPERLINK("https://stock.pstatic.net/stock-research/company/61/20260210_company_473874000.pdf","PDF")</f>
        <v>PDF</v>
      </c>
      <c r="K5112" s="12" t="s">
        <v>7669</v>
      </c>
      <c r="L5112" s="20">
        <v>0.40821458507963121</v>
      </c>
    </row>
    <row r="5113" spans="1:12" x14ac:dyDescent="0.45">
      <c r="A5113" s="12" t="s">
        <v>7515</v>
      </c>
      <c r="B5113" s="12" t="s">
        <v>3168</v>
      </c>
      <c r="C5113" s="13" t="s">
        <v>3169</v>
      </c>
      <c r="D5113" s="13" t="s">
        <v>44</v>
      </c>
      <c r="E5113" s="12" t="s">
        <v>35</v>
      </c>
      <c r="F5113" s="14">
        <v>22500</v>
      </c>
      <c r="G5113" s="14">
        <v>17870</v>
      </c>
      <c r="H5113" s="13" t="s">
        <v>7670</v>
      </c>
      <c r="I5113" s="40" t="s">
        <v>18</v>
      </c>
      <c r="J5113" s="40" t="str">
        <f>HYPERLINK("https://stock.pstatic.net/stock-research/company/39/20260210_company_636179000.pdf","PDF")</f>
        <v>PDF</v>
      </c>
      <c r="K5113" s="12" t="s">
        <v>7671</v>
      </c>
      <c r="L5113" s="20">
        <v>0.25909345271404588</v>
      </c>
    </row>
    <row r="5114" spans="1:12" x14ac:dyDescent="0.45">
      <c r="A5114" s="12" t="s">
        <v>7515</v>
      </c>
      <c r="B5114" s="12" t="s">
        <v>3204</v>
      </c>
      <c r="C5114" s="13" t="s">
        <v>3205</v>
      </c>
      <c r="D5114" s="13" t="s">
        <v>44</v>
      </c>
      <c r="E5114" s="12" t="s">
        <v>35</v>
      </c>
      <c r="F5114" s="14">
        <v>7700</v>
      </c>
      <c r="G5114" s="14">
        <v>5770</v>
      </c>
      <c r="H5114" s="13" t="s">
        <v>7672</v>
      </c>
      <c r="I5114" s="40" t="s">
        <v>18</v>
      </c>
      <c r="J5114" s="40" t="str">
        <f>HYPERLINK("https://stock.pstatic.net/stock-research/company/39/20260210_company_275900000.pdf","PDF")</f>
        <v>PDF</v>
      </c>
      <c r="K5114" s="12" t="s">
        <v>7673</v>
      </c>
      <c r="L5114" s="20">
        <v>0.33448873483535529</v>
      </c>
    </row>
    <row r="5115" spans="1:12" x14ac:dyDescent="0.45">
      <c r="A5115" s="12" t="s">
        <v>7515</v>
      </c>
      <c r="B5115" s="12" t="s">
        <v>1023</v>
      </c>
      <c r="C5115" s="13" t="s">
        <v>15</v>
      </c>
      <c r="D5115" s="13" t="s">
        <v>44</v>
      </c>
      <c r="E5115" s="12" t="s">
        <v>35</v>
      </c>
      <c r="F5115" s="14">
        <v>75000</v>
      </c>
      <c r="G5115" s="14">
        <v>53400</v>
      </c>
      <c r="H5115" s="13" t="s">
        <v>7674</v>
      </c>
      <c r="I5115" s="40" t="s">
        <v>18</v>
      </c>
      <c r="J5115" s="40" t="str">
        <f>HYPERLINK("https://stock.pstatic.net/stock-research/company/39/20260210_company_211188000.pdf","PDF")</f>
        <v>PDF</v>
      </c>
      <c r="K5115" s="12" t="s">
        <v>7675</v>
      </c>
      <c r="L5115" s="20">
        <v>0.4044943820224719</v>
      </c>
    </row>
    <row r="5116" spans="1:12" x14ac:dyDescent="0.45">
      <c r="A5116" s="12" t="s">
        <v>7515</v>
      </c>
      <c r="B5116" s="12" t="s">
        <v>81</v>
      </c>
      <c r="C5116" s="13" t="s">
        <v>82</v>
      </c>
      <c r="D5116" s="13" t="s">
        <v>44</v>
      </c>
      <c r="E5116" s="12" t="s">
        <v>35</v>
      </c>
      <c r="F5116" s="14">
        <v>32300</v>
      </c>
      <c r="G5116" s="14">
        <v>26750</v>
      </c>
      <c r="H5116" s="13" t="s">
        <v>7676</v>
      </c>
      <c r="I5116" s="40" t="s">
        <v>18</v>
      </c>
      <c r="J5116" s="40" t="str">
        <f>HYPERLINK("https://stock.pstatic.net/stock-research/company/39/20260210_company_868497000.pdf","PDF")</f>
        <v>PDF</v>
      </c>
      <c r="K5116" s="12" t="s">
        <v>7677</v>
      </c>
      <c r="L5116" s="20">
        <v>0.20747663551401871</v>
      </c>
    </row>
    <row r="5117" spans="1:12" x14ac:dyDescent="0.45">
      <c r="A5117" s="12" t="s">
        <v>7515</v>
      </c>
      <c r="B5117" s="12" t="s">
        <v>1270</v>
      </c>
      <c r="C5117" s="13" t="s">
        <v>1271</v>
      </c>
      <c r="D5117" s="13" t="s">
        <v>44</v>
      </c>
      <c r="E5117" s="12" t="s">
        <v>35</v>
      </c>
      <c r="F5117" s="14">
        <v>120000</v>
      </c>
      <c r="G5117" s="14">
        <v>92600</v>
      </c>
      <c r="H5117" s="13" t="s">
        <v>7678</v>
      </c>
      <c r="I5117" s="40" t="s">
        <v>18</v>
      </c>
      <c r="J5117" s="40" t="str">
        <f>HYPERLINK("https://stock.pstatic.net/stock-research/company/39/20260210_company_724268000.pdf","PDF")</f>
        <v>PDF</v>
      </c>
      <c r="K5117" s="12" t="s">
        <v>7679</v>
      </c>
      <c r="L5117" s="20">
        <v>0.29589632829373652</v>
      </c>
    </row>
    <row r="5118" spans="1:12" x14ac:dyDescent="0.45">
      <c r="A5118" s="12" t="s">
        <v>7515</v>
      </c>
      <c r="B5118" s="12" t="s">
        <v>3204</v>
      </c>
      <c r="C5118" s="13" t="s">
        <v>3205</v>
      </c>
      <c r="D5118" s="13" t="s">
        <v>92</v>
      </c>
      <c r="E5118" s="12" t="s">
        <v>35</v>
      </c>
      <c r="F5118" s="14">
        <v>6900</v>
      </c>
      <c r="G5118" s="14">
        <v>5770</v>
      </c>
      <c r="H5118" s="13" t="s">
        <v>7680</v>
      </c>
      <c r="I5118" s="40" t="s">
        <v>18</v>
      </c>
      <c r="J5118" s="40" t="str">
        <f>HYPERLINK("https://stock.pstatic.net/stock-research/company/63/20260210_company_86521000.pdf","PDF")</f>
        <v>PDF</v>
      </c>
      <c r="K5118" s="12" t="s">
        <v>7681</v>
      </c>
      <c r="L5118" s="20">
        <v>0.19584055459272101</v>
      </c>
    </row>
    <row r="5119" spans="1:12" x14ac:dyDescent="0.45">
      <c r="A5119" s="12" t="s">
        <v>7515</v>
      </c>
      <c r="B5119" s="12" t="s">
        <v>13</v>
      </c>
      <c r="C5119" s="13" t="s">
        <v>14</v>
      </c>
      <c r="D5119" s="13" t="s">
        <v>44</v>
      </c>
      <c r="E5119" s="12" t="s">
        <v>35</v>
      </c>
      <c r="F5119" s="14">
        <v>210000</v>
      </c>
      <c r="G5119" s="14">
        <v>166400</v>
      </c>
      <c r="H5119" s="13" t="s">
        <v>7682</v>
      </c>
      <c r="I5119" s="40" t="s">
        <v>18</v>
      </c>
      <c r="J5119" s="40" t="str">
        <f>HYPERLINK("https://stock.pstatic.net/stock-research/company/39/20260210_company_598025000.pdf","PDF")</f>
        <v>PDF</v>
      </c>
      <c r="K5119" s="12" t="s">
        <v>7683</v>
      </c>
      <c r="L5119" s="20">
        <v>0.26201923076923078</v>
      </c>
    </row>
    <row r="5120" spans="1:12" x14ac:dyDescent="0.45">
      <c r="A5120" s="12" t="s">
        <v>7515</v>
      </c>
      <c r="B5120" s="12" t="s">
        <v>1656</v>
      </c>
      <c r="C5120" s="13" t="s">
        <v>1657</v>
      </c>
      <c r="D5120" s="13" t="s">
        <v>44</v>
      </c>
      <c r="E5120" s="12" t="s">
        <v>35</v>
      </c>
      <c r="F5120" s="14">
        <v>450000</v>
      </c>
      <c r="G5120" s="14">
        <v>355000</v>
      </c>
      <c r="H5120" s="13" t="s">
        <v>7684</v>
      </c>
      <c r="I5120" s="40" t="s">
        <v>18</v>
      </c>
      <c r="J5120" s="40" t="str">
        <f>HYPERLINK("https://stock.pstatic.net/stock-research/company/39/20260210_company_163752000.pdf","PDF")</f>
        <v>PDF</v>
      </c>
      <c r="K5120" s="12" t="s">
        <v>7685</v>
      </c>
      <c r="L5120" s="20">
        <v>0.26760563380281688</v>
      </c>
    </row>
    <row r="5121" spans="1:12" x14ac:dyDescent="0.45">
      <c r="A5121" s="12" t="s">
        <v>7515</v>
      </c>
      <c r="B5121" s="12" t="s">
        <v>1087</v>
      </c>
      <c r="C5121" s="13" t="s">
        <v>1088</v>
      </c>
      <c r="D5121" s="13" t="s">
        <v>44</v>
      </c>
      <c r="E5121" s="12" t="s">
        <v>35</v>
      </c>
      <c r="F5121" s="14">
        <v>190000</v>
      </c>
      <c r="G5121" s="14">
        <v>154800</v>
      </c>
      <c r="H5121" s="13" t="s">
        <v>7686</v>
      </c>
      <c r="I5121" s="40" t="s">
        <v>18</v>
      </c>
      <c r="J5121" s="40" t="str">
        <f>HYPERLINK("https://stock.pstatic.net/stock-research/company/39/20260210_company_70631000.pdf","PDF")</f>
        <v>PDF</v>
      </c>
      <c r="K5121" s="12" t="s">
        <v>7687</v>
      </c>
      <c r="L5121" s="20">
        <v>0.22739018087855301</v>
      </c>
    </row>
    <row r="5122" spans="1:12" x14ac:dyDescent="0.45">
      <c r="A5122" s="12" t="s">
        <v>7515</v>
      </c>
      <c r="B5122" s="12" t="s">
        <v>856</v>
      </c>
      <c r="C5122" s="13" t="s">
        <v>857</v>
      </c>
      <c r="D5122" s="13" t="s">
        <v>44</v>
      </c>
      <c r="E5122" s="12" t="s">
        <v>35</v>
      </c>
      <c r="F5122" s="14">
        <v>240000</v>
      </c>
      <c r="G5122" s="14">
        <v>168800</v>
      </c>
      <c r="H5122" s="13" t="s">
        <v>7688</v>
      </c>
      <c r="I5122" s="40" t="s">
        <v>18</v>
      </c>
      <c r="J5122" s="40" t="str">
        <f>HYPERLINK("https://stock.pstatic.net/stock-research/company/39/20260210_company_512166000.pdf","PDF")</f>
        <v>PDF</v>
      </c>
      <c r="K5122" s="12" t="s">
        <v>7689</v>
      </c>
      <c r="L5122" s="20">
        <v>0.4218009478672986</v>
      </c>
    </row>
    <row r="5123" spans="1:12" x14ac:dyDescent="0.45">
      <c r="A5123" s="12" t="s">
        <v>7515</v>
      </c>
      <c r="B5123" s="12" t="s">
        <v>1656</v>
      </c>
      <c r="C5123" s="13" t="s">
        <v>1657</v>
      </c>
      <c r="D5123" s="13" t="s">
        <v>15</v>
      </c>
      <c r="E5123" s="12" t="s">
        <v>16</v>
      </c>
      <c r="F5123" s="14">
        <v>430000</v>
      </c>
      <c r="G5123" s="14">
        <v>355000</v>
      </c>
      <c r="H5123" s="13" t="s">
        <v>7690</v>
      </c>
      <c r="I5123" s="40" t="s">
        <v>18</v>
      </c>
      <c r="J5123" s="40" t="str">
        <f>HYPERLINK("https://stock.pstatic.net/stock-research/company/56/20260210_company_458451000.pdf","PDF")</f>
        <v>PDF</v>
      </c>
      <c r="K5123" s="12" t="s">
        <v>7691</v>
      </c>
      <c r="L5123" s="20">
        <v>0.21126760563380281</v>
      </c>
    </row>
    <row r="5124" spans="1:12" x14ac:dyDescent="0.45">
      <c r="A5124" s="12" t="s">
        <v>7515</v>
      </c>
      <c r="B5124" s="12" t="s">
        <v>81</v>
      </c>
      <c r="C5124" s="13" t="s">
        <v>82</v>
      </c>
      <c r="D5124" s="13" t="s">
        <v>15</v>
      </c>
      <c r="E5124" s="12" t="s">
        <v>16</v>
      </c>
      <c r="F5124" s="14">
        <v>33000</v>
      </c>
      <c r="G5124" s="14">
        <v>26750</v>
      </c>
      <c r="H5124" s="13" t="s">
        <v>7692</v>
      </c>
      <c r="I5124" s="40" t="s">
        <v>18</v>
      </c>
      <c r="J5124" s="40" t="str">
        <f>HYPERLINK("https://stock.pstatic.net/stock-research/company/56/20260210_company_681822000.pdf","PDF")</f>
        <v>PDF</v>
      </c>
      <c r="K5124" s="12" t="s">
        <v>7693</v>
      </c>
      <c r="L5124" s="20">
        <v>0.23364485981308411</v>
      </c>
    </row>
    <row r="5125" spans="1:12" x14ac:dyDescent="0.45">
      <c r="A5125" s="12" t="s">
        <v>7515</v>
      </c>
      <c r="B5125" s="12" t="s">
        <v>3204</v>
      </c>
      <c r="C5125" s="13" t="s">
        <v>3205</v>
      </c>
      <c r="D5125" s="13" t="s">
        <v>53</v>
      </c>
      <c r="E5125" s="12" t="s">
        <v>16</v>
      </c>
      <c r="F5125" s="14">
        <v>8200</v>
      </c>
      <c r="G5125" s="14">
        <v>5770</v>
      </c>
      <c r="H5125" s="13" t="s">
        <v>7694</v>
      </c>
      <c r="I5125" s="40" t="s">
        <v>18</v>
      </c>
      <c r="J5125" s="40" t="str">
        <f>HYPERLINK("https://stock.pstatic.net/stock-research/company/40/20260210_company_678207000.pdf","PDF")</f>
        <v>PDF</v>
      </c>
      <c r="K5125" s="12" t="s">
        <v>7695</v>
      </c>
      <c r="L5125" s="20">
        <v>0.42114384748700168</v>
      </c>
    </row>
    <row r="5126" spans="1:12" x14ac:dyDescent="0.45">
      <c r="A5126" s="12" t="s">
        <v>7696</v>
      </c>
      <c r="B5126" s="12" t="s">
        <v>3154</v>
      </c>
      <c r="C5126" s="13" t="s">
        <v>3155</v>
      </c>
      <c r="D5126" s="13" t="s">
        <v>57</v>
      </c>
      <c r="E5126" s="12" t="s">
        <v>35</v>
      </c>
      <c r="F5126" s="14">
        <v>9000</v>
      </c>
      <c r="G5126" s="14">
        <v>6240</v>
      </c>
      <c r="H5126" s="13" t="s">
        <v>7697</v>
      </c>
      <c r="I5126" s="40" t="s">
        <v>18</v>
      </c>
      <c r="J5126" s="40" t="str">
        <f>HYPERLINK("https://stock.pstatic.net/stock-research/company/16/20260209_company_540377000.pdf","PDF")</f>
        <v>PDF</v>
      </c>
      <c r="K5126" s="12" t="s">
        <v>7698</v>
      </c>
      <c r="L5126" s="20">
        <v>0.44230769230769229</v>
      </c>
    </row>
    <row r="5127" spans="1:12" x14ac:dyDescent="0.45">
      <c r="A5127" s="12" t="s">
        <v>7696</v>
      </c>
      <c r="B5127" s="12" t="s">
        <v>2944</v>
      </c>
      <c r="C5127" s="13" t="s">
        <v>2945</v>
      </c>
      <c r="D5127" s="13" t="s">
        <v>57</v>
      </c>
      <c r="E5127" s="12" t="s">
        <v>35</v>
      </c>
      <c r="F5127" s="14">
        <v>23000</v>
      </c>
      <c r="G5127" s="14">
        <v>18500</v>
      </c>
      <c r="H5127" s="13" t="s">
        <v>7699</v>
      </c>
      <c r="I5127" s="40" t="s">
        <v>18</v>
      </c>
      <c r="J5127" s="40" t="str">
        <f>HYPERLINK("https://stock.pstatic.net/stock-research/company/16/20260209_company_893739000.pdf","PDF")</f>
        <v>PDF</v>
      </c>
      <c r="K5127" s="12" t="s">
        <v>7700</v>
      </c>
      <c r="L5127" s="20">
        <v>0.24324324324324331</v>
      </c>
    </row>
    <row r="5128" spans="1:12" x14ac:dyDescent="0.45">
      <c r="A5128" s="12" t="s">
        <v>7696</v>
      </c>
      <c r="B5128" s="12" t="s">
        <v>3488</v>
      </c>
      <c r="C5128" s="13" t="s">
        <v>3489</v>
      </c>
      <c r="D5128" s="13" t="s">
        <v>57</v>
      </c>
      <c r="E5128" s="12" t="s">
        <v>35</v>
      </c>
      <c r="F5128" s="14">
        <v>41000</v>
      </c>
      <c r="G5128" s="14">
        <v>32450</v>
      </c>
      <c r="H5128" s="13" t="s">
        <v>7701</v>
      </c>
      <c r="I5128" s="40" t="s">
        <v>18</v>
      </c>
      <c r="J5128" s="40" t="str">
        <f>HYPERLINK("https://stock.pstatic.net/stock-research/company/16/20260209_company_557982000.pdf","PDF")</f>
        <v>PDF</v>
      </c>
      <c r="K5128" s="12" t="s">
        <v>7702</v>
      </c>
      <c r="L5128" s="20">
        <v>0.26348228043143301</v>
      </c>
    </row>
    <row r="5129" spans="1:12" x14ac:dyDescent="0.45">
      <c r="A5129" s="12" t="s">
        <v>7696</v>
      </c>
      <c r="B5129" s="12" t="s">
        <v>3168</v>
      </c>
      <c r="C5129" s="13" t="s">
        <v>3169</v>
      </c>
      <c r="D5129" s="13" t="s">
        <v>57</v>
      </c>
      <c r="E5129" s="12" t="s">
        <v>35</v>
      </c>
      <c r="F5129" s="14">
        <v>21000</v>
      </c>
      <c r="G5129" s="14">
        <v>17500</v>
      </c>
      <c r="H5129" s="13" t="s">
        <v>7703</v>
      </c>
      <c r="I5129" s="40" t="s">
        <v>18</v>
      </c>
      <c r="J5129" s="40" t="str">
        <f>HYPERLINK("https://stock.pstatic.net/stock-research/company/16/20260209_company_421152000.pdf","PDF")</f>
        <v>PDF</v>
      </c>
      <c r="K5129" s="12" t="s">
        <v>7704</v>
      </c>
      <c r="L5129" s="20">
        <v>0.2</v>
      </c>
    </row>
    <row r="5130" spans="1:12" x14ac:dyDescent="0.45">
      <c r="A5130" s="12" t="s">
        <v>7696</v>
      </c>
      <c r="B5130" s="12" t="s">
        <v>2956</v>
      </c>
      <c r="C5130" s="13" t="s">
        <v>2957</v>
      </c>
      <c r="D5130" s="13" t="s">
        <v>57</v>
      </c>
      <c r="E5130" s="12" t="s">
        <v>35</v>
      </c>
      <c r="F5130" s="14">
        <v>24000</v>
      </c>
      <c r="G5130" s="14">
        <v>19110</v>
      </c>
      <c r="H5130" s="13" t="s">
        <v>7705</v>
      </c>
      <c r="I5130" s="40" t="s">
        <v>18</v>
      </c>
      <c r="J5130" s="40" t="str">
        <f>HYPERLINK("https://stock.pstatic.net/stock-research/company/16/20260209_company_751935000.pdf","PDF")</f>
        <v>PDF</v>
      </c>
      <c r="K5130" s="12" t="s">
        <v>7706</v>
      </c>
      <c r="L5130" s="20">
        <v>0.25588697017268452</v>
      </c>
    </row>
    <row r="5131" spans="1:12" x14ac:dyDescent="0.45">
      <c r="A5131" s="12" t="s">
        <v>7696</v>
      </c>
      <c r="B5131" s="12" t="s">
        <v>3349</v>
      </c>
      <c r="C5131" s="13" t="s">
        <v>7707</v>
      </c>
      <c r="D5131" s="13" t="s">
        <v>57</v>
      </c>
      <c r="E5131" s="12" t="s">
        <v>35</v>
      </c>
      <c r="F5131" s="14">
        <v>32000</v>
      </c>
      <c r="G5131" s="14">
        <v>20900</v>
      </c>
      <c r="H5131" s="13" t="s">
        <v>7708</v>
      </c>
      <c r="I5131" s="40" t="s">
        <v>18</v>
      </c>
      <c r="J5131" s="40" t="str">
        <f>HYPERLINK("https://stock.pstatic.net/stock-research/company/16/20260209_company_437045000.pdf","PDF")</f>
        <v>PDF</v>
      </c>
      <c r="K5131" s="12" t="s">
        <v>7709</v>
      </c>
      <c r="L5131" s="20">
        <v>0.53110047846889952</v>
      </c>
    </row>
    <row r="5132" spans="1:12" x14ac:dyDescent="0.45">
      <c r="A5132" s="12" t="s">
        <v>7696</v>
      </c>
      <c r="B5132" s="12" t="s">
        <v>2982</v>
      </c>
      <c r="C5132" s="13" t="s">
        <v>2983</v>
      </c>
      <c r="D5132" s="13" t="s">
        <v>57</v>
      </c>
      <c r="E5132" s="12" t="s">
        <v>35</v>
      </c>
      <c r="F5132" s="14">
        <v>54000</v>
      </c>
      <c r="G5132" s="14">
        <v>45050</v>
      </c>
      <c r="H5132" s="13" t="s">
        <v>7710</v>
      </c>
      <c r="I5132" s="40" t="s">
        <v>18</v>
      </c>
      <c r="J5132" s="40" t="str">
        <f>HYPERLINK("https://stock.pstatic.net/stock-research/company/16/20260209_company_536223000.pdf","PDF")</f>
        <v>PDF</v>
      </c>
      <c r="K5132" s="12" t="s">
        <v>7711</v>
      </c>
      <c r="L5132" s="20">
        <v>0.19866814650388459</v>
      </c>
    </row>
    <row r="5133" spans="1:12" x14ac:dyDescent="0.45">
      <c r="A5133" s="12" t="s">
        <v>7696</v>
      </c>
      <c r="B5133" s="12" t="s">
        <v>434</v>
      </c>
      <c r="C5133" s="13" t="s">
        <v>435</v>
      </c>
      <c r="D5133" s="13" t="s">
        <v>57</v>
      </c>
      <c r="E5133" s="12" t="s">
        <v>35</v>
      </c>
      <c r="F5133" s="14">
        <v>180000</v>
      </c>
      <c r="G5133" s="14">
        <v>137300</v>
      </c>
      <c r="H5133" s="13" t="s">
        <v>7712</v>
      </c>
      <c r="I5133" s="40" t="s">
        <v>18</v>
      </c>
      <c r="J5133" s="40" t="str">
        <f>HYPERLINK("https://stock.pstatic.net/stock-research/company/16/20260209_company_311234000.pdf","PDF")</f>
        <v>PDF</v>
      </c>
      <c r="K5133" s="12" t="s">
        <v>7713</v>
      </c>
      <c r="L5133" s="20">
        <v>0.31099781500364171</v>
      </c>
    </row>
    <row r="5134" spans="1:12" x14ac:dyDescent="0.45">
      <c r="A5134" s="12" t="s">
        <v>7696</v>
      </c>
      <c r="B5134" s="12" t="s">
        <v>2231</v>
      </c>
      <c r="C5134" s="13" t="s">
        <v>2232</v>
      </c>
      <c r="D5134" s="13" t="s">
        <v>57</v>
      </c>
      <c r="E5134" s="12" t="s">
        <v>35</v>
      </c>
      <c r="F5134" s="14">
        <v>140000</v>
      </c>
      <c r="G5134" s="14">
        <v>78200</v>
      </c>
      <c r="H5134" s="13" t="s">
        <v>7714</v>
      </c>
      <c r="I5134" s="40" t="s">
        <v>18</v>
      </c>
      <c r="J5134" s="40" t="str">
        <f>HYPERLINK("https://stock.pstatic.net/stock-research/company/16/20260209_company_577401000.pdf","PDF")</f>
        <v>PDF</v>
      </c>
      <c r="K5134" s="12" t="s">
        <v>7715</v>
      </c>
      <c r="L5134" s="20">
        <v>0.79028132992327371</v>
      </c>
    </row>
    <row r="5135" spans="1:12" x14ac:dyDescent="0.45">
      <c r="A5135" s="12" t="s">
        <v>7696</v>
      </c>
      <c r="B5135" s="12" t="s">
        <v>27</v>
      </c>
      <c r="C5135" s="13" t="s">
        <v>28</v>
      </c>
      <c r="D5135" s="13" t="s">
        <v>57</v>
      </c>
      <c r="E5135" s="12" t="s">
        <v>35</v>
      </c>
      <c r="F5135" s="14">
        <v>150000</v>
      </c>
      <c r="G5135" s="14">
        <v>97000</v>
      </c>
      <c r="H5135" s="13" t="s">
        <v>7716</v>
      </c>
      <c r="I5135" s="40" t="s">
        <v>18</v>
      </c>
      <c r="J5135" s="40" t="str">
        <f>HYPERLINK("https://stock.pstatic.net/stock-research/company/16/20260209_company_137407000.pdf","PDF")</f>
        <v>PDF</v>
      </c>
      <c r="K5135" s="12" t="s">
        <v>7717</v>
      </c>
      <c r="L5135" s="20">
        <v>0.54639175257731953</v>
      </c>
    </row>
    <row r="5136" spans="1:12" x14ac:dyDescent="0.45">
      <c r="A5136" s="12" t="s">
        <v>7696</v>
      </c>
      <c r="B5136" s="12" t="s">
        <v>2187</v>
      </c>
      <c r="C5136" s="13" t="s">
        <v>2188</v>
      </c>
      <c r="D5136" s="13" t="s">
        <v>57</v>
      </c>
      <c r="E5136" s="12" t="s">
        <v>159</v>
      </c>
      <c r="F5136" s="14">
        <v>130000</v>
      </c>
      <c r="G5136" s="14">
        <v>121200</v>
      </c>
      <c r="H5136" s="13" t="s">
        <v>7718</v>
      </c>
      <c r="I5136" s="40" t="s">
        <v>18</v>
      </c>
      <c r="J5136" s="40" t="str">
        <f>HYPERLINK("https://stock.pstatic.net/stock-research/company/16/20260209_company_813910000.pdf","PDF")</f>
        <v>PDF</v>
      </c>
      <c r="K5136" s="12" t="s">
        <v>7719</v>
      </c>
      <c r="L5136" s="20">
        <v>7.2607260726072612E-2</v>
      </c>
    </row>
    <row r="5137" spans="1:12" x14ac:dyDescent="0.45">
      <c r="A5137" s="12" t="s">
        <v>7696</v>
      </c>
      <c r="B5137" s="12" t="s">
        <v>42</v>
      </c>
      <c r="C5137" s="13" t="s">
        <v>43</v>
      </c>
      <c r="D5137" s="13" t="s">
        <v>57</v>
      </c>
      <c r="E5137" s="12" t="s">
        <v>35</v>
      </c>
      <c r="F5137" s="14">
        <v>340000</v>
      </c>
      <c r="G5137" s="14">
        <v>257000</v>
      </c>
      <c r="H5137" s="13" t="s">
        <v>7720</v>
      </c>
      <c r="I5137" s="40" t="s">
        <v>18</v>
      </c>
      <c r="J5137" s="40" t="str">
        <f>HYPERLINK("https://stock.pstatic.net/stock-research/company/16/20260209_company_285651000.pdf","PDF")</f>
        <v>PDF</v>
      </c>
      <c r="K5137" s="12" t="s">
        <v>7721</v>
      </c>
      <c r="L5137" s="20">
        <v>0.32295719844357978</v>
      </c>
    </row>
    <row r="5138" spans="1:12" x14ac:dyDescent="0.45">
      <c r="A5138" s="12" t="s">
        <v>7696</v>
      </c>
      <c r="B5138" s="12" t="s">
        <v>2187</v>
      </c>
      <c r="C5138" s="13" t="s">
        <v>2188</v>
      </c>
      <c r="D5138" s="13" t="s">
        <v>276</v>
      </c>
      <c r="E5138" s="12" t="s">
        <v>16</v>
      </c>
      <c r="F5138" s="14">
        <v>170000</v>
      </c>
      <c r="G5138" s="14">
        <v>120400</v>
      </c>
      <c r="H5138" s="13" t="s">
        <v>7722</v>
      </c>
      <c r="I5138" s="40" t="s">
        <v>18</v>
      </c>
      <c r="J5138" s="40" t="str">
        <f>HYPERLINK("https://stock.pstatic.net/stock-research/company/66/20260209_company_764936000.pdf","PDF")</f>
        <v>PDF</v>
      </c>
      <c r="K5138" s="12" t="s">
        <v>7723</v>
      </c>
      <c r="L5138" s="20">
        <v>0.41196013289036543</v>
      </c>
    </row>
    <row r="5139" spans="1:12" x14ac:dyDescent="0.45">
      <c r="A5139" s="12" t="s">
        <v>7696</v>
      </c>
      <c r="B5139" s="12" t="s">
        <v>5597</v>
      </c>
      <c r="C5139" s="13" t="s">
        <v>5598</v>
      </c>
      <c r="D5139" s="13" t="s">
        <v>276</v>
      </c>
      <c r="E5139" s="12" t="s">
        <v>16</v>
      </c>
      <c r="F5139" s="14">
        <v>123000</v>
      </c>
      <c r="G5139" s="14">
        <v>71300</v>
      </c>
      <c r="H5139" s="13" t="s">
        <v>7724</v>
      </c>
      <c r="I5139" s="40" t="s">
        <v>18</v>
      </c>
      <c r="J5139" s="40" t="str">
        <f>HYPERLINK("https://stock.pstatic.net/stock-research/company/66/20260209_company_198709000.pdf","PDF")</f>
        <v>PDF</v>
      </c>
      <c r="K5139" s="12" t="s">
        <v>7725</v>
      </c>
      <c r="L5139" s="20">
        <v>0.72510518934081347</v>
      </c>
    </row>
    <row r="5140" spans="1:12" x14ac:dyDescent="0.45">
      <c r="A5140" s="12" t="s">
        <v>7696</v>
      </c>
      <c r="B5140" s="12" t="s">
        <v>42</v>
      </c>
      <c r="C5140" s="13" t="s">
        <v>43</v>
      </c>
      <c r="D5140" s="13" t="s">
        <v>276</v>
      </c>
      <c r="E5140" s="12" t="s">
        <v>16</v>
      </c>
      <c r="F5140" s="14">
        <v>400000</v>
      </c>
      <c r="G5140" s="14">
        <v>249000</v>
      </c>
      <c r="H5140" s="13" t="s">
        <v>7726</v>
      </c>
      <c r="I5140" s="40" t="s">
        <v>18</v>
      </c>
      <c r="J5140" s="40" t="str">
        <f>HYPERLINK("https://stock.pstatic.net/stock-research/company/66/20260209_company_510465000.pdf","PDF")</f>
        <v>PDF</v>
      </c>
      <c r="K5140" s="12" t="s">
        <v>7727</v>
      </c>
      <c r="L5140" s="20">
        <v>0.60642570281124497</v>
      </c>
    </row>
    <row r="5141" spans="1:12" x14ac:dyDescent="0.45">
      <c r="A5141" s="12" t="s">
        <v>7696</v>
      </c>
      <c r="B5141" s="12" t="s">
        <v>3154</v>
      </c>
      <c r="C5141" s="13" t="s">
        <v>3155</v>
      </c>
      <c r="D5141" s="13" t="s">
        <v>276</v>
      </c>
      <c r="E5141" s="12" t="s">
        <v>16</v>
      </c>
      <c r="F5141" s="14">
        <v>8700</v>
      </c>
      <c r="G5141" s="14">
        <v>6240</v>
      </c>
      <c r="H5141" s="13" t="s">
        <v>7728</v>
      </c>
      <c r="I5141" s="40" t="s">
        <v>18</v>
      </c>
      <c r="J5141" s="40" t="str">
        <f>HYPERLINK("https://stock.pstatic.net/stock-research/company/66/20260209_company_437266000.pdf","PDF")</f>
        <v>PDF</v>
      </c>
      <c r="K5141" s="12" t="s">
        <v>7729</v>
      </c>
      <c r="L5141" s="20">
        <v>0.39423076923076922</v>
      </c>
    </row>
    <row r="5142" spans="1:12" x14ac:dyDescent="0.45">
      <c r="A5142" s="12" t="s">
        <v>7696</v>
      </c>
      <c r="B5142" s="12" t="s">
        <v>2187</v>
      </c>
      <c r="C5142" s="13" t="s">
        <v>2188</v>
      </c>
      <c r="D5142" s="13" t="s">
        <v>60</v>
      </c>
      <c r="E5142" s="12" t="s">
        <v>35</v>
      </c>
      <c r="F5142" s="14">
        <v>175000</v>
      </c>
      <c r="G5142" s="14">
        <v>120400</v>
      </c>
      <c r="H5142" s="13" t="s">
        <v>7730</v>
      </c>
      <c r="I5142" s="40" t="s">
        <v>18</v>
      </c>
      <c r="J5142" s="40" t="str">
        <f>HYPERLINK("https://stock.pstatic.net/stock-research/company/62/20260209_company_188467000.pdf","PDF")</f>
        <v>PDF</v>
      </c>
      <c r="K5142" s="12" t="s">
        <v>7731</v>
      </c>
      <c r="L5142" s="20">
        <v>0.45348837209302317</v>
      </c>
    </row>
    <row r="5143" spans="1:12" x14ac:dyDescent="0.45">
      <c r="A5143" s="12" t="s">
        <v>7696</v>
      </c>
      <c r="B5143" s="12" t="s">
        <v>2982</v>
      </c>
      <c r="C5143" s="13" t="s">
        <v>2983</v>
      </c>
      <c r="D5143" s="13" t="s">
        <v>60</v>
      </c>
      <c r="E5143" s="12" t="s">
        <v>35</v>
      </c>
      <c r="F5143" s="14">
        <v>55000</v>
      </c>
      <c r="G5143" s="14">
        <v>45050</v>
      </c>
      <c r="H5143" s="13" t="s">
        <v>7732</v>
      </c>
      <c r="I5143" s="40" t="s">
        <v>18</v>
      </c>
      <c r="J5143" s="40" t="str">
        <f>HYPERLINK("https://stock.pstatic.net/stock-research/company/62/20260209_company_864035000.pdf","PDF")</f>
        <v>PDF</v>
      </c>
      <c r="K5143" s="12" t="s">
        <v>7733</v>
      </c>
      <c r="L5143" s="20">
        <v>0.220865704772475</v>
      </c>
    </row>
    <row r="5144" spans="1:12" x14ac:dyDescent="0.45">
      <c r="A5144" s="12" t="s">
        <v>7696</v>
      </c>
      <c r="B5144" s="12" t="s">
        <v>434</v>
      </c>
      <c r="C5144" s="13" t="s">
        <v>435</v>
      </c>
      <c r="D5144" s="13" t="s">
        <v>60</v>
      </c>
      <c r="E5144" s="12" t="s">
        <v>35</v>
      </c>
      <c r="F5144" s="14">
        <v>180000</v>
      </c>
      <c r="G5144" s="14">
        <v>137300</v>
      </c>
      <c r="H5144" s="13" t="s">
        <v>7734</v>
      </c>
      <c r="I5144" s="40" t="s">
        <v>18</v>
      </c>
      <c r="J5144" s="40" t="str">
        <f>HYPERLINK("https://stock.pstatic.net/stock-research/company/62/20260209_company_131479000.pdf","PDF")</f>
        <v>PDF</v>
      </c>
      <c r="K5144" s="12" t="s">
        <v>7735</v>
      </c>
      <c r="L5144" s="20">
        <v>0.31099781500364171</v>
      </c>
    </row>
    <row r="5145" spans="1:12" x14ac:dyDescent="0.45">
      <c r="A5145" s="12" t="s">
        <v>7696</v>
      </c>
      <c r="B5145" s="12" t="s">
        <v>2956</v>
      </c>
      <c r="C5145" s="13" t="s">
        <v>2957</v>
      </c>
      <c r="D5145" s="13" t="s">
        <v>60</v>
      </c>
      <c r="E5145" s="12" t="s">
        <v>35</v>
      </c>
      <c r="F5145" s="14">
        <v>24000</v>
      </c>
      <c r="G5145" s="14">
        <v>19110</v>
      </c>
      <c r="H5145" s="13" t="s">
        <v>7736</v>
      </c>
      <c r="I5145" s="40" t="s">
        <v>18</v>
      </c>
      <c r="J5145" s="40" t="str">
        <f>HYPERLINK("https://stock.pstatic.net/stock-research/company/62/20260209_company_381267000.pdf","PDF")</f>
        <v>PDF</v>
      </c>
      <c r="K5145" s="12" t="s">
        <v>7737</v>
      </c>
      <c r="L5145" s="20">
        <v>0.25588697017268452</v>
      </c>
    </row>
    <row r="5146" spans="1:12" x14ac:dyDescent="0.45">
      <c r="A5146" s="12" t="s">
        <v>7696</v>
      </c>
      <c r="B5146" s="12" t="s">
        <v>42</v>
      </c>
      <c r="C5146" s="13" t="s">
        <v>43</v>
      </c>
      <c r="D5146" s="13" t="s">
        <v>60</v>
      </c>
      <c r="E5146" s="12" t="s">
        <v>35</v>
      </c>
      <c r="F5146" s="14">
        <v>350000</v>
      </c>
      <c r="G5146" s="14">
        <v>249000</v>
      </c>
      <c r="H5146" s="13" t="s">
        <v>7738</v>
      </c>
      <c r="I5146" s="40" t="s">
        <v>18</v>
      </c>
      <c r="J5146" s="40" t="str">
        <f>HYPERLINK("https://stock.pstatic.net/stock-research/company/62/20260209_company_931077000.pdf","PDF")</f>
        <v>PDF</v>
      </c>
      <c r="K5146" s="12" t="s">
        <v>7739</v>
      </c>
      <c r="L5146" s="20">
        <v>0.40562248995983929</v>
      </c>
    </row>
    <row r="5147" spans="1:12" x14ac:dyDescent="0.45">
      <c r="A5147" s="12" t="s">
        <v>7696</v>
      </c>
      <c r="B5147" s="12" t="s">
        <v>3182</v>
      </c>
      <c r="C5147" s="13" t="s">
        <v>3183</v>
      </c>
      <c r="D5147" s="13" t="s">
        <v>60</v>
      </c>
      <c r="E5147" s="12" t="s">
        <v>35</v>
      </c>
      <c r="F5147" s="14">
        <v>1000000</v>
      </c>
      <c r="G5147" s="14">
        <v>840000</v>
      </c>
      <c r="H5147" s="13" t="s">
        <v>7740</v>
      </c>
      <c r="I5147" s="40" t="s">
        <v>18</v>
      </c>
      <c r="J5147" s="40" t="str">
        <f>HYPERLINK("https://stock.pstatic.net/stock-research/company/62/20260209_company_385716000.pdf","PDF")</f>
        <v>PDF</v>
      </c>
      <c r="K5147" s="12" t="s">
        <v>7741</v>
      </c>
      <c r="L5147" s="20">
        <v>0.19047619047619049</v>
      </c>
    </row>
    <row r="5148" spans="1:12" x14ac:dyDescent="0.45">
      <c r="A5148" s="12" t="s">
        <v>7696</v>
      </c>
      <c r="B5148" s="12" t="s">
        <v>3349</v>
      </c>
      <c r="C5148" s="13" t="s">
        <v>7707</v>
      </c>
      <c r="D5148" s="13" t="s">
        <v>60</v>
      </c>
      <c r="E5148" s="12" t="s">
        <v>35</v>
      </c>
      <c r="F5148" s="14">
        <v>29000</v>
      </c>
      <c r="G5148" s="14">
        <v>20900</v>
      </c>
      <c r="H5148" s="13" t="s">
        <v>7742</v>
      </c>
      <c r="I5148" s="40" t="s">
        <v>18</v>
      </c>
      <c r="J5148" s="40" t="str">
        <f>HYPERLINK("https://stock.pstatic.net/stock-research/company/62/20260209_company_717746000.pdf","PDF")</f>
        <v>PDF</v>
      </c>
      <c r="K5148" s="12" t="s">
        <v>7743</v>
      </c>
      <c r="L5148" s="20">
        <v>0.38755980861244022</v>
      </c>
    </row>
    <row r="5149" spans="1:12" x14ac:dyDescent="0.45">
      <c r="A5149" s="12" t="s">
        <v>7696</v>
      </c>
      <c r="B5149" s="12" t="s">
        <v>2662</v>
      </c>
      <c r="C5149" s="13" t="s">
        <v>2663</v>
      </c>
      <c r="D5149" s="13" t="s">
        <v>60</v>
      </c>
      <c r="E5149" s="12" t="s">
        <v>50</v>
      </c>
      <c r="F5149" s="14">
        <v>76000</v>
      </c>
      <c r="G5149" s="14">
        <v>64900</v>
      </c>
      <c r="H5149" s="13" t="s">
        <v>7744</v>
      </c>
      <c r="I5149" s="40" t="s">
        <v>18</v>
      </c>
      <c r="J5149" s="40" t="str">
        <f>HYPERLINK("https://stock.pstatic.net/stock-research/company/62/20260209_company_506536000.pdf","PDF")</f>
        <v>PDF</v>
      </c>
      <c r="K5149" s="12" t="s">
        <v>7745</v>
      </c>
      <c r="L5149" s="20">
        <v>0.17103235747303541</v>
      </c>
    </row>
    <row r="5150" spans="1:12" x14ac:dyDescent="0.45">
      <c r="A5150" s="12" t="s">
        <v>7696</v>
      </c>
      <c r="B5150" s="12" t="s">
        <v>174</v>
      </c>
      <c r="C5150" s="13" t="s">
        <v>44</v>
      </c>
      <c r="D5150" s="13" t="s">
        <v>65</v>
      </c>
      <c r="E5150" s="12" t="s">
        <v>35</v>
      </c>
      <c r="F5150" s="14">
        <v>540000</v>
      </c>
      <c r="G5150" s="14">
        <v>405000</v>
      </c>
      <c r="H5150" s="13" t="s">
        <v>7746</v>
      </c>
      <c r="I5150" s="40" t="s">
        <v>18</v>
      </c>
      <c r="J5150" s="40" t="str">
        <f>HYPERLINK("https://stock.pstatic.net/stock-research/company/57/20260209_company_447570000.pdf","PDF")</f>
        <v>PDF</v>
      </c>
      <c r="K5150" s="12" t="s">
        <v>7747</v>
      </c>
      <c r="L5150" s="20">
        <v>0.33333333333333331</v>
      </c>
    </row>
    <row r="5151" spans="1:12" x14ac:dyDescent="0.45">
      <c r="A5151" s="12" t="s">
        <v>7696</v>
      </c>
      <c r="B5151" s="12" t="s">
        <v>3488</v>
      </c>
      <c r="C5151" s="13" t="s">
        <v>3489</v>
      </c>
      <c r="D5151" s="13" t="s">
        <v>65</v>
      </c>
      <c r="E5151" s="12" t="s">
        <v>35</v>
      </c>
      <c r="F5151" s="14">
        <v>37500</v>
      </c>
      <c r="G5151" s="14">
        <v>32450</v>
      </c>
      <c r="H5151" s="13" t="s">
        <v>7748</v>
      </c>
      <c r="I5151" s="40" t="s">
        <v>18</v>
      </c>
      <c r="J5151" s="40" t="str">
        <f>HYPERLINK("https://stock.pstatic.net/stock-research/company/57/20260209_company_485137000.pdf","PDF")</f>
        <v>PDF</v>
      </c>
      <c r="K5151" s="12" t="s">
        <v>7749</v>
      </c>
      <c r="L5151" s="20">
        <v>0.15562403697996921</v>
      </c>
    </row>
    <row r="5152" spans="1:12" x14ac:dyDescent="0.45">
      <c r="A5152" s="12" t="s">
        <v>7696</v>
      </c>
      <c r="B5152" s="12" t="s">
        <v>42</v>
      </c>
      <c r="C5152" s="13" t="s">
        <v>43</v>
      </c>
      <c r="D5152" s="13" t="s">
        <v>65</v>
      </c>
      <c r="E5152" s="12" t="s">
        <v>35</v>
      </c>
      <c r="F5152" s="14">
        <v>350000</v>
      </c>
      <c r="G5152" s="14">
        <v>249000</v>
      </c>
      <c r="H5152" s="13" t="s">
        <v>7750</v>
      </c>
      <c r="I5152" s="40" t="s">
        <v>18</v>
      </c>
      <c r="J5152" s="40" t="str">
        <f>HYPERLINK("https://stock.pstatic.net/stock-research/company/57/20260209_company_858988000.pdf","PDF")</f>
        <v>PDF</v>
      </c>
      <c r="K5152" s="12" t="s">
        <v>7751</v>
      </c>
      <c r="L5152" s="20">
        <v>0.40562248995983929</v>
      </c>
    </row>
    <row r="5153" spans="1:12" x14ac:dyDescent="0.45">
      <c r="A5153" s="12" t="s">
        <v>7696</v>
      </c>
      <c r="B5153" s="12" t="s">
        <v>4668</v>
      </c>
      <c r="C5153" s="13" t="s">
        <v>4669</v>
      </c>
      <c r="D5153" s="13" t="s">
        <v>65</v>
      </c>
      <c r="E5153" s="12" t="s">
        <v>35</v>
      </c>
      <c r="F5153" s="14">
        <v>37000</v>
      </c>
      <c r="G5153" s="14">
        <v>30250</v>
      </c>
      <c r="H5153" s="13" t="s">
        <v>7752</v>
      </c>
      <c r="I5153" s="40" t="s">
        <v>18</v>
      </c>
      <c r="J5153" s="40" t="str">
        <f>HYPERLINK("https://stock.pstatic.net/stock-research/company/57/20260209_company_851912000.pdf","PDF")</f>
        <v>PDF</v>
      </c>
      <c r="K5153" s="12" t="s">
        <v>7753</v>
      </c>
      <c r="L5153" s="20">
        <v>0.2231404958677686</v>
      </c>
    </row>
    <row r="5154" spans="1:12" x14ac:dyDescent="0.45">
      <c r="A5154" s="12" t="s">
        <v>7696</v>
      </c>
      <c r="B5154" s="12" t="s">
        <v>957</v>
      </c>
      <c r="C5154" s="13" t="s">
        <v>958</v>
      </c>
      <c r="D5154" s="13" t="s">
        <v>65</v>
      </c>
      <c r="E5154" s="12" t="s">
        <v>35</v>
      </c>
      <c r="F5154" s="14">
        <v>330000</v>
      </c>
      <c r="G5154" s="14">
        <v>221500</v>
      </c>
      <c r="H5154" s="13" t="s">
        <v>7754</v>
      </c>
      <c r="I5154" s="40" t="s">
        <v>18</v>
      </c>
      <c r="J5154" s="40" t="str">
        <f>HYPERLINK("https://stock.pstatic.net/stock-research/company/57/20260209_company_864803000.pdf","PDF")</f>
        <v>PDF</v>
      </c>
      <c r="K5154" s="12" t="s">
        <v>7755</v>
      </c>
      <c r="L5154" s="20">
        <v>0.48984198645598193</v>
      </c>
    </row>
    <row r="5155" spans="1:12" x14ac:dyDescent="0.45">
      <c r="A5155" s="12" t="s">
        <v>7696</v>
      </c>
      <c r="B5155" s="12" t="s">
        <v>3182</v>
      </c>
      <c r="C5155" s="13" t="s">
        <v>3183</v>
      </c>
      <c r="D5155" s="13" t="s">
        <v>65</v>
      </c>
      <c r="E5155" s="12" t="s">
        <v>35</v>
      </c>
      <c r="F5155" s="14">
        <v>1080000</v>
      </c>
      <c r="G5155" s="14">
        <v>840000</v>
      </c>
      <c r="H5155" s="13" t="s">
        <v>7756</v>
      </c>
      <c r="I5155" s="40" t="s">
        <v>18</v>
      </c>
      <c r="J5155" s="40" t="str">
        <f>HYPERLINK("https://stock.pstatic.net/stock-research/company/57/20260209_company_855633000.pdf","PDF")</f>
        <v>PDF</v>
      </c>
      <c r="K5155" s="12" t="s">
        <v>7757</v>
      </c>
      <c r="L5155" s="20">
        <v>0.2857142857142857</v>
      </c>
    </row>
    <row r="5156" spans="1:12" x14ac:dyDescent="0.45">
      <c r="A5156" s="12" t="s">
        <v>7696</v>
      </c>
      <c r="B5156" s="12" t="s">
        <v>1093</v>
      </c>
      <c r="C5156" s="13" t="s">
        <v>1094</v>
      </c>
      <c r="D5156" s="13" t="s">
        <v>65</v>
      </c>
      <c r="E5156" s="12" t="s">
        <v>1738</v>
      </c>
      <c r="F5156" s="14">
        <v>610000</v>
      </c>
      <c r="G5156" s="14">
        <v>558000</v>
      </c>
      <c r="H5156" s="13" t="s">
        <v>7758</v>
      </c>
      <c r="I5156" s="40" t="s">
        <v>18</v>
      </c>
      <c r="J5156" s="40" t="str">
        <f>HYPERLINK("https://stock.pstatic.net/stock-research/company/57/20260209_company_839116000.pdf","PDF")</f>
        <v>PDF</v>
      </c>
      <c r="K5156" s="12" t="s">
        <v>7759</v>
      </c>
      <c r="L5156" s="20">
        <v>9.3189964157706098E-2</v>
      </c>
    </row>
    <row r="5157" spans="1:12" x14ac:dyDescent="0.45">
      <c r="A5157" s="12" t="s">
        <v>7696</v>
      </c>
      <c r="B5157" s="12" t="s">
        <v>3154</v>
      </c>
      <c r="C5157" s="13" t="s">
        <v>3155</v>
      </c>
      <c r="D5157" s="13" t="s">
        <v>65</v>
      </c>
      <c r="E5157" s="12" t="s">
        <v>50</v>
      </c>
      <c r="F5157" s="13"/>
      <c r="G5157" s="14">
        <v>6240</v>
      </c>
      <c r="H5157" s="13" t="s">
        <v>7760</v>
      </c>
      <c r="I5157" s="40" t="s">
        <v>18</v>
      </c>
      <c r="J5157" s="40" t="str">
        <f>HYPERLINK("https://stock.pstatic.net/stock-research/company/57/20260209_company_381022000.pdf","PDF")</f>
        <v>PDF</v>
      </c>
      <c r="K5157" s="12" t="s">
        <v>7761</v>
      </c>
    </row>
    <row r="5158" spans="1:12" x14ac:dyDescent="0.45">
      <c r="A5158" s="12" t="s">
        <v>7696</v>
      </c>
      <c r="B5158" s="12" t="s">
        <v>3349</v>
      </c>
      <c r="C5158" s="13" t="s">
        <v>7707</v>
      </c>
      <c r="D5158" s="13" t="s">
        <v>65</v>
      </c>
      <c r="E5158" s="12" t="s">
        <v>35</v>
      </c>
      <c r="F5158" s="14">
        <v>26000</v>
      </c>
      <c r="G5158" s="14">
        <v>20900</v>
      </c>
      <c r="H5158" s="13" t="s">
        <v>7762</v>
      </c>
      <c r="I5158" s="40" t="s">
        <v>18</v>
      </c>
      <c r="J5158" s="40" t="str">
        <f>HYPERLINK("https://stock.pstatic.net/stock-research/company/57/20260209_company_686883000.pdf","PDF")</f>
        <v>PDF</v>
      </c>
      <c r="K5158" s="12" t="s">
        <v>7763</v>
      </c>
      <c r="L5158" s="20">
        <v>0.24401913875598091</v>
      </c>
    </row>
    <row r="5159" spans="1:12" x14ac:dyDescent="0.45">
      <c r="A5159" s="12" t="s">
        <v>7696</v>
      </c>
      <c r="B5159" s="12" t="s">
        <v>2956</v>
      </c>
      <c r="C5159" s="13" t="s">
        <v>2957</v>
      </c>
      <c r="D5159" s="13" t="s">
        <v>65</v>
      </c>
      <c r="E5159" s="12" t="s">
        <v>35</v>
      </c>
      <c r="F5159" s="14">
        <v>24000</v>
      </c>
      <c r="G5159" s="14">
        <v>19110</v>
      </c>
      <c r="H5159" s="13" t="s">
        <v>7764</v>
      </c>
      <c r="I5159" s="40" t="s">
        <v>18</v>
      </c>
      <c r="J5159" s="40" t="str">
        <f>HYPERLINK("https://stock.pstatic.net/stock-research/company/57/20260209_company_61448000.pdf","PDF")</f>
        <v>PDF</v>
      </c>
      <c r="K5159" s="12" t="s">
        <v>7765</v>
      </c>
      <c r="L5159" s="20">
        <v>0.25588697017268452</v>
      </c>
    </row>
    <row r="5160" spans="1:12" x14ac:dyDescent="0.45">
      <c r="A5160" s="12" t="s">
        <v>7696</v>
      </c>
      <c r="B5160" s="12" t="s">
        <v>2982</v>
      </c>
      <c r="C5160" s="13" t="s">
        <v>2983</v>
      </c>
      <c r="D5160" s="13" t="s">
        <v>65</v>
      </c>
      <c r="E5160" s="12" t="s">
        <v>35</v>
      </c>
      <c r="F5160" s="14">
        <v>55000</v>
      </c>
      <c r="G5160" s="14">
        <v>45050</v>
      </c>
      <c r="H5160" s="13" t="s">
        <v>7766</v>
      </c>
      <c r="I5160" s="40" t="s">
        <v>18</v>
      </c>
      <c r="J5160" s="40" t="str">
        <f>HYPERLINK("https://stock.pstatic.net/stock-research/company/57/20260209_company_77858000.pdf","PDF")</f>
        <v>PDF</v>
      </c>
      <c r="K5160" s="12" t="s">
        <v>7767</v>
      </c>
      <c r="L5160" s="20">
        <v>0.220865704772475</v>
      </c>
    </row>
    <row r="5161" spans="1:12" x14ac:dyDescent="0.45">
      <c r="A5161" s="12" t="s">
        <v>7696</v>
      </c>
      <c r="B5161" s="12" t="s">
        <v>2187</v>
      </c>
      <c r="C5161" s="13" t="s">
        <v>2188</v>
      </c>
      <c r="D5161" s="13" t="s">
        <v>65</v>
      </c>
      <c r="E5161" s="12" t="s">
        <v>35</v>
      </c>
      <c r="F5161" s="14">
        <v>200000</v>
      </c>
      <c r="G5161" s="14">
        <v>123000</v>
      </c>
      <c r="H5161" s="13" t="s">
        <v>7768</v>
      </c>
      <c r="I5161" s="40" t="s">
        <v>18</v>
      </c>
      <c r="J5161" s="40" t="str">
        <f>HYPERLINK("https://stock.pstatic.net/stock-research/company/57/20260209_company_277825000.pdf","PDF")</f>
        <v>PDF</v>
      </c>
      <c r="K5161" s="12" t="s">
        <v>7769</v>
      </c>
      <c r="L5161" s="20">
        <v>0.62601626016260159</v>
      </c>
    </row>
    <row r="5162" spans="1:12" x14ac:dyDescent="0.45">
      <c r="A5162" s="12" t="s">
        <v>7696</v>
      </c>
      <c r="B5162" s="12" t="s">
        <v>434</v>
      </c>
      <c r="C5162" s="13" t="s">
        <v>435</v>
      </c>
      <c r="D5162" s="13" t="s">
        <v>158</v>
      </c>
      <c r="E5162" s="12" t="s">
        <v>35</v>
      </c>
      <c r="F5162" s="14">
        <v>178000</v>
      </c>
      <c r="G5162" s="14">
        <v>137300</v>
      </c>
      <c r="H5162" s="13" t="s">
        <v>7770</v>
      </c>
      <c r="I5162" s="40" t="s">
        <v>18</v>
      </c>
      <c r="J5162" s="40" t="str">
        <f>HYPERLINK("https://stock.pstatic.net/stock-research/company/18/20260209_company_192301000.pdf","PDF")</f>
        <v>PDF</v>
      </c>
      <c r="K5162" s="12" t="s">
        <v>7771</v>
      </c>
      <c r="L5162" s="20">
        <v>0.2964311726147123</v>
      </c>
    </row>
    <row r="5163" spans="1:12" x14ac:dyDescent="0.45">
      <c r="A5163" s="12" t="s">
        <v>7696</v>
      </c>
      <c r="B5163" s="12" t="s">
        <v>272</v>
      </c>
      <c r="C5163" s="13" t="s">
        <v>273</v>
      </c>
      <c r="D5163" s="13" t="s">
        <v>158</v>
      </c>
      <c r="E5163" s="12" t="s">
        <v>35</v>
      </c>
      <c r="F5163" s="14">
        <v>500000</v>
      </c>
      <c r="G5163" s="14">
        <v>340000</v>
      </c>
      <c r="H5163" s="13" t="s">
        <v>7772</v>
      </c>
      <c r="I5163" s="40" t="s">
        <v>18</v>
      </c>
      <c r="J5163" s="40" t="str">
        <f>HYPERLINK("https://stock.pstatic.net/stock-research/company/18/20260209_company_366676000.pdf","PDF")</f>
        <v>PDF</v>
      </c>
      <c r="K5163" s="12" t="s">
        <v>7773</v>
      </c>
      <c r="L5163" s="20">
        <v>0.47058823529411759</v>
      </c>
    </row>
    <row r="5164" spans="1:12" x14ac:dyDescent="0.45">
      <c r="A5164" s="12" t="s">
        <v>7696</v>
      </c>
      <c r="B5164" s="12" t="s">
        <v>3182</v>
      </c>
      <c r="C5164" s="13" t="s">
        <v>3183</v>
      </c>
      <c r="D5164" s="13" t="s">
        <v>158</v>
      </c>
      <c r="E5164" s="12" t="s">
        <v>35</v>
      </c>
      <c r="F5164" s="14">
        <v>1000000</v>
      </c>
      <c r="G5164" s="14">
        <v>840000</v>
      </c>
      <c r="H5164" s="13" t="s">
        <v>7774</v>
      </c>
      <c r="I5164" s="40" t="s">
        <v>18</v>
      </c>
      <c r="J5164" s="40" t="str">
        <f>HYPERLINK("https://stock.pstatic.net/stock-research/company/18/20260209_company_881478000.pdf","PDF")</f>
        <v>PDF</v>
      </c>
      <c r="K5164" s="12" t="s">
        <v>7775</v>
      </c>
      <c r="L5164" s="20">
        <v>0.19047619047619049</v>
      </c>
    </row>
    <row r="5165" spans="1:12" x14ac:dyDescent="0.45">
      <c r="A5165" s="12" t="s">
        <v>7696</v>
      </c>
      <c r="B5165" s="12" t="s">
        <v>3688</v>
      </c>
      <c r="C5165" s="13" t="s">
        <v>3689</v>
      </c>
      <c r="D5165" s="13" t="s">
        <v>158</v>
      </c>
      <c r="E5165" s="12" t="s">
        <v>35</v>
      </c>
      <c r="F5165" s="14">
        <v>108000</v>
      </c>
      <c r="G5165" s="14">
        <v>93600</v>
      </c>
      <c r="H5165" s="13" t="s">
        <v>7776</v>
      </c>
      <c r="I5165" s="40" t="s">
        <v>18</v>
      </c>
      <c r="J5165" s="40" t="str">
        <f>HYPERLINK("https://stock.pstatic.net/stock-research/company/18/20260209_company_607023000.pdf","PDF")</f>
        <v>PDF</v>
      </c>
      <c r="K5165" s="12" t="s">
        <v>7777</v>
      </c>
      <c r="L5165" s="20">
        <v>0.15384615384615391</v>
      </c>
    </row>
    <row r="5166" spans="1:12" x14ac:dyDescent="0.45">
      <c r="A5166" s="12" t="s">
        <v>7696</v>
      </c>
      <c r="B5166" s="12" t="s">
        <v>3492</v>
      </c>
      <c r="C5166" s="13" t="s">
        <v>3493</v>
      </c>
      <c r="D5166" s="13" t="s">
        <v>158</v>
      </c>
      <c r="E5166" s="12" t="s">
        <v>159</v>
      </c>
      <c r="F5166" s="14">
        <v>22000</v>
      </c>
      <c r="G5166" s="14">
        <v>23000</v>
      </c>
      <c r="H5166" s="13" t="s">
        <v>7778</v>
      </c>
      <c r="I5166" s="40" t="s">
        <v>18</v>
      </c>
      <c r="J5166" s="40" t="str">
        <f>HYPERLINK("https://stock.pstatic.net/stock-research/company/18/20260209_company_487699000.pdf","PDF")</f>
        <v>PDF</v>
      </c>
      <c r="K5166" s="12" t="s">
        <v>7779</v>
      </c>
      <c r="L5166" s="20">
        <v>-4.3478260869565223E-2</v>
      </c>
    </row>
    <row r="5167" spans="1:12" x14ac:dyDescent="0.45">
      <c r="A5167" s="12" t="s">
        <v>7696</v>
      </c>
      <c r="B5167" s="12" t="s">
        <v>42</v>
      </c>
      <c r="C5167" s="13" t="s">
        <v>43</v>
      </c>
      <c r="D5167" s="13" t="s">
        <v>158</v>
      </c>
      <c r="E5167" s="12" t="s">
        <v>35</v>
      </c>
      <c r="F5167" s="14">
        <v>360000</v>
      </c>
      <c r="G5167" s="14">
        <v>249000</v>
      </c>
      <c r="H5167" s="13" t="s">
        <v>7780</v>
      </c>
      <c r="I5167" s="40" t="s">
        <v>18</v>
      </c>
      <c r="J5167" s="40" t="str">
        <f>HYPERLINK("https://stock.pstatic.net/stock-research/company/18/20260209_company_796289000.pdf","PDF")</f>
        <v>PDF</v>
      </c>
      <c r="K5167" s="12" t="s">
        <v>7781</v>
      </c>
      <c r="L5167" s="20">
        <v>0.44578313253012047</v>
      </c>
    </row>
    <row r="5168" spans="1:12" x14ac:dyDescent="0.45">
      <c r="A5168" s="12" t="s">
        <v>7696</v>
      </c>
      <c r="B5168" s="12" t="s">
        <v>495</v>
      </c>
      <c r="C5168" s="13" t="s">
        <v>496</v>
      </c>
      <c r="D5168" s="13" t="s">
        <v>15</v>
      </c>
      <c r="E5168" s="12" t="s">
        <v>16</v>
      </c>
      <c r="F5168" s="14">
        <v>360000</v>
      </c>
      <c r="G5168" s="14">
        <v>256500</v>
      </c>
      <c r="H5168" s="13" t="s">
        <v>7782</v>
      </c>
      <c r="I5168" s="40" t="s">
        <v>18</v>
      </c>
      <c r="J5168" s="40" t="str">
        <f>HYPERLINK("https://stock.pstatic.net/stock-research/company/56/20260209_company_231861000.pdf","PDF")</f>
        <v>PDF</v>
      </c>
      <c r="K5168" s="12" t="s">
        <v>7783</v>
      </c>
      <c r="L5168" s="20">
        <v>0.40350877192982448</v>
      </c>
    </row>
    <row r="5169" spans="1:12" x14ac:dyDescent="0.45">
      <c r="A5169" s="12" t="s">
        <v>7696</v>
      </c>
      <c r="B5169" s="12" t="s">
        <v>732</v>
      </c>
      <c r="C5169" s="13" t="s">
        <v>733</v>
      </c>
      <c r="D5169" s="13" t="s">
        <v>15</v>
      </c>
      <c r="E5169" s="12" t="s">
        <v>16</v>
      </c>
      <c r="F5169" s="14">
        <v>150000</v>
      </c>
      <c r="G5169" s="14">
        <v>108500</v>
      </c>
      <c r="H5169" s="13" t="s">
        <v>7784</v>
      </c>
      <c r="I5169" s="40" t="s">
        <v>18</v>
      </c>
      <c r="J5169" s="40" t="str">
        <f>HYPERLINK("https://stock.pstatic.net/stock-research/company/56/20260209_company_867041000.pdf","PDF")</f>
        <v>PDF</v>
      </c>
      <c r="K5169" s="12" t="s">
        <v>7785</v>
      </c>
      <c r="L5169" s="20">
        <v>0.38248847926267282</v>
      </c>
    </row>
    <row r="5170" spans="1:12" x14ac:dyDescent="0.45">
      <c r="A5170" s="12" t="s">
        <v>7696</v>
      </c>
      <c r="B5170" s="12" t="s">
        <v>434</v>
      </c>
      <c r="C5170" s="13" t="s">
        <v>435</v>
      </c>
      <c r="D5170" s="13" t="s">
        <v>15</v>
      </c>
      <c r="E5170" s="12" t="s">
        <v>16</v>
      </c>
      <c r="F5170" s="14">
        <v>180000</v>
      </c>
      <c r="G5170" s="14">
        <v>137300</v>
      </c>
      <c r="H5170" s="13" t="s">
        <v>7786</v>
      </c>
      <c r="I5170" s="40" t="s">
        <v>18</v>
      </c>
      <c r="J5170" s="40" t="str">
        <f>HYPERLINK("https://stock.pstatic.net/stock-research/company/56/20260209_company_529199000.pdf","PDF")</f>
        <v>PDF</v>
      </c>
      <c r="K5170" s="12" t="s">
        <v>7787</v>
      </c>
      <c r="L5170" s="20">
        <v>0.31099781500364171</v>
      </c>
    </row>
    <row r="5171" spans="1:12" x14ac:dyDescent="0.45">
      <c r="A5171" s="12" t="s">
        <v>7696</v>
      </c>
      <c r="B5171" s="12" t="s">
        <v>27</v>
      </c>
      <c r="C5171" s="13" t="s">
        <v>28</v>
      </c>
      <c r="D5171" s="13" t="s">
        <v>83</v>
      </c>
      <c r="E5171" s="12" t="s">
        <v>35</v>
      </c>
      <c r="F5171" s="14">
        <v>115000</v>
      </c>
      <c r="G5171" s="14">
        <v>96500</v>
      </c>
      <c r="H5171" s="13" t="s">
        <v>7788</v>
      </c>
      <c r="I5171" s="40" t="s">
        <v>18</v>
      </c>
      <c r="J5171" s="40" t="str">
        <f>HYPERLINK("https://stock.pstatic.net/stock-research/company/15/20260209_company_155399000.pdf","PDF")</f>
        <v>PDF</v>
      </c>
      <c r="K5171" s="12" t="s">
        <v>7789</v>
      </c>
      <c r="L5171" s="20">
        <v>0.19170984455958551</v>
      </c>
    </row>
    <row r="5172" spans="1:12" x14ac:dyDescent="0.45">
      <c r="A5172" s="12" t="s">
        <v>7696</v>
      </c>
      <c r="B5172" s="12" t="s">
        <v>3182</v>
      </c>
      <c r="C5172" s="13" t="s">
        <v>3183</v>
      </c>
      <c r="D5172" s="13" t="s">
        <v>83</v>
      </c>
      <c r="E5172" s="12" t="s">
        <v>35</v>
      </c>
      <c r="F5172" s="14">
        <v>1100000</v>
      </c>
      <c r="G5172" s="14">
        <v>840000</v>
      </c>
      <c r="H5172" s="13" t="s">
        <v>7790</v>
      </c>
      <c r="I5172" s="40" t="s">
        <v>18</v>
      </c>
      <c r="J5172" s="40" t="str">
        <f>HYPERLINK("https://stock.pstatic.net/stock-research/company/15/20260209_company_675648000.pdf","PDF")</f>
        <v>PDF</v>
      </c>
      <c r="K5172" s="12" t="s">
        <v>7791</v>
      </c>
      <c r="L5172" s="20">
        <v>0.30952380952380948</v>
      </c>
    </row>
    <row r="5173" spans="1:12" x14ac:dyDescent="0.45">
      <c r="A5173" s="12" t="s">
        <v>7696</v>
      </c>
      <c r="B5173" s="12" t="s">
        <v>3488</v>
      </c>
      <c r="C5173" s="13" t="s">
        <v>3489</v>
      </c>
      <c r="D5173" s="13" t="s">
        <v>83</v>
      </c>
      <c r="E5173" s="12" t="s">
        <v>35</v>
      </c>
      <c r="F5173" s="14">
        <v>37000</v>
      </c>
      <c r="G5173" s="14">
        <v>32450</v>
      </c>
      <c r="H5173" s="13" t="s">
        <v>7792</v>
      </c>
      <c r="I5173" s="40" t="s">
        <v>18</v>
      </c>
      <c r="J5173" s="40" t="str">
        <f>HYPERLINK("https://stock.pstatic.net/stock-research/company/15/20260209_company_63316000.pdf","PDF")</f>
        <v>PDF</v>
      </c>
      <c r="K5173" s="12" t="s">
        <v>7793</v>
      </c>
      <c r="L5173" s="20">
        <v>0.1402157164869029</v>
      </c>
    </row>
    <row r="5174" spans="1:12" x14ac:dyDescent="0.45">
      <c r="A5174" s="12" t="s">
        <v>7696</v>
      </c>
      <c r="B5174" s="12" t="s">
        <v>3403</v>
      </c>
      <c r="C5174" s="13" t="s">
        <v>3404</v>
      </c>
      <c r="D5174" s="13" t="s">
        <v>83</v>
      </c>
      <c r="E5174" s="12" t="s">
        <v>35</v>
      </c>
      <c r="F5174" s="14">
        <v>52000</v>
      </c>
      <c r="G5174" s="14">
        <v>40950</v>
      </c>
      <c r="H5174" s="13" t="s">
        <v>7794</v>
      </c>
      <c r="I5174" s="40" t="s">
        <v>18</v>
      </c>
      <c r="J5174" s="40" t="str">
        <f>HYPERLINK("https://stock.pstatic.net/stock-research/company/15/20260209_company_54420000.pdf","PDF")</f>
        <v>PDF</v>
      </c>
      <c r="K5174" s="12" t="s">
        <v>7795</v>
      </c>
      <c r="L5174" s="20">
        <v>0.26984126984126983</v>
      </c>
    </row>
    <row r="5175" spans="1:12" x14ac:dyDescent="0.45">
      <c r="A5175" s="12" t="s">
        <v>7696</v>
      </c>
      <c r="B5175" s="12" t="s">
        <v>677</v>
      </c>
      <c r="C5175" s="13" t="s">
        <v>678</v>
      </c>
      <c r="D5175" s="13" t="s">
        <v>83</v>
      </c>
      <c r="E5175" s="12" t="s">
        <v>35</v>
      </c>
      <c r="F5175" s="14">
        <v>18000</v>
      </c>
      <c r="G5175" s="14">
        <v>15150</v>
      </c>
      <c r="H5175" s="13" t="s">
        <v>7796</v>
      </c>
      <c r="I5175" s="40" t="s">
        <v>18</v>
      </c>
      <c r="J5175" s="40" t="str">
        <f>HYPERLINK("https://stock.pstatic.net/stock-research/company/15/20260209_company_451896000.pdf","PDF")</f>
        <v>PDF</v>
      </c>
      <c r="K5175" s="12" t="s">
        <v>7797</v>
      </c>
      <c r="L5175" s="20">
        <v>0.18811881188118809</v>
      </c>
    </row>
    <row r="5176" spans="1:12" x14ac:dyDescent="0.45">
      <c r="A5176" s="12" t="s">
        <v>7696</v>
      </c>
      <c r="B5176" s="12" t="s">
        <v>42</v>
      </c>
      <c r="C5176" s="13" t="s">
        <v>43</v>
      </c>
      <c r="D5176" s="13" t="s">
        <v>83</v>
      </c>
      <c r="E5176" s="12" t="s">
        <v>35</v>
      </c>
      <c r="F5176" s="14">
        <v>330000</v>
      </c>
      <c r="G5176" s="14">
        <v>249000</v>
      </c>
      <c r="H5176" s="13" t="s">
        <v>7798</v>
      </c>
      <c r="I5176" s="40" t="s">
        <v>18</v>
      </c>
      <c r="J5176" s="40" t="str">
        <f>HYPERLINK("https://stock.pstatic.net/stock-research/company/15/20260209_company_554488000.pdf","PDF")</f>
        <v>PDF</v>
      </c>
      <c r="K5176" s="12" t="s">
        <v>7799</v>
      </c>
      <c r="L5176" s="20">
        <v>0.3253012048192771</v>
      </c>
    </row>
    <row r="5177" spans="1:12" x14ac:dyDescent="0.45">
      <c r="A5177" s="12" t="s">
        <v>7696</v>
      </c>
      <c r="B5177" s="12" t="s">
        <v>4133</v>
      </c>
      <c r="C5177" s="13" t="s">
        <v>4134</v>
      </c>
      <c r="D5177" s="13" t="s">
        <v>83</v>
      </c>
      <c r="E5177" s="12" t="s">
        <v>50</v>
      </c>
      <c r="F5177" s="13"/>
      <c r="G5177" s="14">
        <v>5700</v>
      </c>
      <c r="H5177" s="13" t="s">
        <v>7800</v>
      </c>
      <c r="I5177" s="40" t="s">
        <v>18</v>
      </c>
      <c r="J5177" s="40" t="str">
        <f>HYPERLINK("https://stock.pstatic.net/stock-research/company/15/20260209_company_685038000.pdf","PDF")</f>
        <v>PDF</v>
      </c>
      <c r="K5177" s="12" t="s">
        <v>7801</v>
      </c>
    </row>
    <row r="5178" spans="1:12" x14ac:dyDescent="0.45">
      <c r="A5178" s="12" t="s">
        <v>7696</v>
      </c>
      <c r="B5178" s="12" t="s">
        <v>1445</v>
      </c>
      <c r="C5178" s="13" t="s">
        <v>1446</v>
      </c>
      <c r="D5178" s="13" t="s">
        <v>83</v>
      </c>
      <c r="E5178" s="12" t="s">
        <v>35</v>
      </c>
      <c r="F5178" s="14">
        <v>45000</v>
      </c>
      <c r="G5178" s="14">
        <v>38350</v>
      </c>
      <c r="H5178" s="13" t="s">
        <v>7802</v>
      </c>
      <c r="I5178" s="40" t="s">
        <v>18</v>
      </c>
      <c r="J5178" s="40" t="str">
        <f>HYPERLINK("https://stock.pstatic.net/stock-research/company/15/20260209_company_605524000.pdf","PDF")</f>
        <v>PDF</v>
      </c>
      <c r="K5178" s="12" t="s">
        <v>7803</v>
      </c>
      <c r="L5178" s="20">
        <v>0.17340286831812249</v>
      </c>
    </row>
    <row r="5179" spans="1:12" x14ac:dyDescent="0.45">
      <c r="A5179" s="12" t="s">
        <v>7696</v>
      </c>
      <c r="B5179" s="12" t="s">
        <v>42</v>
      </c>
      <c r="C5179" s="13" t="s">
        <v>43</v>
      </c>
      <c r="D5179" s="13" t="s">
        <v>15</v>
      </c>
      <c r="E5179" s="12" t="s">
        <v>16</v>
      </c>
      <c r="F5179" s="14">
        <v>400000</v>
      </c>
      <c r="G5179" s="14">
        <v>249000</v>
      </c>
      <c r="H5179" s="13" t="s">
        <v>7804</v>
      </c>
      <c r="I5179" s="40" t="s">
        <v>18</v>
      </c>
      <c r="J5179" s="40" t="str">
        <f>HYPERLINK("https://stock.pstatic.net/stock-research/company/56/20260209_company_527451000.pdf","PDF")</f>
        <v>PDF</v>
      </c>
      <c r="K5179" s="12" t="s">
        <v>7805</v>
      </c>
      <c r="L5179" s="20">
        <v>0.60642570281124497</v>
      </c>
    </row>
    <row r="5180" spans="1:12" x14ac:dyDescent="0.45">
      <c r="A5180" s="12" t="s">
        <v>7696</v>
      </c>
      <c r="B5180" s="12" t="s">
        <v>2982</v>
      </c>
      <c r="C5180" s="13" t="s">
        <v>2983</v>
      </c>
      <c r="D5180" s="13" t="s">
        <v>15</v>
      </c>
      <c r="E5180" s="12" t="s">
        <v>16</v>
      </c>
      <c r="F5180" s="14">
        <v>57000</v>
      </c>
      <c r="G5180" s="14">
        <v>45050</v>
      </c>
      <c r="H5180" s="13" t="s">
        <v>7806</v>
      </c>
      <c r="I5180" s="40" t="s">
        <v>18</v>
      </c>
      <c r="J5180" s="40" t="str">
        <f>HYPERLINK("https://stock.pstatic.net/stock-research/company/56/20260209_company_292864000.pdf","PDF")</f>
        <v>PDF</v>
      </c>
      <c r="K5180" s="12" t="s">
        <v>7807</v>
      </c>
      <c r="L5180" s="20">
        <v>0.26526082130965589</v>
      </c>
    </row>
    <row r="5181" spans="1:12" x14ac:dyDescent="0.45">
      <c r="A5181" s="12" t="s">
        <v>7696</v>
      </c>
      <c r="B5181" s="12" t="s">
        <v>2956</v>
      </c>
      <c r="C5181" s="13" t="s">
        <v>2957</v>
      </c>
      <c r="D5181" s="13" t="s">
        <v>15</v>
      </c>
      <c r="E5181" s="12" t="s">
        <v>385</v>
      </c>
      <c r="F5181" s="14">
        <v>22000</v>
      </c>
      <c r="G5181" s="14">
        <v>19110</v>
      </c>
      <c r="H5181" s="13" t="s">
        <v>7808</v>
      </c>
      <c r="I5181" s="40" t="s">
        <v>18</v>
      </c>
      <c r="J5181" s="40" t="str">
        <f>HYPERLINK("https://stock.pstatic.net/stock-research/company/56/20260209_company_715056000.pdf","PDF")</f>
        <v>PDF</v>
      </c>
      <c r="K5181" s="12" t="s">
        <v>7809</v>
      </c>
      <c r="L5181" s="20">
        <v>0.1512297226582941</v>
      </c>
    </row>
    <row r="5182" spans="1:12" x14ac:dyDescent="0.45">
      <c r="A5182" s="12" t="s">
        <v>7696</v>
      </c>
      <c r="B5182" s="12" t="s">
        <v>3168</v>
      </c>
      <c r="C5182" s="13" t="s">
        <v>3169</v>
      </c>
      <c r="D5182" s="13" t="s">
        <v>15</v>
      </c>
      <c r="E5182" s="12" t="s">
        <v>16</v>
      </c>
      <c r="F5182" s="14">
        <v>25000</v>
      </c>
      <c r="G5182" s="14">
        <v>17500</v>
      </c>
      <c r="H5182" s="13" t="s">
        <v>7810</v>
      </c>
      <c r="I5182" s="40" t="s">
        <v>18</v>
      </c>
      <c r="J5182" s="40" t="str">
        <f>HYPERLINK("https://stock.pstatic.net/stock-research/company/56/20260209_company_133947000.pdf","PDF")</f>
        <v>PDF</v>
      </c>
      <c r="K5182" s="12" t="s">
        <v>7811</v>
      </c>
      <c r="L5182" s="20">
        <v>0.42857142857142849</v>
      </c>
    </row>
    <row r="5183" spans="1:12" x14ac:dyDescent="0.45">
      <c r="A5183" s="12" t="s">
        <v>7696</v>
      </c>
      <c r="B5183" s="12" t="s">
        <v>3492</v>
      </c>
      <c r="C5183" s="13" t="s">
        <v>3493</v>
      </c>
      <c r="D5183" s="13" t="s">
        <v>15</v>
      </c>
      <c r="E5183" s="12" t="s">
        <v>385</v>
      </c>
      <c r="F5183" s="14">
        <v>22000</v>
      </c>
      <c r="G5183" s="14">
        <v>23000</v>
      </c>
      <c r="H5183" s="13" t="s">
        <v>7812</v>
      </c>
      <c r="I5183" s="40" t="s">
        <v>18</v>
      </c>
      <c r="J5183" s="40" t="str">
        <f>HYPERLINK("https://stock.pstatic.net/stock-research/company/56/20260209_company_197019000.pdf","PDF")</f>
        <v>PDF</v>
      </c>
      <c r="K5183" s="12" t="s">
        <v>7813</v>
      </c>
      <c r="L5183" s="20">
        <v>-4.3478260869565223E-2</v>
      </c>
    </row>
    <row r="5184" spans="1:12" x14ac:dyDescent="0.45">
      <c r="A5184" s="12" t="s">
        <v>7696</v>
      </c>
      <c r="B5184" s="12" t="s">
        <v>2944</v>
      </c>
      <c r="C5184" s="13" t="s">
        <v>2945</v>
      </c>
      <c r="D5184" s="13" t="s">
        <v>15</v>
      </c>
      <c r="E5184" s="12" t="s">
        <v>16</v>
      </c>
      <c r="F5184" s="14">
        <v>26000</v>
      </c>
      <c r="G5184" s="14">
        <v>18500</v>
      </c>
      <c r="H5184" s="13" t="s">
        <v>7814</v>
      </c>
      <c r="I5184" s="40" t="s">
        <v>18</v>
      </c>
      <c r="J5184" s="40" t="str">
        <f>HYPERLINK("https://stock.pstatic.net/stock-research/company/56/20260209_company_660208000.pdf","PDF")</f>
        <v>PDF</v>
      </c>
      <c r="K5184" s="12" t="s">
        <v>7815</v>
      </c>
      <c r="L5184" s="20">
        <v>0.40540540540540537</v>
      </c>
    </row>
    <row r="5185" spans="1:12" x14ac:dyDescent="0.45">
      <c r="A5185" s="12" t="s">
        <v>7696</v>
      </c>
      <c r="B5185" s="12" t="s">
        <v>3488</v>
      </c>
      <c r="C5185" s="13" t="s">
        <v>3489</v>
      </c>
      <c r="D5185" s="13" t="s">
        <v>15</v>
      </c>
      <c r="E5185" s="12" t="s">
        <v>16</v>
      </c>
      <c r="F5185" s="14">
        <v>40000</v>
      </c>
      <c r="G5185" s="14">
        <v>32450</v>
      </c>
      <c r="H5185" s="13" t="s">
        <v>7816</v>
      </c>
      <c r="I5185" s="40" t="s">
        <v>18</v>
      </c>
      <c r="J5185" s="40" t="str">
        <f>HYPERLINK("https://stock.pstatic.net/stock-research/company/56/20260209_company_601832000.pdf","PDF")</f>
        <v>PDF</v>
      </c>
      <c r="K5185" s="12" t="s">
        <v>7817</v>
      </c>
      <c r="L5185" s="20">
        <v>0.2326656394453005</v>
      </c>
    </row>
    <row r="5186" spans="1:12" x14ac:dyDescent="0.45">
      <c r="A5186" s="12" t="s">
        <v>7696</v>
      </c>
      <c r="B5186" s="12" t="s">
        <v>2956</v>
      </c>
      <c r="C5186" s="13" t="s">
        <v>2957</v>
      </c>
      <c r="D5186" s="13" t="s">
        <v>23</v>
      </c>
      <c r="E5186" s="12" t="s">
        <v>16</v>
      </c>
      <c r="F5186" s="14">
        <v>31000</v>
      </c>
      <c r="G5186" s="14">
        <v>19110</v>
      </c>
      <c r="H5186" s="13" t="s">
        <v>7818</v>
      </c>
      <c r="I5186" s="40" t="s">
        <v>18</v>
      </c>
      <c r="J5186" s="40" t="str">
        <f>HYPERLINK("https://stock.pstatic.net/stock-research/company/21/20260209_company_443342000.pdf","PDF")</f>
        <v>PDF</v>
      </c>
      <c r="K5186" s="12" t="s">
        <v>7819</v>
      </c>
      <c r="L5186" s="20">
        <v>0.6221873364730508</v>
      </c>
    </row>
    <row r="5187" spans="1:12" x14ac:dyDescent="0.45">
      <c r="A5187" s="12" t="s">
        <v>7696</v>
      </c>
      <c r="B5187" s="12" t="s">
        <v>2982</v>
      </c>
      <c r="C5187" s="13" t="s">
        <v>2983</v>
      </c>
      <c r="D5187" s="13" t="s">
        <v>23</v>
      </c>
      <c r="E5187" s="12" t="s">
        <v>16</v>
      </c>
      <c r="F5187" s="14">
        <v>59000</v>
      </c>
      <c r="G5187" s="14">
        <v>45050</v>
      </c>
      <c r="H5187" s="13" t="s">
        <v>7820</v>
      </c>
      <c r="I5187" s="40" t="s">
        <v>18</v>
      </c>
      <c r="J5187" s="40" t="str">
        <f>HYPERLINK("https://stock.pstatic.net/stock-research/company/21/20260209_company_123433000.pdf","PDF")</f>
        <v>PDF</v>
      </c>
      <c r="K5187" s="12" t="s">
        <v>7821</v>
      </c>
      <c r="L5187" s="20">
        <v>0.30965593784683693</v>
      </c>
    </row>
    <row r="5188" spans="1:12" x14ac:dyDescent="0.45">
      <c r="A5188" s="12" t="s">
        <v>7696</v>
      </c>
      <c r="B5188" s="12" t="s">
        <v>3154</v>
      </c>
      <c r="C5188" s="13" t="s">
        <v>3155</v>
      </c>
      <c r="D5188" s="13" t="s">
        <v>23</v>
      </c>
      <c r="E5188" s="12" t="s">
        <v>16</v>
      </c>
      <c r="F5188" s="14">
        <v>8500</v>
      </c>
      <c r="G5188" s="14">
        <v>6240</v>
      </c>
      <c r="H5188" s="13" t="s">
        <v>7822</v>
      </c>
      <c r="I5188" s="40" t="s">
        <v>18</v>
      </c>
      <c r="J5188" s="40" t="str">
        <f>HYPERLINK("https://stock.pstatic.net/stock-research/company/21/20260209_company_500715000.pdf","PDF")</f>
        <v>PDF</v>
      </c>
      <c r="K5188" s="12" t="s">
        <v>7823</v>
      </c>
      <c r="L5188" s="20">
        <v>0.36217948717948723</v>
      </c>
    </row>
    <row r="5189" spans="1:12" x14ac:dyDescent="0.45">
      <c r="A5189" s="12" t="s">
        <v>7696</v>
      </c>
      <c r="B5189" s="12" t="s">
        <v>2187</v>
      </c>
      <c r="C5189" s="13" t="s">
        <v>2188</v>
      </c>
      <c r="D5189" s="13" t="s">
        <v>23</v>
      </c>
      <c r="E5189" s="12" t="s">
        <v>16</v>
      </c>
      <c r="F5189" s="14">
        <v>140000</v>
      </c>
      <c r="G5189" s="14">
        <v>120400</v>
      </c>
      <c r="H5189" s="13" t="s">
        <v>7824</v>
      </c>
      <c r="I5189" s="40" t="s">
        <v>18</v>
      </c>
      <c r="J5189" s="40" t="str">
        <f>HYPERLINK("https://stock.pstatic.net/stock-research/company/21/20260209_company_888967000.pdf","PDF")</f>
        <v>PDF</v>
      </c>
      <c r="K5189" s="12" t="s">
        <v>7825</v>
      </c>
      <c r="L5189" s="20">
        <v>0.16279069767441859</v>
      </c>
    </row>
    <row r="5190" spans="1:12" x14ac:dyDescent="0.45">
      <c r="A5190" s="12" t="s">
        <v>7696</v>
      </c>
      <c r="B5190" s="12" t="s">
        <v>3349</v>
      </c>
      <c r="C5190" s="13" t="s">
        <v>7707</v>
      </c>
      <c r="D5190" s="13" t="s">
        <v>23</v>
      </c>
      <c r="E5190" s="12" t="s">
        <v>16</v>
      </c>
      <c r="F5190" s="14">
        <v>30000</v>
      </c>
      <c r="G5190" s="14">
        <v>20900</v>
      </c>
      <c r="H5190" s="13" t="s">
        <v>7826</v>
      </c>
      <c r="I5190" s="40" t="s">
        <v>18</v>
      </c>
      <c r="J5190" s="40" t="str">
        <f>HYPERLINK("https://stock.pstatic.net/stock-research/company/21/20260209_company_235453000.pdf","PDF")</f>
        <v>PDF</v>
      </c>
      <c r="K5190" s="12" t="s">
        <v>7827</v>
      </c>
      <c r="L5190" s="20">
        <v>0.4354066985645933</v>
      </c>
    </row>
    <row r="5191" spans="1:12" x14ac:dyDescent="0.45">
      <c r="A5191" s="12" t="s">
        <v>7696</v>
      </c>
      <c r="B5191" s="12" t="s">
        <v>2231</v>
      </c>
      <c r="C5191" s="13" t="s">
        <v>2232</v>
      </c>
      <c r="D5191" s="13" t="s">
        <v>23</v>
      </c>
      <c r="E5191" s="12" t="s">
        <v>16</v>
      </c>
      <c r="F5191" s="14">
        <v>115000</v>
      </c>
      <c r="G5191" s="14">
        <v>78200</v>
      </c>
      <c r="H5191" s="13" t="s">
        <v>7828</v>
      </c>
      <c r="I5191" s="40" t="s">
        <v>18</v>
      </c>
      <c r="J5191" s="40" t="str">
        <f>HYPERLINK("https://stock.pstatic.net/stock-research/company/21/20260209_company_311214000.pdf","PDF")</f>
        <v>PDF</v>
      </c>
      <c r="K5191" s="12" t="s">
        <v>7829</v>
      </c>
      <c r="L5191" s="20">
        <v>0.47058823529411759</v>
      </c>
    </row>
    <row r="5192" spans="1:12" x14ac:dyDescent="0.45">
      <c r="A5192" s="12" t="s">
        <v>7696</v>
      </c>
      <c r="B5192" s="12" t="s">
        <v>4668</v>
      </c>
      <c r="C5192" s="13" t="s">
        <v>4669</v>
      </c>
      <c r="D5192" s="13" t="s">
        <v>179</v>
      </c>
      <c r="E5192" s="12" t="s">
        <v>16</v>
      </c>
      <c r="F5192" s="14">
        <v>35000</v>
      </c>
      <c r="G5192" s="14">
        <v>30250</v>
      </c>
      <c r="H5192" s="13" t="s">
        <v>7830</v>
      </c>
      <c r="I5192" s="40" t="s">
        <v>18</v>
      </c>
      <c r="J5192" s="40" t="str">
        <f>HYPERLINK("https://stock.pstatic.net/stock-research/company/64/20260209_company_937119000.pdf","PDF")</f>
        <v>PDF</v>
      </c>
      <c r="K5192" s="12" t="s">
        <v>7831</v>
      </c>
      <c r="L5192" s="20">
        <v>0.15702479338842981</v>
      </c>
    </row>
    <row r="5193" spans="1:12" x14ac:dyDescent="0.45">
      <c r="A5193" s="12" t="s">
        <v>7696</v>
      </c>
      <c r="B5193" s="12" t="s">
        <v>2956</v>
      </c>
      <c r="C5193" s="13" t="s">
        <v>2957</v>
      </c>
      <c r="D5193" s="13" t="s">
        <v>53</v>
      </c>
      <c r="E5193" s="12" t="s">
        <v>16</v>
      </c>
      <c r="F5193" s="14">
        <v>26000</v>
      </c>
      <c r="G5193" s="14">
        <v>19110</v>
      </c>
      <c r="H5193" s="13" t="s">
        <v>7832</v>
      </c>
      <c r="I5193" s="40" t="s">
        <v>18</v>
      </c>
      <c r="J5193" s="40" t="str">
        <f>HYPERLINK("https://stock.pstatic.net/stock-research/company/40/20260209_company_438265000.pdf","PDF")</f>
        <v>PDF</v>
      </c>
      <c r="K5193" s="12" t="s">
        <v>7833</v>
      </c>
      <c r="L5193" s="20">
        <v>0.36054421768707479</v>
      </c>
    </row>
    <row r="5194" spans="1:12" x14ac:dyDescent="0.45">
      <c r="A5194" s="12" t="s">
        <v>7696</v>
      </c>
      <c r="B5194" s="12" t="s">
        <v>1912</v>
      </c>
      <c r="C5194" s="13" t="s">
        <v>7834</v>
      </c>
      <c r="D5194" s="13" t="s">
        <v>92</v>
      </c>
      <c r="E5194" s="12" t="s">
        <v>35</v>
      </c>
      <c r="F5194" s="14">
        <v>250000</v>
      </c>
      <c r="G5194" s="14">
        <v>153100</v>
      </c>
      <c r="H5194" s="13" t="s">
        <v>7835</v>
      </c>
      <c r="I5194" s="40" t="s">
        <v>18</v>
      </c>
      <c r="J5194" s="40" t="str">
        <f>HYPERLINK("https://stock.pstatic.net/stock-research/company/63/20260209_company_876959000.pdf","PDF")</f>
        <v>PDF</v>
      </c>
      <c r="K5194" s="12" t="s">
        <v>7836</v>
      </c>
      <c r="L5194" s="20">
        <v>0.63291966035271063</v>
      </c>
    </row>
    <row r="5195" spans="1:12" x14ac:dyDescent="0.45">
      <c r="A5195" s="12" t="s">
        <v>7696</v>
      </c>
      <c r="B5195" s="12" t="s">
        <v>27</v>
      </c>
      <c r="C5195" s="13" t="s">
        <v>28</v>
      </c>
      <c r="D5195" s="13" t="s">
        <v>23</v>
      </c>
      <c r="E5195" s="12" t="s">
        <v>16</v>
      </c>
      <c r="F5195" s="14">
        <v>120000</v>
      </c>
      <c r="G5195" s="14">
        <v>97000</v>
      </c>
      <c r="H5195" s="13" t="s">
        <v>7837</v>
      </c>
      <c r="I5195" s="40" t="s">
        <v>18</v>
      </c>
      <c r="J5195" s="40" t="str">
        <f>HYPERLINK("https://stock.pstatic.net/stock-research/company/21/20260209_company_184058000.pdf","PDF")</f>
        <v>PDF</v>
      </c>
      <c r="K5195" s="12" t="s">
        <v>7838</v>
      </c>
      <c r="L5195" s="20">
        <v>0.23711340206185569</v>
      </c>
    </row>
    <row r="5196" spans="1:12" x14ac:dyDescent="0.45">
      <c r="A5196" s="12" t="s">
        <v>7696</v>
      </c>
      <c r="B5196" s="12" t="s">
        <v>42</v>
      </c>
      <c r="C5196" s="13" t="s">
        <v>43</v>
      </c>
      <c r="D5196" s="13" t="s">
        <v>92</v>
      </c>
      <c r="E5196" s="12" t="s">
        <v>35</v>
      </c>
      <c r="F5196" s="14">
        <v>340000</v>
      </c>
      <c r="G5196" s="14">
        <v>249000</v>
      </c>
      <c r="H5196" s="13" t="s">
        <v>7839</v>
      </c>
      <c r="I5196" s="40" t="s">
        <v>18</v>
      </c>
      <c r="J5196" s="40" t="str">
        <f>HYPERLINK("https://stock.pstatic.net/stock-research/company/63/20260209_company_817126000.pdf","PDF")</f>
        <v>PDF</v>
      </c>
      <c r="K5196" s="12" t="s">
        <v>7840</v>
      </c>
      <c r="L5196" s="20">
        <v>0.36546184738955823</v>
      </c>
    </row>
    <row r="5197" spans="1:12" x14ac:dyDescent="0.45">
      <c r="A5197" s="12" t="s">
        <v>7696</v>
      </c>
      <c r="B5197" s="12" t="s">
        <v>3349</v>
      </c>
      <c r="C5197" s="13" t="s">
        <v>7707</v>
      </c>
      <c r="D5197" s="13" t="s">
        <v>53</v>
      </c>
      <c r="E5197" s="12" t="s">
        <v>16</v>
      </c>
      <c r="F5197" s="14">
        <v>35000</v>
      </c>
      <c r="G5197" s="14">
        <v>20900</v>
      </c>
      <c r="H5197" s="13" t="s">
        <v>7841</v>
      </c>
      <c r="I5197" s="40" t="s">
        <v>18</v>
      </c>
      <c r="J5197" s="40" t="str">
        <f>HYPERLINK("https://stock.pstatic.net/stock-research/company/40/20260209_company_324767000.pdf","PDF")</f>
        <v>PDF</v>
      </c>
      <c r="K5197" s="12" t="s">
        <v>7842</v>
      </c>
      <c r="L5197" s="20">
        <v>0.67464114832535882</v>
      </c>
    </row>
    <row r="5198" spans="1:12" x14ac:dyDescent="0.45">
      <c r="A5198" s="12" t="s">
        <v>7696</v>
      </c>
      <c r="B5198" s="12" t="s">
        <v>1198</v>
      </c>
      <c r="C5198" s="13" t="s">
        <v>1199</v>
      </c>
      <c r="D5198" s="13" t="s">
        <v>92</v>
      </c>
      <c r="E5198" s="12" t="s">
        <v>50</v>
      </c>
      <c r="F5198" s="13"/>
      <c r="G5198" s="14">
        <v>16870</v>
      </c>
      <c r="H5198" s="13" t="s">
        <v>7843</v>
      </c>
      <c r="I5198" s="40" t="s">
        <v>18</v>
      </c>
      <c r="J5198" s="40" t="str">
        <f>HYPERLINK("https://stock.pstatic.net/stock-research/company/63/20260209_company_383575000.pdf","PDF")</f>
        <v>PDF</v>
      </c>
      <c r="K5198" s="12" t="s">
        <v>7844</v>
      </c>
    </row>
    <row r="5199" spans="1:12" x14ac:dyDescent="0.45">
      <c r="A5199" s="12" t="s">
        <v>7696</v>
      </c>
      <c r="B5199" s="12" t="s">
        <v>1912</v>
      </c>
      <c r="C5199" s="13" t="s">
        <v>7834</v>
      </c>
      <c r="D5199" s="13" t="s">
        <v>23</v>
      </c>
      <c r="E5199" s="12" t="s">
        <v>50</v>
      </c>
      <c r="F5199" s="13"/>
      <c r="G5199" s="14">
        <v>153100</v>
      </c>
      <c r="H5199" s="13" t="s">
        <v>7845</v>
      </c>
      <c r="I5199" s="40" t="s">
        <v>18</v>
      </c>
      <c r="J5199" s="40" t="str">
        <f>HYPERLINK("https://stock.pstatic.net/stock-research/company/21/20260209_company_261502000.pdf","PDF")</f>
        <v>PDF</v>
      </c>
      <c r="K5199" s="12" t="s">
        <v>7846</v>
      </c>
    </row>
    <row r="5200" spans="1:12" x14ac:dyDescent="0.45">
      <c r="A5200" s="12" t="s">
        <v>7696</v>
      </c>
      <c r="B5200" s="12" t="s">
        <v>899</v>
      </c>
      <c r="C5200" s="13" t="s">
        <v>900</v>
      </c>
      <c r="D5200" s="13" t="s">
        <v>23</v>
      </c>
      <c r="E5200" s="12" t="s">
        <v>50</v>
      </c>
      <c r="F5200" s="13"/>
      <c r="G5200" s="14">
        <v>55200</v>
      </c>
      <c r="H5200" s="13" t="s">
        <v>7847</v>
      </c>
      <c r="I5200" s="40" t="s">
        <v>18</v>
      </c>
      <c r="J5200" s="40" t="str">
        <f>HYPERLINK("https://stock.pstatic.net/stock-research/company/21/20260209_company_581270000.pdf","PDF")</f>
        <v>PDF</v>
      </c>
      <c r="K5200" s="12" t="s">
        <v>7848</v>
      </c>
    </row>
    <row r="5201" spans="1:12" x14ac:dyDescent="0.45">
      <c r="A5201" s="12" t="s">
        <v>7696</v>
      </c>
      <c r="B5201" s="12" t="s">
        <v>1552</v>
      </c>
      <c r="C5201" s="13" t="s">
        <v>1553</v>
      </c>
      <c r="D5201" s="13" t="s">
        <v>23</v>
      </c>
      <c r="E5201" s="12" t="s">
        <v>16</v>
      </c>
      <c r="F5201" s="14">
        <v>125000</v>
      </c>
      <c r="G5201" s="14">
        <v>124700</v>
      </c>
      <c r="H5201" s="13" t="s">
        <v>7849</v>
      </c>
      <c r="I5201" s="40" t="s">
        <v>18</v>
      </c>
      <c r="J5201" s="40" t="str">
        <f>HYPERLINK("https://stock.pstatic.net/stock-research/company/21/20260209_company_447465000.pdf","PDF")</f>
        <v>PDF</v>
      </c>
      <c r="K5201" s="12" t="s">
        <v>7850</v>
      </c>
      <c r="L5201" s="20">
        <v>2.4057738572574182E-3</v>
      </c>
    </row>
    <row r="5202" spans="1:12" x14ac:dyDescent="0.45">
      <c r="A5202" s="12" t="s">
        <v>7696</v>
      </c>
      <c r="B5202" s="12" t="s">
        <v>2982</v>
      </c>
      <c r="C5202" s="13" t="s">
        <v>2983</v>
      </c>
      <c r="D5202" s="13" t="s">
        <v>53</v>
      </c>
      <c r="E5202" s="12" t="s">
        <v>16</v>
      </c>
      <c r="F5202" s="14">
        <v>58000</v>
      </c>
      <c r="G5202" s="14">
        <v>45050</v>
      </c>
      <c r="H5202" s="13" t="s">
        <v>7851</v>
      </c>
      <c r="I5202" s="40" t="s">
        <v>18</v>
      </c>
      <c r="J5202" s="40" t="str">
        <f>HYPERLINK("https://stock.pstatic.net/stock-research/company/40/20260209_company_198805000.pdf","PDF")</f>
        <v>PDF</v>
      </c>
      <c r="K5202" s="12" t="s">
        <v>7852</v>
      </c>
      <c r="L5202" s="20">
        <v>0.28745837957824638</v>
      </c>
    </row>
    <row r="5203" spans="1:12" x14ac:dyDescent="0.45">
      <c r="A5203" s="12" t="s">
        <v>7696</v>
      </c>
      <c r="B5203" s="12" t="s">
        <v>3182</v>
      </c>
      <c r="C5203" s="13" t="s">
        <v>3183</v>
      </c>
      <c r="D5203" s="13" t="s">
        <v>179</v>
      </c>
      <c r="E5203" s="12" t="s">
        <v>16</v>
      </c>
      <c r="F5203" s="14">
        <v>1000000</v>
      </c>
      <c r="G5203" s="14">
        <v>840000</v>
      </c>
      <c r="H5203" s="13" t="s">
        <v>7853</v>
      </c>
      <c r="I5203" s="40" t="s">
        <v>18</v>
      </c>
      <c r="J5203" s="40" t="str">
        <f>HYPERLINK("https://stock.pstatic.net/stock-research/company/64/20260209_company_944222000.pdf","PDF")</f>
        <v>PDF</v>
      </c>
      <c r="K5203" s="12" t="s">
        <v>7854</v>
      </c>
      <c r="L5203" s="20">
        <v>0.19047619047619049</v>
      </c>
    </row>
    <row r="5204" spans="1:12" x14ac:dyDescent="0.45">
      <c r="A5204" s="12" t="s">
        <v>7696</v>
      </c>
      <c r="B5204" s="12" t="s">
        <v>2933</v>
      </c>
      <c r="C5204" s="13" t="s">
        <v>2934</v>
      </c>
      <c r="D5204" s="13" t="s">
        <v>23</v>
      </c>
      <c r="E5204" s="12" t="s">
        <v>16</v>
      </c>
      <c r="F5204" s="14">
        <v>180000</v>
      </c>
      <c r="G5204" s="14">
        <v>142500</v>
      </c>
      <c r="H5204" s="13" t="s">
        <v>7855</v>
      </c>
      <c r="I5204" s="40" t="s">
        <v>18</v>
      </c>
      <c r="J5204" s="40" t="str">
        <f>HYPERLINK("https://stock.pstatic.net/stock-research/company/21/20260209_company_738923000.pdf","PDF")</f>
        <v>PDF</v>
      </c>
      <c r="K5204" s="12" t="s">
        <v>7856</v>
      </c>
      <c r="L5204" s="20">
        <v>0.26315789473684209</v>
      </c>
    </row>
    <row r="5205" spans="1:12" x14ac:dyDescent="0.45">
      <c r="A5205" s="12" t="s">
        <v>7696</v>
      </c>
      <c r="B5205" s="12" t="s">
        <v>2662</v>
      </c>
      <c r="C5205" s="13" t="s">
        <v>2663</v>
      </c>
      <c r="D5205" s="13" t="s">
        <v>23</v>
      </c>
      <c r="E5205" s="12" t="s">
        <v>385</v>
      </c>
      <c r="F5205" s="13"/>
      <c r="G5205" s="14">
        <v>64900</v>
      </c>
      <c r="H5205" s="13" t="s">
        <v>7857</v>
      </c>
      <c r="I5205" s="40" t="s">
        <v>18</v>
      </c>
      <c r="J5205" s="40" t="str">
        <f>HYPERLINK("https://stock.pstatic.net/stock-research/company/21/20260209_company_942793000.pdf","PDF")</f>
        <v>PDF</v>
      </c>
      <c r="K5205" s="12" t="s">
        <v>7858</v>
      </c>
    </row>
    <row r="5206" spans="1:12" x14ac:dyDescent="0.45">
      <c r="A5206" s="12" t="s">
        <v>7696</v>
      </c>
      <c r="B5206" s="12" t="s">
        <v>2944</v>
      </c>
      <c r="C5206" s="13" t="s">
        <v>2945</v>
      </c>
      <c r="D5206" s="13" t="s">
        <v>23</v>
      </c>
      <c r="E5206" s="12" t="s">
        <v>16</v>
      </c>
      <c r="F5206" s="14">
        <v>21000</v>
      </c>
      <c r="G5206" s="14">
        <v>18500</v>
      </c>
      <c r="H5206" s="13" t="s">
        <v>7859</v>
      </c>
      <c r="I5206" s="40" t="s">
        <v>18</v>
      </c>
      <c r="J5206" s="40" t="str">
        <f>HYPERLINK("https://stock.pstatic.net/stock-research/company/21/20260209_company_866738000.pdf","PDF")</f>
        <v>PDF</v>
      </c>
      <c r="K5206" s="12" t="s">
        <v>7860</v>
      </c>
      <c r="L5206" s="20">
        <v>0.13513513513513509</v>
      </c>
    </row>
    <row r="5207" spans="1:12" x14ac:dyDescent="0.45">
      <c r="A5207" s="12" t="s">
        <v>7696</v>
      </c>
      <c r="B5207" s="12" t="s">
        <v>3488</v>
      </c>
      <c r="C5207" s="13" t="s">
        <v>3489</v>
      </c>
      <c r="D5207" s="13" t="s">
        <v>23</v>
      </c>
      <c r="E5207" s="12" t="s">
        <v>16</v>
      </c>
      <c r="F5207" s="14">
        <v>37000</v>
      </c>
      <c r="G5207" s="14">
        <v>32450</v>
      </c>
      <c r="H5207" s="13" t="s">
        <v>7861</v>
      </c>
      <c r="I5207" s="40" t="s">
        <v>18</v>
      </c>
      <c r="J5207" s="40" t="str">
        <f>HYPERLINK("https://stock.pstatic.net/stock-research/company/21/20260209_company_238051000.pdf","PDF")</f>
        <v>PDF</v>
      </c>
      <c r="K5207" s="12" t="s">
        <v>7862</v>
      </c>
      <c r="L5207" s="20">
        <v>0.1402157164869029</v>
      </c>
    </row>
    <row r="5208" spans="1:12" x14ac:dyDescent="0.45">
      <c r="A5208" s="12" t="s">
        <v>7696</v>
      </c>
      <c r="B5208" s="12" t="s">
        <v>3168</v>
      </c>
      <c r="C5208" s="13" t="s">
        <v>3169</v>
      </c>
      <c r="D5208" s="13" t="s">
        <v>23</v>
      </c>
      <c r="E5208" s="12" t="s">
        <v>16</v>
      </c>
      <c r="F5208" s="14">
        <v>20000</v>
      </c>
      <c r="G5208" s="14">
        <v>17500</v>
      </c>
      <c r="H5208" s="13" t="s">
        <v>7863</v>
      </c>
      <c r="I5208" s="40" t="s">
        <v>18</v>
      </c>
      <c r="J5208" s="40" t="str">
        <f>HYPERLINK("https://stock.pstatic.net/stock-research/company/21/20260209_company_527122000.pdf","PDF")</f>
        <v>PDF</v>
      </c>
      <c r="K5208" s="12" t="s">
        <v>7864</v>
      </c>
      <c r="L5208" s="20">
        <v>0.14285714285714279</v>
      </c>
    </row>
    <row r="5209" spans="1:12" x14ac:dyDescent="0.45">
      <c r="A5209" s="12" t="s">
        <v>7696</v>
      </c>
      <c r="B5209" s="12" t="s">
        <v>42</v>
      </c>
      <c r="C5209" s="13" t="s">
        <v>43</v>
      </c>
      <c r="D5209" s="13" t="s">
        <v>179</v>
      </c>
      <c r="E5209" s="12" t="s">
        <v>16</v>
      </c>
      <c r="F5209" s="14">
        <v>360000</v>
      </c>
      <c r="G5209" s="14">
        <v>249000</v>
      </c>
      <c r="H5209" s="13" t="s">
        <v>7865</v>
      </c>
      <c r="I5209" s="40" t="s">
        <v>18</v>
      </c>
      <c r="J5209" s="40" t="str">
        <f>HYPERLINK("https://stock.pstatic.net/stock-research/company/64/20260209_company_102752000.pdf","PDF")</f>
        <v>PDF</v>
      </c>
      <c r="K5209" s="12" t="s">
        <v>7866</v>
      </c>
      <c r="L5209" s="20">
        <v>0.44578313253012047</v>
      </c>
    </row>
    <row r="5210" spans="1:12" x14ac:dyDescent="0.45">
      <c r="A5210" s="12" t="s">
        <v>7696</v>
      </c>
      <c r="B5210" s="12" t="s">
        <v>7867</v>
      </c>
      <c r="C5210" s="13" t="s">
        <v>7868</v>
      </c>
      <c r="D5210" s="13" t="s">
        <v>15</v>
      </c>
      <c r="E5210" s="12" t="s">
        <v>50</v>
      </c>
      <c r="F5210" s="13"/>
      <c r="G5210" s="14">
        <v>33700</v>
      </c>
      <c r="H5210" s="13" t="s">
        <v>7869</v>
      </c>
      <c r="I5210" s="40" t="s">
        <v>18</v>
      </c>
      <c r="J5210" s="40" t="str">
        <f>HYPERLINK("https://stock.pstatic.net/stock-research/company/56/20260209_company_164654000.pdf","PDF")</f>
        <v>PDF</v>
      </c>
      <c r="K5210" s="12" t="s">
        <v>7870</v>
      </c>
    </row>
    <row r="5211" spans="1:12" x14ac:dyDescent="0.45">
      <c r="A5211" s="12" t="s">
        <v>7696</v>
      </c>
      <c r="B5211" s="12" t="s">
        <v>1918</v>
      </c>
      <c r="C5211" s="13" t="s">
        <v>1919</v>
      </c>
      <c r="D5211" s="13" t="s">
        <v>92</v>
      </c>
      <c r="E5211" s="12" t="s">
        <v>35</v>
      </c>
      <c r="F5211" s="14">
        <v>6300</v>
      </c>
      <c r="G5211" s="14">
        <v>4465</v>
      </c>
      <c r="H5211" s="13" t="s">
        <v>7871</v>
      </c>
      <c r="I5211" s="40" t="s">
        <v>18</v>
      </c>
      <c r="J5211" s="40" t="str">
        <f>HYPERLINK("https://stock.pstatic.net/stock-research/company/63/20260209_company_7362000.pdf","PDF")</f>
        <v>PDF</v>
      </c>
      <c r="K5211" s="12" t="s">
        <v>7872</v>
      </c>
      <c r="L5211" s="20">
        <v>0.41097424412094058</v>
      </c>
    </row>
    <row r="5212" spans="1:12" x14ac:dyDescent="0.45">
      <c r="A5212" s="12" t="s">
        <v>7696</v>
      </c>
      <c r="B5212" s="12" t="s">
        <v>3349</v>
      </c>
      <c r="C5212" s="13" t="s">
        <v>7707</v>
      </c>
      <c r="D5212" s="13" t="s">
        <v>34</v>
      </c>
      <c r="E5212" s="12" t="s">
        <v>35</v>
      </c>
      <c r="F5212" s="14">
        <v>28000</v>
      </c>
      <c r="G5212" s="14">
        <v>20900</v>
      </c>
      <c r="H5212" s="13" t="s">
        <v>7873</v>
      </c>
      <c r="I5212" s="40" t="s">
        <v>18</v>
      </c>
      <c r="J5212" s="40" t="str">
        <f>HYPERLINK("https://stock.pstatic.net/stock-research/company/61/20260209_company_391715000.pdf","PDF")</f>
        <v>PDF</v>
      </c>
      <c r="K5212" s="12" t="s">
        <v>7874</v>
      </c>
      <c r="L5212" s="20">
        <v>0.33971291866028708</v>
      </c>
    </row>
    <row r="5213" spans="1:12" x14ac:dyDescent="0.45">
      <c r="A5213" s="12" t="s">
        <v>7696</v>
      </c>
      <c r="B5213" s="12" t="s">
        <v>3182</v>
      </c>
      <c r="C5213" s="13" t="s">
        <v>3183</v>
      </c>
      <c r="D5213" s="13" t="s">
        <v>23</v>
      </c>
      <c r="E5213" s="12" t="s">
        <v>16</v>
      </c>
      <c r="F5213" s="14">
        <v>1100000</v>
      </c>
      <c r="G5213" s="14">
        <v>840000</v>
      </c>
      <c r="H5213" s="13" t="s">
        <v>7875</v>
      </c>
      <c r="I5213" s="40" t="s">
        <v>18</v>
      </c>
      <c r="J5213" s="40" t="str">
        <f>HYPERLINK("https://stock.pstatic.net/stock-research/company/21/20260209_company_739547000.pdf","PDF")</f>
        <v>PDF</v>
      </c>
      <c r="K5213" s="12" t="s">
        <v>7876</v>
      </c>
      <c r="L5213" s="20">
        <v>0.30952380952380948</v>
      </c>
    </row>
    <row r="5214" spans="1:12" x14ac:dyDescent="0.45">
      <c r="A5214" s="12" t="s">
        <v>7696</v>
      </c>
      <c r="B5214" s="12" t="s">
        <v>2982</v>
      </c>
      <c r="C5214" s="13" t="s">
        <v>2983</v>
      </c>
      <c r="D5214" s="13" t="s">
        <v>34</v>
      </c>
      <c r="E5214" s="12" t="s">
        <v>35</v>
      </c>
      <c r="F5214" s="14">
        <v>60000</v>
      </c>
      <c r="G5214" s="14">
        <v>45050</v>
      </c>
      <c r="H5214" s="13" t="s">
        <v>7877</v>
      </c>
      <c r="I5214" s="40" t="s">
        <v>18</v>
      </c>
      <c r="J5214" s="40" t="str">
        <f>HYPERLINK("https://stock.pstatic.net/stock-research/company/61/20260209_company_797823000.pdf","PDF")</f>
        <v>PDF</v>
      </c>
      <c r="K5214" s="12" t="s">
        <v>7878</v>
      </c>
      <c r="L5214" s="20">
        <v>0.3318534961154273</v>
      </c>
    </row>
    <row r="5215" spans="1:12" x14ac:dyDescent="0.45">
      <c r="A5215" s="12" t="s">
        <v>7696</v>
      </c>
      <c r="B5215" s="12" t="s">
        <v>3182</v>
      </c>
      <c r="C5215" s="13" t="s">
        <v>3183</v>
      </c>
      <c r="D5215" s="13" t="s">
        <v>53</v>
      </c>
      <c r="E5215" s="12" t="s">
        <v>16</v>
      </c>
      <c r="F5215" s="14">
        <v>1050000</v>
      </c>
      <c r="G5215" s="14">
        <v>840000</v>
      </c>
      <c r="H5215" s="13" t="s">
        <v>7879</v>
      </c>
      <c r="I5215" s="40" t="s">
        <v>18</v>
      </c>
      <c r="J5215" s="40" t="str">
        <f>HYPERLINK("https://stock.pstatic.net/stock-research/company/40/20260209_company_873330000.pdf","PDF")</f>
        <v>PDF</v>
      </c>
      <c r="K5215" s="12" t="s">
        <v>7880</v>
      </c>
      <c r="L5215" s="20">
        <v>0.25</v>
      </c>
    </row>
    <row r="5216" spans="1:12" x14ac:dyDescent="0.45">
      <c r="A5216" s="12" t="s">
        <v>7696</v>
      </c>
      <c r="B5216" s="12" t="s">
        <v>601</v>
      </c>
      <c r="C5216" s="13" t="s">
        <v>602</v>
      </c>
      <c r="D5216" s="13" t="s">
        <v>34</v>
      </c>
      <c r="E5216" s="12" t="s">
        <v>50</v>
      </c>
      <c r="F5216" s="13"/>
      <c r="G5216" s="14">
        <v>79200</v>
      </c>
      <c r="H5216" s="13" t="s">
        <v>7881</v>
      </c>
      <c r="I5216" s="40" t="s">
        <v>18</v>
      </c>
      <c r="J5216" s="40" t="str">
        <f>HYPERLINK("https://stock.pstatic.net/stock-research/company/61/20260209_company_689323000.pdf","PDF")</f>
        <v>PDF</v>
      </c>
      <c r="K5216" s="12" t="s">
        <v>7882</v>
      </c>
    </row>
    <row r="5217" spans="1:12" x14ac:dyDescent="0.45">
      <c r="A5217" s="12" t="s">
        <v>7696</v>
      </c>
      <c r="B5217" s="12" t="s">
        <v>1415</v>
      </c>
      <c r="C5217" s="13" t="s">
        <v>1416</v>
      </c>
      <c r="D5217" s="13" t="s">
        <v>34</v>
      </c>
      <c r="E5217" s="12" t="s">
        <v>35</v>
      </c>
      <c r="F5217" s="14">
        <v>6500</v>
      </c>
      <c r="G5217" s="14">
        <v>5080</v>
      </c>
      <c r="H5217" s="13" t="s">
        <v>7883</v>
      </c>
      <c r="I5217" s="40" t="s">
        <v>18</v>
      </c>
      <c r="J5217" s="40" t="str">
        <f>HYPERLINK("https://stock.pstatic.net/stock-research/company/61/20260209_company_726631000.pdf","PDF")</f>
        <v>PDF</v>
      </c>
      <c r="K5217" s="12" t="s">
        <v>7884</v>
      </c>
      <c r="L5217" s="20">
        <v>0.27952755905511811</v>
      </c>
    </row>
    <row r="5218" spans="1:12" x14ac:dyDescent="0.45">
      <c r="A5218" s="12" t="s">
        <v>7696</v>
      </c>
      <c r="B5218" s="12" t="s">
        <v>3182</v>
      </c>
      <c r="C5218" s="13" t="s">
        <v>3183</v>
      </c>
      <c r="D5218" s="13" t="s">
        <v>44</v>
      </c>
      <c r="E5218" s="12" t="s">
        <v>35</v>
      </c>
      <c r="F5218" s="14">
        <v>1100000</v>
      </c>
      <c r="G5218" s="14">
        <v>840000</v>
      </c>
      <c r="H5218" s="13" t="s">
        <v>7885</v>
      </c>
      <c r="I5218" s="40" t="s">
        <v>18</v>
      </c>
      <c r="J5218" s="40" t="str">
        <f>HYPERLINK("https://stock.pstatic.net/stock-research/company/39/20260209_company_284913000.pdf","PDF")</f>
        <v>PDF</v>
      </c>
      <c r="K5218" s="12" t="s">
        <v>7886</v>
      </c>
      <c r="L5218" s="20">
        <v>0.30952380952380948</v>
      </c>
    </row>
    <row r="5219" spans="1:12" x14ac:dyDescent="0.45">
      <c r="A5219" s="12" t="s">
        <v>7696</v>
      </c>
      <c r="B5219" s="12" t="s">
        <v>27</v>
      </c>
      <c r="C5219" s="13" t="s">
        <v>28</v>
      </c>
      <c r="D5219" s="13" t="s">
        <v>44</v>
      </c>
      <c r="E5219" s="12" t="s">
        <v>35</v>
      </c>
      <c r="F5219" s="14">
        <v>136000</v>
      </c>
      <c r="G5219" s="14">
        <v>97000</v>
      </c>
      <c r="H5219" s="13" t="s">
        <v>7887</v>
      </c>
      <c r="I5219" s="40" t="s">
        <v>18</v>
      </c>
      <c r="J5219" s="40" t="str">
        <f>HYPERLINK("https://stock.pstatic.net/stock-research/company/39/20260209_company_749096000.pdf","PDF")</f>
        <v>PDF</v>
      </c>
      <c r="K5219" s="12" t="s">
        <v>7888</v>
      </c>
      <c r="L5219" s="20">
        <v>0.40206185567010311</v>
      </c>
    </row>
    <row r="5220" spans="1:12" x14ac:dyDescent="0.45">
      <c r="A5220" s="12" t="s">
        <v>7696</v>
      </c>
      <c r="B5220" s="12" t="s">
        <v>3349</v>
      </c>
      <c r="C5220" s="13" t="s">
        <v>7707</v>
      </c>
      <c r="D5220" s="13" t="s">
        <v>92</v>
      </c>
      <c r="E5220" s="12" t="s">
        <v>35</v>
      </c>
      <c r="F5220" s="14">
        <v>30000</v>
      </c>
      <c r="G5220" s="14">
        <v>20900</v>
      </c>
      <c r="H5220" s="13" t="s">
        <v>7889</v>
      </c>
      <c r="I5220" s="40" t="s">
        <v>18</v>
      </c>
      <c r="J5220" s="40" t="str">
        <f>HYPERLINK("https://stock.pstatic.net/stock-research/company/63/20260209_company_259363000.pdf","PDF")</f>
        <v>PDF</v>
      </c>
      <c r="K5220" s="12" t="s">
        <v>7890</v>
      </c>
      <c r="L5220" s="20">
        <v>0.4354066985645933</v>
      </c>
    </row>
    <row r="5221" spans="1:12" x14ac:dyDescent="0.45">
      <c r="A5221" s="12" t="s">
        <v>7696</v>
      </c>
      <c r="B5221" s="12" t="s">
        <v>1552</v>
      </c>
      <c r="C5221" s="13" t="s">
        <v>1553</v>
      </c>
      <c r="D5221" s="13" t="s">
        <v>44</v>
      </c>
      <c r="E5221" s="12" t="s">
        <v>35</v>
      </c>
      <c r="F5221" s="14">
        <v>161000</v>
      </c>
      <c r="G5221" s="14">
        <v>124700</v>
      </c>
      <c r="H5221" s="13" t="s">
        <v>7891</v>
      </c>
      <c r="I5221" s="40" t="s">
        <v>18</v>
      </c>
      <c r="J5221" s="40" t="str">
        <f>HYPERLINK("https://stock.pstatic.net/stock-research/company/39/20260209_company_844997000.pdf","PDF")</f>
        <v>PDF</v>
      </c>
      <c r="K5221" s="12" t="s">
        <v>7892</v>
      </c>
      <c r="L5221" s="20">
        <v>0.29109863672814762</v>
      </c>
    </row>
    <row r="5222" spans="1:12" x14ac:dyDescent="0.45">
      <c r="A5222" s="12" t="s">
        <v>7696</v>
      </c>
      <c r="B5222" s="12" t="s">
        <v>2187</v>
      </c>
      <c r="C5222" s="13" t="s">
        <v>2188</v>
      </c>
      <c r="D5222" s="13" t="s">
        <v>44</v>
      </c>
      <c r="E5222" s="12" t="s">
        <v>35</v>
      </c>
      <c r="F5222" s="14">
        <v>153000</v>
      </c>
      <c r="G5222" s="14">
        <v>120400</v>
      </c>
      <c r="H5222" s="13" t="s">
        <v>7893</v>
      </c>
      <c r="I5222" s="40" t="s">
        <v>18</v>
      </c>
      <c r="J5222" s="40" t="str">
        <f>HYPERLINK("https://stock.pstatic.net/stock-research/company/39/20260209_company_62938000.pdf","PDF")</f>
        <v>PDF</v>
      </c>
      <c r="K5222" s="12" t="s">
        <v>7894</v>
      </c>
      <c r="L5222" s="20">
        <v>0.2707641196013289</v>
      </c>
    </row>
    <row r="5223" spans="1:12" x14ac:dyDescent="0.45">
      <c r="A5223" s="12" t="s">
        <v>7696</v>
      </c>
      <c r="B5223" s="12" t="s">
        <v>3349</v>
      </c>
      <c r="C5223" s="13" t="s">
        <v>7707</v>
      </c>
      <c r="D5223" s="13" t="s">
        <v>44</v>
      </c>
      <c r="E5223" s="12" t="s">
        <v>35</v>
      </c>
      <c r="F5223" s="14">
        <v>34000</v>
      </c>
      <c r="G5223" s="14">
        <v>20900</v>
      </c>
      <c r="H5223" s="13" t="s">
        <v>7895</v>
      </c>
      <c r="I5223" s="40" t="s">
        <v>18</v>
      </c>
      <c r="J5223" s="40" t="str">
        <f>HYPERLINK("https://stock.pstatic.net/stock-research/company/39/20260209_company_760398000.pdf","PDF")</f>
        <v>PDF</v>
      </c>
      <c r="K5223" s="12" t="s">
        <v>7896</v>
      </c>
      <c r="L5223" s="20">
        <v>0.62679425837320579</v>
      </c>
    </row>
    <row r="5224" spans="1:12" x14ac:dyDescent="0.45">
      <c r="A5224" s="12" t="s">
        <v>7696</v>
      </c>
      <c r="B5224" s="12" t="s">
        <v>2956</v>
      </c>
      <c r="C5224" s="13" t="s">
        <v>2957</v>
      </c>
      <c r="D5224" s="13" t="s">
        <v>44</v>
      </c>
      <c r="E5224" s="12" t="s">
        <v>35</v>
      </c>
      <c r="F5224" s="14">
        <v>24000</v>
      </c>
      <c r="G5224" s="14">
        <v>19110</v>
      </c>
      <c r="H5224" s="13" t="s">
        <v>7897</v>
      </c>
      <c r="I5224" s="40" t="s">
        <v>18</v>
      </c>
      <c r="J5224" s="40" t="str">
        <f>HYPERLINK("https://stock.pstatic.net/stock-research/company/39/20260209_company_50857000.pdf","PDF")</f>
        <v>PDF</v>
      </c>
      <c r="K5224" s="12" t="s">
        <v>7898</v>
      </c>
      <c r="L5224" s="20">
        <v>0.25588697017268452</v>
      </c>
    </row>
    <row r="5225" spans="1:12" x14ac:dyDescent="0.45">
      <c r="A5225" s="12" t="s">
        <v>7696</v>
      </c>
      <c r="B5225" s="12" t="s">
        <v>434</v>
      </c>
      <c r="C5225" s="13" t="s">
        <v>435</v>
      </c>
      <c r="D5225" s="13" t="s">
        <v>44</v>
      </c>
      <c r="E5225" s="12" t="s">
        <v>50</v>
      </c>
      <c r="F5225" s="13"/>
      <c r="G5225" s="14">
        <v>137300</v>
      </c>
      <c r="H5225" s="13" t="s">
        <v>7899</v>
      </c>
      <c r="I5225" s="40" t="s">
        <v>18</v>
      </c>
      <c r="J5225" s="40" t="str">
        <f>HYPERLINK("https://stock.pstatic.net/stock-research/company/39/20260209_company_134535000.pdf","PDF")</f>
        <v>PDF</v>
      </c>
      <c r="K5225" s="12" t="s">
        <v>7900</v>
      </c>
    </row>
    <row r="5226" spans="1:12" x14ac:dyDescent="0.45">
      <c r="A5226" s="12" t="s">
        <v>7696</v>
      </c>
      <c r="B5226" s="12" t="s">
        <v>2982</v>
      </c>
      <c r="C5226" s="13" t="s">
        <v>2983</v>
      </c>
      <c r="D5226" s="13" t="s">
        <v>44</v>
      </c>
      <c r="E5226" s="12" t="s">
        <v>45</v>
      </c>
      <c r="F5226" s="14">
        <v>52000</v>
      </c>
      <c r="G5226" s="14">
        <v>45050</v>
      </c>
      <c r="H5226" s="13" t="s">
        <v>7901</v>
      </c>
      <c r="I5226" s="40" t="s">
        <v>18</v>
      </c>
      <c r="J5226" s="40" t="str">
        <f>HYPERLINK("https://stock.pstatic.net/stock-research/company/39/20260209_company_48011000.pdf","PDF")</f>
        <v>PDF</v>
      </c>
      <c r="K5226" s="12" t="s">
        <v>7902</v>
      </c>
      <c r="L5226" s="20">
        <v>0.1542730299667037</v>
      </c>
    </row>
    <row r="5227" spans="1:12" x14ac:dyDescent="0.45">
      <c r="A5227" s="12" t="s">
        <v>7696</v>
      </c>
      <c r="B5227" s="12" t="s">
        <v>2956</v>
      </c>
      <c r="C5227" s="13" t="s">
        <v>2957</v>
      </c>
      <c r="D5227" s="13" t="s">
        <v>92</v>
      </c>
      <c r="E5227" s="12" t="s">
        <v>35</v>
      </c>
      <c r="F5227" s="14">
        <v>24000</v>
      </c>
      <c r="G5227" s="14">
        <v>19110</v>
      </c>
      <c r="H5227" s="13" t="s">
        <v>7903</v>
      </c>
      <c r="I5227" s="40" t="s">
        <v>18</v>
      </c>
      <c r="J5227" s="40" t="str">
        <f>HYPERLINK("https://stock.pstatic.net/stock-research/company/63/20260209_company_650635000.pdf","PDF")</f>
        <v>PDF</v>
      </c>
      <c r="K5227" s="12" t="s">
        <v>7904</v>
      </c>
      <c r="L5227" s="20">
        <v>0.25588697017268452</v>
      </c>
    </row>
    <row r="5228" spans="1:12" x14ac:dyDescent="0.45">
      <c r="A5228" s="12" t="s">
        <v>7696</v>
      </c>
      <c r="B5228" s="12" t="s">
        <v>3488</v>
      </c>
      <c r="C5228" s="13" t="s">
        <v>3489</v>
      </c>
      <c r="D5228" s="13" t="s">
        <v>44</v>
      </c>
      <c r="E5228" s="12" t="s">
        <v>35</v>
      </c>
      <c r="F5228" s="14">
        <v>42000</v>
      </c>
      <c r="G5228" s="14">
        <v>32450</v>
      </c>
      <c r="H5228" s="13" t="s">
        <v>7905</v>
      </c>
      <c r="I5228" s="40" t="s">
        <v>18</v>
      </c>
      <c r="J5228" s="40" t="str">
        <f>HYPERLINK("https://stock.pstatic.net/stock-research/company/39/20260209_company_144918000.pdf","PDF")</f>
        <v>PDF</v>
      </c>
      <c r="K5228" s="12" t="s">
        <v>7906</v>
      </c>
      <c r="L5228" s="20">
        <v>0.29429892141756547</v>
      </c>
    </row>
    <row r="5229" spans="1:12" x14ac:dyDescent="0.45">
      <c r="A5229" s="12" t="s">
        <v>7696</v>
      </c>
      <c r="B5229" s="12" t="s">
        <v>957</v>
      </c>
      <c r="C5229" s="13" t="s">
        <v>958</v>
      </c>
      <c r="D5229" s="13" t="s">
        <v>34</v>
      </c>
      <c r="E5229" s="12" t="s">
        <v>35</v>
      </c>
      <c r="F5229" s="14">
        <v>300000</v>
      </c>
      <c r="G5229" s="14">
        <v>221500</v>
      </c>
      <c r="H5229" s="13" t="s">
        <v>7907</v>
      </c>
      <c r="I5229" s="40" t="s">
        <v>18</v>
      </c>
      <c r="J5229" s="40" t="str">
        <f>HYPERLINK("https://stock.pstatic.net/stock-research/company/61/20260209_company_872731000.pdf","PDF")</f>
        <v>PDF</v>
      </c>
      <c r="K5229" s="12" t="s">
        <v>7908</v>
      </c>
      <c r="L5229" s="20">
        <v>0.35440180586907449</v>
      </c>
    </row>
    <row r="5230" spans="1:12" x14ac:dyDescent="0.45">
      <c r="A5230" s="12" t="s">
        <v>7696</v>
      </c>
      <c r="B5230" s="12" t="s">
        <v>1789</v>
      </c>
      <c r="C5230" s="13" t="s">
        <v>1790</v>
      </c>
      <c r="D5230" s="13" t="s">
        <v>179</v>
      </c>
      <c r="E5230" s="12" t="s">
        <v>16</v>
      </c>
      <c r="F5230" s="14">
        <v>88000</v>
      </c>
      <c r="G5230" s="14">
        <v>67400</v>
      </c>
      <c r="H5230" s="13" t="s">
        <v>7909</v>
      </c>
      <c r="I5230" s="40" t="s">
        <v>18</v>
      </c>
      <c r="J5230" s="40" t="str">
        <f>HYPERLINK("https://stock.pstatic.net/stock-research/company/64/20260209_company_720299000.pdf","PDF")</f>
        <v>PDF</v>
      </c>
      <c r="K5230" s="12" t="s">
        <v>7910</v>
      </c>
      <c r="L5230" s="20">
        <v>0.3056379821958457</v>
      </c>
    </row>
    <row r="5231" spans="1:12" x14ac:dyDescent="0.45">
      <c r="A5231" s="12" t="s">
        <v>7696</v>
      </c>
      <c r="B5231" s="12" t="s">
        <v>2982</v>
      </c>
      <c r="C5231" s="13" t="s">
        <v>2983</v>
      </c>
      <c r="D5231" s="13" t="s">
        <v>92</v>
      </c>
      <c r="E5231" s="12" t="s">
        <v>35</v>
      </c>
      <c r="F5231" s="14">
        <v>52000</v>
      </c>
      <c r="G5231" s="14">
        <v>45050</v>
      </c>
      <c r="H5231" s="13" t="s">
        <v>7911</v>
      </c>
      <c r="I5231" s="40" t="s">
        <v>18</v>
      </c>
      <c r="J5231" s="40" t="str">
        <f>HYPERLINK("https://stock.pstatic.net/stock-research/company/63/20260209_company_670804000.pdf","PDF")</f>
        <v>PDF</v>
      </c>
      <c r="K5231" s="12" t="s">
        <v>7912</v>
      </c>
      <c r="L5231" s="20">
        <v>0.1542730299667037</v>
      </c>
    </row>
    <row r="5232" spans="1:12" x14ac:dyDescent="0.45">
      <c r="A5232" s="12" t="s">
        <v>7696</v>
      </c>
      <c r="B5232" s="12" t="s">
        <v>1606</v>
      </c>
      <c r="C5232" s="13" t="s">
        <v>1607</v>
      </c>
      <c r="D5232" s="13" t="s">
        <v>44</v>
      </c>
      <c r="E5232" s="12" t="s">
        <v>35</v>
      </c>
      <c r="F5232" s="14">
        <v>100000</v>
      </c>
      <c r="G5232" s="14">
        <v>71500</v>
      </c>
      <c r="H5232" s="13" t="s">
        <v>7913</v>
      </c>
      <c r="I5232" s="40" t="s">
        <v>18</v>
      </c>
      <c r="J5232" s="40" t="str">
        <f>HYPERLINK("https://stock.pstatic.net/stock-research/company/39/20260209_company_493552000.pdf","PDF")</f>
        <v>PDF</v>
      </c>
      <c r="K5232" s="12" t="s">
        <v>7914</v>
      </c>
      <c r="L5232" s="20">
        <v>0.39860139860139859</v>
      </c>
    </row>
    <row r="5233" spans="1:12" x14ac:dyDescent="0.45">
      <c r="A5233" s="12" t="s">
        <v>7696</v>
      </c>
      <c r="B5233" s="12" t="s">
        <v>3831</v>
      </c>
      <c r="C5233" s="13" t="s">
        <v>3832</v>
      </c>
      <c r="D5233" s="13" t="s">
        <v>34</v>
      </c>
      <c r="E5233" s="12" t="s">
        <v>35</v>
      </c>
      <c r="F5233" s="14">
        <v>84000</v>
      </c>
      <c r="G5233" s="14">
        <v>58100</v>
      </c>
      <c r="H5233" s="13" t="s">
        <v>7915</v>
      </c>
      <c r="I5233" s="40" t="s">
        <v>18</v>
      </c>
      <c r="J5233" s="40" t="str">
        <f>HYPERLINK("https://stock.pstatic.net/stock-research/company/61/20260209_company_87954000.pdf","PDF")</f>
        <v>PDF</v>
      </c>
      <c r="K5233" s="12" t="s">
        <v>7916</v>
      </c>
      <c r="L5233" s="20">
        <v>0.44578313253012047</v>
      </c>
    </row>
    <row r="5234" spans="1:12" x14ac:dyDescent="0.45">
      <c r="A5234" s="12" t="s">
        <v>7696</v>
      </c>
      <c r="B5234" s="12" t="s">
        <v>3492</v>
      </c>
      <c r="C5234" s="13" t="s">
        <v>3493</v>
      </c>
      <c r="D5234" s="13" t="s">
        <v>44</v>
      </c>
      <c r="E5234" s="12" t="s">
        <v>35</v>
      </c>
      <c r="F5234" s="14">
        <v>28000</v>
      </c>
      <c r="G5234" s="14">
        <v>23000</v>
      </c>
      <c r="H5234" s="13" t="s">
        <v>7917</v>
      </c>
      <c r="I5234" s="40" t="s">
        <v>18</v>
      </c>
      <c r="J5234" s="40" t="str">
        <f>HYPERLINK("https://stock.pstatic.net/stock-research/company/39/20260209_company_713888000.pdf","PDF")</f>
        <v>PDF</v>
      </c>
      <c r="K5234" s="12" t="s">
        <v>7918</v>
      </c>
      <c r="L5234" s="20">
        <v>0.21739130434782611</v>
      </c>
    </row>
    <row r="5235" spans="1:12" x14ac:dyDescent="0.45">
      <c r="A5235" s="12" t="s">
        <v>7696</v>
      </c>
      <c r="B5235" s="12" t="s">
        <v>2266</v>
      </c>
      <c r="C5235" s="13" t="s">
        <v>2267</v>
      </c>
      <c r="D5235" s="13" t="s">
        <v>34</v>
      </c>
      <c r="E5235" s="12" t="s">
        <v>159</v>
      </c>
      <c r="F5235" s="14">
        <v>151000</v>
      </c>
      <c r="G5235" s="14">
        <v>158300</v>
      </c>
      <c r="H5235" s="13" t="s">
        <v>7919</v>
      </c>
      <c r="I5235" s="40" t="s">
        <v>18</v>
      </c>
      <c r="J5235" s="40" t="str">
        <f>HYPERLINK("https://stock.pstatic.net/stock-research/company/61/20260209_company_985088000.pdf","PDF")</f>
        <v>PDF</v>
      </c>
      <c r="K5235" s="12" t="s">
        <v>7920</v>
      </c>
      <c r="L5235" s="20">
        <v>-4.611497157296273E-2</v>
      </c>
    </row>
    <row r="5236" spans="1:12" x14ac:dyDescent="0.45">
      <c r="A5236" s="12" t="s">
        <v>7696</v>
      </c>
      <c r="B5236" s="12" t="s">
        <v>2944</v>
      </c>
      <c r="C5236" s="13" t="s">
        <v>2945</v>
      </c>
      <c r="D5236" s="13" t="s">
        <v>44</v>
      </c>
      <c r="E5236" s="12" t="s">
        <v>35</v>
      </c>
      <c r="F5236" s="14">
        <v>24000</v>
      </c>
      <c r="G5236" s="14">
        <v>18500</v>
      </c>
      <c r="H5236" s="13" t="s">
        <v>7921</v>
      </c>
      <c r="I5236" s="40" t="s">
        <v>18</v>
      </c>
      <c r="J5236" s="40" t="str">
        <f>HYPERLINK("https://stock.pstatic.net/stock-research/company/39/20260209_company_12482000.pdf","PDF")</f>
        <v>PDF</v>
      </c>
      <c r="K5236" s="12" t="s">
        <v>7922</v>
      </c>
      <c r="L5236" s="20">
        <v>0.29729729729729731</v>
      </c>
    </row>
    <row r="5237" spans="1:12" x14ac:dyDescent="0.45">
      <c r="A5237" s="12" t="s">
        <v>7696</v>
      </c>
      <c r="B5237" s="12" t="s">
        <v>732</v>
      </c>
      <c r="C5237" s="13" t="s">
        <v>733</v>
      </c>
      <c r="D5237" s="13" t="s">
        <v>44</v>
      </c>
      <c r="E5237" s="12" t="s">
        <v>35</v>
      </c>
      <c r="F5237" s="14">
        <v>140000</v>
      </c>
      <c r="G5237" s="14">
        <v>108500</v>
      </c>
      <c r="H5237" s="13" t="s">
        <v>7923</v>
      </c>
      <c r="I5237" s="40" t="s">
        <v>18</v>
      </c>
      <c r="J5237" s="40" t="str">
        <f>HYPERLINK("https://stock.pstatic.net/stock-research/company/39/20260209_company_693899000.pdf","PDF")</f>
        <v>PDF</v>
      </c>
      <c r="K5237" s="12" t="s">
        <v>7924</v>
      </c>
      <c r="L5237" s="20">
        <v>0.29032258064516131</v>
      </c>
    </row>
    <row r="5238" spans="1:12" x14ac:dyDescent="0.45">
      <c r="A5238" s="12" t="s">
        <v>7696</v>
      </c>
      <c r="B5238" s="12" t="s">
        <v>710</v>
      </c>
      <c r="C5238" s="13" t="s">
        <v>711</v>
      </c>
      <c r="D5238" s="13" t="s">
        <v>44</v>
      </c>
      <c r="E5238" s="12" t="s">
        <v>50</v>
      </c>
      <c r="F5238" s="13"/>
      <c r="G5238" s="14">
        <v>40250</v>
      </c>
      <c r="H5238" s="13" t="s">
        <v>7925</v>
      </c>
      <c r="I5238" s="40" t="s">
        <v>18</v>
      </c>
      <c r="J5238" s="40" t="str">
        <f>HYPERLINK("https://stock.pstatic.net/stock-research/company/39/20260209_company_590733000.pdf","PDF")</f>
        <v>PDF</v>
      </c>
      <c r="K5238" s="12" t="s">
        <v>7926</v>
      </c>
    </row>
    <row r="5239" spans="1:12" x14ac:dyDescent="0.45">
      <c r="A5239" s="12" t="s">
        <v>7696</v>
      </c>
      <c r="B5239" s="12" t="s">
        <v>899</v>
      </c>
      <c r="C5239" s="13" t="s">
        <v>900</v>
      </c>
      <c r="D5239" s="13" t="s">
        <v>44</v>
      </c>
      <c r="E5239" s="12" t="s">
        <v>35</v>
      </c>
      <c r="F5239" s="14">
        <v>80000</v>
      </c>
      <c r="G5239" s="14">
        <v>55200</v>
      </c>
      <c r="H5239" s="13" t="s">
        <v>7927</v>
      </c>
      <c r="I5239" s="40" t="s">
        <v>18</v>
      </c>
      <c r="J5239" s="40" t="str">
        <f>HYPERLINK("https://stock.pstatic.net/stock-research/company/39/20260209_company_193230000.pdf","PDF")</f>
        <v>PDF</v>
      </c>
      <c r="K5239" s="12" t="s">
        <v>7928</v>
      </c>
      <c r="L5239" s="20">
        <v>0.44927536231884058</v>
      </c>
    </row>
    <row r="5240" spans="1:12" x14ac:dyDescent="0.45">
      <c r="A5240" s="12" t="s">
        <v>7696</v>
      </c>
      <c r="B5240" s="12" t="s">
        <v>2827</v>
      </c>
      <c r="C5240" s="13" t="s">
        <v>2828</v>
      </c>
      <c r="D5240" s="13" t="s">
        <v>179</v>
      </c>
      <c r="E5240" s="12" t="s">
        <v>50</v>
      </c>
      <c r="F5240" s="13"/>
      <c r="G5240" s="14">
        <v>37350</v>
      </c>
      <c r="H5240" s="13" t="s">
        <v>7929</v>
      </c>
      <c r="I5240" s="40" t="s">
        <v>18</v>
      </c>
      <c r="J5240" s="40" t="str">
        <f>HYPERLINK("https://stock.pstatic.net/stock-research/company/64/20260209_company_563584000.pdf","PDF")</f>
        <v>PDF</v>
      </c>
      <c r="K5240" s="12" t="s">
        <v>7930</v>
      </c>
    </row>
    <row r="5241" spans="1:12" x14ac:dyDescent="0.45">
      <c r="A5241" s="12" t="s">
        <v>7696</v>
      </c>
      <c r="B5241" s="12" t="s">
        <v>2831</v>
      </c>
      <c r="C5241" s="13" t="s">
        <v>2832</v>
      </c>
      <c r="D5241" s="13" t="s">
        <v>179</v>
      </c>
      <c r="E5241" s="12" t="s">
        <v>50</v>
      </c>
      <c r="F5241" s="13"/>
      <c r="G5241" s="14">
        <v>86500</v>
      </c>
      <c r="H5241" s="13" t="s">
        <v>7931</v>
      </c>
      <c r="I5241" s="40" t="s">
        <v>18</v>
      </c>
      <c r="J5241" s="40" t="str">
        <f>HYPERLINK("https://stock.pstatic.net/stock-research/company/64/20260209_company_757017000.pdf","PDF")</f>
        <v>PDF</v>
      </c>
      <c r="K5241" s="12" t="s">
        <v>7932</v>
      </c>
    </row>
    <row r="5242" spans="1:12" x14ac:dyDescent="0.45">
      <c r="A5242" s="12" t="s">
        <v>7696</v>
      </c>
      <c r="B5242" s="12" t="s">
        <v>2823</v>
      </c>
      <c r="C5242" s="13" t="s">
        <v>2824</v>
      </c>
      <c r="D5242" s="13" t="s">
        <v>179</v>
      </c>
      <c r="E5242" s="12" t="s">
        <v>50</v>
      </c>
      <c r="F5242" s="13"/>
      <c r="G5242" s="14">
        <v>53600</v>
      </c>
      <c r="H5242" s="13" t="s">
        <v>7933</v>
      </c>
      <c r="I5242" s="40" t="s">
        <v>18</v>
      </c>
      <c r="J5242" s="40" t="str">
        <f>HYPERLINK("https://stock.pstatic.net/stock-research/company/64/20260209_company_902879000.pdf","PDF")</f>
        <v>PDF</v>
      </c>
      <c r="K5242" s="12" t="s">
        <v>7934</v>
      </c>
    </row>
    <row r="5243" spans="1:12" x14ac:dyDescent="0.45">
      <c r="A5243" s="12" t="s">
        <v>7696</v>
      </c>
      <c r="B5243" s="12" t="s">
        <v>7935</v>
      </c>
      <c r="C5243" s="13" t="s">
        <v>7936</v>
      </c>
      <c r="D5243" s="13" t="s">
        <v>124</v>
      </c>
      <c r="E5243" s="12" t="s">
        <v>50</v>
      </c>
      <c r="F5243" s="13"/>
      <c r="G5243" s="13"/>
      <c r="H5243" s="13" t="s">
        <v>7937</v>
      </c>
      <c r="I5243" s="40" t="s">
        <v>18</v>
      </c>
      <c r="J5243" s="40" t="str">
        <f>HYPERLINK("https://stock.pstatic.net/stock-research/company/74/20260209_company_987733000.pdf","PDF")</f>
        <v>PDF</v>
      </c>
      <c r="K5243" s="12" t="s">
        <v>7938</v>
      </c>
    </row>
    <row r="5244" spans="1:12" x14ac:dyDescent="0.45">
      <c r="A5244" s="12" t="s">
        <v>7696</v>
      </c>
      <c r="B5244" s="12" t="s">
        <v>1666</v>
      </c>
      <c r="C5244" s="13" t="s">
        <v>1667</v>
      </c>
      <c r="D5244" s="13" t="s">
        <v>53</v>
      </c>
      <c r="E5244" s="12" t="s">
        <v>16</v>
      </c>
      <c r="F5244" s="14">
        <v>70000</v>
      </c>
      <c r="G5244" s="14">
        <v>54700</v>
      </c>
      <c r="H5244" s="13" t="s">
        <v>7939</v>
      </c>
      <c r="I5244" s="40" t="s">
        <v>18</v>
      </c>
      <c r="J5244" s="40" t="str">
        <f>HYPERLINK("https://stock.pstatic.net/stock-research/company/40/20260209_company_671076000.pdf","PDF")</f>
        <v>PDF</v>
      </c>
      <c r="K5244" s="12" t="s">
        <v>7940</v>
      </c>
      <c r="L5244" s="20">
        <v>0.27970749542961609</v>
      </c>
    </row>
    <row r="5245" spans="1:12" x14ac:dyDescent="0.45">
      <c r="A5245" s="12" t="s">
        <v>7696</v>
      </c>
      <c r="B5245" s="12" t="s">
        <v>42</v>
      </c>
      <c r="C5245" s="13" t="s">
        <v>43</v>
      </c>
      <c r="D5245" s="13" t="s">
        <v>53</v>
      </c>
      <c r="E5245" s="12" t="s">
        <v>16</v>
      </c>
      <c r="F5245" s="14">
        <v>320000</v>
      </c>
      <c r="G5245" s="14">
        <v>249000</v>
      </c>
      <c r="H5245" s="13" t="s">
        <v>7941</v>
      </c>
      <c r="I5245" s="40" t="s">
        <v>18</v>
      </c>
      <c r="J5245" s="40" t="str">
        <f>HYPERLINK("https://stock.pstatic.net/stock-research/company/40/20260209_company_670317000.pdf","PDF")</f>
        <v>PDF</v>
      </c>
      <c r="K5245" s="12" t="s">
        <v>7942</v>
      </c>
      <c r="L5245" s="20">
        <v>0.28514056224899598</v>
      </c>
    </row>
    <row r="5246" spans="1:12" x14ac:dyDescent="0.45">
      <c r="A5246" s="12" t="s">
        <v>7696</v>
      </c>
      <c r="B5246" s="12" t="s">
        <v>7943</v>
      </c>
      <c r="C5246" s="13" t="s">
        <v>7944</v>
      </c>
      <c r="D5246" s="13" t="s">
        <v>15</v>
      </c>
      <c r="E5246" s="12" t="s">
        <v>50</v>
      </c>
      <c r="F5246" s="13"/>
      <c r="G5246" s="14">
        <v>6950</v>
      </c>
      <c r="H5246" s="13" t="s">
        <v>7945</v>
      </c>
      <c r="I5246" s="40" t="s">
        <v>18</v>
      </c>
      <c r="J5246" s="40" t="str">
        <f>HYPERLINK("https://stock.pstatic.net/stock-research/company/56/20260209_company_745638000.pdf","PDF")</f>
        <v>PDF</v>
      </c>
      <c r="K5246" s="12" t="s">
        <v>7946</v>
      </c>
    </row>
    <row r="5247" spans="1:12" x14ac:dyDescent="0.45">
      <c r="A5247" s="12" t="s">
        <v>7696</v>
      </c>
      <c r="B5247" s="12" t="s">
        <v>3369</v>
      </c>
      <c r="C5247" s="13" t="s">
        <v>3370</v>
      </c>
      <c r="D5247" s="13" t="s">
        <v>15</v>
      </c>
      <c r="E5247" s="12" t="s">
        <v>385</v>
      </c>
      <c r="F5247" s="14">
        <v>28000</v>
      </c>
      <c r="G5247" s="14">
        <v>28400</v>
      </c>
      <c r="H5247" s="13" t="s">
        <v>7947</v>
      </c>
      <c r="I5247" s="40" t="s">
        <v>18</v>
      </c>
      <c r="J5247" s="40" t="str">
        <f>HYPERLINK("https://stock.pstatic.net/stock-research/company/56/20260209_company_419045000.pdf","PDF")</f>
        <v>PDF</v>
      </c>
      <c r="K5247" s="12" t="s">
        <v>7948</v>
      </c>
      <c r="L5247" s="20">
        <v>-1.408450704225352E-2</v>
      </c>
    </row>
    <row r="5248" spans="1:12" x14ac:dyDescent="0.45">
      <c r="A5248" s="12" t="s">
        <v>7696</v>
      </c>
      <c r="B5248" s="12" t="s">
        <v>1666</v>
      </c>
      <c r="C5248" s="13" t="s">
        <v>1667</v>
      </c>
      <c r="D5248" s="13" t="s">
        <v>15</v>
      </c>
      <c r="E5248" s="12" t="s">
        <v>16</v>
      </c>
      <c r="F5248" s="14">
        <v>80000</v>
      </c>
      <c r="G5248" s="14">
        <v>50800</v>
      </c>
      <c r="H5248" s="13" t="s">
        <v>7949</v>
      </c>
      <c r="I5248" s="40" t="s">
        <v>18</v>
      </c>
      <c r="J5248" s="40" t="str">
        <f>HYPERLINK("https://stock.pstatic.net/stock-research/company/56/20260209_company_434370000.pdf","PDF")</f>
        <v>PDF</v>
      </c>
      <c r="K5248" s="12" t="s">
        <v>7950</v>
      </c>
      <c r="L5248" s="20">
        <v>0.57480314960629919</v>
      </c>
    </row>
    <row r="5249" spans="1:12" x14ac:dyDescent="0.45">
      <c r="A5249" s="12" t="s">
        <v>7951</v>
      </c>
      <c r="B5249" s="12" t="s">
        <v>2365</v>
      </c>
      <c r="C5249" s="13" t="s">
        <v>2366</v>
      </c>
      <c r="D5249" s="13" t="s">
        <v>23</v>
      </c>
      <c r="E5249" s="12" t="s">
        <v>16</v>
      </c>
      <c r="F5249" s="14">
        <v>180000</v>
      </c>
      <c r="G5249" s="14">
        <v>117600</v>
      </c>
      <c r="H5249" s="13" t="s">
        <v>7952</v>
      </c>
      <c r="I5249" s="40" t="s">
        <v>18</v>
      </c>
      <c r="J5249" s="40" t="str">
        <f>HYPERLINK("https://stock.pstatic.net/stock-research/company/21/20260206_company_347851000.pdf","PDF")</f>
        <v>PDF</v>
      </c>
      <c r="K5249" s="12" t="s">
        <v>7953</v>
      </c>
      <c r="L5249" s="20">
        <v>0.53061224489795922</v>
      </c>
    </row>
    <row r="5250" spans="1:12" x14ac:dyDescent="0.45">
      <c r="A5250" s="12" t="s">
        <v>7951</v>
      </c>
      <c r="B5250" s="12" t="s">
        <v>1666</v>
      </c>
      <c r="C5250" s="13" t="s">
        <v>1667</v>
      </c>
      <c r="D5250" s="13" t="s">
        <v>57</v>
      </c>
      <c r="E5250" s="12" t="s">
        <v>35</v>
      </c>
      <c r="F5250" s="14">
        <v>68000</v>
      </c>
      <c r="G5250" s="14">
        <v>50800</v>
      </c>
      <c r="H5250" s="13" t="s">
        <v>7954</v>
      </c>
      <c r="I5250" s="40" t="s">
        <v>18</v>
      </c>
      <c r="J5250" s="40" t="str">
        <f>HYPERLINK("https://stock.pstatic.net/stock-research/company/16/20260206_company_755393000.pdf","PDF")</f>
        <v>PDF</v>
      </c>
      <c r="K5250" s="12" t="s">
        <v>7955</v>
      </c>
      <c r="L5250" s="20">
        <v>0.33858267716535428</v>
      </c>
    </row>
    <row r="5251" spans="1:12" x14ac:dyDescent="0.45">
      <c r="A5251" s="12" t="s">
        <v>7951</v>
      </c>
      <c r="B5251" s="12" t="s">
        <v>1678</v>
      </c>
      <c r="C5251" s="13" t="s">
        <v>1679</v>
      </c>
      <c r="D5251" s="13" t="s">
        <v>57</v>
      </c>
      <c r="E5251" s="12" t="s">
        <v>35</v>
      </c>
      <c r="F5251" s="14">
        <v>85000</v>
      </c>
      <c r="G5251" s="14">
        <v>70900</v>
      </c>
      <c r="H5251" s="13" t="s">
        <v>7956</v>
      </c>
      <c r="I5251" s="40" t="s">
        <v>18</v>
      </c>
      <c r="J5251" s="40" t="str">
        <f>HYPERLINK("https://stock.pstatic.net/stock-research/company/16/20260206_company_37131000.pdf","PDF")</f>
        <v>PDF</v>
      </c>
      <c r="K5251" s="12" t="s">
        <v>7957</v>
      </c>
      <c r="L5251" s="20">
        <v>0.19887165021156561</v>
      </c>
    </row>
    <row r="5252" spans="1:12" x14ac:dyDescent="0.45">
      <c r="A5252" s="12" t="s">
        <v>7951</v>
      </c>
      <c r="B5252" s="12" t="s">
        <v>3831</v>
      </c>
      <c r="C5252" s="13" t="s">
        <v>3832</v>
      </c>
      <c r="D5252" s="13" t="s">
        <v>57</v>
      </c>
      <c r="E5252" s="12" t="s">
        <v>35</v>
      </c>
      <c r="F5252" s="14">
        <v>81000</v>
      </c>
      <c r="G5252" s="14">
        <v>61500</v>
      </c>
      <c r="H5252" s="13" t="s">
        <v>7958</v>
      </c>
      <c r="I5252" s="40" t="s">
        <v>18</v>
      </c>
      <c r="J5252" s="40" t="str">
        <f>HYPERLINK("https://stock.pstatic.net/stock-research/company/16/20260206_company_433762000.pdf","PDF")</f>
        <v>PDF</v>
      </c>
      <c r="K5252" s="12" t="s">
        <v>7959</v>
      </c>
      <c r="L5252" s="20">
        <v>0.31707317073170732</v>
      </c>
    </row>
    <row r="5253" spans="1:12" x14ac:dyDescent="0.45">
      <c r="A5253" s="12" t="s">
        <v>7951</v>
      </c>
      <c r="B5253" s="12" t="s">
        <v>3101</v>
      </c>
      <c r="C5253" s="13" t="s">
        <v>3102</v>
      </c>
      <c r="D5253" s="13" t="s">
        <v>57</v>
      </c>
      <c r="E5253" s="12" t="s">
        <v>159</v>
      </c>
      <c r="F5253" s="14">
        <v>180000</v>
      </c>
      <c r="G5253" s="14">
        <v>211500</v>
      </c>
      <c r="H5253" s="13" t="s">
        <v>7960</v>
      </c>
      <c r="I5253" s="40" t="s">
        <v>18</v>
      </c>
      <c r="J5253" s="40" t="str">
        <f>HYPERLINK("https://stock.pstatic.net/stock-research/company/16/20260206_company_750542000.pdf","PDF")</f>
        <v>PDF</v>
      </c>
      <c r="K5253" s="12" t="s">
        <v>7961</v>
      </c>
      <c r="L5253" s="20">
        <v>-0.14893617021276601</v>
      </c>
    </row>
    <row r="5254" spans="1:12" x14ac:dyDescent="0.45">
      <c r="A5254" s="12" t="s">
        <v>7951</v>
      </c>
      <c r="B5254" s="12" t="s">
        <v>330</v>
      </c>
      <c r="C5254" s="13" t="s">
        <v>331</v>
      </c>
      <c r="D5254" s="13" t="s">
        <v>57</v>
      </c>
      <c r="E5254" s="12" t="s">
        <v>35</v>
      </c>
      <c r="F5254" s="14">
        <v>45000</v>
      </c>
      <c r="G5254" s="14">
        <v>36400</v>
      </c>
      <c r="H5254" s="13" t="s">
        <v>7962</v>
      </c>
      <c r="I5254" s="40" t="s">
        <v>18</v>
      </c>
      <c r="J5254" s="40" t="str">
        <f>HYPERLINK("https://stock.pstatic.net/stock-research/company/16/20260206_company_913463000.pdf","PDF")</f>
        <v>PDF</v>
      </c>
      <c r="K5254" s="12" t="s">
        <v>7963</v>
      </c>
      <c r="L5254" s="20">
        <v>0.23626373626373631</v>
      </c>
    </row>
    <row r="5255" spans="1:12" x14ac:dyDescent="0.45">
      <c r="A5255" s="12" t="s">
        <v>7951</v>
      </c>
      <c r="B5255" s="12" t="s">
        <v>2365</v>
      </c>
      <c r="C5255" s="13" t="s">
        <v>2366</v>
      </c>
      <c r="D5255" s="13" t="s">
        <v>57</v>
      </c>
      <c r="E5255" s="12" t="s">
        <v>35</v>
      </c>
      <c r="F5255" s="14">
        <v>180000</v>
      </c>
      <c r="G5255" s="14">
        <v>117600</v>
      </c>
      <c r="H5255" s="13" t="s">
        <v>7964</v>
      </c>
      <c r="I5255" s="40" t="s">
        <v>18</v>
      </c>
      <c r="J5255" s="40" t="str">
        <f>HYPERLINK("https://stock.pstatic.net/stock-research/company/16/20260206_company_372043000.pdf","PDF")</f>
        <v>PDF</v>
      </c>
      <c r="K5255" s="12" t="s">
        <v>7965</v>
      </c>
      <c r="L5255" s="20">
        <v>0.53061224489795922</v>
      </c>
    </row>
    <row r="5256" spans="1:12" x14ac:dyDescent="0.45">
      <c r="A5256" s="12" t="s">
        <v>7951</v>
      </c>
      <c r="B5256" s="12" t="s">
        <v>3688</v>
      </c>
      <c r="C5256" s="13" t="s">
        <v>3689</v>
      </c>
      <c r="D5256" s="13" t="s">
        <v>57</v>
      </c>
      <c r="E5256" s="12" t="s">
        <v>35</v>
      </c>
      <c r="F5256" s="14">
        <v>109000</v>
      </c>
      <c r="G5256" s="14">
        <v>90900</v>
      </c>
      <c r="H5256" s="13" t="s">
        <v>7966</v>
      </c>
      <c r="I5256" s="40" t="s">
        <v>18</v>
      </c>
      <c r="J5256" s="40" t="str">
        <f>HYPERLINK("https://stock.pstatic.net/stock-research/company/16/20260206_company_153918000.pdf","PDF")</f>
        <v>PDF</v>
      </c>
      <c r="K5256" s="12" t="s">
        <v>7967</v>
      </c>
      <c r="L5256" s="20">
        <v>0.19911991199119911</v>
      </c>
    </row>
    <row r="5257" spans="1:12" x14ac:dyDescent="0.45">
      <c r="A5257" s="12" t="s">
        <v>7951</v>
      </c>
      <c r="B5257" s="12" t="s">
        <v>3373</v>
      </c>
      <c r="C5257" s="13" t="s">
        <v>3374</v>
      </c>
      <c r="D5257" s="13" t="s">
        <v>57</v>
      </c>
      <c r="E5257" s="12" t="s">
        <v>35</v>
      </c>
      <c r="F5257" s="14">
        <v>181000</v>
      </c>
      <c r="G5257" s="14">
        <v>139500</v>
      </c>
      <c r="H5257" s="13" t="s">
        <v>7968</v>
      </c>
      <c r="I5257" s="40" t="s">
        <v>18</v>
      </c>
      <c r="J5257" s="40" t="str">
        <f>HYPERLINK("https://stock.pstatic.net/stock-research/company/16/20260206_company_47922000.pdf","PDF")</f>
        <v>PDF</v>
      </c>
      <c r="K5257" s="12" t="s">
        <v>7969</v>
      </c>
      <c r="L5257" s="20">
        <v>0.29749103942652327</v>
      </c>
    </row>
    <row r="5258" spans="1:12" x14ac:dyDescent="0.45">
      <c r="A5258" s="12" t="s">
        <v>7951</v>
      </c>
      <c r="B5258" s="12" t="s">
        <v>3369</v>
      </c>
      <c r="C5258" s="13" t="s">
        <v>3370</v>
      </c>
      <c r="D5258" s="13" t="s">
        <v>57</v>
      </c>
      <c r="E5258" s="12" t="s">
        <v>35</v>
      </c>
      <c r="F5258" s="14">
        <v>35000</v>
      </c>
      <c r="G5258" s="14">
        <v>28400</v>
      </c>
      <c r="H5258" s="13" t="s">
        <v>7970</v>
      </c>
      <c r="I5258" s="40" t="s">
        <v>18</v>
      </c>
      <c r="J5258" s="40" t="str">
        <f>HYPERLINK("https://stock.pstatic.net/stock-research/company/16/20260206_company_714744000.pdf","PDF")</f>
        <v>PDF</v>
      </c>
      <c r="K5258" s="12" t="s">
        <v>7971</v>
      </c>
      <c r="L5258" s="20">
        <v>0.23239436619718309</v>
      </c>
    </row>
    <row r="5259" spans="1:12" x14ac:dyDescent="0.45">
      <c r="A5259" s="12" t="s">
        <v>7951</v>
      </c>
      <c r="B5259" s="12" t="s">
        <v>2266</v>
      </c>
      <c r="C5259" s="13" t="s">
        <v>2267</v>
      </c>
      <c r="D5259" s="13" t="s">
        <v>57</v>
      </c>
      <c r="E5259" s="12" t="s">
        <v>35</v>
      </c>
      <c r="F5259" s="14">
        <v>201000</v>
      </c>
      <c r="G5259" s="14">
        <v>162000</v>
      </c>
      <c r="H5259" s="13" t="s">
        <v>7972</v>
      </c>
      <c r="I5259" s="40" t="s">
        <v>18</v>
      </c>
      <c r="J5259" s="40" t="str">
        <f>HYPERLINK("https://stock.pstatic.net/stock-research/company/16/20260206_company_731261000.pdf","PDF")</f>
        <v>PDF</v>
      </c>
      <c r="K5259" s="12" t="s">
        <v>7973</v>
      </c>
      <c r="L5259" s="20">
        <v>0.2407407407407407</v>
      </c>
    </row>
    <row r="5260" spans="1:12" x14ac:dyDescent="0.45">
      <c r="A5260" s="12" t="s">
        <v>7951</v>
      </c>
      <c r="B5260" s="12" t="s">
        <v>63</v>
      </c>
      <c r="C5260" s="13" t="s">
        <v>64</v>
      </c>
      <c r="D5260" s="13" t="s">
        <v>276</v>
      </c>
      <c r="E5260" s="12" t="s">
        <v>16</v>
      </c>
      <c r="F5260" s="14">
        <v>680000</v>
      </c>
      <c r="G5260" s="14">
        <v>541000</v>
      </c>
      <c r="H5260" s="13" t="s">
        <v>7974</v>
      </c>
      <c r="I5260" s="40" t="s">
        <v>18</v>
      </c>
      <c r="J5260" s="40" t="str">
        <f>HYPERLINK("https://stock.pstatic.net/stock-research/company/66/20260206_company_315213000.pdf","PDF")</f>
        <v>PDF</v>
      </c>
      <c r="K5260" s="12" t="s">
        <v>7975</v>
      </c>
      <c r="L5260" s="20">
        <v>0.25693160813308691</v>
      </c>
    </row>
    <row r="5261" spans="1:12" x14ac:dyDescent="0.45">
      <c r="A5261" s="12" t="s">
        <v>7951</v>
      </c>
      <c r="B5261" s="12" t="s">
        <v>1666</v>
      </c>
      <c r="C5261" s="13" t="s">
        <v>1667</v>
      </c>
      <c r="D5261" s="13" t="s">
        <v>276</v>
      </c>
      <c r="E5261" s="12" t="s">
        <v>16</v>
      </c>
      <c r="F5261" s="14">
        <v>86000</v>
      </c>
      <c r="G5261" s="14">
        <v>50800</v>
      </c>
      <c r="H5261" s="13" t="s">
        <v>7976</v>
      </c>
      <c r="I5261" s="40" t="s">
        <v>18</v>
      </c>
      <c r="J5261" s="40" t="str">
        <f>HYPERLINK("https://stock.pstatic.net/stock-research/company/66/20260206_company_631368000.pdf","PDF")</f>
        <v>PDF</v>
      </c>
      <c r="K5261" s="12" t="s">
        <v>7977</v>
      </c>
      <c r="L5261" s="20">
        <v>0.69291338582677164</v>
      </c>
    </row>
    <row r="5262" spans="1:12" x14ac:dyDescent="0.45">
      <c r="A5262" s="12" t="s">
        <v>7951</v>
      </c>
      <c r="B5262" s="12" t="s">
        <v>3101</v>
      </c>
      <c r="C5262" s="13" t="s">
        <v>3102</v>
      </c>
      <c r="D5262" s="13" t="s">
        <v>276</v>
      </c>
      <c r="E5262" s="12" t="s">
        <v>385</v>
      </c>
      <c r="F5262" s="14">
        <v>220000</v>
      </c>
      <c r="G5262" s="14">
        <v>211500</v>
      </c>
      <c r="H5262" s="13" t="s">
        <v>7978</v>
      </c>
      <c r="I5262" s="40" t="s">
        <v>18</v>
      </c>
      <c r="J5262" s="40" t="str">
        <f>HYPERLINK("https://stock.pstatic.net/stock-research/company/66/20260206_company_906683000.pdf","PDF")</f>
        <v>PDF</v>
      </c>
      <c r="K5262" s="12" t="s">
        <v>7979</v>
      </c>
      <c r="L5262" s="20">
        <v>4.0189125295508277E-2</v>
      </c>
    </row>
    <row r="5263" spans="1:12" x14ac:dyDescent="0.45">
      <c r="A5263" s="12" t="s">
        <v>7951</v>
      </c>
      <c r="B5263" s="12" t="s">
        <v>3831</v>
      </c>
      <c r="C5263" s="13" t="s">
        <v>3832</v>
      </c>
      <c r="D5263" s="13" t="s">
        <v>276</v>
      </c>
      <c r="E5263" s="12" t="s">
        <v>16</v>
      </c>
      <c r="F5263" s="14">
        <v>81000</v>
      </c>
      <c r="G5263" s="14">
        <v>61500</v>
      </c>
      <c r="H5263" s="13" t="s">
        <v>7980</v>
      </c>
      <c r="I5263" s="40" t="s">
        <v>18</v>
      </c>
      <c r="J5263" s="40" t="str">
        <f>HYPERLINK("https://stock.pstatic.net/stock-research/company/66/20260206_company_589998000.pdf","PDF")</f>
        <v>PDF</v>
      </c>
      <c r="K5263" s="12" t="s">
        <v>7981</v>
      </c>
      <c r="L5263" s="20">
        <v>0.31707317073170732</v>
      </c>
    </row>
    <row r="5264" spans="1:12" x14ac:dyDescent="0.45">
      <c r="A5264" s="12" t="s">
        <v>7951</v>
      </c>
      <c r="B5264" s="12" t="s">
        <v>2365</v>
      </c>
      <c r="C5264" s="13" t="s">
        <v>2366</v>
      </c>
      <c r="D5264" s="13" t="s">
        <v>276</v>
      </c>
      <c r="E5264" s="12" t="s">
        <v>16</v>
      </c>
      <c r="F5264" s="14">
        <v>180000</v>
      </c>
      <c r="G5264" s="14">
        <v>117600</v>
      </c>
      <c r="H5264" s="13" t="s">
        <v>7982</v>
      </c>
      <c r="I5264" s="40" t="s">
        <v>18</v>
      </c>
      <c r="J5264" s="40" t="str">
        <f>HYPERLINK("https://stock.pstatic.net/stock-research/company/66/20260206_company_861537000.pdf","PDF")</f>
        <v>PDF</v>
      </c>
      <c r="K5264" s="12" t="s">
        <v>7983</v>
      </c>
      <c r="L5264" s="20">
        <v>0.53061224489795922</v>
      </c>
    </row>
    <row r="5265" spans="1:12" x14ac:dyDescent="0.45">
      <c r="A5265" s="12" t="s">
        <v>7951</v>
      </c>
      <c r="B5265" s="12" t="s">
        <v>1678</v>
      </c>
      <c r="C5265" s="13" t="s">
        <v>1679</v>
      </c>
      <c r="D5265" s="13" t="s">
        <v>276</v>
      </c>
      <c r="E5265" s="12" t="s">
        <v>16</v>
      </c>
      <c r="F5265" s="14">
        <v>90000</v>
      </c>
      <c r="G5265" s="14">
        <v>70900</v>
      </c>
      <c r="H5265" s="13" t="s">
        <v>7984</v>
      </c>
      <c r="I5265" s="40" t="s">
        <v>18</v>
      </c>
      <c r="J5265" s="40" t="str">
        <f>HYPERLINK("https://stock.pstatic.net/stock-research/company/66/20260206_company_258023000.pdf","PDF")</f>
        <v>PDF</v>
      </c>
      <c r="K5265" s="12" t="s">
        <v>7985</v>
      </c>
      <c r="L5265" s="20">
        <v>0.26939351198871653</v>
      </c>
    </row>
    <row r="5266" spans="1:12" x14ac:dyDescent="0.45">
      <c r="A5266" s="12" t="s">
        <v>7951</v>
      </c>
      <c r="B5266" s="12" t="s">
        <v>1042</v>
      </c>
      <c r="C5266" s="13" t="s">
        <v>1043</v>
      </c>
      <c r="D5266" s="13" t="s">
        <v>276</v>
      </c>
      <c r="E5266" s="12" t="s">
        <v>16</v>
      </c>
      <c r="F5266" s="14">
        <v>50000</v>
      </c>
      <c r="G5266" s="14">
        <v>32200</v>
      </c>
      <c r="H5266" s="13" t="s">
        <v>7986</v>
      </c>
      <c r="I5266" s="40" t="s">
        <v>18</v>
      </c>
      <c r="J5266" s="40" t="str">
        <f>HYPERLINK("https://stock.pstatic.net/stock-research/company/66/20260206_company_493297000.pdf","PDF")</f>
        <v>PDF</v>
      </c>
      <c r="K5266" s="12" t="s">
        <v>7987</v>
      </c>
      <c r="L5266" s="20">
        <v>0.55279503105590067</v>
      </c>
    </row>
    <row r="5267" spans="1:12" x14ac:dyDescent="0.45">
      <c r="A5267" s="12" t="s">
        <v>7951</v>
      </c>
      <c r="B5267" s="12" t="s">
        <v>330</v>
      </c>
      <c r="C5267" s="13" t="s">
        <v>331</v>
      </c>
      <c r="D5267" s="13" t="s">
        <v>276</v>
      </c>
      <c r="E5267" s="12" t="s">
        <v>16</v>
      </c>
      <c r="F5267" s="14">
        <v>47000</v>
      </c>
      <c r="G5267" s="14">
        <v>36400</v>
      </c>
      <c r="H5267" s="13" t="s">
        <v>7988</v>
      </c>
      <c r="I5267" s="40" t="s">
        <v>18</v>
      </c>
      <c r="J5267" s="40" t="str">
        <f>HYPERLINK("https://stock.pstatic.net/stock-research/company/66/20260206_company_29071000.pdf","PDF")</f>
        <v>PDF</v>
      </c>
      <c r="K5267" s="12" t="s">
        <v>7989</v>
      </c>
      <c r="L5267" s="20">
        <v>0.29120879120879117</v>
      </c>
    </row>
    <row r="5268" spans="1:12" x14ac:dyDescent="0.45">
      <c r="A5268" s="12" t="s">
        <v>7951</v>
      </c>
      <c r="B5268" s="12" t="s">
        <v>1666</v>
      </c>
      <c r="C5268" s="13" t="s">
        <v>1667</v>
      </c>
      <c r="D5268" s="13" t="s">
        <v>60</v>
      </c>
      <c r="E5268" s="12" t="s">
        <v>35</v>
      </c>
      <c r="F5268" s="14">
        <v>78000</v>
      </c>
      <c r="G5268" s="14">
        <v>50800</v>
      </c>
      <c r="H5268" s="13" t="s">
        <v>7990</v>
      </c>
      <c r="I5268" s="40" t="s">
        <v>18</v>
      </c>
      <c r="J5268" s="40" t="str">
        <f>HYPERLINK("https://stock.pstatic.net/stock-research/company/62/20260206_company_56437000.pdf","PDF")</f>
        <v>PDF</v>
      </c>
      <c r="K5268" s="12" t="s">
        <v>7991</v>
      </c>
      <c r="L5268" s="20">
        <v>0.53543307086614178</v>
      </c>
    </row>
    <row r="5269" spans="1:12" x14ac:dyDescent="0.45">
      <c r="A5269" s="12" t="s">
        <v>7951</v>
      </c>
      <c r="B5269" s="12" t="s">
        <v>2425</v>
      </c>
      <c r="C5269" s="13" t="s">
        <v>2426</v>
      </c>
      <c r="D5269" s="13" t="s">
        <v>60</v>
      </c>
      <c r="E5269" s="12" t="s">
        <v>35</v>
      </c>
      <c r="F5269" s="14">
        <v>190000</v>
      </c>
      <c r="G5269" s="14">
        <v>161800</v>
      </c>
      <c r="H5269" s="13" t="s">
        <v>7992</v>
      </c>
      <c r="I5269" s="40" t="s">
        <v>18</v>
      </c>
      <c r="J5269" s="40" t="str">
        <f>HYPERLINK("https://stock.pstatic.net/stock-research/company/62/20260206_company_205598000.pdf","PDF")</f>
        <v>PDF</v>
      </c>
      <c r="K5269" s="12" t="s">
        <v>7993</v>
      </c>
      <c r="L5269" s="20">
        <v>0.17428924598269471</v>
      </c>
    </row>
    <row r="5270" spans="1:12" x14ac:dyDescent="0.45">
      <c r="A5270" s="12" t="s">
        <v>7951</v>
      </c>
      <c r="B5270" s="12" t="s">
        <v>370</v>
      </c>
      <c r="C5270" s="13" t="s">
        <v>371</v>
      </c>
      <c r="D5270" s="13" t="s">
        <v>60</v>
      </c>
      <c r="E5270" s="12" t="s">
        <v>35</v>
      </c>
      <c r="F5270" s="14">
        <v>92000</v>
      </c>
      <c r="G5270" s="14">
        <v>69800</v>
      </c>
      <c r="H5270" s="13" t="s">
        <v>7994</v>
      </c>
      <c r="I5270" s="40" t="s">
        <v>18</v>
      </c>
      <c r="J5270" s="40" t="str">
        <f>HYPERLINK("https://stock.pstatic.net/stock-research/company/62/20260206_company_128389000.pdf","PDF")</f>
        <v>PDF</v>
      </c>
      <c r="K5270" s="12" t="s">
        <v>7995</v>
      </c>
      <c r="L5270" s="20">
        <v>0.31805157593123212</v>
      </c>
    </row>
    <row r="5271" spans="1:12" x14ac:dyDescent="0.45">
      <c r="A5271" s="12" t="s">
        <v>7951</v>
      </c>
      <c r="B5271" s="12" t="s">
        <v>3831</v>
      </c>
      <c r="C5271" s="13" t="s">
        <v>3832</v>
      </c>
      <c r="D5271" s="13" t="s">
        <v>60</v>
      </c>
      <c r="E5271" s="12" t="s">
        <v>35</v>
      </c>
      <c r="F5271" s="14">
        <v>77000</v>
      </c>
      <c r="G5271" s="14">
        <v>61500</v>
      </c>
      <c r="H5271" s="13" t="s">
        <v>7996</v>
      </c>
      <c r="I5271" s="40" t="s">
        <v>18</v>
      </c>
      <c r="J5271" s="40" t="str">
        <f>HYPERLINK("https://stock.pstatic.net/stock-research/company/62/20260206_company_944988000.pdf","PDF")</f>
        <v>PDF</v>
      </c>
      <c r="K5271" s="12" t="s">
        <v>7997</v>
      </c>
      <c r="L5271" s="20">
        <v>0.25203252032520318</v>
      </c>
    </row>
    <row r="5272" spans="1:12" x14ac:dyDescent="0.45">
      <c r="A5272" s="12" t="s">
        <v>7951</v>
      </c>
      <c r="B5272" s="12" t="s">
        <v>468</v>
      </c>
      <c r="C5272" s="13" t="s">
        <v>469</v>
      </c>
      <c r="D5272" s="13" t="s">
        <v>15</v>
      </c>
      <c r="E5272" s="12" t="s">
        <v>50</v>
      </c>
      <c r="F5272" s="13"/>
      <c r="G5272" s="14">
        <v>26500</v>
      </c>
      <c r="H5272" s="13" t="s">
        <v>7998</v>
      </c>
      <c r="I5272" s="40" t="s">
        <v>18</v>
      </c>
      <c r="J5272" s="40" t="str">
        <f>HYPERLINK("https://stock.pstatic.net/stock-research/company/56/20260206_company_154820000.pdf","PDF")</f>
        <v>PDF</v>
      </c>
      <c r="K5272" s="12" t="s">
        <v>7999</v>
      </c>
    </row>
    <row r="5273" spans="1:12" x14ac:dyDescent="0.45">
      <c r="A5273" s="12" t="s">
        <v>7951</v>
      </c>
      <c r="B5273" s="12" t="s">
        <v>3101</v>
      </c>
      <c r="C5273" s="13" t="s">
        <v>3102</v>
      </c>
      <c r="D5273" s="13" t="s">
        <v>65</v>
      </c>
      <c r="E5273" s="12" t="s">
        <v>50</v>
      </c>
      <c r="F5273" s="13"/>
      <c r="G5273" s="14">
        <v>211500</v>
      </c>
      <c r="H5273" s="13" t="s">
        <v>8000</v>
      </c>
      <c r="I5273" s="40" t="s">
        <v>18</v>
      </c>
      <c r="J5273" s="40" t="str">
        <f>HYPERLINK("https://stock.pstatic.net/stock-research/company/57/20260206_company_385791000.pdf","PDF")</f>
        <v>PDF</v>
      </c>
      <c r="K5273" s="12" t="s">
        <v>8001</v>
      </c>
    </row>
    <row r="5274" spans="1:12" x14ac:dyDescent="0.45">
      <c r="A5274" s="12" t="s">
        <v>7951</v>
      </c>
      <c r="B5274" s="12" t="s">
        <v>2266</v>
      </c>
      <c r="C5274" s="13" t="s">
        <v>2267</v>
      </c>
      <c r="D5274" s="13" t="s">
        <v>65</v>
      </c>
      <c r="E5274" s="12" t="s">
        <v>35</v>
      </c>
      <c r="F5274" s="14">
        <v>210000</v>
      </c>
      <c r="G5274" s="14">
        <v>162000</v>
      </c>
      <c r="H5274" s="13" t="s">
        <v>8002</v>
      </c>
      <c r="I5274" s="40" t="s">
        <v>18</v>
      </c>
      <c r="J5274" s="40" t="str">
        <f>HYPERLINK("https://stock.pstatic.net/stock-research/company/57/20260206_company_771331000.pdf","PDF")</f>
        <v>PDF</v>
      </c>
      <c r="K5274" s="12" t="s">
        <v>8003</v>
      </c>
      <c r="L5274" s="20">
        <v>0.29629629629629628</v>
      </c>
    </row>
    <row r="5275" spans="1:12" x14ac:dyDescent="0.45">
      <c r="A5275" s="12" t="s">
        <v>7951</v>
      </c>
      <c r="B5275" s="12" t="s">
        <v>3373</v>
      </c>
      <c r="C5275" s="13" t="s">
        <v>3374</v>
      </c>
      <c r="D5275" s="13" t="s">
        <v>65</v>
      </c>
      <c r="E5275" s="12" t="s">
        <v>35</v>
      </c>
      <c r="F5275" s="14">
        <v>178000</v>
      </c>
      <c r="G5275" s="14">
        <v>139500</v>
      </c>
      <c r="H5275" s="13" t="s">
        <v>5956</v>
      </c>
      <c r="I5275" s="40" t="s">
        <v>18</v>
      </c>
      <c r="J5275" s="40" t="str">
        <f>HYPERLINK("https://stock.pstatic.net/stock-research/company/57/20260206_company_38033000.pdf","PDF")</f>
        <v>PDF</v>
      </c>
      <c r="K5275" s="12" t="s">
        <v>8004</v>
      </c>
      <c r="L5275" s="20">
        <v>0.27598566308243733</v>
      </c>
    </row>
    <row r="5276" spans="1:12" x14ac:dyDescent="0.45">
      <c r="A5276" s="12" t="s">
        <v>7951</v>
      </c>
      <c r="B5276" s="12" t="s">
        <v>1660</v>
      </c>
      <c r="C5276" s="13" t="s">
        <v>1661</v>
      </c>
      <c r="D5276" s="13" t="s">
        <v>65</v>
      </c>
      <c r="E5276" s="12" t="s">
        <v>35</v>
      </c>
      <c r="F5276" s="14">
        <v>54000</v>
      </c>
      <c r="G5276" s="14">
        <v>45400</v>
      </c>
      <c r="H5276" s="13" t="s">
        <v>8005</v>
      </c>
      <c r="I5276" s="40" t="s">
        <v>18</v>
      </c>
      <c r="J5276" s="40" t="str">
        <f>HYPERLINK("https://stock.pstatic.net/stock-research/company/57/20260206_company_621132000.pdf","PDF")</f>
        <v>PDF</v>
      </c>
      <c r="K5276" s="12" t="s">
        <v>8006</v>
      </c>
      <c r="L5276" s="20">
        <v>0.1894273127753304</v>
      </c>
    </row>
    <row r="5277" spans="1:12" x14ac:dyDescent="0.45">
      <c r="A5277" s="12" t="s">
        <v>7951</v>
      </c>
      <c r="B5277" s="12" t="s">
        <v>1678</v>
      </c>
      <c r="C5277" s="13" t="s">
        <v>1679</v>
      </c>
      <c r="D5277" s="13" t="s">
        <v>65</v>
      </c>
      <c r="E5277" s="12" t="s">
        <v>35</v>
      </c>
      <c r="F5277" s="14">
        <v>86000</v>
      </c>
      <c r="G5277" s="14">
        <v>70900</v>
      </c>
      <c r="H5277" s="13" t="s">
        <v>8007</v>
      </c>
      <c r="I5277" s="40" t="s">
        <v>18</v>
      </c>
      <c r="J5277" s="40" t="str">
        <f>HYPERLINK("https://stock.pstatic.net/stock-research/company/57/20260206_company_623274000.pdf","PDF")</f>
        <v>PDF</v>
      </c>
      <c r="K5277" s="12" t="s">
        <v>8008</v>
      </c>
      <c r="L5277" s="20">
        <v>0.2129760225669958</v>
      </c>
    </row>
    <row r="5278" spans="1:12" x14ac:dyDescent="0.45">
      <c r="A5278" s="12" t="s">
        <v>7951</v>
      </c>
      <c r="B5278" s="12" t="s">
        <v>1674</v>
      </c>
      <c r="C5278" s="13" t="s">
        <v>1675</v>
      </c>
      <c r="D5278" s="13" t="s">
        <v>65</v>
      </c>
      <c r="E5278" s="12" t="s">
        <v>35</v>
      </c>
      <c r="F5278" s="14">
        <v>600000</v>
      </c>
      <c r="G5278" s="14">
        <v>474000</v>
      </c>
      <c r="H5278" s="13" t="s">
        <v>8009</v>
      </c>
      <c r="I5278" s="40" t="s">
        <v>18</v>
      </c>
      <c r="J5278" s="40" t="str">
        <f>HYPERLINK("https://stock.pstatic.net/stock-research/company/57/20260206_company_345412000.pdf","PDF")</f>
        <v>PDF</v>
      </c>
      <c r="K5278" s="12" t="s">
        <v>8010</v>
      </c>
      <c r="L5278" s="20">
        <v>0.26582278481012661</v>
      </c>
    </row>
    <row r="5279" spans="1:12" x14ac:dyDescent="0.45">
      <c r="A5279" s="12" t="s">
        <v>7951</v>
      </c>
      <c r="B5279" s="12" t="s">
        <v>330</v>
      </c>
      <c r="C5279" s="13" t="s">
        <v>331</v>
      </c>
      <c r="D5279" s="13" t="s">
        <v>65</v>
      </c>
      <c r="E5279" s="12" t="s">
        <v>35</v>
      </c>
      <c r="F5279" s="14">
        <v>47000</v>
      </c>
      <c r="G5279" s="14">
        <v>36400</v>
      </c>
      <c r="H5279" s="13" t="s">
        <v>8011</v>
      </c>
      <c r="I5279" s="40" t="s">
        <v>18</v>
      </c>
      <c r="J5279" s="40" t="str">
        <f>HYPERLINK("https://stock.pstatic.net/stock-research/company/57/20260206_company_898250000.pdf","PDF")</f>
        <v>PDF</v>
      </c>
      <c r="K5279" s="12" t="s">
        <v>8012</v>
      </c>
      <c r="L5279" s="20">
        <v>0.29120879120879117</v>
      </c>
    </row>
    <row r="5280" spans="1:12" x14ac:dyDescent="0.45">
      <c r="A5280" s="12" t="s">
        <v>7951</v>
      </c>
      <c r="B5280" s="12" t="s">
        <v>1666</v>
      </c>
      <c r="C5280" s="13" t="s">
        <v>1667</v>
      </c>
      <c r="D5280" s="13" t="s">
        <v>65</v>
      </c>
      <c r="E5280" s="12" t="s">
        <v>35</v>
      </c>
      <c r="F5280" s="14">
        <v>73000</v>
      </c>
      <c r="G5280" s="14">
        <v>50800</v>
      </c>
      <c r="H5280" s="13" t="s">
        <v>8013</v>
      </c>
      <c r="I5280" s="40" t="s">
        <v>18</v>
      </c>
      <c r="J5280" s="40" t="str">
        <f>HYPERLINK("https://stock.pstatic.net/stock-research/company/57/20260206_company_767090000.pdf","PDF")</f>
        <v>PDF</v>
      </c>
      <c r="K5280" s="12" t="s">
        <v>8014</v>
      </c>
      <c r="L5280" s="20">
        <v>0.43700787401574798</v>
      </c>
    </row>
    <row r="5281" spans="1:12" x14ac:dyDescent="0.45">
      <c r="A5281" s="12" t="s">
        <v>7951</v>
      </c>
      <c r="B5281" s="12" t="s">
        <v>2414</v>
      </c>
      <c r="C5281" s="13" t="s">
        <v>2415</v>
      </c>
      <c r="D5281" s="13" t="s">
        <v>65</v>
      </c>
      <c r="E5281" s="12" t="s">
        <v>35</v>
      </c>
      <c r="F5281" s="14">
        <v>1330000</v>
      </c>
      <c r="G5281" s="14">
        <v>864000</v>
      </c>
      <c r="H5281" s="13" t="s">
        <v>8015</v>
      </c>
      <c r="I5281" s="40" t="s">
        <v>18</v>
      </c>
      <c r="J5281" s="40" t="str">
        <f>HYPERLINK("https://stock.pstatic.net/stock-research/company/57/20260206_company_398895000.pdf","PDF")</f>
        <v>PDF</v>
      </c>
      <c r="K5281" s="12" t="s">
        <v>8016</v>
      </c>
      <c r="L5281" s="20">
        <v>0.53935185185185186</v>
      </c>
    </row>
    <row r="5282" spans="1:12" x14ac:dyDescent="0.45">
      <c r="A5282" s="12" t="s">
        <v>7951</v>
      </c>
      <c r="B5282" s="12" t="s">
        <v>3831</v>
      </c>
      <c r="C5282" s="13" t="s">
        <v>3832</v>
      </c>
      <c r="D5282" s="13" t="s">
        <v>65</v>
      </c>
      <c r="E5282" s="12" t="s">
        <v>35</v>
      </c>
      <c r="F5282" s="14">
        <v>69000</v>
      </c>
      <c r="G5282" s="14">
        <v>61500</v>
      </c>
      <c r="H5282" s="13" t="s">
        <v>8017</v>
      </c>
      <c r="I5282" s="40" t="s">
        <v>18</v>
      </c>
      <c r="J5282" s="40" t="str">
        <f>HYPERLINK("https://stock.pstatic.net/stock-research/company/57/20260206_company_595423000.pdf","PDF")</f>
        <v>PDF</v>
      </c>
      <c r="K5282" s="12" t="s">
        <v>8018</v>
      </c>
      <c r="L5282" s="20">
        <v>0.12195121951219511</v>
      </c>
    </row>
    <row r="5283" spans="1:12" x14ac:dyDescent="0.45">
      <c r="A5283" s="12" t="s">
        <v>7951</v>
      </c>
      <c r="B5283" s="12" t="s">
        <v>2425</v>
      </c>
      <c r="C5283" s="13" t="s">
        <v>2426</v>
      </c>
      <c r="D5283" s="13" t="s">
        <v>65</v>
      </c>
      <c r="E5283" s="12" t="s">
        <v>35</v>
      </c>
      <c r="F5283" s="14">
        <v>180000</v>
      </c>
      <c r="G5283" s="14">
        <v>161800</v>
      </c>
      <c r="H5283" s="13" t="s">
        <v>8019</v>
      </c>
      <c r="I5283" s="40" t="s">
        <v>18</v>
      </c>
      <c r="J5283" s="40" t="str">
        <f>HYPERLINK("https://stock.pstatic.net/stock-research/company/57/20260206_company_255926000.pdf","PDF")</f>
        <v>PDF</v>
      </c>
      <c r="K5283" s="12" t="s">
        <v>8020</v>
      </c>
      <c r="L5283" s="20">
        <v>0.1124845488257108</v>
      </c>
    </row>
    <row r="5284" spans="1:12" x14ac:dyDescent="0.45">
      <c r="A5284" s="12" t="s">
        <v>7951</v>
      </c>
      <c r="B5284" s="12" t="s">
        <v>541</v>
      </c>
      <c r="C5284" s="13" t="s">
        <v>542</v>
      </c>
      <c r="D5284" s="13" t="s">
        <v>65</v>
      </c>
      <c r="E5284" s="12" t="s">
        <v>35</v>
      </c>
      <c r="F5284" s="14">
        <v>100000</v>
      </c>
      <c r="G5284" s="14">
        <v>77500</v>
      </c>
      <c r="H5284" s="13" t="s">
        <v>8021</v>
      </c>
      <c r="I5284" s="40" t="s">
        <v>18</v>
      </c>
      <c r="J5284" s="40" t="str">
        <f>HYPERLINK("https://stock.pstatic.net/stock-research/company/57/20260206_company_970838000.pdf","PDF")</f>
        <v>PDF</v>
      </c>
      <c r="K5284" s="12" t="s">
        <v>8022</v>
      </c>
      <c r="L5284" s="20">
        <v>0.29032258064516131</v>
      </c>
    </row>
    <row r="5285" spans="1:12" x14ac:dyDescent="0.45">
      <c r="A5285" s="12" t="s">
        <v>7951</v>
      </c>
      <c r="B5285" s="12" t="s">
        <v>541</v>
      </c>
      <c r="C5285" s="13" t="s">
        <v>542</v>
      </c>
      <c r="D5285" s="13" t="s">
        <v>65</v>
      </c>
      <c r="E5285" s="12" t="s">
        <v>35</v>
      </c>
      <c r="F5285" s="14">
        <v>100000</v>
      </c>
      <c r="G5285" s="14">
        <v>77500</v>
      </c>
      <c r="H5285" s="13" t="s">
        <v>7342</v>
      </c>
      <c r="I5285" s="40" t="s">
        <v>18</v>
      </c>
      <c r="J5285" s="40" t="str">
        <f>HYPERLINK("https://stock.pstatic.net/stock-research/company/57/20260206_company_909400000.pdf","PDF")</f>
        <v>PDF</v>
      </c>
      <c r="K5285" s="12" t="s">
        <v>8023</v>
      </c>
      <c r="L5285" s="20">
        <v>0.29032258064516131</v>
      </c>
    </row>
    <row r="5286" spans="1:12" x14ac:dyDescent="0.45">
      <c r="A5286" s="12" t="s">
        <v>7951</v>
      </c>
      <c r="B5286" s="12" t="s">
        <v>537</v>
      </c>
      <c r="C5286" s="13" t="s">
        <v>538</v>
      </c>
      <c r="D5286" s="13" t="s">
        <v>65</v>
      </c>
      <c r="E5286" s="12" t="s">
        <v>35</v>
      </c>
      <c r="F5286" s="14">
        <v>20000</v>
      </c>
      <c r="G5286" s="14">
        <v>15680</v>
      </c>
      <c r="H5286" s="13" t="s">
        <v>7342</v>
      </c>
      <c r="I5286" s="40" t="s">
        <v>18</v>
      </c>
      <c r="J5286" s="40" t="str">
        <f>HYPERLINK("https://stock.pstatic.net/stock-research/company/57/20260206_company_409932000.pdf","PDF")</f>
        <v>PDF</v>
      </c>
      <c r="K5286" s="12" t="s">
        <v>8024</v>
      </c>
      <c r="L5286" s="20">
        <v>0.27551020408163263</v>
      </c>
    </row>
    <row r="5287" spans="1:12" x14ac:dyDescent="0.45">
      <c r="A5287" s="12" t="s">
        <v>7951</v>
      </c>
      <c r="B5287" s="12" t="s">
        <v>537</v>
      </c>
      <c r="C5287" s="13" t="s">
        <v>538</v>
      </c>
      <c r="D5287" s="13" t="s">
        <v>65</v>
      </c>
      <c r="E5287" s="12" t="s">
        <v>35</v>
      </c>
      <c r="F5287" s="14">
        <v>20000</v>
      </c>
      <c r="G5287" s="14">
        <v>15680</v>
      </c>
      <c r="H5287" s="13" t="s">
        <v>8025</v>
      </c>
      <c r="I5287" s="40" t="s">
        <v>18</v>
      </c>
      <c r="J5287" s="40" t="str">
        <f>HYPERLINK("https://stock.pstatic.net/stock-research/company/57/20260206_company_369613000.pdf","PDF")</f>
        <v>PDF</v>
      </c>
      <c r="K5287" s="12" t="s">
        <v>8026</v>
      </c>
      <c r="L5287" s="20">
        <v>0.27551020408163263</v>
      </c>
    </row>
    <row r="5288" spans="1:12" x14ac:dyDescent="0.45">
      <c r="A5288" s="12" t="s">
        <v>7951</v>
      </c>
      <c r="B5288" s="12" t="s">
        <v>3688</v>
      </c>
      <c r="C5288" s="13" t="s">
        <v>3689</v>
      </c>
      <c r="D5288" s="13" t="s">
        <v>65</v>
      </c>
      <c r="E5288" s="12" t="s">
        <v>35</v>
      </c>
      <c r="F5288" s="14">
        <v>112000</v>
      </c>
      <c r="G5288" s="14">
        <v>90900</v>
      </c>
      <c r="H5288" s="13" t="s">
        <v>8027</v>
      </c>
      <c r="I5288" s="40" t="s">
        <v>18</v>
      </c>
      <c r="J5288" s="40" t="str">
        <f>HYPERLINK("https://stock.pstatic.net/stock-research/company/57/20260206_company_809234000.pdf","PDF")</f>
        <v>PDF</v>
      </c>
      <c r="K5288" s="12" t="s">
        <v>8028</v>
      </c>
      <c r="L5288" s="20">
        <v>0.23212321232123209</v>
      </c>
    </row>
    <row r="5289" spans="1:12" x14ac:dyDescent="0.45">
      <c r="A5289" s="12" t="s">
        <v>7951</v>
      </c>
      <c r="B5289" s="12" t="s">
        <v>63</v>
      </c>
      <c r="C5289" s="13" t="s">
        <v>64</v>
      </c>
      <c r="D5289" s="13" t="s">
        <v>65</v>
      </c>
      <c r="E5289" s="12" t="s">
        <v>35</v>
      </c>
      <c r="F5289" s="14">
        <v>640000</v>
      </c>
      <c r="G5289" s="14">
        <v>541000</v>
      </c>
      <c r="H5289" s="13" t="s">
        <v>8029</v>
      </c>
      <c r="I5289" s="40" t="s">
        <v>18</v>
      </c>
      <c r="J5289" s="40" t="str">
        <f>HYPERLINK("https://stock.pstatic.net/stock-research/company/57/20260206_company_562559000.pdf","PDF")</f>
        <v>PDF</v>
      </c>
      <c r="K5289" s="12" t="s">
        <v>8030</v>
      </c>
      <c r="L5289" s="20">
        <v>0.18299445471349349</v>
      </c>
    </row>
    <row r="5290" spans="1:12" x14ac:dyDescent="0.45">
      <c r="A5290" s="12" t="s">
        <v>7951</v>
      </c>
      <c r="B5290" s="12" t="s">
        <v>63</v>
      </c>
      <c r="C5290" s="13" t="s">
        <v>64</v>
      </c>
      <c r="D5290" s="13" t="s">
        <v>15</v>
      </c>
      <c r="E5290" s="12" t="s">
        <v>16</v>
      </c>
      <c r="F5290" s="14">
        <v>660000</v>
      </c>
      <c r="G5290" s="14">
        <v>541000</v>
      </c>
      <c r="H5290" s="13" t="s">
        <v>8031</v>
      </c>
      <c r="I5290" s="40" t="s">
        <v>18</v>
      </c>
      <c r="J5290" s="40" t="str">
        <f>HYPERLINK("https://stock.pstatic.net/stock-research/company/56/20260206_company_181849000.pdf","PDF")</f>
        <v>PDF</v>
      </c>
      <c r="K5290" s="12" t="s">
        <v>8032</v>
      </c>
      <c r="L5290" s="20">
        <v>0.21996303142329021</v>
      </c>
    </row>
    <row r="5291" spans="1:12" x14ac:dyDescent="0.45">
      <c r="A5291" s="12" t="s">
        <v>7951</v>
      </c>
      <c r="B5291" s="12" t="s">
        <v>3373</v>
      </c>
      <c r="C5291" s="13" t="s">
        <v>3374</v>
      </c>
      <c r="D5291" s="13" t="s">
        <v>158</v>
      </c>
      <c r="E5291" s="12" t="s">
        <v>35</v>
      </c>
      <c r="F5291" s="14">
        <v>180000</v>
      </c>
      <c r="G5291" s="14">
        <v>139500</v>
      </c>
      <c r="H5291" s="13" t="s">
        <v>8033</v>
      </c>
      <c r="I5291" s="40" t="s">
        <v>18</v>
      </c>
      <c r="J5291" s="40" t="str">
        <f>HYPERLINK("https://stock.pstatic.net/stock-research/company/18/20260206_company_258513000.pdf","PDF")</f>
        <v>PDF</v>
      </c>
      <c r="K5291" s="12" t="s">
        <v>8034</v>
      </c>
      <c r="L5291" s="20">
        <v>0.29032258064516131</v>
      </c>
    </row>
    <row r="5292" spans="1:12" x14ac:dyDescent="0.45">
      <c r="A5292" s="12" t="s">
        <v>7951</v>
      </c>
      <c r="B5292" s="12" t="s">
        <v>2266</v>
      </c>
      <c r="C5292" s="13" t="s">
        <v>2267</v>
      </c>
      <c r="D5292" s="13" t="s">
        <v>158</v>
      </c>
      <c r="E5292" s="12" t="s">
        <v>35</v>
      </c>
      <c r="F5292" s="14">
        <v>193000</v>
      </c>
      <c r="G5292" s="14">
        <v>162000</v>
      </c>
      <c r="H5292" s="13" t="s">
        <v>8035</v>
      </c>
      <c r="I5292" s="40" t="s">
        <v>18</v>
      </c>
      <c r="J5292" s="40" t="str">
        <f>HYPERLINK("https://stock.pstatic.net/stock-research/company/18/20260206_company_36963000.pdf","PDF")</f>
        <v>PDF</v>
      </c>
      <c r="K5292" s="12" t="s">
        <v>8036</v>
      </c>
      <c r="L5292" s="20">
        <v>0.19135802469135799</v>
      </c>
    </row>
    <row r="5293" spans="1:12" x14ac:dyDescent="0.45">
      <c r="A5293" s="12" t="s">
        <v>7951</v>
      </c>
      <c r="B5293" s="12" t="s">
        <v>495</v>
      </c>
      <c r="C5293" s="13" t="s">
        <v>496</v>
      </c>
      <c r="D5293" s="13" t="s">
        <v>158</v>
      </c>
      <c r="E5293" s="12" t="s">
        <v>35</v>
      </c>
      <c r="F5293" s="14">
        <v>380000</v>
      </c>
      <c r="G5293" s="14">
        <v>278000</v>
      </c>
      <c r="H5293" s="13" t="s">
        <v>3554</v>
      </c>
      <c r="I5293" s="40" t="s">
        <v>18</v>
      </c>
      <c r="J5293" s="40" t="str">
        <f>HYPERLINK("https://stock.pstatic.net/stock-research/company/18/20260206_company_124593000.pdf","PDF")</f>
        <v>PDF</v>
      </c>
      <c r="K5293" s="12" t="s">
        <v>8037</v>
      </c>
      <c r="L5293" s="20">
        <v>0.36690647482014388</v>
      </c>
    </row>
    <row r="5294" spans="1:12" x14ac:dyDescent="0.45">
      <c r="A5294" s="12" t="s">
        <v>7951</v>
      </c>
      <c r="B5294" s="12" t="s">
        <v>691</v>
      </c>
      <c r="C5294" s="13" t="s">
        <v>20</v>
      </c>
      <c r="D5294" s="13" t="s">
        <v>158</v>
      </c>
      <c r="E5294" s="12" t="s">
        <v>35</v>
      </c>
      <c r="F5294" s="14">
        <v>270000</v>
      </c>
      <c r="G5294" s="14">
        <v>217500</v>
      </c>
      <c r="H5294" s="13" t="s">
        <v>8038</v>
      </c>
      <c r="I5294" s="40" t="s">
        <v>18</v>
      </c>
      <c r="J5294" s="40" t="str">
        <f>HYPERLINK("https://stock.pstatic.net/stock-research/company/18/20260206_company_28689000.pdf","PDF")</f>
        <v>PDF</v>
      </c>
      <c r="K5294" s="12" t="s">
        <v>8039</v>
      </c>
      <c r="L5294" s="20">
        <v>0.2413793103448276</v>
      </c>
    </row>
    <row r="5295" spans="1:12" x14ac:dyDescent="0.45">
      <c r="A5295" s="12" t="s">
        <v>7951</v>
      </c>
      <c r="B5295" s="12" t="s">
        <v>537</v>
      </c>
      <c r="C5295" s="13" t="s">
        <v>538</v>
      </c>
      <c r="D5295" s="13" t="s">
        <v>158</v>
      </c>
      <c r="E5295" s="12" t="s">
        <v>35</v>
      </c>
      <c r="F5295" s="14">
        <v>19000</v>
      </c>
      <c r="G5295" s="14">
        <v>15680</v>
      </c>
      <c r="H5295" s="13" t="s">
        <v>8040</v>
      </c>
      <c r="I5295" s="40" t="s">
        <v>18</v>
      </c>
      <c r="J5295" s="40" t="str">
        <f>HYPERLINK("https://stock.pstatic.net/stock-research/company/18/20260206_company_274734000.pdf","PDF")</f>
        <v>PDF</v>
      </c>
      <c r="K5295" s="12" t="s">
        <v>8041</v>
      </c>
      <c r="L5295" s="20">
        <v>0.21173469387755101</v>
      </c>
    </row>
    <row r="5296" spans="1:12" x14ac:dyDescent="0.45">
      <c r="A5296" s="12" t="s">
        <v>7951</v>
      </c>
      <c r="B5296" s="12" t="s">
        <v>541</v>
      </c>
      <c r="C5296" s="13" t="s">
        <v>542</v>
      </c>
      <c r="D5296" s="13" t="s">
        <v>158</v>
      </c>
      <c r="E5296" s="12" t="s">
        <v>35</v>
      </c>
      <c r="F5296" s="14">
        <v>100000</v>
      </c>
      <c r="G5296" s="14">
        <v>77500</v>
      </c>
      <c r="H5296" s="13" t="s">
        <v>8042</v>
      </c>
      <c r="I5296" s="40" t="s">
        <v>18</v>
      </c>
      <c r="J5296" s="40" t="str">
        <f>HYPERLINK("https://stock.pstatic.net/stock-research/company/18/20260206_company_96536000.pdf","PDF")</f>
        <v>PDF</v>
      </c>
      <c r="K5296" s="12" t="s">
        <v>8043</v>
      </c>
      <c r="L5296" s="20">
        <v>0.29032258064516131</v>
      </c>
    </row>
    <row r="5297" spans="1:12" x14ac:dyDescent="0.45">
      <c r="A5297" s="12" t="s">
        <v>7951</v>
      </c>
      <c r="B5297" s="12" t="s">
        <v>2933</v>
      </c>
      <c r="C5297" s="13" t="s">
        <v>2934</v>
      </c>
      <c r="D5297" s="13" t="s">
        <v>158</v>
      </c>
      <c r="E5297" s="12" t="s">
        <v>35</v>
      </c>
      <c r="F5297" s="14">
        <v>200000</v>
      </c>
      <c r="G5297" s="14">
        <v>146700</v>
      </c>
      <c r="H5297" s="13" t="s">
        <v>8044</v>
      </c>
      <c r="I5297" s="40" t="s">
        <v>18</v>
      </c>
      <c r="J5297" s="40" t="str">
        <f>HYPERLINK("https://stock.pstatic.net/stock-research/company/18/20260206_company_814489000.pdf","PDF")</f>
        <v>PDF</v>
      </c>
      <c r="K5297" s="12" t="s">
        <v>8045</v>
      </c>
      <c r="L5297" s="20">
        <v>0.36332651670074978</v>
      </c>
    </row>
    <row r="5298" spans="1:12" x14ac:dyDescent="0.45">
      <c r="A5298" s="12" t="s">
        <v>7951</v>
      </c>
      <c r="B5298" s="12" t="s">
        <v>2425</v>
      </c>
      <c r="C5298" s="13" t="s">
        <v>2426</v>
      </c>
      <c r="D5298" s="13" t="s">
        <v>158</v>
      </c>
      <c r="E5298" s="12" t="s">
        <v>35</v>
      </c>
      <c r="F5298" s="14">
        <v>200000</v>
      </c>
      <c r="G5298" s="14">
        <v>161800</v>
      </c>
      <c r="H5298" s="13" t="s">
        <v>8046</v>
      </c>
      <c r="I5298" s="40" t="s">
        <v>18</v>
      </c>
      <c r="J5298" s="40" t="str">
        <f>HYPERLINK("https://stock.pstatic.net/stock-research/company/18/20260206_company_398513000.pdf","PDF")</f>
        <v>PDF</v>
      </c>
      <c r="K5298" s="12" t="s">
        <v>8047</v>
      </c>
      <c r="L5298" s="20">
        <v>0.2360939431396786</v>
      </c>
    </row>
    <row r="5299" spans="1:12" x14ac:dyDescent="0.45">
      <c r="A5299" s="12" t="s">
        <v>7951</v>
      </c>
      <c r="B5299" s="12" t="s">
        <v>2266</v>
      </c>
      <c r="C5299" s="13" t="s">
        <v>2267</v>
      </c>
      <c r="D5299" s="13" t="s">
        <v>15</v>
      </c>
      <c r="E5299" s="12" t="s">
        <v>385</v>
      </c>
      <c r="F5299" s="14">
        <v>163000</v>
      </c>
      <c r="G5299" s="14">
        <v>162000</v>
      </c>
      <c r="H5299" s="13" t="s">
        <v>8048</v>
      </c>
      <c r="I5299" s="40" t="s">
        <v>18</v>
      </c>
      <c r="J5299" s="40" t="str">
        <f>HYPERLINK("https://stock.pstatic.net/stock-research/company/56/20260206_company_921799000.pdf","PDF")</f>
        <v>PDF</v>
      </c>
      <c r="K5299" s="12" t="s">
        <v>8049</v>
      </c>
      <c r="L5299" s="20">
        <v>6.1728395061728392E-3</v>
      </c>
    </row>
    <row r="5300" spans="1:12" x14ac:dyDescent="0.45">
      <c r="A5300" s="12" t="s">
        <v>7951</v>
      </c>
      <c r="B5300" s="12" t="s">
        <v>1678</v>
      </c>
      <c r="C5300" s="13" t="s">
        <v>1679</v>
      </c>
      <c r="D5300" s="13" t="s">
        <v>23</v>
      </c>
      <c r="E5300" s="12" t="s">
        <v>16</v>
      </c>
      <c r="F5300" s="14">
        <v>90000</v>
      </c>
      <c r="G5300" s="14">
        <v>70900</v>
      </c>
      <c r="H5300" s="13" t="s">
        <v>8050</v>
      </c>
      <c r="I5300" s="40" t="s">
        <v>18</v>
      </c>
      <c r="J5300" s="40" t="str">
        <f>HYPERLINK("https://stock.pstatic.net/stock-research/company/21/20260206_company_124906000.pdf","PDF")</f>
        <v>PDF</v>
      </c>
      <c r="K5300" s="12" t="s">
        <v>8051</v>
      </c>
      <c r="L5300" s="20">
        <v>0.26939351198871653</v>
      </c>
    </row>
    <row r="5301" spans="1:12" x14ac:dyDescent="0.45">
      <c r="A5301" s="12" t="s">
        <v>7951</v>
      </c>
      <c r="B5301" s="12" t="s">
        <v>2266</v>
      </c>
      <c r="C5301" s="13" t="s">
        <v>2267</v>
      </c>
      <c r="D5301" s="13" t="s">
        <v>23</v>
      </c>
      <c r="E5301" s="12" t="s">
        <v>16</v>
      </c>
      <c r="F5301" s="14">
        <v>180000</v>
      </c>
      <c r="G5301" s="14">
        <v>162000</v>
      </c>
      <c r="H5301" s="13" t="s">
        <v>8052</v>
      </c>
      <c r="I5301" s="40" t="s">
        <v>18</v>
      </c>
      <c r="J5301" s="40" t="str">
        <f>HYPERLINK("https://stock.pstatic.net/stock-research/company/21/20260206_company_501514000.pdf","PDF")</f>
        <v>PDF</v>
      </c>
      <c r="K5301" s="12" t="s">
        <v>8053</v>
      </c>
      <c r="L5301" s="20">
        <v>0.1111111111111111</v>
      </c>
    </row>
    <row r="5302" spans="1:12" x14ac:dyDescent="0.45">
      <c r="A5302" s="12" t="s">
        <v>7951</v>
      </c>
      <c r="B5302" s="12" t="s">
        <v>1666</v>
      </c>
      <c r="C5302" s="13" t="s">
        <v>1667</v>
      </c>
      <c r="D5302" s="13" t="s">
        <v>23</v>
      </c>
      <c r="E5302" s="12" t="s">
        <v>16</v>
      </c>
      <c r="F5302" s="14">
        <v>93000</v>
      </c>
      <c r="G5302" s="14">
        <v>50800</v>
      </c>
      <c r="H5302" s="13" t="s">
        <v>8054</v>
      </c>
      <c r="I5302" s="40" t="s">
        <v>18</v>
      </c>
      <c r="J5302" s="40" t="str">
        <f>HYPERLINK("https://stock.pstatic.net/stock-research/company/21/20260206_company_659928000.pdf","PDF")</f>
        <v>PDF</v>
      </c>
      <c r="K5302" s="12" t="s">
        <v>8055</v>
      </c>
      <c r="L5302" s="20">
        <v>0.8307086614173228</v>
      </c>
    </row>
    <row r="5303" spans="1:12" x14ac:dyDescent="0.45">
      <c r="A5303" s="12" t="s">
        <v>7951</v>
      </c>
      <c r="B5303" s="12" t="s">
        <v>1660</v>
      </c>
      <c r="C5303" s="13" t="s">
        <v>1661</v>
      </c>
      <c r="D5303" s="13" t="s">
        <v>83</v>
      </c>
      <c r="E5303" s="12" t="s">
        <v>35</v>
      </c>
      <c r="F5303" s="14">
        <v>64000</v>
      </c>
      <c r="G5303" s="14">
        <v>45400</v>
      </c>
      <c r="H5303" s="13" t="s">
        <v>8056</v>
      </c>
      <c r="I5303" s="40" t="s">
        <v>18</v>
      </c>
      <c r="J5303" s="40" t="str">
        <f>HYPERLINK("https://stock.pstatic.net/stock-research/company/15/20260206_company_854045000.pdf","PDF")</f>
        <v>PDF</v>
      </c>
      <c r="K5303" s="12" t="s">
        <v>8057</v>
      </c>
      <c r="L5303" s="20">
        <v>0.40969162995594721</v>
      </c>
    </row>
    <row r="5304" spans="1:12" x14ac:dyDescent="0.45">
      <c r="A5304" s="12" t="s">
        <v>7951</v>
      </c>
      <c r="B5304" s="12" t="s">
        <v>537</v>
      </c>
      <c r="C5304" s="13" t="s">
        <v>538</v>
      </c>
      <c r="D5304" s="13" t="s">
        <v>83</v>
      </c>
      <c r="E5304" s="12" t="s">
        <v>35</v>
      </c>
      <c r="F5304" s="14">
        <v>20000</v>
      </c>
      <c r="G5304" s="14">
        <v>15680</v>
      </c>
      <c r="H5304" s="13" t="s">
        <v>8058</v>
      </c>
      <c r="I5304" s="40" t="s">
        <v>18</v>
      </c>
      <c r="J5304" s="40" t="str">
        <f>HYPERLINK("https://stock.pstatic.net/stock-research/company/15/20260206_company_713031000.pdf","PDF")</f>
        <v>PDF</v>
      </c>
      <c r="K5304" s="12" t="s">
        <v>8059</v>
      </c>
      <c r="L5304" s="20">
        <v>0.27551020408163263</v>
      </c>
    </row>
    <row r="5305" spans="1:12" x14ac:dyDescent="0.45">
      <c r="A5305" s="12" t="s">
        <v>7951</v>
      </c>
      <c r="B5305" s="12" t="s">
        <v>1678</v>
      </c>
      <c r="C5305" s="13" t="s">
        <v>1679</v>
      </c>
      <c r="D5305" s="13" t="s">
        <v>83</v>
      </c>
      <c r="E5305" s="12" t="s">
        <v>35</v>
      </c>
      <c r="F5305" s="14">
        <v>94000</v>
      </c>
      <c r="G5305" s="14">
        <v>70900</v>
      </c>
      <c r="H5305" s="13" t="s">
        <v>8060</v>
      </c>
      <c r="I5305" s="40" t="s">
        <v>18</v>
      </c>
      <c r="J5305" s="40" t="str">
        <f>HYPERLINK("https://stock.pstatic.net/stock-research/company/15/20260206_company_123714000.pdf","PDF")</f>
        <v>PDF</v>
      </c>
      <c r="K5305" s="12" t="s">
        <v>8061</v>
      </c>
      <c r="L5305" s="20">
        <v>0.32581100141043717</v>
      </c>
    </row>
    <row r="5306" spans="1:12" x14ac:dyDescent="0.45">
      <c r="A5306" s="12" t="s">
        <v>7951</v>
      </c>
      <c r="B5306" s="12" t="s">
        <v>1666</v>
      </c>
      <c r="C5306" s="13" t="s">
        <v>1667</v>
      </c>
      <c r="D5306" s="13" t="s">
        <v>83</v>
      </c>
      <c r="E5306" s="12" t="s">
        <v>35</v>
      </c>
      <c r="F5306" s="14">
        <v>66000</v>
      </c>
      <c r="G5306" s="14">
        <v>50800</v>
      </c>
      <c r="H5306" s="13" t="s">
        <v>8062</v>
      </c>
      <c r="I5306" s="40" t="s">
        <v>18</v>
      </c>
      <c r="J5306" s="40" t="str">
        <f>HYPERLINK("https://stock.pstatic.net/stock-research/company/15/20260206_company_394012000.pdf","PDF")</f>
        <v>PDF</v>
      </c>
      <c r="K5306" s="12" t="s">
        <v>8063</v>
      </c>
      <c r="L5306" s="20">
        <v>0.29921259842519687</v>
      </c>
    </row>
    <row r="5307" spans="1:12" x14ac:dyDescent="0.45">
      <c r="A5307" s="12" t="s">
        <v>7951</v>
      </c>
      <c r="B5307" s="12" t="s">
        <v>541</v>
      </c>
      <c r="C5307" s="13" t="s">
        <v>542</v>
      </c>
      <c r="D5307" s="13" t="s">
        <v>83</v>
      </c>
      <c r="E5307" s="12" t="s">
        <v>35</v>
      </c>
      <c r="F5307" s="14">
        <v>97000</v>
      </c>
      <c r="G5307" s="14">
        <v>77500</v>
      </c>
      <c r="H5307" s="13" t="s">
        <v>8064</v>
      </c>
      <c r="I5307" s="40" t="s">
        <v>18</v>
      </c>
      <c r="J5307" s="40" t="str">
        <f>HYPERLINK("https://stock.pstatic.net/stock-research/company/15/20260206_company_442275000.pdf","PDF")</f>
        <v>PDF</v>
      </c>
      <c r="K5307" s="12" t="s">
        <v>8065</v>
      </c>
      <c r="L5307" s="20">
        <v>0.25161290322580637</v>
      </c>
    </row>
    <row r="5308" spans="1:12" x14ac:dyDescent="0.45">
      <c r="A5308" s="12" t="s">
        <v>7951</v>
      </c>
      <c r="B5308" s="12" t="s">
        <v>3688</v>
      </c>
      <c r="C5308" s="13" t="s">
        <v>3689</v>
      </c>
      <c r="D5308" s="13" t="s">
        <v>83</v>
      </c>
      <c r="E5308" s="12" t="s">
        <v>35</v>
      </c>
      <c r="F5308" s="14">
        <v>120000</v>
      </c>
      <c r="G5308" s="14">
        <v>90900</v>
      </c>
      <c r="H5308" s="13" t="s">
        <v>8066</v>
      </c>
      <c r="I5308" s="40" t="s">
        <v>18</v>
      </c>
      <c r="J5308" s="40" t="str">
        <f>HYPERLINK("https://stock.pstatic.net/stock-research/company/15/20260206_company_883244000.pdf","PDF")</f>
        <v>PDF</v>
      </c>
      <c r="K5308" s="12" t="s">
        <v>8067</v>
      </c>
      <c r="L5308" s="20">
        <v>0.32013201320132012</v>
      </c>
    </row>
    <row r="5309" spans="1:12" x14ac:dyDescent="0.45">
      <c r="A5309" s="12" t="s">
        <v>7951</v>
      </c>
      <c r="B5309" s="12" t="s">
        <v>3831</v>
      </c>
      <c r="C5309" s="13" t="s">
        <v>3832</v>
      </c>
      <c r="D5309" s="13" t="s">
        <v>83</v>
      </c>
      <c r="E5309" s="12" t="s">
        <v>35</v>
      </c>
      <c r="F5309" s="14">
        <v>87000</v>
      </c>
      <c r="G5309" s="14">
        <v>61500</v>
      </c>
      <c r="H5309" s="13" t="s">
        <v>8068</v>
      </c>
      <c r="I5309" s="40" t="s">
        <v>18</v>
      </c>
      <c r="J5309" s="40" t="str">
        <f>HYPERLINK("https://stock.pstatic.net/stock-research/company/15/20260206_company_348674000.pdf","PDF")</f>
        <v>PDF</v>
      </c>
      <c r="K5309" s="12" t="s">
        <v>8069</v>
      </c>
      <c r="L5309" s="20">
        <v>0.41463414634146339</v>
      </c>
    </row>
    <row r="5310" spans="1:12" x14ac:dyDescent="0.45">
      <c r="A5310" s="12" t="s">
        <v>7951</v>
      </c>
      <c r="B5310" s="12" t="s">
        <v>3373</v>
      </c>
      <c r="C5310" s="13" t="s">
        <v>3374</v>
      </c>
      <c r="D5310" s="13" t="s">
        <v>83</v>
      </c>
      <c r="E5310" s="12" t="s">
        <v>35</v>
      </c>
      <c r="F5310" s="14">
        <v>190000</v>
      </c>
      <c r="G5310" s="14">
        <v>139500</v>
      </c>
      <c r="H5310" s="13" t="s">
        <v>8070</v>
      </c>
      <c r="I5310" s="40" t="s">
        <v>18</v>
      </c>
      <c r="J5310" s="40" t="str">
        <f>HYPERLINK("https://stock.pstatic.net/stock-research/company/15/20260206_company_55699000.pdf","PDF")</f>
        <v>PDF</v>
      </c>
      <c r="K5310" s="12" t="s">
        <v>8071</v>
      </c>
      <c r="L5310" s="20">
        <v>0.36200716845878128</v>
      </c>
    </row>
    <row r="5311" spans="1:12" x14ac:dyDescent="0.45">
      <c r="A5311" s="12" t="s">
        <v>7951</v>
      </c>
      <c r="B5311" s="12" t="s">
        <v>3101</v>
      </c>
      <c r="C5311" s="13" t="s">
        <v>3102</v>
      </c>
      <c r="D5311" s="13" t="s">
        <v>53</v>
      </c>
      <c r="E5311" s="12" t="s">
        <v>50</v>
      </c>
      <c r="F5311" s="14">
        <v>220000</v>
      </c>
      <c r="G5311" s="14">
        <v>211500</v>
      </c>
      <c r="H5311" s="13" t="s">
        <v>8072</v>
      </c>
      <c r="I5311" s="40" t="s">
        <v>18</v>
      </c>
      <c r="J5311" s="40" t="str">
        <f>HYPERLINK("https://stock.pstatic.net/stock-research/company/40/20260206_company_562351000.pdf","PDF")</f>
        <v>PDF</v>
      </c>
      <c r="K5311" s="12" t="s">
        <v>8073</v>
      </c>
      <c r="L5311" s="20">
        <v>4.0189125295508277E-2</v>
      </c>
    </row>
    <row r="5312" spans="1:12" x14ac:dyDescent="0.45">
      <c r="A5312" s="12" t="s">
        <v>7951</v>
      </c>
      <c r="B5312" s="12" t="s">
        <v>2365</v>
      </c>
      <c r="C5312" s="13" t="s">
        <v>2366</v>
      </c>
      <c r="D5312" s="13" t="s">
        <v>53</v>
      </c>
      <c r="E5312" s="12" t="s">
        <v>50</v>
      </c>
      <c r="F5312" s="14">
        <v>120000</v>
      </c>
      <c r="G5312" s="14">
        <v>117600</v>
      </c>
      <c r="H5312" s="13" t="s">
        <v>8074</v>
      </c>
      <c r="I5312" s="40" t="s">
        <v>18</v>
      </c>
      <c r="J5312" s="40" t="str">
        <f>HYPERLINK("https://stock.pstatic.net/stock-research/company/40/20260206_company_741505000.pdf","PDF")</f>
        <v>PDF</v>
      </c>
      <c r="K5312" s="12" t="s">
        <v>8075</v>
      </c>
      <c r="L5312" s="20">
        <v>2.0408163265306121E-2</v>
      </c>
    </row>
    <row r="5313" spans="1:12" x14ac:dyDescent="0.45">
      <c r="A5313" s="12" t="s">
        <v>7951</v>
      </c>
      <c r="B5313" s="12" t="s">
        <v>3831</v>
      </c>
      <c r="C5313" s="13" t="s">
        <v>3832</v>
      </c>
      <c r="D5313" s="13" t="s">
        <v>92</v>
      </c>
      <c r="E5313" s="12" t="s">
        <v>35</v>
      </c>
      <c r="F5313" s="14">
        <v>75000</v>
      </c>
      <c r="G5313" s="14">
        <v>61500</v>
      </c>
      <c r="H5313" s="13" t="s">
        <v>8076</v>
      </c>
      <c r="I5313" s="40" t="s">
        <v>18</v>
      </c>
      <c r="J5313" s="40" t="str">
        <f>HYPERLINK("https://stock.pstatic.net/stock-research/company/63/20260206_company_911958000.pdf","PDF")</f>
        <v>PDF</v>
      </c>
      <c r="K5313" s="12" t="s">
        <v>8077</v>
      </c>
      <c r="L5313" s="20">
        <v>0.21951219512195119</v>
      </c>
    </row>
    <row r="5314" spans="1:12" x14ac:dyDescent="0.45">
      <c r="A5314" s="12" t="s">
        <v>7951</v>
      </c>
      <c r="B5314" s="12" t="s">
        <v>3138</v>
      </c>
      <c r="C5314" s="13" t="s">
        <v>3139</v>
      </c>
      <c r="D5314" s="13" t="s">
        <v>179</v>
      </c>
      <c r="E5314" s="12" t="s">
        <v>16</v>
      </c>
      <c r="F5314" s="14">
        <v>12500</v>
      </c>
      <c r="G5314" s="14">
        <v>7950</v>
      </c>
      <c r="H5314" s="13" t="s">
        <v>8078</v>
      </c>
      <c r="I5314" s="40" t="s">
        <v>18</v>
      </c>
      <c r="J5314" s="40" t="str">
        <f>HYPERLINK("https://stock.pstatic.net/stock-research/company/64/20260206_company_703517000.pdf","PDF")</f>
        <v>PDF</v>
      </c>
      <c r="K5314" s="12" t="s">
        <v>8079</v>
      </c>
      <c r="L5314" s="20">
        <v>0.57232704402515722</v>
      </c>
    </row>
    <row r="5315" spans="1:12" x14ac:dyDescent="0.45">
      <c r="A5315" s="12" t="s">
        <v>7951</v>
      </c>
      <c r="B5315" s="12" t="s">
        <v>3735</v>
      </c>
      <c r="C5315" s="13" t="s">
        <v>3736</v>
      </c>
      <c r="D5315" s="13" t="s">
        <v>179</v>
      </c>
      <c r="E5315" s="12" t="s">
        <v>50</v>
      </c>
      <c r="F5315" s="13"/>
      <c r="G5315" s="14">
        <v>11900</v>
      </c>
      <c r="H5315" s="13" t="s">
        <v>8080</v>
      </c>
      <c r="I5315" s="40" t="s">
        <v>18</v>
      </c>
      <c r="J5315" s="40" t="str">
        <f>HYPERLINK("https://stock.pstatic.net/stock-research/company/64/20260206_company_327182000.pdf","PDF")</f>
        <v>PDF</v>
      </c>
      <c r="K5315" s="12" t="s">
        <v>8081</v>
      </c>
    </row>
    <row r="5316" spans="1:12" x14ac:dyDescent="0.45">
      <c r="A5316" s="12" t="s">
        <v>7951</v>
      </c>
      <c r="B5316" s="12" t="s">
        <v>3403</v>
      </c>
      <c r="C5316" s="13" t="s">
        <v>3404</v>
      </c>
      <c r="D5316" s="13" t="s">
        <v>53</v>
      </c>
      <c r="E5316" s="12" t="s">
        <v>16</v>
      </c>
      <c r="F5316" s="14">
        <v>55000</v>
      </c>
      <c r="G5316" s="14">
        <v>42100</v>
      </c>
      <c r="H5316" s="13" t="s">
        <v>8082</v>
      </c>
      <c r="I5316" s="40" t="s">
        <v>18</v>
      </c>
      <c r="J5316" s="40" t="str">
        <f>HYPERLINK("https://stock.pstatic.net/stock-research/company/40/20260206_company_68104000.pdf","PDF")</f>
        <v>PDF</v>
      </c>
      <c r="K5316" s="12" t="s">
        <v>8083</v>
      </c>
      <c r="L5316" s="20">
        <v>0.30641330166270792</v>
      </c>
    </row>
    <row r="5317" spans="1:12" x14ac:dyDescent="0.45">
      <c r="A5317" s="12" t="s">
        <v>7951</v>
      </c>
      <c r="B5317" s="12" t="s">
        <v>1666</v>
      </c>
      <c r="C5317" s="13" t="s">
        <v>1667</v>
      </c>
      <c r="D5317" s="13" t="s">
        <v>179</v>
      </c>
      <c r="E5317" s="12" t="s">
        <v>16</v>
      </c>
      <c r="F5317" s="14">
        <v>79000</v>
      </c>
      <c r="G5317" s="14">
        <v>50800</v>
      </c>
      <c r="H5317" s="13" t="s">
        <v>8084</v>
      </c>
      <c r="I5317" s="40" t="s">
        <v>18</v>
      </c>
      <c r="J5317" s="40" t="str">
        <f>HYPERLINK("https://stock.pstatic.net/stock-research/company/64/20260206_company_887431000.pdf","PDF")</f>
        <v>PDF</v>
      </c>
      <c r="K5317" s="12" t="s">
        <v>8085</v>
      </c>
      <c r="L5317" s="20">
        <v>0.55511811023622049</v>
      </c>
    </row>
    <row r="5318" spans="1:12" x14ac:dyDescent="0.45">
      <c r="A5318" s="12" t="s">
        <v>7951</v>
      </c>
      <c r="B5318" s="12" t="s">
        <v>537</v>
      </c>
      <c r="C5318" s="13" t="s">
        <v>538</v>
      </c>
      <c r="D5318" s="13" t="s">
        <v>53</v>
      </c>
      <c r="E5318" s="12" t="s">
        <v>16</v>
      </c>
      <c r="F5318" s="14">
        <v>19000</v>
      </c>
      <c r="G5318" s="14">
        <v>15680</v>
      </c>
      <c r="H5318" s="13" t="s">
        <v>8086</v>
      </c>
      <c r="I5318" s="40" t="s">
        <v>18</v>
      </c>
      <c r="J5318" s="40" t="str">
        <f>HYPERLINK("https://stock.pstatic.net/stock-research/company/40/20260206_company_80010000.pdf","PDF")</f>
        <v>PDF</v>
      </c>
      <c r="K5318" s="12" t="s">
        <v>8087</v>
      </c>
      <c r="L5318" s="20">
        <v>0.21173469387755101</v>
      </c>
    </row>
    <row r="5319" spans="1:12" x14ac:dyDescent="0.45">
      <c r="A5319" s="12" t="s">
        <v>7951</v>
      </c>
      <c r="B5319" s="12" t="s">
        <v>1660</v>
      </c>
      <c r="C5319" s="13" t="s">
        <v>1661</v>
      </c>
      <c r="D5319" s="13" t="s">
        <v>23</v>
      </c>
      <c r="E5319" s="12" t="s">
        <v>16</v>
      </c>
      <c r="F5319" s="14">
        <v>60000</v>
      </c>
      <c r="G5319" s="14">
        <v>45400</v>
      </c>
      <c r="H5319" s="13" t="s">
        <v>8088</v>
      </c>
      <c r="I5319" s="40" t="s">
        <v>18</v>
      </c>
      <c r="J5319" s="40" t="str">
        <f>HYPERLINK("https://stock.pstatic.net/stock-research/company/21/20260206_company_753986000.pdf","PDF")</f>
        <v>PDF</v>
      </c>
      <c r="K5319" s="12" t="s">
        <v>8089</v>
      </c>
      <c r="L5319" s="20">
        <v>0.32158590308370039</v>
      </c>
    </row>
    <row r="5320" spans="1:12" x14ac:dyDescent="0.45">
      <c r="A5320" s="12" t="s">
        <v>7951</v>
      </c>
      <c r="B5320" s="12" t="s">
        <v>330</v>
      </c>
      <c r="C5320" s="13" t="s">
        <v>331</v>
      </c>
      <c r="D5320" s="13" t="s">
        <v>15</v>
      </c>
      <c r="E5320" s="12" t="s">
        <v>16</v>
      </c>
      <c r="F5320" s="14">
        <v>46000</v>
      </c>
      <c r="G5320" s="14">
        <v>36400</v>
      </c>
      <c r="H5320" s="13" t="s">
        <v>8090</v>
      </c>
      <c r="I5320" s="40" t="s">
        <v>18</v>
      </c>
      <c r="J5320" s="40" t="str">
        <f>HYPERLINK("https://stock.pstatic.net/stock-research/company/56/20260206_company_294971000.pdf","PDF")</f>
        <v>PDF</v>
      </c>
      <c r="K5320" s="12" t="s">
        <v>8091</v>
      </c>
      <c r="L5320" s="20">
        <v>0.26373626373626369</v>
      </c>
    </row>
    <row r="5321" spans="1:12" x14ac:dyDescent="0.45">
      <c r="A5321" s="12" t="s">
        <v>7951</v>
      </c>
      <c r="B5321" s="12" t="s">
        <v>2266</v>
      </c>
      <c r="C5321" s="13" t="s">
        <v>2267</v>
      </c>
      <c r="D5321" s="13" t="s">
        <v>92</v>
      </c>
      <c r="E5321" s="12" t="s">
        <v>35</v>
      </c>
      <c r="F5321" s="14">
        <v>187000</v>
      </c>
      <c r="G5321" s="14">
        <v>162000</v>
      </c>
      <c r="H5321" s="13" t="s">
        <v>8092</v>
      </c>
      <c r="I5321" s="40" t="s">
        <v>18</v>
      </c>
      <c r="J5321" s="40" t="str">
        <f>HYPERLINK("https://stock.pstatic.net/stock-research/company/63/20260206_company_164728000.pdf","PDF")</f>
        <v>PDF</v>
      </c>
      <c r="K5321" s="12" t="s">
        <v>8093</v>
      </c>
      <c r="L5321" s="20">
        <v>0.15432098765432101</v>
      </c>
    </row>
    <row r="5322" spans="1:12" x14ac:dyDescent="0.45">
      <c r="A5322" s="12" t="s">
        <v>7951</v>
      </c>
      <c r="B5322" s="12" t="s">
        <v>541</v>
      </c>
      <c r="C5322" s="13" t="s">
        <v>542</v>
      </c>
      <c r="D5322" s="13" t="s">
        <v>53</v>
      </c>
      <c r="E5322" s="12" t="s">
        <v>16</v>
      </c>
      <c r="F5322" s="14">
        <v>90000</v>
      </c>
      <c r="G5322" s="14">
        <v>77500</v>
      </c>
      <c r="H5322" s="13" t="s">
        <v>8094</v>
      </c>
      <c r="I5322" s="40" t="s">
        <v>18</v>
      </c>
      <c r="J5322" s="40" t="str">
        <f>HYPERLINK("https://stock.pstatic.net/stock-research/company/40/20260220_company_162021000.pdf","PDF")</f>
        <v>PDF</v>
      </c>
      <c r="K5322" s="12" t="s">
        <v>8095</v>
      </c>
      <c r="L5322" s="20">
        <v>0.16129032258064521</v>
      </c>
    </row>
    <row r="5323" spans="1:12" x14ac:dyDescent="0.45">
      <c r="A5323" s="12" t="s">
        <v>7951</v>
      </c>
      <c r="B5323" s="12" t="s">
        <v>3373</v>
      </c>
      <c r="C5323" s="13" t="s">
        <v>3374</v>
      </c>
      <c r="D5323" s="13" t="s">
        <v>15</v>
      </c>
      <c r="E5323" s="12" t="s">
        <v>16</v>
      </c>
      <c r="F5323" s="14">
        <v>216000</v>
      </c>
      <c r="G5323" s="14">
        <v>139500</v>
      </c>
      <c r="H5323" s="13" t="s">
        <v>8096</v>
      </c>
      <c r="I5323" s="40" t="s">
        <v>18</v>
      </c>
      <c r="J5323" s="40" t="str">
        <f>HYPERLINK("https://stock.pstatic.net/stock-research/company/56/20260206_company_918488000.pdf","PDF")</f>
        <v>PDF</v>
      </c>
      <c r="K5323" s="12" t="s">
        <v>8097</v>
      </c>
      <c r="L5323" s="20">
        <v>0.54838709677419351</v>
      </c>
    </row>
    <row r="5324" spans="1:12" x14ac:dyDescent="0.45">
      <c r="A5324" s="12" t="s">
        <v>7951</v>
      </c>
      <c r="B5324" s="12" t="s">
        <v>691</v>
      </c>
      <c r="C5324" s="13" t="s">
        <v>20</v>
      </c>
      <c r="D5324" s="13" t="s">
        <v>179</v>
      </c>
      <c r="E5324" s="12" t="s">
        <v>16</v>
      </c>
      <c r="F5324" s="14">
        <v>250000</v>
      </c>
      <c r="G5324" s="14">
        <v>212000</v>
      </c>
      <c r="H5324" s="13" t="s">
        <v>8098</v>
      </c>
      <c r="I5324" s="40" t="s">
        <v>18</v>
      </c>
      <c r="J5324" s="40" t="str">
        <f>HYPERLINK("https://stock.pstatic.net/stock-research/company/64/20260206_company_809630000.pdf","PDF")</f>
        <v>PDF</v>
      </c>
      <c r="K5324" s="12" t="s">
        <v>8099</v>
      </c>
      <c r="L5324" s="20">
        <v>0.17924528301886791</v>
      </c>
    </row>
    <row r="5325" spans="1:12" x14ac:dyDescent="0.45">
      <c r="A5325" s="12" t="s">
        <v>7951</v>
      </c>
      <c r="B5325" s="12" t="s">
        <v>3138</v>
      </c>
      <c r="C5325" s="13" t="s">
        <v>3139</v>
      </c>
      <c r="D5325" s="13" t="s">
        <v>92</v>
      </c>
      <c r="E5325" s="12" t="s">
        <v>35</v>
      </c>
      <c r="F5325" s="14">
        <v>16000</v>
      </c>
      <c r="G5325" s="14">
        <v>7950</v>
      </c>
      <c r="H5325" s="13" t="s">
        <v>8100</v>
      </c>
      <c r="I5325" s="40" t="s">
        <v>18</v>
      </c>
      <c r="J5325" s="40" t="str">
        <f>HYPERLINK("https://stock.pstatic.net/stock-research/company/63/20260206_company_71076000.pdf","PDF")</f>
        <v>PDF</v>
      </c>
      <c r="K5325" s="12" t="s">
        <v>8101</v>
      </c>
      <c r="L5325" s="20">
        <v>1.012578616352201</v>
      </c>
    </row>
    <row r="5326" spans="1:12" x14ac:dyDescent="0.45">
      <c r="A5326" s="12" t="s">
        <v>7951</v>
      </c>
      <c r="B5326" s="12" t="s">
        <v>2425</v>
      </c>
      <c r="C5326" s="13" t="s">
        <v>2426</v>
      </c>
      <c r="D5326" s="13" t="s">
        <v>53</v>
      </c>
      <c r="E5326" s="12" t="s">
        <v>16</v>
      </c>
      <c r="F5326" s="14">
        <v>200000</v>
      </c>
      <c r="G5326" s="14">
        <v>161800</v>
      </c>
      <c r="H5326" s="13" t="s">
        <v>8102</v>
      </c>
      <c r="I5326" s="40" t="s">
        <v>18</v>
      </c>
      <c r="J5326" s="40" t="str">
        <f>HYPERLINK("https://stock.pstatic.net/stock-research/company/40/20260206_company_337799000.pdf","PDF")</f>
        <v>PDF</v>
      </c>
      <c r="K5326" s="12" t="s">
        <v>8103</v>
      </c>
      <c r="L5326" s="20">
        <v>0.2360939431396786</v>
      </c>
    </row>
    <row r="5327" spans="1:12" x14ac:dyDescent="0.45">
      <c r="A5327" s="12" t="s">
        <v>7951</v>
      </c>
      <c r="B5327" s="12" t="s">
        <v>3101</v>
      </c>
      <c r="C5327" s="13" t="s">
        <v>3102</v>
      </c>
      <c r="D5327" s="13" t="s">
        <v>23</v>
      </c>
      <c r="E5327" s="12" t="s">
        <v>50</v>
      </c>
      <c r="F5327" s="14">
        <v>200000</v>
      </c>
      <c r="G5327" s="14">
        <v>211500</v>
      </c>
      <c r="H5327" s="13" t="s">
        <v>8104</v>
      </c>
      <c r="I5327" s="40" t="s">
        <v>18</v>
      </c>
      <c r="J5327" s="40" t="str">
        <f>HYPERLINK("https://stock.pstatic.net/stock-research/company/21/20260206_company_890371000.pdf","PDF")</f>
        <v>PDF</v>
      </c>
      <c r="K5327" s="12" t="s">
        <v>8105</v>
      </c>
      <c r="L5327" s="20">
        <v>-5.4373522458628837E-2</v>
      </c>
    </row>
    <row r="5328" spans="1:12" x14ac:dyDescent="0.45">
      <c r="A5328" s="12" t="s">
        <v>7951</v>
      </c>
      <c r="B5328" s="12" t="s">
        <v>3831</v>
      </c>
      <c r="C5328" s="13" t="s">
        <v>3832</v>
      </c>
      <c r="D5328" s="13" t="s">
        <v>23</v>
      </c>
      <c r="E5328" s="12" t="s">
        <v>16</v>
      </c>
      <c r="F5328" s="14">
        <v>70000</v>
      </c>
      <c r="G5328" s="14">
        <v>61500</v>
      </c>
      <c r="H5328" s="13" t="s">
        <v>8106</v>
      </c>
      <c r="I5328" s="40" t="s">
        <v>18</v>
      </c>
      <c r="J5328" s="40" t="str">
        <f>HYPERLINK("https://stock.pstatic.net/stock-research/company/21/20260206_company_799876000.pdf","PDF")</f>
        <v>PDF</v>
      </c>
      <c r="K5328" s="12" t="s">
        <v>8107</v>
      </c>
      <c r="L5328" s="20">
        <v>0.13821138211382111</v>
      </c>
    </row>
    <row r="5329" spans="1:12" x14ac:dyDescent="0.45">
      <c r="A5329" s="12" t="s">
        <v>7951</v>
      </c>
      <c r="B5329" s="12" t="s">
        <v>330</v>
      </c>
      <c r="C5329" s="13" t="s">
        <v>331</v>
      </c>
      <c r="D5329" s="13" t="s">
        <v>23</v>
      </c>
      <c r="E5329" s="12" t="s">
        <v>16</v>
      </c>
      <c r="F5329" s="14">
        <v>44000</v>
      </c>
      <c r="G5329" s="14">
        <v>36400</v>
      </c>
      <c r="H5329" s="13" t="s">
        <v>8108</v>
      </c>
      <c r="I5329" s="40" t="s">
        <v>18</v>
      </c>
      <c r="J5329" s="40" t="str">
        <f>HYPERLINK("https://stock.pstatic.net/stock-research/company/21/20260206_company_576674000.pdf","PDF")</f>
        <v>PDF</v>
      </c>
      <c r="K5329" s="12" t="s">
        <v>8109</v>
      </c>
      <c r="L5329" s="20">
        <v>0.2087912087912088</v>
      </c>
    </row>
    <row r="5330" spans="1:12" x14ac:dyDescent="0.45">
      <c r="A5330" s="12" t="s">
        <v>7951</v>
      </c>
      <c r="B5330" s="12" t="s">
        <v>2933</v>
      </c>
      <c r="C5330" s="13" t="s">
        <v>2934</v>
      </c>
      <c r="D5330" s="13" t="s">
        <v>179</v>
      </c>
      <c r="E5330" s="12" t="s">
        <v>50</v>
      </c>
      <c r="F5330" s="13"/>
      <c r="G5330" s="14">
        <v>146700</v>
      </c>
      <c r="H5330" s="13" t="s">
        <v>8110</v>
      </c>
      <c r="I5330" s="40" t="s">
        <v>18</v>
      </c>
      <c r="J5330" s="40" t="str">
        <f>HYPERLINK("https://stock.pstatic.net/stock-research/company/64/20260206_company_703096000.pdf","PDF")</f>
        <v>PDF</v>
      </c>
      <c r="K5330" s="12" t="s">
        <v>8111</v>
      </c>
    </row>
    <row r="5331" spans="1:12" x14ac:dyDescent="0.45">
      <c r="A5331" s="12" t="s">
        <v>7951</v>
      </c>
      <c r="B5331" s="12" t="s">
        <v>330</v>
      </c>
      <c r="C5331" s="13" t="s">
        <v>331</v>
      </c>
      <c r="D5331" s="13" t="s">
        <v>92</v>
      </c>
      <c r="E5331" s="12" t="s">
        <v>35</v>
      </c>
      <c r="F5331" s="14">
        <v>50000</v>
      </c>
      <c r="G5331" s="14">
        <v>36400</v>
      </c>
      <c r="H5331" s="13" t="s">
        <v>8112</v>
      </c>
      <c r="I5331" s="40" t="s">
        <v>18</v>
      </c>
      <c r="J5331" s="40" t="str">
        <f>HYPERLINK("https://stock.pstatic.net/stock-research/company/63/20260206_company_751760000.pdf","PDF")</f>
        <v>PDF</v>
      </c>
      <c r="K5331" s="12" t="s">
        <v>8113</v>
      </c>
      <c r="L5331" s="20">
        <v>0.37362637362637358</v>
      </c>
    </row>
    <row r="5332" spans="1:12" x14ac:dyDescent="0.45">
      <c r="A5332" s="12" t="s">
        <v>7951</v>
      </c>
      <c r="B5332" s="12" t="s">
        <v>8114</v>
      </c>
      <c r="C5332" s="13" t="s">
        <v>8115</v>
      </c>
      <c r="D5332" s="13" t="s">
        <v>23</v>
      </c>
      <c r="E5332" s="12" t="s">
        <v>16</v>
      </c>
      <c r="F5332" s="14">
        <v>36000</v>
      </c>
      <c r="G5332" s="14">
        <v>25450</v>
      </c>
      <c r="H5332" s="13" t="s">
        <v>8116</v>
      </c>
      <c r="I5332" s="40" t="s">
        <v>18</v>
      </c>
      <c r="J5332" s="40" t="str">
        <f>HYPERLINK("https://stock.pstatic.net/stock-research/company/21/20260206_company_28096000.pdf","PDF")</f>
        <v>PDF</v>
      </c>
      <c r="K5332" s="12" t="s">
        <v>8117</v>
      </c>
      <c r="L5332" s="20">
        <v>0.41453831041257372</v>
      </c>
    </row>
    <row r="5333" spans="1:12" x14ac:dyDescent="0.45">
      <c r="A5333" s="12" t="s">
        <v>7951</v>
      </c>
      <c r="B5333" s="12" t="s">
        <v>1415</v>
      </c>
      <c r="C5333" s="13" t="s">
        <v>1416</v>
      </c>
      <c r="D5333" s="13" t="s">
        <v>23</v>
      </c>
      <c r="E5333" s="12" t="s">
        <v>16</v>
      </c>
      <c r="F5333" s="14">
        <v>7100</v>
      </c>
      <c r="G5333" s="14">
        <v>5260</v>
      </c>
      <c r="H5333" s="13" t="s">
        <v>8118</v>
      </c>
      <c r="I5333" s="40" t="s">
        <v>18</v>
      </c>
      <c r="J5333" s="40" t="str">
        <f>HYPERLINK("https://stock.pstatic.net/stock-research/company/21/20260206_company_237399000.pdf","PDF")</f>
        <v>PDF</v>
      </c>
      <c r="K5333" s="12" t="s">
        <v>8119</v>
      </c>
      <c r="L5333" s="20">
        <v>0.34980988593155887</v>
      </c>
    </row>
    <row r="5334" spans="1:12" x14ac:dyDescent="0.45">
      <c r="A5334" s="12" t="s">
        <v>7951</v>
      </c>
      <c r="B5334" s="12" t="s">
        <v>2425</v>
      </c>
      <c r="C5334" s="13" t="s">
        <v>2426</v>
      </c>
      <c r="D5334" s="13" t="s">
        <v>23</v>
      </c>
      <c r="E5334" s="12" t="s">
        <v>16</v>
      </c>
      <c r="F5334" s="14">
        <v>200000</v>
      </c>
      <c r="G5334" s="14">
        <v>161800</v>
      </c>
      <c r="H5334" s="13" t="s">
        <v>8120</v>
      </c>
      <c r="I5334" s="40" t="s">
        <v>18</v>
      </c>
      <c r="J5334" s="40" t="str">
        <f>HYPERLINK("https://stock.pstatic.net/stock-research/company/21/20260206_company_866326000.pdf","PDF")</f>
        <v>PDF</v>
      </c>
      <c r="K5334" s="12" t="s">
        <v>8121</v>
      </c>
      <c r="L5334" s="20">
        <v>0.2360939431396786</v>
      </c>
    </row>
    <row r="5335" spans="1:12" x14ac:dyDescent="0.45">
      <c r="A5335" s="12" t="s">
        <v>7951</v>
      </c>
      <c r="B5335" s="12" t="s">
        <v>537</v>
      </c>
      <c r="C5335" s="13" t="s">
        <v>538</v>
      </c>
      <c r="D5335" s="13" t="s">
        <v>23</v>
      </c>
      <c r="E5335" s="12" t="s">
        <v>16</v>
      </c>
      <c r="F5335" s="14">
        <v>18000</v>
      </c>
      <c r="G5335" s="14">
        <v>15680</v>
      </c>
      <c r="H5335" s="13" t="s">
        <v>8122</v>
      </c>
      <c r="I5335" s="40" t="s">
        <v>18</v>
      </c>
      <c r="J5335" s="40" t="str">
        <f>HYPERLINK("https://stock.pstatic.net/stock-research/company/21/20260206_company_985055000.pdf","PDF")</f>
        <v>PDF</v>
      </c>
      <c r="K5335" s="12" t="s">
        <v>8123</v>
      </c>
      <c r="L5335" s="20">
        <v>0.14795918367346941</v>
      </c>
    </row>
    <row r="5336" spans="1:12" x14ac:dyDescent="0.45">
      <c r="A5336" s="12" t="s">
        <v>7951</v>
      </c>
      <c r="B5336" s="12" t="s">
        <v>3887</v>
      </c>
      <c r="C5336" s="13" t="s">
        <v>3888</v>
      </c>
      <c r="D5336" s="13" t="s">
        <v>179</v>
      </c>
      <c r="E5336" s="12" t="s">
        <v>16</v>
      </c>
      <c r="F5336" s="14">
        <v>34000</v>
      </c>
      <c r="G5336" s="14">
        <v>28350</v>
      </c>
      <c r="H5336" s="13" t="s">
        <v>8124</v>
      </c>
      <c r="I5336" s="40" t="s">
        <v>18</v>
      </c>
      <c r="J5336" s="40" t="str">
        <f>HYPERLINK("https://stock.pstatic.net/stock-research/company/64/20260206_company_384650000.pdf","PDF")</f>
        <v>PDF</v>
      </c>
      <c r="K5336" s="12" t="s">
        <v>8125</v>
      </c>
      <c r="L5336" s="20">
        <v>0.19929453262786601</v>
      </c>
    </row>
    <row r="5337" spans="1:12" x14ac:dyDescent="0.45">
      <c r="A5337" s="12" t="s">
        <v>7951</v>
      </c>
      <c r="B5337" s="12" t="s">
        <v>691</v>
      </c>
      <c r="C5337" s="13" t="s">
        <v>20</v>
      </c>
      <c r="D5337" s="13" t="s">
        <v>23</v>
      </c>
      <c r="E5337" s="12" t="s">
        <v>16</v>
      </c>
      <c r="F5337" s="14">
        <v>290000</v>
      </c>
      <c r="G5337" s="14">
        <v>217500</v>
      </c>
      <c r="H5337" s="13" t="s">
        <v>8126</v>
      </c>
      <c r="I5337" s="40" t="s">
        <v>18</v>
      </c>
      <c r="J5337" s="40" t="str">
        <f>HYPERLINK("https://stock.pstatic.net/stock-research/company/21/20260206_company_195588000.pdf","PDF")</f>
        <v>PDF</v>
      </c>
      <c r="K5337" s="12" t="s">
        <v>8127</v>
      </c>
      <c r="L5337" s="20">
        <v>0.33333333333333331</v>
      </c>
    </row>
    <row r="5338" spans="1:12" x14ac:dyDescent="0.45">
      <c r="A5338" s="12" t="s">
        <v>7951</v>
      </c>
      <c r="B5338" s="12" t="s">
        <v>1741</v>
      </c>
      <c r="C5338" s="13" t="s">
        <v>1742</v>
      </c>
      <c r="D5338" s="13" t="s">
        <v>23</v>
      </c>
      <c r="E5338" s="12" t="s">
        <v>16</v>
      </c>
      <c r="F5338" s="14">
        <v>61000</v>
      </c>
      <c r="G5338" s="14">
        <v>49200</v>
      </c>
      <c r="H5338" s="13" t="s">
        <v>8128</v>
      </c>
      <c r="I5338" s="40" t="s">
        <v>18</v>
      </c>
      <c r="J5338" s="40" t="str">
        <f>HYPERLINK("https://stock.pstatic.net/stock-research/company/21/20260206_company_690701000.pdf","PDF")</f>
        <v>PDF</v>
      </c>
      <c r="K5338" s="12" t="s">
        <v>8129</v>
      </c>
      <c r="L5338" s="20">
        <v>0.23983739837398371</v>
      </c>
    </row>
    <row r="5339" spans="1:12" x14ac:dyDescent="0.45">
      <c r="A5339" s="12" t="s">
        <v>7951</v>
      </c>
      <c r="B5339" s="12" t="s">
        <v>3101</v>
      </c>
      <c r="C5339" s="13" t="s">
        <v>3102</v>
      </c>
      <c r="D5339" s="13" t="s">
        <v>92</v>
      </c>
      <c r="E5339" s="12" t="s">
        <v>35</v>
      </c>
      <c r="F5339" s="14">
        <v>250000</v>
      </c>
      <c r="G5339" s="14">
        <v>211500</v>
      </c>
      <c r="H5339" s="13" t="s">
        <v>8130</v>
      </c>
      <c r="I5339" s="40" t="s">
        <v>18</v>
      </c>
      <c r="J5339" s="40" t="str">
        <f>HYPERLINK("https://stock.pstatic.net/stock-research/company/63/20260206_company_153639000.pdf","PDF")</f>
        <v>PDF</v>
      </c>
      <c r="K5339" s="12" t="s">
        <v>8131</v>
      </c>
      <c r="L5339" s="20">
        <v>0.18203309692671399</v>
      </c>
    </row>
    <row r="5340" spans="1:12" x14ac:dyDescent="0.45">
      <c r="A5340" s="12" t="s">
        <v>7951</v>
      </c>
      <c r="B5340" s="12" t="s">
        <v>3369</v>
      </c>
      <c r="C5340" s="13" t="s">
        <v>3370</v>
      </c>
      <c r="D5340" s="13" t="s">
        <v>23</v>
      </c>
      <c r="E5340" s="12" t="s">
        <v>16</v>
      </c>
      <c r="F5340" s="14">
        <v>32000</v>
      </c>
      <c r="G5340" s="14">
        <v>28400</v>
      </c>
      <c r="H5340" s="13" t="s">
        <v>8132</v>
      </c>
      <c r="I5340" s="40" t="s">
        <v>18</v>
      </c>
      <c r="J5340" s="40" t="str">
        <f>HYPERLINK("https://stock.pstatic.net/stock-research/company/21/20260206_company_787824000.pdf","PDF")</f>
        <v>PDF</v>
      </c>
      <c r="K5340" s="12" t="s">
        <v>8133</v>
      </c>
      <c r="L5340" s="20">
        <v>0.12676056338028169</v>
      </c>
    </row>
    <row r="5341" spans="1:12" x14ac:dyDescent="0.45">
      <c r="A5341" s="12" t="s">
        <v>7951</v>
      </c>
      <c r="B5341" s="12" t="s">
        <v>3492</v>
      </c>
      <c r="C5341" s="13" t="s">
        <v>3493</v>
      </c>
      <c r="D5341" s="13" t="s">
        <v>23</v>
      </c>
      <c r="E5341" s="12" t="s">
        <v>16</v>
      </c>
      <c r="F5341" s="14">
        <v>25500</v>
      </c>
      <c r="G5341" s="14">
        <v>23000</v>
      </c>
      <c r="H5341" s="13" t="s">
        <v>8134</v>
      </c>
      <c r="I5341" s="40" t="s">
        <v>18</v>
      </c>
      <c r="J5341" s="40" t="str">
        <f>HYPERLINK("https://stock.pstatic.net/stock-research/company/21/20260206_company_169397000.pdf","PDF")</f>
        <v>PDF</v>
      </c>
      <c r="K5341" s="12" t="s">
        <v>8135</v>
      </c>
      <c r="L5341" s="20">
        <v>0.108695652173913</v>
      </c>
    </row>
    <row r="5342" spans="1:12" x14ac:dyDescent="0.45">
      <c r="A5342" s="12" t="s">
        <v>7951</v>
      </c>
      <c r="B5342" s="12" t="s">
        <v>3373</v>
      </c>
      <c r="C5342" s="13" t="s">
        <v>3374</v>
      </c>
      <c r="D5342" s="13" t="s">
        <v>23</v>
      </c>
      <c r="E5342" s="12" t="s">
        <v>16</v>
      </c>
      <c r="F5342" s="14">
        <v>165000</v>
      </c>
      <c r="G5342" s="14">
        <v>139500</v>
      </c>
      <c r="H5342" s="13" t="s">
        <v>8136</v>
      </c>
      <c r="I5342" s="40" t="s">
        <v>18</v>
      </c>
      <c r="J5342" s="40" t="str">
        <f>HYPERLINK("https://stock.pstatic.net/stock-research/company/21/20260206_company_407223000.pdf","PDF")</f>
        <v>PDF</v>
      </c>
      <c r="K5342" s="12" t="s">
        <v>8137</v>
      </c>
      <c r="L5342" s="20">
        <v>0.18279569892473119</v>
      </c>
    </row>
    <row r="5343" spans="1:12" x14ac:dyDescent="0.45">
      <c r="A5343" s="12" t="s">
        <v>7951</v>
      </c>
      <c r="B5343" s="12" t="s">
        <v>1660</v>
      </c>
      <c r="C5343" s="13" t="s">
        <v>1661</v>
      </c>
      <c r="D5343" s="13" t="s">
        <v>53</v>
      </c>
      <c r="E5343" s="12" t="s">
        <v>16</v>
      </c>
      <c r="F5343" s="14">
        <v>63000</v>
      </c>
      <c r="G5343" s="14">
        <v>45400</v>
      </c>
      <c r="H5343" s="13" t="s">
        <v>8138</v>
      </c>
      <c r="I5343" s="40" t="s">
        <v>18</v>
      </c>
      <c r="J5343" s="40" t="str">
        <f>HYPERLINK("https://stock.pstatic.net/stock-research/company/40/20260206_company_46549000.pdf","PDF")</f>
        <v>PDF</v>
      </c>
      <c r="K5343" s="12" t="s">
        <v>8139</v>
      </c>
      <c r="L5343" s="20">
        <v>0.38766519823788548</v>
      </c>
    </row>
    <row r="5344" spans="1:12" x14ac:dyDescent="0.45">
      <c r="A5344" s="12" t="s">
        <v>7951</v>
      </c>
      <c r="B5344" s="12" t="s">
        <v>537</v>
      </c>
      <c r="C5344" s="13" t="s">
        <v>538</v>
      </c>
      <c r="D5344" s="13" t="s">
        <v>92</v>
      </c>
      <c r="E5344" s="12" t="s">
        <v>35</v>
      </c>
      <c r="F5344" s="14">
        <v>18000</v>
      </c>
      <c r="G5344" s="14">
        <v>15680</v>
      </c>
      <c r="H5344" s="13" t="s">
        <v>8140</v>
      </c>
      <c r="I5344" s="40" t="s">
        <v>18</v>
      </c>
      <c r="J5344" s="40" t="str">
        <f>HYPERLINK("https://stock.pstatic.net/stock-research/company/63/20260206_company_140330000.pdf","PDF")</f>
        <v>PDF</v>
      </c>
      <c r="K5344" s="12" t="s">
        <v>8141</v>
      </c>
      <c r="L5344" s="20">
        <v>0.14795918367346941</v>
      </c>
    </row>
    <row r="5345" spans="1:12" x14ac:dyDescent="0.45">
      <c r="A5345" s="12" t="s">
        <v>7951</v>
      </c>
      <c r="B5345" s="12" t="s">
        <v>541</v>
      </c>
      <c r="C5345" s="13" t="s">
        <v>542</v>
      </c>
      <c r="D5345" s="13" t="s">
        <v>23</v>
      </c>
      <c r="E5345" s="12" t="s">
        <v>50</v>
      </c>
      <c r="F5345" s="14">
        <v>74500</v>
      </c>
      <c r="G5345" s="14">
        <v>77500</v>
      </c>
      <c r="H5345" s="13" t="s">
        <v>8142</v>
      </c>
      <c r="I5345" s="40" t="s">
        <v>18</v>
      </c>
      <c r="J5345" s="40" t="str">
        <f>HYPERLINK("https://stock.pstatic.net/stock-research/company/21/20260206_company_108892000.pdf","PDF")</f>
        <v>PDF</v>
      </c>
      <c r="K5345" s="12" t="s">
        <v>8143</v>
      </c>
      <c r="L5345" s="20">
        <v>-3.870967741935484E-2</v>
      </c>
    </row>
    <row r="5346" spans="1:12" x14ac:dyDescent="0.45">
      <c r="A5346" s="12" t="s">
        <v>7951</v>
      </c>
      <c r="B5346" s="12" t="s">
        <v>3403</v>
      </c>
      <c r="C5346" s="13" t="s">
        <v>3404</v>
      </c>
      <c r="D5346" s="13" t="s">
        <v>179</v>
      </c>
      <c r="E5346" s="12" t="s">
        <v>50</v>
      </c>
      <c r="F5346" s="13"/>
      <c r="G5346" s="14">
        <v>42100</v>
      </c>
      <c r="H5346" s="13" t="s">
        <v>8144</v>
      </c>
      <c r="I5346" s="40" t="s">
        <v>18</v>
      </c>
      <c r="J5346" s="40" t="str">
        <f>HYPERLINK("https://stock.pstatic.net/stock-research/company/64/20260206_company_492394000.pdf","PDF")</f>
        <v>PDF</v>
      </c>
      <c r="K5346" s="12" t="s">
        <v>8145</v>
      </c>
    </row>
    <row r="5347" spans="1:12" x14ac:dyDescent="0.45">
      <c r="A5347" s="12" t="s">
        <v>7951</v>
      </c>
      <c r="B5347" s="12" t="s">
        <v>1678</v>
      </c>
      <c r="C5347" s="13" t="s">
        <v>1679</v>
      </c>
      <c r="D5347" s="13" t="s">
        <v>53</v>
      </c>
      <c r="E5347" s="12" t="s">
        <v>16</v>
      </c>
      <c r="F5347" s="14">
        <v>90000</v>
      </c>
      <c r="G5347" s="14">
        <v>70900</v>
      </c>
      <c r="H5347" s="13" t="s">
        <v>8146</v>
      </c>
      <c r="I5347" s="40" t="s">
        <v>18</v>
      </c>
      <c r="J5347" s="40" t="str">
        <f>HYPERLINK("https://stock.pstatic.net/stock-research/company/40/20260206_company_167789000.pdf","PDF")</f>
        <v>PDF</v>
      </c>
      <c r="K5347" s="12" t="s">
        <v>8147</v>
      </c>
      <c r="L5347" s="20">
        <v>0.26939351198871653</v>
      </c>
    </row>
    <row r="5348" spans="1:12" x14ac:dyDescent="0.45">
      <c r="A5348" s="12" t="s">
        <v>7951</v>
      </c>
      <c r="B5348" s="12" t="s">
        <v>3369</v>
      </c>
      <c r="C5348" s="13" t="s">
        <v>3370</v>
      </c>
      <c r="D5348" s="13" t="s">
        <v>44</v>
      </c>
      <c r="E5348" s="12" t="s">
        <v>35</v>
      </c>
      <c r="F5348" s="14">
        <v>37000</v>
      </c>
      <c r="G5348" s="14">
        <v>28400</v>
      </c>
      <c r="H5348" s="13" t="s">
        <v>8148</v>
      </c>
      <c r="I5348" s="40" t="s">
        <v>18</v>
      </c>
      <c r="J5348" s="40" t="str">
        <f>HYPERLINK("https://stock.pstatic.net/stock-research/company/39/20260206_company_36422000.pdf","PDF")</f>
        <v>PDF</v>
      </c>
      <c r="K5348" s="12" t="s">
        <v>8149</v>
      </c>
      <c r="L5348" s="20">
        <v>0.30281690140845069</v>
      </c>
    </row>
    <row r="5349" spans="1:12" x14ac:dyDescent="0.45">
      <c r="A5349" s="12" t="s">
        <v>7951</v>
      </c>
      <c r="B5349" s="12" t="s">
        <v>1660</v>
      </c>
      <c r="C5349" s="13" t="s">
        <v>1661</v>
      </c>
      <c r="D5349" s="13" t="s">
        <v>92</v>
      </c>
      <c r="E5349" s="12" t="s">
        <v>35</v>
      </c>
      <c r="F5349" s="14">
        <v>58000</v>
      </c>
      <c r="G5349" s="14">
        <v>45400</v>
      </c>
      <c r="H5349" s="13" t="s">
        <v>8150</v>
      </c>
      <c r="I5349" s="40" t="s">
        <v>18</v>
      </c>
      <c r="J5349" s="40" t="str">
        <f>HYPERLINK("https://stock.pstatic.net/stock-research/company/63/20260206_company_375287000.pdf","PDF")</f>
        <v>PDF</v>
      </c>
      <c r="K5349" s="12" t="s">
        <v>8151</v>
      </c>
      <c r="L5349" s="20">
        <v>0.27753303964757708</v>
      </c>
    </row>
    <row r="5350" spans="1:12" x14ac:dyDescent="0.45">
      <c r="A5350" s="12" t="s">
        <v>7951</v>
      </c>
      <c r="B5350" s="12" t="s">
        <v>541</v>
      </c>
      <c r="C5350" s="13" t="s">
        <v>542</v>
      </c>
      <c r="D5350" s="13" t="s">
        <v>92</v>
      </c>
      <c r="E5350" s="12" t="s">
        <v>159</v>
      </c>
      <c r="F5350" s="14">
        <v>73000</v>
      </c>
      <c r="G5350" s="14">
        <v>77500</v>
      </c>
      <c r="H5350" s="13" t="s">
        <v>8152</v>
      </c>
      <c r="I5350" s="40" t="s">
        <v>18</v>
      </c>
      <c r="J5350" s="40" t="str">
        <f>HYPERLINK("https://stock.pstatic.net/stock-research/company/63/20260206_company_94347000.pdf","PDF")</f>
        <v>PDF</v>
      </c>
      <c r="K5350" s="12" t="s">
        <v>8153</v>
      </c>
      <c r="L5350" s="20">
        <v>-5.8064516129032261E-2</v>
      </c>
    </row>
    <row r="5351" spans="1:12" x14ac:dyDescent="0.45">
      <c r="A5351" s="12" t="s">
        <v>7951</v>
      </c>
      <c r="B5351" s="12" t="s">
        <v>362</v>
      </c>
      <c r="C5351" s="13" t="s">
        <v>363</v>
      </c>
      <c r="D5351" s="13" t="s">
        <v>179</v>
      </c>
      <c r="E5351" s="12" t="s">
        <v>16</v>
      </c>
      <c r="F5351" s="14">
        <v>110000</v>
      </c>
      <c r="G5351" s="14">
        <v>92800</v>
      </c>
      <c r="H5351" s="13" t="s">
        <v>8154</v>
      </c>
      <c r="I5351" s="40" t="s">
        <v>18</v>
      </c>
      <c r="J5351" s="40" t="str">
        <f>HYPERLINK("https://stock.pstatic.net/stock-research/company/64/20260206_company_541470000.pdf","PDF")</f>
        <v>PDF</v>
      </c>
      <c r="K5351" s="12" t="s">
        <v>8155</v>
      </c>
      <c r="L5351" s="20">
        <v>0.18534482758620691</v>
      </c>
    </row>
    <row r="5352" spans="1:12" x14ac:dyDescent="0.45">
      <c r="A5352" s="12" t="s">
        <v>7951</v>
      </c>
      <c r="B5352" s="12" t="s">
        <v>1678</v>
      </c>
      <c r="C5352" s="13" t="s">
        <v>1679</v>
      </c>
      <c r="D5352" s="13" t="s">
        <v>92</v>
      </c>
      <c r="E5352" s="12" t="s">
        <v>35</v>
      </c>
      <c r="F5352" s="14">
        <v>90000</v>
      </c>
      <c r="G5352" s="14">
        <v>70900</v>
      </c>
      <c r="H5352" s="13" t="s">
        <v>8156</v>
      </c>
      <c r="I5352" s="40" t="s">
        <v>18</v>
      </c>
      <c r="J5352" s="40" t="str">
        <f>HYPERLINK("https://stock.pstatic.net/stock-research/company/63/20260206_company_377168000.pdf","PDF")</f>
        <v>PDF</v>
      </c>
      <c r="K5352" s="12" t="s">
        <v>8157</v>
      </c>
      <c r="L5352" s="20">
        <v>0.26939351198871653</v>
      </c>
    </row>
    <row r="5353" spans="1:12" x14ac:dyDescent="0.45">
      <c r="A5353" s="12" t="s">
        <v>7951</v>
      </c>
      <c r="B5353" s="12" t="s">
        <v>1666</v>
      </c>
      <c r="C5353" s="13" t="s">
        <v>1667</v>
      </c>
      <c r="D5353" s="13" t="s">
        <v>92</v>
      </c>
      <c r="E5353" s="12" t="s">
        <v>35</v>
      </c>
      <c r="F5353" s="14">
        <v>80000</v>
      </c>
      <c r="G5353" s="14">
        <v>50800</v>
      </c>
      <c r="H5353" s="13" t="s">
        <v>8158</v>
      </c>
      <c r="I5353" s="40" t="s">
        <v>18</v>
      </c>
      <c r="J5353" s="40" t="str">
        <f>HYPERLINK("https://stock.pstatic.net/stock-research/company/63/20260206_company_299144000.pdf","PDF")</f>
        <v>PDF</v>
      </c>
      <c r="K5353" s="12" t="s">
        <v>8159</v>
      </c>
      <c r="L5353" s="20">
        <v>0.57480314960629919</v>
      </c>
    </row>
    <row r="5354" spans="1:12" x14ac:dyDescent="0.45">
      <c r="A5354" s="12" t="s">
        <v>7951</v>
      </c>
      <c r="B5354" s="12" t="s">
        <v>537</v>
      </c>
      <c r="C5354" s="13" t="s">
        <v>538</v>
      </c>
      <c r="D5354" s="13" t="s">
        <v>179</v>
      </c>
      <c r="E5354" s="12" t="s">
        <v>16</v>
      </c>
      <c r="F5354" s="14">
        <v>19000</v>
      </c>
      <c r="G5354" s="14">
        <v>15680</v>
      </c>
      <c r="H5354" s="13" t="s">
        <v>8160</v>
      </c>
      <c r="I5354" s="40" t="s">
        <v>18</v>
      </c>
      <c r="J5354" s="40" t="str">
        <f>HYPERLINK("https://stock.pstatic.net/stock-research/company/64/20260206_company_888869000.pdf","PDF")</f>
        <v>PDF</v>
      </c>
      <c r="K5354" s="12" t="s">
        <v>8161</v>
      </c>
      <c r="L5354" s="20">
        <v>0.21173469387755101</v>
      </c>
    </row>
    <row r="5355" spans="1:12" x14ac:dyDescent="0.45">
      <c r="A5355" s="12" t="s">
        <v>7951</v>
      </c>
      <c r="B5355" s="12" t="s">
        <v>2365</v>
      </c>
      <c r="C5355" s="13" t="s">
        <v>2366</v>
      </c>
      <c r="D5355" s="13" t="s">
        <v>34</v>
      </c>
      <c r="E5355" s="12" t="s">
        <v>159</v>
      </c>
      <c r="F5355" s="14">
        <v>130000</v>
      </c>
      <c r="G5355" s="14">
        <v>117600</v>
      </c>
      <c r="H5355" s="13" t="s">
        <v>8162</v>
      </c>
      <c r="I5355" s="40" t="s">
        <v>18</v>
      </c>
      <c r="J5355" s="40" t="str">
        <f>HYPERLINK("https://stock.pstatic.net/stock-research/company/61/20260206_company_358410000.pdf","PDF")</f>
        <v>PDF</v>
      </c>
      <c r="K5355" s="12" t="s">
        <v>8163</v>
      </c>
      <c r="L5355" s="20">
        <v>0.10544217687074831</v>
      </c>
    </row>
    <row r="5356" spans="1:12" x14ac:dyDescent="0.45">
      <c r="A5356" s="12" t="s">
        <v>7951</v>
      </c>
      <c r="B5356" s="12" t="s">
        <v>3101</v>
      </c>
      <c r="C5356" s="13" t="s">
        <v>3102</v>
      </c>
      <c r="D5356" s="13" t="s">
        <v>34</v>
      </c>
      <c r="E5356" s="12" t="s">
        <v>159</v>
      </c>
      <c r="F5356" s="14">
        <v>180000</v>
      </c>
      <c r="G5356" s="14">
        <v>211500</v>
      </c>
      <c r="H5356" s="13" t="s">
        <v>8164</v>
      </c>
      <c r="I5356" s="40" t="s">
        <v>18</v>
      </c>
      <c r="J5356" s="40" t="str">
        <f>HYPERLINK("https://stock.pstatic.net/stock-research/company/61/20260206_company_681312000.pdf","PDF")</f>
        <v>PDF</v>
      </c>
      <c r="K5356" s="12" t="s">
        <v>8165</v>
      </c>
      <c r="L5356" s="20">
        <v>-0.14893617021276601</v>
      </c>
    </row>
    <row r="5357" spans="1:12" x14ac:dyDescent="0.45">
      <c r="A5357" s="12" t="s">
        <v>7951</v>
      </c>
      <c r="B5357" s="12" t="s">
        <v>2278</v>
      </c>
      <c r="C5357" s="13" t="s">
        <v>2279</v>
      </c>
      <c r="D5357" s="13" t="s">
        <v>179</v>
      </c>
      <c r="E5357" s="12" t="s">
        <v>385</v>
      </c>
      <c r="F5357" s="13"/>
      <c r="G5357" s="14">
        <v>2385</v>
      </c>
      <c r="H5357" s="13" t="s">
        <v>8166</v>
      </c>
      <c r="I5357" s="40" t="s">
        <v>18</v>
      </c>
      <c r="J5357" s="40" t="str">
        <f>HYPERLINK("https://stock.pstatic.net/stock-research/company/64/20260206_company_435613000.pdf","PDF")</f>
        <v>PDF</v>
      </c>
      <c r="K5357" s="12" t="s">
        <v>8167</v>
      </c>
    </row>
    <row r="5358" spans="1:12" x14ac:dyDescent="0.45">
      <c r="A5358" s="12" t="s">
        <v>7951</v>
      </c>
      <c r="B5358" s="12" t="s">
        <v>541</v>
      </c>
      <c r="C5358" s="13" t="s">
        <v>542</v>
      </c>
      <c r="D5358" s="13" t="s">
        <v>179</v>
      </c>
      <c r="E5358" s="12" t="s">
        <v>16</v>
      </c>
      <c r="F5358" s="14">
        <v>90000</v>
      </c>
      <c r="G5358" s="14">
        <v>77500</v>
      </c>
      <c r="H5358" s="13" t="s">
        <v>2130</v>
      </c>
      <c r="I5358" s="40" t="s">
        <v>18</v>
      </c>
      <c r="J5358" s="40" t="str">
        <f>HYPERLINK("https://stock.pstatic.net/stock-research/company/64/20260206_company_172678000.pdf","PDF")</f>
        <v>PDF</v>
      </c>
      <c r="K5358" s="12" t="s">
        <v>8168</v>
      </c>
      <c r="L5358" s="20">
        <v>0.16129032258064521</v>
      </c>
    </row>
    <row r="5359" spans="1:12" x14ac:dyDescent="0.45">
      <c r="A5359" s="12" t="s">
        <v>7951</v>
      </c>
      <c r="B5359" s="12" t="s">
        <v>1042</v>
      </c>
      <c r="C5359" s="13" t="s">
        <v>1043</v>
      </c>
      <c r="D5359" s="13" t="s">
        <v>44</v>
      </c>
      <c r="E5359" s="12" t="s">
        <v>35</v>
      </c>
      <c r="F5359" s="14">
        <v>42000</v>
      </c>
      <c r="G5359" s="14">
        <v>32200</v>
      </c>
      <c r="H5359" s="13" t="s">
        <v>8169</v>
      </c>
      <c r="I5359" s="40" t="s">
        <v>18</v>
      </c>
      <c r="J5359" s="40" t="str">
        <f>HYPERLINK("https://stock.pstatic.net/stock-research/company/39/20260206_company_435233000.pdf","PDF")</f>
        <v>PDF</v>
      </c>
      <c r="K5359" s="12" t="s">
        <v>8170</v>
      </c>
      <c r="L5359" s="20">
        <v>0.30434782608695649</v>
      </c>
    </row>
    <row r="5360" spans="1:12" x14ac:dyDescent="0.45">
      <c r="A5360" s="12" t="s">
        <v>7951</v>
      </c>
      <c r="B5360" s="12" t="s">
        <v>330</v>
      </c>
      <c r="C5360" s="13" t="s">
        <v>331</v>
      </c>
      <c r="D5360" s="13" t="s">
        <v>34</v>
      </c>
      <c r="E5360" s="12" t="s">
        <v>159</v>
      </c>
      <c r="F5360" s="14">
        <v>34000</v>
      </c>
      <c r="G5360" s="14">
        <v>36400</v>
      </c>
      <c r="H5360" s="13" t="s">
        <v>8171</v>
      </c>
      <c r="I5360" s="40" t="s">
        <v>18</v>
      </c>
      <c r="J5360" s="40" t="str">
        <f>HYPERLINK("https://stock.pstatic.net/stock-research/company/61/20260206_company_710922000.pdf","PDF")</f>
        <v>PDF</v>
      </c>
      <c r="K5360" s="12" t="s">
        <v>8172</v>
      </c>
      <c r="L5360" s="20">
        <v>-6.5934065934065936E-2</v>
      </c>
    </row>
    <row r="5361" spans="1:12" x14ac:dyDescent="0.45">
      <c r="A5361" s="12" t="s">
        <v>7951</v>
      </c>
      <c r="B5361" s="12" t="s">
        <v>63</v>
      </c>
      <c r="C5361" s="13" t="s">
        <v>64</v>
      </c>
      <c r="D5361" s="13" t="s">
        <v>34</v>
      </c>
      <c r="E5361" s="12" t="s">
        <v>35</v>
      </c>
      <c r="F5361" s="14">
        <v>630000</v>
      </c>
      <c r="G5361" s="14">
        <v>541000</v>
      </c>
      <c r="H5361" s="13" t="s">
        <v>8173</v>
      </c>
      <c r="I5361" s="40" t="s">
        <v>18</v>
      </c>
      <c r="J5361" s="40" t="str">
        <f>HYPERLINK("https://stock.pstatic.net/stock-research/company/61/20260206_company_927148000.pdf","PDF")</f>
        <v>PDF</v>
      </c>
      <c r="K5361" s="12" t="s">
        <v>8174</v>
      </c>
      <c r="L5361" s="20">
        <v>0.16451016635859519</v>
      </c>
    </row>
    <row r="5362" spans="1:12" x14ac:dyDescent="0.45">
      <c r="A5362" s="12" t="s">
        <v>7951</v>
      </c>
      <c r="B5362" s="12" t="s">
        <v>691</v>
      </c>
      <c r="C5362" s="13" t="s">
        <v>20</v>
      </c>
      <c r="D5362" s="13" t="s">
        <v>34</v>
      </c>
      <c r="E5362" s="12" t="s">
        <v>35</v>
      </c>
      <c r="F5362" s="14">
        <v>260000</v>
      </c>
      <c r="G5362" s="14">
        <v>217500</v>
      </c>
      <c r="H5362" s="13" t="s">
        <v>8175</v>
      </c>
      <c r="I5362" s="40" t="s">
        <v>18</v>
      </c>
      <c r="J5362" s="40" t="str">
        <f>HYPERLINK("https://stock.pstatic.net/stock-research/company/61/20260206_company_337474000.pdf","PDF")</f>
        <v>PDF</v>
      </c>
      <c r="K5362" s="12" t="s">
        <v>8176</v>
      </c>
      <c r="L5362" s="20">
        <v>0.1954022988505747</v>
      </c>
    </row>
    <row r="5363" spans="1:12" x14ac:dyDescent="0.45">
      <c r="A5363" s="12" t="s">
        <v>7951</v>
      </c>
      <c r="B5363" s="12" t="s">
        <v>3688</v>
      </c>
      <c r="C5363" s="13" t="s">
        <v>3689</v>
      </c>
      <c r="D5363" s="13" t="s">
        <v>44</v>
      </c>
      <c r="E5363" s="12" t="s">
        <v>35</v>
      </c>
      <c r="F5363" s="14">
        <v>120000</v>
      </c>
      <c r="G5363" s="14">
        <v>90900</v>
      </c>
      <c r="H5363" s="13" t="s">
        <v>8177</v>
      </c>
      <c r="I5363" s="40" t="s">
        <v>18</v>
      </c>
      <c r="J5363" s="40" t="str">
        <f>HYPERLINK("https://stock.pstatic.net/stock-research/company/39/20260206_company_948587000.pdf","PDF")</f>
        <v>PDF</v>
      </c>
      <c r="K5363" s="12" t="s">
        <v>8178</v>
      </c>
      <c r="L5363" s="20">
        <v>0.32013201320132012</v>
      </c>
    </row>
    <row r="5364" spans="1:12" x14ac:dyDescent="0.45">
      <c r="A5364" s="12" t="s">
        <v>7951</v>
      </c>
      <c r="B5364" s="12" t="s">
        <v>3373</v>
      </c>
      <c r="C5364" s="13" t="s">
        <v>3374</v>
      </c>
      <c r="D5364" s="13" t="s">
        <v>44</v>
      </c>
      <c r="E5364" s="12" t="s">
        <v>35</v>
      </c>
      <c r="F5364" s="14">
        <v>190000</v>
      </c>
      <c r="G5364" s="14">
        <v>139500</v>
      </c>
      <c r="H5364" s="13" t="s">
        <v>8179</v>
      </c>
      <c r="I5364" s="40" t="s">
        <v>18</v>
      </c>
      <c r="J5364" s="40" t="str">
        <f>HYPERLINK("https://stock.pstatic.net/stock-research/company/39/20260206_company_10640000.pdf","PDF")</f>
        <v>PDF</v>
      </c>
      <c r="K5364" s="12" t="s">
        <v>8180</v>
      </c>
      <c r="L5364" s="20">
        <v>0.36200716845878128</v>
      </c>
    </row>
    <row r="5365" spans="1:12" x14ac:dyDescent="0.45">
      <c r="A5365" s="12" t="s">
        <v>7951</v>
      </c>
      <c r="B5365" s="12" t="s">
        <v>1208</v>
      </c>
      <c r="C5365" s="13" t="s">
        <v>1209</v>
      </c>
      <c r="D5365" s="13" t="s">
        <v>44</v>
      </c>
      <c r="E5365" s="12" t="s">
        <v>35</v>
      </c>
      <c r="F5365" s="14">
        <v>90000</v>
      </c>
      <c r="G5365" s="14">
        <v>62100</v>
      </c>
      <c r="H5365" s="13" t="s">
        <v>8181</v>
      </c>
      <c r="I5365" s="40" t="s">
        <v>18</v>
      </c>
      <c r="J5365" s="40" t="str">
        <f>HYPERLINK("https://stock.pstatic.net/stock-research/company/39/20260206_company_458120000.pdf","PDF")</f>
        <v>PDF</v>
      </c>
      <c r="K5365" s="12" t="s">
        <v>8182</v>
      </c>
      <c r="L5365" s="20">
        <v>0.44927536231884058</v>
      </c>
    </row>
    <row r="5366" spans="1:12" x14ac:dyDescent="0.45">
      <c r="A5366" s="12" t="s">
        <v>7951</v>
      </c>
      <c r="B5366" s="12" t="s">
        <v>8183</v>
      </c>
      <c r="C5366" s="13" t="s">
        <v>8184</v>
      </c>
      <c r="D5366" s="13" t="s">
        <v>124</v>
      </c>
      <c r="E5366" s="12" t="s">
        <v>50</v>
      </c>
      <c r="F5366" s="13"/>
      <c r="G5366" s="13"/>
      <c r="H5366" s="13" t="s">
        <v>8185</v>
      </c>
      <c r="I5366" s="40" t="s">
        <v>18</v>
      </c>
      <c r="J5366" s="40" t="str">
        <f>HYPERLINK("https://stock.pstatic.net/stock-research/company/74/20260206_company_348676000.pdf","PDF")</f>
        <v>PDF</v>
      </c>
      <c r="K5366" s="12" t="s">
        <v>8186</v>
      </c>
    </row>
    <row r="5367" spans="1:12" x14ac:dyDescent="0.45">
      <c r="A5367" s="12" t="s">
        <v>7951</v>
      </c>
      <c r="B5367" s="12" t="s">
        <v>3688</v>
      </c>
      <c r="C5367" s="13" t="s">
        <v>3689</v>
      </c>
      <c r="D5367" s="13" t="s">
        <v>15</v>
      </c>
      <c r="E5367" s="12" t="s">
        <v>16</v>
      </c>
      <c r="F5367" s="14">
        <v>131000</v>
      </c>
      <c r="G5367" s="14">
        <v>90300</v>
      </c>
      <c r="H5367" s="13" t="s">
        <v>8187</v>
      </c>
      <c r="I5367" s="40" t="s">
        <v>18</v>
      </c>
      <c r="J5367" s="40" t="str">
        <f>HYPERLINK("https://stock.pstatic.net/stock-research/company/56/20260206_company_751814000.pdf","PDF")</f>
        <v>PDF</v>
      </c>
      <c r="K5367" s="12" t="s">
        <v>8188</v>
      </c>
      <c r="L5367" s="20">
        <v>0.45071982281284612</v>
      </c>
    </row>
    <row r="5368" spans="1:12" x14ac:dyDescent="0.45">
      <c r="A5368" s="12" t="s">
        <v>7951</v>
      </c>
      <c r="B5368" s="12" t="s">
        <v>8189</v>
      </c>
      <c r="C5368" s="13" t="s">
        <v>8190</v>
      </c>
      <c r="D5368" s="13" t="s">
        <v>124</v>
      </c>
      <c r="E5368" s="12" t="s">
        <v>50</v>
      </c>
      <c r="F5368" s="13"/>
      <c r="G5368" s="14">
        <v>56700</v>
      </c>
      <c r="H5368" s="13" t="s">
        <v>8191</v>
      </c>
      <c r="I5368" s="40" t="s">
        <v>18</v>
      </c>
      <c r="J5368" s="40" t="str">
        <f>HYPERLINK("https://stock.pstatic.net/stock-research/company/74/20260206_company_139609000.pdf","PDF")</f>
        <v>PDF</v>
      </c>
      <c r="K5368" s="12" t="s">
        <v>8192</v>
      </c>
    </row>
    <row r="5369" spans="1:12" x14ac:dyDescent="0.45">
      <c r="A5369" s="12" t="s">
        <v>7951</v>
      </c>
      <c r="B5369" s="12" t="s">
        <v>8193</v>
      </c>
      <c r="C5369" s="13" t="s">
        <v>8194</v>
      </c>
      <c r="D5369" s="13" t="s">
        <v>124</v>
      </c>
      <c r="E5369" s="12" t="s">
        <v>50</v>
      </c>
      <c r="F5369" s="13"/>
      <c r="G5369" s="14">
        <v>2655</v>
      </c>
      <c r="H5369" s="13" t="s">
        <v>8195</v>
      </c>
      <c r="I5369" s="40" t="s">
        <v>18</v>
      </c>
      <c r="J5369" s="40" t="str">
        <f>HYPERLINK("https://stock.pstatic.net/stock-research/company/74/20260206_company_776721000.pdf","PDF")</f>
        <v>PDF</v>
      </c>
      <c r="K5369" s="12" t="s">
        <v>8196</v>
      </c>
    </row>
    <row r="5370" spans="1:12" x14ac:dyDescent="0.45">
      <c r="A5370" s="12" t="s">
        <v>8197</v>
      </c>
      <c r="B5370" s="12" t="s">
        <v>1936</v>
      </c>
      <c r="C5370" s="13" t="s">
        <v>1937</v>
      </c>
      <c r="D5370" s="13" t="s">
        <v>57</v>
      </c>
      <c r="E5370" s="12" t="s">
        <v>35</v>
      </c>
      <c r="F5370" s="14">
        <v>10500</v>
      </c>
      <c r="G5370" s="14">
        <v>8040</v>
      </c>
      <c r="H5370" s="13" t="s">
        <v>8198</v>
      </c>
      <c r="I5370" s="40" t="s">
        <v>18</v>
      </c>
      <c r="J5370" s="40" t="str">
        <f>HYPERLINK("https://stock.pstatic.net/stock-research/company/16/20260205_company_665801000.pdf","PDF")</f>
        <v>PDF</v>
      </c>
      <c r="K5370" s="12" t="s">
        <v>8199</v>
      </c>
      <c r="L5370" s="20">
        <v>0.30597014925373128</v>
      </c>
    </row>
    <row r="5371" spans="1:12" x14ac:dyDescent="0.45">
      <c r="A5371" s="12" t="s">
        <v>8197</v>
      </c>
      <c r="B5371" s="12" t="s">
        <v>3079</v>
      </c>
      <c r="C5371" s="13" t="s">
        <v>3080</v>
      </c>
      <c r="D5371" s="13" t="s">
        <v>57</v>
      </c>
      <c r="E5371" s="12" t="s">
        <v>35</v>
      </c>
      <c r="F5371" s="14">
        <v>89000</v>
      </c>
      <c r="G5371" s="14">
        <v>90300</v>
      </c>
      <c r="H5371" s="13" t="s">
        <v>8200</v>
      </c>
      <c r="I5371" s="40" t="s">
        <v>18</v>
      </c>
      <c r="J5371" s="40" t="str">
        <f>HYPERLINK("https://stock.pstatic.net/stock-research/company/16/20260205_company_987137000.pdf","PDF")</f>
        <v>PDF</v>
      </c>
      <c r="K5371" s="12" t="s">
        <v>8201</v>
      </c>
      <c r="L5371" s="20">
        <v>-1.439645625692137E-2</v>
      </c>
    </row>
    <row r="5372" spans="1:12" x14ac:dyDescent="0.45">
      <c r="A5372" s="12" t="s">
        <v>8197</v>
      </c>
      <c r="B5372" s="12" t="s">
        <v>2040</v>
      </c>
      <c r="C5372" s="13" t="s">
        <v>2041</v>
      </c>
      <c r="D5372" s="13" t="s">
        <v>57</v>
      </c>
      <c r="E5372" s="12" t="s">
        <v>35</v>
      </c>
      <c r="F5372" s="14">
        <v>100000</v>
      </c>
      <c r="G5372" s="14">
        <v>85400</v>
      </c>
      <c r="H5372" s="13" t="s">
        <v>8202</v>
      </c>
      <c r="I5372" s="40" t="s">
        <v>18</v>
      </c>
      <c r="J5372" s="40" t="str">
        <f>HYPERLINK("https://stock.pstatic.net/stock-research/company/16/20260205_company_676075000.pdf","PDF")</f>
        <v>PDF</v>
      </c>
      <c r="K5372" s="12" t="s">
        <v>8203</v>
      </c>
      <c r="L5372" s="20">
        <v>0.17096018735363</v>
      </c>
    </row>
    <row r="5373" spans="1:12" x14ac:dyDescent="0.45">
      <c r="A5373" s="12" t="s">
        <v>8197</v>
      </c>
      <c r="B5373" s="12" t="s">
        <v>8204</v>
      </c>
      <c r="C5373" s="13" t="s">
        <v>8205</v>
      </c>
      <c r="D5373" s="13" t="s">
        <v>57</v>
      </c>
      <c r="E5373" s="12" t="s">
        <v>35</v>
      </c>
      <c r="F5373" s="14">
        <v>110000</v>
      </c>
      <c r="G5373" s="14">
        <v>90200</v>
      </c>
      <c r="H5373" s="13" t="s">
        <v>8206</v>
      </c>
      <c r="I5373" s="40" t="s">
        <v>18</v>
      </c>
      <c r="J5373" s="40" t="str">
        <f>HYPERLINK("https://stock.pstatic.net/stock-research/company/16/20260205_company_83757000.pdf","PDF")</f>
        <v>PDF</v>
      </c>
      <c r="K5373" s="12" t="s">
        <v>8207</v>
      </c>
      <c r="L5373" s="20">
        <v>0.21951219512195119</v>
      </c>
    </row>
    <row r="5374" spans="1:12" x14ac:dyDescent="0.45">
      <c r="A5374" s="12" t="s">
        <v>8197</v>
      </c>
      <c r="B5374" s="12" t="s">
        <v>3164</v>
      </c>
      <c r="C5374" s="13" t="s">
        <v>3165</v>
      </c>
      <c r="D5374" s="13" t="s">
        <v>57</v>
      </c>
      <c r="E5374" s="12" t="s">
        <v>35</v>
      </c>
      <c r="F5374" s="14">
        <v>148000</v>
      </c>
      <c r="G5374" s="14">
        <v>113000</v>
      </c>
      <c r="H5374" s="13" t="s">
        <v>8208</v>
      </c>
      <c r="I5374" s="40" t="s">
        <v>18</v>
      </c>
      <c r="J5374" s="40" t="str">
        <f>HYPERLINK("https://stock.pstatic.net/stock-research/company/16/20260205_company_940013000.pdf","PDF")</f>
        <v>PDF</v>
      </c>
      <c r="K5374" s="12" t="s">
        <v>8209</v>
      </c>
      <c r="L5374" s="20">
        <v>0.30973451327433632</v>
      </c>
    </row>
    <row r="5375" spans="1:12" x14ac:dyDescent="0.45">
      <c r="A5375" s="12" t="s">
        <v>8197</v>
      </c>
      <c r="B5375" s="12" t="s">
        <v>1350</v>
      </c>
      <c r="C5375" s="13" t="s">
        <v>1351</v>
      </c>
      <c r="D5375" s="13" t="s">
        <v>57</v>
      </c>
      <c r="E5375" s="12" t="s">
        <v>35</v>
      </c>
      <c r="F5375" s="14">
        <v>50000</v>
      </c>
      <c r="G5375" s="14">
        <v>38000</v>
      </c>
      <c r="H5375" s="13" t="s">
        <v>8210</v>
      </c>
      <c r="I5375" s="40" t="s">
        <v>18</v>
      </c>
      <c r="J5375" s="40" t="str">
        <f>HYPERLINK("https://stock.pstatic.net/stock-research/company/16/20260205_company_522858000.pdf","PDF")</f>
        <v>PDF</v>
      </c>
      <c r="K5375" s="12" t="s">
        <v>8211</v>
      </c>
      <c r="L5375" s="20">
        <v>0.31578947368421051</v>
      </c>
    </row>
    <row r="5376" spans="1:12" x14ac:dyDescent="0.45">
      <c r="A5376" s="12" t="s">
        <v>8197</v>
      </c>
      <c r="B5376" s="12" t="s">
        <v>2650</v>
      </c>
      <c r="C5376" s="13" t="s">
        <v>2651</v>
      </c>
      <c r="D5376" s="13" t="s">
        <v>57</v>
      </c>
      <c r="E5376" s="12" t="s">
        <v>159</v>
      </c>
      <c r="F5376" s="14">
        <v>25000</v>
      </c>
      <c r="G5376" s="14">
        <v>25000</v>
      </c>
      <c r="H5376" s="13" t="s">
        <v>8212</v>
      </c>
      <c r="I5376" s="40" t="s">
        <v>18</v>
      </c>
      <c r="J5376" s="40" t="str">
        <f>HYPERLINK("https://stock.pstatic.net/stock-research/company/16/20260205_company_752456000.pdf","PDF")</f>
        <v>PDF</v>
      </c>
      <c r="K5376" s="12" t="s">
        <v>8213</v>
      </c>
      <c r="L5376" s="20">
        <v>0</v>
      </c>
    </row>
    <row r="5377" spans="1:12" x14ac:dyDescent="0.45">
      <c r="A5377" s="12" t="s">
        <v>8197</v>
      </c>
      <c r="B5377" s="12" t="s">
        <v>1184</v>
      </c>
      <c r="C5377" s="13" t="s">
        <v>1185</v>
      </c>
      <c r="D5377" s="13" t="s">
        <v>57</v>
      </c>
      <c r="E5377" s="12" t="s">
        <v>35</v>
      </c>
      <c r="F5377" s="14">
        <v>27000</v>
      </c>
      <c r="G5377" s="14">
        <v>23550</v>
      </c>
      <c r="H5377" s="13" t="s">
        <v>8214</v>
      </c>
      <c r="I5377" s="40" t="s">
        <v>18</v>
      </c>
      <c r="J5377" s="40" t="str">
        <f>HYPERLINK("https://stock.pstatic.net/stock-research/company/16/20260205_company_375742000.pdf","PDF")</f>
        <v>PDF</v>
      </c>
      <c r="K5377" s="12" t="s">
        <v>8215</v>
      </c>
      <c r="L5377" s="20">
        <v>0.1464968152866242</v>
      </c>
    </row>
    <row r="5378" spans="1:12" x14ac:dyDescent="0.45">
      <c r="A5378" s="12" t="s">
        <v>8197</v>
      </c>
      <c r="B5378" s="12" t="s">
        <v>2781</v>
      </c>
      <c r="C5378" s="13" t="s">
        <v>2782</v>
      </c>
      <c r="D5378" s="13" t="s">
        <v>57</v>
      </c>
      <c r="E5378" s="12" t="s">
        <v>35</v>
      </c>
      <c r="F5378" s="14">
        <v>160000</v>
      </c>
      <c r="G5378" s="14">
        <v>137800</v>
      </c>
      <c r="H5378" s="13" t="s">
        <v>8216</v>
      </c>
      <c r="I5378" s="40" t="s">
        <v>18</v>
      </c>
      <c r="J5378" s="40" t="str">
        <f>HYPERLINK("https://stock.pstatic.net/stock-research/company/16/20260205_company_46147000.pdf","PDF")</f>
        <v>PDF</v>
      </c>
      <c r="K5378" s="12" t="s">
        <v>8217</v>
      </c>
      <c r="L5378" s="20">
        <v>0.1611030478955007</v>
      </c>
    </row>
    <row r="5379" spans="1:12" x14ac:dyDescent="0.45">
      <c r="A5379" s="12" t="s">
        <v>8197</v>
      </c>
      <c r="B5379" s="12" t="s">
        <v>495</v>
      </c>
      <c r="C5379" s="13" t="s">
        <v>496</v>
      </c>
      <c r="D5379" s="13" t="s">
        <v>57</v>
      </c>
      <c r="E5379" s="12" t="s">
        <v>35</v>
      </c>
      <c r="F5379" s="14">
        <v>360000</v>
      </c>
      <c r="G5379" s="14">
        <v>272000</v>
      </c>
      <c r="H5379" s="13" t="s">
        <v>8218</v>
      </c>
      <c r="I5379" s="40" t="s">
        <v>18</v>
      </c>
      <c r="J5379" s="40" t="str">
        <f>HYPERLINK("https://stock.pstatic.net/stock-research/company/16/20260205_company_24137000.pdf","PDF")</f>
        <v>PDF</v>
      </c>
      <c r="K5379" s="12" t="s">
        <v>8219</v>
      </c>
      <c r="L5379" s="20">
        <v>0.3235294117647059</v>
      </c>
    </row>
    <row r="5380" spans="1:12" x14ac:dyDescent="0.45">
      <c r="A5380" s="12" t="s">
        <v>8197</v>
      </c>
      <c r="B5380" s="12" t="s">
        <v>1849</v>
      </c>
      <c r="C5380" s="13" t="s">
        <v>1850</v>
      </c>
      <c r="D5380" s="13" t="s">
        <v>57</v>
      </c>
      <c r="E5380" s="12" t="s">
        <v>35</v>
      </c>
      <c r="F5380" s="14">
        <v>25000</v>
      </c>
      <c r="G5380" s="14">
        <v>18810</v>
      </c>
      <c r="H5380" s="13" t="s">
        <v>8220</v>
      </c>
      <c r="I5380" s="40" t="s">
        <v>18</v>
      </c>
      <c r="J5380" s="40" t="str">
        <f>HYPERLINK("https://stock.pstatic.net/stock-research/company/16/20260205_company_57819000.pdf","PDF")</f>
        <v>PDF</v>
      </c>
      <c r="K5380" s="12" t="s">
        <v>8221</v>
      </c>
      <c r="L5380" s="20">
        <v>0.32908027644869747</v>
      </c>
    </row>
    <row r="5381" spans="1:12" x14ac:dyDescent="0.45">
      <c r="A5381" s="12" t="s">
        <v>8197</v>
      </c>
      <c r="B5381" s="12" t="s">
        <v>3584</v>
      </c>
      <c r="C5381" s="13" t="s">
        <v>3585</v>
      </c>
      <c r="D5381" s="13" t="s">
        <v>57</v>
      </c>
      <c r="E5381" s="12" t="s">
        <v>35</v>
      </c>
      <c r="F5381" s="14">
        <v>26000</v>
      </c>
      <c r="G5381" s="14">
        <v>20900</v>
      </c>
      <c r="H5381" s="13" t="s">
        <v>8222</v>
      </c>
      <c r="I5381" s="40" t="s">
        <v>18</v>
      </c>
      <c r="J5381" s="40" t="str">
        <f>HYPERLINK("https://stock.pstatic.net/stock-research/company/16/20260205_company_689196000.pdf","PDF")</f>
        <v>PDF</v>
      </c>
      <c r="K5381" s="12" t="s">
        <v>8223</v>
      </c>
      <c r="L5381" s="20">
        <v>0.24401913875598091</v>
      </c>
    </row>
    <row r="5382" spans="1:12" x14ac:dyDescent="0.45">
      <c r="A5382" s="12" t="s">
        <v>8197</v>
      </c>
      <c r="B5382" s="12" t="s">
        <v>1936</v>
      </c>
      <c r="C5382" s="13" t="s">
        <v>1937</v>
      </c>
      <c r="D5382" s="13" t="s">
        <v>276</v>
      </c>
      <c r="E5382" s="12" t="s">
        <v>16</v>
      </c>
      <c r="F5382" s="14">
        <v>11000</v>
      </c>
      <c r="G5382" s="14">
        <v>8040</v>
      </c>
      <c r="H5382" s="13" t="s">
        <v>8224</v>
      </c>
      <c r="I5382" s="40" t="s">
        <v>18</v>
      </c>
      <c r="J5382" s="40" t="str">
        <f>HYPERLINK("https://stock.pstatic.net/stock-research/company/66/20260205_company_899648000.pdf","PDF")</f>
        <v>PDF</v>
      </c>
      <c r="K5382" s="12" t="s">
        <v>8225</v>
      </c>
      <c r="L5382" s="20">
        <v>0.36815920398009949</v>
      </c>
    </row>
    <row r="5383" spans="1:12" x14ac:dyDescent="0.45">
      <c r="A5383" s="12" t="s">
        <v>8197</v>
      </c>
      <c r="B5383" s="12" t="s">
        <v>1051</v>
      </c>
      <c r="C5383" s="13" t="s">
        <v>1052</v>
      </c>
      <c r="D5383" s="13" t="s">
        <v>276</v>
      </c>
      <c r="E5383" s="12" t="s">
        <v>16</v>
      </c>
      <c r="F5383" s="14">
        <v>83000</v>
      </c>
      <c r="G5383" s="14">
        <v>65100</v>
      </c>
      <c r="H5383" s="13" t="s">
        <v>8226</v>
      </c>
      <c r="I5383" s="40" t="s">
        <v>18</v>
      </c>
      <c r="J5383" s="40" t="str">
        <f>HYPERLINK("https://stock.pstatic.net/stock-research/company/66/20260205_company_183248000.pdf","PDF")</f>
        <v>PDF</v>
      </c>
      <c r="K5383" s="12" t="s">
        <v>8227</v>
      </c>
      <c r="L5383" s="20">
        <v>0.2749615975422427</v>
      </c>
    </row>
    <row r="5384" spans="1:12" x14ac:dyDescent="0.45">
      <c r="A5384" s="12" t="s">
        <v>8197</v>
      </c>
      <c r="B5384" s="12" t="s">
        <v>2781</v>
      </c>
      <c r="C5384" s="13" t="s">
        <v>2782</v>
      </c>
      <c r="D5384" s="13" t="s">
        <v>276</v>
      </c>
      <c r="E5384" s="12" t="s">
        <v>16</v>
      </c>
      <c r="F5384" s="14">
        <v>160000</v>
      </c>
      <c r="G5384" s="14">
        <v>137800</v>
      </c>
      <c r="H5384" s="13" t="s">
        <v>8228</v>
      </c>
      <c r="I5384" s="40" t="s">
        <v>18</v>
      </c>
      <c r="J5384" s="40" t="str">
        <f>HYPERLINK("https://stock.pstatic.net/stock-research/company/66/20260205_company_589166000.pdf","PDF")</f>
        <v>PDF</v>
      </c>
      <c r="K5384" s="12" t="s">
        <v>8229</v>
      </c>
      <c r="L5384" s="20">
        <v>0.1611030478955007</v>
      </c>
    </row>
    <row r="5385" spans="1:12" x14ac:dyDescent="0.45">
      <c r="A5385" s="12" t="s">
        <v>8197</v>
      </c>
      <c r="B5385" s="12" t="s">
        <v>3887</v>
      </c>
      <c r="C5385" s="13" t="s">
        <v>3888</v>
      </c>
      <c r="D5385" s="13" t="s">
        <v>276</v>
      </c>
      <c r="E5385" s="12" t="s">
        <v>16</v>
      </c>
      <c r="F5385" s="14">
        <v>34000</v>
      </c>
      <c r="G5385" s="14">
        <v>26000</v>
      </c>
      <c r="H5385" s="13" t="s">
        <v>8230</v>
      </c>
      <c r="I5385" s="40" t="s">
        <v>18</v>
      </c>
      <c r="J5385" s="40" t="str">
        <f>HYPERLINK("https://stock.pstatic.net/stock-research/company/66/20260205_company_279114000.pdf","PDF")</f>
        <v>PDF</v>
      </c>
      <c r="K5385" s="12" t="s">
        <v>8231</v>
      </c>
      <c r="L5385" s="20">
        <v>0.30769230769230771</v>
      </c>
    </row>
    <row r="5386" spans="1:12" x14ac:dyDescent="0.45">
      <c r="A5386" s="12" t="s">
        <v>8197</v>
      </c>
      <c r="B5386" s="12" t="s">
        <v>8232</v>
      </c>
      <c r="C5386" s="13" t="s">
        <v>8233</v>
      </c>
      <c r="D5386" s="13" t="s">
        <v>276</v>
      </c>
      <c r="E5386" s="12" t="s">
        <v>50</v>
      </c>
      <c r="F5386" s="13"/>
      <c r="G5386" s="14">
        <v>3085</v>
      </c>
      <c r="H5386" s="13" t="s">
        <v>8234</v>
      </c>
      <c r="I5386" s="40" t="s">
        <v>18</v>
      </c>
      <c r="J5386" s="40" t="str">
        <f>HYPERLINK("https://stock.pstatic.net/stock-research/company/66/20260205_company_848228000.pdf","PDF")</f>
        <v>PDF</v>
      </c>
      <c r="K5386" s="12" t="s">
        <v>8235</v>
      </c>
    </row>
    <row r="5387" spans="1:12" x14ac:dyDescent="0.45">
      <c r="A5387" s="12" t="s">
        <v>8197</v>
      </c>
      <c r="B5387" s="12" t="s">
        <v>156</v>
      </c>
      <c r="C5387" s="13" t="s">
        <v>157</v>
      </c>
      <c r="D5387" s="13" t="s">
        <v>276</v>
      </c>
      <c r="E5387" s="12" t="s">
        <v>16</v>
      </c>
      <c r="F5387" s="14">
        <v>4300</v>
      </c>
      <c r="G5387" s="14">
        <v>3390</v>
      </c>
      <c r="H5387" s="13" t="s">
        <v>8236</v>
      </c>
      <c r="I5387" s="40" t="s">
        <v>18</v>
      </c>
      <c r="J5387" s="40" t="str">
        <f>HYPERLINK("https://stock.pstatic.net/stock-research/company/66/20260205_company_664577000.pdf","PDF")</f>
        <v>PDF</v>
      </c>
      <c r="K5387" s="12" t="s">
        <v>8237</v>
      </c>
      <c r="L5387" s="20">
        <v>0.26843657817109151</v>
      </c>
    </row>
    <row r="5388" spans="1:12" x14ac:dyDescent="0.45">
      <c r="A5388" s="12" t="s">
        <v>8197</v>
      </c>
      <c r="B5388" s="12" t="s">
        <v>3164</v>
      </c>
      <c r="C5388" s="13" t="s">
        <v>3165</v>
      </c>
      <c r="D5388" s="13" t="s">
        <v>60</v>
      </c>
      <c r="E5388" s="12" t="s">
        <v>35</v>
      </c>
      <c r="F5388" s="14">
        <v>130000</v>
      </c>
      <c r="G5388" s="14">
        <v>113000</v>
      </c>
      <c r="H5388" s="13" t="s">
        <v>8238</v>
      </c>
      <c r="I5388" s="40" t="s">
        <v>18</v>
      </c>
      <c r="J5388" s="40" t="str">
        <f>HYPERLINK("https://stock.pstatic.net/stock-research/company/62/20260205_company_872674000.pdf","PDF")</f>
        <v>PDF</v>
      </c>
      <c r="K5388" s="12" t="s">
        <v>8239</v>
      </c>
      <c r="L5388" s="20">
        <v>0.15044247787610621</v>
      </c>
    </row>
    <row r="5389" spans="1:12" x14ac:dyDescent="0.45">
      <c r="A5389" s="12" t="s">
        <v>8197</v>
      </c>
      <c r="B5389" s="12" t="s">
        <v>272</v>
      </c>
      <c r="C5389" s="13" t="s">
        <v>273</v>
      </c>
      <c r="D5389" s="13" t="s">
        <v>60</v>
      </c>
      <c r="E5389" s="12" t="s">
        <v>35</v>
      </c>
      <c r="F5389" s="14">
        <v>650000</v>
      </c>
      <c r="G5389" s="14">
        <v>439500</v>
      </c>
      <c r="H5389" s="13" t="s">
        <v>8240</v>
      </c>
      <c r="I5389" s="40" t="s">
        <v>18</v>
      </c>
      <c r="J5389" s="40" t="str">
        <f>HYPERLINK("https://stock.pstatic.net/stock-research/company/62/20260205_company_277753000.pdf","PDF")</f>
        <v>PDF</v>
      </c>
      <c r="K5389" s="12" t="s">
        <v>8241</v>
      </c>
      <c r="L5389" s="20">
        <v>0.47895335608646189</v>
      </c>
    </row>
    <row r="5390" spans="1:12" x14ac:dyDescent="0.45">
      <c r="A5390" s="12" t="s">
        <v>8197</v>
      </c>
      <c r="B5390" s="12" t="s">
        <v>2781</v>
      </c>
      <c r="C5390" s="13" t="s">
        <v>2782</v>
      </c>
      <c r="D5390" s="13" t="s">
        <v>60</v>
      </c>
      <c r="E5390" s="12" t="s">
        <v>35</v>
      </c>
      <c r="F5390" s="14">
        <v>155000</v>
      </c>
      <c r="G5390" s="14">
        <v>137800</v>
      </c>
      <c r="H5390" s="13" t="s">
        <v>8242</v>
      </c>
      <c r="I5390" s="40" t="s">
        <v>18</v>
      </c>
      <c r="J5390" s="40" t="str">
        <f>HYPERLINK("https://stock.pstatic.net/stock-research/company/62/20260205_company_63050000.pdf","PDF")</f>
        <v>PDF</v>
      </c>
      <c r="K5390" s="12" t="s">
        <v>8243</v>
      </c>
      <c r="L5390" s="20">
        <v>0.1248185776487663</v>
      </c>
    </row>
    <row r="5391" spans="1:12" x14ac:dyDescent="0.45">
      <c r="A5391" s="12" t="s">
        <v>8197</v>
      </c>
      <c r="B5391" s="12" t="s">
        <v>495</v>
      </c>
      <c r="C5391" s="13" t="s">
        <v>496</v>
      </c>
      <c r="D5391" s="13" t="s">
        <v>60</v>
      </c>
      <c r="E5391" s="12" t="s">
        <v>35</v>
      </c>
      <c r="F5391" s="14">
        <v>370000</v>
      </c>
      <c r="G5391" s="14">
        <v>264000</v>
      </c>
      <c r="H5391" s="13" t="s">
        <v>8244</v>
      </c>
      <c r="I5391" s="40" t="s">
        <v>18</v>
      </c>
      <c r="J5391" s="40" t="str">
        <f>HYPERLINK("https://stock.pstatic.net/stock-research/company/62/20260205_company_798856000.pdf","PDF")</f>
        <v>PDF</v>
      </c>
      <c r="K5391" s="12" t="s">
        <v>8245</v>
      </c>
      <c r="L5391" s="20">
        <v>0.40151515151515149</v>
      </c>
    </row>
    <row r="5392" spans="1:12" x14ac:dyDescent="0.45">
      <c r="A5392" s="12" t="s">
        <v>8197</v>
      </c>
      <c r="B5392" s="12" t="s">
        <v>272</v>
      </c>
      <c r="C5392" s="13" t="s">
        <v>273</v>
      </c>
      <c r="D5392" s="13" t="s">
        <v>65</v>
      </c>
      <c r="E5392" s="12" t="s">
        <v>35</v>
      </c>
      <c r="F5392" s="14">
        <v>690000</v>
      </c>
      <c r="G5392" s="14">
        <v>439500</v>
      </c>
      <c r="H5392" s="13" t="s">
        <v>8246</v>
      </c>
      <c r="I5392" s="40" t="s">
        <v>18</v>
      </c>
      <c r="J5392" s="40" t="str">
        <f>HYPERLINK("https://stock.pstatic.net/stock-research/company/57/20260205_company_984670000.pdf","PDF")</f>
        <v>PDF</v>
      </c>
      <c r="K5392" s="12" t="s">
        <v>8247</v>
      </c>
      <c r="L5392" s="20">
        <v>0.56996587030716728</v>
      </c>
    </row>
    <row r="5393" spans="1:12" x14ac:dyDescent="0.45">
      <c r="A5393" s="12" t="s">
        <v>8197</v>
      </c>
      <c r="B5393" s="12" t="s">
        <v>1936</v>
      </c>
      <c r="C5393" s="13" t="s">
        <v>1937</v>
      </c>
      <c r="D5393" s="13" t="s">
        <v>65</v>
      </c>
      <c r="E5393" s="12" t="s">
        <v>35</v>
      </c>
      <c r="F5393" s="14">
        <v>10500</v>
      </c>
      <c r="G5393" s="14">
        <v>8040</v>
      </c>
      <c r="H5393" s="13" t="s">
        <v>8248</v>
      </c>
      <c r="I5393" s="40" t="s">
        <v>18</v>
      </c>
      <c r="J5393" s="40" t="str">
        <f>HYPERLINK("https://stock.pstatic.net/stock-research/company/57/20260205_company_256256000.pdf","PDF")</f>
        <v>PDF</v>
      </c>
      <c r="K5393" s="12" t="s">
        <v>8249</v>
      </c>
      <c r="L5393" s="20">
        <v>0.30597014925373128</v>
      </c>
    </row>
    <row r="5394" spans="1:12" x14ac:dyDescent="0.45">
      <c r="A5394" s="12" t="s">
        <v>8197</v>
      </c>
      <c r="B5394" s="12" t="s">
        <v>3087</v>
      </c>
      <c r="C5394" s="13" t="s">
        <v>3088</v>
      </c>
      <c r="D5394" s="13" t="s">
        <v>65</v>
      </c>
      <c r="E5394" s="12" t="s">
        <v>35</v>
      </c>
      <c r="F5394" s="14">
        <v>285000</v>
      </c>
      <c r="G5394" s="14">
        <v>177500</v>
      </c>
      <c r="H5394" s="13" t="s">
        <v>8250</v>
      </c>
      <c r="I5394" s="40" t="s">
        <v>18</v>
      </c>
      <c r="J5394" s="40" t="str">
        <f>HYPERLINK("https://stock.pstatic.net/stock-research/company/57/20260205_company_971480000.pdf","PDF")</f>
        <v>PDF</v>
      </c>
      <c r="K5394" s="12" t="s">
        <v>8251</v>
      </c>
      <c r="L5394" s="20">
        <v>0.60563380281690138</v>
      </c>
    </row>
    <row r="5395" spans="1:12" x14ac:dyDescent="0.45">
      <c r="A5395" s="12" t="s">
        <v>8197</v>
      </c>
      <c r="B5395" s="12" t="s">
        <v>3284</v>
      </c>
      <c r="C5395" s="13" t="s">
        <v>3285</v>
      </c>
      <c r="D5395" s="13" t="s">
        <v>65</v>
      </c>
      <c r="E5395" s="12" t="s">
        <v>35</v>
      </c>
      <c r="F5395" s="14">
        <v>175000</v>
      </c>
      <c r="G5395" s="14">
        <v>144000</v>
      </c>
      <c r="H5395" s="13" t="s">
        <v>8252</v>
      </c>
      <c r="I5395" s="40" t="s">
        <v>18</v>
      </c>
      <c r="J5395" s="40" t="str">
        <f>HYPERLINK("https://stock.pstatic.net/stock-research/company/57/20260205_company_392248000.pdf","PDF")</f>
        <v>PDF</v>
      </c>
      <c r="K5395" s="12" t="s">
        <v>8253</v>
      </c>
      <c r="L5395" s="20">
        <v>0.21527777777777779</v>
      </c>
    </row>
    <row r="5396" spans="1:12" x14ac:dyDescent="0.45">
      <c r="A5396" s="12" t="s">
        <v>8197</v>
      </c>
      <c r="B5396" s="12" t="s">
        <v>2650</v>
      </c>
      <c r="C5396" s="13" t="s">
        <v>2651</v>
      </c>
      <c r="D5396" s="13" t="s">
        <v>65</v>
      </c>
      <c r="E5396" s="12" t="s">
        <v>35</v>
      </c>
      <c r="F5396" s="14">
        <v>32000</v>
      </c>
      <c r="G5396" s="14">
        <v>25000</v>
      </c>
      <c r="H5396" s="13" t="s">
        <v>8254</v>
      </c>
      <c r="I5396" s="40" t="s">
        <v>18</v>
      </c>
      <c r="J5396" s="40" t="str">
        <f>HYPERLINK("https://stock.pstatic.net/stock-research/company/57/20260205_company_296313000.pdf","PDF")</f>
        <v>PDF</v>
      </c>
      <c r="K5396" s="12" t="s">
        <v>8255</v>
      </c>
      <c r="L5396" s="20">
        <v>0.28000000000000003</v>
      </c>
    </row>
    <row r="5397" spans="1:12" x14ac:dyDescent="0.45">
      <c r="A5397" s="12" t="s">
        <v>8197</v>
      </c>
      <c r="B5397" s="12" t="s">
        <v>174</v>
      </c>
      <c r="C5397" s="13" t="s">
        <v>44</v>
      </c>
      <c r="D5397" s="13" t="s">
        <v>65</v>
      </c>
      <c r="E5397" s="12" t="s">
        <v>35</v>
      </c>
      <c r="F5397" s="14">
        <v>540000</v>
      </c>
      <c r="G5397" s="14">
        <v>444000</v>
      </c>
      <c r="H5397" s="13" t="s">
        <v>8256</v>
      </c>
      <c r="I5397" s="40" t="s">
        <v>18</v>
      </c>
      <c r="J5397" s="40" t="str">
        <f>HYPERLINK("https://stock.pstatic.net/stock-research/company/57/20260205_company_936009000.pdf","PDF")</f>
        <v>PDF</v>
      </c>
      <c r="K5397" s="12" t="s">
        <v>8257</v>
      </c>
      <c r="L5397" s="20">
        <v>0.2162162162162162</v>
      </c>
    </row>
    <row r="5398" spans="1:12" x14ac:dyDescent="0.45">
      <c r="A5398" s="12" t="s">
        <v>8197</v>
      </c>
      <c r="B5398" s="12" t="s">
        <v>3280</v>
      </c>
      <c r="C5398" s="13" t="s">
        <v>3281</v>
      </c>
      <c r="D5398" s="13" t="s">
        <v>65</v>
      </c>
      <c r="E5398" s="12" t="s">
        <v>35</v>
      </c>
      <c r="F5398" s="14">
        <v>60000</v>
      </c>
      <c r="G5398" s="14">
        <v>50500</v>
      </c>
      <c r="H5398" s="13" t="s">
        <v>8258</v>
      </c>
      <c r="I5398" s="40" t="s">
        <v>18</v>
      </c>
      <c r="J5398" s="40" t="str">
        <f>HYPERLINK("https://stock.pstatic.net/stock-research/company/57/20260205_company_855969000.pdf","PDF")</f>
        <v>PDF</v>
      </c>
      <c r="K5398" s="12" t="s">
        <v>8259</v>
      </c>
      <c r="L5398" s="20">
        <v>0.18811881188118809</v>
      </c>
    </row>
    <row r="5399" spans="1:12" x14ac:dyDescent="0.45">
      <c r="A5399" s="12" t="s">
        <v>8197</v>
      </c>
      <c r="B5399" s="12" t="s">
        <v>2040</v>
      </c>
      <c r="C5399" s="13" t="s">
        <v>2041</v>
      </c>
      <c r="D5399" s="13" t="s">
        <v>65</v>
      </c>
      <c r="E5399" s="12" t="s">
        <v>35</v>
      </c>
      <c r="F5399" s="14">
        <v>100000</v>
      </c>
      <c r="G5399" s="14">
        <v>85400</v>
      </c>
      <c r="H5399" s="13" t="s">
        <v>8260</v>
      </c>
      <c r="I5399" s="40" t="s">
        <v>18</v>
      </c>
      <c r="J5399" s="40" t="str">
        <f>HYPERLINK("https://stock.pstatic.net/stock-research/company/57/20260205_company_279832000.pdf","PDF")</f>
        <v>PDF</v>
      </c>
      <c r="K5399" s="12" t="s">
        <v>8261</v>
      </c>
      <c r="L5399" s="20">
        <v>0.17096018735363</v>
      </c>
    </row>
    <row r="5400" spans="1:12" x14ac:dyDescent="0.45">
      <c r="A5400" s="12" t="s">
        <v>8197</v>
      </c>
      <c r="B5400" s="12" t="s">
        <v>752</v>
      </c>
      <c r="C5400" s="13" t="s">
        <v>753</v>
      </c>
      <c r="D5400" s="13" t="s">
        <v>65</v>
      </c>
      <c r="E5400" s="12" t="s">
        <v>35</v>
      </c>
      <c r="F5400" s="14">
        <v>180000</v>
      </c>
      <c r="G5400" s="14">
        <v>143100</v>
      </c>
      <c r="H5400" s="13" t="s">
        <v>8262</v>
      </c>
      <c r="I5400" s="40" t="s">
        <v>18</v>
      </c>
      <c r="J5400" s="40" t="str">
        <f>HYPERLINK("https://stock.pstatic.net/stock-research/company/57/20260205_company_794273000.pdf","PDF")</f>
        <v>PDF</v>
      </c>
      <c r="K5400" s="12" t="s">
        <v>8263</v>
      </c>
      <c r="L5400" s="20">
        <v>0.25786163522012578</v>
      </c>
    </row>
    <row r="5401" spans="1:12" x14ac:dyDescent="0.45">
      <c r="A5401" s="12" t="s">
        <v>8197</v>
      </c>
      <c r="B5401" s="12" t="s">
        <v>2382</v>
      </c>
      <c r="C5401" s="13" t="s">
        <v>2383</v>
      </c>
      <c r="D5401" s="13" t="s">
        <v>65</v>
      </c>
      <c r="E5401" s="12" t="s">
        <v>35</v>
      </c>
      <c r="F5401" s="14">
        <v>69000</v>
      </c>
      <c r="G5401" s="14">
        <v>55200</v>
      </c>
      <c r="H5401" s="13" t="s">
        <v>8264</v>
      </c>
      <c r="I5401" s="40" t="s">
        <v>18</v>
      </c>
      <c r="J5401" s="40" t="str">
        <f>HYPERLINK("https://stock.pstatic.net/stock-research/company/57/20260205_company_627571000.pdf","PDF")</f>
        <v>PDF</v>
      </c>
      <c r="K5401" s="12" t="s">
        <v>8265</v>
      </c>
      <c r="L5401" s="20">
        <v>0.25</v>
      </c>
    </row>
    <row r="5402" spans="1:12" x14ac:dyDescent="0.45">
      <c r="A5402" s="12" t="s">
        <v>8197</v>
      </c>
      <c r="B5402" s="12" t="s">
        <v>1051</v>
      </c>
      <c r="C5402" s="13" t="s">
        <v>1052</v>
      </c>
      <c r="D5402" s="13" t="s">
        <v>65</v>
      </c>
      <c r="E5402" s="12" t="s">
        <v>35</v>
      </c>
      <c r="F5402" s="14">
        <v>80000</v>
      </c>
      <c r="G5402" s="14">
        <v>65100</v>
      </c>
      <c r="H5402" s="13" t="s">
        <v>8266</v>
      </c>
      <c r="I5402" s="40" t="s">
        <v>18</v>
      </c>
      <c r="J5402" s="40" t="str">
        <f>HYPERLINK("https://stock.pstatic.net/stock-research/company/57/20260205_company_477510000.pdf","PDF")</f>
        <v>PDF</v>
      </c>
      <c r="K5402" s="12" t="s">
        <v>8267</v>
      </c>
      <c r="L5402" s="20">
        <v>0.22887864823348689</v>
      </c>
    </row>
    <row r="5403" spans="1:12" x14ac:dyDescent="0.45">
      <c r="A5403" s="12" t="s">
        <v>8197</v>
      </c>
      <c r="B5403" s="12" t="s">
        <v>2040</v>
      </c>
      <c r="C5403" s="13" t="s">
        <v>2041</v>
      </c>
      <c r="D5403" s="13" t="s">
        <v>158</v>
      </c>
      <c r="E5403" s="12" t="s">
        <v>35</v>
      </c>
      <c r="F5403" s="14">
        <v>165000</v>
      </c>
      <c r="G5403" s="14">
        <v>85400</v>
      </c>
      <c r="H5403" s="13" t="s">
        <v>8268</v>
      </c>
      <c r="I5403" s="40" t="s">
        <v>18</v>
      </c>
      <c r="J5403" s="40" t="str">
        <f>HYPERLINK("https://stock.pstatic.net/stock-research/company/18/20260205_company_904829000.pdf","PDF")</f>
        <v>PDF</v>
      </c>
      <c r="K5403" s="12" t="s">
        <v>8269</v>
      </c>
      <c r="L5403" s="20">
        <v>0.9320843091334895</v>
      </c>
    </row>
    <row r="5404" spans="1:12" x14ac:dyDescent="0.45">
      <c r="A5404" s="12" t="s">
        <v>8197</v>
      </c>
      <c r="B5404" s="12" t="s">
        <v>174</v>
      </c>
      <c r="C5404" s="13" t="s">
        <v>44</v>
      </c>
      <c r="D5404" s="13" t="s">
        <v>158</v>
      </c>
      <c r="E5404" s="12" t="s">
        <v>35</v>
      </c>
      <c r="F5404" s="14">
        <v>550000</v>
      </c>
      <c r="G5404" s="14">
        <v>444000</v>
      </c>
      <c r="H5404" s="13" t="s">
        <v>8270</v>
      </c>
      <c r="I5404" s="40" t="s">
        <v>18</v>
      </c>
      <c r="J5404" s="40" t="str">
        <f>HYPERLINK("https://stock.pstatic.net/stock-research/company/18/20260205_company_364200000.pdf","PDF")</f>
        <v>PDF</v>
      </c>
      <c r="K5404" s="12" t="s">
        <v>8271</v>
      </c>
      <c r="L5404" s="20">
        <v>0.23873873873873869</v>
      </c>
    </row>
    <row r="5405" spans="1:12" x14ac:dyDescent="0.45">
      <c r="A5405" s="12" t="s">
        <v>8197</v>
      </c>
      <c r="B5405" s="12" t="s">
        <v>3284</v>
      </c>
      <c r="C5405" s="13" t="s">
        <v>3285</v>
      </c>
      <c r="D5405" s="13" t="s">
        <v>158</v>
      </c>
      <c r="E5405" s="12" t="s">
        <v>35</v>
      </c>
      <c r="F5405" s="14">
        <v>179000</v>
      </c>
      <c r="G5405" s="14">
        <v>144000</v>
      </c>
      <c r="H5405" s="13" t="s">
        <v>8272</v>
      </c>
      <c r="I5405" s="40" t="s">
        <v>18</v>
      </c>
      <c r="J5405" s="40" t="str">
        <f>HYPERLINK("https://stock.pstatic.net/stock-research/company/18/20260205_company_804551000.pdf","PDF")</f>
        <v>PDF</v>
      </c>
      <c r="K5405" s="12" t="s">
        <v>8273</v>
      </c>
      <c r="L5405" s="20">
        <v>0.24305555555555561</v>
      </c>
    </row>
    <row r="5406" spans="1:12" x14ac:dyDescent="0.45">
      <c r="A5406" s="12" t="s">
        <v>8197</v>
      </c>
      <c r="B5406" s="12" t="s">
        <v>8274</v>
      </c>
      <c r="C5406" s="13" t="s">
        <v>8275</v>
      </c>
      <c r="D5406" s="13" t="s">
        <v>15</v>
      </c>
      <c r="E5406" s="12" t="s">
        <v>50</v>
      </c>
      <c r="F5406" s="13"/>
      <c r="G5406" s="14">
        <v>4360</v>
      </c>
      <c r="H5406" s="13" t="s">
        <v>8276</v>
      </c>
      <c r="I5406" s="40" t="s">
        <v>18</v>
      </c>
      <c r="J5406" s="40" t="str">
        <f>HYPERLINK("https://stock.pstatic.net/stock-research/company/56/20260205_company_313570000.pdf","PDF")</f>
        <v>PDF</v>
      </c>
      <c r="K5406" s="12" t="s">
        <v>8277</v>
      </c>
    </row>
    <row r="5407" spans="1:12" x14ac:dyDescent="0.45">
      <c r="A5407" s="12" t="s">
        <v>8197</v>
      </c>
      <c r="B5407" s="12" t="s">
        <v>3164</v>
      </c>
      <c r="C5407" s="13" t="s">
        <v>3165</v>
      </c>
      <c r="D5407" s="13" t="s">
        <v>15</v>
      </c>
      <c r="E5407" s="12" t="s">
        <v>16</v>
      </c>
      <c r="F5407" s="14">
        <v>139000</v>
      </c>
      <c r="G5407" s="14">
        <v>113000</v>
      </c>
      <c r="H5407" s="13" t="s">
        <v>8278</v>
      </c>
      <c r="I5407" s="40" t="s">
        <v>18</v>
      </c>
      <c r="J5407" s="40" t="str">
        <f>HYPERLINK("https://stock.pstatic.net/stock-research/company/56/20260205_company_157499000.pdf","PDF")</f>
        <v>PDF</v>
      </c>
      <c r="K5407" s="12" t="s">
        <v>8279</v>
      </c>
      <c r="L5407" s="20">
        <v>0.23008849557522121</v>
      </c>
    </row>
    <row r="5408" spans="1:12" x14ac:dyDescent="0.45">
      <c r="A5408" s="12" t="s">
        <v>8197</v>
      </c>
      <c r="B5408" s="12" t="s">
        <v>272</v>
      </c>
      <c r="C5408" s="13" t="s">
        <v>273</v>
      </c>
      <c r="D5408" s="13" t="s">
        <v>15</v>
      </c>
      <c r="E5408" s="12" t="s">
        <v>16</v>
      </c>
      <c r="F5408" s="14">
        <v>600000</v>
      </c>
      <c r="G5408" s="14">
        <v>439500</v>
      </c>
      <c r="H5408" s="13" t="s">
        <v>8280</v>
      </c>
      <c r="I5408" s="40" t="s">
        <v>18</v>
      </c>
      <c r="J5408" s="40" t="str">
        <f>HYPERLINK("https://stock.pstatic.net/stock-research/company/56/20260205_company_780656000.pdf","PDF")</f>
        <v>PDF</v>
      </c>
      <c r="K5408" s="12" t="s">
        <v>8281</v>
      </c>
      <c r="L5408" s="20">
        <v>0.3651877133105802</v>
      </c>
    </row>
    <row r="5409" spans="1:12" x14ac:dyDescent="0.45">
      <c r="A5409" s="12" t="s">
        <v>8197</v>
      </c>
      <c r="B5409" s="12" t="s">
        <v>174</v>
      </c>
      <c r="C5409" s="13" t="s">
        <v>44</v>
      </c>
      <c r="D5409" s="13" t="s">
        <v>83</v>
      </c>
      <c r="E5409" s="12" t="s">
        <v>35</v>
      </c>
      <c r="F5409" s="14">
        <v>540000</v>
      </c>
      <c r="G5409" s="14">
        <v>455000</v>
      </c>
      <c r="H5409" s="13" t="s">
        <v>8282</v>
      </c>
      <c r="I5409" s="40" t="s">
        <v>18</v>
      </c>
      <c r="J5409" s="40" t="str">
        <f>HYPERLINK("https://stock.pstatic.net/stock-research/company/15/20260205_company_793309000.pdf","PDF")</f>
        <v>PDF</v>
      </c>
      <c r="K5409" s="12" t="s">
        <v>8283</v>
      </c>
      <c r="L5409" s="20">
        <v>0.18681318681318679</v>
      </c>
    </row>
    <row r="5410" spans="1:12" x14ac:dyDescent="0.45">
      <c r="A5410" s="12" t="s">
        <v>8197</v>
      </c>
      <c r="B5410" s="12" t="s">
        <v>1051</v>
      </c>
      <c r="C5410" s="13" t="s">
        <v>1052</v>
      </c>
      <c r="D5410" s="13" t="s">
        <v>83</v>
      </c>
      <c r="E5410" s="12" t="s">
        <v>35</v>
      </c>
      <c r="F5410" s="14">
        <v>89000</v>
      </c>
      <c r="G5410" s="14">
        <v>65100</v>
      </c>
      <c r="H5410" s="13" t="s">
        <v>8284</v>
      </c>
      <c r="I5410" s="40" t="s">
        <v>18</v>
      </c>
      <c r="J5410" s="40" t="str">
        <f>HYPERLINK("https://stock.pstatic.net/stock-research/company/15/20260205_company_397085000.pdf","PDF")</f>
        <v>PDF</v>
      </c>
      <c r="K5410" s="12" t="s">
        <v>8285</v>
      </c>
      <c r="L5410" s="20">
        <v>0.36712749615975421</v>
      </c>
    </row>
    <row r="5411" spans="1:12" x14ac:dyDescent="0.45">
      <c r="A5411" s="12" t="s">
        <v>8197</v>
      </c>
      <c r="B5411" s="12" t="s">
        <v>3284</v>
      </c>
      <c r="C5411" s="13" t="s">
        <v>3285</v>
      </c>
      <c r="D5411" s="13" t="s">
        <v>83</v>
      </c>
      <c r="E5411" s="12" t="s">
        <v>35</v>
      </c>
      <c r="F5411" s="14">
        <v>180000</v>
      </c>
      <c r="G5411" s="14">
        <v>144000</v>
      </c>
      <c r="H5411" s="13" t="s">
        <v>8286</v>
      </c>
      <c r="I5411" s="40" t="s">
        <v>18</v>
      </c>
      <c r="J5411" s="40" t="str">
        <f>HYPERLINK("https://stock.pstatic.net/stock-research/company/15/20260205_company_301158000.pdf","PDF")</f>
        <v>PDF</v>
      </c>
      <c r="K5411" s="12" t="s">
        <v>8287</v>
      </c>
      <c r="L5411" s="20">
        <v>0.25</v>
      </c>
    </row>
    <row r="5412" spans="1:12" x14ac:dyDescent="0.45">
      <c r="A5412" s="12" t="s">
        <v>8197</v>
      </c>
      <c r="B5412" s="12" t="s">
        <v>495</v>
      </c>
      <c r="C5412" s="13" t="s">
        <v>496</v>
      </c>
      <c r="D5412" s="13" t="s">
        <v>83</v>
      </c>
      <c r="E5412" s="12" t="s">
        <v>35</v>
      </c>
      <c r="F5412" s="14">
        <v>350000</v>
      </c>
      <c r="G5412" s="14">
        <v>264000</v>
      </c>
      <c r="H5412" s="13" t="s">
        <v>8288</v>
      </c>
      <c r="I5412" s="40" t="s">
        <v>18</v>
      </c>
      <c r="J5412" s="40" t="str">
        <f>HYPERLINK("https://stock.pstatic.net/stock-research/company/15/20260205_company_588603000.pdf","PDF")</f>
        <v>PDF</v>
      </c>
      <c r="K5412" s="12" t="s">
        <v>8289</v>
      </c>
      <c r="L5412" s="20">
        <v>0.32575757575757569</v>
      </c>
    </row>
    <row r="5413" spans="1:12" x14ac:dyDescent="0.45">
      <c r="A5413" s="12" t="s">
        <v>8197</v>
      </c>
      <c r="B5413" s="12" t="s">
        <v>1936</v>
      </c>
      <c r="C5413" s="13" t="s">
        <v>1937</v>
      </c>
      <c r="D5413" s="13" t="s">
        <v>83</v>
      </c>
      <c r="E5413" s="12" t="s">
        <v>35</v>
      </c>
      <c r="F5413" s="14">
        <v>9800</v>
      </c>
      <c r="G5413" s="14">
        <v>8040</v>
      </c>
      <c r="H5413" s="13" t="s">
        <v>8290</v>
      </c>
      <c r="I5413" s="40" t="s">
        <v>18</v>
      </c>
      <c r="J5413" s="40" t="str">
        <f>HYPERLINK("https://stock.pstatic.net/stock-research/company/15/20260205_company_301536000.pdf","PDF")</f>
        <v>PDF</v>
      </c>
      <c r="K5413" s="12" t="s">
        <v>8291</v>
      </c>
      <c r="L5413" s="20">
        <v>0.2189054726368159</v>
      </c>
    </row>
    <row r="5414" spans="1:12" x14ac:dyDescent="0.45">
      <c r="A5414" s="12" t="s">
        <v>8197</v>
      </c>
      <c r="B5414" s="12" t="s">
        <v>272</v>
      </c>
      <c r="C5414" s="13" t="s">
        <v>273</v>
      </c>
      <c r="D5414" s="13" t="s">
        <v>83</v>
      </c>
      <c r="E5414" s="12" t="s">
        <v>35</v>
      </c>
      <c r="F5414" s="14">
        <v>620000</v>
      </c>
      <c r="G5414" s="14">
        <v>439500</v>
      </c>
      <c r="H5414" s="13" t="s">
        <v>8292</v>
      </c>
      <c r="I5414" s="40" t="s">
        <v>18</v>
      </c>
      <c r="J5414" s="40" t="str">
        <f>HYPERLINK("https://stock.pstatic.net/stock-research/company/15/20260205_company_886345000.pdf","PDF")</f>
        <v>PDF</v>
      </c>
      <c r="K5414" s="12" t="s">
        <v>8293</v>
      </c>
      <c r="L5414" s="20">
        <v>0.41069397042093292</v>
      </c>
    </row>
    <row r="5415" spans="1:12" x14ac:dyDescent="0.45">
      <c r="A5415" s="12" t="s">
        <v>8197</v>
      </c>
      <c r="B5415" s="12" t="s">
        <v>1140</v>
      </c>
      <c r="C5415" s="13" t="s">
        <v>1141</v>
      </c>
      <c r="D5415" s="13" t="s">
        <v>83</v>
      </c>
      <c r="E5415" s="12" t="s">
        <v>50</v>
      </c>
      <c r="F5415" s="14">
        <v>81000</v>
      </c>
      <c r="G5415" s="13"/>
      <c r="H5415" s="13" t="s">
        <v>8294</v>
      </c>
      <c r="I5415" s="40" t="s">
        <v>18</v>
      </c>
      <c r="J5415" s="40" t="str">
        <f>HYPERLINK("https://stock.pstatic.net/stock-research/company/15/20260205_company_474970000.pdf","PDF")</f>
        <v>PDF</v>
      </c>
      <c r="K5415" s="12" t="s">
        <v>8295</v>
      </c>
    </row>
    <row r="5416" spans="1:12" x14ac:dyDescent="0.45">
      <c r="A5416" s="12" t="s">
        <v>8197</v>
      </c>
      <c r="B5416" s="12" t="s">
        <v>334</v>
      </c>
      <c r="C5416" s="13" t="s">
        <v>335</v>
      </c>
      <c r="D5416" s="13" t="s">
        <v>53</v>
      </c>
      <c r="E5416" s="12" t="s">
        <v>50</v>
      </c>
      <c r="F5416" s="13"/>
      <c r="G5416" s="14">
        <v>900000</v>
      </c>
      <c r="H5416" s="13" t="s">
        <v>8296</v>
      </c>
      <c r="I5416" s="40" t="s">
        <v>18</v>
      </c>
      <c r="J5416" s="40" t="str">
        <f>HYPERLINK("https://stock.pstatic.net/stock-research/company/40/20260205_company_143172000.pdf","PDF")</f>
        <v>PDF</v>
      </c>
      <c r="K5416" s="12" t="s">
        <v>8297</v>
      </c>
    </row>
    <row r="5417" spans="1:12" x14ac:dyDescent="0.45">
      <c r="A5417" s="12" t="s">
        <v>8197</v>
      </c>
      <c r="B5417" s="12" t="s">
        <v>3284</v>
      </c>
      <c r="C5417" s="13" t="s">
        <v>3285</v>
      </c>
      <c r="D5417" s="13" t="s">
        <v>23</v>
      </c>
      <c r="E5417" s="12" t="s">
        <v>16</v>
      </c>
      <c r="F5417" s="14">
        <v>155000</v>
      </c>
      <c r="G5417" s="14">
        <v>144000</v>
      </c>
      <c r="H5417" s="13" t="s">
        <v>8298</v>
      </c>
      <c r="I5417" s="40" t="s">
        <v>18</v>
      </c>
      <c r="J5417" s="40" t="str">
        <f>HYPERLINK("https://stock.pstatic.net/stock-research/company/21/20260205_company_990281000.pdf","PDF")</f>
        <v>PDF</v>
      </c>
      <c r="K5417" s="12" t="s">
        <v>8299</v>
      </c>
      <c r="L5417" s="20">
        <v>7.6388888888888895E-2</v>
      </c>
    </row>
    <row r="5418" spans="1:12" x14ac:dyDescent="0.45">
      <c r="A5418" s="12" t="s">
        <v>8197</v>
      </c>
      <c r="B5418" s="12" t="s">
        <v>1350</v>
      </c>
      <c r="C5418" s="13" t="s">
        <v>1351</v>
      </c>
      <c r="D5418" s="13" t="s">
        <v>53</v>
      </c>
      <c r="E5418" s="12" t="s">
        <v>16</v>
      </c>
      <c r="F5418" s="14">
        <v>52000</v>
      </c>
      <c r="G5418" s="14">
        <v>38000</v>
      </c>
      <c r="H5418" s="13" t="s">
        <v>8300</v>
      </c>
      <c r="I5418" s="40" t="s">
        <v>18</v>
      </c>
      <c r="J5418" s="40" t="str">
        <f>HYPERLINK("https://stock.pstatic.net/stock-research/company/40/20260205_company_117593000.pdf","PDF")</f>
        <v>PDF</v>
      </c>
      <c r="K5418" s="12" t="s">
        <v>8301</v>
      </c>
      <c r="L5418" s="20">
        <v>0.36842105263157893</v>
      </c>
    </row>
    <row r="5419" spans="1:12" x14ac:dyDescent="0.45">
      <c r="A5419" s="12" t="s">
        <v>8197</v>
      </c>
      <c r="B5419" s="12" t="s">
        <v>752</v>
      </c>
      <c r="C5419" s="13" t="s">
        <v>753</v>
      </c>
      <c r="D5419" s="13" t="s">
        <v>179</v>
      </c>
      <c r="E5419" s="12" t="s">
        <v>16</v>
      </c>
      <c r="F5419" s="14">
        <v>165000</v>
      </c>
      <c r="G5419" s="14">
        <v>143100</v>
      </c>
      <c r="H5419" s="13" t="s">
        <v>8302</v>
      </c>
      <c r="I5419" s="40" t="s">
        <v>18</v>
      </c>
      <c r="J5419" s="40" t="str">
        <f>HYPERLINK("https://stock.pstatic.net/stock-research/company/64/20260205_company_247063000.pdf","PDF")</f>
        <v>PDF</v>
      </c>
      <c r="K5419" s="12" t="s">
        <v>8303</v>
      </c>
      <c r="L5419" s="20">
        <v>0.15303983228511531</v>
      </c>
    </row>
    <row r="5420" spans="1:12" x14ac:dyDescent="0.45">
      <c r="A5420" s="12" t="s">
        <v>8197</v>
      </c>
      <c r="B5420" s="12" t="s">
        <v>3164</v>
      </c>
      <c r="C5420" s="13" t="s">
        <v>3165</v>
      </c>
      <c r="D5420" s="13" t="s">
        <v>92</v>
      </c>
      <c r="E5420" s="12" t="s">
        <v>35</v>
      </c>
      <c r="F5420" s="14">
        <v>132000</v>
      </c>
      <c r="G5420" s="14">
        <v>113000</v>
      </c>
      <c r="H5420" s="13" t="s">
        <v>8304</v>
      </c>
      <c r="I5420" s="40" t="s">
        <v>18</v>
      </c>
      <c r="J5420" s="40" t="str">
        <f>HYPERLINK("https://stock.pstatic.net/stock-research/company/63/20260205_company_42588000.pdf","PDF")</f>
        <v>PDF</v>
      </c>
      <c r="K5420" s="12" t="s">
        <v>8305</v>
      </c>
      <c r="L5420" s="20">
        <v>0.16814159292035399</v>
      </c>
    </row>
    <row r="5421" spans="1:12" x14ac:dyDescent="0.45">
      <c r="A5421" s="12" t="s">
        <v>8197</v>
      </c>
      <c r="B5421" s="12" t="s">
        <v>2382</v>
      </c>
      <c r="C5421" s="13" t="s">
        <v>2383</v>
      </c>
      <c r="D5421" s="13" t="s">
        <v>23</v>
      </c>
      <c r="E5421" s="12" t="s">
        <v>16</v>
      </c>
      <c r="F5421" s="14">
        <v>70000</v>
      </c>
      <c r="G5421" s="14">
        <v>55200</v>
      </c>
      <c r="H5421" s="13" t="s">
        <v>8306</v>
      </c>
      <c r="I5421" s="40" t="s">
        <v>18</v>
      </c>
      <c r="J5421" s="40" t="str">
        <f>HYPERLINK("https://stock.pstatic.net/stock-research/company/21/20260205_company_751933000.pdf","PDF")</f>
        <v>PDF</v>
      </c>
      <c r="K5421" s="12" t="s">
        <v>8307</v>
      </c>
      <c r="L5421" s="20">
        <v>0.26811594202898548</v>
      </c>
    </row>
    <row r="5422" spans="1:12" x14ac:dyDescent="0.45">
      <c r="A5422" s="12" t="s">
        <v>8197</v>
      </c>
      <c r="B5422" s="12" t="s">
        <v>2781</v>
      </c>
      <c r="C5422" s="13" t="s">
        <v>2782</v>
      </c>
      <c r="D5422" s="13" t="s">
        <v>23</v>
      </c>
      <c r="E5422" s="12" t="s">
        <v>16</v>
      </c>
      <c r="F5422" s="14">
        <v>160000</v>
      </c>
      <c r="G5422" s="14">
        <v>137800</v>
      </c>
      <c r="H5422" s="13" t="s">
        <v>8308</v>
      </c>
      <c r="I5422" s="40" t="s">
        <v>18</v>
      </c>
      <c r="J5422" s="40" t="str">
        <f>HYPERLINK("https://stock.pstatic.net/stock-research/company/21/20260205_company_882254000.pdf","PDF")</f>
        <v>PDF</v>
      </c>
      <c r="K5422" s="12" t="s">
        <v>8309</v>
      </c>
      <c r="L5422" s="20">
        <v>0.1611030478955007</v>
      </c>
    </row>
    <row r="5423" spans="1:12" x14ac:dyDescent="0.45">
      <c r="A5423" s="12" t="s">
        <v>8197</v>
      </c>
      <c r="B5423" s="12" t="s">
        <v>1350</v>
      </c>
      <c r="C5423" s="13" t="s">
        <v>1351</v>
      </c>
      <c r="D5423" s="13" t="s">
        <v>23</v>
      </c>
      <c r="E5423" s="12" t="s">
        <v>16</v>
      </c>
      <c r="F5423" s="14">
        <v>48000</v>
      </c>
      <c r="G5423" s="14">
        <v>38000</v>
      </c>
      <c r="H5423" s="13" t="s">
        <v>8310</v>
      </c>
      <c r="I5423" s="40" t="s">
        <v>18</v>
      </c>
      <c r="J5423" s="40" t="str">
        <f>HYPERLINK("https://stock.pstatic.net/stock-research/company/21/20260205_company_192119000.pdf","PDF")</f>
        <v>PDF</v>
      </c>
      <c r="K5423" s="12" t="s">
        <v>8311</v>
      </c>
      <c r="L5423" s="20">
        <v>0.26315789473684209</v>
      </c>
    </row>
    <row r="5424" spans="1:12" x14ac:dyDescent="0.45">
      <c r="A5424" s="12" t="s">
        <v>8197</v>
      </c>
      <c r="B5424" s="12" t="s">
        <v>1184</v>
      </c>
      <c r="C5424" s="13" t="s">
        <v>1185</v>
      </c>
      <c r="D5424" s="13" t="s">
        <v>23</v>
      </c>
      <c r="E5424" s="12" t="s">
        <v>16</v>
      </c>
      <c r="F5424" s="14">
        <v>26000</v>
      </c>
      <c r="G5424" s="14">
        <v>23550</v>
      </c>
      <c r="H5424" s="13" t="s">
        <v>8312</v>
      </c>
      <c r="I5424" s="40" t="s">
        <v>18</v>
      </c>
      <c r="J5424" s="40" t="str">
        <f>HYPERLINK("https://stock.pstatic.net/stock-research/company/21/20260205_company_502614000.pdf","PDF")</f>
        <v>PDF</v>
      </c>
      <c r="K5424" s="12" t="s">
        <v>8313</v>
      </c>
      <c r="L5424" s="20">
        <v>0.1040339702760085</v>
      </c>
    </row>
    <row r="5425" spans="1:12" x14ac:dyDescent="0.45">
      <c r="A5425" s="12" t="s">
        <v>8197</v>
      </c>
      <c r="B5425" s="12" t="s">
        <v>2040</v>
      </c>
      <c r="C5425" s="13" t="s">
        <v>2041</v>
      </c>
      <c r="D5425" s="13" t="s">
        <v>23</v>
      </c>
      <c r="E5425" s="12" t="s">
        <v>16</v>
      </c>
      <c r="F5425" s="14">
        <v>120000</v>
      </c>
      <c r="G5425" s="14">
        <v>85400</v>
      </c>
      <c r="H5425" s="13" t="s">
        <v>8314</v>
      </c>
      <c r="I5425" s="40" t="s">
        <v>18</v>
      </c>
      <c r="J5425" s="40" t="str">
        <f>HYPERLINK("https://stock.pstatic.net/stock-research/company/21/20260205_company_159601000.pdf","PDF")</f>
        <v>PDF</v>
      </c>
      <c r="K5425" s="12" t="s">
        <v>8315</v>
      </c>
      <c r="L5425" s="20">
        <v>0.40515222482435598</v>
      </c>
    </row>
    <row r="5426" spans="1:12" x14ac:dyDescent="0.45">
      <c r="A5426" s="12" t="s">
        <v>8197</v>
      </c>
      <c r="B5426" s="12" t="s">
        <v>1936</v>
      </c>
      <c r="C5426" s="13" t="s">
        <v>1937</v>
      </c>
      <c r="D5426" s="13" t="s">
        <v>23</v>
      </c>
      <c r="E5426" s="12" t="s">
        <v>16</v>
      </c>
      <c r="F5426" s="14">
        <v>10000</v>
      </c>
      <c r="G5426" s="14">
        <v>8040</v>
      </c>
      <c r="H5426" s="13" t="s">
        <v>8316</v>
      </c>
      <c r="I5426" s="40" t="s">
        <v>18</v>
      </c>
      <c r="J5426" s="40" t="str">
        <f>HYPERLINK("https://stock.pstatic.net/stock-research/company/21/20260205_company_138685000.pdf","PDF")</f>
        <v>PDF</v>
      </c>
      <c r="K5426" s="12" t="s">
        <v>8317</v>
      </c>
      <c r="L5426" s="20">
        <v>0.24378109452736321</v>
      </c>
    </row>
    <row r="5427" spans="1:12" x14ac:dyDescent="0.45">
      <c r="A5427" s="12" t="s">
        <v>8197</v>
      </c>
      <c r="B5427" s="12" t="s">
        <v>3280</v>
      </c>
      <c r="C5427" s="13" t="s">
        <v>3281</v>
      </c>
      <c r="D5427" s="13" t="s">
        <v>23</v>
      </c>
      <c r="E5427" s="12" t="s">
        <v>16</v>
      </c>
      <c r="F5427" s="14">
        <v>65000</v>
      </c>
      <c r="G5427" s="14">
        <v>50500</v>
      </c>
      <c r="H5427" s="13" t="s">
        <v>2130</v>
      </c>
      <c r="I5427" s="40" t="s">
        <v>18</v>
      </c>
      <c r="J5427" s="40" t="str">
        <f>HYPERLINK("https://stock.pstatic.net/stock-research/company/21/20260205_company_596976000.pdf","PDF")</f>
        <v>PDF</v>
      </c>
      <c r="K5427" s="12" t="s">
        <v>8318</v>
      </c>
      <c r="L5427" s="20">
        <v>0.28712871287128711</v>
      </c>
    </row>
    <row r="5428" spans="1:12" x14ac:dyDescent="0.45">
      <c r="A5428" s="12" t="s">
        <v>8197</v>
      </c>
      <c r="B5428" s="12" t="s">
        <v>3164</v>
      </c>
      <c r="C5428" s="13" t="s">
        <v>3165</v>
      </c>
      <c r="D5428" s="13" t="s">
        <v>23</v>
      </c>
      <c r="E5428" s="12" t="s">
        <v>16</v>
      </c>
      <c r="F5428" s="14">
        <v>130000</v>
      </c>
      <c r="G5428" s="14">
        <v>113000</v>
      </c>
      <c r="H5428" s="13" t="s">
        <v>8319</v>
      </c>
      <c r="I5428" s="40" t="s">
        <v>18</v>
      </c>
      <c r="J5428" s="40" t="str">
        <f>HYPERLINK("https://stock.pstatic.net/stock-research/company/21/20260205_company_438529000.pdf","PDF")</f>
        <v>PDF</v>
      </c>
      <c r="K5428" s="12" t="s">
        <v>8320</v>
      </c>
      <c r="L5428" s="20">
        <v>0.15044247787610621</v>
      </c>
    </row>
    <row r="5429" spans="1:12" x14ac:dyDescent="0.45">
      <c r="A5429" s="12" t="s">
        <v>8197</v>
      </c>
      <c r="B5429" s="12" t="s">
        <v>2650</v>
      </c>
      <c r="C5429" s="13" t="s">
        <v>2651</v>
      </c>
      <c r="D5429" s="13" t="s">
        <v>23</v>
      </c>
      <c r="E5429" s="12" t="s">
        <v>16</v>
      </c>
      <c r="F5429" s="14">
        <v>28500</v>
      </c>
      <c r="G5429" s="14">
        <v>25000</v>
      </c>
      <c r="H5429" s="13" t="s">
        <v>8321</v>
      </c>
      <c r="I5429" s="40" t="s">
        <v>18</v>
      </c>
      <c r="J5429" s="40" t="str">
        <f>HYPERLINK("https://stock.pstatic.net/stock-research/company/21/20260205_company_672663000.pdf","PDF")</f>
        <v>PDF</v>
      </c>
      <c r="K5429" s="12" t="s">
        <v>8322</v>
      </c>
      <c r="L5429" s="20">
        <v>0.14000000000000001</v>
      </c>
    </row>
    <row r="5430" spans="1:12" x14ac:dyDescent="0.45">
      <c r="A5430" s="12" t="s">
        <v>8197</v>
      </c>
      <c r="B5430" s="12" t="s">
        <v>1051</v>
      </c>
      <c r="C5430" s="13" t="s">
        <v>1052</v>
      </c>
      <c r="D5430" s="13" t="s">
        <v>23</v>
      </c>
      <c r="E5430" s="12" t="s">
        <v>16</v>
      </c>
      <c r="F5430" s="14">
        <v>79000</v>
      </c>
      <c r="G5430" s="14">
        <v>65100</v>
      </c>
      <c r="H5430" s="13" t="s">
        <v>8323</v>
      </c>
      <c r="I5430" s="40" t="s">
        <v>18</v>
      </c>
      <c r="J5430" s="40" t="str">
        <f>HYPERLINK("https://stock.pstatic.net/stock-research/company/21/20260205_company_824841000.pdf","PDF")</f>
        <v>PDF</v>
      </c>
      <c r="K5430" s="12" t="s">
        <v>8324</v>
      </c>
      <c r="L5430" s="20">
        <v>0.21351766513056841</v>
      </c>
    </row>
    <row r="5431" spans="1:12" x14ac:dyDescent="0.45">
      <c r="A5431" s="12" t="s">
        <v>8197</v>
      </c>
      <c r="B5431" s="12" t="s">
        <v>495</v>
      </c>
      <c r="C5431" s="13" t="s">
        <v>496</v>
      </c>
      <c r="D5431" s="13" t="s">
        <v>23</v>
      </c>
      <c r="E5431" s="12" t="s">
        <v>16</v>
      </c>
      <c r="F5431" s="14">
        <v>350000</v>
      </c>
      <c r="G5431" s="14">
        <v>264000</v>
      </c>
      <c r="H5431" s="13" t="s">
        <v>8325</v>
      </c>
      <c r="I5431" s="40" t="s">
        <v>18</v>
      </c>
      <c r="J5431" s="40" t="str">
        <f>HYPERLINK("https://stock.pstatic.net/stock-research/company/21/20260205_company_870540000.pdf","PDF")</f>
        <v>PDF</v>
      </c>
      <c r="K5431" s="12" t="s">
        <v>8326</v>
      </c>
      <c r="L5431" s="20">
        <v>0.32575757575757569</v>
      </c>
    </row>
    <row r="5432" spans="1:12" x14ac:dyDescent="0.45">
      <c r="A5432" s="12" t="s">
        <v>8197</v>
      </c>
      <c r="B5432" s="12" t="s">
        <v>3164</v>
      </c>
      <c r="C5432" s="13" t="s">
        <v>3165</v>
      </c>
      <c r="D5432" s="13" t="s">
        <v>53</v>
      </c>
      <c r="E5432" s="12" t="s">
        <v>16</v>
      </c>
      <c r="F5432" s="14">
        <v>130000</v>
      </c>
      <c r="G5432" s="14">
        <v>113000</v>
      </c>
      <c r="H5432" s="13" t="s">
        <v>8327</v>
      </c>
      <c r="I5432" s="40" t="s">
        <v>18</v>
      </c>
      <c r="J5432" s="40" t="str">
        <f>HYPERLINK("https://stock.pstatic.net/stock-research/company/40/20260205_company_748328000.pdf","PDF")</f>
        <v>PDF</v>
      </c>
      <c r="K5432" s="12" t="s">
        <v>8328</v>
      </c>
      <c r="L5432" s="20">
        <v>0.15044247787610621</v>
      </c>
    </row>
    <row r="5433" spans="1:12" x14ac:dyDescent="0.45">
      <c r="A5433" s="12" t="s">
        <v>8197</v>
      </c>
      <c r="B5433" s="12" t="s">
        <v>1216</v>
      </c>
      <c r="C5433" s="13" t="s">
        <v>1217</v>
      </c>
      <c r="D5433" s="13" t="s">
        <v>179</v>
      </c>
      <c r="E5433" s="12" t="s">
        <v>16</v>
      </c>
      <c r="F5433" s="14">
        <v>44000</v>
      </c>
      <c r="G5433" s="14">
        <v>38150</v>
      </c>
      <c r="H5433" s="13" t="s">
        <v>8329</v>
      </c>
      <c r="I5433" s="40" t="s">
        <v>18</v>
      </c>
      <c r="J5433" s="40" t="str">
        <f>HYPERLINK("https://stock.pstatic.net/stock-research/company/64/20260205_company_508185000.pdf","PDF")</f>
        <v>PDF</v>
      </c>
      <c r="K5433" s="12" t="s">
        <v>8330</v>
      </c>
      <c r="L5433" s="20">
        <v>0.15334207077326339</v>
      </c>
    </row>
    <row r="5434" spans="1:12" x14ac:dyDescent="0.45">
      <c r="A5434" s="12" t="s">
        <v>8197</v>
      </c>
      <c r="B5434" s="12" t="s">
        <v>174</v>
      </c>
      <c r="C5434" s="13" t="s">
        <v>44</v>
      </c>
      <c r="D5434" s="13" t="s">
        <v>23</v>
      </c>
      <c r="E5434" s="12" t="s">
        <v>16</v>
      </c>
      <c r="F5434" s="14">
        <v>500000</v>
      </c>
      <c r="G5434" s="14">
        <v>440000</v>
      </c>
      <c r="H5434" s="13" t="s">
        <v>8331</v>
      </c>
      <c r="I5434" s="40" t="s">
        <v>18</v>
      </c>
      <c r="J5434" s="40" t="str">
        <f>HYPERLINK("https://stock.pstatic.net/stock-research/company/21/20260205_company_445797000.pdf","PDF")</f>
        <v>PDF</v>
      </c>
      <c r="K5434" s="12" t="s">
        <v>8332</v>
      </c>
      <c r="L5434" s="20">
        <v>0.13636363636363641</v>
      </c>
    </row>
    <row r="5435" spans="1:12" x14ac:dyDescent="0.45">
      <c r="A5435" s="12" t="s">
        <v>8197</v>
      </c>
      <c r="B5435" s="12" t="s">
        <v>3164</v>
      </c>
      <c r="C5435" s="13" t="s">
        <v>3165</v>
      </c>
      <c r="D5435" s="13" t="s">
        <v>34</v>
      </c>
      <c r="E5435" s="12" t="s">
        <v>35</v>
      </c>
      <c r="F5435" s="14">
        <v>140000</v>
      </c>
      <c r="G5435" s="14">
        <v>113000</v>
      </c>
      <c r="H5435" s="13" t="s">
        <v>8333</v>
      </c>
      <c r="I5435" s="40" t="s">
        <v>18</v>
      </c>
      <c r="J5435" s="40" t="str">
        <f>HYPERLINK("https://stock.pstatic.net/stock-research/company/61/20260205_company_703714000.pdf","PDF")</f>
        <v>PDF</v>
      </c>
      <c r="K5435" s="12" t="s">
        <v>8334</v>
      </c>
      <c r="L5435" s="20">
        <v>0.23893805309734509</v>
      </c>
    </row>
    <row r="5436" spans="1:12" x14ac:dyDescent="0.45">
      <c r="A5436" s="12" t="s">
        <v>8197</v>
      </c>
      <c r="B5436" s="12" t="s">
        <v>2781</v>
      </c>
      <c r="C5436" s="13" t="s">
        <v>2782</v>
      </c>
      <c r="D5436" s="13" t="s">
        <v>53</v>
      </c>
      <c r="E5436" s="12" t="s">
        <v>16</v>
      </c>
      <c r="F5436" s="14">
        <v>160000</v>
      </c>
      <c r="G5436" s="14">
        <v>137800</v>
      </c>
      <c r="H5436" s="13" t="s">
        <v>8335</v>
      </c>
      <c r="I5436" s="40" t="s">
        <v>18</v>
      </c>
      <c r="J5436" s="40" t="str">
        <f>HYPERLINK("https://stock.pstatic.net/stock-research/company/40/20260205_company_902932000.pdf","PDF")</f>
        <v>PDF</v>
      </c>
      <c r="K5436" s="12" t="s">
        <v>8336</v>
      </c>
      <c r="L5436" s="20">
        <v>0.1611030478955007</v>
      </c>
    </row>
    <row r="5437" spans="1:12" x14ac:dyDescent="0.45">
      <c r="A5437" s="12" t="s">
        <v>8197</v>
      </c>
      <c r="B5437" s="12" t="s">
        <v>495</v>
      </c>
      <c r="C5437" s="13" t="s">
        <v>496</v>
      </c>
      <c r="D5437" s="13" t="s">
        <v>44</v>
      </c>
      <c r="E5437" s="12" t="s">
        <v>35</v>
      </c>
      <c r="F5437" s="14">
        <v>360000</v>
      </c>
      <c r="G5437" s="14">
        <v>264000</v>
      </c>
      <c r="H5437" s="13" t="s">
        <v>8337</v>
      </c>
      <c r="I5437" s="40" t="s">
        <v>18</v>
      </c>
      <c r="J5437" s="40" t="str">
        <f>HYPERLINK("https://stock.pstatic.net/stock-research/company/39/20260205_company_336299000.pdf","PDF")</f>
        <v>PDF</v>
      </c>
      <c r="K5437" s="12" t="s">
        <v>8338</v>
      </c>
      <c r="L5437" s="20">
        <v>0.36363636363636359</v>
      </c>
    </row>
    <row r="5438" spans="1:12" x14ac:dyDescent="0.45">
      <c r="A5438" s="12" t="s">
        <v>8197</v>
      </c>
      <c r="B5438" s="12" t="s">
        <v>1023</v>
      </c>
      <c r="C5438" s="13" t="s">
        <v>15</v>
      </c>
      <c r="D5438" s="13" t="s">
        <v>44</v>
      </c>
      <c r="E5438" s="12" t="s">
        <v>35</v>
      </c>
      <c r="F5438" s="14">
        <v>65000</v>
      </c>
      <c r="G5438" s="14">
        <v>51200</v>
      </c>
      <c r="H5438" s="13" t="s">
        <v>8339</v>
      </c>
      <c r="I5438" s="40" t="s">
        <v>18</v>
      </c>
      <c r="J5438" s="40" t="str">
        <f>HYPERLINK("https://stock.pstatic.net/stock-research/company/39/20260205_company_409782000.pdf","PDF")</f>
        <v>PDF</v>
      </c>
      <c r="K5438" s="12" t="s">
        <v>8340</v>
      </c>
      <c r="L5438" s="20">
        <v>0.26953125</v>
      </c>
    </row>
    <row r="5439" spans="1:12" x14ac:dyDescent="0.45">
      <c r="A5439" s="12" t="s">
        <v>8197</v>
      </c>
      <c r="B5439" s="12" t="s">
        <v>3284</v>
      </c>
      <c r="C5439" s="13" t="s">
        <v>3285</v>
      </c>
      <c r="D5439" s="13" t="s">
        <v>44</v>
      </c>
      <c r="E5439" s="12" t="s">
        <v>35</v>
      </c>
      <c r="F5439" s="14">
        <v>179000</v>
      </c>
      <c r="G5439" s="14">
        <v>144000</v>
      </c>
      <c r="H5439" s="13" t="s">
        <v>8341</v>
      </c>
      <c r="I5439" s="40" t="s">
        <v>18</v>
      </c>
      <c r="J5439" s="40" t="str">
        <f>HYPERLINK("https://stock.pstatic.net/stock-research/company/39/20260205_company_432452000.pdf","PDF")</f>
        <v>PDF</v>
      </c>
      <c r="K5439" s="12" t="s">
        <v>8342</v>
      </c>
      <c r="L5439" s="20">
        <v>0.24305555555555561</v>
      </c>
    </row>
    <row r="5440" spans="1:12" x14ac:dyDescent="0.45">
      <c r="A5440" s="12" t="s">
        <v>8197</v>
      </c>
      <c r="B5440" s="12" t="s">
        <v>8204</v>
      </c>
      <c r="C5440" s="13" t="s">
        <v>8205</v>
      </c>
      <c r="D5440" s="13" t="s">
        <v>92</v>
      </c>
      <c r="E5440" s="12" t="s">
        <v>35</v>
      </c>
      <c r="F5440" s="14">
        <v>117000</v>
      </c>
      <c r="G5440" s="14">
        <v>90200</v>
      </c>
      <c r="H5440" s="13" t="s">
        <v>8343</v>
      </c>
      <c r="I5440" s="40" t="s">
        <v>18</v>
      </c>
      <c r="J5440" s="40" t="str">
        <f>HYPERLINK("https://stock.pstatic.net/stock-research/company/63/20260205_company_565464000.pdf","PDF")</f>
        <v>PDF</v>
      </c>
      <c r="K5440" s="12" t="s">
        <v>8344</v>
      </c>
      <c r="L5440" s="20">
        <v>0.29711751662971181</v>
      </c>
    </row>
    <row r="5441" spans="1:12" x14ac:dyDescent="0.45">
      <c r="A5441" s="12" t="s">
        <v>8197</v>
      </c>
      <c r="B5441" s="12" t="s">
        <v>1467</v>
      </c>
      <c r="C5441" s="13" t="s">
        <v>1468</v>
      </c>
      <c r="D5441" s="13" t="s">
        <v>179</v>
      </c>
      <c r="E5441" s="12" t="s">
        <v>50</v>
      </c>
      <c r="F5441" s="13"/>
      <c r="G5441" s="14">
        <v>5180</v>
      </c>
      <c r="H5441" s="13" t="s">
        <v>8345</v>
      </c>
      <c r="I5441" s="40" t="s">
        <v>18</v>
      </c>
      <c r="J5441" s="40" t="str">
        <f>HYPERLINK("https://stock.pstatic.net/stock-research/company/64/20260205_company_285511000.pdf","PDF")</f>
        <v>PDF</v>
      </c>
      <c r="K5441" s="12" t="s">
        <v>8346</v>
      </c>
    </row>
    <row r="5442" spans="1:12" x14ac:dyDescent="0.45">
      <c r="A5442" s="12" t="s">
        <v>8197</v>
      </c>
      <c r="B5442" s="12" t="s">
        <v>2040</v>
      </c>
      <c r="C5442" s="13" t="s">
        <v>2041</v>
      </c>
      <c r="D5442" s="13" t="s">
        <v>92</v>
      </c>
      <c r="E5442" s="12" t="s">
        <v>35</v>
      </c>
      <c r="F5442" s="14">
        <v>115000</v>
      </c>
      <c r="G5442" s="14">
        <v>85400</v>
      </c>
      <c r="H5442" s="13" t="s">
        <v>8347</v>
      </c>
      <c r="I5442" s="40" t="s">
        <v>18</v>
      </c>
      <c r="J5442" s="40" t="str">
        <f>HYPERLINK("https://stock.pstatic.net/stock-research/company/63/20260205_company_626932000.pdf","PDF")</f>
        <v>PDF</v>
      </c>
      <c r="K5442" s="12" t="s">
        <v>8348</v>
      </c>
      <c r="L5442" s="20">
        <v>0.34660421545667452</v>
      </c>
    </row>
    <row r="5443" spans="1:12" x14ac:dyDescent="0.45">
      <c r="A5443" s="12" t="s">
        <v>8197</v>
      </c>
      <c r="B5443" s="12" t="s">
        <v>1350</v>
      </c>
      <c r="C5443" s="13" t="s">
        <v>1351</v>
      </c>
      <c r="D5443" s="13" t="s">
        <v>34</v>
      </c>
      <c r="E5443" s="12" t="s">
        <v>35</v>
      </c>
      <c r="F5443" s="14">
        <v>53000</v>
      </c>
      <c r="G5443" s="14">
        <v>38000</v>
      </c>
      <c r="H5443" s="13" t="s">
        <v>8349</v>
      </c>
      <c r="I5443" s="40" t="s">
        <v>18</v>
      </c>
      <c r="J5443" s="40" t="str">
        <f>HYPERLINK("https://stock.pstatic.net/stock-research/company/61/20260205_company_736675000.pdf","PDF")</f>
        <v>PDF</v>
      </c>
      <c r="K5443" s="12" t="s">
        <v>8350</v>
      </c>
      <c r="L5443" s="20">
        <v>0.39473684210526322</v>
      </c>
    </row>
    <row r="5444" spans="1:12" x14ac:dyDescent="0.45">
      <c r="A5444" s="12" t="s">
        <v>8197</v>
      </c>
      <c r="B5444" s="12" t="s">
        <v>1350</v>
      </c>
      <c r="C5444" s="13" t="s">
        <v>1351</v>
      </c>
      <c r="D5444" s="13" t="s">
        <v>44</v>
      </c>
      <c r="E5444" s="12" t="s">
        <v>35</v>
      </c>
      <c r="F5444" s="14">
        <v>53000</v>
      </c>
      <c r="G5444" s="14">
        <v>38000</v>
      </c>
      <c r="H5444" s="13" t="s">
        <v>8351</v>
      </c>
      <c r="I5444" s="40" t="s">
        <v>18</v>
      </c>
      <c r="J5444" s="40" t="str">
        <f>HYPERLINK("https://stock.pstatic.net/stock-research/company/39/20260205_company_812204000.pdf","PDF")</f>
        <v>PDF</v>
      </c>
      <c r="K5444" s="12" t="s">
        <v>8352</v>
      </c>
      <c r="L5444" s="20">
        <v>0.39473684210526322</v>
      </c>
    </row>
    <row r="5445" spans="1:12" x14ac:dyDescent="0.45">
      <c r="A5445" s="12" t="s">
        <v>8197</v>
      </c>
      <c r="B5445" s="12" t="s">
        <v>3280</v>
      </c>
      <c r="C5445" s="13" t="s">
        <v>3281</v>
      </c>
      <c r="D5445" s="13" t="s">
        <v>34</v>
      </c>
      <c r="E5445" s="12" t="s">
        <v>35</v>
      </c>
      <c r="F5445" s="14">
        <v>62000</v>
      </c>
      <c r="G5445" s="14">
        <v>50500</v>
      </c>
      <c r="H5445" s="13" t="s">
        <v>8353</v>
      </c>
      <c r="I5445" s="40" t="s">
        <v>18</v>
      </c>
      <c r="K5445" s="12" t="s">
        <v>8354</v>
      </c>
      <c r="L5445" s="20">
        <v>0.2277227722772277</v>
      </c>
    </row>
    <row r="5446" spans="1:12" x14ac:dyDescent="0.45">
      <c r="A5446" s="12" t="s">
        <v>8197</v>
      </c>
      <c r="B5446" s="12" t="s">
        <v>3280</v>
      </c>
      <c r="C5446" s="13" t="s">
        <v>3281</v>
      </c>
      <c r="D5446" s="13" t="s">
        <v>34</v>
      </c>
      <c r="E5446" s="12" t="s">
        <v>35</v>
      </c>
      <c r="F5446" s="14">
        <v>62000</v>
      </c>
      <c r="G5446" s="14">
        <v>50500</v>
      </c>
      <c r="H5446" s="13" t="s">
        <v>8353</v>
      </c>
      <c r="I5446" s="40" t="s">
        <v>18</v>
      </c>
      <c r="J5446" s="40" t="str">
        <f>HYPERLINK("https://stock.pstatic.net/stock-research/company/61/20260205_company_259595000.pdf","PDF")</f>
        <v>PDF</v>
      </c>
      <c r="K5446" s="12" t="s">
        <v>8354</v>
      </c>
      <c r="L5446" s="20">
        <v>0.2277227722772277</v>
      </c>
    </row>
    <row r="5447" spans="1:12" x14ac:dyDescent="0.45">
      <c r="A5447" s="12" t="s">
        <v>8197</v>
      </c>
      <c r="B5447" s="12" t="s">
        <v>3284</v>
      </c>
      <c r="C5447" s="13" t="s">
        <v>3285</v>
      </c>
      <c r="D5447" s="13" t="s">
        <v>34</v>
      </c>
      <c r="E5447" s="12" t="s">
        <v>35</v>
      </c>
      <c r="F5447" s="14">
        <v>167000</v>
      </c>
      <c r="G5447" s="14">
        <v>144000</v>
      </c>
      <c r="H5447" s="13" t="s">
        <v>8355</v>
      </c>
      <c r="I5447" s="40" t="s">
        <v>18</v>
      </c>
      <c r="J5447" s="40" t="str">
        <f>HYPERLINK("https://stock.pstatic.net/stock-research/company/61/20260205_company_351224000.pdf","PDF")</f>
        <v>PDF</v>
      </c>
      <c r="K5447" s="12" t="s">
        <v>8356</v>
      </c>
      <c r="L5447" s="20">
        <v>0.15972222222222221</v>
      </c>
    </row>
    <row r="5448" spans="1:12" x14ac:dyDescent="0.45">
      <c r="A5448" s="12" t="s">
        <v>8197</v>
      </c>
      <c r="B5448" s="12" t="s">
        <v>2040</v>
      </c>
      <c r="C5448" s="13" t="s">
        <v>2041</v>
      </c>
      <c r="D5448" s="13" t="s">
        <v>34</v>
      </c>
      <c r="E5448" s="12" t="s">
        <v>35</v>
      </c>
      <c r="F5448" s="14">
        <v>110000</v>
      </c>
      <c r="G5448" s="14">
        <v>85400</v>
      </c>
      <c r="H5448" s="13" t="s">
        <v>8357</v>
      </c>
      <c r="I5448" s="40" t="s">
        <v>18</v>
      </c>
      <c r="J5448" s="40" t="str">
        <f>HYPERLINK("https://m.stock.naver.com/research/company/89881","PDF")</f>
        <v>PDF</v>
      </c>
      <c r="K5448" s="12" t="s">
        <v>8358</v>
      </c>
      <c r="L5448" s="20">
        <v>0.28805620608899302</v>
      </c>
    </row>
    <row r="5449" spans="1:12" x14ac:dyDescent="0.45">
      <c r="A5449" s="12" t="s">
        <v>8197</v>
      </c>
      <c r="B5449" s="12" t="s">
        <v>2382</v>
      </c>
      <c r="C5449" s="13" t="s">
        <v>2383</v>
      </c>
      <c r="D5449" s="13" t="s">
        <v>44</v>
      </c>
      <c r="E5449" s="12" t="s">
        <v>35</v>
      </c>
      <c r="F5449" s="14">
        <v>67000</v>
      </c>
      <c r="G5449" s="14">
        <v>55200</v>
      </c>
      <c r="H5449" s="13" t="s">
        <v>8359</v>
      </c>
      <c r="I5449" s="40" t="s">
        <v>18</v>
      </c>
      <c r="J5449" s="40" t="str">
        <f>HYPERLINK("https://stock.pstatic.net/stock-research/company/39/20260205_company_265795000.pdf","PDF")</f>
        <v>PDF</v>
      </c>
      <c r="K5449" s="12" t="s">
        <v>8360</v>
      </c>
      <c r="L5449" s="20">
        <v>0.21376811594202899</v>
      </c>
    </row>
    <row r="5450" spans="1:12" x14ac:dyDescent="0.45">
      <c r="A5450" s="12" t="s">
        <v>8197</v>
      </c>
      <c r="B5450" s="12" t="s">
        <v>8361</v>
      </c>
      <c r="C5450" s="13" t="s">
        <v>8362</v>
      </c>
      <c r="D5450" s="13" t="s">
        <v>44</v>
      </c>
      <c r="E5450" s="12" t="s">
        <v>50</v>
      </c>
      <c r="F5450" s="13"/>
      <c r="G5450" s="14">
        <v>4740</v>
      </c>
      <c r="H5450" s="13" t="s">
        <v>8363</v>
      </c>
      <c r="I5450" s="40" t="s">
        <v>18</v>
      </c>
      <c r="J5450" s="40" t="str">
        <f>HYPERLINK("https://stock.pstatic.net/stock-research/company/39/20260205_company_757613000.pdf","PDF")</f>
        <v>PDF</v>
      </c>
      <c r="K5450" s="12" t="s">
        <v>8364</v>
      </c>
    </row>
    <row r="5451" spans="1:12" x14ac:dyDescent="0.45">
      <c r="A5451" s="12" t="s">
        <v>8197</v>
      </c>
      <c r="B5451" s="12" t="s">
        <v>272</v>
      </c>
      <c r="C5451" s="13" t="s">
        <v>273</v>
      </c>
      <c r="D5451" s="13" t="s">
        <v>44</v>
      </c>
      <c r="E5451" s="12" t="s">
        <v>35</v>
      </c>
      <c r="F5451" s="14">
        <v>580000</v>
      </c>
      <c r="G5451" s="14">
        <v>439500</v>
      </c>
      <c r="H5451" s="13" t="s">
        <v>8365</v>
      </c>
      <c r="I5451" s="40" t="s">
        <v>18</v>
      </c>
      <c r="J5451" s="40" t="str">
        <f>HYPERLINK("https://m.stock.naver.com/research/company/89878","PDF")</f>
        <v>PDF</v>
      </c>
      <c r="K5451" s="12" t="s">
        <v>8366</v>
      </c>
      <c r="L5451" s="20">
        <v>0.31968145620022748</v>
      </c>
    </row>
    <row r="5452" spans="1:12" x14ac:dyDescent="0.45">
      <c r="A5452" s="12" t="s">
        <v>8197</v>
      </c>
      <c r="B5452" s="12" t="s">
        <v>1184</v>
      </c>
      <c r="C5452" s="13" t="s">
        <v>1185</v>
      </c>
      <c r="D5452" s="13" t="s">
        <v>44</v>
      </c>
      <c r="E5452" s="12" t="s">
        <v>50</v>
      </c>
      <c r="F5452" s="13"/>
      <c r="G5452" s="14">
        <v>23550</v>
      </c>
      <c r="H5452" s="13" t="s">
        <v>8367</v>
      </c>
      <c r="I5452" s="40" t="s">
        <v>18</v>
      </c>
      <c r="J5452" s="40" t="str">
        <f>HYPERLINK("https://stock.pstatic.net/stock-research/company/39/20260205_company_953507000.pdf","PDF")</f>
        <v>PDF</v>
      </c>
      <c r="K5452" s="12" t="s">
        <v>8368</v>
      </c>
    </row>
    <row r="5453" spans="1:12" x14ac:dyDescent="0.45">
      <c r="A5453" s="12" t="s">
        <v>8197</v>
      </c>
      <c r="B5453" s="12" t="s">
        <v>2781</v>
      </c>
      <c r="C5453" s="13" t="s">
        <v>2782</v>
      </c>
      <c r="D5453" s="13" t="s">
        <v>44</v>
      </c>
      <c r="E5453" s="12" t="s">
        <v>35</v>
      </c>
      <c r="F5453" s="14">
        <v>170000</v>
      </c>
      <c r="G5453" s="14">
        <v>137800</v>
      </c>
      <c r="H5453" s="13" t="s">
        <v>8369</v>
      </c>
      <c r="I5453" s="40" t="s">
        <v>18</v>
      </c>
      <c r="J5453" s="40" t="str">
        <f>HYPERLINK("https://stock.pstatic.net/stock-research/company/39/20260205_company_898248000.pdf","PDF")</f>
        <v>PDF</v>
      </c>
      <c r="K5453" s="12" t="s">
        <v>8370</v>
      </c>
      <c r="L5453" s="20">
        <v>0.23367198838896949</v>
      </c>
    </row>
    <row r="5454" spans="1:12" x14ac:dyDescent="0.45">
      <c r="A5454" s="12" t="s">
        <v>8197</v>
      </c>
      <c r="B5454" s="12" t="s">
        <v>1741</v>
      </c>
      <c r="C5454" s="13" t="s">
        <v>1742</v>
      </c>
      <c r="D5454" s="13" t="s">
        <v>44</v>
      </c>
      <c r="E5454" s="12" t="s">
        <v>35</v>
      </c>
      <c r="F5454" s="14">
        <v>70000</v>
      </c>
      <c r="G5454" s="14">
        <v>47600</v>
      </c>
      <c r="H5454" s="13" t="s">
        <v>8371</v>
      </c>
      <c r="I5454" s="40" t="s">
        <v>18</v>
      </c>
      <c r="J5454" s="40" t="str">
        <f>HYPERLINK("https://stock.pstatic.net/stock-research/company/39/20260205_company_648446000.pdf","PDF")</f>
        <v>PDF</v>
      </c>
      <c r="K5454" s="12" t="s">
        <v>8372</v>
      </c>
      <c r="L5454" s="20">
        <v>0.47058823529411759</v>
      </c>
    </row>
    <row r="5455" spans="1:12" x14ac:dyDescent="0.45">
      <c r="A5455" s="12" t="s">
        <v>8197</v>
      </c>
      <c r="B5455" s="12" t="s">
        <v>3164</v>
      </c>
      <c r="C5455" s="13" t="s">
        <v>3165</v>
      </c>
      <c r="D5455" s="13" t="s">
        <v>44</v>
      </c>
      <c r="E5455" s="12" t="s">
        <v>35</v>
      </c>
      <c r="F5455" s="14">
        <v>139000</v>
      </c>
      <c r="G5455" s="14">
        <v>113000</v>
      </c>
      <c r="H5455" s="13" t="s">
        <v>8373</v>
      </c>
      <c r="I5455" s="40" t="s">
        <v>18</v>
      </c>
      <c r="J5455" s="40" t="str">
        <f>HYPERLINK("https://stock.pstatic.net/stock-research/company/39/20260205_company_296715000.pdf","PDF")</f>
        <v>PDF</v>
      </c>
      <c r="K5455" s="12" t="s">
        <v>8374</v>
      </c>
      <c r="L5455" s="20">
        <v>0.23008849557522121</v>
      </c>
    </row>
    <row r="5456" spans="1:12" x14ac:dyDescent="0.45">
      <c r="A5456" s="12" t="s">
        <v>8197</v>
      </c>
      <c r="B5456" s="12" t="s">
        <v>2777</v>
      </c>
      <c r="C5456" s="13" t="s">
        <v>2778</v>
      </c>
      <c r="D5456" s="13" t="s">
        <v>44</v>
      </c>
      <c r="E5456" s="12" t="s">
        <v>45</v>
      </c>
      <c r="F5456" s="14">
        <v>500000</v>
      </c>
      <c r="G5456" s="14">
        <v>447000</v>
      </c>
      <c r="H5456" s="13" t="s">
        <v>8375</v>
      </c>
      <c r="I5456" s="40" t="s">
        <v>18</v>
      </c>
      <c r="J5456" s="40" t="str">
        <f>HYPERLINK("https://stock.pstatic.net/stock-research/company/39/20260205_company_670405000.pdf","PDF")</f>
        <v>PDF</v>
      </c>
      <c r="K5456" s="12" t="s">
        <v>8376</v>
      </c>
      <c r="L5456" s="20">
        <v>0.11856823266219239</v>
      </c>
    </row>
    <row r="5457" spans="1:12" x14ac:dyDescent="0.45">
      <c r="A5457" s="12" t="s">
        <v>8197</v>
      </c>
      <c r="B5457" s="12" t="s">
        <v>1912</v>
      </c>
      <c r="C5457" s="13" t="s">
        <v>7834</v>
      </c>
      <c r="D5457" s="13" t="s">
        <v>15</v>
      </c>
      <c r="E5457" s="12" t="s">
        <v>50</v>
      </c>
      <c r="F5457" s="13"/>
      <c r="G5457" s="14">
        <v>160900</v>
      </c>
      <c r="H5457" s="13" t="s">
        <v>8377</v>
      </c>
      <c r="I5457" s="40" t="s">
        <v>18</v>
      </c>
      <c r="J5457" s="40" t="str">
        <f>HYPERLINK("https://stock.pstatic.net/stock-research/company/56/20260205_company_112262000.pdf","PDF")</f>
        <v>PDF</v>
      </c>
      <c r="K5457" s="12" t="s">
        <v>8378</v>
      </c>
    </row>
    <row r="5458" spans="1:12" x14ac:dyDescent="0.45">
      <c r="A5458" s="12" t="s">
        <v>8197</v>
      </c>
      <c r="B5458" s="12" t="s">
        <v>2040</v>
      </c>
      <c r="C5458" s="13" t="s">
        <v>2041</v>
      </c>
      <c r="D5458" s="13" t="s">
        <v>15</v>
      </c>
      <c r="E5458" s="12" t="s">
        <v>385</v>
      </c>
      <c r="F5458" s="14">
        <v>89000</v>
      </c>
      <c r="G5458" s="14">
        <v>85400</v>
      </c>
      <c r="H5458" s="13" t="s">
        <v>8379</v>
      </c>
      <c r="I5458" s="40" t="s">
        <v>18</v>
      </c>
      <c r="J5458" s="40" t="str">
        <f>HYPERLINK("https://m.stock.naver.com/research/company/89871","PDF")</f>
        <v>PDF</v>
      </c>
      <c r="K5458" s="12" t="s">
        <v>8380</v>
      </c>
      <c r="L5458" s="20">
        <v>4.2154566744730677E-2</v>
      </c>
    </row>
    <row r="5459" spans="1:12" x14ac:dyDescent="0.45">
      <c r="A5459" s="12" t="s">
        <v>8197</v>
      </c>
      <c r="B5459" s="12" t="s">
        <v>495</v>
      </c>
      <c r="C5459" s="13" t="s">
        <v>496</v>
      </c>
      <c r="D5459" s="13" t="s">
        <v>15</v>
      </c>
      <c r="E5459" s="12" t="s">
        <v>16</v>
      </c>
      <c r="F5459" s="14">
        <v>350000</v>
      </c>
      <c r="G5459" s="14">
        <v>264000</v>
      </c>
      <c r="H5459" s="13" t="s">
        <v>8381</v>
      </c>
      <c r="I5459" s="40" t="s">
        <v>18</v>
      </c>
      <c r="J5459" s="40" t="str">
        <f>HYPERLINK("https://stock.pstatic.net/stock-research/company/56/20260205_company_560246000.pdf","PDF")</f>
        <v>PDF</v>
      </c>
      <c r="K5459" s="12" t="s">
        <v>8382</v>
      </c>
      <c r="L5459" s="20">
        <v>0.32575757575757569</v>
      </c>
    </row>
    <row r="5460" spans="1:12" x14ac:dyDescent="0.45">
      <c r="A5460" s="12" t="s">
        <v>8197</v>
      </c>
      <c r="B5460" s="12" t="s">
        <v>1184</v>
      </c>
      <c r="C5460" s="13" t="s">
        <v>1185</v>
      </c>
      <c r="D5460" s="13" t="s">
        <v>53</v>
      </c>
      <c r="E5460" s="12" t="s">
        <v>16</v>
      </c>
      <c r="F5460" s="14">
        <v>27000</v>
      </c>
      <c r="G5460" s="14">
        <v>23550</v>
      </c>
      <c r="H5460" s="13" t="s">
        <v>8383</v>
      </c>
      <c r="I5460" s="40" t="s">
        <v>18</v>
      </c>
      <c r="J5460" s="40" t="str">
        <f>HYPERLINK("https://stock.pstatic.net/stock-research/company/40/20260205_company_578169000.pdf","PDF")</f>
        <v>PDF</v>
      </c>
      <c r="K5460" s="12" t="s">
        <v>8384</v>
      </c>
      <c r="L5460" s="20">
        <v>0.1464968152866242</v>
      </c>
    </row>
    <row r="5461" spans="1:12" x14ac:dyDescent="0.45">
      <c r="A5461" s="12" t="s">
        <v>8197</v>
      </c>
      <c r="B5461" s="12" t="s">
        <v>2382</v>
      </c>
      <c r="C5461" s="13" t="s">
        <v>2383</v>
      </c>
      <c r="D5461" s="13" t="s">
        <v>53</v>
      </c>
      <c r="E5461" s="12" t="s">
        <v>16</v>
      </c>
      <c r="F5461" s="14">
        <v>76000</v>
      </c>
      <c r="G5461" s="14">
        <v>55200</v>
      </c>
      <c r="H5461" s="13" t="s">
        <v>8385</v>
      </c>
      <c r="I5461" s="40" t="s">
        <v>18</v>
      </c>
      <c r="J5461" s="40" t="str">
        <f>HYPERLINK("https://stock.pstatic.net/stock-research/company/40/20260205_company_517121000.pdf","PDF")</f>
        <v>PDF</v>
      </c>
      <c r="K5461" s="12" t="s">
        <v>8386</v>
      </c>
      <c r="L5461" s="20">
        <v>0.37681159420289861</v>
      </c>
    </row>
    <row r="5462" spans="1:12" x14ac:dyDescent="0.45">
      <c r="A5462" s="12" t="s">
        <v>8197</v>
      </c>
      <c r="B5462" s="12" t="s">
        <v>8387</v>
      </c>
      <c r="C5462" s="13" t="s">
        <v>8388</v>
      </c>
      <c r="D5462" s="13" t="s">
        <v>15</v>
      </c>
      <c r="E5462" s="12" t="s">
        <v>50</v>
      </c>
      <c r="F5462" s="13"/>
      <c r="G5462" s="14">
        <v>25650</v>
      </c>
      <c r="H5462" s="13" t="s">
        <v>8389</v>
      </c>
      <c r="I5462" s="40" t="s">
        <v>18</v>
      </c>
      <c r="J5462" s="40" t="str">
        <f>HYPERLINK("https://m.stock.naver.com/research/company/89867","PDF")</f>
        <v>PDF</v>
      </c>
      <c r="K5462" s="12" t="s">
        <v>8390</v>
      </c>
    </row>
    <row r="5463" spans="1:12" x14ac:dyDescent="0.45">
      <c r="A5463" s="12" t="s">
        <v>8197</v>
      </c>
      <c r="B5463" s="12" t="s">
        <v>174</v>
      </c>
      <c r="C5463" s="13" t="s">
        <v>44</v>
      </c>
      <c r="D5463" s="13" t="s">
        <v>15</v>
      </c>
      <c r="E5463" s="12" t="s">
        <v>385</v>
      </c>
      <c r="F5463" s="14">
        <v>466000</v>
      </c>
      <c r="G5463" s="14">
        <v>455000</v>
      </c>
      <c r="H5463" s="13" t="s">
        <v>8391</v>
      </c>
      <c r="I5463" s="40" t="s">
        <v>18</v>
      </c>
      <c r="J5463" s="40" t="str">
        <f>HYPERLINK("https://m.stock.naver.com/research/company/89866","PDF")</f>
        <v>PDF</v>
      </c>
      <c r="K5463" s="12" t="s">
        <v>8392</v>
      </c>
      <c r="L5463" s="20">
        <v>2.417582417582418E-2</v>
      </c>
    </row>
    <row r="5464" spans="1:12" x14ac:dyDescent="0.45">
      <c r="A5464" s="12" t="s">
        <v>8393</v>
      </c>
      <c r="B5464" s="12" t="s">
        <v>174</v>
      </c>
      <c r="C5464" s="13" t="s">
        <v>44</v>
      </c>
      <c r="D5464" s="13" t="s">
        <v>65</v>
      </c>
      <c r="E5464" s="12" t="s">
        <v>35</v>
      </c>
      <c r="F5464" s="13"/>
      <c r="G5464" s="14">
        <v>455000</v>
      </c>
      <c r="H5464" s="13" t="s">
        <v>7556</v>
      </c>
      <c r="I5464" s="40" t="s">
        <v>18</v>
      </c>
      <c r="J5464" s="40" t="str">
        <f>HYPERLINK("https://stock.pstatic.net/stock-research/company/57/20260204_company_284451000.pdf","PDF")</f>
        <v>PDF</v>
      </c>
      <c r="K5464" s="12" t="s">
        <v>8394</v>
      </c>
    </row>
    <row r="5465" spans="1:12" x14ac:dyDescent="0.45">
      <c r="A5465" s="12" t="s">
        <v>8393</v>
      </c>
      <c r="B5465" s="12" t="s">
        <v>1061</v>
      </c>
      <c r="C5465" s="13" t="s">
        <v>1062</v>
      </c>
      <c r="D5465" s="13" t="s">
        <v>15</v>
      </c>
      <c r="E5465" s="12" t="s">
        <v>50</v>
      </c>
      <c r="F5465" s="13"/>
      <c r="G5465" s="14">
        <v>18310</v>
      </c>
      <c r="H5465" s="13" t="s">
        <v>8395</v>
      </c>
      <c r="I5465" s="40" t="s">
        <v>18</v>
      </c>
      <c r="J5465" s="40" t="str">
        <f>HYPERLINK("https://stock.pstatic.net/stock-research/company/56/20260204_company_367011000.pdf","PDF")</f>
        <v>PDF</v>
      </c>
      <c r="K5465" s="12" t="s">
        <v>8396</v>
      </c>
    </row>
    <row r="5466" spans="1:12" x14ac:dyDescent="0.45">
      <c r="A5466" s="12" t="s">
        <v>8393</v>
      </c>
      <c r="B5466" s="12" t="s">
        <v>2960</v>
      </c>
      <c r="C5466" s="13" t="s">
        <v>2961</v>
      </c>
      <c r="D5466" s="13" t="s">
        <v>57</v>
      </c>
      <c r="E5466" s="12" t="s">
        <v>35</v>
      </c>
      <c r="F5466" s="14">
        <v>70000</v>
      </c>
      <c r="G5466" s="14">
        <v>46950</v>
      </c>
      <c r="H5466" s="13" t="s">
        <v>8397</v>
      </c>
      <c r="I5466" s="40" t="s">
        <v>18</v>
      </c>
      <c r="J5466" s="40" t="str">
        <f>HYPERLINK("https://m.stock.naver.com/research/company/89863","PDF")</f>
        <v>PDF</v>
      </c>
      <c r="K5466" s="12" t="s">
        <v>8398</v>
      </c>
      <c r="L5466" s="20">
        <v>0.49094781682641109</v>
      </c>
    </row>
    <row r="5467" spans="1:12" x14ac:dyDescent="0.45">
      <c r="A5467" s="12" t="s">
        <v>8393</v>
      </c>
      <c r="B5467" s="12" t="s">
        <v>1602</v>
      </c>
      <c r="C5467" s="13" t="s">
        <v>1603</v>
      </c>
      <c r="D5467" s="13" t="s">
        <v>276</v>
      </c>
      <c r="E5467" s="12" t="s">
        <v>16</v>
      </c>
      <c r="F5467" s="14">
        <v>60000</v>
      </c>
      <c r="G5467" s="14">
        <v>41950</v>
      </c>
      <c r="H5467" s="13" t="s">
        <v>8399</v>
      </c>
      <c r="I5467" s="40" t="s">
        <v>18</v>
      </c>
      <c r="J5467" s="40" t="str">
        <f>HYPERLINK("https://m.stock.naver.com/research/company/89862","PDF")</f>
        <v>PDF</v>
      </c>
      <c r="K5467" s="12" t="s">
        <v>8400</v>
      </c>
      <c r="L5467" s="20">
        <v>0.43027413587604291</v>
      </c>
    </row>
    <row r="5468" spans="1:12" x14ac:dyDescent="0.45">
      <c r="A5468" s="12" t="s">
        <v>8393</v>
      </c>
      <c r="B5468" s="12" t="s">
        <v>3230</v>
      </c>
      <c r="C5468" s="13" t="s">
        <v>3231</v>
      </c>
      <c r="D5468" s="13" t="s">
        <v>60</v>
      </c>
      <c r="E5468" s="12" t="s">
        <v>35</v>
      </c>
      <c r="F5468" s="14">
        <v>3300000</v>
      </c>
      <c r="G5468" s="14">
        <v>2367000</v>
      </c>
      <c r="H5468" s="13" t="s">
        <v>8401</v>
      </c>
      <c r="I5468" s="40" t="s">
        <v>18</v>
      </c>
      <c r="J5468" s="40" t="str">
        <f>HYPERLINK("https://stock.pstatic.net/stock-research/company/62/20260204_company_758742000.pdf","PDF")</f>
        <v>PDF</v>
      </c>
      <c r="K5468" s="12" t="s">
        <v>8402</v>
      </c>
      <c r="L5468" s="20">
        <v>0.39416983523447402</v>
      </c>
    </row>
    <row r="5469" spans="1:12" x14ac:dyDescent="0.45">
      <c r="A5469" s="12" t="s">
        <v>8393</v>
      </c>
      <c r="B5469" s="12" t="s">
        <v>2960</v>
      </c>
      <c r="C5469" s="13" t="s">
        <v>2961</v>
      </c>
      <c r="D5469" s="13" t="s">
        <v>60</v>
      </c>
      <c r="E5469" s="12" t="s">
        <v>35</v>
      </c>
      <c r="F5469" s="14">
        <v>60000</v>
      </c>
      <c r="G5469" s="14">
        <v>46950</v>
      </c>
      <c r="H5469" s="13" t="s">
        <v>8403</v>
      </c>
      <c r="I5469" s="40" t="s">
        <v>18</v>
      </c>
      <c r="J5469" s="40" t="str">
        <f>HYPERLINK("https://stock.pstatic.net/stock-research/company/62/20260204_company_396680000.pdf","PDF")</f>
        <v>PDF</v>
      </c>
      <c r="K5469" s="12" t="s">
        <v>8404</v>
      </c>
      <c r="L5469" s="20">
        <v>0.27795527156549521</v>
      </c>
    </row>
    <row r="5470" spans="1:12" x14ac:dyDescent="0.45">
      <c r="A5470" s="12" t="s">
        <v>8393</v>
      </c>
      <c r="B5470" s="12" t="s">
        <v>1741</v>
      </c>
      <c r="C5470" s="13" t="s">
        <v>1742</v>
      </c>
      <c r="D5470" s="13" t="s">
        <v>65</v>
      </c>
      <c r="E5470" s="12" t="s">
        <v>35</v>
      </c>
      <c r="F5470" s="14">
        <v>67000</v>
      </c>
      <c r="G5470" s="14">
        <v>46000</v>
      </c>
      <c r="H5470" s="13" t="s">
        <v>8405</v>
      </c>
      <c r="I5470" s="40" t="s">
        <v>18</v>
      </c>
      <c r="J5470" s="40" t="str">
        <f>HYPERLINK("https://m.stock.naver.com/research/company/89859","PDF")</f>
        <v>PDF</v>
      </c>
      <c r="K5470" s="12" t="s">
        <v>8406</v>
      </c>
      <c r="L5470" s="20">
        <v>0.45652173913043481</v>
      </c>
    </row>
    <row r="5471" spans="1:12" x14ac:dyDescent="0.45">
      <c r="A5471" s="12" t="s">
        <v>8393</v>
      </c>
      <c r="B5471" s="12" t="s">
        <v>3887</v>
      </c>
      <c r="C5471" s="13" t="s">
        <v>3888</v>
      </c>
      <c r="D5471" s="13" t="s">
        <v>65</v>
      </c>
      <c r="E5471" s="12" t="s">
        <v>35</v>
      </c>
      <c r="F5471" s="14">
        <v>40000</v>
      </c>
      <c r="G5471" s="14">
        <v>22100</v>
      </c>
      <c r="H5471" s="13" t="s">
        <v>8407</v>
      </c>
      <c r="I5471" s="40" t="s">
        <v>18</v>
      </c>
      <c r="J5471" s="40" t="str">
        <f>HYPERLINK("https://m.stock.naver.com/research/company/89858","PDF")</f>
        <v>PDF</v>
      </c>
      <c r="K5471" s="12" t="s">
        <v>8408</v>
      </c>
      <c r="L5471" s="20">
        <v>0.80995475113122173</v>
      </c>
    </row>
    <row r="5472" spans="1:12" x14ac:dyDescent="0.45">
      <c r="A5472" s="12" t="s">
        <v>8393</v>
      </c>
      <c r="B5472" s="12" t="s">
        <v>156</v>
      </c>
      <c r="C5472" s="13" t="s">
        <v>157</v>
      </c>
      <c r="D5472" s="13" t="s">
        <v>65</v>
      </c>
      <c r="E5472" s="12" t="s">
        <v>1738</v>
      </c>
      <c r="F5472" s="14">
        <v>4400</v>
      </c>
      <c r="G5472" s="14">
        <v>3390</v>
      </c>
      <c r="H5472" s="13" t="s">
        <v>8409</v>
      </c>
      <c r="I5472" s="40" t="s">
        <v>18</v>
      </c>
      <c r="J5472" s="40" t="str">
        <f>HYPERLINK("https://stock.pstatic.net/stock-research/company/57/20260204_company_719314000.pdf","PDF")</f>
        <v>PDF</v>
      </c>
      <c r="K5472" s="12" t="s">
        <v>8410</v>
      </c>
      <c r="L5472" s="20">
        <v>0.29793510324483768</v>
      </c>
    </row>
    <row r="5473" spans="1:12" x14ac:dyDescent="0.45">
      <c r="A5473" s="12" t="s">
        <v>8393</v>
      </c>
      <c r="B5473" s="12" t="s">
        <v>1128</v>
      </c>
      <c r="C5473" s="13" t="s">
        <v>1129</v>
      </c>
      <c r="D5473" s="13" t="s">
        <v>65</v>
      </c>
      <c r="E5473" s="12" t="s">
        <v>35</v>
      </c>
      <c r="F5473" s="14">
        <v>160000</v>
      </c>
      <c r="G5473" s="14">
        <v>118400</v>
      </c>
      <c r="H5473" s="13" t="s">
        <v>8411</v>
      </c>
      <c r="I5473" s="40" t="s">
        <v>18</v>
      </c>
      <c r="J5473" s="40" t="str">
        <f>HYPERLINK("https://m.stock.naver.com/research/company/89856","PDF")</f>
        <v>PDF</v>
      </c>
      <c r="K5473" s="12" t="s">
        <v>8412</v>
      </c>
      <c r="L5473" s="20">
        <v>0.35135135135135143</v>
      </c>
    </row>
    <row r="5474" spans="1:12" x14ac:dyDescent="0.45">
      <c r="A5474" s="12" t="s">
        <v>8393</v>
      </c>
      <c r="B5474" s="12" t="s">
        <v>156</v>
      </c>
      <c r="C5474" s="13" t="s">
        <v>157</v>
      </c>
      <c r="D5474" s="13" t="s">
        <v>15</v>
      </c>
      <c r="E5474" s="12" t="s">
        <v>385</v>
      </c>
      <c r="F5474" s="14">
        <v>3700</v>
      </c>
      <c r="G5474" s="14">
        <v>3390</v>
      </c>
      <c r="H5474" s="13" t="s">
        <v>8413</v>
      </c>
      <c r="I5474" s="40" t="s">
        <v>18</v>
      </c>
      <c r="J5474" s="40" t="str">
        <f>HYPERLINK("https://m.stock.naver.com/research/company/89855","PDF")</f>
        <v>PDF</v>
      </c>
      <c r="K5474" s="12" t="s">
        <v>8414</v>
      </c>
      <c r="L5474" s="20">
        <v>9.1445427728613568E-2</v>
      </c>
    </row>
    <row r="5475" spans="1:12" x14ac:dyDescent="0.45">
      <c r="A5475" s="12" t="s">
        <v>8393</v>
      </c>
      <c r="B5475" s="12" t="s">
        <v>2960</v>
      </c>
      <c r="C5475" s="13" t="s">
        <v>2961</v>
      </c>
      <c r="D5475" s="13" t="s">
        <v>15</v>
      </c>
      <c r="E5475" s="12" t="s">
        <v>16</v>
      </c>
      <c r="F5475" s="14">
        <v>60000</v>
      </c>
      <c r="G5475" s="14">
        <v>46950</v>
      </c>
      <c r="H5475" s="13" t="s">
        <v>8415</v>
      </c>
      <c r="I5475" s="40" t="s">
        <v>18</v>
      </c>
      <c r="J5475" s="40" t="str">
        <f>HYPERLINK("https://stock.pstatic.net/stock-research/company/56/20260204_company_371883000.pdf","PDF")</f>
        <v>PDF</v>
      </c>
      <c r="K5475" s="12" t="s">
        <v>8416</v>
      </c>
      <c r="L5475" s="20">
        <v>0.27795527156549521</v>
      </c>
    </row>
    <row r="5476" spans="1:12" x14ac:dyDescent="0.45">
      <c r="A5476" s="12" t="s">
        <v>8393</v>
      </c>
      <c r="B5476" s="12" t="s">
        <v>5767</v>
      </c>
      <c r="C5476" s="13" t="s">
        <v>5768</v>
      </c>
      <c r="D5476" s="13" t="s">
        <v>83</v>
      </c>
      <c r="E5476" s="12" t="s">
        <v>35</v>
      </c>
      <c r="F5476" s="14">
        <v>49000</v>
      </c>
      <c r="G5476" s="14">
        <v>35100</v>
      </c>
      <c r="H5476" s="13" t="s">
        <v>8417</v>
      </c>
      <c r="I5476" s="40" t="s">
        <v>18</v>
      </c>
      <c r="J5476" s="40" t="str">
        <f>HYPERLINK("https://stock.pstatic.net/stock-research/company/15/20260204_company_250032000.pdf","PDF")</f>
        <v>PDF</v>
      </c>
      <c r="K5476" s="12" t="s">
        <v>8418</v>
      </c>
      <c r="L5476" s="20">
        <v>0.39601139601139601</v>
      </c>
    </row>
    <row r="5477" spans="1:12" x14ac:dyDescent="0.45">
      <c r="A5477" s="12" t="s">
        <v>8393</v>
      </c>
      <c r="B5477" s="12" t="s">
        <v>2286</v>
      </c>
      <c r="C5477" s="13" t="s">
        <v>2287</v>
      </c>
      <c r="D5477" s="13" t="s">
        <v>83</v>
      </c>
      <c r="E5477" s="12" t="s">
        <v>35</v>
      </c>
      <c r="F5477" s="14">
        <v>7000</v>
      </c>
      <c r="G5477" s="14">
        <v>5980</v>
      </c>
      <c r="H5477" s="13" t="s">
        <v>8419</v>
      </c>
      <c r="I5477" s="40" t="s">
        <v>18</v>
      </c>
      <c r="J5477" s="40" t="str">
        <f>HYPERLINK("https://m.stock.naver.com/research/company/89852","PDF")</f>
        <v>PDF</v>
      </c>
      <c r="K5477" s="12" t="s">
        <v>8420</v>
      </c>
      <c r="L5477" s="20">
        <v>0.1705685618729097</v>
      </c>
    </row>
    <row r="5478" spans="1:12" x14ac:dyDescent="0.45">
      <c r="A5478" s="12" t="s">
        <v>8393</v>
      </c>
      <c r="B5478" s="12" t="s">
        <v>156</v>
      </c>
      <c r="C5478" s="13" t="s">
        <v>157</v>
      </c>
      <c r="D5478" s="13" t="s">
        <v>83</v>
      </c>
      <c r="E5478" s="12" t="s">
        <v>35</v>
      </c>
      <c r="F5478" s="14">
        <v>4600</v>
      </c>
      <c r="G5478" s="14">
        <v>3390</v>
      </c>
      <c r="H5478" s="13" t="s">
        <v>8421</v>
      </c>
      <c r="I5478" s="40" t="s">
        <v>18</v>
      </c>
      <c r="J5478" s="40" t="str">
        <f>HYPERLINK("https://m.stock.naver.com/research/company/89851","PDF")</f>
        <v>PDF</v>
      </c>
      <c r="K5478" s="12" t="s">
        <v>8422</v>
      </c>
      <c r="L5478" s="20">
        <v>0.35693215339233042</v>
      </c>
    </row>
    <row r="5479" spans="1:12" x14ac:dyDescent="0.45">
      <c r="A5479" s="12" t="s">
        <v>8393</v>
      </c>
      <c r="B5479" s="12" t="s">
        <v>1849</v>
      </c>
      <c r="C5479" s="13" t="s">
        <v>1850</v>
      </c>
      <c r="D5479" s="13" t="s">
        <v>83</v>
      </c>
      <c r="E5479" s="12" t="s">
        <v>35</v>
      </c>
      <c r="F5479" s="14">
        <v>27000</v>
      </c>
      <c r="G5479" s="14">
        <v>18810</v>
      </c>
      <c r="H5479" s="13" t="s">
        <v>8423</v>
      </c>
      <c r="I5479" s="40" t="s">
        <v>18</v>
      </c>
      <c r="J5479" s="40" t="str">
        <f>HYPERLINK("https://m.stock.naver.com/research/company/89850","PDF")</f>
        <v>PDF</v>
      </c>
      <c r="K5479" s="12" t="s">
        <v>8424</v>
      </c>
      <c r="L5479" s="20">
        <v>0.4354066985645933</v>
      </c>
    </row>
    <row r="5480" spans="1:12" x14ac:dyDescent="0.45">
      <c r="A5480" s="12" t="s">
        <v>8393</v>
      </c>
      <c r="B5480" s="12" t="s">
        <v>2960</v>
      </c>
      <c r="C5480" s="13" t="s">
        <v>2961</v>
      </c>
      <c r="D5480" s="13" t="s">
        <v>83</v>
      </c>
      <c r="E5480" s="12" t="s">
        <v>35</v>
      </c>
      <c r="F5480" s="14">
        <v>60000</v>
      </c>
      <c r="G5480" s="14">
        <v>46950</v>
      </c>
      <c r="H5480" s="13" t="s">
        <v>8425</v>
      </c>
      <c r="I5480" s="40" t="s">
        <v>18</v>
      </c>
      <c r="J5480" s="40" t="str">
        <f>HYPERLINK("https://stock.pstatic.net/stock-research/company/15/20260204_company_929217000.pdf","PDF")</f>
        <v>PDF</v>
      </c>
      <c r="K5480" s="12" t="s">
        <v>8426</v>
      </c>
      <c r="L5480" s="20">
        <v>0.27795527156549521</v>
      </c>
    </row>
    <row r="5481" spans="1:12" x14ac:dyDescent="0.45">
      <c r="A5481" s="12" t="s">
        <v>8393</v>
      </c>
      <c r="B5481" s="12" t="s">
        <v>8427</v>
      </c>
      <c r="C5481" s="13" t="s">
        <v>8428</v>
      </c>
      <c r="D5481" s="13" t="s">
        <v>179</v>
      </c>
      <c r="E5481" s="12" t="s">
        <v>50</v>
      </c>
      <c r="F5481" s="13"/>
      <c r="G5481" s="14">
        <v>28550</v>
      </c>
      <c r="H5481" s="13" t="s">
        <v>8429</v>
      </c>
      <c r="I5481" s="40" t="s">
        <v>18</v>
      </c>
      <c r="J5481" s="40" t="str">
        <f>HYPERLINK("https://m.stock.naver.com/research/company/89848","PDF")</f>
        <v>PDF</v>
      </c>
      <c r="K5481" s="12" t="s">
        <v>8430</v>
      </c>
    </row>
    <row r="5482" spans="1:12" x14ac:dyDescent="0.45">
      <c r="A5482" s="12" t="s">
        <v>8393</v>
      </c>
      <c r="B5482" s="12" t="s">
        <v>1765</v>
      </c>
      <c r="C5482" s="13" t="s">
        <v>1766</v>
      </c>
      <c r="D5482" s="13" t="s">
        <v>179</v>
      </c>
      <c r="E5482" s="12" t="s">
        <v>16</v>
      </c>
      <c r="F5482" s="14">
        <v>200000</v>
      </c>
      <c r="G5482" s="14">
        <v>154000</v>
      </c>
      <c r="H5482" s="13" t="s">
        <v>8431</v>
      </c>
      <c r="I5482" s="40" t="s">
        <v>18</v>
      </c>
      <c r="J5482" s="40" t="str">
        <f>HYPERLINK("https://m.stock.naver.com/research/company/89847","PDF")</f>
        <v>PDF</v>
      </c>
      <c r="K5482" s="12" t="s">
        <v>8432</v>
      </c>
      <c r="L5482" s="20">
        <v>0.29870129870129869</v>
      </c>
    </row>
    <row r="5483" spans="1:12" x14ac:dyDescent="0.45">
      <c r="A5483" s="12" t="s">
        <v>8393</v>
      </c>
      <c r="B5483" s="12" t="s">
        <v>1602</v>
      </c>
      <c r="C5483" s="13" t="s">
        <v>1603</v>
      </c>
      <c r="D5483" s="13" t="s">
        <v>92</v>
      </c>
      <c r="E5483" s="12" t="s">
        <v>35</v>
      </c>
      <c r="F5483" s="14">
        <v>50000</v>
      </c>
      <c r="G5483" s="14">
        <v>41950</v>
      </c>
      <c r="H5483" s="13" t="s">
        <v>8433</v>
      </c>
      <c r="I5483" s="40" t="s">
        <v>18</v>
      </c>
      <c r="J5483" s="40" t="str">
        <f>HYPERLINK("https://m.stock.naver.com/research/company/89846","PDF")</f>
        <v>PDF</v>
      </c>
      <c r="K5483" s="12" t="s">
        <v>8434</v>
      </c>
      <c r="L5483" s="20">
        <v>0.19189511323003569</v>
      </c>
    </row>
    <row r="5484" spans="1:12" x14ac:dyDescent="0.45">
      <c r="A5484" s="12" t="s">
        <v>8393</v>
      </c>
      <c r="B5484" s="12" t="s">
        <v>442</v>
      </c>
      <c r="C5484" s="13" t="s">
        <v>443</v>
      </c>
      <c r="D5484" s="13" t="s">
        <v>92</v>
      </c>
      <c r="E5484" s="12" t="s">
        <v>35</v>
      </c>
      <c r="F5484" s="14">
        <v>26000</v>
      </c>
      <c r="G5484" s="14">
        <v>18900</v>
      </c>
      <c r="H5484" s="13" t="s">
        <v>8435</v>
      </c>
      <c r="I5484" s="40" t="s">
        <v>18</v>
      </c>
      <c r="J5484" s="40" t="str">
        <f>HYPERLINK("https://m.stock.naver.com/research/company/89845","PDF")</f>
        <v>PDF</v>
      </c>
      <c r="K5484" s="12" t="s">
        <v>8436</v>
      </c>
      <c r="L5484" s="20">
        <v>0.37566137566137559</v>
      </c>
    </row>
    <row r="5485" spans="1:12" x14ac:dyDescent="0.45">
      <c r="A5485" s="12" t="s">
        <v>8393</v>
      </c>
      <c r="B5485" s="12" t="s">
        <v>156</v>
      </c>
      <c r="C5485" s="13" t="s">
        <v>157</v>
      </c>
      <c r="D5485" s="13" t="s">
        <v>92</v>
      </c>
      <c r="E5485" s="12" t="s">
        <v>35</v>
      </c>
      <c r="F5485" s="14">
        <v>5250</v>
      </c>
      <c r="G5485" s="14">
        <v>3385</v>
      </c>
      <c r="H5485" s="13" t="s">
        <v>8437</v>
      </c>
      <c r="I5485" s="40" t="s">
        <v>18</v>
      </c>
      <c r="J5485" s="40" t="str">
        <f>HYPERLINK("https://m.stock.naver.com/research/company/89844","PDF")</f>
        <v>PDF</v>
      </c>
      <c r="K5485" s="12" t="s">
        <v>8438</v>
      </c>
      <c r="L5485" s="20">
        <v>0.55096011816838997</v>
      </c>
    </row>
    <row r="5486" spans="1:12" x14ac:dyDescent="0.45">
      <c r="A5486" s="12" t="s">
        <v>8393</v>
      </c>
      <c r="B5486" s="12" t="s">
        <v>3395</v>
      </c>
      <c r="C5486" s="13" t="s">
        <v>3396</v>
      </c>
      <c r="D5486" s="13" t="s">
        <v>23</v>
      </c>
      <c r="E5486" s="12" t="s">
        <v>16</v>
      </c>
      <c r="F5486" s="14">
        <v>40000</v>
      </c>
      <c r="G5486" s="14">
        <v>32550</v>
      </c>
      <c r="H5486" s="13" t="s">
        <v>8439</v>
      </c>
      <c r="I5486" s="40" t="s">
        <v>18</v>
      </c>
      <c r="J5486" s="40" t="str">
        <f>HYPERLINK("https://m.stock.naver.com/research/company/89843","PDF")</f>
        <v>PDF</v>
      </c>
      <c r="K5486" s="12" t="s">
        <v>8440</v>
      </c>
      <c r="L5486" s="20">
        <v>0.22887864823348689</v>
      </c>
    </row>
    <row r="5487" spans="1:12" x14ac:dyDescent="0.45">
      <c r="A5487" s="12" t="s">
        <v>8393</v>
      </c>
      <c r="B5487" s="12" t="s">
        <v>1602</v>
      </c>
      <c r="C5487" s="13" t="s">
        <v>1603</v>
      </c>
      <c r="D5487" s="13" t="s">
        <v>44</v>
      </c>
      <c r="E5487" s="12" t="s">
        <v>35</v>
      </c>
      <c r="F5487" s="14">
        <v>51000</v>
      </c>
      <c r="G5487" s="14">
        <v>41950</v>
      </c>
      <c r="H5487" s="13" t="s">
        <v>8441</v>
      </c>
      <c r="I5487" s="40" t="s">
        <v>18</v>
      </c>
      <c r="J5487" s="40" t="str">
        <f>HYPERLINK("https://stock.pstatic.net/stock-research/company/39/20260204_company_233880000.pdf","PDF")</f>
        <v>PDF</v>
      </c>
      <c r="K5487" s="12" t="s">
        <v>8442</v>
      </c>
      <c r="L5487" s="20">
        <v>0.2157330154946365</v>
      </c>
    </row>
    <row r="5488" spans="1:12" x14ac:dyDescent="0.45">
      <c r="A5488" s="12" t="s">
        <v>8393</v>
      </c>
      <c r="B5488" s="12" t="s">
        <v>868</v>
      </c>
      <c r="C5488" s="13" t="s">
        <v>869</v>
      </c>
      <c r="D5488" s="13" t="s">
        <v>53</v>
      </c>
      <c r="E5488" s="12" t="s">
        <v>16</v>
      </c>
      <c r="F5488" s="14">
        <v>57000</v>
      </c>
      <c r="G5488" s="14">
        <v>39050</v>
      </c>
      <c r="H5488" s="13" t="s">
        <v>8443</v>
      </c>
      <c r="I5488" s="40" t="s">
        <v>18</v>
      </c>
      <c r="J5488" s="40" t="str">
        <f>HYPERLINK("https://stock.pstatic.net/stock-research/company/40/20260204_company_303248000.pdf","PDF")</f>
        <v>PDF</v>
      </c>
      <c r="K5488" s="12" t="s">
        <v>8444</v>
      </c>
      <c r="L5488" s="20">
        <v>0.45966709346991041</v>
      </c>
    </row>
    <row r="5489" spans="1:12" x14ac:dyDescent="0.45">
      <c r="A5489" s="12" t="s">
        <v>8393</v>
      </c>
      <c r="B5489" s="12" t="s">
        <v>3584</v>
      </c>
      <c r="C5489" s="13" t="s">
        <v>3585</v>
      </c>
      <c r="D5489" s="13" t="s">
        <v>23</v>
      </c>
      <c r="E5489" s="12" t="s">
        <v>16</v>
      </c>
      <c r="F5489" s="14">
        <v>26000</v>
      </c>
      <c r="G5489" s="14">
        <v>20900</v>
      </c>
      <c r="H5489" s="13" t="s">
        <v>8445</v>
      </c>
      <c r="I5489" s="40" t="s">
        <v>18</v>
      </c>
      <c r="J5489" s="40" t="str">
        <f>HYPERLINK("https://stock.pstatic.net/stock-research/company/21/20260204_company_297837000.pdf","PDF")</f>
        <v>PDF</v>
      </c>
      <c r="K5489" s="12" t="s">
        <v>8446</v>
      </c>
      <c r="L5489" s="20">
        <v>0.24401913875598091</v>
      </c>
    </row>
    <row r="5490" spans="1:12" x14ac:dyDescent="0.45">
      <c r="A5490" s="12" t="s">
        <v>8393</v>
      </c>
      <c r="B5490" s="12" t="s">
        <v>1849</v>
      </c>
      <c r="C5490" s="13" t="s">
        <v>1850</v>
      </c>
      <c r="D5490" s="13" t="s">
        <v>92</v>
      </c>
      <c r="E5490" s="12" t="s">
        <v>35</v>
      </c>
      <c r="F5490" s="14">
        <v>26000</v>
      </c>
      <c r="G5490" s="14">
        <v>18810</v>
      </c>
      <c r="H5490" s="13" t="s">
        <v>8447</v>
      </c>
      <c r="I5490" s="40" t="s">
        <v>18</v>
      </c>
      <c r="J5490" s="40" t="str">
        <f>HYPERLINK("https://stock.pstatic.net/stock-research/company/63/20260204_company_673662000.pdf","PDF")</f>
        <v>PDF</v>
      </c>
      <c r="K5490" s="12" t="s">
        <v>8448</v>
      </c>
      <c r="L5490" s="20">
        <v>0.38224348750664539</v>
      </c>
    </row>
    <row r="5491" spans="1:12" x14ac:dyDescent="0.45">
      <c r="A5491" s="12" t="s">
        <v>8393</v>
      </c>
      <c r="B5491" s="12" t="s">
        <v>156</v>
      </c>
      <c r="C5491" s="13" t="s">
        <v>157</v>
      </c>
      <c r="D5491" s="13" t="s">
        <v>23</v>
      </c>
      <c r="E5491" s="12" t="s">
        <v>385</v>
      </c>
      <c r="F5491" s="13"/>
      <c r="G5491" s="14">
        <v>3390</v>
      </c>
      <c r="H5491" s="13" t="s">
        <v>8449</v>
      </c>
      <c r="I5491" s="40" t="s">
        <v>18</v>
      </c>
      <c r="J5491" s="40" t="str">
        <f>HYPERLINK("https://stock.pstatic.net/stock-research/company/21/20260204_company_891190000.pdf","PDF")</f>
        <v>PDF</v>
      </c>
      <c r="K5491" s="12" t="s">
        <v>8450</v>
      </c>
    </row>
    <row r="5492" spans="1:12" x14ac:dyDescent="0.45">
      <c r="A5492" s="12" t="s">
        <v>8393</v>
      </c>
      <c r="B5492" s="12" t="s">
        <v>1602</v>
      </c>
      <c r="C5492" s="13" t="s">
        <v>1603</v>
      </c>
      <c r="D5492" s="13" t="s">
        <v>179</v>
      </c>
      <c r="E5492" s="12" t="s">
        <v>16</v>
      </c>
      <c r="F5492" s="14">
        <v>58500</v>
      </c>
      <c r="G5492" s="14">
        <v>41950</v>
      </c>
      <c r="H5492" s="13" t="s">
        <v>8451</v>
      </c>
      <c r="I5492" s="40" t="s">
        <v>18</v>
      </c>
      <c r="J5492" s="40" t="str">
        <f>HYPERLINK("https://stock.pstatic.net/stock-research/company/64/20260204_company_108516000.pdf","PDF")</f>
        <v>PDF</v>
      </c>
      <c r="K5492" s="12" t="s">
        <v>8452</v>
      </c>
      <c r="L5492" s="20">
        <v>0.39451728247914192</v>
      </c>
    </row>
    <row r="5493" spans="1:12" x14ac:dyDescent="0.45">
      <c r="A5493" s="12" t="s">
        <v>8393</v>
      </c>
      <c r="B5493" s="12" t="s">
        <v>828</v>
      </c>
      <c r="C5493" s="13" t="s">
        <v>829</v>
      </c>
      <c r="D5493" s="13" t="s">
        <v>179</v>
      </c>
      <c r="E5493" s="12" t="s">
        <v>50</v>
      </c>
      <c r="F5493" s="13"/>
      <c r="G5493" s="14">
        <v>51900</v>
      </c>
      <c r="H5493" s="13" t="s">
        <v>8453</v>
      </c>
      <c r="I5493" s="40" t="s">
        <v>18</v>
      </c>
      <c r="J5493" s="40" t="str">
        <f>HYPERLINK("https://stock.pstatic.net/stock-research/company/64/20260204_company_540077000.pdf","PDF")</f>
        <v>PDF</v>
      </c>
      <c r="K5493" s="12" t="s">
        <v>8454</v>
      </c>
    </row>
    <row r="5494" spans="1:12" x14ac:dyDescent="0.45">
      <c r="A5494" s="12" t="s">
        <v>8393</v>
      </c>
      <c r="B5494" s="12" t="s">
        <v>6519</v>
      </c>
      <c r="C5494" s="13" t="s">
        <v>6520</v>
      </c>
      <c r="D5494" s="13" t="s">
        <v>44</v>
      </c>
      <c r="E5494" s="12" t="s">
        <v>50</v>
      </c>
      <c r="F5494" s="13"/>
      <c r="G5494" s="14">
        <v>8940</v>
      </c>
      <c r="H5494" s="13" t="s">
        <v>8455</v>
      </c>
      <c r="I5494" s="40" t="s">
        <v>18</v>
      </c>
      <c r="J5494" s="40" t="str">
        <f>HYPERLINK("https://stock.pstatic.net/stock-research/company/39/20260204_company_955180000.pdf","PDF")</f>
        <v>PDF</v>
      </c>
      <c r="K5494" s="12" t="s">
        <v>8456</v>
      </c>
    </row>
    <row r="5495" spans="1:12" x14ac:dyDescent="0.45">
      <c r="A5495" s="12" t="s">
        <v>8393</v>
      </c>
      <c r="B5495" s="12" t="s">
        <v>3308</v>
      </c>
      <c r="C5495" s="13" t="s">
        <v>3309</v>
      </c>
      <c r="D5495" s="13" t="s">
        <v>44</v>
      </c>
      <c r="E5495" s="12" t="s">
        <v>50</v>
      </c>
      <c r="F5495" s="13"/>
      <c r="G5495" s="14">
        <v>3750</v>
      </c>
      <c r="H5495" s="13" t="s">
        <v>8457</v>
      </c>
      <c r="I5495" s="40" t="s">
        <v>18</v>
      </c>
      <c r="J5495" s="40" t="str">
        <f>HYPERLINK("https://stock.pstatic.net/stock-research/company/39/20260204_company_747336000.pdf","PDF")</f>
        <v>PDF</v>
      </c>
      <c r="K5495" s="12" t="s">
        <v>8458</v>
      </c>
    </row>
    <row r="5496" spans="1:12" x14ac:dyDescent="0.45">
      <c r="A5496" s="12" t="s">
        <v>8393</v>
      </c>
      <c r="B5496" s="12" t="s">
        <v>2546</v>
      </c>
      <c r="C5496" s="13" t="s">
        <v>2547</v>
      </c>
      <c r="D5496" s="13" t="s">
        <v>44</v>
      </c>
      <c r="E5496" s="12" t="s">
        <v>50</v>
      </c>
      <c r="F5496" s="13"/>
      <c r="G5496" s="14">
        <v>53100</v>
      </c>
      <c r="H5496" s="13" t="s">
        <v>8459</v>
      </c>
      <c r="I5496" s="40" t="s">
        <v>18</v>
      </c>
      <c r="J5496" s="40" t="str">
        <f>HYPERLINK("https://stock.pstatic.net/stock-research/company/39/20260204_company_506636000.pdf","PDF")</f>
        <v>PDF</v>
      </c>
      <c r="K5496" s="12" t="s">
        <v>8460</v>
      </c>
    </row>
    <row r="5497" spans="1:12" x14ac:dyDescent="0.45">
      <c r="A5497" s="12" t="s">
        <v>8393</v>
      </c>
      <c r="B5497" s="12" t="s">
        <v>8461</v>
      </c>
      <c r="C5497" s="13" t="s">
        <v>8462</v>
      </c>
      <c r="D5497" s="13" t="s">
        <v>124</v>
      </c>
      <c r="E5497" s="12" t="s">
        <v>50</v>
      </c>
      <c r="F5497" s="13"/>
      <c r="G5497" s="13"/>
      <c r="H5497" s="13" t="s">
        <v>8463</v>
      </c>
      <c r="I5497" s="40" t="s">
        <v>18</v>
      </c>
      <c r="J5497" s="40" t="str">
        <f>HYPERLINK("https://stock.pstatic.net/stock-research/company/74/20260204_company_98995000.pdf","PDF")</f>
        <v>PDF</v>
      </c>
      <c r="K5497" s="12" t="s">
        <v>8464</v>
      </c>
    </row>
    <row r="5498" spans="1:12" x14ac:dyDescent="0.45">
      <c r="A5498" s="12" t="s">
        <v>8393</v>
      </c>
      <c r="B5498" s="12" t="s">
        <v>8465</v>
      </c>
      <c r="C5498" s="13" t="s">
        <v>8466</v>
      </c>
      <c r="D5498" s="13" t="s">
        <v>124</v>
      </c>
      <c r="E5498" s="12" t="s">
        <v>50</v>
      </c>
      <c r="F5498" s="13"/>
      <c r="G5498" s="13"/>
      <c r="H5498" s="13" t="s">
        <v>8467</v>
      </c>
      <c r="I5498" s="40" t="s">
        <v>18</v>
      </c>
      <c r="J5498" s="40" t="str">
        <f>HYPERLINK("https://stock.pstatic.net/stock-research/company/74/20260204_company_798492000.pdf","PDF")</f>
        <v>PDF</v>
      </c>
      <c r="K5498" s="12" t="s">
        <v>8468</v>
      </c>
    </row>
    <row r="5499" spans="1:12" x14ac:dyDescent="0.45">
      <c r="A5499" s="12" t="s">
        <v>8393</v>
      </c>
      <c r="B5499" s="12" t="s">
        <v>156</v>
      </c>
      <c r="C5499" s="13" t="s">
        <v>157</v>
      </c>
      <c r="D5499" s="13" t="s">
        <v>44</v>
      </c>
      <c r="E5499" s="12" t="s">
        <v>35</v>
      </c>
      <c r="F5499" s="14">
        <v>6000</v>
      </c>
      <c r="G5499" s="14">
        <v>3390</v>
      </c>
      <c r="H5499" s="13" t="s">
        <v>8469</v>
      </c>
      <c r="I5499" s="40" t="s">
        <v>18</v>
      </c>
      <c r="J5499" s="40" t="str">
        <f>HYPERLINK("https://stock.pstatic.net/stock-research/company/39/20260204_company_894743000.pdf","PDF")</f>
        <v>PDF</v>
      </c>
      <c r="K5499" s="12" t="s">
        <v>8470</v>
      </c>
      <c r="L5499" s="20">
        <v>0.76991150442477874</v>
      </c>
    </row>
    <row r="5500" spans="1:12" x14ac:dyDescent="0.45">
      <c r="A5500" s="12" t="s">
        <v>8393</v>
      </c>
      <c r="B5500" s="12" t="s">
        <v>2960</v>
      </c>
      <c r="C5500" s="13" t="s">
        <v>2961</v>
      </c>
      <c r="D5500" s="13" t="s">
        <v>53</v>
      </c>
      <c r="E5500" s="12" t="s">
        <v>16</v>
      </c>
      <c r="F5500" s="14">
        <v>64000</v>
      </c>
      <c r="G5500" s="14">
        <v>46950</v>
      </c>
      <c r="H5500" s="13" t="s">
        <v>8471</v>
      </c>
      <c r="I5500" s="40" t="s">
        <v>18</v>
      </c>
      <c r="J5500" s="40" t="str">
        <f>HYPERLINK("https://stock.pstatic.net/stock-research/company/40/20260204_company_652345000.pdf","PDF")</f>
        <v>PDF</v>
      </c>
      <c r="K5500" s="12" t="s">
        <v>8472</v>
      </c>
      <c r="L5500" s="20">
        <v>0.36315228966986163</v>
      </c>
    </row>
    <row r="5501" spans="1:12" x14ac:dyDescent="0.45">
      <c r="A5501" s="12" t="s">
        <v>8393</v>
      </c>
      <c r="B5501" s="12" t="s">
        <v>3395</v>
      </c>
      <c r="C5501" s="13" t="s">
        <v>3396</v>
      </c>
      <c r="D5501" s="13" t="s">
        <v>15</v>
      </c>
      <c r="E5501" s="12" t="s">
        <v>16</v>
      </c>
      <c r="F5501" s="14">
        <v>36000</v>
      </c>
      <c r="G5501" s="14">
        <v>32550</v>
      </c>
      <c r="H5501" s="13" t="s">
        <v>8473</v>
      </c>
      <c r="I5501" s="40" t="s">
        <v>18</v>
      </c>
      <c r="J5501" s="40" t="str">
        <f>HYPERLINK("https://stock.pstatic.net/stock-research/company/56/20260204_company_782404000.pdf","PDF")</f>
        <v>PDF</v>
      </c>
      <c r="K5501" s="12" t="s">
        <v>8474</v>
      </c>
      <c r="L5501" s="20">
        <v>0.10599078341013821</v>
      </c>
    </row>
    <row r="5502" spans="1:12" x14ac:dyDescent="0.45">
      <c r="A5502" s="12" t="s">
        <v>8393</v>
      </c>
      <c r="B5502" s="12" t="s">
        <v>398</v>
      </c>
      <c r="C5502" s="13" t="s">
        <v>399</v>
      </c>
      <c r="D5502" s="13" t="s">
        <v>15</v>
      </c>
      <c r="E5502" s="12" t="s">
        <v>16</v>
      </c>
      <c r="F5502" s="14">
        <v>250000</v>
      </c>
      <c r="G5502" s="14">
        <v>226500</v>
      </c>
      <c r="H5502" s="13" t="s">
        <v>8475</v>
      </c>
      <c r="I5502" s="40" t="s">
        <v>18</v>
      </c>
      <c r="J5502" s="40" t="str">
        <f>HYPERLINK("https://stock.pstatic.net/stock-research/company/56/20260204_company_450079000.pdf","PDF")</f>
        <v>PDF</v>
      </c>
      <c r="K5502" s="12" t="s">
        <v>8476</v>
      </c>
      <c r="L5502" s="20">
        <v>0.1037527593818985</v>
      </c>
    </row>
    <row r="5503" spans="1:12" x14ac:dyDescent="0.45">
      <c r="A5503" s="12" t="s">
        <v>8477</v>
      </c>
      <c r="B5503" s="12" t="s">
        <v>2369</v>
      </c>
      <c r="C5503" s="13" t="s">
        <v>2370</v>
      </c>
      <c r="D5503" s="13" t="s">
        <v>57</v>
      </c>
      <c r="E5503" s="12" t="s">
        <v>35</v>
      </c>
      <c r="F5503" s="14">
        <v>430000</v>
      </c>
      <c r="G5503" s="14">
        <v>356000</v>
      </c>
      <c r="H5503" s="13" t="s">
        <v>8478</v>
      </c>
      <c r="I5503" s="40" t="s">
        <v>18</v>
      </c>
      <c r="J5503" s="40" t="str">
        <f>HYPERLINK("https://stock.pstatic.net/stock-research/company/16/20260203_company_750783000.pdf","PDF")</f>
        <v>PDF</v>
      </c>
      <c r="K5503" s="12" t="s">
        <v>8479</v>
      </c>
      <c r="L5503" s="20">
        <v>0.20786516853932591</v>
      </c>
    </row>
    <row r="5504" spans="1:12" x14ac:dyDescent="0.45">
      <c r="A5504" s="12" t="s">
        <v>8477</v>
      </c>
      <c r="B5504" s="12" t="s">
        <v>2369</v>
      </c>
      <c r="C5504" s="13" t="s">
        <v>2370</v>
      </c>
      <c r="D5504" s="13" t="s">
        <v>276</v>
      </c>
      <c r="E5504" s="12" t="s">
        <v>16</v>
      </c>
      <c r="F5504" s="14">
        <v>450000</v>
      </c>
      <c r="G5504" s="14">
        <v>356000</v>
      </c>
      <c r="H5504" s="13" t="s">
        <v>8480</v>
      </c>
      <c r="I5504" s="40" t="s">
        <v>18</v>
      </c>
      <c r="J5504" s="40" t="str">
        <f>HYPERLINK("https://stock.pstatic.net/stock-research/company/66/20260203_company_392400000.pdf","PDF")</f>
        <v>PDF</v>
      </c>
      <c r="K5504" s="12" t="s">
        <v>8481</v>
      </c>
      <c r="L5504" s="20">
        <v>0.2640449438202247</v>
      </c>
    </row>
    <row r="5505" spans="1:12" x14ac:dyDescent="0.45">
      <c r="A5505" s="12" t="s">
        <v>8477</v>
      </c>
      <c r="B5505" s="12" t="s">
        <v>2369</v>
      </c>
      <c r="C5505" s="13" t="s">
        <v>2370</v>
      </c>
      <c r="D5505" s="13" t="s">
        <v>60</v>
      </c>
      <c r="E5505" s="12" t="s">
        <v>35</v>
      </c>
      <c r="F5505" s="14">
        <v>450000</v>
      </c>
      <c r="G5505" s="14">
        <v>356000</v>
      </c>
      <c r="H5505" s="13" t="s">
        <v>8482</v>
      </c>
      <c r="I5505" s="40" t="s">
        <v>18</v>
      </c>
      <c r="J5505" s="40" t="str">
        <f>HYPERLINK("https://stock.pstatic.net/stock-research/company/62/20260203_company_122935000.pdf","PDF")</f>
        <v>PDF</v>
      </c>
      <c r="K5505" s="12" t="s">
        <v>8483</v>
      </c>
      <c r="L5505" s="20">
        <v>0.2640449438202247</v>
      </c>
    </row>
    <row r="5506" spans="1:12" x14ac:dyDescent="0.45">
      <c r="A5506" s="12" t="s">
        <v>8477</v>
      </c>
      <c r="B5506" s="12" t="s">
        <v>1781</v>
      </c>
      <c r="C5506" s="13" t="s">
        <v>1782</v>
      </c>
      <c r="D5506" s="13" t="s">
        <v>60</v>
      </c>
      <c r="E5506" s="12" t="s">
        <v>35</v>
      </c>
      <c r="F5506" s="14">
        <v>110000</v>
      </c>
      <c r="G5506" s="14">
        <v>96600</v>
      </c>
      <c r="H5506" s="13" t="s">
        <v>8484</v>
      </c>
      <c r="I5506" s="40" t="s">
        <v>18</v>
      </c>
      <c r="J5506" s="40" t="str">
        <f>HYPERLINK("https://stock.pstatic.net/stock-research/company/62/20260203_company_966755000.pdf","PDF")</f>
        <v>PDF</v>
      </c>
      <c r="K5506" s="12" t="s">
        <v>8485</v>
      </c>
      <c r="L5506" s="20">
        <v>0.13871635610766039</v>
      </c>
    </row>
    <row r="5507" spans="1:12" x14ac:dyDescent="0.45">
      <c r="A5507" s="12" t="s">
        <v>8477</v>
      </c>
      <c r="B5507" s="12" t="s">
        <v>2369</v>
      </c>
      <c r="C5507" s="13" t="s">
        <v>2370</v>
      </c>
      <c r="D5507" s="13" t="s">
        <v>65</v>
      </c>
      <c r="E5507" s="12" t="s">
        <v>35</v>
      </c>
      <c r="F5507" s="14">
        <v>420000</v>
      </c>
      <c r="G5507" s="14">
        <v>356000</v>
      </c>
      <c r="H5507" s="13" t="s">
        <v>8486</v>
      </c>
      <c r="I5507" s="40" t="s">
        <v>18</v>
      </c>
      <c r="J5507" s="40" t="str">
        <f>HYPERLINK("https://stock.pstatic.net/stock-research/company/57/20260203_company_764089000.pdf","PDF")</f>
        <v>PDF</v>
      </c>
      <c r="K5507" s="12" t="s">
        <v>8487</v>
      </c>
      <c r="L5507" s="20">
        <v>0.1797752808988764</v>
      </c>
    </row>
    <row r="5508" spans="1:12" x14ac:dyDescent="0.45">
      <c r="A5508" s="12" t="s">
        <v>8477</v>
      </c>
      <c r="B5508" s="12" t="s">
        <v>780</v>
      </c>
      <c r="C5508" s="13" t="s">
        <v>781</v>
      </c>
      <c r="D5508" s="13" t="s">
        <v>65</v>
      </c>
      <c r="E5508" s="12" t="s">
        <v>35</v>
      </c>
      <c r="F5508" s="14">
        <v>15000</v>
      </c>
      <c r="G5508" s="14">
        <v>8320</v>
      </c>
      <c r="H5508" s="13" t="s">
        <v>8488</v>
      </c>
      <c r="I5508" s="40" t="s">
        <v>18</v>
      </c>
      <c r="J5508" s="40" t="str">
        <f>HYPERLINK("https://stock.pstatic.net/stock-research/company/57/20260203_company_30348000.pdf","PDF")</f>
        <v>PDF</v>
      </c>
      <c r="K5508" s="12" t="s">
        <v>8489</v>
      </c>
      <c r="L5508" s="20">
        <v>0.80288461538461542</v>
      </c>
    </row>
    <row r="5509" spans="1:12" x14ac:dyDescent="0.45">
      <c r="A5509" s="12" t="s">
        <v>8477</v>
      </c>
      <c r="B5509" s="12" t="s">
        <v>281</v>
      </c>
      <c r="C5509" s="13" t="s">
        <v>282</v>
      </c>
      <c r="D5509" s="13" t="s">
        <v>65</v>
      </c>
      <c r="E5509" s="12" t="s">
        <v>35</v>
      </c>
      <c r="F5509" s="14">
        <v>35000</v>
      </c>
      <c r="G5509" s="14">
        <v>18070</v>
      </c>
      <c r="H5509" s="13" t="s">
        <v>8490</v>
      </c>
      <c r="I5509" s="40" t="s">
        <v>18</v>
      </c>
      <c r="J5509" s="40" t="str">
        <f>HYPERLINK("https://stock.pstatic.net/stock-research/company/57/20260203_company_519017000.pdf","PDF")</f>
        <v>PDF</v>
      </c>
      <c r="K5509" s="12" t="s">
        <v>8491</v>
      </c>
      <c r="L5509" s="20">
        <v>0.93691200885445491</v>
      </c>
    </row>
    <row r="5510" spans="1:12" x14ac:dyDescent="0.45">
      <c r="A5510" s="12" t="s">
        <v>8477</v>
      </c>
      <c r="B5510" s="12" t="s">
        <v>541</v>
      </c>
      <c r="C5510" s="13" t="s">
        <v>542</v>
      </c>
      <c r="D5510" s="13" t="s">
        <v>65</v>
      </c>
      <c r="E5510" s="12" t="s">
        <v>35</v>
      </c>
      <c r="F5510" s="14">
        <v>100000</v>
      </c>
      <c r="G5510" s="14">
        <v>69100</v>
      </c>
      <c r="H5510" s="13" t="s">
        <v>8492</v>
      </c>
      <c r="I5510" s="40" t="s">
        <v>18</v>
      </c>
      <c r="J5510" s="40" t="str">
        <f>HYPERLINK("https://stock.pstatic.net/stock-research/company/57/20260203_company_508958000.pdf","PDF")</f>
        <v>PDF</v>
      </c>
      <c r="K5510" s="12" t="s">
        <v>8493</v>
      </c>
      <c r="L5510" s="20">
        <v>0.447178002894356</v>
      </c>
    </row>
    <row r="5511" spans="1:12" x14ac:dyDescent="0.45">
      <c r="A5511" s="12" t="s">
        <v>8477</v>
      </c>
      <c r="B5511" s="12" t="s">
        <v>8494</v>
      </c>
      <c r="C5511" s="13" t="s">
        <v>8495</v>
      </c>
      <c r="D5511" s="13" t="s">
        <v>83</v>
      </c>
      <c r="E5511" s="12" t="s">
        <v>50</v>
      </c>
      <c r="F5511" s="13"/>
      <c r="G5511" s="14">
        <v>119000</v>
      </c>
      <c r="H5511" s="13" t="s">
        <v>8496</v>
      </c>
      <c r="I5511" s="40" t="s">
        <v>18</v>
      </c>
      <c r="J5511" s="40" t="str">
        <f>HYPERLINK("https://stock.pstatic.net/stock-research/company/15/20260203_company_373598000.pdf","PDF")</f>
        <v>PDF</v>
      </c>
      <c r="K5511" s="12" t="s">
        <v>8497</v>
      </c>
    </row>
    <row r="5512" spans="1:12" x14ac:dyDescent="0.45">
      <c r="A5512" s="12" t="s">
        <v>8477</v>
      </c>
      <c r="B5512" s="12" t="s">
        <v>3584</v>
      </c>
      <c r="C5512" s="13" t="s">
        <v>3585</v>
      </c>
      <c r="D5512" s="13" t="s">
        <v>83</v>
      </c>
      <c r="E5512" s="12" t="s">
        <v>35</v>
      </c>
      <c r="F5512" s="14">
        <v>27000</v>
      </c>
      <c r="G5512" s="14">
        <v>21100</v>
      </c>
      <c r="H5512" s="13" t="s">
        <v>8498</v>
      </c>
      <c r="I5512" s="40" t="s">
        <v>18</v>
      </c>
      <c r="J5512" s="40" t="str">
        <f>HYPERLINK("https://stock.pstatic.net/stock-research/company/15/20260203_company_390392000.pdf","PDF")</f>
        <v>PDF</v>
      </c>
      <c r="K5512" s="12" t="s">
        <v>8499</v>
      </c>
      <c r="L5512" s="20">
        <v>0.27962085308056872</v>
      </c>
    </row>
    <row r="5513" spans="1:12" x14ac:dyDescent="0.45">
      <c r="A5513" s="12" t="s">
        <v>8477</v>
      </c>
      <c r="B5513" s="12" t="s">
        <v>2369</v>
      </c>
      <c r="C5513" s="13" t="s">
        <v>2370</v>
      </c>
      <c r="D5513" s="13" t="s">
        <v>15</v>
      </c>
      <c r="E5513" s="12" t="s">
        <v>16</v>
      </c>
      <c r="F5513" s="14">
        <v>500000</v>
      </c>
      <c r="G5513" s="14">
        <v>356000</v>
      </c>
      <c r="H5513" s="13" t="s">
        <v>8500</v>
      </c>
      <c r="I5513" s="40" t="s">
        <v>18</v>
      </c>
      <c r="J5513" s="40" t="str">
        <f>HYPERLINK("https://stock.pstatic.net/stock-research/company/56/20260203_company_943807000.pdf","PDF")</f>
        <v>PDF</v>
      </c>
      <c r="K5513" s="12" t="s">
        <v>8501</v>
      </c>
      <c r="L5513" s="20">
        <v>0.4044943820224719</v>
      </c>
    </row>
    <row r="5514" spans="1:12" x14ac:dyDescent="0.45">
      <c r="A5514" s="12" t="s">
        <v>8477</v>
      </c>
      <c r="B5514" s="12" t="s">
        <v>2378</v>
      </c>
      <c r="C5514" s="13" t="s">
        <v>2379</v>
      </c>
      <c r="D5514" s="13" t="s">
        <v>15</v>
      </c>
      <c r="E5514" s="12" t="s">
        <v>16</v>
      </c>
      <c r="F5514" s="14">
        <v>520000</v>
      </c>
      <c r="G5514" s="14">
        <v>380000</v>
      </c>
      <c r="H5514" s="13" t="s">
        <v>8502</v>
      </c>
      <c r="I5514" s="40" t="s">
        <v>18</v>
      </c>
      <c r="J5514" s="40" t="str">
        <f>HYPERLINK("https://stock.pstatic.net/stock-research/company/56/20260203_company_369573000.pdf","PDF")</f>
        <v>PDF</v>
      </c>
      <c r="K5514" s="12" t="s">
        <v>8503</v>
      </c>
      <c r="L5514" s="20">
        <v>0.36842105263157893</v>
      </c>
    </row>
    <row r="5515" spans="1:12" x14ac:dyDescent="0.45">
      <c r="A5515" s="12" t="s">
        <v>8477</v>
      </c>
      <c r="B5515" s="12" t="s">
        <v>2369</v>
      </c>
      <c r="C5515" s="13" t="s">
        <v>2370</v>
      </c>
      <c r="D5515" s="13" t="s">
        <v>179</v>
      </c>
      <c r="E5515" s="12" t="s">
        <v>16</v>
      </c>
      <c r="F5515" s="14">
        <v>450000</v>
      </c>
      <c r="G5515" s="14">
        <v>356000</v>
      </c>
      <c r="H5515" s="13" t="s">
        <v>8504</v>
      </c>
      <c r="I5515" s="40" t="s">
        <v>18</v>
      </c>
      <c r="J5515" s="40" t="str">
        <f>HYPERLINK("https://stock.pstatic.net/stock-research/company/64/20260203_company_713580000.pdf","PDF")</f>
        <v>PDF</v>
      </c>
      <c r="K5515" s="12" t="s">
        <v>8505</v>
      </c>
      <c r="L5515" s="20">
        <v>0.2640449438202247</v>
      </c>
    </row>
    <row r="5516" spans="1:12" x14ac:dyDescent="0.45">
      <c r="A5516" s="12" t="s">
        <v>8477</v>
      </c>
      <c r="B5516" s="12" t="s">
        <v>3395</v>
      </c>
      <c r="C5516" s="13" t="s">
        <v>3396</v>
      </c>
      <c r="D5516" s="13" t="s">
        <v>92</v>
      </c>
      <c r="E5516" s="12" t="s">
        <v>35</v>
      </c>
      <c r="F5516" s="14">
        <v>38000</v>
      </c>
      <c r="G5516" s="14">
        <v>32150</v>
      </c>
      <c r="H5516" s="13" t="s">
        <v>8506</v>
      </c>
      <c r="I5516" s="40" t="s">
        <v>18</v>
      </c>
      <c r="J5516" s="40" t="str">
        <f>HYPERLINK("https://stock.pstatic.net/stock-research/company/63/20260203_company_161962000.pdf","PDF")</f>
        <v>PDF</v>
      </c>
      <c r="K5516" s="12" t="s">
        <v>8507</v>
      </c>
      <c r="L5516" s="20">
        <v>0.18195956454121309</v>
      </c>
    </row>
    <row r="5517" spans="1:12" x14ac:dyDescent="0.45">
      <c r="A5517" s="12" t="s">
        <v>8477</v>
      </c>
      <c r="B5517" s="12" t="s">
        <v>3584</v>
      </c>
      <c r="C5517" s="13" t="s">
        <v>3585</v>
      </c>
      <c r="D5517" s="13" t="s">
        <v>92</v>
      </c>
      <c r="E5517" s="12" t="s">
        <v>35</v>
      </c>
      <c r="F5517" s="14">
        <v>26000</v>
      </c>
      <c r="G5517" s="14">
        <v>21100</v>
      </c>
      <c r="H5517" s="13" t="s">
        <v>8508</v>
      </c>
      <c r="I5517" s="40" t="s">
        <v>18</v>
      </c>
      <c r="J5517" s="40" t="str">
        <f>HYPERLINK("https://stock.pstatic.net/stock-research/company/63/20260203_company_558679000.pdf","PDF")</f>
        <v>PDF</v>
      </c>
      <c r="K5517" s="12" t="s">
        <v>8509</v>
      </c>
      <c r="L5517" s="20">
        <v>0.23222748815165881</v>
      </c>
    </row>
    <row r="5518" spans="1:12" x14ac:dyDescent="0.45">
      <c r="A5518" s="12" t="s">
        <v>8477</v>
      </c>
      <c r="B5518" s="12" t="s">
        <v>2369</v>
      </c>
      <c r="C5518" s="13" t="s">
        <v>2370</v>
      </c>
      <c r="D5518" s="13" t="s">
        <v>23</v>
      </c>
      <c r="E5518" s="12" t="s">
        <v>16</v>
      </c>
      <c r="F5518" s="14">
        <v>395000</v>
      </c>
      <c r="G5518" s="14">
        <v>356000</v>
      </c>
      <c r="H5518" s="13" t="s">
        <v>8510</v>
      </c>
      <c r="I5518" s="40" t="s">
        <v>18</v>
      </c>
      <c r="J5518" s="40" t="str">
        <f>HYPERLINK("https://stock.pstatic.net/stock-research/company/21/20260203_company_163783000.pdf","PDF")</f>
        <v>PDF</v>
      </c>
      <c r="K5518" s="12" t="s">
        <v>8511</v>
      </c>
      <c r="L5518" s="20">
        <v>0.1095505617977528</v>
      </c>
    </row>
    <row r="5519" spans="1:12" x14ac:dyDescent="0.45">
      <c r="A5519" s="12" t="s">
        <v>8477</v>
      </c>
      <c r="B5519" s="12" t="s">
        <v>3230</v>
      </c>
      <c r="C5519" s="13" t="s">
        <v>3231</v>
      </c>
      <c r="D5519" s="13" t="s">
        <v>23</v>
      </c>
      <c r="E5519" s="12" t="s">
        <v>16</v>
      </c>
      <c r="F5519" s="14">
        <v>2900000</v>
      </c>
      <c r="G5519" s="14">
        <v>2281000</v>
      </c>
      <c r="H5519" s="13" t="s">
        <v>8512</v>
      </c>
      <c r="I5519" s="40" t="s">
        <v>18</v>
      </c>
      <c r="J5519" s="40" t="str">
        <f>HYPERLINK("https://stock.pstatic.net/stock-research/company/21/20260203_company_844125000.pdf","PDF")</f>
        <v>PDF</v>
      </c>
      <c r="K5519" s="12" t="s">
        <v>8513</v>
      </c>
      <c r="L5519" s="20">
        <v>0.27137220517316968</v>
      </c>
    </row>
    <row r="5520" spans="1:12" x14ac:dyDescent="0.45">
      <c r="A5520" s="12" t="s">
        <v>8477</v>
      </c>
      <c r="B5520" s="12" t="s">
        <v>2795</v>
      </c>
      <c r="C5520" s="13" t="s">
        <v>2796</v>
      </c>
      <c r="D5520" s="13" t="s">
        <v>34</v>
      </c>
      <c r="E5520" s="12" t="s">
        <v>35</v>
      </c>
      <c r="F5520" s="14">
        <v>6200</v>
      </c>
      <c r="G5520" s="14">
        <v>4840</v>
      </c>
      <c r="H5520" s="13" t="s">
        <v>8514</v>
      </c>
      <c r="I5520" s="40" t="s">
        <v>18</v>
      </c>
      <c r="J5520" s="40" t="str">
        <f>HYPERLINK("https://stock.pstatic.net/stock-research/company/61/20260203_company_467793000.pdf","PDF")</f>
        <v>PDF</v>
      </c>
      <c r="K5520" s="12" t="s">
        <v>8515</v>
      </c>
      <c r="L5520" s="20">
        <v>0.28099173553719009</v>
      </c>
    </row>
    <row r="5521" spans="1:12" x14ac:dyDescent="0.45">
      <c r="A5521" s="12" t="s">
        <v>8477</v>
      </c>
      <c r="B5521" s="12" t="s">
        <v>2369</v>
      </c>
      <c r="C5521" s="13" t="s">
        <v>2370</v>
      </c>
      <c r="D5521" s="13" t="s">
        <v>53</v>
      </c>
      <c r="E5521" s="12" t="s">
        <v>16</v>
      </c>
      <c r="F5521" s="14">
        <v>410000</v>
      </c>
      <c r="G5521" s="14">
        <v>356000</v>
      </c>
      <c r="H5521" s="13" t="s">
        <v>8516</v>
      </c>
      <c r="I5521" s="40" t="s">
        <v>18</v>
      </c>
      <c r="J5521" s="40" t="str">
        <f>HYPERLINK("https://stock.pstatic.net/stock-research/company/40/20260203_company_732956000.pdf","PDF")</f>
        <v>PDF</v>
      </c>
      <c r="K5521" s="12" t="s">
        <v>8517</v>
      </c>
      <c r="L5521" s="20">
        <v>0.151685393258427</v>
      </c>
    </row>
    <row r="5522" spans="1:12" x14ac:dyDescent="0.45">
      <c r="A5522" s="12" t="s">
        <v>8477</v>
      </c>
      <c r="B5522" s="12" t="s">
        <v>2369</v>
      </c>
      <c r="C5522" s="13" t="s">
        <v>2370</v>
      </c>
      <c r="D5522" s="13" t="s">
        <v>34</v>
      </c>
      <c r="E5522" s="12" t="s">
        <v>35</v>
      </c>
      <c r="F5522" s="14">
        <v>450000</v>
      </c>
      <c r="G5522" s="14">
        <v>356000</v>
      </c>
      <c r="H5522" s="13" t="s">
        <v>8518</v>
      </c>
      <c r="I5522" s="40" t="s">
        <v>18</v>
      </c>
      <c r="J5522" s="40" t="str">
        <f>HYPERLINK("https://stock.pstatic.net/stock-research/company/61/20260203_company_463042000.pdf","PDF")</f>
        <v>PDF</v>
      </c>
      <c r="K5522" s="12" t="s">
        <v>8519</v>
      </c>
      <c r="L5522" s="20">
        <v>0.2640449438202247</v>
      </c>
    </row>
    <row r="5523" spans="1:12" x14ac:dyDescent="0.45">
      <c r="A5523" s="12" t="s">
        <v>8477</v>
      </c>
      <c r="B5523" s="12" t="s">
        <v>2369</v>
      </c>
      <c r="C5523" s="13" t="s">
        <v>2370</v>
      </c>
      <c r="D5523" s="13" t="s">
        <v>44</v>
      </c>
      <c r="E5523" s="12" t="s">
        <v>35</v>
      </c>
      <c r="F5523" s="14">
        <v>430000</v>
      </c>
      <c r="G5523" s="14">
        <v>356000</v>
      </c>
      <c r="H5523" s="13" t="s">
        <v>8520</v>
      </c>
      <c r="I5523" s="40" t="s">
        <v>18</v>
      </c>
      <c r="J5523" s="40" t="str">
        <f>HYPERLINK("https://stock.pstatic.net/stock-research/company/39/20260203_company_897076000.pdf","PDF")</f>
        <v>PDF</v>
      </c>
      <c r="K5523" s="12" t="s">
        <v>8521</v>
      </c>
      <c r="L5523" s="20">
        <v>0.20786516853932591</v>
      </c>
    </row>
    <row r="5524" spans="1:12" x14ac:dyDescent="0.45">
      <c r="A5524" s="12" t="s">
        <v>8477</v>
      </c>
      <c r="B5524" s="12" t="s">
        <v>1162</v>
      </c>
      <c r="C5524" s="13" t="s">
        <v>1163</v>
      </c>
      <c r="D5524" s="13" t="s">
        <v>44</v>
      </c>
      <c r="E5524" s="12" t="s">
        <v>35</v>
      </c>
      <c r="F5524" s="14">
        <v>260000</v>
      </c>
      <c r="G5524" s="14">
        <v>211000</v>
      </c>
      <c r="H5524" s="13" t="s">
        <v>8522</v>
      </c>
      <c r="I5524" s="40" t="s">
        <v>18</v>
      </c>
      <c r="J5524" s="40" t="str">
        <f>HYPERLINK("https://stock.pstatic.net/stock-research/company/39/20260203_company_335211000.pdf","PDF")</f>
        <v>PDF</v>
      </c>
      <c r="K5524" s="12" t="s">
        <v>8523</v>
      </c>
      <c r="L5524" s="20">
        <v>0.23222748815165881</v>
      </c>
    </row>
    <row r="5525" spans="1:12" x14ac:dyDescent="0.45">
      <c r="A5525" s="12" t="s">
        <v>8477</v>
      </c>
      <c r="B5525" s="12" t="s">
        <v>6873</v>
      </c>
      <c r="C5525" s="13" t="s">
        <v>6874</v>
      </c>
      <c r="D5525" s="13" t="s">
        <v>179</v>
      </c>
      <c r="E5525" s="12" t="s">
        <v>16</v>
      </c>
      <c r="F5525" s="14">
        <v>92000</v>
      </c>
      <c r="G5525" s="14">
        <v>64200</v>
      </c>
      <c r="H5525" s="13" t="s">
        <v>8524</v>
      </c>
      <c r="I5525" s="40" t="s">
        <v>18</v>
      </c>
      <c r="J5525" s="40" t="str">
        <f>HYPERLINK("https://stock.pstatic.net/stock-research/company/64/20260203_company_824913000.pdf","PDF")</f>
        <v>PDF</v>
      </c>
      <c r="K5525" s="12" t="s">
        <v>8525</v>
      </c>
      <c r="L5525" s="20">
        <v>0.43302180685358249</v>
      </c>
    </row>
    <row r="5526" spans="1:12" x14ac:dyDescent="0.45">
      <c r="A5526" s="12" t="s">
        <v>8477</v>
      </c>
      <c r="B5526" s="12" t="s">
        <v>5517</v>
      </c>
      <c r="C5526" s="13" t="s">
        <v>5518</v>
      </c>
      <c r="D5526" s="13" t="s">
        <v>124</v>
      </c>
      <c r="E5526" s="12" t="s">
        <v>50</v>
      </c>
      <c r="F5526" s="13"/>
      <c r="G5526" s="13"/>
      <c r="H5526" s="13" t="s">
        <v>8526</v>
      </c>
      <c r="I5526" s="40" t="s">
        <v>18</v>
      </c>
      <c r="J5526" s="40" t="str">
        <f>HYPERLINK("https://stock.pstatic.net/stock-research/company/74/20260203_company_26814000.pdf","PDF")</f>
        <v>PDF</v>
      </c>
      <c r="K5526" s="12" t="s">
        <v>8527</v>
      </c>
    </row>
    <row r="5527" spans="1:12" x14ac:dyDescent="0.45">
      <c r="A5527" s="12" t="s">
        <v>8477</v>
      </c>
      <c r="B5527" s="12" t="s">
        <v>657</v>
      </c>
      <c r="C5527" s="13" t="s">
        <v>658</v>
      </c>
      <c r="D5527" s="13" t="s">
        <v>53</v>
      </c>
      <c r="E5527" s="12" t="s">
        <v>16</v>
      </c>
      <c r="F5527" s="14">
        <v>30000</v>
      </c>
      <c r="G5527" s="14">
        <v>21850</v>
      </c>
      <c r="H5527" s="13" t="s">
        <v>8528</v>
      </c>
      <c r="I5527" s="40" t="s">
        <v>18</v>
      </c>
      <c r="J5527" s="40" t="str">
        <f>HYPERLINK("https://stock.pstatic.net/stock-research/company/40/20260203_company_50491000.pdf","PDF")</f>
        <v>PDF</v>
      </c>
      <c r="K5527" s="12" t="s">
        <v>8529</v>
      </c>
      <c r="L5527" s="20">
        <v>0.37299771167048063</v>
      </c>
    </row>
    <row r="5528" spans="1:12" x14ac:dyDescent="0.45">
      <c r="A5528" s="12" t="s">
        <v>8477</v>
      </c>
      <c r="B5528" s="12" t="s">
        <v>177</v>
      </c>
      <c r="C5528" s="13" t="s">
        <v>178</v>
      </c>
      <c r="D5528" s="13" t="s">
        <v>124</v>
      </c>
      <c r="E5528" s="12" t="s">
        <v>50</v>
      </c>
      <c r="F5528" s="13"/>
      <c r="G5528" s="14">
        <v>14200</v>
      </c>
      <c r="H5528" s="13" t="s">
        <v>8530</v>
      </c>
      <c r="I5528" s="40" t="s">
        <v>18</v>
      </c>
      <c r="J5528" s="40" t="str">
        <f>HYPERLINK("https://stock.pstatic.net/stock-research/company/74/20260203_company_720838000.pdf","PDF")</f>
        <v>PDF</v>
      </c>
      <c r="K5528" s="12" t="s">
        <v>8531</v>
      </c>
    </row>
    <row r="5529" spans="1:12" x14ac:dyDescent="0.45">
      <c r="A5529" s="12" t="s">
        <v>8477</v>
      </c>
      <c r="B5529" s="12" t="s">
        <v>8532</v>
      </c>
      <c r="C5529" s="13" t="s">
        <v>8533</v>
      </c>
      <c r="D5529" s="13" t="s">
        <v>124</v>
      </c>
      <c r="E5529" s="12" t="s">
        <v>50</v>
      </c>
      <c r="F5529" s="13"/>
      <c r="G5529" s="14">
        <v>24000</v>
      </c>
      <c r="H5529" s="13" t="s">
        <v>8534</v>
      </c>
      <c r="I5529" s="40" t="s">
        <v>18</v>
      </c>
      <c r="J5529" s="40" t="str">
        <f>HYPERLINK("https://stock.pstatic.net/stock-research/company/74/20260203_company_382988000.pdf","PDF")</f>
        <v>PDF</v>
      </c>
      <c r="K5529" s="12" t="s">
        <v>8535</v>
      </c>
    </row>
    <row r="5530" spans="1:12" x14ac:dyDescent="0.45">
      <c r="A5530" s="12" t="s">
        <v>8536</v>
      </c>
      <c r="B5530" s="12" t="s">
        <v>2191</v>
      </c>
      <c r="C5530" s="13" t="s">
        <v>2192</v>
      </c>
      <c r="D5530" s="13" t="s">
        <v>15</v>
      </c>
      <c r="E5530" s="12" t="s">
        <v>16</v>
      </c>
      <c r="F5530" s="14">
        <v>120000</v>
      </c>
      <c r="G5530" s="14">
        <v>96400</v>
      </c>
      <c r="H5530" s="13" t="s">
        <v>8537</v>
      </c>
      <c r="I5530" s="40" t="s">
        <v>18</v>
      </c>
      <c r="J5530" s="40" t="str">
        <f>HYPERLINK("https://stock.pstatic.net/stock-research/company/56/20260202_company_604451000.pdf","PDF")</f>
        <v>PDF</v>
      </c>
      <c r="K5530" s="12" t="s">
        <v>8538</v>
      </c>
      <c r="L5530" s="20">
        <v>0.24481327800829869</v>
      </c>
    </row>
    <row r="5531" spans="1:12" x14ac:dyDescent="0.45">
      <c r="A5531" s="12" t="s">
        <v>8536</v>
      </c>
      <c r="B5531" s="12" t="s">
        <v>5597</v>
      </c>
      <c r="C5531" s="13" t="s">
        <v>5598</v>
      </c>
      <c r="D5531" s="13" t="s">
        <v>23</v>
      </c>
      <c r="E5531" s="12" t="s">
        <v>50</v>
      </c>
      <c r="F5531" s="13"/>
      <c r="G5531" s="14">
        <v>69600</v>
      </c>
      <c r="H5531" s="13" t="s">
        <v>8539</v>
      </c>
      <c r="I5531" s="40" t="s">
        <v>18</v>
      </c>
      <c r="J5531" s="40" t="str">
        <f>HYPERLINK("https://stock.pstatic.net/stock-research/company/21/20260202_company_793453000.pdf","PDF")</f>
        <v>PDF</v>
      </c>
      <c r="K5531" s="12" t="s">
        <v>8540</v>
      </c>
    </row>
    <row r="5532" spans="1:12" x14ac:dyDescent="0.45">
      <c r="A5532" s="12" t="s">
        <v>8536</v>
      </c>
      <c r="B5532" s="12" t="s">
        <v>8541</v>
      </c>
      <c r="C5532" s="13" t="s">
        <v>8542</v>
      </c>
      <c r="D5532" s="13" t="s">
        <v>15</v>
      </c>
      <c r="E5532" s="12" t="s">
        <v>50</v>
      </c>
      <c r="F5532" s="13"/>
      <c r="G5532" s="14">
        <v>15650</v>
      </c>
      <c r="H5532" s="13" t="s">
        <v>8543</v>
      </c>
      <c r="I5532" s="40" t="s">
        <v>18</v>
      </c>
      <c r="J5532" s="40" t="str">
        <f>HYPERLINK("https://stock.pstatic.net/stock-research/company/56/20260202_company_889822000.pdf","PDF")</f>
        <v>PDF</v>
      </c>
      <c r="K5532" s="12" t="s">
        <v>8544</v>
      </c>
    </row>
    <row r="5533" spans="1:12" x14ac:dyDescent="0.45">
      <c r="A5533" s="12" t="s">
        <v>8536</v>
      </c>
      <c r="B5533" s="12" t="s">
        <v>352</v>
      </c>
      <c r="C5533" s="13" t="s">
        <v>353</v>
      </c>
      <c r="D5533" s="13" t="s">
        <v>57</v>
      </c>
      <c r="E5533" s="12" t="s">
        <v>35</v>
      </c>
      <c r="F5533" s="14">
        <v>290000</v>
      </c>
      <c r="G5533" s="14">
        <v>230500</v>
      </c>
      <c r="H5533" s="13" t="s">
        <v>8545</v>
      </c>
      <c r="I5533" s="40" t="s">
        <v>18</v>
      </c>
      <c r="J5533" s="40" t="str">
        <f>HYPERLINK("https://stock.pstatic.net/stock-research/company/16/20260202_company_44150000.pdf","PDF")</f>
        <v>PDF</v>
      </c>
      <c r="K5533" s="12" t="s">
        <v>8546</v>
      </c>
      <c r="L5533" s="20">
        <v>0.25813449023861168</v>
      </c>
    </row>
    <row r="5534" spans="1:12" x14ac:dyDescent="0.45">
      <c r="A5534" s="12" t="s">
        <v>8536</v>
      </c>
      <c r="B5534" s="12" t="s">
        <v>3478</v>
      </c>
      <c r="C5534" s="13" t="s">
        <v>3479</v>
      </c>
      <c r="D5534" s="13" t="s">
        <v>57</v>
      </c>
      <c r="E5534" s="12" t="s">
        <v>35</v>
      </c>
      <c r="F5534" s="14">
        <v>50000</v>
      </c>
      <c r="G5534" s="14">
        <v>31250</v>
      </c>
      <c r="H5534" s="13" t="s">
        <v>8547</v>
      </c>
      <c r="I5534" s="40" t="s">
        <v>18</v>
      </c>
      <c r="J5534" s="40" t="str">
        <f>HYPERLINK("https://stock.pstatic.net/stock-research/company/16/20260202_company_41916000.pdf","PDF")</f>
        <v>PDF</v>
      </c>
      <c r="K5534" s="12" t="s">
        <v>8548</v>
      </c>
      <c r="L5534" s="20">
        <v>0.6</v>
      </c>
    </row>
    <row r="5535" spans="1:12" x14ac:dyDescent="0.45">
      <c r="A5535" s="12" t="s">
        <v>8536</v>
      </c>
      <c r="B5535" s="12" t="s">
        <v>3548</v>
      </c>
      <c r="C5535" s="13" t="s">
        <v>3549</v>
      </c>
      <c r="D5535" s="13" t="s">
        <v>57</v>
      </c>
      <c r="E5535" s="12" t="s">
        <v>35</v>
      </c>
      <c r="F5535" s="14">
        <v>120000</v>
      </c>
      <c r="G5535" s="14">
        <v>85700</v>
      </c>
      <c r="H5535" s="13" t="s">
        <v>8549</v>
      </c>
      <c r="I5535" s="40" t="s">
        <v>18</v>
      </c>
      <c r="J5535" s="40" t="str">
        <f>HYPERLINK("https://stock.pstatic.net/stock-research/company/16/20260202_company_813008000.pdf","PDF")</f>
        <v>PDF</v>
      </c>
      <c r="K5535" s="12" t="s">
        <v>8550</v>
      </c>
      <c r="L5535" s="20">
        <v>0.40023337222870481</v>
      </c>
    </row>
    <row r="5536" spans="1:12" x14ac:dyDescent="0.45">
      <c r="A5536" s="12" t="s">
        <v>8536</v>
      </c>
      <c r="B5536" s="12" t="s">
        <v>2777</v>
      </c>
      <c r="C5536" s="13" t="s">
        <v>2778</v>
      </c>
      <c r="D5536" s="13" t="s">
        <v>57</v>
      </c>
      <c r="E5536" s="12" t="s">
        <v>159</v>
      </c>
      <c r="F5536" s="14">
        <v>430000</v>
      </c>
      <c r="G5536" s="14">
        <v>461500</v>
      </c>
      <c r="H5536" s="13" t="s">
        <v>8551</v>
      </c>
      <c r="I5536" s="40" t="s">
        <v>18</v>
      </c>
      <c r="J5536" s="40" t="str">
        <f>HYPERLINK("https://stock.pstatic.net/stock-research/company/16/20260202_company_875917000.pdf","PDF")</f>
        <v>PDF</v>
      </c>
      <c r="K5536" s="12" t="s">
        <v>8552</v>
      </c>
      <c r="L5536" s="20">
        <v>-6.8255687973997836E-2</v>
      </c>
    </row>
    <row r="5537" spans="1:12" x14ac:dyDescent="0.45">
      <c r="A5537" s="12" t="s">
        <v>8536</v>
      </c>
      <c r="B5537" s="12" t="s">
        <v>3482</v>
      </c>
      <c r="C5537" s="13" t="s">
        <v>3483</v>
      </c>
      <c r="D5537" s="13" t="s">
        <v>57</v>
      </c>
      <c r="E5537" s="12" t="s">
        <v>35</v>
      </c>
      <c r="F5537" s="14">
        <v>119000</v>
      </c>
      <c r="G5537" s="14">
        <v>100100</v>
      </c>
      <c r="H5537" s="13" t="s">
        <v>8553</v>
      </c>
      <c r="I5537" s="40" t="s">
        <v>18</v>
      </c>
      <c r="J5537" s="40" t="str">
        <f>HYPERLINK("https://stock.pstatic.net/stock-research/company/16/20260202_company_578554000.pdf","PDF")</f>
        <v>PDF</v>
      </c>
      <c r="K5537" s="12" t="s">
        <v>8554</v>
      </c>
      <c r="L5537" s="20">
        <v>0.1888111888111888</v>
      </c>
    </row>
    <row r="5538" spans="1:12" x14ac:dyDescent="0.45">
      <c r="A5538" s="12" t="s">
        <v>8536</v>
      </c>
      <c r="B5538" s="12" t="s">
        <v>132</v>
      </c>
      <c r="C5538" s="13" t="s">
        <v>133</v>
      </c>
      <c r="D5538" s="13" t="s">
        <v>57</v>
      </c>
      <c r="E5538" s="12" t="s">
        <v>35</v>
      </c>
      <c r="F5538" s="14">
        <v>130000</v>
      </c>
      <c r="G5538" s="14">
        <v>93700</v>
      </c>
      <c r="H5538" s="13" t="s">
        <v>8555</v>
      </c>
      <c r="I5538" s="40" t="s">
        <v>18</v>
      </c>
      <c r="J5538" s="40" t="str">
        <f>HYPERLINK("https://stock.pstatic.net/stock-research/company/16/20260202_company_535011000.pdf","PDF")</f>
        <v>PDF</v>
      </c>
      <c r="K5538" s="12" t="s">
        <v>8556</v>
      </c>
      <c r="L5538" s="20">
        <v>0.38740661686232658</v>
      </c>
    </row>
    <row r="5539" spans="1:12" x14ac:dyDescent="0.45">
      <c r="A5539" s="12" t="s">
        <v>8536</v>
      </c>
      <c r="B5539" s="12" t="s">
        <v>3150</v>
      </c>
      <c r="C5539" s="13" t="s">
        <v>3151</v>
      </c>
      <c r="D5539" s="13" t="s">
        <v>276</v>
      </c>
      <c r="E5539" s="12" t="s">
        <v>50</v>
      </c>
      <c r="F5539" s="13"/>
      <c r="G5539" s="14">
        <v>197700</v>
      </c>
      <c r="H5539" s="13" t="s">
        <v>8557</v>
      </c>
      <c r="I5539" s="40" t="s">
        <v>18</v>
      </c>
      <c r="J5539" s="40" t="str">
        <f>HYPERLINK("https://stock.pstatic.net/stock-research/company/66/20260202_company_679942000.pdf","PDF")</f>
        <v>PDF</v>
      </c>
      <c r="K5539" s="12" t="s">
        <v>8558</v>
      </c>
    </row>
    <row r="5540" spans="1:12" x14ac:dyDescent="0.45">
      <c r="A5540" s="12" t="s">
        <v>8536</v>
      </c>
      <c r="B5540" s="12" t="s">
        <v>3548</v>
      </c>
      <c r="C5540" s="13" t="s">
        <v>3549</v>
      </c>
      <c r="D5540" s="13" t="s">
        <v>276</v>
      </c>
      <c r="E5540" s="12" t="s">
        <v>16</v>
      </c>
      <c r="F5540" s="14">
        <v>110000</v>
      </c>
      <c r="G5540" s="14">
        <v>85700</v>
      </c>
      <c r="H5540" s="13" t="s">
        <v>8559</v>
      </c>
      <c r="I5540" s="40" t="s">
        <v>18</v>
      </c>
      <c r="J5540" s="40" t="str">
        <f>HYPERLINK("https://stock.pstatic.net/stock-research/company/66/20260202_company_140600000.pdf","PDF")</f>
        <v>PDF</v>
      </c>
      <c r="K5540" s="12" t="s">
        <v>8560</v>
      </c>
      <c r="L5540" s="20">
        <v>0.28354725787631269</v>
      </c>
    </row>
    <row r="5541" spans="1:12" x14ac:dyDescent="0.45">
      <c r="A5541" s="12" t="s">
        <v>8536</v>
      </c>
      <c r="B5541" s="12" t="s">
        <v>1162</v>
      </c>
      <c r="C5541" s="13" t="s">
        <v>1163</v>
      </c>
      <c r="D5541" s="13" t="s">
        <v>276</v>
      </c>
      <c r="E5541" s="12" t="s">
        <v>16</v>
      </c>
      <c r="F5541" s="14">
        <v>290000</v>
      </c>
      <c r="G5541" s="14">
        <v>217500</v>
      </c>
      <c r="H5541" s="13" t="s">
        <v>8561</v>
      </c>
      <c r="I5541" s="40" t="s">
        <v>18</v>
      </c>
      <c r="J5541" s="40" t="str">
        <f>HYPERLINK("https://stock.pstatic.net/stock-research/company/66/20260202_company_770029000.pdf","PDF")</f>
        <v>PDF</v>
      </c>
      <c r="K5541" s="12" t="s">
        <v>8562</v>
      </c>
      <c r="L5541" s="20">
        <v>0.33333333333333331</v>
      </c>
    </row>
    <row r="5542" spans="1:12" x14ac:dyDescent="0.45">
      <c r="A5542" s="12" t="s">
        <v>8536</v>
      </c>
      <c r="B5542" s="12" t="s">
        <v>450</v>
      </c>
      <c r="C5542" s="13" t="s">
        <v>451</v>
      </c>
      <c r="D5542" s="13" t="s">
        <v>60</v>
      </c>
      <c r="E5542" s="12" t="s">
        <v>159</v>
      </c>
      <c r="F5542" s="14">
        <v>280000</v>
      </c>
      <c r="G5542" s="14">
        <v>262500</v>
      </c>
      <c r="H5542" s="13" t="s">
        <v>8563</v>
      </c>
      <c r="I5542" s="40" t="s">
        <v>18</v>
      </c>
      <c r="J5542" s="40" t="str">
        <f>HYPERLINK("https://stock.pstatic.net/stock-research/company/62/20260202_company_606627000.pdf","PDF")</f>
        <v>PDF</v>
      </c>
      <c r="K5542" s="12" t="s">
        <v>8564</v>
      </c>
      <c r="L5542" s="20">
        <v>6.6666666666666666E-2</v>
      </c>
    </row>
    <row r="5543" spans="1:12" x14ac:dyDescent="0.45">
      <c r="A5543" s="12" t="s">
        <v>8536</v>
      </c>
      <c r="B5543" s="12" t="s">
        <v>3548</v>
      </c>
      <c r="C5543" s="13" t="s">
        <v>3549</v>
      </c>
      <c r="D5543" s="13" t="s">
        <v>60</v>
      </c>
      <c r="E5543" s="12" t="s">
        <v>35</v>
      </c>
      <c r="F5543" s="14">
        <v>106000</v>
      </c>
      <c r="G5543" s="14">
        <v>85700</v>
      </c>
      <c r="H5543" s="13" t="s">
        <v>8565</v>
      </c>
      <c r="I5543" s="40" t="s">
        <v>18</v>
      </c>
      <c r="J5543" s="40" t="str">
        <f>HYPERLINK("https://stock.pstatic.net/stock-research/company/62/20260202_company_932698000.pdf","PDF")</f>
        <v>PDF</v>
      </c>
      <c r="K5543" s="12" t="s">
        <v>8566</v>
      </c>
      <c r="L5543" s="20">
        <v>0.23687281213535591</v>
      </c>
    </row>
    <row r="5544" spans="1:12" x14ac:dyDescent="0.45">
      <c r="A5544" s="12" t="s">
        <v>8536</v>
      </c>
      <c r="B5544" s="12" t="s">
        <v>8567</v>
      </c>
      <c r="C5544" s="13" t="s">
        <v>8568</v>
      </c>
      <c r="D5544" s="13" t="s">
        <v>65</v>
      </c>
      <c r="E5544" s="12" t="s">
        <v>50</v>
      </c>
      <c r="F5544" s="13"/>
      <c r="G5544" s="14">
        <v>9700</v>
      </c>
      <c r="H5544" s="13" t="s">
        <v>8569</v>
      </c>
      <c r="I5544" s="40" t="s">
        <v>18</v>
      </c>
      <c r="J5544" s="40" t="str">
        <f>HYPERLINK("https://stock.pstatic.net/stock-research/company/57/20260202_company_990791000.pdf","PDF")</f>
        <v>PDF</v>
      </c>
      <c r="K5544" s="12" t="s">
        <v>8570</v>
      </c>
    </row>
    <row r="5545" spans="1:12" x14ac:dyDescent="0.45">
      <c r="A5545" s="12" t="s">
        <v>8536</v>
      </c>
      <c r="B5545" s="12" t="s">
        <v>1690</v>
      </c>
      <c r="C5545" s="13" t="s">
        <v>1691</v>
      </c>
      <c r="D5545" s="13" t="s">
        <v>65</v>
      </c>
      <c r="E5545" s="12" t="s">
        <v>35</v>
      </c>
      <c r="F5545" s="14">
        <v>140000</v>
      </c>
      <c r="G5545" s="14">
        <v>112000</v>
      </c>
      <c r="H5545" s="13" t="s">
        <v>8571</v>
      </c>
      <c r="I5545" s="40" t="s">
        <v>18</v>
      </c>
      <c r="J5545" s="40" t="str">
        <f>HYPERLINK("https://stock.pstatic.net/stock-research/company/57/20260202_company_767245000.pdf","PDF")</f>
        <v>PDF</v>
      </c>
      <c r="K5545" s="12" t="s">
        <v>8572</v>
      </c>
      <c r="L5545" s="20">
        <v>0.25</v>
      </c>
    </row>
    <row r="5546" spans="1:12" x14ac:dyDescent="0.45">
      <c r="A5546" s="12" t="s">
        <v>8536</v>
      </c>
      <c r="B5546" s="12" t="s">
        <v>3230</v>
      </c>
      <c r="C5546" s="13" t="s">
        <v>3231</v>
      </c>
      <c r="D5546" s="13" t="s">
        <v>65</v>
      </c>
      <c r="E5546" s="12" t="s">
        <v>35</v>
      </c>
      <c r="F5546" s="14">
        <v>3300000</v>
      </c>
      <c r="G5546" s="14">
        <v>2603000</v>
      </c>
      <c r="H5546" s="13" t="s">
        <v>8573</v>
      </c>
      <c r="I5546" s="40" t="s">
        <v>18</v>
      </c>
      <c r="J5546" s="40" t="str">
        <f>HYPERLINK("https://stock.pstatic.net/stock-research/company/57/20260202_company_695789000.pdf","PDF")</f>
        <v>PDF</v>
      </c>
      <c r="K5546" s="12" t="s">
        <v>8574</v>
      </c>
      <c r="L5546" s="20">
        <v>0.26776796004610071</v>
      </c>
    </row>
    <row r="5547" spans="1:12" x14ac:dyDescent="0.45">
      <c r="A5547" s="12" t="s">
        <v>8536</v>
      </c>
      <c r="B5547" s="12" t="s">
        <v>744</v>
      </c>
      <c r="C5547" s="13" t="s">
        <v>745</v>
      </c>
      <c r="D5547" s="13" t="s">
        <v>65</v>
      </c>
      <c r="E5547" s="12" t="s">
        <v>35</v>
      </c>
      <c r="F5547" s="14">
        <v>36000</v>
      </c>
      <c r="G5547" s="14">
        <v>29450</v>
      </c>
      <c r="H5547" s="13" t="s">
        <v>8575</v>
      </c>
      <c r="I5547" s="40" t="s">
        <v>18</v>
      </c>
      <c r="J5547" s="40" t="str">
        <f>HYPERLINK("https://stock.pstatic.net/stock-research/company/57/20260202_company_639637000.pdf","PDF")</f>
        <v>PDF</v>
      </c>
      <c r="K5547" s="12" t="s">
        <v>8576</v>
      </c>
      <c r="L5547" s="20">
        <v>0.22241086587436329</v>
      </c>
    </row>
    <row r="5548" spans="1:12" x14ac:dyDescent="0.45">
      <c r="A5548" s="12" t="s">
        <v>8536</v>
      </c>
      <c r="B5548" s="12" t="s">
        <v>3113</v>
      </c>
      <c r="C5548" s="13" t="s">
        <v>3114</v>
      </c>
      <c r="D5548" s="13" t="s">
        <v>65</v>
      </c>
      <c r="E5548" s="12" t="s">
        <v>35</v>
      </c>
      <c r="F5548" s="14">
        <v>46000</v>
      </c>
      <c r="G5548" s="14">
        <v>38250</v>
      </c>
      <c r="H5548" s="13" t="s">
        <v>8577</v>
      </c>
      <c r="I5548" s="40" t="s">
        <v>18</v>
      </c>
      <c r="J5548" s="40" t="str">
        <f>HYPERLINK("https://stock.pstatic.net/stock-research/company/57/20260202_company_757106000.pdf","PDF")</f>
        <v>PDF</v>
      </c>
      <c r="K5548" s="12" t="s">
        <v>8578</v>
      </c>
      <c r="L5548" s="20">
        <v>0.20261437908496729</v>
      </c>
    </row>
    <row r="5549" spans="1:12" x14ac:dyDescent="0.45">
      <c r="A5549" s="12" t="s">
        <v>8536</v>
      </c>
      <c r="B5549" s="12" t="s">
        <v>3482</v>
      </c>
      <c r="C5549" s="13" t="s">
        <v>3483</v>
      </c>
      <c r="D5549" s="13" t="s">
        <v>65</v>
      </c>
      <c r="E5549" s="12" t="s">
        <v>35</v>
      </c>
      <c r="F5549" s="14">
        <v>130000</v>
      </c>
      <c r="G5549" s="14">
        <v>100100</v>
      </c>
      <c r="H5549" s="13" t="s">
        <v>8579</v>
      </c>
      <c r="I5549" s="40" t="s">
        <v>18</v>
      </c>
      <c r="J5549" s="40" t="str">
        <f>HYPERLINK("https://stock.pstatic.net/stock-research/company/57/20260202_company_20892000.pdf","PDF")</f>
        <v>PDF</v>
      </c>
      <c r="K5549" s="12" t="s">
        <v>8580</v>
      </c>
      <c r="L5549" s="20">
        <v>0.29870129870129869</v>
      </c>
    </row>
    <row r="5550" spans="1:12" x14ac:dyDescent="0.45">
      <c r="A5550" s="12" t="s">
        <v>8536</v>
      </c>
      <c r="B5550" s="12" t="s">
        <v>352</v>
      </c>
      <c r="C5550" s="13" t="s">
        <v>353</v>
      </c>
      <c r="D5550" s="13" t="s">
        <v>65</v>
      </c>
      <c r="E5550" s="12" t="s">
        <v>35</v>
      </c>
      <c r="F5550" s="14">
        <v>283000</v>
      </c>
      <c r="G5550" s="14">
        <v>230500</v>
      </c>
      <c r="H5550" s="13" t="s">
        <v>8581</v>
      </c>
      <c r="I5550" s="40" t="s">
        <v>18</v>
      </c>
      <c r="J5550" s="40" t="str">
        <f>HYPERLINK("https://stock.pstatic.net/stock-research/company/57/20260202_company_845358000.pdf","PDF")</f>
        <v>PDF</v>
      </c>
      <c r="K5550" s="12" t="s">
        <v>8582</v>
      </c>
      <c r="L5550" s="20">
        <v>0.22776572668112799</v>
      </c>
    </row>
    <row r="5551" spans="1:12" x14ac:dyDescent="0.45">
      <c r="A5551" s="12" t="s">
        <v>8536</v>
      </c>
      <c r="B5551" s="12" t="s">
        <v>3548</v>
      </c>
      <c r="C5551" s="13" t="s">
        <v>3549</v>
      </c>
      <c r="D5551" s="13" t="s">
        <v>65</v>
      </c>
      <c r="E5551" s="12" t="s">
        <v>35</v>
      </c>
      <c r="F5551" s="14">
        <v>100000</v>
      </c>
      <c r="G5551" s="14">
        <v>85700</v>
      </c>
      <c r="H5551" s="13" t="s">
        <v>8583</v>
      </c>
      <c r="I5551" s="40" t="s">
        <v>18</v>
      </c>
      <c r="J5551" s="40" t="str">
        <f>HYPERLINK("https://stock.pstatic.net/stock-research/company/57/20260202_company_671349000.pdf","PDF")</f>
        <v>PDF</v>
      </c>
      <c r="K5551" s="12" t="s">
        <v>8584</v>
      </c>
      <c r="L5551" s="20">
        <v>0.16686114352392059</v>
      </c>
    </row>
    <row r="5552" spans="1:12" x14ac:dyDescent="0.45">
      <c r="A5552" s="12" t="s">
        <v>8536</v>
      </c>
      <c r="B5552" s="12" t="s">
        <v>3478</v>
      </c>
      <c r="C5552" s="13" t="s">
        <v>3479</v>
      </c>
      <c r="D5552" s="13" t="s">
        <v>65</v>
      </c>
      <c r="E5552" s="12" t="s">
        <v>35</v>
      </c>
      <c r="F5552" s="14">
        <v>50000</v>
      </c>
      <c r="G5552" s="14">
        <v>31250</v>
      </c>
      <c r="H5552" s="13" t="s">
        <v>8585</v>
      </c>
      <c r="I5552" s="40" t="s">
        <v>18</v>
      </c>
      <c r="J5552" s="40" t="str">
        <f>HYPERLINK("https://stock.pstatic.net/stock-research/company/57/20260202_company_215230000.pdf","PDF")</f>
        <v>PDF</v>
      </c>
      <c r="K5552" s="12" t="s">
        <v>8586</v>
      </c>
      <c r="L5552" s="20">
        <v>0.6</v>
      </c>
    </row>
    <row r="5553" spans="1:12" x14ac:dyDescent="0.45">
      <c r="A5553" s="12" t="s">
        <v>8536</v>
      </c>
      <c r="B5553" s="12" t="s">
        <v>3451</v>
      </c>
      <c r="C5553" s="13" t="s">
        <v>3452</v>
      </c>
      <c r="D5553" s="13" t="s">
        <v>65</v>
      </c>
      <c r="E5553" s="12" t="s">
        <v>1738</v>
      </c>
      <c r="F5553" s="14">
        <v>220000</v>
      </c>
      <c r="G5553" s="14">
        <v>237000</v>
      </c>
      <c r="H5553" s="13" t="s">
        <v>8587</v>
      </c>
      <c r="I5553" s="40" t="s">
        <v>18</v>
      </c>
      <c r="J5553" s="40" t="str">
        <f>HYPERLINK("https://stock.pstatic.net/stock-research/company/57/20260202_company_713497000.pdf","PDF")</f>
        <v>PDF</v>
      </c>
      <c r="K5553" s="12" t="s">
        <v>8588</v>
      </c>
      <c r="L5553" s="20">
        <v>-7.1729957805907171E-2</v>
      </c>
    </row>
    <row r="5554" spans="1:12" x14ac:dyDescent="0.45">
      <c r="A5554" s="12" t="s">
        <v>8536</v>
      </c>
      <c r="B5554" s="12" t="s">
        <v>3536</v>
      </c>
      <c r="C5554" s="13" t="s">
        <v>3537</v>
      </c>
      <c r="D5554" s="13" t="s">
        <v>65</v>
      </c>
      <c r="E5554" s="12" t="s">
        <v>35</v>
      </c>
      <c r="F5554" s="14">
        <v>510000</v>
      </c>
      <c r="G5554" s="14">
        <v>377500</v>
      </c>
      <c r="H5554" s="13" t="s">
        <v>8589</v>
      </c>
      <c r="I5554" s="40" t="s">
        <v>18</v>
      </c>
      <c r="J5554" s="40" t="str">
        <f>HYPERLINK("https://stock.pstatic.net/stock-research/company/57/20260202_company_79797000.pdf","PDF")</f>
        <v>PDF</v>
      </c>
      <c r="K5554" s="12" t="s">
        <v>8590</v>
      </c>
      <c r="L5554" s="20">
        <v>0.35099337748344372</v>
      </c>
    </row>
    <row r="5555" spans="1:12" x14ac:dyDescent="0.45">
      <c r="A5555" s="12" t="s">
        <v>8536</v>
      </c>
      <c r="B5555" s="12" t="s">
        <v>3482</v>
      </c>
      <c r="C5555" s="13" t="s">
        <v>3483</v>
      </c>
      <c r="D5555" s="13" t="s">
        <v>158</v>
      </c>
      <c r="E5555" s="12" t="s">
        <v>35</v>
      </c>
      <c r="F5555" s="14">
        <v>125000</v>
      </c>
      <c r="G5555" s="14">
        <v>100100</v>
      </c>
      <c r="H5555" s="13" t="s">
        <v>8591</v>
      </c>
      <c r="I5555" s="40" t="s">
        <v>18</v>
      </c>
      <c r="J5555" s="40" t="str">
        <f>HYPERLINK("https://stock.pstatic.net/stock-research/company/57/20260202_company_11546000.pdf","PDF")</f>
        <v>PDF</v>
      </c>
      <c r="K5555" s="12" t="s">
        <v>8592</v>
      </c>
      <c r="L5555" s="20">
        <v>0.24875124875124871</v>
      </c>
    </row>
    <row r="5556" spans="1:12" x14ac:dyDescent="0.45">
      <c r="A5556" s="12" t="s">
        <v>8536</v>
      </c>
      <c r="B5556" s="12" t="s">
        <v>1781</v>
      </c>
      <c r="C5556" s="13" t="s">
        <v>1782</v>
      </c>
      <c r="D5556" s="13" t="s">
        <v>158</v>
      </c>
      <c r="E5556" s="12" t="s">
        <v>35</v>
      </c>
      <c r="F5556" s="14">
        <v>120000</v>
      </c>
      <c r="G5556" s="14">
        <v>99100</v>
      </c>
      <c r="H5556" s="13" t="s">
        <v>8593</v>
      </c>
      <c r="I5556" s="40" t="s">
        <v>18</v>
      </c>
      <c r="J5556" s="40" t="str">
        <f>HYPERLINK("https://stock.pstatic.net/stock-research/company/18/20260202_company_233257000.pdf","PDF")</f>
        <v>PDF</v>
      </c>
      <c r="K5556" s="12" t="s">
        <v>8594</v>
      </c>
      <c r="L5556" s="20">
        <v>0.21089808274470229</v>
      </c>
    </row>
    <row r="5557" spans="1:12" x14ac:dyDescent="0.45">
      <c r="A5557" s="12" t="s">
        <v>8536</v>
      </c>
      <c r="B5557" s="12" t="s">
        <v>3230</v>
      </c>
      <c r="C5557" s="13" t="s">
        <v>3231</v>
      </c>
      <c r="D5557" s="13" t="s">
        <v>158</v>
      </c>
      <c r="E5557" s="12" t="s">
        <v>35</v>
      </c>
      <c r="F5557" s="14">
        <v>3300000</v>
      </c>
      <c r="G5557" s="14">
        <v>2603000</v>
      </c>
      <c r="H5557" s="13" t="s">
        <v>8595</v>
      </c>
      <c r="I5557" s="40" t="s">
        <v>18</v>
      </c>
      <c r="J5557" s="40" t="str">
        <f>HYPERLINK("https://stock.pstatic.net/stock-research/company/18/20260202_company_191435000.pdf","PDF")</f>
        <v>PDF</v>
      </c>
      <c r="K5557" s="12" t="s">
        <v>8596</v>
      </c>
      <c r="L5557" s="20">
        <v>0.26776796004610071</v>
      </c>
    </row>
    <row r="5558" spans="1:12" x14ac:dyDescent="0.45">
      <c r="A5558" s="12" t="s">
        <v>8536</v>
      </c>
      <c r="B5558" s="12" t="s">
        <v>352</v>
      </c>
      <c r="C5558" s="13" t="s">
        <v>353</v>
      </c>
      <c r="D5558" s="13" t="s">
        <v>158</v>
      </c>
      <c r="E5558" s="12" t="s">
        <v>35</v>
      </c>
      <c r="F5558" s="14">
        <v>300000</v>
      </c>
      <c r="G5558" s="14">
        <v>230500</v>
      </c>
      <c r="H5558" s="13" t="s">
        <v>8597</v>
      </c>
      <c r="I5558" s="40" t="s">
        <v>18</v>
      </c>
      <c r="J5558" s="40" t="str">
        <f>HYPERLINK("https://stock.pstatic.net/stock-research/company/18/20260202_company_503626000.pdf","PDF")</f>
        <v>PDF</v>
      </c>
      <c r="K5558" s="12" t="s">
        <v>8598</v>
      </c>
      <c r="L5558" s="20">
        <v>0.30151843817787422</v>
      </c>
    </row>
    <row r="5559" spans="1:12" x14ac:dyDescent="0.45">
      <c r="A5559" s="12" t="s">
        <v>8536</v>
      </c>
      <c r="B5559" s="12" t="s">
        <v>5597</v>
      </c>
      <c r="C5559" s="13" t="s">
        <v>5598</v>
      </c>
      <c r="D5559" s="13" t="s">
        <v>158</v>
      </c>
      <c r="E5559" s="12" t="s">
        <v>159</v>
      </c>
      <c r="F5559" s="14">
        <v>78000</v>
      </c>
      <c r="G5559" s="14">
        <v>69600</v>
      </c>
      <c r="H5559" s="13" t="s">
        <v>8599</v>
      </c>
      <c r="I5559" s="40" t="s">
        <v>18</v>
      </c>
      <c r="J5559" s="40" t="str">
        <f>HYPERLINK("https://stock.pstatic.net/stock-research/company/18/20260202_company_970176000.pdf","PDF")</f>
        <v>PDF</v>
      </c>
      <c r="K5559" s="12" t="s">
        <v>8600</v>
      </c>
      <c r="L5559" s="20">
        <v>0.1206896551724138</v>
      </c>
    </row>
    <row r="5560" spans="1:12" x14ac:dyDescent="0.45">
      <c r="A5560" s="12" t="s">
        <v>8536</v>
      </c>
      <c r="B5560" s="12" t="s">
        <v>744</v>
      </c>
      <c r="C5560" s="13" t="s">
        <v>745</v>
      </c>
      <c r="D5560" s="13" t="s">
        <v>158</v>
      </c>
      <c r="E5560" s="12" t="s">
        <v>35</v>
      </c>
      <c r="F5560" s="14">
        <v>36000</v>
      </c>
      <c r="G5560" s="14">
        <v>29450</v>
      </c>
      <c r="H5560" s="13" t="s">
        <v>8601</v>
      </c>
      <c r="I5560" s="40" t="s">
        <v>18</v>
      </c>
      <c r="J5560" s="40" t="str">
        <f>HYPERLINK("https://stock.pstatic.net/stock-research/company/18/20260202_company_602427000.pdf","PDF")</f>
        <v>PDF</v>
      </c>
      <c r="K5560" s="12" t="s">
        <v>8602</v>
      </c>
      <c r="L5560" s="20">
        <v>0.22241086587436329</v>
      </c>
    </row>
    <row r="5561" spans="1:12" x14ac:dyDescent="0.45">
      <c r="A5561" s="12" t="s">
        <v>8536</v>
      </c>
      <c r="B5561" s="12" t="s">
        <v>2688</v>
      </c>
      <c r="C5561" s="13" t="s">
        <v>2689</v>
      </c>
      <c r="D5561" s="13" t="s">
        <v>158</v>
      </c>
      <c r="E5561" s="12" t="s">
        <v>35</v>
      </c>
      <c r="F5561" s="14">
        <v>90000</v>
      </c>
      <c r="G5561" s="14">
        <v>76400</v>
      </c>
      <c r="H5561" s="13" t="s">
        <v>8603</v>
      </c>
      <c r="I5561" s="40" t="s">
        <v>18</v>
      </c>
      <c r="J5561" s="40" t="str">
        <f>HYPERLINK("https://stock.pstatic.net/stock-research/company/18/20260202_company_39163000.pdf","PDF")</f>
        <v>PDF</v>
      </c>
      <c r="K5561" s="12" t="s">
        <v>8604</v>
      </c>
      <c r="L5561" s="20">
        <v>0.1780104712041885</v>
      </c>
    </row>
    <row r="5562" spans="1:12" x14ac:dyDescent="0.45">
      <c r="A5562" s="12" t="s">
        <v>8536</v>
      </c>
      <c r="B5562" s="12" t="s">
        <v>657</v>
      </c>
      <c r="C5562" s="13" t="s">
        <v>658</v>
      </c>
      <c r="D5562" s="13" t="s">
        <v>158</v>
      </c>
      <c r="E5562" s="12" t="s">
        <v>35</v>
      </c>
      <c r="F5562" s="14">
        <v>30000</v>
      </c>
      <c r="G5562" s="14">
        <v>21200</v>
      </c>
      <c r="H5562" s="13" t="s">
        <v>8605</v>
      </c>
      <c r="I5562" s="40" t="s">
        <v>18</v>
      </c>
      <c r="J5562" s="40" t="str">
        <f>HYPERLINK("https://stock.pstatic.net/stock-research/company/18/20260202_company_406377000.pdf","PDF")</f>
        <v>PDF</v>
      </c>
      <c r="K5562" s="12" t="s">
        <v>8606</v>
      </c>
      <c r="L5562" s="20">
        <v>0.41509433962264147</v>
      </c>
    </row>
    <row r="5563" spans="1:12" x14ac:dyDescent="0.45">
      <c r="A5563" s="12" t="s">
        <v>8536</v>
      </c>
      <c r="B5563" s="12" t="s">
        <v>744</v>
      </c>
      <c r="C5563" s="13" t="s">
        <v>745</v>
      </c>
      <c r="D5563" s="13" t="s">
        <v>15</v>
      </c>
      <c r="E5563" s="12" t="s">
        <v>16</v>
      </c>
      <c r="F5563" s="14">
        <v>36000</v>
      </c>
      <c r="G5563" s="14">
        <v>29450</v>
      </c>
      <c r="H5563" s="13" t="s">
        <v>8607</v>
      </c>
      <c r="I5563" s="40" t="s">
        <v>18</v>
      </c>
      <c r="J5563" s="40" t="str">
        <f>HYPERLINK("https://stock.pstatic.net/stock-research/company/56/20260202_company_100456000.pdf","PDF")</f>
        <v>PDF</v>
      </c>
      <c r="K5563" s="12" t="s">
        <v>8608</v>
      </c>
      <c r="L5563" s="20">
        <v>0.22241086587436329</v>
      </c>
    </row>
    <row r="5564" spans="1:12" x14ac:dyDescent="0.45">
      <c r="A5564" s="12" t="s">
        <v>8536</v>
      </c>
      <c r="B5564" s="12" t="s">
        <v>3113</v>
      </c>
      <c r="C5564" s="13" t="s">
        <v>3114</v>
      </c>
      <c r="D5564" s="13" t="s">
        <v>15</v>
      </c>
      <c r="E5564" s="12" t="s">
        <v>385</v>
      </c>
      <c r="F5564" s="14">
        <v>38000</v>
      </c>
      <c r="G5564" s="14">
        <v>38250</v>
      </c>
      <c r="H5564" s="13" t="s">
        <v>8609</v>
      </c>
      <c r="I5564" s="40" t="s">
        <v>18</v>
      </c>
      <c r="J5564" s="40" t="str">
        <f>HYPERLINK("https://stock.pstatic.net/stock-research/company/56/20260202_company_854221000.pdf","PDF")</f>
        <v>PDF</v>
      </c>
      <c r="K5564" s="12" t="s">
        <v>8610</v>
      </c>
      <c r="L5564" s="20">
        <v>-6.5359477124183009E-3</v>
      </c>
    </row>
    <row r="5565" spans="1:12" x14ac:dyDescent="0.45">
      <c r="A5565" s="12" t="s">
        <v>8536</v>
      </c>
      <c r="B5565" s="12" t="s">
        <v>3478</v>
      </c>
      <c r="C5565" s="13" t="s">
        <v>3479</v>
      </c>
      <c r="D5565" s="13" t="s">
        <v>15</v>
      </c>
      <c r="E5565" s="12" t="s">
        <v>16</v>
      </c>
      <c r="F5565" s="14">
        <v>41000</v>
      </c>
      <c r="G5565" s="14">
        <v>31250</v>
      </c>
      <c r="H5565" s="13" t="s">
        <v>8611</v>
      </c>
      <c r="I5565" s="40" t="s">
        <v>18</v>
      </c>
      <c r="J5565" s="40" t="str">
        <f>HYPERLINK("https://stock.pstatic.net/stock-research/company/56/20260202_company_718124000.pdf","PDF")</f>
        <v>PDF</v>
      </c>
      <c r="K5565" s="12" t="s">
        <v>8612</v>
      </c>
      <c r="L5565" s="20">
        <v>0.312</v>
      </c>
    </row>
    <row r="5566" spans="1:12" x14ac:dyDescent="0.45">
      <c r="A5566" s="12" t="s">
        <v>8536</v>
      </c>
      <c r="B5566" s="12" t="s">
        <v>3482</v>
      </c>
      <c r="C5566" s="13" t="s">
        <v>3483</v>
      </c>
      <c r="D5566" s="13" t="s">
        <v>15</v>
      </c>
      <c r="E5566" s="12" t="s">
        <v>16</v>
      </c>
      <c r="F5566" s="14">
        <v>145000</v>
      </c>
      <c r="G5566" s="14">
        <v>100100</v>
      </c>
      <c r="H5566" s="13" t="s">
        <v>8613</v>
      </c>
      <c r="I5566" s="40" t="s">
        <v>18</v>
      </c>
      <c r="J5566" s="40" t="str">
        <f>HYPERLINK("https://stock.pstatic.net/stock-research/company/56/20260202_company_771426000.pdf","PDF")</f>
        <v>PDF</v>
      </c>
      <c r="K5566" s="12" t="s">
        <v>8614</v>
      </c>
      <c r="L5566" s="20">
        <v>0.44855144855144857</v>
      </c>
    </row>
    <row r="5567" spans="1:12" x14ac:dyDescent="0.45">
      <c r="A5567" s="12" t="s">
        <v>8536</v>
      </c>
      <c r="B5567" s="12" t="s">
        <v>489</v>
      </c>
      <c r="C5567" s="13" t="s">
        <v>490</v>
      </c>
      <c r="D5567" s="13" t="s">
        <v>15</v>
      </c>
      <c r="E5567" s="12" t="s">
        <v>16</v>
      </c>
      <c r="F5567" s="14">
        <v>90000</v>
      </c>
      <c r="G5567" s="14">
        <v>62000</v>
      </c>
      <c r="H5567" s="13" t="s">
        <v>8615</v>
      </c>
      <c r="I5567" s="40" t="s">
        <v>18</v>
      </c>
      <c r="J5567" s="40" t="str">
        <f>HYPERLINK("https://stock.pstatic.net/stock-research/company/56/20260202_company_145923000.pdf","PDF")</f>
        <v>PDF</v>
      </c>
      <c r="K5567" s="12" t="s">
        <v>8616</v>
      </c>
      <c r="L5567" s="20">
        <v>0.45161290322580638</v>
      </c>
    </row>
    <row r="5568" spans="1:12" x14ac:dyDescent="0.45">
      <c r="A5568" s="12" t="s">
        <v>8536</v>
      </c>
      <c r="B5568" s="12" t="s">
        <v>352</v>
      </c>
      <c r="C5568" s="13" t="s">
        <v>353</v>
      </c>
      <c r="D5568" s="13" t="s">
        <v>15</v>
      </c>
      <c r="E5568" s="12" t="s">
        <v>16</v>
      </c>
      <c r="F5568" s="14">
        <v>300000</v>
      </c>
      <c r="G5568" s="14">
        <v>230500</v>
      </c>
      <c r="H5568" s="13" t="s">
        <v>8617</v>
      </c>
      <c r="I5568" s="40" t="s">
        <v>18</v>
      </c>
      <c r="J5568" s="40" t="str">
        <f>HYPERLINK("https://stock.pstatic.net/stock-research/company/56/20260202_company_287070000.pdf","PDF")</f>
        <v>PDF</v>
      </c>
      <c r="K5568" s="12" t="s">
        <v>8618</v>
      </c>
      <c r="L5568" s="20">
        <v>0.30151843817787422</v>
      </c>
    </row>
    <row r="5569" spans="1:12" x14ac:dyDescent="0.45">
      <c r="A5569" s="12" t="s">
        <v>8536</v>
      </c>
      <c r="B5569" s="12" t="s">
        <v>3548</v>
      </c>
      <c r="C5569" s="13" t="s">
        <v>3549</v>
      </c>
      <c r="D5569" s="13" t="s">
        <v>92</v>
      </c>
      <c r="E5569" s="12" t="s">
        <v>35</v>
      </c>
      <c r="F5569" s="14">
        <v>95000</v>
      </c>
      <c r="G5569" s="14">
        <v>85700</v>
      </c>
      <c r="H5569" s="13" t="s">
        <v>8619</v>
      </c>
      <c r="I5569" s="40" t="s">
        <v>18</v>
      </c>
      <c r="J5569" s="40" t="str">
        <f>HYPERLINK("https://stock.pstatic.net/stock-research/company/63/20260202_company_643157000.pdf","PDF")</f>
        <v>PDF</v>
      </c>
      <c r="K5569" s="12" t="s">
        <v>8620</v>
      </c>
      <c r="L5569" s="20">
        <v>0.1085180863477246</v>
      </c>
    </row>
    <row r="5570" spans="1:12" x14ac:dyDescent="0.45">
      <c r="A5570" s="12" t="s">
        <v>8536</v>
      </c>
      <c r="B5570" s="12" t="s">
        <v>4567</v>
      </c>
      <c r="C5570" s="13" t="s">
        <v>4568</v>
      </c>
      <c r="D5570" s="13" t="s">
        <v>83</v>
      </c>
      <c r="E5570" s="12" t="s">
        <v>35</v>
      </c>
      <c r="F5570" s="14">
        <v>74000</v>
      </c>
      <c r="G5570" s="14">
        <v>63300</v>
      </c>
      <c r="H5570" s="13" t="s">
        <v>8621</v>
      </c>
      <c r="I5570" s="40" t="s">
        <v>18</v>
      </c>
      <c r="J5570" s="40" t="str">
        <f>HYPERLINK("https://stock.pstatic.net/stock-research/company/15/20260202_company_546789000.pdf","PDF")</f>
        <v>PDF</v>
      </c>
      <c r="K5570" s="12" t="s">
        <v>8622</v>
      </c>
      <c r="L5570" s="20">
        <v>0.16903633491311221</v>
      </c>
    </row>
    <row r="5571" spans="1:12" x14ac:dyDescent="0.45">
      <c r="A5571" s="12" t="s">
        <v>8536</v>
      </c>
      <c r="B5571" s="12" t="s">
        <v>1781</v>
      </c>
      <c r="C5571" s="13" t="s">
        <v>1782</v>
      </c>
      <c r="D5571" s="13" t="s">
        <v>83</v>
      </c>
      <c r="E5571" s="12" t="s">
        <v>35</v>
      </c>
      <c r="F5571" s="14">
        <v>140000</v>
      </c>
      <c r="G5571" s="14">
        <v>99100</v>
      </c>
      <c r="H5571" s="13" t="s">
        <v>8623</v>
      </c>
      <c r="I5571" s="40" t="s">
        <v>18</v>
      </c>
      <c r="J5571" s="40" t="str">
        <f>HYPERLINK("https://stock.pstatic.net/stock-research/company/15/20260202_company_294763000.pdf","PDF")</f>
        <v>PDF</v>
      </c>
      <c r="K5571" s="12" t="s">
        <v>8624</v>
      </c>
      <c r="L5571" s="20">
        <v>0.4127144298688194</v>
      </c>
    </row>
    <row r="5572" spans="1:12" x14ac:dyDescent="0.45">
      <c r="A5572" s="12" t="s">
        <v>8536</v>
      </c>
      <c r="B5572" s="12" t="s">
        <v>3230</v>
      </c>
      <c r="C5572" s="13" t="s">
        <v>3231</v>
      </c>
      <c r="D5572" s="13" t="s">
        <v>83</v>
      </c>
      <c r="E5572" s="12" t="s">
        <v>35</v>
      </c>
      <c r="F5572" s="14">
        <v>3300000</v>
      </c>
      <c r="G5572" s="14">
        <v>2603000</v>
      </c>
      <c r="H5572" s="13" t="s">
        <v>8625</v>
      </c>
      <c r="I5572" s="40" t="s">
        <v>18</v>
      </c>
      <c r="J5572" s="40" t="str">
        <f>HYPERLINK("https://stock.pstatic.net/stock-research/company/15/20260202_company_927836000.pdf","PDF")</f>
        <v>PDF</v>
      </c>
      <c r="K5572" s="12" t="s">
        <v>8626</v>
      </c>
      <c r="L5572" s="20">
        <v>0.26776796004610071</v>
      </c>
    </row>
    <row r="5573" spans="1:12" x14ac:dyDescent="0.45">
      <c r="A5573" s="12" t="s">
        <v>8536</v>
      </c>
      <c r="B5573" s="12" t="s">
        <v>3548</v>
      </c>
      <c r="C5573" s="13" t="s">
        <v>3549</v>
      </c>
      <c r="D5573" s="13" t="s">
        <v>83</v>
      </c>
      <c r="E5573" s="12" t="s">
        <v>642</v>
      </c>
      <c r="F5573" s="14">
        <v>95000</v>
      </c>
      <c r="G5573" s="14">
        <v>85700</v>
      </c>
      <c r="H5573" s="13" t="s">
        <v>8627</v>
      </c>
      <c r="I5573" s="40" t="s">
        <v>18</v>
      </c>
      <c r="J5573" s="40" t="str">
        <f>HYPERLINK("https://stock.pstatic.net/stock-research/company/15/20260202_company_357736000.pdf","PDF")</f>
        <v>PDF</v>
      </c>
      <c r="K5573" s="12" t="s">
        <v>8628</v>
      </c>
      <c r="L5573" s="20">
        <v>0.1085180863477246</v>
      </c>
    </row>
    <row r="5574" spans="1:12" x14ac:dyDescent="0.45">
      <c r="A5574" s="12" t="s">
        <v>8536</v>
      </c>
      <c r="B5574" s="12" t="s">
        <v>2777</v>
      </c>
      <c r="C5574" s="13" t="s">
        <v>2778</v>
      </c>
      <c r="D5574" s="13" t="s">
        <v>83</v>
      </c>
      <c r="E5574" s="12" t="s">
        <v>35</v>
      </c>
      <c r="F5574" s="14">
        <v>560000</v>
      </c>
      <c r="G5574" s="14">
        <v>461500</v>
      </c>
      <c r="H5574" s="13" t="s">
        <v>8629</v>
      </c>
      <c r="I5574" s="40" t="s">
        <v>18</v>
      </c>
      <c r="J5574" s="40" t="str">
        <f>HYPERLINK("https://stock.pstatic.net/stock-research/company/15/20260202_company_694027000.pdf","PDF")</f>
        <v>PDF</v>
      </c>
      <c r="K5574" s="12" t="s">
        <v>8630</v>
      </c>
      <c r="L5574" s="20">
        <v>0.2134344528710726</v>
      </c>
    </row>
    <row r="5575" spans="1:12" x14ac:dyDescent="0.45">
      <c r="A5575" s="12" t="s">
        <v>8536</v>
      </c>
      <c r="B5575" s="12" t="s">
        <v>495</v>
      </c>
      <c r="C5575" s="13" t="s">
        <v>496</v>
      </c>
      <c r="D5575" s="13" t="s">
        <v>83</v>
      </c>
      <c r="E5575" s="12" t="s">
        <v>35</v>
      </c>
      <c r="F5575" s="14">
        <v>320000</v>
      </c>
      <c r="G5575" s="14">
        <v>270000</v>
      </c>
      <c r="H5575" s="13" t="s">
        <v>8631</v>
      </c>
      <c r="I5575" s="40" t="s">
        <v>18</v>
      </c>
      <c r="J5575" s="40" t="str">
        <f>HYPERLINK("https://stock.pstatic.net/stock-research/company/15/20260202_company_694820000.pdf","PDF")</f>
        <v>PDF</v>
      </c>
      <c r="K5575" s="12" t="s">
        <v>8632</v>
      </c>
      <c r="L5575" s="20">
        <v>0.1851851851851852</v>
      </c>
    </row>
    <row r="5576" spans="1:12" x14ac:dyDescent="0.45">
      <c r="A5576" s="12" t="s">
        <v>8536</v>
      </c>
      <c r="B5576" s="12" t="s">
        <v>3113</v>
      </c>
      <c r="C5576" s="13" t="s">
        <v>3114</v>
      </c>
      <c r="D5576" s="13" t="s">
        <v>92</v>
      </c>
      <c r="E5576" s="12" t="s">
        <v>35</v>
      </c>
      <c r="F5576" s="14">
        <v>55000</v>
      </c>
      <c r="G5576" s="14">
        <v>38250</v>
      </c>
      <c r="H5576" s="13" t="s">
        <v>8633</v>
      </c>
      <c r="I5576" s="40" t="s">
        <v>18</v>
      </c>
      <c r="J5576" s="40" t="str">
        <f>HYPERLINK("https://stock.pstatic.net/stock-research/company/63/20260202_company_372755000.pdf","PDF")</f>
        <v>PDF</v>
      </c>
      <c r="K5576" s="12" t="s">
        <v>8634</v>
      </c>
      <c r="L5576" s="20">
        <v>0.43790849673202609</v>
      </c>
    </row>
    <row r="5577" spans="1:12" x14ac:dyDescent="0.45">
      <c r="A5577" s="12" t="s">
        <v>8536</v>
      </c>
      <c r="B5577" s="12" t="s">
        <v>398</v>
      </c>
      <c r="C5577" s="13" t="s">
        <v>399</v>
      </c>
      <c r="D5577" s="13" t="s">
        <v>179</v>
      </c>
      <c r="E5577" s="12" t="s">
        <v>16</v>
      </c>
      <c r="F5577" s="14">
        <v>300000</v>
      </c>
      <c r="G5577" s="14">
        <v>223500</v>
      </c>
      <c r="H5577" s="13" t="s">
        <v>8635</v>
      </c>
      <c r="I5577" s="40" t="s">
        <v>18</v>
      </c>
      <c r="J5577" s="40" t="str">
        <f>HYPERLINK("https://stock.pstatic.net/stock-research/company/64/20260202_company_65074000.pdf","PDF")</f>
        <v>PDF</v>
      </c>
      <c r="K5577" s="12" t="s">
        <v>8636</v>
      </c>
      <c r="L5577" s="20">
        <v>0.34228187919463088</v>
      </c>
    </row>
    <row r="5578" spans="1:12" x14ac:dyDescent="0.45">
      <c r="A5578" s="12" t="s">
        <v>8536</v>
      </c>
      <c r="B5578" s="12" t="s">
        <v>744</v>
      </c>
      <c r="C5578" s="13" t="s">
        <v>745</v>
      </c>
      <c r="D5578" s="13" t="s">
        <v>92</v>
      </c>
      <c r="E5578" s="12" t="s">
        <v>35</v>
      </c>
      <c r="F5578" s="14">
        <v>41000</v>
      </c>
      <c r="G5578" s="14">
        <v>29450</v>
      </c>
      <c r="H5578" s="13" t="s">
        <v>8637</v>
      </c>
      <c r="I5578" s="40" t="s">
        <v>18</v>
      </c>
      <c r="J5578" s="40" t="str">
        <f>HYPERLINK("https://stock.pstatic.net/stock-research/company/63/20260202_company_512641000.pdf","PDF")</f>
        <v>PDF</v>
      </c>
      <c r="K5578" s="12" t="s">
        <v>8638</v>
      </c>
      <c r="L5578" s="20">
        <v>0.39219015280135822</v>
      </c>
    </row>
    <row r="5579" spans="1:12" x14ac:dyDescent="0.45">
      <c r="A5579" s="12" t="s">
        <v>8536</v>
      </c>
      <c r="B5579" s="12" t="s">
        <v>2378</v>
      </c>
      <c r="C5579" s="13" t="s">
        <v>2379</v>
      </c>
      <c r="D5579" s="13" t="s">
        <v>179</v>
      </c>
      <c r="E5579" s="12" t="s">
        <v>16</v>
      </c>
      <c r="F5579" s="14">
        <v>565000</v>
      </c>
      <c r="G5579" s="14">
        <v>398000</v>
      </c>
      <c r="H5579" s="13" t="s">
        <v>8639</v>
      </c>
      <c r="I5579" s="40" t="s">
        <v>18</v>
      </c>
      <c r="J5579" s="40" t="str">
        <f>HYPERLINK("https://stock.pstatic.net/stock-research/company/64/20260202_company_392959000.pdf","PDF")</f>
        <v>PDF</v>
      </c>
      <c r="K5579" s="12" t="s">
        <v>8640</v>
      </c>
      <c r="L5579" s="20">
        <v>0.41959798994974867</v>
      </c>
    </row>
    <row r="5580" spans="1:12" x14ac:dyDescent="0.45">
      <c r="A5580" s="12" t="s">
        <v>8536</v>
      </c>
      <c r="B5580" s="12" t="s">
        <v>3113</v>
      </c>
      <c r="C5580" s="13" t="s">
        <v>3114</v>
      </c>
      <c r="D5580" s="13" t="s">
        <v>23</v>
      </c>
      <c r="E5580" s="12" t="s">
        <v>16</v>
      </c>
      <c r="F5580" s="14">
        <v>43000</v>
      </c>
      <c r="G5580" s="14">
        <v>38250</v>
      </c>
      <c r="H5580" s="13" t="s">
        <v>8641</v>
      </c>
      <c r="I5580" s="40" t="s">
        <v>18</v>
      </c>
      <c r="J5580" s="40" t="str">
        <f>HYPERLINK("https://stock.pstatic.net/stock-research/company/21/20260202_company_991002000.pdf","PDF")</f>
        <v>PDF</v>
      </c>
      <c r="K5580" s="12" t="s">
        <v>8642</v>
      </c>
      <c r="L5580" s="20">
        <v>0.1241830065359477</v>
      </c>
    </row>
    <row r="5581" spans="1:12" x14ac:dyDescent="0.45">
      <c r="A5581" s="12" t="s">
        <v>8536</v>
      </c>
      <c r="B5581" s="12" t="s">
        <v>1781</v>
      </c>
      <c r="C5581" s="13" t="s">
        <v>1782</v>
      </c>
      <c r="D5581" s="13" t="s">
        <v>179</v>
      </c>
      <c r="E5581" s="12" t="s">
        <v>16</v>
      </c>
      <c r="F5581" s="14">
        <v>130000</v>
      </c>
      <c r="G5581" s="14">
        <v>99100</v>
      </c>
      <c r="H5581" s="13" t="s">
        <v>8643</v>
      </c>
      <c r="I5581" s="40" t="s">
        <v>18</v>
      </c>
      <c r="J5581" s="40" t="str">
        <f>HYPERLINK("https://stock.pstatic.net/stock-research/company/64/20260202_company_74109000.pdf","PDF")</f>
        <v>PDF</v>
      </c>
      <c r="K5581" s="12" t="s">
        <v>8644</v>
      </c>
      <c r="L5581" s="20">
        <v>0.31180625630676079</v>
      </c>
    </row>
    <row r="5582" spans="1:12" x14ac:dyDescent="0.45">
      <c r="A5582" s="12" t="s">
        <v>8536</v>
      </c>
      <c r="B5582" s="12" t="s">
        <v>1781</v>
      </c>
      <c r="C5582" s="13" t="s">
        <v>1782</v>
      </c>
      <c r="D5582" s="13" t="s">
        <v>92</v>
      </c>
      <c r="E5582" s="12" t="s">
        <v>35</v>
      </c>
      <c r="F5582" s="14">
        <v>117000</v>
      </c>
      <c r="G5582" s="14">
        <v>99100</v>
      </c>
      <c r="H5582" s="13" t="s">
        <v>8645</v>
      </c>
      <c r="I5582" s="40" t="s">
        <v>18</v>
      </c>
      <c r="J5582" s="40" t="str">
        <f>HYPERLINK("https://stock.pstatic.net/stock-research/company/63/20260202_company_289128000.pdf","PDF")</f>
        <v>PDF</v>
      </c>
      <c r="K5582" s="12" t="s">
        <v>8646</v>
      </c>
      <c r="L5582" s="20">
        <v>0.18062563067608481</v>
      </c>
    </row>
    <row r="5583" spans="1:12" x14ac:dyDescent="0.45">
      <c r="A5583" s="12" t="s">
        <v>8536</v>
      </c>
      <c r="B5583" s="12" t="s">
        <v>3536</v>
      </c>
      <c r="C5583" s="13" t="s">
        <v>3537</v>
      </c>
      <c r="D5583" s="13" t="s">
        <v>23</v>
      </c>
      <c r="E5583" s="12" t="s">
        <v>16</v>
      </c>
      <c r="F5583" s="14">
        <v>540000</v>
      </c>
      <c r="G5583" s="14">
        <v>377500</v>
      </c>
      <c r="H5583" s="13" t="s">
        <v>8647</v>
      </c>
      <c r="I5583" s="40" t="s">
        <v>18</v>
      </c>
      <c r="J5583" s="40" t="str">
        <f>HYPERLINK("https://stock.pstatic.net/stock-research/company/21/20260202_company_437092000.pdf","PDF")</f>
        <v>PDF</v>
      </c>
      <c r="K5583" s="12" t="s">
        <v>8648</v>
      </c>
      <c r="L5583" s="20">
        <v>0.43046357615894038</v>
      </c>
    </row>
    <row r="5584" spans="1:12" x14ac:dyDescent="0.45">
      <c r="A5584" s="12" t="s">
        <v>8536</v>
      </c>
      <c r="B5584" s="12" t="s">
        <v>3230</v>
      </c>
      <c r="C5584" s="13" t="s">
        <v>3231</v>
      </c>
      <c r="D5584" s="13" t="s">
        <v>23</v>
      </c>
      <c r="E5584" s="12" t="s">
        <v>16</v>
      </c>
      <c r="F5584" s="14">
        <v>2500000</v>
      </c>
      <c r="G5584" s="14">
        <v>2603000</v>
      </c>
      <c r="H5584" s="13" t="s">
        <v>8649</v>
      </c>
      <c r="I5584" s="40" t="s">
        <v>18</v>
      </c>
      <c r="J5584" s="40" t="str">
        <f>HYPERLINK("https://stock.pstatic.net/stock-research/company/21/20260202_company_596470000.pdf","PDF")</f>
        <v>PDF</v>
      </c>
      <c r="K5584" s="12" t="s">
        <v>8650</v>
      </c>
      <c r="L5584" s="20">
        <v>-3.9569727237802527E-2</v>
      </c>
    </row>
    <row r="5585" spans="1:12" x14ac:dyDescent="0.45">
      <c r="A5585" s="12" t="s">
        <v>8536</v>
      </c>
      <c r="B5585" s="12" t="s">
        <v>3478</v>
      </c>
      <c r="C5585" s="13" t="s">
        <v>3479</v>
      </c>
      <c r="D5585" s="13" t="s">
        <v>23</v>
      </c>
      <c r="E5585" s="12" t="s">
        <v>16</v>
      </c>
      <c r="F5585" s="14">
        <v>38000</v>
      </c>
      <c r="G5585" s="14">
        <v>29200</v>
      </c>
      <c r="H5585" s="13" t="s">
        <v>8651</v>
      </c>
      <c r="I5585" s="40" t="s">
        <v>18</v>
      </c>
      <c r="J5585" s="40" t="str">
        <f>HYPERLINK("https://stock.pstatic.net/stock-research/company/21/20260202_company_882315000.pdf","PDF")</f>
        <v>PDF</v>
      </c>
      <c r="K5585" s="12" t="s">
        <v>8652</v>
      </c>
      <c r="L5585" s="20">
        <v>0.30136986301369861</v>
      </c>
    </row>
    <row r="5586" spans="1:12" x14ac:dyDescent="0.45">
      <c r="A5586" s="12" t="s">
        <v>8536</v>
      </c>
      <c r="B5586" s="12" t="s">
        <v>3482</v>
      </c>
      <c r="C5586" s="13" t="s">
        <v>3483</v>
      </c>
      <c r="D5586" s="13" t="s">
        <v>23</v>
      </c>
      <c r="E5586" s="12" t="s">
        <v>16</v>
      </c>
      <c r="F5586" s="14">
        <v>115000</v>
      </c>
      <c r="G5586" s="14">
        <v>100100</v>
      </c>
      <c r="H5586" s="13" t="s">
        <v>8653</v>
      </c>
      <c r="I5586" s="40" t="s">
        <v>18</v>
      </c>
      <c r="J5586" s="40" t="str">
        <f>HYPERLINK("https://stock.pstatic.net/stock-research/company/21/20260202_company_872901000.pdf","PDF")</f>
        <v>PDF</v>
      </c>
      <c r="K5586" s="12" t="s">
        <v>8654</v>
      </c>
      <c r="L5586" s="20">
        <v>0.14885114885114889</v>
      </c>
    </row>
    <row r="5587" spans="1:12" x14ac:dyDescent="0.45">
      <c r="A5587" s="12" t="s">
        <v>8536</v>
      </c>
      <c r="B5587" s="12" t="s">
        <v>3150</v>
      </c>
      <c r="C5587" s="13" t="s">
        <v>3151</v>
      </c>
      <c r="D5587" s="13" t="s">
        <v>23</v>
      </c>
      <c r="E5587" s="12" t="s">
        <v>50</v>
      </c>
      <c r="F5587" s="13"/>
      <c r="G5587" s="14">
        <v>197700</v>
      </c>
      <c r="H5587" s="13" t="s">
        <v>8655</v>
      </c>
      <c r="I5587" s="40" t="s">
        <v>18</v>
      </c>
      <c r="J5587" s="40" t="str">
        <f>HYPERLINK("https://stock.pstatic.net/stock-research/company/21/20260202_company_930103000.pdf","PDF")</f>
        <v>PDF</v>
      </c>
      <c r="K5587" s="12" t="s">
        <v>8656</v>
      </c>
    </row>
    <row r="5588" spans="1:12" x14ac:dyDescent="0.45">
      <c r="A5588" s="12" t="s">
        <v>8536</v>
      </c>
      <c r="B5588" s="12" t="s">
        <v>3230</v>
      </c>
      <c r="C5588" s="13" t="s">
        <v>3231</v>
      </c>
      <c r="D5588" s="13" t="s">
        <v>53</v>
      </c>
      <c r="E5588" s="12" t="s">
        <v>16</v>
      </c>
      <c r="F5588" s="14">
        <v>3300000</v>
      </c>
      <c r="G5588" s="14">
        <v>2603000</v>
      </c>
      <c r="H5588" s="13" t="s">
        <v>8657</v>
      </c>
      <c r="I5588" s="40" t="s">
        <v>18</v>
      </c>
      <c r="J5588" s="40" t="str">
        <f>HYPERLINK("https://stock.pstatic.net/stock-research/company/40/20260202_company_863384000.pdf","PDF")</f>
        <v>PDF</v>
      </c>
      <c r="K5588" s="12" t="s">
        <v>8658</v>
      </c>
      <c r="L5588" s="20">
        <v>0.26776796004610071</v>
      </c>
    </row>
    <row r="5589" spans="1:12" x14ac:dyDescent="0.45">
      <c r="A5589" s="12" t="s">
        <v>8536</v>
      </c>
      <c r="B5589" s="12" t="s">
        <v>352</v>
      </c>
      <c r="C5589" s="13" t="s">
        <v>353</v>
      </c>
      <c r="D5589" s="13" t="s">
        <v>92</v>
      </c>
      <c r="E5589" s="12" t="s">
        <v>35</v>
      </c>
      <c r="F5589" s="14">
        <v>300000</v>
      </c>
      <c r="G5589" s="14">
        <v>230500</v>
      </c>
      <c r="H5589" s="13" t="s">
        <v>8659</v>
      </c>
      <c r="I5589" s="40" t="s">
        <v>18</v>
      </c>
      <c r="J5589" s="40" t="str">
        <f>HYPERLINK("https://stock.pstatic.net/stock-research/company/63/20260202_company_712681000.pdf","PDF")</f>
        <v>PDF</v>
      </c>
      <c r="K5589" s="12" t="s">
        <v>8660</v>
      </c>
      <c r="L5589" s="20">
        <v>0.30151843817787422</v>
      </c>
    </row>
    <row r="5590" spans="1:12" x14ac:dyDescent="0.45">
      <c r="A5590" s="12" t="s">
        <v>8536</v>
      </c>
      <c r="B5590" s="12" t="s">
        <v>3548</v>
      </c>
      <c r="C5590" s="13" t="s">
        <v>3549</v>
      </c>
      <c r="D5590" s="13" t="s">
        <v>23</v>
      </c>
      <c r="E5590" s="12" t="s">
        <v>16</v>
      </c>
      <c r="F5590" s="14">
        <v>99000</v>
      </c>
      <c r="G5590" s="14">
        <v>85700</v>
      </c>
      <c r="H5590" s="13" t="s">
        <v>8661</v>
      </c>
      <c r="I5590" s="40" t="s">
        <v>18</v>
      </c>
      <c r="J5590" s="40" t="str">
        <f>HYPERLINK("https://stock.pstatic.net/stock-research/company/21/20260202_company_500607000.pdf","PDF")</f>
        <v>PDF</v>
      </c>
      <c r="K5590" s="12" t="s">
        <v>8662</v>
      </c>
      <c r="L5590" s="20">
        <v>0.15519253208868139</v>
      </c>
    </row>
    <row r="5591" spans="1:12" x14ac:dyDescent="0.45">
      <c r="A5591" s="12" t="s">
        <v>8536</v>
      </c>
      <c r="B5591" s="12" t="s">
        <v>744</v>
      </c>
      <c r="C5591" s="13" t="s">
        <v>745</v>
      </c>
      <c r="D5591" s="13" t="s">
        <v>34</v>
      </c>
      <c r="E5591" s="12" t="s">
        <v>35</v>
      </c>
      <c r="F5591" s="14">
        <v>35000</v>
      </c>
      <c r="G5591" s="14">
        <v>29450</v>
      </c>
      <c r="H5591" s="13" t="s">
        <v>8663</v>
      </c>
      <c r="I5591" s="40" t="s">
        <v>18</v>
      </c>
      <c r="J5591" s="40" t="str">
        <f>HYPERLINK("https://stock.pstatic.net/stock-research/company/61/20260202_company_935887000.pdf","PDF")</f>
        <v>PDF</v>
      </c>
      <c r="K5591" s="12" t="s">
        <v>8664</v>
      </c>
      <c r="L5591" s="20">
        <v>0.18845500848896429</v>
      </c>
    </row>
    <row r="5592" spans="1:12" x14ac:dyDescent="0.45">
      <c r="A5592" s="12" t="s">
        <v>8536</v>
      </c>
      <c r="B5592" s="12" t="s">
        <v>352</v>
      </c>
      <c r="C5592" s="13" t="s">
        <v>353</v>
      </c>
      <c r="D5592" s="13" t="s">
        <v>23</v>
      </c>
      <c r="E5592" s="12" t="s">
        <v>16</v>
      </c>
      <c r="F5592" s="14">
        <v>290000</v>
      </c>
      <c r="G5592" s="14">
        <v>230500</v>
      </c>
      <c r="H5592" s="13" t="s">
        <v>8665</v>
      </c>
      <c r="I5592" s="40" t="s">
        <v>18</v>
      </c>
      <c r="J5592" s="40" t="str">
        <f>HYPERLINK("https://stock.pstatic.net/stock-research/company/21/20260202_company_108602000.pdf","PDF")</f>
        <v>PDF</v>
      </c>
      <c r="K5592" s="12" t="s">
        <v>8666</v>
      </c>
      <c r="L5592" s="20">
        <v>0.25813449023861168</v>
      </c>
    </row>
    <row r="5593" spans="1:12" x14ac:dyDescent="0.45">
      <c r="A5593" s="12" t="s">
        <v>8536</v>
      </c>
      <c r="B5593" s="12" t="s">
        <v>1781</v>
      </c>
      <c r="C5593" s="13" t="s">
        <v>1782</v>
      </c>
      <c r="D5593" s="13" t="s">
        <v>23</v>
      </c>
      <c r="E5593" s="12" t="s">
        <v>16</v>
      </c>
      <c r="F5593" s="14">
        <v>130000</v>
      </c>
      <c r="G5593" s="14">
        <v>99100</v>
      </c>
      <c r="H5593" s="13" t="s">
        <v>8667</v>
      </c>
      <c r="I5593" s="40" t="s">
        <v>18</v>
      </c>
      <c r="J5593" s="40" t="str">
        <f>HYPERLINK("https://stock.pstatic.net/stock-research/company/21/20260202_company_36758000.pdf","PDF")</f>
        <v>PDF</v>
      </c>
      <c r="K5593" s="12" t="s">
        <v>8668</v>
      </c>
      <c r="L5593" s="20">
        <v>0.31180625630676079</v>
      </c>
    </row>
    <row r="5594" spans="1:12" x14ac:dyDescent="0.45">
      <c r="A5594" s="12" t="s">
        <v>8536</v>
      </c>
      <c r="B5594" s="12" t="s">
        <v>2777</v>
      </c>
      <c r="C5594" s="13" t="s">
        <v>2778</v>
      </c>
      <c r="D5594" s="13" t="s">
        <v>92</v>
      </c>
      <c r="E5594" s="12" t="s">
        <v>35</v>
      </c>
      <c r="F5594" s="14">
        <v>510000</v>
      </c>
      <c r="G5594" s="14">
        <v>461500</v>
      </c>
      <c r="H5594" s="13" t="s">
        <v>8669</v>
      </c>
      <c r="I5594" s="40" t="s">
        <v>18</v>
      </c>
      <c r="J5594" s="40" t="str">
        <f>HYPERLINK("https://stock.pstatic.net/stock-research/company/63/20260202_company_820751000.pdf","PDF")</f>
        <v>PDF</v>
      </c>
      <c r="K5594" s="12" t="s">
        <v>8670</v>
      </c>
      <c r="L5594" s="20">
        <v>0.105092091007584</v>
      </c>
    </row>
    <row r="5595" spans="1:12" x14ac:dyDescent="0.45">
      <c r="A5595" s="12" t="s">
        <v>8536</v>
      </c>
      <c r="B5595" s="12" t="s">
        <v>352</v>
      </c>
      <c r="C5595" s="13" t="s">
        <v>353</v>
      </c>
      <c r="D5595" s="13" t="s">
        <v>34</v>
      </c>
      <c r="E5595" s="12" t="s">
        <v>35</v>
      </c>
      <c r="F5595" s="14">
        <v>320000</v>
      </c>
      <c r="G5595" s="14">
        <v>230500</v>
      </c>
      <c r="H5595" s="13" t="s">
        <v>8671</v>
      </c>
      <c r="I5595" s="40" t="s">
        <v>18</v>
      </c>
      <c r="J5595" s="40" t="str">
        <f>HYPERLINK("https://stock.pstatic.net/stock-research/company/61/20260202_company_231213000.pdf","PDF")</f>
        <v>PDF</v>
      </c>
      <c r="K5595" s="12" t="s">
        <v>8672</v>
      </c>
      <c r="L5595" s="20">
        <v>0.38828633405639912</v>
      </c>
    </row>
    <row r="5596" spans="1:12" x14ac:dyDescent="0.45">
      <c r="A5596" s="12" t="s">
        <v>8536</v>
      </c>
      <c r="B5596" s="12" t="s">
        <v>2688</v>
      </c>
      <c r="C5596" s="13" t="s">
        <v>2689</v>
      </c>
      <c r="D5596" s="13" t="s">
        <v>34</v>
      </c>
      <c r="E5596" s="12" t="s">
        <v>35</v>
      </c>
      <c r="F5596" s="14">
        <v>96000</v>
      </c>
      <c r="G5596" s="14">
        <v>79600</v>
      </c>
      <c r="H5596" s="13" t="s">
        <v>8673</v>
      </c>
      <c r="I5596" s="40" t="s">
        <v>18</v>
      </c>
      <c r="J5596" s="40" t="str">
        <f>HYPERLINK("https://stock.pstatic.net/stock-research/company/61/20260202_company_566119000.pdf","PDF")</f>
        <v>PDF</v>
      </c>
      <c r="K5596" s="12" t="s">
        <v>8674</v>
      </c>
      <c r="L5596" s="20">
        <v>0.20603015075376879</v>
      </c>
    </row>
    <row r="5597" spans="1:12" x14ac:dyDescent="0.45">
      <c r="A5597" s="12" t="s">
        <v>8536</v>
      </c>
      <c r="B5597" s="12" t="s">
        <v>3536</v>
      </c>
      <c r="C5597" s="13" t="s">
        <v>3537</v>
      </c>
      <c r="D5597" s="13" t="s">
        <v>34</v>
      </c>
      <c r="E5597" s="12" t="s">
        <v>35</v>
      </c>
      <c r="F5597" s="14">
        <v>460000</v>
      </c>
      <c r="G5597" s="14">
        <v>377500</v>
      </c>
      <c r="H5597" s="13" t="s">
        <v>8675</v>
      </c>
      <c r="I5597" s="40" t="s">
        <v>18</v>
      </c>
      <c r="J5597" s="40" t="str">
        <f>HYPERLINK("https://stock.pstatic.net/stock-research/company/61/20260202_company_610330000.pdf","PDF")</f>
        <v>PDF</v>
      </c>
      <c r="K5597" s="12" t="s">
        <v>8676</v>
      </c>
      <c r="L5597" s="20">
        <v>0.2185430463576159</v>
      </c>
    </row>
    <row r="5598" spans="1:12" x14ac:dyDescent="0.45">
      <c r="A5598" s="12" t="s">
        <v>8536</v>
      </c>
      <c r="B5598" s="12" t="s">
        <v>3451</v>
      </c>
      <c r="C5598" s="13" t="s">
        <v>3452</v>
      </c>
      <c r="D5598" s="13" t="s">
        <v>34</v>
      </c>
      <c r="E5598" s="12" t="s">
        <v>35</v>
      </c>
      <c r="F5598" s="14">
        <v>300000</v>
      </c>
      <c r="G5598" s="14">
        <v>237000</v>
      </c>
      <c r="H5598" s="13" t="s">
        <v>8677</v>
      </c>
      <c r="I5598" s="40" t="s">
        <v>18</v>
      </c>
      <c r="J5598" s="40" t="str">
        <f>HYPERLINK("https://stock.pstatic.net/stock-research/company/61/20260202_company_118183000.pdf","PDF")</f>
        <v>PDF</v>
      </c>
      <c r="K5598" s="12" t="s">
        <v>8678</v>
      </c>
      <c r="L5598" s="20">
        <v>0.26582278481012661</v>
      </c>
    </row>
    <row r="5599" spans="1:12" x14ac:dyDescent="0.45">
      <c r="A5599" s="12" t="s">
        <v>8536</v>
      </c>
      <c r="B5599" s="12" t="s">
        <v>2658</v>
      </c>
      <c r="C5599" s="13" t="s">
        <v>2659</v>
      </c>
      <c r="D5599" s="13" t="s">
        <v>53</v>
      </c>
      <c r="E5599" s="12" t="s">
        <v>16</v>
      </c>
      <c r="F5599" s="14">
        <v>160000</v>
      </c>
      <c r="G5599" s="14">
        <v>108000</v>
      </c>
      <c r="H5599" s="13" t="s">
        <v>8679</v>
      </c>
      <c r="I5599" s="40" t="s">
        <v>18</v>
      </c>
      <c r="J5599" s="40" t="str">
        <f>HYPERLINK("https://stock.pstatic.net/stock-research/company/40/20260202_company_282401000.pdf","PDF")</f>
        <v>PDF</v>
      </c>
      <c r="K5599" s="12" t="s">
        <v>8680</v>
      </c>
      <c r="L5599" s="20">
        <v>0.48148148148148151</v>
      </c>
    </row>
    <row r="5600" spans="1:12" x14ac:dyDescent="0.45">
      <c r="A5600" s="12" t="s">
        <v>8536</v>
      </c>
      <c r="B5600" s="12" t="s">
        <v>698</v>
      </c>
      <c r="C5600" s="13" t="s">
        <v>699</v>
      </c>
      <c r="D5600" s="13" t="s">
        <v>179</v>
      </c>
      <c r="E5600" s="12" t="s">
        <v>16</v>
      </c>
      <c r="F5600" s="14">
        <v>420000</v>
      </c>
      <c r="G5600" s="14">
        <v>333500</v>
      </c>
      <c r="H5600" s="13" t="s">
        <v>8681</v>
      </c>
      <c r="I5600" s="40" t="s">
        <v>18</v>
      </c>
      <c r="J5600" s="40" t="str">
        <f>HYPERLINK("https://stock.pstatic.net/stock-research/company/64/20260202_company_619458000.pdf","PDF")</f>
        <v>PDF</v>
      </c>
      <c r="K5600" s="12" t="s">
        <v>8682</v>
      </c>
      <c r="L5600" s="20">
        <v>0.25937031484257872</v>
      </c>
    </row>
    <row r="5601" spans="1:12" x14ac:dyDescent="0.45">
      <c r="A5601" s="12" t="s">
        <v>8536</v>
      </c>
      <c r="B5601" s="12" t="s">
        <v>2758</v>
      </c>
      <c r="C5601" s="13" t="s">
        <v>2759</v>
      </c>
      <c r="D5601" s="13" t="s">
        <v>44</v>
      </c>
      <c r="E5601" s="12" t="s">
        <v>35</v>
      </c>
      <c r="F5601" s="14">
        <v>460000</v>
      </c>
      <c r="G5601" s="14">
        <v>347500</v>
      </c>
      <c r="H5601" s="13" t="s">
        <v>8242</v>
      </c>
      <c r="I5601" s="40" t="s">
        <v>18</v>
      </c>
      <c r="J5601" s="40" t="str">
        <f>HYPERLINK("https://stock.pstatic.net/stock-research/company/39/20260202_company_633709000.pdf","PDF")</f>
        <v>PDF</v>
      </c>
      <c r="K5601" s="12" t="s">
        <v>8683</v>
      </c>
      <c r="L5601" s="20">
        <v>0.32374100719424459</v>
      </c>
    </row>
    <row r="5602" spans="1:12" x14ac:dyDescent="0.45">
      <c r="A5602" s="12" t="s">
        <v>8536</v>
      </c>
      <c r="B5602" s="12" t="s">
        <v>3478</v>
      </c>
      <c r="C5602" s="13" t="s">
        <v>3479</v>
      </c>
      <c r="D5602" s="13" t="s">
        <v>44</v>
      </c>
      <c r="E5602" s="12" t="s">
        <v>35</v>
      </c>
      <c r="F5602" s="14">
        <v>50000</v>
      </c>
      <c r="G5602" s="14">
        <v>31250</v>
      </c>
      <c r="H5602" s="13" t="s">
        <v>8684</v>
      </c>
      <c r="I5602" s="40" t="s">
        <v>18</v>
      </c>
      <c r="J5602" s="40" t="str">
        <f>HYPERLINK("https://stock.pstatic.net/stock-research/company/39/20260202_company_413080000.pdf","PDF")</f>
        <v>PDF</v>
      </c>
      <c r="K5602" s="12" t="s">
        <v>8685</v>
      </c>
      <c r="L5602" s="20">
        <v>0.6</v>
      </c>
    </row>
    <row r="5603" spans="1:12" x14ac:dyDescent="0.45">
      <c r="A5603" s="12" t="s">
        <v>8536</v>
      </c>
      <c r="B5603" s="12" t="s">
        <v>3482</v>
      </c>
      <c r="C5603" s="13" t="s">
        <v>3483</v>
      </c>
      <c r="D5603" s="13" t="s">
        <v>44</v>
      </c>
      <c r="E5603" s="12" t="s">
        <v>35</v>
      </c>
      <c r="F5603" s="14">
        <v>140000</v>
      </c>
      <c r="G5603" s="14">
        <v>100100</v>
      </c>
      <c r="H5603" s="13" t="s">
        <v>8686</v>
      </c>
      <c r="I5603" s="40" t="s">
        <v>18</v>
      </c>
      <c r="J5603" s="40" t="str">
        <f>HYPERLINK("https://stock.pstatic.net/stock-research/company/39/20260202_company_381335000.pdf","PDF")</f>
        <v>PDF</v>
      </c>
      <c r="K5603" s="12" t="s">
        <v>8687</v>
      </c>
      <c r="L5603" s="20">
        <v>0.39860139860139859</v>
      </c>
    </row>
    <row r="5604" spans="1:12" x14ac:dyDescent="0.45">
      <c r="A5604" s="12" t="s">
        <v>8536</v>
      </c>
      <c r="B5604" s="12" t="s">
        <v>1781</v>
      </c>
      <c r="C5604" s="13" t="s">
        <v>1782</v>
      </c>
      <c r="D5604" s="13" t="s">
        <v>53</v>
      </c>
      <c r="E5604" s="12" t="s">
        <v>16</v>
      </c>
      <c r="F5604" s="14">
        <v>120000</v>
      </c>
      <c r="G5604" s="14">
        <v>99100</v>
      </c>
      <c r="H5604" s="13" t="s">
        <v>8688</v>
      </c>
      <c r="I5604" s="40" t="s">
        <v>18</v>
      </c>
      <c r="J5604" s="40" t="str">
        <f>HYPERLINK("https://stock.pstatic.net/stock-research/company/40/20260202_company_202434000.pdf","PDF")</f>
        <v>PDF</v>
      </c>
      <c r="K5604" s="12" t="s">
        <v>8689</v>
      </c>
      <c r="L5604" s="20">
        <v>0.21089808274470229</v>
      </c>
    </row>
    <row r="5605" spans="1:12" x14ac:dyDescent="0.45">
      <c r="A5605" s="12" t="s">
        <v>8536</v>
      </c>
      <c r="B5605" s="12" t="s">
        <v>352</v>
      </c>
      <c r="C5605" s="13" t="s">
        <v>353</v>
      </c>
      <c r="D5605" s="13" t="s">
        <v>44</v>
      </c>
      <c r="E5605" s="12" t="s">
        <v>35</v>
      </c>
      <c r="F5605" s="14">
        <v>340000</v>
      </c>
      <c r="G5605" s="14">
        <v>230500</v>
      </c>
      <c r="H5605" s="13" t="s">
        <v>8690</v>
      </c>
      <c r="I5605" s="40" t="s">
        <v>18</v>
      </c>
      <c r="J5605" s="40" t="str">
        <f>HYPERLINK("https://stock.pstatic.net/stock-research/company/39/20260202_company_719217000.pdf","PDF")</f>
        <v>PDF</v>
      </c>
      <c r="K5605" s="12" t="s">
        <v>8691</v>
      </c>
      <c r="L5605" s="20">
        <v>0.47505422993492408</v>
      </c>
    </row>
    <row r="5606" spans="1:12" x14ac:dyDescent="0.45">
      <c r="A5606" s="12" t="s">
        <v>8536</v>
      </c>
      <c r="B5606" s="12" t="s">
        <v>744</v>
      </c>
      <c r="C5606" s="13" t="s">
        <v>745</v>
      </c>
      <c r="D5606" s="13" t="s">
        <v>44</v>
      </c>
      <c r="E5606" s="12" t="s">
        <v>35</v>
      </c>
      <c r="F5606" s="14">
        <v>39000</v>
      </c>
      <c r="G5606" s="14">
        <v>29450</v>
      </c>
      <c r="H5606" s="13" t="s">
        <v>8692</v>
      </c>
      <c r="I5606" s="40" t="s">
        <v>18</v>
      </c>
      <c r="J5606" s="40" t="str">
        <f>HYPERLINK("https://stock.pstatic.net/stock-research/company/39/20260202_company_252693000.pdf","PDF")</f>
        <v>PDF</v>
      </c>
      <c r="K5606" s="12" t="s">
        <v>8693</v>
      </c>
      <c r="L5606" s="20">
        <v>0.32427843803056028</v>
      </c>
    </row>
    <row r="5607" spans="1:12" x14ac:dyDescent="0.45">
      <c r="A5607" s="12" t="s">
        <v>8536</v>
      </c>
      <c r="B5607" s="12" t="s">
        <v>3150</v>
      </c>
      <c r="C5607" s="13" t="s">
        <v>3151</v>
      </c>
      <c r="D5607" s="13" t="s">
        <v>44</v>
      </c>
      <c r="E5607" s="12" t="s">
        <v>35</v>
      </c>
      <c r="F5607" s="14">
        <v>240000</v>
      </c>
      <c r="G5607" s="14">
        <v>197700</v>
      </c>
      <c r="H5607" s="13" t="s">
        <v>8694</v>
      </c>
      <c r="I5607" s="40" t="s">
        <v>18</v>
      </c>
      <c r="J5607" s="40" t="str">
        <f>HYPERLINK("https://stock.pstatic.net/stock-research/company/39/20260202_company_132721000.pdf","PDF")</f>
        <v>PDF</v>
      </c>
      <c r="K5607" s="12" t="s">
        <v>8695</v>
      </c>
      <c r="L5607" s="20">
        <v>0.21396054628224581</v>
      </c>
    </row>
    <row r="5608" spans="1:12" x14ac:dyDescent="0.45">
      <c r="A5608" s="12" t="s">
        <v>8536</v>
      </c>
      <c r="B5608" s="12" t="s">
        <v>1781</v>
      </c>
      <c r="C5608" s="13" t="s">
        <v>1782</v>
      </c>
      <c r="D5608" s="13" t="s">
        <v>34</v>
      </c>
      <c r="E5608" s="12" t="s">
        <v>35</v>
      </c>
      <c r="F5608" s="14">
        <v>124000</v>
      </c>
      <c r="G5608" s="14">
        <v>99100</v>
      </c>
      <c r="H5608" s="13" t="s">
        <v>8696</v>
      </c>
      <c r="I5608" s="40" t="s">
        <v>18</v>
      </c>
      <c r="J5608" s="40" t="str">
        <f>HYPERLINK("https://stock.pstatic.net/stock-research/company/61/20260202_company_865261000.pdf","PDF")</f>
        <v>PDF</v>
      </c>
      <c r="K5608" s="12" t="s">
        <v>8697</v>
      </c>
      <c r="L5608" s="20">
        <v>0.25126135216952572</v>
      </c>
    </row>
    <row r="5609" spans="1:12" x14ac:dyDescent="0.45">
      <c r="A5609" s="12" t="s">
        <v>8536</v>
      </c>
      <c r="B5609" s="12" t="s">
        <v>3230</v>
      </c>
      <c r="C5609" s="13" t="s">
        <v>3231</v>
      </c>
      <c r="D5609" s="13" t="s">
        <v>179</v>
      </c>
      <c r="E5609" s="12" t="s">
        <v>16</v>
      </c>
      <c r="F5609" s="14">
        <v>3000000</v>
      </c>
      <c r="G5609" s="14">
        <v>2603000</v>
      </c>
      <c r="H5609" s="13" t="s">
        <v>8698</v>
      </c>
      <c r="I5609" s="40" t="s">
        <v>18</v>
      </c>
      <c r="J5609" s="40" t="str">
        <f>HYPERLINK("https://stock.pstatic.net/stock-research/company/64/20260202_company_223992000.pdf","PDF")</f>
        <v>PDF</v>
      </c>
      <c r="K5609" s="12" t="s">
        <v>8699</v>
      </c>
      <c r="L5609" s="20">
        <v>0.15251632731463699</v>
      </c>
    </row>
    <row r="5610" spans="1:12" x14ac:dyDescent="0.45">
      <c r="A5610" s="12" t="s">
        <v>8536</v>
      </c>
      <c r="B5610" s="12" t="s">
        <v>1781</v>
      </c>
      <c r="C5610" s="13" t="s">
        <v>1782</v>
      </c>
      <c r="D5610" s="13" t="s">
        <v>44</v>
      </c>
      <c r="E5610" s="12" t="s">
        <v>35</v>
      </c>
      <c r="F5610" s="14">
        <v>130000</v>
      </c>
      <c r="G5610" s="14">
        <v>99100</v>
      </c>
      <c r="H5610" s="13" t="s">
        <v>8700</v>
      </c>
      <c r="I5610" s="40" t="s">
        <v>18</v>
      </c>
      <c r="J5610" s="40" t="str">
        <f>HYPERLINK("https://stock.pstatic.net/stock-research/company/39/20260202_company_307314000.pdf","PDF")</f>
        <v>PDF</v>
      </c>
      <c r="K5610" s="12" t="s">
        <v>8701</v>
      </c>
      <c r="L5610" s="20">
        <v>0.31180625630676079</v>
      </c>
    </row>
    <row r="5611" spans="1:12" x14ac:dyDescent="0.45">
      <c r="A5611" s="12" t="s">
        <v>8536</v>
      </c>
      <c r="B5611" s="12" t="s">
        <v>3478</v>
      </c>
      <c r="C5611" s="13" t="s">
        <v>3479</v>
      </c>
      <c r="D5611" s="13" t="s">
        <v>34</v>
      </c>
      <c r="E5611" s="12" t="s">
        <v>35</v>
      </c>
      <c r="F5611" s="14">
        <v>43000</v>
      </c>
      <c r="G5611" s="14">
        <v>31250</v>
      </c>
      <c r="H5611" s="13" t="s">
        <v>8702</v>
      </c>
      <c r="I5611" s="40" t="s">
        <v>18</v>
      </c>
      <c r="J5611" s="40" t="str">
        <f>HYPERLINK("https://stock.pstatic.net/stock-research/company/61/20260202_company_906959000.pdf","PDF")</f>
        <v>PDF</v>
      </c>
      <c r="K5611" s="12" t="s">
        <v>8703</v>
      </c>
      <c r="L5611" s="20">
        <v>0.376</v>
      </c>
    </row>
    <row r="5612" spans="1:12" x14ac:dyDescent="0.45">
      <c r="A5612" s="12" t="s">
        <v>8536</v>
      </c>
      <c r="B5612" s="12" t="s">
        <v>1042</v>
      </c>
      <c r="C5612" s="13" t="s">
        <v>1043</v>
      </c>
      <c r="D5612" s="13" t="s">
        <v>53</v>
      </c>
      <c r="E5612" s="12" t="s">
        <v>16</v>
      </c>
      <c r="F5612" s="14">
        <v>48000</v>
      </c>
      <c r="G5612" s="14">
        <v>27950</v>
      </c>
      <c r="H5612" s="13" t="s">
        <v>8704</v>
      </c>
      <c r="I5612" s="40" t="s">
        <v>18</v>
      </c>
      <c r="J5612" s="40" t="str">
        <f>HYPERLINK("https://stock.pstatic.net/stock-research/company/40/20260202_company_932355000.pdf","PDF")</f>
        <v>PDF</v>
      </c>
      <c r="K5612" s="12" t="s">
        <v>8705</v>
      </c>
      <c r="L5612" s="20">
        <v>0.71735241502683367</v>
      </c>
    </row>
    <row r="5613" spans="1:12" x14ac:dyDescent="0.45">
      <c r="A5613" s="12" t="s">
        <v>8536</v>
      </c>
      <c r="B5613" s="12" t="s">
        <v>8706</v>
      </c>
      <c r="C5613" s="13" t="s">
        <v>8707</v>
      </c>
      <c r="D5613" s="13" t="s">
        <v>53</v>
      </c>
      <c r="E5613" s="12" t="s">
        <v>50</v>
      </c>
      <c r="F5613" s="13"/>
      <c r="G5613" s="14">
        <v>58000</v>
      </c>
      <c r="H5613" s="13" t="s">
        <v>8708</v>
      </c>
      <c r="I5613" s="40" t="s">
        <v>18</v>
      </c>
      <c r="J5613" s="40" t="str">
        <f>HYPERLINK("https://stock.pstatic.net/stock-research/company/40/20260202_company_40488000.pdf","PDF")</f>
        <v>PDF</v>
      </c>
      <c r="K5613" s="12" t="s">
        <v>8709</v>
      </c>
    </row>
    <row r="5614" spans="1:12" x14ac:dyDescent="0.45">
      <c r="A5614" s="12" t="s">
        <v>8536</v>
      </c>
      <c r="B5614" s="12" t="s">
        <v>3296</v>
      </c>
      <c r="C5614" s="13" t="s">
        <v>3297</v>
      </c>
      <c r="D5614" s="13" t="s">
        <v>15</v>
      </c>
      <c r="E5614" s="12" t="s">
        <v>50</v>
      </c>
      <c r="F5614" s="13"/>
      <c r="G5614" s="14">
        <v>57100</v>
      </c>
      <c r="H5614" s="13" t="s">
        <v>8710</v>
      </c>
      <c r="I5614" s="40" t="s">
        <v>18</v>
      </c>
      <c r="J5614" s="40" t="str">
        <f>HYPERLINK("https://stock.pstatic.net/stock-research/company/56/20260202_company_418673000.pdf","PDF")</f>
        <v>PDF</v>
      </c>
      <c r="K5614" s="12" t="s">
        <v>8711</v>
      </c>
    </row>
    <row r="5615" spans="1:12" x14ac:dyDescent="0.45">
      <c r="A5615" s="12" t="s">
        <v>8536</v>
      </c>
      <c r="B5615" s="12" t="s">
        <v>334</v>
      </c>
      <c r="C5615" s="13" t="s">
        <v>335</v>
      </c>
      <c r="D5615" s="13" t="s">
        <v>714</v>
      </c>
      <c r="E5615" s="12" t="s">
        <v>35</v>
      </c>
      <c r="F5615" s="14">
        <v>1000000</v>
      </c>
      <c r="G5615" s="14">
        <v>861000</v>
      </c>
      <c r="H5615" s="13" t="s">
        <v>8712</v>
      </c>
      <c r="I5615" s="40" t="s">
        <v>18</v>
      </c>
      <c r="J5615" s="40" t="str">
        <f>HYPERLINK("https://stock.pstatic.net/stock-research/company/38/20260202_company_797941000.pdf","PDF")</f>
        <v>PDF</v>
      </c>
      <c r="K5615" s="12" t="s">
        <v>8713</v>
      </c>
      <c r="L5615" s="20">
        <v>0.16144018583042971</v>
      </c>
    </row>
    <row r="5616" spans="1:12" x14ac:dyDescent="0.45">
      <c r="A5616" s="12" t="s">
        <v>8536</v>
      </c>
      <c r="B5616" s="12" t="s">
        <v>2378</v>
      </c>
      <c r="C5616" s="13" t="s">
        <v>2379</v>
      </c>
      <c r="D5616" s="13" t="s">
        <v>714</v>
      </c>
      <c r="E5616" s="12" t="s">
        <v>35</v>
      </c>
      <c r="F5616" s="14">
        <v>540000</v>
      </c>
      <c r="G5616" s="14">
        <v>416500</v>
      </c>
      <c r="H5616" s="13" t="s">
        <v>8714</v>
      </c>
      <c r="I5616" s="40" t="s">
        <v>18</v>
      </c>
      <c r="J5616" s="40" t="str">
        <f>HYPERLINK("https://stock.pstatic.net/stock-research/company/38/20260202_company_118023000.pdf","PDF")</f>
        <v>PDF</v>
      </c>
      <c r="K5616" s="12" t="s">
        <v>8715</v>
      </c>
      <c r="L5616" s="20">
        <v>0.2965186074429772</v>
      </c>
    </row>
    <row r="5617" spans="1:12" x14ac:dyDescent="0.45">
      <c r="A5617" s="12" t="s">
        <v>8716</v>
      </c>
      <c r="B5617" s="12" t="s">
        <v>1057</v>
      </c>
      <c r="C5617" s="13" t="s">
        <v>1058</v>
      </c>
      <c r="D5617" s="13" t="s">
        <v>23</v>
      </c>
      <c r="E5617" s="12" t="s">
        <v>16</v>
      </c>
      <c r="F5617" s="14">
        <v>15500</v>
      </c>
      <c r="G5617" s="14">
        <v>11530</v>
      </c>
      <c r="H5617" s="13" t="s">
        <v>8717</v>
      </c>
      <c r="I5617" s="40" t="s">
        <v>18</v>
      </c>
      <c r="J5617" s="40" t="str">
        <f>HYPERLINK("https://stock.pstatic.net/stock-research/company/21/20260130_company_930143000.pdf","PDF")</f>
        <v>PDF</v>
      </c>
      <c r="K5617" s="12" t="s">
        <v>8718</v>
      </c>
      <c r="L5617" s="20">
        <v>0.34431916738941892</v>
      </c>
    </row>
    <row r="5618" spans="1:12" x14ac:dyDescent="0.45">
      <c r="A5618" s="12" t="s">
        <v>8716</v>
      </c>
      <c r="B5618" s="12" t="s">
        <v>519</v>
      </c>
      <c r="C5618" s="13" t="s">
        <v>520</v>
      </c>
      <c r="D5618" s="13" t="s">
        <v>57</v>
      </c>
      <c r="E5618" s="12" t="s">
        <v>35</v>
      </c>
      <c r="F5618" s="14">
        <v>650000</v>
      </c>
      <c r="G5618" s="14">
        <v>528000</v>
      </c>
      <c r="H5618" s="13" t="s">
        <v>8719</v>
      </c>
      <c r="I5618" s="40" t="s">
        <v>18</v>
      </c>
      <c r="J5618" s="40" t="str">
        <f>HYPERLINK("https://stock.pstatic.net/stock-research/company/16/20260130_company_228459000.pdf","PDF")</f>
        <v>PDF</v>
      </c>
      <c r="K5618" s="12" t="s">
        <v>8720</v>
      </c>
      <c r="L5618" s="20">
        <v>0.23106060606060599</v>
      </c>
    </row>
    <row r="5619" spans="1:12" x14ac:dyDescent="0.45">
      <c r="A5619" s="12" t="s">
        <v>8716</v>
      </c>
      <c r="B5619" s="12" t="s">
        <v>3749</v>
      </c>
      <c r="C5619" s="13" t="s">
        <v>3750</v>
      </c>
      <c r="D5619" s="13" t="s">
        <v>57</v>
      </c>
      <c r="E5619" s="12" t="s">
        <v>35</v>
      </c>
      <c r="F5619" s="14">
        <v>370000</v>
      </c>
      <c r="G5619" s="14">
        <v>255500</v>
      </c>
      <c r="H5619" s="13" t="s">
        <v>8721</v>
      </c>
      <c r="I5619" s="40" t="s">
        <v>18</v>
      </c>
      <c r="J5619" s="40" t="str">
        <f>HYPERLINK("https://stock.pstatic.net/stock-research/company/16/20260130_company_22239000.pdf","PDF")</f>
        <v>PDF</v>
      </c>
      <c r="K5619" s="12" t="s">
        <v>8722</v>
      </c>
      <c r="L5619" s="20">
        <v>0.44814090019569469</v>
      </c>
    </row>
    <row r="5620" spans="1:12" x14ac:dyDescent="0.45">
      <c r="A5620" s="12" t="s">
        <v>8716</v>
      </c>
      <c r="B5620" s="12" t="s">
        <v>2758</v>
      </c>
      <c r="C5620" s="13" t="s">
        <v>2759</v>
      </c>
      <c r="D5620" s="13" t="s">
        <v>57</v>
      </c>
      <c r="E5620" s="12" t="s">
        <v>35</v>
      </c>
      <c r="F5620" s="14">
        <v>490000</v>
      </c>
      <c r="G5620" s="14">
        <v>364000</v>
      </c>
      <c r="H5620" s="13" t="s">
        <v>8723</v>
      </c>
      <c r="I5620" s="40" t="s">
        <v>18</v>
      </c>
      <c r="J5620" s="40" t="str">
        <f>HYPERLINK("https://stock.pstatic.net/stock-research/company/16/20260130_company_328614000.pdf","PDF")</f>
        <v>PDF</v>
      </c>
      <c r="K5620" s="12" t="s">
        <v>8724</v>
      </c>
      <c r="L5620" s="20">
        <v>0.34615384615384609</v>
      </c>
    </row>
    <row r="5621" spans="1:12" x14ac:dyDescent="0.45">
      <c r="A5621" s="12" t="s">
        <v>8716</v>
      </c>
      <c r="B5621" s="12" t="s">
        <v>2378</v>
      </c>
      <c r="C5621" s="13" t="s">
        <v>2379</v>
      </c>
      <c r="D5621" s="13" t="s">
        <v>57</v>
      </c>
      <c r="E5621" s="12" t="s">
        <v>35</v>
      </c>
      <c r="F5621" s="14">
        <v>500000</v>
      </c>
      <c r="G5621" s="14">
        <v>416500</v>
      </c>
      <c r="H5621" s="13" t="s">
        <v>8725</v>
      </c>
      <c r="I5621" s="40" t="s">
        <v>18</v>
      </c>
      <c r="J5621" s="40" t="str">
        <f>HYPERLINK("https://stock.pstatic.net/stock-research/company/16/20260130_company_650324000.pdf","PDF")</f>
        <v>PDF</v>
      </c>
      <c r="K5621" s="12" t="s">
        <v>8726</v>
      </c>
      <c r="L5621" s="20">
        <v>0.20048019207683071</v>
      </c>
    </row>
    <row r="5622" spans="1:12" x14ac:dyDescent="0.45">
      <c r="A5622" s="12" t="s">
        <v>8716</v>
      </c>
      <c r="B5622" s="12" t="s">
        <v>398</v>
      </c>
      <c r="C5622" s="13" t="s">
        <v>399</v>
      </c>
      <c r="D5622" s="13" t="s">
        <v>57</v>
      </c>
      <c r="E5622" s="12" t="s">
        <v>159</v>
      </c>
      <c r="F5622" s="14">
        <v>220000</v>
      </c>
      <c r="G5622" s="14">
        <v>235000</v>
      </c>
      <c r="H5622" s="13" t="s">
        <v>8727</v>
      </c>
      <c r="I5622" s="40" t="s">
        <v>18</v>
      </c>
      <c r="J5622" s="40" t="str">
        <f>HYPERLINK("https://stock.pstatic.net/stock-research/company/16/20260130_company_681725000.pdf","PDF")</f>
        <v>PDF</v>
      </c>
      <c r="K5622" s="12" t="s">
        <v>8728</v>
      </c>
      <c r="L5622" s="20">
        <v>-6.3829787234042548E-2</v>
      </c>
    </row>
    <row r="5623" spans="1:12" x14ac:dyDescent="0.45">
      <c r="A5623" s="12" t="s">
        <v>8716</v>
      </c>
      <c r="B5623" s="12" t="s">
        <v>2887</v>
      </c>
      <c r="C5623" s="13" t="s">
        <v>2888</v>
      </c>
      <c r="D5623" s="13" t="s">
        <v>57</v>
      </c>
      <c r="E5623" s="12" t="s">
        <v>35</v>
      </c>
      <c r="F5623" s="14">
        <v>420000</v>
      </c>
      <c r="G5623" s="14">
        <v>343000</v>
      </c>
      <c r="H5623" s="13" t="s">
        <v>8729</v>
      </c>
      <c r="I5623" s="40" t="s">
        <v>18</v>
      </c>
      <c r="J5623" s="40" t="str">
        <f>HYPERLINK("https://stock.pstatic.net/stock-research/company/16/20260130_company_915186000.pdf","PDF")</f>
        <v>PDF</v>
      </c>
      <c r="K5623" s="12" t="s">
        <v>8730</v>
      </c>
      <c r="L5623" s="20">
        <v>0.22448979591836729</v>
      </c>
    </row>
    <row r="5624" spans="1:12" x14ac:dyDescent="0.45">
      <c r="A5624" s="12" t="s">
        <v>8716</v>
      </c>
      <c r="B5624" s="12" t="s">
        <v>1686</v>
      </c>
      <c r="C5624" s="13" t="s">
        <v>1687</v>
      </c>
      <c r="D5624" s="13" t="s">
        <v>57</v>
      </c>
      <c r="E5624" s="12" t="s">
        <v>35</v>
      </c>
      <c r="F5624" s="14">
        <v>1900000</v>
      </c>
      <c r="G5624" s="14">
        <v>1216000</v>
      </c>
      <c r="H5624" s="13" t="s">
        <v>8731</v>
      </c>
      <c r="I5624" s="40" t="s">
        <v>18</v>
      </c>
      <c r="J5624" s="40" t="str">
        <f>HYPERLINK("https://stock.pstatic.net/stock-research/company/16/20260130_company_666060000.pdf","PDF")</f>
        <v>PDF</v>
      </c>
      <c r="K5624" s="12" t="s">
        <v>8732</v>
      </c>
      <c r="L5624" s="20">
        <v>0.5625</v>
      </c>
    </row>
    <row r="5625" spans="1:12" x14ac:dyDescent="0.45">
      <c r="A5625" s="12" t="s">
        <v>8716</v>
      </c>
      <c r="B5625" s="12" t="s">
        <v>1686</v>
      </c>
      <c r="C5625" s="13" t="s">
        <v>1687</v>
      </c>
      <c r="D5625" s="13" t="s">
        <v>276</v>
      </c>
      <c r="E5625" s="12" t="s">
        <v>16</v>
      </c>
      <c r="F5625" s="14">
        <v>1900000</v>
      </c>
      <c r="G5625" s="14">
        <v>1216000</v>
      </c>
      <c r="H5625" s="13" t="s">
        <v>8733</v>
      </c>
      <c r="I5625" s="40" t="s">
        <v>18</v>
      </c>
      <c r="J5625" s="40" t="str">
        <f>HYPERLINK("https://stock.pstatic.net/stock-research/company/66/20260130_company_959988000.pdf","PDF")</f>
        <v>PDF</v>
      </c>
      <c r="K5625" s="12" t="s">
        <v>8734</v>
      </c>
      <c r="L5625" s="20">
        <v>0.5625</v>
      </c>
    </row>
    <row r="5626" spans="1:12" x14ac:dyDescent="0.45">
      <c r="A5626" s="12" t="s">
        <v>8716</v>
      </c>
      <c r="B5626" s="12" t="s">
        <v>2378</v>
      </c>
      <c r="C5626" s="13" t="s">
        <v>2379</v>
      </c>
      <c r="D5626" s="13" t="s">
        <v>276</v>
      </c>
      <c r="E5626" s="12" t="s">
        <v>16</v>
      </c>
      <c r="F5626" s="14">
        <v>600000</v>
      </c>
      <c r="G5626" s="14">
        <v>416500</v>
      </c>
      <c r="H5626" s="13" t="s">
        <v>8735</v>
      </c>
      <c r="I5626" s="40" t="s">
        <v>18</v>
      </c>
      <c r="J5626" s="40" t="str">
        <f>HYPERLINK("https://stock.pstatic.net/stock-research/company/66/20260130_company_93523000.pdf","PDF")</f>
        <v>PDF</v>
      </c>
      <c r="K5626" s="12" t="s">
        <v>8736</v>
      </c>
      <c r="L5626" s="20">
        <v>0.44057623049219691</v>
      </c>
    </row>
    <row r="5627" spans="1:12" x14ac:dyDescent="0.45">
      <c r="A5627" s="12" t="s">
        <v>8716</v>
      </c>
      <c r="B5627" s="12" t="s">
        <v>519</v>
      </c>
      <c r="C5627" s="13" t="s">
        <v>520</v>
      </c>
      <c r="D5627" s="13" t="s">
        <v>276</v>
      </c>
      <c r="E5627" s="12" t="s">
        <v>16</v>
      </c>
      <c r="F5627" s="14">
        <v>800000</v>
      </c>
      <c r="G5627" s="14">
        <v>528000</v>
      </c>
      <c r="H5627" s="13" t="s">
        <v>8737</v>
      </c>
      <c r="I5627" s="40" t="s">
        <v>18</v>
      </c>
      <c r="J5627" s="40" t="str">
        <f>HYPERLINK("https://stock.pstatic.net/stock-research/company/66/20260130_company_21938000.pdf","PDF")</f>
        <v>PDF</v>
      </c>
      <c r="K5627" s="12" t="s">
        <v>8738</v>
      </c>
      <c r="L5627" s="20">
        <v>0.51515151515151514</v>
      </c>
    </row>
    <row r="5628" spans="1:12" x14ac:dyDescent="0.45">
      <c r="A5628" s="12" t="s">
        <v>8716</v>
      </c>
      <c r="B5628" s="12" t="s">
        <v>334</v>
      </c>
      <c r="C5628" s="13" t="s">
        <v>335</v>
      </c>
      <c r="D5628" s="13" t="s">
        <v>276</v>
      </c>
      <c r="E5628" s="12" t="s">
        <v>16</v>
      </c>
      <c r="F5628" s="14">
        <v>970000</v>
      </c>
      <c r="G5628" s="14">
        <v>861000</v>
      </c>
      <c r="H5628" s="13" t="s">
        <v>8739</v>
      </c>
      <c r="I5628" s="40" t="s">
        <v>18</v>
      </c>
      <c r="J5628" s="40" t="str">
        <f>HYPERLINK("https://stock.pstatic.net/stock-research/company/66/20260130_company_870658000.pdf","PDF")</f>
        <v>PDF</v>
      </c>
      <c r="K5628" s="12" t="s">
        <v>8740</v>
      </c>
      <c r="L5628" s="20">
        <v>0.1265969802555168</v>
      </c>
    </row>
    <row r="5629" spans="1:12" x14ac:dyDescent="0.45">
      <c r="A5629" s="12" t="s">
        <v>8716</v>
      </c>
      <c r="B5629" s="12" t="s">
        <v>13</v>
      </c>
      <c r="C5629" s="13" t="s">
        <v>14</v>
      </c>
      <c r="D5629" s="13" t="s">
        <v>276</v>
      </c>
      <c r="E5629" s="12" t="s">
        <v>16</v>
      </c>
      <c r="F5629" s="14">
        <v>183000</v>
      </c>
      <c r="G5629" s="14">
        <v>160700</v>
      </c>
      <c r="H5629" s="13" t="s">
        <v>8741</v>
      </c>
      <c r="I5629" s="40" t="s">
        <v>18</v>
      </c>
      <c r="J5629" s="40" t="str">
        <f>HYPERLINK("https://stock.pstatic.net/stock-research/company/66/20260130_company_682623000.pdf","PDF")</f>
        <v>PDF</v>
      </c>
      <c r="K5629" s="12" t="s">
        <v>8742</v>
      </c>
      <c r="L5629" s="20">
        <v>0.13876789047915369</v>
      </c>
    </row>
    <row r="5630" spans="1:12" x14ac:dyDescent="0.45">
      <c r="A5630" s="12" t="s">
        <v>8716</v>
      </c>
      <c r="B5630" s="12" t="s">
        <v>519</v>
      </c>
      <c r="C5630" s="13" t="s">
        <v>520</v>
      </c>
      <c r="D5630" s="13" t="s">
        <v>60</v>
      </c>
      <c r="E5630" s="12" t="s">
        <v>35</v>
      </c>
      <c r="F5630" s="14">
        <v>650000</v>
      </c>
      <c r="G5630" s="14">
        <v>528000</v>
      </c>
      <c r="H5630" s="13" t="s">
        <v>8743</v>
      </c>
      <c r="I5630" s="40" t="s">
        <v>18</v>
      </c>
      <c r="J5630" s="40" t="str">
        <f>HYPERLINK("https://stock.pstatic.net/stock-research/company/62/20260130_company_335536000.pdf","PDF")</f>
        <v>PDF</v>
      </c>
      <c r="K5630" s="12" t="s">
        <v>8744</v>
      </c>
      <c r="L5630" s="20">
        <v>0.23106060606060599</v>
      </c>
    </row>
    <row r="5631" spans="1:12" x14ac:dyDescent="0.45">
      <c r="A5631" s="12" t="s">
        <v>8716</v>
      </c>
      <c r="B5631" s="12" t="s">
        <v>334</v>
      </c>
      <c r="C5631" s="13" t="s">
        <v>335</v>
      </c>
      <c r="D5631" s="13" t="s">
        <v>60</v>
      </c>
      <c r="E5631" s="12" t="s">
        <v>35</v>
      </c>
      <c r="F5631" s="14">
        <v>1100000</v>
      </c>
      <c r="G5631" s="14">
        <v>861000</v>
      </c>
      <c r="H5631" s="13" t="s">
        <v>8745</v>
      </c>
      <c r="I5631" s="40" t="s">
        <v>18</v>
      </c>
      <c r="J5631" s="40" t="str">
        <f>HYPERLINK("https://stock.pstatic.net/stock-research/company/62/20260130_company_958371000.pdf","PDF")</f>
        <v>PDF</v>
      </c>
      <c r="K5631" s="12" t="s">
        <v>8746</v>
      </c>
      <c r="L5631" s="20">
        <v>0.2775842044134727</v>
      </c>
    </row>
    <row r="5632" spans="1:12" x14ac:dyDescent="0.45">
      <c r="A5632" s="12" t="s">
        <v>8716</v>
      </c>
      <c r="B5632" s="12" t="s">
        <v>13</v>
      </c>
      <c r="C5632" s="13" t="s">
        <v>14</v>
      </c>
      <c r="D5632" s="13" t="s">
        <v>60</v>
      </c>
      <c r="E5632" s="12" t="s">
        <v>35</v>
      </c>
      <c r="F5632" s="14">
        <v>220000</v>
      </c>
      <c r="G5632" s="14">
        <v>160700</v>
      </c>
      <c r="H5632" s="13" t="s">
        <v>8747</v>
      </c>
      <c r="I5632" s="40" t="s">
        <v>18</v>
      </c>
      <c r="J5632" s="40" t="str">
        <f>HYPERLINK("https://stock.pstatic.net/stock-research/company/62/20260130_company_7537000.pdf","PDF")</f>
        <v>PDF</v>
      </c>
      <c r="K5632" s="12" t="s">
        <v>8748</v>
      </c>
      <c r="L5632" s="20">
        <v>0.36901057871810827</v>
      </c>
    </row>
    <row r="5633" spans="1:12" x14ac:dyDescent="0.45">
      <c r="A5633" s="12" t="s">
        <v>8716</v>
      </c>
      <c r="B5633" s="12" t="s">
        <v>4864</v>
      </c>
      <c r="C5633" s="13" t="s">
        <v>4865</v>
      </c>
      <c r="D5633" s="13" t="s">
        <v>60</v>
      </c>
      <c r="E5633" s="12" t="s">
        <v>35</v>
      </c>
      <c r="F5633" s="14">
        <v>47000</v>
      </c>
      <c r="G5633" s="14">
        <v>38400</v>
      </c>
      <c r="H5633" s="13" t="s">
        <v>8749</v>
      </c>
      <c r="I5633" s="40" t="s">
        <v>18</v>
      </c>
      <c r="J5633" s="40" t="str">
        <f>HYPERLINK("https://stock.pstatic.net/stock-research/company/62/20260130_company_501487000.pdf","PDF")</f>
        <v>PDF</v>
      </c>
      <c r="K5633" s="12" t="s">
        <v>8750</v>
      </c>
      <c r="L5633" s="20">
        <v>0.22395833333333329</v>
      </c>
    </row>
    <row r="5634" spans="1:12" x14ac:dyDescent="0.45">
      <c r="A5634" s="12" t="s">
        <v>8716</v>
      </c>
      <c r="B5634" s="12" t="s">
        <v>7544</v>
      </c>
      <c r="C5634" s="13" t="s">
        <v>7545</v>
      </c>
      <c r="D5634" s="13" t="s">
        <v>60</v>
      </c>
      <c r="E5634" s="12" t="s">
        <v>35</v>
      </c>
      <c r="F5634" s="14">
        <v>50000</v>
      </c>
      <c r="G5634" s="14">
        <v>41500</v>
      </c>
      <c r="H5634" s="13" t="s">
        <v>8751</v>
      </c>
      <c r="I5634" s="40" t="s">
        <v>18</v>
      </c>
      <c r="J5634" s="40" t="str">
        <f>HYPERLINK("https://stock.pstatic.net/stock-research/company/62/20260130_company_878390000.pdf","PDF")</f>
        <v>PDF</v>
      </c>
      <c r="K5634" s="12" t="s">
        <v>8752</v>
      </c>
      <c r="L5634" s="20">
        <v>0.2048192771084337</v>
      </c>
    </row>
    <row r="5635" spans="1:12" x14ac:dyDescent="0.45">
      <c r="A5635" s="12" t="s">
        <v>8716</v>
      </c>
      <c r="B5635" s="12" t="s">
        <v>1686</v>
      </c>
      <c r="C5635" s="13" t="s">
        <v>1687</v>
      </c>
      <c r="D5635" s="13" t="s">
        <v>60</v>
      </c>
      <c r="E5635" s="12" t="s">
        <v>35</v>
      </c>
      <c r="F5635" s="14">
        <v>1860000</v>
      </c>
      <c r="G5635" s="14">
        <v>1216000</v>
      </c>
      <c r="H5635" s="13" t="s">
        <v>8753</v>
      </c>
      <c r="I5635" s="40" t="s">
        <v>18</v>
      </c>
      <c r="J5635" s="40" t="str">
        <f>HYPERLINK("https://stock.pstatic.net/stock-research/company/62/20260130_company_905570000.pdf","PDF")</f>
        <v>PDF</v>
      </c>
      <c r="K5635" s="12" t="s">
        <v>8754</v>
      </c>
      <c r="L5635" s="20">
        <v>0.52960526315789469</v>
      </c>
    </row>
    <row r="5636" spans="1:12" x14ac:dyDescent="0.45">
      <c r="A5636" s="12" t="s">
        <v>8716</v>
      </c>
      <c r="B5636" s="12" t="s">
        <v>4567</v>
      </c>
      <c r="C5636" s="13" t="s">
        <v>4568</v>
      </c>
      <c r="D5636" s="13" t="s">
        <v>60</v>
      </c>
      <c r="E5636" s="12" t="s">
        <v>35</v>
      </c>
      <c r="F5636" s="14">
        <v>70000</v>
      </c>
      <c r="G5636" s="14">
        <v>52500</v>
      </c>
      <c r="H5636" s="13" t="s">
        <v>8755</v>
      </c>
      <c r="I5636" s="40" t="s">
        <v>18</v>
      </c>
      <c r="J5636" s="40" t="str">
        <f>HYPERLINK("https://stock.pstatic.net/stock-research/company/62/20260130_company_591089000.pdf","PDF")</f>
        <v>PDF</v>
      </c>
      <c r="K5636" s="12" t="s">
        <v>8756</v>
      </c>
      <c r="L5636" s="20">
        <v>0.33333333333333331</v>
      </c>
    </row>
    <row r="5637" spans="1:12" x14ac:dyDescent="0.45">
      <c r="A5637" s="12" t="s">
        <v>8716</v>
      </c>
      <c r="B5637" s="12" t="s">
        <v>2758</v>
      </c>
      <c r="C5637" s="13" t="s">
        <v>2759</v>
      </c>
      <c r="D5637" s="13" t="s">
        <v>65</v>
      </c>
      <c r="E5637" s="12" t="s">
        <v>35</v>
      </c>
      <c r="F5637" s="14">
        <v>740000</v>
      </c>
      <c r="G5637" s="14">
        <v>364000</v>
      </c>
      <c r="H5637" s="13" t="s">
        <v>8757</v>
      </c>
      <c r="I5637" s="40" t="s">
        <v>18</v>
      </c>
      <c r="J5637" s="40" t="str">
        <f>HYPERLINK("https://stock.pstatic.net/stock-research/company/57/20260130_company_105288000.pdf","PDF")</f>
        <v>PDF</v>
      </c>
      <c r="K5637" s="12" t="s">
        <v>8758</v>
      </c>
      <c r="L5637" s="20">
        <v>1.0329670329670331</v>
      </c>
    </row>
    <row r="5638" spans="1:12" x14ac:dyDescent="0.45">
      <c r="A5638" s="12" t="s">
        <v>8716</v>
      </c>
      <c r="B5638" s="12" t="s">
        <v>2378</v>
      </c>
      <c r="C5638" s="13" t="s">
        <v>2379</v>
      </c>
      <c r="D5638" s="13" t="s">
        <v>65</v>
      </c>
      <c r="E5638" s="12" t="s">
        <v>35</v>
      </c>
      <c r="F5638" s="14">
        <v>518000</v>
      </c>
      <c r="G5638" s="14">
        <v>416500</v>
      </c>
      <c r="H5638" s="13" t="s">
        <v>8759</v>
      </c>
      <c r="I5638" s="40" t="s">
        <v>18</v>
      </c>
      <c r="J5638" s="40" t="str">
        <f>HYPERLINK("https://stock.pstatic.net/stock-research/company/57/20260130_company_759948000.pdf","PDF")</f>
        <v>PDF</v>
      </c>
      <c r="K5638" s="12" t="s">
        <v>8760</v>
      </c>
      <c r="L5638" s="20">
        <v>0.24369747899159661</v>
      </c>
    </row>
    <row r="5639" spans="1:12" x14ac:dyDescent="0.45">
      <c r="A5639" s="12" t="s">
        <v>8716</v>
      </c>
      <c r="B5639" s="12" t="s">
        <v>13</v>
      </c>
      <c r="C5639" s="13" t="s">
        <v>14</v>
      </c>
      <c r="D5639" s="13" t="s">
        <v>65</v>
      </c>
      <c r="E5639" s="12" t="s">
        <v>35</v>
      </c>
      <c r="F5639" s="14">
        <v>222000</v>
      </c>
      <c r="G5639" s="14">
        <v>160700</v>
      </c>
      <c r="H5639" s="13" t="s">
        <v>8761</v>
      </c>
      <c r="I5639" s="40" t="s">
        <v>18</v>
      </c>
      <c r="J5639" s="40" t="str">
        <f>HYPERLINK("https://stock.pstatic.net/stock-research/company/57/20260130_company_680135000.pdf","PDF")</f>
        <v>PDF</v>
      </c>
      <c r="K5639" s="12" t="s">
        <v>8762</v>
      </c>
      <c r="L5639" s="20">
        <v>0.38145612943372742</v>
      </c>
    </row>
    <row r="5640" spans="1:12" x14ac:dyDescent="0.45">
      <c r="A5640" s="12" t="s">
        <v>8716</v>
      </c>
      <c r="B5640" s="12" t="s">
        <v>4567</v>
      </c>
      <c r="C5640" s="13" t="s">
        <v>4568</v>
      </c>
      <c r="D5640" s="13" t="s">
        <v>65</v>
      </c>
      <c r="E5640" s="12" t="s">
        <v>35</v>
      </c>
      <c r="F5640" s="14">
        <v>81000</v>
      </c>
      <c r="G5640" s="14">
        <v>52500</v>
      </c>
      <c r="H5640" s="13" t="s">
        <v>8763</v>
      </c>
      <c r="I5640" s="40" t="s">
        <v>18</v>
      </c>
      <c r="J5640" s="40" t="str">
        <f>HYPERLINK("https://stock.pstatic.net/stock-research/company/57/20260130_company_696314000.pdf","PDF")</f>
        <v>PDF</v>
      </c>
      <c r="K5640" s="12" t="s">
        <v>8764</v>
      </c>
      <c r="L5640" s="20">
        <v>0.54285714285714282</v>
      </c>
    </row>
    <row r="5641" spans="1:12" x14ac:dyDescent="0.45">
      <c r="A5641" s="12" t="s">
        <v>8716</v>
      </c>
      <c r="B5641" s="12" t="s">
        <v>3749</v>
      </c>
      <c r="C5641" s="13" t="s">
        <v>3750</v>
      </c>
      <c r="D5641" s="13" t="s">
        <v>65</v>
      </c>
      <c r="E5641" s="12" t="s">
        <v>35</v>
      </c>
      <c r="F5641" s="14">
        <v>310000</v>
      </c>
      <c r="G5641" s="14">
        <v>255500</v>
      </c>
      <c r="H5641" s="13" t="s">
        <v>8765</v>
      </c>
      <c r="I5641" s="40" t="s">
        <v>18</v>
      </c>
      <c r="J5641" s="40" t="str">
        <f>HYPERLINK("https://stock.pstatic.net/stock-research/company/57/20260130_company_270507000.pdf","PDF")</f>
        <v>PDF</v>
      </c>
      <c r="K5641" s="12" t="s">
        <v>8766</v>
      </c>
      <c r="L5641" s="20">
        <v>0.21330724070450099</v>
      </c>
    </row>
    <row r="5642" spans="1:12" x14ac:dyDescent="0.45">
      <c r="A5642" s="12" t="s">
        <v>8716</v>
      </c>
      <c r="B5642" s="12" t="s">
        <v>1686</v>
      </c>
      <c r="C5642" s="13" t="s">
        <v>1687</v>
      </c>
      <c r="D5642" s="13" t="s">
        <v>65</v>
      </c>
      <c r="E5642" s="12" t="s">
        <v>35</v>
      </c>
      <c r="F5642" s="14">
        <v>1800000</v>
      </c>
      <c r="G5642" s="14">
        <v>1216000</v>
      </c>
      <c r="H5642" s="13" t="s">
        <v>8767</v>
      </c>
      <c r="I5642" s="40" t="s">
        <v>18</v>
      </c>
      <c r="J5642" s="40" t="str">
        <f>HYPERLINK("https://stock.pstatic.net/stock-research/company/57/20260130_company_958359000.pdf","PDF")</f>
        <v>PDF</v>
      </c>
      <c r="K5642" s="12" t="s">
        <v>8768</v>
      </c>
      <c r="L5642" s="20">
        <v>0.48026315789473678</v>
      </c>
    </row>
    <row r="5643" spans="1:12" x14ac:dyDescent="0.45">
      <c r="A5643" s="12" t="s">
        <v>8716</v>
      </c>
      <c r="B5643" s="12" t="s">
        <v>334</v>
      </c>
      <c r="C5643" s="13" t="s">
        <v>335</v>
      </c>
      <c r="D5643" s="13" t="s">
        <v>65</v>
      </c>
      <c r="E5643" s="12" t="s">
        <v>35</v>
      </c>
      <c r="F5643" s="14">
        <v>1280000</v>
      </c>
      <c r="G5643" s="14">
        <v>861000</v>
      </c>
      <c r="H5643" s="13" t="s">
        <v>8769</v>
      </c>
      <c r="I5643" s="40" t="s">
        <v>18</v>
      </c>
      <c r="J5643" s="40" t="str">
        <f>HYPERLINK("https://stock.pstatic.net/stock-research/company/57/20260130_company_468535000.pdf","PDF")</f>
        <v>PDF</v>
      </c>
      <c r="K5643" s="12" t="s">
        <v>8770</v>
      </c>
      <c r="L5643" s="20">
        <v>0.48664343786295011</v>
      </c>
    </row>
    <row r="5644" spans="1:12" x14ac:dyDescent="0.45">
      <c r="A5644" s="12" t="s">
        <v>8716</v>
      </c>
      <c r="B5644" s="12" t="s">
        <v>3024</v>
      </c>
      <c r="C5644" s="13" t="s">
        <v>3025</v>
      </c>
      <c r="D5644" s="13" t="s">
        <v>65</v>
      </c>
      <c r="E5644" s="12" t="s">
        <v>35</v>
      </c>
      <c r="F5644" s="14">
        <v>76000</v>
      </c>
      <c r="G5644" s="14">
        <v>62500</v>
      </c>
      <c r="H5644" s="13" t="s">
        <v>8771</v>
      </c>
      <c r="I5644" s="40" t="s">
        <v>18</v>
      </c>
      <c r="J5644" s="40" t="str">
        <f>HYPERLINK("https://stock.pstatic.net/stock-research/company/57/20260130_company_580331000.pdf","PDF")</f>
        <v>PDF</v>
      </c>
      <c r="K5644" s="12" t="s">
        <v>8772</v>
      </c>
      <c r="L5644" s="20">
        <v>0.216</v>
      </c>
    </row>
    <row r="5645" spans="1:12" x14ac:dyDescent="0.45">
      <c r="A5645" s="12" t="s">
        <v>8716</v>
      </c>
      <c r="B5645" s="12" t="s">
        <v>519</v>
      </c>
      <c r="C5645" s="13" t="s">
        <v>520</v>
      </c>
      <c r="D5645" s="13" t="s">
        <v>65</v>
      </c>
      <c r="E5645" s="12" t="s">
        <v>35</v>
      </c>
      <c r="F5645" s="14">
        <v>660000</v>
      </c>
      <c r="G5645" s="14">
        <v>528000</v>
      </c>
      <c r="H5645" s="13" t="s">
        <v>8773</v>
      </c>
      <c r="I5645" s="40" t="s">
        <v>18</v>
      </c>
      <c r="J5645" s="40" t="str">
        <f>HYPERLINK("https://stock.pstatic.net/stock-research/company/57/20260130_company_168985000.pdf","PDF")</f>
        <v>PDF</v>
      </c>
      <c r="K5645" s="12" t="s">
        <v>8774</v>
      </c>
      <c r="L5645" s="20">
        <v>0.25</v>
      </c>
    </row>
    <row r="5646" spans="1:12" x14ac:dyDescent="0.45">
      <c r="A5646" s="12" t="s">
        <v>8716</v>
      </c>
      <c r="B5646" s="12" t="s">
        <v>1670</v>
      </c>
      <c r="C5646" s="13" t="s">
        <v>1671</v>
      </c>
      <c r="D5646" s="13" t="s">
        <v>65</v>
      </c>
      <c r="E5646" s="12" t="s">
        <v>35</v>
      </c>
      <c r="F5646" s="14">
        <v>180000</v>
      </c>
      <c r="G5646" s="14">
        <v>144900</v>
      </c>
      <c r="H5646" s="13" t="s">
        <v>8775</v>
      </c>
      <c r="I5646" s="40" t="s">
        <v>18</v>
      </c>
      <c r="J5646" s="40" t="str">
        <f>HYPERLINK("https://stock.pstatic.net/stock-research/company/57/20260130_company_168878000.pdf","PDF")</f>
        <v>PDF</v>
      </c>
      <c r="K5646" s="12" t="s">
        <v>8776</v>
      </c>
      <c r="L5646" s="20">
        <v>0.24223602484472051</v>
      </c>
    </row>
    <row r="5647" spans="1:12" x14ac:dyDescent="0.45">
      <c r="A5647" s="12" t="s">
        <v>8716</v>
      </c>
      <c r="B5647" s="12" t="s">
        <v>2887</v>
      </c>
      <c r="C5647" s="13" t="s">
        <v>2888</v>
      </c>
      <c r="D5647" s="13" t="s">
        <v>65</v>
      </c>
      <c r="E5647" s="12" t="s">
        <v>1738</v>
      </c>
      <c r="F5647" s="14">
        <v>360000</v>
      </c>
      <c r="G5647" s="14">
        <v>343000</v>
      </c>
      <c r="H5647" s="13" t="s">
        <v>8777</v>
      </c>
      <c r="I5647" s="40" t="s">
        <v>18</v>
      </c>
      <c r="J5647" s="40" t="str">
        <f>HYPERLINK("https://stock.pstatic.net/stock-research/company/57/20260130_company_854458000.pdf","PDF")</f>
        <v>PDF</v>
      </c>
      <c r="K5647" s="12" t="s">
        <v>8778</v>
      </c>
      <c r="L5647" s="20">
        <v>4.9562682215743441E-2</v>
      </c>
    </row>
    <row r="5648" spans="1:12" x14ac:dyDescent="0.45">
      <c r="A5648" s="12" t="s">
        <v>8716</v>
      </c>
      <c r="B5648" s="12" t="s">
        <v>2378</v>
      </c>
      <c r="C5648" s="13" t="s">
        <v>2379</v>
      </c>
      <c r="D5648" s="13" t="s">
        <v>158</v>
      </c>
      <c r="E5648" s="12" t="s">
        <v>35</v>
      </c>
      <c r="F5648" s="14">
        <v>531000</v>
      </c>
      <c r="G5648" s="14">
        <v>416500</v>
      </c>
      <c r="H5648" s="13" t="s">
        <v>8779</v>
      </c>
      <c r="I5648" s="40" t="s">
        <v>18</v>
      </c>
      <c r="J5648" s="40" t="str">
        <f>HYPERLINK("https://stock.pstatic.net/stock-research/company/18/20260130_company_524142000.pdf","PDF")</f>
        <v>PDF</v>
      </c>
      <c r="K5648" s="12" t="s">
        <v>8780</v>
      </c>
      <c r="L5648" s="20">
        <v>0.27490996398559431</v>
      </c>
    </row>
    <row r="5649" spans="1:12" x14ac:dyDescent="0.45">
      <c r="A5649" s="12" t="s">
        <v>8716</v>
      </c>
      <c r="B5649" s="12" t="s">
        <v>3749</v>
      </c>
      <c r="C5649" s="13" t="s">
        <v>3750</v>
      </c>
      <c r="D5649" s="13" t="s">
        <v>158</v>
      </c>
      <c r="E5649" s="12" t="s">
        <v>35</v>
      </c>
      <c r="F5649" s="14">
        <v>320000</v>
      </c>
      <c r="G5649" s="14">
        <v>255500</v>
      </c>
      <c r="H5649" s="13" t="s">
        <v>8781</v>
      </c>
      <c r="I5649" s="40" t="s">
        <v>18</v>
      </c>
      <c r="J5649" s="40" t="str">
        <f>HYPERLINK("https://stock.pstatic.net/stock-research/company/18/20260130_company_378204000.pdf","PDF")</f>
        <v>PDF</v>
      </c>
      <c r="K5649" s="12" t="s">
        <v>8782</v>
      </c>
      <c r="L5649" s="20">
        <v>0.25244618395303331</v>
      </c>
    </row>
    <row r="5650" spans="1:12" x14ac:dyDescent="0.45">
      <c r="A5650" s="12" t="s">
        <v>8716</v>
      </c>
      <c r="B5650" s="12" t="s">
        <v>4567</v>
      </c>
      <c r="C5650" s="13" t="s">
        <v>4568</v>
      </c>
      <c r="D5650" s="13" t="s">
        <v>158</v>
      </c>
      <c r="E5650" s="12" t="s">
        <v>35</v>
      </c>
      <c r="F5650" s="14">
        <v>76000</v>
      </c>
      <c r="G5650" s="14">
        <v>52500</v>
      </c>
      <c r="H5650" s="13" t="s">
        <v>8783</v>
      </c>
      <c r="I5650" s="40" t="s">
        <v>18</v>
      </c>
      <c r="J5650" s="40" t="str">
        <f>HYPERLINK("https://stock.pstatic.net/stock-research/company/18/20260130_company_413616000.pdf","PDF")</f>
        <v>PDF</v>
      </c>
      <c r="K5650" s="12" t="s">
        <v>8784</v>
      </c>
      <c r="L5650" s="20">
        <v>0.44761904761904758</v>
      </c>
    </row>
    <row r="5651" spans="1:12" x14ac:dyDescent="0.45">
      <c r="A5651" s="12" t="s">
        <v>8716</v>
      </c>
      <c r="B5651" s="12" t="s">
        <v>13</v>
      </c>
      <c r="C5651" s="13" t="s">
        <v>14</v>
      </c>
      <c r="D5651" s="13" t="s">
        <v>158</v>
      </c>
      <c r="E5651" s="12" t="s">
        <v>35</v>
      </c>
      <c r="F5651" s="14">
        <v>204000</v>
      </c>
      <c r="G5651" s="14">
        <v>160700</v>
      </c>
      <c r="H5651" s="13" t="s">
        <v>8785</v>
      </c>
      <c r="I5651" s="40" t="s">
        <v>18</v>
      </c>
      <c r="J5651" s="40" t="str">
        <f>HYPERLINK("https://stock.pstatic.net/stock-research/company/18/20260130_company_819013000.pdf","PDF")</f>
        <v>PDF</v>
      </c>
      <c r="K5651" s="12" t="s">
        <v>8786</v>
      </c>
      <c r="L5651" s="20">
        <v>0.26944617299315488</v>
      </c>
    </row>
    <row r="5652" spans="1:12" x14ac:dyDescent="0.45">
      <c r="A5652" s="12" t="s">
        <v>8716</v>
      </c>
      <c r="B5652" s="12" t="s">
        <v>1686</v>
      </c>
      <c r="C5652" s="13" t="s">
        <v>1687</v>
      </c>
      <c r="D5652" s="13" t="s">
        <v>158</v>
      </c>
      <c r="E5652" s="12" t="s">
        <v>35</v>
      </c>
      <c r="F5652" s="14">
        <v>2000000</v>
      </c>
      <c r="G5652" s="14">
        <v>1216000</v>
      </c>
      <c r="H5652" s="13" t="s">
        <v>8787</v>
      </c>
      <c r="I5652" s="40" t="s">
        <v>18</v>
      </c>
      <c r="J5652" s="40" t="str">
        <f>HYPERLINK("https://stock.pstatic.net/stock-research/company/18/20260130_company_187791000.pdf","PDF")</f>
        <v>PDF</v>
      </c>
      <c r="K5652" s="12" t="s">
        <v>8788</v>
      </c>
      <c r="L5652" s="20">
        <v>0.64473684210526316</v>
      </c>
    </row>
    <row r="5653" spans="1:12" x14ac:dyDescent="0.45">
      <c r="A5653" s="12" t="s">
        <v>8716</v>
      </c>
      <c r="B5653" s="12" t="s">
        <v>334</v>
      </c>
      <c r="C5653" s="13" t="s">
        <v>335</v>
      </c>
      <c r="D5653" s="13" t="s">
        <v>158</v>
      </c>
      <c r="E5653" s="12" t="s">
        <v>35</v>
      </c>
      <c r="F5653" s="14">
        <v>1169000</v>
      </c>
      <c r="G5653" s="14">
        <v>861000</v>
      </c>
      <c r="H5653" s="13" t="s">
        <v>8789</v>
      </c>
      <c r="I5653" s="40" t="s">
        <v>18</v>
      </c>
      <c r="J5653" s="40" t="str">
        <f>HYPERLINK("https://stock.pstatic.net/stock-research/company/18/20260130_company_435196000.pdf","PDF")</f>
        <v>PDF</v>
      </c>
      <c r="K5653" s="12" t="s">
        <v>8790</v>
      </c>
      <c r="L5653" s="20">
        <v>0.35772357723577242</v>
      </c>
    </row>
    <row r="5654" spans="1:12" x14ac:dyDescent="0.45">
      <c r="A5654" s="12" t="s">
        <v>8716</v>
      </c>
      <c r="B5654" s="12" t="s">
        <v>6812</v>
      </c>
      <c r="C5654" s="13" t="s">
        <v>6813</v>
      </c>
      <c r="D5654" s="13" t="s">
        <v>15</v>
      </c>
      <c r="E5654" s="12" t="s">
        <v>16</v>
      </c>
      <c r="F5654" s="14">
        <v>40000</v>
      </c>
      <c r="G5654" s="14">
        <v>31950</v>
      </c>
      <c r="H5654" s="13" t="s">
        <v>8791</v>
      </c>
      <c r="I5654" s="40" t="s">
        <v>18</v>
      </c>
      <c r="J5654" s="40" t="str">
        <f>HYPERLINK("https://stock.pstatic.net/stock-research/company/56/20260130_company_861331000.pdf","PDF")</f>
        <v>PDF</v>
      </c>
      <c r="K5654" s="12" t="s">
        <v>8792</v>
      </c>
      <c r="L5654" s="20">
        <v>0.2519561815336463</v>
      </c>
    </row>
    <row r="5655" spans="1:12" x14ac:dyDescent="0.45">
      <c r="A5655" s="12" t="s">
        <v>8716</v>
      </c>
      <c r="B5655" s="12" t="s">
        <v>2887</v>
      </c>
      <c r="C5655" s="13" t="s">
        <v>2888</v>
      </c>
      <c r="D5655" s="13" t="s">
        <v>15</v>
      </c>
      <c r="E5655" s="12" t="s">
        <v>16</v>
      </c>
      <c r="F5655" s="14">
        <v>430000</v>
      </c>
      <c r="G5655" s="14">
        <v>343000</v>
      </c>
      <c r="H5655" s="13" t="s">
        <v>8793</v>
      </c>
      <c r="I5655" s="40" t="s">
        <v>18</v>
      </c>
      <c r="J5655" s="40" t="str">
        <f>HYPERLINK("https://stock.pstatic.net/stock-research/company/56/20260130_company_727469000.pdf","PDF")</f>
        <v>PDF</v>
      </c>
      <c r="K5655" s="12" t="s">
        <v>8794</v>
      </c>
      <c r="L5655" s="20">
        <v>0.25364431486880468</v>
      </c>
    </row>
    <row r="5656" spans="1:12" x14ac:dyDescent="0.45">
      <c r="A5656" s="12" t="s">
        <v>8716</v>
      </c>
      <c r="B5656" s="12" t="s">
        <v>334</v>
      </c>
      <c r="C5656" s="13" t="s">
        <v>335</v>
      </c>
      <c r="D5656" s="13" t="s">
        <v>15</v>
      </c>
      <c r="E5656" s="12" t="s">
        <v>16</v>
      </c>
      <c r="F5656" s="14">
        <v>1370000</v>
      </c>
      <c r="G5656" s="14">
        <v>861000</v>
      </c>
      <c r="H5656" s="13" t="s">
        <v>8795</v>
      </c>
      <c r="I5656" s="40" t="s">
        <v>18</v>
      </c>
      <c r="J5656" s="40" t="str">
        <f>HYPERLINK("https://stock.pstatic.net/stock-research/company/56/20260130_company_953509000.pdf","PDF")</f>
        <v>PDF</v>
      </c>
      <c r="K5656" s="12" t="s">
        <v>8796</v>
      </c>
      <c r="L5656" s="20">
        <v>0.59117305458768876</v>
      </c>
    </row>
    <row r="5657" spans="1:12" x14ac:dyDescent="0.45">
      <c r="A5657" s="12" t="s">
        <v>8716</v>
      </c>
      <c r="B5657" s="12" t="s">
        <v>13</v>
      </c>
      <c r="C5657" s="13" t="s">
        <v>14</v>
      </c>
      <c r="D5657" s="13" t="s">
        <v>15</v>
      </c>
      <c r="E5657" s="12" t="s">
        <v>16</v>
      </c>
      <c r="F5657" s="14">
        <v>247000</v>
      </c>
      <c r="G5657" s="14">
        <v>160700</v>
      </c>
      <c r="H5657" s="13" t="s">
        <v>8797</v>
      </c>
      <c r="I5657" s="40" t="s">
        <v>18</v>
      </c>
      <c r="J5657" s="40" t="str">
        <f>HYPERLINK("https://stock.pstatic.net/stock-research/company/56/20260130_company_203035000.pdf","PDF")</f>
        <v>PDF</v>
      </c>
      <c r="K5657" s="12" t="s">
        <v>8798</v>
      </c>
      <c r="L5657" s="20">
        <v>0.53702551337896698</v>
      </c>
    </row>
    <row r="5658" spans="1:12" x14ac:dyDescent="0.45">
      <c r="A5658" s="12" t="s">
        <v>8716</v>
      </c>
      <c r="B5658" s="12" t="s">
        <v>519</v>
      </c>
      <c r="C5658" s="13" t="s">
        <v>520</v>
      </c>
      <c r="D5658" s="13" t="s">
        <v>15</v>
      </c>
      <c r="E5658" s="12" t="s">
        <v>16</v>
      </c>
      <c r="F5658" s="14">
        <v>640000</v>
      </c>
      <c r="G5658" s="14">
        <v>528000</v>
      </c>
      <c r="H5658" s="13" t="s">
        <v>8799</v>
      </c>
      <c r="I5658" s="40" t="s">
        <v>18</v>
      </c>
      <c r="J5658" s="40" t="str">
        <f>HYPERLINK("https://stock.pstatic.net/stock-research/company/56/20260130_company_57700000.pdf","PDF")</f>
        <v>PDF</v>
      </c>
      <c r="K5658" s="12" t="s">
        <v>8800</v>
      </c>
      <c r="L5658" s="20">
        <v>0.2121212121212121</v>
      </c>
    </row>
    <row r="5659" spans="1:12" x14ac:dyDescent="0.45">
      <c r="A5659" s="12" t="s">
        <v>8716</v>
      </c>
      <c r="B5659" s="12" t="s">
        <v>2758</v>
      </c>
      <c r="C5659" s="13" t="s">
        <v>2759</v>
      </c>
      <c r="D5659" s="13" t="s">
        <v>15</v>
      </c>
      <c r="E5659" s="12" t="s">
        <v>16</v>
      </c>
      <c r="F5659" s="14">
        <v>480000</v>
      </c>
      <c r="G5659" s="14">
        <v>364000</v>
      </c>
      <c r="H5659" s="13" t="s">
        <v>8801</v>
      </c>
      <c r="I5659" s="40" t="s">
        <v>18</v>
      </c>
      <c r="J5659" s="40" t="str">
        <f>HYPERLINK("https://stock.pstatic.net/stock-research/company/56/20260130_company_15902000.pdf","PDF")</f>
        <v>PDF</v>
      </c>
      <c r="K5659" s="12" t="s">
        <v>8802</v>
      </c>
      <c r="L5659" s="20">
        <v>0.31868131868131871</v>
      </c>
    </row>
    <row r="5660" spans="1:12" x14ac:dyDescent="0.45">
      <c r="A5660" s="12" t="s">
        <v>8716</v>
      </c>
      <c r="B5660" s="12" t="s">
        <v>3749</v>
      </c>
      <c r="C5660" s="13" t="s">
        <v>3750</v>
      </c>
      <c r="D5660" s="13" t="s">
        <v>15</v>
      </c>
      <c r="E5660" s="12" t="s">
        <v>16</v>
      </c>
      <c r="F5660" s="14">
        <v>310000</v>
      </c>
      <c r="G5660" s="14">
        <v>255500</v>
      </c>
      <c r="H5660" s="13" t="s">
        <v>8803</v>
      </c>
      <c r="I5660" s="40" t="s">
        <v>18</v>
      </c>
      <c r="J5660" s="40" t="str">
        <f>HYPERLINK("https://stock.pstatic.net/stock-research/company/56/20260130_company_839463000.pdf","PDF")</f>
        <v>PDF</v>
      </c>
      <c r="K5660" s="12" t="s">
        <v>8804</v>
      </c>
      <c r="L5660" s="20">
        <v>0.21330724070450099</v>
      </c>
    </row>
    <row r="5661" spans="1:12" x14ac:dyDescent="0.45">
      <c r="A5661" s="12" t="s">
        <v>8716</v>
      </c>
      <c r="B5661" s="12" t="s">
        <v>1670</v>
      </c>
      <c r="C5661" s="13" t="s">
        <v>1671</v>
      </c>
      <c r="D5661" s="13" t="s">
        <v>15</v>
      </c>
      <c r="E5661" s="12" t="s">
        <v>385</v>
      </c>
      <c r="F5661" s="14">
        <v>144000</v>
      </c>
      <c r="G5661" s="14">
        <v>144900</v>
      </c>
      <c r="H5661" s="13" t="s">
        <v>8805</v>
      </c>
      <c r="I5661" s="40" t="s">
        <v>18</v>
      </c>
      <c r="J5661" s="40" t="str">
        <f>HYPERLINK("https://stock.pstatic.net/stock-research/company/56/20260130_company_589532000.pdf","PDF")</f>
        <v>PDF</v>
      </c>
      <c r="K5661" s="12" t="s">
        <v>8806</v>
      </c>
      <c r="L5661" s="20">
        <v>-6.2111801242236021E-3</v>
      </c>
    </row>
    <row r="5662" spans="1:12" x14ac:dyDescent="0.45">
      <c r="A5662" s="12" t="s">
        <v>8716</v>
      </c>
      <c r="B5662" s="12" t="s">
        <v>3024</v>
      </c>
      <c r="C5662" s="13" t="s">
        <v>3025</v>
      </c>
      <c r="D5662" s="13" t="s">
        <v>15</v>
      </c>
      <c r="E5662" s="12" t="s">
        <v>16</v>
      </c>
      <c r="F5662" s="14">
        <v>73000</v>
      </c>
      <c r="G5662" s="14">
        <v>62500</v>
      </c>
      <c r="H5662" s="13" t="s">
        <v>8807</v>
      </c>
      <c r="I5662" s="40" t="s">
        <v>18</v>
      </c>
      <c r="J5662" s="40" t="str">
        <f>HYPERLINK("https://stock.pstatic.net/stock-research/company/56/20260130_company_220566000.pdf","PDF")</f>
        <v>PDF</v>
      </c>
      <c r="K5662" s="12" t="s">
        <v>8808</v>
      </c>
      <c r="L5662" s="20">
        <v>0.16800000000000001</v>
      </c>
    </row>
    <row r="5663" spans="1:12" x14ac:dyDescent="0.45">
      <c r="A5663" s="12" t="s">
        <v>8716</v>
      </c>
      <c r="B5663" s="12" t="s">
        <v>3018</v>
      </c>
      <c r="C5663" s="13" t="s">
        <v>3019</v>
      </c>
      <c r="D5663" s="13" t="s">
        <v>53</v>
      </c>
      <c r="E5663" s="12" t="s">
        <v>16</v>
      </c>
      <c r="F5663" s="14">
        <v>23000</v>
      </c>
      <c r="G5663" s="14">
        <v>17630</v>
      </c>
      <c r="H5663" s="13" t="s">
        <v>8809</v>
      </c>
      <c r="I5663" s="40" t="s">
        <v>18</v>
      </c>
      <c r="J5663" s="40" t="str">
        <f>HYPERLINK("https://stock.pstatic.net/stock-research/company/40/20260130_company_770131000.pdf","PDF")</f>
        <v>PDF</v>
      </c>
      <c r="K5663" s="12" t="s">
        <v>8810</v>
      </c>
      <c r="L5663" s="20">
        <v>0.30459444129325008</v>
      </c>
    </row>
    <row r="5664" spans="1:12" x14ac:dyDescent="0.45">
      <c r="A5664" s="12" t="s">
        <v>8716</v>
      </c>
      <c r="B5664" s="12" t="s">
        <v>519</v>
      </c>
      <c r="C5664" s="13" t="s">
        <v>520</v>
      </c>
      <c r="D5664" s="13" t="s">
        <v>179</v>
      </c>
      <c r="E5664" s="12" t="s">
        <v>16</v>
      </c>
      <c r="F5664" s="14">
        <v>630000</v>
      </c>
      <c r="G5664" s="14">
        <v>528000</v>
      </c>
      <c r="H5664" s="13" t="s">
        <v>8811</v>
      </c>
      <c r="I5664" s="40" t="s">
        <v>18</v>
      </c>
      <c r="J5664" s="40" t="str">
        <f>HYPERLINK("https://stock.pstatic.net/stock-research/company/64/20260130_company_786116000.pdf","PDF")</f>
        <v>PDF</v>
      </c>
      <c r="K5664" s="12" t="s">
        <v>8812</v>
      </c>
      <c r="L5664" s="20">
        <v>0.1931818181818182</v>
      </c>
    </row>
    <row r="5665" spans="1:12" x14ac:dyDescent="0.45">
      <c r="A5665" s="12" t="s">
        <v>8716</v>
      </c>
      <c r="B5665" s="12" t="s">
        <v>4567</v>
      </c>
      <c r="C5665" s="13" t="s">
        <v>4568</v>
      </c>
      <c r="D5665" s="13" t="s">
        <v>92</v>
      </c>
      <c r="E5665" s="12" t="s">
        <v>35</v>
      </c>
      <c r="F5665" s="14">
        <v>88000</v>
      </c>
      <c r="G5665" s="14">
        <v>52500</v>
      </c>
      <c r="H5665" s="13" t="s">
        <v>8813</v>
      </c>
      <c r="I5665" s="40" t="s">
        <v>18</v>
      </c>
      <c r="J5665" s="40" t="str">
        <f>HYPERLINK("https://stock.pstatic.net/stock-research/company/63/20260130_company_559273000.pdf","PDF")</f>
        <v>PDF</v>
      </c>
      <c r="K5665" s="12" t="s">
        <v>8814</v>
      </c>
      <c r="L5665" s="20">
        <v>0.67619047619047623</v>
      </c>
    </row>
    <row r="5666" spans="1:12" x14ac:dyDescent="0.45">
      <c r="A5666" s="12" t="s">
        <v>8716</v>
      </c>
      <c r="B5666" s="12" t="s">
        <v>519</v>
      </c>
      <c r="C5666" s="13" t="s">
        <v>520</v>
      </c>
      <c r="D5666" s="13" t="s">
        <v>83</v>
      </c>
      <c r="E5666" s="12" t="s">
        <v>35</v>
      </c>
      <c r="F5666" s="14">
        <v>660000</v>
      </c>
      <c r="G5666" s="14">
        <v>528000</v>
      </c>
      <c r="H5666" s="13" t="s">
        <v>8815</v>
      </c>
      <c r="I5666" s="40" t="s">
        <v>18</v>
      </c>
      <c r="J5666" s="40" t="str">
        <f>HYPERLINK("https://stock.pstatic.net/stock-research/company/15/20260130_company_524932000.pdf","PDF")</f>
        <v>PDF</v>
      </c>
      <c r="K5666" s="12" t="s">
        <v>8816</v>
      </c>
      <c r="L5666" s="20">
        <v>0.25</v>
      </c>
    </row>
    <row r="5667" spans="1:12" x14ac:dyDescent="0.45">
      <c r="A5667" s="12" t="s">
        <v>8716</v>
      </c>
      <c r="B5667" s="12" t="s">
        <v>334</v>
      </c>
      <c r="C5667" s="13" t="s">
        <v>335</v>
      </c>
      <c r="D5667" s="13" t="s">
        <v>83</v>
      </c>
      <c r="E5667" s="12" t="s">
        <v>35</v>
      </c>
      <c r="F5667" s="14">
        <v>1250000</v>
      </c>
      <c r="G5667" s="14">
        <v>861000</v>
      </c>
      <c r="H5667" s="13" t="s">
        <v>8817</v>
      </c>
      <c r="I5667" s="40" t="s">
        <v>18</v>
      </c>
      <c r="J5667" s="40" t="str">
        <f>HYPERLINK("https://stock.pstatic.net/stock-research/company/15/20260130_company_805357000.pdf","PDF")</f>
        <v>PDF</v>
      </c>
      <c r="K5667" s="12" t="s">
        <v>8818</v>
      </c>
      <c r="L5667" s="20">
        <v>0.45180023228803717</v>
      </c>
    </row>
    <row r="5668" spans="1:12" x14ac:dyDescent="0.45">
      <c r="A5668" s="12" t="s">
        <v>8716</v>
      </c>
      <c r="B5668" s="12" t="s">
        <v>13</v>
      </c>
      <c r="C5668" s="13" t="s">
        <v>14</v>
      </c>
      <c r="D5668" s="13" t="s">
        <v>83</v>
      </c>
      <c r="E5668" s="12" t="s">
        <v>35</v>
      </c>
      <c r="F5668" s="14">
        <v>240000</v>
      </c>
      <c r="G5668" s="14">
        <v>160700</v>
      </c>
      <c r="H5668" s="13" t="s">
        <v>8819</v>
      </c>
      <c r="I5668" s="40" t="s">
        <v>18</v>
      </c>
      <c r="J5668" s="40" t="str">
        <f>HYPERLINK("https://stock.pstatic.net/stock-research/company/15/20260130_company_298180000.pdf","PDF")</f>
        <v>PDF</v>
      </c>
      <c r="K5668" s="12" t="s">
        <v>8820</v>
      </c>
      <c r="L5668" s="20">
        <v>0.49346608587430002</v>
      </c>
    </row>
    <row r="5669" spans="1:12" x14ac:dyDescent="0.45">
      <c r="A5669" s="12" t="s">
        <v>8716</v>
      </c>
      <c r="B5669" s="12" t="s">
        <v>8821</v>
      </c>
      <c r="C5669" s="13" t="s">
        <v>8822</v>
      </c>
      <c r="D5669" s="13" t="s">
        <v>83</v>
      </c>
      <c r="E5669" s="12" t="s">
        <v>35</v>
      </c>
      <c r="F5669" s="14">
        <v>25000</v>
      </c>
      <c r="G5669" s="14">
        <v>17270</v>
      </c>
      <c r="H5669" s="13" t="s">
        <v>8823</v>
      </c>
      <c r="I5669" s="40" t="s">
        <v>18</v>
      </c>
      <c r="J5669" s="40" t="str">
        <f>HYPERLINK("https://stock.pstatic.net/stock-research/company/15/20260130_company_146501000.pdf","PDF")</f>
        <v>PDF</v>
      </c>
      <c r="K5669" s="12" t="s">
        <v>8824</v>
      </c>
      <c r="L5669" s="20">
        <v>0.44759698899826289</v>
      </c>
    </row>
    <row r="5670" spans="1:12" x14ac:dyDescent="0.45">
      <c r="A5670" s="12" t="s">
        <v>8716</v>
      </c>
      <c r="B5670" s="12" t="s">
        <v>13</v>
      </c>
      <c r="C5670" s="13" t="s">
        <v>14</v>
      </c>
      <c r="D5670" s="13" t="s">
        <v>92</v>
      </c>
      <c r="E5670" s="12" t="s">
        <v>35</v>
      </c>
      <c r="F5670" s="14">
        <v>210000</v>
      </c>
      <c r="G5670" s="14">
        <v>160700</v>
      </c>
      <c r="H5670" s="13" t="s">
        <v>8825</v>
      </c>
      <c r="I5670" s="40" t="s">
        <v>18</v>
      </c>
      <c r="J5670" s="40" t="str">
        <f>HYPERLINK("https://stock.pstatic.net/stock-research/company/63/20260130_company_793462000.pdf","PDF")</f>
        <v>PDF</v>
      </c>
      <c r="K5670" s="12" t="s">
        <v>8826</v>
      </c>
      <c r="L5670" s="20">
        <v>0.30678282514001243</v>
      </c>
    </row>
    <row r="5671" spans="1:12" x14ac:dyDescent="0.45">
      <c r="A5671" s="12" t="s">
        <v>8716</v>
      </c>
      <c r="B5671" s="12" t="s">
        <v>519</v>
      </c>
      <c r="C5671" s="13" t="s">
        <v>520</v>
      </c>
      <c r="D5671" s="13" t="s">
        <v>92</v>
      </c>
      <c r="E5671" s="12" t="s">
        <v>35</v>
      </c>
      <c r="F5671" s="14">
        <v>600000</v>
      </c>
      <c r="G5671" s="14">
        <v>528000</v>
      </c>
      <c r="H5671" s="13" t="s">
        <v>8827</v>
      </c>
      <c r="I5671" s="40" t="s">
        <v>18</v>
      </c>
      <c r="J5671" s="40" t="str">
        <f>HYPERLINK("https://stock.pstatic.net/stock-research/company/63/20260130_company_726501000.pdf","PDF")</f>
        <v>PDF</v>
      </c>
      <c r="K5671" s="12" t="s">
        <v>8828</v>
      </c>
      <c r="L5671" s="20">
        <v>0.13636363636363641</v>
      </c>
    </row>
    <row r="5672" spans="1:12" x14ac:dyDescent="0.45">
      <c r="A5672" s="12" t="s">
        <v>8716</v>
      </c>
      <c r="B5672" s="12" t="s">
        <v>752</v>
      </c>
      <c r="C5672" s="13" t="s">
        <v>753</v>
      </c>
      <c r="D5672" s="13" t="s">
        <v>92</v>
      </c>
      <c r="E5672" s="12" t="s">
        <v>35</v>
      </c>
      <c r="F5672" s="14">
        <v>165000</v>
      </c>
      <c r="G5672" s="14">
        <v>138700</v>
      </c>
      <c r="H5672" s="13" t="s">
        <v>8829</v>
      </c>
      <c r="I5672" s="40" t="s">
        <v>18</v>
      </c>
      <c r="J5672" s="40" t="str">
        <f>HYPERLINK("https://stock.pstatic.net/stock-research/company/63/20260130_company_979951000.pdf","PDF")</f>
        <v>PDF</v>
      </c>
      <c r="K5672" s="12" t="s">
        <v>8830</v>
      </c>
      <c r="L5672" s="20">
        <v>0.1896178803172314</v>
      </c>
    </row>
    <row r="5673" spans="1:12" x14ac:dyDescent="0.45">
      <c r="A5673" s="12" t="s">
        <v>8716</v>
      </c>
      <c r="B5673" s="12" t="s">
        <v>334</v>
      </c>
      <c r="C5673" s="13" t="s">
        <v>335</v>
      </c>
      <c r="D5673" s="13" t="s">
        <v>92</v>
      </c>
      <c r="E5673" s="12" t="s">
        <v>35</v>
      </c>
      <c r="F5673" s="14">
        <v>1170000</v>
      </c>
      <c r="G5673" s="14">
        <v>861000</v>
      </c>
      <c r="H5673" s="13" t="s">
        <v>8831</v>
      </c>
      <c r="I5673" s="40" t="s">
        <v>18</v>
      </c>
      <c r="J5673" s="40" t="str">
        <f>HYPERLINK("https://stock.pstatic.net/stock-research/company/63/20260130_company_500986000.pdf","PDF")</f>
        <v>PDF</v>
      </c>
      <c r="K5673" s="12" t="s">
        <v>8832</v>
      </c>
      <c r="L5673" s="20">
        <v>0.35888501742160278</v>
      </c>
    </row>
    <row r="5674" spans="1:12" x14ac:dyDescent="0.45">
      <c r="A5674" s="12" t="s">
        <v>8716</v>
      </c>
      <c r="B5674" s="12" t="s">
        <v>90</v>
      </c>
      <c r="C5674" s="13" t="s">
        <v>91</v>
      </c>
      <c r="D5674" s="13" t="s">
        <v>92</v>
      </c>
      <c r="E5674" s="12" t="s">
        <v>35</v>
      </c>
      <c r="F5674" s="14">
        <v>41000</v>
      </c>
      <c r="G5674" s="14">
        <v>38200</v>
      </c>
      <c r="H5674" s="13" t="s">
        <v>8833</v>
      </c>
      <c r="I5674" s="40" t="s">
        <v>18</v>
      </c>
      <c r="J5674" s="40" t="str">
        <f>HYPERLINK("https://stock.pstatic.net/stock-research/company/63/20260130_company_835087000.pdf","PDF")</f>
        <v>PDF</v>
      </c>
      <c r="K5674" s="12" t="s">
        <v>8834</v>
      </c>
      <c r="L5674" s="20">
        <v>7.3298429319371722E-2</v>
      </c>
    </row>
    <row r="5675" spans="1:12" x14ac:dyDescent="0.45">
      <c r="A5675" s="12" t="s">
        <v>8716</v>
      </c>
      <c r="B5675" s="12" t="s">
        <v>1670</v>
      </c>
      <c r="C5675" s="13" t="s">
        <v>1671</v>
      </c>
      <c r="D5675" s="13" t="s">
        <v>92</v>
      </c>
      <c r="E5675" s="12" t="s">
        <v>35</v>
      </c>
      <c r="F5675" s="14">
        <v>177000</v>
      </c>
      <c r="G5675" s="14">
        <v>144900</v>
      </c>
      <c r="H5675" s="13" t="s">
        <v>8835</v>
      </c>
      <c r="I5675" s="40" t="s">
        <v>18</v>
      </c>
      <c r="J5675" s="40" t="str">
        <f>HYPERLINK("https://stock.pstatic.net/stock-research/company/63/20260130_company_233275000.pdf","PDF")</f>
        <v>PDF</v>
      </c>
      <c r="K5675" s="12" t="s">
        <v>8836</v>
      </c>
      <c r="L5675" s="20">
        <v>0.22153209109730851</v>
      </c>
    </row>
    <row r="5676" spans="1:12" x14ac:dyDescent="0.45">
      <c r="A5676" s="12" t="s">
        <v>8716</v>
      </c>
      <c r="B5676" s="12" t="s">
        <v>398</v>
      </c>
      <c r="C5676" s="13" t="s">
        <v>399</v>
      </c>
      <c r="D5676" s="13" t="s">
        <v>23</v>
      </c>
      <c r="E5676" s="12" t="s">
        <v>50</v>
      </c>
      <c r="F5676" s="14">
        <v>250000</v>
      </c>
      <c r="G5676" s="14">
        <v>235000</v>
      </c>
      <c r="H5676" s="13" t="s">
        <v>8837</v>
      </c>
      <c r="I5676" s="40" t="s">
        <v>18</v>
      </c>
      <c r="J5676" s="40" t="str">
        <f>HYPERLINK("https://stock.pstatic.net/stock-research/company/21/20260130_company_28957000.pdf","PDF")</f>
        <v>PDF</v>
      </c>
      <c r="K5676" s="12" t="s">
        <v>8838</v>
      </c>
      <c r="L5676" s="20">
        <v>6.3829787234042548E-2</v>
      </c>
    </row>
    <row r="5677" spans="1:12" x14ac:dyDescent="0.45">
      <c r="A5677" s="12" t="s">
        <v>8716</v>
      </c>
      <c r="B5677" s="12" t="s">
        <v>519</v>
      </c>
      <c r="C5677" s="13" t="s">
        <v>520</v>
      </c>
      <c r="D5677" s="13" t="s">
        <v>23</v>
      </c>
      <c r="E5677" s="12" t="s">
        <v>16</v>
      </c>
      <c r="F5677" s="14">
        <v>670000</v>
      </c>
      <c r="G5677" s="14">
        <v>528000</v>
      </c>
      <c r="H5677" s="13" t="s">
        <v>8839</v>
      </c>
      <c r="I5677" s="40" t="s">
        <v>18</v>
      </c>
      <c r="J5677" s="40" t="str">
        <f>HYPERLINK("https://stock.pstatic.net/stock-research/company/21/20260130_company_144609000.pdf","PDF")</f>
        <v>PDF</v>
      </c>
      <c r="K5677" s="12" t="s">
        <v>8840</v>
      </c>
      <c r="L5677" s="20">
        <v>0.26893939393939392</v>
      </c>
    </row>
    <row r="5678" spans="1:12" x14ac:dyDescent="0.45">
      <c r="A5678" s="12" t="s">
        <v>8716</v>
      </c>
      <c r="B5678" s="12" t="s">
        <v>2758</v>
      </c>
      <c r="C5678" s="13" t="s">
        <v>2759</v>
      </c>
      <c r="D5678" s="13" t="s">
        <v>23</v>
      </c>
      <c r="E5678" s="12" t="s">
        <v>16</v>
      </c>
      <c r="F5678" s="14">
        <v>440000</v>
      </c>
      <c r="G5678" s="14">
        <v>364000</v>
      </c>
      <c r="H5678" s="13" t="s">
        <v>8841</v>
      </c>
      <c r="I5678" s="40" t="s">
        <v>18</v>
      </c>
      <c r="J5678" s="40" t="str">
        <f>HYPERLINK("https://stock.pstatic.net/stock-research/company/21/20260130_company_451432000.pdf","PDF")</f>
        <v>PDF</v>
      </c>
      <c r="K5678" s="12" t="s">
        <v>8842</v>
      </c>
      <c r="L5678" s="20">
        <v>0.2087912087912088</v>
      </c>
    </row>
    <row r="5679" spans="1:12" x14ac:dyDescent="0.45">
      <c r="A5679" s="12" t="s">
        <v>8716</v>
      </c>
      <c r="B5679" s="12" t="s">
        <v>2378</v>
      </c>
      <c r="C5679" s="13" t="s">
        <v>2379</v>
      </c>
      <c r="D5679" s="13" t="s">
        <v>23</v>
      </c>
      <c r="E5679" s="12" t="s">
        <v>16</v>
      </c>
      <c r="F5679" s="14">
        <v>510000</v>
      </c>
      <c r="G5679" s="14">
        <v>416500</v>
      </c>
      <c r="H5679" s="13" t="s">
        <v>8843</v>
      </c>
      <c r="I5679" s="40" t="s">
        <v>18</v>
      </c>
      <c r="J5679" s="40" t="str">
        <f>HYPERLINK("https://stock.pstatic.net/stock-research/company/21/20260130_company_466379000.pdf","PDF")</f>
        <v>PDF</v>
      </c>
      <c r="K5679" s="12" t="s">
        <v>8844</v>
      </c>
      <c r="L5679" s="20">
        <v>0.22448979591836729</v>
      </c>
    </row>
    <row r="5680" spans="1:12" x14ac:dyDescent="0.45">
      <c r="A5680" s="12" t="s">
        <v>8716</v>
      </c>
      <c r="B5680" s="12" t="s">
        <v>657</v>
      </c>
      <c r="C5680" s="13" t="s">
        <v>658</v>
      </c>
      <c r="D5680" s="13" t="s">
        <v>23</v>
      </c>
      <c r="E5680" s="12" t="s">
        <v>16</v>
      </c>
      <c r="F5680" s="14">
        <v>31000</v>
      </c>
      <c r="G5680" s="14">
        <v>21750</v>
      </c>
      <c r="H5680" s="13" t="s">
        <v>8845</v>
      </c>
      <c r="I5680" s="40" t="s">
        <v>18</v>
      </c>
      <c r="J5680" s="40" t="str">
        <f>HYPERLINK("https://stock.pstatic.net/stock-research/company/21/20260130_company_854586000.pdf","PDF")</f>
        <v>PDF</v>
      </c>
      <c r="K5680" s="12" t="s">
        <v>8846</v>
      </c>
      <c r="L5680" s="20">
        <v>0.42528735632183912</v>
      </c>
    </row>
    <row r="5681" spans="1:12" x14ac:dyDescent="0.45">
      <c r="A5681" s="12" t="s">
        <v>8716</v>
      </c>
      <c r="B5681" s="12" t="s">
        <v>8847</v>
      </c>
      <c r="C5681" s="13" t="s">
        <v>8848</v>
      </c>
      <c r="D5681" s="13" t="s">
        <v>23</v>
      </c>
      <c r="E5681" s="12" t="s">
        <v>50</v>
      </c>
      <c r="F5681" s="13"/>
      <c r="G5681" s="14">
        <v>2725</v>
      </c>
      <c r="H5681" s="13" t="s">
        <v>8849</v>
      </c>
      <c r="I5681" s="40" t="s">
        <v>18</v>
      </c>
      <c r="J5681" s="40" t="str">
        <f>HYPERLINK("https://stock.pstatic.net/stock-research/company/21/20260130_company_585107000.pdf","PDF")</f>
        <v>PDF</v>
      </c>
      <c r="K5681" s="12" t="s">
        <v>8850</v>
      </c>
    </row>
    <row r="5682" spans="1:12" x14ac:dyDescent="0.45">
      <c r="A5682" s="12" t="s">
        <v>8716</v>
      </c>
      <c r="B5682" s="12" t="s">
        <v>1686</v>
      </c>
      <c r="C5682" s="13" t="s">
        <v>1687</v>
      </c>
      <c r="D5682" s="13" t="s">
        <v>23</v>
      </c>
      <c r="E5682" s="12" t="s">
        <v>16</v>
      </c>
      <c r="F5682" s="14">
        <v>1750000</v>
      </c>
      <c r="G5682" s="14">
        <v>1216000</v>
      </c>
      <c r="H5682" s="13" t="s">
        <v>8851</v>
      </c>
      <c r="I5682" s="40" t="s">
        <v>18</v>
      </c>
      <c r="J5682" s="40" t="str">
        <f>HYPERLINK("https://stock.pstatic.net/stock-research/company/21/20260130_company_882259000.pdf","PDF")</f>
        <v>PDF</v>
      </c>
      <c r="K5682" s="12" t="s">
        <v>8852</v>
      </c>
      <c r="L5682" s="20">
        <v>0.43914473684210531</v>
      </c>
    </row>
    <row r="5683" spans="1:12" x14ac:dyDescent="0.45">
      <c r="A5683" s="12" t="s">
        <v>8716</v>
      </c>
      <c r="B5683" s="12" t="s">
        <v>1670</v>
      </c>
      <c r="C5683" s="13" t="s">
        <v>1671</v>
      </c>
      <c r="D5683" s="13" t="s">
        <v>23</v>
      </c>
      <c r="E5683" s="12" t="s">
        <v>16</v>
      </c>
      <c r="F5683" s="14">
        <v>200000</v>
      </c>
      <c r="G5683" s="14">
        <v>144900</v>
      </c>
      <c r="H5683" s="13" t="s">
        <v>8853</v>
      </c>
      <c r="I5683" s="40" t="s">
        <v>18</v>
      </c>
      <c r="J5683" s="40" t="str">
        <f>HYPERLINK("https://stock.pstatic.net/stock-research/company/21/20260130_company_509673000.pdf","PDF")</f>
        <v>PDF</v>
      </c>
      <c r="K5683" s="12" t="s">
        <v>8854</v>
      </c>
      <c r="L5683" s="20">
        <v>0.3802622498274672</v>
      </c>
    </row>
    <row r="5684" spans="1:12" x14ac:dyDescent="0.45">
      <c r="A5684" s="12" t="s">
        <v>8716</v>
      </c>
      <c r="B5684" s="12" t="s">
        <v>2887</v>
      </c>
      <c r="C5684" s="13" t="s">
        <v>2888</v>
      </c>
      <c r="D5684" s="13" t="s">
        <v>92</v>
      </c>
      <c r="E5684" s="12" t="s">
        <v>35</v>
      </c>
      <c r="F5684" s="14">
        <v>400000</v>
      </c>
      <c r="G5684" s="14">
        <v>343000</v>
      </c>
      <c r="H5684" s="13" t="s">
        <v>8855</v>
      </c>
      <c r="I5684" s="40" t="s">
        <v>18</v>
      </c>
      <c r="J5684" s="40" t="str">
        <f>HYPERLINK("https://stock.pstatic.net/stock-research/company/63/20260130_company_13669000.pdf","PDF")</f>
        <v>PDF</v>
      </c>
      <c r="K5684" s="12" t="s">
        <v>8856</v>
      </c>
      <c r="L5684" s="20">
        <v>0.16618075801749271</v>
      </c>
    </row>
    <row r="5685" spans="1:12" x14ac:dyDescent="0.45">
      <c r="A5685" s="12" t="s">
        <v>8716</v>
      </c>
      <c r="B5685" s="12" t="s">
        <v>2378</v>
      </c>
      <c r="C5685" s="13" t="s">
        <v>2379</v>
      </c>
      <c r="D5685" s="13" t="s">
        <v>92</v>
      </c>
      <c r="E5685" s="12" t="s">
        <v>35</v>
      </c>
      <c r="F5685" s="14">
        <v>480000</v>
      </c>
      <c r="G5685" s="14">
        <v>416500</v>
      </c>
      <c r="H5685" s="13" t="s">
        <v>8857</v>
      </c>
      <c r="I5685" s="40" t="s">
        <v>18</v>
      </c>
      <c r="J5685" s="40" t="str">
        <f>HYPERLINK("https://stock.pstatic.net/stock-research/company/63/20260130_company_702574000.pdf","PDF")</f>
        <v>PDF</v>
      </c>
      <c r="K5685" s="12" t="s">
        <v>8858</v>
      </c>
      <c r="L5685" s="20">
        <v>0.15246098439375749</v>
      </c>
    </row>
    <row r="5686" spans="1:12" x14ac:dyDescent="0.45">
      <c r="A5686" s="12" t="s">
        <v>8716</v>
      </c>
      <c r="B5686" s="12" t="s">
        <v>2887</v>
      </c>
      <c r="C5686" s="13" t="s">
        <v>2888</v>
      </c>
      <c r="D5686" s="13" t="s">
        <v>23</v>
      </c>
      <c r="E5686" s="12" t="s">
        <v>16</v>
      </c>
      <c r="F5686" s="14">
        <v>470000</v>
      </c>
      <c r="G5686" s="14">
        <v>343000</v>
      </c>
      <c r="H5686" s="13" t="s">
        <v>8859</v>
      </c>
      <c r="I5686" s="40" t="s">
        <v>18</v>
      </c>
      <c r="J5686" s="40" t="str">
        <f>HYPERLINK("https://stock.pstatic.net/stock-research/company/21/20260130_company_908596000.pdf","PDF")</f>
        <v>PDF</v>
      </c>
      <c r="K5686" s="12" t="s">
        <v>8860</v>
      </c>
      <c r="L5686" s="20">
        <v>0.37026239067055389</v>
      </c>
    </row>
    <row r="5687" spans="1:12" x14ac:dyDescent="0.45">
      <c r="A5687" s="12" t="s">
        <v>8716</v>
      </c>
      <c r="B5687" s="12" t="s">
        <v>8861</v>
      </c>
      <c r="C5687" s="13" t="s">
        <v>8862</v>
      </c>
      <c r="D5687" s="13" t="s">
        <v>53</v>
      </c>
      <c r="E5687" s="12" t="s">
        <v>16</v>
      </c>
      <c r="F5687" s="14">
        <v>46000</v>
      </c>
      <c r="G5687" s="14">
        <v>29050</v>
      </c>
      <c r="H5687" s="13" t="s">
        <v>8863</v>
      </c>
      <c r="I5687" s="40" t="s">
        <v>18</v>
      </c>
      <c r="J5687" s="40" t="str">
        <f>HYPERLINK("https://stock.pstatic.net/stock-research/company/40/20260130_company_302579000.pdf","PDF")</f>
        <v>PDF</v>
      </c>
      <c r="K5687" s="12" t="s">
        <v>8864</v>
      </c>
      <c r="L5687" s="20">
        <v>0.58347676419965577</v>
      </c>
    </row>
    <row r="5688" spans="1:12" x14ac:dyDescent="0.45">
      <c r="A5688" s="12" t="s">
        <v>8716</v>
      </c>
      <c r="B5688" s="12" t="s">
        <v>3749</v>
      </c>
      <c r="C5688" s="13" t="s">
        <v>3750</v>
      </c>
      <c r="D5688" s="13" t="s">
        <v>34</v>
      </c>
      <c r="E5688" s="12" t="s">
        <v>35</v>
      </c>
      <c r="F5688" s="14">
        <v>325000</v>
      </c>
      <c r="G5688" s="14">
        <v>255500</v>
      </c>
      <c r="H5688" s="13" t="s">
        <v>8865</v>
      </c>
      <c r="I5688" s="40" t="s">
        <v>18</v>
      </c>
      <c r="J5688" s="40" t="str">
        <f>HYPERLINK("https://stock.pstatic.net/stock-research/company/61/20260130_company_611262000.pdf","PDF")</f>
        <v>PDF</v>
      </c>
      <c r="K5688" s="12" t="s">
        <v>8866</v>
      </c>
      <c r="L5688" s="20">
        <v>0.2720156555772994</v>
      </c>
    </row>
    <row r="5689" spans="1:12" x14ac:dyDescent="0.45">
      <c r="A5689" s="12" t="s">
        <v>8716</v>
      </c>
      <c r="B5689" s="12" t="s">
        <v>3024</v>
      </c>
      <c r="C5689" s="13" t="s">
        <v>3025</v>
      </c>
      <c r="D5689" s="13" t="s">
        <v>92</v>
      </c>
      <c r="E5689" s="12" t="s">
        <v>35</v>
      </c>
      <c r="F5689" s="14">
        <v>80000</v>
      </c>
      <c r="G5689" s="14">
        <v>62500</v>
      </c>
      <c r="H5689" s="13" t="s">
        <v>8867</v>
      </c>
      <c r="I5689" s="40" t="s">
        <v>18</v>
      </c>
      <c r="J5689" s="40" t="str">
        <f>HYPERLINK("https://stock.pstatic.net/stock-research/company/63/20260130_company_53892000.pdf","PDF")</f>
        <v>PDF</v>
      </c>
      <c r="K5689" s="12" t="s">
        <v>8868</v>
      </c>
      <c r="L5689" s="20">
        <v>0.28000000000000003</v>
      </c>
    </row>
    <row r="5690" spans="1:12" x14ac:dyDescent="0.45">
      <c r="A5690" s="12" t="s">
        <v>8716</v>
      </c>
      <c r="B5690" s="12" t="s">
        <v>13</v>
      </c>
      <c r="C5690" s="13" t="s">
        <v>14</v>
      </c>
      <c r="D5690" s="13" t="s">
        <v>23</v>
      </c>
      <c r="E5690" s="12" t="s">
        <v>16</v>
      </c>
      <c r="F5690" s="14">
        <v>230000</v>
      </c>
      <c r="G5690" s="14">
        <v>160700</v>
      </c>
      <c r="H5690" s="13" t="s">
        <v>8869</v>
      </c>
      <c r="I5690" s="40" t="s">
        <v>18</v>
      </c>
      <c r="J5690" s="40" t="str">
        <f>HYPERLINK("https://stock.pstatic.net/stock-research/company/21/20260130_company_666144000.pdf","PDF")</f>
        <v>PDF</v>
      </c>
      <c r="K5690" s="12" t="s">
        <v>8870</v>
      </c>
      <c r="L5690" s="20">
        <v>0.43123833229620412</v>
      </c>
    </row>
    <row r="5691" spans="1:12" x14ac:dyDescent="0.45">
      <c r="A5691" s="12" t="s">
        <v>8716</v>
      </c>
      <c r="B5691" s="12" t="s">
        <v>334</v>
      </c>
      <c r="C5691" s="13" t="s">
        <v>335</v>
      </c>
      <c r="D5691" s="13" t="s">
        <v>23</v>
      </c>
      <c r="E5691" s="12" t="s">
        <v>16</v>
      </c>
      <c r="F5691" s="14">
        <v>1300000</v>
      </c>
      <c r="G5691" s="14">
        <v>861000</v>
      </c>
      <c r="H5691" s="13" t="s">
        <v>8871</v>
      </c>
      <c r="I5691" s="40" t="s">
        <v>18</v>
      </c>
      <c r="J5691" s="40" t="str">
        <f>HYPERLINK("https://stock.pstatic.net/stock-research/company/21/20260130_company_363142000.pdf","PDF")</f>
        <v>PDF</v>
      </c>
      <c r="K5691" s="12" t="s">
        <v>8872</v>
      </c>
      <c r="L5691" s="20">
        <v>0.50987224157955868</v>
      </c>
    </row>
    <row r="5692" spans="1:12" x14ac:dyDescent="0.45">
      <c r="A5692" s="12" t="s">
        <v>8716</v>
      </c>
      <c r="B5692" s="12" t="s">
        <v>2758</v>
      </c>
      <c r="C5692" s="13" t="s">
        <v>2759</v>
      </c>
      <c r="D5692" s="13" t="s">
        <v>34</v>
      </c>
      <c r="E5692" s="12" t="s">
        <v>35</v>
      </c>
      <c r="F5692" s="14">
        <v>420000</v>
      </c>
      <c r="G5692" s="14">
        <v>364000</v>
      </c>
      <c r="H5692" s="13" t="s">
        <v>8873</v>
      </c>
      <c r="I5692" s="40" t="s">
        <v>18</v>
      </c>
      <c r="J5692" s="40" t="str">
        <f>HYPERLINK("https://stock.pstatic.net/stock-research/company/61/20260130_company_934041000.pdf","PDF")</f>
        <v>PDF</v>
      </c>
      <c r="K5692" s="12" t="s">
        <v>8874</v>
      </c>
      <c r="L5692" s="20">
        <v>0.15384615384615391</v>
      </c>
    </row>
    <row r="5693" spans="1:12" x14ac:dyDescent="0.45">
      <c r="A5693" s="12" t="s">
        <v>8716</v>
      </c>
      <c r="B5693" s="12" t="s">
        <v>2887</v>
      </c>
      <c r="C5693" s="13" t="s">
        <v>2888</v>
      </c>
      <c r="D5693" s="13" t="s">
        <v>34</v>
      </c>
      <c r="E5693" s="12" t="s">
        <v>35</v>
      </c>
      <c r="F5693" s="14">
        <v>500000</v>
      </c>
      <c r="G5693" s="14">
        <v>343000</v>
      </c>
      <c r="H5693" s="13" t="s">
        <v>8875</v>
      </c>
      <c r="I5693" s="40" t="s">
        <v>18</v>
      </c>
      <c r="J5693" s="40" t="str">
        <f>HYPERLINK("https://stock.pstatic.net/stock-research/company/61/20260130_company_750536000.pdf","PDF")</f>
        <v>PDF</v>
      </c>
      <c r="K5693" s="12" t="s">
        <v>8876</v>
      </c>
      <c r="L5693" s="20">
        <v>0.45772594752186591</v>
      </c>
    </row>
    <row r="5694" spans="1:12" x14ac:dyDescent="0.45">
      <c r="A5694" s="12" t="s">
        <v>8716</v>
      </c>
      <c r="B5694" s="12" t="s">
        <v>519</v>
      </c>
      <c r="C5694" s="13" t="s">
        <v>520</v>
      </c>
      <c r="D5694" s="13" t="s">
        <v>34</v>
      </c>
      <c r="E5694" s="12" t="s">
        <v>35</v>
      </c>
      <c r="F5694" s="14">
        <v>650000</v>
      </c>
      <c r="G5694" s="14">
        <v>528000</v>
      </c>
      <c r="H5694" s="13" t="s">
        <v>8877</v>
      </c>
      <c r="I5694" s="40" t="s">
        <v>18</v>
      </c>
      <c r="J5694" s="40" t="str">
        <f>HYPERLINK("https://stock.pstatic.net/stock-research/company/61/20260130_company_284706000.pdf","PDF")</f>
        <v>PDF</v>
      </c>
      <c r="K5694" s="12" t="s">
        <v>8878</v>
      </c>
      <c r="L5694" s="20">
        <v>0.23106060606060599</v>
      </c>
    </row>
    <row r="5695" spans="1:12" x14ac:dyDescent="0.45">
      <c r="A5695" s="12" t="s">
        <v>8716</v>
      </c>
      <c r="B5695" s="12" t="s">
        <v>4567</v>
      </c>
      <c r="C5695" s="13" t="s">
        <v>4568</v>
      </c>
      <c r="D5695" s="13" t="s">
        <v>34</v>
      </c>
      <c r="E5695" s="12" t="s">
        <v>35</v>
      </c>
      <c r="F5695" s="14">
        <v>76000</v>
      </c>
      <c r="G5695" s="14">
        <v>52500</v>
      </c>
      <c r="H5695" s="13" t="s">
        <v>8879</v>
      </c>
      <c r="I5695" s="40" t="s">
        <v>18</v>
      </c>
      <c r="J5695" s="40" t="str">
        <f>HYPERLINK("https://stock.pstatic.net/stock-research/company/61/20260130_company_835516000.pdf","PDF")</f>
        <v>PDF</v>
      </c>
      <c r="K5695" s="12" t="s">
        <v>8880</v>
      </c>
      <c r="L5695" s="20">
        <v>0.44761904761904758</v>
      </c>
    </row>
    <row r="5696" spans="1:12" x14ac:dyDescent="0.45">
      <c r="A5696" s="12" t="s">
        <v>8716</v>
      </c>
      <c r="B5696" s="12" t="s">
        <v>2378</v>
      </c>
      <c r="C5696" s="13" t="s">
        <v>2379</v>
      </c>
      <c r="D5696" s="13" t="s">
        <v>34</v>
      </c>
      <c r="E5696" s="12" t="s">
        <v>35</v>
      </c>
      <c r="F5696" s="14">
        <v>560000</v>
      </c>
      <c r="G5696" s="14">
        <v>416500</v>
      </c>
      <c r="H5696" s="13" t="s">
        <v>8881</v>
      </c>
      <c r="I5696" s="40" t="s">
        <v>18</v>
      </c>
      <c r="J5696" s="40" t="str">
        <f>HYPERLINK("https://stock.pstatic.net/stock-research/company/61/20260130_company_897168000.pdf","PDF")</f>
        <v>PDF</v>
      </c>
      <c r="K5696" s="12" t="s">
        <v>8882</v>
      </c>
      <c r="L5696" s="20">
        <v>0.34453781512605042</v>
      </c>
    </row>
    <row r="5697" spans="1:12" x14ac:dyDescent="0.45">
      <c r="A5697" s="12" t="s">
        <v>8716</v>
      </c>
      <c r="B5697" s="12" t="s">
        <v>334</v>
      </c>
      <c r="C5697" s="13" t="s">
        <v>335</v>
      </c>
      <c r="D5697" s="13" t="s">
        <v>34</v>
      </c>
      <c r="E5697" s="12" t="s">
        <v>35</v>
      </c>
      <c r="F5697" s="14">
        <v>1160000</v>
      </c>
      <c r="G5697" s="14">
        <v>861000</v>
      </c>
      <c r="H5697" s="13" t="s">
        <v>8883</v>
      </c>
      <c r="I5697" s="40" t="s">
        <v>18</v>
      </c>
      <c r="J5697" s="40" t="str">
        <f>HYPERLINK("https://stock.pstatic.net/stock-research/company/61/20260130_company_357653000.pdf","PDF")</f>
        <v>PDF</v>
      </c>
      <c r="K5697" s="12" t="s">
        <v>8884</v>
      </c>
      <c r="L5697" s="20">
        <v>0.34727061556329852</v>
      </c>
    </row>
    <row r="5698" spans="1:12" x14ac:dyDescent="0.45">
      <c r="A5698" s="12" t="s">
        <v>8716</v>
      </c>
      <c r="B5698" s="12" t="s">
        <v>13</v>
      </c>
      <c r="C5698" s="13" t="s">
        <v>14</v>
      </c>
      <c r="D5698" s="13" t="s">
        <v>34</v>
      </c>
      <c r="E5698" s="12" t="s">
        <v>35</v>
      </c>
      <c r="F5698" s="14">
        <v>200000</v>
      </c>
      <c r="G5698" s="14">
        <v>160700</v>
      </c>
      <c r="H5698" s="13" t="s">
        <v>8885</v>
      </c>
      <c r="I5698" s="40" t="s">
        <v>18</v>
      </c>
      <c r="J5698" s="40" t="str">
        <f>HYPERLINK("https://stock.pstatic.net/stock-research/company/61/20260130_company_170775000.pdf","PDF")</f>
        <v>PDF</v>
      </c>
      <c r="K5698" s="12" t="s">
        <v>8886</v>
      </c>
      <c r="L5698" s="20">
        <v>0.24455507156191661</v>
      </c>
    </row>
    <row r="5699" spans="1:12" x14ac:dyDescent="0.45">
      <c r="A5699" s="12" t="s">
        <v>8716</v>
      </c>
      <c r="B5699" s="12" t="s">
        <v>3024</v>
      </c>
      <c r="C5699" s="13" t="s">
        <v>3025</v>
      </c>
      <c r="D5699" s="13" t="s">
        <v>44</v>
      </c>
      <c r="E5699" s="12" t="s">
        <v>35</v>
      </c>
      <c r="F5699" s="14">
        <v>80000</v>
      </c>
      <c r="G5699" s="14">
        <v>62500</v>
      </c>
      <c r="H5699" s="13" t="s">
        <v>8887</v>
      </c>
      <c r="I5699" s="40" t="s">
        <v>18</v>
      </c>
      <c r="J5699" s="40" t="str">
        <f>HYPERLINK("https://stock.pstatic.net/stock-research/company/39/20260130_company_804909000.pdf","PDF")</f>
        <v>PDF</v>
      </c>
      <c r="K5699" s="12" t="s">
        <v>8888</v>
      </c>
      <c r="L5699" s="20">
        <v>0.28000000000000003</v>
      </c>
    </row>
    <row r="5700" spans="1:12" x14ac:dyDescent="0.45">
      <c r="A5700" s="12" t="s">
        <v>8716</v>
      </c>
      <c r="B5700" s="12" t="s">
        <v>2378</v>
      </c>
      <c r="C5700" s="13" t="s">
        <v>2379</v>
      </c>
      <c r="D5700" s="13" t="s">
        <v>53</v>
      </c>
      <c r="E5700" s="12" t="s">
        <v>16</v>
      </c>
      <c r="F5700" s="14">
        <v>560000</v>
      </c>
      <c r="G5700" s="14">
        <v>416500</v>
      </c>
      <c r="H5700" s="13" t="s">
        <v>8889</v>
      </c>
      <c r="I5700" s="40" t="s">
        <v>18</v>
      </c>
      <c r="J5700" s="40" t="str">
        <f>HYPERLINK("https://stock.pstatic.net/stock-research/company/40/20260130_company_56784000.pdf","PDF")</f>
        <v>PDF</v>
      </c>
      <c r="K5700" s="12" t="s">
        <v>8890</v>
      </c>
      <c r="L5700" s="20">
        <v>0.34453781512605042</v>
      </c>
    </row>
    <row r="5701" spans="1:12" x14ac:dyDescent="0.45">
      <c r="A5701" s="12" t="s">
        <v>8716</v>
      </c>
      <c r="B5701" s="12" t="s">
        <v>398</v>
      </c>
      <c r="C5701" s="13" t="s">
        <v>399</v>
      </c>
      <c r="D5701" s="13" t="s">
        <v>53</v>
      </c>
      <c r="E5701" s="12" t="s">
        <v>50</v>
      </c>
      <c r="F5701" s="14">
        <v>236000</v>
      </c>
      <c r="G5701" s="14">
        <v>235000</v>
      </c>
      <c r="H5701" s="13" t="s">
        <v>8891</v>
      </c>
      <c r="I5701" s="40" t="s">
        <v>18</v>
      </c>
      <c r="J5701" s="40" t="str">
        <f>HYPERLINK("https://stock.pstatic.net/stock-research/company/40/20260130_company_560506000.pdf","PDF")</f>
        <v>PDF</v>
      </c>
      <c r="K5701" s="12" t="s">
        <v>8892</v>
      </c>
      <c r="L5701" s="20">
        <v>4.2553191489361703E-3</v>
      </c>
    </row>
    <row r="5702" spans="1:12" x14ac:dyDescent="0.45">
      <c r="A5702" s="12" t="s">
        <v>8716</v>
      </c>
      <c r="B5702" s="12" t="s">
        <v>1208</v>
      </c>
      <c r="C5702" s="13" t="s">
        <v>1209</v>
      </c>
      <c r="D5702" s="13" t="s">
        <v>44</v>
      </c>
      <c r="E5702" s="12" t="s">
        <v>35</v>
      </c>
      <c r="F5702" s="14">
        <v>80000</v>
      </c>
      <c r="G5702" s="14">
        <v>55400</v>
      </c>
      <c r="H5702" s="13" t="s">
        <v>8893</v>
      </c>
      <c r="I5702" s="40" t="s">
        <v>18</v>
      </c>
      <c r="J5702" s="40" t="str">
        <f>HYPERLINK("https://stock.pstatic.net/stock-research/company/39/20260130_company_253753000.pdf","PDF")</f>
        <v>PDF</v>
      </c>
      <c r="K5702" s="12" t="s">
        <v>8894</v>
      </c>
      <c r="L5702" s="20">
        <v>0.44404332129963903</v>
      </c>
    </row>
    <row r="5703" spans="1:12" x14ac:dyDescent="0.45">
      <c r="A5703" s="12" t="s">
        <v>8716</v>
      </c>
      <c r="B5703" s="12" t="s">
        <v>1686</v>
      </c>
      <c r="C5703" s="13" t="s">
        <v>1687</v>
      </c>
      <c r="D5703" s="13" t="s">
        <v>44</v>
      </c>
      <c r="E5703" s="12" t="s">
        <v>35</v>
      </c>
      <c r="F5703" s="14">
        <v>1850000</v>
      </c>
      <c r="G5703" s="14">
        <v>1216000</v>
      </c>
      <c r="H5703" s="13" t="s">
        <v>8895</v>
      </c>
      <c r="I5703" s="40" t="s">
        <v>18</v>
      </c>
      <c r="J5703" s="40" t="str">
        <f>HYPERLINK("https://stock.pstatic.net/stock-research/company/39/20260130_company_929077000.pdf","PDF")</f>
        <v>PDF</v>
      </c>
      <c r="K5703" s="12" t="s">
        <v>8896</v>
      </c>
      <c r="L5703" s="20">
        <v>0.52138157894736847</v>
      </c>
    </row>
    <row r="5704" spans="1:12" x14ac:dyDescent="0.45">
      <c r="A5704" s="12" t="s">
        <v>8716</v>
      </c>
      <c r="B5704" s="12" t="s">
        <v>334</v>
      </c>
      <c r="C5704" s="13" t="s">
        <v>335</v>
      </c>
      <c r="D5704" s="13" t="s">
        <v>44</v>
      </c>
      <c r="E5704" s="12" t="s">
        <v>35</v>
      </c>
      <c r="F5704" s="14">
        <v>1050000</v>
      </c>
      <c r="G5704" s="14">
        <v>861000</v>
      </c>
      <c r="H5704" s="13" t="s">
        <v>8897</v>
      </c>
      <c r="I5704" s="40" t="s">
        <v>18</v>
      </c>
      <c r="J5704" s="40" t="str">
        <f>HYPERLINK("https://stock.pstatic.net/stock-research/company/39/20260130_company_228746000.pdf","PDF")</f>
        <v>PDF</v>
      </c>
      <c r="K5704" s="12" t="s">
        <v>8898</v>
      </c>
      <c r="L5704" s="20">
        <v>0.21951219512195119</v>
      </c>
    </row>
    <row r="5705" spans="1:12" x14ac:dyDescent="0.45">
      <c r="A5705" s="12" t="s">
        <v>8716</v>
      </c>
      <c r="B5705" s="12" t="s">
        <v>13</v>
      </c>
      <c r="C5705" s="13" t="s">
        <v>14</v>
      </c>
      <c r="D5705" s="13" t="s">
        <v>44</v>
      </c>
      <c r="E5705" s="12" t="s">
        <v>35</v>
      </c>
      <c r="F5705" s="14">
        <v>200000</v>
      </c>
      <c r="G5705" s="14">
        <v>160700</v>
      </c>
      <c r="H5705" s="13" t="s">
        <v>8899</v>
      </c>
      <c r="I5705" s="40" t="s">
        <v>18</v>
      </c>
      <c r="J5705" s="40" t="str">
        <f>HYPERLINK("https://stock.pstatic.net/stock-research/company/39/20260130_company_553857000.pdf","PDF")</f>
        <v>PDF</v>
      </c>
      <c r="K5705" s="12" t="s">
        <v>8900</v>
      </c>
      <c r="L5705" s="20">
        <v>0.24455507156191661</v>
      </c>
    </row>
    <row r="5706" spans="1:12" x14ac:dyDescent="0.45">
      <c r="A5706" s="12" t="s">
        <v>8716</v>
      </c>
      <c r="B5706" s="12" t="s">
        <v>2378</v>
      </c>
      <c r="C5706" s="13" t="s">
        <v>2379</v>
      </c>
      <c r="D5706" s="13" t="s">
        <v>44</v>
      </c>
      <c r="E5706" s="12" t="s">
        <v>35</v>
      </c>
      <c r="F5706" s="14">
        <v>590000</v>
      </c>
      <c r="G5706" s="14">
        <v>416500</v>
      </c>
      <c r="H5706" s="13" t="s">
        <v>8901</v>
      </c>
      <c r="I5706" s="40" t="s">
        <v>18</v>
      </c>
      <c r="J5706" s="40" t="str">
        <f>HYPERLINK("https://stock.pstatic.net/stock-research/company/39/20260130_company_111244000.pdf","PDF")</f>
        <v>PDF</v>
      </c>
      <c r="K5706" s="12" t="s">
        <v>8902</v>
      </c>
      <c r="L5706" s="20">
        <v>0.41656662665066019</v>
      </c>
    </row>
    <row r="5707" spans="1:12" x14ac:dyDescent="0.45">
      <c r="A5707" s="12" t="s">
        <v>8716</v>
      </c>
      <c r="B5707" s="12" t="s">
        <v>519</v>
      </c>
      <c r="C5707" s="13" t="s">
        <v>520</v>
      </c>
      <c r="D5707" s="13" t="s">
        <v>44</v>
      </c>
      <c r="E5707" s="12" t="s">
        <v>35</v>
      </c>
      <c r="F5707" s="14">
        <v>650000</v>
      </c>
      <c r="G5707" s="14">
        <v>528000</v>
      </c>
      <c r="H5707" s="13" t="s">
        <v>8903</v>
      </c>
      <c r="I5707" s="40" t="s">
        <v>18</v>
      </c>
      <c r="J5707" s="40" t="str">
        <f>HYPERLINK("https://stock.pstatic.net/stock-research/company/39/20260130_company_741460000.pdf","PDF")</f>
        <v>PDF</v>
      </c>
      <c r="K5707" s="12" t="s">
        <v>8904</v>
      </c>
      <c r="L5707" s="20">
        <v>0.23106060606060599</v>
      </c>
    </row>
    <row r="5708" spans="1:12" x14ac:dyDescent="0.45">
      <c r="A5708" s="12" t="s">
        <v>8716</v>
      </c>
      <c r="B5708" s="12" t="s">
        <v>8114</v>
      </c>
      <c r="C5708" s="13" t="s">
        <v>8115</v>
      </c>
      <c r="D5708" s="13" t="s">
        <v>44</v>
      </c>
      <c r="E5708" s="12" t="s">
        <v>50</v>
      </c>
      <c r="F5708" s="13"/>
      <c r="G5708" s="14">
        <v>25400</v>
      </c>
      <c r="H5708" s="13" t="s">
        <v>8905</v>
      </c>
      <c r="I5708" s="40" t="s">
        <v>18</v>
      </c>
      <c r="J5708" s="40" t="str">
        <f>HYPERLINK("https://stock.pstatic.net/stock-research/company/39/20260130_company_784791000.pdf","PDF")</f>
        <v>PDF</v>
      </c>
      <c r="K5708" s="12" t="s">
        <v>8906</v>
      </c>
    </row>
    <row r="5709" spans="1:12" x14ac:dyDescent="0.45">
      <c r="A5709" s="12" t="s">
        <v>8716</v>
      </c>
      <c r="B5709" s="12" t="s">
        <v>899</v>
      </c>
      <c r="C5709" s="13" t="s">
        <v>900</v>
      </c>
      <c r="D5709" s="13" t="s">
        <v>44</v>
      </c>
      <c r="E5709" s="12" t="s">
        <v>35</v>
      </c>
      <c r="F5709" s="14">
        <v>70000</v>
      </c>
      <c r="G5709" s="14">
        <v>45900</v>
      </c>
      <c r="H5709" s="13" t="s">
        <v>8907</v>
      </c>
      <c r="I5709" s="40" t="s">
        <v>18</v>
      </c>
      <c r="J5709" s="40" t="str">
        <f>HYPERLINK("https://stock.pstatic.net/stock-research/company/39/20260130_company_761663000.pdf","PDF")</f>
        <v>PDF</v>
      </c>
      <c r="K5709" s="12" t="s">
        <v>8908</v>
      </c>
      <c r="L5709" s="20">
        <v>0.52505446623093677</v>
      </c>
    </row>
    <row r="5710" spans="1:12" x14ac:dyDescent="0.45">
      <c r="A5710" s="12" t="s">
        <v>8716</v>
      </c>
      <c r="B5710" s="12" t="s">
        <v>2849</v>
      </c>
      <c r="C5710" s="13" t="s">
        <v>2850</v>
      </c>
      <c r="D5710" s="13" t="s">
        <v>124</v>
      </c>
      <c r="E5710" s="12" t="s">
        <v>50</v>
      </c>
      <c r="F5710" s="13"/>
      <c r="G5710" s="14">
        <v>4935</v>
      </c>
      <c r="H5710" s="13" t="s">
        <v>8909</v>
      </c>
      <c r="I5710" s="40" t="s">
        <v>18</v>
      </c>
      <c r="J5710" s="40" t="str">
        <f>HYPERLINK("https://stock.pstatic.net/stock-research/company/74/20260130_company_383695000.pdf","PDF")</f>
        <v>PDF</v>
      </c>
      <c r="K5710" s="12" t="s">
        <v>8910</v>
      </c>
    </row>
    <row r="5711" spans="1:12" x14ac:dyDescent="0.45">
      <c r="A5711" s="12" t="s">
        <v>8716</v>
      </c>
      <c r="B5711" s="12" t="s">
        <v>8911</v>
      </c>
      <c r="C5711" s="13" t="s">
        <v>8912</v>
      </c>
      <c r="D5711" s="13" t="s">
        <v>124</v>
      </c>
      <c r="E5711" s="12" t="s">
        <v>50</v>
      </c>
      <c r="F5711" s="13"/>
      <c r="G5711" s="14">
        <v>30000</v>
      </c>
      <c r="H5711" s="13" t="s">
        <v>8913</v>
      </c>
      <c r="I5711" s="40" t="s">
        <v>18</v>
      </c>
      <c r="J5711" s="40" t="str">
        <f>HYPERLINK("https://stock.pstatic.net/stock-research/company/74/20260130_company_587263000.pdf","PDF")</f>
        <v>PDF</v>
      </c>
      <c r="K5711" s="12" t="s">
        <v>8914</v>
      </c>
    </row>
    <row r="5712" spans="1:12" x14ac:dyDescent="0.45">
      <c r="A5712" s="12" t="s">
        <v>8915</v>
      </c>
      <c r="B5712" s="12" t="s">
        <v>1765</v>
      </c>
      <c r="C5712" s="13" t="s">
        <v>1766</v>
      </c>
      <c r="D5712" s="13" t="s">
        <v>57</v>
      </c>
      <c r="E5712" s="12" t="s">
        <v>35</v>
      </c>
      <c r="F5712" s="14">
        <v>180000</v>
      </c>
      <c r="G5712" s="14">
        <v>149700</v>
      </c>
      <c r="H5712" s="13" t="s">
        <v>8916</v>
      </c>
      <c r="I5712" s="40" t="s">
        <v>18</v>
      </c>
      <c r="J5712" s="40" t="str">
        <f>HYPERLINK("https://stock.pstatic.net/stock-research/company/16/20260129_company_85922000.pdf","PDF")</f>
        <v>PDF</v>
      </c>
      <c r="K5712" s="12" t="s">
        <v>8917</v>
      </c>
      <c r="L5712" s="20">
        <v>0.20240480961923851</v>
      </c>
    </row>
    <row r="5713" spans="1:12" x14ac:dyDescent="0.45">
      <c r="A5713" s="12" t="s">
        <v>8915</v>
      </c>
      <c r="B5713" s="12" t="s">
        <v>1530</v>
      </c>
      <c r="C5713" s="13" t="s">
        <v>1531</v>
      </c>
      <c r="D5713" s="13" t="s">
        <v>57</v>
      </c>
      <c r="E5713" s="12" t="s">
        <v>159</v>
      </c>
      <c r="F5713" s="14">
        <v>26000</v>
      </c>
      <c r="G5713" s="14">
        <v>27500</v>
      </c>
      <c r="H5713" s="13" t="s">
        <v>8918</v>
      </c>
      <c r="I5713" s="40" t="s">
        <v>18</v>
      </c>
      <c r="J5713" s="40" t="str">
        <f>HYPERLINK("https://stock.pstatic.net/stock-research/company/16/20260129_company_290208000.pdf","PDF")</f>
        <v>PDF</v>
      </c>
      <c r="K5713" s="12" t="s">
        <v>8919</v>
      </c>
      <c r="L5713" s="20">
        <v>-5.4545454545454543E-2</v>
      </c>
    </row>
    <row r="5714" spans="1:12" x14ac:dyDescent="0.45">
      <c r="A5714" s="12" t="s">
        <v>8915</v>
      </c>
      <c r="B5714" s="12" t="s">
        <v>1690</v>
      </c>
      <c r="C5714" s="13" t="s">
        <v>1691</v>
      </c>
      <c r="D5714" s="13" t="s">
        <v>57</v>
      </c>
      <c r="E5714" s="12" t="s">
        <v>159</v>
      </c>
      <c r="F5714" s="14">
        <v>120000</v>
      </c>
      <c r="G5714" s="14">
        <v>108200</v>
      </c>
      <c r="H5714" s="13" t="s">
        <v>8920</v>
      </c>
      <c r="I5714" s="40" t="s">
        <v>18</v>
      </c>
      <c r="J5714" s="40" t="str">
        <f>HYPERLINK("https://stock.pstatic.net/stock-research/company/16/20260129_company_133097000.pdf","PDF")</f>
        <v>PDF</v>
      </c>
      <c r="K5714" s="12" t="s">
        <v>8921</v>
      </c>
      <c r="L5714" s="20">
        <v>0.10905730129390021</v>
      </c>
    </row>
    <row r="5715" spans="1:12" x14ac:dyDescent="0.45">
      <c r="A5715" s="12" t="s">
        <v>8915</v>
      </c>
      <c r="B5715" s="12" t="s">
        <v>450</v>
      </c>
      <c r="C5715" s="13" t="s">
        <v>451</v>
      </c>
      <c r="D5715" s="13" t="s">
        <v>57</v>
      </c>
      <c r="E5715" s="12" t="s">
        <v>159</v>
      </c>
      <c r="F5715" s="14">
        <v>230000</v>
      </c>
      <c r="G5715" s="14">
        <v>275000</v>
      </c>
      <c r="H5715" s="13" t="s">
        <v>8922</v>
      </c>
      <c r="I5715" s="40" t="s">
        <v>18</v>
      </c>
      <c r="J5715" s="40" t="str">
        <f>HYPERLINK("https://stock.pstatic.net/stock-research/company/16/20260129_company_600529000.pdf","PDF")</f>
        <v>PDF</v>
      </c>
      <c r="K5715" s="12" t="s">
        <v>8923</v>
      </c>
      <c r="L5715" s="20">
        <v>-0.16363636363636361</v>
      </c>
    </row>
    <row r="5716" spans="1:12" x14ac:dyDescent="0.45">
      <c r="A5716" s="12" t="s">
        <v>8915</v>
      </c>
      <c r="B5716" s="12" t="s">
        <v>577</v>
      </c>
      <c r="C5716" s="13" t="s">
        <v>578</v>
      </c>
      <c r="D5716" s="13" t="s">
        <v>57</v>
      </c>
      <c r="E5716" s="12" t="s">
        <v>35</v>
      </c>
      <c r="F5716" s="14">
        <v>590000</v>
      </c>
      <c r="G5716" s="14">
        <v>447000</v>
      </c>
      <c r="H5716" s="13" t="s">
        <v>8924</v>
      </c>
      <c r="I5716" s="40" t="s">
        <v>18</v>
      </c>
      <c r="J5716" s="40" t="str">
        <f>HYPERLINK("https://stock.pstatic.net/stock-research/company/16/20260129_company_53857000.pdf","PDF")</f>
        <v>PDF</v>
      </c>
      <c r="K5716" s="12" t="s">
        <v>8925</v>
      </c>
      <c r="L5716" s="20">
        <v>0.31991051454138703</v>
      </c>
    </row>
    <row r="5717" spans="1:12" x14ac:dyDescent="0.45">
      <c r="A5717" s="12" t="s">
        <v>8915</v>
      </c>
      <c r="B5717" s="12" t="s">
        <v>3018</v>
      </c>
      <c r="C5717" s="13" t="s">
        <v>3019</v>
      </c>
      <c r="D5717" s="13" t="s">
        <v>57</v>
      </c>
      <c r="E5717" s="12" t="s">
        <v>35</v>
      </c>
      <c r="F5717" s="14">
        <v>22000</v>
      </c>
      <c r="G5717" s="14">
        <v>17430</v>
      </c>
      <c r="H5717" s="13" t="s">
        <v>8926</v>
      </c>
      <c r="I5717" s="40" t="s">
        <v>18</v>
      </c>
      <c r="J5717" s="40" t="str">
        <f>HYPERLINK("https://stock.pstatic.net/stock-research/company/16/20260129_company_847748000.pdf","PDF")</f>
        <v>PDF</v>
      </c>
      <c r="K5717" s="12" t="s">
        <v>8927</v>
      </c>
      <c r="L5717" s="20">
        <v>0.26219162363740678</v>
      </c>
    </row>
    <row r="5718" spans="1:12" x14ac:dyDescent="0.45">
      <c r="A5718" s="12" t="s">
        <v>8915</v>
      </c>
      <c r="B5718" s="12" t="s">
        <v>72</v>
      </c>
      <c r="C5718" s="13" t="s">
        <v>73</v>
      </c>
      <c r="D5718" s="13" t="s">
        <v>57</v>
      </c>
      <c r="E5718" s="12" t="s">
        <v>35</v>
      </c>
      <c r="F5718" s="14">
        <v>390000</v>
      </c>
      <c r="G5718" s="14">
        <v>302000</v>
      </c>
      <c r="H5718" s="13" t="s">
        <v>8928</v>
      </c>
      <c r="I5718" s="40" t="s">
        <v>18</v>
      </c>
      <c r="J5718" s="40" t="str">
        <f>HYPERLINK("https://stock.pstatic.net/stock-research/company/16/20260129_company_545171000.pdf","PDF")</f>
        <v>PDF</v>
      </c>
      <c r="K5718" s="12" t="s">
        <v>8929</v>
      </c>
      <c r="L5718" s="20">
        <v>0.29139072847682118</v>
      </c>
    </row>
    <row r="5719" spans="1:12" x14ac:dyDescent="0.45">
      <c r="A5719" s="12" t="s">
        <v>8915</v>
      </c>
      <c r="B5719" s="12" t="s">
        <v>577</v>
      </c>
      <c r="C5719" s="13" t="s">
        <v>578</v>
      </c>
      <c r="D5719" s="13" t="s">
        <v>276</v>
      </c>
      <c r="E5719" s="12" t="s">
        <v>16</v>
      </c>
      <c r="F5719" s="14">
        <v>600000</v>
      </c>
      <c r="G5719" s="14">
        <v>447000</v>
      </c>
      <c r="H5719" s="13" t="s">
        <v>8930</v>
      </c>
      <c r="I5719" s="40" t="s">
        <v>18</v>
      </c>
      <c r="J5719" s="40" t="str">
        <f>HYPERLINK("https://stock.pstatic.net/stock-research/company/66/20260129_company_414868000.pdf","PDF")</f>
        <v>PDF</v>
      </c>
      <c r="K5719" s="12" t="s">
        <v>8931</v>
      </c>
      <c r="L5719" s="20">
        <v>0.34228187919463088</v>
      </c>
    </row>
    <row r="5720" spans="1:12" x14ac:dyDescent="0.45">
      <c r="A5720" s="12" t="s">
        <v>8915</v>
      </c>
      <c r="B5720" s="12" t="s">
        <v>1765</v>
      </c>
      <c r="C5720" s="13" t="s">
        <v>1766</v>
      </c>
      <c r="D5720" s="13" t="s">
        <v>276</v>
      </c>
      <c r="E5720" s="12" t="s">
        <v>16</v>
      </c>
      <c r="F5720" s="14">
        <v>210000</v>
      </c>
      <c r="G5720" s="14">
        <v>149700</v>
      </c>
      <c r="H5720" s="13" t="s">
        <v>8932</v>
      </c>
      <c r="I5720" s="40" t="s">
        <v>18</v>
      </c>
      <c r="J5720" s="40" t="str">
        <f>HYPERLINK("https://stock.pstatic.net/stock-research/company/66/20260129_company_146333000.pdf","PDF")</f>
        <v>PDF</v>
      </c>
      <c r="K5720" s="12" t="s">
        <v>8933</v>
      </c>
      <c r="L5720" s="20">
        <v>0.4028056112224449</v>
      </c>
    </row>
    <row r="5721" spans="1:12" x14ac:dyDescent="0.45">
      <c r="A5721" s="12" t="s">
        <v>8915</v>
      </c>
      <c r="B5721" s="12" t="s">
        <v>4021</v>
      </c>
      <c r="C5721" s="13" t="s">
        <v>4022</v>
      </c>
      <c r="D5721" s="13" t="s">
        <v>276</v>
      </c>
      <c r="E5721" s="12" t="s">
        <v>16</v>
      </c>
      <c r="F5721" s="14">
        <v>780000</v>
      </c>
      <c r="G5721" s="14">
        <v>572000</v>
      </c>
      <c r="H5721" s="13" t="s">
        <v>8934</v>
      </c>
      <c r="I5721" s="40" t="s">
        <v>18</v>
      </c>
      <c r="J5721" s="40" t="str">
        <f>HYPERLINK("https://stock.pstatic.net/stock-research/company/66/20260129_company_345900000.pdf","PDF")</f>
        <v>PDF</v>
      </c>
      <c r="K5721" s="12" t="s">
        <v>8935</v>
      </c>
      <c r="L5721" s="20">
        <v>0.36363636363636359</v>
      </c>
    </row>
    <row r="5722" spans="1:12" x14ac:dyDescent="0.45">
      <c r="A5722" s="12" t="s">
        <v>8915</v>
      </c>
      <c r="B5722" s="12" t="s">
        <v>1765</v>
      </c>
      <c r="C5722" s="13" t="s">
        <v>1766</v>
      </c>
      <c r="D5722" s="13" t="s">
        <v>60</v>
      </c>
      <c r="E5722" s="12" t="s">
        <v>35</v>
      </c>
      <c r="F5722" s="14">
        <v>175000</v>
      </c>
      <c r="G5722" s="14">
        <v>149700</v>
      </c>
      <c r="H5722" s="13" t="s">
        <v>8936</v>
      </c>
      <c r="I5722" s="40" t="s">
        <v>18</v>
      </c>
      <c r="J5722" s="40" t="str">
        <f>HYPERLINK("https://stock.pstatic.net/stock-research/company/62/20260129_company_41118000.pdf","PDF")</f>
        <v>PDF</v>
      </c>
      <c r="K5722" s="12" t="s">
        <v>8937</v>
      </c>
      <c r="L5722" s="20">
        <v>0.16900467601870409</v>
      </c>
    </row>
    <row r="5723" spans="1:12" x14ac:dyDescent="0.45">
      <c r="A5723" s="12" t="s">
        <v>8915</v>
      </c>
      <c r="B5723" s="12" t="s">
        <v>3168</v>
      </c>
      <c r="C5723" s="13" t="s">
        <v>3169</v>
      </c>
      <c r="D5723" s="13" t="s">
        <v>65</v>
      </c>
      <c r="E5723" s="12" t="s">
        <v>35</v>
      </c>
      <c r="F5723" s="14">
        <v>19000</v>
      </c>
      <c r="G5723" s="14">
        <v>14930</v>
      </c>
      <c r="H5723" s="13" t="s">
        <v>8938</v>
      </c>
      <c r="I5723" s="40" t="s">
        <v>18</v>
      </c>
      <c r="J5723" s="40" t="str">
        <f>HYPERLINK("https://stock.pstatic.net/stock-research/company/57/20260129_company_886048000.pdf","PDF")</f>
        <v>PDF</v>
      </c>
      <c r="K5723" s="12" t="s">
        <v>8939</v>
      </c>
      <c r="L5723" s="20">
        <v>0.27260549229738779</v>
      </c>
    </row>
    <row r="5724" spans="1:12" x14ac:dyDescent="0.45">
      <c r="A5724" s="12" t="s">
        <v>8915</v>
      </c>
      <c r="B5724" s="12" t="s">
        <v>577</v>
      </c>
      <c r="C5724" s="13" t="s">
        <v>578</v>
      </c>
      <c r="D5724" s="13" t="s">
        <v>65</v>
      </c>
      <c r="E5724" s="12" t="s">
        <v>35</v>
      </c>
      <c r="F5724" s="14">
        <v>570000</v>
      </c>
      <c r="G5724" s="14">
        <v>447000</v>
      </c>
      <c r="H5724" s="13" t="s">
        <v>8940</v>
      </c>
      <c r="I5724" s="40" t="s">
        <v>18</v>
      </c>
      <c r="J5724" s="40" t="str">
        <f>HYPERLINK("https://stock.pstatic.net/stock-research/company/57/20260129_company_23858000.pdf","PDF")</f>
        <v>PDF</v>
      </c>
      <c r="K5724" s="12" t="s">
        <v>8941</v>
      </c>
      <c r="L5724" s="20">
        <v>0.27516778523489932</v>
      </c>
    </row>
    <row r="5725" spans="1:12" x14ac:dyDescent="0.45">
      <c r="A5725" s="12" t="s">
        <v>8915</v>
      </c>
      <c r="B5725" s="12" t="s">
        <v>1765</v>
      </c>
      <c r="C5725" s="13" t="s">
        <v>1766</v>
      </c>
      <c r="D5725" s="13" t="s">
        <v>65</v>
      </c>
      <c r="E5725" s="12" t="s">
        <v>35</v>
      </c>
      <c r="F5725" s="14">
        <v>210000</v>
      </c>
      <c r="G5725" s="14">
        <v>149700</v>
      </c>
      <c r="H5725" s="13" t="s">
        <v>8942</v>
      </c>
      <c r="I5725" s="40" t="s">
        <v>18</v>
      </c>
      <c r="J5725" s="40" t="str">
        <f>HYPERLINK("https://stock.pstatic.net/stock-research/company/57/20260129_company_564434000.pdf","PDF")</f>
        <v>PDF</v>
      </c>
      <c r="K5725" s="12" t="s">
        <v>8943</v>
      </c>
      <c r="L5725" s="20">
        <v>0.4028056112224449</v>
      </c>
    </row>
    <row r="5726" spans="1:12" x14ac:dyDescent="0.45">
      <c r="A5726" s="12" t="s">
        <v>8915</v>
      </c>
      <c r="B5726" s="12" t="s">
        <v>1690</v>
      </c>
      <c r="C5726" s="13" t="s">
        <v>1691</v>
      </c>
      <c r="D5726" s="13" t="s">
        <v>65</v>
      </c>
      <c r="E5726" s="12" t="s">
        <v>35</v>
      </c>
      <c r="F5726" s="14">
        <v>140000</v>
      </c>
      <c r="G5726" s="14">
        <v>108200</v>
      </c>
      <c r="H5726" s="13" t="s">
        <v>8944</v>
      </c>
      <c r="I5726" s="40" t="s">
        <v>18</v>
      </c>
      <c r="J5726" s="40" t="str">
        <f>HYPERLINK("https://stock.pstatic.net/stock-research/company/57/20260129_company_22561000.pdf","PDF")</f>
        <v>PDF</v>
      </c>
      <c r="K5726" s="12" t="s">
        <v>8945</v>
      </c>
      <c r="L5726" s="20">
        <v>0.29390018484288349</v>
      </c>
    </row>
    <row r="5727" spans="1:12" x14ac:dyDescent="0.45">
      <c r="A5727" s="12" t="s">
        <v>8915</v>
      </c>
      <c r="B5727" s="12" t="s">
        <v>577</v>
      </c>
      <c r="C5727" s="13" t="s">
        <v>578</v>
      </c>
      <c r="D5727" s="13" t="s">
        <v>158</v>
      </c>
      <c r="E5727" s="12" t="s">
        <v>35</v>
      </c>
      <c r="F5727" s="14">
        <v>560000</v>
      </c>
      <c r="G5727" s="14">
        <v>447000</v>
      </c>
      <c r="H5727" s="13" t="s">
        <v>8946</v>
      </c>
      <c r="I5727" s="40" t="s">
        <v>18</v>
      </c>
      <c r="J5727" s="40" t="str">
        <f>HYPERLINK("https://stock.pstatic.net/stock-research/company/18/20260129_company_367252000.pdf","PDF")</f>
        <v>PDF</v>
      </c>
      <c r="K5727" s="12" t="s">
        <v>8947</v>
      </c>
      <c r="L5727" s="20">
        <v>0.25279642058165552</v>
      </c>
    </row>
    <row r="5728" spans="1:12" x14ac:dyDescent="0.45">
      <c r="A5728" s="12" t="s">
        <v>8915</v>
      </c>
      <c r="B5728" s="12" t="s">
        <v>1765</v>
      </c>
      <c r="C5728" s="13" t="s">
        <v>1766</v>
      </c>
      <c r="D5728" s="13" t="s">
        <v>158</v>
      </c>
      <c r="E5728" s="12" t="s">
        <v>35</v>
      </c>
      <c r="F5728" s="14">
        <v>190000</v>
      </c>
      <c r="G5728" s="14">
        <v>149700</v>
      </c>
      <c r="H5728" s="13" t="s">
        <v>8948</v>
      </c>
      <c r="I5728" s="40" t="s">
        <v>18</v>
      </c>
      <c r="J5728" s="40" t="str">
        <f>HYPERLINK("https://stock.pstatic.net/stock-research/company/18/20260129_company_388904000.pdf","PDF")</f>
        <v>PDF</v>
      </c>
      <c r="K5728" s="12" t="s">
        <v>8949</v>
      </c>
      <c r="L5728" s="20">
        <v>0.26920507682030731</v>
      </c>
    </row>
    <row r="5729" spans="1:12" x14ac:dyDescent="0.45">
      <c r="A5729" s="12" t="s">
        <v>8915</v>
      </c>
      <c r="B5729" s="12" t="s">
        <v>3150</v>
      </c>
      <c r="C5729" s="13" t="s">
        <v>3151</v>
      </c>
      <c r="D5729" s="13" t="s">
        <v>158</v>
      </c>
      <c r="E5729" s="12" t="s">
        <v>35</v>
      </c>
      <c r="F5729" s="14">
        <v>280000</v>
      </c>
      <c r="G5729" s="14">
        <v>241500</v>
      </c>
      <c r="H5729" s="13" t="s">
        <v>8950</v>
      </c>
      <c r="I5729" s="40" t="s">
        <v>18</v>
      </c>
      <c r="J5729" s="40" t="str">
        <f>HYPERLINK("https://stock.pstatic.net/stock-research/company/18/20260129_company_461057000.pdf","PDF")</f>
        <v>PDF</v>
      </c>
      <c r="K5729" s="12" t="s">
        <v>8951</v>
      </c>
      <c r="L5729" s="20">
        <v>0.15942028985507251</v>
      </c>
    </row>
    <row r="5730" spans="1:12" x14ac:dyDescent="0.45">
      <c r="A5730" s="12" t="s">
        <v>8915</v>
      </c>
      <c r="B5730" s="12" t="s">
        <v>1690</v>
      </c>
      <c r="C5730" s="13" t="s">
        <v>1691</v>
      </c>
      <c r="D5730" s="13" t="s">
        <v>158</v>
      </c>
      <c r="E5730" s="12" t="s">
        <v>35</v>
      </c>
      <c r="F5730" s="14">
        <v>150000</v>
      </c>
      <c r="G5730" s="14">
        <v>108200</v>
      </c>
      <c r="H5730" s="13" t="s">
        <v>8952</v>
      </c>
      <c r="I5730" s="40" t="s">
        <v>18</v>
      </c>
      <c r="J5730" s="40" t="str">
        <f>HYPERLINK("https://stock.pstatic.net/stock-research/company/18/20260129_company_72536000.pdf","PDF")</f>
        <v>PDF</v>
      </c>
      <c r="K5730" s="12" t="s">
        <v>8953</v>
      </c>
      <c r="L5730" s="20">
        <v>0.38632162661737518</v>
      </c>
    </row>
    <row r="5731" spans="1:12" x14ac:dyDescent="0.45">
      <c r="A5731" s="12" t="s">
        <v>8915</v>
      </c>
      <c r="B5731" s="12" t="s">
        <v>752</v>
      </c>
      <c r="C5731" s="13" t="s">
        <v>753</v>
      </c>
      <c r="D5731" s="13" t="s">
        <v>15</v>
      </c>
      <c r="E5731" s="12" t="s">
        <v>50</v>
      </c>
      <c r="F5731" s="13"/>
      <c r="G5731" s="14">
        <v>131600</v>
      </c>
      <c r="H5731" s="13" t="s">
        <v>8954</v>
      </c>
      <c r="I5731" s="40" t="s">
        <v>18</v>
      </c>
      <c r="J5731" s="40" t="str">
        <f>HYPERLINK("https://stock.pstatic.net/stock-research/company/56/20260129_company_688783000.pdf","PDF")</f>
        <v>PDF</v>
      </c>
      <c r="K5731" s="12" t="s">
        <v>8955</v>
      </c>
    </row>
    <row r="5732" spans="1:12" x14ac:dyDescent="0.45">
      <c r="A5732" s="12" t="s">
        <v>8915</v>
      </c>
      <c r="B5732" s="12" t="s">
        <v>1530</v>
      </c>
      <c r="C5732" s="13" t="s">
        <v>1531</v>
      </c>
      <c r="D5732" s="13" t="s">
        <v>179</v>
      </c>
      <c r="E5732" s="12" t="s">
        <v>16</v>
      </c>
      <c r="F5732" s="14">
        <v>33500</v>
      </c>
      <c r="G5732" s="14">
        <v>27500</v>
      </c>
      <c r="H5732" s="13" t="s">
        <v>8956</v>
      </c>
      <c r="I5732" s="40" t="s">
        <v>18</v>
      </c>
      <c r="J5732" s="40" t="str">
        <f>HYPERLINK("https://stock.pstatic.net/stock-research/company/64/20260129_company_884444000.pdf","PDF")</f>
        <v>PDF</v>
      </c>
      <c r="K5732" s="12" t="s">
        <v>8957</v>
      </c>
      <c r="L5732" s="20">
        <v>0.2181818181818182</v>
      </c>
    </row>
    <row r="5733" spans="1:12" x14ac:dyDescent="0.45">
      <c r="A5733" s="12" t="s">
        <v>8915</v>
      </c>
      <c r="B5733" s="12" t="s">
        <v>72</v>
      </c>
      <c r="C5733" s="13" t="s">
        <v>73</v>
      </c>
      <c r="D5733" s="13" t="s">
        <v>15</v>
      </c>
      <c r="E5733" s="12" t="s">
        <v>16</v>
      </c>
      <c r="F5733" s="14">
        <v>370000</v>
      </c>
      <c r="G5733" s="14">
        <v>302000</v>
      </c>
      <c r="H5733" s="13" t="s">
        <v>8958</v>
      </c>
      <c r="I5733" s="40" t="s">
        <v>18</v>
      </c>
      <c r="J5733" s="40" t="str">
        <f>HYPERLINK("https://stock.pstatic.net/stock-research/company/56/20260129_company_688358000.pdf","PDF")</f>
        <v>PDF</v>
      </c>
      <c r="K5733" s="12" t="s">
        <v>8959</v>
      </c>
      <c r="L5733" s="20">
        <v>0.2251655629139073</v>
      </c>
    </row>
    <row r="5734" spans="1:12" x14ac:dyDescent="0.45">
      <c r="A5734" s="12" t="s">
        <v>8915</v>
      </c>
      <c r="B5734" s="12" t="s">
        <v>577</v>
      </c>
      <c r="C5734" s="13" t="s">
        <v>578</v>
      </c>
      <c r="D5734" s="13" t="s">
        <v>83</v>
      </c>
      <c r="E5734" s="12" t="s">
        <v>35</v>
      </c>
      <c r="F5734" s="14">
        <v>600000</v>
      </c>
      <c r="G5734" s="14">
        <v>447000</v>
      </c>
      <c r="H5734" s="13" t="s">
        <v>8960</v>
      </c>
      <c r="I5734" s="40" t="s">
        <v>18</v>
      </c>
      <c r="J5734" s="40" t="str">
        <f>HYPERLINK("https://stock.pstatic.net/stock-research/company/15/20260129_company_45369000.pdf","PDF")</f>
        <v>PDF</v>
      </c>
      <c r="K5734" s="12" t="s">
        <v>8961</v>
      </c>
      <c r="L5734" s="20">
        <v>0.34228187919463088</v>
      </c>
    </row>
    <row r="5735" spans="1:12" x14ac:dyDescent="0.45">
      <c r="A5735" s="12" t="s">
        <v>8915</v>
      </c>
      <c r="B5735" s="12" t="s">
        <v>1765</v>
      </c>
      <c r="C5735" s="13" t="s">
        <v>1766</v>
      </c>
      <c r="D5735" s="13" t="s">
        <v>83</v>
      </c>
      <c r="E5735" s="12" t="s">
        <v>35</v>
      </c>
      <c r="F5735" s="14">
        <v>230000</v>
      </c>
      <c r="G5735" s="14">
        <v>149700</v>
      </c>
      <c r="H5735" s="13" t="s">
        <v>8962</v>
      </c>
      <c r="I5735" s="40" t="s">
        <v>18</v>
      </c>
      <c r="J5735" s="40" t="str">
        <f>HYPERLINK("https://stock.pstatic.net/stock-research/company/15/20260129_company_513840000.pdf","PDF")</f>
        <v>PDF</v>
      </c>
      <c r="K5735" s="12" t="s">
        <v>8963</v>
      </c>
      <c r="L5735" s="20">
        <v>0.53640614562458255</v>
      </c>
    </row>
    <row r="5736" spans="1:12" x14ac:dyDescent="0.45">
      <c r="A5736" s="12" t="s">
        <v>8915</v>
      </c>
      <c r="B5736" s="12" t="s">
        <v>4021</v>
      </c>
      <c r="C5736" s="13" t="s">
        <v>4022</v>
      </c>
      <c r="D5736" s="13" t="s">
        <v>83</v>
      </c>
      <c r="E5736" s="12" t="s">
        <v>35</v>
      </c>
      <c r="F5736" s="14">
        <v>750000</v>
      </c>
      <c r="G5736" s="14">
        <v>572000</v>
      </c>
      <c r="H5736" s="13" t="s">
        <v>8964</v>
      </c>
      <c r="I5736" s="40" t="s">
        <v>18</v>
      </c>
      <c r="J5736" s="40" t="str">
        <f>HYPERLINK("https://stock.pstatic.net/stock-research/company/15/20260129_company_842402000.pdf","PDF")</f>
        <v>PDF</v>
      </c>
      <c r="K5736" s="12" t="s">
        <v>8965</v>
      </c>
      <c r="L5736" s="20">
        <v>0.3111888111888112</v>
      </c>
    </row>
    <row r="5737" spans="1:12" x14ac:dyDescent="0.45">
      <c r="A5737" s="12" t="s">
        <v>8915</v>
      </c>
      <c r="B5737" s="12" t="s">
        <v>3813</v>
      </c>
      <c r="C5737" s="13" t="s">
        <v>3814</v>
      </c>
      <c r="D5737" s="13" t="s">
        <v>83</v>
      </c>
      <c r="E5737" s="12" t="s">
        <v>35</v>
      </c>
      <c r="F5737" s="14">
        <v>17000</v>
      </c>
      <c r="G5737" s="14">
        <v>12130</v>
      </c>
      <c r="H5737" s="13" t="s">
        <v>8966</v>
      </c>
      <c r="I5737" s="40" t="s">
        <v>18</v>
      </c>
      <c r="J5737" s="40" t="str">
        <f>HYPERLINK("https://stock.pstatic.net/stock-research/company/15/20260129_company_412239000.pdf","PDF")</f>
        <v>PDF</v>
      </c>
      <c r="K5737" s="12" t="s">
        <v>8967</v>
      </c>
      <c r="L5737" s="20">
        <v>0.40148392415498763</v>
      </c>
    </row>
    <row r="5738" spans="1:12" x14ac:dyDescent="0.45">
      <c r="A5738" s="12" t="s">
        <v>8915</v>
      </c>
      <c r="B5738" s="12" t="s">
        <v>577</v>
      </c>
      <c r="C5738" s="13" t="s">
        <v>578</v>
      </c>
      <c r="D5738" s="13" t="s">
        <v>15</v>
      </c>
      <c r="E5738" s="12" t="s">
        <v>16</v>
      </c>
      <c r="F5738" s="14">
        <v>550000</v>
      </c>
      <c r="G5738" s="14">
        <v>447000</v>
      </c>
      <c r="H5738" s="13" t="s">
        <v>8968</v>
      </c>
      <c r="I5738" s="40" t="s">
        <v>18</v>
      </c>
      <c r="J5738" s="40" t="str">
        <f>HYPERLINK("https://stock.pstatic.net/stock-research/company/56/20260129_company_483945000.pdf","PDF")</f>
        <v>PDF</v>
      </c>
      <c r="K5738" s="12" t="s">
        <v>8969</v>
      </c>
      <c r="L5738" s="20">
        <v>0.23042505592841159</v>
      </c>
    </row>
    <row r="5739" spans="1:12" x14ac:dyDescent="0.45">
      <c r="A5739" s="12" t="s">
        <v>8915</v>
      </c>
      <c r="B5739" s="12" t="s">
        <v>1128</v>
      </c>
      <c r="C5739" s="13" t="s">
        <v>1129</v>
      </c>
      <c r="D5739" s="13" t="s">
        <v>179</v>
      </c>
      <c r="E5739" s="12" t="s">
        <v>16</v>
      </c>
      <c r="F5739" s="14">
        <v>165000</v>
      </c>
      <c r="G5739" s="14">
        <v>125400</v>
      </c>
      <c r="H5739" s="13" t="s">
        <v>8970</v>
      </c>
      <c r="I5739" s="40" t="s">
        <v>18</v>
      </c>
      <c r="J5739" s="40" t="str">
        <f>HYPERLINK("https://stock.pstatic.net/stock-research/company/64/20260129_company_624653000.pdf","PDF")</f>
        <v>PDF</v>
      </c>
      <c r="K5739" s="12" t="s">
        <v>8971</v>
      </c>
      <c r="L5739" s="20">
        <v>0.31578947368421051</v>
      </c>
    </row>
    <row r="5740" spans="1:12" x14ac:dyDescent="0.45">
      <c r="A5740" s="12" t="s">
        <v>8915</v>
      </c>
      <c r="B5740" s="12" t="s">
        <v>577</v>
      </c>
      <c r="C5740" s="13" t="s">
        <v>578</v>
      </c>
      <c r="D5740" s="13" t="s">
        <v>53</v>
      </c>
      <c r="E5740" s="12" t="s">
        <v>16</v>
      </c>
      <c r="F5740" s="14">
        <v>600000</v>
      </c>
      <c r="G5740" s="14">
        <v>447000</v>
      </c>
      <c r="H5740" s="13" t="s">
        <v>8972</v>
      </c>
      <c r="I5740" s="40" t="s">
        <v>18</v>
      </c>
      <c r="J5740" s="40" t="str">
        <f>HYPERLINK("https://stock.pstatic.net/stock-research/company/40/20260129_company_350573000.pdf","PDF")</f>
        <v>PDF</v>
      </c>
      <c r="K5740" s="12" t="s">
        <v>8973</v>
      </c>
      <c r="L5740" s="20">
        <v>0.34228187919463088</v>
      </c>
    </row>
    <row r="5741" spans="1:12" x14ac:dyDescent="0.45">
      <c r="A5741" s="12" t="s">
        <v>8915</v>
      </c>
      <c r="B5741" s="12" t="s">
        <v>1765</v>
      </c>
      <c r="C5741" s="13" t="s">
        <v>1766</v>
      </c>
      <c r="D5741" s="13" t="s">
        <v>53</v>
      </c>
      <c r="E5741" s="12" t="s">
        <v>16</v>
      </c>
      <c r="F5741" s="14">
        <v>200000</v>
      </c>
      <c r="G5741" s="14">
        <v>149700</v>
      </c>
      <c r="H5741" s="13" t="s">
        <v>8974</v>
      </c>
      <c r="I5741" s="40" t="s">
        <v>18</v>
      </c>
      <c r="J5741" s="40" t="str">
        <f>HYPERLINK("https://stock.pstatic.net/stock-research/company/40/20260129_company_307690000.pdf","PDF")</f>
        <v>PDF</v>
      </c>
      <c r="K5741" s="12" t="s">
        <v>8975</v>
      </c>
      <c r="L5741" s="20">
        <v>0.33600534402137611</v>
      </c>
    </row>
    <row r="5742" spans="1:12" x14ac:dyDescent="0.45">
      <c r="A5742" s="12" t="s">
        <v>8915</v>
      </c>
      <c r="B5742" s="12" t="s">
        <v>8976</v>
      </c>
      <c r="C5742" s="13" t="s">
        <v>8977</v>
      </c>
      <c r="D5742" s="13" t="s">
        <v>23</v>
      </c>
      <c r="E5742" s="12" t="s">
        <v>50</v>
      </c>
      <c r="F5742" s="13"/>
      <c r="G5742" s="14">
        <v>4905</v>
      </c>
      <c r="H5742" s="13" t="s">
        <v>8978</v>
      </c>
      <c r="I5742" s="40" t="s">
        <v>18</v>
      </c>
      <c r="J5742" s="40" t="str">
        <f>HYPERLINK("https://stock.pstatic.net/stock-research/company/21/20260129_company_302294000.pdf","PDF")</f>
        <v>PDF</v>
      </c>
      <c r="K5742" s="12" t="s">
        <v>8979</v>
      </c>
    </row>
    <row r="5743" spans="1:12" x14ac:dyDescent="0.45">
      <c r="A5743" s="12" t="s">
        <v>8915</v>
      </c>
      <c r="B5743" s="12" t="s">
        <v>1765</v>
      </c>
      <c r="C5743" s="13" t="s">
        <v>1766</v>
      </c>
      <c r="D5743" s="13" t="s">
        <v>92</v>
      </c>
      <c r="E5743" s="12" t="s">
        <v>35</v>
      </c>
      <c r="F5743" s="14">
        <v>170000</v>
      </c>
      <c r="G5743" s="14">
        <v>149700</v>
      </c>
      <c r="H5743" s="13" t="s">
        <v>8980</v>
      </c>
      <c r="I5743" s="40" t="s">
        <v>18</v>
      </c>
      <c r="J5743" s="40" t="str">
        <f>HYPERLINK("https://stock.pstatic.net/stock-research/company/63/20260129_company_798062000.pdf","PDF")</f>
        <v>PDF</v>
      </c>
      <c r="K5743" s="12" t="s">
        <v>8981</v>
      </c>
      <c r="L5743" s="20">
        <v>0.13560454241816969</v>
      </c>
    </row>
    <row r="5744" spans="1:12" x14ac:dyDescent="0.45">
      <c r="A5744" s="12" t="s">
        <v>8915</v>
      </c>
      <c r="B5744" s="12" t="s">
        <v>450</v>
      </c>
      <c r="C5744" s="13" t="s">
        <v>451</v>
      </c>
      <c r="D5744" s="13" t="s">
        <v>23</v>
      </c>
      <c r="E5744" s="12" t="s">
        <v>50</v>
      </c>
      <c r="F5744" s="14">
        <v>250000</v>
      </c>
      <c r="G5744" s="14">
        <v>275000</v>
      </c>
      <c r="H5744" s="13" t="s">
        <v>8982</v>
      </c>
      <c r="I5744" s="40" t="s">
        <v>18</v>
      </c>
      <c r="J5744" s="40" t="str">
        <f>HYPERLINK("https://stock.pstatic.net/stock-research/company/21/20260129_company_118550000.pdf","PDF")</f>
        <v>PDF</v>
      </c>
      <c r="K5744" s="12" t="s">
        <v>8983</v>
      </c>
      <c r="L5744" s="20">
        <v>-9.0909090909090912E-2</v>
      </c>
    </row>
    <row r="5745" spans="1:12" x14ac:dyDescent="0.45">
      <c r="A5745" s="12" t="s">
        <v>8915</v>
      </c>
      <c r="B5745" s="12" t="s">
        <v>1690</v>
      </c>
      <c r="C5745" s="13" t="s">
        <v>1691</v>
      </c>
      <c r="D5745" s="13" t="s">
        <v>23</v>
      </c>
      <c r="E5745" s="12" t="s">
        <v>16</v>
      </c>
      <c r="F5745" s="14">
        <v>130000</v>
      </c>
      <c r="G5745" s="14">
        <v>108200</v>
      </c>
      <c r="H5745" s="13" t="s">
        <v>8984</v>
      </c>
      <c r="I5745" s="40" t="s">
        <v>18</v>
      </c>
      <c r="J5745" s="40" t="str">
        <f>HYPERLINK("https://stock.pstatic.net/stock-research/company/21/20260129_company_663647000.pdf","PDF")</f>
        <v>PDF</v>
      </c>
      <c r="K5745" s="12" t="s">
        <v>8985</v>
      </c>
      <c r="L5745" s="20">
        <v>0.20147874306839189</v>
      </c>
    </row>
    <row r="5746" spans="1:12" x14ac:dyDescent="0.45">
      <c r="A5746" s="12" t="s">
        <v>8915</v>
      </c>
      <c r="B5746" s="12" t="s">
        <v>1765</v>
      </c>
      <c r="C5746" s="13" t="s">
        <v>1766</v>
      </c>
      <c r="D5746" s="13" t="s">
        <v>15</v>
      </c>
      <c r="E5746" s="12" t="s">
        <v>16</v>
      </c>
      <c r="F5746" s="14">
        <v>200000</v>
      </c>
      <c r="G5746" s="14">
        <v>149700</v>
      </c>
      <c r="H5746" s="13" t="s">
        <v>8986</v>
      </c>
      <c r="I5746" s="40" t="s">
        <v>18</v>
      </c>
      <c r="J5746" s="40" t="str">
        <f>HYPERLINK("https://stock.pstatic.net/stock-research/company/56/20260129_company_162890000.pdf","PDF")</f>
        <v>PDF</v>
      </c>
      <c r="K5746" s="12" t="s">
        <v>8987</v>
      </c>
      <c r="L5746" s="20">
        <v>0.33600534402137611</v>
      </c>
    </row>
    <row r="5747" spans="1:12" x14ac:dyDescent="0.45">
      <c r="A5747" s="12" t="s">
        <v>8915</v>
      </c>
      <c r="B5747" s="12" t="s">
        <v>72</v>
      </c>
      <c r="C5747" s="13" t="s">
        <v>73</v>
      </c>
      <c r="D5747" s="13" t="s">
        <v>179</v>
      </c>
      <c r="E5747" s="12" t="s">
        <v>16</v>
      </c>
      <c r="F5747" s="14">
        <v>370000</v>
      </c>
      <c r="G5747" s="14">
        <v>302000</v>
      </c>
      <c r="H5747" s="13" t="s">
        <v>8988</v>
      </c>
      <c r="I5747" s="40" t="s">
        <v>18</v>
      </c>
      <c r="J5747" s="40" t="str">
        <f>HYPERLINK("https://stock.pstatic.net/stock-research/company/64/20260129_company_664332000.pdf","PDF")</f>
        <v>PDF</v>
      </c>
      <c r="K5747" s="12" t="s">
        <v>8989</v>
      </c>
      <c r="L5747" s="20">
        <v>0.2251655629139073</v>
      </c>
    </row>
    <row r="5748" spans="1:12" x14ac:dyDescent="0.45">
      <c r="A5748" s="12" t="s">
        <v>8915</v>
      </c>
      <c r="B5748" s="12" t="s">
        <v>72</v>
      </c>
      <c r="C5748" s="13" t="s">
        <v>73</v>
      </c>
      <c r="D5748" s="13" t="s">
        <v>23</v>
      </c>
      <c r="E5748" s="12" t="s">
        <v>16</v>
      </c>
      <c r="F5748" s="14">
        <v>350000</v>
      </c>
      <c r="G5748" s="14">
        <v>302000</v>
      </c>
      <c r="H5748" s="13" t="s">
        <v>8990</v>
      </c>
      <c r="I5748" s="40" t="s">
        <v>18</v>
      </c>
      <c r="J5748" s="40" t="str">
        <f>HYPERLINK("https://stock.pstatic.net/stock-research/company/21/20260129_company_926662000.pdf","PDF")</f>
        <v>PDF</v>
      </c>
      <c r="K5748" s="12" t="s">
        <v>8991</v>
      </c>
      <c r="L5748" s="20">
        <v>0.15894039735099341</v>
      </c>
    </row>
    <row r="5749" spans="1:12" x14ac:dyDescent="0.45">
      <c r="A5749" s="12" t="s">
        <v>8915</v>
      </c>
      <c r="B5749" s="12" t="s">
        <v>72</v>
      </c>
      <c r="C5749" s="13" t="s">
        <v>73</v>
      </c>
      <c r="D5749" s="13" t="s">
        <v>53</v>
      </c>
      <c r="E5749" s="12" t="s">
        <v>16</v>
      </c>
      <c r="F5749" s="14">
        <v>350000</v>
      </c>
      <c r="G5749" s="14">
        <v>302000</v>
      </c>
      <c r="H5749" s="13" t="s">
        <v>8992</v>
      </c>
      <c r="I5749" s="40" t="s">
        <v>18</v>
      </c>
      <c r="J5749" s="40" t="str">
        <f>HYPERLINK("https://stock.pstatic.net/stock-research/company/40/20260129_company_692226000.pdf","PDF")</f>
        <v>PDF</v>
      </c>
      <c r="K5749" s="12" t="s">
        <v>8993</v>
      </c>
      <c r="L5749" s="20">
        <v>0.15894039735099341</v>
      </c>
    </row>
    <row r="5750" spans="1:12" x14ac:dyDescent="0.45">
      <c r="A5750" s="12" t="s">
        <v>8915</v>
      </c>
      <c r="B5750" s="12" t="s">
        <v>1530</v>
      </c>
      <c r="C5750" s="13" t="s">
        <v>1531</v>
      </c>
      <c r="D5750" s="13" t="s">
        <v>23</v>
      </c>
      <c r="E5750" s="12" t="s">
        <v>50</v>
      </c>
      <c r="F5750" s="14">
        <v>27000</v>
      </c>
      <c r="G5750" s="14">
        <v>27500</v>
      </c>
      <c r="H5750" s="13" t="s">
        <v>8994</v>
      </c>
      <c r="I5750" s="40" t="s">
        <v>18</v>
      </c>
      <c r="J5750" s="40" t="str">
        <f>HYPERLINK("https://stock.pstatic.net/stock-research/company/21/20260129_company_168318000.pdf","PDF")</f>
        <v>PDF</v>
      </c>
      <c r="K5750" s="12" t="s">
        <v>8995</v>
      </c>
      <c r="L5750" s="20">
        <v>-1.8181818181818181E-2</v>
      </c>
    </row>
    <row r="5751" spans="1:12" x14ac:dyDescent="0.45">
      <c r="A5751" s="12" t="s">
        <v>8915</v>
      </c>
      <c r="B5751" s="12" t="s">
        <v>1765</v>
      </c>
      <c r="C5751" s="13" t="s">
        <v>1766</v>
      </c>
      <c r="D5751" s="13" t="s">
        <v>23</v>
      </c>
      <c r="E5751" s="12" t="s">
        <v>16</v>
      </c>
      <c r="F5751" s="14">
        <v>220000</v>
      </c>
      <c r="G5751" s="14">
        <v>149700</v>
      </c>
      <c r="H5751" s="13" t="s">
        <v>8996</v>
      </c>
      <c r="I5751" s="40" t="s">
        <v>18</v>
      </c>
      <c r="J5751" s="40" t="str">
        <f>HYPERLINK("https://stock.pstatic.net/stock-research/company/21/20260129_company_173247000.pdf","PDF")</f>
        <v>PDF</v>
      </c>
      <c r="K5751" s="12" t="s">
        <v>8997</v>
      </c>
      <c r="L5751" s="20">
        <v>0.4696058784235137</v>
      </c>
    </row>
    <row r="5752" spans="1:12" x14ac:dyDescent="0.45">
      <c r="A5752" s="12" t="s">
        <v>8915</v>
      </c>
      <c r="B5752" s="12" t="s">
        <v>577</v>
      </c>
      <c r="C5752" s="13" t="s">
        <v>578</v>
      </c>
      <c r="D5752" s="13" t="s">
        <v>23</v>
      </c>
      <c r="E5752" s="12" t="s">
        <v>16</v>
      </c>
      <c r="F5752" s="14">
        <v>570000</v>
      </c>
      <c r="G5752" s="14">
        <v>447000</v>
      </c>
      <c r="H5752" s="13" t="s">
        <v>8998</v>
      </c>
      <c r="I5752" s="40" t="s">
        <v>18</v>
      </c>
      <c r="J5752" s="40" t="str">
        <f>HYPERLINK("https://stock.pstatic.net/stock-research/company/21/20260129_company_836216000.pdf","PDF")</f>
        <v>PDF</v>
      </c>
      <c r="K5752" s="12" t="s">
        <v>8999</v>
      </c>
      <c r="L5752" s="20">
        <v>0.27516778523489932</v>
      </c>
    </row>
    <row r="5753" spans="1:12" x14ac:dyDescent="0.45">
      <c r="A5753" s="12" t="s">
        <v>8915</v>
      </c>
      <c r="B5753" s="12" t="s">
        <v>577</v>
      </c>
      <c r="C5753" s="13" t="s">
        <v>578</v>
      </c>
      <c r="D5753" s="13" t="s">
        <v>92</v>
      </c>
      <c r="E5753" s="12" t="s">
        <v>35</v>
      </c>
      <c r="F5753" s="14">
        <v>560000</v>
      </c>
      <c r="G5753" s="14">
        <v>447000</v>
      </c>
      <c r="H5753" s="13" t="s">
        <v>9000</v>
      </c>
      <c r="I5753" s="40" t="s">
        <v>18</v>
      </c>
      <c r="J5753" s="40" t="str">
        <f>HYPERLINK("https://stock.pstatic.net/stock-research/company/63/20260129_company_184220000.pdf","PDF")</f>
        <v>PDF</v>
      </c>
      <c r="K5753" s="12" t="s">
        <v>9001</v>
      </c>
      <c r="L5753" s="20">
        <v>0.25279642058165552</v>
      </c>
    </row>
    <row r="5754" spans="1:12" x14ac:dyDescent="0.45">
      <c r="A5754" s="12" t="s">
        <v>8915</v>
      </c>
      <c r="B5754" s="12" t="s">
        <v>577</v>
      </c>
      <c r="C5754" s="13" t="s">
        <v>578</v>
      </c>
      <c r="D5754" s="13" t="s">
        <v>34</v>
      </c>
      <c r="E5754" s="12" t="s">
        <v>35</v>
      </c>
      <c r="F5754" s="14">
        <v>580000</v>
      </c>
      <c r="G5754" s="14">
        <v>447000</v>
      </c>
      <c r="H5754" s="13" t="s">
        <v>9002</v>
      </c>
      <c r="I5754" s="40" t="s">
        <v>18</v>
      </c>
      <c r="J5754" s="40" t="str">
        <f>HYPERLINK("https://stock.pstatic.net/stock-research/company/61/20260129_company_436872000.pdf","PDF")</f>
        <v>PDF</v>
      </c>
      <c r="K5754" s="12" t="s">
        <v>9003</v>
      </c>
      <c r="L5754" s="20">
        <v>0.29753914988814317</v>
      </c>
    </row>
    <row r="5755" spans="1:12" x14ac:dyDescent="0.45">
      <c r="A5755" s="12" t="s">
        <v>8915</v>
      </c>
      <c r="B5755" s="12" t="s">
        <v>1765</v>
      </c>
      <c r="C5755" s="13" t="s">
        <v>1766</v>
      </c>
      <c r="D5755" s="13" t="s">
        <v>34</v>
      </c>
      <c r="E5755" s="12" t="s">
        <v>35</v>
      </c>
      <c r="F5755" s="14">
        <v>240000</v>
      </c>
      <c r="G5755" s="14">
        <v>149700</v>
      </c>
      <c r="H5755" s="13" t="s">
        <v>9004</v>
      </c>
      <c r="I5755" s="40" t="s">
        <v>18</v>
      </c>
      <c r="J5755" s="40" t="str">
        <f>HYPERLINK("https://stock.pstatic.net/stock-research/company/61/20260129_company_483530000.pdf","PDF")</f>
        <v>PDF</v>
      </c>
      <c r="K5755" s="12" t="s">
        <v>9005</v>
      </c>
      <c r="L5755" s="20">
        <v>0.60320641282565135</v>
      </c>
    </row>
    <row r="5756" spans="1:12" x14ac:dyDescent="0.45">
      <c r="A5756" s="12" t="s">
        <v>8915</v>
      </c>
      <c r="B5756" s="12" t="s">
        <v>1530</v>
      </c>
      <c r="C5756" s="13" t="s">
        <v>1531</v>
      </c>
      <c r="D5756" s="13" t="s">
        <v>34</v>
      </c>
      <c r="E5756" s="12" t="s">
        <v>159</v>
      </c>
      <c r="F5756" s="14">
        <v>28000</v>
      </c>
      <c r="G5756" s="14">
        <v>27500</v>
      </c>
      <c r="H5756" s="13" t="s">
        <v>9006</v>
      </c>
      <c r="I5756" s="40" t="s">
        <v>18</v>
      </c>
      <c r="J5756" s="40" t="str">
        <f>HYPERLINK("https://stock.pstatic.net/stock-research/company/61/20260129_company_774306000.pdf","PDF")</f>
        <v>PDF</v>
      </c>
      <c r="K5756" s="12" t="s">
        <v>9007</v>
      </c>
      <c r="L5756" s="20">
        <v>1.8181818181818181E-2</v>
      </c>
    </row>
    <row r="5757" spans="1:12" x14ac:dyDescent="0.45">
      <c r="A5757" s="12" t="s">
        <v>8915</v>
      </c>
      <c r="B5757" s="12" t="s">
        <v>3813</v>
      </c>
      <c r="C5757" s="13" t="s">
        <v>3814</v>
      </c>
      <c r="D5757" s="13" t="s">
        <v>34</v>
      </c>
      <c r="E5757" s="12" t="s">
        <v>35</v>
      </c>
      <c r="F5757" s="14">
        <v>17000</v>
      </c>
      <c r="G5757" s="14">
        <v>12130</v>
      </c>
      <c r="H5757" s="13" t="s">
        <v>9008</v>
      </c>
      <c r="I5757" s="40" t="s">
        <v>18</v>
      </c>
      <c r="J5757" s="40" t="str">
        <f>HYPERLINK("https://stock.pstatic.net/stock-research/company/61/20260129_company_960574000.pdf","PDF")</f>
        <v>PDF</v>
      </c>
      <c r="K5757" s="12" t="s">
        <v>9009</v>
      </c>
      <c r="L5757" s="20">
        <v>0.40148392415498763</v>
      </c>
    </row>
    <row r="5758" spans="1:12" x14ac:dyDescent="0.45">
      <c r="A5758" s="12" t="s">
        <v>8915</v>
      </c>
      <c r="B5758" s="12" t="s">
        <v>72</v>
      </c>
      <c r="C5758" s="13" t="s">
        <v>73</v>
      </c>
      <c r="D5758" s="13" t="s">
        <v>92</v>
      </c>
      <c r="E5758" s="12" t="s">
        <v>35</v>
      </c>
      <c r="F5758" s="14">
        <v>380000</v>
      </c>
      <c r="G5758" s="14">
        <v>302000</v>
      </c>
      <c r="H5758" s="13" t="s">
        <v>9010</v>
      </c>
      <c r="I5758" s="40" t="s">
        <v>18</v>
      </c>
      <c r="J5758" s="40" t="str">
        <f>HYPERLINK("https://stock.pstatic.net/stock-research/company/63/20260129_company_142853000.pdf","PDF")</f>
        <v>PDF</v>
      </c>
      <c r="K5758" s="12" t="s">
        <v>9011</v>
      </c>
      <c r="L5758" s="20">
        <v>0.25827814569536423</v>
      </c>
    </row>
    <row r="5759" spans="1:12" x14ac:dyDescent="0.45">
      <c r="A5759" s="12" t="s">
        <v>8915</v>
      </c>
      <c r="B5759" s="12" t="s">
        <v>485</v>
      </c>
      <c r="C5759" s="13" t="s">
        <v>486</v>
      </c>
      <c r="D5759" s="13" t="s">
        <v>34</v>
      </c>
      <c r="E5759" s="12" t="s">
        <v>35</v>
      </c>
      <c r="F5759" s="14">
        <v>230000</v>
      </c>
      <c r="G5759" s="14">
        <v>170100</v>
      </c>
      <c r="H5759" s="13" t="s">
        <v>9012</v>
      </c>
      <c r="I5759" s="40" t="s">
        <v>18</v>
      </c>
      <c r="J5759" s="40" t="str">
        <f>HYPERLINK("https://stock.pstatic.net/stock-research/company/61/20260129_company_494023000.pdf","PDF")</f>
        <v>PDF</v>
      </c>
      <c r="K5759" s="12" t="s">
        <v>9013</v>
      </c>
      <c r="L5759" s="20">
        <v>0.35214579659024098</v>
      </c>
    </row>
    <row r="5760" spans="1:12" x14ac:dyDescent="0.45">
      <c r="A5760" s="12" t="s">
        <v>8915</v>
      </c>
      <c r="B5760" s="12" t="s">
        <v>836</v>
      </c>
      <c r="C5760" s="13" t="s">
        <v>837</v>
      </c>
      <c r="D5760" s="13" t="s">
        <v>179</v>
      </c>
      <c r="E5760" s="12" t="s">
        <v>16</v>
      </c>
      <c r="F5760" s="14">
        <v>580000</v>
      </c>
      <c r="G5760" s="14">
        <v>504000</v>
      </c>
      <c r="H5760" s="13" t="s">
        <v>9014</v>
      </c>
      <c r="I5760" s="40" t="s">
        <v>18</v>
      </c>
      <c r="J5760" s="40" t="str">
        <f>HYPERLINK("https://stock.pstatic.net/stock-research/company/64/20260129_company_100211000.pdf","PDF")</f>
        <v>PDF</v>
      </c>
      <c r="K5760" s="12" t="s">
        <v>9015</v>
      </c>
      <c r="L5760" s="20">
        <v>0.15079365079365081</v>
      </c>
    </row>
    <row r="5761" spans="1:12" x14ac:dyDescent="0.45">
      <c r="A5761" s="12" t="s">
        <v>8915</v>
      </c>
      <c r="B5761" s="12" t="s">
        <v>577</v>
      </c>
      <c r="C5761" s="13" t="s">
        <v>578</v>
      </c>
      <c r="D5761" s="13" t="s">
        <v>179</v>
      </c>
      <c r="E5761" s="12" t="s">
        <v>16</v>
      </c>
      <c r="F5761" s="14">
        <v>590000</v>
      </c>
      <c r="G5761" s="14">
        <v>447000</v>
      </c>
      <c r="H5761" s="13" t="s">
        <v>9016</v>
      </c>
      <c r="I5761" s="40" t="s">
        <v>18</v>
      </c>
      <c r="J5761" s="40" t="str">
        <f>HYPERLINK("https://stock.pstatic.net/stock-research/company/64/20260129_company_333679000.pdf","PDF")</f>
        <v>PDF</v>
      </c>
      <c r="K5761" s="12" t="s">
        <v>9017</v>
      </c>
      <c r="L5761" s="20">
        <v>0.31991051454138703</v>
      </c>
    </row>
    <row r="5762" spans="1:12" x14ac:dyDescent="0.45">
      <c r="A5762" s="12" t="s">
        <v>8915</v>
      </c>
      <c r="B5762" s="12" t="s">
        <v>3018</v>
      </c>
      <c r="C5762" s="13" t="s">
        <v>3019</v>
      </c>
      <c r="D5762" s="13" t="s">
        <v>92</v>
      </c>
      <c r="E5762" s="12" t="s">
        <v>35</v>
      </c>
      <c r="F5762" s="14">
        <v>22000</v>
      </c>
      <c r="G5762" s="14">
        <v>17430</v>
      </c>
      <c r="H5762" s="13" t="s">
        <v>9018</v>
      </c>
      <c r="I5762" s="40" t="s">
        <v>18</v>
      </c>
      <c r="J5762" s="40" t="str">
        <f>HYPERLINK("https://stock.pstatic.net/stock-research/company/63/20260129_company_296321000.pdf","PDF")</f>
        <v>PDF</v>
      </c>
      <c r="K5762" s="12" t="s">
        <v>9019</v>
      </c>
      <c r="L5762" s="20">
        <v>0.26219162363740678</v>
      </c>
    </row>
    <row r="5763" spans="1:12" x14ac:dyDescent="0.45">
      <c r="A5763" s="12" t="s">
        <v>8915</v>
      </c>
      <c r="B5763" s="12" t="s">
        <v>2662</v>
      </c>
      <c r="C5763" s="13" t="s">
        <v>2663</v>
      </c>
      <c r="D5763" s="13" t="s">
        <v>23</v>
      </c>
      <c r="E5763" s="12" t="s">
        <v>385</v>
      </c>
      <c r="F5763" s="13"/>
      <c r="G5763" s="14">
        <v>65400</v>
      </c>
      <c r="H5763" s="13" t="s">
        <v>9020</v>
      </c>
      <c r="I5763" s="40" t="s">
        <v>18</v>
      </c>
      <c r="J5763" s="40" t="str">
        <f>HYPERLINK("https://stock.pstatic.net/stock-research/company/21/20260129_company_992243000.pdf","PDF")</f>
        <v>PDF</v>
      </c>
      <c r="K5763" s="12" t="s">
        <v>9021</v>
      </c>
    </row>
    <row r="5764" spans="1:12" x14ac:dyDescent="0.45">
      <c r="A5764" s="12" t="s">
        <v>8915</v>
      </c>
      <c r="B5764" s="12" t="s">
        <v>1765</v>
      </c>
      <c r="C5764" s="13" t="s">
        <v>1766</v>
      </c>
      <c r="D5764" s="13" t="s">
        <v>179</v>
      </c>
      <c r="E5764" s="12" t="s">
        <v>16</v>
      </c>
      <c r="F5764" s="14">
        <v>200000</v>
      </c>
      <c r="G5764" s="14">
        <v>149700</v>
      </c>
      <c r="H5764" s="13" t="s">
        <v>9022</v>
      </c>
      <c r="I5764" s="40" t="s">
        <v>18</v>
      </c>
      <c r="J5764" s="40" t="str">
        <f>HYPERLINK("https://stock.pstatic.net/stock-research/company/64/20260129_company_842059000.pdf","PDF")</f>
        <v>PDF</v>
      </c>
      <c r="K5764" s="12" t="s">
        <v>9023</v>
      </c>
      <c r="L5764" s="20">
        <v>0.33600534402137611</v>
      </c>
    </row>
    <row r="5765" spans="1:12" x14ac:dyDescent="0.45">
      <c r="A5765" s="12" t="s">
        <v>8915</v>
      </c>
      <c r="B5765" s="12" t="s">
        <v>1530</v>
      </c>
      <c r="C5765" s="13" t="s">
        <v>1531</v>
      </c>
      <c r="D5765" s="13" t="s">
        <v>92</v>
      </c>
      <c r="E5765" s="12" t="s">
        <v>159</v>
      </c>
      <c r="F5765" s="14">
        <v>30000</v>
      </c>
      <c r="G5765" s="14">
        <v>27500</v>
      </c>
      <c r="H5765" s="13" t="s">
        <v>9024</v>
      </c>
      <c r="I5765" s="40" t="s">
        <v>18</v>
      </c>
      <c r="J5765" s="40" t="str">
        <f>HYPERLINK("https://stock.pstatic.net/stock-research/company/63/20260129_company_162465000.pdf","PDF")</f>
        <v>PDF</v>
      </c>
      <c r="K5765" s="12" t="s">
        <v>9025</v>
      </c>
      <c r="L5765" s="20">
        <v>9.0909090909090912E-2</v>
      </c>
    </row>
    <row r="5766" spans="1:12" x14ac:dyDescent="0.45">
      <c r="A5766" s="12" t="s">
        <v>8915</v>
      </c>
      <c r="B5766" s="12" t="s">
        <v>3813</v>
      </c>
      <c r="C5766" s="13" t="s">
        <v>3814</v>
      </c>
      <c r="D5766" s="13" t="s">
        <v>53</v>
      </c>
      <c r="E5766" s="12" t="s">
        <v>16</v>
      </c>
      <c r="F5766" s="14">
        <v>20000</v>
      </c>
      <c r="G5766" s="14">
        <v>12130</v>
      </c>
      <c r="H5766" s="13" t="s">
        <v>9026</v>
      </c>
      <c r="I5766" s="40" t="s">
        <v>18</v>
      </c>
      <c r="J5766" s="40" t="str">
        <f>HYPERLINK("https://stock.pstatic.net/stock-research/company/40/20260129_company_649033000.pdf","PDF")</f>
        <v>PDF</v>
      </c>
      <c r="K5766" s="12" t="s">
        <v>9027</v>
      </c>
      <c r="L5766" s="20">
        <v>0.64880461665292666</v>
      </c>
    </row>
    <row r="5767" spans="1:12" x14ac:dyDescent="0.45">
      <c r="A5767" s="12" t="s">
        <v>8915</v>
      </c>
      <c r="B5767" s="12" t="s">
        <v>1690</v>
      </c>
      <c r="C5767" s="13" t="s">
        <v>1691</v>
      </c>
      <c r="D5767" s="13" t="s">
        <v>92</v>
      </c>
      <c r="E5767" s="12" t="s">
        <v>35</v>
      </c>
      <c r="F5767" s="14">
        <v>130000</v>
      </c>
      <c r="G5767" s="14">
        <v>108200</v>
      </c>
      <c r="H5767" s="13" t="s">
        <v>9028</v>
      </c>
      <c r="I5767" s="40" t="s">
        <v>18</v>
      </c>
      <c r="J5767" s="40" t="str">
        <f>HYPERLINK("https://stock.pstatic.net/stock-research/company/63/20260129_company_924740000.pdf","PDF")</f>
        <v>PDF</v>
      </c>
      <c r="K5767" s="12" t="s">
        <v>9029</v>
      </c>
      <c r="L5767" s="20">
        <v>0.20147874306839189</v>
      </c>
    </row>
    <row r="5768" spans="1:12" x14ac:dyDescent="0.45">
      <c r="A5768" s="12" t="s">
        <v>8915</v>
      </c>
      <c r="B5768" s="12" t="s">
        <v>3813</v>
      </c>
      <c r="C5768" s="13" t="s">
        <v>3814</v>
      </c>
      <c r="D5768" s="13" t="s">
        <v>179</v>
      </c>
      <c r="E5768" s="12" t="s">
        <v>16</v>
      </c>
      <c r="F5768" s="14">
        <v>15000</v>
      </c>
      <c r="G5768" s="14">
        <v>12130</v>
      </c>
      <c r="H5768" s="13" t="s">
        <v>9030</v>
      </c>
      <c r="I5768" s="40" t="s">
        <v>18</v>
      </c>
      <c r="J5768" s="40" t="str">
        <f>HYPERLINK("https://stock.pstatic.net/stock-research/company/64/20260129_company_953696000.pdf","PDF")</f>
        <v>PDF</v>
      </c>
      <c r="K5768" s="12" t="s">
        <v>9031</v>
      </c>
      <c r="L5768" s="20">
        <v>0.23660346248969499</v>
      </c>
    </row>
    <row r="5769" spans="1:12" x14ac:dyDescent="0.45">
      <c r="A5769" s="12" t="s">
        <v>8915</v>
      </c>
      <c r="B5769" s="12" t="s">
        <v>95</v>
      </c>
      <c r="C5769" s="13" t="s">
        <v>31</v>
      </c>
      <c r="D5769" s="13" t="s">
        <v>44</v>
      </c>
      <c r="E5769" s="12" t="s">
        <v>35</v>
      </c>
      <c r="F5769" s="14">
        <v>42000</v>
      </c>
      <c r="G5769" s="14">
        <v>32150</v>
      </c>
      <c r="H5769" s="13" t="s">
        <v>9032</v>
      </c>
      <c r="I5769" s="40" t="s">
        <v>18</v>
      </c>
      <c r="J5769" s="40" t="str">
        <f>HYPERLINK("https://stock.pstatic.net/stock-research/company/39/20260129_company_548295000.pdf","PDF")</f>
        <v>PDF</v>
      </c>
      <c r="K5769" s="12" t="s">
        <v>9033</v>
      </c>
      <c r="L5769" s="20">
        <v>0.30637636080870922</v>
      </c>
    </row>
    <row r="5770" spans="1:12" x14ac:dyDescent="0.45">
      <c r="A5770" s="12" t="s">
        <v>8915</v>
      </c>
      <c r="B5770" s="12" t="s">
        <v>450</v>
      </c>
      <c r="C5770" s="13" t="s">
        <v>451</v>
      </c>
      <c r="D5770" s="13" t="s">
        <v>44</v>
      </c>
      <c r="E5770" s="12" t="s">
        <v>50</v>
      </c>
      <c r="F5770" s="13"/>
      <c r="G5770" s="14">
        <v>275000</v>
      </c>
      <c r="H5770" s="13" t="s">
        <v>7899</v>
      </c>
      <c r="I5770" s="40" t="s">
        <v>18</v>
      </c>
      <c r="J5770" s="40" t="str">
        <f>HYPERLINK("https://stock.pstatic.net/stock-research/company/39/20260129_company_320565000.pdf","PDF")</f>
        <v>PDF</v>
      </c>
      <c r="K5770" s="12" t="s">
        <v>9034</v>
      </c>
    </row>
    <row r="5771" spans="1:12" x14ac:dyDescent="0.45">
      <c r="A5771" s="12" t="s">
        <v>8915</v>
      </c>
      <c r="B5771" s="12" t="s">
        <v>1128</v>
      </c>
      <c r="C5771" s="13" t="s">
        <v>1129</v>
      </c>
      <c r="D5771" s="13" t="s">
        <v>44</v>
      </c>
      <c r="E5771" s="12" t="s">
        <v>50</v>
      </c>
      <c r="F5771" s="13"/>
      <c r="G5771" s="14">
        <v>125400</v>
      </c>
      <c r="H5771" s="13" t="s">
        <v>9035</v>
      </c>
      <c r="I5771" s="40" t="s">
        <v>18</v>
      </c>
      <c r="J5771" s="40" t="str">
        <f>HYPERLINK("https://stock.pstatic.net/stock-research/company/39/20260129_company_350480000.pdf","PDF")</f>
        <v>PDF</v>
      </c>
      <c r="K5771" s="12" t="s">
        <v>9036</v>
      </c>
    </row>
    <row r="5772" spans="1:12" x14ac:dyDescent="0.45">
      <c r="A5772" s="12" t="s">
        <v>8915</v>
      </c>
      <c r="B5772" s="12" t="s">
        <v>792</v>
      </c>
      <c r="C5772" s="13" t="s">
        <v>793</v>
      </c>
      <c r="D5772" s="13" t="s">
        <v>179</v>
      </c>
      <c r="E5772" s="12" t="s">
        <v>16</v>
      </c>
      <c r="F5772" s="14">
        <v>42000</v>
      </c>
      <c r="G5772" s="14">
        <v>34750</v>
      </c>
      <c r="H5772" s="13" t="s">
        <v>9037</v>
      </c>
      <c r="I5772" s="40" t="s">
        <v>18</v>
      </c>
      <c r="J5772" s="40" t="str">
        <f>HYPERLINK("https://stock.pstatic.net/stock-research/company/64/20260129_company_928050000.pdf","PDF")</f>
        <v>PDF</v>
      </c>
      <c r="K5772" s="12" t="s">
        <v>9038</v>
      </c>
      <c r="L5772" s="20">
        <v>0.20863309352517989</v>
      </c>
    </row>
    <row r="5773" spans="1:12" x14ac:dyDescent="0.45">
      <c r="A5773" s="12" t="s">
        <v>8915</v>
      </c>
      <c r="B5773" s="12" t="s">
        <v>3813</v>
      </c>
      <c r="C5773" s="13" t="s">
        <v>3814</v>
      </c>
      <c r="D5773" s="13" t="s">
        <v>44</v>
      </c>
      <c r="E5773" s="12" t="s">
        <v>35</v>
      </c>
      <c r="F5773" s="14">
        <v>16000</v>
      </c>
      <c r="G5773" s="14">
        <v>12130</v>
      </c>
      <c r="H5773" s="13" t="s">
        <v>9039</v>
      </c>
      <c r="I5773" s="40" t="s">
        <v>18</v>
      </c>
      <c r="J5773" s="40" t="str">
        <f>HYPERLINK("https://stock.pstatic.net/stock-research/company/39/20260129_company_576135000.pdf","PDF")</f>
        <v>PDF</v>
      </c>
      <c r="K5773" s="12" t="s">
        <v>9040</v>
      </c>
      <c r="L5773" s="20">
        <v>0.31904369332234128</v>
      </c>
    </row>
    <row r="5774" spans="1:12" x14ac:dyDescent="0.45">
      <c r="A5774" s="12" t="s">
        <v>8915</v>
      </c>
      <c r="B5774" s="12" t="s">
        <v>3349</v>
      </c>
      <c r="C5774" s="13" t="s">
        <v>7707</v>
      </c>
      <c r="D5774" s="13" t="s">
        <v>44</v>
      </c>
      <c r="E5774" s="12" t="s">
        <v>35</v>
      </c>
      <c r="F5774" s="14">
        <v>34000</v>
      </c>
      <c r="G5774" s="14">
        <v>21350</v>
      </c>
      <c r="H5774" s="13" t="s">
        <v>9041</v>
      </c>
      <c r="I5774" s="40" t="s">
        <v>18</v>
      </c>
      <c r="J5774" s="40" t="str">
        <f>HYPERLINK("https://stock.pstatic.net/stock-research/company/39/20260129_company_814858000.pdf","PDF")</f>
        <v>PDF</v>
      </c>
      <c r="K5774" s="12" t="s">
        <v>9042</v>
      </c>
      <c r="L5774" s="20">
        <v>0.59250585480093676</v>
      </c>
    </row>
    <row r="5775" spans="1:12" x14ac:dyDescent="0.45">
      <c r="A5775" s="12" t="s">
        <v>8915</v>
      </c>
      <c r="B5775" s="12" t="s">
        <v>1765</v>
      </c>
      <c r="C5775" s="13" t="s">
        <v>1766</v>
      </c>
      <c r="D5775" s="13" t="s">
        <v>44</v>
      </c>
      <c r="E5775" s="12" t="s">
        <v>45</v>
      </c>
      <c r="F5775" s="14">
        <v>179000</v>
      </c>
      <c r="G5775" s="14">
        <v>149700</v>
      </c>
      <c r="H5775" s="13" t="s">
        <v>9043</v>
      </c>
      <c r="I5775" s="40" t="s">
        <v>18</v>
      </c>
      <c r="J5775" s="40" t="str">
        <f>HYPERLINK("https://stock.pstatic.net/stock-research/company/39/20260129_company_661112000.pdf","PDF")</f>
        <v>PDF</v>
      </c>
      <c r="K5775" s="12" t="s">
        <v>9044</v>
      </c>
      <c r="L5775" s="20">
        <v>0.19572478289913159</v>
      </c>
    </row>
    <row r="5776" spans="1:12" x14ac:dyDescent="0.45">
      <c r="A5776" s="12" t="s">
        <v>8915</v>
      </c>
      <c r="B5776" s="12" t="s">
        <v>577</v>
      </c>
      <c r="C5776" s="13" t="s">
        <v>578</v>
      </c>
      <c r="D5776" s="13" t="s">
        <v>44</v>
      </c>
      <c r="E5776" s="12" t="s">
        <v>35</v>
      </c>
      <c r="F5776" s="14">
        <v>550000</v>
      </c>
      <c r="G5776" s="14">
        <v>447000</v>
      </c>
      <c r="H5776" s="13" t="s">
        <v>9045</v>
      </c>
      <c r="I5776" s="40" t="s">
        <v>18</v>
      </c>
      <c r="J5776" s="40" t="str">
        <f>HYPERLINK("https://stock.pstatic.net/stock-research/company/39/20260129_company_449939000.pdf","PDF")</f>
        <v>PDF</v>
      </c>
      <c r="K5776" s="12" t="s">
        <v>9046</v>
      </c>
      <c r="L5776" s="20">
        <v>0.23042505592841159</v>
      </c>
    </row>
    <row r="5777" spans="1:12" x14ac:dyDescent="0.45">
      <c r="A5777" s="12" t="s">
        <v>8915</v>
      </c>
      <c r="B5777" s="12" t="s">
        <v>1690</v>
      </c>
      <c r="C5777" s="13" t="s">
        <v>1691</v>
      </c>
      <c r="D5777" s="13" t="s">
        <v>15</v>
      </c>
      <c r="E5777" s="12" t="s">
        <v>16</v>
      </c>
      <c r="F5777" s="14">
        <v>156000</v>
      </c>
      <c r="G5777" s="14">
        <v>108200</v>
      </c>
      <c r="H5777" s="13" t="s">
        <v>9047</v>
      </c>
      <c r="I5777" s="40" t="s">
        <v>18</v>
      </c>
      <c r="J5777" s="40" t="str">
        <f>HYPERLINK("https://stock.pstatic.net/stock-research/company/56/20260129_company_193643000.pdf","PDF")</f>
        <v>PDF</v>
      </c>
      <c r="K5777" s="12" t="s">
        <v>9048</v>
      </c>
      <c r="L5777" s="20">
        <v>0.44177449168207023</v>
      </c>
    </row>
    <row r="5778" spans="1:12" x14ac:dyDescent="0.45">
      <c r="A5778" s="12" t="s">
        <v>8915</v>
      </c>
      <c r="B5778" s="12" t="s">
        <v>3718</v>
      </c>
      <c r="C5778" s="13" t="s">
        <v>3719</v>
      </c>
      <c r="D5778" s="13" t="s">
        <v>15</v>
      </c>
      <c r="E5778" s="12" t="s">
        <v>50</v>
      </c>
      <c r="F5778" s="13"/>
      <c r="G5778" s="14">
        <v>8010</v>
      </c>
      <c r="H5778" s="13" t="s">
        <v>9049</v>
      </c>
      <c r="I5778" s="40" t="s">
        <v>18</v>
      </c>
      <c r="J5778" s="40" t="str">
        <f>HYPERLINK("https://stock.pstatic.net/stock-research/company/56/20260129_company_452770000.pdf","PDF")</f>
        <v>PDF</v>
      </c>
      <c r="K5778" s="12" t="s">
        <v>9050</v>
      </c>
    </row>
    <row r="5779" spans="1:12" x14ac:dyDescent="0.45">
      <c r="A5779" s="12" t="s">
        <v>8915</v>
      </c>
      <c r="B5779" s="12" t="s">
        <v>9051</v>
      </c>
      <c r="C5779" s="13" t="s">
        <v>9052</v>
      </c>
      <c r="D5779" s="13" t="s">
        <v>15</v>
      </c>
      <c r="E5779" s="12" t="s">
        <v>50</v>
      </c>
      <c r="F5779" s="13"/>
      <c r="G5779" s="14">
        <v>11080</v>
      </c>
      <c r="H5779" s="13" t="s">
        <v>9053</v>
      </c>
      <c r="I5779" s="40" t="s">
        <v>18</v>
      </c>
      <c r="J5779" s="40" t="str">
        <f>HYPERLINK("https://stock.pstatic.net/stock-research/company/56/20260129_company_500607000.pdf","PDF")</f>
        <v>PDF</v>
      </c>
      <c r="K5779" s="12" t="s">
        <v>9054</v>
      </c>
    </row>
    <row r="5780" spans="1:12" x14ac:dyDescent="0.45">
      <c r="A5780" s="12" t="s">
        <v>9055</v>
      </c>
      <c r="B5780" s="12" t="s">
        <v>2024</v>
      </c>
      <c r="C5780" s="13" t="s">
        <v>2025</v>
      </c>
      <c r="D5780" s="13" t="s">
        <v>15</v>
      </c>
      <c r="E5780" s="12" t="s">
        <v>385</v>
      </c>
      <c r="F5780" s="14">
        <v>45000</v>
      </c>
      <c r="G5780" s="14">
        <v>44900</v>
      </c>
      <c r="H5780" s="13" t="s">
        <v>9056</v>
      </c>
      <c r="I5780" s="40" t="s">
        <v>18</v>
      </c>
      <c r="J5780" s="40" t="str">
        <f>HYPERLINK("https://stock.pstatic.net/stock-research/company/56/20260128_company_314592000.pdf","PDF")</f>
        <v>PDF</v>
      </c>
      <c r="K5780" s="12" t="s">
        <v>9057</v>
      </c>
      <c r="L5780" s="20">
        <v>2.2271714922049001E-3</v>
      </c>
    </row>
    <row r="5781" spans="1:12" x14ac:dyDescent="0.45">
      <c r="A5781" s="12" t="s">
        <v>9055</v>
      </c>
      <c r="B5781" s="12" t="s">
        <v>2262</v>
      </c>
      <c r="C5781" s="13" t="s">
        <v>2263</v>
      </c>
      <c r="D5781" s="13" t="s">
        <v>276</v>
      </c>
      <c r="E5781" s="12" t="s">
        <v>16</v>
      </c>
      <c r="F5781" s="14">
        <v>14000</v>
      </c>
      <c r="G5781" s="14">
        <v>7510</v>
      </c>
      <c r="H5781" s="13" t="s">
        <v>9058</v>
      </c>
      <c r="I5781" s="40" t="s">
        <v>18</v>
      </c>
      <c r="J5781" s="40" t="str">
        <f>HYPERLINK("https://stock.pstatic.net/stock-research/company/66/20260128_company_149378000.pdf","PDF")</f>
        <v>PDF</v>
      </c>
      <c r="K5781" s="12" t="s">
        <v>9059</v>
      </c>
      <c r="L5781" s="20">
        <v>0.8641810918774967</v>
      </c>
    </row>
    <row r="5782" spans="1:12" x14ac:dyDescent="0.45">
      <c r="A5782" s="12" t="s">
        <v>9055</v>
      </c>
      <c r="B5782" s="12" t="s">
        <v>489</v>
      </c>
      <c r="C5782" s="13" t="s">
        <v>490</v>
      </c>
      <c r="D5782" s="13" t="s">
        <v>60</v>
      </c>
      <c r="E5782" s="12" t="s">
        <v>35</v>
      </c>
      <c r="F5782" s="14">
        <v>80000</v>
      </c>
      <c r="G5782" s="14">
        <v>58300</v>
      </c>
      <c r="H5782" s="13" t="s">
        <v>9060</v>
      </c>
      <c r="I5782" s="40" t="s">
        <v>18</v>
      </c>
      <c r="J5782" s="40" t="str">
        <f>HYPERLINK("https://stock.pstatic.net/stock-research/company/62/20260128_company_494274000.pdf","PDF")</f>
        <v>PDF</v>
      </c>
      <c r="K5782" s="12" t="s">
        <v>9061</v>
      </c>
      <c r="L5782" s="20">
        <v>0.37221269296740989</v>
      </c>
    </row>
    <row r="5783" spans="1:12" x14ac:dyDescent="0.45">
      <c r="A5783" s="12" t="s">
        <v>9055</v>
      </c>
      <c r="B5783" s="12" t="s">
        <v>740</v>
      </c>
      <c r="C5783" s="13" t="s">
        <v>741</v>
      </c>
      <c r="D5783" s="13" t="s">
        <v>60</v>
      </c>
      <c r="E5783" s="12" t="s">
        <v>35</v>
      </c>
      <c r="F5783" s="14">
        <v>300000</v>
      </c>
      <c r="G5783" s="14">
        <v>257500</v>
      </c>
      <c r="H5783" s="13" t="s">
        <v>9062</v>
      </c>
      <c r="I5783" s="40" t="s">
        <v>18</v>
      </c>
      <c r="J5783" s="40" t="str">
        <f>HYPERLINK("https://stock.pstatic.net/stock-research/company/62/20260128_company_474236000.pdf","PDF")</f>
        <v>PDF</v>
      </c>
      <c r="K5783" s="12" t="s">
        <v>9063</v>
      </c>
      <c r="L5783" s="20">
        <v>0.1650485436893204</v>
      </c>
    </row>
    <row r="5784" spans="1:12" x14ac:dyDescent="0.45">
      <c r="A5784" s="12" t="s">
        <v>9055</v>
      </c>
      <c r="B5784" s="12" t="s">
        <v>4021</v>
      </c>
      <c r="C5784" s="13" t="s">
        <v>4022</v>
      </c>
      <c r="D5784" s="13" t="s">
        <v>60</v>
      </c>
      <c r="E5784" s="12" t="s">
        <v>35</v>
      </c>
      <c r="F5784" s="14">
        <v>700000</v>
      </c>
      <c r="G5784" s="14">
        <v>537000</v>
      </c>
      <c r="H5784" s="13" t="s">
        <v>9064</v>
      </c>
      <c r="I5784" s="40" t="s">
        <v>18</v>
      </c>
      <c r="J5784" s="40" t="str">
        <f>HYPERLINK("https://stock.pstatic.net/stock-research/company/62/20260128_company_373358000.pdf","PDF")</f>
        <v>PDF</v>
      </c>
      <c r="K5784" s="12" t="s">
        <v>9065</v>
      </c>
      <c r="L5784" s="20">
        <v>0.30353817504655489</v>
      </c>
    </row>
    <row r="5785" spans="1:12" x14ac:dyDescent="0.45">
      <c r="A5785" s="12" t="s">
        <v>9055</v>
      </c>
      <c r="B5785" s="12" t="s">
        <v>4021</v>
      </c>
      <c r="C5785" s="13" t="s">
        <v>4022</v>
      </c>
      <c r="D5785" s="13" t="s">
        <v>65</v>
      </c>
      <c r="E5785" s="12" t="s">
        <v>35</v>
      </c>
      <c r="F5785" s="14">
        <v>620000</v>
      </c>
      <c r="G5785" s="14">
        <v>537000</v>
      </c>
      <c r="H5785" s="13" t="s">
        <v>9066</v>
      </c>
      <c r="I5785" s="40" t="s">
        <v>18</v>
      </c>
      <c r="J5785" s="40" t="str">
        <f>HYPERLINK("https://stock.pstatic.net/stock-research/company/57/20260128_company_719351000.pdf","PDF")</f>
        <v>PDF</v>
      </c>
      <c r="K5785" s="12" t="s">
        <v>9067</v>
      </c>
      <c r="L5785" s="20">
        <v>0.15456238361266289</v>
      </c>
    </row>
    <row r="5786" spans="1:12" x14ac:dyDescent="0.45">
      <c r="A5786" s="12" t="s">
        <v>9055</v>
      </c>
      <c r="B5786" s="12" t="s">
        <v>128</v>
      </c>
      <c r="C5786" s="13" t="s">
        <v>129</v>
      </c>
      <c r="D5786" s="13" t="s">
        <v>65</v>
      </c>
      <c r="E5786" s="12" t="s">
        <v>35</v>
      </c>
      <c r="F5786" s="14">
        <v>80000</v>
      </c>
      <c r="G5786" s="14">
        <v>41800</v>
      </c>
      <c r="H5786" s="13" t="s">
        <v>9068</v>
      </c>
      <c r="I5786" s="40" t="s">
        <v>18</v>
      </c>
      <c r="J5786" s="40" t="str">
        <f>HYPERLINK("https://stock.pstatic.net/stock-research/company/57/20260128_company_817203000.pdf","PDF")</f>
        <v>PDF</v>
      </c>
      <c r="K5786" s="12" t="s">
        <v>9069</v>
      </c>
      <c r="L5786" s="20">
        <v>0.9138755980861244</v>
      </c>
    </row>
    <row r="5787" spans="1:12" x14ac:dyDescent="0.45">
      <c r="A5787" s="12" t="s">
        <v>9055</v>
      </c>
      <c r="B5787" s="12" t="s">
        <v>2712</v>
      </c>
      <c r="C5787" s="13" t="s">
        <v>2713</v>
      </c>
      <c r="D5787" s="13" t="s">
        <v>65</v>
      </c>
      <c r="E5787" s="12" t="s">
        <v>35</v>
      </c>
      <c r="F5787" s="14">
        <v>50000</v>
      </c>
      <c r="G5787" s="14">
        <v>30700</v>
      </c>
      <c r="H5787" s="13" t="s">
        <v>9070</v>
      </c>
      <c r="I5787" s="40" t="s">
        <v>18</v>
      </c>
      <c r="J5787" s="40" t="str">
        <f>HYPERLINK("https://stock.pstatic.net/stock-research/company/57/20260128_company_507221000.pdf","PDF")</f>
        <v>PDF</v>
      </c>
      <c r="K5787" s="12" t="s">
        <v>9071</v>
      </c>
      <c r="L5787" s="20">
        <v>0.62866449511400646</v>
      </c>
    </row>
    <row r="5788" spans="1:12" x14ac:dyDescent="0.45">
      <c r="A5788" s="12" t="s">
        <v>9055</v>
      </c>
      <c r="B5788" s="12" t="s">
        <v>2435</v>
      </c>
      <c r="C5788" s="13" t="s">
        <v>2436</v>
      </c>
      <c r="D5788" s="13" t="s">
        <v>853</v>
      </c>
      <c r="E5788" s="12" t="s">
        <v>35</v>
      </c>
      <c r="F5788" s="14">
        <v>720000</v>
      </c>
      <c r="G5788" s="14">
        <v>550000</v>
      </c>
      <c r="H5788" s="13" t="s">
        <v>9072</v>
      </c>
      <c r="I5788" s="40" t="s">
        <v>18</v>
      </c>
      <c r="J5788" s="40" t="str">
        <f>HYPERLINK("https://stock.pstatic.net/stock-research/company/17/20260128_company_345726000.pdf","PDF")</f>
        <v>PDF</v>
      </c>
      <c r="K5788" s="12" t="s">
        <v>9073</v>
      </c>
      <c r="L5788" s="20">
        <v>0.30909090909090908</v>
      </c>
    </row>
    <row r="5789" spans="1:12" x14ac:dyDescent="0.45">
      <c r="A5789" s="12" t="s">
        <v>9055</v>
      </c>
      <c r="B5789" s="12" t="s">
        <v>912</v>
      </c>
      <c r="C5789" s="13" t="s">
        <v>913</v>
      </c>
      <c r="D5789" s="13" t="s">
        <v>158</v>
      </c>
      <c r="E5789" s="12" t="s">
        <v>35</v>
      </c>
      <c r="F5789" s="14">
        <v>93000</v>
      </c>
      <c r="G5789" s="14">
        <v>72000</v>
      </c>
      <c r="H5789" s="13" t="s">
        <v>9074</v>
      </c>
      <c r="I5789" s="40" t="s">
        <v>18</v>
      </c>
      <c r="J5789" s="40" t="str">
        <f>HYPERLINK("https://stock.pstatic.net/stock-research/company/18/20260128_company_785892000.pdf","PDF")</f>
        <v>PDF</v>
      </c>
      <c r="K5789" s="12" t="s">
        <v>9075</v>
      </c>
      <c r="L5789" s="20">
        <v>0.29166666666666669</v>
      </c>
    </row>
    <row r="5790" spans="1:12" x14ac:dyDescent="0.45">
      <c r="A5790" s="12" t="s">
        <v>9055</v>
      </c>
      <c r="B5790" s="12" t="s">
        <v>4021</v>
      </c>
      <c r="C5790" s="13" t="s">
        <v>4022</v>
      </c>
      <c r="D5790" s="13" t="s">
        <v>158</v>
      </c>
      <c r="E5790" s="12" t="s">
        <v>35</v>
      </c>
      <c r="F5790" s="14">
        <v>735000</v>
      </c>
      <c r="G5790" s="14">
        <v>537000</v>
      </c>
      <c r="H5790" s="13" t="s">
        <v>9076</v>
      </c>
      <c r="I5790" s="40" t="s">
        <v>18</v>
      </c>
      <c r="J5790" s="40" t="str">
        <f>HYPERLINK("https://stock.pstatic.net/stock-research/company/18/20260128_company_220634000.pdf","PDF")</f>
        <v>PDF</v>
      </c>
      <c r="K5790" s="12" t="s">
        <v>9077</v>
      </c>
      <c r="L5790" s="20">
        <v>0.36871508379888268</v>
      </c>
    </row>
    <row r="5791" spans="1:12" x14ac:dyDescent="0.45">
      <c r="A5791" s="12" t="s">
        <v>9055</v>
      </c>
      <c r="B5791" s="12" t="s">
        <v>7293</v>
      </c>
      <c r="C5791" s="13" t="s">
        <v>7294</v>
      </c>
      <c r="D5791" s="13" t="s">
        <v>158</v>
      </c>
      <c r="E5791" s="12" t="s">
        <v>50</v>
      </c>
      <c r="F5791" s="13"/>
      <c r="G5791" s="14">
        <v>13890</v>
      </c>
      <c r="H5791" s="13" t="s">
        <v>9078</v>
      </c>
      <c r="I5791" s="40" t="s">
        <v>18</v>
      </c>
      <c r="J5791" s="40" t="str">
        <f>HYPERLINK("https://stock.pstatic.net/stock-research/company/18/20260128_company_380406000.pdf","PDF")</f>
        <v>PDF</v>
      </c>
      <c r="K5791" s="12" t="s">
        <v>9079</v>
      </c>
    </row>
    <row r="5792" spans="1:12" x14ac:dyDescent="0.45">
      <c r="A5792" s="12" t="s">
        <v>9055</v>
      </c>
      <c r="B5792" s="12" t="s">
        <v>2576</v>
      </c>
      <c r="C5792" s="13" t="s">
        <v>2577</v>
      </c>
      <c r="D5792" s="13" t="s">
        <v>23</v>
      </c>
      <c r="E5792" s="12" t="s">
        <v>50</v>
      </c>
      <c r="F5792" s="14">
        <v>1700000</v>
      </c>
      <c r="G5792" s="14">
        <v>1831000</v>
      </c>
      <c r="H5792" s="13" t="s">
        <v>9080</v>
      </c>
      <c r="I5792" s="40" t="s">
        <v>18</v>
      </c>
      <c r="J5792" s="40" t="str">
        <f>HYPERLINK("https://stock.pstatic.net/stock-research/company/21/20260128_company_932149000.pdf","PDF")</f>
        <v>PDF</v>
      </c>
      <c r="K5792" s="12" t="s">
        <v>9081</v>
      </c>
      <c r="L5792" s="20">
        <v>-7.1545603495357726E-2</v>
      </c>
    </row>
    <row r="5793" spans="1:12" x14ac:dyDescent="0.45">
      <c r="A5793" s="12" t="s">
        <v>9055</v>
      </c>
      <c r="B5793" s="12" t="s">
        <v>541</v>
      </c>
      <c r="C5793" s="13" t="s">
        <v>542</v>
      </c>
      <c r="D5793" s="13" t="s">
        <v>83</v>
      </c>
      <c r="E5793" s="12" t="s">
        <v>642</v>
      </c>
      <c r="F5793" s="14">
        <v>67000</v>
      </c>
      <c r="G5793" s="14">
        <v>69400</v>
      </c>
      <c r="H5793" s="13" t="s">
        <v>9082</v>
      </c>
      <c r="I5793" s="40" t="s">
        <v>18</v>
      </c>
      <c r="J5793" s="40" t="str">
        <f>HYPERLINK("https://stock.pstatic.net/stock-research/company/15/20260128_company_866600000.pdf","PDF")</f>
        <v>PDF</v>
      </c>
      <c r="K5793" s="12" t="s">
        <v>9083</v>
      </c>
      <c r="L5793" s="20">
        <v>-3.4582132564841501E-2</v>
      </c>
    </row>
    <row r="5794" spans="1:12" x14ac:dyDescent="0.45">
      <c r="A5794" s="12" t="s">
        <v>9055</v>
      </c>
      <c r="B5794" s="12" t="s">
        <v>836</v>
      </c>
      <c r="C5794" s="13" t="s">
        <v>837</v>
      </c>
      <c r="D5794" s="13" t="s">
        <v>83</v>
      </c>
      <c r="E5794" s="12" t="s">
        <v>35</v>
      </c>
      <c r="F5794" s="14">
        <v>560000</v>
      </c>
      <c r="G5794" s="14">
        <v>473000</v>
      </c>
      <c r="H5794" s="13" t="s">
        <v>9084</v>
      </c>
      <c r="I5794" s="40" t="s">
        <v>18</v>
      </c>
      <c r="J5794" s="40" t="str">
        <f>HYPERLINK("https://stock.pstatic.net/stock-research/company/15/20260128_company_17801000.pdf","PDF")</f>
        <v>PDF</v>
      </c>
      <c r="K5794" s="12" t="s">
        <v>9085</v>
      </c>
      <c r="L5794" s="20">
        <v>0.1839323467230444</v>
      </c>
    </row>
    <row r="5795" spans="1:12" x14ac:dyDescent="0.45">
      <c r="A5795" s="12" t="s">
        <v>9055</v>
      </c>
      <c r="B5795" s="12" t="s">
        <v>7151</v>
      </c>
      <c r="C5795" s="13" t="s">
        <v>7152</v>
      </c>
      <c r="D5795" s="13" t="s">
        <v>83</v>
      </c>
      <c r="E5795" s="12" t="s">
        <v>50</v>
      </c>
      <c r="F5795" s="13"/>
      <c r="G5795" s="14">
        <v>55500</v>
      </c>
      <c r="H5795" s="13" t="s">
        <v>9086</v>
      </c>
      <c r="I5795" s="40" t="s">
        <v>18</v>
      </c>
      <c r="J5795" s="40" t="str">
        <f>HYPERLINK("https://stock.pstatic.net/stock-research/company/15/20260128_company_851718000.pdf","PDF")</f>
        <v>PDF</v>
      </c>
      <c r="K5795" s="12" t="s">
        <v>9087</v>
      </c>
    </row>
    <row r="5796" spans="1:12" x14ac:dyDescent="0.45">
      <c r="A5796" s="12" t="s">
        <v>9055</v>
      </c>
      <c r="B5796" s="12" t="s">
        <v>4021</v>
      </c>
      <c r="C5796" s="13" t="s">
        <v>4022</v>
      </c>
      <c r="D5796" s="13" t="s">
        <v>179</v>
      </c>
      <c r="E5796" s="12" t="s">
        <v>16</v>
      </c>
      <c r="F5796" s="14">
        <v>650000</v>
      </c>
      <c r="G5796" s="14">
        <v>537000</v>
      </c>
      <c r="H5796" s="13" t="s">
        <v>9088</v>
      </c>
      <c r="I5796" s="40" t="s">
        <v>18</v>
      </c>
      <c r="J5796" s="40" t="str">
        <f>HYPERLINK("https://stock.pstatic.net/stock-research/company/64/20260128_company_333956000.pdf","PDF")</f>
        <v>PDF</v>
      </c>
      <c r="K5796" s="12" t="s">
        <v>9089</v>
      </c>
      <c r="L5796" s="20">
        <v>0.21042830540037241</v>
      </c>
    </row>
    <row r="5797" spans="1:12" x14ac:dyDescent="0.45">
      <c r="A5797" s="12" t="s">
        <v>9055</v>
      </c>
      <c r="B5797" s="12" t="s">
        <v>128</v>
      </c>
      <c r="C5797" s="13" t="s">
        <v>129</v>
      </c>
      <c r="D5797" s="13" t="s">
        <v>23</v>
      </c>
      <c r="E5797" s="12" t="s">
        <v>16</v>
      </c>
      <c r="F5797" s="14">
        <v>52000</v>
      </c>
      <c r="G5797" s="14">
        <v>41800</v>
      </c>
      <c r="H5797" s="13" t="s">
        <v>9090</v>
      </c>
      <c r="I5797" s="40" t="s">
        <v>18</v>
      </c>
      <c r="J5797" s="40" t="str">
        <f>HYPERLINK("https://stock.pstatic.net/stock-research/company/21/20260128_company_894036000.pdf","PDF")</f>
        <v>PDF</v>
      </c>
      <c r="K5797" s="12" t="s">
        <v>9091</v>
      </c>
      <c r="L5797" s="20">
        <v>0.24401913875598091</v>
      </c>
    </row>
    <row r="5798" spans="1:12" x14ac:dyDescent="0.45">
      <c r="A5798" s="12" t="s">
        <v>9055</v>
      </c>
      <c r="B5798" s="12" t="s">
        <v>4021</v>
      </c>
      <c r="C5798" s="13" t="s">
        <v>4022</v>
      </c>
      <c r="D5798" s="13" t="s">
        <v>53</v>
      </c>
      <c r="E5798" s="12" t="s">
        <v>16</v>
      </c>
      <c r="F5798" s="14">
        <v>640000</v>
      </c>
      <c r="G5798" s="14">
        <v>537000</v>
      </c>
      <c r="H5798" s="13" t="s">
        <v>9092</v>
      </c>
      <c r="I5798" s="40" t="s">
        <v>18</v>
      </c>
      <c r="J5798" s="40" t="str">
        <f>HYPERLINK("https://stock.pstatic.net/stock-research/company/40/20260128_company_894985000.pdf","PDF")</f>
        <v>PDF</v>
      </c>
      <c r="K5798" s="12" t="s">
        <v>9093</v>
      </c>
      <c r="L5798" s="20">
        <v>0.1918063314711359</v>
      </c>
    </row>
    <row r="5799" spans="1:12" x14ac:dyDescent="0.45">
      <c r="A5799" s="12" t="s">
        <v>9055</v>
      </c>
      <c r="B5799" s="12" t="s">
        <v>792</v>
      </c>
      <c r="C5799" s="13" t="s">
        <v>793</v>
      </c>
      <c r="D5799" s="13" t="s">
        <v>92</v>
      </c>
      <c r="E5799" s="12" t="s">
        <v>159</v>
      </c>
      <c r="F5799" s="14">
        <v>35000</v>
      </c>
      <c r="G5799" s="14">
        <v>36300</v>
      </c>
      <c r="H5799" s="13" t="s">
        <v>9094</v>
      </c>
      <c r="I5799" s="40" t="s">
        <v>18</v>
      </c>
      <c r="J5799" s="40" t="str">
        <f>HYPERLINK("https://stock.pstatic.net/stock-research/company/63/20260128_company_53370000.pdf","PDF")</f>
        <v>PDF</v>
      </c>
      <c r="K5799" s="12" t="s">
        <v>9095</v>
      </c>
      <c r="L5799" s="20">
        <v>-3.5812672176308541E-2</v>
      </c>
    </row>
    <row r="5800" spans="1:12" x14ac:dyDescent="0.45">
      <c r="A5800" s="12" t="s">
        <v>9055</v>
      </c>
      <c r="B5800" s="12" t="s">
        <v>2546</v>
      </c>
      <c r="C5800" s="13" t="s">
        <v>2547</v>
      </c>
      <c r="D5800" s="13" t="s">
        <v>34</v>
      </c>
      <c r="E5800" s="12" t="s">
        <v>35</v>
      </c>
      <c r="F5800" s="14">
        <v>65000</v>
      </c>
      <c r="G5800" s="14">
        <v>52300</v>
      </c>
      <c r="H5800" s="13" t="s">
        <v>9096</v>
      </c>
      <c r="I5800" s="40" t="s">
        <v>18</v>
      </c>
      <c r="J5800" s="40" t="str">
        <f>HYPERLINK("https://stock.pstatic.net/stock-research/company/61/20260128_company_941429000.pdf","PDF")</f>
        <v>PDF</v>
      </c>
      <c r="K5800" s="12" t="s">
        <v>9097</v>
      </c>
      <c r="L5800" s="20">
        <v>0.24282982791586999</v>
      </c>
    </row>
    <row r="5801" spans="1:12" x14ac:dyDescent="0.45">
      <c r="A5801" s="12" t="s">
        <v>9055</v>
      </c>
      <c r="B5801" s="12" t="s">
        <v>912</v>
      </c>
      <c r="C5801" s="13" t="s">
        <v>913</v>
      </c>
      <c r="D5801" s="13" t="s">
        <v>92</v>
      </c>
      <c r="E5801" s="12" t="s">
        <v>50</v>
      </c>
      <c r="F5801" s="13"/>
      <c r="G5801" s="14">
        <v>72000</v>
      </c>
      <c r="H5801" s="13" t="s">
        <v>9098</v>
      </c>
      <c r="I5801" s="40" t="s">
        <v>18</v>
      </c>
      <c r="J5801" s="40" t="str">
        <f>HYPERLINK("https://stock.pstatic.net/stock-research/company/63/20260128_company_498087000.pdf","PDF")</f>
        <v>PDF</v>
      </c>
      <c r="K5801" s="12" t="s">
        <v>9099</v>
      </c>
    </row>
    <row r="5802" spans="1:12" x14ac:dyDescent="0.45">
      <c r="A5802" s="12" t="s">
        <v>9055</v>
      </c>
      <c r="B5802" s="12" t="s">
        <v>912</v>
      </c>
      <c r="C5802" s="13" t="s">
        <v>913</v>
      </c>
      <c r="D5802" s="13" t="s">
        <v>179</v>
      </c>
      <c r="E5802" s="12" t="s">
        <v>16</v>
      </c>
      <c r="F5802" s="14">
        <v>91000</v>
      </c>
      <c r="G5802" s="14">
        <v>72000</v>
      </c>
      <c r="H5802" s="13" t="s">
        <v>9100</v>
      </c>
      <c r="I5802" s="40" t="s">
        <v>18</v>
      </c>
      <c r="J5802" s="40" t="str">
        <f>HYPERLINK("https://stock.pstatic.net/stock-research/company/64/20260128_company_30513000.pdf","PDF")</f>
        <v>PDF</v>
      </c>
      <c r="K5802" s="12" t="s">
        <v>9101</v>
      </c>
      <c r="L5802" s="20">
        <v>0.2638888888888889</v>
      </c>
    </row>
    <row r="5803" spans="1:12" x14ac:dyDescent="0.45">
      <c r="A5803" s="12" t="s">
        <v>9055</v>
      </c>
      <c r="B5803" s="12" t="s">
        <v>4021</v>
      </c>
      <c r="C5803" s="13" t="s">
        <v>4022</v>
      </c>
      <c r="D5803" s="13" t="s">
        <v>44</v>
      </c>
      <c r="E5803" s="12" t="s">
        <v>35</v>
      </c>
      <c r="F5803" s="14">
        <v>690000</v>
      </c>
      <c r="G5803" s="14">
        <v>537000</v>
      </c>
      <c r="H5803" s="13" t="s">
        <v>9102</v>
      </c>
      <c r="I5803" s="40" t="s">
        <v>18</v>
      </c>
      <c r="J5803" s="40" t="str">
        <f>HYPERLINK("https://stock.pstatic.net/stock-research/company/39/20260128_company_513103000.pdf","PDF")</f>
        <v>PDF</v>
      </c>
      <c r="K5803" s="12" t="s">
        <v>9103</v>
      </c>
      <c r="L5803" s="20">
        <v>0.28491620111731841</v>
      </c>
    </row>
    <row r="5804" spans="1:12" x14ac:dyDescent="0.45">
      <c r="A5804" s="12" t="s">
        <v>9055</v>
      </c>
      <c r="B5804" s="12" t="s">
        <v>912</v>
      </c>
      <c r="C5804" s="13" t="s">
        <v>913</v>
      </c>
      <c r="D5804" s="13" t="s">
        <v>23</v>
      </c>
      <c r="E5804" s="12" t="s">
        <v>16</v>
      </c>
      <c r="F5804" s="14">
        <v>91000</v>
      </c>
      <c r="G5804" s="14">
        <v>72000</v>
      </c>
      <c r="H5804" s="13" t="s">
        <v>9104</v>
      </c>
      <c r="I5804" s="40" t="s">
        <v>18</v>
      </c>
      <c r="J5804" s="40" t="str">
        <f>HYPERLINK("https://stock.pstatic.net/stock-research/company/21/20260128_company_784699000.pdf","PDF")</f>
        <v>PDF</v>
      </c>
      <c r="K5804" s="12" t="s">
        <v>9105</v>
      </c>
      <c r="L5804" s="20">
        <v>0.2638888888888889</v>
      </c>
    </row>
    <row r="5805" spans="1:12" x14ac:dyDescent="0.45">
      <c r="A5805" s="12" t="s">
        <v>9055</v>
      </c>
      <c r="B5805" s="12" t="s">
        <v>4021</v>
      </c>
      <c r="C5805" s="13" t="s">
        <v>4022</v>
      </c>
      <c r="D5805" s="13" t="s">
        <v>23</v>
      </c>
      <c r="E5805" s="12" t="s">
        <v>16</v>
      </c>
      <c r="F5805" s="14">
        <v>645000</v>
      </c>
      <c r="G5805" s="14">
        <v>537000</v>
      </c>
      <c r="H5805" s="13" t="s">
        <v>9106</v>
      </c>
      <c r="I5805" s="40" t="s">
        <v>18</v>
      </c>
      <c r="J5805" s="40" t="str">
        <f>HYPERLINK("https://stock.pstatic.net/stock-research/company/21/20260128_company_891200000.pdf","PDF")</f>
        <v>PDF</v>
      </c>
      <c r="K5805" s="12" t="s">
        <v>9107</v>
      </c>
      <c r="L5805" s="20">
        <v>0.2011173184357542</v>
      </c>
    </row>
    <row r="5806" spans="1:12" x14ac:dyDescent="0.45">
      <c r="A5806" s="12" t="s">
        <v>9055</v>
      </c>
      <c r="B5806" s="12" t="s">
        <v>334</v>
      </c>
      <c r="C5806" s="13" t="s">
        <v>335</v>
      </c>
      <c r="D5806" s="13" t="s">
        <v>179</v>
      </c>
      <c r="E5806" s="12" t="s">
        <v>16</v>
      </c>
      <c r="F5806" s="14">
        <v>1500000</v>
      </c>
      <c r="G5806" s="14">
        <v>800000</v>
      </c>
      <c r="H5806" s="13" t="s">
        <v>9108</v>
      </c>
      <c r="I5806" s="40" t="s">
        <v>18</v>
      </c>
      <c r="J5806" s="40" t="str">
        <f>HYPERLINK("https://stock.pstatic.net/stock-research/company/64/20260128_company_75103000.pdf","PDF")</f>
        <v>PDF</v>
      </c>
      <c r="K5806" s="12" t="s">
        <v>9109</v>
      </c>
      <c r="L5806" s="20">
        <v>0.875</v>
      </c>
    </row>
    <row r="5807" spans="1:12" x14ac:dyDescent="0.45">
      <c r="A5807" s="12" t="s">
        <v>9055</v>
      </c>
      <c r="B5807" s="12" t="s">
        <v>13</v>
      </c>
      <c r="C5807" s="13" t="s">
        <v>14</v>
      </c>
      <c r="D5807" s="13" t="s">
        <v>179</v>
      </c>
      <c r="E5807" s="12" t="s">
        <v>16</v>
      </c>
      <c r="F5807" s="14">
        <v>260000</v>
      </c>
      <c r="G5807" s="14">
        <v>159500</v>
      </c>
      <c r="H5807" s="13" t="s">
        <v>9108</v>
      </c>
      <c r="I5807" s="40" t="s">
        <v>18</v>
      </c>
      <c r="J5807" s="40" t="str">
        <f>HYPERLINK("https://stock.pstatic.net/stock-research/company/64/20260128_company_346369000.pdf","PDF")</f>
        <v>PDF</v>
      </c>
      <c r="K5807" s="12" t="s">
        <v>9110</v>
      </c>
      <c r="L5807" s="20">
        <v>0.63009404388714729</v>
      </c>
    </row>
    <row r="5808" spans="1:12" x14ac:dyDescent="0.45">
      <c r="A5808" s="12" t="s">
        <v>9055</v>
      </c>
      <c r="B5808" s="12" t="s">
        <v>720</v>
      </c>
      <c r="C5808" s="13" t="s">
        <v>721</v>
      </c>
      <c r="D5808" s="13" t="s">
        <v>44</v>
      </c>
      <c r="E5808" s="12" t="s">
        <v>35</v>
      </c>
      <c r="F5808" s="14">
        <v>15000</v>
      </c>
      <c r="G5808" s="14">
        <v>11670</v>
      </c>
      <c r="H5808" s="13" t="s">
        <v>9111</v>
      </c>
      <c r="I5808" s="40" t="s">
        <v>18</v>
      </c>
      <c r="J5808" s="40" t="str">
        <f>HYPERLINK("https://stock.pstatic.net/stock-research/company/39/20260128_company_788212000.pdf","PDF")</f>
        <v>PDF</v>
      </c>
      <c r="K5808" s="12" t="s">
        <v>9112</v>
      </c>
      <c r="L5808" s="20">
        <v>0.28534704370179947</v>
      </c>
    </row>
    <row r="5809" spans="1:12" x14ac:dyDescent="0.45">
      <c r="A5809" s="12" t="s">
        <v>9113</v>
      </c>
      <c r="B5809" s="12" t="s">
        <v>156</v>
      </c>
      <c r="C5809" s="13" t="s">
        <v>157</v>
      </c>
      <c r="D5809" s="13" t="s">
        <v>57</v>
      </c>
      <c r="E5809" s="12" t="s">
        <v>35</v>
      </c>
      <c r="F5809" s="14">
        <v>4800</v>
      </c>
      <c r="G5809" s="14">
        <v>3305</v>
      </c>
      <c r="H5809" s="13" t="s">
        <v>9114</v>
      </c>
      <c r="I5809" s="40" t="s">
        <v>18</v>
      </c>
      <c r="J5809" s="40" t="str">
        <f>HYPERLINK("https://stock.pstatic.net/stock-research/company/16/20260127_company_929202000.pdf","PDF")</f>
        <v>PDF</v>
      </c>
      <c r="K5809" s="12" t="s">
        <v>9115</v>
      </c>
      <c r="L5809" s="20">
        <v>0.45234493192133129</v>
      </c>
    </row>
    <row r="5810" spans="1:12" x14ac:dyDescent="0.45">
      <c r="A5810" s="12" t="s">
        <v>9113</v>
      </c>
      <c r="B5810" s="12" t="s">
        <v>1051</v>
      </c>
      <c r="C5810" s="13" t="s">
        <v>1052</v>
      </c>
      <c r="D5810" s="13" t="s">
        <v>57</v>
      </c>
      <c r="E5810" s="12" t="s">
        <v>35</v>
      </c>
      <c r="F5810" s="14">
        <v>79000</v>
      </c>
      <c r="G5810" s="14">
        <v>65800</v>
      </c>
      <c r="H5810" s="13" t="s">
        <v>9116</v>
      </c>
      <c r="I5810" s="40" t="s">
        <v>18</v>
      </c>
      <c r="J5810" s="40" t="str">
        <f>HYPERLINK("https://stock.pstatic.net/stock-research/company/16/20260127_company_500603000.pdf","PDF")</f>
        <v>PDF</v>
      </c>
      <c r="K5810" s="12" t="s">
        <v>9117</v>
      </c>
      <c r="L5810" s="20">
        <v>0.20060790273556231</v>
      </c>
    </row>
    <row r="5811" spans="1:12" x14ac:dyDescent="0.45">
      <c r="A5811" s="12" t="s">
        <v>9113</v>
      </c>
      <c r="B5811" s="12" t="s">
        <v>3154</v>
      </c>
      <c r="C5811" s="13" t="s">
        <v>3155</v>
      </c>
      <c r="D5811" s="13" t="s">
        <v>57</v>
      </c>
      <c r="E5811" s="12" t="s">
        <v>35</v>
      </c>
      <c r="F5811" s="14">
        <v>8200</v>
      </c>
      <c r="G5811" s="14">
        <v>6030</v>
      </c>
      <c r="H5811" s="13" t="s">
        <v>9118</v>
      </c>
      <c r="I5811" s="40" t="s">
        <v>18</v>
      </c>
      <c r="J5811" s="40" t="str">
        <f>HYPERLINK("https://stock.pstatic.net/stock-research/company/16/20260127_company_41869000.pdf","PDF")</f>
        <v>PDF</v>
      </c>
      <c r="K5811" s="12" t="s">
        <v>9119</v>
      </c>
      <c r="L5811" s="20">
        <v>0.35986733001658378</v>
      </c>
    </row>
    <row r="5812" spans="1:12" x14ac:dyDescent="0.45">
      <c r="A5812" s="12" t="s">
        <v>9113</v>
      </c>
      <c r="B5812" s="12" t="s">
        <v>824</v>
      </c>
      <c r="C5812" s="13" t="s">
        <v>825</v>
      </c>
      <c r="D5812" s="13" t="s">
        <v>57</v>
      </c>
      <c r="E5812" s="12" t="s">
        <v>35</v>
      </c>
      <c r="F5812" s="14">
        <v>68000</v>
      </c>
      <c r="G5812" s="14">
        <v>44450</v>
      </c>
      <c r="H5812" s="13" t="s">
        <v>9120</v>
      </c>
      <c r="I5812" s="40" t="s">
        <v>18</v>
      </c>
      <c r="J5812" s="40" t="str">
        <f>HYPERLINK("https://stock.pstatic.net/stock-research/company/16/20260127_company_189123000.pdf","PDF")</f>
        <v>PDF</v>
      </c>
      <c r="K5812" s="12" t="s">
        <v>9121</v>
      </c>
      <c r="L5812" s="20">
        <v>0.52980877390326209</v>
      </c>
    </row>
    <row r="5813" spans="1:12" x14ac:dyDescent="0.45">
      <c r="A5813" s="12" t="s">
        <v>9113</v>
      </c>
      <c r="B5813" s="12" t="s">
        <v>2089</v>
      </c>
      <c r="C5813" s="13" t="s">
        <v>2090</v>
      </c>
      <c r="D5813" s="13" t="s">
        <v>57</v>
      </c>
      <c r="E5813" s="12" t="s">
        <v>35</v>
      </c>
      <c r="F5813" s="14">
        <v>130000</v>
      </c>
      <c r="G5813" s="14">
        <v>98300</v>
      </c>
      <c r="H5813" s="13" t="s">
        <v>9122</v>
      </c>
      <c r="I5813" s="40" t="s">
        <v>18</v>
      </c>
      <c r="J5813" s="40" t="str">
        <f>HYPERLINK("https://stock.pstatic.net/stock-research/company/16/20260127_company_444120000.pdf","PDF")</f>
        <v>PDF</v>
      </c>
      <c r="K5813" s="12" t="s">
        <v>9123</v>
      </c>
      <c r="L5813" s="20">
        <v>0.32248219735503558</v>
      </c>
    </row>
    <row r="5814" spans="1:12" x14ac:dyDescent="0.45">
      <c r="A5814" s="12" t="s">
        <v>9113</v>
      </c>
      <c r="B5814" s="12" t="s">
        <v>3079</v>
      </c>
      <c r="C5814" s="13" t="s">
        <v>3080</v>
      </c>
      <c r="D5814" s="13" t="s">
        <v>57</v>
      </c>
      <c r="E5814" s="12" t="s">
        <v>35</v>
      </c>
      <c r="F5814" s="14">
        <v>89000</v>
      </c>
      <c r="G5814" s="14">
        <v>75000</v>
      </c>
      <c r="H5814" s="13" t="s">
        <v>9124</v>
      </c>
      <c r="I5814" s="40" t="s">
        <v>18</v>
      </c>
      <c r="J5814" s="40" t="str">
        <f>HYPERLINK("https://stock.pstatic.net/stock-research/company/16/20260127_company_496996000.pdf","PDF")</f>
        <v>PDF</v>
      </c>
      <c r="K5814" s="12" t="s">
        <v>9125</v>
      </c>
      <c r="L5814" s="20">
        <v>0.1866666666666667</v>
      </c>
    </row>
    <row r="5815" spans="1:12" x14ac:dyDescent="0.45">
      <c r="A5815" s="12" t="s">
        <v>9113</v>
      </c>
      <c r="B5815" s="12" t="s">
        <v>1042</v>
      </c>
      <c r="C5815" s="13" t="s">
        <v>1043</v>
      </c>
      <c r="D5815" s="13" t="s">
        <v>276</v>
      </c>
      <c r="E5815" s="12" t="s">
        <v>16</v>
      </c>
      <c r="F5815" s="14">
        <v>40000</v>
      </c>
      <c r="G5815" s="14">
        <v>26850</v>
      </c>
      <c r="H5815" s="13" t="s">
        <v>9126</v>
      </c>
      <c r="I5815" s="40" t="s">
        <v>18</v>
      </c>
      <c r="J5815" s="40" t="str">
        <f>HYPERLINK("https://stock.pstatic.net/stock-research/company/66/20260127_company_710832000.pdf","PDF")</f>
        <v>PDF</v>
      </c>
      <c r="K5815" s="12" t="s">
        <v>9127</v>
      </c>
      <c r="L5815" s="20">
        <v>0.48975791433891991</v>
      </c>
    </row>
    <row r="5816" spans="1:12" x14ac:dyDescent="0.45">
      <c r="A5816" s="12" t="s">
        <v>9113</v>
      </c>
      <c r="B5816" s="12" t="s">
        <v>1198</v>
      </c>
      <c r="C5816" s="13" t="s">
        <v>1199</v>
      </c>
      <c r="D5816" s="13" t="s">
        <v>276</v>
      </c>
      <c r="E5816" s="12" t="s">
        <v>16</v>
      </c>
      <c r="F5816" s="14">
        <v>23000</v>
      </c>
      <c r="G5816" s="14">
        <v>16480</v>
      </c>
      <c r="H5816" s="13" t="s">
        <v>9128</v>
      </c>
      <c r="I5816" s="40" t="s">
        <v>18</v>
      </c>
      <c r="J5816" s="40" t="str">
        <f>HYPERLINK("https://stock.pstatic.net/stock-research/company/66/20260127_company_595667000.pdf","PDF")</f>
        <v>PDF</v>
      </c>
      <c r="K5816" s="12" t="s">
        <v>9129</v>
      </c>
      <c r="L5816" s="20">
        <v>0.39563106796116498</v>
      </c>
    </row>
    <row r="5817" spans="1:12" x14ac:dyDescent="0.45">
      <c r="A5817" s="12" t="s">
        <v>9113</v>
      </c>
      <c r="B5817" s="12" t="s">
        <v>2414</v>
      </c>
      <c r="C5817" s="13" t="s">
        <v>2415</v>
      </c>
      <c r="D5817" s="13" t="s">
        <v>276</v>
      </c>
      <c r="E5817" s="12" t="s">
        <v>16</v>
      </c>
      <c r="F5817" s="14">
        <v>1680000</v>
      </c>
      <c r="G5817" s="14">
        <v>890000</v>
      </c>
      <c r="H5817" s="13" t="s">
        <v>9130</v>
      </c>
      <c r="I5817" s="40" t="s">
        <v>18</v>
      </c>
      <c r="J5817" s="40" t="str">
        <f>HYPERLINK("https://stock.pstatic.net/stock-research/company/66/20260127_company_844729000.pdf","PDF")</f>
        <v>PDF</v>
      </c>
      <c r="K5817" s="12" t="s">
        <v>9131</v>
      </c>
      <c r="L5817" s="20">
        <v>0.88764044943820219</v>
      </c>
    </row>
    <row r="5818" spans="1:12" x14ac:dyDescent="0.45">
      <c r="A5818" s="12" t="s">
        <v>9113</v>
      </c>
      <c r="B5818" s="12" t="s">
        <v>1648</v>
      </c>
      <c r="C5818" s="13" t="s">
        <v>1649</v>
      </c>
      <c r="D5818" s="13" t="s">
        <v>60</v>
      </c>
      <c r="E5818" s="12" t="s">
        <v>35</v>
      </c>
      <c r="F5818" s="14">
        <v>154000</v>
      </c>
      <c r="G5818" s="14">
        <v>117000</v>
      </c>
      <c r="H5818" s="13" t="s">
        <v>9132</v>
      </c>
      <c r="I5818" s="40" t="s">
        <v>18</v>
      </c>
      <c r="J5818" s="40" t="str">
        <f>HYPERLINK("https://stock.pstatic.net/stock-research/company/62/20260127_company_707457000.pdf","PDF")</f>
        <v>PDF</v>
      </c>
      <c r="K5818" s="12" t="s">
        <v>9133</v>
      </c>
      <c r="L5818" s="20">
        <v>0.31623931623931623</v>
      </c>
    </row>
    <row r="5819" spans="1:12" x14ac:dyDescent="0.45">
      <c r="A5819" s="12" t="s">
        <v>9113</v>
      </c>
      <c r="B5819" s="12" t="s">
        <v>888</v>
      </c>
      <c r="C5819" s="13" t="s">
        <v>889</v>
      </c>
      <c r="D5819" s="13" t="s">
        <v>60</v>
      </c>
      <c r="E5819" s="12" t="s">
        <v>35</v>
      </c>
      <c r="F5819" s="14">
        <v>70000</v>
      </c>
      <c r="G5819" s="14">
        <v>52500</v>
      </c>
      <c r="H5819" s="13" t="s">
        <v>9134</v>
      </c>
      <c r="I5819" s="40" t="s">
        <v>18</v>
      </c>
      <c r="J5819" s="40" t="str">
        <f>HYPERLINK("https://stock.pstatic.net/stock-research/company/62/20260127_company_437049000.pdf","PDF")</f>
        <v>PDF</v>
      </c>
      <c r="K5819" s="12" t="s">
        <v>9135</v>
      </c>
      <c r="L5819" s="20">
        <v>0.33333333333333331</v>
      </c>
    </row>
    <row r="5820" spans="1:12" x14ac:dyDescent="0.45">
      <c r="A5820" s="12" t="s">
        <v>9113</v>
      </c>
      <c r="B5820" s="12" t="s">
        <v>511</v>
      </c>
      <c r="C5820" s="13" t="s">
        <v>512</v>
      </c>
      <c r="D5820" s="13" t="s">
        <v>65</v>
      </c>
      <c r="E5820" s="12" t="s">
        <v>35</v>
      </c>
      <c r="F5820" s="14">
        <v>90000</v>
      </c>
      <c r="G5820" s="14">
        <v>78900</v>
      </c>
      <c r="H5820" s="13" t="s">
        <v>9136</v>
      </c>
      <c r="I5820" s="40" t="s">
        <v>18</v>
      </c>
      <c r="J5820" s="40" t="str">
        <f>HYPERLINK("https://stock.pstatic.net/stock-research/company/57/20260127_company_66055000.pdf","PDF")</f>
        <v>PDF</v>
      </c>
      <c r="K5820" s="12" t="s">
        <v>9137</v>
      </c>
      <c r="L5820" s="20">
        <v>0.14068441064638779</v>
      </c>
    </row>
    <row r="5821" spans="1:12" x14ac:dyDescent="0.45">
      <c r="A5821" s="12" t="s">
        <v>9113</v>
      </c>
      <c r="B5821" s="12" t="s">
        <v>76</v>
      </c>
      <c r="C5821" s="13" t="s">
        <v>77</v>
      </c>
      <c r="D5821" s="13" t="s">
        <v>65</v>
      </c>
      <c r="E5821" s="12" t="s">
        <v>1738</v>
      </c>
      <c r="F5821" s="14">
        <v>21000</v>
      </c>
      <c r="G5821" s="14">
        <v>20100</v>
      </c>
      <c r="H5821" s="13" t="s">
        <v>9138</v>
      </c>
      <c r="I5821" s="40" t="s">
        <v>18</v>
      </c>
      <c r="J5821" s="40" t="str">
        <f>HYPERLINK("https://stock.pstatic.net/stock-research/company/57/20260127_company_824513000.pdf","PDF")</f>
        <v>PDF</v>
      </c>
      <c r="K5821" s="12" t="s">
        <v>9139</v>
      </c>
      <c r="L5821" s="20">
        <v>4.4776119402985072E-2</v>
      </c>
    </row>
    <row r="5822" spans="1:12" x14ac:dyDescent="0.45">
      <c r="A5822" s="12" t="s">
        <v>9113</v>
      </c>
      <c r="B5822" s="12" t="s">
        <v>537</v>
      </c>
      <c r="C5822" s="13" t="s">
        <v>538</v>
      </c>
      <c r="D5822" s="13" t="s">
        <v>65</v>
      </c>
      <c r="E5822" s="12" t="s">
        <v>35</v>
      </c>
      <c r="F5822" s="14">
        <v>20000</v>
      </c>
      <c r="G5822" s="14">
        <v>15190</v>
      </c>
      <c r="H5822" s="13" t="s">
        <v>9140</v>
      </c>
      <c r="I5822" s="40" t="s">
        <v>18</v>
      </c>
      <c r="J5822" s="40" t="str">
        <f>HYPERLINK("https://stock.pstatic.net/stock-research/company/57/20260127_company_912822000.pdf","PDF")</f>
        <v>PDF</v>
      </c>
      <c r="K5822" s="12" t="s">
        <v>9141</v>
      </c>
      <c r="L5822" s="20">
        <v>0.31665569453587888</v>
      </c>
    </row>
    <row r="5823" spans="1:12" x14ac:dyDescent="0.45">
      <c r="A5823" s="12" t="s">
        <v>9113</v>
      </c>
      <c r="B5823" s="12" t="s">
        <v>533</v>
      </c>
      <c r="C5823" s="13" t="s">
        <v>534</v>
      </c>
      <c r="D5823" s="13" t="s">
        <v>65</v>
      </c>
      <c r="E5823" s="12" t="s">
        <v>35</v>
      </c>
      <c r="F5823" s="14">
        <v>76000</v>
      </c>
      <c r="G5823" s="14">
        <v>54400</v>
      </c>
      <c r="H5823" s="13" t="s">
        <v>9142</v>
      </c>
      <c r="I5823" s="40" t="s">
        <v>18</v>
      </c>
      <c r="J5823" s="40" t="str">
        <f>HYPERLINK("https://stock.pstatic.net/stock-research/company/57/20260127_company_3347000.pdf","PDF")</f>
        <v>PDF</v>
      </c>
      <c r="K5823" s="12" t="s">
        <v>9143</v>
      </c>
      <c r="L5823" s="20">
        <v>0.39705882352941169</v>
      </c>
    </row>
    <row r="5824" spans="1:12" x14ac:dyDescent="0.45">
      <c r="A5824" s="12" t="s">
        <v>9113</v>
      </c>
      <c r="B5824" s="12" t="s">
        <v>541</v>
      </c>
      <c r="C5824" s="13" t="s">
        <v>542</v>
      </c>
      <c r="D5824" s="13" t="s">
        <v>65</v>
      </c>
      <c r="E5824" s="12" t="s">
        <v>35</v>
      </c>
      <c r="F5824" s="14">
        <v>80000</v>
      </c>
      <c r="G5824" s="14">
        <v>61800</v>
      </c>
      <c r="H5824" s="13" t="s">
        <v>9144</v>
      </c>
      <c r="I5824" s="40" t="s">
        <v>18</v>
      </c>
      <c r="J5824" s="40" t="str">
        <f>HYPERLINK("https://stock.pstatic.net/stock-research/company/57/20260127_company_386425000.pdf","PDF")</f>
        <v>PDF</v>
      </c>
      <c r="K5824" s="12" t="s">
        <v>9145</v>
      </c>
      <c r="L5824" s="20">
        <v>0.29449838187702271</v>
      </c>
    </row>
    <row r="5825" spans="1:12" x14ac:dyDescent="0.45">
      <c r="A5825" s="12" t="s">
        <v>9113</v>
      </c>
      <c r="B5825" s="12" t="s">
        <v>2089</v>
      </c>
      <c r="C5825" s="13" t="s">
        <v>2090</v>
      </c>
      <c r="D5825" s="13" t="s">
        <v>65</v>
      </c>
      <c r="E5825" s="12" t="s">
        <v>35</v>
      </c>
      <c r="F5825" s="14">
        <v>130000</v>
      </c>
      <c r="G5825" s="14">
        <v>98300</v>
      </c>
      <c r="H5825" s="13" t="s">
        <v>9146</v>
      </c>
      <c r="I5825" s="40" t="s">
        <v>18</v>
      </c>
      <c r="J5825" s="40" t="str">
        <f>HYPERLINK("https://stock.pstatic.net/stock-research/company/57/20260127_company_645267000.pdf","PDF")</f>
        <v>PDF</v>
      </c>
      <c r="K5825" s="12" t="s">
        <v>9147</v>
      </c>
      <c r="L5825" s="20">
        <v>0.32248219735503558</v>
      </c>
    </row>
    <row r="5826" spans="1:12" x14ac:dyDescent="0.45">
      <c r="A5826" s="12" t="s">
        <v>9113</v>
      </c>
      <c r="B5826" s="12" t="s">
        <v>3369</v>
      </c>
      <c r="C5826" s="13" t="s">
        <v>3370</v>
      </c>
      <c r="D5826" s="13" t="s">
        <v>65</v>
      </c>
      <c r="E5826" s="12" t="s">
        <v>35</v>
      </c>
      <c r="F5826" s="14">
        <v>32500</v>
      </c>
      <c r="G5826" s="14">
        <v>23500</v>
      </c>
      <c r="H5826" s="13" t="s">
        <v>9148</v>
      </c>
      <c r="I5826" s="40" t="s">
        <v>18</v>
      </c>
      <c r="J5826" s="40" t="str">
        <f>HYPERLINK("https://stock.pstatic.net/stock-research/company/57/20260127_company_319330000.pdf","PDF")</f>
        <v>PDF</v>
      </c>
      <c r="K5826" s="12" t="s">
        <v>9149</v>
      </c>
      <c r="L5826" s="20">
        <v>0.38297872340425532</v>
      </c>
    </row>
    <row r="5827" spans="1:12" x14ac:dyDescent="0.45">
      <c r="A5827" s="12" t="s">
        <v>9113</v>
      </c>
      <c r="B5827" s="12" t="s">
        <v>740</v>
      </c>
      <c r="C5827" s="13" t="s">
        <v>741</v>
      </c>
      <c r="D5827" s="13" t="s">
        <v>65</v>
      </c>
      <c r="E5827" s="12" t="s">
        <v>35</v>
      </c>
      <c r="F5827" s="14">
        <v>340000</v>
      </c>
      <c r="G5827" s="14">
        <v>276000</v>
      </c>
      <c r="H5827" s="13" t="s">
        <v>9150</v>
      </c>
      <c r="I5827" s="40" t="s">
        <v>18</v>
      </c>
      <c r="J5827" s="40" t="str">
        <f>HYPERLINK("https://stock.pstatic.net/stock-research/company/57/20260127_company_834926000.pdf","PDF")</f>
        <v>PDF</v>
      </c>
      <c r="K5827" s="12" t="s">
        <v>9151</v>
      </c>
      <c r="L5827" s="20">
        <v>0.2318840579710145</v>
      </c>
    </row>
    <row r="5828" spans="1:12" x14ac:dyDescent="0.45">
      <c r="A5828" s="12" t="s">
        <v>9113</v>
      </c>
      <c r="B5828" s="12" t="s">
        <v>322</v>
      </c>
      <c r="C5828" s="13" t="s">
        <v>323</v>
      </c>
      <c r="D5828" s="13" t="s">
        <v>158</v>
      </c>
      <c r="E5828" s="12" t="s">
        <v>50</v>
      </c>
      <c r="F5828" s="13"/>
      <c r="G5828" s="14">
        <v>64900</v>
      </c>
      <c r="H5828" s="13" t="s">
        <v>9152</v>
      </c>
      <c r="I5828" s="40" t="s">
        <v>18</v>
      </c>
      <c r="J5828" s="40" t="str">
        <f>HYPERLINK("https://m.stock.naver.com/research/company/89501","PDF")</f>
        <v>PDF</v>
      </c>
      <c r="K5828" s="12" t="s">
        <v>9153</v>
      </c>
    </row>
    <row r="5829" spans="1:12" x14ac:dyDescent="0.45">
      <c r="A5829" s="12" t="s">
        <v>9113</v>
      </c>
      <c r="B5829" s="12" t="s">
        <v>326</v>
      </c>
      <c r="C5829" s="13" t="s">
        <v>327</v>
      </c>
      <c r="D5829" s="13" t="s">
        <v>158</v>
      </c>
      <c r="E5829" s="12" t="s">
        <v>50</v>
      </c>
      <c r="F5829" s="13"/>
      <c r="G5829" s="14">
        <v>28200</v>
      </c>
      <c r="H5829" s="13" t="s">
        <v>9154</v>
      </c>
      <c r="I5829" s="40" t="s">
        <v>18</v>
      </c>
      <c r="J5829" s="40" t="str">
        <f>HYPERLINK("https://stock.pstatic.net/stock-research/company/18/20260127_company_399669000.pdf","PDF")</f>
        <v>PDF</v>
      </c>
      <c r="K5829" s="12" t="s">
        <v>9155</v>
      </c>
    </row>
    <row r="5830" spans="1:12" x14ac:dyDescent="0.45">
      <c r="A5830" s="12" t="s">
        <v>9113</v>
      </c>
      <c r="B5830" s="12" t="s">
        <v>174</v>
      </c>
      <c r="C5830" s="13" t="s">
        <v>44</v>
      </c>
      <c r="D5830" s="13" t="s">
        <v>158</v>
      </c>
      <c r="E5830" s="12" t="s">
        <v>35</v>
      </c>
      <c r="F5830" s="14">
        <v>450000</v>
      </c>
      <c r="G5830" s="14">
        <v>358500</v>
      </c>
      <c r="H5830" s="13" t="s">
        <v>9156</v>
      </c>
      <c r="I5830" s="40" t="s">
        <v>18</v>
      </c>
      <c r="J5830" s="40" t="str">
        <f>HYPERLINK("https://m.stock.naver.com/research/company/89499","PDF")</f>
        <v>PDF</v>
      </c>
      <c r="K5830" s="12" t="s">
        <v>9157</v>
      </c>
      <c r="L5830" s="20">
        <v>0.25523012552301261</v>
      </c>
    </row>
    <row r="5831" spans="1:12" x14ac:dyDescent="0.45">
      <c r="A5831" s="12" t="s">
        <v>9113</v>
      </c>
      <c r="B5831" s="12" t="s">
        <v>3373</v>
      </c>
      <c r="C5831" s="13" t="s">
        <v>3374</v>
      </c>
      <c r="D5831" s="13" t="s">
        <v>158</v>
      </c>
      <c r="E5831" s="12" t="s">
        <v>35</v>
      </c>
      <c r="F5831" s="14">
        <v>168000</v>
      </c>
      <c r="G5831" s="14">
        <v>135500</v>
      </c>
      <c r="H5831" s="13" t="s">
        <v>9158</v>
      </c>
      <c r="I5831" s="40" t="s">
        <v>18</v>
      </c>
      <c r="J5831" s="40" t="str">
        <f>HYPERLINK("https://stock.pstatic.net/stock-research/company/18/20260127_company_337855000.pdf","PDF")</f>
        <v>PDF</v>
      </c>
      <c r="K5831" s="12" t="s">
        <v>9159</v>
      </c>
      <c r="L5831" s="20">
        <v>0.23985239852398521</v>
      </c>
    </row>
    <row r="5832" spans="1:12" x14ac:dyDescent="0.45">
      <c r="A5832" s="12" t="s">
        <v>9113</v>
      </c>
      <c r="B5832" s="12" t="s">
        <v>740</v>
      </c>
      <c r="C5832" s="13" t="s">
        <v>741</v>
      </c>
      <c r="D5832" s="13" t="s">
        <v>158</v>
      </c>
      <c r="E5832" s="12" t="s">
        <v>35</v>
      </c>
      <c r="F5832" s="14">
        <v>330000</v>
      </c>
      <c r="G5832" s="14">
        <v>276000</v>
      </c>
      <c r="H5832" s="13" t="s">
        <v>9160</v>
      </c>
      <c r="I5832" s="40" t="s">
        <v>18</v>
      </c>
      <c r="J5832" s="40" t="str">
        <f>HYPERLINK("https://stock.pstatic.net/stock-research/company/18/20260127_company_955369000.pdf","PDF")</f>
        <v>PDF</v>
      </c>
      <c r="K5832" s="12" t="s">
        <v>9161</v>
      </c>
      <c r="L5832" s="20">
        <v>0.19565217391304349</v>
      </c>
    </row>
    <row r="5833" spans="1:12" x14ac:dyDescent="0.45">
      <c r="A5833" s="12" t="s">
        <v>9113</v>
      </c>
      <c r="B5833" s="12" t="s">
        <v>9162</v>
      </c>
      <c r="C5833" s="13" t="s">
        <v>9163</v>
      </c>
      <c r="D5833" s="13" t="s">
        <v>124</v>
      </c>
      <c r="E5833" s="12" t="s">
        <v>50</v>
      </c>
      <c r="F5833" s="13"/>
      <c r="G5833" s="13"/>
      <c r="H5833" s="13" t="s">
        <v>9164</v>
      </c>
      <c r="I5833" s="40" t="s">
        <v>18</v>
      </c>
      <c r="J5833" s="40" t="str">
        <f>HYPERLINK("https://stock.pstatic.net/stock-research/company/74/20260127_company_359873000.pdf","PDF")</f>
        <v>PDF</v>
      </c>
      <c r="K5833" s="12" t="s">
        <v>9165</v>
      </c>
    </row>
    <row r="5834" spans="1:12" x14ac:dyDescent="0.45">
      <c r="A5834" s="12" t="s">
        <v>9113</v>
      </c>
      <c r="B5834" s="12" t="s">
        <v>740</v>
      </c>
      <c r="C5834" s="13" t="s">
        <v>741</v>
      </c>
      <c r="D5834" s="13" t="s">
        <v>92</v>
      </c>
      <c r="E5834" s="12" t="s">
        <v>35</v>
      </c>
      <c r="F5834" s="14">
        <v>327000</v>
      </c>
      <c r="G5834" s="14">
        <v>276000</v>
      </c>
      <c r="H5834" s="13" t="s">
        <v>9166</v>
      </c>
      <c r="I5834" s="40" t="s">
        <v>18</v>
      </c>
      <c r="J5834" s="40" t="str">
        <f>HYPERLINK("https://stock.pstatic.net/stock-research/company/63/20260127_company_340867000.pdf","PDF")</f>
        <v>PDF</v>
      </c>
      <c r="K5834" s="12" t="s">
        <v>9167</v>
      </c>
      <c r="L5834" s="20">
        <v>0.18478260869565219</v>
      </c>
    </row>
    <row r="5835" spans="1:12" x14ac:dyDescent="0.45">
      <c r="A5835" s="12" t="s">
        <v>9113</v>
      </c>
      <c r="B5835" s="12" t="s">
        <v>489</v>
      </c>
      <c r="C5835" s="13" t="s">
        <v>490</v>
      </c>
      <c r="D5835" s="13" t="s">
        <v>92</v>
      </c>
      <c r="E5835" s="12" t="s">
        <v>35</v>
      </c>
      <c r="F5835" s="14">
        <v>82000</v>
      </c>
      <c r="G5835" s="14">
        <v>59500</v>
      </c>
      <c r="H5835" s="13" t="s">
        <v>9168</v>
      </c>
      <c r="I5835" s="40" t="s">
        <v>18</v>
      </c>
      <c r="J5835" s="40" t="str">
        <f>HYPERLINK("https://stock.pstatic.net/stock-research/company/63/20260127_company_164418000.pdf","PDF")</f>
        <v>PDF</v>
      </c>
      <c r="K5835" s="12" t="s">
        <v>9169</v>
      </c>
      <c r="L5835" s="20">
        <v>0.37815126050420172</v>
      </c>
    </row>
    <row r="5836" spans="1:12" x14ac:dyDescent="0.45">
      <c r="A5836" s="12" t="s">
        <v>9113</v>
      </c>
      <c r="B5836" s="12" t="s">
        <v>740</v>
      </c>
      <c r="C5836" s="13" t="s">
        <v>741</v>
      </c>
      <c r="D5836" s="13" t="s">
        <v>83</v>
      </c>
      <c r="E5836" s="12" t="s">
        <v>35</v>
      </c>
      <c r="F5836" s="14">
        <v>350000</v>
      </c>
      <c r="G5836" s="14">
        <v>276000</v>
      </c>
      <c r="H5836" s="13" t="s">
        <v>9170</v>
      </c>
      <c r="I5836" s="40" t="s">
        <v>18</v>
      </c>
      <c r="J5836" s="40" t="str">
        <f>HYPERLINK("https://stock.pstatic.net/stock-research/company/15/20260127_company_139541000.pdf","PDF")</f>
        <v>PDF</v>
      </c>
      <c r="K5836" s="12" t="s">
        <v>9171</v>
      </c>
      <c r="L5836" s="20">
        <v>0.26811594202898548</v>
      </c>
    </row>
    <row r="5837" spans="1:12" x14ac:dyDescent="0.45">
      <c r="A5837" s="12" t="s">
        <v>9113</v>
      </c>
      <c r="B5837" s="12" t="s">
        <v>1491</v>
      </c>
      <c r="C5837" s="13" t="s">
        <v>1492</v>
      </c>
      <c r="D5837" s="13" t="s">
        <v>83</v>
      </c>
      <c r="E5837" s="12" t="s">
        <v>50</v>
      </c>
      <c r="F5837" s="13"/>
      <c r="G5837" s="14">
        <v>14980</v>
      </c>
      <c r="H5837" s="13" t="s">
        <v>9172</v>
      </c>
      <c r="I5837" s="40" t="s">
        <v>18</v>
      </c>
      <c r="J5837" s="40" t="str">
        <f>HYPERLINK("https://stock.pstatic.net/stock-research/company/15/20260127_company_87619000.pdf","PDF")</f>
        <v>PDF</v>
      </c>
      <c r="K5837" s="12" t="s">
        <v>9173</v>
      </c>
    </row>
    <row r="5838" spans="1:12" x14ac:dyDescent="0.45">
      <c r="A5838" s="12" t="s">
        <v>9113</v>
      </c>
      <c r="B5838" s="12" t="s">
        <v>5705</v>
      </c>
      <c r="C5838" s="13" t="s">
        <v>5706</v>
      </c>
      <c r="D5838" s="13" t="s">
        <v>53</v>
      </c>
      <c r="E5838" s="12" t="s">
        <v>16</v>
      </c>
      <c r="F5838" s="14">
        <v>95000</v>
      </c>
      <c r="G5838" s="14">
        <v>74900</v>
      </c>
      <c r="H5838" s="13" t="s">
        <v>9174</v>
      </c>
      <c r="I5838" s="40" t="s">
        <v>18</v>
      </c>
      <c r="J5838" s="40" t="str">
        <f>HYPERLINK("https://stock.pstatic.net/stock-research/company/40/20260127_company_831474000.pdf","PDF")</f>
        <v>PDF</v>
      </c>
      <c r="K5838" s="12" t="s">
        <v>9175</v>
      </c>
      <c r="L5838" s="20">
        <v>0.26835781041388518</v>
      </c>
    </row>
    <row r="5839" spans="1:12" x14ac:dyDescent="0.45">
      <c r="A5839" s="12" t="s">
        <v>9113</v>
      </c>
      <c r="B5839" s="12" t="s">
        <v>768</v>
      </c>
      <c r="C5839" s="13" t="s">
        <v>769</v>
      </c>
      <c r="D5839" s="13" t="s">
        <v>15</v>
      </c>
      <c r="E5839" s="12" t="s">
        <v>16</v>
      </c>
      <c r="F5839" s="14">
        <v>230000</v>
      </c>
      <c r="G5839" s="14">
        <v>189900</v>
      </c>
      <c r="H5839" s="13" t="s">
        <v>9176</v>
      </c>
      <c r="I5839" s="40" t="s">
        <v>18</v>
      </c>
      <c r="J5839" s="40" t="str">
        <f>HYPERLINK("https://stock.pstatic.net/stock-research/company/56/20260127_company_130530000.pdf","PDF")</f>
        <v>PDF</v>
      </c>
      <c r="K5839" s="12" t="s">
        <v>9177</v>
      </c>
      <c r="L5839" s="20">
        <v>0.2111637704054766</v>
      </c>
    </row>
    <row r="5840" spans="1:12" x14ac:dyDescent="0.45">
      <c r="A5840" s="12" t="s">
        <v>9113</v>
      </c>
      <c r="B5840" s="12" t="s">
        <v>3182</v>
      </c>
      <c r="C5840" s="13" t="s">
        <v>3183</v>
      </c>
      <c r="D5840" s="13" t="s">
        <v>23</v>
      </c>
      <c r="E5840" s="12" t="s">
        <v>16</v>
      </c>
      <c r="F5840" s="14">
        <v>1000000</v>
      </c>
      <c r="G5840" s="14">
        <v>872000</v>
      </c>
      <c r="H5840" s="13" t="s">
        <v>9178</v>
      </c>
      <c r="I5840" s="40" t="s">
        <v>18</v>
      </c>
      <c r="J5840" s="40" t="str">
        <f>HYPERLINK("https://stock.pstatic.net/stock-research/company/21/20260127_company_318127000.pdf","PDF")</f>
        <v>PDF</v>
      </c>
      <c r="K5840" s="12" t="s">
        <v>9179</v>
      </c>
      <c r="L5840" s="20">
        <v>0.14678899082568811</v>
      </c>
    </row>
    <row r="5841" spans="1:12" x14ac:dyDescent="0.45">
      <c r="A5841" s="12" t="s">
        <v>9113</v>
      </c>
      <c r="B5841" s="12" t="s">
        <v>2658</v>
      </c>
      <c r="C5841" s="13" t="s">
        <v>2659</v>
      </c>
      <c r="D5841" s="13" t="s">
        <v>23</v>
      </c>
      <c r="E5841" s="12" t="s">
        <v>16</v>
      </c>
      <c r="F5841" s="14">
        <v>170000</v>
      </c>
      <c r="G5841" s="14">
        <v>109000</v>
      </c>
      <c r="H5841" s="13" t="s">
        <v>9180</v>
      </c>
      <c r="I5841" s="40" t="s">
        <v>18</v>
      </c>
      <c r="J5841" s="40" t="str">
        <f>HYPERLINK("https://stock.pstatic.net/stock-research/company/21/20260127_company_25820000.pdf","PDF")</f>
        <v>PDF</v>
      </c>
      <c r="K5841" s="12" t="s">
        <v>9181</v>
      </c>
      <c r="L5841" s="20">
        <v>0.55963302752293576</v>
      </c>
    </row>
    <row r="5842" spans="1:12" x14ac:dyDescent="0.45">
      <c r="A5842" s="12" t="s">
        <v>9113</v>
      </c>
      <c r="B5842" s="12" t="s">
        <v>1734</v>
      </c>
      <c r="C5842" s="13" t="s">
        <v>1735</v>
      </c>
      <c r="D5842" s="13" t="s">
        <v>23</v>
      </c>
      <c r="E5842" s="12" t="s">
        <v>50</v>
      </c>
      <c r="F5842" s="14">
        <v>42000</v>
      </c>
      <c r="G5842" s="14">
        <v>40200</v>
      </c>
      <c r="H5842" s="13" t="s">
        <v>9182</v>
      </c>
      <c r="I5842" s="40" t="s">
        <v>18</v>
      </c>
      <c r="J5842" s="40" t="str">
        <f>HYPERLINK("https://m.stock.naver.com/research/company/89487","PDF")</f>
        <v>PDF</v>
      </c>
      <c r="K5842" s="12" t="s">
        <v>9183</v>
      </c>
      <c r="L5842" s="20">
        <v>4.4776119402985072E-2</v>
      </c>
    </row>
    <row r="5843" spans="1:12" x14ac:dyDescent="0.45">
      <c r="A5843" s="12" t="s">
        <v>9113</v>
      </c>
      <c r="B5843" s="12" t="s">
        <v>489</v>
      </c>
      <c r="C5843" s="13" t="s">
        <v>490</v>
      </c>
      <c r="D5843" s="13" t="s">
        <v>179</v>
      </c>
      <c r="E5843" s="12" t="s">
        <v>16</v>
      </c>
      <c r="F5843" s="14">
        <v>72000</v>
      </c>
      <c r="G5843" s="14">
        <v>59500</v>
      </c>
      <c r="H5843" s="13" t="s">
        <v>9184</v>
      </c>
      <c r="I5843" s="40" t="s">
        <v>18</v>
      </c>
      <c r="J5843" s="40" t="str">
        <f>HYPERLINK("https://stock.pstatic.net/stock-research/company/64/20260127_company_138221000.pdf","PDF")</f>
        <v>PDF</v>
      </c>
      <c r="K5843" s="12" t="s">
        <v>9185</v>
      </c>
      <c r="L5843" s="20">
        <v>0.21008403361344541</v>
      </c>
    </row>
    <row r="5844" spans="1:12" x14ac:dyDescent="0.45">
      <c r="A5844" s="12" t="s">
        <v>9113</v>
      </c>
      <c r="B5844" s="12" t="s">
        <v>740</v>
      </c>
      <c r="C5844" s="13" t="s">
        <v>741</v>
      </c>
      <c r="D5844" s="13" t="s">
        <v>23</v>
      </c>
      <c r="E5844" s="12" t="s">
        <v>16</v>
      </c>
      <c r="F5844" s="14">
        <v>350000</v>
      </c>
      <c r="G5844" s="14">
        <v>276000</v>
      </c>
      <c r="H5844" s="13" t="s">
        <v>9186</v>
      </c>
      <c r="I5844" s="40" t="s">
        <v>18</v>
      </c>
      <c r="J5844" s="40" t="str">
        <f>HYPERLINK("https://stock.pstatic.net/stock-research/company/21/20260127_company_816000.pdf","PDF")</f>
        <v>PDF</v>
      </c>
      <c r="K5844" s="12" t="s">
        <v>9187</v>
      </c>
      <c r="L5844" s="20">
        <v>0.26811594202898548</v>
      </c>
    </row>
    <row r="5845" spans="1:12" x14ac:dyDescent="0.45">
      <c r="A5845" s="12" t="s">
        <v>9113</v>
      </c>
      <c r="B5845" s="12" t="s">
        <v>489</v>
      </c>
      <c r="C5845" s="13" t="s">
        <v>490</v>
      </c>
      <c r="D5845" s="13" t="s">
        <v>23</v>
      </c>
      <c r="E5845" s="12" t="s">
        <v>16</v>
      </c>
      <c r="F5845" s="14">
        <v>80000</v>
      </c>
      <c r="G5845" s="14">
        <v>59500</v>
      </c>
      <c r="H5845" s="13" t="s">
        <v>9188</v>
      </c>
      <c r="I5845" s="40" t="s">
        <v>18</v>
      </c>
      <c r="J5845" s="40" t="str">
        <f>HYPERLINK("https://m.stock.naver.com/research/company/89484","PDF")</f>
        <v>PDF</v>
      </c>
      <c r="K5845" s="12" t="s">
        <v>9189</v>
      </c>
      <c r="L5845" s="20">
        <v>0.34453781512605042</v>
      </c>
    </row>
    <row r="5846" spans="1:12" x14ac:dyDescent="0.45">
      <c r="A5846" s="12" t="s">
        <v>9113</v>
      </c>
      <c r="B5846" s="12" t="s">
        <v>740</v>
      </c>
      <c r="C5846" s="13" t="s">
        <v>741</v>
      </c>
      <c r="D5846" s="13" t="s">
        <v>53</v>
      </c>
      <c r="E5846" s="12" t="s">
        <v>16</v>
      </c>
      <c r="F5846" s="14">
        <v>350000</v>
      </c>
      <c r="G5846" s="14">
        <v>276000</v>
      </c>
      <c r="H5846" s="13" t="s">
        <v>9190</v>
      </c>
      <c r="I5846" s="40" t="s">
        <v>18</v>
      </c>
      <c r="J5846" s="40" t="str">
        <f>HYPERLINK("https://stock.pstatic.net/stock-research/company/40/20260129_company_65377000.pdf","PDF")</f>
        <v>PDF</v>
      </c>
      <c r="K5846" s="12" t="s">
        <v>9191</v>
      </c>
      <c r="L5846" s="20">
        <v>0.26811594202898548</v>
      </c>
    </row>
    <row r="5847" spans="1:12" x14ac:dyDescent="0.45">
      <c r="A5847" s="12" t="s">
        <v>9113</v>
      </c>
      <c r="B5847" s="12" t="s">
        <v>740</v>
      </c>
      <c r="C5847" s="13" t="s">
        <v>741</v>
      </c>
      <c r="D5847" s="13" t="s">
        <v>179</v>
      </c>
      <c r="E5847" s="12" t="s">
        <v>16</v>
      </c>
      <c r="F5847" s="14">
        <v>350000</v>
      </c>
      <c r="G5847" s="14">
        <v>276000</v>
      </c>
      <c r="H5847" s="13" t="s">
        <v>9192</v>
      </c>
      <c r="I5847" s="40" t="s">
        <v>18</v>
      </c>
      <c r="J5847" s="40" t="str">
        <f>HYPERLINK("https://m.stock.naver.com/research/company/89482","PDF")</f>
        <v>PDF</v>
      </c>
      <c r="K5847" s="12" t="s">
        <v>9193</v>
      </c>
      <c r="L5847" s="20">
        <v>0.26811594202898548</v>
      </c>
    </row>
    <row r="5848" spans="1:12" x14ac:dyDescent="0.45">
      <c r="A5848" s="12" t="s">
        <v>9113</v>
      </c>
      <c r="B5848" s="12" t="s">
        <v>2089</v>
      </c>
      <c r="C5848" s="13" t="s">
        <v>2090</v>
      </c>
      <c r="D5848" s="13" t="s">
        <v>23</v>
      </c>
      <c r="E5848" s="12" t="s">
        <v>16</v>
      </c>
      <c r="F5848" s="14">
        <v>120000</v>
      </c>
      <c r="G5848" s="14">
        <v>98300</v>
      </c>
      <c r="H5848" s="13" t="s">
        <v>6359</v>
      </c>
      <c r="I5848" s="40" t="s">
        <v>18</v>
      </c>
      <c r="J5848" s="40" t="str">
        <f>HYPERLINK("https://stock.pstatic.net/stock-research/company/21/20260127_company_538491000.pdf","PDF")</f>
        <v>PDF</v>
      </c>
      <c r="K5848" s="12" t="s">
        <v>9194</v>
      </c>
      <c r="L5848" s="20">
        <v>0.22075279755849439</v>
      </c>
    </row>
    <row r="5849" spans="1:12" x14ac:dyDescent="0.45">
      <c r="A5849" s="12" t="s">
        <v>9113</v>
      </c>
      <c r="B5849" s="12" t="s">
        <v>950</v>
      </c>
      <c r="C5849" s="13" t="s">
        <v>951</v>
      </c>
      <c r="D5849" s="13" t="s">
        <v>15</v>
      </c>
      <c r="E5849" s="12" t="s">
        <v>16</v>
      </c>
      <c r="F5849" s="14">
        <v>68000</v>
      </c>
      <c r="G5849" s="14">
        <v>56200</v>
      </c>
      <c r="H5849" s="13" t="s">
        <v>9195</v>
      </c>
      <c r="I5849" s="40" t="s">
        <v>18</v>
      </c>
      <c r="J5849" s="40" t="str">
        <f>HYPERLINK("https://stock.pstatic.net/stock-research/company/56/20260127_company_483177000.pdf","PDF")</f>
        <v>PDF</v>
      </c>
      <c r="K5849" s="12" t="s">
        <v>9196</v>
      </c>
      <c r="L5849" s="20">
        <v>0.20996441281138789</v>
      </c>
    </row>
    <row r="5850" spans="1:12" x14ac:dyDescent="0.45">
      <c r="A5850" s="12" t="s">
        <v>9113</v>
      </c>
      <c r="B5850" s="12" t="s">
        <v>2089</v>
      </c>
      <c r="C5850" s="13" t="s">
        <v>2090</v>
      </c>
      <c r="D5850" s="13" t="s">
        <v>92</v>
      </c>
      <c r="E5850" s="12" t="s">
        <v>35</v>
      </c>
      <c r="F5850" s="14">
        <v>126000</v>
      </c>
      <c r="G5850" s="14">
        <v>98300</v>
      </c>
      <c r="H5850" s="13" t="s">
        <v>9197</v>
      </c>
      <c r="I5850" s="40" t="s">
        <v>18</v>
      </c>
      <c r="J5850" s="40" t="str">
        <f>HYPERLINK("https://stock.pstatic.net/stock-research/company/63/20260127_company_716862000.pdf","PDF")</f>
        <v>PDF</v>
      </c>
      <c r="K5850" s="12" t="s">
        <v>9198</v>
      </c>
      <c r="L5850" s="20">
        <v>0.28179043743641907</v>
      </c>
    </row>
    <row r="5851" spans="1:12" x14ac:dyDescent="0.45">
      <c r="A5851" s="12" t="s">
        <v>9113</v>
      </c>
      <c r="B5851" s="12" t="s">
        <v>8114</v>
      </c>
      <c r="C5851" s="13" t="s">
        <v>8115</v>
      </c>
      <c r="D5851" s="13" t="s">
        <v>53</v>
      </c>
      <c r="E5851" s="12" t="s">
        <v>16</v>
      </c>
      <c r="F5851" s="14">
        <v>35000</v>
      </c>
      <c r="G5851" s="14">
        <v>25900</v>
      </c>
      <c r="H5851" s="13" t="s">
        <v>9199</v>
      </c>
      <c r="I5851" s="40" t="s">
        <v>18</v>
      </c>
      <c r="J5851" s="40" t="str">
        <f>HYPERLINK("https://stock.pstatic.net/stock-research/company/40/20260127_company_745239000.pdf","PDF")</f>
        <v>PDF</v>
      </c>
      <c r="K5851" s="12" t="s">
        <v>9200</v>
      </c>
      <c r="L5851" s="20">
        <v>0.35135135135135143</v>
      </c>
    </row>
    <row r="5852" spans="1:12" x14ac:dyDescent="0.45">
      <c r="A5852" s="12" t="s">
        <v>9113</v>
      </c>
      <c r="B5852" s="12" t="s">
        <v>485</v>
      </c>
      <c r="C5852" s="13" t="s">
        <v>486</v>
      </c>
      <c r="D5852" s="13" t="s">
        <v>179</v>
      </c>
      <c r="E5852" s="12" t="s">
        <v>16</v>
      </c>
      <c r="F5852" s="14">
        <v>200000</v>
      </c>
      <c r="G5852" s="14">
        <v>163100</v>
      </c>
      <c r="H5852" s="13" t="s">
        <v>9201</v>
      </c>
      <c r="I5852" s="40" t="s">
        <v>18</v>
      </c>
      <c r="J5852" s="40" t="str">
        <f>HYPERLINK("https://stock.pstatic.net/stock-research/company/64/20260127_company_307207000.pdf","PDF")</f>
        <v>PDF</v>
      </c>
      <c r="K5852" s="12" t="s">
        <v>9202</v>
      </c>
      <c r="L5852" s="20">
        <v>0.2262415695892091</v>
      </c>
    </row>
    <row r="5853" spans="1:12" x14ac:dyDescent="0.45">
      <c r="A5853" s="12" t="s">
        <v>9113</v>
      </c>
      <c r="B5853" s="12" t="s">
        <v>5597</v>
      </c>
      <c r="C5853" s="13" t="s">
        <v>5598</v>
      </c>
      <c r="D5853" s="13" t="s">
        <v>53</v>
      </c>
      <c r="E5853" s="12" t="s">
        <v>16</v>
      </c>
      <c r="F5853" s="14">
        <v>100000</v>
      </c>
      <c r="G5853" s="14">
        <v>70000</v>
      </c>
      <c r="H5853" s="13" t="s">
        <v>9203</v>
      </c>
      <c r="I5853" s="40" t="s">
        <v>18</v>
      </c>
      <c r="J5853" s="40" t="str">
        <f>HYPERLINK("https://stock.pstatic.net/stock-research/company/40/20260127_company_833918000.pdf","PDF")</f>
        <v>PDF</v>
      </c>
      <c r="K5853" s="12" t="s">
        <v>9204</v>
      </c>
      <c r="L5853" s="20">
        <v>0.42857142857142849</v>
      </c>
    </row>
    <row r="5854" spans="1:12" x14ac:dyDescent="0.45">
      <c r="A5854" s="12" t="s">
        <v>9113</v>
      </c>
      <c r="B5854" s="12" t="s">
        <v>9205</v>
      </c>
      <c r="C5854" s="13" t="s">
        <v>9206</v>
      </c>
      <c r="D5854" s="13" t="s">
        <v>179</v>
      </c>
      <c r="E5854" s="12" t="s">
        <v>50</v>
      </c>
      <c r="F5854" s="13"/>
      <c r="G5854" s="14">
        <v>23900</v>
      </c>
      <c r="H5854" s="13" t="s">
        <v>9207</v>
      </c>
      <c r="I5854" s="40" t="s">
        <v>18</v>
      </c>
      <c r="J5854" s="40" t="str">
        <f>HYPERLINK("https://stock.pstatic.net/stock-research/company/64/20260127_company_85529000.pdf","PDF")</f>
        <v>PDF</v>
      </c>
      <c r="K5854" s="12" t="s">
        <v>9208</v>
      </c>
    </row>
    <row r="5855" spans="1:12" x14ac:dyDescent="0.45">
      <c r="A5855" s="12" t="s">
        <v>9113</v>
      </c>
      <c r="B5855" s="12" t="s">
        <v>744</v>
      </c>
      <c r="C5855" s="13" t="s">
        <v>745</v>
      </c>
      <c r="D5855" s="13" t="s">
        <v>53</v>
      </c>
      <c r="E5855" s="12" t="s">
        <v>16</v>
      </c>
      <c r="F5855" s="14">
        <v>36000</v>
      </c>
      <c r="G5855" s="14">
        <v>29900</v>
      </c>
      <c r="H5855" s="13" t="s">
        <v>9209</v>
      </c>
      <c r="I5855" s="40" t="s">
        <v>18</v>
      </c>
      <c r="J5855" s="40" t="str">
        <f>HYPERLINK("https://stock.pstatic.net/stock-research/company/40/20260127_company_916223000.pdf","PDF")</f>
        <v>PDF</v>
      </c>
      <c r="K5855" s="12" t="s">
        <v>9210</v>
      </c>
      <c r="L5855" s="20">
        <v>0.20401337792642141</v>
      </c>
    </row>
    <row r="5856" spans="1:12" x14ac:dyDescent="0.45">
      <c r="A5856" s="12" t="s">
        <v>9113</v>
      </c>
      <c r="B5856" s="12" t="s">
        <v>1648</v>
      </c>
      <c r="C5856" s="13" t="s">
        <v>1649</v>
      </c>
      <c r="D5856" s="13" t="s">
        <v>34</v>
      </c>
      <c r="E5856" s="12" t="s">
        <v>35</v>
      </c>
      <c r="F5856" s="14">
        <v>160000</v>
      </c>
      <c r="G5856" s="14">
        <v>117000</v>
      </c>
      <c r="H5856" s="13" t="s">
        <v>9211</v>
      </c>
      <c r="I5856" s="40" t="s">
        <v>18</v>
      </c>
      <c r="J5856" s="40" t="str">
        <f>HYPERLINK("https://stock.pstatic.net/stock-research/company/61/20260127_company_256914000.pdf","PDF")</f>
        <v>PDF</v>
      </c>
      <c r="K5856" s="12" t="s">
        <v>9212</v>
      </c>
      <c r="L5856" s="20">
        <v>0.36752136752136749</v>
      </c>
    </row>
    <row r="5857" spans="1:12" x14ac:dyDescent="0.45">
      <c r="A5857" s="12" t="s">
        <v>9113</v>
      </c>
      <c r="B5857" s="12" t="s">
        <v>4567</v>
      </c>
      <c r="C5857" s="13" t="s">
        <v>4568</v>
      </c>
      <c r="D5857" s="13" t="s">
        <v>34</v>
      </c>
      <c r="E5857" s="12" t="s">
        <v>35</v>
      </c>
      <c r="F5857" s="14">
        <v>71000</v>
      </c>
      <c r="G5857" s="14">
        <v>50600</v>
      </c>
      <c r="H5857" s="13" t="s">
        <v>9213</v>
      </c>
      <c r="I5857" s="40" t="s">
        <v>18</v>
      </c>
      <c r="J5857" s="40" t="str">
        <f>HYPERLINK("https://stock.pstatic.net/stock-research/company/61/20260127_company_212948000.pdf","PDF")</f>
        <v>PDF</v>
      </c>
      <c r="K5857" s="12" t="s">
        <v>9214</v>
      </c>
      <c r="L5857" s="20">
        <v>0.40316205533596838</v>
      </c>
    </row>
    <row r="5858" spans="1:12" x14ac:dyDescent="0.45">
      <c r="A5858" s="12" t="s">
        <v>9113</v>
      </c>
      <c r="B5858" s="12" t="s">
        <v>740</v>
      </c>
      <c r="C5858" s="13" t="s">
        <v>741</v>
      </c>
      <c r="D5858" s="13" t="s">
        <v>34</v>
      </c>
      <c r="E5858" s="12" t="s">
        <v>35</v>
      </c>
      <c r="F5858" s="14">
        <v>320000</v>
      </c>
      <c r="G5858" s="14">
        <v>276000</v>
      </c>
      <c r="H5858" s="13" t="s">
        <v>9215</v>
      </c>
      <c r="I5858" s="40" t="s">
        <v>18</v>
      </c>
      <c r="J5858" s="40" t="str">
        <f>HYPERLINK("https://stock.pstatic.net/stock-research/company/61/20260127_company_123942000.pdf","PDF")</f>
        <v>PDF</v>
      </c>
      <c r="K5858" s="12" t="s">
        <v>9216</v>
      </c>
      <c r="L5858" s="20">
        <v>0.15942028985507251</v>
      </c>
    </row>
    <row r="5859" spans="1:12" x14ac:dyDescent="0.45">
      <c r="A5859" s="12" t="s">
        <v>9113</v>
      </c>
      <c r="B5859" s="12" t="s">
        <v>2089</v>
      </c>
      <c r="C5859" s="13" t="s">
        <v>2090</v>
      </c>
      <c r="D5859" s="13" t="s">
        <v>34</v>
      </c>
      <c r="E5859" s="12" t="s">
        <v>35</v>
      </c>
      <c r="F5859" s="14">
        <v>120000</v>
      </c>
      <c r="G5859" s="14">
        <v>98300</v>
      </c>
      <c r="H5859" s="13" t="s">
        <v>9217</v>
      </c>
      <c r="I5859" s="40" t="s">
        <v>18</v>
      </c>
      <c r="J5859" s="40" t="str">
        <f>HYPERLINK("https://stock.pstatic.net/stock-research/company/61/20260127_company_544369000.pdf","PDF")</f>
        <v>PDF</v>
      </c>
      <c r="K5859" s="12" t="s">
        <v>9218</v>
      </c>
      <c r="L5859" s="20">
        <v>0.22075279755849439</v>
      </c>
    </row>
    <row r="5860" spans="1:12" x14ac:dyDescent="0.45">
      <c r="A5860" s="12" t="s">
        <v>9113</v>
      </c>
      <c r="B5860" s="12" t="s">
        <v>128</v>
      </c>
      <c r="C5860" s="13" t="s">
        <v>129</v>
      </c>
      <c r="D5860" s="13" t="s">
        <v>92</v>
      </c>
      <c r="E5860" s="12" t="s">
        <v>35</v>
      </c>
      <c r="F5860" s="14">
        <v>53000</v>
      </c>
      <c r="G5860" s="14">
        <v>38850</v>
      </c>
      <c r="H5860" s="13" t="s">
        <v>9219</v>
      </c>
      <c r="I5860" s="40" t="s">
        <v>18</v>
      </c>
      <c r="J5860" s="40" t="str">
        <f>HYPERLINK("https://stock.pstatic.net/stock-research/company/63/20260127_company_462169000.pdf","PDF")</f>
        <v>PDF</v>
      </c>
      <c r="K5860" s="12" t="s">
        <v>9220</v>
      </c>
      <c r="L5860" s="20">
        <v>0.3642213642213642</v>
      </c>
    </row>
    <row r="5861" spans="1:12" x14ac:dyDescent="0.45">
      <c r="A5861" s="12" t="s">
        <v>9113</v>
      </c>
      <c r="B5861" s="12" t="s">
        <v>485</v>
      </c>
      <c r="C5861" s="13" t="s">
        <v>486</v>
      </c>
      <c r="D5861" s="13" t="s">
        <v>53</v>
      </c>
      <c r="E5861" s="12" t="s">
        <v>16</v>
      </c>
      <c r="F5861" s="14">
        <v>220000</v>
      </c>
      <c r="G5861" s="14">
        <v>163100</v>
      </c>
      <c r="H5861" s="13" t="s">
        <v>9221</v>
      </c>
      <c r="I5861" s="40" t="s">
        <v>18</v>
      </c>
      <c r="J5861" s="40" t="str">
        <f>HYPERLINK("https://stock.pstatic.net/stock-research/company/40/20260127_company_844997000.pdf","PDF")</f>
        <v>PDF</v>
      </c>
      <c r="K5861" s="12" t="s">
        <v>9222</v>
      </c>
      <c r="L5861" s="20">
        <v>0.34886572654812997</v>
      </c>
    </row>
    <row r="5862" spans="1:12" x14ac:dyDescent="0.45">
      <c r="A5862" s="12" t="s">
        <v>9113</v>
      </c>
      <c r="B5862" s="12" t="s">
        <v>2199</v>
      </c>
      <c r="C5862" s="13" t="s">
        <v>2200</v>
      </c>
      <c r="D5862" s="13" t="s">
        <v>44</v>
      </c>
      <c r="E5862" s="12" t="s">
        <v>50</v>
      </c>
      <c r="F5862" s="13"/>
      <c r="G5862" s="14">
        <v>29400</v>
      </c>
      <c r="H5862" s="13" t="s">
        <v>9223</v>
      </c>
      <c r="I5862" s="40" t="s">
        <v>18</v>
      </c>
      <c r="J5862" s="40" t="str">
        <f>HYPERLINK("https://stock.pstatic.net/stock-research/company/39/20260127_company_441186000.pdf","PDF")</f>
        <v>PDF</v>
      </c>
      <c r="K5862" s="12" t="s">
        <v>9224</v>
      </c>
    </row>
    <row r="5863" spans="1:12" x14ac:dyDescent="0.45">
      <c r="A5863" s="12" t="s">
        <v>9113</v>
      </c>
      <c r="B5863" s="12" t="s">
        <v>740</v>
      </c>
      <c r="C5863" s="13" t="s">
        <v>741</v>
      </c>
      <c r="D5863" s="13" t="s">
        <v>44</v>
      </c>
      <c r="E5863" s="12" t="s">
        <v>35</v>
      </c>
      <c r="F5863" s="14">
        <v>350000</v>
      </c>
      <c r="G5863" s="14">
        <v>276000</v>
      </c>
      <c r="H5863" s="13" t="s">
        <v>9225</v>
      </c>
      <c r="I5863" s="40" t="s">
        <v>18</v>
      </c>
      <c r="J5863" s="40" t="str">
        <f>HYPERLINK("https://stock.pstatic.net/stock-research/company/39/20260127_company_566317000.pdf","PDF")</f>
        <v>PDF</v>
      </c>
      <c r="K5863" s="12" t="s">
        <v>9226</v>
      </c>
      <c r="L5863" s="20">
        <v>0.26811594202898548</v>
      </c>
    </row>
    <row r="5864" spans="1:12" x14ac:dyDescent="0.45">
      <c r="A5864" s="12" t="s">
        <v>9113</v>
      </c>
      <c r="B5864" s="12" t="s">
        <v>414</v>
      </c>
      <c r="C5864" s="13" t="s">
        <v>415</v>
      </c>
      <c r="D5864" s="13" t="s">
        <v>124</v>
      </c>
      <c r="E5864" s="12" t="s">
        <v>50</v>
      </c>
      <c r="F5864" s="13"/>
      <c r="G5864" s="13"/>
      <c r="H5864" s="13" t="s">
        <v>9227</v>
      </c>
      <c r="I5864" s="40" t="s">
        <v>18</v>
      </c>
      <c r="J5864" s="40" t="str">
        <f>HYPERLINK("https://stock.pstatic.net/stock-research/company/74/20260127_company_668062000.pdf","PDF")</f>
        <v>PDF</v>
      </c>
      <c r="K5864" s="12" t="s">
        <v>9228</v>
      </c>
    </row>
    <row r="5865" spans="1:12" x14ac:dyDescent="0.45">
      <c r="A5865" s="12" t="s">
        <v>9113</v>
      </c>
      <c r="B5865" s="12" t="s">
        <v>2089</v>
      </c>
      <c r="C5865" s="13" t="s">
        <v>2090</v>
      </c>
      <c r="D5865" s="13" t="s">
        <v>15</v>
      </c>
      <c r="E5865" s="12" t="s">
        <v>16</v>
      </c>
      <c r="F5865" s="14">
        <v>120000</v>
      </c>
      <c r="G5865" s="14">
        <v>98300</v>
      </c>
      <c r="H5865" s="13" t="s">
        <v>9229</v>
      </c>
      <c r="I5865" s="40" t="s">
        <v>18</v>
      </c>
      <c r="J5865" s="40" t="str">
        <f>HYPERLINK("https://stock.pstatic.net/stock-research/company/56/20260127_company_270109000.pdf","PDF")</f>
        <v>PDF</v>
      </c>
      <c r="K5865" s="12" t="s">
        <v>9230</v>
      </c>
      <c r="L5865" s="20">
        <v>0.22075279755849439</v>
      </c>
    </row>
    <row r="5866" spans="1:12" x14ac:dyDescent="0.45">
      <c r="A5866" s="12" t="s">
        <v>9113</v>
      </c>
      <c r="B5866" s="12" t="s">
        <v>1009</v>
      </c>
      <c r="C5866" s="13" t="s">
        <v>1010</v>
      </c>
      <c r="D5866" s="13" t="s">
        <v>15</v>
      </c>
      <c r="E5866" s="12" t="s">
        <v>16</v>
      </c>
      <c r="F5866" s="14">
        <v>230000</v>
      </c>
      <c r="G5866" s="14">
        <v>165900</v>
      </c>
      <c r="H5866" s="13" t="s">
        <v>9231</v>
      </c>
      <c r="I5866" s="40" t="s">
        <v>18</v>
      </c>
      <c r="J5866" s="40" t="str">
        <f>HYPERLINK("https://stock.pstatic.net/stock-research/company/56/20260127_company_649093000.pdf","PDF")</f>
        <v>PDF</v>
      </c>
      <c r="K5866" s="12" t="s">
        <v>9232</v>
      </c>
      <c r="L5866" s="20">
        <v>0.38637733574442429</v>
      </c>
    </row>
    <row r="5867" spans="1:12" x14ac:dyDescent="0.45">
      <c r="A5867" s="12" t="s">
        <v>9233</v>
      </c>
      <c r="B5867" s="12" t="s">
        <v>1407</v>
      </c>
      <c r="C5867" s="13" t="s">
        <v>1408</v>
      </c>
      <c r="D5867" s="13" t="s">
        <v>57</v>
      </c>
      <c r="E5867" s="12" t="s">
        <v>35</v>
      </c>
      <c r="F5867" s="14">
        <v>98000</v>
      </c>
      <c r="G5867" s="14">
        <v>75700</v>
      </c>
      <c r="H5867" s="13" t="s">
        <v>9234</v>
      </c>
      <c r="I5867" s="40" t="s">
        <v>18</v>
      </c>
      <c r="J5867" s="40" t="str">
        <f>HYPERLINK("https://stock.pstatic.net/stock-research/company/16/20260126_company_565182000.pdf","PDF")</f>
        <v>PDF</v>
      </c>
      <c r="K5867" s="12" t="s">
        <v>9235</v>
      </c>
      <c r="L5867" s="20">
        <v>0.29458388375165118</v>
      </c>
    </row>
    <row r="5868" spans="1:12" x14ac:dyDescent="0.45">
      <c r="A5868" s="12" t="s">
        <v>9233</v>
      </c>
      <c r="B5868" s="12" t="s">
        <v>95</v>
      </c>
      <c r="C5868" s="13" t="s">
        <v>31</v>
      </c>
      <c r="D5868" s="13" t="s">
        <v>57</v>
      </c>
      <c r="E5868" s="12" t="s">
        <v>35</v>
      </c>
      <c r="F5868" s="14">
        <v>37000</v>
      </c>
      <c r="G5868" s="14">
        <v>27000</v>
      </c>
      <c r="H5868" s="13" t="s">
        <v>9236</v>
      </c>
      <c r="I5868" s="40" t="s">
        <v>18</v>
      </c>
      <c r="J5868" s="40" t="str">
        <f>HYPERLINK("https://stock.pstatic.net/stock-research/company/16/20260126_company_816051000.pdf","PDF")</f>
        <v>PDF</v>
      </c>
      <c r="K5868" s="12" t="s">
        <v>9237</v>
      </c>
      <c r="L5868" s="20">
        <v>0.37037037037037029</v>
      </c>
    </row>
    <row r="5869" spans="1:12" x14ac:dyDescent="0.45">
      <c r="A5869" s="12" t="s">
        <v>9233</v>
      </c>
      <c r="B5869" s="12" t="s">
        <v>98</v>
      </c>
      <c r="C5869" s="13" t="s">
        <v>99</v>
      </c>
      <c r="D5869" s="13" t="s">
        <v>57</v>
      </c>
      <c r="E5869" s="12" t="s">
        <v>35</v>
      </c>
      <c r="F5869" s="14">
        <v>36000</v>
      </c>
      <c r="G5869" s="14">
        <v>31300</v>
      </c>
      <c r="H5869" s="13" t="s">
        <v>9238</v>
      </c>
      <c r="I5869" s="40" t="s">
        <v>18</v>
      </c>
      <c r="J5869" s="40" t="str">
        <f>HYPERLINK("https://m.stock.naver.com/research/company/89460","PDF")</f>
        <v>PDF</v>
      </c>
      <c r="K5869" s="12" t="s">
        <v>9239</v>
      </c>
      <c r="L5869" s="20">
        <v>0.15015974440894569</v>
      </c>
    </row>
    <row r="5870" spans="1:12" x14ac:dyDescent="0.45">
      <c r="A5870" s="12" t="s">
        <v>9233</v>
      </c>
      <c r="B5870" s="12" t="s">
        <v>32</v>
      </c>
      <c r="C5870" s="13" t="s">
        <v>33</v>
      </c>
      <c r="D5870" s="13" t="s">
        <v>276</v>
      </c>
      <c r="E5870" s="12" t="s">
        <v>16</v>
      </c>
      <c r="F5870" s="14">
        <v>350000</v>
      </c>
      <c r="G5870" s="14">
        <v>272000</v>
      </c>
      <c r="H5870" s="13" t="s">
        <v>9240</v>
      </c>
      <c r="I5870" s="40" t="s">
        <v>18</v>
      </c>
      <c r="J5870" s="40" t="str">
        <f>HYPERLINK("https://stock.pstatic.net/stock-research/company/66/20260126_company_404607000.pdf","PDF")</f>
        <v>PDF</v>
      </c>
      <c r="K5870" s="12" t="s">
        <v>9241</v>
      </c>
      <c r="L5870" s="20">
        <v>0.28676470588235292</v>
      </c>
    </row>
    <row r="5871" spans="1:12" x14ac:dyDescent="0.45">
      <c r="A5871" s="12" t="s">
        <v>9233</v>
      </c>
      <c r="B5871" s="12" t="s">
        <v>95</v>
      </c>
      <c r="C5871" s="13" t="s">
        <v>31</v>
      </c>
      <c r="D5871" s="13" t="s">
        <v>60</v>
      </c>
      <c r="E5871" s="12" t="s">
        <v>35</v>
      </c>
      <c r="F5871" s="14">
        <v>32000</v>
      </c>
      <c r="G5871" s="14">
        <v>27000</v>
      </c>
      <c r="H5871" s="13" t="s">
        <v>9242</v>
      </c>
      <c r="I5871" s="40" t="s">
        <v>18</v>
      </c>
      <c r="J5871" s="40" t="str">
        <f>HYPERLINK("https://stock.pstatic.net/stock-research/company/62/20260126_company_882395000.pdf","PDF")</f>
        <v>PDF</v>
      </c>
      <c r="K5871" s="12" t="s">
        <v>9243</v>
      </c>
      <c r="L5871" s="20">
        <v>0.1851851851851852</v>
      </c>
    </row>
    <row r="5872" spans="1:12" x14ac:dyDescent="0.45">
      <c r="A5872" s="12" t="s">
        <v>9233</v>
      </c>
      <c r="B5872" s="12" t="s">
        <v>32</v>
      </c>
      <c r="C5872" s="13" t="s">
        <v>33</v>
      </c>
      <c r="D5872" s="13" t="s">
        <v>60</v>
      </c>
      <c r="E5872" s="12" t="s">
        <v>35</v>
      </c>
      <c r="F5872" s="14">
        <v>360000</v>
      </c>
      <c r="G5872" s="14">
        <v>272000</v>
      </c>
      <c r="H5872" s="13" t="s">
        <v>9244</v>
      </c>
      <c r="I5872" s="40" t="s">
        <v>18</v>
      </c>
      <c r="J5872" s="40" t="str">
        <f>HYPERLINK("https://m.stock.naver.com/research/company/89457","PDF")</f>
        <v>PDF</v>
      </c>
      <c r="K5872" s="12" t="s">
        <v>9245</v>
      </c>
      <c r="L5872" s="20">
        <v>0.3235294117647059</v>
      </c>
    </row>
    <row r="5873" spans="1:12" x14ac:dyDescent="0.45">
      <c r="A5873" s="12" t="s">
        <v>9233</v>
      </c>
      <c r="B5873" s="12" t="s">
        <v>32</v>
      </c>
      <c r="C5873" s="13" t="s">
        <v>33</v>
      </c>
      <c r="D5873" s="13" t="s">
        <v>65</v>
      </c>
      <c r="E5873" s="12" t="s">
        <v>35</v>
      </c>
      <c r="F5873" s="14">
        <v>340000</v>
      </c>
      <c r="G5873" s="14">
        <v>272000</v>
      </c>
      <c r="H5873" s="13" t="s">
        <v>9246</v>
      </c>
      <c r="I5873" s="40" t="s">
        <v>18</v>
      </c>
      <c r="J5873" s="40" t="str">
        <f>HYPERLINK("https://stock.pstatic.net/stock-research/company/57/20260126_company_10809000.pdf","PDF")</f>
        <v>PDF</v>
      </c>
      <c r="K5873" s="12" t="s">
        <v>9247</v>
      </c>
      <c r="L5873" s="20">
        <v>0.25</v>
      </c>
    </row>
    <row r="5874" spans="1:12" x14ac:dyDescent="0.45">
      <c r="A5874" s="12" t="s">
        <v>9233</v>
      </c>
      <c r="B5874" s="12" t="s">
        <v>3105</v>
      </c>
      <c r="C5874" s="13" t="s">
        <v>3106</v>
      </c>
      <c r="D5874" s="13" t="s">
        <v>65</v>
      </c>
      <c r="E5874" s="12" t="s">
        <v>35</v>
      </c>
      <c r="F5874" s="14">
        <v>440000</v>
      </c>
      <c r="G5874" s="14">
        <v>380000</v>
      </c>
      <c r="H5874" s="13" t="s">
        <v>9248</v>
      </c>
      <c r="I5874" s="40" t="s">
        <v>18</v>
      </c>
      <c r="J5874" s="40" t="str">
        <f>HYPERLINK("https://m.stock.naver.com/research/company/89455","PDF")</f>
        <v>PDF</v>
      </c>
      <c r="K5874" s="12" t="s">
        <v>9249</v>
      </c>
      <c r="L5874" s="20">
        <v>0.15789473684210531</v>
      </c>
    </row>
    <row r="5875" spans="1:12" x14ac:dyDescent="0.45">
      <c r="A5875" s="12" t="s">
        <v>9233</v>
      </c>
      <c r="B5875" s="12" t="s">
        <v>95</v>
      </c>
      <c r="C5875" s="13" t="s">
        <v>31</v>
      </c>
      <c r="D5875" s="13" t="s">
        <v>65</v>
      </c>
      <c r="E5875" s="12" t="s">
        <v>35</v>
      </c>
      <c r="F5875" s="14">
        <v>39000</v>
      </c>
      <c r="G5875" s="14">
        <v>27000</v>
      </c>
      <c r="H5875" s="13" t="s">
        <v>9250</v>
      </c>
      <c r="I5875" s="40" t="s">
        <v>18</v>
      </c>
      <c r="J5875" s="40" t="str">
        <f>HYPERLINK("https://stock.pstatic.net/stock-research/company/57/20260126_company_290159000.pdf","PDF")</f>
        <v>PDF</v>
      </c>
      <c r="K5875" s="12" t="s">
        <v>9251</v>
      </c>
      <c r="L5875" s="20">
        <v>0.44444444444444442</v>
      </c>
    </row>
    <row r="5876" spans="1:12" x14ac:dyDescent="0.45">
      <c r="A5876" s="12" t="s">
        <v>9233</v>
      </c>
      <c r="B5876" s="12" t="s">
        <v>4446</v>
      </c>
      <c r="C5876" s="13" t="s">
        <v>4447</v>
      </c>
      <c r="D5876" s="13" t="s">
        <v>65</v>
      </c>
      <c r="E5876" s="12" t="s">
        <v>50</v>
      </c>
      <c r="F5876" s="13"/>
      <c r="G5876" s="14">
        <v>75300</v>
      </c>
      <c r="H5876" s="13" t="s">
        <v>9252</v>
      </c>
      <c r="I5876" s="40" t="s">
        <v>18</v>
      </c>
      <c r="J5876" s="40" t="str">
        <f>HYPERLINK("https://stock.pstatic.net/stock-research/company/57/20260126_company_207104000.pdf","PDF")</f>
        <v>PDF</v>
      </c>
      <c r="K5876" s="12" t="s">
        <v>9253</v>
      </c>
    </row>
    <row r="5877" spans="1:12" x14ac:dyDescent="0.45">
      <c r="A5877" s="12" t="s">
        <v>9233</v>
      </c>
      <c r="B5877" s="12" t="s">
        <v>519</v>
      </c>
      <c r="C5877" s="13" t="s">
        <v>520</v>
      </c>
      <c r="D5877" s="13" t="s">
        <v>158</v>
      </c>
      <c r="E5877" s="12" t="s">
        <v>35</v>
      </c>
      <c r="F5877" s="14">
        <v>600000</v>
      </c>
      <c r="G5877" s="14">
        <v>510000</v>
      </c>
      <c r="H5877" s="13" t="s">
        <v>9254</v>
      </c>
      <c r="I5877" s="40" t="s">
        <v>18</v>
      </c>
      <c r="J5877" s="40" t="str">
        <f>HYPERLINK("https://stock.pstatic.net/stock-research/company/18/20260126_company_830873000.pdf","PDF")</f>
        <v>PDF</v>
      </c>
      <c r="K5877" s="12" t="s">
        <v>9255</v>
      </c>
      <c r="L5877" s="20">
        <v>0.1764705882352941</v>
      </c>
    </row>
    <row r="5878" spans="1:12" x14ac:dyDescent="0.45">
      <c r="A5878" s="12" t="s">
        <v>9233</v>
      </c>
      <c r="B5878" s="12" t="s">
        <v>32</v>
      </c>
      <c r="C5878" s="13" t="s">
        <v>33</v>
      </c>
      <c r="D5878" s="13" t="s">
        <v>158</v>
      </c>
      <c r="E5878" s="12" t="s">
        <v>35</v>
      </c>
      <c r="F5878" s="14">
        <v>330000</v>
      </c>
      <c r="G5878" s="14">
        <v>272000</v>
      </c>
      <c r="H5878" s="13" t="s">
        <v>9256</v>
      </c>
      <c r="I5878" s="40" t="s">
        <v>18</v>
      </c>
      <c r="J5878" s="40" t="str">
        <f>HYPERLINK("https://m.stock.naver.com/research/company/89451","PDF")</f>
        <v>PDF</v>
      </c>
      <c r="K5878" s="12" t="s">
        <v>9257</v>
      </c>
      <c r="L5878" s="20">
        <v>0.21323529411764711</v>
      </c>
    </row>
    <row r="5879" spans="1:12" x14ac:dyDescent="0.45">
      <c r="A5879" s="12" t="s">
        <v>9233</v>
      </c>
      <c r="B5879" s="12" t="s">
        <v>908</v>
      </c>
      <c r="C5879" s="13" t="s">
        <v>909</v>
      </c>
      <c r="D5879" s="13" t="s">
        <v>158</v>
      </c>
      <c r="E5879" s="12" t="s">
        <v>35</v>
      </c>
      <c r="F5879" s="14">
        <v>250000</v>
      </c>
      <c r="G5879" s="14">
        <v>186000</v>
      </c>
      <c r="H5879" s="13" t="s">
        <v>9258</v>
      </c>
      <c r="I5879" s="40" t="s">
        <v>18</v>
      </c>
      <c r="J5879" s="40" t="str">
        <f>HYPERLINK("https://stock.pstatic.net/stock-research/company/18/20260126_company_789025000.pdf","PDF")</f>
        <v>PDF</v>
      </c>
      <c r="K5879" s="12" t="s">
        <v>9259</v>
      </c>
      <c r="L5879" s="20">
        <v>0.34408602150537643</v>
      </c>
    </row>
    <row r="5880" spans="1:12" x14ac:dyDescent="0.45">
      <c r="A5880" s="12" t="s">
        <v>9233</v>
      </c>
      <c r="B5880" s="12" t="s">
        <v>95</v>
      </c>
      <c r="C5880" s="13" t="s">
        <v>31</v>
      </c>
      <c r="D5880" s="13" t="s">
        <v>15</v>
      </c>
      <c r="E5880" s="12" t="s">
        <v>16</v>
      </c>
      <c r="F5880" s="14">
        <v>36000</v>
      </c>
      <c r="G5880" s="14">
        <v>27000</v>
      </c>
      <c r="H5880" s="13" t="s">
        <v>9260</v>
      </c>
      <c r="I5880" s="40" t="s">
        <v>18</v>
      </c>
      <c r="J5880" s="40" t="str">
        <f>HYPERLINK("https://stock.pstatic.net/stock-research/company/56/20260126_company_455472000.pdf","PDF")</f>
        <v>PDF</v>
      </c>
      <c r="K5880" s="12" t="s">
        <v>9261</v>
      </c>
      <c r="L5880" s="20">
        <v>0.33333333333333331</v>
      </c>
    </row>
    <row r="5881" spans="1:12" x14ac:dyDescent="0.45">
      <c r="A5881" s="12" t="s">
        <v>9233</v>
      </c>
      <c r="B5881" s="12" t="s">
        <v>1087</v>
      </c>
      <c r="C5881" s="13" t="s">
        <v>1088</v>
      </c>
      <c r="D5881" s="13" t="s">
        <v>92</v>
      </c>
      <c r="E5881" s="12" t="s">
        <v>35</v>
      </c>
      <c r="F5881" s="14">
        <v>170000</v>
      </c>
      <c r="G5881" s="14">
        <v>139600</v>
      </c>
      <c r="H5881" s="13" t="s">
        <v>9262</v>
      </c>
      <c r="I5881" s="40" t="s">
        <v>18</v>
      </c>
      <c r="J5881" s="40" t="str">
        <f>HYPERLINK("https://m.stock.naver.com/research/company/89448","PDF")</f>
        <v>PDF</v>
      </c>
      <c r="K5881" s="12" t="s">
        <v>9263</v>
      </c>
      <c r="L5881" s="20">
        <v>0.2177650429799427</v>
      </c>
    </row>
    <row r="5882" spans="1:12" x14ac:dyDescent="0.45">
      <c r="A5882" s="12" t="s">
        <v>9233</v>
      </c>
      <c r="B5882" s="12" t="s">
        <v>32</v>
      </c>
      <c r="C5882" s="13" t="s">
        <v>33</v>
      </c>
      <c r="D5882" s="13" t="s">
        <v>15</v>
      </c>
      <c r="E5882" s="12" t="s">
        <v>16</v>
      </c>
      <c r="F5882" s="14">
        <v>400000</v>
      </c>
      <c r="G5882" s="14">
        <v>272000</v>
      </c>
      <c r="H5882" s="13" t="s">
        <v>9264</v>
      </c>
      <c r="I5882" s="40" t="s">
        <v>18</v>
      </c>
      <c r="J5882" s="40" t="str">
        <f>HYPERLINK("https://stock.pstatic.net/stock-research/company/56/20260126_company_821896000.pdf","PDF")</f>
        <v>PDF</v>
      </c>
      <c r="K5882" s="12" t="s">
        <v>9265</v>
      </c>
      <c r="L5882" s="20">
        <v>0.47058823529411759</v>
      </c>
    </row>
    <row r="5883" spans="1:12" x14ac:dyDescent="0.45">
      <c r="A5883" s="12" t="s">
        <v>9233</v>
      </c>
      <c r="B5883" s="12" t="s">
        <v>2522</v>
      </c>
      <c r="C5883" s="13" t="s">
        <v>2523</v>
      </c>
      <c r="D5883" s="13" t="s">
        <v>15</v>
      </c>
      <c r="E5883" s="12" t="s">
        <v>16</v>
      </c>
      <c r="F5883" s="14">
        <v>390000</v>
      </c>
      <c r="G5883" s="14">
        <v>238500</v>
      </c>
      <c r="H5883" s="13" t="s">
        <v>9266</v>
      </c>
      <c r="I5883" s="40" t="s">
        <v>18</v>
      </c>
      <c r="J5883" s="40" t="str">
        <f>HYPERLINK("https://m.stock.naver.com/research/company/89446","PDF")</f>
        <v>PDF</v>
      </c>
      <c r="K5883" s="12" t="s">
        <v>9267</v>
      </c>
      <c r="L5883" s="20">
        <v>0.63522012578616349</v>
      </c>
    </row>
    <row r="5884" spans="1:12" x14ac:dyDescent="0.45">
      <c r="A5884" s="12" t="s">
        <v>9233</v>
      </c>
      <c r="B5884" s="12" t="s">
        <v>1233</v>
      </c>
      <c r="C5884" s="13" t="s">
        <v>1234</v>
      </c>
      <c r="D5884" s="13" t="s">
        <v>83</v>
      </c>
      <c r="E5884" s="12" t="s">
        <v>50</v>
      </c>
      <c r="F5884" s="13"/>
      <c r="G5884" s="14">
        <v>64300</v>
      </c>
      <c r="H5884" s="13" t="s">
        <v>9268</v>
      </c>
      <c r="I5884" s="40" t="s">
        <v>18</v>
      </c>
      <c r="J5884" s="40" t="str">
        <f>HYPERLINK("https://stock.pstatic.net/stock-research/company/15/20260126_company_2302000.pdf","PDF")</f>
        <v>PDF</v>
      </c>
      <c r="K5884" s="12" t="s">
        <v>9269</v>
      </c>
    </row>
    <row r="5885" spans="1:12" x14ac:dyDescent="0.45">
      <c r="A5885" s="12" t="s">
        <v>9233</v>
      </c>
      <c r="B5885" s="12" t="s">
        <v>32</v>
      </c>
      <c r="C5885" s="13" t="s">
        <v>33</v>
      </c>
      <c r="D5885" s="13" t="s">
        <v>83</v>
      </c>
      <c r="E5885" s="12" t="s">
        <v>35</v>
      </c>
      <c r="F5885" s="14">
        <v>350000</v>
      </c>
      <c r="G5885" s="14">
        <v>272000</v>
      </c>
      <c r="H5885" s="13" t="s">
        <v>9270</v>
      </c>
      <c r="I5885" s="40" t="s">
        <v>18</v>
      </c>
      <c r="J5885" s="40" t="str">
        <f>HYPERLINK("https://m.stock.naver.com/research/company/89444","PDF")</f>
        <v>PDF</v>
      </c>
      <c r="K5885" s="12" t="s">
        <v>9271</v>
      </c>
      <c r="L5885" s="20">
        <v>0.28676470588235292</v>
      </c>
    </row>
    <row r="5886" spans="1:12" x14ac:dyDescent="0.45">
      <c r="A5886" s="12" t="s">
        <v>9233</v>
      </c>
      <c r="B5886" s="12" t="s">
        <v>32</v>
      </c>
      <c r="C5886" s="13" t="s">
        <v>33</v>
      </c>
      <c r="D5886" s="13" t="s">
        <v>179</v>
      </c>
      <c r="E5886" s="12" t="s">
        <v>16</v>
      </c>
      <c r="F5886" s="14">
        <v>410000</v>
      </c>
      <c r="G5886" s="14">
        <v>272000</v>
      </c>
      <c r="H5886" s="13" t="s">
        <v>9272</v>
      </c>
      <c r="I5886" s="40" t="s">
        <v>18</v>
      </c>
      <c r="J5886" s="40" t="str">
        <f>HYPERLINK("https://stock.pstatic.net/stock-research/company/64/20260126_company_884866000.pdf","PDF")</f>
        <v>PDF</v>
      </c>
      <c r="K5886" s="12" t="s">
        <v>9273</v>
      </c>
      <c r="L5886" s="20">
        <v>0.50735294117647056</v>
      </c>
    </row>
    <row r="5887" spans="1:12" x14ac:dyDescent="0.45">
      <c r="A5887" s="12" t="s">
        <v>9233</v>
      </c>
      <c r="B5887" s="12" t="s">
        <v>792</v>
      </c>
      <c r="C5887" s="13" t="s">
        <v>793</v>
      </c>
      <c r="D5887" s="13" t="s">
        <v>23</v>
      </c>
      <c r="E5887" s="12" t="s">
        <v>16</v>
      </c>
      <c r="F5887" s="14">
        <v>55000</v>
      </c>
      <c r="G5887" s="14">
        <v>38100</v>
      </c>
      <c r="H5887" s="13" t="s">
        <v>9274</v>
      </c>
      <c r="I5887" s="40" t="s">
        <v>18</v>
      </c>
      <c r="J5887" s="40" t="str">
        <f>HYPERLINK("https://m.stock.naver.com/research/company/89442","PDF")</f>
        <v>PDF</v>
      </c>
      <c r="K5887" s="12" t="s">
        <v>9275</v>
      </c>
      <c r="L5887" s="20">
        <v>0.44356955380577429</v>
      </c>
    </row>
    <row r="5888" spans="1:12" x14ac:dyDescent="0.45">
      <c r="A5888" s="12" t="s">
        <v>9233</v>
      </c>
      <c r="B5888" s="12" t="s">
        <v>32</v>
      </c>
      <c r="C5888" s="13" t="s">
        <v>33</v>
      </c>
      <c r="D5888" s="13" t="s">
        <v>23</v>
      </c>
      <c r="E5888" s="12" t="s">
        <v>16</v>
      </c>
      <c r="F5888" s="14">
        <v>400000</v>
      </c>
      <c r="G5888" s="14">
        <v>272000</v>
      </c>
      <c r="H5888" s="13" t="s">
        <v>9276</v>
      </c>
      <c r="I5888" s="40" t="s">
        <v>18</v>
      </c>
      <c r="J5888" s="40" t="str">
        <f>HYPERLINK("https://m.stock.naver.com/research/company/89441","PDF")</f>
        <v>PDF</v>
      </c>
      <c r="K5888" s="12" t="s">
        <v>9277</v>
      </c>
      <c r="L5888" s="20">
        <v>0.47058823529411759</v>
      </c>
    </row>
    <row r="5889" spans="1:12" x14ac:dyDescent="0.45">
      <c r="A5889" s="12" t="s">
        <v>9233</v>
      </c>
      <c r="B5889" s="12" t="s">
        <v>1065</v>
      </c>
      <c r="C5889" s="13" t="s">
        <v>1066</v>
      </c>
      <c r="D5889" s="13" t="s">
        <v>23</v>
      </c>
      <c r="E5889" s="12" t="s">
        <v>16</v>
      </c>
      <c r="F5889" s="14">
        <v>220000</v>
      </c>
      <c r="G5889" s="14">
        <v>181300</v>
      </c>
      <c r="H5889" s="13" t="s">
        <v>9278</v>
      </c>
      <c r="I5889" s="40" t="s">
        <v>18</v>
      </c>
      <c r="J5889" s="40" t="str">
        <f>HYPERLINK("https://stock.pstatic.net/stock-research/company/21/20260126_company_339118000.pdf","PDF")</f>
        <v>PDF</v>
      </c>
      <c r="K5889" s="12" t="s">
        <v>9279</v>
      </c>
      <c r="L5889" s="20">
        <v>0.2134583563154992</v>
      </c>
    </row>
    <row r="5890" spans="1:12" x14ac:dyDescent="0.45">
      <c r="A5890" s="12" t="s">
        <v>9233</v>
      </c>
      <c r="B5890" s="12" t="s">
        <v>1140</v>
      </c>
      <c r="C5890" s="13" t="s">
        <v>1141</v>
      </c>
      <c r="D5890" s="13" t="s">
        <v>23</v>
      </c>
      <c r="E5890" s="12" t="s">
        <v>50</v>
      </c>
      <c r="F5890" s="14">
        <v>62000</v>
      </c>
      <c r="G5890" s="14">
        <v>61200</v>
      </c>
      <c r="H5890" s="13" t="s">
        <v>9280</v>
      </c>
      <c r="I5890" s="40" t="s">
        <v>18</v>
      </c>
      <c r="J5890" s="40" t="str">
        <f>HYPERLINK("https://m.stock.naver.com/research/company/89439","PDF")</f>
        <v>PDF</v>
      </c>
      <c r="K5890" s="12" t="s">
        <v>9281</v>
      </c>
      <c r="L5890" s="20">
        <v>1.30718954248366E-2</v>
      </c>
    </row>
    <row r="5891" spans="1:12" x14ac:dyDescent="0.45">
      <c r="A5891" s="12" t="s">
        <v>9233</v>
      </c>
      <c r="B5891" s="12" t="s">
        <v>3403</v>
      </c>
      <c r="C5891" s="13" t="s">
        <v>3404</v>
      </c>
      <c r="D5891" s="13" t="s">
        <v>34</v>
      </c>
      <c r="E5891" s="12" t="s">
        <v>35</v>
      </c>
      <c r="F5891" s="14">
        <v>47000</v>
      </c>
      <c r="G5891" s="14">
        <v>39550</v>
      </c>
      <c r="H5891" s="13" t="s">
        <v>9282</v>
      </c>
      <c r="I5891" s="40" t="s">
        <v>18</v>
      </c>
      <c r="J5891" s="40" t="str">
        <f>HYPERLINK("https://stock.pstatic.net/stock-research/company/61/20260126_company_595666000.pdf","PDF")</f>
        <v>PDF</v>
      </c>
      <c r="K5891" s="12" t="s">
        <v>9283</v>
      </c>
      <c r="L5891" s="20">
        <v>0.18836915297092291</v>
      </c>
    </row>
    <row r="5892" spans="1:12" x14ac:dyDescent="0.45">
      <c r="A5892" s="12" t="s">
        <v>9233</v>
      </c>
      <c r="B5892" s="12" t="s">
        <v>2911</v>
      </c>
      <c r="C5892" s="13" t="s">
        <v>2912</v>
      </c>
      <c r="D5892" s="13" t="s">
        <v>34</v>
      </c>
      <c r="E5892" s="12" t="s">
        <v>35</v>
      </c>
      <c r="F5892" s="14">
        <v>22000</v>
      </c>
      <c r="G5892" s="14">
        <v>16200</v>
      </c>
      <c r="H5892" s="13" t="s">
        <v>9284</v>
      </c>
      <c r="I5892" s="40" t="s">
        <v>18</v>
      </c>
      <c r="J5892" s="40" t="str">
        <f>HYPERLINK("https://m.stock.naver.com/research/company/89437","PDF")</f>
        <v>PDF</v>
      </c>
      <c r="K5892" s="12" t="s">
        <v>9285</v>
      </c>
      <c r="L5892" s="20">
        <v>0.35802469135802473</v>
      </c>
    </row>
    <row r="5893" spans="1:12" x14ac:dyDescent="0.45">
      <c r="A5893" s="12" t="s">
        <v>9233</v>
      </c>
      <c r="B5893" s="12" t="s">
        <v>1350</v>
      </c>
      <c r="C5893" s="13" t="s">
        <v>1351</v>
      </c>
      <c r="D5893" s="13" t="s">
        <v>53</v>
      </c>
      <c r="E5893" s="12" t="s">
        <v>16</v>
      </c>
      <c r="F5893" s="14">
        <v>52000</v>
      </c>
      <c r="G5893" s="14">
        <v>34350</v>
      </c>
      <c r="H5893" s="13" t="s">
        <v>9286</v>
      </c>
      <c r="I5893" s="40" t="s">
        <v>18</v>
      </c>
      <c r="J5893" s="40" t="str">
        <f>HYPERLINK("https://m.stock.naver.com/research/company/89436","PDF")</f>
        <v>PDF</v>
      </c>
      <c r="K5893" s="12" t="s">
        <v>9287</v>
      </c>
      <c r="L5893" s="20">
        <v>0.51382823871906846</v>
      </c>
    </row>
    <row r="5894" spans="1:12" x14ac:dyDescent="0.45">
      <c r="A5894" s="12" t="s">
        <v>9233</v>
      </c>
      <c r="B5894" s="12" t="s">
        <v>1190</v>
      </c>
      <c r="C5894" s="13" t="s">
        <v>1191</v>
      </c>
      <c r="D5894" s="13" t="s">
        <v>34</v>
      </c>
      <c r="E5894" s="12" t="s">
        <v>35</v>
      </c>
      <c r="F5894" s="14">
        <v>138000</v>
      </c>
      <c r="G5894" s="14">
        <v>119200</v>
      </c>
      <c r="H5894" s="13" t="s">
        <v>9288</v>
      </c>
      <c r="I5894" s="40" t="s">
        <v>18</v>
      </c>
      <c r="J5894" s="40" t="str">
        <f>HYPERLINK("https://m.stock.naver.com/research/company/89435","PDF")</f>
        <v>PDF</v>
      </c>
      <c r="K5894" s="12" t="s">
        <v>9289</v>
      </c>
      <c r="L5894" s="20">
        <v>0.15771812080536909</v>
      </c>
    </row>
    <row r="5895" spans="1:12" x14ac:dyDescent="0.45">
      <c r="A5895" s="12" t="s">
        <v>9233</v>
      </c>
      <c r="B5895" s="12" t="s">
        <v>2414</v>
      </c>
      <c r="C5895" s="13" t="s">
        <v>2415</v>
      </c>
      <c r="D5895" s="13" t="s">
        <v>34</v>
      </c>
      <c r="E5895" s="12" t="s">
        <v>35</v>
      </c>
      <c r="F5895" s="14">
        <v>1200000</v>
      </c>
      <c r="G5895" s="14">
        <v>946000</v>
      </c>
      <c r="H5895" s="13" t="s">
        <v>9290</v>
      </c>
      <c r="I5895" s="40" t="s">
        <v>18</v>
      </c>
      <c r="J5895" s="40" t="str">
        <f>HYPERLINK("https://m.stock.naver.com/research/company/89434","PDF")</f>
        <v>PDF</v>
      </c>
      <c r="K5895" s="12" t="s">
        <v>9291</v>
      </c>
      <c r="L5895" s="20">
        <v>0.26849894291754761</v>
      </c>
    </row>
    <row r="5896" spans="1:12" x14ac:dyDescent="0.45">
      <c r="A5896" s="12" t="s">
        <v>9233</v>
      </c>
      <c r="B5896" s="12" t="s">
        <v>32</v>
      </c>
      <c r="C5896" s="13" t="s">
        <v>33</v>
      </c>
      <c r="D5896" s="13" t="s">
        <v>53</v>
      </c>
      <c r="E5896" s="12" t="s">
        <v>16</v>
      </c>
      <c r="F5896" s="14">
        <v>330000</v>
      </c>
      <c r="G5896" s="14">
        <v>272000</v>
      </c>
      <c r="H5896" s="13" t="s">
        <v>9292</v>
      </c>
      <c r="I5896" s="40" t="s">
        <v>18</v>
      </c>
      <c r="J5896" s="40" t="str">
        <f>HYPERLINK("https://m.stock.naver.com/research/company/89433","PDF")</f>
        <v>PDF</v>
      </c>
      <c r="K5896" s="12" t="s">
        <v>9293</v>
      </c>
      <c r="L5896" s="20">
        <v>0.21323529411764711</v>
      </c>
    </row>
    <row r="5897" spans="1:12" x14ac:dyDescent="0.45">
      <c r="A5897" s="12" t="s">
        <v>9233</v>
      </c>
      <c r="B5897" s="12" t="s">
        <v>95</v>
      </c>
      <c r="C5897" s="13" t="s">
        <v>31</v>
      </c>
      <c r="D5897" s="13" t="s">
        <v>34</v>
      </c>
      <c r="E5897" s="12" t="s">
        <v>35</v>
      </c>
      <c r="F5897" s="14">
        <v>40000</v>
      </c>
      <c r="G5897" s="14">
        <v>27000</v>
      </c>
      <c r="H5897" s="13" t="s">
        <v>9294</v>
      </c>
      <c r="I5897" s="40" t="s">
        <v>18</v>
      </c>
      <c r="J5897" s="40" t="str">
        <f>HYPERLINK("https://stock.pstatic.net/stock-research/company/61/20260127_company_625900000.pdf","PDF")</f>
        <v>PDF</v>
      </c>
      <c r="K5897" s="12" t="s">
        <v>9295</v>
      </c>
      <c r="L5897" s="20">
        <v>0.48148148148148151</v>
      </c>
    </row>
    <row r="5898" spans="1:12" x14ac:dyDescent="0.45">
      <c r="A5898" s="12" t="s">
        <v>9233</v>
      </c>
      <c r="B5898" s="12" t="s">
        <v>32</v>
      </c>
      <c r="C5898" s="13" t="s">
        <v>33</v>
      </c>
      <c r="D5898" s="13" t="s">
        <v>92</v>
      </c>
      <c r="E5898" s="12" t="s">
        <v>35</v>
      </c>
      <c r="F5898" s="14">
        <v>360000</v>
      </c>
      <c r="G5898" s="14">
        <v>272000</v>
      </c>
      <c r="H5898" s="13" t="s">
        <v>9296</v>
      </c>
      <c r="I5898" s="40" t="s">
        <v>18</v>
      </c>
      <c r="J5898" s="40" t="str">
        <f>HYPERLINK("https://stock.pstatic.net/stock-research/company/63/20260126_company_442514000.pdf","PDF")</f>
        <v>PDF</v>
      </c>
      <c r="K5898" s="12" t="s">
        <v>9297</v>
      </c>
      <c r="L5898" s="20">
        <v>0.3235294117647059</v>
      </c>
    </row>
    <row r="5899" spans="1:12" x14ac:dyDescent="0.45">
      <c r="A5899" s="12" t="s">
        <v>9233</v>
      </c>
      <c r="B5899" s="12" t="s">
        <v>1097</v>
      </c>
      <c r="C5899" s="13" t="s">
        <v>1098</v>
      </c>
      <c r="D5899" s="13" t="s">
        <v>53</v>
      </c>
      <c r="E5899" s="12" t="s">
        <v>16</v>
      </c>
      <c r="F5899" s="14">
        <v>145000</v>
      </c>
      <c r="G5899" s="14">
        <v>117200</v>
      </c>
      <c r="H5899" s="13" t="s">
        <v>9298</v>
      </c>
      <c r="I5899" s="40" t="s">
        <v>18</v>
      </c>
      <c r="J5899" s="40" t="str">
        <f>HYPERLINK("https://stock.pstatic.net/stock-research/company/40/20260126_company_868237000.pdf","PDF")</f>
        <v>PDF</v>
      </c>
      <c r="K5899" s="12" t="s">
        <v>9299</v>
      </c>
      <c r="L5899" s="20">
        <v>0.23720136518771329</v>
      </c>
    </row>
    <row r="5900" spans="1:12" x14ac:dyDescent="0.45">
      <c r="A5900" s="12" t="s">
        <v>9233</v>
      </c>
      <c r="B5900" s="12" t="s">
        <v>1507</v>
      </c>
      <c r="C5900" s="13" t="s">
        <v>1508</v>
      </c>
      <c r="D5900" s="13" t="s">
        <v>92</v>
      </c>
      <c r="E5900" s="12" t="s">
        <v>35</v>
      </c>
      <c r="F5900" s="14">
        <v>11000</v>
      </c>
      <c r="G5900" s="14">
        <v>8240</v>
      </c>
      <c r="H5900" s="13" t="s">
        <v>9300</v>
      </c>
      <c r="I5900" s="40" t="s">
        <v>18</v>
      </c>
      <c r="J5900" s="40" t="str">
        <f>HYPERLINK("https://stock.pstatic.net/stock-research/company/63/20260126_company_366251000.pdf","PDF")</f>
        <v>PDF</v>
      </c>
      <c r="K5900" s="12" t="s">
        <v>9301</v>
      </c>
      <c r="L5900" s="20">
        <v>0.33495145631067957</v>
      </c>
    </row>
    <row r="5901" spans="1:12" x14ac:dyDescent="0.45">
      <c r="A5901" s="12" t="s">
        <v>9233</v>
      </c>
      <c r="B5901" s="12" t="s">
        <v>95</v>
      </c>
      <c r="C5901" s="13" t="s">
        <v>31</v>
      </c>
      <c r="D5901" s="13" t="s">
        <v>92</v>
      </c>
      <c r="E5901" s="12" t="s">
        <v>35</v>
      </c>
      <c r="F5901" s="14">
        <v>38000</v>
      </c>
      <c r="G5901" s="14">
        <v>27000</v>
      </c>
      <c r="H5901" s="13" t="s">
        <v>9302</v>
      </c>
      <c r="I5901" s="40" t="s">
        <v>18</v>
      </c>
      <c r="J5901" s="40" t="str">
        <f>HYPERLINK("https://stock.pstatic.net/stock-research/company/63/20260126_company_426084000.pdf","PDF")</f>
        <v>PDF</v>
      </c>
      <c r="K5901" s="12" t="s">
        <v>9303</v>
      </c>
      <c r="L5901" s="20">
        <v>0.40740740740740738</v>
      </c>
    </row>
    <row r="5902" spans="1:12" x14ac:dyDescent="0.45">
      <c r="A5902" s="12" t="s">
        <v>9233</v>
      </c>
      <c r="B5902" s="12" t="s">
        <v>32</v>
      </c>
      <c r="C5902" s="13" t="s">
        <v>33</v>
      </c>
      <c r="D5902" s="13" t="s">
        <v>34</v>
      </c>
      <c r="E5902" s="12" t="s">
        <v>35</v>
      </c>
      <c r="F5902" s="14">
        <v>350000</v>
      </c>
      <c r="G5902" s="14">
        <v>272000</v>
      </c>
      <c r="H5902" s="13" t="s">
        <v>9304</v>
      </c>
      <c r="I5902" s="40" t="s">
        <v>18</v>
      </c>
      <c r="J5902" s="40" t="str">
        <f>HYPERLINK("https://stock.pstatic.net/stock-research/company/61/20260126_company_81154000.pdf","PDF")</f>
        <v>PDF</v>
      </c>
      <c r="K5902" s="12" t="s">
        <v>9305</v>
      </c>
      <c r="L5902" s="20">
        <v>0.28676470588235292</v>
      </c>
    </row>
    <row r="5903" spans="1:12" x14ac:dyDescent="0.45">
      <c r="A5903" s="12" t="s">
        <v>9233</v>
      </c>
      <c r="B5903" s="12" t="s">
        <v>32</v>
      </c>
      <c r="C5903" s="13" t="s">
        <v>33</v>
      </c>
      <c r="D5903" s="13" t="s">
        <v>44</v>
      </c>
      <c r="E5903" s="12" t="s">
        <v>35</v>
      </c>
      <c r="F5903" s="14">
        <v>340000</v>
      </c>
      <c r="G5903" s="14">
        <v>272000</v>
      </c>
      <c r="H5903" s="13" t="s">
        <v>9306</v>
      </c>
      <c r="I5903" s="40" t="s">
        <v>18</v>
      </c>
      <c r="J5903" s="40" t="str">
        <f>HYPERLINK("https://stock.pstatic.net/stock-research/company/39/20260126_company_764489000.pdf","PDF")</f>
        <v>PDF</v>
      </c>
      <c r="K5903" s="12" t="s">
        <v>9307</v>
      </c>
      <c r="L5903" s="20">
        <v>0.25</v>
      </c>
    </row>
    <row r="5904" spans="1:12" x14ac:dyDescent="0.45">
      <c r="A5904" s="12" t="s">
        <v>9233</v>
      </c>
      <c r="B5904" s="12" t="s">
        <v>1036</v>
      </c>
      <c r="C5904" s="13" t="s">
        <v>1037</v>
      </c>
      <c r="D5904" s="13" t="s">
        <v>44</v>
      </c>
      <c r="E5904" s="12" t="s">
        <v>45</v>
      </c>
      <c r="F5904" s="14">
        <v>17000</v>
      </c>
      <c r="G5904" s="14">
        <v>15000</v>
      </c>
      <c r="H5904" s="13" t="s">
        <v>9308</v>
      </c>
      <c r="I5904" s="40" t="s">
        <v>18</v>
      </c>
      <c r="J5904" s="40" t="str">
        <f>HYPERLINK("https://stock.pstatic.net/stock-research/company/39/20260126_company_718252000.pdf","PDF")</f>
        <v>PDF</v>
      </c>
      <c r="K5904" s="12" t="s">
        <v>9309</v>
      </c>
      <c r="L5904" s="20">
        <v>0.1333333333333333</v>
      </c>
    </row>
    <row r="5905" spans="1:12" x14ac:dyDescent="0.45">
      <c r="A5905" s="12" t="s">
        <v>9233</v>
      </c>
      <c r="B5905" s="12" t="s">
        <v>1682</v>
      </c>
      <c r="C5905" s="13" t="s">
        <v>4787</v>
      </c>
      <c r="D5905" s="13" t="s">
        <v>44</v>
      </c>
      <c r="E5905" s="12" t="s">
        <v>35</v>
      </c>
      <c r="F5905" s="14">
        <v>430000</v>
      </c>
      <c r="G5905" s="14">
        <v>227000</v>
      </c>
      <c r="H5905" s="13" t="s">
        <v>9310</v>
      </c>
      <c r="I5905" s="40" t="s">
        <v>18</v>
      </c>
      <c r="J5905" s="40" t="str">
        <f>HYPERLINK("https://stock.pstatic.net/stock-research/company/39/20260126_company_34487000.pdf","PDF")</f>
        <v>PDF</v>
      </c>
      <c r="K5905" s="12" t="s">
        <v>9311</v>
      </c>
      <c r="L5905" s="20">
        <v>0.89427312775330392</v>
      </c>
    </row>
    <row r="5906" spans="1:12" x14ac:dyDescent="0.45">
      <c r="A5906" s="12" t="s">
        <v>9233</v>
      </c>
      <c r="B5906" s="12" t="s">
        <v>2662</v>
      </c>
      <c r="C5906" s="13" t="s">
        <v>2663</v>
      </c>
      <c r="D5906" s="13" t="s">
        <v>44</v>
      </c>
      <c r="E5906" s="12" t="s">
        <v>35</v>
      </c>
      <c r="F5906" s="14">
        <v>130000</v>
      </c>
      <c r="G5906" s="14">
        <v>67800</v>
      </c>
      <c r="H5906" s="13" t="s">
        <v>9312</v>
      </c>
      <c r="I5906" s="40" t="s">
        <v>18</v>
      </c>
      <c r="J5906" s="40" t="str">
        <f>HYPERLINK("https://stock.pstatic.net/stock-research/company/39/20260126_company_460029000.pdf","PDF")</f>
        <v>PDF</v>
      </c>
      <c r="K5906" s="12" t="s">
        <v>9313</v>
      </c>
      <c r="L5906" s="20">
        <v>0.91740412979351027</v>
      </c>
    </row>
    <row r="5907" spans="1:12" x14ac:dyDescent="0.45">
      <c r="A5907" s="12" t="s">
        <v>9233</v>
      </c>
      <c r="B5907" s="12" t="s">
        <v>916</v>
      </c>
      <c r="C5907" s="13" t="s">
        <v>917</v>
      </c>
      <c r="D5907" s="13" t="s">
        <v>44</v>
      </c>
      <c r="E5907" s="12" t="s">
        <v>35</v>
      </c>
      <c r="F5907" s="14">
        <v>110000</v>
      </c>
      <c r="G5907" s="14">
        <v>61000</v>
      </c>
      <c r="H5907" s="13" t="s">
        <v>9314</v>
      </c>
      <c r="I5907" s="40" t="s">
        <v>18</v>
      </c>
      <c r="J5907" s="40" t="str">
        <f>HYPERLINK("https://stock.pstatic.net/stock-research/company/39/20260126_company_852054000.pdf","PDF")</f>
        <v>PDF</v>
      </c>
      <c r="K5907" s="12" t="s">
        <v>9315</v>
      </c>
      <c r="L5907" s="20">
        <v>0.80327868852459017</v>
      </c>
    </row>
    <row r="5908" spans="1:12" x14ac:dyDescent="0.45">
      <c r="A5908" s="12" t="s">
        <v>9233</v>
      </c>
      <c r="B5908" s="12" t="s">
        <v>95</v>
      </c>
      <c r="C5908" s="13" t="s">
        <v>31</v>
      </c>
      <c r="D5908" s="13" t="s">
        <v>44</v>
      </c>
      <c r="E5908" s="12" t="s">
        <v>35</v>
      </c>
      <c r="F5908" s="14">
        <v>40000</v>
      </c>
      <c r="G5908" s="14">
        <v>27000</v>
      </c>
      <c r="H5908" s="13" t="s">
        <v>9316</v>
      </c>
      <c r="I5908" s="40" t="s">
        <v>18</v>
      </c>
      <c r="J5908" s="40" t="str">
        <f>HYPERLINK("https://stock.pstatic.net/stock-research/company/39/20260126_company_457848000.pdf","PDF")</f>
        <v>PDF</v>
      </c>
      <c r="K5908" s="12" t="s">
        <v>9317</v>
      </c>
      <c r="L5908" s="20">
        <v>0.48148148148148151</v>
      </c>
    </row>
    <row r="5909" spans="1:12" x14ac:dyDescent="0.45">
      <c r="A5909" s="12" t="s">
        <v>9233</v>
      </c>
      <c r="B5909" s="12" t="s">
        <v>95</v>
      </c>
      <c r="C5909" s="13" t="s">
        <v>31</v>
      </c>
      <c r="D5909" s="13" t="s">
        <v>53</v>
      </c>
      <c r="E5909" s="12" t="s">
        <v>16</v>
      </c>
      <c r="F5909" s="14">
        <v>35000</v>
      </c>
      <c r="G5909" s="14">
        <v>27000</v>
      </c>
      <c r="H5909" s="13" t="s">
        <v>9318</v>
      </c>
      <c r="I5909" s="40" t="s">
        <v>18</v>
      </c>
      <c r="J5909" s="40" t="str">
        <f>HYPERLINK("https://stock.pstatic.net/stock-research/company/40/20260126_company_713259000.pdf","PDF")</f>
        <v>PDF</v>
      </c>
      <c r="K5909" s="12" t="s">
        <v>9319</v>
      </c>
      <c r="L5909" s="20">
        <v>0.29629629629629628</v>
      </c>
    </row>
    <row r="5910" spans="1:12" x14ac:dyDescent="0.45">
      <c r="A5910" s="12" t="s">
        <v>9233</v>
      </c>
      <c r="B5910" s="12" t="s">
        <v>792</v>
      </c>
      <c r="C5910" s="13" t="s">
        <v>793</v>
      </c>
      <c r="D5910" s="13" t="s">
        <v>15</v>
      </c>
      <c r="E5910" s="12" t="s">
        <v>385</v>
      </c>
      <c r="F5910" s="14">
        <v>35000</v>
      </c>
      <c r="G5910" s="14">
        <v>38100</v>
      </c>
      <c r="H5910" s="13" t="s">
        <v>9320</v>
      </c>
      <c r="I5910" s="40" t="s">
        <v>18</v>
      </c>
      <c r="J5910" s="40" t="str">
        <f>HYPERLINK("https://stock.pstatic.net/stock-research/company/56/20260126_company_378175000.pdf","PDF")</f>
        <v>PDF</v>
      </c>
      <c r="K5910" s="12" t="s">
        <v>9321</v>
      </c>
      <c r="L5910" s="20">
        <v>-8.1364829396325458E-2</v>
      </c>
    </row>
    <row r="5911" spans="1:12" x14ac:dyDescent="0.45">
      <c r="A5911" s="12" t="s">
        <v>9322</v>
      </c>
      <c r="B5911" s="12" t="s">
        <v>9323</v>
      </c>
      <c r="C5911" s="13" t="s">
        <v>9324</v>
      </c>
      <c r="D5911" s="13" t="s">
        <v>124</v>
      </c>
      <c r="E5911" s="12" t="s">
        <v>50</v>
      </c>
      <c r="F5911" s="13"/>
      <c r="G5911" s="14">
        <v>6480</v>
      </c>
      <c r="H5911" s="13" t="s">
        <v>9325</v>
      </c>
      <c r="I5911" s="40" t="s">
        <v>18</v>
      </c>
      <c r="J5911" s="40" t="str">
        <f>HYPERLINK("https://stock.pstatic.net/stock-research/company/74/20260123_company_130604000.pdf","PDF")</f>
        <v>PDF</v>
      </c>
      <c r="K5911" s="12" t="s">
        <v>9326</v>
      </c>
    </row>
    <row r="5912" spans="1:12" x14ac:dyDescent="0.45">
      <c r="A5912" s="12" t="s">
        <v>9322</v>
      </c>
      <c r="B5912" s="12" t="s">
        <v>9327</v>
      </c>
      <c r="C5912" s="13" t="s">
        <v>9328</v>
      </c>
      <c r="D5912" s="13" t="s">
        <v>124</v>
      </c>
      <c r="E5912" s="12" t="s">
        <v>50</v>
      </c>
      <c r="F5912" s="13"/>
      <c r="G5912" s="14">
        <v>18850</v>
      </c>
      <c r="H5912" s="13" t="s">
        <v>9329</v>
      </c>
      <c r="I5912" s="40" t="s">
        <v>18</v>
      </c>
      <c r="J5912" s="40" t="str">
        <f>HYPERLINK("https://stock.pstatic.net/stock-research/company/74/20260123_company_570313000.pdf","PDF")</f>
        <v>PDF</v>
      </c>
      <c r="K5912" s="12" t="s">
        <v>9330</v>
      </c>
    </row>
    <row r="5913" spans="1:12" x14ac:dyDescent="0.45">
      <c r="A5913" s="12" t="s">
        <v>9322</v>
      </c>
      <c r="B5913" s="12" t="s">
        <v>1648</v>
      </c>
      <c r="C5913" s="13" t="s">
        <v>1649</v>
      </c>
      <c r="D5913" s="13" t="s">
        <v>57</v>
      </c>
      <c r="E5913" s="12" t="s">
        <v>35</v>
      </c>
      <c r="F5913" s="14">
        <v>150000</v>
      </c>
      <c r="G5913" s="14">
        <v>108100</v>
      </c>
      <c r="H5913" s="13" t="s">
        <v>9331</v>
      </c>
      <c r="I5913" s="40" t="s">
        <v>18</v>
      </c>
      <c r="J5913" s="40" t="str">
        <f>HYPERLINK("https://stock.pstatic.net/stock-research/company/16/20260123_company_230891000.pdf","PDF")</f>
        <v>PDF</v>
      </c>
      <c r="K5913" s="12" t="s">
        <v>9332</v>
      </c>
      <c r="L5913" s="20">
        <v>0.38760407030527289</v>
      </c>
    </row>
    <row r="5914" spans="1:12" x14ac:dyDescent="0.45">
      <c r="A5914" s="12" t="s">
        <v>9322</v>
      </c>
      <c r="B5914" s="12" t="s">
        <v>908</v>
      </c>
      <c r="C5914" s="13" t="s">
        <v>909</v>
      </c>
      <c r="D5914" s="13" t="s">
        <v>276</v>
      </c>
      <c r="E5914" s="12" t="s">
        <v>16</v>
      </c>
      <c r="F5914" s="14">
        <v>210000</v>
      </c>
      <c r="G5914" s="14">
        <v>169200</v>
      </c>
      <c r="H5914" s="13" t="s">
        <v>9333</v>
      </c>
      <c r="I5914" s="40" t="s">
        <v>18</v>
      </c>
      <c r="J5914" s="40" t="str">
        <f>HYPERLINK("https://stock.pstatic.net/stock-research/company/66/20260123_company_365301000.pdf","PDF")</f>
        <v>PDF</v>
      </c>
      <c r="K5914" s="12" t="s">
        <v>9334</v>
      </c>
      <c r="L5914" s="20">
        <v>0.2411347517730496</v>
      </c>
    </row>
    <row r="5915" spans="1:12" x14ac:dyDescent="0.45">
      <c r="A5915" s="12" t="s">
        <v>9322</v>
      </c>
      <c r="B5915" s="12" t="s">
        <v>2522</v>
      </c>
      <c r="C5915" s="13" t="s">
        <v>2523</v>
      </c>
      <c r="D5915" s="13" t="s">
        <v>60</v>
      </c>
      <c r="E5915" s="12" t="s">
        <v>35</v>
      </c>
      <c r="F5915" s="14">
        <v>346000</v>
      </c>
      <c r="G5915" s="14">
        <v>236500</v>
      </c>
      <c r="H5915" s="13" t="s">
        <v>9335</v>
      </c>
      <c r="I5915" s="40" t="s">
        <v>18</v>
      </c>
      <c r="J5915" s="40" t="str">
        <f>HYPERLINK("https://stock.pstatic.net/stock-research/company/62/20260123_company_205651000.pdf","PDF")</f>
        <v>PDF</v>
      </c>
      <c r="K5915" s="12" t="s">
        <v>9336</v>
      </c>
      <c r="L5915" s="20">
        <v>0.46300211416490489</v>
      </c>
    </row>
    <row r="5916" spans="1:12" x14ac:dyDescent="0.45">
      <c r="A5916" s="12" t="s">
        <v>9322</v>
      </c>
      <c r="B5916" s="12" t="s">
        <v>511</v>
      </c>
      <c r="C5916" s="13" t="s">
        <v>512</v>
      </c>
      <c r="D5916" s="13" t="s">
        <v>65</v>
      </c>
      <c r="E5916" s="12" t="s">
        <v>35</v>
      </c>
      <c r="F5916" s="14">
        <v>90000</v>
      </c>
      <c r="G5916" s="14">
        <v>74200</v>
      </c>
      <c r="H5916" s="13" t="s">
        <v>9337</v>
      </c>
      <c r="I5916" s="40" t="s">
        <v>18</v>
      </c>
      <c r="J5916" s="40" t="str">
        <f>HYPERLINK("https://stock.pstatic.net/stock-research/company/57/20260123_company_203203000.pdf","PDF")</f>
        <v>PDF</v>
      </c>
      <c r="K5916" s="12" t="s">
        <v>9338</v>
      </c>
      <c r="L5916" s="20">
        <v>0.2129380053908356</v>
      </c>
    </row>
    <row r="5917" spans="1:12" x14ac:dyDescent="0.45">
      <c r="A5917" s="12" t="s">
        <v>9322</v>
      </c>
      <c r="B5917" s="12" t="s">
        <v>1789</v>
      </c>
      <c r="C5917" s="13" t="s">
        <v>1790</v>
      </c>
      <c r="D5917" s="13" t="s">
        <v>65</v>
      </c>
      <c r="E5917" s="12" t="s">
        <v>35</v>
      </c>
      <c r="F5917" s="14">
        <v>67000</v>
      </c>
      <c r="G5917" s="14">
        <v>47400</v>
      </c>
      <c r="H5917" s="13" t="s">
        <v>9339</v>
      </c>
      <c r="I5917" s="40" t="s">
        <v>18</v>
      </c>
      <c r="J5917" s="40" t="str">
        <f>HYPERLINK("https://stock.pstatic.net/stock-research/company/57/20260123_company_3843000.pdf","PDF")</f>
        <v>PDF</v>
      </c>
      <c r="K5917" s="12" t="s">
        <v>9340</v>
      </c>
      <c r="L5917" s="20">
        <v>0.41350210970464141</v>
      </c>
    </row>
    <row r="5918" spans="1:12" x14ac:dyDescent="0.45">
      <c r="A5918" s="12" t="s">
        <v>9322</v>
      </c>
      <c r="B5918" s="12" t="s">
        <v>669</v>
      </c>
      <c r="C5918" s="13" t="s">
        <v>670</v>
      </c>
      <c r="D5918" s="13" t="s">
        <v>65</v>
      </c>
      <c r="E5918" s="12" t="s">
        <v>35</v>
      </c>
      <c r="F5918" s="14">
        <v>28000</v>
      </c>
      <c r="G5918" s="14">
        <v>15010</v>
      </c>
      <c r="H5918" s="13" t="s">
        <v>9341</v>
      </c>
      <c r="I5918" s="40" t="s">
        <v>18</v>
      </c>
      <c r="J5918" s="40" t="str">
        <f>HYPERLINK("https://stock.pstatic.net/stock-research/company/57/20260123_company_183045000.pdf","PDF")</f>
        <v>PDF</v>
      </c>
      <c r="K5918" s="12" t="s">
        <v>9342</v>
      </c>
      <c r="L5918" s="20">
        <v>0.86542305129913388</v>
      </c>
    </row>
    <row r="5919" spans="1:12" x14ac:dyDescent="0.45">
      <c r="A5919" s="12" t="s">
        <v>9322</v>
      </c>
      <c r="B5919" s="12" t="s">
        <v>908</v>
      </c>
      <c r="C5919" s="13" t="s">
        <v>909</v>
      </c>
      <c r="D5919" s="13" t="s">
        <v>65</v>
      </c>
      <c r="E5919" s="12" t="s">
        <v>35</v>
      </c>
      <c r="F5919" s="14">
        <v>220000</v>
      </c>
      <c r="G5919" s="14">
        <v>169200</v>
      </c>
      <c r="H5919" s="13" t="s">
        <v>9343</v>
      </c>
      <c r="I5919" s="40" t="s">
        <v>18</v>
      </c>
      <c r="J5919" s="40" t="str">
        <f>HYPERLINK("https://stock.pstatic.net/stock-research/company/57/20260123_company_286076000.pdf","PDF")</f>
        <v>PDF</v>
      </c>
      <c r="K5919" s="12" t="s">
        <v>9344</v>
      </c>
      <c r="L5919" s="20">
        <v>0.30023640661938528</v>
      </c>
    </row>
    <row r="5920" spans="1:12" x14ac:dyDescent="0.45">
      <c r="A5920" s="12" t="s">
        <v>9322</v>
      </c>
      <c r="B5920" s="12" t="s">
        <v>3079</v>
      </c>
      <c r="C5920" s="13" t="s">
        <v>3080</v>
      </c>
      <c r="D5920" s="13" t="s">
        <v>65</v>
      </c>
      <c r="E5920" s="12" t="s">
        <v>35</v>
      </c>
      <c r="F5920" s="14">
        <v>89000</v>
      </c>
      <c r="G5920" s="14">
        <v>73300</v>
      </c>
      <c r="H5920" s="13" t="s">
        <v>9345</v>
      </c>
      <c r="I5920" s="40" t="s">
        <v>18</v>
      </c>
      <c r="J5920" s="40" t="str">
        <f>HYPERLINK("https://stock.pstatic.net/stock-research/company/57/20260123_company_751447000.pdf","PDF")</f>
        <v>PDF</v>
      </c>
      <c r="K5920" s="12" t="s">
        <v>9346</v>
      </c>
      <c r="L5920" s="20">
        <v>0.2141882673942701</v>
      </c>
    </row>
    <row r="5921" spans="1:12" x14ac:dyDescent="0.45">
      <c r="A5921" s="12" t="s">
        <v>9322</v>
      </c>
      <c r="B5921" s="12" t="s">
        <v>6985</v>
      </c>
      <c r="C5921" s="13" t="s">
        <v>6986</v>
      </c>
      <c r="D5921" s="13" t="s">
        <v>158</v>
      </c>
      <c r="E5921" s="12" t="s">
        <v>50</v>
      </c>
      <c r="F5921" s="13"/>
      <c r="G5921" s="14">
        <v>11250</v>
      </c>
      <c r="H5921" s="13" t="s">
        <v>9347</v>
      </c>
      <c r="I5921" s="40" t="s">
        <v>18</v>
      </c>
      <c r="J5921" s="40" t="str">
        <f>HYPERLINK("https://stock.pstatic.net/stock-research/company/18/20260123_company_338039000.pdf","PDF")</f>
        <v>PDF</v>
      </c>
      <c r="K5921" s="12" t="s">
        <v>9348</v>
      </c>
    </row>
    <row r="5922" spans="1:12" x14ac:dyDescent="0.45">
      <c r="A5922" s="12" t="s">
        <v>9322</v>
      </c>
      <c r="B5922" s="12" t="s">
        <v>63</v>
      </c>
      <c r="C5922" s="13" t="s">
        <v>64</v>
      </c>
      <c r="D5922" s="13" t="s">
        <v>1271</v>
      </c>
      <c r="E5922" s="12" t="s">
        <v>35</v>
      </c>
      <c r="F5922" s="14">
        <v>560000</v>
      </c>
      <c r="G5922" s="14">
        <v>445000</v>
      </c>
      <c r="H5922" s="13" t="s">
        <v>9349</v>
      </c>
      <c r="I5922" s="40" t="s">
        <v>18</v>
      </c>
      <c r="J5922" s="40" t="str">
        <f>HYPERLINK("https://stock.pstatic.net/stock-research/company/78/20260123_company_330913000.pdf","PDF")</f>
        <v>PDF</v>
      </c>
      <c r="K5922" s="12" t="s">
        <v>9350</v>
      </c>
      <c r="L5922" s="20">
        <v>0.25842696629213491</v>
      </c>
    </row>
    <row r="5923" spans="1:12" x14ac:dyDescent="0.45">
      <c r="A5923" s="12" t="s">
        <v>9322</v>
      </c>
      <c r="B5923" s="12" t="s">
        <v>1694</v>
      </c>
      <c r="C5923" s="13" t="s">
        <v>1695</v>
      </c>
      <c r="D5923" s="13" t="s">
        <v>1271</v>
      </c>
      <c r="E5923" s="12" t="s">
        <v>35</v>
      </c>
      <c r="F5923" s="14">
        <v>77000</v>
      </c>
      <c r="G5923" s="14">
        <v>57900</v>
      </c>
      <c r="H5923" s="13" t="s">
        <v>9351</v>
      </c>
      <c r="I5923" s="40" t="s">
        <v>18</v>
      </c>
      <c r="J5923" s="40" t="str">
        <f>HYPERLINK("https://stock.pstatic.net/stock-research/company/78/20260123_company_636381000.pdf","PDF")</f>
        <v>PDF</v>
      </c>
      <c r="K5923" s="12" t="s">
        <v>9352</v>
      </c>
      <c r="L5923" s="20">
        <v>0.32987910189982728</v>
      </c>
    </row>
    <row r="5924" spans="1:12" x14ac:dyDescent="0.45">
      <c r="A5924" s="12" t="s">
        <v>9322</v>
      </c>
      <c r="B5924" s="12" t="s">
        <v>4864</v>
      </c>
      <c r="C5924" s="13" t="s">
        <v>4865</v>
      </c>
      <c r="D5924" s="13" t="s">
        <v>1271</v>
      </c>
      <c r="E5924" s="12" t="s">
        <v>35</v>
      </c>
      <c r="F5924" s="14">
        <v>42000</v>
      </c>
      <c r="G5924" s="14">
        <v>31300</v>
      </c>
      <c r="H5924" s="13" t="s">
        <v>9353</v>
      </c>
      <c r="I5924" s="40" t="s">
        <v>18</v>
      </c>
      <c r="J5924" s="40" t="str">
        <f>HYPERLINK("https://stock.pstatic.net/stock-research/company/78/20260123_company_973601000.pdf","PDF")</f>
        <v>PDF</v>
      </c>
      <c r="K5924" s="12" t="s">
        <v>9354</v>
      </c>
      <c r="L5924" s="20">
        <v>0.34185303514377002</v>
      </c>
    </row>
    <row r="5925" spans="1:12" x14ac:dyDescent="0.45">
      <c r="A5925" s="12" t="s">
        <v>9322</v>
      </c>
      <c r="B5925" s="12" t="s">
        <v>118</v>
      </c>
      <c r="C5925" s="13" t="s">
        <v>119</v>
      </c>
      <c r="D5925" s="13" t="s">
        <v>1271</v>
      </c>
      <c r="E5925" s="12" t="s">
        <v>35</v>
      </c>
      <c r="F5925" s="14">
        <v>113000</v>
      </c>
      <c r="G5925" s="14">
        <v>86100</v>
      </c>
      <c r="H5925" s="13" t="s">
        <v>9355</v>
      </c>
      <c r="I5925" s="40" t="s">
        <v>18</v>
      </c>
      <c r="J5925" s="40" t="str">
        <f>HYPERLINK("https://stock.pstatic.net/stock-research/company/78/20260123_company_247594000.pdf","PDF")</f>
        <v>PDF</v>
      </c>
      <c r="K5925" s="12" t="s">
        <v>9356</v>
      </c>
      <c r="L5925" s="20">
        <v>0.31242740998838558</v>
      </c>
    </row>
    <row r="5926" spans="1:12" x14ac:dyDescent="0.45">
      <c r="A5926" s="12" t="s">
        <v>9322</v>
      </c>
      <c r="B5926" s="12" t="s">
        <v>1648</v>
      </c>
      <c r="C5926" s="13" t="s">
        <v>1649</v>
      </c>
      <c r="D5926" s="13" t="s">
        <v>1271</v>
      </c>
      <c r="E5926" s="12" t="s">
        <v>35</v>
      </c>
      <c r="F5926" s="14">
        <v>150000</v>
      </c>
      <c r="G5926" s="14">
        <v>114000</v>
      </c>
      <c r="H5926" s="13" t="s">
        <v>9357</v>
      </c>
      <c r="I5926" s="40" t="s">
        <v>18</v>
      </c>
      <c r="J5926" s="40" t="str">
        <f>HYPERLINK("https://stock.pstatic.net/stock-research/company/78/20260123_company_704151000.pdf","PDF")</f>
        <v>PDF</v>
      </c>
      <c r="K5926" s="12" t="s">
        <v>9358</v>
      </c>
      <c r="L5926" s="20">
        <v>0.31578947368421051</v>
      </c>
    </row>
    <row r="5927" spans="1:12" x14ac:dyDescent="0.45">
      <c r="A5927" s="12" t="s">
        <v>9322</v>
      </c>
      <c r="B5927" s="12" t="s">
        <v>27</v>
      </c>
      <c r="C5927" s="13" t="s">
        <v>28</v>
      </c>
      <c r="D5927" s="13" t="s">
        <v>1271</v>
      </c>
      <c r="E5927" s="12" t="s">
        <v>35</v>
      </c>
      <c r="F5927" s="14">
        <v>95000</v>
      </c>
      <c r="G5927" s="14">
        <v>77200</v>
      </c>
      <c r="H5927" s="13" t="s">
        <v>9359</v>
      </c>
      <c r="I5927" s="40" t="s">
        <v>18</v>
      </c>
      <c r="J5927" s="40" t="str">
        <f>HYPERLINK("https://stock.pstatic.net/stock-research/company/78/20260123_company_893882000.pdf","PDF")</f>
        <v>PDF</v>
      </c>
      <c r="K5927" s="12" t="s">
        <v>9360</v>
      </c>
      <c r="L5927" s="20">
        <v>0.23056994818652851</v>
      </c>
    </row>
    <row r="5928" spans="1:12" x14ac:dyDescent="0.45">
      <c r="A5928" s="12" t="s">
        <v>9322</v>
      </c>
      <c r="B5928" s="12" t="s">
        <v>485</v>
      </c>
      <c r="C5928" s="13" t="s">
        <v>486</v>
      </c>
      <c r="D5928" s="13" t="s">
        <v>1271</v>
      </c>
      <c r="E5928" s="12" t="s">
        <v>35</v>
      </c>
      <c r="F5928" s="14">
        <v>220000</v>
      </c>
      <c r="G5928" s="14">
        <v>170500</v>
      </c>
      <c r="H5928" s="13" t="s">
        <v>9361</v>
      </c>
      <c r="I5928" s="40" t="s">
        <v>18</v>
      </c>
      <c r="J5928" s="40" t="str">
        <f>HYPERLINK("https://stock.pstatic.net/stock-research/company/78/20260123_company_784710000.pdf","PDF")</f>
        <v>PDF</v>
      </c>
      <c r="K5928" s="12" t="s">
        <v>9362</v>
      </c>
      <c r="L5928" s="20">
        <v>0.29032258064516131</v>
      </c>
    </row>
    <row r="5929" spans="1:12" x14ac:dyDescent="0.45">
      <c r="A5929" s="12" t="s">
        <v>9322</v>
      </c>
      <c r="B5929" s="12" t="s">
        <v>1666</v>
      </c>
      <c r="C5929" s="13" t="s">
        <v>1667</v>
      </c>
      <c r="D5929" s="13" t="s">
        <v>1271</v>
      </c>
      <c r="E5929" s="12" t="s">
        <v>35</v>
      </c>
      <c r="F5929" s="14">
        <v>74000</v>
      </c>
      <c r="G5929" s="14">
        <v>51200</v>
      </c>
      <c r="H5929" s="13" t="s">
        <v>9363</v>
      </c>
      <c r="I5929" s="40" t="s">
        <v>18</v>
      </c>
      <c r="J5929" s="40" t="str">
        <f>HYPERLINK("https://stock.pstatic.net/stock-research/company/78/20260123_company_135648000.pdf","PDF")</f>
        <v>PDF</v>
      </c>
      <c r="K5929" s="12" t="s">
        <v>9364</v>
      </c>
      <c r="L5929" s="20">
        <v>0.4453125</v>
      </c>
    </row>
    <row r="5930" spans="1:12" x14ac:dyDescent="0.45">
      <c r="A5930" s="12" t="s">
        <v>9322</v>
      </c>
      <c r="B5930" s="12" t="s">
        <v>2762</v>
      </c>
      <c r="C5930" s="13" t="s">
        <v>2763</v>
      </c>
      <c r="D5930" s="13" t="s">
        <v>1271</v>
      </c>
      <c r="E5930" s="12" t="s">
        <v>35</v>
      </c>
      <c r="F5930" s="14">
        <v>90000</v>
      </c>
      <c r="G5930" s="14">
        <v>64700</v>
      </c>
      <c r="H5930" s="13" t="s">
        <v>9365</v>
      </c>
      <c r="I5930" s="40" t="s">
        <v>18</v>
      </c>
      <c r="J5930" s="40" t="str">
        <f>HYPERLINK("https://stock.pstatic.net/stock-research/company/78/20260123_company_948769000.pdf","PDF")</f>
        <v>PDF</v>
      </c>
      <c r="K5930" s="12" t="s">
        <v>9366</v>
      </c>
      <c r="L5930" s="20">
        <v>0.39103554868624418</v>
      </c>
    </row>
    <row r="5931" spans="1:12" x14ac:dyDescent="0.45">
      <c r="A5931" s="12" t="s">
        <v>9322</v>
      </c>
      <c r="B5931" s="12" t="s">
        <v>1674</v>
      </c>
      <c r="C5931" s="13" t="s">
        <v>1675</v>
      </c>
      <c r="D5931" s="13" t="s">
        <v>1271</v>
      </c>
      <c r="E5931" s="12" t="s">
        <v>35</v>
      </c>
      <c r="F5931" s="14">
        <v>580000</v>
      </c>
      <c r="G5931" s="14">
        <v>438500</v>
      </c>
      <c r="H5931" s="13" t="s">
        <v>9367</v>
      </c>
      <c r="I5931" s="40" t="s">
        <v>18</v>
      </c>
      <c r="J5931" s="40" t="str">
        <f>HYPERLINK("https://stock.pstatic.net/stock-research/company/78/20260123_company_514453000.pdf","PDF")</f>
        <v>PDF</v>
      </c>
      <c r="K5931" s="12" t="s">
        <v>9368</v>
      </c>
      <c r="L5931" s="20">
        <v>0.32269099201824403</v>
      </c>
    </row>
    <row r="5932" spans="1:12" x14ac:dyDescent="0.45">
      <c r="A5932" s="12" t="s">
        <v>9322</v>
      </c>
      <c r="B5932" s="12" t="s">
        <v>9369</v>
      </c>
      <c r="C5932" s="13" t="s">
        <v>9370</v>
      </c>
      <c r="D5932" s="13" t="s">
        <v>15</v>
      </c>
      <c r="E5932" s="12" t="s">
        <v>385</v>
      </c>
      <c r="F5932" s="14">
        <v>33000</v>
      </c>
      <c r="G5932" s="14">
        <v>28850</v>
      </c>
      <c r="H5932" s="13" t="s">
        <v>9371</v>
      </c>
      <c r="I5932" s="40" t="s">
        <v>18</v>
      </c>
      <c r="J5932" s="40" t="str">
        <f>HYPERLINK("https://stock.pstatic.net/stock-research/company/56/20260123_company_554514000.pdf","PDF")</f>
        <v>PDF</v>
      </c>
      <c r="K5932" s="12" t="s">
        <v>9372</v>
      </c>
      <c r="L5932" s="20">
        <v>0.14384748700173311</v>
      </c>
    </row>
    <row r="5933" spans="1:12" x14ac:dyDescent="0.45">
      <c r="A5933" s="12" t="s">
        <v>9322</v>
      </c>
      <c r="B5933" s="12" t="s">
        <v>888</v>
      </c>
      <c r="C5933" s="13" t="s">
        <v>889</v>
      </c>
      <c r="D5933" s="13" t="s">
        <v>83</v>
      </c>
      <c r="E5933" s="12" t="s">
        <v>35</v>
      </c>
      <c r="F5933" s="14">
        <v>70000</v>
      </c>
      <c r="G5933" s="14">
        <v>50900</v>
      </c>
      <c r="H5933" s="13" t="s">
        <v>9373</v>
      </c>
      <c r="I5933" s="40" t="s">
        <v>18</v>
      </c>
      <c r="J5933" s="40" t="str">
        <f>HYPERLINK("https://stock.pstatic.net/stock-research/company/15/20260123_company_776486000.pdf","PDF")</f>
        <v>PDF</v>
      </c>
      <c r="K5933" s="12" t="s">
        <v>9374</v>
      </c>
      <c r="L5933" s="20">
        <v>0.37524557956777999</v>
      </c>
    </row>
    <row r="5934" spans="1:12" x14ac:dyDescent="0.45">
      <c r="A5934" s="12" t="s">
        <v>9322</v>
      </c>
      <c r="B5934" s="12" t="s">
        <v>2435</v>
      </c>
      <c r="C5934" s="13" t="s">
        <v>2436</v>
      </c>
      <c r="D5934" s="13" t="s">
        <v>83</v>
      </c>
      <c r="E5934" s="12" t="s">
        <v>35</v>
      </c>
      <c r="F5934" s="14">
        <v>780000</v>
      </c>
      <c r="G5934" s="14">
        <v>631000</v>
      </c>
      <c r="H5934" s="13" t="s">
        <v>9375</v>
      </c>
      <c r="I5934" s="40" t="s">
        <v>18</v>
      </c>
      <c r="J5934" s="40" t="str">
        <f>HYPERLINK("https://stock.pstatic.net/stock-research/company/15/20260123_company_739120000.pdf","PDF")</f>
        <v>PDF</v>
      </c>
      <c r="K5934" s="12" t="s">
        <v>9376</v>
      </c>
      <c r="L5934" s="20">
        <v>0.23613312202852621</v>
      </c>
    </row>
    <row r="5935" spans="1:12" x14ac:dyDescent="0.45">
      <c r="A5935" s="12" t="s">
        <v>9322</v>
      </c>
      <c r="B5935" s="12" t="s">
        <v>6873</v>
      </c>
      <c r="C5935" s="13" t="s">
        <v>6874</v>
      </c>
      <c r="D5935" s="13" t="s">
        <v>83</v>
      </c>
      <c r="E5935" s="12" t="s">
        <v>35</v>
      </c>
      <c r="F5935" s="14">
        <v>82000</v>
      </c>
      <c r="G5935" s="14">
        <v>63900</v>
      </c>
      <c r="H5935" s="13" t="s">
        <v>9377</v>
      </c>
      <c r="I5935" s="40" t="s">
        <v>18</v>
      </c>
      <c r="J5935" s="40" t="str">
        <f>HYPERLINK("https://stock.pstatic.net/stock-research/company/15/20260123_company_985224000.pdf","PDF")</f>
        <v>PDF</v>
      </c>
      <c r="K5935" s="12" t="s">
        <v>9378</v>
      </c>
      <c r="L5935" s="20">
        <v>0.28325508607198752</v>
      </c>
    </row>
    <row r="5936" spans="1:12" x14ac:dyDescent="0.45">
      <c r="A5936" s="12" t="s">
        <v>9322</v>
      </c>
      <c r="B5936" s="12" t="s">
        <v>1128</v>
      </c>
      <c r="C5936" s="13" t="s">
        <v>1129</v>
      </c>
      <c r="D5936" s="13" t="s">
        <v>179</v>
      </c>
      <c r="E5936" s="12" t="s">
        <v>16</v>
      </c>
      <c r="F5936" s="14">
        <v>161000</v>
      </c>
      <c r="G5936" s="14">
        <v>113100</v>
      </c>
      <c r="H5936" s="13" t="s">
        <v>9379</v>
      </c>
      <c r="I5936" s="40" t="s">
        <v>18</v>
      </c>
      <c r="J5936" s="40" t="str">
        <f>HYPERLINK("https://stock.pstatic.net/stock-research/company/64/20260123_company_639219000.pdf","PDF")</f>
        <v>PDF</v>
      </c>
      <c r="K5936" s="12" t="s">
        <v>9380</v>
      </c>
      <c r="L5936" s="20">
        <v>0.42351900972590628</v>
      </c>
    </row>
    <row r="5937" spans="1:12" x14ac:dyDescent="0.45">
      <c r="A5937" s="12" t="s">
        <v>9322</v>
      </c>
      <c r="B5937" s="12" t="s">
        <v>3403</v>
      </c>
      <c r="C5937" s="13" t="s">
        <v>3404</v>
      </c>
      <c r="D5937" s="13" t="s">
        <v>179</v>
      </c>
      <c r="E5937" s="12" t="s">
        <v>16</v>
      </c>
      <c r="F5937" s="14">
        <v>48000</v>
      </c>
      <c r="G5937" s="14">
        <v>38600</v>
      </c>
      <c r="H5937" s="13" t="s">
        <v>9381</v>
      </c>
      <c r="I5937" s="40" t="s">
        <v>18</v>
      </c>
      <c r="J5937" s="40" t="str">
        <f>HYPERLINK("https://stock.pstatic.net/stock-research/company/64/20260123_company_12272000.pdf","PDF")</f>
        <v>PDF</v>
      </c>
      <c r="K5937" s="12" t="s">
        <v>9382</v>
      </c>
      <c r="L5937" s="20">
        <v>0.2435233160621762</v>
      </c>
    </row>
    <row r="5938" spans="1:12" x14ac:dyDescent="0.45">
      <c r="A5938" s="12" t="s">
        <v>9322</v>
      </c>
      <c r="B5938" s="12" t="s">
        <v>8861</v>
      </c>
      <c r="C5938" s="13" t="s">
        <v>8862</v>
      </c>
      <c r="D5938" s="13" t="s">
        <v>53</v>
      </c>
      <c r="E5938" s="12" t="s">
        <v>16</v>
      </c>
      <c r="F5938" s="14">
        <v>42000</v>
      </c>
      <c r="G5938" s="14">
        <v>25700</v>
      </c>
      <c r="H5938" s="13" t="s">
        <v>9383</v>
      </c>
      <c r="I5938" s="40" t="s">
        <v>18</v>
      </c>
      <c r="J5938" s="40" t="str">
        <f>HYPERLINK("https://stock.pstatic.net/stock-research/company/40/20260123_company_631912000.pdf","PDF")</f>
        <v>PDF</v>
      </c>
      <c r="K5938" s="12" t="s">
        <v>9384</v>
      </c>
      <c r="L5938" s="20">
        <v>0.63424124513618674</v>
      </c>
    </row>
    <row r="5939" spans="1:12" x14ac:dyDescent="0.45">
      <c r="A5939" s="12" t="s">
        <v>9322</v>
      </c>
      <c r="B5939" s="12" t="s">
        <v>7544</v>
      </c>
      <c r="C5939" s="13" t="s">
        <v>7545</v>
      </c>
      <c r="D5939" s="13" t="s">
        <v>23</v>
      </c>
      <c r="E5939" s="12" t="s">
        <v>16</v>
      </c>
      <c r="F5939" s="14">
        <v>47000</v>
      </c>
      <c r="G5939" s="14">
        <v>33800</v>
      </c>
      <c r="H5939" s="13" t="s">
        <v>9385</v>
      </c>
      <c r="I5939" s="40" t="s">
        <v>18</v>
      </c>
      <c r="J5939" s="40" t="str">
        <f>HYPERLINK("https://stock.pstatic.net/stock-research/company/21/20260123_company_481109000.pdf","PDF")</f>
        <v>PDF</v>
      </c>
      <c r="K5939" s="12" t="s">
        <v>9386</v>
      </c>
      <c r="L5939" s="20">
        <v>0.39053254437869822</v>
      </c>
    </row>
    <row r="5940" spans="1:12" x14ac:dyDescent="0.45">
      <c r="A5940" s="12" t="s">
        <v>9322</v>
      </c>
      <c r="B5940" s="12" t="s">
        <v>3230</v>
      </c>
      <c r="C5940" s="13" t="s">
        <v>3231</v>
      </c>
      <c r="D5940" s="13" t="s">
        <v>179</v>
      </c>
      <c r="E5940" s="12" t="s">
        <v>16</v>
      </c>
      <c r="F5940" s="14">
        <v>3000000</v>
      </c>
      <c r="G5940" s="14">
        <v>2349000</v>
      </c>
      <c r="H5940" s="13" t="s">
        <v>9387</v>
      </c>
      <c r="I5940" s="40" t="s">
        <v>18</v>
      </c>
      <c r="J5940" s="40" t="str">
        <f>HYPERLINK("https://stock.pstatic.net/stock-research/company/64/20260123_company_581807000.pdf","PDF")</f>
        <v>PDF</v>
      </c>
      <c r="K5940" s="12" t="s">
        <v>9388</v>
      </c>
      <c r="L5940" s="20">
        <v>0.27713920817369092</v>
      </c>
    </row>
    <row r="5941" spans="1:12" x14ac:dyDescent="0.45">
      <c r="A5941" s="12" t="s">
        <v>9322</v>
      </c>
      <c r="B5941" s="12" t="s">
        <v>908</v>
      </c>
      <c r="C5941" s="13" t="s">
        <v>909</v>
      </c>
      <c r="D5941" s="13" t="s">
        <v>23</v>
      </c>
      <c r="E5941" s="12" t="s">
        <v>16</v>
      </c>
      <c r="F5941" s="14">
        <v>210000</v>
      </c>
      <c r="G5941" s="14">
        <v>169200</v>
      </c>
      <c r="H5941" s="13" t="s">
        <v>9389</v>
      </c>
      <c r="I5941" s="40" t="s">
        <v>18</v>
      </c>
      <c r="J5941" s="40" t="str">
        <f>HYPERLINK("https://stock.pstatic.net/stock-research/company/21/20260123_company_536320000.pdf","PDF")</f>
        <v>PDF</v>
      </c>
      <c r="K5941" s="12" t="s">
        <v>9390</v>
      </c>
      <c r="L5941" s="20">
        <v>0.2411347517730496</v>
      </c>
    </row>
    <row r="5942" spans="1:12" x14ac:dyDescent="0.45">
      <c r="A5942" s="12" t="s">
        <v>9322</v>
      </c>
      <c r="B5942" s="12" t="s">
        <v>1266</v>
      </c>
      <c r="C5942" s="13" t="s">
        <v>1267</v>
      </c>
      <c r="D5942" s="13" t="s">
        <v>44</v>
      </c>
      <c r="E5942" s="12" t="s">
        <v>35</v>
      </c>
      <c r="F5942" s="14">
        <v>220000</v>
      </c>
      <c r="G5942" s="14">
        <v>178800</v>
      </c>
      <c r="H5942" s="13" t="s">
        <v>9391</v>
      </c>
      <c r="I5942" s="40" t="s">
        <v>18</v>
      </c>
      <c r="J5942" s="40" t="str">
        <f>HYPERLINK("https://stock.pstatic.net/stock-research/company/39/20260123_company_465075000.pdf","PDF")</f>
        <v>PDF</v>
      </c>
      <c r="K5942" s="12" t="s">
        <v>9392</v>
      </c>
      <c r="L5942" s="20">
        <v>0.23042505592841159</v>
      </c>
    </row>
    <row r="5943" spans="1:12" x14ac:dyDescent="0.45">
      <c r="A5943" s="12" t="s">
        <v>9322</v>
      </c>
      <c r="B5943" s="12" t="s">
        <v>13</v>
      </c>
      <c r="C5943" s="13" t="s">
        <v>14</v>
      </c>
      <c r="D5943" s="13" t="s">
        <v>44</v>
      </c>
      <c r="E5943" s="12" t="s">
        <v>35</v>
      </c>
      <c r="F5943" s="14">
        <v>200000</v>
      </c>
      <c r="G5943" s="14">
        <v>152300</v>
      </c>
      <c r="H5943" s="13" t="s">
        <v>6490</v>
      </c>
      <c r="I5943" s="40" t="s">
        <v>18</v>
      </c>
      <c r="J5943" s="40" t="str">
        <f>HYPERLINK("https://stock.pstatic.net/stock-research/company/39/20260123_company_863989000.pdf","PDF")</f>
        <v>PDF</v>
      </c>
      <c r="K5943" s="12" t="s">
        <v>9393</v>
      </c>
      <c r="L5943" s="20">
        <v>0.31319763624425478</v>
      </c>
    </row>
    <row r="5944" spans="1:12" x14ac:dyDescent="0.45">
      <c r="A5944" s="12" t="s">
        <v>9322</v>
      </c>
      <c r="B5944" s="12" t="s">
        <v>1477</v>
      </c>
      <c r="C5944" s="13" t="s">
        <v>1478</v>
      </c>
      <c r="D5944" s="13" t="s">
        <v>124</v>
      </c>
      <c r="E5944" s="12" t="s">
        <v>50</v>
      </c>
      <c r="F5944" s="13"/>
      <c r="G5944" s="13"/>
      <c r="H5944" s="13" t="s">
        <v>9394</v>
      </c>
      <c r="I5944" s="40" t="s">
        <v>18</v>
      </c>
      <c r="J5944" s="40" t="str">
        <f>HYPERLINK("https://stock.pstatic.net/stock-research/company/74/20260123_company_783762000.pdf","PDF")</f>
        <v>PDF</v>
      </c>
      <c r="K5944" s="12" t="s">
        <v>9395</v>
      </c>
    </row>
    <row r="5945" spans="1:12" x14ac:dyDescent="0.45">
      <c r="A5945" s="12" t="s">
        <v>9396</v>
      </c>
      <c r="B5945" s="12" t="s">
        <v>5767</v>
      </c>
      <c r="C5945" s="13" t="s">
        <v>5768</v>
      </c>
      <c r="D5945" s="13" t="s">
        <v>57</v>
      </c>
      <c r="E5945" s="12" t="s">
        <v>35</v>
      </c>
      <c r="F5945" s="14">
        <v>54000</v>
      </c>
      <c r="G5945" s="13"/>
      <c r="H5945" s="13" t="s">
        <v>9397</v>
      </c>
      <c r="I5945" s="40" t="s">
        <v>18</v>
      </c>
      <c r="J5945" s="40" t="str">
        <f>HYPERLINK("https://stock.pstatic.net/stock-research/company/16/20260123_company_653803000.pdf","PDF")</f>
        <v>PDF</v>
      </c>
      <c r="K5945" s="12" t="s">
        <v>9398</v>
      </c>
    </row>
    <row r="5946" spans="1:12" x14ac:dyDescent="0.45">
      <c r="A5946" s="12" t="s">
        <v>9396</v>
      </c>
      <c r="B5946" s="12" t="s">
        <v>3138</v>
      </c>
      <c r="C5946" s="13" t="s">
        <v>3139</v>
      </c>
      <c r="D5946" s="13" t="s">
        <v>57</v>
      </c>
      <c r="E5946" s="12" t="s">
        <v>35</v>
      </c>
      <c r="F5946" s="14">
        <v>9000</v>
      </c>
      <c r="G5946" s="14">
        <v>7450</v>
      </c>
      <c r="H5946" s="13" t="s">
        <v>9399</v>
      </c>
      <c r="I5946" s="40" t="s">
        <v>18</v>
      </c>
      <c r="J5946" s="40" t="str">
        <f>HYPERLINK("https://stock.pstatic.net/stock-research/company/16/20260122_company_276209000.pdf","PDF")</f>
        <v>PDF</v>
      </c>
      <c r="K5946" s="12" t="s">
        <v>9400</v>
      </c>
      <c r="L5946" s="20">
        <v>0.20805369127516779</v>
      </c>
    </row>
    <row r="5947" spans="1:12" x14ac:dyDescent="0.45">
      <c r="A5947" s="12" t="s">
        <v>9396</v>
      </c>
      <c r="B5947" s="12" t="s">
        <v>3105</v>
      </c>
      <c r="C5947" s="13" t="s">
        <v>3106</v>
      </c>
      <c r="D5947" s="13" t="s">
        <v>60</v>
      </c>
      <c r="E5947" s="12" t="s">
        <v>35</v>
      </c>
      <c r="F5947" s="14">
        <v>420000</v>
      </c>
      <c r="G5947" s="14">
        <v>361000</v>
      </c>
      <c r="H5947" s="13" t="s">
        <v>9401</v>
      </c>
      <c r="I5947" s="40" t="s">
        <v>18</v>
      </c>
      <c r="J5947" s="40" t="str">
        <f>HYPERLINK("https://stock.pstatic.net/stock-research/company/62/20260122_company_657682000.pdf","PDF")</f>
        <v>PDF</v>
      </c>
      <c r="K5947" s="12" t="s">
        <v>9402</v>
      </c>
      <c r="L5947" s="20">
        <v>0.16343490304709141</v>
      </c>
    </row>
    <row r="5948" spans="1:12" x14ac:dyDescent="0.45">
      <c r="A5948" s="12" t="s">
        <v>9396</v>
      </c>
      <c r="B5948" s="12" t="s">
        <v>268</v>
      </c>
      <c r="C5948" s="13" t="s">
        <v>269</v>
      </c>
      <c r="D5948" s="13" t="s">
        <v>65</v>
      </c>
      <c r="E5948" s="12" t="s">
        <v>35</v>
      </c>
      <c r="F5948" s="14">
        <v>580000</v>
      </c>
      <c r="G5948" s="14">
        <v>373500</v>
      </c>
      <c r="H5948" s="13" t="s">
        <v>9403</v>
      </c>
      <c r="I5948" s="40" t="s">
        <v>18</v>
      </c>
      <c r="J5948" s="40" t="str">
        <f>HYPERLINK("https://stock.pstatic.net/stock-research/company/57/20260122_company_594605000.pdf","PDF")</f>
        <v>PDF</v>
      </c>
      <c r="K5948" s="12" t="s">
        <v>9404</v>
      </c>
      <c r="L5948" s="20">
        <v>0.55287817938420347</v>
      </c>
    </row>
    <row r="5949" spans="1:12" x14ac:dyDescent="0.45">
      <c r="A5949" s="12" t="s">
        <v>9396</v>
      </c>
      <c r="B5949" s="12" t="s">
        <v>3536</v>
      </c>
      <c r="C5949" s="13" t="s">
        <v>3537</v>
      </c>
      <c r="D5949" s="13" t="s">
        <v>65</v>
      </c>
      <c r="E5949" s="12" t="s">
        <v>35</v>
      </c>
      <c r="F5949" s="14">
        <v>510000</v>
      </c>
      <c r="G5949" s="14">
        <v>379500</v>
      </c>
      <c r="H5949" s="13" t="s">
        <v>9405</v>
      </c>
      <c r="I5949" s="40" t="s">
        <v>18</v>
      </c>
      <c r="J5949" s="40" t="str">
        <f>HYPERLINK("https://stock.pstatic.net/stock-research/company/57/20260122_company_772829000.pdf","PDF")</f>
        <v>PDF</v>
      </c>
      <c r="K5949" s="12" t="s">
        <v>9406</v>
      </c>
      <c r="L5949" s="20">
        <v>0.34387351778656128</v>
      </c>
    </row>
    <row r="5950" spans="1:12" x14ac:dyDescent="0.45">
      <c r="A5950" s="12" t="s">
        <v>9396</v>
      </c>
      <c r="B5950" s="12" t="s">
        <v>1415</v>
      </c>
      <c r="C5950" s="13" t="s">
        <v>1416</v>
      </c>
      <c r="D5950" s="13" t="s">
        <v>65</v>
      </c>
      <c r="E5950" s="12" t="s">
        <v>35</v>
      </c>
      <c r="F5950" s="14">
        <v>7000</v>
      </c>
      <c r="G5950" s="14">
        <v>4600</v>
      </c>
      <c r="H5950" s="13" t="s">
        <v>9407</v>
      </c>
      <c r="I5950" s="40" t="s">
        <v>18</v>
      </c>
      <c r="J5950" s="40" t="str">
        <f>HYPERLINK("https://stock.pstatic.net/stock-research/company/57/20260122_company_782108000.pdf","PDF")</f>
        <v>PDF</v>
      </c>
      <c r="K5950" s="12" t="s">
        <v>9408</v>
      </c>
      <c r="L5950" s="20">
        <v>0.52173913043478259</v>
      </c>
    </row>
    <row r="5951" spans="1:12" x14ac:dyDescent="0.45">
      <c r="A5951" s="12" t="s">
        <v>9396</v>
      </c>
      <c r="B5951" s="12" t="s">
        <v>352</v>
      </c>
      <c r="C5951" s="13" t="s">
        <v>353</v>
      </c>
      <c r="D5951" s="13" t="s">
        <v>65</v>
      </c>
      <c r="E5951" s="12" t="s">
        <v>35</v>
      </c>
      <c r="F5951" s="14">
        <v>283000</v>
      </c>
      <c r="G5951" s="14">
        <v>215500</v>
      </c>
      <c r="H5951" s="13" t="s">
        <v>9409</v>
      </c>
      <c r="I5951" s="40" t="s">
        <v>18</v>
      </c>
      <c r="J5951" s="40" t="str">
        <f>HYPERLINK("https://stock.pstatic.net/stock-research/company/57/20260122_company_598382000.pdf","PDF")</f>
        <v>PDF</v>
      </c>
      <c r="K5951" s="12" t="s">
        <v>9410</v>
      </c>
      <c r="L5951" s="20">
        <v>0.31322505800464029</v>
      </c>
    </row>
    <row r="5952" spans="1:12" x14ac:dyDescent="0.45">
      <c r="A5952" s="12" t="s">
        <v>9396</v>
      </c>
      <c r="B5952" s="12" t="s">
        <v>1128</v>
      </c>
      <c r="C5952" s="13" t="s">
        <v>1129</v>
      </c>
      <c r="D5952" s="13" t="s">
        <v>158</v>
      </c>
      <c r="E5952" s="12" t="s">
        <v>35</v>
      </c>
      <c r="F5952" s="14">
        <v>150000</v>
      </c>
      <c r="G5952" s="14">
        <v>107000</v>
      </c>
      <c r="H5952" s="13" t="s">
        <v>9411</v>
      </c>
      <c r="I5952" s="40" t="s">
        <v>18</v>
      </c>
      <c r="J5952" s="40" t="str">
        <f>HYPERLINK("https://stock.pstatic.net/stock-research/company/18/20260122_company_519366000.pdf","PDF")</f>
        <v>PDF</v>
      </c>
      <c r="K5952" s="12" t="s">
        <v>9412</v>
      </c>
      <c r="L5952" s="20">
        <v>0.40186915887850472</v>
      </c>
    </row>
    <row r="5953" spans="1:12" x14ac:dyDescent="0.45">
      <c r="A5953" s="12" t="s">
        <v>9396</v>
      </c>
      <c r="B5953" s="12" t="s">
        <v>4567</v>
      </c>
      <c r="C5953" s="13" t="s">
        <v>4568</v>
      </c>
      <c r="D5953" s="13" t="s">
        <v>158</v>
      </c>
      <c r="E5953" s="12" t="s">
        <v>35</v>
      </c>
      <c r="F5953" s="14">
        <v>68000</v>
      </c>
      <c r="G5953" s="14">
        <v>49550</v>
      </c>
      <c r="H5953" s="13" t="s">
        <v>9413</v>
      </c>
      <c r="I5953" s="40" t="s">
        <v>18</v>
      </c>
      <c r="J5953" s="40" t="str">
        <f>HYPERLINK("https://stock.pstatic.net/stock-research/company/18/20260122_company_5638000.pdf","PDF")</f>
        <v>PDF</v>
      </c>
      <c r="K5953" s="12" t="s">
        <v>9414</v>
      </c>
      <c r="L5953" s="20">
        <v>0.37235116044399602</v>
      </c>
    </row>
    <row r="5954" spans="1:12" x14ac:dyDescent="0.45">
      <c r="A5954" s="12" t="s">
        <v>9396</v>
      </c>
      <c r="B5954" s="12" t="s">
        <v>3530</v>
      </c>
      <c r="C5954" s="13" t="s">
        <v>3531</v>
      </c>
      <c r="D5954" s="13" t="s">
        <v>158</v>
      </c>
      <c r="E5954" s="12" t="s">
        <v>35</v>
      </c>
      <c r="F5954" s="14">
        <v>10000</v>
      </c>
      <c r="G5954" s="14">
        <v>8170</v>
      </c>
      <c r="H5954" s="13" t="s">
        <v>9415</v>
      </c>
      <c r="I5954" s="40" t="s">
        <v>18</v>
      </c>
      <c r="J5954" s="40" t="str">
        <f>HYPERLINK("https://stock.pstatic.net/stock-research/company/18/20260122_company_85280000.pdf","PDF")</f>
        <v>PDF</v>
      </c>
      <c r="K5954" s="12" t="s">
        <v>9416</v>
      </c>
      <c r="L5954" s="20">
        <v>0.22399020807833539</v>
      </c>
    </row>
    <row r="5955" spans="1:12" x14ac:dyDescent="0.45">
      <c r="A5955" s="12" t="s">
        <v>9396</v>
      </c>
      <c r="B5955" s="12" t="s">
        <v>3204</v>
      </c>
      <c r="C5955" s="13" t="s">
        <v>3205</v>
      </c>
      <c r="D5955" s="13" t="s">
        <v>15</v>
      </c>
      <c r="E5955" s="12" t="s">
        <v>16</v>
      </c>
      <c r="F5955" s="14">
        <v>6500</v>
      </c>
      <c r="G5955" s="14">
        <v>4765</v>
      </c>
      <c r="H5955" s="13" t="s">
        <v>9417</v>
      </c>
      <c r="I5955" s="40" t="s">
        <v>18</v>
      </c>
      <c r="J5955" s="40" t="str">
        <f>HYPERLINK("https://stock.pstatic.net/stock-research/company/56/20260122_company_952986000.pdf","PDF")</f>
        <v>PDF</v>
      </c>
      <c r="K5955" s="12" t="s">
        <v>9418</v>
      </c>
      <c r="L5955" s="20">
        <v>0.36411332633788041</v>
      </c>
    </row>
    <row r="5956" spans="1:12" x14ac:dyDescent="0.45">
      <c r="A5956" s="12" t="s">
        <v>9396</v>
      </c>
      <c r="B5956" s="12" t="s">
        <v>366</v>
      </c>
      <c r="C5956" s="13" t="s">
        <v>367</v>
      </c>
      <c r="D5956" s="13" t="s">
        <v>83</v>
      </c>
      <c r="E5956" s="12" t="s">
        <v>35</v>
      </c>
      <c r="F5956" s="14">
        <v>20000</v>
      </c>
      <c r="G5956" s="14">
        <v>15010</v>
      </c>
      <c r="H5956" s="13" t="s">
        <v>9419</v>
      </c>
      <c r="I5956" s="40" t="s">
        <v>18</v>
      </c>
      <c r="J5956" s="40" t="str">
        <f>HYPERLINK("https://stock.pstatic.net/stock-research/company/15/20260122_company_897859000.pdf","PDF")</f>
        <v>PDF</v>
      </c>
      <c r="K5956" s="12" t="s">
        <v>9420</v>
      </c>
      <c r="L5956" s="20">
        <v>0.33244503664223851</v>
      </c>
    </row>
    <row r="5957" spans="1:12" x14ac:dyDescent="0.45">
      <c r="A5957" s="12" t="s">
        <v>9396</v>
      </c>
      <c r="B5957" s="12" t="s">
        <v>1491</v>
      </c>
      <c r="C5957" s="13" t="s">
        <v>1492</v>
      </c>
      <c r="D5957" s="13" t="s">
        <v>83</v>
      </c>
      <c r="E5957" s="12" t="s">
        <v>50</v>
      </c>
      <c r="F5957" s="13"/>
      <c r="G5957" s="14">
        <v>14820</v>
      </c>
      <c r="H5957" s="13" t="s">
        <v>9421</v>
      </c>
      <c r="I5957" s="40" t="s">
        <v>18</v>
      </c>
      <c r="J5957" s="40" t="str">
        <f>HYPERLINK("https://stock.pstatic.net/stock-research/company/15/20260122_company_828092000.pdf","PDF")</f>
        <v>PDF</v>
      </c>
      <c r="K5957" s="12" t="s">
        <v>9422</v>
      </c>
    </row>
    <row r="5958" spans="1:12" x14ac:dyDescent="0.45">
      <c r="A5958" s="12" t="s">
        <v>9396</v>
      </c>
      <c r="B5958" s="12" t="s">
        <v>1047</v>
      </c>
      <c r="C5958" s="13" t="s">
        <v>1048</v>
      </c>
      <c r="D5958" s="13" t="s">
        <v>83</v>
      </c>
      <c r="E5958" s="12" t="s">
        <v>35</v>
      </c>
      <c r="F5958" s="14">
        <v>15000</v>
      </c>
      <c r="G5958" s="14">
        <v>10860</v>
      </c>
      <c r="H5958" s="13" t="s">
        <v>9423</v>
      </c>
      <c r="I5958" s="40" t="s">
        <v>18</v>
      </c>
      <c r="J5958" s="40" t="str">
        <f>HYPERLINK("https://stock.pstatic.net/stock-research/company/15/20260122_company_76207000.pdf","PDF")</f>
        <v>PDF</v>
      </c>
      <c r="K5958" s="12" t="s">
        <v>9424</v>
      </c>
      <c r="L5958" s="20">
        <v>0.38121546961325969</v>
      </c>
    </row>
    <row r="5959" spans="1:12" x14ac:dyDescent="0.45">
      <c r="A5959" s="12" t="s">
        <v>9396</v>
      </c>
      <c r="B5959" s="12" t="s">
        <v>3813</v>
      </c>
      <c r="C5959" s="13" t="s">
        <v>3814</v>
      </c>
      <c r="D5959" s="13" t="s">
        <v>53</v>
      </c>
      <c r="E5959" s="12" t="s">
        <v>16</v>
      </c>
      <c r="F5959" s="14">
        <v>20000</v>
      </c>
      <c r="G5959" s="14">
        <v>12190</v>
      </c>
      <c r="H5959" s="13" t="s">
        <v>9425</v>
      </c>
      <c r="I5959" s="40" t="s">
        <v>18</v>
      </c>
      <c r="J5959" s="40" t="str">
        <f>HYPERLINK("https://stock.pstatic.net/stock-research/company/40/20260122_company_868243000.pdf","PDF")</f>
        <v>PDF</v>
      </c>
      <c r="K5959" s="12" t="s">
        <v>9426</v>
      </c>
      <c r="L5959" s="20">
        <v>0.64068908941755542</v>
      </c>
    </row>
    <row r="5960" spans="1:12" x14ac:dyDescent="0.45">
      <c r="A5960" s="12" t="s">
        <v>9396</v>
      </c>
      <c r="B5960" s="12" t="s">
        <v>1081</v>
      </c>
      <c r="C5960" s="13" t="s">
        <v>1082</v>
      </c>
      <c r="D5960" s="13" t="s">
        <v>53</v>
      </c>
      <c r="E5960" s="12" t="s">
        <v>50</v>
      </c>
      <c r="F5960" s="13"/>
      <c r="G5960" s="14">
        <v>1873000</v>
      </c>
      <c r="H5960" s="13" t="s">
        <v>9427</v>
      </c>
      <c r="I5960" s="40" t="s">
        <v>18</v>
      </c>
      <c r="J5960" s="40" t="str">
        <f>HYPERLINK("https://stock.pstatic.net/stock-research/company/40/20260122_company_16975000.pdf","PDF")</f>
        <v>PDF</v>
      </c>
      <c r="K5960" s="12" t="s">
        <v>9428</v>
      </c>
    </row>
    <row r="5961" spans="1:12" x14ac:dyDescent="0.45">
      <c r="A5961" s="12" t="s">
        <v>9396</v>
      </c>
      <c r="B5961" s="12" t="s">
        <v>1233</v>
      </c>
      <c r="C5961" s="13" t="s">
        <v>1234</v>
      </c>
      <c r="D5961" s="13" t="s">
        <v>15</v>
      </c>
      <c r="E5961" s="12" t="s">
        <v>50</v>
      </c>
      <c r="F5961" s="13"/>
      <c r="G5961" s="14">
        <v>51700</v>
      </c>
      <c r="H5961" s="13" t="s">
        <v>9429</v>
      </c>
      <c r="I5961" s="40" t="s">
        <v>18</v>
      </c>
      <c r="J5961" s="40" t="str">
        <f>HYPERLINK("https://stock.pstatic.net/stock-research/company/56/20260122_company_742781000.pdf","PDF")</f>
        <v>PDF</v>
      </c>
      <c r="K5961" s="12" t="s">
        <v>9430</v>
      </c>
    </row>
    <row r="5962" spans="1:12" x14ac:dyDescent="0.45">
      <c r="A5962" s="12" t="s">
        <v>9396</v>
      </c>
      <c r="B5962" s="12" t="s">
        <v>3749</v>
      </c>
      <c r="C5962" s="13" t="s">
        <v>3750</v>
      </c>
      <c r="D5962" s="13" t="s">
        <v>34</v>
      </c>
      <c r="E5962" s="12" t="s">
        <v>35</v>
      </c>
      <c r="F5962" s="14">
        <v>325000</v>
      </c>
      <c r="G5962" s="14">
        <v>262000</v>
      </c>
      <c r="H5962" s="13" t="s">
        <v>9431</v>
      </c>
      <c r="I5962" s="40" t="s">
        <v>18</v>
      </c>
      <c r="J5962" s="40" t="str">
        <f>HYPERLINK("https://stock.pstatic.net/stock-research/company/61/20260122_company_968988000.pdf","PDF")</f>
        <v>PDF</v>
      </c>
      <c r="K5962" s="12" t="s">
        <v>9432</v>
      </c>
      <c r="L5962" s="20">
        <v>0.24045801526717561</v>
      </c>
    </row>
    <row r="5963" spans="1:12" x14ac:dyDescent="0.45">
      <c r="A5963" s="12" t="s">
        <v>9396</v>
      </c>
      <c r="B5963" s="12" t="s">
        <v>8183</v>
      </c>
      <c r="C5963" s="13" t="s">
        <v>8184</v>
      </c>
      <c r="D5963" s="13" t="s">
        <v>23</v>
      </c>
      <c r="E5963" s="12" t="s">
        <v>50</v>
      </c>
      <c r="F5963" s="14">
        <v>31700</v>
      </c>
      <c r="G5963" s="14">
        <v>30850</v>
      </c>
      <c r="H5963" s="13" t="s">
        <v>9433</v>
      </c>
      <c r="I5963" s="40" t="s">
        <v>18</v>
      </c>
      <c r="J5963" s="40" t="str">
        <f>HYPERLINK("https://stock.pstatic.net/stock-research/company/21/20260122_company_667889000.pdf","PDF")</f>
        <v>PDF</v>
      </c>
      <c r="K5963" s="12" t="s">
        <v>9434</v>
      </c>
      <c r="L5963" s="20">
        <v>2.755267423014587E-2</v>
      </c>
    </row>
    <row r="5964" spans="1:12" x14ac:dyDescent="0.45">
      <c r="A5964" s="12" t="s">
        <v>9396</v>
      </c>
      <c r="B5964" s="12" t="s">
        <v>1540</v>
      </c>
      <c r="C5964" s="13" t="s">
        <v>1541</v>
      </c>
      <c r="D5964" s="13" t="s">
        <v>23</v>
      </c>
      <c r="E5964" s="12" t="s">
        <v>16</v>
      </c>
      <c r="F5964" s="14">
        <v>67000</v>
      </c>
      <c r="G5964" s="14">
        <v>58000</v>
      </c>
      <c r="H5964" s="13" t="s">
        <v>9435</v>
      </c>
      <c r="I5964" s="40" t="s">
        <v>18</v>
      </c>
      <c r="J5964" s="40" t="str">
        <f>HYPERLINK("https://stock.pstatic.net/stock-research/company/21/20260122_company_809800000.pdf","PDF")</f>
        <v>PDF</v>
      </c>
      <c r="K5964" s="12" t="s">
        <v>9436</v>
      </c>
      <c r="L5964" s="20">
        <v>0.15517241379310351</v>
      </c>
    </row>
    <row r="5965" spans="1:12" x14ac:dyDescent="0.45">
      <c r="A5965" s="12" t="s">
        <v>9396</v>
      </c>
      <c r="B5965" s="12" t="s">
        <v>3423</v>
      </c>
      <c r="C5965" s="13" t="s">
        <v>3424</v>
      </c>
      <c r="D5965" s="13" t="s">
        <v>23</v>
      </c>
      <c r="E5965" s="12" t="s">
        <v>50</v>
      </c>
      <c r="F5965" s="13"/>
      <c r="G5965" s="14">
        <v>39150</v>
      </c>
      <c r="H5965" s="13" t="s">
        <v>8837</v>
      </c>
      <c r="I5965" s="40" t="s">
        <v>18</v>
      </c>
      <c r="J5965" s="40" t="str">
        <f>HYPERLINK("https://stock.pstatic.net/stock-research/company/21/20260122_company_451226000.pdf","PDF")</f>
        <v>PDF</v>
      </c>
      <c r="K5965" s="12" t="s">
        <v>9437</v>
      </c>
    </row>
    <row r="5966" spans="1:12" x14ac:dyDescent="0.45">
      <c r="A5966" s="12" t="s">
        <v>9396</v>
      </c>
      <c r="B5966" s="12" t="s">
        <v>5503</v>
      </c>
      <c r="C5966" s="13" t="s">
        <v>5504</v>
      </c>
      <c r="D5966" s="13" t="s">
        <v>92</v>
      </c>
      <c r="E5966" s="12" t="s">
        <v>35</v>
      </c>
      <c r="F5966" s="14">
        <v>10000</v>
      </c>
      <c r="G5966" s="14">
        <v>6000</v>
      </c>
      <c r="H5966" s="13" t="s">
        <v>9438</v>
      </c>
      <c r="I5966" s="40" t="s">
        <v>18</v>
      </c>
      <c r="J5966" s="40" t="str">
        <f>HYPERLINK("https://stock.pstatic.net/stock-research/company/63/20260122_company_896032000.pdf","PDF")</f>
        <v>PDF</v>
      </c>
      <c r="K5966" s="12" t="s">
        <v>9439</v>
      </c>
      <c r="L5966" s="20">
        <v>0.66666666666666663</v>
      </c>
    </row>
    <row r="5967" spans="1:12" x14ac:dyDescent="0.45">
      <c r="A5967" s="12" t="s">
        <v>9396</v>
      </c>
      <c r="B5967" s="12" t="s">
        <v>3403</v>
      </c>
      <c r="C5967" s="13" t="s">
        <v>3404</v>
      </c>
      <c r="D5967" s="13" t="s">
        <v>53</v>
      </c>
      <c r="E5967" s="12" t="s">
        <v>16</v>
      </c>
      <c r="F5967" s="14">
        <v>55000</v>
      </c>
      <c r="G5967" s="14">
        <v>37250</v>
      </c>
      <c r="H5967" s="13" t="s">
        <v>9440</v>
      </c>
      <c r="I5967" s="40" t="s">
        <v>18</v>
      </c>
      <c r="J5967" s="40" t="str">
        <f>HYPERLINK("https://stock.pstatic.net/stock-research/company/40/20260122_company_734396000.pdf","PDF")</f>
        <v>PDF</v>
      </c>
      <c r="K5967" s="12" t="s">
        <v>9441</v>
      </c>
      <c r="L5967" s="20">
        <v>0.47651006711409388</v>
      </c>
    </row>
    <row r="5968" spans="1:12" x14ac:dyDescent="0.45">
      <c r="A5968" s="12" t="s">
        <v>9396</v>
      </c>
      <c r="B5968" s="12" t="s">
        <v>1081</v>
      </c>
      <c r="C5968" s="13" t="s">
        <v>1082</v>
      </c>
      <c r="D5968" s="13" t="s">
        <v>34</v>
      </c>
      <c r="E5968" s="12" t="s">
        <v>35</v>
      </c>
      <c r="F5968" s="14">
        <v>2200000</v>
      </c>
      <c r="G5968" s="14">
        <v>1873000</v>
      </c>
      <c r="H5968" s="13" t="s">
        <v>9442</v>
      </c>
      <c r="I5968" s="40" t="s">
        <v>18</v>
      </c>
      <c r="J5968" s="40" t="str">
        <f>HYPERLINK("https://stock.pstatic.net/stock-research/company/61/20260122_company_719881000.pdf","PDF")</f>
        <v>PDF</v>
      </c>
      <c r="K5968" s="12" t="s">
        <v>9443</v>
      </c>
      <c r="L5968" s="20">
        <v>0.17458622530699411</v>
      </c>
    </row>
    <row r="5969" spans="1:12" x14ac:dyDescent="0.45">
      <c r="A5969" s="12" t="s">
        <v>9396</v>
      </c>
      <c r="B5969" s="12" t="s">
        <v>1548</v>
      </c>
      <c r="C5969" s="13" t="s">
        <v>1549</v>
      </c>
      <c r="D5969" s="13" t="s">
        <v>44</v>
      </c>
      <c r="E5969" s="12" t="s">
        <v>35</v>
      </c>
      <c r="F5969" s="14">
        <v>1650000</v>
      </c>
      <c r="G5969" s="14">
        <v>1315000</v>
      </c>
      <c r="H5969" s="13" t="s">
        <v>9444</v>
      </c>
      <c r="I5969" s="40" t="s">
        <v>18</v>
      </c>
      <c r="J5969" s="40" t="str">
        <f>HYPERLINK("https://stock.pstatic.net/stock-research/company/39/20260122_company_865751000.pdf","PDF")</f>
        <v>PDF</v>
      </c>
      <c r="K5969" s="12" t="s">
        <v>9445</v>
      </c>
      <c r="L5969" s="20">
        <v>0.25475285171102657</v>
      </c>
    </row>
    <row r="5970" spans="1:12" x14ac:dyDescent="0.45">
      <c r="A5970" s="12" t="s">
        <v>9396</v>
      </c>
      <c r="B5970" s="12" t="s">
        <v>694</v>
      </c>
      <c r="C5970" s="13" t="s">
        <v>695</v>
      </c>
      <c r="D5970" s="13" t="s">
        <v>53</v>
      </c>
      <c r="E5970" s="12" t="s">
        <v>35</v>
      </c>
      <c r="F5970" s="14">
        <v>20000</v>
      </c>
      <c r="G5970" s="14">
        <v>8730</v>
      </c>
      <c r="H5970" s="13" t="s">
        <v>9446</v>
      </c>
      <c r="I5970" s="40" t="s">
        <v>18</v>
      </c>
      <c r="J5970" s="40" t="str">
        <f>HYPERLINK("https://stock.pstatic.net/stock-research/company/40/20260122_company_430143000.pdf","PDF")</f>
        <v>PDF</v>
      </c>
      <c r="K5970" s="12" t="s">
        <v>9447</v>
      </c>
      <c r="L5970" s="20">
        <v>1.2909507445589921</v>
      </c>
    </row>
    <row r="5971" spans="1:12" x14ac:dyDescent="0.45">
      <c r="A5971" s="12" t="s">
        <v>9396</v>
      </c>
      <c r="B5971" s="12" t="s">
        <v>352</v>
      </c>
      <c r="C5971" s="13" t="s">
        <v>353</v>
      </c>
      <c r="D5971" s="13" t="s">
        <v>44</v>
      </c>
      <c r="E5971" s="12" t="s">
        <v>35</v>
      </c>
      <c r="F5971" s="14">
        <v>300000</v>
      </c>
      <c r="G5971" s="14">
        <v>215500</v>
      </c>
      <c r="H5971" s="13" t="s">
        <v>9448</v>
      </c>
      <c r="I5971" s="40" t="s">
        <v>18</v>
      </c>
      <c r="J5971" s="40" t="str">
        <f>HYPERLINK("https://stock.pstatic.net/stock-research/company/39/20260122_company_84409000.pdf","PDF")</f>
        <v>PDF</v>
      </c>
      <c r="K5971" s="12" t="s">
        <v>9449</v>
      </c>
      <c r="L5971" s="20">
        <v>0.39211136890951281</v>
      </c>
    </row>
    <row r="5972" spans="1:12" x14ac:dyDescent="0.45">
      <c r="A5972" s="12" t="s">
        <v>9396</v>
      </c>
      <c r="B5972" s="12" t="s">
        <v>1124</v>
      </c>
      <c r="C5972" s="13" t="s">
        <v>1125</v>
      </c>
      <c r="D5972" s="13" t="s">
        <v>44</v>
      </c>
      <c r="E5972" s="12" t="s">
        <v>35</v>
      </c>
      <c r="F5972" s="14">
        <v>330000</v>
      </c>
      <c r="G5972" s="14">
        <v>261500</v>
      </c>
      <c r="H5972" s="13" t="s">
        <v>9450</v>
      </c>
      <c r="I5972" s="40" t="s">
        <v>18</v>
      </c>
      <c r="J5972" s="40" t="str">
        <f>HYPERLINK("https://stock.pstatic.net/stock-research/company/39/20260122_company_265741000.pdf","PDF")</f>
        <v>PDF</v>
      </c>
      <c r="K5972" s="12" t="s">
        <v>9451</v>
      </c>
      <c r="L5972" s="20">
        <v>0.26195028680688343</v>
      </c>
    </row>
    <row r="5973" spans="1:12" x14ac:dyDescent="0.45">
      <c r="A5973" s="12" t="s">
        <v>9396</v>
      </c>
      <c r="B5973" s="12" t="s">
        <v>1081</v>
      </c>
      <c r="C5973" s="13" t="s">
        <v>1082</v>
      </c>
      <c r="D5973" s="13" t="s">
        <v>44</v>
      </c>
      <c r="E5973" s="12" t="s">
        <v>50</v>
      </c>
      <c r="F5973" s="13"/>
      <c r="G5973" s="14">
        <v>1873000</v>
      </c>
      <c r="H5973" s="13" t="s">
        <v>9452</v>
      </c>
      <c r="I5973" s="40" t="s">
        <v>18</v>
      </c>
      <c r="J5973" s="40" t="str">
        <f>HYPERLINK("https://stock.pstatic.net/stock-research/company/39/20260122_company_802053000.pdf","PDF")</f>
        <v>PDF</v>
      </c>
      <c r="K5973" s="12" t="s">
        <v>9453</v>
      </c>
    </row>
    <row r="5974" spans="1:12" x14ac:dyDescent="0.45">
      <c r="A5974" s="12" t="s">
        <v>9396</v>
      </c>
      <c r="B5974" s="12" t="s">
        <v>5489</v>
      </c>
      <c r="C5974" s="13" t="s">
        <v>5490</v>
      </c>
      <c r="D5974" s="13" t="s">
        <v>44</v>
      </c>
      <c r="E5974" s="12" t="s">
        <v>50</v>
      </c>
      <c r="F5974" s="13"/>
      <c r="G5974" s="14">
        <v>17060</v>
      </c>
      <c r="H5974" s="13" t="s">
        <v>9454</v>
      </c>
      <c r="I5974" s="40" t="s">
        <v>18</v>
      </c>
      <c r="J5974" s="40" t="str">
        <f>HYPERLINK("https://stock.pstatic.net/stock-research/company/39/20260122_company_810279000.pdf","PDF")</f>
        <v>PDF</v>
      </c>
      <c r="K5974" s="12" t="s">
        <v>9455</v>
      </c>
    </row>
    <row r="5975" spans="1:12" x14ac:dyDescent="0.45">
      <c r="A5975" s="12" t="s">
        <v>9396</v>
      </c>
      <c r="B5975" s="12" t="s">
        <v>9456</v>
      </c>
      <c r="C5975" s="13" t="s">
        <v>9457</v>
      </c>
      <c r="D5975" s="13" t="s">
        <v>124</v>
      </c>
      <c r="E5975" s="12" t="s">
        <v>50</v>
      </c>
      <c r="F5975" s="13"/>
      <c r="G5975" s="13"/>
      <c r="H5975" s="13" t="s">
        <v>9458</v>
      </c>
      <c r="I5975" s="40" t="s">
        <v>18</v>
      </c>
      <c r="J5975" s="40" t="str">
        <f>HYPERLINK("https://stock.pstatic.net/stock-research/company/74/20260122_company_873298000.pdf","PDF")</f>
        <v>PDF</v>
      </c>
      <c r="K5975" s="12" t="s">
        <v>9459</v>
      </c>
    </row>
    <row r="5976" spans="1:12" x14ac:dyDescent="0.45">
      <c r="A5976" s="12" t="s">
        <v>9396</v>
      </c>
      <c r="B5976" s="12" t="s">
        <v>146</v>
      </c>
      <c r="C5976" s="13" t="s">
        <v>147</v>
      </c>
      <c r="D5976" s="13" t="s">
        <v>124</v>
      </c>
      <c r="E5976" s="12" t="s">
        <v>50</v>
      </c>
      <c r="F5976" s="13"/>
      <c r="G5976" s="13"/>
      <c r="H5976" s="13" t="s">
        <v>9460</v>
      </c>
      <c r="I5976" s="40" t="s">
        <v>18</v>
      </c>
      <c r="J5976" s="40" t="str">
        <f>HYPERLINK("https://stock.pstatic.net/stock-research/company/74/20260122_company_876607000.pdf","PDF")</f>
        <v>PDF</v>
      </c>
      <c r="K5976" s="12" t="s">
        <v>9461</v>
      </c>
    </row>
    <row r="5977" spans="1:12" x14ac:dyDescent="0.45">
      <c r="A5977" s="12" t="s">
        <v>9396</v>
      </c>
      <c r="B5977" s="12" t="s">
        <v>784</v>
      </c>
      <c r="C5977" s="13" t="s">
        <v>785</v>
      </c>
      <c r="D5977" s="13" t="s">
        <v>15</v>
      </c>
      <c r="E5977" s="12" t="s">
        <v>16</v>
      </c>
      <c r="F5977" s="14">
        <v>9000</v>
      </c>
      <c r="G5977" s="14">
        <v>6850</v>
      </c>
      <c r="H5977" s="13" t="s">
        <v>9462</v>
      </c>
      <c r="I5977" s="40" t="s">
        <v>18</v>
      </c>
      <c r="J5977" s="40" t="str">
        <f>HYPERLINK("https://stock.pstatic.net/stock-research/company/56/20260122_company_921866000.pdf","PDF")</f>
        <v>PDF</v>
      </c>
      <c r="K5977" s="12" t="s">
        <v>9463</v>
      </c>
      <c r="L5977" s="20">
        <v>0.31386861313868608</v>
      </c>
    </row>
    <row r="5978" spans="1:12" x14ac:dyDescent="0.45">
      <c r="A5978" s="12" t="s">
        <v>9464</v>
      </c>
      <c r="B5978" s="12" t="s">
        <v>268</v>
      </c>
      <c r="C5978" s="13" t="s">
        <v>269</v>
      </c>
      <c r="D5978" s="13" t="s">
        <v>23</v>
      </c>
      <c r="E5978" s="12" t="s">
        <v>16</v>
      </c>
      <c r="F5978" s="14">
        <v>570000</v>
      </c>
      <c r="G5978" s="14">
        <v>466000</v>
      </c>
      <c r="H5978" s="13" t="s">
        <v>9465</v>
      </c>
      <c r="I5978" s="40" t="s">
        <v>18</v>
      </c>
      <c r="J5978" s="40" t="str">
        <f>HYPERLINK("https://stock.pstatic.net/stock-research/company/21/20260121_company_763653000.pdf","PDF")</f>
        <v>PDF</v>
      </c>
      <c r="K5978" s="12" t="s">
        <v>9466</v>
      </c>
      <c r="L5978" s="20">
        <v>0.22317596566523609</v>
      </c>
    </row>
    <row r="5979" spans="1:12" x14ac:dyDescent="0.45">
      <c r="A5979" s="12" t="s">
        <v>9464</v>
      </c>
      <c r="B5979" s="12" t="s">
        <v>32</v>
      </c>
      <c r="C5979" s="13" t="s">
        <v>33</v>
      </c>
      <c r="D5979" s="13" t="s">
        <v>15</v>
      </c>
      <c r="E5979" s="12" t="s">
        <v>16</v>
      </c>
      <c r="F5979" s="14">
        <v>360000</v>
      </c>
      <c r="G5979" s="14">
        <v>292000</v>
      </c>
      <c r="H5979" s="13" t="s">
        <v>9467</v>
      </c>
      <c r="I5979" s="40" t="s">
        <v>18</v>
      </c>
      <c r="J5979" s="40" t="str">
        <f>HYPERLINK("https://stock.pstatic.net/stock-research/company/56/20260121_company_360492000.pdf","PDF")</f>
        <v>PDF</v>
      </c>
      <c r="K5979" s="12" t="s">
        <v>9468</v>
      </c>
      <c r="L5979" s="20">
        <v>0.23287671232876711</v>
      </c>
    </row>
    <row r="5980" spans="1:12" x14ac:dyDescent="0.45">
      <c r="A5980" s="12" t="s">
        <v>9464</v>
      </c>
      <c r="B5980" s="12" t="s">
        <v>1781</v>
      </c>
      <c r="C5980" s="13" t="s">
        <v>1782</v>
      </c>
      <c r="D5980" s="13" t="s">
        <v>15</v>
      </c>
      <c r="E5980" s="12" t="s">
        <v>16</v>
      </c>
      <c r="F5980" s="14">
        <v>150000</v>
      </c>
      <c r="G5980" s="14">
        <v>106900</v>
      </c>
      <c r="H5980" s="13" t="s">
        <v>9469</v>
      </c>
      <c r="I5980" s="40" t="s">
        <v>18</v>
      </c>
      <c r="J5980" s="40" t="str">
        <f>HYPERLINK("https://stock.pstatic.net/stock-research/company/56/20260121_company_641488000.pdf","PDF")</f>
        <v>PDF</v>
      </c>
      <c r="K5980" s="12" t="s">
        <v>9470</v>
      </c>
      <c r="L5980" s="20">
        <v>0.40318054256314312</v>
      </c>
    </row>
    <row r="5981" spans="1:12" x14ac:dyDescent="0.45">
      <c r="A5981" s="12" t="s">
        <v>9464</v>
      </c>
      <c r="B5981" s="12" t="s">
        <v>740</v>
      </c>
      <c r="C5981" s="13" t="s">
        <v>741</v>
      </c>
      <c r="D5981" s="13" t="s">
        <v>15</v>
      </c>
      <c r="E5981" s="12" t="s">
        <v>16</v>
      </c>
      <c r="F5981" s="14">
        <v>360000</v>
      </c>
      <c r="G5981" s="14">
        <v>285500</v>
      </c>
      <c r="H5981" s="13" t="s">
        <v>9471</v>
      </c>
      <c r="I5981" s="40" t="s">
        <v>18</v>
      </c>
      <c r="J5981" s="40" t="str">
        <f>HYPERLINK("https://stock.pstatic.net/stock-research/company/56/20260121_company_965286000.pdf","PDF")</f>
        <v>PDF</v>
      </c>
      <c r="K5981" s="12" t="s">
        <v>9472</v>
      </c>
      <c r="L5981" s="20">
        <v>0.26094570928196148</v>
      </c>
    </row>
    <row r="5982" spans="1:12" x14ac:dyDescent="0.45">
      <c r="A5982" s="12" t="s">
        <v>9464</v>
      </c>
      <c r="B5982" s="12" t="s">
        <v>4864</v>
      </c>
      <c r="C5982" s="13" t="s">
        <v>4865</v>
      </c>
      <c r="D5982" s="13" t="s">
        <v>57</v>
      </c>
      <c r="E5982" s="12" t="s">
        <v>35</v>
      </c>
      <c r="F5982" s="14">
        <v>45000</v>
      </c>
      <c r="G5982" s="14">
        <v>31300</v>
      </c>
      <c r="H5982" s="13" t="s">
        <v>9473</v>
      </c>
      <c r="I5982" s="40" t="s">
        <v>18</v>
      </c>
      <c r="J5982" s="40" t="str">
        <f>HYPERLINK("https://stock.pstatic.net/stock-research/company/16/20260121_company_347964000.pdf","PDF")</f>
        <v>PDF</v>
      </c>
      <c r="K5982" s="12" t="s">
        <v>9474</v>
      </c>
      <c r="L5982" s="20">
        <v>0.43769968051118208</v>
      </c>
    </row>
    <row r="5983" spans="1:12" x14ac:dyDescent="0.45">
      <c r="A5983" s="12" t="s">
        <v>9464</v>
      </c>
      <c r="B5983" s="12" t="s">
        <v>1300</v>
      </c>
      <c r="C5983" s="13" t="s">
        <v>1301</v>
      </c>
      <c r="D5983" s="13" t="s">
        <v>57</v>
      </c>
      <c r="E5983" s="12" t="s">
        <v>35</v>
      </c>
      <c r="F5983" s="14">
        <v>146000</v>
      </c>
      <c r="G5983" s="14">
        <v>117000</v>
      </c>
      <c r="H5983" s="13" t="s">
        <v>9475</v>
      </c>
      <c r="I5983" s="40" t="s">
        <v>18</v>
      </c>
      <c r="J5983" s="40" t="str">
        <f>HYPERLINK("https://stock.pstatic.net/stock-research/company/16/20260121_company_136452000.pdf","PDF")</f>
        <v>PDF</v>
      </c>
      <c r="K5983" s="12" t="s">
        <v>9476</v>
      </c>
      <c r="L5983" s="20">
        <v>0.2478632478632479</v>
      </c>
    </row>
    <row r="5984" spans="1:12" x14ac:dyDescent="0.45">
      <c r="A5984" s="12" t="s">
        <v>9464</v>
      </c>
      <c r="B5984" s="12" t="s">
        <v>744</v>
      </c>
      <c r="C5984" s="13" t="s">
        <v>745</v>
      </c>
      <c r="D5984" s="13" t="s">
        <v>57</v>
      </c>
      <c r="E5984" s="12" t="s">
        <v>35</v>
      </c>
      <c r="F5984" s="14">
        <v>40000</v>
      </c>
      <c r="G5984" s="14">
        <v>30850</v>
      </c>
      <c r="H5984" s="13" t="s">
        <v>9477</v>
      </c>
      <c r="I5984" s="40" t="s">
        <v>18</v>
      </c>
      <c r="J5984" s="40" t="str">
        <f>HYPERLINK("https://stock.pstatic.net/stock-research/company/16/20260121_company_135129000.pdf","PDF")</f>
        <v>PDF</v>
      </c>
      <c r="K5984" s="12" t="s">
        <v>9478</v>
      </c>
      <c r="L5984" s="20">
        <v>0.29659643435980548</v>
      </c>
    </row>
    <row r="5985" spans="1:12" x14ac:dyDescent="0.45">
      <c r="A5985" s="12" t="s">
        <v>9464</v>
      </c>
      <c r="B5985" s="12" t="s">
        <v>4921</v>
      </c>
      <c r="C5985" s="13" t="s">
        <v>4922</v>
      </c>
      <c r="D5985" s="13" t="s">
        <v>57</v>
      </c>
      <c r="E5985" s="12" t="s">
        <v>35</v>
      </c>
      <c r="F5985" s="14">
        <v>31000</v>
      </c>
      <c r="G5985" s="14">
        <v>19160</v>
      </c>
      <c r="H5985" s="13" t="s">
        <v>9479</v>
      </c>
      <c r="I5985" s="40" t="s">
        <v>18</v>
      </c>
      <c r="J5985" s="40" t="str">
        <f>HYPERLINK("https://stock.pstatic.net/stock-research/company/16/20260121_company_196207000.pdf","PDF")</f>
        <v>PDF</v>
      </c>
      <c r="K5985" s="12" t="s">
        <v>9480</v>
      </c>
      <c r="L5985" s="20">
        <v>0.6179540709812108</v>
      </c>
    </row>
    <row r="5986" spans="1:12" x14ac:dyDescent="0.45">
      <c r="A5986" s="12" t="s">
        <v>9464</v>
      </c>
      <c r="B5986" s="12" t="s">
        <v>4470</v>
      </c>
      <c r="C5986" s="13" t="s">
        <v>4471</v>
      </c>
      <c r="D5986" s="13" t="s">
        <v>276</v>
      </c>
      <c r="E5986" s="12" t="s">
        <v>16</v>
      </c>
      <c r="F5986" s="14">
        <v>16000</v>
      </c>
      <c r="G5986" s="14">
        <v>9330</v>
      </c>
      <c r="H5986" s="13" t="s">
        <v>9481</v>
      </c>
      <c r="I5986" s="40" t="s">
        <v>18</v>
      </c>
      <c r="J5986" s="40" t="str">
        <f>HYPERLINK("https://stock.pstatic.net/stock-research/company/66/20260121_company_206824000.pdf","PDF")</f>
        <v>PDF</v>
      </c>
      <c r="K5986" s="12" t="s">
        <v>9482</v>
      </c>
      <c r="L5986" s="20">
        <v>0.714898177920686</v>
      </c>
    </row>
    <row r="5987" spans="1:12" x14ac:dyDescent="0.45">
      <c r="A5987" s="12" t="s">
        <v>9464</v>
      </c>
      <c r="B5987" s="12" t="s">
        <v>2933</v>
      </c>
      <c r="C5987" s="13" t="s">
        <v>2934</v>
      </c>
      <c r="D5987" s="13" t="s">
        <v>60</v>
      </c>
      <c r="E5987" s="12" t="s">
        <v>35</v>
      </c>
      <c r="F5987" s="14">
        <v>178000</v>
      </c>
      <c r="G5987" s="14">
        <v>147100</v>
      </c>
      <c r="H5987" s="13" t="s">
        <v>9483</v>
      </c>
      <c r="I5987" s="40" t="s">
        <v>18</v>
      </c>
      <c r="J5987" s="40" t="str">
        <f>HYPERLINK("https://stock.pstatic.net/stock-research/company/62/20260121_company_247950000.pdf","PDF")</f>
        <v>PDF</v>
      </c>
      <c r="K5987" s="12" t="s">
        <v>9484</v>
      </c>
      <c r="L5987" s="20">
        <v>0.21006118286879669</v>
      </c>
    </row>
    <row r="5988" spans="1:12" x14ac:dyDescent="0.45">
      <c r="A5988" s="12" t="s">
        <v>9464</v>
      </c>
      <c r="B5988" s="12" t="s">
        <v>268</v>
      </c>
      <c r="C5988" s="13" t="s">
        <v>269</v>
      </c>
      <c r="D5988" s="13" t="s">
        <v>65</v>
      </c>
      <c r="E5988" s="12" t="s">
        <v>35</v>
      </c>
      <c r="F5988" s="14">
        <v>640000</v>
      </c>
      <c r="G5988" s="14">
        <v>481000</v>
      </c>
      <c r="H5988" s="13" t="s">
        <v>9485</v>
      </c>
      <c r="I5988" s="40" t="s">
        <v>18</v>
      </c>
      <c r="J5988" s="40" t="str">
        <f>HYPERLINK("https://stock.pstatic.net/stock-research/company/57/20260121_company_607159000.pdf","PDF")</f>
        <v>PDF</v>
      </c>
      <c r="K5988" s="12" t="s">
        <v>9486</v>
      </c>
      <c r="L5988" s="20">
        <v>0.33056133056133058</v>
      </c>
    </row>
    <row r="5989" spans="1:12" x14ac:dyDescent="0.45">
      <c r="A5989" s="12" t="s">
        <v>9464</v>
      </c>
      <c r="B5989" s="12" t="s">
        <v>3688</v>
      </c>
      <c r="C5989" s="13" t="s">
        <v>3689</v>
      </c>
      <c r="D5989" s="13" t="s">
        <v>65</v>
      </c>
      <c r="E5989" s="12" t="s">
        <v>35</v>
      </c>
      <c r="F5989" s="14">
        <v>112000</v>
      </c>
      <c r="G5989" s="14">
        <v>81900</v>
      </c>
      <c r="H5989" s="13" t="s">
        <v>9487</v>
      </c>
      <c r="I5989" s="40" t="s">
        <v>18</v>
      </c>
      <c r="J5989" s="40" t="str">
        <f>HYPERLINK("https://stock.pstatic.net/stock-research/company/57/20260121_company_565533000.pdf","PDF")</f>
        <v>PDF</v>
      </c>
      <c r="K5989" s="12" t="s">
        <v>9488</v>
      </c>
      <c r="L5989" s="20">
        <v>0.36752136752136749</v>
      </c>
    </row>
    <row r="5990" spans="1:12" x14ac:dyDescent="0.45">
      <c r="A5990" s="12" t="s">
        <v>9464</v>
      </c>
      <c r="B5990" s="12" t="s">
        <v>6400</v>
      </c>
      <c r="C5990" s="13" t="s">
        <v>6401</v>
      </c>
      <c r="D5990" s="13" t="s">
        <v>65</v>
      </c>
      <c r="E5990" s="12" t="s">
        <v>35</v>
      </c>
      <c r="F5990" s="14">
        <v>22000</v>
      </c>
      <c r="G5990" s="14">
        <v>9180</v>
      </c>
      <c r="H5990" s="13" t="s">
        <v>9489</v>
      </c>
      <c r="I5990" s="40" t="s">
        <v>18</v>
      </c>
      <c r="J5990" s="40" t="str">
        <f>HYPERLINK("https://stock.pstatic.net/stock-research/company/57/20260121_company_44308000.pdf","PDF")</f>
        <v>PDF</v>
      </c>
      <c r="K5990" s="12" t="s">
        <v>9490</v>
      </c>
      <c r="L5990" s="20">
        <v>1.396514161220044</v>
      </c>
    </row>
    <row r="5991" spans="1:12" x14ac:dyDescent="0.45">
      <c r="A5991" s="12" t="s">
        <v>9464</v>
      </c>
      <c r="B5991" s="12" t="s">
        <v>495</v>
      </c>
      <c r="C5991" s="13" t="s">
        <v>496</v>
      </c>
      <c r="D5991" s="13" t="s">
        <v>15</v>
      </c>
      <c r="E5991" s="12" t="s">
        <v>16</v>
      </c>
      <c r="F5991" s="14">
        <v>300000</v>
      </c>
      <c r="G5991" s="14">
        <v>237000</v>
      </c>
      <c r="H5991" s="13" t="s">
        <v>9491</v>
      </c>
      <c r="I5991" s="40" t="s">
        <v>18</v>
      </c>
      <c r="J5991" s="40" t="str">
        <f>HYPERLINK("https://stock.pstatic.net/stock-research/company/56/20260121_company_323737000.pdf","PDF")</f>
        <v>PDF</v>
      </c>
      <c r="K5991" s="12" t="s">
        <v>9492</v>
      </c>
      <c r="L5991" s="20">
        <v>0.26582278481012661</v>
      </c>
    </row>
    <row r="5992" spans="1:12" x14ac:dyDescent="0.45">
      <c r="A5992" s="12" t="s">
        <v>9464</v>
      </c>
      <c r="B5992" s="12" t="s">
        <v>434</v>
      </c>
      <c r="C5992" s="13" t="s">
        <v>435</v>
      </c>
      <c r="D5992" s="13" t="s">
        <v>15</v>
      </c>
      <c r="E5992" s="12" t="s">
        <v>16</v>
      </c>
      <c r="F5992" s="14">
        <v>160000</v>
      </c>
      <c r="G5992" s="14">
        <v>119700</v>
      </c>
      <c r="H5992" s="13" t="s">
        <v>9493</v>
      </c>
      <c r="I5992" s="40" t="s">
        <v>18</v>
      </c>
      <c r="J5992" s="40" t="str">
        <f>HYPERLINK("https://stock.pstatic.net/stock-research/company/56/20260121_company_652911000.pdf","PDF")</f>
        <v>PDF</v>
      </c>
      <c r="K5992" s="12" t="s">
        <v>9494</v>
      </c>
      <c r="L5992" s="20">
        <v>0.33667502088554718</v>
      </c>
    </row>
    <row r="5993" spans="1:12" x14ac:dyDescent="0.45">
      <c r="A5993" s="12" t="s">
        <v>9464</v>
      </c>
      <c r="B5993" s="12" t="s">
        <v>90</v>
      </c>
      <c r="C5993" s="13" t="s">
        <v>91</v>
      </c>
      <c r="D5993" s="13" t="s">
        <v>15</v>
      </c>
      <c r="E5993" s="12" t="s">
        <v>50</v>
      </c>
      <c r="F5993" s="13"/>
      <c r="G5993" s="14">
        <v>28550</v>
      </c>
      <c r="H5993" s="13" t="s">
        <v>9495</v>
      </c>
      <c r="I5993" s="40" t="s">
        <v>18</v>
      </c>
      <c r="J5993" s="40" t="str">
        <f>HYPERLINK("https://stock.pstatic.net/stock-research/company/56/20260121_company_72228000.pdf","PDF")</f>
        <v>PDF</v>
      </c>
      <c r="K5993" s="12" t="s">
        <v>9496</v>
      </c>
    </row>
    <row r="5994" spans="1:12" x14ac:dyDescent="0.45">
      <c r="A5994" s="12" t="s">
        <v>9464</v>
      </c>
      <c r="B5994" s="12" t="s">
        <v>661</v>
      </c>
      <c r="C5994" s="13" t="s">
        <v>662</v>
      </c>
      <c r="D5994" s="13" t="s">
        <v>83</v>
      </c>
      <c r="E5994" s="12" t="s">
        <v>35</v>
      </c>
      <c r="F5994" s="14">
        <v>25000</v>
      </c>
      <c r="G5994" s="14">
        <v>18550</v>
      </c>
      <c r="H5994" s="13" t="s">
        <v>9497</v>
      </c>
      <c r="I5994" s="40" t="s">
        <v>18</v>
      </c>
      <c r="J5994" s="40" t="str">
        <f>HYPERLINK("https://stock.pstatic.net/stock-research/company/15/20260121_company_461378000.pdf","PDF")</f>
        <v>PDF</v>
      </c>
      <c r="K5994" s="12" t="s">
        <v>9498</v>
      </c>
      <c r="L5994" s="20">
        <v>0.34770889487870621</v>
      </c>
    </row>
    <row r="5995" spans="1:12" x14ac:dyDescent="0.45">
      <c r="A5995" s="12" t="s">
        <v>9464</v>
      </c>
      <c r="B5995" s="12" t="s">
        <v>1666</v>
      </c>
      <c r="C5995" s="13" t="s">
        <v>1667</v>
      </c>
      <c r="D5995" s="13" t="s">
        <v>83</v>
      </c>
      <c r="E5995" s="12" t="s">
        <v>35</v>
      </c>
      <c r="F5995" s="14">
        <v>66000</v>
      </c>
      <c r="G5995" s="14">
        <v>51000</v>
      </c>
      <c r="H5995" s="13" t="s">
        <v>9499</v>
      </c>
      <c r="I5995" s="40" t="s">
        <v>18</v>
      </c>
      <c r="J5995" s="40" t="str">
        <f>HYPERLINK("https://stock.pstatic.net/stock-research/company/15/20260121_company_825970000.pdf","PDF")</f>
        <v>PDF</v>
      </c>
      <c r="K5995" s="12" t="s">
        <v>9500</v>
      </c>
      <c r="L5995" s="20">
        <v>0.29411764705882348</v>
      </c>
    </row>
    <row r="5996" spans="1:12" x14ac:dyDescent="0.45">
      <c r="A5996" s="12" t="s">
        <v>9464</v>
      </c>
      <c r="B5996" s="12" t="s">
        <v>537</v>
      </c>
      <c r="C5996" s="13" t="s">
        <v>538</v>
      </c>
      <c r="D5996" s="13" t="s">
        <v>83</v>
      </c>
      <c r="E5996" s="12" t="s">
        <v>35</v>
      </c>
      <c r="F5996" s="14">
        <v>17000</v>
      </c>
      <c r="G5996" s="14">
        <v>15430</v>
      </c>
      <c r="H5996" s="13" t="s">
        <v>9501</v>
      </c>
      <c r="I5996" s="40" t="s">
        <v>18</v>
      </c>
      <c r="J5996" s="40" t="str">
        <f>HYPERLINK("https://stock.pstatic.net/stock-research/company/15/20260121_company_350086000.pdf","PDF")</f>
        <v>PDF</v>
      </c>
      <c r="K5996" s="12" t="s">
        <v>9502</v>
      </c>
      <c r="L5996" s="20">
        <v>0.101749837977965</v>
      </c>
    </row>
    <row r="5997" spans="1:12" x14ac:dyDescent="0.45">
      <c r="A5997" s="12" t="s">
        <v>9464</v>
      </c>
      <c r="B5997" s="12" t="s">
        <v>533</v>
      </c>
      <c r="C5997" s="13" t="s">
        <v>534</v>
      </c>
      <c r="D5997" s="13" t="s">
        <v>83</v>
      </c>
      <c r="E5997" s="12" t="s">
        <v>35</v>
      </c>
      <c r="F5997" s="14">
        <v>74000</v>
      </c>
      <c r="G5997" s="14">
        <v>55200</v>
      </c>
      <c r="H5997" s="13" t="s">
        <v>9503</v>
      </c>
      <c r="I5997" s="40" t="s">
        <v>18</v>
      </c>
      <c r="J5997" s="40" t="str">
        <f>HYPERLINK("https://stock.pstatic.net/stock-research/company/15/20260121_company_735120000.pdf","PDF")</f>
        <v>PDF</v>
      </c>
      <c r="K5997" s="12" t="s">
        <v>9504</v>
      </c>
      <c r="L5997" s="20">
        <v>0.34057971014492749</v>
      </c>
    </row>
    <row r="5998" spans="1:12" x14ac:dyDescent="0.45">
      <c r="A5998" s="12" t="s">
        <v>9464</v>
      </c>
      <c r="B5998" s="12" t="s">
        <v>334</v>
      </c>
      <c r="C5998" s="13" t="s">
        <v>335</v>
      </c>
      <c r="D5998" s="13" t="s">
        <v>92</v>
      </c>
      <c r="E5998" s="12" t="s">
        <v>35</v>
      </c>
      <c r="F5998" s="14">
        <v>990000</v>
      </c>
      <c r="G5998" s="14">
        <v>743000</v>
      </c>
      <c r="H5998" s="13" t="s">
        <v>9505</v>
      </c>
      <c r="I5998" s="40" t="s">
        <v>18</v>
      </c>
      <c r="J5998" s="40" t="str">
        <f>HYPERLINK("https://stock.pstatic.net/stock-research/company/63/20260121_company_347941000.pdf","PDF")</f>
        <v>PDF</v>
      </c>
      <c r="K5998" s="12" t="s">
        <v>9506</v>
      </c>
      <c r="L5998" s="20">
        <v>0.33243606998654113</v>
      </c>
    </row>
    <row r="5999" spans="1:12" x14ac:dyDescent="0.45">
      <c r="A5999" s="12" t="s">
        <v>9464</v>
      </c>
      <c r="B5999" s="12" t="s">
        <v>2097</v>
      </c>
      <c r="C5999" s="13" t="s">
        <v>2098</v>
      </c>
      <c r="D5999" s="13" t="s">
        <v>92</v>
      </c>
      <c r="E5999" s="12" t="s">
        <v>35</v>
      </c>
      <c r="F5999" s="14">
        <v>98000</v>
      </c>
      <c r="G5999" s="14">
        <v>84700</v>
      </c>
      <c r="H5999" s="13" t="s">
        <v>9507</v>
      </c>
      <c r="I5999" s="40" t="s">
        <v>18</v>
      </c>
      <c r="J5999" s="40" t="str">
        <f>HYPERLINK("https://stock.pstatic.net/stock-research/company/63/20260121_company_676009000.pdf","PDF")</f>
        <v>PDF</v>
      </c>
      <c r="K5999" s="12" t="s">
        <v>9508</v>
      </c>
      <c r="L5999" s="20">
        <v>0.15702479338842981</v>
      </c>
    </row>
    <row r="6000" spans="1:12" x14ac:dyDescent="0.45">
      <c r="A6000" s="12" t="s">
        <v>9464</v>
      </c>
      <c r="B6000" s="12" t="s">
        <v>90</v>
      </c>
      <c r="C6000" s="13" t="s">
        <v>91</v>
      </c>
      <c r="D6000" s="13" t="s">
        <v>92</v>
      </c>
      <c r="E6000" s="12" t="s">
        <v>35</v>
      </c>
      <c r="F6000" s="14">
        <v>38500</v>
      </c>
      <c r="G6000" s="14">
        <v>28550</v>
      </c>
      <c r="H6000" s="13" t="s">
        <v>9509</v>
      </c>
      <c r="I6000" s="40" t="s">
        <v>18</v>
      </c>
      <c r="J6000" s="40" t="str">
        <f>HYPERLINK("https://stock.pstatic.net/stock-research/company/63/20260121_company_77251000.pdf","PDF")</f>
        <v>PDF</v>
      </c>
      <c r="K6000" s="12" t="s">
        <v>9510</v>
      </c>
      <c r="L6000" s="20">
        <v>0.34851138353765332</v>
      </c>
    </row>
    <row r="6001" spans="1:12" x14ac:dyDescent="0.45">
      <c r="A6001" s="12" t="s">
        <v>9464</v>
      </c>
      <c r="B6001" s="12" t="s">
        <v>3230</v>
      </c>
      <c r="C6001" s="13" t="s">
        <v>3231</v>
      </c>
      <c r="D6001" s="13" t="s">
        <v>53</v>
      </c>
      <c r="E6001" s="12" t="s">
        <v>16</v>
      </c>
      <c r="F6001" s="14">
        <v>2900000</v>
      </c>
      <c r="G6001" s="14">
        <v>2344000</v>
      </c>
      <c r="H6001" s="13" t="s">
        <v>9511</v>
      </c>
      <c r="I6001" s="40" t="s">
        <v>18</v>
      </c>
      <c r="J6001" s="40" t="str">
        <f>HYPERLINK("https://stock.pstatic.net/stock-research/company/40/20260121_company_187034000.pdf","PDF")</f>
        <v>PDF</v>
      </c>
      <c r="K6001" s="12" t="s">
        <v>9512</v>
      </c>
      <c r="L6001" s="20">
        <v>0.23720136518771329</v>
      </c>
    </row>
    <row r="6002" spans="1:12" x14ac:dyDescent="0.45">
      <c r="A6002" s="12" t="s">
        <v>9464</v>
      </c>
      <c r="B6002" s="12" t="s">
        <v>1799</v>
      </c>
      <c r="C6002" s="13" t="s">
        <v>1800</v>
      </c>
      <c r="D6002" s="13" t="s">
        <v>179</v>
      </c>
      <c r="E6002" s="12" t="s">
        <v>16</v>
      </c>
      <c r="F6002" s="14">
        <v>7700</v>
      </c>
      <c r="G6002" s="14">
        <v>5260</v>
      </c>
      <c r="H6002" s="13" t="s">
        <v>9513</v>
      </c>
      <c r="I6002" s="40" t="s">
        <v>18</v>
      </c>
      <c r="J6002" s="40" t="str">
        <f>HYPERLINK("https://stock.pstatic.net/stock-research/company/64/20260121_company_490366000.pdf","PDF")</f>
        <v>PDF</v>
      </c>
      <c r="K6002" s="12" t="s">
        <v>9514</v>
      </c>
      <c r="L6002" s="20">
        <v>0.46387832699619769</v>
      </c>
    </row>
    <row r="6003" spans="1:12" x14ac:dyDescent="0.45">
      <c r="A6003" s="12" t="s">
        <v>9464</v>
      </c>
      <c r="B6003" s="12" t="s">
        <v>76</v>
      </c>
      <c r="C6003" s="13" t="s">
        <v>77</v>
      </c>
      <c r="D6003" s="13" t="s">
        <v>23</v>
      </c>
      <c r="E6003" s="12" t="s">
        <v>385</v>
      </c>
      <c r="F6003" s="13"/>
      <c r="G6003" s="14">
        <v>20950</v>
      </c>
      <c r="H6003" s="13" t="s">
        <v>9515</v>
      </c>
      <c r="I6003" s="40" t="s">
        <v>18</v>
      </c>
      <c r="J6003" s="40" t="str">
        <f>HYPERLINK("https://stock.pstatic.net/stock-research/company/21/20260121_company_636781000.pdf","PDF")</f>
        <v>PDF</v>
      </c>
      <c r="K6003" s="12" t="s">
        <v>9516</v>
      </c>
    </row>
    <row r="6004" spans="1:12" x14ac:dyDescent="0.45">
      <c r="A6004" s="12" t="s">
        <v>9464</v>
      </c>
      <c r="B6004" s="12" t="s">
        <v>63</v>
      </c>
      <c r="C6004" s="13" t="s">
        <v>64</v>
      </c>
      <c r="D6004" s="13" t="s">
        <v>23</v>
      </c>
      <c r="E6004" s="12" t="s">
        <v>16</v>
      </c>
      <c r="F6004" s="14">
        <v>560000</v>
      </c>
      <c r="G6004" s="14">
        <v>445000</v>
      </c>
      <c r="H6004" s="13" t="s">
        <v>9517</v>
      </c>
      <c r="I6004" s="40" t="s">
        <v>18</v>
      </c>
      <c r="J6004" s="40" t="str">
        <f>HYPERLINK("https://stock.pstatic.net/stock-research/company/21/20260121_company_780839000.pdf","PDF")</f>
        <v>PDF</v>
      </c>
      <c r="K6004" s="12" t="s">
        <v>9518</v>
      </c>
      <c r="L6004" s="20">
        <v>0.25842696629213491</v>
      </c>
    </row>
    <row r="6005" spans="1:12" x14ac:dyDescent="0.45">
      <c r="A6005" s="12" t="s">
        <v>9464</v>
      </c>
      <c r="B6005" s="12" t="s">
        <v>3536</v>
      </c>
      <c r="C6005" s="13" t="s">
        <v>3537</v>
      </c>
      <c r="D6005" s="13" t="s">
        <v>23</v>
      </c>
      <c r="E6005" s="12" t="s">
        <v>16</v>
      </c>
      <c r="F6005" s="14">
        <v>500000</v>
      </c>
      <c r="G6005" s="14">
        <v>292000</v>
      </c>
      <c r="H6005" s="13" t="s">
        <v>9519</v>
      </c>
      <c r="I6005" s="40" t="s">
        <v>18</v>
      </c>
      <c r="J6005" s="40" t="str">
        <f>HYPERLINK("https://stock.pstatic.net/stock-research/company/21/20260121_company_760950000.pdf","PDF")</f>
        <v>PDF</v>
      </c>
      <c r="K6005" s="12" t="s">
        <v>9520</v>
      </c>
      <c r="L6005" s="20">
        <v>0.71232876712328763</v>
      </c>
    </row>
    <row r="6006" spans="1:12" x14ac:dyDescent="0.45">
      <c r="A6006" s="12" t="s">
        <v>9464</v>
      </c>
      <c r="B6006" s="12" t="s">
        <v>7297</v>
      </c>
      <c r="C6006" s="13" t="s">
        <v>7298</v>
      </c>
      <c r="D6006" s="13" t="s">
        <v>92</v>
      </c>
      <c r="E6006" s="12" t="s">
        <v>50</v>
      </c>
      <c r="F6006" s="13"/>
      <c r="G6006" s="14">
        <v>7420</v>
      </c>
      <c r="H6006" s="13" t="s">
        <v>9521</v>
      </c>
      <c r="I6006" s="40" t="s">
        <v>18</v>
      </c>
      <c r="J6006" s="40" t="str">
        <f>HYPERLINK("https://stock.pstatic.net/stock-research/company/63/20260121_company_989160000.pdf","PDF")</f>
        <v>PDF</v>
      </c>
      <c r="K6006" s="12" t="s">
        <v>9522</v>
      </c>
    </row>
    <row r="6007" spans="1:12" x14ac:dyDescent="0.45">
      <c r="A6007" s="12" t="s">
        <v>9464</v>
      </c>
      <c r="B6007" s="12" t="s">
        <v>72</v>
      </c>
      <c r="C6007" s="13" t="s">
        <v>73</v>
      </c>
      <c r="D6007" s="13" t="s">
        <v>179</v>
      </c>
      <c r="E6007" s="12" t="s">
        <v>16</v>
      </c>
      <c r="F6007" s="14">
        <v>350000</v>
      </c>
      <c r="G6007" s="14">
        <v>296000</v>
      </c>
      <c r="H6007" s="13" t="s">
        <v>9523</v>
      </c>
      <c r="I6007" s="40" t="s">
        <v>18</v>
      </c>
      <c r="J6007" s="40" t="str">
        <f>HYPERLINK("https://stock.pstatic.net/stock-research/company/64/20260121_company_418513000.pdf","PDF")</f>
        <v>PDF</v>
      </c>
      <c r="K6007" s="12" t="s">
        <v>9524</v>
      </c>
      <c r="L6007" s="20">
        <v>0.1824324324324324</v>
      </c>
    </row>
    <row r="6008" spans="1:12" x14ac:dyDescent="0.45">
      <c r="A6008" s="12" t="s">
        <v>9464</v>
      </c>
      <c r="B6008" s="12" t="s">
        <v>63</v>
      </c>
      <c r="C6008" s="13" t="s">
        <v>64</v>
      </c>
      <c r="D6008" s="13" t="s">
        <v>34</v>
      </c>
      <c r="E6008" s="12" t="s">
        <v>35</v>
      </c>
      <c r="F6008" s="14">
        <v>520000</v>
      </c>
      <c r="G6008" s="14">
        <v>445000</v>
      </c>
      <c r="H6008" s="13" t="s">
        <v>9525</v>
      </c>
      <c r="I6008" s="40" t="s">
        <v>18</v>
      </c>
      <c r="J6008" s="40" t="str">
        <f>HYPERLINK("https://stock.pstatic.net/stock-research/company/61/20260121_company_48181000.pdf","PDF")</f>
        <v>PDF</v>
      </c>
      <c r="K6008" s="12" t="s">
        <v>9526</v>
      </c>
      <c r="L6008" s="20">
        <v>0.1685393258426966</v>
      </c>
    </row>
    <row r="6009" spans="1:12" x14ac:dyDescent="0.45">
      <c r="A6009" s="12" t="s">
        <v>9464</v>
      </c>
      <c r="B6009" s="12" t="s">
        <v>3123</v>
      </c>
      <c r="C6009" s="13" t="s">
        <v>3124</v>
      </c>
      <c r="D6009" s="13" t="s">
        <v>179</v>
      </c>
      <c r="E6009" s="12" t="s">
        <v>16</v>
      </c>
      <c r="F6009" s="14">
        <v>72000</v>
      </c>
      <c r="G6009" s="14">
        <v>54700</v>
      </c>
      <c r="H6009" s="13" t="s">
        <v>9527</v>
      </c>
      <c r="I6009" s="40" t="s">
        <v>18</v>
      </c>
      <c r="J6009" s="40" t="str">
        <f>HYPERLINK("https://stock.pstatic.net/stock-research/company/64/20260121_company_163859000.pdf","PDF")</f>
        <v>PDF</v>
      </c>
      <c r="K6009" s="12" t="s">
        <v>9528</v>
      </c>
      <c r="L6009" s="20">
        <v>0.31627056672760512</v>
      </c>
    </row>
    <row r="6010" spans="1:12" x14ac:dyDescent="0.45">
      <c r="A6010" s="12" t="s">
        <v>9464</v>
      </c>
      <c r="B6010" s="12" t="s">
        <v>1140</v>
      </c>
      <c r="C6010" s="13" t="s">
        <v>1141</v>
      </c>
      <c r="D6010" s="13" t="s">
        <v>44</v>
      </c>
      <c r="E6010" s="12" t="s">
        <v>50</v>
      </c>
      <c r="F6010" s="13"/>
      <c r="G6010" s="14">
        <v>65400</v>
      </c>
      <c r="H6010" s="13" t="s">
        <v>9529</v>
      </c>
      <c r="I6010" s="40" t="s">
        <v>18</v>
      </c>
      <c r="J6010" s="40" t="str">
        <f>HYPERLINK("https://stock.pstatic.net/stock-research/company/39/20260121_company_125029000.pdf","PDF")</f>
        <v>PDF</v>
      </c>
      <c r="K6010" s="12" t="s">
        <v>9530</v>
      </c>
    </row>
    <row r="6011" spans="1:12" x14ac:dyDescent="0.45">
      <c r="A6011" s="12" t="s">
        <v>9464</v>
      </c>
      <c r="B6011" s="12" t="s">
        <v>1487</v>
      </c>
      <c r="C6011" s="13" t="s">
        <v>1488</v>
      </c>
      <c r="D6011" s="13" t="s">
        <v>124</v>
      </c>
      <c r="E6011" s="12" t="s">
        <v>50</v>
      </c>
      <c r="F6011" s="13"/>
      <c r="G6011" s="13"/>
      <c r="H6011" s="13" t="s">
        <v>9531</v>
      </c>
      <c r="I6011" s="40" t="s">
        <v>18</v>
      </c>
      <c r="J6011" s="40" t="str">
        <f>HYPERLINK("https://stock.pstatic.net/stock-research/company/74/20260121_company_420404000.pdf","PDF")</f>
        <v>PDF</v>
      </c>
      <c r="K6011" s="12" t="s">
        <v>9532</v>
      </c>
    </row>
    <row r="6012" spans="1:12" x14ac:dyDescent="0.45">
      <c r="A6012" s="12" t="s">
        <v>9464</v>
      </c>
      <c r="B6012" s="12" t="s">
        <v>9533</v>
      </c>
      <c r="C6012" s="13" t="s">
        <v>9534</v>
      </c>
      <c r="D6012" s="13" t="s">
        <v>124</v>
      </c>
      <c r="E6012" s="12" t="s">
        <v>50</v>
      </c>
      <c r="F6012" s="13"/>
      <c r="G6012" s="13"/>
      <c r="H6012" s="13" t="s">
        <v>9535</v>
      </c>
      <c r="I6012" s="40" t="s">
        <v>18</v>
      </c>
      <c r="J6012" s="40" t="str">
        <f>HYPERLINK("https://stock.pstatic.net/stock-research/company/74/20260121_company_261462000.pdf","PDF")</f>
        <v>PDF</v>
      </c>
      <c r="K6012" s="12" t="s">
        <v>9536</v>
      </c>
    </row>
    <row r="6013" spans="1:12" x14ac:dyDescent="0.45">
      <c r="A6013" s="12" t="s">
        <v>9537</v>
      </c>
      <c r="B6013" s="12" t="s">
        <v>2231</v>
      </c>
      <c r="C6013" s="13" t="s">
        <v>2232</v>
      </c>
      <c r="D6013" s="13" t="s">
        <v>57</v>
      </c>
      <c r="E6013" s="12" t="s">
        <v>35</v>
      </c>
      <c r="F6013" s="14">
        <v>140000</v>
      </c>
      <c r="G6013" s="14">
        <v>76100</v>
      </c>
      <c r="H6013" s="13" t="s">
        <v>9538</v>
      </c>
      <c r="I6013" s="40" t="s">
        <v>18</v>
      </c>
      <c r="J6013" s="40" t="str">
        <f>HYPERLINK("https://stock.pstatic.net/stock-research/company/16/20260120_company_8741000.pdf","PDF")</f>
        <v>PDF</v>
      </c>
      <c r="K6013" s="12" t="s">
        <v>9539</v>
      </c>
      <c r="L6013" s="20">
        <v>0.83968462549277267</v>
      </c>
    </row>
    <row r="6014" spans="1:12" x14ac:dyDescent="0.45">
      <c r="A6014" s="12" t="s">
        <v>9537</v>
      </c>
      <c r="B6014" s="12" t="s">
        <v>63</v>
      </c>
      <c r="C6014" s="13" t="s">
        <v>64</v>
      </c>
      <c r="D6014" s="13" t="s">
        <v>276</v>
      </c>
      <c r="E6014" s="12" t="s">
        <v>16</v>
      </c>
      <c r="F6014" s="14">
        <v>530000</v>
      </c>
      <c r="G6014" s="14">
        <v>444500</v>
      </c>
      <c r="H6014" s="13" t="s">
        <v>9540</v>
      </c>
      <c r="I6014" s="40" t="s">
        <v>18</v>
      </c>
      <c r="J6014" s="40" t="str">
        <f>HYPERLINK("https://stock.pstatic.net/stock-research/company/66/20260120_company_288979000.pdf","PDF")</f>
        <v>PDF</v>
      </c>
      <c r="K6014" s="12" t="s">
        <v>9541</v>
      </c>
      <c r="L6014" s="20">
        <v>0.1923509561304837</v>
      </c>
    </row>
    <row r="6015" spans="1:12" x14ac:dyDescent="0.45">
      <c r="A6015" s="12" t="s">
        <v>9537</v>
      </c>
      <c r="B6015" s="12" t="s">
        <v>916</v>
      </c>
      <c r="C6015" s="13" t="s">
        <v>917</v>
      </c>
      <c r="D6015" s="13" t="s">
        <v>60</v>
      </c>
      <c r="E6015" s="12" t="s">
        <v>35</v>
      </c>
      <c r="F6015" s="14">
        <v>76000</v>
      </c>
      <c r="G6015" s="14">
        <v>56600</v>
      </c>
      <c r="H6015" s="13" t="s">
        <v>9542</v>
      </c>
      <c r="I6015" s="40" t="s">
        <v>18</v>
      </c>
      <c r="J6015" s="40" t="str">
        <f>HYPERLINK("https://stock.pstatic.net/stock-research/company/62/20260120_company_101857000.pdf","PDF")</f>
        <v>PDF</v>
      </c>
      <c r="K6015" s="12" t="s">
        <v>9543</v>
      </c>
      <c r="L6015" s="20">
        <v>0.34275618374558298</v>
      </c>
    </row>
    <row r="6016" spans="1:12" x14ac:dyDescent="0.45">
      <c r="A6016" s="12" t="s">
        <v>9537</v>
      </c>
      <c r="B6016" s="12" t="s">
        <v>63</v>
      </c>
      <c r="C6016" s="13" t="s">
        <v>64</v>
      </c>
      <c r="D6016" s="13" t="s">
        <v>65</v>
      </c>
      <c r="E6016" s="12" t="s">
        <v>35</v>
      </c>
      <c r="F6016" s="14">
        <v>540000</v>
      </c>
      <c r="G6016" s="14">
        <v>444500</v>
      </c>
      <c r="H6016" s="13" t="s">
        <v>9544</v>
      </c>
      <c r="I6016" s="40" t="s">
        <v>18</v>
      </c>
      <c r="J6016" s="40" t="str">
        <f>HYPERLINK("https://stock.pstatic.net/stock-research/company/57/20260120_company_268803000.pdf","PDF")</f>
        <v>PDF</v>
      </c>
      <c r="K6016" s="12" t="s">
        <v>9545</v>
      </c>
      <c r="L6016" s="20">
        <v>0.21484814398200219</v>
      </c>
    </row>
    <row r="6017" spans="1:12" x14ac:dyDescent="0.45">
      <c r="A6017" s="12" t="s">
        <v>9537</v>
      </c>
      <c r="B6017" s="12" t="s">
        <v>4095</v>
      </c>
      <c r="C6017" s="13" t="s">
        <v>4096</v>
      </c>
      <c r="D6017" s="13" t="s">
        <v>65</v>
      </c>
      <c r="E6017" s="12" t="s">
        <v>35</v>
      </c>
      <c r="F6017" s="14">
        <v>200000</v>
      </c>
      <c r="G6017" s="14">
        <v>152100</v>
      </c>
      <c r="H6017" s="13" t="s">
        <v>9546</v>
      </c>
      <c r="I6017" s="40" t="s">
        <v>18</v>
      </c>
      <c r="J6017" s="40" t="str">
        <f>HYPERLINK("https://stock.pstatic.net/stock-research/company/57/20260120_company_781250000.pdf","PDF")</f>
        <v>PDF</v>
      </c>
      <c r="K6017" s="12" t="s">
        <v>9547</v>
      </c>
      <c r="L6017" s="20">
        <v>0.31492439184746879</v>
      </c>
    </row>
    <row r="6018" spans="1:12" x14ac:dyDescent="0.45">
      <c r="A6018" s="12" t="s">
        <v>9537</v>
      </c>
      <c r="B6018" s="12" t="s">
        <v>3024</v>
      </c>
      <c r="C6018" s="13" t="s">
        <v>3025</v>
      </c>
      <c r="D6018" s="13" t="s">
        <v>65</v>
      </c>
      <c r="E6018" s="12" t="s">
        <v>35</v>
      </c>
      <c r="F6018" s="14">
        <v>76000</v>
      </c>
      <c r="G6018" s="14">
        <v>62500</v>
      </c>
      <c r="H6018" s="13" t="s">
        <v>9548</v>
      </c>
      <c r="I6018" s="40" t="s">
        <v>18</v>
      </c>
      <c r="J6018" s="40" t="str">
        <f>HYPERLINK("https://stock.pstatic.net/stock-research/company/57/20260120_company_243048000.pdf","PDF")</f>
        <v>PDF</v>
      </c>
      <c r="K6018" s="12" t="s">
        <v>9549</v>
      </c>
      <c r="L6018" s="20">
        <v>0.216</v>
      </c>
    </row>
    <row r="6019" spans="1:12" x14ac:dyDescent="0.45">
      <c r="A6019" s="12" t="s">
        <v>9537</v>
      </c>
      <c r="B6019" s="12" t="s">
        <v>3014</v>
      </c>
      <c r="C6019" s="13" t="s">
        <v>3015</v>
      </c>
      <c r="D6019" s="13" t="s">
        <v>158</v>
      </c>
      <c r="E6019" s="12" t="s">
        <v>35</v>
      </c>
      <c r="F6019" s="14">
        <v>142000</v>
      </c>
      <c r="G6019" s="14">
        <v>123400</v>
      </c>
      <c r="H6019" s="13" t="s">
        <v>9550</v>
      </c>
      <c r="I6019" s="40" t="s">
        <v>18</v>
      </c>
      <c r="J6019" s="40" t="str">
        <f>HYPERLINK("https://stock.pstatic.net/stock-research/company/18/20260120_company_639332000.pdf","PDF")</f>
        <v>PDF</v>
      </c>
      <c r="K6019" s="12" t="s">
        <v>9551</v>
      </c>
      <c r="L6019" s="20">
        <v>0.1507293354943274</v>
      </c>
    </row>
    <row r="6020" spans="1:12" x14ac:dyDescent="0.45">
      <c r="A6020" s="12" t="s">
        <v>9537</v>
      </c>
      <c r="B6020" s="12" t="s">
        <v>370</v>
      </c>
      <c r="C6020" s="13" t="s">
        <v>371</v>
      </c>
      <c r="D6020" s="13" t="s">
        <v>158</v>
      </c>
      <c r="E6020" s="12" t="s">
        <v>35</v>
      </c>
      <c r="F6020" s="14">
        <v>85000</v>
      </c>
      <c r="G6020" s="14">
        <v>71100</v>
      </c>
      <c r="H6020" s="13" t="s">
        <v>9552</v>
      </c>
      <c r="I6020" s="40" t="s">
        <v>18</v>
      </c>
      <c r="J6020" s="40" t="str">
        <f>HYPERLINK("https://stock.pstatic.net/stock-research/company/18/20260120_company_415236000.pdf","PDF")</f>
        <v>PDF</v>
      </c>
      <c r="K6020" s="12" t="s">
        <v>9553</v>
      </c>
      <c r="L6020" s="20">
        <v>0.19549929676511951</v>
      </c>
    </row>
    <row r="6021" spans="1:12" x14ac:dyDescent="0.45">
      <c r="A6021" s="12" t="s">
        <v>9537</v>
      </c>
      <c r="B6021" s="12" t="s">
        <v>259</v>
      </c>
      <c r="C6021" s="13" t="s">
        <v>260</v>
      </c>
      <c r="D6021" s="13" t="s">
        <v>158</v>
      </c>
      <c r="E6021" s="12" t="s">
        <v>35</v>
      </c>
      <c r="F6021" s="14">
        <v>88000</v>
      </c>
      <c r="G6021" s="14">
        <v>69700</v>
      </c>
      <c r="H6021" s="13" t="s">
        <v>9554</v>
      </c>
      <c r="I6021" s="40" t="s">
        <v>18</v>
      </c>
      <c r="J6021" s="40" t="str">
        <f>HYPERLINK("https://stock.pstatic.net/stock-research/company/18/20260120_company_573012000.pdf","PDF")</f>
        <v>PDF</v>
      </c>
      <c r="K6021" s="12" t="s">
        <v>9555</v>
      </c>
      <c r="L6021" s="20">
        <v>0.26255380200860828</v>
      </c>
    </row>
    <row r="6022" spans="1:12" x14ac:dyDescent="0.45">
      <c r="A6022" s="12" t="s">
        <v>9537</v>
      </c>
      <c r="B6022" s="12" t="s">
        <v>7151</v>
      </c>
      <c r="C6022" s="13" t="s">
        <v>7152</v>
      </c>
      <c r="D6022" s="13" t="s">
        <v>15</v>
      </c>
      <c r="E6022" s="12" t="s">
        <v>50</v>
      </c>
      <c r="F6022" s="13"/>
      <c r="G6022" s="14">
        <v>48050</v>
      </c>
      <c r="H6022" s="13" t="s">
        <v>9556</v>
      </c>
      <c r="I6022" s="40" t="s">
        <v>18</v>
      </c>
      <c r="J6022" s="40" t="str">
        <f>HYPERLINK("https://stock.pstatic.net/stock-research/company/56/20260120_company_433411000.pdf","PDF")</f>
        <v>PDF</v>
      </c>
      <c r="K6022" s="12" t="s">
        <v>9557</v>
      </c>
    </row>
    <row r="6023" spans="1:12" x14ac:dyDescent="0.45">
      <c r="A6023" s="12" t="s">
        <v>9537</v>
      </c>
      <c r="B6023" s="12" t="s">
        <v>744</v>
      </c>
      <c r="C6023" s="13" t="s">
        <v>745</v>
      </c>
      <c r="D6023" s="13" t="s">
        <v>83</v>
      </c>
      <c r="E6023" s="12" t="s">
        <v>35</v>
      </c>
      <c r="F6023" s="14">
        <v>36000</v>
      </c>
      <c r="G6023" s="14">
        <v>28350</v>
      </c>
      <c r="H6023" s="13" t="s">
        <v>9558</v>
      </c>
      <c r="I6023" s="40" t="s">
        <v>18</v>
      </c>
      <c r="J6023" s="40" t="str">
        <f>HYPERLINK("https://stock.pstatic.net/stock-research/company/15/20260120_company_385440000.pdf","PDF")</f>
        <v>PDF</v>
      </c>
      <c r="K6023" s="12" t="s">
        <v>9559</v>
      </c>
      <c r="L6023" s="20">
        <v>0.26984126984126983</v>
      </c>
    </row>
    <row r="6024" spans="1:12" x14ac:dyDescent="0.45">
      <c r="A6024" s="12" t="s">
        <v>9537</v>
      </c>
      <c r="B6024" s="12" t="s">
        <v>485</v>
      </c>
      <c r="C6024" s="13" t="s">
        <v>486</v>
      </c>
      <c r="D6024" s="13" t="s">
        <v>34</v>
      </c>
      <c r="E6024" s="12" t="s">
        <v>35</v>
      </c>
      <c r="F6024" s="14">
        <v>200000</v>
      </c>
      <c r="G6024" s="14">
        <v>158500</v>
      </c>
      <c r="H6024" s="13" t="s">
        <v>9560</v>
      </c>
      <c r="I6024" s="40" t="s">
        <v>18</v>
      </c>
      <c r="J6024" s="40" t="str">
        <f>HYPERLINK("https://stock.pstatic.net/stock-research/company/61/20260120_company_297933000.pdf","PDF")</f>
        <v>PDF</v>
      </c>
      <c r="K6024" s="12" t="s">
        <v>9561</v>
      </c>
      <c r="L6024" s="20">
        <v>0.26182965299684541</v>
      </c>
    </row>
    <row r="6025" spans="1:12" x14ac:dyDescent="0.45">
      <c r="A6025" s="12" t="s">
        <v>9537</v>
      </c>
      <c r="B6025" s="12" t="s">
        <v>545</v>
      </c>
      <c r="C6025" s="13" t="s">
        <v>546</v>
      </c>
      <c r="D6025" s="13" t="s">
        <v>23</v>
      </c>
      <c r="E6025" s="12" t="s">
        <v>16</v>
      </c>
      <c r="F6025" s="14">
        <v>380000</v>
      </c>
      <c r="G6025" s="14">
        <v>305000</v>
      </c>
      <c r="H6025" s="13" t="s">
        <v>9562</v>
      </c>
      <c r="I6025" s="40" t="s">
        <v>18</v>
      </c>
      <c r="J6025" s="40" t="str">
        <f>HYPERLINK("https://stock.pstatic.net/stock-research/company/21/20260120_company_994581000.pdf","PDF")</f>
        <v>PDF</v>
      </c>
      <c r="K6025" s="12" t="s">
        <v>9563</v>
      </c>
      <c r="L6025" s="20">
        <v>0.24590163934426229</v>
      </c>
    </row>
    <row r="6026" spans="1:12" x14ac:dyDescent="0.45">
      <c r="A6026" s="12" t="s">
        <v>9537</v>
      </c>
      <c r="B6026" s="12" t="s">
        <v>6737</v>
      </c>
      <c r="C6026" s="13" t="s">
        <v>6738</v>
      </c>
      <c r="D6026" s="13" t="s">
        <v>23</v>
      </c>
      <c r="E6026" s="12" t="s">
        <v>16</v>
      </c>
      <c r="F6026" s="14">
        <v>2000</v>
      </c>
      <c r="G6026" s="14">
        <v>1196</v>
      </c>
      <c r="H6026" s="13" t="s">
        <v>9564</v>
      </c>
      <c r="I6026" s="40" t="s">
        <v>18</v>
      </c>
      <c r="J6026" s="40" t="str">
        <f>HYPERLINK("https://stock.pstatic.net/stock-research/company/21/20260120_company_237826000.pdf","PDF")</f>
        <v>PDF</v>
      </c>
      <c r="K6026" s="12" t="s">
        <v>9565</v>
      </c>
      <c r="L6026" s="20">
        <v>0.67224080267558528</v>
      </c>
    </row>
    <row r="6027" spans="1:12" x14ac:dyDescent="0.45">
      <c r="A6027" s="12" t="s">
        <v>9537</v>
      </c>
      <c r="B6027" s="12" t="s">
        <v>585</v>
      </c>
      <c r="C6027" s="13" t="s">
        <v>586</v>
      </c>
      <c r="D6027" s="13" t="s">
        <v>53</v>
      </c>
      <c r="E6027" s="12" t="s">
        <v>16</v>
      </c>
      <c r="F6027" s="14">
        <v>72000</v>
      </c>
      <c r="G6027" s="14">
        <v>61200</v>
      </c>
      <c r="H6027" s="13" t="s">
        <v>9566</v>
      </c>
      <c r="I6027" s="40" t="s">
        <v>18</v>
      </c>
      <c r="J6027" s="40" t="str">
        <f>HYPERLINK("https://stock.pstatic.net/stock-research/company/40/20260120_company_389790000.pdf","PDF")</f>
        <v>PDF</v>
      </c>
      <c r="K6027" s="12" t="s">
        <v>9567</v>
      </c>
      <c r="L6027" s="20">
        <v>0.1764705882352941</v>
      </c>
    </row>
    <row r="6028" spans="1:12" x14ac:dyDescent="0.45">
      <c r="A6028" s="12" t="s">
        <v>9537</v>
      </c>
      <c r="B6028" s="12" t="s">
        <v>3296</v>
      </c>
      <c r="C6028" s="13" t="s">
        <v>3297</v>
      </c>
      <c r="D6028" s="13" t="s">
        <v>34</v>
      </c>
      <c r="E6028" s="12" t="s">
        <v>35</v>
      </c>
      <c r="F6028" s="14">
        <v>70000</v>
      </c>
      <c r="G6028" s="14">
        <v>47000</v>
      </c>
      <c r="H6028" s="13" t="s">
        <v>9568</v>
      </c>
      <c r="I6028" s="40" t="s">
        <v>18</v>
      </c>
      <c r="J6028" s="40" t="str">
        <f>HYPERLINK("https://stock.pstatic.net/stock-research/company/61/20260120_company_289420000.pdf","PDF")</f>
        <v>PDF</v>
      </c>
      <c r="K6028" s="12" t="s">
        <v>9569</v>
      </c>
      <c r="L6028" s="20">
        <v>0.48936170212765961</v>
      </c>
    </row>
    <row r="6029" spans="1:12" x14ac:dyDescent="0.45">
      <c r="A6029" s="12" t="s">
        <v>9537</v>
      </c>
      <c r="B6029" s="12" t="s">
        <v>2933</v>
      </c>
      <c r="C6029" s="13" t="s">
        <v>2934</v>
      </c>
      <c r="D6029" s="13" t="s">
        <v>53</v>
      </c>
      <c r="E6029" s="12" t="s">
        <v>16</v>
      </c>
      <c r="F6029" s="14">
        <v>180000</v>
      </c>
      <c r="G6029" s="14">
        <v>144800</v>
      </c>
      <c r="H6029" s="13" t="s">
        <v>9570</v>
      </c>
      <c r="I6029" s="40" t="s">
        <v>18</v>
      </c>
      <c r="J6029" s="40" t="str">
        <f>HYPERLINK("https://stock.pstatic.net/stock-research/company/40/20260120_company_320533000.pdf","PDF")</f>
        <v>PDF</v>
      </c>
      <c r="K6029" s="12" t="s">
        <v>9571</v>
      </c>
      <c r="L6029" s="20">
        <v>0.24309392265193369</v>
      </c>
    </row>
    <row r="6030" spans="1:12" x14ac:dyDescent="0.45">
      <c r="A6030" s="12" t="s">
        <v>9537</v>
      </c>
      <c r="B6030" s="12" t="s">
        <v>426</v>
      </c>
      <c r="C6030" s="13" t="s">
        <v>427</v>
      </c>
      <c r="D6030" s="13" t="s">
        <v>53</v>
      </c>
      <c r="E6030" s="12" t="s">
        <v>16</v>
      </c>
      <c r="F6030" s="14">
        <v>24000</v>
      </c>
      <c r="G6030" s="14">
        <v>16880</v>
      </c>
      <c r="H6030" s="13" t="s">
        <v>9572</v>
      </c>
      <c r="I6030" s="40" t="s">
        <v>18</v>
      </c>
      <c r="J6030" s="40" t="str">
        <f>HYPERLINK("https://stock.pstatic.net/stock-research/company/40/20260120_company_999762000.pdf","PDF")</f>
        <v>PDF</v>
      </c>
      <c r="K6030" s="12" t="s">
        <v>9573</v>
      </c>
      <c r="L6030" s="20">
        <v>0.4218009478672986</v>
      </c>
    </row>
    <row r="6031" spans="1:12" x14ac:dyDescent="0.45">
      <c r="A6031" s="12" t="s">
        <v>9537</v>
      </c>
      <c r="B6031" s="12" t="s">
        <v>2831</v>
      </c>
      <c r="C6031" s="13" t="s">
        <v>2832</v>
      </c>
      <c r="D6031" s="13" t="s">
        <v>23</v>
      </c>
      <c r="E6031" s="12" t="s">
        <v>50</v>
      </c>
      <c r="F6031" s="13"/>
      <c r="G6031" s="14">
        <v>77400</v>
      </c>
      <c r="H6031" s="13" t="s">
        <v>9574</v>
      </c>
      <c r="I6031" s="40" t="s">
        <v>18</v>
      </c>
      <c r="J6031" s="40" t="str">
        <f>HYPERLINK("https://stock.pstatic.net/stock-research/company/21/20260120_company_618248000.pdf","PDF")</f>
        <v>PDF</v>
      </c>
      <c r="K6031" s="12" t="s">
        <v>9575</v>
      </c>
    </row>
    <row r="6032" spans="1:12" x14ac:dyDescent="0.45">
      <c r="A6032" s="12" t="s">
        <v>9537</v>
      </c>
      <c r="B6032" s="12" t="s">
        <v>1019</v>
      </c>
      <c r="C6032" s="13" t="s">
        <v>1020</v>
      </c>
      <c r="D6032" s="13" t="s">
        <v>53</v>
      </c>
      <c r="E6032" s="12" t="s">
        <v>16</v>
      </c>
      <c r="F6032" s="14">
        <v>32000</v>
      </c>
      <c r="G6032" s="14">
        <v>20900</v>
      </c>
      <c r="H6032" s="13" t="s">
        <v>9576</v>
      </c>
      <c r="I6032" s="40" t="s">
        <v>18</v>
      </c>
      <c r="J6032" s="40" t="str">
        <f>HYPERLINK("https://stock.pstatic.net/stock-research/company/40/20260120_company_69565000.pdf","PDF")</f>
        <v>PDF</v>
      </c>
      <c r="K6032" s="12" t="s">
        <v>9577</v>
      </c>
      <c r="L6032" s="20">
        <v>0.53110047846889952</v>
      </c>
    </row>
    <row r="6033" spans="1:12" x14ac:dyDescent="0.45">
      <c r="A6033" s="12" t="s">
        <v>9537</v>
      </c>
      <c r="B6033" s="12" t="s">
        <v>2081</v>
      </c>
      <c r="C6033" s="13" t="s">
        <v>2082</v>
      </c>
      <c r="D6033" s="13" t="s">
        <v>34</v>
      </c>
      <c r="E6033" s="12" t="s">
        <v>50</v>
      </c>
      <c r="F6033" s="13"/>
      <c r="G6033" s="14">
        <v>25200</v>
      </c>
      <c r="H6033" s="13" t="s">
        <v>9578</v>
      </c>
      <c r="I6033" s="40" t="s">
        <v>18</v>
      </c>
      <c r="J6033" s="40" t="str">
        <f>HYPERLINK("https://stock.pstatic.net/stock-research/company/61/20260120_company_556193000.pdf","PDF")</f>
        <v>PDF</v>
      </c>
      <c r="K6033" s="12" t="s">
        <v>9579</v>
      </c>
    </row>
    <row r="6034" spans="1:12" x14ac:dyDescent="0.45">
      <c r="A6034" s="12" t="s">
        <v>9537</v>
      </c>
      <c r="B6034" s="12" t="s">
        <v>3978</v>
      </c>
      <c r="C6034" s="13" t="s">
        <v>3979</v>
      </c>
      <c r="D6034" s="13" t="s">
        <v>23</v>
      </c>
      <c r="E6034" s="12" t="s">
        <v>16</v>
      </c>
      <c r="F6034" s="14">
        <v>46500</v>
      </c>
      <c r="G6034" s="14">
        <v>32550</v>
      </c>
      <c r="H6034" s="13" t="s">
        <v>9580</v>
      </c>
      <c r="I6034" s="40" t="s">
        <v>18</v>
      </c>
      <c r="J6034" s="40" t="str">
        <f>HYPERLINK("https://stock.pstatic.net/stock-research/company/21/20260120_company_131126000.pdf","PDF")</f>
        <v>PDF</v>
      </c>
      <c r="K6034" s="12" t="s">
        <v>9581</v>
      </c>
      <c r="L6034" s="20">
        <v>0.42857142857142849</v>
      </c>
    </row>
    <row r="6035" spans="1:12" x14ac:dyDescent="0.45">
      <c r="A6035" s="12" t="s">
        <v>9537</v>
      </c>
      <c r="B6035" s="12" t="s">
        <v>2795</v>
      </c>
      <c r="C6035" s="13" t="s">
        <v>2796</v>
      </c>
      <c r="D6035" s="13" t="s">
        <v>23</v>
      </c>
      <c r="E6035" s="12" t="s">
        <v>16</v>
      </c>
      <c r="F6035" s="14">
        <v>5200</v>
      </c>
      <c r="G6035" s="14">
        <v>4185</v>
      </c>
      <c r="H6035" s="13" t="s">
        <v>9582</v>
      </c>
      <c r="I6035" s="40" t="s">
        <v>18</v>
      </c>
      <c r="J6035" s="40" t="str">
        <f>HYPERLINK("https://stock.pstatic.net/stock-research/company/21/20260120_company_640125000.pdf","PDF")</f>
        <v>PDF</v>
      </c>
      <c r="K6035" s="12" t="s">
        <v>9583</v>
      </c>
      <c r="L6035" s="20">
        <v>0.24253285543608119</v>
      </c>
    </row>
    <row r="6036" spans="1:12" x14ac:dyDescent="0.45">
      <c r="A6036" s="12" t="s">
        <v>9537</v>
      </c>
      <c r="B6036" s="12" t="s">
        <v>880</v>
      </c>
      <c r="C6036" s="13" t="s">
        <v>881</v>
      </c>
      <c r="D6036" s="13" t="s">
        <v>44</v>
      </c>
      <c r="E6036" s="12" t="s">
        <v>35</v>
      </c>
      <c r="F6036" s="14">
        <v>17000</v>
      </c>
      <c r="G6036" s="14">
        <v>13540</v>
      </c>
      <c r="H6036" s="13" t="s">
        <v>9584</v>
      </c>
      <c r="I6036" s="40" t="s">
        <v>18</v>
      </c>
      <c r="J6036" s="40" t="str">
        <f>HYPERLINK("https://stock.pstatic.net/stock-research/company/39/20260120_company_765610000.pdf","PDF")</f>
        <v>PDF</v>
      </c>
      <c r="K6036" s="12" t="s">
        <v>9585</v>
      </c>
      <c r="L6036" s="20">
        <v>0.25553914327917282</v>
      </c>
    </row>
    <row r="6037" spans="1:12" x14ac:dyDescent="0.45">
      <c r="A6037" s="12" t="s">
        <v>9537</v>
      </c>
      <c r="B6037" s="12" t="s">
        <v>370</v>
      </c>
      <c r="C6037" s="13" t="s">
        <v>371</v>
      </c>
      <c r="D6037" s="13" t="s">
        <v>44</v>
      </c>
      <c r="E6037" s="12" t="s">
        <v>35</v>
      </c>
      <c r="F6037" s="14">
        <v>105000</v>
      </c>
      <c r="G6037" s="14">
        <v>71100</v>
      </c>
      <c r="H6037" s="13" t="s">
        <v>9586</v>
      </c>
      <c r="I6037" s="40" t="s">
        <v>18</v>
      </c>
      <c r="J6037" s="40" t="str">
        <f>HYPERLINK("https://stock.pstatic.net/stock-research/company/39/20260120_company_761059000.pdf","PDF")</f>
        <v>PDF</v>
      </c>
      <c r="K6037" s="12" t="s">
        <v>9587</v>
      </c>
      <c r="L6037" s="20">
        <v>0.47679324894514769</v>
      </c>
    </row>
    <row r="6038" spans="1:12" x14ac:dyDescent="0.45">
      <c r="A6038" s="12" t="s">
        <v>9537</v>
      </c>
      <c r="B6038" s="12" t="s">
        <v>3284</v>
      </c>
      <c r="C6038" s="13" t="s">
        <v>3285</v>
      </c>
      <c r="D6038" s="13" t="s">
        <v>44</v>
      </c>
      <c r="E6038" s="12" t="s">
        <v>35</v>
      </c>
      <c r="F6038" s="14">
        <v>179000</v>
      </c>
      <c r="G6038" s="14">
        <v>148800</v>
      </c>
      <c r="H6038" s="13" t="s">
        <v>9588</v>
      </c>
      <c r="I6038" s="40" t="s">
        <v>18</v>
      </c>
      <c r="J6038" s="40" t="str">
        <f>HYPERLINK("https://stock.pstatic.net/stock-research/company/39/20260120_company_605647000.pdf","PDF")</f>
        <v>PDF</v>
      </c>
      <c r="K6038" s="12" t="s">
        <v>9589</v>
      </c>
      <c r="L6038" s="20">
        <v>0.20295698924731179</v>
      </c>
    </row>
    <row r="6039" spans="1:12" x14ac:dyDescent="0.45">
      <c r="A6039" s="12" t="s">
        <v>9537</v>
      </c>
      <c r="B6039" s="12" t="s">
        <v>156</v>
      </c>
      <c r="C6039" s="13" t="s">
        <v>157</v>
      </c>
      <c r="D6039" s="13" t="s">
        <v>44</v>
      </c>
      <c r="E6039" s="12" t="s">
        <v>35</v>
      </c>
      <c r="F6039" s="14">
        <v>5200</v>
      </c>
      <c r="G6039" s="14">
        <v>3180</v>
      </c>
      <c r="H6039" s="13" t="s">
        <v>9590</v>
      </c>
      <c r="I6039" s="40" t="s">
        <v>18</v>
      </c>
      <c r="J6039" s="40" t="str">
        <f>HYPERLINK("https://stock.pstatic.net/stock-research/company/39/20260120_company_613303000.pdf","PDF")</f>
        <v>PDF</v>
      </c>
      <c r="K6039" s="12" t="s">
        <v>9591</v>
      </c>
      <c r="L6039" s="20">
        <v>0.63522012578616349</v>
      </c>
    </row>
    <row r="6040" spans="1:12" x14ac:dyDescent="0.45">
      <c r="A6040" s="12" t="s">
        <v>9537</v>
      </c>
      <c r="B6040" s="12" t="s">
        <v>63</v>
      </c>
      <c r="C6040" s="13" t="s">
        <v>64</v>
      </c>
      <c r="D6040" s="13" t="s">
        <v>44</v>
      </c>
      <c r="E6040" s="12" t="s">
        <v>35</v>
      </c>
      <c r="F6040" s="14">
        <v>550000</v>
      </c>
      <c r="G6040" s="14">
        <v>444500</v>
      </c>
      <c r="H6040" s="13" t="s">
        <v>9592</v>
      </c>
      <c r="I6040" s="40" t="s">
        <v>18</v>
      </c>
      <c r="J6040" s="40" t="str">
        <f>HYPERLINK("https://stock.pstatic.net/stock-research/company/39/20260120_company_825916000.pdf","PDF")</f>
        <v>PDF</v>
      </c>
      <c r="K6040" s="12" t="s">
        <v>9593</v>
      </c>
      <c r="L6040" s="20">
        <v>0.2373453318335208</v>
      </c>
    </row>
    <row r="6041" spans="1:12" x14ac:dyDescent="0.45">
      <c r="A6041" s="12" t="s">
        <v>9537</v>
      </c>
      <c r="B6041" s="12" t="s">
        <v>1789</v>
      </c>
      <c r="C6041" s="13" t="s">
        <v>1790</v>
      </c>
      <c r="D6041" s="13" t="s">
        <v>44</v>
      </c>
      <c r="E6041" s="12" t="s">
        <v>35</v>
      </c>
      <c r="F6041" s="14">
        <v>62000</v>
      </c>
      <c r="G6041" s="14">
        <v>50600</v>
      </c>
      <c r="H6041" s="13" t="s">
        <v>9594</v>
      </c>
      <c r="I6041" s="40" t="s">
        <v>18</v>
      </c>
      <c r="J6041" s="40" t="str">
        <f>HYPERLINK("https://stock.pstatic.net/stock-research/company/39/20260120_company_640302000.pdf","PDF")</f>
        <v>PDF</v>
      </c>
      <c r="K6041" s="12" t="s">
        <v>9595</v>
      </c>
      <c r="L6041" s="20">
        <v>0.22529644268774701</v>
      </c>
    </row>
    <row r="6042" spans="1:12" x14ac:dyDescent="0.45">
      <c r="A6042" s="12" t="s">
        <v>9537</v>
      </c>
      <c r="B6042" s="12" t="s">
        <v>3087</v>
      </c>
      <c r="C6042" s="13" t="s">
        <v>3088</v>
      </c>
      <c r="D6042" s="13" t="s">
        <v>179</v>
      </c>
      <c r="E6042" s="12" t="s">
        <v>16</v>
      </c>
      <c r="F6042" s="14">
        <v>270000</v>
      </c>
      <c r="G6042" s="14">
        <v>188000</v>
      </c>
      <c r="H6042" s="13" t="s">
        <v>9596</v>
      </c>
      <c r="I6042" s="40" t="s">
        <v>18</v>
      </c>
      <c r="J6042" s="40" t="str">
        <f>HYPERLINK("https://stock.pstatic.net/stock-research/company/64/20260120_company_530924000.pdf","PDF")</f>
        <v>PDF</v>
      </c>
      <c r="K6042" s="12" t="s">
        <v>9597</v>
      </c>
      <c r="L6042" s="20">
        <v>0.43617021276595752</v>
      </c>
    </row>
    <row r="6043" spans="1:12" x14ac:dyDescent="0.45">
      <c r="A6043" s="12" t="s">
        <v>9537</v>
      </c>
      <c r="B6043" s="12" t="s">
        <v>63</v>
      </c>
      <c r="C6043" s="13" t="s">
        <v>64</v>
      </c>
      <c r="D6043" s="13" t="s">
        <v>53</v>
      </c>
      <c r="E6043" s="12" t="s">
        <v>16</v>
      </c>
      <c r="F6043" s="14">
        <v>530000</v>
      </c>
      <c r="G6043" s="14">
        <v>444500</v>
      </c>
      <c r="H6043" s="13" t="s">
        <v>9598</v>
      </c>
      <c r="I6043" s="40" t="s">
        <v>18</v>
      </c>
      <c r="J6043" s="40" t="str">
        <f>HYPERLINK("https://stock.pstatic.net/stock-research/company/40/20260120_company_126308000.pdf","PDF")</f>
        <v>PDF</v>
      </c>
      <c r="K6043" s="12" t="s">
        <v>9599</v>
      </c>
      <c r="L6043" s="20">
        <v>0.1923509561304837</v>
      </c>
    </row>
    <row r="6044" spans="1:12" x14ac:dyDescent="0.45">
      <c r="A6044" s="12" t="s">
        <v>9537</v>
      </c>
      <c r="B6044" s="12" t="s">
        <v>485</v>
      </c>
      <c r="C6044" s="13" t="s">
        <v>486</v>
      </c>
      <c r="D6044" s="13" t="s">
        <v>53</v>
      </c>
      <c r="E6044" s="12" t="s">
        <v>16</v>
      </c>
      <c r="F6044" s="14">
        <v>220000</v>
      </c>
      <c r="G6044" s="14">
        <v>158500</v>
      </c>
      <c r="H6044" s="13" t="s">
        <v>9600</v>
      </c>
      <c r="I6044" s="40" t="s">
        <v>18</v>
      </c>
      <c r="J6044" s="40" t="str">
        <f>HYPERLINK("https://stock.pstatic.net/stock-research/company/40/20260120_company_347531000.pdf","PDF")</f>
        <v>PDF</v>
      </c>
      <c r="K6044" s="12" t="s">
        <v>9601</v>
      </c>
      <c r="L6044" s="20">
        <v>0.38801261829652989</v>
      </c>
    </row>
    <row r="6045" spans="1:12" x14ac:dyDescent="0.45">
      <c r="A6045" s="12" t="s">
        <v>9537</v>
      </c>
      <c r="B6045" s="12" t="s">
        <v>3831</v>
      </c>
      <c r="C6045" s="13" t="s">
        <v>3832</v>
      </c>
      <c r="D6045" s="13" t="s">
        <v>15</v>
      </c>
      <c r="E6045" s="12" t="s">
        <v>16</v>
      </c>
      <c r="F6045" s="14">
        <v>72000</v>
      </c>
      <c r="G6045" s="14">
        <v>64200</v>
      </c>
      <c r="H6045" s="13" t="s">
        <v>9602</v>
      </c>
      <c r="I6045" s="40" t="s">
        <v>18</v>
      </c>
      <c r="J6045" s="40" t="str">
        <f>HYPERLINK("https://stock.pstatic.net/stock-research/company/56/20260120_company_134763000.pdf","PDF")</f>
        <v>PDF</v>
      </c>
      <c r="K6045" s="12" t="s">
        <v>9603</v>
      </c>
      <c r="L6045" s="20">
        <v>0.1214953271028037</v>
      </c>
    </row>
    <row r="6046" spans="1:12" x14ac:dyDescent="0.45">
      <c r="A6046" s="12" t="s">
        <v>9537</v>
      </c>
      <c r="B6046" s="12" t="s">
        <v>2369</v>
      </c>
      <c r="C6046" s="13" t="s">
        <v>2370</v>
      </c>
      <c r="D6046" s="13" t="s">
        <v>15</v>
      </c>
      <c r="E6046" s="12" t="s">
        <v>16</v>
      </c>
      <c r="F6046" s="14">
        <v>450000</v>
      </c>
      <c r="G6046" s="14">
        <v>289000</v>
      </c>
      <c r="H6046" s="13" t="s">
        <v>9604</v>
      </c>
      <c r="I6046" s="40" t="s">
        <v>18</v>
      </c>
      <c r="J6046" s="40" t="str">
        <f>HYPERLINK("https://stock.pstatic.net/stock-research/company/56/20260120_company_695709000.pdf","PDF")</f>
        <v>PDF</v>
      </c>
      <c r="K6046" s="12" t="s">
        <v>9605</v>
      </c>
      <c r="L6046" s="20">
        <v>0.55709342560553632</v>
      </c>
    </row>
    <row r="6047" spans="1:12" x14ac:dyDescent="0.45">
      <c r="A6047" s="12" t="s">
        <v>9537</v>
      </c>
      <c r="B6047" s="12" t="s">
        <v>334</v>
      </c>
      <c r="C6047" s="13" t="s">
        <v>335</v>
      </c>
      <c r="D6047" s="13" t="s">
        <v>15</v>
      </c>
      <c r="E6047" s="12" t="s">
        <v>16</v>
      </c>
      <c r="F6047" s="14">
        <v>956000</v>
      </c>
      <c r="G6047" s="14">
        <v>756000</v>
      </c>
      <c r="H6047" s="13" t="s">
        <v>9606</v>
      </c>
      <c r="I6047" s="40" t="s">
        <v>18</v>
      </c>
      <c r="J6047" s="40" t="str">
        <f>HYPERLINK("https://stock.pstatic.net/stock-research/company/56/20260120_company_469972000.pdf","PDF")</f>
        <v>PDF</v>
      </c>
      <c r="K6047" s="12" t="s">
        <v>9607</v>
      </c>
      <c r="L6047" s="20">
        <v>0.26455026455026448</v>
      </c>
    </row>
    <row r="6048" spans="1:12" x14ac:dyDescent="0.45">
      <c r="A6048" s="12" t="s">
        <v>9608</v>
      </c>
      <c r="B6048" s="12" t="s">
        <v>2887</v>
      </c>
      <c r="C6048" s="13" t="s">
        <v>2888</v>
      </c>
      <c r="D6048" s="13" t="s">
        <v>57</v>
      </c>
      <c r="E6048" s="12" t="s">
        <v>35</v>
      </c>
      <c r="F6048" s="14">
        <v>420000</v>
      </c>
      <c r="G6048" s="14">
        <v>333500</v>
      </c>
      <c r="H6048" s="13" t="s">
        <v>9609</v>
      </c>
      <c r="I6048" s="40" t="s">
        <v>18</v>
      </c>
      <c r="J6048" s="40" t="str">
        <f>HYPERLINK("https://stock.pstatic.net/stock-research/company/16/20260119_company_822088000.pdf","PDF")</f>
        <v>PDF</v>
      </c>
      <c r="K6048" s="12" t="s">
        <v>9610</v>
      </c>
      <c r="L6048" s="20">
        <v>0.25937031484257872</v>
      </c>
    </row>
    <row r="6049" spans="1:12" x14ac:dyDescent="0.45">
      <c r="A6049" s="12" t="s">
        <v>9608</v>
      </c>
      <c r="B6049" s="12" t="s">
        <v>1690</v>
      </c>
      <c r="C6049" s="13" t="s">
        <v>1691</v>
      </c>
      <c r="D6049" s="13" t="s">
        <v>57</v>
      </c>
      <c r="E6049" s="12" t="s">
        <v>159</v>
      </c>
      <c r="F6049" s="14">
        <v>120000</v>
      </c>
      <c r="G6049" s="14">
        <v>105400</v>
      </c>
      <c r="H6049" s="13" t="s">
        <v>9611</v>
      </c>
      <c r="I6049" s="40" t="s">
        <v>18</v>
      </c>
      <c r="J6049" s="40" t="str">
        <f>HYPERLINK("https://stock.pstatic.net/stock-research/company/16/20260119_company_80648000.pdf","PDF")</f>
        <v>PDF</v>
      </c>
      <c r="K6049" s="12" t="s">
        <v>9612</v>
      </c>
      <c r="L6049" s="20">
        <v>0.1385199240986717</v>
      </c>
    </row>
    <row r="6050" spans="1:12" x14ac:dyDescent="0.45">
      <c r="A6050" s="12" t="s">
        <v>9608</v>
      </c>
      <c r="B6050" s="12" t="s">
        <v>1849</v>
      </c>
      <c r="C6050" s="13" t="s">
        <v>1850</v>
      </c>
      <c r="D6050" s="13" t="s">
        <v>57</v>
      </c>
      <c r="E6050" s="12" t="s">
        <v>35</v>
      </c>
      <c r="F6050" s="14">
        <v>25000</v>
      </c>
      <c r="G6050" s="14">
        <v>18490</v>
      </c>
      <c r="H6050" s="13" t="s">
        <v>9613</v>
      </c>
      <c r="I6050" s="40" t="s">
        <v>18</v>
      </c>
      <c r="J6050" s="40" t="str">
        <f>HYPERLINK("https://stock.pstatic.net/stock-research/company/16/20260119_company_642633000.pdf","PDF")</f>
        <v>PDF</v>
      </c>
      <c r="K6050" s="12" t="s">
        <v>9614</v>
      </c>
      <c r="L6050" s="20">
        <v>0.3520822065981612</v>
      </c>
    </row>
    <row r="6051" spans="1:12" x14ac:dyDescent="0.45">
      <c r="A6051" s="12" t="s">
        <v>9608</v>
      </c>
      <c r="B6051" s="12" t="s">
        <v>1548</v>
      </c>
      <c r="C6051" s="13" t="s">
        <v>1549</v>
      </c>
      <c r="D6051" s="13" t="s">
        <v>276</v>
      </c>
      <c r="E6051" s="12" t="s">
        <v>16</v>
      </c>
      <c r="F6051" s="14">
        <v>1570000</v>
      </c>
      <c r="G6051" s="14">
        <v>1299000</v>
      </c>
      <c r="H6051" s="13" t="s">
        <v>9615</v>
      </c>
      <c r="I6051" s="40" t="s">
        <v>18</v>
      </c>
      <c r="J6051" s="40" t="str">
        <f>HYPERLINK("https://stock.pstatic.net/stock-research/company/66/20260119_company_522651000.pdf","PDF")</f>
        <v>PDF</v>
      </c>
      <c r="K6051" s="12" t="s">
        <v>9616</v>
      </c>
      <c r="L6051" s="20">
        <v>0.20862201693610469</v>
      </c>
    </row>
    <row r="6052" spans="1:12" x14ac:dyDescent="0.45">
      <c r="A6052" s="12" t="s">
        <v>9608</v>
      </c>
      <c r="B6052" s="12" t="s">
        <v>2435</v>
      </c>
      <c r="C6052" s="13" t="s">
        <v>2436</v>
      </c>
      <c r="D6052" s="13" t="s">
        <v>276</v>
      </c>
      <c r="E6052" s="12" t="s">
        <v>16</v>
      </c>
      <c r="F6052" s="14">
        <v>780000</v>
      </c>
      <c r="G6052" s="14">
        <v>622000</v>
      </c>
      <c r="H6052" s="13" t="s">
        <v>7774</v>
      </c>
      <c r="I6052" s="40" t="s">
        <v>18</v>
      </c>
      <c r="J6052" s="40" t="str">
        <f>HYPERLINK("https://stock.pstatic.net/stock-research/company/66/20260119_company_999728000.pdf","PDF")</f>
        <v>PDF</v>
      </c>
      <c r="K6052" s="12" t="s">
        <v>9617</v>
      </c>
      <c r="L6052" s="20">
        <v>0.25401929260450162</v>
      </c>
    </row>
    <row r="6053" spans="1:12" x14ac:dyDescent="0.45">
      <c r="A6053" s="12" t="s">
        <v>9608</v>
      </c>
      <c r="B6053" s="12" t="s">
        <v>5767</v>
      </c>
      <c r="C6053" s="13" t="s">
        <v>5768</v>
      </c>
      <c r="D6053" s="13" t="s">
        <v>60</v>
      </c>
      <c r="E6053" s="12" t="s">
        <v>35</v>
      </c>
      <c r="F6053" s="14">
        <v>50000</v>
      </c>
      <c r="G6053" s="14">
        <v>36200</v>
      </c>
      <c r="H6053" s="13" t="s">
        <v>9618</v>
      </c>
      <c r="I6053" s="40" t="s">
        <v>18</v>
      </c>
      <c r="J6053" s="40" t="str">
        <f>HYPERLINK("https://stock.pstatic.net/stock-research/company/62/20260119_company_515002000.pdf","PDF")</f>
        <v>PDF</v>
      </c>
      <c r="K6053" s="12" t="s">
        <v>9619</v>
      </c>
      <c r="L6053" s="20">
        <v>0.38121546961325969</v>
      </c>
    </row>
    <row r="6054" spans="1:12" x14ac:dyDescent="0.45">
      <c r="A6054" s="12" t="s">
        <v>9608</v>
      </c>
      <c r="B6054" s="12" t="s">
        <v>1682</v>
      </c>
      <c r="C6054" s="13" t="s">
        <v>4787</v>
      </c>
      <c r="D6054" s="13" t="s">
        <v>60</v>
      </c>
      <c r="E6054" s="12" t="s">
        <v>50</v>
      </c>
      <c r="F6054" s="14">
        <v>270000</v>
      </c>
      <c r="G6054" s="14">
        <v>236500</v>
      </c>
      <c r="H6054" s="13" t="s">
        <v>9620</v>
      </c>
      <c r="I6054" s="40" t="s">
        <v>18</v>
      </c>
      <c r="J6054" s="40" t="str">
        <f>HYPERLINK("https://stock.pstatic.net/stock-research/company/62/20260119_company_965392000.pdf","PDF")</f>
        <v>PDF</v>
      </c>
      <c r="K6054" s="12" t="s">
        <v>9621</v>
      </c>
      <c r="L6054" s="20">
        <v>0.14164904862579281</v>
      </c>
    </row>
    <row r="6055" spans="1:12" x14ac:dyDescent="0.45">
      <c r="A6055" s="12" t="s">
        <v>9608</v>
      </c>
      <c r="B6055" s="12" t="s">
        <v>1666</v>
      </c>
      <c r="C6055" s="13" t="s">
        <v>1667</v>
      </c>
      <c r="D6055" s="13" t="s">
        <v>60</v>
      </c>
      <c r="E6055" s="12" t="s">
        <v>35</v>
      </c>
      <c r="F6055" s="14">
        <v>78000</v>
      </c>
      <c r="G6055" s="14">
        <v>50100</v>
      </c>
      <c r="H6055" s="13" t="s">
        <v>9622</v>
      </c>
      <c r="I6055" s="40" t="s">
        <v>18</v>
      </c>
      <c r="J6055" s="40" t="str">
        <f>HYPERLINK("https://stock.pstatic.net/stock-research/company/62/20260119_company_698295000.pdf","PDF")</f>
        <v>PDF</v>
      </c>
      <c r="K6055" s="12" t="s">
        <v>9623</v>
      </c>
      <c r="L6055" s="20">
        <v>0.55688622754491013</v>
      </c>
    </row>
    <row r="6056" spans="1:12" x14ac:dyDescent="0.45">
      <c r="A6056" s="12" t="s">
        <v>9608</v>
      </c>
      <c r="B6056" s="12" t="s">
        <v>4450</v>
      </c>
      <c r="C6056" s="13" t="s">
        <v>4451</v>
      </c>
      <c r="D6056" s="13" t="s">
        <v>65</v>
      </c>
      <c r="E6056" s="12" t="s">
        <v>35</v>
      </c>
      <c r="F6056" s="14">
        <v>41000</v>
      </c>
      <c r="G6056" s="14">
        <v>26700</v>
      </c>
      <c r="H6056" s="13" t="s">
        <v>9624</v>
      </c>
      <c r="I6056" s="40" t="s">
        <v>18</v>
      </c>
      <c r="J6056" s="40" t="str">
        <f>HYPERLINK("https://stock.pstatic.net/stock-research/company/57/20260119_company_404137000.pdf","PDF")</f>
        <v>PDF</v>
      </c>
      <c r="K6056" s="12" t="s">
        <v>9625</v>
      </c>
      <c r="L6056" s="20">
        <v>0.53558052434456926</v>
      </c>
    </row>
    <row r="6057" spans="1:12" x14ac:dyDescent="0.45">
      <c r="A6057" s="12" t="s">
        <v>9608</v>
      </c>
      <c r="B6057" s="12" t="s">
        <v>3530</v>
      </c>
      <c r="C6057" s="13" t="s">
        <v>3531</v>
      </c>
      <c r="D6057" s="13" t="s">
        <v>65</v>
      </c>
      <c r="E6057" s="12" t="s">
        <v>35</v>
      </c>
      <c r="F6057" s="14">
        <v>14000</v>
      </c>
      <c r="G6057" s="14">
        <v>8160</v>
      </c>
      <c r="H6057" s="13" t="s">
        <v>9626</v>
      </c>
      <c r="I6057" s="40" t="s">
        <v>18</v>
      </c>
      <c r="J6057" s="40" t="str">
        <f>HYPERLINK("https://stock.pstatic.net/stock-research/company/57/20260119_company_12256000.pdf","PDF")</f>
        <v>PDF</v>
      </c>
      <c r="K6057" s="12" t="s">
        <v>9627</v>
      </c>
      <c r="L6057" s="20">
        <v>0.71568627450980393</v>
      </c>
    </row>
    <row r="6058" spans="1:12" x14ac:dyDescent="0.45">
      <c r="A6058" s="12" t="s">
        <v>9608</v>
      </c>
      <c r="B6058" s="12" t="s">
        <v>1300</v>
      </c>
      <c r="C6058" s="13" t="s">
        <v>1301</v>
      </c>
      <c r="D6058" s="13" t="s">
        <v>65</v>
      </c>
      <c r="E6058" s="12" t="s">
        <v>35</v>
      </c>
      <c r="F6058" s="14">
        <v>200000</v>
      </c>
      <c r="G6058" s="14">
        <v>115700</v>
      </c>
      <c r="H6058" s="13" t="s">
        <v>9628</v>
      </c>
      <c r="I6058" s="40" t="s">
        <v>18</v>
      </c>
      <c r="J6058" s="40" t="str">
        <f>HYPERLINK("https://stock.pstatic.net/stock-research/company/57/20260119_company_831549000.pdf","PDF")</f>
        <v>PDF</v>
      </c>
      <c r="K6058" s="12" t="s">
        <v>9629</v>
      </c>
      <c r="L6058" s="20">
        <v>0.72860847018150388</v>
      </c>
    </row>
    <row r="6059" spans="1:12" x14ac:dyDescent="0.45">
      <c r="A6059" s="12" t="s">
        <v>9608</v>
      </c>
      <c r="B6059" s="12" t="s">
        <v>732</v>
      </c>
      <c r="C6059" s="13" t="s">
        <v>733</v>
      </c>
      <c r="D6059" s="13" t="s">
        <v>65</v>
      </c>
      <c r="E6059" s="12" t="s">
        <v>35</v>
      </c>
      <c r="F6059" s="14">
        <v>160000</v>
      </c>
      <c r="G6059" s="14">
        <v>120400</v>
      </c>
      <c r="H6059" s="13" t="s">
        <v>9630</v>
      </c>
      <c r="I6059" s="40" t="s">
        <v>18</v>
      </c>
      <c r="J6059" s="40" t="str">
        <f>HYPERLINK("https://stock.pstatic.net/stock-research/company/57/20260119_company_614169000.pdf","PDF")</f>
        <v>PDF</v>
      </c>
      <c r="K6059" s="12" t="s">
        <v>9631</v>
      </c>
      <c r="L6059" s="20">
        <v>0.32890365448504982</v>
      </c>
    </row>
    <row r="6060" spans="1:12" x14ac:dyDescent="0.45">
      <c r="A6060" s="12" t="s">
        <v>9608</v>
      </c>
      <c r="B6060" s="12" t="s">
        <v>375</v>
      </c>
      <c r="C6060" s="13" t="s">
        <v>376</v>
      </c>
      <c r="D6060" s="13" t="s">
        <v>65</v>
      </c>
      <c r="E6060" s="12" t="s">
        <v>35</v>
      </c>
      <c r="F6060" s="14">
        <v>36000</v>
      </c>
      <c r="G6060" s="14">
        <v>25200</v>
      </c>
      <c r="H6060" s="13" t="s">
        <v>9632</v>
      </c>
      <c r="I6060" s="40" t="s">
        <v>18</v>
      </c>
      <c r="J6060" s="40" t="str">
        <f>HYPERLINK("https://stock.pstatic.net/stock-research/company/57/20260119_company_979828000.pdf","PDF")</f>
        <v>PDF</v>
      </c>
      <c r="K6060" s="12" t="s">
        <v>9633</v>
      </c>
      <c r="L6060" s="20">
        <v>0.42857142857142849</v>
      </c>
    </row>
    <row r="6061" spans="1:12" x14ac:dyDescent="0.45">
      <c r="A6061" s="12" t="s">
        <v>9608</v>
      </c>
      <c r="B6061" s="12" t="s">
        <v>2266</v>
      </c>
      <c r="C6061" s="13" t="s">
        <v>2267</v>
      </c>
      <c r="D6061" s="13" t="s">
        <v>65</v>
      </c>
      <c r="E6061" s="12" t="s">
        <v>35</v>
      </c>
      <c r="F6061" s="14">
        <v>210000</v>
      </c>
      <c r="G6061" s="14">
        <v>155900</v>
      </c>
      <c r="H6061" s="13" t="s">
        <v>9634</v>
      </c>
      <c r="I6061" s="40" t="s">
        <v>18</v>
      </c>
      <c r="J6061" s="40" t="str">
        <f>HYPERLINK("https://stock.pstatic.net/stock-research/company/57/20260119_company_984860000.pdf","PDF")</f>
        <v>PDF</v>
      </c>
      <c r="K6061" s="12" t="s">
        <v>9635</v>
      </c>
      <c r="L6061" s="20">
        <v>0.34701731879409881</v>
      </c>
    </row>
    <row r="6062" spans="1:12" x14ac:dyDescent="0.45">
      <c r="A6062" s="12" t="s">
        <v>9608</v>
      </c>
      <c r="B6062" s="12" t="s">
        <v>2546</v>
      </c>
      <c r="C6062" s="13" t="s">
        <v>2547</v>
      </c>
      <c r="D6062" s="13" t="s">
        <v>65</v>
      </c>
      <c r="E6062" s="12" t="s">
        <v>35</v>
      </c>
      <c r="F6062" s="14">
        <v>82000</v>
      </c>
      <c r="G6062" s="14">
        <v>46000</v>
      </c>
      <c r="H6062" s="13" t="s">
        <v>9636</v>
      </c>
      <c r="I6062" s="40" t="s">
        <v>18</v>
      </c>
      <c r="J6062" s="40" t="str">
        <f>HYPERLINK("https://stock.pstatic.net/stock-research/company/57/20260119_company_493612000.pdf","PDF")</f>
        <v>PDF</v>
      </c>
      <c r="K6062" s="12" t="s">
        <v>9637</v>
      </c>
      <c r="L6062" s="20">
        <v>0.78260869565217395</v>
      </c>
    </row>
    <row r="6063" spans="1:12" x14ac:dyDescent="0.45">
      <c r="A6063" s="12" t="s">
        <v>9608</v>
      </c>
      <c r="B6063" s="12" t="s">
        <v>3492</v>
      </c>
      <c r="C6063" s="13" t="s">
        <v>3493</v>
      </c>
      <c r="D6063" s="13" t="s">
        <v>158</v>
      </c>
      <c r="E6063" s="12" t="s">
        <v>159</v>
      </c>
      <c r="F6063" s="14">
        <v>22000</v>
      </c>
      <c r="G6063" s="14">
        <v>20500</v>
      </c>
      <c r="H6063" s="13" t="s">
        <v>9638</v>
      </c>
      <c r="I6063" s="40" t="s">
        <v>18</v>
      </c>
      <c r="J6063" s="40" t="str">
        <f>HYPERLINK("https://stock.pstatic.net/stock-research/company/18/20260119_company_229759000.pdf","PDF")</f>
        <v>PDF</v>
      </c>
      <c r="K6063" s="12" t="s">
        <v>9639</v>
      </c>
      <c r="L6063" s="20">
        <v>7.3170731707317069E-2</v>
      </c>
    </row>
    <row r="6064" spans="1:12" x14ac:dyDescent="0.45">
      <c r="A6064" s="12" t="s">
        <v>9608</v>
      </c>
      <c r="B6064" s="12" t="s">
        <v>3087</v>
      </c>
      <c r="C6064" s="13" t="s">
        <v>3088</v>
      </c>
      <c r="D6064" s="13" t="s">
        <v>158</v>
      </c>
      <c r="E6064" s="12" t="s">
        <v>35</v>
      </c>
      <c r="F6064" s="14">
        <v>270000</v>
      </c>
      <c r="G6064" s="14">
        <v>189600</v>
      </c>
      <c r="H6064" s="13" t="s">
        <v>9640</v>
      </c>
      <c r="I6064" s="40" t="s">
        <v>18</v>
      </c>
      <c r="J6064" s="40" t="str">
        <f>HYPERLINK("https://stock.pstatic.net/stock-research/company/18/20260119_company_217507000.pdf","PDF")</f>
        <v>PDF</v>
      </c>
      <c r="K6064" s="12" t="s">
        <v>9641</v>
      </c>
      <c r="L6064" s="20">
        <v>0.42405063291139239</v>
      </c>
    </row>
    <row r="6065" spans="1:12" x14ac:dyDescent="0.45">
      <c r="A6065" s="12" t="s">
        <v>9608</v>
      </c>
      <c r="B6065" s="12" t="s">
        <v>3113</v>
      </c>
      <c r="C6065" s="13" t="s">
        <v>3114</v>
      </c>
      <c r="D6065" s="13" t="s">
        <v>34</v>
      </c>
      <c r="E6065" s="12" t="s">
        <v>35</v>
      </c>
      <c r="F6065" s="14">
        <v>42000</v>
      </c>
      <c r="G6065" s="14">
        <v>35650</v>
      </c>
      <c r="H6065" s="13" t="s">
        <v>9642</v>
      </c>
      <c r="I6065" s="40" t="s">
        <v>18</v>
      </c>
      <c r="J6065" s="40" t="str">
        <f>HYPERLINK("https://stock.pstatic.net/stock-research/company/61/20260119_company_400813000.pdf","PDF")</f>
        <v>PDF</v>
      </c>
      <c r="K6065" s="12" t="s">
        <v>9643</v>
      </c>
      <c r="L6065" s="20">
        <v>0.17812061711079941</v>
      </c>
    </row>
    <row r="6066" spans="1:12" x14ac:dyDescent="0.45">
      <c r="A6066" s="12" t="s">
        <v>9608</v>
      </c>
      <c r="B6066" s="12" t="s">
        <v>1765</v>
      </c>
      <c r="C6066" s="13" t="s">
        <v>1766</v>
      </c>
      <c r="D6066" s="13" t="s">
        <v>15</v>
      </c>
      <c r="E6066" s="12" t="s">
        <v>16</v>
      </c>
      <c r="F6066" s="14">
        <v>200000</v>
      </c>
      <c r="G6066" s="14">
        <v>151100</v>
      </c>
      <c r="H6066" s="13" t="s">
        <v>9644</v>
      </c>
      <c r="I6066" s="40" t="s">
        <v>18</v>
      </c>
      <c r="J6066" s="40" t="str">
        <f>HYPERLINK("https://stock.pstatic.net/stock-research/company/56/20260119_company_689667000.pdf","PDF")</f>
        <v>PDF</v>
      </c>
      <c r="K6066" s="12" t="s">
        <v>9645</v>
      </c>
      <c r="L6066" s="20">
        <v>0.32362673726009272</v>
      </c>
    </row>
    <row r="6067" spans="1:12" x14ac:dyDescent="0.45">
      <c r="A6067" s="12" t="s">
        <v>9608</v>
      </c>
      <c r="B6067" s="12" t="s">
        <v>519</v>
      </c>
      <c r="C6067" s="13" t="s">
        <v>520</v>
      </c>
      <c r="D6067" s="13" t="s">
        <v>15</v>
      </c>
      <c r="E6067" s="12" t="s">
        <v>16</v>
      </c>
      <c r="F6067" s="14">
        <v>520000</v>
      </c>
      <c r="G6067" s="14">
        <v>413000</v>
      </c>
      <c r="H6067" s="13" t="s">
        <v>9646</v>
      </c>
      <c r="I6067" s="40" t="s">
        <v>18</v>
      </c>
      <c r="J6067" s="40" t="str">
        <f>HYPERLINK("https://stock.pstatic.net/stock-research/company/56/20260119_company_872436000.pdf","PDF")</f>
        <v>PDF</v>
      </c>
      <c r="K6067" s="12" t="s">
        <v>9647</v>
      </c>
      <c r="L6067" s="20">
        <v>0.25907990314769969</v>
      </c>
    </row>
    <row r="6068" spans="1:12" x14ac:dyDescent="0.45">
      <c r="A6068" s="12" t="s">
        <v>9608</v>
      </c>
      <c r="B6068" s="12" t="s">
        <v>1328</v>
      </c>
      <c r="C6068" s="13" t="s">
        <v>1329</v>
      </c>
      <c r="D6068" s="13" t="s">
        <v>15</v>
      </c>
      <c r="E6068" s="12" t="s">
        <v>385</v>
      </c>
      <c r="F6068" s="14">
        <v>12600</v>
      </c>
      <c r="G6068" s="14">
        <v>10960</v>
      </c>
      <c r="H6068" s="13" t="s">
        <v>9648</v>
      </c>
      <c r="I6068" s="40" t="s">
        <v>18</v>
      </c>
      <c r="J6068" s="40" t="str">
        <f>HYPERLINK("https://stock.pstatic.net/stock-research/company/56/20260119_company_722859000.pdf","PDF")</f>
        <v>PDF</v>
      </c>
      <c r="K6068" s="12" t="s">
        <v>9649</v>
      </c>
      <c r="L6068" s="20">
        <v>0.1496350364963504</v>
      </c>
    </row>
    <row r="6069" spans="1:12" x14ac:dyDescent="0.45">
      <c r="A6069" s="12" t="s">
        <v>9608</v>
      </c>
      <c r="B6069" s="12" t="s">
        <v>1274</v>
      </c>
      <c r="C6069" s="13" t="s">
        <v>1275</v>
      </c>
      <c r="D6069" s="13" t="s">
        <v>15</v>
      </c>
      <c r="E6069" s="12" t="s">
        <v>385</v>
      </c>
      <c r="F6069" s="14">
        <v>144000</v>
      </c>
      <c r="G6069" s="14">
        <v>123800</v>
      </c>
      <c r="H6069" s="13" t="s">
        <v>9650</v>
      </c>
      <c r="I6069" s="40" t="s">
        <v>18</v>
      </c>
      <c r="J6069" s="40" t="str">
        <f>HYPERLINK("https://stock.pstatic.net/stock-research/company/56/20260119_company_798140000.pdf","PDF")</f>
        <v>PDF</v>
      </c>
      <c r="K6069" s="12" t="s">
        <v>9651</v>
      </c>
      <c r="L6069" s="20">
        <v>0.16316639741518579</v>
      </c>
    </row>
    <row r="6070" spans="1:12" x14ac:dyDescent="0.45">
      <c r="A6070" s="12" t="s">
        <v>9608</v>
      </c>
      <c r="B6070" s="12" t="s">
        <v>21</v>
      </c>
      <c r="C6070" s="13" t="s">
        <v>22</v>
      </c>
      <c r="D6070" s="13" t="s">
        <v>15</v>
      </c>
      <c r="E6070" s="12" t="s">
        <v>385</v>
      </c>
      <c r="F6070" s="14">
        <v>27000</v>
      </c>
      <c r="G6070" s="14">
        <v>26800</v>
      </c>
      <c r="H6070" s="13" t="s">
        <v>9652</v>
      </c>
      <c r="I6070" s="40" t="s">
        <v>18</v>
      </c>
      <c r="J6070" s="40" t="str">
        <f>HYPERLINK("https://stock.pstatic.net/stock-research/company/56/20260119_company_183523000.pdf","PDF")</f>
        <v>PDF</v>
      </c>
      <c r="K6070" s="12" t="s">
        <v>9653</v>
      </c>
      <c r="L6070" s="20">
        <v>7.462686567164179E-3</v>
      </c>
    </row>
    <row r="6071" spans="1:12" x14ac:dyDescent="0.45">
      <c r="A6071" s="12" t="s">
        <v>9608</v>
      </c>
      <c r="B6071" s="12" t="s">
        <v>1781</v>
      </c>
      <c r="C6071" s="13" t="s">
        <v>1782</v>
      </c>
      <c r="D6071" s="13" t="s">
        <v>83</v>
      </c>
      <c r="E6071" s="12" t="s">
        <v>35</v>
      </c>
      <c r="F6071" s="14">
        <v>140000</v>
      </c>
      <c r="G6071" s="14">
        <v>98400</v>
      </c>
      <c r="H6071" s="13" t="s">
        <v>9654</v>
      </c>
      <c r="I6071" s="40" t="s">
        <v>18</v>
      </c>
      <c r="J6071" s="40" t="str">
        <f>HYPERLINK("https://stock.pstatic.net/stock-research/company/15/20260119_company_175175000.pdf","PDF")</f>
        <v>PDF</v>
      </c>
      <c r="K6071" s="12" t="s">
        <v>9655</v>
      </c>
      <c r="L6071" s="20">
        <v>0.42276422764227639</v>
      </c>
    </row>
    <row r="6072" spans="1:12" x14ac:dyDescent="0.45">
      <c r="A6072" s="12" t="s">
        <v>9608</v>
      </c>
      <c r="B6072" s="12" t="s">
        <v>4567</v>
      </c>
      <c r="C6072" s="13" t="s">
        <v>4568</v>
      </c>
      <c r="D6072" s="13" t="s">
        <v>83</v>
      </c>
      <c r="E6072" s="12" t="s">
        <v>35</v>
      </c>
      <c r="F6072" s="14">
        <v>67000</v>
      </c>
      <c r="G6072" s="14">
        <v>51800</v>
      </c>
      <c r="H6072" s="13" t="s">
        <v>9656</v>
      </c>
      <c r="I6072" s="40" t="s">
        <v>18</v>
      </c>
      <c r="J6072" s="40" t="str">
        <f>HYPERLINK("https://stock.pstatic.net/stock-research/company/15/20260119_company_791154000.pdf","PDF")</f>
        <v>PDF</v>
      </c>
      <c r="K6072" s="12" t="s">
        <v>9657</v>
      </c>
      <c r="L6072" s="20">
        <v>0.29343629343629352</v>
      </c>
    </row>
    <row r="6073" spans="1:12" x14ac:dyDescent="0.45">
      <c r="A6073" s="12" t="s">
        <v>9608</v>
      </c>
      <c r="B6073" s="12" t="s">
        <v>1686</v>
      </c>
      <c r="C6073" s="13" t="s">
        <v>1687</v>
      </c>
      <c r="D6073" s="13" t="s">
        <v>53</v>
      </c>
      <c r="E6073" s="12" t="s">
        <v>16</v>
      </c>
      <c r="F6073" s="14">
        <v>1670000</v>
      </c>
      <c r="G6073" s="14">
        <v>1195000</v>
      </c>
      <c r="H6073" s="13" t="s">
        <v>9658</v>
      </c>
      <c r="I6073" s="40" t="s">
        <v>18</v>
      </c>
      <c r="J6073" s="40" t="str">
        <f>HYPERLINK("https://stock.pstatic.net/stock-research/company/40/20260119_company_355950000.pdf","PDF")</f>
        <v>PDF</v>
      </c>
      <c r="K6073" s="12" t="s">
        <v>9659</v>
      </c>
      <c r="L6073" s="20">
        <v>0.39748953974895401</v>
      </c>
    </row>
    <row r="6074" spans="1:12" x14ac:dyDescent="0.45">
      <c r="A6074" s="12" t="s">
        <v>9608</v>
      </c>
      <c r="B6074" s="12" t="s">
        <v>4470</v>
      </c>
      <c r="C6074" s="13" t="s">
        <v>4471</v>
      </c>
      <c r="D6074" s="13" t="s">
        <v>179</v>
      </c>
      <c r="E6074" s="12" t="s">
        <v>50</v>
      </c>
      <c r="F6074" s="13"/>
      <c r="G6074" s="14">
        <v>8320</v>
      </c>
      <c r="H6074" s="13" t="s">
        <v>9660</v>
      </c>
      <c r="I6074" s="40" t="s">
        <v>18</v>
      </c>
      <c r="J6074" s="40" t="str">
        <f>HYPERLINK("https://stock.pstatic.net/stock-research/company/64/20260119_company_82062000.pdf","PDF")</f>
        <v>PDF</v>
      </c>
      <c r="K6074" s="12" t="s">
        <v>9661</v>
      </c>
    </row>
    <row r="6075" spans="1:12" x14ac:dyDescent="0.45">
      <c r="A6075" s="12" t="s">
        <v>9608</v>
      </c>
      <c r="B6075" s="12" t="s">
        <v>3204</v>
      </c>
      <c r="C6075" s="13" t="s">
        <v>3205</v>
      </c>
      <c r="D6075" s="13" t="s">
        <v>53</v>
      </c>
      <c r="E6075" s="12" t="s">
        <v>16</v>
      </c>
      <c r="F6075" s="14">
        <v>5400</v>
      </c>
      <c r="G6075" s="14">
        <v>4500</v>
      </c>
      <c r="H6075" s="13" t="s">
        <v>9662</v>
      </c>
      <c r="I6075" s="40" t="s">
        <v>18</v>
      </c>
      <c r="J6075" s="40" t="str">
        <f>HYPERLINK("https://stock.pstatic.net/stock-research/company/40/20260119_company_417468000.pdf","PDF")</f>
        <v>PDF</v>
      </c>
      <c r="K6075" s="12" t="s">
        <v>9663</v>
      </c>
      <c r="L6075" s="20">
        <v>0.2</v>
      </c>
    </row>
    <row r="6076" spans="1:12" x14ac:dyDescent="0.45">
      <c r="A6076" s="12" t="s">
        <v>9608</v>
      </c>
      <c r="B6076" s="12" t="s">
        <v>489</v>
      </c>
      <c r="C6076" s="13" t="s">
        <v>490</v>
      </c>
      <c r="D6076" s="13" t="s">
        <v>92</v>
      </c>
      <c r="E6076" s="12" t="s">
        <v>35</v>
      </c>
      <c r="F6076" s="14">
        <v>73000</v>
      </c>
      <c r="G6076" s="14">
        <v>54400</v>
      </c>
      <c r="H6076" s="13" t="s">
        <v>9664</v>
      </c>
      <c r="I6076" s="40" t="s">
        <v>18</v>
      </c>
      <c r="J6076" s="40" t="str">
        <f>HYPERLINK("https://stock.pstatic.net/stock-research/company/63/20260119_company_50679000.pdf","PDF")</f>
        <v>PDF</v>
      </c>
      <c r="K6076" s="12" t="s">
        <v>9665</v>
      </c>
      <c r="L6076" s="20">
        <v>0.34191176470588241</v>
      </c>
    </row>
    <row r="6077" spans="1:12" x14ac:dyDescent="0.45">
      <c r="A6077" s="12" t="s">
        <v>9608</v>
      </c>
      <c r="B6077" s="12" t="s">
        <v>3079</v>
      </c>
      <c r="C6077" s="13" t="s">
        <v>3080</v>
      </c>
      <c r="D6077" s="13" t="s">
        <v>53</v>
      </c>
      <c r="E6077" s="12" t="s">
        <v>16</v>
      </c>
      <c r="F6077" s="14">
        <v>81000</v>
      </c>
      <c r="G6077" s="14">
        <v>67900</v>
      </c>
      <c r="H6077" s="13" t="s">
        <v>9666</v>
      </c>
      <c r="I6077" s="40" t="s">
        <v>18</v>
      </c>
      <c r="J6077" s="40" t="str">
        <f>HYPERLINK("https://stock.pstatic.net/stock-research/company/40/20260119_company_757348000.pdf","PDF")</f>
        <v>PDF</v>
      </c>
      <c r="K6077" s="12" t="s">
        <v>9667</v>
      </c>
      <c r="L6077" s="20">
        <v>0.19293078055964649</v>
      </c>
    </row>
    <row r="6078" spans="1:12" x14ac:dyDescent="0.45">
      <c r="A6078" s="12" t="s">
        <v>9608</v>
      </c>
      <c r="B6078" s="12" t="s">
        <v>2425</v>
      </c>
      <c r="C6078" s="13" t="s">
        <v>2426</v>
      </c>
      <c r="D6078" s="13" t="s">
        <v>53</v>
      </c>
      <c r="E6078" s="12" t="s">
        <v>16</v>
      </c>
      <c r="F6078" s="14">
        <v>170000</v>
      </c>
      <c r="G6078" s="14">
        <v>142300</v>
      </c>
      <c r="H6078" s="13" t="s">
        <v>9668</v>
      </c>
      <c r="I6078" s="40" t="s">
        <v>18</v>
      </c>
      <c r="J6078" s="40" t="str">
        <f>HYPERLINK("https://stock.pstatic.net/stock-research/company/40/20260119_company_256857000.pdf","PDF")</f>
        <v>PDF</v>
      </c>
      <c r="K6078" s="12" t="s">
        <v>9669</v>
      </c>
      <c r="L6078" s="20">
        <v>0.19465917076598729</v>
      </c>
    </row>
    <row r="6079" spans="1:12" x14ac:dyDescent="0.45">
      <c r="A6079" s="12" t="s">
        <v>9608</v>
      </c>
      <c r="B6079" s="12" t="s">
        <v>4567</v>
      </c>
      <c r="C6079" s="13" t="s">
        <v>4568</v>
      </c>
      <c r="D6079" s="13" t="s">
        <v>92</v>
      </c>
      <c r="E6079" s="12" t="s">
        <v>35</v>
      </c>
      <c r="F6079" s="14">
        <v>62000</v>
      </c>
      <c r="G6079" s="14">
        <v>51800</v>
      </c>
      <c r="H6079" s="13" t="s">
        <v>9670</v>
      </c>
      <c r="I6079" s="40" t="s">
        <v>18</v>
      </c>
      <c r="J6079" s="40" t="str">
        <f>HYPERLINK("https://stock.pstatic.net/stock-research/company/63/20260119_company_589517000.pdf","PDF")</f>
        <v>PDF</v>
      </c>
      <c r="K6079" s="12" t="s">
        <v>9671</v>
      </c>
      <c r="L6079" s="20">
        <v>0.19691119691119691</v>
      </c>
    </row>
    <row r="6080" spans="1:12" x14ac:dyDescent="0.45">
      <c r="A6080" s="12" t="s">
        <v>9608</v>
      </c>
      <c r="B6080" s="12" t="s">
        <v>764</v>
      </c>
      <c r="C6080" s="13" t="s">
        <v>765</v>
      </c>
      <c r="D6080" s="13" t="s">
        <v>179</v>
      </c>
      <c r="E6080" s="12" t="s">
        <v>16</v>
      </c>
      <c r="F6080" s="14">
        <v>57000</v>
      </c>
      <c r="G6080" s="14">
        <v>42050</v>
      </c>
      <c r="H6080" s="13" t="s">
        <v>9672</v>
      </c>
      <c r="I6080" s="40" t="s">
        <v>18</v>
      </c>
      <c r="J6080" s="40" t="str">
        <f>HYPERLINK("https://stock.pstatic.net/stock-research/company/64/20260119_company_999531000.pdf","PDF")</f>
        <v>PDF</v>
      </c>
      <c r="K6080" s="12" t="s">
        <v>9673</v>
      </c>
      <c r="L6080" s="20">
        <v>0.35552913198573127</v>
      </c>
    </row>
    <row r="6081" spans="1:12" x14ac:dyDescent="0.45">
      <c r="A6081" s="12" t="s">
        <v>9608</v>
      </c>
      <c r="B6081" s="12" t="s">
        <v>1930</v>
      </c>
      <c r="C6081" s="13" t="s">
        <v>1931</v>
      </c>
      <c r="D6081" s="13" t="s">
        <v>23</v>
      </c>
      <c r="E6081" s="12" t="s">
        <v>16</v>
      </c>
      <c r="F6081" s="14">
        <v>260000</v>
      </c>
      <c r="G6081" s="14">
        <v>208500</v>
      </c>
      <c r="H6081" s="13" t="s">
        <v>9674</v>
      </c>
      <c r="I6081" s="40" t="s">
        <v>18</v>
      </c>
      <c r="J6081" s="40" t="str">
        <f>HYPERLINK("https://stock.pstatic.net/stock-research/company/21/20260119_company_969479000.pdf","PDF")</f>
        <v>PDF</v>
      </c>
      <c r="K6081" s="12" t="s">
        <v>9675</v>
      </c>
      <c r="L6081" s="20">
        <v>0.24700239808153479</v>
      </c>
    </row>
    <row r="6082" spans="1:12" x14ac:dyDescent="0.45">
      <c r="A6082" s="12" t="s">
        <v>9608</v>
      </c>
      <c r="B6082" s="12" t="s">
        <v>3024</v>
      </c>
      <c r="C6082" s="13" t="s">
        <v>3025</v>
      </c>
      <c r="D6082" s="13" t="s">
        <v>34</v>
      </c>
      <c r="E6082" s="12" t="s">
        <v>35</v>
      </c>
      <c r="F6082" s="14">
        <v>70000</v>
      </c>
      <c r="G6082" s="14">
        <v>57300</v>
      </c>
      <c r="H6082" s="13" t="s">
        <v>9676</v>
      </c>
      <c r="I6082" s="40" t="s">
        <v>18</v>
      </c>
      <c r="J6082" s="40" t="str">
        <f>HYPERLINK("https://stock.pstatic.net/stock-research/company/61/20260119_company_274983000.pdf","PDF")</f>
        <v>PDF</v>
      </c>
      <c r="K6082" s="12" t="s">
        <v>9677</v>
      </c>
      <c r="L6082" s="20">
        <v>0.22164048865619551</v>
      </c>
    </row>
    <row r="6083" spans="1:12" x14ac:dyDescent="0.45">
      <c r="A6083" s="12" t="s">
        <v>9608</v>
      </c>
      <c r="B6083" s="12" t="s">
        <v>2873</v>
      </c>
      <c r="C6083" s="13" t="s">
        <v>2874</v>
      </c>
      <c r="D6083" s="13" t="s">
        <v>34</v>
      </c>
      <c r="E6083" s="12" t="s">
        <v>35</v>
      </c>
      <c r="F6083" s="14">
        <v>185000</v>
      </c>
      <c r="G6083" s="14">
        <v>145700</v>
      </c>
      <c r="H6083" s="13" t="s">
        <v>9678</v>
      </c>
      <c r="I6083" s="40" t="s">
        <v>18</v>
      </c>
      <c r="J6083" s="40" t="str">
        <f>HYPERLINK("https://stock.pstatic.net/stock-research/company/61/20260119_company_842447000.pdf","PDF")</f>
        <v>PDF</v>
      </c>
      <c r="K6083" s="12" t="s">
        <v>9679</v>
      </c>
      <c r="L6083" s="20">
        <v>0.26973232669869601</v>
      </c>
    </row>
    <row r="6084" spans="1:12" x14ac:dyDescent="0.45">
      <c r="A6084" s="12" t="s">
        <v>9608</v>
      </c>
      <c r="B6084" s="12" t="s">
        <v>3105</v>
      </c>
      <c r="C6084" s="13" t="s">
        <v>3106</v>
      </c>
      <c r="D6084" s="13" t="s">
        <v>34</v>
      </c>
      <c r="E6084" s="12" t="s">
        <v>35</v>
      </c>
      <c r="F6084" s="14">
        <v>420000</v>
      </c>
      <c r="G6084" s="14">
        <v>336500</v>
      </c>
      <c r="H6084" s="13" t="s">
        <v>9680</v>
      </c>
      <c r="I6084" s="40" t="s">
        <v>18</v>
      </c>
      <c r="J6084" s="40" t="str">
        <f>HYPERLINK("https://stock.pstatic.net/stock-research/company/61/20260119_company_801645000.pdf","PDF")</f>
        <v>PDF</v>
      </c>
      <c r="K6084" s="12" t="s">
        <v>9681</v>
      </c>
      <c r="L6084" s="20">
        <v>0.24814264487369991</v>
      </c>
    </row>
    <row r="6085" spans="1:12" x14ac:dyDescent="0.45">
      <c r="A6085" s="12" t="s">
        <v>9608</v>
      </c>
      <c r="B6085" s="12" t="s">
        <v>6873</v>
      </c>
      <c r="C6085" s="13" t="s">
        <v>6874</v>
      </c>
      <c r="D6085" s="13" t="s">
        <v>179</v>
      </c>
      <c r="E6085" s="12" t="s">
        <v>16</v>
      </c>
      <c r="F6085" s="14">
        <v>92000</v>
      </c>
      <c r="G6085" s="14">
        <v>62400</v>
      </c>
      <c r="H6085" s="13" t="s">
        <v>9682</v>
      </c>
      <c r="I6085" s="40" t="s">
        <v>18</v>
      </c>
      <c r="J6085" s="40" t="str">
        <f>HYPERLINK("https://stock.pstatic.net/stock-research/company/64/20260119_company_133218000.pdf","PDF")</f>
        <v>PDF</v>
      </c>
      <c r="K6085" s="12" t="s">
        <v>9683</v>
      </c>
      <c r="L6085" s="20">
        <v>0.47435897435897428</v>
      </c>
    </row>
    <row r="6086" spans="1:12" x14ac:dyDescent="0.45">
      <c r="A6086" s="12" t="s">
        <v>9608</v>
      </c>
      <c r="B6086" s="12" t="s">
        <v>4021</v>
      </c>
      <c r="C6086" s="13" t="s">
        <v>4022</v>
      </c>
      <c r="D6086" s="13" t="s">
        <v>34</v>
      </c>
      <c r="E6086" s="12" t="s">
        <v>35</v>
      </c>
      <c r="F6086" s="14">
        <v>670000</v>
      </c>
      <c r="G6086" s="14">
        <v>533000</v>
      </c>
      <c r="H6086" s="13" t="s">
        <v>9684</v>
      </c>
      <c r="I6086" s="40" t="s">
        <v>18</v>
      </c>
      <c r="J6086" s="40" t="str">
        <f>HYPERLINK("https://stock.pstatic.net/stock-research/company/61/20260119_company_156475000.pdf","PDF")</f>
        <v>PDF</v>
      </c>
      <c r="K6086" s="12" t="s">
        <v>9685</v>
      </c>
      <c r="L6086" s="20">
        <v>0.25703564727954969</v>
      </c>
    </row>
    <row r="6087" spans="1:12" x14ac:dyDescent="0.45">
      <c r="A6087" s="12" t="s">
        <v>9608</v>
      </c>
      <c r="B6087" s="12" t="s">
        <v>2425</v>
      </c>
      <c r="C6087" s="13" t="s">
        <v>2426</v>
      </c>
      <c r="D6087" s="13" t="s">
        <v>23</v>
      </c>
      <c r="E6087" s="12" t="s">
        <v>16</v>
      </c>
      <c r="F6087" s="14">
        <v>170000</v>
      </c>
      <c r="G6087" s="14">
        <v>142300</v>
      </c>
      <c r="H6087" s="13" t="s">
        <v>9686</v>
      </c>
      <c r="I6087" s="40" t="s">
        <v>18</v>
      </c>
      <c r="J6087" s="40" t="str">
        <f>HYPERLINK("https://stock.pstatic.net/stock-research/company/21/20260119_company_608263000.pdf","PDF")</f>
        <v>PDF</v>
      </c>
      <c r="K6087" s="12" t="s">
        <v>9687</v>
      </c>
      <c r="L6087" s="20">
        <v>0.19465917076598729</v>
      </c>
    </row>
    <row r="6088" spans="1:12" x14ac:dyDescent="0.45">
      <c r="A6088" s="12" t="s">
        <v>9608</v>
      </c>
      <c r="B6088" s="12" t="s">
        <v>1463</v>
      </c>
      <c r="C6088" s="13" t="s">
        <v>1464</v>
      </c>
      <c r="D6088" s="13" t="s">
        <v>23</v>
      </c>
      <c r="E6088" s="12" t="s">
        <v>16</v>
      </c>
      <c r="F6088" s="14">
        <v>81000</v>
      </c>
      <c r="G6088" s="14">
        <v>59700</v>
      </c>
      <c r="H6088" s="13" t="s">
        <v>9688</v>
      </c>
      <c r="I6088" s="40" t="s">
        <v>18</v>
      </c>
      <c r="J6088" s="40" t="str">
        <f>HYPERLINK("https://stock.pstatic.net/stock-research/company/21/20260119_company_322774000.pdf","PDF")</f>
        <v>PDF</v>
      </c>
      <c r="K6088" s="12" t="s">
        <v>9689</v>
      </c>
      <c r="L6088" s="20">
        <v>0.35678391959798988</v>
      </c>
    </row>
    <row r="6089" spans="1:12" x14ac:dyDescent="0.45">
      <c r="A6089" s="12" t="s">
        <v>9608</v>
      </c>
      <c r="B6089" s="12" t="s">
        <v>1208</v>
      </c>
      <c r="C6089" s="13" t="s">
        <v>1209</v>
      </c>
      <c r="D6089" s="13" t="s">
        <v>44</v>
      </c>
      <c r="E6089" s="12" t="s">
        <v>50</v>
      </c>
      <c r="F6089" s="13"/>
      <c r="G6089" s="14">
        <v>54500</v>
      </c>
      <c r="H6089" s="13" t="s">
        <v>9690</v>
      </c>
      <c r="I6089" s="40" t="s">
        <v>18</v>
      </c>
      <c r="J6089" s="40" t="str">
        <f>HYPERLINK("https://stock.pstatic.net/stock-research/company/39/20260119_company_323621000.pdf","PDF")</f>
        <v>PDF</v>
      </c>
      <c r="K6089" s="12" t="s">
        <v>9691</v>
      </c>
    </row>
    <row r="6090" spans="1:12" x14ac:dyDescent="0.45">
      <c r="A6090" s="12" t="s">
        <v>9608</v>
      </c>
      <c r="B6090" s="12" t="s">
        <v>768</v>
      </c>
      <c r="C6090" s="13" t="s">
        <v>769</v>
      </c>
      <c r="D6090" s="13" t="s">
        <v>179</v>
      </c>
      <c r="E6090" s="12" t="s">
        <v>16</v>
      </c>
      <c r="F6090" s="14">
        <v>240000</v>
      </c>
      <c r="G6090" s="14">
        <v>187300</v>
      </c>
      <c r="H6090" s="13" t="s">
        <v>9692</v>
      </c>
      <c r="I6090" s="40" t="s">
        <v>18</v>
      </c>
      <c r="J6090" s="40" t="str">
        <f>HYPERLINK("https://stock.pstatic.net/stock-research/company/64/20260119_company_395289000.pdf","PDF")</f>
        <v>PDF</v>
      </c>
      <c r="K6090" s="12" t="s">
        <v>9693</v>
      </c>
      <c r="L6090" s="20">
        <v>0.28136679124399361</v>
      </c>
    </row>
    <row r="6091" spans="1:12" x14ac:dyDescent="0.45">
      <c r="A6091" s="12" t="s">
        <v>9608</v>
      </c>
      <c r="B6091" s="12" t="s">
        <v>756</v>
      </c>
      <c r="C6091" s="13" t="s">
        <v>757</v>
      </c>
      <c r="D6091" s="13" t="s">
        <v>179</v>
      </c>
      <c r="E6091" s="12" t="s">
        <v>16</v>
      </c>
      <c r="F6091" s="14">
        <v>90000</v>
      </c>
      <c r="G6091" s="14">
        <v>63900</v>
      </c>
      <c r="H6091" s="13" t="s">
        <v>9694</v>
      </c>
      <c r="I6091" s="40" t="s">
        <v>18</v>
      </c>
      <c r="J6091" s="40" t="str">
        <f>HYPERLINK("https://stock.pstatic.net/stock-research/company/64/20260119_company_493690000.pdf","PDF")</f>
        <v>PDF</v>
      </c>
      <c r="K6091" s="12" t="s">
        <v>9695</v>
      </c>
      <c r="L6091" s="20">
        <v>0.40845070422535212</v>
      </c>
    </row>
    <row r="6092" spans="1:12" x14ac:dyDescent="0.45">
      <c r="A6092" s="12" t="s">
        <v>9608</v>
      </c>
      <c r="B6092" s="12" t="s">
        <v>485</v>
      </c>
      <c r="C6092" s="13" t="s">
        <v>486</v>
      </c>
      <c r="D6092" s="13" t="s">
        <v>44</v>
      </c>
      <c r="E6092" s="12" t="s">
        <v>45</v>
      </c>
      <c r="F6092" s="14">
        <v>180000</v>
      </c>
      <c r="G6092" s="14">
        <v>160300</v>
      </c>
      <c r="H6092" s="13" t="s">
        <v>9696</v>
      </c>
      <c r="I6092" s="40" t="s">
        <v>18</v>
      </c>
      <c r="J6092" s="40" t="str">
        <f>HYPERLINK("https://stock.pstatic.net/stock-research/company/39/20260119_company_8892000.pdf","PDF")</f>
        <v>PDF</v>
      </c>
      <c r="K6092" s="12" t="s">
        <v>9697</v>
      </c>
      <c r="L6092" s="20">
        <v>0.12289457267623211</v>
      </c>
    </row>
    <row r="6093" spans="1:12" x14ac:dyDescent="0.45">
      <c r="A6093" s="12" t="s">
        <v>9608</v>
      </c>
      <c r="B6093" s="12" t="s">
        <v>1144</v>
      </c>
      <c r="C6093" s="13" t="s">
        <v>1145</v>
      </c>
      <c r="D6093" s="13" t="s">
        <v>44</v>
      </c>
      <c r="E6093" s="12" t="s">
        <v>35</v>
      </c>
      <c r="F6093" s="14">
        <v>160000</v>
      </c>
      <c r="G6093" s="14">
        <v>126700</v>
      </c>
      <c r="H6093" s="13" t="s">
        <v>9698</v>
      </c>
      <c r="I6093" s="40" t="s">
        <v>18</v>
      </c>
      <c r="J6093" s="40" t="str">
        <f>HYPERLINK("https://stock.pstatic.net/stock-research/company/39/20260119_company_636435000.pdf","PDF")</f>
        <v>PDF</v>
      </c>
      <c r="K6093" s="12" t="s">
        <v>9699</v>
      </c>
      <c r="L6093" s="20">
        <v>0.26282557221783742</v>
      </c>
    </row>
    <row r="6094" spans="1:12" x14ac:dyDescent="0.45">
      <c r="A6094" s="12" t="s">
        <v>9608</v>
      </c>
      <c r="B6094" s="12" t="s">
        <v>2492</v>
      </c>
      <c r="C6094" s="13" t="s">
        <v>2493</v>
      </c>
      <c r="D6094" s="13" t="s">
        <v>44</v>
      </c>
      <c r="E6094" s="12" t="s">
        <v>35</v>
      </c>
      <c r="F6094" s="14">
        <v>600000</v>
      </c>
      <c r="G6094" s="14">
        <v>438500</v>
      </c>
      <c r="H6094" s="13" t="s">
        <v>9700</v>
      </c>
      <c r="I6094" s="40" t="s">
        <v>18</v>
      </c>
      <c r="J6094" s="40" t="str">
        <f>HYPERLINK("https://stock.pstatic.net/stock-research/company/39/20260119_company_529127000.pdf","PDF")</f>
        <v>PDF</v>
      </c>
      <c r="K6094" s="12" t="s">
        <v>9701</v>
      </c>
      <c r="L6094" s="20">
        <v>0.36830102622576971</v>
      </c>
    </row>
    <row r="6095" spans="1:12" x14ac:dyDescent="0.45">
      <c r="A6095" s="12" t="s">
        <v>9608</v>
      </c>
      <c r="B6095" s="12" t="s">
        <v>2613</v>
      </c>
      <c r="C6095" s="13" t="s">
        <v>2614</v>
      </c>
      <c r="D6095" s="13" t="s">
        <v>44</v>
      </c>
      <c r="E6095" s="12" t="s">
        <v>35</v>
      </c>
      <c r="F6095" s="14">
        <v>400000</v>
      </c>
      <c r="G6095" s="14">
        <v>242000</v>
      </c>
      <c r="H6095" s="13" t="s">
        <v>9702</v>
      </c>
      <c r="I6095" s="40" t="s">
        <v>18</v>
      </c>
      <c r="J6095" s="40" t="str">
        <f>HYPERLINK("https://stock.pstatic.net/stock-research/company/39/20260119_company_238788000.pdf","PDF")</f>
        <v>PDF</v>
      </c>
      <c r="K6095" s="12" t="s">
        <v>9703</v>
      </c>
      <c r="L6095" s="20">
        <v>0.65289256198347112</v>
      </c>
    </row>
    <row r="6096" spans="1:12" x14ac:dyDescent="0.45">
      <c r="A6096" s="12" t="s">
        <v>9608</v>
      </c>
      <c r="B6096" s="12" t="s">
        <v>1552</v>
      </c>
      <c r="C6096" s="13" t="s">
        <v>9704</v>
      </c>
      <c r="D6096" s="13" t="s">
        <v>44</v>
      </c>
      <c r="E6096" s="12" t="s">
        <v>35</v>
      </c>
      <c r="F6096" s="14">
        <v>161000</v>
      </c>
      <c r="G6096" s="14">
        <v>119700</v>
      </c>
      <c r="H6096" s="13" t="s">
        <v>9705</v>
      </c>
      <c r="I6096" s="40" t="s">
        <v>18</v>
      </c>
      <c r="J6096" s="40" t="str">
        <f>HYPERLINK("https://stock.pstatic.net/stock-research/company/39/20260119_company_9935000.pdf","PDF")</f>
        <v>PDF</v>
      </c>
      <c r="K6096" s="12" t="s">
        <v>9706</v>
      </c>
      <c r="L6096" s="20">
        <v>0.34502923976608191</v>
      </c>
    </row>
    <row r="6097" spans="1:12" x14ac:dyDescent="0.45">
      <c r="A6097" s="12" t="s">
        <v>9608</v>
      </c>
      <c r="B6097" s="12" t="s">
        <v>3182</v>
      </c>
      <c r="C6097" s="13" t="s">
        <v>3183</v>
      </c>
      <c r="D6097" s="13" t="s">
        <v>44</v>
      </c>
      <c r="E6097" s="12" t="s">
        <v>45</v>
      </c>
      <c r="F6097" s="14">
        <v>1060000</v>
      </c>
      <c r="G6097" s="14">
        <v>906000</v>
      </c>
      <c r="H6097" s="13" t="s">
        <v>9707</v>
      </c>
      <c r="I6097" s="40" t="s">
        <v>18</v>
      </c>
      <c r="J6097" s="40" t="str">
        <f>HYPERLINK("https://stock.pstatic.net/stock-research/company/39/20260119_company_439677000.pdf","PDF")</f>
        <v>PDF</v>
      </c>
      <c r="K6097" s="12" t="s">
        <v>9708</v>
      </c>
      <c r="L6097" s="20">
        <v>0.1699779249448124</v>
      </c>
    </row>
    <row r="6098" spans="1:12" x14ac:dyDescent="0.45">
      <c r="A6098" s="12" t="s">
        <v>9608</v>
      </c>
      <c r="B6098" s="12" t="s">
        <v>1042</v>
      </c>
      <c r="C6098" s="13" t="s">
        <v>1043</v>
      </c>
      <c r="D6098" s="13" t="s">
        <v>53</v>
      </c>
      <c r="E6098" s="12" t="s">
        <v>16</v>
      </c>
      <c r="F6098" s="14">
        <v>48000</v>
      </c>
      <c r="G6098" s="14">
        <v>23750</v>
      </c>
      <c r="H6098" s="13" t="s">
        <v>9709</v>
      </c>
      <c r="I6098" s="40" t="s">
        <v>18</v>
      </c>
      <c r="J6098" s="40" t="str">
        <f>HYPERLINK("https://stock.pstatic.net/stock-research/company/40/20260119_company_307010000.pdf","PDF")</f>
        <v>PDF</v>
      </c>
      <c r="K6098" s="12" t="s">
        <v>9710</v>
      </c>
      <c r="L6098" s="20">
        <v>1.021052631578947</v>
      </c>
    </row>
    <row r="6099" spans="1:12" x14ac:dyDescent="0.45">
      <c r="A6099" s="12" t="s">
        <v>9711</v>
      </c>
      <c r="B6099" s="12" t="s">
        <v>916</v>
      </c>
      <c r="C6099" s="13" t="s">
        <v>917</v>
      </c>
      <c r="D6099" s="13" t="s">
        <v>57</v>
      </c>
      <c r="E6099" s="12" t="s">
        <v>35</v>
      </c>
      <c r="F6099" s="14">
        <v>85000</v>
      </c>
      <c r="G6099" s="14">
        <v>58500</v>
      </c>
      <c r="H6099" s="13" t="s">
        <v>9712</v>
      </c>
      <c r="I6099" s="40" t="s">
        <v>18</v>
      </c>
      <c r="J6099" s="40" t="str">
        <f>HYPERLINK("https://stock.pstatic.net/stock-research/company/16/20260116_company_993627000.pdf","PDF")</f>
        <v>PDF</v>
      </c>
      <c r="K6099" s="12" t="s">
        <v>9713</v>
      </c>
      <c r="L6099" s="20">
        <v>0.45299145299145299</v>
      </c>
    </row>
    <row r="6100" spans="1:12" x14ac:dyDescent="0.45">
      <c r="A6100" s="12" t="s">
        <v>9711</v>
      </c>
      <c r="B6100" s="12" t="s">
        <v>4642</v>
      </c>
      <c r="C6100" s="13" t="s">
        <v>4643</v>
      </c>
      <c r="D6100" s="13" t="s">
        <v>57</v>
      </c>
      <c r="E6100" s="12" t="s">
        <v>35</v>
      </c>
      <c r="F6100" s="14">
        <v>27000</v>
      </c>
      <c r="G6100" s="14">
        <v>23000</v>
      </c>
      <c r="H6100" s="13" t="s">
        <v>9714</v>
      </c>
      <c r="I6100" s="40" t="s">
        <v>18</v>
      </c>
      <c r="J6100" s="40" t="str">
        <f>HYPERLINK("https://stock.pstatic.net/stock-research/company/16/20260116_company_868750000.pdf","PDF")</f>
        <v>PDF</v>
      </c>
      <c r="K6100" s="12" t="s">
        <v>9715</v>
      </c>
      <c r="L6100" s="20">
        <v>0.17391304347826089</v>
      </c>
    </row>
    <row r="6101" spans="1:12" x14ac:dyDescent="0.45">
      <c r="A6101" s="12" t="s">
        <v>9711</v>
      </c>
      <c r="B6101" s="12" t="s">
        <v>912</v>
      </c>
      <c r="C6101" s="13" t="s">
        <v>913</v>
      </c>
      <c r="D6101" s="13" t="s">
        <v>276</v>
      </c>
      <c r="E6101" s="12" t="s">
        <v>16</v>
      </c>
      <c r="F6101" s="14">
        <v>90000</v>
      </c>
      <c r="G6101" s="14">
        <v>68100</v>
      </c>
      <c r="H6101" s="13" t="s">
        <v>9716</v>
      </c>
      <c r="I6101" s="40" t="s">
        <v>18</v>
      </c>
      <c r="J6101" s="40" t="str">
        <f>HYPERLINK("https://stock.pstatic.net/stock-research/company/66/20260116_company_78441000.pdf","PDF")</f>
        <v>PDF</v>
      </c>
      <c r="K6101" s="12" t="s">
        <v>9717</v>
      </c>
      <c r="L6101" s="20">
        <v>0.32158590308370039</v>
      </c>
    </row>
    <row r="6102" spans="1:12" x14ac:dyDescent="0.45">
      <c r="A6102" s="12" t="s">
        <v>9711</v>
      </c>
      <c r="B6102" s="12" t="s">
        <v>4642</v>
      </c>
      <c r="C6102" s="13" t="s">
        <v>4643</v>
      </c>
      <c r="D6102" s="13" t="s">
        <v>65</v>
      </c>
      <c r="E6102" s="12" t="s">
        <v>35</v>
      </c>
      <c r="F6102" s="14">
        <v>28000</v>
      </c>
      <c r="G6102" s="14">
        <v>23000</v>
      </c>
      <c r="H6102" s="13" t="s">
        <v>9718</v>
      </c>
      <c r="I6102" s="40" t="s">
        <v>18</v>
      </c>
      <c r="J6102" s="40" t="str">
        <f>HYPERLINK("https://stock.pstatic.net/stock-research/company/57/20260116_company_688286000.pdf","PDF")</f>
        <v>PDF</v>
      </c>
      <c r="K6102" s="12" t="s">
        <v>9719</v>
      </c>
      <c r="L6102" s="20">
        <v>0.21739130434782611</v>
      </c>
    </row>
    <row r="6103" spans="1:12" x14ac:dyDescent="0.45">
      <c r="A6103" s="12" t="s">
        <v>9711</v>
      </c>
      <c r="B6103" s="12" t="s">
        <v>4642</v>
      </c>
      <c r="C6103" s="13" t="s">
        <v>4643</v>
      </c>
      <c r="D6103" s="13" t="s">
        <v>158</v>
      </c>
      <c r="E6103" s="12" t="s">
        <v>35</v>
      </c>
      <c r="F6103" s="14">
        <v>29000</v>
      </c>
      <c r="G6103" s="14">
        <v>23000</v>
      </c>
      <c r="H6103" s="13" t="s">
        <v>9720</v>
      </c>
      <c r="I6103" s="40" t="s">
        <v>18</v>
      </c>
      <c r="J6103" s="40" t="str">
        <f>HYPERLINK("https://stock.pstatic.net/stock-research/company/18/20260116_company_401490000.pdf","PDF")</f>
        <v>PDF</v>
      </c>
      <c r="K6103" s="12" t="s">
        <v>9721</v>
      </c>
      <c r="L6103" s="20">
        <v>0.2608695652173913</v>
      </c>
    </row>
    <row r="6104" spans="1:12" x14ac:dyDescent="0.45">
      <c r="A6104" s="12" t="s">
        <v>9711</v>
      </c>
      <c r="B6104" s="12" t="s">
        <v>485</v>
      </c>
      <c r="C6104" s="13" t="s">
        <v>486</v>
      </c>
      <c r="D6104" s="13" t="s">
        <v>15</v>
      </c>
      <c r="E6104" s="12" t="s">
        <v>16</v>
      </c>
      <c r="F6104" s="14">
        <v>220000</v>
      </c>
      <c r="G6104" s="14">
        <v>170500</v>
      </c>
      <c r="H6104" s="13" t="s">
        <v>9722</v>
      </c>
      <c r="I6104" s="40" t="s">
        <v>18</v>
      </c>
      <c r="J6104" s="40" t="str">
        <f>HYPERLINK("https://stock.pstatic.net/stock-research/company/56/20260116_company_751214000.pdf","PDF")</f>
        <v>PDF</v>
      </c>
      <c r="K6104" s="12" t="s">
        <v>9723</v>
      </c>
      <c r="L6104" s="20">
        <v>0.29032258064516131</v>
      </c>
    </row>
    <row r="6105" spans="1:12" x14ac:dyDescent="0.45">
      <c r="A6105" s="12" t="s">
        <v>9711</v>
      </c>
      <c r="B6105" s="12" t="s">
        <v>9724</v>
      </c>
      <c r="C6105" s="13" t="s">
        <v>9725</v>
      </c>
      <c r="D6105" s="13" t="s">
        <v>15</v>
      </c>
      <c r="E6105" s="12" t="s">
        <v>50</v>
      </c>
      <c r="F6105" s="13"/>
      <c r="G6105" s="14">
        <v>25700</v>
      </c>
      <c r="H6105" s="13" t="s">
        <v>9726</v>
      </c>
      <c r="I6105" s="40" t="s">
        <v>18</v>
      </c>
      <c r="J6105" s="40" t="str">
        <f>HYPERLINK("https://stock.pstatic.net/stock-research/company/56/20260116_company_656462000.pdf","PDF")</f>
        <v>PDF</v>
      </c>
      <c r="K6105" s="12" t="s">
        <v>9727</v>
      </c>
    </row>
    <row r="6106" spans="1:12" x14ac:dyDescent="0.45">
      <c r="A6106" s="12" t="s">
        <v>9711</v>
      </c>
      <c r="B6106" s="12" t="s">
        <v>4642</v>
      </c>
      <c r="C6106" s="13" t="s">
        <v>4643</v>
      </c>
      <c r="D6106" s="13" t="s">
        <v>15</v>
      </c>
      <c r="E6106" s="12" t="s">
        <v>16</v>
      </c>
      <c r="F6106" s="14">
        <v>29000</v>
      </c>
      <c r="G6106" s="14">
        <v>23000</v>
      </c>
      <c r="H6106" s="13" t="s">
        <v>9728</v>
      </c>
      <c r="I6106" s="40" t="s">
        <v>18</v>
      </c>
      <c r="J6106" s="40" t="str">
        <f>HYPERLINK("https://stock.pstatic.net/stock-research/company/56/20260116_company_952796000.pdf","PDF")</f>
        <v>PDF</v>
      </c>
      <c r="K6106" s="12" t="s">
        <v>9729</v>
      </c>
      <c r="L6106" s="20">
        <v>0.2608695652173913</v>
      </c>
    </row>
    <row r="6107" spans="1:12" x14ac:dyDescent="0.45">
      <c r="A6107" s="12" t="s">
        <v>9711</v>
      </c>
      <c r="B6107" s="12" t="s">
        <v>3296</v>
      </c>
      <c r="C6107" s="13" t="s">
        <v>3297</v>
      </c>
      <c r="D6107" s="13" t="s">
        <v>179</v>
      </c>
      <c r="E6107" s="12" t="s">
        <v>16</v>
      </c>
      <c r="F6107" s="14">
        <v>65000</v>
      </c>
      <c r="G6107" s="14">
        <v>45650</v>
      </c>
      <c r="H6107" s="13" t="s">
        <v>9730</v>
      </c>
      <c r="I6107" s="40" t="s">
        <v>18</v>
      </c>
      <c r="J6107" s="40" t="str">
        <f>HYPERLINK("https://stock.pstatic.net/stock-research/company/64/20260116_company_277796000.pdf","PDF")</f>
        <v>PDF</v>
      </c>
      <c r="K6107" s="12" t="s">
        <v>9731</v>
      </c>
      <c r="L6107" s="20">
        <v>0.42387732749178531</v>
      </c>
    </row>
    <row r="6108" spans="1:12" x14ac:dyDescent="0.45">
      <c r="A6108" s="12" t="s">
        <v>9711</v>
      </c>
      <c r="B6108" s="12" t="s">
        <v>3284</v>
      </c>
      <c r="C6108" s="13" t="s">
        <v>3285</v>
      </c>
      <c r="D6108" s="13" t="s">
        <v>83</v>
      </c>
      <c r="E6108" s="12" t="s">
        <v>35</v>
      </c>
      <c r="F6108" s="14">
        <v>180000</v>
      </c>
      <c r="G6108" s="14">
        <v>148900</v>
      </c>
      <c r="H6108" s="13" t="s">
        <v>9732</v>
      </c>
      <c r="I6108" s="40" t="s">
        <v>18</v>
      </c>
      <c r="J6108" s="40" t="str">
        <f>HYPERLINK("https://stock.pstatic.net/stock-research/company/15/20260116_company_256620000.pdf","PDF")</f>
        <v>PDF</v>
      </c>
      <c r="K6108" s="12" t="s">
        <v>9733</v>
      </c>
      <c r="L6108" s="20">
        <v>0.20886501007387509</v>
      </c>
    </row>
    <row r="6109" spans="1:12" x14ac:dyDescent="0.45">
      <c r="A6109" s="12" t="s">
        <v>9711</v>
      </c>
      <c r="B6109" s="12" t="s">
        <v>438</v>
      </c>
      <c r="C6109" s="13" t="s">
        <v>439</v>
      </c>
      <c r="D6109" s="13" t="s">
        <v>179</v>
      </c>
      <c r="E6109" s="12" t="s">
        <v>16</v>
      </c>
      <c r="F6109" s="14">
        <v>150000</v>
      </c>
      <c r="G6109" s="14">
        <v>96100</v>
      </c>
      <c r="H6109" s="13" t="s">
        <v>9734</v>
      </c>
      <c r="I6109" s="40" t="s">
        <v>18</v>
      </c>
      <c r="J6109" s="40" t="str">
        <f>HYPERLINK("https://stock.pstatic.net/stock-research/company/64/20260116_company_12167000.pdf","PDF")</f>
        <v>PDF</v>
      </c>
      <c r="K6109" s="12" t="s">
        <v>9735</v>
      </c>
      <c r="L6109" s="20">
        <v>0.56087408949011441</v>
      </c>
    </row>
    <row r="6110" spans="1:12" x14ac:dyDescent="0.45">
      <c r="A6110" s="12" t="s">
        <v>9711</v>
      </c>
      <c r="B6110" s="12" t="s">
        <v>2758</v>
      </c>
      <c r="C6110" s="13" t="s">
        <v>2759</v>
      </c>
      <c r="D6110" s="13" t="s">
        <v>23</v>
      </c>
      <c r="E6110" s="12" t="s">
        <v>16</v>
      </c>
      <c r="F6110" s="14">
        <v>400000</v>
      </c>
      <c r="G6110" s="14">
        <v>351000</v>
      </c>
      <c r="H6110" s="13" t="s">
        <v>9736</v>
      </c>
      <c r="I6110" s="40" t="s">
        <v>18</v>
      </c>
      <c r="J6110" s="40" t="str">
        <f>HYPERLINK("https://stock.pstatic.net/stock-research/company/21/20260116_company_752349000.pdf","PDF")</f>
        <v>PDF</v>
      </c>
      <c r="K6110" s="12" t="s">
        <v>9737</v>
      </c>
      <c r="L6110" s="20">
        <v>0.1396011396011396</v>
      </c>
    </row>
    <row r="6111" spans="1:12" x14ac:dyDescent="0.45">
      <c r="A6111" s="12" t="s">
        <v>9711</v>
      </c>
      <c r="B6111" s="12" t="s">
        <v>2950</v>
      </c>
      <c r="C6111" s="13" t="s">
        <v>2951</v>
      </c>
      <c r="D6111" s="13" t="s">
        <v>23</v>
      </c>
      <c r="E6111" s="12" t="s">
        <v>16</v>
      </c>
      <c r="F6111" s="14">
        <v>125000</v>
      </c>
      <c r="G6111" s="14">
        <v>89500</v>
      </c>
      <c r="H6111" s="13" t="s">
        <v>9738</v>
      </c>
      <c r="I6111" s="40" t="s">
        <v>18</v>
      </c>
      <c r="J6111" s="40" t="str">
        <f>HYPERLINK("https://stock.pstatic.net/stock-research/company/21/20260116_company_808156000.pdf","PDF")</f>
        <v>PDF</v>
      </c>
      <c r="K6111" s="12" t="s">
        <v>9739</v>
      </c>
      <c r="L6111" s="20">
        <v>0.39664804469273751</v>
      </c>
    </row>
    <row r="6112" spans="1:12" x14ac:dyDescent="0.45">
      <c r="A6112" s="12" t="s">
        <v>9711</v>
      </c>
      <c r="B6112" s="12" t="s">
        <v>533</v>
      </c>
      <c r="C6112" s="13" t="s">
        <v>534</v>
      </c>
      <c r="D6112" s="13" t="s">
        <v>179</v>
      </c>
      <c r="E6112" s="12" t="s">
        <v>16</v>
      </c>
      <c r="F6112" s="14">
        <v>63000</v>
      </c>
      <c r="G6112" s="14">
        <v>53300</v>
      </c>
      <c r="H6112" s="13" t="s">
        <v>9740</v>
      </c>
      <c r="I6112" s="40" t="s">
        <v>18</v>
      </c>
      <c r="J6112" s="40" t="str">
        <f>HYPERLINK("https://stock.pstatic.net/stock-research/company/64/20260116_company_806601000.pdf","PDF")</f>
        <v>PDF</v>
      </c>
      <c r="K6112" s="12" t="s">
        <v>9741</v>
      </c>
      <c r="L6112" s="20">
        <v>0.18198874296435269</v>
      </c>
    </row>
    <row r="6113" spans="1:12" x14ac:dyDescent="0.45">
      <c r="A6113" s="12" t="s">
        <v>9711</v>
      </c>
      <c r="B6113" s="12" t="s">
        <v>4642</v>
      </c>
      <c r="C6113" s="13" t="s">
        <v>4643</v>
      </c>
      <c r="D6113" s="13" t="s">
        <v>23</v>
      </c>
      <c r="E6113" s="12" t="s">
        <v>16</v>
      </c>
      <c r="F6113" s="14">
        <v>28000</v>
      </c>
      <c r="G6113" s="14">
        <v>23000</v>
      </c>
      <c r="H6113" s="13" t="s">
        <v>9742</v>
      </c>
      <c r="I6113" s="40" t="s">
        <v>18</v>
      </c>
      <c r="J6113" s="40" t="str">
        <f>HYPERLINK("https://stock.pstatic.net/stock-research/company/21/20260116_company_303253000.pdf","PDF")</f>
        <v>PDF</v>
      </c>
      <c r="K6113" s="12" t="s">
        <v>9743</v>
      </c>
      <c r="L6113" s="20">
        <v>0.21739130434782611</v>
      </c>
    </row>
    <row r="6114" spans="1:12" x14ac:dyDescent="0.45">
      <c r="A6114" s="12" t="s">
        <v>9711</v>
      </c>
      <c r="B6114" s="12" t="s">
        <v>9744</v>
      </c>
      <c r="C6114" s="13" t="s">
        <v>9745</v>
      </c>
      <c r="D6114" s="13" t="s">
        <v>23</v>
      </c>
      <c r="E6114" s="12" t="s">
        <v>50</v>
      </c>
      <c r="F6114" s="13"/>
      <c r="G6114" s="14">
        <v>6080</v>
      </c>
      <c r="H6114" s="13" t="s">
        <v>9746</v>
      </c>
      <c r="I6114" s="40" t="s">
        <v>18</v>
      </c>
      <c r="J6114" s="40" t="str">
        <f>HYPERLINK("https://stock.pstatic.net/stock-research/company/21/20260116_company_336728000.pdf","PDF")</f>
        <v>PDF</v>
      </c>
      <c r="K6114" s="12" t="s">
        <v>9747</v>
      </c>
    </row>
    <row r="6115" spans="1:12" x14ac:dyDescent="0.45">
      <c r="A6115" s="12" t="s">
        <v>9711</v>
      </c>
      <c r="B6115" s="12" t="s">
        <v>541</v>
      </c>
      <c r="C6115" s="13" t="s">
        <v>542</v>
      </c>
      <c r="D6115" s="13" t="s">
        <v>179</v>
      </c>
      <c r="E6115" s="12" t="s">
        <v>16</v>
      </c>
      <c r="F6115" s="14">
        <v>69000</v>
      </c>
      <c r="G6115" s="14">
        <v>54900</v>
      </c>
      <c r="H6115" s="13" t="s">
        <v>9748</v>
      </c>
      <c r="I6115" s="40" t="s">
        <v>18</v>
      </c>
      <c r="J6115" s="40" t="str">
        <f>HYPERLINK("https://stock.pstatic.net/stock-research/company/64/20260116_company_895787000.pdf","PDF")</f>
        <v>PDF</v>
      </c>
      <c r="K6115" s="12" t="s">
        <v>9749</v>
      </c>
      <c r="L6115" s="20">
        <v>0.25683060109289618</v>
      </c>
    </row>
    <row r="6116" spans="1:12" x14ac:dyDescent="0.45">
      <c r="A6116" s="12" t="s">
        <v>9711</v>
      </c>
      <c r="B6116" s="12" t="s">
        <v>3536</v>
      </c>
      <c r="C6116" s="13" t="s">
        <v>3537</v>
      </c>
      <c r="D6116" s="13" t="s">
        <v>53</v>
      </c>
      <c r="E6116" s="12" t="s">
        <v>16</v>
      </c>
      <c r="F6116" s="14">
        <v>360000</v>
      </c>
      <c r="G6116" s="14">
        <v>265500</v>
      </c>
      <c r="H6116" s="13" t="s">
        <v>9750</v>
      </c>
      <c r="I6116" s="40" t="s">
        <v>18</v>
      </c>
      <c r="J6116" s="40" t="str">
        <f>HYPERLINK("https://stock.pstatic.net/stock-research/company/40/20260116_company_624025000.pdf","PDF")</f>
        <v>PDF</v>
      </c>
      <c r="K6116" s="12" t="s">
        <v>9751</v>
      </c>
      <c r="L6116" s="20">
        <v>0.3559322033898305</v>
      </c>
    </row>
    <row r="6117" spans="1:12" x14ac:dyDescent="0.45">
      <c r="A6117" s="12" t="s">
        <v>9711</v>
      </c>
      <c r="B6117" s="12" t="s">
        <v>3296</v>
      </c>
      <c r="C6117" s="13" t="s">
        <v>3297</v>
      </c>
      <c r="D6117" s="13" t="s">
        <v>44</v>
      </c>
      <c r="E6117" s="12" t="s">
        <v>35</v>
      </c>
      <c r="F6117" s="14">
        <v>65000</v>
      </c>
      <c r="G6117" s="14">
        <v>45650</v>
      </c>
      <c r="H6117" s="13" t="s">
        <v>9752</v>
      </c>
      <c r="I6117" s="40" t="s">
        <v>18</v>
      </c>
      <c r="J6117" s="40" t="str">
        <f>HYPERLINK("https://stock.pstatic.net/stock-research/company/39/20260116_company_379365000.pdf","PDF")</f>
        <v>PDF</v>
      </c>
      <c r="K6117" s="12" t="s">
        <v>9753</v>
      </c>
      <c r="L6117" s="20">
        <v>0.42387732749178531</v>
      </c>
    </row>
    <row r="6118" spans="1:12" x14ac:dyDescent="0.45">
      <c r="A6118" s="12" t="s">
        <v>9711</v>
      </c>
      <c r="B6118" s="12" t="s">
        <v>1065</v>
      </c>
      <c r="C6118" s="13" t="s">
        <v>1066</v>
      </c>
      <c r="D6118" s="13" t="s">
        <v>44</v>
      </c>
      <c r="E6118" s="12" t="s">
        <v>35</v>
      </c>
      <c r="F6118" s="14">
        <v>220000</v>
      </c>
      <c r="G6118" s="14">
        <v>165200</v>
      </c>
      <c r="H6118" s="13" t="s">
        <v>9754</v>
      </c>
      <c r="I6118" s="40" t="s">
        <v>18</v>
      </c>
      <c r="J6118" s="40" t="str">
        <f>HYPERLINK("https://stock.pstatic.net/stock-research/company/39/20260116_company_270662000.pdf","PDF")</f>
        <v>PDF</v>
      </c>
      <c r="K6118" s="12" t="s">
        <v>9755</v>
      </c>
      <c r="L6118" s="20">
        <v>0.33171912832929779</v>
      </c>
    </row>
    <row r="6119" spans="1:12" x14ac:dyDescent="0.45">
      <c r="A6119" s="12" t="s">
        <v>9711</v>
      </c>
      <c r="B6119" s="12" t="s">
        <v>2777</v>
      </c>
      <c r="C6119" s="13" t="s">
        <v>2778</v>
      </c>
      <c r="D6119" s="13" t="s">
        <v>44</v>
      </c>
      <c r="E6119" s="12" t="s">
        <v>50</v>
      </c>
      <c r="F6119" s="13"/>
      <c r="G6119" s="14">
        <v>492000</v>
      </c>
      <c r="H6119" s="13" t="s">
        <v>9756</v>
      </c>
      <c r="I6119" s="40" t="s">
        <v>18</v>
      </c>
      <c r="J6119" s="40" t="str">
        <f>HYPERLINK("https://stock.pstatic.net/stock-research/company/39/20260116_company_169180000.pdf","PDF")</f>
        <v>PDF</v>
      </c>
      <c r="K6119" s="12" t="s">
        <v>9757</v>
      </c>
    </row>
    <row r="6120" spans="1:12" x14ac:dyDescent="0.45">
      <c r="A6120" s="12" t="s">
        <v>9711</v>
      </c>
      <c r="B6120" s="12" t="s">
        <v>9758</v>
      </c>
      <c r="C6120" s="13" t="s">
        <v>9759</v>
      </c>
      <c r="D6120" s="13" t="s">
        <v>124</v>
      </c>
      <c r="E6120" s="12" t="s">
        <v>50</v>
      </c>
      <c r="F6120" s="13"/>
      <c r="G6120" s="13"/>
      <c r="H6120" s="13" t="s">
        <v>9760</v>
      </c>
      <c r="I6120" s="40" t="s">
        <v>18</v>
      </c>
      <c r="J6120" s="40" t="str">
        <f>HYPERLINK("https://stock.pstatic.net/stock-research/company/74/20260116_company_390254000.pdf","PDF")</f>
        <v>PDF</v>
      </c>
      <c r="K6120" s="12" t="s">
        <v>9761</v>
      </c>
    </row>
    <row r="6121" spans="1:12" x14ac:dyDescent="0.45">
      <c r="A6121" s="12" t="s">
        <v>9762</v>
      </c>
      <c r="B6121" s="12" t="s">
        <v>3014</v>
      </c>
      <c r="C6121" s="13" t="s">
        <v>3015</v>
      </c>
      <c r="D6121" s="13" t="s">
        <v>57</v>
      </c>
      <c r="E6121" s="12" t="s">
        <v>35</v>
      </c>
      <c r="F6121" s="14">
        <v>178000</v>
      </c>
      <c r="G6121" s="14">
        <v>126900</v>
      </c>
      <c r="H6121" s="13" t="s">
        <v>9763</v>
      </c>
      <c r="I6121" s="40" t="s">
        <v>18</v>
      </c>
      <c r="J6121" s="40" t="str">
        <f>HYPERLINK("https://stock.pstatic.net/stock-research/company/16/20260115_company_898237000.pdf","PDF")</f>
        <v>PDF</v>
      </c>
      <c r="K6121" s="12" t="s">
        <v>9764</v>
      </c>
      <c r="L6121" s="20">
        <v>0.40267927501970058</v>
      </c>
    </row>
    <row r="6122" spans="1:12" x14ac:dyDescent="0.45">
      <c r="A6122" s="12" t="s">
        <v>9762</v>
      </c>
      <c r="B6122" s="12" t="s">
        <v>2089</v>
      </c>
      <c r="C6122" s="13" t="s">
        <v>2090</v>
      </c>
      <c r="D6122" s="13" t="s">
        <v>57</v>
      </c>
      <c r="E6122" s="12" t="s">
        <v>35</v>
      </c>
      <c r="F6122" s="14">
        <v>110000</v>
      </c>
      <c r="G6122" s="14">
        <v>87200</v>
      </c>
      <c r="H6122" s="13" t="s">
        <v>9765</v>
      </c>
      <c r="I6122" s="40" t="s">
        <v>18</v>
      </c>
      <c r="J6122" s="40" t="str">
        <f>HYPERLINK("https://stock.pstatic.net/stock-research/company/16/20260115_company_586155000.pdf","PDF")</f>
        <v>PDF</v>
      </c>
      <c r="K6122" s="12" t="s">
        <v>9766</v>
      </c>
      <c r="L6122" s="20">
        <v>0.26146788990825692</v>
      </c>
    </row>
    <row r="6123" spans="1:12" x14ac:dyDescent="0.45">
      <c r="A6123" s="12" t="s">
        <v>9762</v>
      </c>
      <c r="B6123" s="12" t="s">
        <v>3164</v>
      </c>
      <c r="C6123" s="13" t="s">
        <v>3165</v>
      </c>
      <c r="D6123" s="13" t="s">
        <v>57</v>
      </c>
      <c r="E6123" s="12" t="s">
        <v>35</v>
      </c>
      <c r="F6123" s="14">
        <v>126000</v>
      </c>
      <c r="G6123" s="14">
        <v>94900</v>
      </c>
      <c r="H6123" s="13" t="s">
        <v>9767</v>
      </c>
      <c r="I6123" s="40" t="s">
        <v>18</v>
      </c>
      <c r="J6123" s="40" t="str">
        <f>HYPERLINK("https://stock.pstatic.net/stock-research/company/16/20260115_company_740109000.pdf","PDF")</f>
        <v>PDF</v>
      </c>
      <c r="K6123" s="12" t="s">
        <v>9768</v>
      </c>
      <c r="L6123" s="20">
        <v>0.32771338250790311</v>
      </c>
    </row>
    <row r="6124" spans="1:12" x14ac:dyDescent="0.45">
      <c r="A6124" s="12" t="s">
        <v>9762</v>
      </c>
      <c r="B6124" s="12" t="s">
        <v>744</v>
      </c>
      <c r="C6124" s="13" t="s">
        <v>745</v>
      </c>
      <c r="D6124" s="13" t="s">
        <v>276</v>
      </c>
      <c r="E6124" s="12" t="s">
        <v>16</v>
      </c>
      <c r="F6124" s="14">
        <v>42000</v>
      </c>
      <c r="G6124" s="14">
        <v>28350</v>
      </c>
      <c r="H6124" s="13" t="s">
        <v>9769</v>
      </c>
      <c r="I6124" s="40" t="s">
        <v>18</v>
      </c>
      <c r="J6124" s="40" t="str">
        <f>HYPERLINK("https://stock.pstatic.net/stock-research/company/66/20260115_company_852959000.pdf","PDF")</f>
        <v>PDF</v>
      </c>
      <c r="K6124" s="12" t="s">
        <v>9770</v>
      </c>
      <c r="L6124" s="20">
        <v>0.48148148148148151</v>
      </c>
    </row>
    <row r="6125" spans="1:12" x14ac:dyDescent="0.45">
      <c r="A6125" s="12" t="s">
        <v>9762</v>
      </c>
      <c r="B6125" s="12" t="s">
        <v>3230</v>
      </c>
      <c r="C6125" s="13" t="s">
        <v>3231</v>
      </c>
      <c r="D6125" s="13" t="s">
        <v>60</v>
      </c>
      <c r="E6125" s="12" t="s">
        <v>35</v>
      </c>
      <c r="F6125" s="14">
        <v>2900000</v>
      </c>
      <c r="G6125" s="14">
        <v>2125000</v>
      </c>
      <c r="H6125" s="13" t="s">
        <v>9771</v>
      </c>
      <c r="I6125" s="40" t="s">
        <v>18</v>
      </c>
      <c r="J6125" s="40" t="str">
        <f>HYPERLINK("https://stock.pstatic.net/stock-research/company/62/20260115_company_932681000.pdf","PDF")</f>
        <v>PDF</v>
      </c>
      <c r="K6125" s="12" t="s">
        <v>9772</v>
      </c>
      <c r="L6125" s="20">
        <v>0.36470588235294121</v>
      </c>
    </row>
    <row r="6126" spans="1:12" x14ac:dyDescent="0.45">
      <c r="A6126" s="12" t="s">
        <v>9762</v>
      </c>
      <c r="B6126" s="12" t="s">
        <v>42</v>
      </c>
      <c r="C6126" s="13" t="s">
        <v>43</v>
      </c>
      <c r="D6126" s="13" t="s">
        <v>60</v>
      </c>
      <c r="E6126" s="12" t="s">
        <v>35</v>
      </c>
      <c r="F6126" s="14">
        <v>350000</v>
      </c>
      <c r="G6126" s="14">
        <v>259500</v>
      </c>
      <c r="H6126" s="13" t="s">
        <v>9773</v>
      </c>
      <c r="I6126" s="40" t="s">
        <v>18</v>
      </c>
      <c r="J6126" s="40" t="str">
        <f>HYPERLINK("https://stock.pstatic.net/stock-research/company/62/20260115_company_827238000.pdf","PDF")</f>
        <v>PDF</v>
      </c>
      <c r="K6126" s="12" t="s">
        <v>9774</v>
      </c>
      <c r="L6126" s="20">
        <v>0.34874759152215801</v>
      </c>
    </row>
    <row r="6127" spans="1:12" x14ac:dyDescent="0.45">
      <c r="A6127" s="12" t="s">
        <v>9762</v>
      </c>
      <c r="B6127" s="12" t="s">
        <v>2425</v>
      </c>
      <c r="C6127" s="13" t="s">
        <v>2426</v>
      </c>
      <c r="D6127" s="13" t="s">
        <v>65</v>
      </c>
      <c r="E6127" s="12" t="s">
        <v>35</v>
      </c>
      <c r="F6127" s="14">
        <v>180000</v>
      </c>
      <c r="G6127" s="14">
        <v>144300</v>
      </c>
      <c r="H6127" s="13" t="s">
        <v>9775</v>
      </c>
      <c r="I6127" s="40" t="s">
        <v>18</v>
      </c>
      <c r="J6127" s="40" t="str">
        <f>HYPERLINK("https://stock.pstatic.net/stock-research/company/57/20260115_company_429691000.pdf","PDF")</f>
        <v>PDF</v>
      </c>
      <c r="K6127" s="12" t="s">
        <v>9776</v>
      </c>
      <c r="L6127" s="20">
        <v>0.24740124740124739</v>
      </c>
    </row>
    <row r="6128" spans="1:12" x14ac:dyDescent="0.45">
      <c r="A6128" s="12" t="s">
        <v>9762</v>
      </c>
      <c r="B6128" s="12" t="s">
        <v>888</v>
      </c>
      <c r="C6128" s="13" t="s">
        <v>889</v>
      </c>
      <c r="D6128" s="13" t="s">
        <v>65</v>
      </c>
      <c r="E6128" s="12" t="s">
        <v>35</v>
      </c>
      <c r="F6128" s="14">
        <v>70000</v>
      </c>
      <c r="G6128" s="14">
        <v>52600</v>
      </c>
      <c r="H6128" s="13" t="s">
        <v>9777</v>
      </c>
      <c r="I6128" s="40" t="s">
        <v>18</v>
      </c>
      <c r="J6128" s="40" t="str">
        <f>HYPERLINK("https://stock.pstatic.net/stock-research/company/57/20260115_company_606617000.pdf","PDF")</f>
        <v>PDF</v>
      </c>
      <c r="K6128" s="12" t="s">
        <v>9778</v>
      </c>
      <c r="L6128" s="20">
        <v>0.33079847908745252</v>
      </c>
    </row>
    <row r="6129" spans="1:12" x14ac:dyDescent="0.45">
      <c r="A6129" s="12" t="s">
        <v>9762</v>
      </c>
      <c r="B6129" s="12" t="s">
        <v>1548</v>
      </c>
      <c r="C6129" s="13" t="s">
        <v>1549</v>
      </c>
      <c r="D6129" s="13" t="s">
        <v>65</v>
      </c>
      <c r="E6129" s="12" t="s">
        <v>35</v>
      </c>
      <c r="F6129" s="14">
        <v>1460000</v>
      </c>
      <c r="G6129" s="14">
        <v>1269000</v>
      </c>
      <c r="H6129" s="13" t="s">
        <v>9779</v>
      </c>
      <c r="I6129" s="40" t="s">
        <v>18</v>
      </c>
      <c r="J6129" s="40" t="str">
        <f>HYPERLINK("https://stock.pstatic.net/stock-research/company/57/20260115_company_581028000.pdf","PDF")</f>
        <v>PDF</v>
      </c>
      <c r="K6129" s="12" t="s">
        <v>9780</v>
      </c>
      <c r="L6129" s="20">
        <v>0.1505122143420016</v>
      </c>
    </row>
    <row r="6130" spans="1:12" x14ac:dyDescent="0.45">
      <c r="A6130" s="12" t="s">
        <v>9762</v>
      </c>
      <c r="B6130" s="12" t="s">
        <v>1190</v>
      </c>
      <c r="C6130" s="13" t="s">
        <v>1191</v>
      </c>
      <c r="D6130" s="13" t="s">
        <v>158</v>
      </c>
      <c r="E6130" s="12" t="s">
        <v>35</v>
      </c>
      <c r="F6130" s="14">
        <v>165000</v>
      </c>
      <c r="G6130" s="14">
        <v>128500</v>
      </c>
      <c r="H6130" s="13" t="s">
        <v>9781</v>
      </c>
      <c r="I6130" s="40" t="s">
        <v>18</v>
      </c>
      <c r="J6130" s="40" t="str">
        <f>HYPERLINK("https://stock.pstatic.net/stock-research/company/18/20260115_company_573144000.pdf","PDF")</f>
        <v>PDF</v>
      </c>
      <c r="K6130" s="12" t="s">
        <v>9782</v>
      </c>
      <c r="L6130" s="20">
        <v>0.28404669260700388</v>
      </c>
    </row>
    <row r="6131" spans="1:12" x14ac:dyDescent="0.45">
      <c r="A6131" s="12" t="s">
        <v>9762</v>
      </c>
      <c r="B6131" s="12" t="s">
        <v>1712</v>
      </c>
      <c r="C6131" s="13" t="s">
        <v>1713</v>
      </c>
      <c r="D6131" s="13" t="s">
        <v>158</v>
      </c>
      <c r="E6131" s="12" t="s">
        <v>50</v>
      </c>
      <c r="F6131" s="13"/>
      <c r="G6131" s="14">
        <v>15720</v>
      </c>
      <c r="H6131" s="13" t="s">
        <v>9783</v>
      </c>
      <c r="I6131" s="40" t="s">
        <v>18</v>
      </c>
      <c r="J6131" s="40" t="str">
        <f>HYPERLINK("https://stock.pstatic.net/stock-research/company/18/20260115_company_725049000.pdf","PDF")</f>
        <v>PDF</v>
      </c>
      <c r="K6131" s="12" t="s">
        <v>9784</v>
      </c>
    </row>
    <row r="6132" spans="1:12" x14ac:dyDescent="0.45">
      <c r="A6132" s="12" t="s">
        <v>9762</v>
      </c>
      <c r="B6132" s="12" t="s">
        <v>42</v>
      </c>
      <c r="C6132" s="13" t="s">
        <v>43</v>
      </c>
      <c r="D6132" s="13" t="s">
        <v>158</v>
      </c>
      <c r="E6132" s="12" t="s">
        <v>35</v>
      </c>
      <c r="F6132" s="14">
        <v>360000</v>
      </c>
      <c r="G6132" s="14">
        <v>259500</v>
      </c>
      <c r="H6132" s="13" t="s">
        <v>9785</v>
      </c>
      <c r="I6132" s="40" t="s">
        <v>18</v>
      </c>
      <c r="J6132" s="40" t="str">
        <f>HYPERLINK("https://stock.pstatic.net/stock-research/company/18/20260115_company_962311000.pdf","PDF")</f>
        <v>PDF</v>
      </c>
      <c r="K6132" s="12" t="s">
        <v>9786</v>
      </c>
      <c r="L6132" s="20">
        <v>0.38728323699421963</v>
      </c>
    </row>
    <row r="6133" spans="1:12" x14ac:dyDescent="0.45">
      <c r="A6133" s="12" t="s">
        <v>9762</v>
      </c>
      <c r="B6133" s="12" t="s">
        <v>3164</v>
      </c>
      <c r="C6133" s="13" t="s">
        <v>3165</v>
      </c>
      <c r="D6133" s="13" t="s">
        <v>15</v>
      </c>
      <c r="E6133" s="12" t="s">
        <v>16</v>
      </c>
      <c r="F6133" s="14">
        <v>115000</v>
      </c>
      <c r="G6133" s="14">
        <v>94900</v>
      </c>
      <c r="H6133" s="13" t="s">
        <v>9787</v>
      </c>
      <c r="I6133" s="40" t="s">
        <v>18</v>
      </c>
      <c r="J6133" s="40" t="str">
        <f>HYPERLINK("https://stock.pstatic.net/stock-research/company/56/20260115_company_366826000.pdf","PDF")</f>
        <v>PDF</v>
      </c>
      <c r="K6133" s="12" t="s">
        <v>9788</v>
      </c>
      <c r="L6133" s="20">
        <v>0.21180189673340361</v>
      </c>
    </row>
    <row r="6134" spans="1:12" x14ac:dyDescent="0.45">
      <c r="A6134" s="12" t="s">
        <v>9762</v>
      </c>
      <c r="B6134" s="12" t="s">
        <v>95</v>
      </c>
      <c r="C6134" s="13" t="s">
        <v>31</v>
      </c>
      <c r="D6134" s="13" t="s">
        <v>15</v>
      </c>
      <c r="E6134" s="12" t="s">
        <v>16</v>
      </c>
      <c r="F6134" s="14">
        <v>36000</v>
      </c>
      <c r="G6134" s="14">
        <v>25650</v>
      </c>
      <c r="H6134" s="13" t="s">
        <v>9789</v>
      </c>
      <c r="I6134" s="40" t="s">
        <v>18</v>
      </c>
      <c r="J6134" s="40" t="str">
        <f>HYPERLINK("https://stock.pstatic.net/stock-research/company/56/20260115_company_77210000.pdf","PDF")</f>
        <v>PDF</v>
      </c>
      <c r="K6134" s="12" t="s">
        <v>9790</v>
      </c>
      <c r="L6134" s="20">
        <v>0.40350877192982448</v>
      </c>
    </row>
    <row r="6135" spans="1:12" x14ac:dyDescent="0.45">
      <c r="A6135" s="12" t="s">
        <v>9762</v>
      </c>
      <c r="B6135" s="12" t="s">
        <v>3204</v>
      </c>
      <c r="C6135" s="13" t="s">
        <v>3205</v>
      </c>
      <c r="D6135" s="13" t="s">
        <v>15</v>
      </c>
      <c r="E6135" s="12" t="s">
        <v>16</v>
      </c>
      <c r="F6135" s="14">
        <v>5400</v>
      </c>
      <c r="G6135" s="14">
        <v>3940</v>
      </c>
      <c r="H6135" s="13" t="s">
        <v>9791</v>
      </c>
      <c r="I6135" s="40" t="s">
        <v>18</v>
      </c>
      <c r="J6135" s="40" t="str">
        <f>HYPERLINK("https://stock.pstatic.net/stock-research/company/56/20260115_company_849321000.pdf","PDF")</f>
        <v>PDF</v>
      </c>
      <c r="K6135" s="12" t="s">
        <v>9792</v>
      </c>
      <c r="L6135" s="20">
        <v>0.37055837563451782</v>
      </c>
    </row>
    <row r="6136" spans="1:12" x14ac:dyDescent="0.45">
      <c r="A6136" s="12" t="s">
        <v>9762</v>
      </c>
      <c r="B6136" s="12" t="s">
        <v>2982</v>
      </c>
      <c r="C6136" s="13" t="s">
        <v>2983</v>
      </c>
      <c r="D6136" s="13" t="s">
        <v>15</v>
      </c>
      <c r="E6136" s="12" t="s">
        <v>16</v>
      </c>
      <c r="F6136" s="14">
        <v>51000</v>
      </c>
      <c r="G6136" s="14">
        <v>41300</v>
      </c>
      <c r="H6136" s="13" t="s">
        <v>9793</v>
      </c>
      <c r="I6136" s="40" t="s">
        <v>18</v>
      </c>
      <c r="J6136" s="40" t="str">
        <f>HYPERLINK("https://stock.pstatic.net/stock-research/company/56/20260115_company_30501000.pdf","PDF")</f>
        <v>PDF</v>
      </c>
      <c r="K6136" s="12" t="s">
        <v>9794</v>
      </c>
      <c r="L6136" s="20">
        <v>0.23486682808716711</v>
      </c>
    </row>
    <row r="6137" spans="1:12" x14ac:dyDescent="0.45">
      <c r="A6137" s="12" t="s">
        <v>9762</v>
      </c>
      <c r="B6137" s="12" t="s">
        <v>2956</v>
      </c>
      <c r="C6137" s="13" t="s">
        <v>2957</v>
      </c>
      <c r="D6137" s="13" t="s">
        <v>15</v>
      </c>
      <c r="E6137" s="12" t="s">
        <v>385</v>
      </c>
      <c r="F6137" s="14">
        <v>22000</v>
      </c>
      <c r="G6137" s="14">
        <v>19020</v>
      </c>
      <c r="H6137" s="13" t="s">
        <v>9795</v>
      </c>
      <c r="I6137" s="40" t="s">
        <v>18</v>
      </c>
      <c r="J6137" s="40" t="str">
        <f>HYPERLINK("https://stock.pstatic.net/stock-research/company/56/20260115_company_127324000.pdf","PDF")</f>
        <v>PDF</v>
      </c>
      <c r="K6137" s="12" t="s">
        <v>9796</v>
      </c>
      <c r="L6137" s="20">
        <v>0.156677181913775</v>
      </c>
    </row>
    <row r="6138" spans="1:12" x14ac:dyDescent="0.45">
      <c r="A6138" s="12" t="s">
        <v>9762</v>
      </c>
      <c r="B6138" s="12" t="s">
        <v>2982</v>
      </c>
      <c r="C6138" s="13" t="s">
        <v>2983</v>
      </c>
      <c r="D6138" s="13" t="s">
        <v>53</v>
      </c>
      <c r="E6138" s="12" t="s">
        <v>16</v>
      </c>
      <c r="F6138" s="14">
        <v>58000</v>
      </c>
      <c r="G6138" s="14">
        <v>41300</v>
      </c>
      <c r="H6138" s="13" t="s">
        <v>9797</v>
      </c>
      <c r="I6138" s="40" t="s">
        <v>18</v>
      </c>
      <c r="J6138" s="40" t="str">
        <f>HYPERLINK("https://stock.pstatic.net/stock-research/company/40/20260115_company_813469000.pdf","PDF")</f>
        <v>PDF</v>
      </c>
      <c r="K6138" s="12" t="s">
        <v>9798</v>
      </c>
      <c r="L6138" s="20">
        <v>0.40435835351089588</v>
      </c>
    </row>
    <row r="6139" spans="1:12" x14ac:dyDescent="0.45">
      <c r="A6139" s="12" t="s">
        <v>9762</v>
      </c>
      <c r="B6139" s="12" t="s">
        <v>842</v>
      </c>
      <c r="C6139" s="13" t="s">
        <v>843</v>
      </c>
      <c r="D6139" s="13" t="s">
        <v>53</v>
      </c>
      <c r="E6139" s="12" t="s">
        <v>16</v>
      </c>
      <c r="F6139" s="14">
        <v>35000</v>
      </c>
      <c r="G6139" s="14">
        <v>27800</v>
      </c>
      <c r="H6139" s="13" t="s">
        <v>9799</v>
      </c>
      <c r="I6139" s="40" t="s">
        <v>18</v>
      </c>
      <c r="J6139" s="40" t="str">
        <f>HYPERLINK("https://stock.pstatic.net/stock-research/company/40/20260115_company_853811000.pdf","PDF")</f>
        <v>PDF</v>
      </c>
      <c r="K6139" s="12" t="s">
        <v>9800</v>
      </c>
      <c r="L6139" s="20">
        <v>0.25899280575539568</v>
      </c>
    </row>
    <row r="6140" spans="1:12" x14ac:dyDescent="0.45">
      <c r="A6140" s="12" t="s">
        <v>9762</v>
      </c>
      <c r="B6140" s="12" t="s">
        <v>95</v>
      </c>
      <c r="C6140" s="13" t="s">
        <v>31</v>
      </c>
      <c r="D6140" s="13" t="s">
        <v>53</v>
      </c>
      <c r="E6140" s="12" t="s">
        <v>16</v>
      </c>
      <c r="F6140" s="14">
        <v>35000</v>
      </c>
      <c r="G6140" s="14">
        <v>25650</v>
      </c>
      <c r="H6140" s="13" t="s">
        <v>9801</v>
      </c>
      <c r="I6140" s="40" t="s">
        <v>18</v>
      </c>
      <c r="J6140" s="40" t="str">
        <f>HYPERLINK("https://stock.pstatic.net/stock-research/company/40/20260115_company_637824000.pdf","PDF")</f>
        <v>PDF</v>
      </c>
      <c r="K6140" s="12" t="s">
        <v>9802</v>
      </c>
      <c r="L6140" s="20">
        <v>0.36452241715399608</v>
      </c>
    </row>
    <row r="6141" spans="1:12" x14ac:dyDescent="0.45">
      <c r="A6141" s="12" t="s">
        <v>9762</v>
      </c>
      <c r="B6141" s="12" t="s">
        <v>1648</v>
      </c>
      <c r="C6141" s="13" t="s">
        <v>1649</v>
      </c>
      <c r="D6141" s="13" t="s">
        <v>53</v>
      </c>
      <c r="E6141" s="12" t="s">
        <v>16</v>
      </c>
      <c r="F6141" s="14">
        <v>150000</v>
      </c>
      <c r="G6141" s="14">
        <v>112700</v>
      </c>
      <c r="H6141" s="13" t="s">
        <v>9803</v>
      </c>
      <c r="I6141" s="40" t="s">
        <v>18</v>
      </c>
      <c r="J6141" s="40" t="str">
        <f>HYPERLINK("https://stock.pstatic.net/stock-research/company/40/20260115_company_162816000.pdf","PDF")</f>
        <v>PDF</v>
      </c>
      <c r="K6141" s="12" t="s">
        <v>9804</v>
      </c>
      <c r="L6141" s="20">
        <v>0.33096716947648619</v>
      </c>
    </row>
    <row r="6142" spans="1:12" x14ac:dyDescent="0.45">
      <c r="A6142" s="12" t="s">
        <v>9762</v>
      </c>
      <c r="B6142" s="12" t="s">
        <v>1656</v>
      </c>
      <c r="C6142" s="13" t="s">
        <v>1657</v>
      </c>
      <c r="D6142" s="13" t="s">
        <v>83</v>
      </c>
      <c r="E6142" s="12" t="s">
        <v>35</v>
      </c>
      <c r="F6142" s="14">
        <v>320000</v>
      </c>
      <c r="G6142" s="14">
        <v>268500</v>
      </c>
      <c r="H6142" s="13" t="s">
        <v>9805</v>
      </c>
      <c r="I6142" s="40" t="s">
        <v>18</v>
      </c>
      <c r="J6142" s="40" t="str">
        <f>HYPERLINK("https://stock.pstatic.net/stock-research/company/15/20260115_company_277612000.pdf","PDF")</f>
        <v>PDF</v>
      </c>
      <c r="K6142" s="12" t="s">
        <v>9806</v>
      </c>
      <c r="L6142" s="20">
        <v>0.1918063314711359</v>
      </c>
    </row>
    <row r="6143" spans="1:12" x14ac:dyDescent="0.45">
      <c r="A6143" s="12" t="s">
        <v>9762</v>
      </c>
      <c r="B6143" s="12" t="s">
        <v>744</v>
      </c>
      <c r="C6143" s="13" t="s">
        <v>745</v>
      </c>
      <c r="D6143" s="13" t="s">
        <v>83</v>
      </c>
      <c r="E6143" s="12" t="s">
        <v>35</v>
      </c>
      <c r="F6143" s="14">
        <v>36000</v>
      </c>
      <c r="G6143" s="14">
        <v>28350</v>
      </c>
      <c r="H6143" s="13" t="s">
        <v>9558</v>
      </c>
      <c r="I6143" s="40" t="s">
        <v>18</v>
      </c>
      <c r="J6143" s="40" t="str">
        <f>HYPERLINK("https://stock.pstatic.net/stock-research/company/15/20260115_company_727761000.pdf","PDF")</f>
        <v>PDF</v>
      </c>
      <c r="K6143" s="12" t="s">
        <v>9807</v>
      </c>
      <c r="L6143" s="20">
        <v>0.26984126984126983</v>
      </c>
    </row>
    <row r="6144" spans="1:12" x14ac:dyDescent="0.45">
      <c r="A6144" s="12" t="s">
        <v>9762</v>
      </c>
      <c r="B6144" s="12" t="s">
        <v>2650</v>
      </c>
      <c r="C6144" s="13" t="s">
        <v>2651</v>
      </c>
      <c r="D6144" s="13" t="s">
        <v>83</v>
      </c>
      <c r="E6144" s="12" t="s">
        <v>642</v>
      </c>
      <c r="F6144" s="14">
        <v>26000</v>
      </c>
      <c r="G6144" s="14">
        <v>21400</v>
      </c>
      <c r="H6144" s="13" t="s">
        <v>9808</v>
      </c>
      <c r="I6144" s="40" t="s">
        <v>18</v>
      </c>
      <c r="J6144" s="40" t="str">
        <f>HYPERLINK("https://stock.pstatic.net/stock-research/company/15/20260115_company_600808000.pdf","PDF")</f>
        <v>PDF</v>
      </c>
      <c r="K6144" s="12" t="s">
        <v>9809</v>
      </c>
      <c r="L6144" s="20">
        <v>0.21495327102803741</v>
      </c>
    </row>
    <row r="6145" spans="1:12" x14ac:dyDescent="0.45">
      <c r="A6145" s="12" t="s">
        <v>9762</v>
      </c>
      <c r="B6145" s="12" t="s">
        <v>132</v>
      </c>
      <c r="C6145" s="13" t="s">
        <v>133</v>
      </c>
      <c r="D6145" s="13" t="s">
        <v>83</v>
      </c>
      <c r="E6145" s="12" t="s">
        <v>35</v>
      </c>
      <c r="F6145" s="14">
        <v>100000</v>
      </c>
      <c r="G6145" s="14">
        <v>91900</v>
      </c>
      <c r="H6145" s="13" t="s">
        <v>9810</v>
      </c>
      <c r="I6145" s="40" t="s">
        <v>18</v>
      </c>
      <c r="J6145" s="40" t="str">
        <f>HYPERLINK("https://stock.pstatic.net/stock-research/company/15/20260115_company_114080000.pdf","PDF")</f>
        <v>PDF</v>
      </c>
      <c r="K6145" s="12" t="s">
        <v>9811</v>
      </c>
      <c r="L6145" s="20">
        <v>8.8139281828073998E-2</v>
      </c>
    </row>
    <row r="6146" spans="1:12" x14ac:dyDescent="0.45">
      <c r="A6146" s="12" t="s">
        <v>9762</v>
      </c>
      <c r="B6146" s="12" t="s">
        <v>3831</v>
      </c>
      <c r="C6146" s="13" t="s">
        <v>3832</v>
      </c>
      <c r="D6146" s="13" t="s">
        <v>23</v>
      </c>
      <c r="E6146" s="12" t="s">
        <v>16</v>
      </c>
      <c r="F6146" s="14">
        <v>70000</v>
      </c>
      <c r="G6146" s="14">
        <v>62100</v>
      </c>
      <c r="H6146" s="13" t="s">
        <v>9812</v>
      </c>
      <c r="I6146" s="40" t="s">
        <v>18</v>
      </c>
      <c r="J6146" s="40" t="str">
        <f>HYPERLINK("https://stock.pstatic.net/stock-research/company/21/20260115_company_952700000.pdf","PDF")</f>
        <v>PDF</v>
      </c>
      <c r="K6146" s="12" t="s">
        <v>9813</v>
      </c>
      <c r="L6146" s="20">
        <v>0.1272141706924316</v>
      </c>
    </row>
    <row r="6147" spans="1:12" x14ac:dyDescent="0.45">
      <c r="A6147" s="12" t="s">
        <v>9762</v>
      </c>
      <c r="B6147" s="12" t="s">
        <v>9814</v>
      </c>
      <c r="C6147" s="13" t="s">
        <v>9815</v>
      </c>
      <c r="D6147" s="13" t="s">
        <v>78</v>
      </c>
      <c r="E6147" s="12" t="s">
        <v>50</v>
      </c>
      <c r="F6147" s="13"/>
      <c r="G6147" s="13"/>
      <c r="H6147" s="13" t="s">
        <v>9816</v>
      </c>
      <c r="I6147" s="40" t="s">
        <v>18</v>
      </c>
      <c r="J6147" s="40" t="str">
        <f>HYPERLINK("https://m.stock.naver.com/research/company/89182","PDF")</f>
        <v>PDF</v>
      </c>
      <c r="K6147" s="12" t="s">
        <v>9817</v>
      </c>
    </row>
    <row r="6148" spans="1:12" x14ac:dyDescent="0.45">
      <c r="A6148" s="12" t="s">
        <v>9762</v>
      </c>
      <c r="B6148" s="12" t="s">
        <v>585</v>
      </c>
      <c r="C6148" s="13" t="s">
        <v>586</v>
      </c>
      <c r="D6148" s="13" t="s">
        <v>23</v>
      </c>
      <c r="E6148" s="12" t="s">
        <v>16</v>
      </c>
      <c r="F6148" s="14">
        <v>70000</v>
      </c>
      <c r="G6148" s="14">
        <v>55900</v>
      </c>
      <c r="H6148" s="13" t="s">
        <v>9818</v>
      </c>
      <c r="I6148" s="40" t="s">
        <v>18</v>
      </c>
      <c r="J6148" s="40" t="str">
        <f>HYPERLINK("https://stock.pstatic.net/stock-research/company/21/20260115_company_660683000.pdf","PDF")</f>
        <v>PDF</v>
      </c>
      <c r="K6148" s="12" t="s">
        <v>9819</v>
      </c>
      <c r="L6148" s="20">
        <v>0.25223613595706618</v>
      </c>
    </row>
    <row r="6149" spans="1:12" x14ac:dyDescent="0.45">
      <c r="A6149" s="12" t="s">
        <v>9762</v>
      </c>
      <c r="B6149" s="12" t="s">
        <v>519</v>
      </c>
      <c r="C6149" s="13" t="s">
        <v>520</v>
      </c>
      <c r="D6149" s="13" t="s">
        <v>179</v>
      </c>
      <c r="E6149" s="12" t="s">
        <v>16</v>
      </c>
      <c r="F6149" s="14">
        <v>550000</v>
      </c>
      <c r="G6149" s="14">
        <v>411500</v>
      </c>
      <c r="H6149" s="13" t="s">
        <v>9820</v>
      </c>
      <c r="I6149" s="40" t="s">
        <v>18</v>
      </c>
      <c r="J6149" s="40" t="str">
        <f>HYPERLINK("https://stock.pstatic.net/stock-research/company/64/20260115_company_499270000.pdf","PDF")</f>
        <v>PDF</v>
      </c>
      <c r="K6149" s="12" t="s">
        <v>9821</v>
      </c>
      <c r="L6149" s="20">
        <v>0.33657351154313492</v>
      </c>
    </row>
    <row r="6150" spans="1:12" x14ac:dyDescent="0.45">
      <c r="A6150" s="12" t="s">
        <v>9762</v>
      </c>
      <c r="B6150" s="12" t="s">
        <v>3204</v>
      </c>
      <c r="C6150" s="13" t="s">
        <v>3205</v>
      </c>
      <c r="D6150" s="13" t="s">
        <v>23</v>
      </c>
      <c r="E6150" s="12" t="s">
        <v>16</v>
      </c>
      <c r="F6150" s="14">
        <v>4500</v>
      </c>
      <c r="G6150" s="14">
        <v>3940</v>
      </c>
      <c r="H6150" s="13" t="s">
        <v>9822</v>
      </c>
      <c r="I6150" s="40" t="s">
        <v>18</v>
      </c>
      <c r="J6150" s="40" t="str">
        <f>HYPERLINK("https://stock.pstatic.net/stock-research/company/21/20260115_company_655364000.pdf","PDF")</f>
        <v>PDF</v>
      </c>
      <c r="K6150" s="12" t="s">
        <v>9823</v>
      </c>
      <c r="L6150" s="20">
        <v>0.14213197969543151</v>
      </c>
    </row>
    <row r="6151" spans="1:12" x14ac:dyDescent="0.45">
      <c r="A6151" s="12" t="s">
        <v>9762</v>
      </c>
      <c r="B6151" s="12" t="s">
        <v>42</v>
      </c>
      <c r="C6151" s="13" t="s">
        <v>43</v>
      </c>
      <c r="D6151" s="13" t="s">
        <v>179</v>
      </c>
      <c r="E6151" s="12" t="s">
        <v>16</v>
      </c>
      <c r="F6151" s="14">
        <v>360000</v>
      </c>
      <c r="G6151" s="14">
        <v>259500</v>
      </c>
      <c r="H6151" s="13" t="s">
        <v>9824</v>
      </c>
      <c r="I6151" s="40" t="s">
        <v>18</v>
      </c>
      <c r="J6151" s="40" t="str">
        <f>HYPERLINK("https://stock.pstatic.net/stock-research/company/64/20260115_company_249841000.pdf","PDF")</f>
        <v>PDF</v>
      </c>
      <c r="K6151" s="12" t="s">
        <v>9825</v>
      </c>
      <c r="L6151" s="20">
        <v>0.38728323699421963</v>
      </c>
    </row>
    <row r="6152" spans="1:12" x14ac:dyDescent="0.45">
      <c r="A6152" s="12" t="s">
        <v>9762</v>
      </c>
      <c r="B6152" s="12" t="s">
        <v>9826</v>
      </c>
      <c r="C6152" s="13" t="s">
        <v>9827</v>
      </c>
      <c r="D6152" s="13" t="s">
        <v>53</v>
      </c>
      <c r="E6152" s="12" t="s">
        <v>16</v>
      </c>
      <c r="F6152" s="14">
        <v>28000</v>
      </c>
      <c r="G6152" s="14">
        <v>10380</v>
      </c>
      <c r="H6152" s="13" t="s">
        <v>9828</v>
      </c>
      <c r="I6152" s="40" t="s">
        <v>18</v>
      </c>
      <c r="J6152" s="40" t="str">
        <f>HYPERLINK("https://stock.pstatic.net/stock-research/company/40/20260115_company_909191000.pdf","PDF")</f>
        <v>PDF</v>
      </c>
      <c r="K6152" s="12" t="s">
        <v>9829</v>
      </c>
      <c r="L6152" s="20">
        <v>1.6974951830443159</v>
      </c>
    </row>
    <row r="6153" spans="1:12" x14ac:dyDescent="0.45">
      <c r="A6153" s="12" t="s">
        <v>9762</v>
      </c>
      <c r="B6153" s="12" t="s">
        <v>370</v>
      </c>
      <c r="C6153" s="13" t="s">
        <v>371</v>
      </c>
      <c r="D6153" s="13" t="s">
        <v>53</v>
      </c>
      <c r="E6153" s="12" t="s">
        <v>16</v>
      </c>
      <c r="F6153" s="14">
        <v>100000</v>
      </c>
      <c r="G6153" s="14">
        <v>67000</v>
      </c>
      <c r="H6153" s="13" t="s">
        <v>9830</v>
      </c>
      <c r="I6153" s="40" t="s">
        <v>18</v>
      </c>
      <c r="J6153" s="40" t="str">
        <f>HYPERLINK("https://stock.pstatic.net/stock-research/company/40/20260115_company_40161000.pdf","PDF")</f>
        <v>PDF</v>
      </c>
      <c r="K6153" s="12" t="s">
        <v>9831</v>
      </c>
      <c r="L6153" s="20">
        <v>0.4925373134328358</v>
      </c>
    </row>
    <row r="6154" spans="1:12" x14ac:dyDescent="0.45">
      <c r="A6154" s="12" t="s">
        <v>9762</v>
      </c>
      <c r="B6154" s="12" t="s">
        <v>916</v>
      </c>
      <c r="C6154" s="13" t="s">
        <v>917</v>
      </c>
      <c r="D6154" s="13" t="s">
        <v>179</v>
      </c>
      <c r="E6154" s="12" t="s">
        <v>16</v>
      </c>
      <c r="F6154" s="14">
        <v>87000</v>
      </c>
      <c r="G6154" s="14">
        <v>58800</v>
      </c>
      <c r="H6154" s="13" t="s">
        <v>9832</v>
      </c>
      <c r="I6154" s="40" t="s">
        <v>18</v>
      </c>
      <c r="J6154" s="40" t="str">
        <f>HYPERLINK("https://stock.pstatic.net/stock-research/company/64/20260115_company_87508000.pdf","PDF")</f>
        <v>PDF</v>
      </c>
      <c r="K6154" s="12" t="s">
        <v>9833</v>
      </c>
      <c r="L6154" s="20">
        <v>0.47959183673469391</v>
      </c>
    </row>
    <row r="6155" spans="1:12" x14ac:dyDescent="0.45">
      <c r="A6155" s="12" t="s">
        <v>9762</v>
      </c>
      <c r="B6155" s="12" t="s">
        <v>537</v>
      </c>
      <c r="C6155" s="13" t="s">
        <v>538</v>
      </c>
      <c r="D6155" s="13" t="s">
        <v>53</v>
      </c>
      <c r="E6155" s="12" t="s">
        <v>16</v>
      </c>
      <c r="F6155" s="14">
        <v>19000</v>
      </c>
      <c r="G6155" s="14">
        <v>14990</v>
      </c>
      <c r="H6155" s="13" t="s">
        <v>9834</v>
      </c>
      <c r="I6155" s="40" t="s">
        <v>18</v>
      </c>
      <c r="J6155" s="40" t="str">
        <f>HYPERLINK("https://stock.pstatic.net/stock-research/company/40/20260115_company_199884000.pdf","PDF")</f>
        <v>PDF</v>
      </c>
      <c r="K6155" s="12" t="s">
        <v>9835</v>
      </c>
      <c r="L6155" s="20">
        <v>0.26751167444963309</v>
      </c>
    </row>
    <row r="6156" spans="1:12" x14ac:dyDescent="0.45">
      <c r="A6156" s="12" t="s">
        <v>9762</v>
      </c>
      <c r="B6156" s="12" t="s">
        <v>1666</v>
      </c>
      <c r="C6156" s="13" t="s">
        <v>1667</v>
      </c>
      <c r="D6156" s="13" t="s">
        <v>23</v>
      </c>
      <c r="E6156" s="12" t="s">
        <v>16</v>
      </c>
      <c r="F6156" s="14">
        <v>85000</v>
      </c>
      <c r="G6156" s="14">
        <v>51200</v>
      </c>
      <c r="H6156" s="13" t="s">
        <v>9836</v>
      </c>
      <c r="I6156" s="40" t="s">
        <v>18</v>
      </c>
      <c r="J6156" s="40" t="str">
        <f>HYPERLINK("https://stock.pstatic.net/stock-research/company/21/20260115_company_651162000.pdf","PDF")</f>
        <v>PDF</v>
      </c>
      <c r="K6156" s="12" t="s">
        <v>9837</v>
      </c>
      <c r="L6156" s="20">
        <v>0.66015625</v>
      </c>
    </row>
    <row r="6157" spans="1:12" x14ac:dyDescent="0.45">
      <c r="A6157" s="12" t="s">
        <v>9762</v>
      </c>
      <c r="B6157" s="12" t="s">
        <v>1682</v>
      </c>
      <c r="C6157" s="13" t="s">
        <v>4787</v>
      </c>
      <c r="D6157" s="13" t="s">
        <v>23</v>
      </c>
      <c r="E6157" s="12" t="s">
        <v>385</v>
      </c>
      <c r="F6157" s="13"/>
      <c r="G6157" s="14">
        <v>247500</v>
      </c>
      <c r="H6157" s="13" t="s">
        <v>9838</v>
      </c>
      <c r="I6157" s="40" t="s">
        <v>18</v>
      </c>
      <c r="J6157" s="40" t="str">
        <f>HYPERLINK("https://stock.pstatic.net/stock-research/company/21/20260115_company_639642000.pdf","PDF")</f>
        <v>PDF</v>
      </c>
      <c r="K6157" s="12" t="s">
        <v>9839</v>
      </c>
    </row>
    <row r="6158" spans="1:12" x14ac:dyDescent="0.45">
      <c r="A6158" s="12" t="s">
        <v>9762</v>
      </c>
      <c r="B6158" s="12" t="s">
        <v>888</v>
      </c>
      <c r="C6158" s="13" t="s">
        <v>889</v>
      </c>
      <c r="D6158" s="13" t="s">
        <v>23</v>
      </c>
      <c r="E6158" s="12" t="s">
        <v>16</v>
      </c>
      <c r="F6158" s="14">
        <v>70000</v>
      </c>
      <c r="G6158" s="14">
        <v>52600</v>
      </c>
      <c r="H6158" s="13" t="s">
        <v>9840</v>
      </c>
      <c r="I6158" s="40" t="s">
        <v>18</v>
      </c>
      <c r="J6158" s="40" t="str">
        <f>HYPERLINK("https://stock.pstatic.net/stock-research/company/21/20260115_company_579474000.pdf","PDF")</f>
        <v>PDF</v>
      </c>
      <c r="K6158" s="12" t="s">
        <v>9841</v>
      </c>
      <c r="L6158" s="20">
        <v>0.33079847908745252</v>
      </c>
    </row>
    <row r="6159" spans="1:12" x14ac:dyDescent="0.45">
      <c r="A6159" s="12" t="s">
        <v>9762</v>
      </c>
      <c r="B6159" s="12" t="s">
        <v>3204</v>
      </c>
      <c r="C6159" s="13" t="s">
        <v>3205</v>
      </c>
      <c r="D6159" s="13" t="s">
        <v>44</v>
      </c>
      <c r="E6159" s="12" t="s">
        <v>35</v>
      </c>
      <c r="F6159" s="14">
        <v>5000</v>
      </c>
      <c r="G6159" s="14">
        <v>3940</v>
      </c>
      <c r="H6159" s="13" t="s">
        <v>9842</v>
      </c>
      <c r="I6159" s="40" t="s">
        <v>18</v>
      </c>
      <c r="J6159" s="40" t="str">
        <f>HYPERLINK("https://stock.pstatic.net/stock-research/company/39/20260115_company_45789000.pdf","PDF")</f>
        <v>PDF</v>
      </c>
      <c r="K6159" s="12" t="s">
        <v>9843</v>
      </c>
      <c r="L6159" s="20">
        <v>0.26903553299492378</v>
      </c>
    </row>
    <row r="6160" spans="1:12" x14ac:dyDescent="0.45">
      <c r="A6160" s="12" t="s">
        <v>9762</v>
      </c>
      <c r="B6160" s="12" t="s">
        <v>2488</v>
      </c>
      <c r="C6160" s="13" t="s">
        <v>2489</v>
      </c>
      <c r="D6160" s="13" t="s">
        <v>179</v>
      </c>
      <c r="E6160" s="12" t="s">
        <v>16</v>
      </c>
      <c r="F6160" s="14">
        <v>120000</v>
      </c>
      <c r="G6160" s="14">
        <v>92600</v>
      </c>
      <c r="H6160" s="13" t="s">
        <v>9844</v>
      </c>
      <c r="I6160" s="40" t="s">
        <v>18</v>
      </c>
      <c r="J6160" s="40" t="str">
        <f>HYPERLINK("https://stock.pstatic.net/stock-research/company/64/20260115_company_849902000.pdf","PDF")</f>
        <v>PDF</v>
      </c>
      <c r="K6160" s="12" t="s">
        <v>9845</v>
      </c>
      <c r="L6160" s="20">
        <v>0.29589632829373652</v>
      </c>
    </row>
    <row r="6161" spans="1:12" x14ac:dyDescent="0.45">
      <c r="A6161" s="12" t="s">
        <v>9762</v>
      </c>
      <c r="B6161" s="12" t="s">
        <v>3164</v>
      </c>
      <c r="C6161" s="13" t="s">
        <v>3165</v>
      </c>
      <c r="D6161" s="13" t="s">
        <v>44</v>
      </c>
      <c r="E6161" s="12" t="s">
        <v>35</v>
      </c>
      <c r="F6161" s="14">
        <v>116000</v>
      </c>
      <c r="G6161" s="14">
        <v>94900</v>
      </c>
      <c r="H6161" s="13" t="s">
        <v>9846</v>
      </c>
      <c r="I6161" s="40" t="s">
        <v>18</v>
      </c>
      <c r="J6161" s="40" t="str">
        <f>HYPERLINK("https://stock.pstatic.net/stock-research/company/39/20260115_company_950611000.pdf","PDF")</f>
        <v>PDF</v>
      </c>
      <c r="K6161" s="12" t="s">
        <v>9847</v>
      </c>
      <c r="L6161" s="20">
        <v>0.22233930453108541</v>
      </c>
    </row>
    <row r="6162" spans="1:12" x14ac:dyDescent="0.45">
      <c r="A6162" s="12" t="s">
        <v>9762</v>
      </c>
      <c r="B6162" s="12" t="s">
        <v>6638</v>
      </c>
      <c r="C6162" s="13" t="s">
        <v>6639</v>
      </c>
      <c r="D6162" s="13" t="s">
        <v>44</v>
      </c>
      <c r="E6162" s="12" t="s">
        <v>50</v>
      </c>
      <c r="F6162" s="13"/>
      <c r="G6162" s="14">
        <v>24250</v>
      </c>
      <c r="H6162" s="13" t="s">
        <v>9848</v>
      </c>
      <c r="I6162" s="40" t="s">
        <v>18</v>
      </c>
      <c r="J6162" s="40" t="str">
        <f>HYPERLINK("https://stock.pstatic.net/stock-research/company/39/20260115_company_6435000.pdf","PDF")</f>
        <v>PDF</v>
      </c>
      <c r="K6162" s="12" t="s">
        <v>9849</v>
      </c>
    </row>
    <row r="6163" spans="1:12" x14ac:dyDescent="0.45">
      <c r="A6163" s="12" t="s">
        <v>9762</v>
      </c>
      <c r="B6163" s="12" t="s">
        <v>1190</v>
      </c>
      <c r="C6163" s="13" t="s">
        <v>1191</v>
      </c>
      <c r="D6163" s="13" t="s">
        <v>179</v>
      </c>
      <c r="E6163" s="12" t="s">
        <v>50</v>
      </c>
      <c r="F6163" s="13"/>
      <c r="G6163" s="14">
        <v>128500</v>
      </c>
      <c r="H6163" s="13" t="s">
        <v>9850</v>
      </c>
      <c r="I6163" s="40" t="s">
        <v>18</v>
      </c>
      <c r="J6163" s="40" t="str">
        <f>HYPERLINK("https://stock.pstatic.net/stock-research/company/64/20260115_company_633232000.pdf","PDF")</f>
        <v>PDF</v>
      </c>
      <c r="K6163" s="12" t="s">
        <v>9851</v>
      </c>
    </row>
    <row r="6164" spans="1:12" x14ac:dyDescent="0.45">
      <c r="A6164" s="12" t="s">
        <v>9762</v>
      </c>
      <c r="B6164" s="12" t="s">
        <v>545</v>
      </c>
      <c r="C6164" s="13" t="s">
        <v>546</v>
      </c>
      <c r="D6164" s="13" t="s">
        <v>44</v>
      </c>
      <c r="E6164" s="12" t="s">
        <v>35</v>
      </c>
      <c r="F6164" s="14">
        <v>380000</v>
      </c>
      <c r="G6164" s="14">
        <v>283000</v>
      </c>
      <c r="H6164" s="13" t="s">
        <v>9852</v>
      </c>
      <c r="I6164" s="40" t="s">
        <v>18</v>
      </c>
      <c r="J6164" s="40" t="str">
        <f>HYPERLINK("https://stock.pstatic.net/stock-research/company/39/20260115_company_923882000.pdf","PDF")</f>
        <v>PDF</v>
      </c>
      <c r="K6164" s="12" t="s">
        <v>9853</v>
      </c>
      <c r="L6164" s="20">
        <v>0.34275618374558298</v>
      </c>
    </row>
    <row r="6165" spans="1:12" x14ac:dyDescent="0.45">
      <c r="A6165" s="12" t="s">
        <v>9762</v>
      </c>
      <c r="B6165" s="12" t="s">
        <v>255</v>
      </c>
      <c r="C6165" s="13" t="s">
        <v>256</v>
      </c>
      <c r="D6165" s="13" t="s">
        <v>44</v>
      </c>
      <c r="E6165" s="12" t="s">
        <v>35</v>
      </c>
      <c r="F6165" s="14">
        <v>28000</v>
      </c>
      <c r="G6165" s="14">
        <v>23200</v>
      </c>
      <c r="H6165" s="13" t="s">
        <v>9854</v>
      </c>
      <c r="I6165" s="40" t="s">
        <v>18</v>
      </c>
      <c r="J6165" s="40" t="str">
        <f>HYPERLINK("https://stock.pstatic.net/stock-research/company/39/20260115_company_228652000.pdf","PDF")</f>
        <v>PDF</v>
      </c>
      <c r="K6165" s="12" t="s">
        <v>9855</v>
      </c>
      <c r="L6165" s="20">
        <v>0.2068965517241379</v>
      </c>
    </row>
    <row r="6166" spans="1:12" x14ac:dyDescent="0.45">
      <c r="A6166" s="12" t="s">
        <v>9762</v>
      </c>
      <c r="B6166" s="12" t="s">
        <v>9856</v>
      </c>
      <c r="C6166" s="13" t="s">
        <v>9857</v>
      </c>
      <c r="D6166" s="13" t="s">
        <v>124</v>
      </c>
      <c r="E6166" s="12" t="s">
        <v>50</v>
      </c>
      <c r="F6166" s="13"/>
      <c r="G6166" s="13"/>
      <c r="H6166" s="13" t="s">
        <v>9858</v>
      </c>
      <c r="I6166" s="40" t="s">
        <v>18</v>
      </c>
      <c r="J6166" s="40" t="str">
        <f>HYPERLINK("https://stock.pstatic.net/stock-research/company/74/20260122_company_183297000.pdf","PDF")</f>
        <v>PDF</v>
      </c>
      <c r="K6166" s="12" t="s">
        <v>9859</v>
      </c>
    </row>
    <row r="6167" spans="1:12" x14ac:dyDescent="0.45">
      <c r="A6167" s="12" t="s">
        <v>9762</v>
      </c>
      <c r="B6167" s="12" t="s">
        <v>3105</v>
      </c>
      <c r="C6167" s="13" t="s">
        <v>3106</v>
      </c>
      <c r="D6167" s="13" t="s">
        <v>44</v>
      </c>
      <c r="E6167" s="12" t="s">
        <v>35</v>
      </c>
      <c r="F6167" s="14">
        <v>450000</v>
      </c>
      <c r="G6167" s="14">
        <v>331000</v>
      </c>
      <c r="H6167" s="13" t="s">
        <v>9860</v>
      </c>
      <c r="I6167" s="40" t="s">
        <v>18</v>
      </c>
      <c r="J6167" s="40" t="str">
        <f>HYPERLINK("https://stock.pstatic.net/stock-research/company/39/20260115_company_383574000.pdf","PDF")</f>
        <v>PDF</v>
      </c>
      <c r="K6167" s="12" t="s">
        <v>9861</v>
      </c>
      <c r="L6167" s="20">
        <v>0.3595166163141994</v>
      </c>
    </row>
    <row r="6168" spans="1:12" x14ac:dyDescent="0.45">
      <c r="A6168" s="12" t="s">
        <v>9762</v>
      </c>
      <c r="B6168" s="12" t="s">
        <v>1918</v>
      </c>
      <c r="C6168" s="13" t="s">
        <v>1919</v>
      </c>
      <c r="D6168" s="13" t="s">
        <v>53</v>
      </c>
      <c r="E6168" s="12" t="s">
        <v>16</v>
      </c>
      <c r="F6168" s="14">
        <v>6250</v>
      </c>
      <c r="G6168" s="14">
        <v>4215</v>
      </c>
      <c r="H6168" s="13" t="s">
        <v>9862</v>
      </c>
      <c r="I6168" s="40" t="s">
        <v>18</v>
      </c>
      <c r="J6168" s="40" t="str">
        <f>HYPERLINK("https://stock.pstatic.net/stock-research/company/40/20260115_company_719744000.pdf","PDF")</f>
        <v>PDF</v>
      </c>
      <c r="K6168" s="12" t="s">
        <v>9863</v>
      </c>
      <c r="L6168" s="20">
        <v>0.48279952550415178</v>
      </c>
    </row>
    <row r="6169" spans="1:12" x14ac:dyDescent="0.45">
      <c r="A6169" s="12" t="s">
        <v>9864</v>
      </c>
      <c r="B6169" s="12" t="s">
        <v>1648</v>
      </c>
      <c r="C6169" s="13" t="s">
        <v>1649</v>
      </c>
      <c r="D6169" s="13" t="s">
        <v>57</v>
      </c>
      <c r="E6169" s="12" t="s">
        <v>35</v>
      </c>
      <c r="F6169" s="14">
        <v>150000</v>
      </c>
      <c r="G6169" s="14">
        <v>113900</v>
      </c>
      <c r="H6169" s="13" t="s">
        <v>9865</v>
      </c>
      <c r="I6169" s="40" t="s">
        <v>18</v>
      </c>
      <c r="J6169" s="40" t="str">
        <f>HYPERLINK("https://stock.pstatic.net/stock-research/company/16/20260114_company_451719000.pdf","PDF")</f>
        <v>PDF</v>
      </c>
      <c r="K6169" s="12" t="s">
        <v>9866</v>
      </c>
      <c r="L6169" s="20">
        <v>0.31694468832309042</v>
      </c>
    </row>
    <row r="6170" spans="1:12" x14ac:dyDescent="0.45">
      <c r="A6170" s="12" t="s">
        <v>9864</v>
      </c>
      <c r="B6170" s="12" t="s">
        <v>2365</v>
      </c>
      <c r="C6170" s="13" t="s">
        <v>2366</v>
      </c>
      <c r="D6170" s="13" t="s">
        <v>57</v>
      </c>
      <c r="E6170" s="12" t="s">
        <v>35</v>
      </c>
      <c r="F6170" s="14">
        <v>180000</v>
      </c>
      <c r="G6170" s="14">
        <v>117300</v>
      </c>
      <c r="H6170" s="13" t="s">
        <v>9867</v>
      </c>
      <c r="I6170" s="40" t="s">
        <v>18</v>
      </c>
      <c r="J6170" s="40" t="str">
        <f>HYPERLINK("https://stock.pstatic.net/stock-research/company/16/20260114_company_713953000.pdf","PDF")</f>
        <v>PDF</v>
      </c>
      <c r="K6170" s="12" t="s">
        <v>9868</v>
      </c>
      <c r="L6170" s="20">
        <v>0.53452685421994883</v>
      </c>
    </row>
    <row r="6171" spans="1:12" x14ac:dyDescent="0.45">
      <c r="A6171" s="12" t="s">
        <v>9864</v>
      </c>
      <c r="B6171" s="12" t="s">
        <v>3101</v>
      </c>
      <c r="C6171" s="13" t="s">
        <v>3102</v>
      </c>
      <c r="D6171" s="13" t="s">
        <v>57</v>
      </c>
      <c r="E6171" s="12" t="s">
        <v>159</v>
      </c>
      <c r="F6171" s="14">
        <v>140000</v>
      </c>
      <c r="G6171" s="14">
        <v>155700</v>
      </c>
      <c r="H6171" s="13" t="s">
        <v>9869</v>
      </c>
      <c r="I6171" s="40" t="s">
        <v>18</v>
      </c>
      <c r="J6171" s="40" t="str">
        <f>HYPERLINK("https://stock.pstatic.net/stock-research/company/16/20260114_company_345244000.pdf","PDF")</f>
        <v>PDF</v>
      </c>
      <c r="K6171" s="12" t="s">
        <v>9870</v>
      </c>
      <c r="L6171" s="20">
        <v>-0.100834938985228</v>
      </c>
    </row>
    <row r="6172" spans="1:12" x14ac:dyDescent="0.45">
      <c r="A6172" s="12" t="s">
        <v>9864</v>
      </c>
      <c r="B6172" s="12" t="s">
        <v>398</v>
      </c>
      <c r="C6172" s="13" t="s">
        <v>399</v>
      </c>
      <c r="D6172" s="13" t="s">
        <v>57</v>
      </c>
      <c r="E6172" s="12" t="s">
        <v>159</v>
      </c>
      <c r="F6172" s="14">
        <v>180000</v>
      </c>
      <c r="G6172" s="14">
        <v>196000</v>
      </c>
      <c r="H6172" s="13" t="s">
        <v>9871</v>
      </c>
      <c r="I6172" s="40" t="s">
        <v>18</v>
      </c>
      <c r="J6172" s="40" t="str">
        <f>HYPERLINK("https://stock.pstatic.net/stock-research/company/16/20260114_company_24659000.pdf","PDF")</f>
        <v>PDF</v>
      </c>
      <c r="K6172" s="12" t="s">
        <v>9872</v>
      </c>
      <c r="L6172" s="20">
        <v>-8.1632653061224483E-2</v>
      </c>
    </row>
    <row r="6173" spans="1:12" x14ac:dyDescent="0.45">
      <c r="A6173" s="12" t="s">
        <v>9864</v>
      </c>
      <c r="B6173" s="12" t="s">
        <v>1930</v>
      </c>
      <c r="C6173" s="13" t="s">
        <v>1931</v>
      </c>
      <c r="D6173" s="13" t="s">
        <v>57</v>
      </c>
      <c r="E6173" s="12" t="s">
        <v>159</v>
      </c>
      <c r="F6173" s="14">
        <v>210000</v>
      </c>
      <c r="G6173" s="14">
        <v>212000</v>
      </c>
      <c r="H6173" s="13" t="s">
        <v>9873</v>
      </c>
      <c r="I6173" s="40" t="s">
        <v>18</v>
      </c>
      <c r="J6173" s="40" t="str">
        <f>HYPERLINK("https://stock.pstatic.net/stock-research/company/16/20260114_company_113682000.pdf","PDF")</f>
        <v>PDF</v>
      </c>
      <c r="K6173" s="12" t="s">
        <v>9874</v>
      </c>
      <c r="L6173" s="20">
        <v>-9.433962264150943E-3</v>
      </c>
    </row>
    <row r="6174" spans="1:12" x14ac:dyDescent="0.45">
      <c r="A6174" s="12" t="s">
        <v>9864</v>
      </c>
      <c r="B6174" s="12" t="s">
        <v>2425</v>
      </c>
      <c r="C6174" s="13" t="s">
        <v>2426</v>
      </c>
      <c r="D6174" s="13" t="s">
        <v>57</v>
      </c>
      <c r="E6174" s="12" t="s">
        <v>35</v>
      </c>
      <c r="F6174" s="14">
        <v>180000</v>
      </c>
      <c r="G6174" s="14">
        <v>142300</v>
      </c>
      <c r="H6174" s="13" t="s">
        <v>9875</v>
      </c>
      <c r="I6174" s="40" t="s">
        <v>18</v>
      </c>
      <c r="J6174" s="40" t="str">
        <f>HYPERLINK("https://stock.pstatic.net/stock-research/company/16/20260114_company_479896000.pdf","PDF")</f>
        <v>PDF</v>
      </c>
      <c r="K6174" s="12" t="s">
        <v>9876</v>
      </c>
      <c r="L6174" s="20">
        <v>0.26493323963457482</v>
      </c>
    </row>
    <row r="6175" spans="1:12" x14ac:dyDescent="0.45">
      <c r="A6175" s="12" t="s">
        <v>9864</v>
      </c>
      <c r="B6175" s="12" t="s">
        <v>259</v>
      </c>
      <c r="C6175" s="13" t="s">
        <v>260</v>
      </c>
      <c r="D6175" s="13" t="s">
        <v>57</v>
      </c>
      <c r="E6175" s="12" t="s">
        <v>35</v>
      </c>
      <c r="F6175" s="14">
        <v>90000</v>
      </c>
      <c r="G6175" s="14">
        <v>69800</v>
      </c>
      <c r="H6175" s="13" t="s">
        <v>9877</v>
      </c>
      <c r="I6175" s="40" t="s">
        <v>18</v>
      </c>
      <c r="J6175" s="40" t="str">
        <f>HYPERLINK("https://stock.pstatic.net/stock-research/company/16/20260114_company_890447000.pdf","PDF")</f>
        <v>PDF</v>
      </c>
      <c r="K6175" s="12" t="s">
        <v>9878</v>
      </c>
      <c r="L6175" s="20">
        <v>0.28939828080229218</v>
      </c>
    </row>
    <row r="6176" spans="1:12" x14ac:dyDescent="0.45">
      <c r="A6176" s="12" t="s">
        <v>9864</v>
      </c>
      <c r="B6176" s="12" t="s">
        <v>1678</v>
      </c>
      <c r="C6176" s="13" t="s">
        <v>1679</v>
      </c>
      <c r="D6176" s="13" t="s">
        <v>276</v>
      </c>
      <c r="E6176" s="12" t="s">
        <v>16</v>
      </c>
      <c r="F6176" s="14">
        <v>80000</v>
      </c>
      <c r="G6176" s="14">
        <v>62200</v>
      </c>
      <c r="H6176" s="13" t="s">
        <v>9879</v>
      </c>
      <c r="I6176" s="40" t="s">
        <v>18</v>
      </c>
      <c r="J6176" s="40" t="str">
        <f>HYPERLINK("https://stock.pstatic.net/stock-research/company/66/20260114_company_159939000.pdf","PDF")</f>
        <v>PDF</v>
      </c>
      <c r="K6176" s="12" t="s">
        <v>9880</v>
      </c>
      <c r="L6176" s="20">
        <v>0.2861736334405145</v>
      </c>
    </row>
    <row r="6177" spans="1:12" x14ac:dyDescent="0.45">
      <c r="A6177" s="12" t="s">
        <v>9864</v>
      </c>
      <c r="B6177" s="12" t="s">
        <v>4021</v>
      </c>
      <c r="C6177" s="13" t="s">
        <v>4022</v>
      </c>
      <c r="D6177" s="13" t="s">
        <v>60</v>
      </c>
      <c r="E6177" s="12" t="s">
        <v>35</v>
      </c>
      <c r="F6177" s="14">
        <v>610000</v>
      </c>
      <c r="G6177" s="14">
        <v>496500</v>
      </c>
      <c r="H6177" s="13" t="s">
        <v>9881</v>
      </c>
      <c r="I6177" s="40" t="s">
        <v>18</v>
      </c>
      <c r="J6177" s="40" t="str">
        <f>HYPERLINK("https://stock.pstatic.net/stock-research/company/62/20260114_company_291374000.pdf","PDF")</f>
        <v>PDF</v>
      </c>
      <c r="K6177" s="12" t="s">
        <v>9882</v>
      </c>
      <c r="L6177" s="20">
        <v>0.22860020140986911</v>
      </c>
    </row>
    <row r="6178" spans="1:12" x14ac:dyDescent="0.45">
      <c r="A6178" s="12" t="s">
        <v>9864</v>
      </c>
      <c r="B6178" s="12" t="s">
        <v>9883</v>
      </c>
      <c r="C6178" s="13" t="s">
        <v>9884</v>
      </c>
      <c r="D6178" s="13" t="s">
        <v>60</v>
      </c>
      <c r="E6178" s="12" t="s">
        <v>35</v>
      </c>
      <c r="F6178" s="14">
        <v>13000</v>
      </c>
      <c r="G6178" s="14">
        <v>8040</v>
      </c>
      <c r="H6178" s="13" t="s">
        <v>9885</v>
      </c>
      <c r="I6178" s="40" t="s">
        <v>18</v>
      </c>
      <c r="J6178" s="40" t="str">
        <f>HYPERLINK("https://stock.pstatic.net/stock-research/company/62/20260114_company_158431000.pdf","PDF")</f>
        <v>PDF</v>
      </c>
      <c r="K6178" s="12" t="s">
        <v>9886</v>
      </c>
      <c r="L6178" s="20">
        <v>0.61691542288557211</v>
      </c>
    </row>
    <row r="6179" spans="1:12" x14ac:dyDescent="0.45">
      <c r="A6179" s="12" t="s">
        <v>9864</v>
      </c>
      <c r="B6179" s="12" t="s">
        <v>3373</v>
      </c>
      <c r="C6179" s="13" t="s">
        <v>3374</v>
      </c>
      <c r="D6179" s="13" t="s">
        <v>65</v>
      </c>
      <c r="E6179" s="12" t="s">
        <v>35</v>
      </c>
      <c r="F6179" s="14">
        <v>178000</v>
      </c>
      <c r="G6179" s="14">
        <v>128500</v>
      </c>
      <c r="H6179" s="13" t="s">
        <v>9887</v>
      </c>
      <c r="I6179" s="40" t="s">
        <v>18</v>
      </c>
      <c r="J6179" s="40" t="str">
        <f>HYPERLINK("https://stock.pstatic.net/stock-research/company/57/20260114_company_750643000.pdf","PDF")</f>
        <v>PDF</v>
      </c>
      <c r="K6179" s="12" t="s">
        <v>9888</v>
      </c>
      <c r="L6179" s="20">
        <v>0.38521400778210119</v>
      </c>
    </row>
    <row r="6180" spans="1:12" x14ac:dyDescent="0.45">
      <c r="A6180" s="12" t="s">
        <v>9864</v>
      </c>
      <c r="B6180" s="12" t="s">
        <v>3831</v>
      </c>
      <c r="C6180" s="13" t="s">
        <v>3832</v>
      </c>
      <c r="D6180" s="13" t="s">
        <v>65</v>
      </c>
      <c r="E6180" s="12" t="s">
        <v>35</v>
      </c>
      <c r="F6180" s="14">
        <v>69000</v>
      </c>
      <c r="G6180" s="14">
        <v>60400</v>
      </c>
      <c r="H6180" s="13" t="s">
        <v>9889</v>
      </c>
      <c r="I6180" s="40" t="s">
        <v>18</v>
      </c>
      <c r="J6180" s="40" t="str">
        <f>HYPERLINK("https://stock.pstatic.net/stock-research/company/57/20260114_company_306308000.pdf","PDF")</f>
        <v>PDF</v>
      </c>
      <c r="K6180" s="12" t="s">
        <v>9890</v>
      </c>
      <c r="L6180" s="20">
        <v>0.14238410596026491</v>
      </c>
    </row>
    <row r="6181" spans="1:12" x14ac:dyDescent="0.45">
      <c r="A6181" s="12" t="s">
        <v>9864</v>
      </c>
      <c r="B6181" s="12" t="s">
        <v>872</v>
      </c>
      <c r="C6181" s="13" t="s">
        <v>873</v>
      </c>
      <c r="D6181" s="13" t="s">
        <v>65</v>
      </c>
      <c r="E6181" s="12" t="s">
        <v>35</v>
      </c>
      <c r="F6181" s="14">
        <v>30000</v>
      </c>
      <c r="G6181" s="14">
        <v>14430</v>
      </c>
      <c r="H6181" s="13" t="s">
        <v>9891</v>
      </c>
      <c r="I6181" s="40" t="s">
        <v>18</v>
      </c>
      <c r="J6181" s="40" t="str">
        <f>HYPERLINK("https://stock.pstatic.net/stock-research/company/57/20260114_company_593550000.pdf","PDF")</f>
        <v>PDF</v>
      </c>
      <c r="K6181" s="12" t="s">
        <v>9892</v>
      </c>
      <c r="L6181" s="20">
        <v>1.0790020790020789</v>
      </c>
    </row>
    <row r="6182" spans="1:12" x14ac:dyDescent="0.45">
      <c r="A6182" s="12" t="s">
        <v>9864</v>
      </c>
      <c r="B6182" s="12" t="s">
        <v>2187</v>
      </c>
      <c r="C6182" s="13" t="s">
        <v>2188</v>
      </c>
      <c r="D6182" s="13" t="s">
        <v>65</v>
      </c>
      <c r="E6182" s="12" t="s">
        <v>35</v>
      </c>
      <c r="F6182" s="14">
        <v>200000</v>
      </c>
      <c r="G6182" s="14">
        <v>106700</v>
      </c>
      <c r="H6182" s="13" t="s">
        <v>9893</v>
      </c>
      <c r="I6182" s="40" t="s">
        <v>18</v>
      </c>
      <c r="J6182" s="40" t="str">
        <f>HYPERLINK("https://stock.pstatic.net/stock-research/company/57/20260114_company_993822000.pdf","PDF")</f>
        <v>PDF</v>
      </c>
      <c r="K6182" s="12" t="s">
        <v>9894</v>
      </c>
      <c r="L6182" s="20">
        <v>0.87441424554826619</v>
      </c>
    </row>
    <row r="6183" spans="1:12" x14ac:dyDescent="0.45">
      <c r="A6183" s="12" t="s">
        <v>9864</v>
      </c>
      <c r="B6183" s="12" t="s">
        <v>1930</v>
      </c>
      <c r="C6183" s="13" t="s">
        <v>1931</v>
      </c>
      <c r="D6183" s="13" t="s">
        <v>65</v>
      </c>
      <c r="E6183" s="12" t="s">
        <v>35</v>
      </c>
      <c r="F6183" s="14">
        <v>300000</v>
      </c>
      <c r="G6183" s="14">
        <v>212000</v>
      </c>
      <c r="H6183" s="13" t="s">
        <v>9895</v>
      </c>
      <c r="I6183" s="40" t="s">
        <v>18</v>
      </c>
      <c r="J6183" s="40" t="str">
        <f>HYPERLINK("https://stock.pstatic.net/stock-research/company/57/20260114_company_162859000.pdf","PDF")</f>
        <v>PDF</v>
      </c>
      <c r="K6183" s="12" t="s">
        <v>9896</v>
      </c>
      <c r="L6183" s="20">
        <v>0.41509433962264147</v>
      </c>
    </row>
    <row r="6184" spans="1:12" x14ac:dyDescent="0.45">
      <c r="A6184" s="12" t="s">
        <v>9864</v>
      </c>
      <c r="B6184" s="12" t="s">
        <v>1140</v>
      </c>
      <c r="C6184" s="13" t="s">
        <v>1141</v>
      </c>
      <c r="D6184" s="13" t="s">
        <v>65</v>
      </c>
      <c r="E6184" s="12" t="s">
        <v>35</v>
      </c>
      <c r="F6184" s="14">
        <v>65000</v>
      </c>
      <c r="G6184" s="14">
        <v>55700</v>
      </c>
      <c r="H6184" s="13" t="s">
        <v>9897</v>
      </c>
      <c r="I6184" s="40" t="s">
        <v>18</v>
      </c>
      <c r="J6184" s="40" t="str">
        <f>HYPERLINK("https://stock.pstatic.net/stock-research/company/57/20260114_company_20910000.pdf","PDF")</f>
        <v>PDF</v>
      </c>
      <c r="K6184" s="12" t="s">
        <v>9898</v>
      </c>
      <c r="L6184" s="20">
        <v>0.16696588868940751</v>
      </c>
    </row>
    <row r="6185" spans="1:12" x14ac:dyDescent="0.45">
      <c r="A6185" s="12" t="s">
        <v>9864</v>
      </c>
      <c r="B6185" s="12" t="s">
        <v>334</v>
      </c>
      <c r="C6185" s="13" t="s">
        <v>335</v>
      </c>
      <c r="D6185" s="13" t="s">
        <v>65</v>
      </c>
      <c r="E6185" s="12" t="s">
        <v>35</v>
      </c>
      <c r="F6185" s="14">
        <v>1120000</v>
      </c>
      <c r="G6185" s="14">
        <v>738000</v>
      </c>
      <c r="H6185" s="13" t="s">
        <v>9899</v>
      </c>
      <c r="I6185" s="40" t="s">
        <v>18</v>
      </c>
      <c r="J6185" s="40" t="str">
        <f>HYPERLINK("https://stock.pstatic.net/stock-research/company/57/20260114_company_932678000.pdf","PDF")</f>
        <v>PDF</v>
      </c>
      <c r="K6185" s="12" t="s">
        <v>9900</v>
      </c>
      <c r="L6185" s="20">
        <v>0.51761517615176156</v>
      </c>
    </row>
    <row r="6186" spans="1:12" x14ac:dyDescent="0.45">
      <c r="A6186" s="12" t="s">
        <v>9864</v>
      </c>
      <c r="B6186" s="12" t="s">
        <v>541</v>
      </c>
      <c r="C6186" s="13" t="s">
        <v>542</v>
      </c>
      <c r="D6186" s="13" t="s">
        <v>158</v>
      </c>
      <c r="E6186" s="12" t="s">
        <v>35</v>
      </c>
      <c r="F6186" s="14">
        <v>71000</v>
      </c>
      <c r="G6186" s="14">
        <v>54300</v>
      </c>
      <c r="H6186" s="13" t="s">
        <v>9901</v>
      </c>
      <c r="I6186" s="40" t="s">
        <v>18</v>
      </c>
      <c r="J6186" s="40" t="str">
        <f>HYPERLINK("https://stock.pstatic.net/stock-research/company/18/20260114_company_27030000.pdf","PDF")</f>
        <v>PDF</v>
      </c>
      <c r="K6186" s="12" t="s">
        <v>9902</v>
      </c>
      <c r="L6186" s="20">
        <v>0.30755064456721909</v>
      </c>
    </row>
    <row r="6187" spans="1:12" x14ac:dyDescent="0.45">
      <c r="A6187" s="12" t="s">
        <v>9864</v>
      </c>
      <c r="B6187" s="12" t="s">
        <v>3105</v>
      </c>
      <c r="C6187" s="13" t="s">
        <v>3106</v>
      </c>
      <c r="D6187" s="13" t="s">
        <v>158</v>
      </c>
      <c r="E6187" s="12" t="s">
        <v>35</v>
      </c>
      <c r="F6187" s="14">
        <v>420000</v>
      </c>
      <c r="G6187" s="14">
        <v>332000</v>
      </c>
      <c r="H6187" s="13" t="s">
        <v>9903</v>
      </c>
      <c r="I6187" s="40" t="s">
        <v>18</v>
      </c>
      <c r="J6187" s="40" t="str">
        <f>HYPERLINK("https://stock.pstatic.net/stock-research/company/18/20260114_company_437735000.pdf","PDF")</f>
        <v>PDF</v>
      </c>
      <c r="K6187" s="12" t="s">
        <v>9904</v>
      </c>
      <c r="L6187" s="20">
        <v>0.26506024096385539</v>
      </c>
    </row>
    <row r="6188" spans="1:12" x14ac:dyDescent="0.45">
      <c r="A6188" s="12" t="s">
        <v>9864</v>
      </c>
      <c r="B6188" s="12" t="s">
        <v>434</v>
      </c>
      <c r="C6188" s="13" t="s">
        <v>435</v>
      </c>
      <c r="D6188" s="13" t="s">
        <v>15</v>
      </c>
      <c r="E6188" s="12" t="s">
        <v>16</v>
      </c>
      <c r="F6188" s="14">
        <v>160000</v>
      </c>
      <c r="G6188" s="14">
        <v>118600</v>
      </c>
      <c r="H6188" s="13" t="s">
        <v>9905</v>
      </c>
      <c r="I6188" s="40" t="s">
        <v>18</v>
      </c>
      <c r="J6188" s="40" t="str">
        <f>HYPERLINK("https://stock.pstatic.net/stock-research/company/56/20260114_company_962271000.pdf","PDF")</f>
        <v>PDF</v>
      </c>
      <c r="K6188" s="12" t="s">
        <v>9906</v>
      </c>
      <c r="L6188" s="20">
        <v>0.34907251264755479</v>
      </c>
    </row>
    <row r="6189" spans="1:12" x14ac:dyDescent="0.45">
      <c r="A6189" s="12" t="s">
        <v>9864</v>
      </c>
      <c r="B6189" s="12" t="s">
        <v>2982</v>
      </c>
      <c r="C6189" s="13" t="s">
        <v>2983</v>
      </c>
      <c r="D6189" s="13" t="s">
        <v>23</v>
      </c>
      <c r="E6189" s="12" t="s">
        <v>16</v>
      </c>
      <c r="F6189" s="14">
        <v>60000</v>
      </c>
      <c r="G6189" s="14">
        <v>41800</v>
      </c>
      <c r="H6189" s="13" t="s">
        <v>9907</v>
      </c>
      <c r="I6189" s="40" t="s">
        <v>18</v>
      </c>
      <c r="J6189" s="40" t="str">
        <f>HYPERLINK("https://stock.pstatic.net/stock-research/company/21/20260114_company_425541000.pdf","PDF")</f>
        <v>PDF</v>
      </c>
      <c r="K6189" s="12" t="s">
        <v>9908</v>
      </c>
      <c r="L6189" s="20">
        <v>0.4354066985645933</v>
      </c>
    </row>
    <row r="6190" spans="1:12" x14ac:dyDescent="0.45">
      <c r="A6190" s="12" t="s">
        <v>9864</v>
      </c>
      <c r="B6190" s="12" t="s">
        <v>1660</v>
      </c>
      <c r="C6190" s="13" t="s">
        <v>1661</v>
      </c>
      <c r="D6190" s="13" t="s">
        <v>83</v>
      </c>
      <c r="E6190" s="12" t="s">
        <v>35</v>
      </c>
      <c r="F6190" s="14">
        <v>64000</v>
      </c>
      <c r="G6190" s="14">
        <v>45600</v>
      </c>
      <c r="H6190" s="13" t="s">
        <v>9909</v>
      </c>
      <c r="I6190" s="40" t="s">
        <v>18</v>
      </c>
      <c r="J6190" s="40" t="str">
        <f>HYPERLINK("https://stock.pstatic.net/stock-research/company/15/20260114_company_861662000.pdf","PDF")</f>
        <v>PDF</v>
      </c>
      <c r="K6190" s="12" t="s">
        <v>9910</v>
      </c>
      <c r="L6190" s="20">
        <v>0.40350877192982448</v>
      </c>
    </row>
    <row r="6191" spans="1:12" x14ac:dyDescent="0.45">
      <c r="A6191" s="12" t="s">
        <v>9864</v>
      </c>
      <c r="B6191" s="12" t="s">
        <v>42</v>
      </c>
      <c r="C6191" s="13" t="s">
        <v>43</v>
      </c>
      <c r="D6191" s="13" t="s">
        <v>83</v>
      </c>
      <c r="E6191" s="12" t="s">
        <v>35</v>
      </c>
      <c r="F6191" s="14">
        <v>330000</v>
      </c>
      <c r="G6191" s="14">
        <v>264500</v>
      </c>
      <c r="H6191" s="13" t="s">
        <v>9911</v>
      </c>
      <c r="I6191" s="40" t="s">
        <v>18</v>
      </c>
      <c r="J6191" s="40" t="str">
        <f>HYPERLINK("https://stock.pstatic.net/stock-research/company/15/20260114_company_931238000.pdf","PDF")</f>
        <v>PDF</v>
      </c>
      <c r="K6191" s="12" t="s">
        <v>9912</v>
      </c>
      <c r="L6191" s="20">
        <v>0.24763705103969749</v>
      </c>
    </row>
    <row r="6192" spans="1:12" x14ac:dyDescent="0.45">
      <c r="A6192" s="12" t="s">
        <v>9864</v>
      </c>
      <c r="B6192" s="12" t="s">
        <v>2837</v>
      </c>
      <c r="C6192" s="13" t="s">
        <v>2838</v>
      </c>
      <c r="D6192" s="13" t="s">
        <v>23</v>
      </c>
      <c r="E6192" s="12" t="s">
        <v>50</v>
      </c>
      <c r="F6192" s="14">
        <v>60000</v>
      </c>
      <c r="G6192" s="14">
        <v>88700</v>
      </c>
      <c r="H6192" s="13" t="s">
        <v>9913</v>
      </c>
      <c r="I6192" s="40" t="s">
        <v>18</v>
      </c>
      <c r="J6192" s="40" t="str">
        <f>HYPERLINK("https://stock.pstatic.net/stock-research/company/21/20260114_company_240730000.pdf","PDF")</f>
        <v>PDF</v>
      </c>
      <c r="K6192" s="12" t="s">
        <v>9914</v>
      </c>
      <c r="L6192" s="20">
        <v>-0.32356257046223219</v>
      </c>
    </row>
    <row r="6193" spans="1:12" x14ac:dyDescent="0.45">
      <c r="A6193" s="12" t="s">
        <v>9864</v>
      </c>
      <c r="B6193" s="12" t="s">
        <v>3164</v>
      </c>
      <c r="C6193" s="13" t="s">
        <v>3165</v>
      </c>
      <c r="D6193" s="13" t="s">
        <v>34</v>
      </c>
      <c r="E6193" s="12" t="s">
        <v>35</v>
      </c>
      <c r="F6193" s="14">
        <v>120000</v>
      </c>
      <c r="G6193" s="14">
        <v>92000</v>
      </c>
      <c r="H6193" s="13" t="s">
        <v>9915</v>
      </c>
      <c r="I6193" s="40" t="s">
        <v>18</v>
      </c>
      <c r="J6193" s="40" t="str">
        <f>HYPERLINK("https://stock.pstatic.net/stock-research/company/61/20260114_company_838615000.pdf","PDF")</f>
        <v>PDF</v>
      </c>
      <c r="K6193" s="12" t="s">
        <v>9916</v>
      </c>
      <c r="L6193" s="20">
        <v>0.30434782608695649</v>
      </c>
    </row>
    <row r="6194" spans="1:12" x14ac:dyDescent="0.45">
      <c r="A6194" s="12" t="s">
        <v>9864</v>
      </c>
      <c r="B6194" s="12" t="s">
        <v>2956</v>
      </c>
      <c r="C6194" s="13" t="s">
        <v>2957</v>
      </c>
      <c r="D6194" s="13" t="s">
        <v>23</v>
      </c>
      <c r="E6194" s="12" t="s">
        <v>16</v>
      </c>
      <c r="F6194" s="14">
        <v>30000</v>
      </c>
      <c r="G6194" s="14">
        <v>18710</v>
      </c>
      <c r="H6194" s="13" t="s">
        <v>9917</v>
      </c>
      <c r="I6194" s="40" t="s">
        <v>18</v>
      </c>
      <c r="J6194" s="40" t="str">
        <f>HYPERLINK("https://stock.pstatic.net/stock-research/company/21/20260114_company_95964000.pdf","PDF")</f>
        <v>PDF</v>
      </c>
      <c r="K6194" s="12" t="s">
        <v>9918</v>
      </c>
      <c r="L6194" s="20">
        <v>0.60342063067878138</v>
      </c>
    </row>
    <row r="6195" spans="1:12" x14ac:dyDescent="0.45">
      <c r="A6195" s="12" t="s">
        <v>9864</v>
      </c>
      <c r="B6195" s="12" t="s">
        <v>3164</v>
      </c>
      <c r="C6195" s="13" t="s">
        <v>3165</v>
      </c>
      <c r="D6195" s="13" t="s">
        <v>23</v>
      </c>
      <c r="E6195" s="12" t="s">
        <v>16</v>
      </c>
      <c r="F6195" s="14">
        <v>110000</v>
      </c>
      <c r="G6195" s="14">
        <v>92000</v>
      </c>
      <c r="H6195" s="13" t="s">
        <v>9919</v>
      </c>
      <c r="I6195" s="40" t="s">
        <v>18</v>
      </c>
      <c r="J6195" s="40" t="str">
        <f>HYPERLINK("https://stock.pstatic.net/stock-research/company/21/20260114_company_48823000.pdf","PDF")</f>
        <v>PDF</v>
      </c>
      <c r="K6195" s="12" t="s">
        <v>9920</v>
      </c>
      <c r="L6195" s="20">
        <v>0.19565217391304349</v>
      </c>
    </row>
    <row r="6196" spans="1:12" x14ac:dyDescent="0.45">
      <c r="A6196" s="12" t="s">
        <v>9864</v>
      </c>
      <c r="B6196" s="12" t="s">
        <v>434</v>
      </c>
      <c r="C6196" s="13" t="s">
        <v>435</v>
      </c>
      <c r="D6196" s="13" t="s">
        <v>179</v>
      </c>
      <c r="E6196" s="12" t="s">
        <v>16</v>
      </c>
      <c r="F6196" s="14">
        <v>150000</v>
      </c>
      <c r="G6196" s="14">
        <v>118600</v>
      </c>
      <c r="H6196" s="13" t="s">
        <v>9921</v>
      </c>
      <c r="I6196" s="40" t="s">
        <v>18</v>
      </c>
      <c r="J6196" s="40" t="str">
        <f>HYPERLINK("https://stock.pstatic.net/stock-research/company/64/20260114_company_999105000.pdf","PDF")</f>
        <v>PDF</v>
      </c>
      <c r="K6196" s="12" t="s">
        <v>9922</v>
      </c>
      <c r="L6196" s="20">
        <v>0.26475548060708259</v>
      </c>
    </row>
    <row r="6197" spans="1:12" x14ac:dyDescent="0.45">
      <c r="A6197" s="12" t="s">
        <v>9864</v>
      </c>
      <c r="B6197" s="12" t="s">
        <v>3105</v>
      </c>
      <c r="C6197" s="13" t="s">
        <v>3106</v>
      </c>
      <c r="D6197" s="13" t="s">
        <v>53</v>
      </c>
      <c r="E6197" s="12" t="s">
        <v>16</v>
      </c>
      <c r="F6197" s="14">
        <v>420000</v>
      </c>
      <c r="G6197" s="14">
        <v>332000</v>
      </c>
      <c r="H6197" s="13" t="s">
        <v>9923</v>
      </c>
      <c r="I6197" s="40" t="s">
        <v>18</v>
      </c>
      <c r="J6197" s="40" t="str">
        <f>HYPERLINK("https://stock.pstatic.net/stock-research/company/40/20260114_company_922539000.pdf","PDF")</f>
        <v>PDF</v>
      </c>
      <c r="K6197" s="12" t="s">
        <v>9924</v>
      </c>
      <c r="L6197" s="20">
        <v>0.26506024096385539</v>
      </c>
    </row>
    <row r="6198" spans="1:12" x14ac:dyDescent="0.45">
      <c r="A6198" s="12" t="s">
        <v>9864</v>
      </c>
      <c r="B6198" s="12" t="s">
        <v>1773</v>
      </c>
      <c r="C6198" s="13" t="s">
        <v>1774</v>
      </c>
      <c r="D6198" s="13" t="s">
        <v>23</v>
      </c>
      <c r="E6198" s="12" t="s">
        <v>16</v>
      </c>
      <c r="F6198" s="14">
        <v>120000</v>
      </c>
      <c r="G6198" s="14">
        <v>98100</v>
      </c>
      <c r="H6198" s="13" t="s">
        <v>9925</v>
      </c>
      <c r="I6198" s="40" t="s">
        <v>18</v>
      </c>
      <c r="J6198" s="40" t="str">
        <f>HYPERLINK("https://stock.pstatic.net/stock-research/company/21/20260114_company_913082000.pdf","PDF")</f>
        <v>PDF</v>
      </c>
      <c r="K6198" s="12" t="s">
        <v>9926</v>
      </c>
      <c r="L6198" s="20">
        <v>0.22324159021406731</v>
      </c>
    </row>
    <row r="6199" spans="1:12" x14ac:dyDescent="0.45">
      <c r="A6199" s="12" t="s">
        <v>9864</v>
      </c>
      <c r="B6199" s="12" t="s">
        <v>1936</v>
      </c>
      <c r="C6199" s="13" t="s">
        <v>1937</v>
      </c>
      <c r="D6199" s="13" t="s">
        <v>23</v>
      </c>
      <c r="E6199" s="12" t="s">
        <v>16</v>
      </c>
      <c r="F6199" s="14">
        <v>9000</v>
      </c>
      <c r="G6199" s="14">
        <v>7230</v>
      </c>
      <c r="H6199" s="13" t="s">
        <v>9927</v>
      </c>
      <c r="I6199" s="40" t="s">
        <v>18</v>
      </c>
      <c r="J6199" s="40" t="str">
        <f>HYPERLINK("https://stock.pstatic.net/stock-research/company/21/20260114_company_801180000.pdf","PDF")</f>
        <v>PDF</v>
      </c>
      <c r="K6199" s="12" t="s">
        <v>9928</v>
      </c>
      <c r="L6199" s="20">
        <v>0.24481327800829869</v>
      </c>
    </row>
    <row r="6200" spans="1:12" x14ac:dyDescent="0.45">
      <c r="A6200" s="12" t="s">
        <v>9864</v>
      </c>
      <c r="B6200" s="12" t="s">
        <v>1765</v>
      </c>
      <c r="C6200" s="13" t="s">
        <v>1766</v>
      </c>
      <c r="D6200" s="13" t="s">
        <v>23</v>
      </c>
      <c r="E6200" s="12" t="s">
        <v>16</v>
      </c>
      <c r="F6200" s="14">
        <v>175000</v>
      </c>
      <c r="G6200" s="14">
        <v>136000</v>
      </c>
      <c r="H6200" s="13" t="s">
        <v>9929</v>
      </c>
      <c r="I6200" s="40" t="s">
        <v>18</v>
      </c>
      <c r="J6200" s="40" t="str">
        <f>HYPERLINK("https://stock.pstatic.net/stock-research/company/21/20260114_company_778476000.pdf","PDF")</f>
        <v>PDF</v>
      </c>
      <c r="K6200" s="12" t="s">
        <v>9930</v>
      </c>
      <c r="L6200" s="20">
        <v>0.28676470588235292</v>
      </c>
    </row>
    <row r="6201" spans="1:12" x14ac:dyDescent="0.45">
      <c r="A6201" s="12" t="s">
        <v>9864</v>
      </c>
      <c r="B6201" s="12" t="s">
        <v>3383</v>
      </c>
      <c r="C6201" s="13" t="s">
        <v>3384</v>
      </c>
      <c r="D6201" s="13" t="s">
        <v>23</v>
      </c>
      <c r="E6201" s="12" t="s">
        <v>16</v>
      </c>
      <c r="F6201" s="14">
        <v>58000</v>
      </c>
      <c r="G6201" s="14">
        <v>46300</v>
      </c>
      <c r="H6201" s="13" t="s">
        <v>6308</v>
      </c>
      <c r="I6201" s="40" t="s">
        <v>18</v>
      </c>
      <c r="J6201" s="40" t="str">
        <f>HYPERLINK("https://stock.pstatic.net/stock-research/company/21/20260114_company_957925000.pdf","PDF")</f>
        <v>PDF</v>
      </c>
      <c r="K6201" s="12" t="s">
        <v>9931</v>
      </c>
      <c r="L6201" s="20">
        <v>0.25269978401727861</v>
      </c>
    </row>
    <row r="6202" spans="1:12" x14ac:dyDescent="0.45">
      <c r="A6202" s="12" t="s">
        <v>9864</v>
      </c>
      <c r="B6202" s="12" t="s">
        <v>5805</v>
      </c>
      <c r="C6202" s="13" t="s">
        <v>5806</v>
      </c>
      <c r="D6202" s="13" t="s">
        <v>179</v>
      </c>
      <c r="E6202" s="12" t="s">
        <v>16</v>
      </c>
      <c r="F6202" s="14">
        <v>13000</v>
      </c>
      <c r="G6202" s="14">
        <v>8170</v>
      </c>
      <c r="H6202" s="13" t="s">
        <v>9932</v>
      </c>
      <c r="I6202" s="40" t="s">
        <v>18</v>
      </c>
      <c r="J6202" s="40" t="str">
        <f>HYPERLINK("https://stock.pstatic.net/stock-research/company/64/20260114_company_477022000.pdf","PDF")</f>
        <v>PDF</v>
      </c>
      <c r="K6202" s="12" t="s">
        <v>9933</v>
      </c>
      <c r="L6202" s="20">
        <v>0.59118727050183595</v>
      </c>
    </row>
    <row r="6203" spans="1:12" x14ac:dyDescent="0.45">
      <c r="A6203" s="12" t="s">
        <v>9864</v>
      </c>
      <c r="B6203" s="12" t="s">
        <v>255</v>
      </c>
      <c r="C6203" s="13" t="s">
        <v>256</v>
      </c>
      <c r="D6203" s="13" t="s">
        <v>23</v>
      </c>
      <c r="E6203" s="12" t="s">
        <v>16</v>
      </c>
      <c r="F6203" s="14">
        <v>30000</v>
      </c>
      <c r="G6203" s="14">
        <v>22400</v>
      </c>
      <c r="H6203" s="13" t="s">
        <v>9934</v>
      </c>
      <c r="I6203" s="40" t="s">
        <v>18</v>
      </c>
      <c r="J6203" s="40" t="str">
        <f>HYPERLINK("https://stock.pstatic.net/stock-research/company/21/20260114_company_834101000.pdf","PDF")</f>
        <v>PDF</v>
      </c>
      <c r="K6203" s="12" t="s">
        <v>9935</v>
      </c>
      <c r="L6203" s="20">
        <v>0.3392857142857143</v>
      </c>
    </row>
    <row r="6204" spans="1:12" x14ac:dyDescent="0.45">
      <c r="A6204" s="12" t="s">
        <v>9864</v>
      </c>
      <c r="B6204" s="12" t="s">
        <v>2982</v>
      </c>
      <c r="C6204" s="13" t="s">
        <v>2983</v>
      </c>
      <c r="D6204" s="13" t="s">
        <v>92</v>
      </c>
      <c r="E6204" s="12" t="s">
        <v>159</v>
      </c>
      <c r="F6204" s="14">
        <v>46000</v>
      </c>
      <c r="G6204" s="14">
        <v>41800</v>
      </c>
      <c r="H6204" s="13" t="s">
        <v>9936</v>
      </c>
      <c r="I6204" s="40" t="s">
        <v>18</v>
      </c>
      <c r="J6204" s="40" t="str">
        <f>HYPERLINK("https://stock.pstatic.net/stock-research/company/63/20260114_company_470156000.pdf","PDF")</f>
        <v>PDF</v>
      </c>
      <c r="K6204" s="12" t="s">
        <v>9937</v>
      </c>
      <c r="L6204" s="20">
        <v>0.1004784688995215</v>
      </c>
    </row>
    <row r="6205" spans="1:12" x14ac:dyDescent="0.45">
      <c r="A6205" s="12" t="s">
        <v>9864</v>
      </c>
      <c r="B6205" s="12" t="s">
        <v>541</v>
      </c>
      <c r="C6205" s="13" t="s">
        <v>542</v>
      </c>
      <c r="D6205" s="13" t="s">
        <v>53</v>
      </c>
      <c r="E6205" s="12" t="s">
        <v>16</v>
      </c>
      <c r="F6205" s="14">
        <v>64000</v>
      </c>
      <c r="G6205" s="14">
        <v>54300</v>
      </c>
      <c r="H6205" s="13" t="s">
        <v>9938</v>
      </c>
      <c r="I6205" s="40" t="s">
        <v>18</v>
      </c>
      <c r="J6205" s="40" t="str">
        <f>HYPERLINK("https://stock.pstatic.net/stock-research/company/40/20260114_company_615551000.pdf","PDF")</f>
        <v>PDF</v>
      </c>
      <c r="K6205" s="12" t="s">
        <v>9939</v>
      </c>
      <c r="L6205" s="20">
        <v>0.17863720073664821</v>
      </c>
    </row>
    <row r="6206" spans="1:12" x14ac:dyDescent="0.45">
      <c r="A6206" s="12" t="s">
        <v>9864</v>
      </c>
      <c r="B6206" s="12" t="s">
        <v>553</v>
      </c>
      <c r="C6206" s="13" t="s">
        <v>554</v>
      </c>
      <c r="D6206" s="13" t="s">
        <v>179</v>
      </c>
      <c r="E6206" s="12" t="s">
        <v>50</v>
      </c>
      <c r="F6206" s="13"/>
      <c r="G6206" s="14">
        <v>21400</v>
      </c>
      <c r="H6206" s="13" t="s">
        <v>9940</v>
      </c>
      <c r="I6206" s="40" t="s">
        <v>18</v>
      </c>
      <c r="J6206" s="40" t="str">
        <f>HYPERLINK("https://stock.pstatic.net/stock-research/company/64/20260114_company_149675000.pdf","PDF")</f>
        <v>PDF</v>
      </c>
      <c r="K6206" s="12" t="s">
        <v>9941</v>
      </c>
    </row>
    <row r="6207" spans="1:12" x14ac:dyDescent="0.45">
      <c r="A6207" s="12" t="s">
        <v>9864</v>
      </c>
      <c r="B6207" s="12" t="s">
        <v>450</v>
      </c>
      <c r="C6207" s="13" t="s">
        <v>451</v>
      </c>
      <c r="D6207" s="13" t="s">
        <v>44</v>
      </c>
      <c r="E6207" s="12" t="s">
        <v>642</v>
      </c>
      <c r="F6207" s="14">
        <v>250000</v>
      </c>
      <c r="G6207" s="14">
        <v>262000</v>
      </c>
      <c r="H6207" s="13" t="s">
        <v>9942</v>
      </c>
      <c r="I6207" s="40" t="s">
        <v>18</v>
      </c>
      <c r="J6207" s="40" t="str">
        <f>HYPERLINK("https://stock.pstatic.net/stock-research/company/39/20260114_company_680500000.pdf","PDF")</f>
        <v>PDF</v>
      </c>
      <c r="K6207" s="12" t="s">
        <v>9943</v>
      </c>
      <c r="L6207" s="20">
        <v>-4.5801526717557252E-2</v>
      </c>
    </row>
    <row r="6208" spans="1:12" x14ac:dyDescent="0.45">
      <c r="A6208" s="12" t="s">
        <v>9864</v>
      </c>
      <c r="B6208" s="12" t="s">
        <v>434</v>
      </c>
      <c r="C6208" s="13" t="s">
        <v>435</v>
      </c>
      <c r="D6208" s="13" t="s">
        <v>44</v>
      </c>
      <c r="E6208" s="12" t="s">
        <v>35</v>
      </c>
      <c r="F6208" s="14">
        <v>160000</v>
      </c>
      <c r="G6208" s="14">
        <v>118600</v>
      </c>
      <c r="H6208" s="13" t="s">
        <v>9944</v>
      </c>
      <c r="I6208" s="40" t="s">
        <v>18</v>
      </c>
      <c r="J6208" s="40" t="str">
        <f>HYPERLINK("https://stock.pstatic.net/stock-research/company/39/20260114_company_451214000.pdf","PDF")</f>
        <v>PDF</v>
      </c>
      <c r="K6208" s="12" t="s">
        <v>9945</v>
      </c>
      <c r="L6208" s="20">
        <v>0.34907251264755479</v>
      </c>
    </row>
    <row r="6209" spans="1:12" x14ac:dyDescent="0.45">
      <c r="A6209" s="12" t="s">
        <v>9864</v>
      </c>
      <c r="B6209" s="12" t="s">
        <v>4021</v>
      </c>
      <c r="C6209" s="13" t="s">
        <v>4022</v>
      </c>
      <c r="D6209" s="13" t="s">
        <v>44</v>
      </c>
      <c r="E6209" s="12" t="s">
        <v>35</v>
      </c>
      <c r="F6209" s="14">
        <v>620000</v>
      </c>
      <c r="G6209" s="14">
        <v>496500</v>
      </c>
      <c r="H6209" s="13" t="s">
        <v>9946</v>
      </c>
      <c r="I6209" s="40" t="s">
        <v>18</v>
      </c>
      <c r="J6209" s="40" t="str">
        <f>HYPERLINK("https://stock.pstatic.net/stock-research/company/39/20260114_company_290586000.pdf","PDF")</f>
        <v>PDF</v>
      </c>
      <c r="K6209" s="12" t="s">
        <v>9947</v>
      </c>
      <c r="L6209" s="20">
        <v>0.24874118831822761</v>
      </c>
    </row>
    <row r="6210" spans="1:12" x14ac:dyDescent="0.45">
      <c r="A6210" s="12" t="s">
        <v>9864</v>
      </c>
      <c r="B6210" s="12" t="s">
        <v>3244</v>
      </c>
      <c r="C6210" s="13" t="s">
        <v>3245</v>
      </c>
      <c r="D6210" s="13" t="s">
        <v>44</v>
      </c>
      <c r="E6210" s="12" t="s">
        <v>35</v>
      </c>
      <c r="F6210" s="14">
        <v>77000</v>
      </c>
      <c r="G6210" s="14">
        <v>61300</v>
      </c>
      <c r="H6210" s="13" t="s">
        <v>9948</v>
      </c>
      <c r="I6210" s="40" t="s">
        <v>18</v>
      </c>
      <c r="J6210" s="40" t="str">
        <f>HYPERLINK("https://stock.pstatic.net/stock-research/company/39/20260114_company_184095000.pdf","PDF")</f>
        <v>PDF</v>
      </c>
      <c r="K6210" s="12" t="s">
        <v>9949</v>
      </c>
      <c r="L6210" s="20">
        <v>0.2561174551386623</v>
      </c>
    </row>
    <row r="6211" spans="1:12" x14ac:dyDescent="0.45">
      <c r="A6211" s="12" t="s">
        <v>9864</v>
      </c>
      <c r="B6211" s="12" t="s">
        <v>744</v>
      </c>
      <c r="C6211" s="13" t="s">
        <v>745</v>
      </c>
      <c r="D6211" s="13" t="s">
        <v>179</v>
      </c>
      <c r="E6211" s="12" t="s">
        <v>16</v>
      </c>
      <c r="F6211" s="14">
        <v>38000</v>
      </c>
      <c r="G6211" s="14">
        <v>28950</v>
      </c>
      <c r="H6211" s="13" t="s">
        <v>9950</v>
      </c>
      <c r="I6211" s="40" t="s">
        <v>18</v>
      </c>
      <c r="J6211" s="40" t="str">
        <f>HYPERLINK("https://stock.pstatic.net/stock-research/company/64/20260114_company_92894000.pdf","PDF")</f>
        <v>PDF</v>
      </c>
      <c r="K6211" s="12" t="s">
        <v>9951</v>
      </c>
      <c r="L6211" s="20">
        <v>0.31260794473229708</v>
      </c>
    </row>
    <row r="6212" spans="1:12" x14ac:dyDescent="0.45">
      <c r="A6212" s="12" t="s">
        <v>9864</v>
      </c>
      <c r="B6212" s="12" t="s">
        <v>3284</v>
      </c>
      <c r="C6212" s="13" t="s">
        <v>3285</v>
      </c>
      <c r="D6212" s="13" t="s">
        <v>179</v>
      </c>
      <c r="E6212" s="12" t="s">
        <v>16</v>
      </c>
      <c r="F6212" s="14">
        <v>175000</v>
      </c>
      <c r="G6212" s="14">
        <v>149900</v>
      </c>
      <c r="H6212" s="13" t="s">
        <v>9952</v>
      </c>
      <c r="I6212" s="40" t="s">
        <v>18</v>
      </c>
      <c r="J6212" s="40" t="str">
        <f>HYPERLINK("https://stock.pstatic.net/stock-research/company/64/20260114_company_330945000.pdf","PDF")</f>
        <v>PDF</v>
      </c>
      <c r="K6212" s="12" t="s">
        <v>9953</v>
      </c>
      <c r="L6212" s="20">
        <v>0.1674449633088726</v>
      </c>
    </row>
    <row r="6213" spans="1:12" x14ac:dyDescent="0.45">
      <c r="A6213" s="12" t="s">
        <v>9864</v>
      </c>
      <c r="B6213" s="12" t="s">
        <v>2435</v>
      </c>
      <c r="C6213" s="13" t="s">
        <v>2436</v>
      </c>
      <c r="D6213" s="13" t="s">
        <v>179</v>
      </c>
      <c r="E6213" s="12" t="s">
        <v>16</v>
      </c>
      <c r="F6213" s="14">
        <v>860000</v>
      </c>
      <c r="G6213" s="14">
        <v>645000</v>
      </c>
      <c r="H6213" s="13" t="s">
        <v>9954</v>
      </c>
      <c r="I6213" s="40" t="s">
        <v>18</v>
      </c>
      <c r="J6213" s="40" t="str">
        <f>HYPERLINK("https://stock.pstatic.net/stock-research/company/64/20260114_company_725772000.pdf","PDF")</f>
        <v>PDF</v>
      </c>
      <c r="K6213" s="12" t="s">
        <v>9955</v>
      </c>
      <c r="L6213" s="20">
        <v>0.33333333333333331</v>
      </c>
    </row>
    <row r="6214" spans="1:12" x14ac:dyDescent="0.45">
      <c r="A6214" s="12" t="s">
        <v>9864</v>
      </c>
      <c r="B6214" s="12" t="s">
        <v>2658</v>
      </c>
      <c r="C6214" s="13" t="s">
        <v>2659</v>
      </c>
      <c r="D6214" s="13" t="s">
        <v>44</v>
      </c>
      <c r="E6214" s="12" t="s">
        <v>35</v>
      </c>
      <c r="F6214" s="14">
        <v>150000</v>
      </c>
      <c r="G6214" s="14">
        <v>111400</v>
      </c>
      <c r="H6214" s="13" t="s">
        <v>9956</v>
      </c>
      <c r="I6214" s="40" t="s">
        <v>18</v>
      </c>
      <c r="J6214" s="40" t="str">
        <f>HYPERLINK("https://stock.pstatic.net/stock-research/company/39/20260114_company_139209000.pdf","PDF")</f>
        <v>PDF</v>
      </c>
      <c r="K6214" s="12" t="s">
        <v>9957</v>
      </c>
      <c r="L6214" s="20">
        <v>0.34649910233393177</v>
      </c>
    </row>
    <row r="6215" spans="1:12" x14ac:dyDescent="0.45">
      <c r="A6215" s="12" t="s">
        <v>9864</v>
      </c>
      <c r="B6215" s="12" t="s">
        <v>132</v>
      </c>
      <c r="C6215" s="13" t="s">
        <v>133</v>
      </c>
      <c r="D6215" s="13" t="s">
        <v>53</v>
      </c>
      <c r="E6215" s="12" t="s">
        <v>16</v>
      </c>
      <c r="F6215" s="14">
        <v>119000</v>
      </c>
      <c r="G6215" s="14">
        <v>90700</v>
      </c>
      <c r="H6215" s="13" t="s">
        <v>9958</v>
      </c>
      <c r="I6215" s="40" t="s">
        <v>18</v>
      </c>
      <c r="J6215" s="40" t="str">
        <f>HYPERLINK("https://stock.pstatic.net/stock-research/company/40/20260114_company_549895000.pdf","PDF")</f>
        <v>PDF</v>
      </c>
      <c r="K6215" s="12" t="s">
        <v>9959</v>
      </c>
      <c r="L6215" s="20">
        <v>0.31201764057331871</v>
      </c>
    </row>
    <row r="6216" spans="1:12" x14ac:dyDescent="0.45">
      <c r="A6216" s="12" t="s">
        <v>9960</v>
      </c>
      <c r="B6216" s="12" t="s">
        <v>370</v>
      </c>
      <c r="C6216" s="13" t="s">
        <v>371</v>
      </c>
      <c r="D6216" s="13" t="s">
        <v>57</v>
      </c>
      <c r="E6216" s="12" t="s">
        <v>35</v>
      </c>
      <c r="F6216" s="14">
        <v>90000</v>
      </c>
      <c r="G6216" s="14">
        <v>68200</v>
      </c>
      <c r="H6216" s="13" t="s">
        <v>9961</v>
      </c>
      <c r="I6216" s="40" t="s">
        <v>18</v>
      </c>
      <c r="J6216" s="40" t="str">
        <f>HYPERLINK("https://stock.pstatic.net/stock-research/company/16/20260113_company_430366000.pdf","PDF")</f>
        <v>PDF</v>
      </c>
      <c r="K6216" s="12" t="s">
        <v>9962</v>
      </c>
      <c r="L6216" s="20">
        <v>0.31964809384164222</v>
      </c>
    </row>
    <row r="6217" spans="1:12" x14ac:dyDescent="0.45">
      <c r="A6217" s="12" t="s">
        <v>9960</v>
      </c>
      <c r="B6217" s="12" t="s">
        <v>1266</v>
      </c>
      <c r="C6217" s="13" t="s">
        <v>1267</v>
      </c>
      <c r="D6217" s="13" t="s">
        <v>57</v>
      </c>
      <c r="E6217" s="12" t="s">
        <v>159</v>
      </c>
      <c r="F6217" s="14">
        <v>176000</v>
      </c>
      <c r="G6217" s="14">
        <v>158100</v>
      </c>
      <c r="H6217" s="13" t="s">
        <v>9963</v>
      </c>
      <c r="I6217" s="40" t="s">
        <v>18</v>
      </c>
      <c r="J6217" s="40" t="str">
        <f>HYPERLINK("https://stock.pstatic.net/stock-research/company/16/20260113_company_623075000.pdf","PDF")</f>
        <v>PDF</v>
      </c>
      <c r="K6217" s="12" t="s">
        <v>9964</v>
      </c>
      <c r="L6217" s="20">
        <v>0.11321948134092349</v>
      </c>
    </row>
    <row r="6218" spans="1:12" x14ac:dyDescent="0.45">
      <c r="A6218" s="12" t="s">
        <v>9960</v>
      </c>
      <c r="B6218" s="12" t="s">
        <v>1262</v>
      </c>
      <c r="C6218" s="13" t="s">
        <v>1263</v>
      </c>
      <c r="D6218" s="13" t="s">
        <v>57</v>
      </c>
      <c r="E6218" s="12" t="s">
        <v>35</v>
      </c>
      <c r="F6218" s="14">
        <v>3600</v>
      </c>
      <c r="G6218" s="14">
        <v>3080</v>
      </c>
      <c r="H6218" s="13" t="s">
        <v>9965</v>
      </c>
      <c r="I6218" s="40" t="s">
        <v>18</v>
      </c>
      <c r="J6218" s="40" t="str">
        <f>HYPERLINK("https://stock.pstatic.net/stock-research/company/16/20260113_company_131032000.pdf","PDF")</f>
        <v>PDF</v>
      </c>
      <c r="K6218" s="12" t="s">
        <v>9966</v>
      </c>
      <c r="L6218" s="20">
        <v>0.1688311688311688</v>
      </c>
    </row>
    <row r="6219" spans="1:12" x14ac:dyDescent="0.45">
      <c r="A6219" s="12" t="s">
        <v>9960</v>
      </c>
      <c r="B6219" s="12" t="s">
        <v>3105</v>
      </c>
      <c r="C6219" s="13" t="s">
        <v>3106</v>
      </c>
      <c r="D6219" s="13" t="s">
        <v>57</v>
      </c>
      <c r="E6219" s="12" t="s">
        <v>35</v>
      </c>
      <c r="F6219" s="14">
        <v>410000</v>
      </c>
      <c r="G6219" s="14">
        <v>332000</v>
      </c>
      <c r="H6219" s="13" t="s">
        <v>9967</v>
      </c>
      <c r="I6219" s="40" t="s">
        <v>18</v>
      </c>
      <c r="J6219" s="40" t="str">
        <f>HYPERLINK("https://stock.pstatic.net/stock-research/company/16/20260113_company_152978000.pdf","PDF")</f>
        <v>PDF</v>
      </c>
      <c r="K6219" s="12" t="s">
        <v>9968</v>
      </c>
      <c r="L6219" s="20">
        <v>0.23493975903614461</v>
      </c>
    </row>
    <row r="6220" spans="1:12" x14ac:dyDescent="0.45">
      <c r="A6220" s="12" t="s">
        <v>9960</v>
      </c>
      <c r="B6220" s="12" t="s">
        <v>884</v>
      </c>
      <c r="C6220" s="13" t="s">
        <v>885</v>
      </c>
      <c r="D6220" s="13" t="s">
        <v>57</v>
      </c>
      <c r="E6220" s="12" t="s">
        <v>35</v>
      </c>
      <c r="F6220" s="14">
        <v>3800</v>
      </c>
      <c r="G6220" s="14">
        <v>2605</v>
      </c>
      <c r="H6220" s="13" t="s">
        <v>9969</v>
      </c>
      <c r="I6220" s="40" t="s">
        <v>18</v>
      </c>
      <c r="J6220" s="40" t="str">
        <f>HYPERLINK("https://stock.pstatic.net/stock-research/company/16/20260113_company_973736000.pdf","PDF")</f>
        <v>PDF</v>
      </c>
      <c r="K6220" s="12" t="s">
        <v>9970</v>
      </c>
      <c r="L6220" s="20">
        <v>0.45873320537428031</v>
      </c>
    </row>
    <row r="6221" spans="1:12" x14ac:dyDescent="0.45">
      <c r="A6221" s="12" t="s">
        <v>9960</v>
      </c>
      <c r="B6221" s="12" t="s">
        <v>6914</v>
      </c>
      <c r="C6221" s="13" t="s">
        <v>6915</v>
      </c>
      <c r="D6221" s="13" t="s">
        <v>276</v>
      </c>
      <c r="E6221" s="12" t="s">
        <v>16</v>
      </c>
      <c r="F6221" s="14">
        <v>83000</v>
      </c>
      <c r="G6221" s="14">
        <v>55100</v>
      </c>
      <c r="H6221" s="13" t="s">
        <v>9971</v>
      </c>
      <c r="I6221" s="40" t="s">
        <v>18</v>
      </c>
      <c r="J6221" s="40" t="str">
        <f>HYPERLINK("https://stock.pstatic.net/stock-research/company/66/20260113_company_214584000.pdf","PDF")</f>
        <v>PDF</v>
      </c>
      <c r="K6221" s="12" t="s">
        <v>9972</v>
      </c>
      <c r="L6221" s="20">
        <v>0.50635208711433755</v>
      </c>
    </row>
    <row r="6222" spans="1:12" x14ac:dyDescent="0.45">
      <c r="A6222" s="12" t="s">
        <v>9960</v>
      </c>
      <c r="B6222" s="12" t="s">
        <v>81</v>
      </c>
      <c r="C6222" s="13" t="s">
        <v>82</v>
      </c>
      <c r="D6222" s="13" t="s">
        <v>65</v>
      </c>
      <c r="E6222" s="12" t="s">
        <v>35</v>
      </c>
      <c r="F6222" s="14">
        <v>29000</v>
      </c>
      <c r="G6222" s="14">
        <v>21050</v>
      </c>
      <c r="H6222" s="13" t="s">
        <v>9973</v>
      </c>
      <c r="I6222" s="40" t="s">
        <v>18</v>
      </c>
      <c r="J6222" s="40" t="str">
        <f>HYPERLINK("https://stock.pstatic.net/stock-research/company/57/20260113_company_486937000.pdf","PDF")</f>
        <v>PDF</v>
      </c>
      <c r="K6222" s="12" t="s">
        <v>9974</v>
      </c>
      <c r="L6222" s="20">
        <v>0.37767220902612819</v>
      </c>
    </row>
    <row r="6223" spans="1:12" x14ac:dyDescent="0.45">
      <c r="A6223" s="12" t="s">
        <v>9960</v>
      </c>
      <c r="B6223" s="12" t="s">
        <v>1270</v>
      </c>
      <c r="C6223" s="13" t="s">
        <v>1271</v>
      </c>
      <c r="D6223" s="13" t="s">
        <v>65</v>
      </c>
      <c r="E6223" s="12" t="s">
        <v>35</v>
      </c>
      <c r="F6223" s="14">
        <v>120000</v>
      </c>
      <c r="G6223" s="14">
        <v>76600</v>
      </c>
      <c r="H6223" s="13" t="s">
        <v>9975</v>
      </c>
      <c r="I6223" s="40" t="s">
        <v>18</v>
      </c>
      <c r="J6223" s="40" t="str">
        <f>HYPERLINK("https://stock.pstatic.net/stock-research/company/57/20260113_company_152034000.pdf","PDF")</f>
        <v>PDF</v>
      </c>
      <c r="K6223" s="12" t="s">
        <v>9976</v>
      </c>
      <c r="L6223" s="20">
        <v>0.56657963446475201</v>
      </c>
    </row>
    <row r="6224" spans="1:12" x14ac:dyDescent="0.45">
      <c r="A6224" s="12" t="s">
        <v>9960</v>
      </c>
      <c r="B6224" s="12" t="s">
        <v>2956</v>
      </c>
      <c r="C6224" s="13" t="s">
        <v>2957</v>
      </c>
      <c r="D6224" s="13" t="s">
        <v>65</v>
      </c>
      <c r="E6224" s="12" t="s">
        <v>35</v>
      </c>
      <c r="F6224" s="14">
        <v>24000</v>
      </c>
      <c r="G6224" s="14">
        <v>19030</v>
      </c>
      <c r="H6224" s="13" t="s">
        <v>9977</v>
      </c>
      <c r="I6224" s="40" t="s">
        <v>18</v>
      </c>
      <c r="J6224" s="40" t="str">
        <f>HYPERLINK("https://stock.pstatic.net/stock-research/company/57/20260113_company_231913000.pdf","PDF")</f>
        <v>PDF</v>
      </c>
      <c r="K6224" s="12" t="s">
        <v>9978</v>
      </c>
      <c r="L6224" s="20">
        <v>0.26116657908565422</v>
      </c>
    </row>
    <row r="6225" spans="1:12" x14ac:dyDescent="0.45">
      <c r="A6225" s="12" t="s">
        <v>9960</v>
      </c>
      <c r="B6225" s="12" t="s">
        <v>533</v>
      </c>
      <c r="C6225" s="13" t="s">
        <v>534</v>
      </c>
      <c r="D6225" s="13" t="s">
        <v>65</v>
      </c>
      <c r="E6225" s="12" t="s">
        <v>35</v>
      </c>
      <c r="F6225" s="14">
        <v>76000</v>
      </c>
      <c r="G6225" s="14">
        <v>51700</v>
      </c>
      <c r="H6225" s="13" t="s">
        <v>9979</v>
      </c>
      <c r="I6225" s="40" t="s">
        <v>18</v>
      </c>
      <c r="J6225" s="40" t="str">
        <f>HYPERLINK("https://stock.pstatic.net/stock-research/company/57/20260113_company_553617000.pdf","PDF")</f>
        <v>PDF</v>
      </c>
      <c r="K6225" s="12" t="s">
        <v>9980</v>
      </c>
      <c r="L6225" s="20">
        <v>0.47001934235976789</v>
      </c>
    </row>
    <row r="6226" spans="1:12" x14ac:dyDescent="0.45">
      <c r="A6226" s="12" t="s">
        <v>9960</v>
      </c>
      <c r="B6226" s="12" t="s">
        <v>537</v>
      </c>
      <c r="C6226" s="13" t="s">
        <v>538</v>
      </c>
      <c r="D6226" s="13" t="s">
        <v>65</v>
      </c>
      <c r="E6226" s="12" t="s">
        <v>35</v>
      </c>
      <c r="F6226" s="14">
        <v>16000</v>
      </c>
      <c r="G6226" s="14">
        <v>14580</v>
      </c>
      <c r="H6226" s="13" t="s">
        <v>9981</v>
      </c>
      <c r="I6226" s="40" t="s">
        <v>18</v>
      </c>
      <c r="J6226" s="40" t="str">
        <f>HYPERLINK("https://stock.pstatic.net/stock-research/company/57/20260113_company_958075000.pdf","PDF")</f>
        <v>PDF</v>
      </c>
      <c r="K6226" s="12" t="s">
        <v>9982</v>
      </c>
      <c r="L6226" s="20">
        <v>9.7393689986282575E-2</v>
      </c>
    </row>
    <row r="6227" spans="1:12" x14ac:dyDescent="0.45">
      <c r="A6227" s="12" t="s">
        <v>9960</v>
      </c>
      <c r="B6227" s="12" t="s">
        <v>1773</v>
      </c>
      <c r="C6227" s="13" t="s">
        <v>1774</v>
      </c>
      <c r="D6227" s="13" t="s">
        <v>158</v>
      </c>
      <c r="E6227" s="12" t="s">
        <v>35</v>
      </c>
      <c r="F6227" s="14">
        <v>120000</v>
      </c>
      <c r="G6227" s="14">
        <v>98300</v>
      </c>
      <c r="H6227" s="13" t="s">
        <v>9983</v>
      </c>
      <c r="I6227" s="40" t="s">
        <v>18</v>
      </c>
      <c r="J6227" s="40" t="str">
        <f>HYPERLINK("https://stock.pstatic.net/stock-research/company/18/20260113_company_553801000.pdf","PDF")</f>
        <v>PDF</v>
      </c>
      <c r="K6227" s="12" t="s">
        <v>9984</v>
      </c>
      <c r="L6227" s="20">
        <v>0.22075279755849439</v>
      </c>
    </row>
    <row r="6228" spans="1:12" x14ac:dyDescent="0.45">
      <c r="A6228" s="12" t="s">
        <v>9960</v>
      </c>
      <c r="B6228" s="12" t="s">
        <v>3478</v>
      </c>
      <c r="C6228" s="13" t="s">
        <v>3479</v>
      </c>
      <c r="D6228" s="13" t="s">
        <v>15</v>
      </c>
      <c r="E6228" s="12" t="s">
        <v>16</v>
      </c>
      <c r="F6228" s="14">
        <v>41000</v>
      </c>
      <c r="G6228" s="14">
        <v>30250</v>
      </c>
      <c r="H6228" s="13" t="s">
        <v>9985</v>
      </c>
      <c r="I6228" s="40" t="s">
        <v>18</v>
      </c>
      <c r="J6228" s="40" t="str">
        <f>HYPERLINK("https://stock.pstatic.net/stock-research/company/56/20260113_company_598153000.pdf","PDF")</f>
        <v>PDF</v>
      </c>
      <c r="K6228" s="12" t="s">
        <v>9986</v>
      </c>
      <c r="L6228" s="20">
        <v>0.35537190082644632</v>
      </c>
    </row>
    <row r="6229" spans="1:12" x14ac:dyDescent="0.45">
      <c r="A6229" s="12" t="s">
        <v>9960</v>
      </c>
      <c r="B6229" s="12" t="s">
        <v>2758</v>
      </c>
      <c r="C6229" s="13" t="s">
        <v>2759</v>
      </c>
      <c r="D6229" s="13" t="s">
        <v>15</v>
      </c>
      <c r="E6229" s="12" t="s">
        <v>16</v>
      </c>
      <c r="F6229" s="14">
        <v>430000</v>
      </c>
      <c r="G6229" s="14">
        <v>309500</v>
      </c>
      <c r="H6229" s="13" t="s">
        <v>9987</v>
      </c>
      <c r="I6229" s="40" t="s">
        <v>18</v>
      </c>
      <c r="J6229" s="40" t="str">
        <f>HYPERLINK("https://stock.pstatic.net/stock-research/company/56/20260113_company_772324000.pdf","PDF")</f>
        <v>PDF</v>
      </c>
      <c r="K6229" s="12" t="s">
        <v>9988</v>
      </c>
      <c r="L6229" s="20">
        <v>0.38933764135702748</v>
      </c>
    </row>
    <row r="6230" spans="1:12" x14ac:dyDescent="0.45">
      <c r="A6230" s="12" t="s">
        <v>9960</v>
      </c>
      <c r="B6230" s="12" t="s">
        <v>736</v>
      </c>
      <c r="C6230" s="13" t="s">
        <v>737</v>
      </c>
      <c r="D6230" s="13" t="s">
        <v>15</v>
      </c>
      <c r="E6230" s="12" t="s">
        <v>16</v>
      </c>
      <c r="F6230" s="14">
        <v>146000</v>
      </c>
      <c r="G6230" s="14">
        <v>104500</v>
      </c>
      <c r="H6230" s="13" t="s">
        <v>9989</v>
      </c>
      <c r="I6230" s="40" t="s">
        <v>18</v>
      </c>
      <c r="J6230" s="40" t="str">
        <f>HYPERLINK("https://stock.pstatic.net/stock-research/company/56/20260113_company_237865000.pdf","PDF")</f>
        <v>PDF</v>
      </c>
      <c r="K6230" s="12" t="s">
        <v>9990</v>
      </c>
      <c r="L6230" s="20">
        <v>0.39712918660287078</v>
      </c>
    </row>
    <row r="6231" spans="1:12" x14ac:dyDescent="0.45">
      <c r="A6231" s="12" t="s">
        <v>9960</v>
      </c>
      <c r="B6231" s="12" t="s">
        <v>356</v>
      </c>
      <c r="C6231" s="13" t="s">
        <v>357</v>
      </c>
      <c r="D6231" s="13" t="s">
        <v>83</v>
      </c>
      <c r="E6231" s="12" t="s">
        <v>35</v>
      </c>
      <c r="F6231" s="14">
        <v>70000</v>
      </c>
      <c r="G6231" s="14">
        <v>57600</v>
      </c>
      <c r="H6231" s="13" t="s">
        <v>9991</v>
      </c>
      <c r="I6231" s="40" t="s">
        <v>18</v>
      </c>
      <c r="J6231" s="40" t="str">
        <f>HYPERLINK("https://stock.pstatic.net/stock-research/company/15/20260113_company_298904000.pdf","PDF")</f>
        <v>PDF</v>
      </c>
      <c r="K6231" s="12" t="s">
        <v>9992</v>
      </c>
      <c r="L6231" s="20">
        <v>0.21527777777777779</v>
      </c>
    </row>
    <row r="6232" spans="1:12" x14ac:dyDescent="0.45">
      <c r="A6232" s="12" t="s">
        <v>9960</v>
      </c>
      <c r="B6232" s="12" t="s">
        <v>2346</v>
      </c>
      <c r="C6232" s="13" t="s">
        <v>2347</v>
      </c>
      <c r="D6232" s="13" t="s">
        <v>179</v>
      </c>
      <c r="E6232" s="12" t="s">
        <v>16</v>
      </c>
      <c r="F6232" s="14">
        <v>100000</v>
      </c>
      <c r="G6232" s="14">
        <v>73300</v>
      </c>
      <c r="H6232" s="13" t="s">
        <v>9993</v>
      </c>
      <c r="I6232" s="40" t="s">
        <v>18</v>
      </c>
      <c r="J6232" s="40" t="str">
        <f>HYPERLINK("https://stock.pstatic.net/stock-research/company/64/20260113_company_152753000.pdf","PDF")</f>
        <v>PDF</v>
      </c>
      <c r="K6232" s="12" t="s">
        <v>9994</v>
      </c>
      <c r="L6232" s="20">
        <v>0.36425648021828111</v>
      </c>
    </row>
    <row r="6233" spans="1:12" x14ac:dyDescent="0.45">
      <c r="A6233" s="12" t="s">
        <v>9960</v>
      </c>
      <c r="B6233" s="12" t="s">
        <v>1686</v>
      </c>
      <c r="C6233" s="13" t="s">
        <v>1687</v>
      </c>
      <c r="D6233" s="13" t="s">
        <v>23</v>
      </c>
      <c r="E6233" s="12" t="s">
        <v>16</v>
      </c>
      <c r="F6233" s="14">
        <v>1750000</v>
      </c>
      <c r="G6233" s="14">
        <v>1196000</v>
      </c>
      <c r="H6233" s="13" t="s">
        <v>9995</v>
      </c>
      <c r="I6233" s="40" t="s">
        <v>18</v>
      </c>
      <c r="J6233" s="40" t="str">
        <f>HYPERLINK("https://stock.pstatic.net/stock-research/company/21/20260113_company_502654000.pdf","PDF")</f>
        <v>PDF</v>
      </c>
      <c r="K6233" s="12" t="s">
        <v>9996</v>
      </c>
      <c r="L6233" s="20">
        <v>0.46321070234113709</v>
      </c>
    </row>
    <row r="6234" spans="1:12" x14ac:dyDescent="0.45">
      <c r="A6234" s="12" t="s">
        <v>9960</v>
      </c>
      <c r="B6234" s="12" t="s">
        <v>1308</v>
      </c>
      <c r="C6234" s="13" t="s">
        <v>1309</v>
      </c>
      <c r="D6234" s="13" t="s">
        <v>23</v>
      </c>
      <c r="E6234" s="12" t="s">
        <v>16</v>
      </c>
      <c r="F6234" s="14">
        <v>570000</v>
      </c>
      <c r="G6234" s="14">
        <v>409000</v>
      </c>
      <c r="H6234" s="13" t="s">
        <v>9997</v>
      </c>
      <c r="I6234" s="40" t="s">
        <v>18</v>
      </c>
      <c r="J6234" s="40" t="str">
        <f>HYPERLINK("https://stock.pstatic.net/stock-research/company/21/20260113_company_70296000.pdf","PDF")</f>
        <v>PDF</v>
      </c>
      <c r="K6234" s="12" t="s">
        <v>9998</v>
      </c>
      <c r="L6234" s="20">
        <v>0.39364303178484111</v>
      </c>
    </row>
    <row r="6235" spans="1:12" x14ac:dyDescent="0.45">
      <c r="A6235" s="12" t="s">
        <v>9960</v>
      </c>
      <c r="B6235" s="12" t="s">
        <v>1666</v>
      </c>
      <c r="C6235" s="13" t="s">
        <v>1667</v>
      </c>
      <c r="D6235" s="13" t="s">
        <v>179</v>
      </c>
      <c r="E6235" s="12" t="s">
        <v>16</v>
      </c>
      <c r="F6235" s="14">
        <v>79000</v>
      </c>
      <c r="G6235" s="14">
        <v>49100</v>
      </c>
      <c r="H6235" s="13" t="s">
        <v>9999</v>
      </c>
      <c r="I6235" s="40" t="s">
        <v>18</v>
      </c>
      <c r="J6235" s="40" t="str">
        <f>HYPERLINK("https://stock.pstatic.net/stock-research/company/64/20260113_company_169025000.pdf","PDF")</f>
        <v>PDF</v>
      </c>
      <c r="K6235" s="12" t="s">
        <v>10000</v>
      </c>
      <c r="L6235" s="20">
        <v>0.6089613034623218</v>
      </c>
    </row>
    <row r="6236" spans="1:12" x14ac:dyDescent="0.45">
      <c r="A6236" s="12" t="s">
        <v>9960</v>
      </c>
      <c r="B6236" s="12" t="s">
        <v>2956</v>
      </c>
      <c r="C6236" s="13" t="s">
        <v>2957</v>
      </c>
      <c r="D6236" s="13" t="s">
        <v>92</v>
      </c>
      <c r="E6236" s="12" t="s">
        <v>35</v>
      </c>
      <c r="F6236" s="14">
        <v>24000</v>
      </c>
      <c r="G6236" s="14">
        <v>19030</v>
      </c>
      <c r="H6236" s="13" t="s">
        <v>10001</v>
      </c>
      <c r="I6236" s="40" t="s">
        <v>18</v>
      </c>
      <c r="J6236" s="40" t="str">
        <f>HYPERLINK("https://stock.pstatic.net/stock-research/company/63/20260113_company_896685000.pdf","PDF")</f>
        <v>PDF</v>
      </c>
      <c r="K6236" s="12" t="s">
        <v>10002</v>
      </c>
      <c r="L6236" s="20">
        <v>0.26116657908565422</v>
      </c>
    </row>
    <row r="6237" spans="1:12" x14ac:dyDescent="0.45">
      <c r="A6237" s="12" t="s">
        <v>9960</v>
      </c>
      <c r="B6237" s="12" t="s">
        <v>1682</v>
      </c>
      <c r="C6237" s="13" t="s">
        <v>4787</v>
      </c>
      <c r="D6237" s="13" t="s">
        <v>179</v>
      </c>
      <c r="E6237" s="12" t="s">
        <v>16</v>
      </c>
      <c r="F6237" s="14">
        <v>300000</v>
      </c>
      <c r="G6237" s="14">
        <v>223500</v>
      </c>
      <c r="H6237" s="13" t="s">
        <v>10003</v>
      </c>
      <c r="I6237" s="40" t="s">
        <v>18</v>
      </c>
      <c r="J6237" s="40" t="str">
        <f>HYPERLINK("https://stock.pstatic.net/stock-research/company/64/20260113_company_358298000.pdf","PDF")</f>
        <v>PDF</v>
      </c>
      <c r="K6237" s="12" t="s">
        <v>10004</v>
      </c>
      <c r="L6237" s="20">
        <v>0.34228187919463088</v>
      </c>
    </row>
    <row r="6238" spans="1:12" x14ac:dyDescent="0.45">
      <c r="A6238" s="12" t="s">
        <v>9960</v>
      </c>
      <c r="B6238" s="12" t="s">
        <v>4864</v>
      </c>
      <c r="C6238" s="13" t="s">
        <v>4865</v>
      </c>
      <c r="D6238" s="13" t="s">
        <v>23</v>
      </c>
      <c r="E6238" s="12" t="s">
        <v>50</v>
      </c>
      <c r="F6238" s="14">
        <v>32000</v>
      </c>
      <c r="G6238" s="14">
        <v>30350</v>
      </c>
      <c r="H6238" s="13" t="s">
        <v>10005</v>
      </c>
      <c r="I6238" s="40" t="s">
        <v>18</v>
      </c>
      <c r="J6238" s="40" t="str">
        <f>HYPERLINK("https://stock.pstatic.net/stock-research/company/21/20260113_company_921075000.pdf","PDF")</f>
        <v>PDF</v>
      </c>
      <c r="K6238" s="12" t="s">
        <v>10006</v>
      </c>
      <c r="L6238" s="20">
        <v>5.4365733113673813E-2</v>
      </c>
    </row>
    <row r="6239" spans="1:12" x14ac:dyDescent="0.45">
      <c r="A6239" s="12" t="s">
        <v>9960</v>
      </c>
      <c r="B6239" s="12" t="s">
        <v>3164</v>
      </c>
      <c r="C6239" s="13" t="s">
        <v>3165</v>
      </c>
      <c r="D6239" s="13" t="s">
        <v>44</v>
      </c>
      <c r="E6239" s="12" t="s">
        <v>50</v>
      </c>
      <c r="F6239" s="13"/>
      <c r="G6239" s="14">
        <v>91100</v>
      </c>
      <c r="H6239" s="13" t="s">
        <v>10007</v>
      </c>
      <c r="I6239" s="40" t="s">
        <v>18</v>
      </c>
      <c r="J6239" s="40" t="str">
        <f>HYPERLINK("https://stock.pstatic.net/stock-research/company/39/20260113_company_410576000.pdf","PDF")</f>
        <v>PDF</v>
      </c>
      <c r="K6239" s="12" t="s">
        <v>10008</v>
      </c>
    </row>
    <row r="6240" spans="1:12" x14ac:dyDescent="0.45">
      <c r="A6240" s="12" t="s">
        <v>9960</v>
      </c>
      <c r="B6240" s="12" t="s">
        <v>519</v>
      </c>
      <c r="C6240" s="13" t="s">
        <v>520</v>
      </c>
      <c r="D6240" s="13" t="s">
        <v>44</v>
      </c>
      <c r="E6240" s="12" t="s">
        <v>35</v>
      </c>
      <c r="F6240" s="14">
        <v>450000</v>
      </c>
      <c r="G6240" s="14">
        <v>367000</v>
      </c>
      <c r="H6240" s="13" t="s">
        <v>10009</v>
      </c>
      <c r="I6240" s="40" t="s">
        <v>18</v>
      </c>
      <c r="J6240" s="40" t="str">
        <f>HYPERLINK("https://stock.pstatic.net/stock-research/company/39/20260113_company_324063000.pdf","PDF")</f>
        <v>PDF</v>
      </c>
      <c r="K6240" s="12" t="s">
        <v>10010</v>
      </c>
      <c r="L6240" s="20">
        <v>0.226158038147139</v>
      </c>
    </row>
    <row r="6241" spans="1:12" x14ac:dyDescent="0.45">
      <c r="A6241" s="12" t="s">
        <v>9960</v>
      </c>
      <c r="B6241" s="12" t="s">
        <v>5503</v>
      </c>
      <c r="C6241" s="13" t="s">
        <v>5504</v>
      </c>
      <c r="D6241" s="13" t="s">
        <v>124</v>
      </c>
      <c r="E6241" s="12" t="s">
        <v>50</v>
      </c>
      <c r="F6241" s="13"/>
      <c r="G6241" s="13"/>
      <c r="H6241" s="13" t="s">
        <v>10011</v>
      </c>
      <c r="I6241" s="40" t="s">
        <v>18</v>
      </c>
      <c r="J6241" s="40" t="str">
        <f>HYPERLINK("https://stock.pstatic.net/stock-research/company/74/20260122_company_238242000.pdf","PDF")</f>
        <v>PDF</v>
      </c>
      <c r="K6241" s="12" t="s">
        <v>10012</v>
      </c>
    </row>
    <row r="6242" spans="1:12" x14ac:dyDescent="0.45">
      <c r="A6242" s="12" t="s">
        <v>9960</v>
      </c>
      <c r="B6242" s="12" t="s">
        <v>2950</v>
      </c>
      <c r="C6242" s="13" t="s">
        <v>2951</v>
      </c>
      <c r="D6242" s="13" t="s">
        <v>15</v>
      </c>
      <c r="E6242" s="12" t="s">
        <v>16</v>
      </c>
      <c r="F6242" s="14">
        <v>105000</v>
      </c>
      <c r="G6242" s="14">
        <v>84200</v>
      </c>
      <c r="H6242" s="13" t="s">
        <v>10013</v>
      </c>
      <c r="I6242" s="40" t="s">
        <v>18</v>
      </c>
      <c r="J6242" s="40" t="str">
        <f>HYPERLINK("https://stock.pstatic.net/stock-research/company/56/20260113_company_883312000.pdf","PDF")</f>
        <v>PDF</v>
      </c>
      <c r="K6242" s="12" t="s">
        <v>10014</v>
      </c>
      <c r="L6242" s="20">
        <v>0.2470308788598575</v>
      </c>
    </row>
    <row r="6243" spans="1:12" x14ac:dyDescent="0.45">
      <c r="A6243" s="12" t="s">
        <v>9960</v>
      </c>
      <c r="B6243" s="12" t="s">
        <v>1144</v>
      </c>
      <c r="C6243" s="13" t="s">
        <v>1145</v>
      </c>
      <c r="D6243" s="13" t="s">
        <v>15</v>
      </c>
      <c r="E6243" s="12" t="s">
        <v>16</v>
      </c>
      <c r="F6243" s="14">
        <v>121000</v>
      </c>
      <c r="G6243" s="14">
        <v>97400</v>
      </c>
      <c r="H6243" s="13" t="s">
        <v>10015</v>
      </c>
      <c r="I6243" s="40" t="s">
        <v>18</v>
      </c>
      <c r="J6243" s="40" t="str">
        <f>HYPERLINK("https://stock.pstatic.net/stock-research/company/56/20260113_company_343257000.pdf","PDF")</f>
        <v>PDF</v>
      </c>
      <c r="K6243" s="12" t="s">
        <v>10016</v>
      </c>
      <c r="L6243" s="20">
        <v>0.242299794661191</v>
      </c>
    </row>
    <row r="6244" spans="1:12" x14ac:dyDescent="0.45">
      <c r="A6244" s="12" t="s">
        <v>10017</v>
      </c>
      <c r="B6244" s="12" t="s">
        <v>2425</v>
      </c>
      <c r="C6244" s="13" t="s">
        <v>2426</v>
      </c>
      <c r="D6244" s="13" t="s">
        <v>276</v>
      </c>
      <c r="E6244" s="12" t="s">
        <v>16</v>
      </c>
      <c r="F6244" s="14">
        <v>180000</v>
      </c>
      <c r="G6244" s="14">
        <v>142200</v>
      </c>
      <c r="H6244" s="13" t="s">
        <v>10018</v>
      </c>
      <c r="I6244" s="40" t="s">
        <v>18</v>
      </c>
      <c r="J6244" s="40" t="str">
        <f>HYPERLINK("https://stock.pstatic.net/stock-research/company/66/20260112_company_921689000.pdf","PDF")</f>
        <v>PDF</v>
      </c>
      <c r="K6244" s="12" t="s">
        <v>10019</v>
      </c>
      <c r="L6244" s="20">
        <v>0.26582278481012661</v>
      </c>
    </row>
    <row r="6245" spans="1:12" x14ac:dyDescent="0.45">
      <c r="A6245" s="12" t="s">
        <v>10017</v>
      </c>
      <c r="B6245" s="12" t="s">
        <v>3284</v>
      </c>
      <c r="C6245" s="13" t="s">
        <v>3285</v>
      </c>
      <c r="D6245" s="13" t="s">
        <v>276</v>
      </c>
      <c r="E6245" s="12" t="s">
        <v>16</v>
      </c>
      <c r="F6245" s="14">
        <v>160000</v>
      </c>
      <c r="G6245" s="14">
        <v>134400</v>
      </c>
      <c r="H6245" s="13" t="s">
        <v>10020</v>
      </c>
      <c r="I6245" s="40" t="s">
        <v>18</v>
      </c>
      <c r="J6245" s="40" t="str">
        <f>HYPERLINK("https://stock.pstatic.net/stock-research/company/66/20260112_company_642348000.pdf","PDF")</f>
        <v>PDF</v>
      </c>
      <c r="K6245" s="12" t="s">
        <v>10021</v>
      </c>
      <c r="L6245" s="20">
        <v>0.19047619047619049</v>
      </c>
    </row>
    <row r="6246" spans="1:12" x14ac:dyDescent="0.45">
      <c r="A6246" s="12" t="s">
        <v>10017</v>
      </c>
      <c r="B6246" s="12" t="s">
        <v>42</v>
      </c>
      <c r="C6246" s="13" t="s">
        <v>43</v>
      </c>
      <c r="D6246" s="13" t="s">
        <v>276</v>
      </c>
      <c r="E6246" s="12" t="s">
        <v>16</v>
      </c>
      <c r="F6246" s="14">
        <v>400000</v>
      </c>
      <c r="G6246" s="14">
        <v>254000</v>
      </c>
      <c r="H6246" s="13" t="s">
        <v>10022</v>
      </c>
      <c r="I6246" s="40" t="s">
        <v>18</v>
      </c>
      <c r="J6246" s="40" t="str">
        <f>HYPERLINK("https://stock.pstatic.net/stock-research/company/66/20260112_company_546171000.pdf","PDF")</f>
        <v>PDF</v>
      </c>
      <c r="K6246" s="12" t="s">
        <v>10023</v>
      </c>
      <c r="L6246" s="20">
        <v>0.57480314960629919</v>
      </c>
    </row>
    <row r="6247" spans="1:12" x14ac:dyDescent="0.45">
      <c r="A6247" s="12" t="s">
        <v>10017</v>
      </c>
      <c r="B6247" s="12" t="s">
        <v>916</v>
      </c>
      <c r="C6247" s="13" t="s">
        <v>917</v>
      </c>
      <c r="D6247" s="13" t="s">
        <v>276</v>
      </c>
      <c r="E6247" s="12" t="s">
        <v>16</v>
      </c>
      <c r="F6247" s="14">
        <v>75000</v>
      </c>
      <c r="G6247" s="14">
        <v>58200</v>
      </c>
      <c r="H6247" s="13" t="s">
        <v>10024</v>
      </c>
      <c r="I6247" s="40" t="s">
        <v>18</v>
      </c>
      <c r="J6247" s="40" t="str">
        <f>HYPERLINK("https://stock.pstatic.net/stock-research/company/66/20260112_company_642516000.pdf","PDF")</f>
        <v>PDF</v>
      </c>
      <c r="K6247" s="12" t="s">
        <v>10025</v>
      </c>
      <c r="L6247" s="20">
        <v>0.28865979381443302</v>
      </c>
    </row>
    <row r="6248" spans="1:12" x14ac:dyDescent="0.45">
      <c r="A6248" s="12" t="s">
        <v>10017</v>
      </c>
      <c r="B6248" s="12" t="s">
        <v>2795</v>
      </c>
      <c r="C6248" s="13" t="s">
        <v>2796</v>
      </c>
      <c r="D6248" s="13" t="s">
        <v>65</v>
      </c>
      <c r="E6248" s="12" t="s">
        <v>35</v>
      </c>
      <c r="F6248" s="14">
        <v>5400</v>
      </c>
      <c r="G6248" s="14">
        <v>3880</v>
      </c>
      <c r="H6248" s="13" t="s">
        <v>10026</v>
      </c>
      <c r="I6248" s="40" t="s">
        <v>18</v>
      </c>
      <c r="J6248" s="40" t="str">
        <f>HYPERLINK("https://stock.pstatic.net/stock-research/company/57/20260112_company_817373000.pdf","PDF")</f>
        <v>PDF</v>
      </c>
      <c r="K6248" s="12" t="s">
        <v>10027</v>
      </c>
      <c r="L6248" s="20">
        <v>0.39175257731958762</v>
      </c>
    </row>
    <row r="6249" spans="1:12" x14ac:dyDescent="0.45">
      <c r="A6249" s="12" t="s">
        <v>10017</v>
      </c>
      <c r="B6249" s="12" t="s">
        <v>4567</v>
      </c>
      <c r="C6249" s="13" t="s">
        <v>4568</v>
      </c>
      <c r="D6249" s="13" t="s">
        <v>65</v>
      </c>
      <c r="E6249" s="12" t="s">
        <v>35</v>
      </c>
      <c r="F6249" s="14">
        <v>59000</v>
      </c>
      <c r="G6249" s="14">
        <v>42000</v>
      </c>
      <c r="H6249" s="13" t="s">
        <v>5793</v>
      </c>
      <c r="I6249" s="40" t="s">
        <v>18</v>
      </c>
      <c r="J6249" s="40" t="str">
        <f>HYPERLINK("https://stock.pstatic.net/stock-research/company/57/20260112_company_484242000.pdf","PDF")</f>
        <v>PDF</v>
      </c>
      <c r="K6249" s="12" t="s">
        <v>10028</v>
      </c>
      <c r="L6249" s="20">
        <v>0.40476190476190482</v>
      </c>
    </row>
    <row r="6250" spans="1:12" x14ac:dyDescent="0.45">
      <c r="A6250" s="12" t="s">
        <v>10017</v>
      </c>
      <c r="B6250" s="12" t="s">
        <v>1670</v>
      </c>
      <c r="C6250" s="13" t="s">
        <v>1671</v>
      </c>
      <c r="D6250" s="13" t="s">
        <v>65</v>
      </c>
      <c r="E6250" s="12" t="s">
        <v>35</v>
      </c>
      <c r="F6250" s="14">
        <v>180000</v>
      </c>
      <c r="G6250" s="14">
        <v>121700</v>
      </c>
      <c r="H6250" s="13" t="s">
        <v>10029</v>
      </c>
      <c r="I6250" s="40" t="s">
        <v>18</v>
      </c>
      <c r="J6250" s="40" t="str">
        <f>HYPERLINK("https://stock.pstatic.net/stock-research/company/57/20260112_company_633490000.pdf","PDF")</f>
        <v>PDF</v>
      </c>
      <c r="K6250" s="12" t="s">
        <v>10030</v>
      </c>
      <c r="L6250" s="20">
        <v>0.47904683648315532</v>
      </c>
    </row>
    <row r="6251" spans="1:12" x14ac:dyDescent="0.45">
      <c r="A6251" s="12" t="s">
        <v>10017</v>
      </c>
      <c r="B6251" s="12" t="s">
        <v>1682</v>
      </c>
      <c r="C6251" s="13" t="s">
        <v>4787</v>
      </c>
      <c r="D6251" s="13" t="s">
        <v>65</v>
      </c>
      <c r="E6251" s="12" t="s">
        <v>35</v>
      </c>
      <c r="F6251" s="14">
        <v>320000</v>
      </c>
      <c r="G6251" s="14">
        <v>223000</v>
      </c>
      <c r="H6251" s="13" t="s">
        <v>10031</v>
      </c>
      <c r="I6251" s="40" t="s">
        <v>18</v>
      </c>
      <c r="J6251" s="40" t="str">
        <f>HYPERLINK("https://stock.pstatic.net/stock-research/company/57/20260112_company_745981000.pdf","PDF")</f>
        <v>PDF</v>
      </c>
      <c r="K6251" s="12" t="s">
        <v>10032</v>
      </c>
      <c r="L6251" s="20">
        <v>0.4349775784753363</v>
      </c>
    </row>
    <row r="6252" spans="1:12" x14ac:dyDescent="0.45">
      <c r="A6252" s="12" t="s">
        <v>10017</v>
      </c>
      <c r="B6252" s="12" t="s">
        <v>2522</v>
      </c>
      <c r="C6252" s="13" t="s">
        <v>2523</v>
      </c>
      <c r="D6252" s="13" t="s">
        <v>65</v>
      </c>
      <c r="E6252" s="12" t="s">
        <v>35</v>
      </c>
      <c r="F6252" s="14">
        <v>420000</v>
      </c>
      <c r="G6252" s="14">
        <v>230000</v>
      </c>
      <c r="H6252" s="13" t="s">
        <v>10033</v>
      </c>
      <c r="I6252" s="40" t="s">
        <v>18</v>
      </c>
      <c r="J6252" s="40" t="str">
        <f>HYPERLINK("https://stock.pstatic.net/stock-research/company/57/20260112_company_600644000.pdf","PDF")</f>
        <v>PDF</v>
      </c>
      <c r="K6252" s="12" t="s">
        <v>10034</v>
      </c>
      <c r="L6252" s="20">
        <v>0.82608695652173914</v>
      </c>
    </row>
    <row r="6253" spans="1:12" x14ac:dyDescent="0.45">
      <c r="A6253" s="12" t="s">
        <v>10017</v>
      </c>
      <c r="B6253" s="12" t="s">
        <v>1781</v>
      </c>
      <c r="C6253" s="13" t="s">
        <v>1782</v>
      </c>
      <c r="D6253" s="13" t="s">
        <v>65</v>
      </c>
      <c r="E6253" s="12" t="s">
        <v>35</v>
      </c>
      <c r="F6253" s="14">
        <v>108000</v>
      </c>
      <c r="G6253" s="14">
        <v>89100</v>
      </c>
      <c r="H6253" s="13" t="s">
        <v>10035</v>
      </c>
      <c r="I6253" s="40" t="s">
        <v>18</v>
      </c>
      <c r="J6253" s="40" t="str">
        <f>HYPERLINK("https://stock.pstatic.net/stock-research/company/57/20260112_company_377439000.pdf","PDF")</f>
        <v>PDF</v>
      </c>
      <c r="K6253" s="12" t="s">
        <v>10036</v>
      </c>
      <c r="L6253" s="20">
        <v>0.2121212121212121</v>
      </c>
    </row>
    <row r="6254" spans="1:12" x14ac:dyDescent="0.45">
      <c r="A6254" s="12" t="s">
        <v>10017</v>
      </c>
      <c r="B6254" s="12" t="s">
        <v>2944</v>
      </c>
      <c r="C6254" s="13" t="s">
        <v>2945</v>
      </c>
      <c r="D6254" s="13" t="s">
        <v>65</v>
      </c>
      <c r="E6254" s="12" t="s">
        <v>35</v>
      </c>
      <c r="F6254" s="14">
        <v>21000</v>
      </c>
      <c r="G6254" s="14">
        <v>15300</v>
      </c>
      <c r="H6254" s="13" t="s">
        <v>10037</v>
      </c>
      <c r="I6254" s="40" t="s">
        <v>18</v>
      </c>
      <c r="J6254" s="40" t="str">
        <f>HYPERLINK("https://stock.pstatic.net/stock-research/company/57/20260112_company_995752000.pdf","PDF")</f>
        <v>PDF</v>
      </c>
      <c r="K6254" s="12" t="s">
        <v>10038</v>
      </c>
      <c r="L6254" s="20">
        <v>0.37254901960784309</v>
      </c>
    </row>
    <row r="6255" spans="1:12" x14ac:dyDescent="0.45">
      <c r="A6255" s="12" t="s">
        <v>10017</v>
      </c>
      <c r="B6255" s="12" t="s">
        <v>1023</v>
      </c>
      <c r="C6255" s="13" t="s">
        <v>15</v>
      </c>
      <c r="D6255" s="13" t="s">
        <v>65</v>
      </c>
      <c r="E6255" s="12" t="s">
        <v>35</v>
      </c>
      <c r="F6255" s="14">
        <v>36000</v>
      </c>
      <c r="G6255" s="14">
        <v>27100</v>
      </c>
      <c r="H6255" s="13" t="s">
        <v>10039</v>
      </c>
      <c r="I6255" s="40" t="s">
        <v>18</v>
      </c>
      <c r="J6255" s="40" t="str">
        <f>HYPERLINK("https://stock.pstatic.net/stock-research/company/57/20260112_company_389573000.pdf","PDF")</f>
        <v>PDF</v>
      </c>
      <c r="K6255" s="12" t="s">
        <v>10040</v>
      </c>
      <c r="L6255" s="20">
        <v>0.32841328413284132</v>
      </c>
    </row>
    <row r="6256" spans="1:12" x14ac:dyDescent="0.45">
      <c r="A6256" s="12" t="s">
        <v>10017</v>
      </c>
      <c r="B6256" s="12" t="s">
        <v>174</v>
      </c>
      <c r="C6256" s="13" t="s">
        <v>44</v>
      </c>
      <c r="D6256" s="13" t="s">
        <v>65</v>
      </c>
      <c r="E6256" s="12" t="s">
        <v>35</v>
      </c>
      <c r="F6256" s="14">
        <v>410000</v>
      </c>
      <c r="G6256" s="14">
        <v>315000</v>
      </c>
      <c r="H6256" s="13" t="s">
        <v>10041</v>
      </c>
      <c r="I6256" s="40" t="s">
        <v>18</v>
      </c>
      <c r="J6256" s="40" t="str">
        <f>HYPERLINK("https://stock.pstatic.net/stock-research/company/57/20260112_company_910600000.pdf","PDF")</f>
        <v>PDF</v>
      </c>
      <c r="K6256" s="12" t="s">
        <v>10042</v>
      </c>
      <c r="L6256" s="20">
        <v>0.30158730158730163</v>
      </c>
    </row>
    <row r="6257" spans="1:12" x14ac:dyDescent="0.45">
      <c r="A6257" s="12" t="s">
        <v>10017</v>
      </c>
      <c r="B6257" s="12" t="s">
        <v>1120</v>
      </c>
      <c r="C6257" s="13" t="s">
        <v>1121</v>
      </c>
      <c r="D6257" s="13" t="s">
        <v>65</v>
      </c>
      <c r="E6257" s="12" t="s">
        <v>35</v>
      </c>
      <c r="F6257" s="14">
        <v>155000</v>
      </c>
      <c r="G6257" s="14">
        <v>103100</v>
      </c>
      <c r="H6257" s="13" t="s">
        <v>10043</v>
      </c>
      <c r="I6257" s="40" t="s">
        <v>18</v>
      </c>
      <c r="J6257" s="40" t="str">
        <f>HYPERLINK("https://stock.pstatic.net/stock-research/company/57/20260112_company_944116000.pdf","PDF")</f>
        <v>PDF</v>
      </c>
      <c r="K6257" s="12" t="s">
        <v>10044</v>
      </c>
      <c r="L6257" s="20">
        <v>0.50339476236663439</v>
      </c>
    </row>
    <row r="6258" spans="1:12" x14ac:dyDescent="0.45">
      <c r="A6258" s="12" t="s">
        <v>10017</v>
      </c>
      <c r="B6258" s="12" t="s">
        <v>541</v>
      </c>
      <c r="C6258" s="13" t="s">
        <v>542</v>
      </c>
      <c r="D6258" s="13" t="s">
        <v>65</v>
      </c>
      <c r="E6258" s="12" t="s">
        <v>35</v>
      </c>
      <c r="F6258" s="14">
        <v>55000</v>
      </c>
      <c r="G6258" s="14">
        <v>53000</v>
      </c>
      <c r="H6258" s="13" t="s">
        <v>10045</v>
      </c>
      <c r="I6258" s="40" t="s">
        <v>18</v>
      </c>
      <c r="J6258" s="40" t="str">
        <f>HYPERLINK("https://stock.pstatic.net/stock-research/company/57/20260112_company_852422000.pdf","PDF")</f>
        <v>PDF</v>
      </c>
      <c r="K6258" s="12" t="s">
        <v>10046</v>
      </c>
      <c r="L6258" s="20">
        <v>3.7735849056603772E-2</v>
      </c>
    </row>
    <row r="6259" spans="1:12" x14ac:dyDescent="0.45">
      <c r="A6259" s="12" t="s">
        <v>10017</v>
      </c>
      <c r="B6259" s="12" t="s">
        <v>2378</v>
      </c>
      <c r="C6259" s="13" t="s">
        <v>2379</v>
      </c>
      <c r="D6259" s="13" t="s">
        <v>65</v>
      </c>
      <c r="E6259" s="12" t="s">
        <v>35</v>
      </c>
      <c r="F6259" s="14">
        <v>559000</v>
      </c>
      <c r="G6259" s="14">
        <v>363000</v>
      </c>
      <c r="H6259" s="13" t="s">
        <v>10047</v>
      </c>
      <c r="I6259" s="40" t="s">
        <v>18</v>
      </c>
      <c r="J6259" s="40" t="str">
        <f>HYPERLINK("https://stock.pstatic.net/stock-research/company/57/20260112_company_302365000.pdf","PDF")</f>
        <v>PDF</v>
      </c>
      <c r="K6259" s="12" t="s">
        <v>10048</v>
      </c>
      <c r="L6259" s="20">
        <v>0.53994490358126723</v>
      </c>
    </row>
    <row r="6260" spans="1:12" x14ac:dyDescent="0.45">
      <c r="A6260" s="12" t="s">
        <v>10017</v>
      </c>
      <c r="B6260" s="12" t="s">
        <v>3284</v>
      </c>
      <c r="C6260" s="13" t="s">
        <v>3285</v>
      </c>
      <c r="D6260" s="13" t="s">
        <v>57</v>
      </c>
      <c r="E6260" s="12" t="s">
        <v>35</v>
      </c>
      <c r="F6260" s="14">
        <v>165000</v>
      </c>
      <c r="G6260" s="14">
        <v>134400</v>
      </c>
      <c r="H6260" s="13" t="s">
        <v>10049</v>
      </c>
      <c r="I6260" s="40" t="s">
        <v>18</v>
      </c>
      <c r="J6260" s="40" t="str">
        <f>HYPERLINK("https://stock.pstatic.net/stock-research/company/16/20260112_company_327331000.pdf","PDF")</f>
        <v>PDF</v>
      </c>
      <c r="K6260" s="12" t="s">
        <v>10050</v>
      </c>
      <c r="L6260" s="20">
        <v>0.2276785714285714</v>
      </c>
    </row>
    <row r="6261" spans="1:12" x14ac:dyDescent="0.45">
      <c r="A6261" s="12" t="s">
        <v>10017</v>
      </c>
      <c r="B6261" s="12" t="s">
        <v>2378</v>
      </c>
      <c r="C6261" s="13" t="s">
        <v>2379</v>
      </c>
      <c r="D6261" s="13" t="s">
        <v>57</v>
      </c>
      <c r="E6261" s="12" t="s">
        <v>35</v>
      </c>
      <c r="F6261" s="14">
        <v>500000</v>
      </c>
      <c r="G6261" s="14">
        <v>315000</v>
      </c>
      <c r="H6261" s="13" t="s">
        <v>10051</v>
      </c>
      <c r="I6261" s="40" t="s">
        <v>18</v>
      </c>
      <c r="J6261" s="40" t="str">
        <f>HYPERLINK("https://stock.pstatic.net/stock-research/company/16/20260112_company_186098000.pdf","PDF")</f>
        <v>PDF</v>
      </c>
      <c r="K6261" s="12" t="s">
        <v>10052</v>
      </c>
      <c r="L6261" s="20">
        <v>0.58730158730158732</v>
      </c>
    </row>
    <row r="6262" spans="1:12" x14ac:dyDescent="0.45">
      <c r="A6262" s="12" t="s">
        <v>10017</v>
      </c>
      <c r="B6262" s="12" t="s">
        <v>4095</v>
      </c>
      <c r="C6262" s="13" t="s">
        <v>4096</v>
      </c>
      <c r="D6262" s="13" t="s">
        <v>158</v>
      </c>
      <c r="E6262" s="12" t="s">
        <v>35</v>
      </c>
      <c r="F6262" s="14">
        <v>220000</v>
      </c>
      <c r="G6262" s="14">
        <v>129100</v>
      </c>
      <c r="H6262" s="13" t="s">
        <v>10053</v>
      </c>
      <c r="I6262" s="40" t="s">
        <v>18</v>
      </c>
      <c r="J6262" s="40" t="str">
        <f>HYPERLINK("https://stock.pstatic.net/stock-research/company/18/20260112_company_173265000.pdf","PDF")</f>
        <v>PDF</v>
      </c>
      <c r="K6262" s="12" t="s">
        <v>10054</v>
      </c>
      <c r="L6262" s="20">
        <v>0.70410534469403563</v>
      </c>
    </row>
    <row r="6263" spans="1:12" x14ac:dyDescent="0.45">
      <c r="A6263" s="12" t="s">
        <v>10017</v>
      </c>
      <c r="B6263" s="12" t="s">
        <v>3024</v>
      </c>
      <c r="C6263" s="13" t="s">
        <v>3025</v>
      </c>
      <c r="D6263" s="13" t="s">
        <v>158</v>
      </c>
      <c r="E6263" s="12" t="s">
        <v>35</v>
      </c>
      <c r="F6263" s="14">
        <v>66000</v>
      </c>
      <c r="G6263" s="14">
        <v>48700</v>
      </c>
      <c r="H6263" s="13" t="s">
        <v>10055</v>
      </c>
      <c r="I6263" s="40" t="s">
        <v>18</v>
      </c>
      <c r="J6263" s="40" t="str">
        <f>HYPERLINK("https://stock.pstatic.net/stock-research/company/18/20260112_company_753213000.pdf","PDF")</f>
        <v>PDF</v>
      </c>
      <c r="K6263" s="12" t="s">
        <v>10056</v>
      </c>
      <c r="L6263" s="20">
        <v>0.35523613963039008</v>
      </c>
    </row>
    <row r="6264" spans="1:12" x14ac:dyDescent="0.45">
      <c r="A6264" s="12" t="s">
        <v>10017</v>
      </c>
      <c r="B6264" s="12" t="s">
        <v>744</v>
      </c>
      <c r="C6264" s="13" t="s">
        <v>745</v>
      </c>
      <c r="D6264" s="13" t="s">
        <v>158</v>
      </c>
      <c r="E6264" s="12" t="s">
        <v>35</v>
      </c>
      <c r="F6264" s="14">
        <v>34000</v>
      </c>
      <c r="G6264" s="14">
        <v>28650</v>
      </c>
      <c r="H6264" s="13" t="s">
        <v>10057</v>
      </c>
      <c r="I6264" s="40" t="s">
        <v>18</v>
      </c>
      <c r="J6264" s="40" t="str">
        <f>HYPERLINK("https://stock.pstatic.net/stock-research/company/18/20260112_company_440305000.pdf","PDF")</f>
        <v>PDF</v>
      </c>
      <c r="K6264" s="12" t="s">
        <v>10058</v>
      </c>
      <c r="L6264" s="20">
        <v>0.1867364746945899</v>
      </c>
    </row>
    <row r="6265" spans="1:12" x14ac:dyDescent="0.45">
      <c r="A6265" s="12" t="s">
        <v>10017</v>
      </c>
      <c r="B6265" s="12" t="s">
        <v>3284</v>
      </c>
      <c r="C6265" s="13" t="s">
        <v>3285</v>
      </c>
      <c r="D6265" s="13" t="s">
        <v>158</v>
      </c>
      <c r="E6265" s="12" t="s">
        <v>35</v>
      </c>
      <c r="F6265" s="14">
        <v>179000</v>
      </c>
      <c r="G6265" s="14">
        <v>134400</v>
      </c>
      <c r="H6265" s="13" t="s">
        <v>10059</v>
      </c>
      <c r="I6265" s="40" t="s">
        <v>18</v>
      </c>
      <c r="J6265" s="40" t="str">
        <f>HYPERLINK("https://stock.pstatic.net/stock-research/company/18/20260112_company_526761000.pdf","PDF")</f>
        <v>PDF</v>
      </c>
      <c r="K6265" s="12" t="s">
        <v>10060</v>
      </c>
      <c r="L6265" s="20">
        <v>0.33184523809523808</v>
      </c>
    </row>
    <row r="6266" spans="1:12" x14ac:dyDescent="0.45">
      <c r="A6266" s="12" t="s">
        <v>10017</v>
      </c>
      <c r="B6266" s="12" t="s">
        <v>2378</v>
      </c>
      <c r="C6266" s="13" t="s">
        <v>2379</v>
      </c>
      <c r="D6266" s="13" t="s">
        <v>158</v>
      </c>
      <c r="E6266" s="12" t="s">
        <v>50</v>
      </c>
      <c r="F6266" s="13"/>
      <c r="G6266" s="13"/>
      <c r="H6266" s="13" t="s">
        <v>10061</v>
      </c>
      <c r="I6266" s="40" t="s">
        <v>18</v>
      </c>
      <c r="J6266" s="40" t="str">
        <f>HYPERLINK("https://stock.pstatic.net/stock-research/company/18/20260112_company_778271000.pdf","PDF")</f>
        <v>PDF</v>
      </c>
      <c r="K6266" s="12" t="s">
        <v>10062</v>
      </c>
    </row>
    <row r="6267" spans="1:12" x14ac:dyDescent="0.45">
      <c r="A6267" s="12" t="s">
        <v>10017</v>
      </c>
      <c r="B6267" s="12" t="s">
        <v>13</v>
      </c>
      <c r="C6267" s="13" t="s">
        <v>14</v>
      </c>
      <c r="D6267" s="13" t="s">
        <v>15</v>
      </c>
      <c r="E6267" s="12" t="s">
        <v>16</v>
      </c>
      <c r="F6267" s="14">
        <v>187000</v>
      </c>
      <c r="G6267" s="14">
        <v>139000</v>
      </c>
      <c r="H6267" s="13" t="s">
        <v>10063</v>
      </c>
      <c r="I6267" s="40" t="s">
        <v>18</v>
      </c>
      <c r="J6267" s="40" t="str">
        <f>HYPERLINK("https://stock.pstatic.net/stock-research/company/56/20260112_company_350162000.pdf","PDF")</f>
        <v>PDF</v>
      </c>
      <c r="K6267" s="12" t="s">
        <v>10064</v>
      </c>
      <c r="L6267" s="20">
        <v>0.34532374100719432</v>
      </c>
    </row>
    <row r="6268" spans="1:12" x14ac:dyDescent="0.45">
      <c r="A6268" s="12" t="s">
        <v>10017</v>
      </c>
      <c r="B6268" s="12" t="s">
        <v>3749</v>
      </c>
      <c r="C6268" s="13" t="s">
        <v>3750</v>
      </c>
      <c r="D6268" s="13" t="s">
        <v>15</v>
      </c>
      <c r="E6268" s="12" t="s">
        <v>16</v>
      </c>
      <c r="F6268" s="14">
        <v>290000</v>
      </c>
      <c r="G6268" s="14">
        <v>226500</v>
      </c>
      <c r="H6268" s="13" t="s">
        <v>10065</v>
      </c>
      <c r="I6268" s="40" t="s">
        <v>18</v>
      </c>
      <c r="J6268" s="40" t="str">
        <f>HYPERLINK("https://stock.pstatic.net/stock-research/company/56/20260112_company_952413000.pdf","PDF")</f>
        <v>PDF</v>
      </c>
      <c r="K6268" s="12" t="s">
        <v>10066</v>
      </c>
      <c r="L6268" s="20">
        <v>0.2803532008830022</v>
      </c>
    </row>
    <row r="6269" spans="1:12" x14ac:dyDescent="0.45">
      <c r="A6269" s="12" t="s">
        <v>10017</v>
      </c>
      <c r="B6269" s="12" t="s">
        <v>2378</v>
      </c>
      <c r="C6269" s="13" t="s">
        <v>2379</v>
      </c>
      <c r="D6269" s="13" t="s">
        <v>92</v>
      </c>
      <c r="E6269" s="12" t="s">
        <v>35</v>
      </c>
      <c r="F6269" s="14">
        <v>410000</v>
      </c>
      <c r="G6269" s="14">
        <v>363000</v>
      </c>
      <c r="H6269" s="13" t="s">
        <v>10067</v>
      </c>
      <c r="I6269" s="40" t="s">
        <v>18</v>
      </c>
      <c r="J6269" s="40" t="str">
        <f>HYPERLINK("https://stock.pstatic.net/stock-research/company/63/20260112_company_390329000.pdf","PDF")</f>
        <v>PDF</v>
      </c>
      <c r="K6269" s="12" t="s">
        <v>10068</v>
      </c>
      <c r="L6269" s="20">
        <v>0.1294765840220386</v>
      </c>
    </row>
    <row r="6270" spans="1:12" x14ac:dyDescent="0.45">
      <c r="A6270" s="12" t="s">
        <v>10017</v>
      </c>
      <c r="B6270" s="12" t="s">
        <v>237</v>
      </c>
      <c r="C6270" s="13" t="s">
        <v>238</v>
      </c>
      <c r="D6270" s="13" t="s">
        <v>92</v>
      </c>
      <c r="E6270" s="12" t="s">
        <v>35</v>
      </c>
      <c r="F6270" s="14">
        <v>75000</v>
      </c>
      <c r="G6270" s="14">
        <v>45750</v>
      </c>
      <c r="H6270" s="13" t="s">
        <v>10069</v>
      </c>
      <c r="I6270" s="40" t="s">
        <v>18</v>
      </c>
      <c r="J6270" s="40" t="str">
        <f>HYPERLINK("https://stock.pstatic.net/stock-research/company/63/20260112_company_615924000.pdf","PDF")</f>
        <v>PDF</v>
      </c>
      <c r="K6270" s="12" t="s">
        <v>10070</v>
      </c>
      <c r="L6270" s="20">
        <v>0.63934426229508201</v>
      </c>
    </row>
    <row r="6271" spans="1:12" x14ac:dyDescent="0.45">
      <c r="A6271" s="12" t="s">
        <v>10017</v>
      </c>
      <c r="B6271" s="12" t="s">
        <v>495</v>
      </c>
      <c r="C6271" s="13" t="s">
        <v>496</v>
      </c>
      <c r="D6271" s="13" t="s">
        <v>179</v>
      </c>
      <c r="E6271" s="12" t="s">
        <v>16</v>
      </c>
      <c r="F6271" s="14">
        <v>320000</v>
      </c>
      <c r="G6271" s="14">
        <v>228500</v>
      </c>
      <c r="H6271" s="13" t="s">
        <v>10071</v>
      </c>
      <c r="I6271" s="40" t="s">
        <v>18</v>
      </c>
      <c r="J6271" s="40" t="str">
        <f>HYPERLINK("https://stock.pstatic.net/stock-research/company/64/20260112_company_283387000.pdf","PDF")</f>
        <v>PDF</v>
      </c>
      <c r="K6271" s="12" t="s">
        <v>10072</v>
      </c>
      <c r="L6271" s="20">
        <v>0.40043763676148802</v>
      </c>
    </row>
    <row r="6272" spans="1:12" x14ac:dyDescent="0.45">
      <c r="A6272" s="12" t="s">
        <v>10017</v>
      </c>
      <c r="B6272" s="12" t="s">
        <v>170</v>
      </c>
      <c r="C6272" s="13" t="s">
        <v>171</v>
      </c>
      <c r="D6272" s="13" t="s">
        <v>179</v>
      </c>
      <c r="E6272" s="12" t="s">
        <v>16</v>
      </c>
      <c r="F6272" s="14">
        <v>90000</v>
      </c>
      <c r="G6272" s="14">
        <v>64000</v>
      </c>
      <c r="H6272" s="13" t="s">
        <v>10073</v>
      </c>
      <c r="I6272" s="40" t="s">
        <v>18</v>
      </c>
      <c r="J6272" s="40" t="str">
        <f>HYPERLINK("https://stock.pstatic.net/stock-research/company/64/20260112_company_212380000.pdf","PDF")</f>
        <v>PDF</v>
      </c>
      <c r="K6272" s="12" t="s">
        <v>10074</v>
      </c>
      <c r="L6272" s="20">
        <v>0.40625</v>
      </c>
    </row>
    <row r="6273" spans="1:12" x14ac:dyDescent="0.45">
      <c r="A6273" s="12" t="s">
        <v>10017</v>
      </c>
      <c r="B6273" s="12" t="s">
        <v>2032</v>
      </c>
      <c r="C6273" s="13" t="s">
        <v>2033</v>
      </c>
      <c r="D6273" s="13" t="s">
        <v>92</v>
      </c>
      <c r="E6273" s="12" t="s">
        <v>35</v>
      </c>
      <c r="F6273" s="14">
        <v>26000</v>
      </c>
      <c r="G6273" s="14">
        <v>20200</v>
      </c>
      <c r="H6273" s="13" t="s">
        <v>10075</v>
      </c>
      <c r="I6273" s="40" t="s">
        <v>18</v>
      </c>
      <c r="J6273" s="40" t="str">
        <f>HYPERLINK("https://stock.pstatic.net/stock-research/company/63/20260112_company_589861000.pdf","PDF")</f>
        <v>PDF</v>
      </c>
      <c r="K6273" s="12" t="s">
        <v>10076</v>
      </c>
      <c r="L6273" s="20">
        <v>0.28712871287128711</v>
      </c>
    </row>
    <row r="6274" spans="1:12" x14ac:dyDescent="0.45">
      <c r="A6274" s="12" t="s">
        <v>10017</v>
      </c>
      <c r="B6274" s="12" t="s">
        <v>2378</v>
      </c>
      <c r="C6274" s="13" t="s">
        <v>2379</v>
      </c>
      <c r="D6274" s="13" t="s">
        <v>23</v>
      </c>
      <c r="E6274" s="12" t="s">
        <v>16</v>
      </c>
      <c r="F6274" s="14">
        <v>510000</v>
      </c>
      <c r="G6274" s="14">
        <v>363000</v>
      </c>
      <c r="H6274" s="13" t="s">
        <v>10077</v>
      </c>
      <c r="I6274" s="40" t="s">
        <v>18</v>
      </c>
      <c r="J6274" s="40" t="str">
        <f>HYPERLINK("https://stock.pstatic.net/stock-research/company/21/20260112_company_619800000.pdf","PDF")</f>
        <v>PDF</v>
      </c>
      <c r="K6274" s="12" t="s">
        <v>10078</v>
      </c>
      <c r="L6274" s="20">
        <v>0.4049586776859504</v>
      </c>
    </row>
    <row r="6275" spans="1:12" x14ac:dyDescent="0.45">
      <c r="A6275" s="12" t="s">
        <v>10017</v>
      </c>
      <c r="B6275" s="12" t="s">
        <v>3014</v>
      </c>
      <c r="C6275" s="13" t="s">
        <v>3015</v>
      </c>
      <c r="D6275" s="13" t="s">
        <v>23</v>
      </c>
      <c r="E6275" s="12" t="s">
        <v>16</v>
      </c>
      <c r="F6275" s="14">
        <v>170000</v>
      </c>
      <c r="G6275" s="14">
        <v>120900</v>
      </c>
      <c r="H6275" s="13" t="s">
        <v>10079</v>
      </c>
      <c r="I6275" s="40" t="s">
        <v>18</v>
      </c>
      <c r="J6275" s="40" t="str">
        <f>HYPERLINK("https://stock.pstatic.net/stock-research/company/21/20260112_company_712724000.pdf","PDF")</f>
        <v>PDF</v>
      </c>
      <c r="K6275" s="12" t="s">
        <v>10080</v>
      </c>
      <c r="L6275" s="20">
        <v>0.40612076095947058</v>
      </c>
    </row>
    <row r="6276" spans="1:12" x14ac:dyDescent="0.45">
      <c r="A6276" s="12" t="s">
        <v>10017</v>
      </c>
      <c r="B6276" s="12" t="s">
        <v>916</v>
      </c>
      <c r="C6276" s="13" t="s">
        <v>917</v>
      </c>
      <c r="D6276" s="13" t="s">
        <v>92</v>
      </c>
      <c r="E6276" s="12" t="s">
        <v>35</v>
      </c>
      <c r="F6276" s="14">
        <v>74000</v>
      </c>
      <c r="G6276" s="14">
        <v>58200</v>
      </c>
      <c r="H6276" s="13" t="s">
        <v>10081</v>
      </c>
      <c r="I6276" s="40" t="s">
        <v>18</v>
      </c>
      <c r="J6276" s="40" t="str">
        <f>HYPERLINK("https://stock.pstatic.net/stock-research/company/63/20260112_company_678394000.pdf","PDF")</f>
        <v>PDF</v>
      </c>
      <c r="K6276" s="12" t="s">
        <v>10082</v>
      </c>
      <c r="L6276" s="20">
        <v>0.27147766323024047</v>
      </c>
    </row>
    <row r="6277" spans="1:12" x14ac:dyDescent="0.45">
      <c r="A6277" s="12" t="s">
        <v>10017</v>
      </c>
      <c r="B6277" s="12" t="s">
        <v>95</v>
      </c>
      <c r="C6277" s="13" t="s">
        <v>31</v>
      </c>
      <c r="D6277" s="13" t="s">
        <v>34</v>
      </c>
      <c r="E6277" s="12" t="s">
        <v>35</v>
      </c>
      <c r="F6277" s="14">
        <v>35000</v>
      </c>
      <c r="G6277" s="14">
        <v>24600</v>
      </c>
      <c r="H6277" s="13" t="s">
        <v>10083</v>
      </c>
      <c r="I6277" s="40" t="s">
        <v>18</v>
      </c>
      <c r="J6277" s="40" t="str">
        <f>HYPERLINK("https://m.stock.naver.com/research/company/89043","PDF")</f>
        <v>PDF</v>
      </c>
      <c r="K6277" s="12" t="s">
        <v>10084</v>
      </c>
      <c r="L6277" s="20">
        <v>0.42276422764227639</v>
      </c>
    </row>
    <row r="6278" spans="1:12" x14ac:dyDescent="0.45">
      <c r="A6278" s="12" t="s">
        <v>10017</v>
      </c>
      <c r="B6278" s="12" t="s">
        <v>1101</v>
      </c>
      <c r="C6278" s="13" t="s">
        <v>1102</v>
      </c>
      <c r="D6278" s="13" t="s">
        <v>34</v>
      </c>
      <c r="E6278" s="12" t="s">
        <v>50</v>
      </c>
      <c r="F6278" s="13"/>
      <c r="G6278" s="14">
        <v>28600</v>
      </c>
      <c r="H6278" s="13" t="s">
        <v>10085</v>
      </c>
      <c r="I6278" s="40" t="s">
        <v>18</v>
      </c>
      <c r="J6278" s="40" t="str">
        <f>HYPERLINK("https://m.stock.naver.com/research/company/89042","PDF")</f>
        <v>PDF</v>
      </c>
      <c r="K6278" s="12" t="s">
        <v>10086</v>
      </c>
    </row>
    <row r="6279" spans="1:12" x14ac:dyDescent="0.45">
      <c r="A6279" s="12" t="s">
        <v>10017</v>
      </c>
      <c r="B6279" s="12" t="s">
        <v>42</v>
      </c>
      <c r="C6279" s="13" t="s">
        <v>43</v>
      </c>
      <c r="D6279" s="13" t="s">
        <v>92</v>
      </c>
      <c r="E6279" s="12" t="s">
        <v>35</v>
      </c>
      <c r="F6279" s="14">
        <v>340000</v>
      </c>
      <c r="G6279" s="14">
        <v>254000</v>
      </c>
      <c r="H6279" s="13" t="s">
        <v>10087</v>
      </c>
      <c r="I6279" s="40" t="s">
        <v>18</v>
      </c>
      <c r="J6279" s="40" t="str">
        <f>HYPERLINK("https://m.stock.naver.com/research/company/89041","PDF")</f>
        <v>PDF</v>
      </c>
      <c r="K6279" s="12" t="s">
        <v>10088</v>
      </c>
      <c r="L6279" s="20">
        <v>0.33858267716535428</v>
      </c>
    </row>
    <row r="6280" spans="1:12" x14ac:dyDescent="0.45">
      <c r="A6280" s="12" t="s">
        <v>10017</v>
      </c>
      <c r="B6280" s="12" t="s">
        <v>3182</v>
      </c>
      <c r="C6280" s="13" t="s">
        <v>3183</v>
      </c>
      <c r="D6280" s="13" t="s">
        <v>83</v>
      </c>
      <c r="E6280" s="12" t="s">
        <v>35</v>
      </c>
      <c r="F6280" s="14">
        <v>1100000</v>
      </c>
      <c r="G6280" s="14">
        <v>862000</v>
      </c>
      <c r="H6280" s="13" t="s">
        <v>5187</v>
      </c>
      <c r="I6280" s="40" t="s">
        <v>18</v>
      </c>
      <c r="J6280" s="40" t="str">
        <f>HYPERLINK("https://stock.pstatic.net/stock-research/company/15/20260112_company_284489000.pdf","PDF")</f>
        <v>PDF</v>
      </c>
      <c r="K6280" s="12" t="s">
        <v>10089</v>
      </c>
      <c r="L6280" s="20">
        <v>0.27610208816705328</v>
      </c>
    </row>
    <row r="6281" spans="1:12" x14ac:dyDescent="0.45">
      <c r="A6281" s="12" t="s">
        <v>10017</v>
      </c>
      <c r="B6281" s="12" t="s">
        <v>1781</v>
      </c>
      <c r="C6281" s="13" t="s">
        <v>1782</v>
      </c>
      <c r="D6281" s="13" t="s">
        <v>83</v>
      </c>
      <c r="E6281" s="12" t="s">
        <v>35</v>
      </c>
      <c r="F6281" s="14">
        <v>130000</v>
      </c>
      <c r="G6281" s="14">
        <v>89100</v>
      </c>
      <c r="H6281" s="13" t="s">
        <v>10090</v>
      </c>
      <c r="I6281" s="40" t="s">
        <v>18</v>
      </c>
      <c r="J6281" s="40" t="str">
        <f>HYPERLINK("https://stock.pstatic.net/stock-research/company/15/20260112_company_282238000.pdf","PDF")</f>
        <v>PDF</v>
      </c>
      <c r="K6281" s="12" t="s">
        <v>10091</v>
      </c>
      <c r="L6281" s="20">
        <v>0.45903479236812572</v>
      </c>
    </row>
    <row r="6282" spans="1:12" x14ac:dyDescent="0.45">
      <c r="A6282" s="12" t="s">
        <v>10017</v>
      </c>
      <c r="B6282" s="12" t="s">
        <v>3230</v>
      </c>
      <c r="C6282" s="13" t="s">
        <v>3231</v>
      </c>
      <c r="D6282" s="13" t="s">
        <v>83</v>
      </c>
      <c r="E6282" s="12" t="s">
        <v>35</v>
      </c>
      <c r="F6282" s="14">
        <v>2700000</v>
      </c>
      <c r="G6282" s="14">
        <v>1885000</v>
      </c>
      <c r="H6282" s="13" t="s">
        <v>10092</v>
      </c>
      <c r="I6282" s="40" t="s">
        <v>18</v>
      </c>
      <c r="J6282" s="40" t="str">
        <f>HYPERLINK("https://stock.pstatic.net/stock-research/company/15/20260112_company_440323000.pdf","PDF")</f>
        <v>PDF</v>
      </c>
      <c r="K6282" s="12" t="s">
        <v>10093</v>
      </c>
      <c r="L6282" s="20">
        <v>0.43236074270557029</v>
      </c>
    </row>
    <row r="6283" spans="1:12" x14ac:dyDescent="0.45">
      <c r="A6283" s="12" t="s">
        <v>10017</v>
      </c>
      <c r="B6283" s="12" t="s">
        <v>916</v>
      </c>
      <c r="C6283" s="13" t="s">
        <v>917</v>
      </c>
      <c r="D6283" s="13" t="s">
        <v>83</v>
      </c>
      <c r="E6283" s="12" t="s">
        <v>35</v>
      </c>
      <c r="F6283" s="14">
        <v>81000</v>
      </c>
      <c r="G6283" s="14">
        <v>58200</v>
      </c>
      <c r="H6283" s="13" t="s">
        <v>10094</v>
      </c>
      <c r="I6283" s="40" t="s">
        <v>18</v>
      </c>
      <c r="J6283" s="40" t="str">
        <f>HYPERLINK("https://m.stock.naver.com/research/company/89037","PDF")</f>
        <v>PDF</v>
      </c>
      <c r="K6283" s="12" t="s">
        <v>10095</v>
      </c>
      <c r="L6283" s="20">
        <v>0.39175257731958762</v>
      </c>
    </row>
    <row r="6284" spans="1:12" x14ac:dyDescent="0.45">
      <c r="A6284" s="12" t="s">
        <v>10017</v>
      </c>
      <c r="B6284" s="12" t="s">
        <v>1682</v>
      </c>
      <c r="C6284" s="13" t="s">
        <v>4787</v>
      </c>
      <c r="D6284" s="13" t="s">
        <v>83</v>
      </c>
      <c r="E6284" s="12" t="s">
        <v>35</v>
      </c>
      <c r="F6284" s="14">
        <v>300000</v>
      </c>
      <c r="G6284" s="14">
        <v>223000</v>
      </c>
      <c r="H6284" s="13" t="s">
        <v>10096</v>
      </c>
      <c r="I6284" s="40" t="s">
        <v>18</v>
      </c>
      <c r="J6284" s="40" t="str">
        <f>HYPERLINK("https://stock.pstatic.net/stock-research/company/15/20260112_company_292465000.pdf","PDF")</f>
        <v>PDF</v>
      </c>
      <c r="K6284" s="12" t="s">
        <v>10097</v>
      </c>
      <c r="L6284" s="20">
        <v>0.3452914798206278</v>
      </c>
    </row>
    <row r="6285" spans="1:12" x14ac:dyDescent="0.45">
      <c r="A6285" s="12" t="s">
        <v>10017</v>
      </c>
      <c r="B6285" s="12" t="s">
        <v>2762</v>
      </c>
      <c r="C6285" s="13" t="s">
        <v>2763</v>
      </c>
      <c r="D6285" s="13" t="s">
        <v>23</v>
      </c>
      <c r="E6285" s="12" t="s">
        <v>16</v>
      </c>
      <c r="F6285" s="14">
        <v>110000</v>
      </c>
      <c r="G6285" s="14">
        <v>66700</v>
      </c>
      <c r="H6285" s="13" t="s">
        <v>10098</v>
      </c>
      <c r="I6285" s="40" t="s">
        <v>18</v>
      </c>
      <c r="J6285" s="40" t="str">
        <f>HYPERLINK("https://stock.pstatic.net/stock-research/company/21/20260112_company_920612000.pdf","PDF")</f>
        <v>PDF</v>
      </c>
      <c r="K6285" s="12" t="s">
        <v>10099</v>
      </c>
      <c r="L6285" s="20">
        <v>0.64917541229385312</v>
      </c>
    </row>
    <row r="6286" spans="1:12" x14ac:dyDescent="0.45">
      <c r="A6286" s="12" t="s">
        <v>10017</v>
      </c>
      <c r="B6286" s="12" t="s">
        <v>2819</v>
      </c>
      <c r="C6286" s="13" t="s">
        <v>2820</v>
      </c>
      <c r="D6286" s="13" t="s">
        <v>34</v>
      </c>
      <c r="E6286" s="12" t="s">
        <v>50</v>
      </c>
      <c r="F6286" s="13"/>
      <c r="G6286" s="14">
        <v>19280</v>
      </c>
      <c r="H6286" s="13" t="s">
        <v>10100</v>
      </c>
      <c r="I6286" s="40" t="s">
        <v>18</v>
      </c>
      <c r="J6286" s="40" t="str">
        <f>HYPERLINK("https://m.stock.naver.com/research/company/89034","PDF")</f>
        <v>PDF</v>
      </c>
      <c r="K6286" s="12" t="s">
        <v>10101</v>
      </c>
    </row>
    <row r="6287" spans="1:12" x14ac:dyDescent="0.45">
      <c r="A6287" s="12" t="s">
        <v>10017</v>
      </c>
      <c r="B6287" s="12" t="s">
        <v>42</v>
      </c>
      <c r="C6287" s="13" t="s">
        <v>43</v>
      </c>
      <c r="D6287" s="13" t="s">
        <v>23</v>
      </c>
      <c r="E6287" s="12" t="s">
        <v>50</v>
      </c>
      <c r="F6287" s="14">
        <v>270000</v>
      </c>
      <c r="G6287" s="14">
        <v>254000</v>
      </c>
      <c r="H6287" s="13" t="s">
        <v>10102</v>
      </c>
      <c r="I6287" s="40" t="s">
        <v>18</v>
      </c>
      <c r="J6287" s="40" t="str">
        <f>HYPERLINK("https://m.stock.naver.com/research/company/89033","PDF")</f>
        <v>PDF</v>
      </c>
      <c r="K6287" s="12" t="s">
        <v>10103</v>
      </c>
      <c r="L6287" s="20">
        <v>6.2992125984251968E-2</v>
      </c>
    </row>
    <row r="6288" spans="1:12" x14ac:dyDescent="0.45">
      <c r="A6288" s="12" t="s">
        <v>10017</v>
      </c>
      <c r="B6288" s="12" t="s">
        <v>98</v>
      </c>
      <c r="C6288" s="13" t="s">
        <v>99</v>
      </c>
      <c r="D6288" s="13" t="s">
        <v>23</v>
      </c>
      <c r="E6288" s="12" t="s">
        <v>50</v>
      </c>
      <c r="F6288" s="14">
        <v>31000</v>
      </c>
      <c r="G6288" s="14">
        <v>32600</v>
      </c>
      <c r="H6288" s="13" t="s">
        <v>10104</v>
      </c>
      <c r="I6288" s="40" t="s">
        <v>18</v>
      </c>
      <c r="J6288" s="40" t="str">
        <f>HYPERLINK("https://stock.pstatic.net/stock-research/company/21/20260112_company_540192000.pdf","PDF")</f>
        <v>PDF</v>
      </c>
      <c r="K6288" s="12" t="s">
        <v>10105</v>
      </c>
      <c r="L6288" s="20">
        <v>-4.9079754601227002E-2</v>
      </c>
    </row>
    <row r="6289" spans="1:12" x14ac:dyDescent="0.45">
      <c r="A6289" s="12" t="s">
        <v>10017</v>
      </c>
      <c r="B6289" s="12" t="s">
        <v>2815</v>
      </c>
      <c r="C6289" s="13" t="s">
        <v>2816</v>
      </c>
      <c r="D6289" s="13" t="s">
        <v>34</v>
      </c>
      <c r="E6289" s="12" t="s">
        <v>50</v>
      </c>
      <c r="F6289" s="13"/>
      <c r="G6289" s="14">
        <v>13910</v>
      </c>
      <c r="H6289" s="13" t="s">
        <v>10106</v>
      </c>
      <c r="I6289" s="40" t="s">
        <v>18</v>
      </c>
      <c r="J6289" s="40" t="str">
        <f>HYPERLINK("https://m.stock.naver.com/research/company/89031","PDF")</f>
        <v>PDF</v>
      </c>
      <c r="K6289" s="12" t="s">
        <v>10107</v>
      </c>
    </row>
    <row r="6290" spans="1:12" x14ac:dyDescent="0.45">
      <c r="A6290" s="12" t="s">
        <v>10017</v>
      </c>
      <c r="B6290" s="12" t="s">
        <v>362</v>
      </c>
      <c r="C6290" s="13" t="s">
        <v>363</v>
      </c>
      <c r="D6290" s="13" t="s">
        <v>34</v>
      </c>
      <c r="E6290" s="12" t="s">
        <v>35</v>
      </c>
      <c r="F6290" s="14">
        <v>115000</v>
      </c>
      <c r="G6290" s="14">
        <v>80300</v>
      </c>
      <c r="H6290" s="13" t="s">
        <v>9678</v>
      </c>
      <c r="I6290" s="40" t="s">
        <v>18</v>
      </c>
      <c r="J6290" s="40" t="str">
        <f>HYPERLINK("https://stock.pstatic.net/stock-research/company/61/20260112_company_798280000.pdf","PDF")</f>
        <v>PDF</v>
      </c>
      <c r="K6290" s="12" t="s">
        <v>10108</v>
      </c>
      <c r="L6290" s="20">
        <v>0.43212951432129509</v>
      </c>
    </row>
    <row r="6291" spans="1:12" x14ac:dyDescent="0.45">
      <c r="A6291" s="12" t="s">
        <v>10017</v>
      </c>
      <c r="B6291" s="12" t="s">
        <v>2032</v>
      </c>
      <c r="C6291" s="13" t="s">
        <v>2033</v>
      </c>
      <c r="D6291" s="13" t="s">
        <v>34</v>
      </c>
      <c r="E6291" s="12" t="s">
        <v>50</v>
      </c>
      <c r="F6291" s="13"/>
      <c r="G6291" s="14">
        <v>20200</v>
      </c>
      <c r="H6291" s="13" t="s">
        <v>10109</v>
      </c>
      <c r="I6291" s="40" t="s">
        <v>18</v>
      </c>
      <c r="J6291" s="40" t="str">
        <f>HYPERLINK("https://m.stock.naver.com/research/company/89029","PDF")</f>
        <v>PDF</v>
      </c>
      <c r="K6291" s="12" t="s">
        <v>10110</v>
      </c>
    </row>
    <row r="6292" spans="1:12" x14ac:dyDescent="0.45">
      <c r="A6292" s="12" t="s">
        <v>10017</v>
      </c>
      <c r="B6292" s="12" t="s">
        <v>3154</v>
      </c>
      <c r="C6292" s="13" t="s">
        <v>3155</v>
      </c>
      <c r="D6292" s="13" t="s">
        <v>23</v>
      </c>
      <c r="E6292" s="12" t="s">
        <v>16</v>
      </c>
      <c r="F6292" s="14">
        <v>7500</v>
      </c>
      <c r="G6292" s="14">
        <v>5630</v>
      </c>
      <c r="H6292" s="13" t="s">
        <v>10111</v>
      </c>
      <c r="I6292" s="40" t="s">
        <v>18</v>
      </c>
      <c r="J6292" s="40" t="str">
        <f>HYPERLINK("https://stock.pstatic.net/stock-research/company/21/20260112_company_498765000.pdf","PDF")</f>
        <v>PDF</v>
      </c>
      <c r="K6292" s="12" t="s">
        <v>10112</v>
      </c>
      <c r="L6292" s="20">
        <v>0.3321492007104796</v>
      </c>
    </row>
    <row r="6293" spans="1:12" x14ac:dyDescent="0.45">
      <c r="A6293" s="12" t="s">
        <v>10017</v>
      </c>
      <c r="B6293" s="12" t="s">
        <v>3478</v>
      </c>
      <c r="C6293" s="13" t="s">
        <v>3479</v>
      </c>
      <c r="D6293" s="13" t="s">
        <v>23</v>
      </c>
      <c r="E6293" s="12" t="s">
        <v>16</v>
      </c>
      <c r="F6293" s="14">
        <v>39000</v>
      </c>
      <c r="G6293" s="14">
        <v>29200</v>
      </c>
      <c r="H6293" s="13" t="s">
        <v>10113</v>
      </c>
      <c r="I6293" s="40" t="s">
        <v>18</v>
      </c>
      <c r="J6293" s="40" t="str">
        <f>HYPERLINK("https://m.stock.naver.com/research/company/89027","PDF")</f>
        <v>PDF</v>
      </c>
      <c r="K6293" s="12" t="s">
        <v>10114</v>
      </c>
      <c r="L6293" s="20">
        <v>0.33561643835616439</v>
      </c>
    </row>
    <row r="6294" spans="1:12" x14ac:dyDescent="0.45">
      <c r="A6294" s="12" t="s">
        <v>10017</v>
      </c>
      <c r="B6294" s="12" t="s">
        <v>916</v>
      </c>
      <c r="C6294" s="13" t="s">
        <v>917</v>
      </c>
      <c r="D6294" s="13" t="s">
        <v>23</v>
      </c>
      <c r="E6294" s="12" t="s">
        <v>16</v>
      </c>
      <c r="F6294" s="14">
        <v>80000</v>
      </c>
      <c r="G6294" s="14">
        <v>58200</v>
      </c>
      <c r="H6294" s="13" t="s">
        <v>10115</v>
      </c>
      <c r="I6294" s="40" t="s">
        <v>18</v>
      </c>
      <c r="J6294" s="40" t="str">
        <f>HYPERLINK("https://m.stock.naver.com/research/company/89026","PDF")</f>
        <v>PDF</v>
      </c>
      <c r="K6294" s="12" t="s">
        <v>10116</v>
      </c>
      <c r="L6294" s="20">
        <v>0.37457044673539519</v>
      </c>
    </row>
    <row r="6295" spans="1:12" x14ac:dyDescent="0.45">
      <c r="A6295" s="12" t="s">
        <v>10017</v>
      </c>
      <c r="B6295" s="12" t="s">
        <v>2956</v>
      </c>
      <c r="C6295" s="13" t="s">
        <v>2957</v>
      </c>
      <c r="D6295" s="13" t="s">
        <v>44</v>
      </c>
      <c r="E6295" s="12" t="s">
        <v>35</v>
      </c>
      <c r="F6295" s="14">
        <v>24000</v>
      </c>
      <c r="G6295" s="14">
        <v>18670</v>
      </c>
      <c r="H6295" s="13" t="s">
        <v>10117</v>
      </c>
      <c r="I6295" s="40" t="s">
        <v>18</v>
      </c>
      <c r="J6295" s="40" t="str">
        <f>HYPERLINK("https://m.stock.naver.com/research/company/89025","PDF")</f>
        <v>PDF</v>
      </c>
      <c r="K6295" s="12" t="s">
        <v>10118</v>
      </c>
      <c r="L6295" s="20">
        <v>0.28548473486877352</v>
      </c>
    </row>
    <row r="6296" spans="1:12" x14ac:dyDescent="0.45">
      <c r="A6296" s="12" t="s">
        <v>10017</v>
      </c>
      <c r="B6296" s="12" t="s">
        <v>426</v>
      </c>
      <c r="C6296" s="13" t="s">
        <v>427</v>
      </c>
      <c r="D6296" s="13" t="s">
        <v>44</v>
      </c>
      <c r="E6296" s="12" t="s">
        <v>35</v>
      </c>
      <c r="F6296" s="14">
        <v>26000</v>
      </c>
      <c r="G6296" s="14">
        <v>16590</v>
      </c>
      <c r="H6296" s="13" t="s">
        <v>10119</v>
      </c>
      <c r="I6296" s="40" t="s">
        <v>18</v>
      </c>
      <c r="J6296" s="40" t="str">
        <f>HYPERLINK("https://m.stock.naver.com/research/company/89024","PDF")</f>
        <v>PDF</v>
      </c>
      <c r="K6296" s="12" t="s">
        <v>10120</v>
      </c>
      <c r="L6296" s="20">
        <v>0.56720916214587103</v>
      </c>
    </row>
    <row r="6297" spans="1:12" x14ac:dyDescent="0.45">
      <c r="A6297" s="12" t="s">
        <v>10017</v>
      </c>
      <c r="B6297" s="12" t="s">
        <v>1019</v>
      </c>
      <c r="C6297" s="13" t="s">
        <v>1020</v>
      </c>
      <c r="D6297" s="13" t="s">
        <v>44</v>
      </c>
      <c r="E6297" s="12" t="s">
        <v>35</v>
      </c>
      <c r="F6297" s="14">
        <v>32000</v>
      </c>
      <c r="G6297" s="14">
        <v>21400</v>
      </c>
      <c r="H6297" s="13" t="s">
        <v>10121</v>
      </c>
      <c r="I6297" s="40" t="s">
        <v>18</v>
      </c>
      <c r="J6297" s="40" t="str">
        <f>HYPERLINK("https://m.stock.naver.com/research/company/89023","PDF")</f>
        <v>PDF</v>
      </c>
      <c r="K6297" s="12" t="s">
        <v>10122</v>
      </c>
      <c r="L6297" s="20">
        <v>0.49532710280373832</v>
      </c>
    </row>
    <row r="6298" spans="1:12" x14ac:dyDescent="0.45">
      <c r="A6298" s="12" t="s">
        <v>10017</v>
      </c>
      <c r="B6298" s="12" t="s">
        <v>1781</v>
      </c>
      <c r="C6298" s="13" t="s">
        <v>1782</v>
      </c>
      <c r="D6298" s="13" t="s">
        <v>34</v>
      </c>
      <c r="E6298" s="12" t="s">
        <v>35</v>
      </c>
      <c r="F6298" s="14">
        <v>110000</v>
      </c>
      <c r="G6298" s="14">
        <v>89100</v>
      </c>
      <c r="H6298" s="13" t="s">
        <v>10123</v>
      </c>
      <c r="I6298" s="40" t="s">
        <v>18</v>
      </c>
      <c r="J6298" s="40" t="str">
        <f>HYPERLINK("https://m.stock.naver.com/research/company/89022","PDF")</f>
        <v>PDF</v>
      </c>
      <c r="K6298" s="12" t="s">
        <v>10124</v>
      </c>
      <c r="L6298" s="20">
        <v>0.23456790123456789</v>
      </c>
    </row>
    <row r="6299" spans="1:12" x14ac:dyDescent="0.45">
      <c r="A6299" s="12" t="s">
        <v>10017</v>
      </c>
      <c r="B6299" s="12" t="s">
        <v>2982</v>
      </c>
      <c r="C6299" s="13" t="s">
        <v>2983</v>
      </c>
      <c r="D6299" s="13" t="s">
        <v>44</v>
      </c>
      <c r="E6299" s="12" t="s">
        <v>35</v>
      </c>
      <c r="F6299" s="14">
        <v>52000</v>
      </c>
      <c r="G6299" s="14">
        <v>41100</v>
      </c>
      <c r="H6299" s="13" t="s">
        <v>10125</v>
      </c>
      <c r="I6299" s="40" t="s">
        <v>18</v>
      </c>
      <c r="J6299" s="40" t="str">
        <f>HYPERLINK("https://m.stock.naver.com/research/company/89021","PDF")</f>
        <v>PDF</v>
      </c>
      <c r="K6299" s="12" t="s">
        <v>10126</v>
      </c>
      <c r="L6299" s="20">
        <v>0.26520681265206808</v>
      </c>
    </row>
    <row r="6300" spans="1:12" x14ac:dyDescent="0.45">
      <c r="A6300" s="12" t="s">
        <v>10017</v>
      </c>
      <c r="B6300" s="12" t="s">
        <v>2378</v>
      </c>
      <c r="C6300" s="13" t="s">
        <v>2379</v>
      </c>
      <c r="D6300" s="13" t="s">
        <v>44</v>
      </c>
      <c r="E6300" s="12" t="s">
        <v>50</v>
      </c>
      <c r="F6300" s="13"/>
      <c r="G6300" s="13"/>
      <c r="H6300" s="13" t="s">
        <v>10127</v>
      </c>
      <c r="I6300" s="40" t="s">
        <v>18</v>
      </c>
      <c r="J6300" s="40" t="str">
        <f>HYPERLINK("https://m.stock.naver.com/research/company/89020","PDF")</f>
        <v>PDF</v>
      </c>
      <c r="K6300" s="12" t="s">
        <v>10128</v>
      </c>
    </row>
    <row r="6301" spans="1:12" x14ac:dyDescent="0.45">
      <c r="A6301" s="12" t="s">
        <v>10017</v>
      </c>
      <c r="B6301" s="12" t="s">
        <v>1023</v>
      </c>
      <c r="C6301" s="13" t="s">
        <v>15</v>
      </c>
      <c r="D6301" s="13" t="s">
        <v>44</v>
      </c>
      <c r="E6301" s="12" t="s">
        <v>35</v>
      </c>
      <c r="F6301" s="14">
        <v>37000</v>
      </c>
      <c r="G6301" s="14">
        <v>27100</v>
      </c>
      <c r="H6301" s="13" t="s">
        <v>10129</v>
      </c>
      <c r="I6301" s="40" t="s">
        <v>18</v>
      </c>
      <c r="J6301" s="40" t="str">
        <f>HYPERLINK("https://stock.pstatic.net/stock-research/company/39/20260112_company_567242000.pdf","PDF")</f>
        <v>PDF</v>
      </c>
      <c r="K6301" s="12" t="s">
        <v>10130</v>
      </c>
      <c r="L6301" s="20">
        <v>0.36531365313653141</v>
      </c>
    </row>
    <row r="6302" spans="1:12" x14ac:dyDescent="0.45">
      <c r="A6302" s="12" t="s">
        <v>10017</v>
      </c>
      <c r="B6302" s="12" t="s">
        <v>2613</v>
      </c>
      <c r="C6302" s="13" t="s">
        <v>2614</v>
      </c>
      <c r="D6302" s="13" t="s">
        <v>44</v>
      </c>
      <c r="E6302" s="12" t="s">
        <v>35</v>
      </c>
      <c r="F6302" s="14">
        <v>390000</v>
      </c>
      <c r="G6302" s="14">
        <v>242500</v>
      </c>
      <c r="H6302" s="13" t="s">
        <v>10131</v>
      </c>
      <c r="I6302" s="40" t="s">
        <v>18</v>
      </c>
      <c r="J6302" s="40" t="str">
        <f>HYPERLINK("https://m.stock.naver.com/research/company/89018","PDF")</f>
        <v>PDF</v>
      </c>
      <c r="K6302" s="12" t="s">
        <v>10132</v>
      </c>
      <c r="L6302" s="20">
        <v>0.60824742268041232</v>
      </c>
    </row>
    <row r="6303" spans="1:12" x14ac:dyDescent="0.45">
      <c r="A6303" s="12" t="s">
        <v>10017</v>
      </c>
      <c r="B6303" s="12" t="s">
        <v>1694</v>
      </c>
      <c r="C6303" s="13" t="s">
        <v>1695</v>
      </c>
      <c r="D6303" s="13" t="s">
        <v>44</v>
      </c>
      <c r="E6303" s="12" t="s">
        <v>35</v>
      </c>
      <c r="F6303" s="14">
        <v>81000</v>
      </c>
      <c r="G6303" s="14">
        <v>58100</v>
      </c>
      <c r="H6303" s="13" t="s">
        <v>10133</v>
      </c>
      <c r="I6303" s="40" t="s">
        <v>18</v>
      </c>
      <c r="J6303" s="40" t="str">
        <f>HYPERLINK("https://m.stock.naver.com/research/company/89017","PDF")</f>
        <v>PDF</v>
      </c>
      <c r="K6303" s="12" t="s">
        <v>10134</v>
      </c>
      <c r="L6303" s="20">
        <v>0.39414802065404481</v>
      </c>
    </row>
    <row r="6304" spans="1:12" x14ac:dyDescent="0.45">
      <c r="A6304" s="12" t="s">
        <v>10017</v>
      </c>
      <c r="B6304" s="12" t="s">
        <v>1781</v>
      </c>
      <c r="C6304" s="13" t="s">
        <v>1782</v>
      </c>
      <c r="D6304" s="13" t="s">
        <v>44</v>
      </c>
      <c r="E6304" s="12" t="s">
        <v>50</v>
      </c>
      <c r="F6304" s="13"/>
      <c r="G6304" s="13"/>
      <c r="H6304" s="13" t="s">
        <v>10135</v>
      </c>
      <c r="I6304" s="40" t="s">
        <v>18</v>
      </c>
      <c r="J6304" s="40" t="str">
        <f>HYPERLINK("https://m.stock.naver.com/research/company/89016","PDF")</f>
        <v>PDF</v>
      </c>
      <c r="K6304" s="12" t="s">
        <v>10136</v>
      </c>
    </row>
    <row r="6305" spans="1:12" x14ac:dyDescent="0.45">
      <c r="A6305" s="12" t="s">
        <v>10017</v>
      </c>
      <c r="B6305" s="12" t="s">
        <v>1765</v>
      </c>
      <c r="C6305" s="13" t="s">
        <v>1766</v>
      </c>
      <c r="D6305" s="13" t="s">
        <v>44</v>
      </c>
      <c r="E6305" s="12" t="s">
        <v>45</v>
      </c>
      <c r="F6305" s="14">
        <v>159000</v>
      </c>
      <c r="G6305" s="14">
        <v>133200</v>
      </c>
      <c r="H6305" s="13" t="s">
        <v>10137</v>
      </c>
      <c r="I6305" s="40" t="s">
        <v>18</v>
      </c>
      <c r="J6305" s="40" t="str">
        <f>HYPERLINK("https://m.stock.naver.com/research/company/89015","PDF")</f>
        <v>PDF</v>
      </c>
      <c r="K6305" s="12" t="s">
        <v>10138</v>
      </c>
      <c r="L6305" s="20">
        <v>0.19369369369369371</v>
      </c>
    </row>
    <row r="6306" spans="1:12" x14ac:dyDescent="0.45">
      <c r="A6306" s="12" t="s">
        <v>10017</v>
      </c>
      <c r="B6306" s="12" t="s">
        <v>10139</v>
      </c>
      <c r="C6306" s="13" t="s">
        <v>10140</v>
      </c>
      <c r="D6306" s="13" t="s">
        <v>124</v>
      </c>
      <c r="E6306" s="12" t="s">
        <v>50</v>
      </c>
      <c r="F6306" s="13"/>
      <c r="G6306" s="13"/>
      <c r="H6306" s="13" t="s">
        <v>10141</v>
      </c>
      <c r="I6306" s="40" t="s">
        <v>18</v>
      </c>
      <c r="J6306" s="40" t="str">
        <f>HYPERLINK("https://stock.pstatic.net/stock-research/company/74/20260122_company_163037000.pdf","PDF")</f>
        <v>PDF</v>
      </c>
      <c r="K6306" s="12" t="s">
        <v>10142</v>
      </c>
    </row>
    <row r="6307" spans="1:12" x14ac:dyDescent="0.45">
      <c r="A6307" s="12" t="s">
        <v>10017</v>
      </c>
      <c r="B6307" s="12" t="s">
        <v>9758</v>
      </c>
      <c r="C6307" s="13" t="s">
        <v>9759</v>
      </c>
      <c r="D6307" s="13" t="s">
        <v>124</v>
      </c>
      <c r="E6307" s="12" t="s">
        <v>50</v>
      </c>
      <c r="F6307" s="13"/>
      <c r="G6307" s="13"/>
      <c r="H6307" s="13" t="s">
        <v>9760</v>
      </c>
      <c r="I6307" s="40" t="s">
        <v>18</v>
      </c>
      <c r="J6307" s="40" t="str">
        <f>HYPERLINK("https://stock.pstatic.net/stock-research/company/74/20260122_company_876668000.pdf","PDF")</f>
        <v>PDF</v>
      </c>
      <c r="K6307" s="12" t="s">
        <v>10143</v>
      </c>
    </row>
    <row r="6308" spans="1:12" x14ac:dyDescent="0.45">
      <c r="A6308" s="12" t="s">
        <v>10144</v>
      </c>
      <c r="B6308" s="12" t="s">
        <v>2613</v>
      </c>
      <c r="C6308" s="13" t="s">
        <v>2614</v>
      </c>
      <c r="D6308" s="13" t="s">
        <v>15</v>
      </c>
      <c r="E6308" s="12" t="s">
        <v>16</v>
      </c>
      <c r="F6308" s="14">
        <v>350000</v>
      </c>
      <c r="G6308" s="14">
        <v>230000</v>
      </c>
      <c r="H6308" s="13" t="s">
        <v>10145</v>
      </c>
      <c r="I6308" s="40" t="s">
        <v>18</v>
      </c>
      <c r="J6308" s="40" t="str">
        <f>HYPERLINK("https://stock.pstatic.net/stock-research/company/56/20260109_company_51537000.pdf","PDF")</f>
        <v>PDF</v>
      </c>
      <c r="K6308" s="12" t="s">
        <v>10146</v>
      </c>
      <c r="L6308" s="20">
        <v>0.52173913043478259</v>
      </c>
    </row>
    <row r="6309" spans="1:12" x14ac:dyDescent="0.45">
      <c r="A6309" s="12" t="s">
        <v>10144</v>
      </c>
      <c r="B6309" s="12" t="s">
        <v>577</v>
      </c>
      <c r="C6309" s="13" t="s">
        <v>578</v>
      </c>
      <c r="D6309" s="13" t="s">
        <v>15</v>
      </c>
      <c r="E6309" s="12" t="s">
        <v>16</v>
      </c>
      <c r="F6309" s="14">
        <v>480000</v>
      </c>
      <c r="G6309" s="14">
        <v>391000</v>
      </c>
      <c r="H6309" s="13" t="s">
        <v>10147</v>
      </c>
      <c r="I6309" s="40" t="s">
        <v>18</v>
      </c>
      <c r="J6309" s="40" t="str">
        <f>HYPERLINK("https://stock.pstatic.net/stock-research/company/56/20260109_company_143377000.pdf","PDF")</f>
        <v>PDF</v>
      </c>
      <c r="K6309" s="12" t="s">
        <v>10148</v>
      </c>
      <c r="L6309" s="20">
        <v>0.22762148337595911</v>
      </c>
    </row>
    <row r="6310" spans="1:12" x14ac:dyDescent="0.45">
      <c r="A6310" s="12" t="s">
        <v>10144</v>
      </c>
      <c r="B6310" s="12" t="s">
        <v>3478</v>
      </c>
      <c r="C6310" s="13" t="s">
        <v>3479</v>
      </c>
      <c r="D6310" s="13" t="s">
        <v>57</v>
      </c>
      <c r="E6310" s="12" t="s">
        <v>35</v>
      </c>
      <c r="F6310" s="14">
        <v>50000</v>
      </c>
      <c r="G6310" s="14">
        <v>29050</v>
      </c>
      <c r="H6310" s="13" t="s">
        <v>10149</v>
      </c>
      <c r="I6310" s="40" t="s">
        <v>18</v>
      </c>
      <c r="J6310" s="40" t="str">
        <f>HYPERLINK("https://stock.pstatic.net/stock-research/company/16/20260109_company_369367000.pdf","PDF")</f>
        <v>PDF</v>
      </c>
      <c r="K6310" s="12" t="s">
        <v>10150</v>
      </c>
      <c r="L6310" s="20">
        <v>0.72117039586919107</v>
      </c>
    </row>
    <row r="6311" spans="1:12" x14ac:dyDescent="0.45">
      <c r="A6311" s="12" t="s">
        <v>10144</v>
      </c>
      <c r="B6311" s="12" t="s">
        <v>170</v>
      </c>
      <c r="C6311" s="13" t="s">
        <v>171</v>
      </c>
      <c r="D6311" s="13" t="s">
        <v>57</v>
      </c>
      <c r="E6311" s="12" t="s">
        <v>35</v>
      </c>
      <c r="F6311" s="14">
        <v>94000</v>
      </c>
      <c r="G6311" s="14">
        <v>63800</v>
      </c>
      <c r="H6311" s="13" t="s">
        <v>10151</v>
      </c>
      <c r="I6311" s="40" t="s">
        <v>18</v>
      </c>
      <c r="J6311" s="40" t="str">
        <f>HYPERLINK("https://stock.pstatic.net/stock-research/company/16/20260109_company_413778000.pdf","PDF")</f>
        <v>PDF</v>
      </c>
      <c r="K6311" s="12" t="s">
        <v>10152</v>
      </c>
      <c r="L6311" s="20">
        <v>0.47335423197492171</v>
      </c>
    </row>
    <row r="6312" spans="1:12" x14ac:dyDescent="0.45">
      <c r="A6312" s="12" t="s">
        <v>10144</v>
      </c>
      <c r="B6312" s="12" t="s">
        <v>1686</v>
      </c>
      <c r="C6312" s="13" t="s">
        <v>1687</v>
      </c>
      <c r="D6312" s="13" t="s">
        <v>276</v>
      </c>
      <c r="E6312" s="12" t="s">
        <v>16</v>
      </c>
      <c r="F6312" s="14">
        <v>1900000</v>
      </c>
      <c r="G6312" s="14">
        <v>1179000</v>
      </c>
      <c r="H6312" s="13" t="s">
        <v>10153</v>
      </c>
      <c r="I6312" s="40" t="s">
        <v>18</v>
      </c>
      <c r="J6312" s="40" t="str">
        <f>HYPERLINK("https://stock.pstatic.net/stock-research/company/66/20260109_company_687401000.pdf","PDF")</f>
        <v>PDF</v>
      </c>
      <c r="K6312" s="12" t="s">
        <v>10154</v>
      </c>
      <c r="L6312" s="20">
        <v>0.61153519932145883</v>
      </c>
    </row>
    <row r="6313" spans="1:12" x14ac:dyDescent="0.45">
      <c r="A6313" s="12" t="s">
        <v>10144</v>
      </c>
      <c r="B6313" s="12" t="s">
        <v>272</v>
      </c>
      <c r="C6313" s="13" t="s">
        <v>273</v>
      </c>
      <c r="D6313" s="13" t="s">
        <v>60</v>
      </c>
      <c r="E6313" s="12" t="s">
        <v>35</v>
      </c>
      <c r="F6313" s="14">
        <v>800000</v>
      </c>
      <c r="G6313" s="14">
        <v>462500</v>
      </c>
      <c r="H6313" s="13" t="s">
        <v>10155</v>
      </c>
      <c r="I6313" s="40" t="s">
        <v>18</v>
      </c>
      <c r="J6313" s="40" t="str">
        <f>HYPERLINK("https://stock.pstatic.net/stock-research/company/62/20260109_company_113550000.pdf","PDF")</f>
        <v>PDF</v>
      </c>
      <c r="K6313" s="12" t="s">
        <v>10156</v>
      </c>
      <c r="L6313" s="20">
        <v>0.72972972972972971</v>
      </c>
    </row>
    <row r="6314" spans="1:12" x14ac:dyDescent="0.45">
      <c r="A6314" s="12" t="s">
        <v>10144</v>
      </c>
      <c r="B6314" s="12" t="s">
        <v>2613</v>
      </c>
      <c r="C6314" s="13" t="s">
        <v>2614</v>
      </c>
      <c r="D6314" s="13" t="s">
        <v>60</v>
      </c>
      <c r="E6314" s="12" t="s">
        <v>35</v>
      </c>
      <c r="F6314" s="14">
        <v>350000</v>
      </c>
      <c r="G6314" s="14">
        <v>230000</v>
      </c>
      <c r="H6314" s="13" t="s">
        <v>10157</v>
      </c>
      <c r="I6314" s="40" t="s">
        <v>18</v>
      </c>
      <c r="J6314" s="40" t="str">
        <f>HYPERLINK("https://stock.pstatic.net/stock-research/company/62/20260109_company_793966000.pdf","PDF")</f>
        <v>PDF</v>
      </c>
      <c r="K6314" s="12" t="s">
        <v>10158</v>
      </c>
      <c r="L6314" s="20">
        <v>0.52173913043478259</v>
      </c>
    </row>
    <row r="6315" spans="1:12" x14ac:dyDescent="0.45">
      <c r="A6315" s="12" t="s">
        <v>10144</v>
      </c>
      <c r="B6315" s="12" t="s">
        <v>1660</v>
      </c>
      <c r="C6315" s="13" t="s">
        <v>1661</v>
      </c>
      <c r="D6315" s="13" t="s">
        <v>65</v>
      </c>
      <c r="E6315" s="12" t="s">
        <v>35</v>
      </c>
      <c r="F6315" s="14">
        <v>54000</v>
      </c>
      <c r="G6315" s="14">
        <v>43500</v>
      </c>
      <c r="H6315" s="13" t="s">
        <v>10159</v>
      </c>
      <c r="I6315" s="40" t="s">
        <v>18</v>
      </c>
      <c r="J6315" s="40" t="str">
        <f>HYPERLINK("https://stock.pstatic.net/stock-research/company/57/20260109_company_52711000.pdf","PDF")</f>
        <v>PDF</v>
      </c>
      <c r="K6315" s="12" t="s">
        <v>10160</v>
      </c>
      <c r="L6315" s="20">
        <v>0.2413793103448276</v>
      </c>
    </row>
    <row r="6316" spans="1:12" x14ac:dyDescent="0.45">
      <c r="A6316" s="12" t="s">
        <v>10144</v>
      </c>
      <c r="B6316" s="12" t="s">
        <v>2781</v>
      </c>
      <c r="C6316" s="13" t="s">
        <v>2782</v>
      </c>
      <c r="D6316" s="13" t="s">
        <v>65</v>
      </c>
      <c r="E6316" s="12" t="s">
        <v>35</v>
      </c>
      <c r="F6316" s="14">
        <v>170000</v>
      </c>
      <c r="G6316" s="14">
        <v>125600</v>
      </c>
      <c r="H6316" s="13" t="s">
        <v>10161</v>
      </c>
      <c r="I6316" s="40" t="s">
        <v>18</v>
      </c>
      <c r="J6316" s="40" t="str">
        <f>HYPERLINK("https://stock.pstatic.net/stock-research/company/57/20260109_company_649604000.pdf","PDF")</f>
        <v>PDF</v>
      </c>
      <c r="K6316" s="12" t="s">
        <v>10162</v>
      </c>
      <c r="L6316" s="20">
        <v>0.35350318471337577</v>
      </c>
    </row>
    <row r="6317" spans="1:12" x14ac:dyDescent="0.45">
      <c r="A6317" s="12" t="s">
        <v>10144</v>
      </c>
      <c r="B6317" s="12" t="s">
        <v>3014</v>
      </c>
      <c r="C6317" s="13" t="s">
        <v>3015</v>
      </c>
      <c r="D6317" s="13" t="s">
        <v>65</v>
      </c>
      <c r="E6317" s="12" t="s">
        <v>35</v>
      </c>
      <c r="F6317" s="14">
        <v>160000</v>
      </c>
      <c r="G6317" s="14">
        <v>114000</v>
      </c>
      <c r="H6317" s="13" t="s">
        <v>10163</v>
      </c>
      <c r="I6317" s="40" t="s">
        <v>18</v>
      </c>
      <c r="J6317" s="40" t="str">
        <f>HYPERLINK("https://stock.pstatic.net/stock-research/company/57/20260109_company_491676000.pdf","PDF")</f>
        <v>PDF</v>
      </c>
      <c r="K6317" s="12" t="s">
        <v>10164</v>
      </c>
      <c r="L6317" s="20">
        <v>0.40350877192982448</v>
      </c>
    </row>
    <row r="6318" spans="1:12" x14ac:dyDescent="0.45">
      <c r="A6318" s="12" t="s">
        <v>10144</v>
      </c>
      <c r="B6318" s="12" t="s">
        <v>13</v>
      </c>
      <c r="C6318" s="13" t="s">
        <v>14</v>
      </c>
      <c r="D6318" s="13" t="s">
        <v>65</v>
      </c>
      <c r="E6318" s="12" t="s">
        <v>35</v>
      </c>
      <c r="F6318" s="14">
        <v>155000</v>
      </c>
      <c r="G6318" s="14">
        <v>138800</v>
      </c>
      <c r="H6318" s="13" t="s">
        <v>10165</v>
      </c>
      <c r="I6318" s="40" t="s">
        <v>18</v>
      </c>
      <c r="J6318" s="40" t="str">
        <f>HYPERLINK("https://stock.pstatic.net/stock-research/company/57/20260109_company_203776000.pdf","PDF")</f>
        <v>PDF</v>
      </c>
      <c r="K6318" s="12" t="s">
        <v>10166</v>
      </c>
      <c r="L6318" s="20">
        <v>0.11671469740634011</v>
      </c>
    </row>
    <row r="6319" spans="1:12" x14ac:dyDescent="0.45">
      <c r="A6319" s="12" t="s">
        <v>10144</v>
      </c>
      <c r="B6319" s="12" t="s">
        <v>2982</v>
      </c>
      <c r="C6319" s="13" t="s">
        <v>2983</v>
      </c>
      <c r="D6319" s="13" t="s">
        <v>65</v>
      </c>
      <c r="E6319" s="12" t="s">
        <v>35</v>
      </c>
      <c r="F6319" s="14">
        <v>55000</v>
      </c>
      <c r="G6319" s="14">
        <v>39400</v>
      </c>
      <c r="H6319" s="13" t="s">
        <v>10167</v>
      </c>
      <c r="I6319" s="40" t="s">
        <v>18</v>
      </c>
      <c r="J6319" s="40" t="str">
        <f>HYPERLINK("https://stock.pstatic.net/stock-research/company/57/20260109_company_941773000.pdf","PDF")</f>
        <v>PDF</v>
      </c>
      <c r="K6319" s="12" t="s">
        <v>10168</v>
      </c>
      <c r="L6319" s="20">
        <v>0.39593908629441632</v>
      </c>
    </row>
    <row r="6320" spans="1:12" x14ac:dyDescent="0.45">
      <c r="A6320" s="12" t="s">
        <v>10144</v>
      </c>
      <c r="B6320" s="12" t="s">
        <v>1648</v>
      </c>
      <c r="C6320" s="13" t="s">
        <v>1649</v>
      </c>
      <c r="D6320" s="13" t="s">
        <v>158</v>
      </c>
      <c r="E6320" s="12" t="s">
        <v>35</v>
      </c>
      <c r="F6320" s="14">
        <v>140000</v>
      </c>
      <c r="G6320" s="14">
        <v>117900</v>
      </c>
      <c r="H6320" s="13" t="s">
        <v>10169</v>
      </c>
      <c r="I6320" s="40" t="s">
        <v>18</v>
      </c>
      <c r="J6320" s="40" t="str">
        <f>HYPERLINK("https://stock.pstatic.net/stock-research/company/18/20260109_company_26731000.pdf","PDF")</f>
        <v>PDF</v>
      </c>
      <c r="K6320" s="12" t="s">
        <v>10170</v>
      </c>
      <c r="L6320" s="20">
        <v>0.18744698897370651</v>
      </c>
    </row>
    <row r="6321" spans="1:12" x14ac:dyDescent="0.45">
      <c r="A6321" s="12" t="s">
        <v>10144</v>
      </c>
      <c r="B6321" s="12" t="s">
        <v>162</v>
      </c>
      <c r="C6321" s="13" t="s">
        <v>163</v>
      </c>
      <c r="D6321" s="13" t="s">
        <v>158</v>
      </c>
      <c r="E6321" s="12" t="s">
        <v>50</v>
      </c>
      <c r="F6321" s="13"/>
      <c r="G6321" s="14">
        <v>19580</v>
      </c>
      <c r="H6321" s="13" t="s">
        <v>10171</v>
      </c>
      <c r="I6321" s="40" t="s">
        <v>18</v>
      </c>
      <c r="J6321" s="40" t="str">
        <f>HYPERLINK("https://stock.pstatic.net/stock-research/company/18/20260109_company_95444000.pdf","PDF")</f>
        <v>PDF</v>
      </c>
      <c r="K6321" s="12" t="s">
        <v>10172</v>
      </c>
    </row>
    <row r="6322" spans="1:12" x14ac:dyDescent="0.45">
      <c r="A6322" s="12" t="s">
        <v>10144</v>
      </c>
      <c r="B6322" s="12" t="s">
        <v>348</v>
      </c>
      <c r="C6322" s="13" t="s">
        <v>349</v>
      </c>
      <c r="D6322" s="13" t="s">
        <v>158</v>
      </c>
      <c r="E6322" s="12" t="s">
        <v>50</v>
      </c>
      <c r="F6322" s="13"/>
      <c r="G6322" s="14">
        <v>26300</v>
      </c>
      <c r="H6322" s="13" t="s">
        <v>10173</v>
      </c>
      <c r="I6322" s="40" t="s">
        <v>18</v>
      </c>
      <c r="J6322" s="40" t="str">
        <f>HYPERLINK("https://stock.pstatic.net/stock-research/company/18/20260109_company_59073000.pdf","PDF")</f>
        <v>PDF</v>
      </c>
      <c r="K6322" s="12" t="s">
        <v>10174</v>
      </c>
    </row>
    <row r="6323" spans="1:12" x14ac:dyDescent="0.45">
      <c r="A6323" s="12" t="s">
        <v>10144</v>
      </c>
      <c r="B6323" s="12" t="s">
        <v>13</v>
      </c>
      <c r="C6323" s="13" t="s">
        <v>14</v>
      </c>
      <c r="D6323" s="13" t="s">
        <v>158</v>
      </c>
      <c r="E6323" s="12" t="s">
        <v>35</v>
      </c>
      <c r="F6323" s="14">
        <v>172000</v>
      </c>
      <c r="G6323" s="14">
        <v>138800</v>
      </c>
      <c r="H6323" s="13" t="s">
        <v>10175</v>
      </c>
      <c r="I6323" s="40" t="s">
        <v>18</v>
      </c>
      <c r="J6323" s="40" t="str">
        <f>HYPERLINK("https://stock.pstatic.net/stock-research/company/18/20260109_company_2820000.pdf","PDF")</f>
        <v>PDF</v>
      </c>
      <c r="K6323" s="12" t="s">
        <v>10176</v>
      </c>
      <c r="L6323" s="20">
        <v>0.23919308357348701</v>
      </c>
    </row>
    <row r="6324" spans="1:12" x14ac:dyDescent="0.45">
      <c r="A6324" s="12" t="s">
        <v>10144</v>
      </c>
      <c r="B6324" s="12" t="s">
        <v>3391</v>
      </c>
      <c r="C6324" s="13" t="s">
        <v>3392</v>
      </c>
      <c r="D6324" s="13" t="s">
        <v>179</v>
      </c>
      <c r="E6324" s="12" t="s">
        <v>16</v>
      </c>
      <c r="F6324" s="14">
        <v>10300</v>
      </c>
      <c r="G6324" s="14">
        <v>6230</v>
      </c>
      <c r="H6324" s="13" t="s">
        <v>10177</v>
      </c>
      <c r="I6324" s="40" t="s">
        <v>18</v>
      </c>
      <c r="J6324" s="40" t="str">
        <f>HYPERLINK("https://stock.pstatic.net/stock-research/company/64/20260109_company_581087000.pdf","PDF")</f>
        <v>PDF</v>
      </c>
      <c r="K6324" s="12" t="s">
        <v>10178</v>
      </c>
      <c r="L6324" s="20">
        <v>0.6532905296950241</v>
      </c>
    </row>
    <row r="6325" spans="1:12" x14ac:dyDescent="0.45">
      <c r="A6325" s="12" t="s">
        <v>10144</v>
      </c>
      <c r="B6325" s="12" t="s">
        <v>13</v>
      </c>
      <c r="C6325" s="13" t="s">
        <v>14</v>
      </c>
      <c r="D6325" s="13" t="s">
        <v>92</v>
      </c>
      <c r="E6325" s="12" t="s">
        <v>35</v>
      </c>
      <c r="F6325" s="14">
        <v>180000</v>
      </c>
      <c r="G6325" s="14">
        <v>138800</v>
      </c>
      <c r="H6325" s="13" t="s">
        <v>10179</v>
      </c>
      <c r="I6325" s="40" t="s">
        <v>18</v>
      </c>
      <c r="J6325" s="40" t="str">
        <f>HYPERLINK("https://stock.pstatic.net/stock-research/company/63/20260109_company_296970000.pdf","PDF")</f>
        <v>PDF</v>
      </c>
      <c r="K6325" s="12" t="s">
        <v>10180</v>
      </c>
      <c r="L6325" s="20">
        <v>0.29682997118155618</v>
      </c>
    </row>
    <row r="6326" spans="1:12" x14ac:dyDescent="0.45">
      <c r="A6326" s="12" t="s">
        <v>10144</v>
      </c>
      <c r="B6326" s="12" t="s">
        <v>13</v>
      </c>
      <c r="C6326" s="13" t="s">
        <v>14</v>
      </c>
      <c r="D6326" s="13" t="s">
        <v>34</v>
      </c>
      <c r="E6326" s="12" t="s">
        <v>35</v>
      </c>
      <c r="F6326" s="14">
        <v>180000</v>
      </c>
      <c r="G6326" s="14">
        <v>138800</v>
      </c>
      <c r="H6326" s="13" t="s">
        <v>10181</v>
      </c>
      <c r="I6326" s="40" t="s">
        <v>18</v>
      </c>
      <c r="J6326" s="40" t="str">
        <f>HYPERLINK("https://stock.pstatic.net/stock-research/company/61/20260109_company_410717000.pdf","PDF")</f>
        <v>PDF</v>
      </c>
      <c r="K6326" s="12" t="s">
        <v>10182</v>
      </c>
      <c r="L6326" s="20">
        <v>0.29682997118155618</v>
      </c>
    </row>
    <row r="6327" spans="1:12" x14ac:dyDescent="0.45">
      <c r="A6327" s="12" t="s">
        <v>10144</v>
      </c>
      <c r="B6327" s="12" t="s">
        <v>1081</v>
      </c>
      <c r="C6327" s="13" t="s">
        <v>1082</v>
      </c>
      <c r="D6327" s="13" t="s">
        <v>34</v>
      </c>
      <c r="E6327" s="12" t="s">
        <v>35</v>
      </c>
      <c r="F6327" s="14">
        <v>2200000</v>
      </c>
      <c r="G6327" s="14">
        <v>1885000</v>
      </c>
      <c r="H6327" s="13" t="s">
        <v>10183</v>
      </c>
      <c r="I6327" s="40" t="s">
        <v>18</v>
      </c>
      <c r="J6327" s="40" t="str">
        <f>HYPERLINK("https://stock.pstatic.net/stock-research/company/61/20260109_company_76514000.pdf","PDF")</f>
        <v>PDF</v>
      </c>
      <c r="K6327" s="12" t="s">
        <v>10184</v>
      </c>
      <c r="L6327" s="20">
        <v>0.16710875331564989</v>
      </c>
    </row>
    <row r="6328" spans="1:12" x14ac:dyDescent="0.45">
      <c r="A6328" s="12" t="s">
        <v>10144</v>
      </c>
      <c r="B6328" s="12" t="s">
        <v>2522</v>
      </c>
      <c r="C6328" s="13" t="s">
        <v>2523</v>
      </c>
      <c r="D6328" s="13" t="s">
        <v>92</v>
      </c>
      <c r="E6328" s="12" t="s">
        <v>35</v>
      </c>
      <c r="F6328" s="14">
        <v>390000</v>
      </c>
      <c r="G6328" s="14">
        <v>229500</v>
      </c>
      <c r="H6328" s="13" t="s">
        <v>10185</v>
      </c>
      <c r="I6328" s="40" t="s">
        <v>18</v>
      </c>
      <c r="J6328" s="40" t="str">
        <f>HYPERLINK("https://stock.pstatic.net/stock-research/company/63/20260109_company_173350000.pdf","PDF")</f>
        <v>PDF</v>
      </c>
      <c r="K6328" s="12" t="s">
        <v>10186</v>
      </c>
      <c r="L6328" s="20">
        <v>0.69934640522875813</v>
      </c>
    </row>
    <row r="6329" spans="1:12" x14ac:dyDescent="0.45">
      <c r="A6329" s="12" t="s">
        <v>10144</v>
      </c>
      <c r="B6329" s="12" t="s">
        <v>1682</v>
      </c>
      <c r="C6329" s="13" t="s">
        <v>4787</v>
      </c>
      <c r="D6329" s="13" t="s">
        <v>92</v>
      </c>
      <c r="E6329" s="12" t="s">
        <v>35</v>
      </c>
      <c r="F6329" s="14">
        <v>280000</v>
      </c>
      <c r="G6329" s="14">
        <v>227000</v>
      </c>
      <c r="H6329" s="13" t="s">
        <v>10187</v>
      </c>
      <c r="I6329" s="40" t="s">
        <v>18</v>
      </c>
      <c r="J6329" s="40" t="str">
        <f>HYPERLINK("https://stock.pstatic.net/stock-research/company/63/20260109_company_765403000.pdf","PDF")</f>
        <v>PDF</v>
      </c>
      <c r="K6329" s="12" t="s">
        <v>10188</v>
      </c>
      <c r="L6329" s="20">
        <v>0.23348017621145381</v>
      </c>
    </row>
    <row r="6330" spans="1:12" x14ac:dyDescent="0.45">
      <c r="A6330" s="12" t="s">
        <v>10144</v>
      </c>
      <c r="B6330" s="12" t="s">
        <v>495</v>
      </c>
      <c r="C6330" s="13" t="s">
        <v>496</v>
      </c>
      <c r="D6330" s="13" t="s">
        <v>23</v>
      </c>
      <c r="E6330" s="12" t="s">
        <v>16</v>
      </c>
      <c r="F6330" s="14">
        <v>300000</v>
      </c>
      <c r="G6330" s="14">
        <v>217000</v>
      </c>
      <c r="H6330" s="13" t="s">
        <v>10189</v>
      </c>
      <c r="I6330" s="40" t="s">
        <v>18</v>
      </c>
      <c r="J6330" s="40" t="str">
        <f>HYPERLINK("https://stock.pstatic.net/stock-research/company/21/20260109_company_780110000.pdf","PDF")</f>
        <v>PDF</v>
      </c>
      <c r="K6330" s="12" t="s">
        <v>10190</v>
      </c>
      <c r="L6330" s="20">
        <v>0.38248847926267282</v>
      </c>
    </row>
    <row r="6331" spans="1:12" x14ac:dyDescent="0.45">
      <c r="A6331" s="12" t="s">
        <v>10144</v>
      </c>
      <c r="B6331" s="12" t="s">
        <v>519</v>
      </c>
      <c r="C6331" s="13" t="s">
        <v>520</v>
      </c>
      <c r="D6331" s="13" t="s">
        <v>23</v>
      </c>
      <c r="E6331" s="12" t="s">
        <v>16</v>
      </c>
      <c r="F6331" s="14">
        <v>410000</v>
      </c>
      <c r="G6331" s="14">
        <v>340500</v>
      </c>
      <c r="H6331" s="13" t="s">
        <v>10191</v>
      </c>
      <c r="I6331" s="40" t="s">
        <v>18</v>
      </c>
      <c r="J6331" s="40" t="str">
        <f>HYPERLINK("https://stock.pstatic.net/stock-research/company/21/20260109_company_212180000.pdf","PDF")</f>
        <v>PDF</v>
      </c>
      <c r="K6331" s="12" t="s">
        <v>10192</v>
      </c>
      <c r="L6331" s="20">
        <v>0.20411160058737149</v>
      </c>
    </row>
    <row r="6332" spans="1:12" x14ac:dyDescent="0.45">
      <c r="A6332" s="12" t="s">
        <v>10144</v>
      </c>
      <c r="B6332" s="12" t="s">
        <v>13</v>
      </c>
      <c r="C6332" s="13" t="s">
        <v>14</v>
      </c>
      <c r="D6332" s="13" t="s">
        <v>53</v>
      </c>
      <c r="E6332" s="12" t="s">
        <v>16</v>
      </c>
      <c r="F6332" s="14">
        <v>180000</v>
      </c>
      <c r="G6332" s="14">
        <v>138800</v>
      </c>
      <c r="H6332" s="13" t="s">
        <v>10193</v>
      </c>
      <c r="I6332" s="40" t="s">
        <v>18</v>
      </c>
      <c r="J6332" s="40" t="str">
        <f>HYPERLINK("https://stock.pstatic.net/stock-research/company/40/20260109_company_3350000.pdf","PDF")</f>
        <v>PDF</v>
      </c>
      <c r="K6332" s="12" t="s">
        <v>10194</v>
      </c>
      <c r="L6332" s="20">
        <v>0.29682997118155618</v>
      </c>
    </row>
    <row r="6333" spans="1:12" x14ac:dyDescent="0.45">
      <c r="A6333" s="12" t="s">
        <v>10144</v>
      </c>
      <c r="B6333" s="12" t="s">
        <v>760</v>
      </c>
      <c r="C6333" s="13" t="s">
        <v>761</v>
      </c>
      <c r="D6333" s="13" t="s">
        <v>44</v>
      </c>
      <c r="E6333" s="12" t="s">
        <v>35</v>
      </c>
      <c r="F6333" s="14">
        <v>210000</v>
      </c>
      <c r="G6333" s="14">
        <v>140000</v>
      </c>
      <c r="H6333" s="13" t="s">
        <v>10195</v>
      </c>
      <c r="I6333" s="40" t="s">
        <v>18</v>
      </c>
      <c r="J6333" s="40" t="str">
        <f>HYPERLINK("https://stock.pstatic.net/stock-research/company/39/20260109_company_118165000.pdf","PDF")</f>
        <v>PDF</v>
      </c>
      <c r="K6333" s="12" t="s">
        <v>10196</v>
      </c>
      <c r="L6333" s="20">
        <v>0.5</v>
      </c>
    </row>
    <row r="6334" spans="1:12" x14ac:dyDescent="0.45">
      <c r="A6334" s="12" t="s">
        <v>10144</v>
      </c>
      <c r="B6334" s="12" t="s">
        <v>13</v>
      </c>
      <c r="C6334" s="13" t="s">
        <v>14</v>
      </c>
      <c r="D6334" s="13" t="s">
        <v>44</v>
      </c>
      <c r="E6334" s="12" t="s">
        <v>50</v>
      </c>
      <c r="F6334" s="13"/>
      <c r="G6334" s="14">
        <v>138800</v>
      </c>
      <c r="H6334" s="13" t="s">
        <v>10197</v>
      </c>
      <c r="I6334" s="40" t="s">
        <v>18</v>
      </c>
      <c r="J6334" s="40" t="str">
        <f>HYPERLINK("https://stock.pstatic.net/stock-research/company/39/20260109_company_390394000.pdf","PDF")</f>
        <v>PDF</v>
      </c>
      <c r="K6334" s="12" t="s">
        <v>10198</v>
      </c>
    </row>
    <row r="6335" spans="1:12" x14ac:dyDescent="0.45">
      <c r="A6335" s="12" t="s">
        <v>10144</v>
      </c>
      <c r="B6335" s="12" t="s">
        <v>272</v>
      </c>
      <c r="C6335" s="13" t="s">
        <v>273</v>
      </c>
      <c r="D6335" s="13" t="s">
        <v>44</v>
      </c>
      <c r="E6335" s="12" t="s">
        <v>35</v>
      </c>
      <c r="F6335" s="14">
        <v>700000</v>
      </c>
      <c r="G6335" s="14">
        <v>462500</v>
      </c>
      <c r="H6335" s="13" t="s">
        <v>10199</v>
      </c>
      <c r="I6335" s="40" t="s">
        <v>18</v>
      </c>
      <c r="J6335" s="40" t="str">
        <f>HYPERLINK("https://stock.pstatic.net/stock-research/company/39/20260109_company_138889000.pdf","PDF")</f>
        <v>PDF</v>
      </c>
      <c r="K6335" s="12" t="s">
        <v>10200</v>
      </c>
      <c r="L6335" s="20">
        <v>0.51351351351351349</v>
      </c>
    </row>
    <row r="6336" spans="1:12" x14ac:dyDescent="0.45">
      <c r="A6336" s="12" t="s">
        <v>10144</v>
      </c>
      <c r="B6336" s="12" t="s">
        <v>10201</v>
      </c>
      <c r="C6336" s="13" t="s">
        <v>10202</v>
      </c>
      <c r="D6336" s="13" t="s">
        <v>124</v>
      </c>
      <c r="E6336" s="12" t="s">
        <v>50</v>
      </c>
      <c r="F6336" s="13"/>
      <c r="G6336" s="14">
        <v>7110</v>
      </c>
      <c r="H6336" s="13" t="s">
        <v>10203</v>
      </c>
      <c r="I6336" s="40" t="s">
        <v>18</v>
      </c>
      <c r="J6336" s="40" t="str">
        <f>HYPERLINK("https://stock.pstatic.net/stock-research/company/74/20260109_company_885360000.pdf","PDF")</f>
        <v>PDF</v>
      </c>
      <c r="K6336" s="12" t="s">
        <v>10204</v>
      </c>
    </row>
    <row r="6337" spans="1:12" x14ac:dyDescent="0.45">
      <c r="A6337" s="12" t="s">
        <v>10144</v>
      </c>
      <c r="B6337" s="12" t="s">
        <v>10205</v>
      </c>
      <c r="C6337" s="13" t="s">
        <v>10206</v>
      </c>
      <c r="D6337" s="13" t="s">
        <v>124</v>
      </c>
      <c r="E6337" s="12" t="s">
        <v>50</v>
      </c>
      <c r="F6337" s="13"/>
      <c r="G6337" s="14">
        <v>5150</v>
      </c>
      <c r="H6337" s="13" t="s">
        <v>10207</v>
      </c>
      <c r="I6337" s="40" t="s">
        <v>18</v>
      </c>
      <c r="J6337" s="40" t="str">
        <f>HYPERLINK("https://stock.pstatic.net/stock-research/company/74/20260109_company_156231000.pdf","PDF")</f>
        <v>PDF</v>
      </c>
      <c r="K6337" s="12" t="s">
        <v>10208</v>
      </c>
    </row>
    <row r="6338" spans="1:12" x14ac:dyDescent="0.45">
      <c r="A6338" s="12" t="s">
        <v>10144</v>
      </c>
      <c r="B6338" s="12" t="s">
        <v>10209</v>
      </c>
      <c r="C6338" s="13" t="s">
        <v>10210</v>
      </c>
      <c r="D6338" s="13" t="s">
        <v>124</v>
      </c>
      <c r="E6338" s="12" t="s">
        <v>50</v>
      </c>
      <c r="F6338" s="13"/>
      <c r="G6338" s="14">
        <v>2030</v>
      </c>
      <c r="H6338" s="13" t="s">
        <v>10211</v>
      </c>
      <c r="I6338" s="40" t="s">
        <v>18</v>
      </c>
      <c r="J6338" s="40" t="str">
        <f>HYPERLINK("https://stock.pstatic.net/stock-research/company/74/20260109_company_211116000.pdf","PDF")</f>
        <v>PDF</v>
      </c>
      <c r="K6338" s="12" t="s">
        <v>10212</v>
      </c>
    </row>
    <row r="6339" spans="1:12" x14ac:dyDescent="0.45">
      <c r="A6339" s="12" t="s">
        <v>10213</v>
      </c>
      <c r="B6339" s="12" t="s">
        <v>13</v>
      </c>
      <c r="C6339" s="13" t="s">
        <v>14</v>
      </c>
      <c r="D6339" s="13" t="s">
        <v>179</v>
      </c>
      <c r="E6339" s="12" t="s">
        <v>50</v>
      </c>
      <c r="F6339" s="13"/>
      <c r="G6339" s="13"/>
      <c r="H6339" s="13" t="s">
        <v>10214</v>
      </c>
      <c r="I6339" s="40" t="s">
        <v>18</v>
      </c>
      <c r="J6339" s="40" t="str">
        <f>HYPERLINK("https://stock.pstatic.net/stock-research/company/64/20260108_company_634117000.pdf","PDF")</f>
        <v>PDF</v>
      </c>
      <c r="K6339" s="12" t="s">
        <v>10215</v>
      </c>
    </row>
    <row r="6340" spans="1:12" x14ac:dyDescent="0.45">
      <c r="A6340" s="12" t="s">
        <v>10213</v>
      </c>
      <c r="B6340" s="12" t="s">
        <v>2758</v>
      </c>
      <c r="C6340" s="13" t="s">
        <v>2759</v>
      </c>
      <c r="D6340" s="13" t="s">
        <v>57</v>
      </c>
      <c r="E6340" s="12" t="s">
        <v>35</v>
      </c>
      <c r="F6340" s="14">
        <v>490000</v>
      </c>
      <c r="G6340" s="14">
        <v>308000</v>
      </c>
      <c r="H6340" s="13" t="s">
        <v>10216</v>
      </c>
      <c r="I6340" s="40" t="s">
        <v>18</v>
      </c>
      <c r="J6340" s="40" t="str">
        <f>HYPERLINK("https://stock.pstatic.net/stock-research/company/16/20260108_company_641589000.pdf","PDF")</f>
        <v>PDF</v>
      </c>
      <c r="K6340" s="12" t="s">
        <v>10217</v>
      </c>
      <c r="L6340" s="20">
        <v>0.59090909090909094</v>
      </c>
    </row>
    <row r="6341" spans="1:12" x14ac:dyDescent="0.45">
      <c r="A6341" s="12" t="s">
        <v>10213</v>
      </c>
      <c r="B6341" s="12" t="s">
        <v>495</v>
      </c>
      <c r="C6341" s="13" t="s">
        <v>496</v>
      </c>
      <c r="D6341" s="13" t="s">
        <v>57</v>
      </c>
      <c r="E6341" s="12" t="s">
        <v>35</v>
      </c>
      <c r="F6341" s="14">
        <v>330000</v>
      </c>
      <c r="G6341" s="14">
        <v>219500</v>
      </c>
      <c r="H6341" s="13" t="s">
        <v>10218</v>
      </c>
      <c r="I6341" s="40" t="s">
        <v>18</v>
      </c>
      <c r="J6341" s="40" t="str">
        <f>HYPERLINK("https://stock.pstatic.net/stock-research/company/16/20260108_company_394372000.pdf","PDF")</f>
        <v>PDF</v>
      </c>
      <c r="K6341" s="12" t="s">
        <v>10219</v>
      </c>
      <c r="L6341" s="20">
        <v>0.50341685649202739</v>
      </c>
    </row>
    <row r="6342" spans="1:12" x14ac:dyDescent="0.45">
      <c r="A6342" s="12" t="s">
        <v>10213</v>
      </c>
      <c r="B6342" s="12" t="s">
        <v>1120</v>
      </c>
      <c r="C6342" s="13" t="s">
        <v>1121</v>
      </c>
      <c r="D6342" s="13" t="s">
        <v>276</v>
      </c>
      <c r="E6342" s="12" t="s">
        <v>16</v>
      </c>
      <c r="F6342" s="14">
        <v>160000</v>
      </c>
      <c r="G6342" s="14">
        <v>104400</v>
      </c>
      <c r="H6342" s="13" t="s">
        <v>10220</v>
      </c>
      <c r="I6342" s="40" t="s">
        <v>18</v>
      </c>
      <c r="J6342" s="40" t="str">
        <f>HYPERLINK("https://stock.pstatic.net/stock-research/company/66/20260108_company_161481000.pdf","PDF")</f>
        <v>PDF</v>
      </c>
      <c r="K6342" s="12" t="s">
        <v>10221</v>
      </c>
      <c r="L6342" s="20">
        <v>0.53256704980842917</v>
      </c>
    </row>
    <row r="6343" spans="1:12" x14ac:dyDescent="0.45">
      <c r="A6343" s="12" t="s">
        <v>10213</v>
      </c>
      <c r="B6343" s="12" t="s">
        <v>356</v>
      </c>
      <c r="C6343" s="13" t="s">
        <v>357</v>
      </c>
      <c r="D6343" s="13" t="s">
        <v>276</v>
      </c>
      <c r="E6343" s="12" t="s">
        <v>16</v>
      </c>
      <c r="F6343" s="14">
        <v>96000</v>
      </c>
      <c r="G6343" s="14">
        <v>57800</v>
      </c>
      <c r="H6343" s="13" t="s">
        <v>10222</v>
      </c>
      <c r="I6343" s="40" t="s">
        <v>18</v>
      </c>
      <c r="J6343" s="40" t="str">
        <f>HYPERLINK("https://stock.pstatic.net/stock-research/company/66/20260108_company_360642000.pdf","PDF")</f>
        <v>PDF</v>
      </c>
      <c r="K6343" s="12" t="s">
        <v>10223</v>
      </c>
      <c r="L6343" s="20">
        <v>0.66089965397923878</v>
      </c>
    </row>
    <row r="6344" spans="1:12" x14ac:dyDescent="0.45">
      <c r="A6344" s="12" t="s">
        <v>10213</v>
      </c>
      <c r="B6344" s="12" t="s">
        <v>3628</v>
      </c>
      <c r="C6344" s="13" t="s">
        <v>3629</v>
      </c>
      <c r="D6344" s="13" t="s">
        <v>158</v>
      </c>
      <c r="E6344" s="12" t="s">
        <v>50</v>
      </c>
      <c r="F6344" s="13"/>
      <c r="G6344" s="14">
        <v>16800</v>
      </c>
      <c r="H6344" s="13" t="s">
        <v>10224</v>
      </c>
      <c r="I6344" s="40" t="s">
        <v>18</v>
      </c>
      <c r="J6344" s="40" t="str">
        <f>HYPERLINK("https://stock.pstatic.net/stock-research/company/18/20260108_company_796618000.pdf","PDF")</f>
        <v>PDF</v>
      </c>
      <c r="K6344" s="12" t="s">
        <v>10225</v>
      </c>
    </row>
    <row r="6345" spans="1:12" x14ac:dyDescent="0.45">
      <c r="A6345" s="12" t="s">
        <v>10213</v>
      </c>
      <c r="B6345" s="12" t="s">
        <v>1097</v>
      </c>
      <c r="C6345" s="13" t="s">
        <v>1098</v>
      </c>
      <c r="D6345" s="13" t="s">
        <v>83</v>
      </c>
      <c r="E6345" s="12" t="s">
        <v>35</v>
      </c>
      <c r="F6345" s="14">
        <v>150000</v>
      </c>
      <c r="G6345" s="14">
        <v>103000</v>
      </c>
      <c r="H6345" s="13" t="s">
        <v>10226</v>
      </c>
      <c r="I6345" s="40" t="s">
        <v>18</v>
      </c>
      <c r="J6345" s="40" t="str">
        <f>HYPERLINK("https://stock.pstatic.net/stock-research/company/2/20260108_company_370843000.pdf","PDF")</f>
        <v>PDF</v>
      </c>
      <c r="K6345" s="12" t="s">
        <v>10227</v>
      </c>
      <c r="L6345" s="20">
        <v>0.4563106796116505</v>
      </c>
    </row>
    <row r="6346" spans="1:12" x14ac:dyDescent="0.45">
      <c r="A6346" s="12" t="s">
        <v>10213</v>
      </c>
      <c r="B6346" s="12" t="s">
        <v>1678</v>
      </c>
      <c r="C6346" s="13" t="s">
        <v>1679</v>
      </c>
      <c r="D6346" s="13" t="s">
        <v>83</v>
      </c>
      <c r="E6346" s="12" t="s">
        <v>35</v>
      </c>
      <c r="F6346" s="14">
        <v>86000</v>
      </c>
      <c r="G6346" s="14">
        <v>62000</v>
      </c>
      <c r="H6346" s="13" t="s">
        <v>10228</v>
      </c>
      <c r="I6346" s="40" t="s">
        <v>18</v>
      </c>
      <c r="J6346" s="40" t="str">
        <f>HYPERLINK("https://stock.pstatic.net/stock-research/company/2/20260108_company_34562000.pdf","PDF")</f>
        <v>PDF</v>
      </c>
      <c r="K6346" s="12" t="s">
        <v>10229</v>
      </c>
      <c r="L6346" s="20">
        <v>0.38709677419354838</v>
      </c>
    </row>
    <row r="6347" spans="1:12" x14ac:dyDescent="0.45">
      <c r="A6347" s="12" t="s">
        <v>10213</v>
      </c>
      <c r="B6347" s="12" t="s">
        <v>1184</v>
      </c>
      <c r="C6347" s="13" t="s">
        <v>1185</v>
      </c>
      <c r="D6347" s="13" t="s">
        <v>83</v>
      </c>
      <c r="E6347" s="12" t="s">
        <v>35</v>
      </c>
      <c r="F6347" s="14">
        <v>23000</v>
      </c>
      <c r="G6347" s="14">
        <v>19960</v>
      </c>
      <c r="H6347" s="13" t="s">
        <v>10230</v>
      </c>
      <c r="I6347" s="40" t="s">
        <v>18</v>
      </c>
      <c r="J6347" s="40" t="str">
        <f>HYPERLINK("https://stock.pstatic.net/stock-research/company/2/20260108_company_210111000.pdf","PDF")</f>
        <v>PDF</v>
      </c>
      <c r="K6347" s="12" t="s">
        <v>10231</v>
      </c>
      <c r="L6347" s="20">
        <v>0.15230460921843689</v>
      </c>
    </row>
    <row r="6348" spans="1:12" x14ac:dyDescent="0.45">
      <c r="A6348" s="12" t="s">
        <v>10213</v>
      </c>
      <c r="B6348" s="12" t="s">
        <v>533</v>
      </c>
      <c r="C6348" s="13" t="s">
        <v>534</v>
      </c>
      <c r="D6348" s="13" t="s">
        <v>83</v>
      </c>
      <c r="E6348" s="12" t="s">
        <v>35</v>
      </c>
      <c r="F6348" s="14">
        <v>74000</v>
      </c>
      <c r="G6348" s="14">
        <v>52400</v>
      </c>
      <c r="H6348" s="13" t="s">
        <v>10232</v>
      </c>
      <c r="I6348" s="40" t="s">
        <v>18</v>
      </c>
      <c r="J6348" s="40" t="str">
        <f>HYPERLINK("https://stock.pstatic.net/stock-research/company/2/20260108_company_939414000.pdf","PDF")</f>
        <v>PDF</v>
      </c>
      <c r="K6348" s="12" t="s">
        <v>10233</v>
      </c>
      <c r="L6348" s="20">
        <v>0.41221374045801529</v>
      </c>
    </row>
    <row r="6349" spans="1:12" x14ac:dyDescent="0.45">
      <c r="A6349" s="12" t="s">
        <v>10213</v>
      </c>
      <c r="B6349" s="12" t="s">
        <v>2089</v>
      </c>
      <c r="C6349" s="13" t="s">
        <v>2090</v>
      </c>
      <c r="D6349" s="13" t="s">
        <v>15</v>
      </c>
      <c r="E6349" s="12" t="s">
        <v>16</v>
      </c>
      <c r="F6349" s="14">
        <v>110000</v>
      </c>
      <c r="G6349" s="14">
        <v>80900</v>
      </c>
      <c r="H6349" s="13" t="s">
        <v>10234</v>
      </c>
      <c r="I6349" s="40" t="s">
        <v>18</v>
      </c>
      <c r="J6349" s="40" t="str">
        <f>HYPERLINK("https://stock.pstatic.net/stock-research/company/29/20260108_company_732154000.pdf","PDF")</f>
        <v>PDF</v>
      </c>
      <c r="K6349" s="12" t="s">
        <v>10235</v>
      </c>
      <c r="L6349" s="20">
        <v>0.35970333745364652</v>
      </c>
    </row>
    <row r="6350" spans="1:12" x14ac:dyDescent="0.45">
      <c r="A6350" s="12" t="s">
        <v>10213</v>
      </c>
      <c r="B6350" s="12" t="s">
        <v>1666</v>
      </c>
      <c r="C6350" s="13" t="s">
        <v>1667</v>
      </c>
      <c r="D6350" s="13" t="s">
        <v>92</v>
      </c>
      <c r="E6350" s="12" t="s">
        <v>35</v>
      </c>
      <c r="F6350" s="14">
        <v>80000</v>
      </c>
      <c r="G6350" s="14">
        <v>48500</v>
      </c>
      <c r="H6350" s="13" t="s">
        <v>10236</v>
      </c>
      <c r="I6350" s="40" t="s">
        <v>18</v>
      </c>
      <c r="J6350" s="40" t="str">
        <f>HYPERLINK("https://stock.pstatic.net/stock-research/company/63/20260108_company_378516000.pdf","PDF")</f>
        <v>PDF</v>
      </c>
      <c r="K6350" s="12" t="s">
        <v>10237</v>
      </c>
      <c r="L6350" s="20">
        <v>0.64948453608247425</v>
      </c>
    </row>
    <row r="6351" spans="1:12" x14ac:dyDescent="0.45">
      <c r="A6351" s="12" t="s">
        <v>10213</v>
      </c>
      <c r="B6351" s="12" t="s">
        <v>860</v>
      </c>
      <c r="C6351" s="13" t="s">
        <v>861</v>
      </c>
      <c r="D6351" s="13" t="s">
        <v>23</v>
      </c>
      <c r="E6351" s="12" t="s">
        <v>16</v>
      </c>
      <c r="F6351" s="14">
        <v>120000</v>
      </c>
      <c r="G6351" s="14">
        <v>85700</v>
      </c>
      <c r="H6351" s="13" t="s">
        <v>10238</v>
      </c>
      <c r="I6351" s="40" t="s">
        <v>18</v>
      </c>
      <c r="J6351" s="40" t="str">
        <f>HYPERLINK("https://stock.pstatic.net/stock-research/company/21/20260108_company_413180000.pdf","PDF")</f>
        <v>PDF</v>
      </c>
      <c r="K6351" s="12" t="s">
        <v>10239</v>
      </c>
      <c r="L6351" s="20">
        <v>0.40023337222870481</v>
      </c>
    </row>
    <row r="6352" spans="1:12" x14ac:dyDescent="0.45">
      <c r="A6352" s="12" t="s">
        <v>10213</v>
      </c>
      <c r="B6352" s="12" t="s">
        <v>2522</v>
      </c>
      <c r="C6352" s="13" t="s">
        <v>2523</v>
      </c>
      <c r="D6352" s="13" t="s">
        <v>179</v>
      </c>
      <c r="E6352" s="12" t="s">
        <v>16</v>
      </c>
      <c r="F6352" s="14">
        <v>330000</v>
      </c>
      <c r="G6352" s="14">
        <v>232000</v>
      </c>
      <c r="H6352" s="13" t="s">
        <v>10240</v>
      </c>
      <c r="I6352" s="40" t="s">
        <v>18</v>
      </c>
      <c r="J6352" s="40" t="str">
        <f>HYPERLINK("https://stock.pstatic.net/stock-research/company/64/20260108_company_207077000.pdf","PDF")</f>
        <v>PDF</v>
      </c>
      <c r="K6352" s="12" t="s">
        <v>10241</v>
      </c>
      <c r="L6352" s="20">
        <v>0.42241379310344829</v>
      </c>
    </row>
    <row r="6353" spans="1:12" x14ac:dyDescent="0.45">
      <c r="A6353" s="12" t="s">
        <v>10213</v>
      </c>
      <c r="B6353" s="12" t="s">
        <v>577</v>
      </c>
      <c r="C6353" s="13" t="s">
        <v>578</v>
      </c>
      <c r="D6353" s="13" t="s">
        <v>44</v>
      </c>
      <c r="E6353" s="12" t="s">
        <v>35</v>
      </c>
      <c r="F6353" s="14">
        <v>475000</v>
      </c>
      <c r="G6353" s="14">
        <v>392500</v>
      </c>
      <c r="H6353" s="13" t="s">
        <v>10242</v>
      </c>
      <c r="I6353" s="40" t="s">
        <v>18</v>
      </c>
      <c r="J6353" s="40" t="str">
        <f>HYPERLINK("https://stock.pstatic.net/stock-research/company/39/20260108_company_934182000.pdf","PDF")</f>
        <v>PDF</v>
      </c>
      <c r="K6353" s="12" t="s">
        <v>10243</v>
      </c>
      <c r="L6353" s="20">
        <v>0.21019108280254781</v>
      </c>
    </row>
    <row r="6354" spans="1:12" x14ac:dyDescent="0.45">
      <c r="A6354" s="12" t="s">
        <v>10213</v>
      </c>
      <c r="B6354" s="12" t="s">
        <v>5892</v>
      </c>
      <c r="C6354" s="13" t="s">
        <v>5893</v>
      </c>
      <c r="D6354" s="13" t="s">
        <v>44</v>
      </c>
      <c r="E6354" s="12" t="s">
        <v>50</v>
      </c>
      <c r="F6354" s="13"/>
      <c r="G6354" s="14">
        <v>5120</v>
      </c>
      <c r="H6354" s="13" t="s">
        <v>10244</v>
      </c>
      <c r="I6354" s="40" t="s">
        <v>18</v>
      </c>
      <c r="J6354" s="40" t="str">
        <f>HYPERLINK("https://stock.pstatic.net/stock-research/company/39/20260108_company_539656000.pdf","PDF")</f>
        <v>PDF</v>
      </c>
      <c r="K6354" s="12" t="s">
        <v>10245</v>
      </c>
    </row>
    <row r="6355" spans="1:12" x14ac:dyDescent="0.45">
      <c r="A6355" s="12" t="s">
        <v>10213</v>
      </c>
      <c r="B6355" s="12" t="s">
        <v>740</v>
      </c>
      <c r="C6355" s="13" t="s">
        <v>741</v>
      </c>
      <c r="D6355" s="13" t="s">
        <v>44</v>
      </c>
      <c r="E6355" s="12" t="s">
        <v>35</v>
      </c>
      <c r="F6355" s="14">
        <v>350000</v>
      </c>
      <c r="G6355" s="14">
        <v>275000</v>
      </c>
      <c r="H6355" s="13" t="s">
        <v>10246</v>
      </c>
      <c r="I6355" s="40" t="s">
        <v>18</v>
      </c>
      <c r="J6355" s="40" t="str">
        <f>HYPERLINK("https://stock.pstatic.net/stock-research/company/39/20260108_company_588394000.pdf","PDF")</f>
        <v>PDF</v>
      </c>
      <c r="K6355" s="12" t="s">
        <v>10247</v>
      </c>
      <c r="L6355" s="20">
        <v>0.27272727272727271</v>
      </c>
    </row>
    <row r="6356" spans="1:12" x14ac:dyDescent="0.45">
      <c r="A6356" s="12" t="s">
        <v>10213</v>
      </c>
      <c r="B6356" s="12" t="s">
        <v>394</v>
      </c>
      <c r="C6356" s="13" t="s">
        <v>395</v>
      </c>
      <c r="D6356" s="13" t="s">
        <v>124</v>
      </c>
      <c r="E6356" s="12" t="s">
        <v>50</v>
      </c>
      <c r="F6356" s="13"/>
      <c r="G6356" s="13"/>
      <c r="H6356" s="13" t="s">
        <v>10248</v>
      </c>
      <c r="I6356" s="40" t="s">
        <v>18</v>
      </c>
      <c r="J6356" s="40" t="str">
        <f>HYPERLINK("https://stock.pstatic.net/stock-research/company/74/20260122_company_239815000.pdf","PDF")</f>
        <v>PDF</v>
      </c>
      <c r="K6356" s="12" t="s">
        <v>10249</v>
      </c>
    </row>
    <row r="6357" spans="1:12" x14ac:dyDescent="0.45">
      <c r="A6357" s="12" t="s">
        <v>10213</v>
      </c>
      <c r="B6357" s="12" t="s">
        <v>2382</v>
      </c>
      <c r="C6357" s="13" t="s">
        <v>2383</v>
      </c>
      <c r="D6357" s="13" t="s">
        <v>53</v>
      </c>
      <c r="E6357" s="12" t="s">
        <v>16</v>
      </c>
      <c r="F6357" s="14">
        <v>56000</v>
      </c>
      <c r="G6357" s="14">
        <v>42000</v>
      </c>
      <c r="H6357" s="13" t="s">
        <v>10250</v>
      </c>
      <c r="I6357" s="40" t="s">
        <v>18</v>
      </c>
      <c r="J6357" s="40" t="str">
        <f>HYPERLINK("https://stock.pstatic.net/stock-research/company/40/20260108_company_986443000.pdf","PDF")</f>
        <v>PDF</v>
      </c>
      <c r="K6357" s="12" t="s">
        <v>10251</v>
      </c>
      <c r="L6357" s="20">
        <v>0.33333333333333331</v>
      </c>
    </row>
    <row r="6358" spans="1:12" x14ac:dyDescent="0.45">
      <c r="A6358" s="12" t="s">
        <v>10252</v>
      </c>
      <c r="B6358" s="12" t="s">
        <v>128</v>
      </c>
      <c r="C6358" s="13" t="s">
        <v>129</v>
      </c>
      <c r="D6358" s="13" t="s">
        <v>23</v>
      </c>
      <c r="E6358" s="12" t="s">
        <v>16</v>
      </c>
      <c r="F6358" s="14">
        <v>44000</v>
      </c>
      <c r="G6358" s="14">
        <v>37500</v>
      </c>
      <c r="H6358" s="13" t="s">
        <v>10253</v>
      </c>
      <c r="I6358" s="40" t="s">
        <v>18</v>
      </c>
      <c r="J6358" s="40" t="str">
        <f>HYPERLINK("https://stock.pstatic.net/stock-research/company/21/20260107_company_659706000.pdf","PDF")</f>
        <v>PDF</v>
      </c>
      <c r="K6358" s="12" t="s">
        <v>10254</v>
      </c>
      <c r="L6358" s="20">
        <v>0.17333333333333331</v>
      </c>
    </row>
    <row r="6359" spans="1:12" x14ac:dyDescent="0.45">
      <c r="A6359" s="12" t="s">
        <v>10252</v>
      </c>
      <c r="B6359" s="12" t="s">
        <v>2378</v>
      </c>
      <c r="C6359" s="13" t="s">
        <v>2379</v>
      </c>
      <c r="D6359" s="13" t="s">
        <v>57</v>
      </c>
      <c r="E6359" s="12" t="s">
        <v>35</v>
      </c>
      <c r="F6359" s="14">
        <v>500000</v>
      </c>
      <c r="G6359" s="14">
        <v>378000</v>
      </c>
      <c r="H6359" s="13" t="s">
        <v>10255</v>
      </c>
      <c r="I6359" s="40" t="s">
        <v>18</v>
      </c>
      <c r="J6359" s="40" t="str">
        <f>HYPERLINK("https://stock.pstatic.net/stock-research/company/16/20260107_company_415164000.pdf","PDF")</f>
        <v>PDF</v>
      </c>
      <c r="K6359" s="12" t="s">
        <v>10256</v>
      </c>
      <c r="L6359" s="20">
        <v>0.32275132275132268</v>
      </c>
    </row>
    <row r="6360" spans="1:12" x14ac:dyDescent="0.45">
      <c r="A6360" s="12" t="s">
        <v>10252</v>
      </c>
      <c r="B6360" s="12" t="s">
        <v>2369</v>
      </c>
      <c r="C6360" s="13" t="s">
        <v>2370</v>
      </c>
      <c r="D6360" s="13" t="s">
        <v>57</v>
      </c>
      <c r="E6360" s="12" t="s">
        <v>35</v>
      </c>
      <c r="F6360" s="14">
        <v>350000</v>
      </c>
      <c r="G6360" s="14">
        <v>277000</v>
      </c>
      <c r="H6360" s="13" t="s">
        <v>10257</v>
      </c>
      <c r="I6360" s="40" t="s">
        <v>18</v>
      </c>
      <c r="J6360" s="40" t="str">
        <f>HYPERLINK("https://stock.pstatic.net/stock-research/company/16/20260107_company_735672000.pdf","PDF")</f>
        <v>PDF</v>
      </c>
      <c r="K6360" s="12" t="s">
        <v>10258</v>
      </c>
      <c r="L6360" s="20">
        <v>0.26353790613718409</v>
      </c>
    </row>
    <row r="6361" spans="1:12" x14ac:dyDescent="0.45">
      <c r="A6361" s="12" t="s">
        <v>10252</v>
      </c>
      <c r="B6361" s="12" t="s">
        <v>95</v>
      </c>
      <c r="C6361" s="13" t="s">
        <v>31</v>
      </c>
      <c r="D6361" s="13" t="s">
        <v>57</v>
      </c>
      <c r="E6361" s="12" t="s">
        <v>35</v>
      </c>
      <c r="F6361" s="14">
        <v>32000</v>
      </c>
      <c r="G6361" s="14">
        <v>24300</v>
      </c>
      <c r="H6361" s="13" t="s">
        <v>10259</v>
      </c>
      <c r="I6361" s="40" t="s">
        <v>18</v>
      </c>
      <c r="J6361" s="40" t="str">
        <f>HYPERLINK("https://stock.pstatic.net/stock-research/company/16/20260107_company_266967000.pdf","PDF")</f>
        <v>PDF</v>
      </c>
      <c r="K6361" s="12" t="s">
        <v>10260</v>
      </c>
      <c r="L6361" s="20">
        <v>0.3168724279835391</v>
      </c>
    </row>
    <row r="6362" spans="1:12" x14ac:dyDescent="0.45">
      <c r="A6362" s="12" t="s">
        <v>10252</v>
      </c>
      <c r="B6362" s="12" t="s">
        <v>1660</v>
      </c>
      <c r="C6362" s="13" t="s">
        <v>1661</v>
      </c>
      <c r="D6362" s="13" t="s">
        <v>276</v>
      </c>
      <c r="E6362" s="12" t="s">
        <v>16</v>
      </c>
      <c r="F6362" s="14">
        <v>60000</v>
      </c>
      <c r="G6362" s="14">
        <v>43400</v>
      </c>
      <c r="H6362" s="13" t="s">
        <v>7962</v>
      </c>
      <c r="I6362" s="40" t="s">
        <v>18</v>
      </c>
      <c r="J6362" s="40" t="str">
        <f>HYPERLINK("https://stock.pstatic.net/stock-research/company/66/20260107_company_540972000.pdf","PDF")</f>
        <v>PDF</v>
      </c>
      <c r="K6362" s="12" t="s">
        <v>10261</v>
      </c>
      <c r="L6362" s="20">
        <v>0.38248847926267282</v>
      </c>
    </row>
    <row r="6363" spans="1:12" x14ac:dyDescent="0.45">
      <c r="A6363" s="12" t="s">
        <v>10252</v>
      </c>
      <c r="B6363" s="12" t="s">
        <v>1081</v>
      </c>
      <c r="C6363" s="13" t="s">
        <v>1082</v>
      </c>
      <c r="D6363" s="13" t="s">
        <v>65</v>
      </c>
      <c r="E6363" s="12" t="s">
        <v>35</v>
      </c>
      <c r="F6363" s="14">
        <v>2050000</v>
      </c>
      <c r="G6363" s="14">
        <v>1721000</v>
      </c>
      <c r="H6363" s="13" t="s">
        <v>10262</v>
      </c>
      <c r="I6363" s="40" t="s">
        <v>18</v>
      </c>
      <c r="J6363" s="40" t="str">
        <f>HYPERLINK("https://stock.pstatic.net/stock-research/company/57/20260107_company_531211000.pdf","PDF")</f>
        <v>PDF</v>
      </c>
      <c r="K6363" s="12" t="s">
        <v>10263</v>
      </c>
      <c r="L6363" s="20">
        <v>0.1911679256246368</v>
      </c>
    </row>
    <row r="6364" spans="1:12" x14ac:dyDescent="0.45">
      <c r="A6364" s="12" t="s">
        <v>10252</v>
      </c>
      <c r="B6364" s="12" t="s">
        <v>908</v>
      </c>
      <c r="C6364" s="13" t="s">
        <v>909</v>
      </c>
      <c r="D6364" s="13" t="s">
        <v>65</v>
      </c>
      <c r="E6364" s="12" t="s">
        <v>35</v>
      </c>
      <c r="F6364" s="14">
        <v>220000</v>
      </c>
      <c r="G6364" s="14">
        <v>181100</v>
      </c>
      <c r="H6364" s="13" t="s">
        <v>10264</v>
      </c>
      <c r="I6364" s="40" t="s">
        <v>18</v>
      </c>
      <c r="J6364" s="40" t="str">
        <f>HYPERLINK("https://stock.pstatic.net/stock-research/company/57/20260107_company_698857000.pdf","PDF")</f>
        <v>PDF</v>
      </c>
      <c r="K6364" s="12" t="s">
        <v>10265</v>
      </c>
      <c r="L6364" s="20">
        <v>0.21479845389287691</v>
      </c>
    </row>
    <row r="6365" spans="1:12" x14ac:dyDescent="0.45">
      <c r="A6365" s="12" t="s">
        <v>10252</v>
      </c>
      <c r="B6365" s="12" t="s">
        <v>1666</v>
      </c>
      <c r="C6365" s="13" t="s">
        <v>1667</v>
      </c>
      <c r="D6365" s="13" t="s">
        <v>65</v>
      </c>
      <c r="E6365" s="12" t="s">
        <v>35</v>
      </c>
      <c r="F6365" s="14">
        <v>73000</v>
      </c>
      <c r="G6365" s="14">
        <v>49450</v>
      </c>
      <c r="H6365" s="13" t="s">
        <v>10266</v>
      </c>
      <c r="I6365" s="40" t="s">
        <v>18</v>
      </c>
      <c r="J6365" s="40" t="str">
        <f>HYPERLINK("https://stock.pstatic.net/stock-research/company/57/20260107_company_703742000.pdf","PDF")</f>
        <v>PDF</v>
      </c>
      <c r="K6365" s="12" t="s">
        <v>10267</v>
      </c>
      <c r="L6365" s="20">
        <v>0.47623862487360968</v>
      </c>
    </row>
    <row r="6366" spans="1:12" x14ac:dyDescent="0.45">
      <c r="A6366" s="12" t="s">
        <v>10252</v>
      </c>
      <c r="B6366" s="12" t="s">
        <v>3230</v>
      </c>
      <c r="C6366" s="13" t="s">
        <v>3231</v>
      </c>
      <c r="D6366" s="13" t="s">
        <v>65</v>
      </c>
      <c r="E6366" s="12" t="s">
        <v>35</v>
      </c>
      <c r="F6366" s="14">
        <v>3000000</v>
      </c>
      <c r="G6366" s="14">
        <v>1845000</v>
      </c>
      <c r="H6366" s="13" t="s">
        <v>10268</v>
      </c>
      <c r="I6366" s="40" t="s">
        <v>18</v>
      </c>
      <c r="J6366" s="40" t="str">
        <f>HYPERLINK("https://stock.pstatic.net/stock-research/company/57/20260107_company_439069000.pdf","PDF")</f>
        <v>PDF</v>
      </c>
      <c r="K6366" s="12" t="s">
        <v>10269</v>
      </c>
      <c r="L6366" s="20">
        <v>0.62601626016260159</v>
      </c>
    </row>
    <row r="6367" spans="1:12" x14ac:dyDescent="0.45">
      <c r="A6367" s="12" t="s">
        <v>10252</v>
      </c>
      <c r="B6367" s="12" t="s">
        <v>2712</v>
      </c>
      <c r="C6367" s="13" t="s">
        <v>2713</v>
      </c>
      <c r="D6367" s="13" t="s">
        <v>65</v>
      </c>
      <c r="E6367" s="12" t="s">
        <v>35</v>
      </c>
      <c r="F6367" s="14">
        <v>50000</v>
      </c>
      <c r="G6367" s="14">
        <v>24300</v>
      </c>
      <c r="H6367" s="13" t="s">
        <v>10270</v>
      </c>
      <c r="I6367" s="40" t="s">
        <v>18</v>
      </c>
      <c r="J6367" s="40" t="str">
        <f>HYPERLINK("https://stock.pstatic.net/stock-research/company/57/20260107_company_986355000.pdf","PDF")</f>
        <v>PDF</v>
      </c>
      <c r="K6367" s="12" t="s">
        <v>10271</v>
      </c>
      <c r="L6367" s="20">
        <v>1.05761316872428</v>
      </c>
    </row>
    <row r="6368" spans="1:12" x14ac:dyDescent="0.45">
      <c r="A6368" s="12" t="s">
        <v>10252</v>
      </c>
      <c r="B6368" s="12" t="s">
        <v>128</v>
      </c>
      <c r="C6368" s="13" t="s">
        <v>129</v>
      </c>
      <c r="D6368" s="13" t="s">
        <v>65</v>
      </c>
      <c r="E6368" s="12" t="s">
        <v>35</v>
      </c>
      <c r="F6368" s="14">
        <v>60000</v>
      </c>
      <c r="G6368" s="14">
        <v>37500</v>
      </c>
      <c r="H6368" s="13" t="s">
        <v>10272</v>
      </c>
      <c r="I6368" s="40" t="s">
        <v>18</v>
      </c>
      <c r="J6368" s="40" t="str">
        <f>HYPERLINK("https://stock.pstatic.net/stock-research/company/57/20260107_company_464065000.pdf","PDF")</f>
        <v>PDF</v>
      </c>
      <c r="K6368" s="12" t="s">
        <v>10273</v>
      </c>
      <c r="L6368" s="20">
        <v>0.6</v>
      </c>
    </row>
    <row r="6369" spans="1:12" x14ac:dyDescent="0.45">
      <c r="A6369" s="12" t="s">
        <v>10252</v>
      </c>
      <c r="B6369" s="12" t="s">
        <v>3478</v>
      </c>
      <c r="C6369" s="13" t="s">
        <v>3479</v>
      </c>
      <c r="D6369" s="13" t="s">
        <v>65</v>
      </c>
      <c r="E6369" s="12" t="s">
        <v>35</v>
      </c>
      <c r="F6369" s="14">
        <v>50000</v>
      </c>
      <c r="G6369" s="14">
        <v>29650</v>
      </c>
      <c r="H6369" s="13" t="s">
        <v>10274</v>
      </c>
      <c r="I6369" s="40" t="s">
        <v>18</v>
      </c>
      <c r="J6369" s="40" t="str">
        <f>HYPERLINK("https://stock.pstatic.net/stock-research/company/57/20260107_company_664653000.pdf","PDF")</f>
        <v>PDF</v>
      </c>
      <c r="K6369" s="12" t="s">
        <v>10275</v>
      </c>
      <c r="L6369" s="20">
        <v>0.68634064080944346</v>
      </c>
    </row>
    <row r="6370" spans="1:12" x14ac:dyDescent="0.45">
      <c r="A6370" s="12" t="s">
        <v>10252</v>
      </c>
      <c r="B6370" s="12" t="s">
        <v>533</v>
      </c>
      <c r="C6370" s="13" t="s">
        <v>534</v>
      </c>
      <c r="D6370" s="13" t="s">
        <v>158</v>
      </c>
      <c r="E6370" s="12" t="s">
        <v>35</v>
      </c>
      <c r="F6370" s="14">
        <v>65000</v>
      </c>
      <c r="G6370" s="14">
        <v>52800</v>
      </c>
      <c r="H6370" s="13" t="s">
        <v>10276</v>
      </c>
      <c r="I6370" s="40" t="s">
        <v>18</v>
      </c>
      <c r="J6370" s="40" t="str">
        <f>HYPERLINK("https://stock.pstatic.net/stock-research/company/18/20260107_company_435682000.pdf","PDF")</f>
        <v>PDF</v>
      </c>
      <c r="K6370" s="12" t="s">
        <v>10277</v>
      </c>
      <c r="L6370" s="20">
        <v>0.23106060606060599</v>
      </c>
    </row>
    <row r="6371" spans="1:12" x14ac:dyDescent="0.45">
      <c r="A6371" s="12" t="s">
        <v>10252</v>
      </c>
      <c r="B6371" s="12" t="s">
        <v>1081</v>
      </c>
      <c r="C6371" s="13" t="s">
        <v>1082</v>
      </c>
      <c r="D6371" s="13" t="s">
        <v>158</v>
      </c>
      <c r="E6371" s="12" t="s">
        <v>35</v>
      </c>
      <c r="F6371" s="14">
        <v>2100000</v>
      </c>
      <c r="G6371" s="14">
        <v>1721000</v>
      </c>
      <c r="H6371" s="13" t="s">
        <v>10278</v>
      </c>
      <c r="I6371" s="40" t="s">
        <v>18</v>
      </c>
      <c r="J6371" s="40" t="str">
        <f>HYPERLINK("https://stock.pstatic.net/stock-research/company/18/20260107_company_798579000.pdf","PDF")</f>
        <v>PDF</v>
      </c>
      <c r="K6371" s="12" t="s">
        <v>10279</v>
      </c>
      <c r="L6371" s="20">
        <v>0.22022080185938411</v>
      </c>
    </row>
    <row r="6372" spans="1:12" x14ac:dyDescent="0.45">
      <c r="A6372" s="12" t="s">
        <v>10252</v>
      </c>
      <c r="B6372" s="12" t="s">
        <v>1682</v>
      </c>
      <c r="C6372" s="13" t="s">
        <v>4787</v>
      </c>
      <c r="D6372" s="13" t="s">
        <v>158</v>
      </c>
      <c r="E6372" s="12" t="s">
        <v>35</v>
      </c>
      <c r="F6372" s="14">
        <v>310000</v>
      </c>
      <c r="G6372" s="14">
        <v>215500</v>
      </c>
      <c r="H6372" s="13" t="s">
        <v>10280</v>
      </c>
      <c r="I6372" s="40" t="s">
        <v>18</v>
      </c>
      <c r="J6372" s="40" t="str">
        <f>HYPERLINK("https://stock.pstatic.net/stock-research/company/18/20260107_company_165987000.pdf","PDF")</f>
        <v>PDF</v>
      </c>
      <c r="K6372" s="12" t="s">
        <v>10281</v>
      </c>
      <c r="L6372" s="20">
        <v>0.43851508120649652</v>
      </c>
    </row>
    <row r="6373" spans="1:12" x14ac:dyDescent="0.45">
      <c r="A6373" s="12" t="s">
        <v>10252</v>
      </c>
      <c r="B6373" s="12" t="s">
        <v>2522</v>
      </c>
      <c r="C6373" s="13" t="s">
        <v>2523</v>
      </c>
      <c r="D6373" s="13" t="s">
        <v>83</v>
      </c>
      <c r="E6373" s="12" t="s">
        <v>35</v>
      </c>
      <c r="F6373" s="14">
        <v>370000</v>
      </c>
      <c r="G6373" s="14">
        <v>248000</v>
      </c>
      <c r="H6373" s="13" t="s">
        <v>10282</v>
      </c>
      <c r="I6373" s="40" t="s">
        <v>18</v>
      </c>
      <c r="J6373" s="40" t="str">
        <f>HYPERLINK("https://stock.pstatic.net/stock-research/company/2/20260107_company_914200000.pdf","PDF")</f>
        <v>PDF</v>
      </c>
      <c r="K6373" s="12" t="s">
        <v>10283</v>
      </c>
      <c r="L6373" s="20">
        <v>0.49193548387096769</v>
      </c>
    </row>
    <row r="6374" spans="1:12" x14ac:dyDescent="0.45">
      <c r="A6374" s="12" t="s">
        <v>10252</v>
      </c>
      <c r="B6374" s="12" t="s">
        <v>2378</v>
      </c>
      <c r="C6374" s="13" t="s">
        <v>2379</v>
      </c>
      <c r="D6374" s="13" t="s">
        <v>23</v>
      </c>
      <c r="E6374" s="12" t="s">
        <v>16</v>
      </c>
      <c r="F6374" s="14">
        <v>510000</v>
      </c>
      <c r="G6374" s="14">
        <v>378000</v>
      </c>
      <c r="H6374" s="13" t="s">
        <v>10284</v>
      </c>
      <c r="I6374" s="40" t="s">
        <v>18</v>
      </c>
      <c r="J6374" s="40" t="str">
        <f>HYPERLINK("https://stock.pstatic.net/stock-research/company/21/20260107_company_39347000.pdf","PDF")</f>
        <v>PDF</v>
      </c>
      <c r="K6374" s="12" t="s">
        <v>10285</v>
      </c>
      <c r="L6374" s="20">
        <v>0.34920634920634919</v>
      </c>
    </row>
    <row r="6375" spans="1:12" x14ac:dyDescent="0.45">
      <c r="A6375" s="12" t="s">
        <v>10252</v>
      </c>
      <c r="B6375" s="12" t="s">
        <v>3805</v>
      </c>
      <c r="C6375" s="13" t="s">
        <v>3806</v>
      </c>
      <c r="D6375" s="13" t="s">
        <v>23</v>
      </c>
      <c r="E6375" s="12" t="s">
        <v>16</v>
      </c>
      <c r="F6375" s="14">
        <v>6800</v>
      </c>
      <c r="G6375" s="14">
        <v>4575</v>
      </c>
      <c r="H6375" s="13" t="s">
        <v>10286</v>
      </c>
      <c r="I6375" s="40" t="s">
        <v>18</v>
      </c>
      <c r="J6375" s="40" t="str">
        <f>HYPERLINK("https://stock.pstatic.net/stock-research/company/21/20260107_company_526408000.pdf","PDF")</f>
        <v>PDF</v>
      </c>
      <c r="K6375" s="12" t="s">
        <v>10287</v>
      </c>
      <c r="L6375" s="20">
        <v>0.48633879781420758</v>
      </c>
    </row>
    <row r="6376" spans="1:12" x14ac:dyDescent="0.45">
      <c r="A6376" s="12" t="s">
        <v>10252</v>
      </c>
      <c r="B6376" s="12" t="s">
        <v>13</v>
      </c>
      <c r="C6376" s="13" t="s">
        <v>14</v>
      </c>
      <c r="D6376" s="13" t="s">
        <v>92</v>
      </c>
      <c r="E6376" s="12" t="s">
        <v>35</v>
      </c>
      <c r="F6376" s="14">
        <v>170000</v>
      </c>
      <c r="G6376" s="14">
        <v>138900</v>
      </c>
      <c r="H6376" s="13" t="s">
        <v>10288</v>
      </c>
      <c r="I6376" s="40" t="s">
        <v>18</v>
      </c>
      <c r="J6376" s="40" t="str">
        <f>HYPERLINK("https://stock.pstatic.net/stock-research/company/63/20260107_company_584383000.pdf","PDF")</f>
        <v>PDF</v>
      </c>
      <c r="K6376" s="12" t="s">
        <v>10289</v>
      </c>
      <c r="L6376" s="20">
        <v>0.22390208783297341</v>
      </c>
    </row>
    <row r="6377" spans="1:12" x14ac:dyDescent="0.45">
      <c r="A6377" s="12" t="s">
        <v>10252</v>
      </c>
      <c r="B6377" s="12" t="s">
        <v>1773</v>
      </c>
      <c r="C6377" s="13" t="s">
        <v>1774</v>
      </c>
      <c r="D6377" s="13" t="s">
        <v>34</v>
      </c>
      <c r="E6377" s="12" t="s">
        <v>35</v>
      </c>
      <c r="F6377" s="14">
        <v>120000</v>
      </c>
      <c r="G6377" s="14">
        <v>94300</v>
      </c>
      <c r="H6377" s="13" t="s">
        <v>10290</v>
      </c>
      <c r="I6377" s="40" t="s">
        <v>18</v>
      </c>
      <c r="J6377" s="40" t="str">
        <f>HYPERLINK("https://stock.pstatic.net/stock-research/company/61/20260107_company_225116000.pdf","PDF")</f>
        <v>PDF</v>
      </c>
      <c r="K6377" s="12" t="s">
        <v>10291</v>
      </c>
      <c r="L6377" s="20">
        <v>0.27253446447507951</v>
      </c>
    </row>
    <row r="6378" spans="1:12" x14ac:dyDescent="0.45">
      <c r="A6378" s="12" t="s">
        <v>10252</v>
      </c>
      <c r="B6378" s="12" t="s">
        <v>3182</v>
      </c>
      <c r="C6378" s="13" t="s">
        <v>3183</v>
      </c>
      <c r="D6378" s="13" t="s">
        <v>23</v>
      </c>
      <c r="E6378" s="12" t="s">
        <v>16</v>
      </c>
      <c r="F6378" s="14">
        <v>1000000</v>
      </c>
      <c r="G6378" s="14">
        <v>834000</v>
      </c>
      <c r="H6378" s="13" t="s">
        <v>10292</v>
      </c>
      <c r="I6378" s="40" t="s">
        <v>18</v>
      </c>
      <c r="J6378" s="40" t="str">
        <f>HYPERLINK("https://stock.pstatic.net/stock-research/company/21/20260107_company_73776000.pdf","PDF")</f>
        <v>PDF</v>
      </c>
      <c r="K6378" s="12" t="s">
        <v>10293</v>
      </c>
      <c r="L6378" s="20">
        <v>0.19904076738609111</v>
      </c>
    </row>
    <row r="6379" spans="1:12" x14ac:dyDescent="0.45">
      <c r="A6379" s="12" t="s">
        <v>10252</v>
      </c>
      <c r="B6379" s="12" t="s">
        <v>2187</v>
      </c>
      <c r="C6379" s="13" t="s">
        <v>2188</v>
      </c>
      <c r="D6379" s="13" t="s">
        <v>53</v>
      </c>
      <c r="E6379" s="12" t="s">
        <v>16</v>
      </c>
      <c r="F6379" s="14">
        <v>150000</v>
      </c>
      <c r="G6379" s="14">
        <v>110300</v>
      </c>
      <c r="H6379" s="13" t="s">
        <v>10294</v>
      </c>
      <c r="I6379" s="40" t="s">
        <v>18</v>
      </c>
      <c r="J6379" s="40" t="str">
        <f>HYPERLINK("https://stock.pstatic.net/stock-research/company/40/20260107_company_433413000.pdf","PDF")</f>
        <v>PDF</v>
      </c>
      <c r="K6379" s="12" t="s">
        <v>10295</v>
      </c>
      <c r="L6379" s="20">
        <v>0.35992747053490481</v>
      </c>
    </row>
    <row r="6380" spans="1:12" x14ac:dyDescent="0.45">
      <c r="A6380" s="12" t="s">
        <v>10252</v>
      </c>
      <c r="B6380" s="12" t="s">
        <v>334</v>
      </c>
      <c r="C6380" s="13" t="s">
        <v>335</v>
      </c>
      <c r="D6380" s="13" t="s">
        <v>44</v>
      </c>
      <c r="E6380" s="12" t="s">
        <v>35</v>
      </c>
      <c r="F6380" s="14">
        <v>880000</v>
      </c>
      <c r="G6380" s="14">
        <v>726000</v>
      </c>
      <c r="H6380" s="13" t="s">
        <v>10296</v>
      </c>
      <c r="I6380" s="40" t="s">
        <v>18</v>
      </c>
      <c r="J6380" s="40" t="str">
        <f>HYPERLINK("https://stock.pstatic.net/stock-research/company/39/20260107_company_114269000.pdf","PDF")</f>
        <v>PDF</v>
      </c>
      <c r="K6380" s="12" t="s">
        <v>10297</v>
      </c>
      <c r="L6380" s="20">
        <v>0.2121212121212121</v>
      </c>
    </row>
    <row r="6381" spans="1:12" x14ac:dyDescent="0.45">
      <c r="A6381" s="12" t="s">
        <v>10252</v>
      </c>
      <c r="B6381" s="12" t="s">
        <v>495</v>
      </c>
      <c r="C6381" s="13" t="s">
        <v>496</v>
      </c>
      <c r="D6381" s="13" t="s">
        <v>44</v>
      </c>
      <c r="E6381" s="12" t="s">
        <v>35</v>
      </c>
      <c r="F6381" s="14">
        <v>310000</v>
      </c>
      <c r="G6381" s="14">
        <v>216500</v>
      </c>
      <c r="H6381" s="13" t="s">
        <v>10298</v>
      </c>
      <c r="I6381" s="40" t="s">
        <v>18</v>
      </c>
      <c r="J6381" s="40" t="str">
        <f>HYPERLINK("https://stock.pstatic.net/stock-research/company/39/20260107_company_936330000.pdf","PDF")</f>
        <v>PDF</v>
      </c>
      <c r="K6381" s="12" t="s">
        <v>10299</v>
      </c>
      <c r="L6381" s="20">
        <v>0.43187066974595839</v>
      </c>
    </row>
    <row r="6382" spans="1:12" x14ac:dyDescent="0.45">
      <c r="A6382" s="12" t="s">
        <v>10252</v>
      </c>
      <c r="B6382" s="12" t="s">
        <v>1081</v>
      </c>
      <c r="C6382" s="13" t="s">
        <v>1082</v>
      </c>
      <c r="D6382" s="13" t="s">
        <v>44</v>
      </c>
      <c r="E6382" s="12" t="s">
        <v>35</v>
      </c>
      <c r="F6382" s="14">
        <v>2100000</v>
      </c>
      <c r="G6382" s="14">
        <v>1721000</v>
      </c>
      <c r="H6382" s="13" t="s">
        <v>10300</v>
      </c>
      <c r="I6382" s="40" t="s">
        <v>18</v>
      </c>
      <c r="J6382" s="40" t="str">
        <f>HYPERLINK("https://stock.pstatic.net/stock-research/company/39/20260107_company_175890000.pdf","PDF")</f>
        <v>PDF</v>
      </c>
      <c r="K6382" s="12" t="s">
        <v>10301</v>
      </c>
      <c r="L6382" s="20">
        <v>0.22022080185938411</v>
      </c>
    </row>
    <row r="6383" spans="1:12" x14ac:dyDescent="0.45">
      <c r="A6383" s="12" t="s">
        <v>10252</v>
      </c>
      <c r="B6383" s="12" t="s">
        <v>585</v>
      </c>
      <c r="C6383" s="13" t="s">
        <v>586</v>
      </c>
      <c r="D6383" s="13" t="s">
        <v>44</v>
      </c>
      <c r="E6383" s="12" t="s">
        <v>50</v>
      </c>
      <c r="F6383" s="13"/>
      <c r="G6383" s="14">
        <v>58300</v>
      </c>
      <c r="H6383" s="13" t="s">
        <v>10302</v>
      </c>
      <c r="I6383" s="40" t="s">
        <v>18</v>
      </c>
      <c r="J6383" s="40" t="str">
        <f>HYPERLINK("https://stock.pstatic.net/stock-research/company/39/20260107_company_640805000.pdf","PDF")</f>
        <v>PDF</v>
      </c>
      <c r="K6383" s="12" t="s">
        <v>10303</v>
      </c>
    </row>
    <row r="6384" spans="1:12" x14ac:dyDescent="0.45">
      <c r="A6384" s="12" t="s">
        <v>10304</v>
      </c>
      <c r="B6384" s="12" t="s">
        <v>1765</v>
      </c>
      <c r="C6384" s="13" t="s">
        <v>1766</v>
      </c>
      <c r="D6384" s="13" t="s">
        <v>57</v>
      </c>
      <c r="E6384" s="12" t="s">
        <v>35</v>
      </c>
      <c r="F6384" s="14">
        <v>150000</v>
      </c>
      <c r="G6384" s="14">
        <v>122600</v>
      </c>
      <c r="H6384" s="13" t="s">
        <v>10305</v>
      </c>
      <c r="I6384" s="40" t="s">
        <v>18</v>
      </c>
      <c r="J6384" s="40" t="str">
        <f>HYPERLINK("https://stock.pstatic.net/stock-research/company/16/20260106_company_841938000.pdf","PDF")</f>
        <v>PDF</v>
      </c>
      <c r="K6384" s="12" t="s">
        <v>10306</v>
      </c>
      <c r="L6384" s="20">
        <v>0.22349102773246329</v>
      </c>
    </row>
    <row r="6385" spans="1:12" x14ac:dyDescent="0.45">
      <c r="A6385" s="12" t="s">
        <v>10304</v>
      </c>
      <c r="B6385" s="12" t="s">
        <v>519</v>
      </c>
      <c r="C6385" s="13" t="s">
        <v>520</v>
      </c>
      <c r="D6385" s="13" t="s">
        <v>57</v>
      </c>
      <c r="E6385" s="12" t="s">
        <v>35</v>
      </c>
      <c r="F6385" s="14">
        <v>340000</v>
      </c>
      <c r="G6385" s="14">
        <v>304500</v>
      </c>
      <c r="H6385" s="13" t="s">
        <v>10307</v>
      </c>
      <c r="I6385" s="40" t="s">
        <v>18</v>
      </c>
      <c r="J6385" s="40" t="str">
        <f>HYPERLINK("https://stock.pstatic.net/stock-research/company/16/20260106_company_247809000.pdf","PDF")</f>
        <v>PDF</v>
      </c>
      <c r="K6385" s="12" t="s">
        <v>10308</v>
      </c>
      <c r="L6385" s="20">
        <v>0.1165845648604269</v>
      </c>
    </row>
    <row r="6386" spans="1:12" x14ac:dyDescent="0.45">
      <c r="A6386" s="12" t="s">
        <v>10304</v>
      </c>
      <c r="B6386" s="12" t="s">
        <v>1120</v>
      </c>
      <c r="C6386" s="13" t="s">
        <v>1121</v>
      </c>
      <c r="D6386" s="13" t="s">
        <v>57</v>
      </c>
      <c r="E6386" s="12" t="s">
        <v>35</v>
      </c>
      <c r="F6386" s="14">
        <v>140000</v>
      </c>
      <c r="G6386" s="14">
        <v>104000</v>
      </c>
      <c r="H6386" s="13" t="s">
        <v>10309</v>
      </c>
      <c r="I6386" s="40" t="s">
        <v>18</v>
      </c>
      <c r="J6386" s="40" t="str">
        <f>HYPERLINK("https://stock.pstatic.net/stock-research/company/16/20260106_company_290844000.pdf","PDF")</f>
        <v>PDF</v>
      </c>
      <c r="K6386" s="12" t="s">
        <v>10310</v>
      </c>
      <c r="L6386" s="20">
        <v>0.34615384615384609</v>
      </c>
    </row>
    <row r="6387" spans="1:12" x14ac:dyDescent="0.45">
      <c r="A6387" s="12" t="s">
        <v>10304</v>
      </c>
      <c r="B6387" s="12" t="s">
        <v>434</v>
      </c>
      <c r="C6387" s="13" t="s">
        <v>435</v>
      </c>
      <c r="D6387" s="13" t="s">
        <v>57</v>
      </c>
      <c r="E6387" s="12" t="s">
        <v>35</v>
      </c>
      <c r="F6387" s="14">
        <v>160000</v>
      </c>
      <c r="G6387" s="14">
        <v>126600</v>
      </c>
      <c r="H6387" s="13" t="s">
        <v>10311</v>
      </c>
      <c r="I6387" s="40" t="s">
        <v>18</v>
      </c>
      <c r="J6387" s="40" t="str">
        <f>HYPERLINK("https://stock.pstatic.net/stock-research/company/16/20260106_company_104363000.pdf","PDF")</f>
        <v>PDF</v>
      </c>
      <c r="K6387" s="12" t="s">
        <v>10312</v>
      </c>
      <c r="L6387" s="20">
        <v>0.26382306477093209</v>
      </c>
    </row>
    <row r="6388" spans="1:12" x14ac:dyDescent="0.45">
      <c r="A6388" s="12" t="s">
        <v>10304</v>
      </c>
      <c r="B6388" s="12" t="s">
        <v>1308</v>
      </c>
      <c r="C6388" s="13" t="s">
        <v>1309</v>
      </c>
      <c r="D6388" s="13" t="s">
        <v>65</v>
      </c>
      <c r="E6388" s="12" t="s">
        <v>35</v>
      </c>
      <c r="F6388" s="14">
        <v>540000</v>
      </c>
      <c r="G6388" s="14">
        <v>427500</v>
      </c>
      <c r="H6388" s="13" t="s">
        <v>10313</v>
      </c>
      <c r="I6388" s="40" t="s">
        <v>18</v>
      </c>
      <c r="J6388" s="40" t="str">
        <f>HYPERLINK("https://stock.pstatic.net/stock-research/company/57/20260106_company_784781000.pdf","PDF")</f>
        <v>PDF</v>
      </c>
      <c r="K6388" s="12" t="s">
        <v>10314</v>
      </c>
      <c r="L6388" s="20">
        <v>0.26315789473684209</v>
      </c>
    </row>
    <row r="6389" spans="1:12" x14ac:dyDescent="0.45">
      <c r="A6389" s="12" t="s">
        <v>10304</v>
      </c>
      <c r="B6389" s="12" t="s">
        <v>533</v>
      </c>
      <c r="C6389" s="13" t="s">
        <v>534</v>
      </c>
      <c r="D6389" s="13" t="s">
        <v>65</v>
      </c>
      <c r="E6389" s="12" t="s">
        <v>35</v>
      </c>
      <c r="F6389" s="14">
        <v>76000</v>
      </c>
      <c r="G6389" s="14">
        <v>51600</v>
      </c>
      <c r="H6389" s="13" t="s">
        <v>10315</v>
      </c>
      <c r="I6389" s="40" t="s">
        <v>18</v>
      </c>
      <c r="J6389" s="40" t="str">
        <f>HYPERLINK("https://stock.pstatic.net/stock-research/company/57/20260106_company_3541000.pdf","PDF")</f>
        <v>PDF</v>
      </c>
      <c r="K6389" s="12" t="s">
        <v>10316</v>
      </c>
      <c r="L6389" s="20">
        <v>0.47286821705426357</v>
      </c>
    </row>
    <row r="6390" spans="1:12" x14ac:dyDescent="0.45">
      <c r="A6390" s="12" t="s">
        <v>10304</v>
      </c>
      <c r="B6390" s="12" t="s">
        <v>537</v>
      </c>
      <c r="C6390" s="13" t="s">
        <v>538</v>
      </c>
      <c r="D6390" s="13" t="s">
        <v>65</v>
      </c>
      <c r="E6390" s="12" t="s">
        <v>35</v>
      </c>
      <c r="F6390" s="14">
        <v>16000</v>
      </c>
      <c r="G6390" s="14">
        <v>14560</v>
      </c>
      <c r="H6390" s="13" t="s">
        <v>10317</v>
      </c>
      <c r="I6390" s="40" t="s">
        <v>18</v>
      </c>
      <c r="J6390" s="40" t="str">
        <f>HYPERLINK("https://stock.pstatic.net/stock-research/company/57/20260106_company_386626000.pdf","PDF")</f>
        <v>PDF</v>
      </c>
      <c r="K6390" s="12" t="s">
        <v>10318</v>
      </c>
      <c r="L6390" s="20">
        <v>9.8901098901098897E-2</v>
      </c>
    </row>
    <row r="6391" spans="1:12" x14ac:dyDescent="0.45">
      <c r="A6391" s="12" t="s">
        <v>10304</v>
      </c>
      <c r="B6391" s="12" t="s">
        <v>541</v>
      </c>
      <c r="C6391" s="13" t="s">
        <v>542</v>
      </c>
      <c r="D6391" s="13" t="s">
        <v>65</v>
      </c>
      <c r="E6391" s="12" t="s">
        <v>35</v>
      </c>
      <c r="F6391" s="14">
        <v>55000</v>
      </c>
      <c r="G6391" s="14">
        <v>53000</v>
      </c>
      <c r="H6391" s="13" t="s">
        <v>10319</v>
      </c>
      <c r="I6391" s="40" t="s">
        <v>18</v>
      </c>
      <c r="J6391" s="40" t="str">
        <f>HYPERLINK("https://stock.pstatic.net/stock-research/company/57/20260106_company_413047000.pdf","PDF")</f>
        <v>PDF</v>
      </c>
      <c r="K6391" s="12" t="s">
        <v>10320</v>
      </c>
      <c r="L6391" s="20">
        <v>3.7735849056603772E-2</v>
      </c>
    </row>
    <row r="6392" spans="1:12" x14ac:dyDescent="0.45">
      <c r="A6392" s="12" t="s">
        <v>10304</v>
      </c>
      <c r="B6392" s="12" t="s">
        <v>10321</v>
      </c>
      <c r="C6392" s="13" t="s">
        <v>10322</v>
      </c>
      <c r="D6392" s="13" t="s">
        <v>158</v>
      </c>
      <c r="E6392" s="12" t="s">
        <v>50</v>
      </c>
      <c r="F6392" s="13"/>
      <c r="G6392" s="14">
        <v>11300</v>
      </c>
      <c r="H6392" s="13" t="s">
        <v>10323</v>
      </c>
      <c r="I6392" s="40" t="s">
        <v>18</v>
      </c>
      <c r="J6392" s="40" t="str">
        <f>HYPERLINK("https://stock.pstatic.net/stock-research/company/18/20260106_company_569281000.pdf","PDF")</f>
        <v>PDF</v>
      </c>
      <c r="K6392" s="12" t="s">
        <v>10324</v>
      </c>
    </row>
    <row r="6393" spans="1:12" x14ac:dyDescent="0.45">
      <c r="A6393" s="12" t="s">
        <v>10304</v>
      </c>
      <c r="B6393" s="12" t="s">
        <v>6347</v>
      </c>
      <c r="C6393" s="13" t="s">
        <v>6348</v>
      </c>
      <c r="D6393" s="13" t="s">
        <v>158</v>
      </c>
      <c r="E6393" s="12" t="s">
        <v>50</v>
      </c>
      <c r="F6393" s="13"/>
      <c r="G6393" s="14">
        <v>40500</v>
      </c>
      <c r="H6393" s="13" t="s">
        <v>10325</v>
      </c>
      <c r="I6393" s="40" t="s">
        <v>18</v>
      </c>
      <c r="J6393" s="40" t="str">
        <f>HYPERLINK("https://stock.pstatic.net/stock-research/company/18/20260106_company_323759000.pdf","PDF")</f>
        <v>PDF</v>
      </c>
      <c r="K6393" s="12" t="s">
        <v>10326</v>
      </c>
    </row>
    <row r="6394" spans="1:12" x14ac:dyDescent="0.45">
      <c r="A6394" s="12" t="s">
        <v>10304</v>
      </c>
      <c r="B6394" s="12" t="s">
        <v>6873</v>
      </c>
      <c r="C6394" s="13" t="s">
        <v>6874</v>
      </c>
      <c r="D6394" s="13" t="s">
        <v>83</v>
      </c>
      <c r="E6394" s="12" t="s">
        <v>35</v>
      </c>
      <c r="F6394" s="14">
        <v>60000</v>
      </c>
      <c r="G6394" s="14">
        <v>47350</v>
      </c>
      <c r="H6394" s="13" t="s">
        <v>10327</v>
      </c>
      <c r="I6394" s="40" t="s">
        <v>18</v>
      </c>
      <c r="J6394" s="40" t="str">
        <f>HYPERLINK("https://stock.pstatic.net/stock-research/company/2/20260106_company_132587000.pdf","PDF")</f>
        <v>PDF</v>
      </c>
      <c r="K6394" s="12" t="s">
        <v>10328</v>
      </c>
      <c r="L6394" s="20">
        <v>0.26715945089757132</v>
      </c>
    </row>
    <row r="6395" spans="1:12" x14ac:dyDescent="0.45">
      <c r="A6395" s="12" t="s">
        <v>10304</v>
      </c>
      <c r="B6395" s="12" t="s">
        <v>1773</v>
      </c>
      <c r="C6395" s="13" t="s">
        <v>1774</v>
      </c>
      <c r="D6395" s="13" t="s">
        <v>15</v>
      </c>
      <c r="E6395" s="12" t="s">
        <v>16</v>
      </c>
      <c r="F6395" s="14">
        <v>120000</v>
      </c>
      <c r="G6395" s="14">
        <v>94900</v>
      </c>
      <c r="H6395" s="13" t="s">
        <v>10329</v>
      </c>
      <c r="I6395" s="40" t="s">
        <v>18</v>
      </c>
      <c r="J6395" s="40" t="str">
        <f>HYPERLINK("https://stock.pstatic.net/stock-research/company/29/20260106_company_701372000.pdf","PDF")</f>
        <v>PDF</v>
      </c>
      <c r="K6395" s="12" t="s">
        <v>10330</v>
      </c>
      <c r="L6395" s="20">
        <v>0.26448893572181242</v>
      </c>
    </row>
    <row r="6396" spans="1:12" x14ac:dyDescent="0.45">
      <c r="A6396" s="12" t="s">
        <v>10304</v>
      </c>
      <c r="B6396" s="12" t="s">
        <v>38</v>
      </c>
      <c r="C6396" s="13" t="s">
        <v>39</v>
      </c>
      <c r="D6396" s="13" t="s">
        <v>179</v>
      </c>
      <c r="E6396" s="12" t="s">
        <v>16</v>
      </c>
      <c r="F6396" s="14">
        <v>330000</v>
      </c>
      <c r="G6396" s="14">
        <v>233000</v>
      </c>
      <c r="H6396" s="13" t="s">
        <v>10331</v>
      </c>
      <c r="I6396" s="40" t="s">
        <v>18</v>
      </c>
      <c r="J6396" s="40" t="str">
        <f>HYPERLINK("https://stock.pstatic.net/stock-research/company/64/20260106_company_147954000.pdf","PDF")</f>
        <v>PDF</v>
      </c>
      <c r="K6396" s="12" t="s">
        <v>10332</v>
      </c>
      <c r="L6396" s="20">
        <v>0.41630901287553651</v>
      </c>
    </row>
    <row r="6397" spans="1:12" x14ac:dyDescent="0.45">
      <c r="A6397" s="12" t="s">
        <v>10304</v>
      </c>
      <c r="B6397" s="12" t="s">
        <v>740</v>
      </c>
      <c r="C6397" s="13" t="s">
        <v>741</v>
      </c>
      <c r="D6397" s="13" t="s">
        <v>23</v>
      </c>
      <c r="E6397" s="12" t="s">
        <v>16</v>
      </c>
      <c r="F6397" s="14">
        <v>350000</v>
      </c>
      <c r="G6397" s="14">
        <v>273000</v>
      </c>
      <c r="H6397" s="13" t="s">
        <v>10333</v>
      </c>
      <c r="I6397" s="40" t="s">
        <v>18</v>
      </c>
      <c r="J6397" s="40" t="str">
        <f>HYPERLINK("https://stock.pstatic.net/stock-research/company/21/20260106_company_533999000.pdf","PDF")</f>
        <v>PDF</v>
      </c>
      <c r="K6397" s="12" t="s">
        <v>10334</v>
      </c>
      <c r="L6397" s="20">
        <v>0.28205128205128199</v>
      </c>
    </row>
    <row r="6398" spans="1:12" x14ac:dyDescent="0.45">
      <c r="A6398" s="12" t="s">
        <v>10304</v>
      </c>
      <c r="B6398" s="12" t="s">
        <v>577</v>
      </c>
      <c r="C6398" s="13" t="s">
        <v>578</v>
      </c>
      <c r="D6398" s="13" t="s">
        <v>23</v>
      </c>
      <c r="E6398" s="12" t="s">
        <v>16</v>
      </c>
      <c r="F6398" s="14">
        <v>490000</v>
      </c>
      <c r="G6398" s="14">
        <v>372000</v>
      </c>
      <c r="H6398" s="13" t="s">
        <v>10335</v>
      </c>
      <c r="I6398" s="40" t="s">
        <v>18</v>
      </c>
      <c r="J6398" s="40" t="str">
        <f>HYPERLINK("https://stock.pstatic.net/stock-research/company/21/20260106_company_332997000.pdf","PDF")</f>
        <v>PDF</v>
      </c>
      <c r="K6398" s="12" t="s">
        <v>10336</v>
      </c>
      <c r="L6398" s="20">
        <v>0.31720430107526881</v>
      </c>
    </row>
    <row r="6399" spans="1:12" x14ac:dyDescent="0.45">
      <c r="A6399" s="12" t="s">
        <v>10304</v>
      </c>
      <c r="B6399" s="12" t="s">
        <v>10337</v>
      </c>
      <c r="C6399" s="13" t="s">
        <v>10338</v>
      </c>
      <c r="D6399" s="13" t="s">
        <v>23</v>
      </c>
      <c r="E6399" s="12" t="s">
        <v>50</v>
      </c>
      <c r="F6399" s="13"/>
      <c r="G6399" s="14">
        <v>28700</v>
      </c>
      <c r="H6399" s="13" t="s">
        <v>10339</v>
      </c>
      <c r="I6399" s="40" t="s">
        <v>18</v>
      </c>
      <c r="J6399" s="40" t="str">
        <f>HYPERLINK("https://stock.pstatic.net/stock-research/company/21/20260106_company_743642000.pdf","PDF")</f>
        <v>PDF</v>
      </c>
      <c r="K6399" s="12" t="s">
        <v>10340</v>
      </c>
    </row>
    <row r="6400" spans="1:12" x14ac:dyDescent="0.45">
      <c r="A6400" s="12" t="s">
        <v>10304</v>
      </c>
      <c r="B6400" s="12" t="s">
        <v>3548</v>
      </c>
      <c r="C6400" s="13" t="s">
        <v>3549</v>
      </c>
      <c r="D6400" s="13" t="s">
        <v>23</v>
      </c>
      <c r="E6400" s="12" t="s">
        <v>16</v>
      </c>
      <c r="F6400" s="14">
        <v>83000</v>
      </c>
      <c r="G6400" s="14">
        <v>74800</v>
      </c>
      <c r="H6400" s="13" t="s">
        <v>10341</v>
      </c>
      <c r="I6400" s="40" t="s">
        <v>18</v>
      </c>
      <c r="J6400" s="40" t="str">
        <f>HYPERLINK("https://stock.pstatic.net/stock-research/company/21/20260106_company_819526000.pdf","PDF")</f>
        <v>PDF</v>
      </c>
      <c r="K6400" s="12" t="s">
        <v>10342</v>
      </c>
      <c r="L6400" s="20">
        <v>0.1096256684491979</v>
      </c>
    </row>
    <row r="6401" spans="1:12" x14ac:dyDescent="0.45">
      <c r="A6401" s="12" t="s">
        <v>10304</v>
      </c>
      <c r="B6401" s="12" t="s">
        <v>764</v>
      </c>
      <c r="C6401" s="13" t="s">
        <v>765</v>
      </c>
      <c r="D6401" s="13" t="s">
        <v>44</v>
      </c>
      <c r="E6401" s="12" t="s">
        <v>35</v>
      </c>
      <c r="F6401" s="14">
        <v>65000</v>
      </c>
      <c r="G6401" s="14">
        <v>40000</v>
      </c>
      <c r="H6401" s="13" t="s">
        <v>10343</v>
      </c>
      <c r="I6401" s="40" t="s">
        <v>18</v>
      </c>
      <c r="J6401" s="40" t="str">
        <f>HYPERLINK("https://stock.pstatic.net/stock-research/company/39/20260106_company_427048000.pdf","PDF")</f>
        <v>PDF</v>
      </c>
      <c r="K6401" s="12" t="s">
        <v>10344</v>
      </c>
      <c r="L6401" s="20">
        <v>0.625</v>
      </c>
    </row>
    <row r="6402" spans="1:12" x14ac:dyDescent="0.45">
      <c r="A6402" s="12" t="s">
        <v>10304</v>
      </c>
      <c r="B6402" s="12" t="s">
        <v>10345</v>
      </c>
      <c r="C6402" s="13" t="s">
        <v>10346</v>
      </c>
      <c r="D6402" s="13" t="s">
        <v>44</v>
      </c>
      <c r="E6402" s="12" t="s">
        <v>50</v>
      </c>
      <c r="F6402" s="13"/>
      <c r="G6402" s="14">
        <v>2425</v>
      </c>
      <c r="H6402" s="13" t="s">
        <v>10347</v>
      </c>
      <c r="I6402" s="40" t="s">
        <v>18</v>
      </c>
      <c r="J6402" s="40" t="str">
        <f>HYPERLINK("https://stock.pstatic.net/stock-research/company/39/20260106_company_768014000.pdf","PDF")</f>
        <v>PDF</v>
      </c>
      <c r="K6402" s="12" t="s">
        <v>10348</v>
      </c>
    </row>
    <row r="6403" spans="1:12" x14ac:dyDescent="0.45">
      <c r="A6403" s="12" t="s">
        <v>10304</v>
      </c>
      <c r="B6403" s="12" t="s">
        <v>13</v>
      </c>
      <c r="C6403" s="13" t="s">
        <v>14</v>
      </c>
      <c r="D6403" s="13" t="s">
        <v>44</v>
      </c>
      <c r="E6403" s="12" t="s">
        <v>35</v>
      </c>
      <c r="F6403" s="14">
        <v>170000</v>
      </c>
      <c r="G6403" s="14">
        <v>138100</v>
      </c>
      <c r="H6403" s="13" t="s">
        <v>10296</v>
      </c>
      <c r="I6403" s="40" t="s">
        <v>18</v>
      </c>
      <c r="J6403" s="40" t="str">
        <f>HYPERLINK("https://stock.pstatic.net/stock-research/company/39/20260106_company_296060000.pdf","PDF")</f>
        <v>PDF</v>
      </c>
      <c r="K6403" s="12" t="s">
        <v>10349</v>
      </c>
      <c r="L6403" s="20">
        <v>0.23099203475742219</v>
      </c>
    </row>
    <row r="6404" spans="1:12" x14ac:dyDescent="0.45">
      <c r="A6404" s="12" t="s">
        <v>10304</v>
      </c>
      <c r="B6404" s="12" t="s">
        <v>10350</v>
      </c>
      <c r="C6404" s="13" t="s">
        <v>10351</v>
      </c>
      <c r="D6404" s="13" t="s">
        <v>124</v>
      </c>
      <c r="E6404" s="12" t="s">
        <v>50</v>
      </c>
      <c r="F6404" s="13"/>
      <c r="G6404" s="13"/>
      <c r="H6404" s="13" t="s">
        <v>10352</v>
      </c>
      <c r="I6404" s="40" t="s">
        <v>18</v>
      </c>
      <c r="J6404" s="40" t="str">
        <f>HYPERLINK("https://stock.pstatic.net/stock-research/company/74/20260122_company_9699000.pdf","PDF")</f>
        <v>PDF</v>
      </c>
      <c r="K6404" s="12" t="s">
        <v>10353</v>
      </c>
    </row>
    <row r="6405" spans="1:12" x14ac:dyDescent="0.45">
      <c r="A6405" s="12" t="s">
        <v>10304</v>
      </c>
      <c r="B6405" s="12" t="s">
        <v>691</v>
      </c>
      <c r="C6405" s="13" t="s">
        <v>20</v>
      </c>
      <c r="D6405" s="13" t="s">
        <v>15</v>
      </c>
      <c r="E6405" s="12" t="s">
        <v>16</v>
      </c>
      <c r="F6405" s="14">
        <v>260000</v>
      </c>
      <c r="G6405" s="14">
        <v>202500</v>
      </c>
      <c r="H6405" s="13" t="s">
        <v>10354</v>
      </c>
      <c r="I6405" s="40" t="s">
        <v>18</v>
      </c>
      <c r="J6405" s="40" t="str">
        <f>HYPERLINK("https://stock.pstatic.net/stock-research/company/29/20260106_company_150601000.pdf","PDF")</f>
        <v>PDF</v>
      </c>
      <c r="K6405" s="12" t="s">
        <v>10355</v>
      </c>
      <c r="L6405" s="20">
        <v>0.2839506172839506</v>
      </c>
    </row>
    <row r="6406" spans="1:12" x14ac:dyDescent="0.45">
      <c r="A6406" s="12" t="s">
        <v>10356</v>
      </c>
      <c r="B6406" s="12" t="s">
        <v>507</v>
      </c>
      <c r="C6406" s="13" t="s">
        <v>508</v>
      </c>
      <c r="D6406" s="13" t="s">
        <v>83</v>
      </c>
      <c r="E6406" s="12" t="s">
        <v>35</v>
      </c>
      <c r="F6406" s="14">
        <v>8000</v>
      </c>
      <c r="G6406" s="14">
        <v>5050</v>
      </c>
      <c r="H6406" s="13" t="s">
        <v>10357</v>
      </c>
      <c r="I6406" s="40" t="s">
        <v>18</v>
      </c>
      <c r="J6406" s="40" t="str">
        <f>HYPERLINK("https://stock.pstatic.net/stock-research/company/2/20260105_company_804111000.pdf","PDF")</f>
        <v>PDF</v>
      </c>
      <c r="K6406" s="12" t="s">
        <v>10358</v>
      </c>
      <c r="L6406" s="20">
        <v>0.58415841584158412</v>
      </c>
    </row>
    <row r="6407" spans="1:12" x14ac:dyDescent="0.45">
      <c r="A6407" s="12" t="s">
        <v>10356</v>
      </c>
      <c r="B6407" s="12" t="s">
        <v>334</v>
      </c>
      <c r="C6407" s="13" t="s">
        <v>335</v>
      </c>
      <c r="D6407" s="13" t="s">
        <v>83</v>
      </c>
      <c r="E6407" s="12" t="s">
        <v>35</v>
      </c>
      <c r="F6407" s="14">
        <v>840000</v>
      </c>
      <c r="G6407" s="14">
        <v>651000</v>
      </c>
      <c r="H6407" s="13" t="s">
        <v>10359</v>
      </c>
      <c r="I6407" s="40" t="s">
        <v>18</v>
      </c>
      <c r="J6407" s="40" t="str">
        <f>HYPERLINK("https://stock.pstatic.net/stock-research/company/2/20260105_company_386426000.pdf","PDF")</f>
        <v>PDF</v>
      </c>
      <c r="K6407" s="12" t="s">
        <v>10360</v>
      </c>
      <c r="L6407" s="20">
        <v>0.29032258064516131</v>
      </c>
    </row>
    <row r="6408" spans="1:12" x14ac:dyDescent="0.45">
      <c r="A6408" s="12" t="s">
        <v>10356</v>
      </c>
      <c r="B6408" s="12" t="s">
        <v>812</v>
      </c>
      <c r="C6408" s="13" t="s">
        <v>813</v>
      </c>
      <c r="D6408" s="13" t="s">
        <v>83</v>
      </c>
      <c r="E6408" s="12" t="s">
        <v>35</v>
      </c>
      <c r="F6408" s="14">
        <v>120000</v>
      </c>
      <c r="G6408" s="14">
        <v>79300</v>
      </c>
      <c r="H6408" s="13" t="s">
        <v>10361</v>
      </c>
      <c r="I6408" s="40" t="s">
        <v>18</v>
      </c>
      <c r="J6408" s="40" t="str">
        <f>HYPERLINK("https://stock.pstatic.net/stock-research/company/2/20260105_company_77306000.pdf","PDF")</f>
        <v>PDF</v>
      </c>
      <c r="K6408" s="12" t="s">
        <v>10362</v>
      </c>
      <c r="L6408" s="20">
        <v>0.51324085750315263</v>
      </c>
    </row>
    <row r="6409" spans="1:12" x14ac:dyDescent="0.45">
      <c r="A6409" s="12" t="s">
        <v>10356</v>
      </c>
      <c r="B6409" s="12" t="s">
        <v>677</v>
      </c>
      <c r="C6409" s="13" t="s">
        <v>678</v>
      </c>
      <c r="D6409" s="13" t="s">
        <v>83</v>
      </c>
      <c r="E6409" s="12" t="s">
        <v>35</v>
      </c>
      <c r="F6409" s="14">
        <v>18000</v>
      </c>
      <c r="G6409" s="14">
        <v>13080</v>
      </c>
      <c r="H6409" s="13" t="s">
        <v>10363</v>
      </c>
      <c r="I6409" s="40" t="s">
        <v>18</v>
      </c>
      <c r="J6409" s="40" t="str">
        <f>HYPERLINK("https://stock.pstatic.net/stock-research/company/2/20260105_company_104757000.pdf","PDF")</f>
        <v>PDF</v>
      </c>
      <c r="K6409" s="12" t="s">
        <v>10364</v>
      </c>
      <c r="L6409" s="20">
        <v>0.37614678899082571</v>
      </c>
    </row>
    <row r="6410" spans="1:12" x14ac:dyDescent="0.45">
      <c r="A6410" s="12" t="s">
        <v>10356</v>
      </c>
      <c r="B6410" s="12" t="s">
        <v>691</v>
      </c>
      <c r="C6410" s="13" t="s">
        <v>20</v>
      </c>
      <c r="D6410" s="13" t="s">
        <v>276</v>
      </c>
      <c r="E6410" s="12" t="s">
        <v>16</v>
      </c>
      <c r="F6410" s="14">
        <v>240000</v>
      </c>
      <c r="G6410" s="14">
        <v>202500</v>
      </c>
      <c r="H6410" s="13" t="s">
        <v>10365</v>
      </c>
      <c r="I6410" s="40" t="s">
        <v>18</v>
      </c>
      <c r="J6410" s="40" t="str">
        <f>HYPERLINK("https://stock.pstatic.net/stock-research/company/66/20260105_company_266937000.pdf","PDF")</f>
        <v>PDF</v>
      </c>
      <c r="K6410" s="12" t="s">
        <v>10366</v>
      </c>
      <c r="L6410" s="20">
        <v>0.1851851851851852</v>
      </c>
    </row>
    <row r="6411" spans="1:12" x14ac:dyDescent="0.45">
      <c r="A6411" s="12" t="s">
        <v>10356</v>
      </c>
      <c r="B6411" s="12" t="s">
        <v>1407</v>
      </c>
      <c r="C6411" s="13" t="s">
        <v>1408</v>
      </c>
      <c r="D6411" s="13" t="s">
        <v>34</v>
      </c>
      <c r="E6411" s="12" t="s">
        <v>50</v>
      </c>
      <c r="F6411" s="13"/>
      <c r="G6411" s="14">
        <v>68200</v>
      </c>
      <c r="H6411" s="13" t="s">
        <v>10367</v>
      </c>
      <c r="I6411" s="40" t="s">
        <v>18</v>
      </c>
      <c r="J6411" s="40" t="str">
        <f>HYPERLINK("https://stock.pstatic.net/stock-research/company/61/20260105_company_141979000.pdf","PDF")</f>
        <v>PDF</v>
      </c>
      <c r="K6411" s="12" t="s">
        <v>10368</v>
      </c>
    </row>
    <row r="6412" spans="1:12" x14ac:dyDescent="0.45">
      <c r="A6412" s="12" t="s">
        <v>10356</v>
      </c>
      <c r="B6412" s="12" t="s">
        <v>2758</v>
      </c>
      <c r="C6412" s="13" t="s">
        <v>2759</v>
      </c>
      <c r="D6412" s="13" t="s">
        <v>158</v>
      </c>
      <c r="E6412" s="12" t="s">
        <v>35</v>
      </c>
      <c r="F6412" s="14">
        <v>440000</v>
      </c>
      <c r="G6412" s="14">
        <v>297500</v>
      </c>
      <c r="H6412" s="13" t="s">
        <v>10369</v>
      </c>
      <c r="I6412" s="40" t="s">
        <v>18</v>
      </c>
      <c r="J6412" s="40" t="str">
        <f>HYPERLINK("https://stock.pstatic.net/stock-research/company/18/20260105_company_15614000.pdf","PDF")</f>
        <v>PDF</v>
      </c>
      <c r="K6412" s="12" t="s">
        <v>10370</v>
      </c>
      <c r="L6412" s="20">
        <v>0.47899159663865548</v>
      </c>
    </row>
    <row r="6413" spans="1:12" x14ac:dyDescent="0.45">
      <c r="A6413" s="12" t="s">
        <v>10356</v>
      </c>
      <c r="B6413" s="12" t="s">
        <v>3478</v>
      </c>
      <c r="C6413" s="13" t="s">
        <v>3479</v>
      </c>
      <c r="D6413" s="13" t="s">
        <v>158</v>
      </c>
      <c r="E6413" s="12" t="s">
        <v>35</v>
      </c>
      <c r="F6413" s="14">
        <v>50000</v>
      </c>
      <c r="G6413" s="14">
        <v>30600</v>
      </c>
      <c r="H6413" s="13" t="s">
        <v>10371</v>
      </c>
      <c r="I6413" s="40" t="s">
        <v>18</v>
      </c>
      <c r="J6413" s="40" t="str">
        <f>HYPERLINK("https://stock.pstatic.net/stock-research/company/18/20260105_company_24700000.pdf","PDF")</f>
        <v>PDF</v>
      </c>
      <c r="K6413" s="12" t="s">
        <v>10372</v>
      </c>
      <c r="L6413" s="20">
        <v>0.63398692810457513</v>
      </c>
    </row>
    <row r="6414" spans="1:12" x14ac:dyDescent="0.45">
      <c r="A6414" s="12" t="s">
        <v>10356</v>
      </c>
      <c r="B6414" s="12" t="s">
        <v>691</v>
      </c>
      <c r="C6414" s="13" t="s">
        <v>20</v>
      </c>
      <c r="D6414" s="13" t="s">
        <v>158</v>
      </c>
      <c r="E6414" s="12" t="s">
        <v>35</v>
      </c>
      <c r="F6414" s="14">
        <v>250000</v>
      </c>
      <c r="G6414" s="14">
        <v>202500</v>
      </c>
      <c r="H6414" s="13" t="s">
        <v>10373</v>
      </c>
      <c r="I6414" s="40" t="s">
        <v>18</v>
      </c>
      <c r="J6414" s="40" t="str">
        <f>HYPERLINK("https://stock.pstatic.net/stock-research/company/18/20260105_company_293262000.pdf","PDF")</f>
        <v>PDF</v>
      </c>
      <c r="K6414" s="12" t="s">
        <v>10374</v>
      </c>
      <c r="L6414" s="20">
        <v>0.23456790123456789</v>
      </c>
    </row>
    <row r="6415" spans="1:12" x14ac:dyDescent="0.45">
      <c r="A6415" s="12" t="s">
        <v>10356</v>
      </c>
      <c r="B6415" s="12" t="s">
        <v>2378</v>
      </c>
      <c r="C6415" s="13" t="s">
        <v>2379</v>
      </c>
      <c r="D6415" s="13" t="s">
        <v>15</v>
      </c>
      <c r="E6415" s="12" t="s">
        <v>16</v>
      </c>
      <c r="F6415" s="14">
        <v>520000</v>
      </c>
      <c r="G6415" s="14">
        <v>361000</v>
      </c>
      <c r="H6415" s="13" t="s">
        <v>10375</v>
      </c>
      <c r="I6415" s="40" t="s">
        <v>18</v>
      </c>
      <c r="J6415" s="40" t="str">
        <f>HYPERLINK("https://stock.pstatic.net/stock-research/company/29/20260105_company_971014000.pdf","PDF")</f>
        <v>PDF</v>
      </c>
      <c r="K6415" s="12" t="s">
        <v>10376</v>
      </c>
      <c r="L6415" s="20">
        <v>0.44044321329639891</v>
      </c>
    </row>
    <row r="6416" spans="1:12" x14ac:dyDescent="0.45">
      <c r="A6416" s="12" t="s">
        <v>10356</v>
      </c>
      <c r="B6416" s="12" t="s">
        <v>2365</v>
      </c>
      <c r="C6416" s="13" t="s">
        <v>2366</v>
      </c>
      <c r="D6416" s="13" t="s">
        <v>15</v>
      </c>
      <c r="E6416" s="12" t="s">
        <v>16</v>
      </c>
      <c r="F6416" s="14">
        <v>180000</v>
      </c>
      <c r="G6416" s="14">
        <v>94300</v>
      </c>
      <c r="H6416" s="13" t="s">
        <v>10377</v>
      </c>
      <c r="I6416" s="40" t="s">
        <v>18</v>
      </c>
      <c r="J6416" s="40" t="str">
        <f>HYPERLINK("https://stock.pstatic.net/stock-research/company/29/20260105_company_618591000.pdf","PDF")</f>
        <v>PDF</v>
      </c>
      <c r="K6416" s="12" t="s">
        <v>10378</v>
      </c>
      <c r="L6416" s="20">
        <v>0.90880169671261934</v>
      </c>
    </row>
    <row r="6417" spans="1:12" x14ac:dyDescent="0.45">
      <c r="A6417" s="12" t="s">
        <v>10356</v>
      </c>
      <c r="B6417" s="12" t="s">
        <v>13</v>
      </c>
      <c r="C6417" s="13" t="s">
        <v>14</v>
      </c>
      <c r="D6417" s="13" t="s">
        <v>23</v>
      </c>
      <c r="E6417" s="12" t="s">
        <v>16</v>
      </c>
      <c r="F6417" s="14">
        <v>173000</v>
      </c>
      <c r="G6417" s="14">
        <v>128500</v>
      </c>
      <c r="H6417" s="13" t="s">
        <v>10379</v>
      </c>
      <c r="I6417" s="40" t="s">
        <v>18</v>
      </c>
      <c r="J6417" s="40" t="str">
        <f>HYPERLINK("https://stock.pstatic.net/stock-research/company/21/20260105_company_616940000.pdf","PDF")</f>
        <v>PDF</v>
      </c>
      <c r="K6417" s="12" t="s">
        <v>10380</v>
      </c>
      <c r="L6417" s="20">
        <v>0.34630350194552528</v>
      </c>
    </row>
    <row r="6418" spans="1:12" x14ac:dyDescent="0.45">
      <c r="A6418" s="12" t="s">
        <v>10356</v>
      </c>
      <c r="B6418" s="12" t="s">
        <v>334</v>
      </c>
      <c r="C6418" s="13" t="s">
        <v>335</v>
      </c>
      <c r="D6418" s="13" t="s">
        <v>23</v>
      </c>
      <c r="E6418" s="12" t="s">
        <v>16</v>
      </c>
      <c r="F6418" s="14">
        <v>860000</v>
      </c>
      <c r="G6418" s="14">
        <v>677000</v>
      </c>
      <c r="H6418" s="13" t="s">
        <v>10381</v>
      </c>
      <c r="I6418" s="40" t="s">
        <v>18</v>
      </c>
      <c r="J6418" s="40" t="str">
        <f>HYPERLINK("https://stock.pstatic.net/stock-research/company/21/20260105_company_862199000.pdf","PDF")</f>
        <v>PDF</v>
      </c>
      <c r="K6418" s="12" t="s">
        <v>10382</v>
      </c>
      <c r="L6418" s="20">
        <v>0.27031019202363371</v>
      </c>
    </row>
    <row r="6419" spans="1:12" x14ac:dyDescent="0.45">
      <c r="A6419" s="12" t="s">
        <v>10356</v>
      </c>
      <c r="B6419" s="12" t="s">
        <v>4642</v>
      </c>
      <c r="C6419" s="13" t="s">
        <v>4643</v>
      </c>
      <c r="D6419" s="13" t="s">
        <v>34</v>
      </c>
      <c r="E6419" s="12" t="s">
        <v>35</v>
      </c>
      <c r="F6419" s="14">
        <v>30000</v>
      </c>
      <c r="G6419" s="14">
        <v>22550</v>
      </c>
      <c r="H6419" s="13" t="s">
        <v>10383</v>
      </c>
      <c r="I6419" s="40" t="s">
        <v>18</v>
      </c>
      <c r="J6419" s="40" t="str">
        <f>HYPERLINK("https://stock.pstatic.net/stock-research/company/61/20260105_company_163110000.pdf","PDF")</f>
        <v>PDF</v>
      </c>
      <c r="K6419" s="12" t="s">
        <v>10384</v>
      </c>
      <c r="L6419" s="20">
        <v>0.3303769401330377</v>
      </c>
    </row>
    <row r="6420" spans="1:12" x14ac:dyDescent="0.45">
      <c r="A6420" s="12" t="s">
        <v>10356</v>
      </c>
      <c r="B6420" s="12" t="s">
        <v>2081</v>
      </c>
      <c r="C6420" s="13" t="s">
        <v>2082</v>
      </c>
      <c r="D6420" s="13" t="s">
        <v>23</v>
      </c>
      <c r="E6420" s="12" t="s">
        <v>50</v>
      </c>
      <c r="F6420" s="13"/>
      <c r="G6420" s="14">
        <v>23300</v>
      </c>
      <c r="H6420" s="13" t="s">
        <v>10385</v>
      </c>
      <c r="I6420" s="40" t="s">
        <v>18</v>
      </c>
      <c r="J6420" s="40" t="str">
        <f>HYPERLINK("https://stock.pstatic.net/stock-research/company/21/20260105_company_921940000.pdf","PDF")</f>
        <v>PDF</v>
      </c>
      <c r="K6420" s="12" t="s">
        <v>10386</v>
      </c>
    </row>
    <row r="6421" spans="1:12" x14ac:dyDescent="0.45">
      <c r="A6421" s="12" t="s">
        <v>10356</v>
      </c>
      <c r="B6421" s="12" t="s">
        <v>3395</v>
      </c>
      <c r="C6421" s="13" t="s">
        <v>3396</v>
      </c>
      <c r="D6421" s="13" t="s">
        <v>23</v>
      </c>
      <c r="E6421" s="12" t="s">
        <v>16</v>
      </c>
      <c r="F6421" s="14">
        <v>30000</v>
      </c>
      <c r="G6421" s="14">
        <v>27150</v>
      </c>
      <c r="H6421" s="13" t="s">
        <v>10387</v>
      </c>
      <c r="I6421" s="40" t="s">
        <v>18</v>
      </c>
      <c r="J6421" s="40" t="str">
        <f>HYPERLINK("https://stock.pstatic.net/stock-research/company/21/20260105_company_705744000.pdf","PDF")</f>
        <v>PDF</v>
      </c>
      <c r="K6421" s="12" t="s">
        <v>10388</v>
      </c>
      <c r="L6421" s="20">
        <v>0.1049723756906077</v>
      </c>
    </row>
    <row r="6422" spans="1:12" x14ac:dyDescent="0.45">
      <c r="A6422" s="12" t="s">
        <v>10356</v>
      </c>
      <c r="B6422" s="12" t="s">
        <v>4642</v>
      </c>
      <c r="C6422" s="13" t="s">
        <v>4643</v>
      </c>
      <c r="D6422" s="13" t="s">
        <v>23</v>
      </c>
      <c r="E6422" s="12" t="s">
        <v>16</v>
      </c>
      <c r="F6422" s="14">
        <v>28000</v>
      </c>
      <c r="G6422" s="14">
        <v>22200</v>
      </c>
      <c r="H6422" s="13" t="s">
        <v>10389</v>
      </c>
      <c r="I6422" s="40" t="s">
        <v>18</v>
      </c>
      <c r="J6422" s="40" t="str">
        <f>HYPERLINK("https://stock.pstatic.net/stock-research/company/21/20260105_company_778932000.pdf","PDF")</f>
        <v>PDF</v>
      </c>
      <c r="K6422" s="12" t="s">
        <v>10390</v>
      </c>
      <c r="L6422" s="20">
        <v>0.26126126126126131</v>
      </c>
    </row>
    <row r="6423" spans="1:12" x14ac:dyDescent="0.45">
      <c r="A6423" s="12" t="s">
        <v>10356</v>
      </c>
      <c r="B6423" s="12" t="s">
        <v>2516</v>
      </c>
      <c r="C6423" s="13" t="s">
        <v>2517</v>
      </c>
      <c r="D6423" s="13" t="s">
        <v>34</v>
      </c>
      <c r="E6423" s="12" t="s">
        <v>50</v>
      </c>
      <c r="F6423" s="13"/>
      <c r="G6423" s="14">
        <v>13870</v>
      </c>
      <c r="H6423" s="13" t="s">
        <v>10391</v>
      </c>
      <c r="I6423" s="40" t="s">
        <v>18</v>
      </c>
      <c r="J6423" s="40" t="str">
        <f>HYPERLINK("https://stock.pstatic.net/stock-research/company/61/20260105_company_934802000.pdf","PDF")</f>
        <v>PDF</v>
      </c>
      <c r="K6423" s="12" t="s">
        <v>10392</v>
      </c>
    </row>
    <row r="6424" spans="1:12" x14ac:dyDescent="0.45">
      <c r="A6424" s="12" t="s">
        <v>10356</v>
      </c>
      <c r="B6424" s="12" t="s">
        <v>32</v>
      </c>
      <c r="C6424" s="13" t="s">
        <v>33</v>
      </c>
      <c r="D6424" s="13" t="s">
        <v>34</v>
      </c>
      <c r="E6424" s="12" t="s">
        <v>35</v>
      </c>
      <c r="F6424" s="14">
        <v>350000</v>
      </c>
      <c r="G6424" s="14">
        <v>270000</v>
      </c>
      <c r="H6424" s="13" t="s">
        <v>10393</v>
      </c>
      <c r="I6424" s="40" t="s">
        <v>18</v>
      </c>
      <c r="J6424" s="40" t="str">
        <f>HYPERLINK("https://stock.pstatic.net/stock-research/company/61/20260105_company_407990000.pdf","PDF")</f>
        <v>PDF</v>
      </c>
      <c r="K6424" s="12" t="s">
        <v>10394</v>
      </c>
      <c r="L6424" s="20">
        <v>0.29629629629629628</v>
      </c>
    </row>
    <row r="6425" spans="1:12" x14ac:dyDescent="0.45">
      <c r="A6425" s="12" t="s">
        <v>10356</v>
      </c>
      <c r="B6425" s="12" t="s">
        <v>1781</v>
      </c>
      <c r="C6425" s="13" t="s">
        <v>1782</v>
      </c>
      <c r="D6425" s="13" t="s">
        <v>34</v>
      </c>
      <c r="E6425" s="12" t="s">
        <v>35</v>
      </c>
      <c r="F6425" s="14">
        <v>110000</v>
      </c>
      <c r="G6425" s="14">
        <v>91400</v>
      </c>
      <c r="H6425" s="13" t="s">
        <v>10395</v>
      </c>
      <c r="I6425" s="40" t="s">
        <v>18</v>
      </c>
      <c r="J6425" s="40" t="str">
        <f>HYPERLINK("https://stock.pstatic.net/stock-research/company/61/20260105_company_531557000.pdf","PDF")</f>
        <v>PDF</v>
      </c>
      <c r="K6425" s="12" t="s">
        <v>10396</v>
      </c>
      <c r="L6425" s="20">
        <v>0.2035010940919037</v>
      </c>
    </row>
    <row r="6426" spans="1:12" x14ac:dyDescent="0.45">
      <c r="A6426" s="12" t="s">
        <v>10356</v>
      </c>
      <c r="B6426" s="12" t="s">
        <v>691</v>
      </c>
      <c r="C6426" s="13" t="s">
        <v>20</v>
      </c>
      <c r="D6426" s="13" t="s">
        <v>44</v>
      </c>
      <c r="E6426" s="12" t="s">
        <v>35</v>
      </c>
      <c r="F6426" s="14">
        <v>250000</v>
      </c>
      <c r="G6426" s="14">
        <v>202500</v>
      </c>
      <c r="H6426" s="13" t="s">
        <v>10397</v>
      </c>
      <c r="I6426" s="40" t="s">
        <v>18</v>
      </c>
      <c r="J6426" s="40" t="str">
        <f>HYPERLINK("https://stock.pstatic.net/stock-research/company/39/20260105_company_282293000.pdf","PDF")</f>
        <v>PDF</v>
      </c>
      <c r="K6426" s="12" t="s">
        <v>10398</v>
      </c>
      <c r="L6426" s="20">
        <v>0.23456790123456789</v>
      </c>
    </row>
    <row r="6427" spans="1:12" x14ac:dyDescent="0.45">
      <c r="A6427" s="12" t="s">
        <v>10356</v>
      </c>
      <c r="B6427" s="12" t="s">
        <v>691</v>
      </c>
      <c r="C6427" s="13" t="s">
        <v>20</v>
      </c>
      <c r="D6427" s="13" t="s">
        <v>53</v>
      </c>
      <c r="E6427" s="12" t="s">
        <v>16</v>
      </c>
      <c r="F6427" s="14">
        <v>250000</v>
      </c>
      <c r="G6427" s="14">
        <v>202500</v>
      </c>
      <c r="H6427" s="13" t="s">
        <v>10399</v>
      </c>
      <c r="I6427" s="40" t="s">
        <v>18</v>
      </c>
      <c r="J6427" s="40" t="str">
        <f>HYPERLINK("https://stock.pstatic.net/stock-research/company/40/20260105_company_193715000.pdf","PDF")</f>
        <v>PDF</v>
      </c>
      <c r="K6427" s="12" t="s">
        <v>10400</v>
      </c>
      <c r="L6427" s="20">
        <v>0.23456790123456789</v>
      </c>
    </row>
    <row r="6428" spans="1:12" x14ac:dyDescent="0.45">
      <c r="A6428" s="12" t="s">
        <v>10401</v>
      </c>
      <c r="B6428" s="12" t="s">
        <v>2758</v>
      </c>
      <c r="C6428" s="13" t="s">
        <v>2759</v>
      </c>
      <c r="D6428" s="13" t="s">
        <v>65</v>
      </c>
      <c r="E6428" s="12" t="s">
        <v>35</v>
      </c>
      <c r="F6428" s="14">
        <v>740000</v>
      </c>
      <c r="G6428" s="14">
        <v>305000</v>
      </c>
      <c r="H6428" s="13" t="s">
        <v>10402</v>
      </c>
      <c r="I6428" s="40" t="s">
        <v>18</v>
      </c>
      <c r="J6428" s="40" t="str">
        <f>HYPERLINK("https://stock.pstatic.net/stock-research/company/57/20260102_company_200007000.pdf","PDF")</f>
        <v>PDF</v>
      </c>
      <c r="K6428" s="12" t="s">
        <v>10403</v>
      </c>
      <c r="L6428" s="20">
        <v>1.4262295081967209</v>
      </c>
    </row>
    <row r="6429" spans="1:12" x14ac:dyDescent="0.45">
      <c r="A6429" s="12" t="s">
        <v>10401</v>
      </c>
      <c r="B6429" s="12" t="s">
        <v>691</v>
      </c>
      <c r="C6429" s="13" t="s">
        <v>20</v>
      </c>
      <c r="D6429" s="13" t="s">
        <v>92</v>
      </c>
      <c r="E6429" s="12" t="s">
        <v>35</v>
      </c>
      <c r="F6429" s="14">
        <v>250000</v>
      </c>
      <c r="G6429" s="14">
        <v>181000</v>
      </c>
      <c r="H6429" s="13" t="s">
        <v>10404</v>
      </c>
      <c r="I6429" s="40" t="s">
        <v>18</v>
      </c>
      <c r="J6429" s="40" t="str">
        <f>HYPERLINK("https://stock.pstatic.net/stock-research/company/63/20260102_company_717311000.pdf","PDF")</f>
        <v>PDF</v>
      </c>
      <c r="K6429" s="12" t="s">
        <v>10405</v>
      </c>
      <c r="L6429" s="20">
        <v>0.38121546961325969</v>
      </c>
    </row>
    <row r="6430" spans="1:12" x14ac:dyDescent="0.45">
      <c r="A6430" s="12" t="s">
        <v>10401</v>
      </c>
      <c r="B6430" s="12" t="s">
        <v>950</v>
      </c>
      <c r="C6430" s="13" t="s">
        <v>951</v>
      </c>
      <c r="D6430" s="13" t="s">
        <v>44</v>
      </c>
      <c r="E6430" s="12" t="s">
        <v>642</v>
      </c>
      <c r="F6430" s="14">
        <v>52000</v>
      </c>
      <c r="G6430" s="14">
        <v>49150</v>
      </c>
      <c r="H6430" s="13" t="s">
        <v>10406</v>
      </c>
      <c r="I6430" s="40" t="s">
        <v>18</v>
      </c>
      <c r="J6430" s="40" t="str">
        <f>HYPERLINK("https://stock.pstatic.net/stock-research/company/39/20260102_company_524436000.pdf","PDF")</f>
        <v>PDF</v>
      </c>
      <c r="K6430" s="12" t="s">
        <v>10407</v>
      </c>
      <c r="L6430" s="20">
        <v>5.7985757884028481E-2</v>
      </c>
    </row>
    <row r="6431" spans="1:12" x14ac:dyDescent="0.45">
      <c r="A6431" s="12" t="s">
        <v>10401</v>
      </c>
      <c r="B6431" s="12" t="s">
        <v>10408</v>
      </c>
      <c r="C6431" s="13" t="s">
        <v>10409</v>
      </c>
      <c r="D6431" s="13" t="s">
        <v>124</v>
      </c>
      <c r="E6431" s="12" t="s">
        <v>50</v>
      </c>
      <c r="F6431" s="13"/>
      <c r="G6431" s="13"/>
      <c r="H6431" s="13" t="s">
        <v>10410</v>
      </c>
      <c r="I6431" s="40" t="s">
        <v>18</v>
      </c>
      <c r="J6431" s="40" t="str">
        <f>HYPERLINK("https://stock.pstatic.net/stock-research/company/74/20260122_company_640038000.pdf","PDF")</f>
        <v>PDF</v>
      </c>
      <c r="K6431" s="12" t="s">
        <v>10411</v>
      </c>
    </row>
    <row r="6432" spans="1:12" x14ac:dyDescent="0.45">
      <c r="A6432" s="12" t="s">
        <v>10412</v>
      </c>
      <c r="B6432" s="12" t="s">
        <v>10413</v>
      </c>
      <c r="C6432" s="13" t="s">
        <v>10414</v>
      </c>
      <c r="D6432" s="13" t="s">
        <v>60</v>
      </c>
      <c r="E6432" s="12" t="s">
        <v>50</v>
      </c>
      <c r="F6432" s="13"/>
      <c r="G6432" s="14">
        <v>8640</v>
      </c>
      <c r="H6432" s="13" t="s">
        <v>10415</v>
      </c>
      <c r="I6432" s="40" t="s">
        <v>18</v>
      </c>
      <c r="J6432" s="40" t="str">
        <f>HYPERLINK("https://stock.pstatic.net/stock-research/company/34/20251230_company_237075000.pdf","PDF")</f>
        <v>PDF</v>
      </c>
      <c r="K6432" s="12" t="s">
        <v>10416</v>
      </c>
    </row>
    <row r="6433" spans="1:12" x14ac:dyDescent="0.45">
      <c r="A6433" s="12" t="s">
        <v>10412</v>
      </c>
      <c r="B6433" s="12" t="s">
        <v>4642</v>
      </c>
      <c r="C6433" s="13" t="s">
        <v>4643</v>
      </c>
      <c r="D6433" s="13" t="s">
        <v>65</v>
      </c>
      <c r="E6433" s="12" t="s">
        <v>35</v>
      </c>
      <c r="F6433" s="14">
        <v>28000</v>
      </c>
      <c r="G6433" s="14">
        <v>22800</v>
      </c>
      <c r="H6433" s="13" t="s">
        <v>10417</v>
      </c>
      <c r="I6433" s="40" t="s">
        <v>18</v>
      </c>
      <c r="J6433" s="40" t="str">
        <f>HYPERLINK("https://stock.pstatic.net/stock-research/company/57/20251230_company_27293000.pdf","PDF")</f>
        <v>PDF</v>
      </c>
      <c r="K6433" s="12" t="s">
        <v>10418</v>
      </c>
      <c r="L6433" s="20">
        <v>0.22807017543859651</v>
      </c>
    </row>
    <row r="6434" spans="1:12" x14ac:dyDescent="0.45">
      <c r="A6434" s="12" t="s">
        <v>10412</v>
      </c>
      <c r="B6434" s="12" t="s">
        <v>740</v>
      </c>
      <c r="C6434" s="13" t="s">
        <v>741</v>
      </c>
      <c r="D6434" s="13" t="s">
        <v>65</v>
      </c>
      <c r="E6434" s="12" t="s">
        <v>35</v>
      </c>
      <c r="F6434" s="14">
        <v>340000</v>
      </c>
      <c r="G6434" s="14">
        <v>271500</v>
      </c>
      <c r="H6434" s="13" t="s">
        <v>10419</v>
      </c>
      <c r="I6434" s="40" t="s">
        <v>18</v>
      </c>
      <c r="J6434" s="40" t="str">
        <f>HYPERLINK("https://stock.pstatic.net/stock-research/company/57/20251230_company_855838000.pdf","PDF")</f>
        <v>PDF</v>
      </c>
      <c r="K6434" s="12" t="s">
        <v>10420</v>
      </c>
      <c r="L6434" s="20">
        <v>0.25230202578268879</v>
      </c>
    </row>
    <row r="6435" spans="1:12" x14ac:dyDescent="0.45">
      <c r="A6435" s="12" t="s">
        <v>10412</v>
      </c>
      <c r="B6435" s="12" t="s">
        <v>1686</v>
      </c>
      <c r="C6435" s="13" t="s">
        <v>1687</v>
      </c>
      <c r="D6435" s="13" t="s">
        <v>65</v>
      </c>
      <c r="E6435" s="12" t="s">
        <v>35</v>
      </c>
      <c r="F6435" s="14">
        <v>1800000</v>
      </c>
      <c r="G6435" s="14">
        <v>1266000</v>
      </c>
      <c r="H6435" s="13" t="s">
        <v>10421</v>
      </c>
      <c r="I6435" s="40" t="s">
        <v>18</v>
      </c>
      <c r="J6435" s="40" t="str">
        <f>HYPERLINK("https://stock.pstatic.net/stock-research/company/57/20251230_company_394924000.pdf","PDF")</f>
        <v>PDF</v>
      </c>
      <c r="K6435" s="12" t="s">
        <v>10422</v>
      </c>
      <c r="L6435" s="20">
        <v>0.4218009478672986</v>
      </c>
    </row>
    <row r="6436" spans="1:12" x14ac:dyDescent="0.45">
      <c r="A6436" s="12" t="s">
        <v>10412</v>
      </c>
      <c r="B6436" s="12" t="s">
        <v>533</v>
      </c>
      <c r="C6436" s="13" t="s">
        <v>534</v>
      </c>
      <c r="D6436" s="13" t="s">
        <v>83</v>
      </c>
      <c r="E6436" s="12" t="s">
        <v>35</v>
      </c>
      <c r="F6436" s="14">
        <v>74000</v>
      </c>
      <c r="G6436" s="14">
        <v>53000</v>
      </c>
      <c r="H6436" s="13" t="s">
        <v>10423</v>
      </c>
      <c r="I6436" s="40" t="s">
        <v>18</v>
      </c>
      <c r="J6436" s="40" t="str">
        <f>HYPERLINK("https://stock.pstatic.net/stock-research/company/2/20251230_company_262399000.pdf","PDF")</f>
        <v>PDF</v>
      </c>
      <c r="K6436" s="12" t="s">
        <v>10424</v>
      </c>
      <c r="L6436" s="20">
        <v>0.39622641509433959</v>
      </c>
    </row>
    <row r="6437" spans="1:12" x14ac:dyDescent="0.45">
      <c r="A6437" s="12" t="s">
        <v>10412</v>
      </c>
      <c r="B6437" s="12" t="s">
        <v>4864</v>
      </c>
      <c r="C6437" s="13" t="s">
        <v>4865</v>
      </c>
      <c r="D6437" s="13" t="s">
        <v>83</v>
      </c>
      <c r="E6437" s="12" t="s">
        <v>35</v>
      </c>
      <c r="F6437" s="14">
        <v>40000</v>
      </c>
      <c r="G6437" s="14">
        <v>29400</v>
      </c>
      <c r="H6437" s="13" t="s">
        <v>10425</v>
      </c>
      <c r="I6437" s="40" t="s">
        <v>18</v>
      </c>
      <c r="J6437" s="40" t="str">
        <f>HYPERLINK("https://stock.pstatic.net/stock-research/company/2/20251230_company_613060000.pdf","PDF")</f>
        <v>PDF</v>
      </c>
      <c r="K6437" s="12" t="s">
        <v>10426</v>
      </c>
      <c r="L6437" s="20">
        <v>0.36054421768707479</v>
      </c>
    </row>
    <row r="6438" spans="1:12" x14ac:dyDescent="0.45">
      <c r="A6438" s="12" t="s">
        <v>10412</v>
      </c>
      <c r="B6438" s="12" t="s">
        <v>21</v>
      </c>
      <c r="C6438" s="13" t="s">
        <v>22</v>
      </c>
      <c r="D6438" s="13" t="s">
        <v>83</v>
      </c>
      <c r="E6438" s="12" t="s">
        <v>35</v>
      </c>
      <c r="F6438" s="14">
        <v>35000</v>
      </c>
      <c r="G6438" s="14">
        <v>30700</v>
      </c>
      <c r="H6438" s="13" t="s">
        <v>10427</v>
      </c>
      <c r="I6438" s="40" t="s">
        <v>18</v>
      </c>
      <c r="J6438" s="40" t="str">
        <f>HYPERLINK("https://stock.pstatic.net/stock-research/company/2/20251230_company_213508000.pdf","PDF")</f>
        <v>PDF</v>
      </c>
      <c r="K6438" s="12" t="s">
        <v>10428</v>
      </c>
      <c r="L6438" s="20">
        <v>0.14006514657980459</v>
      </c>
    </row>
    <row r="6439" spans="1:12" x14ac:dyDescent="0.45">
      <c r="A6439" s="12" t="s">
        <v>10412</v>
      </c>
      <c r="B6439" s="12" t="s">
        <v>724</v>
      </c>
      <c r="C6439" s="13" t="s">
        <v>725</v>
      </c>
      <c r="D6439" s="13" t="s">
        <v>83</v>
      </c>
      <c r="E6439" s="12" t="s">
        <v>35</v>
      </c>
      <c r="F6439" s="14">
        <v>78000</v>
      </c>
      <c r="G6439" s="14">
        <v>43950</v>
      </c>
      <c r="H6439" s="13" t="s">
        <v>10429</v>
      </c>
      <c r="I6439" s="40" t="s">
        <v>18</v>
      </c>
      <c r="J6439" s="40" t="str">
        <f>HYPERLINK("https://stock.pstatic.net/stock-research/company/2/20251230_company_509493000.pdf","PDF")</f>
        <v>PDF</v>
      </c>
      <c r="K6439" s="12" t="s">
        <v>10430</v>
      </c>
      <c r="L6439" s="20">
        <v>0.77474402730375425</v>
      </c>
    </row>
    <row r="6440" spans="1:12" x14ac:dyDescent="0.45">
      <c r="A6440" s="12" t="s">
        <v>10412</v>
      </c>
      <c r="B6440" s="12" t="s">
        <v>10431</v>
      </c>
      <c r="C6440" s="13" t="s">
        <v>10432</v>
      </c>
      <c r="D6440" s="13" t="s">
        <v>158</v>
      </c>
      <c r="E6440" s="12" t="s">
        <v>50</v>
      </c>
      <c r="F6440" s="13"/>
      <c r="G6440" s="14">
        <v>33700</v>
      </c>
      <c r="H6440" s="13" t="s">
        <v>10433</v>
      </c>
      <c r="I6440" s="40" t="s">
        <v>18</v>
      </c>
      <c r="J6440" s="40" t="str">
        <f>HYPERLINK("https://stock.pstatic.net/stock-research/company/18/20251230_company_757524000.pdf","PDF")</f>
        <v>PDF</v>
      </c>
      <c r="K6440" s="12" t="s">
        <v>10434</v>
      </c>
    </row>
    <row r="6441" spans="1:12" x14ac:dyDescent="0.45">
      <c r="A6441" s="12" t="s">
        <v>10412</v>
      </c>
      <c r="B6441" s="12" t="s">
        <v>1495</v>
      </c>
      <c r="C6441" s="13" t="s">
        <v>1496</v>
      </c>
      <c r="D6441" s="13" t="s">
        <v>92</v>
      </c>
      <c r="E6441" s="12" t="s">
        <v>35</v>
      </c>
      <c r="F6441" s="14">
        <v>40000</v>
      </c>
      <c r="G6441" s="14">
        <v>19700</v>
      </c>
      <c r="H6441" s="13" t="s">
        <v>10435</v>
      </c>
      <c r="I6441" s="40" t="s">
        <v>18</v>
      </c>
      <c r="J6441" s="40" t="str">
        <f>HYPERLINK("https://stock.pstatic.net/stock-research/company/63/20251230_company_447358000.pdf","PDF")</f>
        <v>PDF</v>
      </c>
      <c r="K6441" s="12" t="s">
        <v>10436</v>
      </c>
      <c r="L6441" s="20">
        <v>1.030456852791878</v>
      </c>
    </row>
    <row r="6442" spans="1:12" x14ac:dyDescent="0.45">
      <c r="A6442" s="12" t="s">
        <v>10412</v>
      </c>
      <c r="B6442" s="12" t="s">
        <v>177</v>
      </c>
      <c r="C6442" s="13" t="s">
        <v>178</v>
      </c>
      <c r="D6442" s="13" t="s">
        <v>23</v>
      </c>
      <c r="E6442" s="12" t="s">
        <v>16</v>
      </c>
      <c r="F6442" s="14">
        <v>14000</v>
      </c>
      <c r="G6442" s="14">
        <v>11200</v>
      </c>
      <c r="H6442" s="13" t="s">
        <v>10437</v>
      </c>
      <c r="I6442" s="40" t="s">
        <v>18</v>
      </c>
      <c r="J6442" s="40" t="str">
        <f>HYPERLINK("https://stock.pstatic.net/stock-research/company/21/20251230_company_759329000.pdf","PDF")</f>
        <v>PDF</v>
      </c>
      <c r="K6442" s="12" t="s">
        <v>10438</v>
      </c>
      <c r="L6442" s="20">
        <v>0.25</v>
      </c>
    </row>
    <row r="6443" spans="1:12" x14ac:dyDescent="0.45">
      <c r="A6443" s="12" t="s">
        <v>10412</v>
      </c>
      <c r="B6443" s="12" t="s">
        <v>3113</v>
      </c>
      <c r="C6443" s="13" t="s">
        <v>3114</v>
      </c>
      <c r="D6443" s="13" t="s">
        <v>23</v>
      </c>
      <c r="E6443" s="12" t="s">
        <v>16</v>
      </c>
      <c r="F6443" s="14">
        <v>36000</v>
      </c>
      <c r="G6443" s="14">
        <v>31950</v>
      </c>
      <c r="H6443" s="13" t="s">
        <v>10439</v>
      </c>
      <c r="I6443" s="40" t="s">
        <v>18</v>
      </c>
      <c r="J6443" s="40" t="str">
        <f>HYPERLINK("https://stock.pstatic.net/stock-research/company/21/20251230_company_797201000.pdf","PDF")</f>
        <v>PDF</v>
      </c>
      <c r="K6443" s="12" t="s">
        <v>10440</v>
      </c>
      <c r="L6443" s="20">
        <v>0.12676056338028169</v>
      </c>
    </row>
    <row r="6444" spans="1:12" x14ac:dyDescent="0.45">
      <c r="A6444" s="12" t="s">
        <v>10412</v>
      </c>
      <c r="B6444" s="12" t="s">
        <v>2089</v>
      </c>
      <c r="C6444" s="13" t="s">
        <v>2090</v>
      </c>
      <c r="D6444" s="13" t="s">
        <v>23</v>
      </c>
      <c r="E6444" s="12" t="s">
        <v>16</v>
      </c>
      <c r="F6444" s="14">
        <v>110000</v>
      </c>
      <c r="G6444" s="14">
        <v>81300</v>
      </c>
      <c r="H6444" s="13" t="s">
        <v>10441</v>
      </c>
      <c r="I6444" s="40" t="s">
        <v>18</v>
      </c>
      <c r="J6444" s="40" t="str">
        <f>HYPERLINK("https://stock.pstatic.net/stock-research/company/21/20251230_company_488353000.pdf","PDF")</f>
        <v>PDF</v>
      </c>
      <c r="K6444" s="12" t="s">
        <v>10442</v>
      </c>
      <c r="L6444" s="20">
        <v>0.35301353013530129</v>
      </c>
    </row>
    <row r="6445" spans="1:12" x14ac:dyDescent="0.45">
      <c r="A6445" s="12" t="s">
        <v>10443</v>
      </c>
      <c r="B6445" s="12" t="s">
        <v>2378</v>
      </c>
      <c r="C6445" s="13" t="s">
        <v>2379</v>
      </c>
      <c r="D6445" s="13" t="s">
        <v>158</v>
      </c>
      <c r="E6445" s="12" t="s">
        <v>50</v>
      </c>
      <c r="F6445" s="13"/>
      <c r="G6445" s="13"/>
      <c r="H6445" s="13" t="s">
        <v>10444</v>
      </c>
      <c r="I6445" s="40" t="s">
        <v>18</v>
      </c>
      <c r="J6445" s="40" t="str">
        <f>HYPERLINK("https://stock.pstatic.net/stock-research/company/18/20251229_company_334521000.pdf","PDF")</f>
        <v>PDF</v>
      </c>
      <c r="K6445" s="12" t="s">
        <v>10445</v>
      </c>
    </row>
    <row r="6446" spans="1:12" x14ac:dyDescent="0.45">
      <c r="A6446" s="12" t="s">
        <v>10443</v>
      </c>
      <c r="B6446" s="12" t="s">
        <v>10446</v>
      </c>
      <c r="C6446" s="13" t="s">
        <v>10447</v>
      </c>
      <c r="D6446" s="13" t="s">
        <v>158</v>
      </c>
      <c r="E6446" s="12" t="s">
        <v>50</v>
      </c>
      <c r="F6446" s="13"/>
      <c r="G6446" s="14">
        <v>4675</v>
      </c>
      <c r="H6446" s="13" t="s">
        <v>10448</v>
      </c>
      <c r="I6446" s="40" t="s">
        <v>18</v>
      </c>
      <c r="J6446" s="40" t="str">
        <f>HYPERLINK("https://stock.pstatic.net/stock-research/company/18/20251229_company_418402000.pdf","PDF")</f>
        <v>PDF</v>
      </c>
      <c r="K6446" s="12" t="s">
        <v>10449</v>
      </c>
    </row>
    <row r="6447" spans="1:12" x14ac:dyDescent="0.45">
      <c r="A6447" s="12" t="s">
        <v>10443</v>
      </c>
      <c r="B6447" s="12" t="s">
        <v>1389</v>
      </c>
      <c r="C6447" s="13" t="s">
        <v>1390</v>
      </c>
      <c r="D6447" s="13" t="s">
        <v>158</v>
      </c>
      <c r="E6447" s="12" t="s">
        <v>50</v>
      </c>
      <c r="F6447" s="13"/>
      <c r="G6447" s="14">
        <v>17440</v>
      </c>
      <c r="H6447" s="13" t="s">
        <v>10450</v>
      </c>
      <c r="I6447" s="40" t="s">
        <v>18</v>
      </c>
      <c r="J6447" s="40" t="str">
        <f>HYPERLINK("https://stock.pstatic.net/stock-research/company/18/20251229_company_718305000.pdf","PDF")</f>
        <v>PDF</v>
      </c>
      <c r="K6447" s="12" t="s">
        <v>10451</v>
      </c>
    </row>
    <row r="6448" spans="1:12" x14ac:dyDescent="0.45">
      <c r="A6448" s="12" t="s">
        <v>10443</v>
      </c>
      <c r="B6448" s="12" t="s">
        <v>1162</v>
      </c>
      <c r="C6448" s="13" t="s">
        <v>1163</v>
      </c>
      <c r="D6448" s="13" t="s">
        <v>34</v>
      </c>
      <c r="E6448" s="12" t="s">
        <v>35</v>
      </c>
      <c r="F6448" s="14">
        <v>215000</v>
      </c>
      <c r="G6448" s="14">
        <v>167000</v>
      </c>
      <c r="H6448" s="13" t="s">
        <v>10452</v>
      </c>
      <c r="I6448" s="40" t="s">
        <v>18</v>
      </c>
      <c r="J6448" s="40" t="str">
        <f>HYPERLINK("https://stock.pstatic.net/stock-research/company/61/20251229_company_570044000.pdf","PDF")</f>
        <v>PDF</v>
      </c>
      <c r="K6448" s="12" t="s">
        <v>10453</v>
      </c>
      <c r="L6448" s="20">
        <v>0.28742514970059879</v>
      </c>
    </row>
    <row r="6449" spans="1:12" x14ac:dyDescent="0.45">
      <c r="A6449" s="12" t="s">
        <v>10443</v>
      </c>
      <c r="B6449" s="12" t="s">
        <v>698</v>
      </c>
      <c r="C6449" s="13" t="s">
        <v>699</v>
      </c>
      <c r="D6449" s="13" t="s">
        <v>34</v>
      </c>
      <c r="E6449" s="12" t="s">
        <v>35</v>
      </c>
      <c r="F6449" s="14">
        <v>330000</v>
      </c>
      <c r="G6449" s="14">
        <v>245000</v>
      </c>
      <c r="H6449" s="13" t="s">
        <v>10454</v>
      </c>
      <c r="I6449" s="40" t="s">
        <v>18</v>
      </c>
      <c r="J6449" s="40" t="str">
        <f>HYPERLINK("https://stock.pstatic.net/stock-research/company/61/20251229_company_299929000.pdf","PDF")</f>
        <v>PDF</v>
      </c>
      <c r="K6449" s="12" t="s">
        <v>10455</v>
      </c>
      <c r="L6449" s="20">
        <v>0.34693877551020408</v>
      </c>
    </row>
    <row r="6450" spans="1:12" x14ac:dyDescent="0.45">
      <c r="A6450" s="12" t="s">
        <v>10443</v>
      </c>
      <c r="B6450" s="12" t="s">
        <v>264</v>
      </c>
      <c r="C6450" s="13" t="s">
        <v>265</v>
      </c>
      <c r="D6450" s="13" t="s">
        <v>34</v>
      </c>
      <c r="E6450" s="12" t="s">
        <v>35</v>
      </c>
      <c r="F6450" s="14">
        <v>250000</v>
      </c>
      <c r="G6450" s="14">
        <v>189200</v>
      </c>
      <c r="H6450" s="13" t="s">
        <v>10456</v>
      </c>
      <c r="I6450" s="40" t="s">
        <v>18</v>
      </c>
      <c r="J6450" s="40" t="str">
        <f>HYPERLINK("https://stock.pstatic.net/stock-research/company/61/20251229_company_349528000.pdf","PDF")</f>
        <v>PDF</v>
      </c>
      <c r="K6450" s="12" t="s">
        <v>10457</v>
      </c>
      <c r="L6450" s="20">
        <v>0.32135306553911203</v>
      </c>
    </row>
    <row r="6451" spans="1:12" x14ac:dyDescent="0.45">
      <c r="A6451" s="12" t="s">
        <v>10443</v>
      </c>
      <c r="B6451" s="12" t="s">
        <v>657</v>
      </c>
      <c r="C6451" s="13" t="s">
        <v>658</v>
      </c>
      <c r="D6451" s="13" t="s">
        <v>34</v>
      </c>
      <c r="E6451" s="12" t="s">
        <v>35</v>
      </c>
      <c r="F6451" s="14">
        <v>25500</v>
      </c>
      <c r="G6451" s="14">
        <v>19990</v>
      </c>
      <c r="H6451" s="13" t="s">
        <v>10458</v>
      </c>
      <c r="I6451" s="40" t="s">
        <v>18</v>
      </c>
      <c r="J6451" s="40" t="str">
        <f>HYPERLINK("https://stock.pstatic.net/stock-research/company/61/20251229_company_512889000.pdf","PDF")</f>
        <v>PDF</v>
      </c>
      <c r="K6451" s="12" t="s">
        <v>10459</v>
      </c>
      <c r="L6451" s="20">
        <v>0.27563781890945471</v>
      </c>
    </row>
    <row r="6452" spans="1:12" x14ac:dyDescent="0.45">
      <c r="A6452" s="12" t="s">
        <v>10443</v>
      </c>
      <c r="B6452" s="12" t="s">
        <v>985</v>
      </c>
      <c r="C6452" s="13" t="s">
        <v>986</v>
      </c>
      <c r="D6452" s="13" t="s">
        <v>23</v>
      </c>
      <c r="E6452" s="12" t="s">
        <v>16</v>
      </c>
      <c r="F6452" s="14">
        <v>6500</v>
      </c>
      <c r="G6452" s="14">
        <v>4675</v>
      </c>
      <c r="H6452" s="13" t="s">
        <v>10460</v>
      </c>
      <c r="I6452" s="40" t="s">
        <v>18</v>
      </c>
      <c r="J6452" s="40" t="str">
        <f>HYPERLINK("https://stock.pstatic.net/stock-research/company/21/20251229_company_366390000.pdf","PDF")</f>
        <v>PDF</v>
      </c>
      <c r="K6452" s="12" t="s">
        <v>10461</v>
      </c>
      <c r="L6452" s="20">
        <v>0.39037433155080209</v>
      </c>
    </row>
    <row r="6453" spans="1:12" x14ac:dyDescent="0.45">
      <c r="A6453" s="12" t="s">
        <v>10443</v>
      </c>
      <c r="B6453" s="12" t="s">
        <v>268</v>
      </c>
      <c r="C6453" s="13" t="s">
        <v>269</v>
      </c>
      <c r="D6453" s="13" t="s">
        <v>23</v>
      </c>
      <c r="E6453" s="12" t="s">
        <v>16</v>
      </c>
      <c r="F6453" s="14">
        <v>730000</v>
      </c>
      <c r="G6453" s="14">
        <v>439000</v>
      </c>
      <c r="H6453" s="13" t="s">
        <v>10462</v>
      </c>
      <c r="I6453" s="40" t="s">
        <v>18</v>
      </c>
      <c r="J6453" s="40" t="str">
        <f>HYPERLINK("https://stock.pstatic.net/stock-research/company/21/20251229_company_956863000.pdf","PDF")</f>
        <v>PDF</v>
      </c>
      <c r="K6453" s="12" t="s">
        <v>10463</v>
      </c>
      <c r="L6453" s="20">
        <v>0.66287015945330297</v>
      </c>
    </row>
    <row r="6454" spans="1:12" x14ac:dyDescent="0.45">
      <c r="A6454" s="12" t="s">
        <v>10443</v>
      </c>
      <c r="B6454" s="12" t="s">
        <v>1656</v>
      </c>
      <c r="C6454" s="13" t="s">
        <v>1657</v>
      </c>
      <c r="D6454" s="13" t="s">
        <v>23</v>
      </c>
      <c r="E6454" s="12" t="s">
        <v>16</v>
      </c>
      <c r="F6454" s="14">
        <v>310000</v>
      </c>
      <c r="G6454" s="14">
        <v>247000</v>
      </c>
      <c r="H6454" s="13" t="s">
        <v>10464</v>
      </c>
      <c r="I6454" s="40" t="s">
        <v>18</v>
      </c>
      <c r="J6454" s="40" t="str">
        <f>HYPERLINK("https://stock.pstatic.net/stock-research/company/21/20251229_company_157697000.pdf","PDF")</f>
        <v>PDF</v>
      </c>
      <c r="K6454" s="12" t="s">
        <v>10465</v>
      </c>
      <c r="L6454" s="20">
        <v>0.25506072874493929</v>
      </c>
    </row>
    <row r="6455" spans="1:12" x14ac:dyDescent="0.45">
      <c r="A6455" s="12" t="s">
        <v>10466</v>
      </c>
      <c r="B6455" s="12" t="s">
        <v>868</v>
      </c>
      <c r="C6455" s="13" t="s">
        <v>869</v>
      </c>
      <c r="D6455" s="13" t="s">
        <v>60</v>
      </c>
      <c r="E6455" s="12" t="s">
        <v>35</v>
      </c>
      <c r="F6455" s="14">
        <v>50000</v>
      </c>
      <c r="G6455" s="14">
        <v>37900</v>
      </c>
      <c r="H6455" s="13" t="s">
        <v>10467</v>
      </c>
      <c r="I6455" s="40" t="s">
        <v>18</v>
      </c>
      <c r="J6455" s="40" t="str">
        <f>HYPERLINK("https://stock.pstatic.net/stock-research/company/34/20251226_company_439943000.pdf","PDF")</f>
        <v>PDF</v>
      </c>
      <c r="K6455" s="12" t="s">
        <v>10468</v>
      </c>
      <c r="L6455" s="20">
        <v>0.31926121372031657</v>
      </c>
    </row>
    <row r="6456" spans="1:12" x14ac:dyDescent="0.45">
      <c r="A6456" s="12" t="s">
        <v>10466</v>
      </c>
      <c r="B6456" s="12" t="s">
        <v>5359</v>
      </c>
      <c r="C6456" s="13" t="s">
        <v>5360</v>
      </c>
      <c r="D6456" s="13" t="s">
        <v>65</v>
      </c>
      <c r="E6456" s="12" t="s">
        <v>50</v>
      </c>
      <c r="F6456" s="13"/>
      <c r="G6456" s="14">
        <v>16860</v>
      </c>
      <c r="H6456" s="13" t="s">
        <v>10469</v>
      </c>
      <c r="I6456" s="40" t="s">
        <v>18</v>
      </c>
      <c r="J6456" s="40" t="str">
        <f>HYPERLINK("https://stock.pstatic.net/stock-research/company/57/20251226_company_296988000.pdf","PDF")</f>
        <v>PDF</v>
      </c>
      <c r="K6456" s="12" t="s">
        <v>10470</v>
      </c>
    </row>
    <row r="6457" spans="1:12" x14ac:dyDescent="0.45">
      <c r="A6457" s="12" t="s">
        <v>10466</v>
      </c>
      <c r="B6457" s="12" t="s">
        <v>10471</v>
      </c>
      <c r="C6457" s="13" t="s">
        <v>10472</v>
      </c>
      <c r="D6457" s="13" t="s">
        <v>65</v>
      </c>
      <c r="E6457" s="12" t="s">
        <v>50</v>
      </c>
      <c r="F6457" s="13"/>
      <c r="G6457" s="14">
        <v>3395</v>
      </c>
      <c r="H6457" s="13" t="s">
        <v>10473</v>
      </c>
      <c r="I6457" s="40" t="s">
        <v>18</v>
      </c>
      <c r="J6457" s="40" t="str">
        <f>HYPERLINK("https://stock.pstatic.net/stock-research/company/57/20251226_company_833845000.pdf","PDF")</f>
        <v>PDF</v>
      </c>
      <c r="K6457" s="12" t="s">
        <v>10474</v>
      </c>
    </row>
    <row r="6458" spans="1:12" x14ac:dyDescent="0.45">
      <c r="A6458" s="12" t="s">
        <v>10466</v>
      </c>
      <c r="B6458" s="12" t="s">
        <v>4496</v>
      </c>
      <c r="C6458" s="13" t="s">
        <v>4497</v>
      </c>
      <c r="D6458" s="13" t="s">
        <v>65</v>
      </c>
      <c r="E6458" s="12" t="s">
        <v>50</v>
      </c>
      <c r="F6458" s="13"/>
      <c r="G6458" s="14">
        <v>3110</v>
      </c>
      <c r="H6458" s="13" t="s">
        <v>10475</v>
      </c>
      <c r="I6458" s="40" t="s">
        <v>18</v>
      </c>
      <c r="J6458" s="40" t="str">
        <f>HYPERLINK("https://stock.pstatic.net/stock-research/company/57/20251226_company_878924000.pdf","PDF")</f>
        <v>PDF</v>
      </c>
      <c r="K6458" s="12" t="s">
        <v>10476</v>
      </c>
    </row>
    <row r="6459" spans="1:12" x14ac:dyDescent="0.45">
      <c r="A6459" s="12" t="s">
        <v>10466</v>
      </c>
      <c r="B6459" s="12" t="s">
        <v>10477</v>
      </c>
      <c r="C6459" s="13" t="s">
        <v>10478</v>
      </c>
      <c r="D6459" s="13" t="s">
        <v>65</v>
      </c>
      <c r="E6459" s="12" t="s">
        <v>50</v>
      </c>
      <c r="F6459" s="13"/>
      <c r="G6459" s="14">
        <v>1969</v>
      </c>
      <c r="H6459" s="13" t="s">
        <v>10479</v>
      </c>
      <c r="I6459" s="40" t="s">
        <v>18</v>
      </c>
      <c r="J6459" s="40" t="str">
        <f>HYPERLINK("https://stock.pstatic.net/stock-research/company/57/20251226_company_113408000.pdf","PDF")</f>
        <v>PDF</v>
      </c>
      <c r="K6459" s="12" t="s">
        <v>10480</v>
      </c>
    </row>
    <row r="6460" spans="1:12" x14ac:dyDescent="0.45">
      <c r="A6460" s="12" t="s">
        <v>10466</v>
      </c>
      <c r="B6460" s="12" t="s">
        <v>95</v>
      </c>
      <c r="C6460" s="13" t="s">
        <v>31</v>
      </c>
      <c r="D6460" s="13" t="s">
        <v>65</v>
      </c>
      <c r="E6460" s="12" t="s">
        <v>35</v>
      </c>
      <c r="F6460" s="14">
        <v>39000</v>
      </c>
      <c r="G6460" s="14">
        <v>24750</v>
      </c>
      <c r="H6460" s="13" t="s">
        <v>10481</v>
      </c>
      <c r="I6460" s="40" t="s">
        <v>18</v>
      </c>
      <c r="J6460" s="40" t="str">
        <f>HYPERLINK("https://stock.pstatic.net/stock-research/company/57/20251226_company_581740000.pdf","PDF")</f>
        <v>PDF</v>
      </c>
      <c r="K6460" s="12" t="s">
        <v>10482</v>
      </c>
      <c r="L6460" s="20">
        <v>0.5757575757575758</v>
      </c>
    </row>
    <row r="6461" spans="1:12" x14ac:dyDescent="0.45">
      <c r="A6461" s="12" t="s">
        <v>10466</v>
      </c>
      <c r="B6461" s="12" t="s">
        <v>32</v>
      </c>
      <c r="C6461" s="13" t="s">
        <v>33</v>
      </c>
      <c r="D6461" s="13" t="s">
        <v>65</v>
      </c>
      <c r="E6461" s="12" t="s">
        <v>35</v>
      </c>
      <c r="F6461" s="14">
        <v>310000</v>
      </c>
      <c r="G6461" s="14">
        <v>253500</v>
      </c>
      <c r="H6461" s="13" t="s">
        <v>10483</v>
      </c>
      <c r="I6461" s="40" t="s">
        <v>18</v>
      </c>
      <c r="J6461" s="40" t="str">
        <f>HYPERLINK("https://stock.pstatic.net/stock-research/company/57/20251226_company_80358000.pdf","PDF")</f>
        <v>PDF</v>
      </c>
      <c r="K6461" s="12" t="s">
        <v>10484</v>
      </c>
      <c r="L6461" s="20">
        <v>0.22287968441814601</v>
      </c>
    </row>
    <row r="6462" spans="1:12" x14ac:dyDescent="0.45">
      <c r="A6462" s="12" t="s">
        <v>10466</v>
      </c>
      <c r="B6462" s="12" t="s">
        <v>1389</v>
      </c>
      <c r="C6462" s="13" t="s">
        <v>1390</v>
      </c>
      <c r="D6462" s="13" t="s">
        <v>158</v>
      </c>
      <c r="E6462" s="12" t="s">
        <v>50</v>
      </c>
      <c r="F6462" s="13"/>
      <c r="G6462" s="14">
        <v>17440</v>
      </c>
      <c r="H6462" s="13" t="s">
        <v>10450</v>
      </c>
      <c r="I6462" s="40" t="s">
        <v>18</v>
      </c>
      <c r="J6462" s="40" t="str">
        <f>HYPERLINK("https://stock.pstatic.net/stock-research/company/18/20251226_company_525972000.pdf","PDF")</f>
        <v>PDF</v>
      </c>
      <c r="K6462" s="12" t="s">
        <v>10485</v>
      </c>
    </row>
    <row r="6463" spans="1:12" x14ac:dyDescent="0.45">
      <c r="A6463" s="12" t="s">
        <v>10466</v>
      </c>
      <c r="B6463" s="12" t="s">
        <v>10486</v>
      </c>
      <c r="C6463" s="13" t="s">
        <v>10487</v>
      </c>
      <c r="D6463" s="13" t="s">
        <v>158</v>
      </c>
      <c r="E6463" s="12" t="s">
        <v>50</v>
      </c>
      <c r="F6463" s="13"/>
      <c r="G6463" s="14">
        <v>23800</v>
      </c>
      <c r="H6463" s="13" t="s">
        <v>10488</v>
      </c>
      <c r="I6463" s="40" t="s">
        <v>18</v>
      </c>
      <c r="J6463" s="40" t="str">
        <f>HYPERLINK("https://stock.pstatic.net/stock-research/company/18/20251226_company_936282000.pdf","PDF")</f>
        <v>PDF</v>
      </c>
      <c r="K6463" s="12" t="s">
        <v>10489</v>
      </c>
    </row>
    <row r="6464" spans="1:12" x14ac:dyDescent="0.45">
      <c r="A6464" s="12" t="s">
        <v>10466</v>
      </c>
      <c r="B6464" s="12" t="s">
        <v>10490</v>
      </c>
      <c r="C6464" s="13" t="s">
        <v>10491</v>
      </c>
      <c r="D6464" s="13" t="s">
        <v>158</v>
      </c>
      <c r="E6464" s="12" t="s">
        <v>50</v>
      </c>
      <c r="F6464" s="13"/>
      <c r="G6464" s="14">
        <v>8860</v>
      </c>
      <c r="H6464" s="13" t="s">
        <v>10492</v>
      </c>
      <c r="I6464" s="40" t="s">
        <v>18</v>
      </c>
      <c r="J6464" s="40" t="str">
        <f>HYPERLINK("https://stock.pstatic.net/stock-research/company/18/20251226_company_314285000.pdf","PDF")</f>
        <v>PDF</v>
      </c>
      <c r="K6464" s="12" t="s">
        <v>10493</v>
      </c>
    </row>
    <row r="6465" spans="1:12" x14ac:dyDescent="0.45">
      <c r="A6465" s="12" t="s">
        <v>10466</v>
      </c>
      <c r="B6465" s="12" t="s">
        <v>10494</v>
      </c>
      <c r="C6465" s="13" t="s">
        <v>10495</v>
      </c>
      <c r="D6465" s="13" t="s">
        <v>158</v>
      </c>
      <c r="E6465" s="12" t="s">
        <v>50</v>
      </c>
      <c r="F6465" s="13"/>
      <c r="G6465" s="14">
        <v>1754</v>
      </c>
      <c r="H6465" s="13" t="s">
        <v>10496</v>
      </c>
      <c r="I6465" s="40" t="s">
        <v>18</v>
      </c>
      <c r="J6465" s="40" t="str">
        <f>HYPERLINK("https://stock.pstatic.net/stock-research/company/18/20251226_company_797171000.pdf","PDF")</f>
        <v>PDF</v>
      </c>
      <c r="K6465" s="12" t="s">
        <v>10497</v>
      </c>
    </row>
    <row r="6466" spans="1:12" x14ac:dyDescent="0.45">
      <c r="A6466" s="12" t="s">
        <v>10466</v>
      </c>
      <c r="B6466" s="12" t="s">
        <v>3168</v>
      </c>
      <c r="C6466" s="13" t="s">
        <v>3169</v>
      </c>
      <c r="D6466" s="13" t="s">
        <v>23</v>
      </c>
      <c r="E6466" s="12" t="s">
        <v>16</v>
      </c>
      <c r="F6466" s="14">
        <v>19000</v>
      </c>
      <c r="G6466" s="14">
        <v>15760</v>
      </c>
      <c r="H6466" s="13" t="s">
        <v>10498</v>
      </c>
      <c r="I6466" s="40" t="s">
        <v>18</v>
      </c>
      <c r="J6466" s="40" t="str">
        <f>HYPERLINK("https://stock.pstatic.net/stock-research/company/21/20251226_company_833634000.pdf","PDF")</f>
        <v>PDF</v>
      </c>
      <c r="K6466" s="12" t="s">
        <v>10499</v>
      </c>
      <c r="L6466" s="20">
        <v>0.2055837563451777</v>
      </c>
    </row>
    <row r="6467" spans="1:12" x14ac:dyDescent="0.45">
      <c r="A6467" s="12" t="s">
        <v>10466</v>
      </c>
      <c r="B6467" s="12" t="s">
        <v>10500</v>
      </c>
      <c r="C6467" s="13" t="s">
        <v>10501</v>
      </c>
      <c r="D6467" s="13" t="s">
        <v>124</v>
      </c>
      <c r="E6467" s="12" t="s">
        <v>50</v>
      </c>
      <c r="F6467" s="13"/>
      <c r="G6467" s="13"/>
      <c r="H6467" s="13" t="s">
        <v>10502</v>
      </c>
      <c r="I6467" s="40" t="s">
        <v>18</v>
      </c>
      <c r="J6467" s="40" t="str">
        <f>HYPERLINK("https://stock.pstatic.net/stock-research/company/74/20251226_company_139196000.pdf","PDF")</f>
        <v>PDF</v>
      </c>
      <c r="K6467" s="12" t="s">
        <v>10503</v>
      </c>
    </row>
    <row r="6468" spans="1:12" x14ac:dyDescent="0.45">
      <c r="A6468" s="12" t="s">
        <v>10466</v>
      </c>
      <c r="B6468" s="12" t="s">
        <v>10504</v>
      </c>
      <c r="C6468" s="13" t="s">
        <v>10505</v>
      </c>
      <c r="D6468" s="13" t="s">
        <v>124</v>
      </c>
      <c r="E6468" s="12" t="s">
        <v>50</v>
      </c>
      <c r="F6468" s="13"/>
      <c r="G6468" s="13"/>
      <c r="H6468" s="13" t="s">
        <v>10506</v>
      </c>
      <c r="I6468" s="40" t="s">
        <v>18</v>
      </c>
      <c r="J6468" s="40" t="str">
        <f>HYPERLINK("https://stock.pstatic.net/stock-research/company/74/20251226_company_937638000.pdf","PDF")</f>
        <v>PDF</v>
      </c>
      <c r="K6468" s="12" t="s">
        <v>10507</v>
      </c>
    </row>
    <row r="6469" spans="1:12" x14ac:dyDescent="0.45">
      <c r="A6469" s="12" t="s">
        <v>10508</v>
      </c>
      <c r="B6469" s="12" t="s">
        <v>2414</v>
      </c>
      <c r="C6469" s="13" t="s">
        <v>2415</v>
      </c>
      <c r="D6469" s="13" t="s">
        <v>276</v>
      </c>
      <c r="E6469" s="12" t="s">
        <v>16</v>
      </c>
      <c r="F6469" s="14">
        <v>1500000</v>
      </c>
      <c r="G6469" s="14">
        <v>780000</v>
      </c>
      <c r="H6469" s="13" t="s">
        <v>10509</v>
      </c>
      <c r="I6469" s="40" t="s">
        <v>18</v>
      </c>
      <c r="J6469" s="40" t="str">
        <f>HYPERLINK("https://stock.pstatic.net/stock-research/company/66/20251224_company_879286000.pdf","PDF")</f>
        <v>PDF</v>
      </c>
      <c r="K6469" s="12" t="s">
        <v>10510</v>
      </c>
      <c r="L6469" s="20">
        <v>0.92307692307692313</v>
      </c>
    </row>
    <row r="6470" spans="1:12" x14ac:dyDescent="0.45">
      <c r="A6470" s="12" t="s">
        <v>10508</v>
      </c>
      <c r="B6470" s="12" t="s">
        <v>10511</v>
      </c>
      <c r="C6470" s="13" t="s">
        <v>10512</v>
      </c>
      <c r="D6470" s="13" t="s">
        <v>60</v>
      </c>
      <c r="E6470" s="12" t="s">
        <v>50</v>
      </c>
      <c r="F6470" s="13"/>
      <c r="G6470" s="14">
        <v>4820</v>
      </c>
      <c r="H6470" s="13" t="s">
        <v>10513</v>
      </c>
      <c r="I6470" s="40" t="s">
        <v>18</v>
      </c>
      <c r="J6470" s="40" t="str">
        <f>HYPERLINK("https://stock.pstatic.net/stock-research/company/34/20251224_company_151887000.pdf","PDF")</f>
        <v>PDF</v>
      </c>
      <c r="K6470" s="12" t="s">
        <v>10514</v>
      </c>
    </row>
    <row r="6471" spans="1:12" x14ac:dyDescent="0.45">
      <c r="A6471" s="12" t="s">
        <v>10508</v>
      </c>
      <c r="B6471" s="12" t="s">
        <v>6310</v>
      </c>
      <c r="C6471" s="13" t="s">
        <v>6311</v>
      </c>
      <c r="D6471" s="13" t="s">
        <v>23</v>
      </c>
      <c r="E6471" s="12" t="s">
        <v>16</v>
      </c>
      <c r="F6471" s="14">
        <v>170000</v>
      </c>
      <c r="G6471" s="14">
        <v>129800</v>
      </c>
      <c r="H6471" s="13" t="s">
        <v>10515</v>
      </c>
      <c r="I6471" s="40" t="s">
        <v>18</v>
      </c>
      <c r="J6471" s="40" t="str">
        <f>HYPERLINK("https://stock.pstatic.net/stock-research/company/21/20251224_company_153936000.pdf","PDF")</f>
        <v>PDF</v>
      </c>
      <c r="K6471" s="12" t="s">
        <v>10516</v>
      </c>
      <c r="L6471" s="20">
        <v>0.30970724191063181</v>
      </c>
    </row>
    <row r="6472" spans="1:12" x14ac:dyDescent="0.45">
      <c r="A6472" s="12" t="s">
        <v>10508</v>
      </c>
      <c r="B6472" s="12" t="s">
        <v>3079</v>
      </c>
      <c r="C6472" s="13" t="s">
        <v>3080</v>
      </c>
      <c r="D6472" s="13" t="s">
        <v>23</v>
      </c>
      <c r="E6472" s="12" t="s">
        <v>16</v>
      </c>
      <c r="F6472" s="14">
        <v>50000</v>
      </c>
      <c r="G6472" s="14">
        <v>44500</v>
      </c>
      <c r="H6472" s="13" t="s">
        <v>10517</v>
      </c>
      <c r="I6472" s="40" t="s">
        <v>18</v>
      </c>
      <c r="J6472" s="40" t="str">
        <f>HYPERLINK("https://stock.pstatic.net/stock-research/company/21/20251224_company_876094000.pdf","PDF")</f>
        <v>PDF</v>
      </c>
      <c r="K6472" s="12" t="s">
        <v>10518</v>
      </c>
      <c r="L6472" s="20">
        <v>0.1235955056179775</v>
      </c>
    </row>
    <row r="6473" spans="1:12" x14ac:dyDescent="0.45">
      <c r="A6473" s="12" t="s">
        <v>10508</v>
      </c>
      <c r="B6473" s="12" t="s">
        <v>434</v>
      </c>
      <c r="C6473" s="13" t="s">
        <v>435</v>
      </c>
      <c r="D6473" s="13" t="s">
        <v>83</v>
      </c>
      <c r="E6473" s="12" t="s">
        <v>35</v>
      </c>
      <c r="F6473" s="14">
        <v>160000</v>
      </c>
      <c r="G6473" s="14">
        <v>121000</v>
      </c>
      <c r="H6473" s="13" t="s">
        <v>10519</v>
      </c>
      <c r="I6473" s="40" t="s">
        <v>18</v>
      </c>
      <c r="J6473" s="40" t="str">
        <f>HYPERLINK("https://stock.pstatic.net/stock-research/company/2/20251224_company_742412000.pdf","PDF")</f>
        <v>PDF</v>
      </c>
      <c r="K6473" s="12" t="s">
        <v>10520</v>
      </c>
      <c r="L6473" s="20">
        <v>0.32231404958677679</v>
      </c>
    </row>
    <row r="6474" spans="1:12" x14ac:dyDescent="0.45">
      <c r="A6474" s="12" t="s">
        <v>10508</v>
      </c>
      <c r="B6474" s="12" t="s">
        <v>10521</v>
      </c>
      <c r="C6474" s="13" t="s">
        <v>10522</v>
      </c>
      <c r="D6474" s="13" t="s">
        <v>34</v>
      </c>
      <c r="E6474" s="12" t="s">
        <v>50</v>
      </c>
      <c r="F6474" s="13"/>
      <c r="G6474" s="14">
        <v>1600</v>
      </c>
      <c r="H6474" s="13" t="s">
        <v>10523</v>
      </c>
      <c r="I6474" s="40" t="s">
        <v>18</v>
      </c>
      <c r="J6474" s="40" t="str">
        <f>HYPERLINK("https://stock.pstatic.net/stock-research/company/61/20251224_company_493134000.pdf","PDF")</f>
        <v>PDF</v>
      </c>
      <c r="K6474" s="12" t="s">
        <v>10524</v>
      </c>
    </row>
    <row r="6475" spans="1:12" x14ac:dyDescent="0.45">
      <c r="A6475" s="12" t="s">
        <v>10508</v>
      </c>
      <c r="B6475" s="12" t="s">
        <v>344</v>
      </c>
      <c r="C6475" s="13" t="s">
        <v>345</v>
      </c>
      <c r="D6475" s="13" t="s">
        <v>92</v>
      </c>
      <c r="E6475" s="12" t="s">
        <v>50</v>
      </c>
      <c r="F6475" s="13"/>
      <c r="G6475" s="14">
        <v>12890</v>
      </c>
      <c r="H6475" s="13" t="s">
        <v>10525</v>
      </c>
      <c r="I6475" s="40" t="s">
        <v>18</v>
      </c>
      <c r="J6475" s="40" t="str">
        <f>HYPERLINK("https://stock.pstatic.net/stock-research/company/63/20251224_company_927712000.pdf","PDF")</f>
        <v>PDF</v>
      </c>
      <c r="K6475" s="12" t="s">
        <v>10526</v>
      </c>
    </row>
    <row r="6476" spans="1:12" x14ac:dyDescent="0.45">
      <c r="A6476" s="12" t="s">
        <v>10508</v>
      </c>
      <c r="B6476" s="12" t="s">
        <v>1350</v>
      </c>
      <c r="C6476" s="13" t="s">
        <v>1351</v>
      </c>
      <c r="D6476" s="13" t="s">
        <v>34</v>
      </c>
      <c r="E6476" s="12" t="s">
        <v>35</v>
      </c>
      <c r="F6476" s="14">
        <v>53000</v>
      </c>
      <c r="G6476" s="14">
        <v>39750</v>
      </c>
      <c r="H6476" s="13" t="s">
        <v>10527</v>
      </c>
      <c r="I6476" s="40" t="s">
        <v>18</v>
      </c>
      <c r="J6476" s="40" t="str">
        <f>HYPERLINK("https://stock.pstatic.net/stock-research/company/61/20251224_company_775836000.pdf","PDF")</f>
        <v>PDF</v>
      </c>
      <c r="K6476" s="12" t="s">
        <v>10528</v>
      </c>
      <c r="L6476" s="20">
        <v>0.33333333333333331</v>
      </c>
    </row>
    <row r="6477" spans="1:12" x14ac:dyDescent="0.45">
      <c r="A6477" s="12" t="s">
        <v>10508</v>
      </c>
      <c r="B6477" s="12" t="s">
        <v>888</v>
      </c>
      <c r="C6477" s="13" t="s">
        <v>889</v>
      </c>
      <c r="D6477" s="13" t="s">
        <v>44</v>
      </c>
      <c r="E6477" s="12" t="s">
        <v>35</v>
      </c>
      <c r="F6477" s="14">
        <v>78000</v>
      </c>
      <c r="G6477" s="14">
        <v>55000</v>
      </c>
      <c r="H6477" s="13" t="s">
        <v>10529</v>
      </c>
      <c r="I6477" s="40" t="s">
        <v>18</v>
      </c>
      <c r="J6477" s="40" t="str">
        <f>HYPERLINK("https://stock.pstatic.net/stock-research/company/39/20251224_company_89781000.pdf","PDF")</f>
        <v>PDF</v>
      </c>
      <c r="K6477" s="12" t="s">
        <v>10530</v>
      </c>
      <c r="L6477" s="20">
        <v>0.41818181818181821</v>
      </c>
    </row>
    <row r="6478" spans="1:12" x14ac:dyDescent="0.45">
      <c r="A6478" s="12" t="s">
        <v>10508</v>
      </c>
      <c r="B6478" s="12" t="s">
        <v>10531</v>
      </c>
      <c r="C6478" s="13" t="s">
        <v>10532</v>
      </c>
      <c r="D6478" s="13" t="s">
        <v>23</v>
      </c>
      <c r="E6478" s="12" t="s">
        <v>50</v>
      </c>
      <c r="F6478" s="14">
        <v>14800</v>
      </c>
      <c r="G6478" s="14">
        <v>14110</v>
      </c>
      <c r="H6478" s="13" t="s">
        <v>10533</v>
      </c>
      <c r="I6478" s="40" t="s">
        <v>18</v>
      </c>
      <c r="J6478" s="40" t="str">
        <f>HYPERLINK("https://stock.pstatic.net/stock-research/company/21/20251224_company_554160000.pdf","PDF")</f>
        <v>PDF</v>
      </c>
      <c r="K6478" s="12" t="s">
        <v>10534</v>
      </c>
      <c r="L6478" s="20">
        <v>4.8901488306165843E-2</v>
      </c>
    </row>
    <row r="6479" spans="1:12" x14ac:dyDescent="0.45">
      <c r="A6479" s="12" t="s">
        <v>10508</v>
      </c>
      <c r="B6479" s="12" t="s">
        <v>10535</v>
      </c>
      <c r="C6479" s="13" t="s">
        <v>10536</v>
      </c>
      <c r="D6479" s="13" t="s">
        <v>124</v>
      </c>
      <c r="E6479" s="12" t="s">
        <v>50</v>
      </c>
      <c r="F6479" s="13"/>
      <c r="G6479" s="13"/>
      <c r="H6479" s="13" t="s">
        <v>10537</v>
      </c>
      <c r="I6479" s="40" t="s">
        <v>18</v>
      </c>
      <c r="J6479" s="40" t="str">
        <f>HYPERLINK("https://stock.pstatic.net/stock-research/company/74/20251224_company_544434000.pdf","PDF")</f>
        <v>PDF</v>
      </c>
      <c r="K6479" s="12" t="s">
        <v>10538</v>
      </c>
    </row>
    <row r="6480" spans="1:12" x14ac:dyDescent="0.45">
      <c r="A6480" s="12" t="s">
        <v>10508</v>
      </c>
      <c r="B6480" s="12" t="s">
        <v>1237</v>
      </c>
      <c r="C6480" s="13" t="s">
        <v>1238</v>
      </c>
      <c r="D6480" s="13" t="s">
        <v>34</v>
      </c>
      <c r="E6480" s="12" t="s">
        <v>159</v>
      </c>
      <c r="F6480" s="14">
        <v>6000</v>
      </c>
      <c r="G6480" s="14">
        <v>5310</v>
      </c>
      <c r="H6480" s="13" t="s">
        <v>10539</v>
      </c>
      <c r="I6480" s="40" t="s">
        <v>18</v>
      </c>
      <c r="J6480" s="40" t="str">
        <f>HYPERLINK("https://stock.pstatic.net/stock-research/company/61/20251224_company_849064000.pdf","PDF")</f>
        <v>PDF</v>
      </c>
      <c r="K6480" s="12" t="s">
        <v>10540</v>
      </c>
      <c r="L6480" s="20">
        <v>0.12994350282485881</v>
      </c>
    </row>
    <row r="6481" spans="1:12" x14ac:dyDescent="0.45">
      <c r="A6481" s="12" t="s">
        <v>10508</v>
      </c>
      <c r="B6481" s="12" t="s">
        <v>2205</v>
      </c>
      <c r="C6481" s="13" t="s">
        <v>2206</v>
      </c>
      <c r="D6481" s="13" t="s">
        <v>53</v>
      </c>
      <c r="E6481" s="12" t="s">
        <v>16</v>
      </c>
      <c r="F6481" s="14">
        <v>62000</v>
      </c>
      <c r="G6481" s="14">
        <v>42000</v>
      </c>
      <c r="H6481" s="13" t="s">
        <v>10541</v>
      </c>
      <c r="I6481" s="40" t="s">
        <v>18</v>
      </c>
      <c r="J6481" s="40" t="str">
        <f>HYPERLINK("https://stock.pstatic.net/stock-research/company/40/20251224_company_93096000.pdf","PDF")</f>
        <v>PDF</v>
      </c>
      <c r="K6481" s="12" t="s">
        <v>10542</v>
      </c>
      <c r="L6481" s="20">
        <v>0.47619047619047622</v>
      </c>
    </row>
    <row r="6482" spans="1:12" x14ac:dyDescent="0.45">
      <c r="A6482" s="12" t="s">
        <v>10543</v>
      </c>
      <c r="B6482" s="12" t="s">
        <v>1212</v>
      </c>
      <c r="C6482" s="13" t="s">
        <v>1213</v>
      </c>
      <c r="D6482" s="13" t="s">
        <v>23</v>
      </c>
      <c r="E6482" s="12" t="s">
        <v>50</v>
      </c>
      <c r="F6482" s="13"/>
      <c r="G6482" s="14">
        <v>41500</v>
      </c>
      <c r="H6482" s="13" t="s">
        <v>10544</v>
      </c>
      <c r="I6482" s="40" t="s">
        <v>18</v>
      </c>
      <c r="J6482" s="40" t="str">
        <f>HYPERLINK("https://stock.pstatic.net/stock-research/company/21/20251223_company_377482000.pdf","PDF")</f>
        <v>PDF</v>
      </c>
      <c r="K6482" s="12" t="s">
        <v>10545</v>
      </c>
    </row>
    <row r="6483" spans="1:12" x14ac:dyDescent="0.45">
      <c r="A6483" s="12" t="s">
        <v>10543</v>
      </c>
      <c r="B6483" s="12" t="s">
        <v>3463</v>
      </c>
      <c r="C6483" s="13" t="s">
        <v>3464</v>
      </c>
      <c r="D6483" s="13" t="s">
        <v>60</v>
      </c>
      <c r="E6483" s="12" t="s">
        <v>50</v>
      </c>
      <c r="F6483" s="13"/>
      <c r="G6483" s="14">
        <v>12210</v>
      </c>
      <c r="H6483" s="13" t="s">
        <v>10546</v>
      </c>
      <c r="I6483" s="40" t="s">
        <v>18</v>
      </c>
      <c r="J6483" s="40" t="str">
        <f>HYPERLINK("https://stock.pstatic.net/stock-research/company/34/20251223_company_636877000.pdf","PDF")</f>
        <v>PDF</v>
      </c>
      <c r="K6483" s="12" t="s">
        <v>10547</v>
      </c>
    </row>
    <row r="6484" spans="1:12" x14ac:dyDescent="0.45">
      <c r="A6484" s="12" t="s">
        <v>10543</v>
      </c>
      <c r="B6484" s="12" t="s">
        <v>10205</v>
      </c>
      <c r="C6484" s="13" t="s">
        <v>10206</v>
      </c>
      <c r="D6484" s="13" t="s">
        <v>60</v>
      </c>
      <c r="E6484" s="12" t="s">
        <v>50</v>
      </c>
      <c r="F6484" s="13"/>
      <c r="G6484" s="14">
        <v>5233</v>
      </c>
      <c r="H6484" s="13" t="s">
        <v>10548</v>
      </c>
      <c r="I6484" s="40" t="s">
        <v>18</v>
      </c>
      <c r="J6484" s="40" t="str">
        <f>HYPERLINK("https://stock.pstatic.net/stock-research/company/34/20251223_company_734579000.pdf","PDF")</f>
        <v>PDF</v>
      </c>
      <c r="K6484" s="12" t="s">
        <v>10549</v>
      </c>
    </row>
    <row r="6485" spans="1:12" x14ac:dyDescent="0.45">
      <c r="A6485" s="12" t="s">
        <v>10543</v>
      </c>
      <c r="B6485" s="12" t="s">
        <v>760</v>
      </c>
      <c r="C6485" s="13" t="s">
        <v>761</v>
      </c>
      <c r="D6485" s="13" t="s">
        <v>60</v>
      </c>
      <c r="E6485" s="12" t="s">
        <v>35</v>
      </c>
      <c r="F6485" s="14">
        <v>220000</v>
      </c>
      <c r="G6485" s="14">
        <v>156700</v>
      </c>
      <c r="H6485" s="13" t="s">
        <v>10550</v>
      </c>
      <c r="I6485" s="40" t="s">
        <v>18</v>
      </c>
      <c r="J6485" s="40" t="str">
        <f>HYPERLINK("https://stock.pstatic.net/stock-research/company/34/20251223_company_447589000.pdf","PDF")</f>
        <v>PDF</v>
      </c>
      <c r="K6485" s="12" t="s">
        <v>10551</v>
      </c>
      <c r="L6485" s="20">
        <v>0.40395660497766428</v>
      </c>
    </row>
    <row r="6486" spans="1:12" x14ac:dyDescent="0.45">
      <c r="A6486" s="12" t="s">
        <v>10543</v>
      </c>
      <c r="B6486" s="12" t="s">
        <v>1023</v>
      </c>
      <c r="C6486" s="13" t="s">
        <v>15</v>
      </c>
      <c r="D6486" s="13" t="s">
        <v>65</v>
      </c>
      <c r="E6486" s="12" t="s">
        <v>35</v>
      </c>
      <c r="F6486" s="14">
        <v>26000</v>
      </c>
      <c r="G6486" s="14">
        <v>23000</v>
      </c>
      <c r="H6486" s="13" t="s">
        <v>10552</v>
      </c>
      <c r="I6486" s="40" t="s">
        <v>18</v>
      </c>
      <c r="J6486" s="40" t="str">
        <f>HYPERLINK("https://stock.pstatic.net/stock-research/company/57/20251223_company_856555000.pdf","PDF")</f>
        <v>PDF</v>
      </c>
      <c r="K6486" s="12" t="s">
        <v>10553</v>
      </c>
      <c r="L6486" s="20">
        <v>0.13043478260869559</v>
      </c>
    </row>
    <row r="6487" spans="1:12" x14ac:dyDescent="0.45">
      <c r="A6487" s="12" t="s">
        <v>10543</v>
      </c>
      <c r="B6487" s="12" t="s">
        <v>3113</v>
      </c>
      <c r="C6487" s="13" t="s">
        <v>3114</v>
      </c>
      <c r="D6487" s="13" t="s">
        <v>65</v>
      </c>
      <c r="E6487" s="12" t="s">
        <v>35</v>
      </c>
      <c r="F6487" s="14">
        <v>40000</v>
      </c>
      <c r="G6487" s="14">
        <v>32500</v>
      </c>
      <c r="H6487" s="13" t="s">
        <v>10554</v>
      </c>
      <c r="I6487" s="40" t="s">
        <v>18</v>
      </c>
      <c r="J6487" s="40" t="str">
        <f>HYPERLINK("https://stock.pstatic.net/stock-research/company/57/20251223_company_79690000.pdf","PDF")</f>
        <v>PDF</v>
      </c>
      <c r="K6487" s="12" t="s">
        <v>10555</v>
      </c>
      <c r="L6487" s="20">
        <v>0.23076923076923081</v>
      </c>
    </row>
    <row r="6488" spans="1:12" x14ac:dyDescent="0.45">
      <c r="A6488" s="12" t="s">
        <v>10543</v>
      </c>
      <c r="B6488" s="12" t="s">
        <v>3074</v>
      </c>
      <c r="C6488" s="13" t="s">
        <v>3075</v>
      </c>
      <c r="D6488" s="13" t="s">
        <v>158</v>
      </c>
      <c r="E6488" s="12" t="s">
        <v>50</v>
      </c>
      <c r="F6488" s="13"/>
      <c r="G6488" s="14">
        <v>1149</v>
      </c>
      <c r="H6488" s="13" t="s">
        <v>10556</v>
      </c>
      <c r="I6488" s="40" t="s">
        <v>18</v>
      </c>
      <c r="J6488" s="40" t="str">
        <f>HYPERLINK("https://stock.pstatic.net/stock-research/company/18/20251223_company_557221000.pdf","PDF")</f>
        <v>PDF</v>
      </c>
      <c r="K6488" s="12" t="s">
        <v>10557</v>
      </c>
    </row>
    <row r="6489" spans="1:12" x14ac:dyDescent="0.45">
      <c r="A6489" s="12" t="s">
        <v>10543</v>
      </c>
      <c r="B6489" s="12" t="s">
        <v>3284</v>
      </c>
      <c r="C6489" s="13" t="s">
        <v>3285</v>
      </c>
      <c r="D6489" s="13" t="s">
        <v>83</v>
      </c>
      <c r="E6489" s="12" t="s">
        <v>35</v>
      </c>
      <c r="F6489" s="14">
        <v>160000</v>
      </c>
      <c r="G6489" s="14">
        <v>109700</v>
      </c>
      <c r="H6489" s="13" t="s">
        <v>10558</v>
      </c>
      <c r="I6489" s="40" t="s">
        <v>18</v>
      </c>
      <c r="J6489" s="40" t="str">
        <f>HYPERLINK("https://stock.pstatic.net/stock-research/company/2/20251223_company_430532000.pdf","PDF")</f>
        <v>PDF</v>
      </c>
      <c r="K6489" s="12" t="s">
        <v>10559</v>
      </c>
      <c r="L6489" s="20">
        <v>0.45852324521422061</v>
      </c>
    </row>
    <row r="6490" spans="1:12" x14ac:dyDescent="0.45">
      <c r="A6490" s="12" t="s">
        <v>10543</v>
      </c>
      <c r="B6490" s="12" t="s">
        <v>32</v>
      </c>
      <c r="C6490" s="13" t="s">
        <v>33</v>
      </c>
      <c r="D6490" s="13" t="s">
        <v>83</v>
      </c>
      <c r="E6490" s="12" t="s">
        <v>35</v>
      </c>
      <c r="F6490" s="14">
        <v>330000</v>
      </c>
      <c r="G6490" s="14">
        <v>254500</v>
      </c>
      <c r="H6490" s="13" t="s">
        <v>10560</v>
      </c>
      <c r="I6490" s="40" t="s">
        <v>18</v>
      </c>
      <c r="J6490" s="40" t="str">
        <f>HYPERLINK("https://stock.pstatic.net/stock-research/company/2/20251223_company_949833000.pdf","PDF")</f>
        <v>PDF</v>
      </c>
      <c r="K6490" s="12" t="s">
        <v>10561</v>
      </c>
      <c r="L6490" s="20">
        <v>0.29666011787819252</v>
      </c>
    </row>
    <row r="6491" spans="1:12" x14ac:dyDescent="0.45">
      <c r="A6491" s="12" t="s">
        <v>10543</v>
      </c>
      <c r="B6491" s="12" t="s">
        <v>4133</v>
      </c>
      <c r="C6491" s="13" t="s">
        <v>4134</v>
      </c>
      <c r="D6491" s="13" t="s">
        <v>23</v>
      </c>
      <c r="E6491" s="12" t="s">
        <v>50</v>
      </c>
      <c r="F6491" s="13"/>
      <c r="G6491" s="14">
        <v>6460</v>
      </c>
      <c r="H6491" s="13" t="s">
        <v>10562</v>
      </c>
      <c r="I6491" s="40" t="s">
        <v>18</v>
      </c>
      <c r="J6491" s="40" t="str">
        <f>HYPERLINK("https://stock.pstatic.net/stock-research/company/21/20251223_company_703306000.pdf","PDF")</f>
        <v>PDF</v>
      </c>
      <c r="K6491" s="12" t="s">
        <v>10563</v>
      </c>
    </row>
    <row r="6492" spans="1:12" x14ac:dyDescent="0.45">
      <c r="A6492" s="12" t="s">
        <v>10543</v>
      </c>
      <c r="B6492" s="12" t="s">
        <v>2262</v>
      </c>
      <c r="C6492" s="13" t="s">
        <v>2263</v>
      </c>
      <c r="D6492" s="13" t="s">
        <v>92</v>
      </c>
      <c r="E6492" s="12" t="s">
        <v>35</v>
      </c>
      <c r="F6492" s="14">
        <v>12000</v>
      </c>
      <c r="G6492" s="14">
        <v>10030</v>
      </c>
      <c r="H6492" s="13" t="s">
        <v>10564</v>
      </c>
      <c r="I6492" s="40" t="s">
        <v>18</v>
      </c>
      <c r="J6492" s="40" t="str">
        <f>HYPERLINK("https://stock.pstatic.net/stock-research/company/63/20251223_company_693844000.pdf","PDF")</f>
        <v>PDF</v>
      </c>
      <c r="K6492" s="12" t="s">
        <v>10565</v>
      </c>
      <c r="L6492" s="20">
        <v>0.19641076769690929</v>
      </c>
    </row>
    <row r="6493" spans="1:12" x14ac:dyDescent="0.45">
      <c r="A6493" s="12" t="s">
        <v>10543</v>
      </c>
      <c r="B6493" s="12" t="s">
        <v>1019</v>
      </c>
      <c r="C6493" s="13" t="s">
        <v>1020</v>
      </c>
      <c r="D6493" s="13" t="s">
        <v>92</v>
      </c>
      <c r="E6493" s="12" t="s">
        <v>35</v>
      </c>
      <c r="F6493" s="14">
        <v>32000</v>
      </c>
      <c r="G6493" s="14">
        <v>23050</v>
      </c>
      <c r="H6493" s="13" t="s">
        <v>10566</v>
      </c>
      <c r="I6493" s="40" t="s">
        <v>18</v>
      </c>
      <c r="J6493" s="40" t="str">
        <f>HYPERLINK("https://stock.pstatic.net/stock-research/company/63/20251223_company_133136000.pdf","PDF")</f>
        <v>PDF</v>
      </c>
      <c r="K6493" s="12" t="s">
        <v>10567</v>
      </c>
      <c r="L6493" s="20">
        <v>0.38828633405639912</v>
      </c>
    </row>
    <row r="6494" spans="1:12" x14ac:dyDescent="0.45">
      <c r="A6494" s="12" t="s">
        <v>10543</v>
      </c>
      <c r="B6494" s="12" t="s">
        <v>10568</v>
      </c>
      <c r="C6494" s="13" t="s">
        <v>10569</v>
      </c>
      <c r="D6494" s="13" t="s">
        <v>44</v>
      </c>
      <c r="E6494" s="12" t="s">
        <v>50</v>
      </c>
      <c r="F6494" s="13"/>
      <c r="G6494" s="14">
        <v>6910</v>
      </c>
      <c r="H6494" s="13" t="s">
        <v>10570</v>
      </c>
      <c r="I6494" s="40" t="s">
        <v>18</v>
      </c>
      <c r="J6494" s="40" t="str">
        <f>HYPERLINK("https://stock.pstatic.net/stock-research/company/39/20251223_company_367914000.pdf","PDF")</f>
        <v>PDF</v>
      </c>
      <c r="K6494" s="12" t="s">
        <v>10571</v>
      </c>
    </row>
    <row r="6495" spans="1:12" x14ac:dyDescent="0.45">
      <c r="A6495" s="12" t="s">
        <v>10543</v>
      </c>
      <c r="B6495" s="12" t="s">
        <v>10572</v>
      </c>
      <c r="C6495" s="13" t="s">
        <v>10573</v>
      </c>
      <c r="D6495" s="13" t="s">
        <v>44</v>
      </c>
      <c r="E6495" s="12" t="s">
        <v>50</v>
      </c>
      <c r="F6495" s="13"/>
      <c r="G6495" s="14">
        <v>9160</v>
      </c>
      <c r="H6495" s="13" t="s">
        <v>10574</v>
      </c>
      <c r="I6495" s="40" t="s">
        <v>18</v>
      </c>
      <c r="J6495" s="40" t="str">
        <f>HYPERLINK("https://stock.pstatic.net/stock-research/company/39/20251223_company_753287000.pdf","PDF")</f>
        <v>PDF</v>
      </c>
      <c r="K6495" s="12" t="s">
        <v>10575</v>
      </c>
    </row>
    <row r="6496" spans="1:12" x14ac:dyDescent="0.45">
      <c r="A6496" s="12" t="s">
        <v>10543</v>
      </c>
      <c r="B6496" s="12" t="s">
        <v>6045</v>
      </c>
      <c r="C6496" s="13" t="s">
        <v>6046</v>
      </c>
      <c r="D6496" s="13" t="s">
        <v>44</v>
      </c>
      <c r="E6496" s="12" t="s">
        <v>50</v>
      </c>
      <c r="F6496" s="13"/>
      <c r="G6496" s="14">
        <v>7060</v>
      </c>
      <c r="H6496" s="13" t="s">
        <v>10576</v>
      </c>
      <c r="I6496" s="40" t="s">
        <v>18</v>
      </c>
      <c r="J6496" s="40" t="str">
        <f>HYPERLINK("https://stock.pstatic.net/stock-research/company/39/20251223_company_128032000.pdf","PDF")</f>
        <v>PDF</v>
      </c>
      <c r="K6496" s="12" t="s">
        <v>10577</v>
      </c>
    </row>
    <row r="6497" spans="1:12" x14ac:dyDescent="0.45">
      <c r="A6497" s="12" t="s">
        <v>10543</v>
      </c>
      <c r="B6497" s="12" t="s">
        <v>10578</v>
      </c>
      <c r="C6497" s="13" t="s">
        <v>10579</v>
      </c>
      <c r="D6497" s="13" t="s">
        <v>23</v>
      </c>
      <c r="E6497" s="12" t="s">
        <v>50</v>
      </c>
      <c r="F6497" s="13"/>
      <c r="G6497" s="14">
        <v>5060</v>
      </c>
      <c r="H6497" s="13" t="s">
        <v>10580</v>
      </c>
      <c r="I6497" s="40" t="s">
        <v>18</v>
      </c>
      <c r="J6497" s="40" t="str">
        <f>HYPERLINK("https://stock.pstatic.net/stock-research/company/21/20251223_company_158465000.pdf","PDF")</f>
        <v>PDF</v>
      </c>
      <c r="K6497" s="12" t="s">
        <v>10581</v>
      </c>
    </row>
    <row r="6498" spans="1:12" x14ac:dyDescent="0.45">
      <c r="A6498" s="12" t="s">
        <v>10543</v>
      </c>
      <c r="B6498" s="12" t="s">
        <v>10582</v>
      </c>
      <c r="C6498" s="13" t="s">
        <v>10583</v>
      </c>
      <c r="D6498" s="13" t="s">
        <v>23</v>
      </c>
      <c r="E6498" s="12" t="s">
        <v>50</v>
      </c>
      <c r="F6498" s="13"/>
      <c r="G6498" s="14">
        <v>14700</v>
      </c>
      <c r="H6498" s="13" t="s">
        <v>10584</v>
      </c>
      <c r="I6498" s="40" t="s">
        <v>18</v>
      </c>
      <c r="J6498" s="40" t="str">
        <f>HYPERLINK("https://stock.pstatic.net/stock-research/company/21/20251223_company_545927000.pdf","PDF")</f>
        <v>PDF</v>
      </c>
      <c r="K6498" s="12" t="s">
        <v>10585</v>
      </c>
    </row>
    <row r="6499" spans="1:12" x14ac:dyDescent="0.45">
      <c r="A6499" s="12" t="s">
        <v>10543</v>
      </c>
      <c r="B6499" s="12" t="s">
        <v>1081</v>
      </c>
      <c r="C6499" s="13" t="s">
        <v>1082</v>
      </c>
      <c r="D6499" s="13" t="s">
        <v>53</v>
      </c>
      <c r="E6499" s="12" t="s">
        <v>16</v>
      </c>
      <c r="F6499" s="14">
        <v>2090000</v>
      </c>
      <c r="G6499" s="14">
        <v>1724000</v>
      </c>
      <c r="H6499" s="13" t="s">
        <v>10586</v>
      </c>
      <c r="I6499" s="40" t="s">
        <v>18</v>
      </c>
      <c r="J6499" s="40" t="str">
        <f>HYPERLINK("https://stock.pstatic.net/stock-research/company/40/20251223_company_520455000.pdf","PDF")</f>
        <v>PDF</v>
      </c>
      <c r="K6499" s="12" t="s">
        <v>10587</v>
      </c>
      <c r="L6499" s="20">
        <v>0.21229698375870071</v>
      </c>
    </row>
    <row r="6500" spans="1:12" x14ac:dyDescent="0.45">
      <c r="A6500" s="12" t="s">
        <v>10543</v>
      </c>
      <c r="B6500" s="12" t="s">
        <v>10588</v>
      </c>
      <c r="C6500" s="13" t="s">
        <v>10589</v>
      </c>
      <c r="D6500" s="13" t="s">
        <v>179</v>
      </c>
      <c r="E6500" s="12" t="s">
        <v>50</v>
      </c>
      <c r="F6500" s="13"/>
      <c r="G6500" s="14">
        <v>3500</v>
      </c>
      <c r="H6500" s="13" t="s">
        <v>10590</v>
      </c>
      <c r="I6500" s="40" t="s">
        <v>18</v>
      </c>
      <c r="J6500" s="40" t="str">
        <f>HYPERLINK("https://stock.pstatic.net/stock-research/company/64/20251223_company_398671000.pdf","PDF")</f>
        <v>PDF</v>
      </c>
      <c r="K6500" s="12" t="s">
        <v>10591</v>
      </c>
    </row>
    <row r="6501" spans="1:12" x14ac:dyDescent="0.45">
      <c r="A6501" s="12" t="s">
        <v>10543</v>
      </c>
      <c r="B6501" s="12" t="s">
        <v>6213</v>
      </c>
      <c r="C6501" s="13" t="s">
        <v>6214</v>
      </c>
      <c r="D6501" s="13" t="s">
        <v>124</v>
      </c>
      <c r="E6501" s="12" t="s">
        <v>50</v>
      </c>
      <c r="F6501" s="13"/>
      <c r="G6501" s="13"/>
      <c r="H6501" s="13" t="s">
        <v>10592</v>
      </c>
      <c r="I6501" s="40" t="s">
        <v>18</v>
      </c>
      <c r="J6501" s="40" t="str">
        <f>HYPERLINK("https://stock.pstatic.net/stock-research/company/74/20251223_company_638294000.pdf","PDF")</f>
        <v>PDF</v>
      </c>
      <c r="K6501" s="12" t="s">
        <v>10593</v>
      </c>
    </row>
    <row r="6502" spans="1:12" x14ac:dyDescent="0.45">
      <c r="A6502" s="12" t="s">
        <v>10543</v>
      </c>
      <c r="B6502" s="12" t="s">
        <v>10594</v>
      </c>
      <c r="C6502" s="13" t="s">
        <v>10595</v>
      </c>
      <c r="D6502" s="13" t="s">
        <v>124</v>
      </c>
      <c r="E6502" s="12" t="s">
        <v>50</v>
      </c>
      <c r="F6502" s="13"/>
      <c r="G6502" s="13"/>
      <c r="H6502" s="13" t="s">
        <v>10596</v>
      </c>
      <c r="I6502" s="40" t="s">
        <v>18</v>
      </c>
      <c r="J6502" s="40" t="str">
        <f>HYPERLINK("https://stock.pstatic.net/stock-research/company/74/20251223_company_917905000.pdf","PDF")</f>
        <v>PDF</v>
      </c>
      <c r="K6502" s="12" t="s">
        <v>10597</v>
      </c>
    </row>
    <row r="6503" spans="1:12" x14ac:dyDescent="0.45">
      <c r="A6503" s="12" t="s">
        <v>10598</v>
      </c>
      <c r="B6503" s="12" t="s">
        <v>170</v>
      </c>
      <c r="C6503" s="13" t="s">
        <v>171</v>
      </c>
      <c r="D6503" s="13" t="s">
        <v>15</v>
      </c>
      <c r="E6503" s="12" t="s">
        <v>16</v>
      </c>
      <c r="F6503" s="14">
        <v>100000</v>
      </c>
      <c r="G6503" s="14">
        <v>78800</v>
      </c>
      <c r="H6503" s="13" t="s">
        <v>10599</v>
      </c>
      <c r="I6503" s="40" t="s">
        <v>18</v>
      </c>
      <c r="J6503" s="40" t="str">
        <f>HYPERLINK("https://stock.pstatic.net/stock-research/company/29/20251222_company_520776000.pdf","PDF")</f>
        <v>PDF</v>
      </c>
      <c r="K6503" s="12" t="s">
        <v>10600</v>
      </c>
      <c r="L6503" s="20">
        <v>0.26903553299492378</v>
      </c>
    </row>
    <row r="6504" spans="1:12" x14ac:dyDescent="0.45">
      <c r="A6504" s="12" t="s">
        <v>10598</v>
      </c>
      <c r="B6504" s="12" t="s">
        <v>4079</v>
      </c>
      <c r="C6504" s="13" t="s">
        <v>4080</v>
      </c>
      <c r="D6504" s="13" t="s">
        <v>15</v>
      </c>
      <c r="E6504" s="12" t="s">
        <v>50</v>
      </c>
      <c r="F6504" s="13"/>
      <c r="G6504" s="14">
        <v>21650</v>
      </c>
      <c r="H6504" s="13" t="s">
        <v>10601</v>
      </c>
      <c r="I6504" s="40" t="s">
        <v>18</v>
      </c>
      <c r="J6504" s="40" t="str">
        <f>HYPERLINK("https://stock.pstatic.net/stock-research/company/29/20251222_company_968173000.pdf","PDF")</f>
        <v>PDF</v>
      </c>
      <c r="K6504" s="12" t="s">
        <v>10602</v>
      </c>
    </row>
    <row r="6505" spans="1:12" x14ac:dyDescent="0.45">
      <c r="A6505" s="12" t="s">
        <v>10598</v>
      </c>
      <c r="B6505" s="12" t="s">
        <v>824</v>
      </c>
      <c r="C6505" s="13" t="s">
        <v>825</v>
      </c>
      <c r="D6505" s="13" t="s">
        <v>15</v>
      </c>
      <c r="E6505" s="12" t="s">
        <v>16</v>
      </c>
      <c r="F6505" s="14">
        <v>60000</v>
      </c>
      <c r="G6505" s="14">
        <v>44450</v>
      </c>
      <c r="H6505" s="13" t="s">
        <v>10603</v>
      </c>
      <c r="I6505" s="40" t="s">
        <v>18</v>
      </c>
      <c r="J6505" s="40" t="str">
        <f>HYPERLINK("https://stock.pstatic.net/stock-research/company/29/20251222_company_316091000.pdf","PDF")</f>
        <v>PDF</v>
      </c>
      <c r="K6505" s="12" t="s">
        <v>10604</v>
      </c>
      <c r="L6505" s="20">
        <v>0.34983127109111362</v>
      </c>
    </row>
    <row r="6506" spans="1:12" x14ac:dyDescent="0.45">
      <c r="A6506" s="12" t="s">
        <v>10598</v>
      </c>
      <c r="B6506" s="12" t="s">
        <v>1656</v>
      </c>
      <c r="C6506" s="13" t="s">
        <v>1657</v>
      </c>
      <c r="D6506" s="13" t="s">
        <v>15</v>
      </c>
      <c r="E6506" s="12" t="s">
        <v>16</v>
      </c>
      <c r="F6506" s="14">
        <v>350000</v>
      </c>
      <c r="G6506" s="14">
        <v>250000</v>
      </c>
      <c r="H6506" s="13" t="s">
        <v>10605</v>
      </c>
      <c r="I6506" s="40" t="s">
        <v>18</v>
      </c>
      <c r="J6506" s="40" t="str">
        <f>HYPERLINK("https://stock.pstatic.net/stock-research/company/29/20251222_company_413071000.pdf","PDF")</f>
        <v>PDF</v>
      </c>
      <c r="K6506" s="12" t="s">
        <v>10606</v>
      </c>
      <c r="L6506" s="20">
        <v>0.4</v>
      </c>
    </row>
    <row r="6507" spans="1:12" x14ac:dyDescent="0.45">
      <c r="A6507" s="12" t="s">
        <v>10598</v>
      </c>
      <c r="B6507" s="12" t="s">
        <v>1540</v>
      </c>
      <c r="C6507" s="13" t="s">
        <v>1541</v>
      </c>
      <c r="D6507" s="13" t="s">
        <v>83</v>
      </c>
      <c r="E6507" s="12" t="s">
        <v>35</v>
      </c>
      <c r="F6507" s="14">
        <v>65000</v>
      </c>
      <c r="G6507" s="14">
        <v>52800</v>
      </c>
      <c r="H6507" s="13" t="s">
        <v>10607</v>
      </c>
      <c r="I6507" s="40" t="s">
        <v>18</v>
      </c>
      <c r="J6507" s="40" t="str">
        <f>HYPERLINK("https://stock.pstatic.net/stock-research/company/2/20251222_company_566391000.pdf","PDF")</f>
        <v>PDF</v>
      </c>
      <c r="K6507" s="12" t="s">
        <v>10608</v>
      </c>
      <c r="L6507" s="20">
        <v>0.23106060606060599</v>
      </c>
    </row>
    <row r="6508" spans="1:12" x14ac:dyDescent="0.45">
      <c r="A6508" s="12" t="s">
        <v>10598</v>
      </c>
      <c r="B6508" s="12" t="s">
        <v>2658</v>
      </c>
      <c r="C6508" s="13" t="s">
        <v>2659</v>
      </c>
      <c r="D6508" s="13" t="s">
        <v>179</v>
      </c>
      <c r="E6508" s="12" t="s">
        <v>16</v>
      </c>
      <c r="F6508" s="14">
        <v>160000</v>
      </c>
      <c r="G6508" s="14">
        <v>116400</v>
      </c>
      <c r="H6508" s="13" t="s">
        <v>10609</v>
      </c>
      <c r="I6508" s="40" t="s">
        <v>18</v>
      </c>
      <c r="J6508" s="40" t="str">
        <f>HYPERLINK("https://stock.pstatic.net/stock-research/company/64/20251222_company_642359000.pdf","PDF")</f>
        <v>PDF</v>
      </c>
      <c r="K6508" s="12" t="s">
        <v>10610</v>
      </c>
      <c r="L6508" s="20">
        <v>0.37457044673539519</v>
      </c>
    </row>
    <row r="6509" spans="1:12" x14ac:dyDescent="0.45">
      <c r="A6509" s="12" t="s">
        <v>10598</v>
      </c>
      <c r="B6509" s="12" t="s">
        <v>828</v>
      </c>
      <c r="C6509" s="13" t="s">
        <v>829</v>
      </c>
      <c r="D6509" s="13" t="s">
        <v>34</v>
      </c>
      <c r="E6509" s="12" t="s">
        <v>50</v>
      </c>
      <c r="F6509" s="13"/>
      <c r="G6509" s="14">
        <v>48400</v>
      </c>
      <c r="H6509" s="13" t="s">
        <v>10611</v>
      </c>
      <c r="I6509" s="40" t="s">
        <v>18</v>
      </c>
      <c r="J6509" s="40" t="str">
        <f>HYPERLINK("https://stock.pstatic.net/stock-research/company/61/20251222_company_237401000.pdf","PDF")</f>
        <v>PDF</v>
      </c>
      <c r="K6509" s="12" t="s">
        <v>10612</v>
      </c>
    </row>
    <row r="6510" spans="1:12" x14ac:dyDescent="0.45">
      <c r="A6510" s="12" t="s">
        <v>10598</v>
      </c>
      <c r="B6510" s="12" t="s">
        <v>10613</v>
      </c>
      <c r="C6510" s="13" t="s">
        <v>10614</v>
      </c>
      <c r="D6510" s="13" t="s">
        <v>34</v>
      </c>
      <c r="E6510" s="12" t="s">
        <v>50</v>
      </c>
      <c r="F6510" s="13"/>
      <c r="G6510" s="14">
        <v>3820</v>
      </c>
      <c r="H6510" s="13" t="s">
        <v>10615</v>
      </c>
      <c r="I6510" s="40" t="s">
        <v>18</v>
      </c>
      <c r="J6510" s="40" t="str">
        <f>HYPERLINK("https://stock.pstatic.net/stock-research/company/61/20251223_company_596072000.pdf","PDF")</f>
        <v>PDF</v>
      </c>
      <c r="K6510" s="12" t="s">
        <v>10616</v>
      </c>
    </row>
    <row r="6511" spans="1:12" x14ac:dyDescent="0.45">
      <c r="A6511" s="12" t="s">
        <v>10598</v>
      </c>
      <c r="B6511" s="12" t="s">
        <v>5098</v>
      </c>
      <c r="C6511" s="13" t="s">
        <v>5099</v>
      </c>
      <c r="D6511" s="13" t="s">
        <v>34</v>
      </c>
      <c r="E6511" s="12" t="s">
        <v>50</v>
      </c>
      <c r="F6511" s="13"/>
      <c r="G6511" s="14">
        <v>34100</v>
      </c>
      <c r="H6511" s="13" t="s">
        <v>10617</v>
      </c>
      <c r="I6511" s="40" t="s">
        <v>18</v>
      </c>
      <c r="J6511" s="40" t="str">
        <f>HYPERLINK("https://stock.pstatic.net/stock-research/company/61/20251222_company_692268000.pdf","PDF")</f>
        <v>PDF</v>
      </c>
      <c r="K6511" s="12" t="s">
        <v>10618</v>
      </c>
    </row>
    <row r="6512" spans="1:12" x14ac:dyDescent="0.45">
      <c r="A6512" s="12" t="s">
        <v>10598</v>
      </c>
      <c r="B6512" s="12" t="s">
        <v>9826</v>
      </c>
      <c r="C6512" s="13" t="s">
        <v>9827</v>
      </c>
      <c r="D6512" s="13" t="s">
        <v>53</v>
      </c>
      <c r="E6512" s="12" t="s">
        <v>16</v>
      </c>
      <c r="F6512" s="14">
        <v>25000</v>
      </c>
      <c r="G6512" s="14">
        <v>9080</v>
      </c>
      <c r="H6512" s="13" t="s">
        <v>10619</v>
      </c>
      <c r="I6512" s="40" t="s">
        <v>18</v>
      </c>
      <c r="J6512" s="40" t="str">
        <f>HYPERLINK("https://stock.pstatic.net/stock-research/company/40/20251222_company_228027000.pdf","PDF")</f>
        <v>PDF</v>
      </c>
      <c r="K6512" s="12" t="s">
        <v>10620</v>
      </c>
      <c r="L6512" s="20">
        <v>1.7533039647577091</v>
      </c>
    </row>
    <row r="6513" spans="1:12" x14ac:dyDescent="0.45">
      <c r="A6513" s="12" t="s">
        <v>10598</v>
      </c>
      <c r="B6513" s="12" t="s">
        <v>10621</v>
      </c>
      <c r="C6513" s="13" t="s">
        <v>10622</v>
      </c>
      <c r="D6513" s="13" t="s">
        <v>23</v>
      </c>
      <c r="E6513" s="12" t="s">
        <v>50</v>
      </c>
      <c r="F6513" s="13"/>
      <c r="G6513" s="14">
        <v>15930</v>
      </c>
      <c r="H6513" s="13" t="s">
        <v>10623</v>
      </c>
      <c r="I6513" s="40" t="s">
        <v>18</v>
      </c>
      <c r="J6513" s="40" t="str">
        <f>HYPERLINK("https://stock.pstatic.net/stock-research/company/21/20251222_company_190779000.pdf","PDF")</f>
        <v>PDF</v>
      </c>
      <c r="K6513" s="12" t="s">
        <v>10624</v>
      </c>
    </row>
    <row r="6514" spans="1:12" x14ac:dyDescent="0.45">
      <c r="A6514" s="12" t="s">
        <v>10598</v>
      </c>
      <c r="B6514" s="12" t="s">
        <v>10625</v>
      </c>
      <c r="C6514" s="13" t="s">
        <v>10626</v>
      </c>
      <c r="D6514" s="13" t="s">
        <v>23</v>
      </c>
      <c r="E6514" s="12" t="s">
        <v>50</v>
      </c>
      <c r="F6514" s="13"/>
      <c r="G6514" s="14">
        <v>4475</v>
      </c>
      <c r="H6514" s="13" t="s">
        <v>10627</v>
      </c>
      <c r="I6514" s="40" t="s">
        <v>18</v>
      </c>
      <c r="J6514" s="40" t="str">
        <f>HYPERLINK("https://stock.pstatic.net/stock-research/company/21/20251222_company_659640000.pdf","PDF")</f>
        <v>PDF</v>
      </c>
      <c r="K6514" s="12" t="s">
        <v>10628</v>
      </c>
    </row>
    <row r="6515" spans="1:12" x14ac:dyDescent="0.45">
      <c r="A6515" s="12" t="s">
        <v>10598</v>
      </c>
      <c r="B6515" s="12" t="s">
        <v>10629</v>
      </c>
      <c r="C6515" s="13" t="s">
        <v>10630</v>
      </c>
      <c r="D6515" s="13" t="s">
        <v>44</v>
      </c>
      <c r="E6515" s="12" t="s">
        <v>50</v>
      </c>
      <c r="F6515" s="13"/>
      <c r="G6515" s="14">
        <v>4795</v>
      </c>
      <c r="H6515" s="13" t="s">
        <v>10631</v>
      </c>
      <c r="I6515" s="40" t="s">
        <v>18</v>
      </c>
      <c r="J6515" s="40" t="str">
        <f>HYPERLINK("https://stock.pstatic.net/stock-research/company/39/20251222_company_861990000.pdf","PDF")</f>
        <v>PDF</v>
      </c>
      <c r="K6515" s="12" t="s">
        <v>10632</v>
      </c>
    </row>
    <row r="6516" spans="1:12" x14ac:dyDescent="0.45">
      <c r="A6516" s="12" t="s">
        <v>10598</v>
      </c>
      <c r="B6516" s="12" t="s">
        <v>10633</v>
      </c>
      <c r="C6516" s="13" t="s">
        <v>10634</v>
      </c>
      <c r="D6516" s="13" t="s">
        <v>44</v>
      </c>
      <c r="E6516" s="12" t="s">
        <v>50</v>
      </c>
      <c r="F6516" s="13"/>
      <c r="G6516" s="14">
        <v>12740</v>
      </c>
      <c r="H6516" s="13" t="s">
        <v>10635</v>
      </c>
      <c r="I6516" s="40" t="s">
        <v>18</v>
      </c>
      <c r="J6516" s="40" t="str">
        <f>HYPERLINK("https://stock.pstatic.net/stock-research/company/39/20251222_company_28365000.pdf","PDF")</f>
        <v>PDF</v>
      </c>
      <c r="K6516" s="12" t="s">
        <v>10636</v>
      </c>
    </row>
    <row r="6517" spans="1:12" x14ac:dyDescent="0.45">
      <c r="A6517" s="12" t="s">
        <v>10598</v>
      </c>
      <c r="B6517" s="12" t="s">
        <v>6086</v>
      </c>
      <c r="C6517" s="13" t="s">
        <v>6087</v>
      </c>
      <c r="D6517" s="13" t="s">
        <v>124</v>
      </c>
      <c r="E6517" s="12" t="s">
        <v>50</v>
      </c>
      <c r="F6517" s="13"/>
      <c r="G6517" s="13"/>
      <c r="H6517" s="13" t="s">
        <v>10637</v>
      </c>
      <c r="I6517" s="40" t="s">
        <v>18</v>
      </c>
      <c r="J6517" s="40" t="str">
        <f>HYPERLINK("https://stock.pstatic.net/stock-research/company/74/20251222_company_424038000.pdf","PDF")</f>
        <v>PDF</v>
      </c>
      <c r="K6517" s="12" t="s">
        <v>10638</v>
      </c>
    </row>
    <row r="6518" spans="1:12" x14ac:dyDescent="0.45">
      <c r="A6518" s="12" t="s">
        <v>10598</v>
      </c>
      <c r="B6518" s="12" t="s">
        <v>10639</v>
      </c>
      <c r="C6518" s="13" t="s">
        <v>10640</v>
      </c>
      <c r="D6518" s="13" t="s">
        <v>124</v>
      </c>
      <c r="E6518" s="12" t="s">
        <v>50</v>
      </c>
      <c r="F6518" s="13"/>
      <c r="G6518" s="13"/>
      <c r="H6518" s="13" t="s">
        <v>10641</v>
      </c>
      <c r="I6518" s="40" t="s">
        <v>18</v>
      </c>
      <c r="J6518" s="40" t="str">
        <f>HYPERLINK("https://stock.pstatic.net/stock-research/company/74/20251222_company_400232000.pdf","PDF")</f>
        <v>PDF</v>
      </c>
      <c r="K6518" s="12" t="s">
        <v>10642</v>
      </c>
    </row>
    <row r="6519" spans="1:12" x14ac:dyDescent="0.45">
      <c r="A6519" s="12" t="s">
        <v>10598</v>
      </c>
      <c r="B6519" s="12" t="s">
        <v>657</v>
      </c>
      <c r="C6519" s="13" t="s">
        <v>658</v>
      </c>
      <c r="D6519" s="13" t="s">
        <v>124</v>
      </c>
      <c r="E6519" s="12" t="s">
        <v>50</v>
      </c>
      <c r="F6519" s="13"/>
      <c r="G6519" s="13"/>
      <c r="H6519" s="13" t="s">
        <v>10643</v>
      </c>
      <c r="I6519" s="40" t="s">
        <v>18</v>
      </c>
      <c r="J6519" s="40" t="str">
        <f>HYPERLINK("https://stock.pstatic.net/stock-research/company/74/20251222_company_80301000.pdf","PDF")</f>
        <v>PDF</v>
      </c>
      <c r="K6519" s="12" t="s">
        <v>10644</v>
      </c>
    </row>
    <row r="6520" spans="1:12" x14ac:dyDescent="0.45">
      <c r="A6520" s="12" t="s">
        <v>10645</v>
      </c>
      <c r="B6520" s="12" t="s">
        <v>2658</v>
      </c>
      <c r="C6520" s="13" t="s">
        <v>2659</v>
      </c>
      <c r="D6520" s="13" t="s">
        <v>60</v>
      </c>
      <c r="E6520" s="12" t="s">
        <v>35</v>
      </c>
      <c r="F6520" s="14">
        <v>150000</v>
      </c>
      <c r="G6520" s="14">
        <v>114100</v>
      </c>
      <c r="H6520" s="13" t="s">
        <v>10646</v>
      </c>
      <c r="I6520" s="40" t="s">
        <v>18</v>
      </c>
      <c r="J6520" s="40" t="str">
        <f>HYPERLINK("https://stock.pstatic.net/stock-research/company/62/20251219_company_147404000.pdf","PDF")</f>
        <v>PDF</v>
      </c>
      <c r="K6520" s="12" t="s">
        <v>10647</v>
      </c>
      <c r="L6520" s="20">
        <v>0.31463628396143728</v>
      </c>
    </row>
    <row r="6521" spans="1:12" x14ac:dyDescent="0.45">
      <c r="A6521" s="12" t="s">
        <v>10645</v>
      </c>
      <c r="B6521" s="12" t="s">
        <v>10648</v>
      </c>
      <c r="C6521" s="13" t="s">
        <v>10649</v>
      </c>
      <c r="D6521" s="13" t="s">
        <v>60</v>
      </c>
      <c r="E6521" s="12" t="s">
        <v>50</v>
      </c>
      <c r="F6521" s="13"/>
      <c r="G6521" s="14">
        <v>2605</v>
      </c>
      <c r="H6521" s="13" t="s">
        <v>10650</v>
      </c>
      <c r="I6521" s="40" t="s">
        <v>18</v>
      </c>
      <c r="J6521" s="40" t="str">
        <f>HYPERLINK("https://stock.pstatic.net/stock-research/company/62/20251219_company_645073000.pdf","PDF")</f>
        <v>PDF</v>
      </c>
      <c r="K6521" s="12" t="s">
        <v>10651</v>
      </c>
    </row>
    <row r="6522" spans="1:12" x14ac:dyDescent="0.45">
      <c r="A6522" s="12" t="s">
        <v>10645</v>
      </c>
      <c r="B6522" s="12" t="s">
        <v>10652</v>
      </c>
      <c r="C6522" s="13" t="s">
        <v>10653</v>
      </c>
      <c r="D6522" s="13" t="s">
        <v>57</v>
      </c>
      <c r="E6522" s="12" t="s">
        <v>50</v>
      </c>
      <c r="F6522" s="13"/>
      <c r="G6522" s="14">
        <v>7340</v>
      </c>
      <c r="H6522" s="13" t="s">
        <v>10654</v>
      </c>
      <c r="I6522" s="40" t="s">
        <v>18</v>
      </c>
      <c r="J6522" s="40" t="str">
        <f>HYPERLINK("https://stock.pstatic.net/stock-research/company/16/20251219_company_649297000.pdf","PDF")</f>
        <v>PDF</v>
      </c>
      <c r="K6522" s="12" t="s">
        <v>10655</v>
      </c>
    </row>
    <row r="6523" spans="1:12" x14ac:dyDescent="0.45">
      <c r="A6523" s="12" t="s">
        <v>10645</v>
      </c>
      <c r="B6523" s="12" t="s">
        <v>10656</v>
      </c>
      <c r="C6523" s="13" t="s">
        <v>10657</v>
      </c>
      <c r="D6523" s="13" t="s">
        <v>23</v>
      </c>
      <c r="E6523" s="12" t="s">
        <v>50</v>
      </c>
      <c r="F6523" s="13"/>
      <c r="G6523" s="14">
        <v>1285</v>
      </c>
      <c r="H6523" s="13" t="s">
        <v>10658</v>
      </c>
      <c r="I6523" s="40" t="s">
        <v>18</v>
      </c>
      <c r="J6523" s="40" t="str">
        <f>HYPERLINK("https://stock.pstatic.net/stock-research/company/21/20251219_company_233244000.pdf","PDF")</f>
        <v>PDF</v>
      </c>
      <c r="K6523" s="12" t="s">
        <v>10659</v>
      </c>
    </row>
    <row r="6524" spans="1:12" x14ac:dyDescent="0.45">
      <c r="A6524" s="12" t="s">
        <v>10645</v>
      </c>
      <c r="B6524" s="12" t="s">
        <v>549</v>
      </c>
      <c r="C6524" s="13" t="s">
        <v>550</v>
      </c>
      <c r="D6524" s="13" t="s">
        <v>23</v>
      </c>
      <c r="E6524" s="12" t="s">
        <v>50</v>
      </c>
      <c r="F6524" s="13"/>
      <c r="G6524" s="14">
        <v>6990</v>
      </c>
      <c r="H6524" s="13" t="s">
        <v>10660</v>
      </c>
      <c r="I6524" s="40" t="s">
        <v>18</v>
      </c>
      <c r="J6524" s="40" t="str">
        <f>HYPERLINK("https://stock.pstatic.net/stock-research/company/21/20251219_company_580499000.pdf","PDF")</f>
        <v>PDF</v>
      </c>
      <c r="K6524" s="12" t="s">
        <v>10661</v>
      </c>
    </row>
    <row r="6525" spans="1:12" x14ac:dyDescent="0.45">
      <c r="A6525" s="12" t="s">
        <v>10645</v>
      </c>
      <c r="B6525" s="12" t="s">
        <v>4253</v>
      </c>
      <c r="C6525" s="13" t="s">
        <v>4254</v>
      </c>
      <c r="D6525" s="13" t="s">
        <v>23</v>
      </c>
      <c r="E6525" s="12" t="s">
        <v>16</v>
      </c>
      <c r="F6525" s="14">
        <v>300000</v>
      </c>
      <c r="G6525" s="14">
        <v>205500</v>
      </c>
      <c r="H6525" s="13" t="s">
        <v>10662</v>
      </c>
      <c r="I6525" s="40" t="s">
        <v>18</v>
      </c>
      <c r="J6525" s="40" t="str">
        <f>HYPERLINK("https://stock.pstatic.net/stock-research/company/21/20251219_company_406139000.pdf","PDF")</f>
        <v>PDF</v>
      </c>
      <c r="K6525" s="12" t="s">
        <v>10663</v>
      </c>
      <c r="L6525" s="20">
        <v>0.45985401459854008</v>
      </c>
    </row>
    <row r="6526" spans="1:12" x14ac:dyDescent="0.45">
      <c r="A6526" s="12" t="s">
        <v>10645</v>
      </c>
      <c r="B6526" s="12" t="s">
        <v>5558</v>
      </c>
      <c r="C6526" s="13" t="s">
        <v>5559</v>
      </c>
      <c r="D6526" s="13" t="s">
        <v>23</v>
      </c>
      <c r="E6526" s="12" t="s">
        <v>50</v>
      </c>
      <c r="F6526" s="13"/>
      <c r="G6526" s="14">
        <v>46150</v>
      </c>
      <c r="H6526" s="13" t="s">
        <v>10664</v>
      </c>
      <c r="I6526" s="40" t="s">
        <v>18</v>
      </c>
      <c r="J6526" s="40" t="str">
        <f>HYPERLINK("https://stock.pstatic.net/stock-research/company/21/20251219_company_475820000.pdf","PDF")</f>
        <v>PDF</v>
      </c>
      <c r="K6526" s="12" t="s">
        <v>10665</v>
      </c>
    </row>
    <row r="6527" spans="1:12" x14ac:dyDescent="0.45">
      <c r="A6527" s="12" t="s">
        <v>10645</v>
      </c>
      <c r="B6527" s="12" t="s">
        <v>4372</v>
      </c>
      <c r="C6527" s="13" t="s">
        <v>4373</v>
      </c>
      <c r="D6527" s="13" t="s">
        <v>44</v>
      </c>
      <c r="E6527" s="12" t="s">
        <v>50</v>
      </c>
      <c r="F6527" s="13"/>
      <c r="G6527" s="14">
        <v>13990</v>
      </c>
      <c r="H6527" s="13" t="s">
        <v>10666</v>
      </c>
      <c r="I6527" s="40" t="s">
        <v>18</v>
      </c>
      <c r="J6527" s="40" t="str">
        <f>HYPERLINK("https://stock.pstatic.net/stock-research/company/39/20251219_company_461298000.pdf","PDF")</f>
        <v>PDF</v>
      </c>
      <c r="K6527" s="12" t="s">
        <v>10667</v>
      </c>
    </row>
    <row r="6528" spans="1:12" x14ac:dyDescent="0.45">
      <c r="A6528" s="12" t="s">
        <v>10645</v>
      </c>
      <c r="B6528" s="12" t="s">
        <v>1503</v>
      </c>
      <c r="C6528" s="13" t="s">
        <v>1504</v>
      </c>
      <c r="D6528" s="13" t="s">
        <v>124</v>
      </c>
      <c r="E6528" s="12" t="s">
        <v>50</v>
      </c>
      <c r="F6528" s="13"/>
      <c r="G6528" s="13"/>
      <c r="H6528" s="13" t="s">
        <v>10668</v>
      </c>
      <c r="I6528" s="40" t="s">
        <v>18</v>
      </c>
      <c r="J6528" s="40" t="str">
        <f>HYPERLINK("https://stock.pstatic.net/stock-research/company/74/20251222_company_361332000.pdf","PDF")</f>
        <v>PDF</v>
      </c>
      <c r="K6528" s="12" t="s">
        <v>10669</v>
      </c>
    </row>
    <row r="6529" spans="1:12" x14ac:dyDescent="0.45">
      <c r="A6529" s="12" t="s">
        <v>10645</v>
      </c>
      <c r="B6529" s="12" t="s">
        <v>1184</v>
      </c>
      <c r="C6529" s="13" t="s">
        <v>1185</v>
      </c>
      <c r="D6529" s="13" t="s">
        <v>53</v>
      </c>
      <c r="E6529" s="12" t="s">
        <v>16</v>
      </c>
      <c r="F6529" s="14">
        <v>27000</v>
      </c>
      <c r="G6529" s="14">
        <v>21850</v>
      </c>
      <c r="H6529" s="13" t="s">
        <v>10670</v>
      </c>
      <c r="I6529" s="40" t="s">
        <v>18</v>
      </c>
      <c r="J6529" s="40" t="str">
        <f>HYPERLINK("https://stock.pstatic.net/stock-research/company/40/20251219_company_520085000.pdf","PDF")</f>
        <v>PDF</v>
      </c>
      <c r="K6529" s="12" t="s">
        <v>10671</v>
      </c>
      <c r="L6529" s="20">
        <v>0.23569794050343251</v>
      </c>
    </row>
    <row r="6530" spans="1:12" x14ac:dyDescent="0.45">
      <c r="A6530" s="12" t="s">
        <v>10645</v>
      </c>
      <c r="B6530" s="12" t="s">
        <v>10672</v>
      </c>
      <c r="C6530" s="13" t="s">
        <v>10673</v>
      </c>
      <c r="D6530" s="13" t="s">
        <v>207</v>
      </c>
      <c r="E6530" s="12" t="s">
        <v>50</v>
      </c>
      <c r="F6530" s="13"/>
      <c r="G6530" s="13"/>
      <c r="H6530" s="13" t="s">
        <v>10674</v>
      </c>
      <c r="I6530" s="40" t="s">
        <v>18</v>
      </c>
      <c r="J6530" s="40" t="str">
        <f>HYPERLINK("https://stock.pstatic.net/stock-research/company/75/20251223_company_165590000.pdf","PDF")</f>
        <v>PDF</v>
      </c>
      <c r="K6530" s="12" t="s">
        <v>10675</v>
      </c>
    </row>
    <row r="6531" spans="1:12" x14ac:dyDescent="0.45">
      <c r="A6531" s="12" t="s">
        <v>10645</v>
      </c>
      <c r="B6531" s="12" t="s">
        <v>10676</v>
      </c>
      <c r="C6531" s="13" t="s">
        <v>10677</v>
      </c>
      <c r="D6531" s="13" t="s">
        <v>207</v>
      </c>
      <c r="E6531" s="12" t="s">
        <v>50</v>
      </c>
      <c r="F6531" s="13"/>
      <c r="G6531" s="13"/>
      <c r="H6531" s="13" t="s">
        <v>10678</v>
      </c>
      <c r="I6531" s="40" t="s">
        <v>18</v>
      </c>
      <c r="J6531" s="40" t="str">
        <f>HYPERLINK("https://stock.pstatic.net/stock-research/company/75/20251219_company_363913000.pdf","PDF")</f>
        <v>PDF</v>
      </c>
      <c r="K6531" s="12" t="s">
        <v>10679</v>
      </c>
    </row>
    <row r="6532" spans="1:12" x14ac:dyDescent="0.45">
      <c r="A6532" s="12" t="s">
        <v>10645</v>
      </c>
      <c r="B6532" s="12" t="s">
        <v>10680</v>
      </c>
      <c r="C6532" s="13" t="s">
        <v>10681</v>
      </c>
      <c r="D6532" s="13" t="s">
        <v>207</v>
      </c>
      <c r="E6532" s="12" t="s">
        <v>50</v>
      </c>
      <c r="F6532" s="13"/>
      <c r="G6532" s="13"/>
      <c r="H6532" s="13" t="s">
        <v>10682</v>
      </c>
      <c r="I6532" s="40" t="s">
        <v>18</v>
      </c>
      <c r="J6532" s="40" t="str">
        <f>HYPERLINK("https://stock.pstatic.net/stock-research/company/1/20251219_company_906590000.pdf","PDF")</f>
        <v>PDF</v>
      </c>
      <c r="K6532" s="12" t="s">
        <v>10683</v>
      </c>
    </row>
    <row r="6533" spans="1:12" x14ac:dyDescent="0.45">
      <c r="A6533" s="12" t="s">
        <v>10684</v>
      </c>
      <c r="B6533" s="12" t="s">
        <v>824</v>
      </c>
      <c r="C6533" s="13" t="s">
        <v>825</v>
      </c>
      <c r="D6533" s="13" t="s">
        <v>83</v>
      </c>
      <c r="E6533" s="12" t="s">
        <v>35</v>
      </c>
      <c r="F6533" s="14">
        <v>60000</v>
      </c>
      <c r="G6533" s="14">
        <v>43100</v>
      </c>
      <c r="H6533" s="13" t="s">
        <v>10685</v>
      </c>
      <c r="I6533" s="40" t="s">
        <v>18</v>
      </c>
      <c r="J6533" s="40" t="str">
        <f>HYPERLINK("https://stock.pstatic.net/stock-research/company/2/20251218_company_370405000.pdf","PDF")</f>
        <v>PDF</v>
      </c>
      <c r="K6533" s="12" t="s">
        <v>10686</v>
      </c>
      <c r="L6533" s="20">
        <v>0.39211136890951281</v>
      </c>
    </row>
    <row r="6534" spans="1:12" x14ac:dyDescent="0.45">
      <c r="A6534" s="12" t="s">
        <v>10684</v>
      </c>
      <c r="B6534" s="12" t="s">
        <v>10687</v>
      </c>
      <c r="C6534" s="13" t="s">
        <v>10688</v>
      </c>
      <c r="D6534" s="13" t="s">
        <v>83</v>
      </c>
      <c r="E6534" s="12" t="s">
        <v>50</v>
      </c>
      <c r="F6534" s="13"/>
      <c r="G6534" s="14">
        <v>3560</v>
      </c>
      <c r="H6534" s="13" t="s">
        <v>10689</v>
      </c>
      <c r="I6534" s="40" t="s">
        <v>18</v>
      </c>
      <c r="J6534" s="40" t="str">
        <f>HYPERLINK("https://stock.pstatic.net/stock-research/company/2/20251218_company_12401000.pdf","PDF")</f>
        <v>PDF</v>
      </c>
      <c r="K6534" s="12" t="s">
        <v>10690</v>
      </c>
    </row>
    <row r="6535" spans="1:12" x14ac:dyDescent="0.45">
      <c r="A6535" s="12" t="s">
        <v>10684</v>
      </c>
      <c r="B6535" s="12" t="s">
        <v>1032</v>
      </c>
      <c r="C6535" s="13" t="s">
        <v>1033</v>
      </c>
      <c r="D6535" s="13" t="s">
        <v>83</v>
      </c>
      <c r="E6535" s="12" t="s">
        <v>50</v>
      </c>
      <c r="F6535" s="13"/>
      <c r="G6535" s="14">
        <v>13620</v>
      </c>
      <c r="H6535" s="13" t="s">
        <v>10691</v>
      </c>
      <c r="I6535" s="40" t="s">
        <v>18</v>
      </c>
      <c r="J6535" s="40" t="str">
        <f>HYPERLINK("https://stock.pstatic.net/stock-research/company/2/20251218_company_660858000.pdf","PDF")</f>
        <v>PDF</v>
      </c>
      <c r="K6535" s="12" t="s">
        <v>10692</v>
      </c>
    </row>
    <row r="6536" spans="1:12" x14ac:dyDescent="0.45">
      <c r="A6536" s="12" t="s">
        <v>10684</v>
      </c>
      <c r="B6536" s="12" t="s">
        <v>10693</v>
      </c>
      <c r="C6536" s="13" t="s">
        <v>10694</v>
      </c>
      <c r="D6536" s="13" t="s">
        <v>83</v>
      </c>
      <c r="E6536" s="12" t="s">
        <v>50</v>
      </c>
      <c r="F6536" s="13"/>
      <c r="G6536" s="14">
        <v>27550</v>
      </c>
      <c r="H6536" s="13" t="s">
        <v>10695</v>
      </c>
      <c r="I6536" s="40" t="s">
        <v>18</v>
      </c>
      <c r="J6536" s="40" t="str">
        <f>HYPERLINK("https://stock.pstatic.net/stock-research/company/2/20251218_company_467461000.pdf","PDF")</f>
        <v>PDF</v>
      </c>
      <c r="K6536" s="12" t="s">
        <v>10696</v>
      </c>
    </row>
    <row r="6537" spans="1:12" x14ac:dyDescent="0.45">
      <c r="A6537" s="12" t="s">
        <v>10684</v>
      </c>
      <c r="B6537" s="12" t="s">
        <v>5912</v>
      </c>
      <c r="C6537" s="13" t="s">
        <v>5913</v>
      </c>
      <c r="D6537" s="13" t="s">
        <v>83</v>
      </c>
      <c r="E6537" s="12" t="s">
        <v>50</v>
      </c>
      <c r="F6537" s="13"/>
      <c r="G6537" s="14">
        <v>21900</v>
      </c>
      <c r="H6537" s="13" t="s">
        <v>10697</v>
      </c>
      <c r="I6537" s="40" t="s">
        <v>18</v>
      </c>
      <c r="J6537" s="40" t="str">
        <f>HYPERLINK("https://stock.pstatic.net/stock-research/company/2/20251218_company_706681000.pdf","PDF")</f>
        <v>PDF</v>
      </c>
      <c r="K6537" s="12" t="s">
        <v>10698</v>
      </c>
    </row>
    <row r="6538" spans="1:12" x14ac:dyDescent="0.45">
      <c r="A6538" s="12" t="s">
        <v>10684</v>
      </c>
      <c r="B6538" s="12" t="s">
        <v>4352</v>
      </c>
      <c r="C6538" s="13" t="s">
        <v>4353</v>
      </c>
      <c r="D6538" s="13" t="s">
        <v>83</v>
      </c>
      <c r="E6538" s="12" t="s">
        <v>50</v>
      </c>
      <c r="F6538" s="13"/>
      <c r="G6538" s="14">
        <v>12120</v>
      </c>
      <c r="H6538" s="13" t="s">
        <v>10699</v>
      </c>
      <c r="I6538" s="40" t="s">
        <v>18</v>
      </c>
      <c r="J6538" s="40" t="str">
        <f>HYPERLINK("https://stock.pstatic.net/stock-research/company/2/20251218_company_488831000.pdf","PDF")</f>
        <v>PDF</v>
      </c>
      <c r="K6538" s="12" t="s">
        <v>10700</v>
      </c>
    </row>
    <row r="6539" spans="1:12" x14ac:dyDescent="0.45">
      <c r="A6539" s="12" t="s">
        <v>10684</v>
      </c>
      <c r="B6539" s="12" t="s">
        <v>1212</v>
      </c>
      <c r="C6539" s="13" t="s">
        <v>1213</v>
      </c>
      <c r="D6539" s="13" t="s">
        <v>83</v>
      </c>
      <c r="E6539" s="12" t="s">
        <v>50</v>
      </c>
      <c r="F6539" s="13"/>
      <c r="G6539" s="14">
        <v>41550</v>
      </c>
      <c r="H6539" s="13" t="s">
        <v>10701</v>
      </c>
      <c r="I6539" s="40" t="s">
        <v>18</v>
      </c>
      <c r="J6539" s="40" t="str">
        <f>HYPERLINK("https://stock.pstatic.net/stock-research/company/2/20251218_company_80607000.pdf","PDF")</f>
        <v>PDF</v>
      </c>
      <c r="K6539" s="12" t="s">
        <v>10702</v>
      </c>
    </row>
    <row r="6540" spans="1:12" x14ac:dyDescent="0.45">
      <c r="A6540" s="12" t="s">
        <v>10684</v>
      </c>
      <c r="B6540" s="12" t="s">
        <v>1081</v>
      </c>
      <c r="C6540" s="13" t="s">
        <v>1082</v>
      </c>
      <c r="D6540" s="13" t="s">
        <v>83</v>
      </c>
      <c r="E6540" s="12" t="s">
        <v>35</v>
      </c>
      <c r="F6540" s="14">
        <v>2200000</v>
      </c>
      <c r="G6540" s="14">
        <v>1790000</v>
      </c>
      <c r="H6540" s="13" t="s">
        <v>10703</v>
      </c>
      <c r="I6540" s="40" t="s">
        <v>18</v>
      </c>
      <c r="J6540" s="40" t="str">
        <f>HYPERLINK("https://stock.pstatic.net/stock-research/company/2/20251218_company_641009000.pdf","PDF")</f>
        <v>PDF</v>
      </c>
      <c r="K6540" s="12" t="s">
        <v>10704</v>
      </c>
      <c r="L6540" s="20">
        <v>0.22905027932960889</v>
      </c>
    </row>
    <row r="6541" spans="1:12" x14ac:dyDescent="0.45">
      <c r="A6541" s="12" t="s">
        <v>10684</v>
      </c>
      <c r="B6541" s="12" t="s">
        <v>1660</v>
      </c>
      <c r="C6541" s="13" t="s">
        <v>1661</v>
      </c>
      <c r="D6541" s="13" t="s">
        <v>23</v>
      </c>
      <c r="E6541" s="12" t="s">
        <v>16</v>
      </c>
      <c r="F6541" s="14">
        <v>50000</v>
      </c>
      <c r="G6541" s="14">
        <v>40500</v>
      </c>
      <c r="H6541" s="13" t="s">
        <v>10705</v>
      </c>
      <c r="I6541" s="40" t="s">
        <v>18</v>
      </c>
      <c r="J6541" s="40" t="str">
        <f>HYPERLINK("https://stock.pstatic.net/stock-research/company/21/20251218_company_927420000.pdf","PDF")</f>
        <v>PDF</v>
      </c>
      <c r="K6541" s="12" t="s">
        <v>10706</v>
      </c>
      <c r="L6541" s="20">
        <v>0.23456790123456789</v>
      </c>
    </row>
    <row r="6542" spans="1:12" x14ac:dyDescent="0.45">
      <c r="A6542" s="12" t="s">
        <v>10684</v>
      </c>
      <c r="B6542" s="12" t="s">
        <v>6922</v>
      </c>
      <c r="C6542" s="13" t="s">
        <v>6923</v>
      </c>
      <c r="D6542" s="13" t="s">
        <v>53</v>
      </c>
      <c r="E6542" s="12" t="s">
        <v>50</v>
      </c>
      <c r="F6542" s="13"/>
      <c r="G6542" s="14">
        <v>36400</v>
      </c>
      <c r="H6542" s="13" t="s">
        <v>10707</v>
      </c>
      <c r="I6542" s="40" t="s">
        <v>18</v>
      </c>
      <c r="J6542" s="40" t="str">
        <f>HYPERLINK("https://stock.pstatic.net/stock-research/company/40/20251218_company_40040000.pdf","PDF")</f>
        <v>PDF</v>
      </c>
      <c r="K6542" s="12" t="s">
        <v>10708</v>
      </c>
    </row>
    <row r="6543" spans="1:12" x14ac:dyDescent="0.45">
      <c r="A6543" s="12" t="s">
        <v>10684</v>
      </c>
      <c r="B6543" s="12" t="s">
        <v>537</v>
      </c>
      <c r="C6543" s="13" t="s">
        <v>538</v>
      </c>
      <c r="D6543" s="13" t="s">
        <v>179</v>
      </c>
      <c r="E6543" s="12" t="s">
        <v>16</v>
      </c>
      <c r="F6543" s="14">
        <v>18000</v>
      </c>
      <c r="G6543" s="14">
        <v>15320</v>
      </c>
      <c r="H6543" s="13" t="s">
        <v>10709</v>
      </c>
      <c r="I6543" s="40" t="s">
        <v>18</v>
      </c>
      <c r="J6543" s="40" t="str">
        <f>HYPERLINK("https://stock.pstatic.net/stock-research/company/31/20251218_company_731730000.pdf","PDF")</f>
        <v>PDF</v>
      </c>
      <c r="K6543" s="12" t="s">
        <v>10710</v>
      </c>
      <c r="L6543" s="20">
        <v>0.17493472584856401</v>
      </c>
    </row>
    <row r="6544" spans="1:12" x14ac:dyDescent="0.45">
      <c r="A6544" s="12" t="s">
        <v>10684</v>
      </c>
      <c r="B6544" s="12" t="s">
        <v>10711</v>
      </c>
      <c r="C6544" s="13" t="s">
        <v>10712</v>
      </c>
      <c r="D6544" s="13" t="s">
        <v>44</v>
      </c>
      <c r="E6544" s="12" t="s">
        <v>50</v>
      </c>
      <c r="F6544" s="13"/>
      <c r="G6544" s="13"/>
      <c r="H6544" s="13" t="s">
        <v>10713</v>
      </c>
      <c r="I6544" s="40" t="s">
        <v>18</v>
      </c>
      <c r="J6544" s="40" t="str">
        <f>HYPERLINK("https://stock.pstatic.net/stock-research/company/39/20251218_company_658664000.pdf","PDF")</f>
        <v>PDF</v>
      </c>
      <c r="K6544" s="12" t="s">
        <v>10714</v>
      </c>
    </row>
    <row r="6545" spans="1:12" x14ac:dyDescent="0.45">
      <c r="A6545" s="12" t="s">
        <v>10684</v>
      </c>
      <c r="B6545" s="12" t="s">
        <v>10715</v>
      </c>
      <c r="C6545" s="13" t="s">
        <v>10716</v>
      </c>
      <c r="D6545" s="13" t="s">
        <v>23</v>
      </c>
      <c r="E6545" s="12" t="s">
        <v>50</v>
      </c>
      <c r="F6545" s="13"/>
      <c r="G6545" s="14">
        <v>3765</v>
      </c>
      <c r="H6545" s="13" t="s">
        <v>10717</v>
      </c>
      <c r="I6545" s="40" t="s">
        <v>18</v>
      </c>
      <c r="J6545" s="40" t="str">
        <f>HYPERLINK("https://stock.pstatic.net/stock-research/company/21/20251218_company_270066000.pdf","PDF")</f>
        <v>PDF</v>
      </c>
      <c r="K6545" s="12" t="s">
        <v>10718</v>
      </c>
    </row>
    <row r="6546" spans="1:12" x14ac:dyDescent="0.45">
      <c r="A6546" s="12" t="s">
        <v>10684</v>
      </c>
      <c r="B6546" s="12" t="s">
        <v>10719</v>
      </c>
      <c r="C6546" s="13" t="s">
        <v>10720</v>
      </c>
      <c r="D6546" s="13" t="s">
        <v>23</v>
      </c>
      <c r="E6546" s="12" t="s">
        <v>50</v>
      </c>
      <c r="F6546" s="13"/>
      <c r="G6546" s="14">
        <v>2410</v>
      </c>
      <c r="H6546" s="13" t="s">
        <v>10721</v>
      </c>
      <c r="I6546" s="40" t="s">
        <v>18</v>
      </c>
      <c r="J6546" s="40" t="str">
        <f>HYPERLINK("https://stock.pstatic.net/stock-research/company/21/20251218_company_203784000.pdf","PDF")</f>
        <v>PDF</v>
      </c>
      <c r="K6546" s="12" t="s">
        <v>10722</v>
      </c>
    </row>
    <row r="6547" spans="1:12" x14ac:dyDescent="0.45">
      <c r="A6547" s="12" t="s">
        <v>10684</v>
      </c>
      <c r="B6547" s="12" t="s">
        <v>10723</v>
      </c>
      <c r="C6547" s="13" t="s">
        <v>10724</v>
      </c>
      <c r="D6547" s="13" t="s">
        <v>23</v>
      </c>
      <c r="E6547" s="12" t="s">
        <v>50</v>
      </c>
      <c r="F6547" s="13"/>
      <c r="G6547" s="14">
        <v>2840</v>
      </c>
      <c r="H6547" s="13" t="s">
        <v>10725</v>
      </c>
      <c r="I6547" s="40" t="s">
        <v>18</v>
      </c>
      <c r="J6547" s="40" t="str">
        <f>HYPERLINK("https://stock.pstatic.net/stock-research/company/21/20251218_company_904731000.pdf","PDF")</f>
        <v>PDF</v>
      </c>
      <c r="K6547" s="12" t="s">
        <v>10726</v>
      </c>
    </row>
    <row r="6548" spans="1:12" x14ac:dyDescent="0.45">
      <c r="A6548" s="12" t="s">
        <v>10684</v>
      </c>
      <c r="B6548" s="12" t="s">
        <v>8532</v>
      </c>
      <c r="C6548" s="13" t="s">
        <v>8533</v>
      </c>
      <c r="D6548" s="13" t="s">
        <v>44</v>
      </c>
      <c r="E6548" s="12" t="s">
        <v>50</v>
      </c>
      <c r="F6548" s="13"/>
      <c r="G6548" s="14">
        <v>22550</v>
      </c>
      <c r="H6548" s="13" t="s">
        <v>10727</v>
      </c>
      <c r="I6548" s="40" t="s">
        <v>18</v>
      </c>
      <c r="J6548" s="40" t="str">
        <f>HYPERLINK("https://stock.pstatic.net/stock-research/company/39/20251218_company_136737000.pdf","PDF")</f>
        <v>PDF</v>
      </c>
      <c r="K6548" s="12" t="s">
        <v>10728</v>
      </c>
    </row>
    <row r="6549" spans="1:12" x14ac:dyDescent="0.45">
      <c r="A6549" s="12" t="s">
        <v>10684</v>
      </c>
      <c r="B6549" s="12" t="s">
        <v>10729</v>
      </c>
      <c r="C6549" s="13" t="s">
        <v>10730</v>
      </c>
      <c r="D6549" s="13" t="s">
        <v>124</v>
      </c>
      <c r="E6549" s="12" t="s">
        <v>50</v>
      </c>
      <c r="F6549" s="13"/>
      <c r="G6549" s="13"/>
      <c r="H6549" s="13" t="s">
        <v>10731</v>
      </c>
      <c r="I6549" s="40" t="s">
        <v>18</v>
      </c>
      <c r="J6549" s="40" t="str">
        <f>HYPERLINK("https://stock.pstatic.net/stock-research/company/1/20251218_company_849052000.pdf","PDF")</f>
        <v>PDF</v>
      </c>
      <c r="K6549" s="12" t="s">
        <v>10732</v>
      </c>
    </row>
    <row r="6550" spans="1:12" x14ac:dyDescent="0.45">
      <c r="A6550" s="12" t="s">
        <v>10684</v>
      </c>
      <c r="B6550" s="12" t="s">
        <v>10733</v>
      </c>
      <c r="C6550" s="13" t="s">
        <v>10734</v>
      </c>
      <c r="D6550" s="13" t="s">
        <v>124</v>
      </c>
      <c r="E6550" s="12" t="s">
        <v>50</v>
      </c>
      <c r="F6550" s="13"/>
      <c r="G6550" s="13"/>
      <c r="H6550" s="13" t="s">
        <v>10735</v>
      </c>
      <c r="I6550" s="40" t="s">
        <v>18</v>
      </c>
      <c r="J6550" s="40" t="str">
        <f>HYPERLINK("https://stock.pstatic.net/stock-research/company/1/20251218_company_121997000.pdf","PDF")</f>
        <v>PDF</v>
      </c>
      <c r="K6550" s="12" t="s">
        <v>10736</v>
      </c>
    </row>
    <row r="6551" spans="1:12" x14ac:dyDescent="0.45">
      <c r="A6551" s="12" t="s">
        <v>10684</v>
      </c>
      <c r="B6551" s="12" t="s">
        <v>577</v>
      </c>
      <c r="C6551" s="13" t="s">
        <v>578</v>
      </c>
      <c r="D6551" s="13" t="s">
        <v>1271</v>
      </c>
      <c r="E6551" s="12" t="s">
        <v>35</v>
      </c>
      <c r="F6551" s="14">
        <v>450000</v>
      </c>
      <c r="G6551" s="14">
        <v>360500</v>
      </c>
      <c r="H6551" s="13" t="s">
        <v>10737</v>
      </c>
      <c r="I6551" s="40" t="s">
        <v>18</v>
      </c>
      <c r="J6551" s="40" t="str">
        <f>HYPERLINK("https://stock.pstatic.net/stock-research/company/78/20251218_company_525699000.pdf","PDF")</f>
        <v>PDF</v>
      </c>
      <c r="K6551" s="12" t="s">
        <v>10738</v>
      </c>
      <c r="L6551" s="20">
        <v>0.2482662968099861</v>
      </c>
    </row>
    <row r="6552" spans="1:12" x14ac:dyDescent="0.45">
      <c r="A6552" s="12" t="s">
        <v>10684</v>
      </c>
      <c r="B6552" s="12" t="s">
        <v>3105</v>
      </c>
      <c r="C6552" s="13" t="s">
        <v>3106</v>
      </c>
      <c r="D6552" s="13" t="s">
        <v>1271</v>
      </c>
      <c r="E6552" s="12" t="s">
        <v>35</v>
      </c>
      <c r="F6552" s="14">
        <v>410000</v>
      </c>
      <c r="G6552" s="14">
        <v>290000</v>
      </c>
      <c r="H6552" s="13" t="s">
        <v>10739</v>
      </c>
      <c r="I6552" s="40" t="s">
        <v>18</v>
      </c>
      <c r="J6552" s="40" t="str">
        <f>HYPERLINK("https://stock.pstatic.net/stock-research/company/78/20251218_company_731315000.pdf","PDF")</f>
        <v>PDF</v>
      </c>
      <c r="K6552" s="12" t="s">
        <v>10740</v>
      </c>
      <c r="L6552" s="20">
        <v>0.41379310344827591</v>
      </c>
    </row>
    <row r="6553" spans="1:12" x14ac:dyDescent="0.45">
      <c r="A6553" s="12" t="s">
        <v>10684</v>
      </c>
      <c r="B6553" s="12" t="s">
        <v>398</v>
      </c>
      <c r="C6553" s="13" t="s">
        <v>399</v>
      </c>
      <c r="D6553" s="13" t="s">
        <v>1271</v>
      </c>
      <c r="E6553" s="12" t="s">
        <v>35</v>
      </c>
      <c r="F6553" s="14">
        <v>280000</v>
      </c>
      <c r="G6553" s="14">
        <v>227000</v>
      </c>
      <c r="H6553" s="13" t="s">
        <v>10741</v>
      </c>
      <c r="I6553" s="40" t="s">
        <v>18</v>
      </c>
      <c r="J6553" s="40" t="str">
        <f>HYPERLINK("https://stock.pstatic.net/stock-research/company/78/20251218_company_101627000.pdf","PDF")</f>
        <v>PDF</v>
      </c>
      <c r="K6553" s="12" t="s">
        <v>10742</v>
      </c>
      <c r="L6553" s="20">
        <v>0.23348017621145381</v>
      </c>
    </row>
    <row r="6554" spans="1:12" x14ac:dyDescent="0.45">
      <c r="A6554" s="12" t="s">
        <v>10684</v>
      </c>
      <c r="B6554" s="12" t="s">
        <v>370</v>
      </c>
      <c r="C6554" s="13" t="s">
        <v>371</v>
      </c>
      <c r="D6554" s="13" t="s">
        <v>1271</v>
      </c>
      <c r="E6554" s="12" t="s">
        <v>35</v>
      </c>
      <c r="F6554" s="14">
        <v>92000</v>
      </c>
      <c r="G6554" s="14">
        <v>62100</v>
      </c>
      <c r="H6554" s="13" t="s">
        <v>10743</v>
      </c>
      <c r="I6554" s="40" t="s">
        <v>18</v>
      </c>
      <c r="J6554" s="40" t="str">
        <f>HYPERLINK("https://stock.pstatic.net/stock-research/company/78/20251218_company_28391000.pdf","PDF")</f>
        <v>PDF</v>
      </c>
      <c r="K6554" s="12" t="s">
        <v>10744</v>
      </c>
      <c r="L6554" s="20">
        <v>0.48148148148148151</v>
      </c>
    </row>
    <row r="6555" spans="1:12" x14ac:dyDescent="0.45">
      <c r="A6555" s="12" t="s">
        <v>10684</v>
      </c>
      <c r="B6555" s="12" t="s">
        <v>1648</v>
      </c>
      <c r="C6555" s="13" t="s">
        <v>1649</v>
      </c>
      <c r="D6555" s="13" t="s">
        <v>1271</v>
      </c>
      <c r="E6555" s="12" t="s">
        <v>35</v>
      </c>
      <c r="F6555" s="14">
        <v>150000</v>
      </c>
      <c r="G6555" s="14">
        <v>104400</v>
      </c>
      <c r="H6555" s="13" t="s">
        <v>10745</v>
      </c>
      <c r="I6555" s="40" t="s">
        <v>18</v>
      </c>
      <c r="J6555" s="40" t="str">
        <f>HYPERLINK("https://stock.pstatic.net/stock-research/company/1/20251218_company_987541000.pdf","PDF")</f>
        <v>PDF</v>
      </c>
      <c r="K6555" s="12" t="s">
        <v>10746</v>
      </c>
      <c r="L6555" s="20">
        <v>0.43678160919540232</v>
      </c>
    </row>
    <row r="6556" spans="1:12" x14ac:dyDescent="0.45">
      <c r="A6556" s="12" t="s">
        <v>10684</v>
      </c>
      <c r="B6556" s="12" t="s">
        <v>1350</v>
      </c>
      <c r="C6556" s="13" t="s">
        <v>1351</v>
      </c>
      <c r="D6556" s="13" t="s">
        <v>1271</v>
      </c>
      <c r="E6556" s="12" t="s">
        <v>35</v>
      </c>
      <c r="F6556" s="14">
        <v>48000</v>
      </c>
      <c r="G6556" s="14">
        <v>33000</v>
      </c>
      <c r="H6556" s="13" t="s">
        <v>10747</v>
      </c>
      <c r="I6556" s="40" t="s">
        <v>18</v>
      </c>
      <c r="J6556" s="40" t="str">
        <f>HYPERLINK("https://stock.pstatic.net/stock-research/company/78/20251218_company_5358000.pdf","PDF")</f>
        <v>PDF</v>
      </c>
      <c r="K6556" s="12" t="s">
        <v>10748</v>
      </c>
      <c r="L6556" s="20">
        <v>0.45454545454545447</v>
      </c>
    </row>
    <row r="6557" spans="1:12" x14ac:dyDescent="0.45">
      <c r="A6557" s="12" t="s">
        <v>10684</v>
      </c>
      <c r="B6557" s="12" t="s">
        <v>3244</v>
      </c>
      <c r="C6557" s="13" t="s">
        <v>3245</v>
      </c>
      <c r="D6557" s="13" t="s">
        <v>1271</v>
      </c>
      <c r="E6557" s="12" t="s">
        <v>35</v>
      </c>
      <c r="F6557" s="14">
        <v>77000</v>
      </c>
      <c r="G6557" s="14">
        <v>56500</v>
      </c>
      <c r="H6557" s="13" t="s">
        <v>10749</v>
      </c>
      <c r="I6557" s="40" t="s">
        <v>18</v>
      </c>
      <c r="J6557" s="40" t="str">
        <f>HYPERLINK("https://stock.pstatic.net/stock-research/company/78/20251218_company_568011000.pdf","PDF")</f>
        <v>PDF</v>
      </c>
      <c r="K6557" s="12" t="s">
        <v>10750</v>
      </c>
      <c r="L6557" s="20">
        <v>0.36283185840707971</v>
      </c>
    </row>
    <row r="6558" spans="1:12" x14ac:dyDescent="0.45">
      <c r="A6558" s="12" t="s">
        <v>10684</v>
      </c>
      <c r="B6558" s="12" t="s">
        <v>1690</v>
      </c>
      <c r="C6558" s="13" t="s">
        <v>1691</v>
      </c>
      <c r="D6558" s="13" t="s">
        <v>1271</v>
      </c>
      <c r="E6558" s="12" t="s">
        <v>35</v>
      </c>
      <c r="F6558" s="14">
        <v>160000</v>
      </c>
      <c r="G6558" s="14">
        <v>112300</v>
      </c>
      <c r="H6558" s="13" t="s">
        <v>10751</v>
      </c>
      <c r="I6558" s="40" t="s">
        <v>18</v>
      </c>
      <c r="J6558" s="40" t="str">
        <f>HYPERLINK("https://stock.pstatic.net/stock-research/company/78/20251218_company_400492000.pdf","PDF")</f>
        <v>PDF</v>
      </c>
      <c r="K6558" s="12" t="s">
        <v>10752</v>
      </c>
      <c r="L6558" s="20">
        <v>0.42475512021371331</v>
      </c>
    </row>
    <row r="6559" spans="1:12" x14ac:dyDescent="0.45">
      <c r="A6559" s="12" t="s">
        <v>10684</v>
      </c>
      <c r="B6559" s="12" t="s">
        <v>259</v>
      </c>
      <c r="C6559" s="13" t="s">
        <v>260</v>
      </c>
      <c r="D6559" s="13" t="s">
        <v>1271</v>
      </c>
      <c r="E6559" s="12" t="s">
        <v>35</v>
      </c>
      <c r="F6559" s="14">
        <v>99000</v>
      </c>
      <c r="G6559" s="14">
        <v>68400</v>
      </c>
      <c r="H6559" s="13" t="s">
        <v>10753</v>
      </c>
      <c r="I6559" s="40" t="s">
        <v>18</v>
      </c>
      <c r="J6559" s="40" t="str">
        <f>HYPERLINK("https://stock.pstatic.net/stock-research/company/78/20251218_company_392647000.pdf","PDF")</f>
        <v>PDF</v>
      </c>
      <c r="K6559" s="12" t="s">
        <v>10754</v>
      </c>
      <c r="L6559" s="20">
        <v>0.44736842105263158</v>
      </c>
    </row>
    <row r="6560" spans="1:12" x14ac:dyDescent="0.45">
      <c r="A6560" s="12" t="s">
        <v>10684</v>
      </c>
      <c r="B6560" s="12" t="s">
        <v>3831</v>
      </c>
      <c r="C6560" s="13" t="s">
        <v>3832</v>
      </c>
      <c r="D6560" s="13" t="s">
        <v>1271</v>
      </c>
      <c r="E6560" s="12" t="s">
        <v>35</v>
      </c>
      <c r="F6560" s="14">
        <v>67000</v>
      </c>
      <c r="G6560" s="14">
        <v>52200</v>
      </c>
      <c r="H6560" s="13" t="s">
        <v>10755</v>
      </c>
      <c r="I6560" s="40" t="s">
        <v>18</v>
      </c>
      <c r="J6560" s="40" t="str">
        <f>HYPERLINK("https://stock.pstatic.net/stock-research/company/78/20251218_company_29023000.pdf","PDF")</f>
        <v>PDF</v>
      </c>
      <c r="K6560" s="12" t="s">
        <v>10756</v>
      </c>
      <c r="L6560" s="20">
        <v>0.28352490421455939</v>
      </c>
    </row>
    <row r="6561" spans="1:12" x14ac:dyDescent="0.45">
      <c r="A6561" s="12" t="s">
        <v>10757</v>
      </c>
      <c r="B6561" s="12" t="s">
        <v>10758</v>
      </c>
      <c r="C6561" s="13" t="s">
        <v>10759</v>
      </c>
      <c r="D6561" s="13" t="s">
        <v>57</v>
      </c>
      <c r="E6561" s="12" t="s">
        <v>50</v>
      </c>
      <c r="F6561" s="13"/>
      <c r="G6561" s="14">
        <v>6560</v>
      </c>
      <c r="H6561" s="13" t="s">
        <v>10760</v>
      </c>
      <c r="I6561" s="40" t="s">
        <v>18</v>
      </c>
      <c r="J6561" s="40" t="str">
        <f>HYPERLINK("https://stock.pstatic.net/stock-research/company/16/20251217_company_389213000.pdf","PDF")</f>
        <v>PDF</v>
      </c>
      <c r="K6561" s="12" t="s">
        <v>10761</v>
      </c>
    </row>
    <row r="6562" spans="1:12" x14ac:dyDescent="0.45">
      <c r="A6562" s="12" t="s">
        <v>10757</v>
      </c>
      <c r="B6562" s="12" t="s">
        <v>237</v>
      </c>
      <c r="C6562" s="13" t="s">
        <v>238</v>
      </c>
      <c r="D6562" s="13" t="s">
        <v>60</v>
      </c>
      <c r="E6562" s="12" t="s">
        <v>50</v>
      </c>
      <c r="F6562" s="13"/>
      <c r="G6562" s="14">
        <v>54300</v>
      </c>
      <c r="H6562" s="13" t="s">
        <v>10762</v>
      </c>
      <c r="I6562" s="40" t="s">
        <v>18</v>
      </c>
      <c r="J6562" s="40" t="str">
        <f>HYPERLINK("https://stock.pstatic.net/stock-research/company/34/20251217_company_106366000.pdf","PDF")</f>
        <v>PDF</v>
      </c>
      <c r="K6562" s="12" t="s">
        <v>10763</v>
      </c>
    </row>
    <row r="6563" spans="1:12" x14ac:dyDescent="0.45">
      <c r="A6563" s="12" t="s">
        <v>10757</v>
      </c>
      <c r="B6563" s="12" t="s">
        <v>533</v>
      </c>
      <c r="C6563" s="13" t="s">
        <v>534</v>
      </c>
      <c r="D6563" s="13" t="s">
        <v>65</v>
      </c>
      <c r="E6563" s="12" t="s">
        <v>35</v>
      </c>
      <c r="F6563" s="14">
        <v>70000</v>
      </c>
      <c r="G6563" s="14">
        <v>54200</v>
      </c>
      <c r="H6563" s="13" t="s">
        <v>10764</v>
      </c>
      <c r="I6563" s="40" t="s">
        <v>18</v>
      </c>
      <c r="J6563" s="40" t="str">
        <f>HYPERLINK("https://stock.pstatic.net/stock-research/company/57/20251217_company_721983000.pdf","PDF")</f>
        <v>PDF</v>
      </c>
      <c r="K6563" s="12" t="s">
        <v>10765</v>
      </c>
      <c r="L6563" s="20">
        <v>0.29151291512915128</v>
      </c>
    </row>
    <row r="6564" spans="1:12" x14ac:dyDescent="0.45">
      <c r="A6564" s="12" t="s">
        <v>10757</v>
      </c>
      <c r="B6564" s="12" t="s">
        <v>13</v>
      </c>
      <c r="C6564" s="13" t="s">
        <v>14</v>
      </c>
      <c r="D6564" s="13" t="s">
        <v>65</v>
      </c>
      <c r="E6564" s="12" t="s">
        <v>35</v>
      </c>
      <c r="F6564" s="14">
        <v>155000</v>
      </c>
      <c r="G6564" s="14">
        <v>102800</v>
      </c>
      <c r="H6564" s="13" t="s">
        <v>10766</v>
      </c>
      <c r="I6564" s="40" t="s">
        <v>18</v>
      </c>
      <c r="J6564" s="40" t="str">
        <f>HYPERLINK("https://stock.pstatic.net/stock-research/company/57/20251217_company_276559000.pdf","PDF")</f>
        <v>PDF</v>
      </c>
      <c r="K6564" s="12" t="s">
        <v>10767</v>
      </c>
      <c r="L6564" s="20">
        <v>0.50778210116731515</v>
      </c>
    </row>
    <row r="6565" spans="1:12" x14ac:dyDescent="0.45">
      <c r="A6565" s="12" t="s">
        <v>10757</v>
      </c>
      <c r="B6565" s="12" t="s">
        <v>1722</v>
      </c>
      <c r="C6565" s="13" t="s">
        <v>1723</v>
      </c>
      <c r="D6565" s="13" t="s">
        <v>158</v>
      </c>
      <c r="E6565" s="12" t="s">
        <v>50</v>
      </c>
      <c r="F6565" s="13"/>
      <c r="G6565" s="14">
        <v>6550</v>
      </c>
      <c r="H6565" s="13" t="s">
        <v>10768</v>
      </c>
      <c r="I6565" s="40" t="s">
        <v>18</v>
      </c>
      <c r="J6565" s="40" t="str">
        <f>HYPERLINK("https://stock.pstatic.net/stock-research/company/18/20251217_company_850145000.pdf","PDF")</f>
        <v>PDF</v>
      </c>
      <c r="K6565" s="12" t="s">
        <v>10769</v>
      </c>
    </row>
    <row r="6566" spans="1:12" x14ac:dyDescent="0.45">
      <c r="A6566" s="12" t="s">
        <v>10757</v>
      </c>
      <c r="B6566" s="12" t="s">
        <v>1734</v>
      </c>
      <c r="C6566" s="13" t="s">
        <v>1735</v>
      </c>
      <c r="D6566" s="13" t="s">
        <v>83</v>
      </c>
      <c r="E6566" s="12" t="s">
        <v>35</v>
      </c>
      <c r="F6566" s="14">
        <v>52000</v>
      </c>
      <c r="G6566" s="14">
        <v>41950</v>
      </c>
      <c r="H6566" s="13" t="s">
        <v>10770</v>
      </c>
      <c r="I6566" s="40" t="s">
        <v>18</v>
      </c>
      <c r="J6566" s="40" t="str">
        <f>HYPERLINK("https://stock.pstatic.net/stock-research/company/2/20251217_company_226553000.pdf","PDF")</f>
        <v>PDF</v>
      </c>
      <c r="K6566" s="12" t="s">
        <v>10771</v>
      </c>
      <c r="L6566" s="20">
        <v>0.2395709177592372</v>
      </c>
    </row>
    <row r="6567" spans="1:12" x14ac:dyDescent="0.45">
      <c r="A6567" s="12" t="s">
        <v>10757</v>
      </c>
      <c r="B6567" s="12" t="s">
        <v>13</v>
      </c>
      <c r="C6567" s="13" t="s">
        <v>14</v>
      </c>
      <c r="D6567" s="13" t="s">
        <v>83</v>
      </c>
      <c r="E6567" s="12" t="s">
        <v>35</v>
      </c>
      <c r="F6567" s="14">
        <v>140000</v>
      </c>
      <c r="G6567" s="14">
        <v>102800</v>
      </c>
      <c r="H6567" s="13" t="s">
        <v>10772</v>
      </c>
      <c r="I6567" s="40" t="s">
        <v>18</v>
      </c>
      <c r="J6567" s="40" t="str">
        <f>HYPERLINK("https://stock.pstatic.net/stock-research/company/2/20251217_company_254031000.pdf","PDF")</f>
        <v>PDF</v>
      </c>
      <c r="K6567" s="12" t="s">
        <v>10773</v>
      </c>
      <c r="L6567" s="20">
        <v>0.36186770428015558</v>
      </c>
    </row>
    <row r="6568" spans="1:12" x14ac:dyDescent="0.45">
      <c r="A6568" s="12" t="s">
        <v>10757</v>
      </c>
      <c r="B6568" s="12" t="s">
        <v>1120</v>
      </c>
      <c r="C6568" s="13" t="s">
        <v>1121</v>
      </c>
      <c r="D6568" s="13" t="s">
        <v>34</v>
      </c>
      <c r="E6568" s="12" t="s">
        <v>35</v>
      </c>
      <c r="F6568" s="14">
        <v>160000</v>
      </c>
      <c r="G6568" s="14">
        <v>105000</v>
      </c>
      <c r="H6568" s="13" t="s">
        <v>10774</v>
      </c>
      <c r="I6568" s="40" t="s">
        <v>18</v>
      </c>
      <c r="J6568" s="40" t="str">
        <f>HYPERLINK("https://stock.pstatic.net/stock-research/company/61/20251217_company_555880000.pdf","PDF")</f>
        <v>PDF</v>
      </c>
      <c r="K6568" s="12" t="s">
        <v>10775</v>
      </c>
      <c r="L6568" s="20">
        <v>0.52380952380952384</v>
      </c>
    </row>
    <row r="6569" spans="1:12" x14ac:dyDescent="0.45">
      <c r="A6569" s="12" t="s">
        <v>10757</v>
      </c>
      <c r="B6569" s="12" t="s">
        <v>10776</v>
      </c>
      <c r="C6569" s="13" t="s">
        <v>10777</v>
      </c>
      <c r="D6569" s="13" t="s">
        <v>23</v>
      </c>
      <c r="E6569" s="12" t="s">
        <v>16</v>
      </c>
      <c r="F6569" s="14">
        <v>41000</v>
      </c>
      <c r="G6569" s="14">
        <v>32100</v>
      </c>
      <c r="H6569" s="13" t="s">
        <v>10778</v>
      </c>
      <c r="I6569" s="40" t="s">
        <v>18</v>
      </c>
      <c r="J6569" s="40" t="str">
        <f>HYPERLINK("https://stock.pstatic.net/stock-research/company/21/20251217_company_243475000.pdf","PDF")</f>
        <v>PDF</v>
      </c>
      <c r="K6569" s="12" t="s">
        <v>10779</v>
      </c>
      <c r="L6569" s="20">
        <v>0.27725856697819312</v>
      </c>
    </row>
    <row r="6570" spans="1:12" x14ac:dyDescent="0.45">
      <c r="A6570" s="12" t="s">
        <v>10757</v>
      </c>
      <c r="B6570" s="12" t="s">
        <v>1120</v>
      </c>
      <c r="C6570" s="13" t="s">
        <v>1121</v>
      </c>
      <c r="D6570" s="13" t="s">
        <v>23</v>
      </c>
      <c r="E6570" s="12" t="s">
        <v>16</v>
      </c>
      <c r="F6570" s="14">
        <v>140000</v>
      </c>
      <c r="G6570" s="14">
        <v>105000</v>
      </c>
      <c r="H6570" s="13" t="s">
        <v>10780</v>
      </c>
      <c r="I6570" s="40" t="s">
        <v>18</v>
      </c>
      <c r="J6570" s="40" t="str">
        <f>HYPERLINK("https://stock.pstatic.net/stock-research/company/21/20251217_company_685335000.pdf","PDF")</f>
        <v>PDF</v>
      </c>
      <c r="K6570" s="12" t="s">
        <v>10781</v>
      </c>
      <c r="L6570" s="20">
        <v>0.33333333333333331</v>
      </c>
    </row>
    <row r="6571" spans="1:12" x14ac:dyDescent="0.45">
      <c r="A6571" s="12" t="s">
        <v>10757</v>
      </c>
      <c r="B6571" s="12" t="s">
        <v>237</v>
      </c>
      <c r="C6571" s="13" t="s">
        <v>238</v>
      </c>
      <c r="D6571" s="13" t="s">
        <v>23</v>
      </c>
      <c r="E6571" s="12" t="s">
        <v>50</v>
      </c>
      <c r="F6571" s="13"/>
      <c r="G6571" s="14">
        <v>54300</v>
      </c>
      <c r="H6571" s="13" t="s">
        <v>10782</v>
      </c>
      <c r="I6571" s="40" t="s">
        <v>18</v>
      </c>
      <c r="J6571" s="40" t="str">
        <f>HYPERLINK("https://stock.pstatic.net/stock-research/company/21/20251217_company_585964000.pdf","PDF")</f>
        <v>PDF</v>
      </c>
      <c r="K6571" s="12" t="s">
        <v>10783</v>
      </c>
    </row>
    <row r="6572" spans="1:12" x14ac:dyDescent="0.45">
      <c r="A6572" s="12" t="s">
        <v>10757</v>
      </c>
      <c r="B6572" s="12" t="s">
        <v>489</v>
      </c>
      <c r="C6572" s="13" t="s">
        <v>490</v>
      </c>
      <c r="D6572" s="13" t="s">
        <v>179</v>
      </c>
      <c r="E6572" s="12" t="s">
        <v>16</v>
      </c>
      <c r="F6572" s="14">
        <v>72000</v>
      </c>
      <c r="G6572" s="14">
        <v>49050</v>
      </c>
      <c r="H6572" s="13" t="s">
        <v>10784</v>
      </c>
      <c r="I6572" s="40" t="s">
        <v>18</v>
      </c>
      <c r="J6572" s="40" t="str">
        <f>HYPERLINK("https://stock.pstatic.net/stock-research/company/64/20251217_company_911969000.pdf","PDF")</f>
        <v>PDF</v>
      </c>
      <c r="K6572" s="12" t="s">
        <v>10785</v>
      </c>
      <c r="L6572" s="20">
        <v>0.46788990825688082</v>
      </c>
    </row>
    <row r="6573" spans="1:12" x14ac:dyDescent="0.45">
      <c r="A6573" s="12" t="s">
        <v>10757</v>
      </c>
      <c r="B6573" s="12" t="s">
        <v>1407</v>
      </c>
      <c r="C6573" s="13" t="s">
        <v>1408</v>
      </c>
      <c r="D6573" s="13" t="s">
        <v>44</v>
      </c>
      <c r="E6573" s="12" t="s">
        <v>35</v>
      </c>
      <c r="F6573" s="14">
        <v>69000</v>
      </c>
      <c r="G6573" s="14">
        <v>48250</v>
      </c>
      <c r="H6573" s="13" t="s">
        <v>10786</v>
      </c>
      <c r="I6573" s="40" t="s">
        <v>18</v>
      </c>
      <c r="J6573" s="40" t="str">
        <f>HYPERLINK("https://stock.pstatic.net/stock-research/company/39/20251217_company_549183000.pdf","PDF")</f>
        <v>PDF</v>
      </c>
      <c r="K6573" s="12" t="s">
        <v>10787</v>
      </c>
      <c r="L6573" s="20">
        <v>0.43005181347150262</v>
      </c>
    </row>
    <row r="6574" spans="1:12" x14ac:dyDescent="0.45">
      <c r="A6574" s="12" t="s">
        <v>10757</v>
      </c>
      <c r="B6574" s="12" t="s">
        <v>10788</v>
      </c>
      <c r="C6574" s="13" t="s">
        <v>10789</v>
      </c>
      <c r="D6574" s="13" t="s">
        <v>53</v>
      </c>
      <c r="E6574" s="12" t="s">
        <v>50</v>
      </c>
      <c r="F6574" s="13"/>
      <c r="G6574" s="14">
        <v>58600</v>
      </c>
      <c r="H6574" s="13" t="s">
        <v>10790</v>
      </c>
      <c r="I6574" s="40" t="s">
        <v>18</v>
      </c>
      <c r="J6574" s="40" t="str">
        <f>HYPERLINK("https://stock.pstatic.net/stock-research/company/40/20251217_company_585205000.pdf","PDF")</f>
        <v>PDF</v>
      </c>
      <c r="K6574" s="12" t="s">
        <v>10791</v>
      </c>
    </row>
    <row r="6575" spans="1:12" x14ac:dyDescent="0.45">
      <c r="A6575" s="12" t="s">
        <v>10757</v>
      </c>
      <c r="B6575" s="12" t="s">
        <v>10792</v>
      </c>
      <c r="C6575" s="13" t="s">
        <v>10793</v>
      </c>
      <c r="D6575" s="13" t="s">
        <v>124</v>
      </c>
      <c r="E6575" s="12" t="s">
        <v>50</v>
      </c>
      <c r="F6575" s="13"/>
      <c r="G6575" s="13"/>
      <c r="H6575" s="13" t="s">
        <v>10794</v>
      </c>
      <c r="I6575" s="40" t="s">
        <v>18</v>
      </c>
      <c r="J6575" s="40" t="str">
        <f>HYPERLINK("https://stock.pstatic.net/stock-research/company/74/20251217_company_817803000.pdf","PDF")</f>
        <v>PDF</v>
      </c>
      <c r="K6575" s="12" t="s">
        <v>10795</v>
      </c>
    </row>
    <row r="6576" spans="1:12" x14ac:dyDescent="0.45">
      <c r="A6576" s="12" t="s">
        <v>10757</v>
      </c>
      <c r="B6576" s="12" t="s">
        <v>10796</v>
      </c>
      <c r="C6576" s="13" t="s">
        <v>10797</v>
      </c>
      <c r="D6576" s="13" t="s">
        <v>124</v>
      </c>
      <c r="E6576" s="12" t="s">
        <v>50</v>
      </c>
      <c r="F6576" s="13"/>
      <c r="G6576" s="13"/>
      <c r="H6576" s="13" t="s">
        <v>10798</v>
      </c>
      <c r="I6576" s="40" t="s">
        <v>18</v>
      </c>
      <c r="J6576" s="40" t="str">
        <f>HYPERLINK("https://stock.pstatic.net/stock-research/company/74/20251217_company_316922000.pdf","PDF")</f>
        <v>PDF</v>
      </c>
      <c r="K6576" s="12" t="s">
        <v>10799</v>
      </c>
    </row>
    <row r="6577" spans="1:12" x14ac:dyDescent="0.45">
      <c r="A6577" s="12" t="s">
        <v>10800</v>
      </c>
      <c r="B6577" s="12" t="s">
        <v>577</v>
      </c>
      <c r="C6577" s="13" t="s">
        <v>578</v>
      </c>
      <c r="D6577" s="13" t="s">
        <v>57</v>
      </c>
      <c r="E6577" s="12" t="s">
        <v>35</v>
      </c>
      <c r="F6577" s="14">
        <v>440000</v>
      </c>
      <c r="G6577" s="14">
        <v>364500</v>
      </c>
      <c r="H6577" s="13" t="s">
        <v>10801</v>
      </c>
      <c r="I6577" s="40" t="s">
        <v>18</v>
      </c>
      <c r="J6577" s="40" t="str">
        <f>HYPERLINK("https://stock.pstatic.net/stock-research/company/16/20251216_company_44649000.pdf","PDF")</f>
        <v>PDF</v>
      </c>
      <c r="K6577" s="12" t="s">
        <v>10802</v>
      </c>
      <c r="L6577" s="20">
        <v>0.2071330589849108</v>
      </c>
    </row>
    <row r="6578" spans="1:12" x14ac:dyDescent="0.45">
      <c r="A6578" s="12" t="s">
        <v>10800</v>
      </c>
      <c r="B6578" s="12" t="s">
        <v>1286</v>
      </c>
      <c r="C6578" s="13" t="s">
        <v>1287</v>
      </c>
      <c r="D6578" s="13" t="s">
        <v>57</v>
      </c>
      <c r="E6578" s="12" t="s">
        <v>35</v>
      </c>
      <c r="F6578" s="14">
        <v>52000</v>
      </c>
      <c r="G6578" s="14">
        <v>43550</v>
      </c>
      <c r="H6578" s="13" t="s">
        <v>10803</v>
      </c>
      <c r="I6578" s="40" t="s">
        <v>18</v>
      </c>
      <c r="J6578" s="40" t="str">
        <f>HYPERLINK("https://stock.pstatic.net/stock-research/company/16/20251216_company_915514000.pdf","PDF")</f>
        <v>PDF</v>
      </c>
      <c r="K6578" s="12" t="s">
        <v>10804</v>
      </c>
      <c r="L6578" s="20">
        <v>0.19402985074626869</v>
      </c>
    </row>
    <row r="6579" spans="1:12" x14ac:dyDescent="0.45">
      <c r="A6579" s="12" t="s">
        <v>10800</v>
      </c>
      <c r="B6579" s="12" t="s">
        <v>3488</v>
      </c>
      <c r="C6579" s="13" t="s">
        <v>3489</v>
      </c>
      <c r="D6579" s="13" t="s">
        <v>83</v>
      </c>
      <c r="E6579" s="12" t="s">
        <v>35</v>
      </c>
      <c r="F6579" s="14">
        <v>37000</v>
      </c>
      <c r="G6579" s="14">
        <v>27400</v>
      </c>
      <c r="H6579" s="13" t="s">
        <v>10805</v>
      </c>
      <c r="I6579" s="40" t="s">
        <v>18</v>
      </c>
      <c r="J6579" s="40" t="str">
        <f>HYPERLINK("https://stock.pstatic.net/stock-research/company/2/20251216_company_210320000.pdf","PDF")</f>
        <v>PDF</v>
      </c>
      <c r="K6579" s="12" t="s">
        <v>10806</v>
      </c>
      <c r="L6579" s="20">
        <v>0.35036496350364971</v>
      </c>
    </row>
    <row r="6580" spans="1:12" x14ac:dyDescent="0.45">
      <c r="A6580" s="12" t="s">
        <v>10800</v>
      </c>
      <c r="B6580" s="12" t="s">
        <v>10807</v>
      </c>
      <c r="C6580" s="13" t="s">
        <v>10808</v>
      </c>
      <c r="D6580" s="13" t="s">
        <v>34</v>
      </c>
      <c r="E6580" s="12" t="s">
        <v>50</v>
      </c>
      <c r="F6580" s="13"/>
      <c r="G6580" s="14">
        <v>1731</v>
      </c>
      <c r="H6580" s="13" t="s">
        <v>10809</v>
      </c>
      <c r="I6580" s="40" t="s">
        <v>18</v>
      </c>
      <c r="J6580" s="40" t="str">
        <f>HYPERLINK("https://stock.pstatic.net/stock-research/company/61/20251216_company_569655000.pdf","PDF")</f>
        <v>PDF</v>
      </c>
      <c r="K6580" s="12" t="s">
        <v>10810</v>
      </c>
    </row>
    <row r="6581" spans="1:12" x14ac:dyDescent="0.45">
      <c r="A6581" s="12" t="s">
        <v>10800</v>
      </c>
      <c r="B6581" s="12" t="s">
        <v>2576</v>
      </c>
      <c r="C6581" s="13" t="s">
        <v>2577</v>
      </c>
      <c r="D6581" s="13" t="s">
        <v>23</v>
      </c>
      <c r="E6581" s="12" t="s">
        <v>35</v>
      </c>
      <c r="F6581" s="14">
        <v>925000</v>
      </c>
      <c r="G6581" s="14">
        <v>1592000</v>
      </c>
      <c r="H6581" s="13" t="s">
        <v>10811</v>
      </c>
      <c r="I6581" s="40" t="s">
        <v>18</v>
      </c>
      <c r="J6581" s="40" t="str">
        <f>HYPERLINK("https://stock.pstatic.net/stock-research/company/21/20251216_company_949122000.pdf","PDF")</f>
        <v>PDF</v>
      </c>
      <c r="K6581" s="12" t="s">
        <v>10812</v>
      </c>
      <c r="L6581" s="20">
        <v>-0.41896984924623121</v>
      </c>
    </row>
    <row r="6582" spans="1:12" x14ac:dyDescent="0.45">
      <c r="A6582" s="12" t="s">
        <v>10800</v>
      </c>
      <c r="B6582" s="12" t="s">
        <v>5988</v>
      </c>
      <c r="C6582" s="13" t="s">
        <v>5989</v>
      </c>
      <c r="D6582" s="13" t="s">
        <v>92</v>
      </c>
      <c r="E6582" s="12" t="s">
        <v>50</v>
      </c>
      <c r="F6582" s="13"/>
      <c r="G6582" s="14">
        <v>2270</v>
      </c>
      <c r="H6582" s="13" t="s">
        <v>10813</v>
      </c>
      <c r="I6582" s="40" t="s">
        <v>18</v>
      </c>
      <c r="J6582" s="40" t="str">
        <f>HYPERLINK("https://stock.pstatic.net/stock-research/company/63/20251216_company_596247000.pdf","PDF")</f>
        <v>PDF</v>
      </c>
      <c r="K6582" s="12" t="s">
        <v>10814</v>
      </c>
    </row>
    <row r="6583" spans="1:12" x14ac:dyDescent="0.45">
      <c r="A6583" s="12" t="s">
        <v>10800</v>
      </c>
      <c r="B6583" s="12" t="s">
        <v>38</v>
      </c>
      <c r="C6583" s="13" t="s">
        <v>39</v>
      </c>
      <c r="D6583" s="13" t="s">
        <v>34</v>
      </c>
      <c r="E6583" s="12" t="s">
        <v>35</v>
      </c>
      <c r="F6583" s="14">
        <v>300000</v>
      </c>
      <c r="G6583" s="14">
        <v>211500</v>
      </c>
      <c r="H6583" s="13" t="s">
        <v>10815</v>
      </c>
      <c r="I6583" s="40" t="s">
        <v>18</v>
      </c>
      <c r="J6583" s="40" t="str">
        <f>HYPERLINK("https://stock.pstatic.net/stock-research/company/61/20251216_company_590457000.pdf","PDF")</f>
        <v>PDF</v>
      </c>
      <c r="K6583" s="12" t="s">
        <v>10816</v>
      </c>
      <c r="L6583" s="20">
        <v>0.41843971631205668</v>
      </c>
    </row>
    <row r="6584" spans="1:12" x14ac:dyDescent="0.45">
      <c r="A6584" s="12" t="s">
        <v>10800</v>
      </c>
      <c r="B6584" s="12" t="s">
        <v>10817</v>
      </c>
      <c r="C6584" s="13" t="s">
        <v>10818</v>
      </c>
      <c r="D6584" s="13" t="s">
        <v>23</v>
      </c>
      <c r="E6584" s="12" t="s">
        <v>50</v>
      </c>
      <c r="F6584" s="13"/>
      <c r="G6584" s="14">
        <v>5460</v>
      </c>
      <c r="H6584" s="13" t="s">
        <v>10819</v>
      </c>
      <c r="I6584" s="40" t="s">
        <v>18</v>
      </c>
      <c r="J6584" s="40" t="str">
        <f>HYPERLINK("https://stock.pstatic.net/stock-research/company/21/20251216_company_809114000.pdf","PDF")</f>
        <v>PDF</v>
      </c>
      <c r="K6584" s="12" t="s">
        <v>10820</v>
      </c>
    </row>
    <row r="6585" spans="1:12" x14ac:dyDescent="0.45">
      <c r="A6585" s="12" t="s">
        <v>10800</v>
      </c>
      <c r="B6585" s="12" t="s">
        <v>740</v>
      </c>
      <c r="C6585" s="13" t="s">
        <v>741</v>
      </c>
      <c r="D6585" s="13" t="s">
        <v>53</v>
      </c>
      <c r="E6585" s="12" t="s">
        <v>16</v>
      </c>
      <c r="F6585" s="14">
        <v>350000</v>
      </c>
      <c r="G6585" s="14">
        <v>287500</v>
      </c>
      <c r="H6585" s="13" t="s">
        <v>10821</v>
      </c>
      <c r="I6585" s="40" t="s">
        <v>18</v>
      </c>
      <c r="J6585" s="40" t="str">
        <f>HYPERLINK("https://stock.pstatic.net/stock-research/company/40/20251216_company_580422000.pdf","PDF")</f>
        <v>PDF</v>
      </c>
      <c r="K6585" s="12" t="s">
        <v>10822</v>
      </c>
      <c r="L6585" s="20">
        <v>0.21739130434782611</v>
      </c>
    </row>
    <row r="6586" spans="1:12" x14ac:dyDescent="0.45">
      <c r="A6586" s="12" t="s">
        <v>10800</v>
      </c>
      <c r="B6586" s="12" t="s">
        <v>48</v>
      </c>
      <c r="C6586" s="13" t="s">
        <v>49</v>
      </c>
      <c r="D6586" s="13" t="s">
        <v>44</v>
      </c>
      <c r="E6586" s="12" t="s">
        <v>50</v>
      </c>
      <c r="F6586" s="13"/>
      <c r="G6586" s="14">
        <v>16000</v>
      </c>
      <c r="H6586" s="13" t="s">
        <v>10823</v>
      </c>
      <c r="I6586" s="40" t="s">
        <v>18</v>
      </c>
      <c r="J6586" s="40" t="str">
        <f>HYPERLINK("https://stock.pstatic.net/stock-research/company/39/20251216_company_828187000.pdf","PDF")</f>
        <v>PDF</v>
      </c>
      <c r="K6586" s="12" t="s">
        <v>10824</v>
      </c>
    </row>
    <row r="6587" spans="1:12" x14ac:dyDescent="0.45">
      <c r="A6587" s="12" t="s">
        <v>10800</v>
      </c>
      <c r="B6587" s="12" t="s">
        <v>4466</v>
      </c>
      <c r="C6587" s="13" t="s">
        <v>4467</v>
      </c>
      <c r="D6587" s="13" t="s">
        <v>44</v>
      </c>
      <c r="E6587" s="12" t="s">
        <v>50</v>
      </c>
      <c r="F6587" s="13"/>
      <c r="G6587" s="14">
        <v>1830</v>
      </c>
      <c r="H6587" s="13" t="s">
        <v>10825</v>
      </c>
      <c r="I6587" s="40" t="s">
        <v>18</v>
      </c>
      <c r="J6587" s="40" t="str">
        <f>HYPERLINK("https://stock.pstatic.net/stock-research/company/39/20251216_company_977014000.pdf","PDF")</f>
        <v>PDF</v>
      </c>
      <c r="K6587" s="12" t="s">
        <v>10826</v>
      </c>
    </row>
    <row r="6588" spans="1:12" x14ac:dyDescent="0.45">
      <c r="A6588" s="12" t="s">
        <v>10800</v>
      </c>
      <c r="B6588" s="12" t="s">
        <v>2550</v>
      </c>
      <c r="C6588" s="13" t="s">
        <v>2551</v>
      </c>
      <c r="D6588" s="13" t="s">
        <v>124</v>
      </c>
      <c r="E6588" s="12" t="s">
        <v>50</v>
      </c>
      <c r="F6588" s="13"/>
      <c r="G6588" s="13"/>
      <c r="H6588" s="13" t="s">
        <v>10827</v>
      </c>
      <c r="I6588" s="40" t="s">
        <v>18</v>
      </c>
      <c r="J6588" s="40" t="str">
        <f>HYPERLINK("https://stock.pstatic.net/stock-research/company/74/20251216_company_607709000.pdf","PDF")</f>
        <v>PDF</v>
      </c>
      <c r="K6588" s="12" t="s">
        <v>10828</v>
      </c>
    </row>
    <row r="6589" spans="1:12" x14ac:dyDescent="0.45">
      <c r="A6589" s="12" t="s">
        <v>10800</v>
      </c>
      <c r="B6589" s="12" t="s">
        <v>10829</v>
      </c>
      <c r="C6589" s="13" t="s">
        <v>10830</v>
      </c>
      <c r="D6589" s="13" t="s">
        <v>124</v>
      </c>
      <c r="E6589" s="12" t="s">
        <v>50</v>
      </c>
      <c r="F6589" s="13"/>
      <c r="G6589" s="13"/>
      <c r="H6589" s="13" t="s">
        <v>10831</v>
      </c>
      <c r="I6589" s="40" t="s">
        <v>18</v>
      </c>
      <c r="J6589" s="40" t="str">
        <f>HYPERLINK("https://stock.pstatic.net/stock-research/company/74/20251216_company_600081000.pdf","PDF")</f>
        <v>PDF</v>
      </c>
      <c r="K6589" s="12" t="s">
        <v>10832</v>
      </c>
    </row>
    <row r="6590" spans="1:12" x14ac:dyDescent="0.45">
      <c r="A6590" s="12" t="s">
        <v>10800</v>
      </c>
      <c r="B6590" s="12" t="s">
        <v>110</v>
      </c>
      <c r="C6590" s="13" t="s">
        <v>111</v>
      </c>
      <c r="D6590" s="13" t="s">
        <v>124</v>
      </c>
      <c r="E6590" s="12" t="s">
        <v>50</v>
      </c>
      <c r="F6590" s="13"/>
      <c r="G6590" s="13"/>
      <c r="H6590" s="13" t="s">
        <v>10833</v>
      </c>
      <c r="I6590" s="40" t="s">
        <v>18</v>
      </c>
      <c r="J6590" s="40" t="str">
        <f>HYPERLINK("https://stock.pstatic.net/stock-research/company/74/20251216_company_709881000.pdf","PDF")</f>
        <v>PDF</v>
      </c>
      <c r="K6590" s="12" t="s">
        <v>10834</v>
      </c>
    </row>
    <row r="6591" spans="1:12" x14ac:dyDescent="0.45">
      <c r="A6591" s="12" t="s">
        <v>10800</v>
      </c>
      <c r="B6591" s="12" t="s">
        <v>1087</v>
      </c>
      <c r="C6591" s="13" t="s">
        <v>1088</v>
      </c>
      <c r="D6591" s="13" t="s">
        <v>124</v>
      </c>
      <c r="E6591" s="12" t="s">
        <v>50</v>
      </c>
      <c r="F6591" s="13"/>
      <c r="G6591" s="13"/>
      <c r="H6591" s="13" t="s">
        <v>10835</v>
      </c>
      <c r="I6591" s="40" t="s">
        <v>18</v>
      </c>
      <c r="J6591" s="40" t="str">
        <f>HYPERLINK("https://stock.pstatic.net/stock-research/company/74/20251216_company_358640000.pdf","PDF")</f>
        <v>PDF</v>
      </c>
      <c r="K6591" s="12" t="s">
        <v>10836</v>
      </c>
    </row>
    <row r="6592" spans="1:12" x14ac:dyDescent="0.45">
      <c r="A6592" s="12" t="s">
        <v>10800</v>
      </c>
      <c r="B6592" s="12" t="s">
        <v>32</v>
      </c>
      <c r="C6592" s="13" t="s">
        <v>33</v>
      </c>
      <c r="D6592" s="13" t="s">
        <v>853</v>
      </c>
      <c r="E6592" s="12" t="s">
        <v>35</v>
      </c>
      <c r="F6592" s="14">
        <v>310000</v>
      </c>
      <c r="G6592" s="14">
        <v>263000</v>
      </c>
      <c r="H6592" s="13" t="s">
        <v>10837</v>
      </c>
      <c r="I6592" s="40" t="s">
        <v>18</v>
      </c>
      <c r="J6592" s="40" t="str">
        <f>HYPERLINK("https://stock.pstatic.net/stock-research/company/17/20251216_company_363162000.pdf","PDF")</f>
        <v>PDF</v>
      </c>
      <c r="K6592" s="12" t="s">
        <v>10838</v>
      </c>
      <c r="L6592" s="20">
        <v>0.17870722433460079</v>
      </c>
    </row>
    <row r="6593" spans="1:12" x14ac:dyDescent="0.45">
      <c r="A6593" s="12" t="s">
        <v>10839</v>
      </c>
      <c r="B6593" s="12" t="s">
        <v>3244</v>
      </c>
      <c r="C6593" s="13" t="s">
        <v>3245</v>
      </c>
      <c r="D6593" s="13" t="s">
        <v>57</v>
      </c>
      <c r="E6593" s="12" t="s">
        <v>35</v>
      </c>
      <c r="F6593" s="14">
        <v>80000</v>
      </c>
      <c r="G6593" s="14">
        <v>62300</v>
      </c>
      <c r="H6593" s="13" t="s">
        <v>10840</v>
      </c>
      <c r="I6593" s="40" t="s">
        <v>18</v>
      </c>
      <c r="J6593" s="40" t="str">
        <f>HYPERLINK("https://stock.pstatic.net/stock-research/company/16/20251215_company_227713000.pdf","PDF")</f>
        <v>PDF</v>
      </c>
      <c r="K6593" s="12" t="s">
        <v>10841</v>
      </c>
      <c r="L6593" s="20">
        <v>0.2841091492776886</v>
      </c>
    </row>
    <row r="6594" spans="1:12" x14ac:dyDescent="0.45">
      <c r="A6594" s="12" t="s">
        <v>10839</v>
      </c>
      <c r="B6594" s="12" t="s">
        <v>1656</v>
      </c>
      <c r="C6594" s="13" t="s">
        <v>1657</v>
      </c>
      <c r="D6594" s="13" t="s">
        <v>57</v>
      </c>
      <c r="E6594" s="12" t="s">
        <v>35</v>
      </c>
      <c r="F6594" s="14">
        <v>330000</v>
      </c>
      <c r="G6594" s="14">
        <v>256000</v>
      </c>
      <c r="H6594" s="13" t="s">
        <v>10842</v>
      </c>
      <c r="I6594" s="40" t="s">
        <v>18</v>
      </c>
      <c r="J6594" s="40" t="str">
        <f>HYPERLINK("https://stock.pstatic.net/stock-research/company/16/20251215_company_587654000.pdf","PDF")</f>
        <v>PDF</v>
      </c>
      <c r="K6594" s="12" t="s">
        <v>10843</v>
      </c>
      <c r="L6594" s="20">
        <v>0.2890625</v>
      </c>
    </row>
    <row r="6595" spans="1:12" x14ac:dyDescent="0.45">
      <c r="A6595" s="12" t="s">
        <v>10839</v>
      </c>
      <c r="B6595" s="12" t="s">
        <v>1660</v>
      </c>
      <c r="C6595" s="13" t="s">
        <v>1661</v>
      </c>
      <c r="D6595" s="13" t="s">
        <v>276</v>
      </c>
      <c r="E6595" s="12" t="s">
        <v>16</v>
      </c>
      <c r="F6595" s="14">
        <v>60000</v>
      </c>
      <c r="G6595" s="14">
        <v>38950</v>
      </c>
      <c r="H6595" s="13" t="s">
        <v>10844</v>
      </c>
      <c r="I6595" s="40" t="s">
        <v>18</v>
      </c>
      <c r="J6595" s="40" t="str">
        <f>HYPERLINK("https://stock.pstatic.net/stock-research/company/66/20251215_company_813997000.pdf","PDF")</f>
        <v>PDF</v>
      </c>
      <c r="K6595" s="12" t="s">
        <v>10845</v>
      </c>
      <c r="L6595" s="20">
        <v>0.54043645699614895</v>
      </c>
    </row>
    <row r="6596" spans="1:12" x14ac:dyDescent="0.45">
      <c r="A6596" s="12" t="s">
        <v>10839</v>
      </c>
      <c r="B6596" s="12" t="s">
        <v>3708</v>
      </c>
      <c r="C6596" s="13" t="s">
        <v>3709</v>
      </c>
      <c r="D6596" s="13" t="s">
        <v>60</v>
      </c>
      <c r="E6596" s="12" t="s">
        <v>50</v>
      </c>
      <c r="F6596" s="13"/>
      <c r="G6596" s="13"/>
      <c r="H6596" s="13" t="s">
        <v>10846</v>
      </c>
      <c r="I6596" s="40" t="s">
        <v>18</v>
      </c>
      <c r="J6596" s="40" t="str">
        <f>HYPERLINK("https://stock.pstatic.net/stock-research/company/34/20251215_company_334564000.pdf","PDF")</f>
        <v>PDF</v>
      </c>
      <c r="K6596" s="12" t="s">
        <v>10847</v>
      </c>
    </row>
    <row r="6597" spans="1:12" x14ac:dyDescent="0.45">
      <c r="A6597" s="12" t="s">
        <v>10839</v>
      </c>
      <c r="B6597" s="12" t="s">
        <v>10848</v>
      </c>
      <c r="C6597" s="13" t="s">
        <v>10849</v>
      </c>
      <c r="D6597" s="13" t="s">
        <v>60</v>
      </c>
      <c r="E6597" s="12" t="s">
        <v>50</v>
      </c>
      <c r="F6597" s="13"/>
      <c r="G6597" s="13"/>
      <c r="H6597" s="13" t="s">
        <v>10850</v>
      </c>
      <c r="I6597" s="40" t="s">
        <v>18</v>
      </c>
      <c r="J6597" s="40" t="str">
        <f>HYPERLINK("https://stock.pstatic.net/stock-research/company/34/20251215_company_925018000.pdf","PDF")</f>
        <v>PDF</v>
      </c>
      <c r="K6597" s="12" t="s">
        <v>10851</v>
      </c>
    </row>
    <row r="6598" spans="1:12" x14ac:dyDescent="0.45">
      <c r="A6598" s="12" t="s">
        <v>10839</v>
      </c>
      <c r="B6598" s="12" t="s">
        <v>10852</v>
      </c>
      <c r="C6598" s="13" t="s">
        <v>10853</v>
      </c>
      <c r="D6598" s="13" t="s">
        <v>65</v>
      </c>
      <c r="E6598" s="12" t="s">
        <v>50</v>
      </c>
      <c r="F6598" s="13"/>
      <c r="G6598" s="14">
        <v>23700</v>
      </c>
      <c r="H6598" s="13" t="s">
        <v>10854</v>
      </c>
      <c r="I6598" s="40" t="s">
        <v>18</v>
      </c>
      <c r="J6598" s="40" t="str">
        <f>HYPERLINK("https://stock.pstatic.net/stock-research/company/57/20251215_company_640553000.pdf","PDF")</f>
        <v>PDF</v>
      </c>
      <c r="K6598" s="12" t="s">
        <v>10855</v>
      </c>
    </row>
    <row r="6599" spans="1:12" x14ac:dyDescent="0.45">
      <c r="A6599" s="12" t="s">
        <v>10839</v>
      </c>
      <c r="B6599" s="12" t="s">
        <v>268</v>
      </c>
      <c r="C6599" s="13" t="s">
        <v>269</v>
      </c>
      <c r="D6599" s="13" t="s">
        <v>65</v>
      </c>
      <c r="E6599" s="12" t="s">
        <v>35</v>
      </c>
      <c r="F6599" s="14">
        <v>640000</v>
      </c>
      <c r="G6599" s="14">
        <v>433000</v>
      </c>
      <c r="H6599" s="13" t="s">
        <v>10856</v>
      </c>
      <c r="I6599" s="40" t="s">
        <v>18</v>
      </c>
      <c r="J6599" s="40" t="str">
        <f>HYPERLINK("https://stock.pstatic.net/stock-research/company/57/20251215_company_564257000.pdf","PDF")</f>
        <v>PDF</v>
      </c>
      <c r="K6599" s="12" t="s">
        <v>10857</v>
      </c>
      <c r="L6599" s="20">
        <v>0.47806004618937642</v>
      </c>
    </row>
    <row r="6600" spans="1:12" x14ac:dyDescent="0.45">
      <c r="A6600" s="12" t="s">
        <v>10839</v>
      </c>
      <c r="B6600" s="12" t="s">
        <v>2089</v>
      </c>
      <c r="C6600" s="13" t="s">
        <v>2090</v>
      </c>
      <c r="D6600" s="13" t="s">
        <v>65</v>
      </c>
      <c r="E6600" s="12" t="s">
        <v>35</v>
      </c>
      <c r="F6600" s="14">
        <v>110000</v>
      </c>
      <c r="G6600" s="14">
        <v>81600</v>
      </c>
      <c r="H6600" s="13" t="s">
        <v>10858</v>
      </c>
      <c r="I6600" s="40" t="s">
        <v>18</v>
      </c>
      <c r="J6600" s="40" t="str">
        <f>HYPERLINK("https://stock.pstatic.net/stock-research/company/57/20251215_company_516933000.pdf","PDF")</f>
        <v>PDF</v>
      </c>
      <c r="K6600" s="12" t="s">
        <v>10859</v>
      </c>
      <c r="L6600" s="20">
        <v>0.34803921568627449</v>
      </c>
    </row>
    <row r="6601" spans="1:12" x14ac:dyDescent="0.45">
      <c r="A6601" s="12" t="s">
        <v>10839</v>
      </c>
      <c r="B6601" s="12" t="s">
        <v>10852</v>
      </c>
      <c r="C6601" s="13" t="s">
        <v>10853</v>
      </c>
      <c r="D6601" s="13" t="s">
        <v>179</v>
      </c>
      <c r="E6601" s="12" t="s">
        <v>50</v>
      </c>
      <c r="F6601" s="13"/>
      <c r="G6601" s="14">
        <v>23700</v>
      </c>
      <c r="H6601" s="13" t="s">
        <v>10860</v>
      </c>
      <c r="I6601" s="40" t="s">
        <v>18</v>
      </c>
      <c r="J6601" s="40" t="str">
        <f>HYPERLINK("https://stock.pstatic.net/stock-research/company/64/20251215_company_222532000.pdf","PDF")</f>
        <v>PDF</v>
      </c>
      <c r="K6601" s="12" t="s">
        <v>10861</v>
      </c>
    </row>
    <row r="6602" spans="1:12" x14ac:dyDescent="0.45">
      <c r="A6602" s="12" t="s">
        <v>10839</v>
      </c>
      <c r="B6602" s="12" t="s">
        <v>128</v>
      </c>
      <c r="C6602" s="13" t="s">
        <v>129</v>
      </c>
      <c r="D6602" s="13" t="s">
        <v>34</v>
      </c>
      <c r="E6602" s="12" t="s">
        <v>50</v>
      </c>
      <c r="F6602" s="13"/>
      <c r="G6602" s="14">
        <v>32400</v>
      </c>
      <c r="H6602" s="13" t="s">
        <v>10862</v>
      </c>
      <c r="I6602" s="40" t="s">
        <v>18</v>
      </c>
      <c r="J6602" s="40" t="str">
        <f>HYPERLINK("https://stock.pstatic.net/stock-research/company/61/20260205_company_81626000.pdf","PDF")</f>
        <v>PDF</v>
      </c>
      <c r="K6602" s="12" t="s">
        <v>10863</v>
      </c>
    </row>
    <row r="6603" spans="1:12" x14ac:dyDescent="0.45">
      <c r="A6603" s="12" t="s">
        <v>10839</v>
      </c>
      <c r="B6603" s="12" t="s">
        <v>10864</v>
      </c>
      <c r="C6603" s="13" t="s">
        <v>10865</v>
      </c>
      <c r="D6603" s="13" t="s">
        <v>53</v>
      </c>
      <c r="E6603" s="12" t="s">
        <v>50</v>
      </c>
      <c r="F6603" s="13"/>
      <c r="G6603" s="14">
        <v>1110</v>
      </c>
      <c r="H6603" s="13" t="s">
        <v>10866</v>
      </c>
      <c r="I6603" s="40" t="s">
        <v>18</v>
      </c>
      <c r="J6603" s="40" t="str">
        <f>HYPERLINK("https://stock.pstatic.net/stock-research/company/40/20251215_company_538810000.pdf","PDF")</f>
        <v>PDF</v>
      </c>
      <c r="K6603" s="12" t="s">
        <v>10867</v>
      </c>
    </row>
    <row r="6604" spans="1:12" x14ac:dyDescent="0.45">
      <c r="A6604" s="12" t="s">
        <v>10839</v>
      </c>
      <c r="B6604" s="12" t="s">
        <v>10868</v>
      </c>
      <c r="C6604" s="13" t="s">
        <v>10869</v>
      </c>
      <c r="D6604" s="13" t="s">
        <v>23</v>
      </c>
      <c r="E6604" s="12" t="s">
        <v>50</v>
      </c>
      <c r="F6604" s="13"/>
      <c r="G6604" s="14">
        <v>119900</v>
      </c>
      <c r="H6604" s="13" t="s">
        <v>9018</v>
      </c>
      <c r="I6604" s="40" t="s">
        <v>18</v>
      </c>
      <c r="J6604" s="40" t="str">
        <f>HYPERLINK("https://stock.pstatic.net/stock-research/company/21/20251215_company_710725000.pdf","PDF")</f>
        <v>PDF</v>
      </c>
      <c r="K6604" s="12" t="s">
        <v>10870</v>
      </c>
    </row>
    <row r="6605" spans="1:12" x14ac:dyDescent="0.45">
      <c r="A6605" s="12" t="s">
        <v>10839</v>
      </c>
      <c r="B6605" s="12" t="s">
        <v>10871</v>
      </c>
      <c r="C6605" s="13" t="s">
        <v>10872</v>
      </c>
      <c r="D6605" s="13" t="s">
        <v>124</v>
      </c>
      <c r="E6605" s="12" t="s">
        <v>50</v>
      </c>
      <c r="F6605" s="13"/>
      <c r="G6605" s="13"/>
      <c r="H6605" s="13" t="s">
        <v>10873</v>
      </c>
      <c r="I6605" s="40" t="s">
        <v>18</v>
      </c>
      <c r="J6605" s="40" t="str">
        <f>HYPERLINK("https://stock.pstatic.net/stock-research/company/74/20251215_company_192431000.pdf","PDF")</f>
        <v>PDF</v>
      </c>
      <c r="K6605" s="12" t="s">
        <v>10874</v>
      </c>
    </row>
    <row r="6606" spans="1:12" x14ac:dyDescent="0.45">
      <c r="A6606" s="12" t="s">
        <v>10839</v>
      </c>
      <c r="B6606" s="12" t="s">
        <v>4214</v>
      </c>
      <c r="C6606" s="13" t="s">
        <v>4215</v>
      </c>
      <c r="D6606" s="13" t="s">
        <v>15</v>
      </c>
      <c r="E6606" s="12" t="s">
        <v>50</v>
      </c>
      <c r="F6606" s="13"/>
      <c r="G6606" s="14">
        <v>65200</v>
      </c>
      <c r="H6606" s="13" t="s">
        <v>10875</v>
      </c>
      <c r="I6606" s="40" t="s">
        <v>18</v>
      </c>
      <c r="J6606" s="40" t="str">
        <f>HYPERLINK("https://stock.pstatic.net/stock-research/company/29/20251215_company_286795000.pdf","PDF")</f>
        <v>PDF</v>
      </c>
      <c r="K6606" s="12" t="s">
        <v>10876</v>
      </c>
    </row>
    <row r="6607" spans="1:12" x14ac:dyDescent="0.45">
      <c r="A6607" s="12" t="s">
        <v>10877</v>
      </c>
      <c r="B6607" s="12" t="s">
        <v>3831</v>
      </c>
      <c r="C6607" s="13" t="s">
        <v>3832</v>
      </c>
      <c r="D6607" s="13" t="s">
        <v>65</v>
      </c>
      <c r="E6607" s="12" t="s">
        <v>35</v>
      </c>
      <c r="F6607" s="14">
        <v>62000</v>
      </c>
      <c r="G6607" s="14">
        <v>52200</v>
      </c>
      <c r="H6607" s="13" t="s">
        <v>10878</v>
      </c>
      <c r="I6607" s="40" t="s">
        <v>18</v>
      </c>
      <c r="J6607" s="40" t="str">
        <f>HYPERLINK("https://stock.pstatic.net/stock-research/company/57/20251212_company_894741000.pdf","PDF")</f>
        <v>PDF</v>
      </c>
      <c r="K6607" s="12" t="s">
        <v>10879</v>
      </c>
      <c r="L6607" s="20">
        <v>0.1877394636015326</v>
      </c>
    </row>
    <row r="6608" spans="1:12" x14ac:dyDescent="0.45">
      <c r="A6608" s="12" t="s">
        <v>10877</v>
      </c>
      <c r="B6608" s="12" t="s">
        <v>3831</v>
      </c>
      <c r="C6608" s="13" t="s">
        <v>3832</v>
      </c>
      <c r="D6608" s="13" t="s">
        <v>57</v>
      </c>
      <c r="E6608" s="12" t="s">
        <v>35</v>
      </c>
      <c r="F6608" s="14">
        <v>61000</v>
      </c>
      <c r="G6608" s="14">
        <v>52200</v>
      </c>
      <c r="H6608" s="13" t="s">
        <v>10880</v>
      </c>
      <c r="I6608" s="40" t="s">
        <v>18</v>
      </c>
      <c r="J6608" s="40" t="str">
        <f>HYPERLINK("https://stock.pstatic.net/stock-research/company/16/20251212_company_869847000.pdf","PDF")</f>
        <v>PDF</v>
      </c>
      <c r="K6608" s="12" t="s">
        <v>10881</v>
      </c>
      <c r="L6608" s="20">
        <v>0.16858237547892721</v>
      </c>
    </row>
    <row r="6609" spans="1:12" x14ac:dyDescent="0.45">
      <c r="A6609" s="12" t="s">
        <v>10877</v>
      </c>
      <c r="B6609" s="12" t="s">
        <v>8183</v>
      </c>
      <c r="C6609" s="13" t="s">
        <v>8184</v>
      </c>
      <c r="D6609" s="13" t="s">
        <v>23</v>
      </c>
      <c r="E6609" s="12" t="s">
        <v>50</v>
      </c>
      <c r="F6609" s="14">
        <v>31700</v>
      </c>
      <c r="G6609" s="14">
        <v>28850</v>
      </c>
      <c r="H6609" s="13" t="s">
        <v>10882</v>
      </c>
      <c r="I6609" s="40" t="s">
        <v>18</v>
      </c>
      <c r="J6609" s="40" t="str">
        <f>HYPERLINK("https://stock.pstatic.net/stock-research/company/21/20251212_company_677674000.pdf","PDF")</f>
        <v>PDF</v>
      </c>
      <c r="K6609" s="12" t="s">
        <v>10883</v>
      </c>
      <c r="L6609" s="20">
        <v>9.8786828422876949E-2</v>
      </c>
    </row>
    <row r="6610" spans="1:12" x14ac:dyDescent="0.45">
      <c r="A6610" s="12" t="s">
        <v>10877</v>
      </c>
      <c r="B6610" s="12" t="s">
        <v>10884</v>
      </c>
      <c r="C6610" s="13" t="s">
        <v>10885</v>
      </c>
      <c r="D6610" s="13" t="s">
        <v>15</v>
      </c>
      <c r="E6610" s="12" t="s">
        <v>50</v>
      </c>
      <c r="F6610" s="13"/>
      <c r="G6610" s="14">
        <v>8160</v>
      </c>
      <c r="H6610" s="13" t="s">
        <v>10886</v>
      </c>
      <c r="I6610" s="40" t="s">
        <v>18</v>
      </c>
      <c r="J6610" s="40" t="str">
        <f>HYPERLINK("https://stock.pstatic.net/stock-research/company/29/20251212_company_255689000.pdf","PDF")</f>
        <v>PDF</v>
      </c>
      <c r="K6610" s="12" t="s">
        <v>10887</v>
      </c>
    </row>
    <row r="6611" spans="1:12" x14ac:dyDescent="0.45">
      <c r="A6611" s="12" t="s">
        <v>10877</v>
      </c>
      <c r="B6611" s="12" t="s">
        <v>10888</v>
      </c>
      <c r="C6611" s="13" t="s">
        <v>10889</v>
      </c>
      <c r="D6611" s="13" t="s">
        <v>124</v>
      </c>
      <c r="E6611" s="12" t="s">
        <v>50</v>
      </c>
      <c r="F6611" s="13"/>
      <c r="G6611" s="13"/>
      <c r="H6611" s="13" t="s">
        <v>10890</v>
      </c>
      <c r="I6611" s="40" t="s">
        <v>18</v>
      </c>
      <c r="J6611" s="40" t="str">
        <f>HYPERLINK("https://stock.pstatic.net/stock-research/company/74/20251212_company_269641000.pdf","PDF")</f>
        <v>PDF</v>
      </c>
      <c r="K6611" s="12" t="s">
        <v>10891</v>
      </c>
    </row>
    <row r="6612" spans="1:12" x14ac:dyDescent="0.45">
      <c r="A6612" s="12" t="s">
        <v>10877</v>
      </c>
      <c r="B6612" s="12" t="s">
        <v>6219</v>
      </c>
      <c r="C6612" s="13" t="s">
        <v>6220</v>
      </c>
      <c r="D6612" s="13" t="s">
        <v>23</v>
      </c>
      <c r="E6612" s="12" t="s">
        <v>50</v>
      </c>
      <c r="F6612" s="13"/>
      <c r="G6612" s="14">
        <v>46700</v>
      </c>
      <c r="H6612" s="13" t="s">
        <v>10892</v>
      </c>
      <c r="I6612" s="40" t="s">
        <v>18</v>
      </c>
      <c r="J6612" s="40" t="str">
        <f>HYPERLINK("https://stock.pstatic.net/stock-research/company/1/20251212_company_307859000.pdf","PDF")</f>
        <v>PDF</v>
      </c>
      <c r="K6612" s="12" t="s">
        <v>10893</v>
      </c>
    </row>
    <row r="6613" spans="1:12" x14ac:dyDescent="0.45">
      <c r="A6613" s="12" t="s">
        <v>10877</v>
      </c>
      <c r="B6613" s="12" t="s">
        <v>3831</v>
      </c>
      <c r="C6613" s="13" t="s">
        <v>3832</v>
      </c>
      <c r="D6613" s="13" t="s">
        <v>179</v>
      </c>
      <c r="E6613" s="12" t="s">
        <v>50</v>
      </c>
      <c r="F6613" s="13"/>
      <c r="G6613" s="13"/>
      <c r="H6613" s="13" t="s">
        <v>10894</v>
      </c>
      <c r="I6613" s="40" t="s">
        <v>18</v>
      </c>
      <c r="J6613" s="40" t="str">
        <f>HYPERLINK("https://stock.pstatic.net/stock-research/company/31/20251212_company_126206000.pdf","PDF")</f>
        <v>PDF</v>
      </c>
      <c r="K6613" s="12" t="s">
        <v>10895</v>
      </c>
    </row>
    <row r="6614" spans="1:12" x14ac:dyDescent="0.45">
      <c r="A6614" s="12" t="s">
        <v>10877</v>
      </c>
      <c r="B6614" s="12" t="s">
        <v>182</v>
      </c>
      <c r="C6614" s="13" t="s">
        <v>183</v>
      </c>
      <c r="D6614" s="13" t="s">
        <v>53</v>
      </c>
      <c r="E6614" s="12" t="s">
        <v>50</v>
      </c>
      <c r="F6614" s="13"/>
      <c r="G6614" s="14">
        <v>2555</v>
      </c>
      <c r="H6614" s="13" t="s">
        <v>10896</v>
      </c>
      <c r="I6614" s="40" t="s">
        <v>18</v>
      </c>
      <c r="J6614" s="40" t="str">
        <f>HYPERLINK("https://stock.pstatic.net/stock-research/company/40/20251212_company_675855000.pdf","PDF")</f>
        <v>PDF</v>
      </c>
      <c r="K6614" s="12" t="s">
        <v>10897</v>
      </c>
    </row>
    <row r="6615" spans="1:12" x14ac:dyDescent="0.45">
      <c r="A6615" s="12" t="s">
        <v>10877</v>
      </c>
      <c r="B6615" s="12" t="s">
        <v>6022</v>
      </c>
      <c r="C6615" s="13" t="s">
        <v>6023</v>
      </c>
      <c r="D6615" s="13" t="s">
        <v>124</v>
      </c>
      <c r="E6615" s="12" t="s">
        <v>50</v>
      </c>
      <c r="F6615" s="13"/>
      <c r="G6615" s="13"/>
      <c r="H6615" s="13" t="s">
        <v>10898</v>
      </c>
      <c r="I6615" s="40" t="s">
        <v>18</v>
      </c>
      <c r="J6615" s="40" t="str">
        <f>HYPERLINK("https://stock.pstatic.net/stock-research/company/74/20251212_company_455995000.pdf","PDF")</f>
        <v>PDF</v>
      </c>
      <c r="K6615" s="12" t="s">
        <v>10899</v>
      </c>
    </row>
    <row r="6616" spans="1:12" x14ac:dyDescent="0.45">
      <c r="A6616" s="12" t="s">
        <v>10900</v>
      </c>
      <c r="B6616" s="12" t="s">
        <v>150</v>
      </c>
      <c r="C6616" s="13" t="s">
        <v>151</v>
      </c>
      <c r="D6616" s="13" t="s">
        <v>65</v>
      </c>
      <c r="E6616" s="12" t="s">
        <v>35</v>
      </c>
      <c r="F6616" s="14">
        <v>35000</v>
      </c>
      <c r="G6616" s="14">
        <v>20900</v>
      </c>
      <c r="H6616" s="13" t="s">
        <v>10901</v>
      </c>
      <c r="I6616" s="40" t="s">
        <v>18</v>
      </c>
      <c r="J6616" s="40" t="str">
        <f>HYPERLINK("https://stock.pstatic.net/stock-research/company/57/20251211_company_143208000.pdf","PDF")</f>
        <v>PDF</v>
      </c>
      <c r="K6616" s="12" t="s">
        <v>10902</v>
      </c>
      <c r="L6616" s="20">
        <v>0.67464114832535882</v>
      </c>
    </row>
    <row r="6617" spans="1:12" x14ac:dyDescent="0.45">
      <c r="A6617" s="12" t="s">
        <v>10900</v>
      </c>
      <c r="B6617" s="12" t="s">
        <v>4656</v>
      </c>
      <c r="C6617" s="13" t="s">
        <v>4657</v>
      </c>
      <c r="D6617" s="13" t="s">
        <v>65</v>
      </c>
      <c r="E6617" s="12" t="s">
        <v>35</v>
      </c>
      <c r="F6617" s="14">
        <v>10000</v>
      </c>
      <c r="G6617" s="14">
        <v>7190</v>
      </c>
      <c r="H6617" s="13" t="s">
        <v>10903</v>
      </c>
      <c r="I6617" s="40" t="s">
        <v>18</v>
      </c>
      <c r="J6617" s="40" t="str">
        <f>HYPERLINK("https://stock.pstatic.net/stock-research/company/57/20251211_company_620477000.pdf","PDF")</f>
        <v>PDF</v>
      </c>
      <c r="K6617" s="12" t="s">
        <v>10904</v>
      </c>
      <c r="L6617" s="20">
        <v>0.39082058414464532</v>
      </c>
    </row>
    <row r="6618" spans="1:12" x14ac:dyDescent="0.45">
      <c r="A6618" s="12" t="s">
        <v>10900</v>
      </c>
      <c r="B6618" s="12" t="s">
        <v>7120</v>
      </c>
      <c r="C6618" s="13" t="s">
        <v>7121</v>
      </c>
      <c r="D6618" s="13" t="s">
        <v>158</v>
      </c>
      <c r="E6618" s="12" t="s">
        <v>50</v>
      </c>
      <c r="F6618" s="13"/>
      <c r="G6618" s="14">
        <v>4230</v>
      </c>
      <c r="H6618" s="13" t="s">
        <v>10905</v>
      </c>
      <c r="I6618" s="40" t="s">
        <v>18</v>
      </c>
      <c r="J6618" s="40" t="str">
        <f>HYPERLINK("https://stock.pstatic.net/stock-research/company/18/20251211_company_288254000.pdf","PDF")</f>
        <v>PDF</v>
      </c>
      <c r="K6618" s="12" t="s">
        <v>10906</v>
      </c>
    </row>
    <row r="6619" spans="1:12" x14ac:dyDescent="0.45">
      <c r="A6619" s="12" t="s">
        <v>10900</v>
      </c>
      <c r="B6619" s="12" t="s">
        <v>10907</v>
      </c>
      <c r="C6619" s="13" t="s">
        <v>10908</v>
      </c>
      <c r="D6619" s="13" t="s">
        <v>15</v>
      </c>
      <c r="E6619" s="12" t="s">
        <v>50</v>
      </c>
      <c r="F6619" s="13"/>
      <c r="G6619" s="14">
        <v>21600</v>
      </c>
      <c r="H6619" s="13" t="s">
        <v>10909</v>
      </c>
      <c r="I6619" s="40" t="s">
        <v>18</v>
      </c>
      <c r="J6619" s="40" t="str">
        <f>HYPERLINK("https://stock.pstatic.net/stock-research/company/29/20251211_company_175133000.pdf","PDF")</f>
        <v>PDF</v>
      </c>
      <c r="K6619" s="12" t="s">
        <v>10910</v>
      </c>
    </row>
    <row r="6620" spans="1:12" x14ac:dyDescent="0.45">
      <c r="A6620" s="12" t="s">
        <v>10900</v>
      </c>
      <c r="B6620" s="12" t="s">
        <v>10911</v>
      </c>
      <c r="C6620" s="13" t="s">
        <v>10912</v>
      </c>
      <c r="D6620" s="13" t="s">
        <v>15</v>
      </c>
      <c r="E6620" s="12" t="s">
        <v>50</v>
      </c>
      <c r="F6620" s="13"/>
      <c r="G6620" s="14">
        <v>35400</v>
      </c>
      <c r="H6620" s="13" t="s">
        <v>10913</v>
      </c>
      <c r="I6620" s="40" t="s">
        <v>18</v>
      </c>
      <c r="J6620" s="40" t="str">
        <f>HYPERLINK("https://stock.pstatic.net/stock-research/company/29/20251211_company_194506000.pdf","PDF")</f>
        <v>PDF</v>
      </c>
      <c r="K6620" s="12" t="s">
        <v>10914</v>
      </c>
    </row>
    <row r="6621" spans="1:12" x14ac:dyDescent="0.45">
      <c r="A6621" s="12" t="s">
        <v>10900</v>
      </c>
      <c r="B6621" s="12" t="s">
        <v>10915</v>
      </c>
      <c r="C6621" s="13" t="s">
        <v>10916</v>
      </c>
      <c r="D6621" s="13" t="s">
        <v>15</v>
      </c>
      <c r="E6621" s="12" t="s">
        <v>50</v>
      </c>
      <c r="F6621" s="13"/>
      <c r="G6621" s="14">
        <v>1857</v>
      </c>
      <c r="H6621" s="13" t="s">
        <v>10917</v>
      </c>
      <c r="I6621" s="40" t="s">
        <v>18</v>
      </c>
      <c r="J6621" s="40" t="str">
        <f>HYPERLINK("https://stock.pstatic.net/stock-research/company/29/20251211_company_319926000.pdf","PDF")</f>
        <v>PDF</v>
      </c>
      <c r="K6621" s="12" t="s">
        <v>10918</v>
      </c>
    </row>
    <row r="6622" spans="1:12" x14ac:dyDescent="0.45">
      <c r="A6622" s="12" t="s">
        <v>10900</v>
      </c>
      <c r="B6622" s="12" t="s">
        <v>10919</v>
      </c>
      <c r="C6622" s="13" t="s">
        <v>10920</v>
      </c>
      <c r="D6622" s="13" t="s">
        <v>92</v>
      </c>
      <c r="E6622" s="12" t="s">
        <v>50</v>
      </c>
      <c r="F6622" s="13"/>
      <c r="G6622" s="14">
        <v>4370</v>
      </c>
      <c r="H6622" s="13" t="s">
        <v>10921</v>
      </c>
      <c r="I6622" s="40" t="s">
        <v>18</v>
      </c>
      <c r="J6622" s="40" t="str">
        <f>HYPERLINK("https://stock.pstatic.net/stock-research/company/63/20251211_company_61475000.pdf","PDF")</f>
        <v>PDF</v>
      </c>
      <c r="K6622" s="12" t="s">
        <v>10922</v>
      </c>
    </row>
    <row r="6623" spans="1:12" x14ac:dyDescent="0.45">
      <c r="A6623" s="12" t="s">
        <v>10900</v>
      </c>
      <c r="B6623" s="12" t="s">
        <v>10923</v>
      </c>
      <c r="C6623" s="13" t="s">
        <v>10924</v>
      </c>
      <c r="D6623" s="13" t="s">
        <v>53</v>
      </c>
      <c r="E6623" s="12" t="s">
        <v>50</v>
      </c>
      <c r="F6623" s="13"/>
      <c r="G6623" s="14">
        <v>10100</v>
      </c>
      <c r="H6623" s="13" t="s">
        <v>10925</v>
      </c>
      <c r="I6623" s="40" t="s">
        <v>18</v>
      </c>
      <c r="J6623" s="40" t="str">
        <f>HYPERLINK("https://stock.pstatic.net/stock-research/company/40/20251211_company_950872000.pdf","PDF")</f>
        <v>PDF</v>
      </c>
      <c r="K6623" s="12" t="s">
        <v>10926</v>
      </c>
    </row>
    <row r="6624" spans="1:12" x14ac:dyDescent="0.45">
      <c r="A6624" s="12" t="s">
        <v>10900</v>
      </c>
      <c r="B6624" s="12" t="s">
        <v>5699</v>
      </c>
      <c r="C6624" s="13" t="s">
        <v>5700</v>
      </c>
      <c r="D6624" s="13" t="s">
        <v>23</v>
      </c>
      <c r="E6624" s="12" t="s">
        <v>50</v>
      </c>
      <c r="F6624" s="13"/>
      <c r="G6624" s="14">
        <v>30250</v>
      </c>
      <c r="H6624" s="13" t="s">
        <v>10927</v>
      </c>
      <c r="I6624" s="40" t="s">
        <v>18</v>
      </c>
      <c r="J6624" s="40" t="str">
        <f>HYPERLINK("https://stock.pstatic.net/stock-research/company/21/20251211_company_447962000.pdf","PDF")</f>
        <v>PDF</v>
      </c>
      <c r="K6624" s="12" t="s">
        <v>10928</v>
      </c>
    </row>
    <row r="6625" spans="1:12" x14ac:dyDescent="0.45">
      <c r="A6625" s="12" t="s">
        <v>10900</v>
      </c>
      <c r="B6625" s="12" t="s">
        <v>10929</v>
      </c>
      <c r="C6625" s="13" t="s">
        <v>10930</v>
      </c>
      <c r="D6625" s="13" t="s">
        <v>44</v>
      </c>
      <c r="E6625" s="12" t="s">
        <v>50</v>
      </c>
      <c r="F6625" s="13"/>
      <c r="G6625" s="14">
        <v>3960</v>
      </c>
      <c r="H6625" s="13" t="s">
        <v>10931</v>
      </c>
      <c r="I6625" s="40" t="s">
        <v>18</v>
      </c>
      <c r="J6625" s="40" t="str">
        <f>HYPERLINK("https://stock.pstatic.net/stock-research/company/39/20251211_company_377322000.pdf","PDF")</f>
        <v>PDF</v>
      </c>
      <c r="K6625" s="12" t="s">
        <v>10932</v>
      </c>
    </row>
    <row r="6626" spans="1:12" x14ac:dyDescent="0.45">
      <c r="A6626" s="12" t="s">
        <v>10900</v>
      </c>
      <c r="B6626" s="12" t="s">
        <v>698</v>
      </c>
      <c r="C6626" s="13" t="s">
        <v>699</v>
      </c>
      <c r="D6626" s="13" t="s">
        <v>179</v>
      </c>
      <c r="E6626" s="12" t="s">
        <v>16</v>
      </c>
      <c r="F6626" s="14">
        <v>340000</v>
      </c>
      <c r="G6626" s="14">
        <v>265000</v>
      </c>
      <c r="H6626" s="13" t="s">
        <v>10933</v>
      </c>
      <c r="I6626" s="40" t="s">
        <v>18</v>
      </c>
      <c r="J6626" s="40" t="str">
        <f>HYPERLINK("https://stock.pstatic.net/stock-research/company/64/20251211_company_765522000.pdf","PDF")</f>
        <v>PDF</v>
      </c>
      <c r="K6626" s="12" t="s">
        <v>10934</v>
      </c>
      <c r="L6626" s="20">
        <v>0.28301886792452829</v>
      </c>
    </row>
    <row r="6627" spans="1:12" x14ac:dyDescent="0.45">
      <c r="A6627" s="12" t="s">
        <v>10900</v>
      </c>
      <c r="B6627" s="12" t="s">
        <v>90</v>
      </c>
      <c r="C6627" s="13" t="s">
        <v>91</v>
      </c>
      <c r="D6627" s="13" t="s">
        <v>179</v>
      </c>
      <c r="E6627" s="12" t="s">
        <v>16</v>
      </c>
      <c r="F6627" s="14">
        <v>41000</v>
      </c>
      <c r="G6627" s="14">
        <v>26800</v>
      </c>
      <c r="H6627" s="13" t="s">
        <v>10935</v>
      </c>
      <c r="I6627" s="40" t="s">
        <v>18</v>
      </c>
      <c r="J6627" s="40" t="str">
        <f>HYPERLINK("https://stock.pstatic.net/stock-research/company/64/20251211_company_713449000.pdf","PDF")</f>
        <v>PDF</v>
      </c>
      <c r="K6627" s="12" t="s">
        <v>10936</v>
      </c>
      <c r="L6627" s="20">
        <v>0.52985074626865669</v>
      </c>
    </row>
    <row r="6628" spans="1:12" x14ac:dyDescent="0.45">
      <c r="A6628" s="12" t="s">
        <v>10900</v>
      </c>
      <c r="B6628" s="12" t="s">
        <v>10937</v>
      </c>
      <c r="C6628" s="13" t="s">
        <v>10938</v>
      </c>
      <c r="D6628" s="13" t="s">
        <v>44</v>
      </c>
      <c r="E6628" s="12" t="s">
        <v>50</v>
      </c>
      <c r="F6628" s="13"/>
      <c r="G6628" s="14">
        <v>49750</v>
      </c>
      <c r="H6628" s="13" t="s">
        <v>10939</v>
      </c>
      <c r="I6628" s="40" t="s">
        <v>18</v>
      </c>
      <c r="J6628" s="40" t="str">
        <f>HYPERLINK("https://stock.pstatic.net/stock-research/company/39/20251211_company_72598000.pdf","PDF")</f>
        <v>PDF</v>
      </c>
      <c r="K6628" s="12" t="s">
        <v>10940</v>
      </c>
    </row>
    <row r="6629" spans="1:12" x14ac:dyDescent="0.45">
      <c r="A6629" s="12" t="s">
        <v>10900</v>
      </c>
      <c r="B6629" s="12" t="s">
        <v>10941</v>
      </c>
      <c r="C6629" s="13" t="s">
        <v>10942</v>
      </c>
      <c r="D6629" s="13" t="s">
        <v>124</v>
      </c>
      <c r="E6629" s="12" t="s">
        <v>50</v>
      </c>
      <c r="F6629" s="13"/>
      <c r="G6629" s="13"/>
      <c r="H6629" s="13" t="s">
        <v>10943</v>
      </c>
      <c r="I6629" s="40" t="s">
        <v>18</v>
      </c>
      <c r="J6629" s="40" t="str">
        <f>HYPERLINK("https://stock.pstatic.net/stock-research/company/74/20251211_company_244287000.pdf","PDF")</f>
        <v>PDF</v>
      </c>
      <c r="K6629" s="12" t="s">
        <v>10944</v>
      </c>
    </row>
    <row r="6630" spans="1:12" x14ac:dyDescent="0.45">
      <c r="A6630" s="12" t="s">
        <v>10900</v>
      </c>
      <c r="B6630" s="12" t="s">
        <v>10945</v>
      </c>
      <c r="C6630" s="13" t="s">
        <v>10946</v>
      </c>
      <c r="D6630" s="13" t="s">
        <v>124</v>
      </c>
      <c r="E6630" s="12" t="s">
        <v>50</v>
      </c>
      <c r="F6630" s="13"/>
      <c r="G6630" s="13"/>
      <c r="H6630" s="13" t="s">
        <v>10947</v>
      </c>
      <c r="I6630" s="40" t="s">
        <v>18</v>
      </c>
      <c r="J6630" s="40" t="str">
        <f>HYPERLINK("https://stock.pstatic.net/stock-research/company/74/20251211_company_890506000.pdf","PDF")</f>
        <v>PDF</v>
      </c>
      <c r="K6630" s="12" t="s">
        <v>10948</v>
      </c>
    </row>
    <row r="6631" spans="1:12" x14ac:dyDescent="0.45">
      <c r="A6631" s="12" t="s">
        <v>10900</v>
      </c>
      <c r="B6631" s="12" t="s">
        <v>7511</v>
      </c>
      <c r="C6631" s="13" t="s">
        <v>7512</v>
      </c>
      <c r="D6631" s="13" t="s">
        <v>53</v>
      </c>
      <c r="E6631" s="12" t="s">
        <v>50</v>
      </c>
      <c r="F6631" s="13"/>
      <c r="G6631" s="14">
        <v>15000</v>
      </c>
      <c r="H6631" s="13" t="s">
        <v>10949</v>
      </c>
      <c r="I6631" s="40" t="s">
        <v>18</v>
      </c>
      <c r="J6631" s="40" t="str">
        <f>HYPERLINK("https://stock.pstatic.net/stock-research/company/40/20251211_company_884263000.pdf","PDF")</f>
        <v>PDF</v>
      </c>
      <c r="K6631" s="12" t="s">
        <v>10950</v>
      </c>
    </row>
    <row r="6632" spans="1:12" x14ac:dyDescent="0.45">
      <c r="A6632" s="12" t="s">
        <v>10951</v>
      </c>
      <c r="B6632" s="12" t="s">
        <v>10952</v>
      </c>
      <c r="C6632" s="13" t="s">
        <v>10953</v>
      </c>
      <c r="D6632" s="13" t="s">
        <v>15</v>
      </c>
      <c r="E6632" s="12" t="s">
        <v>50</v>
      </c>
      <c r="F6632" s="13"/>
      <c r="G6632" s="14">
        <v>5420</v>
      </c>
      <c r="H6632" s="13" t="s">
        <v>10954</v>
      </c>
      <c r="I6632" s="40" t="s">
        <v>18</v>
      </c>
      <c r="J6632" s="40" t="str">
        <f>HYPERLINK("https://stock.pstatic.net/stock-research/company/29/20251210_company_227088000.pdf","PDF")</f>
        <v>PDF</v>
      </c>
      <c r="K6632" s="12" t="s">
        <v>10955</v>
      </c>
    </row>
    <row r="6633" spans="1:12" x14ac:dyDescent="0.45">
      <c r="A6633" s="12" t="s">
        <v>10951</v>
      </c>
      <c r="B6633" s="12" t="s">
        <v>10956</v>
      </c>
      <c r="C6633" s="13" t="s">
        <v>10957</v>
      </c>
      <c r="D6633" s="13" t="s">
        <v>15</v>
      </c>
      <c r="E6633" s="12" t="s">
        <v>50</v>
      </c>
      <c r="F6633" s="13"/>
      <c r="G6633" s="14">
        <v>8260</v>
      </c>
      <c r="H6633" s="13" t="s">
        <v>10958</v>
      </c>
      <c r="I6633" s="40" t="s">
        <v>18</v>
      </c>
      <c r="J6633" s="40" t="str">
        <f>HYPERLINK("https://stock.pstatic.net/stock-research/company/29/20251210_company_849492000.pdf","PDF")</f>
        <v>PDF</v>
      </c>
      <c r="K6633" s="12" t="s">
        <v>10959</v>
      </c>
    </row>
    <row r="6634" spans="1:12" x14ac:dyDescent="0.45">
      <c r="A6634" s="12" t="s">
        <v>10951</v>
      </c>
      <c r="B6634" s="12" t="s">
        <v>128</v>
      </c>
      <c r="C6634" s="13" t="s">
        <v>129</v>
      </c>
      <c r="D6634" s="13" t="s">
        <v>65</v>
      </c>
      <c r="E6634" s="12" t="s">
        <v>35</v>
      </c>
      <c r="F6634" s="14">
        <v>40000</v>
      </c>
      <c r="G6634" s="14">
        <v>29550</v>
      </c>
      <c r="H6634" s="13" t="s">
        <v>10960</v>
      </c>
      <c r="I6634" s="40" t="s">
        <v>18</v>
      </c>
      <c r="J6634" s="40" t="str">
        <f>HYPERLINK("https://stock.pstatic.net/stock-research/company/57/20251210_company_15906000.pdf","PDF")</f>
        <v>PDF</v>
      </c>
      <c r="K6634" s="12" t="s">
        <v>10961</v>
      </c>
      <c r="L6634" s="20">
        <v>0.3536379018612521</v>
      </c>
    </row>
    <row r="6635" spans="1:12" x14ac:dyDescent="0.45">
      <c r="A6635" s="12" t="s">
        <v>10951</v>
      </c>
      <c r="B6635" s="12" t="s">
        <v>10962</v>
      </c>
      <c r="C6635" s="13" t="s">
        <v>10963</v>
      </c>
      <c r="D6635" s="13" t="s">
        <v>15</v>
      </c>
      <c r="E6635" s="12" t="s">
        <v>50</v>
      </c>
      <c r="F6635" s="13"/>
      <c r="G6635" s="14">
        <v>50000</v>
      </c>
      <c r="H6635" s="13" t="s">
        <v>10964</v>
      </c>
      <c r="I6635" s="40" t="s">
        <v>18</v>
      </c>
      <c r="J6635" s="40" t="str">
        <f>HYPERLINK("https://stock.pstatic.net/stock-research/company/29/20251210_company_55291000.pdf","PDF")</f>
        <v>PDF</v>
      </c>
      <c r="K6635" s="12" t="s">
        <v>10965</v>
      </c>
    </row>
    <row r="6636" spans="1:12" x14ac:dyDescent="0.45">
      <c r="A6636" s="12" t="s">
        <v>10951</v>
      </c>
      <c r="B6636" s="12" t="s">
        <v>5036</v>
      </c>
      <c r="C6636" s="13" t="s">
        <v>5037</v>
      </c>
      <c r="D6636" s="13" t="s">
        <v>23</v>
      </c>
      <c r="E6636" s="12" t="s">
        <v>50</v>
      </c>
      <c r="F6636" s="13"/>
      <c r="G6636" s="14">
        <v>2380</v>
      </c>
      <c r="H6636" s="13" t="s">
        <v>10966</v>
      </c>
      <c r="I6636" s="40" t="s">
        <v>18</v>
      </c>
      <c r="J6636" s="40" t="str">
        <f>HYPERLINK("https://stock.pstatic.net/stock-research/company/21/20251210_company_115645000.pdf","PDF")</f>
        <v>PDF</v>
      </c>
      <c r="K6636" s="12" t="s">
        <v>10967</v>
      </c>
    </row>
    <row r="6637" spans="1:12" x14ac:dyDescent="0.45">
      <c r="A6637" s="12" t="s">
        <v>10951</v>
      </c>
      <c r="B6637" s="12" t="s">
        <v>1344</v>
      </c>
      <c r="C6637" s="13" t="s">
        <v>1345</v>
      </c>
      <c r="D6637" s="13" t="s">
        <v>23</v>
      </c>
      <c r="E6637" s="12" t="s">
        <v>16</v>
      </c>
      <c r="F6637" s="14">
        <v>70000</v>
      </c>
      <c r="G6637" s="14">
        <v>53900</v>
      </c>
      <c r="H6637" s="13" t="s">
        <v>10968</v>
      </c>
      <c r="I6637" s="40" t="s">
        <v>18</v>
      </c>
      <c r="J6637" s="40" t="str">
        <f>HYPERLINK("https://stock.pstatic.net/stock-research/company/21/20251210_company_650291000.pdf","PDF")</f>
        <v>PDF</v>
      </c>
      <c r="K6637" s="12" t="s">
        <v>10969</v>
      </c>
      <c r="L6637" s="20">
        <v>0.29870129870129869</v>
      </c>
    </row>
    <row r="6638" spans="1:12" x14ac:dyDescent="0.45">
      <c r="A6638" s="12" t="s">
        <v>10951</v>
      </c>
      <c r="B6638" s="12" t="s">
        <v>4192</v>
      </c>
      <c r="C6638" s="13" t="s">
        <v>4193</v>
      </c>
      <c r="D6638" s="13" t="s">
        <v>23</v>
      </c>
      <c r="E6638" s="12" t="s">
        <v>50</v>
      </c>
      <c r="F6638" s="13"/>
      <c r="G6638" s="14">
        <v>11900</v>
      </c>
      <c r="H6638" s="13" t="s">
        <v>10970</v>
      </c>
      <c r="I6638" s="40" t="s">
        <v>18</v>
      </c>
      <c r="J6638" s="40" t="str">
        <f>HYPERLINK("https://stock.pstatic.net/stock-research/company/21/20251210_company_787374000.pdf","PDF")</f>
        <v>PDF</v>
      </c>
      <c r="K6638" s="12" t="s">
        <v>10971</v>
      </c>
    </row>
    <row r="6639" spans="1:12" x14ac:dyDescent="0.45">
      <c r="A6639" s="12" t="s">
        <v>10951</v>
      </c>
      <c r="B6639" s="12" t="s">
        <v>776</v>
      </c>
      <c r="C6639" s="13" t="s">
        <v>777</v>
      </c>
      <c r="D6639" s="13" t="s">
        <v>53</v>
      </c>
      <c r="E6639" s="12" t="s">
        <v>50</v>
      </c>
      <c r="F6639" s="13"/>
      <c r="G6639" s="14">
        <v>40000</v>
      </c>
      <c r="H6639" s="13" t="s">
        <v>10972</v>
      </c>
      <c r="I6639" s="40" t="s">
        <v>18</v>
      </c>
      <c r="J6639" s="40" t="str">
        <f>HYPERLINK("https://stock.pstatic.net/stock-research/company/40/20251210_company_941300000.pdf","PDF")</f>
        <v>PDF</v>
      </c>
      <c r="K6639" s="12" t="s">
        <v>10973</v>
      </c>
    </row>
    <row r="6640" spans="1:12" x14ac:dyDescent="0.45">
      <c r="A6640" s="12" t="s">
        <v>10951</v>
      </c>
      <c r="B6640" s="12" t="s">
        <v>13</v>
      </c>
      <c r="C6640" s="13" t="s">
        <v>14</v>
      </c>
      <c r="D6640" s="13" t="s">
        <v>44</v>
      </c>
      <c r="E6640" s="12" t="s">
        <v>35</v>
      </c>
      <c r="F6640" s="14">
        <v>140000</v>
      </c>
      <c r="G6640" s="14">
        <v>108400</v>
      </c>
      <c r="H6640" s="13" t="s">
        <v>10974</v>
      </c>
      <c r="I6640" s="40" t="s">
        <v>18</v>
      </c>
      <c r="J6640" s="40" t="str">
        <f>HYPERLINK("https://stock.pstatic.net/stock-research/company/39/20251210_company_263867000.pdf","PDF")</f>
        <v>PDF</v>
      </c>
      <c r="K6640" s="12" t="s">
        <v>10975</v>
      </c>
      <c r="L6640" s="20">
        <v>0.29151291512915128</v>
      </c>
    </row>
    <row r="6641" spans="1:12" x14ac:dyDescent="0.45">
      <c r="A6641" s="12" t="s">
        <v>10951</v>
      </c>
      <c r="B6641" s="12" t="s">
        <v>10976</v>
      </c>
      <c r="C6641" s="13" t="s">
        <v>10977</v>
      </c>
      <c r="D6641" s="13" t="s">
        <v>53</v>
      </c>
      <c r="E6641" s="12" t="s">
        <v>16</v>
      </c>
      <c r="F6641" s="14">
        <v>67000</v>
      </c>
      <c r="G6641" s="14">
        <v>52500</v>
      </c>
      <c r="H6641" s="13" t="s">
        <v>10978</v>
      </c>
      <c r="I6641" s="40" t="s">
        <v>18</v>
      </c>
      <c r="J6641" s="40" t="str">
        <f>HYPERLINK("https://stock.pstatic.net/stock-research/company/40/20251210_company_631632000.pdf","PDF")</f>
        <v>PDF</v>
      </c>
      <c r="K6641" s="12" t="s">
        <v>10979</v>
      </c>
      <c r="L6641" s="20">
        <v>0.27619047619047621</v>
      </c>
    </row>
    <row r="6642" spans="1:12" x14ac:dyDescent="0.45">
      <c r="A6642" s="12" t="s">
        <v>10951</v>
      </c>
      <c r="B6642" s="12" t="s">
        <v>10980</v>
      </c>
      <c r="C6642" s="13" t="s">
        <v>10981</v>
      </c>
      <c r="D6642" s="13" t="s">
        <v>124</v>
      </c>
      <c r="E6642" s="12" t="s">
        <v>50</v>
      </c>
      <c r="F6642" s="13"/>
      <c r="G6642" s="13"/>
      <c r="H6642" s="13" t="s">
        <v>10982</v>
      </c>
      <c r="I6642" s="40" t="s">
        <v>18</v>
      </c>
      <c r="J6642" s="40" t="str">
        <f>HYPERLINK("https://stock.pstatic.net/stock-research/company/74/20251210_company_714335000.pdf","PDF")</f>
        <v>PDF</v>
      </c>
      <c r="K6642" s="12" t="s">
        <v>10983</v>
      </c>
    </row>
    <row r="6643" spans="1:12" x14ac:dyDescent="0.45">
      <c r="A6643" s="12" t="s">
        <v>10951</v>
      </c>
      <c r="B6643" s="12" t="s">
        <v>2081</v>
      </c>
      <c r="C6643" s="13" t="s">
        <v>2082</v>
      </c>
      <c r="D6643" s="13" t="s">
        <v>124</v>
      </c>
      <c r="E6643" s="12" t="s">
        <v>50</v>
      </c>
      <c r="F6643" s="13"/>
      <c r="G6643" s="13"/>
      <c r="H6643" s="13" t="s">
        <v>10984</v>
      </c>
      <c r="I6643" s="40" t="s">
        <v>18</v>
      </c>
      <c r="J6643" s="40" t="str">
        <f>HYPERLINK("https://stock.pstatic.net/stock-research/company/74/20251210_company_137762000.pdf","PDF")</f>
        <v>PDF</v>
      </c>
      <c r="K6643" s="12" t="s">
        <v>10985</v>
      </c>
    </row>
    <row r="6644" spans="1:12" x14ac:dyDescent="0.45">
      <c r="A6644" s="12" t="s">
        <v>10986</v>
      </c>
      <c r="B6644" s="12" t="s">
        <v>10987</v>
      </c>
      <c r="C6644" s="13" t="s">
        <v>10988</v>
      </c>
      <c r="D6644" s="13" t="s">
        <v>57</v>
      </c>
      <c r="E6644" s="12" t="s">
        <v>50</v>
      </c>
      <c r="F6644" s="13"/>
      <c r="G6644" s="14">
        <v>1905</v>
      </c>
      <c r="H6644" s="13" t="s">
        <v>10989</v>
      </c>
      <c r="I6644" s="40" t="s">
        <v>18</v>
      </c>
      <c r="J6644" s="40" t="str">
        <f>HYPERLINK("https://stock.pstatic.net/stock-research/company/16/20251210_company_935023000.pdf","PDF")</f>
        <v>PDF</v>
      </c>
      <c r="K6644" s="12" t="s">
        <v>10990</v>
      </c>
    </row>
    <row r="6645" spans="1:12" x14ac:dyDescent="0.45">
      <c r="A6645" s="12" t="s">
        <v>10986</v>
      </c>
      <c r="B6645" s="12" t="s">
        <v>4567</v>
      </c>
      <c r="C6645" s="13" t="s">
        <v>4568</v>
      </c>
      <c r="D6645" s="13" t="s">
        <v>60</v>
      </c>
      <c r="E6645" s="12" t="s">
        <v>35</v>
      </c>
      <c r="F6645" s="14">
        <v>62000</v>
      </c>
      <c r="G6645" s="14">
        <v>48650</v>
      </c>
      <c r="H6645" s="13" t="s">
        <v>10991</v>
      </c>
      <c r="I6645" s="40" t="s">
        <v>18</v>
      </c>
      <c r="J6645" s="40" t="str">
        <f>HYPERLINK("https://stock.pstatic.net/stock-research/company/34/20251209_company_686236000.pdf","PDF")</f>
        <v>PDF</v>
      </c>
      <c r="K6645" s="12" t="s">
        <v>10992</v>
      </c>
      <c r="L6645" s="20">
        <v>0.27440904419321688</v>
      </c>
    </row>
    <row r="6646" spans="1:12" x14ac:dyDescent="0.45">
      <c r="A6646" s="12" t="s">
        <v>10986</v>
      </c>
      <c r="B6646" s="12" t="s">
        <v>4446</v>
      </c>
      <c r="C6646" s="13" t="s">
        <v>4447</v>
      </c>
      <c r="D6646" s="13" t="s">
        <v>65</v>
      </c>
      <c r="E6646" s="12" t="s">
        <v>50</v>
      </c>
      <c r="F6646" s="13"/>
      <c r="G6646" s="14">
        <v>67400</v>
      </c>
      <c r="H6646" s="13" t="s">
        <v>10993</v>
      </c>
      <c r="I6646" s="40" t="s">
        <v>18</v>
      </c>
      <c r="J6646" s="40" t="str">
        <f>HYPERLINK("https://stock.pstatic.net/stock-research/company/57/20251209_company_869252000.pdf","PDF")</f>
        <v>PDF</v>
      </c>
      <c r="K6646" s="12" t="s">
        <v>10994</v>
      </c>
    </row>
    <row r="6647" spans="1:12" x14ac:dyDescent="0.45">
      <c r="A6647" s="12" t="s">
        <v>10986</v>
      </c>
      <c r="B6647" s="12" t="s">
        <v>2205</v>
      </c>
      <c r="C6647" s="13" t="s">
        <v>2206</v>
      </c>
      <c r="D6647" s="13" t="s">
        <v>158</v>
      </c>
      <c r="E6647" s="12" t="s">
        <v>35</v>
      </c>
      <c r="F6647" s="14">
        <v>70000</v>
      </c>
      <c r="G6647" s="14">
        <v>43000</v>
      </c>
      <c r="H6647" s="13" t="s">
        <v>10995</v>
      </c>
      <c r="I6647" s="40" t="s">
        <v>18</v>
      </c>
      <c r="J6647" s="40" t="str">
        <f>HYPERLINK("https://stock.pstatic.net/stock-research/company/18/20251209_company_49618000.pdf","PDF")</f>
        <v>PDF</v>
      </c>
      <c r="K6647" s="12" t="s">
        <v>10996</v>
      </c>
      <c r="L6647" s="20">
        <v>0.62790697674418605</v>
      </c>
    </row>
    <row r="6648" spans="1:12" x14ac:dyDescent="0.45">
      <c r="A6648" s="12" t="s">
        <v>10986</v>
      </c>
      <c r="B6648" s="12" t="s">
        <v>10997</v>
      </c>
      <c r="C6648" s="13" t="s">
        <v>10998</v>
      </c>
      <c r="D6648" s="13" t="s">
        <v>15</v>
      </c>
      <c r="E6648" s="12" t="s">
        <v>50</v>
      </c>
      <c r="F6648" s="13"/>
      <c r="G6648" s="14">
        <v>13950</v>
      </c>
      <c r="H6648" s="13" t="s">
        <v>10999</v>
      </c>
      <c r="I6648" s="40" t="s">
        <v>18</v>
      </c>
      <c r="J6648" s="40" t="str">
        <f>HYPERLINK("https://stock.pstatic.net/stock-research/company/29/20251209_company_561278000.pdf","PDF")</f>
        <v>PDF</v>
      </c>
      <c r="K6648" s="12" t="s">
        <v>11000</v>
      </c>
    </row>
    <row r="6649" spans="1:12" x14ac:dyDescent="0.45">
      <c r="A6649" s="12" t="s">
        <v>10986</v>
      </c>
      <c r="B6649" s="12" t="s">
        <v>4133</v>
      </c>
      <c r="C6649" s="13" t="s">
        <v>4134</v>
      </c>
      <c r="D6649" s="13" t="s">
        <v>15</v>
      </c>
      <c r="E6649" s="12" t="s">
        <v>50</v>
      </c>
      <c r="F6649" s="13"/>
      <c r="G6649" s="14">
        <v>6350</v>
      </c>
      <c r="H6649" s="13" t="s">
        <v>11001</v>
      </c>
      <c r="I6649" s="40" t="s">
        <v>18</v>
      </c>
      <c r="J6649" s="40" t="str">
        <f>HYPERLINK("https://stock.pstatic.net/stock-research/company/29/20251209_company_59008000.pdf","PDF")</f>
        <v>PDF</v>
      </c>
      <c r="K6649" s="12" t="s">
        <v>11002</v>
      </c>
    </row>
    <row r="6650" spans="1:12" x14ac:dyDescent="0.45">
      <c r="A6650" s="12" t="s">
        <v>10986</v>
      </c>
      <c r="B6650" s="12" t="s">
        <v>3584</v>
      </c>
      <c r="C6650" s="13" t="s">
        <v>3585</v>
      </c>
      <c r="D6650" s="13" t="s">
        <v>83</v>
      </c>
      <c r="E6650" s="12" t="s">
        <v>35</v>
      </c>
      <c r="F6650" s="14">
        <v>27000</v>
      </c>
      <c r="G6650" s="14">
        <v>22900</v>
      </c>
      <c r="H6650" s="13" t="s">
        <v>11003</v>
      </c>
      <c r="I6650" s="40" t="s">
        <v>18</v>
      </c>
      <c r="J6650" s="40" t="str">
        <f>HYPERLINK("https://stock.pstatic.net/stock-research/company/2/20251209_company_13050000.pdf","PDF")</f>
        <v>PDF</v>
      </c>
      <c r="K6650" s="12" t="s">
        <v>11004</v>
      </c>
      <c r="L6650" s="20">
        <v>0.1790393013100437</v>
      </c>
    </row>
    <row r="6651" spans="1:12" x14ac:dyDescent="0.45">
      <c r="A6651" s="12" t="s">
        <v>10986</v>
      </c>
      <c r="B6651" s="12" t="s">
        <v>740</v>
      </c>
      <c r="C6651" s="13" t="s">
        <v>741</v>
      </c>
      <c r="D6651" s="13" t="s">
        <v>83</v>
      </c>
      <c r="E6651" s="12" t="s">
        <v>35</v>
      </c>
      <c r="F6651" s="14">
        <v>350000</v>
      </c>
      <c r="G6651" s="14">
        <v>286500</v>
      </c>
      <c r="H6651" s="13" t="s">
        <v>11005</v>
      </c>
      <c r="I6651" s="40" t="s">
        <v>18</v>
      </c>
      <c r="J6651" s="40" t="str">
        <f>HYPERLINK("https://stock.pstatic.net/stock-research/company/2/20251209_company_809680000.pdf","PDF")</f>
        <v>PDF</v>
      </c>
      <c r="K6651" s="12" t="s">
        <v>11006</v>
      </c>
      <c r="L6651" s="20">
        <v>0.22164048865619551</v>
      </c>
    </row>
    <row r="6652" spans="1:12" x14ac:dyDescent="0.45">
      <c r="A6652" s="12" t="s">
        <v>10986</v>
      </c>
      <c r="B6652" s="12" t="s">
        <v>4253</v>
      </c>
      <c r="C6652" s="13" t="s">
        <v>4254</v>
      </c>
      <c r="D6652" s="13" t="s">
        <v>23</v>
      </c>
      <c r="E6652" s="12" t="s">
        <v>16</v>
      </c>
      <c r="F6652" s="14">
        <v>300000</v>
      </c>
      <c r="G6652" s="14">
        <v>224000</v>
      </c>
      <c r="H6652" s="13" t="s">
        <v>11007</v>
      </c>
      <c r="I6652" s="40" t="s">
        <v>18</v>
      </c>
      <c r="J6652" s="40" t="str">
        <f>HYPERLINK("https://stock.pstatic.net/stock-research/company/21/20251209_company_719199000.pdf","PDF")</f>
        <v>PDF</v>
      </c>
      <c r="K6652" s="12" t="s">
        <v>11008</v>
      </c>
      <c r="L6652" s="20">
        <v>0.3392857142857143</v>
      </c>
    </row>
    <row r="6653" spans="1:12" x14ac:dyDescent="0.45">
      <c r="A6653" s="12" t="s">
        <v>10986</v>
      </c>
      <c r="B6653" s="12" t="s">
        <v>573</v>
      </c>
      <c r="C6653" s="13" t="s">
        <v>574</v>
      </c>
      <c r="D6653" s="13" t="s">
        <v>92</v>
      </c>
      <c r="E6653" s="12" t="s">
        <v>50</v>
      </c>
      <c r="F6653" s="13"/>
      <c r="G6653" s="14">
        <v>6750</v>
      </c>
      <c r="H6653" s="13" t="s">
        <v>11009</v>
      </c>
      <c r="I6653" s="40" t="s">
        <v>18</v>
      </c>
      <c r="J6653" s="40" t="str">
        <f>HYPERLINK("https://stock.pstatic.net/stock-research/company/63/20251209_company_373161000.pdf","PDF")</f>
        <v>PDF</v>
      </c>
      <c r="K6653" s="12" t="s">
        <v>11010</v>
      </c>
    </row>
    <row r="6654" spans="1:12" x14ac:dyDescent="0.45">
      <c r="A6654" s="12" t="s">
        <v>10986</v>
      </c>
      <c r="B6654" s="12" t="s">
        <v>2982</v>
      </c>
      <c r="C6654" s="13" t="s">
        <v>2983</v>
      </c>
      <c r="D6654" s="13" t="s">
        <v>34</v>
      </c>
      <c r="E6654" s="12" t="s">
        <v>35</v>
      </c>
      <c r="F6654" s="14">
        <v>52000</v>
      </c>
      <c r="G6654" s="14">
        <v>41050</v>
      </c>
      <c r="H6654" s="13" t="s">
        <v>11011</v>
      </c>
      <c r="I6654" s="40" t="s">
        <v>18</v>
      </c>
      <c r="J6654" s="40" t="str">
        <f>HYPERLINK("https://stock.pstatic.net/stock-research/company/61/20251209_company_394298000.pdf","PDF")</f>
        <v>PDF</v>
      </c>
      <c r="K6654" s="12" t="s">
        <v>11012</v>
      </c>
      <c r="L6654" s="20">
        <v>0.26674786845310589</v>
      </c>
    </row>
    <row r="6655" spans="1:12" x14ac:dyDescent="0.45">
      <c r="A6655" s="12" t="s">
        <v>10986</v>
      </c>
      <c r="B6655" s="12" t="s">
        <v>7598</v>
      </c>
      <c r="C6655" s="13" t="s">
        <v>7599</v>
      </c>
      <c r="D6655" s="13" t="s">
        <v>53</v>
      </c>
      <c r="E6655" s="12" t="s">
        <v>50</v>
      </c>
      <c r="F6655" s="13"/>
      <c r="G6655" s="14">
        <v>51500</v>
      </c>
      <c r="H6655" s="13" t="s">
        <v>11013</v>
      </c>
      <c r="I6655" s="40" t="s">
        <v>18</v>
      </c>
      <c r="J6655" s="40" t="str">
        <f>HYPERLINK("https://stock.pstatic.net/stock-research/company/40/20251209_company_601706000.pdf","PDF")</f>
        <v>PDF</v>
      </c>
      <c r="K6655" s="12" t="s">
        <v>11014</v>
      </c>
    </row>
    <row r="6656" spans="1:12" x14ac:dyDescent="0.45">
      <c r="A6656" s="12" t="s">
        <v>10986</v>
      </c>
      <c r="B6656" s="12" t="s">
        <v>11015</v>
      </c>
      <c r="C6656" s="13" t="s">
        <v>11016</v>
      </c>
      <c r="D6656" s="13" t="s">
        <v>44</v>
      </c>
      <c r="E6656" s="12" t="s">
        <v>50</v>
      </c>
      <c r="F6656" s="13"/>
      <c r="G6656" s="14">
        <v>90000</v>
      </c>
      <c r="H6656" s="13" t="s">
        <v>11017</v>
      </c>
      <c r="I6656" s="40" t="s">
        <v>18</v>
      </c>
      <c r="J6656" s="40" t="str">
        <f>HYPERLINK("https://stock.pstatic.net/stock-research/company/39/20251209_company_518472000.pdf","PDF")</f>
        <v>PDF</v>
      </c>
      <c r="K6656" s="12" t="s">
        <v>11018</v>
      </c>
    </row>
    <row r="6657" spans="1:12" x14ac:dyDescent="0.45">
      <c r="A6657" s="12" t="s">
        <v>10986</v>
      </c>
      <c r="B6657" s="12" t="s">
        <v>11019</v>
      </c>
      <c r="C6657" s="13" t="s">
        <v>11020</v>
      </c>
      <c r="D6657" s="13" t="s">
        <v>124</v>
      </c>
      <c r="E6657" s="12" t="s">
        <v>50</v>
      </c>
      <c r="F6657" s="13"/>
      <c r="G6657" s="13"/>
      <c r="H6657" s="13" t="s">
        <v>11021</v>
      </c>
      <c r="I6657" s="40" t="s">
        <v>18</v>
      </c>
      <c r="J6657" s="40" t="str">
        <f>HYPERLINK("https://stock.pstatic.net/stock-research/company/74/20251209_company_493723000.pdf","PDF")</f>
        <v>PDF</v>
      </c>
      <c r="K6657" s="12" t="s">
        <v>11022</v>
      </c>
    </row>
    <row r="6658" spans="1:12" x14ac:dyDescent="0.45">
      <c r="A6658" s="12" t="s">
        <v>10986</v>
      </c>
      <c r="B6658" s="12" t="s">
        <v>605</v>
      </c>
      <c r="C6658" s="13" t="s">
        <v>606</v>
      </c>
      <c r="D6658" s="13" t="s">
        <v>53</v>
      </c>
      <c r="E6658" s="12" t="s">
        <v>16</v>
      </c>
      <c r="F6658" s="14">
        <v>40000</v>
      </c>
      <c r="G6658" s="14">
        <v>27850</v>
      </c>
      <c r="H6658" s="13" t="s">
        <v>11023</v>
      </c>
      <c r="I6658" s="40" t="s">
        <v>18</v>
      </c>
      <c r="J6658" s="40" t="str">
        <f>HYPERLINK("https://stock.pstatic.net/stock-research/company/40/20251209_company_505192000.pdf","PDF")</f>
        <v>PDF</v>
      </c>
      <c r="K6658" s="12" t="s">
        <v>11024</v>
      </c>
      <c r="L6658" s="20">
        <v>0.43626570915619389</v>
      </c>
    </row>
    <row r="6659" spans="1:12" x14ac:dyDescent="0.45">
      <c r="A6659" s="12" t="s">
        <v>11025</v>
      </c>
      <c r="B6659" s="12" t="s">
        <v>908</v>
      </c>
      <c r="C6659" s="13" t="s">
        <v>909</v>
      </c>
      <c r="D6659" s="13" t="s">
        <v>57</v>
      </c>
      <c r="E6659" s="12" t="s">
        <v>35</v>
      </c>
      <c r="F6659" s="14">
        <v>210000</v>
      </c>
      <c r="G6659" s="14">
        <v>176000</v>
      </c>
      <c r="H6659" s="13" t="s">
        <v>11026</v>
      </c>
      <c r="I6659" s="40" t="s">
        <v>18</v>
      </c>
      <c r="J6659" s="40" t="str">
        <f>HYPERLINK("https://stock.pstatic.net/stock-research/company/16/20251208_company_150005000.pdf","PDF")</f>
        <v>PDF</v>
      </c>
      <c r="K6659" s="12" t="s">
        <v>11027</v>
      </c>
      <c r="L6659" s="20">
        <v>0.1931818181818182</v>
      </c>
    </row>
    <row r="6660" spans="1:12" x14ac:dyDescent="0.45">
      <c r="A6660" s="12" t="s">
        <v>11025</v>
      </c>
      <c r="B6660" s="12" t="s">
        <v>880</v>
      </c>
      <c r="C6660" s="13" t="s">
        <v>881</v>
      </c>
      <c r="D6660" s="13" t="s">
        <v>57</v>
      </c>
      <c r="E6660" s="12" t="s">
        <v>35</v>
      </c>
      <c r="F6660" s="14">
        <v>20000</v>
      </c>
      <c r="G6660" s="14">
        <v>14250</v>
      </c>
      <c r="H6660" s="13" t="s">
        <v>11028</v>
      </c>
      <c r="I6660" s="40" t="s">
        <v>18</v>
      </c>
      <c r="J6660" s="40" t="str">
        <f>HYPERLINK("https://stock.pstatic.net/stock-research/company/16/20251208_company_432246000.pdf","PDF")</f>
        <v>PDF</v>
      </c>
      <c r="K6660" s="12" t="s">
        <v>11029</v>
      </c>
      <c r="L6660" s="20">
        <v>0.40350877192982448</v>
      </c>
    </row>
    <row r="6661" spans="1:12" x14ac:dyDescent="0.45">
      <c r="A6661" s="12" t="s">
        <v>11025</v>
      </c>
      <c r="B6661" s="12" t="s">
        <v>268</v>
      </c>
      <c r="C6661" s="13" t="s">
        <v>269</v>
      </c>
      <c r="D6661" s="13" t="s">
        <v>65</v>
      </c>
      <c r="E6661" s="12" t="s">
        <v>35</v>
      </c>
      <c r="F6661" s="14">
        <v>640000</v>
      </c>
      <c r="G6661" s="14">
        <v>456500</v>
      </c>
      <c r="H6661" s="13" t="s">
        <v>11030</v>
      </c>
      <c r="I6661" s="40" t="s">
        <v>18</v>
      </c>
      <c r="J6661" s="40" t="str">
        <f>HYPERLINK("https://stock.pstatic.net/stock-research/company/57/20251208_company_917159000.pdf","PDF")</f>
        <v>PDF</v>
      </c>
      <c r="K6661" s="12" t="s">
        <v>11031</v>
      </c>
      <c r="L6661" s="20">
        <v>0.40197152245345019</v>
      </c>
    </row>
    <row r="6662" spans="1:12" x14ac:dyDescent="0.45">
      <c r="A6662" s="12" t="s">
        <v>11025</v>
      </c>
      <c r="B6662" s="12" t="s">
        <v>3735</v>
      </c>
      <c r="C6662" s="13" t="s">
        <v>3736</v>
      </c>
      <c r="D6662" s="13" t="s">
        <v>65</v>
      </c>
      <c r="E6662" s="12" t="s">
        <v>50</v>
      </c>
      <c r="F6662" s="13"/>
      <c r="G6662" s="14">
        <v>5660</v>
      </c>
      <c r="H6662" s="13" t="s">
        <v>11032</v>
      </c>
      <c r="I6662" s="40" t="s">
        <v>18</v>
      </c>
      <c r="J6662" s="40" t="str">
        <f>HYPERLINK("https://stock.pstatic.net/stock-research/company/57/20251208_company_677713000.pdf","PDF")</f>
        <v>PDF</v>
      </c>
      <c r="K6662" s="12" t="s">
        <v>11033</v>
      </c>
    </row>
    <row r="6663" spans="1:12" x14ac:dyDescent="0.45">
      <c r="A6663" s="12" t="s">
        <v>11025</v>
      </c>
      <c r="B6663" s="12" t="s">
        <v>868</v>
      </c>
      <c r="C6663" s="13" t="s">
        <v>869</v>
      </c>
      <c r="D6663" s="13" t="s">
        <v>65</v>
      </c>
      <c r="E6663" s="12" t="s">
        <v>50</v>
      </c>
      <c r="F6663" s="13"/>
      <c r="G6663" s="14">
        <v>41800</v>
      </c>
      <c r="H6663" s="13" t="s">
        <v>11034</v>
      </c>
      <c r="I6663" s="40" t="s">
        <v>18</v>
      </c>
      <c r="J6663" s="40" t="str">
        <f>HYPERLINK("https://m.stock.naver.com/research/company/88655","PDF")</f>
        <v>PDF</v>
      </c>
      <c r="K6663" s="12" t="s">
        <v>11035</v>
      </c>
    </row>
    <row r="6664" spans="1:12" x14ac:dyDescent="0.45">
      <c r="A6664" s="12" t="s">
        <v>11025</v>
      </c>
      <c r="B6664" s="12" t="s">
        <v>1670</v>
      </c>
      <c r="C6664" s="13" t="s">
        <v>1671</v>
      </c>
      <c r="D6664" s="13" t="s">
        <v>65</v>
      </c>
      <c r="E6664" s="12" t="s">
        <v>35</v>
      </c>
      <c r="F6664" s="14">
        <v>170000</v>
      </c>
      <c r="G6664" s="14">
        <v>119100</v>
      </c>
      <c r="H6664" s="13" t="s">
        <v>11036</v>
      </c>
      <c r="I6664" s="40" t="s">
        <v>18</v>
      </c>
      <c r="J6664" s="40" t="str">
        <f>HYPERLINK("https://stock.pstatic.net/stock-research/company/57/20251208_company_182881000.pdf","PDF")</f>
        <v>PDF</v>
      </c>
      <c r="K6664" s="12" t="s">
        <v>11037</v>
      </c>
      <c r="L6664" s="20">
        <v>0.42737195633921082</v>
      </c>
    </row>
    <row r="6665" spans="1:12" x14ac:dyDescent="0.45">
      <c r="A6665" s="12" t="s">
        <v>11025</v>
      </c>
      <c r="B6665" s="12" t="s">
        <v>1019</v>
      </c>
      <c r="C6665" s="13" t="s">
        <v>1020</v>
      </c>
      <c r="D6665" s="13" t="s">
        <v>158</v>
      </c>
      <c r="E6665" s="12" t="s">
        <v>35</v>
      </c>
      <c r="F6665" s="14">
        <v>27000</v>
      </c>
      <c r="G6665" s="14">
        <v>21350</v>
      </c>
      <c r="H6665" s="13" t="s">
        <v>11038</v>
      </c>
      <c r="I6665" s="40" t="s">
        <v>18</v>
      </c>
      <c r="J6665" s="40" t="str">
        <f>HYPERLINK("https://stock.pstatic.net/stock-research/company/18/20251208_company_839387000.pdf","PDF")</f>
        <v>PDF</v>
      </c>
      <c r="K6665" s="12" t="s">
        <v>11039</v>
      </c>
      <c r="L6665" s="20">
        <v>0.26463700234192039</v>
      </c>
    </row>
    <row r="6666" spans="1:12" x14ac:dyDescent="0.45">
      <c r="A6666" s="12" t="s">
        <v>11025</v>
      </c>
      <c r="B6666" s="12" t="s">
        <v>2308</v>
      </c>
      <c r="C6666" s="13" t="s">
        <v>2309</v>
      </c>
      <c r="D6666" s="13" t="s">
        <v>158</v>
      </c>
      <c r="E6666" s="12" t="s">
        <v>50</v>
      </c>
      <c r="F6666" s="13"/>
      <c r="G6666" s="14">
        <v>16120</v>
      </c>
      <c r="H6666" s="13" t="s">
        <v>11040</v>
      </c>
      <c r="I6666" s="40" t="s">
        <v>18</v>
      </c>
      <c r="J6666" s="40" t="str">
        <f>HYPERLINK("https://stock.pstatic.net/stock-research/company/18/20251208_company_574144000.pdf","PDF")</f>
        <v>PDF</v>
      </c>
      <c r="K6666" s="12" t="s">
        <v>11041</v>
      </c>
    </row>
    <row r="6667" spans="1:12" x14ac:dyDescent="0.45">
      <c r="A6667" s="12" t="s">
        <v>11025</v>
      </c>
      <c r="B6667" s="12" t="s">
        <v>4466</v>
      </c>
      <c r="C6667" s="13" t="s">
        <v>4467</v>
      </c>
      <c r="D6667" s="13" t="s">
        <v>23</v>
      </c>
      <c r="E6667" s="12" t="s">
        <v>50</v>
      </c>
      <c r="F6667" s="13"/>
      <c r="G6667" s="14">
        <v>1780</v>
      </c>
      <c r="H6667" s="13" t="s">
        <v>11042</v>
      </c>
      <c r="I6667" s="40" t="s">
        <v>18</v>
      </c>
      <c r="J6667" s="40" t="str">
        <f>HYPERLINK("https://stock.pstatic.net/stock-research/company/21/20251208_company_974689000.pdf","PDF")</f>
        <v>PDF</v>
      </c>
      <c r="K6667" s="12" t="s">
        <v>11043</v>
      </c>
    </row>
    <row r="6668" spans="1:12" x14ac:dyDescent="0.45">
      <c r="A6668" s="12" t="s">
        <v>11025</v>
      </c>
      <c r="B6668" s="12" t="s">
        <v>1621</v>
      </c>
      <c r="C6668" s="13" t="s">
        <v>1622</v>
      </c>
      <c r="D6668" s="13" t="s">
        <v>92</v>
      </c>
      <c r="E6668" s="12" t="s">
        <v>50</v>
      </c>
      <c r="F6668" s="13"/>
      <c r="G6668" s="14">
        <v>6250</v>
      </c>
      <c r="H6668" s="13" t="s">
        <v>11044</v>
      </c>
      <c r="I6668" s="40" t="s">
        <v>18</v>
      </c>
      <c r="J6668" s="40" t="str">
        <f>HYPERLINK("https://stock.pstatic.net/stock-research/company/63/20251208_company_504493000.pdf","PDF")</f>
        <v>PDF</v>
      </c>
      <c r="K6668" s="12" t="s">
        <v>11045</v>
      </c>
    </row>
    <row r="6669" spans="1:12" x14ac:dyDescent="0.45">
      <c r="A6669" s="12" t="s">
        <v>11025</v>
      </c>
      <c r="B6669" s="12" t="s">
        <v>11046</v>
      </c>
      <c r="C6669" s="13" t="s">
        <v>11047</v>
      </c>
      <c r="D6669" s="13" t="s">
        <v>92</v>
      </c>
      <c r="E6669" s="12" t="s">
        <v>50</v>
      </c>
      <c r="F6669" s="13"/>
      <c r="G6669" s="14">
        <v>7440</v>
      </c>
      <c r="H6669" s="13" t="s">
        <v>11048</v>
      </c>
      <c r="I6669" s="40" t="s">
        <v>18</v>
      </c>
      <c r="J6669" s="40" t="str">
        <f>HYPERLINK("https://stock.pstatic.net/stock-research/company/63/20251208_company_761269000.pdf","PDF")</f>
        <v>PDF</v>
      </c>
      <c r="K6669" s="12" t="s">
        <v>11049</v>
      </c>
    </row>
    <row r="6670" spans="1:12" x14ac:dyDescent="0.45">
      <c r="A6670" s="12" t="s">
        <v>11025</v>
      </c>
      <c r="B6670" s="12" t="s">
        <v>6899</v>
      </c>
      <c r="C6670" s="13" t="s">
        <v>6900</v>
      </c>
      <c r="D6670" s="13" t="s">
        <v>92</v>
      </c>
      <c r="E6670" s="12" t="s">
        <v>50</v>
      </c>
      <c r="F6670" s="13"/>
      <c r="G6670" s="14">
        <v>44450</v>
      </c>
      <c r="H6670" s="13" t="s">
        <v>11050</v>
      </c>
      <c r="I6670" s="40" t="s">
        <v>18</v>
      </c>
      <c r="J6670" s="40" t="str">
        <f>HYPERLINK("https://stock.pstatic.net/stock-research/company/63/20251208_company_25824000.pdf","PDF")</f>
        <v>PDF</v>
      </c>
      <c r="K6670" s="12" t="s">
        <v>11051</v>
      </c>
    </row>
    <row r="6671" spans="1:12" x14ac:dyDescent="0.45">
      <c r="A6671" s="12" t="s">
        <v>11025</v>
      </c>
      <c r="B6671" s="12" t="s">
        <v>904</v>
      </c>
      <c r="C6671" s="13" t="s">
        <v>905</v>
      </c>
      <c r="D6671" s="13" t="s">
        <v>23</v>
      </c>
      <c r="E6671" s="12" t="s">
        <v>50</v>
      </c>
      <c r="F6671" s="13"/>
      <c r="G6671" s="14">
        <v>34450</v>
      </c>
      <c r="H6671" s="13" t="s">
        <v>11052</v>
      </c>
      <c r="I6671" s="40" t="s">
        <v>18</v>
      </c>
      <c r="J6671" s="40" t="str">
        <f>HYPERLINK("https://stock.pstatic.net/stock-research/company/21/20251208_company_299248000.pdf","PDF")</f>
        <v>PDF</v>
      </c>
      <c r="K6671" s="12" t="s">
        <v>11053</v>
      </c>
    </row>
    <row r="6672" spans="1:12" x14ac:dyDescent="0.45">
      <c r="A6672" s="12" t="s">
        <v>11025</v>
      </c>
      <c r="B6672" s="12" t="s">
        <v>912</v>
      </c>
      <c r="C6672" s="13" t="s">
        <v>913</v>
      </c>
      <c r="D6672" s="13" t="s">
        <v>34</v>
      </c>
      <c r="E6672" s="12" t="s">
        <v>50</v>
      </c>
      <c r="F6672" s="13"/>
      <c r="G6672" s="14">
        <v>67200</v>
      </c>
      <c r="H6672" s="13" t="s">
        <v>11054</v>
      </c>
      <c r="I6672" s="40" t="s">
        <v>18</v>
      </c>
      <c r="J6672" s="40" t="str">
        <f>HYPERLINK("https://stock.pstatic.net/stock-research/company/61/20251208_company_570782000.pdf","PDF")</f>
        <v>PDF</v>
      </c>
      <c r="K6672" s="12" t="s">
        <v>11055</v>
      </c>
    </row>
    <row r="6673" spans="1:12" x14ac:dyDescent="0.45">
      <c r="A6673" s="12" t="s">
        <v>11025</v>
      </c>
      <c r="B6673" s="12" t="s">
        <v>394</v>
      </c>
      <c r="C6673" s="13" t="s">
        <v>395</v>
      </c>
      <c r="D6673" s="13" t="s">
        <v>34</v>
      </c>
      <c r="E6673" s="12" t="s">
        <v>50</v>
      </c>
      <c r="F6673" s="13"/>
      <c r="G6673" s="14">
        <v>53000</v>
      </c>
      <c r="H6673" s="13" t="s">
        <v>11056</v>
      </c>
      <c r="I6673" s="40" t="s">
        <v>18</v>
      </c>
      <c r="J6673" s="40" t="str">
        <f>HYPERLINK("https://stock.pstatic.net/stock-research/company/61/20251208_company_172295000.pdf","PDF")</f>
        <v>PDF</v>
      </c>
      <c r="K6673" s="12" t="s">
        <v>11057</v>
      </c>
    </row>
    <row r="6674" spans="1:12" x14ac:dyDescent="0.45">
      <c r="A6674" s="12" t="s">
        <v>11025</v>
      </c>
      <c r="B6674" s="12" t="s">
        <v>816</v>
      </c>
      <c r="C6674" s="13" t="s">
        <v>817</v>
      </c>
      <c r="D6674" s="13" t="s">
        <v>34</v>
      </c>
      <c r="E6674" s="12" t="s">
        <v>50</v>
      </c>
      <c r="F6674" s="13"/>
      <c r="G6674" s="14">
        <v>28000</v>
      </c>
      <c r="H6674" s="13" t="s">
        <v>11058</v>
      </c>
      <c r="I6674" s="40" t="s">
        <v>18</v>
      </c>
      <c r="J6674" s="40" t="str">
        <f>HYPERLINK("https://stock.pstatic.net/stock-research/company/61/20251208_company_623180000.pdf","PDF")</f>
        <v>PDF</v>
      </c>
      <c r="K6674" s="12" t="s">
        <v>11059</v>
      </c>
    </row>
    <row r="6675" spans="1:12" x14ac:dyDescent="0.45">
      <c r="A6675" s="12" t="s">
        <v>11025</v>
      </c>
      <c r="B6675" s="12" t="s">
        <v>11060</v>
      </c>
      <c r="C6675" s="13" t="s">
        <v>11061</v>
      </c>
      <c r="D6675" s="13" t="s">
        <v>53</v>
      </c>
      <c r="E6675" s="12" t="s">
        <v>50</v>
      </c>
      <c r="F6675" s="13"/>
      <c r="G6675" s="14">
        <v>6110</v>
      </c>
      <c r="H6675" s="13" t="s">
        <v>11062</v>
      </c>
      <c r="I6675" s="40" t="s">
        <v>18</v>
      </c>
      <c r="J6675" s="40" t="str">
        <f>HYPERLINK("https://stock.pstatic.net/stock-research/company/40/20251208_company_791113000.pdf","PDF")</f>
        <v>PDF</v>
      </c>
      <c r="K6675" s="12" t="s">
        <v>11063</v>
      </c>
    </row>
    <row r="6676" spans="1:12" x14ac:dyDescent="0.45">
      <c r="A6676" s="12" t="s">
        <v>11025</v>
      </c>
      <c r="B6676" s="12" t="s">
        <v>334</v>
      </c>
      <c r="C6676" s="13" t="s">
        <v>335</v>
      </c>
      <c r="D6676" s="13" t="s">
        <v>44</v>
      </c>
      <c r="E6676" s="12" t="s">
        <v>35</v>
      </c>
      <c r="F6676" s="14">
        <v>730000</v>
      </c>
      <c r="G6676" s="14">
        <v>544000</v>
      </c>
      <c r="H6676" s="13" t="s">
        <v>4273</v>
      </c>
      <c r="I6676" s="40" t="s">
        <v>18</v>
      </c>
      <c r="J6676" s="40" t="str">
        <f>HYPERLINK("https://m.stock.naver.com/research/company/88642","PDF")</f>
        <v>PDF</v>
      </c>
      <c r="K6676" s="12" t="s">
        <v>11064</v>
      </c>
      <c r="L6676" s="20">
        <v>0.34191176470588241</v>
      </c>
    </row>
    <row r="6677" spans="1:12" x14ac:dyDescent="0.45">
      <c r="A6677" s="12" t="s">
        <v>11025</v>
      </c>
      <c r="B6677" s="12" t="s">
        <v>114</v>
      </c>
      <c r="C6677" s="13" t="s">
        <v>115</v>
      </c>
      <c r="D6677" s="13" t="s">
        <v>44</v>
      </c>
      <c r="E6677" s="12" t="s">
        <v>35</v>
      </c>
      <c r="F6677" s="14">
        <v>19000</v>
      </c>
      <c r="G6677" s="14">
        <v>15670</v>
      </c>
      <c r="H6677" s="13" t="s">
        <v>11065</v>
      </c>
      <c r="I6677" s="40" t="s">
        <v>18</v>
      </c>
      <c r="J6677" s="40" t="str">
        <f>HYPERLINK("https://stock.pstatic.net/stock-research/company/39/20251208_company_354533000.pdf","PDF")</f>
        <v>PDF</v>
      </c>
      <c r="K6677" s="12" t="s">
        <v>11066</v>
      </c>
      <c r="L6677" s="20">
        <v>0.21250797702616461</v>
      </c>
    </row>
    <row r="6678" spans="1:12" x14ac:dyDescent="0.45">
      <c r="A6678" s="12" t="s">
        <v>11025</v>
      </c>
      <c r="B6678" s="12" t="s">
        <v>98</v>
      </c>
      <c r="C6678" s="13" t="s">
        <v>99</v>
      </c>
      <c r="D6678" s="13" t="s">
        <v>44</v>
      </c>
      <c r="E6678" s="12" t="s">
        <v>45</v>
      </c>
      <c r="F6678" s="14">
        <v>37000</v>
      </c>
      <c r="G6678" s="14">
        <v>32350</v>
      </c>
      <c r="H6678" s="13" t="s">
        <v>11067</v>
      </c>
      <c r="I6678" s="40" t="s">
        <v>18</v>
      </c>
      <c r="J6678" s="40" t="str">
        <f>HYPERLINK("https://m.stock.naver.com/research/company/88640","PDF")</f>
        <v>PDF</v>
      </c>
      <c r="K6678" s="12" t="s">
        <v>11068</v>
      </c>
      <c r="L6678" s="20">
        <v>0.14374034003091191</v>
      </c>
    </row>
    <row r="6679" spans="1:12" x14ac:dyDescent="0.45">
      <c r="A6679" s="12" t="s">
        <v>11025</v>
      </c>
      <c r="B6679" s="12" t="s">
        <v>1906</v>
      </c>
      <c r="C6679" s="13" t="s">
        <v>1907</v>
      </c>
      <c r="D6679" s="13" t="s">
        <v>44</v>
      </c>
      <c r="E6679" s="12" t="s">
        <v>642</v>
      </c>
      <c r="F6679" s="14">
        <v>39000</v>
      </c>
      <c r="G6679" s="14">
        <v>38650</v>
      </c>
      <c r="H6679" s="13" t="s">
        <v>11069</v>
      </c>
      <c r="I6679" s="40" t="s">
        <v>18</v>
      </c>
      <c r="J6679" s="40" t="str">
        <f>HYPERLINK("https://m.stock.naver.com/research/company/88639","PDF")</f>
        <v>PDF</v>
      </c>
      <c r="K6679" s="12" t="s">
        <v>11070</v>
      </c>
      <c r="L6679" s="20">
        <v>9.0556274256144882E-3</v>
      </c>
    </row>
    <row r="6680" spans="1:12" x14ac:dyDescent="0.45">
      <c r="A6680" s="12" t="s">
        <v>11025</v>
      </c>
      <c r="B6680" s="12" t="s">
        <v>11060</v>
      </c>
      <c r="C6680" s="13" t="s">
        <v>11061</v>
      </c>
      <c r="D6680" s="13" t="s">
        <v>124</v>
      </c>
      <c r="E6680" s="12" t="s">
        <v>50</v>
      </c>
      <c r="F6680" s="13"/>
      <c r="G6680" s="13"/>
      <c r="H6680" s="13" t="s">
        <v>11071</v>
      </c>
      <c r="I6680" s="40" t="s">
        <v>18</v>
      </c>
      <c r="J6680" s="40" t="str">
        <f>HYPERLINK("https://stock.pstatic.net/stock-research/company/74/20251208_company_30900000.pdf","PDF")</f>
        <v>PDF</v>
      </c>
      <c r="K6680" s="12" t="s">
        <v>11072</v>
      </c>
    </row>
    <row r="6681" spans="1:12" x14ac:dyDescent="0.45">
      <c r="A6681" s="12" t="s">
        <v>11025</v>
      </c>
      <c r="B6681" s="12" t="s">
        <v>5949</v>
      </c>
      <c r="C6681" s="13" t="s">
        <v>5950</v>
      </c>
      <c r="D6681" s="13" t="s">
        <v>124</v>
      </c>
      <c r="E6681" s="12" t="s">
        <v>50</v>
      </c>
      <c r="F6681" s="13"/>
      <c r="G6681" s="13"/>
      <c r="H6681" s="13" t="s">
        <v>11073</v>
      </c>
      <c r="I6681" s="40" t="s">
        <v>18</v>
      </c>
      <c r="J6681" s="40" t="str">
        <f>HYPERLINK("https://stock.pstatic.net/stock-research/company/74/20251208_company_573148000.pdf","PDF")</f>
        <v>PDF</v>
      </c>
      <c r="K6681" s="12" t="s">
        <v>11074</v>
      </c>
    </row>
    <row r="6682" spans="1:12" x14ac:dyDescent="0.45">
      <c r="A6682" s="12" t="s">
        <v>11025</v>
      </c>
      <c r="B6682" s="12" t="s">
        <v>11075</v>
      </c>
      <c r="C6682" s="13" t="s">
        <v>11076</v>
      </c>
      <c r="D6682" s="13" t="s">
        <v>124</v>
      </c>
      <c r="E6682" s="12" t="s">
        <v>50</v>
      </c>
      <c r="F6682" s="13"/>
      <c r="G6682" s="13"/>
      <c r="H6682" s="13" t="s">
        <v>11077</v>
      </c>
      <c r="I6682" s="40" t="s">
        <v>18</v>
      </c>
      <c r="J6682" s="40" t="str">
        <f>HYPERLINK("https://m.stock.naver.com/research/company/88636","PDF")</f>
        <v>PDF</v>
      </c>
      <c r="K6682" s="12" t="s">
        <v>11078</v>
      </c>
    </row>
    <row r="6683" spans="1:12" x14ac:dyDescent="0.45">
      <c r="A6683" s="12" t="s">
        <v>11025</v>
      </c>
      <c r="B6683" s="12" t="s">
        <v>11079</v>
      </c>
      <c r="C6683" s="13" t="s">
        <v>11080</v>
      </c>
      <c r="D6683" s="13" t="s">
        <v>124</v>
      </c>
      <c r="E6683" s="12" t="s">
        <v>50</v>
      </c>
      <c r="F6683" s="13"/>
      <c r="G6683" s="13"/>
      <c r="H6683" s="13" t="s">
        <v>11081</v>
      </c>
      <c r="I6683" s="40" t="s">
        <v>18</v>
      </c>
      <c r="J6683" s="40" t="str">
        <f>HYPERLINK("https://m.stock.naver.com/research/company/88635","PDF")</f>
        <v>PDF</v>
      </c>
      <c r="K6683" s="12" t="s">
        <v>11082</v>
      </c>
    </row>
    <row r="6684" spans="1:12" x14ac:dyDescent="0.45">
      <c r="A6684" s="12" t="s">
        <v>11083</v>
      </c>
      <c r="B6684" s="12" t="s">
        <v>1455</v>
      </c>
      <c r="C6684" s="13" t="s">
        <v>1456</v>
      </c>
      <c r="D6684" s="13" t="s">
        <v>65</v>
      </c>
      <c r="E6684" s="12" t="s">
        <v>50</v>
      </c>
      <c r="F6684" s="13"/>
      <c r="G6684" s="14">
        <v>1947</v>
      </c>
      <c r="H6684" s="13" t="s">
        <v>11084</v>
      </c>
      <c r="I6684" s="40" t="s">
        <v>18</v>
      </c>
      <c r="J6684" s="40" t="str">
        <f>HYPERLINK("https://stock.pstatic.net/stock-research/company/57/20251205_company_759018000.pdf","PDF")</f>
        <v>PDF</v>
      </c>
      <c r="K6684" s="12" t="s">
        <v>11085</v>
      </c>
    </row>
    <row r="6685" spans="1:12" x14ac:dyDescent="0.45">
      <c r="A6685" s="12" t="s">
        <v>11083</v>
      </c>
      <c r="B6685" s="12" t="s">
        <v>669</v>
      </c>
      <c r="C6685" s="13" t="s">
        <v>670</v>
      </c>
      <c r="D6685" s="13" t="s">
        <v>65</v>
      </c>
      <c r="E6685" s="12" t="s">
        <v>35</v>
      </c>
      <c r="F6685" s="14">
        <v>28000</v>
      </c>
      <c r="G6685" s="14">
        <v>14880</v>
      </c>
      <c r="H6685" s="13" t="s">
        <v>11086</v>
      </c>
      <c r="I6685" s="40" t="s">
        <v>18</v>
      </c>
      <c r="J6685" s="40" t="str">
        <f>HYPERLINK("https://m.stock.naver.com/research/company/88633","PDF")</f>
        <v>PDF</v>
      </c>
      <c r="K6685" s="12" t="s">
        <v>11087</v>
      </c>
      <c r="L6685" s="20">
        <v>0.88172043010752688</v>
      </c>
    </row>
    <row r="6686" spans="1:12" x14ac:dyDescent="0.45">
      <c r="A6686" s="12" t="s">
        <v>11083</v>
      </c>
      <c r="B6686" s="12" t="s">
        <v>5787</v>
      </c>
      <c r="C6686" s="13" t="s">
        <v>5788</v>
      </c>
      <c r="D6686" s="13" t="s">
        <v>65</v>
      </c>
      <c r="E6686" s="12" t="s">
        <v>50</v>
      </c>
      <c r="F6686" s="13"/>
      <c r="G6686" s="14">
        <v>13110</v>
      </c>
      <c r="H6686" s="13" t="s">
        <v>11088</v>
      </c>
      <c r="I6686" s="40" t="s">
        <v>18</v>
      </c>
      <c r="J6686" s="40" t="str">
        <f>HYPERLINK("https://stock.pstatic.net/stock-research/company/57/20251205_company_227185000.pdf","PDF")</f>
        <v>PDF</v>
      </c>
      <c r="K6686" s="12" t="s">
        <v>11089</v>
      </c>
    </row>
    <row r="6687" spans="1:12" x14ac:dyDescent="0.45">
      <c r="A6687" s="12" t="s">
        <v>11083</v>
      </c>
      <c r="B6687" s="12" t="s">
        <v>11090</v>
      </c>
      <c r="C6687" s="13" t="s">
        <v>11091</v>
      </c>
      <c r="D6687" s="13" t="s">
        <v>158</v>
      </c>
      <c r="E6687" s="12" t="s">
        <v>50</v>
      </c>
      <c r="F6687" s="13"/>
      <c r="G6687" s="14">
        <v>12490</v>
      </c>
      <c r="H6687" s="13" t="s">
        <v>11092</v>
      </c>
      <c r="I6687" s="40" t="s">
        <v>18</v>
      </c>
      <c r="J6687" s="40" t="str">
        <f>HYPERLINK("https://stock.pstatic.net/stock-research/company/18/20251205_company_993975000.pdf","PDF")</f>
        <v>PDF</v>
      </c>
      <c r="K6687" s="12" t="s">
        <v>11093</v>
      </c>
    </row>
    <row r="6688" spans="1:12" x14ac:dyDescent="0.45">
      <c r="A6688" s="12" t="s">
        <v>11083</v>
      </c>
      <c r="B6688" s="12" t="s">
        <v>977</v>
      </c>
      <c r="C6688" s="13" t="s">
        <v>978</v>
      </c>
      <c r="D6688" s="13" t="s">
        <v>92</v>
      </c>
      <c r="E6688" s="12" t="s">
        <v>50</v>
      </c>
      <c r="F6688" s="13"/>
      <c r="G6688" s="14">
        <v>1004</v>
      </c>
      <c r="H6688" s="13" t="s">
        <v>11094</v>
      </c>
      <c r="I6688" s="40" t="s">
        <v>18</v>
      </c>
      <c r="J6688" s="40" t="str">
        <f>HYPERLINK("https://stock.pstatic.net/stock-research/company/63/20251205_company_895919000.pdf","PDF")</f>
        <v>PDF</v>
      </c>
      <c r="K6688" s="12" t="s">
        <v>11095</v>
      </c>
    </row>
    <row r="6689" spans="1:12" x14ac:dyDescent="0.45">
      <c r="A6689" s="12" t="s">
        <v>11083</v>
      </c>
      <c r="B6689" s="12" t="s">
        <v>1087</v>
      </c>
      <c r="C6689" s="13" t="s">
        <v>1088</v>
      </c>
      <c r="D6689" s="13" t="s">
        <v>15</v>
      </c>
      <c r="E6689" s="12" t="s">
        <v>16</v>
      </c>
      <c r="F6689" s="14">
        <v>160000</v>
      </c>
      <c r="G6689" s="14">
        <v>117900</v>
      </c>
      <c r="H6689" s="13" t="s">
        <v>11096</v>
      </c>
      <c r="I6689" s="40" t="s">
        <v>18</v>
      </c>
      <c r="J6689" s="40" t="str">
        <f>HYPERLINK("https://stock.pstatic.net/stock-research/company/29/20251205_company_931524000.pdf","PDF")</f>
        <v>PDF</v>
      </c>
      <c r="K6689" s="12" t="s">
        <v>11097</v>
      </c>
      <c r="L6689" s="20">
        <v>0.35708227311280749</v>
      </c>
    </row>
    <row r="6690" spans="1:12" x14ac:dyDescent="0.45">
      <c r="A6690" s="12" t="s">
        <v>11083</v>
      </c>
      <c r="B6690" s="12" t="s">
        <v>231</v>
      </c>
      <c r="C6690" s="13" t="s">
        <v>232</v>
      </c>
      <c r="D6690" s="13" t="s">
        <v>15</v>
      </c>
      <c r="E6690" s="12" t="s">
        <v>50</v>
      </c>
      <c r="F6690" s="13"/>
      <c r="G6690" s="14">
        <v>32550</v>
      </c>
      <c r="H6690" s="13" t="s">
        <v>11098</v>
      </c>
      <c r="I6690" s="40" t="s">
        <v>18</v>
      </c>
      <c r="J6690" s="40" t="str">
        <f>HYPERLINK("https://stock.pstatic.net/stock-research/company/29/20251205_company_229790000.pdf","PDF")</f>
        <v>PDF</v>
      </c>
      <c r="K6690" s="12" t="s">
        <v>11099</v>
      </c>
    </row>
    <row r="6691" spans="1:12" x14ac:dyDescent="0.45">
      <c r="A6691" s="12" t="s">
        <v>11083</v>
      </c>
      <c r="B6691" s="12" t="s">
        <v>11100</v>
      </c>
      <c r="C6691" s="13" t="s">
        <v>11101</v>
      </c>
      <c r="D6691" s="13" t="s">
        <v>53</v>
      </c>
      <c r="E6691" s="12" t="s">
        <v>50</v>
      </c>
      <c r="F6691" s="13"/>
      <c r="G6691" s="14">
        <v>1630</v>
      </c>
      <c r="H6691" s="13" t="s">
        <v>11102</v>
      </c>
      <c r="I6691" s="40" t="s">
        <v>18</v>
      </c>
      <c r="J6691" s="40" t="str">
        <f>HYPERLINK("https://stock.pstatic.net/stock-research/company/40/20251205_company_675665000.pdf","PDF")</f>
        <v>PDF</v>
      </c>
      <c r="K6691" s="12" t="s">
        <v>11103</v>
      </c>
    </row>
    <row r="6692" spans="1:12" x14ac:dyDescent="0.45">
      <c r="A6692" s="12" t="s">
        <v>11083</v>
      </c>
      <c r="B6692" s="12" t="s">
        <v>1003</v>
      </c>
      <c r="C6692" s="13" t="s">
        <v>1004</v>
      </c>
      <c r="D6692" s="13" t="s">
        <v>23</v>
      </c>
      <c r="E6692" s="12" t="s">
        <v>50</v>
      </c>
      <c r="F6692" s="13"/>
      <c r="G6692" s="14">
        <v>18410</v>
      </c>
      <c r="H6692" s="13" t="s">
        <v>11104</v>
      </c>
      <c r="I6692" s="40" t="s">
        <v>18</v>
      </c>
      <c r="J6692" s="40" t="str">
        <f>HYPERLINK("https://m.stock.naver.com/research/company/88626","PDF")</f>
        <v>PDF</v>
      </c>
      <c r="K6692" s="12" t="s">
        <v>11105</v>
      </c>
    </row>
    <row r="6693" spans="1:12" x14ac:dyDescent="0.45">
      <c r="A6693" s="12" t="s">
        <v>11083</v>
      </c>
      <c r="B6693" s="12" t="s">
        <v>1670</v>
      </c>
      <c r="C6693" s="13" t="s">
        <v>1671</v>
      </c>
      <c r="D6693" s="13" t="s">
        <v>23</v>
      </c>
      <c r="E6693" s="12" t="s">
        <v>16</v>
      </c>
      <c r="F6693" s="14">
        <v>160000</v>
      </c>
      <c r="G6693" s="14">
        <v>119700</v>
      </c>
      <c r="H6693" s="13" t="s">
        <v>11106</v>
      </c>
      <c r="I6693" s="40" t="s">
        <v>18</v>
      </c>
      <c r="J6693" s="40" t="str">
        <f>HYPERLINK("https://stock.pstatic.net/stock-research/company/21/20251205_company_751378000.pdf","PDF")</f>
        <v>PDF</v>
      </c>
      <c r="K6693" s="12" t="s">
        <v>11107</v>
      </c>
      <c r="L6693" s="20">
        <v>0.33667502088554718</v>
      </c>
    </row>
    <row r="6694" spans="1:12" x14ac:dyDescent="0.45">
      <c r="A6694" s="12" t="s">
        <v>11083</v>
      </c>
      <c r="B6694" s="12" t="s">
        <v>38</v>
      </c>
      <c r="C6694" s="13" t="s">
        <v>39</v>
      </c>
      <c r="D6694" s="13" t="s">
        <v>44</v>
      </c>
      <c r="E6694" s="12" t="s">
        <v>35</v>
      </c>
      <c r="F6694" s="14">
        <v>300000</v>
      </c>
      <c r="G6694" s="14">
        <v>223500</v>
      </c>
      <c r="H6694" s="13" t="s">
        <v>11108</v>
      </c>
      <c r="I6694" s="40" t="s">
        <v>18</v>
      </c>
      <c r="J6694" s="40" t="str">
        <f>HYPERLINK("https://stock.pstatic.net/stock-research/company/39/20251205_company_333541000.pdf","PDF")</f>
        <v>PDF</v>
      </c>
      <c r="K6694" s="12" t="s">
        <v>11109</v>
      </c>
      <c r="L6694" s="20">
        <v>0.34228187919463088</v>
      </c>
    </row>
    <row r="6695" spans="1:12" x14ac:dyDescent="0.45">
      <c r="A6695" s="12" t="s">
        <v>11083</v>
      </c>
      <c r="B6695" s="12" t="s">
        <v>186</v>
      </c>
      <c r="C6695" s="13" t="s">
        <v>187</v>
      </c>
      <c r="D6695" s="13" t="s">
        <v>44</v>
      </c>
      <c r="E6695" s="12" t="s">
        <v>45</v>
      </c>
      <c r="F6695" s="14">
        <v>8000</v>
      </c>
      <c r="G6695" s="14">
        <v>7250</v>
      </c>
      <c r="H6695" s="13" t="s">
        <v>11110</v>
      </c>
      <c r="I6695" s="40" t="s">
        <v>18</v>
      </c>
      <c r="J6695" s="40" t="str">
        <f>HYPERLINK("https://stock.pstatic.net/stock-research/company/39/20251205_company_698845000.pdf","PDF")</f>
        <v>PDF</v>
      </c>
      <c r="K6695" s="12" t="s">
        <v>11111</v>
      </c>
      <c r="L6695" s="20">
        <v>0.10344827586206901</v>
      </c>
    </row>
    <row r="6696" spans="1:12" x14ac:dyDescent="0.45">
      <c r="A6696" s="12" t="s">
        <v>11083</v>
      </c>
      <c r="B6696" s="12" t="s">
        <v>11112</v>
      </c>
      <c r="C6696" s="13" t="s">
        <v>11113</v>
      </c>
      <c r="D6696" s="13" t="s">
        <v>124</v>
      </c>
      <c r="E6696" s="12" t="s">
        <v>50</v>
      </c>
      <c r="F6696" s="13"/>
      <c r="G6696" s="13"/>
      <c r="H6696" s="13" t="s">
        <v>11114</v>
      </c>
      <c r="I6696" s="40" t="s">
        <v>18</v>
      </c>
      <c r="J6696" s="40" t="str">
        <f>HYPERLINK("https://stock.pstatic.net/stock-research/company/74/20251205_company_351036000.pdf","PDF")</f>
        <v>PDF</v>
      </c>
      <c r="K6696" s="12" t="s">
        <v>11115</v>
      </c>
    </row>
    <row r="6697" spans="1:12" x14ac:dyDescent="0.45">
      <c r="A6697" s="12" t="s">
        <v>11083</v>
      </c>
      <c r="B6697" s="12" t="s">
        <v>11116</v>
      </c>
      <c r="C6697" s="13" t="s">
        <v>11117</v>
      </c>
      <c r="D6697" s="13" t="s">
        <v>124</v>
      </c>
      <c r="E6697" s="12" t="s">
        <v>50</v>
      </c>
      <c r="F6697" s="13"/>
      <c r="G6697" s="14">
        <v>4305</v>
      </c>
      <c r="H6697" s="13" t="s">
        <v>11118</v>
      </c>
      <c r="I6697" s="40" t="s">
        <v>18</v>
      </c>
      <c r="J6697" s="40" t="str">
        <f>HYPERLINK("https://m.stock.naver.com/research/company/88621","PDF")</f>
        <v>PDF</v>
      </c>
      <c r="K6697" s="12" t="s">
        <v>11119</v>
      </c>
    </row>
    <row r="6698" spans="1:12" x14ac:dyDescent="0.45">
      <c r="A6698" s="12" t="s">
        <v>11083</v>
      </c>
      <c r="B6698" s="12" t="s">
        <v>7598</v>
      </c>
      <c r="C6698" s="13" t="s">
        <v>7599</v>
      </c>
      <c r="D6698" s="13" t="s">
        <v>124</v>
      </c>
      <c r="E6698" s="12" t="s">
        <v>50</v>
      </c>
      <c r="F6698" s="13"/>
      <c r="G6698" s="14">
        <v>41300</v>
      </c>
      <c r="H6698" s="13" t="s">
        <v>11120</v>
      </c>
      <c r="I6698" s="40" t="s">
        <v>18</v>
      </c>
      <c r="J6698" s="40" t="str">
        <f>HYPERLINK("https://m.stock.naver.com/research/company/88620","PDF")</f>
        <v>PDF</v>
      </c>
      <c r="K6698" s="12" t="s">
        <v>11121</v>
      </c>
    </row>
    <row r="6699" spans="1:12" x14ac:dyDescent="0.45">
      <c r="A6699" s="12" t="s">
        <v>11083</v>
      </c>
      <c r="B6699" s="12" t="s">
        <v>11122</v>
      </c>
      <c r="C6699" s="13" t="s">
        <v>11123</v>
      </c>
      <c r="D6699" s="13" t="s">
        <v>124</v>
      </c>
      <c r="E6699" s="12" t="s">
        <v>50</v>
      </c>
      <c r="F6699" s="13"/>
      <c r="G6699" s="14">
        <v>1400</v>
      </c>
      <c r="H6699" s="13" t="s">
        <v>11124</v>
      </c>
      <c r="I6699" s="40" t="s">
        <v>18</v>
      </c>
      <c r="J6699" s="40" t="str">
        <f>HYPERLINK("https://stock.pstatic.net/stock-research/company/74/20251205_company_174749000.pdf","PDF")</f>
        <v>PDF</v>
      </c>
      <c r="K6699" s="12" t="s">
        <v>11125</v>
      </c>
    </row>
    <row r="6700" spans="1:12" x14ac:dyDescent="0.45">
      <c r="A6700" s="12" t="s">
        <v>11083</v>
      </c>
      <c r="B6700" s="12" t="s">
        <v>10997</v>
      </c>
      <c r="C6700" s="13" t="s">
        <v>10998</v>
      </c>
      <c r="D6700" s="13" t="s">
        <v>124</v>
      </c>
      <c r="E6700" s="12" t="s">
        <v>50</v>
      </c>
      <c r="F6700" s="13"/>
      <c r="G6700" s="14">
        <v>12830</v>
      </c>
      <c r="H6700" s="13" t="s">
        <v>11126</v>
      </c>
      <c r="I6700" s="40" t="s">
        <v>18</v>
      </c>
      <c r="J6700" s="40" t="str">
        <f>HYPERLINK("https://m.stock.naver.com/research/company/88618","PDF")</f>
        <v>PDF</v>
      </c>
      <c r="K6700" s="12" t="s">
        <v>11127</v>
      </c>
    </row>
    <row r="6701" spans="1:12" x14ac:dyDescent="0.45">
      <c r="A6701" s="12" t="s">
        <v>11083</v>
      </c>
      <c r="B6701" s="12" t="s">
        <v>11128</v>
      </c>
      <c r="C6701" s="13" t="s">
        <v>11129</v>
      </c>
      <c r="D6701" s="13" t="s">
        <v>124</v>
      </c>
      <c r="E6701" s="12" t="s">
        <v>50</v>
      </c>
      <c r="F6701" s="13"/>
      <c r="G6701" s="14">
        <v>7120</v>
      </c>
      <c r="H6701" s="13" t="s">
        <v>11130</v>
      </c>
      <c r="I6701" s="40" t="s">
        <v>18</v>
      </c>
      <c r="J6701" s="40" t="str">
        <f>HYPERLINK("https://m.stock.naver.com/research/company/88617","PDF")</f>
        <v>PDF</v>
      </c>
      <c r="K6701" s="12" t="s">
        <v>11131</v>
      </c>
    </row>
    <row r="6702" spans="1:12" x14ac:dyDescent="0.45">
      <c r="A6702" s="12" t="s">
        <v>11083</v>
      </c>
      <c r="B6702" s="12" t="s">
        <v>11132</v>
      </c>
      <c r="C6702" s="13" t="s">
        <v>11133</v>
      </c>
      <c r="D6702" s="13" t="s">
        <v>124</v>
      </c>
      <c r="E6702" s="12" t="s">
        <v>50</v>
      </c>
      <c r="F6702" s="13"/>
      <c r="G6702" s="14">
        <v>13260</v>
      </c>
      <c r="H6702" s="13" t="s">
        <v>11134</v>
      </c>
      <c r="I6702" s="40" t="s">
        <v>18</v>
      </c>
      <c r="J6702" s="40" t="str">
        <f>HYPERLINK("https://stock.pstatic.net/stock-research/company/74/20251205_company_329755000.pdf","PDF")</f>
        <v>PDF</v>
      </c>
      <c r="K6702" s="12" t="s">
        <v>11135</v>
      </c>
    </row>
    <row r="6703" spans="1:12" x14ac:dyDescent="0.45">
      <c r="A6703" s="12" t="s">
        <v>11083</v>
      </c>
      <c r="B6703" s="12" t="s">
        <v>11136</v>
      </c>
      <c r="C6703" s="13" t="s">
        <v>11137</v>
      </c>
      <c r="D6703" s="13" t="s">
        <v>124</v>
      </c>
      <c r="E6703" s="12" t="s">
        <v>50</v>
      </c>
      <c r="F6703" s="13"/>
      <c r="G6703" s="14">
        <v>7600</v>
      </c>
      <c r="H6703" s="13" t="s">
        <v>11138</v>
      </c>
      <c r="I6703" s="40" t="s">
        <v>18</v>
      </c>
      <c r="J6703" s="40" t="str">
        <f>HYPERLINK("https://stock.pstatic.net/stock-research/company/74/20251205_company_471891000.pdf","PDF")</f>
        <v>PDF</v>
      </c>
      <c r="K6703" s="12" t="s">
        <v>11139</v>
      </c>
    </row>
    <row r="6704" spans="1:12" x14ac:dyDescent="0.45">
      <c r="A6704" s="12" t="s">
        <v>11083</v>
      </c>
      <c r="B6704" s="12" t="s">
        <v>11140</v>
      </c>
      <c r="C6704" s="13" t="s">
        <v>11141</v>
      </c>
      <c r="D6704" s="13" t="s">
        <v>124</v>
      </c>
      <c r="E6704" s="12" t="s">
        <v>50</v>
      </c>
      <c r="F6704" s="13"/>
      <c r="G6704" s="14">
        <v>3090</v>
      </c>
      <c r="H6704" s="13" t="s">
        <v>11142</v>
      </c>
      <c r="I6704" s="40" t="s">
        <v>18</v>
      </c>
      <c r="J6704" s="40" t="str">
        <f>HYPERLINK("https://m.stock.naver.com/research/company/88614","PDF")</f>
        <v>PDF</v>
      </c>
      <c r="K6704" s="12" t="s">
        <v>11143</v>
      </c>
    </row>
    <row r="6705" spans="1:11" x14ac:dyDescent="0.45">
      <c r="A6705" s="12" t="s">
        <v>11083</v>
      </c>
      <c r="B6705" s="12" t="s">
        <v>11144</v>
      </c>
      <c r="C6705" s="13" t="s">
        <v>11145</v>
      </c>
      <c r="D6705" s="13" t="s">
        <v>124</v>
      </c>
      <c r="E6705" s="12" t="s">
        <v>50</v>
      </c>
      <c r="F6705" s="13"/>
      <c r="G6705" s="14">
        <v>2145</v>
      </c>
      <c r="H6705" s="13" t="s">
        <v>11146</v>
      </c>
      <c r="I6705" s="40" t="s">
        <v>18</v>
      </c>
      <c r="J6705" s="40" t="str">
        <f>HYPERLINK("https://m.stock.naver.com/research/company/88613","PDF")</f>
        <v>PDF</v>
      </c>
      <c r="K6705" s="12" t="s">
        <v>11147</v>
      </c>
    </row>
    <row r="6706" spans="1:11" x14ac:dyDescent="0.45">
      <c r="A6706" s="12" t="s">
        <v>11083</v>
      </c>
      <c r="B6706" s="12" t="s">
        <v>11148</v>
      </c>
      <c r="C6706" s="13" t="s">
        <v>11149</v>
      </c>
      <c r="D6706" s="13" t="s">
        <v>124</v>
      </c>
      <c r="E6706" s="12" t="s">
        <v>50</v>
      </c>
      <c r="F6706" s="13"/>
      <c r="G6706" s="14">
        <v>4800</v>
      </c>
      <c r="H6706" s="13" t="s">
        <v>11150</v>
      </c>
      <c r="I6706" s="40" t="s">
        <v>18</v>
      </c>
      <c r="J6706" s="40" t="str">
        <f>HYPERLINK("https://m.stock.naver.com/research/company/88612","PDF")</f>
        <v>PDF</v>
      </c>
      <c r="K6706" s="12" t="s">
        <v>11151</v>
      </c>
    </row>
    <row r="6707" spans="1:11" x14ac:dyDescent="0.45">
      <c r="A6707" s="12" t="s">
        <v>11083</v>
      </c>
      <c r="B6707" s="12" t="s">
        <v>11152</v>
      </c>
      <c r="C6707" s="13" t="s">
        <v>11153</v>
      </c>
      <c r="D6707" s="13" t="s">
        <v>11154</v>
      </c>
      <c r="E6707" s="12" t="s">
        <v>50</v>
      </c>
      <c r="F6707" s="13"/>
      <c r="G6707" s="13"/>
      <c r="H6707" s="13" t="s">
        <v>11155</v>
      </c>
      <c r="I6707" s="40" t="s">
        <v>18</v>
      </c>
      <c r="J6707" s="40" t="str">
        <f>HYPERLINK("https://m.stock.naver.com/research/company/88611","PDF")</f>
        <v>PDF</v>
      </c>
      <c r="K6707" s="12" t="s">
        <v>11156</v>
      </c>
    </row>
    <row r="6708" spans="1:11" x14ac:dyDescent="0.45">
      <c r="A6708" s="12" t="s">
        <v>11083</v>
      </c>
      <c r="B6708" s="12" t="s">
        <v>11157</v>
      </c>
      <c r="C6708" s="13" t="s">
        <v>11158</v>
      </c>
      <c r="D6708" s="13" t="s">
        <v>11154</v>
      </c>
      <c r="E6708" s="12" t="s">
        <v>50</v>
      </c>
      <c r="F6708" s="13"/>
      <c r="G6708" s="13"/>
      <c r="H6708" s="13" t="s">
        <v>11159</v>
      </c>
      <c r="I6708" s="40" t="s">
        <v>18</v>
      </c>
      <c r="J6708" s="40" t="str">
        <f>HYPERLINK("https://stock.pstatic.net/stock-research/company/79/20251205_company_679720000.pdf","PDF")</f>
        <v>PDF</v>
      </c>
      <c r="K6708" s="12" t="s">
        <v>11160</v>
      </c>
    </row>
    <row r="6709" spans="1:11" x14ac:dyDescent="0.45">
      <c r="A6709" s="12" t="s">
        <v>11083</v>
      </c>
      <c r="B6709" s="12" t="s">
        <v>11161</v>
      </c>
      <c r="C6709" s="13" t="s">
        <v>11162</v>
      </c>
      <c r="D6709" s="13" t="s">
        <v>11154</v>
      </c>
      <c r="E6709" s="12" t="s">
        <v>50</v>
      </c>
      <c r="F6709" s="13"/>
      <c r="G6709" s="13"/>
      <c r="H6709" s="13" t="s">
        <v>11163</v>
      </c>
      <c r="I6709" s="40" t="s">
        <v>18</v>
      </c>
      <c r="J6709" s="40" t="str">
        <f>HYPERLINK("https://stock.pstatic.net/stock-research/company/79/20251205_company_409012000.pdf","PDF")</f>
        <v>PDF</v>
      </c>
      <c r="K6709" s="12" t="s">
        <v>11164</v>
      </c>
    </row>
    <row r="6710" spans="1:11" x14ac:dyDescent="0.45">
      <c r="A6710" s="12" t="s">
        <v>11083</v>
      </c>
      <c r="B6710" s="12" t="s">
        <v>11165</v>
      </c>
      <c r="C6710" s="13" t="s">
        <v>11166</v>
      </c>
      <c r="D6710" s="13" t="s">
        <v>11154</v>
      </c>
      <c r="E6710" s="12" t="s">
        <v>50</v>
      </c>
      <c r="F6710" s="13"/>
      <c r="G6710" s="13"/>
      <c r="H6710" s="13" t="s">
        <v>11167</v>
      </c>
      <c r="I6710" s="40" t="s">
        <v>18</v>
      </c>
      <c r="J6710" s="40" t="str">
        <f>HYPERLINK("https://stock.pstatic.net/stock-research/company/79/20251205_company_448807000.pdf","PDF")</f>
        <v>PDF</v>
      </c>
      <c r="K6710" s="12" t="s">
        <v>11168</v>
      </c>
    </row>
    <row r="6711" spans="1:11" x14ac:dyDescent="0.45">
      <c r="A6711" s="12" t="s">
        <v>11083</v>
      </c>
      <c r="B6711" s="12" t="s">
        <v>11169</v>
      </c>
      <c r="C6711" s="13" t="s">
        <v>11170</v>
      </c>
      <c r="D6711" s="13" t="s">
        <v>11154</v>
      </c>
      <c r="E6711" s="12" t="s">
        <v>50</v>
      </c>
      <c r="F6711" s="13"/>
      <c r="G6711" s="13"/>
      <c r="H6711" s="13" t="s">
        <v>11171</v>
      </c>
      <c r="I6711" s="40" t="s">
        <v>18</v>
      </c>
      <c r="J6711" s="40" t="str">
        <f>HYPERLINK("https://m.stock.naver.com/research/company/88607","PDF")</f>
        <v>PDF</v>
      </c>
      <c r="K6711" s="12" t="s">
        <v>11172</v>
      </c>
    </row>
    <row r="6712" spans="1:11" x14ac:dyDescent="0.45">
      <c r="A6712" s="12" t="s">
        <v>11083</v>
      </c>
      <c r="B6712" s="12" t="s">
        <v>11173</v>
      </c>
      <c r="C6712" s="13" t="s">
        <v>11174</v>
      </c>
      <c r="D6712" s="13" t="s">
        <v>11154</v>
      </c>
      <c r="E6712" s="12" t="s">
        <v>50</v>
      </c>
      <c r="F6712" s="13"/>
      <c r="G6712" s="13"/>
      <c r="H6712" s="13" t="s">
        <v>11175</v>
      </c>
      <c r="I6712" s="40" t="s">
        <v>18</v>
      </c>
      <c r="J6712" s="40" t="str">
        <f>HYPERLINK("https://m.stock.naver.com/research/company/88606","PDF")</f>
        <v>PDF</v>
      </c>
      <c r="K6712" s="12" t="s">
        <v>11176</v>
      </c>
    </row>
    <row r="6713" spans="1:11" x14ac:dyDescent="0.45">
      <c r="A6713" s="12" t="s">
        <v>11083</v>
      </c>
      <c r="B6713" s="12" t="s">
        <v>11177</v>
      </c>
      <c r="C6713" s="13" t="s">
        <v>11178</v>
      </c>
      <c r="D6713" s="13" t="s">
        <v>11154</v>
      </c>
      <c r="E6713" s="12" t="s">
        <v>50</v>
      </c>
      <c r="F6713" s="13"/>
      <c r="G6713" s="13"/>
      <c r="H6713" s="13" t="s">
        <v>11179</v>
      </c>
      <c r="I6713" s="40" t="s">
        <v>18</v>
      </c>
      <c r="J6713" s="40" t="str">
        <f>HYPERLINK("https://m.stock.naver.com/research/company/88605","PDF")</f>
        <v>PDF</v>
      </c>
      <c r="K6713" s="12" t="s">
        <v>11180</v>
      </c>
    </row>
    <row r="6714" spans="1:11" x14ac:dyDescent="0.45">
      <c r="A6714" s="12" t="s">
        <v>11083</v>
      </c>
      <c r="B6714" s="12" t="s">
        <v>11181</v>
      </c>
      <c r="C6714" s="13" t="s">
        <v>11182</v>
      </c>
      <c r="D6714" s="13" t="s">
        <v>11154</v>
      </c>
      <c r="E6714" s="12" t="s">
        <v>50</v>
      </c>
      <c r="F6714" s="13"/>
      <c r="G6714" s="13"/>
      <c r="H6714" s="13" t="s">
        <v>11183</v>
      </c>
      <c r="I6714" s="40" t="s">
        <v>18</v>
      </c>
      <c r="J6714" s="40" t="str">
        <f>HYPERLINK("https://m.stock.naver.com/research/company/88604","PDF")</f>
        <v>PDF</v>
      </c>
      <c r="K6714" s="12" t="s">
        <v>11184</v>
      </c>
    </row>
    <row r="6715" spans="1:11" x14ac:dyDescent="0.45">
      <c r="A6715" s="12" t="s">
        <v>11083</v>
      </c>
      <c r="B6715" s="12" t="s">
        <v>11185</v>
      </c>
      <c r="C6715" s="13" t="s">
        <v>11186</v>
      </c>
      <c r="D6715" s="13" t="s">
        <v>11154</v>
      </c>
      <c r="E6715" s="12" t="s">
        <v>50</v>
      </c>
      <c r="F6715" s="13"/>
      <c r="G6715" s="13"/>
      <c r="H6715" s="13" t="s">
        <v>11187</v>
      </c>
      <c r="I6715" s="40" t="s">
        <v>18</v>
      </c>
      <c r="J6715" s="40" t="str">
        <f>HYPERLINK("https://stock.pstatic.net/stock-research/company/79/20251205_company_164785000.pdf","PDF")</f>
        <v>PDF</v>
      </c>
      <c r="K6715" s="12" t="s">
        <v>11188</v>
      </c>
    </row>
    <row r="6716" spans="1:11" x14ac:dyDescent="0.45">
      <c r="A6716" s="12" t="s">
        <v>11083</v>
      </c>
      <c r="B6716" s="12" t="s">
        <v>11189</v>
      </c>
      <c r="C6716" s="13" t="s">
        <v>11190</v>
      </c>
      <c r="D6716" s="13" t="s">
        <v>11154</v>
      </c>
      <c r="E6716" s="12" t="s">
        <v>50</v>
      </c>
      <c r="F6716" s="13"/>
      <c r="G6716" s="13"/>
      <c r="H6716" s="13" t="s">
        <v>11191</v>
      </c>
      <c r="I6716" s="40" t="s">
        <v>18</v>
      </c>
      <c r="J6716" s="40" t="str">
        <f>HYPERLINK("https://stock.pstatic.net/stock-research/company/79/20251205_company_479574000.pdf","PDF")</f>
        <v>PDF</v>
      </c>
      <c r="K6716" s="12" t="s">
        <v>11192</v>
      </c>
    </row>
    <row r="6717" spans="1:11" x14ac:dyDescent="0.45">
      <c r="A6717" s="12" t="s">
        <v>11083</v>
      </c>
      <c r="B6717" s="12" t="s">
        <v>11193</v>
      </c>
      <c r="C6717" s="13" t="s">
        <v>11194</v>
      </c>
      <c r="D6717" s="13" t="s">
        <v>11154</v>
      </c>
      <c r="E6717" s="12" t="s">
        <v>50</v>
      </c>
      <c r="F6717" s="13"/>
      <c r="G6717" s="13"/>
      <c r="H6717" s="13" t="s">
        <v>11195</v>
      </c>
      <c r="I6717" s="40" t="s">
        <v>18</v>
      </c>
      <c r="J6717" s="40" t="str">
        <f>HYPERLINK("https://stock.pstatic.net/stock-research/company/79/20251205_company_84532000.pdf","PDF")</f>
        <v>PDF</v>
      </c>
      <c r="K6717" s="12" t="s">
        <v>11196</v>
      </c>
    </row>
    <row r="6718" spans="1:11" x14ac:dyDescent="0.45">
      <c r="A6718" s="12" t="s">
        <v>11083</v>
      </c>
      <c r="B6718" s="12" t="s">
        <v>11197</v>
      </c>
      <c r="C6718" s="13" t="s">
        <v>11198</v>
      </c>
      <c r="D6718" s="13" t="s">
        <v>207</v>
      </c>
      <c r="E6718" s="12" t="s">
        <v>50</v>
      </c>
      <c r="F6718" s="13"/>
      <c r="G6718" s="13"/>
      <c r="H6718" s="13" t="s">
        <v>11199</v>
      </c>
      <c r="I6718" s="40" t="s">
        <v>18</v>
      </c>
      <c r="J6718" s="40" t="str">
        <f>HYPERLINK("https://stock.pstatic.net/stock-research/company/75/20251205_company_456903000.pdf","PDF")</f>
        <v>PDF</v>
      </c>
      <c r="K6718" s="12" t="s">
        <v>11200</v>
      </c>
    </row>
    <row r="6719" spans="1:11" x14ac:dyDescent="0.45">
      <c r="A6719" s="12" t="s">
        <v>11083</v>
      </c>
      <c r="B6719" s="12" t="s">
        <v>11201</v>
      </c>
      <c r="C6719" s="13" t="s">
        <v>11202</v>
      </c>
      <c r="D6719" s="13" t="s">
        <v>207</v>
      </c>
      <c r="E6719" s="12" t="s">
        <v>50</v>
      </c>
      <c r="F6719" s="13"/>
      <c r="G6719" s="13"/>
      <c r="H6719" s="13" t="s">
        <v>11203</v>
      </c>
      <c r="I6719" s="40" t="s">
        <v>18</v>
      </c>
      <c r="J6719" s="40" t="str">
        <f>HYPERLINK("https://stock.pstatic.net/stock-research/company/75/20251205_company_466577000.pdf","PDF")</f>
        <v>PDF</v>
      </c>
      <c r="K6719" s="12" t="s">
        <v>11204</v>
      </c>
    </row>
    <row r="6720" spans="1:11" x14ac:dyDescent="0.45">
      <c r="A6720" s="12" t="s">
        <v>11083</v>
      </c>
      <c r="B6720" s="12" t="s">
        <v>11205</v>
      </c>
      <c r="C6720" s="13" t="s">
        <v>11206</v>
      </c>
      <c r="D6720" s="13" t="s">
        <v>207</v>
      </c>
      <c r="E6720" s="12" t="s">
        <v>50</v>
      </c>
      <c r="F6720" s="13"/>
      <c r="G6720" s="13"/>
      <c r="H6720" s="13" t="s">
        <v>11207</v>
      </c>
      <c r="I6720" s="40" t="s">
        <v>18</v>
      </c>
      <c r="J6720" s="40" t="str">
        <f>HYPERLINK("https://stock.pstatic.net/stock-research/company/75/20251205_company_625182000.pdf","PDF")</f>
        <v>PDF</v>
      </c>
      <c r="K6720" s="12" t="s">
        <v>11208</v>
      </c>
    </row>
    <row r="6721" spans="1:11" x14ac:dyDescent="0.45">
      <c r="A6721" s="12" t="s">
        <v>11083</v>
      </c>
      <c r="B6721" s="12" t="s">
        <v>11209</v>
      </c>
      <c r="C6721" s="13" t="s">
        <v>11210</v>
      </c>
      <c r="D6721" s="13" t="s">
        <v>207</v>
      </c>
      <c r="E6721" s="12" t="s">
        <v>50</v>
      </c>
      <c r="F6721" s="13"/>
      <c r="G6721" s="13"/>
      <c r="H6721" s="13" t="s">
        <v>11211</v>
      </c>
      <c r="I6721" s="40" t="s">
        <v>18</v>
      </c>
      <c r="J6721" s="40" t="str">
        <f>HYPERLINK("https://stock.pstatic.net/stock-research/company/75/20251205_company_170310000.pdf","PDF")</f>
        <v>PDF</v>
      </c>
      <c r="K6721" s="12" t="s">
        <v>11212</v>
      </c>
    </row>
    <row r="6722" spans="1:11" x14ac:dyDescent="0.45">
      <c r="A6722" s="12" t="s">
        <v>11083</v>
      </c>
      <c r="B6722" s="12" t="s">
        <v>11213</v>
      </c>
      <c r="C6722" s="13" t="s">
        <v>11214</v>
      </c>
      <c r="D6722" s="13" t="s">
        <v>202</v>
      </c>
      <c r="E6722" s="12" t="s">
        <v>50</v>
      </c>
      <c r="F6722" s="13"/>
      <c r="G6722" s="13"/>
      <c r="H6722" s="13" t="s">
        <v>11215</v>
      </c>
      <c r="I6722" s="40" t="s">
        <v>18</v>
      </c>
      <c r="J6722" s="40" t="str">
        <f>HYPERLINK("https://stock.pstatic.net/stock-research/company/69/20251205_company_937015000.pdf","PDF")</f>
        <v>PDF</v>
      </c>
      <c r="K6722" s="12" t="s">
        <v>11216</v>
      </c>
    </row>
    <row r="6723" spans="1:11" x14ac:dyDescent="0.45">
      <c r="A6723" s="12" t="s">
        <v>11083</v>
      </c>
      <c r="B6723" s="12" t="s">
        <v>11217</v>
      </c>
      <c r="C6723" s="13" t="s">
        <v>11218</v>
      </c>
      <c r="D6723" s="13" t="s">
        <v>202</v>
      </c>
      <c r="E6723" s="12" t="s">
        <v>50</v>
      </c>
      <c r="F6723" s="13"/>
      <c r="G6723" s="13"/>
      <c r="H6723" s="13" t="s">
        <v>11219</v>
      </c>
      <c r="I6723" s="40" t="s">
        <v>18</v>
      </c>
      <c r="J6723" s="40" t="str">
        <f>HYPERLINK("https://stock.pstatic.net/stock-research/company/69/20251205_company_326780000.pdf","PDF")</f>
        <v>PDF</v>
      </c>
      <c r="K6723" s="12" t="s">
        <v>11220</v>
      </c>
    </row>
    <row r="6724" spans="1:11" x14ac:dyDescent="0.45">
      <c r="A6724" s="12" t="s">
        <v>11083</v>
      </c>
      <c r="B6724" s="12" t="s">
        <v>11221</v>
      </c>
      <c r="C6724" s="13" t="s">
        <v>11222</v>
      </c>
      <c r="D6724" s="13" t="s">
        <v>202</v>
      </c>
      <c r="E6724" s="12" t="s">
        <v>50</v>
      </c>
      <c r="F6724" s="13"/>
      <c r="G6724" s="13"/>
      <c r="H6724" s="13" t="s">
        <v>11223</v>
      </c>
      <c r="I6724" s="40" t="s">
        <v>18</v>
      </c>
      <c r="J6724" s="40" t="str">
        <f>HYPERLINK("https://stock.pstatic.net/stock-research/company/69/20251205_company_738111000.pdf","PDF")</f>
        <v>PDF</v>
      </c>
      <c r="K6724" s="12" t="s">
        <v>11224</v>
      </c>
    </row>
    <row r="6725" spans="1:11" x14ac:dyDescent="0.45">
      <c r="A6725" s="12" t="s">
        <v>11083</v>
      </c>
      <c r="B6725" s="12" t="s">
        <v>11225</v>
      </c>
      <c r="C6725" s="13" t="s">
        <v>11226</v>
      </c>
      <c r="D6725" s="13" t="s">
        <v>202</v>
      </c>
      <c r="E6725" s="12" t="s">
        <v>50</v>
      </c>
      <c r="F6725" s="13"/>
      <c r="G6725" s="13"/>
      <c r="H6725" s="13" t="s">
        <v>11227</v>
      </c>
      <c r="I6725" s="40" t="s">
        <v>18</v>
      </c>
      <c r="J6725" s="40" t="str">
        <f>HYPERLINK("https://stock.pstatic.net/stock-research/company/69/20251205_company_549173000.pdf","PDF")</f>
        <v>PDF</v>
      </c>
      <c r="K6725" s="12" t="s">
        <v>11228</v>
      </c>
    </row>
    <row r="6726" spans="1:11" x14ac:dyDescent="0.45">
      <c r="A6726" s="12" t="s">
        <v>11083</v>
      </c>
      <c r="B6726" s="12" t="s">
        <v>11229</v>
      </c>
      <c r="C6726" s="13" t="s">
        <v>11230</v>
      </c>
      <c r="D6726" s="13" t="s">
        <v>202</v>
      </c>
      <c r="E6726" s="12" t="s">
        <v>50</v>
      </c>
      <c r="F6726" s="13"/>
      <c r="G6726" s="13"/>
      <c r="H6726" s="13" t="s">
        <v>11231</v>
      </c>
      <c r="I6726" s="40" t="s">
        <v>18</v>
      </c>
      <c r="J6726" s="40" t="str">
        <f>HYPERLINK("https://stock.pstatic.net/stock-research/company/69/20251205_company_99874000.pdf","PDF")</f>
        <v>PDF</v>
      </c>
      <c r="K6726" s="12" t="s">
        <v>11232</v>
      </c>
    </row>
    <row r="6727" spans="1:11" x14ac:dyDescent="0.45">
      <c r="A6727" s="12" t="s">
        <v>11083</v>
      </c>
      <c r="B6727" s="12" t="s">
        <v>11233</v>
      </c>
      <c r="C6727" s="13" t="s">
        <v>11234</v>
      </c>
      <c r="D6727" s="13" t="s">
        <v>202</v>
      </c>
      <c r="E6727" s="12" t="s">
        <v>50</v>
      </c>
      <c r="F6727" s="13"/>
      <c r="G6727" s="13"/>
      <c r="H6727" s="13" t="s">
        <v>11235</v>
      </c>
      <c r="I6727" s="40" t="s">
        <v>18</v>
      </c>
      <c r="J6727" s="40" t="str">
        <f>HYPERLINK("https://stock.pstatic.net/stock-research/company/69/20251205_company_126828000.pdf","PDF")</f>
        <v>PDF</v>
      </c>
      <c r="K6727" s="12" t="s">
        <v>11236</v>
      </c>
    </row>
    <row r="6728" spans="1:11" x14ac:dyDescent="0.45">
      <c r="A6728" s="12" t="s">
        <v>11083</v>
      </c>
      <c r="B6728" s="12" t="s">
        <v>11237</v>
      </c>
      <c r="C6728" s="13" t="s">
        <v>11238</v>
      </c>
      <c r="D6728" s="13" t="s">
        <v>202</v>
      </c>
      <c r="E6728" s="12" t="s">
        <v>50</v>
      </c>
      <c r="F6728" s="13"/>
      <c r="G6728" s="13"/>
      <c r="H6728" s="13" t="s">
        <v>11239</v>
      </c>
      <c r="I6728" s="40" t="s">
        <v>18</v>
      </c>
      <c r="J6728" s="40" t="str">
        <f>HYPERLINK("https://stock.pstatic.net/stock-research/company/69/20251205_company_971455000.pdf","PDF")</f>
        <v>PDF</v>
      </c>
      <c r="K6728" s="12" t="s">
        <v>11240</v>
      </c>
    </row>
    <row r="6729" spans="1:11" x14ac:dyDescent="0.45">
      <c r="A6729" s="12" t="s">
        <v>11083</v>
      </c>
      <c r="B6729" s="12" t="s">
        <v>11241</v>
      </c>
      <c r="C6729" s="13" t="s">
        <v>11242</v>
      </c>
      <c r="D6729" s="13" t="s">
        <v>202</v>
      </c>
      <c r="E6729" s="12" t="s">
        <v>50</v>
      </c>
      <c r="F6729" s="13"/>
      <c r="G6729" s="13"/>
      <c r="H6729" s="13" t="s">
        <v>11243</v>
      </c>
      <c r="I6729" s="40" t="s">
        <v>18</v>
      </c>
      <c r="J6729" s="40" t="str">
        <f>HYPERLINK("https://stock.pstatic.net/stock-research/company/69/20251205_company_609655000.pdf","PDF")</f>
        <v>PDF</v>
      </c>
      <c r="K6729" s="12" t="s">
        <v>11244</v>
      </c>
    </row>
    <row r="6730" spans="1:11" x14ac:dyDescent="0.45">
      <c r="A6730" s="12" t="s">
        <v>11083</v>
      </c>
      <c r="B6730" s="12" t="s">
        <v>11245</v>
      </c>
      <c r="C6730" s="13" t="s">
        <v>11246</v>
      </c>
      <c r="D6730" s="13" t="s">
        <v>202</v>
      </c>
      <c r="E6730" s="12" t="s">
        <v>50</v>
      </c>
      <c r="F6730" s="13"/>
      <c r="G6730" s="13"/>
      <c r="H6730" s="13" t="s">
        <v>11247</v>
      </c>
      <c r="I6730" s="40" t="s">
        <v>18</v>
      </c>
      <c r="J6730" s="40" t="str">
        <f>HYPERLINK("https://stock.pstatic.net/stock-research/company/69/20251205_company_774910000.pdf","PDF")</f>
        <v>PDF</v>
      </c>
      <c r="K6730" s="12" t="s">
        <v>11248</v>
      </c>
    </row>
    <row r="6731" spans="1:11" x14ac:dyDescent="0.45">
      <c r="A6731" s="12" t="s">
        <v>11083</v>
      </c>
      <c r="B6731" s="12" t="s">
        <v>11249</v>
      </c>
      <c r="C6731" s="13" t="s">
        <v>11250</v>
      </c>
      <c r="D6731" s="13" t="s">
        <v>202</v>
      </c>
      <c r="E6731" s="12" t="s">
        <v>50</v>
      </c>
      <c r="F6731" s="13"/>
      <c r="G6731" s="13"/>
      <c r="H6731" s="13" t="s">
        <v>11251</v>
      </c>
      <c r="I6731" s="40" t="s">
        <v>18</v>
      </c>
      <c r="J6731" s="40" t="str">
        <f>HYPERLINK("https://stock.pstatic.net/stock-research/company/69/20251205_company_728720000.pdf","PDF")</f>
        <v>PDF</v>
      </c>
      <c r="K6731" s="12" t="s">
        <v>11252</v>
      </c>
    </row>
    <row r="6732" spans="1:11" x14ac:dyDescent="0.45">
      <c r="A6732" s="12" t="s">
        <v>11083</v>
      </c>
      <c r="B6732" s="12" t="s">
        <v>11253</v>
      </c>
      <c r="C6732" s="13" t="s">
        <v>11254</v>
      </c>
      <c r="D6732" s="13" t="s">
        <v>202</v>
      </c>
      <c r="E6732" s="12" t="s">
        <v>50</v>
      </c>
      <c r="F6732" s="13"/>
      <c r="G6732" s="13"/>
      <c r="H6732" s="13" t="s">
        <v>11255</v>
      </c>
      <c r="I6732" s="40" t="s">
        <v>18</v>
      </c>
      <c r="J6732" s="40" t="str">
        <f>HYPERLINK("https://stock.pstatic.net/stock-research/company/69/20251205_company_669783000.pdf","PDF")</f>
        <v>PDF</v>
      </c>
      <c r="K6732" s="12" t="s">
        <v>11256</v>
      </c>
    </row>
    <row r="6733" spans="1:11" x14ac:dyDescent="0.45">
      <c r="A6733" s="12" t="s">
        <v>11083</v>
      </c>
      <c r="B6733" s="12" t="s">
        <v>11257</v>
      </c>
      <c r="C6733" s="13" t="s">
        <v>11258</v>
      </c>
      <c r="D6733" s="13" t="s">
        <v>202</v>
      </c>
      <c r="E6733" s="12" t="s">
        <v>50</v>
      </c>
      <c r="F6733" s="13"/>
      <c r="G6733" s="13"/>
      <c r="H6733" s="13" t="s">
        <v>11259</v>
      </c>
      <c r="I6733" s="40" t="s">
        <v>18</v>
      </c>
      <c r="J6733" s="40" t="str">
        <f>HYPERLINK("https://stock.pstatic.net/stock-research/company/69/20251205_company_815125000.pdf","PDF")</f>
        <v>PDF</v>
      </c>
      <c r="K6733" s="12" t="s">
        <v>11260</v>
      </c>
    </row>
    <row r="6734" spans="1:11" x14ac:dyDescent="0.45">
      <c r="A6734" s="12" t="s">
        <v>11083</v>
      </c>
      <c r="B6734" s="12" t="s">
        <v>11261</v>
      </c>
      <c r="C6734" s="13" t="s">
        <v>11262</v>
      </c>
      <c r="D6734" s="13" t="s">
        <v>202</v>
      </c>
      <c r="E6734" s="12" t="s">
        <v>50</v>
      </c>
      <c r="F6734" s="13"/>
      <c r="G6734" s="13"/>
      <c r="H6734" s="13" t="s">
        <v>11263</v>
      </c>
      <c r="I6734" s="40" t="s">
        <v>18</v>
      </c>
      <c r="J6734" s="40" t="str">
        <f>HYPERLINK("https://stock.pstatic.net/stock-research/company/69/20251205_company_822146000.pdf","PDF")</f>
        <v>PDF</v>
      </c>
      <c r="K6734" s="12" t="s">
        <v>11264</v>
      </c>
    </row>
    <row r="6735" spans="1:11" x14ac:dyDescent="0.45">
      <c r="A6735" s="12" t="s">
        <v>11083</v>
      </c>
      <c r="B6735" s="12" t="s">
        <v>6583</v>
      </c>
      <c r="C6735" s="13" t="s">
        <v>6584</v>
      </c>
      <c r="D6735" s="13" t="s">
        <v>202</v>
      </c>
      <c r="E6735" s="12" t="s">
        <v>50</v>
      </c>
      <c r="F6735" s="13"/>
      <c r="G6735" s="13"/>
      <c r="H6735" s="13" t="s">
        <v>11265</v>
      </c>
      <c r="I6735" s="40" t="s">
        <v>18</v>
      </c>
      <c r="J6735" s="40" t="str">
        <f>HYPERLINK("https://stock.pstatic.net/stock-research/company/69/20251205_company_344930000.pdf","PDF")</f>
        <v>PDF</v>
      </c>
      <c r="K6735" s="12" t="s">
        <v>11266</v>
      </c>
    </row>
    <row r="6736" spans="1:11" x14ac:dyDescent="0.45">
      <c r="A6736" s="12" t="s">
        <v>11083</v>
      </c>
      <c r="B6736" s="12" t="s">
        <v>11267</v>
      </c>
      <c r="C6736" s="13" t="s">
        <v>11268</v>
      </c>
      <c r="D6736" s="13" t="s">
        <v>202</v>
      </c>
      <c r="E6736" s="12" t="s">
        <v>50</v>
      </c>
      <c r="F6736" s="13"/>
      <c r="G6736" s="13"/>
      <c r="H6736" s="13" t="s">
        <v>11269</v>
      </c>
      <c r="I6736" s="40" t="s">
        <v>18</v>
      </c>
      <c r="J6736" s="40" t="str">
        <f>HYPERLINK("https://stock.pstatic.net/stock-research/company/69/20251205_company_595144000.pdf","PDF")</f>
        <v>PDF</v>
      </c>
      <c r="K6736" s="12" t="s">
        <v>11270</v>
      </c>
    </row>
    <row r="6737" spans="1:12" x14ac:dyDescent="0.45">
      <c r="A6737" s="12" t="s">
        <v>11083</v>
      </c>
      <c r="B6737" s="12" t="s">
        <v>11271</v>
      </c>
      <c r="C6737" s="13" t="s">
        <v>11272</v>
      </c>
      <c r="D6737" s="13" t="s">
        <v>202</v>
      </c>
      <c r="E6737" s="12" t="s">
        <v>50</v>
      </c>
      <c r="F6737" s="13"/>
      <c r="G6737" s="13"/>
      <c r="H6737" s="13" t="s">
        <v>11273</v>
      </c>
      <c r="I6737" s="40" t="s">
        <v>18</v>
      </c>
      <c r="J6737" s="40" t="str">
        <f>HYPERLINK("https://stock.pstatic.net/stock-research/company/69/20251205_company_524231000.pdf","PDF")</f>
        <v>PDF</v>
      </c>
      <c r="K6737" s="12" t="s">
        <v>11274</v>
      </c>
    </row>
    <row r="6738" spans="1:12" x14ac:dyDescent="0.45">
      <c r="A6738" s="12" t="s">
        <v>11083</v>
      </c>
      <c r="B6738" s="12" t="s">
        <v>11275</v>
      </c>
      <c r="C6738" s="13" t="s">
        <v>11276</v>
      </c>
      <c r="D6738" s="13" t="s">
        <v>202</v>
      </c>
      <c r="E6738" s="12" t="s">
        <v>50</v>
      </c>
      <c r="F6738" s="13"/>
      <c r="G6738" s="13"/>
      <c r="H6738" s="13" t="s">
        <v>11277</v>
      </c>
      <c r="I6738" s="40" t="s">
        <v>18</v>
      </c>
      <c r="J6738" s="40" t="str">
        <f>HYPERLINK("https://stock.pstatic.net/stock-research/company/69/20251205_company_58492000.pdf","PDF")</f>
        <v>PDF</v>
      </c>
      <c r="K6738" s="12" t="s">
        <v>11278</v>
      </c>
    </row>
    <row r="6739" spans="1:12" x14ac:dyDescent="0.45">
      <c r="A6739" s="12" t="s">
        <v>11083</v>
      </c>
      <c r="B6739" s="12" t="s">
        <v>11279</v>
      </c>
      <c r="C6739" s="13" t="s">
        <v>11280</v>
      </c>
      <c r="D6739" s="13" t="s">
        <v>202</v>
      </c>
      <c r="E6739" s="12" t="s">
        <v>50</v>
      </c>
      <c r="F6739" s="13"/>
      <c r="G6739" s="13"/>
      <c r="H6739" s="13" t="s">
        <v>11281</v>
      </c>
      <c r="I6739" s="40" t="s">
        <v>18</v>
      </c>
      <c r="J6739" s="40" t="str">
        <f>HYPERLINK("https://stock.pstatic.net/stock-research/company/69/20251205_company_961191000.pdf","PDF")</f>
        <v>PDF</v>
      </c>
      <c r="K6739" s="12" t="s">
        <v>11282</v>
      </c>
    </row>
    <row r="6740" spans="1:12" x14ac:dyDescent="0.45">
      <c r="A6740" s="12" t="s">
        <v>11283</v>
      </c>
      <c r="B6740" s="12" t="s">
        <v>780</v>
      </c>
      <c r="C6740" s="13" t="s">
        <v>781</v>
      </c>
      <c r="D6740" s="13" t="s">
        <v>65</v>
      </c>
      <c r="E6740" s="12" t="s">
        <v>35</v>
      </c>
      <c r="F6740" s="14">
        <v>12000</v>
      </c>
      <c r="G6740" s="14">
        <v>8030</v>
      </c>
      <c r="H6740" s="13" t="s">
        <v>11284</v>
      </c>
      <c r="I6740" s="40" t="s">
        <v>18</v>
      </c>
      <c r="J6740" s="40" t="str">
        <f>HYPERLINK("https://stock.pstatic.net/stock-research/company/57/20251204_company_511028000.pdf","PDF")</f>
        <v>PDF</v>
      </c>
      <c r="K6740" s="12" t="s">
        <v>11285</v>
      </c>
      <c r="L6740" s="20">
        <v>0.49439601494396013</v>
      </c>
    </row>
    <row r="6741" spans="1:12" x14ac:dyDescent="0.45">
      <c r="A6741" s="12" t="s">
        <v>11283</v>
      </c>
      <c r="B6741" s="12" t="s">
        <v>4450</v>
      </c>
      <c r="C6741" s="13" t="s">
        <v>4451</v>
      </c>
      <c r="D6741" s="13" t="s">
        <v>65</v>
      </c>
      <c r="E6741" s="12" t="s">
        <v>35</v>
      </c>
      <c r="F6741" s="14">
        <v>39000</v>
      </c>
      <c r="G6741" s="14">
        <v>27100</v>
      </c>
      <c r="H6741" s="13" t="s">
        <v>11286</v>
      </c>
      <c r="I6741" s="40" t="s">
        <v>18</v>
      </c>
      <c r="J6741" s="40" t="str">
        <f>HYPERLINK("https://stock.pstatic.net/stock-research/company/57/20251204_company_649235000.pdf","PDF")</f>
        <v>PDF</v>
      </c>
      <c r="K6741" s="12" t="s">
        <v>11287</v>
      </c>
      <c r="L6741" s="20">
        <v>0.43911439114391138</v>
      </c>
    </row>
    <row r="6742" spans="1:12" x14ac:dyDescent="0.45">
      <c r="A6742" s="12" t="s">
        <v>11283</v>
      </c>
      <c r="B6742" s="12" t="s">
        <v>4021</v>
      </c>
      <c r="C6742" s="13" t="s">
        <v>4022</v>
      </c>
      <c r="D6742" s="13" t="s">
        <v>158</v>
      </c>
      <c r="E6742" s="12" t="s">
        <v>35</v>
      </c>
      <c r="F6742" s="14">
        <v>600000</v>
      </c>
      <c r="G6742" s="14">
        <v>478500</v>
      </c>
      <c r="H6742" s="13" t="s">
        <v>11288</v>
      </c>
      <c r="I6742" s="40" t="s">
        <v>18</v>
      </c>
      <c r="J6742" s="40" t="str">
        <f>HYPERLINK("https://stock.pstatic.net/stock-research/company/18/20251204_company_826228000.pdf","PDF")</f>
        <v>PDF</v>
      </c>
      <c r="K6742" s="12" t="s">
        <v>11289</v>
      </c>
      <c r="L6742" s="20">
        <v>0.25391849529780558</v>
      </c>
    </row>
    <row r="6743" spans="1:12" x14ac:dyDescent="0.45">
      <c r="A6743" s="12" t="s">
        <v>11283</v>
      </c>
      <c r="B6743" s="12" t="s">
        <v>2081</v>
      </c>
      <c r="C6743" s="13" t="s">
        <v>2082</v>
      </c>
      <c r="D6743" s="13" t="s">
        <v>158</v>
      </c>
      <c r="E6743" s="12" t="s">
        <v>50</v>
      </c>
      <c r="F6743" s="13"/>
      <c r="G6743" s="14">
        <v>23700</v>
      </c>
      <c r="H6743" s="13" t="s">
        <v>11290</v>
      </c>
      <c r="I6743" s="40" t="s">
        <v>18</v>
      </c>
      <c r="J6743" s="40" t="str">
        <f>HYPERLINK("https://stock.pstatic.net/stock-research/company/18/20251204_company_630212000.pdf","PDF")</f>
        <v>PDF</v>
      </c>
      <c r="K6743" s="12" t="s">
        <v>11291</v>
      </c>
    </row>
    <row r="6744" spans="1:12" x14ac:dyDescent="0.45">
      <c r="A6744" s="12" t="s">
        <v>11283</v>
      </c>
      <c r="B6744" s="12" t="s">
        <v>2777</v>
      </c>
      <c r="C6744" s="13" t="s">
        <v>2778</v>
      </c>
      <c r="D6744" s="13" t="s">
        <v>83</v>
      </c>
      <c r="E6744" s="12" t="s">
        <v>35</v>
      </c>
      <c r="F6744" s="14">
        <v>250000</v>
      </c>
      <c r="G6744" s="14">
        <v>222500</v>
      </c>
      <c r="H6744" s="13" t="s">
        <v>11292</v>
      </c>
      <c r="I6744" s="40" t="s">
        <v>18</v>
      </c>
      <c r="J6744" s="40" t="str">
        <f>HYPERLINK("https://stock.pstatic.net/stock-research/company/2/20251204_company_468295000.pdf","PDF")</f>
        <v>PDF</v>
      </c>
      <c r="K6744" s="12" t="s">
        <v>11293</v>
      </c>
      <c r="L6744" s="20">
        <v>0.1235955056179775</v>
      </c>
    </row>
    <row r="6745" spans="1:12" x14ac:dyDescent="0.45">
      <c r="A6745" s="12" t="s">
        <v>11283</v>
      </c>
      <c r="B6745" s="12" t="s">
        <v>2266</v>
      </c>
      <c r="C6745" s="13" t="s">
        <v>2267</v>
      </c>
      <c r="D6745" s="13" t="s">
        <v>83</v>
      </c>
      <c r="E6745" s="12" t="s">
        <v>35</v>
      </c>
      <c r="F6745" s="14">
        <v>218000</v>
      </c>
      <c r="G6745" s="14">
        <v>164500</v>
      </c>
      <c r="H6745" s="13" t="s">
        <v>11294</v>
      </c>
      <c r="I6745" s="40" t="s">
        <v>18</v>
      </c>
      <c r="J6745" s="40" t="str">
        <f>HYPERLINK("https://stock.pstatic.net/stock-research/company/2/20251204_company_477192000.pdf","PDF")</f>
        <v>PDF</v>
      </c>
      <c r="K6745" s="12" t="s">
        <v>11295</v>
      </c>
      <c r="L6745" s="20">
        <v>0.32522796352583588</v>
      </c>
    </row>
    <row r="6746" spans="1:12" x14ac:dyDescent="0.45">
      <c r="A6746" s="12" t="s">
        <v>11283</v>
      </c>
      <c r="B6746" s="12" t="s">
        <v>3244</v>
      </c>
      <c r="C6746" s="13" t="s">
        <v>3245</v>
      </c>
      <c r="D6746" s="13" t="s">
        <v>23</v>
      </c>
      <c r="E6746" s="12" t="s">
        <v>16</v>
      </c>
      <c r="F6746" s="14">
        <v>70000</v>
      </c>
      <c r="G6746" s="14">
        <v>59300</v>
      </c>
      <c r="H6746" s="13" t="s">
        <v>11296</v>
      </c>
      <c r="I6746" s="40" t="s">
        <v>18</v>
      </c>
      <c r="J6746" s="40" t="str">
        <f>HYPERLINK("https://stock.pstatic.net/stock-research/company/21/20251204_company_85378000.pdf","PDF")</f>
        <v>PDF</v>
      </c>
      <c r="K6746" s="12" t="s">
        <v>11297</v>
      </c>
      <c r="L6746" s="20">
        <v>0.18043844856661051</v>
      </c>
    </row>
    <row r="6747" spans="1:12" x14ac:dyDescent="0.45">
      <c r="A6747" s="12" t="s">
        <v>11283</v>
      </c>
      <c r="B6747" s="12" t="s">
        <v>899</v>
      </c>
      <c r="C6747" s="13" t="s">
        <v>900</v>
      </c>
      <c r="D6747" s="13" t="s">
        <v>23</v>
      </c>
      <c r="E6747" s="12" t="s">
        <v>50</v>
      </c>
      <c r="F6747" s="13"/>
      <c r="G6747" s="14">
        <v>53400</v>
      </c>
      <c r="H6747" s="13" t="s">
        <v>11298</v>
      </c>
      <c r="I6747" s="40" t="s">
        <v>18</v>
      </c>
      <c r="J6747" s="40" t="str">
        <f>HYPERLINK("https://stock.pstatic.net/stock-research/company/21/20251204_company_349573000.pdf","PDF")</f>
        <v>PDF</v>
      </c>
      <c r="K6747" s="12" t="s">
        <v>11299</v>
      </c>
    </row>
    <row r="6748" spans="1:12" x14ac:dyDescent="0.45">
      <c r="A6748" s="12" t="s">
        <v>11283</v>
      </c>
      <c r="B6748" s="12" t="s">
        <v>685</v>
      </c>
      <c r="C6748" s="13" t="s">
        <v>686</v>
      </c>
      <c r="D6748" s="13" t="s">
        <v>23</v>
      </c>
      <c r="E6748" s="12" t="s">
        <v>50</v>
      </c>
      <c r="F6748" s="13"/>
      <c r="G6748" s="14">
        <v>33900</v>
      </c>
      <c r="H6748" s="13" t="s">
        <v>11300</v>
      </c>
      <c r="I6748" s="40" t="s">
        <v>18</v>
      </c>
      <c r="J6748" s="40" t="str">
        <f>HYPERLINK("https://stock.pstatic.net/stock-research/company/21/20251204_company_568210000.pdf","PDF")</f>
        <v>PDF</v>
      </c>
      <c r="K6748" s="12" t="s">
        <v>11301</v>
      </c>
    </row>
    <row r="6749" spans="1:12" x14ac:dyDescent="0.45">
      <c r="A6749" s="12" t="s">
        <v>11283</v>
      </c>
      <c r="B6749" s="12" t="s">
        <v>1656</v>
      </c>
      <c r="C6749" s="13" t="s">
        <v>1657</v>
      </c>
      <c r="D6749" s="13" t="s">
        <v>44</v>
      </c>
      <c r="E6749" s="12" t="s">
        <v>35</v>
      </c>
      <c r="F6749" s="14">
        <v>320000</v>
      </c>
      <c r="G6749" s="14">
        <v>248500</v>
      </c>
      <c r="H6749" s="13" t="s">
        <v>11302</v>
      </c>
      <c r="I6749" s="40" t="s">
        <v>18</v>
      </c>
      <c r="J6749" s="40" t="str">
        <f>HYPERLINK("https://stock.pstatic.net/stock-research/company/39/20251204_company_182560000.pdf","PDF")</f>
        <v>PDF</v>
      </c>
      <c r="K6749" s="12" t="s">
        <v>11303</v>
      </c>
      <c r="L6749" s="20">
        <v>0.28772635814889341</v>
      </c>
    </row>
    <row r="6750" spans="1:12" x14ac:dyDescent="0.45">
      <c r="A6750" s="12" t="s">
        <v>11283</v>
      </c>
      <c r="B6750" s="12" t="s">
        <v>1246</v>
      </c>
      <c r="C6750" s="13" t="s">
        <v>1247</v>
      </c>
      <c r="D6750" s="13" t="s">
        <v>124</v>
      </c>
      <c r="E6750" s="12" t="s">
        <v>50</v>
      </c>
      <c r="F6750" s="13"/>
      <c r="G6750" s="13"/>
      <c r="H6750" s="13" t="s">
        <v>11304</v>
      </c>
      <c r="I6750" s="40" t="s">
        <v>18</v>
      </c>
      <c r="J6750" s="40" t="str">
        <f>HYPERLINK("https://stock.pstatic.net/stock-research/company/74/20251204_company_108637000.pdf","PDF")</f>
        <v>PDF</v>
      </c>
      <c r="K6750" s="12" t="s">
        <v>11305</v>
      </c>
    </row>
    <row r="6751" spans="1:12" x14ac:dyDescent="0.45">
      <c r="A6751" s="12" t="s">
        <v>11283</v>
      </c>
      <c r="B6751" s="12" t="s">
        <v>1656</v>
      </c>
      <c r="C6751" s="13" t="s">
        <v>1657</v>
      </c>
      <c r="D6751" s="13" t="s">
        <v>53</v>
      </c>
      <c r="E6751" s="12" t="s">
        <v>16</v>
      </c>
      <c r="F6751" s="14">
        <v>300000</v>
      </c>
      <c r="G6751" s="14">
        <v>248500</v>
      </c>
      <c r="H6751" s="13" t="s">
        <v>11306</v>
      </c>
      <c r="I6751" s="40" t="s">
        <v>18</v>
      </c>
      <c r="J6751" s="40" t="str">
        <f>HYPERLINK("https://stock.pstatic.net/stock-research/company/40/20251204_company_790420000.pdf","PDF")</f>
        <v>PDF</v>
      </c>
      <c r="K6751" s="12" t="s">
        <v>11307</v>
      </c>
      <c r="L6751" s="20">
        <v>0.20724346076458749</v>
      </c>
    </row>
    <row r="6752" spans="1:12" x14ac:dyDescent="0.45">
      <c r="A6752" s="12" t="s">
        <v>11283</v>
      </c>
      <c r="B6752" s="12" t="s">
        <v>634</v>
      </c>
      <c r="C6752" s="13" t="s">
        <v>635</v>
      </c>
      <c r="D6752" s="13" t="s">
        <v>15</v>
      </c>
      <c r="E6752" s="12" t="s">
        <v>50</v>
      </c>
      <c r="F6752" s="13"/>
      <c r="G6752" s="14">
        <v>26250</v>
      </c>
      <c r="H6752" s="13" t="s">
        <v>11308</v>
      </c>
      <c r="I6752" s="40" t="s">
        <v>18</v>
      </c>
      <c r="J6752" s="40" t="str">
        <f>HYPERLINK("https://stock.pstatic.net/stock-research/company/29/20251204_company_599532000.pdf","PDF")</f>
        <v>PDF</v>
      </c>
      <c r="K6752" s="12" t="s">
        <v>11309</v>
      </c>
    </row>
    <row r="6753" spans="1:12" x14ac:dyDescent="0.45">
      <c r="A6753" s="12" t="s">
        <v>11310</v>
      </c>
      <c r="B6753" s="12" t="s">
        <v>426</v>
      </c>
      <c r="C6753" s="13" t="s">
        <v>427</v>
      </c>
      <c r="D6753" s="13" t="s">
        <v>57</v>
      </c>
      <c r="E6753" s="12" t="s">
        <v>35</v>
      </c>
      <c r="F6753" s="14">
        <v>28000</v>
      </c>
      <c r="G6753" s="14">
        <v>18210</v>
      </c>
      <c r="H6753" s="13" t="s">
        <v>11311</v>
      </c>
      <c r="I6753" s="40" t="s">
        <v>18</v>
      </c>
      <c r="J6753" s="40" t="str">
        <f>HYPERLINK("https://stock.pstatic.net/stock-research/company/16/20251203_company_202575000.pdf","PDF")</f>
        <v>PDF</v>
      </c>
      <c r="K6753" s="12" t="s">
        <v>11312</v>
      </c>
      <c r="L6753" s="20">
        <v>0.53761669412410762</v>
      </c>
    </row>
    <row r="6754" spans="1:12" x14ac:dyDescent="0.45">
      <c r="A6754" s="12" t="s">
        <v>11310</v>
      </c>
      <c r="B6754" s="12" t="s">
        <v>1686</v>
      </c>
      <c r="C6754" s="13" t="s">
        <v>1687</v>
      </c>
      <c r="D6754" s="13" t="s">
        <v>57</v>
      </c>
      <c r="E6754" s="12" t="s">
        <v>35</v>
      </c>
      <c r="F6754" s="14">
        <v>1800000</v>
      </c>
      <c r="G6754" s="14">
        <v>1332000</v>
      </c>
      <c r="H6754" s="13" t="s">
        <v>11313</v>
      </c>
      <c r="I6754" s="40" t="s">
        <v>18</v>
      </c>
      <c r="J6754" s="40" t="str">
        <f>HYPERLINK("https://stock.pstatic.net/stock-research/company/16/20251203_company_411829000.pdf","PDF")</f>
        <v>PDF</v>
      </c>
      <c r="K6754" s="12" t="s">
        <v>11314</v>
      </c>
      <c r="L6754" s="20">
        <v>0.35135135135135143</v>
      </c>
    </row>
    <row r="6755" spans="1:12" x14ac:dyDescent="0.45">
      <c r="A6755" s="12" t="s">
        <v>11310</v>
      </c>
      <c r="B6755" s="12" t="s">
        <v>1093</v>
      </c>
      <c r="C6755" s="13" t="s">
        <v>1094</v>
      </c>
      <c r="D6755" s="13" t="s">
        <v>65</v>
      </c>
      <c r="E6755" s="12" t="s">
        <v>35</v>
      </c>
      <c r="F6755" s="14">
        <v>610000</v>
      </c>
      <c r="G6755" s="14">
        <v>442000</v>
      </c>
      <c r="H6755" s="13" t="s">
        <v>11315</v>
      </c>
      <c r="I6755" s="40" t="s">
        <v>18</v>
      </c>
      <c r="J6755" s="40" t="str">
        <f>HYPERLINK("https://stock.pstatic.net/stock-research/company/57/20251203_company_502390000.pdf","PDF")</f>
        <v>PDF</v>
      </c>
      <c r="K6755" s="12" t="s">
        <v>11316</v>
      </c>
      <c r="L6755" s="20">
        <v>0.38009049773755649</v>
      </c>
    </row>
    <row r="6756" spans="1:12" x14ac:dyDescent="0.45">
      <c r="A6756" s="12" t="s">
        <v>11310</v>
      </c>
      <c r="B6756" s="12" t="s">
        <v>533</v>
      </c>
      <c r="C6756" s="13" t="s">
        <v>534</v>
      </c>
      <c r="D6756" s="13" t="s">
        <v>65</v>
      </c>
      <c r="E6756" s="12" t="s">
        <v>35</v>
      </c>
      <c r="F6756" s="14">
        <v>70000</v>
      </c>
      <c r="G6756" s="14">
        <v>50600</v>
      </c>
      <c r="H6756" s="13" t="s">
        <v>11317</v>
      </c>
      <c r="I6756" s="40" t="s">
        <v>18</v>
      </c>
      <c r="J6756" s="40" t="str">
        <f>HYPERLINK("https://stock.pstatic.net/stock-research/company/57/20251203_company_16625000.pdf","PDF")</f>
        <v>PDF</v>
      </c>
      <c r="K6756" s="12" t="s">
        <v>11318</v>
      </c>
      <c r="L6756" s="20">
        <v>0.38339920948616601</v>
      </c>
    </row>
    <row r="6757" spans="1:12" x14ac:dyDescent="0.45">
      <c r="A6757" s="12" t="s">
        <v>11310</v>
      </c>
      <c r="B6757" s="12" t="s">
        <v>533</v>
      </c>
      <c r="C6757" s="13" t="s">
        <v>534</v>
      </c>
      <c r="D6757" s="13" t="s">
        <v>158</v>
      </c>
      <c r="E6757" s="12" t="s">
        <v>35</v>
      </c>
      <c r="F6757" s="14">
        <v>59000</v>
      </c>
      <c r="G6757" s="14">
        <v>50600</v>
      </c>
      <c r="H6757" s="13" t="s">
        <v>11319</v>
      </c>
      <c r="I6757" s="40" t="s">
        <v>18</v>
      </c>
      <c r="J6757" s="40" t="str">
        <f>HYPERLINK("https://stock.pstatic.net/stock-research/company/18/20251203_company_865410000.pdf","PDF")</f>
        <v>PDF</v>
      </c>
      <c r="K6757" s="12" t="s">
        <v>11320</v>
      </c>
      <c r="L6757" s="20">
        <v>0.16600790513833991</v>
      </c>
    </row>
    <row r="6758" spans="1:12" x14ac:dyDescent="0.45">
      <c r="A6758" s="12" t="s">
        <v>11310</v>
      </c>
      <c r="B6758" s="12" t="s">
        <v>645</v>
      </c>
      <c r="C6758" s="13" t="s">
        <v>646</v>
      </c>
      <c r="D6758" s="13" t="s">
        <v>124</v>
      </c>
      <c r="E6758" s="12" t="s">
        <v>50</v>
      </c>
      <c r="F6758" s="13"/>
      <c r="G6758" s="13"/>
      <c r="H6758" s="13" t="s">
        <v>11321</v>
      </c>
      <c r="I6758" s="40" t="s">
        <v>18</v>
      </c>
      <c r="J6758" s="40" t="str">
        <f>HYPERLINK("https://stock.pstatic.net/stock-research/company/74/20251205_company_408048000.pdf","PDF")</f>
        <v>PDF</v>
      </c>
      <c r="K6758" s="12" t="s">
        <v>11322</v>
      </c>
    </row>
    <row r="6759" spans="1:12" x14ac:dyDescent="0.45">
      <c r="A6759" s="12" t="s">
        <v>11310</v>
      </c>
      <c r="B6759" s="12" t="s">
        <v>740</v>
      </c>
      <c r="C6759" s="13" t="s">
        <v>741</v>
      </c>
      <c r="D6759" s="13" t="s">
        <v>15</v>
      </c>
      <c r="E6759" s="12" t="s">
        <v>16</v>
      </c>
      <c r="F6759" s="14">
        <v>320000</v>
      </c>
      <c r="G6759" s="14">
        <v>248000</v>
      </c>
      <c r="H6759" s="13" t="s">
        <v>11323</v>
      </c>
      <c r="I6759" s="40" t="s">
        <v>18</v>
      </c>
      <c r="J6759" s="40" t="str">
        <f>HYPERLINK("https://stock.pstatic.net/stock-research/company/29/20251203_company_65575000.pdf","PDF")</f>
        <v>PDF</v>
      </c>
      <c r="K6759" s="12" t="s">
        <v>11324</v>
      </c>
      <c r="L6759" s="20">
        <v>0.29032258064516131</v>
      </c>
    </row>
    <row r="6760" spans="1:12" x14ac:dyDescent="0.45">
      <c r="A6760" s="12" t="s">
        <v>11310</v>
      </c>
      <c r="B6760" s="12" t="s">
        <v>11325</v>
      </c>
      <c r="C6760" s="13" t="s">
        <v>11326</v>
      </c>
      <c r="D6760" s="13" t="s">
        <v>34</v>
      </c>
      <c r="E6760" s="12" t="s">
        <v>50</v>
      </c>
      <c r="F6760" s="13"/>
      <c r="G6760" s="14">
        <v>8540</v>
      </c>
      <c r="H6760" s="13" t="s">
        <v>11327</v>
      </c>
      <c r="I6760" s="40" t="s">
        <v>18</v>
      </c>
      <c r="J6760" s="40" t="str">
        <f>HYPERLINK("https://stock.pstatic.net/stock-research/company/61/20251203_company_471248000.pdf","PDF")</f>
        <v>PDF</v>
      </c>
      <c r="K6760" s="12" t="s">
        <v>11328</v>
      </c>
    </row>
    <row r="6761" spans="1:12" x14ac:dyDescent="0.45">
      <c r="A6761" s="12" t="s">
        <v>11310</v>
      </c>
      <c r="B6761" s="12" t="s">
        <v>11329</v>
      </c>
      <c r="C6761" s="13" t="s">
        <v>11330</v>
      </c>
      <c r="D6761" s="13" t="s">
        <v>34</v>
      </c>
      <c r="E6761" s="12" t="s">
        <v>50</v>
      </c>
      <c r="F6761" s="13"/>
      <c r="G6761" s="14">
        <v>13660</v>
      </c>
      <c r="H6761" s="13" t="s">
        <v>11331</v>
      </c>
      <c r="I6761" s="40" t="s">
        <v>18</v>
      </c>
      <c r="J6761" s="40" t="str">
        <f>HYPERLINK("https://stock.pstatic.net/stock-research/company/61/20251203_company_981769000.pdf","PDF")</f>
        <v>PDF</v>
      </c>
      <c r="K6761" s="12" t="s">
        <v>11332</v>
      </c>
    </row>
    <row r="6762" spans="1:12" x14ac:dyDescent="0.45">
      <c r="A6762" s="12" t="s">
        <v>11310</v>
      </c>
      <c r="B6762" s="12" t="s">
        <v>348</v>
      </c>
      <c r="C6762" s="13" t="s">
        <v>349</v>
      </c>
      <c r="D6762" s="13" t="s">
        <v>92</v>
      </c>
      <c r="E6762" s="12" t="s">
        <v>50</v>
      </c>
      <c r="F6762" s="13"/>
      <c r="G6762" s="14">
        <v>30900</v>
      </c>
      <c r="H6762" s="13" t="s">
        <v>11333</v>
      </c>
      <c r="I6762" s="40" t="s">
        <v>18</v>
      </c>
      <c r="J6762" s="40" t="str">
        <f>HYPERLINK("https://stock.pstatic.net/stock-research/company/63/20251203_company_411796000.pdf","PDF")</f>
        <v>PDF</v>
      </c>
      <c r="K6762" s="12" t="s">
        <v>11334</v>
      </c>
    </row>
    <row r="6763" spans="1:12" x14ac:dyDescent="0.45">
      <c r="A6763" s="12" t="s">
        <v>11310</v>
      </c>
      <c r="B6763" s="12" t="s">
        <v>800</v>
      </c>
      <c r="C6763" s="13" t="s">
        <v>801</v>
      </c>
      <c r="D6763" s="13" t="s">
        <v>92</v>
      </c>
      <c r="E6763" s="12" t="s">
        <v>35</v>
      </c>
      <c r="F6763" s="14">
        <v>54000</v>
      </c>
      <c r="G6763" s="14">
        <v>42600</v>
      </c>
      <c r="H6763" s="13" t="s">
        <v>11335</v>
      </c>
      <c r="I6763" s="40" t="s">
        <v>18</v>
      </c>
      <c r="J6763" s="40" t="str">
        <f>HYPERLINK("https://stock.pstatic.net/stock-research/company/63/20251203_company_109767000.pdf","PDF")</f>
        <v>PDF</v>
      </c>
      <c r="K6763" s="12" t="s">
        <v>11336</v>
      </c>
      <c r="L6763" s="20">
        <v>0.26760563380281688</v>
      </c>
    </row>
    <row r="6764" spans="1:12" x14ac:dyDescent="0.45">
      <c r="A6764" s="12" t="s">
        <v>11310</v>
      </c>
      <c r="B6764" s="12" t="s">
        <v>186</v>
      </c>
      <c r="C6764" s="13" t="s">
        <v>187</v>
      </c>
      <c r="D6764" s="13" t="s">
        <v>23</v>
      </c>
      <c r="E6764" s="12" t="s">
        <v>16</v>
      </c>
      <c r="F6764" s="14">
        <v>9000</v>
      </c>
      <c r="G6764" s="14">
        <v>7050</v>
      </c>
      <c r="H6764" s="13" t="s">
        <v>11337</v>
      </c>
      <c r="I6764" s="40" t="s">
        <v>18</v>
      </c>
      <c r="J6764" s="40" t="str">
        <f>HYPERLINK("https://stock.pstatic.net/stock-research/company/21/20251203_company_632954000.pdf","PDF")</f>
        <v>PDF</v>
      </c>
      <c r="K6764" s="12" t="s">
        <v>11338</v>
      </c>
      <c r="L6764" s="20">
        <v>0.27659574468085107</v>
      </c>
    </row>
    <row r="6765" spans="1:12" x14ac:dyDescent="0.45">
      <c r="A6765" s="12" t="s">
        <v>11310</v>
      </c>
      <c r="B6765" s="12" t="s">
        <v>32</v>
      </c>
      <c r="C6765" s="13" t="s">
        <v>33</v>
      </c>
      <c r="D6765" s="13" t="s">
        <v>53</v>
      </c>
      <c r="E6765" s="12" t="s">
        <v>16</v>
      </c>
      <c r="F6765" s="14">
        <v>330000</v>
      </c>
      <c r="G6765" s="14">
        <v>252000</v>
      </c>
      <c r="H6765" s="13" t="s">
        <v>11339</v>
      </c>
      <c r="I6765" s="40" t="s">
        <v>18</v>
      </c>
      <c r="J6765" s="40" t="str">
        <f>HYPERLINK("https://stock.pstatic.net/stock-research/company/40/20251203_company_498903000.pdf","PDF")</f>
        <v>PDF</v>
      </c>
      <c r="K6765" s="12" t="s">
        <v>11340</v>
      </c>
      <c r="L6765" s="20">
        <v>0.30952380952380948</v>
      </c>
    </row>
    <row r="6766" spans="1:12" x14ac:dyDescent="0.45">
      <c r="A6766" s="12" t="s">
        <v>11310</v>
      </c>
      <c r="B6766" s="12" t="s">
        <v>456</v>
      </c>
      <c r="C6766" s="13" t="s">
        <v>457</v>
      </c>
      <c r="D6766" s="13" t="s">
        <v>23</v>
      </c>
      <c r="E6766" s="12" t="s">
        <v>50</v>
      </c>
      <c r="F6766" s="13"/>
      <c r="G6766" s="14">
        <v>13530</v>
      </c>
      <c r="H6766" s="13" t="s">
        <v>11341</v>
      </c>
      <c r="I6766" s="40" t="s">
        <v>18</v>
      </c>
      <c r="J6766" s="40" t="str">
        <f>HYPERLINK("https://stock.pstatic.net/stock-research/company/21/20251203_company_509034000.pdf","PDF")</f>
        <v>PDF</v>
      </c>
      <c r="K6766" s="12" t="s">
        <v>11342</v>
      </c>
    </row>
    <row r="6767" spans="1:12" x14ac:dyDescent="0.45">
      <c r="A6767" s="12" t="s">
        <v>11310</v>
      </c>
      <c r="B6767" s="12" t="s">
        <v>549</v>
      </c>
      <c r="C6767" s="13" t="s">
        <v>550</v>
      </c>
      <c r="D6767" s="13" t="s">
        <v>53</v>
      </c>
      <c r="E6767" s="12" t="s">
        <v>50</v>
      </c>
      <c r="F6767" s="13"/>
      <c r="G6767" s="14">
        <v>7580</v>
      </c>
      <c r="H6767" s="13" t="s">
        <v>11343</v>
      </c>
      <c r="I6767" s="40" t="s">
        <v>18</v>
      </c>
      <c r="J6767" s="40" t="str">
        <f>HYPERLINK("https://stock.pstatic.net/stock-research/company/40/20251203_company_230069000.pdf","PDF")</f>
        <v>PDF</v>
      </c>
      <c r="K6767" s="12" t="s">
        <v>11344</v>
      </c>
    </row>
    <row r="6768" spans="1:12" x14ac:dyDescent="0.45">
      <c r="A6768" s="12" t="s">
        <v>11310</v>
      </c>
      <c r="B6768" s="12" t="s">
        <v>5098</v>
      </c>
      <c r="C6768" s="13" t="s">
        <v>5099</v>
      </c>
      <c r="D6768" s="13" t="s">
        <v>44</v>
      </c>
      <c r="E6768" s="12" t="s">
        <v>50</v>
      </c>
      <c r="F6768" s="13"/>
      <c r="G6768" s="14">
        <v>26750</v>
      </c>
      <c r="H6768" s="13" t="s">
        <v>11345</v>
      </c>
      <c r="I6768" s="40" t="s">
        <v>18</v>
      </c>
      <c r="J6768" s="40" t="str">
        <f>HYPERLINK("https://stock.pstatic.net/stock-research/company/39/20251203_company_236282000.pdf","PDF")</f>
        <v>PDF</v>
      </c>
      <c r="K6768" s="12" t="s">
        <v>11346</v>
      </c>
    </row>
    <row r="6769" spans="1:12" x14ac:dyDescent="0.45">
      <c r="A6769" s="12" t="s">
        <v>11310</v>
      </c>
      <c r="B6769" s="12" t="s">
        <v>6593</v>
      </c>
      <c r="C6769" s="13" t="s">
        <v>6594</v>
      </c>
      <c r="D6769" s="13" t="s">
        <v>44</v>
      </c>
      <c r="E6769" s="12" t="s">
        <v>50</v>
      </c>
      <c r="F6769" s="13"/>
      <c r="G6769" s="14">
        <v>12230</v>
      </c>
      <c r="H6769" s="13" t="s">
        <v>11347</v>
      </c>
      <c r="I6769" s="40" t="s">
        <v>18</v>
      </c>
      <c r="J6769" s="40" t="str">
        <f>HYPERLINK("https://stock.pstatic.net/stock-research/company/39/20251203_company_7906000.pdf","PDF")</f>
        <v>PDF</v>
      </c>
      <c r="K6769" s="12" t="s">
        <v>11348</v>
      </c>
    </row>
    <row r="6770" spans="1:12" x14ac:dyDescent="0.45">
      <c r="A6770" s="12" t="s">
        <v>11310</v>
      </c>
      <c r="B6770" s="12" t="s">
        <v>1019</v>
      </c>
      <c r="C6770" s="13" t="s">
        <v>1020</v>
      </c>
      <c r="D6770" s="13" t="s">
        <v>44</v>
      </c>
      <c r="E6770" s="12" t="s">
        <v>35</v>
      </c>
      <c r="F6770" s="14">
        <v>32000</v>
      </c>
      <c r="G6770" s="14">
        <v>20950</v>
      </c>
      <c r="H6770" s="13" t="s">
        <v>11349</v>
      </c>
      <c r="I6770" s="40" t="s">
        <v>18</v>
      </c>
      <c r="J6770" s="40" t="str">
        <f>HYPERLINK("https://stock.pstatic.net/stock-research/company/39/20251203_company_167413000.pdf","PDF")</f>
        <v>PDF</v>
      </c>
      <c r="K6770" s="12" t="s">
        <v>11350</v>
      </c>
      <c r="L6770" s="20">
        <v>0.52744630071599041</v>
      </c>
    </row>
    <row r="6771" spans="1:12" x14ac:dyDescent="0.45">
      <c r="A6771" s="12" t="s">
        <v>11310</v>
      </c>
      <c r="B6771" s="12" t="s">
        <v>13</v>
      </c>
      <c r="C6771" s="13" t="s">
        <v>14</v>
      </c>
      <c r="D6771" s="13" t="s">
        <v>44</v>
      </c>
      <c r="E6771" s="12" t="s">
        <v>35</v>
      </c>
      <c r="F6771" s="14">
        <v>140000</v>
      </c>
      <c r="G6771" s="14">
        <v>103400</v>
      </c>
      <c r="H6771" s="13" t="s">
        <v>4273</v>
      </c>
      <c r="I6771" s="40" t="s">
        <v>18</v>
      </c>
      <c r="J6771" s="40" t="str">
        <f>HYPERLINK("https://stock.pstatic.net/stock-research/company/39/20251203_company_34282000.pdf","PDF")</f>
        <v>PDF</v>
      </c>
      <c r="K6771" s="12" t="s">
        <v>11351</v>
      </c>
      <c r="L6771" s="20">
        <v>0.35396518375241781</v>
      </c>
    </row>
    <row r="6772" spans="1:12" x14ac:dyDescent="0.45">
      <c r="A6772" s="12" t="s">
        <v>11310</v>
      </c>
      <c r="B6772" s="12" t="s">
        <v>6899</v>
      </c>
      <c r="C6772" s="13" t="s">
        <v>6900</v>
      </c>
      <c r="D6772" s="13" t="s">
        <v>124</v>
      </c>
      <c r="E6772" s="12" t="s">
        <v>50</v>
      </c>
      <c r="F6772" s="13"/>
      <c r="G6772" s="13"/>
      <c r="H6772" s="13" t="s">
        <v>11352</v>
      </c>
      <c r="I6772" s="40" t="s">
        <v>18</v>
      </c>
      <c r="J6772" s="40" t="str">
        <f>HYPERLINK("https://stock.pstatic.net/stock-research/company/74/20251203_company_698646000.pdf","PDF")</f>
        <v>PDF</v>
      </c>
      <c r="K6772" s="12" t="s">
        <v>11353</v>
      </c>
    </row>
    <row r="6773" spans="1:12" x14ac:dyDescent="0.45">
      <c r="A6773" s="12" t="s">
        <v>11310</v>
      </c>
      <c r="B6773" s="12" t="s">
        <v>11354</v>
      </c>
      <c r="C6773" s="13" t="s">
        <v>11355</v>
      </c>
      <c r="D6773" s="13" t="s">
        <v>124</v>
      </c>
      <c r="E6773" s="12" t="s">
        <v>50</v>
      </c>
      <c r="F6773" s="13"/>
      <c r="G6773" s="13"/>
      <c r="H6773" s="13" t="s">
        <v>11356</v>
      </c>
      <c r="I6773" s="40" t="s">
        <v>18</v>
      </c>
      <c r="J6773" s="40" t="str">
        <f>HYPERLINK("https://stock.pstatic.net/stock-research/company/74/20251203_company_301745000.pdf","PDF")</f>
        <v>PDF</v>
      </c>
      <c r="K6773" s="12" t="s">
        <v>11357</v>
      </c>
    </row>
    <row r="6774" spans="1:12" x14ac:dyDescent="0.45">
      <c r="A6774" s="12" t="s">
        <v>11310</v>
      </c>
      <c r="B6774" s="12" t="s">
        <v>309</v>
      </c>
      <c r="C6774" s="13" t="s">
        <v>310</v>
      </c>
      <c r="D6774" s="13" t="s">
        <v>15</v>
      </c>
      <c r="E6774" s="12" t="s">
        <v>50</v>
      </c>
      <c r="F6774" s="13"/>
      <c r="G6774" s="14">
        <v>93100</v>
      </c>
      <c r="H6774" s="13" t="s">
        <v>11358</v>
      </c>
      <c r="I6774" s="40" t="s">
        <v>18</v>
      </c>
      <c r="J6774" s="40" t="str">
        <f>HYPERLINK("https://stock.pstatic.net/stock-research/company/29/20251203_company_940517000.pdf","PDF")</f>
        <v>PDF</v>
      </c>
      <c r="K6774" s="12" t="s">
        <v>11359</v>
      </c>
    </row>
    <row r="6775" spans="1:12" x14ac:dyDescent="0.45">
      <c r="A6775" s="12" t="s">
        <v>11310</v>
      </c>
      <c r="B6775" s="12" t="s">
        <v>2883</v>
      </c>
      <c r="C6775" s="13" t="s">
        <v>2884</v>
      </c>
      <c r="D6775" s="13" t="s">
        <v>124</v>
      </c>
      <c r="E6775" s="12" t="s">
        <v>50</v>
      </c>
      <c r="F6775" s="13"/>
      <c r="G6775" s="13"/>
      <c r="H6775" s="13" t="s">
        <v>11360</v>
      </c>
      <c r="I6775" s="40" t="s">
        <v>18</v>
      </c>
      <c r="J6775" s="40" t="str">
        <f>HYPERLINK("https://stock.pstatic.net/stock-research/company/74/20251203_company_708973000.pdf","PDF")</f>
        <v>PDF</v>
      </c>
      <c r="K6775" s="12" t="s">
        <v>11361</v>
      </c>
    </row>
    <row r="6776" spans="1:12" x14ac:dyDescent="0.45">
      <c r="A6776" s="12" t="s">
        <v>11362</v>
      </c>
      <c r="B6776" s="12" t="s">
        <v>744</v>
      </c>
      <c r="C6776" s="13" t="s">
        <v>745</v>
      </c>
      <c r="D6776" s="13" t="s">
        <v>34</v>
      </c>
      <c r="E6776" s="12" t="s">
        <v>35</v>
      </c>
      <c r="F6776" s="14">
        <v>30000</v>
      </c>
      <c r="G6776" s="14">
        <v>24200</v>
      </c>
      <c r="H6776" s="13" t="s">
        <v>11363</v>
      </c>
      <c r="I6776" s="40" t="s">
        <v>18</v>
      </c>
      <c r="J6776" s="40" t="str">
        <f>HYPERLINK("https://stock.pstatic.net/stock-research/company/61/20251202_company_900329000.pdf","PDF")</f>
        <v>PDF</v>
      </c>
      <c r="K6776" s="12" t="s">
        <v>11364</v>
      </c>
      <c r="L6776" s="20">
        <v>0.23966942148760331</v>
      </c>
    </row>
    <row r="6777" spans="1:12" x14ac:dyDescent="0.45">
      <c r="A6777" s="12" t="s">
        <v>11362</v>
      </c>
      <c r="B6777" s="12" t="s">
        <v>1019</v>
      </c>
      <c r="C6777" s="13" t="s">
        <v>1020</v>
      </c>
      <c r="D6777" s="13" t="s">
        <v>57</v>
      </c>
      <c r="E6777" s="12" t="s">
        <v>35</v>
      </c>
      <c r="F6777" s="14">
        <v>30000</v>
      </c>
      <c r="G6777" s="14">
        <v>19710</v>
      </c>
      <c r="H6777" s="13" t="s">
        <v>11365</v>
      </c>
      <c r="I6777" s="40" t="s">
        <v>18</v>
      </c>
      <c r="J6777" s="40" t="str">
        <f>HYPERLINK("https://stock.pstatic.net/stock-research/company/16/20251202_company_611803000.pdf","PDF")</f>
        <v>PDF</v>
      </c>
      <c r="K6777" s="12" t="s">
        <v>11366</v>
      </c>
      <c r="L6777" s="20">
        <v>0.52207001522070018</v>
      </c>
    </row>
    <row r="6778" spans="1:12" x14ac:dyDescent="0.45">
      <c r="A6778" s="12" t="s">
        <v>11362</v>
      </c>
      <c r="B6778" s="12" t="s">
        <v>1019</v>
      </c>
      <c r="C6778" s="13" t="s">
        <v>1020</v>
      </c>
      <c r="D6778" s="13" t="s">
        <v>276</v>
      </c>
      <c r="E6778" s="12" t="s">
        <v>16</v>
      </c>
      <c r="F6778" s="14">
        <v>30000</v>
      </c>
      <c r="G6778" s="14">
        <v>19710</v>
      </c>
      <c r="H6778" s="13" t="s">
        <v>11367</v>
      </c>
      <c r="I6778" s="40" t="s">
        <v>18</v>
      </c>
      <c r="J6778" s="40" t="str">
        <f>HYPERLINK("https://stock.pstatic.net/stock-research/company/66/20251202_company_598027000.pdf","PDF")</f>
        <v>PDF</v>
      </c>
      <c r="K6778" s="12" t="s">
        <v>11368</v>
      </c>
      <c r="L6778" s="20">
        <v>0.52207001522070018</v>
      </c>
    </row>
    <row r="6779" spans="1:12" x14ac:dyDescent="0.45">
      <c r="A6779" s="12" t="s">
        <v>11362</v>
      </c>
      <c r="B6779" s="12" t="s">
        <v>7000</v>
      </c>
      <c r="C6779" s="13" t="s">
        <v>7001</v>
      </c>
      <c r="D6779" s="13" t="s">
        <v>276</v>
      </c>
      <c r="E6779" s="12" t="s">
        <v>16</v>
      </c>
      <c r="F6779" s="14">
        <v>62000</v>
      </c>
      <c r="G6779" s="14">
        <v>47250</v>
      </c>
      <c r="H6779" s="13" t="s">
        <v>11369</v>
      </c>
      <c r="I6779" s="40" t="s">
        <v>18</v>
      </c>
      <c r="J6779" s="40" t="str">
        <f>HYPERLINK("https://stock.pstatic.net/stock-research/company/66/20251202_company_410677000.pdf","PDF")</f>
        <v>PDF</v>
      </c>
      <c r="K6779" s="12" t="s">
        <v>11370</v>
      </c>
      <c r="L6779" s="20">
        <v>0.31216931216931221</v>
      </c>
    </row>
    <row r="6780" spans="1:12" x14ac:dyDescent="0.45">
      <c r="A6780" s="12" t="s">
        <v>11362</v>
      </c>
      <c r="B6780" s="12" t="s">
        <v>3154</v>
      </c>
      <c r="C6780" s="13" t="s">
        <v>3155</v>
      </c>
      <c r="D6780" s="13" t="s">
        <v>276</v>
      </c>
      <c r="E6780" s="12" t="s">
        <v>16</v>
      </c>
      <c r="F6780" s="14">
        <v>7000</v>
      </c>
      <c r="G6780" s="14">
        <v>5670</v>
      </c>
      <c r="H6780" s="13" t="s">
        <v>11371</v>
      </c>
      <c r="I6780" s="40" t="s">
        <v>18</v>
      </c>
      <c r="J6780" s="40" t="str">
        <f>HYPERLINK("https://stock.pstatic.net/stock-research/company/66/20251202_company_722184000.pdf","PDF")</f>
        <v>PDF</v>
      </c>
      <c r="K6780" s="12" t="s">
        <v>11372</v>
      </c>
      <c r="L6780" s="20">
        <v>0.23456790123456789</v>
      </c>
    </row>
    <row r="6781" spans="1:12" x14ac:dyDescent="0.45">
      <c r="A6781" s="12" t="s">
        <v>11362</v>
      </c>
      <c r="B6781" s="12" t="s">
        <v>322</v>
      </c>
      <c r="C6781" s="13" t="s">
        <v>323</v>
      </c>
      <c r="D6781" s="13" t="s">
        <v>124</v>
      </c>
      <c r="E6781" s="12" t="s">
        <v>50</v>
      </c>
      <c r="F6781" s="13"/>
      <c r="G6781" s="13"/>
      <c r="H6781" s="13" t="s">
        <v>11373</v>
      </c>
      <c r="I6781" s="40" t="s">
        <v>18</v>
      </c>
      <c r="J6781" s="40" t="str">
        <f>HYPERLINK("https://stock.pstatic.net/stock-research/company/74/20251202_company_560917000.pdf","PDF")</f>
        <v>PDF</v>
      </c>
      <c r="K6781" s="12" t="s">
        <v>11374</v>
      </c>
    </row>
    <row r="6782" spans="1:12" x14ac:dyDescent="0.45">
      <c r="A6782" s="12" t="s">
        <v>11362</v>
      </c>
      <c r="B6782" s="12" t="s">
        <v>11375</v>
      </c>
      <c r="C6782" s="13" t="s">
        <v>11376</v>
      </c>
      <c r="D6782" s="13" t="s">
        <v>83</v>
      </c>
      <c r="E6782" s="12" t="s">
        <v>50</v>
      </c>
      <c r="F6782" s="13"/>
      <c r="G6782" s="14">
        <v>19540</v>
      </c>
      <c r="H6782" s="13" t="s">
        <v>11377</v>
      </c>
      <c r="I6782" s="40" t="s">
        <v>18</v>
      </c>
      <c r="J6782" s="40" t="str">
        <f>HYPERLINK("https://stock.pstatic.net/stock-research/company/2/20251202_company_853863000.pdf","PDF")</f>
        <v>PDF</v>
      </c>
      <c r="K6782" s="12" t="s">
        <v>11378</v>
      </c>
    </row>
    <row r="6783" spans="1:12" x14ac:dyDescent="0.45">
      <c r="A6783" s="12" t="s">
        <v>11362</v>
      </c>
      <c r="B6783" s="12" t="s">
        <v>888</v>
      </c>
      <c r="C6783" s="13" t="s">
        <v>889</v>
      </c>
      <c r="D6783" s="13" t="s">
        <v>83</v>
      </c>
      <c r="E6783" s="12" t="s">
        <v>35</v>
      </c>
      <c r="F6783" s="14">
        <v>70000</v>
      </c>
      <c r="G6783" s="14">
        <v>52700</v>
      </c>
      <c r="H6783" s="13" t="s">
        <v>11379</v>
      </c>
      <c r="I6783" s="40" t="s">
        <v>18</v>
      </c>
      <c r="J6783" s="40" t="str">
        <f>HYPERLINK("https://stock.pstatic.net/stock-research/company/2/20251202_company_949204000.pdf","PDF")</f>
        <v>PDF</v>
      </c>
      <c r="K6783" s="12" t="s">
        <v>11380</v>
      </c>
      <c r="L6783" s="20">
        <v>0.32827324478178371</v>
      </c>
    </row>
    <row r="6784" spans="1:12" x14ac:dyDescent="0.45">
      <c r="A6784" s="12" t="s">
        <v>11362</v>
      </c>
      <c r="B6784" s="12" t="s">
        <v>4021</v>
      </c>
      <c r="C6784" s="13" t="s">
        <v>4022</v>
      </c>
      <c r="D6784" s="13" t="s">
        <v>83</v>
      </c>
      <c r="E6784" s="12" t="s">
        <v>35</v>
      </c>
      <c r="F6784" s="14">
        <v>630000</v>
      </c>
      <c r="G6784" s="14">
        <v>443000</v>
      </c>
      <c r="H6784" s="13" t="s">
        <v>11381</v>
      </c>
      <c r="I6784" s="40" t="s">
        <v>18</v>
      </c>
      <c r="J6784" s="40" t="str">
        <f>HYPERLINK("https://stock.pstatic.net/stock-research/company/2/20251202_company_747293000.pdf","PDF")</f>
        <v>PDF</v>
      </c>
      <c r="K6784" s="12" t="s">
        <v>11382</v>
      </c>
      <c r="L6784" s="20">
        <v>0.42212189616252821</v>
      </c>
    </row>
    <row r="6785" spans="1:12" x14ac:dyDescent="0.45">
      <c r="A6785" s="12" t="s">
        <v>11362</v>
      </c>
      <c r="B6785" s="12" t="s">
        <v>10852</v>
      </c>
      <c r="C6785" s="13" t="s">
        <v>10853</v>
      </c>
      <c r="D6785" s="13" t="s">
        <v>179</v>
      </c>
      <c r="E6785" s="12" t="s">
        <v>50</v>
      </c>
      <c r="F6785" s="13"/>
      <c r="G6785" s="14">
        <v>24150</v>
      </c>
      <c r="H6785" s="13" t="s">
        <v>11383</v>
      </c>
      <c r="I6785" s="40" t="s">
        <v>18</v>
      </c>
      <c r="J6785" s="40" t="str">
        <f>HYPERLINK("https://stock.pstatic.net/stock-research/company/64/20251202_company_79204000.pdf","PDF")</f>
        <v>PDF</v>
      </c>
      <c r="K6785" s="12" t="s">
        <v>11384</v>
      </c>
    </row>
    <row r="6786" spans="1:12" x14ac:dyDescent="0.45">
      <c r="A6786" s="12" t="s">
        <v>11362</v>
      </c>
      <c r="B6786" s="12" t="s">
        <v>1019</v>
      </c>
      <c r="C6786" s="13" t="s">
        <v>1020</v>
      </c>
      <c r="D6786" s="13" t="s">
        <v>92</v>
      </c>
      <c r="E6786" s="12" t="s">
        <v>35</v>
      </c>
      <c r="F6786" s="14">
        <v>32000</v>
      </c>
      <c r="G6786" s="14">
        <v>19710</v>
      </c>
      <c r="H6786" s="13" t="s">
        <v>11385</v>
      </c>
      <c r="I6786" s="40" t="s">
        <v>18</v>
      </c>
      <c r="J6786" s="40" t="str">
        <f>HYPERLINK("https://stock.pstatic.net/stock-research/company/63/20251202_company_770491000.pdf","PDF")</f>
        <v>PDF</v>
      </c>
      <c r="K6786" s="12" t="s">
        <v>11386</v>
      </c>
      <c r="L6786" s="20">
        <v>0.62354134956874685</v>
      </c>
    </row>
    <row r="6787" spans="1:12" x14ac:dyDescent="0.45">
      <c r="A6787" s="12" t="s">
        <v>11362</v>
      </c>
      <c r="B6787" s="12" t="s">
        <v>11387</v>
      </c>
      <c r="C6787" s="13" t="s">
        <v>11388</v>
      </c>
      <c r="D6787" s="13" t="s">
        <v>23</v>
      </c>
      <c r="E6787" s="12" t="s">
        <v>385</v>
      </c>
      <c r="F6787" s="13"/>
      <c r="G6787" s="14">
        <v>11240</v>
      </c>
      <c r="H6787" s="13" t="s">
        <v>11389</v>
      </c>
      <c r="I6787" s="40" t="s">
        <v>18</v>
      </c>
      <c r="J6787" s="40" t="str">
        <f>HYPERLINK("https://stock.pstatic.net/stock-research/company/21/20251202_company_120803000.pdf","PDF")</f>
        <v>PDF</v>
      </c>
      <c r="K6787" s="12" t="s">
        <v>11390</v>
      </c>
    </row>
    <row r="6788" spans="1:12" x14ac:dyDescent="0.45">
      <c r="A6788" s="12" t="s">
        <v>11362</v>
      </c>
      <c r="B6788" s="12" t="s">
        <v>1061</v>
      </c>
      <c r="C6788" s="13" t="s">
        <v>1062</v>
      </c>
      <c r="D6788" s="13" t="s">
        <v>124</v>
      </c>
      <c r="E6788" s="12" t="s">
        <v>50</v>
      </c>
      <c r="F6788" s="13"/>
      <c r="G6788" s="13"/>
      <c r="H6788" s="13" t="s">
        <v>11391</v>
      </c>
      <c r="I6788" s="40" t="s">
        <v>18</v>
      </c>
      <c r="J6788" s="40" t="str">
        <f>HYPERLINK("https://stock.pstatic.net/stock-research/company/74/20251202_company_529501000.pdf","PDF")</f>
        <v>PDF</v>
      </c>
      <c r="K6788" s="12" t="s">
        <v>11392</v>
      </c>
    </row>
    <row r="6789" spans="1:12" x14ac:dyDescent="0.45">
      <c r="A6789" s="12" t="s">
        <v>11362</v>
      </c>
      <c r="B6789" s="12" t="s">
        <v>1483</v>
      </c>
      <c r="C6789" s="13" t="s">
        <v>1484</v>
      </c>
      <c r="D6789" s="13" t="s">
        <v>124</v>
      </c>
      <c r="E6789" s="12" t="s">
        <v>50</v>
      </c>
      <c r="F6789" s="13"/>
      <c r="G6789" s="13"/>
      <c r="H6789" s="13" t="s">
        <v>11393</v>
      </c>
      <c r="I6789" s="40" t="s">
        <v>18</v>
      </c>
      <c r="J6789" s="40" t="str">
        <f>HYPERLINK("https://stock.pstatic.net/stock-research/company/74/20251203_company_495807000.pdf","PDF")</f>
        <v>PDF</v>
      </c>
      <c r="K6789" s="12" t="s">
        <v>11394</v>
      </c>
    </row>
    <row r="6790" spans="1:12" x14ac:dyDescent="0.45">
      <c r="A6790" s="12" t="s">
        <v>11395</v>
      </c>
      <c r="B6790" s="12" t="s">
        <v>11396</v>
      </c>
      <c r="C6790" s="13" t="s">
        <v>11397</v>
      </c>
      <c r="D6790" s="13" t="s">
        <v>34</v>
      </c>
      <c r="E6790" s="12" t="s">
        <v>50</v>
      </c>
      <c r="F6790" s="13"/>
      <c r="G6790" s="14">
        <v>9390</v>
      </c>
      <c r="H6790" s="13" t="s">
        <v>11398</v>
      </c>
      <c r="I6790" s="40" t="s">
        <v>18</v>
      </c>
      <c r="J6790" s="40" t="str">
        <f>HYPERLINK("https://stock.pstatic.net/stock-research/company/61/20251201_company_335758000.pdf","PDF")</f>
        <v>PDF</v>
      </c>
      <c r="K6790" s="12" t="s">
        <v>11399</v>
      </c>
    </row>
    <row r="6791" spans="1:12" x14ac:dyDescent="0.45">
      <c r="A6791" s="12" t="s">
        <v>11395</v>
      </c>
      <c r="B6791" s="12" t="s">
        <v>3395</v>
      </c>
      <c r="C6791" s="13" t="s">
        <v>3396</v>
      </c>
      <c r="D6791" s="13" t="s">
        <v>34</v>
      </c>
      <c r="E6791" s="12" t="s">
        <v>35</v>
      </c>
      <c r="F6791" s="14">
        <v>30000</v>
      </c>
      <c r="G6791" s="14">
        <v>23700</v>
      </c>
      <c r="H6791" s="13" t="s">
        <v>11400</v>
      </c>
      <c r="I6791" s="40" t="s">
        <v>18</v>
      </c>
      <c r="J6791" s="40" t="str">
        <f>HYPERLINK("https://stock.pstatic.net/stock-research/company/61/20251201_company_513484000.pdf","PDF")</f>
        <v>PDF</v>
      </c>
      <c r="K6791" s="12" t="s">
        <v>11401</v>
      </c>
      <c r="L6791" s="20">
        <v>0.26582278481012661</v>
      </c>
    </row>
    <row r="6792" spans="1:12" x14ac:dyDescent="0.45">
      <c r="A6792" s="12" t="s">
        <v>11395</v>
      </c>
      <c r="B6792" s="12" t="s">
        <v>1198</v>
      </c>
      <c r="C6792" s="13" t="s">
        <v>1199</v>
      </c>
      <c r="D6792" s="13" t="s">
        <v>92</v>
      </c>
      <c r="E6792" s="12" t="s">
        <v>50</v>
      </c>
      <c r="F6792" s="13"/>
      <c r="G6792" s="14">
        <v>15010</v>
      </c>
      <c r="H6792" s="13" t="s">
        <v>11402</v>
      </c>
      <c r="I6792" s="40" t="s">
        <v>18</v>
      </c>
      <c r="J6792" s="40" t="str">
        <f>HYPERLINK("https://stock.pstatic.net/stock-research/company/63/20251201_company_347155000.pdf","PDF")</f>
        <v>PDF</v>
      </c>
      <c r="K6792" s="12" t="s">
        <v>11403</v>
      </c>
    </row>
    <row r="6793" spans="1:12" x14ac:dyDescent="0.45">
      <c r="A6793" s="12" t="s">
        <v>11395</v>
      </c>
      <c r="B6793" s="12" t="s">
        <v>90</v>
      </c>
      <c r="C6793" s="13" t="s">
        <v>91</v>
      </c>
      <c r="D6793" s="13" t="s">
        <v>92</v>
      </c>
      <c r="E6793" s="12" t="s">
        <v>35</v>
      </c>
      <c r="F6793" s="14">
        <v>33000</v>
      </c>
      <c r="G6793" s="14">
        <v>24400</v>
      </c>
      <c r="H6793" s="13" t="s">
        <v>11404</v>
      </c>
      <c r="I6793" s="40" t="s">
        <v>18</v>
      </c>
      <c r="J6793" s="40" t="str">
        <f>HYPERLINK("https://stock.pstatic.net/stock-research/company/63/20251201_company_217781000.pdf","PDF")</f>
        <v>PDF</v>
      </c>
      <c r="K6793" s="12" t="s">
        <v>11405</v>
      </c>
      <c r="L6793" s="20">
        <v>0.35245901639344263</v>
      </c>
    </row>
    <row r="6794" spans="1:12" x14ac:dyDescent="0.45">
      <c r="A6794" s="12" t="s">
        <v>11395</v>
      </c>
      <c r="B6794" s="12" t="s">
        <v>1124</v>
      </c>
      <c r="C6794" s="13" t="s">
        <v>1125</v>
      </c>
      <c r="D6794" s="13" t="s">
        <v>44</v>
      </c>
      <c r="E6794" s="12" t="s">
        <v>35</v>
      </c>
      <c r="F6794" s="14">
        <v>300000</v>
      </c>
      <c r="G6794" s="14">
        <v>238000</v>
      </c>
      <c r="H6794" s="13" t="s">
        <v>11406</v>
      </c>
      <c r="I6794" s="40" t="s">
        <v>18</v>
      </c>
      <c r="J6794" s="40" t="str">
        <f>HYPERLINK("https://stock.pstatic.net/stock-research/company/39/20251201_company_111729000.pdf","PDF")</f>
        <v>PDF</v>
      </c>
      <c r="K6794" s="12" t="s">
        <v>11407</v>
      </c>
      <c r="L6794" s="20">
        <v>0.26050420168067229</v>
      </c>
    </row>
    <row r="6795" spans="1:12" x14ac:dyDescent="0.45">
      <c r="A6795" s="12" t="s">
        <v>11395</v>
      </c>
      <c r="B6795" s="12" t="s">
        <v>11408</v>
      </c>
      <c r="C6795" s="13" t="s">
        <v>11409</v>
      </c>
      <c r="D6795" s="13" t="s">
        <v>124</v>
      </c>
      <c r="E6795" s="12" t="s">
        <v>50</v>
      </c>
      <c r="F6795" s="13"/>
      <c r="G6795" s="13"/>
      <c r="H6795" s="13" t="s">
        <v>11410</v>
      </c>
      <c r="I6795" s="40" t="s">
        <v>18</v>
      </c>
      <c r="J6795" s="40" t="str">
        <f>HYPERLINK("https://stock.pstatic.net/stock-research/company/74/20251201_company_372596000.pdf","PDF")</f>
        <v>PDF</v>
      </c>
      <c r="K6795" s="12" t="s">
        <v>11411</v>
      </c>
    </row>
    <row r="6796" spans="1:12" x14ac:dyDescent="0.45">
      <c r="A6796" s="12" t="s">
        <v>11395</v>
      </c>
      <c r="B6796" s="12" t="s">
        <v>2522</v>
      </c>
      <c r="C6796" s="13" t="s">
        <v>2523</v>
      </c>
      <c r="D6796" s="13" t="s">
        <v>44</v>
      </c>
      <c r="E6796" s="12" t="s">
        <v>45</v>
      </c>
      <c r="F6796" s="14">
        <v>300000</v>
      </c>
      <c r="G6796" s="14">
        <v>257500</v>
      </c>
      <c r="H6796" s="13" t="s">
        <v>11412</v>
      </c>
      <c r="I6796" s="40" t="s">
        <v>18</v>
      </c>
      <c r="J6796" s="40" t="str">
        <f>HYPERLINK("https://stock.pstatic.net/stock-research/company/39/20251201_company_659147000.pdf","PDF")</f>
        <v>PDF</v>
      </c>
      <c r="K6796" s="12" t="s">
        <v>11413</v>
      </c>
      <c r="L6796" s="20">
        <v>0.1650485436893204</v>
      </c>
    </row>
    <row r="6797" spans="1:12" x14ac:dyDescent="0.45">
      <c r="A6797" s="12" t="s">
        <v>11395</v>
      </c>
      <c r="B6797" s="12" t="s">
        <v>1540</v>
      </c>
      <c r="C6797" s="13" t="s">
        <v>1541</v>
      </c>
      <c r="D6797" s="13" t="s">
        <v>853</v>
      </c>
      <c r="E6797" s="12" t="s">
        <v>35</v>
      </c>
      <c r="F6797" s="14">
        <v>66000</v>
      </c>
      <c r="G6797" s="14">
        <v>50300</v>
      </c>
      <c r="H6797" s="13" t="s">
        <v>11414</v>
      </c>
      <c r="I6797" s="40" t="s">
        <v>18</v>
      </c>
      <c r="J6797" s="40" t="str">
        <f>HYPERLINK("https://stock.pstatic.net/stock-research/company/17/20251201_company_102366000.pdf","PDF")</f>
        <v>PDF</v>
      </c>
      <c r="K6797" s="12" t="s">
        <v>11415</v>
      </c>
      <c r="L6797" s="20">
        <v>0.31212723658051689</v>
      </c>
    </row>
    <row r="6798" spans="1:12" x14ac:dyDescent="0.45">
      <c r="A6798" s="12" t="s">
        <v>11395</v>
      </c>
      <c r="B6798" s="12" t="s">
        <v>561</v>
      </c>
      <c r="C6798" s="13" t="s">
        <v>562</v>
      </c>
      <c r="D6798" s="13" t="s">
        <v>15</v>
      </c>
      <c r="E6798" s="12" t="s">
        <v>50</v>
      </c>
      <c r="F6798" s="13"/>
      <c r="G6798" s="14">
        <v>9820</v>
      </c>
      <c r="H6798" s="13" t="s">
        <v>11416</v>
      </c>
      <c r="I6798" s="40" t="s">
        <v>18</v>
      </c>
      <c r="J6798" s="40" t="str">
        <f>HYPERLINK("https://stock.pstatic.net/stock-research/company/29/20251201_company_940584000.pdf","PDF")</f>
        <v>PDF</v>
      </c>
      <c r="K6798" s="12" t="s">
        <v>11417</v>
      </c>
    </row>
    <row r="6799" spans="1:12" x14ac:dyDescent="0.45">
      <c r="A6799" s="12" t="s">
        <v>11395</v>
      </c>
      <c r="B6799" s="12" t="s">
        <v>677</v>
      </c>
      <c r="C6799" s="13" t="s">
        <v>678</v>
      </c>
      <c r="D6799" s="13" t="s">
        <v>15</v>
      </c>
      <c r="E6799" s="12" t="s">
        <v>16</v>
      </c>
      <c r="F6799" s="14">
        <v>17000</v>
      </c>
      <c r="G6799" s="14">
        <v>13570</v>
      </c>
      <c r="H6799" s="13" t="s">
        <v>11418</v>
      </c>
      <c r="I6799" s="40" t="s">
        <v>18</v>
      </c>
      <c r="J6799" s="40" t="str">
        <f>HYPERLINK("https://stock.pstatic.net/stock-research/company/29/20251201_company_186054000.pdf","PDF")</f>
        <v>PDF</v>
      </c>
      <c r="K6799" s="12" t="s">
        <v>11419</v>
      </c>
      <c r="L6799" s="20">
        <v>0.25276344878408252</v>
      </c>
    </row>
    <row r="6800" spans="1:12" x14ac:dyDescent="0.45">
      <c r="A6800" s="12" t="s">
        <v>11395</v>
      </c>
      <c r="B6800" s="12" t="s">
        <v>812</v>
      </c>
      <c r="C6800" s="13" t="s">
        <v>813</v>
      </c>
      <c r="D6800" s="13" t="s">
        <v>15</v>
      </c>
      <c r="E6800" s="12" t="s">
        <v>16</v>
      </c>
      <c r="F6800" s="14">
        <v>115000</v>
      </c>
      <c r="G6800" s="14">
        <v>94000</v>
      </c>
      <c r="H6800" s="13" t="s">
        <v>11420</v>
      </c>
      <c r="I6800" s="40" t="s">
        <v>18</v>
      </c>
      <c r="J6800" s="40" t="str">
        <f>HYPERLINK("https://stock.pstatic.net/stock-research/company/29/20251201_company_848076000.pdf","PDF")</f>
        <v>PDF</v>
      </c>
      <c r="K6800" s="12" t="s">
        <v>11421</v>
      </c>
      <c r="L6800" s="20">
        <v>0.2234042553191489</v>
      </c>
    </row>
    <row r="6801" spans="1:12" x14ac:dyDescent="0.45">
      <c r="A6801" s="12" t="s">
        <v>11395</v>
      </c>
      <c r="B6801" s="12" t="s">
        <v>418</v>
      </c>
      <c r="C6801" s="13" t="s">
        <v>419</v>
      </c>
      <c r="D6801" s="13" t="s">
        <v>15</v>
      </c>
      <c r="E6801" s="12" t="s">
        <v>16</v>
      </c>
      <c r="F6801" s="14">
        <v>22000</v>
      </c>
      <c r="G6801" s="14">
        <v>16680</v>
      </c>
      <c r="H6801" s="13" t="s">
        <v>11422</v>
      </c>
      <c r="I6801" s="40" t="s">
        <v>18</v>
      </c>
      <c r="J6801" s="40" t="str">
        <f>HYPERLINK("https://stock.pstatic.net/stock-research/company/29/20251201_company_230295000.pdf","PDF")</f>
        <v>PDF</v>
      </c>
      <c r="K6801" s="12" t="s">
        <v>11423</v>
      </c>
      <c r="L6801" s="20">
        <v>0.31894484412470031</v>
      </c>
    </row>
    <row r="6802" spans="1:12" x14ac:dyDescent="0.45">
      <c r="A6802" s="12" t="s">
        <v>11424</v>
      </c>
      <c r="B6802" s="12" t="s">
        <v>2266</v>
      </c>
      <c r="C6802" s="13" t="s">
        <v>2267</v>
      </c>
      <c r="D6802" s="13" t="s">
        <v>57</v>
      </c>
      <c r="E6802" s="12" t="s">
        <v>35</v>
      </c>
      <c r="F6802" s="14">
        <v>130000</v>
      </c>
      <c r="G6802" s="14">
        <v>108900</v>
      </c>
      <c r="H6802" s="13" t="s">
        <v>11425</v>
      </c>
      <c r="I6802" s="40" t="s">
        <v>18</v>
      </c>
      <c r="J6802" s="40" t="str">
        <f>HYPERLINK("https://stock.pstatic.net/stock-research/company/16/20251128_company_828658000.pdf","PDF")</f>
        <v>PDF</v>
      </c>
      <c r="K6802" s="12" t="s">
        <v>11426</v>
      </c>
      <c r="L6802" s="20">
        <v>0.19375573921028469</v>
      </c>
    </row>
    <row r="6803" spans="1:12" x14ac:dyDescent="0.45">
      <c r="A6803" s="12" t="s">
        <v>11424</v>
      </c>
      <c r="B6803" s="12" t="s">
        <v>503</v>
      </c>
      <c r="C6803" s="13" t="s">
        <v>504</v>
      </c>
      <c r="D6803" s="13" t="s">
        <v>276</v>
      </c>
      <c r="E6803" s="12" t="s">
        <v>16</v>
      </c>
      <c r="F6803" s="14">
        <v>90000</v>
      </c>
      <c r="G6803" s="14">
        <v>57500</v>
      </c>
      <c r="H6803" s="13" t="s">
        <v>11427</v>
      </c>
      <c r="I6803" s="40" t="s">
        <v>18</v>
      </c>
      <c r="J6803" s="40" t="str">
        <f>HYPERLINK("https://stock.pstatic.net/stock-research/company/66/20251128_company_571571000.pdf","PDF")</f>
        <v>PDF</v>
      </c>
      <c r="K6803" s="12" t="s">
        <v>11428</v>
      </c>
      <c r="L6803" s="20">
        <v>0.56521739130434778</v>
      </c>
    </row>
    <row r="6804" spans="1:12" x14ac:dyDescent="0.45">
      <c r="A6804" s="12" t="s">
        <v>11424</v>
      </c>
      <c r="B6804" s="12" t="s">
        <v>11429</v>
      </c>
      <c r="C6804" s="13" t="s">
        <v>11430</v>
      </c>
      <c r="D6804" s="13" t="s">
        <v>276</v>
      </c>
      <c r="E6804" s="12" t="s">
        <v>16</v>
      </c>
      <c r="F6804" s="14">
        <v>98000</v>
      </c>
      <c r="G6804" s="14">
        <v>81200</v>
      </c>
      <c r="H6804" s="13" t="s">
        <v>11431</v>
      </c>
      <c r="I6804" s="40" t="s">
        <v>18</v>
      </c>
      <c r="J6804" s="40" t="str">
        <f>HYPERLINK("https://stock.pstatic.net/stock-research/company/66/20251128_company_158077000.pdf","PDF")</f>
        <v>PDF</v>
      </c>
      <c r="K6804" s="12" t="s">
        <v>11432</v>
      </c>
      <c r="L6804" s="20">
        <v>0.2068965517241379</v>
      </c>
    </row>
    <row r="6805" spans="1:12" x14ac:dyDescent="0.45">
      <c r="A6805" s="12" t="s">
        <v>11424</v>
      </c>
      <c r="B6805" s="12" t="s">
        <v>698</v>
      </c>
      <c r="C6805" s="13" t="s">
        <v>699</v>
      </c>
      <c r="D6805" s="13" t="s">
        <v>276</v>
      </c>
      <c r="E6805" s="12" t="s">
        <v>16</v>
      </c>
      <c r="F6805" s="14">
        <v>450000</v>
      </c>
      <c r="G6805" s="14">
        <v>254000</v>
      </c>
      <c r="H6805" s="13" t="s">
        <v>7810</v>
      </c>
      <c r="I6805" s="40" t="s">
        <v>18</v>
      </c>
      <c r="J6805" s="40" t="str">
        <f>HYPERLINK("https://stock.pstatic.net/stock-research/company/66/20251128_company_428639000.pdf","PDF")</f>
        <v>PDF</v>
      </c>
      <c r="K6805" s="12" t="s">
        <v>11433</v>
      </c>
      <c r="L6805" s="20">
        <v>0.77165354330708658</v>
      </c>
    </row>
    <row r="6806" spans="1:12" x14ac:dyDescent="0.45">
      <c r="A6806" s="12" t="s">
        <v>11424</v>
      </c>
      <c r="B6806" s="12" t="s">
        <v>720</v>
      </c>
      <c r="C6806" s="13" t="s">
        <v>721</v>
      </c>
      <c r="D6806" s="13" t="s">
        <v>276</v>
      </c>
      <c r="E6806" s="12" t="s">
        <v>16</v>
      </c>
      <c r="F6806" s="14">
        <v>16000</v>
      </c>
      <c r="G6806" s="14">
        <v>12340</v>
      </c>
      <c r="H6806" s="13" t="s">
        <v>11434</v>
      </c>
      <c r="I6806" s="40" t="s">
        <v>18</v>
      </c>
      <c r="J6806" s="40" t="str">
        <f>HYPERLINK("https://stock.pstatic.net/stock-research/company/66/20251128_company_744949000.pdf","PDF")</f>
        <v>PDF</v>
      </c>
      <c r="K6806" s="12" t="s">
        <v>11435</v>
      </c>
      <c r="L6806" s="20">
        <v>0.29659643435980548</v>
      </c>
    </row>
    <row r="6807" spans="1:12" x14ac:dyDescent="0.45">
      <c r="A6807" s="12" t="s">
        <v>11424</v>
      </c>
      <c r="B6807" s="12" t="s">
        <v>724</v>
      </c>
      <c r="C6807" s="13" t="s">
        <v>725</v>
      </c>
      <c r="D6807" s="13" t="s">
        <v>276</v>
      </c>
      <c r="E6807" s="12" t="s">
        <v>385</v>
      </c>
      <c r="F6807" s="14">
        <v>50000</v>
      </c>
      <c r="G6807" s="14">
        <v>50600</v>
      </c>
      <c r="H6807" s="13" t="s">
        <v>11436</v>
      </c>
      <c r="I6807" s="40" t="s">
        <v>18</v>
      </c>
      <c r="J6807" s="40" t="str">
        <f>HYPERLINK("https://stock.pstatic.net/stock-research/company/66/20251128_company_349463000.pdf","PDF")</f>
        <v>PDF</v>
      </c>
      <c r="K6807" s="12" t="s">
        <v>11437</v>
      </c>
      <c r="L6807" s="20">
        <v>-1.185770750988142E-2</v>
      </c>
    </row>
    <row r="6808" spans="1:12" x14ac:dyDescent="0.45">
      <c r="A6808" s="12" t="s">
        <v>11424</v>
      </c>
      <c r="B6808" s="12" t="s">
        <v>728</v>
      </c>
      <c r="C6808" s="13" t="s">
        <v>729</v>
      </c>
      <c r="D6808" s="13" t="s">
        <v>276</v>
      </c>
      <c r="E6808" s="12" t="s">
        <v>16</v>
      </c>
      <c r="F6808" s="14">
        <v>110000</v>
      </c>
      <c r="G6808" s="14">
        <v>87000</v>
      </c>
      <c r="H6808" s="13" t="s">
        <v>11438</v>
      </c>
      <c r="I6808" s="40" t="s">
        <v>18</v>
      </c>
      <c r="J6808" s="40" t="str">
        <f>HYPERLINK("https://stock.pstatic.net/stock-research/company/66/20251128_company_51867000.pdf","PDF")</f>
        <v>PDF</v>
      </c>
      <c r="K6808" s="12" t="s">
        <v>11439</v>
      </c>
      <c r="L6808" s="20">
        <v>0.26436781609195398</v>
      </c>
    </row>
    <row r="6809" spans="1:12" x14ac:dyDescent="0.45">
      <c r="A6809" s="12" t="s">
        <v>11424</v>
      </c>
      <c r="B6809" s="12" t="s">
        <v>42</v>
      </c>
      <c r="C6809" s="13" t="s">
        <v>43</v>
      </c>
      <c r="D6809" s="13" t="s">
        <v>276</v>
      </c>
      <c r="E6809" s="12" t="s">
        <v>16</v>
      </c>
      <c r="F6809" s="14">
        <v>400000</v>
      </c>
      <c r="G6809" s="14">
        <v>251500</v>
      </c>
      <c r="H6809" s="13" t="s">
        <v>11440</v>
      </c>
      <c r="I6809" s="40" t="s">
        <v>18</v>
      </c>
      <c r="J6809" s="40" t="str">
        <f>HYPERLINK("https://stock.pstatic.net/stock-research/company/66/20251128_company_186147000.pdf","PDF")</f>
        <v>PDF</v>
      </c>
      <c r="K6809" s="12" t="s">
        <v>11441</v>
      </c>
      <c r="L6809" s="20">
        <v>0.59045725646123259</v>
      </c>
    </row>
    <row r="6810" spans="1:12" x14ac:dyDescent="0.45">
      <c r="A6810" s="12" t="s">
        <v>11424</v>
      </c>
      <c r="B6810" s="12" t="s">
        <v>5597</v>
      </c>
      <c r="C6810" s="13" t="s">
        <v>5598</v>
      </c>
      <c r="D6810" s="13" t="s">
        <v>276</v>
      </c>
      <c r="E6810" s="12" t="s">
        <v>16</v>
      </c>
      <c r="F6810" s="14">
        <v>92000</v>
      </c>
      <c r="G6810" s="14">
        <v>67300</v>
      </c>
      <c r="H6810" s="13" t="s">
        <v>11442</v>
      </c>
      <c r="I6810" s="40" t="s">
        <v>18</v>
      </c>
      <c r="J6810" s="40" t="str">
        <f>HYPERLINK("https://stock.pstatic.net/stock-research/company/66/20251128_company_246946000.pdf","PDF")</f>
        <v>PDF</v>
      </c>
      <c r="K6810" s="12" t="s">
        <v>11443</v>
      </c>
      <c r="L6810" s="20">
        <v>0.36701337295690928</v>
      </c>
    </row>
    <row r="6811" spans="1:12" x14ac:dyDescent="0.45">
      <c r="A6811" s="12" t="s">
        <v>11424</v>
      </c>
      <c r="B6811" s="12" t="s">
        <v>102</v>
      </c>
      <c r="C6811" s="13" t="s">
        <v>103</v>
      </c>
      <c r="D6811" s="13" t="s">
        <v>276</v>
      </c>
      <c r="E6811" s="12" t="s">
        <v>16</v>
      </c>
      <c r="F6811" s="14">
        <v>25000</v>
      </c>
      <c r="G6811" s="14">
        <v>18300</v>
      </c>
      <c r="H6811" s="13" t="s">
        <v>11444</v>
      </c>
      <c r="I6811" s="40" t="s">
        <v>18</v>
      </c>
      <c r="J6811" s="40" t="str">
        <f>HYPERLINK("https://stock.pstatic.net/stock-research/company/66/20251128_company_751127000.pdf","PDF")</f>
        <v>PDF</v>
      </c>
      <c r="K6811" s="12" t="s">
        <v>11445</v>
      </c>
      <c r="L6811" s="20">
        <v>0.36612021857923499</v>
      </c>
    </row>
    <row r="6812" spans="1:12" x14ac:dyDescent="0.45">
      <c r="A6812" s="12" t="s">
        <v>11424</v>
      </c>
      <c r="B6812" s="12" t="s">
        <v>42</v>
      </c>
      <c r="C6812" s="13" t="s">
        <v>43</v>
      </c>
      <c r="D6812" s="13" t="s">
        <v>65</v>
      </c>
      <c r="E6812" s="12" t="s">
        <v>35</v>
      </c>
      <c r="F6812" s="14">
        <v>350000</v>
      </c>
      <c r="G6812" s="14">
        <v>251500</v>
      </c>
      <c r="H6812" s="13" t="s">
        <v>11446</v>
      </c>
      <c r="I6812" s="40" t="s">
        <v>18</v>
      </c>
      <c r="J6812" s="40" t="str">
        <f>HYPERLINK("https://stock.pstatic.net/stock-research/company/57/20251128_company_453560000.pdf","PDF")</f>
        <v>PDF</v>
      </c>
      <c r="K6812" s="12" t="s">
        <v>11447</v>
      </c>
      <c r="L6812" s="20">
        <v>0.39165009940357848</v>
      </c>
    </row>
    <row r="6813" spans="1:12" x14ac:dyDescent="0.45">
      <c r="A6813" s="12" t="s">
        <v>11424</v>
      </c>
      <c r="B6813" s="12" t="s">
        <v>11448</v>
      </c>
      <c r="C6813" s="13" t="s">
        <v>11449</v>
      </c>
      <c r="D6813" s="13" t="s">
        <v>65</v>
      </c>
      <c r="E6813" s="12" t="s">
        <v>50</v>
      </c>
      <c r="F6813" s="13"/>
      <c r="G6813" s="14">
        <v>64500</v>
      </c>
      <c r="H6813" s="13" t="s">
        <v>11450</v>
      </c>
      <c r="I6813" s="40" t="s">
        <v>18</v>
      </c>
      <c r="J6813" s="40" t="str">
        <f>HYPERLINK("https://stock.pstatic.net/stock-research/company/57/20251128_company_754695000.pdf","PDF")</f>
        <v>PDF</v>
      </c>
      <c r="K6813" s="12" t="s">
        <v>11451</v>
      </c>
    </row>
    <row r="6814" spans="1:12" x14ac:dyDescent="0.45">
      <c r="A6814" s="12" t="s">
        <v>11424</v>
      </c>
      <c r="B6814" s="12" t="s">
        <v>426</v>
      </c>
      <c r="C6814" s="13" t="s">
        <v>427</v>
      </c>
      <c r="D6814" s="13" t="s">
        <v>158</v>
      </c>
      <c r="E6814" s="12" t="s">
        <v>35</v>
      </c>
      <c r="F6814" s="14">
        <v>20000</v>
      </c>
      <c r="G6814" s="14">
        <v>16540</v>
      </c>
      <c r="H6814" s="13" t="s">
        <v>11452</v>
      </c>
      <c r="I6814" s="40" t="s">
        <v>18</v>
      </c>
      <c r="J6814" s="40" t="str">
        <f>HYPERLINK("https://stock.pstatic.net/stock-research/company/18/20251128_company_624681000.pdf","PDF")</f>
        <v>PDF</v>
      </c>
      <c r="K6814" s="12" t="s">
        <v>11453</v>
      </c>
      <c r="L6814" s="20">
        <v>0.20918984280532041</v>
      </c>
    </row>
    <row r="6815" spans="1:12" x14ac:dyDescent="0.45">
      <c r="A6815" s="12" t="s">
        <v>11424</v>
      </c>
      <c r="B6815" s="12" t="s">
        <v>11408</v>
      </c>
      <c r="C6815" s="13" t="s">
        <v>11409</v>
      </c>
      <c r="D6815" s="13" t="s">
        <v>158</v>
      </c>
      <c r="E6815" s="12" t="s">
        <v>50</v>
      </c>
      <c r="F6815" s="13"/>
      <c r="G6815" s="14">
        <v>10200</v>
      </c>
      <c r="H6815" s="13" t="s">
        <v>11454</v>
      </c>
      <c r="I6815" s="40" t="s">
        <v>18</v>
      </c>
      <c r="J6815" s="40" t="str">
        <f>HYPERLINK("https://stock.pstatic.net/stock-research/company/18/20251128_company_3547000.pdf","PDF")</f>
        <v>PDF</v>
      </c>
      <c r="K6815" s="12" t="s">
        <v>11455</v>
      </c>
    </row>
    <row r="6816" spans="1:12" x14ac:dyDescent="0.45">
      <c r="A6816" s="12" t="s">
        <v>11424</v>
      </c>
      <c r="B6816" s="12" t="s">
        <v>7598</v>
      </c>
      <c r="C6816" s="13" t="s">
        <v>7599</v>
      </c>
      <c r="D6816" s="13" t="s">
        <v>158</v>
      </c>
      <c r="E6816" s="12" t="s">
        <v>35</v>
      </c>
      <c r="F6816" s="14">
        <v>63000</v>
      </c>
      <c r="G6816" s="14">
        <v>44600</v>
      </c>
      <c r="H6816" s="13" t="s">
        <v>11456</v>
      </c>
      <c r="I6816" s="40" t="s">
        <v>18</v>
      </c>
      <c r="J6816" s="40" t="str">
        <f>HYPERLINK("https://stock.pstatic.net/stock-research/company/18/20251128_company_30008000.pdf","PDF")</f>
        <v>PDF</v>
      </c>
      <c r="K6816" s="12" t="s">
        <v>11457</v>
      </c>
      <c r="L6816" s="20">
        <v>0.41255605381165922</v>
      </c>
    </row>
    <row r="6817" spans="1:12" x14ac:dyDescent="0.45">
      <c r="A6817" s="12" t="s">
        <v>11424</v>
      </c>
      <c r="B6817" s="12" t="s">
        <v>3150</v>
      </c>
      <c r="C6817" s="13" t="s">
        <v>3151</v>
      </c>
      <c r="D6817" s="13" t="s">
        <v>158</v>
      </c>
      <c r="E6817" s="12" t="s">
        <v>35</v>
      </c>
      <c r="F6817" s="14">
        <v>210000</v>
      </c>
      <c r="G6817" s="14">
        <v>174800</v>
      </c>
      <c r="H6817" s="13" t="s">
        <v>11458</v>
      </c>
      <c r="I6817" s="40" t="s">
        <v>18</v>
      </c>
      <c r="J6817" s="40" t="str">
        <f>HYPERLINK("https://stock.pstatic.net/stock-research/company/18/20251128_company_81655000.pdf","PDF")</f>
        <v>PDF</v>
      </c>
      <c r="K6817" s="12" t="s">
        <v>11459</v>
      </c>
      <c r="L6817" s="20">
        <v>0.2013729977116705</v>
      </c>
    </row>
    <row r="6818" spans="1:12" x14ac:dyDescent="0.45">
      <c r="A6818" s="12" t="s">
        <v>11424</v>
      </c>
      <c r="B6818" s="12" t="s">
        <v>4356</v>
      </c>
      <c r="C6818" s="13" t="s">
        <v>4357</v>
      </c>
      <c r="D6818" s="13" t="s">
        <v>158</v>
      </c>
      <c r="E6818" s="12" t="s">
        <v>35</v>
      </c>
      <c r="F6818" s="14">
        <v>3200</v>
      </c>
      <c r="G6818" s="14">
        <v>2685</v>
      </c>
      <c r="H6818" s="13" t="s">
        <v>11460</v>
      </c>
      <c r="I6818" s="40" t="s">
        <v>18</v>
      </c>
      <c r="J6818" s="40" t="str">
        <f>HYPERLINK("https://stock.pstatic.net/stock-research/company/18/20251128_company_554088000.pdf","PDF")</f>
        <v>PDF</v>
      </c>
      <c r="K6818" s="12" t="s">
        <v>11461</v>
      </c>
      <c r="L6818" s="20">
        <v>0.1918063314711359</v>
      </c>
    </row>
    <row r="6819" spans="1:12" x14ac:dyDescent="0.45">
      <c r="A6819" s="12" t="s">
        <v>11424</v>
      </c>
      <c r="B6819" s="12" t="s">
        <v>2762</v>
      </c>
      <c r="C6819" s="13" t="s">
        <v>2763</v>
      </c>
      <c r="D6819" s="13" t="s">
        <v>158</v>
      </c>
      <c r="E6819" s="12" t="s">
        <v>35</v>
      </c>
      <c r="F6819" s="14">
        <v>120000</v>
      </c>
      <c r="G6819" s="14">
        <v>67600</v>
      </c>
      <c r="H6819" s="13" t="s">
        <v>11462</v>
      </c>
      <c r="I6819" s="40" t="s">
        <v>18</v>
      </c>
      <c r="J6819" s="40" t="str">
        <f>HYPERLINK("https://stock.pstatic.net/stock-research/company/18/20251128_company_370371000.pdf","PDF")</f>
        <v>PDF</v>
      </c>
      <c r="K6819" s="12" t="s">
        <v>11463</v>
      </c>
      <c r="L6819" s="20">
        <v>0.7751479289940828</v>
      </c>
    </row>
    <row r="6820" spans="1:12" x14ac:dyDescent="0.45">
      <c r="A6820" s="12" t="s">
        <v>11424</v>
      </c>
      <c r="B6820" s="12" t="s">
        <v>237</v>
      </c>
      <c r="C6820" s="13" t="s">
        <v>238</v>
      </c>
      <c r="D6820" s="13" t="s">
        <v>92</v>
      </c>
      <c r="E6820" s="12" t="s">
        <v>35</v>
      </c>
      <c r="F6820" s="14">
        <v>75000</v>
      </c>
      <c r="G6820" s="14">
        <v>59500</v>
      </c>
      <c r="H6820" s="13" t="s">
        <v>11464</v>
      </c>
      <c r="I6820" s="40" t="s">
        <v>18</v>
      </c>
      <c r="J6820" s="40" t="str">
        <f>HYPERLINK("https://stock.pstatic.net/stock-research/company/63/20251128_company_941363000.pdf","PDF")</f>
        <v>PDF</v>
      </c>
      <c r="K6820" s="12" t="s">
        <v>11465</v>
      </c>
      <c r="L6820" s="20">
        <v>0.26050420168067229</v>
      </c>
    </row>
    <row r="6821" spans="1:12" x14ac:dyDescent="0.45">
      <c r="A6821" s="12" t="s">
        <v>11424</v>
      </c>
      <c r="B6821" s="12" t="s">
        <v>42</v>
      </c>
      <c r="C6821" s="13" t="s">
        <v>43</v>
      </c>
      <c r="D6821" s="13" t="s">
        <v>179</v>
      </c>
      <c r="E6821" s="12" t="s">
        <v>50</v>
      </c>
      <c r="F6821" s="13"/>
      <c r="G6821" s="13"/>
      <c r="H6821" s="13" t="s">
        <v>11466</v>
      </c>
      <c r="I6821" s="40" t="s">
        <v>18</v>
      </c>
      <c r="J6821" s="40" t="str">
        <f>HYPERLINK("https://stock.pstatic.net/stock-research/company/64/20251128_company_892804000.pdf","PDF")</f>
        <v>PDF</v>
      </c>
      <c r="K6821" s="12" t="s">
        <v>11467</v>
      </c>
    </row>
    <row r="6822" spans="1:12" x14ac:dyDescent="0.45">
      <c r="A6822" s="12" t="s">
        <v>11424</v>
      </c>
      <c r="B6822" s="12" t="s">
        <v>1849</v>
      </c>
      <c r="C6822" s="13" t="s">
        <v>1850</v>
      </c>
      <c r="D6822" s="13" t="s">
        <v>92</v>
      </c>
      <c r="E6822" s="12" t="s">
        <v>35</v>
      </c>
      <c r="F6822" s="14">
        <v>26000</v>
      </c>
      <c r="G6822" s="14">
        <v>18150</v>
      </c>
      <c r="H6822" s="13" t="s">
        <v>11468</v>
      </c>
      <c r="I6822" s="40" t="s">
        <v>18</v>
      </c>
      <c r="J6822" s="40" t="str">
        <f>HYPERLINK("https://stock.pstatic.net/stock-research/company/63/20251128_company_277899000.pdf","PDF")</f>
        <v>PDF</v>
      </c>
      <c r="K6822" s="12" t="s">
        <v>11469</v>
      </c>
      <c r="L6822" s="20">
        <v>0.43250688705234158</v>
      </c>
    </row>
    <row r="6823" spans="1:12" x14ac:dyDescent="0.45">
      <c r="A6823" s="12" t="s">
        <v>11424</v>
      </c>
      <c r="B6823" s="12" t="s">
        <v>824</v>
      </c>
      <c r="C6823" s="13" t="s">
        <v>825</v>
      </c>
      <c r="D6823" s="13" t="s">
        <v>15</v>
      </c>
      <c r="E6823" s="12" t="s">
        <v>16</v>
      </c>
      <c r="F6823" s="14">
        <v>55000</v>
      </c>
      <c r="G6823" s="14">
        <v>43950</v>
      </c>
      <c r="H6823" s="13" t="s">
        <v>11470</v>
      </c>
      <c r="I6823" s="40" t="s">
        <v>18</v>
      </c>
      <c r="J6823" s="40" t="str">
        <f>HYPERLINK("https://stock.pstatic.net/stock-research/company/29/20251128_company_898332000.pdf","PDF")</f>
        <v>PDF</v>
      </c>
      <c r="K6823" s="12" t="s">
        <v>11471</v>
      </c>
      <c r="L6823" s="20">
        <v>0.25142207053469851</v>
      </c>
    </row>
    <row r="6824" spans="1:12" x14ac:dyDescent="0.45">
      <c r="A6824" s="12" t="s">
        <v>11424</v>
      </c>
      <c r="B6824" s="12" t="s">
        <v>720</v>
      </c>
      <c r="C6824" s="13" t="s">
        <v>721</v>
      </c>
      <c r="D6824" s="13" t="s">
        <v>179</v>
      </c>
      <c r="E6824" s="12" t="s">
        <v>16</v>
      </c>
      <c r="F6824" s="14">
        <v>15000</v>
      </c>
      <c r="G6824" s="14">
        <v>12340</v>
      </c>
      <c r="H6824" s="13" t="s">
        <v>11472</v>
      </c>
      <c r="I6824" s="40" t="s">
        <v>18</v>
      </c>
      <c r="J6824" s="40" t="str">
        <f>HYPERLINK("https://stock.pstatic.net/stock-research/company/64/20251128_company_547611000.pdf","PDF")</f>
        <v>PDF</v>
      </c>
      <c r="K6824" s="12" t="s">
        <v>11473</v>
      </c>
      <c r="L6824" s="20">
        <v>0.21555915721231769</v>
      </c>
    </row>
    <row r="6825" spans="1:12" x14ac:dyDescent="0.45">
      <c r="A6825" s="12" t="s">
        <v>11424</v>
      </c>
      <c r="B6825" s="12" t="s">
        <v>1170</v>
      </c>
      <c r="C6825" s="13" t="s">
        <v>1171</v>
      </c>
      <c r="D6825" s="13" t="s">
        <v>179</v>
      </c>
      <c r="E6825" s="12" t="s">
        <v>16</v>
      </c>
      <c r="F6825" s="14">
        <v>13000</v>
      </c>
      <c r="G6825" s="14">
        <v>8660</v>
      </c>
      <c r="H6825" s="13" t="s">
        <v>11474</v>
      </c>
      <c r="I6825" s="40" t="s">
        <v>18</v>
      </c>
      <c r="J6825" s="40" t="str">
        <f>HYPERLINK("https://stock.pstatic.net/stock-research/company/64/20251128_company_202167000.pdf","PDF")</f>
        <v>PDF</v>
      </c>
      <c r="K6825" s="12" t="s">
        <v>11475</v>
      </c>
      <c r="L6825" s="20">
        <v>0.50115473441108549</v>
      </c>
    </row>
    <row r="6826" spans="1:12" x14ac:dyDescent="0.45">
      <c r="A6826" s="12" t="s">
        <v>11424</v>
      </c>
      <c r="B6826" s="12" t="s">
        <v>1109</v>
      </c>
      <c r="C6826" s="13" t="s">
        <v>1110</v>
      </c>
      <c r="D6826" s="13" t="s">
        <v>179</v>
      </c>
      <c r="E6826" s="12" t="s">
        <v>16</v>
      </c>
      <c r="F6826" s="14">
        <v>9500</v>
      </c>
      <c r="G6826" s="14">
        <v>7880</v>
      </c>
      <c r="H6826" s="13" t="s">
        <v>11476</v>
      </c>
      <c r="I6826" s="40" t="s">
        <v>18</v>
      </c>
      <c r="J6826" s="40" t="str">
        <f>HYPERLINK("https://stock.pstatic.net/stock-research/company/64/20251128_company_80941000.pdf","PDF")</f>
        <v>PDF</v>
      </c>
      <c r="K6826" s="12" t="s">
        <v>11477</v>
      </c>
      <c r="L6826" s="20">
        <v>0.2055837563451777</v>
      </c>
    </row>
    <row r="6827" spans="1:12" x14ac:dyDescent="0.45">
      <c r="A6827" s="12" t="s">
        <v>11424</v>
      </c>
      <c r="B6827" s="12" t="s">
        <v>1105</v>
      </c>
      <c r="C6827" s="13" t="s">
        <v>1106</v>
      </c>
      <c r="D6827" s="13" t="s">
        <v>179</v>
      </c>
      <c r="E6827" s="12" t="s">
        <v>16</v>
      </c>
      <c r="F6827" s="14">
        <v>20000</v>
      </c>
      <c r="G6827" s="14">
        <v>16220</v>
      </c>
      <c r="H6827" s="13" t="s">
        <v>11478</v>
      </c>
      <c r="I6827" s="40" t="s">
        <v>18</v>
      </c>
      <c r="J6827" s="40" t="str">
        <f>HYPERLINK("https://stock.pstatic.net/stock-research/company/64/20251128_company_478368000.pdf","PDF")</f>
        <v>PDF</v>
      </c>
      <c r="K6827" s="12" t="s">
        <v>11479</v>
      </c>
      <c r="L6827" s="20">
        <v>0.23304562268803949</v>
      </c>
    </row>
    <row r="6828" spans="1:12" x14ac:dyDescent="0.45">
      <c r="A6828" s="12" t="s">
        <v>11424</v>
      </c>
      <c r="B6828" s="12" t="s">
        <v>42</v>
      </c>
      <c r="C6828" s="13" t="s">
        <v>43</v>
      </c>
      <c r="D6828" s="13" t="s">
        <v>44</v>
      </c>
      <c r="E6828" s="12" t="s">
        <v>45</v>
      </c>
      <c r="F6828" s="14">
        <v>300000</v>
      </c>
      <c r="G6828" s="14">
        <v>251500</v>
      </c>
      <c r="H6828" s="13" t="s">
        <v>11480</v>
      </c>
      <c r="I6828" s="40" t="s">
        <v>18</v>
      </c>
      <c r="J6828" s="40" t="str">
        <f>HYPERLINK("https://stock.pstatic.net/stock-research/company/39/20251128_company_236492000.pdf","PDF")</f>
        <v>PDF</v>
      </c>
      <c r="K6828" s="12" t="s">
        <v>11481</v>
      </c>
      <c r="L6828" s="20">
        <v>0.19284294234592439</v>
      </c>
    </row>
    <row r="6829" spans="1:12" x14ac:dyDescent="0.45">
      <c r="A6829" s="12" t="s">
        <v>11424</v>
      </c>
      <c r="B6829" s="12" t="s">
        <v>375</v>
      </c>
      <c r="C6829" s="13" t="s">
        <v>376</v>
      </c>
      <c r="D6829" s="13" t="s">
        <v>23</v>
      </c>
      <c r="E6829" s="12" t="s">
        <v>16</v>
      </c>
      <c r="F6829" s="14">
        <v>34000</v>
      </c>
      <c r="G6829" s="14">
        <v>24550</v>
      </c>
      <c r="H6829" s="13" t="s">
        <v>11482</v>
      </c>
      <c r="I6829" s="40" t="s">
        <v>18</v>
      </c>
      <c r="J6829" s="40" t="str">
        <f>HYPERLINK("https://stock.pstatic.net/stock-research/company/21/20251128_company_477788000.pdf","PDF")</f>
        <v>PDF</v>
      </c>
      <c r="K6829" s="12" t="s">
        <v>11483</v>
      </c>
      <c r="L6829" s="20">
        <v>0.38492871690427699</v>
      </c>
    </row>
    <row r="6830" spans="1:12" x14ac:dyDescent="0.45">
      <c r="A6830" s="12" t="s">
        <v>11424</v>
      </c>
      <c r="B6830" s="12" t="s">
        <v>11484</v>
      </c>
      <c r="C6830" s="13" t="s">
        <v>11485</v>
      </c>
      <c r="D6830" s="13" t="s">
        <v>124</v>
      </c>
      <c r="E6830" s="12" t="s">
        <v>50</v>
      </c>
      <c r="F6830" s="13"/>
      <c r="G6830" s="13"/>
      <c r="H6830" s="13" t="s">
        <v>11486</v>
      </c>
      <c r="I6830" s="40" t="s">
        <v>18</v>
      </c>
      <c r="J6830" s="40" t="str">
        <f>HYPERLINK("https://stock.pstatic.net/stock-research/company/74/20251128_company_135726000.pdf","PDF")</f>
        <v>PDF</v>
      </c>
      <c r="K6830" s="12" t="s">
        <v>11487</v>
      </c>
    </row>
    <row r="6831" spans="1:12" x14ac:dyDescent="0.45">
      <c r="A6831" s="12" t="s">
        <v>11424</v>
      </c>
      <c r="B6831" s="12" t="s">
        <v>11488</v>
      </c>
      <c r="C6831" s="13" t="s">
        <v>11489</v>
      </c>
      <c r="D6831" s="13" t="s">
        <v>202</v>
      </c>
      <c r="E6831" s="12" t="s">
        <v>50</v>
      </c>
      <c r="F6831" s="13"/>
      <c r="G6831" s="13"/>
      <c r="H6831" s="13" t="s">
        <v>11490</v>
      </c>
      <c r="I6831" s="40" t="s">
        <v>18</v>
      </c>
      <c r="J6831" s="40" t="str">
        <f>HYPERLINK("https://stock.pstatic.net/stock-research/company/69/20251128_company_840244000.pdf","PDF")</f>
        <v>PDF</v>
      </c>
      <c r="K6831" s="12" t="s">
        <v>11491</v>
      </c>
    </row>
    <row r="6832" spans="1:12" x14ac:dyDescent="0.45">
      <c r="A6832" s="12" t="s">
        <v>11424</v>
      </c>
      <c r="B6832" s="12" t="s">
        <v>11492</v>
      </c>
      <c r="C6832" s="13" t="s">
        <v>11493</v>
      </c>
      <c r="D6832" s="13" t="s">
        <v>207</v>
      </c>
      <c r="E6832" s="12" t="s">
        <v>50</v>
      </c>
      <c r="F6832" s="13"/>
      <c r="G6832" s="13"/>
      <c r="H6832" s="13" t="s">
        <v>11494</v>
      </c>
      <c r="I6832" s="40" t="s">
        <v>18</v>
      </c>
      <c r="J6832" s="40" t="str">
        <f>HYPERLINK("https://stock.pstatic.net/stock-research/company/75/20251128_company_721309000.pdf","PDF")</f>
        <v>PDF</v>
      </c>
      <c r="K6832" s="12" t="s">
        <v>11495</v>
      </c>
    </row>
    <row r="6833" spans="1:11" x14ac:dyDescent="0.45">
      <c r="A6833" s="12" t="s">
        <v>11424</v>
      </c>
      <c r="B6833" s="12" t="s">
        <v>4383</v>
      </c>
      <c r="C6833" s="13" t="s">
        <v>4384</v>
      </c>
      <c r="D6833" s="13" t="s">
        <v>207</v>
      </c>
      <c r="E6833" s="12" t="s">
        <v>50</v>
      </c>
      <c r="F6833" s="13"/>
      <c r="G6833" s="13"/>
      <c r="H6833" s="13" t="s">
        <v>11496</v>
      </c>
      <c r="I6833" s="40" t="s">
        <v>18</v>
      </c>
      <c r="J6833" s="40" t="str">
        <f>HYPERLINK("https://stock.pstatic.net/stock-research/company/75/20251128_company_290018000.pdf","PDF")</f>
        <v>PDF</v>
      </c>
      <c r="K6833" s="12" t="s">
        <v>11497</v>
      </c>
    </row>
    <row r="6834" spans="1:11" x14ac:dyDescent="0.45">
      <c r="A6834" s="12" t="s">
        <v>11424</v>
      </c>
      <c r="B6834" s="12" t="s">
        <v>11498</v>
      </c>
      <c r="C6834" s="13" t="s">
        <v>11499</v>
      </c>
      <c r="D6834" s="13" t="s">
        <v>202</v>
      </c>
      <c r="E6834" s="12" t="s">
        <v>50</v>
      </c>
      <c r="F6834" s="13"/>
      <c r="G6834" s="13"/>
      <c r="H6834" s="13" t="s">
        <v>11500</v>
      </c>
      <c r="I6834" s="40" t="s">
        <v>18</v>
      </c>
      <c r="J6834" s="40" t="str">
        <f>HYPERLINK("https://stock.pstatic.net/stock-research/company/69/20251128_company_785455000.pdf","PDF")</f>
        <v>PDF</v>
      </c>
      <c r="K6834" s="12" t="s">
        <v>11501</v>
      </c>
    </row>
    <row r="6835" spans="1:11" x14ac:dyDescent="0.45">
      <c r="A6835" s="12" t="s">
        <v>11424</v>
      </c>
      <c r="B6835" s="12" t="s">
        <v>11502</v>
      </c>
      <c r="C6835" s="13" t="s">
        <v>11503</v>
      </c>
      <c r="D6835" s="13" t="s">
        <v>202</v>
      </c>
      <c r="E6835" s="12" t="s">
        <v>50</v>
      </c>
      <c r="F6835" s="13"/>
      <c r="G6835" s="13"/>
      <c r="H6835" s="13" t="s">
        <v>11504</v>
      </c>
      <c r="I6835" s="40" t="s">
        <v>18</v>
      </c>
      <c r="J6835" s="40" t="str">
        <f>HYPERLINK("https://stock.pstatic.net/stock-research/company/69/20251128_company_640135000.pdf","PDF")</f>
        <v>PDF</v>
      </c>
      <c r="K6835" s="12" t="s">
        <v>11505</v>
      </c>
    </row>
    <row r="6836" spans="1:11" x14ac:dyDescent="0.45">
      <c r="A6836" s="12" t="s">
        <v>11424</v>
      </c>
      <c r="B6836" s="12" t="s">
        <v>11506</v>
      </c>
      <c r="C6836" s="13" t="s">
        <v>11507</v>
      </c>
      <c r="D6836" s="13" t="s">
        <v>202</v>
      </c>
      <c r="E6836" s="12" t="s">
        <v>50</v>
      </c>
      <c r="F6836" s="13"/>
      <c r="G6836" s="13"/>
      <c r="H6836" s="13" t="s">
        <v>11508</v>
      </c>
      <c r="I6836" s="40" t="s">
        <v>18</v>
      </c>
      <c r="J6836" s="40" t="str">
        <f>HYPERLINK("https://stock.pstatic.net/stock-research/company/69/20251128_company_836823000.pdf","PDF")</f>
        <v>PDF</v>
      </c>
      <c r="K6836" s="12" t="s">
        <v>11509</v>
      </c>
    </row>
    <row r="6837" spans="1:11" x14ac:dyDescent="0.45">
      <c r="A6837" s="12" t="s">
        <v>11424</v>
      </c>
      <c r="B6837" s="12" t="s">
        <v>11510</v>
      </c>
      <c r="C6837" s="13" t="s">
        <v>11511</v>
      </c>
      <c r="D6837" s="13" t="s">
        <v>202</v>
      </c>
      <c r="E6837" s="12" t="s">
        <v>50</v>
      </c>
      <c r="F6837" s="13"/>
      <c r="G6837" s="13"/>
      <c r="H6837" s="13" t="s">
        <v>11512</v>
      </c>
      <c r="I6837" s="40" t="s">
        <v>18</v>
      </c>
      <c r="J6837" s="40" t="str">
        <f>HYPERLINK("https://stock.pstatic.net/stock-research/company/69/20251128_company_359003000.pdf","PDF")</f>
        <v>PDF</v>
      </c>
      <c r="K6837" s="12" t="s">
        <v>11513</v>
      </c>
    </row>
    <row r="6838" spans="1:11" x14ac:dyDescent="0.45">
      <c r="A6838" s="12" t="s">
        <v>11424</v>
      </c>
      <c r="B6838" s="12" t="s">
        <v>11514</v>
      </c>
      <c r="C6838" s="13" t="s">
        <v>11515</v>
      </c>
      <c r="D6838" s="13" t="s">
        <v>202</v>
      </c>
      <c r="E6838" s="12" t="s">
        <v>50</v>
      </c>
      <c r="F6838" s="13"/>
      <c r="G6838" s="13"/>
      <c r="H6838" s="13" t="s">
        <v>11516</v>
      </c>
      <c r="I6838" s="40" t="s">
        <v>18</v>
      </c>
      <c r="J6838" s="40" t="str">
        <f>HYPERLINK("https://stock.pstatic.net/stock-research/company/69/20251128_company_859960000.pdf","PDF")</f>
        <v>PDF</v>
      </c>
      <c r="K6838" s="12" t="s">
        <v>11517</v>
      </c>
    </row>
    <row r="6839" spans="1:11" x14ac:dyDescent="0.45">
      <c r="A6839" s="12" t="s">
        <v>11424</v>
      </c>
      <c r="B6839" s="12" t="s">
        <v>11518</v>
      </c>
      <c r="C6839" s="13" t="s">
        <v>11519</v>
      </c>
      <c r="D6839" s="13" t="s">
        <v>202</v>
      </c>
      <c r="E6839" s="12" t="s">
        <v>50</v>
      </c>
      <c r="F6839" s="13"/>
      <c r="G6839" s="13"/>
      <c r="H6839" s="13" t="s">
        <v>11520</v>
      </c>
      <c r="I6839" s="40" t="s">
        <v>18</v>
      </c>
      <c r="J6839" s="40" t="str">
        <f>HYPERLINK("https://stock.pstatic.net/stock-research/company/69/20251128_company_340360000.pdf","PDF")</f>
        <v>PDF</v>
      </c>
      <c r="K6839" s="12" t="s">
        <v>11521</v>
      </c>
    </row>
    <row r="6840" spans="1:11" x14ac:dyDescent="0.45">
      <c r="A6840" s="12" t="s">
        <v>11424</v>
      </c>
      <c r="B6840" s="12" t="s">
        <v>10413</v>
      </c>
      <c r="C6840" s="13" t="s">
        <v>10414</v>
      </c>
      <c r="D6840" s="13" t="s">
        <v>11154</v>
      </c>
      <c r="E6840" s="12" t="s">
        <v>50</v>
      </c>
      <c r="F6840" s="13"/>
      <c r="G6840" s="13"/>
      <c r="H6840" s="13" t="s">
        <v>11522</v>
      </c>
      <c r="I6840" s="40" t="s">
        <v>18</v>
      </c>
      <c r="J6840" s="40" t="str">
        <f>HYPERLINK("https://stock.pstatic.net/stock-research/company/79/20251128_company_641267000.pdf","PDF")</f>
        <v>PDF</v>
      </c>
      <c r="K6840" s="12" t="s">
        <v>11523</v>
      </c>
    </row>
    <row r="6841" spans="1:11" x14ac:dyDescent="0.45">
      <c r="A6841" s="12" t="s">
        <v>11424</v>
      </c>
      <c r="B6841" s="12" t="s">
        <v>11524</v>
      </c>
      <c r="C6841" s="13" t="s">
        <v>11525</v>
      </c>
      <c r="D6841" s="13" t="s">
        <v>11154</v>
      </c>
      <c r="E6841" s="12" t="s">
        <v>50</v>
      </c>
      <c r="F6841" s="13"/>
      <c r="G6841" s="13"/>
      <c r="H6841" s="13" t="s">
        <v>11526</v>
      </c>
      <c r="I6841" s="40" t="s">
        <v>18</v>
      </c>
      <c r="J6841" s="40" t="str">
        <f>HYPERLINK("https://stock.pstatic.net/stock-research/company/79/20251128_company_953590000.pdf","PDF")</f>
        <v>PDF</v>
      </c>
      <c r="K6841" s="12" t="s">
        <v>11527</v>
      </c>
    </row>
    <row r="6842" spans="1:11" x14ac:dyDescent="0.45">
      <c r="A6842" s="12" t="s">
        <v>11424</v>
      </c>
      <c r="B6842" s="12" t="s">
        <v>11528</v>
      </c>
      <c r="C6842" s="13" t="s">
        <v>11529</v>
      </c>
      <c r="D6842" s="13" t="s">
        <v>11154</v>
      </c>
      <c r="E6842" s="12" t="s">
        <v>50</v>
      </c>
      <c r="F6842" s="13"/>
      <c r="G6842" s="13"/>
      <c r="H6842" s="13" t="s">
        <v>11530</v>
      </c>
      <c r="I6842" s="40" t="s">
        <v>18</v>
      </c>
      <c r="J6842" s="40" t="str">
        <f>HYPERLINK("https://stock.pstatic.net/stock-research/company/79/20251128_company_435609000.pdf","PDF")</f>
        <v>PDF</v>
      </c>
      <c r="K6842" s="12" t="s">
        <v>11531</v>
      </c>
    </row>
    <row r="6843" spans="1:11" x14ac:dyDescent="0.45">
      <c r="A6843" s="12" t="s">
        <v>11424</v>
      </c>
      <c r="B6843" s="12" t="s">
        <v>4105</v>
      </c>
      <c r="C6843" s="13" t="s">
        <v>4106</v>
      </c>
      <c r="D6843" s="13" t="s">
        <v>11154</v>
      </c>
      <c r="E6843" s="12" t="s">
        <v>50</v>
      </c>
      <c r="F6843" s="13"/>
      <c r="G6843" s="13"/>
      <c r="H6843" s="13" t="s">
        <v>11532</v>
      </c>
      <c r="I6843" s="40" t="s">
        <v>18</v>
      </c>
      <c r="J6843" s="40" t="str">
        <f>HYPERLINK("https://stock.pstatic.net/stock-research/company/79/20251128_company_650449000.pdf","PDF")</f>
        <v>PDF</v>
      </c>
      <c r="K6843" s="12" t="s">
        <v>11533</v>
      </c>
    </row>
    <row r="6844" spans="1:11" x14ac:dyDescent="0.45">
      <c r="A6844" s="12" t="s">
        <v>11424</v>
      </c>
      <c r="B6844" s="12" t="s">
        <v>11534</v>
      </c>
      <c r="C6844" s="13" t="s">
        <v>11535</v>
      </c>
      <c r="D6844" s="13" t="s">
        <v>11154</v>
      </c>
      <c r="E6844" s="12" t="s">
        <v>50</v>
      </c>
      <c r="F6844" s="13"/>
      <c r="G6844" s="13"/>
      <c r="H6844" s="13" t="s">
        <v>11536</v>
      </c>
      <c r="I6844" s="40" t="s">
        <v>18</v>
      </c>
      <c r="J6844" s="40" t="str">
        <f>HYPERLINK("https://stock.pstatic.net/stock-research/company/79/20251128_company_942270000.pdf","PDF")</f>
        <v>PDF</v>
      </c>
      <c r="K6844" s="12" t="s">
        <v>11537</v>
      </c>
    </row>
    <row r="6845" spans="1:11" x14ac:dyDescent="0.45">
      <c r="A6845" s="12" t="s">
        <v>11424</v>
      </c>
      <c r="B6845" s="12" t="s">
        <v>6400</v>
      </c>
      <c r="C6845" s="13" t="s">
        <v>6401</v>
      </c>
      <c r="D6845" s="13" t="s">
        <v>11154</v>
      </c>
      <c r="E6845" s="12" t="s">
        <v>50</v>
      </c>
      <c r="F6845" s="13"/>
      <c r="G6845" s="13"/>
      <c r="H6845" s="13" t="s">
        <v>11538</v>
      </c>
      <c r="I6845" s="40" t="s">
        <v>18</v>
      </c>
      <c r="J6845" s="40" t="str">
        <f>HYPERLINK("https://stock.pstatic.net/stock-research/company/79/20251128_company_183740000.pdf","PDF")</f>
        <v>PDF</v>
      </c>
      <c r="K6845" s="12" t="s">
        <v>11539</v>
      </c>
    </row>
    <row r="6846" spans="1:11" x14ac:dyDescent="0.45">
      <c r="A6846" s="12" t="s">
        <v>11424</v>
      </c>
      <c r="B6846" s="12" t="s">
        <v>11540</v>
      </c>
      <c r="C6846" s="13" t="s">
        <v>11541</v>
      </c>
      <c r="D6846" s="13" t="s">
        <v>11154</v>
      </c>
      <c r="E6846" s="12" t="s">
        <v>50</v>
      </c>
      <c r="F6846" s="13"/>
      <c r="G6846" s="13"/>
      <c r="H6846" s="13" t="s">
        <v>11542</v>
      </c>
      <c r="I6846" s="40" t="s">
        <v>18</v>
      </c>
      <c r="J6846" s="40" t="str">
        <f>HYPERLINK("https://stock.pstatic.net/stock-research/company/79/20251128_company_750903000.pdf","PDF")</f>
        <v>PDF</v>
      </c>
      <c r="K6846" s="12" t="s">
        <v>11543</v>
      </c>
    </row>
    <row r="6847" spans="1:11" x14ac:dyDescent="0.45">
      <c r="A6847" s="12" t="s">
        <v>11424</v>
      </c>
      <c r="B6847" s="12" t="s">
        <v>11544</v>
      </c>
      <c r="C6847" s="13" t="s">
        <v>11545</v>
      </c>
      <c r="D6847" s="13" t="s">
        <v>11154</v>
      </c>
      <c r="E6847" s="12" t="s">
        <v>50</v>
      </c>
      <c r="F6847" s="13"/>
      <c r="G6847" s="13"/>
      <c r="H6847" s="13" t="s">
        <v>11546</v>
      </c>
      <c r="I6847" s="40" t="s">
        <v>18</v>
      </c>
      <c r="J6847" s="40" t="str">
        <f>HYPERLINK("https://stock.pstatic.net/stock-research/company/79/20251128_company_789925000.pdf","PDF")</f>
        <v>PDF</v>
      </c>
      <c r="K6847" s="12" t="s">
        <v>11547</v>
      </c>
    </row>
    <row r="6848" spans="1:11" x14ac:dyDescent="0.45">
      <c r="A6848" s="12" t="s">
        <v>11424</v>
      </c>
      <c r="B6848" s="12" t="s">
        <v>11548</v>
      </c>
      <c r="C6848" s="13" t="s">
        <v>11549</v>
      </c>
      <c r="D6848" s="13" t="s">
        <v>11154</v>
      </c>
      <c r="E6848" s="12" t="s">
        <v>50</v>
      </c>
      <c r="F6848" s="13"/>
      <c r="G6848" s="13"/>
      <c r="H6848" s="13" t="s">
        <v>11550</v>
      </c>
      <c r="I6848" s="40" t="s">
        <v>18</v>
      </c>
      <c r="J6848" s="40" t="str">
        <f>HYPERLINK("https://stock.pstatic.net/stock-research/company/79/20251128_company_257350000.pdf","PDF")</f>
        <v>PDF</v>
      </c>
      <c r="K6848" s="12" t="s">
        <v>11551</v>
      </c>
    </row>
    <row r="6849" spans="1:12" x14ac:dyDescent="0.45">
      <c r="A6849" s="12" t="s">
        <v>11424</v>
      </c>
      <c r="B6849" s="12" t="s">
        <v>11552</v>
      </c>
      <c r="C6849" s="13" t="s">
        <v>11553</v>
      </c>
      <c r="D6849" s="13" t="s">
        <v>11154</v>
      </c>
      <c r="E6849" s="12" t="s">
        <v>50</v>
      </c>
      <c r="F6849" s="13"/>
      <c r="G6849" s="13"/>
      <c r="H6849" s="13" t="s">
        <v>11554</v>
      </c>
      <c r="I6849" s="40" t="s">
        <v>18</v>
      </c>
      <c r="J6849" s="40" t="str">
        <f>HYPERLINK("https://stock.pstatic.net/stock-research/company/79/20251128_company_339181000.pdf","PDF")</f>
        <v>PDF</v>
      </c>
      <c r="K6849" s="12" t="s">
        <v>11555</v>
      </c>
    </row>
    <row r="6850" spans="1:12" x14ac:dyDescent="0.45">
      <c r="A6850" s="12" t="s">
        <v>11424</v>
      </c>
      <c r="B6850" s="12" t="s">
        <v>11556</v>
      </c>
      <c r="C6850" s="13" t="s">
        <v>11557</v>
      </c>
      <c r="D6850" s="13" t="s">
        <v>11154</v>
      </c>
      <c r="E6850" s="12" t="s">
        <v>50</v>
      </c>
      <c r="F6850" s="13"/>
      <c r="G6850" s="13"/>
      <c r="H6850" s="13" t="s">
        <v>11558</v>
      </c>
      <c r="I6850" s="40" t="s">
        <v>18</v>
      </c>
      <c r="J6850" s="40" t="str">
        <f>HYPERLINK("https://stock.pstatic.net/stock-research/company/79/20251128_company_888823000.pdf","PDF")</f>
        <v>PDF</v>
      </c>
      <c r="K6850" s="12" t="s">
        <v>11559</v>
      </c>
    </row>
    <row r="6851" spans="1:12" x14ac:dyDescent="0.45">
      <c r="A6851" s="12" t="s">
        <v>11424</v>
      </c>
      <c r="B6851" s="12" t="s">
        <v>11560</v>
      </c>
      <c r="C6851" s="13" t="s">
        <v>11561</v>
      </c>
      <c r="D6851" s="13" t="s">
        <v>11154</v>
      </c>
      <c r="E6851" s="12" t="s">
        <v>50</v>
      </c>
      <c r="F6851" s="13"/>
      <c r="G6851" s="13"/>
      <c r="H6851" s="13" t="s">
        <v>11562</v>
      </c>
      <c r="I6851" s="40" t="s">
        <v>18</v>
      </c>
      <c r="J6851" s="40" t="str">
        <f>HYPERLINK("https://stock.pstatic.net/stock-research/company/79/20251128_company_948407000.pdf","PDF")</f>
        <v>PDF</v>
      </c>
      <c r="K6851" s="12" t="s">
        <v>11563</v>
      </c>
    </row>
    <row r="6852" spans="1:12" x14ac:dyDescent="0.45">
      <c r="A6852" s="12" t="s">
        <v>11424</v>
      </c>
      <c r="B6852" s="12" t="s">
        <v>11564</v>
      </c>
      <c r="C6852" s="13" t="s">
        <v>11565</v>
      </c>
      <c r="D6852" s="13" t="s">
        <v>207</v>
      </c>
      <c r="E6852" s="12" t="s">
        <v>50</v>
      </c>
      <c r="F6852" s="13"/>
      <c r="G6852" s="13"/>
      <c r="H6852" s="13" t="s">
        <v>11566</v>
      </c>
      <c r="I6852" s="40" t="s">
        <v>18</v>
      </c>
      <c r="J6852" s="40" t="str">
        <f>HYPERLINK("https://stock.pstatic.net/stock-research/company/75/20251128_company_624883000.pdf","PDF")</f>
        <v>PDF</v>
      </c>
      <c r="K6852" s="12" t="s">
        <v>11567</v>
      </c>
    </row>
    <row r="6853" spans="1:12" x14ac:dyDescent="0.45">
      <c r="A6853" s="12" t="s">
        <v>11424</v>
      </c>
      <c r="B6853" s="12" t="s">
        <v>11568</v>
      </c>
      <c r="C6853" s="13" t="s">
        <v>11569</v>
      </c>
      <c r="D6853" s="13" t="s">
        <v>207</v>
      </c>
      <c r="E6853" s="12" t="s">
        <v>50</v>
      </c>
      <c r="F6853" s="13"/>
      <c r="G6853" s="13"/>
      <c r="H6853" s="13" t="s">
        <v>11570</v>
      </c>
      <c r="I6853" s="40" t="s">
        <v>18</v>
      </c>
      <c r="J6853" s="40" t="str">
        <f>HYPERLINK("https://stock.pstatic.net/stock-research/company/75/20251128_company_336909000.pdf","PDF")</f>
        <v>PDF</v>
      </c>
      <c r="K6853" s="12" t="s">
        <v>11571</v>
      </c>
    </row>
    <row r="6854" spans="1:12" x14ac:dyDescent="0.45">
      <c r="A6854" s="12" t="s">
        <v>11424</v>
      </c>
      <c r="B6854" s="12" t="s">
        <v>11572</v>
      </c>
      <c r="C6854" s="13" t="s">
        <v>11573</v>
      </c>
      <c r="D6854" s="13" t="s">
        <v>207</v>
      </c>
      <c r="E6854" s="12" t="s">
        <v>50</v>
      </c>
      <c r="F6854" s="13"/>
      <c r="G6854" s="13"/>
      <c r="H6854" s="13" t="s">
        <v>11574</v>
      </c>
      <c r="I6854" s="40" t="s">
        <v>18</v>
      </c>
      <c r="J6854" s="40" t="str">
        <f>HYPERLINK("https://stock.pstatic.net/stock-research/company/75/20251128_company_120539000.pdf","PDF")</f>
        <v>PDF</v>
      </c>
      <c r="K6854" s="12" t="s">
        <v>11575</v>
      </c>
    </row>
    <row r="6855" spans="1:12" x14ac:dyDescent="0.45">
      <c r="A6855" s="12" t="s">
        <v>11424</v>
      </c>
      <c r="B6855" s="12" t="s">
        <v>11576</v>
      </c>
      <c r="C6855" s="13" t="s">
        <v>11577</v>
      </c>
      <c r="D6855" s="13" t="s">
        <v>202</v>
      </c>
      <c r="E6855" s="12" t="s">
        <v>50</v>
      </c>
      <c r="F6855" s="13"/>
      <c r="G6855" s="13"/>
      <c r="H6855" s="13" t="s">
        <v>11578</v>
      </c>
      <c r="I6855" s="40" t="s">
        <v>18</v>
      </c>
      <c r="J6855" s="40" t="str">
        <f>HYPERLINK("https://stock.pstatic.net/stock-research/company/69/20251128_company_336309000.pdf","PDF")</f>
        <v>PDF</v>
      </c>
      <c r="K6855" s="12" t="s">
        <v>11579</v>
      </c>
    </row>
    <row r="6856" spans="1:12" x14ac:dyDescent="0.45">
      <c r="A6856" s="12" t="s">
        <v>11424</v>
      </c>
      <c r="B6856" s="12" t="s">
        <v>11580</v>
      </c>
      <c r="C6856" s="13" t="s">
        <v>11581</v>
      </c>
      <c r="D6856" s="13" t="s">
        <v>202</v>
      </c>
      <c r="E6856" s="12" t="s">
        <v>50</v>
      </c>
      <c r="F6856" s="13"/>
      <c r="G6856" s="13"/>
      <c r="H6856" s="13" t="s">
        <v>11582</v>
      </c>
      <c r="I6856" s="40" t="s">
        <v>18</v>
      </c>
      <c r="J6856" s="40" t="str">
        <f>HYPERLINK("https://stock.pstatic.net/stock-research/company/69/20251128_company_703840000.pdf","PDF")</f>
        <v>PDF</v>
      </c>
      <c r="K6856" s="12" t="s">
        <v>11583</v>
      </c>
    </row>
    <row r="6857" spans="1:12" x14ac:dyDescent="0.45">
      <c r="A6857" s="12" t="s">
        <v>11424</v>
      </c>
      <c r="B6857" s="12" t="s">
        <v>11584</v>
      </c>
      <c r="C6857" s="13" t="s">
        <v>11585</v>
      </c>
      <c r="D6857" s="13" t="s">
        <v>11154</v>
      </c>
      <c r="E6857" s="12" t="s">
        <v>50</v>
      </c>
      <c r="F6857" s="13"/>
      <c r="G6857" s="13"/>
      <c r="H6857" s="13" t="s">
        <v>11586</v>
      </c>
      <c r="I6857" s="40" t="s">
        <v>18</v>
      </c>
      <c r="J6857" s="40" t="str">
        <f>HYPERLINK("https://stock.pstatic.net/stock-research/company/79/20251128_company_691294000.pdf","PDF")</f>
        <v>PDF</v>
      </c>
      <c r="K6857" s="12" t="s">
        <v>11587</v>
      </c>
    </row>
    <row r="6858" spans="1:12" x14ac:dyDescent="0.45">
      <c r="A6858" s="12" t="s">
        <v>11424</v>
      </c>
      <c r="B6858" s="12" t="s">
        <v>11588</v>
      </c>
      <c r="C6858" s="13" t="s">
        <v>11589</v>
      </c>
      <c r="D6858" s="13" t="s">
        <v>11154</v>
      </c>
      <c r="E6858" s="12" t="s">
        <v>50</v>
      </c>
      <c r="F6858" s="13"/>
      <c r="G6858" s="13"/>
      <c r="H6858" s="13" t="s">
        <v>11590</v>
      </c>
      <c r="I6858" s="40" t="s">
        <v>18</v>
      </c>
      <c r="J6858" s="40" t="str">
        <f>HYPERLINK("https://stock.pstatic.net/stock-research/company/79/20251128_company_899412000.pdf","PDF")</f>
        <v>PDF</v>
      </c>
      <c r="K6858" s="12" t="s">
        <v>11591</v>
      </c>
    </row>
    <row r="6859" spans="1:12" x14ac:dyDescent="0.45">
      <c r="A6859" s="12" t="s">
        <v>11424</v>
      </c>
      <c r="B6859" s="12" t="s">
        <v>11592</v>
      </c>
      <c r="C6859" s="13" t="s">
        <v>11593</v>
      </c>
      <c r="D6859" s="13" t="s">
        <v>207</v>
      </c>
      <c r="E6859" s="12" t="s">
        <v>50</v>
      </c>
      <c r="F6859" s="13"/>
      <c r="G6859" s="13"/>
      <c r="H6859" s="13" t="s">
        <v>11594</v>
      </c>
      <c r="I6859" s="40" t="s">
        <v>18</v>
      </c>
      <c r="J6859" s="40" t="str">
        <f>HYPERLINK("https://stock.pstatic.net/stock-research/company/75/20251128_company_812801000.pdf","PDF")</f>
        <v>PDF</v>
      </c>
      <c r="K6859" s="12" t="s">
        <v>11595</v>
      </c>
    </row>
    <row r="6860" spans="1:12" x14ac:dyDescent="0.45">
      <c r="A6860" s="12" t="s">
        <v>11424</v>
      </c>
      <c r="B6860" s="12" t="s">
        <v>11596</v>
      </c>
      <c r="C6860" s="13" t="s">
        <v>11597</v>
      </c>
      <c r="D6860" s="13" t="s">
        <v>207</v>
      </c>
      <c r="E6860" s="12" t="s">
        <v>50</v>
      </c>
      <c r="F6860" s="13"/>
      <c r="G6860" s="13"/>
      <c r="H6860" s="13" t="s">
        <v>11598</v>
      </c>
      <c r="I6860" s="40" t="s">
        <v>18</v>
      </c>
      <c r="J6860" s="40" t="str">
        <f>HYPERLINK("https://stock.pstatic.net/stock-research/company/75/20251128_company_976130000.pdf","PDF")</f>
        <v>PDF</v>
      </c>
      <c r="K6860" s="12" t="s">
        <v>11599</v>
      </c>
    </row>
    <row r="6861" spans="1:12" x14ac:dyDescent="0.45">
      <c r="A6861" s="12" t="s">
        <v>11424</v>
      </c>
      <c r="B6861" s="12" t="s">
        <v>11600</v>
      </c>
      <c r="C6861" s="13" t="s">
        <v>11601</v>
      </c>
      <c r="D6861" s="13" t="s">
        <v>207</v>
      </c>
      <c r="E6861" s="12" t="s">
        <v>50</v>
      </c>
      <c r="F6861" s="13"/>
      <c r="G6861" s="13"/>
      <c r="H6861" s="13" t="s">
        <v>11602</v>
      </c>
      <c r="I6861" s="40" t="s">
        <v>18</v>
      </c>
      <c r="J6861" s="40" t="str">
        <f>HYPERLINK("https://stock.pstatic.net/stock-research/company/75/20251128_company_623240000.pdf","PDF")</f>
        <v>PDF</v>
      </c>
      <c r="K6861" s="12" t="s">
        <v>11603</v>
      </c>
    </row>
    <row r="6862" spans="1:12" x14ac:dyDescent="0.45">
      <c r="A6862" s="12" t="s">
        <v>11424</v>
      </c>
      <c r="B6862" s="12" t="s">
        <v>11604</v>
      </c>
      <c r="C6862" s="13" t="s">
        <v>11605</v>
      </c>
      <c r="D6862" s="13" t="s">
        <v>202</v>
      </c>
      <c r="E6862" s="12" t="s">
        <v>50</v>
      </c>
      <c r="F6862" s="13"/>
      <c r="G6862" s="13"/>
      <c r="H6862" s="13" t="s">
        <v>11606</v>
      </c>
      <c r="I6862" s="40" t="s">
        <v>18</v>
      </c>
      <c r="J6862" s="40" t="str">
        <f>HYPERLINK("https://stock.pstatic.net/stock-research/company/69/20251128_company_71270000.pdf","PDF")</f>
        <v>PDF</v>
      </c>
      <c r="K6862" s="12" t="s">
        <v>11607</v>
      </c>
    </row>
    <row r="6863" spans="1:12" x14ac:dyDescent="0.45">
      <c r="A6863" s="12" t="s">
        <v>11608</v>
      </c>
      <c r="B6863" s="12" t="s">
        <v>1047</v>
      </c>
      <c r="C6863" s="13" t="s">
        <v>1048</v>
      </c>
      <c r="D6863" s="13" t="s">
        <v>15</v>
      </c>
      <c r="E6863" s="12" t="s">
        <v>16</v>
      </c>
      <c r="F6863" s="14">
        <v>13000</v>
      </c>
      <c r="G6863" s="14">
        <v>10180</v>
      </c>
      <c r="H6863" s="13" t="s">
        <v>11609</v>
      </c>
      <c r="I6863" s="40" t="s">
        <v>18</v>
      </c>
      <c r="J6863" s="40" t="str">
        <f>HYPERLINK("https://stock.pstatic.net/stock-research/company/29/20251127_company_281100000.pdf","PDF")</f>
        <v>PDF</v>
      </c>
      <c r="K6863" s="12" t="s">
        <v>11610</v>
      </c>
      <c r="L6863" s="20">
        <v>0.27701375245579568</v>
      </c>
    </row>
    <row r="6864" spans="1:12" x14ac:dyDescent="0.45">
      <c r="A6864" s="12" t="s">
        <v>11608</v>
      </c>
      <c r="B6864" s="12" t="s">
        <v>507</v>
      </c>
      <c r="C6864" s="13" t="s">
        <v>508</v>
      </c>
      <c r="D6864" s="13" t="s">
        <v>276</v>
      </c>
      <c r="E6864" s="12" t="s">
        <v>16</v>
      </c>
      <c r="F6864" s="14">
        <v>7000</v>
      </c>
      <c r="G6864" s="14">
        <v>4905</v>
      </c>
      <c r="H6864" s="13" t="s">
        <v>11611</v>
      </c>
      <c r="I6864" s="40" t="s">
        <v>18</v>
      </c>
      <c r="J6864" s="40" t="str">
        <f>HYPERLINK("https://stock.pstatic.net/stock-research/company/66/20251127_company_616262000.pdf","PDF")</f>
        <v>PDF</v>
      </c>
      <c r="K6864" s="12" t="s">
        <v>11612</v>
      </c>
      <c r="L6864" s="20">
        <v>0.42711518858307851</v>
      </c>
    </row>
    <row r="6865" spans="1:12" x14ac:dyDescent="0.45">
      <c r="A6865" s="12" t="s">
        <v>11608</v>
      </c>
      <c r="B6865" s="12" t="s">
        <v>499</v>
      </c>
      <c r="C6865" s="13" t="s">
        <v>500</v>
      </c>
      <c r="D6865" s="13" t="s">
        <v>276</v>
      </c>
      <c r="E6865" s="12" t="s">
        <v>16</v>
      </c>
      <c r="F6865" s="14">
        <v>20000</v>
      </c>
      <c r="G6865" s="14">
        <v>13120</v>
      </c>
      <c r="H6865" s="13" t="s">
        <v>11613</v>
      </c>
      <c r="I6865" s="40" t="s">
        <v>18</v>
      </c>
      <c r="J6865" s="40" t="str">
        <f>HYPERLINK("https://stock.pstatic.net/stock-research/company/66/20251127_company_267571000.pdf","PDF")</f>
        <v>PDF</v>
      </c>
      <c r="K6865" s="12" t="s">
        <v>11614</v>
      </c>
      <c r="L6865" s="20">
        <v>0.52439024390243905</v>
      </c>
    </row>
    <row r="6866" spans="1:12" x14ac:dyDescent="0.45">
      <c r="A6866" s="12" t="s">
        <v>11608</v>
      </c>
      <c r="B6866" s="12" t="s">
        <v>1051</v>
      </c>
      <c r="C6866" s="13" t="s">
        <v>1052</v>
      </c>
      <c r="D6866" s="13" t="s">
        <v>276</v>
      </c>
      <c r="E6866" s="12" t="s">
        <v>16</v>
      </c>
      <c r="F6866" s="14">
        <v>71000</v>
      </c>
      <c r="G6866" s="14">
        <v>59300</v>
      </c>
      <c r="H6866" s="13" t="s">
        <v>11615</v>
      </c>
      <c r="I6866" s="40" t="s">
        <v>18</v>
      </c>
      <c r="J6866" s="40" t="str">
        <f>HYPERLINK("https://stock.pstatic.net/stock-research/company/66/20251127_company_941495000.pdf","PDF")</f>
        <v>PDF</v>
      </c>
      <c r="K6866" s="12" t="s">
        <v>11616</v>
      </c>
      <c r="L6866" s="20">
        <v>0.1973018549747049</v>
      </c>
    </row>
    <row r="6867" spans="1:12" x14ac:dyDescent="0.45">
      <c r="A6867" s="12" t="s">
        <v>11608</v>
      </c>
      <c r="B6867" s="12" t="s">
        <v>1936</v>
      </c>
      <c r="C6867" s="13" t="s">
        <v>1937</v>
      </c>
      <c r="D6867" s="13" t="s">
        <v>276</v>
      </c>
      <c r="E6867" s="12" t="s">
        <v>16</v>
      </c>
      <c r="F6867" s="14">
        <v>9000</v>
      </c>
      <c r="G6867" s="14">
        <v>7320</v>
      </c>
      <c r="H6867" s="13" t="s">
        <v>11617</v>
      </c>
      <c r="I6867" s="40" t="s">
        <v>18</v>
      </c>
      <c r="J6867" s="40" t="str">
        <f>HYPERLINK("https://stock.pstatic.net/stock-research/company/66/20251127_company_876835000.pdf","PDF")</f>
        <v>PDF</v>
      </c>
      <c r="K6867" s="12" t="s">
        <v>11618</v>
      </c>
      <c r="L6867" s="20">
        <v>0.22950819672131151</v>
      </c>
    </row>
    <row r="6868" spans="1:12" x14ac:dyDescent="0.45">
      <c r="A6868" s="12" t="s">
        <v>11608</v>
      </c>
      <c r="B6868" s="12" t="s">
        <v>653</v>
      </c>
      <c r="C6868" s="13" t="s">
        <v>654</v>
      </c>
      <c r="D6868" s="13" t="s">
        <v>276</v>
      </c>
      <c r="E6868" s="12" t="s">
        <v>16</v>
      </c>
      <c r="F6868" s="14">
        <v>28500</v>
      </c>
      <c r="G6868" s="14">
        <v>20800</v>
      </c>
      <c r="H6868" s="13" t="s">
        <v>11619</v>
      </c>
      <c r="I6868" s="40" t="s">
        <v>18</v>
      </c>
      <c r="J6868" s="40" t="str">
        <f>HYPERLINK("https://stock.pstatic.net/stock-research/company/66/20251127_company_322736000.pdf","PDF")</f>
        <v>PDF</v>
      </c>
      <c r="K6868" s="12" t="s">
        <v>11620</v>
      </c>
      <c r="L6868" s="20">
        <v>0.37019230769230771</v>
      </c>
    </row>
    <row r="6869" spans="1:12" x14ac:dyDescent="0.45">
      <c r="A6869" s="12" t="s">
        <v>11608</v>
      </c>
      <c r="B6869" s="12" t="s">
        <v>388</v>
      </c>
      <c r="C6869" s="13" t="s">
        <v>389</v>
      </c>
      <c r="D6869" s="13" t="s">
        <v>276</v>
      </c>
      <c r="E6869" s="12" t="s">
        <v>16</v>
      </c>
      <c r="F6869" s="14">
        <v>60000</v>
      </c>
      <c r="G6869" s="14">
        <v>48850</v>
      </c>
      <c r="H6869" s="13" t="s">
        <v>11621</v>
      </c>
      <c r="I6869" s="40" t="s">
        <v>18</v>
      </c>
      <c r="J6869" s="40" t="str">
        <f>HYPERLINK("https://stock.pstatic.net/stock-research/company/66/20251127_company_386766000.pdf","PDF")</f>
        <v>PDF</v>
      </c>
      <c r="K6869" s="12" t="s">
        <v>11622</v>
      </c>
      <c r="L6869" s="20">
        <v>0.22824974411463661</v>
      </c>
    </row>
    <row r="6870" spans="1:12" x14ac:dyDescent="0.45">
      <c r="A6870" s="12" t="s">
        <v>11608</v>
      </c>
      <c r="B6870" s="12" t="s">
        <v>541</v>
      </c>
      <c r="C6870" s="13" t="s">
        <v>542</v>
      </c>
      <c r="D6870" s="13" t="s">
        <v>65</v>
      </c>
      <c r="E6870" s="12" t="s">
        <v>35</v>
      </c>
      <c r="F6870" s="14">
        <v>55000</v>
      </c>
      <c r="G6870" s="14">
        <v>54100</v>
      </c>
      <c r="H6870" s="13" t="s">
        <v>11623</v>
      </c>
      <c r="I6870" s="40" t="s">
        <v>18</v>
      </c>
      <c r="J6870" s="40" t="str">
        <f>HYPERLINK("https://stock.pstatic.net/stock-research/company/57/20251127_company_995098000.pdf","PDF")</f>
        <v>PDF</v>
      </c>
      <c r="K6870" s="12" t="s">
        <v>11624</v>
      </c>
      <c r="L6870" s="20">
        <v>1.6635859519408502E-2</v>
      </c>
    </row>
    <row r="6871" spans="1:12" x14ac:dyDescent="0.45">
      <c r="A6871" s="12" t="s">
        <v>11608</v>
      </c>
      <c r="B6871" s="12" t="s">
        <v>537</v>
      </c>
      <c r="C6871" s="13" t="s">
        <v>538</v>
      </c>
      <c r="D6871" s="13" t="s">
        <v>65</v>
      </c>
      <c r="E6871" s="12" t="s">
        <v>35</v>
      </c>
      <c r="F6871" s="14">
        <v>16000</v>
      </c>
      <c r="G6871" s="14">
        <v>15290</v>
      </c>
      <c r="H6871" s="13" t="s">
        <v>11625</v>
      </c>
      <c r="I6871" s="40" t="s">
        <v>18</v>
      </c>
      <c r="J6871" s="40" t="str">
        <f>HYPERLINK("https://stock.pstatic.net/stock-research/company/57/20251127_company_137006000.pdf","PDF")</f>
        <v>PDF</v>
      </c>
      <c r="K6871" s="12" t="s">
        <v>11626</v>
      </c>
      <c r="L6871" s="20">
        <v>4.643557880967953E-2</v>
      </c>
    </row>
    <row r="6872" spans="1:12" x14ac:dyDescent="0.45">
      <c r="A6872" s="12" t="s">
        <v>11608</v>
      </c>
      <c r="B6872" s="12" t="s">
        <v>533</v>
      </c>
      <c r="C6872" s="13" t="s">
        <v>534</v>
      </c>
      <c r="D6872" s="13" t="s">
        <v>65</v>
      </c>
      <c r="E6872" s="12" t="s">
        <v>35</v>
      </c>
      <c r="F6872" s="14">
        <v>65000</v>
      </c>
      <c r="G6872" s="14">
        <v>50200</v>
      </c>
      <c r="H6872" s="13" t="s">
        <v>11627</v>
      </c>
      <c r="I6872" s="40" t="s">
        <v>18</v>
      </c>
      <c r="J6872" s="40" t="str">
        <f>HYPERLINK("https://stock.pstatic.net/stock-research/company/57/20251127_company_823618000.pdf","PDF")</f>
        <v>PDF</v>
      </c>
      <c r="K6872" s="12" t="s">
        <v>11628</v>
      </c>
      <c r="L6872" s="20">
        <v>0.29482071713147412</v>
      </c>
    </row>
    <row r="6873" spans="1:12" x14ac:dyDescent="0.45">
      <c r="A6873" s="12" t="s">
        <v>11608</v>
      </c>
      <c r="B6873" s="12" t="s">
        <v>2040</v>
      </c>
      <c r="C6873" s="13" t="s">
        <v>2041</v>
      </c>
      <c r="D6873" s="13" t="s">
        <v>65</v>
      </c>
      <c r="E6873" s="12" t="s">
        <v>35</v>
      </c>
      <c r="F6873" s="14">
        <v>100000</v>
      </c>
      <c r="G6873" s="14">
        <v>75600</v>
      </c>
      <c r="H6873" s="13" t="s">
        <v>11629</v>
      </c>
      <c r="I6873" s="40" t="s">
        <v>18</v>
      </c>
      <c r="J6873" s="40" t="str">
        <f>HYPERLINK("https://stock.pstatic.net/stock-research/company/57/20251127_company_356110000.pdf","PDF")</f>
        <v>PDF</v>
      </c>
      <c r="K6873" s="12" t="s">
        <v>11630</v>
      </c>
      <c r="L6873" s="20">
        <v>0.32275132275132268</v>
      </c>
    </row>
    <row r="6874" spans="1:12" x14ac:dyDescent="0.45">
      <c r="A6874" s="12" t="s">
        <v>11608</v>
      </c>
      <c r="B6874" s="12" t="s">
        <v>1144</v>
      </c>
      <c r="C6874" s="13" t="s">
        <v>1145</v>
      </c>
      <c r="D6874" s="13" t="s">
        <v>179</v>
      </c>
      <c r="E6874" s="12" t="s">
        <v>16</v>
      </c>
      <c r="F6874" s="14">
        <v>110000</v>
      </c>
      <c r="G6874" s="14">
        <v>94400</v>
      </c>
      <c r="H6874" s="13" t="s">
        <v>11631</v>
      </c>
      <c r="I6874" s="40" t="s">
        <v>18</v>
      </c>
      <c r="J6874" s="40" t="str">
        <f>HYPERLINK("https://stock.pstatic.net/stock-research/company/64/20251127_company_540254000.pdf","PDF")</f>
        <v>PDF</v>
      </c>
      <c r="K6874" s="12" t="s">
        <v>11632</v>
      </c>
      <c r="L6874" s="20">
        <v>0.1652542372881356</v>
      </c>
    </row>
    <row r="6875" spans="1:12" x14ac:dyDescent="0.45">
      <c r="A6875" s="12" t="s">
        <v>11608</v>
      </c>
      <c r="B6875" s="12" t="s">
        <v>2950</v>
      </c>
      <c r="C6875" s="13" t="s">
        <v>2951</v>
      </c>
      <c r="D6875" s="13" t="s">
        <v>179</v>
      </c>
      <c r="E6875" s="12" t="s">
        <v>16</v>
      </c>
      <c r="F6875" s="14">
        <v>92000</v>
      </c>
      <c r="G6875" s="14">
        <v>77700</v>
      </c>
      <c r="H6875" s="13" t="s">
        <v>11633</v>
      </c>
      <c r="I6875" s="40" t="s">
        <v>18</v>
      </c>
      <c r="J6875" s="40" t="str">
        <f>HYPERLINK("https://stock.pstatic.net/stock-research/company/64/20251127_company_369539000.pdf","PDF")</f>
        <v>PDF</v>
      </c>
      <c r="K6875" s="12" t="s">
        <v>11634</v>
      </c>
      <c r="L6875" s="20">
        <v>0.18404118404118411</v>
      </c>
    </row>
    <row r="6876" spans="1:12" x14ac:dyDescent="0.45">
      <c r="A6876" s="12" t="s">
        <v>11608</v>
      </c>
      <c r="B6876" s="12" t="s">
        <v>792</v>
      </c>
      <c r="C6876" s="13" t="s">
        <v>793</v>
      </c>
      <c r="D6876" s="13" t="s">
        <v>179</v>
      </c>
      <c r="E6876" s="12" t="s">
        <v>16</v>
      </c>
      <c r="F6876" s="14">
        <v>38500</v>
      </c>
      <c r="G6876" s="14">
        <v>31200</v>
      </c>
      <c r="H6876" s="13" t="s">
        <v>11635</v>
      </c>
      <c r="I6876" s="40" t="s">
        <v>18</v>
      </c>
      <c r="J6876" s="40" t="str">
        <f>HYPERLINK("https://stock.pstatic.net/stock-research/company/64/20251127_company_192186000.pdf","PDF")</f>
        <v>PDF</v>
      </c>
      <c r="K6876" s="12" t="s">
        <v>11636</v>
      </c>
      <c r="L6876" s="20">
        <v>0.233974358974359</v>
      </c>
    </row>
    <row r="6877" spans="1:12" x14ac:dyDescent="0.45">
      <c r="A6877" s="12" t="s">
        <v>11608</v>
      </c>
      <c r="B6877" s="12" t="s">
        <v>1829</v>
      </c>
      <c r="C6877" s="13" t="s">
        <v>1830</v>
      </c>
      <c r="D6877" s="13" t="s">
        <v>179</v>
      </c>
      <c r="E6877" s="12" t="s">
        <v>16</v>
      </c>
      <c r="F6877" s="14">
        <v>30000</v>
      </c>
      <c r="G6877" s="14">
        <v>14570</v>
      </c>
      <c r="H6877" s="13" t="s">
        <v>11637</v>
      </c>
      <c r="I6877" s="40" t="s">
        <v>18</v>
      </c>
      <c r="J6877" s="40" t="str">
        <f>HYPERLINK("https://stock.pstatic.net/stock-research/company/64/20251127_company_263215000.pdf","PDF")</f>
        <v>PDF</v>
      </c>
      <c r="K6877" s="12" t="s">
        <v>11638</v>
      </c>
      <c r="L6877" s="20">
        <v>1.059025394646534</v>
      </c>
    </row>
    <row r="6878" spans="1:12" x14ac:dyDescent="0.45">
      <c r="A6878" s="12" t="s">
        <v>11608</v>
      </c>
      <c r="B6878" s="12" t="s">
        <v>4668</v>
      </c>
      <c r="C6878" s="13" t="s">
        <v>4669</v>
      </c>
      <c r="D6878" s="13" t="s">
        <v>179</v>
      </c>
      <c r="E6878" s="12" t="s">
        <v>16</v>
      </c>
      <c r="F6878" s="14">
        <v>29000</v>
      </c>
      <c r="G6878" s="14">
        <v>22200</v>
      </c>
      <c r="H6878" s="13" t="s">
        <v>11639</v>
      </c>
      <c r="I6878" s="40" t="s">
        <v>18</v>
      </c>
      <c r="J6878" s="40" t="str">
        <f>HYPERLINK("https://stock.pstatic.net/stock-research/company/64/20251127_company_892638000.pdf","PDF")</f>
        <v>PDF</v>
      </c>
      <c r="K6878" s="12" t="s">
        <v>11640</v>
      </c>
      <c r="L6878" s="20">
        <v>0.30630630630630629</v>
      </c>
    </row>
    <row r="6879" spans="1:12" x14ac:dyDescent="0.45">
      <c r="A6879" s="12" t="s">
        <v>11608</v>
      </c>
      <c r="B6879" s="12" t="s">
        <v>912</v>
      </c>
      <c r="C6879" s="13" t="s">
        <v>913</v>
      </c>
      <c r="D6879" s="13" t="s">
        <v>179</v>
      </c>
      <c r="E6879" s="12" t="s">
        <v>16</v>
      </c>
      <c r="F6879" s="14">
        <v>80000</v>
      </c>
      <c r="G6879" s="14">
        <v>58000</v>
      </c>
      <c r="H6879" s="13" t="s">
        <v>11641</v>
      </c>
      <c r="I6879" s="40" t="s">
        <v>18</v>
      </c>
      <c r="J6879" s="40" t="str">
        <f>HYPERLINK("https://stock.pstatic.net/stock-research/company/64/20251127_company_41004000.pdf","PDF")</f>
        <v>PDF</v>
      </c>
      <c r="K6879" s="12" t="s">
        <v>11642</v>
      </c>
      <c r="L6879" s="20">
        <v>0.37931034482758619</v>
      </c>
    </row>
    <row r="6880" spans="1:12" x14ac:dyDescent="0.45">
      <c r="A6880" s="12" t="s">
        <v>11608</v>
      </c>
      <c r="B6880" s="12" t="s">
        <v>5479</v>
      </c>
      <c r="C6880" s="13" t="s">
        <v>5480</v>
      </c>
      <c r="D6880" s="13" t="s">
        <v>44</v>
      </c>
      <c r="E6880" s="12" t="s">
        <v>50</v>
      </c>
      <c r="F6880" s="13"/>
      <c r="G6880" s="14">
        <v>17710</v>
      </c>
      <c r="H6880" s="13" t="s">
        <v>11643</v>
      </c>
      <c r="I6880" s="40" t="s">
        <v>18</v>
      </c>
      <c r="J6880" s="40" t="str">
        <f>HYPERLINK("https://stock.pstatic.net/stock-research/company/39/20251127_company_371879000.pdf","PDF")</f>
        <v>PDF</v>
      </c>
      <c r="K6880" s="12" t="s">
        <v>11644</v>
      </c>
    </row>
    <row r="6881" spans="1:12" x14ac:dyDescent="0.45">
      <c r="A6881" s="12" t="s">
        <v>11608</v>
      </c>
      <c r="B6881" s="12" t="s">
        <v>1009</v>
      </c>
      <c r="C6881" s="13" t="s">
        <v>1010</v>
      </c>
      <c r="D6881" s="13" t="s">
        <v>53</v>
      </c>
      <c r="E6881" s="12" t="s">
        <v>50</v>
      </c>
      <c r="F6881" s="13"/>
      <c r="G6881" s="14">
        <v>185600</v>
      </c>
      <c r="H6881" s="13" t="s">
        <v>11645</v>
      </c>
      <c r="I6881" s="40" t="s">
        <v>18</v>
      </c>
      <c r="J6881" s="40" t="str">
        <f>HYPERLINK("https://stock.pstatic.net/stock-research/company/40/20251127_company_505390000.pdf","PDF")</f>
        <v>PDF</v>
      </c>
      <c r="K6881" s="12" t="s">
        <v>11646</v>
      </c>
    </row>
    <row r="6882" spans="1:12" x14ac:dyDescent="0.45">
      <c r="A6882" s="12" t="s">
        <v>11608</v>
      </c>
      <c r="B6882" s="12" t="s">
        <v>3972</v>
      </c>
      <c r="C6882" s="13" t="s">
        <v>3973</v>
      </c>
      <c r="D6882" s="13" t="s">
        <v>53</v>
      </c>
      <c r="E6882" s="12" t="s">
        <v>16</v>
      </c>
      <c r="F6882" s="14">
        <v>72000</v>
      </c>
      <c r="G6882" s="14">
        <v>44350</v>
      </c>
      <c r="H6882" s="13" t="s">
        <v>11647</v>
      </c>
      <c r="I6882" s="40" t="s">
        <v>18</v>
      </c>
      <c r="J6882" s="40" t="str">
        <f>HYPERLINK("https://stock.pstatic.net/stock-research/company/40/20251127_company_711180000.pdf","PDF")</f>
        <v>PDF</v>
      </c>
      <c r="K6882" s="12" t="s">
        <v>11648</v>
      </c>
      <c r="L6882" s="20">
        <v>0.62344983089064265</v>
      </c>
    </row>
    <row r="6883" spans="1:12" x14ac:dyDescent="0.45">
      <c r="A6883" s="12" t="s">
        <v>11649</v>
      </c>
      <c r="B6883" s="12" t="s">
        <v>800</v>
      </c>
      <c r="C6883" s="13" t="s">
        <v>801</v>
      </c>
      <c r="D6883" s="13" t="s">
        <v>57</v>
      </c>
      <c r="E6883" s="12" t="s">
        <v>35</v>
      </c>
      <c r="F6883" s="14">
        <v>47000</v>
      </c>
      <c r="G6883" s="14">
        <v>38650</v>
      </c>
      <c r="H6883" s="13" t="s">
        <v>11650</v>
      </c>
      <c r="I6883" s="40" t="s">
        <v>18</v>
      </c>
      <c r="J6883" s="40" t="str">
        <f>HYPERLINK("https://stock.pstatic.net/stock-research/company/16/20251126_company_214893000.pdf","PDF")</f>
        <v>PDF</v>
      </c>
      <c r="K6883" s="12" t="s">
        <v>11651</v>
      </c>
      <c r="L6883" s="20">
        <v>0.21604139715394571</v>
      </c>
    </row>
    <row r="6884" spans="1:12" x14ac:dyDescent="0.45">
      <c r="A6884" s="12" t="s">
        <v>11649</v>
      </c>
      <c r="B6884" s="12" t="s">
        <v>3154</v>
      </c>
      <c r="C6884" s="13" t="s">
        <v>3155</v>
      </c>
      <c r="D6884" s="13" t="s">
        <v>276</v>
      </c>
      <c r="E6884" s="12" t="s">
        <v>16</v>
      </c>
      <c r="F6884" s="14">
        <v>7000</v>
      </c>
      <c r="G6884" s="14">
        <v>5350</v>
      </c>
      <c r="H6884" s="13" t="s">
        <v>11652</v>
      </c>
      <c r="I6884" s="40" t="s">
        <v>18</v>
      </c>
      <c r="J6884" s="40" t="str">
        <f>HYPERLINK("https://stock.pstatic.net/stock-research/company/66/20251126_company_384929000.pdf","PDF")</f>
        <v>PDF</v>
      </c>
      <c r="K6884" s="12" t="s">
        <v>11653</v>
      </c>
      <c r="L6884" s="20">
        <v>0.30841121495327101</v>
      </c>
    </row>
    <row r="6885" spans="1:12" x14ac:dyDescent="0.45">
      <c r="A6885" s="12" t="s">
        <v>11649</v>
      </c>
      <c r="B6885" s="12" t="s">
        <v>2262</v>
      </c>
      <c r="C6885" s="13" t="s">
        <v>2263</v>
      </c>
      <c r="D6885" s="13" t="s">
        <v>276</v>
      </c>
      <c r="E6885" s="12" t="s">
        <v>16</v>
      </c>
      <c r="F6885" s="14">
        <v>14000</v>
      </c>
      <c r="G6885" s="14">
        <v>8860</v>
      </c>
      <c r="H6885" s="13" t="s">
        <v>11654</v>
      </c>
      <c r="I6885" s="40" t="s">
        <v>18</v>
      </c>
      <c r="J6885" s="40" t="str">
        <f>HYPERLINK("https://stock.pstatic.net/stock-research/company/66/20251126_company_105889000.pdf","PDF")</f>
        <v>PDF</v>
      </c>
      <c r="K6885" s="12" t="s">
        <v>11655</v>
      </c>
      <c r="L6885" s="20">
        <v>0.58013544018058694</v>
      </c>
    </row>
    <row r="6886" spans="1:12" x14ac:dyDescent="0.45">
      <c r="A6886" s="12" t="s">
        <v>11649</v>
      </c>
      <c r="B6886" s="12" t="s">
        <v>418</v>
      </c>
      <c r="C6886" s="13" t="s">
        <v>419</v>
      </c>
      <c r="D6886" s="13" t="s">
        <v>276</v>
      </c>
      <c r="E6886" s="12" t="s">
        <v>16</v>
      </c>
      <c r="F6886" s="14">
        <v>22000</v>
      </c>
      <c r="G6886" s="14">
        <v>17470</v>
      </c>
      <c r="H6886" s="13" t="s">
        <v>11656</v>
      </c>
      <c r="I6886" s="40" t="s">
        <v>18</v>
      </c>
      <c r="J6886" s="40" t="str">
        <f>HYPERLINK("https://stock.pstatic.net/stock-research/company/66/20251126_company_676917000.pdf","PDF")</f>
        <v>PDF</v>
      </c>
      <c r="K6886" s="12" t="s">
        <v>11657</v>
      </c>
      <c r="L6886" s="20">
        <v>0.25930165998855181</v>
      </c>
    </row>
    <row r="6887" spans="1:12" x14ac:dyDescent="0.45">
      <c r="A6887" s="12" t="s">
        <v>11649</v>
      </c>
      <c r="B6887" s="12" t="s">
        <v>2286</v>
      </c>
      <c r="C6887" s="13" t="s">
        <v>2287</v>
      </c>
      <c r="D6887" s="13" t="s">
        <v>276</v>
      </c>
      <c r="E6887" s="12" t="s">
        <v>16</v>
      </c>
      <c r="F6887" s="14">
        <v>8000</v>
      </c>
      <c r="G6887" s="14">
        <v>5540</v>
      </c>
      <c r="H6887" s="13" t="s">
        <v>11658</v>
      </c>
      <c r="I6887" s="40" t="s">
        <v>18</v>
      </c>
      <c r="J6887" s="40" t="str">
        <f>HYPERLINK("https://stock.pstatic.net/stock-research/company/66/20251126_company_336874000.pdf","PDF")</f>
        <v>PDF</v>
      </c>
      <c r="K6887" s="12" t="s">
        <v>11659</v>
      </c>
      <c r="L6887" s="20">
        <v>0.44404332129963903</v>
      </c>
    </row>
    <row r="6888" spans="1:12" x14ac:dyDescent="0.45">
      <c r="A6888" s="12" t="s">
        <v>11649</v>
      </c>
      <c r="B6888" s="12" t="s">
        <v>379</v>
      </c>
      <c r="C6888" s="13" t="s">
        <v>380</v>
      </c>
      <c r="D6888" s="13" t="s">
        <v>276</v>
      </c>
      <c r="E6888" s="12" t="s">
        <v>16</v>
      </c>
      <c r="F6888" s="14">
        <v>3800</v>
      </c>
      <c r="G6888" s="14">
        <v>3065</v>
      </c>
      <c r="H6888" s="13" t="s">
        <v>11660</v>
      </c>
      <c r="I6888" s="40" t="s">
        <v>18</v>
      </c>
      <c r="J6888" s="40" t="str">
        <f>HYPERLINK("https://stock.pstatic.net/stock-research/company/66/20251126_company_870202000.pdf","PDF")</f>
        <v>PDF</v>
      </c>
      <c r="K6888" s="12" t="s">
        <v>11661</v>
      </c>
      <c r="L6888" s="20">
        <v>0.23980424143556281</v>
      </c>
    </row>
    <row r="6889" spans="1:12" x14ac:dyDescent="0.45">
      <c r="A6889" s="12" t="s">
        <v>11649</v>
      </c>
      <c r="B6889" s="12" t="s">
        <v>752</v>
      </c>
      <c r="C6889" s="13" t="s">
        <v>753</v>
      </c>
      <c r="D6889" s="13" t="s">
        <v>65</v>
      </c>
      <c r="E6889" s="12" t="s">
        <v>35</v>
      </c>
      <c r="F6889" s="14">
        <v>130000</v>
      </c>
      <c r="G6889" s="14">
        <v>102600</v>
      </c>
      <c r="H6889" s="13" t="s">
        <v>11662</v>
      </c>
      <c r="I6889" s="40" t="s">
        <v>18</v>
      </c>
      <c r="J6889" s="40" t="str">
        <f>HYPERLINK("https://stock.pstatic.net/stock-research/company/57/20251126_company_392798000.pdf","PDF")</f>
        <v>PDF</v>
      </c>
      <c r="K6889" s="12" t="s">
        <v>11663</v>
      </c>
      <c r="L6889" s="20">
        <v>0.26705653021442488</v>
      </c>
    </row>
    <row r="6890" spans="1:12" x14ac:dyDescent="0.45">
      <c r="A6890" s="12" t="s">
        <v>11649</v>
      </c>
      <c r="B6890" s="12" t="s">
        <v>402</v>
      </c>
      <c r="C6890" s="13" t="s">
        <v>403</v>
      </c>
      <c r="D6890" s="13" t="s">
        <v>65</v>
      </c>
      <c r="E6890" s="12" t="s">
        <v>35</v>
      </c>
      <c r="F6890" s="14">
        <v>100000</v>
      </c>
      <c r="G6890" s="14">
        <v>82900</v>
      </c>
      <c r="H6890" s="13" t="s">
        <v>11664</v>
      </c>
      <c r="I6890" s="40" t="s">
        <v>18</v>
      </c>
      <c r="J6890" s="40" t="str">
        <f>HYPERLINK("https://stock.pstatic.net/stock-research/company/57/20251126_company_785432000.pdf","PDF")</f>
        <v>PDF</v>
      </c>
      <c r="K6890" s="12" t="s">
        <v>11665</v>
      </c>
      <c r="L6890" s="20">
        <v>0.20627261761158019</v>
      </c>
    </row>
    <row r="6891" spans="1:12" x14ac:dyDescent="0.45">
      <c r="A6891" s="12" t="s">
        <v>11649</v>
      </c>
      <c r="B6891" s="12" t="s">
        <v>772</v>
      </c>
      <c r="C6891" s="13" t="s">
        <v>5840</v>
      </c>
      <c r="D6891" s="13" t="s">
        <v>65</v>
      </c>
      <c r="E6891" s="12" t="s">
        <v>35</v>
      </c>
      <c r="F6891" s="14">
        <v>40000</v>
      </c>
      <c r="G6891" s="14">
        <v>21450</v>
      </c>
      <c r="H6891" s="13" t="s">
        <v>11666</v>
      </c>
      <c r="I6891" s="40" t="s">
        <v>18</v>
      </c>
      <c r="J6891" s="40" t="str">
        <f>HYPERLINK("https://stock.pstatic.net/stock-research/company/57/20251126_company_696497000.pdf","PDF")</f>
        <v>PDF</v>
      </c>
      <c r="K6891" s="12" t="s">
        <v>11667</v>
      </c>
      <c r="L6891" s="20">
        <v>0.86480186480186483</v>
      </c>
    </row>
    <row r="6892" spans="1:12" x14ac:dyDescent="0.45">
      <c r="A6892" s="12" t="s">
        <v>11649</v>
      </c>
      <c r="B6892" s="12" t="s">
        <v>438</v>
      </c>
      <c r="C6892" s="13" t="s">
        <v>439</v>
      </c>
      <c r="D6892" s="13" t="s">
        <v>158</v>
      </c>
      <c r="E6892" s="12" t="s">
        <v>35</v>
      </c>
      <c r="F6892" s="14">
        <v>113000</v>
      </c>
      <c r="G6892" s="14">
        <v>80900</v>
      </c>
      <c r="H6892" s="13" t="s">
        <v>11668</v>
      </c>
      <c r="I6892" s="40" t="s">
        <v>18</v>
      </c>
      <c r="J6892" s="40" t="str">
        <f>HYPERLINK("https://stock.pstatic.net/stock-research/company/18/20251126_company_652800000.pdf","PDF")</f>
        <v>PDF</v>
      </c>
      <c r="K6892" s="12" t="s">
        <v>11669</v>
      </c>
      <c r="L6892" s="20">
        <v>0.39678615574783682</v>
      </c>
    </row>
    <row r="6893" spans="1:12" x14ac:dyDescent="0.45">
      <c r="A6893" s="12" t="s">
        <v>11649</v>
      </c>
      <c r="B6893" s="12" t="s">
        <v>11670</v>
      </c>
      <c r="C6893" s="13" t="s">
        <v>11671</v>
      </c>
      <c r="D6893" s="13" t="s">
        <v>23</v>
      </c>
      <c r="E6893" s="12" t="s">
        <v>50</v>
      </c>
      <c r="F6893" s="13"/>
      <c r="G6893" s="14">
        <v>11720</v>
      </c>
      <c r="H6893" s="13" t="s">
        <v>11672</v>
      </c>
      <c r="I6893" s="40" t="s">
        <v>18</v>
      </c>
      <c r="J6893" s="40" t="str">
        <f>HYPERLINK("https://stock.pstatic.net/stock-research/company/21/20251126_company_983639000.pdf","PDF")</f>
        <v>PDF</v>
      </c>
      <c r="K6893" s="12" t="s">
        <v>11673</v>
      </c>
    </row>
    <row r="6894" spans="1:12" x14ac:dyDescent="0.45">
      <c r="A6894" s="12" t="s">
        <v>11649</v>
      </c>
      <c r="B6894" s="12" t="s">
        <v>375</v>
      </c>
      <c r="C6894" s="13" t="s">
        <v>376</v>
      </c>
      <c r="D6894" s="13" t="s">
        <v>15</v>
      </c>
      <c r="E6894" s="12" t="s">
        <v>16</v>
      </c>
      <c r="F6894" s="14">
        <v>32000</v>
      </c>
      <c r="G6894" s="14">
        <v>24450</v>
      </c>
      <c r="H6894" s="13" t="s">
        <v>11674</v>
      </c>
      <c r="I6894" s="40" t="s">
        <v>18</v>
      </c>
      <c r="J6894" s="40" t="str">
        <f>HYPERLINK("https://stock.pstatic.net/stock-research/company/29/20251126_company_398236000.pdf","PDF")</f>
        <v>PDF</v>
      </c>
      <c r="K6894" s="12" t="s">
        <v>11675</v>
      </c>
      <c r="L6894" s="20">
        <v>0.30879345603271979</v>
      </c>
    </row>
    <row r="6895" spans="1:12" x14ac:dyDescent="0.45">
      <c r="A6895" s="12" t="s">
        <v>11649</v>
      </c>
      <c r="B6895" s="12" t="s">
        <v>1682</v>
      </c>
      <c r="C6895" s="13" t="s">
        <v>4787</v>
      </c>
      <c r="D6895" s="13" t="s">
        <v>15</v>
      </c>
      <c r="E6895" s="12" t="s">
        <v>16</v>
      </c>
      <c r="F6895" s="14">
        <v>280000</v>
      </c>
      <c r="G6895" s="14">
        <v>202500</v>
      </c>
      <c r="H6895" s="13" t="s">
        <v>11676</v>
      </c>
      <c r="I6895" s="40" t="s">
        <v>18</v>
      </c>
      <c r="J6895" s="40" t="str">
        <f>HYPERLINK("https://stock.pstatic.net/stock-research/company/29/20251126_company_957513000.pdf","PDF")</f>
        <v>PDF</v>
      </c>
      <c r="K6895" s="12" t="s">
        <v>11677</v>
      </c>
      <c r="L6895" s="20">
        <v>0.38271604938271597</v>
      </c>
    </row>
    <row r="6896" spans="1:12" x14ac:dyDescent="0.45">
      <c r="A6896" s="12" t="s">
        <v>11649</v>
      </c>
      <c r="B6896" s="12" t="s">
        <v>2105</v>
      </c>
      <c r="C6896" s="13" t="s">
        <v>2106</v>
      </c>
      <c r="D6896" s="13" t="s">
        <v>15</v>
      </c>
      <c r="E6896" s="12" t="s">
        <v>16</v>
      </c>
      <c r="F6896" s="14">
        <v>54000</v>
      </c>
      <c r="G6896" s="14">
        <v>36750</v>
      </c>
      <c r="H6896" s="13" t="s">
        <v>11678</v>
      </c>
      <c r="I6896" s="40" t="s">
        <v>18</v>
      </c>
      <c r="J6896" s="40" t="str">
        <f>HYPERLINK("https://stock.pstatic.net/stock-research/company/29/20251126_company_912890000.pdf","PDF")</f>
        <v>PDF</v>
      </c>
      <c r="K6896" s="12" t="s">
        <v>11679</v>
      </c>
      <c r="L6896" s="20">
        <v>0.46938775510204078</v>
      </c>
    </row>
    <row r="6897" spans="1:12" x14ac:dyDescent="0.45">
      <c r="A6897" s="12" t="s">
        <v>11649</v>
      </c>
      <c r="B6897" s="12" t="s">
        <v>3349</v>
      </c>
      <c r="C6897" s="13" t="s">
        <v>7707</v>
      </c>
      <c r="D6897" s="13" t="s">
        <v>92</v>
      </c>
      <c r="E6897" s="12" t="s">
        <v>6960</v>
      </c>
      <c r="F6897" s="14">
        <v>30000</v>
      </c>
      <c r="G6897" s="14">
        <v>19450</v>
      </c>
      <c r="H6897" s="13" t="s">
        <v>11680</v>
      </c>
      <c r="I6897" s="40" t="s">
        <v>18</v>
      </c>
      <c r="J6897" s="40" t="str">
        <f>HYPERLINK("https://stock.pstatic.net/stock-research/company/63/20251126_company_742125000.pdf","PDF")</f>
        <v>PDF</v>
      </c>
      <c r="K6897" s="12" t="s">
        <v>11681</v>
      </c>
      <c r="L6897" s="20">
        <v>0.54241645244215941</v>
      </c>
    </row>
    <row r="6898" spans="1:12" x14ac:dyDescent="0.45">
      <c r="A6898" s="12" t="s">
        <v>11649</v>
      </c>
      <c r="B6898" s="12" t="s">
        <v>1666</v>
      </c>
      <c r="C6898" s="13" t="s">
        <v>1667</v>
      </c>
      <c r="D6898" s="13" t="s">
        <v>15</v>
      </c>
      <c r="E6898" s="12" t="s">
        <v>16</v>
      </c>
      <c r="F6898" s="14">
        <v>95000</v>
      </c>
      <c r="G6898" s="14">
        <v>51600</v>
      </c>
      <c r="H6898" s="13" t="s">
        <v>6314</v>
      </c>
      <c r="I6898" s="40" t="s">
        <v>18</v>
      </c>
      <c r="J6898" s="40" t="str">
        <f>HYPERLINK("https://stock.pstatic.net/stock-research/company/29/20251126_company_480610000.pdf","PDF")</f>
        <v>PDF</v>
      </c>
      <c r="K6898" s="12" t="s">
        <v>11682</v>
      </c>
      <c r="L6898" s="20">
        <v>0.84108527131782951</v>
      </c>
    </row>
    <row r="6899" spans="1:12" x14ac:dyDescent="0.45">
      <c r="A6899" s="12" t="s">
        <v>11649</v>
      </c>
      <c r="B6899" s="12" t="s">
        <v>691</v>
      </c>
      <c r="C6899" s="13" t="s">
        <v>20</v>
      </c>
      <c r="D6899" s="13" t="s">
        <v>53</v>
      </c>
      <c r="E6899" s="12" t="s">
        <v>16</v>
      </c>
      <c r="F6899" s="14">
        <v>230000</v>
      </c>
      <c r="G6899" s="14">
        <v>182500</v>
      </c>
      <c r="H6899" s="13" t="s">
        <v>11683</v>
      </c>
      <c r="I6899" s="40" t="s">
        <v>18</v>
      </c>
      <c r="J6899" s="40" t="str">
        <f>HYPERLINK("https://stock.pstatic.net/stock-research/company/40/20251126_company_502569000.pdf","PDF")</f>
        <v>PDF</v>
      </c>
      <c r="K6899" s="12" t="s">
        <v>11684</v>
      </c>
      <c r="L6899" s="20">
        <v>0.26027397260273971</v>
      </c>
    </row>
    <row r="6900" spans="1:12" x14ac:dyDescent="0.45">
      <c r="A6900" s="12" t="s">
        <v>11649</v>
      </c>
      <c r="B6900" s="12" t="s">
        <v>11685</v>
      </c>
      <c r="C6900" s="13" t="s">
        <v>11686</v>
      </c>
      <c r="D6900" s="13" t="s">
        <v>44</v>
      </c>
      <c r="E6900" s="12" t="s">
        <v>50</v>
      </c>
      <c r="F6900" s="13"/>
      <c r="G6900" s="14">
        <v>5600</v>
      </c>
      <c r="H6900" s="13" t="s">
        <v>11687</v>
      </c>
      <c r="I6900" s="40" t="s">
        <v>18</v>
      </c>
      <c r="J6900" s="40" t="str">
        <f>HYPERLINK("https://stock.pstatic.net/stock-research/company/39/20251126_company_657861000.pdf","PDF")</f>
        <v>PDF</v>
      </c>
      <c r="K6900" s="12" t="s">
        <v>11688</v>
      </c>
    </row>
    <row r="6901" spans="1:12" x14ac:dyDescent="0.45">
      <c r="A6901" s="12" t="s">
        <v>11649</v>
      </c>
      <c r="B6901" s="12" t="s">
        <v>11689</v>
      </c>
      <c r="C6901" s="13" t="s">
        <v>11690</v>
      </c>
      <c r="D6901" s="13" t="s">
        <v>44</v>
      </c>
      <c r="E6901" s="12" t="s">
        <v>35</v>
      </c>
      <c r="F6901" s="14">
        <v>45000</v>
      </c>
      <c r="G6901" s="14">
        <v>37050</v>
      </c>
      <c r="H6901" s="13" t="s">
        <v>11691</v>
      </c>
      <c r="I6901" s="40" t="s">
        <v>18</v>
      </c>
      <c r="J6901" s="40" t="str">
        <f>HYPERLINK("https://stock.pstatic.net/stock-research/company/39/20251126_company_126785000.pdf","PDF")</f>
        <v>PDF</v>
      </c>
      <c r="K6901" s="12" t="s">
        <v>11692</v>
      </c>
      <c r="L6901" s="20">
        <v>0.2145748987854251</v>
      </c>
    </row>
    <row r="6902" spans="1:12" x14ac:dyDescent="0.45">
      <c r="A6902" s="12" t="s">
        <v>11649</v>
      </c>
      <c r="B6902" s="12" t="s">
        <v>11693</v>
      </c>
      <c r="C6902" s="13" t="s">
        <v>11694</v>
      </c>
      <c r="D6902" s="13" t="s">
        <v>124</v>
      </c>
      <c r="E6902" s="12" t="s">
        <v>50</v>
      </c>
      <c r="F6902" s="13"/>
      <c r="G6902" s="13"/>
      <c r="H6902" s="13" t="s">
        <v>11695</v>
      </c>
      <c r="I6902" s="40" t="s">
        <v>18</v>
      </c>
      <c r="J6902" s="40" t="str">
        <f>HYPERLINK("https://stock.pstatic.net/stock-research/company/74/20251126_company_209475000.pdf","PDF")</f>
        <v>PDF</v>
      </c>
      <c r="K6902" s="12" t="s">
        <v>11696</v>
      </c>
    </row>
    <row r="6903" spans="1:12" x14ac:dyDescent="0.45">
      <c r="A6903" s="12" t="s">
        <v>11649</v>
      </c>
      <c r="B6903" s="12" t="s">
        <v>11697</v>
      </c>
      <c r="C6903" s="13" t="s">
        <v>11698</v>
      </c>
      <c r="D6903" s="13" t="s">
        <v>124</v>
      </c>
      <c r="E6903" s="12" t="s">
        <v>50</v>
      </c>
      <c r="F6903" s="13"/>
      <c r="G6903" s="13"/>
      <c r="H6903" s="13" t="s">
        <v>11699</v>
      </c>
      <c r="I6903" s="40" t="s">
        <v>18</v>
      </c>
      <c r="J6903" s="40" t="str">
        <f>HYPERLINK("https://stock.pstatic.net/stock-research/company/74/20251126_company_746072000.pdf","PDF")</f>
        <v>PDF</v>
      </c>
      <c r="K6903" s="12" t="s">
        <v>11700</v>
      </c>
    </row>
    <row r="6904" spans="1:12" x14ac:dyDescent="0.45">
      <c r="A6904" s="12" t="s">
        <v>11701</v>
      </c>
      <c r="B6904" s="12" t="s">
        <v>383</v>
      </c>
      <c r="C6904" s="13" t="s">
        <v>384</v>
      </c>
      <c r="D6904" s="13" t="s">
        <v>276</v>
      </c>
      <c r="E6904" s="12" t="s">
        <v>385</v>
      </c>
      <c r="F6904" s="14">
        <v>75000</v>
      </c>
      <c r="G6904" s="14">
        <v>70400</v>
      </c>
      <c r="H6904" s="13" t="s">
        <v>11702</v>
      </c>
      <c r="I6904" s="40" t="s">
        <v>18</v>
      </c>
      <c r="J6904" s="40" t="str">
        <f>HYPERLINK("https://stock.pstatic.net/stock-research/company/66/20251125_company_347833000.pdf","PDF")</f>
        <v>PDF</v>
      </c>
      <c r="K6904" s="12" t="s">
        <v>11703</v>
      </c>
      <c r="L6904" s="20">
        <v>6.5340909090909088E-2</v>
      </c>
    </row>
    <row r="6905" spans="1:12" x14ac:dyDescent="0.45">
      <c r="A6905" s="12" t="s">
        <v>11701</v>
      </c>
      <c r="B6905" s="12" t="s">
        <v>511</v>
      </c>
      <c r="C6905" s="13" t="s">
        <v>512</v>
      </c>
      <c r="D6905" s="13" t="s">
        <v>276</v>
      </c>
      <c r="E6905" s="12" t="s">
        <v>16</v>
      </c>
      <c r="F6905" s="14">
        <v>93000</v>
      </c>
      <c r="G6905" s="14">
        <v>63900</v>
      </c>
      <c r="H6905" s="13" t="s">
        <v>11704</v>
      </c>
      <c r="I6905" s="40" t="s">
        <v>18</v>
      </c>
      <c r="J6905" s="40" t="str">
        <f>HYPERLINK("https://stock.pstatic.net/stock-research/company/66/20251125_company_82374000.pdf","PDF")</f>
        <v>PDF</v>
      </c>
      <c r="K6905" s="12" t="s">
        <v>11705</v>
      </c>
      <c r="L6905" s="20">
        <v>0.45539906103286393</v>
      </c>
    </row>
    <row r="6906" spans="1:12" x14ac:dyDescent="0.45">
      <c r="A6906" s="12" t="s">
        <v>11701</v>
      </c>
      <c r="B6906" s="12" t="s">
        <v>3024</v>
      </c>
      <c r="C6906" s="13" t="s">
        <v>3025</v>
      </c>
      <c r="D6906" s="13" t="s">
        <v>65</v>
      </c>
      <c r="E6906" s="12" t="s">
        <v>35</v>
      </c>
      <c r="F6906" s="14">
        <v>66000</v>
      </c>
      <c r="G6906" s="14">
        <v>51200</v>
      </c>
      <c r="H6906" s="13" t="s">
        <v>11706</v>
      </c>
      <c r="I6906" s="40" t="s">
        <v>18</v>
      </c>
      <c r="J6906" s="40" t="str">
        <f>HYPERLINK("https://stock.pstatic.net/stock-research/company/57/20251125_company_72589000.pdf","PDF")</f>
        <v>PDF</v>
      </c>
      <c r="K6906" s="12" t="s">
        <v>11707</v>
      </c>
      <c r="L6906" s="20">
        <v>0.2890625</v>
      </c>
    </row>
    <row r="6907" spans="1:12" x14ac:dyDescent="0.45">
      <c r="A6907" s="12" t="s">
        <v>11701</v>
      </c>
      <c r="B6907" s="12" t="s">
        <v>1081</v>
      </c>
      <c r="C6907" s="13" t="s">
        <v>1082</v>
      </c>
      <c r="D6907" s="13" t="s">
        <v>83</v>
      </c>
      <c r="E6907" s="12" t="s">
        <v>35</v>
      </c>
      <c r="F6907" s="14">
        <v>2200000</v>
      </c>
      <c r="G6907" s="14">
        <v>1789000</v>
      </c>
      <c r="H6907" s="13" t="s">
        <v>11708</v>
      </c>
      <c r="I6907" s="40" t="s">
        <v>18</v>
      </c>
      <c r="J6907" s="40" t="str">
        <f>HYPERLINK("https://stock.pstatic.net/stock-research/company/2/20251125_company_768613000.pdf","PDF")</f>
        <v>PDF</v>
      </c>
      <c r="K6907" s="12" t="s">
        <v>11709</v>
      </c>
      <c r="L6907" s="20">
        <v>0.22973728339854671</v>
      </c>
    </row>
    <row r="6908" spans="1:12" x14ac:dyDescent="0.45">
      <c r="A6908" s="12" t="s">
        <v>11701</v>
      </c>
      <c r="B6908" s="12" t="s">
        <v>5805</v>
      </c>
      <c r="C6908" s="13" t="s">
        <v>5806</v>
      </c>
      <c r="D6908" s="13" t="s">
        <v>179</v>
      </c>
      <c r="E6908" s="12" t="s">
        <v>16</v>
      </c>
      <c r="F6908" s="14">
        <v>13000</v>
      </c>
      <c r="G6908" s="14">
        <v>8370</v>
      </c>
      <c r="H6908" s="13" t="s">
        <v>11710</v>
      </c>
      <c r="I6908" s="40" t="s">
        <v>18</v>
      </c>
      <c r="J6908" s="40" t="str">
        <f>HYPERLINK("https://stock.pstatic.net/stock-research/company/64/20251125_company_367599000.pdf","PDF")</f>
        <v>PDF</v>
      </c>
      <c r="K6908" s="12" t="s">
        <v>11711</v>
      </c>
      <c r="L6908" s="20">
        <v>0.55316606929510159</v>
      </c>
    </row>
    <row r="6909" spans="1:12" x14ac:dyDescent="0.45">
      <c r="A6909" s="12" t="s">
        <v>11701</v>
      </c>
      <c r="B6909" s="12" t="s">
        <v>3024</v>
      </c>
      <c r="C6909" s="13" t="s">
        <v>3025</v>
      </c>
      <c r="D6909" s="13" t="s">
        <v>23</v>
      </c>
      <c r="E6909" s="12" t="s">
        <v>16</v>
      </c>
      <c r="F6909" s="14">
        <v>64000</v>
      </c>
      <c r="G6909" s="14">
        <v>51200</v>
      </c>
      <c r="H6909" s="13" t="s">
        <v>11712</v>
      </c>
      <c r="I6909" s="40" t="s">
        <v>18</v>
      </c>
      <c r="J6909" s="40" t="str">
        <f>HYPERLINK("https://stock.pstatic.net/stock-research/company/21/20251125_company_333164000.pdf","PDF")</f>
        <v>PDF</v>
      </c>
      <c r="K6909" s="12" t="s">
        <v>11713</v>
      </c>
      <c r="L6909" s="20">
        <v>0.25</v>
      </c>
    </row>
    <row r="6910" spans="1:12" x14ac:dyDescent="0.45">
      <c r="A6910" s="12" t="s">
        <v>11701</v>
      </c>
      <c r="B6910" s="12" t="s">
        <v>3536</v>
      </c>
      <c r="C6910" s="13" t="s">
        <v>3537</v>
      </c>
      <c r="D6910" s="13" t="s">
        <v>23</v>
      </c>
      <c r="E6910" s="12" t="s">
        <v>16</v>
      </c>
      <c r="F6910" s="14">
        <v>300000</v>
      </c>
      <c r="G6910" s="14">
        <v>219000</v>
      </c>
      <c r="H6910" s="13" t="s">
        <v>11714</v>
      </c>
      <c r="I6910" s="40" t="s">
        <v>18</v>
      </c>
      <c r="J6910" s="40" t="str">
        <f>HYPERLINK("https://stock.pstatic.net/stock-research/company/21/20251125_company_250958000.pdf","PDF")</f>
        <v>PDF</v>
      </c>
      <c r="K6910" s="12" t="s">
        <v>11715</v>
      </c>
      <c r="L6910" s="20">
        <v>0.36986301369863012</v>
      </c>
    </row>
    <row r="6911" spans="1:12" x14ac:dyDescent="0.45">
      <c r="A6911" s="12" t="s">
        <v>11701</v>
      </c>
      <c r="B6911" s="12" t="s">
        <v>11716</v>
      </c>
      <c r="C6911" s="13" t="s">
        <v>11717</v>
      </c>
      <c r="D6911" s="13" t="s">
        <v>124</v>
      </c>
      <c r="E6911" s="12" t="s">
        <v>50</v>
      </c>
      <c r="F6911" s="13"/>
      <c r="G6911" s="13"/>
      <c r="H6911" s="13" t="s">
        <v>11718</v>
      </c>
      <c r="I6911" s="40" t="s">
        <v>18</v>
      </c>
      <c r="J6911" s="40" t="str">
        <f>HYPERLINK("https://stock.pstatic.net/stock-research/company/74/20251125_company_789750000.pdf","PDF")</f>
        <v>PDF</v>
      </c>
      <c r="K6911" s="12" t="s">
        <v>11719</v>
      </c>
    </row>
    <row r="6912" spans="1:12" x14ac:dyDescent="0.45">
      <c r="A6912" s="12" t="s">
        <v>11701</v>
      </c>
      <c r="B6912" s="12" t="s">
        <v>11720</v>
      </c>
      <c r="C6912" s="13" t="s">
        <v>11721</v>
      </c>
      <c r="D6912" s="13" t="s">
        <v>124</v>
      </c>
      <c r="E6912" s="12" t="s">
        <v>50</v>
      </c>
      <c r="F6912" s="13"/>
      <c r="G6912" s="13"/>
      <c r="H6912" s="13" t="s">
        <v>11722</v>
      </c>
      <c r="I6912" s="40" t="s">
        <v>18</v>
      </c>
      <c r="J6912" s="40" t="str">
        <f>HYPERLINK("https://stock.pstatic.net/stock-research/company/74/20251125_company_391718000.pdf","PDF")</f>
        <v>PDF</v>
      </c>
      <c r="K6912" s="12" t="s">
        <v>11723</v>
      </c>
    </row>
    <row r="6913" spans="1:12" x14ac:dyDescent="0.45">
      <c r="A6913" s="12" t="s">
        <v>11724</v>
      </c>
      <c r="B6913" s="12" t="s">
        <v>1081</v>
      </c>
      <c r="C6913" s="13" t="s">
        <v>1082</v>
      </c>
      <c r="D6913" s="13" t="s">
        <v>15</v>
      </c>
      <c r="E6913" s="12" t="s">
        <v>16</v>
      </c>
      <c r="F6913" s="14">
        <v>2300000</v>
      </c>
      <c r="G6913" s="14">
        <v>1221000</v>
      </c>
      <c r="H6913" s="13" t="s">
        <v>11725</v>
      </c>
      <c r="I6913" s="40" t="s">
        <v>18</v>
      </c>
      <c r="J6913" s="40" t="str">
        <f>HYPERLINK("https://stock.pstatic.net/stock-research/company/29/20251124_company_708228000.pdf","PDF")</f>
        <v>PDF</v>
      </c>
      <c r="K6913" s="12" t="s">
        <v>11726</v>
      </c>
      <c r="L6913" s="20">
        <v>0.88370188370188374</v>
      </c>
    </row>
    <row r="6914" spans="1:12" x14ac:dyDescent="0.45">
      <c r="A6914" s="12" t="s">
        <v>11724</v>
      </c>
      <c r="B6914" s="12" t="s">
        <v>426</v>
      </c>
      <c r="C6914" s="13" t="s">
        <v>427</v>
      </c>
      <c r="D6914" s="13" t="s">
        <v>57</v>
      </c>
      <c r="E6914" s="12" t="s">
        <v>35</v>
      </c>
      <c r="F6914" s="14">
        <v>28000</v>
      </c>
      <c r="G6914" s="14">
        <v>18090</v>
      </c>
      <c r="H6914" s="13" t="s">
        <v>11727</v>
      </c>
      <c r="I6914" s="40" t="s">
        <v>18</v>
      </c>
      <c r="J6914" s="40" t="str">
        <f>HYPERLINK("https://stock.pstatic.net/stock-research/company/16/20251124_company_569454000.pdf","PDF")</f>
        <v>PDF</v>
      </c>
      <c r="K6914" s="12" t="s">
        <v>11728</v>
      </c>
      <c r="L6914" s="20">
        <v>0.54781647318960747</v>
      </c>
    </row>
    <row r="6915" spans="1:12" x14ac:dyDescent="0.45">
      <c r="A6915" s="12" t="s">
        <v>11724</v>
      </c>
      <c r="B6915" s="12" t="s">
        <v>1437</v>
      </c>
      <c r="C6915" s="13" t="s">
        <v>1438</v>
      </c>
      <c r="D6915" s="13" t="s">
        <v>57</v>
      </c>
      <c r="E6915" s="12" t="s">
        <v>35</v>
      </c>
      <c r="F6915" s="14">
        <v>71000</v>
      </c>
      <c r="G6915" s="14">
        <v>63700</v>
      </c>
      <c r="H6915" s="13" t="s">
        <v>11729</v>
      </c>
      <c r="I6915" s="40" t="s">
        <v>18</v>
      </c>
      <c r="J6915" s="40" t="str">
        <f>HYPERLINK("https://stock.pstatic.net/stock-research/company/16/20251124_company_576067000.pdf","PDF")</f>
        <v>PDF</v>
      </c>
      <c r="K6915" s="12" t="s">
        <v>11730</v>
      </c>
      <c r="L6915" s="20">
        <v>0.1145996860282575</v>
      </c>
    </row>
    <row r="6916" spans="1:12" x14ac:dyDescent="0.45">
      <c r="A6916" s="12" t="s">
        <v>11724</v>
      </c>
      <c r="B6916" s="12" t="s">
        <v>1694</v>
      </c>
      <c r="C6916" s="13" t="s">
        <v>1695</v>
      </c>
      <c r="D6916" s="13" t="s">
        <v>158</v>
      </c>
      <c r="E6916" s="12" t="s">
        <v>35</v>
      </c>
      <c r="F6916" s="14">
        <v>74000</v>
      </c>
      <c r="G6916" s="14">
        <v>55300</v>
      </c>
      <c r="H6916" s="13" t="s">
        <v>11731</v>
      </c>
      <c r="I6916" s="40" t="s">
        <v>18</v>
      </c>
      <c r="J6916" s="40" t="str">
        <f>HYPERLINK("https://stock.pstatic.net/stock-research/company/18/20251124_company_519973000.pdf","PDF")</f>
        <v>PDF</v>
      </c>
      <c r="K6916" s="12" t="s">
        <v>11732</v>
      </c>
      <c r="L6916" s="20">
        <v>0.33815551537070532</v>
      </c>
    </row>
    <row r="6917" spans="1:12" x14ac:dyDescent="0.45">
      <c r="A6917" s="12" t="s">
        <v>11724</v>
      </c>
      <c r="B6917" s="12" t="s">
        <v>322</v>
      </c>
      <c r="C6917" s="13" t="s">
        <v>323</v>
      </c>
      <c r="D6917" s="13" t="s">
        <v>158</v>
      </c>
      <c r="E6917" s="12" t="s">
        <v>50</v>
      </c>
      <c r="F6917" s="13"/>
      <c r="G6917" s="14">
        <v>52600</v>
      </c>
      <c r="H6917" s="13" t="s">
        <v>11733</v>
      </c>
      <c r="I6917" s="40" t="s">
        <v>18</v>
      </c>
      <c r="J6917" s="40" t="str">
        <f>HYPERLINK("https://stock.pstatic.net/stock-research/company/18/20251124_company_113161000.pdf","PDF")</f>
        <v>PDF</v>
      </c>
      <c r="K6917" s="12" t="s">
        <v>11734</v>
      </c>
    </row>
    <row r="6918" spans="1:12" x14ac:dyDescent="0.45">
      <c r="A6918" s="12" t="s">
        <v>11724</v>
      </c>
      <c r="B6918" s="12" t="s">
        <v>326</v>
      </c>
      <c r="C6918" s="13" t="s">
        <v>327</v>
      </c>
      <c r="D6918" s="13" t="s">
        <v>158</v>
      </c>
      <c r="E6918" s="12" t="s">
        <v>50</v>
      </c>
      <c r="F6918" s="13"/>
      <c r="G6918" s="14">
        <v>34750</v>
      </c>
      <c r="H6918" s="13" t="s">
        <v>11735</v>
      </c>
      <c r="I6918" s="40" t="s">
        <v>18</v>
      </c>
      <c r="J6918" s="40" t="str">
        <f>HYPERLINK("https://stock.pstatic.net/stock-research/company/18/20251124_company_369713000.pdf","PDF")</f>
        <v>PDF</v>
      </c>
      <c r="K6918" s="12" t="s">
        <v>11736</v>
      </c>
    </row>
    <row r="6919" spans="1:12" x14ac:dyDescent="0.45">
      <c r="A6919" s="12" t="s">
        <v>11724</v>
      </c>
      <c r="B6919" s="12" t="s">
        <v>272</v>
      </c>
      <c r="C6919" s="13" t="s">
        <v>273</v>
      </c>
      <c r="D6919" s="13" t="s">
        <v>158</v>
      </c>
      <c r="E6919" s="12" t="s">
        <v>35</v>
      </c>
      <c r="F6919" s="14">
        <v>647000</v>
      </c>
      <c r="G6919" s="14">
        <v>461000</v>
      </c>
      <c r="H6919" s="13" t="s">
        <v>11737</v>
      </c>
      <c r="I6919" s="40" t="s">
        <v>18</v>
      </c>
      <c r="J6919" s="40" t="str">
        <f>HYPERLINK("https://stock.pstatic.net/stock-research/company/18/20251124_company_21332000.pdf","PDF")</f>
        <v>PDF</v>
      </c>
      <c r="K6919" s="12" t="s">
        <v>11738</v>
      </c>
      <c r="L6919" s="20">
        <v>0.40347071583514099</v>
      </c>
    </row>
    <row r="6920" spans="1:12" x14ac:dyDescent="0.45">
      <c r="A6920" s="12" t="s">
        <v>11724</v>
      </c>
      <c r="B6920" s="12" t="s">
        <v>768</v>
      </c>
      <c r="C6920" s="13" t="s">
        <v>769</v>
      </c>
      <c r="D6920" s="13" t="s">
        <v>158</v>
      </c>
      <c r="E6920" s="12" t="s">
        <v>35</v>
      </c>
      <c r="F6920" s="14">
        <v>230000</v>
      </c>
      <c r="G6920" s="14">
        <v>174100</v>
      </c>
      <c r="H6920" s="13" t="s">
        <v>11739</v>
      </c>
      <c r="I6920" s="40" t="s">
        <v>18</v>
      </c>
      <c r="J6920" s="40" t="str">
        <f>HYPERLINK("https://stock.pstatic.net/stock-research/company/18/20251124_company_225430000.pdf","PDF")</f>
        <v>PDF</v>
      </c>
      <c r="K6920" s="12" t="s">
        <v>11740</v>
      </c>
      <c r="L6920" s="20">
        <v>0.32107983917288913</v>
      </c>
    </row>
    <row r="6921" spans="1:12" x14ac:dyDescent="0.45">
      <c r="A6921" s="12" t="s">
        <v>11724</v>
      </c>
      <c r="B6921" s="12" t="s">
        <v>880</v>
      </c>
      <c r="C6921" s="13" t="s">
        <v>881</v>
      </c>
      <c r="D6921" s="13" t="s">
        <v>158</v>
      </c>
      <c r="E6921" s="12" t="s">
        <v>35</v>
      </c>
      <c r="F6921" s="14">
        <v>18000</v>
      </c>
      <c r="G6921" s="14">
        <v>14890</v>
      </c>
      <c r="H6921" s="13" t="s">
        <v>11741</v>
      </c>
      <c r="I6921" s="40" t="s">
        <v>18</v>
      </c>
      <c r="J6921" s="40" t="str">
        <f>HYPERLINK("https://stock.pstatic.net/stock-research/company/18/20251124_company_898379000.pdf","PDF")</f>
        <v>PDF</v>
      </c>
      <c r="K6921" s="12" t="s">
        <v>11742</v>
      </c>
      <c r="L6921" s="20">
        <v>0.20886501007387509</v>
      </c>
    </row>
    <row r="6922" spans="1:12" x14ac:dyDescent="0.45">
      <c r="A6922" s="12" t="s">
        <v>11724</v>
      </c>
      <c r="B6922" s="12" t="s">
        <v>32</v>
      </c>
      <c r="C6922" s="13" t="s">
        <v>33</v>
      </c>
      <c r="D6922" s="13" t="s">
        <v>179</v>
      </c>
      <c r="E6922" s="12" t="s">
        <v>16</v>
      </c>
      <c r="F6922" s="14">
        <v>305000</v>
      </c>
      <c r="G6922" s="14">
        <v>217500</v>
      </c>
      <c r="H6922" s="13" t="s">
        <v>11743</v>
      </c>
      <c r="I6922" s="40" t="s">
        <v>18</v>
      </c>
      <c r="J6922" s="40" t="str">
        <f>HYPERLINK("https://stock.pstatic.net/stock-research/company/64/20251124_company_705929000.pdf","PDF")</f>
        <v>PDF</v>
      </c>
      <c r="K6922" s="12" t="s">
        <v>11744</v>
      </c>
      <c r="L6922" s="20">
        <v>0.40229885057471271</v>
      </c>
    </row>
    <row r="6923" spans="1:12" x14ac:dyDescent="0.45">
      <c r="A6923" s="12" t="s">
        <v>11724</v>
      </c>
      <c r="B6923" s="12" t="s">
        <v>1602</v>
      </c>
      <c r="C6923" s="13" t="s">
        <v>1603</v>
      </c>
      <c r="D6923" s="13" t="s">
        <v>179</v>
      </c>
      <c r="E6923" s="12" t="s">
        <v>16</v>
      </c>
      <c r="F6923" s="14">
        <v>56000</v>
      </c>
      <c r="G6923" s="14">
        <v>41200</v>
      </c>
      <c r="H6923" s="13" t="s">
        <v>11745</v>
      </c>
      <c r="I6923" s="40" t="s">
        <v>18</v>
      </c>
      <c r="J6923" s="40" t="str">
        <f>HYPERLINK("https://stock.pstatic.net/stock-research/company/64/20251124_company_472908000.pdf","PDF")</f>
        <v>PDF</v>
      </c>
      <c r="K6923" s="12" t="s">
        <v>11746</v>
      </c>
      <c r="L6923" s="20">
        <v>0.35922330097087379</v>
      </c>
    </row>
    <row r="6924" spans="1:12" x14ac:dyDescent="0.45">
      <c r="A6924" s="12" t="s">
        <v>11724</v>
      </c>
      <c r="B6924" s="12" t="s">
        <v>1128</v>
      </c>
      <c r="C6924" s="13" t="s">
        <v>1129</v>
      </c>
      <c r="D6924" s="13" t="s">
        <v>179</v>
      </c>
      <c r="E6924" s="12" t="s">
        <v>16</v>
      </c>
      <c r="F6924" s="14">
        <v>155500</v>
      </c>
      <c r="G6924" s="14">
        <v>122100</v>
      </c>
      <c r="H6924" s="13" t="s">
        <v>11747</v>
      </c>
      <c r="I6924" s="40" t="s">
        <v>18</v>
      </c>
      <c r="J6924" s="40" t="str">
        <f>HYPERLINK("https://stock.pstatic.net/stock-research/company/64/20251124_company_150583000.pdf","PDF")</f>
        <v>PDF</v>
      </c>
      <c r="K6924" s="12" t="s">
        <v>11748</v>
      </c>
      <c r="L6924" s="20">
        <v>0.27354627354627348</v>
      </c>
    </row>
    <row r="6925" spans="1:12" x14ac:dyDescent="0.45">
      <c r="A6925" s="12" t="s">
        <v>11724</v>
      </c>
      <c r="B6925" s="12" t="s">
        <v>110</v>
      </c>
      <c r="C6925" s="13" t="s">
        <v>111</v>
      </c>
      <c r="D6925" s="13" t="s">
        <v>34</v>
      </c>
      <c r="E6925" s="12" t="s">
        <v>35</v>
      </c>
      <c r="F6925" s="14">
        <v>65000</v>
      </c>
      <c r="G6925" s="14">
        <v>49000</v>
      </c>
      <c r="H6925" s="13" t="s">
        <v>11749</v>
      </c>
      <c r="I6925" s="40" t="s">
        <v>18</v>
      </c>
      <c r="J6925" s="40" t="str">
        <f>HYPERLINK("https://stock.pstatic.net/stock-research/company/61/20251124_company_753904000.pdf","PDF")</f>
        <v>PDF</v>
      </c>
      <c r="K6925" s="12" t="s">
        <v>11750</v>
      </c>
      <c r="L6925" s="20">
        <v>0.32653061224489788</v>
      </c>
    </row>
    <row r="6926" spans="1:12" x14ac:dyDescent="0.45">
      <c r="A6926" s="12" t="s">
        <v>11724</v>
      </c>
      <c r="B6926" s="12" t="s">
        <v>2225</v>
      </c>
      <c r="C6926" s="13" t="s">
        <v>5282</v>
      </c>
      <c r="D6926" s="13" t="s">
        <v>92</v>
      </c>
      <c r="E6926" s="12" t="s">
        <v>35</v>
      </c>
      <c r="F6926" s="14">
        <v>720000</v>
      </c>
      <c r="G6926" s="14">
        <v>402000</v>
      </c>
      <c r="H6926" s="13" t="s">
        <v>11751</v>
      </c>
      <c r="I6926" s="40" t="s">
        <v>18</v>
      </c>
      <c r="J6926" s="40" t="str">
        <f>HYPERLINK("https://stock.pstatic.net/stock-research/company/63/20251124_company_749632000.pdf","PDF")</f>
        <v>PDF</v>
      </c>
      <c r="K6926" s="12" t="s">
        <v>11752</v>
      </c>
      <c r="L6926" s="20">
        <v>0.79104477611940294</v>
      </c>
    </row>
    <row r="6927" spans="1:12" x14ac:dyDescent="0.45">
      <c r="A6927" s="12" t="s">
        <v>11724</v>
      </c>
      <c r="B6927" s="12" t="s">
        <v>11753</v>
      </c>
      <c r="C6927" s="13" t="s">
        <v>11754</v>
      </c>
      <c r="D6927" s="13" t="s">
        <v>83</v>
      </c>
      <c r="E6927" s="12" t="s">
        <v>35</v>
      </c>
      <c r="F6927" s="14">
        <v>270000</v>
      </c>
      <c r="G6927" s="14">
        <v>191800</v>
      </c>
      <c r="H6927" s="13" t="s">
        <v>11755</v>
      </c>
      <c r="I6927" s="40" t="s">
        <v>18</v>
      </c>
      <c r="J6927" s="40" t="str">
        <f>HYPERLINK("https://stock.pstatic.net/stock-research/company/2/20251124_company_77878000.pdf","PDF")</f>
        <v>PDF</v>
      </c>
      <c r="K6927" s="12" t="s">
        <v>11756</v>
      </c>
      <c r="L6927" s="20">
        <v>0.40771637122002091</v>
      </c>
    </row>
    <row r="6928" spans="1:12" x14ac:dyDescent="0.45">
      <c r="A6928" s="12" t="s">
        <v>11724</v>
      </c>
      <c r="B6928" s="12" t="s">
        <v>784</v>
      </c>
      <c r="C6928" s="13" t="s">
        <v>785</v>
      </c>
      <c r="D6928" s="13" t="s">
        <v>23</v>
      </c>
      <c r="E6928" s="12" t="s">
        <v>16</v>
      </c>
      <c r="F6928" s="14">
        <v>8500</v>
      </c>
      <c r="G6928" s="14">
        <v>7000</v>
      </c>
      <c r="H6928" s="13" t="s">
        <v>11757</v>
      </c>
      <c r="I6928" s="40" t="s">
        <v>18</v>
      </c>
      <c r="J6928" s="40" t="str">
        <f>HYPERLINK("https://stock.pstatic.net/stock-research/company/21/20251124_company_682072000.pdf","PDF")</f>
        <v>PDF</v>
      </c>
      <c r="K6928" s="12" t="s">
        <v>11758</v>
      </c>
      <c r="L6928" s="20">
        <v>0.2142857142857143</v>
      </c>
    </row>
    <row r="6929" spans="1:12" x14ac:dyDescent="0.45">
      <c r="A6929" s="12" t="s">
        <v>11724</v>
      </c>
      <c r="B6929" s="12" t="s">
        <v>1912</v>
      </c>
      <c r="C6929" s="13" t="s">
        <v>7834</v>
      </c>
      <c r="D6929" s="13" t="s">
        <v>15</v>
      </c>
      <c r="E6929" s="12" t="s">
        <v>50</v>
      </c>
      <c r="F6929" s="13"/>
      <c r="G6929" s="14">
        <v>130000</v>
      </c>
      <c r="H6929" s="13" t="s">
        <v>11759</v>
      </c>
      <c r="I6929" s="40" t="s">
        <v>18</v>
      </c>
      <c r="J6929" s="40" t="str">
        <f>HYPERLINK("https://stock.pstatic.net/stock-research/company/29/20251124_company_693947000.pdf","PDF")</f>
        <v>PDF</v>
      </c>
      <c r="K6929" s="12" t="s">
        <v>11760</v>
      </c>
    </row>
    <row r="6930" spans="1:12" x14ac:dyDescent="0.45">
      <c r="A6930" s="12" t="s">
        <v>11724</v>
      </c>
      <c r="B6930" s="12" t="s">
        <v>569</v>
      </c>
      <c r="C6930" s="13" t="s">
        <v>570</v>
      </c>
      <c r="D6930" s="13" t="s">
        <v>92</v>
      </c>
      <c r="E6930" s="12" t="s">
        <v>35</v>
      </c>
      <c r="F6930" s="14">
        <v>26000</v>
      </c>
      <c r="G6930" s="14">
        <v>18630</v>
      </c>
      <c r="H6930" s="13" t="s">
        <v>11761</v>
      </c>
      <c r="I6930" s="40" t="s">
        <v>18</v>
      </c>
      <c r="J6930" s="40" t="str">
        <f>HYPERLINK("https://stock.pstatic.net/stock-research/company/63/20251124_company_270628000.pdf","PDF")</f>
        <v>PDF</v>
      </c>
      <c r="K6930" s="12" t="s">
        <v>11762</v>
      </c>
      <c r="L6930" s="20">
        <v>0.39559849704777239</v>
      </c>
    </row>
    <row r="6931" spans="1:12" x14ac:dyDescent="0.45">
      <c r="A6931" s="12" t="s">
        <v>11724</v>
      </c>
      <c r="B6931" s="12" t="s">
        <v>1765</v>
      </c>
      <c r="C6931" s="13" t="s">
        <v>1766</v>
      </c>
      <c r="D6931" s="13" t="s">
        <v>179</v>
      </c>
      <c r="E6931" s="12" t="s">
        <v>16</v>
      </c>
      <c r="F6931" s="14">
        <v>160000</v>
      </c>
      <c r="G6931" s="14">
        <v>113400</v>
      </c>
      <c r="H6931" s="13" t="s">
        <v>11763</v>
      </c>
      <c r="I6931" s="40" t="s">
        <v>18</v>
      </c>
      <c r="J6931" s="40" t="str">
        <f>HYPERLINK("https://stock.pstatic.net/stock-research/company/64/20251124_company_753027000.pdf","PDF")</f>
        <v>PDF</v>
      </c>
      <c r="K6931" s="12" t="s">
        <v>11764</v>
      </c>
      <c r="L6931" s="20">
        <v>0.41093474426807758</v>
      </c>
    </row>
    <row r="6932" spans="1:12" x14ac:dyDescent="0.45">
      <c r="A6932" s="12" t="s">
        <v>11724</v>
      </c>
      <c r="B6932" s="12" t="s">
        <v>5503</v>
      </c>
      <c r="C6932" s="13" t="s">
        <v>5504</v>
      </c>
      <c r="D6932" s="13" t="s">
        <v>92</v>
      </c>
      <c r="E6932" s="12" t="s">
        <v>35</v>
      </c>
      <c r="F6932" s="14">
        <v>10000</v>
      </c>
      <c r="G6932" s="14">
        <v>6250</v>
      </c>
      <c r="H6932" s="13" t="s">
        <v>11765</v>
      </c>
      <c r="I6932" s="40" t="s">
        <v>18</v>
      </c>
      <c r="J6932" s="40" t="str">
        <f>HYPERLINK("https://stock.pstatic.net/stock-research/company/63/20251124_company_832147000.pdf","PDF")</f>
        <v>PDF</v>
      </c>
      <c r="K6932" s="12" t="s">
        <v>11766</v>
      </c>
      <c r="L6932" s="20">
        <v>0.6</v>
      </c>
    </row>
    <row r="6933" spans="1:12" x14ac:dyDescent="0.45">
      <c r="A6933" s="12" t="s">
        <v>11724</v>
      </c>
      <c r="B6933" s="12" t="s">
        <v>519</v>
      </c>
      <c r="C6933" s="13" t="s">
        <v>520</v>
      </c>
      <c r="D6933" s="13" t="s">
        <v>179</v>
      </c>
      <c r="E6933" s="12" t="s">
        <v>16</v>
      </c>
      <c r="F6933" s="14">
        <v>330000</v>
      </c>
      <c r="G6933" s="14">
        <v>262000</v>
      </c>
      <c r="H6933" s="13" t="s">
        <v>11767</v>
      </c>
      <c r="I6933" s="40" t="s">
        <v>18</v>
      </c>
      <c r="J6933" s="40" t="str">
        <f>HYPERLINK("https://stock.pstatic.net/stock-research/company/64/20251124_company_768114000.pdf","PDF")</f>
        <v>PDF</v>
      </c>
      <c r="K6933" s="12" t="s">
        <v>11768</v>
      </c>
      <c r="L6933" s="20">
        <v>0.25954198473282442</v>
      </c>
    </row>
    <row r="6934" spans="1:12" x14ac:dyDescent="0.45">
      <c r="A6934" s="12" t="s">
        <v>11724</v>
      </c>
      <c r="B6934" s="12" t="s">
        <v>868</v>
      </c>
      <c r="C6934" s="13" t="s">
        <v>869</v>
      </c>
      <c r="D6934" s="13" t="s">
        <v>53</v>
      </c>
      <c r="E6934" s="12" t="s">
        <v>16</v>
      </c>
      <c r="F6934" s="14">
        <v>57000</v>
      </c>
      <c r="G6934" s="14">
        <v>35950</v>
      </c>
      <c r="H6934" s="13" t="s">
        <v>11769</v>
      </c>
      <c r="I6934" s="40" t="s">
        <v>18</v>
      </c>
      <c r="J6934" s="40" t="str">
        <f>HYPERLINK("https://stock.pstatic.net/stock-research/company/40/20251124_company_15144000.pdf","PDF")</f>
        <v>PDF</v>
      </c>
      <c r="K6934" s="12" t="s">
        <v>11770</v>
      </c>
      <c r="L6934" s="20">
        <v>0.58553546592489569</v>
      </c>
    </row>
    <row r="6935" spans="1:12" x14ac:dyDescent="0.45">
      <c r="A6935" s="12" t="s">
        <v>11724</v>
      </c>
      <c r="B6935" s="12" t="s">
        <v>625</v>
      </c>
      <c r="C6935" s="13" t="s">
        <v>626</v>
      </c>
      <c r="D6935" s="13" t="s">
        <v>15</v>
      </c>
      <c r="E6935" s="12" t="s">
        <v>50</v>
      </c>
      <c r="F6935" s="13"/>
      <c r="G6935" s="14">
        <v>8680</v>
      </c>
      <c r="H6935" s="13" t="s">
        <v>11771</v>
      </c>
      <c r="I6935" s="40" t="s">
        <v>18</v>
      </c>
      <c r="J6935" s="40" t="str">
        <f>HYPERLINK("https://stock.pstatic.net/stock-research/company/29/20251124_company_710841000.pdf","PDF")</f>
        <v>PDF</v>
      </c>
      <c r="K6935" s="12" t="s">
        <v>11772</v>
      </c>
    </row>
    <row r="6936" spans="1:12" x14ac:dyDescent="0.45">
      <c r="A6936" s="12" t="s">
        <v>11724</v>
      </c>
      <c r="B6936" s="12" t="s">
        <v>10633</v>
      </c>
      <c r="C6936" s="13" t="s">
        <v>10634</v>
      </c>
      <c r="D6936" s="13" t="s">
        <v>124</v>
      </c>
      <c r="E6936" s="12" t="s">
        <v>50</v>
      </c>
      <c r="F6936" s="13"/>
      <c r="G6936" s="13"/>
      <c r="H6936" s="13" t="s">
        <v>11773</v>
      </c>
      <c r="I6936" s="40" t="s">
        <v>18</v>
      </c>
      <c r="J6936" s="40" t="str">
        <f>HYPERLINK("https://stock.pstatic.net/stock-research/company/74/20251124_company_963976000.pdf","PDF")</f>
        <v>PDF</v>
      </c>
      <c r="K6936" s="12" t="s">
        <v>11774</v>
      </c>
    </row>
    <row r="6937" spans="1:12" x14ac:dyDescent="0.45">
      <c r="A6937" s="12" t="s">
        <v>11724</v>
      </c>
      <c r="B6937" s="12" t="s">
        <v>1562</v>
      </c>
      <c r="C6937" s="13" t="s">
        <v>1563</v>
      </c>
      <c r="D6937" s="13" t="s">
        <v>53</v>
      </c>
      <c r="E6937" s="12" t="s">
        <v>16</v>
      </c>
      <c r="F6937" s="14">
        <v>33000</v>
      </c>
      <c r="G6937" s="14">
        <v>21950</v>
      </c>
      <c r="H6937" s="13" t="s">
        <v>11775</v>
      </c>
      <c r="I6937" s="40" t="s">
        <v>18</v>
      </c>
      <c r="J6937" s="40" t="str">
        <f>HYPERLINK("https://stock.pstatic.net/stock-research/company/40/20251124_company_297811000.pdf","PDF")</f>
        <v>PDF</v>
      </c>
      <c r="K6937" s="12" t="s">
        <v>11776</v>
      </c>
      <c r="L6937" s="20">
        <v>0.50341685649202739</v>
      </c>
    </row>
    <row r="6938" spans="1:12" x14ac:dyDescent="0.45">
      <c r="A6938" s="12" t="s">
        <v>11777</v>
      </c>
      <c r="B6938" s="12" t="s">
        <v>1449</v>
      </c>
      <c r="C6938" s="13" t="s">
        <v>1450</v>
      </c>
      <c r="D6938" s="13" t="s">
        <v>57</v>
      </c>
      <c r="E6938" s="12" t="s">
        <v>35</v>
      </c>
      <c r="F6938" s="14">
        <v>38000</v>
      </c>
      <c r="G6938" s="14">
        <v>30150</v>
      </c>
      <c r="H6938" s="13" t="s">
        <v>11778</v>
      </c>
      <c r="I6938" s="40" t="s">
        <v>18</v>
      </c>
      <c r="J6938" s="40" t="str">
        <f>HYPERLINK("https://stock.pstatic.net/stock-research/company/16/20251121_company_760638000.pdf","PDF")</f>
        <v>PDF</v>
      </c>
      <c r="K6938" s="12" t="s">
        <v>11779</v>
      </c>
      <c r="L6938" s="20">
        <v>0.26036484245439467</v>
      </c>
    </row>
    <row r="6939" spans="1:12" x14ac:dyDescent="0.45">
      <c r="A6939" s="12" t="s">
        <v>11777</v>
      </c>
      <c r="B6939" s="12" t="s">
        <v>3584</v>
      </c>
      <c r="C6939" s="13" t="s">
        <v>3585</v>
      </c>
      <c r="D6939" s="13" t="s">
        <v>57</v>
      </c>
      <c r="E6939" s="12" t="s">
        <v>35</v>
      </c>
      <c r="F6939" s="14">
        <v>26000</v>
      </c>
      <c r="G6939" s="14">
        <v>22100</v>
      </c>
      <c r="H6939" s="13" t="s">
        <v>11780</v>
      </c>
      <c r="I6939" s="40" t="s">
        <v>18</v>
      </c>
      <c r="J6939" s="40" t="str">
        <f>HYPERLINK("https://stock.pstatic.net/stock-research/company/16/20251121_company_647867000.pdf","PDF")</f>
        <v>PDF</v>
      </c>
      <c r="K6939" s="12" t="s">
        <v>11781</v>
      </c>
      <c r="L6939" s="20">
        <v>0.1764705882352941</v>
      </c>
    </row>
    <row r="6940" spans="1:12" x14ac:dyDescent="0.45">
      <c r="A6940" s="12" t="s">
        <v>11777</v>
      </c>
      <c r="B6940" s="12" t="s">
        <v>186</v>
      </c>
      <c r="C6940" s="13" t="s">
        <v>187</v>
      </c>
      <c r="D6940" s="13" t="s">
        <v>60</v>
      </c>
      <c r="E6940" s="12" t="s">
        <v>35</v>
      </c>
      <c r="F6940" s="14">
        <v>9000</v>
      </c>
      <c r="G6940" s="14">
        <v>7150</v>
      </c>
      <c r="H6940" s="13" t="s">
        <v>11782</v>
      </c>
      <c r="I6940" s="40" t="s">
        <v>18</v>
      </c>
      <c r="J6940" s="40" t="str">
        <f>HYPERLINK("https://stock.pstatic.net/stock-research/company/34/20251121_company_405254000.pdf","PDF")</f>
        <v>PDF</v>
      </c>
      <c r="K6940" s="12" t="s">
        <v>11783</v>
      </c>
      <c r="L6940" s="20">
        <v>0.25874125874125881</v>
      </c>
    </row>
    <row r="6941" spans="1:12" x14ac:dyDescent="0.45">
      <c r="A6941" s="12" t="s">
        <v>11777</v>
      </c>
      <c r="B6941" s="12" t="s">
        <v>1057</v>
      </c>
      <c r="C6941" s="13" t="s">
        <v>1058</v>
      </c>
      <c r="D6941" s="13" t="s">
        <v>60</v>
      </c>
      <c r="E6941" s="12" t="s">
        <v>35</v>
      </c>
      <c r="F6941" s="14">
        <v>13000</v>
      </c>
      <c r="G6941" s="14">
        <v>10550</v>
      </c>
      <c r="H6941" s="13" t="s">
        <v>11784</v>
      </c>
      <c r="I6941" s="40" t="s">
        <v>18</v>
      </c>
      <c r="J6941" s="40" t="str">
        <f>HYPERLINK("https://stock.pstatic.net/stock-research/company/34/20251121_company_870814000.pdf","PDF")</f>
        <v>PDF</v>
      </c>
      <c r="K6941" s="12" t="s">
        <v>11785</v>
      </c>
      <c r="L6941" s="20">
        <v>0.23222748815165881</v>
      </c>
    </row>
    <row r="6942" spans="1:12" x14ac:dyDescent="0.45">
      <c r="A6942" s="12" t="s">
        <v>11777</v>
      </c>
      <c r="B6942" s="12" t="s">
        <v>8567</v>
      </c>
      <c r="C6942" s="13" t="s">
        <v>8568</v>
      </c>
      <c r="D6942" s="13" t="s">
        <v>65</v>
      </c>
      <c r="E6942" s="12" t="s">
        <v>50</v>
      </c>
      <c r="F6942" s="13"/>
      <c r="G6942" s="14">
        <v>9460</v>
      </c>
      <c r="H6942" s="13" t="s">
        <v>11786</v>
      </c>
      <c r="I6942" s="40" t="s">
        <v>18</v>
      </c>
      <c r="J6942" s="40" t="str">
        <f>HYPERLINK("https://stock.pstatic.net/stock-research/company/57/20251121_company_66024000.pdf","PDF")</f>
        <v>PDF</v>
      </c>
      <c r="K6942" s="12" t="s">
        <v>11787</v>
      </c>
    </row>
    <row r="6943" spans="1:12" x14ac:dyDescent="0.45">
      <c r="A6943" s="12" t="s">
        <v>11777</v>
      </c>
      <c r="B6943" s="12" t="s">
        <v>6922</v>
      </c>
      <c r="C6943" s="13" t="s">
        <v>6923</v>
      </c>
      <c r="D6943" s="13" t="s">
        <v>65</v>
      </c>
      <c r="E6943" s="12" t="s">
        <v>35</v>
      </c>
      <c r="F6943" s="14">
        <v>61000</v>
      </c>
      <c r="G6943" s="14">
        <v>40000</v>
      </c>
      <c r="H6943" s="13" t="s">
        <v>11788</v>
      </c>
      <c r="I6943" s="40" t="s">
        <v>18</v>
      </c>
      <c r="J6943" s="40" t="str">
        <f>HYPERLINK("https://stock.pstatic.net/stock-research/company/57/20251121_company_751744000.pdf","PDF")</f>
        <v>PDF</v>
      </c>
      <c r="K6943" s="12" t="s">
        <v>11789</v>
      </c>
      <c r="L6943" s="20">
        <v>0.52500000000000002</v>
      </c>
    </row>
    <row r="6944" spans="1:12" x14ac:dyDescent="0.45">
      <c r="A6944" s="12" t="s">
        <v>11777</v>
      </c>
      <c r="B6944" s="12" t="s">
        <v>894</v>
      </c>
      <c r="C6944" s="13" t="s">
        <v>26</v>
      </c>
      <c r="D6944" s="13" t="s">
        <v>65</v>
      </c>
      <c r="E6944" s="12" t="s">
        <v>35</v>
      </c>
      <c r="F6944" s="14">
        <v>69000</v>
      </c>
      <c r="G6944" s="14">
        <v>58100</v>
      </c>
      <c r="H6944" s="13" t="s">
        <v>11790</v>
      </c>
      <c r="I6944" s="40" t="s">
        <v>18</v>
      </c>
      <c r="J6944" s="40" t="str">
        <f>HYPERLINK("https://stock.pstatic.net/stock-research/company/57/20251121_company_694346000.pdf","PDF")</f>
        <v>PDF</v>
      </c>
      <c r="K6944" s="12" t="s">
        <v>11791</v>
      </c>
      <c r="L6944" s="20">
        <v>0.1876075731497418</v>
      </c>
    </row>
    <row r="6945" spans="1:12" x14ac:dyDescent="0.45">
      <c r="A6945" s="12" t="s">
        <v>11777</v>
      </c>
      <c r="B6945" s="12" t="s">
        <v>565</v>
      </c>
      <c r="C6945" s="13" t="s">
        <v>566</v>
      </c>
      <c r="D6945" s="13" t="s">
        <v>158</v>
      </c>
      <c r="E6945" s="12" t="s">
        <v>50</v>
      </c>
      <c r="F6945" s="13"/>
      <c r="G6945" s="14">
        <v>28000</v>
      </c>
      <c r="H6945" s="13" t="s">
        <v>11792</v>
      </c>
      <c r="I6945" s="40" t="s">
        <v>18</v>
      </c>
      <c r="J6945" s="40" t="str">
        <f>HYPERLINK("https://stock.pstatic.net/stock-research/company/18/20251121_company_523166000.pdf","PDF")</f>
        <v>PDF</v>
      </c>
      <c r="K6945" s="12" t="s">
        <v>11793</v>
      </c>
    </row>
    <row r="6946" spans="1:12" x14ac:dyDescent="0.45">
      <c r="A6946" s="12" t="s">
        <v>11777</v>
      </c>
      <c r="B6946" s="12" t="s">
        <v>1270</v>
      </c>
      <c r="C6946" s="13" t="s">
        <v>1271</v>
      </c>
      <c r="D6946" s="13" t="s">
        <v>158</v>
      </c>
      <c r="E6946" s="12" t="s">
        <v>35</v>
      </c>
      <c r="F6946" s="14">
        <v>95000</v>
      </c>
      <c r="G6946" s="14">
        <v>79600</v>
      </c>
      <c r="H6946" s="13" t="s">
        <v>11794</v>
      </c>
      <c r="I6946" s="40" t="s">
        <v>18</v>
      </c>
      <c r="J6946" s="40" t="str">
        <f>HYPERLINK("https://stock.pstatic.net/stock-research/company/18/20251121_company_722033000.pdf","PDF")</f>
        <v>PDF</v>
      </c>
      <c r="K6946" s="12" t="s">
        <v>11795</v>
      </c>
      <c r="L6946" s="20">
        <v>0.19346733668341709</v>
      </c>
    </row>
    <row r="6947" spans="1:12" x14ac:dyDescent="0.45">
      <c r="A6947" s="12" t="s">
        <v>11777</v>
      </c>
      <c r="B6947" s="12" t="s">
        <v>1383</v>
      </c>
      <c r="C6947" s="13" t="s">
        <v>1384</v>
      </c>
      <c r="D6947" s="13" t="s">
        <v>179</v>
      </c>
      <c r="E6947" s="12" t="s">
        <v>16</v>
      </c>
      <c r="F6947" s="14">
        <v>35000</v>
      </c>
      <c r="G6947" s="14">
        <v>25500</v>
      </c>
      <c r="H6947" s="13" t="s">
        <v>11796</v>
      </c>
      <c r="I6947" s="40" t="s">
        <v>18</v>
      </c>
      <c r="J6947" s="40" t="str">
        <f>HYPERLINK("https://stock.pstatic.net/stock-research/company/64/20251121_company_871853000.pdf","PDF")</f>
        <v>PDF</v>
      </c>
      <c r="K6947" s="12" t="s">
        <v>11797</v>
      </c>
      <c r="L6947" s="20">
        <v>0.37254901960784309</v>
      </c>
    </row>
    <row r="6948" spans="1:12" x14ac:dyDescent="0.45">
      <c r="A6948" s="12" t="s">
        <v>11777</v>
      </c>
      <c r="B6948" s="12" t="s">
        <v>812</v>
      </c>
      <c r="C6948" s="13" t="s">
        <v>813</v>
      </c>
      <c r="D6948" s="13" t="s">
        <v>23</v>
      </c>
      <c r="E6948" s="12" t="s">
        <v>16</v>
      </c>
      <c r="F6948" s="14">
        <v>95000</v>
      </c>
      <c r="G6948" s="14">
        <v>85100</v>
      </c>
      <c r="H6948" s="13" t="s">
        <v>11798</v>
      </c>
      <c r="I6948" s="40" t="s">
        <v>18</v>
      </c>
      <c r="J6948" s="40" t="str">
        <f>HYPERLINK("https://stock.pstatic.net/stock-research/company/21/20251121_company_269735000.pdf","PDF")</f>
        <v>PDF</v>
      </c>
      <c r="K6948" s="12" t="s">
        <v>11799</v>
      </c>
      <c r="L6948" s="20">
        <v>0.11633372502937719</v>
      </c>
    </row>
    <row r="6949" spans="1:12" x14ac:dyDescent="0.45">
      <c r="A6949" s="12" t="s">
        <v>11777</v>
      </c>
      <c r="B6949" s="12" t="s">
        <v>8189</v>
      </c>
      <c r="C6949" s="13" t="s">
        <v>8190</v>
      </c>
      <c r="D6949" s="13" t="s">
        <v>23</v>
      </c>
      <c r="E6949" s="12" t="s">
        <v>50</v>
      </c>
      <c r="F6949" s="13"/>
      <c r="G6949" s="14">
        <v>46100</v>
      </c>
      <c r="H6949" s="13" t="s">
        <v>11800</v>
      </c>
      <c r="I6949" s="40" t="s">
        <v>18</v>
      </c>
      <c r="J6949" s="40" t="str">
        <f>HYPERLINK("https://stock.pstatic.net/stock-research/company/21/20251121_company_948604000.pdf","PDF")</f>
        <v>PDF</v>
      </c>
      <c r="K6949" s="12" t="s">
        <v>11801</v>
      </c>
    </row>
    <row r="6950" spans="1:12" x14ac:dyDescent="0.45">
      <c r="A6950" s="12" t="s">
        <v>11777</v>
      </c>
      <c r="B6950" s="12" t="s">
        <v>950</v>
      </c>
      <c r="C6950" s="13" t="s">
        <v>951</v>
      </c>
      <c r="D6950" s="13" t="s">
        <v>34</v>
      </c>
      <c r="E6950" s="12" t="s">
        <v>159</v>
      </c>
      <c r="F6950" s="14">
        <v>50000</v>
      </c>
      <c r="G6950" s="14">
        <v>55900</v>
      </c>
      <c r="H6950" s="13" t="s">
        <v>11802</v>
      </c>
      <c r="I6950" s="40" t="s">
        <v>18</v>
      </c>
      <c r="J6950" s="40" t="str">
        <f>HYPERLINK("https://stock.pstatic.net/stock-research/company/61/20251121_company_521994000.pdf","PDF")</f>
        <v>PDF</v>
      </c>
      <c r="K6950" s="12" t="s">
        <v>11803</v>
      </c>
      <c r="L6950" s="20">
        <v>-0.10554561717352411</v>
      </c>
    </row>
    <row r="6951" spans="1:12" x14ac:dyDescent="0.45">
      <c r="A6951" s="12" t="s">
        <v>11777</v>
      </c>
      <c r="B6951" s="12" t="s">
        <v>2105</v>
      </c>
      <c r="C6951" s="13" t="s">
        <v>2106</v>
      </c>
      <c r="D6951" s="13" t="s">
        <v>179</v>
      </c>
      <c r="E6951" s="12" t="s">
        <v>16</v>
      </c>
      <c r="F6951" s="14">
        <v>49000</v>
      </c>
      <c r="G6951" s="14">
        <v>36600</v>
      </c>
      <c r="H6951" s="13" t="s">
        <v>11804</v>
      </c>
      <c r="I6951" s="40" t="s">
        <v>18</v>
      </c>
      <c r="J6951" s="40" t="str">
        <f>HYPERLINK("https://stock.pstatic.net/stock-research/company/64/20251121_company_753582000.pdf","PDF")</f>
        <v>PDF</v>
      </c>
      <c r="K6951" s="12" t="s">
        <v>11805</v>
      </c>
      <c r="L6951" s="20">
        <v>0.33879781420765032</v>
      </c>
    </row>
    <row r="6952" spans="1:12" x14ac:dyDescent="0.45">
      <c r="A6952" s="12" t="s">
        <v>11777</v>
      </c>
      <c r="B6952" s="12" t="s">
        <v>3349</v>
      </c>
      <c r="C6952" s="13" t="s">
        <v>7707</v>
      </c>
      <c r="D6952" s="13" t="s">
        <v>92</v>
      </c>
      <c r="E6952" s="12" t="s">
        <v>6960</v>
      </c>
      <c r="F6952" s="14">
        <v>30000</v>
      </c>
      <c r="G6952" s="14">
        <v>19030</v>
      </c>
      <c r="H6952" s="13" t="s">
        <v>11806</v>
      </c>
      <c r="I6952" s="40" t="s">
        <v>18</v>
      </c>
      <c r="J6952" s="40" t="str">
        <f>HYPERLINK("https://stock.pstatic.net/stock-research/company/63/20251121_company_73646000.pdf","PDF")</f>
        <v>PDF</v>
      </c>
      <c r="K6952" s="12" t="s">
        <v>11807</v>
      </c>
      <c r="L6952" s="20">
        <v>0.5764582238570678</v>
      </c>
    </row>
    <row r="6953" spans="1:12" x14ac:dyDescent="0.45">
      <c r="A6953" s="12" t="s">
        <v>11777</v>
      </c>
      <c r="B6953" s="12" t="s">
        <v>1241</v>
      </c>
      <c r="C6953" s="13" t="s">
        <v>1242</v>
      </c>
      <c r="D6953" s="13" t="s">
        <v>53</v>
      </c>
      <c r="E6953" s="12" t="s">
        <v>16</v>
      </c>
      <c r="F6953" s="14">
        <v>10500</v>
      </c>
      <c r="G6953" s="14">
        <v>8300</v>
      </c>
      <c r="H6953" s="13" t="s">
        <v>11808</v>
      </c>
      <c r="I6953" s="40" t="s">
        <v>18</v>
      </c>
      <c r="J6953" s="40" t="str">
        <f>HYPERLINK("https://stock.pstatic.net/stock-research/company/40/20251121_company_457914000.pdf","PDF")</f>
        <v>PDF</v>
      </c>
      <c r="K6953" s="12" t="s">
        <v>11809</v>
      </c>
      <c r="L6953" s="20">
        <v>0.26506024096385539</v>
      </c>
    </row>
    <row r="6954" spans="1:12" x14ac:dyDescent="0.45">
      <c r="A6954" s="12" t="s">
        <v>11777</v>
      </c>
      <c r="B6954" s="12" t="s">
        <v>5558</v>
      </c>
      <c r="C6954" s="13" t="s">
        <v>11810</v>
      </c>
      <c r="D6954" s="13" t="s">
        <v>124</v>
      </c>
      <c r="E6954" s="12" t="s">
        <v>50</v>
      </c>
      <c r="F6954" s="13"/>
      <c r="G6954" s="13"/>
      <c r="H6954" s="13" t="s">
        <v>11811</v>
      </c>
      <c r="I6954" s="40" t="s">
        <v>18</v>
      </c>
      <c r="J6954" s="40" t="str">
        <f>HYPERLINK("https://stock.pstatic.net/stock-research/company/74/20251125_company_530439000.pdf","PDF")</f>
        <v>PDF</v>
      </c>
      <c r="K6954" s="12" t="s">
        <v>11812</v>
      </c>
    </row>
    <row r="6955" spans="1:12" x14ac:dyDescent="0.45">
      <c r="A6955" s="12" t="s">
        <v>11777</v>
      </c>
      <c r="B6955" s="12" t="s">
        <v>7544</v>
      </c>
      <c r="C6955" s="13" t="s">
        <v>7545</v>
      </c>
      <c r="D6955" s="13" t="s">
        <v>53</v>
      </c>
      <c r="E6955" s="12" t="s">
        <v>16</v>
      </c>
      <c r="F6955" s="14">
        <v>43000</v>
      </c>
      <c r="G6955" s="14">
        <v>32450</v>
      </c>
      <c r="H6955" s="13" t="s">
        <v>11813</v>
      </c>
      <c r="I6955" s="40" t="s">
        <v>18</v>
      </c>
      <c r="J6955" s="40" t="str">
        <f>HYPERLINK("https://stock.pstatic.net/stock-research/company/40/20251121_company_578486000.pdf","PDF")</f>
        <v>PDF</v>
      </c>
      <c r="K6955" s="12" t="s">
        <v>11814</v>
      </c>
      <c r="L6955" s="20">
        <v>0.32511556240369799</v>
      </c>
    </row>
    <row r="6956" spans="1:12" x14ac:dyDescent="0.45">
      <c r="A6956" s="12" t="s">
        <v>11777</v>
      </c>
      <c r="B6956" s="12" t="s">
        <v>11815</v>
      </c>
      <c r="C6956" s="13" t="s">
        <v>11816</v>
      </c>
      <c r="D6956" s="13" t="s">
        <v>124</v>
      </c>
      <c r="E6956" s="12" t="s">
        <v>50</v>
      </c>
      <c r="F6956" s="13"/>
      <c r="G6956" s="14">
        <v>7480</v>
      </c>
      <c r="H6956" s="13" t="s">
        <v>11817</v>
      </c>
      <c r="I6956" s="40" t="s">
        <v>18</v>
      </c>
      <c r="J6956" s="40" t="str">
        <f>HYPERLINK("https://stock.pstatic.net/stock-research/company/74/20251121_company_805222000.pdf","PDF")</f>
        <v>PDF</v>
      </c>
      <c r="K6956" s="12" t="s">
        <v>11818</v>
      </c>
    </row>
    <row r="6957" spans="1:12" x14ac:dyDescent="0.45">
      <c r="A6957" s="12" t="s">
        <v>11777</v>
      </c>
      <c r="B6957" s="12" t="s">
        <v>11819</v>
      </c>
      <c r="C6957" s="13" t="s">
        <v>11820</v>
      </c>
      <c r="D6957" s="13" t="s">
        <v>124</v>
      </c>
      <c r="E6957" s="12" t="s">
        <v>50</v>
      </c>
      <c r="F6957" s="13"/>
      <c r="G6957" s="14">
        <v>3880</v>
      </c>
      <c r="H6957" s="13" t="s">
        <v>11821</v>
      </c>
      <c r="I6957" s="40" t="s">
        <v>18</v>
      </c>
      <c r="J6957" s="40" t="str">
        <f>HYPERLINK("https://stock.pstatic.net/stock-research/company/74/20251121_company_229725000.pdf","PDF")</f>
        <v>PDF</v>
      </c>
      <c r="K6957" s="12" t="s">
        <v>11822</v>
      </c>
    </row>
    <row r="6958" spans="1:12" x14ac:dyDescent="0.45">
      <c r="A6958" s="12" t="s">
        <v>11777</v>
      </c>
      <c r="B6958" s="12" t="s">
        <v>11823</v>
      </c>
      <c r="C6958" s="13" t="s">
        <v>11824</v>
      </c>
      <c r="D6958" s="13" t="s">
        <v>124</v>
      </c>
      <c r="E6958" s="12" t="s">
        <v>50</v>
      </c>
      <c r="F6958" s="13"/>
      <c r="G6958" s="14">
        <v>2380</v>
      </c>
      <c r="H6958" s="13" t="s">
        <v>11825</v>
      </c>
      <c r="I6958" s="40" t="s">
        <v>18</v>
      </c>
      <c r="J6958" s="40" t="str">
        <f>HYPERLINK("https://stock.pstatic.net/stock-research/company/74/20251121_company_539923000.pdf","PDF")</f>
        <v>PDF</v>
      </c>
      <c r="K6958" s="12" t="s">
        <v>11826</v>
      </c>
    </row>
    <row r="6959" spans="1:12" x14ac:dyDescent="0.45">
      <c r="A6959" s="12" t="s">
        <v>11777</v>
      </c>
      <c r="B6959" s="12" t="s">
        <v>11827</v>
      </c>
      <c r="C6959" s="13" t="s">
        <v>11828</v>
      </c>
      <c r="D6959" s="13" t="s">
        <v>124</v>
      </c>
      <c r="E6959" s="12" t="s">
        <v>50</v>
      </c>
      <c r="F6959" s="13"/>
      <c r="G6959" s="14">
        <v>5710</v>
      </c>
      <c r="H6959" s="13" t="s">
        <v>11829</v>
      </c>
      <c r="I6959" s="40" t="s">
        <v>18</v>
      </c>
      <c r="J6959" s="40" t="str">
        <f>HYPERLINK("https://stock.pstatic.net/stock-research/company/74/20251121_company_737499000.pdf","PDF")</f>
        <v>PDF</v>
      </c>
      <c r="K6959" s="12" t="s">
        <v>11830</v>
      </c>
    </row>
    <row r="6960" spans="1:12" x14ac:dyDescent="0.45">
      <c r="A6960" s="12" t="s">
        <v>11777</v>
      </c>
      <c r="B6960" s="12" t="s">
        <v>10715</v>
      </c>
      <c r="C6960" s="13" t="s">
        <v>10716</v>
      </c>
      <c r="D6960" s="13" t="s">
        <v>124</v>
      </c>
      <c r="E6960" s="12" t="s">
        <v>50</v>
      </c>
      <c r="F6960" s="13"/>
      <c r="G6960" s="14">
        <v>3795</v>
      </c>
      <c r="H6960" s="13" t="s">
        <v>11831</v>
      </c>
      <c r="I6960" s="40" t="s">
        <v>18</v>
      </c>
      <c r="J6960" s="40" t="str">
        <f>HYPERLINK("https://stock.pstatic.net/stock-research/company/74/20251121_company_59907000.pdf","PDF")</f>
        <v>PDF</v>
      </c>
      <c r="K6960" s="12" t="s">
        <v>11832</v>
      </c>
    </row>
    <row r="6961" spans="1:12" x14ac:dyDescent="0.45">
      <c r="A6961" s="12" t="s">
        <v>11777</v>
      </c>
      <c r="B6961" s="12" t="s">
        <v>11833</v>
      </c>
      <c r="C6961" s="13" t="s">
        <v>11834</v>
      </c>
      <c r="D6961" s="13" t="s">
        <v>202</v>
      </c>
      <c r="E6961" s="12" t="s">
        <v>50</v>
      </c>
      <c r="F6961" s="13"/>
      <c r="G6961" s="13"/>
      <c r="H6961" s="13" t="s">
        <v>11835</v>
      </c>
      <c r="I6961" s="40" t="s">
        <v>18</v>
      </c>
      <c r="J6961" s="40" t="str">
        <f>HYPERLINK("https://stock.pstatic.net/stock-research/company/69/20251121_company_182323000.pdf","PDF")</f>
        <v>PDF</v>
      </c>
      <c r="K6961" s="12" t="s">
        <v>11836</v>
      </c>
    </row>
    <row r="6962" spans="1:12" x14ac:dyDescent="0.45">
      <c r="A6962" s="12" t="s">
        <v>11777</v>
      </c>
      <c r="B6962" s="12" t="s">
        <v>11837</v>
      </c>
      <c r="C6962" s="13" t="s">
        <v>11838</v>
      </c>
      <c r="D6962" s="13" t="s">
        <v>11154</v>
      </c>
      <c r="E6962" s="12" t="s">
        <v>50</v>
      </c>
      <c r="F6962" s="13"/>
      <c r="G6962" s="13"/>
      <c r="H6962" s="13" t="s">
        <v>11839</v>
      </c>
      <c r="I6962" s="40" t="s">
        <v>18</v>
      </c>
      <c r="J6962" s="40" t="str">
        <f>HYPERLINK("https://stock.pstatic.net/stock-research/company/79/20251121_company_696041000.pdf","PDF")</f>
        <v>PDF</v>
      </c>
      <c r="K6962" s="12" t="s">
        <v>11840</v>
      </c>
    </row>
    <row r="6963" spans="1:12" x14ac:dyDescent="0.45">
      <c r="A6963" s="12" t="s">
        <v>11777</v>
      </c>
      <c r="B6963" s="12" t="s">
        <v>11841</v>
      </c>
      <c r="C6963" s="13" t="s">
        <v>11842</v>
      </c>
      <c r="D6963" s="13" t="s">
        <v>11154</v>
      </c>
      <c r="E6963" s="12" t="s">
        <v>50</v>
      </c>
      <c r="F6963" s="13"/>
      <c r="G6963" s="13"/>
      <c r="H6963" s="13" t="s">
        <v>11843</v>
      </c>
      <c r="I6963" s="40" t="s">
        <v>18</v>
      </c>
      <c r="J6963" s="40" t="str">
        <f>HYPERLINK("https://stock.pstatic.net/stock-research/company/79/20251121_company_339366000.pdf","PDF")</f>
        <v>PDF</v>
      </c>
      <c r="K6963" s="12" t="s">
        <v>11844</v>
      </c>
    </row>
    <row r="6964" spans="1:12" x14ac:dyDescent="0.45">
      <c r="A6964" s="12" t="s">
        <v>11777</v>
      </c>
      <c r="B6964" s="12" t="s">
        <v>11845</v>
      </c>
      <c r="C6964" s="13" t="s">
        <v>11846</v>
      </c>
      <c r="D6964" s="13" t="s">
        <v>207</v>
      </c>
      <c r="E6964" s="12" t="s">
        <v>50</v>
      </c>
      <c r="F6964" s="13"/>
      <c r="G6964" s="13"/>
      <c r="H6964" s="13" t="s">
        <v>11847</v>
      </c>
      <c r="I6964" s="40" t="s">
        <v>18</v>
      </c>
      <c r="J6964" s="40" t="str">
        <f>HYPERLINK("https://stock.pstatic.net/stock-research/company/75/20251121_company_52689000.pdf","PDF")</f>
        <v>PDF</v>
      </c>
      <c r="K6964" s="12" t="s">
        <v>11848</v>
      </c>
    </row>
    <row r="6965" spans="1:12" x14ac:dyDescent="0.45">
      <c r="A6965" s="12" t="s">
        <v>11777</v>
      </c>
      <c r="B6965" s="12" t="s">
        <v>11849</v>
      </c>
      <c r="C6965" s="13" t="s">
        <v>11850</v>
      </c>
      <c r="D6965" s="13" t="s">
        <v>207</v>
      </c>
      <c r="E6965" s="12" t="s">
        <v>50</v>
      </c>
      <c r="F6965" s="13"/>
      <c r="G6965" s="13"/>
      <c r="H6965" s="13" t="s">
        <v>11851</v>
      </c>
      <c r="I6965" s="40" t="s">
        <v>18</v>
      </c>
      <c r="J6965" s="40" t="str">
        <f>HYPERLINK("https://stock.pstatic.net/stock-research/company/75/20251121_company_36531000.pdf","PDF")</f>
        <v>PDF</v>
      </c>
      <c r="K6965" s="12" t="s">
        <v>11852</v>
      </c>
    </row>
    <row r="6966" spans="1:12" x14ac:dyDescent="0.45">
      <c r="A6966" s="12" t="s">
        <v>11853</v>
      </c>
      <c r="B6966" s="12" t="s">
        <v>649</v>
      </c>
      <c r="C6966" s="13" t="s">
        <v>650</v>
      </c>
      <c r="D6966" s="13" t="s">
        <v>276</v>
      </c>
      <c r="E6966" s="12" t="s">
        <v>16</v>
      </c>
      <c r="F6966" s="14">
        <v>5200</v>
      </c>
      <c r="G6966" s="14">
        <v>3255</v>
      </c>
      <c r="H6966" s="13" t="s">
        <v>11854</v>
      </c>
      <c r="I6966" s="40" t="s">
        <v>18</v>
      </c>
      <c r="J6966" s="40" t="str">
        <f>HYPERLINK("https://stock.pstatic.net/stock-research/company/66/20251120_company_693156000.pdf","PDF")</f>
        <v>PDF</v>
      </c>
      <c r="K6966" s="12" t="s">
        <v>11855</v>
      </c>
      <c r="L6966" s="20">
        <v>0.59754224270353307</v>
      </c>
    </row>
    <row r="6967" spans="1:12" x14ac:dyDescent="0.45">
      <c r="A6967" s="12" t="s">
        <v>11853</v>
      </c>
      <c r="B6967" s="12" t="s">
        <v>860</v>
      </c>
      <c r="C6967" s="13" t="s">
        <v>861</v>
      </c>
      <c r="D6967" s="13" t="s">
        <v>276</v>
      </c>
      <c r="E6967" s="12" t="s">
        <v>16</v>
      </c>
      <c r="F6967" s="14">
        <v>58000</v>
      </c>
      <c r="G6967" s="14">
        <v>50700</v>
      </c>
      <c r="H6967" s="13" t="s">
        <v>11856</v>
      </c>
      <c r="I6967" s="40" t="s">
        <v>18</v>
      </c>
      <c r="J6967" s="40" t="str">
        <f>HYPERLINK("https://stock.pstatic.net/stock-research/company/66/20251120_company_674722000.pdf","PDF")</f>
        <v>PDF</v>
      </c>
      <c r="K6967" s="12" t="s">
        <v>11857</v>
      </c>
      <c r="L6967" s="20">
        <v>0.14398422090729779</v>
      </c>
    </row>
    <row r="6968" spans="1:12" x14ac:dyDescent="0.45">
      <c r="A6968" s="12" t="s">
        <v>11853</v>
      </c>
      <c r="B6968" s="12" t="s">
        <v>1128</v>
      </c>
      <c r="C6968" s="13" t="s">
        <v>1129</v>
      </c>
      <c r="D6968" s="13" t="s">
        <v>276</v>
      </c>
      <c r="E6968" s="12" t="s">
        <v>16</v>
      </c>
      <c r="F6968" s="14">
        <v>154000</v>
      </c>
      <c r="G6968" s="14">
        <v>127600</v>
      </c>
      <c r="H6968" s="13" t="s">
        <v>11858</v>
      </c>
      <c r="I6968" s="40" t="s">
        <v>18</v>
      </c>
      <c r="J6968" s="40" t="str">
        <f>HYPERLINK("https://stock.pstatic.net/stock-research/company/66/20251120_company_106268000.pdf","PDF")</f>
        <v>PDF</v>
      </c>
      <c r="K6968" s="12" t="s">
        <v>11859</v>
      </c>
      <c r="L6968" s="20">
        <v>0.2068965517241379</v>
      </c>
    </row>
    <row r="6969" spans="1:12" x14ac:dyDescent="0.45">
      <c r="A6969" s="12" t="s">
        <v>11853</v>
      </c>
      <c r="B6969" s="12" t="s">
        <v>356</v>
      </c>
      <c r="C6969" s="13" t="s">
        <v>357</v>
      </c>
      <c r="D6969" s="13" t="s">
        <v>60</v>
      </c>
      <c r="E6969" s="12" t="s">
        <v>35</v>
      </c>
      <c r="F6969" s="14">
        <v>90000</v>
      </c>
      <c r="G6969" s="14">
        <v>70300</v>
      </c>
      <c r="H6969" s="13" t="s">
        <v>11860</v>
      </c>
      <c r="I6969" s="40" t="s">
        <v>18</v>
      </c>
      <c r="J6969" s="40" t="str">
        <f>HYPERLINK("https://stock.pstatic.net/stock-research/company/62/20251120_company_675976000.pdf","PDF")</f>
        <v>PDF</v>
      </c>
      <c r="K6969" s="12" t="s">
        <v>11861</v>
      </c>
      <c r="L6969" s="20">
        <v>0.2802275960170697</v>
      </c>
    </row>
    <row r="6970" spans="1:12" x14ac:dyDescent="0.45">
      <c r="A6970" s="12" t="s">
        <v>11853</v>
      </c>
      <c r="B6970" s="12" t="s">
        <v>1686</v>
      </c>
      <c r="C6970" s="13" t="s">
        <v>1687</v>
      </c>
      <c r="D6970" s="13" t="s">
        <v>60</v>
      </c>
      <c r="E6970" s="12" t="s">
        <v>50</v>
      </c>
      <c r="F6970" s="13"/>
      <c r="G6970" s="13"/>
      <c r="H6970" s="13" t="s">
        <v>11862</v>
      </c>
      <c r="I6970" s="40" t="s">
        <v>18</v>
      </c>
      <c r="J6970" s="40" t="str">
        <f>HYPERLINK("https://stock.pstatic.net/stock-research/company/1/20251120_company_944141000.pdf","PDF")</f>
        <v>PDF</v>
      </c>
      <c r="K6970" s="12" t="s">
        <v>11863</v>
      </c>
    </row>
    <row r="6971" spans="1:12" x14ac:dyDescent="0.45">
      <c r="A6971" s="12" t="s">
        <v>11853</v>
      </c>
      <c r="B6971" s="12" t="s">
        <v>102</v>
      </c>
      <c r="C6971" s="13" t="s">
        <v>103</v>
      </c>
      <c r="D6971" s="13" t="s">
        <v>60</v>
      </c>
      <c r="E6971" s="12" t="s">
        <v>35</v>
      </c>
      <c r="F6971" s="14">
        <v>20000</v>
      </c>
      <c r="G6971" s="14">
        <v>15880</v>
      </c>
      <c r="H6971" s="13" t="s">
        <v>11864</v>
      </c>
      <c r="I6971" s="40" t="s">
        <v>18</v>
      </c>
      <c r="J6971" s="40" t="str">
        <f>HYPERLINK("https://stock.pstatic.net/stock-research/company/62/20251120_company_334917000.pdf","PDF")</f>
        <v>PDF</v>
      </c>
      <c r="K6971" s="12" t="s">
        <v>11865</v>
      </c>
      <c r="L6971" s="20">
        <v>0.25944584382871538</v>
      </c>
    </row>
    <row r="6972" spans="1:12" x14ac:dyDescent="0.45">
      <c r="A6972" s="12" t="s">
        <v>11853</v>
      </c>
      <c r="B6972" s="12" t="s">
        <v>3548</v>
      </c>
      <c r="C6972" s="13" t="s">
        <v>3549</v>
      </c>
      <c r="D6972" s="13" t="s">
        <v>60</v>
      </c>
      <c r="E6972" s="12" t="s">
        <v>35</v>
      </c>
      <c r="F6972" s="14">
        <v>66000</v>
      </c>
      <c r="G6972" s="14">
        <v>55000</v>
      </c>
      <c r="H6972" s="13" t="s">
        <v>11866</v>
      </c>
      <c r="I6972" s="40" t="s">
        <v>18</v>
      </c>
      <c r="J6972" s="40" t="str">
        <f>HYPERLINK("https://stock.pstatic.net/stock-research/company/62/20251120_company_276914000.pdf","PDF")</f>
        <v>PDF</v>
      </c>
      <c r="K6972" s="12" t="s">
        <v>11867</v>
      </c>
      <c r="L6972" s="20">
        <v>0.2</v>
      </c>
    </row>
    <row r="6973" spans="1:12" x14ac:dyDescent="0.45">
      <c r="A6973" s="12" t="s">
        <v>11853</v>
      </c>
      <c r="B6973" s="12" t="s">
        <v>1162</v>
      </c>
      <c r="C6973" s="13" t="s">
        <v>1163</v>
      </c>
      <c r="D6973" s="13" t="s">
        <v>65</v>
      </c>
      <c r="E6973" s="12" t="s">
        <v>35</v>
      </c>
      <c r="F6973" s="14">
        <v>210000</v>
      </c>
      <c r="G6973" s="14">
        <v>174800</v>
      </c>
      <c r="H6973" s="13" t="s">
        <v>11868</v>
      </c>
      <c r="I6973" s="40" t="s">
        <v>18</v>
      </c>
      <c r="J6973" s="40" t="str">
        <f>HYPERLINK("https://stock.pstatic.net/stock-research/company/1/20251120_company_240113000.pdf","PDF")</f>
        <v>PDF</v>
      </c>
      <c r="K6973" s="12" t="s">
        <v>11869</v>
      </c>
      <c r="L6973" s="20">
        <v>0.2013729977116705</v>
      </c>
    </row>
    <row r="6974" spans="1:12" x14ac:dyDescent="0.45">
      <c r="A6974" s="12" t="s">
        <v>11853</v>
      </c>
      <c r="B6974" s="12" t="s">
        <v>2712</v>
      </c>
      <c r="C6974" s="13" t="s">
        <v>2713</v>
      </c>
      <c r="D6974" s="13" t="s">
        <v>65</v>
      </c>
      <c r="E6974" s="12" t="s">
        <v>35</v>
      </c>
      <c r="F6974" s="14">
        <v>30000</v>
      </c>
      <c r="G6974" s="14">
        <v>16180</v>
      </c>
      <c r="H6974" s="13" t="s">
        <v>11870</v>
      </c>
      <c r="I6974" s="40" t="s">
        <v>18</v>
      </c>
      <c r="J6974" s="40" t="str">
        <f>HYPERLINK("https://stock.pstatic.net/stock-research/company/57/20251120_company_297902000.pdf","PDF")</f>
        <v>PDF</v>
      </c>
      <c r="K6974" s="12" t="s">
        <v>11871</v>
      </c>
      <c r="L6974" s="20">
        <v>0.85414091470951792</v>
      </c>
    </row>
    <row r="6975" spans="1:12" x14ac:dyDescent="0.45">
      <c r="A6975" s="12" t="s">
        <v>11853</v>
      </c>
      <c r="B6975" s="12" t="s">
        <v>732</v>
      </c>
      <c r="C6975" s="13" t="s">
        <v>733</v>
      </c>
      <c r="D6975" s="13" t="s">
        <v>65</v>
      </c>
      <c r="E6975" s="12" t="s">
        <v>35</v>
      </c>
      <c r="F6975" s="14">
        <v>160000</v>
      </c>
      <c r="G6975" s="14">
        <v>125600</v>
      </c>
      <c r="H6975" s="13" t="s">
        <v>11872</v>
      </c>
      <c r="I6975" s="40" t="s">
        <v>18</v>
      </c>
      <c r="J6975" s="40" t="str">
        <f>HYPERLINK("https://stock.pstatic.net/stock-research/company/1/20251120_company_824902000.pdf","PDF")</f>
        <v>PDF</v>
      </c>
      <c r="K6975" s="12" t="s">
        <v>11873</v>
      </c>
      <c r="L6975" s="20">
        <v>0.27388535031847128</v>
      </c>
    </row>
    <row r="6976" spans="1:12" x14ac:dyDescent="0.45">
      <c r="A6976" s="12" t="s">
        <v>11853</v>
      </c>
      <c r="B6976" s="12" t="s">
        <v>268</v>
      </c>
      <c r="C6976" s="13" t="s">
        <v>269</v>
      </c>
      <c r="D6976" s="13" t="s">
        <v>65</v>
      </c>
      <c r="E6976" s="12" t="s">
        <v>35</v>
      </c>
      <c r="F6976" s="14">
        <v>640000</v>
      </c>
      <c r="G6976" s="14">
        <v>544000</v>
      </c>
      <c r="H6976" s="13" t="s">
        <v>11874</v>
      </c>
      <c r="I6976" s="40" t="s">
        <v>18</v>
      </c>
      <c r="J6976" s="40" t="str">
        <f>HYPERLINK("https://stock.pstatic.net/stock-research/company/57/20251120_company_467141000.pdf","PDF")</f>
        <v>PDF</v>
      </c>
      <c r="K6976" s="12" t="s">
        <v>11875</v>
      </c>
      <c r="L6976" s="20">
        <v>0.1764705882352941</v>
      </c>
    </row>
    <row r="6977" spans="1:12" x14ac:dyDescent="0.45">
      <c r="A6977" s="12" t="s">
        <v>11853</v>
      </c>
      <c r="B6977" s="12" t="s">
        <v>1686</v>
      </c>
      <c r="C6977" s="13" t="s">
        <v>1687</v>
      </c>
      <c r="D6977" s="13" t="s">
        <v>57</v>
      </c>
      <c r="E6977" s="12" t="s">
        <v>35</v>
      </c>
      <c r="F6977" s="14">
        <v>1800000</v>
      </c>
      <c r="G6977" s="14">
        <v>1375000</v>
      </c>
      <c r="H6977" s="13" t="s">
        <v>11876</v>
      </c>
      <c r="I6977" s="40" t="s">
        <v>18</v>
      </c>
      <c r="J6977" s="40" t="str">
        <f>HYPERLINK("https://stock.pstatic.net/stock-research/company/16/20251120_company_462976000.pdf","PDF")</f>
        <v>PDF</v>
      </c>
      <c r="K6977" s="12" t="s">
        <v>11877</v>
      </c>
      <c r="L6977" s="20">
        <v>0.30909090909090908</v>
      </c>
    </row>
    <row r="6978" spans="1:12" x14ac:dyDescent="0.45">
      <c r="A6978" s="12" t="s">
        <v>11853</v>
      </c>
      <c r="B6978" s="12" t="s">
        <v>1237</v>
      </c>
      <c r="C6978" s="13" t="s">
        <v>1238</v>
      </c>
      <c r="D6978" s="13" t="s">
        <v>15</v>
      </c>
      <c r="E6978" s="12" t="s">
        <v>385</v>
      </c>
      <c r="F6978" s="14">
        <v>5500</v>
      </c>
      <c r="G6978" s="14">
        <v>5540</v>
      </c>
      <c r="H6978" s="13" t="s">
        <v>11878</v>
      </c>
      <c r="I6978" s="40" t="s">
        <v>18</v>
      </c>
      <c r="J6978" s="40" t="str">
        <f>HYPERLINK("https://stock.pstatic.net/stock-research/company/29/20251120_company_677326000.pdf","PDF")</f>
        <v>PDF</v>
      </c>
      <c r="K6978" s="12" t="s">
        <v>11879</v>
      </c>
      <c r="L6978" s="20">
        <v>-7.2202166064981952E-3</v>
      </c>
    </row>
    <row r="6979" spans="1:12" x14ac:dyDescent="0.45">
      <c r="A6979" s="12" t="s">
        <v>11853</v>
      </c>
      <c r="B6979" s="12" t="s">
        <v>1487</v>
      </c>
      <c r="C6979" s="13" t="s">
        <v>1488</v>
      </c>
      <c r="D6979" s="13" t="s">
        <v>92</v>
      </c>
      <c r="E6979" s="12" t="s">
        <v>35</v>
      </c>
      <c r="F6979" s="14">
        <v>10000</v>
      </c>
      <c r="G6979" s="14">
        <v>4910</v>
      </c>
      <c r="H6979" s="13" t="s">
        <v>11880</v>
      </c>
      <c r="I6979" s="40" t="s">
        <v>18</v>
      </c>
      <c r="J6979" s="40" t="str">
        <f>HYPERLINK("https://stock.pstatic.net/stock-research/company/63/20251120_company_706988000.pdf","PDF")</f>
        <v>PDF</v>
      </c>
      <c r="K6979" s="12" t="s">
        <v>11881</v>
      </c>
      <c r="L6979" s="20">
        <v>1.036659877800407</v>
      </c>
    </row>
    <row r="6980" spans="1:12" x14ac:dyDescent="0.45">
      <c r="A6980" s="12" t="s">
        <v>11853</v>
      </c>
      <c r="B6980" s="12" t="s">
        <v>414</v>
      </c>
      <c r="C6980" s="13" t="s">
        <v>415</v>
      </c>
      <c r="D6980" s="13" t="s">
        <v>92</v>
      </c>
      <c r="E6980" s="12" t="s">
        <v>50</v>
      </c>
      <c r="F6980" s="13"/>
      <c r="G6980" s="14">
        <v>17970</v>
      </c>
      <c r="H6980" s="13" t="s">
        <v>11882</v>
      </c>
      <c r="I6980" s="40" t="s">
        <v>18</v>
      </c>
      <c r="J6980" s="40" t="str">
        <f>HYPERLINK("https://stock.pstatic.net/stock-research/company/63/20251120_company_463139000.pdf","PDF")</f>
        <v>PDF</v>
      </c>
      <c r="K6980" s="12" t="s">
        <v>11883</v>
      </c>
    </row>
    <row r="6981" spans="1:12" x14ac:dyDescent="0.45">
      <c r="A6981" s="12" t="s">
        <v>11853</v>
      </c>
      <c r="B6981" s="12" t="s">
        <v>5495</v>
      </c>
      <c r="C6981" s="13" t="s">
        <v>5496</v>
      </c>
      <c r="D6981" s="13" t="s">
        <v>92</v>
      </c>
      <c r="E6981" s="12" t="s">
        <v>50</v>
      </c>
      <c r="F6981" s="13"/>
      <c r="G6981" s="14">
        <v>8080</v>
      </c>
      <c r="H6981" s="13" t="s">
        <v>11884</v>
      </c>
      <c r="I6981" s="40" t="s">
        <v>18</v>
      </c>
      <c r="J6981" s="40" t="str">
        <f>HYPERLINK("https://stock.pstatic.net/stock-research/company/1/20251120_company_354773000.pdf","PDF")</f>
        <v>PDF</v>
      </c>
      <c r="K6981" s="12" t="s">
        <v>11885</v>
      </c>
    </row>
    <row r="6982" spans="1:12" x14ac:dyDescent="0.45">
      <c r="A6982" s="12" t="s">
        <v>11853</v>
      </c>
      <c r="B6982" s="12" t="s">
        <v>706</v>
      </c>
      <c r="C6982" s="13" t="s">
        <v>707</v>
      </c>
      <c r="D6982" s="13" t="s">
        <v>53</v>
      </c>
      <c r="E6982" s="12" t="s">
        <v>16</v>
      </c>
      <c r="F6982" s="14">
        <v>10000</v>
      </c>
      <c r="G6982" s="14">
        <v>7820</v>
      </c>
      <c r="H6982" s="13" t="s">
        <v>11886</v>
      </c>
      <c r="I6982" s="40" t="s">
        <v>18</v>
      </c>
      <c r="J6982" s="40" t="str">
        <f>HYPERLINK("https://stock.pstatic.net/stock-research/company/40/20251120_company_639739000.pdf","PDF")</f>
        <v>PDF</v>
      </c>
      <c r="K6982" s="12" t="s">
        <v>11887</v>
      </c>
      <c r="L6982" s="20">
        <v>0.27877237851662412</v>
      </c>
    </row>
    <row r="6983" spans="1:12" x14ac:dyDescent="0.45">
      <c r="A6983" s="12" t="s">
        <v>11853</v>
      </c>
      <c r="B6983" s="12" t="s">
        <v>1556</v>
      </c>
      <c r="C6983" s="13" t="s">
        <v>1557</v>
      </c>
      <c r="D6983" s="13" t="s">
        <v>44</v>
      </c>
      <c r="E6983" s="12" t="s">
        <v>50</v>
      </c>
      <c r="F6983" s="13"/>
      <c r="G6983" s="14">
        <v>17570</v>
      </c>
      <c r="H6983" s="13" t="s">
        <v>11888</v>
      </c>
      <c r="I6983" s="40" t="s">
        <v>18</v>
      </c>
      <c r="J6983" s="40" t="str">
        <f>HYPERLINK("https://stock.pstatic.net/stock-research/company/39/20251120_company_623728000.pdf","PDF")</f>
        <v>PDF</v>
      </c>
      <c r="K6983" s="12" t="s">
        <v>11889</v>
      </c>
    </row>
    <row r="6984" spans="1:12" x14ac:dyDescent="0.45">
      <c r="A6984" s="12" t="s">
        <v>11853</v>
      </c>
      <c r="B6984" s="12" t="s">
        <v>255</v>
      </c>
      <c r="C6984" s="13" t="s">
        <v>256</v>
      </c>
      <c r="D6984" s="13" t="s">
        <v>44</v>
      </c>
      <c r="E6984" s="12" t="s">
        <v>35</v>
      </c>
      <c r="F6984" s="14">
        <v>24000</v>
      </c>
      <c r="G6984" s="14">
        <v>19830</v>
      </c>
      <c r="H6984" s="13" t="s">
        <v>11890</v>
      </c>
      <c r="I6984" s="40" t="s">
        <v>18</v>
      </c>
      <c r="J6984" s="40" t="str">
        <f>HYPERLINK("https://stock.pstatic.net/stock-research/company/1/20251120_company_321485000.pdf","PDF")</f>
        <v>PDF</v>
      </c>
      <c r="K6984" s="12" t="s">
        <v>11891</v>
      </c>
      <c r="L6984" s="20">
        <v>0.2102874432677761</v>
      </c>
    </row>
    <row r="6985" spans="1:12" x14ac:dyDescent="0.45">
      <c r="A6985" s="12" t="s">
        <v>11853</v>
      </c>
      <c r="B6985" s="12" t="s">
        <v>6575</v>
      </c>
      <c r="C6985" s="13" t="s">
        <v>6576</v>
      </c>
      <c r="D6985" s="13" t="s">
        <v>124</v>
      </c>
      <c r="E6985" s="12" t="s">
        <v>50</v>
      </c>
      <c r="F6985" s="13"/>
      <c r="G6985" s="13"/>
      <c r="H6985" s="13" t="s">
        <v>11892</v>
      </c>
      <c r="I6985" s="40" t="s">
        <v>18</v>
      </c>
      <c r="J6985" s="40" t="str">
        <f>HYPERLINK("https://stock.pstatic.net/stock-research/company/74/20251120_company_474124000.pdf","PDF")</f>
        <v>PDF</v>
      </c>
      <c r="K6985" s="12" t="s">
        <v>11893</v>
      </c>
    </row>
    <row r="6986" spans="1:12" x14ac:dyDescent="0.45">
      <c r="A6986" s="12" t="s">
        <v>11853</v>
      </c>
      <c r="B6986" s="12" t="s">
        <v>11894</v>
      </c>
      <c r="C6986" s="13" t="s">
        <v>11895</v>
      </c>
      <c r="D6986" s="13" t="s">
        <v>124</v>
      </c>
      <c r="E6986" s="12" t="s">
        <v>50</v>
      </c>
      <c r="F6986" s="13"/>
      <c r="G6986" s="13"/>
      <c r="H6986" s="13" t="s">
        <v>11896</v>
      </c>
      <c r="I6986" s="40" t="s">
        <v>18</v>
      </c>
      <c r="J6986" s="40" t="str">
        <f>HYPERLINK("https://stock.pstatic.net/stock-research/company/74/20251120_company_521373000.pdf","PDF")</f>
        <v>PDF</v>
      </c>
      <c r="K6986" s="12" t="s">
        <v>11897</v>
      </c>
    </row>
    <row r="6987" spans="1:12" x14ac:dyDescent="0.45">
      <c r="A6987" s="12" t="s">
        <v>11853</v>
      </c>
      <c r="B6987" s="12" t="s">
        <v>1918</v>
      </c>
      <c r="C6987" s="13" t="s">
        <v>1919</v>
      </c>
      <c r="D6987" s="13" t="s">
        <v>53</v>
      </c>
      <c r="E6987" s="12" t="s">
        <v>16</v>
      </c>
      <c r="F6987" s="14">
        <v>6250</v>
      </c>
      <c r="G6987" s="14">
        <v>4335</v>
      </c>
      <c r="H6987" s="13" t="s">
        <v>11898</v>
      </c>
      <c r="I6987" s="40" t="s">
        <v>18</v>
      </c>
      <c r="J6987" s="40" t="str">
        <f>HYPERLINK("https://stock.pstatic.net/stock-research/company/40/20251120_company_582943000.pdf","PDF")</f>
        <v>PDF</v>
      </c>
      <c r="K6987" s="12" t="s">
        <v>11899</v>
      </c>
      <c r="L6987" s="20">
        <v>0.4417531718569781</v>
      </c>
    </row>
    <row r="6988" spans="1:12" x14ac:dyDescent="0.45">
      <c r="A6988" s="12" t="s">
        <v>11900</v>
      </c>
      <c r="B6988" s="12" t="s">
        <v>1300</v>
      </c>
      <c r="C6988" s="13" t="s">
        <v>1301</v>
      </c>
      <c r="D6988" s="13" t="s">
        <v>57</v>
      </c>
      <c r="E6988" s="12" t="s">
        <v>35</v>
      </c>
      <c r="F6988" s="14">
        <v>146000</v>
      </c>
      <c r="G6988" s="14">
        <v>121300</v>
      </c>
      <c r="H6988" s="13" t="s">
        <v>11901</v>
      </c>
      <c r="I6988" s="40" t="s">
        <v>18</v>
      </c>
      <c r="J6988" s="40" t="str">
        <f>HYPERLINK("https://stock.pstatic.net/stock-research/company/16/20251119_company_630716000.pdf","PDF")</f>
        <v>PDF</v>
      </c>
      <c r="K6988" s="12" t="s">
        <v>11902</v>
      </c>
      <c r="L6988" s="20">
        <v>0.2036273701566364</v>
      </c>
    </row>
    <row r="6989" spans="1:12" x14ac:dyDescent="0.45">
      <c r="A6989" s="12" t="s">
        <v>11900</v>
      </c>
      <c r="B6989" s="12" t="s">
        <v>1328</v>
      </c>
      <c r="C6989" s="13" t="s">
        <v>1329</v>
      </c>
      <c r="D6989" s="13" t="s">
        <v>57</v>
      </c>
      <c r="E6989" s="12" t="s">
        <v>159</v>
      </c>
      <c r="F6989" s="14">
        <v>12500</v>
      </c>
      <c r="G6989" s="14">
        <v>11250</v>
      </c>
      <c r="H6989" s="13" t="s">
        <v>11903</v>
      </c>
      <c r="I6989" s="40" t="s">
        <v>18</v>
      </c>
      <c r="J6989" s="40" t="str">
        <f>HYPERLINK("https://stock.pstatic.net/stock-research/company/16/20251119_company_689958000.pdf","PDF")</f>
        <v>PDF</v>
      </c>
      <c r="K6989" s="12" t="s">
        <v>11904</v>
      </c>
      <c r="L6989" s="20">
        <v>0.1111111111111111</v>
      </c>
    </row>
    <row r="6990" spans="1:12" x14ac:dyDescent="0.45">
      <c r="A6990" s="12" t="s">
        <v>11900</v>
      </c>
      <c r="B6990" s="12" t="s">
        <v>32</v>
      </c>
      <c r="C6990" s="13" t="s">
        <v>33</v>
      </c>
      <c r="D6990" s="13" t="s">
        <v>60</v>
      </c>
      <c r="E6990" s="12" t="s">
        <v>35</v>
      </c>
      <c r="F6990" s="14">
        <v>310000</v>
      </c>
      <c r="G6990" s="14">
        <v>204000</v>
      </c>
      <c r="H6990" s="13" t="s">
        <v>11905</v>
      </c>
      <c r="I6990" s="40" t="s">
        <v>18</v>
      </c>
      <c r="J6990" s="40" t="str">
        <f>HYPERLINK("https://stock.pstatic.net/stock-research/company/34/20251119_company_40461000.pdf","PDF")</f>
        <v>PDF</v>
      </c>
      <c r="K6990" s="12" t="s">
        <v>11906</v>
      </c>
      <c r="L6990" s="20">
        <v>0.51960784313725494</v>
      </c>
    </row>
    <row r="6991" spans="1:12" x14ac:dyDescent="0.45">
      <c r="A6991" s="12" t="s">
        <v>11900</v>
      </c>
      <c r="B6991" s="12" t="s">
        <v>11907</v>
      </c>
      <c r="C6991" s="13" t="s">
        <v>11908</v>
      </c>
      <c r="D6991" s="13" t="s">
        <v>65</v>
      </c>
      <c r="E6991" s="12" t="s">
        <v>50</v>
      </c>
      <c r="F6991" s="13"/>
      <c r="G6991" s="14">
        <v>11840</v>
      </c>
      <c r="H6991" s="13" t="s">
        <v>11909</v>
      </c>
      <c r="I6991" s="40" t="s">
        <v>18</v>
      </c>
      <c r="J6991" s="40" t="str">
        <f>HYPERLINK("https://stock.pstatic.net/stock-research/company/57/20251119_company_292257000.pdf","PDF")</f>
        <v>PDF</v>
      </c>
      <c r="K6991" s="12" t="s">
        <v>11910</v>
      </c>
    </row>
    <row r="6992" spans="1:12" x14ac:dyDescent="0.45">
      <c r="A6992" s="12" t="s">
        <v>11900</v>
      </c>
      <c r="B6992" s="12" t="s">
        <v>1344</v>
      </c>
      <c r="C6992" s="13" t="s">
        <v>1345</v>
      </c>
      <c r="D6992" s="13" t="s">
        <v>158</v>
      </c>
      <c r="E6992" s="12" t="s">
        <v>35</v>
      </c>
      <c r="F6992" s="14">
        <v>64500</v>
      </c>
      <c r="G6992" s="14">
        <v>55200</v>
      </c>
      <c r="H6992" s="13" t="s">
        <v>11911</v>
      </c>
      <c r="I6992" s="40" t="s">
        <v>18</v>
      </c>
      <c r="J6992" s="40" t="str">
        <f>HYPERLINK("https://stock.pstatic.net/stock-research/company/18/20251119_company_289359000.pdf","PDF")</f>
        <v>PDF</v>
      </c>
      <c r="K6992" s="12" t="s">
        <v>11912</v>
      </c>
      <c r="L6992" s="20">
        <v>0.16847826086956519</v>
      </c>
    </row>
    <row r="6993" spans="1:12" x14ac:dyDescent="0.45">
      <c r="A6993" s="12" t="s">
        <v>11900</v>
      </c>
      <c r="B6993" s="12" t="s">
        <v>10321</v>
      </c>
      <c r="C6993" s="13" t="s">
        <v>10322</v>
      </c>
      <c r="D6993" s="13" t="s">
        <v>158</v>
      </c>
      <c r="E6993" s="12" t="s">
        <v>50</v>
      </c>
      <c r="F6993" s="13"/>
      <c r="G6993" s="14">
        <v>8700</v>
      </c>
      <c r="H6993" s="13" t="s">
        <v>11913</v>
      </c>
      <c r="I6993" s="40" t="s">
        <v>18</v>
      </c>
      <c r="J6993" s="40" t="str">
        <f>HYPERLINK("https://stock.pstatic.net/stock-research/company/18/20251119_company_802928000.pdf","PDF")</f>
        <v>PDF</v>
      </c>
      <c r="K6993" s="12" t="s">
        <v>11914</v>
      </c>
    </row>
    <row r="6994" spans="1:12" x14ac:dyDescent="0.45">
      <c r="A6994" s="12" t="s">
        <v>11900</v>
      </c>
      <c r="B6994" s="12" t="s">
        <v>1781</v>
      </c>
      <c r="C6994" s="13" t="s">
        <v>1782</v>
      </c>
      <c r="D6994" s="13" t="s">
        <v>15</v>
      </c>
      <c r="E6994" s="12" t="s">
        <v>16</v>
      </c>
      <c r="F6994" s="14">
        <v>110000</v>
      </c>
      <c r="G6994" s="14">
        <v>87600</v>
      </c>
      <c r="H6994" s="13" t="s">
        <v>11915</v>
      </c>
      <c r="I6994" s="40" t="s">
        <v>18</v>
      </c>
      <c r="J6994" s="40" t="str">
        <f>HYPERLINK("https://stock.pstatic.net/stock-research/company/29/20251119_company_707106000.pdf","PDF")</f>
        <v>PDF</v>
      </c>
      <c r="K6994" s="12" t="s">
        <v>11916</v>
      </c>
      <c r="L6994" s="20">
        <v>0.25570776255707761</v>
      </c>
    </row>
    <row r="6995" spans="1:12" x14ac:dyDescent="0.45">
      <c r="A6995" s="12" t="s">
        <v>11900</v>
      </c>
      <c r="B6995" s="12" t="s">
        <v>2290</v>
      </c>
      <c r="C6995" s="13" t="s">
        <v>2291</v>
      </c>
      <c r="D6995" s="13" t="s">
        <v>23</v>
      </c>
      <c r="E6995" s="12" t="s">
        <v>16</v>
      </c>
      <c r="F6995" s="14">
        <v>6000</v>
      </c>
      <c r="G6995" s="14">
        <v>5180</v>
      </c>
      <c r="H6995" s="13" t="s">
        <v>11917</v>
      </c>
      <c r="I6995" s="40" t="s">
        <v>18</v>
      </c>
      <c r="J6995" s="40" t="str">
        <f>HYPERLINK("https://stock.pstatic.net/stock-research/company/21/20251119_company_641146000.pdf","PDF")</f>
        <v>PDF</v>
      </c>
      <c r="K6995" s="12" t="s">
        <v>11918</v>
      </c>
      <c r="L6995" s="20">
        <v>0.15830115830115829</v>
      </c>
    </row>
    <row r="6996" spans="1:12" x14ac:dyDescent="0.45">
      <c r="A6996" s="12" t="s">
        <v>11900</v>
      </c>
      <c r="B6996" s="12" t="s">
        <v>32</v>
      </c>
      <c r="C6996" s="13" t="s">
        <v>33</v>
      </c>
      <c r="D6996" s="13" t="s">
        <v>15</v>
      </c>
      <c r="E6996" s="12" t="s">
        <v>16</v>
      </c>
      <c r="F6996" s="14">
        <v>320000</v>
      </c>
      <c r="G6996" s="14">
        <v>204000</v>
      </c>
      <c r="H6996" s="13" t="s">
        <v>11919</v>
      </c>
      <c r="I6996" s="40" t="s">
        <v>18</v>
      </c>
      <c r="J6996" s="40" t="str">
        <f>HYPERLINK("https://stock.pstatic.net/stock-research/company/29/20251119_company_496535000.pdf","PDF")</f>
        <v>PDF</v>
      </c>
      <c r="K6996" s="12" t="s">
        <v>11920</v>
      </c>
      <c r="L6996" s="20">
        <v>0.56862745098039214</v>
      </c>
    </row>
    <row r="6997" spans="1:12" x14ac:dyDescent="0.45">
      <c r="A6997" s="12" t="s">
        <v>11900</v>
      </c>
      <c r="B6997" s="12" t="s">
        <v>1666</v>
      </c>
      <c r="C6997" s="13" t="s">
        <v>1667</v>
      </c>
      <c r="D6997" s="13" t="s">
        <v>92</v>
      </c>
      <c r="E6997" s="12" t="s">
        <v>35</v>
      </c>
      <c r="F6997" s="14">
        <v>80000</v>
      </c>
      <c r="G6997" s="14">
        <v>52500</v>
      </c>
      <c r="H6997" s="13" t="s">
        <v>11921</v>
      </c>
      <c r="I6997" s="40" t="s">
        <v>18</v>
      </c>
      <c r="J6997" s="40" t="str">
        <f>HYPERLINK("https://stock.pstatic.net/stock-research/company/63/20251119_company_175123000.pdf","PDF")</f>
        <v>PDF</v>
      </c>
      <c r="K6997" s="12" t="s">
        <v>11922</v>
      </c>
      <c r="L6997" s="20">
        <v>0.52380952380952384</v>
      </c>
    </row>
    <row r="6998" spans="1:12" x14ac:dyDescent="0.45">
      <c r="A6998" s="12" t="s">
        <v>11900</v>
      </c>
      <c r="B6998" s="12" t="s">
        <v>1120</v>
      </c>
      <c r="C6998" s="13" t="s">
        <v>1121</v>
      </c>
      <c r="D6998" s="13" t="s">
        <v>53</v>
      </c>
      <c r="E6998" s="12" t="s">
        <v>16</v>
      </c>
      <c r="F6998" s="14">
        <v>140000</v>
      </c>
      <c r="G6998" s="14">
        <v>104900</v>
      </c>
      <c r="H6998" s="13" t="s">
        <v>11923</v>
      </c>
      <c r="I6998" s="40" t="s">
        <v>18</v>
      </c>
      <c r="J6998" s="40" t="str">
        <f>HYPERLINK("https://stock.pstatic.net/stock-research/company/40/20251119_company_282931000.pdf","PDF")</f>
        <v>PDF</v>
      </c>
      <c r="K6998" s="12" t="s">
        <v>11924</v>
      </c>
      <c r="L6998" s="20">
        <v>0.334604385128694</v>
      </c>
    </row>
    <row r="6999" spans="1:12" x14ac:dyDescent="0.45">
      <c r="A6999" s="12" t="s">
        <v>11900</v>
      </c>
      <c r="B6999" s="12" t="s">
        <v>6642</v>
      </c>
      <c r="C6999" s="13" t="s">
        <v>6643</v>
      </c>
      <c r="D6999" s="13" t="s">
        <v>92</v>
      </c>
      <c r="E6999" s="12" t="s">
        <v>50</v>
      </c>
      <c r="F6999" s="13"/>
      <c r="G6999" s="14">
        <v>21350</v>
      </c>
      <c r="H6999" s="13" t="s">
        <v>11925</v>
      </c>
      <c r="I6999" s="40" t="s">
        <v>18</v>
      </c>
      <c r="J6999" s="40" t="str">
        <f>HYPERLINK("https://stock.pstatic.net/stock-research/company/63/20251119_company_565978000.pdf","PDF")</f>
        <v>PDF</v>
      </c>
      <c r="K6999" s="12" t="s">
        <v>11926</v>
      </c>
    </row>
    <row r="7000" spans="1:12" x14ac:dyDescent="0.45">
      <c r="A7000" s="12" t="s">
        <v>11900</v>
      </c>
      <c r="B7000" s="12" t="s">
        <v>1120</v>
      </c>
      <c r="C7000" s="13" t="s">
        <v>1121</v>
      </c>
      <c r="D7000" s="13" t="s">
        <v>23</v>
      </c>
      <c r="E7000" s="12" t="s">
        <v>16</v>
      </c>
      <c r="F7000" s="14">
        <v>140000</v>
      </c>
      <c r="G7000" s="14">
        <v>104900</v>
      </c>
      <c r="H7000" s="13" t="s">
        <v>11927</v>
      </c>
      <c r="I7000" s="40" t="s">
        <v>18</v>
      </c>
      <c r="J7000" s="40" t="str">
        <f>HYPERLINK("https://stock.pstatic.net/stock-research/company/21/20251119_company_397250000.pdf","PDF")</f>
        <v>PDF</v>
      </c>
      <c r="K7000" s="12" t="s">
        <v>11928</v>
      </c>
      <c r="L7000" s="20">
        <v>0.334604385128694</v>
      </c>
    </row>
    <row r="7001" spans="1:12" x14ac:dyDescent="0.45">
      <c r="A7001" s="12" t="s">
        <v>11900</v>
      </c>
      <c r="B7001" s="12" t="s">
        <v>3988</v>
      </c>
      <c r="C7001" s="13" t="s">
        <v>3989</v>
      </c>
      <c r="D7001" s="13" t="s">
        <v>92</v>
      </c>
      <c r="E7001" s="12" t="s">
        <v>50</v>
      </c>
      <c r="F7001" s="13"/>
      <c r="G7001" s="14">
        <v>5050</v>
      </c>
      <c r="H7001" s="13" t="s">
        <v>11929</v>
      </c>
      <c r="I7001" s="40" t="s">
        <v>18</v>
      </c>
      <c r="J7001" s="40" t="str">
        <f>HYPERLINK("https://stock.pstatic.net/stock-research/company/63/20251119_company_44493000.pdf","PDF")</f>
        <v>PDF</v>
      </c>
      <c r="K7001" s="12" t="s">
        <v>11930</v>
      </c>
    </row>
    <row r="7002" spans="1:12" x14ac:dyDescent="0.45">
      <c r="A7002" s="12" t="s">
        <v>11900</v>
      </c>
      <c r="B7002" s="12" t="s">
        <v>985</v>
      </c>
      <c r="C7002" s="13" t="s">
        <v>986</v>
      </c>
      <c r="D7002" s="13" t="s">
        <v>92</v>
      </c>
      <c r="E7002" s="12" t="s">
        <v>35</v>
      </c>
      <c r="F7002" s="14">
        <v>6000</v>
      </c>
      <c r="G7002" s="14">
        <v>4460</v>
      </c>
      <c r="H7002" s="13" t="s">
        <v>11931</v>
      </c>
      <c r="I7002" s="40" t="s">
        <v>18</v>
      </c>
      <c r="J7002" s="40" t="str">
        <f>HYPERLINK("https://stock.pstatic.net/stock-research/company/63/20251119_company_211316000.pdf","PDF")</f>
        <v>PDF</v>
      </c>
      <c r="K7002" s="12" t="s">
        <v>11932</v>
      </c>
      <c r="L7002" s="20">
        <v>0.3452914798206278</v>
      </c>
    </row>
    <row r="7003" spans="1:12" x14ac:dyDescent="0.45">
      <c r="A7003" s="12" t="s">
        <v>11900</v>
      </c>
      <c r="B7003" s="12" t="s">
        <v>706</v>
      </c>
      <c r="C7003" s="13" t="s">
        <v>707</v>
      </c>
      <c r="D7003" s="13" t="s">
        <v>53</v>
      </c>
      <c r="E7003" s="12" t="s">
        <v>16</v>
      </c>
      <c r="F7003" s="14">
        <v>10000</v>
      </c>
      <c r="G7003" s="14">
        <v>7820</v>
      </c>
      <c r="H7003" s="13" t="s">
        <v>11886</v>
      </c>
      <c r="I7003" s="40" t="s">
        <v>18</v>
      </c>
      <c r="J7003" s="40" t="str">
        <f>HYPERLINK("https://stock.pstatic.net/stock-research/company/40/20251119_company_376753000.pdf","PDF")</f>
        <v>PDF</v>
      </c>
      <c r="K7003" s="12" t="s">
        <v>11933</v>
      </c>
      <c r="L7003" s="20">
        <v>0.27877237851662412</v>
      </c>
    </row>
    <row r="7004" spans="1:12" x14ac:dyDescent="0.45">
      <c r="A7004" s="12" t="s">
        <v>11900</v>
      </c>
      <c r="B7004" s="12" t="s">
        <v>1374</v>
      </c>
      <c r="C7004" s="13" t="s">
        <v>1375</v>
      </c>
      <c r="D7004" s="13" t="s">
        <v>53</v>
      </c>
      <c r="E7004" s="12" t="s">
        <v>50</v>
      </c>
      <c r="F7004" s="14">
        <v>50000</v>
      </c>
      <c r="G7004" s="14">
        <v>49650</v>
      </c>
      <c r="H7004" s="13" t="s">
        <v>11934</v>
      </c>
      <c r="I7004" s="40" t="s">
        <v>18</v>
      </c>
      <c r="J7004" s="40" t="str">
        <f>HYPERLINK("https://stock.pstatic.net/stock-research/company/40/20251119_company_812404000.pdf","PDF")</f>
        <v>PDF</v>
      </c>
      <c r="K7004" s="12" t="s">
        <v>11935</v>
      </c>
      <c r="L7004" s="20">
        <v>7.0493454179254783E-3</v>
      </c>
    </row>
    <row r="7005" spans="1:12" x14ac:dyDescent="0.45">
      <c r="A7005" s="12" t="s">
        <v>11900</v>
      </c>
      <c r="B7005" s="12" t="s">
        <v>334</v>
      </c>
      <c r="C7005" s="13" t="s">
        <v>335</v>
      </c>
      <c r="D7005" s="13" t="s">
        <v>44</v>
      </c>
      <c r="E7005" s="12" t="s">
        <v>35</v>
      </c>
      <c r="F7005" s="14">
        <v>730000</v>
      </c>
      <c r="G7005" s="14">
        <v>570000</v>
      </c>
      <c r="H7005" s="13" t="s">
        <v>11936</v>
      </c>
      <c r="I7005" s="40" t="s">
        <v>18</v>
      </c>
      <c r="J7005" s="40" t="str">
        <f>HYPERLINK("https://stock.pstatic.net/stock-research/company/39/20251119_company_527559000.pdf","PDF")</f>
        <v>PDF</v>
      </c>
      <c r="K7005" s="12" t="s">
        <v>11937</v>
      </c>
      <c r="L7005" s="20">
        <v>0.2807017543859649</v>
      </c>
    </row>
    <row r="7006" spans="1:12" x14ac:dyDescent="0.45">
      <c r="A7006" s="12" t="s">
        <v>11938</v>
      </c>
      <c r="B7006" s="12" t="s">
        <v>1946</v>
      </c>
      <c r="C7006" s="13" t="s">
        <v>1947</v>
      </c>
      <c r="D7006" s="13" t="s">
        <v>276</v>
      </c>
      <c r="E7006" s="12" t="s">
        <v>16</v>
      </c>
      <c r="F7006" s="14">
        <v>25000</v>
      </c>
      <c r="G7006" s="14">
        <v>19850</v>
      </c>
      <c r="H7006" s="13" t="s">
        <v>11939</v>
      </c>
      <c r="I7006" s="40" t="s">
        <v>18</v>
      </c>
      <c r="J7006" s="40" t="str">
        <f>HYPERLINK("https://stock.pstatic.net/stock-research/company/66/20251118_company_254005000.pdf","PDF")</f>
        <v>PDF</v>
      </c>
      <c r="K7006" s="12" t="s">
        <v>11940</v>
      </c>
      <c r="L7006" s="20">
        <v>0.25944584382871538</v>
      </c>
    </row>
    <row r="7007" spans="1:12" x14ac:dyDescent="0.45">
      <c r="A7007" s="12" t="s">
        <v>11938</v>
      </c>
      <c r="B7007" s="12" t="s">
        <v>545</v>
      </c>
      <c r="C7007" s="13" t="s">
        <v>546</v>
      </c>
      <c r="D7007" s="13" t="s">
        <v>60</v>
      </c>
      <c r="E7007" s="12" t="s">
        <v>35</v>
      </c>
      <c r="F7007" s="14">
        <v>335000</v>
      </c>
      <c r="G7007" s="14">
        <v>270500</v>
      </c>
      <c r="H7007" s="13" t="s">
        <v>11941</v>
      </c>
      <c r="I7007" s="40" t="s">
        <v>18</v>
      </c>
      <c r="J7007" s="40" t="str">
        <f>HYPERLINK("https://stock.pstatic.net/stock-research/company/34/20251118_company_846775000.pdf","PDF")</f>
        <v>PDF</v>
      </c>
      <c r="K7007" s="12" t="s">
        <v>11942</v>
      </c>
      <c r="L7007" s="20">
        <v>0.2384473197781885</v>
      </c>
    </row>
    <row r="7008" spans="1:12" x14ac:dyDescent="0.45">
      <c r="A7008" s="12" t="s">
        <v>11938</v>
      </c>
      <c r="B7008" s="12" t="s">
        <v>394</v>
      </c>
      <c r="C7008" s="13" t="s">
        <v>395</v>
      </c>
      <c r="D7008" s="13" t="s">
        <v>65</v>
      </c>
      <c r="E7008" s="12" t="s">
        <v>35</v>
      </c>
      <c r="F7008" s="14">
        <v>48000</v>
      </c>
      <c r="G7008" s="14">
        <v>41050</v>
      </c>
      <c r="H7008" s="13" t="s">
        <v>11943</v>
      </c>
      <c r="I7008" s="40" t="s">
        <v>18</v>
      </c>
      <c r="J7008" s="40" t="str">
        <f>HYPERLINK("https://stock.pstatic.net/stock-research/company/57/20251118_company_52438000.pdf","PDF")</f>
        <v>PDF</v>
      </c>
      <c r="K7008" s="12" t="s">
        <v>11944</v>
      </c>
      <c r="L7008" s="20">
        <v>0.16930572472594399</v>
      </c>
    </row>
    <row r="7009" spans="1:12" x14ac:dyDescent="0.45">
      <c r="A7009" s="12" t="s">
        <v>11938</v>
      </c>
      <c r="B7009" s="12" t="s">
        <v>4910</v>
      </c>
      <c r="C7009" s="13" t="s">
        <v>4911</v>
      </c>
      <c r="D7009" s="13" t="s">
        <v>65</v>
      </c>
      <c r="E7009" s="12" t="s">
        <v>50</v>
      </c>
      <c r="F7009" s="13"/>
      <c r="G7009" s="14">
        <v>6230</v>
      </c>
      <c r="H7009" s="13" t="s">
        <v>11945</v>
      </c>
      <c r="I7009" s="40" t="s">
        <v>18</v>
      </c>
      <c r="J7009" s="40" t="str">
        <f>HYPERLINK("https://stock.pstatic.net/stock-research/company/57/20251118_company_471508000.pdf","PDF")</f>
        <v>PDF</v>
      </c>
      <c r="K7009" s="12" t="s">
        <v>11946</v>
      </c>
    </row>
    <row r="7010" spans="1:12" x14ac:dyDescent="0.45">
      <c r="A7010" s="12" t="s">
        <v>11938</v>
      </c>
      <c r="B7010" s="12" t="s">
        <v>1946</v>
      </c>
      <c r="C7010" s="13" t="s">
        <v>1947</v>
      </c>
      <c r="D7010" s="13" t="s">
        <v>65</v>
      </c>
      <c r="E7010" s="12" t="s">
        <v>35</v>
      </c>
      <c r="F7010" s="14">
        <v>25000</v>
      </c>
      <c r="G7010" s="14">
        <v>19850</v>
      </c>
      <c r="H7010" s="13" t="s">
        <v>11947</v>
      </c>
      <c r="I7010" s="40" t="s">
        <v>18</v>
      </c>
      <c r="J7010" s="40" t="str">
        <f>HYPERLINK("https://stock.pstatic.net/stock-research/company/57/20251118_company_868430000.pdf","PDF")</f>
        <v>PDF</v>
      </c>
      <c r="K7010" s="12" t="s">
        <v>11948</v>
      </c>
      <c r="L7010" s="20">
        <v>0.25944584382871538</v>
      </c>
    </row>
    <row r="7011" spans="1:12" x14ac:dyDescent="0.45">
      <c r="A7011" s="12" t="s">
        <v>11938</v>
      </c>
      <c r="B7011" s="12" t="s">
        <v>281</v>
      </c>
      <c r="C7011" s="13" t="s">
        <v>282</v>
      </c>
      <c r="D7011" s="13" t="s">
        <v>65</v>
      </c>
      <c r="E7011" s="12" t="s">
        <v>35</v>
      </c>
      <c r="F7011" s="14">
        <v>25000</v>
      </c>
      <c r="G7011" s="14">
        <v>14890</v>
      </c>
      <c r="H7011" s="13" t="s">
        <v>11949</v>
      </c>
      <c r="I7011" s="40" t="s">
        <v>18</v>
      </c>
      <c r="J7011" s="40" t="str">
        <f>HYPERLINK("https://stock.pstatic.net/stock-research/company/57/20251118_company_99231000.pdf","PDF")</f>
        <v>PDF</v>
      </c>
      <c r="K7011" s="12" t="s">
        <v>11950</v>
      </c>
      <c r="L7011" s="20">
        <v>0.67897918065815988</v>
      </c>
    </row>
    <row r="7012" spans="1:12" x14ac:dyDescent="0.45">
      <c r="A7012" s="12" t="s">
        <v>11938</v>
      </c>
      <c r="B7012" s="12" t="s">
        <v>422</v>
      </c>
      <c r="C7012" s="13" t="s">
        <v>423</v>
      </c>
      <c r="D7012" s="13" t="s">
        <v>158</v>
      </c>
      <c r="E7012" s="12" t="s">
        <v>35</v>
      </c>
      <c r="F7012" s="14">
        <v>30000</v>
      </c>
      <c r="G7012" s="14">
        <v>19780</v>
      </c>
      <c r="H7012" s="13" t="s">
        <v>11951</v>
      </c>
      <c r="I7012" s="40" t="s">
        <v>18</v>
      </c>
      <c r="J7012" s="40" t="str">
        <f>HYPERLINK("https://stock.pstatic.net/stock-research/company/18/20251118_company_466315000.pdf","PDF")</f>
        <v>PDF</v>
      </c>
      <c r="K7012" s="12" t="s">
        <v>11952</v>
      </c>
      <c r="L7012" s="20">
        <v>0.51668351870576334</v>
      </c>
    </row>
    <row r="7013" spans="1:12" x14ac:dyDescent="0.45">
      <c r="A7013" s="12" t="s">
        <v>11938</v>
      </c>
      <c r="B7013" s="12" t="s">
        <v>1401</v>
      </c>
      <c r="C7013" s="13" t="s">
        <v>1402</v>
      </c>
      <c r="D7013" s="13" t="s">
        <v>158</v>
      </c>
      <c r="E7013" s="12" t="s">
        <v>50</v>
      </c>
      <c r="F7013" s="13"/>
      <c r="G7013" s="14">
        <v>9680</v>
      </c>
      <c r="H7013" s="13" t="s">
        <v>11953</v>
      </c>
      <c r="I7013" s="40" t="s">
        <v>18</v>
      </c>
      <c r="J7013" s="40" t="str">
        <f>HYPERLINK("https://stock.pstatic.net/stock-research/company/18/20251118_company_84555000.pdf","PDF")</f>
        <v>PDF</v>
      </c>
      <c r="K7013" s="12" t="s">
        <v>11954</v>
      </c>
    </row>
    <row r="7014" spans="1:12" x14ac:dyDescent="0.45">
      <c r="A7014" s="12" t="s">
        <v>11938</v>
      </c>
      <c r="B7014" s="12" t="s">
        <v>1670</v>
      </c>
      <c r="C7014" s="13" t="s">
        <v>1671</v>
      </c>
      <c r="D7014" s="13" t="s">
        <v>158</v>
      </c>
      <c r="E7014" s="12" t="s">
        <v>35</v>
      </c>
      <c r="F7014" s="14">
        <v>200000</v>
      </c>
      <c r="G7014" s="14">
        <v>120100</v>
      </c>
      <c r="H7014" s="13" t="s">
        <v>11955</v>
      </c>
      <c r="I7014" s="40" t="s">
        <v>18</v>
      </c>
      <c r="J7014" s="40" t="str">
        <f>HYPERLINK("https://stock.pstatic.net/stock-research/company/18/20251118_company_437289000.pdf","PDF")</f>
        <v>PDF</v>
      </c>
      <c r="K7014" s="12" t="s">
        <v>11956</v>
      </c>
      <c r="L7014" s="20">
        <v>0.6652789342214821</v>
      </c>
    </row>
    <row r="7015" spans="1:12" x14ac:dyDescent="0.45">
      <c r="A7015" s="12" t="s">
        <v>11938</v>
      </c>
      <c r="B7015" s="12" t="s">
        <v>6328</v>
      </c>
      <c r="C7015" s="13" t="s">
        <v>6329</v>
      </c>
      <c r="D7015" s="13" t="s">
        <v>158</v>
      </c>
      <c r="E7015" s="12" t="s">
        <v>50</v>
      </c>
      <c r="F7015" s="13"/>
      <c r="G7015" s="14">
        <v>4840</v>
      </c>
      <c r="H7015" s="13" t="s">
        <v>11957</v>
      </c>
      <c r="I7015" s="40" t="s">
        <v>18</v>
      </c>
      <c r="J7015" s="40" t="str">
        <f>HYPERLINK("https://stock.pstatic.net/stock-research/company/18/20251118_company_474956000.pdf","PDF")</f>
        <v>PDF</v>
      </c>
      <c r="K7015" s="12" t="s">
        <v>11958</v>
      </c>
    </row>
    <row r="7016" spans="1:12" x14ac:dyDescent="0.45">
      <c r="A7016" s="12" t="s">
        <v>11938</v>
      </c>
      <c r="B7016" s="12" t="s">
        <v>1356</v>
      </c>
      <c r="C7016" s="13" t="s">
        <v>1357</v>
      </c>
      <c r="D7016" s="13" t="s">
        <v>83</v>
      </c>
      <c r="E7016" s="12" t="s">
        <v>35</v>
      </c>
      <c r="F7016" s="14">
        <v>24000</v>
      </c>
      <c r="G7016" s="14">
        <v>19020</v>
      </c>
      <c r="H7016" s="13" t="s">
        <v>11959</v>
      </c>
      <c r="I7016" s="40" t="s">
        <v>18</v>
      </c>
      <c r="J7016" s="40" t="str">
        <f>HYPERLINK("https://stock.pstatic.net/stock-research/company/2/20251118_company_302507000.pdf","PDF")</f>
        <v>PDF</v>
      </c>
      <c r="K7016" s="12" t="s">
        <v>11960</v>
      </c>
      <c r="L7016" s="20">
        <v>0.26182965299684541</v>
      </c>
    </row>
    <row r="7017" spans="1:12" x14ac:dyDescent="0.45">
      <c r="A7017" s="12" t="s">
        <v>11938</v>
      </c>
      <c r="B7017" s="12" t="s">
        <v>5705</v>
      </c>
      <c r="C7017" s="13" t="s">
        <v>5706</v>
      </c>
      <c r="D7017" s="13" t="s">
        <v>83</v>
      </c>
      <c r="E7017" s="12" t="s">
        <v>35</v>
      </c>
      <c r="F7017" s="14">
        <v>100000</v>
      </c>
      <c r="G7017" s="14">
        <v>75300</v>
      </c>
      <c r="H7017" s="13" t="s">
        <v>11961</v>
      </c>
      <c r="I7017" s="40" t="s">
        <v>18</v>
      </c>
      <c r="J7017" s="40" t="str">
        <f>HYPERLINK("https://stock.pstatic.net/stock-research/company/2/20251118_company_532977000.pdf","PDF")</f>
        <v>PDF</v>
      </c>
      <c r="K7017" s="12" t="s">
        <v>11962</v>
      </c>
      <c r="L7017" s="20">
        <v>0.32802124833997343</v>
      </c>
    </row>
    <row r="7018" spans="1:12" x14ac:dyDescent="0.45">
      <c r="A7018" s="12" t="s">
        <v>11938</v>
      </c>
      <c r="B7018" s="12" t="s">
        <v>1308</v>
      </c>
      <c r="C7018" s="13" t="s">
        <v>1309</v>
      </c>
      <c r="D7018" s="13" t="s">
        <v>83</v>
      </c>
      <c r="E7018" s="12" t="s">
        <v>35</v>
      </c>
      <c r="F7018" s="14">
        <v>520000</v>
      </c>
      <c r="G7018" s="14">
        <v>422500</v>
      </c>
      <c r="H7018" s="13" t="s">
        <v>11963</v>
      </c>
      <c r="I7018" s="40" t="s">
        <v>18</v>
      </c>
      <c r="J7018" s="40" t="str">
        <f>HYPERLINK("https://stock.pstatic.net/stock-research/company/2/20251118_company_372747000.pdf","PDF")</f>
        <v>PDF</v>
      </c>
      <c r="K7018" s="12" t="s">
        <v>11964</v>
      </c>
      <c r="L7018" s="20">
        <v>0.23076923076923081</v>
      </c>
    </row>
    <row r="7019" spans="1:12" x14ac:dyDescent="0.45">
      <c r="A7019" s="12" t="s">
        <v>11938</v>
      </c>
      <c r="B7019" s="12" t="s">
        <v>812</v>
      </c>
      <c r="C7019" s="13" t="s">
        <v>813</v>
      </c>
      <c r="D7019" s="13" t="s">
        <v>83</v>
      </c>
      <c r="E7019" s="12" t="s">
        <v>35</v>
      </c>
      <c r="F7019" s="14">
        <v>100000</v>
      </c>
      <c r="G7019" s="14">
        <v>69200</v>
      </c>
      <c r="H7019" s="13" t="s">
        <v>11965</v>
      </c>
      <c r="I7019" s="40" t="s">
        <v>18</v>
      </c>
      <c r="J7019" s="40" t="str">
        <f>HYPERLINK("https://stock.pstatic.net/stock-research/company/2/20251118_company_583211000.pdf","PDF")</f>
        <v>PDF</v>
      </c>
      <c r="K7019" s="12" t="s">
        <v>11966</v>
      </c>
      <c r="L7019" s="20">
        <v>0.44508670520231208</v>
      </c>
    </row>
    <row r="7020" spans="1:12" x14ac:dyDescent="0.45">
      <c r="A7020" s="12" t="s">
        <v>11938</v>
      </c>
      <c r="B7020" s="12" t="s">
        <v>1686</v>
      </c>
      <c r="C7020" s="13" t="s">
        <v>1687</v>
      </c>
      <c r="D7020" s="13" t="s">
        <v>83</v>
      </c>
      <c r="E7020" s="12" t="s">
        <v>35</v>
      </c>
      <c r="F7020" s="14">
        <v>1800000</v>
      </c>
      <c r="G7020" s="14">
        <v>1320000</v>
      </c>
      <c r="H7020" s="13" t="s">
        <v>11967</v>
      </c>
      <c r="I7020" s="40" t="s">
        <v>18</v>
      </c>
      <c r="J7020" s="40" t="str">
        <f>HYPERLINK("https://stock.pstatic.net/stock-research/company/2/20251118_company_10543000.pdf","PDF")</f>
        <v>PDF</v>
      </c>
      <c r="K7020" s="12" t="s">
        <v>11968</v>
      </c>
      <c r="L7020" s="20">
        <v>0.36363636363636359</v>
      </c>
    </row>
    <row r="7021" spans="1:12" x14ac:dyDescent="0.45">
      <c r="A7021" s="12" t="s">
        <v>11938</v>
      </c>
      <c r="B7021" s="12" t="s">
        <v>118</v>
      </c>
      <c r="C7021" s="13" t="s">
        <v>119</v>
      </c>
      <c r="D7021" s="13" t="s">
        <v>83</v>
      </c>
      <c r="E7021" s="12" t="s">
        <v>35</v>
      </c>
      <c r="F7021" s="14">
        <v>105000</v>
      </c>
      <c r="G7021" s="14">
        <v>78900</v>
      </c>
      <c r="H7021" s="13" t="s">
        <v>11969</v>
      </c>
      <c r="I7021" s="40" t="s">
        <v>18</v>
      </c>
      <c r="J7021" s="40" t="str">
        <f>HYPERLINK("https://stock.pstatic.net/stock-research/company/2/20251118_company_68588000.pdf","PDF")</f>
        <v>PDF</v>
      </c>
      <c r="K7021" s="12" t="s">
        <v>11970</v>
      </c>
      <c r="L7021" s="20">
        <v>0.33079847908745252</v>
      </c>
    </row>
    <row r="7022" spans="1:12" x14ac:dyDescent="0.45">
      <c r="A7022" s="12" t="s">
        <v>11938</v>
      </c>
      <c r="B7022" s="12" t="s">
        <v>545</v>
      </c>
      <c r="C7022" s="13" t="s">
        <v>546</v>
      </c>
      <c r="D7022" s="13" t="s">
        <v>83</v>
      </c>
      <c r="E7022" s="12" t="s">
        <v>35</v>
      </c>
      <c r="F7022" s="14">
        <v>360000</v>
      </c>
      <c r="G7022" s="14">
        <v>268000</v>
      </c>
      <c r="H7022" s="13" t="s">
        <v>11971</v>
      </c>
      <c r="I7022" s="40" t="s">
        <v>18</v>
      </c>
      <c r="J7022" s="40" t="str">
        <f>HYPERLINK("https://stock.pstatic.net/stock-research/company/2/20251118_company_25764000.pdf","PDF")</f>
        <v>PDF</v>
      </c>
      <c r="K7022" s="12" t="s">
        <v>11972</v>
      </c>
      <c r="L7022" s="20">
        <v>0.34328358208955218</v>
      </c>
    </row>
    <row r="7023" spans="1:12" x14ac:dyDescent="0.45">
      <c r="A7023" s="12" t="s">
        <v>11938</v>
      </c>
      <c r="B7023" s="12" t="s">
        <v>1449</v>
      </c>
      <c r="C7023" s="13" t="s">
        <v>1450</v>
      </c>
      <c r="D7023" s="13" t="s">
        <v>83</v>
      </c>
      <c r="E7023" s="12" t="s">
        <v>35</v>
      </c>
      <c r="F7023" s="14">
        <v>42000</v>
      </c>
      <c r="G7023" s="14">
        <v>31100</v>
      </c>
      <c r="H7023" s="13" t="s">
        <v>11973</v>
      </c>
      <c r="I7023" s="40" t="s">
        <v>18</v>
      </c>
      <c r="J7023" s="40" t="str">
        <f>HYPERLINK("https://stock.pstatic.net/stock-research/company/2/20251118_company_873370000.pdf","PDF")</f>
        <v>PDF</v>
      </c>
      <c r="K7023" s="12" t="s">
        <v>11974</v>
      </c>
      <c r="L7023" s="20">
        <v>0.35048231511254019</v>
      </c>
    </row>
    <row r="7024" spans="1:12" x14ac:dyDescent="0.45">
      <c r="A7024" s="12" t="s">
        <v>11938</v>
      </c>
      <c r="B7024" s="12" t="s">
        <v>86</v>
      </c>
      <c r="C7024" s="13" t="s">
        <v>87</v>
      </c>
      <c r="D7024" s="13" t="s">
        <v>83</v>
      </c>
      <c r="E7024" s="12" t="s">
        <v>642</v>
      </c>
      <c r="F7024" s="14">
        <v>140000</v>
      </c>
      <c r="G7024" s="14">
        <v>110900</v>
      </c>
      <c r="H7024" s="13" t="s">
        <v>11975</v>
      </c>
      <c r="I7024" s="40" t="s">
        <v>18</v>
      </c>
      <c r="J7024" s="40" t="str">
        <f>HYPERLINK("https://stock.pstatic.net/stock-research/company/2/20251118_company_607188000.pdf","PDF")</f>
        <v>PDF</v>
      </c>
      <c r="K7024" s="12" t="s">
        <v>11976</v>
      </c>
      <c r="L7024" s="20">
        <v>0.26239855725879169</v>
      </c>
    </row>
    <row r="7025" spans="1:12" x14ac:dyDescent="0.45">
      <c r="A7025" s="12" t="s">
        <v>11938</v>
      </c>
      <c r="B7025" s="12" t="s">
        <v>824</v>
      </c>
      <c r="C7025" s="13" t="s">
        <v>825</v>
      </c>
      <c r="D7025" s="13" t="s">
        <v>83</v>
      </c>
      <c r="E7025" s="12" t="s">
        <v>35</v>
      </c>
      <c r="F7025" s="14">
        <v>52000</v>
      </c>
      <c r="G7025" s="14">
        <v>40100</v>
      </c>
      <c r="H7025" s="13" t="s">
        <v>11977</v>
      </c>
      <c r="I7025" s="40" t="s">
        <v>18</v>
      </c>
      <c r="J7025" s="40" t="str">
        <f>HYPERLINK("https://stock.pstatic.net/stock-research/company/2/20251118_company_327509000.pdf","PDF")</f>
        <v>PDF</v>
      </c>
      <c r="K7025" s="12" t="s">
        <v>11978</v>
      </c>
      <c r="L7025" s="20">
        <v>0.29675810473815462</v>
      </c>
    </row>
    <row r="7026" spans="1:12" x14ac:dyDescent="0.45">
      <c r="A7026" s="12" t="s">
        <v>11938</v>
      </c>
      <c r="B7026" s="12" t="s">
        <v>6737</v>
      </c>
      <c r="C7026" s="13" t="s">
        <v>6738</v>
      </c>
      <c r="D7026" s="13" t="s">
        <v>23</v>
      </c>
      <c r="E7026" s="12" t="s">
        <v>16</v>
      </c>
      <c r="F7026" s="14">
        <v>2100</v>
      </c>
      <c r="G7026" s="14">
        <v>1335</v>
      </c>
      <c r="H7026" s="13" t="s">
        <v>11979</v>
      </c>
      <c r="I7026" s="40" t="s">
        <v>18</v>
      </c>
      <c r="J7026" s="40" t="str">
        <f>HYPERLINK("https://stock.pstatic.net/stock-research/company/21/20251118_company_77267000.pdf","PDF")</f>
        <v>PDF</v>
      </c>
      <c r="K7026" s="12" t="s">
        <v>11980</v>
      </c>
      <c r="L7026" s="20">
        <v>0.5730337078651685</v>
      </c>
    </row>
    <row r="7027" spans="1:12" x14ac:dyDescent="0.45">
      <c r="A7027" s="12" t="s">
        <v>11938</v>
      </c>
      <c r="B7027" s="12" t="s">
        <v>1946</v>
      </c>
      <c r="C7027" s="13" t="s">
        <v>1947</v>
      </c>
      <c r="D7027" s="13" t="s">
        <v>15</v>
      </c>
      <c r="E7027" s="12" t="s">
        <v>16</v>
      </c>
      <c r="F7027" s="14">
        <v>25000</v>
      </c>
      <c r="G7027" s="14">
        <v>19850</v>
      </c>
      <c r="H7027" s="13" t="s">
        <v>11981</v>
      </c>
      <c r="I7027" s="40" t="s">
        <v>18</v>
      </c>
      <c r="J7027" s="40" t="str">
        <f>HYPERLINK("https://stock.pstatic.net/stock-research/company/29/20251118_company_738383000.pdf","PDF")</f>
        <v>PDF</v>
      </c>
      <c r="K7027" s="12" t="s">
        <v>11982</v>
      </c>
      <c r="L7027" s="20">
        <v>0.25944584382871538</v>
      </c>
    </row>
    <row r="7028" spans="1:12" x14ac:dyDescent="0.45">
      <c r="A7028" s="12" t="s">
        <v>11938</v>
      </c>
      <c r="B7028" s="12" t="s">
        <v>916</v>
      </c>
      <c r="C7028" s="13" t="s">
        <v>917</v>
      </c>
      <c r="D7028" s="13" t="s">
        <v>15</v>
      </c>
      <c r="E7028" s="12" t="s">
        <v>16</v>
      </c>
      <c r="F7028" s="14">
        <v>82000</v>
      </c>
      <c r="G7028" s="14">
        <v>61400</v>
      </c>
      <c r="H7028" s="13" t="s">
        <v>11983</v>
      </c>
      <c r="I7028" s="40" t="s">
        <v>18</v>
      </c>
      <c r="J7028" s="40" t="str">
        <f>HYPERLINK("https://stock.pstatic.net/stock-research/company/29/20251118_company_857939000.pdf","PDF")</f>
        <v>PDF</v>
      </c>
      <c r="K7028" s="12" t="s">
        <v>11984</v>
      </c>
      <c r="L7028" s="20">
        <v>0.33550488599348532</v>
      </c>
    </row>
    <row r="7029" spans="1:12" x14ac:dyDescent="0.45">
      <c r="A7029" s="12" t="s">
        <v>11938</v>
      </c>
      <c r="B7029" s="12" t="s">
        <v>904</v>
      </c>
      <c r="C7029" s="13" t="s">
        <v>905</v>
      </c>
      <c r="D7029" s="13" t="s">
        <v>15</v>
      </c>
      <c r="E7029" s="12" t="s">
        <v>16</v>
      </c>
      <c r="F7029" s="14">
        <v>50000</v>
      </c>
      <c r="G7029" s="14">
        <v>32500</v>
      </c>
      <c r="H7029" s="13" t="s">
        <v>11985</v>
      </c>
      <c r="I7029" s="40" t="s">
        <v>18</v>
      </c>
      <c r="J7029" s="40" t="str">
        <f>HYPERLINK("https://stock.pstatic.net/stock-research/company/29/20251118_company_169669000.pdf","PDF")</f>
        <v>PDF</v>
      </c>
      <c r="K7029" s="12" t="s">
        <v>11986</v>
      </c>
      <c r="L7029" s="20">
        <v>0.53846153846153844</v>
      </c>
    </row>
    <row r="7030" spans="1:12" x14ac:dyDescent="0.45">
      <c r="A7030" s="12" t="s">
        <v>11938</v>
      </c>
      <c r="B7030" s="12" t="s">
        <v>42</v>
      </c>
      <c r="C7030" s="13" t="s">
        <v>43</v>
      </c>
      <c r="D7030" s="13" t="s">
        <v>15</v>
      </c>
      <c r="E7030" s="12" t="s">
        <v>16</v>
      </c>
      <c r="F7030" s="14">
        <v>410000</v>
      </c>
      <c r="G7030" s="14">
        <v>253500</v>
      </c>
      <c r="H7030" s="13" t="s">
        <v>11987</v>
      </c>
      <c r="I7030" s="40" t="s">
        <v>18</v>
      </c>
      <c r="J7030" s="40" t="str">
        <f>HYPERLINK("https://stock.pstatic.net/stock-research/company/29/20251118_company_31510000.pdf","PDF")</f>
        <v>PDF</v>
      </c>
      <c r="K7030" s="12" t="s">
        <v>11988</v>
      </c>
      <c r="L7030" s="20">
        <v>0.61735700197238663</v>
      </c>
    </row>
    <row r="7031" spans="1:12" x14ac:dyDescent="0.45">
      <c r="A7031" s="12" t="s">
        <v>11938</v>
      </c>
      <c r="B7031" s="12" t="s">
        <v>1132</v>
      </c>
      <c r="C7031" s="13" t="s">
        <v>1133</v>
      </c>
      <c r="D7031" s="13" t="s">
        <v>53</v>
      </c>
      <c r="E7031" s="12" t="s">
        <v>16</v>
      </c>
      <c r="F7031" s="14">
        <v>44000</v>
      </c>
      <c r="G7031" s="14">
        <v>31750</v>
      </c>
      <c r="H7031" s="13" t="s">
        <v>11989</v>
      </c>
      <c r="I7031" s="40" t="s">
        <v>18</v>
      </c>
      <c r="J7031" s="40" t="str">
        <f>HYPERLINK("https://stock.pstatic.net/stock-research/company/40/20251118_company_607497000.pdf","PDF")</f>
        <v>PDF</v>
      </c>
      <c r="K7031" s="12" t="s">
        <v>11990</v>
      </c>
      <c r="L7031" s="20">
        <v>0.38582677165354329</v>
      </c>
    </row>
    <row r="7032" spans="1:12" x14ac:dyDescent="0.45">
      <c r="A7032" s="12" t="s">
        <v>11938</v>
      </c>
      <c r="B7032" s="12" t="s">
        <v>1212</v>
      </c>
      <c r="C7032" s="13" t="s">
        <v>1213</v>
      </c>
      <c r="D7032" s="13" t="s">
        <v>92</v>
      </c>
      <c r="E7032" s="12" t="s">
        <v>35</v>
      </c>
      <c r="F7032" s="14">
        <v>70000</v>
      </c>
      <c r="G7032" s="14">
        <v>49500</v>
      </c>
      <c r="H7032" s="13" t="s">
        <v>11991</v>
      </c>
      <c r="I7032" s="40" t="s">
        <v>18</v>
      </c>
      <c r="J7032" s="40" t="str">
        <f>HYPERLINK("https://stock.pstatic.net/stock-research/company/63/20251118_company_399402000.pdf","PDF")</f>
        <v>PDF</v>
      </c>
      <c r="K7032" s="12" t="s">
        <v>11992</v>
      </c>
      <c r="L7032" s="20">
        <v>0.41414141414141409</v>
      </c>
    </row>
    <row r="7033" spans="1:12" x14ac:dyDescent="0.45">
      <c r="A7033" s="12" t="s">
        <v>11938</v>
      </c>
      <c r="B7033" s="12" t="s">
        <v>5597</v>
      </c>
      <c r="C7033" s="13" t="s">
        <v>5598</v>
      </c>
      <c r="D7033" s="13" t="s">
        <v>53</v>
      </c>
      <c r="E7033" s="12" t="s">
        <v>16</v>
      </c>
      <c r="F7033" s="14">
        <v>100000</v>
      </c>
      <c r="G7033" s="14">
        <v>66100</v>
      </c>
      <c r="H7033" s="13" t="s">
        <v>11993</v>
      </c>
      <c r="I7033" s="40" t="s">
        <v>18</v>
      </c>
      <c r="J7033" s="40" t="str">
        <f>HYPERLINK("https://stock.pstatic.net/stock-research/company/40/20251118_company_822956000.pdf","PDF")</f>
        <v>PDF</v>
      </c>
      <c r="K7033" s="12" t="s">
        <v>11994</v>
      </c>
      <c r="L7033" s="20">
        <v>0.51285930408472014</v>
      </c>
    </row>
    <row r="7034" spans="1:12" x14ac:dyDescent="0.45">
      <c r="A7034" s="12" t="s">
        <v>11938</v>
      </c>
      <c r="B7034" s="12" t="s">
        <v>90</v>
      </c>
      <c r="C7034" s="13" t="s">
        <v>91</v>
      </c>
      <c r="D7034" s="13" t="s">
        <v>92</v>
      </c>
      <c r="E7034" s="12" t="s">
        <v>35</v>
      </c>
      <c r="F7034" s="14">
        <v>33000</v>
      </c>
      <c r="G7034" s="14">
        <v>22900</v>
      </c>
      <c r="H7034" s="13" t="s">
        <v>11995</v>
      </c>
      <c r="I7034" s="40" t="s">
        <v>18</v>
      </c>
      <c r="J7034" s="40" t="str">
        <f>HYPERLINK("https://stock.pstatic.net/stock-research/company/63/20251118_company_869664000.pdf","PDF")</f>
        <v>PDF</v>
      </c>
      <c r="K7034" s="12" t="s">
        <v>11996</v>
      </c>
      <c r="L7034" s="20">
        <v>0.44104803493449779</v>
      </c>
    </row>
    <row r="7035" spans="1:12" x14ac:dyDescent="0.45">
      <c r="A7035" s="12" t="s">
        <v>11938</v>
      </c>
      <c r="B7035" s="12" t="s">
        <v>1136</v>
      </c>
      <c r="C7035" s="13" t="s">
        <v>1137</v>
      </c>
      <c r="D7035" s="13" t="s">
        <v>53</v>
      </c>
      <c r="E7035" s="12" t="s">
        <v>16</v>
      </c>
      <c r="F7035" s="14">
        <v>51000</v>
      </c>
      <c r="G7035" s="14">
        <v>28200</v>
      </c>
      <c r="H7035" s="13" t="s">
        <v>11997</v>
      </c>
      <c r="I7035" s="40" t="s">
        <v>18</v>
      </c>
      <c r="J7035" s="40" t="str">
        <f>HYPERLINK("https://stock.pstatic.net/stock-research/company/40/20251118_company_680438000.pdf","PDF")</f>
        <v>PDF</v>
      </c>
      <c r="K7035" s="12" t="s">
        <v>11998</v>
      </c>
      <c r="L7035" s="20">
        <v>0.80851063829787229</v>
      </c>
    </row>
    <row r="7036" spans="1:12" x14ac:dyDescent="0.45">
      <c r="A7036" s="12" t="s">
        <v>11938</v>
      </c>
      <c r="B7036" s="12" t="s">
        <v>388</v>
      </c>
      <c r="C7036" s="13" t="s">
        <v>389</v>
      </c>
      <c r="D7036" s="13" t="s">
        <v>92</v>
      </c>
      <c r="E7036" s="12" t="s">
        <v>35</v>
      </c>
      <c r="F7036" s="14">
        <v>61000</v>
      </c>
      <c r="G7036" s="14">
        <v>42850</v>
      </c>
      <c r="H7036" s="13" t="s">
        <v>11999</v>
      </c>
      <c r="I7036" s="40" t="s">
        <v>18</v>
      </c>
      <c r="J7036" s="40" t="str">
        <f>HYPERLINK("https://stock.pstatic.net/stock-research/company/63/20251118_company_651132000.pdf","PDF")</f>
        <v>PDF</v>
      </c>
      <c r="K7036" s="12" t="s">
        <v>12000</v>
      </c>
      <c r="L7036" s="20">
        <v>0.42357059509918321</v>
      </c>
    </row>
    <row r="7037" spans="1:12" x14ac:dyDescent="0.45">
      <c r="A7037" s="12" t="s">
        <v>11938</v>
      </c>
      <c r="B7037" s="12" t="s">
        <v>5912</v>
      </c>
      <c r="C7037" s="13" t="s">
        <v>5913</v>
      </c>
      <c r="D7037" s="13" t="s">
        <v>23</v>
      </c>
      <c r="E7037" s="12" t="s">
        <v>16</v>
      </c>
      <c r="F7037" s="14">
        <v>32500</v>
      </c>
      <c r="G7037" s="14">
        <v>21250</v>
      </c>
      <c r="H7037" s="13" t="s">
        <v>12001</v>
      </c>
      <c r="I7037" s="40" t="s">
        <v>18</v>
      </c>
      <c r="J7037" s="40" t="str">
        <f>HYPERLINK("https://stock.pstatic.net/stock-research/company/21/20251118_company_747393000.pdf","PDF")</f>
        <v>PDF</v>
      </c>
      <c r="K7037" s="12" t="s">
        <v>12002</v>
      </c>
      <c r="L7037" s="20">
        <v>0.52941176470588236</v>
      </c>
    </row>
    <row r="7038" spans="1:12" x14ac:dyDescent="0.45">
      <c r="A7038" s="12" t="s">
        <v>11938</v>
      </c>
      <c r="B7038" s="12" t="s">
        <v>981</v>
      </c>
      <c r="C7038" s="13" t="s">
        <v>982</v>
      </c>
      <c r="D7038" s="13" t="s">
        <v>92</v>
      </c>
      <c r="E7038" s="12" t="s">
        <v>50</v>
      </c>
      <c r="F7038" s="13"/>
      <c r="G7038" s="14">
        <v>33100</v>
      </c>
      <c r="H7038" s="13" t="s">
        <v>12003</v>
      </c>
      <c r="I7038" s="40" t="s">
        <v>18</v>
      </c>
      <c r="J7038" s="40" t="str">
        <f>HYPERLINK("https://stock.pstatic.net/stock-research/company/63/20251118_company_370543000.pdf","PDF")</f>
        <v>PDF</v>
      </c>
      <c r="K7038" s="12" t="s">
        <v>12004</v>
      </c>
    </row>
    <row r="7039" spans="1:12" x14ac:dyDescent="0.45">
      <c r="A7039" s="12" t="s">
        <v>11938</v>
      </c>
      <c r="B7039" s="12" t="s">
        <v>2546</v>
      </c>
      <c r="C7039" s="13" t="s">
        <v>2547</v>
      </c>
      <c r="D7039" s="13" t="s">
        <v>34</v>
      </c>
      <c r="E7039" s="12" t="s">
        <v>35</v>
      </c>
      <c r="F7039" s="14">
        <v>45000</v>
      </c>
      <c r="G7039" s="14">
        <v>32100</v>
      </c>
      <c r="H7039" s="13" t="s">
        <v>12005</v>
      </c>
      <c r="I7039" s="40" t="s">
        <v>18</v>
      </c>
      <c r="J7039" s="40" t="str">
        <f>HYPERLINK("https://stock.pstatic.net/stock-research/company/61/20251118_company_208699000.pdf","PDF")</f>
        <v>PDF</v>
      </c>
      <c r="K7039" s="12" t="s">
        <v>12006</v>
      </c>
      <c r="L7039" s="20">
        <v>0.40186915887850472</v>
      </c>
    </row>
    <row r="7040" spans="1:12" x14ac:dyDescent="0.45">
      <c r="A7040" s="12" t="s">
        <v>11938</v>
      </c>
      <c r="B7040" s="12" t="s">
        <v>764</v>
      </c>
      <c r="C7040" s="13" t="s">
        <v>765</v>
      </c>
      <c r="D7040" s="13" t="s">
        <v>44</v>
      </c>
      <c r="E7040" s="12" t="s">
        <v>35</v>
      </c>
      <c r="F7040" s="14">
        <v>65000</v>
      </c>
      <c r="G7040" s="14">
        <v>45100</v>
      </c>
      <c r="H7040" s="13" t="s">
        <v>12007</v>
      </c>
      <c r="I7040" s="40" t="s">
        <v>18</v>
      </c>
      <c r="J7040" s="40" t="str">
        <f>HYPERLINK("https://stock.pstatic.net/stock-research/company/39/20251118_company_322094000.pdf","PDF")</f>
        <v>PDF</v>
      </c>
      <c r="K7040" s="12" t="s">
        <v>12008</v>
      </c>
      <c r="L7040" s="20">
        <v>0.44124168514412421</v>
      </c>
    </row>
    <row r="7041" spans="1:12" x14ac:dyDescent="0.45">
      <c r="A7041" s="12" t="s">
        <v>11938</v>
      </c>
      <c r="B7041" s="12" t="s">
        <v>12009</v>
      </c>
      <c r="C7041" s="13" t="s">
        <v>12010</v>
      </c>
      <c r="D7041" s="13" t="s">
        <v>124</v>
      </c>
      <c r="E7041" s="12" t="s">
        <v>50</v>
      </c>
      <c r="F7041" s="13"/>
      <c r="G7041" s="13"/>
      <c r="H7041" s="13" t="s">
        <v>12011</v>
      </c>
      <c r="I7041" s="40" t="s">
        <v>18</v>
      </c>
      <c r="J7041" s="40" t="str">
        <f>HYPERLINK("https://stock.pstatic.net/stock-research/company/74/20251118_company_60043000.pdf","PDF")</f>
        <v>PDF</v>
      </c>
      <c r="K7041" s="12" t="s">
        <v>12012</v>
      </c>
    </row>
    <row r="7042" spans="1:12" x14ac:dyDescent="0.45">
      <c r="A7042" s="12" t="s">
        <v>11938</v>
      </c>
      <c r="B7042" s="12" t="s">
        <v>12013</v>
      </c>
      <c r="C7042" s="13" t="s">
        <v>12014</v>
      </c>
      <c r="D7042" s="13" t="s">
        <v>124</v>
      </c>
      <c r="E7042" s="12" t="s">
        <v>50</v>
      </c>
      <c r="F7042" s="13"/>
      <c r="G7042" s="13"/>
      <c r="H7042" s="13" t="s">
        <v>12015</v>
      </c>
      <c r="I7042" s="40" t="s">
        <v>18</v>
      </c>
      <c r="J7042" s="40" t="str">
        <f>HYPERLINK("https://stock.pstatic.net/stock-research/company/74/20251118_company_709796000.pdf","PDF")</f>
        <v>PDF</v>
      </c>
      <c r="K7042" s="12" t="s">
        <v>12016</v>
      </c>
    </row>
    <row r="7043" spans="1:12" x14ac:dyDescent="0.45">
      <c r="A7043" s="12" t="s">
        <v>11938</v>
      </c>
      <c r="B7043" s="12" t="s">
        <v>507</v>
      </c>
      <c r="C7043" s="13" t="s">
        <v>508</v>
      </c>
      <c r="D7043" s="13" t="s">
        <v>23</v>
      </c>
      <c r="E7043" s="12" t="s">
        <v>50</v>
      </c>
      <c r="F7043" s="14">
        <v>5300</v>
      </c>
      <c r="G7043" s="14">
        <v>5190</v>
      </c>
      <c r="H7043" s="13" t="s">
        <v>12017</v>
      </c>
      <c r="I7043" s="40" t="s">
        <v>18</v>
      </c>
      <c r="J7043" s="40" t="str">
        <f>HYPERLINK("https://stock.pstatic.net/stock-research/company/21/20251118_company_251744000.pdf","PDF")</f>
        <v>PDF</v>
      </c>
      <c r="K7043" s="12" t="s">
        <v>12018</v>
      </c>
      <c r="L7043" s="20">
        <v>2.119460500963391E-2</v>
      </c>
    </row>
    <row r="7044" spans="1:12" x14ac:dyDescent="0.45">
      <c r="A7044" s="12" t="s">
        <v>11938</v>
      </c>
      <c r="B7044" s="12" t="s">
        <v>1042</v>
      </c>
      <c r="C7044" s="13" t="s">
        <v>1043</v>
      </c>
      <c r="D7044" s="13" t="s">
        <v>53</v>
      </c>
      <c r="E7044" s="12" t="s">
        <v>16</v>
      </c>
      <c r="F7044" s="14">
        <v>48000</v>
      </c>
      <c r="G7044" s="14">
        <v>26800</v>
      </c>
      <c r="H7044" s="13" t="s">
        <v>12019</v>
      </c>
      <c r="I7044" s="40" t="s">
        <v>18</v>
      </c>
      <c r="J7044" s="40" t="str">
        <f>HYPERLINK("https://stock.pstatic.net/stock-research/company/40/20251118_company_47924000.pdf","PDF")</f>
        <v>PDF</v>
      </c>
      <c r="K7044" s="12" t="s">
        <v>12020</v>
      </c>
      <c r="L7044" s="20">
        <v>0.79104477611940294</v>
      </c>
    </row>
    <row r="7045" spans="1:12" x14ac:dyDescent="0.45">
      <c r="A7045" s="12" t="s">
        <v>12021</v>
      </c>
      <c r="B7045" s="12" t="s">
        <v>824</v>
      </c>
      <c r="C7045" s="13" t="s">
        <v>825</v>
      </c>
      <c r="D7045" s="13" t="s">
        <v>57</v>
      </c>
      <c r="E7045" s="12" t="s">
        <v>35</v>
      </c>
      <c r="F7045" s="14">
        <v>68000</v>
      </c>
      <c r="G7045" s="14">
        <v>40100</v>
      </c>
      <c r="H7045" s="13" t="s">
        <v>12022</v>
      </c>
      <c r="I7045" s="40" t="s">
        <v>18</v>
      </c>
      <c r="J7045" s="40" t="str">
        <f>HYPERLINK("https://stock.pstatic.net/stock-research/company/16/20251117_company_114613000.pdf","PDF")</f>
        <v>PDF</v>
      </c>
      <c r="K7045" s="12" t="s">
        <v>12023</v>
      </c>
      <c r="L7045" s="20">
        <v>0.69576059850374061</v>
      </c>
    </row>
    <row r="7046" spans="1:12" x14ac:dyDescent="0.45">
      <c r="A7046" s="12" t="s">
        <v>12021</v>
      </c>
      <c r="B7046" s="12" t="s">
        <v>812</v>
      </c>
      <c r="C7046" s="13" t="s">
        <v>813</v>
      </c>
      <c r="D7046" s="13" t="s">
        <v>57</v>
      </c>
      <c r="E7046" s="12" t="s">
        <v>35</v>
      </c>
      <c r="F7046" s="14">
        <v>94000</v>
      </c>
      <c r="G7046" s="14">
        <v>69200</v>
      </c>
      <c r="H7046" s="13" t="s">
        <v>12024</v>
      </c>
      <c r="I7046" s="40" t="s">
        <v>18</v>
      </c>
      <c r="J7046" s="40" t="str">
        <f>HYPERLINK("https://stock.pstatic.net/stock-research/company/16/20251117_company_665394000.pdf","PDF")</f>
        <v>PDF</v>
      </c>
      <c r="K7046" s="12" t="s">
        <v>12025</v>
      </c>
      <c r="L7046" s="20">
        <v>0.3583815028901734</v>
      </c>
    </row>
    <row r="7047" spans="1:12" x14ac:dyDescent="0.45">
      <c r="A7047" s="12" t="s">
        <v>12021</v>
      </c>
      <c r="B7047" s="12" t="s">
        <v>1686</v>
      </c>
      <c r="C7047" s="13" t="s">
        <v>1687</v>
      </c>
      <c r="D7047" s="13" t="s">
        <v>57</v>
      </c>
      <c r="E7047" s="12" t="s">
        <v>35</v>
      </c>
      <c r="F7047" s="14">
        <v>1800000</v>
      </c>
      <c r="G7047" s="14">
        <v>1320000</v>
      </c>
      <c r="H7047" s="13" t="s">
        <v>12026</v>
      </c>
      <c r="I7047" s="40" t="s">
        <v>18</v>
      </c>
      <c r="J7047" s="40" t="str">
        <f>HYPERLINK("https://stock.pstatic.net/stock-research/company/16/20251117_company_225839000.pdf","PDF")</f>
        <v>PDF</v>
      </c>
      <c r="K7047" s="12" t="s">
        <v>12027</v>
      </c>
      <c r="L7047" s="20">
        <v>0.36363636363636359</v>
      </c>
    </row>
    <row r="7048" spans="1:12" x14ac:dyDescent="0.45">
      <c r="A7048" s="12" t="s">
        <v>12021</v>
      </c>
      <c r="B7048" s="12" t="s">
        <v>1308</v>
      </c>
      <c r="C7048" s="13" t="s">
        <v>1309</v>
      </c>
      <c r="D7048" s="13" t="s">
        <v>57</v>
      </c>
      <c r="E7048" s="12" t="s">
        <v>35</v>
      </c>
      <c r="F7048" s="14">
        <v>600000</v>
      </c>
      <c r="G7048" s="14">
        <v>422500</v>
      </c>
      <c r="H7048" s="13" t="s">
        <v>12028</v>
      </c>
      <c r="I7048" s="40" t="s">
        <v>18</v>
      </c>
      <c r="J7048" s="40" t="str">
        <f>HYPERLINK("https://stock.pstatic.net/stock-research/company/16/20251117_company_805576000.pdf","PDF")</f>
        <v>PDF</v>
      </c>
      <c r="K7048" s="12" t="s">
        <v>12029</v>
      </c>
      <c r="L7048" s="20">
        <v>0.42011834319526631</v>
      </c>
    </row>
    <row r="7049" spans="1:12" x14ac:dyDescent="0.45">
      <c r="A7049" s="12" t="s">
        <v>12021</v>
      </c>
      <c r="B7049" s="12" t="s">
        <v>430</v>
      </c>
      <c r="C7049" s="13" t="s">
        <v>431</v>
      </c>
      <c r="D7049" s="13" t="s">
        <v>276</v>
      </c>
      <c r="E7049" s="12" t="s">
        <v>16</v>
      </c>
      <c r="F7049" s="14">
        <v>50000</v>
      </c>
      <c r="G7049" s="14">
        <v>43700</v>
      </c>
      <c r="H7049" s="13" t="s">
        <v>12030</v>
      </c>
      <c r="I7049" s="40" t="s">
        <v>18</v>
      </c>
      <c r="J7049" s="40" t="str">
        <f>HYPERLINK("https://stock.pstatic.net/stock-research/company/66/20251117_company_335280000.pdf","PDF")</f>
        <v>PDF</v>
      </c>
      <c r="K7049" s="12" t="s">
        <v>12031</v>
      </c>
      <c r="L7049" s="20">
        <v>0.14416475972540049</v>
      </c>
    </row>
    <row r="7050" spans="1:12" x14ac:dyDescent="0.45">
      <c r="A7050" s="12" t="s">
        <v>12021</v>
      </c>
      <c r="B7050" s="12" t="s">
        <v>1356</v>
      </c>
      <c r="C7050" s="13" t="s">
        <v>1357</v>
      </c>
      <c r="D7050" s="13" t="s">
        <v>276</v>
      </c>
      <c r="E7050" s="12" t="s">
        <v>16</v>
      </c>
      <c r="F7050" s="14">
        <v>28000</v>
      </c>
      <c r="G7050" s="14">
        <v>19020</v>
      </c>
      <c r="H7050" s="13" t="s">
        <v>12032</v>
      </c>
      <c r="I7050" s="40" t="s">
        <v>18</v>
      </c>
      <c r="J7050" s="40" t="str">
        <f>HYPERLINK("https://stock.pstatic.net/stock-research/company/66/20251117_company_698281000.pdf","PDF")</f>
        <v>PDF</v>
      </c>
      <c r="K7050" s="12" t="s">
        <v>12033</v>
      </c>
      <c r="L7050" s="20">
        <v>0.47213459516298628</v>
      </c>
    </row>
    <row r="7051" spans="1:12" x14ac:dyDescent="0.45">
      <c r="A7051" s="12" t="s">
        <v>12021</v>
      </c>
      <c r="B7051" s="12" t="s">
        <v>21</v>
      </c>
      <c r="C7051" s="13" t="s">
        <v>22</v>
      </c>
      <c r="D7051" s="13" t="s">
        <v>60</v>
      </c>
      <c r="E7051" s="12" t="s">
        <v>35</v>
      </c>
      <c r="F7051" s="14">
        <v>38000</v>
      </c>
      <c r="G7051" s="14">
        <v>29000</v>
      </c>
      <c r="H7051" s="13" t="s">
        <v>12034</v>
      </c>
      <c r="I7051" s="40" t="s">
        <v>18</v>
      </c>
      <c r="J7051" s="40" t="str">
        <f>HYPERLINK("https://stock.pstatic.net/stock-research/company/34/20251117_company_110575000.pdf","PDF")</f>
        <v>PDF</v>
      </c>
      <c r="K7051" s="12" t="s">
        <v>12035</v>
      </c>
      <c r="L7051" s="20">
        <v>0.31034482758620691</v>
      </c>
    </row>
    <row r="7052" spans="1:12" x14ac:dyDescent="0.45">
      <c r="A7052" s="12" t="s">
        <v>12021</v>
      </c>
      <c r="B7052" s="12" t="s">
        <v>1274</v>
      </c>
      <c r="C7052" s="13" t="s">
        <v>1275</v>
      </c>
      <c r="D7052" s="13" t="s">
        <v>60</v>
      </c>
      <c r="E7052" s="12" t="s">
        <v>35</v>
      </c>
      <c r="F7052" s="14">
        <v>179000</v>
      </c>
      <c r="G7052" s="14">
        <v>132400</v>
      </c>
      <c r="H7052" s="13" t="s">
        <v>12036</v>
      </c>
      <c r="I7052" s="40" t="s">
        <v>18</v>
      </c>
      <c r="J7052" s="40" t="str">
        <f>HYPERLINK("https://stock.pstatic.net/stock-research/company/34/20251117_company_550701000.pdf","PDF")</f>
        <v>PDF</v>
      </c>
      <c r="K7052" s="12" t="s">
        <v>12037</v>
      </c>
      <c r="L7052" s="20">
        <v>0.35196374622356502</v>
      </c>
    </row>
    <row r="7053" spans="1:12" x14ac:dyDescent="0.45">
      <c r="A7053" s="12" t="s">
        <v>12021</v>
      </c>
      <c r="B7053" s="12" t="s">
        <v>1686</v>
      </c>
      <c r="C7053" s="13" t="s">
        <v>1687</v>
      </c>
      <c r="D7053" s="13" t="s">
        <v>60</v>
      </c>
      <c r="E7053" s="12" t="s">
        <v>35</v>
      </c>
      <c r="F7053" s="14">
        <v>1860000</v>
      </c>
      <c r="G7053" s="14">
        <v>1320000</v>
      </c>
      <c r="H7053" s="13" t="s">
        <v>12038</v>
      </c>
      <c r="I7053" s="40" t="s">
        <v>18</v>
      </c>
      <c r="J7053" s="40" t="str">
        <f>HYPERLINK("https://stock.pstatic.net/stock-research/company/34/20251117_company_58961000.pdf","PDF")</f>
        <v>PDF</v>
      </c>
      <c r="K7053" s="12" t="s">
        <v>12039</v>
      </c>
      <c r="L7053" s="20">
        <v>0.40909090909090912</v>
      </c>
    </row>
    <row r="7054" spans="1:12" x14ac:dyDescent="0.45">
      <c r="A7054" s="12" t="s">
        <v>12021</v>
      </c>
      <c r="B7054" s="12" t="s">
        <v>1308</v>
      </c>
      <c r="C7054" s="13" t="s">
        <v>1309</v>
      </c>
      <c r="D7054" s="13" t="s">
        <v>60</v>
      </c>
      <c r="E7054" s="12" t="s">
        <v>35</v>
      </c>
      <c r="F7054" s="14">
        <v>570000</v>
      </c>
      <c r="G7054" s="14">
        <v>422500</v>
      </c>
      <c r="H7054" s="13" t="s">
        <v>12040</v>
      </c>
      <c r="I7054" s="40" t="s">
        <v>18</v>
      </c>
      <c r="J7054" s="40" t="str">
        <f>HYPERLINK("https://stock.pstatic.net/stock-research/company/34/20251117_company_572991000.pdf","PDF")</f>
        <v>PDF</v>
      </c>
      <c r="K7054" s="12" t="s">
        <v>12041</v>
      </c>
      <c r="L7054" s="20">
        <v>0.34911242603550302</v>
      </c>
    </row>
    <row r="7055" spans="1:12" x14ac:dyDescent="0.45">
      <c r="A7055" s="12" t="s">
        <v>12021</v>
      </c>
      <c r="B7055" s="12" t="s">
        <v>150</v>
      </c>
      <c r="C7055" s="13" t="s">
        <v>151</v>
      </c>
      <c r="D7055" s="13" t="s">
        <v>60</v>
      </c>
      <c r="E7055" s="12" t="s">
        <v>35</v>
      </c>
      <c r="F7055" s="14">
        <v>34000</v>
      </c>
      <c r="G7055" s="14">
        <v>20900</v>
      </c>
      <c r="H7055" s="13" t="s">
        <v>12042</v>
      </c>
      <c r="I7055" s="40" t="s">
        <v>18</v>
      </c>
      <c r="J7055" s="40" t="str">
        <f>HYPERLINK("https://stock.pstatic.net/stock-research/company/34/20251117_company_457088000.pdf","PDF")</f>
        <v>PDF</v>
      </c>
      <c r="K7055" s="12" t="s">
        <v>12043</v>
      </c>
      <c r="L7055" s="20">
        <v>0.62679425837320579</v>
      </c>
    </row>
    <row r="7056" spans="1:12" x14ac:dyDescent="0.45">
      <c r="A7056" s="12" t="s">
        <v>12021</v>
      </c>
      <c r="B7056" s="12" t="s">
        <v>698</v>
      </c>
      <c r="C7056" s="13" t="s">
        <v>699</v>
      </c>
      <c r="D7056" s="13" t="s">
        <v>65</v>
      </c>
      <c r="E7056" s="12" t="s">
        <v>35</v>
      </c>
      <c r="F7056" s="14">
        <v>290000</v>
      </c>
      <c r="G7056" s="14">
        <v>258000</v>
      </c>
      <c r="H7056" s="13" t="s">
        <v>12044</v>
      </c>
      <c r="I7056" s="40" t="s">
        <v>18</v>
      </c>
      <c r="J7056" s="40" t="str">
        <f>HYPERLINK("https://stock.pstatic.net/stock-research/company/57/20251117_company_603100000.pdf","PDF")</f>
        <v>PDF</v>
      </c>
      <c r="K7056" s="12" t="s">
        <v>12045</v>
      </c>
      <c r="L7056" s="20">
        <v>0.124031007751938</v>
      </c>
    </row>
    <row r="7057" spans="1:12" x14ac:dyDescent="0.45">
      <c r="A7057" s="12" t="s">
        <v>12021</v>
      </c>
      <c r="B7057" s="12" t="s">
        <v>362</v>
      </c>
      <c r="C7057" s="13" t="s">
        <v>363</v>
      </c>
      <c r="D7057" s="13" t="s">
        <v>65</v>
      </c>
      <c r="E7057" s="12" t="s">
        <v>35</v>
      </c>
      <c r="F7057" s="14">
        <v>105000</v>
      </c>
      <c r="G7057" s="14">
        <v>82900</v>
      </c>
      <c r="H7057" s="13" t="s">
        <v>12046</v>
      </c>
      <c r="I7057" s="40" t="s">
        <v>18</v>
      </c>
      <c r="J7057" s="40" t="str">
        <f>HYPERLINK("https://stock.pstatic.net/stock-research/company/57/20251117_company_798179000.pdf","PDF")</f>
        <v>PDF</v>
      </c>
      <c r="K7057" s="12" t="s">
        <v>12047</v>
      </c>
      <c r="L7057" s="20">
        <v>0.26658624849215917</v>
      </c>
    </row>
    <row r="7058" spans="1:12" x14ac:dyDescent="0.45">
      <c r="A7058" s="12" t="s">
        <v>12021</v>
      </c>
      <c r="B7058" s="12" t="s">
        <v>1674</v>
      </c>
      <c r="C7058" s="13" t="s">
        <v>1675</v>
      </c>
      <c r="D7058" s="13" t="s">
        <v>65</v>
      </c>
      <c r="E7058" s="12" t="s">
        <v>35</v>
      </c>
      <c r="F7058" s="14">
        <v>520000</v>
      </c>
      <c r="G7058" s="14">
        <v>407000</v>
      </c>
      <c r="H7058" s="13" t="s">
        <v>12048</v>
      </c>
      <c r="I7058" s="40" t="s">
        <v>18</v>
      </c>
      <c r="J7058" s="40" t="str">
        <f>HYPERLINK("https://stock.pstatic.net/stock-research/company/57/20251117_company_792429000.pdf","PDF")</f>
        <v>PDF</v>
      </c>
      <c r="K7058" s="12" t="s">
        <v>12049</v>
      </c>
      <c r="L7058" s="20">
        <v>0.27764127764127772</v>
      </c>
    </row>
    <row r="7059" spans="1:12" x14ac:dyDescent="0.45">
      <c r="A7059" s="12" t="s">
        <v>12021</v>
      </c>
      <c r="B7059" s="12" t="s">
        <v>1128</v>
      </c>
      <c r="C7059" s="13" t="s">
        <v>1129</v>
      </c>
      <c r="D7059" s="13" t="s">
        <v>65</v>
      </c>
      <c r="E7059" s="12" t="s">
        <v>35</v>
      </c>
      <c r="F7059" s="14">
        <v>140000</v>
      </c>
      <c r="G7059" s="14">
        <v>111100</v>
      </c>
      <c r="H7059" s="13" t="s">
        <v>12050</v>
      </c>
      <c r="I7059" s="40" t="s">
        <v>18</v>
      </c>
      <c r="J7059" s="40" t="str">
        <f>HYPERLINK("https://stock.pstatic.net/stock-research/company/57/20251117_company_102765000.pdf","PDF")</f>
        <v>PDF</v>
      </c>
      <c r="K7059" s="12" t="s">
        <v>12051</v>
      </c>
      <c r="L7059" s="20">
        <v>0.26012601260126011</v>
      </c>
    </row>
    <row r="7060" spans="1:12" x14ac:dyDescent="0.45">
      <c r="A7060" s="12" t="s">
        <v>12021</v>
      </c>
      <c r="B7060" s="12" t="s">
        <v>1286</v>
      </c>
      <c r="C7060" s="13" t="s">
        <v>1287</v>
      </c>
      <c r="D7060" s="13" t="s">
        <v>65</v>
      </c>
      <c r="E7060" s="12" t="s">
        <v>35</v>
      </c>
      <c r="F7060" s="14">
        <v>41000</v>
      </c>
      <c r="G7060" s="14">
        <v>34300</v>
      </c>
      <c r="H7060" s="13" t="s">
        <v>12052</v>
      </c>
      <c r="I7060" s="40" t="s">
        <v>18</v>
      </c>
      <c r="J7060" s="40" t="str">
        <f>HYPERLINK("https://stock.pstatic.net/stock-research/company/57/20251117_company_851671000.pdf","PDF")</f>
        <v>PDF</v>
      </c>
      <c r="K7060" s="12" t="s">
        <v>12053</v>
      </c>
      <c r="L7060" s="20">
        <v>0.19533527696792999</v>
      </c>
    </row>
    <row r="7061" spans="1:12" x14ac:dyDescent="0.45">
      <c r="A7061" s="12" t="s">
        <v>12021</v>
      </c>
      <c r="B7061" s="12" t="s">
        <v>6131</v>
      </c>
      <c r="C7061" s="13" t="s">
        <v>6132</v>
      </c>
      <c r="D7061" s="13" t="s">
        <v>65</v>
      </c>
      <c r="E7061" s="12" t="s">
        <v>35</v>
      </c>
      <c r="F7061" s="14">
        <v>15000</v>
      </c>
      <c r="G7061" s="14">
        <v>11380</v>
      </c>
      <c r="H7061" s="13" t="s">
        <v>12054</v>
      </c>
      <c r="I7061" s="40" t="s">
        <v>18</v>
      </c>
      <c r="J7061" s="40" t="str">
        <f>HYPERLINK("https://stock.pstatic.net/stock-research/company/57/20251117_company_531919000.pdf","PDF")</f>
        <v>PDF</v>
      </c>
      <c r="K7061" s="12" t="s">
        <v>12055</v>
      </c>
      <c r="L7061" s="20">
        <v>0.3181019332161687</v>
      </c>
    </row>
    <row r="7062" spans="1:12" x14ac:dyDescent="0.45">
      <c r="A7062" s="12" t="s">
        <v>12021</v>
      </c>
      <c r="B7062" s="12" t="s">
        <v>4206</v>
      </c>
      <c r="C7062" s="13" t="s">
        <v>4207</v>
      </c>
      <c r="D7062" s="13" t="s">
        <v>65</v>
      </c>
      <c r="E7062" s="12" t="s">
        <v>50</v>
      </c>
      <c r="F7062" s="13"/>
      <c r="G7062" s="14">
        <v>23600</v>
      </c>
      <c r="H7062" s="13" t="s">
        <v>12056</v>
      </c>
      <c r="I7062" s="40" t="s">
        <v>18</v>
      </c>
      <c r="J7062" s="40" t="str">
        <f>HYPERLINK("https://stock.pstatic.net/stock-research/company/57/20251117_company_170857000.pdf","PDF")</f>
        <v>PDF</v>
      </c>
      <c r="K7062" s="12" t="s">
        <v>12057</v>
      </c>
    </row>
    <row r="7063" spans="1:12" x14ac:dyDescent="0.45">
      <c r="A7063" s="12" t="s">
        <v>12021</v>
      </c>
      <c r="B7063" s="12" t="s">
        <v>1789</v>
      </c>
      <c r="C7063" s="13" t="s">
        <v>1790</v>
      </c>
      <c r="D7063" s="13" t="s">
        <v>65</v>
      </c>
      <c r="E7063" s="12" t="s">
        <v>35</v>
      </c>
      <c r="F7063" s="14">
        <v>60000</v>
      </c>
      <c r="G7063" s="14">
        <v>41700</v>
      </c>
      <c r="H7063" s="13" t="s">
        <v>12058</v>
      </c>
      <c r="I7063" s="40" t="s">
        <v>18</v>
      </c>
      <c r="J7063" s="40" t="str">
        <f>HYPERLINK("https://stock.pstatic.net/stock-research/company/57/20251117_company_751153000.pdf","PDF")</f>
        <v>PDF</v>
      </c>
      <c r="K7063" s="12" t="s">
        <v>12059</v>
      </c>
      <c r="L7063" s="20">
        <v>0.43884892086330929</v>
      </c>
    </row>
    <row r="7064" spans="1:12" x14ac:dyDescent="0.45">
      <c r="A7064" s="12" t="s">
        <v>12021</v>
      </c>
      <c r="B7064" s="12" t="s">
        <v>4446</v>
      </c>
      <c r="C7064" s="13" t="s">
        <v>4447</v>
      </c>
      <c r="D7064" s="13" t="s">
        <v>65</v>
      </c>
      <c r="E7064" s="12" t="s">
        <v>50</v>
      </c>
      <c r="F7064" s="13"/>
      <c r="G7064" s="14">
        <v>61300</v>
      </c>
      <c r="H7064" s="13" t="s">
        <v>12060</v>
      </c>
      <c r="I7064" s="40" t="s">
        <v>18</v>
      </c>
      <c r="J7064" s="40" t="str">
        <f>HYPERLINK("https://stock.pstatic.net/stock-research/company/57/20251117_company_936126000.pdf","PDF")</f>
        <v>PDF</v>
      </c>
      <c r="K7064" s="12" t="s">
        <v>12061</v>
      </c>
    </row>
    <row r="7065" spans="1:12" x14ac:dyDescent="0.45">
      <c r="A7065" s="12" t="s">
        <v>12021</v>
      </c>
      <c r="B7065" s="12" t="s">
        <v>12062</v>
      </c>
      <c r="C7065" s="13" t="s">
        <v>12063</v>
      </c>
      <c r="D7065" s="13" t="s">
        <v>158</v>
      </c>
      <c r="E7065" s="12" t="s">
        <v>50</v>
      </c>
      <c r="F7065" s="13"/>
      <c r="G7065" s="14">
        <v>8710</v>
      </c>
      <c r="H7065" s="13" t="s">
        <v>12064</v>
      </c>
      <c r="I7065" s="40" t="s">
        <v>18</v>
      </c>
      <c r="J7065" s="40" t="str">
        <f>HYPERLINK("https://stock.pstatic.net/stock-research/company/18/20251117_company_959906000.pdf","PDF")</f>
        <v>PDF</v>
      </c>
      <c r="K7065" s="12" t="s">
        <v>12065</v>
      </c>
    </row>
    <row r="7066" spans="1:12" x14ac:dyDescent="0.45">
      <c r="A7066" s="12" t="s">
        <v>12021</v>
      </c>
      <c r="B7066" s="12" t="s">
        <v>1350</v>
      </c>
      <c r="C7066" s="13" t="s">
        <v>1351</v>
      </c>
      <c r="D7066" s="13" t="s">
        <v>158</v>
      </c>
      <c r="E7066" s="12" t="s">
        <v>35</v>
      </c>
      <c r="F7066" s="14">
        <v>49000</v>
      </c>
      <c r="G7066" s="14">
        <v>33150</v>
      </c>
      <c r="H7066" s="13" t="s">
        <v>12066</v>
      </c>
      <c r="I7066" s="40" t="s">
        <v>18</v>
      </c>
      <c r="J7066" s="40" t="str">
        <f>HYPERLINK("https://stock.pstatic.net/stock-research/company/18/20251117_company_197067000.pdf","PDF")</f>
        <v>PDF</v>
      </c>
      <c r="K7066" s="12" t="s">
        <v>12067</v>
      </c>
      <c r="L7066" s="20">
        <v>0.47812971342383109</v>
      </c>
    </row>
    <row r="7067" spans="1:12" x14ac:dyDescent="0.45">
      <c r="A7067" s="12" t="s">
        <v>12021</v>
      </c>
      <c r="B7067" s="12" t="s">
        <v>370</v>
      </c>
      <c r="C7067" s="13" t="s">
        <v>371</v>
      </c>
      <c r="D7067" s="13" t="s">
        <v>158</v>
      </c>
      <c r="E7067" s="12" t="s">
        <v>35</v>
      </c>
      <c r="F7067" s="14">
        <v>98000</v>
      </c>
      <c r="G7067" s="14">
        <v>62100</v>
      </c>
      <c r="H7067" s="13" t="s">
        <v>12068</v>
      </c>
      <c r="I7067" s="40" t="s">
        <v>18</v>
      </c>
      <c r="J7067" s="40" t="str">
        <f>HYPERLINK("https://stock.pstatic.net/stock-research/company/18/20251117_company_732115000.pdf","PDF")</f>
        <v>PDF</v>
      </c>
      <c r="K7067" s="12" t="s">
        <v>12069</v>
      </c>
      <c r="L7067" s="20">
        <v>0.5780998389694042</v>
      </c>
    </row>
    <row r="7068" spans="1:12" x14ac:dyDescent="0.45">
      <c r="A7068" s="12" t="s">
        <v>12021</v>
      </c>
      <c r="B7068" s="12" t="s">
        <v>1648</v>
      </c>
      <c r="C7068" s="13" t="s">
        <v>1649</v>
      </c>
      <c r="D7068" s="13" t="s">
        <v>158</v>
      </c>
      <c r="E7068" s="12" t="s">
        <v>35</v>
      </c>
      <c r="F7068" s="14">
        <v>130000</v>
      </c>
      <c r="G7068" s="14">
        <v>101500</v>
      </c>
      <c r="H7068" s="13" t="s">
        <v>12070</v>
      </c>
      <c r="I7068" s="40" t="s">
        <v>18</v>
      </c>
      <c r="J7068" s="40" t="str">
        <f>HYPERLINK("https://stock.pstatic.net/stock-research/company/18/20251117_company_852948000.pdf","PDF")</f>
        <v>PDF</v>
      </c>
      <c r="K7068" s="12" t="s">
        <v>12071</v>
      </c>
      <c r="L7068" s="20">
        <v>0.28078817733990152</v>
      </c>
    </row>
    <row r="7069" spans="1:12" x14ac:dyDescent="0.45">
      <c r="A7069" s="12" t="s">
        <v>12021</v>
      </c>
      <c r="B7069" s="12" t="s">
        <v>259</v>
      </c>
      <c r="C7069" s="13" t="s">
        <v>260</v>
      </c>
      <c r="D7069" s="13" t="s">
        <v>158</v>
      </c>
      <c r="E7069" s="12" t="s">
        <v>35</v>
      </c>
      <c r="F7069" s="14">
        <v>100000</v>
      </c>
      <c r="G7069" s="14">
        <v>69500</v>
      </c>
      <c r="H7069" s="13" t="s">
        <v>12072</v>
      </c>
      <c r="I7069" s="40" t="s">
        <v>18</v>
      </c>
      <c r="J7069" s="40" t="str">
        <f>HYPERLINK("https://stock.pstatic.net/stock-research/company/18/20251117_company_423440000.pdf","PDF")</f>
        <v>PDF</v>
      </c>
      <c r="K7069" s="12" t="s">
        <v>12073</v>
      </c>
      <c r="L7069" s="20">
        <v>0.43884892086330929</v>
      </c>
    </row>
    <row r="7070" spans="1:12" x14ac:dyDescent="0.45">
      <c r="A7070" s="12" t="s">
        <v>12021</v>
      </c>
      <c r="B7070" s="12" t="s">
        <v>3105</v>
      </c>
      <c r="C7070" s="13" t="s">
        <v>3106</v>
      </c>
      <c r="D7070" s="13" t="s">
        <v>158</v>
      </c>
      <c r="E7070" s="12" t="s">
        <v>35</v>
      </c>
      <c r="F7070" s="14">
        <v>395000</v>
      </c>
      <c r="G7070" s="14">
        <v>297500</v>
      </c>
      <c r="H7070" s="13" t="s">
        <v>12074</v>
      </c>
      <c r="I7070" s="40" t="s">
        <v>18</v>
      </c>
      <c r="J7070" s="40" t="str">
        <f>HYPERLINK("https://stock.pstatic.net/stock-research/company/18/20251117_company_351433000.pdf","PDF")</f>
        <v>PDF</v>
      </c>
      <c r="K7070" s="12" t="s">
        <v>12075</v>
      </c>
      <c r="L7070" s="20">
        <v>0.32773109243697479</v>
      </c>
    </row>
    <row r="7071" spans="1:12" x14ac:dyDescent="0.45">
      <c r="A7071" s="12" t="s">
        <v>12021</v>
      </c>
      <c r="B7071" s="12" t="s">
        <v>1300</v>
      </c>
      <c r="C7071" s="13" t="s">
        <v>1301</v>
      </c>
      <c r="D7071" s="13" t="s">
        <v>158</v>
      </c>
      <c r="E7071" s="12" t="s">
        <v>159</v>
      </c>
      <c r="F7071" s="14">
        <v>130000</v>
      </c>
      <c r="G7071" s="14">
        <v>126500</v>
      </c>
      <c r="H7071" s="13" t="s">
        <v>12076</v>
      </c>
      <c r="I7071" s="40" t="s">
        <v>18</v>
      </c>
      <c r="J7071" s="40" t="str">
        <f>HYPERLINK("https://stock.pstatic.net/stock-research/company/18/20251117_company_948162000.pdf","PDF")</f>
        <v>PDF</v>
      </c>
      <c r="K7071" s="12" t="s">
        <v>12077</v>
      </c>
      <c r="L7071" s="20">
        <v>2.766798418972332E-2</v>
      </c>
    </row>
    <row r="7072" spans="1:12" x14ac:dyDescent="0.45">
      <c r="A7072" s="12" t="s">
        <v>12021</v>
      </c>
      <c r="B7072" s="12" t="s">
        <v>1686</v>
      </c>
      <c r="C7072" s="13" t="s">
        <v>1687</v>
      </c>
      <c r="D7072" s="13" t="s">
        <v>158</v>
      </c>
      <c r="E7072" s="12" t="s">
        <v>35</v>
      </c>
      <c r="F7072" s="14">
        <v>2000000</v>
      </c>
      <c r="G7072" s="14">
        <v>1320000</v>
      </c>
      <c r="H7072" s="13" t="s">
        <v>12078</v>
      </c>
      <c r="I7072" s="40" t="s">
        <v>18</v>
      </c>
      <c r="J7072" s="40" t="str">
        <f>HYPERLINK("https://stock.pstatic.net/stock-research/company/18/20251117_company_350549000.pdf","PDF")</f>
        <v>PDF</v>
      </c>
      <c r="K7072" s="12" t="s">
        <v>12079</v>
      </c>
      <c r="L7072" s="20">
        <v>0.51515151515151514</v>
      </c>
    </row>
    <row r="7073" spans="1:12" x14ac:dyDescent="0.45">
      <c r="A7073" s="12" t="s">
        <v>12021</v>
      </c>
      <c r="B7073" s="12" t="s">
        <v>1308</v>
      </c>
      <c r="C7073" s="13" t="s">
        <v>1309</v>
      </c>
      <c r="D7073" s="13" t="s">
        <v>158</v>
      </c>
      <c r="E7073" s="12" t="s">
        <v>35</v>
      </c>
      <c r="F7073" s="14">
        <v>530000</v>
      </c>
      <c r="G7073" s="14">
        <v>422500</v>
      </c>
      <c r="H7073" s="13" t="s">
        <v>12080</v>
      </c>
      <c r="I7073" s="40" t="s">
        <v>18</v>
      </c>
      <c r="J7073" s="40" t="str">
        <f>HYPERLINK("https://stock.pstatic.net/stock-research/company/18/20251117_company_205101000.pdf","PDF")</f>
        <v>PDF</v>
      </c>
      <c r="K7073" s="12" t="s">
        <v>12081</v>
      </c>
      <c r="L7073" s="20">
        <v>0.25443786982248517</v>
      </c>
    </row>
    <row r="7074" spans="1:12" x14ac:dyDescent="0.45">
      <c r="A7074" s="12" t="s">
        <v>12021</v>
      </c>
      <c r="B7074" s="12" t="s">
        <v>5787</v>
      </c>
      <c r="C7074" s="13" t="s">
        <v>5788</v>
      </c>
      <c r="D7074" s="13" t="s">
        <v>158</v>
      </c>
      <c r="E7074" s="12" t="s">
        <v>35</v>
      </c>
      <c r="F7074" s="14">
        <v>21000</v>
      </c>
      <c r="G7074" s="14">
        <v>13040</v>
      </c>
      <c r="H7074" s="13" t="s">
        <v>12082</v>
      </c>
      <c r="I7074" s="40" t="s">
        <v>18</v>
      </c>
      <c r="J7074" s="40" t="str">
        <f>HYPERLINK("https://stock.pstatic.net/stock-research/company/18/20251117_company_37542000.pdf","PDF")</f>
        <v>PDF</v>
      </c>
      <c r="K7074" s="12" t="s">
        <v>12083</v>
      </c>
      <c r="L7074" s="20">
        <v>0.61042944785276076</v>
      </c>
    </row>
    <row r="7075" spans="1:12" x14ac:dyDescent="0.45">
      <c r="A7075" s="12" t="s">
        <v>12021</v>
      </c>
      <c r="B7075" s="12" t="s">
        <v>86</v>
      </c>
      <c r="C7075" s="13" t="s">
        <v>87</v>
      </c>
      <c r="D7075" s="13" t="s">
        <v>15</v>
      </c>
      <c r="E7075" s="12" t="s">
        <v>16</v>
      </c>
      <c r="F7075" s="14">
        <v>157000</v>
      </c>
      <c r="G7075" s="14">
        <v>121900</v>
      </c>
      <c r="H7075" s="13" t="s">
        <v>12084</v>
      </c>
      <c r="I7075" s="40" t="s">
        <v>18</v>
      </c>
      <c r="J7075" s="40" t="str">
        <f>HYPERLINK("https://stock.pstatic.net/stock-research/company/29/20251117_company_648820000.pdf","PDF")</f>
        <v>PDF</v>
      </c>
      <c r="K7075" s="12" t="s">
        <v>12085</v>
      </c>
      <c r="L7075" s="20">
        <v>0.28794093519278102</v>
      </c>
    </row>
    <row r="7076" spans="1:12" x14ac:dyDescent="0.45">
      <c r="A7076" s="12" t="s">
        <v>12021</v>
      </c>
      <c r="B7076" s="12" t="s">
        <v>5503</v>
      </c>
      <c r="C7076" s="13" t="s">
        <v>5504</v>
      </c>
      <c r="D7076" s="13" t="s">
        <v>92</v>
      </c>
      <c r="E7076" s="12" t="s">
        <v>35</v>
      </c>
      <c r="F7076" s="14">
        <v>10000</v>
      </c>
      <c r="G7076" s="14">
        <v>5790</v>
      </c>
      <c r="H7076" s="13" t="s">
        <v>12086</v>
      </c>
      <c r="I7076" s="40" t="s">
        <v>18</v>
      </c>
      <c r="J7076" s="40" t="str">
        <f>HYPERLINK("https://stock.pstatic.net/stock-research/company/63/20251117_company_885006000.pdf","PDF")</f>
        <v>PDF</v>
      </c>
      <c r="K7076" s="12" t="s">
        <v>12087</v>
      </c>
      <c r="L7076" s="20">
        <v>0.72711571675302245</v>
      </c>
    </row>
    <row r="7077" spans="1:12" x14ac:dyDescent="0.45">
      <c r="A7077" s="12" t="s">
        <v>12021</v>
      </c>
      <c r="B7077" s="12" t="s">
        <v>1499</v>
      </c>
      <c r="C7077" s="13" t="s">
        <v>1500</v>
      </c>
      <c r="D7077" s="13" t="s">
        <v>92</v>
      </c>
      <c r="E7077" s="12" t="s">
        <v>35</v>
      </c>
      <c r="F7077" s="14">
        <v>12000</v>
      </c>
      <c r="G7077" s="14">
        <v>9570</v>
      </c>
      <c r="H7077" s="13" t="s">
        <v>12088</v>
      </c>
      <c r="I7077" s="40" t="s">
        <v>18</v>
      </c>
      <c r="J7077" s="40" t="str">
        <f>HYPERLINK("https://stock.pstatic.net/stock-research/company/63/20251117_company_508144000.pdf","PDF")</f>
        <v>PDF</v>
      </c>
      <c r="K7077" s="12" t="s">
        <v>12089</v>
      </c>
      <c r="L7077" s="20">
        <v>0.25391849529780558</v>
      </c>
    </row>
    <row r="7078" spans="1:12" x14ac:dyDescent="0.45">
      <c r="A7078" s="12" t="s">
        <v>12021</v>
      </c>
      <c r="B7078" s="12" t="s">
        <v>86</v>
      </c>
      <c r="C7078" s="13" t="s">
        <v>87</v>
      </c>
      <c r="D7078" s="13" t="s">
        <v>23</v>
      </c>
      <c r="E7078" s="12" t="s">
        <v>16</v>
      </c>
      <c r="F7078" s="14">
        <v>146000</v>
      </c>
      <c r="G7078" s="14">
        <v>121900</v>
      </c>
      <c r="H7078" s="13" t="s">
        <v>12090</v>
      </c>
      <c r="I7078" s="40" t="s">
        <v>18</v>
      </c>
      <c r="J7078" s="40" t="str">
        <f>HYPERLINK("https://stock.pstatic.net/stock-research/company/21/20251117_company_304100000.pdf","PDF")</f>
        <v>PDF</v>
      </c>
      <c r="K7078" s="12" t="s">
        <v>12091</v>
      </c>
      <c r="L7078" s="20">
        <v>0.19770303527481539</v>
      </c>
    </row>
    <row r="7079" spans="1:12" x14ac:dyDescent="0.45">
      <c r="A7079" s="12" t="s">
        <v>12021</v>
      </c>
      <c r="B7079" s="12" t="s">
        <v>1212</v>
      </c>
      <c r="C7079" s="13" t="s">
        <v>1213</v>
      </c>
      <c r="D7079" s="13" t="s">
        <v>23</v>
      </c>
      <c r="E7079" s="12" t="s">
        <v>50</v>
      </c>
      <c r="F7079" s="13"/>
      <c r="G7079" s="14">
        <v>49200</v>
      </c>
      <c r="H7079" s="13" t="s">
        <v>12092</v>
      </c>
      <c r="I7079" s="40" t="s">
        <v>18</v>
      </c>
      <c r="J7079" s="40" t="str">
        <f>HYPERLINK("https://stock.pstatic.net/stock-research/company/21/20251117_company_689894000.pdf","PDF")</f>
        <v>PDF</v>
      </c>
      <c r="K7079" s="12" t="s">
        <v>12093</v>
      </c>
    </row>
    <row r="7080" spans="1:12" x14ac:dyDescent="0.45">
      <c r="A7080" s="12" t="s">
        <v>12021</v>
      </c>
      <c r="B7080" s="12" t="s">
        <v>438</v>
      </c>
      <c r="C7080" s="13" t="s">
        <v>439</v>
      </c>
      <c r="D7080" s="13" t="s">
        <v>179</v>
      </c>
      <c r="E7080" s="12" t="s">
        <v>16</v>
      </c>
      <c r="F7080" s="14">
        <v>150000</v>
      </c>
      <c r="G7080" s="14">
        <v>95100</v>
      </c>
      <c r="H7080" s="13" t="s">
        <v>12094</v>
      </c>
      <c r="I7080" s="40" t="s">
        <v>18</v>
      </c>
      <c r="J7080" s="40" t="str">
        <f>HYPERLINK("https://stock.pstatic.net/stock-research/company/64/20251117_company_547001000.pdf","PDF")</f>
        <v>PDF</v>
      </c>
      <c r="K7080" s="12" t="s">
        <v>12095</v>
      </c>
      <c r="L7080" s="20">
        <v>0.57728706624605675</v>
      </c>
    </row>
    <row r="7081" spans="1:12" x14ac:dyDescent="0.45">
      <c r="A7081" s="12" t="s">
        <v>12021</v>
      </c>
      <c r="B7081" s="12" t="s">
        <v>1202</v>
      </c>
      <c r="C7081" s="13" t="s">
        <v>1203</v>
      </c>
      <c r="D7081" s="13" t="s">
        <v>92</v>
      </c>
      <c r="E7081" s="12" t="s">
        <v>50</v>
      </c>
      <c r="F7081" s="13"/>
      <c r="G7081" s="14">
        <v>3835</v>
      </c>
      <c r="H7081" s="13" t="s">
        <v>12096</v>
      </c>
      <c r="I7081" s="40" t="s">
        <v>18</v>
      </c>
      <c r="J7081" s="40" t="str">
        <f>HYPERLINK("https://stock.pstatic.net/stock-research/company/63/20251117_company_307617000.pdf","PDF")</f>
        <v>PDF</v>
      </c>
      <c r="K7081" s="12" t="s">
        <v>12097</v>
      </c>
    </row>
    <row r="7082" spans="1:12" x14ac:dyDescent="0.45">
      <c r="A7082" s="12" t="s">
        <v>12021</v>
      </c>
      <c r="B7082" s="12" t="s">
        <v>1401</v>
      </c>
      <c r="C7082" s="13" t="s">
        <v>1402</v>
      </c>
      <c r="D7082" s="13" t="s">
        <v>92</v>
      </c>
      <c r="E7082" s="12" t="s">
        <v>50</v>
      </c>
      <c r="F7082" s="13"/>
      <c r="G7082" s="14">
        <v>9700</v>
      </c>
      <c r="H7082" s="13" t="s">
        <v>12098</v>
      </c>
      <c r="I7082" s="40" t="s">
        <v>18</v>
      </c>
      <c r="J7082" s="40" t="str">
        <f>HYPERLINK("https://stock.pstatic.net/stock-research/company/63/20251117_company_148889000.pdf","PDF")</f>
        <v>PDF</v>
      </c>
      <c r="K7082" s="12" t="s">
        <v>12099</v>
      </c>
    </row>
    <row r="7083" spans="1:12" x14ac:dyDescent="0.45">
      <c r="A7083" s="12" t="s">
        <v>12021</v>
      </c>
      <c r="B7083" s="12" t="s">
        <v>1389</v>
      </c>
      <c r="C7083" s="13" t="s">
        <v>1390</v>
      </c>
      <c r="D7083" s="13" t="s">
        <v>92</v>
      </c>
      <c r="E7083" s="12" t="s">
        <v>35</v>
      </c>
      <c r="F7083" s="14">
        <v>22000</v>
      </c>
      <c r="G7083" s="14">
        <v>15900</v>
      </c>
      <c r="H7083" s="13" t="s">
        <v>12100</v>
      </c>
      <c r="I7083" s="40" t="s">
        <v>18</v>
      </c>
      <c r="J7083" s="40" t="str">
        <f>HYPERLINK("https://stock.pstatic.net/stock-research/company/63/20251117_company_676710000.pdf","PDF")</f>
        <v>PDF</v>
      </c>
      <c r="K7083" s="12" t="s">
        <v>12101</v>
      </c>
      <c r="L7083" s="20">
        <v>0.38364779874213839</v>
      </c>
    </row>
    <row r="7084" spans="1:12" x14ac:dyDescent="0.45">
      <c r="A7084" s="12" t="s">
        <v>12021</v>
      </c>
      <c r="B7084" s="12" t="s">
        <v>685</v>
      </c>
      <c r="C7084" s="13" t="s">
        <v>686</v>
      </c>
      <c r="D7084" s="13" t="s">
        <v>92</v>
      </c>
      <c r="E7084" s="12" t="s">
        <v>50</v>
      </c>
      <c r="F7084" s="13"/>
      <c r="G7084" s="14">
        <v>26200</v>
      </c>
      <c r="H7084" s="13" t="s">
        <v>12102</v>
      </c>
      <c r="I7084" s="40" t="s">
        <v>18</v>
      </c>
      <c r="J7084" s="40" t="str">
        <f>HYPERLINK("https://stock.pstatic.net/stock-research/company/63/20251117_company_194795000.pdf","PDF")</f>
        <v>PDF</v>
      </c>
      <c r="K7084" s="12" t="s">
        <v>12103</v>
      </c>
    </row>
    <row r="7085" spans="1:12" x14ac:dyDescent="0.45">
      <c r="A7085" s="12" t="s">
        <v>12021</v>
      </c>
      <c r="B7085" s="12" t="s">
        <v>1356</v>
      </c>
      <c r="C7085" s="13" t="s">
        <v>1357</v>
      </c>
      <c r="D7085" s="13" t="s">
        <v>53</v>
      </c>
      <c r="E7085" s="12" t="s">
        <v>16</v>
      </c>
      <c r="F7085" s="14">
        <v>23000</v>
      </c>
      <c r="G7085" s="14">
        <v>19020</v>
      </c>
      <c r="H7085" s="13" t="s">
        <v>12104</v>
      </c>
      <c r="I7085" s="40" t="s">
        <v>18</v>
      </c>
      <c r="J7085" s="40" t="str">
        <f>HYPERLINK("https://stock.pstatic.net/stock-research/company/40/20251117_company_450671000.pdf","PDF")</f>
        <v>PDF</v>
      </c>
      <c r="K7085" s="12" t="s">
        <v>12105</v>
      </c>
      <c r="L7085" s="20">
        <v>0.2092534174553102</v>
      </c>
    </row>
    <row r="7086" spans="1:12" x14ac:dyDescent="0.45">
      <c r="A7086" s="12" t="s">
        <v>12021</v>
      </c>
      <c r="B7086" s="12" t="s">
        <v>824</v>
      </c>
      <c r="C7086" s="13" t="s">
        <v>825</v>
      </c>
      <c r="D7086" s="13" t="s">
        <v>179</v>
      </c>
      <c r="E7086" s="12" t="s">
        <v>16</v>
      </c>
      <c r="F7086" s="14">
        <v>47000</v>
      </c>
      <c r="G7086" s="14">
        <v>40100</v>
      </c>
      <c r="H7086" s="13" t="s">
        <v>12106</v>
      </c>
      <c r="I7086" s="40" t="s">
        <v>18</v>
      </c>
      <c r="J7086" s="40" t="str">
        <f>HYPERLINK("https://m.stock.naver.com/research/company/88232","PDF")</f>
        <v>PDF</v>
      </c>
      <c r="K7086" s="12" t="s">
        <v>12107</v>
      </c>
      <c r="L7086" s="20">
        <v>0.172069825436409</v>
      </c>
    </row>
    <row r="7087" spans="1:12" x14ac:dyDescent="0.45">
      <c r="A7087" s="12" t="s">
        <v>12021</v>
      </c>
      <c r="B7087" s="12" t="s">
        <v>1377</v>
      </c>
      <c r="C7087" s="13" t="s">
        <v>1378</v>
      </c>
      <c r="D7087" s="13" t="s">
        <v>92</v>
      </c>
      <c r="E7087" s="12" t="s">
        <v>35</v>
      </c>
      <c r="F7087" s="14">
        <v>20000</v>
      </c>
      <c r="G7087" s="14">
        <v>13310</v>
      </c>
      <c r="H7087" s="13" t="s">
        <v>12108</v>
      </c>
      <c r="I7087" s="40" t="s">
        <v>18</v>
      </c>
      <c r="J7087" s="40" t="str">
        <f>HYPERLINK("https://m.stock.naver.com/research/company/88231","PDF")</f>
        <v>PDF</v>
      </c>
      <c r="K7087" s="12" t="s">
        <v>12109</v>
      </c>
      <c r="L7087" s="20">
        <v>0.50262960180315552</v>
      </c>
    </row>
    <row r="7088" spans="1:12" x14ac:dyDescent="0.45">
      <c r="A7088" s="12" t="s">
        <v>12021</v>
      </c>
      <c r="B7088" s="12" t="s">
        <v>5705</v>
      </c>
      <c r="C7088" s="13" t="s">
        <v>5706</v>
      </c>
      <c r="D7088" s="13" t="s">
        <v>53</v>
      </c>
      <c r="E7088" s="12" t="s">
        <v>16</v>
      </c>
      <c r="F7088" s="14">
        <v>95000</v>
      </c>
      <c r="G7088" s="14">
        <v>75300</v>
      </c>
      <c r="H7088" s="13" t="s">
        <v>12110</v>
      </c>
      <c r="I7088" s="40" t="s">
        <v>18</v>
      </c>
      <c r="J7088" s="40" t="str">
        <f>HYPERLINK("https://m.stock.naver.com/research/company/88230","PDF")</f>
        <v>PDF</v>
      </c>
      <c r="K7088" s="12" t="s">
        <v>12111</v>
      </c>
      <c r="L7088" s="20">
        <v>0.26162018592297481</v>
      </c>
    </row>
    <row r="7089" spans="1:12" x14ac:dyDescent="0.45">
      <c r="A7089" s="12" t="s">
        <v>12021</v>
      </c>
      <c r="B7089" s="12" t="s">
        <v>812</v>
      </c>
      <c r="C7089" s="13" t="s">
        <v>813</v>
      </c>
      <c r="D7089" s="13" t="s">
        <v>179</v>
      </c>
      <c r="E7089" s="12" t="s">
        <v>16</v>
      </c>
      <c r="F7089" s="14">
        <v>90000</v>
      </c>
      <c r="G7089" s="14">
        <v>69200</v>
      </c>
      <c r="H7089" s="13" t="s">
        <v>12112</v>
      </c>
      <c r="I7089" s="40" t="s">
        <v>18</v>
      </c>
      <c r="J7089" s="40" t="str">
        <f>HYPERLINK("https://m.stock.naver.com/research/company/88229","PDF")</f>
        <v>PDF</v>
      </c>
      <c r="K7089" s="12" t="s">
        <v>12113</v>
      </c>
      <c r="L7089" s="20">
        <v>0.30057803468208089</v>
      </c>
    </row>
    <row r="7090" spans="1:12" x14ac:dyDescent="0.45">
      <c r="A7090" s="12" t="s">
        <v>12021</v>
      </c>
      <c r="B7090" s="12" t="s">
        <v>322</v>
      </c>
      <c r="C7090" s="13" t="s">
        <v>323</v>
      </c>
      <c r="D7090" s="13" t="s">
        <v>92</v>
      </c>
      <c r="E7090" s="12" t="s">
        <v>35</v>
      </c>
      <c r="F7090" s="14">
        <v>68000</v>
      </c>
      <c r="G7090" s="14">
        <v>50400</v>
      </c>
      <c r="H7090" s="13" t="s">
        <v>12114</v>
      </c>
      <c r="I7090" s="40" t="s">
        <v>18</v>
      </c>
      <c r="J7090" s="40" t="str">
        <f>HYPERLINK("https://stock.pstatic.net/stock-research/company/63/20251117_company_819408000.pdf","PDF")</f>
        <v>PDF</v>
      </c>
      <c r="K7090" s="12" t="s">
        <v>12115</v>
      </c>
      <c r="L7090" s="20">
        <v>0.34920634920634919</v>
      </c>
    </row>
    <row r="7091" spans="1:12" x14ac:dyDescent="0.45">
      <c r="A7091" s="12" t="s">
        <v>12021</v>
      </c>
      <c r="B7091" s="12" t="s">
        <v>1686</v>
      </c>
      <c r="C7091" s="13" t="s">
        <v>1687</v>
      </c>
      <c r="D7091" s="13" t="s">
        <v>53</v>
      </c>
      <c r="E7091" s="12" t="s">
        <v>16</v>
      </c>
      <c r="F7091" s="14">
        <v>1750000</v>
      </c>
      <c r="G7091" s="14">
        <v>1320000</v>
      </c>
      <c r="H7091" s="13" t="s">
        <v>12116</v>
      </c>
      <c r="I7091" s="40" t="s">
        <v>18</v>
      </c>
      <c r="J7091" s="40" t="str">
        <f>HYPERLINK("https://stock.pstatic.net/stock-research/company/40/20251117_company_404492000.pdf","PDF")</f>
        <v>PDF</v>
      </c>
      <c r="K7091" s="12" t="s">
        <v>12117</v>
      </c>
      <c r="L7091" s="20">
        <v>0.32575757575757569</v>
      </c>
    </row>
    <row r="7092" spans="1:12" x14ac:dyDescent="0.45">
      <c r="A7092" s="12" t="s">
        <v>12021</v>
      </c>
      <c r="B7092" s="12" t="s">
        <v>1503</v>
      </c>
      <c r="C7092" s="13" t="s">
        <v>1504</v>
      </c>
      <c r="D7092" s="13" t="s">
        <v>92</v>
      </c>
      <c r="E7092" s="12" t="s">
        <v>35</v>
      </c>
      <c r="F7092" s="14">
        <v>16000</v>
      </c>
      <c r="G7092" s="14">
        <v>10790</v>
      </c>
      <c r="H7092" s="13" t="s">
        <v>12118</v>
      </c>
      <c r="I7092" s="40" t="s">
        <v>18</v>
      </c>
      <c r="J7092" s="40" t="str">
        <f>HYPERLINK("https://stock.pstatic.net/stock-research/company/63/20251117_company_231399000.pdf","PDF")</f>
        <v>PDF</v>
      </c>
      <c r="K7092" s="12" t="s">
        <v>12119</v>
      </c>
      <c r="L7092" s="20">
        <v>0.48285449490268773</v>
      </c>
    </row>
    <row r="7093" spans="1:12" x14ac:dyDescent="0.45">
      <c r="A7093" s="12" t="s">
        <v>12021</v>
      </c>
      <c r="B7093" s="12" t="s">
        <v>1198</v>
      </c>
      <c r="C7093" s="13" t="s">
        <v>1199</v>
      </c>
      <c r="D7093" s="13" t="s">
        <v>92</v>
      </c>
      <c r="E7093" s="12" t="s">
        <v>50</v>
      </c>
      <c r="F7093" s="13"/>
      <c r="G7093" s="14">
        <v>15400</v>
      </c>
      <c r="H7093" s="13" t="s">
        <v>12120</v>
      </c>
      <c r="I7093" s="40" t="s">
        <v>18</v>
      </c>
      <c r="J7093" s="40" t="str">
        <f>HYPERLINK("https://stock.pstatic.net/stock-research/company/63/20251117_company_406628000.pdf","PDF")</f>
        <v>PDF</v>
      </c>
      <c r="K7093" s="12" t="s">
        <v>12121</v>
      </c>
    </row>
    <row r="7094" spans="1:12" x14ac:dyDescent="0.45">
      <c r="A7094" s="12" t="s">
        <v>12021</v>
      </c>
      <c r="B7094" s="12" t="s">
        <v>1128</v>
      </c>
      <c r="C7094" s="13" t="s">
        <v>1129</v>
      </c>
      <c r="D7094" s="13" t="s">
        <v>179</v>
      </c>
      <c r="E7094" s="12" t="s">
        <v>16</v>
      </c>
      <c r="F7094" s="14">
        <v>144000</v>
      </c>
      <c r="G7094" s="14">
        <v>111100</v>
      </c>
      <c r="H7094" s="13" t="s">
        <v>12122</v>
      </c>
      <c r="I7094" s="40" t="s">
        <v>18</v>
      </c>
      <c r="J7094" s="40" t="str">
        <f>HYPERLINK("https://stock.pstatic.net/stock-research/company/64/20251117_company_674924000.pdf","PDF")</f>
        <v>PDF</v>
      </c>
      <c r="K7094" s="12" t="s">
        <v>12123</v>
      </c>
      <c r="L7094" s="20">
        <v>0.29612961296129608</v>
      </c>
    </row>
    <row r="7095" spans="1:12" x14ac:dyDescent="0.45">
      <c r="A7095" s="12" t="s">
        <v>12021</v>
      </c>
      <c r="B7095" s="12" t="s">
        <v>1274</v>
      </c>
      <c r="C7095" s="13" t="s">
        <v>1275</v>
      </c>
      <c r="D7095" s="13" t="s">
        <v>23</v>
      </c>
      <c r="E7095" s="12" t="s">
        <v>16</v>
      </c>
      <c r="F7095" s="14">
        <v>165000</v>
      </c>
      <c r="G7095" s="14">
        <v>132400</v>
      </c>
      <c r="H7095" s="13" t="s">
        <v>12124</v>
      </c>
      <c r="I7095" s="40" t="s">
        <v>18</v>
      </c>
      <c r="J7095" s="40" t="str">
        <f>HYPERLINK("https://stock.pstatic.net/stock-research/company/21/20251117_company_950722000.pdf","PDF")</f>
        <v>PDF</v>
      </c>
      <c r="K7095" s="12" t="s">
        <v>12125</v>
      </c>
      <c r="L7095" s="20">
        <v>0.24622356495468281</v>
      </c>
    </row>
    <row r="7096" spans="1:12" x14ac:dyDescent="0.45">
      <c r="A7096" s="12" t="s">
        <v>12021</v>
      </c>
      <c r="B7096" s="12" t="s">
        <v>10621</v>
      </c>
      <c r="C7096" s="13" t="s">
        <v>10622</v>
      </c>
      <c r="D7096" s="13" t="s">
        <v>34</v>
      </c>
      <c r="E7096" s="12" t="s">
        <v>50</v>
      </c>
      <c r="F7096" s="13"/>
      <c r="G7096" s="14">
        <v>17480</v>
      </c>
      <c r="H7096" s="13" t="s">
        <v>12126</v>
      </c>
      <c r="I7096" s="40" t="s">
        <v>18</v>
      </c>
      <c r="J7096" s="40" t="str">
        <f>HYPERLINK("https://m.stock.naver.com/research/company/88222","PDF")</f>
        <v>PDF</v>
      </c>
      <c r="K7096" s="12" t="s">
        <v>12127</v>
      </c>
    </row>
    <row r="7097" spans="1:12" x14ac:dyDescent="0.45">
      <c r="A7097" s="12" t="s">
        <v>12021</v>
      </c>
      <c r="B7097" s="12" t="s">
        <v>824</v>
      </c>
      <c r="C7097" s="13" t="s">
        <v>825</v>
      </c>
      <c r="D7097" s="13" t="s">
        <v>23</v>
      </c>
      <c r="E7097" s="12" t="s">
        <v>16</v>
      </c>
      <c r="F7097" s="14">
        <v>58000</v>
      </c>
      <c r="G7097" s="14">
        <v>40100</v>
      </c>
      <c r="H7097" s="13" t="s">
        <v>12128</v>
      </c>
      <c r="I7097" s="40" t="s">
        <v>18</v>
      </c>
      <c r="J7097" s="40" t="str">
        <f>HYPERLINK("https://stock.pstatic.net/stock-research/company/21/20251117_company_885990000.pdf","PDF")</f>
        <v>PDF</v>
      </c>
      <c r="K7097" s="12" t="s">
        <v>12129</v>
      </c>
      <c r="L7097" s="20">
        <v>0.44638403990024939</v>
      </c>
    </row>
    <row r="7098" spans="1:12" x14ac:dyDescent="0.45">
      <c r="A7098" s="12" t="s">
        <v>12021</v>
      </c>
      <c r="B7098" s="12" t="s">
        <v>21</v>
      </c>
      <c r="C7098" s="13" t="s">
        <v>22</v>
      </c>
      <c r="D7098" s="13" t="s">
        <v>23</v>
      </c>
      <c r="E7098" s="12" t="s">
        <v>16</v>
      </c>
      <c r="F7098" s="14">
        <v>35000</v>
      </c>
      <c r="G7098" s="14">
        <v>29000</v>
      </c>
      <c r="H7098" s="13" t="s">
        <v>12130</v>
      </c>
      <c r="I7098" s="40" t="s">
        <v>18</v>
      </c>
      <c r="J7098" s="40" t="str">
        <f>HYPERLINK("https://stock.pstatic.net/stock-research/company/21/20251117_company_535067000.pdf","PDF")</f>
        <v>PDF</v>
      </c>
      <c r="K7098" s="12" t="s">
        <v>12131</v>
      </c>
      <c r="L7098" s="20">
        <v>0.2068965517241379</v>
      </c>
    </row>
    <row r="7099" spans="1:12" x14ac:dyDescent="0.45">
      <c r="A7099" s="12" t="s">
        <v>12021</v>
      </c>
      <c r="B7099" s="12" t="s">
        <v>1463</v>
      </c>
      <c r="C7099" s="13" t="s">
        <v>1464</v>
      </c>
      <c r="D7099" s="13" t="s">
        <v>23</v>
      </c>
      <c r="E7099" s="12" t="s">
        <v>16</v>
      </c>
      <c r="F7099" s="14">
        <v>61000</v>
      </c>
      <c r="G7099" s="14">
        <v>51000</v>
      </c>
      <c r="H7099" s="13" t="s">
        <v>12132</v>
      </c>
      <c r="I7099" s="40" t="s">
        <v>18</v>
      </c>
      <c r="J7099" s="40" t="str">
        <f>HYPERLINK("https://stock.pstatic.net/stock-research/company/21/20251117_company_685799000.pdf","PDF")</f>
        <v>PDF</v>
      </c>
      <c r="K7099" s="12" t="s">
        <v>12133</v>
      </c>
      <c r="L7099" s="20">
        <v>0.19607843137254899</v>
      </c>
    </row>
    <row r="7100" spans="1:12" x14ac:dyDescent="0.45">
      <c r="A7100" s="12" t="s">
        <v>12021</v>
      </c>
      <c r="B7100" s="12" t="s">
        <v>8861</v>
      </c>
      <c r="C7100" s="13" t="s">
        <v>8862</v>
      </c>
      <c r="D7100" s="13" t="s">
        <v>53</v>
      </c>
      <c r="E7100" s="12" t="s">
        <v>16</v>
      </c>
      <c r="F7100" s="14">
        <v>42000</v>
      </c>
      <c r="G7100" s="14">
        <v>29000</v>
      </c>
      <c r="H7100" s="13" t="s">
        <v>12134</v>
      </c>
      <c r="I7100" s="40" t="s">
        <v>18</v>
      </c>
      <c r="J7100" s="40" t="str">
        <f>HYPERLINK("https://stock.pstatic.net/stock-research/company/40/20251117_company_812345000.pdf","PDF")</f>
        <v>PDF</v>
      </c>
      <c r="K7100" s="12" t="s">
        <v>12135</v>
      </c>
      <c r="L7100" s="20">
        <v>0.44827586206896552</v>
      </c>
    </row>
    <row r="7101" spans="1:12" x14ac:dyDescent="0.45">
      <c r="A7101" s="12" t="s">
        <v>12021</v>
      </c>
      <c r="B7101" s="12" t="s">
        <v>1407</v>
      </c>
      <c r="C7101" s="13" t="s">
        <v>1408</v>
      </c>
      <c r="D7101" s="13" t="s">
        <v>92</v>
      </c>
      <c r="E7101" s="12" t="s">
        <v>35</v>
      </c>
      <c r="F7101" s="14">
        <v>66000</v>
      </c>
      <c r="G7101" s="14">
        <v>40450</v>
      </c>
      <c r="H7101" s="13" t="s">
        <v>12136</v>
      </c>
      <c r="I7101" s="40" t="s">
        <v>18</v>
      </c>
      <c r="J7101" s="40" t="str">
        <f>HYPERLINK("https://m.stock.naver.com/research/company/88217","PDF")</f>
        <v>PDF</v>
      </c>
      <c r="K7101" s="12" t="s">
        <v>12137</v>
      </c>
      <c r="L7101" s="20">
        <v>0.63164400494437578</v>
      </c>
    </row>
    <row r="7102" spans="1:12" x14ac:dyDescent="0.45">
      <c r="A7102" s="12" t="s">
        <v>12021</v>
      </c>
      <c r="B7102" s="12" t="s">
        <v>894</v>
      </c>
      <c r="C7102" s="13" t="s">
        <v>26</v>
      </c>
      <c r="D7102" s="13" t="s">
        <v>23</v>
      </c>
      <c r="E7102" s="12" t="s">
        <v>16</v>
      </c>
      <c r="F7102" s="14">
        <v>72000</v>
      </c>
      <c r="G7102" s="14">
        <v>56500</v>
      </c>
      <c r="H7102" s="13" t="s">
        <v>12138</v>
      </c>
      <c r="I7102" s="40" t="s">
        <v>18</v>
      </c>
      <c r="J7102" s="40" t="str">
        <f>HYPERLINK("https://stock.pstatic.net/stock-research/company/21/20251117_company_628613000.pdf","PDF")</f>
        <v>PDF</v>
      </c>
      <c r="K7102" s="12" t="s">
        <v>12139</v>
      </c>
      <c r="L7102" s="20">
        <v>0.27433628318584069</v>
      </c>
    </row>
    <row r="7103" spans="1:12" x14ac:dyDescent="0.45">
      <c r="A7103" s="12" t="s">
        <v>12021</v>
      </c>
      <c r="B7103" s="12" t="s">
        <v>9826</v>
      </c>
      <c r="C7103" s="13" t="s">
        <v>9827</v>
      </c>
      <c r="D7103" s="13" t="s">
        <v>53</v>
      </c>
      <c r="E7103" s="12" t="s">
        <v>16</v>
      </c>
      <c r="F7103" s="14">
        <v>20000</v>
      </c>
      <c r="G7103" s="14">
        <v>7810</v>
      </c>
      <c r="H7103" s="13" t="s">
        <v>12140</v>
      </c>
      <c r="I7103" s="40" t="s">
        <v>18</v>
      </c>
      <c r="J7103" s="40" t="str">
        <f>HYPERLINK("https://stock.pstatic.net/stock-research/company/40/20251117_company_331513000.pdf","PDF")</f>
        <v>PDF</v>
      </c>
      <c r="K7103" s="12" t="s">
        <v>12141</v>
      </c>
      <c r="L7103" s="20">
        <v>1.560819462227913</v>
      </c>
    </row>
    <row r="7104" spans="1:12" x14ac:dyDescent="0.45">
      <c r="A7104" s="12" t="s">
        <v>12021</v>
      </c>
      <c r="B7104" s="12" t="s">
        <v>1682</v>
      </c>
      <c r="C7104" s="13" t="s">
        <v>4787</v>
      </c>
      <c r="D7104" s="13" t="s">
        <v>44</v>
      </c>
      <c r="E7104" s="12" t="s">
        <v>35</v>
      </c>
      <c r="F7104" s="14">
        <v>430000</v>
      </c>
      <c r="G7104" s="14">
        <v>231500</v>
      </c>
      <c r="H7104" s="13" t="s">
        <v>12142</v>
      </c>
      <c r="I7104" s="40" t="s">
        <v>18</v>
      </c>
      <c r="J7104" s="40" t="str">
        <f>HYPERLINK("https://stock.pstatic.net/stock-research/company/39/20251117_company_912174000.pdf","PDF")</f>
        <v>PDF</v>
      </c>
      <c r="K7104" s="12" t="s">
        <v>12143</v>
      </c>
      <c r="L7104" s="20">
        <v>0.85745140388768903</v>
      </c>
    </row>
    <row r="7105" spans="1:12" x14ac:dyDescent="0.45">
      <c r="A7105" s="12" t="s">
        <v>12021</v>
      </c>
      <c r="B7105" s="12" t="s">
        <v>6320</v>
      </c>
      <c r="C7105" s="13" t="s">
        <v>6321</v>
      </c>
      <c r="D7105" s="13" t="s">
        <v>44</v>
      </c>
      <c r="E7105" s="12" t="s">
        <v>50</v>
      </c>
      <c r="F7105" s="13"/>
      <c r="G7105" s="14">
        <v>2970</v>
      </c>
      <c r="H7105" s="13" t="s">
        <v>12144</v>
      </c>
      <c r="I7105" s="40" t="s">
        <v>18</v>
      </c>
      <c r="J7105" s="40" t="str">
        <f>HYPERLINK("https://m.stock.naver.com/research/company/88213","PDF")</f>
        <v>PDF</v>
      </c>
      <c r="K7105" s="12" t="s">
        <v>12145</v>
      </c>
    </row>
    <row r="7106" spans="1:12" x14ac:dyDescent="0.45">
      <c r="A7106" s="12" t="s">
        <v>12021</v>
      </c>
      <c r="B7106" s="12" t="s">
        <v>1686</v>
      </c>
      <c r="C7106" s="13" t="s">
        <v>1687</v>
      </c>
      <c r="D7106" s="13" t="s">
        <v>23</v>
      </c>
      <c r="E7106" s="12" t="s">
        <v>16</v>
      </c>
      <c r="F7106" s="14">
        <v>1750000</v>
      </c>
      <c r="G7106" s="14">
        <v>1320000</v>
      </c>
      <c r="H7106" s="13" t="s">
        <v>10199</v>
      </c>
      <c r="I7106" s="40" t="s">
        <v>18</v>
      </c>
      <c r="J7106" s="40" t="str">
        <f>HYPERLINK("https://m.stock.naver.com/research/company/88212","PDF")</f>
        <v>PDF</v>
      </c>
      <c r="K7106" s="12" t="s">
        <v>12146</v>
      </c>
      <c r="L7106" s="20">
        <v>0.32575757575757569</v>
      </c>
    </row>
    <row r="7107" spans="1:12" x14ac:dyDescent="0.45">
      <c r="A7107" s="12" t="s">
        <v>12021</v>
      </c>
      <c r="B7107" s="12" t="s">
        <v>1308</v>
      </c>
      <c r="C7107" s="13" t="s">
        <v>1309</v>
      </c>
      <c r="D7107" s="13" t="s">
        <v>23</v>
      </c>
      <c r="E7107" s="12" t="s">
        <v>35</v>
      </c>
      <c r="F7107" s="14">
        <v>570000</v>
      </c>
      <c r="G7107" s="14">
        <v>422500</v>
      </c>
      <c r="H7107" s="13" t="s">
        <v>12147</v>
      </c>
      <c r="I7107" s="40" t="s">
        <v>18</v>
      </c>
      <c r="J7107" s="40" t="str">
        <f>HYPERLINK("https://stock.pstatic.net/stock-research/company/21/20251117_company_845890000.pdf","PDF")</f>
        <v>PDF</v>
      </c>
      <c r="K7107" s="12" t="s">
        <v>12148</v>
      </c>
      <c r="L7107" s="20">
        <v>0.34911242603550302</v>
      </c>
    </row>
    <row r="7108" spans="1:12" x14ac:dyDescent="0.45">
      <c r="A7108" s="12" t="s">
        <v>12021</v>
      </c>
      <c r="B7108" s="12" t="s">
        <v>860</v>
      </c>
      <c r="C7108" s="13" t="s">
        <v>861</v>
      </c>
      <c r="D7108" s="13" t="s">
        <v>23</v>
      </c>
      <c r="E7108" s="12" t="s">
        <v>16</v>
      </c>
      <c r="F7108" s="14">
        <v>80000</v>
      </c>
      <c r="G7108" s="14">
        <v>45300</v>
      </c>
      <c r="H7108" s="13" t="s">
        <v>12149</v>
      </c>
      <c r="I7108" s="40" t="s">
        <v>18</v>
      </c>
      <c r="J7108" s="40" t="str">
        <f>HYPERLINK("https://m.stock.naver.com/research/company/88210","PDF")</f>
        <v>PDF</v>
      </c>
      <c r="K7108" s="12" t="s">
        <v>12150</v>
      </c>
      <c r="L7108" s="20">
        <v>0.76600441501103755</v>
      </c>
    </row>
    <row r="7109" spans="1:12" x14ac:dyDescent="0.45">
      <c r="A7109" s="12" t="s">
        <v>12021</v>
      </c>
      <c r="B7109" s="12" t="s">
        <v>1308</v>
      </c>
      <c r="C7109" s="13" t="s">
        <v>1309</v>
      </c>
      <c r="D7109" s="13" t="s">
        <v>34</v>
      </c>
      <c r="E7109" s="12" t="s">
        <v>35</v>
      </c>
      <c r="F7109" s="14">
        <v>550000</v>
      </c>
      <c r="G7109" s="14">
        <v>422500</v>
      </c>
      <c r="H7109" s="13" t="s">
        <v>12151</v>
      </c>
      <c r="I7109" s="40" t="s">
        <v>18</v>
      </c>
      <c r="J7109" s="40" t="str">
        <f>HYPERLINK("https://stock.pstatic.net/stock-research/company/61/20251117_company_415113000.pdf","PDF")</f>
        <v>PDF</v>
      </c>
      <c r="K7109" s="12" t="s">
        <v>12152</v>
      </c>
      <c r="L7109" s="20">
        <v>0.30177514792899413</v>
      </c>
    </row>
    <row r="7110" spans="1:12" x14ac:dyDescent="0.45">
      <c r="A7110" s="12" t="s">
        <v>12021</v>
      </c>
      <c r="B7110" s="12" t="s">
        <v>824</v>
      </c>
      <c r="C7110" s="13" t="s">
        <v>825</v>
      </c>
      <c r="D7110" s="13" t="s">
        <v>44</v>
      </c>
      <c r="E7110" s="12" t="s">
        <v>35</v>
      </c>
      <c r="F7110" s="14">
        <v>50000</v>
      </c>
      <c r="G7110" s="14">
        <v>40100</v>
      </c>
      <c r="H7110" s="13" t="s">
        <v>12153</v>
      </c>
      <c r="I7110" s="40" t="s">
        <v>18</v>
      </c>
      <c r="J7110" s="40" t="str">
        <f>HYPERLINK("https://stock.pstatic.net/stock-research/company/39/20251117_company_829038000.pdf","PDF")</f>
        <v>PDF</v>
      </c>
      <c r="K7110" s="12" t="s">
        <v>12154</v>
      </c>
      <c r="L7110" s="20">
        <v>0.24688279301745639</v>
      </c>
    </row>
    <row r="7111" spans="1:12" x14ac:dyDescent="0.45">
      <c r="A7111" s="12" t="s">
        <v>12021</v>
      </c>
      <c r="B7111" s="12" t="s">
        <v>1128</v>
      </c>
      <c r="C7111" s="13" t="s">
        <v>1129</v>
      </c>
      <c r="D7111" s="13" t="s">
        <v>44</v>
      </c>
      <c r="E7111" s="12" t="s">
        <v>35</v>
      </c>
      <c r="F7111" s="14">
        <v>140000</v>
      </c>
      <c r="G7111" s="14">
        <v>111100</v>
      </c>
      <c r="H7111" s="13" t="s">
        <v>12155</v>
      </c>
      <c r="I7111" s="40" t="s">
        <v>18</v>
      </c>
      <c r="J7111" s="40" t="str">
        <f>HYPERLINK("https://stock.pstatic.net/stock-research/company/39/20251117_company_915626000.pdf","PDF")</f>
        <v>PDF</v>
      </c>
      <c r="K7111" s="12" t="s">
        <v>12156</v>
      </c>
      <c r="L7111" s="20">
        <v>0.26012601260126011</v>
      </c>
    </row>
    <row r="7112" spans="1:12" x14ac:dyDescent="0.45">
      <c r="A7112" s="12" t="s">
        <v>12021</v>
      </c>
      <c r="B7112" s="12" t="s">
        <v>973</v>
      </c>
      <c r="C7112" s="13" t="s">
        <v>974</v>
      </c>
      <c r="D7112" s="13" t="s">
        <v>44</v>
      </c>
      <c r="E7112" s="12" t="s">
        <v>50</v>
      </c>
      <c r="F7112" s="13"/>
      <c r="G7112" s="14">
        <v>16050</v>
      </c>
      <c r="H7112" s="13" t="s">
        <v>12157</v>
      </c>
      <c r="I7112" s="40" t="s">
        <v>18</v>
      </c>
      <c r="J7112" s="40" t="str">
        <f>HYPERLINK("https://m.stock.naver.com/research/company/88206","PDF")</f>
        <v>PDF</v>
      </c>
      <c r="K7112" s="12" t="s">
        <v>12158</v>
      </c>
    </row>
    <row r="7113" spans="1:12" x14ac:dyDescent="0.45">
      <c r="A7113" s="12" t="s">
        <v>12021</v>
      </c>
      <c r="B7113" s="12" t="s">
        <v>1686</v>
      </c>
      <c r="C7113" s="13" t="s">
        <v>1687</v>
      </c>
      <c r="D7113" s="13" t="s">
        <v>34</v>
      </c>
      <c r="E7113" s="12" t="s">
        <v>35</v>
      </c>
      <c r="F7113" s="14">
        <v>1800000</v>
      </c>
      <c r="G7113" s="14">
        <v>1320000</v>
      </c>
      <c r="H7113" s="13" t="s">
        <v>12159</v>
      </c>
      <c r="I7113" s="40" t="s">
        <v>18</v>
      </c>
      <c r="J7113" s="40" t="str">
        <f>HYPERLINK("https://stock.pstatic.net/stock-research/company/61/20251117_company_132591000.pdf","PDF")</f>
        <v>PDF</v>
      </c>
      <c r="K7113" s="12" t="s">
        <v>12160</v>
      </c>
      <c r="L7113" s="20">
        <v>0.36363636363636359</v>
      </c>
    </row>
    <row r="7114" spans="1:12" x14ac:dyDescent="0.45">
      <c r="A7114" s="12" t="s">
        <v>12021</v>
      </c>
      <c r="B7114" s="12" t="s">
        <v>1308</v>
      </c>
      <c r="C7114" s="13" t="s">
        <v>1309</v>
      </c>
      <c r="D7114" s="13" t="s">
        <v>44</v>
      </c>
      <c r="E7114" s="12" t="s">
        <v>35</v>
      </c>
      <c r="F7114" s="14">
        <v>540000</v>
      </c>
      <c r="G7114" s="14">
        <v>422500</v>
      </c>
      <c r="H7114" s="13" t="s">
        <v>12161</v>
      </c>
      <c r="I7114" s="40" t="s">
        <v>18</v>
      </c>
      <c r="J7114" s="40" t="str">
        <f>HYPERLINK("https://stock.pstatic.net/stock-research/company/39/20251117_company_576553000.pdf","PDF")</f>
        <v>PDF</v>
      </c>
      <c r="K7114" s="12" t="s">
        <v>12162</v>
      </c>
      <c r="L7114" s="20">
        <v>0.27810650887573962</v>
      </c>
    </row>
    <row r="7115" spans="1:12" x14ac:dyDescent="0.45">
      <c r="A7115" s="12" t="s">
        <v>12021</v>
      </c>
      <c r="B7115" s="12" t="s">
        <v>1686</v>
      </c>
      <c r="C7115" s="13" t="s">
        <v>1687</v>
      </c>
      <c r="D7115" s="13" t="s">
        <v>44</v>
      </c>
      <c r="E7115" s="12" t="s">
        <v>35</v>
      </c>
      <c r="F7115" s="14">
        <v>1850000</v>
      </c>
      <c r="G7115" s="14">
        <v>1320000</v>
      </c>
      <c r="H7115" s="13" t="s">
        <v>12163</v>
      </c>
      <c r="I7115" s="40" t="s">
        <v>18</v>
      </c>
      <c r="J7115" s="40" t="str">
        <f>HYPERLINK("https://m.stock.naver.com/research/company/88203","PDF")</f>
        <v>PDF</v>
      </c>
      <c r="K7115" s="12" t="s">
        <v>12164</v>
      </c>
      <c r="L7115" s="20">
        <v>0.40151515151515149</v>
      </c>
    </row>
    <row r="7116" spans="1:12" x14ac:dyDescent="0.45">
      <c r="A7116" s="12" t="s">
        <v>12021</v>
      </c>
      <c r="B7116" s="12" t="s">
        <v>1262</v>
      </c>
      <c r="C7116" s="13" t="s">
        <v>1263</v>
      </c>
      <c r="D7116" s="13" t="s">
        <v>44</v>
      </c>
      <c r="E7116" s="12" t="s">
        <v>45</v>
      </c>
      <c r="F7116" s="14">
        <v>3500</v>
      </c>
      <c r="G7116" s="14">
        <v>3130</v>
      </c>
      <c r="H7116" s="13" t="s">
        <v>12165</v>
      </c>
      <c r="I7116" s="40" t="s">
        <v>18</v>
      </c>
      <c r="J7116" s="40" t="str">
        <f>HYPERLINK("https://stock.pstatic.net/stock-research/company/39/20251117_company_260913000.pdf","PDF")</f>
        <v>PDF</v>
      </c>
      <c r="K7116" s="12" t="s">
        <v>12166</v>
      </c>
      <c r="L7116" s="20">
        <v>0.1182108626198083</v>
      </c>
    </row>
    <row r="7117" spans="1:12" x14ac:dyDescent="0.45">
      <c r="A7117" s="12" t="s">
        <v>12021</v>
      </c>
      <c r="B7117" s="12" t="s">
        <v>1274</v>
      </c>
      <c r="C7117" s="13" t="s">
        <v>1275</v>
      </c>
      <c r="D7117" s="13" t="s">
        <v>44</v>
      </c>
      <c r="E7117" s="12" t="s">
        <v>35</v>
      </c>
      <c r="F7117" s="14">
        <v>160000</v>
      </c>
      <c r="G7117" s="14">
        <v>132400</v>
      </c>
      <c r="H7117" s="13" t="s">
        <v>12167</v>
      </c>
      <c r="I7117" s="40" t="s">
        <v>18</v>
      </c>
      <c r="J7117" s="40" t="str">
        <f>HYPERLINK("https://m.stock.naver.com/research/company/88201","PDF")</f>
        <v>PDF</v>
      </c>
      <c r="K7117" s="12" t="s">
        <v>12168</v>
      </c>
      <c r="L7117" s="20">
        <v>0.20845921450151059</v>
      </c>
    </row>
    <row r="7118" spans="1:12" x14ac:dyDescent="0.45">
      <c r="A7118" s="12" t="s">
        <v>12021</v>
      </c>
      <c r="B7118" s="12" t="s">
        <v>86</v>
      </c>
      <c r="C7118" s="13" t="s">
        <v>87</v>
      </c>
      <c r="D7118" s="13" t="s">
        <v>44</v>
      </c>
      <c r="E7118" s="12" t="s">
        <v>35</v>
      </c>
      <c r="F7118" s="14">
        <v>150000</v>
      </c>
      <c r="G7118" s="14">
        <v>121900</v>
      </c>
      <c r="H7118" s="13" t="s">
        <v>12169</v>
      </c>
      <c r="I7118" s="40" t="s">
        <v>18</v>
      </c>
      <c r="J7118" s="40" t="str">
        <f>HYPERLINK("https://stock.pstatic.net/stock-research/company/39/20251117_company_199370000.pdf","PDF")</f>
        <v>PDF</v>
      </c>
      <c r="K7118" s="12" t="s">
        <v>12170</v>
      </c>
      <c r="L7118" s="20">
        <v>0.23051681706316651</v>
      </c>
    </row>
    <row r="7119" spans="1:12" x14ac:dyDescent="0.45">
      <c r="A7119" s="12" t="s">
        <v>12171</v>
      </c>
      <c r="B7119" s="12" t="s">
        <v>1252</v>
      </c>
      <c r="C7119" s="13" t="s">
        <v>1253</v>
      </c>
      <c r="D7119" s="13" t="s">
        <v>57</v>
      </c>
      <c r="E7119" s="12" t="s">
        <v>35</v>
      </c>
      <c r="F7119" s="14">
        <v>7800</v>
      </c>
      <c r="G7119" s="14">
        <v>5960</v>
      </c>
      <c r="H7119" s="13" t="s">
        <v>12172</v>
      </c>
      <c r="I7119" s="40" t="s">
        <v>18</v>
      </c>
      <c r="J7119" s="40" t="str">
        <f>HYPERLINK("https://m.stock.naver.com/research/company/88199","PDF")</f>
        <v>PDF</v>
      </c>
      <c r="K7119" s="12" t="s">
        <v>12173</v>
      </c>
      <c r="L7119" s="20">
        <v>0.3087248322147651</v>
      </c>
    </row>
    <row r="7120" spans="1:12" x14ac:dyDescent="0.45">
      <c r="A7120" s="12" t="s">
        <v>12171</v>
      </c>
      <c r="B7120" s="12" t="s">
        <v>677</v>
      </c>
      <c r="C7120" s="13" t="s">
        <v>678</v>
      </c>
      <c r="D7120" s="13" t="s">
        <v>57</v>
      </c>
      <c r="E7120" s="12" t="s">
        <v>35</v>
      </c>
      <c r="F7120" s="14">
        <v>15000</v>
      </c>
      <c r="G7120" s="14">
        <v>12070</v>
      </c>
      <c r="H7120" s="13" t="s">
        <v>12174</v>
      </c>
      <c r="I7120" s="40" t="s">
        <v>18</v>
      </c>
      <c r="J7120" s="40" t="str">
        <f>HYPERLINK("https://m.stock.naver.com/research/company/88198","PDF")</f>
        <v>PDF</v>
      </c>
      <c r="K7120" s="12" t="s">
        <v>12175</v>
      </c>
      <c r="L7120" s="20">
        <v>0.2427506213753107</v>
      </c>
    </row>
    <row r="7121" spans="1:12" x14ac:dyDescent="0.45">
      <c r="A7121" s="12" t="s">
        <v>12171</v>
      </c>
      <c r="B7121" s="12" t="s">
        <v>1252</v>
      </c>
      <c r="C7121" s="13" t="s">
        <v>1253</v>
      </c>
      <c r="D7121" s="13" t="s">
        <v>60</v>
      </c>
      <c r="E7121" s="12" t="s">
        <v>35</v>
      </c>
      <c r="F7121" s="14">
        <v>7000</v>
      </c>
      <c r="G7121" s="14">
        <v>6060</v>
      </c>
      <c r="H7121" s="13" t="s">
        <v>12176</v>
      </c>
      <c r="I7121" s="40" t="s">
        <v>18</v>
      </c>
      <c r="J7121" s="40" t="str">
        <f>HYPERLINK("https://m.stock.naver.com/research/company/88197","PDF")</f>
        <v>PDF</v>
      </c>
      <c r="K7121" s="12" t="s">
        <v>12177</v>
      </c>
      <c r="L7121" s="20">
        <v>0.15511551155115511</v>
      </c>
    </row>
    <row r="7122" spans="1:12" x14ac:dyDescent="0.45">
      <c r="A7122" s="12" t="s">
        <v>12171</v>
      </c>
      <c r="B7122" s="12" t="s">
        <v>3150</v>
      </c>
      <c r="C7122" s="13" t="s">
        <v>3151</v>
      </c>
      <c r="D7122" s="13" t="s">
        <v>60</v>
      </c>
      <c r="E7122" s="12" t="s">
        <v>35</v>
      </c>
      <c r="F7122" s="14">
        <v>190000</v>
      </c>
      <c r="G7122" s="14">
        <v>163500</v>
      </c>
      <c r="H7122" s="13" t="s">
        <v>12178</v>
      </c>
      <c r="I7122" s="40" t="s">
        <v>18</v>
      </c>
      <c r="J7122" s="40" t="str">
        <f>HYPERLINK("https://m.stock.naver.com/research/company/88196","PDF")</f>
        <v>PDF</v>
      </c>
      <c r="K7122" s="12" t="s">
        <v>12179</v>
      </c>
      <c r="L7122" s="20">
        <v>0.1620795107033639</v>
      </c>
    </row>
    <row r="7123" spans="1:12" x14ac:dyDescent="0.45">
      <c r="A7123" s="12" t="s">
        <v>12171</v>
      </c>
      <c r="B7123" s="12" t="s">
        <v>1258</v>
      </c>
      <c r="C7123" s="13" t="s">
        <v>1259</v>
      </c>
      <c r="D7123" s="13" t="s">
        <v>60</v>
      </c>
      <c r="E7123" s="12" t="s">
        <v>35</v>
      </c>
      <c r="F7123" s="14">
        <v>570000</v>
      </c>
      <c r="G7123" s="14">
        <v>522000</v>
      </c>
      <c r="H7123" s="13" t="s">
        <v>12180</v>
      </c>
      <c r="I7123" s="40" t="s">
        <v>18</v>
      </c>
      <c r="J7123" s="40" t="str">
        <f>HYPERLINK("https://m.stock.naver.com/research/company/88195","PDF")</f>
        <v>PDF</v>
      </c>
      <c r="K7123" s="12" t="s">
        <v>12181</v>
      </c>
      <c r="L7123" s="20">
        <v>9.1954022988505746E-2</v>
      </c>
    </row>
    <row r="7124" spans="1:12" x14ac:dyDescent="0.45">
      <c r="A7124" s="12" t="s">
        <v>12171</v>
      </c>
      <c r="B7124" s="12" t="s">
        <v>1266</v>
      </c>
      <c r="C7124" s="13" t="s">
        <v>1267</v>
      </c>
      <c r="D7124" s="13" t="s">
        <v>60</v>
      </c>
      <c r="E7124" s="12" t="s">
        <v>35</v>
      </c>
      <c r="F7124" s="14">
        <v>188000</v>
      </c>
      <c r="G7124" s="14">
        <v>167000</v>
      </c>
      <c r="H7124" s="13" t="s">
        <v>12182</v>
      </c>
      <c r="I7124" s="40" t="s">
        <v>18</v>
      </c>
      <c r="J7124" s="40" t="str">
        <f>HYPERLINK("https://m.stock.naver.com/research/company/88194","PDF")</f>
        <v>PDF</v>
      </c>
      <c r="K7124" s="12" t="s">
        <v>12183</v>
      </c>
      <c r="L7124" s="20">
        <v>0.125748502994012</v>
      </c>
    </row>
    <row r="7125" spans="1:12" x14ac:dyDescent="0.45">
      <c r="A7125" s="12" t="s">
        <v>12171</v>
      </c>
      <c r="B7125" s="12" t="s">
        <v>12184</v>
      </c>
      <c r="C7125" s="13" t="s">
        <v>12185</v>
      </c>
      <c r="D7125" s="13" t="s">
        <v>65</v>
      </c>
      <c r="E7125" s="12" t="s">
        <v>50</v>
      </c>
      <c r="F7125" s="13"/>
      <c r="G7125" s="14">
        <v>8690</v>
      </c>
      <c r="H7125" s="13" t="s">
        <v>12186</v>
      </c>
      <c r="I7125" s="40" t="s">
        <v>18</v>
      </c>
      <c r="J7125" s="40" t="str">
        <f>HYPERLINK("https://m.stock.naver.com/research/company/88193","PDF")</f>
        <v>PDF</v>
      </c>
      <c r="K7125" s="12" t="s">
        <v>12187</v>
      </c>
    </row>
    <row r="7126" spans="1:12" x14ac:dyDescent="0.45">
      <c r="A7126" s="12" t="s">
        <v>12171</v>
      </c>
      <c r="B7126" s="12" t="s">
        <v>661</v>
      </c>
      <c r="C7126" s="13" t="s">
        <v>662</v>
      </c>
      <c r="D7126" s="13" t="s">
        <v>65</v>
      </c>
      <c r="E7126" s="12" t="s">
        <v>35</v>
      </c>
      <c r="F7126" s="14">
        <v>27000</v>
      </c>
      <c r="G7126" s="14">
        <v>19820</v>
      </c>
      <c r="H7126" s="13" t="s">
        <v>12188</v>
      </c>
      <c r="I7126" s="40" t="s">
        <v>18</v>
      </c>
      <c r="J7126" s="40" t="str">
        <f>HYPERLINK("https://m.stock.naver.com/research/company/88192","PDF")</f>
        <v>PDF</v>
      </c>
      <c r="K7126" s="12" t="s">
        <v>12189</v>
      </c>
      <c r="L7126" s="20">
        <v>0.36226034308779009</v>
      </c>
    </row>
    <row r="7127" spans="1:12" x14ac:dyDescent="0.45">
      <c r="A7127" s="12" t="s">
        <v>12171</v>
      </c>
      <c r="B7127" s="12" t="s">
        <v>76</v>
      </c>
      <c r="C7127" s="13" t="s">
        <v>77</v>
      </c>
      <c r="D7127" s="13" t="s">
        <v>65</v>
      </c>
      <c r="E7127" s="12" t="s">
        <v>1738</v>
      </c>
      <c r="F7127" s="14">
        <v>21000</v>
      </c>
      <c r="G7127" s="14">
        <v>20000</v>
      </c>
      <c r="H7127" s="13" t="s">
        <v>12190</v>
      </c>
      <c r="I7127" s="40" t="s">
        <v>18</v>
      </c>
      <c r="J7127" s="40" t="str">
        <f>HYPERLINK("https://stock.pstatic.net/stock-research/company/57/20251114_company_131925000.pdf","PDF")</f>
        <v>PDF</v>
      </c>
      <c r="K7127" s="12" t="s">
        <v>12191</v>
      </c>
      <c r="L7127" s="20">
        <v>0.05</v>
      </c>
    </row>
    <row r="7128" spans="1:12" x14ac:dyDescent="0.45">
      <c r="A7128" s="12" t="s">
        <v>12171</v>
      </c>
      <c r="B7128" s="12" t="s">
        <v>1140</v>
      </c>
      <c r="C7128" s="13" t="s">
        <v>1141</v>
      </c>
      <c r="D7128" s="13" t="s">
        <v>65</v>
      </c>
      <c r="E7128" s="12" t="s">
        <v>35</v>
      </c>
      <c r="F7128" s="14">
        <v>65000</v>
      </c>
      <c r="G7128" s="14">
        <v>49250</v>
      </c>
      <c r="H7128" s="13" t="s">
        <v>12192</v>
      </c>
      <c r="I7128" s="40" t="s">
        <v>18</v>
      </c>
      <c r="J7128" s="40" t="str">
        <f>HYPERLINK("https://stock.pstatic.net/stock-research/company/57/20251114_company_809924000.pdf","PDF")</f>
        <v>PDF</v>
      </c>
      <c r="K7128" s="12" t="s">
        <v>12193</v>
      </c>
      <c r="L7128" s="20">
        <v>0.31979695431472083</v>
      </c>
    </row>
    <row r="7129" spans="1:12" x14ac:dyDescent="0.45">
      <c r="A7129" s="12" t="s">
        <v>12171</v>
      </c>
      <c r="B7129" s="12" t="s">
        <v>1556</v>
      </c>
      <c r="C7129" s="13" t="s">
        <v>1557</v>
      </c>
      <c r="D7129" s="13" t="s">
        <v>65</v>
      </c>
      <c r="E7129" s="12" t="s">
        <v>35</v>
      </c>
      <c r="F7129" s="14">
        <v>28000</v>
      </c>
      <c r="G7129" s="14">
        <v>19270</v>
      </c>
      <c r="H7129" s="13" t="s">
        <v>12194</v>
      </c>
      <c r="I7129" s="40" t="s">
        <v>18</v>
      </c>
      <c r="J7129" s="40" t="str">
        <f>HYPERLINK("https://stock.pstatic.net/stock-research/company/57/20251114_company_847648000.pdf","PDF")</f>
        <v>PDF</v>
      </c>
      <c r="K7129" s="12" t="s">
        <v>12195</v>
      </c>
      <c r="L7129" s="20">
        <v>0.45303580695381418</v>
      </c>
    </row>
    <row r="7130" spans="1:12" x14ac:dyDescent="0.45">
      <c r="A7130" s="12" t="s">
        <v>12171</v>
      </c>
      <c r="B7130" s="12" t="s">
        <v>3708</v>
      </c>
      <c r="C7130" s="13" t="s">
        <v>3709</v>
      </c>
      <c r="D7130" s="13" t="s">
        <v>158</v>
      </c>
      <c r="E7130" s="12" t="s">
        <v>50</v>
      </c>
      <c r="F7130" s="13"/>
      <c r="G7130" s="14">
        <v>18560</v>
      </c>
      <c r="H7130" s="13" t="s">
        <v>12196</v>
      </c>
      <c r="I7130" s="40" t="s">
        <v>18</v>
      </c>
      <c r="J7130" s="40" t="str">
        <f>HYPERLINK("https://stock.pstatic.net/stock-research/company/18/20251114_company_214636000.pdf","PDF")</f>
        <v>PDF</v>
      </c>
      <c r="K7130" s="12" t="s">
        <v>12197</v>
      </c>
    </row>
    <row r="7131" spans="1:12" x14ac:dyDescent="0.45">
      <c r="A7131" s="12" t="s">
        <v>12171</v>
      </c>
      <c r="B7131" s="12" t="s">
        <v>495</v>
      </c>
      <c r="C7131" s="13" t="s">
        <v>496</v>
      </c>
      <c r="D7131" s="13" t="s">
        <v>158</v>
      </c>
      <c r="E7131" s="12" t="s">
        <v>35</v>
      </c>
      <c r="F7131" s="14">
        <v>330000</v>
      </c>
      <c r="G7131" s="14">
        <v>213500</v>
      </c>
      <c r="H7131" s="13" t="s">
        <v>12198</v>
      </c>
      <c r="I7131" s="40" t="s">
        <v>18</v>
      </c>
      <c r="J7131" s="40" t="str">
        <f>HYPERLINK("https://stock.pstatic.net/stock-research/company/18/20251114_company_248348000.pdf","PDF")</f>
        <v>PDF</v>
      </c>
      <c r="K7131" s="12" t="s">
        <v>12199</v>
      </c>
      <c r="L7131" s="20">
        <v>0.54566744730679162</v>
      </c>
    </row>
    <row r="7132" spans="1:12" x14ac:dyDescent="0.45">
      <c r="A7132" s="12" t="s">
        <v>12171</v>
      </c>
      <c r="B7132" s="12" t="s">
        <v>2191</v>
      </c>
      <c r="C7132" s="13" t="s">
        <v>2192</v>
      </c>
      <c r="D7132" s="13" t="s">
        <v>158</v>
      </c>
      <c r="E7132" s="12" t="s">
        <v>35</v>
      </c>
      <c r="F7132" s="14">
        <v>96000</v>
      </c>
      <c r="G7132" s="14">
        <v>72700</v>
      </c>
      <c r="H7132" s="13" t="s">
        <v>12200</v>
      </c>
      <c r="I7132" s="40" t="s">
        <v>18</v>
      </c>
      <c r="J7132" s="40" t="str">
        <f>HYPERLINK("https://stock.pstatic.net/stock-research/company/18/20251114_company_231529000.pdf","PDF")</f>
        <v>PDF</v>
      </c>
      <c r="K7132" s="12" t="s">
        <v>12201</v>
      </c>
      <c r="L7132" s="20">
        <v>0.32049518569463548</v>
      </c>
    </row>
    <row r="7133" spans="1:12" x14ac:dyDescent="0.45">
      <c r="A7133" s="12" t="s">
        <v>12171</v>
      </c>
      <c r="B7133" s="12" t="s">
        <v>76</v>
      </c>
      <c r="C7133" s="13" t="s">
        <v>77</v>
      </c>
      <c r="D7133" s="13" t="s">
        <v>158</v>
      </c>
      <c r="E7133" s="12" t="s">
        <v>159</v>
      </c>
      <c r="F7133" s="14">
        <v>22000</v>
      </c>
      <c r="G7133" s="14">
        <v>20000</v>
      </c>
      <c r="H7133" s="13" t="s">
        <v>12202</v>
      </c>
      <c r="I7133" s="40" t="s">
        <v>18</v>
      </c>
      <c r="J7133" s="40" t="str">
        <f>HYPERLINK("https://stock.pstatic.net/stock-research/company/18/20251114_company_298831000.pdf","PDF")</f>
        <v>PDF</v>
      </c>
      <c r="K7133" s="12" t="s">
        <v>12203</v>
      </c>
      <c r="L7133" s="20">
        <v>0.1</v>
      </c>
    </row>
    <row r="7134" spans="1:12" x14ac:dyDescent="0.45">
      <c r="A7134" s="12" t="s">
        <v>12171</v>
      </c>
      <c r="B7134" s="12" t="s">
        <v>3383</v>
      </c>
      <c r="C7134" s="13" t="s">
        <v>3384</v>
      </c>
      <c r="D7134" s="13" t="s">
        <v>158</v>
      </c>
      <c r="E7134" s="12" t="s">
        <v>35</v>
      </c>
      <c r="F7134" s="14">
        <v>65000</v>
      </c>
      <c r="G7134" s="14">
        <v>46500</v>
      </c>
      <c r="H7134" s="13" t="s">
        <v>12204</v>
      </c>
      <c r="I7134" s="40" t="s">
        <v>18</v>
      </c>
      <c r="J7134" s="40" t="str">
        <f>HYPERLINK("https://stock.pstatic.net/stock-research/company/18/20251114_company_517866000.pdf","PDF")</f>
        <v>PDF</v>
      </c>
      <c r="K7134" s="12" t="s">
        <v>12205</v>
      </c>
      <c r="L7134" s="20">
        <v>0.39784946236559138</v>
      </c>
    </row>
    <row r="7135" spans="1:12" x14ac:dyDescent="0.45">
      <c r="A7135" s="12" t="s">
        <v>12171</v>
      </c>
      <c r="B7135" s="12" t="s">
        <v>3230</v>
      </c>
      <c r="C7135" s="13" t="s">
        <v>3231</v>
      </c>
      <c r="D7135" s="13" t="s">
        <v>78</v>
      </c>
      <c r="E7135" s="12" t="s">
        <v>50</v>
      </c>
      <c r="F7135" s="13"/>
      <c r="G7135" s="13"/>
      <c r="H7135" s="13" t="s">
        <v>12206</v>
      </c>
      <c r="I7135" s="40" t="s">
        <v>18</v>
      </c>
      <c r="J7135" s="40" t="str">
        <f>HYPERLINK("https://m.stock.naver.com/research/company/88183","PDF")</f>
        <v>PDF</v>
      </c>
      <c r="K7135" s="12" t="s">
        <v>12207</v>
      </c>
    </row>
    <row r="7136" spans="1:12" x14ac:dyDescent="0.45">
      <c r="A7136" s="12" t="s">
        <v>12171</v>
      </c>
      <c r="B7136" s="12" t="s">
        <v>1140</v>
      </c>
      <c r="C7136" s="13" t="s">
        <v>1141</v>
      </c>
      <c r="D7136" s="13" t="s">
        <v>15</v>
      </c>
      <c r="E7136" s="12" t="s">
        <v>385</v>
      </c>
      <c r="F7136" s="14">
        <v>51000</v>
      </c>
      <c r="G7136" s="14">
        <v>49250</v>
      </c>
      <c r="H7136" s="13" t="s">
        <v>12208</v>
      </c>
      <c r="I7136" s="40" t="s">
        <v>18</v>
      </c>
      <c r="J7136" s="40" t="str">
        <f>HYPERLINK("https://stock.pstatic.net/stock-research/company/29/20251114_company_551193000.pdf","PDF")</f>
        <v>PDF</v>
      </c>
      <c r="K7136" s="12" t="s">
        <v>12209</v>
      </c>
      <c r="L7136" s="20">
        <v>3.553299492385787E-2</v>
      </c>
    </row>
    <row r="7137" spans="1:12" x14ac:dyDescent="0.45">
      <c r="A7137" s="12" t="s">
        <v>12171</v>
      </c>
      <c r="B7137" s="12" t="s">
        <v>1912</v>
      </c>
      <c r="C7137" s="13" t="s">
        <v>7834</v>
      </c>
      <c r="D7137" s="13" t="s">
        <v>92</v>
      </c>
      <c r="E7137" s="12" t="s">
        <v>35</v>
      </c>
      <c r="F7137" s="14">
        <v>180000</v>
      </c>
      <c r="G7137" s="14">
        <v>100000</v>
      </c>
      <c r="H7137" s="13" t="s">
        <v>12210</v>
      </c>
      <c r="I7137" s="40" t="s">
        <v>18</v>
      </c>
      <c r="J7137" s="40" t="str">
        <f>HYPERLINK("https://stock.pstatic.net/stock-research/company/63/20251114_company_617190000.pdf","PDF")</f>
        <v>PDF</v>
      </c>
      <c r="K7137" s="12" t="s">
        <v>12211</v>
      </c>
      <c r="L7137" s="20">
        <v>0.8</v>
      </c>
    </row>
    <row r="7138" spans="1:12" x14ac:dyDescent="0.45">
      <c r="A7138" s="12" t="s">
        <v>12171</v>
      </c>
      <c r="B7138" s="12" t="s">
        <v>1278</v>
      </c>
      <c r="C7138" s="13" t="s">
        <v>1279</v>
      </c>
      <c r="D7138" s="13" t="s">
        <v>15</v>
      </c>
      <c r="E7138" s="12" t="s">
        <v>385</v>
      </c>
      <c r="F7138" s="14">
        <v>180000</v>
      </c>
      <c r="G7138" s="14">
        <v>177000</v>
      </c>
      <c r="H7138" s="13" t="s">
        <v>12212</v>
      </c>
      <c r="I7138" s="40" t="s">
        <v>18</v>
      </c>
      <c r="J7138" s="40" t="str">
        <f>HYPERLINK("https://stock.pstatic.net/stock-research/company/29/20251114_company_697547000.pdf","PDF")</f>
        <v>PDF</v>
      </c>
      <c r="K7138" s="12" t="s">
        <v>12213</v>
      </c>
      <c r="L7138" s="20">
        <v>1.6949152542372881E-2</v>
      </c>
    </row>
    <row r="7139" spans="1:12" x14ac:dyDescent="0.45">
      <c r="A7139" s="12" t="s">
        <v>12171</v>
      </c>
      <c r="B7139" s="12" t="s">
        <v>1266</v>
      </c>
      <c r="C7139" s="13" t="s">
        <v>1267</v>
      </c>
      <c r="D7139" s="13" t="s">
        <v>15</v>
      </c>
      <c r="E7139" s="12" t="s">
        <v>385</v>
      </c>
      <c r="F7139" s="14">
        <v>166000</v>
      </c>
      <c r="G7139" s="14">
        <v>168400</v>
      </c>
      <c r="H7139" s="13" t="s">
        <v>12214</v>
      </c>
      <c r="I7139" s="40" t="s">
        <v>18</v>
      </c>
      <c r="J7139" s="40" t="str">
        <f>HYPERLINK("https://stock.pstatic.net/stock-research/company/29/20251114_company_978662000.pdf","PDF")</f>
        <v>PDF</v>
      </c>
      <c r="K7139" s="12" t="s">
        <v>12215</v>
      </c>
      <c r="L7139" s="20">
        <v>-1.425178147268409E-2</v>
      </c>
    </row>
    <row r="7140" spans="1:12" x14ac:dyDescent="0.45">
      <c r="A7140" s="12" t="s">
        <v>12171</v>
      </c>
      <c r="B7140" s="12" t="s">
        <v>1140</v>
      </c>
      <c r="C7140" s="13" t="s">
        <v>1141</v>
      </c>
      <c r="D7140" s="13" t="s">
        <v>179</v>
      </c>
      <c r="E7140" s="12" t="s">
        <v>385</v>
      </c>
      <c r="F7140" s="13"/>
      <c r="G7140" s="14">
        <v>49250</v>
      </c>
      <c r="H7140" s="13" t="s">
        <v>12216</v>
      </c>
      <c r="I7140" s="40" t="s">
        <v>18</v>
      </c>
      <c r="J7140" s="40" t="str">
        <f>HYPERLINK("https://stock.pstatic.net/stock-research/company/64/20251114_company_4582000.pdf","PDF")</f>
        <v>PDF</v>
      </c>
      <c r="K7140" s="12" t="s">
        <v>12217</v>
      </c>
    </row>
    <row r="7141" spans="1:12" x14ac:dyDescent="0.45">
      <c r="A7141" s="12" t="s">
        <v>12171</v>
      </c>
      <c r="B7141" s="12" t="s">
        <v>836</v>
      </c>
      <c r="C7141" s="13" t="s">
        <v>837</v>
      </c>
      <c r="D7141" s="13" t="s">
        <v>83</v>
      </c>
      <c r="E7141" s="12" t="s">
        <v>35</v>
      </c>
      <c r="F7141" s="14">
        <v>390000</v>
      </c>
      <c r="G7141" s="14">
        <v>323500</v>
      </c>
      <c r="H7141" s="13" t="s">
        <v>12218</v>
      </c>
      <c r="I7141" s="40" t="s">
        <v>18</v>
      </c>
      <c r="J7141" s="40" t="str">
        <f>HYPERLINK("https://stock.pstatic.net/stock-research/company/2/20251114_company_951844000.pdf","PDF")</f>
        <v>PDF</v>
      </c>
      <c r="K7141" s="12" t="s">
        <v>12219</v>
      </c>
      <c r="L7141" s="20">
        <v>0.205564142194745</v>
      </c>
    </row>
    <row r="7142" spans="1:12" x14ac:dyDescent="0.45">
      <c r="A7142" s="12" t="s">
        <v>12171</v>
      </c>
      <c r="B7142" s="12" t="s">
        <v>1266</v>
      </c>
      <c r="C7142" s="13" t="s">
        <v>1267</v>
      </c>
      <c r="D7142" s="13" t="s">
        <v>83</v>
      </c>
      <c r="E7142" s="12" t="s">
        <v>642</v>
      </c>
      <c r="F7142" s="14">
        <v>189000</v>
      </c>
      <c r="G7142" s="14">
        <v>168400</v>
      </c>
      <c r="H7142" s="13" t="s">
        <v>12220</v>
      </c>
      <c r="I7142" s="40" t="s">
        <v>18</v>
      </c>
      <c r="J7142" s="40" t="str">
        <f>HYPERLINK("https://stock.pstatic.net/stock-research/company/2/20251114_company_367977000.pdf","PDF")</f>
        <v>PDF</v>
      </c>
      <c r="K7142" s="12" t="s">
        <v>12221</v>
      </c>
      <c r="L7142" s="20">
        <v>0.1223277909738717</v>
      </c>
    </row>
    <row r="7143" spans="1:12" x14ac:dyDescent="0.45">
      <c r="A7143" s="12" t="s">
        <v>12171</v>
      </c>
      <c r="B7143" s="12" t="s">
        <v>677</v>
      </c>
      <c r="C7143" s="13" t="s">
        <v>678</v>
      </c>
      <c r="D7143" s="13" t="s">
        <v>83</v>
      </c>
      <c r="E7143" s="12" t="s">
        <v>35</v>
      </c>
      <c r="F7143" s="14">
        <v>15000</v>
      </c>
      <c r="G7143" s="14">
        <v>11950</v>
      </c>
      <c r="H7143" s="13" t="s">
        <v>12222</v>
      </c>
      <c r="I7143" s="40" t="s">
        <v>18</v>
      </c>
      <c r="J7143" s="40" t="str">
        <f>HYPERLINK("https://stock.pstatic.net/stock-research/company/2/20251114_company_843925000.pdf","PDF")</f>
        <v>PDF</v>
      </c>
      <c r="K7143" s="12" t="s">
        <v>12223</v>
      </c>
      <c r="L7143" s="20">
        <v>0.25523012552301261</v>
      </c>
    </row>
    <row r="7144" spans="1:12" x14ac:dyDescent="0.45">
      <c r="A7144" s="12" t="s">
        <v>12171</v>
      </c>
      <c r="B7144" s="12" t="s">
        <v>1258</v>
      </c>
      <c r="C7144" s="13" t="s">
        <v>1259</v>
      </c>
      <c r="D7144" s="13" t="s">
        <v>83</v>
      </c>
      <c r="E7144" s="12" t="s">
        <v>642</v>
      </c>
      <c r="F7144" s="14">
        <v>490000</v>
      </c>
      <c r="G7144" s="14">
        <v>500000</v>
      </c>
      <c r="H7144" s="13" t="s">
        <v>12224</v>
      </c>
      <c r="I7144" s="40" t="s">
        <v>18</v>
      </c>
      <c r="J7144" s="40" t="str">
        <f>HYPERLINK("https://stock.pstatic.net/stock-research/company/2/20251114_company_292492000.pdf","PDF")</f>
        <v>PDF</v>
      </c>
      <c r="K7144" s="12" t="s">
        <v>12225</v>
      </c>
      <c r="L7144" s="20">
        <v>-0.02</v>
      </c>
    </row>
    <row r="7145" spans="1:12" x14ac:dyDescent="0.45">
      <c r="A7145" s="12" t="s">
        <v>12171</v>
      </c>
      <c r="B7145" s="12" t="s">
        <v>1140</v>
      </c>
      <c r="C7145" s="13" t="s">
        <v>1141</v>
      </c>
      <c r="D7145" s="13" t="s">
        <v>83</v>
      </c>
      <c r="E7145" s="12" t="s">
        <v>35</v>
      </c>
      <c r="F7145" s="14">
        <v>64000</v>
      </c>
      <c r="G7145" s="14">
        <v>49250</v>
      </c>
      <c r="H7145" s="13" t="s">
        <v>12226</v>
      </c>
      <c r="I7145" s="40" t="s">
        <v>18</v>
      </c>
      <c r="J7145" s="40" t="str">
        <f>HYPERLINK("https://stock.pstatic.net/stock-research/company/2/20251114_company_750563000.pdf","PDF")</f>
        <v>PDF</v>
      </c>
      <c r="K7145" s="12" t="s">
        <v>12227</v>
      </c>
      <c r="L7145" s="20">
        <v>0.29949238578680198</v>
      </c>
    </row>
    <row r="7146" spans="1:12" x14ac:dyDescent="0.45">
      <c r="A7146" s="12" t="s">
        <v>12171</v>
      </c>
      <c r="B7146" s="12" t="s">
        <v>868</v>
      </c>
      <c r="C7146" s="13" t="s">
        <v>869</v>
      </c>
      <c r="D7146" s="13" t="s">
        <v>179</v>
      </c>
      <c r="E7146" s="12" t="s">
        <v>16</v>
      </c>
      <c r="F7146" s="14">
        <v>50000</v>
      </c>
      <c r="G7146" s="14">
        <v>39150</v>
      </c>
      <c r="H7146" s="13" t="s">
        <v>12228</v>
      </c>
      <c r="I7146" s="40" t="s">
        <v>18</v>
      </c>
      <c r="J7146" s="40" t="str">
        <f>HYPERLINK("https://stock.pstatic.net/stock-research/company/64/20251114_company_35143000.pdf","PDF")</f>
        <v>PDF</v>
      </c>
      <c r="K7146" s="12" t="s">
        <v>12229</v>
      </c>
      <c r="L7146" s="20">
        <v>0.27713920817369092</v>
      </c>
    </row>
    <row r="7147" spans="1:12" x14ac:dyDescent="0.45">
      <c r="A7147" s="12" t="s">
        <v>12171</v>
      </c>
      <c r="B7147" s="12" t="s">
        <v>1258</v>
      </c>
      <c r="C7147" s="13" t="s">
        <v>1259</v>
      </c>
      <c r="D7147" s="13" t="s">
        <v>15</v>
      </c>
      <c r="E7147" s="12" t="s">
        <v>385</v>
      </c>
      <c r="F7147" s="14">
        <v>480000</v>
      </c>
      <c r="G7147" s="14">
        <v>500000</v>
      </c>
      <c r="H7147" s="13" t="s">
        <v>12230</v>
      </c>
      <c r="I7147" s="40" t="s">
        <v>18</v>
      </c>
      <c r="J7147" s="40" t="str">
        <f>HYPERLINK("https://stock.pstatic.net/stock-research/company/29/20251114_company_664001000.pdf","PDF")</f>
        <v>PDF</v>
      </c>
      <c r="K7147" s="12" t="s">
        <v>12231</v>
      </c>
      <c r="L7147" s="20">
        <v>-0.04</v>
      </c>
    </row>
    <row r="7148" spans="1:12" x14ac:dyDescent="0.45">
      <c r="A7148" s="12" t="s">
        <v>12171</v>
      </c>
      <c r="B7148" s="12" t="s">
        <v>1258</v>
      </c>
      <c r="C7148" s="13" t="s">
        <v>1259</v>
      </c>
      <c r="D7148" s="13" t="s">
        <v>23</v>
      </c>
      <c r="E7148" s="12" t="s">
        <v>16</v>
      </c>
      <c r="F7148" s="14">
        <v>550000</v>
      </c>
      <c r="G7148" s="14">
        <v>500000</v>
      </c>
      <c r="H7148" s="13" t="s">
        <v>12232</v>
      </c>
      <c r="I7148" s="40" t="s">
        <v>18</v>
      </c>
      <c r="J7148" s="40" t="str">
        <f>HYPERLINK("https://stock.pstatic.net/stock-research/company/21/20251114_company_79425000.pdf","PDF")</f>
        <v>PDF</v>
      </c>
      <c r="K7148" s="12" t="s">
        <v>12233</v>
      </c>
      <c r="L7148" s="20">
        <v>0.1</v>
      </c>
    </row>
    <row r="7149" spans="1:12" x14ac:dyDescent="0.45">
      <c r="A7149" s="12" t="s">
        <v>12171</v>
      </c>
      <c r="B7149" s="12" t="s">
        <v>426</v>
      </c>
      <c r="C7149" s="13" t="s">
        <v>427</v>
      </c>
      <c r="D7149" s="13" t="s">
        <v>23</v>
      </c>
      <c r="E7149" s="12" t="s">
        <v>16</v>
      </c>
      <c r="F7149" s="14">
        <v>23000</v>
      </c>
      <c r="G7149" s="14">
        <v>15040</v>
      </c>
      <c r="H7149" s="13" t="s">
        <v>12234</v>
      </c>
      <c r="I7149" s="40" t="s">
        <v>18</v>
      </c>
      <c r="J7149" s="40" t="str">
        <f>HYPERLINK("https://stock.pstatic.net/stock-research/company/21/20251114_company_738999000.pdf","PDF")</f>
        <v>PDF</v>
      </c>
      <c r="K7149" s="12" t="s">
        <v>12235</v>
      </c>
      <c r="L7149" s="20">
        <v>0.5292553191489362</v>
      </c>
    </row>
    <row r="7150" spans="1:12" x14ac:dyDescent="0.45">
      <c r="A7150" s="12" t="s">
        <v>12171</v>
      </c>
      <c r="B7150" s="12" t="s">
        <v>76</v>
      </c>
      <c r="C7150" s="13" t="s">
        <v>77</v>
      </c>
      <c r="D7150" s="13" t="s">
        <v>15</v>
      </c>
      <c r="E7150" s="12" t="s">
        <v>16</v>
      </c>
      <c r="F7150" s="14">
        <v>26000</v>
      </c>
      <c r="G7150" s="14">
        <v>20000</v>
      </c>
      <c r="H7150" s="13" t="s">
        <v>12236</v>
      </c>
      <c r="I7150" s="40" t="s">
        <v>18</v>
      </c>
      <c r="J7150" s="40" t="str">
        <f>HYPERLINK("https://stock.pstatic.net/stock-research/company/29/20251114_company_480665000.pdf","PDF")</f>
        <v>PDF</v>
      </c>
      <c r="K7150" s="12" t="s">
        <v>12237</v>
      </c>
      <c r="L7150" s="20">
        <v>0.3</v>
      </c>
    </row>
    <row r="7151" spans="1:12" x14ac:dyDescent="0.45">
      <c r="A7151" s="12" t="s">
        <v>12171</v>
      </c>
      <c r="B7151" s="12" t="s">
        <v>1140</v>
      </c>
      <c r="C7151" s="13" t="s">
        <v>1141</v>
      </c>
      <c r="D7151" s="13" t="s">
        <v>23</v>
      </c>
      <c r="E7151" s="12" t="s">
        <v>50</v>
      </c>
      <c r="F7151" s="14">
        <v>50000</v>
      </c>
      <c r="G7151" s="14">
        <v>49250</v>
      </c>
      <c r="H7151" s="13" t="s">
        <v>12238</v>
      </c>
      <c r="I7151" s="40" t="s">
        <v>18</v>
      </c>
      <c r="J7151" s="40" t="str">
        <f>HYPERLINK("https://stock.pstatic.net/stock-research/company/21/20251114_company_776108000.pdf","PDF")</f>
        <v>PDF</v>
      </c>
      <c r="K7151" s="12" t="s">
        <v>12239</v>
      </c>
      <c r="L7151" s="20">
        <v>1.522842639593909E-2</v>
      </c>
    </row>
    <row r="7152" spans="1:12" x14ac:dyDescent="0.45">
      <c r="A7152" s="12" t="s">
        <v>12171</v>
      </c>
      <c r="B7152" s="12" t="s">
        <v>1491</v>
      </c>
      <c r="C7152" s="13" t="s">
        <v>1492</v>
      </c>
      <c r="D7152" s="13" t="s">
        <v>92</v>
      </c>
      <c r="E7152" s="12" t="s">
        <v>35</v>
      </c>
      <c r="F7152" s="14">
        <v>30000</v>
      </c>
      <c r="G7152" s="14">
        <v>17510</v>
      </c>
      <c r="H7152" s="13" t="s">
        <v>12240</v>
      </c>
      <c r="I7152" s="40" t="s">
        <v>18</v>
      </c>
      <c r="J7152" s="40" t="str">
        <f>HYPERLINK("https://stock.pstatic.net/stock-research/company/63/20251114_company_138519000.pdf","PDF")</f>
        <v>PDF</v>
      </c>
      <c r="K7152" s="12" t="s">
        <v>12241</v>
      </c>
      <c r="L7152" s="20">
        <v>0.71330668189605939</v>
      </c>
    </row>
    <row r="7153" spans="1:12" x14ac:dyDescent="0.45">
      <c r="A7153" s="12" t="s">
        <v>12171</v>
      </c>
      <c r="B7153" s="12" t="s">
        <v>677</v>
      </c>
      <c r="C7153" s="13" t="s">
        <v>678</v>
      </c>
      <c r="D7153" s="13" t="s">
        <v>179</v>
      </c>
      <c r="E7153" s="12" t="s">
        <v>16</v>
      </c>
      <c r="F7153" s="14">
        <v>15000</v>
      </c>
      <c r="G7153" s="14">
        <v>12070</v>
      </c>
      <c r="H7153" s="13" t="s">
        <v>12242</v>
      </c>
      <c r="I7153" s="40" t="s">
        <v>18</v>
      </c>
      <c r="J7153" s="40" t="str">
        <f>HYPERLINK("https://stock.pstatic.net/stock-research/company/64/20251114_company_703229000.pdf","PDF")</f>
        <v>PDF</v>
      </c>
      <c r="K7153" s="12" t="s">
        <v>12243</v>
      </c>
      <c r="L7153" s="20">
        <v>0.2427506213753107</v>
      </c>
    </row>
    <row r="7154" spans="1:12" x14ac:dyDescent="0.45">
      <c r="A7154" s="12" t="s">
        <v>12171</v>
      </c>
      <c r="B7154" s="12" t="s">
        <v>685</v>
      </c>
      <c r="C7154" s="13" t="s">
        <v>686</v>
      </c>
      <c r="D7154" s="13" t="s">
        <v>179</v>
      </c>
      <c r="E7154" s="12" t="s">
        <v>50</v>
      </c>
      <c r="F7154" s="13"/>
      <c r="G7154" s="14">
        <v>28350</v>
      </c>
      <c r="H7154" s="13" t="s">
        <v>12244</v>
      </c>
      <c r="I7154" s="40" t="s">
        <v>18</v>
      </c>
      <c r="J7154" s="40" t="str">
        <f>HYPERLINK("https://stock.pstatic.net/stock-research/company/64/20251114_company_697240000.pdf","PDF")</f>
        <v>PDF</v>
      </c>
      <c r="K7154" s="12" t="s">
        <v>12245</v>
      </c>
    </row>
    <row r="7155" spans="1:12" x14ac:dyDescent="0.45">
      <c r="A7155" s="12" t="s">
        <v>12171</v>
      </c>
      <c r="B7155" s="12" t="s">
        <v>1799</v>
      </c>
      <c r="C7155" s="13" t="s">
        <v>1800</v>
      </c>
      <c r="D7155" s="13" t="s">
        <v>179</v>
      </c>
      <c r="E7155" s="12" t="s">
        <v>16</v>
      </c>
      <c r="F7155" s="14">
        <v>7300</v>
      </c>
      <c r="G7155" s="14">
        <v>5310</v>
      </c>
      <c r="H7155" s="13" t="s">
        <v>12246</v>
      </c>
      <c r="I7155" s="40" t="s">
        <v>18</v>
      </c>
      <c r="J7155" s="40" t="str">
        <f>HYPERLINK("https://stock.pstatic.net/stock-research/company/64/20251114_company_5599000.pdf","PDF")</f>
        <v>PDF</v>
      </c>
      <c r="K7155" s="12" t="s">
        <v>12247</v>
      </c>
      <c r="L7155" s="20">
        <v>0.37476459510357818</v>
      </c>
    </row>
    <row r="7156" spans="1:12" x14ac:dyDescent="0.45">
      <c r="A7156" s="12" t="s">
        <v>12171</v>
      </c>
      <c r="B7156" s="12" t="s">
        <v>2032</v>
      </c>
      <c r="C7156" s="13" t="s">
        <v>2033</v>
      </c>
      <c r="D7156" s="13" t="s">
        <v>92</v>
      </c>
      <c r="E7156" s="12" t="s">
        <v>35</v>
      </c>
      <c r="F7156" s="14">
        <v>49000</v>
      </c>
      <c r="G7156" s="14">
        <v>27500</v>
      </c>
      <c r="H7156" s="13" t="s">
        <v>12248</v>
      </c>
      <c r="I7156" s="40" t="s">
        <v>18</v>
      </c>
      <c r="J7156" s="40" t="str">
        <f>HYPERLINK("https://stock.pstatic.net/stock-research/company/63/20251114_company_301069000.pdf","PDF")</f>
        <v>PDF</v>
      </c>
      <c r="K7156" s="12" t="s">
        <v>12249</v>
      </c>
      <c r="L7156" s="20">
        <v>0.78181818181818186</v>
      </c>
    </row>
    <row r="7157" spans="1:12" x14ac:dyDescent="0.45">
      <c r="A7157" s="12" t="s">
        <v>12171</v>
      </c>
      <c r="B7157" s="12" t="s">
        <v>76</v>
      </c>
      <c r="C7157" s="13" t="s">
        <v>77</v>
      </c>
      <c r="D7157" s="13" t="s">
        <v>34</v>
      </c>
      <c r="E7157" s="12" t="s">
        <v>35</v>
      </c>
      <c r="F7157" s="14">
        <v>24000</v>
      </c>
      <c r="G7157" s="14">
        <v>20200</v>
      </c>
      <c r="H7157" s="13" t="s">
        <v>12250</v>
      </c>
      <c r="I7157" s="40" t="s">
        <v>18</v>
      </c>
      <c r="J7157" s="40" t="str">
        <f>HYPERLINK("https://stock.pstatic.net/stock-research/company/61/20251114_company_165740000.pdf","PDF")</f>
        <v>PDF</v>
      </c>
      <c r="K7157" s="12" t="s">
        <v>12251</v>
      </c>
      <c r="L7157" s="20">
        <v>0.18811881188118809</v>
      </c>
    </row>
    <row r="7158" spans="1:12" x14ac:dyDescent="0.45">
      <c r="A7158" s="12" t="s">
        <v>12171</v>
      </c>
      <c r="B7158" s="12" t="s">
        <v>1140</v>
      </c>
      <c r="C7158" s="13" t="s">
        <v>1141</v>
      </c>
      <c r="D7158" s="13" t="s">
        <v>53</v>
      </c>
      <c r="E7158" s="12" t="s">
        <v>16</v>
      </c>
      <c r="F7158" s="14">
        <v>60000</v>
      </c>
      <c r="G7158" s="14">
        <v>49250</v>
      </c>
      <c r="H7158" s="13" t="s">
        <v>12252</v>
      </c>
      <c r="I7158" s="40" t="s">
        <v>18</v>
      </c>
      <c r="J7158" s="40" t="str">
        <f>HYPERLINK("https://stock.pstatic.net/stock-research/company/40/20251114_company_796534000.pdf","PDF")</f>
        <v>PDF</v>
      </c>
      <c r="K7158" s="12" t="s">
        <v>12253</v>
      </c>
      <c r="L7158" s="20">
        <v>0.21827411167512689</v>
      </c>
    </row>
    <row r="7159" spans="1:12" x14ac:dyDescent="0.45">
      <c r="A7159" s="12" t="s">
        <v>12171</v>
      </c>
      <c r="B7159" s="12" t="s">
        <v>1266</v>
      </c>
      <c r="C7159" s="13" t="s">
        <v>1267</v>
      </c>
      <c r="D7159" s="13" t="s">
        <v>44</v>
      </c>
      <c r="E7159" s="12" t="s">
        <v>35</v>
      </c>
      <c r="F7159" s="14">
        <v>220000</v>
      </c>
      <c r="G7159" s="14">
        <v>168400</v>
      </c>
      <c r="H7159" s="13" t="s">
        <v>12254</v>
      </c>
      <c r="I7159" s="40" t="s">
        <v>18</v>
      </c>
      <c r="J7159" s="40" t="str">
        <f>HYPERLINK("https://stock.pstatic.net/stock-research/company/39/20251114_company_94193000.pdf","PDF")</f>
        <v>PDF</v>
      </c>
      <c r="K7159" s="12" t="s">
        <v>12255</v>
      </c>
      <c r="L7159" s="20">
        <v>0.30641330166270792</v>
      </c>
    </row>
    <row r="7160" spans="1:12" x14ac:dyDescent="0.45">
      <c r="A7160" s="12" t="s">
        <v>12171</v>
      </c>
      <c r="B7160" s="12" t="s">
        <v>1344</v>
      </c>
      <c r="C7160" s="13" t="s">
        <v>1345</v>
      </c>
      <c r="D7160" s="13" t="s">
        <v>179</v>
      </c>
      <c r="E7160" s="12" t="s">
        <v>16</v>
      </c>
      <c r="F7160" s="14">
        <v>80000</v>
      </c>
      <c r="G7160" s="14">
        <v>61400</v>
      </c>
      <c r="H7160" s="13" t="s">
        <v>12256</v>
      </c>
      <c r="I7160" s="40" t="s">
        <v>18</v>
      </c>
      <c r="J7160" s="40" t="str">
        <f>HYPERLINK("https://stock.pstatic.net/stock-research/company/64/20251114_company_414432000.pdf","PDF")</f>
        <v>PDF</v>
      </c>
      <c r="K7160" s="12" t="s">
        <v>12257</v>
      </c>
      <c r="L7160" s="20">
        <v>0.30293159609120518</v>
      </c>
    </row>
    <row r="7161" spans="1:12" x14ac:dyDescent="0.45">
      <c r="A7161" s="12" t="s">
        <v>12171</v>
      </c>
      <c r="B7161" s="12" t="s">
        <v>868</v>
      </c>
      <c r="C7161" s="13" t="s">
        <v>869</v>
      </c>
      <c r="D7161" s="13" t="s">
        <v>34</v>
      </c>
      <c r="E7161" s="12" t="s">
        <v>35</v>
      </c>
      <c r="F7161" s="14">
        <v>70000</v>
      </c>
      <c r="G7161" s="14">
        <v>39150</v>
      </c>
      <c r="H7161" s="13" t="s">
        <v>12258</v>
      </c>
      <c r="I7161" s="40" t="s">
        <v>18</v>
      </c>
      <c r="J7161" s="40" t="str">
        <f>HYPERLINK("https://stock.pstatic.net/stock-research/company/61/20251114_company_115938000.pdf","PDF")</f>
        <v>PDF</v>
      </c>
      <c r="K7161" s="12" t="s">
        <v>12259</v>
      </c>
      <c r="L7161" s="20">
        <v>0.78799489144316726</v>
      </c>
    </row>
    <row r="7162" spans="1:12" x14ac:dyDescent="0.45">
      <c r="A7162" s="12" t="s">
        <v>12171</v>
      </c>
      <c r="B7162" s="12" t="s">
        <v>76</v>
      </c>
      <c r="C7162" s="13" t="s">
        <v>77</v>
      </c>
      <c r="D7162" s="13" t="s">
        <v>23</v>
      </c>
      <c r="E7162" s="12" t="s">
        <v>385</v>
      </c>
      <c r="F7162" s="13"/>
      <c r="G7162" s="14">
        <v>20000</v>
      </c>
      <c r="H7162" s="13" t="s">
        <v>12260</v>
      </c>
      <c r="I7162" s="40" t="s">
        <v>18</v>
      </c>
      <c r="J7162" s="40" t="str">
        <f>HYPERLINK("https://stock.pstatic.net/stock-research/company/21/20251114_company_434288000.pdf","PDF")</f>
        <v>PDF</v>
      </c>
      <c r="K7162" s="12" t="s">
        <v>12261</v>
      </c>
    </row>
    <row r="7163" spans="1:12" x14ac:dyDescent="0.45">
      <c r="A7163" s="12" t="s">
        <v>12171</v>
      </c>
      <c r="B7163" s="12" t="s">
        <v>503</v>
      </c>
      <c r="C7163" s="13" t="s">
        <v>504</v>
      </c>
      <c r="D7163" s="13" t="s">
        <v>23</v>
      </c>
      <c r="E7163" s="12" t="s">
        <v>16</v>
      </c>
      <c r="F7163" s="14">
        <v>89000</v>
      </c>
      <c r="G7163" s="14">
        <v>62500</v>
      </c>
      <c r="H7163" s="13" t="s">
        <v>12262</v>
      </c>
      <c r="I7163" s="40" t="s">
        <v>18</v>
      </c>
      <c r="J7163" s="40" t="str">
        <f>HYPERLINK("https://stock.pstatic.net/stock-research/company/21/20251114_company_152273000.pdf","PDF")</f>
        <v>PDF</v>
      </c>
      <c r="K7163" s="12" t="s">
        <v>12263</v>
      </c>
      <c r="L7163" s="20">
        <v>0.42399999999999999</v>
      </c>
    </row>
    <row r="7164" spans="1:12" x14ac:dyDescent="0.45">
      <c r="A7164" s="12" t="s">
        <v>12171</v>
      </c>
      <c r="B7164" s="12" t="s">
        <v>677</v>
      </c>
      <c r="C7164" s="13" t="s">
        <v>678</v>
      </c>
      <c r="D7164" s="13" t="s">
        <v>23</v>
      </c>
      <c r="E7164" s="12" t="s">
        <v>50</v>
      </c>
      <c r="F7164" s="14">
        <v>14000</v>
      </c>
      <c r="G7164" s="14">
        <v>12070</v>
      </c>
      <c r="H7164" s="13" t="s">
        <v>12264</v>
      </c>
      <c r="I7164" s="40" t="s">
        <v>18</v>
      </c>
      <c r="J7164" s="40" t="str">
        <f>HYPERLINK("https://stock.pstatic.net/stock-research/company/21/20251114_company_838442000.pdf","PDF")</f>
        <v>PDF</v>
      </c>
      <c r="K7164" s="12" t="s">
        <v>12265</v>
      </c>
      <c r="L7164" s="20">
        <v>0.15990057995029</v>
      </c>
    </row>
    <row r="7165" spans="1:12" x14ac:dyDescent="0.45">
      <c r="A7165" s="12" t="s">
        <v>12171</v>
      </c>
      <c r="B7165" s="12" t="s">
        <v>1140</v>
      </c>
      <c r="C7165" s="13" t="s">
        <v>1141</v>
      </c>
      <c r="D7165" s="13" t="s">
        <v>92</v>
      </c>
      <c r="E7165" s="12" t="s">
        <v>35</v>
      </c>
      <c r="F7165" s="14">
        <v>63000</v>
      </c>
      <c r="G7165" s="14">
        <v>49250</v>
      </c>
      <c r="H7165" s="13" t="s">
        <v>12266</v>
      </c>
      <c r="I7165" s="40" t="s">
        <v>18</v>
      </c>
      <c r="J7165" s="40" t="str">
        <f>HYPERLINK("https://stock.pstatic.net/stock-research/company/63/20251114_company_148103000.pdf","PDF")</f>
        <v>PDF</v>
      </c>
      <c r="K7165" s="12" t="s">
        <v>12267</v>
      </c>
      <c r="L7165" s="20">
        <v>0.27918781725888331</v>
      </c>
    </row>
    <row r="7166" spans="1:12" x14ac:dyDescent="0.45">
      <c r="A7166" s="12" t="s">
        <v>12171</v>
      </c>
      <c r="B7166" s="12" t="s">
        <v>2372</v>
      </c>
      <c r="C7166" s="13" t="s">
        <v>2373</v>
      </c>
      <c r="D7166" s="13" t="s">
        <v>34</v>
      </c>
      <c r="E7166" s="12" t="s">
        <v>35</v>
      </c>
      <c r="F7166" s="14">
        <v>88000</v>
      </c>
      <c r="G7166" s="14">
        <v>65200</v>
      </c>
      <c r="H7166" s="13" t="s">
        <v>12268</v>
      </c>
      <c r="I7166" s="40" t="s">
        <v>18</v>
      </c>
      <c r="J7166" s="40" t="str">
        <f>HYPERLINK("https://stock.pstatic.net/stock-research/company/61/20251114_company_781914000.pdf","PDF")</f>
        <v>PDF</v>
      </c>
      <c r="K7166" s="12" t="s">
        <v>12269</v>
      </c>
      <c r="L7166" s="20">
        <v>0.34969325153374231</v>
      </c>
    </row>
    <row r="7167" spans="1:12" x14ac:dyDescent="0.45">
      <c r="A7167" s="12" t="s">
        <v>12171</v>
      </c>
      <c r="B7167" s="12" t="s">
        <v>585</v>
      </c>
      <c r="C7167" s="13" t="s">
        <v>586</v>
      </c>
      <c r="D7167" s="13" t="s">
        <v>23</v>
      </c>
      <c r="E7167" s="12" t="s">
        <v>16</v>
      </c>
      <c r="F7167" s="14">
        <v>62000</v>
      </c>
      <c r="G7167" s="14">
        <v>42900</v>
      </c>
      <c r="H7167" s="13" t="s">
        <v>12270</v>
      </c>
      <c r="I7167" s="40" t="s">
        <v>18</v>
      </c>
      <c r="J7167" s="40" t="str">
        <f>HYPERLINK("https://stock.pstatic.net/stock-research/company/21/20251114_company_304730000.pdf","PDF")</f>
        <v>PDF</v>
      </c>
      <c r="K7167" s="12" t="s">
        <v>12271</v>
      </c>
      <c r="L7167" s="20">
        <v>0.44522144522144519</v>
      </c>
    </row>
    <row r="7168" spans="1:12" x14ac:dyDescent="0.45">
      <c r="A7168" s="12" t="s">
        <v>12171</v>
      </c>
      <c r="B7168" s="12" t="s">
        <v>8204</v>
      </c>
      <c r="C7168" s="13" t="s">
        <v>8205</v>
      </c>
      <c r="D7168" s="13" t="s">
        <v>44</v>
      </c>
      <c r="E7168" s="12" t="s">
        <v>35</v>
      </c>
      <c r="F7168" s="14">
        <v>115000</v>
      </c>
      <c r="G7168" s="14">
        <v>92800</v>
      </c>
      <c r="H7168" s="13" t="s">
        <v>12272</v>
      </c>
      <c r="I7168" s="40" t="s">
        <v>18</v>
      </c>
      <c r="J7168" s="40" t="str">
        <f>HYPERLINK("https://stock.pstatic.net/stock-research/company/39/20251114_company_992588000.pdf","PDF")</f>
        <v>PDF</v>
      </c>
      <c r="K7168" s="12" t="s">
        <v>12273</v>
      </c>
      <c r="L7168" s="20">
        <v>0.2392241379310345</v>
      </c>
    </row>
    <row r="7169" spans="1:12" x14ac:dyDescent="0.45">
      <c r="A7169" s="12" t="s">
        <v>12171</v>
      </c>
      <c r="B7169" s="12" t="s">
        <v>1140</v>
      </c>
      <c r="C7169" s="13" t="s">
        <v>1141</v>
      </c>
      <c r="D7169" s="13" t="s">
        <v>34</v>
      </c>
      <c r="E7169" s="12" t="s">
        <v>35</v>
      </c>
      <c r="F7169" s="14">
        <v>64000</v>
      </c>
      <c r="G7169" s="14">
        <v>47650</v>
      </c>
      <c r="H7169" s="13" t="s">
        <v>12274</v>
      </c>
      <c r="I7169" s="40" t="s">
        <v>18</v>
      </c>
      <c r="J7169" s="40" t="str">
        <f>HYPERLINK("https://stock.pstatic.net/stock-research/company/61/20251114_company_128832000.pdf","PDF")</f>
        <v>PDF</v>
      </c>
      <c r="K7169" s="12" t="s">
        <v>12275</v>
      </c>
      <c r="L7169" s="20">
        <v>0.34312696747114368</v>
      </c>
    </row>
    <row r="7170" spans="1:12" x14ac:dyDescent="0.45">
      <c r="A7170" s="12" t="s">
        <v>12171</v>
      </c>
      <c r="B7170" s="12" t="s">
        <v>489</v>
      </c>
      <c r="C7170" s="13" t="s">
        <v>490</v>
      </c>
      <c r="D7170" s="13" t="s">
        <v>34</v>
      </c>
      <c r="E7170" s="12" t="s">
        <v>35</v>
      </c>
      <c r="F7170" s="14">
        <v>67000</v>
      </c>
      <c r="G7170" s="14">
        <v>55100</v>
      </c>
      <c r="H7170" s="13" t="s">
        <v>12276</v>
      </c>
      <c r="I7170" s="40" t="s">
        <v>18</v>
      </c>
      <c r="J7170" s="40" t="str">
        <f>HYPERLINK("https://stock.pstatic.net/stock-research/company/61/20251114_company_283271000.pdf","PDF")</f>
        <v>PDF</v>
      </c>
      <c r="K7170" s="12" t="s">
        <v>12277</v>
      </c>
      <c r="L7170" s="20">
        <v>0.2159709618874773</v>
      </c>
    </row>
    <row r="7171" spans="1:12" x14ac:dyDescent="0.45">
      <c r="A7171" s="12" t="s">
        <v>12171</v>
      </c>
      <c r="B7171" s="12" t="s">
        <v>1258</v>
      </c>
      <c r="C7171" s="13" t="s">
        <v>1259</v>
      </c>
      <c r="D7171" s="13" t="s">
        <v>44</v>
      </c>
      <c r="E7171" s="12" t="s">
        <v>35</v>
      </c>
      <c r="F7171" s="14">
        <v>610000</v>
      </c>
      <c r="G7171" s="14">
        <v>500000</v>
      </c>
      <c r="H7171" s="13" t="s">
        <v>12278</v>
      </c>
      <c r="I7171" s="40" t="s">
        <v>18</v>
      </c>
      <c r="J7171" s="40" t="str">
        <f>HYPERLINK("https://stock.pstatic.net/stock-research/company/39/20251114_company_939169000.pdf","PDF")</f>
        <v>PDF</v>
      </c>
      <c r="K7171" s="12" t="s">
        <v>12279</v>
      </c>
      <c r="L7171" s="20">
        <v>0.22</v>
      </c>
    </row>
    <row r="7172" spans="1:12" x14ac:dyDescent="0.45">
      <c r="A7172" s="12" t="s">
        <v>12171</v>
      </c>
      <c r="B7172" s="12" t="s">
        <v>868</v>
      </c>
      <c r="C7172" s="13" t="s">
        <v>869</v>
      </c>
      <c r="D7172" s="13" t="s">
        <v>44</v>
      </c>
      <c r="E7172" s="12" t="s">
        <v>35</v>
      </c>
      <c r="F7172" s="14">
        <v>63000</v>
      </c>
      <c r="G7172" s="14">
        <v>39150</v>
      </c>
      <c r="H7172" s="13" t="s">
        <v>12280</v>
      </c>
      <c r="I7172" s="40" t="s">
        <v>18</v>
      </c>
      <c r="J7172" s="40" t="str">
        <f>HYPERLINK("https://stock.pstatic.net/stock-research/company/39/20251114_company_598949000.pdf","PDF")</f>
        <v>PDF</v>
      </c>
      <c r="K7172" s="12" t="s">
        <v>12281</v>
      </c>
      <c r="L7172" s="20">
        <v>0.60919540229885061</v>
      </c>
    </row>
    <row r="7173" spans="1:12" x14ac:dyDescent="0.45">
      <c r="A7173" s="12" t="s">
        <v>12171</v>
      </c>
      <c r="B7173" s="12" t="s">
        <v>12282</v>
      </c>
      <c r="C7173" s="13" t="s">
        <v>12283</v>
      </c>
      <c r="D7173" s="13" t="s">
        <v>124</v>
      </c>
      <c r="E7173" s="12" t="s">
        <v>50</v>
      </c>
      <c r="F7173" s="13"/>
      <c r="G7173" s="13"/>
      <c r="H7173" s="13" t="s">
        <v>12284</v>
      </c>
      <c r="I7173" s="40" t="s">
        <v>18</v>
      </c>
      <c r="J7173" s="40" t="str">
        <f>HYPERLINK("https://stock.pstatic.net/stock-research/company/74/20251114_company_479450000.pdf","PDF")</f>
        <v>PDF</v>
      </c>
      <c r="K7173" s="12" t="s">
        <v>12285</v>
      </c>
    </row>
    <row r="7174" spans="1:12" x14ac:dyDescent="0.45">
      <c r="A7174" s="12" t="s">
        <v>12171</v>
      </c>
      <c r="B7174" s="12" t="s">
        <v>12286</v>
      </c>
      <c r="C7174" s="13" t="s">
        <v>12287</v>
      </c>
      <c r="D7174" s="13" t="s">
        <v>124</v>
      </c>
      <c r="E7174" s="12" t="s">
        <v>50</v>
      </c>
      <c r="F7174" s="13"/>
      <c r="G7174" s="13"/>
      <c r="H7174" s="13" t="s">
        <v>12288</v>
      </c>
      <c r="I7174" s="40" t="s">
        <v>18</v>
      </c>
      <c r="J7174" s="40" t="str">
        <f>HYPERLINK("https://stock.pstatic.net/stock-research/company/74/20251114_company_330272000.pdf","PDF")</f>
        <v>PDF</v>
      </c>
      <c r="K7174" s="12" t="s">
        <v>12289</v>
      </c>
    </row>
    <row r="7175" spans="1:12" x14ac:dyDescent="0.45">
      <c r="A7175" s="12" t="s">
        <v>12171</v>
      </c>
      <c r="B7175" s="12" t="s">
        <v>12290</v>
      </c>
      <c r="C7175" s="13" t="s">
        <v>12291</v>
      </c>
      <c r="D7175" s="13" t="s">
        <v>124</v>
      </c>
      <c r="E7175" s="12" t="s">
        <v>50</v>
      </c>
      <c r="F7175" s="13"/>
      <c r="G7175" s="14">
        <v>5870</v>
      </c>
      <c r="H7175" s="13" t="s">
        <v>12292</v>
      </c>
      <c r="I7175" s="40" t="s">
        <v>18</v>
      </c>
      <c r="J7175" s="40" t="str">
        <f>HYPERLINK("https://stock.pstatic.net/stock-research/company/74/20251114_company_852817000.pdf","PDF")</f>
        <v>PDF</v>
      </c>
      <c r="K7175" s="12" t="s">
        <v>12293</v>
      </c>
    </row>
    <row r="7176" spans="1:12" x14ac:dyDescent="0.45">
      <c r="A7176" s="12" t="s">
        <v>12171</v>
      </c>
      <c r="B7176" s="12" t="s">
        <v>3841</v>
      </c>
      <c r="C7176" s="13" t="s">
        <v>3842</v>
      </c>
      <c r="D7176" s="13" t="s">
        <v>124</v>
      </c>
      <c r="E7176" s="12" t="s">
        <v>50</v>
      </c>
      <c r="F7176" s="13"/>
      <c r="G7176" s="14">
        <v>2810</v>
      </c>
      <c r="H7176" s="13" t="s">
        <v>12294</v>
      </c>
      <c r="I7176" s="40" t="s">
        <v>18</v>
      </c>
      <c r="J7176" s="40" t="str">
        <f>HYPERLINK("https://stock.pstatic.net/stock-research/company/74/20251114_company_495919000.pdf","PDF")</f>
        <v>PDF</v>
      </c>
      <c r="K7176" s="12" t="s">
        <v>12295</v>
      </c>
    </row>
    <row r="7177" spans="1:12" x14ac:dyDescent="0.45">
      <c r="A7177" s="12" t="s">
        <v>12171</v>
      </c>
      <c r="B7177" s="12" t="s">
        <v>12296</v>
      </c>
      <c r="C7177" s="13" t="s">
        <v>12297</v>
      </c>
      <c r="D7177" s="13" t="s">
        <v>124</v>
      </c>
      <c r="E7177" s="12" t="s">
        <v>50</v>
      </c>
      <c r="F7177" s="13"/>
      <c r="G7177" s="14">
        <v>11380</v>
      </c>
      <c r="H7177" s="13" t="s">
        <v>12298</v>
      </c>
      <c r="I7177" s="40" t="s">
        <v>18</v>
      </c>
      <c r="J7177" s="40" t="str">
        <f>HYPERLINK("https://stock.pstatic.net/stock-research/company/74/20251114_company_371822000.pdf","PDF")</f>
        <v>PDF</v>
      </c>
      <c r="K7177" s="12" t="s">
        <v>12299</v>
      </c>
    </row>
    <row r="7178" spans="1:12" x14ac:dyDescent="0.45">
      <c r="A7178" s="12" t="s">
        <v>12171</v>
      </c>
      <c r="B7178" s="12" t="s">
        <v>10613</v>
      </c>
      <c r="C7178" s="13" t="s">
        <v>10614</v>
      </c>
      <c r="D7178" s="13" t="s">
        <v>124</v>
      </c>
      <c r="E7178" s="12" t="s">
        <v>50</v>
      </c>
      <c r="F7178" s="13"/>
      <c r="G7178" s="14">
        <v>3600</v>
      </c>
      <c r="H7178" s="13" t="s">
        <v>12300</v>
      </c>
      <c r="I7178" s="40" t="s">
        <v>18</v>
      </c>
      <c r="J7178" s="40" t="str">
        <f>HYPERLINK("https://stock.pstatic.net/stock-research/company/74/20251114_company_126435000.pdf","PDF")</f>
        <v>PDF</v>
      </c>
      <c r="K7178" s="12" t="s">
        <v>12301</v>
      </c>
    </row>
    <row r="7179" spans="1:12" x14ac:dyDescent="0.45">
      <c r="A7179" s="12" t="s">
        <v>12171</v>
      </c>
      <c r="B7179" s="12" t="s">
        <v>12302</v>
      </c>
      <c r="C7179" s="13" t="s">
        <v>12303</v>
      </c>
      <c r="D7179" s="13" t="s">
        <v>124</v>
      </c>
      <c r="E7179" s="12" t="s">
        <v>50</v>
      </c>
      <c r="F7179" s="13"/>
      <c r="G7179" s="14">
        <v>26300</v>
      </c>
      <c r="H7179" s="13" t="s">
        <v>12304</v>
      </c>
      <c r="I7179" s="40" t="s">
        <v>18</v>
      </c>
      <c r="J7179" s="40" t="str">
        <f>HYPERLINK("https://stock.pstatic.net/stock-research/company/74/20251114_company_868721000.pdf","PDF")</f>
        <v>PDF</v>
      </c>
      <c r="K7179" s="12" t="s">
        <v>12305</v>
      </c>
    </row>
    <row r="7180" spans="1:12" x14ac:dyDescent="0.45">
      <c r="A7180" s="12" t="s">
        <v>12171</v>
      </c>
      <c r="B7180" s="12" t="s">
        <v>12306</v>
      </c>
      <c r="C7180" s="13" t="s">
        <v>12307</v>
      </c>
      <c r="D7180" s="13" t="s">
        <v>11154</v>
      </c>
      <c r="E7180" s="12" t="s">
        <v>50</v>
      </c>
      <c r="F7180" s="13"/>
      <c r="G7180" s="13"/>
      <c r="H7180" s="13" t="s">
        <v>12308</v>
      </c>
      <c r="I7180" s="40" t="s">
        <v>18</v>
      </c>
      <c r="J7180" s="40" t="str">
        <f>HYPERLINK("https://stock.pstatic.net/stock-research/company/79/20251114_company_163088000.pdf","PDF")</f>
        <v>PDF</v>
      </c>
      <c r="K7180" s="12" t="s">
        <v>12309</v>
      </c>
    </row>
    <row r="7181" spans="1:12" x14ac:dyDescent="0.45">
      <c r="A7181" s="12" t="s">
        <v>12171</v>
      </c>
      <c r="B7181" s="12" t="s">
        <v>12310</v>
      </c>
      <c r="C7181" s="13" t="s">
        <v>12311</v>
      </c>
      <c r="D7181" s="13" t="s">
        <v>11154</v>
      </c>
      <c r="E7181" s="12" t="s">
        <v>50</v>
      </c>
      <c r="F7181" s="13"/>
      <c r="G7181" s="13"/>
      <c r="H7181" s="13" t="s">
        <v>12312</v>
      </c>
      <c r="I7181" s="40" t="s">
        <v>18</v>
      </c>
      <c r="J7181" s="40" t="str">
        <f>HYPERLINK("https://stock.pstatic.net/stock-research/company/79/20251114_company_900490000.pdf","PDF")</f>
        <v>PDF</v>
      </c>
      <c r="K7181" s="12" t="s">
        <v>12313</v>
      </c>
    </row>
    <row r="7182" spans="1:12" x14ac:dyDescent="0.45">
      <c r="A7182" s="12" t="s">
        <v>12171</v>
      </c>
      <c r="B7182" s="12" t="s">
        <v>12314</v>
      </c>
      <c r="C7182" s="13" t="s">
        <v>12315</v>
      </c>
      <c r="D7182" s="13" t="s">
        <v>11154</v>
      </c>
      <c r="E7182" s="12" t="s">
        <v>50</v>
      </c>
      <c r="F7182" s="13"/>
      <c r="G7182" s="13"/>
      <c r="H7182" s="13" t="s">
        <v>12316</v>
      </c>
      <c r="I7182" s="40" t="s">
        <v>18</v>
      </c>
      <c r="J7182" s="40" t="str">
        <f>HYPERLINK("https://stock.pstatic.net/stock-research/company/79/20251114_company_15846000.pdf","PDF")</f>
        <v>PDF</v>
      </c>
      <c r="K7182" s="12" t="s">
        <v>12317</v>
      </c>
    </row>
    <row r="7183" spans="1:12" x14ac:dyDescent="0.45">
      <c r="A7183" s="12" t="s">
        <v>12171</v>
      </c>
      <c r="B7183" s="12" t="s">
        <v>12318</v>
      </c>
      <c r="C7183" s="13" t="s">
        <v>12319</v>
      </c>
      <c r="D7183" s="13" t="s">
        <v>202</v>
      </c>
      <c r="E7183" s="12" t="s">
        <v>50</v>
      </c>
      <c r="F7183" s="13"/>
      <c r="G7183" s="13"/>
      <c r="H7183" s="13" t="s">
        <v>12320</v>
      </c>
      <c r="I7183" s="40" t="s">
        <v>18</v>
      </c>
      <c r="J7183" s="40" t="str">
        <f>HYPERLINK("https://stock.pstatic.net/stock-research/company/69/20251114_company_929951000.pdf","PDF")</f>
        <v>PDF</v>
      </c>
      <c r="K7183" s="12" t="s">
        <v>12321</v>
      </c>
    </row>
    <row r="7184" spans="1:12" x14ac:dyDescent="0.45">
      <c r="A7184" s="12" t="s">
        <v>12171</v>
      </c>
      <c r="B7184" s="12" t="s">
        <v>12322</v>
      </c>
      <c r="C7184" s="13" t="s">
        <v>12323</v>
      </c>
      <c r="D7184" s="13" t="s">
        <v>202</v>
      </c>
      <c r="E7184" s="12" t="s">
        <v>50</v>
      </c>
      <c r="F7184" s="13"/>
      <c r="G7184" s="13"/>
      <c r="H7184" s="13" t="s">
        <v>12324</v>
      </c>
      <c r="I7184" s="40" t="s">
        <v>18</v>
      </c>
      <c r="J7184" s="40" t="str">
        <f>HYPERLINK("https://stock.pstatic.net/stock-research/company/69/20251114_company_862730000.pdf","PDF")</f>
        <v>PDF</v>
      </c>
      <c r="K7184" s="12" t="s">
        <v>12325</v>
      </c>
    </row>
    <row r="7185" spans="1:12" x14ac:dyDescent="0.45">
      <c r="A7185" s="12" t="s">
        <v>12326</v>
      </c>
      <c r="B7185" s="12" t="s">
        <v>259</v>
      </c>
      <c r="C7185" s="13" t="s">
        <v>260</v>
      </c>
      <c r="D7185" s="13" t="s">
        <v>57</v>
      </c>
      <c r="E7185" s="12" t="s">
        <v>35</v>
      </c>
      <c r="F7185" s="14">
        <v>110000</v>
      </c>
      <c r="G7185" s="14">
        <v>71900</v>
      </c>
      <c r="H7185" s="13" t="s">
        <v>12327</v>
      </c>
      <c r="I7185" s="40" t="s">
        <v>18</v>
      </c>
      <c r="J7185" s="40" t="str">
        <f>HYPERLINK("https://stock.pstatic.net/stock-research/company/16/20251113_company_486070000.pdf","PDF")</f>
        <v>PDF</v>
      </c>
      <c r="K7185" s="12" t="s">
        <v>12328</v>
      </c>
      <c r="L7185" s="20">
        <v>0.5299026425591099</v>
      </c>
    </row>
    <row r="7186" spans="1:12" x14ac:dyDescent="0.45">
      <c r="A7186" s="12" t="s">
        <v>12326</v>
      </c>
      <c r="B7186" s="12" t="s">
        <v>2040</v>
      </c>
      <c r="C7186" s="13" t="s">
        <v>2041</v>
      </c>
      <c r="D7186" s="13" t="s">
        <v>57</v>
      </c>
      <c r="E7186" s="12" t="s">
        <v>35</v>
      </c>
      <c r="F7186" s="14">
        <v>100000</v>
      </c>
      <c r="G7186" s="14">
        <v>84800</v>
      </c>
      <c r="H7186" s="13" t="s">
        <v>12329</v>
      </c>
      <c r="I7186" s="40" t="s">
        <v>18</v>
      </c>
      <c r="J7186" s="40" t="str">
        <f>HYPERLINK("https://stock.pstatic.net/stock-research/company/16/20251113_company_771793000.pdf","PDF")</f>
        <v>PDF</v>
      </c>
      <c r="K7186" s="12" t="s">
        <v>12330</v>
      </c>
      <c r="L7186" s="20">
        <v>0.17924528301886791</v>
      </c>
    </row>
    <row r="7187" spans="1:12" x14ac:dyDescent="0.45">
      <c r="A7187" s="12" t="s">
        <v>12326</v>
      </c>
      <c r="B7187" s="12" t="s">
        <v>1734</v>
      </c>
      <c r="C7187" s="13" t="s">
        <v>1735</v>
      </c>
      <c r="D7187" s="13" t="s">
        <v>57</v>
      </c>
      <c r="E7187" s="12" t="s">
        <v>35</v>
      </c>
      <c r="F7187" s="14">
        <v>57000</v>
      </c>
      <c r="G7187" s="14">
        <v>42850</v>
      </c>
      <c r="H7187" s="13" t="s">
        <v>12331</v>
      </c>
      <c r="I7187" s="40" t="s">
        <v>18</v>
      </c>
      <c r="J7187" s="40" t="str">
        <f>HYPERLINK("https://stock.pstatic.net/stock-research/company/16/20251113_company_498942000.pdf","PDF")</f>
        <v>PDF</v>
      </c>
      <c r="K7187" s="12" t="s">
        <v>12332</v>
      </c>
      <c r="L7187" s="20">
        <v>0.33022170361726949</v>
      </c>
    </row>
    <row r="7188" spans="1:12" x14ac:dyDescent="0.45">
      <c r="A7188" s="12" t="s">
        <v>12326</v>
      </c>
      <c r="B7188" s="12" t="s">
        <v>645</v>
      </c>
      <c r="C7188" s="13" t="s">
        <v>646</v>
      </c>
      <c r="D7188" s="13" t="s">
        <v>276</v>
      </c>
      <c r="E7188" s="12" t="s">
        <v>16</v>
      </c>
      <c r="F7188" s="14">
        <v>16000</v>
      </c>
      <c r="G7188" s="14">
        <v>11350</v>
      </c>
      <c r="H7188" s="13" t="s">
        <v>12333</v>
      </c>
      <c r="I7188" s="40" t="s">
        <v>18</v>
      </c>
      <c r="J7188" s="40" t="str">
        <f>HYPERLINK("https://stock.pstatic.net/stock-research/company/66/20251113_company_812158000.pdf","PDF")</f>
        <v>PDF</v>
      </c>
      <c r="K7188" s="12" t="s">
        <v>12334</v>
      </c>
      <c r="L7188" s="20">
        <v>0.40969162995594721</v>
      </c>
    </row>
    <row r="7189" spans="1:12" x14ac:dyDescent="0.45">
      <c r="A7189" s="12" t="s">
        <v>12326</v>
      </c>
      <c r="B7189" s="12" t="s">
        <v>856</v>
      </c>
      <c r="C7189" s="13" t="s">
        <v>857</v>
      </c>
      <c r="D7189" s="13" t="s">
        <v>276</v>
      </c>
      <c r="E7189" s="12" t="s">
        <v>16</v>
      </c>
      <c r="F7189" s="14">
        <v>210000</v>
      </c>
      <c r="G7189" s="14">
        <v>162400</v>
      </c>
      <c r="H7189" s="13" t="s">
        <v>12335</v>
      </c>
      <c r="I7189" s="40" t="s">
        <v>18</v>
      </c>
      <c r="J7189" s="40" t="str">
        <f>HYPERLINK("https://stock.pstatic.net/stock-research/company/66/20251113_company_294948000.pdf","PDF")</f>
        <v>PDF</v>
      </c>
      <c r="K7189" s="12" t="s">
        <v>12336</v>
      </c>
      <c r="L7189" s="20">
        <v>0.29310344827586199</v>
      </c>
    </row>
    <row r="7190" spans="1:12" x14ac:dyDescent="0.45">
      <c r="A7190" s="12" t="s">
        <v>12326</v>
      </c>
      <c r="B7190" s="12" t="s">
        <v>356</v>
      </c>
      <c r="C7190" s="13" t="s">
        <v>357</v>
      </c>
      <c r="D7190" s="13" t="s">
        <v>60</v>
      </c>
      <c r="E7190" s="12" t="s">
        <v>35</v>
      </c>
      <c r="F7190" s="14">
        <v>83000</v>
      </c>
      <c r="G7190" s="14">
        <v>68900</v>
      </c>
      <c r="H7190" s="13" t="s">
        <v>12337</v>
      </c>
      <c r="I7190" s="40" t="s">
        <v>18</v>
      </c>
      <c r="J7190" s="40" t="str">
        <f>HYPERLINK("https://stock.pstatic.net/stock-research/company/34/20251113_company_282716000.pdf","PDF")</f>
        <v>PDF</v>
      </c>
      <c r="K7190" s="12" t="s">
        <v>12338</v>
      </c>
      <c r="L7190" s="20">
        <v>0.204644412191582</v>
      </c>
    </row>
    <row r="7191" spans="1:12" x14ac:dyDescent="0.45">
      <c r="A7191" s="12" t="s">
        <v>12326</v>
      </c>
      <c r="B7191" s="12" t="s">
        <v>2205</v>
      </c>
      <c r="C7191" s="13" t="s">
        <v>2206</v>
      </c>
      <c r="D7191" s="13" t="s">
        <v>65</v>
      </c>
      <c r="E7191" s="12" t="s">
        <v>35</v>
      </c>
      <c r="F7191" s="14">
        <v>52000</v>
      </c>
      <c r="G7191" s="14">
        <v>41150</v>
      </c>
      <c r="H7191" s="13" t="s">
        <v>12339</v>
      </c>
      <c r="I7191" s="40" t="s">
        <v>18</v>
      </c>
      <c r="J7191" s="40" t="str">
        <f>HYPERLINK("https://stock.pstatic.net/stock-research/company/57/20251113_company_376947000.pdf","PDF")</f>
        <v>PDF</v>
      </c>
      <c r="K7191" s="12" t="s">
        <v>12340</v>
      </c>
      <c r="L7191" s="20">
        <v>0.26366950182260018</v>
      </c>
    </row>
    <row r="7192" spans="1:12" x14ac:dyDescent="0.45">
      <c r="A7192" s="12" t="s">
        <v>12326</v>
      </c>
      <c r="B7192" s="12" t="s">
        <v>259</v>
      </c>
      <c r="C7192" s="13" t="s">
        <v>260</v>
      </c>
      <c r="D7192" s="13" t="s">
        <v>65</v>
      </c>
      <c r="E7192" s="12" t="s">
        <v>35</v>
      </c>
      <c r="F7192" s="14">
        <v>95000</v>
      </c>
      <c r="G7192" s="14">
        <v>71900</v>
      </c>
      <c r="H7192" s="13" t="s">
        <v>12341</v>
      </c>
      <c r="I7192" s="40" t="s">
        <v>18</v>
      </c>
      <c r="J7192" s="40" t="str">
        <f>HYPERLINK("https://stock.pstatic.net/stock-research/company/57/20251113_company_683722000.pdf","PDF")</f>
        <v>PDF</v>
      </c>
      <c r="K7192" s="12" t="s">
        <v>12342</v>
      </c>
      <c r="L7192" s="20">
        <v>0.32127955493741311</v>
      </c>
    </row>
    <row r="7193" spans="1:12" x14ac:dyDescent="0.45">
      <c r="A7193" s="12" t="s">
        <v>12326</v>
      </c>
      <c r="B7193" s="12" t="s">
        <v>1734</v>
      </c>
      <c r="C7193" s="13" t="s">
        <v>1735</v>
      </c>
      <c r="D7193" s="13" t="s">
        <v>65</v>
      </c>
      <c r="E7193" s="12" t="s">
        <v>35</v>
      </c>
      <c r="F7193" s="14">
        <v>55000</v>
      </c>
      <c r="G7193" s="14">
        <v>42850</v>
      </c>
      <c r="H7193" s="13" t="s">
        <v>12343</v>
      </c>
      <c r="I7193" s="40" t="s">
        <v>18</v>
      </c>
      <c r="J7193" s="40" t="str">
        <f>HYPERLINK("https://stock.pstatic.net/stock-research/company/57/20251113_company_975241000.pdf","PDF")</f>
        <v>PDF</v>
      </c>
      <c r="K7193" s="12" t="s">
        <v>12344</v>
      </c>
      <c r="L7193" s="20">
        <v>0.28354725787631269</v>
      </c>
    </row>
    <row r="7194" spans="1:12" x14ac:dyDescent="0.45">
      <c r="A7194" s="12" t="s">
        <v>12326</v>
      </c>
      <c r="B7194" s="12" t="s">
        <v>3887</v>
      </c>
      <c r="C7194" s="13" t="s">
        <v>3888</v>
      </c>
      <c r="D7194" s="13" t="s">
        <v>65</v>
      </c>
      <c r="E7194" s="12" t="s">
        <v>35</v>
      </c>
      <c r="F7194" s="14">
        <v>38000</v>
      </c>
      <c r="G7194" s="14">
        <v>23150</v>
      </c>
      <c r="H7194" s="13" t="s">
        <v>12345</v>
      </c>
      <c r="I7194" s="40" t="s">
        <v>18</v>
      </c>
      <c r="J7194" s="40" t="str">
        <f>HYPERLINK("https://stock.pstatic.net/stock-research/company/57/20251113_company_321122000.pdf","PDF")</f>
        <v>PDF</v>
      </c>
      <c r="K7194" s="12" t="s">
        <v>12346</v>
      </c>
      <c r="L7194" s="20">
        <v>0.64146868250539957</v>
      </c>
    </row>
    <row r="7195" spans="1:12" x14ac:dyDescent="0.45">
      <c r="A7195" s="12" t="s">
        <v>12326</v>
      </c>
      <c r="B7195" s="12" t="s">
        <v>533</v>
      </c>
      <c r="C7195" s="13" t="s">
        <v>534</v>
      </c>
      <c r="D7195" s="13" t="s">
        <v>65</v>
      </c>
      <c r="E7195" s="12" t="s">
        <v>35</v>
      </c>
      <c r="F7195" s="14">
        <v>65000</v>
      </c>
      <c r="G7195" s="14">
        <v>48250</v>
      </c>
      <c r="H7195" s="13" t="s">
        <v>12347</v>
      </c>
      <c r="I7195" s="40" t="s">
        <v>18</v>
      </c>
      <c r="J7195" s="40" t="str">
        <f>HYPERLINK("https://stock.pstatic.net/stock-research/company/57/20251113_company_238855000.pdf","PDF")</f>
        <v>PDF</v>
      </c>
      <c r="K7195" s="12" t="s">
        <v>12348</v>
      </c>
      <c r="L7195" s="20">
        <v>0.34715025906735753</v>
      </c>
    </row>
    <row r="7196" spans="1:12" x14ac:dyDescent="0.45">
      <c r="A7196" s="12" t="s">
        <v>12326</v>
      </c>
      <c r="B7196" s="12" t="s">
        <v>537</v>
      </c>
      <c r="C7196" s="13" t="s">
        <v>538</v>
      </c>
      <c r="D7196" s="13" t="s">
        <v>65</v>
      </c>
      <c r="E7196" s="12" t="s">
        <v>35</v>
      </c>
      <c r="F7196" s="14">
        <v>16000</v>
      </c>
      <c r="G7196" s="14">
        <v>15710</v>
      </c>
      <c r="H7196" s="13" t="s">
        <v>12349</v>
      </c>
      <c r="I7196" s="40" t="s">
        <v>18</v>
      </c>
      <c r="J7196" s="40" t="str">
        <f>HYPERLINK("https://stock.pstatic.net/stock-research/company/57/20251113_company_863017000.pdf","PDF")</f>
        <v>PDF</v>
      </c>
      <c r="K7196" s="12" t="s">
        <v>12350</v>
      </c>
      <c r="L7196" s="20">
        <v>1.8459579885423301E-2</v>
      </c>
    </row>
    <row r="7197" spans="1:12" x14ac:dyDescent="0.45">
      <c r="A7197" s="12" t="s">
        <v>12326</v>
      </c>
      <c r="B7197" s="12" t="s">
        <v>541</v>
      </c>
      <c r="C7197" s="13" t="s">
        <v>542</v>
      </c>
      <c r="D7197" s="13" t="s">
        <v>65</v>
      </c>
      <c r="E7197" s="12" t="s">
        <v>35</v>
      </c>
      <c r="F7197" s="14">
        <v>55000</v>
      </c>
      <c r="G7197" s="14">
        <v>53400</v>
      </c>
      <c r="H7197" s="13" t="s">
        <v>12351</v>
      </c>
      <c r="I7197" s="40" t="s">
        <v>18</v>
      </c>
      <c r="J7197" s="40" t="str">
        <f>HYPERLINK("https://stock.pstatic.net/stock-research/company/57/20251113_company_116798000.pdf","PDF")</f>
        <v>PDF</v>
      </c>
      <c r="K7197" s="12" t="s">
        <v>12352</v>
      </c>
      <c r="L7197" s="20">
        <v>2.9962546816479401E-2</v>
      </c>
    </row>
    <row r="7198" spans="1:12" x14ac:dyDescent="0.45">
      <c r="A7198" s="12" t="s">
        <v>12326</v>
      </c>
      <c r="B7198" s="12" t="s">
        <v>2040</v>
      </c>
      <c r="C7198" s="13" t="s">
        <v>2041</v>
      </c>
      <c r="D7198" s="13" t="s">
        <v>65</v>
      </c>
      <c r="E7198" s="12" t="s">
        <v>35</v>
      </c>
      <c r="F7198" s="14">
        <v>100000</v>
      </c>
      <c r="G7198" s="14">
        <v>84800</v>
      </c>
      <c r="H7198" s="13" t="s">
        <v>12353</v>
      </c>
      <c r="I7198" s="40" t="s">
        <v>18</v>
      </c>
      <c r="J7198" s="40" t="str">
        <f>HYPERLINK("https://stock.pstatic.net/stock-research/company/57/20251113_company_206634000.pdf","PDF")</f>
        <v>PDF</v>
      </c>
      <c r="K7198" s="12" t="s">
        <v>12354</v>
      </c>
      <c r="L7198" s="20">
        <v>0.17924528301886791</v>
      </c>
    </row>
    <row r="7199" spans="1:12" x14ac:dyDescent="0.45">
      <c r="A7199" s="12" t="s">
        <v>12326</v>
      </c>
      <c r="B7199" s="12" t="s">
        <v>549</v>
      </c>
      <c r="C7199" s="13" t="s">
        <v>550</v>
      </c>
      <c r="D7199" s="13" t="s">
        <v>158</v>
      </c>
      <c r="E7199" s="12" t="s">
        <v>50</v>
      </c>
      <c r="F7199" s="13"/>
      <c r="G7199" s="14">
        <v>7550</v>
      </c>
      <c r="H7199" s="13" t="s">
        <v>12355</v>
      </c>
      <c r="I7199" s="40" t="s">
        <v>18</v>
      </c>
      <c r="J7199" s="40" t="str">
        <f>HYPERLINK("https://stock.pstatic.net/stock-research/company/18/20251113_company_36984000.pdf","PDF")</f>
        <v>PDF</v>
      </c>
      <c r="K7199" s="12" t="s">
        <v>12356</v>
      </c>
    </row>
    <row r="7200" spans="1:12" x14ac:dyDescent="0.45">
      <c r="A7200" s="12" t="s">
        <v>12326</v>
      </c>
      <c r="B7200" s="12" t="s">
        <v>12357</v>
      </c>
      <c r="C7200" s="13" t="s">
        <v>12358</v>
      </c>
      <c r="D7200" s="13" t="s">
        <v>158</v>
      </c>
      <c r="E7200" s="12" t="s">
        <v>50</v>
      </c>
      <c r="F7200" s="13"/>
      <c r="G7200" s="14">
        <v>13460</v>
      </c>
      <c r="H7200" s="13" t="s">
        <v>12359</v>
      </c>
      <c r="I7200" s="40" t="s">
        <v>18</v>
      </c>
      <c r="J7200" s="40" t="str">
        <f>HYPERLINK("https://stock.pstatic.net/stock-research/company/18/20251113_company_607833000.pdf","PDF")</f>
        <v>PDF</v>
      </c>
      <c r="K7200" s="12" t="s">
        <v>12360</v>
      </c>
    </row>
    <row r="7201" spans="1:12" x14ac:dyDescent="0.45">
      <c r="A7201" s="12" t="s">
        <v>12326</v>
      </c>
      <c r="B7201" s="12" t="s">
        <v>2040</v>
      </c>
      <c r="C7201" s="13" t="s">
        <v>2041</v>
      </c>
      <c r="D7201" s="13" t="s">
        <v>15</v>
      </c>
      <c r="E7201" s="12" t="s">
        <v>385</v>
      </c>
      <c r="F7201" s="14">
        <v>89000</v>
      </c>
      <c r="G7201" s="14">
        <v>84800</v>
      </c>
      <c r="H7201" s="13" t="s">
        <v>12361</v>
      </c>
      <c r="I7201" s="40" t="s">
        <v>18</v>
      </c>
      <c r="J7201" s="40" t="str">
        <f>HYPERLINK("https://stock.pstatic.net/stock-research/company/29/20251113_company_448966000.pdf","PDF")</f>
        <v>PDF</v>
      </c>
      <c r="K7201" s="12" t="s">
        <v>12362</v>
      </c>
      <c r="L7201" s="20">
        <v>4.9528301886792463E-2</v>
      </c>
    </row>
    <row r="7202" spans="1:12" x14ac:dyDescent="0.45">
      <c r="A7202" s="12" t="s">
        <v>12326</v>
      </c>
      <c r="B7202" s="12" t="s">
        <v>259</v>
      </c>
      <c r="C7202" s="13" t="s">
        <v>260</v>
      </c>
      <c r="D7202" s="13" t="s">
        <v>23</v>
      </c>
      <c r="E7202" s="12" t="s">
        <v>16</v>
      </c>
      <c r="F7202" s="14">
        <v>96000</v>
      </c>
      <c r="G7202" s="14">
        <v>71900</v>
      </c>
      <c r="H7202" s="13" t="s">
        <v>12363</v>
      </c>
      <c r="I7202" s="40" t="s">
        <v>18</v>
      </c>
      <c r="J7202" s="40" t="str">
        <f>HYPERLINK("https://stock.pstatic.net/stock-research/company/21/20251113_company_69548000.pdf","PDF")</f>
        <v>PDF</v>
      </c>
      <c r="K7202" s="12" t="s">
        <v>12364</v>
      </c>
      <c r="L7202" s="20">
        <v>0.33518776077885948</v>
      </c>
    </row>
    <row r="7203" spans="1:12" x14ac:dyDescent="0.45">
      <c r="A7203" s="12" t="s">
        <v>12326</v>
      </c>
      <c r="B7203" s="12" t="s">
        <v>2758</v>
      </c>
      <c r="C7203" s="13" t="s">
        <v>2759</v>
      </c>
      <c r="D7203" s="13" t="s">
        <v>23</v>
      </c>
      <c r="E7203" s="12" t="s">
        <v>16</v>
      </c>
      <c r="F7203" s="14">
        <v>400000</v>
      </c>
      <c r="G7203" s="14">
        <v>318500</v>
      </c>
      <c r="H7203" s="13" t="s">
        <v>12365</v>
      </c>
      <c r="I7203" s="40" t="s">
        <v>18</v>
      </c>
      <c r="J7203" s="40" t="str">
        <f>HYPERLINK("https://stock.pstatic.net/stock-research/company/21/20251113_company_101414000.pdf","PDF")</f>
        <v>PDF</v>
      </c>
      <c r="K7203" s="12" t="s">
        <v>12366</v>
      </c>
      <c r="L7203" s="20">
        <v>0.25588697017268452</v>
      </c>
    </row>
    <row r="7204" spans="1:12" x14ac:dyDescent="0.45">
      <c r="A7204" s="12" t="s">
        <v>12326</v>
      </c>
      <c r="B7204" s="12" t="s">
        <v>356</v>
      </c>
      <c r="C7204" s="13" t="s">
        <v>357</v>
      </c>
      <c r="D7204" s="13" t="s">
        <v>23</v>
      </c>
      <c r="E7204" s="12" t="s">
        <v>16</v>
      </c>
      <c r="F7204" s="14">
        <v>90000</v>
      </c>
      <c r="G7204" s="14">
        <v>68900</v>
      </c>
      <c r="H7204" s="13" t="s">
        <v>12367</v>
      </c>
      <c r="I7204" s="40" t="s">
        <v>18</v>
      </c>
      <c r="J7204" s="40" t="str">
        <f>HYPERLINK("https://stock.pstatic.net/stock-research/company/21/20251113_company_505884000.pdf","PDF")</f>
        <v>PDF</v>
      </c>
      <c r="K7204" s="12" t="s">
        <v>12368</v>
      </c>
      <c r="L7204" s="20">
        <v>0.30624092888243831</v>
      </c>
    </row>
    <row r="7205" spans="1:12" x14ac:dyDescent="0.45">
      <c r="A7205" s="12" t="s">
        <v>12326</v>
      </c>
      <c r="B7205" s="12" t="s">
        <v>3887</v>
      </c>
      <c r="C7205" s="13" t="s">
        <v>3888</v>
      </c>
      <c r="D7205" s="13" t="s">
        <v>179</v>
      </c>
      <c r="E7205" s="12" t="s">
        <v>16</v>
      </c>
      <c r="F7205" s="14">
        <v>34000</v>
      </c>
      <c r="G7205" s="14">
        <v>23150</v>
      </c>
      <c r="H7205" s="13" t="s">
        <v>12369</v>
      </c>
      <c r="I7205" s="40" t="s">
        <v>18</v>
      </c>
      <c r="J7205" s="40" t="str">
        <f>HYPERLINK("https://stock.pstatic.net/stock-research/company/64/20251113_company_107135000.pdf","PDF")</f>
        <v>PDF</v>
      </c>
      <c r="K7205" s="12" t="s">
        <v>12370</v>
      </c>
      <c r="L7205" s="20">
        <v>0.46868250539956802</v>
      </c>
    </row>
    <row r="7206" spans="1:12" x14ac:dyDescent="0.45">
      <c r="A7206" s="12" t="s">
        <v>12326</v>
      </c>
      <c r="B7206" s="12" t="s">
        <v>1906</v>
      </c>
      <c r="C7206" s="13" t="s">
        <v>1907</v>
      </c>
      <c r="D7206" s="13" t="s">
        <v>179</v>
      </c>
      <c r="E7206" s="12" t="s">
        <v>385</v>
      </c>
      <c r="F7206" s="13"/>
      <c r="G7206" s="14">
        <v>38900</v>
      </c>
      <c r="H7206" s="13" t="s">
        <v>12371</v>
      </c>
      <c r="I7206" s="40" t="s">
        <v>18</v>
      </c>
      <c r="J7206" s="40" t="str">
        <f>HYPERLINK("https://stock.pstatic.net/stock-research/company/64/20251113_company_571974000.pdf","PDF")</f>
        <v>PDF</v>
      </c>
      <c r="K7206" s="12" t="s">
        <v>12372</v>
      </c>
    </row>
    <row r="7207" spans="1:12" x14ac:dyDescent="0.45">
      <c r="A7207" s="12" t="s">
        <v>12326</v>
      </c>
      <c r="B7207" s="12" t="s">
        <v>2040</v>
      </c>
      <c r="C7207" s="13" t="s">
        <v>2041</v>
      </c>
      <c r="D7207" s="13" t="s">
        <v>92</v>
      </c>
      <c r="E7207" s="12" t="s">
        <v>35</v>
      </c>
      <c r="F7207" s="14">
        <v>115000</v>
      </c>
      <c r="G7207" s="14">
        <v>84800</v>
      </c>
      <c r="H7207" s="13" t="s">
        <v>12373</v>
      </c>
      <c r="I7207" s="40" t="s">
        <v>18</v>
      </c>
      <c r="J7207" s="40" t="str">
        <f>HYPERLINK("https://stock.pstatic.net/stock-research/company/63/20251113_company_311654000.pdf","PDF")</f>
        <v>PDF</v>
      </c>
      <c r="K7207" s="12" t="s">
        <v>12374</v>
      </c>
      <c r="L7207" s="20">
        <v>0.35613207547169812</v>
      </c>
    </row>
    <row r="7208" spans="1:12" x14ac:dyDescent="0.45">
      <c r="A7208" s="12" t="s">
        <v>12326</v>
      </c>
      <c r="B7208" s="12" t="s">
        <v>1548</v>
      </c>
      <c r="C7208" s="13" t="s">
        <v>1549</v>
      </c>
      <c r="D7208" s="13" t="s">
        <v>44</v>
      </c>
      <c r="E7208" s="12" t="s">
        <v>35</v>
      </c>
      <c r="F7208" s="14">
        <v>1400000</v>
      </c>
      <c r="G7208" s="14">
        <v>960000</v>
      </c>
      <c r="H7208" s="13" t="s">
        <v>12375</v>
      </c>
      <c r="I7208" s="40" t="s">
        <v>18</v>
      </c>
      <c r="J7208" s="40" t="str">
        <f>HYPERLINK("https://stock.pstatic.net/stock-research/company/39/20251113_company_727588000.pdf","PDF")</f>
        <v>PDF</v>
      </c>
      <c r="K7208" s="12" t="s">
        <v>12376</v>
      </c>
      <c r="L7208" s="20">
        <v>0.45833333333333331</v>
      </c>
    </row>
    <row r="7209" spans="1:12" x14ac:dyDescent="0.45">
      <c r="A7209" s="12" t="s">
        <v>12326</v>
      </c>
      <c r="B7209" s="12" t="s">
        <v>3244</v>
      </c>
      <c r="C7209" s="13" t="s">
        <v>3245</v>
      </c>
      <c r="D7209" s="13" t="s">
        <v>44</v>
      </c>
      <c r="E7209" s="12" t="s">
        <v>35</v>
      </c>
      <c r="F7209" s="14">
        <v>72000</v>
      </c>
      <c r="G7209" s="14">
        <v>58700</v>
      </c>
      <c r="H7209" s="13" t="s">
        <v>12377</v>
      </c>
      <c r="I7209" s="40" t="s">
        <v>18</v>
      </c>
      <c r="J7209" s="40" t="str">
        <f>HYPERLINK("https://stock.pstatic.net/stock-research/company/39/20251113_company_186648000.pdf","PDF")</f>
        <v>PDF</v>
      </c>
      <c r="K7209" s="12" t="s">
        <v>12378</v>
      </c>
      <c r="L7209" s="20">
        <v>0.22657580919931861</v>
      </c>
    </row>
    <row r="7210" spans="1:12" x14ac:dyDescent="0.45">
      <c r="A7210" s="12" t="s">
        <v>12326</v>
      </c>
      <c r="B7210" s="12" t="s">
        <v>3150</v>
      </c>
      <c r="C7210" s="13" t="s">
        <v>3151</v>
      </c>
      <c r="D7210" s="13" t="s">
        <v>23</v>
      </c>
      <c r="E7210" s="12" t="s">
        <v>50</v>
      </c>
      <c r="F7210" s="13"/>
      <c r="G7210" s="14">
        <v>126700</v>
      </c>
      <c r="H7210" s="13" t="s">
        <v>12379</v>
      </c>
      <c r="I7210" s="40" t="s">
        <v>18</v>
      </c>
      <c r="J7210" s="40" t="str">
        <f>HYPERLINK("https://stock.pstatic.net/stock-research/company/21/20251113_company_346959000.pdf","PDF")</f>
        <v>PDF</v>
      </c>
      <c r="K7210" s="12" t="s">
        <v>12380</v>
      </c>
    </row>
    <row r="7211" spans="1:12" x14ac:dyDescent="0.45">
      <c r="A7211" s="12" t="s">
        <v>12326</v>
      </c>
      <c r="B7211" s="12" t="s">
        <v>2205</v>
      </c>
      <c r="C7211" s="13" t="s">
        <v>2206</v>
      </c>
      <c r="D7211" s="13" t="s">
        <v>23</v>
      </c>
      <c r="E7211" s="12" t="s">
        <v>16</v>
      </c>
      <c r="F7211" s="14">
        <v>53000</v>
      </c>
      <c r="G7211" s="14">
        <v>41150</v>
      </c>
      <c r="H7211" s="13" t="s">
        <v>12381</v>
      </c>
      <c r="I7211" s="40" t="s">
        <v>18</v>
      </c>
      <c r="J7211" s="40" t="str">
        <f>HYPERLINK("https://stock.pstatic.net/stock-research/company/21/20251113_company_749688000.pdf","PDF")</f>
        <v>PDF</v>
      </c>
      <c r="K7211" s="12" t="s">
        <v>12382</v>
      </c>
      <c r="L7211" s="20">
        <v>0.28797083839611182</v>
      </c>
    </row>
    <row r="7212" spans="1:12" x14ac:dyDescent="0.45">
      <c r="A7212" s="12" t="s">
        <v>12326</v>
      </c>
      <c r="B7212" s="12" t="s">
        <v>1734</v>
      </c>
      <c r="C7212" s="13" t="s">
        <v>1735</v>
      </c>
      <c r="D7212" s="13" t="s">
        <v>23</v>
      </c>
      <c r="E7212" s="12" t="s">
        <v>50</v>
      </c>
      <c r="F7212" s="14">
        <v>42000</v>
      </c>
      <c r="G7212" s="14">
        <v>42850</v>
      </c>
      <c r="H7212" s="13" t="s">
        <v>12383</v>
      </c>
      <c r="I7212" s="40" t="s">
        <v>18</v>
      </c>
      <c r="J7212" s="40" t="str">
        <f>HYPERLINK("https://stock.pstatic.net/stock-research/company/21/20251113_company_152134000.pdf","PDF")</f>
        <v>PDF</v>
      </c>
      <c r="K7212" s="12" t="s">
        <v>12384</v>
      </c>
      <c r="L7212" s="20">
        <v>-1.9836639439906649E-2</v>
      </c>
    </row>
    <row r="7213" spans="1:12" x14ac:dyDescent="0.45">
      <c r="A7213" s="12" t="s">
        <v>12326</v>
      </c>
      <c r="B7213" s="12" t="s">
        <v>2950</v>
      </c>
      <c r="C7213" s="13" t="s">
        <v>2951</v>
      </c>
      <c r="D7213" s="13" t="s">
        <v>23</v>
      </c>
      <c r="E7213" s="12" t="s">
        <v>16</v>
      </c>
      <c r="F7213" s="14">
        <v>125000</v>
      </c>
      <c r="G7213" s="14">
        <v>78400</v>
      </c>
      <c r="H7213" s="13" t="s">
        <v>12385</v>
      </c>
      <c r="I7213" s="40" t="s">
        <v>18</v>
      </c>
      <c r="J7213" s="40" t="str">
        <f>HYPERLINK("https://stock.pstatic.net/stock-research/company/21/20251113_company_902346000.pdf","PDF")</f>
        <v>PDF</v>
      </c>
      <c r="K7213" s="12" t="s">
        <v>12386</v>
      </c>
      <c r="L7213" s="20">
        <v>0.59438775510204078</v>
      </c>
    </row>
    <row r="7214" spans="1:12" x14ac:dyDescent="0.45">
      <c r="A7214" s="12" t="s">
        <v>12326</v>
      </c>
      <c r="B7214" s="12" t="s">
        <v>1734</v>
      </c>
      <c r="C7214" s="13" t="s">
        <v>1735</v>
      </c>
      <c r="D7214" s="13" t="s">
        <v>92</v>
      </c>
      <c r="E7214" s="12" t="s">
        <v>35</v>
      </c>
      <c r="F7214" s="14">
        <v>59000</v>
      </c>
      <c r="G7214" s="14">
        <v>42850</v>
      </c>
      <c r="H7214" s="13" t="s">
        <v>12387</v>
      </c>
      <c r="I7214" s="40" t="s">
        <v>18</v>
      </c>
      <c r="J7214" s="40" t="str">
        <f>HYPERLINK("https://stock.pstatic.net/stock-research/company/63/20251113_company_48339000.pdf","PDF")</f>
        <v>PDF</v>
      </c>
      <c r="K7214" s="12" t="s">
        <v>12388</v>
      </c>
      <c r="L7214" s="20">
        <v>0.37689614935822641</v>
      </c>
    </row>
    <row r="7215" spans="1:12" x14ac:dyDescent="0.45">
      <c r="A7215" s="12" t="s">
        <v>12326</v>
      </c>
      <c r="B7215" s="12" t="s">
        <v>1918</v>
      </c>
      <c r="C7215" s="13" t="s">
        <v>1919</v>
      </c>
      <c r="D7215" s="13" t="s">
        <v>92</v>
      </c>
      <c r="E7215" s="12" t="s">
        <v>35</v>
      </c>
      <c r="F7215" s="14">
        <v>6300</v>
      </c>
      <c r="G7215" s="14">
        <v>4350</v>
      </c>
      <c r="H7215" s="13" t="s">
        <v>12389</v>
      </c>
      <c r="I7215" s="40" t="s">
        <v>18</v>
      </c>
      <c r="J7215" s="40" t="str">
        <f>HYPERLINK("https://stock.pstatic.net/stock-research/company/63/20251113_company_177845000.pdf","PDF")</f>
        <v>PDF</v>
      </c>
      <c r="K7215" s="12" t="s">
        <v>12390</v>
      </c>
      <c r="L7215" s="20">
        <v>0.44827586206896552</v>
      </c>
    </row>
    <row r="7216" spans="1:12" x14ac:dyDescent="0.45">
      <c r="A7216" s="12" t="s">
        <v>12326</v>
      </c>
      <c r="B7216" s="12" t="s">
        <v>1562</v>
      </c>
      <c r="C7216" s="13" t="s">
        <v>1563</v>
      </c>
      <c r="D7216" s="13" t="s">
        <v>92</v>
      </c>
      <c r="E7216" s="12" t="s">
        <v>35</v>
      </c>
      <c r="F7216" s="14">
        <v>35000</v>
      </c>
      <c r="G7216" s="14">
        <v>25400</v>
      </c>
      <c r="H7216" s="13" t="s">
        <v>12391</v>
      </c>
      <c r="I7216" s="40" t="s">
        <v>18</v>
      </c>
      <c r="J7216" s="40" t="str">
        <f>HYPERLINK("https://stock.pstatic.net/stock-research/company/63/20251113_company_514761000.pdf","PDF")</f>
        <v>PDF</v>
      </c>
      <c r="K7216" s="12" t="s">
        <v>12392</v>
      </c>
      <c r="L7216" s="20">
        <v>0.37795275590551181</v>
      </c>
    </row>
    <row r="7217" spans="1:12" x14ac:dyDescent="0.45">
      <c r="A7217" s="12" t="s">
        <v>12326</v>
      </c>
      <c r="B7217" s="12" t="s">
        <v>1566</v>
      </c>
      <c r="C7217" s="13" t="s">
        <v>1567</v>
      </c>
      <c r="D7217" s="13" t="s">
        <v>92</v>
      </c>
      <c r="E7217" s="12" t="s">
        <v>50</v>
      </c>
      <c r="F7217" s="13"/>
      <c r="G7217" s="14">
        <v>2595</v>
      </c>
      <c r="H7217" s="13" t="s">
        <v>12393</v>
      </c>
      <c r="I7217" s="40" t="s">
        <v>18</v>
      </c>
      <c r="J7217" s="40" t="str">
        <f>HYPERLINK("https://stock.pstatic.net/stock-research/company/63/20251113_company_669489000.pdf","PDF")</f>
        <v>PDF</v>
      </c>
      <c r="K7217" s="12" t="s">
        <v>12394</v>
      </c>
    </row>
    <row r="7218" spans="1:12" x14ac:dyDescent="0.45">
      <c r="A7218" s="12" t="s">
        <v>12326</v>
      </c>
      <c r="B7218" s="12" t="s">
        <v>259</v>
      </c>
      <c r="C7218" s="13" t="s">
        <v>260</v>
      </c>
      <c r="D7218" s="13" t="s">
        <v>44</v>
      </c>
      <c r="E7218" s="12" t="s">
        <v>35</v>
      </c>
      <c r="F7218" s="14">
        <v>100000</v>
      </c>
      <c r="G7218" s="14">
        <v>71900</v>
      </c>
      <c r="H7218" s="13" t="s">
        <v>12395</v>
      </c>
      <c r="I7218" s="40" t="s">
        <v>18</v>
      </c>
      <c r="J7218" s="40" t="str">
        <f>HYPERLINK("https://stock.pstatic.net/stock-research/company/39/20251113_company_690547000.pdf","PDF")</f>
        <v>PDF</v>
      </c>
      <c r="K7218" s="12" t="s">
        <v>12396</v>
      </c>
      <c r="L7218" s="20">
        <v>0.39082058414464532</v>
      </c>
    </row>
    <row r="7219" spans="1:12" x14ac:dyDescent="0.45">
      <c r="A7219" s="12" t="s">
        <v>12326</v>
      </c>
      <c r="B7219" s="12" t="s">
        <v>2040</v>
      </c>
      <c r="C7219" s="13" t="s">
        <v>2041</v>
      </c>
      <c r="D7219" s="13" t="s">
        <v>44</v>
      </c>
      <c r="E7219" s="12" t="s">
        <v>35</v>
      </c>
      <c r="F7219" s="14">
        <v>105000</v>
      </c>
      <c r="G7219" s="14">
        <v>84800</v>
      </c>
      <c r="H7219" s="13" t="s">
        <v>12397</v>
      </c>
      <c r="I7219" s="40" t="s">
        <v>18</v>
      </c>
      <c r="J7219" s="40" t="str">
        <f>HYPERLINK("https://stock.pstatic.net/stock-research/company/39/20251113_company_729706000.pdf","PDF")</f>
        <v>PDF</v>
      </c>
      <c r="K7219" s="12" t="s">
        <v>12398</v>
      </c>
      <c r="L7219" s="20">
        <v>0.2382075471698113</v>
      </c>
    </row>
    <row r="7220" spans="1:12" x14ac:dyDescent="0.45">
      <c r="A7220" s="12" t="s">
        <v>12326</v>
      </c>
      <c r="B7220" s="12" t="s">
        <v>12399</v>
      </c>
      <c r="C7220" s="13" t="s">
        <v>12400</v>
      </c>
      <c r="D7220" s="13" t="s">
        <v>44</v>
      </c>
      <c r="E7220" s="12" t="s">
        <v>35</v>
      </c>
      <c r="F7220" s="14">
        <v>100000</v>
      </c>
      <c r="G7220" s="14">
        <v>76000</v>
      </c>
      <c r="H7220" s="13" t="s">
        <v>12401</v>
      </c>
      <c r="I7220" s="40" t="s">
        <v>18</v>
      </c>
      <c r="J7220" s="40" t="str">
        <f>HYPERLINK("https://stock.pstatic.net/stock-research/company/39/20251113_company_559527000.pdf","PDF")</f>
        <v>PDF</v>
      </c>
      <c r="K7220" s="12" t="s">
        <v>12402</v>
      </c>
      <c r="L7220" s="20">
        <v>0.31578947368421051</v>
      </c>
    </row>
    <row r="7221" spans="1:12" x14ac:dyDescent="0.45">
      <c r="A7221" s="12" t="s">
        <v>12326</v>
      </c>
      <c r="B7221" s="12" t="s">
        <v>259</v>
      </c>
      <c r="C7221" s="13" t="s">
        <v>260</v>
      </c>
      <c r="D7221" s="13" t="s">
        <v>34</v>
      </c>
      <c r="E7221" s="12" t="s">
        <v>35</v>
      </c>
      <c r="F7221" s="14">
        <v>100000</v>
      </c>
      <c r="G7221" s="14">
        <v>71900</v>
      </c>
      <c r="H7221" s="13" t="s">
        <v>12403</v>
      </c>
      <c r="I7221" s="40" t="s">
        <v>18</v>
      </c>
      <c r="J7221" s="40" t="str">
        <f>HYPERLINK("https://stock.pstatic.net/stock-research/company/61/20251113_company_58218000.pdf","PDF")</f>
        <v>PDF</v>
      </c>
      <c r="K7221" s="12" t="s">
        <v>12404</v>
      </c>
      <c r="L7221" s="20">
        <v>0.39082058414464532</v>
      </c>
    </row>
    <row r="7222" spans="1:12" x14ac:dyDescent="0.45">
      <c r="A7222" s="12" t="s">
        <v>12326</v>
      </c>
      <c r="B7222" s="12" t="s">
        <v>2040</v>
      </c>
      <c r="C7222" s="13" t="s">
        <v>2041</v>
      </c>
      <c r="D7222" s="13" t="s">
        <v>34</v>
      </c>
      <c r="E7222" s="12" t="s">
        <v>35</v>
      </c>
      <c r="F7222" s="14">
        <v>110000</v>
      </c>
      <c r="G7222" s="14">
        <v>84800</v>
      </c>
      <c r="H7222" s="13" t="s">
        <v>12405</v>
      </c>
      <c r="I7222" s="40" t="s">
        <v>18</v>
      </c>
      <c r="J7222" s="40" t="str">
        <f>HYPERLINK("https://stock.pstatic.net/stock-research/company/61/20251113_company_654414000.pdf","PDF")</f>
        <v>PDF</v>
      </c>
      <c r="K7222" s="12" t="s">
        <v>12406</v>
      </c>
      <c r="L7222" s="20">
        <v>0.29716981132075471</v>
      </c>
    </row>
    <row r="7223" spans="1:12" x14ac:dyDescent="0.45">
      <c r="A7223" s="12" t="s">
        <v>12326</v>
      </c>
      <c r="B7223" s="12" t="s">
        <v>3150</v>
      </c>
      <c r="C7223" s="13" t="s">
        <v>3151</v>
      </c>
      <c r="D7223" s="13" t="s">
        <v>44</v>
      </c>
      <c r="E7223" s="12" t="s">
        <v>35</v>
      </c>
      <c r="F7223" s="14">
        <v>180000</v>
      </c>
      <c r="G7223" s="14">
        <v>126700</v>
      </c>
      <c r="H7223" s="13" t="s">
        <v>12407</v>
      </c>
      <c r="I7223" s="40" t="s">
        <v>18</v>
      </c>
      <c r="J7223" s="40" t="str">
        <f>HYPERLINK("https://stock.pstatic.net/stock-research/company/39/20251113_company_707961000.pdf","PDF")</f>
        <v>PDF</v>
      </c>
      <c r="K7223" s="12" t="s">
        <v>12408</v>
      </c>
      <c r="L7223" s="20">
        <v>0.4206787687450671</v>
      </c>
    </row>
    <row r="7224" spans="1:12" x14ac:dyDescent="0.45">
      <c r="A7224" s="12" t="s">
        <v>12326</v>
      </c>
      <c r="B7224" s="12" t="s">
        <v>12409</v>
      </c>
      <c r="C7224" s="13" t="s">
        <v>12410</v>
      </c>
      <c r="D7224" s="13" t="s">
        <v>124</v>
      </c>
      <c r="E7224" s="12" t="s">
        <v>50</v>
      </c>
      <c r="F7224" s="13"/>
      <c r="G7224" s="13"/>
      <c r="H7224" s="13" t="s">
        <v>12411</v>
      </c>
      <c r="I7224" s="40" t="s">
        <v>18</v>
      </c>
      <c r="J7224" s="40" t="str">
        <f>HYPERLINK("https://stock.pstatic.net/stock-research/company/74/20251113_company_181097000.pdf","PDF")</f>
        <v>PDF</v>
      </c>
      <c r="K7224" s="12" t="s">
        <v>12412</v>
      </c>
    </row>
    <row r="7225" spans="1:12" x14ac:dyDescent="0.45">
      <c r="A7225" s="12" t="s">
        <v>12326</v>
      </c>
      <c r="B7225" s="12" t="s">
        <v>12413</v>
      </c>
      <c r="C7225" s="13" t="s">
        <v>12414</v>
      </c>
      <c r="D7225" s="13" t="s">
        <v>124</v>
      </c>
      <c r="E7225" s="12" t="s">
        <v>50</v>
      </c>
      <c r="F7225" s="13"/>
      <c r="G7225" s="13"/>
      <c r="H7225" s="13" t="s">
        <v>12415</v>
      </c>
      <c r="I7225" s="40" t="s">
        <v>18</v>
      </c>
      <c r="J7225" s="40" t="str">
        <f>HYPERLINK("https://stock.pstatic.net/stock-research/company/74/20251113_company_140229000.pdf","PDF")</f>
        <v>PDF</v>
      </c>
      <c r="K7225" s="12" t="s">
        <v>12416</v>
      </c>
    </row>
    <row r="7226" spans="1:12" x14ac:dyDescent="0.45">
      <c r="A7226" s="12" t="s">
        <v>12326</v>
      </c>
      <c r="B7226" s="12" t="s">
        <v>6298</v>
      </c>
      <c r="C7226" s="13" t="s">
        <v>6299</v>
      </c>
      <c r="D7226" s="13" t="s">
        <v>124</v>
      </c>
      <c r="E7226" s="12" t="s">
        <v>50</v>
      </c>
      <c r="F7226" s="13"/>
      <c r="G7226" s="13"/>
      <c r="H7226" s="13" t="s">
        <v>12417</v>
      </c>
      <c r="I7226" s="40" t="s">
        <v>18</v>
      </c>
      <c r="J7226" s="40" t="str">
        <f>HYPERLINK("https://stock.pstatic.net/stock-research/company/74/20251113_company_527823000.pdf","PDF")</f>
        <v>PDF</v>
      </c>
      <c r="K7226" s="12" t="s">
        <v>12418</v>
      </c>
    </row>
    <row r="7227" spans="1:12" x14ac:dyDescent="0.45">
      <c r="A7227" s="12" t="s">
        <v>12326</v>
      </c>
      <c r="B7227" s="12" t="s">
        <v>118</v>
      </c>
      <c r="C7227" s="13" t="s">
        <v>119</v>
      </c>
      <c r="D7227" s="13" t="s">
        <v>53</v>
      </c>
      <c r="E7227" s="12" t="s">
        <v>16</v>
      </c>
      <c r="F7227" s="14">
        <v>104000</v>
      </c>
      <c r="G7227" s="14">
        <v>79600</v>
      </c>
      <c r="H7227" s="13" t="s">
        <v>12419</v>
      </c>
      <c r="I7227" s="40" t="s">
        <v>18</v>
      </c>
      <c r="J7227" s="40" t="str">
        <f>HYPERLINK("https://stock.pstatic.net/stock-research/company/40/20251113_company_776176000.pdf","PDF")</f>
        <v>PDF</v>
      </c>
      <c r="K7227" s="12" t="s">
        <v>12420</v>
      </c>
      <c r="L7227" s="20">
        <v>0.30653266331658291</v>
      </c>
    </row>
    <row r="7228" spans="1:12" x14ac:dyDescent="0.45">
      <c r="A7228" s="12" t="s">
        <v>12421</v>
      </c>
      <c r="B7228" s="12" t="s">
        <v>118</v>
      </c>
      <c r="C7228" s="13" t="s">
        <v>119</v>
      </c>
      <c r="D7228" s="13" t="s">
        <v>57</v>
      </c>
      <c r="E7228" s="12" t="s">
        <v>35</v>
      </c>
      <c r="F7228" s="14">
        <v>120000</v>
      </c>
      <c r="G7228" s="14">
        <v>76900</v>
      </c>
      <c r="H7228" s="13" t="s">
        <v>12422</v>
      </c>
      <c r="I7228" s="40" t="s">
        <v>18</v>
      </c>
      <c r="J7228" s="40" t="str">
        <f>HYPERLINK("https://stock.pstatic.net/stock-research/company/16/20251112_company_358260000.pdf","PDF")</f>
        <v>PDF</v>
      </c>
      <c r="K7228" s="12" t="s">
        <v>12423</v>
      </c>
      <c r="L7228" s="20">
        <v>0.56046814044213267</v>
      </c>
    </row>
    <row r="7229" spans="1:12" x14ac:dyDescent="0.45">
      <c r="A7229" s="12" t="s">
        <v>12421</v>
      </c>
      <c r="B7229" s="12" t="s">
        <v>1682</v>
      </c>
      <c r="C7229" s="13" t="s">
        <v>4787</v>
      </c>
      <c r="D7229" s="13" t="s">
        <v>276</v>
      </c>
      <c r="E7229" s="12" t="s">
        <v>16</v>
      </c>
      <c r="F7229" s="14">
        <v>300000</v>
      </c>
      <c r="G7229" s="14">
        <v>229500</v>
      </c>
      <c r="H7229" s="13" t="s">
        <v>12424</v>
      </c>
      <c r="I7229" s="40" t="s">
        <v>18</v>
      </c>
      <c r="J7229" s="40" t="str">
        <f>HYPERLINK("https://stock.pstatic.net/stock-research/company/66/20251112_company_389876000.pdf","PDF")</f>
        <v>PDF</v>
      </c>
      <c r="K7229" s="12" t="s">
        <v>12425</v>
      </c>
      <c r="L7229" s="20">
        <v>0.30718954248366009</v>
      </c>
    </row>
    <row r="7230" spans="1:12" x14ac:dyDescent="0.45">
      <c r="A7230" s="12" t="s">
        <v>12421</v>
      </c>
      <c r="B7230" s="12" t="s">
        <v>1682</v>
      </c>
      <c r="C7230" s="13" t="s">
        <v>4787</v>
      </c>
      <c r="D7230" s="13" t="s">
        <v>60</v>
      </c>
      <c r="E7230" s="12" t="s">
        <v>50</v>
      </c>
      <c r="F7230" s="14">
        <v>270000</v>
      </c>
      <c r="G7230" s="14">
        <v>229500</v>
      </c>
      <c r="H7230" s="13" t="s">
        <v>12426</v>
      </c>
      <c r="I7230" s="40" t="s">
        <v>18</v>
      </c>
      <c r="J7230" s="40" t="str">
        <f>HYPERLINK("https://stock.pstatic.net/stock-research/company/34/20251112_company_758872000.pdf","PDF")</f>
        <v>PDF</v>
      </c>
      <c r="K7230" s="12" t="s">
        <v>12427</v>
      </c>
      <c r="L7230" s="20">
        <v>0.1764705882352941</v>
      </c>
    </row>
    <row r="7231" spans="1:12" x14ac:dyDescent="0.45">
      <c r="A7231" s="12" t="s">
        <v>12421</v>
      </c>
      <c r="B7231" s="12" t="s">
        <v>272</v>
      </c>
      <c r="C7231" s="13" t="s">
        <v>273</v>
      </c>
      <c r="D7231" s="13" t="s">
        <v>60</v>
      </c>
      <c r="E7231" s="12" t="s">
        <v>35</v>
      </c>
      <c r="F7231" s="14">
        <v>800000</v>
      </c>
      <c r="G7231" s="14">
        <v>440000</v>
      </c>
      <c r="H7231" s="13" t="s">
        <v>12428</v>
      </c>
      <c r="I7231" s="40" t="s">
        <v>18</v>
      </c>
      <c r="J7231" s="40" t="str">
        <f>HYPERLINK("https://stock.pstatic.net/stock-research/company/34/20251112_company_895044000.pdf","PDF")</f>
        <v>PDF</v>
      </c>
      <c r="K7231" s="12" t="s">
        <v>12429</v>
      </c>
      <c r="L7231" s="20">
        <v>0.81818181818181823</v>
      </c>
    </row>
    <row r="7232" spans="1:12" x14ac:dyDescent="0.45">
      <c r="A7232" s="12" t="s">
        <v>12421</v>
      </c>
      <c r="B7232" s="12" t="s">
        <v>2414</v>
      </c>
      <c r="C7232" s="13" t="s">
        <v>2415</v>
      </c>
      <c r="D7232" s="13" t="s">
        <v>60</v>
      </c>
      <c r="E7232" s="12" t="s">
        <v>35</v>
      </c>
      <c r="F7232" s="14">
        <v>1200000</v>
      </c>
      <c r="G7232" s="14">
        <v>1014000</v>
      </c>
      <c r="H7232" s="13" t="s">
        <v>12430</v>
      </c>
      <c r="I7232" s="40" t="s">
        <v>18</v>
      </c>
      <c r="J7232" s="40" t="str">
        <f>HYPERLINK("https://stock.pstatic.net/stock-research/company/34/20251112_company_568796000.pdf","PDF")</f>
        <v>PDF</v>
      </c>
      <c r="K7232" s="12" t="s">
        <v>12431</v>
      </c>
      <c r="L7232" s="20">
        <v>0.18343195266272189</v>
      </c>
    </row>
    <row r="7233" spans="1:12" x14ac:dyDescent="0.45">
      <c r="A7233" s="12" t="s">
        <v>12421</v>
      </c>
      <c r="B7233" s="12" t="s">
        <v>1682</v>
      </c>
      <c r="C7233" s="13" t="s">
        <v>4787</v>
      </c>
      <c r="D7233" s="13" t="s">
        <v>65</v>
      </c>
      <c r="E7233" s="12" t="s">
        <v>35</v>
      </c>
      <c r="F7233" s="14">
        <v>300000</v>
      </c>
      <c r="G7233" s="14">
        <v>229500</v>
      </c>
      <c r="H7233" s="13" t="s">
        <v>12432</v>
      </c>
      <c r="I7233" s="40" t="s">
        <v>18</v>
      </c>
      <c r="J7233" s="40" t="str">
        <f>HYPERLINK("https://stock.pstatic.net/stock-research/company/57/20251112_company_523989000.pdf","PDF")</f>
        <v>PDF</v>
      </c>
      <c r="K7233" s="12" t="s">
        <v>12433</v>
      </c>
      <c r="L7233" s="20">
        <v>0.30718954248366009</v>
      </c>
    </row>
    <row r="7234" spans="1:12" x14ac:dyDescent="0.45">
      <c r="A7234" s="12" t="s">
        <v>12421</v>
      </c>
      <c r="B7234" s="12" t="s">
        <v>1415</v>
      </c>
      <c r="C7234" s="13" t="s">
        <v>1416</v>
      </c>
      <c r="D7234" s="13" t="s">
        <v>65</v>
      </c>
      <c r="E7234" s="12" t="s">
        <v>35</v>
      </c>
      <c r="F7234" s="14">
        <v>7000</v>
      </c>
      <c r="G7234" s="14">
        <v>4725</v>
      </c>
      <c r="H7234" s="13" t="s">
        <v>12434</v>
      </c>
      <c r="I7234" s="40" t="s">
        <v>18</v>
      </c>
      <c r="J7234" s="40" t="str">
        <f>HYPERLINK("https://stock.pstatic.net/stock-research/company/57/20251112_company_205933000.pdf","PDF")</f>
        <v>PDF</v>
      </c>
      <c r="K7234" s="12" t="s">
        <v>12435</v>
      </c>
      <c r="L7234" s="20">
        <v>0.48148148148148151</v>
      </c>
    </row>
    <row r="7235" spans="1:12" x14ac:dyDescent="0.45">
      <c r="A7235" s="12" t="s">
        <v>12421</v>
      </c>
      <c r="B7235" s="12" t="s">
        <v>1270</v>
      </c>
      <c r="C7235" s="13" t="s">
        <v>1271</v>
      </c>
      <c r="D7235" s="13" t="s">
        <v>65</v>
      </c>
      <c r="E7235" s="12" t="s">
        <v>35</v>
      </c>
      <c r="F7235" s="14">
        <v>120000</v>
      </c>
      <c r="G7235" s="14">
        <v>76300</v>
      </c>
      <c r="H7235" s="13" t="s">
        <v>12436</v>
      </c>
      <c r="I7235" s="40" t="s">
        <v>18</v>
      </c>
      <c r="J7235" s="40" t="str">
        <f>HYPERLINK("https://stock.pstatic.net/stock-research/company/57/20251112_company_875959000.pdf","PDF")</f>
        <v>PDF</v>
      </c>
      <c r="K7235" s="12" t="s">
        <v>12437</v>
      </c>
      <c r="L7235" s="20">
        <v>0.57273918741808649</v>
      </c>
    </row>
    <row r="7236" spans="1:12" x14ac:dyDescent="0.45">
      <c r="A7236" s="12" t="s">
        <v>12421</v>
      </c>
      <c r="B7236" s="12" t="s">
        <v>1682</v>
      </c>
      <c r="C7236" s="13" t="s">
        <v>4787</v>
      </c>
      <c r="D7236" s="13" t="s">
        <v>158</v>
      </c>
      <c r="E7236" s="12" t="s">
        <v>35</v>
      </c>
      <c r="F7236" s="14">
        <v>310000</v>
      </c>
      <c r="G7236" s="14">
        <v>229500</v>
      </c>
      <c r="H7236" s="13" t="s">
        <v>12438</v>
      </c>
      <c r="I7236" s="40" t="s">
        <v>18</v>
      </c>
      <c r="J7236" s="40" t="str">
        <f>HYPERLINK("https://stock.pstatic.net/stock-research/company/18/20251112_company_373617000.pdf","PDF")</f>
        <v>PDF</v>
      </c>
      <c r="K7236" s="12" t="s">
        <v>12439</v>
      </c>
      <c r="L7236" s="20">
        <v>0.35076252723311552</v>
      </c>
    </row>
    <row r="7237" spans="1:12" x14ac:dyDescent="0.45">
      <c r="A7237" s="12" t="s">
        <v>12421</v>
      </c>
      <c r="B7237" s="12" t="s">
        <v>1906</v>
      </c>
      <c r="C7237" s="13" t="s">
        <v>1907</v>
      </c>
      <c r="D7237" s="13" t="s">
        <v>92</v>
      </c>
      <c r="E7237" s="12" t="s">
        <v>159</v>
      </c>
      <c r="F7237" s="14">
        <v>35000</v>
      </c>
      <c r="G7237" s="14">
        <v>35900</v>
      </c>
      <c r="H7237" s="13" t="s">
        <v>12440</v>
      </c>
      <c r="I7237" s="40" t="s">
        <v>18</v>
      </c>
      <c r="J7237" s="40" t="str">
        <f>HYPERLINK("https://stock.pstatic.net/stock-research/company/63/20251112_company_756836000.pdf","PDF")</f>
        <v>PDF</v>
      </c>
      <c r="K7237" s="12" t="s">
        <v>12441</v>
      </c>
      <c r="L7237" s="20">
        <v>-2.506963788300836E-2</v>
      </c>
    </row>
    <row r="7238" spans="1:12" x14ac:dyDescent="0.45">
      <c r="A7238" s="12" t="s">
        <v>12421</v>
      </c>
      <c r="B7238" s="12" t="s">
        <v>375</v>
      </c>
      <c r="C7238" s="13" t="s">
        <v>376</v>
      </c>
      <c r="D7238" s="13" t="s">
        <v>92</v>
      </c>
      <c r="E7238" s="12" t="s">
        <v>35</v>
      </c>
      <c r="F7238" s="14">
        <v>35000</v>
      </c>
      <c r="G7238" s="14">
        <v>25550</v>
      </c>
      <c r="H7238" s="13" t="s">
        <v>12442</v>
      </c>
      <c r="I7238" s="40" t="s">
        <v>18</v>
      </c>
      <c r="J7238" s="40" t="str">
        <f>HYPERLINK("https://stock.pstatic.net/stock-research/company/63/20251112_company_932773000.pdf","PDF")</f>
        <v>PDF</v>
      </c>
      <c r="K7238" s="12" t="s">
        <v>12443</v>
      </c>
      <c r="L7238" s="20">
        <v>0.36986301369863012</v>
      </c>
    </row>
    <row r="7239" spans="1:12" x14ac:dyDescent="0.45">
      <c r="A7239" s="12" t="s">
        <v>12421</v>
      </c>
      <c r="B7239" s="12" t="s">
        <v>1682</v>
      </c>
      <c r="C7239" s="13" t="s">
        <v>4787</v>
      </c>
      <c r="D7239" s="13" t="s">
        <v>83</v>
      </c>
      <c r="E7239" s="12" t="s">
        <v>642</v>
      </c>
      <c r="F7239" s="14">
        <v>230000</v>
      </c>
      <c r="G7239" s="14">
        <v>229500</v>
      </c>
      <c r="H7239" s="13" t="s">
        <v>12444</v>
      </c>
      <c r="I7239" s="40" t="s">
        <v>18</v>
      </c>
      <c r="J7239" s="40" t="str">
        <f>HYPERLINK("https://stock.pstatic.net/stock-research/company/2/20251112_company_534443000.pdf","PDF")</f>
        <v>PDF</v>
      </c>
      <c r="K7239" s="12" t="s">
        <v>12445</v>
      </c>
      <c r="L7239" s="20">
        <v>2.1786492374727671E-3</v>
      </c>
    </row>
    <row r="7240" spans="1:12" x14ac:dyDescent="0.45">
      <c r="A7240" s="12" t="s">
        <v>12421</v>
      </c>
      <c r="B7240" s="12" t="s">
        <v>450</v>
      </c>
      <c r="C7240" s="13" t="s">
        <v>451</v>
      </c>
      <c r="D7240" s="13" t="s">
        <v>83</v>
      </c>
      <c r="E7240" s="12" t="s">
        <v>642</v>
      </c>
      <c r="F7240" s="14">
        <v>250000</v>
      </c>
      <c r="G7240" s="14">
        <v>291000</v>
      </c>
      <c r="H7240" s="13" t="s">
        <v>12446</v>
      </c>
      <c r="I7240" s="40" t="s">
        <v>18</v>
      </c>
      <c r="J7240" s="40" t="str">
        <f>HYPERLINK("https://stock.pstatic.net/stock-research/company/2/20251112_company_230349000.pdf","PDF")</f>
        <v>PDF</v>
      </c>
      <c r="K7240" s="12" t="s">
        <v>12447</v>
      </c>
      <c r="L7240" s="20">
        <v>-0.14089347079037801</v>
      </c>
    </row>
    <row r="7241" spans="1:12" x14ac:dyDescent="0.45">
      <c r="A7241" s="12" t="s">
        <v>12421</v>
      </c>
      <c r="B7241" s="12" t="s">
        <v>1278</v>
      </c>
      <c r="C7241" s="13" t="s">
        <v>1279</v>
      </c>
      <c r="D7241" s="13" t="s">
        <v>83</v>
      </c>
      <c r="E7241" s="12" t="s">
        <v>35</v>
      </c>
      <c r="F7241" s="14">
        <v>218000</v>
      </c>
      <c r="G7241" s="14">
        <v>169800</v>
      </c>
      <c r="H7241" s="13" t="s">
        <v>12448</v>
      </c>
      <c r="I7241" s="40" t="s">
        <v>18</v>
      </c>
      <c r="J7241" s="40" t="str">
        <f>HYPERLINK("https://stock.pstatic.net/stock-research/company/2/20251112_company_871434000.pdf","PDF")</f>
        <v>PDF</v>
      </c>
      <c r="K7241" s="12" t="s">
        <v>12449</v>
      </c>
      <c r="L7241" s="20">
        <v>0.2838633686690224</v>
      </c>
    </row>
    <row r="7242" spans="1:12" x14ac:dyDescent="0.45">
      <c r="A7242" s="12" t="s">
        <v>12421</v>
      </c>
      <c r="B7242" s="12" t="s">
        <v>1930</v>
      </c>
      <c r="C7242" s="13" t="s">
        <v>1931</v>
      </c>
      <c r="D7242" s="13" t="s">
        <v>83</v>
      </c>
      <c r="E7242" s="12" t="s">
        <v>642</v>
      </c>
      <c r="F7242" s="14">
        <v>260000</v>
      </c>
      <c r="G7242" s="14">
        <v>229000</v>
      </c>
      <c r="H7242" s="13" t="s">
        <v>12450</v>
      </c>
      <c r="I7242" s="40" t="s">
        <v>18</v>
      </c>
      <c r="J7242" s="40" t="str">
        <f>HYPERLINK("https://stock.pstatic.net/stock-research/company/2/20251112_company_604262000.pdf","PDF")</f>
        <v>PDF</v>
      </c>
      <c r="K7242" s="12" t="s">
        <v>12451</v>
      </c>
      <c r="L7242" s="20">
        <v>0.13537117903930129</v>
      </c>
    </row>
    <row r="7243" spans="1:12" x14ac:dyDescent="0.45">
      <c r="A7243" s="12" t="s">
        <v>12421</v>
      </c>
      <c r="B7243" s="12" t="s">
        <v>272</v>
      </c>
      <c r="C7243" s="13" t="s">
        <v>273</v>
      </c>
      <c r="D7243" s="13" t="s">
        <v>83</v>
      </c>
      <c r="E7243" s="12" t="s">
        <v>35</v>
      </c>
      <c r="F7243" s="14">
        <v>700000</v>
      </c>
      <c r="G7243" s="14">
        <v>440000</v>
      </c>
      <c r="H7243" s="13" t="s">
        <v>12452</v>
      </c>
      <c r="I7243" s="40" t="s">
        <v>18</v>
      </c>
      <c r="J7243" s="40" t="str">
        <f>HYPERLINK("https://stock.pstatic.net/stock-research/company/2/20251112_company_304074000.pdf","PDF")</f>
        <v>PDF</v>
      </c>
      <c r="K7243" s="12" t="s">
        <v>12453</v>
      </c>
      <c r="L7243" s="20">
        <v>0.59090909090909094</v>
      </c>
    </row>
    <row r="7244" spans="1:12" x14ac:dyDescent="0.45">
      <c r="A7244" s="12" t="s">
        <v>12421</v>
      </c>
      <c r="B7244" s="12" t="s">
        <v>1906</v>
      </c>
      <c r="C7244" s="13" t="s">
        <v>1907</v>
      </c>
      <c r="D7244" s="13" t="s">
        <v>15</v>
      </c>
      <c r="E7244" s="12" t="s">
        <v>385</v>
      </c>
      <c r="F7244" s="14">
        <v>36000</v>
      </c>
      <c r="G7244" s="14">
        <v>35900</v>
      </c>
      <c r="H7244" s="13" t="s">
        <v>12454</v>
      </c>
      <c r="I7244" s="40" t="s">
        <v>18</v>
      </c>
      <c r="J7244" s="40" t="str">
        <f>HYPERLINK("https://stock.pstatic.net/stock-research/company/29/20251112_company_363824000.pdf","PDF")</f>
        <v>PDF</v>
      </c>
      <c r="K7244" s="12" t="s">
        <v>12455</v>
      </c>
      <c r="L7244" s="20">
        <v>2.7855153203342618E-3</v>
      </c>
    </row>
    <row r="7245" spans="1:12" x14ac:dyDescent="0.45">
      <c r="A7245" s="12" t="s">
        <v>12421</v>
      </c>
      <c r="B7245" s="12" t="s">
        <v>272</v>
      </c>
      <c r="C7245" s="13" t="s">
        <v>273</v>
      </c>
      <c r="D7245" s="13" t="s">
        <v>15</v>
      </c>
      <c r="E7245" s="12" t="s">
        <v>16</v>
      </c>
      <c r="F7245" s="14">
        <v>700000</v>
      </c>
      <c r="G7245" s="14">
        <v>440000</v>
      </c>
      <c r="H7245" s="13" t="s">
        <v>12456</v>
      </c>
      <c r="I7245" s="40" t="s">
        <v>18</v>
      </c>
      <c r="J7245" s="40" t="str">
        <f>HYPERLINK("https://stock.pstatic.net/stock-research/company/29/20251112_company_53851000.pdf","PDF")</f>
        <v>PDF</v>
      </c>
      <c r="K7245" s="12" t="s">
        <v>12457</v>
      </c>
      <c r="L7245" s="20">
        <v>0.59090909090909094</v>
      </c>
    </row>
    <row r="7246" spans="1:12" x14ac:dyDescent="0.45">
      <c r="A7246" s="12" t="s">
        <v>12421</v>
      </c>
      <c r="B7246" s="12" t="s">
        <v>2105</v>
      </c>
      <c r="C7246" s="13" t="s">
        <v>2106</v>
      </c>
      <c r="D7246" s="13" t="s">
        <v>15</v>
      </c>
      <c r="E7246" s="12" t="s">
        <v>16</v>
      </c>
      <c r="F7246" s="14">
        <v>54000</v>
      </c>
      <c r="G7246" s="14">
        <v>39500</v>
      </c>
      <c r="H7246" s="13" t="s">
        <v>12458</v>
      </c>
      <c r="I7246" s="40" t="s">
        <v>18</v>
      </c>
      <c r="J7246" s="40" t="str">
        <f>HYPERLINK("https://stock.pstatic.net/stock-research/company/29/20251112_company_519340000.pdf","PDF")</f>
        <v>PDF</v>
      </c>
      <c r="K7246" s="12" t="s">
        <v>12459</v>
      </c>
      <c r="L7246" s="20">
        <v>0.36708860759493672</v>
      </c>
    </row>
    <row r="7247" spans="1:12" x14ac:dyDescent="0.45">
      <c r="A7247" s="12" t="s">
        <v>12421</v>
      </c>
      <c r="B7247" s="12" t="s">
        <v>736</v>
      </c>
      <c r="C7247" s="13" t="s">
        <v>737</v>
      </c>
      <c r="D7247" s="13" t="s">
        <v>15</v>
      </c>
      <c r="E7247" s="12" t="s">
        <v>16</v>
      </c>
      <c r="F7247" s="14">
        <v>146000</v>
      </c>
      <c r="G7247" s="14">
        <v>108600</v>
      </c>
      <c r="H7247" s="13" t="s">
        <v>12460</v>
      </c>
      <c r="I7247" s="40" t="s">
        <v>18</v>
      </c>
      <c r="J7247" s="40" t="str">
        <f>HYPERLINK("https://stock.pstatic.net/stock-research/company/29/20251112_company_334873000.pdf","PDF")</f>
        <v>PDF</v>
      </c>
      <c r="K7247" s="12" t="s">
        <v>12461</v>
      </c>
      <c r="L7247" s="20">
        <v>0.34438305709023942</v>
      </c>
    </row>
    <row r="7248" spans="1:12" x14ac:dyDescent="0.45">
      <c r="A7248" s="12" t="s">
        <v>12421</v>
      </c>
      <c r="B7248" s="12" t="s">
        <v>1105</v>
      </c>
      <c r="C7248" s="13" t="s">
        <v>1106</v>
      </c>
      <c r="D7248" s="13" t="s">
        <v>92</v>
      </c>
      <c r="E7248" s="12" t="s">
        <v>35</v>
      </c>
      <c r="F7248" s="14">
        <v>20500</v>
      </c>
      <c r="G7248" s="14">
        <v>15460</v>
      </c>
      <c r="H7248" s="13" t="s">
        <v>12462</v>
      </c>
      <c r="I7248" s="40" t="s">
        <v>18</v>
      </c>
      <c r="J7248" s="40" t="str">
        <f>HYPERLINK("https://stock.pstatic.net/stock-research/company/63/20251112_company_655233000.pdf","PDF")</f>
        <v>PDF</v>
      </c>
      <c r="K7248" s="12" t="s">
        <v>12463</v>
      </c>
      <c r="L7248" s="20">
        <v>0.32600258732212162</v>
      </c>
    </row>
    <row r="7249" spans="1:12" x14ac:dyDescent="0.45">
      <c r="A7249" s="12" t="s">
        <v>12421</v>
      </c>
      <c r="B7249" s="12" t="s">
        <v>1930</v>
      </c>
      <c r="C7249" s="13" t="s">
        <v>1931</v>
      </c>
      <c r="D7249" s="13" t="s">
        <v>92</v>
      </c>
      <c r="E7249" s="12" t="s">
        <v>35</v>
      </c>
      <c r="F7249" s="14">
        <v>280000</v>
      </c>
      <c r="G7249" s="14">
        <v>229000</v>
      </c>
      <c r="H7249" s="13" t="s">
        <v>12464</v>
      </c>
      <c r="I7249" s="40" t="s">
        <v>18</v>
      </c>
      <c r="J7249" s="40" t="str">
        <f>HYPERLINK("https://stock.pstatic.net/stock-research/company/63/20251112_company_444821000.pdf","PDF")</f>
        <v>PDF</v>
      </c>
      <c r="K7249" s="12" t="s">
        <v>12465</v>
      </c>
      <c r="L7249" s="20">
        <v>0.22270742358078599</v>
      </c>
    </row>
    <row r="7250" spans="1:12" x14ac:dyDescent="0.45">
      <c r="A7250" s="12" t="s">
        <v>12421</v>
      </c>
      <c r="B7250" s="12" t="s">
        <v>1900</v>
      </c>
      <c r="C7250" s="13" t="s">
        <v>1901</v>
      </c>
      <c r="D7250" s="13" t="s">
        <v>15</v>
      </c>
      <c r="E7250" s="12" t="s">
        <v>16</v>
      </c>
      <c r="F7250" s="14">
        <v>38000</v>
      </c>
      <c r="G7250" s="14">
        <v>27200</v>
      </c>
      <c r="H7250" s="13" t="s">
        <v>12466</v>
      </c>
      <c r="I7250" s="40" t="s">
        <v>18</v>
      </c>
      <c r="J7250" s="40" t="str">
        <f>HYPERLINK("https://stock.pstatic.net/stock-research/company/29/20251112_company_901390000.pdf","PDF")</f>
        <v>PDF</v>
      </c>
      <c r="K7250" s="12" t="s">
        <v>12467</v>
      </c>
      <c r="L7250" s="20">
        <v>0.39705882352941169</v>
      </c>
    </row>
    <row r="7251" spans="1:12" x14ac:dyDescent="0.45">
      <c r="A7251" s="12" t="s">
        <v>12421</v>
      </c>
      <c r="B7251" s="12" t="s">
        <v>1682</v>
      </c>
      <c r="C7251" s="13" t="s">
        <v>4787</v>
      </c>
      <c r="D7251" s="13" t="s">
        <v>179</v>
      </c>
      <c r="E7251" s="12" t="s">
        <v>16</v>
      </c>
      <c r="F7251" s="14">
        <v>300000</v>
      </c>
      <c r="G7251" s="14">
        <v>229500</v>
      </c>
      <c r="H7251" s="13" t="s">
        <v>12468</v>
      </c>
      <c r="I7251" s="40" t="s">
        <v>18</v>
      </c>
      <c r="J7251" s="40" t="str">
        <f>HYPERLINK("https://stock.pstatic.net/stock-research/company/64/20251112_company_612071000.pdf","PDF")</f>
        <v>PDF</v>
      </c>
      <c r="K7251" s="12" t="s">
        <v>12469</v>
      </c>
      <c r="L7251" s="20">
        <v>0.30718954248366009</v>
      </c>
    </row>
    <row r="7252" spans="1:12" x14ac:dyDescent="0.45">
      <c r="A7252" s="12" t="s">
        <v>12421</v>
      </c>
      <c r="B7252" s="12" t="s">
        <v>888</v>
      </c>
      <c r="C7252" s="13" t="s">
        <v>889</v>
      </c>
      <c r="D7252" s="13" t="s">
        <v>179</v>
      </c>
      <c r="E7252" s="12" t="s">
        <v>16</v>
      </c>
      <c r="F7252" s="14">
        <v>62000</v>
      </c>
      <c r="G7252" s="14">
        <v>51400</v>
      </c>
      <c r="H7252" s="13" t="s">
        <v>12470</v>
      </c>
      <c r="I7252" s="40" t="s">
        <v>18</v>
      </c>
      <c r="J7252" s="40" t="str">
        <f>HYPERLINK("https://stock.pstatic.net/stock-research/company/64/20251112_company_647362000.pdf","PDF")</f>
        <v>PDF</v>
      </c>
      <c r="K7252" s="12" t="s">
        <v>12471</v>
      </c>
      <c r="L7252" s="20">
        <v>0.2062256809338521</v>
      </c>
    </row>
    <row r="7253" spans="1:12" x14ac:dyDescent="0.45">
      <c r="A7253" s="12" t="s">
        <v>12421</v>
      </c>
      <c r="B7253" s="12" t="s">
        <v>736</v>
      </c>
      <c r="C7253" s="13" t="s">
        <v>737</v>
      </c>
      <c r="D7253" s="13" t="s">
        <v>92</v>
      </c>
      <c r="E7253" s="12" t="s">
        <v>35</v>
      </c>
      <c r="F7253" s="14">
        <v>125000</v>
      </c>
      <c r="G7253" s="14">
        <v>108600</v>
      </c>
      <c r="H7253" s="13" t="s">
        <v>12472</v>
      </c>
      <c r="I7253" s="40" t="s">
        <v>18</v>
      </c>
      <c r="J7253" s="40" t="str">
        <f>HYPERLINK("https://stock.pstatic.net/stock-research/company/63/20251112_company_703866000.pdf","PDF")</f>
        <v>PDF</v>
      </c>
      <c r="K7253" s="12" t="s">
        <v>12473</v>
      </c>
      <c r="L7253" s="20">
        <v>0.15101289134438309</v>
      </c>
    </row>
    <row r="7254" spans="1:12" x14ac:dyDescent="0.45">
      <c r="A7254" s="12" t="s">
        <v>12421</v>
      </c>
      <c r="B7254" s="12" t="s">
        <v>1930</v>
      </c>
      <c r="C7254" s="13" t="s">
        <v>1931</v>
      </c>
      <c r="D7254" s="13" t="s">
        <v>34</v>
      </c>
      <c r="E7254" s="12" t="s">
        <v>35</v>
      </c>
      <c r="F7254" s="14">
        <v>320000</v>
      </c>
      <c r="G7254" s="14">
        <v>229000</v>
      </c>
      <c r="H7254" s="13" t="s">
        <v>12474</v>
      </c>
      <c r="I7254" s="40" t="s">
        <v>18</v>
      </c>
      <c r="J7254" s="40" t="str">
        <f>HYPERLINK("https://stock.pstatic.net/stock-research/company/61/20251112_company_524511000.pdf","PDF")</f>
        <v>PDF</v>
      </c>
      <c r="K7254" s="12" t="s">
        <v>12475</v>
      </c>
      <c r="L7254" s="20">
        <v>0.39737991266375539</v>
      </c>
    </row>
    <row r="7255" spans="1:12" x14ac:dyDescent="0.45">
      <c r="A7255" s="12" t="s">
        <v>12421</v>
      </c>
      <c r="B7255" s="12" t="s">
        <v>1278</v>
      </c>
      <c r="C7255" s="13" t="s">
        <v>1279</v>
      </c>
      <c r="D7255" s="13" t="s">
        <v>23</v>
      </c>
      <c r="E7255" s="12" t="s">
        <v>16</v>
      </c>
      <c r="F7255" s="14">
        <v>250000</v>
      </c>
      <c r="G7255" s="14">
        <v>169800</v>
      </c>
      <c r="H7255" s="13" t="s">
        <v>12476</v>
      </c>
      <c r="I7255" s="40" t="s">
        <v>18</v>
      </c>
      <c r="J7255" s="40" t="str">
        <f>HYPERLINK("https://stock.pstatic.net/stock-research/company/21/20251112_company_303677000.pdf","PDF")</f>
        <v>PDF</v>
      </c>
      <c r="K7255" s="12" t="s">
        <v>12477</v>
      </c>
      <c r="L7255" s="20">
        <v>0.47232037691401652</v>
      </c>
    </row>
    <row r="7256" spans="1:12" x14ac:dyDescent="0.45">
      <c r="A7256" s="12" t="s">
        <v>12421</v>
      </c>
      <c r="B7256" s="12" t="s">
        <v>118</v>
      </c>
      <c r="C7256" s="13" t="s">
        <v>119</v>
      </c>
      <c r="D7256" s="13" t="s">
        <v>23</v>
      </c>
      <c r="E7256" s="12" t="s">
        <v>16</v>
      </c>
      <c r="F7256" s="14">
        <v>110000</v>
      </c>
      <c r="G7256" s="14">
        <v>76900</v>
      </c>
      <c r="H7256" s="13" t="s">
        <v>12478</v>
      </c>
      <c r="I7256" s="40" t="s">
        <v>18</v>
      </c>
      <c r="J7256" s="40" t="str">
        <f>HYPERLINK("https://stock.pstatic.net/stock-research/company/21/20251112_company_562961000.pdf","PDF")</f>
        <v>PDF</v>
      </c>
      <c r="K7256" s="12" t="s">
        <v>12479</v>
      </c>
      <c r="L7256" s="20">
        <v>0.4304291287386216</v>
      </c>
    </row>
    <row r="7257" spans="1:12" x14ac:dyDescent="0.45">
      <c r="A7257" s="12" t="s">
        <v>12421</v>
      </c>
      <c r="B7257" s="12" t="s">
        <v>255</v>
      </c>
      <c r="C7257" s="13" t="s">
        <v>256</v>
      </c>
      <c r="D7257" s="13" t="s">
        <v>23</v>
      </c>
      <c r="E7257" s="12" t="s">
        <v>16</v>
      </c>
      <c r="F7257" s="14">
        <v>27000</v>
      </c>
      <c r="G7257" s="14">
        <v>23150</v>
      </c>
      <c r="H7257" s="13" t="s">
        <v>5865</v>
      </c>
      <c r="I7257" s="40" t="s">
        <v>18</v>
      </c>
      <c r="J7257" s="40" t="str">
        <f>HYPERLINK("https://stock.pstatic.net/stock-research/company/21/20251112_company_11532000.pdf","PDF")</f>
        <v>PDF</v>
      </c>
      <c r="K7257" s="12" t="s">
        <v>12480</v>
      </c>
      <c r="L7257" s="20">
        <v>0.16630669546436291</v>
      </c>
    </row>
    <row r="7258" spans="1:12" x14ac:dyDescent="0.45">
      <c r="A7258" s="12" t="s">
        <v>12421</v>
      </c>
      <c r="B7258" s="12" t="s">
        <v>888</v>
      </c>
      <c r="C7258" s="13" t="s">
        <v>889</v>
      </c>
      <c r="D7258" s="13" t="s">
        <v>92</v>
      </c>
      <c r="E7258" s="12" t="s">
        <v>35</v>
      </c>
      <c r="F7258" s="14">
        <v>69000</v>
      </c>
      <c r="G7258" s="14">
        <v>51400</v>
      </c>
      <c r="H7258" s="13" t="s">
        <v>12481</v>
      </c>
      <c r="I7258" s="40" t="s">
        <v>18</v>
      </c>
      <c r="J7258" s="40" t="str">
        <f>HYPERLINK("https://stock.pstatic.net/stock-research/company/63/20251112_company_40224000.pdf","PDF")</f>
        <v>PDF</v>
      </c>
      <c r="K7258" s="12" t="s">
        <v>12482</v>
      </c>
      <c r="L7258" s="20">
        <v>0.34241245136186771</v>
      </c>
    </row>
    <row r="7259" spans="1:12" x14ac:dyDescent="0.45">
      <c r="A7259" s="12" t="s">
        <v>12421</v>
      </c>
      <c r="B7259" s="12" t="s">
        <v>1682</v>
      </c>
      <c r="C7259" s="13" t="s">
        <v>4787</v>
      </c>
      <c r="D7259" s="13" t="s">
        <v>92</v>
      </c>
      <c r="E7259" s="12" t="s">
        <v>35</v>
      </c>
      <c r="F7259" s="14">
        <v>280000</v>
      </c>
      <c r="G7259" s="14">
        <v>229500</v>
      </c>
      <c r="H7259" s="13" t="s">
        <v>12483</v>
      </c>
      <c r="I7259" s="40" t="s">
        <v>18</v>
      </c>
      <c r="J7259" s="40" t="str">
        <f>HYPERLINK("https://stock.pstatic.net/stock-research/company/63/20251112_company_930708000.pdf","PDF")</f>
        <v>PDF</v>
      </c>
      <c r="K7259" s="12" t="s">
        <v>12484</v>
      </c>
      <c r="L7259" s="20">
        <v>0.22004357298474941</v>
      </c>
    </row>
    <row r="7260" spans="1:12" x14ac:dyDescent="0.45">
      <c r="A7260" s="12" t="s">
        <v>12421</v>
      </c>
      <c r="B7260" s="12" t="s">
        <v>1930</v>
      </c>
      <c r="C7260" s="13" t="s">
        <v>1931</v>
      </c>
      <c r="D7260" s="13" t="s">
        <v>23</v>
      </c>
      <c r="E7260" s="12" t="s">
        <v>16</v>
      </c>
      <c r="F7260" s="14">
        <v>290000</v>
      </c>
      <c r="G7260" s="14">
        <v>229000</v>
      </c>
      <c r="H7260" s="13" t="s">
        <v>12485</v>
      </c>
      <c r="I7260" s="40" t="s">
        <v>18</v>
      </c>
      <c r="J7260" s="40" t="str">
        <f>HYPERLINK("https://stock.pstatic.net/stock-research/company/21/20251112_company_38423000.pdf","PDF")</f>
        <v>PDF</v>
      </c>
      <c r="K7260" s="12" t="s">
        <v>12486</v>
      </c>
      <c r="L7260" s="20">
        <v>0.26637554585152839</v>
      </c>
    </row>
    <row r="7261" spans="1:12" x14ac:dyDescent="0.45">
      <c r="A7261" s="12" t="s">
        <v>12421</v>
      </c>
      <c r="B7261" s="12" t="s">
        <v>5597</v>
      </c>
      <c r="C7261" s="13" t="s">
        <v>5598</v>
      </c>
      <c r="D7261" s="13" t="s">
        <v>53</v>
      </c>
      <c r="E7261" s="12" t="s">
        <v>16</v>
      </c>
      <c r="F7261" s="14">
        <v>100000</v>
      </c>
      <c r="G7261" s="14">
        <v>57700</v>
      </c>
      <c r="H7261" s="13" t="s">
        <v>12487</v>
      </c>
      <c r="I7261" s="40" t="s">
        <v>18</v>
      </c>
      <c r="J7261" s="40" t="str">
        <f>HYPERLINK("https://stock.pstatic.net/stock-research/company/40/20251112_company_502328000.pdf","PDF")</f>
        <v>PDF</v>
      </c>
      <c r="K7261" s="12" t="s">
        <v>12488</v>
      </c>
      <c r="L7261" s="20">
        <v>0.73310225303292897</v>
      </c>
    </row>
    <row r="7262" spans="1:12" x14ac:dyDescent="0.45">
      <c r="A7262" s="12" t="s">
        <v>12421</v>
      </c>
      <c r="B7262" s="12" t="s">
        <v>1682</v>
      </c>
      <c r="C7262" s="13" t="s">
        <v>4787</v>
      </c>
      <c r="D7262" s="13" t="s">
        <v>44</v>
      </c>
      <c r="E7262" s="12" t="s">
        <v>35</v>
      </c>
      <c r="F7262" s="14">
        <v>430000</v>
      </c>
      <c r="G7262" s="14">
        <v>229500</v>
      </c>
      <c r="H7262" s="13" t="s">
        <v>12489</v>
      </c>
      <c r="I7262" s="40" t="s">
        <v>18</v>
      </c>
      <c r="J7262" s="40" t="str">
        <f>HYPERLINK("https://stock.pstatic.net/stock-research/company/39/20251112_company_916177000.pdf","PDF")</f>
        <v>PDF</v>
      </c>
      <c r="K7262" s="12" t="s">
        <v>12490</v>
      </c>
      <c r="L7262" s="20">
        <v>0.87363834422657949</v>
      </c>
    </row>
    <row r="7263" spans="1:12" x14ac:dyDescent="0.45">
      <c r="A7263" s="12" t="s">
        <v>12421</v>
      </c>
      <c r="B7263" s="12" t="s">
        <v>1415</v>
      </c>
      <c r="C7263" s="13" t="s">
        <v>1416</v>
      </c>
      <c r="D7263" s="13" t="s">
        <v>23</v>
      </c>
      <c r="E7263" s="12" t="s">
        <v>16</v>
      </c>
      <c r="F7263" s="14">
        <v>6200</v>
      </c>
      <c r="G7263" s="14">
        <v>4725</v>
      </c>
      <c r="H7263" s="13" t="s">
        <v>12491</v>
      </c>
      <c r="I7263" s="40" t="s">
        <v>18</v>
      </c>
      <c r="J7263" s="40" t="str">
        <f>HYPERLINK("https://stock.pstatic.net/stock-research/company/21/20251112_company_764205000.pdf","PDF")</f>
        <v>PDF</v>
      </c>
      <c r="K7263" s="12" t="s">
        <v>12492</v>
      </c>
      <c r="L7263" s="20">
        <v>0.31216931216931221</v>
      </c>
    </row>
    <row r="7264" spans="1:12" x14ac:dyDescent="0.45">
      <c r="A7264" s="12" t="s">
        <v>12421</v>
      </c>
      <c r="B7264" s="12" t="s">
        <v>2024</v>
      </c>
      <c r="C7264" s="13" t="s">
        <v>2025</v>
      </c>
      <c r="D7264" s="13" t="s">
        <v>23</v>
      </c>
      <c r="E7264" s="12" t="s">
        <v>50</v>
      </c>
      <c r="F7264" s="14">
        <v>46000</v>
      </c>
      <c r="G7264" s="14">
        <v>46200</v>
      </c>
      <c r="H7264" s="13" t="s">
        <v>12493</v>
      </c>
      <c r="I7264" s="40" t="s">
        <v>18</v>
      </c>
      <c r="J7264" s="40" t="str">
        <f>HYPERLINK("https://stock.pstatic.net/stock-research/company/21/20251112_company_359572000.pdf","PDF")</f>
        <v>PDF</v>
      </c>
      <c r="K7264" s="12" t="s">
        <v>12494</v>
      </c>
      <c r="L7264" s="20">
        <v>-4.329004329004329E-3</v>
      </c>
    </row>
    <row r="7265" spans="1:12" x14ac:dyDescent="0.45">
      <c r="A7265" s="12" t="s">
        <v>12421</v>
      </c>
      <c r="B7265" s="12" t="s">
        <v>1270</v>
      </c>
      <c r="C7265" s="13" t="s">
        <v>1271</v>
      </c>
      <c r="D7265" s="13" t="s">
        <v>23</v>
      </c>
      <c r="E7265" s="12" t="s">
        <v>16</v>
      </c>
      <c r="F7265" s="14">
        <v>100000</v>
      </c>
      <c r="G7265" s="14">
        <v>76300</v>
      </c>
      <c r="H7265" s="13" t="s">
        <v>12495</v>
      </c>
      <c r="I7265" s="40" t="s">
        <v>18</v>
      </c>
      <c r="J7265" s="40" t="str">
        <f>HYPERLINK("https://stock.pstatic.net/stock-research/company/21/20251112_company_687652000.pdf","PDF")</f>
        <v>PDF</v>
      </c>
      <c r="K7265" s="12" t="s">
        <v>12496</v>
      </c>
      <c r="L7265" s="20">
        <v>0.31061598951507208</v>
      </c>
    </row>
    <row r="7266" spans="1:12" x14ac:dyDescent="0.45">
      <c r="A7266" s="12" t="s">
        <v>12421</v>
      </c>
      <c r="B7266" s="12" t="s">
        <v>12497</v>
      </c>
      <c r="C7266" s="13" t="s">
        <v>12498</v>
      </c>
      <c r="D7266" s="13" t="s">
        <v>44</v>
      </c>
      <c r="E7266" s="12" t="s">
        <v>50</v>
      </c>
      <c r="F7266" s="13"/>
      <c r="G7266" s="14">
        <v>5650</v>
      </c>
      <c r="H7266" s="13" t="s">
        <v>12499</v>
      </c>
      <c r="I7266" s="40" t="s">
        <v>18</v>
      </c>
      <c r="J7266" s="40" t="str">
        <f>HYPERLINK("https://stock.pstatic.net/stock-research/company/39/20251112_company_135714000.pdf","PDF")</f>
        <v>PDF</v>
      </c>
      <c r="K7266" s="12" t="s">
        <v>12500</v>
      </c>
    </row>
    <row r="7267" spans="1:12" x14ac:dyDescent="0.45">
      <c r="A7267" s="12" t="s">
        <v>12421</v>
      </c>
      <c r="B7267" s="12" t="s">
        <v>118</v>
      </c>
      <c r="C7267" s="13" t="s">
        <v>119</v>
      </c>
      <c r="D7267" s="13" t="s">
        <v>44</v>
      </c>
      <c r="E7267" s="12" t="s">
        <v>35</v>
      </c>
      <c r="F7267" s="14">
        <v>120000</v>
      </c>
      <c r="G7267" s="14">
        <v>76900</v>
      </c>
      <c r="H7267" s="13" t="s">
        <v>12501</v>
      </c>
      <c r="I7267" s="40" t="s">
        <v>18</v>
      </c>
      <c r="J7267" s="40" t="str">
        <f>HYPERLINK("https://stock.pstatic.net/stock-research/company/39/20251112_company_21365000.pdf","PDF")</f>
        <v>PDF</v>
      </c>
      <c r="K7267" s="12" t="s">
        <v>12502</v>
      </c>
      <c r="L7267" s="20">
        <v>0.56046814044213267</v>
      </c>
    </row>
    <row r="7268" spans="1:12" x14ac:dyDescent="0.45">
      <c r="A7268" s="12" t="s">
        <v>12421</v>
      </c>
      <c r="B7268" s="12" t="s">
        <v>272</v>
      </c>
      <c r="C7268" s="13" t="s">
        <v>273</v>
      </c>
      <c r="D7268" s="13" t="s">
        <v>44</v>
      </c>
      <c r="E7268" s="12" t="s">
        <v>35</v>
      </c>
      <c r="F7268" s="14">
        <v>700000</v>
      </c>
      <c r="G7268" s="14">
        <v>440000</v>
      </c>
      <c r="H7268" s="13" t="s">
        <v>12503</v>
      </c>
      <c r="I7268" s="40" t="s">
        <v>18</v>
      </c>
      <c r="J7268" s="40" t="str">
        <f>HYPERLINK("https://stock.pstatic.net/stock-research/company/39/20251112_company_22868000.pdf","PDF")</f>
        <v>PDF</v>
      </c>
      <c r="K7268" s="12" t="s">
        <v>12504</v>
      </c>
      <c r="L7268" s="20">
        <v>0.59090909090909094</v>
      </c>
    </row>
    <row r="7269" spans="1:12" x14ac:dyDescent="0.45">
      <c r="A7269" s="12" t="s">
        <v>12421</v>
      </c>
      <c r="B7269" s="12" t="s">
        <v>1278</v>
      </c>
      <c r="C7269" s="13" t="s">
        <v>1279</v>
      </c>
      <c r="D7269" s="13" t="s">
        <v>44</v>
      </c>
      <c r="E7269" s="12" t="s">
        <v>35</v>
      </c>
      <c r="F7269" s="14">
        <v>260000</v>
      </c>
      <c r="G7269" s="14">
        <v>169800</v>
      </c>
      <c r="H7269" s="13" t="s">
        <v>12505</v>
      </c>
      <c r="I7269" s="40" t="s">
        <v>18</v>
      </c>
      <c r="J7269" s="40" t="str">
        <f>HYPERLINK("https://stock.pstatic.net/stock-research/company/39/20251112_company_467842000.pdf","PDF")</f>
        <v>PDF</v>
      </c>
      <c r="K7269" s="12" t="s">
        <v>12506</v>
      </c>
      <c r="L7269" s="20">
        <v>0.53121319199057715</v>
      </c>
    </row>
    <row r="7270" spans="1:12" x14ac:dyDescent="0.45">
      <c r="A7270" s="12" t="s">
        <v>12421</v>
      </c>
      <c r="B7270" s="12" t="s">
        <v>1270</v>
      </c>
      <c r="C7270" s="13" t="s">
        <v>1271</v>
      </c>
      <c r="D7270" s="13" t="s">
        <v>44</v>
      </c>
      <c r="E7270" s="12" t="s">
        <v>35</v>
      </c>
      <c r="F7270" s="14">
        <v>110000</v>
      </c>
      <c r="G7270" s="14">
        <v>76300</v>
      </c>
      <c r="H7270" s="13" t="s">
        <v>12507</v>
      </c>
      <c r="I7270" s="40" t="s">
        <v>18</v>
      </c>
      <c r="J7270" s="40" t="str">
        <f>HYPERLINK("https://stock.pstatic.net/stock-research/company/39/20251112_company_226407000.pdf","PDF")</f>
        <v>PDF</v>
      </c>
      <c r="K7270" s="12" t="s">
        <v>12508</v>
      </c>
      <c r="L7270" s="20">
        <v>0.44167758846657929</v>
      </c>
    </row>
    <row r="7271" spans="1:12" x14ac:dyDescent="0.45">
      <c r="A7271" s="12" t="s">
        <v>12421</v>
      </c>
      <c r="B7271" s="12" t="s">
        <v>1930</v>
      </c>
      <c r="C7271" s="13" t="s">
        <v>1931</v>
      </c>
      <c r="D7271" s="13" t="s">
        <v>44</v>
      </c>
      <c r="E7271" s="12" t="s">
        <v>35</v>
      </c>
      <c r="F7271" s="14">
        <v>280000</v>
      </c>
      <c r="G7271" s="14">
        <v>229000</v>
      </c>
      <c r="H7271" s="13" t="s">
        <v>12509</v>
      </c>
      <c r="I7271" s="40" t="s">
        <v>18</v>
      </c>
      <c r="J7271" s="40" t="str">
        <f>HYPERLINK("https://stock.pstatic.net/stock-research/company/39/20251112_company_353105000.pdf","PDF")</f>
        <v>PDF</v>
      </c>
      <c r="K7271" s="12" t="s">
        <v>12510</v>
      </c>
      <c r="L7271" s="20">
        <v>0.22270742358078599</v>
      </c>
    </row>
    <row r="7272" spans="1:12" x14ac:dyDescent="0.45">
      <c r="A7272" s="12" t="s">
        <v>12421</v>
      </c>
      <c r="B7272" s="12" t="s">
        <v>10852</v>
      </c>
      <c r="C7272" s="13" t="s">
        <v>10853</v>
      </c>
      <c r="D7272" s="13" t="s">
        <v>124</v>
      </c>
      <c r="E7272" s="12" t="s">
        <v>50</v>
      </c>
      <c r="F7272" s="13"/>
      <c r="G7272" s="13"/>
      <c r="H7272" s="13" t="s">
        <v>12511</v>
      </c>
      <c r="I7272" s="40" t="s">
        <v>18</v>
      </c>
      <c r="J7272" s="40" t="str">
        <f>HYPERLINK("https://stock.pstatic.net/stock-research/company/74/20251112_company_953602000.pdf","PDF")</f>
        <v>PDF</v>
      </c>
      <c r="K7272" s="12" t="s">
        <v>12512</v>
      </c>
    </row>
    <row r="7273" spans="1:12" x14ac:dyDescent="0.45">
      <c r="A7273" s="12" t="s">
        <v>12421</v>
      </c>
      <c r="B7273" s="12" t="s">
        <v>12513</v>
      </c>
      <c r="C7273" s="13" t="s">
        <v>12514</v>
      </c>
      <c r="D7273" s="13" t="s">
        <v>124</v>
      </c>
      <c r="E7273" s="12" t="s">
        <v>50</v>
      </c>
      <c r="F7273" s="13"/>
      <c r="G7273" s="13"/>
      <c r="H7273" s="13" t="s">
        <v>12515</v>
      </c>
      <c r="I7273" s="40" t="s">
        <v>18</v>
      </c>
      <c r="J7273" s="40" t="str">
        <f>HYPERLINK("https://stock.pstatic.net/stock-research/company/74/20251112_company_636099000.pdf","PDF")</f>
        <v>PDF</v>
      </c>
      <c r="K7273" s="12" t="s">
        <v>12516</v>
      </c>
    </row>
    <row r="7274" spans="1:12" x14ac:dyDescent="0.45">
      <c r="A7274" s="12" t="s">
        <v>12421</v>
      </c>
      <c r="B7274" s="12" t="s">
        <v>8204</v>
      </c>
      <c r="C7274" s="13" t="s">
        <v>8205</v>
      </c>
      <c r="D7274" s="13" t="s">
        <v>53</v>
      </c>
      <c r="E7274" s="12" t="s">
        <v>16</v>
      </c>
      <c r="F7274" s="14">
        <v>105000</v>
      </c>
      <c r="G7274" s="14">
        <v>85100</v>
      </c>
      <c r="H7274" s="13" t="s">
        <v>12517</v>
      </c>
      <c r="I7274" s="40" t="s">
        <v>18</v>
      </c>
      <c r="J7274" s="40" t="str">
        <f>HYPERLINK("https://stock.pstatic.net/stock-research/company/40/20251112_company_314387000.pdf","PDF")</f>
        <v>PDF</v>
      </c>
      <c r="K7274" s="12" t="s">
        <v>12518</v>
      </c>
      <c r="L7274" s="20">
        <v>0.2338425381903643</v>
      </c>
    </row>
    <row r="7275" spans="1:12" x14ac:dyDescent="0.45">
      <c r="A7275" s="12" t="s">
        <v>12421</v>
      </c>
      <c r="B7275" s="12" t="s">
        <v>1930</v>
      </c>
      <c r="C7275" s="13" t="s">
        <v>1931</v>
      </c>
      <c r="D7275" s="13" t="s">
        <v>53</v>
      </c>
      <c r="E7275" s="12" t="s">
        <v>16</v>
      </c>
      <c r="F7275" s="14">
        <v>280000</v>
      </c>
      <c r="G7275" s="14">
        <v>229000</v>
      </c>
      <c r="H7275" s="13" t="s">
        <v>12519</v>
      </c>
      <c r="I7275" s="40" t="s">
        <v>18</v>
      </c>
      <c r="J7275" s="40" t="str">
        <f>HYPERLINK("https://stock.pstatic.net/stock-research/company/40/20251112_company_895765000.pdf","PDF")</f>
        <v>PDF</v>
      </c>
      <c r="K7275" s="12" t="s">
        <v>12520</v>
      </c>
      <c r="L7275" s="20">
        <v>0.22270742358078599</v>
      </c>
    </row>
    <row r="7276" spans="1:12" x14ac:dyDescent="0.45">
      <c r="A7276" s="12" t="s">
        <v>12421</v>
      </c>
      <c r="B7276" s="12" t="s">
        <v>724</v>
      </c>
      <c r="C7276" s="13" t="s">
        <v>725</v>
      </c>
      <c r="D7276" s="13" t="s">
        <v>15</v>
      </c>
      <c r="E7276" s="12" t="s">
        <v>385</v>
      </c>
      <c r="F7276" s="14">
        <v>65000</v>
      </c>
      <c r="G7276" s="14">
        <v>57900</v>
      </c>
      <c r="H7276" s="13" t="s">
        <v>12521</v>
      </c>
      <c r="I7276" s="40" t="s">
        <v>18</v>
      </c>
      <c r="J7276" s="40" t="str">
        <f>HYPERLINK("https://stock.pstatic.net/stock-research/company/29/20251112_company_653605000.pdf","PDF")</f>
        <v>PDF</v>
      </c>
      <c r="K7276" s="12" t="s">
        <v>12522</v>
      </c>
      <c r="L7276" s="20">
        <v>0.12262521588946459</v>
      </c>
    </row>
    <row r="7277" spans="1:12" x14ac:dyDescent="0.45">
      <c r="A7277" s="12" t="s">
        <v>12421</v>
      </c>
      <c r="B7277" s="12" t="s">
        <v>330</v>
      </c>
      <c r="C7277" s="13" t="s">
        <v>331</v>
      </c>
      <c r="D7277" s="13" t="s">
        <v>1271</v>
      </c>
      <c r="E7277" s="12" t="s">
        <v>35</v>
      </c>
      <c r="F7277" s="14">
        <v>36000</v>
      </c>
      <c r="G7277" s="14">
        <v>28750</v>
      </c>
      <c r="H7277" s="13" t="s">
        <v>12523</v>
      </c>
      <c r="I7277" s="40" t="s">
        <v>18</v>
      </c>
      <c r="J7277" s="40" t="str">
        <f>HYPERLINK("https://stock.pstatic.net/stock-research/company/7/20251112_company_734809000.pdf","PDF")</f>
        <v>PDF</v>
      </c>
      <c r="K7277" s="12" t="s">
        <v>12524</v>
      </c>
      <c r="L7277" s="20">
        <v>0.25217391304347819</v>
      </c>
    </row>
    <row r="7278" spans="1:12" x14ac:dyDescent="0.45">
      <c r="A7278" s="12" t="s">
        <v>12421</v>
      </c>
      <c r="B7278" s="12" t="s">
        <v>2795</v>
      </c>
      <c r="C7278" s="13" t="s">
        <v>2796</v>
      </c>
      <c r="D7278" s="13" t="s">
        <v>1271</v>
      </c>
      <c r="E7278" s="12" t="s">
        <v>35</v>
      </c>
      <c r="F7278" s="14">
        <v>4900</v>
      </c>
      <c r="G7278" s="14">
        <v>3730</v>
      </c>
      <c r="H7278" s="13" t="s">
        <v>12525</v>
      </c>
      <c r="I7278" s="40" t="s">
        <v>18</v>
      </c>
      <c r="J7278" s="40" t="str">
        <f>HYPERLINK("https://stock.pstatic.net/stock-research/company/7/20251112_company_724744000.pdf","PDF")</f>
        <v>PDF</v>
      </c>
      <c r="K7278" s="12" t="s">
        <v>12526</v>
      </c>
      <c r="L7278" s="20">
        <v>0.31367292225201071</v>
      </c>
    </row>
    <row r="7279" spans="1:12" x14ac:dyDescent="0.45">
      <c r="A7279" s="12" t="s">
        <v>12421</v>
      </c>
      <c r="B7279" s="12" t="s">
        <v>2522</v>
      </c>
      <c r="C7279" s="13" t="s">
        <v>2523</v>
      </c>
      <c r="D7279" s="13" t="s">
        <v>1271</v>
      </c>
      <c r="E7279" s="12" t="s">
        <v>35</v>
      </c>
      <c r="F7279" s="14">
        <v>380000</v>
      </c>
      <c r="G7279" s="14">
        <v>279000</v>
      </c>
      <c r="H7279" s="13" t="s">
        <v>12527</v>
      </c>
      <c r="I7279" s="40" t="s">
        <v>18</v>
      </c>
      <c r="J7279" s="40" t="str">
        <f>HYPERLINK("https://stock.pstatic.net/stock-research/company/7/20251112_company_676823000.pdf","PDF")</f>
        <v>PDF</v>
      </c>
      <c r="K7279" s="12" t="s">
        <v>12528</v>
      </c>
      <c r="L7279" s="20">
        <v>0.36200716845878128</v>
      </c>
    </row>
    <row r="7280" spans="1:12" x14ac:dyDescent="0.45">
      <c r="A7280" s="12" t="s">
        <v>12421</v>
      </c>
      <c r="B7280" s="12" t="s">
        <v>1660</v>
      </c>
      <c r="C7280" s="13" t="s">
        <v>1661</v>
      </c>
      <c r="D7280" s="13" t="s">
        <v>1271</v>
      </c>
      <c r="E7280" s="12" t="s">
        <v>35</v>
      </c>
      <c r="F7280" s="14">
        <v>55000</v>
      </c>
      <c r="G7280" s="14">
        <v>40750</v>
      </c>
      <c r="H7280" s="13" t="s">
        <v>12529</v>
      </c>
      <c r="I7280" s="40" t="s">
        <v>18</v>
      </c>
      <c r="J7280" s="40" t="str">
        <f>HYPERLINK("https://stock.pstatic.net/stock-research/company/7/20251112_company_259576000.pdf","PDF")</f>
        <v>PDF</v>
      </c>
      <c r="K7280" s="12" t="s">
        <v>12530</v>
      </c>
      <c r="L7280" s="20">
        <v>0.34969325153374231</v>
      </c>
    </row>
    <row r="7281" spans="1:12" x14ac:dyDescent="0.45">
      <c r="A7281" s="12" t="s">
        <v>12421</v>
      </c>
      <c r="B7281" s="12" t="s">
        <v>27</v>
      </c>
      <c r="C7281" s="13" t="s">
        <v>28</v>
      </c>
      <c r="D7281" s="13" t="s">
        <v>1271</v>
      </c>
      <c r="E7281" s="12" t="s">
        <v>35</v>
      </c>
      <c r="F7281" s="14">
        <v>95000</v>
      </c>
      <c r="G7281" s="14">
        <v>67400</v>
      </c>
      <c r="H7281" s="13" t="s">
        <v>12531</v>
      </c>
      <c r="I7281" s="40" t="s">
        <v>18</v>
      </c>
      <c r="J7281" s="40" t="str">
        <f>HYPERLINK("https://stock.pstatic.net/stock-research/company/7/20251112_company_173665000.pdf","PDF")</f>
        <v>PDF</v>
      </c>
      <c r="K7281" s="12" t="s">
        <v>12532</v>
      </c>
      <c r="L7281" s="20">
        <v>0.40949554896142432</v>
      </c>
    </row>
    <row r="7282" spans="1:12" x14ac:dyDescent="0.45">
      <c r="A7282" s="12" t="s">
        <v>12421</v>
      </c>
      <c r="B7282" s="12" t="s">
        <v>2950</v>
      </c>
      <c r="C7282" s="13" t="s">
        <v>2951</v>
      </c>
      <c r="D7282" s="13" t="s">
        <v>1271</v>
      </c>
      <c r="E7282" s="12" t="s">
        <v>35</v>
      </c>
      <c r="F7282" s="14">
        <v>100000</v>
      </c>
      <c r="G7282" s="14">
        <v>83600</v>
      </c>
      <c r="H7282" s="13" t="s">
        <v>12533</v>
      </c>
      <c r="I7282" s="40" t="s">
        <v>18</v>
      </c>
      <c r="J7282" s="40" t="str">
        <f>HYPERLINK("https://stock.pstatic.net/stock-research/company/7/20251112_company_855555000.pdf","PDF")</f>
        <v>PDF</v>
      </c>
      <c r="K7282" s="12" t="s">
        <v>12534</v>
      </c>
      <c r="L7282" s="20">
        <v>0.19617224880382769</v>
      </c>
    </row>
    <row r="7283" spans="1:12" x14ac:dyDescent="0.45">
      <c r="A7283" s="12" t="s">
        <v>12421</v>
      </c>
      <c r="B7283" s="12" t="s">
        <v>537</v>
      </c>
      <c r="C7283" s="13" t="s">
        <v>538</v>
      </c>
      <c r="D7283" s="13" t="s">
        <v>1271</v>
      </c>
      <c r="E7283" s="12" t="s">
        <v>35</v>
      </c>
      <c r="F7283" s="14">
        <v>17500</v>
      </c>
      <c r="G7283" s="14">
        <v>14970</v>
      </c>
      <c r="H7283" s="13" t="s">
        <v>12535</v>
      </c>
      <c r="I7283" s="40" t="s">
        <v>18</v>
      </c>
      <c r="J7283" s="40" t="str">
        <f>HYPERLINK("https://stock.pstatic.net/stock-research/company/7/20251112_company_36782000.pdf","PDF")</f>
        <v>PDF</v>
      </c>
      <c r="K7283" s="12" t="s">
        <v>12536</v>
      </c>
      <c r="L7283" s="20">
        <v>0.16900467601870409</v>
      </c>
    </row>
    <row r="7284" spans="1:12" x14ac:dyDescent="0.45">
      <c r="A7284" s="12" t="s">
        <v>12421</v>
      </c>
      <c r="B7284" s="12" t="s">
        <v>533</v>
      </c>
      <c r="C7284" s="13" t="s">
        <v>534</v>
      </c>
      <c r="D7284" s="13" t="s">
        <v>1271</v>
      </c>
      <c r="E7284" s="12" t="s">
        <v>35</v>
      </c>
      <c r="F7284" s="14">
        <v>62000</v>
      </c>
      <c r="G7284" s="14">
        <v>48250</v>
      </c>
      <c r="H7284" s="13" t="s">
        <v>12537</v>
      </c>
      <c r="I7284" s="40" t="s">
        <v>18</v>
      </c>
      <c r="J7284" s="40" t="str">
        <f>HYPERLINK("https://stock.pstatic.net/stock-research/company/7/20251112_company_922782000.pdf","PDF")</f>
        <v>PDF</v>
      </c>
      <c r="K7284" s="12" t="s">
        <v>12538</v>
      </c>
      <c r="L7284" s="20">
        <v>0.28497409326424872</v>
      </c>
    </row>
    <row r="7285" spans="1:12" x14ac:dyDescent="0.45">
      <c r="A7285" s="12" t="s">
        <v>12421</v>
      </c>
      <c r="B7285" s="12" t="s">
        <v>1674</v>
      </c>
      <c r="C7285" s="13" t="s">
        <v>1675</v>
      </c>
      <c r="D7285" s="13" t="s">
        <v>1271</v>
      </c>
      <c r="E7285" s="12" t="s">
        <v>35</v>
      </c>
      <c r="F7285" s="14">
        <v>520000</v>
      </c>
      <c r="G7285" s="14">
        <v>405500</v>
      </c>
      <c r="H7285" s="13" t="s">
        <v>12539</v>
      </c>
      <c r="I7285" s="40" t="s">
        <v>18</v>
      </c>
      <c r="J7285" s="40" t="str">
        <f>HYPERLINK("https://stock.pstatic.net/stock-research/company/7/20251112_company_812554000.pdf","PDF")</f>
        <v>PDF</v>
      </c>
      <c r="K7285" s="12" t="s">
        <v>12540</v>
      </c>
      <c r="L7285" s="20">
        <v>0.28236744759556098</v>
      </c>
    </row>
    <row r="7286" spans="1:12" x14ac:dyDescent="0.45">
      <c r="A7286" s="12" t="s">
        <v>12421</v>
      </c>
      <c r="B7286" s="12" t="s">
        <v>1678</v>
      </c>
      <c r="C7286" s="13" t="s">
        <v>1679</v>
      </c>
      <c r="D7286" s="13" t="s">
        <v>1271</v>
      </c>
      <c r="E7286" s="12" t="s">
        <v>35</v>
      </c>
      <c r="F7286" s="14">
        <v>88000</v>
      </c>
      <c r="G7286" s="14">
        <v>64800</v>
      </c>
      <c r="H7286" s="13" t="s">
        <v>12541</v>
      </c>
      <c r="I7286" s="40" t="s">
        <v>18</v>
      </c>
      <c r="J7286" s="40" t="str">
        <f>HYPERLINK("https://stock.pstatic.net/stock-research/company/7/20251112_company_313833000.pdf","PDF")</f>
        <v>PDF</v>
      </c>
      <c r="K7286" s="12" t="s">
        <v>12542</v>
      </c>
      <c r="L7286" s="20">
        <v>0.35802469135802473</v>
      </c>
    </row>
    <row r="7287" spans="1:12" x14ac:dyDescent="0.45">
      <c r="A7287" s="12" t="s">
        <v>12543</v>
      </c>
      <c r="B7287" s="12" t="s">
        <v>1682</v>
      </c>
      <c r="C7287" s="13" t="s">
        <v>4787</v>
      </c>
      <c r="D7287" s="13" t="s">
        <v>15</v>
      </c>
      <c r="E7287" s="12" t="s">
        <v>16</v>
      </c>
      <c r="F7287" s="14">
        <v>280000</v>
      </c>
      <c r="G7287" s="14">
        <v>227000</v>
      </c>
      <c r="H7287" s="13" t="s">
        <v>12544</v>
      </c>
      <c r="I7287" s="40" t="s">
        <v>18</v>
      </c>
      <c r="J7287" s="40" t="str">
        <f>HYPERLINK("https://stock.pstatic.net/stock-research/company/29/20251111_company_215253000.pdf","PDF")</f>
        <v>PDF</v>
      </c>
      <c r="K7287" s="12" t="s">
        <v>12545</v>
      </c>
      <c r="L7287" s="20">
        <v>0.23348017621145381</v>
      </c>
    </row>
    <row r="7288" spans="1:12" x14ac:dyDescent="0.45">
      <c r="A7288" s="12" t="s">
        <v>12543</v>
      </c>
      <c r="B7288" s="12" t="s">
        <v>426</v>
      </c>
      <c r="C7288" s="13" t="s">
        <v>427</v>
      </c>
      <c r="D7288" s="13" t="s">
        <v>57</v>
      </c>
      <c r="E7288" s="12" t="s">
        <v>35</v>
      </c>
      <c r="F7288" s="14">
        <v>28000</v>
      </c>
      <c r="G7288" s="14">
        <v>17190</v>
      </c>
      <c r="H7288" s="13" t="s">
        <v>12546</v>
      </c>
      <c r="I7288" s="40" t="s">
        <v>18</v>
      </c>
      <c r="J7288" s="40" t="str">
        <f>HYPERLINK("https://stock.pstatic.net/stock-research/company/16/20251111_company_729995000.pdf","PDF")</f>
        <v>PDF</v>
      </c>
      <c r="K7288" s="12" t="s">
        <v>12547</v>
      </c>
      <c r="L7288" s="20">
        <v>0.62885398487492727</v>
      </c>
    </row>
    <row r="7289" spans="1:12" x14ac:dyDescent="0.45">
      <c r="A7289" s="12" t="s">
        <v>12543</v>
      </c>
      <c r="B7289" s="12" t="s">
        <v>768</v>
      </c>
      <c r="C7289" s="13" t="s">
        <v>769</v>
      </c>
      <c r="D7289" s="13" t="s">
        <v>57</v>
      </c>
      <c r="E7289" s="12" t="s">
        <v>35</v>
      </c>
      <c r="F7289" s="14">
        <v>220000</v>
      </c>
      <c r="G7289" s="14">
        <v>189500</v>
      </c>
      <c r="H7289" s="13" t="s">
        <v>12548</v>
      </c>
      <c r="I7289" s="40" t="s">
        <v>18</v>
      </c>
      <c r="J7289" s="40" t="str">
        <f>HYPERLINK("https://stock.pstatic.net/stock-research/company/16/20251111_company_146073000.pdf","PDF")</f>
        <v>PDF</v>
      </c>
      <c r="K7289" s="12" t="s">
        <v>12549</v>
      </c>
      <c r="L7289" s="20">
        <v>0.16094986807387859</v>
      </c>
    </row>
    <row r="7290" spans="1:12" x14ac:dyDescent="0.45">
      <c r="A7290" s="12" t="s">
        <v>12543</v>
      </c>
      <c r="B7290" s="12" t="s">
        <v>3105</v>
      </c>
      <c r="C7290" s="13" t="s">
        <v>3106</v>
      </c>
      <c r="D7290" s="13" t="s">
        <v>57</v>
      </c>
      <c r="E7290" s="12" t="s">
        <v>35</v>
      </c>
      <c r="F7290" s="14">
        <v>410000</v>
      </c>
      <c r="G7290" s="14">
        <v>305500</v>
      </c>
      <c r="H7290" s="13" t="s">
        <v>12550</v>
      </c>
      <c r="I7290" s="40" t="s">
        <v>18</v>
      </c>
      <c r="J7290" s="40" t="str">
        <f>HYPERLINK("https://stock.pstatic.net/stock-research/company/16/20251111_company_463988000.pdf","PDF")</f>
        <v>PDF</v>
      </c>
      <c r="K7290" s="12" t="s">
        <v>12551</v>
      </c>
      <c r="L7290" s="20">
        <v>0.34206219312602287</v>
      </c>
    </row>
    <row r="7291" spans="1:12" x14ac:dyDescent="0.45">
      <c r="A7291" s="12" t="s">
        <v>12543</v>
      </c>
      <c r="B7291" s="12" t="s">
        <v>170</v>
      </c>
      <c r="C7291" s="13" t="s">
        <v>171</v>
      </c>
      <c r="D7291" s="13" t="s">
        <v>57</v>
      </c>
      <c r="E7291" s="12" t="s">
        <v>35</v>
      </c>
      <c r="F7291" s="14">
        <v>94000</v>
      </c>
      <c r="G7291" s="14">
        <v>63700</v>
      </c>
      <c r="H7291" s="13" t="s">
        <v>12552</v>
      </c>
      <c r="I7291" s="40" t="s">
        <v>18</v>
      </c>
      <c r="J7291" s="40" t="str">
        <f>HYPERLINK("https://stock.pstatic.net/stock-research/company/16/20251111_company_979863000.pdf","PDF")</f>
        <v>PDF</v>
      </c>
      <c r="K7291" s="12" t="s">
        <v>12553</v>
      </c>
      <c r="L7291" s="20">
        <v>0.47566718995290419</v>
      </c>
    </row>
    <row r="7292" spans="1:12" x14ac:dyDescent="0.45">
      <c r="A7292" s="12" t="s">
        <v>12543</v>
      </c>
      <c r="B7292" s="12" t="s">
        <v>2414</v>
      </c>
      <c r="C7292" s="13" t="s">
        <v>2415</v>
      </c>
      <c r="D7292" s="13" t="s">
        <v>276</v>
      </c>
      <c r="E7292" s="12" t="s">
        <v>16</v>
      </c>
      <c r="F7292" s="14">
        <v>1500000</v>
      </c>
      <c r="G7292" s="14">
        <v>939000</v>
      </c>
      <c r="H7292" s="13" t="s">
        <v>12554</v>
      </c>
      <c r="I7292" s="40" t="s">
        <v>18</v>
      </c>
      <c r="J7292" s="40" t="str">
        <f>HYPERLINK("https://stock.pstatic.net/stock-research/company/66/20251111_company_746876000.pdf","PDF")</f>
        <v>PDF</v>
      </c>
      <c r="K7292" s="12" t="s">
        <v>12555</v>
      </c>
      <c r="L7292" s="20">
        <v>0.597444089456869</v>
      </c>
    </row>
    <row r="7293" spans="1:12" x14ac:dyDescent="0.45">
      <c r="A7293" s="12" t="s">
        <v>12543</v>
      </c>
      <c r="B7293" s="12" t="s">
        <v>1602</v>
      </c>
      <c r="C7293" s="13" t="s">
        <v>1603</v>
      </c>
      <c r="D7293" s="13" t="s">
        <v>276</v>
      </c>
      <c r="E7293" s="12" t="s">
        <v>16</v>
      </c>
      <c r="F7293" s="14">
        <v>36000</v>
      </c>
      <c r="G7293" s="14">
        <v>32000</v>
      </c>
      <c r="H7293" s="13" t="s">
        <v>12556</v>
      </c>
      <c r="I7293" s="40" t="s">
        <v>18</v>
      </c>
      <c r="J7293" s="40" t="str">
        <f>HYPERLINK("https://stock.pstatic.net/stock-research/company/66/20251111_company_935695000.pdf","PDF")</f>
        <v>PDF</v>
      </c>
      <c r="K7293" s="12" t="s">
        <v>12557</v>
      </c>
      <c r="L7293" s="20">
        <v>0.125</v>
      </c>
    </row>
    <row r="7294" spans="1:12" x14ac:dyDescent="0.45">
      <c r="A7294" s="12" t="s">
        <v>12543</v>
      </c>
      <c r="B7294" s="12" t="s">
        <v>11689</v>
      </c>
      <c r="C7294" s="13" t="s">
        <v>11690</v>
      </c>
      <c r="D7294" s="13" t="s">
        <v>276</v>
      </c>
      <c r="E7294" s="12" t="s">
        <v>16</v>
      </c>
      <c r="F7294" s="14">
        <v>50000</v>
      </c>
      <c r="G7294" s="14">
        <v>39800</v>
      </c>
      <c r="H7294" s="13" t="s">
        <v>12558</v>
      </c>
      <c r="I7294" s="40" t="s">
        <v>18</v>
      </c>
      <c r="J7294" s="40" t="str">
        <f>HYPERLINK("https://stock.pstatic.net/stock-research/company/66/20251111_company_488815000.pdf","PDF")</f>
        <v>PDF</v>
      </c>
      <c r="K7294" s="12" t="s">
        <v>12559</v>
      </c>
      <c r="L7294" s="20">
        <v>0.25628140703517588</v>
      </c>
    </row>
    <row r="7295" spans="1:12" x14ac:dyDescent="0.45">
      <c r="A7295" s="12" t="s">
        <v>12543</v>
      </c>
      <c r="B7295" s="12" t="s">
        <v>98</v>
      </c>
      <c r="C7295" s="13" t="s">
        <v>99</v>
      </c>
      <c r="D7295" s="13" t="s">
        <v>60</v>
      </c>
      <c r="E7295" s="12" t="s">
        <v>35</v>
      </c>
      <c r="F7295" s="14">
        <v>33000</v>
      </c>
      <c r="G7295" s="14">
        <v>29200</v>
      </c>
      <c r="H7295" s="13" t="s">
        <v>12560</v>
      </c>
      <c r="I7295" s="40" t="s">
        <v>18</v>
      </c>
      <c r="J7295" s="40" t="str">
        <f>HYPERLINK("https://stock.pstatic.net/stock-research/company/34/20251111_company_794753000.pdf","PDF")</f>
        <v>PDF</v>
      </c>
      <c r="K7295" s="12" t="s">
        <v>12561</v>
      </c>
      <c r="L7295" s="20">
        <v>0.13013698630136991</v>
      </c>
    </row>
    <row r="7296" spans="1:12" x14ac:dyDescent="0.45">
      <c r="A7296" s="12" t="s">
        <v>12543</v>
      </c>
      <c r="B7296" s="12" t="s">
        <v>768</v>
      </c>
      <c r="C7296" s="13" t="s">
        <v>769</v>
      </c>
      <c r="D7296" s="13" t="s">
        <v>60</v>
      </c>
      <c r="E7296" s="12" t="s">
        <v>35</v>
      </c>
      <c r="F7296" s="14">
        <v>230000</v>
      </c>
      <c r="G7296" s="14">
        <v>189500</v>
      </c>
      <c r="H7296" s="13" t="s">
        <v>12562</v>
      </c>
      <c r="I7296" s="40" t="s">
        <v>18</v>
      </c>
      <c r="J7296" s="40" t="str">
        <f>HYPERLINK("https://stock.pstatic.net/stock-research/company/34/20251111_company_297428000.pdf","PDF")</f>
        <v>PDF</v>
      </c>
      <c r="K7296" s="12" t="s">
        <v>12563</v>
      </c>
      <c r="L7296" s="20">
        <v>0.21372031662269131</v>
      </c>
    </row>
    <row r="7297" spans="1:12" x14ac:dyDescent="0.45">
      <c r="A7297" s="12" t="s">
        <v>12543</v>
      </c>
      <c r="B7297" s="12" t="s">
        <v>764</v>
      </c>
      <c r="C7297" s="13" t="s">
        <v>765</v>
      </c>
      <c r="D7297" s="13" t="s">
        <v>60</v>
      </c>
      <c r="E7297" s="12" t="s">
        <v>35</v>
      </c>
      <c r="F7297" s="14">
        <v>63000</v>
      </c>
      <c r="G7297" s="14">
        <v>44200</v>
      </c>
      <c r="H7297" s="13" t="s">
        <v>12564</v>
      </c>
      <c r="I7297" s="40" t="s">
        <v>18</v>
      </c>
      <c r="J7297" s="40" t="str">
        <f>HYPERLINK("https://stock.pstatic.net/stock-research/company/34/20251111_company_82015000.pdf","PDF")</f>
        <v>PDF</v>
      </c>
      <c r="K7297" s="12" t="s">
        <v>12565</v>
      </c>
      <c r="L7297" s="20">
        <v>0.42533936651583709</v>
      </c>
    </row>
    <row r="7298" spans="1:12" x14ac:dyDescent="0.45">
      <c r="A7298" s="12" t="s">
        <v>12543</v>
      </c>
      <c r="B7298" s="12" t="s">
        <v>1694</v>
      </c>
      <c r="C7298" s="13" t="s">
        <v>1695</v>
      </c>
      <c r="D7298" s="13" t="s">
        <v>60</v>
      </c>
      <c r="E7298" s="12" t="s">
        <v>35</v>
      </c>
      <c r="F7298" s="14">
        <v>70000</v>
      </c>
      <c r="G7298" s="14">
        <v>49900</v>
      </c>
      <c r="H7298" s="13" t="s">
        <v>12566</v>
      </c>
      <c r="I7298" s="40" t="s">
        <v>18</v>
      </c>
      <c r="J7298" s="40" t="str">
        <f>HYPERLINK("https://stock.pstatic.net/stock-research/company/34/20251111_company_269945000.pdf","PDF")</f>
        <v>PDF</v>
      </c>
      <c r="K7298" s="12" t="s">
        <v>12567</v>
      </c>
      <c r="L7298" s="20">
        <v>0.4028056112224449</v>
      </c>
    </row>
    <row r="7299" spans="1:12" x14ac:dyDescent="0.45">
      <c r="A7299" s="12" t="s">
        <v>12543</v>
      </c>
      <c r="B7299" s="12" t="s">
        <v>1540</v>
      </c>
      <c r="C7299" s="13" t="s">
        <v>1541</v>
      </c>
      <c r="D7299" s="13" t="s">
        <v>65</v>
      </c>
      <c r="E7299" s="12" t="s">
        <v>35</v>
      </c>
      <c r="F7299" s="14">
        <v>62000</v>
      </c>
      <c r="G7299" s="14">
        <v>50300</v>
      </c>
      <c r="H7299" s="13" t="s">
        <v>12568</v>
      </c>
      <c r="I7299" s="40" t="s">
        <v>18</v>
      </c>
      <c r="J7299" s="40" t="str">
        <f>HYPERLINK("https://stock.pstatic.net/stock-research/company/57/20251111_company_650962000.pdf","PDF")</f>
        <v>PDF</v>
      </c>
      <c r="K7299" s="12" t="s">
        <v>12569</v>
      </c>
      <c r="L7299" s="20">
        <v>0.2326043737574553</v>
      </c>
    </row>
    <row r="7300" spans="1:12" x14ac:dyDescent="0.45">
      <c r="A7300" s="12" t="s">
        <v>12543</v>
      </c>
      <c r="B7300" s="12" t="s">
        <v>2414</v>
      </c>
      <c r="C7300" s="13" t="s">
        <v>2415</v>
      </c>
      <c r="D7300" s="13" t="s">
        <v>65</v>
      </c>
      <c r="E7300" s="12" t="s">
        <v>35</v>
      </c>
      <c r="F7300" s="14">
        <v>1330000</v>
      </c>
      <c r="G7300" s="14">
        <v>939000</v>
      </c>
      <c r="H7300" s="13" t="s">
        <v>12570</v>
      </c>
      <c r="I7300" s="40" t="s">
        <v>18</v>
      </c>
      <c r="J7300" s="40" t="str">
        <f>HYPERLINK("https://stock.pstatic.net/stock-research/company/57/20251111_company_874243000.pdf","PDF")</f>
        <v>PDF</v>
      </c>
      <c r="K7300" s="12" t="s">
        <v>12571</v>
      </c>
      <c r="L7300" s="20">
        <v>0.41640042598509053</v>
      </c>
    </row>
    <row r="7301" spans="1:12" x14ac:dyDescent="0.45">
      <c r="A7301" s="12" t="s">
        <v>12543</v>
      </c>
      <c r="B7301" s="12" t="s">
        <v>3105</v>
      </c>
      <c r="C7301" s="13" t="s">
        <v>3106</v>
      </c>
      <c r="D7301" s="13" t="s">
        <v>65</v>
      </c>
      <c r="E7301" s="12" t="s">
        <v>35</v>
      </c>
      <c r="F7301" s="14">
        <v>400000</v>
      </c>
      <c r="G7301" s="14">
        <v>305500</v>
      </c>
      <c r="H7301" s="13" t="s">
        <v>12572</v>
      </c>
      <c r="I7301" s="40" t="s">
        <v>18</v>
      </c>
      <c r="J7301" s="40" t="str">
        <f>HYPERLINK("https://stock.pstatic.net/stock-research/company/57/20251111_company_602663000.pdf","PDF")</f>
        <v>PDF</v>
      </c>
      <c r="K7301" s="12" t="s">
        <v>12573</v>
      </c>
      <c r="L7301" s="20">
        <v>0.30932896890343697</v>
      </c>
    </row>
    <row r="7302" spans="1:12" x14ac:dyDescent="0.45">
      <c r="A7302" s="12" t="s">
        <v>12543</v>
      </c>
      <c r="B7302" s="12" t="s">
        <v>426</v>
      </c>
      <c r="C7302" s="13" t="s">
        <v>427</v>
      </c>
      <c r="D7302" s="13" t="s">
        <v>65</v>
      </c>
      <c r="E7302" s="12" t="s">
        <v>35</v>
      </c>
      <c r="F7302" s="14">
        <v>27000</v>
      </c>
      <c r="G7302" s="14">
        <v>17190</v>
      </c>
      <c r="H7302" s="13" t="s">
        <v>12574</v>
      </c>
      <c r="I7302" s="40" t="s">
        <v>18</v>
      </c>
      <c r="J7302" s="40" t="str">
        <f>HYPERLINK("https://stock.pstatic.net/stock-research/company/57/20251111_company_267707000.pdf","PDF")</f>
        <v>PDF</v>
      </c>
      <c r="K7302" s="12" t="s">
        <v>12575</v>
      </c>
      <c r="L7302" s="20">
        <v>0.5706806282722513</v>
      </c>
    </row>
    <row r="7303" spans="1:12" x14ac:dyDescent="0.45">
      <c r="A7303" s="12" t="s">
        <v>12543</v>
      </c>
      <c r="B7303" s="12" t="s">
        <v>784</v>
      </c>
      <c r="C7303" s="13" t="s">
        <v>785</v>
      </c>
      <c r="D7303" s="13" t="s">
        <v>158</v>
      </c>
      <c r="E7303" s="12" t="s">
        <v>35</v>
      </c>
      <c r="F7303" s="14">
        <v>11000</v>
      </c>
      <c r="G7303" s="14">
        <v>7210</v>
      </c>
      <c r="H7303" s="13" t="s">
        <v>12576</v>
      </c>
      <c r="I7303" s="40" t="s">
        <v>18</v>
      </c>
      <c r="J7303" s="40" t="str">
        <f>HYPERLINK("https://stock.pstatic.net/stock-research/company/18/20251111_company_98798000.pdf","PDF")</f>
        <v>PDF</v>
      </c>
      <c r="K7303" s="12" t="s">
        <v>12577</v>
      </c>
      <c r="L7303" s="20">
        <v>0.52565880721220526</v>
      </c>
    </row>
    <row r="7304" spans="1:12" x14ac:dyDescent="0.45">
      <c r="A7304" s="12" t="s">
        <v>12543</v>
      </c>
      <c r="B7304" s="12" t="s">
        <v>2308</v>
      </c>
      <c r="C7304" s="13" t="s">
        <v>2309</v>
      </c>
      <c r="D7304" s="13" t="s">
        <v>158</v>
      </c>
      <c r="E7304" s="12" t="s">
        <v>50</v>
      </c>
      <c r="F7304" s="13"/>
      <c r="G7304" s="14">
        <v>16680</v>
      </c>
      <c r="H7304" s="13" t="s">
        <v>12578</v>
      </c>
      <c r="I7304" s="40" t="s">
        <v>18</v>
      </c>
      <c r="J7304" s="40" t="str">
        <f>HYPERLINK("https://stock.pstatic.net/stock-research/company/18/20251111_company_121007000.pdf","PDF")</f>
        <v>PDF</v>
      </c>
      <c r="K7304" s="12" t="s">
        <v>12579</v>
      </c>
    </row>
    <row r="7305" spans="1:12" x14ac:dyDescent="0.45">
      <c r="A7305" s="12" t="s">
        <v>12543</v>
      </c>
      <c r="B7305" s="12" t="s">
        <v>1694</v>
      </c>
      <c r="C7305" s="13" t="s">
        <v>1695</v>
      </c>
      <c r="D7305" s="13" t="s">
        <v>15</v>
      </c>
      <c r="E7305" s="12" t="s">
        <v>16</v>
      </c>
      <c r="F7305" s="14">
        <v>90000</v>
      </c>
      <c r="G7305" s="14">
        <v>49900</v>
      </c>
      <c r="H7305" s="13" t="s">
        <v>12580</v>
      </c>
      <c r="I7305" s="40" t="s">
        <v>18</v>
      </c>
      <c r="J7305" s="40" t="str">
        <f>HYPERLINK("https://stock.pstatic.net/stock-research/company/29/20251111_company_871195000.pdf","PDF")</f>
        <v>PDF</v>
      </c>
      <c r="K7305" s="12" t="s">
        <v>12581</v>
      </c>
      <c r="L7305" s="20">
        <v>0.80360721442885774</v>
      </c>
    </row>
    <row r="7306" spans="1:12" x14ac:dyDescent="0.45">
      <c r="A7306" s="12" t="s">
        <v>12543</v>
      </c>
      <c r="B7306" s="12" t="s">
        <v>768</v>
      </c>
      <c r="C7306" s="13" t="s">
        <v>769</v>
      </c>
      <c r="D7306" s="13" t="s">
        <v>15</v>
      </c>
      <c r="E7306" s="12" t="s">
        <v>16</v>
      </c>
      <c r="F7306" s="14">
        <v>230000</v>
      </c>
      <c r="G7306" s="14">
        <v>189500</v>
      </c>
      <c r="H7306" s="13" t="s">
        <v>12582</v>
      </c>
      <c r="I7306" s="40" t="s">
        <v>18</v>
      </c>
      <c r="J7306" s="40" t="str">
        <f>HYPERLINK("https://stock.pstatic.net/stock-research/company/29/20251111_company_102384000.pdf","PDF")</f>
        <v>PDF</v>
      </c>
      <c r="K7306" s="12" t="s">
        <v>12583</v>
      </c>
      <c r="L7306" s="20">
        <v>0.21372031662269131</v>
      </c>
    </row>
    <row r="7307" spans="1:12" x14ac:dyDescent="0.45">
      <c r="A7307" s="12" t="s">
        <v>12543</v>
      </c>
      <c r="B7307" s="12" t="s">
        <v>170</v>
      </c>
      <c r="C7307" s="13" t="s">
        <v>171</v>
      </c>
      <c r="D7307" s="13" t="s">
        <v>15</v>
      </c>
      <c r="E7307" s="12" t="s">
        <v>16</v>
      </c>
      <c r="F7307" s="14">
        <v>100000</v>
      </c>
      <c r="G7307" s="14">
        <v>63700</v>
      </c>
      <c r="H7307" s="13" t="s">
        <v>12584</v>
      </c>
      <c r="I7307" s="40" t="s">
        <v>18</v>
      </c>
      <c r="J7307" s="40" t="str">
        <f>HYPERLINK("https://stock.pstatic.net/stock-research/company/29/20251111_company_351610000.pdf","PDF")</f>
        <v>PDF</v>
      </c>
      <c r="K7307" s="12" t="s">
        <v>12585</v>
      </c>
      <c r="L7307" s="20">
        <v>0.56985871271585553</v>
      </c>
    </row>
    <row r="7308" spans="1:12" x14ac:dyDescent="0.45">
      <c r="A7308" s="12" t="s">
        <v>12543</v>
      </c>
      <c r="B7308" s="12" t="s">
        <v>3105</v>
      </c>
      <c r="C7308" s="13" t="s">
        <v>3106</v>
      </c>
      <c r="D7308" s="13" t="s">
        <v>53</v>
      </c>
      <c r="E7308" s="12" t="s">
        <v>16</v>
      </c>
      <c r="F7308" s="14">
        <v>370000</v>
      </c>
      <c r="G7308" s="14">
        <v>305500</v>
      </c>
      <c r="H7308" s="13" t="s">
        <v>12586</v>
      </c>
      <c r="I7308" s="40" t="s">
        <v>18</v>
      </c>
      <c r="J7308" s="40" t="str">
        <f>HYPERLINK("https://stock.pstatic.net/stock-research/company/40/20251111_company_538714000.pdf","PDF")</f>
        <v>PDF</v>
      </c>
      <c r="K7308" s="12" t="s">
        <v>12587</v>
      </c>
      <c r="L7308" s="20">
        <v>0.21112929623567919</v>
      </c>
    </row>
    <row r="7309" spans="1:12" x14ac:dyDescent="0.45">
      <c r="A7309" s="12" t="s">
        <v>12543</v>
      </c>
      <c r="B7309" s="12" t="s">
        <v>2414</v>
      </c>
      <c r="C7309" s="13" t="s">
        <v>2415</v>
      </c>
      <c r="D7309" s="13" t="s">
        <v>92</v>
      </c>
      <c r="E7309" s="12" t="s">
        <v>35</v>
      </c>
      <c r="F7309" s="14">
        <v>1370000</v>
      </c>
      <c r="G7309" s="14">
        <v>939000</v>
      </c>
      <c r="H7309" s="13" t="s">
        <v>12588</v>
      </c>
      <c r="I7309" s="40" t="s">
        <v>18</v>
      </c>
      <c r="J7309" s="40" t="str">
        <f>HYPERLINK("https://stock.pstatic.net/stock-research/company/63/20251111_company_138531000.pdf","PDF")</f>
        <v>PDF</v>
      </c>
      <c r="K7309" s="12" t="s">
        <v>12589</v>
      </c>
      <c r="L7309" s="20">
        <v>0.45899893503727368</v>
      </c>
    </row>
    <row r="7310" spans="1:12" x14ac:dyDescent="0.45">
      <c r="A7310" s="12" t="s">
        <v>12543</v>
      </c>
      <c r="B7310" s="12" t="s">
        <v>1602</v>
      </c>
      <c r="C7310" s="13" t="s">
        <v>1603</v>
      </c>
      <c r="D7310" s="13" t="s">
        <v>92</v>
      </c>
      <c r="E7310" s="12" t="s">
        <v>35</v>
      </c>
      <c r="F7310" s="14">
        <v>40000</v>
      </c>
      <c r="G7310" s="14">
        <v>32000</v>
      </c>
      <c r="H7310" s="13" t="s">
        <v>12590</v>
      </c>
      <c r="I7310" s="40" t="s">
        <v>18</v>
      </c>
      <c r="J7310" s="40" t="str">
        <f>HYPERLINK("https://stock.pstatic.net/stock-research/company/63/20251111_company_155319000.pdf","PDF")</f>
        <v>PDF</v>
      </c>
      <c r="K7310" s="12" t="s">
        <v>12591</v>
      </c>
      <c r="L7310" s="20">
        <v>0.25</v>
      </c>
    </row>
    <row r="7311" spans="1:12" x14ac:dyDescent="0.45">
      <c r="A7311" s="12" t="s">
        <v>12543</v>
      </c>
      <c r="B7311" s="12" t="s">
        <v>2550</v>
      </c>
      <c r="C7311" s="13" t="s">
        <v>2551</v>
      </c>
      <c r="D7311" s="13" t="s">
        <v>92</v>
      </c>
      <c r="E7311" s="12" t="s">
        <v>35</v>
      </c>
      <c r="F7311" s="14">
        <v>19000</v>
      </c>
      <c r="G7311" s="14">
        <v>12920</v>
      </c>
      <c r="H7311" s="13" t="s">
        <v>12592</v>
      </c>
      <c r="I7311" s="40" t="s">
        <v>18</v>
      </c>
      <c r="J7311" s="40" t="str">
        <f>HYPERLINK("https://stock.pstatic.net/stock-research/company/63/20251111_company_756173000.pdf","PDF")</f>
        <v>PDF</v>
      </c>
      <c r="K7311" s="12" t="s">
        <v>12593</v>
      </c>
      <c r="L7311" s="20">
        <v>0.47058823529411759</v>
      </c>
    </row>
    <row r="7312" spans="1:12" x14ac:dyDescent="0.45">
      <c r="A7312" s="12" t="s">
        <v>12543</v>
      </c>
      <c r="B7312" s="12" t="s">
        <v>1694</v>
      </c>
      <c r="C7312" s="13" t="s">
        <v>1695</v>
      </c>
      <c r="D7312" s="13" t="s">
        <v>92</v>
      </c>
      <c r="E7312" s="12" t="s">
        <v>35</v>
      </c>
      <c r="F7312" s="14">
        <v>75000</v>
      </c>
      <c r="G7312" s="14">
        <v>49900</v>
      </c>
      <c r="H7312" s="13" t="s">
        <v>12594</v>
      </c>
      <c r="I7312" s="40" t="s">
        <v>18</v>
      </c>
      <c r="J7312" s="40" t="str">
        <f>HYPERLINK("https://stock.pstatic.net/stock-research/company/63/20251111_company_883987000.pdf","PDF")</f>
        <v>PDF</v>
      </c>
      <c r="K7312" s="12" t="s">
        <v>12595</v>
      </c>
      <c r="L7312" s="20">
        <v>0.50300601202404804</v>
      </c>
    </row>
    <row r="7313" spans="1:12" x14ac:dyDescent="0.45">
      <c r="A7313" s="12" t="s">
        <v>12543</v>
      </c>
      <c r="B7313" s="12" t="s">
        <v>1602</v>
      </c>
      <c r="C7313" s="13" t="s">
        <v>1603</v>
      </c>
      <c r="D7313" s="13" t="s">
        <v>179</v>
      </c>
      <c r="E7313" s="12" t="s">
        <v>16</v>
      </c>
      <c r="F7313" s="14">
        <v>44500</v>
      </c>
      <c r="G7313" s="14">
        <v>32000</v>
      </c>
      <c r="H7313" s="13" t="s">
        <v>12596</v>
      </c>
      <c r="I7313" s="40" t="s">
        <v>18</v>
      </c>
      <c r="J7313" s="40" t="str">
        <f>HYPERLINK("https://stock.pstatic.net/stock-research/company/64/20251111_company_299798000.pdf","PDF")</f>
        <v>PDF</v>
      </c>
      <c r="K7313" s="12" t="s">
        <v>12597</v>
      </c>
      <c r="L7313" s="20">
        <v>0.390625</v>
      </c>
    </row>
    <row r="7314" spans="1:12" x14ac:dyDescent="0.45">
      <c r="A7314" s="12" t="s">
        <v>12543</v>
      </c>
      <c r="B7314" s="12" t="s">
        <v>1883</v>
      </c>
      <c r="C7314" s="13" t="s">
        <v>1884</v>
      </c>
      <c r="D7314" s="13" t="s">
        <v>92</v>
      </c>
      <c r="E7314" s="12" t="s">
        <v>35</v>
      </c>
      <c r="F7314" s="14">
        <v>31000</v>
      </c>
      <c r="G7314" s="14">
        <v>21850</v>
      </c>
      <c r="H7314" s="13" t="s">
        <v>12598</v>
      </c>
      <c r="I7314" s="40" t="s">
        <v>18</v>
      </c>
      <c r="J7314" s="40" t="str">
        <f>HYPERLINK("https://stock.pstatic.net/stock-research/company/63/20251111_company_313250000.pdf","PDF")</f>
        <v>PDF</v>
      </c>
      <c r="K7314" s="12" t="s">
        <v>12599</v>
      </c>
      <c r="L7314" s="20">
        <v>0.41876430205949661</v>
      </c>
    </row>
    <row r="7315" spans="1:12" x14ac:dyDescent="0.45">
      <c r="A7315" s="12" t="s">
        <v>12543</v>
      </c>
      <c r="B7315" s="12" t="s">
        <v>1966</v>
      </c>
      <c r="C7315" s="13" t="s">
        <v>1967</v>
      </c>
      <c r="D7315" s="13" t="s">
        <v>92</v>
      </c>
      <c r="E7315" s="12" t="s">
        <v>35</v>
      </c>
      <c r="F7315" s="14">
        <v>7800</v>
      </c>
      <c r="G7315" s="14">
        <v>5370</v>
      </c>
      <c r="H7315" s="13" t="s">
        <v>12600</v>
      </c>
      <c r="I7315" s="40" t="s">
        <v>18</v>
      </c>
      <c r="J7315" s="40" t="str">
        <f>HYPERLINK("https://stock.pstatic.net/stock-research/company/63/20251111_company_33974000.pdf","PDF")</f>
        <v>PDF</v>
      </c>
      <c r="K7315" s="12" t="s">
        <v>12601</v>
      </c>
      <c r="L7315" s="20">
        <v>0.45251396648044689</v>
      </c>
    </row>
    <row r="7316" spans="1:12" x14ac:dyDescent="0.45">
      <c r="A7316" s="12" t="s">
        <v>12543</v>
      </c>
      <c r="B7316" s="12" t="s">
        <v>2369</v>
      </c>
      <c r="C7316" s="13" t="s">
        <v>2370</v>
      </c>
      <c r="D7316" s="13" t="s">
        <v>34</v>
      </c>
      <c r="E7316" s="12" t="s">
        <v>35</v>
      </c>
      <c r="F7316" s="14">
        <v>400000</v>
      </c>
      <c r="G7316" s="14">
        <v>315000</v>
      </c>
      <c r="H7316" s="13" t="s">
        <v>12602</v>
      </c>
      <c r="I7316" s="40" t="s">
        <v>18</v>
      </c>
      <c r="J7316" s="40" t="str">
        <f>HYPERLINK("https://stock.pstatic.net/stock-research/company/61/20251111_company_959228000.pdf","PDF")</f>
        <v>PDF</v>
      </c>
      <c r="K7316" s="12" t="s">
        <v>12603</v>
      </c>
      <c r="L7316" s="20">
        <v>0.26984126984126983</v>
      </c>
    </row>
    <row r="7317" spans="1:12" x14ac:dyDescent="0.45">
      <c r="A7317" s="12" t="s">
        <v>12543</v>
      </c>
      <c r="B7317" s="12" t="s">
        <v>3105</v>
      </c>
      <c r="C7317" s="13" t="s">
        <v>3106</v>
      </c>
      <c r="D7317" s="13" t="s">
        <v>34</v>
      </c>
      <c r="E7317" s="12" t="s">
        <v>35</v>
      </c>
      <c r="F7317" s="14">
        <v>400000</v>
      </c>
      <c r="G7317" s="14">
        <v>305500</v>
      </c>
      <c r="H7317" s="13" t="s">
        <v>12604</v>
      </c>
      <c r="I7317" s="40" t="s">
        <v>18</v>
      </c>
      <c r="J7317" s="40" t="str">
        <f>HYPERLINK("https://stock.pstatic.net/stock-research/company/61/20251111_company_208809000.pdf","PDF")</f>
        <v>PDF</v>
      </c>
      <c r="K7317" s="12" t="s">
        <v>12605</v>
      </c>
      <c r="L7317" s="20">
        <v>0.30932896890343697</v>
      </c>
    </row>
    <row r="7318" spans="1:12" x14ac:dyDescent="0.45">
      <c r="A7318" s="12" t="s">
        <v>12543</v>
      </c>
      <c r="B7318" s="12" t="s">
        <v>8204</v>
      </c>
      <c r="C7318" s="13" t="s">
        <v>8205</v>
      </c>
      <c r="D7318" s="13" t="s">
        <v>92</v>
      </c>
      <c r="E7318" s="12" t="s">
        <v>35</v>
      </c>
      <c r="F7318" s="14">
        <v>117000</v>
      </c>
      <c r="G7318" s="14">
        <v>85000</v>
      </c>
      <c r="H7318" s="13" t="s">
        <v>12606</v>
      </c>
      <c r="I7318" s="40" t="s">
        <v>18</v>
      </c>
      <c r="J7318" s="40" t="str">
        <f>HYPERLINK("https://stock.pstatic.net/stock-research/company/63/20251111_company_677842000.pdf","PDF")</f>
        <v>PDF</v>
      </c>
      <c r="K7318" s="12" t="s">
        <v>12607</v>
      </c>
      <c r="L7318" s="20">
        <v>0.37647058823529411</v>
      </c>
    </row>
    <row r="7319" spans="1:12" x14ac:dyDescent="0.45">
      <c r="A7319" s="12" t="s">
        <v>12543</v>
      </c>
      <c r="B7319" s="12" t="s">
        <v>1540</v>
      </c>
      <c r="C7319" s="13" t="s">
        <v>1541</v>
      </c>
      <c r="D7319" s="13" t="s">
        <v>23</v>
      </c>
      <c r="E7319" s="12" t="s">
        <v>16</v>
      </c>
      <c r="F7319" s="14">
        <v>63000</v>
      </c>
      <c r="G7319" s="14">
        <v>50300</v>
      </c>
      <c r="H7319" s="13" t="s">
        <v>12608</v>
      </c>
      <c r="I7319" s="40" t="s">
        <v>18</v>
      </c>
      <c r="J7319" s="40" t="str">
        <f>HYPERLINK("https://stock.pstatic.net/stock-research/company/21/20251111_company_714895000.pdf","PDF")</f>
        <v>PDF</v>
      </c>
      <c r="K7319" s="12" t="s">
        <v>12609</v>
      </c>
      <c r="L7319" s="20">
        <v>0.25248508946322068</v>
      </c>
    </row>
    <row r="7320" spans="1:12" x14ac:dyDescent="0.45">
      <c r="A7320" s="12" t="s">
        <v>12543</v>
      </c>
      <c r="B7320" s="12" t="s">
        <v>110</v>
      </c>
      <c r="C7320" s="13" t="s">
        <v>111</v>
      </c>
      <c r="D7320" s="13" t="s">
        <v>53</v>
      </c>
      <c r="E7320" s="12" t="s">
        <v>16</v>
      </c>
      <c r="F7320" s="14">
        <v>63000</v>
      </c>
      <c r="G7320" s="14">
        <v>53700</v>
      </c>
      <c r="H7320" s="13" t="s">
        <v>12610</v>
      </c>
      <c r="I7320" s="40" t="s">
        <v>18</v>
      </c>
      <c r="J7320" s="40" t="str">
        <f>HYPERLINK("https://stock.pstatic.net/stock-research/company/40/20251111_company_83414000.pdf","PDF")</f>
        <v>PDF</v>
      </c>
      <c r="K7320" s="12" t="s">
        <v>12611</v>
      </c>
      <c r="L7320" s="20">
        <v>0.17318435754189951</v>
      </c>
    </row>
    <row r="7321" spans="1:12" x14ac:dyDescent="0.45">
      <c r="A7321" s="12" t="s">
        <v>12543</v>
      </c>
      <c r="B7321" s="12" t="s">
        <v>768</v>
      </c>
      <c r="C7321" s="13" t="s">
        <v>769</v>
      </c>
      <c r="D7321" s="13" t="s">
        <v>23</v>
      </c>
      <c r="E7321" s="12" t="s">
        <v>16</v>
      </c>
      <c r="F7321" s="14">
        <v>240000</v>
      </c>
      <c r="G7321" s="14">
        <v>189500</v>
      </c>
      <c r="H7321" s="13" t="s">
        <v>12612</v>
      </c>
      <c r="I7321" s="40" t="s">
        <v>18</v>
      </c>
      <c r="J7321" s="40" t="str">
        <f>HYPERLINK("https://stock.pstatic.net/stock-research/company/21/20251111_company_416368000.pdf","PDF")</f>
        <v>PDF</v>
      </c>
      <c r="K7321" s="12" t="s">
        <v>12613</v>
      </c>
      <c r="L7321" s="20">
        <v>0.26649076517150388</v>
      </c>
    </row>
    <row r="7322" spans="1:12" x14ac:dyDescent="0.45">
      <c r="A7322" s="12" t="s">
        <v>12543</v>
      </c>
      <c r="B7322" s="12" t="s">
        <v>170</v>
      </c>
      <c r="C7322" s="13" t="s">
        <v>171</v>
      </c>
      <c r="D7322" s="13" t="s">
        <v>179</v>
      </c>
      <c r="E7322" s="12" t="s">
        <v>16</v>
      </c>
      <c r="F7322" s="14">
        <v>90000</v>
      </c>
      <c r="G7322" s="14">
        <v>63700</v>
      </c>
      <c r="H7322" s="13" t="s">
        <v>12614</v>
      </c>
      <c r="I7322" s="40" t="s">
        <v>18</v>
      </c>
      <c r="J7322" s="40" t="str">
        <f>HYPERLINK("https://stock.pstatic.net/stock-research/company/64/20251111_company_801765000.pdf","PDF")</f>
        <v>PDF</v>
      </c>
      <c r="K7322" s="12" t="s">
        <v>12615</v>
      </c>
      <c r="L7322" s="20">
        <v>0.41287284144427</v>
      </c>
    </row>
    <row r="7323" spans="1:12" x14ac:dyDescent="0.45">
      <c r="A7323" s="12" t="s">
        <v>12543</v>
      </c>
      <c r="B7323" s="12" t="s">
        <v>2414</v>
      </c>
      <c r="C7323" s="13" t="s">
        <v>2415</v>
      </c>
      <c r="D7323" s="13" t="s">
        <v>44</v>
      </c>
      <c r="E7323" s="12" t="s">
        <v>35</v>
      </c>
      <c r="F7323" s="14">
        <v>1200000</v>
      </c>
      <c r="G7323" s="14">
        <v>939000</v>
      </c>
      <c r="H7323" s="13" t="s">
        <v>12616</v>
      </c>
      <c r="I7323" s="40" t="s">
        <v>18</v>
      </c>
      <c r="J7323" s="40" t="str">
        <f>HYPERLINK("https://stock.pstatic.net/stock-research/company/39/20251111_company_416400000.pdf","PDF")</f>
        <v>PDF</v>
      </c>
      <c r="K7323" s="12" t="s">
        <v>12617</v>
      </c>
      <c r="L7323" s="20">
        <v>0.27795527156549521</v>
      </c>
    </row>
    <row r="7324" spans="1:12" x14ac:dyDescent="0.45">
      <c r="A7324" s="12" t="s">
        <v>12543</v>
      </c>
      <c r="B7324" s="12" t="s">
        <v>768</v>
      </c>
      <c r="C7324" s="13" t="s">
        <v>769</v>
      </c>
      <c r="D7324" s="13" t="s">
        <v>179</v>
      </c>
      <c r="E7324" s="12" t="s">
        <v>16</v>
      </c>
      <c r="F7324" s="14">
        <v>240000</v>
      </c>
      <c r="G7324" s="14">
        <v>189500</v>
      </c>
      <c r="H7324" s="13" t="s">
        <v>12618</v>
      </c>
      <c r="I7324" s="40" t="s">
        <v>18</v>
      </c>
      <c r="J7324" s="40" t="str">
        <f>HYPERLINK("https://stock.pstatic.net/stock-research/company/64/20251111_company_271269000.pdf","PDF")</f>
        <v>PDF</v>
      </c>
      <c r="K7324" s="12" t="s">
        <v>12619</v>
      </c>
      <c r="L7324" s="20">
        <v>0.26649076517150388</v>
      </c>
    </row>
    <row r="7325" spans="1:12" x14ac:dyDescent="0.45">
      <c r="A7325" s="12" t="s">
        <v>12543</v>
      </c>
      <c r="B7325" s="12" t="s">
        <v>1540</v>
      </c>
      <c r="C7325" s="13" t="s">
        <v>1541</v>
      </c>
      <c r="D7325" s="13" t="s">
        <v>92</v>
      </c>
      <c r="E7325" s="12" t="s">
        <v>35</v>
      </c>
      <c r="F7325" s="14">
        <v>58000</v>
      </c>
      <c r="G7325" s="14">
        <v>50300</v>
      </c>
      <c r="H7325" s="13" t="s">
        <v>1362</v>
      </c>
      <c r="I7325" s="40" t="s">
        <v>18</v>
      </c>
      <c r="J7325" s="40" t="str">
        <f>HYPERLINK("https://stock.pstatic.net/stock-research/company/63/20251111_company_869226000.pdf","PDF")</f>
        <v>PDF</v>
      </c>
      <c r="K7325" s="12" t="s">
        <v>12620</v>
      </c>
      <c r="L7325" s="20">
        <v>0.15308151093439359</v>
      </c>
    </row>
    <row r="7326" spans="1:12" x14ac:dyDescent="0.45">
      <c r="A7326" s="12" t="s">
        <v>12543</v>
      </c>
      <c r="B7326" s="12" t="s">
        <v>1602</v>
      </c>
      <c r="C7326" s="13" t="s">
        <v>1603</v>
      </c>
      <c r="D7326" s="13" t="s">
        <v>44</v>
      </c>
      <c r="E7326" s="12" t="s">
        <v>35</v>
      </c>
      <c r="F7326" s="14">
        <v>39000</v>
      </c>
      <c r="G7326" s="14">
        <v>32000</v>
      </c>
      <c r="H7326" s="13" t="s">
        <v>12621</v>
      </c>
      <c r="I7326" s="40" t="s">
        <v>18</v>
      </c>
      <c r="J7326" s="40" t="str">
        <f>HYPERLINK("https://stock.pstatic.net/stock-research/company/39/20251111_company_921994000.pdf","PDF")</f>
        <v>PDF</v>
      </c>
      <c r="K7326" s="12" t="s">
        <v>12622</v>
      </c>
      <c r="L7326" s="20">
        <v>0.21875</v>
      </c>
    </row>
    <row r="7327" spans="1:12" x14ac:dyDescent="0.45">
      <c r="A7327" s="12" t="s">
        <v>12543</v>
      </c>
      <c r="B7327" s="12" t="s">
        <v>426</v>
      </c>
      <c r="C7327" s="13" t="s">
        <v>427</v>
      </c>
      <c r="D7327" s="13" t="s">
        <v>92</v>
      </c>
      <c r="E7327" s="12" t="s">
        <v>35</v>
      </c>
      <c r="F7327" s="14">
        <v>26000</v>
      </c>
      <c r="G7327" s="14">
        <v>17190</v>
      </c>
      <c r="H7327" s="13" t="s">
        <v>12623</v>
      </c>
      <c r="I7327" s="40" t="s">
        <v>18</v>
      </c>
      <c r="J7327" s="40" t="str">
        <f>HYPERLINK("https://stock.pstatic.net/stock-research/company/63/20251111_company_466508000.pdf","PDF")</f>
        <v>PDF</v>
      </c>
      <c r="K7327" s="12" t="s">
        <v>12624</v>
      </c>
      <c r="L7327" s="20">
        <v>0.51250727166957533</v>
      </c>
    </row>
    <row r="7328" spans="1:12" x14ac:dyDescent="0.45">
      <c r="A7328" s="12" t="s">
        <v>12543</v>
      </c>
      <c r="B7328" s="12" t="s">
        <v>3105</v>
      </c>
      <c r="C7328" s="13" t="s">
        <v>3106</v>
      </c>
      <c r="D7328" s="13" t="s">
        <v>92</v>
      </c>
      <c r="E7328" s="12" t="s">
        <v>35</v>
      </c>
      <c r="F7328" s="14">
        <v>400000</v>
      </c>
      <c r="G7328" s="14">
        <v>305500</v>
      </c>
      <c r="H7328" s="13" t="s">
        <v>12625</v>
      </c>
      <c r="I7328" s="40" t="s">
        <v>18</v>
      </c>
      <c r="J7328" s="40" t="str">
        <f>HYPERLINK("https://stock.pstatic.net/stock-research/company/63/20251111_company_641472000.pdf","PDF")</f>
        <v>PDF</v>
      </c>
      <c r="K7328" s="12" t="s">
        <v>12626</v>
      </c>
      <c r="L7328" s="20">
        <v>0.30932896890343697</v>
      </c>
    </row>
    <row r="7329" spans="1:12" x14ac:dyDescent="0.45">
      <c r="A7329" s="12" t="s">
        <v>12543</v>
      </c>
      <c r="B7329" s="12" t="s">
        <v>768</v>
      </c>
      <c r="C7329" s="13" t="s">
        <v>769</v>
      </c>
      <c r="D7329" s="13" t="s">
        <v>44</v>
      </c>
      <c r="E7329" s="12" t="s">
        <v>35</v>
      </c>
      <c r="F7329" s="14">
        <v>240000</v>
      </c>
      <c r="G7329" s="14">
        <v>189500</v>
      </c>
      <c r="H7329" s="13" t="s">
        <v>12627</v>
      </c>
      <c r="I7329" s="40" t="s">
        <v>18</v>
      </c>
      <c r="J7329" s="40" t="str">
        <f>HYPERLINK("https://stock.pstatic.net/stock-research/company/39/20251111_company_782596000.pdf","PDF")</f>
        <v>PDF</v>
      </c>
      <c r="K7329" s="12" t="s">
        <v>12628</v>
      </c>
      <c r="L7329" s="20">
        <v>0.26649076517150388</v>
      </c>
    </row>
    <row r="7330" spans="1:12" x14ac:dyDescent="0.45">
      <c r="A7330" s="12" t="s">
        <v>12543</v>
      </c>
      <c r="B7330" s="12" t="s">
        <v>3105</v>
      </c>
      <c r="C7330" s="13" t="s">
        <v>3106</v>
      </c>
      <c r="D7330" s="13" t="s">
        <v>44</v>
      </c>
      <c r="E7330" s="12" t="s">
        <v>35</v>
      </c>
      <c r="F7330" s="14">
        <v>380000</v>
      </c>
      <c r="G7330" s="14">
        <v>305500</v>
      </c>
      <c r="H7330" s="13" t="s">
        <v>12629</v>
      </c>
      <c r="I7330" s="40" t="s">
        <v>18</v>
      </c>
      <c r="J7330" s="40" t="str">
        <f>HYPERLINK("https://stock.pstatic.net/stock-research/company/39/20251111_company_72854000.pdf","PDF")</f>
        <v>PDF</v>
      </c>
      <c r="K7330" s="12" t="s">
        <v>12630</v>
      </c>
      <c r="L7330" s="20">
        <v>0.24386252045826509</v>
      </c>
    </row>
    <row r="7331" spans="1:12" x14ac:dyDescent="0.45">
      <c r="A7331" s="12" t="s">
        <v>12543</v>
      </c>
      <c r="B7331" s="12" t="s">
        <v>724</v>
      </c>
      <c r="C7331" s="13" t="s">
        <v>725</v>
      </c>
      <c r="D7331" s="13" t="s">
        <v>44</v>
      </c>
      <c r="E7331" s="12" t="s">
        <v>642</v>
      </c>
      <c r="F7331" s="14">
        <v>54000</v>
      </c>
      <c r="G7331" s="14">
        <v>57900</v>
      </c>
      <c r="H7331" s="13" t="s">
        <v>12631</v>
      </c>
      <c r="I7331" s="40" t="s">
        <v>18</v>
      </c>
      <c r="J7331" s="40" t="str">
        <f>HYPERLINK("https://stock.pstatic.net/stock-research/company/39/20251111_company_976200000.pdf","PDF")</f>
        <v>PDF</v>
      </c>
      <c r="K7331" s="12" t="s">
        <v>12632</v>
      </c>
      <c r="L7331" s="20">
        <v>-6.7357512953367879E-2</v>
      </c>
    </row>
    <row r="7332" spans="1:12" x14ac:dyDescent="0.45">
      <c r="A7332" s="12" t="s">
        <v>12543</v>
      </c>
      <c r="B7332" s="12" t="s">
        <v>1694</v>
      </c>
      <c r="C7332" s="13" t="s">
        <v>1695</v>
      </c>
      <c r="D7332" s="13" t="s">
        <v>44</v>
      </c>
      <c r="E7332" s="12" t="s">
        <v>35</v>
      </c>
      <c r="F7332" s="14">
        <v>80000</v>
      </c>
      <c r="G7332" s="14">
        <v>49900</v>
      </c>
      <c r="H7332" s="13" t="s">
        <v>12633</v>
      </c>
      <c r="I7332" s="40" t="s">
        <v>18</v>
      </c>
      <c r="J7332" s="40" t="str">
        <f>HYPERLINK("https://stock.pstatic.net/stock-research/company/39/20251111_company_16728000.pdf","PDF")</f>
        <v>PDF</v>
      </c>
      <c r="K7332" s="12" t="s">
        <v>12634</v>
      </c>
      <c r="L7332" s="20">
        <v>0.60320641282565135</v>
      </c>
    </row>
    <row r="7333" spans="1:12" x14ac:dyDescent="0.45">
      <c r="A7333" s="12" t="s">
        <v>12543</v>
      </c>
      <c r="B7333" s="12" t="s">
        <v>12635</v>
      </c>
      <c r="C7333" s="13" t="s">
        <v>12636</v>
      </c>
      <c r="D7333" s="13" t="s">
        <v>44</v>
      </c>
      <c r="E7333" s="12" t="s">
        <v>642</v>
      </c>
      <c r="F7333" s="14">
        <v>130000</v>
      </c>
      <c r="G7333" s="14">
        <v>123700</v>
      </c>
      <c r="H7333" s="13" t="s">
        <v>12637</v>
      </c>
      <c r="I7333" s="40" t="s">
        <v>18</v>
      </c>
      <c r="J7333" s="40" t="str">
        <f>HYPERLINK("https://stock.pstatic.net/stock-research/company/39/20251111_company_333164000.pdf","PDF")</f>
        <v>PDF</v>
      </c>
      <c r="K7333" s="12" t="s">
        <v>12638</v>
      </c>
      <c r="L7333" s="20">
        <v>5.092966855295069E-2</v>
      </c>
    </row>
    <row r="7334" spans="1:12" x14ac:dyDescent="0.45">
      <c r="A7334" s="12" t="s">
        <v>12543</v>
      </c>
      <c r="B7334" s="12" t="s">
        <v>426</v>
      </c>
      <c r="C7334" s="13" t="s">
        <v>427</v>
      </c>
      <c r="D7334" s="13" t="s">
        <v>44</v>
      </c>
      <c r="E7334" s="12" t="s">
        <v>35</v>
      </c>
      <c r="F7334" s="14">
        <v>26000</v>
      </c>
      <c r="G7334" s="14">
        <v>17190</v>
      </c>
      <c r="H7334" s="13" t="s">
        <v>12639</v>
      </c>
      <c r="I7334" s="40" t="s">
        <v>18</v>
      </c>
      <c r="J7334" s="40" t="str">
        <f>HYPERLINK("https://stock.pstatic.net/stock-research/company/39/20251111_company_780995000.pdf","PDF")</f>
        <v>PDF</v>
      </c>
      <c r="K7334" s="12" t="s">
        <v>12640</v>
      </c>
      <c r="L7334" s="20">
        <v>0.51250727166957533</v>
      </c>
    </row>
    <row r="7335" spans="1:12" x14ac:dyDescent="0.45">
      <c r="A7335" s="12" t="s">
        <v>12543</v>
      </c>
      <c r="B7335" s="12" t="s">
        <v>12641</v>
      </c>
      <c r="C7335" s="13" t="s">
        <v>12642</v>
      </c>
      <c r="D7335" s="13" t="s">
        <v>44</v>
      </c>
      <c r="E7335" s="12" t="s">
        <v>50</v>
      </c>
      <c r="F7335" s="13"/>
      <c r="G7335" s="14">
        <v>2820</v>
      </c>
      <c r="H7335" s="13" t="s">
        <v>12643</v>
      </c>
      <c r="I7335" s="40" t="s">
        <v>18</v>
      </c>
      <c r="J7335" s="40" t="str">
        <f>HYPERLINK("https://stock.pstatic.net/stock-research/company/39/20251111_company_95361000.pdf","PDF")</f>
        <v>PDF</v>
      </c>
      <c r="K7335" s="12" t="s">
        <v>12644</v>
      </c>
    </row>
    <row r="7336" spans="1:12" x14ac:dyDescent="0.45">
      <c r="A7336" s="12" t="s">
        <v>12543</v>
      </c>
      <c r="B7336" s="12" t="s">
        <v>1652</v>
      </c>
      <c r="C7336" s="13" t="s">
        <v>1653</v>
      </c>
      <c r="D7336" s="13" t="s">
        <v>44</v>
      </c>
      <c r="E7336" s="12" t="s">
        <v>35</v>
      </c>
      <c r="F7336" s="14">
        <v>64000</v>
      </c>
      <c r="G7336" s="14">
        <v>43750</v>
      </c>
      <c r="H7336" s="13" t="s">
        <v>12645</v>
      </c>
      <c r="I7336" s="40" t="s">
        <v>18</v>
      </c>
      <c r="J7336" s="40" t="str">
        <f>HYPERLINK("https://stock.pstatic.net/stock-research/company/39/20251111_company_852112000.pdf","PDF")</f>
        <v>PDF</v>
      </c>
      <c r="K7336" s="12" t="s">
        <v>12646</v>
      </c>
      <c r="L7336" s="20">
        <v>0.46285714285714291</v>
      </c>
    </row>
    <row r="7337" spans="1:12" x14ac:dyDescent="0.45">
      <c r="A7337" s="12" t="s">
        <v>12543</v>
      </c>
      <c r="B7337" s="12" t="s">
        <v>1602</v>
      </c>
      <c r="C7337" s="13" t="s">
        <v>1603</v>
      </c>
      <c r="D7337" s="13" t="s">
        <v>53</v>
      </c>
      <c r="E7337" s="12" t="s">
        <v>50</v>
      </c>
      <c r="F7337" s="14">
        <v>32000</v>
      </c>
      <c r="G7337" s="14">
        <v>32000</v>
      </c>
      <c r="H7337" s="13" t="s">
        <v>12647</v>
      </c>
      <c r="I7337" s="40" t="s">
        <v>18</v>
      </c>
      <c r="J7337" s="40" t="str">
        <f>HYPERLINK("https://stock.pstatic.net/stock-research/company/40/20251111_company_233754000.pdf","PDF")</f>
        <v>PDF</v>
      </c>
      <c r="K7337" s="12" t="s">
        <v>12648</v>
      </c>
      <c r="L7337" s="20">
        <v>0</v>
      </c>
    </row>
    <row r="7338" spans="1:12" x14ac:dyDescent="0.45">
      <c r="A7338" s="12" t="s">
        <v>12543</v>
      </c>
      <c r="B7338" s="12" t="s">
        <v>12649</v>
      </c>
      <c r="C7338" s="13" t="s">
        <v>12650</v>
      </c>
      <c r="D7338" s="13" t="s">
        <v>124</v>
      </c>
      <c r="E7338" s="12" t="s">
        <v>50</v>
      </c>
      <c r="F7338" s="13"/>
      <c r="G7338" s="13"/>
      <c r="H7338" s="13" t="s">
        <v>12651</v>
      </c>
      <c r="I7338" s="40" t="s">
        <v>18</v>
      </c>
      <c r="J7338" s="40" t="str">
        <f>HYPERLINK("https://stock.pstatic.net/stock-research/company/74/20251111_company_765803000.pdf","PDF")</f>
        <v>PDF</v>
      </c>
      <c r="K7338" s="12" t="s">
        <v>12652</v>
      </c>
    </row>
    <row r="7339" spans="1:12" x14ac:dyDescent="0.45">
      <c r="A7339" s="12" t="s">
        <v>12543</v>
      </c>
      <c r="B7339" s="12" t="s">
        <v>638</v>
      </c>
      <c r="C7339" s="13" t="s">
        <v>639</v>
      </c>
      <c r="D7339" s="13" t="s">
        <v>124</v>
      </c>
      <c r="E7339" s="12" t="s">
        <v>50</v>
      </c>
      <c r="F7339" s="13"/>
      <c r="G7339" s="13"/>
      <c r="H7339" s="13" t="s">
        <v>12653</v>
      </c>
      <c r="I7339" s="40" t="s">
        <v>18</v>
      </c>
      <c r="J7339" s="40" t="str">
        <f>HYPERLINK("https://stock.pstatic.net/stock-research/company/74/20251111_company_41329000.pdf","PDF")</f>
        <v>PDF</v>
      </c>
      <c r="K7339" s="12" t="s">
        <v>12654</v>
      </c>
    </row>
    <row r="7340" spans="1:12" x14ac:dyDescent="0.45">
      <c r="A7340" s="12" t="s">
        <v>12655</v>
      </c>
      <c r="B7340" s="12" t="s">
        <v>3548</v>
      </c>
      <c r="C7340" s="13" t="s">
        <v>3549</v>
      </c>
      <c r="D7340" s="13" t="s">
        <v>57</v>
      </c>
      <c r="E7340" s="12" t="s">
        <v>35</v>
      </c>
      <c r="F7340" s="14">
        <v>68000</v>
      </c>
      <c r="G7340" s="14">
        <v>54100</v>
      </c>
      <c r="H7340" s="13" t="s">
        <v>12656</v>
      </c>
      <c r="I7340" s="40" t="s">
        <v>18</v>
      </c>
      <c r="J7340" s="40" t="str">
        <f>HYPERLINK("https://stock.pstatic.net/stock-research/company/16/20251110_company_995500000.pdf","PDF")</f>
        <v>PDF</v>
      </c>
      <c r="K7340" s="12" t="s">
        <v>12657</v>
      </c>
      <c r="L7340" s="20">
        <v>0.25693160813308691</v>
      </c>
    </row>
    <row r="7341" spans="1:12" x14ac:dyDescent="0.45">
      <c r="A7341" s="12" t="s">
        <v>12655</v>
      </c>
      <c r="B7341" s="12" t="s">
        <v>1051</v>
      </c>
      <c r="C7341" s="13" t="s">
        <v>1052</v>
      </c>
      <c r="D7341" s="13" t="s">
        <v>57</v>
      </c>
      <c r="E7341" s="12" t="s">
        <v>35</v>
      </c>
      <c r="F7341" s="14">
        <v>63000</v>
      </c>
      <c r="G7341" s="14">
        <v>49350</v>
      </c>
      <c r="H7341" s="13" t="s">
        <v>12658</v>
      </c>
      <c r="I7341" s="40" t="s">
        <v>18</v>
      </c>
      <c r="J7341" s="40" t="str">
        <f>HYPERLINK("https://stock.pstatic.net/stock-research/company/16/20251110_company_484301000.pdf","PDF")</f>
        <v>PDF</v>
      </c>
      <c r="K7341" s="12" t="s">
        <v>12659</v>
      </c>
      <c r="L7341" s="20">
        <v>0.27659574468085107</v>
      </c>
    </row>
    <row r="7342" spans="1:12" x14ac:dyDescent="0.45">
      <c r="A7342" s="12" t="s">
        <v>12655</v>
      </c>
      <c r="B7342" s="12" t="s">
        <v>1656</v>
      </c>
      <c r="C7342" s="13" t="s">
        <v>1657</v>
      </c>
      <c r="D7342" s="13" t="s">
        <v>57</v>
      </c>
      <c r="E7342" s="12" t="s">
        <v>35</v>
      </c>
      <c r="F7342" s="14">
        <v>250000</v>
      </c>
      <c r="G7342" s="14">
        <v>192000</v>
      </c>
      <c r="H7342" s="13" t="s">
        <v>12660</v>
      </c>
      <c r="I7342" s="40" t="s">
        <v>18</v>
      </c>
      <c r="J7342" s="40" t="str">
        <f>HYPERLINK("https://stock.pstatic.net/stock-research/company/16/20251110_company_679558000.pdf","PDF")</f>
        <v>PDF</v>
      </c>
      <c r="K7342" s="12" t="s">
        <v>12661</v>
      </c>
      <c r="L7342" s="20">
        <v>0.30208333333333331</v>
      </c>
    </row>
    <row r="7343" spans="1:12" x14ac:dyDescent="0.45">
      <c r="A7343" s="12" t="s">
        <v>12655</v>
      </c>
      <c r="B7343" s="12" t="s">
        <v>27</v>
      </c>
      <c r="C7343" s="13" t="s">
        <v>28</v>
      </c>
      <c r="D7343" s="13" t="s">
        <v>57</v>
      </c>
      <c r="E7343" s="12" t="s">
        <v>35</v>
      </c>
      <c r="F7343" s="14">
        <v>120000</v>
      </c>
      <c r="G7343" s="14">
        <v>66500</v>
      </c>
      <c r="H7343" s="13" t="s">
        <v>12662</v>
      </c>
      <c r="I7343" s="40" t="s">
        <v>18</v>
      </c>
      <c r="J7343" s="40" t="str">
        <f>HYPERLINK("https://stock.pstatic.net/stock-research/company/16/20251110_company_458817000.pdf","PDF")</f>
        <v>PDF</v>
      </c>
      <c r="K7343" s="12" t="s">
        <v>12663</v>
      </c>
      <c r="L7343" s="20">
        <v>0.80451127819548873</v>
      </c>
    </row>
    <row r="7344" spans="1:12" x14ac:dyDescent="0.45">
      <c r="A7344" s="12" t="s">
        <v>12655</v>
      </c>
      <c r="B7344" s="12" t="s">
        <v>1047</v>
      </c>
      <c r="C7344" s="13" t="s">
        <v>1048</v>
      </c>
      <c r="D7344" s="13" t="s">
        <v>57</v>
      </c>
      <c r="E7344" s="12" t="s">
        <v>35</v>
      </c>
      <c r="F7344" s="14">
        <v>14000</v>
      </c>
      <c r="G7344" s="14">
        <v>9720</v>
      </c>
      <c r="H7344" s="13" t="s">
        <v>12664</v>
      </c>
      <c r="I7344" s="40" t="s">
        <v>18</v>
      </c>
      <c r="J7344" s="40" t="str">
        <f>HYPERLINK("https://stock.pstatic.net/stock-research/company/16/20251110_company_589435000.pdf","PDF")</f>
        <v>PDF</v>
      </c>
      <c r="K7344" s="12" t="s">
        <v>12665</v>
      </c>
      <c r="L7344" s="20">
        <v>0.44032921810699588</v>
      </c>
    </row>
    <row r="7345" spans="1:12" x14ac:dyDescent="0.45">
      <c r="A7345" s="12" t="s">
        <v>12655</v>
      </c>
      <c r="B7345" s="12" t="s">
        <v>2231</v>
      </c>
      <c r="C7345" s="13" t="s">
        <v>2232</v>
      </c>
      <c r="D7345" s="13" t="s">
        <v>57</v>
      </c>
      <c r="E7345" s="12" t="s">
        <v>35</v>
      </c>
      <c r="F7345" s="14">
        <v>140000</v>
      </c>
      <c r="G7345" s="14">
        <v>89200</v>
      </c>
      <c r="H7345" s="13" t="s">
        <v>12666</v>
      </c>
      <c r="I7345" s="40" t="s">
        <v>18</v>
      </c>
      <c r="J7345" s="40" t="str">
        <f>HYPERLINK("https://stock.pstatic.net/stock-research/company/16/20251110_company_59659000.pdf","PDF")</f>
        <v>PDF</v>
      </c>
      <c r="K7345" s="12" t="s">
        <v>12667</v>
      </c>
      <c r="L7345" s="20">
        <v>0.56950672645739908</v>
      </c>
    </row>
    <row r="7346" spans="1:12" x14ac:dyDescent="0.45">
      <c r="A7346" s="12" t="s">
        <v>12655</v>
      </c>
      <c r="B7346" s="12" t="s">
        <v>5658</v>
      </c>
      <c r="C7346" s="13" t="s">
        <v>5659</v>
      </c>
      <c r="D7346" s="13" t="s">
        <v>57</v>
      </c>
      <c r="E7346" s="12" t="s">
        <v>35</v>
      </c>
      <c r="F7346" s="14">
        <v>32000</v>
      </c>
      <c r="G7346" s="14">
        <v>17920</v>
      </c>
      <c r="H7346" s="13" t="s">
        <v>12668</v>
      </c>
      <c r="I7346" s="40" t="s">
        <v>18</v>
      </c>
      <c r="J7346" s="40" t="str">
        <f>HYPERLINK("https://stock.pstatic.net/stock-research/company/16/20251110_company_768524000.pdf","PDF")</f>
        <v>PDF</v>
      </c>
      <c r="K7346" s="12" t="s">
        <v>12669</v>
      </c>
      <c r="L7346" s="20">
        <v>0.7857142857142857</v>
      </c>
    </row>
    <row r="7347" spans="1:12" x14ac:dyDescent="0.45">
      <c r="A7347" s="12" t="s">
        <v>12655</v>
      </c>
      <c r="B7347" s="12" t="s">
        <v>756</v>
      </c>
      <c r="C7347" s="13" t="s">
        <v>757</v>
      </c>
      <c r="D7347" s="13" t="s">
        <v>57</v>
      </c>
      <c r="E7347" s="12" t="s">
        <v>35</v>
      </c>
      <c r="F7347" s="14">
        <v>90000</v>
      </c>
      <c r="G7347" s="14">
        <v>72800</v>
      </c>
      <c r="H7347" s="13" t="s">
        <v>12670</v>
      </c>
      <c r="I7347" s="40" t="s">
        <v>18</v>
      </c>
      <c r="J7347" s="40" t="str">
        <f>HYPERLINK("https://stock.pstatic.net/stock-research/company/16/20251110_company_512952000.pdf","PDF")</f>
        <v>PDF</v>
      </c>
      <c r="K7347" s="12" t="s">
        <v>12671</v>
      </c>
      <c r="L7347" s="20">
        <v>0.23626373626373631</v>
      </c>
    </row>
    <row r="7348" spans="1:12" x14ac:dyDescent="0.45">
      <c r="A7348" s="12" t="s">
        <v>12655</v>
      </c>
      <c r="B7348" s="12" t="s">
        <v>916</v>
      </c>
      <c r="C7348" s="13" t="s">
        <v>917</v>
      </c>
      <c r="D7348" s="13" t="s">
        <v>60</v>
      </c>
      <c r="E7348" s="12" t="s">
        <v>35</v>
      </c>
      <c r="F7348" s="14">
        <v>76000</v>
      </c>
      <c r="G7348" s="14">
        <v>62800</v>
      </c>
      <c r="H7348" s="13" t="s">
        <v>12672</v>
      </c>
      <c r="I7348" s="40" t="s">
        <v>18</v>
      </c>
      <c r="J7348" s="40" t="str">
        <f>HYPERLINK("https://stock.pstatic.net/stock-research/company/34/20251110_company_362681000.pdf","PDF")</f>
        <v>PDF</v>
      </c>
      <c r="K7348" s="12" t="s">
        <v>12673</v>
      </c>
      <c r="L7348" s="20">
        <v>0.21019108280254781</v>
      </c>
    </row>
    <row r="7349" spans="1:12" x14ac:dyDescent="0.45">
      <c r="A7349" s="12" t="s">
        <v>12655</v>
      </c>
      <c r="B7349" s="12" t="s">
        <v>1656</v>
      </c>
      <c r="C7349" s="13" t="s">
        <v>1657</v>
      </c>
      <c r="D7349" s="13" t="s">
        <v>60</v>
      </c>
      <c r="E7349" s="12" t="s">
        <v>35</v>
      </c>
      <c r="F7349" s="14">
        <v>230000</v>
      </c>
      <c r="G7349" s="14">
        <v>192000</v>
      </c>
      <c r="H7349" s="13" t="s">
        <v>12674</v>
      </c>
      <c r="I7349" s="40" t="s">
        <v>18</v>
      </c>
      <c r="J7349" s="40" t="str">
        <f>HYPERLINK("https://stock.pstatic.net/stock-research/company/34/20251110_company_952620000.pdf","PDF")</f>
        <v>PDF</v>
      </c>
      <c r="K7349" s="12" t="s">
        <v>12675</v>
      </c>
      <c r="L7349" s="20">
        <v>0.19791666666666671</v>
      </c>
    </row>
    <row r="7350" spans="1:12" x14ac:dyDescent="0.45">
      <c r="A7350" s="12" t="s">
        <v>12655</v>
      </c>
      <c r="B7350" s="12" t="s">
        <v>756</v>
      </c>
      <c r="C7350" s="13" t="s">
        <v>757</v>
      </c>
      <c r="D7350" s="13" t="s">
        <v>60</v>
      </c>
      <c r="E7350" s="12" t="s">
        <v>35</v>
      </c>
      <c r="F7350" s="14">
        <v>125000</v>
      </c>
      <c r="G7350" s="14">
        <v>72100</v>
      </c>
      <c r="H7350" s="13" t="s">
        <v>12676</v>
      </c>
      <c r="I7350" s="40" t="s">
        <v>18</v>
      </c>
      <c r="J7350" s="40" t="str">
        <f>HYPERLINK("https://stock.pstatic.net/stock-research/company/34/20251110_company_553278000.pdf","PDF")</f>
        <v>PDF</v>
      </c>
      <c r="K7350" s="12" t="s">
        <v>12677</v>
      </c>
      <c r="L7350" s="20">
        <v>0.73370319001386963</v>
      </c>
    </row>
    <row r="7351" spans="1:12" x14ac:dyDescent="0.45">
      <c r="A7351" s="12" t="s">
        <v>12655</v>
      </c>
      <c r="B7351" s="12" t="s">
        <v>1652</v>
      </c>
      <c r="C7351" s="13" t="s">
        <v>1653</v>
      </c>
      <c r="D7351" s="13" t="s">
        <v>276</v>
      </c>
      <c r="E7351" s="12" t="s">
        <v>16</v>
      </c>
      <c r="F7351" s="14">
        <v>65000</v>
      </c>
      <c r="G7351" s="14">
        <v>42500</v>
      </c>
      <c r="H7351" s="13" t="s">
        <v>12678</v>
      </c>
      <c r="I7351" s="40" t="s">
        <v>18</v>
      </c>
      <c r="J7351" s="40" t="str">
        <f>HYPERLINK("https://stock.pstatic.net/stock-research/company/66/20251110_company_270615000.pdf","PDF")</f>
        <v>PDF</v>
      </c>
      <c r="K7351" s="12" t="s">
        <v>12679</v>
      </c>
      <c r="L7351" s="20">
        <v>0.52941176470588236</v>
      </c>
    </row>
    <row r="7352" spans="1:12" x14ac:dyDescent="0.45">
      <c r="A7352" s="12" t="s">
        <v>12655</v>
      </c>
      <c r="B7352" s="12" t="s">
        <v>916</v>
      </c>
      <c r="C7352" s="13" t="s">
        <v>917</v>
      </c>
      <c r="D7352" s="13" t="s">
        <v>65</v>
      </c>
      <c r="E7352" s="12" t="s">
        <v>35</v>
      </c>
      <c r="F7352" s="14">
        <v>75000</v>
      </c>
      <c r="G7352" s="14">
        <v>62800</v>
      </c>
      <c r="H7352" s="13" t="s">
        <v>12680</v>
      </c>
      <c r="I7352" s="40" t="s">
        <v>18</v>
      </c>
      <c r="J7352" s="40" t="str">
        <f>HYPERLINK("https://stock.pstatic.net/stock-research/company/57/20251110_company_472640000.pdf","PDF")</f>
        <v>PDF</v>
      </c>
      <c r="K7352" s="12" t="s">
        <v>12681</v>
      </c>
      <c r="L7352" s="20">
        <v>0.19426751592356689</v>
      </c>
    </row>
    <row r="7353" spans="1:12" x14ac:dyDescent="0.45">
      <c r="A7353" s="12" t="s">
        <v>12655</v>
      </c>
      <c r="B7353" s="12" t="s">
        <v>1144</v>
      </c>
      <c r="C7353" s="13" t="s">
        <v>1145</v>
      </c>
      <c r="D7353" s="13" t="s">
        <v>65</v>
      </c>
      <c r="E7353" s="12" t="s">
        <v>35</v>
      </c>
      <c r="F7353" s="14">
        <v>112000</v>
      </c>
      <c r="G7353" s="14">
        <v>91400</v>
      </c>
      <c r="H7353" s="13" t="s">
        <v>12682</v>
      </c>
      <c r="I7353" s="40" t="s">
        <v>18</v>
      </c>
      <c r="J7353" s="40" t="str">
        <f>HYPERLINK("https://stock.pstatic.net/stock-research/company/57/20251110_company_664609000.pdf","PDF")</f>
        <v>PDF</v>
      </c>
      <c r="K7353" s="12" t="s">
        <v>12683</v>
      </c>
      <c r="L7353" s="20">
        <v>0.22538293216630201</v>
      </c>
    </row>
    <row r="7354" spans="1:12" x14ac:dyDescent="0.45">
      <c r="A7354" s="12" t="s">
        <v>12655</v>
      </c>
      <c r="B7354" s="12" t="s">
        <v>2217</v>
      </c>
      <c r="C7354" s="13" t="s">
        <v>2218</v>
      </c>
      <c r="D7354" s="13" t="s">
        <v>65</v>
      </c>
      <c r="E7354" s="12" t="s">
        <v>35</v>
      </c>
      <c r="F7354" s="14">
        <v>140000</v>
      </c>
      <c r="G7354" s="14">
        <v>108600</v>
      </c>
      <c r="H7354" s="13" t="s">
        <v>12684</v>
      </c>
      <c r="I7354" s="40" t="s">
        <v>18</v>
      </c>
      <c r="J7354" s="40" t="str">
        <f>HYPERLINK("https://stock.pstatic.net/stock-research/company/57/20251110_company_158589000.pdf","PDF")</f>
        <v>PDF</v>
      </c>
      <c r="K7354" s="12" t="s">
        <v>12685</v>
      </c>
      <c r="L7354" s="20">
        <v>0.28913443830570901</v>
      </c>
    </row>
    <row r="7355" spans="1:12" x14ac:dyDescent="0.45">
      <c r="A7355" s="12" t="s">
        <v>12655</v>
      </c>
      <c r="B7355" s="12" t="s">
        <v>1652</v>
      </c>
      <c r="C7355" s="13" t="s">
        <v>1653</v>
      </c>
      <c r="D7355" s="13" t="s">
        <v>65</v>
      </c>
      <c r="E7355" s="12" t="s">
        <v>35</v>
      </c>
      <c r="F7355" s="14">
        <v>68000</v>
      </c>
      <c r="G7355" s="14">
        <v>42500</v>
      </c>
      <c r="H7355" s="13" t="s">
        <v>12686</v>
      </c>
      <c r="I7355" s="40" t="s">
        <v>18</v>
      </c>
      <c r="J7355" s="40" t="str">
        <f>HYPERLINK("https://stock.pstatic.net/stock-research/company/57/20251110_company_812438000.pdf","PDF")</f>
        <v>PDF</v>
      </c>
      <c r="K7355" s="12" t="s">
        <v>12687</v>
      </c>
      <c r="L7355" s="20">
        <v>0.6</v>
      </c>
    </row>
    <row r="7356" spans="1:12" x14ac:dyDescent="0.45">
      <c r="A7356" s="12" t="s">
        <v>12655</v>
      </c>
      <c r="B7356" s="12" t="s">
        <v>3749</v>
      </c>
      <c r="C7356" s="13" t="s">
        <v>3750</v>
      </c>
      <c r="D7356" s="13" t="s">
        <v>65</v>
      </c>
      <c r="E7356" s="12" t="s">
        <v>35</v>
      </c>
      <c r="F7356" s="14">
        <v>210000</v>
      </c>
      <c r="G7356" s="14">
        <v>160000</v>
      </c>
      <c r="H7356" s="13" t="s">
        <v>12688</v>
      </c>
      <c r="I7356" s="40" t="s">
        <v>18</v>
      </c>
      <c r="J7356" s="40" t="str">
        <f>HYPERLINK("https://stock.pstatic.net/stock-research/company/57/20251110_company_574727000.pdf","PDF")</f>
        <v>PDF</v>
      </c>
      <c r="K7356" s="12" t="s">
        <v>12689</v>
      </c>
      <c r="L7356" s="20">
        <v>0.3125</v>
      </c>
    </row>
    <row r="7357" spans="1:12" x14ac:dyDescent="0.45">
      <c r="A7357" s="12" t="s">
        <v>12655</v>
      </c>
      <c r="B7357" s="12" t="s">
        <v>1051</v>
      </c>
      <c r="C7357" s="13" t="s">
        <v>1052</v>
      </c>
      <c r="D7357" s="13" t="s">
        <v>65</v>
      </c>
      <c r="E7357" s="12" t="s">
        <v>35</v>
      </c>
      <c r="F7357" s="14">
        <v>60000</v>
      </c>
      <c r="G7357" s="14">
        <v>49350</v>
      </c>
      <c r="H7357" s="13" t="s">
        <v>12690</v>
      </c>
      <c r="I7357" s="40" t="s">
        <v>18</v>
      </c>
      <c r="J7357" s="40" t="str">
        <f>HYPERLINK("https://stock.pstatic.net/stock-research/company/57/20251110_company_190677000.pdf","PDF")</f>
        <v>PDF</v>
      </c>
      <c r="K7357" s="12" t="s">
        <v>12691</v>
      </c>
      <c r="L7357" s="20">
        <v>0.21580547112462009</v>
      </c>
    </row>
    <row r="7358" spans="1:12" x14ac:dyDescent="0.45">
      <c r="A7358" s="12" t="s">
        <v>12655</v>
      </c>
      <c r="B7358" s="12" t="s">
        <v>1670</v>
      </c>
      <c r="C7358" s="13" t="s">
        <v>1671</v>
      </c>
      <c r="D7358" s="13" t="s">
        <v>65</v>
      </c>
      <c r="E7358" s="12" t="s">
        <v>35</v>
      </c>
      <c r="F7358" s="14">
        <v>160000</v>
      </c>
      <c r="G7358" s="14">
        <v>111700</v>
      </c>
      <c r="H7358" s="13" t="s">
        <v>12692</v>
      </c>
      <c r="I7358" s="40" t="s">
        <v>18</v>
      </c>
      <c r="J7358" s="40" t="str">
        <f>HYPERLINK("https://stock.pstatic.net/stock-research/company/57/20251110_company_734817000.pdf","PDF")</f>
        <v>PDF</v>
      </c>
      <c r="K7358" s="12" t="s">
        <v>12693</v>
      </c>
      <c r="L7358" s="20">
        <v>0.43240823634735898</v>
      </c>
    </row>
    <row r="7359" spans="1:12" x14ac:dyDescent="0.45">
      <c r="A7359" s="12" t="s">
        <v>12655</v>
      </c>
      <c r="B7359" s="12" t="s">
        <v>533</v>
      </c>
      <c r="C7359" s="13" t="s">
        <v>534</v>
      </c>
      <c r="D7359" s="13" t="s">
        <v>65</v>
      </c>
      <c r="E7359" s="12" t="s">
        <v>35</v>
      </c>
      <c r="F7359" s="14">
        <v>65000</v>
      </c>
      <c r="G7359" s="14">
        <v>48250</v>
      </c>
      <c r="H7359" s="13" t="s">
        <v>12694</v>
      </c>
      <c r="I7359" s="40" t="s">
        <v>18</v>
      </c>
      <c r="J7359" s="40" t="str">
        <f>HYPERLINK("https://stock.pstatic.net/stock-research/company/57/20251110_company_964449000.pdf","PDF")</f>
        <v>PDF</v>
      </c>
      <c r="K7359" s="12" t="s">
        <v>12695</v>
      </c>
      <c r="L7359" s="20">
        <v>0.34715025906735753</v>
      </c>
    </row>
    <row r="7360" spans="1:12" x14ac:dyDescent="0.45">
      <c r="A7360" s="12" t="s">
        <v>12655</v>
      </c>
      <c r="B7360" s="12" t="s">
        <v>533</v>
      </c>
      <c r="C7360" s="13" t="s">
        <v>534</v>
      </c>
      <c r="D7360" s="13" t="s">
        <v>65</v>
      </c>
      <c r="E7360" s="12" t="s">
        <v>35</v>
      </c>
      <c r="F7360" s="14">
        <v>65000</v>
      </c>
      <c r="G7360" s="14">
        <v>48250</v>
      </c>
      <c r="H7360" s="13" t="s">
        <v>12696</v>
      </c>
      <c r="I7360" s="40" t="s">
        <v>18</v>
      </c>
      <c r="J7360" s="40" t="str">
        <f>HYPERLINK("https://stock.pstatic.net/stock-research/company/57/20251110_company_242728000.pdf","PDF")</f>
        <v>PDF</v>
      </c>
      <c r="K7360" s="12" t="s">
        <v>12697</v>
      </c>
      <c r="L7360" s="20">
        <v>0.34715025906735753</v>
      </c>
    </row>
    <row r="7361" spans="1:12" x14ac:dyDescent="0.45">
      <c r="A7361" s="12" t="s">
        <v>12655</v>
      </c>
      <c r="B7361" s="12" t="s">
        <v>370</v>
      </c>
      <c r="C7361" s="13" t="s">
        <v>371</v>
      </c>
      <c r="D7361" s="13" t="s">
        <v>65</v>
      </c>
      <c r="E7361" s="12" t="s">
        <v>35</v>
      </c>
      <c r="F7361" s="14">
        <v>120000</v>
      </c>
      <c r="G7361" s="14">
        <v>72000</v>
      </c>
      <c r="H7361" s="13" t="s">
        <v>12698</v>
      </c>
      <c r="I7361" s="40" t="s">
        <v>18</v>
      </c>
      <c r="J7361" s="40" t="str">
        <f>HYPERLINK("https://stock.pstatic.net/stock-research/company/57/20251110_company_311285000.pdf","PDF")</f>
        <v>PDF</v>
      </c>
      <c r="K7361" s="12" t="s">
        <v>12699</v>
      </c>
      <c r="L7361" s="20">
        <v>0.66666666666666663</v>
      </c>
    </row>
    <row r="7362" spans="1:12" x14ac:dyDescent="0.45">
      <c r="A7362" s="12" t="s">
        <v>12655</v>
      </c>
      <c r="B7362" s="12" t="s">
        <v>5395</v>
      </c>
      <c r="C7362" s="13" t="s">
        <v>5396</v>
      </c>
      <c r="D7362" s="13" t="s">
        <v>65</v>
      </c>
      <c r="E7362" s="12" t="s">
        <v>35</v>
      </c>
      <c r="F7362" s="14">
        <v>72000</v>
      </c>
      <c r="G7362" s="14">
        <v>47400</v>
      </c>
      <c r="H7362" s="13" t="s">
        <v>12700</v>
      </c>
      <c r="I7362" s="40" t="s">
        <v>18</v>
      </c>
      <c r="J7362" s="40" t="str">
        <f>HYPERLINK("https://stock.pstatic.net/stock-research/company/57/20251110_company_479748000.pdf","PDF")</f>
        <v>PDF</v>
      </c>
      <c r="K7362" s="12" t="s">
        <v>12701</v>
      </c>
      <c r="L7362" s="20">
        <v>0.51898734177215189</v>
      </c>
    </row>
    <row r="7363" spans="1:12" x14ac:dyDescent="0.45">
      <c r="A7363" s="12" t="s">
        <v>12655</v>
      </c>
      <c r="B7363" s="12" t="s">
        <v>916</v>
      </c>
      <c r="C7363" s="13" t="s">
        <v>917</v>
      </c>
      <c r="D7363" s="13" t="s">
        <v>158</v>
      </c>
      <c r="E7363" s="12" t="s">
        <v>35</v>
      </c>
      <c r="F7363" s="14">
        <v>80000</v>
      </c>
      <c r="G7363" s="14">
        <v>62800</v>
      </c>
      <c r="H7363" s="13" t="s">
        <v>12702</v>
      </c>
      <c r="I7363" s="40" t="s">
        <v>18</v>
      </c>
      <c r="J7363" s="40" t="str">
        <f>HYPERLINK("https://stock.pstatic.net/stock-research/company/18/20251110_company_617040000.pdf","PDF")</f>
        <v>PDF</v>
      </c>
      <c r="K7363" s="12" t="s">
        <v>12703</v>
      </c>
      <c r="L7363" s="20">
        <v>0.27388535031847128</v>
      </c>
    </row>
    <row r="7364" spans="1:12" x14ac:dyDescent="0.45">
      <c r="A7364" s="12" t="s">
        <v>12655</v>
      </c>
      <c r="B7364" s="12" t="s">
        <v>434</v>
      </c>
      <c r="C7364" s="13" t="s">
        <v>435</v>
      </c>
      <c r="D7364" s="13" t="s">
        <v>158</v>
      </c>
      <c r="E7364" s="12" t="s">
        <v>35</v>
      </c>
      <c r="F7364" s="14">
        <v>178000</v>
      </c>
      <c r="G7364" s="14">
        <v>126500</v>
      </c>
      <c r="H7364" s="13" t="s">
        <v>12704</v>
      </c>
      <c r="I7364" s="40" t="s">
        <v>18</v>
      </c>
      <c r="J7364" s="40" t="str">
        <f>HYPERLINK("https://stock.pstatic.net/stock-research/company/18/20251110_company_939989000.pdf","PDF")</f>
        <v>PDF</v>
      </c>
      <c r="K7364" s="12" t="s">
        <v>12705</v>
      </c>
      <c r="L7364" s="20">
        <v>0.40711462450592878</v>
      </c>
    </row>
    <row r="7365" spans="1:12" x14ac:dyDescent="0.45">
      <c r="A7365" s="12" t="s">
        <v>12655</v>
      </c>
      <c r="B7365" s="12" t="s">
        <v>1656</v>
      </c>
      <c r="C7365" s="13" t="s">
        <v>1657</v>
      </c>
      <c r="D7365" s="13" t="s">
        <v>158</v>
      </c>
      <c r="E7365" s="12" t="s">
        <v>35</v>
      </c>
      <c r="F7365" s="14">
        <v>250000</v>
      </c>
      <c r="G7365" s="14">
        <v>192000</v>
      </c>
      <c r="H7365" s="13" t="s">
        <v>12706</v>
      </c>
      <c r="I7365" s="40" t="s">
        <v>18</v>
      </c>
      <c r="J7365" s="40" t="str">
        <f>HYPERLINK("https://stock.pstatic.net/stock-research/company/18/20251110_company_996902000.pdf","PDF")</f>
        <v>PDF</v>
      </c>
      <c r="K7365" s="12" t="s">
        <v>12707</v>
      </c>
      <c r="L7365" s="20">
        <v>0.30208333333333331</v>
      </c>
    </row>
    <row r="7366" spans="1:12" x14ac:dyDescent="0.45">
      <c r="A7366" s="12" t="s">
        <v>12655</v>
      </c>
      <c r="B7366" s="12" t="s">
        <v>756</v>
      </c>
      <c r="C7366" s="13" t="s">
        <v>757</v>
      </c>
      <c r="D7366" s="13" t="s">
        <v>158</v>
      </c>
      <c r="E7366" s="12" t="s">
        <v>35</v>
      </c>
      <c r="F7366" s="14">
        <v>88000</v>
      </c>
      <c r="G7366" s="14">
        <v>72100</v>
      </c>
      <c r="H7366" s="13" t="s">
        <v>12708</v>
      </c>
      <c r="I7366" s="40" t="s">
        <v>18</v>
      </c>
      <c r="J7366" s="40" t="str">
        <f>HYPERLINK("https://stock.pstatic.net/stock-research/company/18/20251110_company_449296000.pdf","PDF")</f>
        <v>PDF</v>
      </c>
      <c r="K7366" s="12" t="s">
        <v>12709</v>
      </c>
      <c r="L7366" s="20">
        <v>0.2205270457697642</v>
      </c>
    </row>
    <row r="7367" spans="1:12" x14ac:dyDescent="0.45">
      <c r="A7367" s="12" t="s">
        <v>12655</v>
      </c>
      <c r="B7367" s="12" t="s">
        <v>3708</v>
      </c>
      <c r="C7367" s="13" t="s">
        <v>3709</v>
      </c>
      <c r="D7367" s="13" t="s">
        <v>158</v>
      </c>
      <c r="E7367" s="12" t="s">
        <v>50</v>
      </c>
      <c r="F7367" s="13"/>
      <c r="G7367" s="14">
        <v>16880</v>
      </c>
      <c r="H7367" s="13" t="s">
        <v>12710</v>
      </c>
      <c r="I7367" s="40" t="s">
        <v>18</v>
      </c>
      <c r="J7367" s="40" t="str">
        <f>HYPERLINK("https://stock.pstatic.net/stock-research/company/18/20251110_company_800816000.pdf","PDF")</f>
        <v>PDF</v>
      </c>
      <c r="K7367" s="12" t="s">
        <v>12711</v>
      </c>
    </row>
    <row r="7368" spans="1:12" x14ac:dyDescent="0.45">
      <c r="A7368" s="12" t="s">
        <v>12655</v>
      </c>
      <c r="B7368" s="12" t="s">
        <v>533</v>
      </c>
      <c r="C7368" s="13" t="s">
        <v>534</v>
      </c>
      <c r="D7368" s="13" t="s">
        <v>158</v>
      </c>
      <c r="E7368" s="12" t="s">
        <v>35</v>
      </c>
      <c r="F7368" s="14">
        <v>58000</v>
      </c>
      <c r="G7368" s="14">
        <v>48250</v>
      </c>
      <c r="H7368" s="13" t="s">
        <v>12712</v>
      </c>
      <c r="I7368" s="40" t="s">
        <v>18</v>
      </c>
      <c r="J7368" s="40" t="str">
        <f>HYPERLINK("https://stock.pstatic.net/stock-research/company/18/20251110_company_34871000.pdf","PDF")</f>
        <v>PDF</v>
      </c>
      <c r="K7368" s="12" t="s">
        <v>12713</v>
      </c>
      <c r="L7368" s="20">
        <v>0.2020725388601036</v>
      </c>
    </row>
    <row r="7369" spans="1:12" x14ac:dyDescent="0.45">
      <c r="A7369" s="12" t="s">
        <v>12655</v>
      </c>
      <c r="B7369" s="12" t="s">
        <v>4567</v>
      </c>
      <c r="C7369" s="13" t="s">
        <v>4568</v>
      </c>
      <c r="D7369" s="13" t="s">
        <v>158</v>
      </c>
      <c r="E7369" s="12" t="s">
        <v>35</v>
      </c>
      <c r="F7369" s="14">
        <v>56000</v>
      </c>
      <c r="G7369" s="14">
        <v>42250</v>
      </c>
      <c r="H7369" s="13" t="s">
        <v>12714</v>
      </c>
      <c r="I7369" s="40" t="s">
        <v>18</v>
      </c>
      <c r="J7369" s="40" t="str">
        <f>HYPERLINK("https://stock.pstatic.net/stock-research/company/18/20251110_company_291245000.pdf","PDF")</f>
        <v>PDF</v>
      </c>
      <c r="K7369" s="12" t="s">
        <v>12715</v>
      </c>
      <c r="L7369" s="20">
        <v>0.32544378698224852</v>
      </c>
    </row>
    <row r="7370" spans="1:12" x14ac:dyDescent="0.45">
      <c r="A7370" s="12" t="s">
        <v>12655</v>
      </c>
      <c r="B7370" s="12" t="s">
        <v>132</v>
      </c>
      <c r="C7370" s="13" t="s">
        <v>133</v>
      </c>
      <c r="D7370" s="13" t="s">
        <v>158</v>
      </c>
      <c r="E7370" s="12" t="s">
        <v>35</v>
      </c>
      <c r="F7370" s="14">
        <v>130000</v>
      </c>
      <c r="G7370" s="14">
        <v>91400</v>
      </c>
      <c r="H7370" s="13" t="s">
        <v>12716</v>
      </c>
      <c r="I7370" s="40" t="s">
        <v>18</v>
      </c>
      <c r="J7370" s="40" t="str">
        <f>HYPERLINK("https://stock.pstatic.net/stock-research/company/18/20251110_company_665745000.pdf","PDF")</f>
        <v>PDF</v>
      </c>
      <c r="K7370" s="12" t="s">
        <v>12717</v>
      </c>
      <c r="L7370" s="20">
        <v>0.42231947483588622</v>
      </c>
    </row>
    <row r="7371" spans="1:12" x14ac:dyDescent="0.45">
      <c r="A7371" s="12" t="s">
        <v>12655</v>
      </c>
      <c r="B7371" s="12" t="s">
        <v>1773</v>
      </c>
      <c r="C7371" s="13" t="s">
        <v>1774</v>
      </c>
      <c r="D7371" s="13" t="s">
        <v>158</v>
      </c>
      <c r="E7371" s="12" t="s">
        <v>35</v>
      </c>
      <c r="F7371" s="14">
        <v>120000</v>
      </c>
      <c r="G7371" s="14">
        <v>83400</v>
      </c>
      <c r="H7371" s="13" t="s">
        <v>12718</v>
      </c>
      <c r="I7371" s="40" t="s">
        <v>18</v>
      </c>
      <c r="J7371" s="40" t="str">
        <f>HYPERLINK("https://stock.pstatic.net/stock-research/company/18/20251110_company_539926000.pdf","PDF")</f>
        <v>PDF</v>
      </c>
      <c r="K7371" s="12" t="s">
        <v>12719</v>
      </c>
      <c r="L7371" s="20">
        <v>0.43884892086330929</v>
      </c>
    </row>
    <row r="7372" spans="1:12" x14ac:dyDescent="0.45">
      <c r="A7372" s="12" t="s">
        <v>12655</v>
      </c>
      <c r="B7372" s="12" t="s">
        <v>1656</v>
      </c>
      <c r="C7372" s="13" t="s">
        <v>1657</v>
      </c>
      <c r="D7372" s="13" t="s">
        <v>15</v>
      </c>
      <c r="E7372" s="12" t="s">
        <v>16</v>
      </c>
      <c r="F7372" s="14">
        <v>280000</v>
      </c>
      <c r="G7372" s="14">
        <v>192000</v>
      </c>
      <c r="H7372" s="13" t="s">
        <v>12720</v>
      </c>
      <c r="I7372" s="40" t="s">
        <v>18</v>
      </c>
      <c r="J7372" s="40" t="str">
        <f>HYPERLINK("https://stock.pstatic.net/stock-research/company/29/20251110_company_745314000.pdf","PDF")</f>
        <v>PDF</v>
      </c>
      <c r="K7372" s="12" t="s">
        <v>12721</v>
      </c>
      <c r="L7372" s="20">
        <v>0.45833333333333331</v>
      </c>
    </row>
    <row r="7373" spans="1:12" x14ac:dyDescent="0.45">
      <c r="A7373" s="12" t="s">
        <v>12655</v>
      </c>
      <c r="B7373" s="12" t="s">
        <v>533</v>
      </c>
      <c r="C7373" s="13" t="s">
        <v>534</v>
      </c>
      <c r="D7373" s="13" t="s">
        <v>53</v>
      </c>
      <c r="E7373" s="12" t="s">
        <v>16</v>
      </c>
      <c r="F7373" s="14">
        <v>62000</v>
      </c>
      <c r="G7373" s="14">
        <v>48250</v>
      </c>
      <c r="H7373" s="13" t="s">
        <v>12722</v>
      </c>
      <c r="I7373" s="40" t="s">
        <v>18</v>
      </c>
      <c r="J7373" s="40" t="str">
        <f>HYPERLINK("https://stock.pstatic.net/stock-research/company/40/20251110_company_271372000.pdf","PDF")</f>
        <v>PDF</v>
      </c>
      <c r="K7373" s="12" t="s">
        <v>12723</v>
      </c>
      <c r="L7373" s="20">
        <v>0.28497409326424872</v>
      </c>
    </row>
    <row r="7374" spans="1:12" x14ac:dyDescent="0.45">
      <c r="A7374" s="12" t="s">
        <v>12655</v>
      </c>
      <c r="B7374" s="12" t="s">
        <v>1773</v>
      </c>
      <c r="C7374" s="13" t="s">
        <v>1774</v>
      </c>
      <c r="D7374" s="13" t="s">
        <v>15</v>
      </c>
      <c r="E7374" s="12" t="s">
        <v>16</v>
      </c>
      <c r="F7374" s="14">
        <v>120000</v>
      </c>
      <c r="G7374" s="14">
        <v>83400</v>
      </c>
      <c r="H7374" s="13" t="s">
        <v>12724</v>
      </c>
      <c r="I7374" s="40" t="s">
        <v>18</v>
      </c>
      <c r="J7374" s="40" t="str">
        <f>HYPERLINK("https://stock.pstatic.net/stock-research/company/29/20251110_company_125859000.pdf","PDF")</f>
        <v>PDF</v>
      </c>
      <c r="K7374" s="12" t="s">
        <v>12725</v>
      </c>
      <c r="L7374" s="20">
        <v>0.43884892086330929</v>
      </c>
    </row>
    <row r="7375" spans="1:12" x14ac:dyDescent="0.45">
      <c r="A7375" s="12" t="s">
        <v>12655</v>
      </c>
      <c r="B7375" s="12" t="s">
        <v>856</v>
      </c>
      <c r="C7375" s="13" t="s">
        <v>857</v>
      </c>
      <c r="D7375" s="13" t="s">
        <v>15</v>
      </c>
      <c r="E7375" s="12" t="s">
        <v>16</v>
      </c>
      <c r="F7375" s="14">
        <v>210000</v>
      </c>
      <c r="G7375" s="14">
        <v>139700</v>
      </c>
      <c r="H7375" s="13" t="s">
        <v>12726</v>
      </c>
      <c r="I7375" s="40" t="s">
        <v>18</v>
      </c>
      <c r="J7375" s="40" t="str">
        <f>HYPERLINK("https://stock.pstatic.net/stock-research/company/29/20251110_company_256124000.pdf","PDF")</f>
        <v>PDF</v>
      </c>
      <c r="K7375" s="12" t="s">
        <v>12727</v>
      </c>
      <c r="L7375" s="20">
        <v>0.50322118826055839</v>
      </c>
    </row>
    <row r="7376" spans="1:12" x14ac:dyDescent="0.45">
      <c r="A7376" s="12" t="s">
        <v>12655</v>
      </c>
      <c r="B7376" s="12" t="s">
        <v>756</v>
      </c>
      <c r="C7376" s="13" t="s">
        <v>757</v>
      </c>
      <c r="D7376" s="13" t="s">
        <v>15</v>
      </c>
      <c r="E7376" s="12" t="s">
        <v>16</v>
      </c>
      <c r="F7376" s="14">
        <v>95000</v>
      </c>
      <c r="G7376" s="14">
        <v>72100</v>
      </c>
      <c r="H7376" s="13" t="s">
        <v>12728</v>
      </c>
      <c r="I7376" s="40" t="s">
        <v>18</v>
      </c>
      <c r="J7376" s="40" t="str">
        <f>HYPERLINK("https://stock.pstatic.net/stock-research/company/29/20251110_company_261199000.pdf","PDF")</f>
        <v>PDF</v>
      </c>
      <c r="K7376" s="12" t="s">
        <v>12729</v>
      </c>
      <c r="L7376" s="20">
        <v>0.31761442441054089</v>
      </c>
    </row>
    <row r="7377" spans="1:12" x14ac:dyDescent="0.45">
      <c r="A7377" s="12" t="s">
        <v>12655</v>
      </c>
      <c r="B7377" s="12" t="s">
        <v>533</v>
      </c>
      <c r="C7377" s="13" t="s">
        <v>534</v>
      </c>
      <c r="D7377" s="13" t="s">
        <v>15</v>
      </c>
      <c r="E7377" s="12" t="s">
        <v>16</v>
      </c>
      <c r="F7377" s="14">
        <v>63000</v>
      </c>
      <c r="G7377" s="14">
        <v>48250</v>
      </c>
      <c r="H7377" s="13" t="s">
        <v>12730</v>
      </c>
      <c r="I7377" s="40" t="s">
        <v>18</v>
      </c>
      <c r="J7377" s="40" t="str">
        <f>HYPERLINK("https://stock.pstatic.net/stock-research/company/29/20251110_company_796666000.pdf","PDF")</f>
        <v>PDF</v>
      </c>
      <c r="K7377" s="12" t="s">
        <v>12731</v>
      </c>
      <c r="L7377" s="20">
        <v>0.30569948186528489</v>
      </c>
    </row>
    <row r="7378" spans="1:12" x14ac:dyDescent="0.45">
      <c r="A7378" s="12" t="s">
        <v>12655</v>
      </c>
      <c r="B7378" s="12" t="s">
        <v>756</v>
      </c>
      <c r="C7378" s="13" t="s">
        <v>757</v>
      </c>
      <c r="D7378" s="13" t="s">
        <v>179</v>
      </c>
      <c r="E7378" s="12" t="s">
        <v>16</v>
      </c>
      <c r="F7378" s="14">
        <v>90000</v>
      </c>
      <c r="G7378" s="14">
        <v>72100</v>
      </c>
      <c r="H7378" s="13" t="s">
        <v>12732</v>
      </c>
      <c r="I7378" s="40" t="s">
        <v>18</v>
      </c>
      <c r="J7378" s="40" t="str">
        <f>HYPERLINK("https://stock.pstatic.net/stock-research/company/64/20251110_company_734742000.pdf","PDF")</f>
        <v>PDF</v>
      </c>
      <c r="K7378" s="12" t="s">
        <v>12733</v>
      </c>
      <c r="L7378" s="20">
        <v>0.2482662968099861</v>
      </c>
    </row>
    <row r="7379" spans="1:12" x14ac:dyDescent="0.45">
      <c r="A7379" s="12" t="s">
        <v>12655</v>
      </c>
      <c r="B7379" s="12" t="s">
        <v>370</v>
      </c>
      <c r="C7379" s="13" t="s">
        <v>371</v>
      </c>
      <c r="D7379" s="13" t="s">
        <v>53</v>
      </c>
      <c r="E7379" s="12" t="s">
        <v>16</v>
      </c>
      <c r="F7379" s="14">
        <v>100000</v>
      </c>
      <c r="G7379" s="14">
        <v>72000</v>
      </c>
      <c r="H7379" s="13" t="s">
        <v>12734</v>
      </c>
      <c r="I7379" s="40" t="s">
        <v>18</v>
      </c>
      <c r="J7379" s="40" t="str">
        <f>HYPERLINK("https://stock.pstatic.net/stock-research/company/40/20251110_company_428467000.pdf","PDF")</f>
        <v>PDF</v>
      </c>
      <c r="K7379" s="12" t="s">
        <v>12735</v>
      </c>
      <c r="L7379" s="20">
        <v>0.3888888888888889</v>
      </c>
    </row>
    <row r="7380" spans="1:12" x14ac:dyDescent="0.45">
      <c r="A7380" s="12" t="s">
        <v>12655</v>
      </c>
      <c r="B7380" s="12" t="s">
        <v>1773</v>
      </c>
      <c r="C7380" s="13" t="s">
        <v>1774</v>
      </c>
      <c r="D7380" s="13" t="s">
        <v>23</v>
      </c>
      <c r="E7380" s="12" t="s">
        <v>16</v>
      </c>
      <c r="F7380" s="14">
        <v>120000</v>
      </c>
      <c r="G7380" s="14">
        <v>83400</v>
      </c>
      <c r="H7380" s="13" t="s">
        <v>12736</v>
      </c>
      <c r="I7380" s="40" t="s">
        <v>18</v>
      </c>
      <c r="J7380" s="40" t="str">
        <f>HYPERLINK("https://stock.pstatic.net/stock-research/company/21/20251110_company_13134000.pdf","PDF")</f>
        <v>PDF</v>
      </c>
      <c r="K7380" s="12" t="s">
        <v>12737</v>
      </c>
      <c r="L7380" s="20">
        <v>0.43884892086330929</v>
      </c>
    </row>
    <row r="7381" spans="1:12" x14ac:dyDescent="0.45">
      <c r="A7381" s="12" t="s">
        <v>12655</v>
      </c>
      <c r="B7381" s="12" t="s">
        <v>1270</v>
      </c>
      <c r="C7381" s="13" t="s">
        <v>1271</v>
      </c>
      <c r="D7381" s="13" t="s">
        <v>15</v>
      </c>
      <c r="E7381" s="12" t="s">
        <v>16</v>
      </c>
      <c r="F7381" s="14">
        <v>104000</v>
      </c>
      <c r="G7381" s="14">
        <v>73500</v>
      </c>
      <c r="H7381" s="13" t="s">
        <v>12738</v>
      </c>
      <c r="I7381" s="40" t="s">
        <v>18</v>
      </c>
      <c r="J7381" s="40" t="str">
        <f>HYPERLINK("https://stock.pstatic.net/stock-research/company/29/20251110_company_450509000.pdf","PDF")</f>
        <v>PDF</v>
      </c>
      <c r="K7381" s="12" t="s">
        <v>12739</v>
      </c>
      <c r="L7381" s="20">
        <v>0.41496598639455778</v>
      </c>
    </row>
    <row r="7382" spans="1:12" x14ac:dyDescent="0.45">
      <c r="A7382" s="12" t="s">
        <v>12655</v>
      </c>
      <c r="B7382" s="12" t="s">
        <v>856</v>
      </c>
      <c r="C7382" s="13" t="s">
        <v>857</v>
      </c>
      <c r="D7382" s="13" t="s">
        <v>92</v>
      </c>
      <c r="E7382" s="12" t="s">
        <v>35</v>
      </c>
      <c r="F7382" s="14">
        <v>210000</v>
      </c>
      <c r="G7382" s="14">
        <v>139700</v>
      </c>
      <c r="H7382" s="13" t="s">
        <v>12740</v>
      </c>
      <c r="I7382" s="40" t="s">
        <v>18</v>
      </c>
      <c r="J7382" s="40" t="str">
        <f>HYPERLINK("https://stock.pstatic.net/stock-research/company/63/20251110_company_129746000.pdf","PDF")</f>
        <v>PDF</v>
      </c>
      <c r="K7382" s="12" t="s">
        <v>12741</v>
      </c>
      <c r="L7382" s="20">
        <v>0.50322118826055839</v>
      </c>
    </row>
    <row r="7383" spans="1:12" x14ac:dyDescent="0.45">
      <c r="A7383" s="12" t="s">
        <v>12655</v>
      </c>
      <c r="B7383" s="12" t="s">
        <v>916</v>
      </c>
      <c r="C7383" s="13" t="s">
        <v>917</v>
      </c>
      <c r="D7383" s="13" t="s">
        <v>92</v>
      </c>
      <c r="E7383" s="12" t="s">
        <v>35</v>
      </c>
      <c r="F7383" s="14">
        <v>74000</v>
      </c>
      <c r="G7383" s="14">
        <v>62800</v>
      </c>
      <c r="H7383" s="13" t="s">
        <v>12742</v>
      </c>
      <c r="I7383" s="40" t="s">
        <v>18</v>
      </c>
      <c r="J7383" s="40" t="str">
        <f>HYPERLINK("https://stock.pstatic.net/stock-research/company/63/20251110_company_491750000.pdf","PDF")</f>
        <v>PDF</v>
      </c>
      <c r="K7383" s="12" t="s">
        <v>12743</v>
      </c>
      <c r="L7383" s="20">
        <v>0.178343949044586</v>
      </c>
    </row>
    <row r="7384" spans="1:12" x14ac:dyDescent="0.45">
      <c r="A7384" s="12" t="s">
        <v>12655</v>
      </c>
      <c r="B7384" s="12" t="s">
        <v>1670</v>
      </c>
      <c r="C7384" s="13" t="s">
        <v>1671</v>
      </c>
      <c r="D7384" s="13" t="s">
        <v>15</v>
      </c>
      <c r="E7384" s="12" t="s">
        <v>385</v>
      </c>
      <c r="F7384" s="14">
        <v>117000</v>
      </c>
      <c r="G7384" s="14">
        <v>111700</v>
      </c>
      <c r="H7384" s="13" t="s">
        <v>12744</v>
      </c>
      <c r="I7384" s="40" t="s">
        <v>18</v>
      </c>
      <c r="J7384" s="40" t="str">
        <f>HYPERLINK("https://stock.pstatic.net/stock-research/company/29/20251110_company_154387000.pdf","PDF")</f>
        <v>PDF</v>
      </c>
      <c r="K7384" s="12" t="s">
        <v>12745</v>
      </c>
      <c r="L7384" s="20">
        <v>4.7448522829006273E-2</v>
      </c>
    </row>
    <row r="7385" spans="1:12" x14ac:dyDescent="0.45">
      <c r="A7385" s="12" t="s">
        <v>12655</v>
      </c>
      <c r="B7385" s="12" t="s">
        <v>545</v>
      </c>
      <c r="C7385" s="13" t="s">
        <v>546</v>
      </c>
      <c r="D7385" s="13" t="s">
        <v>179</v>
      </c>
      <c r="E7385" s="12" t="s">
        <v>16</v>
      </c>
      <c r="F7385" s="14">
        <v>350000</v>
      </c>
      <c r="G7385" s="14">
        <v>259000</v>
      </c>
      <c r="H7385" s="13" t="s">
        <v>12746</v>
      </c>
      <c r="I7385" s="40" t="s">
        <v>18</v>
      </c>
      <c r="J7385" s="40" t="str">
        <f>HYPERLINK("https://stock.pstatic.net/stock-research/company/64/20251110_company_616590000.pdf","PDF")</f>
        <v>PDF</v>
      </c>
      <c r="K7385" s="12" t="s">
        <v>12747</v>
      </c>
      <c r="L7385" s="20">
        <v>0.35135135135135143</v>
      </c>
    </row>
    <row r="7386" spans="1:12" x14ac:dyDescent="0.45">
      <c r="A7386" s="12" t="s">
        <v>12655</v>
      </c>
      <c r="B7386" s="12" t="s">
        <v>489</v>
      </c>
      <c r="C7386" s="13" t="s">
        <v>490</v>
      </c>
      <c r="D7386" s="13" t="s">
        <v>92</v>
      </c>
      <c r="E7386" s="12" t="s">
        <v>35</v>
      </c>
      <c r="F7386" s="14">
        <v>73000</v>
      </c>
      <c r="G7386" s="14">
        <v>52300</v>
      </c>
      <c r="H7386" s="13" t="s">
        <v>12748</v>
      </c>
      <c r="I7386" s="40" t="s">
        <v>18</v>
      </c>
      <c r="J7386" s="40" t="str">
        <f>HYPERLINK("https://stock.pstatic.net/stock-research/company/63/20251110_company_648662000.pdf","PDF")</f>
        <v>PDF</v>
      </c>
      <c r="K7386" s="12" t="s">
        <v>12749</v>
      </c>
      <c r="L7386" s="20">
        <v>0.39579349904397698</v>
      </c>
    </row>
    <row r="7387" spans="1:12" x14ac:dyDescent="0.45">
      <c r="A7387" s="12" t="s">
        <v>12655</v>
      </c>
      <c r="B7387" s="12" t="s">
        <v>2231</v>
      </c>
      <c r="C7387" s="13" t="s">
        <v>2232</v>
      </c>
      <c r="D7387" s="13" t="s">
        <v>23</v>
      </c>
      <c r="E7387" s="12" t="s">
        <v>16</v>
      </c>
      <c r="F7387" s="14">
        <v>130000</v>
      </c>
      <c r="G7387" s="14">
        <v>89200</v>
      </c>
      <c r="H7387" s="13" t="s">
        <v>12750</v>
      </c>
      <c r="I7387" s="40" t="s">
        <v>18</v>
      </c>
      <c r="J7387" s="40" t="str">
        <f>HYPERLINK("https://stock.pstatic.net/stock-research/company/21/20251110_company_21004000.pdf","PDF")</f>
        <v>PDF</v>
      </c>
      <c r="K7387" s="12" t="s">
        <v>12751</v>
      </c>
      <c r="L7387" s="20">
        <v>0.45739910313901339</v>
      </c>
    </row>
    <row r="7388" spans="1:12" x14ac:dyDescent="0.45">
      <c r="A7388" s="12" t="s">
        <v>12655</v>
      </c>
      <c r="B7388" s="12" t="s">
        <v>1656</v>
      </c>
      <c r="C7388" s="13" t="s">
        <v>1657</v>
      </c>
      <c r="D7388" s="13" t="s">
        <v>23</v>
      </c>
      <c r="E7388" s="12" t="s">
        <v>16</v>
      </c>
      <c r="F7388" s="14">
        <v>240000</v>
      </c>
      <c r="G7388" s="14">
        <v>192000</v>
      </c>
      <c r="H7388" s="13" t="s">
        <v>12752</v>
      </c>
      <c r="I7388" s="40" t="s">
        <v>18</v>
      </c>
      <c r="J7388" s="40" t="str">
        <f>HYPERLINK("https://stock.pstatic.net/stock-research/company/21/20251110_company_664726000.pdf","PDF")</f>
        <v>PDF</v>
      </c>
      <c r="K7388" s="12" t="s">
        <v>12753</v>
      </c>
      <c r="L7388" s="20">
        <v>0.25</v>
      </c>
    </row>
    <row r="7389" spans="1:12" x14ac:dyDescent="0.45">
      <c r="A7389" s="12" t="s">
        <v>12655</v>
      </c>
      <c r="B7389" s="12" t="s">
        <v>1047</v>
      </c>
      <c r="C7389" s="13" t="s">
        <v>1048</v>
      </c>
      <c r="D7389" s="13" t="s">
        <v>179</v>
      </c>
      <c r="E7389" s="12" t="s">
        <v>16</v>
      </c>
      <c r="F7389" s="14">
        <v>12000</v>
      </c>
      <c r="G7389" s="14">
        <v>9720</v>
      </c>
      <c r="H7389" s="13" t="s">
        <v>12754</v>
      </c>
      <c r="I7389" s="40" t="s">
        <v>18</v>
      </c>
      <c r="J7389" s="40" t="str">
        <f>HYPERLINK("https://stock.pstatic.net/stock-research/company/64/20251110_company_240008000.pdf","PDF")</f>
        <v>PDF</v>
      </c>
      <c r="K7389" s="12" t="s">
        <v>12755</v>
      </c>
      <c r="L7389" s="20">
        <v>0.23456790123456789</v>
      </c>
    </row>
    <row r="7390" spans="1:12" x14ac:dyDescent="0.45">
      <c r="A7390" s="12" t="s">
        <v>12655</v>
      </c>
      <c r="B7390" s="12" t="s">
        <v>1652</v>
      </c>
      <c r="C7390" s="13" t="s">
        <v>1653</v>
      </c>
      <c r="D7390" s="13" t="s">
        <v>15</v>
      </c>
      <c r="E7390" s="12" t="s">
        <v>16</v>
      </c>
      <c r="F7390" s="14">
        <v>52000</v>
      </c>
      <c r="G7390" s="14">
        <v>42500</v>
      </c>
      <c r="H7390" s="13" t="s">
        <v>12756</v>
      </c>
      <c r="I7390" s="40" t="s">
        <v>18</v>
      </c>
      <c r="J7390" s="40" t="str">
        <f>HYPERLINK("https://stock.pstatic.net/stock-research/company/29/20251110_company_968540000.pdf","PDF")</f>
        <v>PDF</v>
      </c>
      <c r="K7390" s="12" t="s">
        <v>12757</v>
      </c>
      <c r="L7390" s="20">
        <v>0.22352941176470589</v>
      </c>
    </row>
    <row r="7391" spans="1:12" x14ac:dyDescent="0.45">
      <c r="A7391" s="12" t="s">
        <v>12655</v>
      </c>
      <c r="B7391" s="12" t="s">
        <v>1781</v>
      </c>
      <c r="C7391" s="13" t="s">
        <v>1782</v>
      </c>
      <c r="D7391" s="13" t="s">
        <v>179</v>
      </c>
      <c r="E7391" s="12" t="s">
        <v>16</v>
      </c>
      <c r="F7391" s="14">
        <v>115000</v>
      </c>
      <c r="G7391" s="14">
        <v>88300</v>
      </c>
      <c r="H7391" s="13" t="s">
        <v>12758</v>
      </c>
      <c r="I7391" s="40" t="s">
        <v>18</v>
      </c>
      <c r="J7391" s="40" t="str">
        <f>HYPERLINK("https://stock.pstatic.net/stock-research/company/64/20251110_company_881700000.pdf","PDF")</f>
        <v>PDF</v>
      </c>
      <c r="K7391" s="12" t="s">
        <v>12759</v>
      </c>
      <c r="L7391" s="20">
        <v>0.30237825594563988</v>
      </c>
    </row>
    <row r="7392" spans="1:12" x14ac:dyDescent="0.45">
      <c r="A7392" s="12" t="s">
        <v>12655</v>
      </c>
      <c r="B7392" s="12" t="s">
        <v>489</v>
      </c>
      <c r="C7392" s="13" t="s">
        <v>490</v>
      </c>
      <c r="D7392" s="13" t="s">
        <v>23</v>
      </c>
      <c r="E7392" s="12" t="s">
        <v>16</v>
      </c>
      <c r="F7392" s="14">
        <v>64000</v>
      </c>
      <c r="G7392" s="14">
        <v>52300</v>
      </c>
      <c r="H7392" s="13" t="s">
        <v>12760</v>
      </c>
      <c r="I7392" s="40" t="s">
        <v>18</v>
      </c>
      <c r="J7392" s="40" t="str">
        <f>HYPERLINK("https://stock.pstatic.net/stock-research/company/21/20251110_company_474011000.pdf","PDF")</f>
        <v>PDF</v>
      </c>
      <c r="K7392" s="12" t="s">
        <v>12761</v>
      </c>
      <c r="L7392" s="20">
        <v>0.22370936902485661</v>
      </c>
    </row>
    <row r="7393" spans="1:12" x14ac:dyDescent="0.45">
      <c r="A7393" s="12" t="s">
        <v>12655</v>
      </c>
      <c r="B7393" s="12" t="s">
        <v>756</v>
      </c>
      <c r="C7393" s="13" t="s">
        <v>757</v>
      </c>
      <c r="D7393" s="13" t="s">
        <v>23</v>
      </c>
      <c r="E7393" s="12" t="s">
        <v>16</v>
      </c>
      <c r="F7393" s="14">
        <v>95000</v>
      </c>
      <c r="G7393" s="14">
        <v>72100</v>
      </c>
      <c r="H7393" s="13" t="s">
        <v>12762</v>
      </c>
      <c r="I7393" s="40" t="s">
        <v>18</v>
      </c>
      <c r="J7393" s="40" t="str">
        <f>HYPERLINK("https://stock.pstatic.net/stock-research/company/21/20251110_company_23741000.pdf","PDF")</f>
        <v>PDF</v>
      </c>
      <c r="K7393" s="12" t="s">
        <v>12763</v>
      </c>
      <c r="L7393" s="20">
        <v>0.31761442441054089</v>
      </c>
    </row>
    <row r="7394" spans="1:12" x14ac:dyDescent="0.45">
      <c r="A7394" s="12" t="s">
        <v>12655</v>
      </c>
      <c r="B7394" s="12" t="s">
        <v>1144</v>
      </c>
      <c r="C7394" s="13" t="s">
        <v>1145</v>
      </c>
      <c r="D7394" s="13" t="s">
        <v>92</v>
      </c>
      <c r="E7394" s="12" t="s">
        <v>35</v>
      </c>
      <c r="F7394" s="14">
        <v>100000</v>
      </c>
      <c r="G7394" s="14">
        <v>91400</v>
      </c>
      <c r="H7394" s="13" t="s">
        <v>12764</v>
      </c>
      <c r="I7394" s="40" t="s">
        <v>18</v>
      </c>
      <c r="J7394" s="40" t="str">
        <f>HYPERLINK("https://stock.pstatic.net/stock-research/company/63/20251110_company_951059000.pdf","PDF")</f>
        <v>PDF</v>
      </c>
      <c r="K7394" s="12" t="s">
        <v>12765</v>
      </c>
      <c r="L7394" s="20">
        <v>9.4091903719912467E-2</v>
      </c>
    </row>
    <row r="7395" spans="1:12" x14ac:dyDescent="0.45">
      <c r="A7395" s="12" t="s">
        <v>12655</v>
      </c>
      <c r="B7395" s="12" t="s">
        <v>110</v>
      </c>
      <c r="C7395" s="13" t="s">
        <v>111</v>
      </c>
      <c r="D7395" s="13" t="s">
        <v>23</v>
      </c>
      <c r="E7395" s="12" t="s">
        <v>16</v>
      </c>
      <c r="F7395" s="14">
        <v>73000</v>
      </c>
      <c r="G7395" s="14">
        <v>61900</v>
      </c>
      <c r="H7395" s="13" t="s">
        <v>12766</v>
      </c>
      <c r="I7395" s="40" t="s">
        <v>18</v>
      </c>
      <c r="J7395" s="40" t="str">
        <f>HYPERLINK("https://stock.pstatic.net/stock-research/company/21/20251110_company_241151000.pdf","PDF")</f>
        <v>PDF</v>
      </c>
      <c r="K7395" s="12" t="s">
        <v>12767</v>
      </c>
      <c r="L7395" s="20">
        <v>0.17932148626817451</v>
      </c>
    </row>
    <row r="7396" spans="1:12" x14ac:dyDescent="0.45">
      <c r="A7396" s="12" t="s">
        <v>12655</v>
      </c>
      <c r="B7396" s="12" t="s">
        <v>27</v>
      </c>
      <c r="C7396" s="13" t="s">
        <v>28</v>
      </c>
      <c r="D7396" s="13" t="s">
        <v>23</v>
      </c>
      <c r="E7396" s="12" t="s">
        <v>16</v>
      </c>
      <c r="F7396" s="14">
        <v>90000</v>
      </c>
      <c r="G7396" s="14">
        <v>66500</v>
      </c>
      <c r="H7396" s="13" t="s">
        <v>12768</v>
      </c>
      <c r="I7396" s="40" t="s">
        <v>18</v>
      </c>
      <c r="J7396" s="40" t="str">
        <f>HYPERLINK("https://stock.pstatic.net/stock-research/company/21/20251110_company_749379000.pdf","PDF")</f>
        <v>PDF</v>
      </c>
      <c r="K7396" s="12" t="s">
        <v>12769</v>
      </c>
      <c r="L7396" s="20">
        <v>0.35338345864661652</v>
      </c>
    </row>
    <row r="7397" spans="1:12" x14ac:dyDescent="0.45">
      <c r="A7397" s="12" t="s">
        <v>12655</v>
      </c>
      <c r="B7397" s="12" t="s">
        <v>2217</v>
      </c>
      <c r="C7397" s="13" t="s">
        <v>2218</v>
      </c>
      <c r="D7397" s="13" t="s">
        <v>92</v>
      </c>
      <c r="E7397" s="12" t="s">
        <v>35</v>
      </c>
      <c r="F7397" s="14">
        <v>128000</v>
      </c>
      <c r="G7397" s="14">
        <v>108600</v>
      </c>
      <c r="H7397" s="13" t="s">
        <v>12770</v>
      </c>
      <c r="I7397" s="40" t="s">
        <v>18</v>
      </c>
      <c r="J7397" s="40" t="str">
        <f>HYPERLINK("https://stock.pstatic.net/stock-research/company/63/20251110_company_38155000.pdf","PDF")</f>
        <v>PDF</v>
      </c>
      <c r="K7397" s="12" t="s">
        <v>12771</v>
      </c>
      <c r="L7397" s="20">
        <v>0.17863720073664821</v>
      </c>
    </row>
    <row r="7398" spans="1:12" x14ac:dyDescent="0.45">
      <c r="A7398" s="12" t="s">
        <v>12655</v>
      </c>
      <c r="B7398" s="12" t="s">
        <v>1670</v>
      </c>
      <c r="C7398" s="13" t="s">
        <v>1671</v>
      </c>
      <c r="D7398" s="13" t="s">
        <v>23</v>
      </c>
      <c r="E7398" s="12" t="s">
        <v>16</v>
      </c>
      <c r="F7398" s="14">
        <v>160000</v>
      </c>
      <c r="G7398" s="14">
        <v>111700</v>
      </c>
      <c r="H7398" s="13" t="s">
        <v>12772</v>
      </c>
      <c r="I7398" s="40" t="s">
        <v>18</v>
      </c>
      <c r="J7398" s="40" t="str">
        <f>HYPERLINK("https://stock.pstatic.net/stock-research/company/21/20251110_company_474328000.pdf","PDF")</f>
        <v>PDF</v>
      </c>
      <c r="K7398" s="12" t="s">
        <v>12773</v>
      </c>
      <c r="L7398" s="20">
        <v>0.43240823634735898</v>
      </c>
    </row>
    <row r="7399" spans="1:12" x14ac:dyDescent="0.45">
      <c r="A7399" s="12" t="s">
        <v>12655</v>
      </c>
      <c r="B7399" s="12" t="s">
        <v>370</v>
      </c>
      <c r="C7399" s="13" t="s">
        <v>371</v>
      </c>
      <c r="D7399" s="13" t="s">
        <v>44</v>
      </c>
      <c r="E7399" s="12" t="s">
        <v>35</v>
      </c>
      <c r="F7399" s="14">
        <v>105000</v>
      </c>
      <c r="G7399" s="14">
        <v>72000</v>
      </c>
      <c r="H7399" s="13" t="s">
        <v>12774</v>
      </c>
      <c r="I7399" s="40" t="s">
        <v>18</v>
      </c>
      <c r="J7399" s="40" t="str">
        <f>HYPERLINK("https://stock.pstatic.net/stock-research/company/39/20251110_company_778898000.pdf","PDF")</f>
        <v>PDF</v>
      </c>
      <c r="K7399" s="12" t="s">
        <v>12775</v>
      </c>
      <c r="L7399" s="20">
        <v>0.45833333333333331</v>
      </c>
    </row>
    <row r="7400" spans="1:12" x14ac:dyDescent="0.45">
      <c r="A7400" s="12" t="s">
        <v>12655</v>
      </c>
      <c r="B7400" s="12" t="s">
        <v>2346</v>
      </c>
      <c r="C7400" s="13" t="s">
        <v>2347</v>
      </c>
      <c r="D7400" s="13" t="s">
        <v>179</v>
      </c>
      <c r="E7400" s="12" t="s">
        <v>16</v>
      </c>
      <c r="F7400" s="14">
        <v>90000</v>
      </c>
      <c r="G7400" s="14">
        <v>66500</v>
      </c>
      <c r="H7400" s="13" t="s">
        <v>6533</v>
      </c>
      <c r="I7400" s="40" t="s">
        <v>18</v>
      </c>
      <c r="J7400" s="40" t="str">
        <f>HYPERLINK("https://stock.pstatic.net/stock-research/company/64/20251110_company_467608000.pdf","PDF")</f>
        <v>PDF</v>
      </c>
      <c r="K7400" s="12" t="s">
        <v>12776</v>
      </c>
      <c r="L7400" s="20">
        <v>0.35338345864661652</v>
      </c>
    </row>
    <row r="7401" spans="1:12" x14ac:dyDescent="0.45">
      <c r="A7401" s="12" t="s">
        <v>12655</v>
      </c>
      <c r="B7401" s="12" t="s">
        <v>2576</v>
      </c>
      <c r="C7401" s="13" t="s">
        <v>2577</v>
      </c>
      <c r="D7401" s="13" t="s">
        <v>23</v>
      </c>
      <c r="E7401" s="12" t="s">
        <v>50</v>
      </c>
      <c r="F7401" s="14">
        <v>925000</v>
      </c>
      <c r="G7401" s="14">
        <v>1024000</v>
      </c>
      <c r="H7401" s="13" t="s">
        <v>12777</v>
      </c>
      <c r="I7401" s="40" t="s">
        <v>18</v>
      </c>
      <c r="J7401" s="40" t="str">
        <f>HYPERLINK("https://stock.pstatic.net/stock-research/company/21/20251110_company_533013000.pdf","PDF")</f>
        <v>PDF</v>
      </c>
      <c r="K7401" s="12" t="s">
        <v>12778</v>
      </c>
      <c r="L7401" s="20">
        <v>-9.66796875E-2</v>
      </c>
    </row>
    <row r="7402" spans="1:12" x14ac:dyDescent="0.45">
      <c r="A7402" s="12" t="s">
        <v>12655</v>
      </c>
      <c r="B7402" s="12" t="s">
        <v>533</v>
      </c>
      <c r="C7402" s="13" t="s">
        <v>534</v>
      </c>
      <c r="D7402" s="13" t="s">
        <v>23</v>
      </c>
      <c r="E7402" s="12" t="s">
        <v>16</v>
      </c>
      <c r="F7402" s="14">
        <v>65000</v>
      </c>
      <c r="G7402" s="14">
        <v>48250</v>
      </c>
      <c r="H7402" s="13" t="s">
        <v>12779</v>
      </c>
      <c r="I7402" s="40" t="s">
        <v>18</v>
      </c>
      <c r="J7402" s="40" t="str">
        <f>HYPERLINK("https://stock.pstatic.net/stock-research/company/21/20251110_company_747683000.pdf","PDF")</f>
        <v>PDF</v>
      </c>
      <c r="K7402" s="12" t="s">
        <v>12780</v>
      </c>
      <c r="L7402" s="20">
        <v>0.34715025906735753</v>
      </c>
    </row>
    <row r="7403" spans="1:12" x14ac:dyDescent="0.45">
      <c r="A7403" s="12" t="s">
        <v>12655</v>
      </c>
      <c r="B7403" s="12" t="s">
        <v>10408</v>
      </c>
      <c r="C7403" s="13" t="s">
        <v>10409</v>
      </c>
      <c r="D7403" s="13" t="s">
        <v>179</v>
      </c>
      <c r="E7403" s="12" t="s">
        <v>16</v>
      </c>
      <c r="F7403" s="14">
        <v>44000</v>
      </c>
      <c r="G7403" s="14">
        <v>29250</v>
      </c>
      <c r="H7403" s="13" t="s">
        <v>12781</v>
      </c>
      <c r="I7403" s="40" t="s">
        <v>18</v>
      </c>
      <c r="J7403" s="40" t="str">
        <f>HYPERLINK("https://stock.pstatic.net/stock-research/company/64/20251110_company_343953000.pdf","PDF")</f>
        <v>PDF</v>
      </c>
      <c r="K7403" s="12" t="s">
        <v>12782</v>
      </c>
      <c r="L7403" s="20">
        <v>0.50427350427350426</v>
      </c>
    </row>
    <row r="7404" spans="1:12" x14ac:dyDescent="0.45">
      <c r="A7404" s="12" t="s">
        <v>12655</v>
      </c>
      <c r="B7404" s="12" t="s">
        <v>4291</v>
      </c>
      <c r="C7404" s="13" t="s">
        <v>4292</v>
      </c>
      <c r="D7404" s="13" t="s">
        <v>179</v>
      </c>
      <c r="E7404" s="12" t="s">
        <v>16</v>
      </c>
      <c r="F7404" s="14">
        <v>15000</v>
      </c>
      <c r="G7404" s="14">
        <v>9780</v>
      </c>
      <c r="H7404" s="13" t="s">
        <v>12783</v>
      </c>
      <c r="I7404" s="40" t="s">
        <v>18</v>
      </c>
      <c r="J7404" s="40" t="str">
        <f>HYPERLINK("https://stock.pstatic.net/stock-research/company/64/20251110_company_221845000.pdf","PDF")</f>
        <v>PDF</v>
      </c>
      <c r="K7404" s="12" t="s">
        <v>12784</v>
      </c>
      <c r="L7404" s="20">
        <v>0.53374233128834359</v>
      </c>
    </row>
    <row r="7405" spans="1:12" x14ac:dyDescent="0.45">
      <c r="A7405" s="12" t="s">
        <v>12655</v>
      </c>
      <c r="B7405" s="12" t="s">
        <v>1652</v>
      </c>
      <c r="C7405" s="13" t="s">
        <v>1653</v>
      </c>
      <c r="D7405" s="13" t="s">
        <v>92</v>
      </c>
      <c r="E7405" s="12" t="s">
        <v>35</v>
      </c>
      <c r="F7405" s="14">
        <v>70000</v>
      </c>
      <c r="G7405" s="14">
        <v>42500</v>
      </c>
      <c r="H7405" s="13" t="s">
        <v>12785</v>
      </c>
      <c r="I7405" s="40" t="s">
        <v>18</v>
      </c>
      <c r="J7405" s="40" t="str">
        <f>HYPERLINK("https://stock.pstatic.net/stock-research/company/63/20251110_company_312845000.pdf","PDF")</f>
        <v>PDF</v>
      </c>
      <c r="K7405" s="12" t="s">
        <v>12786</v>
      </c>
      <c r="L7405" s="20">
        <v>0.6470588235294118</v>
      </c>
    </row>
    <row r="7406" spans="1:12" x14ac:dyDescent="0.45">
      <c r="A7406" s="12" t="s">
        <v>12655</v>
      </c>
      <c r="B7406" s="12" t="s">
        <v>1459</v>
      </c>
      <c r="C7406" s="13" t="s">
        <v>1460</v>
      </c>
      <c r="D7406" s="13" t="s">
        <v>179</v>
      </c>
      <c r="E7406" s="12" t="s">
        <v>16</v>
      </c>
      <c r="F7406" s="14">
        <v>330000</v>
      </c>
      <c r="G7406" s="14">
        <v>260500</v>
      </c>
      <c r="H7406" s="13" t="s">
        <v>12787</v>
      </c>
      <c r="I7406" s="40" t="s">
        <v>18</v>
      </c>
      <c r="J7406" s="40" t="str">
        <f>HYPERLINK("https://stock.pstatic.net/stock-research/company/64/20251110_company_386942000.pdf","PDF")</f>
        <v>PDF</v>
      </c>
      <c r="K7406" s="12" t="s">
        <v>12788</v>
      </c>
      <c r="L7406" s="20">
        <v>0.2667946257197697</v>
      </c>
    </row>
    <row r="7407" spans="1:12" x14ac:dyDescent="0.45">
      <c r="A7407" s="12" t="s">
        <v>12655</v>
      </c>
      <c r="B7407" s="12" t="s">
        <v>3079</v>
      </c>
      <c r="C7407" s="13" t="s">
        <v>3080</v>
      </c>
      <c r="D7407" s="13" t="s">
        <v>23</v>
      </c>
      <c r="E7407" s="12" t="s">
        <v>16</v>
      </c>
      <c r="F7407" s="14">
        <v>38000</v>
      </c>
      <c r="G7407" s="14">
        <v>26200</v>
      </c>
      <c r="H7407" s="13" t="s">
        <v>12789</v>
      </c>
      <c r="I7407" s="40" t="s">
        <v>18</v>
      </c>
      <c r="J7407" s="40" t="str">
        <f>HYPERLINK("https://stock.pstatic.net/stock-research/company/21/20251110_company_43617000.pdf","PDF")</f>
        <v>PDF</v>
      </c>
      <c r="K7407" s="12" t="s">
        <v>12790</v>
      </c>
      <c r="L7407" s="20">
        <v>0.45038167938931289</v>
      </c>
    </row>
    <row r="7408" spans="1:12" x14ac:dyDescent="0.45">
      <c r="A7408" s="12" t="s">
        <v>12655</v>
      </c>
      <c r="B7408" s="12" t="s">
        <v>1051</v>
      </c>
      <c r="C7408" s="13" t="s">
        <v>1052</v>
      </c>
      <c r="D7408" s="13" t="s">
        <v>23</v>
      </c>
      <c r="E7408" s="12" t="s">
        <v>16</v>
      </c>
      <c r="F7408" s="14">
        <v>67000</v>
      </c>
      <c r="G7408" s="14">
        <v>49350</v>
      </c>
      <c r="H7408" s="13" t="s">
        <v>12791</v>
      </c>
      <c r="I7408" s="40" t="s">
        <v>18</v>
      </c>
      <c r="J7408" s="40" t="str">
        <f>HYPERLINK("https://stock.pstatic.net/stock-research/company/21/20251110_company_308502000.pdf","PDF")</f>
        <v>PDF</v>
      </c>
      <c r="K7408" s="12" t="s">
        <v>12792</v>
      </c>
      <c r="L7408" s="20">
        <v>0.35764944275582572</v>
      </c>
    </row>
    <row r="7409" spans="1:12" x14ac:dyDescent="0.45">
      <c r="A7409" s="12" t="s">
        <v>12655</v>
      </c>
      <c r="B7409" s="12" t="s">
        <v>740</v>
      </c>
      <c r="C7409" s="13" t="s">
        <v>741</v>
      </c>
      <c r="D7409" s="13" t="s">
        <v>34</v>
      </c>
      <c r="E7409" s="12" t="s">
        <v>35</v>
      </c>
      <c r="F7409" s="14">
        <v>320000</v>
      </c>
      <c r="G7409" s="14">
        <v>253500</v>
      </c>
      <c r="H7409" s="13" t="s">
        <v>12793</v>
      </c>
      <c r="I7409" s="40" t="s">
        <v>18</v>
      </c>
      <c r="J7409" s="40" t="str">
        <f>HYPERLINK("https://stock.pstatic.net/stock-research/company/61/20251110_company_633263000.pdf","PDF")</f>
        <v>PDF</v>
      </c>
      <c r="K7409" s="12" t="s">
        <v>12794</v>
      </c>
      <c r="L7409" s="20">
        <v>0.26232741617357003</v>
      </c>
    </row>
    <row r="7410" spans="1:12" x14ac:dyDescent="0.45">
      <c r="A7410" s="12" t="s">
        <v>12655</v>
      </c>
      <c r="B7410" s="12" t="s">
        <v>370</v>
      </c>
      <c r="C7410" s="13" t="s">
        <v>371</v>
      </c>
      <c r="D7410" s="13" t="s">
        <v>34</v>
      </c>
      <c r="E7410" s="12" t="s">
        <v>35</v>
      </c>
      <c r="F7410" s="14">
        <v>120000</v>
      </c>
      <c r="G7410" s="14">
        <v>72000</v>
      </c>
      <c r="H7410" s="13" t="s">
        <v>12795</v>
      </c>
      <c r="I7410" s="40" t="s">
        <v>18</v>
      </c>
      <c r="J7410" s="40" t="str">
        <f>HYPERLINK("https://stock.pstatic.net/stock-research/company/61/20251110_company_494246000.pdf","PDF")</f>
        <v>PDF</v>
      </c>
      <c r="K7410" s="12" t="s">
        <v>12796</v>
      </c>
      <c r="L7410" s="20">
        <v>0.66666666666666663</v>
      </c>
    </row>
    <row r="7411" spans="1:12" x14ac:dyDescent="0.45">
      <c r="A7411" s="12" t="s">
        <v>12655</v>
      </c>
      <c r="B7411" s="12" t="s">
        <v>1530</v>
      </c>
      <c r="C7411" s="13" t="s">
        <v>1531</v>
      </c>
      <c r="D7411" s="13" t="s">
        <v>44</v>
      </c>
      <c r="E7411" s="12" t="s">
        <v>45</v>
      </c>
      <c r="F7411" s="14">
        <v>33000</v>
      </c>
      <c r="G7411" s="14">
        <v>29150</v>
      </c>
      <c r="H7411" s="13" t="s">
        <v>12797</v>
      </c>
      <c r="I7411" s="40" t="s">
        <v>18</v>
      </c>
      <c r="J7411" s="40" t="str">
        <f>HYPERLINK("https://stock.pstatic.net/stock-research/company/39/20251110_company_714590000.pdf","PDF")</f>
        <v>PDF</v>
      </c>
      <c r="K7411" s="12" t="s">
        <v>12798</v>
      </c>
      <c r="L7411" s="20">
        <v>0.13207547169811321</v>
      </c>
    </row>
    <row r="7412" spans="1:12" x14ac:dyDescent="0.45">
      <c r="A7412" s="12" t="s">
        <v>12655</v>
      </c>
      <c r="B7412" s="12" t="s">
        <v>370</v>
      </c>
      <c r="C7412" s="13" t="s">
        <v>371</v>
      </c>
      <c r="D7412" s="13" t="s">
        <v>92</v>
      </c>
      <c r="E7412" s="12" t="s">
        <v>35</v>
      </c>
      <c r="F7412" s="14">
        <v>110000</v>
      </c>
      <c r="G7412" s="14">
        <v>72000</v>
      </c>
      <c r="H7412" s="13" t="s">
        <v>12799</v>
      </c>
      <c r="I7412" s="40" t="s">
        <v>18</v>
      </c>
      <c r="J7412" s="40" t="str">
        <f>HYPERLINK("https://stock.pstatic.net/stock-research/company/63/20251110_company_281749000.pdf","PDF")</f>
        <v>PDF</v>
      </c>
      <c r="K7412" s="12" t="s">
        <v>12800</v>
      </c>
      <c r="L7412" s="20">
        <v>0.52777777777777779</v>
      </c>
    </row>
    <row r="7413" spans="1:12" x14ac:dyDescent="0.45">
      <c r="A7413" s="12" t="s">
        <v>12655</v>
      </c>
      <c r="B7413" s="12" t="s">
        <v>1773</v>
      </c>
      <c r="C7413" s="13" t="s">
        <v>1774</v>
      </c>
      <c r="D7413" s="13" t="s">
        <v>34</v>
      </c>
      <c r="E7413" s="12" t="s">
        <v>35</v>
      </c>
      <c r="F7413" s="14">
        <v>120000</v>
      </c>
      <c r="G7413" s="14">
        <v>83400</v>
      </c>
      <c r="H7413" s="13" t="s">
        <v>12801</v>
      </c>
      <c r="I7413" s="40" t="s">
        <v>18</v>
      </c>
      <c r="J7413" s="40" t="str">
        <f>HYPERLINK("https://stock.pstatic.net/stock-research/company/61/20251110_company_829102000.pdf","PDF")</f>
        <v>PDF</v>
      </c>
      <c r="K7413" s="12" t="s">
        <v>12802</v>
      </c>
      <c r="L7413" s="20">
        <v>0.43884892086330929</v>
      </c>
    </row>
    <row r="7414" spans="1:12" x14ac:dyDescent="0.45">
      <c r="A7414" s="12" t="s">
        <v>12655</v>
      </c>
      <c r="B7414" s="12" t="s">
        <v>3123</v>
      </c>
      <c r="C7414" s="13" t="s">
        <v>3124</v>
      </c>
      <c r="D7414" s="13" t="s">
        <v>34</v>
      </c>
      <c r="E7414" s="12" t="s">
        <v>35</v>
      </c>
      <c r="F7414" s="14">
        <v>56000</v>
      </c>
      <c r="G7414" s="14">
        <v>43650</v>
      </c>
      <c r="H7414" s="13" t="s">
        <v>12803</v>
      </c>
      <c r="I7414" s="40" t="s">
        <v>18</v>
      </c>
      <c r="J7414" s="40" t="str">
        <f>HYPERLINK("https://stock.pstatic.net/stock-research/company/61/20251110_company_410953000.pdf","PDF")</f>
        <v>PDF</v>
      </c>
      <c r="K7414" s="12" t="s">
        <v>12804</v>
      </c>
      <c r="L7414" s="20">
        <v>0.2829324169530355</v>
      </c>
    </row>
    <row r="7415" spans="1:12" x14ac:dyDescent="0.45">
      <c r="A7415" s="12" t="s">
        <v>12655</v>
      </c>
      <c r="B7415" s="12" t="s">
        <v>2950</v>
      </c>
      <c r="C7415" s="13" t="s">
        <v>2951</v>
      </c>
      <c r="D7415" s="13" t="s">
        <v>34</v>
      </c>
      <c r="E7415" s="12" t="s">
        <v>50</v>
      </c>
      <c r="F7415" s="13"/>
      <c r="G7415" s="14">
        <v>77900</v>
      </c>
      <c r="H7415" s="13" t="s">
        <v>12805</v>
      </c>
      <c r="I7415" s="40" t="s">
        <v>18</v>
      </c>
      <c r="J7415" s="40" t="str">
        <f>HYPERLINK("https://stock.pstatic.net/stock-research/company/61/20251110_company_93102000.pdf","PDF")</f>
        <v>PDF</v>
      </c>
      <c r="K7415" s="12" t="s">
        <v>12806</v>
      </c>
    </row>
    <row r="7416" spans="1:12" x14ac:dyDescent="0.45">
      <c r="A7416" s="12" t="s">
        <v>12655</v>
      </c>
      <c r="B7416" s="12" t="s">
        <v>2631</v>
      </c>
      <c r="C7416" s="13" t="s">
        <v>2632</v>
      </c>
      <c r="D7416" s="13" t="s">
        <v>34</v>
      </c>
      <c r="E7416" s="12" t="s">
        <v>50</v>
      </c>
      <c r="F7416" s="13"/>
      <c r="G7416" s="14">
        <v>16300</v>
      </c>
      <c r="H7416" s="13" t="s">
        <v>12807</v>
      </c>
      <c r="I7416" s="40" t="s">
        <v>18</v>
      </c>
      <c r="J7416" s="40" t="str">
        <f>HYPERLINK("https://stock.pstatic.net/stock-research/company/61/20251110_company_922613000.pdf","PDF")</f>
        <v>PDF</v>
      </c>
      <c r="K7416" s="12" t="s">
        <v>12808</v>
      </c>
    </row>
    <row r="7417" spans="1:12" x14ac:dyDescent="0.45">
      <c r="A7417" s="12" t="s">
        <v>12655</v>
      </c>
      <c r="B7417" s="12" t="s">
        <v>3395</v>
      </c>
      <c r="C7417" s="13" t="s">
        <v>3396</v>
      </c>
      <c r="D7417" s="13" t="s">
        <v>34</v>
      </c>
      <c r="E7417" s="12" t="s">
        <v>35</v>
      </c>
      <c r="F7417" s="14">
        <v>23300</v>
      </c>
      <c r="G7417" s="14">
        <v>18530</v>
      </c>
      <c r="H7417" s="13" t="s">
        <v>12809</v>
      </c>
      <c r="I7417" s="40" t="s">
        <v>18</v>
      </c>
      <c r="J7417" s="40" t="str">
        <f>HYPERLINK("https://stock.pstatic.net/stock-research/company/61/20251110_company_778840000.pdf","PDF")</f>
        <v>PDF</v>
      </c>
      <c r="K7417" s="12" t="s">
        <v>12810</v>
      </c>
      <c r="L7417" s="20">
        <v>0.25742039935240152</v>
      </c>
    </row>
    <row r="7418" spans="1:12" x14ac:dyDescent="0.45">
      <c r="A7418" s="12" t="s">
        <v>12655</v>
      </c>
      <c r="B7418" s="12" t="s">
        <v>2217</v>
      </c>
      <c r="C7418" s="13" t="s">
        <v>2218</v>
      </c>
      <c r="D7418" s="13" t="s">
        <v>34</v>
      </c>
      <c r="E7418" s="12" t="s">
        <v>35</v>
      </c>
      <c r="F7418" s="14">
        <v>156000</v>
      </c>
      <c r="G7418" s="14">
        <v>108600</v>
      </c>
      <c r="H7418" s="13" t="s">
        <v>12811</v>
      </c>
      <c r="I7418" s="40" t="s">
        <v>18</v>
      </c>
      <c r="J7418" s="40" t="str">
        <f>HYPERLINK("https://stock.pstatic.net/stock-research/company/61/20251110_company_419132000.pdf","PDF")</f>
        <v>PDF</v>
      </c>
      <c r="K7418" s="12" t="s">
        <v>12812</v>
      </c>
      <c r="L7418" s="20">
        <v>0.43646408839779011</v>
      </c>
    </row>
    <row r="7419" spans="1:12" x14ac:dyDescent="0.45">
      <c r="A7419" s="12" t="s">
        <v>12655</v>
      </c>
      <c r="B7419" s="12" t="s">
        <v>533</v>
      </c>
      <c r="C7419" s="13" t="s">
        <v>534</v>
      </c>
      <c r="D7419" s="13" t="s">
        <v>92</v>
      </c>
      <c r="E7419" s="12" t="s">
        <v>35</v>
      </c>
      <c r="F7419" s="14">
        <v>66000</v>
      </c>
      <c r="G7419" s="14">
        <v>48250</v>
      </c>
      <c r="H7419" s="13" t="s">
        <v>12813</v>
      </c>
      <c r="I7419" s="40" t="s">
        <v>18</v>
      </c>
      <c r="J7419" s="40" t="str">
        <f>HYPERLINK("https://stock.pstatic.net/stock-research/company/63/20251110_company_584003000.pdf","PDF")</f>
        <v>PDF</v>
      </c>
      <c r="K7419" s="12" t="s">
        <v>12814</v>
      </c>
      <c r="L7419" s="20">
        <v>0.36787564766839381</v>
      </c>
    </row>
    <row r="7420" spans="1:12" x14ac:dyDescent="0.45">
      <c r="A7420" s="12" t="s">
        <v>12655</v>
      </c>
      <c r="B7420" s="12" t="s">
        <v>2853</v>
      </c>
      <c r="C7420" s="13" t="s">
        <v>2854</v>
      </c>
      <c r="D7420" s="13" t="s">
        <v>44</v>
      </c>
      <c r="E7420" s="12" t="s">
        <v>35</v>
      </c>
      <c r="F7420" s="14">
        <v>20000</v>
      </c>
      <c r="G7420" s="14">
        <v>17640</v>
      </c>
      <c r="H7420" s="13" t="s">
        <v>12815</v>
      </c>
      <c r="I7420" s="40" t="s">
        <v>18</v>
      </c>
      <c r="J7420" s="40" t="str">
        <f>HYPERLINK("https://stock.pstatic.net/stock-research/company/39/20251110_company_190151000.pdf","PDF")</f>
        <v>PDF</v>
      </c>
      <c r="K7420" s="12" t="s">
        <v>12816</v>
      </c>
      <c r="L7420" s="20">
        <v>0.13378684807256239</v>
      </c>
    </row>
    <row r="7421" spans="1:12" x14ac:dyDescent="0.45">
      <c r="A7421" s="12" t="s">
        <v>12655</v>
      </c>
      <c r="B7421" s="12" t="s">
        <v>1656</v>
      </c>
      <c r="C7421" s="13" t="s">
        <v>1657</v>
      </c>
      <c r="D7421" s="13" t="s">
        <v>53</v>
      </c>
      <c r="E7421" s="12" t="s">
        <v>16</v>
      </c>
      <c r="F7421" s="14">
        <v>250000</v>
      </c>
      <c r="G7421" s="14">
        <v>192000</v>
      </c>
      <c r="H7421" s="13" t="s">
        <v>12817</v>
      </c>
      <c r="I7421" s="40" t="s">
        <v>18</v>
      </c>
      <c r="J7421" s="40" t="str">
        <f>HYPERLINK("https://stock.pstatic.net/stock-research/company/40/20251110_company_295375000.pdf","PDF")</f>
        <v>PDF</v>
      </c>
      <c r="K7421" s="12" t="s">
        <v>12818</v>
      </c>
      <c r="L7421" s="20">
        <v>0.30208333333333331</v>
      </c>
    </row>
    <row r="7422" spans="1:12" x14ac:dyDescent="0.45">
      <c r="A7422" s="12" t="s">
        <v>12655</v>
      </c>
      <c r="B7422" s="12" t="s">
        <v>1670</v>
      </c>
      <c r="C7422" s="13" t="s">
        <v>1671</v>
      </c>
      <c r="D7422" s="13" t="s">
        <v>44</v>
      </c>
      <c r="E7422" s="12" t="s">
        <v>35</v>
      </c>
      <c r="F7422" s="14">
        <v>150000</v>
      </c>
      <c r="G7422" s="14">
        <v>111700</v>
      </c>
      <c r="H7422" s="13" t="s">
        <v>12819</v>
      </c>
      <c r="I7422" s="40" t="s">
        <v>18</v>
      </c>
      <c r="J7422" s="40" t="str">
        <f>HYPERLINK("https://stock.pstatic.net/stock-research/company/39/20251110_company_979472000.pdf","PDF")</f>
        <v>PDF</v>
      </c>
      <c r="K7422" s="12" t="s">
        <v>12820</v>
      </c>
      <c r="L7422" s="20">
        <v>0.34288272157564909</v>
      </c>
    </row>
    <row r="7423" spans="1:12" x14ac:dyDescent="0.45">
      <c r="A7423" s="12" t="s">
        <v>12655</v>
      </c>
      <c r="B7423" s="12" t="s">
        <v>1656</v>
      </c>
      <c r="C7423" s="13" t="s">
        <v>1657</v>
      </c>
      <c r="D7423" s="13" t="s">
        <v>44</v>
      </c>
      <c r="E7423" s="12" t="s">
        <v>35</v>
      </c>
      <c r="F7423" s="14">
        <v>235000</v>
      </c>
      <c r="G7423" s="14">
        <v>192000</v>
      </c>
      <c r="H7423" s="13" t="s">
        <v>12821</v>
      </c>
      <c r="I7423" s="40" t="s">
        <v>18</v>
      </c>
      <c r="J7423" s="40" t="str">
        <f>HYPERLINK("https://stock.pstatic.net/stock-research/company/39/20251110_company_280639000.pdf","PDF")</f>
        <v>PDF</v>
      </c>
      <c r="K7423" s="12" t="s">
        <v>12822</v>
      </c>
      <c r="L7423" s="20">
        <v>0.22395833333333329</v>
      </c>
    </row>
    <row r="7424" spans="1:12" x14ac:dyDescent="0.45">
      <c r="A7424" s="12" t="s">
        <v>12655</v>
      </c>
      <c r="B7424" s="12" t="s">
        <v>856</v>
      </c>
      <c r="C7424" s="13" t="s">
        <v>857</v>
      </c>
      <c r="D7424" s="13" t="s">
        <v>44</v>
      </c>
      <c r="E7424" s="12" t="s">
        <v>35</v>
      </c>
      <c r="F7424" s="14">
        <v>210000</v>
      </c>
      <c r="G7424" s="14">
        <v>139700</v>
      </c>
      <c r="H7424" s="13" t="s">
        <v>12823</v>
      </c>
      <c r="I7424" s="40" t="s">
        <v>18</v>
      </c>
      <c r="J7424" s="40" t="str">
        <f>HYPERLINK("https://stock.pstatic.net/stock-research/company/39/20251110_company_11518000.pdf","PDF")</f>
        <v>PDF</v>
      </c>
      <c r="K7424" s="12" t="s">
        <v>12824</v>
      </c>
      <c r="L7424" s="20">
        <v>0.50322118826055839</v>
      </c>
    </row>
    <row r="7425" spans="1:12" x14ac:dyDescent="0.45">
      <c r="A7425" s="12" t="s">
        <v>12655</v>
      </c>
      <c r="B7425" s="12" t="s">
        <v>27</v>
      </c>
      <c r="C7425" s="13" t="s">
        <v>28</v>
      </c>
      <c r="D7425" s="13" t="s">
        <v>44</v>
      </c>
      <c r="E7425" s="12" t="s">
        <v>35</v>
      </c>
      <c r="F7425" s="14">
        <v>95000</v>
      </c>
      <c r="G7425" s="14">
        <v>66500</v>
      </c>
      <c r="H7425" s="13" t="s">
        <v>12825</v>
      </c>
      <c r="I7425" s="40" t="s">
        <v>18</v>
      </c>
      <c r="J7425" s="40" t="str">
        <f>HYPERLINK("https://stock.pstatic.net/stock-research/company/39/20251110_company_31004000.pdf","PDF")</f>
        <v>PDF</v>
      </c>
      <c r="K7425" s="12" t="s">
        <v>12826</v>
      </c>
      <c r="L7425" s="20">
        <v>0.42857142857142849</v>
      </c>
    </row>
    <row r="7426" spans="1:12" x14ac:dyDescent="0.45">
      <c r="A7426" s="12" t="s">
        <v>12655</v>
      </c>
      <c r="B7426" s="12" t="s">
        <v>916</v>
      </c>
      <c r="C7426" s="13" t="s">
        <v>917</v>
      </c>
      <c r="D7426" s="13" t="s">
        <v>179</v>
      </c>
      <c r="E7426" s="12" t="s">
        <v>16</v>
      </c>
      <c r="F7426" s="14">
        <v>87000</v>
      </c>
      <c r="G7426" s="14">
        <v>62800</v>
      </c>
      <c r="H7426" s="13" t="s">
        <v>12827</v>
      </c>
      <c r="I7426" s="40" t="s">
        <v>18</v>
      </c>
      <c r="J7426" s="40" t="str">
        <f>HYPERLINK("https://stock.pstatic.net/stock-research/company/64/20251110_company_975278000.pdf","PDF")</f>
        <v>PDF</v>
      </c>
      <c r="K7426" s="12" t="s">
        <v>12828</v>
      </c>
      <c r="L7426" s="20">
        <v>0.38535031847133761</v>
      </c>
    </row>
    <row r="7427" spans="1:12" x14ac:dyDescent="0.45">
      <c r="A7427" s="12" t="s">
        <v>12655</v>
      </c>
      <c r="B7427" s="12" t="s">
        <v>756</v>
      </c>
      <c r="C7427" s="13" t="s">
        <v>757</v>
      </c>
      <c r="D7427" s="13" t="s">
        <v>44</v>
      </c>
      <c r="E7427" s="12" t="s">
        <v>35</v>
      </c>
      <c r="F7427" s="14">
        <v>110000</v>
      </c>
      <c r="G7427" s="14">
        <v>78300</v>
      </c>
      <c r="H7427" s="13" t="s">
        <v>12829</v>
      </c>
      <c r="I7427" s="40" t="s">
        <v>18</v>
      </c>
      <c r="J7427" s="40" t="str">
        <f>HYPERLINK("https://stock.pstatic.net/stock-research/company/39/20251110_company_995248000.pdf","PDF")</f>
        <v>PDF</v>
      </c>
      <c r="K7427" s="12" t="s">
        <v>12830</v>
      </c>
      <c r="L7427" s="20">
        <v>0.40485312899106002</v>
      </c>
    </row>
    <row r="7428" spans="1:12" x14ac:dyDescent="0.45">
      <c r="A7428" s="12" t="s">
        <v>12655</v>
      </c>
      <c r="B7428" s="12" t="s">
        <v>1051</v>
      </c>
      <c r="C7428" s="13" t="s">
        <v>1052</v>
      </c>
      <c r="D7428" s="13" t="s">
        <v>44</v>
      </c>
      <c r="E7428" s="12" t="s">
        <v>50</v>
      </c>
      <c r="F7428" s="13"/>
      <c r="G7428" s="13"/>
      <c r="H7428" s="13" t="s">
        <v>12831</v>
      </c>
      <c r="I7428" s="40" t="s">
        <v>18</v>
      </c>
      <c r="J7428" s="40" t="str">
        <f>HYPERLINK("https://stock.pstatic.net/stock-research/company/39/20251110_company_711376000.pdf","PDF")</f>
        <v>PDF</v>
      </c>
      <c r="K7428" s="12" t="s">
        <v>12832</v>
      </c>
    </row>
    <row r="7429" spans="1:12" x14ac:dyDescent="0.45">
      <c r="A7429" s="12" t="s">
        <v>12655</v>
      </c>
      <c r="B7429" s="12" t="s">
        <v>12833</v>
      </c>
      <c r="C7429" s="13" t="s">
        <v>12834</v>
      </c>
      <c r="D7429" s="13" t="s">
        <v>124</v>
      </c>
      <c r="E7429" s="12" t="s">
        <v>50</v>
      </c>
      <c r="F7429" s="13"/>
      <c r="G7429" s="13"/>
      <c r="H7429" s="13" t="s">
        <v>12835</v>
      </c>
      <c r="I7429" s="40" t="s">
        <v>18</v>
      </c>
      <c r="J7429" s="40" t="str">
        <f>HYPERLINK("https://stock.pstatic.net/stock-research/company/74/20251110_company_5746000.pdf","PDF")</f>
        <v>PDF</v>
      </c>
      <c r="K7429" s="12" t="s">
        <v>12836</v>
      </c>
    </row>
    <row r="7430" spans="1:12" x14ac:dyDescent="0.45">
      <c r="A7430" s="12" t="s">
        <v>12655</v>
      </c>
      <c r="B7430" s="12" t="s">
        <v>916</v>
      </c>
      <c r="C7430" s="13" t="s">
        <v>917</v>
      </c>
      <c r="D7430" s="13" t="s">
        <v>53</v>
      </c>
      <c r="E7430" s="12" t="s">
        <v>16</v>
      </c>
      <c r="F7430" s="14">
        <v>73000</v>
      </c>
      <c r="G7430" s="14">
        <v>62800</v>
      </c>
      <c r="H7430" s="13" t="s">
        <v>12837</v>
      </c>
      <c r="I7430" s="40" t="s">
        <v>18</v>
      </c>
      <c r="J7430" s="40" t="str">
        <f>HYPERLINK("https://stock.pstatic.net/stock-research/company/40/20251110_company_441051000.pdf","PDF")</f>
        <v>PDF</v>
      </c>
      <c r="K7430" s="12" t="s">
        <v>12838</v>
      </c>
      <c r="L7430" s="20">
        <v>0.16242038216560509</v>
      </c>
    </row>
    <row r="7431" spans="1:12" x14ac:dyDescent="0.45">
      <c r="A7431" s="12" t="s">
        <v>12655</v>
      </c>
      <c r="B7431" s="12" t="s">
        <v>657</v>
      </c>
      <c r="C7431" s="13" t="s">
        <v>658</v>
      </c>
      <c r="D7431" s="13" t="s">
        <v>53</v>
      </c>
      <c r="E7431" s="12" t="s">
        <v>16</v>
      </c>
      <c r="F7431" s="14">
        <v>27000</v>
      </c>
      <c r="G7431" s="14">
        <v>20100</v>
      </c>
      <c r="H7431" s="13" t="s">
        <v>12839</v>
      </c>
      <c r="I7431" s="40" t="s">
        <v>18</v>
      </c>
      <c r="J7431" s="40" t="str">
        <f>HYPERLINK("https://stock.pstatic.net/stock-research/company/40/20251110_company_201927000.pdf","PDF")</f>
        <v>PDF</v>
      </c>
      <c r="K7431" s="12" t="s">
        <v>12840</v>
      </c>
      <c r="L7431" s="20">
        <v>0.34328358208955218</v>
      </c>
    </row>
    <row r="7432" spans="1:12" x14ac:dyDescent="0.45">
      <c r="A7432" s="12" t="s">
        <v>12655</v>
      </c>
      <c r="B7432" s="12" t="s">
        <v>12841</v>
      </c>
      <c r="C7432" s="13" t="s">
        <v>12842</v>
      </c>
      <c r="D7432" s="13" t="s">
        <v>15</v>
      </c>
      <c r="E7432" s="12" t="s">
        <v>50</v>
      </c>
      <c r="F7432" s="13"/>
      <c r="G7432" s="14">
        <v>5290</v>
      </c>
      <c r="H7432" s="13" t="s">
        <v>12843</v>
      </c>
      <c r="I7432" s="40" t="s">
        <v>18</v>
      </c>
      <c r="J7432" s="40" t="str">
        <f>HYPERLINK("https://stock.pstatic.net/stock-research/company/47/20251110_company_234259000.pdf","PDF")</f>
        <v>PDF</v>
      </c>
      <c r="K7432" s="12" t="s">
        <v>12844</v>
      </c>
    </row>
    <row r="7433" spans="1:12" x14ac:dyDescent="0.45">
      <c r="A7433" s="12" t="s">
        <v>12845</v>
      </c>
      <c r="B7433" s="12" t="s">
        <v>916</v>
      </c>
      <c r="C7433" s="13" t="s">
        <v>917</v>
      </c>
      <c r="D7433" s="13" t="s">
        <v>57</v>
      </c>
      <c r="E7433" s="12" t="s">
        <v>35</v>
      </c>
      <c r="F7433" s="14">
        <v>85000</v>
      </c>
      <c r="G7433" s="14">
        <v>60700</v>
      </c>
      <c r="H7433" s="13" t="s">
        <v>12846</v>
      </c>
      <c r="I7433" s="40" t="s">
        <v>18</v>
      </c>
      <c r="J7433" s="40" t="str">
        <f>HYPERLINK("https://stock.pstatic.net/stock-research/company/16/20251107_company_595451000.pdf","PDF")</f>
        <v>PDF</v>
      </c>
      <c r="K7433" s="12" t="s">
        <v>12847</v>
      </c>
      <c r="L7433" s="20">
        <v>0.40032948929159801</v>
      </c>
    </row>
    <row r="7434" spans="1:12" x14ac:dyDescent="0.45">
      <c r="A7434" s="12" t="s">
        <v>12845</v>
      </c>
      <c r="B7434" s="12" t="s">
        <v>2191</v>
      </c>
      <c r="C7434" s="13" t="s">
        <v>2192</v>
      </c>
      <c r="D7434" s="13" t="s">
        <v>57</v>
      </c>
      <c r="E7434" s="12" t="s">
        <v>35</v>
      </c>
      <c r="F7434" s="14">
        <v>110000</v>
      </c>
      <c r="G7434" s="14">
        <v>67800</v>
      </c>
      <c r="H7434" s="13" t="s">
        <v>12848</v>
      </c>
      <c r="I7434" s="40" t="s">
        <v>18</v>
      </c>
      <c r="J7434" s="40" t="str">
        <f>HYPERLINK("https://stock.pstatic.net/stock-research/company/16/20251107_company_741809000.pdf","PDF")</f>
        <v>PDF</v>
      </c>
      <c r="K7434" s="12" t="s">
        <v>12849</v>
      </c>
      <c r="L7434" s="20">
        <v>0.6224188790560472</v>
      </c>
    </row>
    <row r="7435" spans="1:12" x14ac:dyDescent="0.45">
      <c r="A7435" s="12" t="s">
        <v>12845</v>
      </c>
      <c r="B7435" s="12" t="s">
        <v>1678</v>
      </c>
      <c r="C7435" s="13" t="s">
        <v>1679</v>
      </c>
      <c r="D7435" s="13" t="s">
        <v>57</v>
      </c>
      <c r="E7435" s="12" t="s">
        <v>35</v>
      </c>
      <c r="F7435" s="14">
        <v>72000</v>
      </c>
      <c r="G7435" s="14">
        <v>64800</v>
      </c>
      <c r="H7435" s="13" t="s">
        <v>12850</v>
      </c>
      <c r="I7435" s="40" t="s">
        <v>18</v>
      </c>
      <c r="J7435" s="40" t="str">
        <f>HYPERLINK("https://stock.pstatic.net/stock-research/company/16/20251107_company_752882000.pdf","PDF")</f>
        <v>PDF</v>
      </c>
      <c r="K7435" s="12" t="s">
        <v>12851</v>
      </c>
      <c r="L7435" s="20">
        <v>0.1111111111111111</v>
      </c>
    </row>
    <row r="7436" spans="1:12" x14ac:dyDescent="0.45">
      <c r="A7436" s="12" t="s">
        <v>12845</v>
      </c>
      <c r="B7436" s="12" t="s">
        <v>2781</v>
      </c>
      <c r="C7436" s="13" t="s">
        <v>2782</v>
      </c>
      <c r="D7436" s="13" t="s">
        <v>57</v>
      </c>
      <c r="E7436" s="12" t="s">
        <v>35</v>
      </c>
      <c r="F7436" s="14">
        <v>160000</v>
      </c>
      <c r="G7436" s="14">
        <v>126400</v>
      </c>
      <c r="H7436" s="13" t="s">
        <v>12852</v>
      </c>
      <c r="I7436" s="40" t="s">
        <v>18</v>
      </c>
      <c r="J7436" s="40" t="str">
        <f>HYPERLINK("https://stock.pstatic.net/stock-research/company/16/20251107_company_820168000.pdf","PDF")</f>
        <v>PDF</v>
      </c>
      <c r="K7436" s="12" t="s">
        <v>12853</v>
      </c>
      <c r="L7436" s="20">
        <v>0.26582278481012661</v>
      </c>
    </row>
    <row r="7437" spans="1:12" x14ac:dyDescent="0.45">
      <c r="A7437" s="12" t="s">
        <v>12845</v>
      </c>
      <c r="B7437" s="12" t="s">
        <v>2225</v>
      </c>
      <c r="C7437" s="13" t="s">
        <v>5282</v>
      </c>
      <c r="D7437" s="13" t="s">
        <v>57</v>
      </c>
      <c r="E7437" s="12" t="s">
        <v>35</v>
      </c>
      <c r="F7437" s="14">
        <v>740000</v>
      </c>
      <c r="G7437" s="14">
        <v>481000</v>
      </c>
      <c r="H7437" s="13" t="s">
        <v>12854</v>
      </c>
      <c r="I7437" s="40" t="s">
        <v>18</v>
      </c>
      <c r="J7437" s="40" t="str">
        <f>HYPERLINK("https://stock.pstatic.net/stock-research/company/16/20251107_company_316570000.pdf","PDF")</f>
        <v>PDF</v>
      </c>
      <c r="K7437" s="12" t="s">
        <v>12855</v>
      </c>
      <c r="L7437" s="20">
        <v>0.53846153846153844</v>
      </c>
    </row>
    <row r="7438" spans="1:12" x14ac:dyDescent="0.45">
      <c r="A7438" s="12" t="s">
        <v>12845</v>
      </c>
      <c r="B7438" s="12" t="s">
        <v>1097</v>
      </c>
      <c r="C7438" s="13" t="s">
        <v>1098</v>
      </c>
      <c r="D7438" s="13" t="s">
        <v>57</v>
      </c>
      <c r="E7438" s="12" t="s">
        <v>35</v>
      </c>
      <c r="F7438" s="14">
        <v>150000</v>
      </c>
      <c r="G7438" s="14">
        <v>105600</v>
      </c>
      <c r="H7438" s="13" t="s">
        <v>12856</v>
      </c>
      <c r="I7438" s="40" t="s">
        <v>18</v>
      </c>
      <c r="J7438" s="40" t="str">
        <f>HYPERLINK("https://stock.pstatic.net/stock-research/company/16/20251107_company_785487000.pdf","PDF")</f>
        <v>PDF</v>
      </c>
      <c r="K7438" s="12" t="s">
        <v>12857</v>
      </c>
      <c r="L7438" s="20">
        <v>0.42045454545454553</v>
      </c>
    </row>
    <row r="7439" spans="1:12" x14ac:dyDescent="0.45">
      <c r="A7439" s="12" t="s">
        <v>12845</v>
      </c>
      <c r="B7439" s="12" t="s">
        <v>1184</v>
      </c>
      <c r="C7439" s="13" t="s">
        <v>1185</v>
      </c>
      <c r="D7439" s="13" t="s">
        <v>57</v>
      </c>
      <c r="E7439" s="12" t="s">
        <v>35</v>
      </c>
      <c r="F7439" s="14">
        <v>27000</v>
      </c>
      <c r="G7439" s="14">
        <v>18490</v>
      </c>
      <c r="H7439" s="13" t="s">
        <v>12858</v>
      </c>
      <c r="I7439" s="40" t="s">
        <v>18</v>
      </c>
      <c r="J7439" s="40" t="str">
        <f>HYPERLINK("https://stock.pstatic.net/stock-research/company/16/20251107_company_789508000.pdf","PDF")</f>
        <v>PDF</v>
      </c>
      <c r="K7439" s="12" t="s">
        <v>12859</v>
      </c>
      <c r="L7439" s="20">
        <v>0.46024878312601408</v>
      </c>
    </row>
    <row r="7440" spans="1:12" x14ac:dyDescent="0.45">
      <c r="A7440" s="12" t="s">
        <v>12845</v>
      </c>
      <c r="B7440" s="12" t="s">
        <v>1666</v>
      </c>
      <c r="C7440" s="13" t="s">
        <v>1667</v>
      </c>
      <c r="D7440" s="13" t="s">
        <v>60</v>
      </c>
      <c r="E7440" s="12" t="s">
        <v>35</v>
      </c>
      <c r="F7440" s="14">
        <v>78000</v>
      </c>
      <c r="G7440" s="14">
        <v>55400</v>
      </c>
      <c r="H7440" s="13" t="s">
        <v>12860</v>
      </c>
      <c r="I7440" s="40" t="s">
        <v>18</v>
      </c>
      <c r="J7440" s="40" t="str">
        <f>HYPERLINK("https://stock.pstatic.net/stock-research/company/34/20251107_company_919575000.pdf","PDF")</f>
        <v>PDF</v>
      </c>
      <c r="K7440" s="12" t="s">
        <v>12861</v>
      </c>
      <c r="L7440" s="20">
        <v>0.40794223826714798</v>
      </c>
    </row>
    <row r="7441" spans="1:12" x14ac:dyDescent="0.45">
      <c r="A7441" s="12" t="s">
        <v>12845</v>
      </c>
      <c r="B7441" s="12" t="s">
        <v>2425</v>
      </c>
      <c r="C7441" s="13" t="s">
        <v>2426</v>
      </c>
      <c r="D7441" s="13" t="s">
        <v>60</v>
      </c>
      <c r="E7441" s="12" t="s">
        <v>35</v>
      </c>
      <c r="F7441" s="14">
        <v>170000</v>
      </c>
      <c r="G7441" s="14">
        <v>137700</v>
      </c>
      <c r="H7441" s="13" t="s">
        <v>12862</v>
      </c>
      <c r="I7441" s="40" t="s">
        <v>18</v>
      </c>
      <c r="J7441" s="40" t="str">
        <f>HYPERLINK("https://stock.pstatic.net/stock-research/company/34/20251107_company_436844000.pdf","PDF")</f>
        <v>PDF</v>
      </c>
      <c r="K7441" s="12" t="s">
        <v>12863</v>
      </c>
      <c r="L7441" s="20">
        <v>0.23456790123456789</v>
      </c>
    </row>
    <row r="7442" spans="1:12" x14ac:dyDescent="0.45">
      <c r="A7442" s="12" t="s">
        <v>12845</v>
      </c>
      <c r="B7442" s="12" t="s">
        <v>434</v>
      </c>
      <c r="C7442" s="13" t="s">
        <v>435</v>
      </c>
      <c r="D7442" s="13" t="s">
        <v>60</v>
      </c>
      <c r="E7442" s="12" t="s">
        <v>35</v>
      </c>
      <c r="F7442" s="14">
        <v>160000</v>
      </c>
      <c r="G7442" s="14">
        <v>118600</v>
      </c>
      <c r="H7442" s="13" t="s">
        <v>12864</v>
      </c>
      <c r="I7442" s="40" t="s">
        <v>18</v>
      </c>
      <c r="J7442" s="40" t="str">
        <f>HYPERLINK("https://stock.pstatic.net/stock-research/company/34/20251107_company_972198000.pdf","PDF")</f>
        <v>PDF</v>
      </c>
      <c r="K7442" s="12" t="s">
        <v>12865</v>
      </c>
      <c r="L7442" s="20">
        <v>0.34907251264755479</v>
      </c>
    </row>
    <row r="7443" spans="1:12" x14ac:dyDescent="0.45">
      <c r="A7443" s="12" t="s">
        <v>12845</v>
      </c>
      <c r="B7443" s="12" t="s">
        <v>2191</v>
      </c>
      <c r="C7443" s="13" t="s">
        <v>2192</v>
      </c>
      <c r="D7443" s="13" t="s">
        <v>60</v>
      </c>
      <c r="E7443" s="12" t="s">
        <v>35</v>
      </c>
      <c r="F7443" s="14">
        <v>100000</v>
      </c>
      <c r="G7443" s="14">
        <v>67800</v>
      </c>
      <c r="H7443" s="13" t="s">
        <v>12866</v>
      </c>
      <c r="I7443" s="40" t="s">
        <v>18</v>
      </c>
      <c r="J7443" s="40" t="str">
        <f>HYPERLINK("https://stock.pstatic.net/stock-research/company/34/20251107_company_529040000.pdf","PDF")</f>
        <v>PDF</v>
      </c>
      <c r="K7443" s="12" t="s">
        <v>12867</v>
      </c>
      <c r="L7443" s="20">
        <v>0.47492625368731561</v>
      </c>
    </row>
    <row r="7444" spans="1:12" x14ac:dyDescent="0.45">
      <c r="A7444" s="12" t="s">
        <v>12845</v>
      </c>
      <c r="B7444" s="12" t="s">
        <v>916</v>
      </c>
      <c r="C7444" s="13" t="s">
        <v>917</v>
      </c>
      <c r="D7444" s="13" t="s">
        <v>15</v>
      </c>
      <c r="E7444" s="12" t="s">
        <v>16</v>
      </c>
      <c r="F7444" s="14">
        <v>82000</v>
      </c>
      <c r="G7444" s="14">
        <v>60700</v>
      </c>
      <c r="H7444" s="13" t="s">
        <v>12868</v>
      </c>
      <c r="I7444" s="40" t="s">
        <v>18</v>
      </c>
      <c r="J7444" s="40" t="str">
        <f>HYPERLINK("https://stock.pstatic.net/stock-research/company/29/20251107_company_83476000.pdf","PDF")</f>
        <v>PDF</v>
      </c>
      <c r="K7444" s="12" t="s">
        <v>12869</v>
      </c>
      <c r="L7444" s="20">
        <v>0.35090609555189461</v>
      </c>
    </row>
    <row r="7445" spans="1:12" x14ac:dyDescent="0.45">
      <c r="A7445" s="12" t="s">
        <v>12845</v>
      </c>
      <c r="B7445" s="12" t="s">
        <v>495</v>
      </c>
      <c r="C7445" s="13" t="s">
        <v>496</v>
      </c>
      <c r="D7445" s="13" t="s">
        <v>60</v>
      </c>
      <c r="E7445" s="12" t="s">
        <v>35</v>
      </c>
      <c r="F7445" s="14">
        <v>330000</v>
      </c>
      <c r="G7445" s="14">
        <v>208500</v>
      </c>
      <c r="H7445" s="13" t="s">
        <v>12870</v>
      </c>
      <c r="I7445" s="40" t="s">
        <v>18</v>
      </c>
      <c r="J7445" s="40" t="str">
        <f>HYPERLINK("https://stock.pstatic.net/stock-research/company/34/20251107_company_454251000.pdf","PDF")</f>
        <v>PDF</v>
      </c>
      <c r="K7445" s="12" t="s">
        <v>12871</v>
      </c>
      <c r="L7445" s="20">
        <v>0.58273381294964033</v>
      </c>
    </row>
    <row r="7446" spans="1:12" x14ac:dyDescent="0.45">
      <c r="A7446" s="12" t="s">
        <v>12845</v>
      </c>
      <c r="B7446" s="12" t="s">
        <v>1023</v>
      </c>
      <c r="C7446" s="13" t="s">
        <v>15</v>
      </c>
      <c r="D7446" s="13" t="s">
        <v>60</v>
      </c>
      <c r="E7446" s="12" t="s">
        <v>35</v>
      </c>
      <c r="F7446" s="14">
        <v>28000</v>
      </c>
      <c r="G7446" s="14">
        <v>23650</v>
      </c>
      <c r="H7446" s="13" t="s">
        <v>12872</v>
      </c>
      <c r="I7446" s="40" t="s">
        <v>18</v>
      </c>
      <c r="J7446" s="40" t="str">
        <f>HYPERLINK("https://stock.pstatic.net/stock-research/company/34/20251107_company_857550000.pdf","PDF")</f>
        <v>PDF</v>
      </c>
      <c r="K7446" s="12" t="s">
        <v>12873</v>
      </c>
      <c r="L7446" s="20">
        <v>0.1839323467230444</v>
      </c>
    </row>
    <row r="7447" spans="1:12" x14ac:dyDescent="0.45">
      <c r="A7447" s="12" t="s">
        <v>12845</v>
      </c>
      <c r="B7447" s="12" t="s">
        <v>1666</v>
      </c>
      <c r="C7447" s="13" t="s">
        <v>1667</v>
      </c>
      <c r="D7447" s="13" t="s">
        <v>276</v>
      </c>
      <c r="E7447" s="12" t="s">
        <v>16</v>
      </c>
      <c r="F7447" s="14">
        <v>86000</v>
      </c>
      <c r="G7447" s="14">
        <v>55400</v>
      </c>
      <c r="H7447" s="13" t="s">
        <v>12874</v>
      </c>
      <c r="I7447" s="40" t="s">
        <v>18</v>
      </c>
      <c r="J7447" s="40" t="str">
        <f>HYPERLINK("https://stock.pstatic.net/stock-research/company/66/20251107_company_832381000.pdf","PDF")</f>
        <v>PDF</v>
      </c>
      <c r="K7447" s="12" t="s">
        <v>12875</v>
      </c>
      <c r="L7447" s="20">
        <v>0.55234657039711188</v>
      </c>
    </row>
    <row r="7448" spans="1:12" x14ac:dyDescent="0.45">
      <c r="A7448" s="12" t="s">
        <v>12845</v>
      </c>
      <c r="B7448" s="12" t="s">
        <v>2225</v>
      </c>
      <c r="C7448" s="13" t="s">
        <v>5282</v>
      </c>
      <c r="D7448" s="13" t="s">
        <v>65</v>
      </c>
      <c r="E7448" s="12" t="s">
        <v>35</v>
      </c>
      <c r="F7448" s="14">
        <v>562000</v>
      </c>
      <c r="G7448" s="14">
        <v>481000</v>
      </c>
      <c r="H7448" s="13" t="s">
        <v>12876</v>
      </c>
      <c r="I7448" s="40" t="s">
        <v>18</v>
      </c>
      <c r="J7448" s="40" t="str">
        <f>HYPERLINK("https://stock.pstatic.net/stock-research/company/57/20251107_company_83442000.pdf","PDF")</f>
        <v>PDF</v>
      </c>
      <c r="K7448" s="12" t="s">
        <v>12877</v>
      </c>
      <c r="L7448" s="20">
        <v>0.16839916839916841</v>
      </c>
    </row>
    <row r="7449" spans="1:12" x14ac:dyDescent="0.45">
      <c r="A7449" s="12" t="s">
        <v>12845</v>
      </c>
      <c r="B7449" s="12" t="s">
        <v>1023</v>
      </c>
      <c r="C7449" s="13" t="s">
        <v>15</v>
      </c>
      <c r="D7449" s="13" t="s">
        <v>65</v>
      </c>
      <c r="E7449" s="12" t="s">
        <v>35</v>
      </c>
      <c r="F7449" s="14">
        <v>26000</v>
      </c>
      <c r="G7449" s="14">
        <v>23650</v>
      </c>
      <c r="H7449" s="13" t="s">
        <v>12878</v>
      </c>
      <c r="I7449" s="40" t="s">
        <v>18</v>
      </c>
      <c r="J7449" s="40" t="str">
        <f>HYPERLINK("https://stock.pstatic.net/stock-research/company/57/20251107_company_343111000.pdf","PDF")</f>
        <v>PDF</v>
      </c>
      <c r="K7449" s="12" t="s">
        <v>12879</v>
      </c>
      <c r="L7449" s="20">
        <v>9.9365750528541227E-2</v>
      </c>
    </row>
    <row r="7450" spans="1:12" x14ac:dyDescent="0.45">
      <c r="A7450" s="12" t="s">
        <v>12845</v>
      </c>
      <c r="B7450" s="12" t="s">
        <v>1023</v>
      </c>
      <c r="C7450" s="13" t="s">
        <v>15</v>
      </c>
      <c r="D7450" s="13" t="s">
        <v>65</v>
      </c>
      <c r="E7450" s="12" t="s">
        <v>35</v>
      </c>
      <c r="F7450" s="14">
        <v>26000</v>
      </c>
      <c r="G7450" s="14">
        <v>23650</v>
      </c>
      <c r="H7450" s="13" t="s">
        <v>12880</v>
      </c>
      <c r="I7450" s="40" t="s">
        <v>18</v>
      </c>
      <c r="J7450" s="40" t="str">
        <f>HYPERLINK("https://stock.pstatic.net/stock-research/company/57/20251107_company_436198000.pdf","PDF")</f>
        <v>PDF</v>
      </c>
      <c r="K7450" s="12" t="s">
        <v>12881</v>
      </c>
      <c r="L7450" s="20">
        <v>9.9365750528541227E-2</v>
      </c>
    </row>
    <row r="7451" spans="1:12" x14ac:dyDescent="0.45">
      <c r="A7451" s="12" t="s">
        <v>12845</v>
      </c>
      <c r="B7451" s="12" t="s">
        <v>2262</v>
      </c>
      <c r="C7451" s="13" t="s">
        <v>2263</v>
      </c>
      <c r="D7451" s="13" t="s">
        <v>65</v>
      </c>
      <c r="E7451" s="12" t="s">
        <v>35</v>
      </c>
      <c r="F7451" s="14">
        <v>15000</v>
      </c>
      <c r="G7451" s="14">
        <v>8780</v>
      </c>
      <c r="H7451" s="13" t="s">
        <v>12882</v>
      </c>
      <c r="I7451" s="40" t="s">
        <v>18</v>
      </c>
      <c r="J7451" s="40" t="str">
        <f>HYPERLINK("https://stock.pstatic.net/stock-research/company/57/20251107_company_632461000.pdf","PDF")</f>
        <v>PDF</v>
      </c>
      <c r="K7451" s="12" t="s">
        <v>12883</v>
      </c>
      <c r="L7451" s="20">
        <v>0.70842824601366738</v>
      </c>
    </row>
    <row r="7452" spans="1:12" x14ac:dyDescent="0.45">
      <c r="A7452" s="12" t="s">
        <v>12845</v>
      </c>
      <c r="B7452" s="12" t="s">
        <v>1660</v>
      </c>
      <c r="C7452" s="13" t="s">
        <v>1661</v>
      </c>
      <c r="D7452" s="13" t="s">
        <v>65</v>
      </c>
      <c r="E7452" s="12" t="s">
        <v>35</v>
      </c>
      <c r="F7452" s="14">
        <v>54000</v>
      </c>
      <c r="G7452" s="14">
        <v>40750</v>
      </c>
      <c r="H7452" s="13" t="s">
        <v>12884</v>
      </c>
      <c r="I7452" s="40" t="s">
        <v>18</v>
      </c>
      <c r="J7452" s="40" t="str">
        <f>HYPERLINK("https://stock.pstatic.net/stock-research/company/57/20251107_company_104275000.pdf","PDF")</f>
        <v>PDF</v>
      </c>
      <c r="K7452" s="12" t="s">
        <v>12885</v>
      </c>
      <c r="L7452" s="20">
        <v>0.32515337423312879</v>
      </c>
    </row>
    <row r="7453" spans="1:12" x14ac:dyDescent="0.45">
      <c r="A7453" s="12" t="s">
        <v>12845</v>
      </c>
      <c r="B7453" s="12" t="s">
        <v>1678</v>
      </c>
      <c r="C7453" s="13" t="s">
        <v>1679</v>
      </c>
      <c r="D7453" s="13" t="s">
        <v>65</v>
      </c>
      <c r="E7453" s="12" t="s">
        <v>35</v>
      </c>
      <c r="F7453" s="14">
        <v>83000</v>
      </c>
      <c r="G7453" s="14">
        <v>64800</v>
      </c>
      <c r="H7453" s="13" t="s">
        <v>12886</v>
      </c>
      <c r="I7453" s="40" t="s">
        <v>18</v>
      </c>
      <c r="J7453" s="40" t="str">
        <f>HYPERLINK("https://stock.pstatic.net/stock-research/company/57/20251107_company_312402000.pdf","PDF")</f>
        <v>PDF</v>
      </c>
      <c r="K7453" s="12" t="s">
        <v>12887</v>
      </c>
      <c r="L7453" s="20">
        <v>0.28086419753086422</v>
      </c>
    </row>
    <row r="7454" spans="1:12" x14ac:dyDescent="0.45">
      <c r="A7454" s="12" t="s">
        <v>12845</v>
      </c>
      <c r="B7454" s="12" t="s">
        <v>1666</v>
      </c>
      <c r="C7454" s="13" t="s">
        <v>1667</v>
      </c>
      <c r="D7454" s="13" t="s">
        <v>65</v>
      </c>
      <c r="E7454" s="12" t="s">
        <v>35</v>
      </c>
      <c r="F7454" s="14">
        <v>73000</v>
      </c>
      <c r="G7454" s="14">
        <v>55400</v>
      </c>
      <c r="H7454" s="13" t="s">
        <v>12888</v>
      </c>
      <c r="I7454" s="40" t="s">
        <v>18</v>
      </c>
      <c r="J7454" s="40" t="str">
        <f>HYPERLINK("https://stock.pstatic.net/stock-research/company/57/20251107_company_552887000.pdf","PDF")</f>
        <v>PDF</v>
      </c>
      <c r="K7454" s="12" t="s">
        <v>12889</v>
      </c>
      <c r="L7454" s="20">
        <v>0.3176895306859206</v>
      </c>
    </row>
    <row r="7455" spans="1:12" x14ac:dyDescent="0.45">
      <c r="A7455" s="12" t="s">
        <v>12845</v>
      </c>
      <c r="B7455" s="12" t="s">
        <v>2982</v>
      </c>
      <c r="C7455" s="13" t="s">
        <v>2983</v>
      </c>
      <c r="D7455" s="13" t="s">
        <v>65</v>
      </c>
      <c r="E7455" s="12" t="s">
        <v>35</v>
      </c>
      <c r="F7455" s="14">
        <v>55000</v>
      </c>
      <c r="G7455" s="14">
        <v>39900</v>
      </c>
      <c r="H7455" s="13" t="s">
        <v>12890</v>
      </c>
      <c r="I7455" s="40" t="s">
        <v>18</v>
      </c>
      <c r="J7455" s="40" t="str">
        <f>HYPERLINK("https://stock.pstatic.net/stock-research/company/57/20251107_company_695951000.pdf","PDF")</f>
        <v>PDF</v>
      </c>
      <c r="K7455" s="12" t="s">
        <v>12891</v>
      </c>
      <c r="L7455" s="20">
        <v>0.37844611528822047</v>
      </c>
    </row>
    <row r="7456" spans="1:12" x14ac:dyDescent="0.45">
      <c r="A7456" s="12" t="s">
        <v>12845</v>
      </c>
      <c r="B7456" s="12" t="s">
        <v>3280</v>
      </c>
      <c r="C7456" s="13" t="s">
        <v>3281</v>
      </c>
      <c r="D7456" s="13" t="s">
        <v>65</v>
      </c>
      <c r="E7456" s="12" t="s">
        <v>35</v>
      </c>
      <c r="F7456" s="14">
        <v>60000</v>
      </c>
      <c r="G7456" s="14">
        <v>46950</v>
      </c>
      <c r="H7456" s="13" t="s">
        <v>12892</v>
      </c>
      <c r="I7456" s="40" t="s">
        <v>18</v>
      </c>
      <c r="J7456" s="40" t="str">
        <f>HYPERLINK("https://stock.pstatic.net/stock-research/company/57/20251107_company_38608000.pdf","PDF")</f>
        <v>PDF</v>
      </c>
      <c r="K7456" s="12" t="s">
        <v>12893</v>
      </c>
      <c r="L7456" s="20">
        <v>0.27795527156549521</v>
      </c>
    </row>
    <row r="7457" spans="1:12" x14ac:dyDescent="0.45">
      <c r="A7457" s="12" t="s">
        <v>12845</v>
      </c>
      <c r="B7457" s="12" t="s">
        <v>1674</v>
      </c>
      <c r="C7457" s="13" t="s">
        <v>1675</v>
      </c>
      <c r="D7457" s="13" t="s">
        <v>65</v>
      </c>
      <c r="E7457" s="12" t="s">
        <v>35</v>
      </c>
      <c r="F7457" s="14">
        <v>520000</v>
      </c>
      <c r="G7457" s="14">
        <v>419000</v>
      </c>
      <c r="H7457" s="13" t="s">
        <v>12894</v>
      </c>
      <c r="I7457" s="40" t="s">
        <v>18</v>
      </c>
      <c r="J7457" s="40" t="str">
        <f>HYPERLINK("https://stock.pstatic.net/stock-research/company/57/20251107_company_88847000.pdf","PDF")</f>
        <v>PDF</v>
      </c>
      <c r="K7457" s="12" t="s">
        <v>12895</v>
      </c>
      <c r="L7457" s="20">
        <v>0.24105011933174231</v>
      </c>
    </row>
    <row r="7458" spans="1:12" x14ac:dyDescent="0.45">
      <c r="A7458" s="12" t="s">
        <v>12845</v>
      </c>
      <c r="B7458" s="12" t="s">
        <v>2781</v>
      </c>
      <c r="C7458" s="13" t="s">
        <v>2782</v>
      </c>
      <c r="D7458" s="13" t="s">
        <v>65</v>
      </c>
      <c r="E7458" s="12" t="s">
        <v>35</v>
      </c>
      <c r="F7458" s="14">
        <v>170000</v>
      </c>
      <c r="G7458" s="14">
        <v>126400</v>
      </c>
      <c r="H7458" s="13" t="s">
        <v>12896</v>
      </c>
      <c r="I7458" s="40" t="s">
        <v>18</v>
      </c>
      <c r="J7458" s="40" t="str">
        <f>HYPERLINK("https://stock.pstatic.net/stock-research/company/57/20251107_company_983865000.pdf","PDF")</f>
        <v>PDF</v>
      </c>
      <c r="K7458" s="12" t="s">
        <v>12897</v>
      </c>
      <c r="L7458" s="20">
        <v>0.3449367088607595</v>
      </c>
    </row>
    <row r="7459" spans="1:12" x14ac:dyDescent="0.45">
      <c r="A7459" s="12" t="s">
        <v>12845</v>
      </c>
      <c r="B7459" s="12" t="s">
        <v>2801</v>
      </c>
      <c r="C7459" s="13" t="s">
        <v>2802</v>
      </c>
      <c r="D7459" s="13" t="s">
        <v>65</v>
      </c>
      <c r="E7459" s="12" t="s">
        <v>35</v>
      </c>
      <c r="F7459" s="14">
        <v>33000</v>
      </c>
      <c r="G7459" s="14">
        <v>21000</v>
      </c>
      <c r="H7459" s="13" t="s">
        <v>12898</v>
      </c>
      <c r="I7459" s="40" t="s">
        <v>18</v>
      </c>
      <c r="J7459" s="40" t="str">
        <f>HYPERLINK("https://stock.pstatic.net/stock-research/company/57/20251107_company_878075000.pdf","PDF")</f>
        <v>PDF</v>
      </c>
      <c r="K7459" s="12" t="s">
        <v>12899</v>
      </c>
      <c r="L7459" s="20">
        <v>0.5714285714285714</v>
      </c>
    </row>
    <row r="7460" spans="1:12" x14ac:dyDescent="0.45">
      <c r="A7460" s="12" t="s">
        <v>12845</v>
      </c>
      <c r="B7460" s="12" t="s">
        <v>495</v>
      </c>
      <c r="C7460" s="13" t="s">
        <v>496</v>
      </c>
      <c r="D7460" s="13" t="s">
        <v>158</v>
      </c>
      <c r="E7460" s="12" t="s">
        <v>35</v>
      </c>
      <c r="F7460" s="14">
        <v>330000</v>
      </c>
      <c r="G7460" s="14">
        <v>234000</v>
      </c>
      <c r="H7460" s="13" t="s">
        <v>12900</v>
      </c>
      <c r="I7460" s="40" t="s">
        <v>18</v>
      </c>
      <c r="J7460" s="40" t="str">
        <f>HYPERLINK("https://stock.pstatic.net/stock-research/company/18/20251107_company_75646000.pdf","PDF")</f>
        <v>PDF</v>
      </c>
      <c r="K7460" s="12" t="s">
        <v>12901</v>
      </c>
      <c r="L7460" s="20">
        <v>0.41025641025641019</v>
      </c>
    </row>
    <row r="7461" spans="1:12" x14ac:dyDescent="0.45">
      <c r="A7461" s="12" t="s">
        <v>12845</v>
      </c>
      <c r="B7461" s="12" t="s">
        <v>2191</v>
      </c>
      <c r="C7461" s="13" t="s">
        <v>2192</v>
      </c>
      <c r="D7461" s="13" t="s">
        <v>158</v>
      </c>
      <c r="E7461" s="12" t="s">
        <v>35</v>
      </c>
      <c r="F7461" s="14">
        <v>96000</v>
      </c>
      <c r="G7461" s="14">
        <v>67800</v>
      </c>
      <c r="H7461" s="13" t="s">
        <v>12902</v>
      </c>
      <c r="I7461" s="40" t="s">
        <v>18</v>
      </c>
      <c r="J7461" s="40" t="str">
        <f>HYPERLINK("https://stock.pstatic.net/stock-research/company/18/20251107_company_957935000.pdf","PDF")</f>
        <v>PDF</v>
      </c>
      <c r="K7461" s="12" t="s">
        <v>12903</v>
      </c>
      <c r="L7461" s="20">
        <v>0.41592920353982299</v>
      </c>
    </row>
    <row r="7462" spans="1:12" x14ac:dyDescent="0.45">
      <c r="A7462" s="12" t="s">
        <v>12845</v>
      </c>
      <c r="B7462" s="12" t="s">
        <v>1023</v>
      </c>
      <c r="C7462" s="13" t="s">
        <v>15</v>
      </c>
      <c r="D7462" s="13" t="s">
        <v>158</v>
      </c>
      <c r="E7462" s="12" t="s">
        <v>35</v>
      </c>
      <c r="F7462" s="14">
        <v>29000</v>
      </c>
      <c r="G7462" s="14">
        <v>23650</v>
      </c>
      <c r="H7462" s="13" t="s">
        <v>12904</v>
      </c>
      <c r="I7462" s="40" t="s">
        <v>18</v>
      </c>
      <c r="J7462" s="40" t="str">
        <f>HYPERLINK("https://stock.pstatic.net/stock-research/company/18/20251107_company_416160000.pdf","PDF")</f>
        <v>PDF</v>
      </c>
      <c r="K7462" s="12" t="s">
        <v>12905</v>
      </c>
      <c r="L7462" s="20">
        <v>0.22621564482029599</v>
      </c>
    </row>
    <row r="7463" spans="1:12" x14ac:dyDescent="0.45">
      <c r="A7463" s="12" t="s">
        <v>12845</v>
      </c>
      <c r="B7463" s="12" t="s">
        <v>2225</v>
      </c>
      <c r="C7463" s="13" t="s">
        <v>5282</v>
      </c>
      <c r="D7463" s="13" t="s">
        <v>158</v>
      </c>
      <c r="E7463" s="12" t="s">
        <v>35</v>
      </c>
      <c r="F7463" s="14">
        <v>592000</v>
      </c>
      <c r="G7463" s="14">
        <v>481000</v>
      </c>
      <c r="H7463" s="13" t="s">
        <v>12906</v>
      </c>
      <c r="I7463" s="40" t="s">
        <v>18</v>
      </c>
      <c r="J7463" s="40" t="str">
        <f>HYPERLINK("https://stock.pstatic.net/stock-research/company/18/20251107_company_544351000.pdf","PDF")</f>
        <v>PDF</v>
      </c>
      <c r="K7463" s="12" t="s">
        <v>12907</v>
      </c>
      <c r="L7463" s="20">
        <v>0.23076923076923081</v>
      </c>
    </row>
    <row r="7464" spans="1:12" x14ac:dyDescent="0.45">
      <c r="A7464" s="12" t="s">
        <v>12845</v>
      </c>
      <c r="B7464" s="12" t="s">
        <v>2576</v>
      </c>
      <c r="C7464" s="13" t="s">
        <v>2577</v>
      </c>
      <c r="D7464" s="13" t="s">
        <v>158</v>
      </c>
      <c r="E7464" s="12" t="s">
        <v>50</v>
      </c>
      <c r="F7464" s="13"/>
      <c r="G7464" s="14">
        <v>1001000</v>
      </c>
      <c r="H7464" s="13" t="s">
        <v>12908</v>
      </c>
      <c r="I7464" s="40" t="s">
        <v>18</v>
      </c>
      <c r="J7464" s="40" t="str">
        <f>HYPERLINK("https://stock.pstatic.net/stock-research/company/18/20251107_company_448839000.pdf","PDF")</f>
        <v>PDF</v>
      </c>
      <c r="K7464" s="12" t="s">
        <v>12909</v>
      </c>
    </row>
    <row r="7465" spans="1:12" x14ac:dyDescent="0.45">
      <c r="A7465" s="12" t="s">
        <v>12845</v>
      </c>
      <c r="B7465" s="12" t="s">
        <v>1065</v>
      </c>
      <c r="C7465" s="13" t="s">
        <v>1066</v>
      </c>
      <c r="D7465" s="13" t="s">
        <v>158</v>
      </c>
      <c r="E7465" s="12" t="s">
        <v>35</v>
      </c>
      <c r="F7465" s="14">
        <v>224000</v>
      </c>
      <c r="G7465" s="14">
        <v>159600</v>
      </c>
      <c r="H7465" s="13" t="s">
        <v>12910</v>
      </c>
      <c r="I7465" s="40" t="s">
        <v>18</v>
      </c>
      <c r="J7465" s="40" t="str">
        <f>HYPERLINK("https://stock.pstatic.net/stock-research/company/18/20251107_company_557302000.pdf","PDF")</f>
        <v>PDF</v>
      </c>
      <c r="K7465" s="12" t="s">
        <v>12911</v>
      </c>
      <c r="L7465" s="20">
        <v>0.40350877192982448</v>
      </c>
    </row>
    <row r="7466" spans="1:12" x14ac:dyDescent="0.45">
      <c r="A7466" s="12" t="s">
        <v>12845</v>
      </c>
      <c r="B7466" s="12" t="s">
        <v>2425</v>
      </c>
      <c r="C7466" s="13" t="s">
        <v>2426</v>
      </c>
      <c r="D7466" s="13" t="s">
        <v>158</v>
      </c>
      <c r="E7466" s="12" t="s">
        <v>35</v>
      </c>
      <c r="F7466" s="14">
        <v>200000</v>
      </c>
      <c r="G7466" s="14">
        <v>137700</v>
      </c>
      <c r="H7466" s="13" t="s">
        <v>12912</v>
      </c>
      <c r="I7466" s="40" t="s">
        <v>18</v>
      </c>
      <c r="J7466" s="40" t="str">
        <f>HYPERLINK("https://stock.pstatic.net/stock-research/company/18/20251107_company_257216000.pdf","PDF")</f>
        <v>PDF</v>
      </c>
      <c r="K7466" s="12" t="s">
        <v>12913</v>
      </c>
      <c r="L7466" s="20">
        <v>0.45243282498184462</v>
      </c>
    </row>
    <row r="7467" spans="1:12" x14ac:dyDescent="0.45">
      <c r="A7467" s="12" t="s">
        <v>12845</v>
      </c>
      <c r="B7467" s="12" t="s">
        <v>2191</v>
      </c>
      <c r="C7467" s="13" t="s">
        <v>2192</v>
      </c>
      <c r="D7467" s="13" t="s">
        <v>83</v>
      </c>
      <c r="E7467" s="12" t="s">
        <v>35</v>
      </c>
      <c r="F7467" s="14">
        <v>100000</v>
      </c>
      <c r="G7467" s="14">
        <v>67800</v>
      </c>
      <c r="H7467" s="13" t="s">
        <v>12914</v>
      </c>
      <c r="I7467" s="40" t="s">
        <v>18</v>
      </c>
      <c r="J7467" s="40" t="str">
        <f>HYPERLINK("https://stock.pstatic.net/stock-research/company/2/20251107_company_102200000.pdf","PDF")</f>
        <v>PDF</v>
      </c>
      <c r="K7467" s="12" t="s">
        <v>12915</v>
      </c>
      <c r="L7467" s="20">
        <v>0.47492625368731561</v>
      </c>
    </row>
    <row r="7468" spans="1:12" x14ac:dyDescent="0.45">
      <c r="A7468" s="12" t="s">
        <v>12845</v>
      </c>
      <c r="B7468" s="12" t="s">
        <v>495</v>
      </c>
      <c r="C7468" s="13" t="s">
        <v>496</v>
      </c>
      <c r="D7468" s="13" t="s">
        <v>83</v>
      </c>
      <c r="E7468" s="12" t="s">
        <v>35</v>
      </c>
      <c r="F7468" s="14">
        <v>300000</v>
      </c>
      <c r="G7468" s="14">
        <v>234000</v>
      </c>
      <c r="H7468" s="13" t="s">
        <v>12916</v>
      </c>
      <c r="I7468" s="40" t="s">
        <v>18</v>
      </c>
      <c r="J7468" s="40" t="str">
        <f>HYPERLINK("https://stock.pstatic.net/stock-research/company/2/20251107_company_63282000.pdf","PDF")</f>
        <v>PDF</v>
      </c>
      <c r="K7468" s="12" t="s">
        <v>12917</v>
      </c>
      <c r="L7468" s="20">
        <v>0.28205128205128199</v>
      </c>
    </row>
    <row r="7469" spans="1:12" x14ac:dyDescent="0.45">
      <c r="A7469" s="12" t="s">
        <v>12845</v>
      </c>
      <c r="B7469" s="12" t="s">
        <v>2425</v>
      </c>
      <c r="C7469" s="13" t="s">
        <v>2426</v>
      </c>
      <c r="D7469" s="13" t="s">
        <v>83</v>
      </c>
      <c r="E7469" s="12" t="s">
        <v>35</v>
      </c>
      <c r="F7469" s="14">
        <v>170000</v>
      </c>
      <c r="G7469" s="14">
        <v>137700</v>
      </c>
      <c r="H7469" s="13" t="s">
        <v>12918</v>
      </c>
      <c r="I7469" s="40" t="s">
        <v>18</v>
      </c>
      <c r="J7469" s="40" t="str">
        <f>HYPERLINK("https://stock.pstatic.net/stock-research/company/2/20251107_company_759525000.pdf","PDF")</f>
        <v>PDF</v>
      </c>
      <c r="K7469" s="12" t="s">
        <v>12919</v>
      </c>
      <c r="L7469" s="20">
        <v>0.23456790123456789</v>
      </c>
    </row>
    <row r="7470" spans="1:12" x14ac:dyDescent="0.45">
      <c r="A7470" s="12" t="s">
        <v>12845</v>
      </c>
      <c r="B7470" s="12" t="s">
        <v>2781</v>
      </c>
      <c r="C7470" s="13" t="s">
        <v>2782</v>
      </c>
      <c r="D7470" s="13" t="s">
        <v>83</v>
      </c>
      <c r="E7470" s="12" t="s">
        <v>35</v>
      </c>
      <c r="F7470" s="14">
        <v>160000</v>
      </c>
      <c r="G7470" s="14">
        <v>126400</v>
      </c>
      <c r="H7470" s="13" t="s">
        <v>12920</v>
      </c>
      <c r="I7470" s="40" t="s">
        <v>18</v>
      </c>
      <c r="J7470" s="40" t="str">
        <f>HYPERLINK("https://stock.pstatic.net/stock-research/company/2/20251107_company_962242000.pdf","PDF")</f>
        <v>PDF</v>
      </c>
      <c r="K7470" s="12" t="s">
        <v>12921</v>
      </c>
      <c r="L7470" s="20">
        <v>0.26582278481012661</v>
      </c>
    </row>
    <row r="7471" spans="1:12" x14ac:dyDescent="0.45">
      <c r="A7471" s="12" t="s">
        <v>12845</v>
      </c>
      <c r="B7471" s="12" t="s">
        <v>434</v>
      </c>
      <c r="C7471" s="13" t="s">
        <v>435</v>
      </c>
      <c r="D7471" s="13" t="s">
        <v>83</v>
      </c>
      <c r="E7471" s="12" t="s">
        <v>35</v>
      </c>
      <c r="F7471" s="14">
        <v>160000</v>
      </c>
      <c r="G7471" s="14">
        <v>118600</v>
      </c>
      <c r="H7471" s="13" t="s">
        <v>12922</v>
      </c>
      <c r="I7471" s="40" t="s">
        <v>18</v>
      </c>
      <c r="J7471" s="40" t="str">
        <f>HYPERLINK("https://stock.pstatic.net/stock-research/company/2/20251107_company_914567000.pdf","PDF")</f>
        <v>PDF</v>
      </c>
      <c r="K7471" s="12" t="s">
        <v>12923</v>
      </c>
      <c r="L7471" s="20">
        <v>0.34907251264755479</v>
      </c>
    </row>
    <row r="7472" spans="1:12" x14ac:dyDescent="0.45">
      <c r="A7472" s="12" t="s">
        <v>12845</v>
      </c>
      <c r="B7472" s="12" t="s">
        <v>2262</v>
      </c>
      <c r="C7472" s="13" t="s">
        <v>2263</v>
      </c>
      <c r="D7472" s="13" t="s">
        <v>83</v>
      </c>
      <c r="E7472" s="12" t="s">
        <v>35</v>
      </c>
      <c r="F7472" s="14">
        <v>17000</v>
      </c>
      <c r="G7472" s="14">
        <v>8780</v>
      </c>
      <c r="H7472" s="13" t="s">
        <v>12924</v>
      </c>
      <c r="I7472" s="40" t="s">
        <v>18</v>
      </c>
      <c r="J7472" s="40" t="str">
        <f>HYPERLINK("https://stock.pstatic.net/stock-research/company/2/20251107_company_163833000.pdf","PDF")</f>
        <v>PDF</v>
      </c>
      <c r="K7472" s="12" t="s">
        <v>12925</v>
      </c>
      <c r="L7472" s="20">
        <v>0.9362186788154897</v>
      </c>
    </row>
    <row r="7473" spans="1:12" x14ac:dyDescent="0.45">
      <c r="A7473" s="12" t="s">
        <v>12845</v>
      </c>
      <c r="B7473" s="12" t="s">
        <v>1660</v>
      </c>
      <c r="C7473" s="13" t="s">
        <v>1661</v>
      </c>
      <c r="D7473" s="13" t="s">
        <v>83</v>
      </c>
      <c r="E7473" s="12" t="s">
        <v>35</v>
      </c>
      <c r="F7473" s="14">
        <v>64000</v>
      </c>
      <c r="G7473" s="14">
        <v>40750</v>
      </c>
      <c r="H7473" s="13" t="s">
        <v>12926</v>
      </c>
      <c r="I7473" s="40" t="s">
        <v>18</v>
      </c>
      <c r="J7473" s="40" t="str">
        <f>HYPERLINK("https://stock.pstatic.net/stock-research/company/2/20251107_company_394720000.pdf","PDF")</f>
        <v>PDF</v>
      </c>
      <c r="K7473" s="12" t="s">
        <v>12927</v>
      </c>
      <c r="L7473" s="20">
        <v>0.57055214723926384</v>
      </c>
    </row>
    <row r="7474" spans="1:12" x14ac:dyDescent="0.45">
      <c r="A7474" s="12" t="s">
        <v>12845</v>
      </c>
      <c r="B7474" s="12" t="s">
        <v>1678</v>
      </c>
      <c r="C7474" s="13" t="s">
        <v>1679</v>
      </c>
      <c r="D7474" s="13" t="s">
        <v>83</v>
      </c>
      <c r="E7474" s="12" t="s">
        <v>35</v>
      </c>
      <c r="F7474" s="14">
        <v>86000</v>
      </c>
      <c r="G7474" s="14">
        <v>64800</v>
      </c>
      <c r="H7474" s="13" t="s">
        <v>12928</v>
      </c>
      <c r="I7474" s="40" t="s">
        <v>18</v>
      </c>
      <c r="J7474" s="40" t="str">
        <f>HYPERLINK("https://stock.pstatic.net/stock-research/company/2/20251107_company_930002000.pdf","PDF")</f>
        <v>PDF</v>
      </c>
      <c r="K7474" s="12" t="s">
        <v>12929</v>
      </c>
      <c r="L7474" s="20">
        <v>0.3271604938271605</v>
      </c>
    </row>
    <row r="7475" spans="1:12" x14ac:dyDescent="0.45">
      <c r="A7475" s="12" t="s">
        <v>12845</v>
      </c>
      <c r="B7475" s="12" t="s">
        <v>2286</v>
      </c>
      <c r="C7475" s="13" t="s">
        <v>2287</v>
      </c>
      <c r="D7475" s="13" t="s">
        <v>83</v>
      </c>
      <c r="E7475" s="12" t="s">
        <v>35</v>
      </c>
      <c r="F7475" s="14">
        <v>7000</v>
      </c>
      <c r="G7475" s="14">
        <v>4850</v>
      </c>
      <c r="H7475" s="13" t="s">
        <v>12930</v>
      </c>
      <c r="I7475" s="40" t="s">
        <v>18</v>
      </c>
      <c r="J7475" s="40" t="str">
        <f>HYPERLINK("https://stock.pstatic.net/stock-research/company/2/20251107_company_99694000.pdf","PDF")</f>
        <v>PDF</v>
      </c>
      <c r="K7475" s="12" t="s">
        <v>12931</v>
      </c>
      <c r="L7475" s="20">
        <v>0.44329896907216487</v>
      </c>
    </row>
    <row r="7476" spans="1:12" x14ac:dyDescent="0.45">
      <c r="A7476" s="12" t="s">
        <v>12845</v>
      </c>
      <c r="B7476" s="12" t="s">
        <v>2365</v>
      </c>
      <c r="C7476" s="13" t="s">
        <v>2366</v>
      </c>
      <c r="D7476" s="13" t="s">
        <v>15</v>
      </c>
      <c r="E7476" s="12" t="s">
        <v>16</v>
      </c>
      <c r="F7476" s="14">
        <v>180000</v>
      </c>
      <c r="G7476" s="14">
        <v>127700</v>
      </c>
      <c r="H7476" s="13" t="s">
        <v>12932</v>
      </c>
      <c r="I7476" s="40" t="s">
        <v>18</v>
      </c>
      <c r="J7476" s="40" t="str">
        <f>HYPERLINK("https://stock.pstatic.net/stock-research/company/29/20251107_company_163166000.pdf","PDF")</f>
        <v>PDF</v>
      </c>
      <c r="K7476" s="12" t="s">
        <v>12933</v>
      </c>
      <c r="L7476" s="20">
        <v>0.4095536413469068</v>
      </c>
    </row>
    <row r="7477" spans="1:12" x14ac:dyDescent="0.45">
      <c r="A7477" s="12" t="s">
        <v>12845</v>
      </c>
      <c r="B7477" s="12" t="s">
        <v>2982</v>
      </c>
      <c r="C7477" s="13" t="s">
        <v>2983</v>
      </c>
      <c r="D7477" s="13" t="s">
        <v>15</v>
      </c>
      <c r="E7477" s="12" t="s">
        <v>16</v>
      </c>
      <c r="F7477" s="14">
        <v>59000</v>
      </c>
      <c r="G7477" s="14">
        <v>39900</v>
      </c>
      <c r="H7477" s="13" t="s">
        <v>12934</v>
      </c>
      <c r="I7477" s="40" t="s">
        <v>18</v>
      </c>
      <c r="J7477" s="40" t="str">
        <f>HYPERLINK("https://stock.pstatic.net/stock-research/company/29/20251107_company_164677000.pdf","PDF")</f>
        <v>PDF</v>
      </c>
      <c r="K7477" s="12" t="s">
        <v>12935</v>
      </c>
      <c r="L7477" s="20">
        <v>0.47869674185463662</v>
      </c>
    </row>
    <row r="7478" spans="1:12" x14ac:dyDescent="0.45">
      <c r="A7478" s="12" t="s">
        <v>12845</v>
      </c>
      <c r="B7478" s="12" t="s">
        <v>2225</v>
      </c>
      <c r="C7478" s="13" t="s">
        <v>5282</v>
      </c>
      <c r="D7478" s="13" t="s">
        <v>15</v>
      </c>
      <c r="E7478" s="12" t="s">
        <v>385</v>
      </c>
      <c r="F7478" s="14">
        <v>510000</v>
      </c>
      <c r="G7478" s="14">
        <v>481000</v>
      </c>
      <c r="H7478" s="13" t="s">
        <v>12936</v>
      </c>
      <c r="I7478" s="40" t="s">
        <v>18</v>
      </c>
      <c r="J7478" s="40" t="str">
        <f>HYPERLINK("https://stock.pstatic.net/stock-research/company/29/20251107_company_412505000.pdf","PDF")</f>
        <v>PDF</v>
      </c>
      <c r="K7478" s="12" t="s">
        <v>12937</v>
      </c>
      <c r="L7478" s="20">
        <v>6.0291060291060287E-2</v>
      </c>
    </row>
    <row r="7479" spans="1:12" x14ac:dyDescent="0.45">
      <c r="A7479" s="12" t="s">
        <v>12845</v>
      </c>
      <c r="B7479" s="12" t="s">
        <v>495</v>
      </c>
      <c r="C7479" s="13" t="s">
        <v>496</v>
      </c>
      <c r="D7479" s="13" t="s">
        <v>15</v>
      </c>
      <c r="E7479" s="12" t="s">
        <v>16</v>
      </c>
      <c r="F7479" s="14">
        <v>300000</v>
      </c>
      <c r="G7479" s="14">
        <v>234000</v>
      </c>
      <c r="H7479" s="13" t="s">
        <v>12938</v>
      </c>
      <c r="I7479" s="40" t="s">
        <v>18</v>
      </c>
      <c r="J7479" s="40" t="str">
        <f>HYPERLINK("https://stock.pstatic.net/stock-research/company/29/20251107_company_713966000.pdf","PDF")</f>
        <v>PDF</v>
      </c>
      <c r="K7479" s="12" t="s">
        <v>12939</v>
      </c>
      <c r="L7479" s="20">
        <v>0.28205128205128199</v>
      </c>
    </row>
    <row r="7480" spans="1:12" x14ac:dyDescent="0.45">
      <c r="A7480" s="12" t="s">
        <v>12845</v>
      </c>
      <c r="B7480" s="12" t="s">
        <v>2308</v>
      </c>
      <c r="C7480" s="13" t="s">
        <v>2309</v>
      </c>
      <c r="D7480" s="13" t="s">
        <v>92</v>
      </c>
      <c r="E7480" s="12" t="s">
        <v>35</v>
      </c>
      <c r="F7480" s="14">
        <v>21000</v>
      </c>
      <c r="G7480" s="14">
        <v>16520</v>
      </c>
      <c r="H7480" s="13" t="s">
        <v>12940</v>
      </c>
      <c r="I7480" s="40" t="s">
        <v>18</v>
      </c>
      <c r="J7480" s="40" t="str">
        <f>HYPERLINK("https://stock.pstatic.net/stock-research/company/63/20251107_company_31240000.pdf","PDF")</f>
        <v>PDF</v>
      </c>
      <c r="K7480" s="12" t="s">
        <v>12941</v>
      </c>
      <c r="L7480" s="20">
        <v>0.2711864406779661</v>
      </c>
    </row>
    <row r="7481" spans="1:12" x14ac:dyDescent="0.45">
      <c r="A7481" s="12" t="s">
        <v>12845</v>
      </c>
      <c r="B7481" s="12" t="s">
        <v>2304</v>
      </c>
      <c r="C7481" s="13" t="s">
        <v>2305</v>
      </c>
      <c r="D7481" s="13" t="s">
        <v>92</v>
      </c>
      <c r="E7481" s="12" t="s">
        <v>35</v>
      </c>
      <c r="F7481" s="14">
        <v>17000</v>
      </c>
      <c r="G7481" s="14">
        <v>13190</v>
      </c>
      <c r="H7481" s="13" t="s">
        <v>12942</v>
      </c>
      <c r="I7481" s="40" t="s">
        <v>18</v>
      </c>
      <c r="J7481" s="40" t="str">
        <f>HYPERLINK("https://stock.pstatic.net/stock-research/company/63/20251107_company_416664000.pdf","PDF")</f>
        <v>PDF</v>
      </c>
      <c r="K7481" s="12" t="s">
        <v>12943</v>
      </c>
      <c r="L7481" s="20">
        <v>0.28885519332827903</v>
      </c>
    </row>
    <row r="7482" spans="1:12" x14ac:dyDescent="0.45">
      <c r="A7482" s="12" t="s">
        <v>12845</v>
      </c>
      <c r="B7482" s="12" t="s">
        <v>1184</v>
      </c>
      <c r="C7482" s="13" t="s">
        <v>1185</v>
      </c>
      <c r="D7482" s="13" t="s">
        <v>15</v>
      </c>
      <c r="E7482" s="12" t="s">
        <v>16</v>
      </c>
      <c r="F7482" s="14">
        <v>25000</v>
      </c>
      <c r="G7482" s="14">
        <v>18490</v>
      </c>
      <c r="H7482" s="13" t="s">
        <v>12944</v>
      </c>
      <c r="I7482" s="40" t="s">
        <v>18</v>
      </c>
      <c r="J7482" s="40" t="str">
        <f>HYPERLINK("https://stock.pstatic.net/stock-research/company/29/20251107_company_483998000.pdf","PDF")</f>
        <v>PDF</v>
      </c>
      <c r="K7482" s="12" t="s">
        <v>12945</v>
      </c>
      <c r="L7482" s="20">
        <v>0.3520822065981612</v>
      </c>
    </row>
    <row r="7483" spans="1:12" x14ac:dyDescent="0.45">
      <c r="A7483" s="12" t="s">
        <v>12845</v>
      </c>
      <c r="B7483" s="12" t="s">
        <v>1817</v>
      </c>
      <c r="C7483" s="13" t="s">
        <v>1818</v>
      </c>
      <c r="D7483" s="13" t="s">
        <v>92</v>
      </c>
      <c r="E7483" s="12" t="s">
        <v>35</v>
      </c>
      <c r="F7483" s="14">
        <v>60000</v>
      </c>
      <c r="G7483" s="14">
        <v>50600</v>
      </c>
      <c r="H7483" s="13" t="s">
        <v>12946</v>
      </c>
      <c r="I7483" s="40" t="s">
        <v>18</v>
      </c>
      <c r="J7483" s="40" t="str">
        <f>HYPERLINK("https://stock.pstatic.net/stock-research/company/63/20251107_company_50834000.pdf","PDF")</f>
        <v>PDF</v>
      </c>
      <c r="K7483" s="12" t="s">
        <v>12947</v>
      </c>
      <c r="L7483" s="20">
        <v>0.1857707509881423</v>
      </c>
    </row>
    <row r="7484" spans="1:12" x14ac:dyDescent="0.45">
      <c r="A7484" s="12" t="s">
        <v>12845</v>
      </c>
      <c r="B7484" s="12" t="s">
        <v>2191</v>
      </c>
      <c r="C7484" s="13" t="s">
        <v>2192</v>
      </c>
      <c r="D7484" s="13" t="s">
        <v>15</v>
      </c>
      <c r="E7484" s="12" t="s">
        <v>16</v>
      </c>
      <c r="F7484" s="14">
        <v>100000</v>
      </c>
      <c r="G7484" s="14">
        <v>67800</v>
      </c>
      <c r="H7484" s="13" t="s">
        <v>12948</v>
      </c>
      <c r="I7484" s="40" t="s">
        <v>18</v>
      </c>
      <c r="J7484" s="40" t="str">
        <f>HYPERLINK("https://stock.pstatic.net/stock-research/company/29/20251107_company_962016000.pdf","PDF")</f>
        <v>PDF</v>
      </c>
      <c r="K7484" s="12" t="s">
        <v>12949</v>
      </c>
      <c r="L7484" s="20">
        <v>0.47492625368731561</v>
      </c>
    </row>
    <row r="7485" spans="1:12" x14ac:dyDescent="0.45">
      <c r="A7485" s="12" t="s">
        <v>12845</v>
      </c>
      <c r="B7485" s="12" t="s">
        <v>468</v>
      </c>
      <c r="C7485" s="13" t="s">
        <v>469</v>
      </c>
      <c r="D7485" s="13" t="s">
        <v>92</v>
      </c>
      <c r="E7485" s="12" t="s">
        <v>35</v>
      </c>
      <c r="F7485" s="14">
        <v>23000</v>
      </c>
      <c r="G7485" s="14">
        <v>15960</v>
      </c>
      <c r="H7485" s="13" t="s">
        <v>12950</v>
      </c>
      <c r="I7485" s="40" t="s">
        <v>18</v>
      </c>
      <c r="J7485" s="40" t="str">
        <f>HYPERLINK("https://stock.pstatic.net/stock-research/company/63/20251107_company_360187000.pdf","PDF")</f>
        <v>PDF</v>
      </c>
      <c r="K7485" s="12" t="s">
        <v>12951</v>
      </c>
      <c r="L7485" s="20">
        <v>0.44110275689223061</v>
      </c>
    </row>
    <row r="7486" spans="1:12" x14ac:dyDescent="0.45">
      <c r="A7486" s="12" t="s">
        <v>12845</v>
      </c>
      <c r="B7486" s="12" t="s">
        <v>1097</v>
      </c>
      <c r="C7486" s="13" t="s">
        <v>1098</v>
      </c>
      <c r="D7486" s="13" t="s">
        <v>23</v>
      </c>
      <c r="E7486" s="12" t="s">
        <v>16</v>
      </c>
      <c r="F7486" s="14">
        <v>145000</v>
      </c>
      <c r="G7486" s="14">
        <v>105600</v>
      </c>
      <c r="H7486" s="13" t="s">
        <v>12952</v>
      </c>
      <c r="I7486" s="40" t="s">
        <v>18</v>
      </c>
      <c r="J7486" s="40" t="str">
        <f>HYPERLINK("https://stock.pstatic.net/stock-research/company/21/20251107_company_271074000.pdf","PDF")</f>
        <v>PDF</v>
      </c>
      <c r="K7486" s="12" t="s">
        <v>12953</v>
      </c>
      <c r="L7486" s="20">
        <v>0.37310606060606061</v>
      </c>
    </row>
    <row r="7487" spans="1:12" x14ac:dyDescent="0.45">
      <c r="A7487" s="12" t="s">
        <v>12845</v>
      </c>
      <c r="B7487" s="12" t="s">
        <v>1184</v>
      </c>
      <c r="C7487" s="13" t="s">
        <v>1185</v>
      </c>
      <c r="D7487" s="13" t="s">
        <v>23</v>
      </c>
      <c r="E7487" s="12" t="s">
        <v>16</v>
      </c>
      <c r="F7487" s="14">
        <v>22000</v>
      </c>
      <c r="G7487" s="14">
        <v>18490</v>
      </c>
      <c r="H7487" s="13" t="s">
        <v>12954</v>
      </c>
      <c r="I7487" s="40" t="s">
        <v>18</v>
      </c>
      <c r="J7487" s="40" t="str">
        <f>HYPERLINK("https://stock.pstatic.net/stock-research/company/21/20251107_company_824378000.pdf","PDF")</f>
        <v>PDF</v>
      </c>
      <c r="K7487" s="12" t="s">
        <v>12955</v>
      </c>
      <c r="L7487" s="20">
        <v>0.18983234180638181</v>
      </c>
    </row>
    <row r="7488" spans="1:12" x14ac:dyDescent="0.45">
      <c r="A7488" s="12" t="s">
        <v>12845</v>
      </c>
      <c r="B7488" s="12" t="s">
        <v>495</v>
      </c>
      <c r="C7488" s="13" t="s">
        <v>496</v>
      </c>
      <c r="D7488" s="13" t="s">
        <v>23</v>
      </c>
      <c r="E7488" s="12" t="s">
        <v>16</v>
      </c>
      <c r="F7488" s="14">
        <v>300000</v>
      </c>
      <c r="G7488" s="14">
        <v>234000</v>
      </c>
      <c r="H7488" s="13" t="s">
        <v>12956</v>
      </c>
      <c r="I7488" s="40" t="s">
        <v>18</v>
      </c>
      <c r="J7488" s="40" t="str">
        <f>HYPERLINK("https://stock.pstatic.net/stock-research/company/21/20251107_company_334825000.pdf","PDF")</f>
        <v>PDF</v>
      </c>
      <c r="K7488" s="12" t="s">
        <v>12957</v>
      </c>
      <c r="L7488" s="20">
        <v>0.28205128205128199</v>
      </c>
    </row>
    <row r="7489" spans="1:12" x14ac:dyDescent="0.45">
      <c r="A7489" s="12" t="s">
        <v>12845</v>
      </c>
      <c r="B7489" s="12" t="s">
        <v>434</v>
      </c>
      <c r="C7489" s="13" t="s">
        <v>435</v>
      </c>
      <c r="D7489" s="13" t="s">
        <v>23</v>
      </c>
      <c r="E7489" s="12" t="s">
        <v>16</v>
      </c>
      <c r="F7489" s="14">
        <v>185000</v>
      </c>
      <c r="G7489" s="14">
        <v>118600</v>
      </c>
      <c r="H7489" s="13" t="s">
        <v>12958</v>
      </c>
      <c r="I7489" s="40" t="s">
        <v>18</v>
      </c>
      <c r="J7489" s="40" t="str">
        <f>HYPERLINK("https://stock.pstatic.net/stock-research/company/21/20251107_company_397290000.pdf","PDF")</f>
        <v>PDF</v>
      </c>
      <c r="K7489" s="12" t="s">
        <v>12959</v>
      </c>
      <c r="L7489" s="20">
        <v>0.55986509274873519</v>
      </c>
    </row>
    <row r="7490" spans="1:12" x14ac:dyDescent="0.45">
      <c r="A7490" s="12" t="s">
        <v>12845</v>
      </c>
      <c r="B7490" s="12" t="s">
        <v>2262</v>
      </c>
      <c r="C7490" s="13" t="s">
        <v>2263</v>
      </c>
      <c r="D7490" s="13" t="s">
        <v>92</v>
      </c>
      <c r="E7490" s="12" t="s">
        <v>35</v>
      </c>
      <c r="F7490" s="14">
        <v>12000</v>
      </c>
      <c r="G7490" s="14">
        <v>8780</v>
      </c>
      <c r="H7490" s="13" t="s">
        <v>12960</v>
      </c>
      <c r="I7490" s="40" t="s">
        <v>18</v>
      </c>
      <c r="J7490" s="40" t="str">
        <f>HYPERLINK("https://stock.pstatic.net/stock-research/company/63/20251107_company_758989000.pdf","PDF")</f>
        <v>PDF</v>
      </c>
      <c r="K7490" s="12" t="s">
        <v>12961</v>
      </c>
      <c r="L7490" s="20">
        <v>0.36674259681093402</v>
      </c>
    </row>
    <row r="7491" spans="1:12" x14ac:dyDescent="0.45">
      <c r="A7491" s="12" t="s">
        <v>12845</v>
      </c>
      <c r="B7491" s="12" t="s">
        <v>1660</v>
      </c>
      <c r="C7491" s="13" t="s">
        <v>1661</v>
      </c>
      <c r="D7491" s="13" t="s">
        <v>92</v>
      </c>
      <c r="E7491" s="12" t="s">
        <v>35</v>
      </c>
      <c r="F7491" s="14">
        <v>55000</v>
      </c>
      <c r="G7491" s="14">
        <v>40750</v>
      </c>
      <c r="H7491" s="13" t="s">
        <v>12962</v>
      </c>
      <c r="I7491" s="40" t="s">
        <v>18</v>
      </c>
      <c r="J7491" s="40" t="str">
        <f>HYPERLINK("https://stock.pstatic.net/stock-research/company/63/20251107_company_287244000.pdf","PDF")</f>
        <v>PDF</v>
      </c>
      <c r="K7491" s="12" t="s">
        <v>12963</v>
      </c>
      <c r="L7491" s="20">
        <v>0.34969325153374231</v>
      </c>
    </row>
    <row r="7492" spans="1:12" x14ac:dyDescent="0.45">
      <c r="A7492" s="12" t="s">
        <v>12845</v>
      </c>
      <c r="B7492" s="12" t="s">
        <v>1666</v>
      </c>
      <c r="C7492" s="13" t="s">
        <v>1667</v>
      </c>
      <c r="D7492" s="13" t="s">
        <v>15</v>
      </c>
      <c r="E7492" s="12" t="s">
        <v>16</v>
      </c>
      <c r="F7492" s="14">
        <v>95000</v>
      </c>
      <c r="G7492" s="14">
        <v>55400</v>
      </c>
      <c r="H7492" s="13" t="s">
        <v>12964</v>
      </c>
      <c r="I7492" s="40" t="s">
        <v>18</v>
      </c>
      <c r="J7492" s="40" t="str">
        <f>HYPERLINK("https://stock.pstatic.net/stock-research/company/29/20251107_company_338968000.pdf","PDF")</f>
        <v>PDF</v>
      </c>
      <c r="K7492" s="12" t="s">
        <v>12965</v>
      </c>
      <c r="L7492" s="20">
        <v>0.71480144404332135</v>
      </c>
    </row>
    <row r="7493" spans="1:12" x14ac:dyDescent="0.45">
      <c r="A7493" s="12" t="s">
        <v>12845</v>
      </c>
      <c r="B7493" s="12" t="s">
        <v>1678</v>
      </c>
      <c r="C7493" s="13" t="s">
        <v>1679</v>
      </c>
      <c r="D7493" s="13" t="s">
        <v>92</v>
      </c>
      <c r="E7493" s="12" t="s">
        <v>35</v>
      </c>
      <c r="F7493" s="14">
        <v>90000</v>
      </c>
      <c r="G7493" s="14">
        <v>64800</v>
      </c>
      <c r="H7493" s="13" t="s">
        <v>12966</v>
      </c>
      <c r="I7493" s="40" t="s">
        <v>18</v>
      </c>
      <c r="J7493" s="40" t="str">
        <f>HYPERLINK("https://stock.pstatic.net/stock-research/company/63/20251107_company_429481000.pdf","PDF")</f>
        <v>PDF</v>
      </c>
      <c r="K7493" s="12" t="s">
        <v>12967</v>
      </c>
      <c r="L7493" s="20">
        <v>0.3888888888888889</v>
      </c>
    </row>
    <row r="7494" spans="1:12" x14ac:dyDescent="0.45">
      <c r="A7494" s="12" t="s">
        <v>12845</v>
      </c>
      <c r="B7494" s="12" t="s">
        <v>434</v>
      </c>
      <c r="C7494" s="13" t="s">
        <v>435</v>
      </c>
      <c r="D7494" s="13" t="s">
        <v>179</v>
      </c>
      <c r="E7494" s="12" t="s">
        <v>16</v>
      </c>
      <c r="F7494" s="14">
        <v>150000</v>
      </c>
      <c r="G7494" s="14">
        <v>118600</v>
      </c>
      <c r="H7494" s="13" t="s">
        <v>12968</v>
      </c>
      <c r="I7494" s="40" t="s">
        <v>18</v>
      </c>
      <c r="J7494" s="40" t="str">
        <f>HYPERLINK("https://stock.pstatic.net/stock-research/company/64/20251107_company_465421000.pdf","PDF")</f>
        <v>PDF</v>
      </c>
      <c r="K7494" s="12" t="s">
        <v>12969</v>
      </c>
      <c r="L7494" s="20">
        <v>0.26475548060708259</v>
      </c>
    </row>
    <row r="7495" spans="1:12" x14ac:dyDescent="0.45">
      <c r="A7495" s="12" t="s">
        <v>12845</v>
      </c>
      <c r="B7495" s="12" t="s">
        <v>2576</v>
      </c>
      <c r="C7495" s="13" t="s">
        <v>2577</v>
      </c>
      <c r="D7495" s="13" t="s">
        <v>34</v>
      </c>
      <c r="E7495" s="12" t="s">
        <v>50</v>
      </c>
      <c r="F7495" s="13"/>
      <c r="G7495" s="14">
        <v>1001000</v>
      </c>
      <c r="H7495" s="13" t="s">
        <v>12970</v>
      </c>
      <c r="I7495" s="40" t="s">
        <v>18</v>
      </c>
      <c r="J7495" s="40" t="str">
        <f>HYPERLINK("https://stock.pstatic.net/stock-research/company/61/20251107_company_863922000.pdf","PDF")</f>
        <v>PDF</v>
      </c>
      <c r="K7495" s="12" t="s">
        <v>12971</v>
      </c>
    </row>
    <row r="7496" spans="1:12" x14ac:dyDescent="0.45">
      <c r="A7496" s="12" t="s">
        <v>12845</v>
      </c>
      <c r="B7496" s="12" t="s">
        <v>2425</v>
      </c>
      <c r="C7496" s="13" t="s">
        <v>2426</v>
      </c>
      <c r="D7496" s="13" t="s">
        <v>23</v>
      </c>
      <c r="E7496" s="12" t="s">
        <v>16</v>
      </c>
      <c r="F7496" s="14">
        <v>170000</v>
      </c>
      <c r="G7496" s="14">
        <v>137700</v>
      </c>
      <c r="H7496" s="13" t="s">
        <v>12972</v>
      </c>
      <c r="I7496" s="40" t="s">
        <v>18</v>
      </c>
      <c r="J7496" s="40" t="str">
        <f>HYPERLINK("https://stock.pstatic.net/stock-research/company/21/20251107_company_677100000.pdf","PDF")</f>
        <v>PDF</v>
      </c>
      <c r="K7496" s="12" t="s">
        <v>12973</v>
      </c>
      <c r="L7496" s="20">
        <v>0.23456790123456789</v>
      </c>
    </row>
    <row r="7497" spans="1:12" x14ac:dyDescent="0.45">
      <c r="A7497" s="12" t="s">
        <v>12845</v>
      </c>
      <c r="B7497" s="12" t="s">
        <v>2982</v>
      </c>
      <c r="C7497" s="13" t="s">
        <v>2983</v>
      </c>
      <c r="D7497" s="13" t="s">
        <v>23</v>
      </c>
      <c r="E7497" s="12" t="s">
        <v>16</v>
      </c>
      <c r="F7497" s="14">
        <v>56000</v>
      </c>
      <c r="G7497" s="14">
        <v>39900</v>
      </c>
      <c r="H7497" s="13" t="s">
        <v>12974</v>
      </c>
      <c r="I7497" s="40" t="s">
        <v>18</v>
      </c>
      <c r="J7497" s="40" t="str">
        <f>HYPERLINK("https://stock.pstatic.net/stock-research/company/21/20251107_company_513086000.pdf","PDF")</f>
        <v>PDF</v>
      </c>
      <c r="K7497" s="12" t="s">
        <v>12975</v>
      </c>
      <c r="L7497" s="20">
        <v>0.40350877192982448</v>
      </c>
    </row>
    <row r="7498" spans="1:12" x14ac:dyDescent="0.45">
      <c r="A7498" s="12" t="s">
        <v>12845</v>
      </c>
      <c r="B7498" s="12" t="s">
        <v>2225</v>
      </c>
      <c r="C7498" s="13" t="s">
        <v>5282</v>
      </c>
      <c r="D7498" s="13" t="s">
        <v>23</v>
      </c>
      <c r="E7498" s="12" t="s">
        <v>16</v>
      </c>
      <c r="F7498" s="14">
        <v>560000</v>
      </c>
      <c r="G7498" s="14">
        <v>481000</v>
      </c>
      <c r="H7498" s="13" t="s">
        <v>12976</v>
      </c>
      <c r="I7498" s="40" t="s">
        <v>18</v>
      </c>
      <c r="J7498" s="40" t="str">
        <f>HYPERLINK("https://stock.pstatic.net/stock-research/company/21/20251107_company_99778000.pdf","PDF")</f>
        <v>PDF</v>
      </c>
      <c r="K7498" s="12" t="s">
        <v>12977</v>
      </c>
      <c r="L7498" s="20">
        <v>0.16424116424116431</v>
      </c>
    </row>
    <row r="7499" spans="1:12" x14ac:dyDescent="0.45">
      <c r="A7499" s="12" t="s">
        <v>12845</v>
      </c>
      <c r="B7499" s="12" t="s">
        <v>495</v>
      </c>
      <c r="C7499" s="13" t="s">
        <v>496</v>
      </c>
      <c r="D7499" s="13" t="s">
        <v>179</v>
      </c>
      <c r="E7499" s="12" t="s">
        <v>16</v>
      </c>
      <c r="F7499" s="14">
        <v>320000</v>
      </c>
      <c r="G7499" s="14">
        <v>234000</v>
      </c>
      <c r="H7499" s="13" t="s">
        <v>12978</v>
      </c>
      <c r="I7499" s="40" t="s">
        <v>18</v>
      </c>
      <c r="J7499" s="40" t="str">
        <f>HYPERLINK("https://stock.pstatic.net/stock-research/company/64/20251107_company_912966000.pdf","PDF")</f>
        <v>PDF</v>
      </c>
      <c r="K7499" s="12" t="s">
        <v>12979</v>
      </c>
      <c r="L7499" s="20">
        <v>0.36752136752136749</v>
      </c>
    </row>
    <row r="7500" spans="1:12" x14ac:dyDescent="0.45">
      <c r="A7500" s="12" t="s">
        <v>12845</v>
      </c>
      <c r="B7500" s="12" t="s">
        <v>3280</v>
      </c>
      <c r="C7500" s="13" t="s">
        <v>3281</v>
      </c>
      <c r="D7500" s="13" t="s">
        <v>23</v>
      </c>
      <c r="E7500" s="12" t="s">
        <v>16</v>
      </c>
      <c r="F7500" s="14">
        <v>60000</v>
      </c>
      <c r="G7500" s="14">
        <v>46950</v>
      </c>
      <c r="H7500" s="13" t="s">
        <v>12980</v>
      </c>
      <c r="I7500" s="40" t="s">
        <v>18</v>
      </c>
      <c r="J7500" s="40" t="str">
        <f>HYPERLINK("https://stock.pstatic.net/stock-research/company/21/20251107_company_174508000.pdf","PDF")</f>
        <v>PDF</v>
      </c>
      <c r="K7500" s="12" t="s">
        <v>12981</v>
      </c>
      <c r="L7500" s="20">
        <v>0.27795527156549521</v>
      </c>
    </row>
    <row r="7501" spans="1:12" x14ac:dyDescent="0.45">
      <c r="A7501" s="12" t="s">
        <v>12845</v>
      </c>
      <c r="B7501" s="12" t="s">
        <v>1415</v>
      </c>
      <c r="C7501" s="13" t="s">
        <v>1416</v>
      </c>
      <c r="D7501" s="13" t="s">
        <v>23</v>
      </c>
      <c r="E7501" s="12" t="s">
        <v>16</v>
      </c>
      <c r="F7501" s="14">
        <v>6200</v>
      </c>
      <c r="G7501" s="14">
        <v>4760</v>
      </c>
      <c r="H7501" s="13" t="s">
        <v>12982</v>
      </c>
      <c r="I7501" s="40" t="s">
        <v>18</v>
      </c>
      <c r="J7501" s="40" t="str">
        <f>HYPERLINK("https://stock.pstatic.net/stock-research/company/21/20251107_company_331928000.pdf","PDF")</f>
        <v>PDF</v>
      </c>
      <c r="K7501" s="12" t="s">
        <v>12983</v>
      </c>
      <c r="L7501" s="20">
        <v>0.30252100840336132</v>
      </c>
    </row>
    <row r="7502" spans="1:12" x14ac:dyDescent="0.45">
      <c r="A7502" s="12" t="s">
        <v>12845</v>
      </c>
      <c r="B7502" s="12" t="s">
        <v>1023</v>
      </c>
      <c r="C7502" s="13" t="s">
        <v>15</v>
      </c>
      <c r="D7502" s="13" t="s">
        <v>23</v>
      </c>
      <c r="E7502" s="12" t="s">
        <v>16</v>
      </c>
      <c r="F7502" s="14">
        <v>28000</v>
      </c>
      <c r="G7502" s="14">
        <v>23650</v>
      </c>
      <c r="H7502" s="13" t="s">
        <v>12984</v>
      </c>
      <c r="I7502" s="40" t="s">
        <v>18</v>
      </c>
      <c r="J7502" s="40" t="str">
        <f>HYPERLINK("https://m.stock.naver.com/research/company/87816","PDF")</f>
        <v>PDF</v>
      </c>
      <c r="K7502" s="12" t="s">
        <v>12985</v>
      </c>
      <c r="L7502" s="20">
        <v>0.1839323467230444</v>
      </c>
    </row>
    <row r="7503" spans="1:12" x14ac:dyDescent="0.45">
      <c r="A7503" s="12" t="s">
        <v>12845</v>
      </c>
      <c r="B7503" s="12" t="s">
        <v>2225</v>
      </c>
      <c r="C7503" s="13" t="s">
        <v>5282</v>
      </c>
      <c r="D7503" s="13" t="s">
        <v>34</v>
      </c>
      <c r="E7503" s="12" t="s">
        <v>159</v>
      </c>
      <c r="F7503" s="14">
        <v>535000</v>
      </c>
      <c r="G7503" s="14">
        <v>481000</v>
      </c>
      <c r="H7503" s="13" t="s">
        <v>12986</v>
      </c>
      <c r="I7503" s="40" t="s">
        <v>18</v>
      </c>
      <c r="J7503" s="40" t="str">
        <f>HYPERLINK("https://stock.pstatic.net/stock-research/company/61/20251107_company_219603000.pdf","PDF")</f>
        <v>PDF</v>
      </c>
      <c r="K7503" s="12" t="s">
        <v>12987</v>
      </c>
      <c r="L7503" s="20">
        <v>0.1122661122661123</v>
      </c>
    </row>
    <row r="7504" spans="1:12" x14ac:dyDescent="0.45">
      <c r="A7504" s="12" t="s">
        <v>12845</v>
      </c>
      <c r="B7504" s="12" t="s">
        <v>1674</v>
      </c>
      <c r="C7504" s="13" t="s">
        <v>1675</v>
      </c>
      <c r="D7504" s="13" t="s">
        <v>44</v>
      </c>
      <c r="E7504" s="12" t="s">
        <v>35</v>
      </c>
      <c r="F7504" s="14">
        <v>520000</v>
      </c>
      <c r="G7504" s="14">
        <v>419000</v>
      </c>
      <c r="H7504" s="13" t="s">
        <v>12988</v>
      </c>
      <c r="I7504" s="40" t="s">
        <v>18</v>
      </c>
      <c r="J7504" s="40" t="str">
        <f>HYPERLINK("https://stock.pstatic.net/stock-research/company/39/20251107_company_408785000.pdf","PDF")</f>
        <v>PDF</v>
      </c>
      <c r="K7504" s="12" t="s">
        <v>12989</v>
      </c>
      <c r="L7504" s="20">
        <v>0.24105011933174231</v>
      </c>
    </row>
    <row r="7505" spans="1:12" x14ac:dyDescent="0.45">
      <c r="A7505" s="12" t="s">
        <v>12845</v>
      </c>
      <c r="B7505" s="12" t="s">
        <v>3280</v>
      </c>
      <c r="C7505" s="13" t="s">
        <v>3281</v>
      </c>
      <c r="D7505" s="13" t="s">
        <v>34</v>
      </c>
      <c r="E7505" s="12" t="s">
        <v>35</v>
      </c>
      <c r="F7505" s="14">
        <v>62000</v>
      </c>
      <c r="G7505" s="14">
        <v>46950</v>
      </c>
      <c r="H7505" s="13" t="s">
        <v>12990</v>
      </c>
      <c r="I7505" s="40" t="s">
        <v>18</v>
      </c>
      <c r="J7505" s="40" t="str">
        <f>HYPERLINK("https://stock.pstatic.net/stock-research/company/61/20251107_company_308654000.pdf","PDF")</f>
        <v>PDF</v>
      </c>
      <c r="K7505" s="12" t="s">
        <v>12991</v>
      </c>
      <c r="L7505" s="20">
        <v>0.32055378061767842</v>
      </c>
    </row>
    <row r="7506" spans="1:12" x14ac:dyDescent="0.45">
      <c r="A7506" s="12" t="s">
        <v>12845</v>
      </c>
      <c r="B7506" s="12" t="s">
        <v>2425</v>
      </c>
      <c r="C7506" s="13" t="s">
        <v>2426</v>
      </c>
      <c r="D7506" s="13" t="s">
        <v>44</v>
      </c>
      <c r="E7506" s="12" t="s">
        <v>35</v>
      </c>
      <c r="F7506" s="14">
        <v>180000</v>
      </c>
      <c r="G7506" s="14">
        <v>137700</v>
      </c>
      <c r="H7506" s="13" t="s">
        <v>12992</v>
      </c>
      <c r="I7506" s="40" t="s">
        <v>18</v>
      </c>
      <c r="J7506" s="40" t="str">
        <f>HYPERLINK("https://stock.pstatic.net/stock-research/company/39/20251107_company_896106000.pdf","PDF")</f>
        <v>PDF</v>
      </c>
      <c r="K7506" s="12" t="s">
        <v>12993</v>
      </c>
      <c r="L7506" s="20">
        <v>0.30718954248366009</v>
      </c>
    </row>
    <row r="7507" spans="1:12" x14ac:dyDescent="0.45">
      <c r="A7507" s="12" t="s">
        <v>12845</v>
      </c>
      <c r="B7507" s="12" t="s">
        <v>3280</v>
      </c>
      <c r="C7507" s="13" t="s">
        <v>3281</v>
      </c>
      <c r="D7507" s="13" t="s">
        <v>34</v>
      </c>
      <c r="E7507" s="12" t="s">
        <v>35</v>
      </c>
      <c r="F7507" s="14">
        <v>62000</v>
      </c>
      <c r="G7507" s="14">
        <v>46950</v>
      </c>
      <c r="H7507" s="13" t="s">
        <v>12990</v>
      </c>
      <c r="I7507" s="40" t="s">
        <v>18</v>
      </c>
      <c r="J7507" s="40" t="str">
        <f>HYPERLINK("https://m.stock.naver.com/research/company/87811","PDF")</f>
        <v>PDF</v>
      </c>
      <c r="K7507" s="12" t="s">
        <v>12994</v>
      </c>
      <c r="L7507" s="20">
        <v>0.32055378061767842</v>
      </c>
    </row>
    <row r="7508" spans="1:12" x14ac:dyDescent="0.45">
      <c r="A7508" s="12" t="s">
        <v>12845</v>
      </c>
      <c r="B7508" s="12" t="s">
        <v>1666</v>
      </c>
      <c r="C7508" s="13" t="s">
        <v>1667</v>
      </c>
      <c r="D7508" s="13" t="s">
        <v>92</v>
      </c>
      <c r="E7508" s="12" t="s">
        <v>35</v>
      </c>
      <c r="F7508" s="14">
        <v>70000</v>
      </c>
      <c r="G7508" s="14">
        <v>55400</v>
      </c>
      <c r="H7508" s="13" t="s">
        <v>12995</v>
      </c>
      <c r="I7508" s="40" t="s">
        <v>18</v>
      </c>
      <c r="J7508" s="40" t="str">
        <f>HYPERLINK("https://stock.pstatic.net/stock-research/company/63/20251107_company_1665000.pdf","PDF")</f>
        <v>PDF</v>
      </c>
      <c r="K7508" s="12" t="s">
        <v>12996</v>
      </c>
      <c r="L7508" s="20">
        <v>0.26353790613718409</v>
      </c>
    </row>
    <row r="7509" spans="1:12" x14ac:dyDescent="0.45">
      <c r="A7509" s="12" t="s">
        <v>12845</v>
      </c>
      <c r="B7509" s="12" t="s">
        <v>495</v>
      </c>
      <c r="C7509" s="13" t="s">
        <v>496</v>
      </c>
      <c r="D7509" s="13" t="s">
        <v>44</v>
      </c>
      <c r="E7509" s="12" t="s">
        <v>35</v>
      </c>
      <c r="F7509" s="14">
        <v>3100000</v>
      </c>
      <c r="G7509" s="14">
        <v>234000</v>
      </c>
      <c r="H7509" s="13" t="s">
        <v>12997</v>
      </c>
      <c r="I7509" s="40" t="s">
        <v>18</v>
      </c>
      <c r="J7509" s="40" t="str">
        <f>HYPERLINK("https://stock.pstatic.net/stock-research/company/39/20251107_company_531427000.pdf","PDF")</f>
        <v>PDF</v>
      </c>
      <c r="K7509" s="12" t="s">
        <v>12998</v>
      </c>
      <c r="L7509" s="20">
        <v>12.247863247863251</v>
      </c>
    </row>
    <row r="7510" spans="1:12" x14ac:dyDescent="0.45">
      <c r="A7510" s="12" t="s">
        <v>12845</v>
      </c>
      <c r="B7510" s="12" t="s">
        <v>434</v>
      </c>
      <c r="C7510" s="13" t="s">
        <v>435</v>
      </c>
      <c r="D7510" s="13" t="s">
        <v>44</v>
      </c>
      <c r="E7510" s="12" t="s">
        <v>35</v>
      </c>
      <c r="F7510" s="14">
        <v>180000</v>
      </c>
      <c r="G7510" s="14">
        <v>118600</v>
      </c>
      <c r="H7510" s="13" t="s">
        <v>12999</v>
      </c>
      <c r="I7510" s="40" t="s">
        <v>18</v>
      </c>
      <c r="J7510" s="40" t="str">
        <f>HYPERLINK("https://stock.pstatic.net/stock-research/company/39/20251107_company_164179000.pdf","PDF")</f>
        <v>PDF</v>
      </c>
      <c r="K7510" s="12" t="s">
        <v>13000</v>
      </c>
      <c r="L7510" s="20">
        <v>0.51770657672849918</v>
      </c>
    </row>
    <row r="7511" spans="1:12" x14ac:dyDescent="0.45">
      <c r="A7511" s="12" t="s">
        <v>12845</v>
      </c>
      <c r="B7511" s="12" t="s">
        <v>2781</v>
      </c>
      <c r="C7511" s="13" t="s">
        <v>2782</v>
      </c>
      <c r="D7511" s="13" t="s">
        <v>44</v>
      </c>
      <c r="E7511" s="12" t="s">
        <v>50</v>
      </c>
      <c r="F7511" s="13"/>
      <c r="G7511" s="13"/>
      <c r="H7511" s="13" t="s">
        <v>13001</v>
      </c>
      <c r="I7511" s="40" t="s">
        <v>18</v>
      </c>
      <c r="J7511" s="40" t="str">
        <f>HYPERLINK("https://stock.pstatic.net/stock-research/company/39/20251107_company_275019000.pdf","PDF")</f>
        <v>PDF</v>
      </c>
      <c r="K7511" s="12" t="s">
        <v>13002</v>
      </c>
    </row>
    <row r="7512" spans="1:12" x14ac:dyDescent="0.45">
      <c r="A7512" s="12" t="s">
        <v>12845</v>
      </c>
      <c r="B7512" s="12" t="s">
        <v>2191</v>
      </c>
      <c r="C7512" s="13" t="s">
        <v>2192</v>
      </c>
      <c r="D7512" s="13" t="s">
        <v>44</v>
      </c>
      <c r="E7512" s="12" t="s">
        <v>35</v>
      </c>
      <c r="F7512" s="14">
        <v>89000</v>
      </c>
      <c r="G7512" s="14">
        <v>67800</v>
      </c>
      <c r="H7512" s="13" t="s">
        <v>13003</v>
      </c>
      <c r="I7512" s="40" t="s">
        <v>18</v>
      </c>
      <c r="J7512" s="40" t="str">
        <f>HYPERLINK("https://stock.pstatic.net/stock-research/company/39/20251107_company_920965000.pdf","PDF")</f>
        <v>PDF</v>
      </c>
      <c r="K7512" s="12" t="s">
        <v>13004</v>
      </c>
      <c r="L7512" s="20">
        <v>0.31268436578171088</v>
      </c>
    </row>
    <row r="7513" spans="1:12" x14ac:dyDescent="0.45">
      <c r="A7513" s="12" t="s">
        <v>12845</v>
      </c>
      <c r="B7513" s="12" t="s">
        <v>3280</v>
      </c>
      <c r="C7513" s="13" t="s">
        <v>3281</v>
      </c>
      <c r="D7513" s="13" t="s">
        <v>44</v>
      </c>
      <c r="E7513" s="12" t="s">
        <v>35</v>
      </c>
      <c r="F7513" s="14">
        <v>60000</v>
      </c>
      <c r="G7513" s="14">
        <v>46950</v>
      </c>
      <c r="H7513" s="13" t="s">
        <v>13005</v>
      </c>
      <c r="I7513" s="40" t="s">
        <v>18</v>
      </c>
      <c r="J7513" s="40" t="str">
        <f>HYPERLINK("https://stock.pstatic.net/stock-research/company/39/20251107_company_855943000.pdf","PDF")</f>
        <v>PDF</v>
      </c>
      <c r="K7513" s="12" t="s">
        <v>13006</v>
      </c>
      <c r="L7513" s="20">
        <v>0.27795527156549521</v>
      </c>
    </row>
    <row r="7514" spans="1:12" x14ac:dyDescent="0.45">
      <c r="A7514" s="12" t="s">
        <v>12845</v>
      </c>
      <c r="B7514" s="12" t="s">
        <v>2425</v>
      </c>
      <c r="C7514" s="13" t="s">
        <v>2426</v>
      </c>
      <c r="D7514" s="13" t="s">
        <v>34</v>
      </c>
      <c r="E7514" s="12" t="s">
        <v>35</v>
      </c>
      <c r="F7514" s="14">
        <v>175000</v>
      </c>
      <c r="G7514" s="14">
        <v>137700</v>
      </c>
      <c r="H7514" s="13" t="s">
        <v>13007</v>
      </c>
      <c r="I7514" s="40" t="s">
        <v>18</v>
      </c>
      <c r="J7514" s="40" t="str">
        <f>HYPERLINK("https://m.stock.naver.com/research/company/87804","PDF")</f>
        <v>PDF</v>
      </c>
      <c r="K7514" s="12" t="s">
        <v>13008</v>
      </c>
      <c r="L7514" s="20">
        <v>0.27087872185911399</v>
      </c>
    </row>
    <row r="7515" spans="1:12" x14ac:dyDescent="0.45">
      <c r="A7515" s="12" t="s">
        <v>12845</v>
      </c>
      <c r="B7515" s="12" t="s">
        <v>2781</v>
      </c>
      <c r="C7515" s="13" t="s">
        <v>2782</v>
      </c>
      <c r="D7515" s="13" t="s">
        <v>34</v>
      </c>
      <c r="E7515" s="12" t="s">
        <v>35</v>
      </c>
      <c r="F7515" s="14">
        <v>150000</v>
      </c>
      <c r="G7515" s="14">
        <v>126400</v>
      </c>
      <c r="H7515" s="13" t="s">
        <v>13009</v>
      </c>
      <c r="I7515" s="40" t="s">
        <v>18</v>
      </c>
      <c r="J7515" s="40" t="str">
        <f>HYPERLINK("https://stock.pstatic.net/stock-research/company/61/20251107_company_143949000.pdf","PDF")</f>
        <v>PDF</v>
      </c>
      <c r="K7515" s="12" t="s">
        <v>13010</v>
      </c>
      <c r="L7515" s="20">
        <v>0.18670886075949369</v>
      </c>
    </row>
    <row r="7516" spans="1:12" x14ac:dyDescent="0.45">
      <c r="A7516" s="12" t="s">
        <v>12845</v>
      </c>
      <c r="B7516" s="12" t="s">
        <v>1666</v>
      </c>
      <c r="C7516" s="13" t="s">
        <v>1667</v>
      </c>
      <c r="D7516" s="13" t="s">
        <v>179</v>
      </c>
      <c r="E7516" s="12" t="s">
        <v>16</v>
      </c>
      <c r="F7516" s="14">
        <v>79000</v>
      </c>
      <c r="G7516" s="14">
        <v>55400</v>
      </c>
      <c r="H7516" s="13" t="s">
        <v>13011</v>
      </c>
      <c r="I7516" s="40" t="s">
        <v>18</v>
      </c>
      <c r="J7516" s="40" t="str">
        <f>HYPERLINK("https://m.stock.naver.com/research/company/87802","PDF")</f>
        <v>PDF</v>
      </c>
      <c r="K7516" s="12" t="s">
        <v>13012</v>
      </c>
      <c r="L7516" s="20">
        <v>0.4259927797833935</v>
      </c>
    </row>
    <row r="7517" spans="1:12" x14ac:dyDescent="0.45">
      <c r="A7517" s="12" t="s">
        <v>12845</v>
      </c>
      <c r="B7517" s="12" t="s">
        <v>2982</v>
      </c>
      <c r="C7517" s="13" t="s">
        <v>2983</v>
      </c>
      <c r="D7517" s="13" t="s">
        <v>44</v>
      </c>
      <c r="E7517" s="12" t="s">
        <v>35</v>
      </c>
      <c r="F7517" s="14">
        <v>52000</v>
      </c>
      <c r="G7517" s="14">
        <v>39900</v>
      </c>
      <c r="H7517" s="13" t="s">
        <v>13013</v>
      </c>
      <c r="I7517" s="40" t="s">
        <v>18</v>
      </c>
      <c r="J7517" s="40" t="str">
        <f>HYPERLINK("https://m.stock.naver.com/research/company/87801","PDF")</f>
        <v>PDF</v>
      </c>
      <c r="K7517" s="12" t="s">
        <v>13014</v>
      </c>
      <c r="L7517" s="20">
        <v>0.3032581453634085</v>
      </c>
    </row>
    <row r="7518" spans="1:12" x14ac:dyDescent="0.45">
      <c r="A7518" s="12" t="s">
        <v>12845</v>
      </c>
      <c r="B7518" s="12" t="s">
        <v>1023</v>
      </c>
      <c r="C7518" s="13" t="s">
        <v>15</v>
      </c>
      <c r="D7518" s="13" t="s">
        <v>44</v>
      </c>
      <c r="E7518" s="12" t="s">
        <v>35</v>
      </c>
      <c r="F7518" s="14">
        <v>33000</v>
      </c>
      <c r="G7518" s="14">
        <v>23650</v>
      </c>
      <c r="H7518" s="13" t="s">
        <v>13015</v>
      </c>
      <c r="I7518" s="40" t="s">
        <v>18</v>
      </c>
      <c r="J7518" s="40" t="str">
        <f>HYPERLINK("https://stock.pstatic.net/stock-research/company/39/20251107_company_344866000.pdf","PDF")</f>
        <v>PDF</v>
      </c>
      <c r="K7518" s="12" t="s">
        <v>13016</v>
      </c>
      <c r="L7518" s="20">
        <v>0.39534883720930231</v>
      </c>
    </row>
    <row r="7519" spans="1:12" x14ac:dyDescent="0.45">
      <c r="A7519" s="12" t="s">
        <v>12845</v>
      </c>
      <c r="B7519" s="12" t="s">
        <v>11329</v>
      </c>
      <c r="C7519" s="13" t="s">
        <v>11330</v>
      </c>
      <c r="D7519" s="13" t="s">
        <v>124</v>
      </c>
      <c r="E7519" s="12" t="s">
        <v>50</v>
      </c>
      <c r="F7519" s="13"/>
      <c r="G7519" s="13"/>
      <c r="H7519" s="13" t="s">
        <v>13017</v>
      </c>
      <c r="I7519" s="40" t="s">
        <v>18</v>
      </c>
      <c r="J7519" s="40" t="str">
        <f>HYPERLINK("https://m.stock.naver.com/research/company/87799","PDF")</f>
        <v>PDF</v>
      </c>
      <c r="K7519" s="12" t="s">
        <v>13018</v>
      </c>
    </row>
    <row r="7520" spans="1:12" x14ac:dyDescent="0.45">
      <c r="A7520" s="12" t="s">
        <v>12845</v>
      </c>
      <c r="B7520" s="12" t="s">
        <v>2425</v>
      </c>
      <c r="C7520" s="13" t="s">
        <v>2426</v>
      </c>
      <c r="D7520" s="13" t="s">
        <v>53</v>
      </c>
      <c r="E7520" s="12" t="s">
        <v>16</v>
      </c>
      <c r="F7520" s="14">
        <v>170000</v>
      </c>
      <c r="G7520" s="14">
        <v>137700</v>
      </c>
      <c r="H7520" s="13" t="s">
        <v>13019</v>
      </c>
      <c r="I7520" s="40" t="s">
        <v>18</v>
      </c>
      <c r="J7520" s="40" t="str">
        <f>HYPERLINK("https://stock.pstatic.net/stock-research/company/40/20251107_company_335147000.pdf","PDF")</f>
        <v>PDF</v>
      </c>
      <c r="K7520" s="12" t="s">
        <v>13020</v>
      </c>
      <c r="L7520" s="20">
        <v>0.23456790123456789</v>
      </c>
    </row>
    <row r="7521" spans="1:12" x14ac:dyDescent="0.45">
      <c r="A7521" s="12" t="s">
        <v>12845</v>
      </c>
      <c r="B7521" s="12" t="s">
        <v>2781</v>
      </c>
      <c r="C7521" s="13" t="s">
        <v>2782</v>
      </c>
      <c r="D7521" s="13" t="s">
        <v>53</v>
      </c>
      <c r="E7521" s="12" t="s">
        <v>16</v>
      </c>
      <c r="F7521" s="14">
        <v>160000</v>
      </c>
      <c r="G7521" s="14">
        <v>126400</v>
      </c>
      <c r="H7521" s="13" t="s">
        <v>13021</v>
      </c>
      <c r="I7521" s="40" t="s">
        <v>18</v>
      </c>
      <c r="J7521" s="40" t="str">
        <f>HYPERLINK("https://stock.pstatic.net/stock-research/company/40/20251107_company_106536000.pdf","PDF")</f>
        <v>PDF</v>
      </c>
      <c r="K7521" s="12" t="s">
        <v>13022</v>
      </c>
      <c r="L7521" s="20">
        <v>0.26582278481012661</v>
      </c>
    </row>
    <row r="7522" spans="1:12" x14ac:dyDescent="0.45">
      <c r="A7522" s="12" t="s">
        <v>12845</v>
      </c>
      <c r="B7522" s="12" t="s">
        <v>1184</v>
      </c>
      <c r="C7522" s="13" t="s">
        <v>1185</v>
      </c>
      <c r="D7522" s="13" t="s">
        <v>53</v>
      </c>
      <c r="E7522" s="12" t="s">
        <v>16</v>
      </c>
      <c r="F7522" s="14">
        <v>23000</v>
      </c>
      <c r="G7522" s="14">
        <v>18490</v>
      </c>
      <c r="H7522" s="13" t="s">
        <v>13023</v>
      </c>
      <c r="I7522" s="40" t="s">
        <v>18</v>
      </c>
      <c r="J7522" s="40" t="str">
        <f>HYPERLINK("https://stock.pstatic.net/stock-research/company/40/20251107_company_609332000.pdf","PDF")</f>
        <v>PDF</v>
      </c>
      <c r="K7522" s="12" t="s">
        <v>13024</v>
      </c>
      <c r="L7522" s="20">
        <v>0.24391563007030831</v>
      </c>
    </row>
    <row r="7523" spans="1:12" x14ac:dyDescent="0.45">
      <c r="A7523" s="12" t="s">
        <v>12845</v>
      </c>
      <c r="B7523" s="12" t="s">
        <v>1097</v>
      </c>
      <c r="C7523" s="13" t="s">
        <v>1098</v>
      </c>
      <c r="D7523" s="13" t="s">
        <v>53</v>
      </c>
      <c r="E7523" s="12" t="s">
        <v>16</v>
      </c>
      <c r="F7523" s="14">
        <v>145000</v>
      </c>
      <c r="G7523" s="14">
        <v>105600</v>
      </c>
      <c r="H7523" s="13" t="s">
        <v>13025</v>
      </c>
      <c r="I7523" s="40" t="s">
        <v>18</v>
      </c>
      <c r="J7523" s="40" t="str">
        <f>HYPERLINK("https://m.stock.naver.com/research/company/87795","PDF")</f>
        <v>PDF</v>
      </c>
      <c r="K7523" s="12" t="s">
        <v>13026</v>
      </c>
      <c r="L7523" s="20">
        <v>0.37310606060606061</v>
      </c>
    </row>
    <row r="7524" spans="1:12" x14ac:dyDescent="0.45">
      <c r="A7524" s="12" t="s">
        <v>12845</v>
      </c>
      <c r="B7524" s="12" t="s">
        <v>2199</v>
      </c>
      <c r="C7524" s="13" t="s">
        <v>2200</v>
      </c>
      <c r="D7524" s="13" t="s">
        <v>23</v>
      </c>
      <c r="E7524" s="12" t="s">
        <v>16</v>
      </c>
      <c r="F7524" s="14">
        <v>43000</v>
      </c>
      <c r="G7524" s="14">
        <v>29100</v>
      </c>
      <c r="H7524" s="13" t="s">
        <v>13027</v>
      </c>
      <c r="I7524" s="40" t="s">
        <v>18</v>
      </c>
      <c r="J7524" s="40" t="str">
        <f>HYPERLINK("https://m.stock.naver.com/research/company/87794","PDF")</f>
        <v>PDF</v>
      </c>
      <c r="K7524" s="12" t="s">
        <v>13028</v>
      </c>
      <c r="L7524" s="20">
        <v>0.47766323024054991</v>
      </c>
    </row>
    <row r="7525" spans="1:12" x14ac:dyDescent="0.45">
      <c r="A7525" s="12" t="s">
        <v>12845</v>
      </c>
      <c r="B7525" s="12" t="s">
        <v>2613</v>
      </c>
      <c r="C7525" s="13" t="s">
        <v>2614</v>
      </c>
      <c r="D7525" s="13" t="s">
        <v>15</v>
      </c>
      <c r="E7525" s="12" t="s">
        <v>16</v>
      </c>
      <c r="F7525" s="14">
        <v>390000</v>
      </c>
      <c r="G7525" s="14">
        <v>228500</v>
      </c>
      <c r="H7525" s="13" t="s">
        <v>13029</v>
      </c>
      <c r="I7525" s="40" t="s">
        <v>18</v>
      </c>
      <c r="J7525" s="40" t="str">
        <f>HYPERLINK("https://stock.pstatic.net/stock-research/company/29/20251107_company_972863000.pdf","PDF")</f>
        <v>PDF</v>
      </c>
      <c r="K7525" s="12" t="s">
        <v>13030</v>
      </c>
      <c r="L7525" s="20">
        <v>0.70678336980306344</v>
      </c>
    </row>
    <row r="7526" spans="1:12" x14ac:dyDescent="0.45">
      <c r="A7526" s="12" t="s">
        <v>12845</v>
      </c>
      <c r="B7526" s="12" t="s">
        <v>13031</v>
      </c>
      <c r="C7526" s="13" t="s">
        <v>13032</v>
      </c>
      <c r="D7526" s="13" t="s">
        <v>124</v>
      </c>
      <c r="E7526" s="12" t="s">
        <v>50</v>
      </c>
      <c r="F7526" s="13"/>
      <c r="G7526" s="14">
        <v>14680</v>
      </c>
      <c r="H7526" s="13" t="s">
        <v>13033</v>
      </c>
      <c r="I7526" s="40" t="s">
        <v>18</v>
      </c>
      <c r="J7526" s="40" t="str">
        <f>HYPERLINK("https://m.stock.naver.com/research/company/87792","PDF")</f>
        <v>PDF</v>
      </c>
      <c r="K7526" s="12" t="s">
        <v>13034</v>
      </c>
    </row>
    <row r="7527" spans="1:12" x14ac:dyDescent="0.45">
      <c r="A7527" s="12" t="s">
        <v>12845</v>
      </c>
      <c r="B7527" s="12" t="s">
        <v>13035</v>
      </c>
      <c r="C7527" s="13" t="s">
        <v>13036</v>
      </c>
      <c r="D7527" s="13" t="s">
        <v>124</v>
      </c>
      <c r="E7527" s="12" t="s">
        <v>50</v>
      </c>
      <c r="F7527" s="13"/>
      <c r="G7527" s="14">
        <v>9000</v>
      </c>
      <c r="H7527" s="13" t="s">
        <v>13037</v>
      </c>
      <c r="I7527" s="40" t="s">
        <v>18</v>
      </c>
      <c r="J7527" s="40" t="str">
        <f>HYPERLINK("https://m.stock.naver.com/research/company/87791","PDF")</f>
        <v>PDF</v>
      </c>
      <c r="K7527" s="12" t="s">
        <v>13038</v>
      </c>
    </row>
    <row r="7528" spans="1:12" x14ac:dyDescent="0.45">
      <c r="A7528" s="12" t="s">
        <v>12845</v>
      </c>
      <c r="B7528" s="12" t="s">
        <v>13039</v>
      </c>
      <c r="C7528" s="13" t="s">
        <v>13040</v>
      </c>
      <c r="D7528" s="13" t="s">
        <v>124</v>
      </c>
      <c r="E7528" s="12" t="s">
        <v>50</v>
      </c>
      <c r="F7528" s="13"/>
      <c r="G7528" s="14">
        <v>4160</v>
      </c>
      <c r="H7528" s="13" t="s">
        <v>13041</v>
      </c>
      <c r="I7528" s="40" t="s">
        <v>18</v>
      </c>
      <c r="J7528" s="40" t="str">
        <f>HYPERLINK("https://m.stock.naver.com/research/company/87790","PDF")</f>
        <v>PDF</v>
      </c>
      <c r="K7528" s="12" t="s">
        <v>13042</v>
      </c>
    </row>
    <row r="7529" spans="1:12" x14ac:dyDescent="0.45">
      <c r="A7529" s="12" t="s">
        <v>12845</v>
      </c>
      <c r="B7529" s="12" t="s">
        <v>13043</v>
      </c>
      <c r="C7529" s="13" t="s">
        <v>13044</v>
      </c>
      <c r="D7529" s="13" t="s">
        <v>124</v>
      </c>
      <c r="E7529" s="12" t="s">
        <v>50</v>
      </c>
      <c r="F7529" s="13"/>
      <c r="G7529" s="14">
        <v>6380</v>
      </c>
      <c r="H7529" s="13" t="s">
        <v>13045</v>
      </c>
      <c r="I7529" s="40" t="s">
        <v>18</v>
      </c>
      <c r="J7529" s="40" t="str">
        <f>HYPERLINK("https://m.stock.naver.com/research/company/87789","PDF")</f>
        <v>PDF</v>
      </c>
      <c r="K7529" s="12" t="s">
        <v>13046</v>
      </c>
    </row>
    <row r="7530" spans="1:12" x14ac:dyDescent="0.45">
      <c r="A7530" s="12" t="s">
        <v>12845</v>
      </c>
      <c r="B7530" s="12" t="s">
        <v>1042</v>
      </c>
      <c r="C7530" s="13" t="s">
        <v>1043</v>
      </c>
      <c r="D7530" s="13" t="s">
        <v>124</v>
      </c>
      <c r="E7530" s="12" t="s">
        <v>50</v>
      </c>
      <c r="F7530" s="13"/>
      <c r="G7530" s="14">
        <v>25750</v>
      </c>
      <c r="H7530" s="13" t="s">
        <v>13047</v>
      </c>
      <c r="I7530" s="40" t="s">
        <v>18</v>
      </c>
      <c r="J7530" s="40" t="str">
        <f>HYPERLINK("https://stock.pstatic.net/stock-research/company/74/20251107_company_38506000.pdf","PDF")</f>
        <v>PDF</v>
      </c>
      <c r="K7530" s="12" t="s">
        <v>13048</v>
      </c>
    </row>
    <row r="7531" spans="1:12" x14ac:dyDescent="0.45">
      <c r="A7531" s="12" t="s">
        <v>12845</v>
      </c>
      <c r="B7531" s="12" t="s">
        <v>13049</v>
      </c>
      <c r="C7531" s="13" t="s">
        <v>13050</v>
      </c>
      <c r="D7531" s="13" t="s">
        <v>202</v>
      </c>
      <c r="E7531" s="12" t="s">
        <v>50</v>
      </c>
      <c r="F7531" s="13"/>
      <c r="G7531" s="13"/>
      <c r="H7531" s="13" t="s">
        <v>13051</v>
      </c>
      <c r="I7531" s="40" t="s">
        <v>18</v>
      </c>
      <c r="J7531" s="40" t="str">
        <f>HYPERLINK("https://stock.pstatic.net/stock-research/company/69/20251107_company_683968000.pdf","PDF")</f>
        <v>PDF</v>
      </c>
      <c r="K7531" s="12" t="s">
        <v>13052</v>
      </c>
    </row>
    <row r="7532" spans="1:12" x14ac:dyDescent="0.45">
      <c r="A7532" s="12" t="s">
        <v>12845</v>
      </c>
      <c r="B7532" s="12" t="s">
        <v>13053</v>
      </c>
      <c r="C7532" s="13" t="s">
        <v>13054</v>
      </c>
      <c r="D7532" s="13" t="s">
        <v>202</v>
      </c>
      <c r="E7532" s="12" t="s">
        <v>50</v>
      </c>
      <c r="F7532" s="13"/>
      <c r="G7532" s="13"/>
      <c r="H7532" s="13" t="s">
        <v>13055</v>
      </c>
      <c r="I7532" s="40" t="s">
        <v>18</v>
      </c>
      <c r="J7532" s="40" t="str">
        <f>HYPERLINK("https://stock.pstatic.net/stock-research/company/69/20251107_company_853326000.pdf","PDF")</f>
        <v>PDF</v>
      </c>
      <c r="K7532" s="12" t="s">
        <v>13056</v>
      </c>
    </row>
    <row r="7533" spans="1:12" x14ac:dyDescent="0.45">
      <c r="A7533" s="12" t="s">
        <v>12845</v>
      </c>
      <c r="B7533" s="12" t="s">
        <v>13057</v>
      </c>
      <c r="C7533" s="13" t="s">
        <v>13058</v>
      </c>
      <c r="D7533" s="13" t="s">
        <v>202</v>
      </c>
      <c r="E7533" s="12" t="s">
        <v>50</v>
      </c>
      <c r="F7533" s="13"/>
      <c r="G7533" s="13"/>
      <c r="H7533" s="13" t="s">
        <v>13059</v>
      </c>
      <c r="I7533" s="40" t="s">
        <v>18</v>
      </c>
      <c r="J7533" s="40" t="str">
        <f>HYPERLINK("https://m.stock.naver.com/research/company/87785","PDF")</f>
        <v>PDF</v>
      </c>
      <c r="K7533" s="12" t="s">
        <v>13060</v>
      </c>
    </row>
    <row r="7534" spans="1:12" x14ac:dyDescent="0.45">
      <c r="A7534" s="12" t="s">
        <v>12845</v>
      </c>
      <c r="B7534" s="12" t="s">
        <v>13061</v>
      </c>
      <c r="C7534" s="13" t="s">
        <v>13062</v>
      </c>
      <c r="D7534" s="13" t="s">
        <v>11154</v>
      </c>
      <c r="E7534" s="12" t="s">
        <v>50</v>
      </c>
      <c r="F7534" s="13"/>
      <c r="G7534" s="13"/>
      <c r="H7534" s="13" t="s">
        <v>13063</v>
      </c>
      <c r="I7534" s="40" t="s">
        <v>18</v>
      </c>
      <c r="J7534" s="40" t="str">
        <f>HYPERLINK("https://stock.pstatic.net/stock-research/company/79/20251107_company_362650000.pdf","PDF")</f>
        <v>PDF</v>
      </c>
      <c r="K7534" s="12" t="s">
        <v>13064</v>
      </c>
    </row>
    <row r="7535" spans="1:12" x14ac:dyDescent="0.45">
      <c r="A7535" s="12" t="s">
        <v>12845</v>
      </c>
      <c r="B7535" s="12" t="s">
        <v>13065</v>
      </c>
      <c r="C7535" s="13" t="s">
        <v>13066</v>
      </c>
      <c r="D7535" s="13" t="s">
        <v>11154</v>
      </c>
      <c r="E7535" s="12" t="s">
        <v>50</v>
      </c>
      <c r="F7535" s="13"/>
      <c r="G7535" s="13"/>
      <c r="H7535" s="13" t="s">
        <v>13067</v>
      </c>
      <c r="I7535" s="40" t="s">
        <v>18</v>
      </c>
      <c r="J7535" s="40" t="str">
        <f>HYPERLINK("https://m.stock.naver.com/research/company/87783","PDF")</f>
        <v>PDF</v>
      </c>
      <c r="K7535" s="12" t="s">
        <v>13068</v>
      </c>
    </row>
    <row r="7536" spans="1:12" x14ac:dyDescent="0.45">
      <c r="A7536" s="12" t="s">
        <v>12845</v>
      </c>
      <c r="B7536" s="12" t="s">
        <v>13069</v>
      </c>
      <c r="C7536" s="13" t="s">
        <v>13070</v>
      </c>
      <c r="D7536" s="13" t="s">
        <v>202</v>
      </c>
      <c r="E7536" s="12" t="s">
        <v>50</v>
      </c>
      <c r="F7536" s="13"/>
      <c r="G7536" s="13"/>
      <c r="H7536" s="13" t="s">
        <v>13071</v>
      </c>
      <c r="I7536" s="40" t="s">
        <v>18</v>
      </c>
      <c r="J7536" s="40" t="str">
        <f>HYPERLINK("https://stock.pstatic.net/stock-research/company/69/20251107_company_38408000.pdf","PDF")</f>
        <v>PDF</v>
      </c>
      <c r="K7536" s="12" t="s">
        <v>13072</v>
      </c>
    </row>
    <row r="7537" spans="1:12" x14ac:dyDescent="0.45">
      <c r="A7537" s="12" t="s">
        <v>12845</v>
      </c>
      <c r="B7537" s="12" t="s">
        <v>5711</v>
      </c>
      <c r="C7537" s="13" t="s">
        <v>5712</v>
      </c>
      <c r="D7537" s="13" t="s">
        <v>11154</v>
      </c>
      <c r="E7537" s="12" t="s">
        <v>50</v>
      </c>
      <c r="F7537" s="13"/>
      <c r="G7537" s="13"/>
      <c r="H7537" s="13" t="s">
        <v>13073</v>
      </c>
      <c r="I7537" s="40" t="s">
        <v>18</v>
      </c>
      <c r="J7537" s="40" t="str">
        <f>HYPERLINK("https://m.stock.naver.com/research/company/87781","PDF")</f>
        <v>PDF</v>
      </c>
      <c r="K7537" s="12" t="s">
        <v>13074</v>
      </c>
    </row>
    <row r="7538" spans="1:12" x14ac:dyDescent="0.45">
      <c r="A7538" s="12" t="s">
        <v>12845</v>
      </c>
      <c r="B7538" s="12" t="s">
        <v>13075</v>
      </c>
      <c r="C7538" s="13" t="s">
        <v>13076</v>
      </c>
      <c r="D7538" s="13" t="s">
        <v>202</v>
      </c>
      <c r="E7538" s="12" t="s">
        <v>50</v>
      </c>
      <c r="F7538" s="13"/>
      <c r="G7538" s="13"/>
      <c r="H7538" s="13" t="s">
        <v>13077</v>
      </c>
      <c r="I7538" s="40" t="s">
        <v>18</v>
      </c>
      <c r="J7538" s="40" t="str">
        <f>HYPERLINK("https://m.stock.naver.com/research/company/87780","PDF")</f>
        <v>PDF</v>
      </c>
      <c r="K7538" s="12" t="s">
        <v>13078</v>
      </c>
    </row>
    <row r="7539" spans="1:12" x14ac:dyDescent="0.45">
      <c r="A7539" s="12" t="s">
        <v>12845</v>
      </c>
      <c r="B7539" s="12" t="s">
        <v>6320</v>
      </c>
      <c r="C7539" s="13" t="s">
        <v>6321</v>
      </c>
      <c r="D7539" s="13" t="s">
        <v>202</v>
      </c>
      <c r="E7539" s="12" t="s">
        <v>50</v>
      </c>
      <c r="F7539" s="13"/>
      <c r="G7539" s="13"/>
      <c r="H7539" s="13" t="s">
        <v>13079</v>
      </c>
      <c r="I7539" s="40" t="s">
        <v>18</v>
      </c>
      <c r="J7539" s="40" t="str">
        <f>HYPERLINK("https://m.stock.naver.com/research/company/87779","PDF")</f>
        <v>PDF</v>
      </c>
      <c r="K7539" s="12" t="s">
        <v>13080</v>
      </c>
    </row>
    <row r="7540" spans="1:12" x14ac:dyDescent="0.45">
      <c r="A7540" s="12" t="s">
        <v>12845</v>
      </c>
      <c r="B7540" s="12" t="s">
        <v>13081</v>
      </c>
      <c r="C7540" s="13" t="s">
        <v>13082</v>
      </c>
      <c r="D7540" s="13" t="s">
        <v>202</v>
      </c>
      <c r="E7540" s="12" t="s">
        <v>50</v>
      </c>
      <c r="F7540" s="13"/>
      <c r="G7540" s="13"/>
      <c r="H7540" s="13" t="s">
        <v>13083</v>
      </c>
      <c r="I7540" s="40" t="s">
        <v>18</v>
      </c>
      <c r="J7540" s="40" t="str">
        <f>HYPERLINK("https://m.stock.naver.com/research/company/87778","PDF")</f>
        <v>PDF</v>
      </c>
      <c r="K7540" s="12" t="s">
        <v>13084</v>
      </c>
    </row>
    <row r="7541" spans="1:12" x14ac:dyDescent="0.45">
      <c r="A7541" s="12" t="s">
        <v>12845</v>
      </c>
      <c r="B7541" s="12" t="s">
        <v>13085</v>
      </c>
      <c r="C7541" s="13" t="s">
        <v>13086</v>
      </c>
      <c r="D7541" s="13" t="s">
        <v>11154</v>
      </c>
      <c r="E7541" s="12" t="s">
        <v>50</v>
      </c>
      <c r="F7541" s="13"/>
      <c r="G7541" s="13"/>
      <c r="H7541" s="13" t="s">
        <v>13087</v>
      </c>
      <c r="I7541" s="40" t="s">
        <v>18</v>
      </c>
      <c r="J7541" s="40" t="str">
        <f>HYPERLINK("https://m.stock.naver.com/research/company/87777","PDF")</f>
        <v>PDF</v>
      </c>
      <c r="K7541" s="12" t="s">
        <v>13088</v>
      </c>
    </row>
    <row r="7542" spans="1:12" x14ac:dyDescent="0.45">
      <c r="A7542" s="12" t="s">
        <v>12845</v>
      </c>
      <c r="B7542" s="12" t="s">
        <v>13089</v>
      </c>
      <c r="C7542" s="13" t="s">
        <v>13090</v>
      </c>
      <c r="D7542" s="13" t="s">
        <v>11154</v>
      </c>
      <c r="E7542" s="12" t="s">
        <v>50</v>
      </c>
      <c r="F7542" s="13"/>
      <c r="G7542" s="13"/>
      <c r="H7542" s="13" t="s">
        <v>13091</v>
      </c>
      <c r="I7542" s="40" t="s">
        <v>18</v>
      </c>
      <c r="J7542" s="40" t="str">
        <f>HYPERLINK("https://m.stock.naver.com/research/company/87776","PDF")</f>
        <v>PDF</v>
      </c>
      <c r="K7542" s="12" t="s">
        <v>13092</v>
      </c>
    </row>
    <row r="7543" spans="1:12" x14ac:dyDescent="0.45">
      <c r="A7543" s="12" t="s">
        <v>12845</v>
      </c>
      <c r="B7543" s="12" t="s">
        <v>13093</v>
      </c>
      <c r="C7543" s="13" t="s">
        <v>13094</v>
      </c>
      <c r="D7543" s="13" t="s">
        <v>202</v>
      </c>
      <c r="E7543" s="12" t="s">
        <v>50</v>
      </c>
      <c r="F7543" s="13"/>
      <c r="G7543" s="13"/>
      <c r="H7543" s="13" t="s">
        <v>13095</v>
      </c>
      <c r="I7543" s="40" t="s">
        <v>18</v>
      </c>
      <c r="J7543" s="40" t="str">
        <f>HYPERLINK("https://stock.pstatic.net/stock-research/company/69/20251107_company_565339000.pdf","PDF")</f>
        <v>PDF</v>
      </c>
      <c r="K7543" s="12" t="s">
        <v>13096</v>
      </c>
    </row>
    <row r="7544" spans="1:12" x14ac:dyDescent="0.45">
      <c r="A7544" s="12" t="s">
        <v>12845</v>
      </c>
      <c r="B7544" s="12" t="s">
        <v>13097</v>
      </c>
      <c r="C7544" s="13" t="s">
        <v>13098</v>
      </c>
      <c r="D7544" s="13" t="s">
        <v>207</v>
      </c>
      <c r="E7544" s="12" t="s">
        <v>50</v>
      </c>
      <c r="F7544" s="13"/>
      <c r="G7544" s="13"/>
      <c r="H7544" s="13" t="s">
        <v>13099</v>
      </c>
      <c r="I7544" s="40" t="s">
        <v>18</v>
      </c>
      <c r="J7544" s="40" t="str">
        <f>HYPERLINK("https://stock.pstatic.net/stock-research/company/75/20251107_company_805850000.pdf","PDF")</f>
        <v>PDF</v>
      </c>
      <c r="K7544" s="12" t="s">
        <v>13100</v>
      </c>
    </row>
    <row r="7545" spans="1:12" x14ac:dyDescent="0.45">
      <c r="A7545" s="12" t="s">
        <v>13101</v>
      </c>
      <c r="B7545" s="12" t="s">
        <v>495</v>
      </c>
      <c r="C7545" s="13" t="s">
        <v>496</v>
      </c>
      <c r="D7545" s="13" t="s">
        <v>57</v>
      </c>
      <c r="E7545" s="12" t="s">
        <v>35</v>
      </c>
      <c r="F7545" s="14">
        <v>330000</v>
      </c>
      <c r="G7545" s="14">
        <v>261500</v>
      </c>
      <c r="H7545" s="13" t="s">
        <v>13102</v>
      </c>
      <c r="I7545" s="40" t="s">
        <v>18</v>
      </c>
      <c r="J7545" s="40" t="str">
        <f>HYPERLINK("https://stock.pstatic.net/stock-research/company/16/20251106_company_609174000.pdf","PDF")</f>
        <v>PDF</v>
      </c>
      <c r="K7545" s="12" t="s">
        <v>13103</v>
      </c>
      <c r="L7545" s="20">
        <v>0.26195028680688343</v>
      </c>
    </row>
    <row r="7546" spans="1:12" x14ac:dyDescent="0.45">
      <c r="A7546" s="12" t="s">
        <v>13101</v>
      </c>
      <c r="B7546" s="12" t="s">
        <v>330</v>
      </c>
      <c r="C7546" s="13" t="s">
        <v>331</v>
      </c>
      <c r="D7546" s="13" t="s">
        <v>57</v>
      </c>
      <c r="E7546" s="12" t="s">
        <v>35</v>
      </c>
      <c r="F7546" s="14">
        <v>33000</v>
      </c>
      <c r="G7546" s="14">
        <v>28750</v>
      </c>
      <c r="H7546" s="13" t="s">
        <v>13104</v>
      </c>
      <c r="I7546" s="40" t="s">
        <v>18</v>
      </c>
      <c r="J7546" s="40" t="str">
        <f>HYPERLINK("https://stock.pstatic.net/stock-research/company/16/20251106_company_246497000.pdf","PDF")</f>
        <v>PDF</v>
      </c>
      <c r="K7546" s="12" t="s">
        <v>13105</v>
      </c>
      <c r="L7546" s="20">
        <v>0.14782608695652169</v>
      </c>
    </row>
    <row r="7547" spans="1:12" x14ac:dyDescent="0.45">
      <c r="A7547" s="12" t="s">
        <v>13101</v>
      </c>
      <c r="B7547" s="12" t="s">
        <v>2650</v>
      </c>
      <c r="C7547" s="13" t="s">
        <v>2651</v>
      </c>
      <c r="D7547" s="13" t="s">
        <v>57</v>
      </c>
      <c r="E7547" s="12" t="s">
        <v>159</v>
      </c>
      <c r="F7547" s="14">
        <v>25000</v>
      </c>
      <c r="G7547" s="14">
        <v>22400</v>
      </c>
      <c r="H7547" s="13" t="s">
        <v>13106</v>
      </c>
      <c r="I7547" s="40" t="s">
        <v>18</v>
      </c>
      <c r="J7547" s="40" t="str">
        <f>HYPERLINK("https://stock.pstatic.net/stock-research/company/16/20251106_company_91015000.pdf","PDF")</f>
        <v>PDF</v>
      </c>
      <c r="K7547" s="12" t="s">
        <v>13107</v>
      </c>
      <c r="L7547" s="20">
        <v>0.1160714285714286</v>
      </c>
    </row>
    <row r="7548" spans="1:12" x14ac:dyDescent="0.45">
      <c r="A7548" s="12" t="s">
        <v>13101</v>
      </c>
      <c r="B7548" s="12" t="s">
        <v>1648</v>
      </c>
      <c r="C7548" s="13" t="s">
        <v>1649</v>
      </c>
      <c r="D7548" s="13" t="s">
        <v>57</v>
      </c>
      <c r="E7548" s="12" t="s">
        <v>35</v>
      </c>
      <c r="F7548" s="14">
        <v>150000</v>
      </c>
      <c r="G7548" s="14">
        <v>113500</v>
      </c>
      <c r="H7548" s="13" t="s">
        <v>13108</v>
      </c>
      <c r="I7548" s="40" t="s">
        <v>18</v>
      </c>
      <c r="J7548" s="40" t="str">
        <f>HYPERLINK("https://stock.pstatic.net/stock-research/company/16/20251106_company_981899000.pdf","PDF")</f>
        <v>PDF</v>
      </c>
      <c r="K7548" s="12" t="s">
        <v>13109</v>
      </c>
      <c r="L7548" s="20">
        <v>0.32158590308370039</v>
      </c>
    </row>
    <row r="7549" spans="1:12" x14ac:dyDescent="0.45">
      <c r="A7549" s="12" t="s">
        <v>13101</v>
      </c>
      <c r="B7549" s="12" t="s">
        <v>132</v>
      </c>
      <c r="C7549" s="13" t="s">
        <v>133</v>
      </c>
      <c r="D7549" s="13" t="s">
        <v>57</v>
      </c>
      <c r="E7549" s="12" t="s">
        <v>35</v>
      </c>
      <c r="F7549" s="14">
        <v>110000</v>
      </c>
      <c r="G7549" s="14">
        <v>83000</v>
      </c>
      <c r="H7549" s="13" t="s">
        <v>13110</v>
      </c>
      <c r="I7549" s="40" t="s">
        <v>18</v>
      </c>
      <c r="J7549" s="40" t="str">
        <f>HYPERLINK("https://stock.pstatic.net/stock-research/company/16/20251106_company_672991000.pdf","PDF")</f>
        <v>PDF</v>
      </c>
      <c r="K7549" s="12" t="s">
        <v>13111</v>
      </c>
      <c r="L7549" s="20">
        <v>0.3253012048192771</v>
      </c>
    </row>
    <row r="7550" spans="1:12" x14ac:dyDescent="0.45">
      <c r="A7550" s="12" t="s">
        <v>13101</v>
      </c>
      <c r="B7550" s="12" t="s">
        <v>132</v>
      </c>
      <c r="C7550" s="13" t="s">
        <v>133</v>
      </c>
      <c r="D7550" s="13" t="s">
        <v>60</v>
      </c>
      <c r="E7550" s="12" t="s">
        <v>35</v>
      </c>
      <c r="F7550" s="14">
        <v>103000</v>
      </c>
      <c r="G7550" s="14">
        <v>83000</v>
      </c>
      <c r="H7550" s="13" t="s">
        <v>13112</v>
      </c>
      <c r="I7550" s="40" t="s">
        <v>18</v>
      </c>
      <c r="J7550" s="40" t="str">
        <f>HYPERLINK("https://stock.pstatic.net/stock-research/company/34/20251106_company_517912000.pdf","PDF")</f>
        <v>PDF</v>
      </c>
      <c r="K7550" s="12" t="s">
        <v>13113</v>
      </c>
      <c r="L7550" s="20">
        <v>0.24096385542168669</v>
      </c>
    </row>
    <row r="7551" spans="1:12" x14ac:dyDescent="0.45">
      <c r="A7551" s="12" t="s">
        <v>13101</v>
      </c>
      <c r="B7551" s="12" t="s">
        <v>732</v>
      </c>
      <c r="C7551" s="13" t="s">
        <v>733</v>
      </c>
      <c r="D7551" s="13" t="s">
        <v>60</v>
      </c>
      <c r="E7551" s="12" t="s">
        <v>35</v>
      </c>
      <c r="F7551" s="14">
        <v>150000</v>
      </c>
      <c r="G7551" s="14">
        <v>120600</v>
      </c>
      <c r="H7551" s="13" t="s">
        <v>13114</v>
      </c>
      <c r="I7551" s="40" t="s">
        <v>18</v>
      </c>
      <c r="J7551" s="40" t="str">
        <f>HYPERLINK("https://stock.pstatic.net/stock-research/company/34/20251106_company_888043000.pdf","PDF")</f>
        <v>PDF</v>
      </c>
      <c r="K7551" s="12" t="s">
        <v>13115</v>
      </c>
      <c r="L7551" s="20">
        <v>0.24378109452736321</v>
      </c>
    </row>
    <row r="7552" spans="1:12" x14ac:dyDescent="0.45">
      <c r="A7552" s="12" t="s">
        <v>13101</v>
      </c>
      <c r="B7552" s="12" t="s">
        <v>42</v>
      </c>
      <c r="C7552" s="13" t="s">
        <v>43</v>
      </c>
      <c r="D7552" s="13" t="s">
        <v>60</v>
      </c>
      <c r="E7552" s="12" t="s">
        <v>35</v>
      </c>
      <c r="F7552" s="14">
        <v>350000</v>
      </c>
      <c r="G7552" s="14">
        <v>278500</v>
      </c>
      <c r="H7552" s="13" t="s">
        <v>13116</v>
      </c>
      <c r="I7552" s="40" t="s">
        <v>18</v>
      </c>
      <c r="J7552" s="40" t="str">
        <f>HYPERLINK("https://stock.pstatic.net/stock-research/company/34/20251106_company_612044000.pdf","PDF")</f>
        <v>PDF</v>
      </c>
      <c r="K7552" s="12" t="s">
        <v>13117</v>
      </c>
      <c r="L7552" s="20">
        <v>0.25673249551166971</v>
      </c>
    </row>
    <row r="7553" spans="1:12" x14ac:dyDescent="0.45">
      <c r="A7553" s="12" t="s">
        <v>13101</v>
      </c>
      <c r="B7553" s="12" t="s">
        <v>760</v>
      </c>
      <c r="C7553" s="13" t="s">
        <v>761</v>
      </c>
      <c r="D7553" s="13" t="s">
        <v>60</v>
      </c>
      <c r="E7553" s="12" t="s">
        <v>35</v>
      </c>
      <c r="F7553" s="14">
        <v>220000</v>
      </c>
      <c r="G7553" s="14">
        <v>160900</v>
      </c>
      <c r="H7553" s="13" t="s">
        <v>13118</v>
      </c>
      <c r="I7553" s="40" t="s">
        <v>18</v>
      </c>
      <c r="J7553" s="40" t="str">
        <f>HYPERLINK("https://stock.pstatic.net/stock-research/company/34/20251106_company_739716000.pdf","PDF")</f>
        <v>PDF</v>
      </c>
      <c r="K7553" s="12" t="s">
        <v>13119</v>
      </c>
      <c r="L7553" s="20">
        <v>0.3673088875077688</v>
      </c>
    </row>
    <row r="7554" spans="1:12" x14ac:dyDescent="0.45">
      <c r="A7554" s="12" t="s">
        <v>13101</v>
      </c>
      <c r="B7554" s="12" t="s">
        <v>2650</v>
      </c>
      <c r="C7554" s="13" t="s">
        <v>2651</v>
      </c>
      <c r="D7554" s="13" t="s">
        <v>60</v>
      </c>
      <c r="E7554" s="12" t="s">
        <v>35</v>
      </c>
      <c r="F7554" s="14">
        <v>30000</v>
      </c>
      <c r="G7554" s="14">
        <v>22400</v>
      </c>
      <c r="H7554" s="13" t="s">
        <v>13120</v>
      </c>
      <c r="I7554" s="40" t="s">
        <v>18</v>
      </c>
      <c r="J7554" s="40" t="str">
        <f>HYPERLINK("https://stock.pstatic.net/stock-research/company/34/20251106_company_93651000.pdf","PDF")</f>
        <v>PDF</v>
      </c>
      <c r="K7554" s="12" t="s">
        <v>13121</v>
      </c>
      <c r="L7554" s="20">
        <v>0.3392857142857143</v>
      </c>
    </row>
    <row r="7555" spans="1:12" x14ac:dyDescent="0.45">
      <c r="A7555" s="12" t="s">
        <v>13101</v>
      </c>
      <c r="B7555" s="12" t="s">
        <v>2266</v>
      </c>
      <c r="C7555" s="13" t="s">
        <v>2267</v>
      </c>
      <c r="D7555" s="13" t="s">
        <v>65</v>
      </c>
      <c r="E7555" s="12" t="s">
        <v>35</v>
      </c>
      <c r="F7555" s="14">
        <v>135000</v>
      </c>
      <c r="G7555" s="14">
        <v>100000</v>
      </c>
      <c r="H7555" s="13" t="s">
        <v>13122</v>
      </c>
      <c r="I7555" s="40" t="s">
        <v>18</v>
      </c>
      <c r="J7555" s="40" t="str">
        <f>HYPERLINK("https://stock.pstatic.net/stock-research/company/57/20251106_company_717433000.pdf","PDF")</f>
        <v>PDF</v>
      </c>
      <c r="K7555" s="12" t="s">
        <v>13123</v>
      </c>
      <c r="L7555" s="20">
        <v>0.35</v>
      </c>
    </row>
    <row r="7556" spans="1:12" x14ac:dyDescent="0.45">
      <c r="A7556" s="12" t="s">
        <v>13101</v>
      </c>
      <c r="B7556" s="12" t="s">
        <v>1936</v>
      </c>
      <c r="C7556" s="13" t="s">
        <v>1937</v>
      </c>
      <c r="D7556" s="13" t="s">
        <v>65</v>
      </c>
      <c r="E7556" s="12" t="s">
        <v>35</v>
      </c>
      <c r="F7556" s="14">
        <v>9000</v>
      </c>
      <c r="G7556" s="14">
        <v>6200</v>
      </c>
      <c r="H7556" s="13" t="s">
        <v>13124</v>
      </c>
      <c r="I7556" s="40" t="s">
        <v>18</v>
      </c>
      <c r="J7556" s="40" t="str">
        <f>HYPERLINK("https://stock.pstatic.net/stock-research/company/57/20251106_company_246810000.pdf","PDF")</f>
        <v>PDF</v>
      </c>
      <c r="K7556" s="12" t="s">
        <v>13125</v>
      </c>
      <c r="L7556" s="20">
        <v>0.45161290322580638</v>
      </c>
    </row>
    <row r="7557" spans="1:12" x14ac:dyDescent="0.45">
      <c r="A7557" s="12" t="s">
        <v>13101</v>
      </c>
      <c r="B7557" s="12" t="s">
        <v>2199</v>
      </c>
      <c r="C7557" s="13" t="s">
        <v>2200</v>
      </c>
      <c r="D7557" s="13" t="s">
        <v>65</v>
      </c>
      <c r="E7557" s="12" t="s">
        <v>35</v>
      </c>
      <c r="F7557" s="14">
        <v>34000</v>
      </c>
      <c r="G7557" s="14">
        <v>29100</v>
      </c>
      <c r="H7557" s="13" t="s">
        <v>13126</v>
      </c>
      <c r="I7557" s="40" t="s">
        <v>18</v>
      </c>
      <c r="J7557" s="40" t="str">
        <f>HYPERLINK("https://stock.pstatic.net/stock-research/company/57/20251106_company_943723000.pdf","PDF")</f>
        <v>PDF</v>
      </c>
      <c r="K7557" s="12" t="s">
        <v>13127</v>
      </c>
      <c r="L7557" s="20">
        <v>0.1683848797250859</v>
      </c>
    </row>
    <row r="7558" spans="1:12" x14ac:dyDescent="0.45">
      <c r="A7558" s="12" t="s">
        <v>13101</v>
      </c>
      <c r="B7558" s="12" t="s">
        <v>3113</v>
      </c>
      <c r="C7558" s="13" t="s">
        <v>3114</v>
      </c>
      <c r="D7558" s="13" t="s">
        <v>65</v>
      </c>
      <c r="E7558" s="12" t="s">
        <v>35</v>
      </c>
      <c r="F7558" s="14">
        <v>40000</v>
      </c>
      <c r="G7558" s="14">
        <v>29600</v>
      </c>
      <c r="H7558" s="13" t="s">
        <v>13128</v>
      </c>
      <c r="I7558" s="40" t="s">
        <v>18</v>
      </c>
      <c r="J7558" s="40" t="str">
        <f>HYPERLINK("https://stock.pstatic.net/stock-research/company/57/20251106_company_560458000.pdf","PDF")</f>
        <v>PDF</v>
      </c>
      <c r="K7558" s="12" t="s">
        <v>13129</v>
      </c>
      <c r="L7558" s="20">
        <v>0.35135135135135143</v>
      </c>
    </row>
    <row r="7559" spans="1:12" x14ac:dyDescent="0.45">
      <c r="A7559" s="12" t="s">
        <v>13101</v>
      </c>
      <c r="B7559" s="12" t="s">
        <v>792</v>
      </c>
      <c r="C7559" s="13" t="s">
        <v>793</v>
      </c>
      <c r="D7559" s="13" t="s">
        <v>65</v>
      </c>
      <c r="E7559" s="12" t="s">
        <v>35</v>
      </c>
      <c r="F7559" s="14">
        <v>48000</v>
      </c>
      <c r="G7559" s="14">
        <v>41250</v>
      </c>
      <c r="H7559" s="13" t="s">
        <v>13130</v>
      </c>
      <c r="I7559" s="40" t="s">
        <v>18</v>
      </c>
      <c r="J7559" s="40" t="str">
        <f>HYPERLINK("https://stock.pstatic.net/stock-research/company/57/20251106_company_542903000.pdf","PDF")</f>
        <v>PDF</v>
      </c>
      <c r="K7559" s="12" t="s">
        <v>13131</v>
      </c>
      <c r="L7559" s="20">
        <v>0.16363636363636361</v>
      </c>
    </row>
    <row r="7560" spans="1:12" x14ac:dyDescent="0.45">
      <c r="A7560" s="12" t="s">
        <v>13101</v>
      </c>
      <c r="B7560" s="12" t="s">
        <v>2950</v>
      </c>
      <c r="C7560" s="13" t="s">
        <v>2951</v>
      </c>
      <c r="D7560" s="13" t="s">
        <v>65</v>
      </c>
      <c r="E7560" s="12" t="s">
        <v>35</v>
      </c>
      <c r="F7560" s="14">
        <v>97000</v>
      </c>
      <c r="G7560" s="14">
        <v>83600</v>
      </c>
      <c r="H7560" s="13" t="s">
        <v>13132</v>
      </c>
      <c r="I7560" s="40" t="s">
        <v>18</v>
      </c>
      <c r="J7560" s="40" t="str">
        <f>HYPERLINK("https://stock.pstatic.net/stock-research/company/57/20251106_company_164789000.pdf","PDF")</f>
        <v>PDF</v>
      </c>
      <c r="K7560" s="12" t="s">
        <v>13133</v>
      </c>
      <c r="L7560" s="20">
        <v>0.16028708133971289</v>
      </c>
    </row>
    <row r="7561" spans="1:12" x14ac:dyDescent="0.45">
      <c r="A7561" s="12" t="s">
        <v>13101</v>
      </c>
      <c r="B7561" s="12" t="s">
        <v>537</v>
      </c>
      <c r="C7561" s="13" t="s">
        <v>538</v>
      </c>
      <c r="D7561" s="13" t="s">
        <v>65</v>
      </c>
      <c r="E7561" s="12" t="s">
        <v>35</v>
      </c>
      <c r="F7561" s="14">
        <v>16000</v>
      </c>
      <c r="G7561" s="14">
        <v>14970</v>
      </c>
      <c r="H7561" s="13" t="s">
        <v>13134</v>
      </c>
      <c r="I7561" s="40" t="s">
        <v>18</v>
      </c>
      <c r="J7561" s="40" t="str">
        <f>HYPERLINK("https://stock.pstatic.net/stock-research/company/57/20251106_company_999986000.pdf","PDF")</f>
        <v>PDF</v>
      </c>
      <c r="K7561" s="12" t="s">
        <v>13135</v>
      </c>
      <c r="L7561" s="20">
        <v>6.8804275217100863E-2</v>
      </c>
    </row>
    <row r="7562" spans="1:12" x14ac:dyDescent="0.45">
      <c r="A7562" s="12" t="s">
        <v>13101</v>
      </c>
      <c r="B7562" s="12" t="s">
        <v>537</v>
      </c>
      <c r="C7562" s="13" t="s">
        <v>538</v>
      </c>
      <c r="D7562" s="13" t="s">
        <v>65</v>
      </c>
      <c r="E7562" s="12" t="s">
        <v>35</v>
      </c>
      <c r="F7562" s="14">
        <v>16000</v>
      </c>
      <c r="G7562" s="14">
        <v>14970</v>
      </c>
      <c r="H7562" s="13" t="s">
        <v>13136</v>
      </c>
      <c r="I7562" s="40" t="s">
        <v>18</v>
      </c>
      <c r="J7562" s="40" t="str">
        <f>HYPERLINK("https://stock.pstatic.net/stock-research/company/57/20251106_company_178807000.pdf","PDF")</f>
        <v>PDF</v>
      </c>
      <c r="K7562" s="12" t="s">
        <v>13137</v>
      </c>
      <c r="L7562" s="20">
        <v>6.8804275217100863E-2</v>
      </c>
    </row>
    <row r="7563" spans="1:12" x14ac:dyDescent="0.45">
      <c r="A7563" s="12" t="s">
        <v>13101</v>
      </c>
      <c r="B7563" s="12" t="s">
        <v>42</v>
      </c>
      <c r="C7563" s="13" t="s">
        <v>43</v>
      </c>
      <c r="D7563" s="13" t="s">
        <v>65</v>
      </c>
      <c r="E7563" s="12" t="s">
        <v>35</v>
      </c>
      <c r="F7563" s="14">
        <v>350000</v>
      </c>
      <c r="G7563" s="14">
        <v>278500</v>
      </c>
      <c r="H7563" s="13" t="s">
        <v>13138</v>
      </c>
      <c r="I7563" s="40" t="s">
        <v>18</v>
      </c>
      <c r="J7563" s="40" t="str">
        <f>HYPERLINK("https://stock.pstatic.net/stock-research/company/57/20251106_company_991679000.pdf","PDF")</f>
        <v>PDF</v>
      </c>
      <c r="K7563" s="12" t="s">
        <v>13139</v>
      </c>
      <c r="L7563" s="20">
        <v>0.25673249551166971</v>
      </c>
    </row>
    <row r="7564" spans="1:12" x14ac:dyDescent="0.45">
      <c r="A7564" s="12" t="s">
        <v>13101</v>
      </c>
      <c r="B7564" s="12" t="s">
        <v>330</v>
      </c>
      <c r="C7564" s="13" t="s">
        <v>331</v>
      </c>
      <c r="D7564" s="13" t="s">
        <v>65</v>
      </c>
      <c r="E7564" s="12" t="s">
        <v>1738</v>
      </c>
      <c r="F7564" s="14">
        <v>30000</v>
      </c>
      <c r="G7564" s="14">
        <v>28750</v>
      </c>
      <c r="H7564" s="13" t="s">
        <v>13140</v>
      </c>
      <c r="I7564" s="40" t="s">
        <v>18</v>
      </c>
      <c r="J7564" s="40" t="str">
        <f>HYPERLINK("https://stock.pstatic.net/stock-research/company/57/20251106_company_980446000.pdf","PDF")</f>
        <v>PDF</v>
      </c>
      <c r="K7564" s="12" t="s">
        <v>13141</v>
      </c>
      <c r="L7564" s="20">
        <v>4.3478260869565223E-2</v>
      </c>
    </row>
    <row r="7565" spans="1:12" x14ac:dyDescent="0.45">
      <c r="A7565" s="12" t="s">
        <v>13101</v>
      </c>
      <c r="B7565" s="12" t="s">
        <v>2650</v>
      </c>
      <c r="C7565" s="13" t="s">
        <v>2651</v>
      </c>
      <c r="D7565" s="13" t="s">
        <v>65</v>
      </c>
      <c r="E7565" s="12" t="s">
        <v>35</v>
      </c>
      <c r="F7565" s="14">
        <v>32000</v>
      </c>
      <c r="G7565" s="14">
        <v>22400</v>
      </c>
      <c r="H7565" s="13" t="s">
        <v>13142</v>
      </c>
      <c r="I7565" s="40" t="s">
        <v>18</v>
      </c>
      <c r="J7565" s="40" t="str">
        <f>HYPERLINK("https://stock.pstatic.net/stock-research/company/57/20251106_company_878421000.pdf","PDF")</f>
        <v>PDF</v>
      </c>
      <c r="K7565" s="12" t="s">
        <v>13143</v>
      </c>
      <c r="L7565" s="20">
        <v>0.42857142857142849</v>
      </c>
    </row>
    <row r="7566" spans="1:12" x14ac:dyDescent="0.45">
      <c r="A7566" s="12" t="s">
        <v>13101</v>
      </c>
      <c r="B7566" s="12" t="s">
        <v>9369</v>
      </c>
      <c r="C7566" s="13" t="s">
        <v>9370</v>
      </c>
      <c r="D7566" s="13" t="s">
        <v>65</v>
      </c>
      <c r="E7566" s="12" t="s">
        <v>35</v>
      </c>
      <c r="F7566" s="14">
        <v>40000</v>
      </c>
      <c r="G7566" s="14">
        <v>29350</v>
      </c>
      <c r="H7566" s="13" t="s">
        <v>13144</v>
      </c>
      <c r="I7566" s="40" t="s">
        <v>18</v>
      </c>
      <c r="J7566" s="40" t="str">
        <f>HYPERLINK("https://stock.pstatic.net/stock-research/company/57/20251106_company_154234000.pdf","PDF")</f>
        <v>PDF</v>
      </c>
      <c r="K7566" s="12" t="s">
        <v>13145</v>
      </c>
      <c r="L7566" s="20">
        <v>0.36286201022146508</v>
      </c>
    </row>
    <row r="7567" spans="1:12" x14ac:dyDescent="0.45">
      <c r="A7567" s="12" t="s">
        <v>13101</v>
      </c>
      <c r="B7567" s="12" t="s">
        <v>63</v>
      </c>
      <c r="C7567" s="13" t="s">
        <v>64</v>
      </c>
      <c r="D7567" s="13" t="s">
        <v>65</v>
      </c>
      <c r="E7567" s="12" t="s">
        <v>35</v>
      </c>
      <c r="F7567" s="14">
        <v>500000</v>
      </c>
      <c r="G7567" s="14">
        <v>459000</v>
      </c>
      <c r="H7567" s="13" t="s">
        <v>13146</v>
      </c>
      <c r="I7567" s="40" t="s">
        <v>18</v>
      </c>
      <c r="J7567" s="40" t="str">
        <f>HYPERLINK("https://stock.pstatic.net/stock-research/company/57/20251106_company_454204000.pdf","PDF")</f>
        <v>PDF</v>
      </c>
      <c r="K7567" s="12" t="s">
        <v>13147</v>
      </c>
      <c r="L7567" s="20">
        <v>8.9324618736383449E-2</v>
      </c>
    </row>
    <row r="7568" spans="1:12" x14ac:dyDescent="0.45">
      <c r="A7568" s="12" t="s">
        <v>13101</v>
      </c>
      <c r="B7568" s="12" t="s">
        <v>1741</v>
      </c>
      <c r="C7568" s="13" t="s">
        <v>1742</v>
      </c>
      <c r="D7568" s="13" t="s">
        <v>65</v>
      </c>
      <c r="E7568" s="12" t="s">
        <v>35</v>
      </c>
      <c r="F7568" s="14">
        <v>63000</v>
      </c>
      <c r="G7568" s="14">
        <v>45550</v>
      </c>
      <c r="H7568" s="13" t="s">
        <v>13148</v>
      </c>
      <c r="I7568" s="40" t="s">
        <v>18</v>
      </c>
      <c r="J7568" s="40" t="str">
        <f>HYPERLINK("https://stock.pstatic.net/stock-research/company/57/20251106_company_748918000.pdf","PDF")</f>
        <v>PDF</v>
      </c>
      <c r="K7568" s="12" t="s">
        <v>13149</v>
      </c>
      <c r="L7568" s="20">
        <v>0.38309549945115262</v>
      </c>
    </row>
    <row r="7569" spans="1:12" x14ac:dyDescent="0.45">
      <c r="A7569" s="12" t="s">
        <v>13101</v>
      </c>
      <c r="B7569" s="12" t="s">
        <v>1648</v>
      </c>
      <c r="C7569" s="13" t="s">
        <v>1649</v>
      </c>
      <c r="D7569" s="13" t="s">
        <v>65</v>
      </c>
      <c r="E7569" s="12" t="s">
        <v>35</v>
      </c>
      <c r="F7569" s="14">
        <v>180000</v>
      </c>
      <c r="G7569" s="14">
        <v>113500</v>
      </c>
      <c r="H7569" s="13" t="s">
        <v>13150</v>
      </c>
      <c r="I7569" s="40" t="s">
        <v>18</v>
      </c>
      <c r="J7569" s="40" t="str">
        <f>HYPERLINK("https://stock.pstatic.net/stock-research/company/57/20251106_company_102993000.pdf","PDF")</f>
        <v>PDF</v>
      </c>
      <c r="K7569" s="12" t="s">
        <v>13151</v>
      </c>
      <c r="L7569" s="20">
        <v>0.58590308370044053</v>
      </c>
    </row>
    <row r="7570" spans="1:12" x14ac:dyDescent="0.45">
      <c r="A7570" s="12" t="s">
        <v>13101</v>
      </c>
      <c r="B7570" s="12" t="s">
        <v>1019</v>
      </c>
      <c r="C7570" s="13" t="s">
        <v>1020</v>
      </c>
      <c r="D7570" s="13" t="s">
        <v>65</v>
      </c>
      <c r="E7570" s="12" t="s">
        <v>35</v>
      </c>
      <c r="F7570" s="14">
        <v>29000</v>
      </c>
      <c r="G7570" s="14">
        <v>17070</v>
      </c>
      <c r="H7570" s="13" t="s">
        <v>13152</v>
      </c>
      <c r="I7570" s="40" t="s">
        <v>18</v>
      </c>
      <c r="J7570" s="40" t="str">
        <f>HYPERLINK("https://stock.pstatic.net/stock-research/company/57/20251106_company_200911000.pdf","PDF")</f>
        <v>PDF</v>
      </c>
      <c r="K7570" s="12" t="s">
        <v>13153</v>
      </c>
      <c r="L7570" s="20">
        <v>0.69888693614528408</v>
      </c>
    </row>
    <row r="7571" spans="1:12" x14ac:dyDescent="0.45">
      <c r="A7571" s="12" t="s">
        <v>13101</v>
      </c>
      <c r="B7571" s="12" t="s">
        <v>3365</v>
      </c>
      <c r="C7571" s="13" t="s">
        <v>3366</v>
      </c>
      <c r="D7571" s="13" t="s">
        <v>158</v>
      </c>
      <c r="E7571" s="12" t="s">
        <v>159</v>
      </c>
      <c r="F7571" s="14">
        <v>120000</v>
      </c>
      <c r="G7571" s="14">
        <v>126200</v>
      </c>
      <c r="H7571" s="13" t="s">
        <v>13154</v>
      </c>
      <c r="I7571" s="40" t="s">
        <v>18</v>
      </c>
      <c r="J7571" s="40" t="str">
        <f>HYPERLINK("https://stock.pstatic.net/stock-research/company/18/20251106_company_306088000.pdf","PDF")</f>
        <v>PDF</v>
      </c>
      <c r="K7571" s="12" t="s">
        <v>13155</v>
      </c>
      <c r="L7571" s="20">
        <v>-4.9128367670364499E-2</v>
      </c>
    </row>
    <row r="7572" spans="1:12" x14ac:dyDescent="0.45">
      <c r="A7572" s="12" t="s">
        <v>13101</v>
      </c>
      <c r="B7572" s="12" t="s">
        <v>2266</v>
      </c>
      <c r="C7572" s="13" t="s">
        <v>2267</v>
      </c>
      <c r="D7572" s="13" t="s">
        <v>158</v>
      </c>
      <c r="E7572" s="12" t="s">
        <v>35</v>
      </c>
      <c r="F7572" s="14">
        <v>135000</v>
      </c>
      <c r="G7572" s="14">
        <v>100000</v>
      </c>
      <c r="H7572" s="13" t="s">
        <v>13156</v>
      </c>
      <c r="I7572" s="40" t="s">
        <v>18</v>
      </c>
      <c r="J7572" s="40" t="str">
        <f>HYPERLINK("https://stock.pstatic.net/stock-research/company/18/20251106_company_653377000.pdf","PDF")</f>
        <v>PDF</v>
      </c>
      <c r="K7572" s="12" t="s">
        <v>13157</v>
      </c>
      <c r="L7572" s="20">
        <v>0.35</v>
      </c>
    </row>
    <row r="7573" spans="1:12" x14ac:dyDescent="0.45">
      <c r="A7573" s="12" t="s">
        <v>13101</v>
      </c>
      <c r="B7573" s="12" t="s">
        <v>330</v>
      </c>
      <c r="C7573" s="13" t="s">
        <v>331</v>
      </c>
      <c r="D7573" s="13" t="s">
        <v>158</v>
      </c>
      <c r="E7573" s="12" t="s">
        <v>159</v>
      </c>
      <c r="F7573" s="14">
        <v>30000</v>
      </c>
      <c r="G7573" s="14">
        <v>28750</v>
      </c>
      <c r="H7573" s="13" t="s">
        <v>13158</v>
      </c>
      <c r="I7573" s="40" t="s">
        <v>18</v>
      </c>
      <c r="J7573" s="40" t="str">
        <f>HYPERLINK("https://stock.pstatic.net/stock-research/company/18/20251106_company_424089000.pdf","PDF")</f>
        <v>PDF</v>
      </c>
      <c r="K7573" s="12" t="s">
        <v>13159</v>
      </c>
      <c r="L7573" s="20">
        <v>4.3478260869565223E-2</v>
      </c>
    </row>
    <row r="7574" spans="1:12" x14ac:dyDescent="0.45">
      <c r="A7574" s="12" t="s">
        <v>13101</v>
      </c>
      <c r="B7574" s="12" t="s">
        <v>42</v>
      </c>
      <c r="C7574" s="13" t="s">
        <v>43</v>
      </c>
      <c r="D7574" s="13" t="s">
        <v>158</v>
      </c>
      <c r="E7574" s="12" t="s">
        <v>35</v>
      </c>
      <c r="F7574" s="14">
        <v>360000</v>
      </c>
      <c r="G7574" s="14">
        <v>278500</v>
      </c>
      <c r="H7574" s="13" t="s">
        <v>13160</v>
      </c>
      <c r="I7574" s="40" t="s">
        <v>18</v>
      </c>
      <c r="J7574" s="40" t="str">
        <f>HYPERLINK("https://stock.pstatic.net/stock-research/company/18/20251106_company_66327000.pdf","PDF")</f>
        <v>PDF</v>
      </c>
      <c r="K7574" s="12" t="s">
        <v>13161</v>
      </c>
      <c r="L7574" s="20">
        <v>0.29263913824057453</v>
      </c>
    </row>
    <row r="7575" spans="1:12" x14ac:dyDescent="0.45">
      <c r="A7575" s="12" t="s">
        <v>13101</v>
      </c>
      <c r="B7575" s="12" t="s">
        <v>2933</v>
      </c>
      <c r="C7575" s="13" t="s">
        <v>2934</v>
      </c>
      <c r="D7575" s="13" t="s">
        <v>158</v>
      </c>
      <c r="E7575" s="12" t="s">
        <v>35</v>
      </c>
      <c r="F7575" s="14">
        <v>200000</v>
      </c>
      <c r="G7575" s="14">
        <v>162300</v>
      </c>
      <c r="H7575" s="13" t="s">
        <v>13162</v>
      </c>
      <c r="I7575" s="40" t="s">
        <v>18</v>
      </c>
      <c r="J7575" s="40" t="str">
        <f>HYPERLINK("https://stock.pstatic.net/stock-research/company/18/20251106_company_290986000.pdf","PDF")</f>
        <v>PDF</v>
      </c>
      <c r="K7575" s="12" t="s">
        <v>13163</v>
      </c>
      <c r="L7575" s="20">
        <v>0.23228589032655569</v>
      </c>
    </row>
    <row r="7576" spans="1:12" x14ac:dyDescent="0.45">
      <c r="A7576" s="12" t="s">
        <v>13101</v>
      </c>
      <c r="B7576" s="12" t="s">
        <v>537</v>
      </c>
      <c r="C7576" s="13" t="s">
        <v>538</v>
      </c>
      <c r="D7576" s="13" t="s">
        <v>158</v>
      </c>
      <c r="E7576" s="12" t="s">
        <v>35</v>
      </c>
      <c r="F7576" s="14">
        <v>18000</v>
      </c>
      <c r="G7576" s="14">
        <v>14970</v>
      </c>
      <c r="H7576" s="13" t="s">
        <v>13164</v>
      </c>
      <c r="I7576" s="40" t="s">
        <v>18</v>
      </c>
      <c r="J7576" s="40" t="str">
        <f>HYPERLINK("https://stock.pstatic.net/stock-research/company/18/20251106_company_961760000.pdf","PDF")</f>
        <v>PDF</v>
      </c>
      <c r="K7576" s="12" t="s">
        <v>13165</v>
      </c>
      <c r="L7576" s="20">
        <v>0.20240480961923851</v>
      </c>
    </row>
    <row r="7577" spans="1:12" x14ac:dyDescent="0.45">
      <c r="A7577" s="12" t="s">
        <v>13101</v>
      </c>
      <c r="B7577" s="12" t="s">
        <v>9323</v>
      </c>
      <c r="C7577" s="13" t="s">
        <v>9324</v>
      </c>
      <c r="D7577" s="13" t="s">
        <v>158</v>
      </c>
      <c r="E7577" s="12" t="s">
        <v>50</v>
      </c>
      <c r="F7577" s="13"/>
      <c r="G7577" s="14">
        <v>6630</v>
      </c>
      <c r="H7577" s="13" t="s">
        <v>13166</v>
      </c>
      <c r="I7577" s="40" t="s">
        <v>18</v>
      </c>
      <c r="J7577" s="40" t="str">
        <f>HYPERLINK("https://stock.pstatic.net/stock-research/company/18/20251106_company_254989000.pdf","PDF")</f>
        <v>PDF</v>
      </c>
      <c r="K7577" s="12" t="s">
        <v>13167</v>
      </c>
    </row>
    <row r="7578" spans="1:12" x14ac:dyDescent="0.45">
      <c r="A7578" s="12" t="s">
        <v>13101</v>
      </c>
      <c r="B7578" s="12" t="s">
        <v>6784</v>
      </c>
      <c r="C7578" s="13" t="s">
        <v>6785</v>
      </c>
      <c r="D7578" s="13" t="s">
        <v>158</v>
      </c>
      <c r="E7578" s="12" t="s">
        <v>50</v>
      </c>
      <c r="F7578" s="13"/>
      <c r="G7578" s="14">
        <v>5240</v>
      </c>
      <c r="H7578" s="13" t="s">
        <v>13168</v>
      </c>
      <c r="I7578" s="40" t="s">
        <v>18</v>
      </c>
      <c r="J7578" s="40" t="str">
        <f>HYPERLINK("https://stock.pstatic.net/stock-research/company/18/20251106_company_543724000.pdf","PDF")</f>
        <v>PDF</v>
      </c>
      <c r="K7578" s="12" t="s">
        <v>13169</v>
      </c>
    </row>
    <row r="7579" spans="1:12" x14ac:dyDescent="0.45">
      <c r="A7579" s="12" t="s">
        <v>13101</v>
      </c>
      <c r="B7579" s="12" t="s">
        <v>2522</v>
      </c>
      <c r="C7579" s="13" t="s">
        <v>2523</v>
      </c>
      <c r="D7579" s="13" t="s">
        <v>158</v>
      </c>
      <c r="E7579" s="12" t="s">
        <v>35</v>
      </c>
      <c r="F7579" s="14">
        <v>360000</v>
      </c>
      <c r="G7579" s="14">
        <v>263000</v>
      </c>
      <c r="H7579" s="13" t="s">
        <v>13170</v>
      </c>
      <c r="I7579" s="40" t="s">
        <v>18</v>
      </c>
      <c r="J7579" s="40" t="str">
        <f>HYPERLINK("https://stock.pstatic.net/stock-research/company/18/20251106_company_774934000.pdf","PDF")</f>
        <v>PDF</v>
      </c>
      <c r="K7579" s="12" t="s">
        <v>13171</v>
      </c>
      <c r="L7579" s="20">
        <v>0.36882129277566539</v>
      </c>
    </row>
    <row r="7580" spans="1:12" x14ac:dyDescent="0.45">
      <c r="A7580" s="12" t="s">
        <v>13101</v>
      </c>
      <c r="B7580" s="12" t="s">
        <v>2492</v>
      </c>
      <c r="C7580" s="13" t="s">
        <v>2493</v>
      </c>
      <c r="D7580" s="13" t="s">
        <v>15</v>
      </c>
      <c r="E7580" s="12" t="s">
        <v>16</v>
      </c>
      <c r="F7580" s="14">
        <v>600000</v>
      </c>
      <c r="G7580" s="14">
        <v>428500</v>
      </c>
      <c r="H7580" s="13" t="s">
        <v>13172</v>
      </c>
      <c r="I7580" s="40" t="s">
        <v>18</v>
      </c>
      <c r="J7580" s="40" t="str">
        <f>HYPERLINK("https://stock.pstatic.net/stock-research/company/29/20251106_company_457512000.pdf","PDF")</f>
        <v>PDF</v>
      </c>
      <c r="K7580" s="12" t="s">
        <v>13173</v>
      </c>
      <c r="L7580" s="20">
        <v>0.40023337222870481</v>
      </c>
    </row>
    <row r="7581" spans="1:12" x14ac:dyDescent="0.45">
      <c r="A7581" s="12" t="s">
        <v>13101</v>
      </c>
      <c r="B7581" s="12" t="s">
        <v>1648</v>
      </c>
      <c r="C7581" s="13" t="s">
        <v>1649</v>
      </c>
      <c r="D7581" s="13" t="s">
        <v>15</v>
      </c>
      <c r="E7581" s="12" t="s">
        <v>16</v>
      </c>
      <c r="F7581" s="14">
        <v>160000</v>
      </c>
      <c r="G7581" s="14">
        <v>113500</v>
      </c>
      <c r="H7581" s="13" t="s">
        <v>13174</v>
      </c>
      <c r="I7581" s="40" t="s">
        <v>18</v>
      </c>
      <c r="J7581" s="40" t="str">
        <f>HYPERLINK("https://stock.pstatic.net/stock-research/company/29/20251106_company_203665000.pdf","PDF")</f>
        <v>PDF</v>
      </c>
      <c r="K7581" s="12" t="s">
        <v>13175</v>
      </c>
      <c r="L7581" s="20">
        <v>0.40969162995594721</v>
      </c>
    </row>
    <row r="7582" spans="1:12" x14ac:dyDescent="0.45">
      <c r="A7582" s="12" t="s">
        <v>13101</v>
      </c>
      <c r="B7582" s="12" t="s">
        <v>1648</v>
      </c>
      <c r="C7582" s="13" t="s">
        <v>1649</v>
      </c>
      <c r="D7582" s="13" t="s">
        <v>53</v>
      </c>
      <c r="E7582" s="12" t="s">
        <v>16</v>
      </c>
      <c r="F7582" s="14">
        <v>190000</v>
      </c>
      <c r="G7582" s="14">
        <v>113500</v>
      </c>
      <c r="H7582" s="13" t="s">
        <v>13176</v>
      </c>
      <c r="I7582" s="40" t="s">
        <v>18</v>
      </c>
      <c r="J7582" s="40" t="str">
        <f>HYPERLINK("https://stock.pstatic.net/stock-research/company/40/20251106_company_354836000.pdf","PDF")</f>
        <v>PDF</v>
      </c>
      <c r="K7582" s="12" t="s">
        <v>13177</v>
      </c>
      <c r="L7582" s="20">
        <v>0.67400881057268724</v>
      </c>
    </row>
    <row r="7583" spans="1:12" x14ac:dyDescent="0.45">
      <c r="A7583" s="12" t="s">
        <v>13101</v>
      </c>
      <c r="B7583" s="12" t="s">
        <v>732</v>
      </c>
      <c r="C7583" s="13" t="s">
        <v>733</v>
      </c>
      <c r="D7583" s="13" t="s">
        <v>179</v>
      </c>
      <c r="E7583" s="12" t="s">
        <v>16</v>
      </c>
      <c r="F7583" s="14">
        <v>160000</v>
      </c>
      <c r="G7583" s="14">
        <v>120600</v>
      </c>
      <c r="H7583" s="13" t="s">
        <v>13178</v>
      </c>
      <c r="I7583" s="40" t="s">
        <v>18</v>
      </c>
      <c r="J7583" s="40" t="str">
        <f>HYPERLINK("https://stock.pstatic.net/stock-research/company/64/20251106_company_682256000.pdf","PDF")</f>
        <v>PDF</v>
      </c>
      <c r="K7583" s="12" t="s">
        <v>13179</v>
      </c>
      <c r="L7583" s="20">
        <v>0.32669983416252069</v>
      </c>
    </row>
    <row r="7584" spans="1:12" x14ac:dyDescent="0.45">
      <c r="A7584" s="12" t="s">
        <v>13101</v>
      </c>
      <c r="B7584" s="12" t="s">
        <v>2658</v>
      </c>
      <c r="C7584" s="13" t="s">
        <v>2659</v>
      </c>
      <c r="D7584" s="13" t="s">
        <v>83</v>
      </c>
      <c r="E7584" s="12" t="s">
        <v>35</v>
      </c>
      <c r="F7584" s="14">
        <v>180000</v>
      </c>
      <c r="G7584" s="14">
        <v>116400</v>
      </c>
      <c r="H7584" s="13" t="s">
        <v>13180</v>
      </c>
      <c r="I7584" s="40" t="s">
        <v>18</v>
      </c>
      <c r="J7584" s="40" t="str">
        <f>HYPERLINK("https://stock.pstatic.net/stock-research/company/2/20251106_company_728100000.pdf","PDF")</f>
        <v>PDF</v>
      </c>
      <c r="K7584" s="12" t="s">
        <v>13181</v>
      </c>
      <c r="L7584" s="20">
        <v>0.54639175257731953</v>
      </c>
    </row>
    <row r="7585" spans="1:12" x14ac:dyDescent="0.45">
      <c r="A7585" s="12" t="s">
        <v>13101</v>
      </c>
      <c r="B7585" s="12" t="s">
        <v>2950</v>
      </c>
      <c r="C7585" s="13" t="s">
        <v>2951</v>
      </c>
      <c r="D7585" s="13" t="s">
        <v>83</v>
      </c>
      <c r="E7585" s="12" t="s">
        <v>35</v>
      </c>
      <c r="F7585" s="14">
        <v>110000</v>
      </c>
      <c r="G7585" s="14">
        <v>83600</v>
      </c>
      <c r="H7585" s="13" t="s">
        <v>13182</v>
      </c>
      <c r="I7585" s="40" t="s">
        <v>18</v>
      </c>
      <c r="J7585" s="40" t="str">
        <f>HYPERLINK("https://stock.pstatic.net/stock-research/company/2/20251106_company_847026000.pdf","PDF")</f>
        <v>PDF</v>
      </c>
      <c r="K7585" s="12" t="s">
        <v>13183</v>
      </c>
      <c r="L7585" s="20">
        <v>0.31578947368421051</v>
      </c>
    </row>
    <row r="7586" spans="1:12" x14ac:dyDescent="0.45">
      <c r="A7586" s="12" t="s">
        <v>13101</v>
      </c>
      <c r="B7586" s="12" t="s">
        <v>537</v>
      </c>
      <c r="C7586" s="13" t="s">
        <v>538</v>
      </c>
      <c r="D7586" s="13" t="s">
        <v>83</v>
      </c>
      <c r="E7586" s="12" t="s">
        <v>35</v>
      </c>
      <c r="F7586" s="14">
        <v>17000</v>
      </c>
      <c r="G7586" s="14">
        <v>14970</v>
      </c>
      <c r="H7586" s="13" t="s">
        <v>13184</v>
      </c>
      <c r="I7586" s="40" t="s">
        <v>18</v>
      </c>
      <c r="J7586" s="40" t="str">
        <f>HYPERLINK("https://stock.pstatic.net/stock-research/company/2/20251106_company_794455000.pdf","PDF")</f>
        <v>PDF</v>
      </c>
      <c r="K7586" s="12" t="s">
        <v>13185</v>
      </c>
      <c r="L7586" s="20">
        <v>0.13560454241816969</v>
      </c>
    </row>
    <row r="7587" spans="1:12" x14ac:dyDescent="0.45">
      <c r="A7587" s="12" t="s">
        <v>13101</v>
      </c>
      <c r="B7587" s="12" t="s">
        <v>2278</v>
      </c>
      <c r="C7587" s="13" t="s">
        <v>2279</v>
      </c>
      <c r="D7587" s="13" t="s">
        <v>83</v>
      </c>
      <c r="E7587" s="12" t="s">
        <v>642</v>
      </c>
      <c r="F7587" s="14">
        <v>3100</v>
      </c>
      <c r="G7587" s="14">
        <v>2370</v>
      </c>
      <c r="H7587" s="13" t="s">
        <v>13186</v>
      </c>
      <c r="I7587" s="40" t="s">
        <v>18</v>
      </c>
      <c r="J7587" s="40" t="str">
        <f>HYPERLINK("https://stock.pstatic.net/stock-research/company/2/20251106_company_276250000.pdf","PDF")</f>
        <v>PDF</v>
      </c>
      <c r="K7587" s="12" t="s">
        <v>13187</v>
      </c>
      <c r="L7587" s="20">
        <v>0.30801687763713081</v>
      </c>
    </row>
    <row r="7588" spans="1:12" x14ac:dyDescent="0.45">
      <c r="A7588" s="12" t="s">
        <v>13101</v>
      </c>
      <c r="B7588" s="12" t="s">
        <v>1036</v>
      </c>
      <c r="C7588" s="13" t="s">
        <v>1037</v>
      </c>
      <c r="D7588" s="13" t="s">
        <v>83</v>
      </c>
      <c r="E7588" s="12" t="s">
        <v>642</v>
      </c>
      <c r="F7588" s="14">
        <v>13000</v>
      </c>
      <c r="G7588" s="14">
        <v>16660</v>
      </c>
      <c r="H7588" s="13" t="s">
        <v>13188</v>
      </c>
      <c r="I7588" s="40" t="s">
        <v>18</v>
      </c>
      <c r="J7588" s="40" t="str">
        <f>HYPERLINK("https://stock.pstatic.net/stock-research/company/2/20251106_company_73596000.pdf","PDF")</f>
        <v>PDF</v>
      </c>
      <c r="K7588" s="12" t="s">
        <v>13189</v>
      </c>
      <c r="L7588" s="20">
        <v>-0.21968787515006</v>
      </c>
    </row>
    <row r="7589" spans="1:12" x14ac:dyDescent="0.45">
      <c r="A7589" s="12" t="s">
        <v>13101</v>
      </c>
      <c r="B7589" s="12" t="s">
        <v>42</v>
      </c>
      <c r="C7589" s="13" t="s">
        <v>43</v>
      </c>
      <c r="D7589" s="13" t="s">
        <v>83</v>
      </c>
      <c r="E7589" s="12" t="s">
        <v>35</v>
      </c>
      <c r="F7589" s="14">
        <v>330000</v>
      </c>
      <c r="G7589" s="14">
        <v>278500</v>
      </c>
      <c r="H7589" s="13" t="s">
        <v>13190</v>
      </c>
      <c r="I7589" s="40" t="s">
        <v>18</v>
      </c>
      <c r="J7589" s="40" t="str">
        <f>HYPERLINK("https://stock.pstatic.net/stock-research/company/2/20251106_company_466396000.pdf","PDF")</f>
        <v>PDF</v>
      </c>
      <c r="K7589" s="12" t="s">
        <v>13191</v>
      </c>
      <c r="L7589" s="20">
        <v>0.18491921005386</v>
      </c>
    </row>
    <row r="7590" spans="1:12" x14ac:dyDescent="0.45">
      <c r="A7590" s="12" t="s">
        <v>13101</v>
      </c>
      <c r="B7590" s="12" t="s">
        <v>1936</v>
      </c>
      <c r="C7590" s="13" t="s">
        <v>1937</v>
      </c>
      <c r="D7590" s="13" t="s">
        <v>83</v>
      </c>
      <c r="E7590" s="12" t="s">
        <v>35</v>
      </c>
      <c r="F7590" s="14">
        <v>7700</v>
      </c>
      <c r="G7590" s="14">
        <v>6200</v>
      </c>
      <c r="H7590" s="13" t="s">
        <v>13192</v>
      </c>
      <c r="I7590" s="40" t="s">
        <v>18</v>
      </c>
      <c r="J7590" s="40" t="str">
        <f>HYPERLINK("https://stock.pstatic.net/stock-research/company/2/20251106_company_941815000.pdf","PDF")</f>
        <v>PDF</v>
      </c>
      <c r="K7590" s="12" t="s">
        <v>13193</v>
      </c>
      <c r="L7590" s="20">
        <v>0.24193548387096769</v>
      </c>
    </row>
    <row r="7591" spans="1:12" x14ac:dyDescent="0.45">
      <c r="A7591" s="12" t="s">
        <v>13101</v>
      </c>
      <c r="B7591" s="12" t="s">
        <v>132</v>
      </c>
      <c r="C7591" s="13" t="s">
        <v>133</v>
      </c>
      <c r="D7591" s="13" t="s">
        <v>15</v>
      </c>
      <c r="E7591" s="12" t="s">
        <v>16</v>
      </c>
      <c r="F7591" s="14">
        <v>110000</v>
      </c>
      <c r="G7591" s="14">
        <v>83000</v>
      </c>
      <c r="H7591" s="13" t="s">
        <v>13194</v>
      </c>
      <c r="I7591" s="40" t="s">
        <v>18</v>
      </c>
      <c r="J7591" s="40" t="str">
        <f>HYPERLINK("https://stock.pstatic.net/stock-research/company/29/20251106_company_992526000.pdf","PDF")</f>
        <v>PDF</v>
      </c>
      <c r="K7591" s="12" t="s">
        <v>13195</v>
      </c>
      <c r="L7591" s="20">
        <v>0.3253012048192771</v>
      </c>
    </row>
    <row r="7592" spans="1:12" x14ac:dyDescent="0.45">
      <c r="A7592" s="12" t="s">
        <v>13101</v>
      </c>
      <c r="B7592" s="12" t="s">
        <v>2266</v>
      </c>
      <c r="C7592" s="13" t="s">
        <v>2267</v>
      </c>
      <c r="D7592" s="13" t="s">
        <v>15</v>
      </c>
      <c r="E7592" s="12" t="s">
        <v>385</v>
      </c>
      <c r="F7592" s="14">
        <v>106000</v>
      </c>
      <c r="G7592" s="14">
        <v>100000</v>
      </c>
      <c r="H7592" s="13" t="s">
        <v>13196</v>
      </c>
      <c r="I7592" s="40" t="s">
        <v>18</v>
      </c>
      <c r="J7592" s="40" t="str">
        <f>HYPERLINK("https://stock.pstatic.net/stock-research/company/29/20251106_company_559455000.pdf","PDF")</f>
        <v>PDF</v>
      </c>
      <c r="K7592" s="12" t="s">
        <v>13197</v>
      </c>
      <c r="L7592" s="20">
        <v>0.06</v>
      </c>
    </row>
    <row r="7593" spans="1:12" x14ac:dyDescent="0.45">
      <c r="A7593" s="12" t="s">
        <v>13101</v>
      </c>
      <c r="B7593" s="12" t="s">
        <v>330</v>
      </c>
      <c r="C7593" s="13" t="s">
        <v>331</v>
      </c>
      <c r="D7593" s="13" t="s">
        <v>15</v>
      </c>
      <c r="E7593" s="12" t="s">
        <v>16</v>
      </c>
      <c r="F7593" s="14">
        <v>35000</v>
      </c>
      <c r="G7593" s="14">
        <v>28750</v>
      </c>
      <c r="H7593" s="13" t="s">
        <v>13198</v>
      </c>
      <c r="I7593" s="40" t="s">
        <v>18</v>
      </c>
      <c r="J7593" s="40" t="str">
        <f>HYPERLINK("https://stock.pstatic.net/stock-research/company/29/20251106_company_763448000.pdf","PDF")</f>
        <v>PDF</v>
      </c>
      <c r="K7593" s="12" t="s">
        <v>13199</v>
      </c>
      <c r="L7593" s="20">
        <v>0.21739130434782611</v>
      </c>
    </row>
    <row r="7594" spans="1:12" x14ac:dyDescent="0.45">
      <c r="A7594" s="12" t="s">
        <v>13101</v>
      </c>
      <c r="B7594" s="12" t="s">
        <v>537</v>
      </c>
      <c r="C7594" s="13" t="s">
        <v>538</v>
      </c>
      <c r="D7594" s="13" t="s">
        <v>15</v>
      </c>
      <c r="E7594" s="12" t="s">
        <v>16</v>
      </c>
      <c r="F7594" s="14">
        <v>19000</v>
      </c>
      <c r="G7594" s="14">
        <v>14970</v>
      </c>
      <c r="H7594" s="13" t="s">
        <v>13200</v>
      </c>
      <c r="I7594" s="40" t="s">
        <v>18</v>
      </c>
      <c r="J7594" s="40" t="str">
        <f>HYPERLINK("https://stock.pstatic.net/stock-research/company/29/20251106_company_635138000.pdf","PDF")</f>
        <v>PDF</v>
      </c>
      <c r="K7594" s="12" t="s">
        <v>13201</v>
      </c>
      <c r="L7594" s="20">
        <v>0.26920507682030731</v>
      </c>
    </row>
    <row r="7595" spans="1:12" x14ac:dyDescent="0.45">
      <c r="A7595" s="12" t="s">
        <v>13101</v>
      </c>
      <c r="B7595" s="12" t="s">
        <v>2658</v>
      </c>
      <c r="C7595" s="13" t="s">
        <v>2659</v>
      </c>
      <c r="D7595" s="13" t="s">
        <v>92</v>
      </c>
      <c r="E7595" s="12" t="s">
        <v>35</v>
      </c>
      <c r="F7595" s="14">
        <v>220000</v>
      </c>
      <c r="G7595" s="14">
        <v>116500</v>
      </c>
      <c r="H7595" s="13" t="s">
        <v>13202</v>
      </c>
      <c r="I7595" s="40" t="s">
        <v>18</v>
      </c>
      <c r="J7595" s="40" t="str">
        <f>HYPERLINK("https://stock.pstatic.net/stock-research/company/63/20251106_company_463419000.pdf","PDF")</f>
        <v>PDF</v>
      </c>
      <c r="K7595" s="12" t="s">
        <v>13203</v>
      </c>
      <c r="L7595" s="20">
        <v>0.88841201716738194</v>
      </c>
    </row>
    <row r="7596" spans="1:12" x14ac:dyDescent="0.45">
      <c r="A7596" s="12" t="s">
        <v>13101</v>
      </c>
      <c r="B7596" s="12" t="s">
        <v>3395</v>
      </c>
      <c r="C7596" s="13" t="s">
        <v>3396</v>
      </c>
      <c r="D7596" s="13" t="s">
        <v>92</v>
      </c>
      <c r="E7596" s="12" t="s">
        <v>35</v>
      </c>
      <c r="F7596" s="14">
        <v>21000</v>
      </c>
      <c r="G7596" s="14">
        <v>16280</v>
      </c>
      <c r="H7596" s="13" t="s">
        <v>13204</v>
      </c>
      <c r="I7596" s="40" t="s">
        <v>18</v>
      </c>
      <c r="J7596" s="40" t="str">
        <f>HYPERLINK("https://stock.pstatic.net/stock-research/company/63/20251106_company_799900000.pdf","PDF")</f>
        <v>PDF</v>
      </c>
      <c r="K7596" s="12" t="s">
        <v>13205</v>
      </c>
      <c r="L7596" s="20">
        <v>0.28992628992628988</v>
      </c>
    </row>
    <row r="7597" spans="1:12" x14ac:dyDescent="0.45">
      <c r="A7597" s="12" t="s">
        <v>13101</v>
      </c>
      <c r="B7597" s="12" t="s">
        <v>1036</v>
      </c>
      <c r="C7597" s="13" t="s">
        <v>1037</v>
      </c>
      <c r="D7597" s="13" t="s">
        <v>15</v>
      </c>
      <c r="E7597" s="12" t="s">
        <v>385</v>
      </c>
      <c r="F7597" s="14">
        <v>15500</v>
      </c>
      <c r="G7597" s="14">
        <v>16660</v>
      </c>
      <c r="H7597" s="13" t="s">
        <v>11729</v>
      </c>
      <c r="I7597" s="40" t="s">
        <v>18</v>
      </c>
      <c r="J7597" s="40" t="str">
        <f>HYPERLINK("https://stock.pstatic.net/stock-research/company/29/20251106_company_368159000.pdf","PDF")</f>
        <v>PDF</v>
      </c>
      <c r="K7597" s="12" t="s">
        <v>13206</v>
      </c>
      <c r="L7597" s="20">
        <v>-6.9627851140456179E-2</v>
      </c>
    </row>
    <row r="7598" spans="1:12" x14ac:dyDescent="0.45">
      <c r="A7598" s="12" t="s">
        <v>13101</v>
      </c>
      <c r="B7598" s="12" t="s">
        <v>3113</v>
      </c>
      <c r="C7598" s="13" t="s">
        <v>3114</v>
      </c>
      <c r="D7598" s="13" t="s">
        <v>23</v>
      </c>
      <c r="E7598" s="12" t="s">
        <v>16</v>
      </c>
      <c r="F7598" s="14">
        <v>36000</v>
      </c>
      <c r="G7598" s="14">
        <v>29600</v>
      </c>
      <c r="H7598" s="13" t="s">
        <v>13207</v>
      </c>
      <c r="I7598" s="40" t="s">
        <v>18</v>
      </c>
      <c r="J7598" s="40" t="str">
        <f>HYPERLINK("https://stock.pstatic.net/stock-research/company/21/20251106_company_140970000.pdf","PDF")</f>
        <v>PDF</v>
      </c>
      <c r="K7598" s="12" t="s">
        <v>13208</v>
      </c>
      <c r="L7598" s="20">
        <v>0.2162162162162162</v>
      </c>
    </row>
    <row r="7599" spans="1:12" x14ac:dyDescent="0.45">
      <c r="A7599" s="12" t="s">
        <v>13101</v>
      </c>
      <c r="B7599" s="12" t="s">
        <v>2658</v>
      </c>
      <c r="C7599" s="13" t="s">
        <v>2659</v>
      </c>
      <c r="D7599" s="13" t="s">
        <v>34</v>
      </c>
      <c r="E7599" s="12" t="s">
        <v>35</v>
      </c>
      <c r="F7599" s="14">
        <v>150000</v>
      </c>
      <c r="G7599" s="14">
        <v>116500</v>
      </c>
      <c r="H7599" s="13" t="s">
        <v>13209</v>
      </c>
      <c r="I7599" s="40" t="s">
        <v>18</v>
      </c>
      <c r="J7599" s="40" t="str">
        <f>HYPERLINK("https://stock.pstatic.net/stock-research/company/61/20251106_company_285270000.pdf","PDF")</f>
        <v>PDF</v>
      </c>
      <c r="K7599" s="12" t="s">
        <v>13210</v>
      </c>
      <c r="L7599" s="20">
        <v>0.28755364806866951</v>
      </c>
    </row>
    <row r="7600" spans="1:12" x14ac:dyDescent="0.45">
      <c r="A7600" s="12" t="s">
        <v>13101</v>
      </c>
      <c r="B7600" s="12" t="s">
        <v>102</v>
      </c>
      <c r="C7600" s="13" t="s">
        <v>103</v>
      </c>
      <c r="D7600" s="13" t="s">
        <v>34</v>
      </c>
      <c r="E7600" s="12" t="s">
        <v>35</v>
      </c>
      <c r="F7600" s="14">
        <v>20000</v>
      </c>
      <c r="G7600" s="14">
        <v>16750</v>
      </c>
      <c r="H7600" s="13" t="s">
        <v>13211</v>
      </c>
      <c r="I7600" s="40" t="s">
        <v>18</v>
      </c>
      <c r="J7600" s="40" t="str">
        <f>HYPERLINK("https://stock.pstatic.net/stock-research/company/61/20251106_company_985053000.pdf","PDF")</f>
        <v>PDF</v>
      </c>
      <c r="K7600" s="12" t="s">
        <v>13212</v>
      </c>
      <c r="L7600" s="20">
        <v>0.19402985074626869</v>
      </c>
    </row>
    <row r="7601" spans="1:12" x14ac:dyDescent="0.45">
      <c r="A7601" s="12" t="s">
        <v>13101</v>
      </c>
      <c r="B7601" s="12" t="s">
        <v>537</v>
      </c>
      <c r="C7601" s="13" t="s">
        <v>538</v>
      </c>
      <c r="D7601" s="13" t="s">
        <v>92</v>
      </c>
      <c r="E7601" s="12" t="s">
        <v>35</v>
      </c>
      <c r="F7601" s="14">
        <v>18000</v>
      </c>
      <c r="G7601" s="14">
        <v>14970</v>
      </c>
      <c r="H7601" s="13" t="s">
        <v>13213</v>
      </c>
      <c r="I7601" s="40" t="s">
        <v>18</v>
      </c>
      <c r="J7601" s="40" t="str">
        <f>HYPERLINK("https://stock.pstatic.net/stock-research/company/63/20251106_company_681004000.pdf","PDF")</f>
        <v>PDF</v>
      </c>
      <c r="K7601" s="12" t="s">
        <v>13214</v>
      </c>
      <c r="L7601" s="20">
        <v>0.20240480961923851</v>
      </c>
    </row>
    <row r="7602" spans="1:12" x14ac:dyDescent="0.45">
      <c r="A7602" s="12" t="s">
        <v>13101</v>
      </c>
      <c r="B7602" s="12" t="s">
        <v>1648</v>
      </c>
      <c r="C7602" s="13" t="s">
        <v>1649</v>
      </c>
      <c r="D7602" s="13" t="s">
        <v>34</v>
      </c>
      <c r="E7602" s="12" t="s">
        <v>35</v>
      </c>
      <c r="F7602" s="14">
        <v>178000</v>
      </c>
      <c r="G7602" s="14">
        <v>113500</v>
      </c>
      <c r="H7602" s="13" t="s">
        <v>13215</v>
      </c>
      <c r="I7602" s="40" t="s">
        <v>18</v>
      </c>
      <c r="J7602" s="40" t="str">
        <f>HYPERLINK("https://stock.pstatic.net/stock-research/company/61/20251106_company_476390000.pdf","PDF")</f>
        <v>PDF</v>
      </c>
      <c r="K7602" s="12" t="s">
        <v>13216</v>
      </c>
      <c r="L7602" s="20">
        <v>0.56828193832599116</v>
      </c>
    </row>
    <row r="7603" spans="1:12" x14ac:dyDescent="0.45">
      <c r="A7603" s="12" t="s">
        <v>13101</v>
      </c>
      <c r="B7603" s="12" t="s">
        <v>330</v>
      </c>
      <c r="C7603" s="13" t="s">
        <v>331</v>
      </c>
      <c r="D7603" s="13" t="s">
        <v>34</v>
      </c>
      <c r="E7603" s="12" t="s">
        <v>159</v>
      </c>
      <c r="F7603" s="14">
        <v>32000</v>
      </c>
      <c r="G7603" s="14">
        <v>28750</v>
      </c>
      <c r="H7603" s="13" t="s">
        <v>13217</v>
      </c>
      <c r="I7603" s="40" t="s">
        <v>18</v>
      </c>
      <c r="J7603" s="40" t="str">
        <f>HYPERLINK("https://stock.pstatic.net/stock-research/company/61/20251106_company_975958000.pdf","PDF")</f>
        <v>PDF</v>
      </c>
      <c r="K7603" s="12" t="s">
        <v>13218</v>
      </c>
      <c r="L7603" s="20">
        <v>0.11304347826086961</v>
      </c>
    </row>
    <row r="7604" spans="1:12" x14ac:dyDescent="0.45">
      <c r="A7604" s="12" t="s">
        <v>13101</v>
      </c>
      <c r="B7604" s="12" t="s">
        <v>1648</v>
      </c>
      <c r="C7604" s="13" t="s">
        <v>1649</v>
      </c>
      <c r="D7604" s="13" t="s">
        <v>92</v>
      </c>
      <c r="E7604" s="12" t="s">
        <v>35</v>
      </c>
      <c r="F7604" s="14">
        <v>160000</v>
      </c>
      <c r="G7604" s="14">
        <v>113500</v>
      </c>
      <c r="H7604" s="13" t="s">
        <v>13219</v>
      </c>
      <c r="I7604" s="40" t="s">
        <v>18</v>
      </c>
      <c r="J7604" s="40" t="str">
        <f>HYPERLINK("https://stock.pstatic.net/stock-research/company/63/20251106_company_175422000.pdf","PDF")</f>
        <v>PDF</v>
      </c>
      <c r="K7604" s="12" t="s">
        <v>13220</v>
      </c>
      <c r="L7604" s="20">
        <v>0.40969162995594721</v>
      </c>
    </row>
    <row r="7605" spans="1:12" x14ac:dyDescent="0.45">
      <c r="A7605" s="12" t="s">
        <v>13101</v>
      </c>
      <c r="B7605" s="12" t="s">
        <v>2369</v>
      </c>
      <c r="C7605" s="13" t="s">
        <v>2370</v>
      </c>
      <c r="D7605" s="13" t="s">
        <v>44</v>
      </c>
      <c r="E7605" s="12" t="s">
        <v>45</v>
      </c>
      <c r="F7605" s="14">
        <v>370000</v>
      </c>
      <c r="G7605" s="14">
        <v>325000</v>
      </c>
      <c r="H7605" s="13" t="s">
        <v>13221</v>
      </c>
      <c r="I7605" s="40" t="s">
        <v>18</v>
      </c>
      <c r="J7605" s="40" t="str">
        <f>HYPERLINK("https://stock.pstatic.net/stock-research/company/39/20251106_company_375476000.pdf","PDF")</f>
        <v>PDF</v>
      </c>
      <c r="K7605" s="12" t="s">
        <v>13222</v>
      </c>
      <c r="L7605" s="20">
        <v>0.1384615384615385</v>
      </c>
    </row>
    <row r="7606" spans="1:12" x14ac:dyDescent="0.45">
      <c r="A7606" s="12" t="s">
        <v>13101</v>
      </c>
      <c r="B7606" s="12" t="s">
        <v>1019</v>
      </c>
      <c r="C7606" s="13" t="s">
        <v>1020</v>
      </c>
      <c r="D7606" s="13" t="s">
        <v>92</v>
      </c>
      <c r="E7606" s="12" t="s">
        <v>35</v>
      </c>
      <c r="F7606" s="14">
        <v>26000</v>
      </c>
      <c r="G7606" s="14">
        <v>17070</v>
      </c>
      <c r="H7606" s="13" t="s">
        <v>13223</v>
      </c>
      <c r="I7606" s="40" t="s">
        <v>18</v>
      </c>
      <c r="J7606" s="40" t="str">
        <f>HYPERLINK("https://stock.pstatic.net/stock-research/company/63/20251106_company_416059000.pdf","PDF")</f>
        <v>PDF</v>
      </c>
      <c r="K7606" s="12" t="s">
        <v>13224</v>
      </c>
      <c r="L7606" s="20">
        <v>0.52314001171646163</v>
      </c>
    </row>
    <row r="7607" spans="1:12" x14ac:dyDescent="0.45">
      <c r="A7607" s="12" t="s">
        <v>13101</v>
      </c>
      <c r="B7607" s="12" t="s">
        <v>2933</v>
      </c>
      <c r="C7607" s="13" t="s">
        <v>2934</v>
      </c>
      <c r="D7607" s="13" t="s">
        <v>23</v>
      </c>
      <c r="E7607" s="12" t="s">
        <v>16</v>
      </c>
      <c r="F7607" s="14">
        <v>180000</v>
      </c>
      <c r="G7607" s="14">
        <v>162300</v>
      </c>
      <c r="H7607" s="13" t="s">
        <v>13225</v>
      </c>
      <c r="I7607" s="40" t="s">
        <v>18</v>
      </c>
      <c r="J7607" s="40" t="str">
        <f>HYPERLINK("https://stock.pstatic.net/stock-research/company/21/20251106_company_277026000.pdf","PDF")</f>
        <v>PDF</v>
      </c>
      <c r="K7607" s="12" t="s">
        <v>13226</v>
      </c>
      <c r="L7607" s="20">
        <v>0.10905730129390021</v>
      </c>
    </row>
    <row r="7608" spans="1:12" x14ac:dyDescent="0.45">
      <c r="A7608" s="12" t="s">
        <v>13101</v>
      </c>
      <c r="B7608" s="12" t="s">
        <v>2650</v>
      </c>
      <c r="C7608" s="13" t="s">
        <v>2651</v>
      </c>
      <c r="D7608" s="13" t="s">
        <v>23</v>
      </c>
      <c r="E7608" s="12" t="s">
        <v>16</v>
      </c>
      <c r="F7608" s="14">
        <v>30000</v>
      </c>
      <c r="G7608" s="14">
        <v>22400</v>
      </c>
      <c r="H7608" s="13" t="s">
        <v>13227</v>
      </c>
      <c r="I7608" s="40" t="s">
        <v>18</v>
      </c>
      <c r="J7608" s="40" t="str">
        <f>HYPERLINK("https://stock.pstatic.net/stock-research/company/21/20251106_company_55569000.pdf","PDF")</f>
        <v>PDF</v>
      </c>
      <c r="K7608" s="12" t="s">
        <v>13228</v>
      </c>
      <c r="L7608" s="20">
        <v>0.3392857142857143</v>
      </c>
    </row>
    <row r="7609" spans="1:12" x14ac:dyDescent="0.45">
      <c r="A7609" s="12" t="s">
        <v>13101</v>
      </c>
      <c r="B7609" s="12" t="s">
        <v>1019</v>
      </c>
      <c r="C7609" s="13" t="s">
        <v>1020</v>
      </c>
      <c r="D7609" s="13" t="s">
        <v>44</v>
      </c>
      <c r="E7609" s="12" t="s">
        <v>35</v>
      </c>
      <c r="F7609" s="14">
        <v>32000</v>
      </c>
      <c r="G7609" s="14">
        <v>17070</v>
      </c>
      <c r="H7609" s="13" t="s">
        <v>13229</v>
      </c>
      <c r="I7609" s="40" t="s">
        <v>18</v>
      </c>
      <c r="J7609" s="40" t="str">
        <f>HYPERLINK("https://stock.pstatic.net/stock-research/company/39/20251106_company_378692000.pdf","PDF")</f>
        <v>PDF</v>
      </c>
      <c r="K7609" s="12" t="s">
        <v>13230</v>
      </c>
      <c r="L7609" s="20">
        <v>0.87463386057410664</v>
      </c>
    </row>
    <row r="7610" spans="1:12" x14ac:dyDescent="0.45">
      <c r="A7610" s="12" t="s">
        <v>13101</v>
      </c>
      <c r="B7610" s="12" t="s">
        <v>1036</v>
      </c>
      <c r="C7610" s="13" t="s">
        <v>1037</v>
      </c>
      <c r="D7610" s="13" t="s">
        <v>92</v>
      </c>
      <c r="E7610" s="12" t="s">
        <v>159</v>
      </c>
      <c r="F7610" s="14">
        <v>13000</v>
      </c>
      <c r="G7610" s="14">
        <v>16660</v>
      </c>
      <c r="H7610" s="13" t="s">
        <v>13231</v>
      </c>
      <c r="I7610" s="40" t="s">
        <v>18</v>
      </c>
      <c r="J7610" s="40" t="str">
        <f>HYPERLINK("https://stock.pstatic.net/stock-research/company/63/20251106_company_743732000.pdf","PDF")</f>
        <v>PDF</v>
      </c>
      <c r="K7610" s="12" t="s">
        <v>13232</v>
      </c>
      <c r="L7610" s="20">
        <v>-0.21968787515006</v>
      </c>
    </row>
    <row r="7611" spans="1:12" x14ac:dyDescent="0.45">
      <c r="A7611" s="12" t="s">
        <v>13101</v>
      </c>
      <c r="B7611" s="12" t="s">
        <v>42</v>
      </c>
      <c r="C7611" s="13" t="s">
        <v>43</v>
      </c>
      <c r="D7611" s="13" t="s">
        <v>92</v>
      </c>
      <c r="E7611" s="12" t="s">
        <v>35</v>
      </c>
      <c r="F7611" s="14">
        <v>340000</v>
      </c>
      <c r="G7611" s="14">
        <v>278500</v>
      </c>
      <c r="H7611" s="13" t="s">
        <v>13233</v>
      </c>
      <c r="I7611" s="40" t="s">
        <v>18</v>
      </c>
      <c r="J7611" s="40" t="str">
        <f>HYPERLINK("https://stock.pstatic.net/stock-research/company/63/20251106_company_698358000.pdf","PDF")</f>
        <v>PDF</v>
      </c>
      <c r="K7611" s="12" t="s">
        <v>13234</v>
      </c>
      <c r="L7611" s="20">
        <v>0.22082585278276479</v>
      </c>
    </row>
    <row r="7612" spans="1:12" x14ac:dyDescent="0.45">
      <c r="A7612" s="12" t="s">
        <v>13101</v>
      </c>
      <c r="B7612" s="12" t="s">
        <v>1036</v>
      </c>
      <c r="C7612" s="13" t="s">
        <v>1037</v>
      </c>
      <c r="D7612" s="13" t="s">
        <v>179</v>
      </c>
      <c r="E7612" s="12" t="s">
        <v>385</v>
      </c>
      <c r="F7612" s="14">
        <v>18000</v>
      </c>
      <c r="G7612" s="14">
        <v>16660</v>
      </c>
      <c r="H7612" s="13" t="s">
        <v>13235</v>
      </c>
      <c r="I7612" s="40" t="s">
        <v>18</v>
      </c>
      <c r="J7612" s="40" t="str">
        <f>HYPERLINK("https://stock.pstatic.net/stock-research/company/64/20251106_company_519490000.pdf","PDF")</f>
        <v>PDF</v>
      </c>
      <c r="K7612" s="12" t="s">
        <v>13236</v>
      </c>
      <c r="L7612" s="20">
        <v>8.0432172869147653E-2</v>
      </c>
    </row>
    <row r="7613" spans="1:12" x14ac:dyDescent="0.45">
      <c r="A7613" s="12" t="s">
        <v>13101</v>
      </c>
      <c r="B7613" s="12" t="s">
        <v>2950</v>
      </c>
      <c r="C7613" s="13" t="s">
        <v>2951</v>
      </c>
      <c r="D7613" s="13" t="s">
        <v>23</v>
      </c>
      <c r="E7613" s="12" t="s">
        <v>16</v>
      </c>
      <c r="F7613" s="14">
        <v>125000</v>
      </c>
      <c r="G7613" s="14">
        <v>83600</v>
      </c>
      <c r="H7613" s="13" t="s">
        <v>13237</v>
      </c>
      <c r="I7613" s="40" t="s">
        <v>18</v>
      </c>
      <c r="J7613" s="40" t="str">
        <f>HYPERLINK("https://stock.pstatic.net/stock-research/company/21/20251106_company_878154000.pdf","PDF")</f>
        <v>PDF</v>
      </c>
      <c r="K7613" s="12" t="s">
        <v>13238</v>
      </c>
      <c r="L7613" s="20">
        <v>0.49521531100478472</v>
      </c>
    </row>
    <row r="7614" spans="1:12" x14ac:dyDescent="0.45">
      <c r="A7614" s="12" t="s">
        <v>13101</v>
      </c>
      <c r="B7614" s="12" t="s">
        <v>792</v>
      </c>
      <c r="C7614" s="13" t="s">
        <v>793</v>
      </c>
      <c r="D7614" s="13" t="s">
        <v>23</v>
      </c>
      <c r="E7614" s="12" t="s">
        <v>16</v>
      </c>
      <c r="F7614" s="14">
        <v>55000</v>
      </c>
      <c r="G7614" s="14">
        <v>41250</v>
      </c>
      <c r="H7614" s="13" t="s">
        <v>13239</v>
      </c>
      <c r="I7614" s="40" t="s">
        <v>18</v>
      </c>
      <c r="J7614" s="40" t="str">
        <f>HYPERLINK("https://stock.pstatic.net/stock-research/company/21/20251106_company_857322000.pdf","PDF")</f>
        <v>PDF</v>
      </c>
      <c r="K7614" s="12" t="s">
        <v>13240</v>
      </c>
      <c r="L7614" s="20">
        <v>0.33333333333333331</v>
      </c>
    </row>
    <row r="7615" spans="1:12" x14ac:dyDescent="0.45">
      <c r="A7615" s="12" t="s">
        <v>13101</v>
      </c>
      <c r="B7615" s="12" t="s">
        <v>132</v>
      </c>
      <c r="C7615" s="13" t="s">
        <v>133</v>
      </c>
      <c r="D7615" s="13" t="s">
        <v>23</v>
      </c>
      <c r="E7615" s="12" t="s">
        <v>16</v>
      </c>
      <c r="F7615" s="14">
        <v>100000</v>
      </c>
      <c r="G7615" s="14">
        <v>83000</v>
      </c>
      <c r="H7615" s="13" t="s">
        <v>13241</v>
      </c>
      <c r="I7615" s="40" t="s">
        <v>18</v>
      </c>
      <c r="J7615" s="40" t="str">
        <f>HYPERLINK("https://stock.pstatic.net/stock-research/company/21/20251106_company_798068000.pdf","PDF")</f>
        <v>PDF</v>
      </c>
      <c r="K7615" s="12" t="s">
        <v>13242</v>
      </c>
      <c r="L7615" s="20">
        <v>0.2048192771084337</v>
      </c>
    </row>
    <row r="7616" spans="1:12" x14ac:dyDescent="0.45">
      <c r="A7616" s="12" t="s">
        <v>13101</v>
      </c>
      <c r="B7616" s="12" t="s">
        <v>2266</v>
      </c>
      <c r="C7616" s="13" t="s">
        <v>2267</v>
      </c>
      <c r="D7616" s="13" t="s">
        <v>23</v>
      </c>
      <c r="E7616" s="12" t="s">
        <v>16</v>
      </c>
      <c r="F7616" s="14">
        <v>116000</v>
      </c>
      <c r="G7616" s="14">
        <v>100000</v>
      </c>
      <c r="H7616" s="13" t="s">
        <v>13243</v>
      </c>
      <c r="I7616" s="40" t="s">
        <v>18</v>
      </c>
      <c r="J7616" s="40" t="str">
        <f>HYPERLINK("https://stock.pstatic.net/stock-research/company/21/20251106_company_352997000.pdf","PDF")</f>
        <v>PDF</v>
      </c>
      <c r="K7616" s="12" t="s">
        <v>13244</v>
      </c>
      <c r="L7616" s="20">
        <v>0.16</v>
      </c>
    </row>
    <row r="7617" spans="1:12" x14ac:dyDescent="0.45">
      <c r="A7617" s="12" t="s">
        <v>13101</v>
      </c>
      <c r="B7617" s="12" t="s">
        <v>537</v>
      </c>
      <c r="C7617" s="13" t="s">
        <v>538</v>
      </c>
      <c r="D7617" s="13" t="s">
        <v>23</v>
      </c>
      <c r="E7617" s="12" t="s">
        <v>16</v>
      </c>
      <c r="F7617" s="14">
        <v>16500</v>
      </c>
      <c r="G7617" s="14">
        <v>14970</v>
      </c>
      <c r="H7617" s="13" t="s">
        <v>13245</v>
      </c>
      <c r="I7617" s="40" t="s">
        <v>18</v>
      </c>
      <c r="J7617" s="40" t="str">
        <f>HYPERLINK("https://stock.pstatic.net/stock-research/company/21/20251106_company_758473000.pdf","PDF")</f>
        <v>PDF</v>
      </c>
      <c r="K7617" s="12" t="s">
        <v>13246</v>
      </c>
      <c r="L7617" s="20">
        <v>0.1022044088176353</v>
      </c>
    </row>
    <row r="7618" spans="1:12" x14ac:dyDescent="0.45">
      <c r="A7618" s="12" t="s">
        <v>13101</v>
      </c>
      <c r="B7618" s="12" t="s">
        <v>732</v>
      </c>
      <c r="C7618" s="13" t="s">
        <v>733</v>
      </c>
      <c r="D7618" s="13" t="s">
        <v>53</v>
      </c>
      <c r="E7618" s="12" t="s">
        <v>16</v>
      </c>
      <c r="F7618" s="14">
        <v>165000</v>
      </c>
      <c r="G7618" s="14">
        <v>120600</v>
      </c>
      <c r="H7618" s="13" t="s">
        <v>13247</v>
      </c>
      <c r="I7618" s="40" t="s">
        <v>18</v>
      </c>
      <c r="J7618" s="40" t="str">
        <f>HYPERLINK("https://stock.pstatic.net/stock-research/company/40/20251106_company_261583000.pdf","PDF")</f>
        <v>PDF</v>
      </c>
      <c r="K7618" s="12" t="s">
        <v>13248</v>
      </c>
      <c r="L7618" s="20">
        <v>0.36815920398009949</v>
      </c>
    </row>
    <row r="7619" spans="1:12" x14ac:dyDescent="0.45">
      <c r="A7619" s="12" t="s">
        <v>13101</v>
      </c>
      <c r="B7619" s="12" t="s">
        <v>3113</v>
      </c>
      <c r="C7619" s="13" t="s">
        <v>3114</v>
      </c>
      <c r="D7619" s="13" t="s">
        <v>92</v>
      </c>
      <c r="E7619" s="12" t="s">
        <v>35</v>
      </c>
      <c r="F7619" s="14">
        <v>34000</v>
      </c>
      <c r="G7619" s="14">
        <v>29600</v>
      </c>
      <c r="H7619" s="13" t="s">
        <v>13249</v>
      </c>
      <c r="I7619" s="40" t="s">
        <v>18</v>
      </c>
      <c r="J7619" s="40" t="str">
        <f>HYPERLINK("https://stock.pstatic.net/stock-research/company/63/20251106_company_11342000.pdf","PDF")</f>
        <v>PDF</v>
      </c>
      <c r="K7619" s="12" t="s">
        <v>13250</v>
      </c>
      <c r="L7619" s="20">
        <v>0.14864864864864871</v>
      </c>
    </row>
    <row r="7620" spans="1:12" x14ac:dyDescent="0.45">
      <c r="A7620" s="12" t="s">
        <v>13101</v>
      </c>
      <c r="B7620" s="12" t="s">
        <v>330</v>
      </c>
      <c r="C7620" s="13" t="s">
        <v>331</v>
      </c>
      <c r="D7620" s="13" t="s">
        <v>92</v>
      </c>
      <c r="E7620" s="12" t="s">
        <v>159</v>
      </c>
      <c r="F7620" s="14">
        <v>25000</v>
      </c>
      <c r="G7620" s="14">
        <v>28750</v>
      </c>
      <c r="H7620" s="13" t="s">
        <v>13170</v>
      </c>
      <c r="I7620" s="40" t="s">
        <v>18</v>
      </c>
      <c r="J7620" s="40" t="str">
        <f>HYPERLINK("https://stock.pstatic.net/stock-research/company/63/20251106_company_473488000.pdf","PDF")</f>
        <v>PDF</v>
      </c>
      <c r="K7620" s="12" t="s">
        <v>13251</v>
      </c>
      <c r="L7620" s="20">
        <v>-0.13043478260869559</v>
      </c>
    </row>
    <row r="7621" spans="1:12" x14ac:dyDescent="0.45">
      <c r="A7621" s="12" t="s">
        <v>13101</v>
      </c>
      <c r="B7621" s="12" t="s">
        <v>752</v>
      </c>
      <c r="C7621" s="13" t="s">
        <v>753</v>
      </c>
      <c r="D7621" s="13" t="s">
        <v>23</v>
      </c>
      <c r="E7621" s="12" t="s">
        <v>16</v>
      </c>
      <c r="F7621" s="14">
        <v>84000</v>
      </c>
      <c r="G7621" s="14">
        <v>74000</v>
      </c>
      <c r="H7621" s="13" t="s">
        <v>13252</v>
      </c>
      <c r="I7621" s="40" t="s">
        <v>18</v>
      </c>
      <c r="J7621" s="40" t="str">
        <f>HYPERLINK("https://stock.pstatic.net/stock-research/company/21/20251106_company_613580000.pdf","PDF")</f>
        <v>PDF</v>
      </c>
      <c r="K7621" s="12" t="s">
        <v>13253</v>
      </c>
      <c r="L7621" s="20">
        <v>0.13513513513513509</v>
      </c>
    </row>
    <row r="7622" spans="1:12" x14ac:dyDescent="0.45">
      <c r="A7622" s="12" t="s">
        <v>13101</v>
      </c>
      <c r="B7622" s="12" t="s">
        <v>330</v>
      </c>
      <c r="C7622" s="13" t="s">
        <v>331</v>
      </c>
      <c r="D7622" s="13" t="s">
        <v>23</v>
      </c>
      <c r="E7622" s="12" t="s">
        <v>50</v>
      </c>
      <c r="F7622" s="14">
        <v>30000</v>
      </c>
      <c r="G7622" s="14">
        <v>28750</v>
      </c>
      <c r="H7622" s="13" t="s">
        <v>13254</v>
      </c>
      <c r="I7622" s="40" t="s">
        <v>18</v>
      </c>
      <c r="J7622" s="40" t="str">
        <f>HYPERLINK("https://stock.pstatic.net/stock-research/company/21/20251106_company_610851000.pdf","PDF")</f>
        <v>PDF</v>
      </c>
      <c r="K7622" s="12" t="s">
        <v>13255</v>
      </c>
      <c r="L7622" s="20">
        <v>4.3478260869565223E-2</v>
      </c>
    </row>
    <row r="7623" spans="1:12" x14ac:dyDescent="0.45">
      <c r="A7623" s="12" t="s">
        <v>13101</v>
      </c>
      <c r="B7623" s="12" t="s">
        <v>132</v>
      </c>
      <c r="C7623" s="13" t="s">
        <v>133</v>
      </c>
      <c r="D7623" s="13" t="s">
        <v>44</v>
      </c>
      <c r="E7623" s="12" t="s">
        <v>35</v>
      </c>
      <c r="F7623" s="14">
        <v>110000</v>
      </c>
      <c r="G7623" s="14">
        <v>83000</v>
      </c>
      <c r="H7623" s="13" t="s">
        <v>13256</v>
      </c>
      <c r="I7623" s="40" t="s">
        <v>18</v>
      </c>
      <c r="J7623" s="40" t="str">
        <f>HYPERLINK("https://stock.pstatic.net/stock-research/company/39/20251106_company_729497000.pdf","PDF")</f>
        <v>PDF</v>
      </c>
      <c r="K7623" s="12" t="s">
        <v>13257</v>
      </c>
      <c r="L7623" s="20">
        <v>0.3253012048192771</v>
      </c>
    </row>
    <row r="7624" spans="1:12" x14ac:dyDescent="0.45">
      <c r="A7624" s="12" t="s">
        <v>13101</v>
      </c>
      <c r="B7624" s="12" t="s">
        <v>42</v>
      </c>
      <c r="C7624" s="13" t="s">
        <v>43</v>
      </c>
      <c r="D7624" s="13" t="s">
        <v>179</v>
      </c>
      <c r="E7624" s="12" t="s">
        <v>16</v>
      </c>
      <c r="F7624" s="14">
        <v>360000</v>
      </c>
      <c r="G7624" s="14">
        <v>278500</v>
      </c>
      <c r="H7624" s="13" t="s">
        <v>13258</v>
      </c>
      <c r="I7624" s="40" t="s">
        <v>18</v>
      </c>
      <c r="J7624" s="40" t="str">
        <f>HYPERLINK("https://stock.pstatic.net/stock-research/company/64/20251106_company_167757000.pdf","PDF")</f>
        <v>PDF</v>
      </c>
      <c r="K7624" s="12" t="s">
        <v>13259</v>
      </c>
      <c r="L7624" s="20">
        <v>0.29263913824057453</v>
      </c>
    </row>
    <row r="7625" spans="1:12" x14ac:dyDescent="0.45">
      <c r="A7625" s="12" t="s">
        <v>13101</v>
      </c>
      <c r="B7625" s="12" t="s">
        <v>1648</v>
      </c>
      <c r="C7625" s="13" t="s">
        <v>1649</v>
      </c>
      <c r="D7625" s="13" t="s">
        <v>44</v>
      </c>
      <c r="E7625" s="12" t="s">
        <v>35</v>
      </c>
      <c r="F7625" s="14">
        <v>160000</v>
      </c>
      <c r="G7625" s="14">
        <v>113500</v>
      </c>
      <c r="H7625" s="13" t="s">
        <v>13260</v>
      </c>
      <c r="I7625" s="40" t="s">
        <v>18</v>
      </c>
      <c r="J7625" s="40" t="str">
        <f>HYPERLINK("https://stock.pstatic.net/stock-research/company/39/20251106_company_523144000.pdf","PDF")</f>
        <v>PDF</v>
      </c>
      <c r="K7625" s="12" t="s">
        <v>13261</v>
      </c>
      <c r="L7625" s="20">
        <v>0.40969162995594721</v>
      </c>
    </row>
    <row r="7626" spans="1:12" x14ac:dyDescent="0.45">
      <c r="A7626" s="12" t="s">
        <v>13101</v>
      </c>
      <c r="B7626" s="12" t="s">
        <v>732</v>
      </c>
      <c r="C7626" s="13" t="s">
        <v>733</v>
      </c>
      <c r="D7626" s="13" t="s">
        <v>44</v>
      </c>
      <c r="E7626" s="12" t="s">
        <v>35</v>
      </c>
      <c r="F7626" s="14">
        <v>150000</v>
      </c>
      <c r="G7626" s="14">
        <v>120600</v>
      </c>
      <c r="H7626" s="13" t="s">
        <v>13262</v>
      </c>
      <c r="I7626" s="40" t="s">
        <v>18</v>
      </c>
      <c r="J7626" s="40" t="str">
        <f>HYPERLINK("https://stock.pstatic.net/stock-research/company/39/20251106_company_951615000.pdf","PDF")</f>
        <v>PDF</v>
      </c>
      <c r="K7626" s="12" t="s">
        <v>13263</v>
      </c>
      <c r="L7626" s="20">
        <v>0.24378109452736321</v>
      </c>
    </row>
    <row r="7627" spans="1:12" x14ac:dyDescent="0.45">
      <c r="A7627" s="12" t="s">
        <v>13101</v>
      </c>
      <c r="B7627" s="12" t="s">
        <v>760</v>
      </c>
      <c r="C7627" s="13" t="s">
        <v>761</v>
      </c>
      <c r="D7627" s="13" t="s">
        <v>44</v>
      </c>
      <c r="E7627" s="12" t="s">
        <v>35</v>
      </c>
      <c r="F7627" s="14">
        <v>210000</v>
      </c>
      <c r="G7627" s="14">
        <v>160900</v>
      </c>
      <c r="H7627" s="13" t="s">
        <v>13264</v>
      </c>
      <c r="I7627" s="40" t="s">
        <v>18</v>
      </c>
      <c r="J7627" s="40" t="str">
        <f>HYPERLINK("https://stock.pstatic.net/stock-research/company/39/20251106_company_803774000.pdf","PDF")</f>
        <v>PDF</v>
      </c>
      <c r="K7627" s="12" t="s">
        <v>13265</v>
      </c>
      <c r="L7627" s="20">
        <v>0.30515848353014302</v>
      </c>
    </row>
    <row r="7628" spans="1:12" x14ac:dyDescent="0.45">
      <c r="A7628" s="12" t="s">
        <v>13101</v>
      </c>
      <c r="B7628" s="12" t="s">
        <v>2199</v>
      </c>
      <c r="C7628" s="13" t="s">
        <v>2200</v>
      </c>
      <c r="D7628" s="13" t="s">
        <v>44</v>
      </c>
      <c r="E7628" s="12" t="s">
        <v>35</v>
      </c>
      <c r="F7628" s="14">
        <v>35000</v>
      </c>
      <c r="G7628" s="14">
        <v>29100</v>
      </c>
      <c r="H7628" s="13" t="s">
        <v>13266</v>
      </c>
      <c r="I7628" s="40" t="s">
        <v>18</v>
      </c>
      <c r="J7628" s="40" t="str">
        <f>HYPERLINK("https://stock.pstatic.net/stock-research/company/39/20251106_company_389210000.pdf","PDF")</f>
        <v>PDF</v>
      </c>
      <c r="K7628" s="12" t="s">
        <v>13267</v>
      </c>
      <c r="L7628" s="20">
        <v>0.20274914089347079</v>
      </c>
    </row>
    <row r="7629" spans="1:12" x14ac:dyDescent="0.45">
      <c r="A7629" s="12" t="s">
        <v>13101</v>
      </c>
      <c r="B7629" s="12" t="s">
        <v>13268</v>
      </c>
      <c r="C7629" s="13" t="s">
        <v>13269</v>
      </c>
      <c r="D7629" s="13" t="s">
        <v>124</v>
      </c>
      <c r="E7629" s="12" t="s">
        <v>50</v>
      </c>
      <c r="F7629" s="13"/>
      <c r="G7629" s="13"/>
      <c r="H7629" s="13" t="s">
        <v>13270</v>
      </c>
      <c r="I7629" s="40" t="s">
        <v>18</v>
      </c>
      <c r="J7629" s="40" t="str">
        <f>HYPERLINK("https://stock.pstatic.net/stock-research/company/74/20251106_company_931970000.pdf","PDF")</f>
        <v>PDF</v>
      </c>
      <c r="K7629" s="12" t="s">
        <v>13271</v>
      </c>
    </row>
    <row r="7630" spans="1:12" x14ac:dyDescent="0.45">
      <c r="A7630" s="12" t="s">
        <v>13101</v>
      </c>
      <c r="B7630" s="12" t="s">
        <v>537</v>
      </c>
      <c r="C7630" s="13" t="s">
        <v>538</v>
      </c>
      <c r="D7630" s="13" t="s">
        <v>53</v>
      </c>
      <c r="E7630" s="12" t="s">
        <v>16</v>
      </c>
      <c r="F7630" s="14">
        <v>19000</v>
      </c>
      <c r="G7630" s="14">
        <v>14970</v>
      </c>
      <c r="H7630" s="13" t="s">
        <v>13272</v>
      </c>
      <c r="I7630" s="40" t="s">
        <v>18</v>
      </c>
      <c r="J7630" s="40" t="str">
        <f>HYPERLINK("https://stock.pstatic.net/stock-research/company/40/20251106_company_782024000.pdf","PDF")</f>
        <v>PDF</v>
      </c>
      <c r="K7630" s="12" t="s">
        <v>13273</v>
      </c>
      <c r="L7630" s="20">
        <v>0.26920507682030731</v>
      </c>
    </row>
    <row r="7631" spans="1:12" x14ac:dyDescent="0.45">
      <c r="A7631" s="12" t="s">
        <v>13101</v>
      </c>
      <c r="B7631" s="12" t="s">
        <v>132</v>
      </c>
      <c r="C7631" s="13" t="s">
        <v>133</v>
      </c>
      <c r="D7631" s="13" t="s">
        <v>53</v>
      </c>
      <c r="E7631" s="12" t="s">
        <v>16</v>
      </c>
      <c r="F7631" s="14">
        <v>106000</v>
      </c>
      <c r="G7631" s="14">
        <v>83000</v>
      </c>
      <c r="H7631" s="13" t="s">
        <v>13274</v>
      </c>
      <c r="I7631" s="40" t="s">
        <v>18</v>
      </c>
      <c r="J7631" s="40" t="str">
        <f>HYPERLINK("https://stock.pstatic.net/stock-research/company/40/20251106_company_739370000.pdf","PDF")</f>
        <v>PDF</v>
      </c>
      <c r="K7631" s="12" t="s">
        <v>13275</v>
      </c>
      <c r="L7631" s="20">
        <v>0.27710843373493982</v>
      </c>
    </row>
    <row r="7632" spans="1:12" x14ac:dyDescent="0.45">
      <c r="A7632" s="12" t="s">
        <v>13101</v>
      </c>
      <c r="B7632" s="12" t="s">
        <v>1036</v>
      </c>
      <c r="C7632" s="13" t="s">
        <v>1037</v>
      </c>
      <c r="D7632" s="13" t="s">
        <v>53</v>
      </c>
      <c r="E7632" s="12" t="s">
        <v>16</v>
      </c>
      <c r="F7632" s="14">
        <v>22000</v>
      </c>
      <c r="G7632" s="14">
        <v>16660</v>
      </c>
      <c r="H7632" s="13" t="s">
        <v>13276</v>
      </c>
      <c r="I7632" s="40" t="s">
        <v>18</v>
      </c>
      <c r="J7632" s="40" t="str">
        <f>HYPERLINK("https://stock.pstatic.net/stock-research/company/40/20251106_company_836657000.pdf","PDF")</f>
        <v>PDF</v>
      </c>
      <c r="K7632" s="12" t="s">
        <v>13277</v>
      </c>
      <c r="L7632" s="20">
        <v>0.32052821128451381</v>
      </c>
    </row>
    <row r="7633" spans="1:12" x14ac:dyDescent="0.45">
      <c r="A7633" s="12" t="s">
        <v>13101</v>
      </c>
      <c r="B7633" s="12" t="s">
        <v>42</v>
      </c>
      <c r="C7633" s="13" t="s">
        <v>43</v>
      </c>
      <c r="D7633" s="13" t="s">
        <v>53</v>
      </c>
      <c r="E7633" s="12" t="s">
        <v>16</v>
      </c>
      <c r="F7633" s="14">
        <v>320000</v>
      </c>
      <c r="G7633" s="14">
        <v>278500</v>
      </c>
      <c r="H7633" s="13" t="s">
        <v>13278</v>
      </c>
      <c r="I7633" s="40" t="s">
        <v>18</v>
      </c>
      <c r="J7633" s="40" t="str">
        <f>HYPERLINK("https://stock.pstatic.net/stock-research/company/40/20251106_company_733491000.pdf","PDF")</f>
        <v>PDF</v>
      </c>
      <c r="K7633" s="12" t="s">
        <v>13279</v>
      </c>
      <c r="L7633" s="20">
        <v>0.1490125673249551</v>
      </c>
    </row>
    <row r="7634" spans="1:12" x14ac:dyDescent="0.45">
      <c r="A7634" s="12" t="s">
        <v>13101</v>
      </c>
      <c r="B7634" s="12" t="s">
        <v>2740</v>
      </c>
      <c r="C7634" s="13" t="s">
        <v>2741</v>
      </c>
      <c r="D7634" s="13" t="s">
        <v>53</v>
      </c>
      <c r="E7634" s="12" t="s">
        <v>16</v>
      </c>
      <c r="F7634" s="14">
        <v>25000</v>
      </c>
      <c r="G7634" s="14">
        <v>15910</v>
      </c>
      <c r="H7634" s="13" t="s">
        <v>13280</v>
      </c>
      <c r="I7634" s="40" t="s">
        <v>18</v>
      </c>
      <c r="J7634" s="40" t="str">
        <f>HYPERLINK("https://stock.pstatic.net/stock-research/company/40/20251106_company_62835000.pdf","PDF")</f>
        <v>PDF</v>
      </c>
      <c r="K7634" s="12" t="s">
        <v>13281</v>
      </c>
      <c r="L7634" s="20">
        <v>0.57133878064110621</v>
      </c>
    </row>
    <row r="7635" spans="1:12" x14ac:dyDescent="0.45">
      <c r="A7635" s="12" t="s">
        <v>13282</v>
      </c>
      <c r="B7635" s="12" t="s">
        <v>42</v>
      </c>
      <c r="C7635" s="13" t="s">
        <v>43</v>
      </c>
      <c r="D7635" s="13" t="s">
        <v>15</v>
      </c>
      <c r="E7635" s="12" t="s">
        <v>16</v>
      </c>
      <c r="F7635" s="14">
        <v>400000</v>
      </c>
      <c r="G7635" s="14">
        <v>267000</v>
      </c>
      <c r="H7635" s="13" t="s">
        <v>13283</v>
      </c>
      <c r="I7635" s="40" t="s">
        <v>18</v>
      </c>
      <c r="J7635" s="40" t="str">
        <f>HYPERLINK("https://stock.pstatic.net/stock-research/company/29/20251105_company_760024000.pdf","PDF")</f>
        <v>PDF</v>
      </c>
      <c r="K7635" s="12" t="s">
        <v>13284</v>
      </c>
      <c r="L7635" s="20">
        <v>0.49812734082396998</v>
      </c>
    </row>
    <row r="7636" spans="1:12" x14ac:dyDescent="0.45">
      <c r="A7636" s="12" t="s">
        <v>13282</v>
      </c>
      <c r="B7636" s="12" t="s">
        <v>1350</v>
      </c>
      <c r="C7636" s="13" t="s">
        <v>1351</v>
      </c>
      <c r="D7636" s="13" t="s">
        <v>57</v>
      </c>
      <c r="E7636" s="12" t="s">
        <v>35</v>
      </c>
      <c r="F7636" s="14">
        <v>50000</v>
      </c>
      <c r="G7636" s="14">
        <v>37550</v>
      </c>
      <c r="H7636" s="13" t="s">
        <v>13285</v>
      </c>
      <c r="I7636" s="40" t="s">
        <v>18</v>
      </c>
      <c r="J7636" s="40" t="str">
        <f>HYPERLINK("https://stock.pstatic.net/stock-research/company/16/20251105_company_867969000.pdf","PDF")</f>
        <v>PDF</v>
      </c>
      <c r="K7636" s="12" t="s">
        <v>13286</v>
      </c>
      <c r="L7636" s="20">
        <v>0.33155792276964052</v>
      </c>
    </row>
    <row r="7637" spans="1:12" x14ac:dyDescent="0.45">
      <c r="A7637" s="12" t="s">
        <v>13282</v>
      </c>
      <c r="B7637" s="12" t="s">
        <v>3018</v>
      </c>
      <c r="C7637" s="13" t="s">
        <v>3019</v>
      </c>
      <c r="D7637" s="13" t="s">
        <v>57</v>
      </c>
      <c r="E7637" s="12" t="s">
        <v>35</v>
      </c>
      <c r="F7637" s="14">
        <v>22000</v>
      </c>
      <c r="G7637" s="14">
        <v>16920</v>
      </c>
      <c r="H7637" s="13" t="s">
        <v>13287</v>
      </c>
      <c r="I7637" s="40" t="s">
        <v>18</v>
      </c>
      <c r="J7637" s="40" t="str">
        <f>HYPERLINK("https://stock.pstatic.net/stock-research/company/16/20251105_company_45917000.pdf","PDF")</f>
        <v>PDF</v>
      </c>
      <c r="K7637" s="12" t="s">
        <v>13288</v>
      </c>
      <c r="L7637" s="20">
        <v>0.30023640661938528</v>
      </c>
    </row>
    <row r="7638" spans="1:12" x14ac:dyDescent="0.45">
      <c r="A7638" s="12" t="s">
        <v>13282</v>
      </c>
      <c r="B7638" s="12" t="s">
        <v>3101</v>
      </c>
      <c r="C7638" s="13" t="s">
        <v>3102</v>
      </c>
      <c r="D7638" s="13" t="s">
        <v>57</v>
      </c>
      <c r="E7638" s="12" t="s">
        <v>159</v>
      </c>
      <c r="F7638" s="14">
        <v>140000</v>
      </c>
      <c r="G7638" s="14">
        <v>161800</v>
      </c>
      <c r="H7638" s="13" t="s">
        <v>13289</v>
      </c>
      <c r="I7638" s="40" t="s">
        <v>18</v>
      </c>
      <c r="J7638" s="40" t="str">
        <f>HYPERLINK("https://stock.pstatic.net/stock-research/company/16/20251105_company_275234000.pdf","PDF")</f>
        <v>PDF</v>
      </c>
      <c r="K7638" s="12" t="s">
        <v>13290</v>
      </c>
      <c r="L7638" s="20">
        <v>-0.13473423980222499</v>
      </c>
    </row>
    <row r="7639" spans="1:12" x14ac:dyDescent="0.45">
      <c r="A7639" s="12" t="s">
        <v>13282</v>
      </c>
      <c r="B7639" s="12" t="s">
        <v>2960</v>
      </c>
      <c r="C7639" s="13" t="s">
        <v>2961</v>
      </c>
      <c r="D7639" s="13" t="s">
        <v>57</v>
      </c>
      <c r="E7639" s="12" t="s">
        <v>35</v>
      </c>
      <c r="F7639" s="14">
        <v>76000</v>
      </c>
      <c r="G7639" s="14">
        <v>48650</v>
      </c>
      <c r="H7639" s="13" t="s">
        <v>13291</v>
      </c>
      <c r="I7639" s="40" t="s">
        <v>18</v>
      </c>
      <c r="J7639" s="40" t="str">
        <f>HYPERLINK("https://stock.pstatic.net/stock-research/company/16/20251105_company_926703000.pdf","PDF")</f>
        <v>PDF</v>
      </c>
      <c r="K7639" s="12" t="s">
        <v>13292</v>
      </c>
      <c r="L7639" s="20">
        <v>0.56217882836587874</v>
      </c>
    </row>
    <row r="7640" spans="1:12" x14ac:dyDescent="0.45">
      <c r="A7640" s="12" t="s">
        <v>13282</v>
      </c>
      <c r="B7640" s="12" t="s">
        <v>3101</v>
      </c>
      <c r="C7640" s="13" t="s">
        <v>3102</v>
      </c>
      <c r="D7640" s="13" t="s">
        <v>276</v>
      </c>
      <c r="E7640" s="12" t="s">
        <v>16</v>
      </c>
      <c r="F7640" s="14">
        <v>180000</v>
      </c>
      <c r="G7640" s="14">
        <v>161800</v>
      </c>
      <c r="H7640" s="13" t="s">
        <v>13293</v>
      </c>
      <c r="I7640" s="40" t="s">
        <v>18</v>
      </c>
      <c r="J7640" s="40" t="str">
        <f>HYPERLINK("https://stock.pstatic.net/stock-research/company/66/20251105_company_885524000.pdf","PDF")</f>
        <v>PDF</v>
      </c>
      <c r="K7640" s="12" t="s">
        <v>13294</v>
      </c>
      <c r="L7640" s="20">
        <v>0.1124845488257108</v>
      </c>
    </row>
    <row r="7641" spans="1:12" x14ac:dyDescent="0.45">
      <c r="A7641" s="12" t="s">
        <v>13282</v>
      </c>
      <c r="B7641" s="12" t="s">
        <v>2522</v>
      </c>
      <c r="C7641" s="13" t="s">
        <v>2523</v>
      </c>
      <c r="D7641" s="13" t="s">
        <v>276</v>
      </c>
      <c r="E7641" s="12" t="s">
        <v>16</v>
      </c>
      <c r="F7641" s="14">
        <v>400000</v>
      </c>
      <c r="G7641" s="14">
        <v>279000</v>
      </c>
      <c r="H7641" s="13" t="s">
        <v>13295</v>
      </c>
      <c r="I7641" s="40" t="s">
        <v>18</v>
      </c>
      <c r="J7641" s="40" t="str">
        <f>HYPERLINK("https://stock.pstatic.net/stock-research/company/66/20251105_company_722040000.pdf","PDF")</f>
        <v>PDF</v>
      </c>
      <c r="K7641" s="12" t="s">
        <v>13296</v>
      </c>
      <c r="L7641" s="20">
        <v>0.43369175627240142</v>
      </c>
    </row>
    <row r="7642" spans="1:12" x14ac:dyDescent="0.45">
      <c r="A7642" s="12" t="s">
        <v>13282</v>
      </c>
      <c r="B7642" s="12" t="s">
        <v>938</v>
      </c>
      <c r="C7642" s="13" t="s">
        <v>939</v>
      </c>
      <c r="D7642" s="13" t="s">
        <v>276</v>
      </c>
      <c r="E7642" s="12" t="s">
        <v>16</v>
      </c>
      <c r="F7642" s="14">
        <v>21000</v>
      </c>
      <c r="G7642" s="14">
        <v>14980</v>
      </c>
      <c r="H7642" s="13" t="s">
        <v>13297</v>
      </c>
      <c r="I7642" s="40" t="s">
        <v>18</v>
      </c>
      <c r="J7642" s="40" t="str">
        <f>HYPERLINK("https://stock.pstatic.net/stock-research/company/66/20251105_company_522445000.pdf","PDF")</f>
        <v>PDF</v>
      </c>
      <c r="K7642" s="12" t="s">
        <v>13298</v>
      </c>
      <c r="L7642" s="20">
        <v>0.40186915887850472</v>
      </c>
    </row>
    <row r="7643" spans="1:12" x14ac:dyDescent="0.45">
      <c r="A7643" s="12" t="s">
        <v>13282</v>
      </c>
      <c r="B7643" s="12" t="s">
        <v>2613</v>
      </c>
      <c r="C7643" s="13" t="s">
        <v>2614</v>
      </c>
      <c r="D7643" s="13" t="s">
        <v>60</v>
      </c>
      <c r="E7643" s="12" t="s">
        <v>35</v>
      </c>
      <c r="F7643" s="14">
        <v>460000</v>
      </c>
      <c r="G7643" s="14">
        <v>236000</v>
      </c>
      <c r="H7643" s="13" t="s">
        <v>13299</v>
      </c>
      <c r="I7643" s="40" t="s">
        <v>18</v>
      </c>
      <c r="J7643" s="40" t="str">
        <f>HYPERLINK("https://stock.pstatic.net/stock-research/company/34/20251105_company_35252000.pdf","PDF")</f>
        <v>PDF</v>
      </c>
      <c r="K7643" s="12" t="s">
        <v>13300</v>
      </c>
      <c r="L7643" s="20">
        <v>0.94915254237288138</v>
      </c>
    </row>
    <row r="7644" spans="1:12" x14ac:dyDescent="0.45">
      <c r="A7644" s="12" t="s">
        <v>13282</v>
      </c>
      <c r="B7644" s="12" t="s">
        <v>2960</v>
      </c>
      <c r="C7644" s="13" t="s">
        <v>2961</v>
      </c>
      <c r="D7644" s="13" t="s">
        <v>60</v>
      </c>
      <c r="E7644" s="12" t="s">
        <v>35</v>
      </c>
      <c r="F7644" s="14">
        <v>60000</v>
      </c>
      <c r="G7644" s="14">
        <v>48650</v>
      </c>
      <c r="H7644" s="13" t="s">
        <v>13301</v>
      </c>
      <c r="I7644" s="40" t="s">
        <v>18</v>
      </c>
      <c r="J7644" s="40" t="str">
        <f>HYPERLINK("https://stock.pstatic.net/stock-research/company/34/20251105_company_925821000.pdf","PDF")</f>
        <v>PDF</v>
      </c>
      <c r="K7644" s="12" t="s">
        <v>13302</v>
      </c>
      <c r="L7644" s="20">
        <v>0.23329907502569369</v>
      </c>
    </row>
    <row r="7645" spans="1:12" x14ac:dyDescent="0.45">
      <c r="A7645" s="12" t="s">
        <v>13282</v>
      </c>
      <c r="B7645" s="12" t="s">
        <v>2187</v>
      </c>
      <c r="C7645" s="13" t="s">
        <v>2188</v>
      </c>
      <c r="D7645" s="13" t="s">
        <v>60</v>
      </c>
      <c r="E7645" s="12" t="s">
        <v>35</v>
      </c>
      <c r="F7645" s="14">
        <v>175000</v>
      </c>
      <c r="G7645" s="14">
        <v>117000</v>
      </c>
      <c r="H7645" s="13" t="s">
        <v>13303</v>
      </c>
      <c r="I7645" s="40" t="s">
        <v>18</v>
      </c>
      <c r="J7645" s="40" t="str">
        <f>HYPERLINK("https://stock.pstatic.net/stock-research/company/34/20251105_company_996145000.pdf","PDF")</f>
        <v>PDF</v>
      </c>
      <c r="K7645" s="12" t="s">
        <v>13304</v>
      </c>
      <c r="L7645" s="20">
        <v>0.49572649572649569</v>
      </c>
    </row>
    <row r="7646" spans="1:12" x14ac:dyDescent="0.45">
      <c r="A7646" s="12" t="s">
        <v>13282</v>
      </c>
      <c r="B7646" s="12" t="s">
        <v>2522</v>
      </c>
      <c r="C7646" s="13" t="s">
        <v>2523</v>
      </c>
      <c r="D7646" s="13" t="s">
        <v>60</v>
      </c>
      <c r="E7646" s="12" t="s">
        <v>35</v>
      </c>
      <c r="F7646" s="14">
        <v>440000</v>
      </c>
      <c r="G7646" s="14">
        <v>279000</v>
      </c>
      <c r="H7646" s="13" t="s">
        <v>13305</v>
      </c>
      <c r="I7646" s="40" t="s">
        <v>18</v>
      </c>
      <c r="J7646" s="40" t="str">
        <f>HYPERLINK("https://stock.pstatic.net/stock-research/company/34/20251105_company_598645000.pdf","PDF")</f>
        <v>PDF</v>
      </c>
      <c r="K7646" s="12" t="s">
        <v>13306</v>
      </c>
      <c r="L7646" s="20">
        <v>0.57706093189964158</v>
      </c>
    </row>
    <row r="7647" spans="1:12" x14ac:dyDescent="0.45">
      <c r="A7647" s="12" t="s">
        <v>13282</v>
      </c>
      <c r="B7647" s="12" t="s">
        <v>2662</v>
      </c>
      <c r="C7647" s="13" t="s">
        <v>2663</v>
      </c>
      <c r="D7647" s="13" t="s">
        <v>60</v>
      </c>
      <c r="E7647" s="12" t="s">
        <v>50</v>
      </c>
      <c r="F7647" s="14">
        <v>76000</v>
      </c>
      <c r="G7647" s="14">
        <v>51500</v>
      </c>
      <c r="H7647" s="13" t="s">
        <v>13307</v>
      </c>
      <c r="I7647" s="40" t="s">
        <v>18</v>
      </c>
      <c r="J7647" s="40" t="str">
        <f>HYPERLINK("https://stock.pstatic.net/stock-research/company/34/20251105_company_79369000.pdf","PDF")</f>
        <v>PDF</v>
      </c>
      <c r="K7647" s="12" t="s">
        <v>13308</v>
      </c>
      <c r="L7647" s="20">
        <v>0.47572815533980578</v>
      </c>
    </row>
    <row r="7648" spans="1:12" x14ac:dyDescent="0.45">
      <c r="A7648" s="12" t="s">
        <v>13282</v>
      </c>
      <c r="B7648" s="12" t="s">
        <v>3154</v>
      </c>
      <c r="C7648" s="13" t="s">
        <v>3155</v>
      </c>
      <c r="D7648" s="13" t="s">
        <v>65</v>
      </c>
      <c r="E7648" s="12" t="s">
        <v>50</v>
      </c>
      <c r="F7648" s="13"/>
      <c r="G7648" s="14">
        <v>4575</v>
      </c>
      <c r="H7648" s="13" t="s">
        <v>13309</v>
      </c>
      <c r="I7648" s="40" t="s">
        <v>18</v>
      </c>
      <c r="J7648" s="40" t="str">
        <f>HYPERLINK("https://stock.pstatic.net/stock-research/company/57/20251105_company_379992000.pdf","PDF")</f>
        <v>PDF</v>
      </c>
      <c r="K7648" s="12" t="s">
        <v>13310</v>
      </c>
    </row>
    <row r="7649" spans="1:12" x14ac:dyDescent="0.45">
      <c r="A7649" s="12" t="s">
        <v>13282</v>
      </c>
      <c r="B7649" s="12" t="s">
        <v>2522</v>
      </c>
      <c r="C7649" s="13" t="s">
        <v>2523</v>
      </c>
      <c r="D7649" s="13" t="s">
        <v>65</v>
      </c>
      <c r="E7649" s="12" t="s">
        <v>35</v>
      </c>
      <c r="F7649" s="14">
        <v>530000</v>
      </c>
      <c r="G7649" s="14">
        <v>279000</v>
      </c>
      <c r="H7649" s="13" t="s">
        <v>13311</v>
      </c>
      <c r="I7649" s="40" t="s">
        <v>18</v>
      </c>
      <c r="J7649" s="40" t="str">
        <f>HYPERLINK("https://stock.pstatic.net/stock-research/company/57/20251105_company_975322000.pdf","PDF")</f>
        <v>PDF</v>
      </c>
      <c r="K7649" s="12" t="s">
        <v>13312</v>
      </c>
      <c r="L7649" s="20">
        <v>0.89964157706093195</v>
      </c>
    </row>
    <row r="7650" spans="1:12" x14ac:dyDescent="0.45">
      <c r="A7650" s="12" t="s">
        <v>13282</v>
      </c>
      <c r="B7650" s="12" t="s">
        <v>3101</v>
      </c>
      <c r="C7650" s="13" t="s">
        <v>3102</v>
      </c>
      <c r="D7650" s="13" t="s">
        <v>65</v>
      </c>
      <c r="E7650" s="12" t="s">
        <v>35</v>
      </c>
      <c r="F7650" s="14">
        <v>187000</v>
      </c>
      <c r="G7650" s="14">
        <v>161800</v>
      </c>
      <c r="H7650" s="13" t="s">
        <v>13313</v>
      </c>
      <c r="I7650" s="40" t="s">
        <v>18</v>
      </c>
      <c r="J7650" s="40" t="str">
        <f>HYPERLINK("https://stock.pstatic.net/stock-research/company/57/20251105_company_819443000.pdf","PDF")</f>
        <v>PDF</v>
      </c>
      <c r="K7650" s="12" t="s">
        <v>13314</v>
      </c>
      <c r="L7650" s="20">
        <v>0.15574783683559951</v>
      </c>
    </row>
    <row r="7651" spans="1:12" x14ac:dyDescent="0.45">
      <c r="A7651" s="12" t="s">
        <v>13282</v>
      </c>
      <c r="B7651" s="12" t="s">
        <v>3018</v>
      </c>
      <c r="C7651" s="13" t="s">
        <v>3019</v>
      </c>
      <c r="D7651" s="13" t="s">
        <v>65</v>
      </c>
      <c r="E7651" s="12" t="s">
        <v>35</v>
      </c>
      <c r="F7651" s="14">
        <v>23000</v>
      </c>
      <c r="G7651" s="14">
        <v>16920</v>
      </c>
      <c r="H7651" s="13" t="s">
        <v>13315</v>
      </c>
      <c r="I7651" s="40" t="s">
        <v>18</v>
      </c>
      <c r="J7651" s="40" t="str">
        <f>HYPERLINK("https://stock.pstatic.net/stock-research/company/57/20251105_company_485173000.pdf","PDF")</f>
        <v>PDF</v>
      </c>
      <c r="K7651" s="12" t="s">
        <v>13316</v>
      </c>
      <c r="L7651" s="20">
        <v>0.35933806146572111</v>
      </c>
    </row>
    <row r="7652" spans="1:12" x14ac:dyDescent="0.45">
      <c r="A7652" s="12" t="s">
        <v>13282</v>
      </c>
      <c r="B7652" s="12" t="s">
        <v>3079</v>
      </c>
      <c r="C7652" s="13" t="s">
        <v>3080</v>
      </c>
      <c r="D7652" s="13" t="s">
        <v>65</v>
      </c>
      <c r="E7652" s="12" t="s">
        <v>35</v>
      </c>
      <c r="F7652" s="14">
        <v>39000</v>
      </c>
      <c r="G7652" s="14">
        <v>27600</v>
      </c>
      <c r="H7652" s="13" t="s">
        <v>13317</v>
      </c>
      <c r="I7652" s="40" t="s">
        <v>18</v>
      </c>
      <c r="J7652" s="40" t="str">
        <f>HYPERLINK("https://stock.pstatic.net/stock-research/company/57/20251105_company_173747000.pdf","PDF")</f>
        <v>PDF</v>
      </c>
      <c r="K7652" s="12" t="s">
        <v>13318</v>
      </c>
      <c r="L7652" s="20">
        <v>0.41304347826086962</v>
      </c>
    </row>
    <row r="7653" spans="1:12" x14ac:dyDescent="0.45">
      <c r="A7653" s="12" t="s">
        <v>13282</v>
      </c>
      <c r="B7653" s="12" t="s">
        <v>2187</v>
      </c>
      <c r="C7653" s="13" t="s">
        <v>2188</v>
      </c>
      <c r="D7653" s="13" t="s">
        <v>65</v>
      </c>
      <c r="E7653" s="12" t="s">
        <v>35</v>
      </c>
      <c r="F7653" s="14">
        <v>200000</v>
      </c>
      <c r="G7653" s="14">
        <v>117000</v>
      </c>
      <c r="H7653" s="13" t="s">
        <v>13319</v>
      </c>
      <c r="I7653" s="40" t="s">
        <v>18</v>
      </c>
      <c r="J7653" s="40" t="str">
        <f>HYPERLINK("https://stock.pstatic.net/stock-research/company/57/20251105_company_21006000.pdf","PDF")</f>
        <v>PDF</v>
      </c>
      <c r="K7653" s="12" t="s">
        <v>13320</v>
      </c>
      <c r="L7653" s="20">
        <v>0.70940170940170943</v>
      </c>
    </row>
    <row r="7654" spans="1:12" x14ac:dyDescent="0.45">
      <c r="A7654" s="12" t="s">
        <v>13282</v>
      </c>
      <c r="B7654" s="12" t="s">
        <v>2956</v>
      </c>
      <c r="C7654" s="13" t="s">
        <v>2957</v>
      </c>
      <c r="D7654" s="13" t="s">
        <v>65</v>
      </c>
      <c r="E7654" s="12" t="s">
        <v>35</v>
      </c>
      <c r="F7654" s="14">
        <v>24000</v>
      </c>
      <c r="G7654" s="14">
        <v>18660</v>
      </c>
      <c r="H7654" s="13" t="s">
        <v>13321</v>
      </c>
      <c r="I7654" s="40" t="s">
        <v>18</v>
      </c>
      <c r="J7654" s="40" t="str">
        <f>HYPERLINK("https://stock.pstatic.net/stock-research/company/57/20251105_company_904780000.pdf","PDF")</f>
        <v>PDF</v>
      </c>
      <c r="K7654" s="12" t="s">
        <v>13322</v>
      </c>
      <c r="L7654" s="20">
        <v>0.2861736334405145</v>
      </c>
    </row>
    <row r="7655" spans="1:12" x14ac:dyDescent="0.45">
      <c r="A7655" s="12" t="s">
        <v>13282</v>
      </c>
      <c r="B7655" s="12" t="s">
        <v>4567</v>
      </c>
      <c r="C7655" s="13" t="s">
        <v>4568</v>
      </c>
      <c r="D7655" s="13" t="s">
        <v>65</v>
      </c>
      <c r="E7655" s="12" t="s">
        <v>35</v>
      </c>
      <c r="F7655" s="14">
        <v>59000</v>
      </c>
      <c r="G7655" s="14">
        <v>39400</v>
      </c>
      <c r="H7655" s="13" t="s">
        <v>13323</v>
      </c>
      <c r="I7655" s="40" t="s">
        <v>18</v>
      </c>
      <c r="J7655" s="40" t="str">
        <f>HYPERLINK("https://stock.pstatic.net/stock-research/company/57/20251105_company_481135000.pdf","PDF")</f>
        <v>PDF</v>
      </c>
      <c r="K7655" s="12" t="s">
        <v>13324</v>
      </c>
      <c r="L7655" s="20">
        <v>0.49746192893401009</v>
      </c>
    </row>
    <row r="7656" spans="1:12" x14ac:dyDescent="0.45">
      <c r="A7656" s="12" t="s">
        <v>13282</v>
      </c>
      <c r="B7656" s="12" t="s">
        <v>3079</v>
      </c>
      <c r="C7656" s="13" t="s">
        <v>3080</v>
      </c>
      <c r="D7656" s="13" t="s">
        <v>158</v>
      </c>
      <c r="E7656" s="12" t="s">
        <v>35</v>
      </c>
      <c r="F7656" s="14">
        <v>37000</v>
      </c>
      <c r="G7656" s="14">
        <v>27600</v>
      </c>
      <c r="H7656" s="13" t="s">
        <v>13325</v>
      </c>
      <c r="I7656" s="40" t="s">
        <v>18</v>
      </c>
      <c r="J7656" s="40" t="str">
        <f>HYPERLINK("https://stock.pstatic.net/stock-research/company/18/20251105_company_669708000.pdf","PDF")</f>
        <v>PDF</v>
      </c>
      <c r="K7656" s="12" t="s">
        <v>13326</v>
      </c>
      <c r="L7656" s="20">
        <v>0.34057971014492749</v>
      </c>
    </row>
    <row r="7657" spans="1:12" x14ac:dyDescent="0.45">
      <c r="A7657" s="12" t="s">
        <v>13282</v>
      </c>
      <c r="B7657" s="12" t="s">
        <v>2253</v>
      </c>
      <c r="C7657" s="13" t="s">
        <v>2254</v>
      </c>
      <c r="D7657" s="13" t="s">
        <v>15</v>
      </c>
      <c r="E7657" s="12" t="s">
        <v>385</v>
      </c>
      <c r="F7657" s="14">
        <v>7800</v>
      </c>
      <c r="G7657" s="14">
        <v>6550</v>
      </c>
      <c r="H7657" s="13" t="s">
        <v>13327</v>
      </c>
      <c r="I7657" s="40" t="s">
        <v>18</v>
      </c>
      <c r="J7657" s="40" t="str">
        <f>HYPERLINK("https://stock.pstatic.net/stock-research/company/29/20251105_company_328963000.pdf","PDF")</f>
        <v>PDF</v>
      </c>
      <c r="K7657" s="12" t="s">
        <v>13328</v>
      </c>
      <c r="L7657" s="20">
        <v>0.19083969465648859</v>
      </c>
    </row>
    <row r="7658" spans="1:12" x14ac:dyDescent="0.45">
      <c r="A7658" s="12" t="s">
        <v>13282</v>
      </c>
      <c r="B7658" s="12" t="s">
        <v>2522</v>
      </c>
      <c r="C7658" s="13" t="s">
        <v>2523</v>
      </c>
      <c r="D7658" s="13" t="s">
        <v>53</v>
      </c>
      <c r="E7658" s="12" t="s">
        <v>16</v>
      </c>
      <c r="F7658" s="14">
        <v>420000</v>
      </c>
      <c r="G7658" s="14">
        <v>279000</v>
      </c>
      <c r="H7658" s="13" t="s">
        <v>13329</v>
      </c>
      <c r="I7658" s="40" t="s">
        <v>18</v>
      </c>
      <c r="J7658" s="40" t="str">
        <f>HYPERLINK("https://stock.pstatic.net/stock-research/company/40/20251105_company_517458000.pdf","PDF")</f>
        <v>PDF</v>
      </c>
      <c r="K7658" s="12" t="s">
        <v>13330</v>
      </c>
      <c r="L7658" s="20">
        <v>0.5053763440860215</v>
      </c>
    </row>
    <row r="7659" spans="1:12" x14ac:dyDescent="0.45">
      <c r="A7659" s="12" t="s">
        <v>13282</v>
      </c>
      <c r="B7659" s="12" t="s">
        <v>691</v>
      </c>
      <c r="C7659" s="13" t="s">
        <v>20</v>
      </c>
      <c r="D7659" s="13" t="s">
        <v>15</v>
      </c>
      <c r="E7659" s="12" t="s">
        <v>16</v>
      </c>
      <c r="F7659" s="14">
        <v>230000</v>
      </c>
      <c r="G7659" s="14">
        <v>176300</v>
      </c>
      <c r="H7659" s="13" t="s">
        <v>13331</v>
      </c>
      <c r="I7659" s="40" t="s">
        <v>18</v>
      </c>
      <c r="J7659" s="40" t="str">
        <f>HYPERLINK("https://stock.pstatic.net/stock-research/company/29/20251105_company_12819000.pdf","PDF")</f>
        <v>PDF</v>
      </c>
      <c r="K7659" s="12" t="s">
        <v>13332</v>
      </c>
      <c r="L7659" s="20">
        <v>0.30459444129325008</v>
      </c>
    </row>
    <row r="7660" spans="1:12" x14ac:dyDescent="0.45">
      <c r="A7660" s="12" t="s">
        <v>13282</v>
      </c>
      <c r="B7660" s="12" t="s">
        <v>4567</v>
      </c>
      <c r="C7660" s="13" t="s">
        <v>4568</v>
      </c>
      <c r="D7660" s="13" t="s">
        <v>78</v>
      </c>
      <c r="E7660" s="12" t="s">
        <v>50</v>
      </c>
      <c r="F7660" s="13"/>
      <c r="G7660" s="13"/>
      <c r="H7660" s="13" t="s">
        <v>13333</v>
      </c>
      <c r="I7660" s="40" t="s">
        <v>18</v>
      </c>
      <c r="J7660" s="40" t="str">
        <f>HYPERLINK("https://m.stock.naver.com/research/company/87658","PDF")</f>
        <v>PDF</v>
      </c>
      <c r="K7660" s="12" t="s">
        <v>13334</v>
      </c>
    </row>
    <row r="7661" spans="1:12" x14ac:dyDescent="0.45">
      <c r="A7661" s="12" t="s">
        <v>13282</v>
      </c>
      <c r="B7661" s="12" t="s">
        <v>2956</v>
      </c>
      <c r="C7661" s="13" t="s">
        <v>2957</v>
      </c>
      <c r="D7661" s="13" t="s">
        <v>15</v>
      </c>
      <c r="E7661" s="12" t="s">
        <v>16</v>
      </c>
      <c r="F7661" s="14">
        <v>27000</v>
      </c>
      <c r="G7661" s="14">
        <v>18660</v>
      </c>
      <c r="H7661" s="13" t="s">
        <v>13335</v>
      </c>
      <c r="I7661" s="40" t="s">
        <v>18</v>
      </c>
      <c r="J7661" s="40" t="str">
        <f>HYPERLINK("https://stock.pstatic.net/stock-research/company/29/20251105_company_164183000.pdf","PDF")</f>
        <v>PDF</v>
      </c>
      <c r="K7661" s="12" t="s">
        <v>13336</v>
      </c>
      <c r="L7661" s="20">
        <v>0.44694533762057881</v>
      </c>
    </row>
    <row r="7662" spans="1:12" x14ac:dyDescent="0.45">
      <c r="A7662" s="12" t="s">
        <v>13282</v>
      </c>
      <c r="B7662" s="12" t="s">
        <v>691</v>
      </c>
      <c r="C7662" s="13" t="s">
        <v>20</v>
      </c>
      <c r="D7662" s="13" t="s">
        <v>92</v>
      </c>
      <c r="E7662" s="12" t="s">
        <v>35</v>
      </c>
      <c r="F7662" s="14">
        <v>220000</v>
      </c>
      <c r="G7662" s="14">
        <v>176300</v>
      </c>
      <c r="H7662" s="13" t="s">
        <v>13337</v>
      </c>
      <c r="I7662" s="40" t="s">
        <v>18</v>
      </c>
      <c r="J7662" s="40" t="str">
        <f>HYPERLINK("https://stock.pstatic.net/stock-research/company/63/20251105_company_320368000.pdf","PDF")</f>
        <v>PDF</v>
      </c>
      <c r="K7662" s="12" t="s">
        <v>13338</v>
      </c>
      <c r="L7662" s="20">
        <v>0.24787294384571751</v>
      </c>
    </row>
    <row r="7663" spans="1:12" x14ac:dyDescent="0.45">
      <c r="A7663" s="12" t="s">
        <v>13282</v>
      </c>
      <c r="B7663" s="12" t="s">
        <v>1350</v>
      </c>
      <c r="C7663" s="13" t="s">
        <v>1351</v>
      </c>
      <c r="D7663" s="13" t="s">
        <v>15</v>
      </c>
      <c r="E7663" s="12" t="s">
        <v>16</v>
      </c>
      <c r="F7663" s="14">
        <v>54000</v>
      </c>
      <c r="G7663" s="14">
        <v>37550</v>
      </c>
      <c r="H7663" s="13" t="s">
        <v>13339</v>
      </c>
      <c r="I7663" s="40" t="s">
        <v>18</v>
      </c>
      <c r="J7663" s="40" t="str">
        <f>HYPERLINK("https://stock.pstatic.net/stock-research/company/29/20251105_company_934429000.pdf","PDF")</f>
        <v>PDF</v>
      </c>
      <c r="K7663" s="12" t="s">
        <v>13340</v>
      </c>
      <c r="L7663" s="20">
        <v>0.4380825565912117</v>
      </c>
    </row>
    <row r="7664" spans="1:12" x14ac:dyDescent="0.45">
      <c r="A7664" s="12" t="s">
        <v>13282</v>
      </c>
      <c r="B7664" s="12" t="s">
        <v>102</v>
      </c>
      <c r="C7664" s="13" t="s">
        <v>103</v>
      </c>
      <c r="D7664" s="13" t="s">
        <v>92</v>
      </c>
      <c r="E7664" s="12" t="s">
        <v>35</v>
      </c>
      <c r="F7664" s="14">
        <v>22000</v>
      </c>
      <c r="G7664" s="14">
        <v>17770</v>
      </c>
      <c r="H7664" s="13" t="s">
        <v>13341</v>
      </c>
      <c r="I7664" s="40" t="s">
        <v>18</v>
      </c>
      <c r="J7664" s="40" t="str">
        <f>HYPERLINK("https://stock.pstatic.net/stock-research/company/63/20251105_company_576348000.pdf","PDF")</f>
        <v>PDF</v>
      </c>
      <c r="K7664" s="12" t="s">
        <v>13342</v>
      </c>
      <c r="L7664" s="20">
        <v>0.23804164321890831</v>
      </c>
    </row>
    <row r="7665" spans="1:12" x14ac:dyDescent="0.45">
      <c r="A7665" s="12" t="s">
        <v>13282</v>
      </c>
      <c r="B7665" s="12" t="s">
        <v>2522</v>
      </c>
      <c r="C7665" s="13" t="s">
        <v>2523</v>
      </c>
      <c r="D7665" s="13" t="s">
        <v>15</v>
      </c>
      <c r="E7665" s="12" t="s">
        <v>16</v>
      </c>
      <c r="F7665" s="14">
        <v>380000</v>
      </c>
      <c r="G7665" s="14">
        <v>279000</v>
      </c>
      <c r="H7665" s="13" t="s">
        <v>10284</v>
      </c>
      <c r="I7665" s="40" t="s">
        <v>18</v>
      </c>
      <c r="J7665" s="40" t="str">
        <f>HYPERLINK("https://stock.pstatic.net/stock-research/company/29/20251105_company_818003000.pdf","PDF")</f>
        <v>PDF</v>
      </c>
      <c r="K7665" s="12" t="s">
        <v>13343</v>
      </c>
      <c r="L7665" s="20">
        <v>0.36200716845878128</v>
      </c>
    </row>
    <row r="7666" spans="1:12" x14ac:dyDescent="0.45">
      <c r="A7666" s="12" t="s">
        <v>13282</v>
      </c>
      <c r="B7666" s="12" t="s">
        <v>2187</v>
      </c>
      <c r="C7666" s="13" t="s">
        <v>2188</v>
      </c>
      <c r="D7666" s="13" t="s">
        <v>92</v>
      </c>
      <c r="E7666" s="12" t="s">
        <v>35</v>
      </c>
      <c r="F7666" s="14">
        <v>136000</v>
      </c>
      <c r="G7666" s="14">
        <v>117000</v>
      </c>
      <c r="H7666" s="13" t="s">
        <v>13344</v>
      </c>
      <c r="I7666" s="40" t="s">
        <v>18</v>
      </c>
      <c r="J7666" s="40" t="str">
        <f>HYPERLINK("https://stock.pstatic.net/stock-research/company/63/20251105_company_364789000.pdf","PDF")</f>
        <v>PDF</v>
      </c>
      <c r="K7666" s="12" t="s">
        <v>13345</v>
      </c>
      <c r="L7666" s="20">
        <v>0.1623931623931624</v>
      </c>
    </row>
    <row r="7667" spans="1:12" x14ac:dyDescent="0.45">
      <c r="A7667" s="12" t="s">
        <v>13282</v>
      </c>
      <c r="B7667" s="12" t="s">
        <v>1350</v>
      </c>
      <c r="C7667" s="13" t="s">
        <v>1351</v>
      </c>
      <c r="D7667" s="13" t="s">
        <v>53</v>
      </c>
      <c r="E7667" s="12" t="s">
        <v>16</v>
      </c>
      <c r="F7667" s="14">
        <v>54000</v>
      </c>
      <c r="G7667" s="14">
        <v>37550</v>
      </c>
      <c r="H7667" s="13" t="s">
        <v>5865</v>
      </c>
      <c r="I7667" s="40" t="s">
        <v>18</v>
      </c>
      <c r="J7667" s="40" t="str">
        <f>HYPERLINK("https://stock.pstatic.net/stock-research/company/40/20251105_company_974367000.pdf","PDF")</f>
        <v>PDF</v>
      </c>
      <c r="K7667" s="12" t="s">
        <v>13346</v>
      </c>
      <c r="L7667" s="20">
        <v>0.4380825565912117</v>
      </c>
    </row>
    <row r="7668" spans="1:12" x14ac:dyDescent="0.45">
      <c r="A7668" s="12" t="s">
        <v>13282</v>
      </c>
      <c r="B7668" s="12" t="s">
        <v>2097</v>
      </c>
      <c r="C7668" s="13" t="s">
        <v>2098</v>
      </c>
      <c r="D7668" s="13" t="s">
        <v>92</v>
      </c>
      <c r="E7668" s="12" t="s">
        <v>35</v>
      </c>
      <c r="F7668" s="14">
        <v>64000</v>
      </c>
      <c r="G7668" s="14">
        <v>59000</v>
      </c>
      <c r="H7668" s="13" t="s">
        <v>13347</v>
      </c>
      <c r="I7668" s="40" t="s">
        <v>18</v>
      </c>
      <c r="J7668" s="40" t="str">
        <f>HYPERLINK("https://stock.pstatic.net/stock-research/company/63/20251105_company_29606000.pdf","PDF")</f>
        <v>PDF</v>
      </c>
      <c r="K7668" s="12" t="s">
        <v>13348</v>
      </c>
      <c r="L7668" s="20">
        <v>8.4745762711864403E-2</v>
      </c>
    </row>
    <row r="7669" spans="1:12" x14ac:dyDescent="0.45">
      <c r="A7669" s="12" t="s">
        <v>13282</v>
      </c>
      <c r="B7669" s="12" t="s">
        <v>3101</v>
      </c>
      <c r="C7669" s="13" t="s">
        <v>3102</v>
      </c>
      <c r="D7669" s="13" t="s">
        <v>23</v>
      </c>
      <c r="E7669" s="12" t="s">
        <v>16</v>
      </c>
      <c r="F7669" s="14">
        <v>180000</v>
      </c>
      <c r="G7669" s="14">
        <v>161800</v>
      </c>
      <c r="H7669" s="13" t="s">
        <v>8104</v>
      </c>
      <c r="I7669" s="40" t="s">
        <v>18</v>
      </c>
      <c r="J7669" s="40" t="str">
        <f>HYPERLINK("https://stock.pstatic.net/stock-research/company/21/20251105_company_261577000.pdf","PDF")</f>
        <v>PDF</v>
      </c>
      <c r="K7669" s="12" t="s">
        <v>13349</v>
      </c>
      <c r="L7669" s="20">
        <v>0.1124845488257108</v>
      </c>
    </row>
    <row r="7670" spans="1:12" x14ac:dyDescent="0.45">
      <c r="A7670" s="12" t="s">
        <v>13282</v>
      </c>
      <c r="B7670" s="12" t="s">
        <v>533</v>
      </c>
      <c r="C7670" s="13" t="s">
        <v>534</v>
      </c>
      <c r="D7670" s="13" t="s">
        <v>23</v>
      </c>
      <c r="E7670" s="12" t="s">
        <v>16</v>
      </c>
      <c r="F7670" s="14">
        <v>65000</v>
      </c>
      <c r="G7670" s="14">
        <v>48500</v>
      </c>
      <c r="H7670" s="13" t="s">
        <v>13350</v>
      </c>
      <c r="I7670" s="40" t="s">
        <v>18</v>
      </c>
      <c r="J7670" s="40" t="str">
        <f>HYPERLINK("https://stock.pstatic.net/stock-research/company/21/20251105_company_80441000.pdf","PDF")</f>
        <v>PDF</v>
      </c>
      <c r="K7670" s="12" t="s">
        <v>13351</v>
      </c>
      <c r="L7670" s="20">
        <v>0.34020618556701032</v>
      </c>
    </row>
    <row r="7671" spans="1:12" x14ac:dyDescent="0.45">
      <c r="A7671" s="12" t="s">
        <v>13282</v>
      </c>
      <c r="B7671" s="12" t="s">
        <v>2956</v>
      </c>
      <c r="C7671" s="13" t="s">
        <v>2957</v>
      </c>
      <c r="D7671" s="13" t="s">
        <v>23</v>
      </c>
      <c r="E7671" s="12" t="s">
        <v>16</v>
      </c>
      <c r="F7671" s="14">
        <v>24000</v>
      </c>
      <c r="G7671" s="14">
        <v>18660</v>
      </c>
      <c r="H7671" s="13" t="s">
        <v>13352</v>
      </c>
      <c r="I7671" s="40" t="s">
        <v>18</v>
      </c>
      <c r="J7671" s="40" t="str">
        <f>HYPERLINK("https://stock.pstatic.net/stock-research/company/21/20251105_company_137631000.pdf","PDF")</f>
        <v>PDF</v>
      </c>
      <c r="K7671" s="12" t="s">
        <v>13353</v>
      </c>
      <c r="L7671" s="20">
        <v>0.2861736334405145</v>
      </c>
    </row>
    <row r="7672" spans="1:12" x14ac:dyDescent="0.45">
      <c r="A7672" s="12" t="s">
        <v>13282</v>
      </c>
      <c r="B7672" s="12" t="s">
        <v>1350</v>
      </c>
      <c r="C7672" s="13" t="s">
        <v>1351</v>
      </c>
      <c r="D7672" s="13" t="s">
        <v>44</v>
      </c>
      <c r="E7672" s="12" t="s">
        <v>35</v>
      </c>
      <c r="F7672" s="14">
        <v>53000</v>
      </c>
      <c r="G7672" s="14">
        <v>37550</v>
      </c>
      <c r="H7672" s="13" t="s">
        <v>13354</v>
      </c>
      <c r="I7672" s="40" t="s">
        <v>18</v>
      </c>
      <c r="J7672" s="40" t="str">
        <f>HYPERLINK("https://stock.pstatic.net/stock-research/company/39/20251105_company_745383000.pdf","PDF")</f>
        <v>PDF</v>
      </c>
      <c r="K7672" s="12" t="s">
        <v>13355</v>
      </c>
      <c r="L7672" s="20">
        <v>0.41145139813581888</v>
      </c>
    </row>
    <row r="7673" spans="1:12" x14ac:dyDescent="0.45">
      <c r="A7673" s="12" t="s">
        <v>13282</v>
      </c>
      <c r="B7673" s="12" t="s">
        <v>3101</v>
      </c>
      <c r="C7673" s="13" t="s">
        <v>3102</v>
      </c>
      <c r="D7673" s="13" t="s">
        <v>44</v>
      </c>
      <c r="E7673" s="12" t="s">
        <v>45</v>
      </c>
      <c r="F7673" s="14">
        <v>180000</v>
      </c>
      <c r="G7673" s="14">
        <v>161800</v>
      </c>
      <c r="H7673" s="13" t="s">
        <v>13356</v>
      </c>
      <c r="I7673" s="40" t="s">
        <v>18</v>
      </c>
      <c r="J7673" s="40" t="str">
        <f>HYPERLINK("https://stock.pstatic.net/stock-research/company/39/20251105_company_24545000.pdf","PDF")</f>
        <v>PDF</v>
      </c>
      <c r="K7673" s="12" t="s">
        <v>13357</v>
      </c>
      <c r="L7673" s="20">
        <v>0.1124845488257108</v>
      </c>
    </row>
    <row r="7674" spans="1:12" x14ac:dyDescent="0.45">
      <c r="A7674" s="12" t="s">
        <v>13282</v>
      </c>
      <c r="B7674" s="12" t="s">
        <v>2097</v>
      </c>
      <c r="C7674" s="13" t="s">
        <v>2098</v>
      </c>
      <c r="D7674" s="13" t="s">
        <v>92</v>
      </c>
      <c r="E7674" s="12" t="s">
        <v>35</v>
      </c>
      <c r="F7674" s="14">
        <v>64000</v>
      </c>
      <c r="G7674" s="14">
        <v>59000</v>
      </c>
      <c r="H7674" s="13" t="s">
        <v>13347</v>
      </c>
      <c r="I7674" s="40" t="s">
        <v>18</v>
      </c>
      <c r="J7674" s="40" t="str">
        <f>HYPERLINK("https://stock.pstatic.net/stock-research/company/63/20251105_company_790156000.pdf","PDF")</f>
        <v>PDF</v>
      </c>
      <c r="K7674" s="12" t="s">
        <v>13358</v>
      </c>
      <c r="L7674" s="20">
        <v>8.4745762711864403E-2</v>
      </c>
    </row>
    <row r="7675" spans="1:12" x14ac:dyDescent="0.45">
      <c r="A7675" s="12" t="s">
        <v>13282</v>
      </c>
      <c r="B7675" s="12" t="s">
        <v>2522</v>
      </c>
      <c r="C7675" s="13" t="s">
        <v>2523</v>
      </c>
      <c r="D7675" s="13" t="s">
        <v>179</v>
      </c>
      <c r="E7675" s="12" t="s">
        <v>16</v>
      </c>
      <c r="F7675" s="14">
        <v>380000</v>
      </c>
      <c r="G7675" s="14">
        <v>279000</v>
      </c>
      <c r="H7675" s="13" t="s">
        <v>13359</v>
      </c>
      <c r="I7675" s="40" t="s">
        <v>18</v>
      </c>
      <c r="J7675" s="40" t="str">
        <f>HYPERLINK("https://stock.pstatic.net/stock-research/company/64/20251105_company_696378000.pdf","PDF")</f>
        <v>PDF</v>
      </c>
      <c r="K7675" s="12" t="s">
        <v>13360</v>
      </c>
      <c r="L7675" s="20">
        <v>0.36200716845878128</v>
      </c>
    </row>
    <row r="7676" spans="1:12" x14ac:dyDescent="0.45">
      <c r="A7676" s="12" t="s">
        <v>13282</v>
      </c>
      <c r="B7676" s="12" t="s">
        <v>3101</v>
      </c>
      <c r="C7676" s="13" t="s">
        <v>3102</v>
      </c>
      <c r="D7676" s="13" t="s">
        <v>92</v>
      </c>
      <c r="E7676" s="12" t="s">
        <v>35</v>
      </c>
      <c r="F7676" s="14">
        <v>180000</v>
      </c>
      <c r="G7676" s="14">
        <v>161800</v>
      </c>
      <c r="H7676" s="13" t="s">
        <v>13361</v>
      </c>
      <c r="I7676" s="40" t="s">
        <v>18</v>
      </c>
      <c r="J7676" s="40" t="str">
        <f>HYPERLINK("https://stock.pstatic.net/stock-research/company/63/20251105_company_830747000.pdf","PDF")</f>
        <v>PDF</v>
      </c>
      <c r="K7676" s="12" t="s">
        <v>13362</v>
      </c>
      <c r="L7676" s="20">
        <v>0.1124845488257108</v>
      </c>
    </row>
    <row r="7677" spans="1:12" x14ac:dyDescent="0.45">
      <c r="A7677" s="12" t="s">
        <v>13282</v>
      </c>
      <c r="B7677" s="12" t="s">
        <v>2187</v>
      </c>
      <c r="C7677" s="13" t="s">
        <v>2188</v>
      </c>
      <c r="D7677" s="13" t="s">
        <v>53</v>
      </c>
      <c r="E7677" s="12" t="s">
        <v>16</v>
      </c>
      <c r="F7677" s="14">
        <v>150000</v>
      </c>
      <c r="G7677" s="14">
        <v>117000</v>
      </c>
      <c r="H7677" s="13" t="s">
        <v>13363</v>
      </c>
      <c r="I7677" s="40" t="s">
        <v>18</v>
      </c>
      <c r="J7677" s="40" t="str">
        <f>HYPERLINK("https://stock.pstatic.net/stock-research/company/40/20251105_company_918276000.pdf","PDF")</f>
        <v>PDF</v>
      </c>
      <c r="K7677" s="12" t="s">
        <v>13364</v>
      </c>
      <c r="L7677" s="20">
        <v>0.28205128205128199</v>
      </c>
    </row>
    <row r="7678" spans="1:12" x14ac:dyDescent="0.45">
      <c r="A7678" s="12" t="s">
        <v>13282</v>
      </c>
      <c r="B7678" s="12" t="s">
        <v>1350</v>
      </c>
      <c r="C7678" s="13" t="s">
        <v>1351</v>
      </c>
      <c r="D7678" s="13" t="s">
        <v>34</v>
      </c>
      <c r="E7678" s="12" t="s">
        <v>35</v>
      </c>
      <c r="F7678" s="14">
        <v>53000</v>
      </c>
      <c r="G7678" s="14">
        <v>37550</v>
      </c>
      <c r="H7678" s="13" t="s">
        <v>13365</v>
      </c>
      <c r="I7678" s="40" t="s">
        <v>18</v>
      </c>
      <c r="J7678" s="40" t="str">
        <f>HYPERLINK("https://stock.pstatic.net/stock-research/company/61/20251105_company_837381000.pdf","PDF")</f>
        <v>PDF</v>
      </c>
      <c r="K7678" s="12" t="s">
        <v>13366</v>
      </c>
      <c r="L7678" s="20">
        <v>0.41145139813581888</v>
      </c>
    </row>
    <row r="7679" spans="1:12" x14ac:dyDescent="0.45">
      <c r="A7679" s="12" t="s">
        <v>13282</v>
      </c>
      <c r="B7679" s="12" t="s">
        <v>2644</v>
      </c>
      <c r="C7679" s="13" t="s">
        <v>2645</v>
      </c>
      <c r="D7679" s="13" t="s">
        <v>92</v>
      </c>
      <c r="E7679" s="12" t="s">
        <v>35</v>
      </c>
      <c r="F7679" s="14">
        <v>25000</v>
      </c>
      <c r="G7679" s="14">
        <v>18580</v>
      </c>
      <c r="H7679" s="13" t="s">
        <v>13367</v>
      </c>
      <c r="I7679" s="40" t="s">
        <v>18</v>
      </c>
      <c r="J7679" s="40" t="str">
        <f>HYPERLINK("https://stock.pstatic.net/stock-research/company/63/20251105_company_797162000.pdf","PDF")</f>
        <v>PDF</v>
      </c>
      <c r="K7679" s="12" t="s">
        <v>13368</v>
      </c>
      <c r="L7679" s="20">
        <v>0.3455328310010764</v>
      </c>
    </row>
    <row r="7680" spans="1:12" x14ac:dyDescent="0.45">
      <c r="A7680" s="12" t="s">
        <v>13282</v>
      </c>
      <c r="B7680" s="12" t="s">
        <v>2956</v>
      </c>
      <c r="C7680" s="13" t="s">
        <v>2957</v>
      </c>
      <c r="D7680" s="13" t="s">
        <v>34</v>
      </c>
      <c r="E7680" s="12" t="s">
        <v>35</v>
      </c>
      <c r="F7680" s="14">
        <v>24000</v>
      </c>
      <c r="G7680" s="14">
        <v>18660</v>
      </c>
      <c r="H7680" s="13" t="s">
        <v>13369</v>
      </c>
      <c r="I7680" s="40" t="s">
        <v>18</v>
      </c>
      <c r="J7680" s="40" t="str">
        <f>HYPERLINK("https://stock.pstatic.net/stock-research/company/61/20251105_company_134129000.pdf","PDF")</f>
        <v>PDF</v>
      </c>
      <c r="K7680" s="12" t="s">
        <v>13370</v>
      </c>
      <c r="L7680" s="20">
        <v>0.2861736334405145</v>
      </c>
    </row>
    <row r="7681" spans="1:12" x14ac:dyDescent="0.45">
      <c r="A7681" s="12" t="s">
        <v>13282</v>
      </c>
      <c r="B7681" s="12" t="s">
        <v>442</v>
      </c>
      <c r="C7681" s="13" t="s">
        <v>443</v>
      </c>
      <c r="D7681" s="13" t="s">
        <v>92</v>
      </c>
      <c r="E7681" s="12" t="s">
        <v>35</v>
      </c>
      <c r="F7681" s="14">
        <v>24000</v>
      </c>
      <c r="G7681" s="14">
        <v>16490</v>
      </c>
      <c r="H7681" s="13" t="s">
        <v>13371</v>
      </c>
      <c r="I7681" s="40" t="s">
        <v>18</v>
      </c>
      <c r="J7681" s="40" t="str">
        <f>HYPERLINK("https://stock.pstatic.net/stock-research/company/63/20251105_company_421409000.pdf","PDF")</f>
        <v>PDF</v>
      </c>
      <c r="K7681" s="12" t="s">
        <v>13372</v>
      </c>
      <c r="L7681" s="20">
        <v>0.45542753183747731</v>
      </c>
    </row>
    <row r="7682" spans="1:12" x14ac:dyDescent="0.45">
      <c r="A7682" s="12" t="s">
        <v>13282</v>
      </c>
      <c r="B7682" s="12" t="s">
        <v>3079</v>
      </c>
      <c r="C7682" s="13" t="s">
        <v>3080</v>
      </c>
      <c r="D7682" s="13" t="s">
        <v>34</v>
      </c>
      <c r="E7682" s="12" t="s">
        <v>35</v>
      </c>
      <c r="F7682" s="14">
        <v>34000</v>
      </c>
      <c r="G7682" s="14">
        <v>27600</v>
      </c>
      <c r="H7682" s="13" t="s">
        <v>13373</v>
      </c>
      <c r="I7682" s="40" t="s">
        <v>18</v>
      </c>
      <c r="J7682" s="40" t="str">
        <f>HYPERLINK("https://stock.pstatic.net/stock-research/company/61/20251105_company_700966000.pdf","PDF")</f>
        <v>PDF</v>
      </c>
      <c r="K7682" s="12" t="s">
        <v>13374</v>
      </c>
      <c r="L7682" s="20">
        <v>0.2318840579710145</v>
      </c>
    </row>
    <row r="7683" spans="1:12" x14ac:dyDescent="0.45">
      <c r="A7683" s="12" t="s">
        <v>13282</v>
      </c>
      <c r="B7683" s="12" t="s">
        <v>8861</v>
      </c>
      <c r="C7683" s="13" t="s">
        <v>8862</v>
      </c>
      <c r="D7683" s="13" t="s">
        <v>53</v>
      </c>
      <c r="E7683" s="12" t="s">
        <v>16</v>
      </c>
      <c r="F7683" s="14">
        <v>35000</v>
      </c>
      <c r="G7683" s="14">
        <v>30400</v>
      </c>
      <c r="H7683" s="13" t="s">
        <v>13375</v>
      </c>
      <c r="I7683" s="40" t="s">
        <v>18</v>
      </c>
      <c r="J7683" s="40" t="str">
        <f>HYPERLINK("https://stock.pstatic.net/stock-research/company/40/20251105_company_851443000.pdf","PDF")</f>
        <v>PDF</v>
      </c>
      <c r="K7683" s="12" t="s">
        <v>13376</v>
      </c>
      <c r="L7683" s="20">
        <v>0.15131578947368421</v>
      </c>
    </row>
    <row r="7684" spans="1:12" x14ac:dyDescent="0.45">
      <c r="A7684" s="12" t="s">
        <v>13282</v>
      </c>
      <c r="B7684" s="12" t="s">
        <v>4567</v>
      </c>
      <c r="C7684" s="13" t="s">
        <v>4568</v>
      </c>
      <c r="D7684" s="13" t="s">
        <v>34</v>
      </c>
      <c r="E7684" s="12" t="s">
        <v>35</v>
      </c>
      <c r="F7684" s="14">
        <v>50000</v>
      </c>
      <c r="G7684" s="14">
        <v>39400</v>
      </c>
      <c r="H7684" s="13" t="s">
        <v>13377</v>
      </c>
      <c r="I7684" s="40" t="s">
        <v>18</v>
      </c>
      <c r="J7684" s="40" t="str">
        <f>HYPERLINK("https://stock.pstatic.net/stock-research/company/61/20251105_company_630554000.pdf","PDF")</f>
        <v>PDF</v>
      </c>
      <c r="K7684" s="12" t="s">
        <v>13378</v>
      </c>
      <c r="L7684" s="20">
        <v>0.26903553299492378</v>
      </c>
    </row>
    <row r="7685" spans="1:12" x14ac:dyDescent="0.45">
      <c r="A7685" s="12" t="s">
        <v>13282</v>
      </c>
      <c r="B7685" s="12" t="s">
        <v>2187</v>
      </c>
      <c r="C7685" s="13" t="s">
        <v>2188</v>
      </c>
      <c r="D7685" s="13" t="s">
        <v>23</v>
      </c>
      <c r="E7685" s="12" t="s">
        <v>16</v>
      </c>
      <c r="F7685" s="14">
        <v>140000</v>
      </c>
      <c r="G7685" s="14">
        <v>117000</v>
      </c>
      <c r="H7685" s="13" t="s">
        <v>13379</v>
      </c>
      <c r="I7685" s="40" t="s">
        <v>18</v>
      </c>
      <c r="J7685" s="40" t="str">
        <f>HYPERLINK("https://stock.pstatic.net/stock-research/company/21/20251105_company_502218000.pdf","PDF")</f>
        <v>PDF</v>
      </c>
      <c r="K7685" s="12" t="s">
        <v>13380</v>
      </c>
      <c r="L7685" s="20">
        <v>0.1965811965811966</v>
      </c>
    </row>
    <row r="7686" spans="1:12" x14ac:dyDescent="0.45">
      <c r="A7686" s="12" t="s">
        <v>13282</v>
      </c>
      <c r="B7686" s="12" t="s">
        <v>3018</v>
      </c>
      <c r="C7686" s="13" t="s">
        <v>3019</v>
      </c>
      <c r="D7686" s="13" t="s">
        <v>92</v>
      </c>
      <c r="E7686" s="12" t="s">
        <v>35</v>
      </c>
      <c r="F7686" s="14">
        <v>22000</v>
      </c>
      <c r="G7686" s="14">
        <v>16920</v>
      </c>
      <c r="H7686" s="13" t="s">
        <v>13381</v>
      </c>
      <c r="I7686" s="40" t="s">
        <v>18</v>
      </c>
      <c r="J7686" s="40" t="str">
        <f>HYPERLINK("https://stock.pstatic.net/stock-research/company/63/20251105_company_128422000.pdf","PDF")</f>
        <v>PDF</v>
      </c>
      <c r="K7686" s="12" t="s">
        <v>13382</v>
      </c>
      <c r="L7686" s="20">
        <v>0.30023640661938528</v>
      </c>
    </row>
    <row r="7687" spans="1:12" x14ac:dyDescent="0.45">
      <c r="A7687" s="12" t="s">
        <v>13282</v>
      </c>
      <c r="B7687" s="12" t="s">
        <v>2522</v>
      </c>
      <c r="C7687" s="13" t="s">
        <v>2523</v>
      </c>
      <c r="D7687" s="13" t="s">
        <v>92</v>
      </c>
      <c r="E7687" s="12" t="s">
        <v>35</v>
      </c>
      <c r="F7687" s="14">
        <v>460000</v>
      </c>
      <c r="G7687" s="14">
        <v>279000</v>
      </c>
      <c r="H7687" s="13" t="s">
        <v>13383</v>
      </c>
      <c r="I7687" s="40" t="s">
        <v>18</v>
      </c>
      <c r="J7687" s="40" t="str">
        <f>HYPERLINK("https://stock.pstatic.net/stock-research/company/63/20251105_company_206744000.pdf","PDF")</f>
        <v>PDF</v>
      </c>
      <c r="K7687" s="12" t="s">
        <v>13384</v>
      </c>
      <c r="L7687" s="20">
        <v>0.64874551971326166</v>
      </c>
    </row>
    <row r="7688" spans="1:12" x14ac:dyDescent="0.45">
      <c r="A7688" s="12" t="s">
        <v>13282</v>
      </c>
      <c r="B7688" s="12" t="s">
        <v>2662</v>
      </c>
      <c r="C7688" s="13" t="s">
        <v>2663</v>
      </c>
      <c r="D7688" s="13" t="s">
        <v>23</v>
      </c>
      <c r="E7688" s="12" t="s">
        <v>385</v>
      </c>
      <c r="F7688" s="13"/>
      <c r="G7688" s="14">
        <v>51500</v>
      </c>
      <c r="H7688" s="13" t="s">
        <v>13385</v>
      </c>
      <c r="I7688" s="40" t="s">
        <v>18</v>
      </c>
      <c r="J7688" s="40" t="str">
        <f>HYPERLINK("https://stock.pstatic.net/stock-research/company/21/20251105_company_589939000.pdf","PDF")</f>
        <v>PDF</v>
      </c>
      <c r="K7688" s="12" t="s">
        <v>13386</v>
      </c>
    </row>
    <row r="7689" spans="1:12" x14ac:dyDescent="0.45">
      <c r="A7689" s="12" t="s">
        <v>13282</v>
      </c>
      <c r="B7689" s="12" t="s">
        <v>2960</v>
      </c>
      <c r="C7689" s="13" t="s">
        <v>2961</v>
      </c>
      <c r="D7689" s="13" t="s">
        <v>23</v>
      </c>
      <c r="E7689" s="12" t="s">
        <v>16</v>
      </c>
      <c r="F7689" s="14">
        <v>66000</v>
      </c>
      <c r="G7689" s="14">
        <v>48650</v>
      </c>
      <c r="H7689" s="13" t="s">
        <v>13387</v>
      </c>
      <c r="I7689" s="40" t="s">
        <v>18</v>
      </c>
      <c r="J7689" s="40" t="str">
        <f>HYPERLINK("https://stock.pstatic.net/stock-research/company/21/20251105_company_113950000.pdf","PDF")</f>
        <v>PDF</v>
      </c>
      <c r="K7689" s="12" t="s">
        <v>13388</v>
      </c>
      <c r="L7689" s="20">
        <v>0.35662898252826308</v>
      </c>
    </row>
    <row r="7690" spans="1:12" x14ac:dyDescent="0.45">
      <c r="A7690" s="12" t="s">
        <v>13282</v>
      </c>
      <c r="B7690" s="12" t="s">
        <v>2662</v>
      </c>
      <c r="C7690" s="13" t="s">
        <v>2663</v>
      </c>
      <c r="D7690" s="13" t="s">
        <v>44</v>
      </c>
      <c r="E7690" s="12" t="s">
        <v>35</v>
      </c>
      <c r="F7690" s="14">
        <v>130000</v>
      </c>
      <c r="G7690" s="14">
        <v>51500</v>
      </c>
      <c r="H7690" s="13" t="s">
        <v>13389</v>
      </c>
      <c r="I7690" s="40" t="s">
        <v>18</v>
      </c>
      <c r="J7690" s="40" t="str">
        <f>HYPERLINK("https://stock.pstatic.net/stock-research/company/39/20251105_company_397268000.pdf","PDF")</f>
        <v>PDF</v>
      </c>
      <c r="K7690" s="12" t="s">
        <v>13390</v>
      </c>
      <c r="L7690" s="20">
        <v>1.5242718446601939</v>
      </c>
    </row>
    <row r="7691" spans="1:12" x14ac:dyDescent="0.45">
      <c r="A7691" s="12" t="s">
        <v>13282</v>
      </c>
      <c r="B7691" s="12" t="s">
        <v>2613</v>
      </c>
      <c r="C7691" s="13" t="s">
        <v>2614</v>
      </c>
      <c r="D7691" s="13" t="s">
        <v>44</v>
      </c>
      <c r="E7691" s="12" t="s">
        <v>35</v>
      </c>
      <c r="F7691" s="14">
        <v>390000</v>
      </c>
      <c r="G7691" s="14">
        <v>236000</v>
      </c>
      <c r="H7691" s="13" t="s">
        <v>13391</v>
      </c>
      <c r="I7691" s="40" t="s">
        <v>18</v>
      </c>
      <c r="J7691" s="40" t="str">
        <f>HYPERLINK("https://stock.pstatic.net/stock-research/company/39/20251105_company_123640000.pdf","PDF")</f>
        <v>PDF</v>
      </c>
      <c r="K7691" s="12" t="s">
        <v>13392</v>
      </c>
      <c r="L7691" s="20">
        <v>0.65254237288135597</v>
      </c>
    </row>
    <row r="7692" spans="1:12" x14ac:dyDescent="0.45">
      <c r="A7692" s="12" t="s">
        <v>13282</v>
      </c>
      <c r="B7692" s="12" t="s">
        <v>691</v>
      </c>
      <c r="C7692" s="13" t="s">
        <v>20</v>
      </c>
      <c r="D7692" s="13" t="s">
        <v>44</v>
      </c>
      <c r="E7692" s="12" t="s">
        <v>35</v>
      </c>
      <c r="F7692" s="14">
        <v>230000</v>
      </c>
      <c r="G7692" s="14">
        <v>176300</v>
      </c>
      <c r="H7692" s="13" t="s">
        <v>13393</v>
      </c>
      <c r="I7692" s="40" t="s">
        <v>18</v>
      </c>
      <c r="J7692" s="40" t="str">
        <f>HYPERLINK("https://stock.pstatic.net/stock-research/company/39/20251105_company_201963000.pdf","PDF")</f>
        <v>PDF</v>
      </c>
      <c r="K7692" s="12" t="s">
        <v>13394</v>
      </c>
      <c r="L7692" s="20">
        <v>0.30459444129325008</v>
      </c>
    </row>
    <row r="7693" spans="1:12" x14ac:dyDescent="0.45">
      <c r="A7693" s="12" t="s">
        <v>13282</v>
      </c>
      <c r="B7693" s="12" t="s">
        <v>2956</v>
      </c>
      <c r="C7693" s="13" t="s">
        <v>2957</v>
      </c>
      <c r="D7693" s="13" t="s">
        <v>44</v>
      </c>
      <c r="E7693" s="12" t="s">
        <v>35</v>
      </c>
      <c r="F7693" s="14">
        <v>27000</v>
      </c>
      <c r="G7693" s="14">
        <v>18660</v>
      </c>
      <c r="H7693" s="13" t="s">
        <v>13395</v>
      </c>
      <c r="I7693" s="40" t="s">
        <v>18</v>
      </c>
      <c r="J7693" s="40" t="str">
        <f>HYPERLINK("https://stock.pstatic.net/stock-research/company/39/20251105_company_683497000.pdf","PDF")</f>
        <v>PDF</v>
      </c>
      <c r="K7693" s="12" t="s">
        <v>13396</v>
      </c>
      <c r="L7693" s="20">
        <v>0.44694533762057881</v>
      </c>
    </row>
    <row r="7694" spans="1:12" x14ac:dyDescent="0.45">
      <c r="A7694" s="12" t="s">
        <v>13282</v>
      </c>
      <c r="B7694" s="12" t="s">
        <v>1912</v>
      </c>
      <c r="C7694" s="13" t="s">
        <v>7834</v>
      </c>
      <c r="D7694" s="13" t="s">
        <v>44</v>
      </c>
      <c r="E7694" s="12" t="s">
        <v>50</v>
      </c>
      <c r="F7694" s="13"/>
      <c r="G7694" s="14">
        <v>82100</v>
      </c>
      <c r="H7694" s="13" t="s">
        <v>13397</v>
      </c>
      <c r="I7694" s="40" t="s">
        <v>18</v>
      </c>
      <c r="J7694" s="40" t="str">
        <f>HYPERLINK("https://stock.pstatic.net/stock-research/company/39/20251105_company_147134000.pdf","PDF")</f>
        <v>PDF</v>
      </c>
      <c r="K7694" s="12" t="s">
        <v>13398</v>
      </c>
    </row>
    <row r="7695" spans="1:12" x14ac:dyDescent="0.45">
      <c r="A7695" s="12" t="s">
        <v>13282</v>
      </c>
      <c r="B7695" s="12" t="s">
        <v>2187</v>
      </c>
      <c r="C7695" s="13" t="s">
        <v>2188</v>
      </c>
      <c r="D7695" s="13" t="s">
        <v>44</v>
      </c>
      <c r="E7695" s="12" t="s">
        <v>35</v>
      </c>
      <c r="F7695" s="14">
        <v>163000</v>
      </c>
      <c r="G7695" s="14">
        <v>117000</v>
      </c>
      <c r="H7695" s="13" t="s">
        <v>13399</v>
      </c>
      <c r="I7695" s="40" t="s">
        <v>18</v>
      </c>
      <c r="J7695" s="40" t="str">
        <f>HYPERLINK("https://stock.pstatic.net/stock-research/company/39/20251105_company_643678000.pdf","PDF")</f>
        <v>PDF</v>
      </c>
      <c r="K7695" s="12" t="s">
        <v>13400</v>
      </c>
      <c r="L7695" s="20">
        <v>0.39316239316239321</v>
      </c>
    </row>
    <row r="7696" spans="1:12" x14ac:dyDescent="0.45">
      <c r="A7696" s="12" t="s">
        <v>13282</v>
      </c>
      <c r="B7696" s="12" t="s">
        <v>366</v>
      </c>
      <c r="C7696" s="13" t="s">
        <v>367</v>
      </c>
      <c r="D7696" s="13" t="s">
        <v>44</v>
      </c>
      <c r="E7696" s="12" t="s">
        <v>45</v>
      </c>
      <c r="F7696" s="14">
        <v>17000</v>
      </c>
      <c r="G7696" s="14">
        <v>14550</v>
      </c>
      <c r="H7696" s="13" t="s">
        <v>13401</v>
      </c>
      <c r="I7696" s="40" t="s">
        <v>18</v>
      </c>
      <c r="J7696" s="40" t="str">
        <f>HYPERLINK("https://stock.pstatic.net/stock-research/company/39/20251105_company_836846000.pdf","PDF")</f>
        <v>PDF</v>
      </c>
      <c r="K7696" s="12" t="s">
        <v>13402</v>
      </c>
      <c r="L7696" s="20">
        <v>0.1683848797250859</v>
      </c>
    </row>
    <row r="7697" spans="1:12" x14ac:dyDescent="0.45">
      <c r="A7697" s="12" t="s">
        <v>13282</v>
      </c>
      <c r="B7697" s="12" t="s">
        <v>691</v>
      </c>
      <c r="C7697" s="13" t="s">
        <v>20</v>
      </c>
      <c r="D7697" s="13" t="s">
        <v>34</v>
      </c>
      <c r="E7697" s="12" t="s">
        <v>35</v>
      </c>
      <c r="F7697" s="14">
        <v>230000</v>
      </c>
      <c r="G7697" s="14">
        <v>176300</v>
      </c>
      <c r="H7697" s="13" t="s">
        <v>13403</v>
      </c>
      <c r="I7697" s="40" t="s">
        <v>18</v>
      </c>
      <c r="J7697" s="40" t="str">
        <f>HYPERLINK("https://stock.pstatic.net/stock-research/company/61/20251105_company_744496000.pdf","PDF")</f>
        <v>PDF</v>
      </c>
      <c r="K7697" s="12" t="s">
        <v>13404</v>
      </c>
      <c r="L7697" s="20">
        <v>0.30459444129325008</v>
      </c>
    </row>
    <row r="7698" spans="1:12" x14ac:dyDescent="0.45">
      <c r="A7698" s="12" t="s">
        <v>13282</v>
      </c>
      <c r="B7698" s="12" t="s">
        <v>10511</v>
      </c>
      <c r="C7698" s="13" t="s">
        <v>10512</v>
      </c>
      <c r="D7698" s="13" t="s">
        <v>124</v>
      </c>
      <c r="E7698" s="12" t="s">
        <v>50</v>
      </c>
      <c r="F7698" s="13"/>
      <c r="G7698" s="13"/>
      <c r="H7698" s="13" t="s">
        <v>13405</v>
      </c>
      <c r="I7698" s="40" t="s">
        <v>18</v>
      </c>
      <c r="J7698" s="40" t="str">
        <f>HYPERLINK("https://stock.pstatic.net/stock-research/company/74/20251105_company_546228000.pdf","PDF")</f>
        <v>PDF</v>
      </c>
      <c r="K7698" s="12" t="s">
        <v>13406</v>
      </c>
    </row>
    <row r="7699" spans="1:12" x14ac:dyDescent="0.45">
      <c r="A7699" s="12" t="s">
        <v>13282</v>
      </c>
      <c r="B7699" s="12" t="s">
        <v>2960</v>
      </c>
      <c r="C7699" s="13" t="s">
        <v>2961</v>
      </c>
      <c r="D7699" s="13" t="s">
        <v>53</v>
      </c>
      <c r="E7699" s="12" t="s">
        <v>16</v>
      </c>
      <c r="F7699" s="14">
        <v>64000</v>
      </c>
      <c r="G7699" s="14">
        <v>48650</v>
      </c>
      <c r="H7699" s="13" t="s">
        <v>13407</v>
      </c>
      <c r="I7699" s="40" t="s">
        <v>18</v>
      </c>
      <c r="J7699" s="40" t="str">
        <f>HYPERLINK("https://stock.pstatic.net/stock-research/company/40/20251105_company_269945000.pdf","PDF")</f>
        <v>PDF</v>
      </c>
      <c r="K7699" s="12" t="s">
        <v>13408</v>
      </c>
      <c r="L7699" s="20">
        <v>0.31551901336074001</v>
      </c>
    </row>
    <row r="7700" spans="1:12" x14ac:dyDescent="0.45">
      <c r="A7700" s="12" t="s">
        <v>13409</v>
      </c>
      <c r="B7700" s="12" t="s">
        <v>13410</v>
      </c>
      <c r="C7700" s="13" t="s">
        <v>13411</v>
      </c>
      <c r="D7700" s="13" t="s">
        <v>15</v>
      </c>
      <c r="E7700" s="12" t="s">
        <v>16</v>
      </c>
      <c r="F7700" s="14">
        <v>300000</v>
      </c>
      <c r="G7700" s="14">
        <v>240000</v>
      </c>
      <c r="H7700" s="13" t="s">
        <v>13412</v>
      </c>
      <c r="I7700" s="40" t="s">
        <v>18</v>
      </c>
      <c r="J7700" s="40" t="str">
        <f>HYPERLINK("https://stock.pstatic.net/stock-research/company/29/20251104_company_35621000.pdf","PDF")</f>
        <v>PDF</v>
      </c>
      <c r="K7700" s="12" t="s">
        <v>13413</v>
      </c>
      <c r="L7700" s="20">
        <v>0.25</v>
      </c>
    </row>
    <row r="7701" spans="1:12" x14ac:dyDescent="0.45">
      <c r="A7701" s="12" t="s">
        <v>13409</v>
      </c>
      <c r="B7701" s="12" t="s">
        <v>2435</v>
      </c>
      <c r="C7701" s="13" t="s">
        <v>2436</v>
      </c>
      <c r="D7701" s="13" t="s">
        <v>15</v>
      </c>
      <c r="E7701" s="12" t="s">
        <v>16</v>
      </c>
      <c r="F7701" s="14">
        <v>740000</v>
      </c>
      <c r="G7701" s="14">
        <v>607000</v>
      </c>
      <c r="H7701" s="13" t="s">
        <v>13414</v>
      </c>
      <c r="I7701" s="40" t="s">
        <v>18</v>
      </c>
      <c r="J7701" s="40" t="str">
        <f>HYPERLINK("https://stock.pstatic.net/stock-research/company/29/20251104_company_506861000.pdf","PDF")</f>
        <v>PDF</v>
      </c>
      <c r="K7701" s="12" t="s">
        <v>13415</v>
      </c>
      <c r="L7701" s="20">
        <v>0.21911037891268531</v>
      </c>
    </row>
    <row r="7702" spans="1:12" x14ac:dyDescent="0.45">
      <c r="A7702" s="12" t="s">
        <v>13409</v>
      </c>
      <c r="B7702" s="12" t="s">
        <v>2089</v>
      </c>
      <c r="C7702" s="13" t="s">
        <v>2090</v>
      </c>
      <c r="D7702" s="13" t="s">
        <v>57</v>
      </c>
      <c r="E7702" s="12" t="s">
        <v>35</v>
      </c>
      <c r="F7702" s="14">
        <v>95000</v>
      </c>
      <c r="G7702" s="14">
        <v>72300</v>
      </c>
      <c r="H7702" s="13" t="s">
        <v>13416</v>
      </c>
      <c r="I7702" s="40" t="s">
        <v>18</v>
      </c>
      <c r="J7702" s="40" t="str">
        <f>HYPERLINK("https://stock.pstatic.net/stock-research/company/16/20251104_company_315727000.pdf","PDF")</f>
        <v>PDF</v>
      </c>
      <c r="K7702" s="12" t="s">
        <v>13417</v>
      </c>
      <c r="L7702" s="20">
        <v>0.31396957123098201</v>
      </c>
    </row>
    <row r="7703" spans="1:12" x14ac:dyDescent="0.45">
      <c r="A7703" s="12" t="s">
        <v>13409</v>
      </c>
      <c r="B7703" s="12" t="s">
        <v>352</v>
      </c>
      <c r="C7703" s="13" t="s">
        <v>353</v>
      </c>
      <c r="D7703" s="13" t="s">
        <v>57</v>
      </c>
      <c r="E7703" s="12" t="s">
        <v>35</v>
      </c>
      <c r="F7703" s="14">
        <v>290000</v>
      </c>
      <c r="G7703" s="14">
        <v>244500</v>
      </c>
      <c r="H7703" s="13" t="s">
        <v>13418</v>
      </c>
      <c r="I7703" s="40" t="s">
        <v>18</v>
      </c>
      <c r="J7703" s="40" t="str">
        <f>HYPERLINK("https://stock.pstatic.net/stock-research/company/16/20251104_company_125430000.pdf","PDF")</f>
        <v>PDF</v>
      </c>
      <c r="K7703" s="12" t="s">
        <v>13419</v>
      </c>
      <c r="L7703" s="20">
        <v>0.18609406952965241</v>
      </c>
    </row>
    <row r="7704" spans="1:12" x14ac:dyDescent="0.45">
      <c r="A7704" s="12" t="s">
        <v>13409</v>
      </c>
      <c r="B7704" s="12" t="s">
        <v>1548</v>
      </c>
      <c r="C7704" s="13" t="s">
        <v>1549</v>
      </c>
      <c r="D7704" s="13" t="s">
        <v>57</v>
      </c>
      <c r="E7704" s="12" t="s">
        <v>35</v>
      </c>
      <c r="F7704" s="14">
        <v>1350000</v>
      </c>
      <c r="G7704" s="14">
        <v>1042000</v>
      </c>
      <c r="H7704" s="13" t="s">
        <v>13420</v>
      </c>
      <c r="I7704" s="40" t="s">
        <v>18</v>
      </c>
      <c r="J7704" s="40" t="str">
        <f>HYPERLINK("https://stock.pstatic.net/stock-research/company/16/20251104_company_823000000.pdf","PDF")</f>
        <v>PDF</v>
      </c>
      <c r="K7704" s="12" t="s">
        <v>13421</v>
      </c>
      <c r="L7704" s="20">
        <v>0.29558541266794619</v>
      </c>
    </row>
    <row r="7705" spans="1:12" x14ac:dyDescent="0.45">
      <c r="A7705" s="12" t="s">
        <v>13409</v>
      </c>
      <c r="B7705" s="12" t="s">
        <v>366</v>
      </c>
      <c r="C7705" s="13" t="s">
        <v>367</v>
      </c>
      <c r="D7705" s="13" t="s">
        <v>57</v>
      </c>
      <c r="E7705" s="12" t="s">
        <v>35</v>
      </c>
      <c r="F7705" s="14">
        <v>18000</v>
      </c>
      <c r="G7705" s="14">
        <v>14350</v>
      </c>
      <c r="H7705" s="13" t="s">
        <v>13422</v>
      </c>
      <c r="I7705" s="40" t="s">
        <v>18</v>
      </c>
      <c r="J7705" s="40" t="str">
        <f>HYPERLINK("https://stock.pstatic.net/stock-research/company/16/20251104_company_98186000.pdf","PDF")</f>
        <v>PDF</v>
      </c>
      <c r="K7705" s="12" t="s">
        <v>13423</v>
      </c>
      <c r="L7705" s="20">
        <v>0.25435540069686408</v>
      </c>
    </row>
    <row r="7706" spans="1:12" x14ac:dyDescent="0.45">
      <c r="A7706" s="12" t="s">
        <v>13409</v>
      </c>
      <c r="B7706" s="12" t="s">
        <v>430</v>
      </c>
      <c r="C7706" s="13" t="s">
        <v>431</v>
      </c>
      <c r="D7706" s="13" t="s">
        <v>276</v>
      </c>
      <c r="E7706" s="12" t="s">
        <v>16</v>
      </c>
      <c r="F7706" s="14">
        <v>50000</v>
      </c>
      <c r="G7706" s="14">
        <v>39350</v>
      </c>
      <c r="H7706" s="13" t="s">
        <v>13424</v>
      </c>
      <c r="I7706" s="40" t="s">
        <v>18</v>
      </c>
      <c r="J7706" s="40" t="str">
        <f>HYPERLINK("https://stock.pstatic.net/stock-research/company/66/20251104_company_41127000.pdf","PDF")</f>
        <v>PDF</v>
      </c>
      <c r="K7706" s="12" t="s">
        <v>13425</v>
      </c>
      <c r="L7706" s="20">
        <v>0.27064803049555269</v>
      </c>
    </row>
    <row r="7707" spans="1:12" x14ac:dyDescent="0.45">
      <c r="A7707" s="12" t="s">
        <v>13409</v>
      </c>
      <c r="B7707" s="12" t="s">
        <v>1548</v>
      </c>
      <c r="C7707" s="13" t="s">
        <v>1549</v>
      </c>
      <c r="D7707" s="13" t="s">
        <v>276</v>
      </c>
      <c r="E7707" s="12" t="s">
        <v>16</v>
      </c>
      <c r="F7707" s="14">
        <v>1460000</v>
      </c>
      <c r="G7707" s="14">
        <v>1042000</v>
      </c>
      <c r="H7707" s="13" t="s">
        <v>13426</v>
      </c>
      <c r="I7707" s="40" t="s">
        <v>18</v>
      </c>
      <c r="J7707" s="40" t="str">
        <f>HYPERLINK("https://stock.pstatic.net/stock-research/company/66/20251104_company_520778000.pdf","PDF")</f>
        <v>PDF</v>
      </c>
      <c r="K7707" s="12" t="s">
        <v>13427</v>
      </c>
      <c r="L7707" s="20">
        <v>0.40115163147792698</v>
      </c>
    </row>
    <row r="7708" spans="1:12" x14ac:dyDescent="0.45">
      <c r="A7708" s="12" t="s">
        <v>13409</v>
      </c>
      <c r="B7708" s="12" t="s">
        <v>13410</v>
      </c>
      <c r="C7708" s="13" t="s">
        <v>13411</v>
      </c>
      <c r="D7708" s="13" t="s">
        <v>276</v>
      </c>
      <c r="E7708" s="12" t="s">
        <v>16</v>
      </c>
      <c r="F7708" s="14">
        <v>300000</v>
      </c>
      <c r="G7708" s="14">
        <v>241500</v>
      </c>
      <c r="H7708" s="13" t="s">
        <v>13428</v>
      </c>
      <c r="I7708" s="40" t="s">
        <v>18</v>
      </c>
      <c r="J7708" s="40" t="str">
        <f>HYPERLINK("https://stock.pstatic.net/stock-research/company/66/20251104_company_732921000.pdf","PDF")</f>
        <v>PDF</v>
      </c>
      <c r="K7708" s="12" t="s">
        <v>13429</v>
      </c>
      <c r="L7708" s="20">
        <v>0.24223602484472051</v>
      </c>
    </row>
    <row r="7709" spans="1:12" x14ac:dyDescent="0.45">
      <c r="A7709" s="12" t="s">
        <v>13409</v>
      </c>
      <c r="B7709" s="12" t="s">
        <v>957</v>
      </c>
      <c r="C7709" s="13" t="s">
        <v>958</v>
      </c>
      <c r="D7709" s="13" t="s">
        <v>276</v>
      </c>
      <c r="E7709" s="12" t="s">
        <v>16</v>
      </c>
      <c r="F7709" s="14">
        <v>380000</v>
      </c>
      <c r="G7709" s="14">
        <v>272000</v>
      </c>
      <c r="H7709" s="13" t="s">
        <v>13430</v>
      </c>
      <c r="I7709" s="40" t="s">
        <v>18</v>
      </c>
      <c r="J7709" s="40" t="str">
        <f>HYPERLINK("https://stock.pstatic.net/stock-research/company/66/20251104_company_569395000.pdf","PDF")</f>
        <v>PDF</v>
      </c>
      <c r="K7709" s="12" t="s">
        <v>13431</v>
      </c>
      <c r="L7709" s="20">
        <v>0.39705882352941169</v>
      </c>
    </row>
    <row r="7710" spans="1:12" x14ac:dyDescent="0.45">
      <c r="A7710" s="12" t="s">
        <v>13409</v>
      </c>
      <c r="B7710" s="12" t="s">
        <v>334</v>
      </c>
      <c r="C7710" s="13" t="s">
        <v>335</v>
      </c>
      <c r="D7710" s="13" t="s">
        <v>60</v>
      </c>
      <c r="E7710" s="12" t="s">
        <v>35</v>
      </c>
      <c r="F7710" s="14">
        <v>900000</v>
      </c>
      <c r="G7710" s="14">
        <v>620000</v>
      </c>
      <c r="H7710" s="13" t="s">
        <v>13432</v>
      </c>
      <c r="I7710" s="40" t="s">
        <v>18</v>
      </c>
      <c r="J7710" s="40" t="str">
        <f>HYPERLINK("https://stock.pstatic.net/stock-research/company/34/20251104_company_405753000.pdf","PDF")</f>
        <v>PDF</v>
      </c>
      <c r="K7710" s="12" t="s">
        <v>13433</v>
      </c>
      <c r="L7710" s="20">
        <v>0.45161290322580638</v>
      </c>
    </row>
    <row r="7711" spans="1:12" x14ac:dyDescent="0.45">
      <c r="A7711" s="12" t="s">
        <v>13409</v>
      </c>
      <c r="B7711" s="12" t="s">
        <v>352</v>
      </c>
      <c r="C7711" s="13" t="s">
        <v>353</v>
      </c>
      <c r="D7711" s="13" t="s">
        <v>65</v>
      </c>
      <c r="E7711" s="12" t="s">
        <v>35</v>
      </c>
      <c r="F7711" s="14">
        <v>283000</v>
      </c>
      <c r="G7711" s="14">
        <v>244500</v>
      </c>
      <c r="H7711" s="13" t="s">
        <v>13434</v>
      </c>
      <c r="I7711" s="40" t="s">
        <v>18</v>
      </c>
      <c r="J7711" s="40" t="str">
        <f>HYPERLINK("https://stock.pstatic.net/stock-research/company/57/20251104_company_771320000.pdf","PDF")</f>
        <v>PDF</v>
      </c>
      <c r="K7711" s="12" t="s">
        <v>13435</v>
      </c>
      <c r="L7711" s="20">
        <v>0.15746421267893659</v>
      </c>
    </row>
    <row r="7712" spans="1:12" x14ac:dyDescent="0.45">
      <c r="A7712" s="12" t="s">
        <v>13409</v>
      </c>
      <c r="B7712" s="12" t="s">
        <v>1548</v>
      </c>
      <c r="C7712" s="13" t="s">
        <v>1549</v>
      </c>
      <c r="D7712" s="13" t="s">
        <v>65</v>
      </c>
      <c r="E7712" s="12" t="s">
        <v>35</v>
      </c>
      <c r="F7712" s="14">
        <v>1230000</v>
      </c>
      <c r="G7712" s="14">
        <v>1042000</v>
      </c>
      <c r="H7712" s="13" t="s">
        <v>13436</v>
      </c>
      <c r="I7712" s="40" t="s">
        <v>18</v>
      </c>
      <c r="J7712" s="40" t="str">
        <f>HYPERLINK("https://stock.pstatic.net/stock-research/company/57/20251104_company_660146000.pdf","PDF")</f>
        <v>PDF</v>
      </c>
      <c r="K7712" s="12" t="s">
        <v>13437</v>
      </c>
      <c r="L7712" s="20">
        <v>0.18042226487523991</v>
      </c>
    </row>
    <row r="7713" spans="1:12" x14ac:dyDescent="0.45">
      <c r="A7713" s="12" t="s">
        <v>13409</v>
      </c>
      <c r="B7713" s="12" t="s">
        <v>2795</v>
      </c>
      <c r="C7713" s="13" t="s">
        <v>2796</v>
      </c>
      <c r="D7713" s="13" t="s">
        <v>65</v>
      </c>
      <c r="E7713" s="12" t="s">
        <v>35</v>
      </c>
      <c r="F7713" s="14">
        <v>4800</v>
      </c>
      <c r="G7713" s="14">
        <v>3730</v>
      </c>
      <c r="H7713" s="13" t="s">
        <v>13438</v>
      </c>
      <c r="I7713" s="40" t="s">
        <v>18</v>
      </c>
      <c r="J7713" s="40" t="str">
        <f>HYPERLINK("https://stock.pstatic.net/stock-research/company/57/20251104_company_218408000.pdf","PDF")</f>
        <v>PDF</v>
      </c>
      <c r="K7713" s="12" t="s">
        <v>13439</v>
      </c>
      <c r="L7713" s="20">
        <v>0.28686327077747992</v>
      </c>
    </row>
    <row r="7714" spans="1:12" x14ac:dyDescent="0.45">
      <c r="A7714" s="12" t="s">
        <v>13409</v>
      </c>
      <c r="B7714" s="12" t="s">
        <v>2089</v>
      </c>
      <c r="C7714" s="13" t="s">
        <v>2090</v>
      </c>
      <c r="D7714" s="13" t="s">
        <v>65</v>
      </c>
      <c r="E7714" s="12" t="s">
        <v>35</v>
      </c>
      <c r="F7714" s="14">
        <v>100000</v>
      </c>
      <c r="G7714" s="14">
        <v>72300</v>
      </c>
      <c r="H7714" s="13" t="s">
        <v>6390</v>
      </c>
      <c r="I7714" s="40" t="s">
        <v>18</v>
      </c>
      <c r="J7714" s="40" t="str">
        <f>HYPERLINK("https://stock.pstatic.net/stock-research/company/57/20251104_company_799791000.pdf","PDF")</f>
        <v>PDF</v>
      </c>
      <c r="K7714" s="12" t="s">
        <v>13440</v>
      </c>
      <c r="L7714" s="20">
        <v>0.38312586445366531</v>
      </c>
    </row>
    <row r="7715" spans="1:12" x14ac:dyDescent="0.45">
      <c r="A7715" s="12" t="s">
        <v>13409</v>
      </c>
      <c r="B7715" s="12" t="s">
        <v>2435</v>
      </c>
      <c r="C7715" s="13" t="s">
        <v>2436</v>
      </c>
      <c r="D7715" s="13" t="s">
        <v>65</v>
      </c>
      <c r="E7715" s="12" t="s">
        <v>35</v>
      </c>
      <c r="F7715" s="14">
        <v>740000</v>
      </c>
      <c r="G7715" s="14">
        <v>607000</v>
      </c>
      <c r="H7715" s="13" t="s">
        <v>13441</v>
      </c>
      <c r="I7715" s="40" t="s">
        <v>18</v>
      </c>
      <c r="J7715" s="40" t="str">
        <f>HYPERLINK("https://stock.pstatic.net/stock-research/company/57/20251104_company_140063000.pdf","PDF")</f>
        <v>PDF</v>
      </c>
      <c r="K7715" s="12" t="s">
        <v>13442</v>
      </c>
      <c r="L7715" s="20">
        <v>0.21911037891268531</v>
      </c>
    </row>
    <row r="7716" spans="1:12" x14ac:dyDescent="0.45">
      <c r="A7716" s="12" t="s">
        <v>13409</v>
      </c>
      <c r="B7716" s="12" t="s">
        <v>957</v>
      </c>
      <c r="C7716" s="13" t="s">
        <v>958</v>
      </c>
      <c r="D7716" s="13" t="s">
        <v>65</v>
      </c>
      <c r="E7716" s="12" t="s">
        <v>35</v>
      </c>
      <c r="F7716" s="14">
        <v>330000</v>
      </c>
      <c r="G7716" s="14">
        <v>272000</v>
      </c>
      <c r="H7716" s="13" t="s">
        <v>13443</v>
      </c>
      <c r="I7716" s="40" t="s">
        <v>18</v>
      </c>
      <c r="J7716" s="40" t="str">
        <f>HYPERLINK("https://stock.pstatic.net/stock-research/company/57/20251104_company_579580000.pdf","PDF")</f>
        <v>PDF</v>
      </c>
      <c r="K7716" s="12" t="s">
        <v>13444</v>
      </c>
      <c r="L7716" s="20">
        <v>0.21323529411764711</v>
      </c>
    </row>
    <row r="7717" spans="1:12" x14ac:dyDescent="0.45">
      <c r="A7717" s="12" t="s">
        <v>13409</v>
      </c>
      <c r="B7717" s="12" t="s">
        <v>2488</v>
      </c>
      <c r="C7717" s="13" t="s">
        <v>2489</v>
      </c>
      <c r="D7717" s="13" t="s">
        <v>65</v>
      </c>
      <c r="E7717" s="12" t="s">
        <v>35</v>
      </c>
      <c r="F7717" s="14">
        <v>120000</v>
      </c>
      <c r="G7717" s="14">
        <v>98600</v>
      </c>
      <c r="H7717" s="13" t="s">
        <v>13445</v>
      </c>
      <c r="I7717" s="40" t="s">
        <v>18</v>
      </c>
      <c r="J7717" s="40" t="str">
        <f>HYPERLINK("https://stock.pstatic.net/stock-research/company/57/20251104_company_861796000.pdf","PDF")</f>
        <v>PDF</v>
      </c>
      <c r="K7717" s="12" t="s">
        <v>13446</v>
      </c>
      <c r="L7717" s="20">
        <v>0.21703853955375249</v>
      </c>
    </row>
    <row r="7718" spans="1:12" x14ac:dyDescent="0.45">
      <c r="A7718" s="12" t="s">
        <v>13409</v>
      </c>
      <c r="B7718" s="12" t="s">
        <v>2492</v>
      </c>
      <c r="C7718" s="13" t="s">
        <v>2493</v>
      </c>
      <c r="D7718" s="13" t="s">
        <v>65</v>
      </c>
      <c r="E7718" s="12" t="s">
        <v>35</v>
      </c>
      <c r="F7718" s="14">
        <v>570000</v>
      </c>
      <c r="G7718" s="14">
        <v>479500</v>
      </c>
      <c r="H7718" s="13" t="s">
        <v>13447</v>
      </c>
      <c r="I7718" s="40" t="s">
        <v>18</v>
      </c>
      <c r="J7718" s="40" t="str">
        <f>HYPERLINK("https://stock.pstatic.net/stock-research/company/57/20251104_company_930550000.pdf","PDF")</f>
        <v>PDF</v>
      </c>
      <c r="K7718" s="12" t="s">
        <v>13448</v>
      </c>
      <c r="L7718" s="20">
        <v>0.1887382690302398</v>
      </c>
    </row>
    <row r="7719" spans="1:12" x14ac:dyDescent="0.45">
      <c r="A7719" s="12" t="s">
        <v>13409</v>
      </c>
      <c r="B7719" s="12" t="s">
        <v>3168</v>
      </c>
      <c r="C7719" s="13" t="s">
        <v>3169</v>
      </c>
      <c r="D7719" s="13" t="s">
        <v>158</v>
      </c>
      <c r="E7719" s="12" t="s">
        <v>35</v>
      </c>
      <c r="F7719" s="14">
        <v>16500</v>
      </c>
      <c r="G7719" s="14">
        <v>13350</v>
      </c>
      <c r="H7719" s="13" t="s">
        <v>13449</v>
      </c>
      <c r="I7719" s="40" t="s">
        <v>18</v>
      </c>
      <c r="J7719" s="40" t="str">
        <f>HYPERLINK("https://stock.pstatic.net/stock-research/company/18/20251104_company_779820000.pdf","PDF")</f>
        <v>PDF</v>
      </c>
      <c r="K7719" s="12" t="s">
        <v>13450</v>
      </c>
      <c r="L7719" s="20">
        <v>0.2359550561797753</v>
      </c>
    </row>
    <row r="7720" spans="1:12" x14ac:dyDescent="0.45">
      <c r="A7720" s="12" t="s">
        <v>13409</v>
      </c>
      <c r="B7720" s="12" t="s">
        <v>3488</v>
      </c>
      <c r="C7720" s="13" t="s">
        <v>3489</v>
      </c>
      <c r="D7720" s="13" t="s">
        <v>158</v>
      </c>
      <c r="E7720" s="12" t="s">
        <v>35</v>
      </c>
      <c r="F7720" s="14">
        <v>32000</v>
      </c>
      <c r="G7720" s="14">
        <v>25500</v>
      </c>
      <c r="H7720" s="13" t="s">
        <v>13451</v>
      </c>
      <c r="I7720" s="40" t="s">
        <v>18</v>
      </c>
      <c r="J7720" s="40" t="str">
        <f>HYPERLINK("https://stock.pstatic.net/stock-research/company/18/20251104_company_268940000.pdf","PDF")</f>
        <v>PDF</v>
      </c>
      <c r="K7720" s="12" t="s">
        <v>13452</v>
      </c>
      <c r="L7720" s="20">
        <v>0.25490196078431371</v>
      </c>
    </row>
    <row r="7721" spans="1:12" x14ac:dyDescent="0.45">
      <c r="A7721" s="12" t="s">
        <v>13409</v>
      </c>
      <c r="B7721" s="12" t="s">
        <v>352</v>
      </c>
      <c r="C7721" s="13" t="s">
        <v>353</v>
      </c>
      <c r="D7721" s="13" t="s">
        <v>158</v>
      </c>
      <c r="E7721" s="12" t="s">
        <v>35</v>
      </c>
      <c r="F7721" s="14">
        <v>300000</v>
      </c>
      <c r="G7721" s="14">
        <v>244500</v>
      </c>
      <c r="H7721" s="13" t="s">
        <v>13453</v>
      </c>
      <c r="I7721" s="40" t="s">
        <v>18</v>
      </c>
      <c r="J7721" s="40" t="str">
        <f>HYPERLINK("https://stock.pstatic.net/stock-research/company/18/20251104_company_618824000.pdf","PDF")</f>
        <v>PDF</v>
      </c>
      <c r="K7721" s="12" t="s">
        <v>13454</v>
      </c>
      <c r="L7721" s="20">
        <v>0.22699386503067481</v>
      </c>
    </row>
    <row r="7722" spans="1:12" x14ac:dyDescent="0.45">
      <c r="A7722" s="12" t="s">
        <v>13409</v>
      </c>
      <c r="B7722" s="12" t="s">
        <v>1548</v>
      </c>
      <c r="C7722" s="13" t="s">
        <v>1549</v>
      </c>
      <c r="D7722" s="13" t="s">
        <v>158</v>
      </c>
      <c r="E7722" s="12" t="s">
        <v>35</v>
      </c>
      <c r="F7722" s="14">
        <v>1280000</v>
      </c>
      <c r="G7722" s="14">
        <v>1042000</v>
      </c>
      <c r="H7722" s="13" t="s">
        <v>13455</v>
      </c>
      <c r="I7722" s="40" t="s">
        <v>18</v>
      </c>
      <c r="J7722" s="40" t="str">
        <f>HYPERLINK("https://stock.pstatic.net/stock-research/company/18/20251104_company_203654000.pdf","PDF")</f>
        <v>PDF</v>
      </c>
      <c r="K7722" s="12" t="s">
        <v>13456</v>
      </c>
      <c r="L7722" s="20">
        <v>0.2284069097888676</v>
      </c>
    </row>
    <row r="7723" spans="1:12" x14ac:dyDescent="0.45">
      <c r="A7723" s="12" t="s">
        <v>13409</v>
      </c>
      <c r="B7723" s="12" t="s">
        <v>3284</v>
      </c>
      <c r="C7723" s="13" t="s">
        <v>3285</v>
      </c>
      <c r="D7723" s="13" t="s">
        <v>158</v>
      </c>
      <c r="E7723" s="12" t="s">
        <v>35</v>
      </c>
      <c r="F7723" s="14">
        <v>179000</v>
      </c>
      <c r="G7723" s="14">
        <v>138800</v>
      </c>
      <c r="H7723" s="13" t="s">
        <v>13457</v>
      </c>
      <c r="I7723" s="40" t="s">
        <v>18</v>
      </c>
      <c r="J7723" s="40" t="str">
        <f>HYPERLINK("https://stock.pstatic.net/stock-research/company/18/20251104_company_516407000.pdf","PDF")</f>
        <v>PDF</v>
      </c>
      <c r="K7723" s="12" t="s">
        <v>13458</v>
      </c>
      <c r="L7723" s="20">
        <v>0.28962536023054752</v>
      </c>
    </row>
    <row r="7724" spans="1:12" x14ac:dyDescent="0.45">
      <c r="A7724" s="12" t="s">
        <v>13409</v>
      </c>
      <c r="B7724" s="12" t="s">
        <v>4253</v>
      </c>
      <c r="C7724" s="13" t="s">
        <v>4254</v>
      </c>
      <c r="D7724" s="13" t="s">
        <v>158</v>
      </c>
      <c r="E7724" s="12" t="s">
        <v>35</v>
      </c>
      <c r="F7724" s="14">
        <v>320000</v>
      </c>
      <c r="G7724" s="14">
        <v>197500</v>
      </c>
      <c r="H7724" s="13" t="s">
        <v>13459</v>
      </c>
      <c r="I7724" s="40" t="s">
        <v>18</v>
      </c>
      <c r="J7724" s="40" t="str">
        <f>HYPERLINK("https://stock.pstatic.net/stock-research/company/18/20251104_company_999541000.pdf","PDF")</f>
        <v>PDF</v>
      </c>
      <c r="K7724" s="12" t="s">
        <v>13460</v>
      </c>
      <c r="L7724" s="20">
        <v>0.620253164556962</v>
      </c>
    </row>
    <row r="7725" spans="1:12" x14ac:dyDescent="0.45">
      <c r="A7725" s="12" t="s">
        <v>13409</v>
      </c>
      <c r="B7725" s="12" t="s">
        <v>2795</v>
      </c>
      <c r="C7725" s="13" t="s">
        <v>2796</v>
      </c>
      <c r="D7725" s="13" t="s">
        <v>158</v>
      </c>
      <c r="E7725" s="12" t="s">
        <v>35</v>
      </c>
      <c r="F7725" s="14">
        <v>5200</v>
      </c>
      <c r="G7725" s="14">
        <v>3730</v>
      </c>
      <c r="H7725" s="13" t="s">
        <v>13461</v>
      </c>
      <c r="I7725" s="40" t="s">
        <v>18</v>
      </c>
      <c r="J7725" s="40" t="str">
        <f>HYPERLINK("https://stock.pstatic.net/stock-research/company/18/20251104_company_435411000.pdf","PDF")</f>
        <v>PDF</v>
      </c>
      <c r="K7725" s="12" t="s">
        <v>13462</v>
      </c>
      <c r="L7725" s="20">
        <v>0.3941018766756032</v>
      </c>
    </row>
    <row r="7726" spans="1:12" x14ac:dyDescent="0.45">
      <c r="A7726" s="12" t="s">
        <v>13409</v>
      </c>
      <c r="B7726" s="12" t="s">
        <v>2688</v>
      </c>
      <c r="C7726" s="13" t="s">
        <v>2689</v>
      </c>
      <c r="D7726" s="13" t="s">
        <v>158</v>
      </c>
      <c r="E7726" s="12" t="s">
        <v>35</v>
      </c>
      <c r="F7726" s="14">
        <v>90000</v>
      </c>
      <c r="G7726" s="14">
        <v>74700</v>
      </c>
      <c r="H7726" s="13" t="s">
        <v>13463</v>
      </c>
      <c r="I7726" s="40" t="s">
        <v>18</v>
      </c>
      <c r="J7726" s="40" t="str">
        <f>HYPERLINK("https://stock.pstatic.net/stock-research/company/18/20251104_company_252762000.pdf","PDF")</f>
        <v>PDF</v>
      </c>
      <c r="K7726" s="12" t="s">
        <v>13464</v>
      </c>
      <c r="L7726" s="20">
        <v>0.2048192771084337</v>
      </c>
    </row>
    <row r="7727" spans="1:12" x14ac:dyDescent="0.45">
      <c r="A7727" s="12" t="s">
        <v>13409</v>
      </c>
      <c r="B7727" s="12" t="s">
        <v>1431</v>
      </c>
      <c r="C7727" s="13" t="s">
        <v>1432</v>
      </c>
      <c r="D7727" s="13" t="s">
        <v>83</v>
      </c>
      <c r="E7727" s="12" t="s">
        <v>35</v>
      </c>
      <c r="F7727" s="14">
        <v>260000</v>
      </c>
      <c r="G7727" s="14">
        <v>219000</v>
      </c>
      <c r="H7727" s="13" t="s">
        <v>13465</v>
      </c>
      <c r="I7727" s="40" t="s">
        <v>18</v>
      </c>
      <c r="J7727" s="40" t="str">
        <f>HYPERLINK("https://stock.pstatic.net/stock-research/company/2/20251104_company_306157000.pdf","PDF")</f>
        <v>PDF</v>
      </c>
      <c r="K7727" s="12" t="s">
        <v>13466</v>
      </c>
      <c r="L7727" s="20">
        <v>0.18721461187214611</v>
      </c>
    </row>
    <row r="7728" spans="1:12" x14ac:dyDescent="0.45">
      <c r="A7728" s="12" t="s">
        <v>13409</v>
      </c>
      <c r="B7728" s="12" t="s">
        <v>2795</v>
      </c>
      <c r="C7728" s="13" t="s">
        <v>2796</v>
      </c>
      <c r="D7728" s="13" t="s">
        <v>83</v>
      </c>
      <c r="E7728" s="12" t="s">
        <v>35</v>
      </c>
      <c r="F7728" s="14">
        <v>5500</v>
      </c>
      <c r="G7728" s="14">
        <v>3730</v>
      </c>
      <c r="H7728" s="13" t="s">
        <v>13467</v>
      </c>
      <c r="I7728" s="40" t="s">
        <v>18</v>
      </c>
      <c r="J7728" s="40" t="str">
        <f>HYPERLINK("https://stock.pstatic.net/stock-research/company/2/20251104_company_565667000.pdf","PDF")</f>
        <v>PDF</v>
      </c>
      <c r="K7728" s="12" t="s">
        <v>13468</v>
      </c>
      <c r="L7728" s="20">
        <v>0.47453083109919569</v>
      </c>
    </row>
    <row r="7729" spans="1:12" x14ac:dyDescent="0.45">
      <c r="A7729" s="12" t="s">
        <v>13409</v>
      </c>
      <c r="B7729" s="12" t="s">
        <v>13469</v>
      </c>
      <c r="C7729" s="13" t="s">
        <v>13470</v>
      </c>
      <c r="D7729" s="13" t="s">
        <v>83</v>
      </c>
      <c r="E7729" s="12" t="s">
        <v>642</v>
      </c>
      <c r="F7729" s="14">
        <v>55000</v>
      </c>
      <c r="G7729" s="14">
        <v>50800</v>
      </c>
      <c r="H7729" s="13" t="s">
        <v>13471</v>
      </c>
      <c r="I7729" s="40" t="s">
        <v>18</v>
      </c>
      <c r="J7729" s="40" t="str">
        <f>HYPERLINK("https://stock.pstatic.net/stock-research/company/2/20251104_company_429992000.pdf","PDF")</f>
        <v>PDF</v>
      </c>
      <c r="K7729" s="12" t="s">
        <v>13472</v>
      </c>
      <c r="L7729" s="20">
        <v>8.2677165354330714E-2</v>
      </c>
    </row>
    <row r="7730" spans="1:12" x14ac:dyDescent="0.45">
      <c r="A7730" s="12" t="s">
        <v>13409</v>
      </c>
      <c r="B7730" s="12" t="s">
        <v>352</v>
      </c>
      <c r="C7730" s="13" t="s">
        <v>353</v>
      </c>
      <c r="D7730" s="13" t="s">
        <v>83</v>
      </c>
      <c r="E7730" s="12" t="s">
        <v>35</v>
      </c>
      <c r="F7730" s="14">
        <v>280000</v>
      </c>
      <c r="G7730" s="14">
        <v>244500</v>
      </c>
      <c r="H7730" s="13" t="s">
        <v>13473</v>
      </c>
      <c r="I7730" s="40" t="s">
        <v>18</v>
      </c>
      <c r="J7730" s="40" t="str">
        <f>HYPERLINK("https://stock.pstatic.net/stock-research/company/2/20251104_company_24483000.pdf","PDF")</f>
        <v>PDF</v>
      </c>
      <c r="K7730" s="12" t="s">
        <v>13474</v>
      </c>
      <c r="L7730" s="20">
        <v>0.14519427402862989</v>
      </c>
    </row>
    <row r="7731" spans="1:12" x14ac:dyDescent="0.45">
      <c r="A7731" s="12" t="s">
        <v>13409</v>
      </c>
      <c r="B7731" s="12" t="s">
        <v>485</v>
      </c>
      <c r="C7731" s="13" t="s">
        <v>486</v>
      </c>
      <c r="D7731" s="13" t="s">
        <v>92</v>
      </c>
      <c r="E7731" s="12" t="s">
        <v>35</v>
      </c>
      <c r="F7731" s="14">
        <v>200000</v>
      </c>
      <c r="G7731" s="14">
        <v>130700</v>
      </c>
      <c r="H7731" s="13" t="s">
        <v>13475</v>
      </c>
      <c r="I7731" s="40" t="s">
        <v>18</v>
      </c>
      <c r="J7731" s="40" t="str">
        <f>HYPERLINK("https://stock.pstatic.net/stock-research/company/63/20251104_company_210558000.pdf","PDF")</f>
        <v>PDF</v>
      </c>
      <c r="K7731" s="12" t="s">
        <v>13476</v>
      </c>
      <c r="L7731" s="20">
        <v>0.5302218821729151</v>
      </c>
    </row>
    <row r="7732" spans="1:12" x14ac:dyDescent="0.45">
      <c r="A7732" s="12" t="s">
        <v>13409</v>
      </c>
      <c r="B7732" s="12" t="s">
        <v>4079</v>
      </c>
      <c r="C7732" s="13" t="s">
        <v>4080</v>
      </c>
      <c r="D7732" s="13" t="s">
        <v>124</v>
      </c>
      <c r="E7732" s="12" t="s">
        <v>50</v>
      </c>
      <c r="F7732" s="13"/>
      <c r="G7732" s="13"/>
      <c r="H7732" s="13" t="s">
        <v>13477</v>
      </c>
      <c r="I7732" s="40" t="s">
        <v>18</v>
      </c>
      <c r="J7732" s="40" t="str">
        <f>HYPERLINK("https://stock.pstatic.net/stock-research/company/74/20251104_company_731584000.pdf","PDF")</f>
        <v>PDF</v>
      </c>
      <c r="K7732" s="12" t="s">
        <v>13478</v>
      </c>
    </row>
    <row r="7733" spans="1:12" x14ac:dyDescent="0.45">
      <c r="A7733" s="12" t="s">
        <v>13409</v>
      </c>
      <c r="B7733" s="12" t="s">
        <v>485</v>
      </c>
      <c r="C7733" s="13" t="s">
        <v>486</v>
      </c>
      <c r="D7733" s="13" t="s">
        <v>15</v>
      </c>
      <c r="E7733" s="12" t="s">
        <v>16</v>
      </c>
      <c r="F7733" s="14">
        <v>200000</v>
      </c>
      <c r="G7733" s="14">
        <v>130700</v>
      </c>
      <c r="H7733" s="13" t="s">
        <v>13479</v>
      </c>
      <c r="I7733" s="40" t="s">
        <v>18</v>
      </c>
      <c r="J7733" s="40" t="str">
        <f>HYPERLINK("https://stock.pstatic.net/stock-research/company/29/20251104_company_462882000.pdf","PDF")</f>
        <v>PDF</v>
      </c>
      <c r="K7733" s="12" t="s">
        <v>13480</v>
      </c>
      <c r="L7733" s="20">
        <v>0.5302218821729151</v>
      </c>
    </row>
    <row r="7734" spans="1:12" x14ac:dyDescent="0.45">
      <c r="A7734" s="12" t="s">
        <v>13409</v>
      </c>
      <c r="B7734" s="12" t="s">
        <v>352</v>
      </c>
      <c r="C7734" s="13" t="s">
        <v>353</v>
      </c>
      <c r="D7734" s="13" t="s">
        <v>15</v>
      </c>
      <c r="E7734" s="12" t="s">
        <v>16</v>
      </c>
      <c r="F7734" s="14">
        <v>300000</v>
      </c>
      <c r="G7734" s="14">
        <v>244500</v>
      </c>
      <c r="H7734" s="13" t="s">
        <v>13481</v>
      </c>
      <c r="I7734" s="40" t="s">
        <v>18</v>
      </c>
      <c r="J7734" s="40" t="str">
        <f>HYPERLINK("https://stock.pstatic.net/stock-research/company/29/20251104_company_737056000.pdf","PDF")</f>
        <v>PDF</v>
      </c>
      <c r="K7734" s="12" t="s">
        <v>13482</v>
      </c>
      <c r="L7734" s="20">
        <v>0.22699386503067481</v>
      </c>
    </row>
    <row r="7735" spans="1:12" x14ac:dyDescent="0.45">
      <c r="A7735" s="12" t="s">
        <v>13409</v>
      </c>
      <c r="B7735" s="12" t="s">
        <v>1548</v>
      </c>
      <c r="C7735" s="13" t="s">
        <v>1549</v>
      </c>
      <c r="D7735" s="13" t="s">
        <v>15</v>
      </c>
      <c r="E7735" s="12" t="s">
        <v>16</v>
      </c>
      <c r="F7735" s="14">
        <v>1400000</v>
      </c>
      <c r="G7735" s="14">
        <v>1042000</v>
      </c>
      <c r="H7735" s="13" t="s">
        <v>13483</v>
      </c>
      <c r="I7735" s="40" t="s">
        <v>18</v>
      </c>
      <c r="J7735" s="40" t="str">
        <f>HYPERLINK("https://stock.pstatic.net/stock-research/company/29/20251104_company_183014000.pdf","PDF")</f>
        <v>PDF</v>
      </c>
      <c r="K7735" s="12" t="s">
        <v>13484</v>
      </c>
      <c r="L7735" s="20">
        <v>0.34357005758157388</v>
      </c>
    </row>
    <row r="7736" spans="1:12" x14ac:dyDescent="0.45">
      <c r="A7736" s="12" t="s">
        <v>13409</v>
      </c>
      <c r="B7736" s="12" t="s">
        <v>2089</v>
      </c>
      <c r="C7736" s="13" t="s">
        <v>2090</v>
      </c>
      <c r="D7736" s="13" t="s">
        <v>15</v>
      </c>
      <c r="E7736" s="12" t="s">
        <v>16</v>
      </c>
      <c r="F7736" s="14">
        <v>88000</v>
      </c>
      <c r="G7736" s="14">
        <v>72300</v>
      </c>
      <c r="H7736" s="13" t="s">
        <v>13485</v>
      </c>
      <c r="I7736" s="40" t="s">
        <v>18</v>
      </c>
      <c r="J7736" s="40" t="str">
        <f>HYPERLINK("https://stock.pstatic.net/stock-research/company/29/20251104_company_820216000.pdf","PDF")</f>
        <v>PDF</v>
      </c>
      <c r="K7736" s="12" t="s">
        <v>13486</v>
      </c>
      <c r="L7736" s="20">
        <v>0.21715076071922551</v>
      </c>
    </row>
    <row r="7737" spans="1:12" x14ac:dyDescent="0.45">
      <c r="A7737" s="12" t="s">
        <v>13409</v>
      </c>
      <c r="B7737" s="12" t="s">
        <v>1548</v>
      </c>
      <c r="C7737" s="13" t="s">
        <v>1549</v>
      </c>
      <c r="D7737" s="13" t="s">
        <v>23</v>
      </c>
      <c r="E7737" s="12" t="s">
        <v>16</v>
      </c>
      <c r="F7737" s="14">
        <v>1230000</v>
      </c>
      <c r="G7737" s="14">
        <v>1042000</v>
      </c>
      <c r="H7737" s="13" t="s">
        <v>13487</v>
      </c>
      <c r="I7737" s="40" t="s">
        <v>18</v>
      </c>
      <c r="J7737" s="40" t="str">
        <f>HYPERLINK("https://stock.pstatic.net/stock-research/company/21/20251104_company_487726000.pdf","PDF")</f>
        <v>PDF</v>
      </c>
      <c r="K7737" s="12" t="s">
        <v>13488</v>
      </c>
      <c r="L7737" s="20">
        <v>0.18042226487523991</v>
      </c>
    </row>
    <row r="7738" spans="1:12" x14ac:dyDescent="0.45">
      <c r="A7738" s="12" t="s">
        <v>13409</v>
      </c>
      <c r="B7738" s="12" t="s">
        <v>1216</v>
      </c>
      <c r="C7738" s="13" t="s">
        <v>1217</v>
      </c>
      <c r="D7738" s="13" t="s">
        <v>179</v>
      </c>
      <c r="E7738" s="12" t="s">
        <v>16</v>
      </c>
      <c r="F7738" s="14">
        <v>34000</v>
      </c>
      <c r="G7738" s="14">
        <v>24900</v>
      </c>
      <c r="H7738" s="13" t="s">
        <v>7098</v>
      </c>
      <c r="I7738" s="40" t="s">
        <v>18</v>
      </c>
      <c r="J7738" s="40" t="str">
        <f>HYPERLINK("https://stock.pstatic.net/stock-research/company/64/20251104_company_717131000.pdf","PDF")</f>
        <v>PDF</v>
      </c>
      <c r="K7738" s="12" t="s">
        <v>13489</v>
      </c>
      <c r="L7738" s="20">
        <v>0.36546184738955823</v>
      </c>
    </row>
    <row r="7739" spans="1:12" x14ac:dyDescent="0.45">
      <c r="A7739" s="12" t="s">
        <v>13409</v>
      </c>
      <c r="B7739" s="12" t="s">
        <v>1507</v>
      </c>
      <c r="C7739" s="13" t="s">
        <v>1508</v>
      </c>
      <c r="D7739" s="13" t="s">
        <v>92</v>
      </c>
      <c r="E7739" s="12" t="s">
        <v>35</v>
      </c>
      <c r="F7739" s="14">
        <v>11000</v>
      </c>
      <c r="G7739" s="14">
        <v>8010</v>
      </c>
      <c r="H7739" s="13" t="s">
        <v>13490</v>
      </c>
      <c r="I7739" s="40" t="s">
        <v>18</v>
      </c>
      <c r="J7739" s="40" t="str">
        <f>HYPERLINK("https://stock.pstatic.net/stock-research/company/63/20251104_company_395994000.pdf","PDF")</f>
        <v>PDF</v>
      </c>
      <c r="K7739" s="12" t="s">
        <v>13491</v>
      </c>
      <c r="L7739" s="20">
        <v>0.37328339575530589</v>
      </c>
    </row>
    <row r="7740" spans="1:12" x14ac:dyDescent="0.45">
      <c r="A7740" s="12" t="s">
        <v>13409</v>
      </c>
      <c r="B7740" s="12" t="s">
        <v>2089</v>
      </c>
      <c r="C7740" s="13" t="s">
        <v>2090</v>
      </c>
      <c r="D7740" s="13" t="s">
        <v>92</v>
      </c>
      <c r="E7740" s="12" t="s">
        <v>35</v>
      </c>
      <c r="F7740" s="14">
        <v>90000</v>
      </c>
      <c r="G7740" s="14">
        <v>72300</v>
      </c>
      <c r="H7740" s="13" t="s">
        <v>13492</v>
      </c>
      <c r="I7740" s="40" t="s">
        <v>18</v>
      </c>
      <c r="J7740" s="40" t="str">
        <f>HYPERLINK("https://stock.pstatic.net/stock-research/company/63/20251104_company_138856000.pdf","PDF")</f>
        <v>PDF</v>
      </c>
      <c r="K7740" s="12" t="s">
        <v>13493</v>
      </c>
      <c r="L7740" s="20">
        <v>0.24481327800829869</v>
      </c>
    </row>
    <row r="7741" spans="1:12" x14ac:dyDescent="0.45">
      <c r="A7741" s="12" t="s">
        <v>13409</v>
      </c>
      <c r="B7741" s="12" t="s">
        <v>352</v>
      </c>
      <c r="C7741" s="13" t="s">
        <v>353</v>
      </c>
      <c r="D7741" s="13" t="s">
        <v>92</v>
      </c>
      <c r="E7741" s="12" t="s">
        <v>35</v>
      </c>
      <c r="F7741" s="14">
        <v>300000</v>
      </c>
      <c r="G7741" s="14">
        <v>244500</v>
      </c>
      <c r="H7741" s="13" t="s">
        <v>13494</v>
      </c>
      <c r="I7741" s="40" t="s">
        <v>18</v>
      </c>
      <c r="J7741" s="40" t="str">
        <f>HYPERLINK("https://stock.pstatic.net/stock-research/company/63/20251104_company_242186000.pdf","PDF")</f>
        <v>PDF</v>
      </c>
      <c r="K7741" s="12" t="s">
        <v>13495</v>
      </c>
      <c r="L7741" s="20">
        <v>0.22699386503067481</v>
      </c>
    </row>
    <row r="7742" spans="1:12" x14ac:dyDescent="0.45">
      <c r="A7742" s="12" t="s">
        <v>13409</v>
      </c>
      <c r="B7742" s="12" t="s">
        <v>352</v>
      </c>
      <c r="C7742" s="13" t="s">
        <v>353</v>
      </c>
      <c r="D7742" s="13" t="s">
        <v>34</v>
      </c>
      <c r="E7742" s="12" t="s">
        <v>35</v>
      </c>
      <c r="F7742" s="14">
        <v>340000</v>
      </c>
      <c r="G7742" s="14">
        <v>244500</v>
      </c>
      <c r="H7742" s="13" t="s">
        <v>13496</v>
      </c>
      <c r="I7742" s="40" t="s">
        <v>18</v>
      </c>
      <c r="J7742" s="40" t="str">
        <f>HYPERLINK("https://stock.pstatic.net/stock-research/company/61/20251104_company_613746000.pdf","PDF")</f>
        <v>PDF</v>
      </c>
      <c r="K7742" s="12" t="s">
        <v>13497</v>
      </c>
      <c r="L7742" s="20">
        <v>0.39059304703476477</v>
      </c>
    </row>
    <row r="7743" spans="1:12" x14ac:dyDescent="0.45">
      <c r="A7743" s="12" t="s">
        <v>13409</v>
      </c>
      <c r="B7743" s="12" t="s">
        <v>1548</v>
      </c>
      <c r="C7743" s="13" t="s">
        <v>1549</v>
      </c>
      <c r="D7743" s="13" t="s">
        <v>34</v>
      </c>
      <c r="E7743" s="12" t="s">
        <v>35</v>
      </c>
      <c r="F7743" s="14">
        <v>1380000</v>
      </c>
      <c r="G7743" s="14">
        <v>1042000</v>
      </c>
      <c r="H7743" s="13" t="s">
        <v>13498</v>
      </c>
      <c r="I7743" s="40" t="s">
        <v>18</v>
      </c>
      <c r="J7743" s="40" t="str">
        <f>HYPERLINK("https://stock.pstatic.net/stock-research/company/61/20251104_company_112753000.pdf","PDF")</f>
        <v>PDF</v>
      </c>
      <c r="K7743" s="12" t="s">
        <v>13499</v>
      </c>
      <c r="L7743" s="20">
        <v>0.32437619961612291</v>
      </c>
    </row>
    <row r="7744" spans="1:12" x14ac:dyDescent="0.45">
      <c r="A7744" s="12" t="s">
        <v>13409</v>
      </c>
      <c r="B7744" s="12" t="s">
        <v>2795</v>
      </c>
      <c r="C7744" s="13" t="s">
        <v>2796</v>
      </c>
      <c r="D7744" s="13" t="s">
        <v>23</v>
      </c>
      <c r="E7744" s="12" t="s">
        <v>16</v>
      </c>
      <c r="F7744" s="14">
        <v>5200</v>
      </c>
      <c r="G7744" s="14">
        <v>3730</v>
      </c>
      <c r="H7744" s="13" t="s">
        <v>13500</v>
      </c>
      <c r="I7744" s="40" t="s">
        <v>18</v>
      </c>
      <c r="J7744" s="40" t="str">
        <f>HYPERLINK("https://stock.pstatic.net/stock-research/company/21/20251104_company_219804000.pdf","PDF")</f>
        <v>PDF</v>
      </c>
      <c r="K7744" s="12" t="s">
        <v>13501</v>
      </c>
      <c r="L7744" s="20">
        <v>0.3941018766756032</v>
      </c>
    </row>
    <row r="7745" spans="1:12" x14ac:dyDescent="0.45">
      <c r="A7745" s="12" t="s">
        <v>13409</v>
      </c>
      <c r="B7745" s="12" t="s">
        <v>1548</v>
      </c>
      <c r="C7745" s="13" t="s">
        <v>1549</v>
      </c>
      <c r="D7745" s="13" t="s">
        <v>92</v>
      </c>
      <c r="E7745" s="12" t="s">
        <v>35</v>
      </c>
      <c r="F7745" s="14">
        <v>1280000</v>
      </c>
      <c r="G7745" s="14">
        <v>1042000</v>
      </c>
      <c r="H7745" s="13" t="s">
        <v>13502</v>
      </c>
      <c r="I7745" s="40" t="s">
        <v>18</v>
      </c>
      <c r="J7745" s="40" t="str">
        <f>HYPERLINK("https://stock.pstatic.net/stock-research/company/63/20251104_company_533215000.pdf","PDF")</f>
        <v>PDF</v>
      </c>
      <c r="K7745" s="12" t="s">
        <v>13503</v>
      </c>
      <c r="L7745" s="20">
        <v>0.2284069097888676</v>
      </c>
    </row>
    <row r="7746" spans="1:12" x14ac:dyDescent="0.45">
      <c r="A7746" s="12" t="s">
        <v>13409</v>
      </c>
      <c r="B7746" s="12" t="s">
        <v>2089</v>
      </c>
      <c r="C7746" s="13" t="s">
        <v>2090</v>
      </c>
      <c r="D7746" s="13" t="s">
        <v>34</v>
      </c>
      <c r="E7746" s="12" t="s">
        <v>35</v>
      </c>
      <c r="F7746" s="14">
        <v>90000</v>
      </c>
      <c r="G7746" s="14">
        <v>72300</v>
      </c>
      <c r="H7746" s="13" t="s">
        <v>13504</v>
      </c>
      <c r="I7746" s="40" t="s">
        <v>18</v>
      </c>
      <c r="J7746" s="40" t="str">
        <f>HYPERLINK("https://stock.pstatic.net/stock-research/company/61/20251104_company_235041000.pdf","PDF")</f>
        <v>PDF</v>
      </c>
      <c r="K7746" s="12" t="s">
        <v>13505</v>
      </c>
      <c r="L7746" s="20">
        <v>0.24481327800829869</v>
      </c>
    </row>
    <row r="7747" spans="1:12" x14ac:dyDescent="0.45">
      <c r="A7747" s="12" t="s">
        <v>13409</v>
      </c>
      <c r="B7747" s="12" t="s">
        <v>957</v>
      </c>
      <c r="C7747" s="13" t="s">
        <v>958</v>
      </c>
      <c r="D7747" s="13" t="s">
        <v>34</v>
      </c>
      <c r="E7747" s="12" t="s">
        <v>35</v>
      </c>
      <c r="F7747" s="14">
        <v>340000</v>
      </c>
      <c r="G7747" s="14">
        <v>272000</v>
      </c>
      <c r="H7747" s="13" t="s">
        <v>13506</v>
      </c>
      <c r="I7747" s="40" t="s">
        <v>18</v>
      </c>
      <c r="J7747" s="40" t="str">
        <f>HYPERLINK("https://stock.pstatic.net/stock-research/company/61/20251104_company_705183000.pdf","PDF")</f>
        <v>PDF</v>
      </c>
      <c r="K7747" s="12" t="s">
        <v>13507</v>
      </c>
      <c r="L7747" s="20">
        <v>0.25</v>
      </c>
    </row>
    <row r="7748" spans="1:12" x14ac:dyDescent="0.45">
      <c r="A7748" s="12" t="s">
        <v>13409</v>
      </c>
      <c r="B7748" s="12" t="s">
        <v>2382</v>
      </c>
      <c r="C7748" s="13" t="s">
        <v>2383</v>
      </c>
      <c r="D7748" s="13" t="s">
        <v>44</v>
      </c>
      <c r="E7748" s="12" t="s">
        <v>35</v>
      </c>
      <c r="F7748" s="14">
        <v>62000</v>
      </c>
      <c r="G7748" s="14">
        <v>38200</v>
      </c>
      <c r="H7748" s="13" t="s">
        <v>13508</v>
      </c>
      <c r="I7748" s="40" t="s">
        <v>18</v>
      </c>
      <c r="J7748" s="40" t="str">
        <f>HYPERLINK("https://stock.pstatic.net/stock-research/company/39/20251104_company_496440000.pdf","PDF")</f>
        <v>PDF</v>
      </c>
      <c r="K7748" s="12" t="s">
        <v>13509</v>
      </c>
      <c r="L7748" s="20">
        <v>0.62303664921465973</v>
      </c>
    </row>
    <row r="7749" spans="1:12" x14ac:dyDescent="0.45">
      <c r="A7749" s="12" t="s">
        <v>13409</v>
      </c>
      <c r="B7749" s="12" t="s">
        <v>2089</v>
      </c>
      <c r="C7749" s="13" t="s">
        <v>2090</v>
      </c>
      <c r="D7749" s="13" t="s">
        <v>23</v>
      </c>
      <c r="E7749" s="12" t="s">
        <v>16</v>
      </c>
      <c r="F7749" s="14">
        <v>90000</v>
      </c>
      <c r="G7749" s="14">
        <v>72300</v>
      </c>
      <c r="H7749" s="13" t="s">
        <v>8843</v>
      </c>
      <c r="I7749" s="40" t="s">
        <v>18</v>
      </c>
      <c r="J7749" s="40" t="str">
        <f>HYPERLINK("https://stock.pstatic.net/stock-research/company/21/20251104_company_270103000.pdf","PDF")</f>
        <v>PDF</v>
      </c>
      <c r="K7749" s="12" t="s">
        <v>13510</v>
      </c>
      <c r="L7749" s="20">
        <v>0.24481327800829869</v>
      </c>
    </row>
    <row r="7750" spans="1:12" x14ac:dyDescent="0.45">
      <c r="A7750" s="12" t="s">
        <v>13409</v>
      </c>
      <c r="B7750" s="12" t="s">
        <v>352</v>
      </c>
      <c r="C7750" s="13" t="s">
        <v>353</v>
      </c>
      <c r="D7750" s="13" t="s">
        <v>23</v>
      </c>
      <c r="E7750" s="12" t="s">
        <v>16</v>
      </c>
      <c r="F7750" s="14">
        <v>290000</v>
      </c>
      <c r="G7750" s="14">
        <v>244500</v>
      </c>
      <c r="H7750" s="13" t="s">
        <v>13511</v>
      </c>
      <c r="I7750" s="40" t="s">
        <v>18</v>
      </c>
      <c r="J7750" s="40" t="str">
        <f>HYPERLINK("https://stock.pstatic.net/stock-research/company/21/20251104_company_952098000.pdf","PDF")</f>
        <v>PDF</v>
      </c>
      <c r="K7750" s="12" t="s">
        <v>13512</v>
      </c>
      <c r="L7750" s="20">
        <v>0.18609406952965241</v>
      </c>
    </row>
    <row r="7751" spans="1:12" x14ac:dyDescent="0.45">
      <c r="A7751" s="12" t="s">
        <v>13409</v>
      </c>
      <c r="B7751" s="12" t="s">
        <v>2435</v>
      </c>
      <c r="C7751" s="13" t="s">
        <v>2436</v>
      </c>
      <c r="D7751" s="13" t="s">
        <v>179</v>
      </c>
      <c r="E7751" s="12" t="s">
        <v>16</v>
      </c>
      <c r="F7751" s="14">
        <v>770000</v>
      </c>
      <c r="G7751" s="14">
        <v>607000</v>
      </c>
      <c r="H7751" s="13" t="s">
        <v>13513</v>
      </c>
      <c r="I7751" s="40" t="s">
        <v>18</v>
      </c>
      <c r="J7751" s="40" t="str">
        <f>HYPERLINK("https://stock.pstatic.net/stock-research/company/64/20251104_company_141409000.pdf","PDF")</f>
        <v>PDF</v>
      </c>
      <c r="K7751" s="12" t="s">
        <v>13514</v>
      </c>
      <c r="L7751" s="20">
        <v>0.26853377265238881</v>
      </c>
    </row>
    <row r="7752" spans="1:12" x14ac:dyDescent="0.45">
      <c r="A7752" s="12" t="s">
        <v>13409</v>
      </c>
      <c r="B7752" s="12" t="s">
        <v>1666</v>
      </c>
      <c r="C7752" s="13" t="s">
        <v>1667</v>
      </c>
      <c r="D7752" s="13" t="s">
        <v>44</v>
      </c>
      <c r="E7752" s="12" t="s">
        <v>45</v>
      </c>
      <c r="F7752" s="14">
        <v>67000</v>
      </c>
      <c r="G7752" s="14">
        <v>55900</v>
      </c>
      <c r="H7752" s="13" t="s">
        <v>13515</v>
      </c>
      <c r="I7752" s="40" t="s">
        <v>18</v>
      </c>
      <c r="J7752" s="40" t="str">
        <f>HYPERLINK("https://stock.pstatic.net/stock-research/company/39/20251104_company_917827000.pdf","PDF")</f>
        <v>PDF</v>
      </c>
      <c r="K7752" s="12" t="s">
        <v>13516</v>
      </c>
      <c r="L7752" s="20">
        <v>0.19856887298747761</v>
      </c>
    </row>
    <row r="7753" spans="1:12" x14ac:dyDescent="0.45">
      <c r="A7753" s="12" t="s">
        <v>13409</v>
      </c>
      <c r="B7753" s="12" t="s">
        <v>156</v>
      </c>
      <c r="C7753" s="13" t="s">
        <v>157</v>
      </c>
      <c r="D7753" s="13" t="s">
        <v>44</v>
      </c>
      <c r="E7753" s="12" t="s">
        <v>45</v>
      </c>
      <c r="F7753" s="14">
        <v>5200</v>
      </c>
      <c r="G7753" s="14">
        <v>4355</v>
      </c>
      <c r="H7753" s="13" t="s">
        <v>13517</v>
      </c>
      <c r="I7753" s="40" t="s">
        <v>18</v>
      </c>
      <c r="J7753" s="40" t="str">
        <f>HYPERLINK("https://stock.pstatic.net/stock-research/company/39/20251104_company_733602000.pdf","PDF")</f>
        <v>PDF</v>
      </c>
      <c r="K7753" s="12" t="s">
        <v>13518</v>
      </c>
      <c r="L7753" s="20">
        <v>0.19402985074626869</v>
      </c>
    </row>
    <row r="7754" spans="1:12" x14ac:dyDescent="0.45">
      <c r="A7754" s="12" t="s">
        <v>13409</v>
      </c>
      <c r="B7754" s="12" t="s">
        <v>2488</v>
      </c>
      <c r="C7754" s="13" t="s">
        <v>2489</v>
      </c>
      <c r="D7754" s="13" t="s">
        <v>179</v>
      </c>
      <c r="E7754" s="12" t="s">
        <v>16</v>
      </c>
      <c r="F7754" s="14">
        <v>115000</v>
      </c>
      <c r="G7754" s="14">
        <v>98600</v>
      </c>
      <c r="H7754" s="13" t="s">
        <v>13519</v>
      </c>
      <c r="I7754" s="40" t="s">
        <v>18</v>
      </c>
      <c r="J7754" s="40" t="str">
        <f>HYPERLINK("https://stock.pstatic.net/stock-research/company/64/20251104_company_240710000.pdf","PDF")</f>
        <v>PDF</v>
      </c>
      <c r="K7754" s="12" t="s">
        <v>13520</v>
      </c>
      <c r="L7754" s="20">
        <v>0.16632860040567951</v>
      </c>
    </row>
    <row r="7755" spans="1:12" x14ac:dyDescent="0.45">
      <c r="A7755" s="12" t="s">
        <v>13409</v>
      </c>
      <c r="B7755" s="12" t="s">
        <v>13521</v>
      </c>
      <c r="C7755" s="13" t="s">
        <v>13522</v>
      </c>
      <c r="D7755" s="13" t="s">
        <v>44</v>
      </c>
      <c r="E7755" s="12" t="s">
        <v>50</v>
      </c>
      <c r="F7755" s="13"/>
      <c r="G7755" s="14">
        <v>4850</v>
      </c>
      <c r="H7755" s="13" t="s">
        <v>13523</v>
      </c>
      <c r="I7755" s="40" t="s">
        <v>18</v>
      </c>
      <c r="J7755" s="40" t="str">
        <f>HYPERLINK("https://stock.pstatic.net/stock-research/company/39/20251104_company_519502000.pdf","PDF")</f>
        <v>PDF</v>
      </c>
      <c r="K7755" s="12" t="s">
        <v>13524</v>
      </c>
    </row>
    <row r="7756" spans="1:12" x14ac:dyDescent="0.45">
      <c r="A7756" s="12" t="s">
        <v>13409</v>
      </c>
      <c r="B7756" s="12" t="s">
        <v>13410</v>
      </c>
      <c r="C7756" s="13" t="s">
        <v>13411</v>
      </c>
      <c r="D7756" s="13" t="s">
        <v>179</v>
      </c>
      <c r="E7756" s="12" t="s">
        <v>16</v>
      </c>
      <c r="F7756" s="14">
        <v>320000</v>
      </c>
      <c r="G7756" s="14">
        <v>240000</v>
      </c>
      <c r="H7756" s="13" t="s">
        <v>13525</v>
      </c>
      <c r="I7756" s="40" t="s">
        <v>18</v>
      </c>
      <c r="J7756" s="40" t="str">
        <f>HYPERLINK("https://stock.pstatic.net/stock-research/company/64/20251104_company_836145000.pdf","PDF")</f>
        <v>PDF</v>
      </c>
      <c r="K7756" s="12" t="s">
        <v>13526</v>
      </c>
      <c r="L7756" s="20">
        <v>0.33333333333333331</v>
      </c>
    </row>
    <row r="7757" spans="1:12" x14ac:dyDescent="0.45">
      <c r="A7757" s="12" t="s">
        <v>13409</v>
      </c>
      <c r="B7757" s="12" t="s">
        <v>3399</v>
      </c>
      <c r="C7757" s="13" t="s">
        <v>3400</v>
      </c>
      <c r="D7757" s="13" t="s">
        <v>15</v>
      </c>
      <c r="E7757" s="12" t="s">
        <v>16</v>
      </c>
      <c r="F7757" s="14">
        <v>24000</v>
      </c>
      <c r="G7757" s="14">
        <v>16700</v>
      </c>
      <c r="H7757" s="13" t="s">
        <v>13527</v>
      </c>
      <c r="I7757" s="40" t="s">
        <v>18</v>
      </c>
      <c r="J7757" s="40" t="str">
        <f>HYPERLINK("https://stock.pstatic.net/stock-research/company/29/20251104_company_871914000.pdf","PDF")</f>
        <v>PDF</v>
      </c>
      <c r="K7757" s="12" t="s">
        <v>13528</v>
      </c>
      <c r="L7757" s="20">
        <v>0.43712574850299402</v>
      </c>
    </row>
    <row r="7758" spans="1:12" x14ac:dyDescent="0.45">
      <c r="A7758" s="12" t="s">
        <v>13529</v>
      </c>
      <c r="B7758" s="12" t="s">
        <v>2887</v>
      </c>
      <c r="C7758" s="13" t="s">
        <v>2888</v>
      </c>
      <c r="D7758" s="13" t="s">
        <v>57</v>
      </c>
      <c r="E7758" s="12" t="s">
        <v>35</v>
      </c>
      <c r="F7758" s="14">
        <v>470000</v>
      </c>
      <c r="G7758" s="14">
        <v>397500</v>
      </c>
      <c r="H7758" s="13" t="s">
        <v>13530</v>
      </c>
      <c r="I7758" s="40" t="s">
        <v>18</v>
      </c>
      <c r="J7758" s="40" t="str">
        <f>HYPERLINK("https://stock.pstatic.net/stock-research/company/16/20251103_company_334446000.pdf","PDF")</f>
        <v>PDF</v>
      </c>
      <c r="K7758" s="12" t="s">
        <v>13531</v>
      </c>
      <c r="L7758" s="20">
        <v>0.1823899371069182</v>
      </c>
    </row>
    <row r="7759" spans="1:12" x14ac:dyDescent="0.45">
      <c r="A7759" s="12" t="s">
        <v>13529</v>
      </c>
      <c r="B7759" s="12" t="s">
        <v>1690</v>
      </c>
      <c r="C7759" s="13" t="s">
        <v>1691</v>
      </c>
      <c r="D7759" s="13" t="s">
        <v>57</v>
      </c>
      <c r="E7759" s="12" t="s">
        <v>159</v>
      </c>
      <c r="F7759" s="14">
        <v>120000</v>
      </c>
      <c r="G7759" s="14">
        <v>128900</v>
      </c>
      <c r="H7759" s="13" t="s">
        <v>13532</v>
      </c>
      <c r="I7759" s="40" t="s">
        <v>18</v>
      </c>
      <c r="J7759" s="40" t="str">
        <f>HYPERLINK("https://stock.pstatic.net/stock-research/company/16/20251103_company_153594000.pdf","PDF")</f>
        <v>PDF</v>
      </c>
      <c r="K7759" s="12" t="s">
        <v>13533</v>
      </c>
      <c r="L7759" s="20">
        <v>-6.9045771916214124E-2</v>
      </c>
    </row>
    <row r="7760" spans="1:12" x14ac:dyDescent="0.45">
      <c r="A7760" s="12" t="s">
        <v>13529</v>
      </c>
      <c r="B7760" s="12" t="s">
        <v>1765</v>
      </c>
      <c r="C7760" s="13" t="s">
        <v>1766</v>
      </c>
      <c r="D7760" s="13" t="s">
        <v>57</v>
      </c>
      <c r="E7760" s="12" t="s">
        <v>35</v>
      </c>
      <c r="F7760" s="14">
        <v>135000</v>
      </c>
      <c r="G7760" s="14">
        <v>119900</v>
      </c>
      <c r="H7760" s="13" t="s">
        <v>13534</v>
      </c>
      <c r="I7760" s="40" t="s">
        <v>18</v>
      </c>
      <c r="J7760" s="40" t="str">
        <f>HYPERLINK("https://stock.pstatic.net/stock-research/company/16/20251103_company_70769000.pdf","PDF")</f>
        <v>PDF</v>
      </c>
      <c r="K7760" s="12" t="s">
        <v>13535</v>
      </c>
      <c r="L7760" s="20">
        <v>0.12593828190158471</v>
      </c>
    </row>
    <row r="7761" spans="1:12" x14ac:dyDescent="0.45">
      <c r="A7761" s="12" t="s">
        <v>13529</v>
      </c>
      <c r="B7761" s="12" t="s">
        <v>577</v>
      </c>
      <c r="C7761" s="13" t="s">
        <v>578</v>
      </c>
      <c r="D7761" s="13" t="s">
        <v>57</v>
      </c>
      <c r="E7761" s="12" t="s">
        <v>35</v>
      </c>
      <c r="F7761" s="14">
        <v>370000</v>
      </c>
      <c r="G7761" s="14">
        <v>316000</v>
      </c>
      <c r="H7761" s="13" t="s">
        <v>13536</v>
      </c>
      <c r="I7761" s="40" t="s">
        <v>18</v>
      </c>
      <c r="J7761" s="40" t="str">
        <f>HYPERLINK("https://stock.pstatic.net/stock-research/company/16/20251103_company_853660000.pdf","PDF")</f>
        <v>PDF</v>
      </c>
      <c r="K7761" s="12" t="s">
        <v>13537</v>
      </c>
      <c r="L7761" s="20">
        <v>0.17088607594936711</v>
      </c>
    </row>
    <row r="7762" spans="1:12" x14ac:dyDescent="0.45">
      <c r="A7762" s="12" t="s">
        <v>13529</v>
      </c>
      <c r="B7762" s="12" t="s">
        <v>2777</v>
      </c>
      <c r="C7762" s="13" t="s">
        <v>2778</v>
      </c>
      <c r="D7762" s="13" t="s">
        <v>57</v>
      </c>
      <c r="E7762" s="12" t="s">
        <v>35</v>
      </c>
      <c r="F7762" s="14">
        <v>210000</v>
      </c>
      <c r="G7762" s="14">
        <v>203500</v>
      </c>
      <c r="H7762" s="13" t="s">
        <v>13538</v>
      </c>
      <c r="I7762" s="40" t="s">
        <v>18</v>
      </c>
      <c r="J7762" s="40" t="str">
        <f>HYPERLINK("https://stock.pstatic.net/stock-research/company/16/20251103_company_848000.pdf","PDF")</f>
        <v>PDF</v>
      </c>
      <c r="K7762" s="12" t="s">
        <v>13539</v>
      </c>
      <c r="L7762" s="20">
        <v>3.1941031941031942E-2</v>
      </c>
    </row>
    <row r="7763" spans="1:12" x14ac:dyDescent="0.45">
      <c r="A7763" s="12" t="s">
        <v>13529</v>
      </c>
      <c r="B7763" s="12" t="s">
        <v>2944</v>
      </c>
      <c r="C7763" s="13" t="s">
        <v>2945</v>
      </c>
      <c r="D7763" s="13" t="s">
        <v>57</v>
      </c>
      <c r="E7763" s="12" t="s">
        <v>35</v>
      </c>
      <c r="F7763" s="14">
        <v>16500</v>
      </c>
      <c r="G7763" s="14">
        <v>13810</v>
      </c>
      <c r="H7763" s="13" t="s">
        <v>13540</v>
      </c>
      <c r="I7763" s="40" t="s">
        <v>18</v>
      </c>
      <c r="J7763" s="40" t="str">
        <f>HYPERLINK("https://stock.pstatic.net/stock-research/company/16/20251103_company_635894000.pdf","PDF")</f>
        <v>PDF</v>
      </c>
      <c r="K7763" s="12" t="s">
        <v>13541</v>
      </c>
      <c r="L7763" s="20">
        <v>0.1947863866763215</v>
      </c>
    </row>
    <row r="7764" spans="1:12" x14ac:dyDescent="0.45">
      <c r="A7764" s="12" t="s">
        <v>13529</v>
      </c>
      <c r="B7764" s="12" t="s">
        <v>3168</v>
      </c>
      <c r="C7764" s="13" t="s">
        <v>3169</v>
      </c>
      <c r="D7764" s="13" t="s">
        <v>57</v>
      </c>
      <c r="E7764" s="12" t="s">
        <v>35</v>
      </c>
      <c r="F7764" s="14">
        <v>17000</v>
      </c>
      <c r="G7764" s="14">
        <v>13230</v>
      </c>
      <c r="H7764" s="13" t="s">
        <v>13542</v>
      </c>
      <c r="I7764" s="40" t="s">
        <v>18</v>
      </c>
      <c r="J7764" s="40" t="str">
        <f>HYPERLINK("https://stock.pstatic.net/stock-research/company/16/20251103_company_770717000.pdf","PDF")</f>
        <v>PDF</v>
      </c>
      <c r="K7764" s="12" t="s">
        <v>13543</v>
      </c>
      <c r="L7764" s="20">
        <v>0.28495842781557068</v>
      </c>
    </row>
    <row r="7765" spans="1:12" x14ac:dyDescent="0.45">
      <c r="A7765" s="12" t="s">
        <v>13529</v>
      </c>
      <c r="B7765" s="12" t="s">
        <v>3014</v>
      </c>
      <c r="C7765" s="13" t="s">
        <v>3015</v>
      </c>
      <c r="D7765" s="13" t="s">
        <v>57</v>
      </c>
      <c r="E7765" s="12" t="s">
        <v>35</v>
      </c>
      <c r="F7765" s="14">
        <v>178000</v>
      </c>
      <c r="G7765" s="14">
        <v>110000</v>
      </c>
      <c r="H7765" s="13" t="s">
        <v>13544</v>
      </c>
      <c r="I7765" s="40" t="s">
        <v>18</v>
      </c>
      <c r="J7765" s="40" t="str">
        <f>HYPERLINK("https://stock.pstatic.net/stock-research/company/16/20251103_company_552958000.pdf","PDF")</f>
        <v>PDF</v>
      </c>
      <c r="K7765" s="12" t="s">
        <v>13545</v>
      </c>
      <c r="L7765" s="20">
        <v>0.61818181818181817</v>
      </c>
    </row>
    <row r="7766" spans="1:12" x14ac:dyDescent="0.45">
      <c r="A7766" s="12" t="s">
        <v>13529</v>
      </c>
      <c r="B7766" s="12" t="s">
        <v>1781</v>
      </c>
      <c r="C7766" s="13" t="s">
        <v>1782</v>
      </c>
      <c r="D7766" s="13" t="s">
        <v>276</v>
      </c>
      <c r="E7766" s="12" t="s">
        <v>16</v>
      </c>
      <c r="F7766" s="14">
        <v>130000</v>
      </c>
      <c r="G7766" s="14">
        <v>87600</v>
      </c>
      <c r="H7766" s="13" t="s">
        <v>13546</v>
      </c>
      <c r="I7766" s="40" t="s">
        <v>18</v>
      </c>
      <c r="J7766" s="40" t="str">
        <f>HYPERLINK("https://stock.pstatic.net/stock-research/company/66/20251103_company_524960000.pdf","PDF")</f>
        <v>PDF</v>
      </c>
      <c r="K7766" s="12" t="s">
        <v>13547</v>
      </c>
      <c r="L7766" s="20">
        <v>0.48401826484018262</v>
      </c>
    </row>
    <row r="7767" spans="1:12" x14ac:dyDescent="0.45">
      <c r="A7767" s="12" t="s">
        <v>13529</v>
      </c>
      <c r="B7767" s="12" t="s">
        <v>2837</v>
      </c>
      <c r="C7767" s="13" t="s">
        <v>2838</v>
      </c>
      <c r="D7767" s="13" t="s">
        <v>276</v>
      </c>
      <c r="E7767" s="12" t="s">
        <v>16</v>
      </c>
      <c r="F7767" s="14">
        <v>71000</v>
      </c>
      <c r="G7767" s="14">
        <v>59900</v>
      </c>
      <c r="H7767" s="13" t="s">
        <v>13548</v>
      </c>
      <c r="I7767" s="40" t="s">
        <v>18</v>
      </c>
      <c r="J7767" s="40" t="str">
        <f>HYPERLINK("https://stock.pstatic.net/stock-research/company/66/20251103_company_604321000.pdf","PDF")</f>
        <v>PDF</v>
      </c>
      <c r="K7767" s="12" t="s">
        <v>13549</v>
      </c>
      <c r="L7767" s="20">
        <v>0.18530884808013359</v>
      </c>
    </row>
    <row r="7768" spans="1:12" x14ac:dyDescent="0.45">
      <c r="A7768" s="12" t="s">
        <v>13529</v>
      </c>
      <c r="B7768" s="12" t="s">
        <v>42</v>
      </c>
      <c r="C7768" s="13" t="s">
        <v>43</v>
      </c>
      <c r="D7768" s="13" t="s">
        <v>276</v>
      </c>
      <c r="E7768" s="12" t="s">
        <v>16</v>
      </c>
      <c r="F7768" s="14">
        <v>400000</v>
      </c>
      <c r="G7768" s="14">
        <v>267500</v>
      </c>
      <c r="H7768" s="13" t="s">
        <v>13550</v>
      </c>
      <c r="I7768" s="40" t="s">
        <v>18</v>
      </c>
      <c r="J7768" s="40" t="str">
        <f>HYPERLINK("https://stock.pstatic.net/stock-research/company/66/20251103_company_266415000.pdf","PDF")</f>
        <v>PDF</v>
      </c>
      <c r="K7768" s="12" t="s">
        <v>13551</v>
      </c>
      <c r="L7768" s="20">
        <v>0.49532710280373832</v>
      </c>
    </row>
    <row r="7769" spans="1:12" x14ac:dyDescent="0.45">
      <c r="A7769" s="12" t="s">
        <v>13529</v>
      </c>
      <c r="B7769" s="12" t="s">
        <v>577</v>
      </c>
      <c r="C7769" s="13" t="s">
        <v>578</v>
      </c>
      <c r="D7769" s="13" t="s">
        <v>276</v>
      </c>
      <c r="E7769" s="12" t="s">
        <v>16</v>
      </c>
      <c r="F7769" s="14">
        <v>360000</v>
      </c>
      <c r="G7769" s="14">
        <v>316000</v>
      </c>
      <c r="H7769" s="13" t="s">
        <v>13552</v>
      </c>
      <c r="I7769" s="40" t="s">
        <v>18</v>
      </c>
      <c r="J7769" s="40" t="str">
        <f>HYPERLINK("https://stock.pstatic.net/stock-research/company/66/20251103_company_983903000.pdf","PDF")</f>
        <v>PDF</v>
      </c>
      <c r="K7769" s="12" t="s">
        <v>13553</v>
      </c>
      <c r="L7769" s="20">
        <v>0.13924050632911389</v>
      </c>
    </row>
    <row r="7770" spans="1:12" x14ac:dyDescent="0.45">
      <c r="A7770" s="12" t="s">
        <v>13529</v>
      </c>
      <c r="B7770" s="12" t="s">
        <v>1765</v>
      </c>
      <c r="C7770" s="13" t="s">
        <v>1766</v>
      </c>
      <c r="D7770" s="13" t="s">
        <v>276</v>
      </c>
      <c r="E7770" s="12" t="s">
        <v>16</v>
      </c>
      <c r="F7770" s="14">
        <v>140000</v>
      </c>
      <c r="G7770" s="14">
        <v>119900</v>
      </c>
      <c r="H7770" s="13" t="s">
        <v>13554</v>
      </c>
      <c r="I7770" s="40" t="s">
        <v>18</v>
      </c>
      <c r="J7770" s="40" t="str">
        <f>HYPERLINK("https://stock.pstatic.net/stock-research/company/66/20251103_company_729810000.pdf","PDF")</f>
        <v>PDF</v>
      </c>
      <c r="K7770" s="12" t="s">
        <v>13555</v>
      </c>
      <c r="L7770" s="20">
        <v>0.16763969974979151</v>
      </c>
    </row>
    <row r="7771" spans="1:12" x14ac:dyDescent="0.45">
      <c r="A7771" s="12" t="s">
        <v>13529</v>
      </c>
      <c r="B7771" s="12" t="s">
        <v>1246</v>
      </c>
      <c r="C7771" s="13" t="s">
        <v>1247</v>
      </c>
      <c r="D7771" s="13" t="s">
        <v>276</v>
      </c>
      <c r="E7771" s="12" t="s">
        <v>16</v>
      </c>
      <c r="F7771" s="14">
        <v>23000</v>
      </c>
      <c r="G7771" s="14">
        <v>17060</v>
      </c>
      <c r="H7771" s="13" t="s">
        <v>13556</v>
      </c>
      <c r="I7771" s="40" t="s">
        <v>18</v>
      </c>
      <c r="J7771" s="40" t="str">
        <f>HYPERLINK("https://stock.pstatic.net/stock-research/company/66/20251103_company_899007000.pdf","PDF")</f>
        <v>PDF</v>
      </c>
      <c r="K7771" s="12" t="s">
        <v>13557</v>
      </c>
      <c r="L7771" s="20">
        <v>0.34818288393903868</v>
      </c>
    </row>
    <row r="7772" spans="1:12" x14ac:dyDescent="0.45">
      <c r="A7772" s="12" t="s">
        <v>13529</v>
      </c>
      <c r="B7772" s="12" t="s">
        <v>3168</v>
      </c>
      <c r="C7772" s="13" t="s">
        <v>3169</v>
      </c>
      <c r="D7772" s="13" t="s">
        <v>15</v>
      </c>
      <c r="E7772" s="12" t="s">
        <v>16</v>
      </c>
      <c r="F7772" s="14">
        <v>21000</v>
      </c>
      <c r="G7772" s="14">
        <v>13230</v>
      </c>
      <c r="H7772" s="13" t="s">
        <v>13558</v>
      </c>
      <c r="I7772" s="40" t="s">
        <v>18</v>
      </c>
      <c r="J7772" s="40" t="str">
        <f>HYPERLINK("https://stock.pstatic.net/stock-research/company/29/20251103_company_527185000.pdf","PDF")</f>
        <v>PDF</v>
      </c>
      <c r="K7772" s="12" t="s">
        <v>13559</v>
      </c>
      <c r="L7772" s="20">
        <v>0.58730158730158732</v>
      </c>
    </row>
    <row r="7773" spans="1:12" x14ac:dyDescent="0.45">
      <c r="A7773" s="12" t="s">
        <v>13529</v>
      </c>
      <c r="B7773" s="12" t="s">
        <v>3369</v>
      </c>
      <c r="C7773" s="13" t="s">
        <v>3370</v>
      </c>
      <c r="D7773" s="13" t="s">
        <v>15</v>
      </c>
      <c r="E7773" s="12" t="s">
        <v>385</v>
      </c>
      <c r="F7773" s="14">
        <v>25000</v>
      </c>
      <c r="G7773" s="14">
        <v>22450</v>
      </c>
      <c r="H7773" s="13" t="s">
        <v>13560</v>
      </c>
      <c r="I7773" s="40" t="s">
        <v>18</v>
      </c>
      <c r="J7773" s="40" t="str">
        <f>HYPERLINK("https://stock.pstatic.net/stock-research/company/29/20251103_company_19471000.pdf","PDF")</f>
        <v>PDF</v>
      </c>
      <c r="K7773" s="12" t="s">
        <v>13561</v>
      </c>
      <c r="L7773" s="20">
        <v>0.1135857461024499</v>
      </c>
    </row>
    <row r="7774" spans="1:12" x14ac:dyDescent="0.45">
      <c r="A7774" s="12" t="s">
        <v>13529</v>
      </c>
      <c r="B7774" s="12" t="s">
        <v>2762</v>
      </c>
      <c r="C7774" s="13" t="s">
        <v>2763</v>
      </c>
      <c r="D7774" s="13" t="s">
        <v>60</v>
      </c>
      <c r="E7774" s="12" t="s">
        <v>35</v>
      </c>
      <c r="F7774" s="14">
        <v>100000</v>
      </c>
      <c r="G7774" s="14">
        <v>72700</v>
      </c>
      <c r="H7774" s="13" t="s">
        <v>13562</v>
      </c>
      <c r="I7774" s="40" t="s">
        <v>18</v>
      </c>
      <c r="J7774" s="40" t="str">
        <f>HYPERLINK("https://stock.pstatic.net/stock-research/company/34/20251103_company_979607000.pdf","PDF")</f>
        <v>PDF</v>
      </c>
      <c r="K7774" s="12" t="s">
        <v>13563</v>
      </c>
      <c r="L7774" s="20">
        <v>0.37551581843191201</v>
      </c>
    </row>
    <row r="7775" spans="1:12" x14ac:dyDescent="0.45">
      <c r="A7775" s="12" t="s">
        <v>13529</v>
      </c>
      <c r="B7775" s="12" t="s">
        <v>740</v>
      </c>
      <c r="C7775" s="13" t="s">
        <v>741</v>
      </c>
      <c r="D7775" s="13" t="s">
        <v>60</v>
      </c>
      <c r="E7775" s="12" t="s">
        <v>35</v>
      </c>
      <c r="F7775" s="14">
        <v>300000</v>
      </c>
      <c r="G7775" s="14">
        <v>241000</v>
      </c>
      <c r="H7775" s="13" t="s">
        <v>13564</v>
      </c>
      <c r="I7775" s="40" t="s">
        <v>18</v>
      </c>
      <c r="J7775" s="40" t="str">
        <f>HYPERLINK("https://stock.pstatic.net/stock-research/company/34/20251103_company_133336000.pdf","PDF")</f>
        <v>PDF</v>
      </c>
      <c r="K7775" s="12" t="s">
        <v>13565</v>
      </c>
      <c r="L7775" s="20">
        <v>0.24481327800829869</v>
      </c>
    </row>
    <row r="7776" spans="1:12" x14ac:dyDescent="0.45">
      <c r="A7776" s="12" t="s">
        <v>13529</v>
      </c>
      <c r="B7776" s="12" t="s">
        <v>1781</v>
      </c>
      <c r="C7776" s="13" t="s">
        <v>1782</v>
      </c>
      <c r="D7776" s="13" t="s">
        <v>60</v>
      </c>
      <c r="E7776" s="12" t="s">
        <v>35</v>
      </c>
      <c r="F7776" s="14">
        <v>110000</v>
      </c>
      <c r="G7776" s="14">
        <v>87600</v>
      </c>
      <c r="H7776" s="13" t="s">
        <v>13566</v>
      </c>
      <c r="I7776" s="40" t="s">
        <v>18</v>
      </c>
      <c r="J7776" s="40" t="str">
        <f>HYPERLINK("https://stock.pstatic.net/stock-research/company/34/20251103_company_850727000.pdf","PDF")</f>
        <v>PDF</v>
      </c>
      <c r="K7776" s="12" t="s">
        <v>13567</v>
      </c>
      <c r="L7776" s="20">
        <v>0.25570776255707761</v>
      </c>
    </row>
    <row r="7777" spans="1:12" x14ac:dyDescent="0.45">
      <c r="A7777" s="12" t="s">
        <v>13529</v>
      </c>
      <c r="B7777" s="12" t="s">
        <v>13568</v>
      </c>
      <c r="C7777" s="13" t="s">
        <v>13569</v>
      </c>
      <c r="D7777" s="13" t="s">
        <v>60</v>
      </c>
      <c r="E7777" s="12" t="s">
        <v>159</v>
      </c>
      <c r="F7777" s="14">
        <v>7900</v>
      </c>
      <c r="G7777" s="14">
        <v>6770</v>
      </c>
      <c r="H7777" s="13" t="s">
        <v>13570</v>
      </c>
      <c r="I7777" s="40" t="s">
        <v>18</v>
      </c>
      <c r="J7777" s="40" t="str">
        <f>HYPERLINK("https://stock.pstatic.net/stock-research/company/34/20251103_company_461408000.pdf","PDF")</f>
        <v>PDF</v>
      </c>
      <c r="K7777" s="12" t="s">
        <v>13571</v>
      </c>
      <c r="L7777" s="20">
        <v>0.1669128508124077</v>
      </c>
    </row>
    <row r="7778" spans="1:12" x14ac:dyDescent="0.45">
      <c r="A7778" s="12" t="s">
        <v>13529</v>
      </c>
      <c r="B7778" s="12" t="s">
        <v>2944</v>
      </c>
      <c r="C7778" s="13" t="s">
        <v>2945</v>
      </c>
      <c r="D7778" s="13" t="s">
        <v>60</v>
      </c>
      <c r="E7778" s="12" t="s">
        <v>35</v>
      </c>
      <c r="F7778" s="14">
        <v>18500</v>
      </c>
      <c r="G7778" s="14">
        <v>13810</v>
      </c>
      <c r="H7778" s="13" t="s">
        <v>13572</v>
      </c>
      <c r="I7778" s="40" t="s">
        <v>18</v>
      </c>
      <c r="J7778" s="40" t="str">
        <f>HYPERLINK("https://stock.pstatic.net/stock-research/company/34/20251103_company_595971000.pdf","PDF")</f>
        <v>PDF</v>
      </c>
      <c r="K7778" s="12" t="s">
        <v>13573</v>
      </c>
      <c r="L7778" s="20">
        <v>0.33960897900072412</v>
      </c>
    </row>
    <row r="7779" spans="1:12" x14ac:dyDescent="0.45">
      <c r="A7779" s="12" t="s">
        <v>13529</v>
      </c>
      <c r="B7779" s="12" t="s">
        <v>1765</v>
      </c>
      <c r="C7779" s="13" t="s">
        <v>1766</v>
      </c>
      <c r="D7779" s="13" t="s">
        <v>60</v>
      </c>
      <c r="E7779" s="12" t="s">
        <v>35</v>
      </c>
      <c r="F7779" s="14">
        <v>145000</v>
      </c>
      <c r="G7779" s="14">
        <v>119900</v>
      </c>
      <c r="H7779" s="13" t="s">
        <v>13574</v>
      </c>
      <c r="I7779" s="40" t="s">
        <v>18</v>
      </c>
      <c r="J7779" s="40" t="str">
        <f>HYPERLINK("https://stock.pstatic.net/stock-research/company/34/20251103_company_128381000.pdf","PDF")</f>
        <v>PDF</v>
      </c>
      <c r="K7779" s="12" t="s">
        <v>13575</v>
      </c>
      <c r="L7779" s="20">
        <v>0.20934111759799831</v>
      </c>
    </row>
    <row r="7780" spans="1:12" x14ac:dyDescent="0.45">
      <c r="A7780" s="12" t="s">
        <v>13529</v>
      </c>
      <c r="B7780" s="12" t="s">
        <v>3230</v>
      </c>
      <c r="C7780" s="13" t="s">
        <v>3231</v>
      </c>
      <c r="D7780" s="13" t="s">
        <v>60</v>
      </c>
      <c r="E7780" s="12" t="s">
        <v>35</v>
      </c>
      <c r="F7780" s="14">
        <v>2600000</v>
      </c>
      <c r="G7780" s="14">
        <v>2135000</v>
      </c>
      <c r="H7780" s="13" t="s">
        <v>13576</v>
      </c>
      <c r="I7780" s="40" t="s">
        <v>18</v>
      </c>
      <c r="J7780" s="40" t="str">
        <f>HYPERLINK("https://stock.pstatic.net/stock-research/company/34/20251103_company_128310000.pdf","PDF")</f>
        <v>PDF</v>
      </c>
      <c r="K7780" s="12" t="s">
        <v>13577</v>
      </c>
      <c r="L7780" s="20">
        <v>0.2177985948477752</v>
      </c>
    </row>
    <row r="7781" spans="1:12" x14ac:dyDescent="0.45">
      <c r="A7781" s="12" t="s">
        <v>13529</v>
      </c>
      <c r="B7781" s="12" t="s">
        <v>577</v>
      </c>
      <c r="C7781" s="13" t="s">
        <v>578</v>
      </c>
      <c r="D7781" s="13" t="s">
        <v>60</v>
      </c>
      <c r="E7781" s="12" t="s">
        <v>35</v>
      </c>
      <c r="F7781" s="14">
        <v>370000</v>
      </c>
      <c r="G7781" s="14">
        <v>316000</v>
      </c>
      <c r="H7781" s="13" t="s">
        <v>13578</v>
      </c>
      <c r="I7781" s="40" t="s">
        <v>18</v>
      </c>
      <c r="J7781" s="40" t="str">
        <f>HYPERLINK("https://stock.pstatic.net/stock-research/company/34/20251103_company_821674000.pdf","PDF")</f>
        <v>PDF</v>
      </c>
      <c r="K7781" s="12" t="s">
        <v>13579</v>
      </c>
      <c r="L7781" s="20">
        <v>0.17088607594936711</v>
      </c>
    </row>
    <row r="7782" spans="1:12" x14ac:dyDescent="0.45">
      <c r="A7782" s="12" t="s">
        <v>13529</v>
      </c>
      <c r="B7782" s="12" t="s">
        <v>2944</v>
      </c>
      <c r="C7782" s="13" t="s">
        <v>2945</v>
      </c>
      <c r="D7782" s="13" t="s">
        <v>15</v>
      </c>
      <c r="E7782" s="12" t="s">
        <v>16</v>
      </c>
      <c r="F7782" s="14">
        <v>20000</v>
      </c>
      <c r="G7782" s="14">
        <v>13810</v>
      </c>
      <c r="H7782" s="13" t="s">
        <v>13580</v>
      </c>
      <c r="I7782" s="40" t="s">
        <v>18</v>
      </c>
      <c r="J7782" s="40" t="str">
        <f>HYPERLINK("https://stock.pstatic.net/stock-research/company/29/20251103_company_806383000.pdf","PDF")</f>
        <v>PDF</v>
      </c>
      <c r="K7782" s="12" t="s">
        <v>13581</v>
      </c>
      <c r="L7782" s="20">
        <v>0.44822592324402599</v>
      </c>
    </row>
    <row r="7783" spans="1:12" x14ac:dyDescent="0.45">
      <c r="A7783" s="12" t="s">
        <v>13529</v>
      </c>
      <c r="B7783" s="12" t="s">
        <v>3530</v>
      </c>
      <c r="C7783" s="13" t="s">
        <v>3531</v>
      </c>
      <c r="D7783" s="13" t="s">
        <v>65</v>
      </c>
      <c r="E7783" s="12" t="s">
        <v>35</v>
      </c>
      <c r="F7783" s="14">
        <v>17000</v>
      </c>
      <c r="G7783" s="14">
        <v>8520</v>
      </c>
      <c r="H7783" s="13" t="s">
        <v>13582</v>
      </c>
      <c r="I7783" s="40" t="s">
        <v>18</v>
      </c>
      <c r="J7783" s="40" t="str">
        <f>HYPERLINK("https://stock.pstatic.net/stock-research/company/57/20251103_company_72475000.pdf","PDF")</f>
        <v>PDF</v>
      </c>
      <c r="K7783" s="12" t="s">
        <v>13583</v>
      </c>
      <c r="L7783" s="20">
        <v>0.99530516431924887</v>
      </c>
    </row>
    <row r="7784" spans="1:12" x14ac:dyDescent="0.45">
      <c r="A7784" s="12" t="s">
        <v>13529</v>
      </c>
      <c r="B7784" s="12" t="s">
        <v>3014</v>
      </c>
      <c r="C7784" s="13" t="s">
        <v>3015</v>
      </c>
      <c r="D7784" s="13" t="s">
        <v>65</v>
      </c>
      <c r="E7784" s="12" t="s">
        <v>35</v>
      </c>
      <c r="F7784" s="14">
        <v>160000</v>
      </c>
      <c r="G7784" s="14">
        <v>110000</v>
      </c>
      <c r="H7784" s="13" t="s">
        <v>13584</v>
      </c>
      <c r="I7784" s="40" t="s">
        <v>18</v>
      </c>
      <c r="J7784" s="40" t="str">
        <f>HYPERLINK("https://stock.pstatic.net/stock-research/company/57/20251103_company_317966000.pdf","PDF")</f>
        <v>PDF</v>
      </c>
      <c r="K7784" s="12" t="s">
        <v>13585</v>
      </c>
      <c r="L7784" s="20">
        <v>0.45454545454545447</v>
      </c>
    </row>
    <row r="7785" spans="1:12" x14ac:dyDescent="0.45">
      <c r="A7785" s="12" t="s">
        <v>13529</v>
      </c>
      <c r="B7785" s="12" t="s">
        <v>2944</v>
      </c>
      <c r="C7785" s="13" t="s">
        <v>2945</v>
      </c>
      <c r="D7785" s="13" t="s">
        <v>65</v>
      </c>
      <c r="E7785" s="12" t="s">
        <v>35</v>
      </c>
      <c r="F7785" s="14">
        <v>19000</v>
      </c>
      <c r="G7785" s="14">
        <v>13810</v>
      </c>
      <c r="H7785" s="13" t="s">
        <v>13586</v>
      </c>
      <c r="I7785" s="40" t="s">
        <v>18</v>
      </c>
      <c r="J7785" s="40" t="str">
        <f>HYPERLINK("https://stock.pstatic.net/stock-research/company/57/20251103_company_430275000.pdf","PDF")</f>
        <v>PDF</v>
      </c>
      <c r="K7785" s="12" t="s">
        <v>13587</v>
      </c>
      <c r="L7785" s="20">
        <v>0.37581462708182478</v>
      </c>
    </row>
    <row r="7786" spans="1:12" x14ac:dyDescent="0.45">
      <c r="A7786" s="12" t="s">
        <v>13529</v>
      </c>
      <c r="B7786" s="12" t="s">
        <v>2762</v>
      </c>
      <c r="C7786" s="13" t="s">
        <v>2763</v>
      </c>
      <c r="D7786" s="13" t="s">
        <v>65</v>
      </c>
      <c r="E7786" s="12" t="s">
        <v>35</v>
      </c>
      <c r="F7786" s="14">
        <v>110000</v>
      </c>
      <c r="G7786" s="14">
        <v>72700</v>
      </c>
      <c r="H7786" s="13" t="s">
        <v>13588</v>
      </c>
      <c r="I7786" s="40" t="s">
        <v>18</v>
      </c>
      <c r="J7786" s="40" t="str">
        <f>HYPERLINK("https://stock.pstatic.net/stock-research/company/57/20251103_company_502751000.pdf","PDF")</f>
        <v>PDF</v>
      </c>
      <c r="K7786" s="12" t="s">
        <v>13589</v>
      </c>
      <c r="L7786" s="20">
        <v>0.51306740027510311</v>
      </c>
    </row>
    <row r="7787" spans="1:12" x14ac:dyDescent="0.45">
      <c r="A7787" s="12" t="s">
        <v>13529</v>
      </c>
      <c r="B7787" s="12" t="s">
        <v>1765</v>
      </c>
      <c r="C7787" s="13" t="s">
        <v>1766</v>
      </c>
      <c r="D7787" s="13" t="s">
        <v>65</v>
      </c>
      <c r="E7787" s="12" t="s">
        <v>35</v>
      </c>
      <c r="F7787" s="14">
        <v>140000</v>
      </c>
      <c r="G7787" s="14">
        <v>119900</v>
      </c>
      <c r="H7787" s="13" t="s">
        <v>13590</v>
      </c>
      <c r="I7787" s="40" t="s">
        <v>18</v>
      </c>
      <c r="J7787" s="40" t="str">
        <f>HYPERLINK("https://stock.pstatic.net/stock-research/company/57/20251103_company_100791000.pdf","PDF")</f>
        <v>PDF</v>
      </c>
      <c r="K7787" s="12" t="s">
        <v>13591</v>
      </c>
      <c r="L7787" s="20">
        <v>0.16763969974979151</v>
      </c>
    </row>
    <row r="7788" spans="1:12" x14ac:dyDescent="0.45">
      <c r="A7788" s="12" t="s">
        <v>13529</v>
      </c>
      <c r="B7788" s="12" t="s">
        <v>3230</v>
      </c>
      <c r="C7788" s="13" t="s">
        <v>3231</v>
      </c>
      <c r="D7788" s="13" t="s">
        <v>65</v>
      </c>
      <c r="E7788" s="12" t="s">
        <v>35</v>
      </c>
      <c r="F7788" s="14">
        <v>3000000</v>
      </c>
      <c r="G7788" s="14">
        <v>2135000</v>
      </c>
      <c r="H7788" s="13" t="s">
        <v>13592</v>
      </c>
      <c r="I7788" s="40" t="s">
        <v>18</v>
      </c>
      <c r="J7788" s="40" t="str">
        <f>HYPERLINK("https://stock.pstatic.net/stock-research/company/57/20251103_company_992041000.pdf","PDF")</f>
        <v>PDF</v>
      </c>
      <c r="K7788" s="12" t="s">
        <v>13593</v>
      </c>
      <c r="L7788" s="20">
        <v>0.40515222482435598</v>
      </c>
    </row>
    <row r="7789" spans="1:12" x14ac:dyDescent="0.45">
      <c r="A7789" s="12" t="s">
        <v>13529</v>
      </c>
      <c r="B7789" s="12" t="s">
        <v>3548</v>
      </c>
      <c r="C7789" s="13" t="s">
        <v>3549</v>
      </c>
      <c r="D7789" s="13" t="s">
        <v>65</v>
      </c>
      <c r="E7789" s="12" t="s">
        <v>35</v>
      </c>
      <c r="F7789" s="14">
        <v>68000</v>
      </c>
      <c r="G7789" s="14">
        <v>58600</v>
      </c>
      <c r="H7789" s="13" t="s">
        <v>13594</v>
      </c>
      <c r="I7789" s="40" t="s">
        <v>18</v>
      </c>
      <c r="J7789" s="40" t="str">
        <f>HYPERLINK("https://stock.pstatic.net/stock-research/company/57/20251103_company_296305000.pdf","PDF")</f>
        <v>PDF</v>
      </c>
      <c r="K7789" s="12" t="s">
        <v>13595</v>
      </c>
      <c r="L7789" s="20">
        <v>0.1604095563139932</v>
      </c>
    </row>
    <row r="7790" spans="1:12" x14ac:dyDescent="0.45">
      <c r="A7790" s="12" t="s">
        <v>13529</v>
      </c>
      <c r="B7790" s="12" t="s">
        <v>577</v>
      </c>
      <c r="C7790" s="13" t="s">
        <v>578</v>
      </c>
      <c r="D7790" s="13" t="s">
        <v>65</v>
      </c>
      <c r="E7790" s="12" t="s">
        <v>35</v>
      </c>
      <c r="F7790" s="14">
        <v>380000</v>
      </c>
      <c r="G7790" s="14">
        <v>316000</v>
      </c>
      <c r="H7790" s="13" t="s">
        <v>13596</v>
      </c>
      <c r="I7790" s="40" t="s">
        <v>18</v>
      </c>
      <c r="J7790" s="40" t="str">
        <f>HYPERLINK("https://stock.pstatic.net/stock-research/company/57/20251103_company_535785000.pdf","PDF")</f>
        <v>PDF</v>
      </c>
      <c r="K7790" s="12" t="s">
        <v>13597</v>
      </c>
      <c r="L7790" s="20">
        <v>0.20253164556962031</v>
      </c>
    </row>
    <row r="7791" spans="1:12" x14ac:dyDescent="0.45">
      <c r="A7791" s="12" t="s">
        <v>13529</v>
      </c>
      <c r="B7791" s="12" t="s">
        <v>1415</v>
      </c>
      <c r="C7791" s="13" t="s">
        <v>1416</v>
      </c>
      <c r="D7791" s="13" t="s">
        <v>65</v>
      </c>
      <c r="E7791" s="12" t="s">
        <v>35</v>
      </c>
      <c r="F7791" s="14">
        <v>7000</v>
      </c>
      <c r="G7791" s="14">
        <v>4540</v>
      </c>
      <c r="H7791" s="13" t="s">
        <v>13598</v>
      </c>
      <c r="I7791" s="40" t="s">
        <v>18</v>
      </c>
      <c r="J7791" s="40" t="str">
        <f>HYPERLINK("https://stock.pstatic.net/stock-research/company/57/20251103_company_675783000.pdf","PDF")</f>
        <v>PDF</v>
      </c>
      <c r="K7791" s="12" t="s">
        <v>13599</v>
      </c>
      <c r="L7791" s="20">
        <v>0.54185022026431717</v>
      </c>
    </row>
    <row r="7792" spans="1:12" x14ac:dyDescent="0.45">
      <c r="A7792" s="12" t="s">
        <v>13529</v>
      </c>
      <c r="B7792" s="12" t="s">
        <v>3204</v>
      </c>
      <c r="C7792" s="13" t="s">
        <v>3205</v>
      </c>
      <c r="D7792" s="13" t="s">
        <v>65</v>
      </c>
      <c r="E7792" s="12" t="s">
        <v>35</v>
      </c>
      <c r="F7792" s="14">
        <v>4500</v>
      </c>
      <c r="G7792" s="14">
        <v>3750</v>
      </c>
      <c r="H7792" s="13" t="s">
        <v>13600</v>
      </c>
      <c r="I7792" s="40" t="s">
        <v>18</v>
      </c>
      <c r="J7792" s="40" t="str">
        <f>HYPERLINK("https://stock.pstatic.net/stock-research/company/57/20251103_company_66439000.pdf","PDF")</f>
        <v>PDF</v>
      </c>
      <c r="K7792" s="12" t="s">
        <v>13601</v>
      </c>
      <c r="L7792" s="20">
        <v>0.2</v>
      </c>
    </row>
    <row r="7793" spans="1:12" x14ac:dyDescent="0.45">
      <c r="A7793" s="12" t="s">
        <v>13529</v>
      </c>
      <c r="B7793" s="12" t="s">
        <v>3536</v>
      </c>
      <c r="C7793" s="13" t="s">
        <v>3537</v>
      </c>
      <c r="D7793" s="13" t="s">
        <v>65</v>
      </c>
      <c r="E7793" s="12" t="s">
        <v>35</v>
      </c>
      <c r="F7793" s="14">
        <v>270000</v>
      </c>
      <c r="G7793" s="14">
        <v>208000</v>
      </c>
      <c r="H7793" s="13" t="s">
        <v>13602</v>
      </c>
      <c r="I7793" s="40" t="s">
        <v>18</v>
      </c>
      <c r="J7793" s="40" t="str">
        <f>HYPERLINK("https://stock.pstatic.net/stock-research/company/57/20251103_company_381358000.pdf","PDF")</f>
        <v>PDF</v>
      </c>
      <c r="K7793" s="12" t="s">
        <v>13603</v>
      </c>
      <c r="L7793" s="20">
        <v>0.29807692307692307</v>
      </c>
    </row>
    <row r="7794" spans="1:12" x14ac:dyDescent="0.45">
      <c r="A7794" s="12" t="s">
        <v>13529</v>
      </c>
      <c r="B7794" s="12" t="s">
        <v>4095</v>
      </c>
      <c r="C7794" s="13" t="s">
        <v>4096</v>
      </c>
      <c r="D7794" s="13" t="s">
        <v>65</v>
      </c>
      <c r="E7794" s="12" t="s">
        <v>35</v>
      </c>
      <c r="F7794" s="14">
        <v>200000</v>
      </c>
      <c r="G7794" s="14">
        <v>131100</v>
      </c>
      <c r="H7794" s="13" t="s">
        <v>13604</v>
      </c>
      <c r="I7794" s="40" t="s">
        <v>18</v>
      </c>
      <c r="J7794" s="40" t="str">
        <f>HYPERLINK("https://stock.pstatic.net/stock-research/company/57/20251103_company_293438000.pdf","PDF")</f>
        <v>PDF</v>
      </c>
      <c r="K7794" s="12" t="s">
        <v>13605</v>
      </c>
      <c r="L7794" s="20">
        <v>0.52555301296720058</v>
      </c>
    </row>
    <row r="7795" spans="1:12" x14ac:dyDescent="0.45">
      <c r="A7795" s="12" t="s">
        <v>13529</v>
      </c>
      <c r="B7795" s="12" t="s">
        <v>1690</v>
      </c>
      <c r="C7795" s="13" t="s">
        <v>1691</v>
      </c>
      <c r="D7795" s="13" t="s">
        <v>65</v>
      </c>
      <c r="E7795" s="12" t="s">
        <v>1738</v>
      </c>
      <c r="F7795" s="14">
        <v>150000</v>
      </c>
      <c r="G7795" s="14">
        <v>128900</v>
      </c>
      <c r="H7795" s="13" t="s">
        <v>13606</v>
      </c>
      <c r="I7795" s="40" t="s">
        <v>18</v>
      </c>
      <c r="J7795" s="40" t="str">
        <f>HYPERLINK("https://stock.pstatic.net/stock-research/company/57/20251103_company_104394000.pdf","PDF")</f>
        <v>PDF</v>
      </c>
      <c r="K7795" s="12" t="s">
        <v>13607</v>
      </c>
      <c r="L7795" s="20">
        <v>0.16369278510473231</v>
      </c>
    </row>
    <row r="7796" spans="1:12" x14ac:dyDescent="0.45">
      <c r="A7796" s="12" t="s">
        <v>13529</v>
      </c>
      <c r="B7796" s="12" t="s">
        <v>2887</v>
      </c>
      <c r="C7796" s="13" t="s">
        <v>2888</v>
      </c>
      <c r="D7796" s="13" t="s">
        <v>65</v>
      </c>
      <c r="E7796" s="12" t="s">
        <v>1738</v>
      </c>
      <c r="F7796" s="14">
        <v>450000</v>
      </c>
      <c r="G7796" s="14">
        <v>397500</v>
      </c>
      <c r="H7796" s="13" t="s">
        <v>13608</v>
      </c>
      <c r="I7796" s="40" t="s">
        <v>18</v>
      </c>
      <c r="J7796" s="40" t="str">
        <f>HYPERLINK("https://stock.pstatic.net/stock-research/company/57/20251103_company_557991000.pdf","PDF")</f>
        <v>PDF</v>
      </c>
      <c r="K7796" s="12" t="s">
        <v>13609</v>
      </c>
      <c r="L7796" s="20">
        <v>0.13207547169811321</v>
      </c>
    </row>
    <row r="7797" spans="1:12" x14ac:dyDescent="0.45">
      <c r="A7797" s="12" t="s">
        <v>13529</v>
      </c>
      <c r="B7797" s="12" t="s">
        <v>3451</v>
      </c>
      <c r="C7797" s="13" t="s">
        <v>3452</v>
      </c>
      <c r="D7797" s="13" t="s">
        <v>65</v>
      </c>
      <c r="E7797" s="12" t="s">
        <v>1738</v>
      </c>
      <c r="F7797" s="14">
        <v>190000</v>
      </c>
      <c r="G7797" s="14">
        <v>185200</v>
      </c>
      <c r="H7797" s="13" t="s">
        <v>13610</v>
      </c>
      <c r="I7797" s="40" t="s">
        <v>18</v>
      </c>
      <c r="J7797" s="40" t="str">
        <f>HYPERLINK("https://stock.pstatic.net/stock-research/company/57/20251103_company_974955000.pdf","PDF")</f>
        <v>PDF</v>
      </c>
      <c r="K7797" s="12" t="s">
        <v>13611</v>
      </c>
      <c r="L7797" s="20">
        <v>2.591792656587473E-2</v>
      </c>
    </row>
    <row r="7798" spans="1:12" x14ac:dyDescent="0.45">
      <c r="A7798" s="12" t="s">
        <v>13529</v>
      </c>
      <c r="B7798" s="12" t="s">
        <v>3488</v>
      </c>
      <c r="C7798" s="13" t="s">
        <v>3489</v>
      </c>
      <c r="D7798" s="13" t="s">
        <v>15</v>
      </c>
      <c r="E7798" s="12" t="s">
        <v>16</v>
      </c>
      <c r="F7798" s="14">
        <v>34000</v>
      </c>
      <c r="G7798" s="14">
        <v>25400</v>
      </c>
      <c r="H7798" s="13" t="s">
        <v>13612</v>
      </c>
      <c r="I7798" s="40" t="s">
        <v>18</v>
      </c>
      <c r="J7798" s="40" t="str">
        <f>HYPERLINK("https://stock.pstatic.net/stock-research/company/29/20251103_company_358411000.pdf","PDF")</f>
        <v>PDF</v>
      </c>
      <c r="K7798" s="12" t="s">
        <v>13613</v>
      </c>
      <c r="L7798" s="20">
        <v>0.33858267716535428</v>
      </c>
    </row>
    <row r="7799" spans="1:12" x14ac:dyDescent="0.45">
      <c r="A7799" s="12" t="s">
        <v>13529</v>
      </c>
      <c r="B7799" s="12" t="s">
        <v>1781</v>
      </c>
      <c r="C7799" s="13" t="s">
        <v>1782</v>
      </c>
      <c r="D7799" s="13" t="s">
        <v>158</v>
      </c>
      <c r="E7799" s="12" t="s">
        <v>35</v>
      </c>
      <c r="F7799" s="14">
        <v>110000</v>
      </c>
      <c r="G7799" s="14">
        <v>87600</v>
      </c>
      <c r="H7799" s="13" t="s">
        <v>13614</v>
      </c>
      <c r="I7799" s="40" t="s">
        <v>18</v>
      </c>
      <c r="J7799" s="40" t="str">
        <f>HYPERLINK("https://stock.pstatic.net/stock-research/company/18/20251103_company_301088000.pdf","PDF")</f>
        <v>PDF</v>
      </c>
      <c r="K7799" s="12" t="s">
        <v>13615</v>
      </c>
      <c r="L7799" s="20">
        <v>0.25570776255707761</v>
      </c>
    </row>
    <row r="7800" spans="1:12" x14ac:dyDescent="0.45">
      <c r="A7800" s="12" t="s">
        <v>13529</v>
      </c>
      <c r="B7800" s="12" t="s">
        <v>3230</v>
      </c>
      <c r="C7800" s="13" t="s">
        <v>3231</v>
      </c>
      <c r="D7800" s="13" t="s">
        <v>158</v>
      </c>
      <c r="E7800" s="12" t="s">
        <v>35</v>
      </c>
      <c r="F7800" s="14">
        <v>2800000</v>
      </c>
      <c r="G7800" s="14">
        <v>2135000</v>
      </c>
      <c r="H7800" s="13" t="s">
        <v>13616</v>
      </c>
      <c r="I7800" s="40" t="s">
        <v>18</v>
      </c>
      <c r="J7800" s="40" t="str">
        <f>HYPERLINK("https://stock.pstatic.net/stock-research/company/18/20251103_company_786559000.pdf","PDF")</f>
        <v>PDF</v>
      </c>
      <c r="K7800" s="12" t="s">
        <v>13617</v>
      </c>
      <c r="L7800" s="20">
        <v>0.31147540983606559</v>
      </c>
    </row>
    <row r="7801" spans="1:12" x14ac:dyDescent="0.45">
      <c r="A7801" s="12" t="s">
        <v>13529</v>
      </c>
      <c r="B7801" s="12" t="s">
        <v>3014</v>
      </c>
      <c r="C7801" s="13" t="s">
        <v>3015</v>
      </c>
      <c r="D7801" s="13" t="s">
        <v>158</v>
      </c>
      <c r="E7801" s="12" t="s">
        <v>35</v>
      </c>
      <c r="F7801" s="14">
        <v>142000</v>
      </c>
      <c r="G7801" s="14">
        <v>110000</v>
      </c>
      <c r="H7801" s="13" t="s">
        <v>13618</v>
      </c>
      <c r="I7801" s="40" t="s">
        <v>18</v>
      </c>
      <c r="J7801" s="40" t="str">
        <f>HYPERLINK("https://stock.pstatic.net/stock-research/company/18/20251103_company_772998000.pdf","PDF")</f>
        <v>PDF</v>
      </c>
      <c r="K7801" s="12" t="s">
        <v>13619</v>
      </c>
      <c r="L7801" s="20">
        <v>0.29090909090909089</v>
      </c>
    </row>
    <row r="7802" spans="1:12" x14ac:dyDescent="0.45">
      <c r="A7802" s="12" t="s">
        <v>13529</v>
      </c>
      <c r="B7802" s="12" t="s">
        <v>2944</v>
      </c>
      <c r="C7802" s="13" t="s">
        <v>2945</v>
      </c>
      <c r="D7802" s="13" t="s">
        <v>158</v>
      </c>
      <c r="E7802" s="12" t="s">
        <v>35</v>
      </c>
      <c r="F7802" s="14">
        <v>18000</v>
      </c>
      <c r="G7802" s="14">
        <v>13810</v>
      </c>
      <c r="H7802" s="13" t="s">
        <v>13620</v>
      </c>
      <c r="I7802" s="40" t="s">
        <v>18</v>
      </c>
      <c r="J7802" s="40" t="str">
        <f>HYPERLINK("https://stock.pstatic.net/stock-research/company/18/20251103_company_553175000.pdf","PDF")</f>
        <v>PDF</v>
      </c>
      <c r="K7802" s="12" t="s">
        <v>13621</v>
      </c>
      <c r="L7802" s="20">
        <v>0.30340333091962352</v>
      </c>
    </row>
    <row r="7803" spans="1:12" x14ac:dyDescent="0.45">
      <c r="A7803" s="12" t="s">
        <v>13529</v>
      </c>
      <c r="B7803" s="12" t="s">
        <v>6347</v>
      </c>
      <c r="C7803" s="13" t="s">
        <v>6348</v>
      </c>
      <c r="D7803" s="13" t="s">
        <v>158</v>
      </c>
      <c r="E7803" s="12" t="s">
        <v>50</v>
      </c>
      <c r="F7803" s="13"/>
      <c r="G7803" s="14">
        <v>33750</v>
      </c>
      <c r="H7803" s="13" t="s">
        <v>13622</v>
      </c>
      <c r="I7803" s="40" t="s">
        <v>18</v>
      </c>
      <c r="J7803" s="40" t="str">
        <f>HYPERLINK("https://stock.pstatic.net/stock-research/company/18/20251103_company_129029000.pdf","PDF")</f>
        <v>PDF</v>
      </c>
      <c r="K7803" s="12" t="s">
        <v>13623</v>
      </c>
    </row>
    <row r="7804" spans="1:12" x14ac:dyDescent="0.45">
      <c r="A7804" s="12" t="s">
        <v>13529</v>
      </c>
      <c r="B7804" s="12" t="s">
        <v>2849</v>
      </c>
      <c r="C7804" s="13" t="s">
        <v>2850</v>
      </c>
      <c r="D7804" s="13" t="s">
        <v>158</v>
      </c>
      <c r="E7804" s="12" t="s">
        <v>50</v>
      </c>
      <c r="F7804" s="13"/>
      <c r="G7804" s="14">
        <v>8130</v>
      </c>
      <c r="H7804" s="13" t="s">
        <v>13624</v>
      </c>
      <c r="I7804" s="40" t="s">
        <v>18</v>
      </c>
      <c r="J7804" s="40" t="str">
        <f>HYPERLINK("https://stock.pstatic.net/stock-research/company/18/20251103_company_300076000.pdf","PDF")</f>
        <v>PDF</v>
      </c>
      <c r="K7804" s="12" t="s">
        <v>13625</v>
      </c>
    </row>
    <row r="7805" spans="1:12" x14ac:dyDescent="0.45">
      <c r="A7805" s="12" t="s">
        <v>13529</v>
      </c>
      <c r="B7805" s="12" t="s">
        <v>3530</v>
      </c>
      <c r="C7805" s="13" t="s">
        <v>3531</v>
      </c>
      <c r="D7805" s="13" t="s">
        <v>158</v>
      </c>
      <c r="E7805" s="12" t="s">
        <v>35</v>
      </c>
      <c r="F7805" s="14">
        <v>13800</v>
      </c>
      <c r="G7805" s="14">
        <v>8520</v>
      </c>
      <c r="H7805" s="13" t="s">
        <v>13626</v>
      </c>
      <c r="I7805" s="40" t="s">
        <v>18</v>
      </c>
      <c r="J7805" s="40" t="str">
        <f>HYPERLINK("https://stock.pstatic.net/stock-research/company/18/20251103_company_960921000.pdf","PDF")</f>
        <v>PDF</v>
      </c>
      <c r="K7805" s="12" t="s">
        <v>13627</v>
      </c>
      <c r="L7805" s="20">
        <v>0.61971830985915488</v>
      </c>
    </row>
    <row r="7806" spans="1:12" x14ac:dyDescent="0.45">
      <c r="A7806" s="12" t="s">
        <v>13529</v>
      </c>
      <c r="B7806" s="12" t="s">
        <v>3492</v>
      </c>
      <c r="C7806" s="13" t="s">
        <v>3493</v>
      </c>
      <c r="D7806" s="13" t="s">
        <v>15</v>
      </c>
      <c r="E7806" s="12" t="s">
        <v>385</v>
      </c>
      <c r="F7806" s="14">
        <v>21000</v>
      </c>
      <c r="G7806" s="14">
        <v>19330</v>
      </c>
      <c r="H7806" s="13" t="s">
        <v>13628</v>
      </c>
      <c r="I7806" s="40" t="s">
        <v>18</v>
      </c>
      <c r="J7806" s="40" t="str">
        <f>HYPERLINK("https://stock.pstatic.net/stock-research/company/29/20251103_company_404137000.pdf","PDF")</f>
        <v>PDF</v>
      </c>
      <c r="K7806" s="12" t="s">
        <v>13629</v>
      </c>
      <c r="L7806" s="20">
        <v>8.6394205897568549E-2</v>
      </c>
    </row>
    <row r="7807" spans="1:12" x14ac:dyDescent="0.45">
      <c r="A7807" s="12" t="s">
        <v>13529</v>
      </c>
      <c r="B7807" s="12" t="s">
        <v>3482</v>
      </c>
      <c r="C7807" s="13" t="s">
        <v>3483</v>
      </c>
      <c r="D7807" s="13" t="s">
        <v>15</v>
      </c>
      <c r="E7807" s="12" t="s">
        <v>16</v>
      </c>
      <c r="F7807" s="14">
        <v>145000</v>
      </c>
      <c r="G7807" s="14">
        <v>85500</v>
      </c>
      <c r="H7807" s="13" t="s">
        <v>13630</v>
      </c>
      <c r="I7807" s="40" t="s">
        <v>18</v>
      </c>
      <c r="J7807" s="40" t="str">
        <f>HYPERLINK("https://stock.pstatic.net/stock-research/company/29/20251103_company_734476000.pdf","PDF")</f>
        <v>PDF</v>
      </c>
      <c r="K7807" s="12" t="s">
        <v>13631</v>
      </c>
      <c r="L7807" s="20">
        <v>0.69590643274853803</v>
      </c>
    </row>
    <row r="7808" spans="1:12" x14ac:dyDescent="0.45">
      <c r="A7808" s="12" t="s">
        <v>13529</v>
      </c>
      <c r="B7808" s="12" t="s">
        <v>3688</v>
      </c>
      <c r="C7808" s="13" t="s">
        <v>3689</v>
      </c>
      <c r="D7808" s="13" t="s">
        <v>15</v>
      </c>
      <c r="E7808" s="12" t="s">
        <v>16</v>
      </c>
      <c r="F7808" s="14">
        <v>106000</v>
      </c>
      <c r="G7808" s="14">
        <v>73300</v>
      </c>
      <c r="H7808" s="13" t="s">
        <v>13632</v>
      </c>
      <c r="I7808" s="40" t="s">
        <v>18</v>
      </c>
      <c r="J7808" s="40" t="str">
        <f>HYPERLINK("https://stock.pstatic.net/stock-research/company/29/20251103_company_900557000.pdf","PDF")</f>
        <v>PDF</v>
      </c>
      <c r="K7808" s="12" t="s">
        <v>13633</v>
      </c>
      <c r="L7808" s="20">
        <v>0.44611186903137789</v>
      </c>
    </row>
    <row r="7809" spans="1:12" x14ac:dyDescent="0.45">
      <c r="A7809" s="12" t="s">
        <v>13529</v>
      </c>
      <c r="B7809" s="12" t="s">
        <v>3373</v>
      </c>
      <c r="C7809" s="13" t="s">
        <v>3374</v>
      </c>
      <c r="D7809" s="13" t="s">
        <v>15</v>
      </c>
      <c r="E7809" s="12" t="s">
        <v>16</v>
      </c>
      <c r="F7809" s="14">
        <v>184000</v>
      </c>
      <c r="G7809" s="14">
        <v>116600</v>
      </c>
      <c r="H7809" s="13" t="s">
        <v>13634</v>
      </c>
      <c r="I7809" s="40" t="s">
        <v>18</v>
      </c>
      <c r="J7809" s="40" t="str">
        <f>HYPERLINK("https://stock.pstatic.net/stock-research/company/29/20251103_company_24998000.pdf","PDF")</f>
        <v>PDF</v>
      </c>
      <c r="K7809" s="12" t="s">
        <v>13635</v>
      </c>
      <c r="L7809" s="20">
        <v>0.57804459691252141</v>
      </c>
    </row>
    <row r="7810" spans="1:12" x14ac:dyDescent="0.45">
      <c r="A7810" s="12" t="s">
        <v>13529</v>
      </c>
      <c r="B7810" s="12" t="s">
        <v>2887</v>
      </c>
      <c r="C7810" s="13" t="s">
        <v>2888</v>
      </c>
      <c r="D7810" s="13" t="s">
        <v>15</v>
      </c>
      <c r="E7810" s="12" t="s">
        <v>16</v>
      </c>
      <c r="F7810" s="14">
        <v>480000</v>
      </c>
      <c r="G7810" s="14">
        <v>397500</v>
      </c>
      <c r="H7810" s="13" t="s">
        <v>13636</v>
      </c>
      <c r="I7810" s="40" t="s">
        <v>18</v>
      </c>
      <c r="J7810" s="40" t="str">
        <f>HYPERLINK("https://stock.pstatic.net/stock-research/company/29/20251103_company_352144000.pdf","PDF")</f>
        <v>PDF</v>
      </c>
      <c r="K7810" s="12" t="s">
        <v>13637</v>
      </c>
      <c r="L7810" s="20">
        <v>0.20754716981132079</v>
      </c>
    </row>
    <row r="7811" spans="1:12" x14ac:dyDescent="0.45">
      <c r="A7811" s="12" t="s">
        <v>13529</v>
      </c>
      <c r="B7811" s="12" t="s">
        <v>2762</v>
      </c>
      <c r="C7811" s="13" t="s">
        <v>2763</v>
      </c>
      <c r="D7811" s="13" t="s">
        <v>15</v>
      </c>
      <c r="E7811" s="12" t="s">
        <v>385</v>
      </c>
      <c r="F7811" s="14">
        <v>75000</v>
      </c>
      <c r="G7811" s="14">
        <v>72700</v>
      </c>
      <c r="H7811" s="13" t="s">
        <v>13638</v>
      </c>
      <c r="I7811" s="40" t="s">
        <v>18</v>
      </c>
      <c r="J7811" s="40" t="str">
        <f>HYPERLINK("https://stock.pstatic.net/stock-research/company/29/20251103_company_546298000.pdf","PDF")</f>
        <v>PDF</v>
      </c>
      <c r="K7811" s="12" t="s">
        <v>13639</v>
      </c>
      <c r="L7811" s="20">
        <v>3.1636863823933978E-2</v>
      </c>
    </row>
    <row r="7812" spans="1:12" x14ac:dyDescent="0.45">
      <c r="A7812" s="12" t="s">
        <v>13529</v>
      </c>
      <c r="B7812" s="12" t="s">
        <v>577</v>
      </c>
      <c r="C7812" s="13" t="s">
        <v>578</v>
      </c>
      <c r="D7812" s="13" t="s">
        <v>92</v>
      </c>
      <c r="E7812" s="12" t="s">
        <v>35</v>
      </c>
      <c r="F7812" s="14">
        <v>390000</v>
      </c>
      <c r="G7812" s="14">
        <v>316000</v>
      </c>
      <c r="H7812" s="13" t="s">
        <v>13640</v>
      </c>
      <c r="I7812" s="40" t="s">
        <v>18</v>
      </c>
      <c r="J7812" s="40" t="str">
        <f>HYPERLINK("https://stock.pstatic.net/stock-research/company/63/20251103_company_870928000.pdf","PDF")</f>
        <v>PDF</v>
      </c>
      <c r="K7812" s="12" t="s">
        <v>13641</v>
      </c>
      <c r="L7812" s="20">
        <v>0.23417721518987339</v>
      </c>
    </row>
    <row r="7813" spans="1:12" x14ac:dyDescent="0.45">
      <c r="A7813" s="12" t="s">
        <v>13529</v>
      </c>
      <c r="B7813" s="12" t="s">
        <v>1765</v>
      </c>
      <c r="C7813" s="13" t="s">
        <v>1766</v>
      </c>
      <c r="D7813" s="13" t="s">
        <v>92</v>
      </c>
      <c r="E7813" s="12" t="s">
        <v>159</v>
      </c>
      <c r="F7813" s="14">
        <v>120000</v>
      </c>
      <c r="G7813" s="14">
        <v>119900</v>
      </c>
      <c r="H7813" s="13" t="s">
        <v>13642</v>
      </c>
      <c r="I7813" s="40" t="s">
        <v>18</v>
      </c>
      <c r="J7813" s="40" t="str">
        <f>HYPERLINK("https://stock.pstatic.net/stock-research/company/63/20251103_company_848155000.pdf","PDF")</f>
        <v>PDF</v>
      </c>
      <c r="K7813" s="12" t="s">
        <v>13643</v>
      </c>
      <c r="L7813" s="20">
        <v>8.3402835696413675E-4</v>
      </c>
    </row>
    <row r="7814" spans="1:12" x14ac:dyDescent="0.45">
      <c r="A7814" s="12" t="s">
        <v>13529</v>
      </c>
      <c r="B7814" s="12" t="s">
        <v>2777</v>
      </c>
      <c r="C7814" s="13" t="s">
        <v>2778</v>
      </c>
      <c r="D7814" s="13" t="s">
        <v>92</v>
      </c>
      <c r="E7814" s="12" t="s">
        <v>35</v>
      </c>
      <c r="F7814" s="14">
        <v>240000</v>
      </c>
      <c r="G7814" s="14">
        <v>203500</v>
      </c>
      <c r="H7814" s="13" t="s">
        <v>13644</v>
      </c>
      <c r="I7814" s="40" t="s">
        <v>18</v>
      </c>
      <c r="J7814" s="40" t="str">
        <f>HYPERLINK("https://stock.pstatic.net/stock-research/company/63/20251103_company_759895000.pdf","PDF")</f>
        <v>PDF</v>
      </c>
      <c r="K7814" s="12" t="s">
        <v>13645</v>
      </c>
      <c r="L7814" s="20">
        <v>0.1793611793611794</v>
      </c>
    </row>
    <row r="7815" spans="1:12" x14ac:dyDescent="0.45">
      <c r="A7815" s="12" t="s">
        <v>13529</v>
      </c>
      <c r="B7815" s="12" t="s">
        <v>5597</v>
      </c>
      <c r="C7815" s="13" t="s">
        <v>5598</v>
      </c>
      <c r="D7815" s="13" t="s">
        <v>53</v>
      </c>
      <c r="E7815" s="12" t="s">
        <v>16</v>
      </c>
      <c r="F7815" s="14">
        <v>100000</v>
      </c>
      <c r="G7815" s="14">
        <v>74100</v>
      </c>
      <c r="H7815" s="13" t="s">
        <v>13646</v>
      </c>
      <c r="I7815" s="40" t="s">
        <v>18</v>
      </c>
      <c r="J7815" s="40" t="str">
        <f>HYPERLINK("https://stock.pstatic.net/stock-research/company/40/20251103_company_519723000.pdf","PDF")</f>
        <v>PDF</v>
      </c>
      <c r="K7815" s="12" t="s">
        <v>13647</v>
      </c>
      <c r="L7815" s="20">
        <v>0.34952766531713902</v>
      </c>
    </row>
    <row r="7816" spans="1:12" x14ac:dyDescent="0.45">
      <c r="A7816" s="12" t="s">
        <v>13529</v>
      </c>
      <c r="B7816" s="12" t="s">
        <v>3204</v>
      </c>
      <c r="C7816" s="13" t="s">
        <v>3205</v>
      </c>
      <c r="D7816" s="13" t="s">
        <v>15</v>
      </c>
      <c r="E7816" s="12" t="s">
        <v>16</v>
      </c>
      <c r="F7816" s="14">
        <v>5400</v>
      </c>
      <c r="G7816" s="14">
        <v>3750</v>
      </c>
      <c r="H7816" s="13" t="s">
        <v>13648</v>
      </c>
      <c r="I7816" s="40" t="s">
        <v>18</v>
      </c>
      <c r="J7816" s="40" t="str">
        <f>HYPERLINK("https://stock.pstatic.net/stock-research/company/29/20251103_company_35331000.pdf","PDF")</f>
        <v>PDF</v>
      </c>
      <c r="K7816" s="12" t="s">
        <v>13649</v>
      </c>
      <c r="L7816" s="20">
        <v>0.44</v>
      </c>
    </row>
    <row r="7817" spans="1:12" x14ac:dyDescent="0.45">
      <c r="A7817" s="12" t="s">
        <v>13529</v>
      </c>
      <c r="B7817" s="12" t="s">
        <v>3164</v>
      </c>
      <c r="C7817" s="13" t="s">
        <v>3165</v>
      </c>
      <c r="D7817" s="13" t="s">
        <v>15</v>
      </c>
      <c r="E7817" s="12" t="s">
        <v>16</v>
      </c>
      <c r="F7817" s="14">
        <v>86000</v>
      </c>
      <c r="G7817" s="14">
        <v>70300</v>
      </c>
      <c r="H7817" s="13" t="s">
        <v>13650</v>
      </c>
      <c r="I7817" s="40" t="s">
        <v>18</v>
      </c>
      <c r="J7817" s="40" t="str">
        <f>HYPERLINK("https://stock.pstatic.net/stock-research/company/29/20251103_company_875328000.pdf","PDF")</f>
        <v>PDF</v>
      </c>
      <c r="K7817" s="12" t="s">
        <v>13651</v>
      </c>
      <c r="L7817" s="20">
        <v>0.2233285917496444</v>
      </c>
    </row>
    <row r="7818" spans="1:12" x14ac:dyDescent="0.45">
      <c r="A7818" s="12" t="s">
        <v>13529</v>
      </c>
      <c r="B7818" s="12" t="s">
        <v>2837</v>
      </c>
      <c r="C7818" s="13" t="s">
        <v>2838</v>
      </c>
      <c r="D7818" s="13" t="s">
        <v>15</v>
      </c>
      <c r="E7818" s="12" t="s">
        <v>385</v>
      </c>
      <c r="F7818" s="14">
        <v>59000</v>
      </c>
      <c r="G7818" s="14">
        <v>59900</v>
      </c>
      <c r="H7818" s="13" t="s">
        <v>13652</v>
      </c>
      <c r="I7818" s="40" t="s">
        <v>18</v>
      </c>
      <c r="J7818" s="40" t="str">
        <f>HYPERLINK("https://stock.pstatic.net/stock-research/company/29/20251103_company_612483000.pdf","PDF")</f>
        <v>PDF</v>
      </c>
      <c r="K7818" s="12" t="s">
        <v>13653</v>
      </c>
      <c r="L7818" s="20">
        <v>-1.5025041736227049E-2</v>
      </c>
    </row>
    <row r="7819" spans="1:12" x14ac:dyDescent="0.45">
      <c r="A7819" s="12" t="s">
        <v>13529</v>
      </c>
      <c r="B7819" s="12" t="s">
        <v>1690</v>
      </c>
      <c r="C7819" s="13" t="s">
        <v>1691</v>
      </c>
      <c r="D7819" s="13" t="s">
        <v>15</v>
      </c>
      <c r="E7819" s="12" t="s">
        <v>16</v>
      </c>
      <c r="F7819" s="14">
        <v>156000</v>
      </c>
      <c r="G7819" s="14">
        <v>128900</v>
      </c>
      <c r="H7819" s="13" t="s">
        <v>13654</v>
      </c>
      <c r="I7819" s="40" t="s">
        <v>18</v>
      </c>
      <c r="J7819" s="40" t="str">
        <f>HYPERLINK("https://stock.pstatic.net/stock-research/company/29/20251103_company_771115000.pdf","PDF")</f>
        <v>PDF</v>
      </c>
      <c r="K7819" s="12" t="s">
        <v>13655</v>
      </c>
      <c r="L7819" s="20">
        <v>0.21024049650892171</v>
      </c>
    </row>
    <row r="7820" spans="1:12" x14ac:dyDescent="0.45">
      <c r="A7820" s="12" t="s">
        <v>13529</v>
      </c>
      <c r="B7820" s="12" t="s">
        <v>577</v>
      </c>
      <c r="C7820" s="13" t="s">
        <v>578</v>
      </c>
      <c r="D7820" s="13" t="s">
        <v>15</v>
      </c>
      <c r="E7820" s="12" t="s">
        <v>16</v>
      </c>
      <c r="F7820" s="14">
        <v>380000</v>
      </c>
      <c r="G7820" s="14">
        <v>316000</v>
      </c>
      <c r="H7820" s="13" t="s">
        <v>13656</v>
      </c>
      <c r="I7820" s="40" t="s">
        <v>18</v>
      </c>
      <c r="J7820" s="40" t="str">
        <f>HYPERLINK("https://stock.pstatic.net/stock-research/company/29/20251103_company_833557000.pdf","PDF")</f>
        <v>PDF</v>
      </c>
      <c r="K7820" s="12" t="s">
        <v>13657</v>
      </c>
      <c r="L7820" s="20">
        <v>0.20253164556962031</v>
      </c>
    </row>
    <row r="7821" spans="1:12" x14ac:dyDescent="0.45">
      <c r="A7821" s="12" t="s">
        <v>13529</v>
      </c>
      <c r="B7821" s="12" t="s">
        <v>2883</v>
      </c>
      <c r="C7821" s="13" t="s">
        <v>2884</v>
      </c>
      <c r="D7821" s="13" t="s">
        <v>92</v>
      </c>
      <c r="E7821" s="12" t="s">
        <v>35</v>
      </c>
      <c r="F7821" s="14">
        <v>79000</v>
      </c>
      <c r="G7821" s="14">
        <v>59400</v>
      </c>
      <c r="H7821" s="13" t="s">
        <v>13658</v>
      </c>
      <c r="I7821" s="40" t="s">
        <v>18</v>
      </c>
      <c r="J7821" s="40" t="str">
        <f>HYPERLINK("https://stock.pstatic.net/stock-research/company/63/20251103_company_437954000.pdf","PDF")</f>
        <v>PDF</v>
      </c>
      <c r="K7821" s="12" t="s">
        <v>13659</v>
      </c>
      <c r="L7821" s="20">
        <v>0.32996632996633002</v>
      </c>
    </row>
    <row r="7822" spans="1:12" x14ac:dyDescent="0.45">
      <c r="A7822" s="12" t="s">
        <v>13529</v>
      </c>
      <c r="B7822" s="12" t="s">
        <v>1765</v>
      </c>
      <c r="C7822" s="13" t="s">
        <v>1766</v>
      </c>
      <c r="D7822" s="13" t="s">
        <v>15</v>
      </c>
      <c r="E7822" s="12" t="s">
        <v>16</v>
      </c>
      <c r="F7822" s="14">
        <v>150000</v>
      </c>
      <c r="G7822" s="14">
        <v>119900</v>
      </c>
      <c r="H7822" s="13" t="s">
        <v>13660</v>
      </c>
      <c r="I7822" s="40" t="s">
        <v>18</v>
      </c>
      <c r="J7822" s="40" t="str">
        <f>HYPERLINK("https://stock.pstatic.net/stock-research/company/29/20251103_company_266647000.pdf","PDF")</f>
        <v>PDF</v>
      </c>
      <c r="K7822" s="12" t="s">
        <v>13661</v>
      </c>
      <c r="L7822" s="20">
        <v>0.2510425354462052</v>
      </c>
    </row>
    <row r="7823" spans="1:12" x14ac:dyDescent="0.45">
      <c r="A7823" s="12" t="s">
        <v>13529</v>
      </c>
      <c r="B7823" s="12" t="s">
        <v>63</v>
      </c>
      <c r="C7823" s="13" t="s">
        <v>64</v>
      </c>
      <c r="D7823" s="13" t="s">
        <v>92</v>
      </c>
      <c r="E7823" s="12" t="s">
        <v>35</v>
      </c>
      <c r="F7823" s="14">
        <v>510000</v>
      </c>
      <c r="G7823" s="14">
        <v>425000</v>
      </c>
      <c r="H7823" s="13" t="s">
        <v>13662</v>
      </c>
      <c r="I7823" s="40" t="s">
        <v>18</v>
      </c>
      <c r="J7823" s="40" t="str">
        <f>HYPERLINK("https://stock.pstatic.net/stock-research/company/63/20251103_company_982682000.pdf","PDF")</f>
        <v>PDF</v>
      </c>
      <c r="K7823" s="12" t="s">
        <v>13663</v>
      </c>
      <c r="L7823" s="20">
        <v>0.2</v>
      </c>
    </row>
    <row r="7824" spans="1:12" x14ac:dyDescent="0.45">
      <c r="A7824" s="12" t="s">
        <v>13529</v>
      </c>
      <c r="B7824" s="12" t="s">
        <v>1765</v>
      </c>
      <c r="C7824" s="13" t="s">
        <v>1766</v>
      </c>
      <c r="D7824" s="13" t="s">
        <v>179</v>
      </c>
      <c r="E7824" s="12" t="s">
        <v>16</v>
      </c>
      <c r="F7824" s="14">
        <v>160000</v>
      </c>
      <c r="G7824" s="14">
        <v>119900</v>
      </c>
      <c r="H7824" s="13" t="s">
        <v>13664</v>
      </c>
      <c r="I7824" s="40" t="s">
        <v>18</v>
      </c>
      <c r="J7824" s="40" t="str">
        <f>HYPERLINK("https://stock.pstatic.net/stock-research/company/64/20251103_company_481676000.pdf","PDF")</f>
        <v>PDF</v>
      </c>
      <c r="K7824" s="12" t="s">
        <v>13665</v>
      </c>
      <c r="L7824" s="20">
        <v>0.33444537114261891</v>
      </c>
    </row>
    <row r="7825" spans="1:12" x14ac:dyDescent="0.45">
      <c r="A7825" s="12" t="s">
        <v>13529</v>
      </c>
      <c r="B7825" s="12" t="s">
        <v>1690</v>
      </c>
      <c r="C7825" s="13" t="s">
        <v>1691</v>
      </c>
      <c r="D7825" s="13" t="s">
        <v>92</v>
      </c>
      <c r="E7825" s="12" t="s">
        <v>35</v>
      </c>
      <c r="F7825" s="14">
        <v>140000</v>
      </c>
      <c r="G7825" s="14">
        <v>128900</v>
      </c>
      <c r="H7825" s="13" t="s">
        <v>13666</v>
      </c>
      <c r="I7825" s="40" t="s">
        <v>18</v>
      </c>
      <c r="J7825" s="40" t="str">
        <f>HYPERLINK("https://stock.pstatic.net/stock-research/company/63/20251103_company_111713000.pdf","PDF")</f>
        <v>PDF</v>
      </c>
      <c r="K7825" s="12" t="s">
        <v>13667</v>
      </c>
      <c r="L7825" s="20">
        <v>8.6113266097750191E-2</v>
      </c>
    </row>
    <row r="7826" spans="1:12" x14ac:dyDescent="0.45">
      <c r="A7826" s="12" t="s">
        <v>13529</v>
      </c>
      <c r="B7826" s="12" t="s">
        <v>1781</v>
      </c>
      <c r="C7826" s="13" t="s">
        <v>1782</v>
      </c>
      <c r="D7826" s="13" t="s">
        <v>53</v>
      </c>
      <c r="E7826" s="12" t="s">
        <v>16</v>
      </c>
      <c r="F7826" s="14">
        <v>120000</v>
      </c>
      <c r="G7826" s="14">
        <v>87600</v>
      </c>
      <c r="H7826" s="13" t="s">
        <v>13668</v>
      </c>
      <c r="I7826" s="40" t="s">
        <v>18</v>
      </c>
      <c r="J7826" s="40" t="str">
        <f>HYPERLINK("https://stock.pstatic.net/stock-research/company/40/20251103_company_360692000.pdf","PDF")</f>
        <v>PDF</v>
      </c>
      <c r="K7826" s="12" t="s">
        <v>13669</v>
      </c>
      <c r="L7826" s="20">
        <v>0.36986301369863012</v>
      </c>
    </row>
    <row r="7827" spans="1:12" x14ac:dyDescent="0.45">
      <c r="A7827" s="12" t="s">
        <v>13529</v>
      </c>
      <c r="B7827" s="12" t="s">
        <v>1946</v>
      </c>
      <c r="C7827" s="13" t="s">
        <v>1947</v>
      </c>
      <c r="D7827" s="13" t="s">
        <v>92</v>
      </c>
      <c r="E7827" s="12" t="s">
        <v>35</v>
      </c>
      <c r="F7827" s="14">
        <v>27000</v>
      </c>
      <c r="G7827" s="14">
        <v>21200</v>
      </c>
      <c r="H7827" s="13" t="s">
        <v>13670</v>
      </c>
      <c r="I7827" s="40" t="s">
        <v>18</v>
      </c>
      <c r="J7827" s="40" t="str">
        <f>HYPERLINK("https://stock.pstatic.net/stock-research/company/63/20251103_company_189905000.pdf","PDF")</f>
        <v>PDF</v>
      </c>
      <c r="K7827" s="12" t="s">
        <v>13671</v>
      </c>
      <c r="L7827" s="20">
        <v>0.27358490566037741</v>
      </c>
    </row>
    <row r="7828" spans="1:12" x14ac:dyDescent="0.45">
      <c r="A7828" s="12" t="s">
        <v>13529</v>
      </c>
      <c r="B7828" s="12" t="s">
        <v>523</v>
      </c>
      <c r="C7828" s="13" t="s">
        <v>524</v>
      </c>
      <c r="D7828" s="13" t="s">
        <v>179</v>
      </c>
      <c r="E7828" s="12" t="s">
        <v>16</v>
      </c>
      <c r="F7828" s="14">
        <v>45000</v>
      </c>
      <c r="G7828" s="14">
        <v>23500</v>
      </c>
      <c r="H7828" s="13" t="s">
        <v>13672</v>
      </c>
      <c r="I7828" s="40" t="s">
        <v>18</v>
      </c>
      <c r="J7828" s="40" t="str">
        <f>HYPERLINK("https://stock.pstatic.net/stock-research/company/64/20251103_company_471647000.pdf","PDF")</f>
        <v>PDF</v>
      </c>
      <c r="K7828" s="12" t="s">
        <v>13673</v>
      </c>
      <c r="L7828" s="20">
        <v>0.91489361702127658</v>
      </c>
    </row>
    <row r="7829" spans="1:12" x14ac:dyDescent="0.45">
      <c r="A7829" s="12" t="s">
        <v>13529</v>
      </c>
      <c r="B7829" s="12" t="s">
        <v>577</v>
      </c>
      <c r="C7829" s="13" t="s">
        <v>578</v>
      </c>
      <c r="D7829" s="13" t="s">
        <v>179</v>
      </c>
      <c r="E7829" s="12" t="s">
        <v>16</v>
      </c>
      <c r="F7829" s="14">
        <v>390000</v>
      </c>
      <c r="G7829" s="14">
        <v>316000</v>
      </c>
      <c r="H7829" s="13" t="s">
        <v>13674</v>
      </c>
      <c r="I7829" s="40" t="s">
        <v>18</v>
      </c>
      <c r="J7829" s="40" t="str">
        <f>HYPERLINK("https://stock.pstatic.net/stock-research/company/64/20251103_company_24271000.pdf","PDF")</f>
        <v>PDF</v>
      </c>
      <c r="K7829" s="12" t="s">
        <v>13675</v>
      </c>
      <c r="L7829" s="20">
        <v>0.23417721518987339</v>
      </c>
    </row>
    <row r="7830" spans="1:12" x14ac:dyDescent="0.45">
      <c r="A7830" s="12" t="s">
        <v>13529</v>
      </c>
      <c r="B7830" s="12" t="s">
        <v>3164</v>
      </c>
      <c r="C7830" s="13" t="s">
        <v>3165</v>
      </c>
      <c r="D7830" s="13" t="s">
        <v>23</v>
      </c>
      <c r="E7830" s="12" t="s">
        <v>16</v>
      </c>
      <c r="F7830" s="14">
        <v>88000</v>
      </c>
      <c r="G7830" s="14">
        <v>70300</v>
      </c>
      <c r="H7830" s="13" t="s">
        <v>13676</v>
      </c>
      <c r="I7830" s="40" t="s">
        <v>18</v>
      </c>
      <c r="J7830" s="40" t="str">
        <f>HYPERLINK("https://stock.pstatic.net/stock-research/company/21/20251103_company_427329000.pdf","PDF")</f>
        <v>PDF</v>
      </c>
      <c r="K7830" s="12" t="s">
        <v>13677</v>
      </c>
      <c r="L7830" s="20">
        <v>0.25177809388335698</v>
      </c>
    </row>
    <row r="7831" spans="1:12" x14ac:dyDescent="0.45">
      <c r="A7831" s="12" t="s">
        <v>13529</v>
      </c>
      <c r="B7831" s="12" t="s">
        <v>1781</v>
      </c>
      <c r="C7831" s="13" t="s">
        <v>1782</v>
      </c>
      <c r="D7831" s="13" t="s">
        <v>92</v>
      </c>
      <c r="E7831" s="12" t="s">
        <v>35</v>
      </c>
      <c r="F7831" s="14">
        <v>107000</v>
      </c>
      <c r="G7831" s="14">
        <v>87600</v>
      </c>
      <c r="H7831" s="13" t="s">
        <v>13678</v>
      </c>
      <c r="I7831" s="40" t="s">
        <v>18</v>
      </c>
      <c r="J7831" s="40" t="str">
        <f>HYPERLINK("https://stock.pstatic.net/stock-research/company/63/20251103_company_327113000.pdf","PDF")</f>
        <v>PDF</v>
      </c>
      <c r="K7831" s="12" t="s">
        <v>13679</v>
      </c>
      <c r="L7831" s="20">
        <v>0.22146118721461189</v>
      </c>
    </row>
    <row r="7832" spans="1:12" x14ac:dyDescent="0.45">
      <c r="A7832" s="12" t="s">
        <v>13529</v>
      </c>
      <c r="B7832" s="12" t="s">
        <v>2777</v>
      </c>
      <c r="C7832" s="13" t="s">
        <v>2778</v>
      </c>
      <c r="D7832" s="13" t="s">
        <v>179</v>
      </c>
      <c r="E7832" s="12" t="s">
        <v>16</v>
      </c>
      <c r="F7832" s="14">
        <v>240000</v>
      </c>
      <c r="G7832" s="14">
        <v>203500</v>
      </c>
      <c r="H7832" s="13" t="s">
        <v>13680</v>
      </c>
      <c r="I7832" s="40" t="s">
        <v>18</v>
      </c>
      <c r="J7832" s="40" t="str">
        <f>HYPERLINK("https://stock.pstatic.net/stock-research/company/64/20251103_company_149193000.pdf","PDF")</f>
        <v>PDF</v>
      </c>
      <c r="K7832" s="12" t="s">
        <v>13681</v>
      </c>
      <c r="L7832" s="20">
        <v>0.1793611793611794</v>
      </c>
    </row>
    <row r="7833" spans="1:12" x14ac:dyDescent="0.45">
      <c r="A7833" s="12" t="s">
        <v>13529</v>
      </c>
      <c r="B7833" s="12" t="s">
        <v>3230</v>
      </c>
      <c r="C7833" s="13" t="s">
        <v>3231</v>
      </c>
      <c r="D7833" s="13" t="s">
        <v>53</v>
      </c>
      <c r="E7833" s="12" t="s">
        <v>16</v>
      </c>
      <c r="F7833" s="14">
        <v>2600000</v>
      </c>
      <c r="G7833" s="14">
        <v>2135000</v>
      </c>
      <c r="H7833" s="13" t="s">
        <v>13682</v>
      </c>
      <c r="I7833" s="40" t="s">
        <v>18</v>
      </c>
      <c r="J7833" s="40" t="str">
        <f>HYPERLINK("https://stock.pstatic.net/stock-research/company/40/20251103_company_697981000.pdf","PDF")</f>
        <v>PDF</v>
      </c>
      <c r="K7833" s="12" t="s">
        <v>13683</v>
      </c>
      <c r="L7833" s="20">
        <v>0.2177985948477752</v>
      </c>
    </row>
    <row r="7834" spans="1:12" x14ac:dyDescent="0.45">
      <c r="A7834" s="12" t="s">
        <v>13529</v>
      </c>
      <c r="B7834" s="12" t="s">
        <v>3536</v>
      </c>
      <c r="C7834" s="13" t="s">
        <v>3537</v>
      </c>
      <c r="D7834" s="13" t="s">
        <v>23</v>
      </c>
      <c r="E7834" s="12" t="s">
        <v>16</v>
      </c>
      <c r="F7834" s="14">
        <v>300000</v>
      </c>
      <c r="G7834" s="14">
        <v>208000</v>
      </c>
      <c r="H7834" s="13" t="s">
        <v>13684</v>
      </c>
      <c r="I7834" s="40" t="s">
        <v>18</v>
      </c>
      <c r="J7834" s="40" t="str">
        <f>HYPERLINK("https://stock.pstatic.net/stock-research/company/21/20251103_company_831230000.pdf","PDF")</f>
        <v>PDF</v>
      </c>
      <c r="K7834" s="12" t="s">
        <v>13685</v>
      </c>
      <c r="L7834" s="20">
        <v>0.44230769230769229</v>
      </c>
    </row>
    <row r="7835" spans="1:12" x14ac:dyDescent="0.45">
      <c r="A7835" s="12" t="s">
        <v>13529</v>
      </c>
      <c r="B7835" s="12" t="s">
        <v>3014</v>
      </c>
      <c r="C7835" s="13" t="s">
        <v>3015</v>
      </c>
      <c r="D7835" s="13" t="s">
        <v>23</v>
      </c>
      <c r="E7835" s="12" t="s">
        <v>16</v>
      </c>
      <c r="F7835" s="14">
        <v>145000</v>
      </c>
      <c r="G7835" s="14">
        <v>110000</v>
      </c>
      <c r="H7835" s="13" t="s">
        <v>13686</v>
      </c>
      <c r="I7835" s="40" t="s">
        <v>18</v>
      </c>
      <c r="J7835" s="40" t="str">
        <f>HYPERLINK("https://stock.pstatic.net/stock-research/company/21/20251103_company_743206000.pdf","PDF")</f>
        <v>PDF</v>
      </c>
      <c r="K7835" s="12" t="s">
        <v>13687</v>
      </c>
      <c r="L7835" s="20">
        <v>0.31818181818181818</v>
      </c>
    </row>
    <row r="7836" spans="1:12" x14ac:dyDescent="0.45">
      <c r="A7836" s="12" t="s">
        <v>13529</v>
      </c>
      <c r="B7836" s="12" t="s">
        <v>2887</v>
      </c>
      <c r="C7836" s="13" t="s">
        <v>2888</v>
      </c>
      <c r="D7836" s="13" t="s">
        <v>23</v>
      </c>
      <c r="E7836" s="12" t="s">
        <v>16</v>
      </c>
      <c r="F7836" s="14">
        <v>530000</v>
      </c>
      <c r="G7836" s="14">
        <v>397500</v>
      </c>
      <c r="H7836" s="13" t="s">
        <v>3425</v>
      </c>
      <c r="I7836" s="40" t="s">
        <v>18</v>
      </c>
      <c r="J7836" s="40" t="str">
        <f>HYPERLINK("https://stock.pstatic.net/stock-research/company/21/20251103_company_828276000.pdf","PDF")</f>
        <v>PDF</v>
      </c>
      <c r="K7836" s="12" t="s">
        <v>13688</v>
      </c>
      <c r="L7836" s="20">
        <v>0.33333333333333331</v>
      </c>
    </row>
    <row r="7837" spans="1:12" x14ac:dyDescent="0.45">
      <c r="A7837" s="12" t="s">
        <v>13529</v>
      </c>
      <c r="B7837" s="12" t="s">
        <v>1765</v>
      </c>
      <c r="C7837" s="13" t="s">
        <v>1766</v>
      </c>
      <c r="D7837" s="13" t="s">
        <v>23</v>
      </c>
      <c r="E7837" s="12" t="s">
        <v>16</v>
      </c>
      <c r="F7837" s="14">
        <v>150000</v>
      </c>
      <c r="G7837" s="14">
        <v>119900</v>
      </c>
      <c r="H7837" s="13" t="s">
        <v>13689</v>
      </c>
      <c r="I7837" s="40" t="s">
        <v>18</v>
      </c>
      <c r="J7837" s="40" t="str">
        <f>HYPERLINK("https://stock.pstatic.net/stock-research/company/21/20251103_company_257521000.pdf","PDF")</f>
        <v>PDF</v>
      </c>
      <c r="K7837" s="12" t="s">
        <v>13690</v>
      </c>
      <c r="L7837" s="20">
        <v>0.2510425354462052</v>
      </c>
    </row>
    <row r="7838" spans="1:12" x14ac:dyDescent="0.45">
      <c r="A7838" s="12" t="s">
        <v>13529</v>
      </c>
      <c r="B7838" s="12" t="s">
        <v>3230</v>
      </c>
      <c r="C7838" s="13" t="s">
        <v>3231</v>
      </c>
      <c r="D7838" s="13" t="s">
        <v>179</v>
      </c>
      <c r="E7838" s="12" t="s">
        <v>16</v>
      </c>
      <c r="F7838" s="14">
        <v>2500000</v>
      </c>
      <c r="G7838" s="14">
        <v>2135000</v>
      </c>
      <c r="H7838" s="13" t="s">
        <v>13691</v>
      </c>
      <c r="I7838" s="40" t="s">
        <v>18</v>
      </c>
      <c r="J7838" s="40" t="str">
        <f>HYPERLINK("https://stock.pstatic.net/stock-research/company/64/20251103_company_947920000.pdf","PDF")</f>
        <v>PDF</v>
      </c>
      <c r="K7838" s="12" t="s">
        <v>13692</v>
      </c>
      <c r="L7838" s="20">
        <v>0.17096018735363</v>
      </c>
    </row>
    <row r="7839" spans="1:12" x14ac:dyDescent="0.45">
      <c r="A7839" s="12" t="s">
        <v>13529</v>
      </c>
      <c r="B7839" s="12" t="s">
        <v>3164</v>
      </c>
      <c r="C7839" s="13" t="s">
        <v>3165</v>
      </c>
      <c r="D7839" s="13" t="s">
        <v>34</v>
      </c>
      <c r="E7839" s="12" t="s">
        <v>35</v>
      </c>
      <c r="F7839" s="14">
        <v>90000</v>
      </c>
      <c r="G7839" s="14">
        <v>70300</v>
      </c>
      <c r="H7839" s="13" t="s">
        <v>13693</v>
      </c>
      <c r="I7839" s="40" t="s">
        <v>18</v>
      </c>
      <c r="J7839" s="40" t="str">
        <f>HYPERLINK("https://stock.pstatic.net/stock-research/company/61/20251103_company_771123000.pdf","PDF")</f>
        <v>PDF</v>
      </c>
      <c r="K7839" s="12" t="s">
        <v>13694</v>
      </c>
      <c r="L7839" s="20">
        <v>0.2802275960170697</v>
      </c>
    </row>
    <row r="7840" spans="1:12" x14ac:dyDescent="0.45">
      <c r="A7840" s="12" t="s">
        <v>13529</v>
      </c>
      <c r="B7840" s="12" t="s">
        <v>1781</v>
      </c>
      <c r="C7840" s="13" t="s">
        <v>1782</v>
      </c>
      <c r="D7840" s="13" t="s">
        <v>23</v>
      </c>
      <c r="E7840" s="12" t="s">
        <v>16</v>
      </c>
      <c r="F7840" s="14">
        <v>110000</v>
      </c>
      <c r="G7840" s="14">
        <v>87600</v>
      </c>
      <c r="H7840" s="13" t="s">
        <v>13695</v>
      </c>
      <c r="I7840" s="40" t="s">
        <v>18</v>
      </c>
      <c r="J7840" s="40" t="str">
        <f>HYPERLINK("https://stock.pstatic.net/stock-research/company/21/20251103_company_966424000.pdf","PDF")</f>
        <v>PDF</v>
      </c>
      <c r="K7840" s="12" t="s">
        <v>13696</v>
      </c>
      <c r="L7840" s="20">
        <v>0.25570776255707761</v>
      </c>
    </row>
    <row r="7841" spans="1:12" x14ac:dyDescent="0.45">
      <c r="A7841" s="12" t="s">
        <v>13529</v>
      </c>
      <c r="B7841" s="12" t="s">
        <v>1690</v>
      </c>
      <c r="C7841" s="13" t="s">
        <v>1691</v>
      </c>
      <c r="D7841" s="13" t="s">
        <v>23</v>
      </c>
      <c r="E7841" s="12" t="s">
        <v>16</v>
      </c>
      <c r="F7841" s="14">
        <v>160000</v>
      </c>
      <c r="G7841" s="14">
        <v>128900</v>
      </c>
      <c r="H7841" s="13" t="s">
        <v>13697</v>
      </c>
      <c r="I7841" s="40" t="s">
        <v>18</v>
      </c>
      <c r="J7841" s="40" t="str">
        <f>HYPERLINK("https://stock.pstatic.net/stock-research/company/21/20251103_company_880585000.pdf","PDF")</f>
        <v>PDF</v>
      </c>
      <c r="K7841" s="12" t="s">
        <v>13698</v>
      </c>
      <c r="L7841" s="20">
        <v>0.24127230411171449</v>
      </c>
    </row>
    <row r="7842" spans="1:12" x14ac:dyDescent="0.45">
      <c r="A7842" s="12" t="s">
        <v>13529</v>
      </c>
      <c r="B7842" s="12" t="s">
        <v>5355</v>
      </c>
      <c r="C7842" s="13" t="s">
        <v>5356</v>
      </c>
      <c r="D7842" s="13" t="s">
        <v>23</v>
      </c>
      <c r="E7842" s="12" t="s">
        <v>50</v>
      </c>
      <c r="F7842" s="13"/>
      <c r="G7842" s="14">
        <v>54300</v>
      </c>
      <c r="H7842" s="13" t="s">
        <v>13699</v>
      </c>
      <c r="I7842" s="40" t="s">
        <v>18</v>
      </c>
      <c r="J7842" s="40" t="str">
        <f>HYPERLINK("https://stock.pstatic.net/stock-research/company/21/20251103_company_708170000.pdf","PDF")</f>
        <v>PDF</v>
      </c>
      <c r="K7842" s="12" t="s">
        <v>13700</v>
      </c>
    </row>
    <row r="7843" spans="1:12" x14ac:dyDescent="0.45">
      <c r="A7843" s="12" t="s">
        <v>13529</v>
      </c>
      <c r="B7843" s="12" t="s">
        <v>2762</v>
      </c>
      <c r="C7843" s="13" t="s">
        <v>2763</v>
      </c>
      <c r="D7843" s="13" t="s">
        <v>92</v>
      </c>
      <c r="E7843" s="12" t="s">
        <v>35</v>
      </c>
      <c r="F7843" s="14">
        <v>95000</v>
      </c>
      <c r="G7843" s="14">
        <v>72700</v>
      </c>
      <c r="H7843" s="13" t="s">
        <v>13701</v>
      </c>
      <c r="I7843" s="40" t="s">
        <v>18</v>
      </c>
      <c r="J7843" s="40" t="str">
        <f>HYPERLINK("https://stock.pstatic.net/stock-research/company/63/20251103_company_537163000.pdf","PDF")</f>
        <v>PDF</v>
      </c>
      <c r="K7843" s="12" t="s">
        <v>13702</v>
      </c>
      <c r="L7843" s="20">
        <v>0.30674002751031643</v>
      </c>
    </row>
    <row r="7844" spans="1:12" x14ac:dyDescent="0.45">
      <c r="A7844" s="12" t="s">
        <v>13529</v>
      </c>
      <c r="B7844" s="12" t="s">
        <v>3230</v>
      </c>
      <c r="C7844" s="13" t="s">
        <v>3231</v>
      </c>
      <c r="D7844" s="13" t="s">
        <v>23</v>
      </c>
      <c r="E7844" s="12" t="s">
        <v>16</v>
      </c>
      <c r="F7844" s="14">
        <v>2500000</v>
      </c>
      <c r="G7844" s="14">
        <v>2135000</v>
      </c>
      <c r="H7844" s="13" t="s">
        <v>13703</v>
      </c>
      <c r="I7844" s="40" t="s">
        <v>18</v>
      </c>
      <c r="J7844" s="40" t="str">
        <f>HYPERLINK("https://stock.pstatic.net/stock-research/company/21/20251103_company_100298000.pdf","PDF")</f>
        <v>PDF</v>
      </c>
      <c r="K7844" s="12" t="s">
        <v>13704</v>
      </c>
      <c r="L7844" s="20">
        <v>0.17096018735363</v>
      </c>
    </row>
    <row r="7845" spans="1:12" x14ac:dyDescent="0.45">
      <c r="A7845" s="12" t="s">
        <v>13529</v>
      </c>
      <c r="B7845" s="12" t="s">
        <v>1530</v>
      </c>
      <c r="C7845" s="13" t="s">
        <v>1531</v>
      </c>
      <c r="D7845" s="13" t="s">
        <v>92</v>
      </c>
      <c r="E7845" s="12" t="s">
        <v>35</v>
      </c>
      <c r="F7845" s="14">
        <v>40000</v>
      </c>
      <c r="G7845" s="14">
        <v>30700</v>
      </c>
      <c r="H7845" s="13" t="s">
        <v>13705</v>
      </c>
      <c r="I7845" s="40" t="s">
        <v>18</v>
      </c>
      <c r="J7845" s="40" t="str">
        <f>HYPERLINK("https://stock.pstatic.net/stock-research/company/63/20251103_company_698818000.pdf","PDF")</f>
        <v>PDF</v>
      </c>
      <c r="K7845" s="12" t="s">
        <v>13706</v>
      </c>
      <c r="L7845" s="20">
        <v>0.30293159609120518</v>
      </c>
    </row>
    <row r="7846" spans="1:12" x14ac:dyDescent="0.45">
      <c r="A7846" s="12" t="s">
        <v>13529</v>
      </c>
      <c r="B7846" s="12" t="s">
        <v>3536</v>
      </c>
      <c r="C7846" s="13" t="s">
        <v>3537</v>
      </c>
      <c r="D7846" s="13" t="s">
        <v>44</v>
      </c>
      <c r="E7846" s="12" t="s">
        <v>35</v>
      </c>
      <c r="F7846" s="14">
        <v>290000</v>
      </c>
      <c r="G7846" s="14">
        <v>208000</v>
      </c>
      <c r="H7846" s="13" t="s">
        <v>13707</v>
      </c>
      <c r="I7846" s="40" t="s">
        <v>18</v>
      </c>
      <c r="J7846" s="40" t="str">
        <f>HYPERLINK("https://stock.pstatic.net/stock-research/company/39/20251103_company_258531000.pdf","PDF")</f>
        <v>PDF</v>
      </c>
      <c r="K7846" s="12" t="s">
        <v>13708</v>
      </c>
      <c r="L7846" s="20">
        <v>0.39423076923076922</v>
      </c>
    </row>
    <row r="7847" spans="1:12" x14ac:dyDescent="0.45">
      <c r="A7847" s="12" t="s">
        <v>13529</v>
      </c>
      <c r="B7847" s="12" t="s">
        <v>1690</v>
      </c>
      <c r="C7847" s="13" t="s">
        <v>1691</v>
      </c>
      <c r="D7847" s="13" t="s">
        <v>44</v>
      </c>
      <c r="E7847" s="12" t="s">
        <v>45</v>
      </c>
      <c r="F7847" s="14">
        <v>150000</v>
      </c>
      <c r="G7847" s="14">
        <v>128900</v>
      </c>
      <c r="H7847" s="13" t="s">
        <v>13709</v>
      </c>
      <c r="I7847" s="40" t="s">
        <v>18</v>
      </c>
      <c r="J7847" s="40" t="str">
        <f>HYPERLINK("https://stock.pstatic.net/stock-research/company/39/20251103_company_183947000.pdf","PDF")</f>
        <v>PDF</v>
      </c>
      <c r="K7847" s="12" t="s">
        <v>13710</v>
      </c>
      <c r="L7847" s="20">
        <v>0.16369278510473231</v>
      </c>
    </row>
    <row r="7848" spans="1:12" x14ac:dyDescent="0.45">
      <c r="A7848" s="12" t="s">
        <v>13529</v>
      </c>
      <c r="B7848" s="12" t="s">
        <v>577</v>
      </c>
      <c r="C7848" s="13" t="s">
        <v>578</v>
      </c>
      <c r="D7848" s="13" t="s">
        <v>23</v>
      </c>
      <c r="E7848" s="12" t="s">
        <v>16</v>
      </c>
      <c r="F7848" s="14">
        <v>390000</v>
      </c>
      <c r="G7848" s="14">
        <v>316000</v>
      </c>
      <c r="H7848" s="13" t="s">
        <v>13711</v>
      </c>
      <c r="I7848" s="40" t="s">
        <v>18</v>
      </c>
      <c r="J7848" s="40" t="str">
        <f>HYPERLINK("https://stock.pstatic.net/stock-research/company/21/20251103_company_567643000.pdf","PDF")</f>
        <v>PDF</v>
      </c>
      <c r="K7848" s="12" t="s">
        <v>13712</v>
      </c>
      <c r="L7848" s="20">
        <v>0.23417721518987339</v>
      </c>
    </row>
    <row r="7849" spans="1:12" x14ac:dyDescent="0.45">
      <c r="A7849" s="12" t="s">
        <v>13529</v>
      </c>
      <c r="B7849" s="12" t="s">
        <v>1530</v>
      </c>
      <c r="C7849" s="13" t="s">
        <v>1531</v>
      </c>
      <c r="D7849" s="13" t="s">
        <v>23</v>
      </c>
      <c r="E7849" s="12" t="s">
        <v>50</v>
      </c>
      <c r="F7849" s="14">
        <v>30000</v>
      </c>
      <c r="G7849" s="14">
        <v>30700</v>
      </c>
      <c r="H7849" s="13" t="s">
        <v>10778</v>
      </c>
      <c r="I7849" s="40" t="s">
        <v>18</v>
      </c>
      <c r="J7849" s="40" t="str">
        <f>HYPERLINK("https://stock.pstatic.net/stock-research/company/21/20251103_company_486101000.pdf","PDF")</f>
        <v>PDF</v>
      </c>
      <c r="K7849" s="12" t="s">
        <v>13713</v>
      </c>
      <c r="L7849" s="20">
        <v>-2.2801302931596091E-2</v>
      </c>
    </row>
    <row r="7850" spans="1:12" x14ac:dyDescent="0.45">
      <c r="A7850" s="12" t="s">
        <v>13529</v>
      </c>
      <c r="B7850" s="12" t="s">
        <v>8114</v>
      </c>
      <c r="C7850" s="13" t="s">
        <v>8115</v>
      </c>
      <c r="D7850" s="13" t="s">
        <v>34</v>
      </c>
      <c r="E7850" s="12" t="s">
        <v>35</v>
      </c>
      <c r="F7850" s="14">
        <v>35000</v>
      </c>
      <c r="G7850" s="14">
        <v>27950</v>
      </c>
      <c r="H7850" s="13" t="s">
        <v>13714</v>
      </c>
      <c r="I7850" s="40" t="s">
        <v>18</v>
      </c>
      <c r="J7850" s="40" t="str">
        <f>HYPERLINK("https://stock.pstatic.net/stock-research/company/61/20251103_company_536093000.pdf","PDF")</f>
        <v>PDF</v>
      </c>
      <c r="K7850" s="12" t="s">
        <v>13715</v>
      </c>
      <c r="L7850" s="20">
        <v>0.25223613595706618</v>
      </c>
    </row>
    <row r="7851" spans="1:12" x14ac:dyDescent="0.45">
      <c r="A7851" s="12" t="s">
        <v>13529</v>
      </c>
      <c r="B7851" s="12" t="s">
        <v>3204</v>
      </c>
      <c r="C7851" s="13" t="s">
        <v>3205</v>
      </c>
      <c r="D7851" s="13" t="s">
        <v>44</v>
      </c>
      <c r="E7851" s="12" t="s">
        <v>35</v>
      </c>
      <c r="F7851" s="14">
        <v>5000</v>
      </c>
      <c r="G7851" s="14">
        <v>3750</v>
      </c>
      <c r="H7851" s="13" t="s">
        <v>13716</v>
      </c>
      <c r="I7851" s="40" t="s">
        <v>18</v>
      </c>
      <c r="J7851" s="40" t="str">
        <f>HYPERLINK("https://stock.pstatic.net/stock-research/company/39/20251103_company_641242000.pdf","PDF")</f>
        <v>PDF</v>
      </c>
      <c r="K7851" s="12" t="s">
        <v>13717</v>
      </c>
      <c r="L7851" s="20">
        <v>0.33333333333333331</v>
      </c>
    </row>
    <row r="7852" spans="1:12" x14ac:dyDescent="0.45">
      <c r="A7852" s="12" t="s">
        <v>13529</v>
      </c>
      <c r="B7852" s="12" t="s">
        <v>3164</v>
      </c>
      <c r="C7852" s="13" t="s">
        <v>3165</v>
      </c>
      <c r="D7852" s="13" t="s">
        <v>44</v>
      </c>
      <c r="E7852" s="12" t="s">
        <v>35</v>
      </c>
      <c r="F7852" s="14">
        <v>87000</v>
      </c>
      <c r="G7852" s="14">
        <v>70300</v>
      </c>
      <c r="H7852" s="13" t="s">
        <v>13718</v>
      </c>
      <c r="I7852" s="40" t="s">
        <v>18</v>
      </c>
      <c r="J7852" s="40" t="str">
        <f>HYPERLINK("https://stock.pstatic.net/stock-research/company/39/20251103_company_816696000.pdf","PDF")</f>
        <v>PDF</v>
      </c>
      <c r="K7852" s="12" t="s">
        <v>13719</v>
      </c>
      <c r="L7852" s="20">
        <v>0.2375533428165007</v>
      </c>
    </row>
    <row r="7853" spans="1:12" x14ac:dyDescent="0.45">
      <c r="A7853" s="12" t="s">
        <v>13529</v>
      </c>
      <c r="B7853" s="12" t="s">
        <v>3014</v>
      </c>
      <c r="C7853" s="13" t="s">
        <v>3015</v>
      </c>
      <c r="D7853" s="13" t="s">
        <v>34</v>
      </c>
      <c r="E7853" s="12" t="s">
        <v>159</v>
      </c>
      <c r="F7853" s="14">
        <v>125000</v>
      </c>
      <c r="G7853" s="14">
        <v>110000</v>
      </c>
      <c r="H7853" s="13" t="s">
        <v>13720</v>
      </c>
      <c r="I7853" s="40" t="s">
        <v>18</v>
      </c>
      <c r="J7853" s="40" t="str">
        <f>HYPERLINK("https://stock.pstatic.net/stock-research/company/61/20251103_company_530532000.pdf","PDF")</f>
        <v>PDF</v>
      </c>
      <c r="K7853" s="12" t="s">
        <v>13721</v>
      </c>
      <c r="L7853" s="20">
        <v>0.13636363636363641</v>
      </c>
    </row>
    <row r="7854" spans="1:12" x14ac:dyDescent="0.45">
      <c r="A7854" s="12" t="s">
        <v>13529</v>
      </c>
      <c r="B7854" s="12" t="s">
        <v>2944</v>
      </c>
      <c r="C7854" s="13" t="s">
        <v>2945</v>
      </c>
      <c r="D7854" s="13" t="s">
        <v>23</v>
      </c>
      <c r="E7854" s="12" t="s">
        <v>16</v>
      </c>
      <c r="F7854" s="14">
        <v>17000</v>
      </c>
      <c r="G7854" s="14">
        <v>13810</v>
      </c>
      <c r="H7854" s="13" t="s">
        <v>13722</v>
      </c>
      <c r="I7854" s="40" t="s">
        <v>18</v>
      </c>
      <c r="J7854" s="40" t="str">
        <f>HYPERLINK("https://stock.pstatic.net/stock-research/company/21/20251103_company_265872000.pdf","PDF")</f>
        <v>PDF</v>
      </c>
      <c r="K7854" s="12" t="s">
        <v>13723</v>
      </c>
      <c r="L7854" s="20">
        <v>0.23099203475742219</v>
      </c>
    </row>
    <row r="7855" spans="1:12" x14ac:dyDescent="0.45">
      <c r="A7855" s="12" t="s">
        <v>13529</v>
      </c>
      <c r="B7855" s="12" t="s">
        <v>2837</v>
      </c>
      <c r="C7855" s="13" t="s">
        <v>2838</v>
      </c>
      <c r="D7855" s="13" t="s">
        <v>34</v>
      </c>
      <c r="E7855" s="12" t="s">
        <v>35</v>
      </c>
      <c r="F7855" s="14">
        <v>76000</v>
      </c>
      <c r="G7855" s="14">
        <v>59900</v>
      </c>
      <c r="H7855" s="13" t="s">
        <v>13724</v>
      </c>
      <c r="I7855" s="40" t="s">
        <v>18</v>
      </c>
      <c r="J7855" s="40" t="str">
        <f>HYPERLINK("https://stock.pstatic.net/stock-research/company/61/20251103_company_823036000.pdf","PDF")</f>
        <v>PDF</v>
      </c>
      <c r="K7855" s="12" t="s">
        <v>13725</v>
      </c>
      <c r="L7855" s="20">
        <v>0.26878130217028379</v>
      </c>
    </row>
    <row r="7856" spans="1:12" x14ac:dyDescent="0.45">
      <c r="A7856" s="12" t="s">
        <v>13529</v>
      </c>
      <c r="B7856" s="12" t="s">
        <v>2887</v>
      </c>
      <c r="C7856" s="13" t="s">
        <v>2888</v>
      </c>
      <c r="D7856" s="13" t="s">
        <v>44</v>
      </c>
      <c r="E7856" s="12" t="s">
        <v>45</v>
      </c>
      <c r="F7856" s="14">
        <v>450000</v>
      </c>
      <c r="G7856" s="14">
        <v>397500</v>
      </c>
      <c r="H7856" s="13" t="s">
        <v>13726</v>
      </c>
      <c r="I7856" s="40" t="s">
        <v>18</v>
      </c>
      <c r="J7856" s="40" t="str">
        <f>HYPERLINK("https://stock.pstatic.net/stock-research/company/39/20251103_company_537964000.pdf","PDF")</f>
        <v>PDF</v>
      </c>
      <c r="K7856" s="12" t="s">
        <v>13727</v>
      </c>
      <c r="L7856" s="20">
        <v>0.13207547169811321</v>
      </c>
    </row>
    <row r="7857" spans="1:12" x14ac:dyDescent="0.45">
      <c r="A7857" s="12" t="s">
        <v>13529</v>
      </c>
      <c r="B7857" s="12" t="s">
        <v>1781</v>
      </c>
      <c r="C7857" s="13" t="s">
        <v>1782</v>
      </c>
      <c r="D7857" s="13" t="s">
        <v>44</v>
      </c>
      <c r="E7857" s="12" t="s">
        <v>50</v>
      </c>
      <c r="F7857" s="13"/>
      <c r="G7857" s="13"/>
      <c r="H7857" s="13" t="s">
        <v>13728</v>
      </c>
      <c r="I7857" s="40" t="s">
        <v>18</v>
      </c>
      <c r="J7857" s="40" t="str">
        <f>HYPERLINK("https://stock.pstatic.net/stock-research/company/39/20251103_company_374344000.pdf","PDF")</f>
        <v>PDF</v>
      </c>
      <c r="K7857" s="12" t="s">
        <v>13729</v>
      </c>
    </row>
    <row r="7858" spans="1:12" x14ac:dyDescent="0.45">
      <c r="A7858" s="12" t="s">
        <v>13529</v>
      </c>
      <c r="B7858" s="12" t="s">
        <v>3584</v>
      </c>
      <c r="C7858" s="13" t="s">
        <v>3585</v>
      </c>
      <c r="D7858" s="13" t="s">
        <v>92</v>
      </c>
      <c r="E7858" s="12" t="s">
        <v>35</v>
      </c>
      <c r="F7858" s="14">
        <v>26000</v>
      </c>
      <c r="G7858" s="14">
        <v>20350</v>
      </c>
      <c r="H7858" s="13" t="s">
        <v>13730</v>
      </c>
      <c r="I7858" s="40" t="s">
        <v>18</v>
      </c>
      <c r="J7858" s="40" t="str">
        <f>HYPERLINK("https://stock.pstatic.net/stock-research/company/63/20251103_company_944091000.pdf","PDF")</f>
        <v>PDF</v>
      </c>
      <c r="K7858" s="12" t="s">
        <v>13731</v>
      </c>
      <c r="L7858" s="20">
        <v>0.27764127764127772</v>
      </c>
    </row>
    <row r="7859" spans="1:12" x14ac:dyDescent="0.45">
      <c r="A7859" s="12" t="s">
        <v>13529</v>
      </c>
      <c r="B7859" s="12" t="s">
        <v>1781</v>
      </c>
      <c r="C7859" s="13" t="s">
        <v>1782</v>
      </c>
      <c r="D7859" s="13" t="s">
        <v>34</v>
      </c>
      <c r="E7859" s="12" t="s">
        <v>35</v>
      </c>
      <c r="F7859" s="14">
        <v>110000</v>
      </c>
      <c r="G7859" s="14">
        <v>87600</v>
      </c>
      <c r="H7859" s="13" t="s">
        <v>13732</v>
      </c>
      <c r="I7859" s="40" t="s">
        <v>18</v>
      </c>
      <c r="J7859" s="40" t="str">
        <f>HYPERLINK("https://stock.pstatic.net/stock-research/company/61/20251103_company_262239000.pdf","PDF")</f>
        <v>PDF</v>
      </c>
      <c r="K7859" s="12" t="s">
        <v>13733</v>
      </c>
      <c r="L7859" s="20">
        <v>0.25570776255707761</v>
      </c>
    </row>
    <row r="7860" spans="1:12" x14ac:dyDescent="0.45">
      <c r="A7860" s="12" t="s">
        <v>13529</v>
      </c>
      <c r="B7860" s="12" t="s">
        <v>908</v>
      </c>
      <c r="C7860" s="13" t="s">
        <v>909</v>
      </c>
      <c r="D7860" s="13" t="s">
        <v>34</v>
      </c>
      <c r="E7860" s="12" t="s">
        <v>35</v>
      </c>
      <c r="F7860" s="14">
        <v>220000</v>
      </c>
      <c r="G7860" s="14">
        <v>183000</v>
      </c>
      <c r="H7860" s="13" t="s">
        <v>13734</v>
      </c>
      <c r="I7860" s="40" t="s">
        <v>18</v>
      </c>
      <c r="J7860" s="40" t="str">
        <f>HYPERLINK("https://stock.pstatic.net/stock-research/company/61/20251103_company_792589000.pdf","PDF")</f>
        <v>PDF</v>
      </c>
      <c r="K7860" s="12" t="s">
        <v>13735</v>
      </c>
      <c r="L7860" s="20">
        <v>0.20218579234972681</v>
      </c>
    </row>
    <row r="7861" spans="1:12" x14ac:dyDescent="0.45">
      <c r="A7861" s="12" t="s">
        <v>13529</v>
      </c>
      <c r="B7861" s="12" t="s">
        <v>72</v>
      </c>
      <c r="C7861" s="13" t="s">
        <v>73</v>
      </c>
      <c r="D7861" s="13" t="s">
        <v>34</v>
      </c>
      <c r="E7861" s="12" t="s">
        <v>35</v>
      </c>
      <c r="F7861" s="14">
        <v>285000</v>
      </c>
      <c r="G7861" s="14">
        <v>226000</v>
      </c>
      <c r="H7861" s="13" t="s">
        <v>13736</v>
      </c>
      <c r="I7861" s="40" t="s">
        <v>18</v>
      </c>
      <c r="J7861" s="40" t="str">
        <f>HYPERLINK("https://stock.pstatic.net/stock-research/company/61/20251103_company_433070000.pdf","PDF")</f>
        <v>PDF</v>
      </c>
      <c r="K7861" s="12" t="s">
        <v>13737</v>
      </c>
      <c r="L7861" s="20">
        <v>0.26106194690265488</v>
      </c>
    </row>
    <row r="7862" spans="1:12" x14ac:dyDescent="0.45">
      <c r="A7862" s="12" t="s">
        <v>13529</v>
      </c>
      <c r="B7862" s="12" t="s">
        <v>2887</v>
      </c>
      <c r="C7862" s="13" t="s">
        <v>2888</v>
      </c>
      <c r="D7862" s="13" t="s">
        <v>34</v>
      </c>
      <c r="E7862" s="12" t="s">
        <v>35</v>
      </c>
      <c r="F7862" s="14">
        <v>500000</v>
      </c>
      <c r="G7862" s="14">
        <v>397500</v>
      </c>
      <c r="H7862" s="13" t="s">
        <v>13738</v>
      </c>
      <c r="I7862" s="40" t="s">
        <v>18</v>
      </c>
      <c r="J7862" s="40" t="str">
        <f>HYPERLINK("https://stock.pstatic.net/stock-research/company/61/20251103_company_96238000.pdf","PDF")</f>
        <v>PDF</v>
      </c>
      <c r="K7862" s="12" t="s">
        <v>13739</v>
      </c>
      <c r="L7862" s="20">
        <v>0.25786163522012578</v>
      </c>
    </row>
    <row r="7863" spans="1:12" x14ac:dyDescent="0.45">
      <c r="A7863" s="12" t="s">
        <v>13529</v>
      </c>
      <c r="B7863" s="12" t="s">
        <v>2777</v>
      </c>
      <c r="C7863" s="13" t="s">
        <v>2778</v>
      </c>
      <c r="D7863" s="13" t="s">
        <v>23</v>
      </c>
      <c r="E7863" s="12" t="s">
        <v>16</v>
      </c>
      <c r="F7863" s="14">
        <v>240000</v>
      </c>
      <c r="G7863" s="14">
        <v>203500</v>
      </c>
      <c r="H7863" s="13" t="s">
        <v>13740</v>
      </c>
      <c r="I7863" s="40" t="s">
        <v>18</v>
      </c>
      <c r="J7863" s="40" t="str">
        <f>HYPERLINK("https://stock.pstatic.net/stock-research/company/21/20251103_company_141668000.pdf","PDF")</f>
        <v>PDF</v>
      </c>
      <c r="K7863" s="12" t="s">
        <v>13741</v>
      </c>
      <c r="L7863" s="20">
        <v>0.1793611793611794</v>
      </c>
    </row>
    <row r="7864" spans="1:12" x14ac:dyDescent="0.45">
      <c r="A7864" s="12" t="s">
        <v>13529</v>
      </c>
      <c r="B7864" s="12" t="s">
        <v>3164</v>
      </c>
      <c r="C7864" s="13" t="s">
        <v>3165</v>
      </c>
      <c r="D7864" s="13" t="s">
        <v>23</v>
      </c>
      <c r="E7864" s="12" t="s">
        <v>16</v>
      </c>
      <c r="F7864" s="14">
        <v>88000</v>
      </c>
      <c r="G7864" s="14">
        <v>70300</v>
      </c>
      <c r="H7864" s="13" t="s">
        <v>13676</v>
      </c>
      <c r="I7864" s="40" t="s">
        <v>18</v>
      </c>
      <c r="J7864" s="40" t="str">
        <f>HYPERLINK("https://stock.pstatic.net/stock-research/company/21/20251103_company_669040000.pdf","PDF")</f>
        <v>PDF</v>
      </c>
      <c r="K7864" s="12" t="s">
        <v>13742</v>
      </c>
      <c r="L7864" s="20">
        <v>0.25177809388335698</v>
      </c>
    </row>
    <row r="7865" spans="1:12" x14ac:dyDescent="0.45">
      <c r="A7865" s="12" t="s">
        <v>13529</v>
      </c>
      <c r="B7865" s="12" t="s">
        <v>3204</v>
      </c>
      <c r="C7865" s="13" t="s">
        <v>3205</v>
      </c>
      <c r="D7865" s="13" t="s">
        <v>23</v>
      </c>
      <c r="E7865" s="12" t="s">
        <v>50</v>
      </c>
      <c r="F7865" s="14">
        <v>3600</v>
      </c>
      <c r="G7865" s="14">
        <v>3750</v>
      </c>
      <c r="H7865" s="13" t="s">
        <v>13743</v>
      </c>
      <c r="I7865" s="40" t="s">
        <v>18</v>
      </c>
      <c r="J7865" s="40" t="str">
        <f>HYPERLINK("https://stock.pstatic.net/stock-research/company/21/20251103_company_410994000.pdf","PDF")</f>
        <v>PDF</v>
      </c>
      <c r="K7865" s="12" t="s">
        <v>13744</v>
      </c>
      <c r="L7865" s="20">
        <v>-0.04</v>
      </c>
    </row>
    <row r="7866" spans="1:12" x14ac:dyDescent="0.45">
      <c r="A7866" s="12" t="s">
        <v>13529</v>
      </c>
      <c r="B7866" s="12" t="s">
        <v>1690</v>
      </c>
      <c r="C7866" s="13" t="s">
        <v>1691</v>
      </c>
      <c r="D7866" s="13" t="s">
        <v>34</v>
      </c>
      <c r="E7866" s="12" t="s">
        <v>159</v>
      </c>
      <c r="F7866" s="14">
        <v>148000</v>
      </c>
      <c r="G7866" s="14">
        <v>128900</v>
      </c>
      <c r="H7866" s="13" t="s">
        <v>13745</v>
      </c>
      <c r="I7866" s="40" t="s">
        <v>18</v>
      </c>
      <c r="J7866" s="40" t="str">
        <f>HYPERLINK("https://stock.pstatic.net/stock-research/company/61/20251103_company_808328000.pdf","PDF")</f>
        <v>PDF</v>
      </c>
      <c r="K7866" s="12" t="s">
        <v>13746</v>
      </c>
      <c r="L7866" s="20">
        <v>0.14817688130333589</v>
      </c>
    </row>
    <row r="7867" spans="1:12" x14ac:dyDescent="0.45">
      <c r="A7867" s="12" t="s">
        <v>13529</v>
      </c>
      <c r="B7867" s="12" t="s">
        <v>11375</v>
      </c>
      <c r="C7867" s="13" t="s">
        <v>11376</v>
      </c>
      <c r="D7867" s="13" t="s">
        <v>44</v>
      </c>
      <c r="E7867" s="12" t="s">
        <v>50</v>
      </c>
      <c r="F7867" s="13"/>
      <c r="G7867" s="14">
        <v>12300</v>
      </c>
      <c r="H7867" s="13" t="s">
        <v>13747</v>
      </c>
      <c r="I7867" s="40" t="s">
        <v>18</v>
      </c>
      <c r="J7867" s="40" t="str">
        <f>HYPERLINK("https://stock.pstatic.net/stock-research/company/39/20251103_company_182040000.pdf","PDF")</f>
        <v>PDF</v>
      </c>
      <c r="K7867" s="12" t="s">
        <v>13748</v>
      </c>
    </row>
    <row r="7868" spans="1:12" x14ac:dyDescent="0.45">
      <c r="A7868" s="12" t="s">
        <v>13529</v>
      </c>
      <c r="B7868" s="12" t="s">
        <v>1682</v>
      </c>
      <c r="C7868" s="13" t="s">
        <v>4787</v>
      </c>
      <c r="D7868" s="13" t="s">
        <v>44</v>
      </c>
      <c r="E7868" s="12" t="s">
        <v>35</v>
      </c>
      <c r="F7868" s="14">
        <v>390000</v>
      </c>
      <c r="G7868" s="14">
        <v>220500</v>
      </c>
      <c r="H7868" s="13" t="s">
        <v>13749</v>
      </c>
      <c r="I7868" s="40" t="s">
        <v>18</v>
      </c>
      <c r="J7868" s="40" t="str">
        <f>HYPERLINK("https://stock.pstatic.net/stock-research/company/39/20251103_company_463282000.pdf","PDF")</f>
        <v>PDF</v>
      </c>
      <c r="K7868" s="12" t="s">
        <v>13750</v>
      </c>
      <c r="L7868" s="20">
        <v>0.76870748299319724</v>
      </c>
    </row>
    <row r="7869" spans="1:12" x14ac:dyDescent="0.45">
      <c r="A7869" s="12" t="s">
        <v>13529</v>
      </c>
      <c r="B7869" s="12" t="s">
        <v>3164</v>
      </c>
      <c r="C7869" s="13" t="s">
        <v>3165</v>
      </c>
      <c r="D7869" s="13" t="s">
        <v>53</v>
      </c>
      <c r="E7869" s="12" t="s">
        <v>16</v>
      </c>
      <c r="F7869" s="14">
        <v>81000</v>
      </c>
      <c r="G7869" s="14">
        <v>70300</v>
      </c>
      <c r="H7869" s="13" t="s">
        <v>13751</v>
      </c>
      <c r="I7869" s="40" t="s">
        <v>18</v>
      </c>
      <c r="J7869" s="40" t="str">
        <f>HYPERLINK("https://stock.pstatic.net/stock-research/company/40/20251103_company_750359000.pdf","PDF")</f>
        <v>PDF</v>
      </c>
      <c r="K7869" s="12" t="s">
        <v>13752</v>
      </c>
      <c r="L7869" s="20">
        <v>0.1522048364153627</v>
      </c>
    </row>
    <row r="7870" spans="1:12" x14ac:dyDescent="0.45">
      <c r="A7870" s="12" t="s">
        <v>13529</v>
      </c>
      <c r="B7870" s="12" t="s">
        <v>2837</v>
      </c>
      <c r="C7870" s="13" t="s">
        <v>2838</v>
      </c>
      <c r="D7870" s="13" t="s">
        <v>23</v>
      </c>
      <c r="E7870" s="12" t="s">
        <v>50</v>
      </c>
      <c r="F7870" s="14">
        <v>60000</v>
      </c>
      <c r="G7870" s="14">
        <v>59900</v>
      </c>
      <c r="H7870" s="13" t="s">
        <v>13753</v>
      </c>
      <c r="I7870" s="40" t="s">
        <v>18</v>
      </c>
      <c r="J7870" s="40" t="str">
        <f>HYPERLINK("https://stock.pstatic.net/stock-research/company/21/20251103_company_471400000.pdf","PDF")</f>
        <v>PDF</v>
      </c>
      <c r="K7870" s="12" t="s">
        <v>13754</v>
      </c>
      <c r="L7870" s="20">
        <v>1.6694490818030051E-3</v>
      </c>
    </row>
    <row r="7871" spans="1:12" x14ac:dyDescent="0.45">
      <c r="A7871" s="12" t="s">
        <v>13529</v>
      </c>
      <c r="B7871" s="12" t="s">
        <v>3014</v>
      </c>
      <c r="C7871" s="13" t="s">
        <v>3015</v>
      </c>
      <c r="D7871" s="13" t="s">
        <v>44</v>
      </c>
      <c r="E7871" s="12" t="s">
        <v>35</v>
      </c>
      <c r="F7871" s="14">
        <v>160000</v>
      </c>
      <c r="G7871" s="14">
        <v>110000</v>
      </c>
      <c r="H7871" s="13" t="s">
        <v>13755</v>
      </c>
      <c r="I7871" s="40" t="s">
        <v>18</v>
      </c>
      <c r="J7871" s="40" t="str">
        <f>HYPERLINK("https://stock.pstatic.net/stock-research/company/39/20251103_company_580014000.pdf","PDF")</f>
        <v>PDF</v>
      </c>
      <c r="K7871" s="12" t="s">
        <v>13756</v>
      </c>
      <c r="L7871" s="20">
        <v>0.45454545454545447</v>
      </c>
    </row>
    <row r="7872" spans="1:12" x14ac:dyDescent="0.45">
      <c r="A7872" s="12" t="s">
        <v>13529</v>
      </c>
      <c r="B7872" s="12" t="s">
        <v>2944</v>
      </c>
      <c r="C7872" s="13" t="s">
        <v>2945</v>
      </c>
      <c r="D7872" s="13" t="s">
        <v>44</v>
      </c>
      <c r="E7872" s="12" t="s">
        <v>35</v>
      </c>
      <c r="F7872" s="14">
        <v>18500</v>
      </c>
      <c r="G7872" s="14">
        <v>13810</v>
      </c>
      <c r="H7872" s="13" t="s">
        <v>13757</v>
      </c>
      <c r="I7872" s="40" t="s">
        <v>18</v>
      </c>
      <c r="J7872" s="40" t="str">
        <f>HYPERLINK("https://stock.pstatic.net/stock-research/company/39/20251103_company_380190000.pdf","PDF")</f>
        <v>PDF</v>
      </c>
      <c r="K7872" s="12" t="s">
        <v>13758</v>
      </c>
      <c r="L7872" s="20">
        <v>0.33960897900072412</v>
      </c>
    </row>
    <row r="7873" spans="1:12" x14ac:dyDescent="0.45">
      <c r="A7873" s="12" t="s">
        <v>13529</v>
      </c>
      <c r="B7873" s="12" t="s">
        <v>1765</v>
      </c>
      <c r="C7873" s="13" t="s">
        <v>1766</v>
      </c>
      <c r="D7873" s="13" t="s">
        <v>44</v>
      </c>
      <c r="E7873" s="12" t="s">
        <v>45</v>
      </c>
      <c r="F7873" s="14">
        <v>135000</v>
      </c>
      <c r="G7873" s="14">
        <v>119900</v>
      </c>
      <c r="H7873" s="13" t="s">
        <v>13759</v>
      </c>
      <c r="I7873" s="40" t="s">
        <v>18</v>
      </c>
      <c r="J7873" s="40" t="str">
        <f>HYPERLINK("https://stock.pstatic.net/stock-research/company/39/20251103_company_376767000.pdf","PDF")</f>
        <v>PDF</v>
      </c>
      <c r="K7873" s="12" t="s">
        <v>13760</v>
      </c>
      <c r="L7873" s="20">
        <v>0.12593828190158471</v>
      </c>
    </row>
    <row r="7874" spans="1:12" x14ac:dyDescent="0.45">
      <c r="A7874" s="12" t="s">
        <v>13529</v>
      </c>
      <c r="B7874" s="12" t="s">
        <v>1765</v>
      </c>
      <c r="C7874" s="13" t="s">
        <v>1766</v>
      </c>
      <c r="D7874" s="13" t="s">
        <v>53</v>
      </c>
      <c r="E7874" s="12" t="s">
        <v>16</v>
      </c>
      <c r="F7874" s="14">
        <v>140000</v>
      </c>
      <c r="G7874" s="14">
        <v>119900</v>
      </c>
      <c r="H7874" s="13" t="s">
        <v>13761</v>
      </c>
      <c r="I7874" s="40" t="s">
        <v>18</v>
      </c>
      <c r="J7874" s="40" t="str">
        <f>HYPERLINK("https://stock.pstatic.net/stock-research/company/40/20251103_company_176653000.pdf","PDF")</f>
        <v>PDF</v>
      </c>
      <c r="K7874" s="12" t="s">
        <v>13762</v>
      </c>
      <c r="L7874" s="20">
        <v>0.16763969974979151</v>
      </c>
    </row>
    <row r="7875" spans="1:12" x14ac:dyDescent="0.45">
      <c r="A7875" s="12" t="s">
        <v>13529</v>
      </c>
      <c r="B7875" s="12" t="s">
        <v>1530</v>
      </c>
      <c r="C7875" s="13" t="s">
        <v>1531</v>
      </c>
      <c r="D7875" s="13" t="s">
        <v>53</v>
      </c>
      <c r="E7875" s="12" t="s">
        <v>385</v>
      </c>
      <c r="F7875" s="14">
        <v>30000</v>
      </c>
      <c r="G7875" s="14">
        <v>30700</v>
      </c>
      <c r="H7875" s="13" t="s">
        <v>13763</v>
      </c>
      <c r="I7875" s="40" t="s">
        <v>18</v>
      </c>
      <c r="J7875" s="40" t="str">
        <f>HYPERLINK("https://stock.pstatic.net/stock-research/company/40/20251103_company_53139000.pdf","PDF")</f>
        <v>PDF</v>
      </c>
      <c r="K7875" s="12" t="s">
        <v>13764</v>
      </c>
      <c r="L7875" s="20">
        <v>-2.2801302931596091E-2</v>
      </c>
    </row>
    <row r="7876" spans="1:12" x14ac:dyDescent="0.45">
      <c r="A7876" s="12" t="s">
        <v>13529</v>
      </c>
      <c r="B7876" s="12" t="s">
        <v>3204</v>
      </c>
      <c r="C7876" s="13" t="s">
        <v>3205</v>
      </c>
      <c r="D7876" s="13" t="s">
        <v>53</v>
      </c>
      <c r="E7876" s="12" t="s">
        <v>16</v>
      </c>
      <c r="F7876" s="14">
        <v>4800</v>
      </c>
      <c r="G7876" s="14">
        <v>3750</v>
      </c>
      <c r="H7876" s="13" t="s">
        <v>13765</v>
      </c>
      <c r="I7876" s="40" t="s">
        <v>18</v>
      </c>
      <c r="J7876" s="40" t="str">
        <f>HYPERLINK("https://stock.pstatic.net/stock-research/company/40/20251103_company_568389000.pdf","PDF")</f>
        <v>PDF</v>
      </c>
      <c r="K7876" s="12" t="s">
        <v>13766</v>
      </c>
      <c r="L7876" s="20">
        <v>0.28000000000000003</v>
      </c>
    </row>
    <row r="7877" spans="1:12" x14ac:dyDescent="0.45">
      <c r="A7877" s="12" t="s">
        <v>13529</v>
      </c>
      <c r="B7877" s="12" t="s">
        <v>2621</v>
      </c>
      <c r="C7877" s="13" t="s">
        <v>2622</v>
      </c>
      <c r="D7877" s="13" t="s">
        <v>53</v>
      </c>
      <c r="E7877" s="12" t="s">
        <v>16</v>
      </c>
      <c r="F7877" s="14">
        <v>10500</v>
      </c>
      <c r="G7877" s="14">
        <v>7650</v>
      </c>
      <c r="H7877" s="13" t="s">
        <v>13767</v>
      </c>
      <c r="I7877" s="40" t="s">
        <v>18</v>
      </c>
      <c r="J7877" s="40" t="str">
        <f>HYPERLINK("https://stock.pstatic.net/stock-research/company/40/20251103_company_99736000.pdf","PDF")</f>
        <v>PDF</v>
      </c>
      <c r="K7877" s="12" t="s">
        <v>13768</v>
      </c>
      <c r="L7877" s="20">
        <v>0.37254901960784309</v>
      </c>
    </row>
    <row r="7878" spans="1:12" x14ac:dyDescent="0.45">
      <c r="A7878" s="12" t="s">
        <v>13529</v>
      </c>
      <c r="B7878" s="12" t="s">
        <v>13</v>
      </c>
      <c r="C7878" s="13" t="s">
        <v>14</v>
      </c>
      <c r="D7878" s="13" t="s">
        <v>23</v>
      </c>
      <c r="E7878" s="12" t="s">
        <v>16</v>
      </c>
      <c r="F7878" s="14">
        <v>147000</v>
      </c>
      <c r="G7878" s="14">
        <v>107500</v>
      </c>
      <c r="H7878" s="13" t="s">
        <v>13769</v>
      </c>
      <c r="I7878" s="40" t="s">
        <v>18</v>
      </c>
      <c r="J7878" s="40" t="str">
        <f>HYPERLINK("https://stock.pstatic.net/stock-research/company/21/20251103_company_316410000.pdf","PDF")</f>
        <v>PDF</v>
      </c>
      <c r="K7878" s="12" t="s">
        <v>13770</v>
      </c>
      <c r="L7878" s="20">
        <v>0.36744186046511629</v>
      </c>
    </row>
    <row r="7879" spans="1:12" x14ac:dyDescent="0.45">
      <c r="A7879" s="12" t="s">
        <v>13529</v>
      </c>
      <c r="B7879" s="12" t="s">
        <v>565</v>
      </c>
      <c r="C7879" s="13" t="s">
        <v>566</v>
      </c>
      <c r="D7879" s="13" t="s">
        <v>15</v>
      </c>
      <c r="E7879" s="12" t="s">
        <v>50</v>
      </c>
      <c r="F7879" s="13"/>
      <c r="G7879" s="13"/>
      <c r="H7879" s="13" t="s">
        <v>13771</v>
      </c>
      <c r="I7879" s="40" t="s">
        <v>18</v>
      </c>
      <c r="J7879" s="40" t="str">
        <f>HYPERLINK("https://stock.pstatic.net/stock-research/company/29/20251103_company_165389000.pdf","PDF")</f>
        <v>PDF</v>
      </c>
      <c r="K7879" s="12" t="s">
        <v>13772</v>
      </c>
    </row>
    <row r="7880" spans="1:12" x14ac:dyDescent="0.45">
      <c r="A7880" s="12" t="s">
        <v>13529</v>
      </c>
      <c r="B7880" s="12" t="s">
        <v>13</v>
      </c>
      <c r="C7880" s="13" t="s">
        <v>14</v>
      </c>
      <c r="D7880" s="13" t="s">
        <v>714</v>
      </c>
      <c r="E7880" s="12" t="s">
        <v>35</v>
      </c>
      <c r="F7880" s="14">
        <v>125000</v>
      </c>
      <c r="G7880" s="14">
        <v>104100</v>
      </c>
      <c r="H7880" s="13" t="s">
        <v>13773</v>
      </c>
      <c r="I7880" s="40" t="s">
        <v>18</v>
      </c>
      <c r="J7880" s="40" t="str">
        <f>HYPERLINK("https://stock.pstatic.net/stock-research/company/38/20251103_company_899552000.pdf","PDF")</f>
        <v>PDF</v>
      </c>
      <c r="K7880" s="12" t="s">
        <v>13774</v>
      </c>
      <c r="L7880" s="20">
        <v>0.20076849183477419</v>
      </c>
    </row>
    <row r="7881" spans="1:12" x14ac:dyDescent="0.45">
      <c r="A7881" s="12" t="s">
        <v>13529</v>
      </c>
      <c r="B7881" s="12" t="s">
        <v>398</v>
      </c>
      <c r="C7881" s="13" t="s">
        <v>399</v>
      </c>
      <c r="D7881" s="13" t="s">
        <v>15</v>
      </c>
      <c r="E7881" s="12" t="s">
        <v>16</v>
      </c>
      <c r="F7881" s="14">
        <v>250000</v>
      </c>
      <c r="G7881" s="14">
        <v>220000</v>
      </c>
      <c r="H7881" s="13" t="s">
        <v>13775</v>
      </c>
      <c r="I7881" s="40" t="s">
        <v>18</v>
      </c>
      <c r="J7881" s="40" t="str">
        <f>HYPERLINK("https://stock.pstatic.net/stock-research/company/29/20251103_company_654462000.pdf","PDF")</f>
        <v>PDF</v>
      </c>
      <c r="K7881" s="12" t="s">
        <v>13776</v>
      </c>
      <c r="L7881" s="20">
        <v>0.13636363636363641</v>
      </c>
    </row>
    <row r="7882" spans="1:12" x14ac:dyDescent="0.45">
      <c r="A7882" s="12" t="s">
        <v>13777</v>
      </c>
      <c r="B7882" s="12" t="s">
        <v>81</v>
      </c>
      <c r="C7882" s="13" t="s">
        <v>82</v>
      </c>
      <c r="D7882" s="13" t="s">
        <v>65</v>
      </c>
      <c r="E7882" s="12" t="s">
        <v>35</v>
      </c>
      <c r="F7882" s="14">
        <v>29000</v>
      </c>
      <c r="G7882" s="14">
        <v>20100</v>
      </c>
      <c r="H7882" s="13" t="s">
        <v>13778</v>
      </c>
      <c r="I7882" s="40" t="s">
        <v>18</v>
      </c>
      <c r="J7882" s="40" t="str">
        <f>HYPERLINK("https://stock.pstatic.net/stock-research/company/57/20251031_company_286275000.pdf","PDF")</f>
        <v>PDF</v>
      </c>
      <c r="K7882" s="12" t="s">
        <v>13779</v>
      </c>
      <c r="L7882" s="20">
        <v>0.44278606965174128</v>
      </c>
    </row>
    <row r="7883" spans="1:12" x14ac:dyDescent="0.45">
      <c r="A7883" s="12" t="s">
        <v>13777</v>
      </c>
      <c r="B7883" s="12" t="s">
        <v>519</v>
      </c>
      <c r="C7883" s="13" t="s">
        <v>520</v>
      </c>
      <c r="D7883" s="13" t="s">
        <v>65</v>
      </c>
      <c r="E7883" s="12" t="s">
        <v>35</v>
      </c>
      <c r="F7883" s="14">
        <v>290000</v>
      </c>
      <c r="G7883" s="14">
        <v>265000</v>
      </c>
      <c r="H7883" s="13" t="s">
        <v>13780</v>
      </c>
      <c r="I7883" s="40" t="s">
        <v>18</v>
      </c>
      <c r="J7883" s="40" t="str">
        <f>HYPERLINK("https://stock.pstatic.net/stock-research/company/57/20251031_company_625523000.pdf","PDF")</f>
        <v>PDF</v>
      </c>
      <c r="K7883" s="12" t="s">
        <v>13781</v>
      </c>
      <c r="L7883" s="20">
        <v>9.4339622641509441E-2</v>
      </c>
    </row>
    <row r="7884" spans="1:12" x14ac:dyDescent="0.45">
      <c r="A7884" s="12" t="s">
        <v>13777</v>
      </c>
      <c r="B7884" s="12" t="s">
        <v>3831</v>
      </c>
      <c r="C7884" s="13" t="s">
        <v>3832</v>
      </c>
      <c r="D7884" s="13" t="s">
        <v>65</v>
      </c>
      <c r="E7884" s="12" t="s">
        <v>35</v>
      </c>
      <c r="F7884" s="14">
        <v>50000</v>
      </c>
      <c r="G7884" s="14">
        <v>36450</v>
      </c>
      <c r="H7884" s="13" t="s">
        <v>13782</v>
      </c>
      <c r="I7884" s="40" t="s">
        <v>18</v>
      </c>
      <c r="J7884" s="40" t="str">
        <f>HYPERLINK("https://stock.pstatic.net/stock-research/company/57/20251031_company_676298000.pdf","PDF")</f>
        <v>PDF</v>
      </c>
      <c r="K7884" s="12" t="s">
        <v>13783</v>
      </c>
      <c r="L7884" s="20">
        <v>0.37174211248285322</v>
      </c>
    </row>
    <row r="7885" spans="1:12" x14ac:dyDescent="0.45">
      <c r="A7885" s="12" t="s">
        <v>13777</v>
      </c>
      <c r="B7885" s="12" t="s">
        <v>3373</v>
      </c>
      <c r="C7885" s="13" t="s">
        <v>3374</v>
      </c>
      <c r="D7885" s="13" t="s">
        <v>65</v>
      </c>
      <c r="E7885" s="12" t="s">
        <v>35</v>
      </c>
      <c r="F7885" s="14">
        <v>147000</v>
      </c>
      <c r="G7885" s="14">
        <v>115800</v>
      </c>
      <c r="H7885" s="13" t="s">
        <v>13784</v>
      </c>
      <c r="I7885" s="40" t="s">
        <v>18</v>
      </c>
      <c r="J7885" s="40" t="str">
        <f>HYPERLINK("https://stock.pstatic.net/stock-research/company/57/20251031_company_605784000.pdf","PDF")</f>
        <v>PDF</v>
      </c>
      <c r="K7885" s="12" t="s">
        <v>13785</v>
      </c>
      <c r="L7885" s="20">
        <v>0.26943005181347152</v>
      </c>
    </row>
    <row r="7886" spans="1:12" x14ac:dyDescent="0.45">
      <c r="A7886" s="12" t="s">
        <v>13777</v>
      </c>
      <c r="B7886" s="12" t="s">
        <v>740</v>
      </c>
      <c r="C7886" s="13" t="s">
        <v>741</v>
      </c>
      <c r="D7886" s="13" t="s">
        <v>276</v>
      </c>
      <c r="E7886" s="12" t="s">
        <v>16</v>
      </c>
      <c r="F7886" s="14">
        <v>300000</v>
      </c>
      <c r="G7886" s="14">
        <v>228500</v>
      </c>
      <c r="H7886" s="13" t="s">
        <v>13786</v>
      </c>
      <c r="I7886" s="40" t="s">
        <v>18</v>
      </c>
      <c r="J7886" s="40" t="str">
        <f>HYPERLINK("https://stock.pstatic.net/stock-research/company/66/20251031_company_878579000.pdf","PDF")</f>
        <v>PDF</v>
      </c>
      <c r="K7886" s="12" t="s">
        <v>13787</v>
      </c>
      <c r="L7886" s="20">
        <v>0.31291028446389502</v>
      </c>
    </row>
    <row r="7887" spans="1:12" x14ac:dyDescent="0.45">
      <c r="A7887" s="12" t="s">
        <v>13777</v>
      </c>
      <c r="B7887" s="12" t="s">
        <v>908</v>
      </c>
      <c r="C7887" s="13" t="s">
        <v>909</v>
      </c>
      <c r="D7887" s="13" t="s">
        <v>276</v>
      </c>
      <c r="E7887" s="12" t="s">
        <v>16</v>
      </c>
      <c r="F7887" s="14">
        <v>210000</v>
      </c>
      <c r="G7887" s="14">
        <v>168600</v>
      </c>
      <c r="H7887" s="13" t="s">
        <v>13788</v>
      </c>
      <c r="I7887" s="40" t="s">
        <v>18</v>
      </c>
      <c r="J7887" s="40" t="str">
        <f>HYPERLINK("https://stock.pstatic.net/stock-research/company/66/20251031_company_621212000.pdf","PDF")</f>
        <v>PDF</v>
      </c>
      <c r="K7887" s="12" t="s">
        <v>13789</v>
      </c>
      <c r="L7887" s="20">
        <v>0.2455516014234875</v>
      </c>
    </row>
    <row r="7888" spans="1:12" x14ac:dyDescent="0.45">
      <c r="A7888" s="12" t="s">
        <v>13777</v>
      </c>
      <c r="B7888" s="12" t="s">
        <v>519</v>
      </c>
      <c r="C7888" s="13" t="s">
        <v>520</v>
      </c>
      <c r="D7888" s="13" t="s">
        <v>276</v>
      </c>
      <c r="E7888" s="12" t="s">
        <v>16</v>
      </c>
      <c r="F7888" s="14">
        <v>330000</v>
      </c>
      <c r="G7888" s="14">
        <v>265000</v>
      </c>
      <c r="H7888" s="13" t="s">
        <v>13790</v>
      </c>
      <c r="I7888" s="40" t="s">
        <v>18</v>
      </c>
      <c r="J7888" s="40" t="str">
        <f>HYPERLINK("https://stock.pstatic.net/stock-research/company/66/20251031_company_924063000.pdf","PDF")</f>
        <v>PDF</v>
      </c>
      <c r="K7888" s="12" t="s">
        <v>13791</v>
      </c>
      <c r="L7888" s="20">
        <v>0.2452830188679245</v>
      </c>
    </row>
    <row r="7889" spans="1:12" x14ac:dyDescent="0.45">
      <c r="A7889" s="12" t="s">
        <v>13777</v>
      </c>
      <c r="B7889" s="12" t="s">
        <v>2378</v>
      </c>
      <c r="C7889" s="13" t="s">
        <v>2379</v>
      </c>
      <c r="D7889" s="13" t="s">
        <v>276</v>
      </c>
      <c r="E7889" s="12" t="s">
        <v>16</v>
      </c>
      <c r="F7889" s="14">
        <v>560000</v>
      </c>
      <c r="G7889" s="14">
        <v>486500</v>
      </c>
      <c r="H7889" s="13" t="s">
        <v>13792</v>
      </c>
      <c r="I7889" s="40" t="s">
        <v>18</v>
      </c>
      <c r="J7889" s="40" t="str">
        <f>HYPERLINK("https://stock.pstatic.net/stock-research/company/66/20251031_company_323484000.pdf","PDF")</f>
        <v>PDF</v>
      </c>
      <c r="K7889" s="12" t="s">
        <v>13793</v>
      </c>
      <c r="L7889" s="20">
        <v>0.15107913669064749</v>
      </c>
    </row>
    <row r="7890" spans="1:12" x14ac:dyDescent="0.45">
      <c r="A7890" s="12" t="s">
        <v>13777</v>
      </c>
      <c r="B7890" s="12" t="s">
        <v>1548</v>
      </c>
      <c r="C7890" s="13" t="s">
        <v>1549</v>
      </c>
      <c r="D7890" s="13" t="s">
        <v>276</v>
      </c>
      <c r="E7890" s="12" t="s">
        <v>16</v>
      </c>
      <c r="F7890" s="14">
        <v>1400000</v>
      </c>
      <c r="G7890" s="14">
        <v>994000</v>
      </c>
      <c r="H7890" s="13" t="s">
        <v>13794</v>
      </c>
      <c r="I7890" s="40" t="s">
        <v>18</v>
      </c>
      <c r="J7890" s="40" t="str">
        <f>HYPERLINK("https://stock.pstatic.net/stock-research/company/66/20251031_company_991468000.pdf","PDF")</f>
        <v>PDF</v>
      </c>
      <c r="K7890" s="12" t="s">
        <v>13795</v>
      </c>
      <c r="L7890" s="20">
        <v>0.40845070422535212</v>
      </c>
    </row>
    <row r="7891" spans="1:12" x14ac:dyDescent="0.45">
      <c r="A7891" s="12" t="s">
        <v>13777</v>
      </c>
      <c r="B7891" s="12" t="s">
        <v>13</v>
      </c>
      <c r="C7891" s="13" t="s">
        <v>14</v>
      </c>
      <c r="D7891" s="13" t="s">
        <v>276</v>
      </c>
      <c r="E7891" s="12" t="s">
        <v>16</v>
      </c>
      <c r="F7891" s="14">
        <v>130000</v>
      </c>
      <c r="G7891" s="14">
        <v>104100</v>
      </c>
      <c r="H7891" s="13" t="s">
        <v>13796</v>
      </c>
      <c r="I7891" s="40" t="s">
        <v>18</v>
      </c>
      <c r="J7891" s="40" t="str">
        <f>HYPERLINK("https://stock.pstatic.net/stock-research/company/66/20251031_company_649065000.pdf","PDF")</f>
        <v>PDF</v>
      </c>
      <c r="K7891" s="12" t="s">
        <v>13797</v>
      </c>
      <c r="L7891" s="20">
        <v>0.24879923150816519</v>
      </c>
    </row>
    <row r="7892" spans="1:12" x14ac:dyDescent="0.45">
      <c r="A7892" s="12" t="s">
        <v>13777</v>
      </c>
      <c r="B7892" s="12" t="s">
        <v>740</v>
      </c>
      <c r="C7892" s="13" t="s">
        <v>741</v>
      </c>
      <c r="D7892" s="13" t="s">
        <v>65</v>
      </c>
      <c r="E7892" s="12" t="s">
        <v>35</v>
      </c>
      <c r="F7892" s="14">
        <v>310000</v>
      </c>
      <c r="G7892" s="14">
        <v>228500</v>
      </c>
      <c r="H7892" s="13" t="s">
        <v>13798</v>
      </c>
      <c r="I7892" s="40" t="s">
        <v>18</v>
      </c>
      <c r="J7892" s="40" t="str">
        <f>HYPERLINK("https://stock.pstatic.net/stock-research/company/57/20251031_company_420179000.pdf","PDF")</f>
        <v>PDF</v>
      </c>
      <c r="K7892" s="12" t="s">
        <v>13799</v>
      </c>
      <c r="L7892" s="20">
        <v>0.35667396061269152</v>
      </c>
    </row>
    <row r="7893" spans="1:12" x14ac:dyDescent="0.45">
      <c r="A7893" s="12" t="s">
        <v>13777</v>
      </c>
      <c r="B7893" s="12" t="s">
        <v>63</v>
      </c>
      <c r="C7893" s="13" t="s">
        <v>64</v>
      </c>
      <c r="D7893" s="13" t="s">
        <v>60</v>
      </c>
      <c r="E7893" s="12" t="s">
        <v>35</v>
      </c>
      <c r="F7893" s="14">
        <v>510000</v>
      </c>
      <c r="G7893" s="14">
        <v>390500</v>
      </c>
      <c r="H7893" s="13" t="s">
        <v>13800</v>
      </c>
      <c r="I7893" s="40" t="s">
        <v>18</v>
      </c>
      <c r="J7893" s="40" t="str">
        <f>HYPERLINK("https://stock.pstatic.net/stock-research/company/62/20251031_company_315000000.pdf","PDF")</f>
        <v>PDF</v>
      </c>
      <c r="K7893" s="12" t="s">
        <v>13801</v>
      </c>
      <c r="L7893" s="20">
        <v>0.3060179257362356</v>
      </c>
    </row>
    <row r="7894" spans="1:12" x14ac:dyDescent="0.45">
      <c r="A7894" s="12" t="s">
        <v>13777</v>
      </c>
      <c r="B7894" s="12" t="s">
        <v>3749</v>
      </c>
      <c r="C7894" s="13" t="s">
        <v>3750</v>
      </c>
      <c r="D7894" s="13" t="s">
        <v>65</v>
      </c>
      <c r="E7894" s="12" t="s">
        <v>35</v>
      </c>
      <c r="F7894" s="14">
        <v>210000</v>
      </c>
      <c r="G7894" s="14">
        <v>171000</v>
      </c>
      <c r="H7894" s="13" t="s">
        <v>13802</v>
      </c>
      <c r="I7894" s="40" t="s">
        <v>18</v>
      </c>
      <c r="J7894" s="40" t="str">
        <f>HYPERLINK("https://stock.pstatic.net/stock-research/company/57/20251031_company_734748000.pdf","PDF")</f>
        <v>PDF</v>
      </c>
      <c r="K7894" s="12" t="s">
        <v>13803</v>
      </c>
      <c r="L7894" s="20">
        <v>0.22807017543859651</v>
      </c>
    </row>
    <row r="7895" spans="1:12" x14ac:dyDescent="0.45">
      <c r="A7895" s="12" t="s">
        <v>13777</v>
      </c>
      <c r="B7895" s="12" t="s">
        <v>3831</v>
      </c>
      <c r="C7895" s="13" t="s">
        <v>3832</v>
      </c>
      <c r="D7895" s="13" t="s">
        <v>60</v>
      </c>
      <c r="E7895" s="12" t="s">
        <v>35</v>
      </c>
      <c r="F7895" s="14">
        <v>53000</v>
      </c>
      <c r="G7895" s="14">
        <v>36450</v>
      </c>
      <c r="H7895" s="13" t="s">
        <v>13804</v>
      </c>
      <c r="I7895" s="40" t="s">
        <v>18</v>
      </c>
      <c r="J7895" s="40" t="str">
        <f>HYPERLINK("https://stock.pstatic.net/stock-research/company/62/20251031_company_248494000.pdf","PDF")</f>
        <v>PDF</v>
      </c>
      <c r="K7895" s="12" t="s">
        <v>13805</v>
      </c>
      <c r="L7895" s="20">
        <v>0.45404663923182442</v>
      </c>
    </row>
    <row r="7896" spans="1:12" x14ac:dyDescent="0.45">
      <c r="A7896" s="12" t="s">
        <v>13777</v>
      </c>
      <c r="B7896" s="12" t="s">
        <v>519</v>
      </c>
      <c r="C7896" s="13" t="s">
        <v>520</v>
      </c>
      <c r="D7896" s="13" t="s">
        <v>60</v>
      </c>
      <c r="E7896" s="12" t="s">
        <v>35</v>
      </c>
      <c r="F7896" s="14">
        <v>310000</v>
      </c>
      <c r="G7896" s="14">
        <v>265000</v>
      </c>
      <c r="H7896" s="13" t="s">
        <v>13806</v>
      </c>
      <c r="I7896" s="40" t="s">
        <v>18</v>
      </c>
      <c r="J7896" s="40" t="str">
        <f>HYPERLINK("https://stock.pstatic.net/stock-research/company/62/20251031_company_557170000.pdf","PDF")</f>
        <v>PDF</v>
      </c>
      <c r="K7896" s="12" t="s">
        <v>13807</v>
      </c>
      <c r="L7896" s="20">
        <v>0.169811320754717</v>
      </c>
    </row>
    <row r="7897" spans="1:12" x14ac:dyDescent="0.45">
      <c r="A7897" s="12" t="s">
        <v>13777</v>
      </c>
      <c r="B7897" s="12" t="s">
        <v>5767</v>
      </c>
      <c r="C7897" s="13" t="s">
        <v>5768</v>
      </c>
      <c r="D7897" s="13" t="s">
        <v>65</v>
      </c>
      <c r="E7897" s="12" t="s">
        <v>35</v>
      </c>
      <c r="F7897" s="14">
        <v>40000</v>
      </c>
      <c r="G7897" s="14">
        <v>33700</v>
      </c>
      <c r="H7897" s="13" t="s">
        <v>13808</v>
      </c>
      <c r="I7897" s="40" t="s">
        <v>18</v>
      </c>
      <c r="J7897" s="40" t="str">
        <f>HYPERLINK("https://stock.pstatic.net/stock-research/company/57/20251031_company_589918000.pdf","PDF")</f>
        <v>PDF</v>
      </c>
      <c r="K7897" s="12" t="s">
        <v>13809</v>
      </c>
      <c r="L7897" s="20">
        <v>0.1869436201780415</v>
      </c>
    </row>
    <row r="7898" spans="1:12" x14ac:dyDescent="0.45">
      <c r="A7898" s="12" t="s">
        <v>13777</v>
      </c>
      <c r="B7898" s="12" t="s">
        <v>3168</v>
      </c>
      <c r="C7898" s="13" t="s">
        <v>3169</v>
      </c>
      <c r="D7898" s="13" t="s">
        <v>60</v>
      </c>
      <c r="E7898" s="12" t="s">
        <v>35</v>
      </c>
      <c r="F7898" s="14">
        <v>16100</v>
      </c>
      <c r="G7898" s="14">
        <v>13530</v>
      </c>
      <c r="H7898" s="13" t="s">
        <v>13810</v>
      </c>
      <c r="I7898" s="40" t="s">
        <v>18</v>
      </c>
      <c r="J7898" s="40" t="str">
        <f>HYPERLINK("https://stock.pstatic.net/stock-research/company/62/20251031_company_135023000.pdf","PDF")</f>
        <v>PDF</v>
      </c>
      <c r="K7898" s="12" t="s">
        <v>13811</v>
      </c>
      <c r="L7898" s="20">
        <v>0.18994826311899479</v>
      </c>
    </row>
    <row r="7899" spans="1:12" x14ac:dyDescent="0.45">
      <c r="A7899" s="12" t="s">
        <v>13777</v>
      </c>
      <c r="B7899" s="12" t="s">
        <v>3492</v>
      </c>
      <c r="C7899" s="13" t="s">
        <v>3493</v>
      </c>
      <c r="D7899" s="13" t="s">
        <v>60</v>
      </c>
      <c r="E7899" s="12" t="s">
        <v>35</v>
      </c>
      <c r="F7899" s="14">
        <v>24500</v>
      </c>
      <c r="G7899" s="14">
        <v>19160</v>
      </c>
      <c r="H7899" s="13" t="s">
        <v>13812</v>
      </c>
      <c r="I7899" s="40" t="s">
        <v>18</v>
      </c>
      <c r="J7899" s="40" t="str">
        <f>HYPERLINK("https://stock.pstatic.net/stock-research/company/62/20251031_company_253506000.pdf","PDF")</f>
        <v>PDF</v>
      </c>
      <c r="K7899" s="12" t="s">
        <v>13813</v>
      </c>
      <c r="L7899" s="20">
        <v>0.27870563674321502</v>
      </c>
    </row>
    <row r="7900" spans="1:12" x14ac:dyDescent="0.45">
      <c r="A7900" s="12" t="s">
        <v>13777</v>
      </c>
      <c r="B7900" s="12" t="s">
        <v>2378</v>
      </c>
      <c r="C7900" s="13" t="s">
        <v>2379</v>
      </c>
      <c r="D7900" s="13" t="s">
        <v>65</v>
      </c>
      <c r="E7900" s="12" t="s">
        <v>35</v>
      </c>
      <c r="F7900" s="14">
        <v>559000</v>
      </c>
      <c r="G7900" s="14">
        <v>486500</v>
      </c>
      <c r="H7900" s="13" t="s">
        <v>13814</v>
      </c>
      <c r="I7900" s="40" t="s">
        <v>18</v>
      </c>
      <c r="J7900" s="40" t="str">
        <f>HYPERLINK("https://stock.pstatic.net/stock-research/company/57/20251031_company_12973000.pdf","PDF")</f>
        <v>PDF</v>
      </c>
      <c r="K7900" s="12" t="s">
        <v>13815</v>
      </c>
      <c r="L7900" s="20">
        <v>0.1490236382322713</v>
      </c>
    </row>
    <row r="7901" spans="1:12" x14ac:dyDescent="0.45">
      <c r="A7901" s="12" t="s">
        <v>13777</v>
      </c>
      <c r="B7901" s="12" t="s">
        <v>4668</v>
      </c>
      <c r="C7901" s="13" t="s">
        <v>4669</v>
      </c>
      <c r="D7901" s="13" t="s">
        <v>65</v>
      </c>
      <c r="E7901" s="12" t="s">
        <v>35</v>
      </c>
      <c r="F7901" s="14">
        <v>25000</v>
      </c>
      <c r="G7901" s="14">
        <v>21050</v>
      </c>
      <c r="H7901" s="13" t="s">
        <v>13816</v>
      </c>
      <c r="I7901" s="40" t="s">
        <v>18</v>
      </c>
      <c r="J7901" s="40" t="str">
        <f>HYPERLINK("https://stock.pstatic.net/stock-research/company/57/20251031_company_912256000.pdf","PDF")</f>
        <v>PDF</v>
      </c>
      <c r="K7901" s="12" t="s">
        <v>13817</v>
      </c>
      <c r="L7901" s="20">
        <v>0.18764845605700711</v>
      </c>
    </row>
    <row r="7902" spans="1:12" x14ac:dyDescent="0.45">
      <c r="A7902" s="12" t="s">
        <v>13777</v>
      </c>
      <c r="B7902" s="12" t="s">
        <v>3373</v>
      </c>
      <c r="C7902" s="13" t="s">
        <v>3374</v>
      </c>
      <c r="D7902" s="13" t="s">
        <v>60</v>
      </c>
      <c r="E7902" s="12" t="s">
        <v>35</v>
      </c>
      <c r="F7902" s="14">
        <v>145000</v>
      </c>
      <c r="G7902" s="14">
        <v>115800</v>
      </c>
      <c r="H7902" s="13" t="s">
        <v>13818</v>
      </c>
      <c r="I7902" s="40" t="s">
        <v>18</v>
      </c>
      <c r="J7902" s="40" t="str">
        <f>HYPERLINK("https://stock.pstatic.net/stock-research/company/62/20251031_company_750079000.pdf","PDF")</f>
        <v>PDF</v>
      </c>
      <c r="K7902" s="12" t="s">
        <v>13819</v>
      </c>
      <c r="L7902" s="20">
        <v>0.25215889464594132</v>
      </c>
    </row>
    <row r="7903" spans="1:12" x14ac:dyDescent="0.45">
      <c r="A7903" s="12" t="s">
        <v>13777</v>
      </c>
      <c r="B7903" s="12" t="s">
        <v>3087</v>
      </c>
      <c r="C7903" s="13" t="s">
        <v>3088</v>
      </c>
      <c r="D7903" s="13" t="s">
        <v>65</v>
      </c>
      <c r="E7903" s="12" t="s">
        <v>35</v>
      </c>
      <c r="F7903" s="14">
        <v>285000</v>
      </c>
      <c r="G7903" s="14">
        <v>244500</v>
      </c>
      <c r="H7903" s="13" t="s">
        <v>13820</v>
      </c>
      <c r="I7903" s="40" t="s">
        <v>18</v>
      </c>
      <c r="J7903" s="40" t="str">
        <f>HYPERLINK("https://stock.pstatic.net/stock-research/company/57/20251031_company_519898000.pdf","PDF")</f>
        <v>PDF</v>
      </c>
      <c r="K7903" s="12" t="s">
        <v>13821</v>
      </c>
      <c r="L7903" s="20">
        <v>0.16564417177914109</v>
      </c>
    </row>
    <row r="7904" spans="1:12" x14ac:dyDescent="0.45">
      <c r="A7904" s="12" t="s">
        <v>13777</v>
      </c>
      <c r="B7904" s="12" t="s">
        <v>95</v>
      </c>
      <c r="C7904" s="13" t="s">
        <v>31</v>
      </c>
      <c r="D7904" s="13" t="s">
        <v>65</v>
      </c>
      <c r="E7904" s="12" t="s">
        <v>35</v>
      </c>
      <c r="F7904" s="14">
        <v>39000</v>
      </c>
      <c r="G7904" s="14">
        <v>27400</v>
      </c>
      <c r="H7904" s="13" t="s">
        <v>13822</v>
      </c>
      <c r="I7904" s="40" t="s">
        <v>18</v>
      </c>
      <c r="J7904" s="40" t="str">
        <f>HYPERLINK("https://stock.pstatic.net/stock-research/company/57/20251031_company_158787000.pdf","PDF")</f>
        <v>PDF</v>
      </c>
      <c r="K7904" s="12" t="s">
        <v>13823</v>
      </c>
      <c r="L7904" s="20">
        <v>0.42335766423357662</v>
      </c>
    </row>
    <row r="7905" spans="1:12" x14ac:dyDescent="0.45">
      <c r="A7905" s="12" t="s">
        <v>13777</v>
      </c>
      <c r="B7905" s="12" t="s">
        <v>13</v>
      </c>
      <c r="C7905" s="13" t="s">
        <v>14</v>
      </c>
      <c r="D7905" s="13" t="s">
        <v>60</v>
      </c>
      <c r="E7905" s="12" t="s">
        <v>35</v>
      </c>
      <c r="F7905" s="14">
        <v>140000</v>
      </c>
      <c r="G7905" s="14">
        <v>104100</v>
      </c>
      <c r="H7905" s="13" t="s">
        <v>13824</v>
      </c>
      <c r="I7905" s="40" t="s">
        <v>18</v>
      </c>
      <c r="J7905" s="40" t="str">
        <f>HYPERLINK("https://stock.pstatic.net/stock-research/company/62/20251031_company_505181000.pdf","PDF")</f>
        <v>PDF</v>
      </c>
      <c r="K7905" s="12" t="s">
        <v>13825</v>
      </c>
      <c r="L7905" s="20">
        <v>0.34486071085494718</v>
      </c>
    </row>
    <row r="7906" spans="1:12" x14ac:dyDescent="0.45">
      <c r="A7906" s="12" t="s">
        <v>13777</v>
      </c>
      <c r="B7906" s="12" t="s">
        <v>908</v>
      </c>
      <c r="C7906" s="13" t="s">
        <v>909</v>
      </c>
      <c r="D7906" s="13" t="s">
        <v>65</v>
      </c>
      <c r="E7906" s="12" t="s">
        <v>35</v>
      </c>
      <c r="F7906" s="14">
        <v>220000</v>
      </c>
      <c r="G7906" s="14">
        <v>168400</v>
      </c>
      <c r="H7906" s="13" t="s">
        <v>13826</v>
      </c>
      <c r="I7906" s="40" t="s">
        <v>18</v>
      </c>
      <c r="J7906" s="40" t="str">
        <f>HYPERLINK("https://stock.pstatic.net/stock-research/company/57/20251031_company_431506000.pdf","PDF")</f>
        <v>PDF</v>
      </c>
      <c r="K7906" s="12" t="s">
        <v>13827</v>
      </c>
      <c r="L7906" s="20">
        <v>0.30641330166270792</v>
      </c>
    </row>
    <row r="7907" spans="1:12" x14ac:dyDescent="0.45">
      <c r="A7907" s="12" t="s">
        <v>13777</v>
      </c>
      <c r="B7907" s="12" t="s">
        <v>541</v>
      </c>
      <c r="C7907" s="13" t="s">
        <v>542</v>
      </c>
      <c r="D7907" s="13" t="s">
        <v>65</v>
      </c>
      <c r="E7907" s="12" t="s">
        <v>35</v>
      </c>
      <c r="F7907" s="14">
        <v>55000</v>
      </c>
      <c r="G7907" s="14">
        <v>52700</v>
      </c>
      <c r="H7907" s="13" t="s">
        <v>13828</v>
      </c>
      <c r="I7907" s="40" t="s">
        <v>18</v>
      </c>
      <c r="J7907" s="40" t="str">
        <f>HYPERLINK("https://stock.pstatic.net/stock-research/company/57/20251031_company_62601000.pdf","PDF")</f>
        <v>PDF</v>
      </c>
      <c r="K7907" s="12" t="s">
        <v>13829</v>
      </c>
      <c r="L7907" s="20">
        <v>4.3643263757115747E-2</v>
      </c>
    </row>
    <row r="7908" spans="1:12" x14ac:dyDescent="0.45">
      <c r="A7908" s="12" t="s">
        <v>13777</v>
      </c>
      <c r="B7908" s="12" t="s">
        <v>81</v>
      </c>
      <c r="C7908" s="13" t="s">
        <v>82</v>
      </c>
      <c r="D7908" s="13" t="s">
        <v>60</v>
      </c>
      <c r="E7908" s="12" t="s">
        <v>35</v>
      </c>
      <c r="F7908" s="14">
        <v>26000</v>
      </c>
      <c r="G7908" s="14">
        <v>20100</v>
      </c>
      <c r="H7908" s="13" t="s">
        <v>13830</v>
      </c>
      <c r="I7908" s="40" t="s">
        <v>18</v>
      </c>
      <c r="J7908" s="40" t="str">
        <f>HYPERLINK("https://stock.pstatic.net/stock-research/company/62/20251031_company_214597000.pdf","PDF")</f>
        <v>PDF</v>
      </c>
      <c r="K7908" s="12" t="s">
        <v>13831</v>
      </c>
      <c r="L7908" s="20">
        <v>0.29353233830845771</v>
      </c>
    </row>
    <row r="7909" spans="1:12" x14ac:dyDescent="0.45">
      <c r="A7909" s="12" t="s">
        <v>13777</v>
      </c>
      <c r="B7909" s="12" t="s">
        <v>541</v>
      </c>
      <c r="C7909" s="13" t="s">
        <v>542</v>
      </c>
      <c r="D7909" s="13" t="s">
        <v>65</v>
      </c>
      <c r="E7909" s="12" t="s">
        <v>35</v>
      </c>
      <c r="F7909" s="14">
        <v>55000</v>
      </c>
      <c r="G7909" s="14">
        <v>52700</v>
      </c>
      <c r="H7909" s="13" t="s">
        <v>13832</v>
      </c>
      <c r="I7909" s="40" t="s">
        <v>18</v>
      </c>
      <c r="J7909" s="40" t="str">
        <f>HYPERLINK("https://stock.pstatic.net/stock-research/company/57/20251031_company_124943000.pdf","PDF")</f>
        <v>PDF</v>
      </c>
      <c r="K7909" s="12" t="s">
        <v>13833</v>
      </c>
      <c r="L7909" s="20">
        <v>4.3643263757115747E-2</v>
      </c>
    </row>
    <row r="7910" spans="1:12" x14ac:dyDescent="0.45">
      <c r="A7910" s="12" t="s">
        <v>13777</v>
      </c>
      <c r="B7910" s="12" t="s">
        <v>3478</v>
      </c>
      <c r="C7910" s="13" t="s">
        <v>3479</v>
      </c>
      <c r="D7910" s="13" t="s">
        <v>65</v>
      </c>
      <c r="E7910" s="12" t="s">
        <v>35</v>
      </c>
      <c r="F7910" s="14">
        <v>50000</v>
      </c>
      <c r="G7910" s="14">
        <v>33450</v>
      </c>
      <c r="H7910" s="13" t="s">
        <v>13834</v>
      </c>
      <c r="I7910" s="40" t="s">
        <v>18</v>
      </c>
      <c r="J7910" s="40" t="str">
        <f>HYPERLINK("https://stock.pstatic.net/stock-research/company/57/20251031_company_479607000.pdf","PDF")</f>
        <v>PDF</v>
      </c>
      <c r="K7910" s="12" t="s">
        <v>13835</v>
      </c>
      <c r="L7910" s="20">
        <v>0.49476831091180867</v>
      </c>
    </row>
    <row r="7911" spans="1:12" x14ac:dyDescent="0.45">
      <c r="A7911" s="12" t="s">
        <v>13777</v>
      </c>
      <c r="B7911" s="12" t="s">
        <v>174</v>
      </c>
      <c r="C7911" s="13" t="s">
        <v>44</v>
      </c>
      <c r="D7911" s="13" t="s">
        <v>60</v>
      </c>
      <c r="E7911" s="12" t="s">
        <v>35</v>
      </c>
      <c r="F7911" s="14">
        <v>330000</v>
      </c>
      <c r="G7911" s="14">
        <v>299500</v>
      </c>
      <c r="H7911" s="13" t="s">
        <v>13836</v>
      </c>
      <c r="I7911" s="40" t="s">
        <v>18</v>
      </c>
      <c r="J7911" s="40" t="str">
        <f>HYPERLINK("https://stock.pstatic.net/stock-research/company/62/20251031_company_950951000.pdf","PDF")</f>
        <v>PDF</v>
      </c>
      <c r="K7911" s="12" t="s">
        <v>13837</v>
      </c>
      <c r="L7911" s="20">
        <v>0.1018363939899833</v>
      </c>
    </row>
    <row r="7912" spans="1:12" x14ac:dyDescent="0.45">
      <c r="A7912" s="12" t="s">
        <v>13777</v>
      </c>
      <c r="B7912" s="12" t="s">
        <v>13</v>
      </c>
      <c r="C7912" s="13" t="s">
        <v>14</v>
      </c>
      <c r="D7912" s="13" t="s">
        <v>65</v>
      </c>
      <c r="E7912" s="12" t="s">
        <v>35</v>
      </c>
      <c r="F7912" s="14">
        <v>133000</v>
      </c>
      <c r="G7912" s="14">
        <v>104100</v>
      </c>
      <c r="H7912" s="13" t="s">
        <v>13838</v>
      </c>
      <c r="I7912" s="40" t="s">
        <v>18</v>
      </c>
      <c r="J7912" s="40" t="str">
        <f>HYPERLINK("https://stock.pstatic.net/stock-research/company/57/20251031_company_493976000.pdf","PDF")</f>
        <v>PDF</v>
      </c>
      <c r="K7912" s="12" t="s">
        <v>13839</v>
      </c>
      <c r="L7912" s="20">
        <v>0.27761767531219977</v>
      </c>
    </row>
    <row r="7913" spans="1:12" x14ac:dyDescent="0.45">
      <c r="A7913" s="12" t="s">
        <v>13777</v>
      </c>
      <c r="B7913" s="12" t="s">
        <v>3105</v>
      </c>
      <c r="C7913" s="13" t="s">
        <v>3106</v>
      </c>
      <c r="D7913" s="13" t="s">
        <v>65</v>
      </c>
      <c r="E7913" s="12" t="s">
        <v>35</v>
      </c>
      <c r="F7913" s="14">
        <v>400000</v>
      </c>
      <c r="G7913" s="14">
        <v>324500</v>
      </c>
      <c r="H7913" s="13" t="s">
        <v>13840</v>
      </c>
      <c r="I7913" s="40" t="s">
        <v>18</v>
      </c>
      <c r="J7913" s="40" t="str">
        <f>HYPERLINK("https://stock.pstatic.net/stock-research/company/57/20251031_company_991636000.pdf","PDF")</f>
        <v>PDF</v>
      </c>
      <c r="K7913" s="12" t="s">
        <v>13841</v>
      </c>
      <c r="L7913" s="20">
        <v>0.2326656394453005</v>
      </c>
    </row>
    <row r="7914" spans="1:12" x14ac:dyDescent="0.45">
      <c r="A7914" s="12" t="s">
        <v>13777</v>
      </c>
      <c r="B7914" s="12" t="s">
        <v>174</v>
      </c>
      <c r="C7914" s="13" t="s">
        <v>44</v>
      </c>
      <c r="D7914" s="13" t="s">
        <v>65</v>
      </c>
      <c r="E7914" s="12" t="s">
        <v>35</v>
      </c>
      <c r="F7914" s="14">
        <v>370000</v>
      </c>
      <c r="G7914" s="14">
        <v>299500</v>
      </c>
      <c r="H7914" s="13" t="s">
        <v>13842</v>
      </c>
      <c r="I7914" s="40" t="s">
        <v>18</v>
      </c>
      <c r="J7914" s="40" t="str">
        <f>HYPERLINK("https://stock.pstatic.net/stock-research/company/57/20251031_company_302029000.pdf","PDF")</f>
        <v>PDF</v>
      </c>
      <c r="K7914" s="12" t="s">
        <v>13843</v>
      </c>
      <c r="L7914" s="20">
        <v>0.23539232053422371</v>
      </c>
    </row>
    <row r="7915" spans="1:12" x14ac:dyDescent="0.45">
      <c r="A7915" s="12" t="s">
        <v>13777</v>
      </c>
      <c r="B7915" s="12" t="s">
        <v>2378</v>
      </c>
      <c r="C7915" s="13" t="s">
        <v>2379</v>
      </c>
      <c r="D7915" s="13" t="s">
        <v>57</v>
      </c>
      <c r="E7915" s="12" t="s">
        <v>35</v>
      </c>
      <c r="F7915" s="14">
        <v>570000</v>
      </c>
      <c r="G7915" s="14">
        <v>486500</v>
      </c>
      <c r="H7915" s="13" t="s">
        <v>13844</v>
      </c>
      <c r="I7915" s="40" t="s">
        <v>18</v>
      </c>
      <c r="J7915" s="40" t="str">
        <f>HYPERLINK("https://stock.pstatic.net/stock-research/company/16/20251031_company_171205000.pdf","PDF")</f>
        <v>PDF</v>
      </c>
      <c r="K7915" s="12" t="s">
        <v>13845</v>
      </c>
      <c r="L7915" s="20">
        <v>0.17163412127440911</v>
      </c>
    </row>
    <row r="7916" spans="1:12" x14ac:dyDescent="0.45">
      <c r="A7916" s="12" t="s">
        <v>13777</v>
      </c>
      <c r="B7916" s="12" t="s">
        <v>174</v>
      </c>
      <c r="C7916" s="13" t="s">
        <v>44</v>
      </c>
      <c r="D7916" s="13" t="s">
        <v>65</v>
      </c>
      <c r="E7916" s="12" t="s">
        <v>35</v>
      </c>
      <c r="F7916" s="14">
        <v>370000</v>
      </c>
      <c r="G7916" s="14">
        <v>299500</v>
      </c>
      <c r="H7916" s="13" t="s">
        <v>13846</v>
      </c>
      <c r="I7916" s="40" t="s">
        <v>18</v>
      </c>
      <c r="J7916" s="40" t="str">
        <f>HYPERLINK("https://stock.pstatic.net/stock-research/company/57/20251031_company_969067000.pdf","PDF")</f>
        <v>PDF</v>
      </c>
      <c r="K7916" s="12" t="s">
        <v>13847</v>
      </c>
      <c r="L7916" s="20">
        <v>0.23539232053422371</v>
      </c>
    </row>
    <row r="7917" spans="1:12" x14ac:dyDescent="0.45">
      <c r="A7917" s="12" t="s">
        <v>13777</v>
      </c>
      <c r="B7917" s="12" t="s">
        <v>3749</v>
      </c>
      <c r="C7917" s="13" t="s">
        <v>3750</v>
      </c>
      <c r="D7917" s="13" t="s">
        <v>57</v>
      </c>
      <c r="E7917" s="12" t="s">
        <v>35</v>
      </c>
      <c r="F7917" s="14">
        <v>200000</v>
      </c>
      <c r="G7917" s="14">
        <v>171000</v>
      </c>
      <c r="H7917" s="13" t="s">
        <v>13848</v>
      </c>
      <c r="I7917" s="40" t="s">
        <v>18</v>
      </c>
      <c r="J7917" s="40" t="str">
        <f>HYPERLINK("https://stock.pstatic.net/stock-research/company/16/20251031_company_980286000.pdf","PDF")</f>
        <v>PDF</v>
      </c>
      <c r="K7917" s="12" t="s">
        <v>13849</v>
      </c>
      <c r="L7917" s="20">
        <v>0.16959064327485379</v>
      </c>
    </row>
    <row r="7918" spans="1:12" x14ac:dyDescent="0.45">
      <c r="A7918" s="12" t="s">
        <v>13777</v>
      </c>
      <c r="B7918" s="12" t="s">
        <v>3168</v>
      </c>
      <c r="C7918" s="13" t="s">
        <v>3169</v>
      </c>
      <c r="D7918" s="13" t="s">
        <v>65</v>
      </c>
      <c r="E7918" s="12" t="s">
        <v>35</v>
      </c>
      <c r="F7918" s="14">
        <v>17500</v>
      </c>
      <c r="G7918" s="14">
        <v>13530</v>
      </c>
      <c r="H7918" s="13" t="s">
        <v>13850</v>
      </c>
      <c r="I7918" s="40" t="s">
        <v>18</v>
      </c>
      <c r="J7918" s="40" t="str">
        <f>HYPERLINK("https://stock.pstatic.net/stock-research/company/57/20251031_company_661263000.pdf","PDF")</f>
        <v>PDF</v>
      </c>
      <c r="K7918" s="12" t="s">
        <v>13851</v>
      </c>
      <c r="L7918" s="20">
        <v>0.29342202512934218</v>
      </c>
    </row>
    <row r="7919" spans="1:12" x14ac:dyDescent="0.45">
      <c r="A7919" s="12" t="s">
        <v>13777</v>
      </c>
      <c r="B7919" s="12" t="s">
        <v>519</v>
      </c>
      <c r="C7919" s="13" t="s">
        <v>520</v>
      </c>
      <c r="D7919" s="13" t="s">
        <v>57</v>
      </c>
      <c r="E7919" s="12" t="s">
        <v>35</v>
      </c>
      <c r="F7919" s="14">
        <v>305000</v>
      </c>
      <c r="G7919" s="14">
        <v>265000</v>
      </c>
      <c r="H7919" s="13" t="s">
        <v>13852</v>
      </c>
      <c r="I7919" s="40" t="s">
        <v>18</v>
      </c>
      <c r="J7919" s="40" t="str">
        <f>HYPERLINK("https://stock.pstatic.net/stock-research/company/16/20251031_company_305610000.pdf","PDF")</f>
        <v>PDF</v>
      </c>
      <c r="K7919" s="12" t="s">
        <v>13853</v>
      </c>
      <c r="L7919" s="20">
        <v>0.15094339622641509</v>
      </c>
    </row>
    <row r="7920" spans="1:12" x14ac:dyDescent="0.45">
      <c r="A7920" s="12" t="s">
        <v>13777</v>
      </c>
      <c r="B7920" s="12" t="s">
        <v>3831</v>
      </c>
      <c r="C7920" s="13" t="s">
        <v>3832</v>
      </c>
      <c r="D7920" s="13" t="s">
        <v>57</v>
      </c>
      <c r="E7920" s="12" t="s">
        <v>35</v>
      </c>
      <c r="F7920" s="14">
        <v>48000</v>
      </c>
      <c r="G7920" s="14">
        <v>36450</v>
      </c>
      <c r="H7920" s="13" t="s">
        <v>13854</v>
      </c>
      <c r="I7920" s="40" t="s">
        <v>18</v>
      </c>
      <c r="J7920" s="40" t="str">
        <f>HYPERLINK("https://stock.pstatic.net/stock-research/company/16/20251031_company_31293000.pdf","PDF")</f>
        <v>PDF</v>
      </c>
      <c r="K7920" s="12" t="s">
        <v>13855</v>
      </c>
      <c r="L7920" s="20">
        <v>0.3168724279835391</v>
      </c>
    </row>
    <row r="7921" spans="1:12" x14ac:dyDescent="0.45">
      <c r="A7921" s="12" t="s">
        <v>13777</v>
      </c>
      <c r="B7921" s="12" t="s">
        <v>3373</v>
      </c>
      <c r="C7921" s="13" t="s">
        <v>3374</v>
      </c>
      <c r="D7921" s="13" t="s">
        <v>57</v>
      </c>
      <c r="E7921" s="12" t="s">
        <v>35</v>
      </c>
      <c r="F7921" s="14">
        <v>152000</v>
      </c>
      <c r="G7921" s="14">
        <v>115800</v>
      </c>
      <c r="H7921" s="13" t="s">
        <v>13856</v>
      </c>
      <c r="I7921" s="40" t="s">
        <v>18</v>
      </c>
      <c r="J7921" s="40" t="str">
        <f>HYPERLINK("https://stock.pstatic.net/stock-research/company/16/20251031_company_525112000.pdf","PDF")</f>
        <v>PDF</v>
      </c>
      <c r="K7921" s="12" t="s">
        <v>13857</v>
      </c>
      <c r="L7921" s="20">
        <v>0.31260794473229708</v>
      </c>
    </row>
    <row r="7922" spans="1:12" x14ac:dyDescent="0.45">
      <c r="A7922" s="12" t="s">
        <v>13777</v>
      </c>
      <c r="B7922" s="12" t="s">
        <v>3478</v>
      </c>
      <c r="C7922" s="13" t="s">
        <v>3479</v>
      </c>
      <c r="D7922" s="13" t="s">
        <v>57</v>
      </c>
      <c r="E7922" s="12" t="s">
        <v>35</v>
      </c>
      <c r="F7922" s="14">
        <v>50000</v>
      </c>
      <c r="G7922" s="14">
        <v>33450</v>
      </c>
      <c r="H7922" s="13" t="s">
        <v>13858</v>
      </c>
      <c r="I7922" s="40" t="s">
        <v>18</v>
      </c>
      <c r="J7922" s="40" t="str">
        <f>HYPERLINK("https://stock.pstatic.net/stock-research/company/16/20251031_company_226414000.pdf","PDF")</f>
        <v>PDF</v>
      </c>
      <c r="K7922" s="12" t="s">
        <v>13859</v>
      </c>
      <c r="L7922" s="20">
        <v>0.49476831091180867</v>
      </c>
    </row>
    <row r="7923" spans="1:12" x14ac:dyDescent="0.45">
      <c r="A7923" s="12" t="s">
        <v>13777</v>
      </c>
      <c r="B7923" s="12" t="s">
        <v>740</v>
      </c>
      <c r="C7923" s="13" t="s">
        <v>741</v>
      </c>
      <c r="D7923" s="13" t="s">
        <v>158</v>
      </c>
      <c r="E7923" s="12" t="s">
        <v>35</v>
      </c>
      <c r="F7923" s="14">
        <v>280000</v>
      </c>
      <c r="G7923" s="14">
        <v>228500</v>
      </c>
      <c r="H7923" s="13" t="s">
        <v>13860</v>
      </c>
      <c r="I7923" s="40" t="s">
        <v>18</v>
      </c>
      <c r="J7923" s="40" t="str">
        <f>HYPERLINK("https://stock.pstatic.net/stock-research/company/18/20251031_company_814997000.pdf","PDF")</f>
        <v>PDF</v>
      </c>
      <c r="K7923" s="12" t="s">
        <v>13861</v>
      </c>
      <c r="L7923" s="20">
        <v>0.22538293216630201</v>
      </c>
    </row>
    <row r="7924" spans="1:12" x14ac:dyDescent="0.45">
      <c r="A7924" s="12" t="s">
        <v>13777</v>
      </c>
      <c r="B7924" s="12" t="s">
        <v>3749</v>
      </c>
      <c r="C7924" s="13" t="s">
        <v>3750</v>
      </c>
      <c r="D7924" s="13" t="s">
        <v>158</v>
      </c>
      <c r="E7924" s="12" t="s">
        <v>35</v>
      </c>
      <c r="F7924" s="14">
        <v>210000</v>
      </c>
      <c r="G7924" s="14">
        <v>171000</v>
      </c>
      <c r="H7924" s="13" t="s">
        <v>13862</v>
      </c>
      <c r="I7924" s="40" t="s">
        <v>18</v>
      </c>
      <c r="J7924" s="40" t="str">
        <f>HYPERLINK("https://stock.pstatic.net/stock-research/company/18/20251031_company_682035000.pdf","PDF")</f>
        <v>PDF</v>
      </c>
      <c r="K7924" s="12" t="s">
        <v>13863</v>
      </c>
      <c r="L7924" s="20">
        <v>0.22807017543859651</v>
      </c>
    </row>
    <row r="7925" spans="1:12" x14ac:dyDescent="0.45">
      <c r="A7925" s="12" t="s">
        <v>13777</v>
      </c>
      <c r="B7925" s="12" t="s">
        <v>3478</v>
      </c>
      <c r="C7925" s="13" t="s">
        <v>3479</v>
      </c>
      <c r="D7925" s="13" t="s">
        <v>158</v>
      </c>
      <c r="E7925" s="12" t="s">
        <v>35</v>
      </c>
      <c r="F7925" s="14">
        <v>50000</v>
      </c>
      <c r="G7925" s="14">
        <v>33450</v>
      </c>
      <c r="H7925" s="13" t="s">
        <v>13864</v>
      </c>
      <c r="I7925" s="40" t="s">
        <v>18</v>
      </c>
      <c r="J7925" s="40" t="str">
        <f>HYPERLINK("https://stock.pstatic.net/stock-research/company/18/20251031_company_978601000.pdf","PDF")</f>
        <v>PDF</v>
      </c>
      <c r="K7925" s="12" t="s">
        <v>13865</v>
      </c>
      <c r="L7925" s="20">
        <v>0.49476831091180867</v>
      </c>
    </row>
    <row r="7926" spans="1:12" x14ac:dyDescent="0.45">
      <c r="A7926" s="12" t="s">
        <v>13777</v>
      </c>
      <c r="B7926" s="12" t="s">
        <v>13866</v>
      </c>
      <c r="C7926" s="13" t="s">
        <v>13867</v>
      </c>
      <c r="D7926" s="13" t="s">
        <v>158</v>
      </c>
      <c r="E7926" s="12" t="s">
        <v>50</v>
      </c>
      <c r="F7926" s="13"/>
      <c r="G7926" s="14">
        <v>16260</v>
      </c>
      <c r="H7926" s="13" t="s">
        <v>13868</v>
      </c>
      <c r="I7926" s="40" t="s">
        <v>18</v>
      </c>
      <c r="J7926" s="40" t="str">
        <f>HYPERLINK("https://stock.pstatic.net/stock-research/company/18/20251031_company_966895000.pdf","PDF")</f>
        <v>PDF</v>
      </c>
      <c r="K7926" s="12" t="s">
        <v>13869</v>
      </c>
    </row>
    <row r="7927" spans="1:12" x14ac:dyDescent="0.45">
      <c r="A7927" s="12" t="s">
        <v>13777</v>
      </c>
      <c r="B7927" s="12" t="s">
        <v>912</v>
      </c>
      <c r="C7927" s="13" t="s">
        <v>913</v>
      </c>
      <c r="D7927" s="13" t="s">
        <v>158</v>
      </c>
      <c r="E7927" s="12" t="s">
        <v>35</v>
      </c>
      <c r="F7927" s="14">
        <v>84000</v>
      </c>
      <c r="G7927" s="14">
        <v>63000</v>
      </c>
      <c r="H7927" s="13" t="s">
        <v>13870</v>
      </c>
      <c r="I7927" s="40" t="s">
        <v>18</v>
      </c>
      <c r="J7927" s="40" t="str">
        <f>HYPERLINK("https://m.stock.naver.com/research/company/87391","PDF")</f>
        <v>PDF</v>
      </c>
      <c r="K7927" s="12" t="s">
        <v>13871</v>
      </c>
      <c r="L7927" s="20">
        <v>0.33333333333333331</v>
      </c>
    </row>
    <row r="7928" spans="1:12" x14ac:dyDescent="0.45">
      <c r="A7928" s="12" t="s">
        <v>13777</v>
      </c>
      <c r="B7928" s="12" t="s">
        <v>4668</v>
      </c>
      <c r="C7928" s="13" t="s">
        <v>4669</v>
      </c>
      <c r="D7928" s="13" t="s">
        <v>158</v>
      </c>
      <c r="E7928" s="12" t="s">
        <v>35</v>
      </c>
      <c r="F7928" s="14">
        <v>24500</v>
      </c>
      <c r="G7928" s="14">
        <v>21050</v>
      </c>
      <c r="H7928" s="13" t="s">
        <v>13872</v>
      </c>
      <c r="I7928" s="40" t="s">
        <v>18</v>
      </c>
      <c r="J7928" s="40" t="str">
        <f>HYPERLINK("https://m.stock.naver.com/research/company/87390","PDF")</f>
        <v>PDF</v>
      </c>
      <c r="K7928" s="12" t="s">
        <v>13873</v>
      </c>
      <c r="L7928" s="20">
        <v>0.163895486935867</v>
      </c>
    </row>
    <row r="7929" spans="1:12" x14ac:dyDescent="0.45">
      <c r="A7929" s="12" t="s">
        <v>13777</v>
      </c>
      <c r="B7929" s="12" t="s">
        <v>541</v>
      </c>
      <c r="C7929" s="13" t="s">
        <v>542</v>
      </c>
      <c r="D7929" s="13" t="s">
        <v>158</v>
      </c>
      <c r="E7929" s="12" t="s">
        <v>35</v>
      </c>
      <c r="F7929" s="14">
        <v>71000</v>
      </c>
      <c r="G7929" s="14">
        <v>52700</v>
      </c>
      <c r="H7929" s="13" t="s">
        <v>13874</v>
      </c>
      <c r="I7929" s="40" t="s">
        <v>18</v>
      </c>
      <c r="J7929" s="40" t="str">
        <f>HYPERLINK("https://m.stock.naver.com/research/company/87389","PDF")</f>
        <v>PDF</v>
      </c>
      <c r="K7929" s="12" t="s">
        <v>13875</v>
      </c>
      <c r="L7929" s="20">
        <v>0.34724857685009491</v>
      </c>
    </row>
    <row r="7930" spans="1:12" x14ac:dyDescent="0.45">
      <c r="A7930" s="12" t="s">
        <v>13777</v>
      </c>
      <c r="B7930" s="12" t="s">
        <v>174</v>
      </c>
      <c r="C7930" s="13" t="s">
        <v>44</v>
      </c>
      <c r="D7930" s="13" t="s">
        <v>158</v>
      </c>
      <c r="E7930" s="12" t="s">
        <v>35</v>
      </c>
      <c r="F7930" s="14">
        <v>360000</v>
      </c>
      <c r="G7930" s="14">
        <v>299500</v>
      </c>
      <c r="H7930" s="13" t="s">
        <v>13876</v>
      </c>
      <c r="I7930" s="40" t="s">
        <v>18</v>
      </c>
      <c r="J7930" s="40" t="str">
        <f>HYPERLINK("https://stock.pstatic.net/stock-research/company/18/20251031_company_820468000.pdf","PDF")</f>
        <v>PDF</v>
      </c>
      <c r="K7930" s="12" t="s">
        <v>13877</v>
      </c>
      <c r="L7930" s="20">
        <v>0.2020033388981636</v>
      </c>
    </row>
    <row r="7931" spans="1:12" x14ac:dyDescent="0.45">
      <c r="A7931" s="12" t="s">
        <v>13777</v>
      </c>
      <c r="B7931" s="12" t="s">
        <v>3373</v>
      </c>
      <c r="C7931" s="13" t="s">
        <v>3374</v>
      </c>
      <c r="D7931" s="13" t="s">
        <v>158</v>
      </c>
      <c r="E7931" s="12" t="s">
        <v>35</v>
      </c>
      <c r="F7931" s="14">
        <v>145000</v>
      </c>
      <c r="G7931" s="14">
        <v>115800</v>
      </c>
      <c r="H7931" s="13" t="s">
        <v>13878</v>
      </c>
      <c r="I7931" s="40" t="s">
        <v>18</v>
      </c>
      <c r="J7931" s="40" t="str">
        <f>HYPERLINK("https://stock.pstatic.net/stock-research/company/18/20251031_company_631164000.pdf","PDF")</f>
        <v>PDF</v>
      </c>
      <c r="K7931" s="12" t="s">
        <v>13879</v>
      </c>
      <c r="L7931" s="20">
        <v>0.25215889464594132</v>
      </c>
    </row>
    <row r="7932" spans="1:12" x14ac:dyDescent="0.45">
      <c r="A7932" s="12" t="s">
        <v>13777</v>
      </c>
      <c r="B7932" s="12" t="s">
        <v>81</v>
      </c>
      <c r="C7932" s="13" t="s">
        <v>82</v>
      </c>
      <c r="D7932" s="13" t="s">
        <v>158</v>
      </c>
      <c r="E7932" s="12" t="s">
        <v>35</v>
      </c>
      <c r="F7932" s="14">
        <v>25000</v>
      </c>
      <c r="G7932" s="14">
        <v>20100</v>
      </c>
      <c r="H7932" s="13" t="s">
        <v>13880</v>
      </c>
      <c r="I7932" s="40" t="s">
        <v>18</v>
      </c>
      <c r="J7932" s="40" t="str">
        <f>HYPERLINK("https://stock.pstatic.net/stock-research/company/18/20251031_company_763191000.pdf","PDF")</f>
        <v>PDF</v>
      </c>
      <c r="K7932" s="12" t="s">
        <v>13881</v>
      </c>
      <c r="L7932" s="20">
        <v>0.24378109452736321</v>
      </c>
    </row>
    <row r="7933" spans="1:12" x14ac:dyDescent="0.45">
      <c r="A7933" s="12" t="s">
        <v>13777</v>
      </c>
      <c r="B7933" s="12" t="s">
        <v>519</v>
      </c>
      <c r="C7933" s="13" t="s">
        <v>520</v>
      </c>
      <c r="D7933" s="13" t="s">
        <v>158</v>
      </c>
      <c r="E7933" s="12" t="s">
        <v>35</v>
      </c>
      <c r="F7933" s="14">
        <v>320000</v>
      </c>
      <c r="G7933" s="14">
        <v>265000</v>
      </c>
      <c r="H7933" s="13" t="s">
        <v>13882</v>
      </c>
      <c r="I7933" s="40" t="s">
        <v>18</v>
      </c>
      <c r="J7933" s="40" t="str">
        <f>HYPERLINK("https://m.stock.naver.com/research/company/87385","PDF")</f>
        <v>PDF</v>
      </c>
      <c r="K7933" s="12" t="s">
        <v>13883</v>
      </c>
      <c r="L7933" s="20">
        <v>0.20754716981132079</v>
      </c>
    </row>
    <row r="7934" spans="1:12" x14ac:dyDescent="0.45">
      <c r="A7934" s="12" t="s">
        <v>13777</v>
      </c>
      <c r="B7934" s="12" t="s">
        <v>13</v>
      </c>
      <c r="C7934" s="13" t="s">
        <v>14</v>
      </c>
      <c r="D7934" s="13" t="s">
        <v>158</v>
      </c>
      <c r="E7934" s="12" t="s">
        <v>35</v>
      </c>
      <c r="F7934" s="14">
        <v>128000</v>
      </c>
      <c r="G7934" s="14">
        <v>104100</v>
      </c>
      <c r="H7934" s="13" t="s">
        <v>13884</v>
      </c>
      <c r="I7934" s="40" t="s">
        <v>18</v>
      </c>
      <c r="J7934" s="40" t="str">
        <f>HYPERLINK("https://stock.pstatic.net/stock-research/company/18/20251031_company_351514000.pdf","PDF")</f>
        <v>PDF</v>
      </c>
      <c r="K7934" s="12" t="s">
        <v>13885</v>
      </c>
      <c r="L7934" s="20">
        <v>0.2295869356388088</v>
      </c>
    </row>
    <row r="7935" spans="1:12" x14ac:dyDescent="0.45">
      <c r="A7935" s="12" t="s">
        <v>13777</v>
      </c>
      <c r="B7935" s="12" t="s">
        <v>2170</v>
      </c>
      <c r="C7935" s="13" t="s">
        <v>2171</v>
      </c>
      <c r="D7935" s="13" t="s">
        <v>15</v>
      </c>
      <c r="E7935" s="12" t="s">
        <v>16</v>
      </c>
      <c r="F7935" s="14">
        <v>13000</v>
      </c>
      <c r="G7935" s="14">
        <v>8040</v>
      </c>
      <c r="H7935" s="13" t="s">
        <v>13886</v>
      </c>
      <c r="I7935" s="40" t="s">
        <v>18</v>
      </c>
      <c r="J7935" s="40" t="str">
        <f>HYPERLINK("https://m.stock.naver.com/research/company/87383","PDF")</f>
        <v>PDF</v>
      </c>
      <c r="K7935" s="12" t="s">
        <v>13887</v>
      </c>
      <c r="L7935" s="20">
        <v>0.61691542288557211</v>
      </c>
    </row>
    <row r="7936" spans="1:12" x14ac:dyDescent="0.45">
      <c r="A7936" s="12" t="s">
        <v>13777</v>
      </c>
      <c r="B7936" s="12" t="s">
        <v>81</v>
      </c>
      <c r="C7936" s="13" t="s">
        <v>82</v>
      </c>
      <c r="D7936" s="13" t="s">
        <v>15</v>
      </c>
      <c r="E7936" s="12" t="s">
        <v>16</v>
      </c>
      <c r="F7936" s="14">
        <v>28000</v>
      </c>
      <c r="G7936" s="14">
        <v>20100</v>
      </c>
      <c r="H7936" s="13" t="s">
        <v>13888</v>
      </c>
      <c r="I7936" s="40" t="s">
        <v>18</v>
      </c>
      <c r="J7936" s="40" t="str">
        <f>HYPERLINK("https://m.stock.naver.com/research/company/87382","PDF")</f>
        <v>PDF</v>
      </c>
      <c r="K7936" s="12" t="s">
        <v>13889</v>
      </c>
      <c r="L7936" s="20">
        <v>0.39303482587064681</v>
      </c>
    </row>
    <row r="7937" spans="1:12" x14ac:dyDescent="0.45">
      <c r="A7937" s="12" t="s">
        <v>13777</v>
      </c>
      <c r="B7937" s="12" t="s">
        <v>740</v>
      </c>
      <c r="C7937" s="13" t="s">
        <v>741</v>
      </c>
      <c r="D7937" s="13" t="s">
        <v>15</v>
      </c>
      <c r="E7937" s="12" t="s">
        <v>16</v>
      </c>
      <c r="F7937" s="14">
        <v>300000</v>
      </c>
      <c r="G7937" s="14">
        <v>228500</v>
      </c>
      <c r="H7937" s="13" t="s">
        <v>13890</v>
      </c>
      <c r="I7937" s="40" t="s">
        <v>18</v>
      </c>
      <c r="J7937" s="40" t="str">
        <f>HYPERLINK("https://m.stock.naver.com/research/company/87381","PDF")</f>
        <v>PDF</v>
      </c>
      <c r="K7937" s="12" t="s">
        <v>13891</v>
      </c>
      <c r="L7937" s="20">
        <v>0.31291028446389502</v>
      </c>
    </row>
    <row r="7938" spans="1:12" x14ac:dyDescent="0.45">
      <c r="A7938" s="12" t="s">
        <v>13777</v>
      </c>
      <c r="B7938" s="12" t="s">
        <v>3478</v>
      </c>
      <c r="C7938" s="13" t="s">
        <v>3479</v>
      </c>
      <c r="D7938" s="13" t="s">
        <v>15</v>
      </c>
      <c r="E7938" s="12" t="s">
        <v>16</v>
      </c>
      <c r="F7938" s="14">
        <v>46000</v>
      </c>
      <c r="G7938" s="14">
        <v>33450</v>
      </c>
      <c r="H7938" s="13" t="s">
        <v>13892</v>
      </c>
      <c r="I7938" s="40" t="s">
        <v>18</v>
      </c>
      <c r="J7938" s="40" t="str">
        <f>HYPERLINK("https://m.stock.naver.com/research/company/87380","PDF")</f>
        <v>PDF</v>
      </c>
      <c r="K7938" s="12" t="s">
        <v>13893</v>
      </c>
      <c r="L7938" s="20">
        <v>0.37518684603886399</v>
      </c>
    </row>
    <row r="7939" spans="1:12" x14ac:dyDescent="0.45">
      <c r="A7939" s="12" t="s">
        <v>13777</v>
      </c>
      <c r="B7939" s="12" t="s">
        <v>2378</v>
      </c>
      <c r="C7939" s="13" t="s">
        <v>2379</v>
      </c>
      <c r="D7939" s="13" t="s">
        <v>179</v>
      </c>
      <c r="E7939" s="12" t="s">
        <v>16</v>
      </c>
      <c r="F7939" s="14">
        <v>565000</v>
      </c>
      <c r="G7939" s="14">
        <v>486500</v>
      </c>
      <c r="H7939" s="13" t="s">
        <v>8639</v>
      </c>
      <c r="I7939" s="40" t="s">
        <v>18</v>
      </c>
      <c r="J7939" s="40" t="str">
        <f>HYPERLINK("https://stock.pstatic.net/stock-research/company/64/20251031_company_100727000.pdf","PDF")</f>
        <v>PDF</v>
      </c>
      <c r="K7939" s="12" t="s">
        <v>13894</v>
      </c>
      <c r="L7939" s="20">
        <v>0.16135662898252831</v>
      </c>
    </row>
    <row r="7940" spans="1:12" x14ac:dyDescent="0.45">
      <c r="A7940" s="12" t="s">
        <v>13777</v>
      </c>
      <c r="B7940" s="12" t="s">
        <v>95</v>
      </c>
      <c r="C7940" s="13" t="s">
        <v>31</v>
      </c>
      <c r="D7940" s="13" t="s">
        <v>15</v>
      </c>
      <c r="E7940" s="12" t="s">
        <v>16</v>
      </c>
      <c r="F7940" s="14">
        <v>38000</v>
      </c>
      <c r="G7940" s="14">
        <v>27400</v>
      </c>
      <c r="H7940" s="13" t="s">
        <v>13895</v>
      </c>
      <c r="I7940" s="40" t="s">
        <v>18</v>
      </c>
      <c r="J7940" s="40" t="str">
        <f>HYPERLINK("https://stock.pstatic.net/stock-research/company/29/20251031_company_649773000.pdf","PDF")</f>
        <v>PDF</v>
      </c>
      <c r="K7940" s="12" t="s">
        <v>13896</v>
      </c>
      <c r="L7940" s="20">
        <v>0.38686131386861322</v>
      </c>
    </row>
    <row r="7941" spans="1:12" x14ac:dyDescent="0.45">
      <c r="A7941" s="12" t="s">
        <v>13777</v>
      </c>
      <c r="B7941" s="12" t="s">
        <v>264</v>
      </c>
      <c r="C7941" s="13" t="s">
        <v>265</v>
      </c>
      <c r="D7941" s="13" t="s">
        <v>179</v>
      </c>
      <c r="E7941" s="12" t="s">
        <v>16</v>
      </c>
      <c r="F7941" s="14">
        <v>255000</v>
      </c>
      <c r="G7941" s="14">
        <v>217500</v>
      </c>
      <c r="H7941" s="13" t="s">
        <v>13897</v>
      </c>
      <c r="I7941" s="40" t="s">
        <v>18</v>
      </c>
      <c r="J7941" s="40" t="str">
        <f>HYPERLINK("https://m.stock.naver.com/research/company/87377","PDF")</f>
        <v>PDF</v>
      </c>
      <c r="K7941" s="12" t="s">
        <v>13898</v>
      </c>
      <c r="L7941" s="20">
        <v>0.17241379310344829</v>
      </c>
    </row>
    <row r="7942" spans="1:12" x14ac:dyDescent="0.45">
      <c r="A7942" s="12" t="s">
        <v>13777</v>
      </c>
      <c r="B7942" s="12" t="s">
        <v>3478</v>
      </c>
      <c r="C7942" s="13" t="s">
        <v>3479</v>
      </c>
      <c r="D7942" s="13" t="s">
        <v>83</v>
      </c>
      <c r="E7942" s="12" t="s">
        <v>35</v>
      </c>
      <c r="F7942" s="14">
        <v>43000</v>
      </c>
      <c r="G7942" s="14">
        <v>33450</v>
      </c>
      <c r="H7942" s="13" t="s">
        <v>13899</v>
      </c>
      <c r="I7942" s="40" t="s">
        <v>18</v>
      </c>
      <c r="J7942" s="40" t="str">
        <f>HYPERLINK("https://m.stock.naver.com/research/company/87376","PDF")</f>
        <v>PDF</v>
      </c>
      <c r="K7942" s="12" t="s">
        <v>13900</v>
      </c>
      <c r="L7942" s="20">
        <v>0.28550074738415537</v>
      </c>
    </row>
    <row r="7943" spans="1:12" x14ac:dyDescent="0.45">
      <c r="A7943" s="12" t="s">
        <v>13777</v>
      </c>
      <c r="B7943" s="12" t="s">
        <v>3749</v>
      </c>
      <c r="C7943" s="13" t="s">
        <v>3750</v>
      </c>
      <c r="D7943" s="13" t="s">
        <v>83</v>
      </c>
      <c r="E7943" s="12" t="s">
        <v>35</v>
      </c>
      <c r="F7943" s="14">
        <v>230000</v>
      </c>
      <c r="G7943" s="14">
        <v>171000</v>
      </c>
      <c r="H7943" s="13" t="s">
        <v>13901</v>
      </c>
      <c r="I7943" s="40" t="s">
        <v>18</v>
      </c>
      <c r="J7943" s="40" t="str">
        <f>HYPERLINK("https://stock.pstatic.net/stock-research/company/2/20251031_company_696492000.pdf","PDF")</f>
        <v>PDF</v>
      </c>
      <c r="K7943" s="12" t="s">
        <v>13902</v>
      </c>
      <c r="L7943" s="20">
        <v>0.34502923976608191</v>
      </c>
    </row>
    <row r="7944" spans="1:12" x14ac:dyDescent="0.45">
      <c r="A7944" s="12" t="s">
        <v>13777</v>
      </c>
      <c r="B7944" s="12" t="s">
        <v>13</v>
      </c>
      <c r="C7944" s="13" t="s">
        <v>14</v>
      </c>
      <c r="D7944" s="13" t="s">
        <v>83</v>
      </c>
      <c r="E7944" s="12" t="s">
        <v>35</v>
      </c>
      <c r="F7944" s="14">
        <v>130000</v>
      </c>
      <c r="G7944" s="14">
        <v>100500</v>
      </c>
      <c r="H7944" s="13" t="s">
        <v>13903</v>
      </c>
      <c r="I7944" s="40" t="s">
        <v>18</v>
      </c>
      <c r="J7944" s="40" t="str">
        <f>HYPERLINK("https://stock.pstatic.net/stock-research/company/2/20251031_company_415477000.pdf","PDF")</f>
        <v>PDF</v>
      </c>
      <c r="K7944" s="12" t="s">
        <v>13904</v>
      </c>
      <c r="L7944" s="20">
        <v>0.29353233830845771</v>
      </c>
    </row>
    <row r="7945" spans="1:12" x14ac:dyDescent="0.45">
      <c r="A7945" s="12" t="s">
        <v>13777</v>
      </c>
      <c r="B7945" s="12" t="s">
        <v>2867</v>
      </c>
      <c r="C7945" s="13" t="s">
        <v>2868</v>
      </c>
      <c r="D7945" s="13" t="s">
        <v>83</v>
      </c>
      <c r="E7945" s="12" t="s">
        <v>35</v>
      </c>
      <c r="F7945" s="14">
        <v>9000</v>
      </c>
      <c r="G7945" s="14">
        <v>6900</v>
      </c>
      <c r="H7945" s="13" t="s">
        <v>13905</v>
      </c>
      <c r="I7945" s="40" t="s">
        <v>18</v>
      </c>
      <c r="J7945" s="40" t="str">
        <f>HYPERLINK("https://m.stock.naver.com/research/company/87373","PDF")</f>
        <v>PDF</v>
      </c>
      <c r="K7945" s="12" t="s">
        <v>13906</v>
      </c>
      <c r="L7945" s="20">
        <v>0.30434782608695649</v>
      </c>
    </row>
    <row r="7946" spans="1:12" x14ac:dyDescent="0.45">
      <c r="A7946" s="12" t="s">
        <v>13777</v>
      </c>
      <c r="B7946" s="12" t="s">
        <v>81</v>
      </c>
      <c r="C7946" s="13" t="s">
        <v>82</v>
      </c>
      <c r="D7946" s="13" t="s">
        <v>83</v>
      </c>
      <c r="E7946" s="12" t="s">
        <v>642</v>
      </c>
      <c r="F7946" s="14">
        <v>23000</v>
      </c>
      <c r="G7946" s="14">
        <v>20100</v>
      </c>
      <c r="H7946" s="13" t="s">
        <v>13907</v>
      </c>
      <c r="I7946" s="40" t="s">
        <v>18</v>
      </c>
      <c r="J7946" s="40" t="str">
        <f>HYPERLINK("https://stock.pstatic.net/stock-research/company/2/20251031_company_607289000.pdf","PDF")</f>
        <v>PDF</v>
      </c>
      <c r="K7946" s="12" t="s">
        <v>13908</v>
      </c>
      <c r="L7946" s="20">
        <v>0.14427860696517411</v>
      </c>
    </row>
    <row r="7947" spans="1:12" x14ac:dyDescent="0.45">
      <c r="A7947" s="12" t="s">
        <v>13777</v>
      </c>
      <c r="B7947" s="12" t="s">
        <v>541</v>
      </c>
      <c r="C7947" s="13" t="s">
        <v>542</v>
      </c>
      <c r="D7947" s="13" t="s">
        <v>83</v>
      </c>
      <c r="E7947" s="12" t="s">
        <v>642</v>
      </c>
      <c r="F7947" s="14">
        <v>56000</v>
      </c>
      <c r="G7947" s="14">
        <v>52700</v>
      </c>
      <c r="H7947" s="13" t="s">
        <v>13909</v>
      </c>
      <c r="I7947" s="40" t="s">
        <v>18</v>
      </c>
      <c r="J7947" s="40" t="str">
        <f>HYPERLINK("https://m.stock.naver.com/research/company/87371","PDF")</f>
        <v>PDF</v>
      </c>
      <c r="K7947" s="12" t="s">
        <v>13910</v>
      </c>
      <c r="L7947" s="20">
        <v>6.2618595825426948E-2</v>
      </c>
    </row>
    <row r="7948" spans="1:12" x14ac:dyDescent="0.45">
      <c r="A7948" s="12" t="s">
        <v>13777</v>
      </c>
      <c r="B7948" s="12" t="s">
        <v>3813</v>
      </c>
      <c r="C7948" s="13" t="s">
        <v>3814</v>
      </c>
      <c r="D7948" s="13" t="s">
        <v>83</v>
      </c>
      <c r="E7948" s="12" t="s">
        <v>35</v>
      </c>
      <c r="F7948" s="14">
        <v>20000</v>
      </c>
      <c r="G7948" s="14">
        <v>13950</v>
      </c>
      <c r="H7948" s="13" t="s">
        <v>13911</v>
      </c>
      <c r="I7948" s="40" t="s">
        <v>18</v>
      </c>
      <c r="J7948" s="40" t="str">
        <f>HYPERLINK("https://m.stock.naver.com/research/company/87370","PDF")</f>
        <v>PDF</v>
      </c>
      <c r="K7948" s="12" t="s">
        <v>13912</v>
      </c>
      <c r="L7948" s="20">
        <v>0.43369175627240142</v>
      </c>
    </row>
    <row r="7949" spans="1:12" x14ac:dyDescent="0.45">
      <c r="A7949" s="12" t="s">
        <v>13777</v>
      </c>
      <c r="B7949" s="12" t="s">
        <v>740</v>
      </c>
      <c r="C7949" s="13" t="s">
        <v>741</v>
      </c>
      <c r="D7949" s="13" t="s">
        <v>83</v>
      </c>
      <c r="E7949" s="12" t="s">
        <v>35</v>
      </c>
      <c r="F7949" s="14">
        <v>280000</v>
      </c>
      <c r="G7949" s="14">
        <v>228500</v>
      </c>
      <c r="H7949" s="13" t="s">
        <v>13913</v>
      </c>
      <c r="I7949" s="40" t="s">
        <v>18</v>
      </c>
      <c r="J7949" s="40" t="str">
        <f>HYPERLINK("https://stock.pstatic.net/stock-research/company/2/20251031_company_613477000.pdf","PDF")</f>
        <v>PDF</v>
      </c>
      <c r="K7949" s="12" t="s">
        <v>13914</v>
      </c>
      <c r="L7949" s="20">
        <v>0.22538293216630201</v>
      </c>
    </row>
    <row r="7950" spans="1:12" x14ac:dyDescent="0.45">
      <c r="A7950" s="12" t="s">
        <v>13777</v>
      </c>
      <c r="B7950" s="12" t="s">
        <v>174</v>
      </c>
      <c r="C7950" s="13" t="s">
        <v>44</v>
      </c>
      <c r="D7950" s="13" t="s">
        <v>83</v>
      </c>
      <c r="E7950" s="12" t="s">
        <v>35</v>
      </c>
      <c r="F7950" s="14">
        <v>350000</v>
      </c>
      <c r="G7950" s="14">
        <v>299500</v>
      </c>
      <c r="H7950" s="13" t="s">
        <v>13915</v>
      </c>
      <c r="I7950" s="40" t="s">
        <v>18</v>
      </c>
      <c r="J7950" s="40" t="str">
        <f>HYPERLINK("https://m.stock.naver.com/research/company/87368","PDF")</f>
        <v>PDF</v>
      </c>
      <c r="K7950" s="12" t="s">
        <v>13916</v>
      </c>
      <c r="L7950" s="20">
        <v>0.1686143572621035</v>
      </c>
    </row>
    <row r="7951" spans="1:12" x14ac:dyDescent="0.45">
      <c r="A7951" s="12" t="s">
        <v>13777</v>
      </c>
      <c r="B7951" s="12" t="s">
        <v>5767</v>
      </c>
      <c r="C7951" s="13" t="s">
        <v>5768</v>
      </c>
      <c r="D7951" s="13" t="s">
        <v>83</v>
      </c>
      <c r="E7951" s="12" t="s">
        <v>35</v>
      </c>
      <c r="F7951" s="14">
        <v>46000</v>
      </c>
      <c r="G7951" s="14">
        <v>33700</v>
      </c>
      <c r="H7951" s="13" t="s">
        <v>13917</v>
      </c>
      <c r="I7951" s="40" t="s">
        <v>18</v>
      </c>
      <c r="J7951" s="40" t="str">
        <f>HYPERLINK("https://m.stock.naver.com/research/company/87367","PDF")</f>
        <v>PDF</v>
      </c>
      <c r="K7951" s="12" t="s">
        <v>13918</v>
      </c>
      <c r="L7951" s="20">
        <v>0.36498516320474778</v>
      </c>
    </row>
    <row r="7952" spans="1:12" x14ac:dyDescent="0.45">
      <c r="A7952" s="12" t="s">
        <v>13777</v>
      </c>
      <c r="B7952" s="12" t="s">
        <v>519</v>
      </c>
      <c r="C7952" s="13" t="s">
        <v>520</v>
      </c>
      <c r="D7952" s="13" t="s">
        <v>83</v>
      </c>
      <c r="E7952" s="12" t="s">
        <v>35</v>
      </c>
      <c r="F7952" s="14">
        <v>330000</v>
      </c>
      <c r="G7952" s="14">
        <v>265500</v>
      </c>
      <c r="H7952" s="13" t="s">
        <v>13919</v>
      </c>
      <c r="I7952" s="40" t="s">
        <v>18</v>
      </c>
      <c r="J7952" s="40" t="str">
        <f>HYPERLINK("https://stock.pstatic.net/stock-research/company/2/20251031_company_631162000.pdf","PDF")</f>
        <v>PDF</v>
      </c>
      <c r="K7952" s="12" t="s">
        <v>13920</v>
      </c>
      <c r="L7952" s="20">
        <v>0.24293785310734459</v>
      </c>
    </row>
    <row r="7953" spans="1:12" x14ac:dyDescent="0.45">
      <c r="A7953" s="12" t="s">
        <v>13777</v>
      </c>
      <c r="B7953" s="12" t="s">
        <v>95</v>
      </c>
      <c r="C7953" s="13" t="s">
        <v>31</v>
      </c>
      <c r="D7953" s="13" t="s">
        <v>83</v>
      </c>
      <c r="E7953" s="12" t="s">
        <v>35</v>
      </c>
      <c r="F7953" s="14">
        <v>35000</v>
      </c>
      <c r="G7953" s="14">
        <v>27400</v>
      </c>
      <c r="H7953" s="13" t="s">
        <v>13921</v>
      </c>
      <c r="I7953" s="40" t="s">
        <v>18</v>
      </c>
      <c r="J7953" s="40" t="str">
        <f>HYPERLINK("https://stock.pstatic.net/stock-research/company/2/20251031_company_505449000.pdf","PDF")</f>
        <v>PDF</v>
      </c>
      <c r="K7953" s="12" t="s">
        <v>13922</v>
      </c>
      <c r="L7953" s="20">
        <v>0.27737226277372262</v>
      </c>
    </row>
    <row r="7954" spans="1:12" x14ac:dyDescent="0.45">
      <c r="A7954" s="12" t="s">
        <v>13777</v>
      </c>
      <c r="B7954" s="12" t="s">
        <v>3831</v>
      </c>
      <c r="C7954" s="13" t="s">
        <v>3832</v>
      </c>
      <c r="D7954" s="13" t="s">
        <v>83</v>
      </c>
      <c r="E7954" s="12" t="s">
        <v>35</v>
      </c>
      <c r="F7954" s="14">
        <v>56000</v>
      </c>
      <c r="G7954" s="14">
        <v>36450</v>
      </c>
      <c r="H7954" s="13" t="s">
        <v>13923</v>
      </c>
      <c r="I7954" s="40" t="s">
        <v>18</v>
      </c>
      <c r="J7954" s="40" t="str">
        <f>HYPERLINK("https://m.stock.naver.com/research/company/87364","PDF")</f>
        <v>PDF</v>
      </c>
      <c r="K7954" s="12" t="s">
        <v>13924</v>
      </c>
      <c r="L7954" s="20">
        <v>0.53635116598079557</v>
      </c>
    </row>
    <row r="7955" spans="1:12" x14ac:dyDescent="0.45">
      <c r="A7955" s="12" t="s">
        <v>13777</v>
      </c>
      <c r="B7955" s="12" t="s">
        <v>1176</v>
      </c>
      <c r="C7955" s="13" t="s">
        <v>1177</v>
      </c>
      <c r="D7955" s="13" t="s">
        <v>179</v>
      </c>
      <c r="E7955" s="12" t="s">
        <v>16</v>
      </c>
      <c r="F7955" s="14">
        <v>9300</v>
      </c>
      <c r="G7955" s="14">
        <v>7760</v>
      </c>
      <c r="H7955" s="13" t="s">
        <v>13925</v>
      </c>
      <c r="I7955" s="40" t="s">
        <v>18</v>
      </c>
      <c r="J7955" s="40" t="str">
        <f>HYPERLINK("https://m.stock.naver.com/research/company/87363","PDF")</f>
        <v>PDF</v>
      </c>
      <c r="K7955" s="12" t="s">
        <v>13926</v>
      </c>
      <c r="L7955" s="20">
        <v>0.1984536082474227</v>
      </c>
    </row>
    <row r="7956" spans="1:12" x14ac:dyDescent="0.45">
      <c r="A7956" s="12" t="s">
        <v>13777</v>
      </c>
      <c r="B7956" s="12" t="s">
        <v>541</v>
      </c>
      <c r="C7956" s="13" t="s">
        <v>542</v>
      </c>
      <c r="D7956" s="13" t="s">
        <v>15</v>
      </c>
      <c r="E7956" s="12" t="s">
        <v>16</v>
      </c>
      <c r="F7956" s="14">
        <v>73000</v>
      </c>
      <c r="G7956" s="14">
        <v>52700</v>
      </c>
      <c r="H7956" s="13" t="s">
        <v>13927</v>
      </c>
      <c r="I7956" s="40" t="s">
        <v>18</v>
      </c>
      <c r="J7956" s="40" t="str">
        <f>HYPERLINK("https://m.stock.naver.com/research/company/87362","PDF")</f>
        <v>PDF</v>
      </c>
      <c r="K7956" s="12" t="s">
        <v>13928</v>
      </c>
      <c r="L7956" s="20">
        <v>0.38519924098671732</v>
      </c>
    </row>
    <row r="7957" spans="1:12" x14ac:dyDescent="0.45">
      <c r="A7957" s="12" t="s">
        <v>13777</v>
      </c>
      <c r="B7957" s="12" t="s">
        <v>72</v>
      </c>
      <c r="C7957" s="13" t="s">
        <v>73</v>
      </c>
      <c r="D7957" s="13" t="s">
        <v>179</v>
      </c>
      <c r="E7957" s="12" t="s">
        <v>16</v>
      </c>
      <c r="F7957" s="14">
        <v>280000</v>
      </c>
      <c r="G7957" s="14">
        <v>227000</v>
      </c>
      <c r="H7957" s="13" t="s">
        <v>13929</v>
      </c>
      <c r="I7957" s="40" t="s">
        <v>18</v>
      </c>
      <c r="J7957" s="40" t="str">
        <f>HYPERLINK("https://m.stock.naver.com/research/company/87361","PDF")</f>
        <v>PDF</v>
      </c>
      <c r="K7957" s="12" t="s">
        <v>13930</v>
      </c>
      <c r="L7957" s="20">
        <v>0.23348017621145381</v>
      </c>
    </row>
    <row r="7958" spans="1:12" x14ac:dyDescent="0.45">
      <c r="A7958" s="12" t="s">
        <v>13777</v>
      </c>
      <c r="B7958" s="12" t="s">
        <v>450</v>
      </c>
      <c r="C7958" s="13" t="s">
        <v>451</v>
      </c>
      <c r="D7958" s="13" t="s">
        <v>23</v>
      </c>
      <c r="E7958" s="12" t="s">
        <v>50</v>
      </c>
      <c r="F7958" s="14">
        <v>290000</v>
      </c>
      <c r="G7958" s="14">
        <v>287000</v>
      </c>
      <c r="H7958" s="13" t="s">
        <v>13931</v>
      </c>
      <c r="I7958" s="40" t="s">
        <v>18</v>
      </c>
      <c r="J7958" s="40" t="str">
        <f>HYPERLINK("https://m.stock.naver.com/research/company/87360","PDF")</f>
        <v>PDF</v>
      </c>
      <c r="K7958" s="12" t="s">
        <v>13932</v>
      </c>
      <c r="L7958" s="20">
        <v>1.045296167247387E-2</v>
      </c>
    </row>
    <row r="7959" spans="1:12" x14ac:dyDescent="0.45">
      <c r="A7959" s="12" t="s">
        <v>13777</v>
      </c>
      <c r="B7959" s="12" t="s">
        <v>366</v>
      </c>
      <c r="C7959" s="13" t="s">
        <v>367</v>
      </c>
      <c r="D7959" s="13" t="s">
        <v>23</v>
      </c>
      <c r="E7959" s="12" t="s">
        <v>50</v>
      </c>
      <c r="F7959" s="14">
        <v>16000</v>
      </c>
      <c r="G7959" s="14">
        <v>14750</v>
      </c>
      <c r="H7959" s="13" t="s">
        <v>13933</v>
      </c>
      <c r="I7959" s="40" t="s">
        <v>18</v>
      </c>
      <c r="J7959" s="40" t="str">
        <f>HYPERLINK("https://stock.pstatic.net/stock-research/company/21/20251031_company_981507000.pdf","PDF")</f>
        <v>PDF</v>
      </c>
      <c r="K7959" s="12" t="s">
        <v>13934</v>
      </c>
      <c r="L7959" s="20">
        <v>8.4745762711864403E-2</v>
      </c>
    </row>
    <row r="7960" spans="1:12" x14ac:dyDescent="0.45">
      <c r="A7960" s="12" t="s">
        <v>13777</v>
      </c>
      <c r="B7960" s="12" t="s">
        <v>362</v>
      </c>
      <c r="C7960" s="13" t="s">
        <v>363</v>
      </c>
      <c r="D7960" s="13" t="s">
        <v>179</v>
      </c>
      <c r="E7960" s="12" t="s">
        <v>16</v>
      </c>
      <c r="F7960" s="14">
        <v>100000</v>
      </c>
      <c r="G7960" s="14">
        <v>82700</v>
      </c>
      <c r="H7960" s="13" t="s">
        <v>13935</v>
      </c>
      <c r="I7960" s="40" t="s">
        <v>18</v>
      </c>
      <c r="J7960" s="40" t="str">
        <f>HYPERLINK("https://stock.pstatic.net/stock-research/company/64/20251031_company_569146000.pdf","PDF")</f>
        <v>PDF</v>
      </c>
      <c r="K7960" s="12" t="s">
        <v>13936</v>
      </c>
      <c r="L7960" s="20">
        <v>0.20918984280532041</v>
      </c>
    </row>
    <row r="7961" spans="1:12" x14ac:dyDescent="0.45">
      <c r="A7961" s="12" t="s">
        <v>13777</v>
      </c>
      <c r="B7961" s="12" t="s">
        <v>3451</v>
      </c>
      <c r="C7961" s="13" t="s">
        <v>3452</v>
      </c>
      <c r="D7961" s="13" t="s">
        <v>34</v>
      </c>
      <c r="E7961" s="12" t="s">
        <v>35</v>
      </c>
      <c r="F7961" s="14">
        <v>240000</v>
      </c>
      <c r="G7961" s="14">
        <v>196500</v>
      </c>
      <c r="H7961" s="13" t="s">
        <v>13937</v>
      </c>
      <c r="I7961" s="40" t="s">
        <v>18</v>
      </c>
      <c r="J7961" s="40" t="str">
        <f>HYPERLINK("https://stock.pstatic.net/stock-research/company/61/20251031_company_156709000.pdf","PDF")</f>
        <v>PDF</v>
      </c>
      <c r="K7961" s="12" t="s">
        <v>13938</v>
      </c>
      <c r="L7961" s="20">
        <v>0.2213740458015267</v>
      </c>
    </row>
    <row r="7962" spans="1:12" x14ac:dyDescent="0.45">
      <c r="A7962" s="12" t="s">
        <v>13777</v>
      </c>
      <c r="B7962" s="12" t="s">
        <v>1162</v>
      </c>
      <c r="C7962" s="13" t="s">
        <v>1163</v>
      </c>
      <c r="D7962" s="13" t="s">
        <v>179</v>
      </c>
      <c r="E7962" s="12" t="s">
        <v>16</v>
      </c>
      <c r="F7962" s="14">
        <v>205000</v>
      </c>
      <c r="G7962" s="14">
        <v>169400</v>
      </c>
      <c r="H7962" s="13" t="s">
        <v>13939</v>
      </c>
      <c r="I7962" s="40" t="s">
        <v>18</v>
      </c>
      <c r="J7962" s="40" t="str">
        <f>HYPERLINK("https://stock.pstatic.net/stock-research/company/64/20251031_company_245625000.pdf","PDF")</f>
        <v>PDF</v>
      </c>
      <c r="K7962" s="12" t="s">
        <v>13940</v>
      </c>
      <c r="L7962" s="20">
        <v>0.21015348288075561</v>
      </c>
    </row>
    <row r="7963" spans="1:12" x14ac:dyDescent="0.45">
      <c r="A7963" s="12" t="s">
        <v>13777</v>
      </c>
      <c r="B7963" s="12" t="s">
        <v>1190</v>
      </c>
      <c r="C7963" s="13" t="s">
        <v>1191</v>
      </c>
      <c r="D7963" s="13" t="s">
        <v>179</v>
      </c>
      <c r="E7963" s="12" t="s">
        <v>16</v>
      </c>
      <c r="F7963" s="14">
        <v>125000</v>
      </c>
      <c r="G7963" s="14">
        <v>98200</v>
      </c>
      <c r="H7963" s="13" t="s">
        <v>13941</v>
      </c>
      <c r="I7963" s="40" t="s">
        <v>18</v>
      </c>
      <c r="J7963" s="40" t="str">
        <f>HYPERLINK("https://stock.pstatic.net/stock-research/company/64/20251031_company_826392000.pdf","PDF")</f>
        <v>PDF</v>
      </c>
      <c r="K7963" s="12" t="s">
        <v>13942</v>
      </c>
      <c r="L7963" s="20">
        <v>0.27291242362525459</v>
      </c>
    </row>
    <row r="7964" spans="1:12" x14ac:dyDescent="0.45">
      <c r="A7964" s="12" t="s">
        <v>13777</v>
      </c>
      <c r="B7964" s="12" t="s">
        <v>740</v>
      </c>
      <c r="C7964" s="13" t="s">
        <v>741</v>
      </c>
      <c r="D7964" s="13" t="s">
        <v>179</v>
      </c>
      <c r="E7964" s="12" t="s">
        <v>16</v>
      </c>
      <c r="F7964" s="14">
        <v>305000</v>
      </c>
      <c r="G7964" s="14">
        <v>228500</v>
      </c>
      <c r="H7964" s="13" t="s">
        <v>13943</v>
      </c>
      <c r="I7964" s="40" t="s">
        <v>18</v>
      </c>
      <c r="J7964" s="40" t="str">
        <f>HYPERLINK("https://stock.pstatic.net/stock-research/company/64/20251031_company_295759000.pdf","PDF")</f>
        <v>PDF</v>
      </c>
      <c r="K7964" s="12" t="s">
        <v>13944</v>
      </c>
      <c r="L7964" s="20">
        <v>0.33479212253829321</v>
      </c>
    </row>
    <row r="7965" spans="1:12" x14ac:dyDescent="0.45">
      <c r="A7965" s="12" t="s">
        <v>13777</v>
      </c>
      <c r="B7965" s="12" t="s">
        <v>912</v>
      </c>
      <c r="C7965" s="13" t="s">
        <v>913</v>
      </c>
      <c r="D7965" s="13" t="s">
        <v>92</v>
      </c>
      <c r="E7965" s="12" t="s">
        <v>50</v>
      </c>
      <c r="F7965" s="13"/>
      <c r="G7965" s="14">
        <v>63000</v>
      </c>
      <c r="H7965" s="13" t="s">
        <v>13945</v>
      </c>
      <c r="I7965" s="40" t="s">
        <v>18</v>
      </c>
      <c r="J7965" s="40" t="str">
        <f>HYPERLINK("https://stock.pstatic.net/stock-research/company/63/20251031_company_766561000.pdf","PDF")</f>
        <v>PDF</v>
      </c>
      <c r="K7965" s="12" t="s">
        <v>13946</v>
      </c>
    </row>
    <row r="7966" spans="1:12" x14ac:dyDescent="0.45">
      <c r="A7966" s="12" t="s">
        <v>13777</v>
      </c>
      <c r="B7966" s="12" t="s">
        <v>3831</v>
      </c>
      <c r="C7966" s="13" t="s">
        <v>3832</v>
      </c>
      <c r="D7966" s="13" t="s">
        <v>92</v>
      </c>
      <c r="E7966" s="12" t="s">
        <v>35</v>
      </c>
      <c r="F7966" s="14">
        <v>51000</v>
      </c>
      <c r="G7966" s="14">
        <v>36450</v>
      </c>
      <c r="H7966" s="13" t="s">
        <v>13947</v>
      </c>
      <c r="I7966" s="40" t="s">
        <v>18</v>
      </c>
      <c r="J7966" s="40" t="str">
        <f>HYPERLINK("https://stock.pstatic.net/stock-research/company/63/20251031_company_707577000.pdf","PDF")</f>
        <v>PDF</v>
      </c>
      <c r="K7966" s="12" t="s">
        <v>13948</v>
      </c>
      <c r="L7966" s="20">
        <v>0.3991769547325103</v>
      </c>
    </row>
    <row r="7967" spans="1:12" x14ac:dyDescent="0.45">
      <c r="A7967" s="12" t="s">
        <v>13777</v>
      </c>
      <c r="B7967" s="12" t="s">
        <v>3813</v>
      </c>
      <c r="C7967" s="13" t="s">
        <v>3814</v>
      </c>
      <c r="D7967" s="13" t="s">
        <v>34</v>
      </c>
      <c r="E7967" s="12" t="s">
        <v>35</v>
      </c>
      <c r="F7967" s="14">
        <v>18000</v>
      </c>
      <c r="G7967" s="14">
        <v>13950</v>
      </c>
      <c r="H7967" s="13" t="s">
        <v>13949</v>
      </c>
      <c r="I7967" s="40" t="s">
        <v>18</v>
      </c>
      <c r="J7967" s="40" t="str">
        <f>HYPERLINK("https://stock.pstatic.net/stock-research/company/61/20251031_company_715506000.pdf","PDF")</f>
        <v>PDF</v>
      </c>
      <c r="K7967" s="12" t="s">
        <v>13950</v>
      </c>
      <c r="L7967" s="20">
        <v>0.29032258064516131</v>
      </c>
    </row>
    <row r="7968" spans="1:12" x14ac:dyDescent="0.45">
      <c r="A7968" s="12" t="s">
        <v>13777</v>
      </c>
      <c r="B7968" s="12" t="s">
        <v>13</v>
      </c>
      <c r="C7968" s="13" t="s">
        <v>14</v>
      </c>
      <c r="D7968" s="13" t="s">
        <v>15</v>
      </c>
      <c r="E7968" s="12" t="s">
        <v>16</v>
      </c>
      <c r="F7968" s="14">
        <v>142000</v>
      </c>
      <c r="G7968" s="14">
        <v>104100</v>
      </c>
      <c r="H7968" s="13" t="s">
        <v>13951</v>
      </c>
      <c r="I7968" s="40" t="s">
        <v>18</v>
      </c>
      <c r="J7968" s="40" t="str">
        <f>HYPERLINK("https://stock.pstatic.net/stock-research/company/29/20251031_company_41603000.pdf","PDF")</f>
        <v>PDF</v>
      </c>
      <c r="K7968" s="12" t="s">
        <v>13952</v>
      </c>
      <c r="L7968" s="20">
        <v>0.36407300672430348</v>
      </c>
    </row>
    <row r="7969" spans="1:12" x14ac:dyDescent="0.45">
      <c r="A7969" s="12" t="s">
        <v>13777</v>
      </c>
      <c r="B7969" s="12" t="s">
        <v>605</v>
      </c>
      <c r="C7969" s="13" t="s">
        <v>606</v>
      </c>
      <c r="D7969" s="13" t="s">
        <v>179</v>
      </c>
      <c r="E7969" s="12" t="s">
        <v>50</v>
      </c>
      <c r="F7969" s="13"/>
      <c r="G7969" s="14">
        <v>29800</v>
      </c>
      <c r="H7969" s="13" t="s">
        <v>13953</v>
      </c>
      <c r="I7969" s="40" t="s">
        <v>18</v>
      </c>
      <c r="J7969" s="40" t="str">
        <f>HYPERLINK("https://stock.pstatic.net/stock-research/company/64/20251031_company_107587000.pdf","PDF")</f>
        <v>PDF</v>
      </c>
      <c r="K7969" s="12" t="s">
        <v>13954</v>
      </c>
    </row>
    <row r="7970" spans="1:12" x14ac:dyDescent="0.45">
      <c r="A7970" s="12" t="s">
        <v>13777</v>
      </c>
      <c r="B7970" s="12" t="s">
        <v>698</v>
      </c>
      <c r="C7970" s="13" t="s">
        <v>699</v>
      </c>
      <c r="D7970" s="13" t="s">
        <v>179</v>
      </c>
      <c r="E7970" s="12" t="s">
        <v>16</v>
      </c>
      <c r="F7970" s="14">
        <v>300000</v>
      </c>
      <c r="G7970" s="14">
        <v>247500</v>
      </c>
      <c r="H7970" s="13" t="s">
        <v>13955</v>
      </c>
      <c r="I7970" s="40" t="s">
        <v>18</v>
      </c>
      <c r="J7970" s="40" t="str">
        <f>HYPERLINK("https://stock.pstatic.net/stock-research/company/64/20251031_company_305310000.pdf","PDF")</f>
        <v>PDF</v>
      </c>
      <c r="K7970" s="12" t="s">
        <v>13956</v>
      </c>
      <c r="L7970" s="20">
        <v>0.2121212121212121</v>
      </c>
    </row>
    <row r="7971" spans="1:12" x14ac:dyDescent="0.45">
      <c r="A7971" s="12" t="s">
        <v>13777</v>
      </c>
      <c r="B7971" s="12" t="s">
        <v>95</v>
      </c>
      <c r="C7971" s="13" t="s">
        <v>31</v>
      </c>
      <c r="D7971" s="13" t="s">
        <v>53</v>
      </c>
      <c r="E7971" s="12" t="s">
        <v>16</v>
      </c>
      <c r="F7971" s="14">
        <v>35000</v>
      </c>
      <c r="G7971" s="14">
        <v>27400</v>
      </c>
      <c r="H7971" s="13" t="s">
        <v>13957</v>
      </c>
      <c r="I7971" s="40" t="s">
        <v>18</v>
      </c>
      <c r="J7971" s="40" t="str">
        <f>HYPERLINK("https://stock.pstatic.net/stock-research/company/40/20251031_company_781650000.pdf","PDF")</f>
        <v>PDF</v>
      </c>
      <c r="K7971" s="12" t="s">
        <v>13958</v>
      </c>
      <c r="L7971" s="20">
        <v>0.27737226277372262</v>
      </c>
    </row>
    <row r="7972" spans="1:12" x14ac:dyDescent="0.45">
      <c r="A7972" s="12" t="s">
        <v>13777</v>
      </c>
      <c r="B7972" s="12" t="s">
        <v>3087</v>
      </c>
      <c r="C7972" s="13" t="s">
        <v>3088</v>
      </c>
      <c r="D7972" s="13" t="s">
        <v>23</v>
      </c>
      <c r="E7972" s="12" t="s">
        <v>50</v>
      </c>
      <c r="F7972" s="13"/>
      <c r="G7972" s="14">
        <v>244500</v>
      </c>
      <c r="H7972" s="13" t="s">
        <v>13959</v>
      </c>
      <c r="I7972" s="40" t="s">
        <v>18</v>
      </c>
      <c r="J7972" s="40" t="str">
        <f>HYPERLINK("https://stock.pstatic.net/stock-research/company/21/20251031_company_103324000.pdf","PDF")</f>
        <v>PDF</v>
      </c>
      <c r="K7972" s="12" t="s">
        <v>13960</v>
      </c>
    </row>
    <row r="7973" spans="1:12" x14ac:dyDescent="0.45">
      <c r="A7973" s="12" t="s">
        <v>13777</v>
      </c>
      <c r="B7973" s="12" t="s">
        <v>519</v>
      </c>
      <c r="C7973" s="13" t="s">
        <v>520</v>
      </c>
      <c r="D7973" s="13" t="s">
        <v>15</v>
      </c>
      <c r="E7973" s="12" t="s">
        <v>16</v>
      </c>
      <c r="F7973" s="14">
        <v>320000</v>
      </c>
      <c r="G7973" s="14">
        <v>265000</v>
      </c>
      <c r="H7973" s="13" t="s">
        <v>13961</v>
      </c>
      <c r="I7973" s="40" t="s">
        <v>18</v>
      </c>
      <c r="J7973" s="40" t="str">
        <f>HYPERLINK("https://stock.pstatic.net/stock-research/company/29/20251031_company_487097000.pdf","PDF")</f>
        <v>PDF</v>
      </c>
      <c r="K7973" s="12" t="s">
        <v>13962</v>
      </c>
      <c r="L7973" s="20">
        <v>0.20754716981132079</v>
      </c>
    </row>
    <row r="7974" spans="1:12" x14ac:dyDescent="0.45">
      <c r="A7974" s="12" t="s">
        <v>13777</v>
      </c>
      <c r="B7974" s="12" t="s">
        <v>519</v>
      </c>
      <c r="C7974" s="13" t="s">
        <v>520</v>
      </c>
      <c r="D7974" s="13" t="s">
        <v>92</v>
      </c>
      <c r="E7974" s="12" t="s">
        <v>35</v>
      </c>
      <c r="F7974" s="14">
        <v>350000</v>
      </c>
      <c r="G7974" s="14">
        <v>265000</v>
      </c>
      <c r="H7974" s="13" t="s">
        <v>13963</v>
      </c>
      <c r="I7974" s="40" t="s">
        <v>18</v>
      </c>
      <c r="J7974" s="40" t="str">
        <f>HYPERLINK("https://stock.pstatic.net/stock-research/company/63/20251031_company_541697000.pdf","PDF")</f>
        <v>PDF</v>
      </c>
      <c r="K7974" s="12" t="s">
        <v>13964</v>
      </c>
      <c r="L7974" s="20">
        <v>0.32075471698113212</v>
      </c>
    </row>
    <row r="7975" spans="1:12" x14ac:dyDescent="0.45">
      <c r="A7975" s="12" t="s">
        <v>13777</v>
      </c>
      <c r="B7975" s="12" t="s">
        <v>740</v>
      </c>
      <c r="C7975" s="13" t="s">
        <v>741</v>
      </c>
      <c r="D7975" s="13" t="s">
        <v>92</v>
      </c>
      <c r="E7975" s="12" t="s">
        <v>35</v>
      </c>
      <c r="F7975" s="14">
        <v>265000</v>
      </c>
      <c r="G7975" s="14">
        <v>228500</v>
      </c>
      <c r="H7975" s="13" t="s">
        <v>13965</v>
      </c>
      <c r="I7975" s="40" t="s">
        <v>18</v>
      </c>
      <c r="J7975" s="40" t="str">
        <f>HYPERLINK("https://stock.pstatic.net/stock-research/company/63/20251031_company_82984000.pdf","PDF")</f>
        <v>PDF</v>
      </c>
      <c r="K7975" s="12" t="s">
        <v>13966</v>
      </c>
      <c r="L7975" s="20">
        <v>0.1597374179431072</v>
      </c>
    </row>
    <row r="7976" spans="1:12" x14ac:dyDescent="0.45">
      <c r="A7976" s="12" t="s">
        <v>13777</v>
      </c>
      <c r="B7976" s="12" t="s">
        <v>908</v>
      </c>
      <c r="C7976" s="13" t="s">
        <v>909</v>
      </c>
      <c r="D7976" s="13" t="s">
        <v>23</v>
      </c>
      <c r="E7976" s="12" t="s">
        <v>16</v>
      </c>
      <c r="F7976" s="14">
        <v>200000</v>
      </c>
      <c r="G7976" s="14">
        <v>168400</v>
      </c>
      <c r="H7976" s="13" t="s">
        <v>13967</v>
      </c>
      <c r="I7976" s="40" t="s">
        <v>18</v>
      </c>
      <c r="J7976" s="40" t="str">
        <f>HYPERLINK("https://stock.pstatic.net/stock-research/company/21/20251031_company_411271000.pdf","PDF")</f>
        <v>PDF</v>
      </c>
      <c r="K7976" s="12" t="s">
        <v>13968</v>
      </c>
      <c r="L7976" s="20">
        <v>0.18764845605700711</v>
      </c>
    </row>
    <row r="7977" spans="1:12" x14ac:dyDescent="0.45">
      <c r="A7977" s="12" t="s">
        <v>13777</v>
      </c>
      <c r="B7977" s="12" t="s">
        <v>912</v>
      </c>
      <c r="C7977" s="13" t="s">
        <v>913</v>
      </c>
      <c r="D7977" s="13" t="s">
        <v>23</v>
      </c>
      <c r="E7977" s="12" t="s">
        <v>16</v>
      </c>
      <c r="F7977" s="14">
        <v>84000</v>
      </c>
      <c r="G7977" s="14">
        <v>63000</v>
      </c>
      <c r="H7977" s="13" t="s">
        <v>13969</v>
      </c>
      <c r="I7977" s="40" t="s">
        <v>18</v>
      </c>
      <c r="J7977" s="40" t="str">
        <f>HYPERLINK("https://stock.pstatic.net/stock-research/company/21/20251031_company_288433000.pdf","PDF")</f>
        <v>PDF</v>
      </c>
      <c r="K7977" s="12" t="s">
        <v>13970</v>
      </c>
      <c r="L7977" s="20">
        <v>0.33333333333333331</v>
      </c>
    </row>
    <row r="7978" spans="1:12" x14ac:dyDescent="0.45">
      <c r="A7978" s="12" t="s">
        <v>13777</v>
      </c>
      <c r="B7978" s="12" t="s">
        <v>2378</v>
      </c>
      <c r="C7978" s="13" t="s">
        <v>2379</v>
      </c>
      <c r="D7978" s="13" t="s">
        <v>23</v>
      </c>
      <c r="E7978" s="12" t="s">
        <v>16</v>
      </c>
      <c r="F7978" s="14">
        <v>560000</v>
      </c>
      <c r="G7978" s="14">
        <v>486500</v>
      </c>
      <c r="H7978" s="13" t="s">
        <v>13971</v>
      </c>
      <c r="I7978" s="40" t="s">
        <v>18</v>
      </c>
      <c r="J7978" s="40" t="str">
        <f>HYPERLINK("https://stock.pstatic.net/stock-research/company/21/20251031_company_337105000.pdf","PDF")</f>
        <v>PDF</v>
      </c>
      <c r="K7978" s="12" t="s">
        <v>13972</v>
      </c>
      <c r="L7978" s="20">
        <v>0.15107913669064749</v>
      </c>
    </row>
    <row r="7979" spans="1:12" x14ac:dyDescent="0.45">
      <c r="A7979" s="12" t="s">
        <v>13777</v>
      </c>
      <c r="B7979" s="12" t="s">
        <v>3451</v>
      </c>
      <c r="C7979" s="13" t="s">
        <v>3452</v>
      </c>
      <c r="D7979" s="13" t="s">
        <v>23</v>
      </c>
      <c r="E7979" s="12" t="s">
        <v>16</v>
      </c>
      <c r="F7979" s="14">
        <v>240000</v>
      </c>
      <c r="G7979" s="14">
        <v>196500</v>
      </c>
      <c r="H7979" s="13" t="s">
        <v>13973</v>
      </c>
      <c r="I7979" s="40" t="s">
        <v>18</v>
      </c>
      <c r="J7979" s="40" t="str">
        <f>HYPERLINK("https://stock.pstatic.net/stock-research/company/21/20251031_company_246917000.pdf","PDF")</f>
        <v>PDF</v>
      </c>
      <c r="K7979" s="12" t="s">
        <v>13974</v>
      </c>
      <c r="L7979" s="20">
        <v>0.2213740458015267</v>
      </c>
    </row>
    <row r="7980" spans="1:12" x14ac:dyDescent="0.45">
      <c r="A7980" s="12" t="s">
        <v>13777</v>
      </c>
      <c r="B7980" s="12" t="s">
        <v>95</v>
      </c>
      <c r="C7980" s="13" t="s">
        <v>31</v>
      </c>
      <c r="D7980" s="13" t="s">
        <v>23</v>
      </c>
      <c r="E7980" s="12" t="s">
        <v>16</v>
      </c>
      <c r="F7980" s="14">
        <v>31000</v>
      </c>
      <c r="G7980" s="14">
        <v>27400</v>
      </c>
      <c r="H7980" s="13" t="s">
        <v>13975</v>
      </c>
      <c r="I7980" s="40" t="s">
        <v>18</v>
      </c>
      <c r="J7980" s="40" t="str">
        <f>HYPERLINK("https://stock.pstatic.net/stock-research/company/21/20251031_company_577333000.pdf","PDF")</f>
        <v>PDF</v>
      </c>
      <c r="K7980" s="12" t="s">
        <v>13976</v>
      </c>
      <c r="L7980" s="20">
        <v>0.13138686131386859</v>
      </c>
    </row>
    <row r="7981" spans="1:12" x14ac:dyDescent="0.45">
      <c r="A7981" s="12" t="s">
        <v>13777</v>
      </c>
      <c r="B7981" s="12" t="s">
        <v>2978</v>
      </c>
      <c r="C7981" s="13" t="s">
        <v>2979</v>
      </c>
      <c r="D7981" s="13" t="s">
        <v>23</v>
      </c>
      <c r="E7981" s="12" t="s">
        <v>16</v>
      </c>
      <c r="F7981" s="14">
        <v>14500</v>
      </c>
      <c r="G7981" s="14">
        <v>10210</v>
      </c>
      <c r="H7981" s="13" t="s">
        <v>13977</v>
      </c>
      <c r="I7981" s="40" t="s">
        <v>18</v>
      </c>
      <c r="J7981" s="40" t="str">
        <f>HYPERLINK("https://stock.pstatic.net/stock-research/company/21/20251031_company_306072000.pdf","PDF")</f>
        <v>PDF</v>
      </c>
      <c r="K7981" s="12" t="s">
        <v>13978</v>
      </c>
      <c r="L7981" s="20">
        <v>0.42017629774730658</v>
      </c>
    </row>
    <row r="7982" spans="1:12" x14ac:dyDescent="0.45">
      <c r="A7982" s="12" t="s">
        <v>13777</v>
      </c>
      <c r="B7982" s="12" t="s">
        <v>3244</v>
      </c>
      <c r="C7982" s="13" t="s">
        <v>3245</v>
      </c>
      <c r="D7982" s="13" t="s">
        <v>23</v>
      </c>
      <c r="E7982" s="12" t="s">
        <v>16</v>
      </c>
      <c r="F7982" s="14">
        <v>70000</v>
      </c>
      <c r="G7982" s="14">
        <v>63100</v>
      </c>
      <c r="H7982" s="13" t="s">
        <v>13979</v>
      </c>
      <c r="I7982" s="40" t="s">
        <v>18</v>
      </c>
      <c r="J7982" s="40" t="str">
        <f>HYPERLINK("https://stock.pstatic.net/stock-research/company/21/20251031_company_319081000.pdf","PDF")</f>
        <v>PDF</v>
      </c>
      <c r="K7982" s="12" t="s">
        <v>13980</v>
      </c>
      <c r="L7982" s="20">
        <v>0.1093502377179081</v>
      </c>
    </row>
    <row r="7983" spans="1:12" x14ac:dyDescent="0.45">
      <c r="A7983" s="12" t="s">
        <v>13777</v>
      </c>
      <c r="B7983" s="12" t="s">
        <v>740</v>
      </c>
      <c r="C7983" s="13" t="s">
        <v>741</v>
      </c>
      <c r="D7983" s="13" t="s">
        <v>23</v>
      </c>
      <c r="E7983" s="12" t="s">
        <v>16</v>
      </c>
      <c r="F7983" s="14">
        <v>280000</v>
      </c>
      <c r="G7983" s="14">
        <v>228500</v>
      </c>
      <c r="H7983" s="13" t="s">
        <v>13981</v>
      </c>
      <c r="I7983" s="40" t="s">
        <v>18</v>
      </c>
      <c r="J7983" s="40" t="str">
        <f>HYPERLINK("https://stock.pstatic.net/stock-research/company/21/20251031_company_266061000.pdf","PDF")</f>
        <v>PDF</v>
      </c>
      <c r="K7983" s="12" t="s">
        <v>13982</v>
      </c>
      <c r="L7983" s="20">
        <v>0.22538293216630201</v>
      </c>
    </row>
    <row r="7984" spans="1:12" x14ac:dyDescent="0.45">
      <c r="A7984" s="12" t="s">
        <v>13777</v>
      </c>
      <c r="B7984" s="12" t="s">
        <v>13983</v>
      </c>
      <c r="C7984" s="13" t="s">
        <v>13984</v>
      </c>
      <c r="D7984" s="13" t="s">
        <v>23</v>
      </c>
      <c r="E7984" s="12" t="s">
        <v>16</v>
      </c>
      <c r="F7984" s="14">
        <v>19000</v>
      </c>
      <c r="G7984" s="14">
        <v>15750</v>
      </c>
      <c r="H7984" s="13" t="s">
        <v>13985</v>
      </c>
      <c r="I7984" s="40" t="s">
        <v>18</v>
      </c>
      <c r="J7984" s="40" t="str">
        <f>HYPERLINK("https://stock.pstatic.net/stock-research/company/21/20251031_company_997159000.pdf","PDF")</f>
        <v>PDF</v>
      </c>
      <c r="K7984" s="12" t="s">
        <v>13986</v>
      </c>
      <c r="L7984" s="20">
        <v>0.20634920634920631</v>
      </c>
    </row>
    <row r="7985" spans="1:12" x14ac:dyDescent="0.45">
      <c r="A7985" s="12" t="s">
        <v>13777</v>
      </c>
      <c r="B7985" s="12" t="s">
        <v>519</v>
      </c>
      <c r="C7985" s="13" t="s">
        <v>520</v>
      </c>
      <c r="D7985" s="13" t="s">
        <v>23</v>
      </c>
      <c r="E7985" s="12" t="s">
        <v>16</v>
      </c>
      <c r="F7985" s="14">
        <v>320000</v>
      </c>
      <c r="G7985" s="14">
        <v>265000</v>
      </c>
      <c r="H7985" s="13" t="s">
        <v>13987</v>
      </c>
      <c r="I7985" s="40" t="s">
        <v>18</v>
      </c>
      <c r="J7985" s="40" t="str">
        <f>HYPERLINK("https://stock.pstatic.net/stock-research/company/21/20251031_company_428589000.pdf","PDF")</f>
        <v>PDF</v>
      </c>
      <c r="K7985" s="12" t="s">
        <v>13988</v>
      </c>
      <c r="L7985" s="20">
        <v>0.20754716981132079</v>
      </c>
    </row>
    <row r="7986" spans="1:12" x14ac:dyDescent="0.45">
      <c r="A7986" s="12" t="s">
        <v>13777</v>
      </c>
      <c r="B7986" s="12" t="s">
        <v>740</v>
      </c>
      <c r="C7986" s="13" t="s">
        <v>741</v>
      </c>
      <c r="D7986" s="13" t="s">
        <v>34</v>
      </c>
      <c r="E7986" s="12" t="s">
        <v>35</v>
      </c>
      <c r="F7986" s="14">
        <v>275000</v>
      </c>
      <c r="G7986" s="14">
        <v>228500</v>
      </c>
      <c r="H7986" s="13" t="s">
        <v>13989</v>
      </c>
      <c r="I7986" s="40" t="s">
        <v>18</v>
      </c>
      <c r="J7986" s="40" t="str">
        <f>HYPERLINK("https://stock.pstatic.net/stock-research/company/61/20251031_company_205869000.pdf","PDF")</f>
        <v>PDF</v>
      </c>
      <c r="K7986" s="12" t="s">
        <v>13990</v>
      </c>
      <c r="L7986" s="20">
        <v>0.2035010940919037</v>
      </c>
    </row>
    <row r="7987" spans="1:12" x14ac:dyDescent="0.45">
      <c r="A7987" s="12" t="s">
        <v>13777</v>
      </c>
      <c r="B7987" s="12" t="s">
        <v>2378</v>
      </c>
      <c r="C7987" s="13" t="s">
        <v>2379</v>
      </c>
      <c r="D7987" s="13" t="s">
        <v>34</v>
      </c>
      <c r="E7987" s="12" t="s">
        <v>35</v>
      </c>
      <c r="F7987" s="14">
        <v>600000</v>
      </c>
      <c r="G7987" s="14">
        <v>486500</v>
      </c>
      <c r="H7987" s="13" t="s">
        <v>13991</v>
      </c>
      <c r="I7987" s="40" t="s">
        <v>18</v>
      </c>
      <c r="J7987" s="40" t="str">
        <f>HYPERLINK("https://stock.pstatic.net/stock-research/company/61/20251031_company_29853000.pdf","PDF")</f>
        <v>PDF</v>
      </c>
      <c r="K7987" s="12" t="s">
        <v>13992</v>
      </c>
      <c r="L7987" s="20">
        <v>0.23329907502569369</v>
      </c>
    </row>
    <row r="7988" spans="1:12" x14ac:dyDescent="0.45">
      <c r="A7988" s="12" t="s">
        <v>13777</v>
      </c>
      <c r="B7988" s="12" t="s">
        <v>8114</v>
      </c>
      <c r="C7988" s="13" t="s">
        <v>8115</v>
      </c>
      <c r="D7988" s="13" t="s">
        <v>23</v>
      </c>
      <c r="E7988" s="12" t="s">
        <v>16</v>
      </c>
      <c r="F7988" s="14">
        <v>44000</v>
      </c>
      <c r="G7988" s="14">
        <v>28050</v>
      </c>
      <c r="H7988" s="13" t="s">
        <v>13993</v>
      </c>
      <c r="I7988" s="40" t="s">
        <v>18</v>
      </c>
      <c r="J7988" s="40" t="str">
        <f>HYPERLINK("https://stock.pstatic.net/stock-research/company/21/20251031_company_324230000.pdf","PDF")</f>
        <v>PDF</v>
      </c>
      <c r="K7988" s="12" t="s">
        <v>13994</v>
      </c>
      <c r="L7988" s="20">
        <v>0.56862745098039214</v>
      </c>
    </row>
    <row r="7989" spans="1:12" x14ac:dyDescent="0.45">
      <c r="A7989" s="12" t="s">
        <v>13777</v>
      </c>
      <c r="B7989" s="12" t="s">
        <v>541</v>
      </c>
      <c r="C7989" s="13" t="s">
        <v>542</v>
      </c>
      <c r="D7989" s="13" t="s">
        <v>23</v>
      </c>
      <c r="E7989" s="12" t="s">
        <v>50</v>
      </c>
      <c r="F7989" s="14">
        <v>59000</v>
      </c>
      <c r="G7989" s="14">
        <v>52700</v>
      </c>
      <c r="H7989" s="13" t="s">
        <v>13995</v>
      </c>
      <c r="I7989" s="40" t="s">
        <v>18</v>
      </c>
      <c r="J7989" s="40" t="str">
        <f>HYPERLINK("https://stock.pstatic.net/stock-research/company/21/20251031_company_10184000.pdf","PDF")</f>
        <v>PDF</v>
      </c>
      <c r="K7989" s="12" t="s">
        <v>13996</v>
      </c>
      <c r="L7989" s="20">
        <v>0.1195445920303605</v>
      </c>
    </row>
    <row r="7990" spans="1:12" x14ac:dyDescent="0.45">
      <c r="A7990" s="12" t="s">
        <v>13777</v>
      </c>
      <c r="B7990" s="12" t="s">
        <v>63</v>
      </c>
      <c r="C7990" s="13" t="s">
        <v>64</v>
      </c>
      <c r="D7990" s="13" t="s">
        <v>34</v>
      </c>
      <c r="E7990" s="12" t="s">
        <v>35</v>
      </c>
      <c r="F7990" s="14">
        <v>460000</v>
      </c>
      <c r="G7990" s="14">
        <v>390500</v>
      </c>
      <c r="H7990" s="13" t="s">
        <v>13997</v>
      </c>
      <c r="I7990" s="40" t="s">
        <v>18</v>
      </c>
      <c r="J7990" s="40" t="str">
        <f>HYPERLINK("https://stock.pstatic.net/stock-research/company/61/20251031_company_968414000.pdf","PDF")</f>
        <v>PDF</v>
      </c>
      <c r="K7990" s="12" t="s">
        <v>13998</v>
      </c>
      <c r="L7990" s="20">
        <v>0.17797695262484001</v>
      </c>
    </row>
    <row r="7991" spans="1:12" x14ac:dyDescent="0.45">
      <c r="A7991" s="12" t="s">
        <v>13777</v>
      </c>
      <c r="B7991" s="12" t="s">
        <v>13</v>
      </c>
      <c r="C7991" s="13" t="s">
        <v>14</v>
      </c>
      <c r="D7991" s="13" t="s">
        <v>34</v>
      </c>
      <c r="E7991" s="12" t="s">
        <v>35</v>
      </c>
      <c r="F7991" s="14">
        <v>135000</v>
      </c>
      <c r="G7991" s="14">
        <v>104100</v>
      </c>
      <c r="H7991" s="13" t="s">
        <v>13999</v>
      </c>
      <c r="I7991" s="40" t="s">
        <v>18</v>
      </c>
      <c r="J7991" s="40" t="str">
        <f>HYPERLINK("https://stock.pstatic.net/stock-research/company/61/20251031_company_486342000.pdf","PDF")</f>
        <v>PDF</v>
      </c>
      <c r="K7991" s="12" t="s">
        <v>14000</v>
      </c>
      <c r="L7991" s="20">
        <v>0.29682997118155618</v>
      </c>
    </row>
    <row r="7992" spans="1:12" x14ac:dyDescent="0.45">
      <c r="A7992" s="12" t="s">
        <v>13777</v>
      </c>
      <c r="B7992" s="12" t="s">
        <v>3831</v>
      </c>
      <c r="C7992" s="13" t="s">
        <v>3832</v>
      </c>
      <c r="D7992" s="13" t="s">
        <v>23</v>
      </c>
      <c r="E7992" s="12" t="s">
        <v>16</v>
      </c>
      <c r="F7992" s="14">
        <v>49000</v>
      </c>
      <c r="G7992" s="14">
        <v>36450</v>
      </c>
      <c r="H7992" s="13" t="s">
        <v>14001</v>
      </c>
      <c r="I7992" s="40" t="s">
        <v>18</v>
      </c>
      <c r="J7992" s="40" t="str">
        <f>HYPERLINK("https://stock.pstatic.net/stock-research/company/21/20251031_company_392573000.pdf","PDF")</f>
        <v>PDF</v>
      </c>
      <c r="K7992" s="12" t="s">
        <v>14002</v>
      </c>
      <c r="L7992" s="20">
        <v>0.34430727023319618</v>
      </c>
    </row>
    <row r="7993" spans="1:12" x14ac:dyDescent="0.45">
      <c r="A7993" s="12" t="s">
        <v>13777</v>
      </c>
      <c r="B7993" s="12" t="s">
        <v>3749</v>
      </c>
      <c r="C7993" s="13" t="s">
        <v>3750</v>
      </c>
      <c r="D7993" s="13" t="s">
        <v>34</v>
      </c>
      <c r="E7993" s="12" t="s">
        <v>35</v>
      </c>
      <c r="F7993" s="14">
        <v>200000</v>
      </c>
      <c r="G7993" s="14">
        <v>171000</v>
      </c>
      <c r="H7993" s="13" t="s">
        <v>14003</v>
      </c>
      <c r="I7993" s="40" t="s">
        <v>18</v>
      </c>
      <c r="J7993" s="40" t="str">
        <f>HYPERLINK("https://stock.pstatic.net/stock-research/company/61/20251031_company_287037000.pdf","PDF")</f>
        <v>PDF</v>
      </c>
      <c r="K7993" s="12" t="s">
        <v>14004</v>
      </c>
      <c r="L7993" s="20">
        <v>0.16959064327485379</v>
      </c>
    </row>
    <row r="7994" spans="1:12" x14ac:dyDescent="0.45">
      <c r="A7994" s="12" t="s">
        <v>13777</v>
      </c>
      <c r="B7994" s="12" t="s">
        <v>2883</v>
      </c>
      <c r="C7994" s="13" t="s">
        <v>2884</v>
      </c>
      <c r="D7994" s="13" t="s">
        <v>23</v>
      </c>
      <c r="E7994" s="12" t="s">
        <v>16</v>
      </c>
      <c r="F7994" s="14">
        <v>88000</v>
      </c>
      <c r="G7994" s="14">
        <v>59600</v>
      </c>
      <c r="H7994" s="13" t="s">
        <v>14005</v>
      </c>
      <c r="I7994" s="40" t="s">
        <v>18</v>
      </c>
      <c r="J7994" s="40" t="str">
        <f>HYPERLINK("https://stock.pstatic.net/stock-research/company/21/20251031_company_908845000.pdf","PDF")</f>
        <v>PDF</v>
      </c>
      <c r="K7994" s="12" t="s">
        <v>14006</v>
      </c>
      <c r="L7994" s="20">
        <v>0.47651006711409388</v>
      </c>
    </row>
    <row r="7995" spans="1:12" x14ac:dyDescent="0.45">
      <c r="A7995" s="12" t="s">
        <v>13777</v>
      </c>
      <c r="B7995" s="12" t="s">
        <v>174</v>
      </c>
      <c r="C7995" s="13" t="s">
        <v>44</v>
      </c>
      <c r="D7995" s="13" t="s">
        <v>23</v>
      </c>
      <c r="E7995" s="12" t="s">
        <v>16</v>
      </c>
      <c r="F7995" s="14">
        <v>380000</v>
      </c>
      <c r="G7995" s="14">
        <v>299500</v>
      </c>
      <c r="H7995" s="13" t="s">
        <v>14007</v>
      </c>
      <c r="I7995" s="40" t="s">
        <v>18</v>
      </c>
      <c r="J7995" s="40" t="str">
        <f>HYPERLINK("https://stock.pstatic.net/stock-research/company/21/20251031_company_560322000.pdf","PDF")</f>
        <v>PDF</v>
      </c>
      <c r="K7995" s="12" t="s">
        <v>14008</v>
      </c>
      <c r="L7995" s="20">
        <v>0.26878130217028379</v>
      </c>
    </row>
    <row r="7996" spans="1:12" x14ac:dyDescent="0.45">
      <c r="A7996" s="12" t="s">
        <v>13777</v>
      </c>
      <c r="B7996" s="12" t="s">
        <v>3478</v>
      </c>
      <c r="C7996" s="13" t="s">
        <v>3479</v>
      </c>
      <c r="D7996" s="13" t="s">
        <v>23</v>
      </c>
      <c r="E7996" s="12" t="s">
        <v>16</v>
      </c>
      <c r="F7996" s="14">
        <v>41000</v>
      </c>
      <c r="G7996" s="14">
        <v>33450</v>
      </c>
      <c r="H7996" s="13" t="s">
        <v>14009</v>
      </c>
      <c r="I7996" s="40" t="s">
        <v>18</v>
      </c>
      <c r="J7996" s="40" t="str">
        <f>HYPERLINK("https://stock.pstatic.net/stock-research/company/21/20251031_company_385005000.pdf","PDF")</f>
        <v>PDF</v>
      </c>
      <c r="K7996" s="12" t="s">
        <v>14010</v>
      </c>
      <c r="L7996" s="20">
        <v>0.22571001494768311</v>
      </c>
    </row>
    <row r="7997" spans="1:12" x14ac:dyDescent="0.45">
      <c r="A7997" s="12" t="s">
        <v>13777</v>
      </c>
      <c r="B7997" s="12" t="s">
        <v>3749</v>
      </c>
      <c r="C7997" s="13" t="s">
        <v>3750</v>
      </c>
      <c r="D7997" s="13" t="s">
        <v>23</v>
      </c>
      <c r="E7997" s="12" t="s">
        <v>16</v>
      </c>
      <c r="F7997" s="14">
        <v>220000</v>
      </c>
      <c r="G7997" s="14">
        <v>171000</v>
      </c>
      <c r="H7997" s="13" t="s">
        <v>14011</v>
      </c>
      <c r="I7997" s="40" t="s">
        <v>18</v>
      </c>
      <c r="J7997" s="40" t="str">
        <f>HYPERLINK("https://stock.pstatic.net/stock-research/company/21/20251031_company_414466000.pdf","PDF")</f>
        <v>PDF</v>
      </c>
      <c r="K7997" s="12" t="s">
        <v>14012</v>
      </c>
      <c r="L7997" s="20">
        <v>0.28654970760233922</v>
      </c>
    </row>
    <row r="7998" spans="1:12" x14ac:dyDescent="0.45">
      <c r="A7998" s="12" t="s">
        <v>13777</v>
      </c>
      <c r="B7998" s="12" t="s">
        <v>3168</v>
      </c>
      <c r="C7998" s="13" t="s">
        <v>3169</v>
      </c>
      <c r="D7998" s="13" t="s">
        <v>23</v>
      </c>
      <c r="E7998" s="12" t="s">
        <v>16</v>
      </c>
      <c r="F7998" s="14">
        <v>15000</v>
      </c>
      <c r="G7998" s="14">
        <v>13530</v>
      </c>
      <c r="H7998" s="13" t="s">
        <v>14013</v>
      </c>
      <c r="I7998" s="40" t="s">
        <v>18</v>
      </c>
      <c r="J7998" s="40" t="str">
        <f>HYPERLINK("https://stock.pstatic.net/stock-research/company/21/20251031_company_611648000.pdf","PDF")</f>
        <v>PDF</v>
      </c>
      <c r="K7998" s="12" t="s">
        <v>14014</v>
      </c>
      <c r="L7998" s="20">
        <v>0.1086474501108647</v>
      </c>
    </row>
    <row r="7999" spans="1:12" x14ac:dyDescent="0.45">
      <c r="A7999" s="12" t="s">
        <v>13777</v>
      </c>
      <c r="B7999" s="12" t="s">
        <v>95</v>
      </c>
      <c r="C7999" s="13" t="s">
        <v>31</v>
      </c>
      <c r="D7999" s="13" t="s">
        <v>34</v>
      </c>
      <c r="E7999" s="12" t="s">
        <v>35</v>
      </c>
      <c r="F7999" s="14">
        <v>35000</v>
      </c>
      <c r="G7999" s="14">
        <v>27400</v>
      </c>
      <c r="H7999" s="13" t="s">
        <v>14015</v>
      </c>
      <c r="I7999" s="40" t="s">
        <v>18</v>
      </c>
      <c r="J7999" s="40" t="str">
        <f>HYPERLINK("https://stock.pstatic.net/stock-research/company/61/20251031_company_825565000.pdf","PDF")</f>
        <v>PDF</v>
      </c>
      <c r="K7999" s="12" t="s">
        <v>14016</v>
      </c>
      <c r="L7999" s="20">
        <v>0.27737226277372262</v>
      </c>
    </row>
    <row r="8000" spans="1:12" x14ac:dyDescent="0.45">
      <c r="A8000" s="12" t="s">
        <v>13777</v>
      </c>
      <c r="B8000" s="12" t="s">
        <v>3478</v>
      </c>
      <c r="C8000" s="13" t="s">
        <v>3479</v>
      </c>
      <c r="D8000" s="13" t="s">
        <v>34</v>
      </c>
      <c r="E8000" s="12" t="s">
        <v>35</v>
      </c>
      <c r="F8000" s="14">
        <v>43000</v>
      </c>
      <c r="G8000" s="14">
        <v>33450</v>
      </c>
      <c r="H8000" s="13" t="s">
        <v>14017</v>
      </c>
      <c r="I8000" s="40" t="s">
        <v>18</v>
      </c>
      <c r="J8000" s="40" t="str">
        <f>HYPERLINK("https://stock.pstatic.net/stock-research/company/61/20251031_company_705600000.pdf","PDF")</f>
        <v>PDF</v>
      </c>
      <c r="K8000" s="12" t="s">
        <v>14018</v>
      </c>
      <c r="L8000" s="20">
        <v>0.28550074738415537</v>
      </c>
    </row>
    <row r="8001" spans="1:12" x14ac:dyDescent="0.45">
      <c r="A8001" s="12" t="s">
        <v>13777</v>
      </c>
      <c r="B8001" s="12" t="s">
        <v>13</v>
      </c>
      <c r="C8001" s="13" t="s">
        <v>14</v>
      </c>
      <c r="D8001" s="13" t="s">
        <v>92</v>
      </c>
      <c r="E8001" s="12" t="s">
        <v>35</v>
      </c>
      <c r="F8001" s="14">
        <v>150000</v>
      </c>
      <c r="G8001" s="14">
        <v>104100</v>
      </c>
      <c r="H8001" s="13" t="s">
        <v>14019</v>
      </c>
      <c r="I8001" s="40" t="s">
        <v>18</v>
      </c>
      <c r="J8001" s="40" t="str">
        <f>HYPERLINK("https://stock.pstatic.net/stock-research/company/63/20251031_company_896163000.pdf","PDF")</f>
        <v>PDF</v>
      </c>
      <c r="K8001" s="12" t="s">
        <v>14020</v>
      </c>
      <c r="L8001" s="20">
        <v>0.44092219020172913</v>
      </c>
    </row>
    <row r="8002" spans="1:12" x14ac:dyDescent="0.45">
      <c r="A8002" s="12" t="s">
        <v>13777</v>
      </c>
      <c r="B8002" s="12" t="s">
        <v>3492</v>
      </c>
      <c r="C8002" s="13" t="s">
        <v>3493</v>
      </c>
      <c r="D8002" s="13" t="s">
        <v>23</v>
      </c>
      <c r="E8002" s="12" t="s">
        <v>16</v>
      </c>
      <c r="F8002" s="14">
        <v>23000</v>
      </c>
      <c r="G8002" s="14">
        <v>19160</v>
      </c>
      <c r="H8002" s="13" t="s">
        <v>14021</v>
      </c>
      <c r="I8002" s="40" t="s">
        <v>18</v>
      </c>
      <c r="J8002" s="40" t="str">
        <f>HYPERLINK("https://stock.pstatic.net/stock-research/company/21/20251031_company_711323000.pdf","PDF")</f>
        <v>PDF</v>
      </c>
      <c r="K8002" s="12" t="s">
        <v>14022</v>
      </c>
      <c r="L8002" s="20">
        <v>0.2004175365344468</v>
      </c>
    </row>
    <row r="8003" spans="1:12" x14ac:dyDescent="0.45">
      <c r="A8003" s="12" t="s">
        <v>13777</v>
      </c>
      <c r="B8003" s="12" t="s">
        <v>3373</v>
      </c>
      <c r="C8003" s="13" t="s">
        <v>3374</v>
      </c>
      <c r="D8003" s="13" t="s">
        <v>23</v>
      </c>
      <c r="E8003" s="12" t="s">
        <v>16</v>
      </c>
      <c r="F8003" s="14">
        <v>130000</v>
      </c>
      <c r="G8003" s="14">
        <v>115800</v>
      </c>
      <c r="H8003" s="13" t="s">
        <v>14023</v>
      </c>
      <c r="I8003" s="40" t="s">
        <v>18</v>
      </c>
      <c r="J8003" s="40" t="str">
        <f>HYPERLINK("https://stock.pstatic.net/stock-research/company/21/20251031_company_672895000.pdf","PDF")</f>
        <v>PDF</v>
      </c>
      <c r="K8003" s="12" t="s">
        <v>14024</v>
      </c>
      <c r="L8003" s="20">
        <v>0.12262521588946459</v>
      </c>
    </row>
    <row r="8004" spans="1:12" x14ac:dyDescent="0.45">
      <c r="A8004" s="12" t="s">
        <v>13777</v>
      </c>
      <c r="B8004" s="12" t="s">
        <v>836</v>
      </c>
      <c r="C8004" s="13" t="s">
        <v>837</v>
      </c>
      <c r="D8004" s="13" t="s">
        <v>179</v>
      </c>
      <c r="E8004" s="12" t="s">
        <v>16</v>
      </c>
      <c r="F8004" s="14">
        <v>330000</v>
      </c>
      <c r="G8004" s="14">
        <v>281000</v>
      </c>
      <c r="H8004" s="13" t="s">
        <v>14025</v>
      </c>
      <c r="I8004" s="40" t="s">
        <v>18</v>
      </c>
      <c r="J8004" s="40" t="str">
        <f>HYPERLINK("https://stock.pstatic.net/stock-research/company/64/20251031_company_153897000.pdf","PDF")</f>
        <v>PDF</v>
      </c>
      <c r="K8004" s="12" t="s">
        <v>14026</v>
      </c>
      <c r="L8004" s="20">
        <v>0.17437722419928819</v>
      </c>
    </row>
    <row r="8005" spans="1:12" x14ac:dyDescent="0.45">
      <c r="A8005" s="12" t="s">
        <v>13777</v>
      </c>
      <c r="B8005" s="12" t="s">
        <v>519</v>
      </c>
      <c r="C8005" s="13" t="s">
        <v>520</v>
      </c>
      <c r="D8005" s="13" t="s">
        <v>179</v>
      </c>
      <c r="E8005" s="12" t="s">
        <v>16</v>
      </c>
      <c r="F8005" s="14">
        <v>330000</v>
      </c>
      <c r="G8005" s="14">
        <v>265000</v>
      </c>
      <c r="H8005" s="13" t="s">
        <v>14027</v>
      </c>
      <c r="I8005" s="40" t="s">
        <v>18</v>
      </c>
      <c r="J8005" s="40" t="str">
        <f>HYPERLINK("https://stock.pstatic.net/stock-research/company/64/20251031_company_79924000.pdf","PDF")</f>
        <v>PDF</v>
      </c>
      <c r="K8005" s="12" t="s">
        <v>14028</v>
      </c>
      <c r="L8005" s="20">
        <v>0.2452830188679245</v>
      </c>
    </row>
    <row r="8006" spans="1:12" x14ac:dyDescent="0.45">
      <c r="A8006" s="12" t="s">
        <v>13777</v>
      </c>
      <c r="B8006" s="12" t="s">
        <v>8114</v>
      </c>
      <c r="C8006" s="13" t="s">
        <v>8115</v>
      </c>
      <c r="D8006" s="13" t="s">
        <v>53</v>
      </c>
      <c r="E8006" s="12" t="s">
        <v>16</v>
      </c>
      <c r="F8006" s="14">
        <v>37000</v>
      </c>
      <c r="G8006" s="14">
        <v>28050</v>
      </c>
      <c r="H8006" s="13" t="s">
        <v>14029</v>
      </c>
      <c r="I8006" s="40" t="s">
        <v>18</v>
      </c>
      <c r="J8006" s="40" t="str">
        <f>HYPERLINK("https://stock.pstatic.net/stock-research/company/40/20251031_company_169304000.pdf","PDF")</f>
        <v>PDF</v>
      </c>
      <c r="K8006" s="12" t="s">
        <v>14030</v>
      </c>
      <c r="L8006" s="20">
        <v>0.31907308377896609</v>
      </c>
    </row>
    <row r="8007" spans="1:12" x14ac:dyDescent="0.45">
      <c r="A8007" s="12" t="s">
        <v>13777</v>
      </c>
      <c r="B8007" s="12" t="s">
        <v>740</v>
      </c>
      <c r="C8007" s="13" t="s">
        <v>741</v>
      </c>
      <c r="D8007" s="13" t="s">
        <v>44</v>
      </c>
      <c r="E8007" s="12" t="s">
        <v>35</v>
      </c>
      <c r="F8007" s="14">
        <v>300000</v>
      </c>
      <c r="G8007" s="14">
        <v>228500</v>
      </c>
      <c r="H8007" s="13" t="s">
        <v>14031</v>
      </c>
      <c r="I8007" s="40" t="s">
        <v>18</v>
      </c>
      <c r="J8007" s="40" t="str">
        <f>HYPERLINK("https://stock.pstatic.net/stock-research/company/39/20251031_company_79377000.pdf","PDF")</f>
        <v>PDF</v>
      </c>
      <c r="K8007" s="12" t="s">
        <v>14032</v>
      </c>
      <c r="L8007" s="20">
        <v>0.31291028446389502</v>
      </c>
    </row>
    <row r="8008" spans="1:12" x14ac:dyDescent="0.45">
      <c r="A8008" s="12" t="s">
        <v>13777</v>
      </c>
      <c r="B8008" s="12" t="s">
        <v>3813</v>
      </c>
      <c r="C8008" s="13" t="s">
        <v>3814</v>
      </c>
      <c r="D8008" s="13" t="s">
        <v>44</v>
      </c>
      <c r="E8008" s="12" t="s">
        <v>45</v>
      </c>
      <c r="F8008" s="14">
        <v>16000</v>
      </c>
      <c r="G8008" s="14">
        <v>13950</v>
      </c>
      <c r="H8008" s="13" t="s">
        <v>14033</v>
      </c>
      <c r="I8008" s="40" t="s">
        <v>18</v>
      </c>
      <c r="J8008" s="40" t="str">
        <f>HYPERLINK("https://stock.pstatic.net/stock-research/company/39/20251031_company_331548000.pdf","PDF")</f>
        <v>PDF</v>
      </c>
      <c r="K8008" s="12" t="s">
        <v>14034</v>
      </c>
      <c r="L8008" s="20">
        <v>0.14695340501792109</v>
      </c>
    </row>
    <row r="8009" spans="1:12" x14ac:dyDescent="0.45">
      <c r="A8009" s="12" t="s">
        <v>13777</v>
      </c>
      <c r="B8009" s="12" t="s">
        <v>81</v>
      </c>
      <c r="C8009" s="13" t="s">
        <v>82</v>
      </c>
      <c r="D8009" s="13" t="s">
        <v>44</v>
      </c>
      <c r="E8009" s="12" t="s">
        <v>35</v>
      </c>
      <c r="F8009" s="14">
        <v>27000</v>
      </c>
      <c r="G8009" s="14">
        <v>20100</v>
      </c>
      <c r="H8009" s="13" t="s">
        <v>14035</v>
      </c>
      <c r="I8009" s="40" t="s">
        <v>18</v>
      </c>
      <c r="J8009" s="40" t="str">
        <f>HYPERLINK("https://stock.pstatic.net/stock-research/company/39/20251031_company_564464000.pdf","PDF")</f>
        <v>PDF</v>
      </c>
      <c r="K8009" s="12" t="s">
        <v>14036</v>
      </c>
      <c r="L8009" s="20">
        <v>0.34328358208955218</v>
      </c>
    </row>
    <row r="8010" spans="1:12" x14ac:dyDescent="0.45">
      <c r="A8010" s="12" t="s">
        <v>13777</v>
      </c>
      <c r="B8010" s="12" t="s">
        <v>541</v>
      </c>
      <c r="C8010" s="13" t="s">
        <v>542</v>
      </c>
      <c r="D8010" s="13" t="s">
        <v>92</v>
      </c>
      <c r="E8010" s="12" t="s">
        <v>159</v>
      </c>
      <c r="F8010" s="14">
        <v>50000</v>
      </c>
      <c r="G8010" s="14">
        <v>52700</v>
      </c>
      <c r="H8010" s="13" t="s">
        <v>14037</v>
      </c>
      <c r="I8010" s="40" t="s">
        <v>18</v>
      </c>
      <c r="J8010" s="40" t="str">
        <f>HYPERLINK("https://stock.pstatic.net/stock-research/company/63/20251031_company_816433000.pdf","PDF")</f>
        <v>PDF</v>
      </c>
      <c r="K8010" s="12" t="s">
        <v>14038</v>
      </c>
      <c r="L8010" s="20">
        <v>-5.1233396584440233E-2</v>
      </c>
    </row>
    <row r="8011" spans="1:12" x14ac:dyDescent="0.45">
      <c r="A8011" s="12" t="s">
        <v>13777</v>
      </c>
      <c r="B8011" s="12" t="s">
        <v>174</v>
      </c>
      <c r="C8011" s="13" t="s">
        <v>44</v>
      </c>
      <c r="D8011" s="13" t="s">
        <v>15</v>
      </c>
      <c r="E8011" s="12" t="s">
        <v>385</v>
      </c>
      <c r="F8011" s="14">
        <v>320000</v>
      </c>
      <c r="G8011" s="14">
        <v>299500</v>
      </c>
      <c r="H8011" s="13" t="s">
        <v>14039</v>
      </c>
      <c r="I8011" s="40" t="s">
        <v>18</v>
      </c>
      <c r="J8011" s="40" t="str">
        <f>HYPERLINK("https://stock.pstatic.net/stock-research/company/29/20251031_company_232234000.pdf","PDF")</f>
        <v>PDF</v>
      </c>
      <c r="K8011" s="12" t="s">
        <v>14040</v>
      </c>
      <c r="L8011" s="20">
        <v>6.8447412353923209E-2</v>
      </c>
    </row>
    <row r="8012" spans="1:12" x14ac:dyDescent="0.45">
      <c r="A8012" s="12" t="s">
        <v>13777</v>
      </c>
      <c r="B8012" s="12" t="s">
        <v>3813</v>
      </c>
      <c r="C8012" s="13" t="s">
        <v>3814</v>
      </c>
      <c r="D8012" s="13" t="s">
        <v>179</v>
      </c>
      <c r="E8012" s="12" t="s">
        <v>16</v>
      </c>
      <c r="F8012" s="14">
        <v>16500</v>
      </c>
      <c r="G8012" s="14">
        <v>13950</v>
      </c>
      <c r="H8012" s="13" t="s">
        <v>14041</v>
      </c>
      <c r="I8012" s="40" t="s">
        <v>18</v>
      </c>
      <c r="J8012" s="40" t="str">
        <f>HYPERLINK("https://stock.pstatic.net/stock-research/company/64/20251031_company_445317000.pdf","PDF")</f>
        <v>PDF</v>
      </c>
      <c r="K8012" s="12" t="s">
        <v>14042</v>
      </c>
      <c r="L8012" s="20">
        <v>0.18279569892473119</v>
      </c>
    </row>
    <row r="8013" spans="1:12" x14ac:dyDescent="0.45">
      <c r="A8013" s="12" t="s">
        <v>13777</v>
      </c>
      <c r="B8013" s="12" t="s">
        <v>740</v>
      </c>
      <c r="C8013" s="13" t="s">
        <v>741</v>
      </c>
      <c r="D8013" s="13" t="s">
        <v>53</v>
      </c>
      <c r="E8013" s="12" t="s">
        <v>16</v>
      </c>
      <c r="F8013" s="14">
        <v>270000</v>
      </c>
      <c r="G8013" s="14">
        <v>228500</v>
      </c>
      <c r="H8013" s="13" t="s">
        <v>14043</v>
      </c>
      <c r="I8013" s="40" t="s">
        <v>18</v>
      </c>
      <c r="J8013" s="40" t="str">
        <f>HYPERLINK("https://stock.pstatic.net/stock-research/company/40/20251031_company_67850000.pdf","PDF")</f>
        <v>PDF</v>
      </c>
      <c r="K8013" s="12" t="s">
        <v>14044</v>
      </c>
      <c r="L8013" s="20">
        <v>0.1816192560175055</v>
      </c>
    </row>
    <row r="8014" spans="1:12" x14ac:dyDescent="0.45">
      <c r="A8014" s="12" t="s">
        <v>13777</v>
      </c>
      <c r="B8014" s="12" t="s">
        <v>2378</v>
      </c>
      <c r="C8014" s="13" t="s">
        <v>2379</v>
      </c>
      <c r="D8014" s="13" t="s">
        <v>92</v>
      </c>
      <c r="E8014" s="12" t="s">
        <v>35</v>
      </c>
      <c r="F8014" s="14">
        <v>580000</v>
      </c>
      <c r="G8014" s="14">
        <v>486500</v>
      </c>
      <c r="H8014" s="13" t="s">
        <v>14045</v>
      </c>
      <c r="I8014" s="40" t="s">
        <v>18</v>
      </c>
      <c r="J8014" s="40" t="str">
        <f>HYPERLINK("https://stock.pstatic.net/stock-research/company/63/20251031_company_160444000.pdf","PDF")</f>
        <v>PDF</v>
      </c>
      <c r="K8014" s="12" t="s">
        <v>14046</v>
      </c>
      <c r="L8014" s="20">
        <v>0.19218910585817059</v>
      </c>
    </row>
    <row r="8015" spans="1:12" x14ac:dyDescent="0.45">
      <c r="A8015" s="12" t="s">
        <v>13777</v>
      </c>
      <c r="B8015" s="12" t="s">
        <v>3087</v>
      </c>
      <c r="C8015" s="13" t="s">
        <v>3088</v>
      </c>
      <c r="D8015" s="13" t="s">
        <v>179</v>
      </c>
      <c r="E8015" s="12" t="s">
        <v>16</v>
      </c>
      <c r="F8015" s="14">
        <v>290000</v>
      </c>
      <c r="G8015" s="14">
        <v>244500</v>
      </c>
      <c r="H8015" s="13" t="s">
        <v>14047</v>
      </c>
      <c r="I8015" s="40" t="s">
        <v>18</v>
      </c>
      <c r="J8015" s="40" t="str">
        <f>HYPERLINK("https://stock.pstatic.net/stock-research/company/64/20251031_company_828435000.pdf","PDF")</f>
        <v>PDF</v>
      </c>
      <c r="K8015" s="12" t="s">
        <v>14048</v>
      </c>
      <c r="L8015" s="20">
        <v>0.18609406952965241</v>
      </c>
    </row>
    <row r="8016" spans="1:12" x14ac:dyDescent="0.45">
      <c r="A8016" s="12" t="s">
        <v>13777</v>
      </c>
      <c r="B8016" s="12" t="s">
        <v>3168</v>
      </c>
      <c r="C8016" s="13" t="s">
        <v>3169</v>
      </c>
      <c r="D8016" s="13" t="s">
        <v>44</v>
      </c>
      <c r="E8016" s="12" t="s">
        <v>35</v>
      </c>
      <c r="F8016" s="14">
        <v>17500</v>
      </c>
      <c r="G8016" s="14">
        <v>13530</v>
      </c>
      <c r="H8016" s="13" t="s">
        <v>14049</v>
      </c>
      <c r="I8016" s="40" t="s">
        <v>18</v>
      </c>
      <c r="J8016" s="40" t="str">
        <f>HYPERLINK("https://stock.pstatic.net/stock-research/company/39/20251031_company_705931000.pdf","PDF")</f>
        <v>PDF</v>
      </c>
      <c r="K8016" s="12" t="s">
        <v>14050</v>
      </c>
      <c r="L8016" s="20">
        <v>0.29342202512934218</v>
      </c>
    </row>
    <row r="8017" spans="1:12" x14ac:dyDescent="0.45">
      <c r="A8017" s="12" t="s">
        <v>13777</v>
      </c>
      <c r="B8017" s="12" t="s">
        <v>541</v>
      </c>
      <c r="C8017" s="13" t="s">
        <v>542</v>
      </c>
      <c r="D8017" s="13" t="s">
        <v>53</v>
      </c>
      <c r="E8017" s="12" t="s">
        <v>16</v>
      </c>
      <c r="F8017" s="14">
        <v>64000</v>
      </c>
      <c r="G8017" s="14">
        <v>52700</v>
      </c>
      <c r="H8017" s="13" t="s">
        <v>14051</v>
      </c>
      <c r="I8017" s="40" t="s">
        <v>18</v>
      </c>
      <c r="J8017" s="40" t="str">
        <f>HYPERLINK("https://stock.pstatic.net/stock-research/company/40/20251031_company_162493000.pdf","PDF")</f>
        <v>PDF</v>
      </c>
      <c r="K8017" s="12" t="s">
        <v>14052</v>
      </c>
      <c r="L8017" s="20">
        <v>0.2144212523719165</v>
      </c>
    </row>
    <row r="8018" spans="1:12" x14ac:dyDescent="0.45">
      <c r="A8018" s="12" t="s">
        <v>13777</v>
      </c>
      <c r="B8018" s="12" t="s">
        <v>13983</v>
      </c>
      <c r="C8018" s="13" t="s">
        <v>13984</v>
      </c>
      <c r="D8018" s="13" t="s">
        <v>44</v>
      </c>
      <c r="E8018" s="12" t="s">
        <v>35</v>
      </c>
      <c r="F8018" s="14">
        <v>21700</v>
      </c>
      <c r="G8018" s="14">
        <v>15750</v>
      </c>
      <c r="H8018" s="13" t="s">
        <v>14053</v>
      </c>
      <c r="I8018" s="40" t="s">
        <v>18</v>
      </c>
      <c r="J8018" s="40" t="str">
        <f>HYPERLINK("https://stock.pstatic.net/stock-research/company/39/20251031_company_150410000.pdf","PDF")</f>
        <v>PDF</v>
      </c>
      <c r="K8018" s="12" t="s">
        <v>14054</v>
      </c>
      <c r="L8018" s="20">
        <v>0.37777777777777782</v>
      </c>
    </row>
    <row r="8019" spans="1:12" x14ac:dyDescent="0.45">
      <c r="A8019" s="12" t="s">
        <v>13777</v>
      </c>
      <c r="B8019" s="12" t="s">
        <v>1552</v>
      </c>
      <c r="C8019" s="13" t="s">
        <v>9704</v>
      </c>
      <c r="D8019" s="13" t="s">
        <v>44</v>
      </c>
      <c r="E8019" s="12" t="s">
        <v>35</v>
      </c>
      <c r="F8019" s="14">
        <v>136000</v>
      </c>
      <c r="G8019" s="14">
        <v>103300</v>
      </c>
      <c r="H8019" s="13" t="s">
        <v>14055</v>
      </c>
      <c r="I8019" s="40" t="s">
        <v>18</v>
      </c>
      <c r="J8019" s="40" t="str">
        <f>HYPERLINK("https://stock.pstatic.net/stock-research/company/39/20251031_company_763503000.pdf","PDF")</f>
        <v>PDF</v>
      </c>
      <c r="K8019" s="12" t="s">
        <v>14056</v>
      </c>
      <c r="L8019" s="20">
        <v>0.31655372700871248</v>
      </c>
    </row>
    <row r="8020" spans="1:12" x14ac:dyDescent="0.45">
      <c r="A8020" s="12" t="s">
        <v>13777</v>
      </c>
      <c r="B8020" s="12" t="s">
        <v>3478</v>
      </c>
      <c r="C8020" s="13" t="s">
        <v>3479</v>
      </c>
      <c r="D8020" s="13" t="s">
        <v>92</v>
      </c>
      <c r="E8020" s="12" t="s">
        <v>35</v>
      </c>
      <c r="F8020" s="14">
        <v>54000</v>
      </c>
      <c r="G8020" s="14">
        <v>33450</v>
      </c>
      <c r="H8020" s="13" t="s">
        <v>14057</v>
      </c>
      <c r="I8020" s="40" t="s">
        <v>18</v>
      </c>
      <c r="J8020" s="40" t="str">
        <f>HYPERLINK("https://stock.pstatic.net/stock-research/company/63/20251031_company_158873000.pdf","PDF")</f>
        <v>PDF</v>
      </c>
      <c r="K8020" s="12" t="s">
        <v>14058</v>
      </c>
      <c r="L8020" s="20">
        <v>0.61434977578475336</v>
      </c>
    </row>
    <row r="8021" spans="1:12" x14ac:dyDescent="0.45">
      <c r="A8021" s="12" t="s">
        <v>13777</v>
      </c>
      <c r="B8021" s="12" t="s">
        <v>13</v>
      </c>
      <c r="C8021" s="13" t="s">
        <v>14</v>
      </c>
      <c r="D8021" s="13" t="s">
        <v>53</v>
      </c>
      <c r="E8021" s="12" t="s">
        <v>16</v>
      </c>
      <c r="F8021" s="14">
        <v>140000</v>
      </c>
      <c r="G8021" s="14">
        <v>104100</v>
      </c>
      <c r="H8021" s="13" t="s">
        <v>14059</v>
      </c>
      <c r="I8021" s="40" t="s">
        <v>18</v>
      </c>
      <c r="J8021" s="40" t="str">
        <f>HYPERLINK("https://stock.pstatic.net/stock-research/company/40/20251031_company_370294000.pdf","PDF")</f>
        <v>PDF</v>
      </c>
      <c r="K8021" s="12" t="s">
        <v>14060</v>
      </c>
      <c r="L8021" s="20">
        <v>0.34486071085494718</v>
      </c>
    </row>
    <row r="8022" spans="1:12" x14ac:dyDescent="0.45">
      <c r="A8022" s="12" t="s">
        <v>13777</v>
      </c>
      <c r="B8022" s="12" t="s">
        <v>2378</v>
      </c>
      <c r="C8022" s="13" t="s">
        <v>2379</v>
      </c>
      <c r="D8022" s="13" t="s">
        <v>53</v>
      </c>
      <c r="E8022" s="12" t="s">
        <v>16</v>
      </c>
      <c r="F8022" s="14">
        <v>560000</v>
      </c>
      <c r="G8022" s="14">
        <v>486500</v>
      </c>
      <c r="H8022" s="13" t="s">
        <v>14061</v>
      </c>
      <c r="I8022" s="40" t="s">
        <v>18</v>
      </c>
      <c r="J8022" s="40" t="str">
        <f>HYPERLINK("https://stock.pstatic.net/stock-research/company/40/20251031_company_522030000.pdf","PDF")</f>
        <v>PDF</v>
      </c>
      <c r="K8022" s="12" t="s">
        <v>14062</v>
      </c>
      <c r="L8022" s="20">
        <v>0.15107913669064749</v>
      </c>
    </row>
    <row r="8023" spans="1:12" x14ac:dyDescent="0.45">
      <c r="A8023" s="12" t="s">
        <v>13777</v>
      </c>
      <c r="B8023" s="12" t="s">
        <v>519</v>
      </c>
      <c r="C8023" s="13" t="s">
        <v>520</v>
      </c>
      <c r="D8023" s="13" t="s">
        <v>53</v>
      </c>
      <c r="E8023" s="12" t="s">
        <v>16</v>
      </c>
      <c r="F8023" s="14">
        <v>310000</v>
      </c>
      <c r="G8023" s="14">
        <v>265000</v>
      </c>
      <c r="H8023" s="13" t="s">
        <v>14063</v>
      </c>
      <c r="I8023" s="40" t="s">
        <v>18</v>
      </c>
      <c r="J8023" s="40" t="str">
        <f>HYPERLINK("https://stock.pstatic.net/stock-research/company/40/20251031_company_857873000.pdf","PDF")</f>
        <v>PDF</v>
      </c>
      <c r="K8023" s="12" t="s">
        <v>14064</v>
      </c>
      <c r="L8023" s="20">
        <v>0.169811320754717</v>
      </c>
    </row>
    <row r="8024" spans="1:12" x14ac:dyDescent="0.45">
      <c r="A8024" s="12" t="s">
        <v>13777</v>
      </c>
      <c r="B8024" s="12" t="s">
        <v>2378</v>
      </c>
      <c r="C8024" s="13" t="s">
        <v>2379</v>
      </c>
      <c r="D8024" s="13" t="s">
        <v>44</v>
      </c>
      <c r="E8024" s="12" t="s">
        <v>35</v>
      </c>
      <c r="F8024" s="14">
        <v>590000</v>
      </c>
      <c r="G8024" s="14">
        <v>486500</v>
      </c>
      <c r="H8024" s="13" t="s">
        <v>14065</v>
      </c>
      <c r="I8024" s="40" t="s">
        <v>18</v>
      </c>
      <c r="J8024" s="40" t="str">
        <f>HYPERLINK("https://stock.pstatic.net/stock-research/company/39/20251031_company_381130000.pdf","PDF")</f>
        <v>PDF</v>
      </c>
      <c r="K8024" s="12" t="s">
        <v>14066</v>
      </c>
      <c r="L8024" s="20">
        <v>0.21274409044193221</v>
      </c>
    </row>
    <row r="8025" spans="1:12" x14ac:dyDescent="0.45">
      <c r="A8025" s="12" t="s">
        <v>13777</v>
      </c>
      <c r="B8025" s="12" t="s">
        <v>519</v>
      </c>
      <c r="C8025" s="13" t="s">
        <v>520</v>
      </c>
      <c r="D8025" s="13" t="s">
        <v>44</v>
      </c>
      <c r="E8025" s="12" t="s">
        <v>45</v>
      </c>
      <c r="F8025" s="14">
        <v>310000</v>
      </c>
      <c r="G8025" s="14">
        <v>265000</v>
      </c>
      <c r="H8025" s="13" t="s">
        <v>14067</v>
      </c>
      <c r="I8025" s="40" t="s">
        <v>18</v>
      </c>
      <c r="J8025" s="40" t="str">
        <f>HYPERLINK("https://stock.pstatic.net/stock-research/company/39/20251031_company_879263000.pdf","PDF")</f>
        <v>PDF</v>
      </c>
      <c r="K8025" s="12" t="s">
        <v>14068</v>
      </c>
      <c r="L8025" s="20">
        <v>0.169811320754717</v>
      </c>
    </row>
    <row r="8026" spans="1:12" x14ac:dyDescent="0.45">
      <c r="A8026" s="12" t="s">
        <v>13777</v>
      </c>
      <c r="B8026" s="12" t="s">
        <v>3451</v>
      </c>
      <c r="C8026" s="13" t="s">
        <v>3452</v>
      </c>
      <c r="D8026" s="13" t="s">
        <v>44</v>
      </c>
      <c r="E8026" s="12" t="s">
        <v>35</v>
      </c>
      <c r="F8026" s="14">
        <v>240000</v>
      </c>
      <c r="G8026" s="14">
        <v>196500</v>
      </c>
      <c r="H8026" s="13" t="s">
        <v>14069</v>
      </c>
      <c r="I8026" s="40" t="s">
        <v>18</v>
      </c>
      <c r="J8026" s="40" t="str">
        <f>HYPERLINK("https://stock.pstatic.net/stock-research/company/39/20251031_company_298068000.pdf","PDF")</f>
        <v>PDF</v>
      </c>
      <c r="K8026" s="12" t="s">
        <v>14070</v>
      </c>
      <c r="L8026" s="20">
        <v>0.2213740458015267</v>
      </c>
    </row>
    <row r="8027" spans="1:12" x14ac:dyDescent="0.45">
      <c r="A8027" s="12" t="s">
        <v>13777</v>
      </c>
      <c r="B8027" s="12" t="s">
        <v>95</v>
      </c>
      <c r="C8027" s="13" t="s">
        <v>31</v>
      </c>
      <c r="D8027" s="13" t="s">
        <v>44</v>
      </c>
      <c r="E8027" s="12" t="s">
        <v>35</v>
      </c>
      <c r="F8027" s="14">
        <v>40000</v>
      </c>
      <c r="G8027" s="14">
        <v>27400</v>
      </c>
      <c r="H8027" s="13" t="s">
        <v>14071</v>
      </c>
      <c r="I8027" s="40" t="s">
        <v>18</v>
      </c>
      <c r="J8027" s="40" t="str">
        <f>HYPERLINK("https://stock.pstatic.net/stock-research/company/39/20251031_company_358521000.pdf","PDF")</f>
        <v>PDF</v>
      </c>
      <c r="K8027" s="12" t="s">
        <v>14072</v>
      </c>
      <c r="L8027" s="20">
        <v>0.45985401459854008</v>
      </c>
    </row>
    <row r="8028" spans="1:12" x14ac:dyDescent="0.45">
      <c r="A8028" s="12" t="s">
        <v>13777</v>
      </c>
      <c r="B8028" s="12" t="s">
        <v>3813</v>
      </c>
      <c r="C8028" s="13" t="s">
        <v>3814</v>
      </c>
      <c r="D8028" s="13" t="s">
        <v>53</v>
      </c>
      <c r="E8028" s="12" t="s">
        <v>16</v>
      </c>
      <c r="F8028" s="14">
        <v>20000</v>
      </c>
      <c r="G8028" s="14">
        <v>13950</v>
      </c>
      <c r="H8028" s="13" t="s">
        <v>14073</v>
      </c>
      <c r="I8028" s="40" t="s">
        <v>18</v>
      </c>
      <c r="J8028" s="40" t="str">
        <f>HYPERLINK("https://stock.pstatic.net/stock-research/company/40/20251031_company_821022000.pdf","PDF")</f>
        <v>PDF</v>
      </c>
      <c r="K8028" s="12" t="s">
        <v>14074</v>
      </c>
      <c r="L8028" s="20">
        <v>0.43369175627240142</v>
      </c>
    </row>
    <row r="8029" spans="1:12" x14ac:dyDescent="0.45">
      <c r="A8029" s="12" t="s">
        <v>13777</v>
      </c>
      <c r="B8029" s="12" t="s">
        <v>3373</v>
      </c>
      <c r="C8029" s="13" t="s">
        <v>3374</v>
      </c>
      <c r="D8029" s="13" t="s">
        <v>44</v>
      </c>
      <c r="E8029" s="12" t="s">
        <v>35</v>
      </c>
      <c r="F8029" s="14">
        <v>150000</v>
      </c>
      <c r="G8029" s="14">
        <v>115800</v>
      </c>
      <c r="H8029" s="13" t="s">
        <v>14075</v>
      </c>
      <c r="I8029" s="40" t="s">
        <v>18</v>
      </c>
      <c r="J8029" s="40" t="str">
        <f>HYPERLINK("https://stock.pstatic.net/stock-research/company/39/20251031_company_891130000.pdf","PDF")</f>
        <v>PDF</v>
      </c>
      <c r="K8029" s="12" t="s">
        <v>14076</v>
      </c>
      <c r="L8029" s="20">
        <v>0.29533678756476678</v>
      </c>
    </row>
    <row r="8030" spans="1:12" x14ac:dyDescent="0.45">
      <c r="A8030" s="12" t="s">
        <v>13777</v>
      </c>
      <c r="B8030" s="12" t="s">
        <v>3492</v>
      </c>
      <c r="C8030" s="13" t="s">
        <v>3493</v>
      </c>
      <c r="D8030" s="13" t="s">
        <v>44</v>
      </c>
      <c r="E8030" s="12" t="s">
        <v>35</v>
      </c>
      <c r="F8030" s="14">
        <v>28000</v>
      </c>
      <c r="G8030" s="14">
        <v>19160</v>
      </c>
      <c r="H8030" s="13" t="s">
        <v>14077</v>
      </c>
      <c r="I8030" s="40" t="s">
        <v>18</v>
      </c>
      <c r="J8030" s="40" t="str">
        <f>HYPERLINK("https://stock.pstatic.net/stock-research/company/39/20251031_company_980843000.pdf","PDF")</f>
        <v>PDF</v>
      </c>
      <c r="K8030" s="12" t="s">
        <v>14078</v>
      </c>
      <c r="L8030" s="20">
        <v>0.4613778705636743</v>
      </c>
    </row>
    <row r="8031" spans="1:12" x14ac:dyDescent="0.45">
      <c r="A8031" s="12" t="s">
        <v>13777</v>
      </c>
      <c r="B8031" s="12" t="s">
        <v>13</v>
      </c>
      <c r="C8031" s="13" t="s">
        <v>14</v>
      </c>
      <c r="D8031" s="13" t="s">
        <v>44</v>
      </c>
      <c r="E8031" s="12" t="s">
        <v>50</v>
      </c>
      <c r="F8031" s="13"/>
      <c r="G8031" s="13"/>
      <c r="H8031" s="13" t="s">
        <v>14079</v>
      </c>
      <c r="I8031" s="40" t="s">
        <v>18</v>
      </c>
      <c r="J8031" s="40" t="str">
        <f>HYPERLINK("https://stock.pstatic.net/stock-research/company/39/20251031_company_836457000.pdf","PDF")</f>
        <v>PDF</v>
      </c>
      <c r="K8031" s="12" t="s">
        <v>14080</v>
      </c>
    </row>
    <row r="8032" spans="1:12" x14ac:dyDescent="0.45">
      <c r="A8032" s="12" t="s">
        <v>13777</v>
      </c>
      <c r="B8032" s="12" t="s">
        <v>3478</v>
      </c>
      <c r="C8032" s="13" t="s">
        <v>3479</v>
      </c>
      <c r="D8032" s="13" t="s">
        <v>44</v>
      </c>
      <c r="E8032" s="12" t="s">
        <v>35</v>
      </c>
      <c r="F8032" s="14">
        <v>50000</v>
      </c>
      <c r="G8032" s="14">
        <v>33450</v>
      </c>
      <c r="H8032" s="13" t="s">
        <v>14081</v>
      </c>
      <c r="I8032" s="40" t="s">
        <v>18</v>
      </c>
      <c r="J8032" s="40" t="str">
        <f>HYPERLINK("https://stock.pstatic.net/stock-research/company/39/20251031_company_388855000.pdf","PDF")</f>
        <v>PDF</v>
      </c>
      <c r="K8032" s="12" t="s">
        <v>14082</v>
      </c>
      <c r="L8032" s="20">
        <v>0.49476831091180867</v>
      </c>
    </row>
    <row r="8033" spans="1:12" x14ac:dyDescent="0.45">
      <c r="A8033" s="12" t="s">
        <v>13777</v>
      </c>
      <c r="B8033" s="12" t="s">
        <v>1656</v>
      </c>
      <c r="C8033" s="13" t="s">
        <v>1657</v>
      </c>
      <c r="D8033" s="13" t="s">
        <v>44</v>
      </c>
      <c r="E8033" s="12" t="s">
        <v>35</v>
      </c>
      <c r="F8033" s="14">
        <v>225000</v>
      </c>
      <c r="G8033" s="14">
        <v>176400</v>
      </c>
      <c r="H8033" s="13" t="s">
        <v>14083</v>
      </c>
      <c r="I8033" s="40" t="s">
        <v>18</v>
      </c>
      <c r="J8033" s="40" t="str">
        <f>HYPERLINK("https://stock.pstatic.net/stock-research/company/39/20251031_company_735986000.pdf","PDF")</f>
        <v>PDF</v>
      </c>
      <c r="K8033" s="12" t="s">
        <v>14084</v>
      </c>
      <c r="L8033" s="20">
        <v>0.27551020408163263</v>
      </c>
    </row>
    <row r="8034" spans="1:12" x14ac:dyDescent="0.45">
      <c r="A8034" s="12" t="s">
        <v>13777</v>
      </c>
      <c r="B8034" s="12" t="s">
        <v>541</v>
      </c>
      <c r="C8034" s="13" t="s">
        <v>542</v>
      </c>
      <c r="D8034" s="13" t="s">
        <v>179</v>
      </c>
      <c r="E8034" s="12" t="s">
        <v>16</v>
      </c>
      <c r="F8034" s="14">
        <v>69000</v>
      </c>
      <c r="G8034" s="14">
        <v>52700</v>
      </c>
      <c r="H8034" s="13" t="s">
        <v>14085</v>
      </c>
      <c r="I8034" s="40" t="s">
        <v>18</v>
      </c>
      <c r="J8034" s="40" t="str">
        <f>HYPERLINK("https://stock.pstatic.net/stock-research/company/64/20251031_company_658677000.pdf","PDF")</f>
        <v>PDF</v>
      </c>
      <c r="K8034" s="12" t="s">
        <v>14086</v>
      </c>
      <c r="L8034" s="20">
        <v>0.30929791271347251</v>
      </c>
    </row>
    <row r="8035" spans="1:12" x14ac:dyDescent="0.45">
      <c r="A8035" s="12" t="s">
        <v>13777</v>
      </c>
      <c r="B8035" s="12" t="s">
        <v>334</v>
      </c>
      <c r="C8035" s="13" t="s">
        <v>335</v>
      </c>
      <c r="D8035" s="13" t="s">
        <v>853</v>
      </c>
      <c r="E8035" s="12" t="s">
        <v>35</v>
      </c>
      <c r="F8035" s="14">
        <v>670000</v>
      </c>
      <c r="G8035" s="14">
        <v>558000</v>
      </c>
      <c r="H8035" s="13" t="s">
        <v>14087</v>
      </c>
      <c r="I8035" s="40" t="s">
        <v>18</v>
      </c>
      <c r="J8035" s="40" t="str">
        <f>HYPERLINK("https://stock.pstatic.net/stock-research/company/17/20251031_company_162545000.pdf","PDF")</f>
        <v>PDF</v>
      </c>
      <c r="K8035" s="12" t="s">
        <v>14088</v>
      </c>
      <c r="L8035" s="20">
        <v>0.20071684587813621</v>
      </c>
    </row>
    <row r="8036" spans="1:12" x14ac:dyDescent="0.45">
      <c r="A8036" s="12" t="s">
        <v>13777</v>
      </c>
      <c r="B8036" s="12" t="s">
        <v>3749</v>
      </c>
      <c r="C8036" s="13" t="s">
        <v>3750</v>
      </c>
      <c r="D8036" s="13" t="s">
        <v>15</v>
      </c>
      <c r="E8036" s="12" t="s">
        <v>16</v>
      </c>
      <c r="F8036" s="14">
        <v>210000</v>
      </c>
      <c r="G8036" s="14">
        <v>171000</v>
      </c>
      <c r="H8036" s="13" t="s">
        <v>14089</v>
      </c>
      <c r="I8036" s="40" t="s">
        <v>18</v>
      </c>
      <c r="J8036" s="40" t="str">
        <f>HYPERLINK("https://stock.pstatic.net/stock-research/company/29/20251031_company_104590000.pdf","PDF")</f>
        <v>PDF</v>
      </c>
      <c r="K8036" s="12" t="s">
        <v>14090</v>
      </c>
      <c r="L8036" s="20">
        <v>0.22807017543859651</v>
      </c>
    </row>
    <row r="8037" spans="1:12" x14ac:dyDescent="0.45">
      <c r="A8037" s="12" t="s">
        <v>13777</v>
      </c>
      <c r="B8037" s="12" t="s">
        <v>14091</v>
      </c>
      <c r="C8037" s="13" t="s">
        <v>14092</v>
      </c>
      <c r="D8037" s="13" t="s">
        <v>202</v>
      </c>
      <c r="E8037" s="12" t="s">
        <v>50</v>
      </c>
      <c r="F8037" s="13"/>
      <c r="G8037" s="13"/>
      <c r="H8037" s="13" t="s">
        <v>14093</v>
      </c>
      <c r="I8037" s="40" t="s">
        <v>18</v>
      </c>
      <c r="J8037" s="40" t="str">
        <f>HYPERLINK("https://stock.pstatic.net/stock-research/company/69/20251031_company_966666000.pdf","PDF")</f>
        <v>PDF</v>
      </c>
      <c r="K8037" s="12" t="s">
        <v>14094</v>
      </c>
    </row>
    <row r="8038" spans="1:12" x14ac:dyDescent="0.45">
      <c r="A8038" s="12" t="s">
        <v>13777</v>
      </c>
      <c r="B8038" s="12" t="s">
        <v>122</v>
      </c>
      <c r="C8038" s="13" t="s">
        <v>123</v>
      </c>
      <c r="D8038" s="13" t="s">
        <v>202</v>
      </c>
      <c r="E8038" s="12" t="s">
        <v>50</v>
      </c>
      <c r="F8038" s="13"/>
      <c r="G8038" s="13"/>
      <c r="H8038" s="13" t="s">
        <v>14095</v>
      </c>
      <c r="I8038" s="40" t="s">
        <v>18</v>
      </c>
      <c r="J8038" s="40" t="str">
        <f>HYPERLINK("https://stock.pstatic.net/stock-research/company/69/20251031_company_574819000.pdf","PDF")</f>
        <v>PDF</v>
      </c>
      <c r="K8038" s="12" t="s">
        <v>14096</v>
      </c>
    </row>
    <row r="8039" spans="1:12" x14ac:dyDescent="0.45">
      <c r="A8039" s="12" t="s">
        <v>13777</v>
      </c>
      <c r="B8039" s="12" t="s">
        <v>14097</v>
      </c>
      <c r="C8039" s="13" t="s">
        <v>14098</v>
      </c>
      <c r="D8039" s="13" t="s">
        <v>202</v>
      </c>
      <c r="E8039" s="12" t="s">
        <v>50</v>
      </c>
      <c r="F8039" s="13"/>
      <c r="G8039" s="13"/>
      <c r="H8039" s="13" t="s">
        <v>14099</v>
      </c>
      <c r="I8039" s="40" t="s">
        <v>18</v>
      </c>
      <c r="J8039" s="40" t="str">
        <f>HYPERLINK("https://stock.pstatic.net/stock-research/company/69/20251031_company_554057000.pdf","PDF")</f>
        <v>PDF</v>
      </c>
      <c r="K8039" s="12" t="s">
        <v>14100</v>
      </c>
    </row>
    <row r="8040" spans="1:12" x14ac:dyDescent="0.45">
      <c r="A8040" s="12" t="s">
        <v>13777</v>
      </c>
      <c r="B8040" s="12" t="s">
        <v>14101</v>
      </c>
      <c r="C8040" s="13" t="s">
        <v>14102</v>
      </c>
      <c r="D8040" s="13" t="s">
        <v>11154</v>
      </c>
      <c r="E8040" s="12" t="s">
        <v>50</v>
      </c>
      <c r="F8040" s="13"/>
      <c r="G8040" s="13"/>
      <c r="H8040" s="13" t="s">
        <v>14103</v>
      </c>
      <c r="I8040" s="40" t="s">
        <v>18</v>
      </c>
      <c r="J8040" s="40" t="str">
        <f>HYPERLINK("https://stock.pstatic.net/stock-research/company/79/20251031_company_332661000.pdf","PDF")</f>
        <v>PDF</v>
      </c>
      <c r="K8040" s="12" t="s">
        <v>14104</v>
      </c>
    </row>
    <row r="8041" spans="1:12" x14ac:dyDescent="0.45">
      <c r="A8041" s="12" t="s">
        <v>13777</v>
      </c>
      <c r="B8041" s="12" t="s">
        <v>14105</v>
      </c>
      <c r="C8041" s="13" t="s">
        <v>14106</v>
      </c>
      <c r="D8041" s="13" t="s">
        <v>11154</v>
      </c>
      <c r="E8041" s="12" t="s">
        <v>50</v>
      </c>
      <c r="F8041" s="13"/>
      <c r="G8041" s="13"/>
      <c r="H8041" s="13" t="s">
        <v>14107</v>
      </c>
      <c r="I8041" s="40" t="s">
        <v>18</v>
      </c>
      <c r="J8041" s="40" t="str">
        <f>HYPERLINK("https://stock.pstatic.net/stock-research/company/79/20251031_company_828106000.pdf","PDF")</f>
        <v>PDF</v>
      </c>
      <c r="K8041" s="12" t="s">
        <v>14108</v>
      </c>
    </row>
    <row r="8042" spans="1:12" x14ac:dyDescent="0.45">
      <c r="A8042" s="12" t="s">
        <v>13777</v>
      </c>
      <c r="B8042" s="12" t="s">
        <v>14109</v>
      </c>
      <c r="C8042" s="13" t="s">
        <v>14110</v>
      </c>
      <c r="D8042" s="13" t="s">
        <v>202</v>
      </c>
      <c r="E8042" s="12" t="s">
        <v>50</v>
      </c>
      <c r="F8042" s="13"/>
      <c r="G8042" s="13"/>
      <c r="H8042" s="13" t="s">
        <v>14111</v>
      </c>
      <c r="I8042" s="40" t="s">
        <v>18</v>
      </c>
      <c r="J8042" s="40" t="str">
        <f>HYPERLINK("https://stock.pstatic.net/stock-research/company/69/20251031_company_589757000.pdf","PDF")</f>
        <v>PDF</v>
      </c>
      <c r="K8042" s="12" t="s">
        <v>14112</v>
      </c>
    </row>
    <row r="8043" spans="1:12" x14ac:dyDescent="0.45">
      <c r="A8043" s="12" t="s">
        <v>13777</v>
      </c>
      <c r="B8043" s="12" t="s">
        <v>14113</v>
      </c>
      <c r="C8043" s="13" t="s">
        <v>14114</v>
      </c>
      <c r="D8043" s="13" t="s">
        <v>11154</v>
      </c>
      <c r="E8043" s="12" t="s">
        <v>50</v>
      </c>
      <c r="F8043" s="13"/>
      <c r="G8043" s="13"/>
      <c r="H8043" s="13" t="s">
        <v>14115</v>
      </c>
      <c r="I8043" s="40" t="s">
        <v>18</v>
      </c>
      <c r="J8043" s="40" t="str">
        <f>HYPERLINK("https://stock.pstatic.net/stock-research/company/79/20251031_company_632000.pdf","PDF")</f>
        <v>PDF</v>
      </c>
      <c r="K8043" s="12" t="s">
        <v>14116</v>
      </c>
    </row>
    <row r="8044" spans="1:12" x14ac:dyDescent="0.45">
      <c r="A8044" s="12" t="s">
        <v>13777</v>
      </c>
      <c r="B8044" s="12" t="s">
        <v>8361</v>
      </c>
      <c r="C8044" s="13" t="s">
        <v>8362</v>
      </c>
      <c r="D8044" s="13" t="s">
        <v>11154</v>
      </c>
      <c r="E8044" s="12" t="s">
        <v>50</v>
      </c>
      <c r="F8044" s="13"/>
      <c r="G8044" s="13"/>
      <c r="H8044" s="13" t="s">
        <v>14117</v>
      </c>
      <c r="I8044" s="40" t="s">
        <v>18</v>
      </c>
      <c r="J8044" s="40" t="str">
        <f>HYPERLINK("https://stock.pstatic.net/stock-research/company/79/20251031_company_916914000.pdf","PDF")</f>
        <v>PDF</v>
      </c>
      <c r="K8044" s="12" t="s">
        <v>14118</v>
      </c>
    </row>
    <row r="8045" spans="1:12" x14ac:dyDescent="0.45">
      <c r="A8045" s="12" t="s">
        <v>13777</v>
      </c>
      <c r="B8045" s="12" t="s">
        <v>14119</v>
      </c>
      <c r="C8045" s="13" t="s">
        <v>14120</v>
      </c>
      <c r="D8045" s="13" t="s">
        <v>202</v>
      </c>
      <c r="E8045" s="12" t="s">
        <v>50</v>
      </c>
      <c r="F8045" s="13"/>
      <c r="G8045" s="13"/>
      <c r="H8045" s="13" t="s">
        <v>14121</v>
      </c>
      <c r="I8045" s="40" t="s">
        <v>18</v>
      </c>
      <c r="J8045" s="40" t="str">
        <f>HYPERLINK("https://stock.pstatic.net/stock-research/company/69/20251031_company_471111000.pdf","PDF")</f>
        <v>PDF</v>
      </c>
      <c r="K8045" s="12" t="s">
        <v>14122</v>
      </c>
    </row>
    <row r="8046" spans="1:12" x14ac:dyDescent="0.45">
      <c r="A8046" s="12" t="s">
        <v>13777</v>
      </c>
      <c r="B8046" s="12" t="s">
        <v>14123</v>
      </c>
      <c r="C8046" s="13" t="s">
        <v>14124</v>
      </c>
      <c r="D8046" s="13" t="s">
        <v>11154</v>
      </c>
      <c r="E8046" s="12" t="s">
        <v>50</v>
      </c>
      <c r="F8046" s="13"/>
      <c r="G8046" s="13"/>
      <c r="H8046" s="13" t="s">
        <v>14125</v>
      </c>
      <c r="I8046" s="40" t="s">
        <v>18</v>
      </c>
      <c r="J8046" s="40" t="str">
        <f>HYPERLINK("https://stock.pstatic.net/stock-research/company/79/20251031_company_825733000.pdf","PDF")</f>
        <v>PDF</v>
      </c>
      <c r="K8046" s="12" t="s">
        <v>14126</v>
      </c>
    </row>
    <row r="8047" spans="1:12" x14ac:dyDescent="0.45">
      <c r="A8047" s="12" t="s">
        <v>13777</v>
      </c>
      <c r="B8047" s="12" t="s">
        <v>14127</v>
      </c>
      <c r="C8047" s="13" t="s">
        <v>14128</v>
      </c>
      <c r="D8047" s="13" t="s">
        <v>202</v>
      </c>
      <c r="E8047" s="12" t="s">
        <v>50</v>
      </c>
      <c r="F8047" s="13"/>
      <c r="G8047" s="13"/>
      <c r="H8047" s="13" t="s">
        <v>14129</v>
      </c>
      <c r="I8047" s="40" t="s">
        <v>18</v>
      </c>
      <c r="J8047" s="40" t="str">
        <f>HYPERLINK("https://stock.pstatic.net/stock-research/company/69/20251031_company_916728000.pdf","PDF")</f>
        <v>PDF</v>
      </c>
      <c r="K8047" s="12" t="s">
        <v>14130</v>
      </c>
    </row>
    <row r="8048" spans="1:12" x14ac:dyDescent="0.45">
      <c r="A8048" s="12" t="s">
        <v>13777</v>
      </c>
      <c r="B8048" s="12" t="s">
        <v>10758</v>
      </c>
      <c r="C8048" s="13" t="s">
        <v>10759</v>
      </c>
      <c r="D8048" s="13" t="s">
        <v>202</v>
      </c>
      <c r="E8048" s="12" t="s">
        <v>50</v>
      </c>
      <c r="F8048" s="13"/>
      <c r="G8048" s="13"/>
      <c r="H8048" s="13" t="s">
        <v>14131</v>
      </c>
      <c r="I8048" s="40" t="s">
        <v>18</v>
      </c>
      <c r="J8048" s="40" t="str">
        <f>HYPERLINK("https://stock.pstatic.net/stock-research/company/69/20251031_company_671935000.pdf","PDF")</f>
        <v>PDF</v>
      </c>
      <c r="K8048" s="12" t="s">
        <v>14132</v>
      </c>
    </row>
    <row r="8049" spans="1:12" x14ac:dyDescent="0.45">
      <c r="A8049" s="12" t="s">
        <v>13777</v>
      </c>
      <c r="B8049" s="12" t="s">
        <v>14133</v>
      </c>
      <c r="C8049" s="13" t="s">
        <v>14134</v>
      </c>
      <c r="D8049" s="13" t="s">
        <v>202</v>
      </c>
      <c r="E8049" s="12" t="s">
        <v>50</v>
      </c>
      <c r="F8049" s="13"/>
      <c r="G8049" s="13"/>
      <c r="H8049" s="13" t="s">
        <v>14135</v>
      </c>
      <c r="I8049" s="40" t="s">
        <v>18</v>
      </c>
      <c r="J8049" s="40" t="str">
        <f>HYPERLINK("https://stock.pstatic.net/stock-research/company/69/20251031_company_802233000.pdf","PDF")</f>
        <v>PDF</v>
      </c>
      <c r="K8049" s="12" t="s">
        <v>14136</v>
      </c>
    </row>
    <row r="8050" spans="1:12" x14ac:dyDescent="0.45">
      <c r="A8050" s="12" t="s">
        <v>13777</v>
      </c>
      <c r="B8050" s="12" t="s">
        <v>14137</v>
      </c>
      <c r="C8050" s="13" t="s">
        <v>14138</v>
      </c>
      <c r="D8050" s="13" t="s">
        <v>202</v>
      </c>
      <c r="E8050" s="12" t="s">
        <v>50</v>
      </c>
      <c r="F8050" s="13"/>
      <c r="G8050" s="13"/>
      <c r="H8050" s="13" t="s">
        <v>14139</v>
      </c>
      <c r="I8050" s="40" t="s">
        <v>18</v>
      </c>
      <c r="J8050" s="40" t="str">
        <f>HYPERLINK("https://stock.pstatic.net/stock-research/company/69/20251031_company_779207000.pdf","PDF")</f>
        <v>PDF</v>
      </c>
      <c r="K8050" s="12" t="s">
        <v>14140</v>
      </c>
    </row>
    <row r="8051" spans="1:12" x14ac:dyDescent="0.45">
      <c r="A8051" s="12" t="s">
        <v>13777</v>
      </c>
      <c r="B8051" s="12" t="s">
        <v>14141</v>
      </c>
      <c r="C8051" s="13" t="s">
        <v>14142</v>
      </c>
      <c r="D8051" s="13" t="s">
        <v>11154</v>
      </c>
      <c r="E8051" s="12" t="s">
        <v>50</v>
      </c>
      <c r="F8051" s="13"/>
      <c r="G8051" s="13"/>
      <c r="H8051" s="13" t="s">
        <v>14143</v>
      </c>
      <c r="I8051" s="40" t="s">
        <v>18</v>
      </c>
      <c r="J8051" s="40" t="str">
        <f>HYPERLINK("https://stock.pstatic.net/stock-research/company/79/20251031_company_801770000.pdf","PDF")</f>
        <v>PDF</v>
      </c>
      <c r="K8051" s="12" t="s">
        <v>14144</v>
      </c>
    </row>
    <row r="8052" spans="1:12" x14ac:dyDescent="0.45">
      <c r="A8052" s="12" t="s">
        <v>13777</v>
      </c>
      <c r="B8052" s="12" t="s">
        <v>14145</v>
      </c>
      <c r="C8052" s="13" t="s">
        <v>14146</v>
      </c>
      <c r="D8052" s="13" t="s">
        <v>11154</v>
      </c>
      <c r="E8052" s="12" t="s">
        <v>50</v>
      </c>
      <c r="F8052" s="13"/>
      <c r="G8052" s="13"/>
      <c r="H8052" s="13" t="s">
        <v>14147</v>
      </c>
      <c r="I8052" s="40" t="s">
        <v>18</v>
      </c>
      <c r="J8052" s="40" t="str">
        <f>HYPERLINK("https://stock.pstatic.net/stock-research/company/79/20251031_company_343750000.pdf","PDF")</f>
        <v>PDF</v>
      </c>
      <c r="K8052" s="12" t="s">
        <v>14148</v>
      </c>
    </row>
    <row r="8053" spans="1:12" x14ac:dyDescent="0.45">
      <c r="A8053" s="12" t="s">
        <v>14149</v>
      </c>
      <c r="B8053" s="12" t="s">
        <v>156</v>
      </c>
      <c r="C8053" s="13" t="s">
        <v>157</v>
      </c>
      <c r="D8053" s="13" t="s">
        <v>57</v>
      </c>
      <c r="E8053" s="12" t="s">
        <v>159</v>
      </c>
      <c r="F8053" s="14">
        <v>4400</v>
      </c>
      <c r="G8053" s="14">
        <v>4265</v>
      </c>
      <c r="H8053" s="13" t="s">
        <v>14150</v>
      </c>
      <c r="I8053" s="40" t="s">
        <v>18</v>
      </c>
      <c r="J8053" s="40" t="str">
        <f>HYPERLINK("https://stock.pstatic.net/stock-research/company/16/20251030_company_988883000.pdf","PDF")</f>
        <v>PDF</v>
      </c>
      <c r="K8053" s="12" t="s">
        <v>14151</v>
      </c>
      <c r="L8053" s="20">
        <v>3.1652989449003507E-2</v>
      </c>
    </row>
    <row r="8054" spans="1:12" x14ac:dyDescent="0.45">
      <c r="A8054" s="12" t="s">
        <v>14149</v>
      </c>
      <c r="B8054" s="12" t="s">
        <v>2365</v>
      </c>
      <c r="C8054" s="13" t="s">
        <v>2366</v>
      </c>
      <c r="D8054" s="13" t="s">
        <v>57</v>
      </c>
      <c r="E8054" s="12" t="s">
        <v>35</v>
      </c>
      <c r="F8054" s="14">
        <v>180000</v>
      </c>
      <c r="G8054" s="14">
        <v>147000</v>
      </c>
      <c r="H8054" s="13" t="s">
        <v>14152</v>
      </c>
      <c r="I8054" s="40" t="s">
        <v>18</v>
      </c>
      <c r="J8054" s="40" t="str">
        <f>HYPERLINK("https://stock.pstatic.net/stock-research/company/16/20251030_company_547545000.pdf","PDF")</f>
        <v>PDF</v>
      </c>
      <c r="K8054" s="12" t="s">
        <v>14153</v>
      </c>
      <c r="L8054" s="20">
        <v>0.22448979591836729</v>
      </c>
    </row>
    <row r="8055" spans="1:12" x14ac:dyDescent="0.45">
      <c r="A8055" s="12" t="s">
        <v>14149</v>
      </c>
      <c r="B8055" s="12" t="s">
        <v>3488</v>
      </c>
      <c r="C8055" s="13" t="s">
        <v>3489</v>
      </c>
      <c r="D8055" s="13" t="s">
        <v>57</v>
      </c>
      <c r="E8055" s="12" t="s">
        <v>159</v>
      </c>
      <c r="F8055" s="14">
        <v>27500</v>
      </c>
      <c r="G8055" s="14">
        <v>25500</v>
      </c>
      <c r="H8055" s="13" t="s">
        <v>14154</v>
      </c>
      <c r="I8055" s="40" t="s">
        <v>18</v>
      </c>
      <c r="J8055" s="40" t="str">
        <f>HYPERLINK("https://stock.pstatic.net/stock-research/company/16/20251030_company_839048000.pdf","PDF")</f>
        <v>PDF</v>
      </c>
      <c r="K8055" s="12" t="s">
        <v>14155</v>
      </c>
      <c r="L8055" s="20">
        <v>7.8431372549019607E-2</v>
      </c>
    </row>
    <row r="8056" spans="1:12" x14ac:dyDescent="0.45">
      <c r="A8056" s="12" t="s">
        <v>14149</v>
      </c>
      <c r="B8056" s="12" t="s">
        <v>32</v>
      </c>
      <c r="C8056" s="13" t="s">
        <v>33</v>
      </c>
      <c r="D8056" s="13" t="s">
        <v>276</v>
      </c>
      <c r="E8056" s="12" t="s">
        <v>16</v>
      </c>
      <c r="F8056" s="14">
        <v>270000</v>
      </c>
      <c r="G8056" s="14">
        <v>232000</v>
      </c>
      <c r="H8056" s="13" t="s">
        <v>14156</v>
      </c>
      <c r="I8056" s="40" t="s">
        <v>18</v>
      </c>
      <c r="J8056" s="40" t="str">
        <f>HYPERLINK("https://stock.pstatic.net/stock-research/company/66/20251030_company_888635000.pdf","PDF")</f>
        <v>PDF</v>
      </c>
      <c r="K8056" s="12" t="s">
        <v>14157</v>
      </c>
      <c r="L8056" s="20">
        <v>0.16379310344827591</v>
      </c>
    </row>
    <row r="8057" spans="1:12" x14ac:dyDescent="0.45">
      <c r="A8057" s="12" t="s">
        <v>14149</v>
      </c>
      <c r="B8057" s="12" t="s">
        <v>156</v>
      </c>
      <c r="C8057" s="13" t="s">
        <v>157</v>
      </c>
      <c r="D8057" s="13" t="s">
        <v>276</v>
      </c>
      <c r="E8057" s="12" t="s">
        <v>385</v>
      </c>
      <c r="F8057" s="14">
        <v>4300</v>
      </c>
      <c r="G8057" s="14">
        <v>4265</v>
      </c>
      <c r="H8057" s="13" t="s">
        <v>14158</v>
      </c>
      <c r="I8057" s="40" t="s">
        <v>18</v>
      </c>
      <c r="J8057" s="40" t="str">
        <f>HYPERLINK("https://stock.pstatic.net/stock-research/company/66/20251030_company_651602000.pdf","PDF")</f>
        <v>PDF</v>
      </c>
      <c r="K8057" s="12" t="s">
        <v>14159</v>
      </c>
      <c r="L8057" s="20">
        <v>8.2063305978898014E-3</v>
      </c>
    </row>
    <row r="8058" spans="1:12" x14ac:dyDescent="0.45">
      <c r="A8058" s="12" t="s">
        <v>14149</v>
      </c>
      <c r="B8058" s="12" t="s">
        <v>2365</v>
      </c>
      <c r="C8058" s="13" t="s">
        <v>2366</v>
      </c>
      <c r="D8058" s="13" t="s">
        <v>276</v>
      </c>
      <c r="E8058" s="12" t="s">
        <v>16</v>
      </c>
      <c r="F8058" s="14">
        <v>180000</v>
      </c>
      <c r="G8058" s="14">
        <v>147000</v>
      </c>
      <c r="H8058" s="13" t="s">
        <v>14160</v>
      </c>
      <c r="I8058" s="40" t="s">
        <v>18</v>
      </c>
      <c r="J8058" s="40" t="str">
        <f>HYPERLINK("https://stock.pstatic.net/stock-research/company/66/20251030_company_793207000.pdf","PDF")</f>
        <v>PDF</v>
      </c>
      <c r="K8058" s="12" t="s">
        <v>14161</v>
      </c>
      <c r="L8058" s="20">
        <v>0.22448979591836729</v>
      </c>
    </row>
    <row r="8059" spans="1:12" x14ac:dyDescent="0.45">
      <c r="A8059" s="12" t="s">
        <v>14149</v>
      </c>
      <c r="B8059" s="12" t="s">
        <v>334</v>
      </c>
      <c r="C8059" s="13" t="s">
        <v>335</v>
      </c>
      <c r="D8059" s="13" t="s">
        <v>276</v>
      </c>
      <c r="E8059" s="12" t="s">
        <v>16</v>
      </c>
      <c r="F8059" s="14">
        <v>650000</v>
      </c>
      <c r="G8059" s="14">
        <v>558000</v>
      </c>
      <c r="H8059" s="13" t="s">
        <v>14162</v>
      </c>
      <c r="I8059" s="40" t="s">
        <v>18</v>
      </c>
      <c r="J8059" s="40" t="str">
        <f>HYPERLINK("https://stock.pstatic.net/stock-research/company/66/20251030_company_409350000.pdf","PDF")</f>
        <v>PDF</v>
      </c>
      <c r="K8059" s="12" t="s">
        <v>14163</v>
      </c>
      <c r="L8059" s="20">
        <v>0.16487455197132619</v>
      </c>
    </row>
    <row r="8060" spans="1:12" x14ac:dyDescent="0.45">
      <c r="A8060" s="12" t="s">
        <v>14149</v>
      </c>
      <c r="B8060" s="12" t="s">
        <v>156</v>
      </c>
      <c r="C8060" s="13" t="s">
        <v>157</v>
      </c>
      <c r="D8060" s="13" t="s">
        <v>60</v>
      </c>
      <c r="E8060" s="12" t="s">
        <v>35</v>
      </c>
      <c r="F8060" s="14">
        <v>5600</v>
      </c>
      <c r="G8060" s="14">
        <v>4265</v>
      </c>
      <c r="H8060" s="13" t="s">
        <v>14164</v>
      </c>
      <c r="I8060" s="40" t="s">
        <v>18</v>
      </c>
      <c r="J8060" s="40" t="str">
        <f>HYPERLINK("https://stock.pstatic.net/stock-research/company/34/20251030_company_791575000.pdf","PDF")</f>
        <v>PDF</v>
      </c>
      <c r="K8060" s="12" t="s">
        <v>14165</v>
      </c>
      <c r="L8060" s="20">
        <v>0.31301289566236812</v>
      </c>
    </row>
    <row r="8061" spans="1:12" x14ac:dyDescent="0.45">
      <c r="A8061" s="12" t="s">
        <v>14149</v>
      </c>
      <c r="B8061" s="12" t="s">
        <v>32</v>
      </c>
      <c r="C8061" s="13" t="s">
        <v>33</v>
      </c>
      <c r="D8061" s="13" t="s">
        <v>60</v>
      </c>
      <c r="E8061" s="12" t="s">
        <v>35</v>
      </c>
      <c r="F8061" s="14">
        <v>310000</v>
      </c>
      <c r="G8061" s="14">
        <v>232000</v>
      </c>
      <c r="H8061" s="13" t="s">
        <v>14166</v>
      </c>
      <c r="I8061" s="40" t="s">
        <v>18</v>
      </c>
      <c r="J8061" s="40" t="str">
        <f>HYPERLINK("https://stock.pstatic.net/stock-research/company/34/20251030_company_750924000.pdf","PDF")</f>
        <v>PDF</v>
      </c>
      <c r="K8061" s="12" t="s">
        <v>14167</v>
      </c>
      <c r="L8061" s="20">
        <v>0.33620689655172409</v>
      </c>
    </row>
    <row r="8062" spans="1:12" x14ac:dyDescent="0.45">
      <c r="A8062" s="12" t="s">
        <v>14149</v>
      </c>
      <c r="B8062" s="12" t="s">
        <v>3488</v>
      </c>
      <c r="C8062" s="13" t="s">
        <v>3489</v>
      </c>
      <c r="D8062" s="13" t="s">
        <v>60</v>
      </c>
      <c r="E8062" s="12" t="s">
        <v>35</v>
      </c>
      <c r="F8062" s="14">
        <v>33000</v>
      </c>
      <c r="G8062" s="14">
        <v>25500</v>
      </c>
      <c r="H8062" s="13" t="s">
        <v>14168</v>
      </c>
      <c r="I8062" s="40" t="s">
        <v>18</v>
      </c>
      <c r="J8062" s="40" t="str">
        <f>HYPERLINK("https://stock.pstatic.net/stock-research/company/34/20251030_company_656606000.pdf","PDF")</f>
        <v>PDF</v>
      </c>
      <c r="K8062" s="12" t="s">
        <v>14169</v>
      </c>
      <c r="L8062" s="20">
        <v>0.29411764705882348</v>
      </c>
    </row>
    <row r="8063" spans="1:12" x14ac:dyDescent="0.45">
      <c r="A8063" s="12" t="s">
        <v>14149</v>
      </c>
      <c r="B8063" s="12" t="s">
        <v>32</v>
      </c>
      <c r="C8063" s="13" t="s">
        <v>33</v>
      </c>
      <c r="D8063" s="13" t="s">
        <v>65</v>
      </c>
      <c r="E8063" s="12" t="s">
        <v>35</v>
      </c>
      <c r="F8063" s="14">
        <v>310000</v>
      </c>
      <c r="G8063" s="14">
        <v>232000</v>
      </c>
      <c r="H8063" s="13" t="s">
        <v>14170</v>
      </c>
      <c r="I8063" s="40" t="s">
        <v>18</v>
      </c>
      <c r="J8063" s="40" t="str">
        <f>HYPERLINK("https://stock.pstatic.net/stock-research/company/57/20251030_company_487508000.pdf","PDF")</f>
        <v>PDF</v>
      </c>
      <c r="K8063" s="12" t="s">
        <v>14171</v>
      </c>
      <c r="L8063" s="20">
        <v>0.33620689655172409</v>
      </c>
    </row>
    <row r="8064" spans="1:12" x14ac:dyDescent="0.45">
      <c r="A8064" s="12" t="s">
        <v>14149</v>
      </c>
      <c r="B8064" s="12" t="s">
        <v>3488</v>
      </c>
      <c r="C8064" s="13" t="s">
        <v>3489</v>
      </c>
      <c r="D8064" s="13" t="s">
        <v>65</v>
      </c>
      <c r="E8064" s="12" t="s">
        <v>35</v>
      </c>
      <c r="F8064" s="14">
        <v>30000</v>
      </c>
      <c r="G8064" s="14">
        <v>25500</v>
      </c>
      <c r="H8064" s="13" t="s">
        <v>14172</v>
      </c>
      <c r="I8064" s="40" t="s">
        <v>18</v>
      </c>
      <c r="J8064" s="40" t="str">
        <f>HYPERLINK("https://stock.pstatic.net/stock-research/company/57/20251030_company_443743000.pdf","PDF")</f>
        <v>PDF</v>
      </c>
      <c r="K8064" s="12" t="s">
        <v>14173</v>
      </c>
      <c r="L8064" s="20">
        <v>0.1764705882352941</v>
      </c>
    </row>
    <row r="8065" spans="1:12" x14ac:dyDescent="0.45">
      <c r="A8065" s="12" t="s">
        <v>14149</v>
      </c>
      <c r="B8065" s="12" t="s">
        <v>156</v>
      </c>
      <c r="C8065" s="13" t="s">
        <v>157</v>
      </c>
      <c r="D8065" s="13" t="s">
        <v>65</v>
      </c>
      <c r="E8065" s="12" t="s">
        <v>1738</v>
      </c>
      <c r="F8065" s="14">
        <v>4400</v>
      </c>
      <c r="G8065" s="14">
        <v>4265</v>
      </c>
      <c r="H8065" s="13" t="s">
        <v>14174</v>
      </c>
      <c r="I8065" s="40" t="s">
        <v>18</v>
      </c>
      <c r="J8065" s="40" t="str">
        <f>HYPERLINK("https://stock.pstatic.net/stock-research/company/57/20251030_company_422154000.pdf","PDF")</f>
        <v>PDF</v>
      </c>
      <c r="K8065" s="12" t="s">
        <v>14175</v>
      </c>
      <c r="L8065" s="20">
        <v>3.1652989449003507E-2</v>
      </c>
    </row>
    <row r="8066" spans="1:12" x14ac:dyDescent="0.45">
      <c r="A8066" s="12" t="s">
        <v>14149</v>
      </c>
      <c r="B8066" s="12" t="s">
        <v>3308</v>
      </c>
      <c r="C8066" s="13" t="s">
        <v>3309</v>
      </c>
      <c r="D8066" s="13" t="s">
        <v>65</v>
      </c>
      <c r="E8066" s="12" t="s">
        <v>50</v>
      </c>
      <c r="F8066" s="13"/>
      <c r="G8066" s="14">
        <v>3735</v>
      </c>
      <c r="H8066" s="13" t="s">
        <v>14176</v>
      </c>
      <c r="I8066" s="40" t="s">
        <v>18</v>
      </c>
      <c r="J8066" s="40" t="str">
        <f>HYPERLINK("https://stock.pstatic.net/stock-research/company/57/20251030_company_960939000.pdf","PDF")</f>
        <v>PDF</v>
      </c>
      <c r="K8066" s="12" t="s">
        <v>14177</v>
      </c>
    </row>
    <row r="8067" spans="1:12" x14ac:dyDescent="0.45">
      <c r="A8067" s="12" t="s">
        <v>14149</v>
      </c>
      <c r="B8067" s="12" t="s">
        <v>669</v>
      </c>
      <c r="C8067" s="13" t="s">
        <v>670</v>
      </c>
      <c r="D8067" s="13" t="s">
        <v>65</v>
      </c>
      <c r="E8067" s="12" t="s">
        <v>35</v>
      </c>
      <c r="F8067" s="14">
        <v>28000</v>
      </c>
      <c r="G8067" s="14">
        <v>17980</v>
      </c>
      <c r="H8067" s="13" t="s">
        <v>14178</v>
      </c>
      <c r="I8067" s="40" t="s">
        <v>18</v>
      </c>
      <c r="J8067" s="40" t="str">
        <f>HYPERLINK("https://stock.pstatic.net/stock-research/company/57/20251030_company_331608000.pdf","PDF")</f>
        <v>PDF</v>
      </c>
      <c r="K8067" s="12" t="s">
        <v>14179</v>
      </c>
      <c r="L8067" s="20">
        <v>0.55728587319243605</v>
      </c>
    </row>
    <row r="8068" spans="1:12" x14ac:dyDescent="0.45">
      <c r="A8068" s="12" t="s">
        <v>14149</v>
      </c>
      <c r="B8068" s="12" t="s">
        <v>334</v>
      </c>
      <c r="C8068" s="13" t="s">
        <v>335</v>
      </c>
      <c r="D8068" s="13" t="s">
        <v>65</v>
      </c>
      <c r="E8068" s="12" t="s">
        <v>35</v>
      </c>
      <c r="F8068" s="14">
        <v>650000</v>
      </c>
      <c r="G8068" s="14">
        <v>558000</v>
      </c>
      <c r="H8068" s="13" t="s">
        <v>14180</v>
      </c>
      <c r="I8068" s="40" t="s">
        <v>18</v>
      </c>
      <c r="J8068" s="40" t="str">
        <f>HYPERLINK("https://stock.pstatic.net/stock-research/company/57/20251030_company_393165000.pdf","PDF")</f>
        <v>PDF</v>
      </c>
      <c r="K8068" s="12" t="s">
        <v>14181</v>
      </c>
      <c r="L8068" s="20">
        <v>0.16487455197132619</v>
      </c>
    </row>
    <row r="8069" spans="1:12" x14ac:dyDescent="0.45">
      <c r="A8069" s="12" t="s">
        <v>14149</v>
      </c>
      <c r="B8069" s="12" t="s">
        <v>3355</v>
      </c>
      <c r="C8069" s="13" t="s">
        <v>3356</v>
      </c>
      <c r="D8069" s="13" t="s">
        <v>158</v>
      </c>
      <c r="E8069" s="12" t="s">
        <v>35</v>
      </c>
      <c r="F8069" s="14">
        <v>63000</v>
      </c>
      <c r="G8069" s="14">
        <v>46750</v>
      </c>
      <c r="H8069" s="13" t="s">
        <v>14182</v>
      </c>
      <c r="I8069" s="40" t="s">
        <v>18</v>
      </c>
      <c r="J8069" s="40" t="str">
        <f>HYPERLINK("https://stock.pstatic.net/stock-research/company/18/20251030_company_824733000.pdf","PDF")</f>
        <v>PDF</v>
      </c>
      <c r="K8069" s="12" t="s">
        <v>14183</v>
      </c>
      <c r="L8069" s="20">
        <v>0.34759358288770048</v>
      </c>
    </row>
    <row r="8070" spans="1:12" x14ac:dyDescent="0.45">
      <c r="A8070" s="12" t="s">
        <v>14149</v>
      </c>
      <c r="B8070" s="12" t="s">
        <v>1087</v>
      </c>
      <c r="C8070" s="13" t="s">
        <v>1088</v>
      </c>
      <c r="D8070" s="13" t="s">
        <v>158</v>
      </c>
      <c r="E8070" s="12" t="s">
        <v>35</v>
      </c>
      <c r="F8070" s="14">
        <v>130000</v>
      </c>
      <c r="G8070" s="14">
        <v>112000</v>
      </c>
      <c r="H8070" s="13" t="s">
        <v>14184</v>
      </c>
      <c r="I8070" s="40" t="s">
        <v>18</v>
      </c>
      <c r="J8070" s="40" t="str">
        <f>HYPERLINK("https://stock.pstatic.net/stock-research/company/18/20251030_company_526975000.pdf","PDF")</f>
        <v>PDF</v>
      </c>
      <c r="K8070" s="12" t="s">
        <v>14185</v>
      </c>
      <c r="L8070" s="20">
        <v>0.1607142857142857</v>
      </c>
    </row>
    <row r="8071" spans="1:12" x14ac:dyDescent="0.45">
      <c r="A8071" s="12" t="s">
        <v>14149</v>
      </c>
      <c r="B8071" s="12" t="s">
        <v>2365</v>
      </c>
      <c r="C8071" s="13" t="s">
        <v>2366</v>
      </c>
      <c r="D8071" s="13" t="s">
        <v>158</v>
      </c>
      <c r="E8071" s="12" t="s">
        <v>35</v>
      </c>
      <c r="F8071" s="14">
        <v>176000</v>
      </c>
      <c r="G8071" s="14">
        <v>142000</v>
      </c>
      <c r="H8071" s="13" t="s">
        <v>14186</v>
      </c>
      <c r="I8071" s="40" t="s">
        <v>18</v>
      </c>
      <c r="J8071" s="40" t="str">
        <f>HYPERLINK("https://stock.pstatic.net/stock-research/company/18/20251030_company_170518000.pdf","PDF")</f>
        <v>PDF</v>
      </c>
      <c r="K8071" s="12" t="s">
        <v>14187</v>
      </c>
      <c r="L8071" s="20">
        <v>0.23943661971830979</v>
      </c>
    </row>
    <row r="8072" spans="1:12" x14ac:dyDescent="0.45">
      <c r="A8072" s="12" t="s">
        <v>14149</v>
      </c>
      <c r="B8072" s="12" t="s">
        <v>32</v>
      </c>
      <c r="C8072" s="13" t="s">
        <v>33</v>
      </c>
      <c r="D8072" s="13" t="s">
        <v>158</v>
      </c>
      <c r="E8072" s="12" t="s">
        <v>35</v>
      </c>
      <c r="F8072" s="14">
        <v>280000</v>
      </c>
      <c r="G8072" s="14">
        <v>232000</v>
      </c>
      <c r="H8072" s="13" t="s">
        <v>14188</v>
      </c>
      <c r="I8072" s="40" t="s">
        <v>18</v>
      </c>
      <c r="J8072" s="40" t="str">
        <f>HYPERLINK("https://stock.pstatic.net/stock-research/company/18/20251030_company_416760000.pdf","PDF")</f>
        <v>PDF</v>
      </c>
      <c r="K8072" s="12" t="s">
        <v>14189</v>
      </c>
      <c r="L8072" s="20">
        <v>0.2068965517241379</v>
      </c>
    </row>
    <row r="8073" spans="1:12" x14ac:dyDescent="0.45">
      <c r="A8073" s="12" t="s">
        <v>14149</v>
      </c>
      <c r="B8073" s="12" t="s">
        <v>334</v>
      </c>
      <c r="C8073" s="13" t="s">
        <v>335</v>
      </c>
      <c r="D8073" s="13" t="s">
        <v>158</v>
      </c>
      <c r="E8073" s="12" t="s">
        <v>35</v>
      </c>
      <c r="F8073" s="14">
        <v>680000</v>
      </c>
      <c r="G8073" s="14">
        <v>558000</v>
      </c>
      <c r="H8073" s="13" t="s">
        <v>14190</v>
      </c>
      <c r="I8073" s="40" t="s">
        <v>18</v>
      </c>
      <c r="J8073" s="40" t="str">
        <f>HYPERLINK("https://stock.pstatic.net/stock-research/company/18/20251030_company_873151000.pdf","PDF")</f>
        <v>PDF</v>
      </c>
      <c r="K8073" s="12" t="s">
        <v>14191</v>
      </c>
      <c r="L8073" s="20">
        <v>0.2186379928315412</v>
      </c>
    </row>
    <row r="8074" spans="1:12" x14ac:dyDescent="0.45">
      <c r="A8074" s="12" t="s">
        <v>14149</v>
      </c>
      <c r="B8074" s="12" t="s">
        <v>6045</v>
      </c>
      <c r="C8074" s="13" t="s">
        <v>6046</v>
      </c>
      <c r="D8074" s="13" t="s">
        <v>124</v>
      </c>
      <c r="E8074" s="12" t="s">
        <v>50</v>
      </c>
      <c r="F8074" s="13"/>
      <c r="G8074" s="14">
        <v>7760</v>
      </c>
      <c r="H8074" s="13" t="s">
        <v>14192</v>
      </c>
      <c r="I8074" s="40" t="s">
        <v>18</v>
      </c>
      <c r="J8074" s="40" t="str">
        <f>HYPERLINK("https://stock.pstatic.net/stock-research/company/74/20251030_company_930023000.pdf","PDF")</f>
        <v>PDF</v>
      </c>
      <c r="K8074" s="12" t="s">
        <v>14193</v>
      </c>
    </row>
    <row r="8075" spans="1:12" x14ac:dyDescent="0.45">
      <c r="A8075" s="12" t="s">
        <v>14149</v>
      </c>
      <c r="B8075" s="12" t="s">
        <v>14194</v>
      </c>
      <c r="C8075" s="13" t="s">
        <v>14195</v>
      </c>
      <c r="D8075" s="13" t="s">
        <v>124</v>
      </c>
      <c r="E8075" s="12" t="s">
        <v>50</v>
      </c>
      <c r="F8075" s="13"/>
      <c r="G8075" s="14">
        <v>15570</v>
      </c>
      <c r="H8075" s="13" t="s">
        <v>14196</v>
      </c>
      <c r="I8075" s="40" t="s">
        <v>18</v>
      </c>
      <c r="J8075" s="40" t="str">
        <f>HYPERLINK("https://stock.pstatic.net/stock-research/company/74/20251030_company_399921000.pdf","PDF")</f>
        <v>PDF</v>
      </c>
      <c r="K8075" s="12" t="s">
        <v>14197</v>
      </c>
    </row>
    <row r="8076" spans="1:12" x14ac:dyDescent="0.45">
      <c r="A8076" s="12" t="s">
        <v>14149</v>
      </c>
      <c r="B8076" s="12" t="s">
        <v>301</v>
      </c>
      <c r="C8076" s="13" t="s">
        <v>302</v>
      </c>
      <c r="D8076" s="13" t="s">
        <v>124</v>
      </c>
      <c r="E8076" s="12" t="s">
        <v>50</v>
      </c>
      <c r="F8076" s="13"/>
      <c r="G8076" s="14">
        <v>5770</v>
      </c>
      <c r="H8076" s="13" t="s">
        <v>14198</v>
      </c>
      <c r="I8076" s="40" t="s">
        <v>18</v>
      </c>
      <c r="J8076" s="40" t="str">
        <f>HYPERLINK("https://stock.pstatic.net/stock-research/company/74/20251030_company_653977000.pdf","PDF")</f>
        <v>PDF</v>
      </c>
      <c r="K8076" s="12" t="s">
        <v>14199</v>
      </c>
    </row>
    <row r="8077" spans="1:12" x14ac:dyDescent="0.45">
      <c r="A8077" s="12" t="s">
        <v>14149</v>
      </c>
      <c r="B8077" s="12" t="s">
        <v>10446</v>
      </c>
      <c r="C8077" s="13" t="s">
        <v>10447</v>
      </c>
      <c r="D8077" s="13" t="s">
        <v>124</v>
      </c>
      <c r="E8077" s="12" t="s">
        <v>50</v>
      </c>
      <c r="F8077" s="13"/>
      <c r="G8077" s="14">
        <v>4830</v>
      </c>
      <c r="H8077" s="13" t="s">
        <v>14200</v>
      </c>
      <c r="I8077" s="40" t="s">
        <v>18</v>
      </c>
      <c r="J8077" s="40" t="str">
        <f>HYPERLINK("https://stock.pstatic.net/stock-research/company/74/20251030_company_232587000.pdf","PDF")</f>
        <v>PDF</v>
      </c>
      <c r="K8077" s="12" t="s">
        <v>14201</v>
      </c>
    </row>
    <row r="8078" spans="1:12" x14ac:dyDescent="0.45">
      <c r="A8078" s="12" t="s">
        <v>14149</v>
      </c>
      <c r="B8078" s="12" t="s">
        <v>14202</v>
      </c>
      <c r="C8078" s="13" t="s">
        <v>14203</v>
      </c>
      <c r="D8078" s="13" t="s">
        <v>124</v>
      </c>
      <c r="E8078" s="12" t="s">
        <v>50</v>
      </c>
      <c r="F8078" s="13"/>
      <c r="G8078" s="14">
        <v>8240</v>
      </c>
      <c r="H8078" s="13" t="s">
        <v>14204</v>
      </c>
      <c r="I8078" s="40" t="s">
        <v>18</v>
      </c>
      <c r="J8078" s="40" t="str">
        <f>HYPERLINK("https://stock.pstatic.net/stock-research/company/74/20251030_company_243624000.pdf","PDF")</f>
        <v>PDF</v>
      </c>
      <c r="K8078" s="12" t="s">
        <v>14205</v>
      </c>
    </row>
    <row r="8079" spans="1:12" x14ac:dyDescent="0.45">
      <c r="A8079" s="12" t="s">
        <v>14149</v>
      </c>
      <c r="B8079" s="12" t="s">
        <v>32</v>
      </c>
      <c r="C8079" s="13" t="s">
        <v>33</v>
      </c>
      <c r="D8079" s="13" t="s">
        <v>15</v>
      </c>
      <c r="E8079" s="12" t="s">
        <v>16</v>
      </c>
      <c r="F8079" s="14">
        <v>320000</v>
      </c>
      <c r="G8079" s="14">
        <v>232000</v>
      </c>
      <c r="H8079" s="13" t="s">
        <v>14206</v>
      </c>
      <c r="I8079" s="40" t="s">
        <v>18</v>
      </c>
      <c r="J8079" s="40" t="str">
        <f>HYPERLINK("https://stock.pstatic.net/stock-research/company/29/20251030_company_896583000.pdf","PDF")</f>
        <v>PDF</v>
      </c>
      <c r="K8079" s="12" t="s">
        <v>14207</v>
      </c>
      <c r="L8079" s="20">
        <v>0.37931034482758619</v>
      </c>
    </row>
    <row r="8080" spans="1:12" x14ac:dyDescent="0.45">
      <c r="A8080" s="12" t="s">
        <v>14149</v>
      </c>
      <c r="B8080" s="12" t="s">
        <v>1087</v>
      </c>
      <c r="C8080" s="13" t="s">
        <v>1088</v>
      </c>
      <c r="D8080" s="13" t="s">
        <v>15</v>
      </c>
      <c r="E8080" s="12" t="s">
        <v>16</v>
      </c>
      <c r="F8080" s="14">
        <v>125000</v>
      </c>
      <c r="G8080" s="14">
        <v>100800</v>
      </c>
      <c r="H8080" s="13" t="s">
        <v>14208</v>
      </c>
      <c r="I8080" s="40" t="s">
        <v>18</v>
      </c>
      <c r="J8080" s="40" t="str">
        <f>HYPERLINK("https://stock.pstatic.net/stock-research/company/29/20251030_company_743373000.pdf","PDF")</f>
        <v>PDF</v>
      </c>
      <c r="K8080" s="12" t="s">
        <v>14209</v>
      </c>
      <c r="L8080" s="20">
        <v>0.24007936507936509</v>
      </c>
    </row>
    <row r="8081" spans="1:12" x14ac:dyDescent="0.45">
      <c r="A8081" s="12" t="s">
        <v>14149</v>
      </c>
      <c r="B8081" s="12" t="s">
        <v>3164</v>
      </c>
      <c r="C8081" s="13" t="s">
        <v>3165</v>
      </c>
      <c r="D8081" s="13" t="s">
        <v>83</v>
      </c>
      <c r="E8081" s="12" t="s">
        <v>35</v>
      </c>
      <c r="F8081" s="14">
        <v>86000</v>
      </c>
      <c r="G8081" s="14">
        <v>68900</v>
      </c>
      <c r="H8081" s="13" t="s">
        <v>14210</v>
      </c>
      <c r="I8081" s="40" t="s">
        <v>18</v>
      </c>
      <c r="J8081" s="40" t="str">
        <f>HYPERLINK("https://stock.pstatic.net/stock-research/company/2/20251030_company_989415000.pdf","PDF")</f>
        <v>PDF</v>
      </c>
      <c r="K8081" s="12" t="s">
        <v>14211</v>
      </c>
      <c r="L8081" s="20">
        <v>0.2481857764876633</v>
      </c>
    </row>
    <row r="8082" spans="1:12" x14ac:dyDescent="0.45">
      <c r="A8082" s="12" t="s">
        <v>14149</v>
      </c>
      <c r="B8082" s="12" t="s">
        <v>32</v>
      </c>
      <c r="C8082" s="13" t="s">
        <v>33</v>
      </c>
      <c r="D8082" s="13" t="s">
        <v>83</v>
      </c>
      <c r="E8082" s="12" t="s">
        <v>35</v>
      </c>
      <c r="F8082" s="14">
        <v>260000</v>
      </c>
      <c r="G8082" s="14">
        <v>232000</v>
      </c>
      <c r="H8082" s="13" t="s">
        <v>14212</v>
      </c>
      <c r="I8082" s="40" t="s">
        <v>18</v>
      </c>
      <c r="J8082" s="40" t="str">
        <f>HYPERLINK("https://stock.pstatic.net/stock-research/company/2/20251030_company_222262000.pdf","PDF")</f>
        <v>PDF</v>
      </c>
      <c r="K8082" s="12" t="s">
        <v>14213</v>
      </c>
      <c r="L8082" s="20">
        <v>0.1206896551724138</v>
      </c>
    </row>
    <row r="8083" spans="1:12" x14ac:dyDescent="0.45">
      <c r="A8083" s="12" t="s">
        <v>14149</v>
      </c>
      <c r="B8083" s="12" t="s">
        <v>334</v>
      </c>
      <c r="C8083" s="13" t="s">
        <v>335</v>
      </c>
      <c r="D8083" s="13" t="s">
        <v>83</v>
      </c>
      <c r="E8083" s="12" t="s">
        <v>35</v>
      </c>
      <c r="F8083" s="14">
        <v>700000</v>
      </c>
      <c r="G8083" s="14">
        <v>521000</v>
      </c>
      <c r="H8083" s="13" t="s">
        <v>14214</v>
      </c>
      <c r="I8083" s="40" t="s">
        <v>18</v>
      </c>
      <c r="J8083" s="40" t="str">
        <f>HYPERLINK("https://stock.pstatic.net/stock-research/company/2/20251030_company_615115000.pdf","PDF")</f>
        <v>PDF</v>
      </c>
      <c r="K8083" s="12" t="s">
        <v>14215</v>
      </c>
      <c r="L8083" s="20">
        <v>0.34357005758157388</v>
      </c>
    </row>
    <row r="8084" spans="1:12" x14ac:dyDescent="0.45">
      <c r="A8084" s="12" t="s">
        <v>14149</v>
      </c>
      <c r="B8084" s="12" t="s">
        <v>156</v>
      </c>
      <c r="C8084" s="13" t="s">
        <v>157</v>
      </c>
      <c r="D8084" s="13" t="s">
        <v>83</v>
      </c>
      <c r="E8084" s="12" t="s">
        <v>642</v>
      </c>
      <c r="F8084" s="14">
        <v>3800</v>
      </c>
      <c r="G8084" s="14">
        <v>4265</v>
      </c>
      <c r="H8084" s="13" t="s">
        <v>14216</v>
      </c>
      <c r="I8084" s="40" t="s">
        <v>18</v>
      </c>
      <c r="J8084" s="40" t="str">
        <f>HYPERLINK("https://stock.pstatic.net/stock-research/company/2/20251030_company_517923000.pdf","PDF")</f>
        <v>PDF</v>
      </c>
      <c r="K8084" s="12" t="s">
        <v>14217</v>
      </c>
      <c r="L8084" s="20">
        <v>-0.1090269636576788</v>
      </c>
    </row>
    <row r="8085" spans="1:12" x14ac:dyDescent="0.45">
      <c r="A8085" s="12" t="s">
        <v>14149</v>
      </c>
      <c r="B8085" s="12" t="s">
        <v>3488</v>
      </c>
      <c r="C8085" s="13" t="s">
        <v>3489</v>
      </c>
      <c r="D8085" s="13" t="s">
        <v>83</v>
      </c>
      <c r="E8085" s="12" t="s">
        <v>35</v>
      </c>
      <c r="F8085" s="14">
        <v>30000</v>
      </c>
      <c r="G8085" s="14">
        <v>25500</v>
      </c>
      <c r="H8085" s="13" t="s">
        <v>14218</v>
      </c>
      <c r="I8085" s="40" t="s">
        <v>18</v>
      </c>
      <c r="J8085" s="40" t="str">
        <f>HYPERLINK("https://stock.pstatic.net/stock-research/company/2/20251030_company_251588000.pdf","PDF")</f>
        <v>PDF</v>
      </c>
      <c r="K8085" s="12" t="s">
        <v>14219</v>
      </c>
      <c r="L8085" s="20">
        <v>0.1764705882352941</v>
      </c>
    </row>
    <row r="8086" spans="1:12" x14ac:dyDescent="0.45">
      <c r="A8086" s="12" t="s">
        <v>14149</v>
      </c>
      <c r="B8086" s="12" t="s">
        <v>156</v>
      </c>
      <c r="C8086" s="13" t="s">
        <v>157</v>
      </c>
      <c r="D8086" s="13" t="s">
        <v>92</v>
      </c>
      <c r="E8086" s="12" t="s">
        <v>35</v>
      </c>
      <c r="F8086" s="14">
        <v>5250</v>
      </c>
      <c r="G8086" s="14">
        <v>4265</v>
      </c>
      <c r="H8086" s="13" t="s">
        <v>14220</v>
      </c>
      <c r="I8086" s="40" t="s">
        <v>18</v>
      </c>
      <c r="J8086" s="40" t="str">
        <f>HYPERLINK("https://stock.pstatic.net/stock-research/company/63/20251030_company_721270000.pdf","PDF")</f>
        <v>PDF</v>
      </c>
      <c r="K8086" s="12" t="s">
        <v>14221</v>
      </c>
      <c r="L8086" s="20">
        <v>0.2309495896834701</v>
      </c>
    </row>
    <row r="8087" spans="1:12" x14ac:dyDescent="0.45">
      <c r="A8087" s="12" t="s">
        <v>14149</v>
      </c>
      <c r="B8087" s="12" t="s">
        <v>1132</v>
      </c>
      <c r="C8087" s="13" t="s">
        <v>1133</v>
      </c>
      <c r="D8087" s="13" t="s">
        <v>23</v>
      </c>
      <c r="E8087" s="12" t="s">
        <v>16</v>
      </c>
      <c r="F8087" s="14">
        <v>36000</v>
      </c>
      <c r="G8087" s="14">
        <v>31850</v>
      </c>
      <c r="H8087" s="13" t="s">
        <v>14222</v>
      </c>
      <c r="I8087" s="40" t="s">
        <v>18</v>
      </c>
      <c r="J8087" s="40" t="str">
        <f>HYPERLINK("https://stock.pstatic.net/stock-research/company/21/20251030_company_878165000.pdf","PDF")</f>
        <v>PDF</v>
      </c>
      <c r="K8087" s="12" t="s">
        <v>14223</v>
      </c>
      <c r="L8087" s="20">
        <v>0.13029827315541601</v>
      </c>
    </row>
    <row r="8088" spans="1:12" x14ac:dyDescent="0.45">
      <c r="A8088" s="12" t="s">
        <v>14149</v>
      </c>
      <c r="B8088" s="12" t="s">
        <v>2365</v>
      </c>
      <c r="C8088" s="13" t="s">
        <v>2366</v>
      </c>
      <c r="D8088" s="13" t="s">
        <v>34</v>
      </c>
      <c r="E8088" s="12" t="s">
        <v>159</v>
      </c>
      <c r="F8088" s="14">
        <v>130000</v>
      </c>
      <c r="G8088" s="14">
        <v>147000</v>
      </c>
      <c r="H8088" s="13" t="s">
        <v>14224</v>
      </c>
      <c r="I8088" s="40" t="s">
        <v>18</v>
      </c>
      <c r="J8088" s="40" t="str">
        <f>HYPERLINK("https://stock.pstatic.net/stock-research/company/61/20251030_company_535817000.pdf","PDF")</f>
        <v>PDF</v>
      </c>
      <c r="K8088" s="12" t="s">
        <v>14225</v>
      </c>
      <c r="L8088" s="20">
        <v>-0.11564625850340141</v>
      </c>
    </row>
    <row r="8089" spans="1:12" x14ac:dyDescent="0.45">
      <c r="A8089" s="12" t="s">
        <v>14149</v>
      </c>
      <c r="B8089" s="12" t="s">
        <v>3296</v>
      </c>
      <c r="C8089" s="13" t="s">
        <v>3297</v>
      </c>
      <c r="D8089" s="13" t="s">
        <v>92</v>
      </c>
      <c r="E8089" s="12" t="s">
        <v>35</v>
      </c>
      <c r="F8089" s="14">
        <v>70000</v>
      </c>
      <c r="G8089" s="14">
        <v>48850</v>
      </c>
      <c r="H8089" s="13" t="s">
        <v>14226</v>
      </c>
      <c r="I8089" s="40" t="s">
        <v>18</v>
      </c>
      <c r="J8089" s="40" t="str">
        <f>HYPERLINK("https://stock.pstatic.net/stock-research/company/63/20251030_company_564742000.pdf","PDF")</f>
        <v>PDF</v>
      </c>
      <c r="K8089" s="12" t="s">
        <v>14227</v>
      </c>
      <c r="L8089" s="20">
        <v>0.4329580348004094</v>
      </c>
    </row>
    <row r="8090" spans="1:12" x14ac:dyDescent="0.45">
      <c r="A8090" s="12" t="s">
        <v>14149</v>
      </c>
      <c r="B8090" s="12" t="s">
        <v>1087</v>
      </c>
      <c r="C8090" s="13" t="s">
        <v>1088</v>
      </c>
      <c r="D8090" s="13" t="s">
        <v>92</v>
      </c>
      <c r="E8090" s="12" t="s">
        <v>35</v>
      </c>
      <c r="F8090" s="14">
        <v>130000</v>
      </c>
      <c r="G8090" s="14">
        <v>100800</v>
      </c>
      <c r="H8090" s="13" t="s">
        <v>14228</v>
      </c>
      <c r="I8090" s="40" t="s">
        <v>18</v>
      </c>
      <c r="J8090" s="40" t="str">
        <f>HYPERLINK("https://stock.pstatic.net/stock-research/company/63/20251030_company_995165000.pdf","PDF")</f>
        <v>PDF</v>
      </c>
      <c r="K8090" s="12" t="s">
        <v>14229</v>
      </c>
      <c r="L8090" s="20">
        <v>0.28968253968253971</v>
      </c>
    </row>
    <row r="8091" spans="1:12" x14ac:dyDescent="0.45">
      <c r="A8091" s="12" t="s">
        <v>14149</v>
      </c>
      <c r="B8091" s="12" t="s">
        <v>334</v>
      </c>
      <c r="C8091" s="13" t="s">
        <v>335</v>
      </c>
      <c r="D8091" s="13" t="s">
        <v>23</v>
      </c>
      <c r="E8091" s="12" t="s">
        <v>16</v>
      </c>
      <c r="F8091" s="14">
        <v>730000</v>
      </c>
      <c r="G8091" s="14">
        <v>558000</v>
      </c>
      <c r="H8091" s="13" t="s">
        <v>14230</v>
      </c>
      <c r="I8091" s="40" t="s">
        <v>18</v>
      </c>
      <c r="J8091" s="40" t="str">
        <f>HYPERLINK("https://stock.pstatic.net/stock-research/company/21/20251030_company_642724000.pdf","PDF")</f>
        <v>PDF</v>
      </c>
      <c r="K8091" s="12" t="s">
        <v>14231</v>
      </c>
      <c r="L8091" s="20">
        <v>0.30824372759856628</v>
      </c>
    </row>
    <row r="8092" spans="1:12" x14ac:dyDescent="0.45">
      <c r="A8092" s="12" t="s">
        <v>14149</v>
      </c>
      <c r="B8092" s="12" t="s">
        <v>1789</v>
      </c>
      <c r="C8092" s="13" t="s">
        <v>1790</v>
      </c>
      <c r="D8092" s="13" t="s">
        <v>179</v>
      </c>
      <c r="E8092" s="12" t="s">
        <v>16</v>
      </c>
      <c r="F8092" s="14">
        <v>62000</v>
      </c>
      <c r="G8092" s="14">
        <v>45950</v>
      </c>
      <c r="H8092" s="13" t="s">
        <v>14232</v>
      </c>
      <c r="I8092" s="40" t="s">
        <v>18</v>
      </c>
      <c r="J8092" s="40" t="str">
        <f>HYPERLINK("https://stock.pstatic.net/stock-research/company/64/20251030_company_712186000.pdf","PDF")</f>
        <v>PDF</v>
      </c>
      <c r="K8092" s="12" t="s">
        <v>14233</v>
      </c>
      <c r="L8092" s="20">
        <v>0.34929270946681168</v>
      </c>
    </row>
    <row r="8093" spans="1:12" x14ac:dyDescent="0.45">
      <c r="A8093" s="12" t="s">
        <v>14149</v>
      </c>
      <c r="B8093" s="12" t="s">
        <v>1389</v>
      </c>
      <c r="C8093" s="13" t="s">
        <v>1390</v>
      </c>
      <c r="D8093" s="13" t="s">
        <v>179</v>
      </c>
      <c r="E8093" s="12" t="s">
        <v>50</v>
      </c>
      <c r="F8093" s="13"/>
      <c r="G8093" s="14">
        <v>17380</v>
      </c>
      <c r="H8093" s="13" t="s">
        <v>14234</v>
      </c>
      <c r="I8093" s="40" t="s">
        <v>18</v>
      </c>
      <c r="J8093" s="40" t="str">
        <f>HYPERLINK("https://stock.pstatic.net/stock-research/company/64/20251030_company_79872000.pdf","PDF")</f>
        <v>PDF</v>
      </c>
      <c r="K8093" s="12" t="s">
        <v>14235</v>
      </c>
    </row>
    <row r="8094" spans="1:12" x14ac:dyDescent="0.45">
      <c r="A8094" s="12" t="s">
        <v>14149</v>
      </c>
      <c r="B8094" s="12" t="s">
        <v>32</v>
      </c>
      <c r="C8094" s="13" t="s">
        <v>33</v>
      </c>
      <c r="D8094" s="13" t="s">
        <v>53</v>
      </c>
      <c r="E8094" s="12" t="s">
        <v>16</v>
      </c>
      <c r="F8094" s="14">
        <v>270000</v>
      </c>
      <c r="G8094" s="14">
        <v>232000</v>
      </c>
      <c r="H8094" s="13" t="s">
        <v>14236</v>
      </c>
      <c r="I8094" s="40" t="s">
        <v>18</v>
      </c>
      <c r="J8094" s="40" t="str">
        <f>HYPERLINK("https://stock.pstatic.net/stock-research/company/40/20251030_company_360596000.pdf","PDF")</f>
        <v>PDF</v>
      </c>
      <c r="K8094" s="12" t="s">
        <v>14237</v>
      </c>
      <c r="L8094" s="20">
        <v>0.16379310344827591</v>
      </c>
    </row>
    <row r="8095" spans="1:12" x14ac:dyDescent="0.45">
      <c r="A8095" s="12" t="s">
        <v>14149</v>
      </c>
      <c r="B8095" s="12" t="s">
        <v>334</v>
      </c>
      <c r="C8095" s="13" t="s">
        <v>335</v>
      </c>
      <c r="D8095" s="13" t="s">
        <v>34</v>
      </c>
      <c r="E8095" s="12" t="s">
        <v>35</v>
      </c>
      <c r="F8095" s="14">
        <v>680000</v>
      </c>
      <c r="G8095" s="14">
        <v>558000</v>
      </c>
      <c r="H8095" s="13" t="s">
        <v>14238</v>
      </c>
      <c r="I8095" s="40" t="s">
        <v>18</v>
      </c>
      <c r="J8095" s="40" t="str">
        <f>HYPERLINK("https://stock.pstatic.net/stock-research/company/61/20251030_company_968643000.pdf","PDF")</f>
        <v>PDF</v>
      </c>
      <c r="K8095" s="12" t="s">
        <v>14239</v>
      </c>
      <c r="L8095" s="20">
        <v>0.2186379928315412</v>
      </c>
    </row>
    <row r="8096" spans="1:12" x14ac:dyDescent="0.45">
      <c r="A8096" s="12" t="s">
        <v>14149</v>
      </c>
      <c r="B8096" s="12" t="s">
        <v>32</v>
      </c>
      <c r="C8096" s="13" t="s">
        <v>33</v>
      </c>
      <c r="D8096" s="13" t="s">
        <v>179</v>
      </c>
      <c r="E8096" s="12" t="s">
        <v>16</v>
      </c>
      <c r="F8096" s="14">
        <v>305000</v>
      </c>
      <c r="G8096" s="14">
        <v>232000</v>
      </c>
      <c r="H8096" s="13" t="s">
        <v>14240</v>
      </c>
      <c r="I8096" s="40" t="s">
        <v>18</v>
      </c>
      <c r="J8096" s="40" t="str">
        <f>HYPERLINK("https://stock.pstatic.net/stock-research/company/64/20251030_company_350480000.pdf","PDF")</f>
        <v>PDF</v>
      </c>
      <c r="K8096" s="12" t="s">
        <v>14241</v>
      </c>
      <c r="L8096" s="20">
        <v>0.31465517241379309</v>
      </c>
    </row>
    <row r="8097" spans="1:12" x14ac:dyDescent="0.45">
      <c r="A8097" s="12" t="s">
        <v>14149</v>
      </c>
      <c r="B8097" s="12" t="s">
        <v>334</v>
      </c>
      <c r="C8097" s="13" t="s">
        <v>335</v>
      </c>
      <c r="D8097" s="13" t="s">
        <v>44</v>
      </c>
      <c r="E8097" s="12" t="s">
        <v>50</v>
      </c>
      <c r="F8097" s="13"/>
      <c r="G8097" s="13"/>
      <c r="H8097" s="13" t="s">
        <v>14242</v>
      </c>
      <c r="I8097" s="40" t="s">
        <v>18</v>
      </c>
      <c r="J8097" s="40" t="str">
        <f>HYPERLINK("https://stock.pstatic.net/stock-research/company/39/20251030_company_106175000.pdf","PDF")</f>
        <v>PDF</v>
      </c>
      <c r="K8097" s="12" t="s">
        <v>14243</v>
      </c>
    </row>
    <row r="8098" spans="1:12" x14ac:dyDescent="0.45">
      <c r="A8098" s="12" t="s">
        <v>14149</v>
      </c>
      <c r="B8098" s="12" t="s">
        <v>334</v>
      </c>
      <c r="C8098" s="13" t="s">
        <v>335</v>
      </c>
      <c r="D8098" s="13" t="s">
        <v>53</v>
      </c>
      <c r="E8098" s="12" t="s">
        <v>16</v>
      </c>
      <c r="F8098" s="14">
        <v>700000</v>
      </c>
      <c r="G8098" s="14">
        <v>558000</v>
      </c>
      <c r="H8098" s="13" t="s">
        <v>14244</v>
      </c>
      <c r="I8098" s="40" t="s">
        <v>18</v>
      </c>
      <c r="J8098" s="40" t="str">
        <f>HYPERLINK("https://stock.pstatic.net/stock-research/company/40/20251030_company_986168000.pdf","PDF")</f>
        <v>PDF</v>
      </c>
      <c r="K8098" s="12" t="s">
        <v>14245</v>
      </c>
      <c r="L8098" s="20">
        <v>0.25448028673835132</v>
      </c>
    </row>
    <row r="8099" spans="1:12" x14ac:dyDescent="0.45">
      <c r="A8099" s="12" t="s">
        <v>14149</v>
      </c>
      <c r="B8099" s="12" t="s">
        <v>1552</v>
      </c>
      <c r="C8099" s="13" t="s">
        <v>9704</v>
      </c>
      <c r="D8099" s="13" t="s">
        <v>23</v>
      </c>
      <c r="E8099" s="12" t="s">
        <v>16</v>
      </c>
      <c r="F8099" s="14">
        <v>125000</v>
      </c>
      <c r="G8099" s="14">
        <v>111400</v>
      </c>
      <c r="H8099" s="13" t="s">
        <v>14246</v>
      </c>
      <c r="I8099" s="40" t="s">
        <v>18</v>
      </c>
      <c r="J8099" s="40" t="str">
        <f>HYPERLINK("https://stock.pstatic.net/stock-research/company/21/20251030_company_339866000.pdf","PDF")</f>
        <v>PDF</v>
      </c>
      <c r="K8099" s="12" t="s">
        <v>14247</v>
      </c>
      <c r="L8099" s="20">
        <v>0.12208258527827651</v>
      </c>
    </row>
    <row r="8100" spans="1:12" x14ac:dyDescent="0.45">
      <c r="A8100" s="12" t="s">
        <v>14149</v>
      </c>
      <c r="B8100" s="12" t="s">
        <v>2365</v>
      </c>
      <c r="C8100" s="13" t="s">
        <v>2366</v>
      </c>
      <c r="D8100" s="13" t="s">
        <v>44</v>
      </c>
      <c r="E8100" s="12" t="s">
        <v>35</v>
      </c>
      <c r="F8100" s="14">
        <v>177000</v>
      </c>
      <c r="G8100" s="14">
        <v>147000</v>
      </c>
      <c r="H8100" s="13" t="s">
        <v>14248</v>
      </c>
      <c r="I8100" s="40" t="s">
        <v>18</v>
      </c>
      <c r="J8100" s="40" t="str">
        <f>HYPERLINK("https://stock.pstatic.net/stock-research/company/39/20251030_company_220917000.pdf","PDF")</f>
        <v>PDF</v>
      </c>
      <c r="K8100" s="12" t="s">
        <v>14249</v>
      </c>
      <c r="L8100" s="20">
        <v>0.2040816326530612</v>
      </c>
    </row>
    <row r="8101" spans="1:12" x14ac:dyDescent="0.45">
      <c r="A8101" s="12" t="s">
        <v>14149</v>
      </c>
      <c r="B8101" s="12" t="s">
        <v>2365</v>
      </c>
      <c r="C8101" s="13" t="s">
        <v>2366</v>
      </c>
      <c r="D8101" s="13" t="s">
        <v>53</v>
      </c>
      <c r="E8101" s="12" t="s">
        <v>50</v>
      </c>
      <c r="F8101" s="14">
        <v>150000</v>
      </c>
      <c r="G8101" s="14">
        <v>147000</v>
      </c>
      <c r="H8101" s="13" t="s">
        <v>14250</v>
      </c>
      <c r="I8101" s="40" t="s">
        <v>18</v>
      </c>
      <c r="J8101" s="40" t="str">
        <f>HYPERLINK("https://stock.pstatic.net/stock-research/company/40/20251030_company_702736000.pdf","PDF")</f>
        <v>PDF</v>
      </c>
      <c r="K8101" s="12" t="s">
        <v>14251</v>
      </c>
      <c r="L8101" s="20">
        <v>2.0408163265306121E-2</v>
      </c>
    </row>
    <row r="8102" spans="1:12" x14ac:dyDescent="0.45">
      <c r="A8102" s="12" t="s">
        <v>14149</v>
      </c>
      <c r="B8102" s="12" t="s">
        <v>32</v>
      </c>
      <c r="C8102" s="13" t="s">
        <v>33</v>
      </c>
      <c r="D8102" s="13" t="s">
        <v>34</v>
      </c>
      <c r="E8102" s="12" t="s">
        <v>35</v>
      </c>
      <c r="F8102" s="14">
        <v>280000</v>
      </c>
      <c r="G8102" s="14">
        <v>232000</v>
      </c>
      <c r="H8102" s="13" t="s">
        <v>14252</v>
      </c>
      <c r="I8102" s="40" t="s">
        <v>18</v>
      </c>
      <c r="J8102" s="40" t="str">
        <f>HYPERLINK("https://stock.pstatic.net/stock-research/company/61/20251030_company_232097000.pdf","PDF")</f>
        <v>PDF</v>
      </c>
      <c r="K8102" s="12" t="s">
        <v>14253</v>
      </c>
      <c r="L8102" s="20">
        <v>0.2068965517241379</v>
      </c>
    </row>
    <row r="8103" spans="1:12" x14ac:dyDescent="0.45">
      <c r="A8103" s="12" t="s">
        <v>14149</v>
      </c>
      <c r="B8103" s="12" t="s">
        <v>156</v>
      </c>
      <c r="C8103" s="13" t="s">
        <v>157</v>
      </c>
      <c r="D8103" s="13" t="s">
        <v>23</v>
      </c>
      <c r="E8103" s="12" t="s">
        <v>385</v>
      </c>
      <c r="F8103" s="13"/>
      <c r="G8103" s="14">
        <v>4265</v>
      </c>
      <c r="H8103" s="13" t="s">
        <v>14254</v>
      </c>
      <c r="I8103" s="40" t="s">
        <v>18</v>
      </c>
      <c r="J8103" s="40" t="str">
        <f>HYPERLINK("https://stock.pstatic.net/stock-research/company/21/20251030_company_983771000.pdf","PDF")</f>
        <v>PDF</v>
      </c>
      <c r="K8103" s="12" t="s">
        <v>14255</v>
      </c>
    </row>
    <row r="8104" spans="1:12" x14ac:dyDescent="0.45">
      <c r="A8104" s="12" t="s">
        <v>14149</v>
      </c>
      <c r="B8104" s="12" t="s">
        <v>32</v>
      </c>
      <c r="C8104" s="13" t="s">
        <v>33</v>
      </c>
      <c r="D8104" s="13" t="s">
        <v>23</v>
      </c>
      <c r="E8104" s="12" t="s">
        <v>16</v>
      </c>
      <c r="F8104" s="14">
        <v>310000</v>
      </c>
      <c r="G8104" s="14">
        <v>232000</v>
      </c>
      <c r="H8104" s="13" t="s">
        <v>14256</v>
      </c>
      <c r="I8104" s="40" t="s">
        <v>18</v>
      </c>
      <c r="J8104" s="40" t="str">
        <f>HYPERLINK("https://stock.pstatic.net/stock-research/company/21/20251030_company_35644000.pdf","PDF")</f>
        <v>PDF</v>
      </c>
      <c r="K8104" s="12" t="s">
        <v>14257</v>
      </c>
      <c r="L8104" s="20">
        <v>0.33620689655172409</v>
      </c>
    </row>
    <row r="8105" spans="1:12" x14ac:dyDescent="0.45">
      <c r="A8105" s="12" t="s">
        <v>14149</v>
      </c>
      <c r="B8105" s="12" t="s">
        <v>334</v>
      </c>
      <c r="C8105" s="13" t="s">
        <v>335</v>
      </c>
      <c r="D8105" s="13" t="s">
        <v>92</v>
      </c>
      <c r="E8105" s="12" t="s">
        <v>35</v>
      </c>
      <c r="F8105" s="14">
        <v>690000</v>
      </c>
      <c r="G8105" s="14">
        <v>558000</v>
      </c>
      <c r="H8105" s="13" t="s">
        <v>14258</v>
      </c>
      <c r="I8105" s="40" t="s">
        <v>18</v>
      </c>
      <c r="J8105" s="40" t="str">
        <f>HYPERLINK("https://stock.pstatic.net/stock-research/company/63/20251030_company_455155000.pdf","PDF")</f>
        <v>PDF</v>
      </c>
      <c r="K8105" s="12" t="s">
        <v>14259</v>
      </c>
      <c r="L8105" s="20">
        <v>0.23655913978494619</v>
      </c>
    </row>
    <row r="8106" spans="1:12" x14ac:dyDescent="0.45">
      <c r="A8106" s="12" t="s">
        <v>14149</v>
      </c>
      <c r="B8106" s="12" t="s">
        <v>32</v>
      </c>
      <c r="C8106" s="13" t="s">
        <v>33</v>
      </c>
      <c r="D8106" s="13" t="s">
        <v>44</v>
      </c>
      <c r="E8106" s="12" t="s">
        <v>35</v>
      </c>
      <c r="F8106" s="14">
        <v>230000</v>
      </c>
      <c r="G8106" s="14">
        <v>232300</v>
      </c>
      <c r="H8106" s="13" t="s">
        <v>14260</v>
      </c>
      <c r="I8106" s="40" t="s">
        <v>18</v>
      </c>
      <c r="J8106" s="40" t="str">
        <f>HYPERLINK("https://stock.pstatic.net/stock-research/company/39/20251030_company_669979000.pdf","PDF")</f>
        <v>PDF</v>
      </c>
      <c r="K8106" s="12" t="s">
        <v>14261</v>
      </c>
      <c r="L8106" s="20">
        <v>-9.9009900990099011E-3</v>
      </c>
    </row>
    <row r="8107" spans="1:12" x14ac:dyDescent="0.45">
      <c r="A8107" s="12" t="s">
        <v>14149</v>
      </c>
      <c r="B8107" s="12" t="s">
        <v>1686</v>
      </c>
      <c r="C8107" s="13" t="s">
        <v>1687</v>
      </c>
      <c r="D8107" s="13" t="s">
        <v>44</v>
      </c>
      <c r="E8107" s="12" t="s">
        <v>35</v>
      </c>
      <c r="F8107" s="14">
        <v>1850000</v>
      </c>
      <c r="G8107" s="14">
        <v>1244000</v>
      </c>
      <c r="H8107" s="13" t="s">
        <v>14262</v>
      </c>
      <c r="I8107" s="40" t="s">
        <v>18</v>
      </c>
      <c r="J8107" s="40" t="str">
        <f>HYPERLINK("https://stock.pstatic.net/stock-research/company/39/20251030_company_394248000.pdf","PDF")</f>
        <v>PDF</v>
      </c>
      <c r="K8107" s="12" t="s">
        <v>14263</v>
      </c>
      <c r="L8107" s="20">
        <v>0.48713826366559487</v>
      </c>
    </row>
    <row r="8108" spans="1:12" x14ac:dyDescent="0.45">
      <c r="A8108" s="12" t="s">
        <v>14149</v>
      </c>
      <c r="B8108" s="12" t="s">
        <v>3488</v>
      </c>
      <c r="C8108" s="13" t="s">
        <v>3489</v>
      </c>
      <c r="D8108" s="13" t="s">
        <v>44</v>
      </c>
      <c r="E8108" s="12" t="s">
        <v>35</v>
      </c>
      <c r="F8108" s="14">
        <v>33000</v>
      </c>
      <c r="G8108" s="14">
        <v>25500</v>
      </c>
      <c r="H8108" s="13" t="s">
        <v>14264</v>
      </c>
      <c r="I8108" s="40" t="s">
        <v>18</v>
      </c>
      <c r="J8108" s="40" t="str">
        <f>HYPERLINK("https://stock.pstatic.net/stock-research/company/39/20251030_company_823697000.pdf","PDF")</f>
        <v>PDF</v>
      </c>
      <c r="K8108" s="12" t="s">
        <v>14265</v>
      </c>
      <c r="L8108" s="20">
        <v>0.29411764705882348</v>
      </c>
    </row>
    <row r="8109" spans="1:12" x14ac:dyDescent="0.45">
      <c r="A8109" s="12" t="s">
        <v>14149</v>
      </c>
      <c r="B8109" s="12" t="s">
        <v>2365</v>
      </c>
      <c r="C8109" s="13" t="s">
        <v>2366</v>
      </c>
      <c r="D8109" s="13" t="s">
        <v>23</v>
      </c>
      <c r="E8109" s="12" t="s">
        <v>16</v>
      </c>
      <c r="F8109" s="14">
        <v>180000</v>
      </c>
      <c r="G8109" s="14">
        <v>147000</v>
      </c>
      <c r="H8109" s="13" t="s">
        <v>7634</v>
      </c>
      <c r="I8109" s="40" t="s">
        <v>18</v>
      </c>
      <c r="J8109" s="40" t="str">
        <f>HYPERLINK("https://stock.pstatic.net/stock-research/company/21/20251030_company_137108000.pdf","PDF")</f>
        <v>PDF</v>
      </c>
      <c r="K8109" s="12" t="s">
        <v>14266</v>
      </c>
      <c r="L8109" s="20">
        <v>0.22448979591836729</v>
      </c>
    </row>
    <row r="8110" spans="1:12" x14ac:dyDescent="0.45">
      <c r="A8110" s="12" t="s">
        <v>14149</v>
      </c>
      <c r="B8110" s="12" t="s">
        <v>3488</v>
      </c>
      <c r="C8110" s="13" t="s">
        <v>3489</v>
      </c>
      <c r="D8110" s="13" t="s">
        <v>23</v>
      </c>
      <c r="E8110" s="12" t="s">
        <v>16</v>
      </c>
      <c r="F8110" s="14">
        <v>28500</v>
      </c>
      <c r="G8110" s="14">
        <v>25500</v>
      </c>
      <c r="H8110" s="13" t="s">
        <v>14267</v>
      </c>
      <c r="I8110" s="40" t="s">
        <v>18</v>
      </c>
      <c r="J8110" s="40" t="str">
        <f>HYPERLINK("https://stock.pstatic.net/stock-research/company/21/20251030_company_19517000.pdf","PDF")</f>
        <v>PDF</v>
      </c>
      <c r="K8110" s="12" t="s">
        <v>14268</v>
      </c>
      <c r="L8110" s="20">
        <v>0.1176470588235294</v>
      </c>
    </row>
    <row r="8111" spans="1:12" x14ac:dyDescent="0.45">
      <c r="A8111" s="12" t="s">
        <v>14149</v>
      </c>
      <c r="B8111" s="12" t="s">
        <v>32</v>
      </c>
      <c r="C8111" s="13" t="s">
        <v>33</v>
      </c>
      <c r="D8111" s="13" t="s">
        <v>92</v>
      </c>
      <c r="E8111" s="12" t="s">
        <v>35</v>
      </c>
      <c r="F8111" s="14">
        <v>270000</v>
      </c>
      <c r="G8111" s="14">
        <v>232000</v>
      </c>
      <c r="H8111" s="13" t="s">
        <v>14269</v>
      </c>
      <c r="I8111" s="40" t="s">
        <v>18</v>
      </c>
      <c r="J8111" s="40" t="str">
        <f>HYPERLINK("https://stock.pstatic.net/stock-research/company/63/20251030_company_895589000.pdf","PDF")</f>
        <v>PDF</v>
      </c>
      <c r="K8111" s="12" t="s">
        <v>14270</v>
      </c>
      <c r="L8111" s="20">
        <v>0.16379310344827591</v>
      </c>
    </row>
    <row r="8112" spans="1:12" x14ac:dyDescent="0.45">
      <c r="A8112" s="12" t="s">
        <v>14149</v>
      </c>
      <c r="B8112" s="12" t="s">
        <v>3355</v>
      </c>
      <c r="C8112" s="13" t="s">
        <v>3356</v>
      </c>
      <c r="D8112" s="13" t="s">
        <v>44</v>
      </c>
      <c r="E8112" s="12" t="s">
        <v>35</v>
      </c>
      <c r="F8112" s="14">
        <v>80000</v>
      </c>
      <c r="G8112" s="14">
        <v>46750</v>
      </c>
      <c r="H8112" s="13" t="s">
        <v>14271</v>
      </c>
      <c r="I8112" s="40" t="s">
        <v>18</v>
      </c>
      <c r="J8112" s="40" t="str">
        <f>HYPERLINK("https://stock.pstatic.net/stock-research/company/39/20251030_company_601003000.pdf","PDF")</f>
        <v>PDF</v>
      </c>
      <c r="K8112" s="12" t="s">
        <v>14272</v>
      </c>
      <c r="L8112" s="20">
        <v>0.71122994652406413</v>
      </c>
    </row>
    <row r="8113" spans="1:12" x14ac:dyDescent="0.45">
      <c r="A8113" s="12" t="s">
        <v>14149</v>
      </c>
      <c r="B8113" s="12" t="s">
        <v>3296</v>
      </c>
      <c r="C8113" s="13" t="s">
        <v>3297</v>
      </c>
      <c r="D8113" s="13" t="s">
        <v>44</v>
      </c>
      <c r="E8113" s="12" t="s">
        <v>35</v>
      </c>
      <c r="F8113" s="14">
        <v>65000</v>
      </c>
      <c r="G8113" s="14">
        <v>48850</v>
      </c>
      <c r="H8113" s="13" t="s">
        <v>14273</v>
      </c>
      <c r="I8113" s="40" t="s">
        <v>18</v>
      </c>
      <c r="J8113" s="40" t="str">
        <f>HYPERLINK("https://stock.pstatic.net/stock-research/company/39/20251030_company_257847000.pdf","PDF")</f>
        <v>PDF</v>
      </c>
      <c r="K8113" s="12" t="s">
        <v>14274</v>
      </c>
      <c r="L8113" s="20">
        <v>0.330603889457523</v>
      </c>
    </row>
    <row r="8114" spans="1:12" x14ac:dyDescent="0.45">
      <c r="A8114" s="12" t="s">
        <v>14149</v>
      </c>
      <c r="B8114" s="12" t="s">
        <v>2243</v>
      </c>
      <c r="C8114" s="13" t="s">
        <v>2244</v>
      </c>
      <c r="D8114" s="13" t="s">
        <v>124</v>
      </c>
      <c r="E8114" s="12" t="s">
        <v>50</v>
      </c>
      <c r="F8114" s="13"/>
      <c r="G8114" s="13"/>
      <c r="H8114" s="13" t="s">
        <v>14275</v>
      </c>
      <c r="I8114" s="40" t="s">
        <v>18</v>
      </c>
      <c r="J8114" s="40" t="str">
        <f>HYPERLINK("https://stock.pstatic.net/stock-research/company/74/20251030_company_348881000.pdf","PDF")</f>
        <v>PDF</v>
      </c>
      <c r="K8114" s="12" t="s">
        <v>14276</v>
      </c>
    </row>
    <row r="8115" spans="1:12" x14ac:dyDescent="0.45">
      <c r="A8115" s="12" t="s">
        <v>14149</v>
      </c>
      <c r="B8115" s="12" t="s">
        <v>14277</v>
      </c>
      <c r="C8115" s="13" t="s">
        <v>14278</v>
      </c>
      <c r="D8115" s="13" t="s">
        <v>124</v>
      </c>
      <c r="E8115" s="12" t="s">
        <v>50</v>
      </c>
      <c r="F8115" s="13"/>
      <c r="G8115" s="13"/>
      <c r="H8115" s="13" t="s">
        <v>14279</v>
      </c>
      <c r="I8115" s="40" t="s">
        <v>18</v>
      </c>
      <c r="J8115" s="40" t="str">
        <f>HYPERLINK("https://stock.pstatic.net/stock-research/company/74/20251030_company_831080000.pdf","PDF")</f>
        <v>PDF</v>
      </c>
      <c r="K8115" s="12" t="s">
        <v>14280</v>
      </c>
    </row>
    <row r="8116" spans="1:12" x14ac:dyDescent="0.45">
      <c r="A8116" s="12" t="s">
        <v>14149</v>
      </c>
      <c r="B8116" s="12" t="s">
        <v>14281</v>
      </c>
      <c r="C8116" s="13" t="s">
        <v>14282</v>
      </c>
      <c r="D8116" s="13" t="s">
        <v>124</v>
      </c>
      <c r="E8116" s="12" t="s">
        <v>50</v>
      </c>
      <c r="F8116" s="13"/>
      <c r="G8116" s="13"/>
      <c r="H8116" s="13" t="s">
        <v>14283</v>
      </c>
      <c r="I8116" s="40" t="s">
        <v>18</v>
      </c>
      <c r="J8116" s="40" t="str">
        <f>HYPERLINK("https://stock.pstatic.net/stock-research/company/74/20251030_company_869290000.pdf","PDF")</f>
        <v>PDF</v>
      </c>
      <c r="K8116" s="12" t="s">
        <v>14284</v>
      </c>
    </row>
    <row r="8117" spans="1:12" x14ac:dyDescent="0.45">
      <c r="A8117" s="12" t="s">
        <v>14149</v>
      </c>
      <c r="B8117" s="12" t="s">
        <v>334</v>
      </c>
      <c r="C8117" s="13" t="s">
        <v>335</v>
      </c>
      <c r="D8117" s="13" t="s">
        <v>15</v>
      </c>
      <c r="E8117" s="12" t="s">
        <v>16</v>
      </c>
      <c r="F8117" s="14">
        <v>680000</v>
      </c>
      <c r="G8117" s="14">
        <v>521000</v>
      </c>
      <c r="H8117" s="13" t="s">
        <v>14285</v>
      </c>
      <c r="I8117" s="40" t="s">
        <v>18</v>
      </c>
      <c r="J8117" s="40" t="str">
        <f>HYPERLINK("https://stock.pstatic.net/stock-research/company/29/20251030_company_633711000.pdf","PDF")</f>
        <v>PDF</v>
      </c>
      <c r="K8117" s="12" t="s">
        <v>14286</v>
      </c>
      <c r="L8117" s="20">
        <v>0.30518234165067182</v>
      </c>
    </row>
    <row r="8118" spans="1:12" x14ac:dyDescent="0.45">
      <c r="A8118" s="12" t="s">
        <v>14149</v>
      </c>
      <c r="B8118" s="12" t="s">
        <v>489</v>
      </c>
      <c r="C8118" s="13" t="s">
        <v>490</v>
      </c>
      <c r="D8118" s="13" t="s">
        <v>1271</v>
      </c>
      <c r="E8118" s="12" t="s">
        <v>35</v>
      </c>
      <c r="F8118" s="14">
        <v>55000</v>
      </c>
      <c r="G8118" s="14">
        <v>44750</v>
      </c>
      <c r="H8118" s="13" t="s">
        <v>14287</v>
      </c>
      <c r="I8118" s="40" t="s">
        <v>18</v>
      </c>
      <c r="J8118" s="40" t="str">
        <f>HYPERLINK("https://stock.pstatic.net/stock-research/company/7/20251030_company_446658000.pdf","PDF")</f>
        <v>PDF</v>
      </c>
      <c r="K8118" s="12" t="s">
        <v>14288</v>
      </c>
      <c r="L8118" s="20">
        <v>0.22905027932960889</v>
      </c>
    </row>
    <row r="8119" spans="1:12" x14ac:dyDescent="0.45">
      <c r="A8119" s="12" t="s">
        <v>14149</v>
      </c>
      <c r="B8119" s="12" t="s">
        <v>3105</v>
      </c>
      <c r="C8119" s="13" t="s">
        <v>3106</v>
      </c>
      <c r="D8119" s="13" t="s">
        <v>1271</v>
      </c>
      <c r="E8119" s="12" t="s">
        <v>35</v>
      </c>
      <c r="F8119" s="14">
        <v>365000</v>
      </c>
      <c r="G8119" s="14">
        <v>278000</v>
      </c>
      <c r="H8119" s="13" t="s">
        <v>14289</v>
      </c>
      <c r="I8119" s="40" t="s">
        <v>18</v>
      </c>
      <c r="J8119" s="40" t="str">
        <f>HYPERLINK("https://stock.pstatic.net/stock-research/company/7/20251030_company_676237000.pdf","PDF")</f>
        <v>PDF</v>
      </c>
      <c r="K8119" s="12" t="s">
        <v>14290</v>
      </c>
      <c r="L8119" s="20">
        <v>0.31294964028776978</v>
      </c>
    </row>
    <row r="8120" spans="1:12" x14ac:dyDescent="0.45">
      <c r="A8120" s="12" t="s">
        <v>14149</v>
      </c>
      <c r="B8120" s="12" t="s">
        <v>3024</v>
      </c>
      <c r="C8120" s="13" t="s">
        <v>3025</v>
      </c>
      <c r="D8120" s="13" t="s">
        <v>1271</v>
      </c>
      <c r="E8120" s="12" t="s">
        <v>35</v>
      </c>
      <c r="F8120" s="14">
        <v>70000</v>
      </c>
      <c r="G8120" s="14">
        <v>57300</v>
      </c>
      <c r="H8120" s="13" t="s">
        <v>14291</v>
      </c>
      <c r="I8120" s="40" t="s">
        <v>18</v>
      </c>
      <c r="J8120" s="40" t="str">
        <f>HYPERLINK("https://stock.pstatic.net/stock-research/company/7/20251030_company_872233000.pdf","PDF")</f>
        <v>PDF</v>
      </c>
      <c r="K8120" s="12" t="s">
        <v>14292</v>
      </c>
      <c r="L8120" s="20">
        <v>0.22164048865619551</v>
      </c>
    </row>
    <row r="8121" spans="1:12" x14ac:dyDescent="0.45">
      <c r="A8121" s="12" t="s">
        <v>14149</v>
      </c>
      <c r="B8121" s="12" t="s">
        <v>2522</v>
      </c>
      <c r="C8121" s="13" t="s">
        <v>2523</v>
      </c>
      <c r="D8121" s="13" t="s">
        <v>1271</v>
      </c>
      <c r="E8121" s="12" t="s">
        <v>35</v>
      </c>
      <c r="F8121" s="14">
        <v>390000</v>
      </c>
      <c r="G8121" s="14">
        <v>292500</v>
      </c>
      <c r="H8121" s="13" t="s">
        <v>14293</v>
      </c>
      <c r="I8121" s="40" t="s">
        <v>18</v>
      </c>
      <c r="J8121" s="40" t="str">
        <f>HYPERLINK("https://stock.pstatic.net/stock-research/company/7/20251030_company_952460000.pdf","PDF")</f>
        <v>PDF</v>
      </c>
      <c r="K8121" s="12" t="s">
        <v>14294</v>
      </c>
      <c r="L8121" s="20">
        <v>0.33333333333333331</v>
      </c>
    </row>
    <row r="8122" spans="1:12" x14ac:dyDescent="0.45">
      <c r="A8122" s="12" t="s">
        <v>14149</v>
      </c>
      <c r="B8122" s="12" t="s">
        <v>511</v>
      </c>
      <c r="C8122" s="13" t="s">
        <v>512</v>
      </c>
      <c r="D8122" s="13" t="s">
        <v>1271</v>
      </c>
      <c r="E8122" s="12" t="s">
        <v>35</v>
      </c>
      <c r="F8122" s="14">
        <v>93000</v>
      </c>
      <c r="G8122" s="14">
        <v>72100</v>
      </c>
      <c r="H8122" s="13" t="s">
        <v>14295</v>
      </c>
      <c r="I8122" s="40" t="s">
        <v>18</v>
      </c>
      <c r="J8122" s="40" t="str">
        <f>HYPERLINK("https://stock.pstatic.net/stock-research/company/7/20251030_company_983185000.pdf","PDF")</f>
        <v>PDF</v>
      </c>
      <c r="K8122" s="12" t="s">
        <v>14296</v>
      </c>
      <c r="L8122" s="20">
        <v>0.28987517337031898</v>
      </c>
    </row>
    <row r="8123" spans="1:12" x14ac:dyDescent="0.45">
      <c r="A8123" s="12" t="s">
        <v>14149</v>
      </c>
      <c r="B8123" s="12" t="s">
        <v>691</v>
      </c>
      <c r="C8123" s="13" t="s">
        <v>20</v>
      </c>
      <c r="D8123" s="13" t="s">
        <v>1271</v>
      </c>
      <c r="E8123" s="12" t="s">
        <v>35</v>
      </c>
      <c r="F8123" s="14">
        <v>220000</v>
      </c>
      <c r="G8123" s="14">
        <v>178700</v>
      </c>
      <c r="H8123" s="13" t="s">
        <v>14297</v>
      </c>
      <c r="I8123" s="40" t="s">
        <v>18</v>
      </c>
      <c r="J8123" s="40" t="str">
        <f>HYPERLINK("https://stock.pstatic.net/stock-research/company/7/20251030_company_899141000.pdf","PDF")</f>
        <v>PDF</v>
      </c>
      <c r="K8123" s="12" t="s">
        <v>14298</v>
      </c>
      <c r="L8123" s="20">
        <v>0.23111359820928931</v>
      </c>
    </row>
    <row r="8124" spans="1:12" x14ac:dyDescent="0.45">
      <c r="A8124" s="12" t="s">
        <v>14149</v>
      </c>
      <c r="B8124" s="12" t="s">
        <v>1350</v>
      </c>
      <c r="C8124" s="13" t="s">
        <v>1351</v>
      </c>
      <c r="D8124" s="13" t="s">
        <v>1271</v>
      </c>
      <c r="E8124" s="12" t="s">
        <v>35</v>
      </c>
      <c r="F8124" s="14">
        <v>55000</v>
      </c>
      <c r="G8124" s="14">
        <v>39700</v>
      </c>
      <c r="H8124" s="13" t="s">
        <v>14299</v>
      </c>
      <c r="I8124" s="40" t="s">
        <v>18</v>
      </c>
      <c r="J8124" s="40" t="str">
        <f>HYPERLINK("https://stock.pstatic.net/stock-research/company/7/20251030_company_246444000.pdf","PDF")</f>
        <v>PDF</v>
      </c>
      <c r="K8124" s="12" t="s">
        <v>14300</v>
      </c>
      <c r="L8124" s="20">
        <v>0.38539042821158692</v>
      </c>
    </row>
    <row r="8125" spans="1:12" x14ac:dyDescent="0.45">
      <c r="A8125" s="12" t="s">
        <v>14149</v>
      </c>
      <c r="B8125" s="12" t="s">
        <v>1666</v>
      </c>
      <c r="C8125" s="13" t="s">
        <v>1667</v>
      </c>
      <c r="D8125" s="13" t="s">
        <v>1271</v>
      </c>
      <c r="E8125" s="12" t="s">
        <v>35</v>
      </c>
      <c r="F8125" s="14">
        <v>80000</v>
      </c>
      <c r="G8125" s="14">
        <v>56600</v>
      </c>
      <c r="H8125" s="13" t="s">
        <v>14301</v>
      </c>
      <c r="I8125" s="40" t="s">
        <v>18</v>
      </c>
      <c r="J8125" s="40" t="str">
        <f>HYPERLINK("https://stock.pstatic.net/stock-research/company/7/20251030_company_373625000.pdf","PDF")</f>
        <v>PDF</v>
      </c>
      <c r="K8125" s="12" t="s">
        <v>14302</v>
      </c>
      <c r="L8125" s="20">
        <v>0.41342756183745583</v>
      </c>
    </row>
    <row r="8126" spans="1:12" x14ac:dyDescent="0.45">
      <c r="A8126" s="12" t="s">
        <v>14149</v>
      </c>
      <c r="B8126" s="12" t="s">
        <v>2758</v>
      </c>
      <c r="C8126" s="13" t="s">
        <v>2759</v>
      </c>
      <c r="D8126" s="13" t="s">
        <v>1271</v>
      </c>
      <c r="E8126" s="12" t="s">
        <v>35</v>
      </c>
      <c r="F8126" s="14">
        <v>375000</v>
      </c>
      <c r="G8126" s="14">
        <v>320000</v>
      </c>
      <c r="H8126" s="13" t="s">
        <v>14303</v>
      </c>
      <c r="I8126" s="40" t="s">
        <v>18</v>
      </c>
      <c r="J8126" s="40" t="str">
        <f>HYPERLINK("https://stock.pstatic.net/stock-research/company/7/20251030_company_792630000.pdf","PDF")</f>
        <v>PDF</v>
      </c>
      <c r="K8126" s="12" t="s">
        <v>14304</v>
      </c>
      <c r="L8126" s="20">
        <v>0.171875</v>
      </c>
    </row>
    <row r="8127" spans="1:12" x14ac:dyDescent="0.45">
      <c r="A8127" s="12" t="s">
        <v>14149</v>
      </c>
      <c r="B8127" s="12" t="s">
        <v>1678</v>
      </c>
      <c r="C8127" s="13" t="s">
        <v>1679</v>
      </c>
      <c r="D8127" s="13" t="s">
        <v>1271</v>
      </c>
      <c r="E8127" s="12" t="s">
        <v>35</v>
      </c>
      <c r="F8127" s="14">
        <v>93000</v>
      </c>
      <c r="G8127" s="14">
        <v>68200</v>
      </c>
      <c r="H8127" s="13" t="s">
        <v>14305</v>
      </c>
      <c r="I8127" s="40" t="s">
        <v>18</v>
      </c>
      <c r="J8127" s="40" t="str">
        <f>HYPERLINK("https://stock.pstatic.net/stock-research/company/7/20251030_company_615157000.pdf","PDF")</f>
        <v>PDF</v>
      </c>
      <c r="K8127" s="12" t="s">
        <v>14306</v>
      </c>
      <c r="L8127" s="20">
        <v>0.36363636363636359</v>
      </c>
    </row>
    <row r="8128" spans="1:12" x14ac:dyDescent="0.45">
      <c r="A8128" s="12" t="s">
        <v>14307</v>
      </c>
      <c r="B8128" s="12" t="s">
        <v>2369</v>
      </c>
      <c r="C8128" s="13" t="s">
        <v>2370</v>
      </c>
      <c r="D8128" s="13" t="s">
        <v>57</v>
      </c>
      <c r="E8128" s="12" t="s">
        <v>35</v>
      </c>
      <c r="F8128" s="14">
        <v>360000</v>
      </c>
      <c r="G8128" s="14">
        <v>312000</v>
      </c>
      <c r="H8128" s="13" t="s">
        <v>14308</v>
      </c>
      <c r="I8128" s="40" t="s">
        <v>18</v>
      </c>
      <c r="J8128" s="40" t="str">
        <f>HYPERLINK("https://stock.pstatic.net/stock-research/company/16/20251029_company_76038000.pdf","PDF")</f>
        <v>PDF</v>
      </c>
      <c r="K8128" s="12" t="s">
        <v>14309</v>
      </c>
      <c r="L8128" s="20">
        <v>0.15384615384615391</v>
      </c>
    </row>
    <row r="8129" spans="1:12" x14ac:dyDescent="0.45">
      <c r="A8129" s="12" t="s">
        <v>14307</v>
      </c>
      <c r="B8129" s="12" t="s">
        <v>3688</v>
      </c>
      <c r="C8129" s="13" t="s">
        <v>3689</v>
      </c>
      <c r="D8129" s="13" t="s">
        <v>57</v>
      </c>
      <c r="E8129" s="12" t="s">
        <v>35</v>
      </c>
      <c r="F8129" s="14">
        <v>88000</v>
      </c>
      <c r="G8129" s="14">
        <v>74000</v>
      </c>
      <c r="H8129" s="13" t="s">
        <v>14310</v>
      </c>
      <c r="I8129" s="40" t="s">
        <v>18</v>
      </c>
      <c r="J8129" s="40" t="str">
        <f>HYPERLINK("https://stock.pstatic.net/stock-research/company/16/20251029_company_911126000.pdf","PDF")</f>
        <v>PDF</v>
      </c>
      <c r="K8129" s="12" t="s">
        <v>14311</v>
      </c>
      <c r="L8129" s="20">
        <v>0.1891891891891892</v>
      </c>
    </row>
    <row r="8130" spans="1:12" x14ac:dyDescent="0.45">
      <c r="A8130" s="12" t="s">
        <v>14307</v>
      </c>
      <c r="B8130" s="12" t="s">
        <v>3369</v>
      </c>
      <c r="C8130" s="13" t="s">
        <v>3370</v>
      </c>
      <c r="D8130" s="13" t="s">
        <v>57</v>
      </c>
      <c r="E8130" s="12" t="s">
        <v>35</v>
      </c>
      <c r="F8130" s="14">
        <v>26000</v>
      </c>
      <c r="G8130" s="14">
        <v>21950</v>
      </c>
      <c r="H8130" s="13" t="s">
        <v>14312</v>
      </c>
      <c r="I8130" s="40" t="s">
        <v>18</v>
      </c>
      <c r="J8130" s="40" t="str">
        <f>HYPERLINK("https://stock.pstatic.net/stock-research/company/16/20251029_company_242583000.pdf","PDF")</f>
        <v>PDF</v>
      </c>
      <c r="K8130" s="12" t="s">
        <v>14313</v>
      </c>
      <c r="L8130" s="20">
        <v>0.18451025056947609</v>
      </c>
    </row>
    <row r="8131" spans="1:12" x14ac:dyDescent="0.45">
      <c r="A8131" s="12" t="s">
        <v>14307</v>
      </c>
      <c r="B8131" s="12" t="s">
        <v>72</v>
      </c>
      <c r="C8131" s="13" t="s">
        <v>73</v>
      </c>
      <c r="D8131" s="13" t="s">
        <v>57</v>
      </c>
      <c r="E8131" s="12" t="s">
        <v>35</v>
      </c>
      <c r="F8131" s="14">
        <v>270000</v>
      </c>
      <c r="G8131" s="14">
        <v>207000</v>
      </c>
      <c r="H8131" s="13" t="s">
        <v>14314</v>
      </c>
      <c r="I8131" s="40" t="s">
        <v>18</v>
      </c>
      <c r="J8131" s="40" t="str">
        <f>HYPERLINK("https://stock.pstatic.net/stock-research/company/16/20251029_company_263218000.pdf","PDF")</f>
        <v>PDF</v>
      </c>
      <c r="K8131" s="12" t="s">
        <v>14315</v>
      </c>
      <c r="L8131" s="20">
        <v>0.30434782608695649</v>
      </c>
    </row>
    <row r="8132" spans="1:12" x14ac:dyDescent="0.45">
      <c r="A8132" s="12" t="s">
        <v>14307</v>
      </c>
      <c r="B8132" s="12" t="s">
        <v>2369</v>
      </c>
      <c r="C8132" s="13" t="s">
        <v>2370</v>
      </c>
      <c r="D8132" s="13" t="s">
        <v>276</v>
      </c>
      <c r="E8132" s="12" t="s">
        <v>16</v>
      </c>
      <c r="F8132" s="14">
        <v>350000</v>
      </c>
      <c r="G8132" s="14">
        <v>312000</v>
      </c>
      <c r="H8132" s="13" t="s">
        <v>14316</v>
      </c>
      <c r="I8132" s="40" t="s">
        <v>18</v>
      </c>
      <c r="J8132" s="40" t="str">
        <f>HYPERLINK("https://stock.pstatic.net/stock-research/company/66/20251029_company_720296000.pdf","PDF")</f>
        <v>PDF</v>
      </c>
      <c r="K8132" s="12" t="s">
        <v>14317</v>
      </c>
      <c r="L8132" s="20">
        <v>0.12179487179487181</v>
      </c>
    </row>
    <row r="8133" spans="1:12" x14ac:dyDescent="0.45">
      <c r="A8133" s="12" t="s">
        <v>14307</v>
      </c>
      <c r="B8133" s="12" t="s">
        <v>72</v>
      </c>
      <c r="C8133" s="13" t="s">
        <v>73</v>
      </c>
      <c r="D8133" s="13" t="s">
        <v>276</v>
      </c>
      <c r="E8133" s="12" t="s">
        <v>16</v>
      </c>
      <c r="F8133" s="14">
        <v>280000</v>
      </c>
      <c r="G8133" s="14">
        <v>207000</v>
      </c>
      <c r="H8133" s="13" t="s">
        <v>14318</v>
      </c>
      <c r="I8133" s="40" t="s">
        <v>18</v>
      </c>
      <c r="J8133" s="40" t="str">
        <f>HYPERLINK("https://stock.pstatic.net/stock-research/company/66/20251029_company_602425000.pdf","PDF")</f>
        <v>PDF</v>
      </c>
      <c r="K8133" s="12" t="s">
        <v>14319</v>
      </c>
      <c r="L8133" s="20">
        <v>0.35265700483091789</v>
      </c>
    </row>
    <row r="8134" spans="1:12" x14ac:dyDescent="0.45">
      <c r="A8134" s="12" t="s">
        <v>14307</v>
      </c>
      <c r="B8134" s="12" t="s">
        <v>2369</v>
      </c>
      <c r="C8134" s="13" t="s">
        <v>2370</v>
      </c>
      <c r="D8134" s="13" t="s">
        <v>60</v>
      </c>
      <c r="E8134" s="12" t="s">
        <v>35</v>
      </c>
      <c r="F8134" s="14">
        <v>350000</v>
      </c>
      <c r="G8134" s="14">
        <v>312000</v>
      </c>
      <c r="H8134" s="13" t="s">
        <v>14320</v>
      </c>
      <c r="I8134" s="40" t="s">
        <v>18</v>
      </c>
      <c r="J8134" s="40" t="str">
        <f>HYPERLINK("https://stock.pstatic.net/stock-research/company/34/20251029_company_834376000.pdf","PDF")</f>
        <v>PDF</v>
      </c>
      <c r="K8134" s="12" t="s">
        <v>14321</v>
      </c>
      <c r="L8134" s="20">
        <v>0.12179487179487181</v>
      </c>
    </row>
    <row r="8135" spans="1:12" x14ac:dyDescent="0.45">
      <c r="A8135" s="12" t="s">
        <v>14307</v>
      </c>
      <c r="B8135" s="12" t="s">
        <v>3369</v>
      </c>
      <c r="C8135" s="13" t="s">
        <v>3370</v>
      </c>
      <c r="D8135" s="13" t="s">
        <v>60</v>
      </c>
      <c r="E8135" s="12" t="s">
        <v>35</v>
      </c>
      <c r="F8135" s="14">
        <v>29000</v>
      </c>
      <c r="G8135" s="14">
        <v>21950</v>
      </c>
      <c r="H8135" s="13" t="s">
        <v>14322</v>
      </c>
      <c r="I8135" s="40" t="s">
        <v>18</v>
      </c>
      <c r="J8135" s="40" t="str">
        <f>HYPERLINK("https://stock.pstatic.net/stock-research/company/34/20251029_company_683861000.pdf","PDF")</f>
        <v>PDF</v>
      </c>
      <c r="K8135" s="12" t="s">
        <v>14323</v>
      </c>
      <c r="L8135" s="20">
        <v>0.32118451025056949</v>
      </c>
    </row>
    <row r="8136" spans="1:12" x14ac:dyDescent="0.45">
      <c r="A8136" s="12" t="s">
        <v>14307</v>
      </c>
      <c r="B8136" s="12" t="s">
        <v>3688</v>
      </c>
      <c r="C8136" s="13" t="s">
        <v>3689</v>
      </c>
      <c r="D8136" s="13" t="s">
        <v>60</v>
      </c>
      <c r="E8136" s="12" t="s">
        <v>35</v>
      </c>
      <c r="F8136" s="14">
        <v>93000</v>
      </c>
      <c r="G8136" s="14">
        <v>74000</v>
      </c>
      <c r="H8136" s="13" t="s">
        <v>14324</v>
      </c>
      <c r="I8136" s="40" t="s">
        <v>18</v>
      </c>
      <c r="J8136" s="40" t="str">
        <f>HYPERLINK("https://stock.pstatic.net/stock-research/company/34/20251029_company_898150000.pdf","PDF")</f>
        <v>PDF</v>
      </c>
      <c r="K8136" s="12" t="s">
        <v>14325</v>
      </c>
      <c r="L8136" s="20">
        <v>0.25675675675675669</v>
      </c>
    </row>
    <row r="8137" spans="1:12" x14ac:dyDescent="0.45">
      <c r="A8137" s="12" t="s">
        <v>14307</v>
      </c>
      <c r="B8137" s="12" t="s">
        <v>3482</v>
      </c>
      <c r="C8137" s="13" t="s">
        <v>3483</v>
      </c>
      <c r="D8137" s="13" t="s">
        <v>60</v>
      </c>
      <c r="E8137" s="12" t="s">
        <v>35</v>
      </c>
      <c r="F8137" s="14">
        <v>114000</v>
      </c>
      <c r="G8137" s="14">
        <v>87900</v>
      </c>
      <c r="H8137" s="13" t="s">
        <v>14326</v>
      </c>
      <c r="I8137" s="40" t="s">
        <v>18</v>
      </c>
      <c r="J8137" s="40" t="str">
        <f>HYPERLINK("https://stock.pstatic.net/stock-research/company/34/20251029_company_731622000.pdf","PDF")</f>
        <v>PDF</v>
      </c>
      <c r="K8137" s="12" t="s">
        <v>14327</v>
      </c>
      <c r="L8137" s="20">
        <v>0.29692832764505123</v>
      </c>
    </row>
    <row r="8138" spans="1:12" x14ac:dyDescent="0.45">
      <c r="A8138" s="12" t="s">
        <v>14307</v>
      </c>
      <c r="B8138" s="12" t="s">
        <v>3482</v>
      </c>
      <c r="C8138" s="13" t="s">
        <v>3483</v>
      </c>
      <c r="D8138" s="13" t="s">
        <v>65</v>
      </c>
      <c r="E8138" s="12" t="s">
        <v>35</v>
      </c>
      <c r="F8138" s="14">
        <v>110000</v>
      </c>
      <c r="G8138" s="14">
        <v>87900</v>
      </c>
      <c r="H8138" s="13" t="s">
        <v>14328</v>
      </c>
      <c r="I8138" s="40" t="s">
        <v>18</v>
      </c>
      <c r="J8138" s="40" t="str">
        <f>HYPERLINK("https://stock.pstatic.net/stock-research/company/57/20251029_company_337312000.pdf","PDF")</f>
        <v>PDF</v>
      </c>
      <c r="K8138" s="12" t="s">
        <v>14329</v>
      </c>
      <c r="L8138" s="20">
        <v>0.25142207053469851</v>
      </c>
    </row>
    <row r="8139" spans="1:12" x14ac:dyDescent="0.45">
      <c r="A8139" s="12" t="s">
        <v>14307</v>
      </c>
      <c r="B8139" s="12" t="s">
        <v>3688</v>
      </c>
      <c r="C8139" s="13" t="s">
        <v>3689</v>
      </c>
      <c r="D8139" s="13" t="s">
        <v>65</v>
      </c>
      <c r="E8139" s="12" t="s">
        <v>35</v>
      </c>
      <c r="F8139" s="14">
        <v>90000</v>
      </c>
      <c r="G8139" s="14">
        <v>74000</v>
      </c>
      <c r="H8139" s="13" t="s">
        <v>14330</v>
      </c>
      <c r="I8139" s="40" t="s">
        <v>18</v>
      </c>
      <c r="J8139" s="40" t="str">
        <f>HYPERLINK("https://stock.pstatic.net/stock-research/company/57/20251029_company_996412000.pdf","PDF")</f>
        <v>PDF</v>
      </c>
      <c r="K8139" s="12" t="s">
        <v>14331</v>
      </c>
      <c r="L8139" s="20">
        <v>0.2162162162162162</v>
      </c>
    </row>
    <row r="8140" spans="1:12" x14ac:dyDescent="0.45">
      <c r="A8140" s="12" t="s">
        <v>14307</v>
      </c>
      <c r="B8140" s="12" t="s">
        <v>14332</v>
      </c>
      <c r="C8140" s="13" t="s">
        <v>14333</v>
      </c>
      <c r="D8140" s="13" t="s">
        <v>65</v>
      </c>
      <c r="E8140" s="12" t="s">
        <v>35</v>
      </c>
      <c r="F8140" s="14">
        <v>60000</v>
      </c>
      <c r="G8140" s="14">
        <v>50200</v>
      </c>
      <c r="H8140" s="13" t="s">
        <v>14334</v>
      </c>
      <c r="I8140" s="40" t="s">
        <v>18</v>
      </c>
      <c r="J8140" s="40" t="str">
        <f>HYPERLINK("https://stock.pstatic.net/stock-research/company/57/20251029_company_332618000.pdf","PDF")</f>
        <v>PDF</v>
      </c>
      <c r="K8140" s="12" t="s">
        <v>14335</v>
      </c>
      <c r="L8140" s="20">
        <v>0.19521912350597609</v>
      </c>
    </row>
    <row r="8141" spans="1:12" x14ac:dyDescent="0.45">
      <c r="A8141" s="12" t="s">
        <v>14307</v>
      </c>
      <c r="B8141" s="12" t="s">
        <v>3349</v>
      </c>
      <c r="C8141" s="13" t="s">
        <v>7707</v>
      </c>
      <c r="D8141" s="13" t="s">
        <v>65</v>
      </c>
      <c r="E8141" s="12" t="s">
        <v>35</v>
      </c>
      <c r="F8141" s="14">
        <v>26000</v>
      </c>
      <c r="G8141" s="14">
        <v>20050</v>
      </c>
      <c r="H8141" s="13" t="s">
        <v>14336</v>
      </c>
      <c r="I8141" s="40" t="s">
        <v>18</v>
      </c>
      <c r="J8141" s="40" t="str">
        <f>HYPERLINK("https://stock.pstatic.net/stock-research/company/57/20251029_company_27234000.pdf","PDF")</f>
        <v>PDF</v>
      </c>
      <c r="K8141" s="12" t="s">
        <v>14337</v>
      </c>
      <c r="L8141" s="20">
        <v>0.29675810473815462</v>
      </c>
    </row>
    <row r="8142" spans="1:12" x14ac:dyDescent="0.45">
      <c r="A8142" s="12" t="s">
        <v>14307</v>
      </c>
      <c r="B8142" s="12" t="s">
        <v>1081</v>
      </c>
      <c r="C8142" s="13" t="s">
        <v>1082</v>
      </c>
      <c r="D8142" s="13" t="s">
        <v>65</v>
      </c>
      <c r="E8142" s="12" t="s">
        <v>35</v>
      </c>
      <c r="F8142" s="14">
        <v>1450000</v>
      </c>
      <c r="G8142" s="14">
        <v>1232000</v>
      </c>
      <c r="H8142" s="13" t="s">
        <v>14338</v>
      </c>
      <c r="I8142" s="40" t="s">
        <v>18</v>
      </c>
      <c r="J8142" s="40" t="str">
        <f>HYPERLINK("https://stock.pstatic.net/stock-research/company/57/20251029_company_662779000.pdf","PDF")</f>
        <v>PDF</v>
      </c>
      <c r="K8142" s="12" t="s">
        <v>14339</v>
      </c>
      <c r="L8142" s="20">
        <v>0.17694805194805191</v>
      </c>
    </row>
    <row r="8143" spans="1:12" x14ac:dyDescent="0.45">
      <c r="A8143" s="12" t="s">
        <v>14307</v>
      </c>
      <c r="B8143" s="12" t="s">
        <v>2369</v>
      </c>
      <c r="C8143" s="13" t="s">
        <v>2370</v>
      </c>
      <c r="D8143" s="13" t="s">
        <v>65</v>
      </c>
      <c r="E8143" s="12" t="s">
        <v>1738</v>
      </c>
      <c r="F8143" s="14">
        <v>268000</v>
      </c>
      <c r="G8143" s="14">
        <v>312000</v>
      </c>
      <c r="H8143" s="13" t="s">
        <v>14340</v>
      </c>
      <c r="I8143" s="40" t="s">
        <v>18</v>
      </c>
      <c r="J8143" s="40" t="str">
        <f>HYPERLINK("https://stock.pstatic.net/stock-research/company/57/20251029_company_735455000.pdf","PDF")</f>
        <v>PDF</v>
      </c>
      <c r="K8143" s="12" t="s">
        <v>14341</v>
      </c>
      <c r="L8143" s="20">
        <v>-0.141025641025641</v>
      </c>
    </row>
    <row r="8144" spans="1:12" x14ac:dyDescent="0.45">
      <c r="A8144" s="12" t="s">
        <v>14307</v>
      </c>
      <c r="B8144" s="12" t="s">
        <v>2369</v>
      </c>
      <c r="C8144" s="13" t="s">
        <v>2370</v>
      </c>
      <c r="D8144" s="13" t="s">
        <v>158</v>
      </c>
      <c r="E8144" s="12" t="s">
        <v>35</v>
      </c>
      <c r="F8144" s="14">
        <v>450000</v>
      </c>
      <c r="G8144" s="14">
        <v>312000</v>
      </c>
      <c r="H8144" s="13" t="s">
        <v>14342</v>
      </c>
      <c r="I8144" s="40" t="s">
        <v>18</v>
      </c>
      <c r="J8144" s="40" t="str">
        <f>HYPERLINK("https://stock.pstatic.net/stock-research/company/18/20251029_company_107308000.pdf","PDF")</f>
        <v>PDF</v>
      </c>
      <c r="K8144" s="12" t="s">
        <v>14343</v>
      </c>
      <c r="L8144" s="20">
        <v>0.44230769230769229</v>
      </c>
    </row>
    <row r="8145" spans="1:12" x14ac:dyDescent="0.45">
      <c r="A8145" s="12" t="s">
        <v>14307</v>
      </c>
      <c r="B8145" s="12" t="s">
        <v>3482</v>
      </c>
      <c r="C8145" s="13" t="s">
        <v>3483</v>
      </c>
      <c r="D8145" s="13" t="s">
        <v>158</v>
      </c>
      <c r="E8145" s="12" t="s">
        <v>35</v>
      </c>
      <c r="F8145" s="14">
        <v>108000</v>
      </c>
      <c r="G8145" s="14">
        <v>87900</v>
      </c>
      <c r="H8145" s="13" t="s">
        <v>14344</v>
      </c>
      <c r="I8145" s="40" t="s">
        <v>18</v>
      </c>
      <c r="J8145" s="40" t="str">
        <f>HYPERLINK("https://stock.pstatic.net/stock-research/company/18/20251029_company_490384000.pdf","PDF")</f>
        <v>PDF</v>
      </c>
      <c r="K8145" s="12" t="s">
        <v>14345</v>
      </c>
      <c r="L8145" s="20">
        <v>0.2286689419795222</v>
      </c>
    </row>
    <row r="8146" spans="1:12" x14ac:dyDescent="0.45">
      <c r="A8146" s="12" t="s">
        <v>14307</v>
      </c>
      <c r="B8146" s="12" t="s">
        <v>3688</v>
      </c>
      <c r="C8146" s="13" t="s">
        <v>3689</v>
      </c>
      <c r="D8146" s="13" t="s">
        <v>158</v>
      </c>
      <c r="E8146" s="12" t="s">
        <v>35</v>
      </c>
      <c r="F8146" s="14">
        <v>91000</v>
      </c>
      <c r="G8146" s="14">
        <v>74000</v>
      </c>
      <c r="H8146" s="13" t="s">
        <v>14346</v>
      </c>
      <c r="I8146" s="40" t="s">
        <v>18</v>
      </c>
      <c r="J8146" s="40" t="str">
        <f>HYPERLINK("https://stock.pstatic.net/stock-research/company/18/20251029_company_413718000.pdf","PDF")</f>
        <v>PDF</v>
      </c>
      <c r="K8146" s="12" t="s">
        <v>14347</v>
      </c>
      <c r="L8146" s="20">
        <v>0.22972972972972969</v>
      </c>
    </row>
    <row r="8147" spans="1:12" x14ac:dyDescent="0.45">
      <c r="A8147" s="12" t="s">
        <v>14307</v>
      </c>
      <c r="B8147" s="12" t="s">
        <v>3369</v>
      </c>
      <c r="C8147" s="13" t="s">
        <v>3370</v>
      </c>
      <c r="D8147" s="13" t="s">
        <v>158</v>
      </c>
      <c r="E8147" s="12" t="s">
        <v>35</v>
      </c>
      <c r="F8147" s="14">
        <v>28500</v>
      </c>
      <c r="G8147" s="14">
        <v>21950</v>
      </c>
      <c r="H8147" s="13" t="s">
        <v>14348</v>
      </c>
      <c r="I8147" s="40" t="s">
        <v>18</v>
      </c>
      <c r="J8147" s="40" t="str">
        <f>HYPERLINK("https://stock.pstatic.net/stock-research/company/18/20251029_company_510455000.pdf","PDF")</f>
        <v>PDF</v>
      </c>
      <c r="K8147" s="12" t="s">
        <v>14349</v>
      </c>
      <c r="L8147" s="20">
        <v>0.29840546697038722</v>
      </c>
    </row>
    <row r="8148" spans="1:12" x14ac:dyDescent="0.45">
      <c r="A8148" s="12" t="s">
        <v>14307</v>
      </c>
      <c r="B8148" s="12" t="s">
        <v>72</v>
      </c>
      <c r="C8148" s="13" t="s">
        <v>73</v>
      </c>
      <c r="D8148" s="13" t="s">
        <v>15</v>
      </c>
      <c r="E8148" s="12" t="s">
        <v>16</v>
      </c>
      <c r="F8148" s="14">
        <v>280000</v>
      </c>
      <c r="G8148" s="14">
        <v>207000</v>
      </c>
      <c r="H8148" s="13" t="s">
        <v>14350</v>
      </c>
      <c r="I8148" s="40" t="s">
        <v>18</v>
      </c>
      <c r="J8148" s="40" t="str">
        <f>HYPERLINK("https://stock.pstatic.net/stock-research/company/29/20251029_company_935013000.pdf","PDF")</f>
        <v>PDF</v>
      </c>
      <c r="K8148" s="12" t="s">
        <v>14351</v>
      </c>
      <c r="L8148" s="20">
        <v>0.35265700483091789</v>
      </c>
    </row>
    <row r="8149" spans="1:12" x14ac:dyDescent="0.45">
      <c r="A8149" s="12" t="s">
        <v>14307</v>
      </c>
      <c r="B8149" s="12" t="s">
        <v>1081</v>
      </c>
      <c r="C8149" s="13" t="s">
        <v>1082</v>
      </c>
      <c r="D8149" s="13" t="s">
        <v>15</v>
      </c>
      <c r="E8149" s="12" t="s">
        <v>16</v>
      </c>
      <c r="F8149" s="14">
        <v>1600000</v>
      </c>
      <c r="G8149" s="14">
        <v>1232000</v>
      </c>
      <c r="H8149" s="13" t="s">
        <v>14352</v>
      </c>
      <c r="I8149" s="40" t="s">
        <v>18</v>
      </c>
      <c r="J8149" s="40" t="str">
        <f>HYPERLINK("https://stock.pstatic.net/stock-research/company/29/20251029_company_819951000.pdf","PDF")</f>
        <v>PDF</v>
      </c>
      <c r="K8149" s="12" t="s">
        <v>14353</v>
      </c>
      <c r="L8149" s="20">
        <v>0.29870129870129869</v>
      </c>
    </row>
    <row r="8150" spans="1:12" x14ac:dyDescent="0.45">
      <c r="A8150" s="12" t="s">
        <v>14307</v>
      </c>
      <c r="B8150" s="12" t="s">
        <v>3138</v>
      </c>
      <c r="C8150" s="13" t="s">
        <v>3139</v>
      </c>
      <c r="D8150" s="13" t="s">
        <v>179</v>
      </c>
      <c r="E8150" s="12" t="s">
        <v>16</v>
      </c>
      <c r="F8150" s="14">
        <v>12500</v>
      </c>
      <c r="G8150" s="14">
        <v>9280</v>
      </c>
      <c r="H8150" s="13" t="s">
        <v>14354</v>
      </c>
      <c r="I8150" s="40" t="s">
        <v>18</v>
      </c>
      <c r="J8150" s="40" t="str">
        <f>HYPERLINK("https://stock.pstatic.net/stock-research/company/64/20251029_company_622003000.pdf","PDF")</f>
        <v>PDF</v>
      </c>
      <c r="K8150" s="12" t="s">
        <v>14355</v>
      </c>
      <c r="L8150" s="20">
        <v>0.34698275862068972</v>
      </c>
    </row>
    <row r="8151" spans="1:12" x14ac:dyDescent="0.45">
      <c r="A8151" s="12" t="s">
        <v>14307</v>
      </c>
      <c r="B8151" s="12" t="s">
        <v>1019</v>
      </c>
      <c r="C8151" s="13" t="s">
        <v>1020</v>
      </c>
      <c r="D8151" s="13" t="s">
        <v>179</v>
      </c>
      <c r="E8151" s="12" t="s">
        <v>16</v>
      </c>
      <c r="F8151" s="14">
        <v>25000</v>
      </c>
      <c r="G8151" s="14">
        <v>19080</v>
      </c>
      <c r="H8151" s="13" t="s">
        <v>14356</v>
      </c>
      <c r="I8151" s="40" t="s">
        <v>18</v>
      </c>
      <c r="J8151" s="40" t="str">
        <f>HYPERLINK("https://stock.pstatic.net/stock-research/company/64/20251029_company_175814000.pdf","PDF")</f>
        <v>PDF</v>
      </c>
      <c r="K8151" s="12" t="s">
        <v>14357</v>
      </c>
      <c r="L8151" s="20">
        <v>0.31027253668763111</v>
      </c>
    </row>
    <row r="8152" spans="1:12" x14ac:dyDescent="0.45">
      <c r="A8152" s="12" t="s">
        <v>14307</v>
      </c>
      <c r="B8152" s="12" t="s">
        <v>5373</v>
      </c>
      <c r="C8152" s="13" t="s">
        <v>5374</v>
      </c>
      <c r="D8152" s="13" t="s">
        <v>179</v>
      </c>
      <c r="E8152" s="12" t="s">
        <v>16</v>
      </c>
      <c r="F8152" s="14">
        <v>18000</v>
      </c>
      <c r="G8152" s="14">
        <v>11230</v>
      </c>
      <c r="H8152" s="13" t="s">
        <v>14358</v>
      </c>
      <c r="I8152" s="40" t="s">
        <v>18</v>
      </c>
      <c r="J8152" s="40" t="str">
        <f>HYPERLINK("https://stock.pstatic.net/stock-research/company/64/20251029_company_117855000.pdf","PDF")</f>
        <v>PDF</v>
      </c>
      <c r="K8152" s="12" t="s">
        <v>14359</v>
      </c>
      <c r="L8152" s="20">
        <v>0.60284951024042743</v>
      </c>
    </row>
    <row r="8153" spans="1:12" x14ac:dyDescent="0.45">
      <c r="A8153" s="12" t="s">
        <v>14307</v>
      </c>
      <c r="B8153" s="12" t="s">
        <v>3150</v>
      </c>
      <c r="C8153" s="13" t="s">
        <v>3151</v>
      </c>
      <c r="D8153" s="13" t="s">
        <v>179</v>
      </c>
      <c r="E8153" s="12" t="s">
        <v>50</v>
      </c>
      <c r="F8153" s="13"/>
      <c r="G8153" s="14">
        <v>95500</v>
      </c>
      <c r="H8153" s="13" t="s">
        <v>14360</v>
      </c>
      <c r="I8153" s="40" t="s">
        <v>18</v>
      </c>
      <c r="J8153" s="40" t="str">
        <f>HYPERLINK("https://stock.pstatic.net/stock-research/company/64/20251029_company_657310000.pdf","PDF")</f>
        <v>PDF</v>
      </c>
      <c r="K8153" s="12" t="s">
        <v>14361</v>
      </c>
    </row>
    <row r="8154" spans="1:12" x14ac:dyDescent="0.45">
      <c r="A8154" s="12" t="s">
        <v>14307</v>
      </c>
      <c r="B8154" s="12" t="s">
        <v>2369</v>
      </c>
      <c r="C8154" s="13" t="s">
        <v>2370</v>
      </c>
      <c r="D8154" s="13" t="s">
        <v>179</v>
      </c>
      <c r="E8154" s="12" t="s">
        <v>16</v>
      </c>
      <c r="F8154" s="14">
        <v>400000</v>
      </c>
      <c r="G8154" s="14">
        <v>312000</v>
      </c>
      <c r="H8154" s="13" t="s">
        <v>14362</v>
      </c>
      <c r="I8154" s="40" t="s">
        <v>18</v>
      </c>
      <c r="J8154" s="40" t="str">
        <f>HYPERLINK("https://stock.pstatic.net/stock-research/company/64/20251029_company_97589000.pdf","PDF")</f>
        <v>PDF</v>
      </c>
      <c r="K8154" s="12" t="s">
        <v>14363</v>
      </c>
      <c r="L8154" s="20">
        <v>0.28205128205128199</v>
      </c>
    </row>
    <row r="8155" spans="1:12" x14ac:dyDescent="0.45">
      <c r="A8155" s="12" t="s">
        <v>14307</v>
      </c>
      <c r="B8155" s="12" t="s">
        <v>1156</v>
      </c>
      <c r="C8155" s="13" t="s">
        <v>1157</v>
      </c>
      <c r="D8155" s="13" t="s">
        <v>179</v>
      </c>
      <c r="E8155" s="12" t="s">
        <v>50</v>
      </c>
      <c r="F8155" s="13"/>
      <c r="G8155" s="14">
        <v>16960</v>
      </c>
      <c r="H8155" s="13" t="s">
        <v>14364</v>
      </c>
      <c r="I8155" s="40" t="s">
        <v>18</v>
      </c>
      <c r="J8155" s="40" t="str">
        <f>HYPERLINK("https://stock.pstatic.net/stock-research/company/64/20251029_company_23651000.pdf","PDF")</f>
        <v>PDF</v>
      </c>
      <c r="K8155" s="12" t="s">
        <v>14365</v>
      </c>
    </row>
    <row r="8156" spans="1:12" x14ac:dyDescent="0.45">
      <c r="A8156" s="12" t="s">
        <v>14307</v>
      </c>
      <c r="B8156" s="12" t="s">
        <v>14366</v>
      </c>
      <c r="C8156" s="13" t="s">
        <v>14367</v>
      </c>
      <c r="D8156" s="13" t="s">
        <v>179</v>
      </c>
      <c r="E8156" s="12" t="s">
        <v>16</v>
      </c>
      <c r="F8156" s="14">
        <v>9500</v>
      </c>
      <c r="G8156" s="14">
        <v>6240</v>
      </c>
      <c r="H8156" s="13" t="s">
        <v>14368</v>
      </c>
      <c r="I8156" s="40" t="s">
        <v>18</v>
      </c>
      <c r="J8156" s="40" t="str">
        <f>HYPERLINK("https://stock.pstatic.net/stock-research/company/64/20251029_company_556670000.pdf","PDF")</f>
        <v>PDF</v>
      </c>
      <c r="K8156" s="12" t="s">
        <v>14369</v>
      </c>
      <c r="L8156" s="20">
        <v>0.52243589743589747</v>
      </c>
    </row>
    <row r="8157" spans="1:12" x14ac:dyDescent="0.45">
      <c r="A8157" s="12" t="s">
        <v>14307</v>
      </c>
      <c r="B8157" s="12" t="s">
        <v>1144</v>
      </c>
      <c r="C8157" s="13" t="s">
        <v>1145</v>
      </c>
      <c r="D8157" s="13" t="s">
        <v>179</v>
      </c>
      <c r="E8157" s="12" t="s">
        <v>50</v>
      </c>
      <c r="F8157" s="13"/>
      <c r="G8157" s="14">
        <v>108900</v>
      </c>
      <c r="H8157" s="13" t="s">
        <v>14370</v>
      </c>
      <c r="I8157" s="40" t="s">
        <v>18</v>
      </c>
      <c r="J8157" s="40" t="str">
        <f>HYPERLINK("https://stock.pstatic.net/stock-research/company/64/20251029_company_644648000.pdf","PDF")</f>
        <v>PDF</v>
      </c>
      <c r="K8157" s="12" t="s">
        <v>14371</v>
      </c>
    </row>
    <row r="8158" spans="1:12" x14ac:dyDescent="0.45">
      <c r="A8158" s="12" t="s">
        <v>14307</v>
      </c>
      <c r="B8158" s="12" t="s">
        <v>344</v>
      </c>
      <c r="C8158" s="13" t="s">
        <v>345</v>
      </c>
      <c r="D8158" s="13" t="s">
        <v>179</v>
      </c>
      <c r="E8158" s="12" t="s">
        <v>16</v>
      </c>
      <c r="F8158" s="14">
        <v>13000</v>
      </c>
      <c r="G8158" s="14">
        <v>9320</v>
      </c>
      <c r="H8158" s="13" t="s">
        <v>14372</v>
      </c>
      <c r="I8158" s="40" t="s">
        <v>18</v>
      </c>
      <c r="J8158" s="40" t="str">
        <f>HYPERLINK("https://stock.pstatic.net/stock-research/company/64/20251029_company_455968000.pdf","PDF")</f>
        <v>PDF</v>
      </c>
      <c r="K8158" s="12" t="s">
        <v>14373</v>
      </c>
      <c r="L8158" s="20">
        <v>0.39484978540772531</v>
      </c>
    </row>
    <row r="8159" spans="1:12" x14ac:dyDescent="0.45">
      <c r="A8159" s="12" t="s">
        <v>14307</v>
      </c>
      <c r="B8159" s="12" t="s">
        <v>3164</v>
      </c>
      <c r="C8159" s="13" t="s">
        <v>3165</v>
      </c>
      <c r="D8159" s="13" t="s">
        <v>179</v>
      </c>
      <c r="E8159" s="12" t="s">
        <v>50</v>
      </c>
      <c r="F8159" s="13"/>
      <c r="G8159" s="14">
        <v>68900</v>
      </c>
      <c r="H8159" s="13" t="s">
        <v>14374</v>
      </c>
      <c r="I8159" s="40" t="s">
        <v>18</v>
      </c>
      <c r="J8159" s="40" t="str">
        <f>HYPERLINK("https://stock.pstatic.net/stock-research/company/64/20251029_company_633497000.pdf","PDF")</f>
        <v>PDF</v>
      </c>
      <c r="K8159" s="12" t="s">
        <v>14375</v>
      </c>
    </row>
    <row r="8160" spans="1:12" x14ac:dyDescent="0.45">
      <c r="A8160" s="12" t="s">
        <v>14307</v>
      </c>
      <c r="B8160" s="12" t="s">
        <v>1741</v>
      </c>
      <c r="C8160" s="13" t="s">
        <v>1742</v>
      </c>
      <c r="D8160" s="13" t="s">
        <v>179</v>
      </c>
      <c r="E8160" s="12" t="s">
        <v>16</v>
      </c>
      <c r="F8160" s="14">
        <v>85000</v>
      </c>
      <c r="G8160" s="14">
        <v>47500</v>
      </c>
      <c r="H8160" s="13" t="s">
        <v>14376</v>
      </c>
      <c r="I8160" s="40" t="s">
        <v>18</v>
      </c>
      <c r="J8160" s="40" t="str">
        <f>HYPERLINK("https://stock.pstatic.net/stock-research/company/64/20251029_company_969809000.pdf","PDF")</f>
        <v>PDF</v>
      </c>
      <c r="K8160" s="12" t="s">
        <v>14377</v>
      </c>
      <c r="L8160" s="20">
        <v>0.78947368421052633</v>
      </c>
    </row>
    <row r="8161" spans="1:12" x14ac:dyDescent="0.45">
      <c r="A8161" s="12" t="s">
        <v>14307</v>
      </c>
      <c r="B8161" s="12" t="s">
        <v>10852</v>
      </c>
      <c r="C8161" s="13" t="s">
        <v>10853</v>
      </c>
      <c r="D8161" s="13" t="s">
        <v>179</v>
      </c>
      <c r="E8161" s="12" t="s">
        <v>50</v>
      </c>
      <c r="F8161" s="13"/>
      <c r="G8161" s="14">
        <v>16400</v>
      </c>
      <c r="H8161" s="13" t="s">
        <v>14378</v>
      </c>
      <c r="I8161" s="40" t="s">
        <v>18</v>
      </c>
      <c r="J8161" s="40" t="str">
        <f>HYPERLINK("https://stock.pstatic.net/stock-research/company/64/20251029_company_561761000.pdf","PDF")</f>
        <v>PDF</v>
      </c>
      <c r="K8161" s="12" t="s">
        <v>14379</v>
      </c>
    </row>
    <row r="8162" spans="1:12" x14ac:dyDescent="0.45">
      <c r="A8162" s="12" t="s">
        <v>14307</v>
      </c>
      <c r="B8162" s="12" t="s">
        <v>7151</v>
      </c>
      <c r="C8162" s="13" t="s">
        <v>7152</v>
      </c>
      <c r="D8162" s="13" t="s">
        <v>179</v>
      </c>
      <c r="E8162" s="12" t="s">
        <v>50</v>
      </c>
      <c r="F8162" s="13"/>
      <c r="G8162" s="14">
        <v>30250</v>
      </c>
      <c r="H8162" s="13" t="s">
        <v>14380</v>
      </c>
      <c r="I8162" s="40" t="s">
        <v>18</v>
      </c>
      <c r="J8162" s="40" t="str">
        <f>HYPERLINK("https://stock.pstatic.net/stock-research/company/64/20251029_company_295865000.pdf","PDF")</f>
        <v>PDF</v>
      </c>
      <c r="K8162" s="12" t="s">
        <v>14381</v>
      </c>
    </row>
    <row r="8163" spans="1:12" x14ac:dyDescent="0.45">
      <c r="A8163" s="12" t="s">
        <v>14307</v>
      </c>
      <c r="B8163" s="12" t="s">
        <v>860</v>
      </c>
      <c r="C8163" s="13" t="s">
        <v>861</v>
      </c>
      <c r="D8163" s="13" t="s">
        <v>179</v>
      </c>
      <c r="E8163" s="12" t="s">
        <v>50</v>
      </c>
      <c r="F8163" s="13"/>
      <c r="G8163" s="14">
        <v>59100</v>
      </c>
      <c r="H8163" s="13" t="s">
        <v>14382</v>
      </c>
      <c r="I8163" s="40" t="s">
        <v>18</v>
      </c>
      <c r="J8163" s="40" t="str">
        <f>HYPERLINK("https://stock.pstatic.net/stock-research/company/64/20251029_company_615539000.pdf","PDF")</f>
        <v>PDF</v>
      </c>
      <c r="K8163" s="12" t="s">
        <v>14383</v>
      </c>
    </row>
    <row r="8164" spans="1:12" x14ac:dyDescent="0.45">
      <c r="A8164" s="12" t="s">
        <v>14307</v>
      </c>
      <c r="B8164" s="12" t="s">
        <v>14384</v>
      </c>
      <c r="C8164" s="13" t="s">
        <v>14385</v>
      </c>
      <c r="D8164" s="13" t="s">
        <v>179</v>
      </c>
      <c r="E8164" s="12" t="s">
        <v>16</v>
      </c>
      <c r="F8164" s="14">
        <v>2150</v>
      </c>
      <c r="G8164" s="14">
        <v>1797</v>
      </c>
      <c r="H8164" s="13" t="s">
        <v>14386</v>
      </c>
      <c r="I8164" s="40" t="s">
        <v>18</v>
      </c>
      <c r="J8164" s="40" t="str">
        <f>HYPERLINK("https://stock.pstatic.net/stock-research/company/64/20251029_company_533862000.pdf","PDF")</f>
        <v>PDF</v>
      </c>
      <c r="K8164" s="12" t="s">
        <v>14387</v>
      </c>
      <c r="L8164" s="20">
        <v>0.1964385086254869</v>
      </c>
    </row>
    <row r="8165" spans="1:12" x14ac:dyDescent="0.45">
      <c r="A8165" s="12" t="s">
        <v>14307</v>
      </c>
      <c r="B8165" s="12" t="s">
        <v>5355</v>
      </c>
      <c r="C8165" s="13" t="s">
        <v>5356</v>
      </c>
      <c r="D8165" s="13" t="s">
        <v>179</v>
      </c>
      <c r="E8165" s="12" t="s">
        <v>50</v>
      </c>
      <c r="F8165" s="13"/>
      <c r="G8165" s="14">
        <v>51100</v>
      </c>
      <c r="H8165" s="13" t="s">
        <v>14388</v>
      </c>
      <c r="I8165" s="40" t="s">
        <v>18</v>
      </c>
      <c r="J8165" s="40" t="str">
        <f>HYPERLINK("https://stock.pstatic.net/stock-research/company/64/20251029_company_469792000.pdf","PDF")</f>
        <v>PDF</v>
      </c>
      <c r="K8165" s="12" t="s">
        <v>14389</v>
      </c>
    </row>
    <row r="8166" spans="1:12" x14ac:dyDescent="0.45">
      <c r="A8166" s="12" t="s">
        <v>14307</v>
      </c>
      <c r="B8166" s="12" t="s">
        <v>2950</v>
      </c>
      <c r="C8166" s="13" t="s">
        <v>2951</v>
      </c>
      <c r="D8166" s="13" t="s">
        <v>179</v>
      </c>
      <c r="E8166" s="12" t="s">
        <v>50</v>
      </c>
      <c r="F8166" s="13"/>
      <c r="G8166" s="14">
        <v>86400</v>
      </c>
      <c r="H8166" s="13" t="s">
        <v>14390</v>
      </c>
      <c r="I8166" s="40" t="s">
        <v>18</v>
      </c>
      <c r="J8166" s="40" t="str">
        <f>HYPERLINK("https://stock.pstatic.net/stock-research/company/64/20251029_company_947632000.pdf","PDF")</f>
        <v>PDF</v>
      </c>
      <c r="K8166" s="12" t="s">
        <v>14391</v>
      </c>
    </row>
    <row r="8167" spans="1:12" x14ac:dyDescent="0.45">
      <c r="A8167" s="12" t="s">
        <v>14307</v>
      </c>
      <c r="B8167" s="12" t="s">
        <v>1081</v>
      </c>
      <c r="C8167" s="13" t="s">
        <v>1082</v>
      </c>
      <c r="D8167" s="13" t="s">
        <v>92</v>
      </c>
      <c r="E8167" s="12" t="s">
        <v>35</v>
      </c>
      <c r="F8167" s="14">
        <v>1700000</v>
      </c>
      <c r="G8167" s="14">
        <v>1232000</v>
      </c>
      <c r="H8167" s="13" t="s">
        <v>14392</v>
      </c>
      <c r="I8167" s="40" t="s">
        <v>18</v>
      </c>
      <c r="J8167" s="40" t="str">
        <f>HYPERLINK("https://stock.pstatic.net/stock-research/company/63/20251029_company_381726000.pdf","PDF")</f>
        <v>PDF</v>
      </c>
      <c r="K8167" s="12" t="s">
        <v>14393</v>
      </c>
      <c r="L8167" s="20">
        <v>0.37987012987012991</v>
      </c>
    </row>
    <row r="8168" spans="1:12" x14ac:dyDescent="0.45">
      <c r="A8168" s="12" t="s">
        <v>14307</v>
      </c>
      <c r="B8168" s="12" t="s">
        <v>2369</v>
      </c>
      <c r="C8168" s="13" t="s">
        <v>2370</v>
      </c>
      <c r="D8168" s="13" t="s">
        <v>34</v>
      </c>
      <c r="E8168" s="12" t="s">
        <v>35</v>
      </c>
      <c r="F8168" s="14">
        <v>400000</v>
      </c>
      <c r="G8168" s="14">
        <v>312000</v>
      </c>
      <c r="H8168" s="13" t="s">
        <v>8518</v>
      </c>
      <c r="I8168" s="40" t="s">
        <v>18</v>
      </c>
      <c r="J8168" s="40" t="str">
        <f>HYPERLINK("https://stock.pstatic.net/stock-research/company/61/20251029_company_231050000.pdf","PDF")</f>
        <v>PDF</v>
      </c>
      <c r="K8168" s="12" t="s">
        <v>14394</v>
      </c>
      <c r="L8168" s="20">
        <v>0.28205128205128199</v>
      </c>
    </row>
    <row r="8169" spans="1:12" x14ac:dyDescent="0.45">
      <c r="A8169" s="12" t="s">
        <v>14307</v>
      </c>
      <c r="B8169" s="12" t="s">
        <v>3349</v>
      </c>
      <c r="C8169" s="13" t="s">
        <v>7707</v>
      </c>
      <c r="D8169" s="13" t="s">
        <v>34</v>
      </c>
      <c r="E8169" s="12" t="s">
        <v>35</v>
      </c>
      <c r="F8169" s="14">
        <v>28000</v>
      </c>
      <c r="G8169" s="14">
        <v>20050</v>
      </c>
      <c r="H8169" s="13" t="s">
        <v>14395</v>
      </c>
      <c r="I8169" s="40" t="s">
        <v>18</v>
      </c>
      <c r="J8169" s="40" t="str">
        <f>HYPERLINK("https://stock.pstatic.net/stock-research/company/61/20251029_company_113628000.pdf","PDF")</f>
        <v>PDF</v>
      </c>
      <c r="K8169" s="12" t="s">
        <v>14396</v>
      </c>
      <c r="L8169" s="20">
        <v>0.39650872817955107</v>
      </c>
    </row>
    <row r="8170" spans="1:12" x14ac:dyDescent="0.45">
      <c r="A8170" s="12" t="s">
        <v>14307</v>
      </c>
      <c r="B8170" s="12" t="s">
        <v>1081</v>
      </c>
      <c r="C8170" s="13" t="s">
        <v>1082</v>
      </c>
      <c r="D8170" s="13" t="s">
        <v>34</v>
      </c>
      <c r="E8170" s="12" t="s">
        <v>35</v>
      </c>
      <c r="F8170" s="14">
        <v>1400000</v>
      </c>
      <c r="G8170" s="14">
        <v>1232000</v>
      </c>
      <c r="H8170" s="13" t="s">
        <v>14397</v>
      </c>
      <c r="I8170" s="40" t="s">
        <v>18</v>
      </c>
      <c r="J8170" s="40" t="str">
        <f>HYPERLINK("https://stock.pstatic.net/stock-research/company/61/20251029_company_140646000.pdf","PDF")</f>
        <v>PDF</v>
      </c>
      <c r="K8170" s="12" t="s">
        <v>14398</v>
      </c>
      <c r="L8170" s="20">
        <v>0.13636363636363641</v>
      </c>
    </row>
    <row r="8171" spans="1:12" x14ac:dyDescent="0.45">
      <c r="A8171" s="12" t="s">
        <v>14307</v>
      </c>
      <c r="B8171" s="12" t="s">
        <v>3138</v>
      </c>
      <c r="C8171" s="13" t="s">
        <v>3139</v>
      </c>
      <c r="D8171" s="13" t="s">
        <v>92</v>
      </c>
      <c r="E8171" s="12" t="s">
        <v>35</v>
      </c>
      <c r="F8171" s="14">
        <v>16000</v>
      </c>
      <c r="G8171" s="14">
        <v>9280</v>
      </c>
      <c r="H8171" s="13" t="s">
        <v>14399</v>
      </c>
      <c r="I8171" s="40" t="s">
        <v>18</v>
      </c>
      <c r="J8171" s="40" t="str">
        <f>HYPERLINK("https://stock.pstatic.net/stock-research/company/63/20251029_company_396837000.pdf","PDF")</f>
        <v>PDF</v>
      </c>
      <c r="K8171" s="12" t="s">
        <v>14400</v>
      </c>
      <c r="L8171" s="20">
        <v>0.72413793103448276</v>
      </c>
    </row>
    <row r="8172" spans="1:12" x14ac:dyDescent="0.45">
      <c r="A8172" s="12" t="s">
        <v>14307</v>
      </c>
      <c r="B8172" s="12" t="s">
        <v>72</v>
      </c>
      <c r="C8172" s="13" t="s">
        <v>73</v>
      </c>
      <c r="D8172" s="13" t="s">
        <v>92</v>
      </c>
      <c r="E8172" s="12" t="s">
        <v>35</v>
      </c>
      <c r="F8172" s="14">
        <v>270000</v>
      </c>
      <c r="G8172" s="14">
        <v>207000</v>
      </c>
      <c r="H8172" s="13" t="s">
        <v>14401</v>
      </c>
      <c r="I8172" s="40" t="s">
        <v>18</v>
      </c>
      <c r="J8172" s="40" t="str">
        <f>HYPERLINK("https://stock.pstatic.net/stock-research/company/63/20251029_company_995415000.pdf","PDF")</f>
        <v>PDF</v>
      </c>
      <c r="K8172" s="12" t="s">
        <v>14402</v>
      </c>
      <c r="L8172" s="20">
        <v>0.30434782608695649</v>
      </c>
    </row>
    <row r="8173" spans="1:12" x14ac:dyDescent="0.45">
      <c r="A8173" s="12" t="s">
        <v>14307</v>
      </c>
      <c r="B8173" s="12" t="s">
        <v>585</v>
      </c>
      <c r="C8173" s="13" t="s">
        <v>586</v>
      </c>
      <c r="D8173" s="13" t="s">
        <v>179</v>
      </c>
      <c r="E8173" s="12" t="s">
        <v>50</v>
      </c>
      <c r="F8173" s="13"/>
      <c r="G8173" s="14">
        <v>52100</v>
      </c>
      <c r="H8173" s="13" t="s">
        <v>14403</v>
      </c>
      <c r="I8173" s="40" t="s">
        <v>18</v>
      </c>
      <c r="J8173" s="40" t="str">
        <f>HYPERLINK("https://stock.pstatic.net/stock-research/company/64/20251029_company_874147000.pdf","PDF")</f>
        <v>PDF</v>
      </c>
      <c r="K8173" s="12" t="s">
        <v>14404</v>
      </c>
    </row>
    <row r="8174" spans="1:12" x14ac:dyDescent="0.45">
      <c r="A8174" s="12" t="s">
        <v>14307</v>
      </c>
      <c r="B8174" s="12" t="s">
        <v>3403</v>
      </c>
      <c r="C8174" s="13" t="s">
        <v>3404</v>
      </c>
      <c r="D8174" s="13" t="s">
        <v>53</v>
      </c>
      <c r="E8174" s="12" t="s">
        <v>16</v>
      </c>
      <c r="F8174" s="14">
        <v>55000</v>
      </c>
      <c r="G8174" s="14">
        <v>46700</v>
      </c>
      <c r="H8174" s="13" t="s">
        <v>14405</v>
      </c>
      <c r="I8174" s="40" t="s">
        <v>18</v>
      </c>
      <c r="J8174" s="40" t="str">
        <f>HYPERLINK("https://stock.pstatic.net/stock-research/company/40/20251029_company_571844000.pdf","PDF")</f>
        <v>PDF</v>
      </c>
      <c r="K8174" s="12" t="s">
        <v>14406</v>
      </c>
      <c r="L8174" s="20">
        <v>0.17773019271948609</v>
      </c>
    </row>
    <row r="8175" spans="1:12" x14ac:dyDescent="0.45">
      <c r="A8175" s="12" t="s">
        <v>14307</v>
      </c>
      <c r="B8175" s="12" t="s">
        <v>792</v>
      </c>
      <c r="C8175" s="13" t="s">
        <v>793</v>
      </c>
      <c r="D8175" s="13" t="s">
        <v>179</v>
      </c>
      <c r="E8175" s="12" t="s">
        <v>50</v>
      </c>
      <c r="F8175" s="13"/>
      <c r="G8175" s="14">
        <v>40800</v>
      </c>
      <c r="H8175" s="13" t="s">
        <v>14407</v>
      </c>
      <c r="I8175" s="40" t="s">
        <v>18</v>
      </c>
      <c r="J8175" s="40" t="str">
        <f>HYPERLINK("https://stock.pstatic.net/stock-research/company/64/20251029_company_471883000.pdf","PDF")</f>
        <v>PDF</v>
      </c>
      <c r="K8175" s="12" t="s">
        <v>14408</v>
      </c>
    </row>
    <row r="8176" spans="1:12" x14ac:dyDescent="0.45">
      <c r="A8176" s="12" t="s">
        <v>14307</v>
      </c>
      <c r="B8176" s="12" t="s">
        <v>2369</v>
      </c>
      <c r="C8176" s="13" t="s">
        <v>2370</v>
      </c>
      <c r="D8176" s="13" t="s">
        <v>15</v>
      </c>
      <c r="E8176" s="12" t="s">
        <v>16</v>
      </c>
      <c r="F8176" s="14">
        <v>450000</v>
      </c>
      <c r="G8176" s="14">
        <v>312000</v>
      </c>
      <c r="H8176" s="13" t="s">
        <v>14409</v>
      </c>
      <c r="I8176" s="40" t="s">
        <v>18</v>
      </c>
      <c r="J8176" s="40" t="str">
        <f>HYPERLINK("https://stock.pstatic.net/stock-research/company/29/20251029_company_508177000.pdf","PDF")</f>
        <v>PDF</v>
      </c>
      <c r="K8176" s="12" t="s">
        <v>14410</v>
      </c>
      <c r="L8176" s="20">
        <v>0.44230769230769229</v>
      </c>
    </row>
    <row r="8177" spans="1:12" x14ac:dyDescent="0.45">
      <c r="A8177" s="12" t="s">
        <v>14307</v>
      </c>
      <c r="B8177" s="12" t="s">
        <v>1912</v>
      </c>
      <c r="C8177" s="13" t="s">
        <v>7834</v>
      </c>
      <c r="D8177" s="13" t="s">
        <v>23</v>
      </c>
      <c r="E8177" s="12" t="s">
        <v>50</v>
      </c>
      <c r="F8177" s="13"/>
      <c r="G8177" s="14">
        <v>77800</v>
      </c>
      <c r="H8177" s="13" t="s">
        <v>14411</v>
      </c>
      <c r="I8177" s="40" t="s">
        <v>18</v>
      </c>
      <c r="J8177" s="40" t="str">
        <f>HYPERLINK("https://stock.pstatic.net/stock-research/company/21/20251029_company_455008000.pdf","PDF")</f>
        <v>PDF</v>
      </c>
      <c r="K8177" s="12" t="s">
        <v>14412</v>
      </c>
    </row>
    <row r="8178" spans="1:12" x14ac:dyDescent="0.45">
      <c r="A8178" s="12" t="s">
        <v>14307</v>
      </c>
      <c r="B8178" s="12" t="s">
        <v>3482</v>
      </c>
      <c r="C8178" s="13" t="s">
        <v>3483</v>
      </c>
      <c r="D8178" s="13" t="s">
        <v>23</v>
      </c>
      <c r="E8178" s="12" t="s">
        <v>16</v>
      </c>
      <c r="F8178" s="14">
        <v>105000</v>
      </c>
      <c r="G8178" s="14">
        <v>87900</v>
      </c>
      <c r="H8178" s="13" t="s">
        <v>14413</v>
      </c>
      <c r="I8178" s="40" t="s">
        <v>18</v>
      </c>
      <c r="J8178" s="40" t="str">
        <f>HYPERLINK("https://stock.pstatic.net/stock-research/company/21/20251029_company_709167000.pdf","PDF")</f>
        <v>PDF</v>
      </c>
      <c r="K8178" s="12" t="s">
        <v>14414</v>
      </c>
      <c r="L8178" s="20">
        <v>0.19453924914675769</v>
      </c>
    </row>
    <row r="8179" spans="1:12" x14ac:dyDescent="0.45">
      <c r="A8179" s="12" t="s">
        <v>14307</v>
      </c>
      <c r="B8179" s="12" t="s">
        <v>1694</v>
      </c>
      <c r="C8179" s="13" t="s">
        <v>1695</v>
      </c>
      <c r="D8179" s="13" t="s">
        <v>44</v>
      </c>
      <c r="E8179" s="12" t="s">
        <v>35</v>
      </c>
      <c r="F8179" s="14">
        <v>69000</v>
      </c>
      <c r="G8179" s="14">
        <v>50600</v>
      </c>
      <c r="H8179" s="13" t="s">
        <v>14415</v>
      </c>
      <c r="I8179" s="40" t="s">
        <v>18</v>
      </c>
      <c r="J8179" s="40" t="str">
        <f>HYPERLINK("https://stock.pstatic.net/stock-research/company/39/20251029_company_470304000.pdf","PDF")</f>
        <v>PDF</v>
      </c>
      <c r="K8179" s="12" t="s">
        <v>14416</v>
      </c>
      <c r="L8179" s="20">
        <v>0.36363636363636359</v>
      </c>
    </row>
    <row r="8180" spans="1:12" x14ac:dyDescent="0.45">
      <c r="A8180" s="12" t="s">
        <v>14307</v>
      </c>
      <c r="B8180" s="12" t="s">
        <v>1081</v>
      </c>
      <c r="C8180" s="13" t="s">
        <v>1082</v>
      </c>
      <c r="D8180" s="13" t="s">
        <v>23</v>
      </c>
      <c r="E8180" s="12" t="s">
        <v>16</v>
      </c>
      <c r="F8180" s="14">
        <v>1350000</v>
      </c>
      <c r="G8180" s="14">
        <v>1232000</v>
      </c>
      <c r="H8180" s="13" t="s">
        <v>14417</v>
      </c>
      <c r="I8180" s="40" t="s">
        <v>18</v>
      </c>
      <c r="J8180" s="40" t="str">
        <f>HYPERLINK("https://stock.pstatic.net/stock-research/company/21/20251029_company_203072000.pdf","PDF")</f>
        <v>PDF</v>
      </c>
      <c r="K8180" s="12" t="s">
        <v>14418</v>
      </c>
      <c r="L8180" s="20">
        <v>9.5779220779220783E-2</v>
      </c>
    </row>
    <row r="8181" spans="1:12" x14ac:dyDescent="0.45">
      <c r="A8181" s="12" t="s">
        <v>14307</v>
      </c>
      <c r="B8181" s="12" t="s">
        <v>72</v>
      </c>
      <c r="C8181" s="13" t="s">
        <v>73</v>
      </c>
      <c r="D8181" s="13" t="s">
        <v>23</v>
      </c>
      <c r="E8181" s="12" t="s">
        <v>16</v>
      </c>
      <c r="F8181" s="14">
        <v>270000</v>
      </c>
      <c r="G8181" s="14">
        <v>207000</v>
      </c>
      <c r="H8181" s="13" t="s">
        <v>14419</v>
      </c>
      <c r="I8181" s="40" t="s">
        <v>18</v>
      </c>
      <c r="J8181" s="40" t="str">
        <f>HYPERLINK("https://stock.pstatic.net/stock-research/company/21/20251029_company_430142000.pdf","PDF")</f>
        <v>PDF</v>
      </c>
      <c r="K8181" s="12" t="s">
        <v>14420</v>
      </c>
      <c r="L8181" s="20">
        <v>0.30434782608695649</v>
      </c>
    </row>
    <row r="8182" spans="1:12" x14ac:dyDescent="0.45">
      <c r="A8182" s="12" t="s">
        <v>14307</v>
      </c>
      <c r="B8182" s="12" t="s">
        <v>3369</v>
      </c>
      <c r="C8182" s="13" t="s">
        <v>3370</v>
      </c>
      <c r="D8182" s="13" t="s">
        <v>23</v>
      </c>
      <c r="E8182" s="12" t="s">
        <v>16</v>
      </c>
      <c r="F8182" s="14">
        <v>27000</v>
      </c>
      <c r="G8182" s="14">
        <v>21950</v>
      </c>
      <c r="H8182" s="13" t="s">
        <v>14421</v>
      </c>
      <c r="I8182" s="40" t="s">
        <v>18</v>
      </c>
      <c r="J8182" s="40" t="str">
        <f>HYPERLINK("https://stock.pstatic.net/stock-research/company/21/20251029_company_900088000.pdf","PDF")</f>
        <v>PDF</v>
      </c>
      <c r="K8182" s="12" t="s">
        <v>14422</v>
      </c>
      <c r="L8182" s="20">
        <v>0.23006833712984051</v>
      </c>
    </row>
    <row r="8183" spans="1:12" x14ac:dyDescent="0.45">
      <c r="A8183" s="12" t="s">
        <v>14307</v>
      </c>
      <c r="B8183" s="12" t="s">
        <v>3349</v>
      </c>
      <c r="C8183" s="13" t="s">
        <v>7707</v>
      </c>
      <c r="D8183" s="13" t="s">
        <v>23</v>
      </c>
      <c r="E8183" s="12" t="s">
        <v>16</v>
      </c>
      <c r="F8183" s="14">
        <v>29000</v>
      </c>
      <c r="G8183" s="14">
        <v>20050</v>
      </c>
      <c r="H8183" s="13" t="s">
        <v>14423</v>
      </c>
      <c r="I8183" s="40" t="s">
        <v>18</v>
      </c>
      <c r="J8183" s="40" t="str">
        <f>HYPERLINK("https://stock.pstatic.net/stock-research/company/21/20251029_company_920484000.pdf","PDF")</f>
        <v>PDF</v>
      </c>
      <c r="K8183" s="12" t="s">
        <v>14424</v>
      </c>
      <c r="L8183" s="20">
        <v>0.44638403990024939</v>
      </c>
    </row>
    <row r="8184" spans="1:12" x14ac:dyDescent="0.45">
      <c r="A8184" s="12" t="s">
        <v>14307</v>
      </c>
      <c r="B8184" s="12" t="s">
        <v>5359</v>
      </c>
      <c r="C8184" s="13" t="s">
        <v>5360</v>
      </c>
      <c r="D8184" s="13" t="s">
        <v>44</v>
      </c>
      <c r="E8184" s="12" t="s">
        <v>50</v>
      </c>
      <c r="F8184" s="13"/>
      <c r="G8184" s="14">
        <v>15870</v>
      </c>
      <c r="H8184" s="13" t="s">
        <v>14425</v>
      </c>
      <c r="I8184" s="40" t="s">
        <v>18</v>
      </c>
      <c r="J8184" s="40" t="str">
        <f>HYPERLINK("https://stock.pstatic.net/stock-research/company/39/20251029_company_461926000.pdf","PDF")</f>
        <v>PDF</v>
      </c>
      <c r="K8184" s="12" t="s">
        <v>14426</v>
      </c>
    </row>
    <row r="8185" spans="1:12" x14ac:dyDescent="0.45">
      <c r="A8185" s="12" t="s">
        <v>14307</v>
      </c>
      <c r="B8185" s="12" t="s">
        <v>3349</v>
      </c>
      <c r="C8185" s="13" t="s">
        <v>7707</v>
      </c>
      <c r="D8185" s="13" t="s">
        <v>44</v>
      </c>
      <c r="E8185" s="12" t="s">
        <v>35</v>
      </c>
      <c r="F8185" s="14">
        <v>34000</v>
      </c>
      <c r="G8185" s="14">
        <v>20500</v>
      </c>
      <c r="H8185" s="13" t="s">
        <v>14427</v>
      </c>
      <c r="I8185" s="40" t="s">
        <v>18</v>
      </c>
      <c r="J8185" s="40" t="str">
        <f>HYPERLINK("https://stock.pstatic.net/stock-research/company/39/20251029_company_360438000.pdf","PDF")</f>
        <v>PDF</v>
      </c>
      <c r="K8185" s="12" t="s">
        <v>14428</v>
      </c>
      <c r="L8185" s="20">
        <v>0.65853658536585369</v>
      </c>
    </row>
    <row r="8186" spans="1:12" x14ac:dyDescent="0.45">
      <c r="A8186" s="12" t="s">
        <v>14307</v>
      </c>
      <c r="B8186" s="12" t="s">
        <v>3369</v>
      </c>
      <c r="C8186" s="13" t="s">
        <v>3370</v>
      </c>
      <c r="D8186" s="13" t="s">
        <v>44</v>
      </c>
      <c r="E8186" s="12" t="s">
        <v>35</v>
      </c>
      <c r="F8186" s="14">
        <v>32000</v>
      </c>
      <c r="G8186" s="14">
        <v>21950</v>
      </c>
      <c r="H8186" s="13" t="s">
        <v>14429</v>
      </c>
      <c r="I8186" s="40" t="s">
        <v>18</v>
      </c>
      <c r="J8186" s="40" t="str">
        <f>HYPERLINK("https://stock.pstatic.net/stock-research/company/39/20251029_company_686175000.pdf","PDF")</f>
        <v>PDF</v>
      </c>
      <c r="K8186" s="12" t="s">
        <v>14430</v>
      </c>
      <c r="L8186" s="20">
        <v>0.45785876993166291</v>
      </c>
    </row>
    <row r="8187" spans="1:12" x14ac:dyDescent="0.45">
      <c r="A8187" s="12" t="s">
        <v>14307</v>
      </c>
      <c r="B8187" s="12" t="s">
        <v>2369</v>
      </c>
      <c r="C8187" s="13" t="s">
        <v>2370</v>
      </c>
      <c r="D8187" s="13" t="s">
        <v>53</v>
      </c>
      <c r="E8187" s="12" t="s">
        <v>16</v>
      </c>
      <c r="F8187" s="14">
        <v>360000</v>
      </c>
      <c r="G8187" s="14">
        <v>312000</v>
      </c>
      <c r="H8187" s="13" t="s">
        <v>14431</v>
      </c>
      <c r="I8187" s="40" t="s">
        <v>18</v>
      </c>
      <c r="J8187" s="40" t="str">
        <f>HYPERLINK("https://stock.pstatic.net/stock-research/company/40/20251029_company_610466000.pdf","PDF")</f>
        <v>PDF</v>
      </c>
      <c r="K8187" s="12" t="s">
        <v>14432</v>
      </c>
      <c r="L8187" s="20">
        <v>0.15384615384615391</v>
      </c>
    </row>
    <row r="8188" spans="1:12" x14ac:dyDescent="0.45">
      <c r="A8188" s="12" t="s">
        <v>14307</v>
      </c>
      <c r="B8188" s="12" t="s">
        <v>3138</v>
      </c>
      <c r="C8188" s="13" t="s">
        <v>3139</v>
      </c>
      <c r="D8188" s="13" t="s">
        <v>53</v>
      </c>
      <c r="E8188" s="12" t="s">
        <v>16</v>
      </c>
      <c r="F8188" s="14">
        <v>11000</v>
      </c>
      <c r="G8188" s="14">
        <v>9280</v>
      </c>
      <c r="H8188" s="13" t="s">
        <v>14433</v>
      </c>
      <c r="I8188" s="40" t="s">
        <v>18</v>
      </c>
      <c r="J8188" s="40" t="str">
        <f>HYPERLINK("https://stock.pstatic.net/stock-research/company/40/20251029_company_988705000.pdf","PDF")</f>
        <v>PDF</v>
      </c>
      <c r="K8188" s="12" t="s">
        <v>14434</v>
      </c>
      <c r="L8188" s="20">
        <v>0.18534482758620691</v>
      </c>
    </row>
    <row r="8189" spans="1:12" x14ac:dyDescent="0.45">
      <c r="A8189" s="12" t="s">
        <v>14307</v>
      </c>
      <c r="B8189" s="12" t="s">
        <v>2369</v>
      </c>
      <c r="C8189" s="13" t="s">
        <v>2370</v>
      </c>
      <c r="D8189" s="13" t="s">
        <v>23</v>
      </c>
      <c r="E8189" s="12" t="s">
        <v>16</v>
      </c>
      <c r="F8189" s="14">
        <v>350000</v>
      </c>
      <c r="G8189" s="14">
        <v>312000</v>
      </c>
      <c r="H8189" s="13" t="s">
        <v>14435</v>
      </c>
      <c r="I8189" s="40" t="s">
        <v>18</v>
      </c>
      <c r="J8189" s="40" t="str">
        <f>HYPERLINK("https://stock.pstatic.net/stock-research/company/21/20251029_company_712457000.pdf","PDF")</f>
        <v>PDF</v>
      </c>
      <c r="K8189" s="12" t="s">
        <v>14436</v>
      </c>
      <c r="L8189" s="20">
        <v>0.12179487179487181</v>
      </c>
    </row>
    <row r="8190" spans="1:12" x14ac:dyDescent="0.45">
      <c r="A8190" s="12" t="s">
        <v>14307</v>
      </c>
      <c r="B8190" s="12" t="s">
        <v>3688</v>
      </c>
      <c r="C8190" s="13" t="s">
        <v>3689</v>
      </c>
      <c r="D8190" s="13" t="s">
        <v>44</v>
      </c>
      <c r="E8190" s="12" t="s">
        <v>35</v>
      </c>
      <c r="F8190" s="14">
        <v>95000</v>
      </c>
      <c r="G8190" s="14">
        <v>74000</v>
      </c>
      <c r="H8190" s="13" t="s">
        <v>14437</v>
      </c>
      <c r="I8190" s="40" t="s">
        <v>18</v>
      </c>
      <c r="J8190" s="40" t="str">
        <f>HYPERLINK("https://stock.pstatic.net/stock-research/company/39/20251029_company_866767000.pdf","PDF")</f>
        <v>PDF</v>
      </c>
      <c r="K8190" s="12" t="s">
        <v>14438</v>
      </c>
      <c r="L8190" s="20">
        <v>0.28378378378378383</v>
      </c>
    </row>
    <row r="8191" spans="1:12" x14ac:dyDescent="0.45">
      <c r="A8191" s="12" t="s">
        <v>14307</v>
      </c>
      <c r="B8191" s="12" t="s">
        <v>3482</v>
      </c>
      <c r="C8191" s="13" t="s">
        <v>3483</v>
      </c>
      <c r="D8191" s="13" t="s">
        <v>44</v>
      </c>
      <c r="E8191" s="12" t="s">
        <v>35</v>
      </c>
      <c r="F8191" s="14">
        <v>120000</v>
      </c>
      <c r="G8191" s="14">
        <v>87900</v>
      </c>
      <c r="H8191" s="13" t="s">
        <v>14439</v>
      </c>
      <c r="I8191" s="40" t="s">
        <v>18</v>
      </c>
      <c r="J8191" s="40" t="str">
        <f>HYPERLINK("https://stock.pstatic.net/stock-research/company/39/20251029_company_934729000.pdf","PDF")</f>
        <v>PDF</v>
      </c>
      <c r="K8191" s="12" t="s">
        <v>14440</v>
      </c>
      <c r="L8191" s="20">
        <v>0.3651877133105802</v>
      </c>
    </row>
    <row r="8192" spans="1:12" x14ac:dyDescent="0.45">
      <c r="A8192" s="12" t="s">
        <v>14307</v>
      </c>
      <c r="B8192" s="12" t="s">
        <v>1081</v>
      </c>
      <c r="C8192" s="13" t="s">
        <v>1082</v>
      </c>
      <c r="D8192" s="13" t="s">
        <v>44</v>
      </c>
      <c r="E8192" s="12" t="s">
        <v>50</v>
      </c>
      <c r="F8192" s="13"/>
      <c r="G8192" s="13"/>
      <c r="H8192" s="13" t="s">
        <v>14441</v>
      </c>
      <c r="I8192" s="40" t="s">
        <v>18</v>
      </c>
      <c r="J8192" s="40" t="str">
        <f>HYPERLINK("https://stock.pstatic.net/stock-research/company/39/20251029_company_135161000.pdf","PDF")</f>
        <v>PDF</v>
      </c>
      <c r="K8192" s="12" t="s">
        <v>14442</v>
      </c>
    </row>
    <row r="8193" spans="1:12" x14ac:dyDescent="0.45">
      <c r="A8193" s="12" t="s">
        <v>14307</v>
      </c>
      <c r="B8193" s="12" t="s">
        <v>136</v>
      </c>
      <c r="C8193" s="13" t="s">
        <v>137</v>
      </c>
      <c r="D8193" s="13" t="s">
        <v>124</v>
      </c>
      <c r="E8193" s="12" t="s">
        <v>50</v>
      </c>
      <c r="F8193" s="13"/>
      <c r="G8193" s="13"/>
      <c r="H8193" s="13" t="s">
        <v>14443</v>
      </c>
      <c r="I8193" s="40" t="s">
        <v>18</v>
      </c>
      <c r="J8193" s="40" t="str">
        <f>HYPERLINK("https://stock.pstatic.net/stock-research/company/74/20251029_company_695137000.pdf","PDF")</f>
        <v>PDF</v>
      </c>
      <c r="K8193" s="12" t="s">
        <v>14444</v>
      </c>
    </row>
    <row r="8194" spans="1:12" x14ac:dyDescent="0.45">
      <c r="A8194" s="12" t="s">
        <v>14307</v>
      </c>
      <c r="B8194" s="12" t="s">
        <v>14445</v>
      </c>
      <c r="C8194" s="13" t="s">
        <v>14446</v>
      </c>
      <c r="D8194" s="13" t="s">
        <v>124</v>
      </c>
      <c r="E8194" s="12" t="s">
        <v>50</v>
      </c>
      <c r="F8194" s="13"/>
      <c r="G8194" s="13"/>
      <c r="H8194" s="13" t="s">
        <v>14447</v>
      </c>
      <c r="I8194" s="40" t="s">
        <v>18</v>
      </c>
      <c r="J8194" s="40" t="str">
        <f>HYPERLINK("https://stock.pstatic.net/stock-research/company/74/20251029_company_657566000.pdf","PDF")</f>
        <v>PDF</v>
      </c>
      <c r="K8194" s="12" t="s">
        <v>14448</v>
      </c>
    </row>
    <row r="8195" spans="1:12" x14ac:dyDescent="0.45">
      <c r="A8195" s="12" t="s">
        <v>14307</v>
      </c>
      <c r="B8195" s="12" t="s">
        <v>6320</v>
      </c>
      <c r="C8195" s="13" t="s">
        <v>6321</v>
      </c>
      <c r="D8195" s="13" t="s">
        <v>124</v>
      </c>
      <c r="E8195" s="12" t="s">
        <v>50</v>
      </c>
      <c r="F8195" s="13"/>
      <c r="G8195" s="13"/>
      <c r="H8195" s="13" t="s">
        <v>14449</v>
      </c>
      <c r="I8195" s="40" t="s">
        <v>18</v>
      </c>
      <c r="J8195" s="40" t="str">
        <f>HYPERLINK("https://stock.pstatic.net/stock-research/company/74/20251029_company_649609000.pdf","PDF")</f>
        <v>PDF</v>
      </c>
      <c r="K8195" s="12" t="s">
        <v>14450</v>
      </c>
    </row>
    <row r="8196" spans="1:12" x14ac:dyDescent="0.45">
      <c r="A8196" s="12" t="s">
        <v>14307</v>
      </c>
      <c r="B8196" s="12" t="s">
        <v>11670</v>
      </c>
      <c r="C8196" s="13" t="s">
        <v>11671</v>
      </c>
      <c r="D8196" s="13" t="s">
        <v>124</v>
      </c>
      <c r="E8196" s="12" t="s">
        <v>50</v>
      </c>
      <c r="F8196" s="13"/>
      <c r="G8196" s="13"/>
      <c r="H8196" s="13" t="s">
        <v>14451</v>
      </c>
      <c r="I8196" s="40" t="s">
        <v>18</v>
      </c>
      <c r="J8196" s="40" t="str">
        <f>HYPERLINK("https://stock.pstatic.net/stock-research/company/74/20251030_company_724202000.pdf","PDF")</f>
        <v>PDF</v>
      </c>
      <c r="K8196" s="12" t="s">
        <v>14452</v>
      </c>
    </row>
    <row r="8197" spans="1:12" x14ac:dyDescent="0.45">
      <c r="A8197" s="12" t="s">
        <v>14307</v>
      </c>
      <c r="B8197" s="12" t="s">
        <v>489</v>
      </c>
      <c r="C8197" s="13" t="s">
        <v>490</v>
      </c>
      <c r="D8197" s="13" t="s">
        <v>92</v>
      </c>
      <c r="E8197" s="12" t="s">
        <v>35</v>
      </c>
      <c r="F8197" s="14">
        <v>69000</v>
      </c>
      <c r="G8197" s="14">
        <v>48950</v>
      </c>
      <c r="H8197" s="13" t="s">
        <v>14453</v>
      </c>
      <c r="I8197" s="40" t="s">
        <v>18</v>
      </c>
      <c r="J8197" s="40" t="str">
        <f>HYPERLINK("https://stock.pstatic.net/stock-research/company/63/20251029_company_86389000.pdf","PDF")</f>
        <v>PDF</v>
      </c>
      <c r="K8197" s="12" t="s">
        <v>14454</v>
      </c>
      <c r="L8197" s="20">
        <v>0.40960163432073537</v>
      </c>
    </row>
    <row r="8198" spans="1:12" x14ac:dyDescent="0.45">
      <c r="A8198" s="12" t="s">
        <v>14307</v>
      </c>
      <c r="B8198" s="12" t="s">
        <v>1176</v>
      </c>
      <c r="C8198" s="13" t="s">
        <v>1177</v>
      </c>
      <c r="D8198" s="13" t="s">
        <v>53</v>
      </c>
      <c r="E8198" s="12" t="s">
        <v>16</v>
      </c>
      <c r="F8198" s="14">
        <v>9500</v>
      </c>
      <c r="G8198" s="14">
        <v>8110</v>
      </c>
      <c r="H8198" s="13" t="s">
        <v>14455</v>
      </c>
      <c r="I8198" s="40" t="s">
        <v>18</v>
      </c>
      <c r="J8198" s="40" t="str">
        <f>HYPERLINK("https://stock.pstatic.net/stock-research/company/40/20251029_company_503732000.pdf","PDF")</f>
        <v>PDF</v>
      </c>
      <c r="K8198" s="12" t="s">
        <v>14456</v>
      </c>
      <c r="L8198" s="20">
        <v>0.1713933415536375</v>
      </c>
    </row>
    <row r="8199" spans="1:12" x14ac:dyDescent="0.45">
      <c r="A8199" s="12" t="s">
        <v>14307</v>
      </c>
      <c r="B8199" s="12" t="s">
        <v>3024</v>
      </c>
      <c r="C8199" s="13" t="s">
        <v>3025</v>
      </c>
      <c r="D8199" s="13" t="s">
        <v>44</v>
      </c>
      <c r="E8199" s="12" t="s">
        <v>35</v>
      </c>
      <c r="F8199" s="14">
        <v>70000</v>
      </c>
      <c r="G8199" s="14">
        <v>57300</v>
      </c>
      <c r="H8199" s="13" t="s">
        <v>14457</v>
      </c>
      <c r="I8199" s="40" t="s">
        <v>18</v>
      </c>
      <c r="J8199" s="40" t="str">
        <f>HYPERLINK("https://stock.pstatic.net/stock-research/company/39/20251029_company_398346000.pdf","PDF")</f>
        <v>PDF</v>
      </c>
      <c r="K8199" s="12" t="s">
        <v>14458</v>
      </c>
      <c r="L8199" s="20">
        <v>0.22164048865619551</v>
      </c>
    </row>
    <row r="8200" spans="1:12" x14ac:dyDescent="0.45">
      <c r="A8200" s="12" t="s">
        <v>14459</v>
      </c>
      <c r="B8200" s="12" t="s">
        <v>128</v>
      </c>
      <c r="C8200" s="13" t="s">
        <v>129</v>
      </c>
      <c r="D8200" s="13" t="s">
        <v>23</v>
      </c>
      <c r="E8200" s="12" t="s">
        <v>16</v>
      </c>
      <c r="F8200" s="14">
        <v>36000</v>
      </c>
      <c r="G8200" s="14">
        <v>27550</v>
      </c>
      <c r="H8200" s="13" t="s">
        <v>14460</v>
      </c>
      <c r="I8200" s="40" t="s">
        <v>18</v>
      </c>
      <c r="J8200" s="40" t="str">
        <f>HYPERLINK("https://stock.pstatic.net/stock-research/company/21/20251028_company_885002000.pdf","PDF")</f>
        <v>PDF</v>
      </c>
      <c r="K8200" s="12" t="s">
        <v>14461</v>
      </c>
      <c r="L8200" s="20">
        <v>0.30671506352087108</v>
      </c>
    </row>
    <row r="8201" spans="1:12" x14ac:dyDescent="0.45">
      <c r="A8201" s="12" t="s">
        <v>14459</v>
      </c>
      <c r="B8201" s="12" t="s">
        <v>398</v>
      </c>
      <c r="C8201" s="13" t="s">
        <v>399</v>
      </c>
      <c r="D8201" s="13" t="s">
        <v>57</v>
      </c>
      <c r="E8201" s="12" t="s">
        <v>159</v>
      </c>
      <c r="F8201" s="14">
        <v>210000</v>
      </c>
      <c r="G8201" s="14">
        <v>245500</v>
      </c>
      <c r="H8201" s="13" t="s">
        <v>14462</v>
      </c>
      <c r="I8201" s="40" t="s">
        <v>18</v>
      </c>
      <c r="J8201" s="40" t="str">
        <f>HYPERLINK("https://stock.pstatic.net/stock-research/company/16/20251028_company_51770000.pdf","PDF")</f>
        <v>PDF</v>
      </c>
      <c r="K8201" s="12" t="s">
        <v>14463</v>
      </c>
      <c r="L8201" s="20">
        <v>-0.14460285132382891</v>
      </c>
    </row>
    <row r="8202" spans="1:12" x14ac:dyDescent="0.45">
      <c r="A8202" s="12" t="s">
        <v>14459</v>
      </c>
      <c r="B8202" s="12" t="s">
        <v>2758</v>
      </c>
      <c r="C8202" s="13" t="s">
        <v>2759</v>
      </c>
      <c r="D8202" s="13" t="s">
        <v>57</v>
      </c>
      <c r="E8202" s="12" t="s">
        <v>35</v>
      </c>
      <c r="F8202" s="14">
        <v>490000</v>
      </c>
      <c r="G8202" s="14">
        <v>320000</v>
      </c>
      <c r="H8202" s="13" t="s">
        <v>14464</v>
      </c>
      <c r="I8202" s="40" t="s">
        <v>18</v>
      </c>
      <c r="J8202" s="40" t="str">
        <f>HYPERLINK("https://stock.pstatic.net/stock-research/company/16/20251028_company_978520000.pdf","PDF")</f>
        <v>PDF</v>
      </c>
      <c r="K8202" s="12" t="s">
        <v>14465</v>
      </c>
      <c r="L8202" s="20">
        <v>0.53125</v>
      </c>
    </row>
    <row r="8203" spans="1:12" x14ac:dyDescent="0.45">
      <c r="A8203" s="12" t="s">
        <v>14459</v>
      </c>
      <c r="B8203" s="12" t="s">
        <v>1936</v>
      </c>
      <c r="C8203" s="13" t="s">
        <v>1937</v>
      </c>
      <c r="D8203" s="13" t="s">
        <v>57</v>
      </c>
      <c r="E8203" s="12" t="s">
        <v>35</v>
      </c>
      <c r="F8203" s="14">
        <v>9300</v>
      </c>
      <c r="G8203" s="14">
        <v>6350</v>
      </c>
      <c r="H8203" s="13" t="s">
        <v>14466</v>
      </c>
      <c r="I8203" s="40" t="s">
        <v>18</v>
      </c>
      <c r="J8203" s="40" t="str">
        <f>HYPERLINK("https://stock.pstatic.net/stock-research/company/16/20251028_company_679324000.pdf","PDF")</f>
        <v>PDF</v>
      </c>
      <c r="K8203" s="12" t="s">
        <v>14467</v>
      </c>
      <c r="L8203" s="20">
        <v>0.46456692913385828</v>
      </c>
    </row>
    <row r="8204" spans="1:12" x14ac:dyDescent="0.45">
      <c r="A8204" s="12" t="s">
        <v>14459</v>
      </c>
      <c r="B8204" s="12" t="s">
        <v>398</v>
      </c>
      <c r="C8204" s="13" t="s">
        <v>399</v>
      </c>
      <c r="D8204" s="13" t="s">
        <v>276</v>
      </c>
      <c r="E8204" s="12" t="s">
        <v>16</v>
      </c>
      <c r="F8204" s="14">
        <v>290000</v>
      </c>
      <c r="G8204" s="14">
        <v>245500</v>
      </c>
      <c r="H8204" s="13" t="s">
        <v>14468</v>
      </c>
      <c r="I8204" s="40" t="s">
        <v>18</v>
      </c>
      <c r="J8204" s="40" t="str">
        <f>HYPERLINK("https://stock.pstatic.net/stock-research/company/66/20251028_company_758091000.pdf","PDF")</f>
        <v>PDF</v>
      </c>
      <c r="K8204" s="12" t="s">
        <v>14469</v>
      </c>
      <c r="L8204" s="20">
        <v>0.18126272912423619</v>
      </c>
    </row>
    <row r="8205" spans="1:12" x14ac:dyDescent="0.45">
      <c r="A8205" s="12" t="s">
        <v>14459</v>
      </c>
      <c r="B8205" s="12" t="s">
        <v>63</v>
      </c>
      <c r="C8205" s="13" t="s">
        <v>64</v>
      </c>
      <c r="D8205" s="13" t="s">
        <v>276</v>
      </c>
      <c r="E8205" s="12" t="s">
        <v>16</v>
      </c>
      <c r="F8205" s="14">
        <v>510000</v>
      </c>
      <c r="G8205" s="14">
        <v>428000</v>
      </c>
      <c r="H8205" s="13" t="s">
        <v>14470</v>
      </c>
      <c r="I8205" s="40" t="s">
        <v>18</v>
      </c>
      <c r="J8205" s="40" t="str">
        <f>HYPERLINK("https://stock.pstatic.net/stock-research/company/66/20251028_company_773996000.pdf","PDF")</f>
        <v>PDF</v>
      </c>
      <c r="K8205" s="12" t="s">
        <v>14471</v>
      </c>
      <c r="L8205" s="20">
        <v>0.19158878504672899</v>
      </c>
    </row>
    <row r="8206" spans="1:12" x14ac:dyDescent="0.45">
      <c r="A8206" s="12" t="s">
        <v>14459</v>
      </c>
      <c r="B8206" s="12" t="s">
        <v>1686</v>
      </c>
      <c r="C8206" s="13" t="s">
        <v>1687</v>
      </c>
      <c r="D8206" s="13" t="s">
        <v>60</v>
      </c>
      <c r="E8206" s="12" t="s">
        <v>35</v>
      </c>
      <c r="F8206" s="14">
        <v>1860000</v>
      </c>
      <c r="G8206" s="14">
        <v>1260000</v>
      </c>
      <c r="H8206" s="13" t="s">
        <v>14472</v>
      </c>
      <c r="I8206" s="40" t="s">
        <v>18</v>
      </c>
      <c r="J8206" s="40" t="str">
        <f>HYPERLINK("https://stock.pstatic.net/stock-research/company/34/20251028_company_726415000.pdf","PDF")</f>
        <v>PDF</v>
      </c>
      <c r="K8206" s="12" t="s">
        <v>14473</v>
      </c>
      <c r="L8206" s="20">
        <v>0.47619047619047622</v>
      </c>
    </row>
    <row r="8207" spans="1:12" x14ac:dyDescent="0.45">
      <c r="A8207" s="12" t="s">
        <v>14459</v>
      </c>
      <c r="B8207" s="12" t="s">
        <v>398</v>
      </c>
      <c r="C8207" s="13" t="s">
        <v>399</v>
      </c>
      <c r="D8207" s="13" t="s">
        <v>60</v>
      </c>
      <c r="E8207" s="12" t="s">
        <v>35</v>
      </c>
      <c r="F8207" s="14">
        <v>280000</v>
      </c>
      <c r="G8207" s="14">
        <v>245500</v>
      </c>
      <c r="H8207" s="13" t="s">
        <v>14474</v>
      </c>
      <c r="I8207" s="40" t="s">
        <v>18</v>
      </c>
      <c r="J8207" s="40" t="str">
        <f>HYPERLINK("https://stock.pstatic.net/stock-research/company/34/20251028_company_333121000.pdf","PDF")</f>
        <v>PDF</v>
      </c>
      <c r="K8207" s="12" t="s">
        <v>14475</v>
      </c>
      <c r="L8207" s="20">
        <v>0.14052953156822809</v>
      </c>
    </row>
    <row r="8208" spans="1:12" x14ac:dyDescent="0.45">
      <c r="A8208" s="12" t="s">
        <v>14459</v>
      </c>
      <c r="B8208" s="12" t="s">
        <v>760</v>
      </c>
      <c r="C8208" s="13" t="s">
        <v>761</v>
      </c>
      <c r="D8208" s="13" t="s">
        <v>60</v>
      </c>
      <c r="E8208" s="12" t="s">
        <v>35</v>
      </c>
      <c r="F8208" s="14">
        <v>220000</v>
      </c>
      <c r="G8208" s="14">
        <v>151700</v>
      </c>
      <c r="H8208" s="13" t="s">
        <v>14476</v>
      </c>
      <c r="I8208" s="40" t="s">
        <v>18</v>
      </c>
      <c r="J8208" s="40" t="str">
        <f>HYPERLINK("https://stock.pstatic.net/stock-research/company/34/20251028_company_835256000.pdf","PDF")</f>
        <v>PDF</v>
      </c>
      <c r="K8208" s="12" t="s">
        <v>14477</v>
      </c>
      <c r="L8208" s="20">
        <v>0.45023071852340152</v>
      </c>
    </row>
    <row r="8209" spans="1:12" x14ac:dyDescent="0.45">
      <c r="A8209" s="12" t="s">
        <v>14459</v>
      </c>
      <c r="B8209" s="12" t="s">
        <v>3284</v>
      </c>
      <c r="C8209" s="13" t="s">
        <v>3285</v>
      </c>
      <c r="D8209" s="13" t="s">
        <v>65</v>
      </c>
      <c r="E8209" s="12" t="s">
        <v>35</v>
      </c>
      <c r="F8209" s="14">
        <v>165000</v>
      </c>
      <c r="G8209" s="14">
        <v>139700</v>
      </c>
      <c r="H8209" s="13" t="s">
        <v>14478</v>
      </c>
      <c r="I8209" s="40" t="s">
        <v>18</v>
      </c>
      <c r="J8209" s="40" t="str">
        <f>HYPERLINK("https://stock.pstatic.net/stock-research/company/57/20251028_company_411002000.pdf","PDF")</f>
        <v>PDF</v>
      </c>
      <c r="K8209" s="12" t="s">
        <v>14479</v>
      </c>
      <c r="L8209" s="20">
        <v>0.18110236220472439</v>
      </c>
    </row>
    <row r="8210" spans="1:12" x14ac:dyDescent="0.45">
      <c r="A8210" s="12" t="s">
        <v>14459</v>
      </c>
      <c r="B8210" s="12" t="s">
        <v>3024</v>
      </c>
      <c r="C8210" s="13" t="s">
        <v>3025</v>
      </c>
      <c r="D8210" s="13" t="s">
        <v>65</v>
      </c>
      <c r="E8210" s="12" t="s">
        <v>35</v>
      </c>
      <c r="F8210" s="14">
        <v>66000</v>
      </c>
      <c r="G8210" s="14">
        <v>57300</v>
      </c>
      <c r="H8210" s="13" t="s">
        <v>14480</v>
      </c>
      <c r="I8210" s="40" t="s">
        <v>18</v>
      </c>
      <c r="J8210" s="40" t="str">
        <f>HYPERLINK("https://stock.pstatic.net/stock-research/company/57/20251028_company_955053000.pdf","PDF")</f>
        <v>PDF</v>
      </c>
      <c r="K8210" s="12" t="s">
        <v>14481</v>
      </c>
      <c r="L8210" s="20">
        <v>0.15183246073298429</v>
      </c>
    </row>
    <row r="8211" spans="1:12" x14ac:dyDescent="0.45">
      <c r="A8211" s="12" t="s">
        <v>14459</v>
      </c>
      <c r="B8211" s="12" t="s">
        <v>2758</v>
      </c>
      <c r="C8211" s="13" t="s">
        <v>2759</v>
      </c>
      <c r="D8211" s="13" t="s">
        <v>65</v>
      </c>
      <c r="E8211" s="12" t="s">
        <v>35</v>
      </c>
      <c r="F8211" s="14">
        <v>740000</v>
      </c>
      <c r="G8211" s="14">
        <v>320000</v>
      </c>
      <c r="H8211" s="13" t="s">
        <v>14482</v>
      </c>
      <c r="I8211" s="40" t="s">
        <v>18</v>
      </c>
      <c r="J8211" s="40" t="str">
        <f>HYPERLINK("https://stock.pstatic.net/stock-research/company/57/20251028_company_86242000.pdf","PDF")</f>
        <v>PDF</v>
      </c>
      <c r="K8211" s="12" t="s">
        <v>14483</v>
      </c>
      <c r="L8211" s="20">
        <v>1.3125</v>
      </c>
    </row>
    <row r="8212" spans="1:12" x14ac:dyDescent="0.45">
      <c r="A8212" s="12" t="s">
        <v>14459</v>
      </c>
      <c r="B8212" s="12" t="s">
        <v>63</v>
      </c>
      <c r="C8212" s="13" t="s">
        <v>64</v>
      </c>
      <c r="D8212" s="13" t="s">
        <v>65</v>
      </c>
      <c r="E8212" s="12" t="s">
        <v>35</v>
      </c>
      <c r="F8212" s="14">
        <v>500000</v>
      </c>
      <c r="G8212" s="14">
        <v>428000</v>
      </c>
      <c r="H8212" s="13" t="s">
        <v>14484</v>
      </c>
      <c r="I8212" s="40" t="s">
        <v>18</v>
      </c>
      <c r="J8212" s="40" t="str">
        <f>HYPERLINK("https://stock.pstatic.net/stock-research/company/57/20251028_company_431535000.pdf","PDF")</f>
        <v>PDF</v>
      </c>
      <c r="K8212" s="12" t="s">
        <v>14485</v>
      </c>
      <c r="L8212" s="20">
        <v>0.16822429906542061</v>
      </c>
    </row>
    <row r="8213" spans="1:12" x14ac:dyDescent="0.45">
      <c r="A8213" s="12" t="s">
        <v>14459</v>
      </c>
      <c r="B8213" s="12" t="s">
        <v>541</v>
      </c>
      <c r="C8213" s="13" t="s">
        <v>542</v>
      </c>
      <c r="D8213" s="13" t="s">
        <v>65</v>
      </c>
      <c r="E8213" s="12" t="s">
        <v>35</v>
      </c>
      <c r="F8213" s="14">
        <v>70000</v>
      </c>
      <c r="G8213" s="14">
        <v>53800</v>
      </c>
      <c r="H8213" s="13" t="s">
        <v>14486</v>
      </c>
      <c r="I8213" s="40" t="s">
        <v>18</v>
      </c>
      <c r="J8213" s="40" t="str">
        <f>HYPERLINK("https://stock.pstatic.net/stock-research/company/57/20251028_company_953065000.pdf","PDF")</f>
        <v>PDF</v>
      </c>
      <c r="K8213" s="12" t="s">
        <v>14487</v>
      </c>
      <c r="L8213" s="20">
        <v>0.30111524163568781</v>
      </c>
    </row>
    <row r="8214" spans="1:12" x14ac:dyDescent="0.45">
      <c r="A8214" s="12" t="s">
        <v>14459</v>
      </c>
      <c r="B8214" s="12" t="s">
        <v>537</v>
      </c>
      <c r="C8214" s="13" t="s">
        <v>538</v>
      </c>
      <c r="D8214" s="13" t="s">
        <v>65</v>
      </c>
      <c r="E8214" s="12" t="s">
        <v>35</v>
      </c>
      <c r="F8214" s="14">
        <v>16000</v>
      </c>
      <c r="G8214" s="14">
        <v>15290</v>
      </c>
      <c r="H8214" s="13" t="s">
        <v>14488</v>
      </c>
      <c r="I8214" s="40" t="s">
        <v>18</v>
      </c>
      <c r="J8214" s="40" t="str">
        <f>HYPERLINK("https://stock.pstatic.net/stock-research/company/57/20251028_company_91936000.pdf","PDF")</f>
        <v>PDF</v>
      </c>
      <c r="K8214" s="12" t="s">
        <v>14489</v>
      </c>
      <c r="L8214" s="20">
        <v>4.643557880967953E-2</v>
      </c>
    </row>
    <row r="8215" spans="1:12" x14ac:dyDescent="0.45">
      <c r="A8215" s="12" t="s">
        <v>14459</v>
      </c>
      <c r="B8215" s="12" t="s">
        <v>533</v>
      </c>
      <c r="C8215" s="13" t="s">
        <v>534</v>
      </c>
      <c r="D8215" s="13" t="s">
        <v>65</v>
      </c>
      <c r="E8215" s="12" t="s">
        <v>35</v>
      </c>
      <c r="F8215" s="14">
        <v>65000</v>
      </c>
      <c r="G8215" s="14">
        <v>49700</v>
      </c>
      <c r="H8215" s="13" t="s">
        <v>14490</v>
      </c>
      <c r="I8215" s="40" t="s">
        <v>18</v>
      </c>
      <c r="J8215" s="40" t="str">
        <f>HYPERLINK("https://stock.pstatic.net/stock-research/company/57/20251028_company_832714000.pdf","PDF")</f>
        <v>PDF</v>
      </c>
      <c r="K8215" s="12" t="s">
        <v>14491</v>
      </c>
      <c r="L8215" s="20">
        <v>0.30784708249496978</v>
      </c>
    </row>
    <row r="8216" spans="1:12" x14ac:dyDescent="0.45">
      <c r="A8216" s="12" t="s">
        <v>14459</v>
      </c>
      <c r="B8216" s="12" t="s">
        <v>511</v>
      </c>
      <c r="C8216" s="13" t="s">
        <v>512</v>
      </c>
      <c r="D8216" s="13" t="s">
        <v>65</v>
      </c>
      <c r="E8216" s="12" t="s">
        <v>35</v>
      </c>
      <c r="F8216" s="14">
        <v>90000</v>
      </c>
      <c r="G8216" s="14">
        <v>72100</v>
      </c>
      <c r="H8216" s="13" t="s">
        <v>14492</v>
      </c>
      <c r="I8216" s="40" t="s">
        <v>18</v>
      </c>
      <c r="J8216" s="40" t="str">
        <f>HYPERLINK("https://stock.pstatic.net/stock-research/company/57/20251028_company_666815000.pdf","PDF")</f>
        <v>PDF</v>
      </c>
      <c r="K8216" s="12" t="s">
        <v>14493</v>
      </c>
      <c r="L8216" s="20">
        <v>0.2482662968099861</v>
      </c>
    </row>
    <row r="8217" spans="1:12" x14ac:dyDescent="0.45">
      <c r="A8217" s="12" t="s">
        <v>14459</v>
      </c>
      <c r="B8217" s="12" t="s">
        <v>398</v>
      </c>
      <c r="C8217" s="13" t="s">
        <v>399</v>
      </c>
      <c r="D8217" s="13" t="s">
        <v>65</v>
      </c>
      <c r="E8217" s="12" t="s">
        <v>1738</v>
      </c>
      <c r="F8217" s="14">
        <v>198000</v>
      </c>
      <c r="G8217" s="14">
        <v>245500</v>
      </c>
      <c r="H8217" s="13" t="s">
        <v>14494</v>
      </c>
      <c r="I8217" s="40" t="s">
        <v>18</v>
      </c>
      <c r="J8217" s="40" t="str">
        <f>HYPERLINK("https://stock.pstatic.net/stock-research/company/57/20251028_company_53795000.pdf","PDF")</f>
        <v>PDF</v>
      </c>
      <c r="K8217" s="12" t="s">
        <v>14495</v>
      </c>
      <c r="L8217" s="20">
        <v>-0.19348268839103869</v>
      </c>
    </row>
    <row r="8218" spans="1:12" x14ac:dyDescent="0.45">
      <c r="A8218" s="12" t="s">
        <v>14459</v>
      </c>
      <c r="B8218" s="12" t="s">
        <v>2435</v>
      </c>
      <c r="C8218" s="13" t="s">
        <v>2436</v>
      </c>
      <c r="D8218" s="13" t="s">
        <v>158</v>
      </c>
      <c r="E8218" s="12" t="s">
        <v>35</v>
      </c>
      <c r="F8218" s="14">
        <v>781000</v>
      </c>
      <c r="G8218" s="14">
        <v>624000</v>
      </c>
      <c r="H8218" s="13" t="s">
        <v>14496</v>
      </c>
      <c r="I8218" s="40" t="s">
        <v>18</v>
      </c>
      <c r="J8218" s="40" t="str">
        <f>HYPERLINK("https://stock.pstatic.net/stock-research/company/18/20251028_company_857938000.pdf","PDF")</f>
        <v>PDF</v>
      </c>
      <c r="K8218" s="12" t="s">
        <v>14497</v>
      </c>
      <c r="L8218" s="20">
        <v>0.2516025641025641</v>
      </c>
    </row>
    <row r="8219" spans="1:12" x14ac:dyDescent="0.45">
      <c r="A8219" s="12" t="s">
        <v>14459</v>
      </c>
      <c r="B8219" s="12" t="s">
        <v>3284</v>
      </c>
      <c r="C8219" s="13" t="s">
        <v>3285</v>
      </c>
      <c r="D8219" s="13" t="s">
        <v>158</v>
      </c>
      <c r="E8219" s="12" t="s">
        <v>35</v>
      </c>
      <c r="F8219" s="14">
        <v>179000</v>
      </c>
      <c r="G8219" s="14">
        <v>139700</v>
      </c>
      <c r="H8219" s="13" t="s">
        <v>14498</v>
      </c>
      <c r="I8219" s="40" t="s">
        <v>18</v>
      </c>
      <c r="J8219" s="40" t="str">
        <f>HYPERLINK("https://stock.pstatic.net/stock-research/company/18/20251028_company_912732000.pdf","PDF")</f>
        <v>PDF</v>
      </c>
      <c r="K8219" s="12" t="s">
        <v>14499</v>
      </c>
      <c r="L8219" s="20">
        <v>0.28131710808876159</v>
      </c>
    </row>
    <row r="8220" spans="1:12" x14ac:dyDescent="0.45">
      <c r="A8220" s="12" t="s">
        <v>14459</v>
      </c>
      <c r="B8220" s="12" t="s">
        <v>2492</v>
      </c>
      <c r="C8220" s="13" t="s">
        <v>2493</v>
      </c>
      <c r="D8220" s="13" t="s">
        <v>158</v>
      </c>
      <c r="E8220" s="12" t="s">
        <v>35</v>
      </c>
      <c r="F8220" s="14">
        <v>555000</v>
      </c>
      <c r="G8220" s="14">
        <v>473000</v>
      </c>
      <c r="H8220" s="13" t="s">
        <v>14500</v>
      </c>
      <c r="I8220" s="40" t="s">
        <v>18</v>
      </c>
      <c r="J8220" s="40" t="str">
        <f>HYPERLINK("https://stock.pstatic.net/stock-research/company/18/20251028_company_42359000.pdf","PDF")</f>
        <v>PDF</v>
      </c>
      <c r="K8220" s="12" t="s">
        <v>14501</v>
      </c>
      <c r="L8220" s="20">
        <v>0.17336152219873149</v>
      </c>
    </row>
    <row r="8221" spans="1:12" x14ac:dyDescent="0.45">
      <c r="A8221" s="12" t="s">
        <v>14459</v>
      </c>
      <c r="B8221" s="12" t="s">
        <v>2758</v>
      </c>
      <c r="C8221" s="13" t="s">
        <v>2759</v>
      </c>
      <c r="D8221" s="13" t="s">
        <v>158</v>
      </c>
      <c r="E8221" s="12" t="s">
        <v>35</v>
      </c>
      <c r="F8221" s="14">
        <v>440000</v>
      </c>
      <c r="G8221" s="14">
        <v>320000</v>
      </c>
      <c r="H8221" s="13" t="s">
        <v>14502</v>
      </c>
      <c r="I8221" s="40" t="s">
        <v>18</v>
      </c>
      <c r="J8221" s="40" t="str">
        <f>HYPERLINK("https://stock.pstatic.net/stock-research/company/18/20251028_company_172004000.pdf","PDF")</f>
        <v>PDF</v>
      </c>
      <c r="K8221" s="12" t="s">
        <v>14503</v>
      </c>
      <c r="L8221" s="20">
        <v>0.375</v>
      </c>
    </row>
    <row r="8222" spans="1:12" x14ac:dyDescent="0.45">
      <c r="A8222" s="12" t="s">
        <v>14459</v>
      </c>
      <c r="B8222" s="12" t="s">
        <v>2758</v>
      </c>
      <c r="C8222" s="13" t="s">
        <v>2759</v>
      </c>
      <c r="D8222" s="13" t="s">
        <v>15</v>
      </c>
      <c r="E8222" s="12" t="s">
        <v>16</v>
      </c>
      <c r="F8222" s="14">
        <v>430000</v>
      </c>
      <c r="G8222" s="14">
        <v>320000</v>
      </c>
      <c r="H8222" s="13" t="s">
        <v>14504</v>
      </c>
      <c r="I8222" s="40" t="s">
        <v>18</v>
      </c>
      <c r="J8222" s="40" t="str">
        <f>HYPERLINK("https://stock.pstatic.net/stock-research/company/29/20251028_company_449517000.pdf","PDF")</f>
        <v>PDF</v>
      </c>
      <c r="K8222" s="12" t="s">
        <v>14505</v>
      </c>
      <c r="L8222" s="20">
        <v>0.34375</v>
      </c>
    </row>
    <row r="8223" spans="1:12" x14ac:dyDescent="0.45">
      <c r="A8223" s="12" t="s">
        <v>14459</v>
      </c>
      <c r="B8223" s="12" t="s">
        <v>1184</v>
      </c>
      <c r="C8223" s="13" t="s">
        <v>1185</v>
      </c>
      <c r="D8223" s="13" t="s">
        <v>15</v>
      </c>
      <c r="E8223" s="12" t="s">
        <v>16</v>
      </c>
      <c r="F8223" s="14">
        <v>22000</v>
      </c>
      <c r="G8223" s="14">
        <v>17470</v>
      </c>
      <c r="H8223" s="13" t="s">
        <v>14506</v>
      </c>
      <c r="I8223" s="40" t="s">
        <v>18</v>
      </c>
      <c r="J8223" s="40" t="str">
        <f>HYPERLINK("https://stock.pstatic.net/stock-research/company/29/20251028_company_488853000.pdf","PDF")</f>
        <v>PDF</v>
      </c>
      <c r="K8223" s="12" t="s">
        <v>14507</v>
      </c>
      <c r="L8223" s="20">
        <v>0.25930165998855181</v>
      </c>
    </row>
    <row r="8224" spans="1:12" x14ac:dyDescent="0.45">
      <c r="A8224" s="12" t="s">
        <v>14459</v>
      </c>
      <c r="B8224" s="12" t="s">
        <v>3024</v>
      </c>
      <c r="C8224" s="13" t="s">
        <v>3025</v>
      </c>
      <c r="D8224" s="13" t="s">
        <v>53</v>
      </c>
      <c r="E8224" s="12" t="s">
        <v>16</v>
      </c>
      <c r="F8224" s="14">
        <v>70000</v>
      </c>
      <c r="G8224" s="14">
        <v>57300</v>
      </c>
      <c r="H8224" s="13" t="s">
        <v>14508</v>
      </c>
      <c r="I8224" s="40" t="s">
        <v>18</v>
      </c>
      <c r="J8224" s="40" t="str">
        <f>HYPERLINK("https://stock.pstatic.net/stock-research/company/40/20251028_company_71274000.pdf","PDF")</f>
        <v>PDF</v>
      </c>
      <c r="K8224" s="12" t="s">
        <v>14509</v>
      </c>
      <c r="L8224" s="20">
        <v>0.22164048865619551</v>
      </c>
    </row>
    <row r="8225" spans="1:12" x14ac:dyDescent="0.45">
      <c r="A8225" s="12" t="s">
        <v>14459</v>
      </c>
      <c r="B8225" s="12" t="s">
        <v>3284</v>
      </c>
      <c r="C8225" s="13" t="s">
        <v>3285</v>
      </c>
      <c r="D8225" s="13" t="s">
        <v>83</v>
      </c>
      <c r="E8225" s="12" t="s">
        <v>35</v>
      </c>
      <c r="F8225" s="14">
        <v>160000</v>
      </c>
      <c r="G8225" s="14">
        <v>139700</v>
      </c>
      <c r="H8225" s="13" t="s">
        <v>14510</v>
      </c>
      <c r="I8225" s="40" t="s">
        <v>18</v>
      </c>
      <c r="J8225" s="40" t="str">
        <f>HYPERLINK("https://stock.pstatic.net/stock-research/company/2/20251028_company_979934000.pdf","PDF")</f>
        <v>PDF</v>
      </c>
      <c r="K8225" s="12" t="s">
        <v>14511</v>
      </c>
      <c r="L8225" s="20">
        <v>0.14531138153185399</v>
      </c>
    </row>
    <row r="8226" spans="1:12" x14ac:dyDescent="0.45">
      <c r="A8226" s="12" t="s">
        <v>14459</v>
      </c>
      <c r="B8226" s="12" t="s">
        <v>63</v>
      </c>
      <c r="C8226" s="13" t="s">
        <v>64</v>
      </c>
      <c r="D8226" s="13" t="s">
        <v>83</v>
      </c>
      <c r="E8226" s="12" t="s">
        <v>35</v>
      </c>
      <c r="F8226" s="14">
        <v>500000</v>
      </c>
      <c r="G8226" s="14">
        <v>428000</v>
      </c>
      <c r="H8226" s="13" t="s">
        <v>14512</v>
      </c>
      <c r="I8226" s="40" t="s">
        <v>18</v>
      </c>
      <c r="J8226" s="40" t="str">
        <f>HYPERLINK("https://stock.pstatic.net/stock-research/company/2/20251028_company_126482000.pdf","PDF")</f>
        <v>PDF</v>
      </c>
      <c r="K8226" s="12" t="s">
        <v>14513</v>
      </c>
      <c r="L8226" s="20">
        <v>0.16822429906542061</v>
      </c>
    </row>
    <row r="8227" spans="1:12" x14ac:dyDescent="0.45">
      <c r="A8227" s="12" t="s">
        <v>14459</v>
      </c>
      <c r="B8227" s="12" t="s">
        <v>398</v>
      </c>
      <c r="C8227" s="13" t="s">
        <v>399</v>
      </c>
      <c r="D8227" s="13" t="s">
        <v>179</v>
      </c>
      <c r="E8227" s="12" t="s">
        <v>16</v>
      </c>
      <c r="F8227" s="14">
        <v>300000</v>
      </c>
      <c r="G8227" s="14">
        <v>245500</v>
      </c>
      <c r="H8227" s="13" t="s">
        <v>14514</v>
      </c>
      <c r="I8227" s="40" t="s">
        <v>18</v>
      </c>
      <c r="J8227" s="40" t="str">
        <f>HYPERLINK("https://stock.pstatic.net/stock-research/company/64/20251028_company_49086000.pdf","PDF")</f>
        <v>PDF</v>
      </c>
      <c r="K8227" s="12" t="s">
        <v>14515</v>
      </c>
      <c r="L8227" s="20">
        <v>0.2219959266802444</v>
      </c>
    </row>
    <row r="8228" spans="1:12" x14ac:dyDescent="0.45">
      <c r="A8228" s="12" t="s">
        <v>14459</v>
      </c>
      <c r="B8228" s="12" t="s">
        <v>259</v>
      </c>
      <c r="C8228" s="13" t="s">
        <v>260</v>
      </c>
      <c r="D8228" s="13" t="s">
        <v>34</v>
      </c>
      <c r="E8228" s="12" t="s">
        <v>35</v>
      </c>
      <c r="F8228" s="14">
        <v>100000</v>
      </c>
      <c r="G8228" s="14">
        <v>79200</v>
      </c>
      <c r="H8228" s="13" t="s">
        <v>14516</v>
      </c>
      <c r="I8228" s="40" t="s">
        <v>18</v>
      </c>
      <c r="J8228" s="40" t="str">
        <f>HYPERLINK("https://stock.pstatic.net/stock-research/company/61/20251028_company_339595000.pdf","PDF")</f>
        <v>PDF</v>
      </c>
      <c r="K8228" s="12" t="s">
        <v>14517</v>
      </c>
      <c r="L8228" s="20">
        <v>0.26262626262626271</v>
      </c>
    </row>
    <row r="8229" spans="1:12" x14ac:dyDescent="0.45">
      <c r="A8229" s="12" t="s">
        <v>14459</v>
      </c>
      <c r="B8229" s="12" t="s">
        <v>3284</v>
      </c>
      <c r="C8229" s="13" t="s">
        <v>3285</v>
      </c>
      <c r="D8229" s="13" t="s">
        <v>23</v>
      </c>
      <c r="E8229" s="12" t="s">
        <v>16</v>
      </c>
      <c r="F8229" s="14">
        <v>155000</v>
      </c>
      <c r="G8229" s="14">
        <v>139700</v>
      </c>
      <c r="H8229" s="13" t="s">
        <v>14518</v>
      </c>
      <c r="I8229" s="40" t="s">
        <v>18</v>
      </c>
      <c r="J8229" s="40" t="str">
        <f>HYPERLINK("https://stock.pstatic.net/stock-research/company/21/20251028_company_519465000.pdf","PDF")</f>
        <v>PDF</v>
      </c>
      <c r="K8229" s="12" t="s">
        <v>14519</v>
      </c>
      <c r="L8229" s="20">
        <v>0.1095204008589835</v>
      </c>
    </row>
    <row r="8230" spans="1:12" x14ac:dyDescent="0.45">
      <c r="A8230" s="12" t="s">
        <v>14459</v>
      </c>
      <c r="B8230" s="12" t="s">
        <v>2758</v>
      </c>
      <c r="C8230" s="13" t="s">
        <v>2759</v>
      </c>
      <c r="D8230" s="13" t="s">
        <v>92</v>
      </c>
      <c r="E8230" s="12" t="s">
        <v>35</v>
      </c>
      <c r="F8230" s="14">
        <v>412000</v>
      </c>
      <c r="G8230" s="14">
        <v>320000</v>
      </c>
      <c r="H8230" s="13" t="s">
        <v>14520</v>
      </c>
      <c r="I8230" s="40" t="s">
        <v>18</v>
      </c>
      <c r="J8230" s="40" t="str">
        <f>HYPERLINK("https://stock.pstatic.net/stock-research/company/63/20251028_company_903095000.pdf","PDF")</f>
        <v>PDF</v>
      </c>
      <c r="K8230" s="12" t="s">
        <v>14521</v>
      </c>
      <c r="L8230" s="20">
        <v>0.28749999999999998</v>
      </c>
    </row>
    <row r="8231" spans="1:12" x14ac:dyDescent="0.45">
      <c r="A8231" s="12" t="s">
        <v>14459</v>
      </c>
      <c r="B8231" s="12" t="s">
        <v>3024</v>
      </c>
      <c r="C8231" s="13" t="s">
        <v>3025</v>
      </c>
      <c r="D8231" s="13" t="s">
        <v>92</v>
      </c>
      <c r="E8231" s="12" t="s">
        <v>35</v>
      </c>
      <c r="F8231" s="14">
        <v>69000</v>
      </c>
      <c r="G8231" s="14">
        <v>57300</v>
      </c>
      <c r="H8231" s="13" t="s">
        <v>14522</v>
      </c>
      <c r="I8231" s="40" t="s">
        <v>18</v>
      </c>
      <c r="J8231" s="40" t="str">
        <f>HYPERLINK("https://stock.pstatic.net/stock-research/company/63/20251028_company_902940000.pdf","PDF")</f>
        <v>PDF</v>
      </c>
      <c r="K8231" s="12" t="s">
        <v>14523</v>
      </c>
      <c r="L8231" s="20">
        <v>0.20418848167539269</v>
      </c>
    </row>
    <row r="8232" spans="1:12" x14ac:dyDescent="0.45">
      <c r="A8232" s="12" t="s">
        <v>14459</v>
      </c>
      <c r="B8232" s="12" t="s">
        <v>511</v>
      </c>
      <c r="C8232" s="13" t="s">
        <v>512</v>
      </c>
      <c r="D8232" s="13" t="s">
        <v>34</v>
      </c>
      <c r="E8232" s="12" t="s">
        <v>35</v>
      </c>
      <c r="F8232" s="14">
        <v>100000</v>
      </c>
      <c r="G8232" s="14">
        <v>72100</v>
      </c>
      <c r="H8232" s="13" t="s">
        <v>14524</v>
      </c>
      <c r="I8232" s="40" t="s">
        <v>18</v>
      </c>
      <c r="J8232" s="40" t="str">
        <f>HYPERLINK("https://stock.pstatic.net/stock-research/company/61/20251028_company_678235000.pdf","PDF")</f>
        <v>PDF</v>
      </c>
      <c r="K8232" s="12" t="s">
        <v>14525</v>
      </c>
      <c r="L8232" s="20">
        <v>0.3869625520110957</v>
      </c>
    </row>
    <row r="8233" spans="1:12" x14ac:dyDescent="0.45">
      <c r="A8233" s="12" t="s">
        <v>14459</v>
      </c>
      <c r="B8233" s="12" t="s">
        <v>2758</v>
      </c>
      <c r="C8233" s="13" t="s">
        <v>2759</v>
      </c>
      <c r="D8233" s="13" t="s">
        <v>44</v>
      </c>
      <c r="E8233" s="12" t="s">
        <v>35</v>
      </c>
      <c r="F8233" s="14">
        <v>420000</v>
      </c>
      <c r="G8233" s="14">
        <v>320000</v>
      </c>
      <c r="H8233" s="13" t="s">
        <v>14526</v>
      </c>
      <c r="I8233" s="40" t="s">
        <v>18</v>
      </c>
      <c r="J8233" s="40" t="str">
        <f>HYPERLINK("https://stock.pstatic.net/stock-research/company/39/20251028_company_79975000.pdf","PDF")</f>
        <v>PDF</v>
      </c>
      <c r="K8233" s="12" t="s">
        <v>14527</v>
      </c>
      <c r="L8233" s="20">
        <v>0.3125</v>
      </c>
    </row>
    <row r="8234" spans="1:12" x14ac:dyDescent="0.45">
      <c r="A8234" s="12" t="s">
        <v>14459</v>
      </c>
      <c r="B8234" s="12" t="s">
        <v>511</v>
      </c>
      <c r="C8234" s="13" t="s">
        <v>512</v>
      </c>
      <c r="D8234" s="13" t="s">
        <v>44</v>
      </c>
      <c r="E8234" s="12" t="s">
        <v>35</v>
      </c>
      <c r="F8234" s="14">
        <v>90000</v>
      </c>
      <c r="G8234" s="14">
        <v>72100</v>
      </c>
      <c r="H8234" s="13" t="s">
        <v>14528</v>
      </c>
      <c r="I8234" s="40" t="s">
        <v>18</v>
      </c>
      <c r="J8234" s="40" t="str">
        <f>HYPERLINK("https://stock.pstatic.net/stock-research/company/39/20251028_company_641570000.pdf","PDF")</f>
        <v>PDF</v>
      </c>
      <c r="K8234" s="12" t="s">
        <v>14529</v>
      </c>
      <c r="L8234" s="20">
        <v>0.2482662968099861</v>
      </c>
    </row>
    <row r="8235" spans="1:12" x14ac:dyDescent="0.45">
      <c r="A8235" s="12" t="s">
        <v>14459</v>
      </c>
      <c r="B8235" s="12" t="s">
        <v>398</v>
      </c>
      <c r="C8235" s="13" t="s">
        <v>399</v>
      </c>
      <c r="D8235" s="13" t="s">
        <v>44</v>
      </c>
      <c r="E8235" s="12" t="s">
        <v>45</v>
      </c>
      <c r="F8235" s="14">
        <v>290000</v>
      </c>
      <c r="G8235" s="14">
        <v>245500</v>
      </c>
      <c r="H8235" s="13" t="s">
        <v>14530</v>
      </c>
      <c r="I8235" s="40" t="s">
        <v>18</v>
      </c>
      <c r="J8235" s="40" t="str">
        <f>HYPERLINK("https://stock.pstatic.net/stock-research/company/39/20251028_company_606039000.pdf","PDF")</f>
        <v>PDF</v>
      </c>
      <c r="K8235" s="12" t="s">
        <v>14531</v>
      </c>
      <c r="L8235" s="20">
        <v>0.18126272912423619</v>
      </c>
    </row>
    <row r="8236" spans="1:12" x14ac:dyDescent="0.45">
      <c r="A8236" s="12" t="s">
        <v>14459</v>
      </c>
      <c r="B8236" s="12" t="s">
        <v>2758</v>
      </c>
      <c r="C8236" s="13" t="s">
        <v>2759</v>
      </c>
      <c r="D8236" s="13" t="s">
        <v>34</v>
      </c>
      <c r="E8236" s="12" t="s">
        <v>35</v>
      </c>
      <c r="F8236" s="14">
        <v>390000</v>
      </c>
      <c r="G8236" s="14">
        <v>320000</v>
      </c>
      <c r="H8236" s="13" t="s">
        <v>14532</v>
      </c>
      <c r="I8236" s="40" t="s">
        <v>18</v>
      </c>
      <c r="J8236" s="40" t="str">
        <f>HYPERLINK("https://stock.pstatic.net/stock-research/company/61/20251028_company_260997000.pdf","PDF")</f>
        <v>PDF</v>
      </c>
      <c r="K8236" s="12" t="s">
        <v>14533</v>
      </c>
      <c r="L8236" s="20">
        <v>0.21875</v>
      </c>
    </row>
    <row r="8237" spans="1:12" x14ac:dyDescent="0.45">
      <c r="A8237" s="12" t="s">
        <v>14459</v>
      </c>
      <c r="B8237" s="12" t="s">
        <v>4910</v>
      </c>
      <c r="C8237" s="13" t="s">
        <v>4911</v>
      </c>
      <c r="D8237" s="13" t="s">
        <v>44</v>
      </c>
      <c r="E8237" s="12" t="s">
        <v>50</v>
      </c>
      <c r="F8237" s="13"/>
      <c r="G8237" s="14">
        <v>6120</v>
      </c>
      <c r="H8237" s="13" t="s">
        <v>14534</v>
      </c>
      <c r="I8237" s="40" t="s">
        <v>18</v>
      </c>
      <c r="J8237" s="40" t="str">
        <f>HYPERLINK("https://stock.pstatic.net/stock-research/company/39/20251028_company_475453000.pdf","PDF")</f>
        <v>PDF</v>
      </c>
      <c r="K8237" s="12" t="s">
        <v>14535</v>
      </c>
    </row>
    <row r="8238" spans="1:12" x14ac:dyDescent="0.45">
      <c r="A8238" s="12" t="s">
        <v>14459</v>
      </c>
      <c r="B8238" s="12" t="s">
        <v>3284</v>
      </c>
      <c r="C8238" s="13" t="s">
        <v>3285</v>
      </c>
      <c r="D8238" s="13" t="s">
        <v>34</v>
      </c>
      <c r="E8238" s="12" t="s">
        <v>35</v>
      </c>
      <c r="F8238" s="14">
        <v>167000</v>
      </c>
      <c r="G8238" s="14">
        <v>139700</v>
      </c>
      <c r="H8238" s="13" t="s">
        <v>14536</v>
      </c>
      <c r="I8238" s="40" t="s">
        <v>18</v>
      </c>
      <c r="J8238" s="40" t="str">
        <f>HYPERLINK("https://stock.pstatic.net/stock-research/company/61/20251028_company_388905000.pdf","PDF")</f>
        <v>PDF</v>
      </c>
      <c r="K8238" s="12" t="s">
        <v>14537</v>
      </c>
      <c r="L8238" s="20">
        <v>0.19541875447387261</v>
      </c>
    </row>
    <row r="8239" spans="1:12" x14ac:dyDescent="0.45">
      <c r="A8239" s="12" t="s">
        <v>14459</v>
      </c>
      <c r="B8239" s="12" t="s">
        <v>3024</v>
      </c>
      <c r="C8239" s="13" t="s">
        <v>3025</v>
      </c>
      <c r="D8239" s="13" t="s">
        <v>23</v>
      </c>
      <c r="E8239" s="12" t="s">
        <v>16</v>
      </c>
      <c r="F8239" s="14">
        <v>64000</v>
      </c>
      <c r="G8239" s="14">
        <v>57300</v>
      </c>
      <c r="H8239" s="13" t="s">
        <v>14538</v>
      </c>
      <c r="I8239" s="40" t="s">
        <v>18</v>
      </c>
      <c r="J8239" s="40" t="str">
        <f>HYPERLINK("https://stock.pstatic.net/stock-research/company/21/20251028_company_766894000.pdf","PDF")</f>
        <v>PDF</v>
      </c>
      <c r="K8239" s="12" t="s">
        <v>14539</v>
      </c>
      <c r="L8239" s="20">
        <v>0.1169284467713787</v>
      </c>
    </row>
    <row r="8240" spans="1:12" x14ac:dyDescent="0.45">
      <c r="A8240" s="12" t="s">
        <v>14459</v>
      </c>
      <c r="B8240" s="12" t="s">
        <v>63</v>
      </c>
      <c r="C8240" s="13" t="s">
        <v>64</v>
      </c>
      <c r="D8240" s="13" t="s">
        <v>44</v>
      </c>
      <c r="E8240" s="12" t="s">
        <v>50</v>
      </c>
      <c r="F8240" s="13"/>
      <c r="G8240" s="13"/>
      <c r="H8240" s="13" t="s">
        <v>14540</v>
      </c>
      <c r="I8240" s="40" t="s">
        <v>18</v>
      </c>
      <c r="J8240" s="40" t="str">
        <f>HYPERLINK("https://stock.pstatic.net/stock-research/company/39/20251028_company_61929000.pdf","PDF")</f>
        <v>PDF</v>
      </c>
      <c r="K8240" s="12" t="s">
        <v>14541</v>
      </c>
    </row>
    <row r="8241" spans="1:12" x14ac:dyDescent="0.45">
      <c r="A8241" s="12" t="s">
        <v>14459</v>
      </c>
      <c r="B8241" s="12" t="s">
        <v>398</v>
      </c>
      <c r="C8241" s="13" t="s">
        <v>399</v>
      </c>
      <c r="D8241" s="13" t="s">
        <v>23</v>
      </c>
      <c r="E8241" s="12" t="s">
        <v>50</v>
      </c>
      <c r="F8241" s="14">
        <v>250000</v>
      </c>
      <c r="G8241" s="14">
        <v>245500</v>
      </c>
      <c r="H8241" s="13" t="s">
        <v>14542</v>
      </c>
      <c r="I8241" s="40" t="s">
        <v>18</v>
      </c>
      <c r="J8241" s="40" t="str">
        <f>HYPERLINK("https://stock.pstatic.net/stock-research/company/21/20251028_company_850886000.pdf","PDF")</f>
        <v>PDF</v>
      </c>
      <c r="K8241" s="12" t="s">
        <v>14543</v>
      </c>
      <c r="L8241" s="20">
        <v>1.8329938900203669E-2</v>
      </c>
    </row>
    <row r="8242" spans="1:12" x14ac:dyDescent="0.45">
      <c r="A8242" s="12" t="s">
        <v>14459</v>
      </c>
      <c r="B8242" s="12" t="s">
        <v>2758</v>
      </c>
      <c r="C8242" s="13" t="s">
        <v>2759</v>
      </c>
      <c r="D8242" s="13" t="s">
        <v>23</v>
      </c>
      <c r="E8242" s="12" t="s">
        <v>16</v>
      </c>
      <c r="F8242" s="14">
        <v>400000</v>
      </c>
      <c r="G8242" s="14">
        <v>320000</v>
      </c>
      <c r="H8242" s="13" t="s">
        <v>14544</v>
      </c>
      <c r="I8242" s="40" t="s">
        <v>18</v>
      </c>
      <c r="J8242" s="40" t="str">
        <f>HYPERLINK("https://stock.pstatic.net/stock-research/company/21/20251028_company_871802000.pdf","PDF")</f>
        <v>PDF</v>
      </c>
      <c r="K8242" s="12" t="s">
        <v>14545</v>
      </c>
      <c r="L8242" s="20">
        <v>0.25</v>
      </c>
    </row>
    <row r="8243" spans="1:12" x14ac:dyDescent="0.45">
      <c r="A8243" s="12" t="s">
        <v>14459</v>
      </c>
      <c r="B8243" s="12" t="s">
        <v>3024</v>
      </c>
      <c r="C8243" s="13" t="s">
        <v>3025</v>
      </c>
      <c r="D8243" s="13" t="s">
        <v>15</v>
      </c>
      <c r="E8243" s="12" t="s">
        <v>16</v>
      </c>
      <c r="F8243" s="14">
        <v>73000</v>
      </c>
      <c r="G8243" s="14">
        <v>57300</v>
      </c>
      <c r="H8243" s="13" t="s">
        <v>14546</v>
      </c>
      <c r="I8243" s="40" t="s">
        <v>18</v>
      </c>
      <c r="J8243" s="40" t="str">
        <f>HYPERLINK("https://stock.pstatic.net/stock-research/company/29/20251028_company_115845000.pdf","PDF")</f>
        <v>PDF</v>
      </c>
      <c r="K8243" s="12" t="s">
        <v>14547</v>
      </c>
      <c r="L8243" s="20">
        <v>0.27399650959860378</v>
      </c>
    </row>
    <row r="8244" spans="1:12" x14ac:dyDescent="0.45">
      <c r="A8244" s="12" t="s">
        <v>14459</v>
      </c>
      <c r="B8244" s="12" t="s">
        <v>888</v>
      </c>
      <c r="C8244" s="13" t="s">
        <v>889</v>
      </c>
      <c r="D8244" s="13" t="s">
        <v>53</v>
      </c>
      <c r="E8244" s="12" t="s">
        <v>16</v>
      </c>
      <c r="F8244" s="14">
        <v>70000</v>
      </c>
      <c r="G8244" s="14">
        <v>50600</v>
      </c>
      <c r="H8244" s="13" t="s">
        <v>14548</v>
      </c>
      <c r="I8244" s="40" t="s">
        <v>18</v>
      </c>
      <c r="J8244" s="40" t="str">
        <f>HYPERLINK("https://stock.pstatic.net/stock-research/company/40/20251028_company_994973000.pdf","PDF")</f>
        <v>PDF</v>
      </c>
      <c r="K8244" s="12" t="s">
        <v>14549</v>
      </c>
      <c r="L8244" s="20">
        <v>0.38339920948616601</v>
      </c>
    </row>
    <row r="8245" spans="1:12" x14ac:dyDescent="0.45">
      <c r="A8245" s="12" t="s">
        <v>14550</v>
      </c>
      <c r="B8245" s="12" t="s">
        <v>2378</v>
      </c>
      <c r="C8245" s="13" t="s">
        <v>2379</v>
      </c>
      <c r="D8245" s="13" t="s">
        <v>15</v>
      </c>
      <c r="E8245" s="12" t="s">
        <v>16</v>
      </c>
      <c r="F8245" s="14">
        <v>610000</v>
      </c>
      <c r="G8245" s="14">
        <v>492000</v>
      </c>
      <c r="H8245" s="13" t="s">
        <v>14551</v>
      </c>
      <c r="I8245" s="40" t="s">
        <v>18</v>
      </c>
      <c r="J8245" s="40" t="str">
        <f>HYPERLINK("https://stock.pstatic.net/stock-research/company/29/20251027_company_447888000.pdf","PDF")</f>
        <v>PDF</v>
      </c>
      <c r="K8245" s="12" t="s">
        <v>14552</v>
      </c>
      <c r="L8245" s="20">
        <v>0.23983739837398371</v>
      </c>
    </row>
    <row r="8246" spans="1:12" x14ac:dyDescent="0.45">
      <c r="A8246" s="12" t="s">
        <v>14550</v>
      </c>
      <c r="B8246" s="12" t="s">
        <v>1308</v>
      </c>
      <c r="C8246" s="13" t="s">
        <v>1309</v>
      </c>
      <c r="D8246" s="13" t="s">
        <v>276</v>
      </c>
      <c r="E8246" s="12" t="s">
        <v>16</v>
      </c>
      <c r="F8246" s="14">
        <v>540000</v>
      </c>
      <c r="G8246" s="14">
        <v>429000</v>
      </c>
      <c r="H8246" s="13" t="s">
        <v>4788</v>
      </c>
      <c r="I8246" s="40" t="s">
        <v>18</v>
      </c>
      <c r="J8246" s="40" t="str">
        <f>HYPERLINK("https://stock.pstatic.net/stock-research/company/66/20251027_company_478281000.pdf","PDF")</f>
        <v>PDF</v>
      </c>
      <c r="K8246" s="12" t="s">
        <v>14553</v>
      </c>
      <c r="L8246" s="20">
        <v>0.25874125874125881</v>
      </c>
    </row>
    <row r="8247" spans="1:12" x14ac:dyDescent="0.45">
      <c r="A8247" s="12" t="s">
        <v>14550</v>
      </c>
      <c r="B8247" s="12" t="s">
        <v>2225</v>
      </c>
      <c r="C8247" s="13" t="s">
        <v>5282</v>
      </c>
      <c r="D8247" s="13" t="s">
        <v>65</v>
      </c>
      <c r="E8247" s="12" t="s">
        <v>35</v>
      </c>
      <c r="F8247" s="14">
        <v>562000</v>
      </c>
      <c r="G8247" s="14">
        <v>485000</v>
      </c>
      <c r="H8247" s="13" t="s">
        <v>14554</v>
      </c>
      <c r="I8247" s="40" t="s">
        <v>18</v>
      </c>
      <c r="J8247" s="40" t="str">
        <f>HYPERLINK("https://stock.pstatic.net/stock-research/company/57/20251027_company_683458000.pdf","PDF")</f>
        <v>PDF</v>
      </c>
      <c r="K8247" s="12" t="s">
        <v>14555</v>
      </c>
      <c r="L8247" s="20">
        <v>0.15876288659793811</v>
      </c>
    </row>
    <row r="8248" spans="1:12" x14ac:dyDescent="0.45">
      <c r="A8248" s="12" t="s">
        <v>14550</v>
      </c>
      <c r="B8248" s="12" t="s">
        <v>6922</v>
      </c>
      <c r="C8248" s="13" t="s">
        <v>6923</v>
      </c>
      <c r="D8248" s="13" t="s">
        <v>65</v>
      </c>
      <c r="E8248" s="12" t="s">
        <v>35</v>
      </c>
      <c r="F8248" s="14">
        <v>62000</v>
      </c>
      <c r="G8248" s="14">
        <v>37700</v>
      </c>
      <c r="H8248" s="13" t="s">
        <v>14556</v>
      </c>
      <c r="I8248" s="40" t="s">
        <v>18</v>
      </c>
      <c r="J8248" s="40" t="str">
        <f>HYPERLINK("https://stock.pstatic.net/stock-research/company/57/20251027_company_135441000.pdf","PDF")</f>
        <v>PDF</v>
      </c>
      <c r="K8248" s="12" t="s">
        <v>14557</v>
      </c>
      <c r="L8248" s="20">
        <v>0.64456233421750664</v>
      </c>
    </row>
    <row r="8249" spans="1:12" x14ac:dyDescent="0.45">
      <c r="A8249" s="12" t="s">
        <v>14550</v>
      </c>
      <c r="B8249" s="12" t="s">
        <v>1660</v>
      </c>
      <c r="C8249" s="13" t="s">
        <v>1661</v>
      </c>
      <c r="D8249" s="13" t="s">
        <v>83</v>
      </c>
      <c r="E8249" s="12" t="s">
        <v>35</v>
      </c>
      <c r="F8249" s="14">
        <v>64000</v>
      </c>
      <c r="G8249" s="14">
        <v>42450</v>
      </c>
      <c r="H8249" s="13" t="s">
        <v>14558</v>
      </c>
      <c r="I8249" s="40" t="s">
        <v>18</v>
      </c>
      <c r="J8249" s="40" t="str">
        <f>HYPERLINK("https://stock.pstatic.net/stock-research/company/2/20251027_company_592844000.pdf","PDF")</f>
        <v>PDF</v>
      </c>
      <c r="K8249" s="12" t="s">
        <v>14559</v>
      </c>
      <c r="L8249" s="20">
        <v>0.50765606595995294</v>
      </c>
    </row>
    <row r="8250" spans="1:12" x14ac:dyDescent="0.45">
      <c r="A8250" s="12" t="s">
        <v>14550</v>
      </c>
      <c r="B8250" s="12" t="s">
        <v>3079</v>
      </c>
      <c r="C8250" s="13" t="s">
        <v>3080</v>
      </c>
      <c r="D8250" s="13" t="s">
        <v>83</v>
      </c>
      <c r="E8250" s="12" t="s">
        <v>35</v>
      </c>
      <c r="F8250" s="14">
        <v>33000</v>
      </c>
      <c r="G8250" s="14">
        <v>26550</v>
      </c>
      <c r="H8250" s="13" t="s">
        <v>14560</v>
      </c>
      <c r="I8250" s="40" t="s">
        <v>18</v>
      </c>
      <c r="J8250" s="40" t="str">
        <f>HYPERLINK("https://stock.pstatic.net/stock-research/company/2/20251027_company_305618000.pdf","PDF")</f>
        <v>PDF</v>
      </c>
      <c r="K8250" s="12" t="s">
        <v>14561</v>
      </c>
      <c r="L8250" s="20">
        <v>0.24293785310734459</v>
      </c>
    </row>
    <row r="8251" spans="1:12" x14ac:dyDescent="0.45">
      <c r="A8251" s="12" t="s">
        <v>14550</v>
      </c>
      <c r="B8251" s="12" t="s">
        <v>4567</v>
      </c>
      <c r="C8251" s="13" t="s">
        <v>4568</v>
      </c>
      <c r="D8251" s="13" t="s">
        <v>83</v>
      </c>
      <c r="E8251" s="12" t="s">
        <v>35</v>
      </c>
      <c r="F8251" s="14">
        <v>40000</v>
      </c>
      <c r="G8251" s="14">
        <v>35150</v>
      </c>
      <c r="H8251" s="13" t="s">
        <v>14562</v>
      </c>
      <c r="I8251" s="40" t="s">
        <v>18</v>
      </c>
      <c r="J8251" s="40" t="str">
        <f>HYPERLINK("https://stock.pstatic.net/stock-research/company/2/20251027_company_72438000.pdf","PDF")</f>
        <v>PDF</v>
      </c>
      <c r="K8251" s="12" t="s">
        <v>14563</v>
      </c>
      <c r="L8251" s="20">
        <v>0.13798008534850639</v>
      </c>
    </row>
    <row r="8252" spans="1:12" x14ac:dyDescent="0.45">
      <c r="A8252" s="12" t="s">
        <v>14550</v>
      </c>
      <c r="B8252" s="12" t="s">
        <v>744</v>
      </c>
      <c r="C8252" s="13" t="s">
        <v>745</v>
      </c>
      <c r="D8252" s="13" t="s">
        <v>83</v>
      </c>
      <c r="E8252" s="12" t="s">
        <v>35</v>
      </c>
      <c r="F8252" s="14">
        <v>30000</v>
      </c>
      <c r="G8252" s="14">
        <v>23900</v>
      </c>
      <c r="H8252" s="13" t="s">
        <v>14564</v>
      </c>
      <c r="I8252" s="40" t="s">
        <v>18</v>
      </c>
      <c r="J8252" s="40" t="str">
        <f>HYPERLINK("https://stock.pstatic.net/stock-research/company/2/20251027_company_749979000.pdf","PDF")</f>
        <v>PDF</v>
      </c>
      <c r="K8252" s="12" t="s">
        <v>14565</v>
      </c>
      <c r="L8252" s="20">
        <v>0.25523012552301261</v>
      </c>
    </row>
    <row r="8253" spans="1:12" x14ac:dyDescent="0.45">
      <c r="A8253" s="12" t="s">
        <v>14550</v>
      </c>
      <c r="B8253" s="12" t="s">
        <v>3182</v>
      </c>
      <c r="C8253" s="13" t="s">
        <v>3183</v>
      </c>
      <c r="D8253" s="13" t="s">
        <v>83</v>
      </c>
      <c r="E8253" s="12" t="s">
        <v>35</v>
      </c>
      <c r="F8253" s="14">
        <v>960000</v>
      </c>
      <c r="G8253" s="14">
        <v>780000</v>
      </c>
      <c r="H8253" s="13" t="s">
        <v>14566</v>
      </c>
      <c r="I8253" s="40" t="s">
        <v>18</v>
      </c>
      <c r="J8253" s="40" t="str">
        <f>HYPERLINK("https://stock.pstatic.net/stock-research/company/2/20251027_company_225536000.pdf","PDF")</f>
        <v>PDF</v>
      </c>
      <c r="K8253" s="12" t="s">
        <v>14567</v>
      </c>
      <c r="L8253" s="20">
        <v>0.23076923076923081</v>
      </c>
    </row>
    <row r="8254" spans="1:12" x14ac:dyDescent="0.45">
      <c r="A8254" s="12" t="s">
        <v>14550</v>
      </c>
      <c r="B8254" s="12" t="s">
        <v>1499</v>
      </c>
      <c r="C8254" s="13" t="s">
        <v>1500</v>
      </c>
      <c r="D8254" s="13" t="s">
        <v>92</v>
      </c>
      <c r="E8254" s="12" t="s">
        <v>35</v>
      </c>
      <c r="F8254" s="14">
        <v>10000</v>
      </c>
      <c r="G8254" s="14">
        <v>7900</v>
      </c>
      <c r="H8254" s="13" t="s">
        <v>14568</v>
      </c>
      <c r="I8254" s="40" t="s">
        <v>18</v>
      </c>
      <c r="J8254" s="40" t="str">
        <f>HYPERLINK("https://stock.pstatic.net/stock-research/company/63/20251027_company_834648000.pdf","PDF")</f>
        <v>PDF</v>
      </c>
      <c r="K8254" s="12" t="s">
        <v>14569</v>
      </c>
      <c r="L8254" s="20">
        <v>0.26582278481012661</v>
      </c>
    </row>
    <row r="8255" spans="1:12" x14ac:dyDescent="0.45">
      <c r="A8255" s="12" t="s">
        <v>14550</v>
      </c>
      <c r="B8255" s="12" t="s">
        <v>2801</v>
      </c>
      <c r="C8255" s="13" t="s">
        <v>2802</v>
      </c>
      <c r="D8255" s="13" t="s">
        <v>23</v>
      </c>
      <c r="E8255" s="12" t="s">
        <v>16</v>
      </c>
      <c r="F8255" s="14">
        <v>32000</v>
      </c>
      <c r="G8255" s="14">
        <v>22500</v>
      </c>
      <c r="H8255" s="13" t="s">
        <v>14570</v>
      </c>
      <c r="I8255" s="40" t="s">
        <v>18</v>
      </c>
      <c r="J8255" s="40" t="str">
        <f>HYPERLINK("https://stock.pstatic.net/stock-research/company/21/20251027_company_581800000.pdf","PDF")</f>
        <v>PDF</v>
      </c>
      <c r="K8255" s="12" t="s">
        <v>14571</v>
      </c>
      <c r="L8255" s="20">
        <v>0.42222222222222222</v>
      </c>
    </row>
    <row r="8256" spans="1:12" x14ac:dyDescent="0.45">
      <c r="A8256" s="12" t="s">
        <v>14550</v>
      </c>
      <c r="B8256" s="12" t="s">
        <v>585</v>
      </c>
      <c r="C8256" s="13" t="s">
        <v>586</v>
      </c>
      <c r="D8256" s="13" t="s">
        <v>34</v>
      </c>
      <c r="E8256" s="12" t="s">
        <v>50</v>
      </c>
      <c r="F8256" s="13"/>
      <c r="G8256" s="14">
        <v>50200</v>
      </c>
      <c r="H8256" s="13" t="s">
        <v>14572</v>
      </c>
      <c r="I8256" s="40" t="s">
        <v>18</v>
      </c>
      <c r="J8256" s="40" t="str">
        <f>HYPERLINK("https://stock.pstatic.net/stock-research/company/61/20251027_company_192887000.pdf","PDF")</f>
        <v>PDF</v>
      </c>
      <c r="K8256" s="12" t="s">
        <v>14573</v>
      </c>
    </row>
    <row r="8257" spans="1:12" x14ac:dyDescent="0.45">
      <c r="A8257" s="12" t="s">
        <v>14550</v>
      </c>
      <c r="B8257" s="12" t="s">
        <v>2662</v>
      </c>
      <c r="C8257" s="13" t="s">
        <v>2663</v>
      </c>
      <c r="D8257" s="13" t="s">
        <v>23</v>
      </c>
      <c r="E8257" s="12" t="s">
        <v>385</v>
      </c>
      <c r="F8257" s="13"/>
      <c r="G8257" s="14">
        <v>52200</v>
      </c>
      <c r="H8257" s="13" t="s">
        <v>14574</v>
      </c>
      <c r="I8257" s="40" t="s">
        <v>18</v>
      </c>
      <c r="J8257" s="40" t="str">
        <f>HYPERLINK("https://stock.pstatic.net/stock-research/company/21/20251027_company_125934000.pdf","PDF")</f>
        <v>PDF</v>
      </c>
      <c r="K8257" s="12" t="s">
        <v>14575</v>
      </c>
    </row>
    <row r="8258" spans="1:12" x14ac:dyDescent="0.45">
      <c r="A8258" s="12" t="s">
        <v>14550</v>
      </c>
      <c r="B8258" s="12" t="s">
        <v>3024</v>
      </c>
      <c r="C8258" s="13" t="s">
        <v>3025</v>
      </c>
      <c r="D8258" s="13" t="s">
        <v>34</v>
      </c>
      <c r="E8258" s="12" t="s">
        <v>35</v>
      </c>
      <c r="F8258" s="14">
        <v>70000</v>
      </c>
      <c r="G8258" s="14">
        <v>58100</v>
      </c>
      <c r="H8258" s="13" t="s">
        <v>14576</v>
      </c>
      <c r="I8258" s="40" t="s">
        <v>18</v>
      </c>
      <c r="J8258" s="40" t="str">
        <f>HYPERLINK("https://stock.pstatic.net/stock-research/company/61/20251027_company_709767000.pdf","PDF")</f>
        <v>PDF</v>
      </c>
      <c r="K8258" s="12" t="s">
        <v>14577</v>
      </c>
      <c r="L8258" s="20">
        <v>0.2048192771084337</v>
      </c>
    </row>
    <row r="8259" spans="1:12" x14ac:dyDescent="0.45">
      <c r="A8259" s="12" t="s">
        <v>14550</v>
      </c>
      <c r="B8259" s="12" t="s">
        <v>86</v>
      </c>
      <c r="C8259" s="13" t="s">
        <v>87</v>
      </c>
      <c r="D8259" s="13" t="s">
        <v>23</v>
      </c>
      <c r="E8259" s="12" t="s">
        <v>16</v>
      </c>
      <c r="F8259" s="14">
        <v>149000</v>
      </c>
      <c r="G8259" s="14">
        <v>113700</v>
      </c>
      <c r="H8259" s="13" t="s">
        <v>14578</v>
      </c>
      <c r="I8259" s="40" t="s">
        <v>18</v>
      </c>
      <c r="J8259" s="40" t="str">
        <f>HYPERLINK("https://stock.pstatic.net/stock-research/company/21/20251027_company_910473000.pdf","PDF")</f>
        <v>PDF</v>
      </c>
      <c r="K8259" s="12" t="s">
        <v>14579</v>
      </c>
      <c r="L8259" s="20">
        <v>0.31046613896218123</v>
      </c>
    </row>
    <row r="8260" spans="1:12" x14ac:dyDescent="0.45">
      <c r="A8260" s="12" t="s">
        <v>14550</v>
      </c>
      <c r="B8260" s="12" t="s">
        <v>2819</v>
      </c>
      <c r="C8260" s="13" t="s">
        <v>2820</v>
      </c>
      <c r="D8260" s="13" t="s">
        <v>23</v>
      </c>
      <c r="E8260" s="12" t="s">
        <v>50</v>
      </c>
      <c r="F8260" s="13"/>
      <c r="G8260" s="14">
        <v>16000</v>
      </c>
      <c r="H8260" s="13" t="s">
        <v>14580</v>
      </c>
      <c r="I8260" s="40" t="s">
        <v>18</v>
      </c>
      <c r="J8260" s="40" t="str">
        <f>HYPERLINK("https://stock.pstatic.net/stock-research/company/21/20251027_company_580436000.pdf","PDF")</f>
        <v>PDF</v>
      </c>
      <c r="K8260" s="12" t="s">
        <v>14581</v>
      </c>
    </row>
    <row r="8261" spans="1:12" x14ac:dyDescent="0.45">
      <c r="A8261" s="12" t="s">
        <v>14550</v>
      </c>
      <c r="B8261" s="12" t="s">
        <v>2613</v>
      </c>
      <c r="C8261" s="13" t="s">
        <v>2614</v>
      </c>
      <c r="D8261" s="13" t="s">
        <v>44</v>
      </c>
      <c r="E8261" s="12" t="s">
        <v>35</v>
      </c>
      <c r="F8261" s="14">
        <v>450000</v>
      </c>
      <c r="G8261" s="14">
        <v>263500</v>
      </c>
      <c r="H8261" s="13" t="s">
        <v>14582</v>
      </c>
      <c r="I8261" s="40" t="s">
        <v>18</v>
      </c>
      <c r="J8261" s="40" t="str">
        <f>HYPERLINK("https://stock.pstatic.net/stock-research/company/39/20251027_company_953444000.pdf","PDF")</f>
        <v>PDF</v>
      </c>
      <c r="K8261" s="12" t="s">
        <v>14583</v>
      </c>
      <c r="L8261" s="20">
        <v>0.70777988614800758</v>
      </c>
    </row>
    <row r="8262" spans="1:12" x14ac:dyDescent="0.45">
      <c r="A8262" s="12" t="s">
        <v>14550</v>
      </c>
      <c r="B8262" s="12" t="s">
        <v>4253</v>
      </c>
      <c r="C8262" s="13" t="s">
        <v>4254</v>
      </c>
      <c r="D8262" s="13" t="s">
        <v>23</v>
      </c>
      <c r="E8262" s="12" t="s">
        <v>50</v>
      </c>
      <c r="F8262" s="13"/>
      <c r="G8262" s="14">
        <v>184600</v>
      </c>
      <c r="H8262" s="13" t="s">
        <v>14584</v>
      </c>
      <c r="I8262" s="40" t="s">
        <v>18</v>
      </c>
      <c r="J8262" s="40" t="str">
        <f>HYPERLINK("https://stock.pstatic.net/stock-research/company/21/20251027_company_424348000.pdf","PDF")</f>
        <v>PDF</v>
      </c>
      <c r="K8262" s="12" t="s">
        <v>14585</v>
      </c>
    </row>
    <row r="8263" spans="1:12" x14ac:dyDescent="0.45">
      <c r="A8263" s="12" t="s">
        <v>14550</v>
      </c>
      <c r="B8263" s="12" t="s">
        <v>2105</v>
      </c>
      <c r="C8263" s="13" t="s">
        <v>2106</v>
      </c>
      <c r="D8263" s="13" t="s">
        <v>23</v>
      </c>
      <c r="E8263" s="12" t="s">
        <v>16</v>
      </c>
      <c r="F8263" s="14">
        <v>45000</v>
      </c>
      <c r="G8263" s="14">
        <v>38700</v>
      </c>
      <c r="H8263" s="13" t="s">
        <v>14586</v>
      </c>
      <c r="I8263" s="40" t="s">
        <v>18</v>
      </c>
      <c r="J8263" s="40" t="str">
        <f>HYPERLINK("https://stock.pstatic.net/stock-research/company/21/20251027_company_160958000.pdf","PDF")</f>
        <v>PDF</v>
      </c>
      <c r="K8263" s="12" t="s">
        <v>14587</v>
      </c>
      <c r="L8263" s="20">
        <v>0.16279069767441859</v>
      </c>
    </row>
    <row r="8264" spans="1:12" x14ac:dyDescent="0.45">
      <c r="A8264" s="12" t="s">
        <v>14550</v>
      </c>
      <c r="B8264" s="12" t="s">
        <v>1906</v>
      </c>
      <c r="C8264" s="13" t="s">
        <v>1907</v>
      </c>
      <c r="D8264" s="13" t="s">
        <v>23</v>
      </c>
      <c r="E8264" s="12" t="s">
        <v>16</v>
      </c>
      <c r="F8264" s="14">
        <v>41000</v>
      </c>
      <c r="G8264" s="14">
        <v>35000</v>
      </c>
      <c r="H8264" s="13" t="s">
        <v>14588</v>
      </c>
      <c r="I8264" s="40" t="s">
        <v>18</v>
      </c>
      <c r="J8264" s="40" t="str">
        <f>HYPERLINK("https://stock.pstatic.net/stock-research/company/21/20251027_company_358374000.pdf","PDF")</f>
        <v>PDF</v>
      </c>
      <c r="K8264" s="12" t="s">
        <v>14589</v>
      </c>
      <c r="L8264" s="20">
        <v>0.1714285714285714</v>
      </c>
    </row>
    <row r="8265" spans="1:12" x14ac:dyDescent="0.45">
      <c r="A8265" s="12" t="s">
        <v>14550</v>
      </c>
      <c r="B8265" s="12" t="s">
        <v>14590</v>
      </c>
      <c r="C8265" s="13" t="s">
        <v>14591</v>
      </c>
      <c r="D8265" s="13" t="s">
        <v>124</v>
      </c>
      <c r="E8265" s="12" t="s">
        <v>50</v>
      </c>
      <c r="F8265" s="13"/>
      <c r="G8265" s="13"/>
      <c r="H8265" s="13" t="s">
        <v>14592</v>
      </c>
      <c r="I8265" s="40" t="s">
        <v>18</v>
      </c>
      <c r="J8265" s="40" t="str">
        <f>HYPERLINK("https://stock.pstatic.net/stock-research/company/74/20251027_company_696895000.pdf","PDF")</f>
        <v>PDF</v>
      </c>
      <c r="K8265" s="12" t="s">
        <v>14593</v>
      </c>
    </row>
    <row r="8266" spans="1:12" x14ac:dyDescent="0.45">
      <c r="A8266" s="12" t="s">
        <v>14550</v>
      </c>
      <c r="B8266" s="12" t="s">
        <v>6642</v>
      </c>
      <c r="C8266" s="13" t="s">
        <v>6643</v>
      </c>
      <c r="D8266" s="13" t="s">
        <v>124</v>
      </c>
      <c r="E8266" s="12" t="s">
        <v>50</v>
      </c>
      <c r="F8266" s="13"/>
      <c r="G8266" s="13"/>
      <c r="H8266" s="13" t="s">
        <v>14594</v>
      </c>
      <c r="I8266" s="40" t="s">
        <v>18</v>
      </c>
      <c r="J8266" s="40" t="str">
        <f>HYPERLINK("https://stock.pstatic.net/stock-research/company/74/20251027_company_627830000.pdf","PDF")</f>
        <v>PDF</v>
      </c>
      <c r="K8266" s="12" t="s">
        <v>14595</v>
      </c>
    </row>
    <row r="8267" spans="1:12" x14ac:dyDescent="0.45">
      <c r="A8267" s="12" t="s">
        <v>14550</v>
      </c>
      <c r="B8267" s="12" t="s">
        <v>14596</v>
      </c>
      <c r="C8267" s="13" t="s">
        <v>14597</v>
      </c>
      <c r="D8267" s="13" t="s">
        <v>124</v>
      </c>
      <c r="E8267" s="12" t="s">
        <v>50</v>
      </c>
      <c r="F8267" s="13"/>
      <c r="G8267" s="13"/>
      <c r="H8267" s="13" t="s">
        <v>14598</v>
      </c>
      <c r="I8267" s="40" t="s">
        <v>18</v>
      </c>
      <c r="J8267" s="40" t="str">
        <f>HYPERLINK("https://stock.pstatic.net/stock-research/company/74/20251027_company_830107000.pdf","PDF")</f>
        <v>PDF</v>
      </c>
      <c r="K8267" s="12" t="s">
        <v>14599</v>
      </c>
    </row>
    <row r="8268" spans="1:12" x14ac:dyDescent="0.45">
      <c r="A8268" s="12" t="s">
        <v>14600</v>
      </c>
      <c r="B8268" s="12" t="s">
        <v>14601</v>
      </c>
      <c r="C8268" s="13" t="s">
        <v>14602</v>
      </c>
      <c r="D8268" s="13" t="s">
        <v>65</v>
      </c>
      <c r="E8268" s="12" t="s">
        <v>50</v>
      </c>
      <c r="F8268" s="13"/>
      <c r="G8268" s="14">
        <v>45300</v>
      </c>
      <c r="H8268" s="13" t="s">
        <v>14603</v>
      </c>
      <c r="I8268" s="40" t="s">
        <v>18</v>
      </c>
      <c r="J8268" s="40" t="str">
        <f>HYPERLINK("https://stock.pstatic.net/stock-research/company/57/20251024_company_995976000.pdf","PDF")</f>
        <v>PDF</v>
      </c>
      <c r="K8268" s="12" t="s">
        <v>14604</v>
      </c>
    </row>
    <row r="8269" spans="1:12" x14ac:dyDescent="0.45">
      <c r="A8269" s="12" t="s">
        <v>14600</v>
      </c>
      <c r="B8269" s="12" t="s">
        <v>76</v>
      </c>
      <c r="C8269" s="13" t="s">
        <v>77</v>
      </c>
      <c r="D8269" s="13" t="s">
        <v>65</v>
      </c>
      <c r="E8269" s="12" t="s">
        <v>1738</v>
      </c>
      <c r="F8269" s="14">
        <v>21000</v>
      </c>
      <c r="G8269" s="14">
        <v>20750</v>
      </c>
      <c r="H8269" s="13" t="s">
        <v>14605</v>
      </c>
      <c r="I8269" s="40" t="s">
        <v>18</v>
      </c>
      <c r="J8269" s="40" t="str">
        <f>HYPERLINK("https://stock.pstatic.net/stock-research/company/57/20251024_company_338265000.pdf","PDF")</f>
        <v>PDF</v>
      </c>
      <c r="K8269" s="12" t="s">
        <v>14606</v>
      </c>
      <c r="L8269" s="20">
        <v>1.204819277108434E-2</v>
      </c>
    </row>
    <row r="8270" spans="1:12" x14ac:dyDescent="0.45">
      <c r="A8270" s="12" t="s">
        <v>14600</v>
      </c>
      <c r="B8270" s="12" t="s">
        <v>744</v>
      </c>
      <c r="C8270" s="13" t="s">
        <v>745</v>
      </c>
      <c r="D8270" s="13" t="s">
        <v>65</v>
      </c>
      <c r="E8270" s="12" t="s">
        <v>35</v>
      </c>
      <c r="F8270" s="14">
        <v>30000</v>
      </c>
      <c r="G8270" s="14">
        <v>23900</v>
      </c>
      <c r="H8270" s="13" t="s">
        <v>14607</v>
      </c>
      <c r="I8270" s="40" t="s">
        <v>18</v>
      </c>
      <c r="J8270" s="40" t="str">
        <f>HYPERLINK("https://stock.pstatic.net/stock-research/company/57/20251024_company_388890000.pdf","PDF")</f>
        <v>PDF</v>
      </c>
      <c r="K8270" s="12" t="s">
        <v>14608</v>
      </c>
      <c r="L8270" s="20">
        <v>0.25523012552301261</v>
      </c>
    </row>
    <row r="8271" spans="1:12" x14ac:dyDescent="0.45">
      <c r="A8271" s="12" t="s">
        <v>14600</v>
      </c>
      <c r="B8271" s="12" t="s">
        <v>3182</v>
      </c>
      <c r="C8271" s="13" t="s">
        <v>3183</v>
      </c>
      <c r="D8271" s="13" t="s">
        <v>65</v>
      </c>
      <c r="E8271" s="12" t="s">
        <v>35</v>
      </c>
      <c r="F8271" s="14">
        <v>900000</v>
      </c>
      <c r="G8271" s="14">
        <v>746000</v>
      </c>
      <c r="H8271" s="13" t="s">
        <v>14609</v>
      </c>
      <c r="I8271" s="40" t="s">
        <v>18</v>
      </c>
      <c r="J8271" s="40" t="str">
        <f>HYPERLINK("https://stock.pstatic.net/stock-research/company/57/20251024_company_555635000.pdf","PDF")</f>
        <v>PDF</v>
      </c>
      <c r="K8271" s="12" t="s">
        <v>14610</v>
      </c>
      <c r="L8271" s="20">
        <v>0.2064343163538874</v>
      </c>
    </row>
    <row r="8272" spans="1:12" x14ac:dyDescent="0.45">
      <c r="A8272" s="12" t="s">
        <v>14600</v>
      </c>
      <c r="B8272" s="12" t="s">
        <v>3182</v>
      </c>
      <c r="C8272" s="13" t="s">
        <v>3183</v>
      </c>
      <c r="D8272" s="13" t="s">
        <v>158</v>
      </c>
      <c r="E8272" s="12" t="s">
        <v>35</v>
      </c>
      <c r="F8272" s="14">
        <v>910000</v>
      </c>
      <c r="G8272" s="14">
        <v>746000</v>
      </c>
      <c r="H8272" s="13" t="s">
        <v>14611</v>
      </c>
      <c r="I8272" s="40" t="s">
        <v>18</v>
      </c>
      <c r="J8272" s="40" t="str">
        <f>HYPERLINK("https://stock.pstatic.net/stock-research/company/18/20251024_company_65913000.pdf","PDF")</f>
        <v>PDF</v>
      </c>
      <c r="K8272" s="12" t="s">
        <v>14612</v>
      </c>
      <c r="L8272" s="20">
        <v>0.21983914209115279</v>
      </c>
    </row>
    <row r="8273" spans="1:12" x14ac:dyDescent="0.45">
      <c r="A8273" s="12" t="s">
        <v>14600</v>
      </c>
      <c r="B8273" s="12" t="s">
        <v>1690</v>
      </c>
      <c r="C8273" s="13" t="s">
        <v>1691</v>
      </c>
      <c r="D8273" s="13" t="s">
        <v>158</v>
      </c>
      <c r="E8273" s="12" t="s">
        <v>35</v>
      </c>
      <c r="F8273" s="14">
        <v>150000</v>
      </c>
      <c r="G8273" s="14">
        <v>124500</v>
      </c>
      <c r="H8273" s="13" t="s">
        <v>14613</v>
      </c>
      <c r="I8273" s="40" t="s">
        <v>18</v>
      </c>
      <c r="J8273" s="40" t="str">
        <f>HYPERLINK("https://stock.pstatic.net/stock-research/company/18/20251024_company_325184000.pdf","PDF")</f>
        <v>PDF</v>
      </c>
      <c r="K8273" s="12" t="s">
        <v>14614</v>
      </c>
      <c r="L8273" s="20">
        <v>0.2048192771084337</v>
      </c>
    </row>
    <row r="8274" spans="1:12" x14ac:dyDescent="0.45">
      <c r="A8274" s="12" t="s">
        <v>14600</v>
      </c>
      <c r="B8274" s="12" t="s">
        <v>744</v>
      </c>
      <c r="C8274" s="13" t="s">
        <v>745</v>
      </c>
      <c r="D8274" s="13" t="s">
        <v>158</v>
      </c>
      <c r="E8274" s="12" t="s">
        <v>35</v>
      </c>
      <c r="F8274" s="14">
        <v>31000</v>
      </c>
      <c r="G8274" s="14">
        <v>23900</v>
      </c>
      <c r="H8274" s="13" t="s">
        <v>14615</v>
      </c>
      <c r="I8274" s="40" t="s">
        <v>18</v>
      </c>
      <c r="J8274" s="40" t="str">
        <f>HYPERLINK("https://stock.pstatic.net/stock-research/company/18/20251024_company_444239000.pdf","PDF")</f>
        <v>PDF</v>
      </c>
      <c r="K8274" s="12" t="s">
        <v>14616</v>
      </c>
      <c r="L8274" s="20">
        <v>0.29707112970711302</v>
      </c>
    </row>
    <row r="8275" spans="1:12" x14ac:dyDescent="0.45">
      <c r="A8275" s="12" t="s">
        <v>14600</v>
      </c>
      <c r="B8275" s="12" t="s">
        <v>744</v>
      </c>
      <c r="C8275" s="13" t="s">
        <v>745</v>
      </c>
      <c r="D8275" s="13" t="s">
        <v>78</v>
      </c>
      <c r="E8275" s="12" t="s">
        <v>50</v>
      </c>
      <c r="F8275" s="13"/>
      <c r="G8275" s="13"/>
      <c r="H8275" s="13" t="s">
        <v>14617</v>
      </c>
      <c r="I8275" s="40" t="s">
        <v>18</v>
      </c>
      <c r="J8275" s="40" t="str">
        <f>HYPERLINK("https://m.stock.naver.com/research/company/87043","PDF")</f>
        <v>PDF</v>
      </c>
      <c r="K8275" s="12" t="s">
        <v>14618</v>
      </c>
    </row>
    <row r="8276" spans="1:12" x14ac:dyDescent="0.45">
      <c r="A8276" s="12" t="s">
        <v>14600</v>
      </c>
      <c r="B8276" s="12" t="s">
        <v>1097</v>
      </c>
      <c r="C8276" s="13" t="s">
        <v>1098</v>
      </c>
      <c r="D8276" s="13" t="s">
        <v>15</v>
      </c>
      <c r="E8276" s="12" t="s">
        <v>16</v>
      </c>
      <c r="F8276" s="14">
        <v>140000</v>
      </c>
      <c r="G8276" s="14">
        <v>104800</v>
      </c>
      <c r="H8276" s="13" t="s">
        <v>14619</v>
      </c>
      <c r="I8276" s="40" t="s">
        <v>18</v>
      </c>
      <c r="J8276" s="40" t="str">
        <f>HYPERLINK("https://stock.pstatic.net/stock-research/company/29/20251024_company_795794000.pdf","PDF")</f>
        <v>PDF</v>
      </c>
      <c r="K8276" s="12" t="s">
        <v>14620</v>
      </c>
      <c r="L8276" s="20">
        <v>0.33587786259541991</v>
      </c>
    </row>
    <row r="8277" spans="1:12" x14ac:dyDescent="0.45">
      <c r="A8277" s="12" t="s">
        <v>14600</v>
      </c>
      <c r="B8277" s="12" t="s">
        <v>744</v>
      </c>
      <c r="C8277" s="13" t="s">
        <v>745</v>
      </c>
      <c r="D8277" s="13" t="s">
        <v>15</v>
      </c>
      <c r="E8277" s="12" t="s">
        <v>16</v>
      </c>
      <c r="F8277" s="14">
        <v>31000</v>
      </c>
      <c r="G8277" s="14">
        <v>23900</v>
      </c>
      <c r="H8277" s="13" t="s">
        <v>14621</v>
      </c>
      <c r="I8277" s="40" t="s">
        <v>18</v>
      </c>
      <c r="J8277" s="40" t="str">
        <f>HYPERLINK("https://stock.pstatic.net/stock-research/company/29/20251024_company_457799000.pdf","PDF")</f>
        <v>PDF</v>
      </c>
      <c r="K8277" s="12" t="s">
        <v>14622</v>
      </c>
      <c r="L8277" s="20">
        <v>0.29707112970711302</v>
      </c>
    </row>
    <row r="8278" spans="1:12" x14ac:dyDescent="0.45">
      <c r="A8278" s="12" t="s">
        <v>14600</v>
      </c>
      <c r="B8278" s="12" t="s">
        <v>5912</v>
      </c>
      <c r="C8278" s="13" t="s">
        <v>5913</v>
      </c>
      <c r="D8278" s="13" t="s">
        <v>124</v>
      </c>
      <c r="E8278" s="12" t="s">
        <v>50</v>
      </c>
      <c r="F8278" s="13"/>
      <c r="G8278" s="13"/>
      <c r="H8278" s="13" t="s">
        <v>14623</v>
      </c>
      <c r="I8278" s="40" t="s">
        <v>18</v>
      </c>
      <c r="J8278" s="40" t="str">
        <f>HYPERLINK("https://stock.pstatic.net/stock-research/company/74/20251024_company_517905000.pdf","PDF")</f>
        <v>PDF</v>
      </c>
      <c r="K8278" s="12" t="s">
        <v>14624</v>
      </c>
    </row>
    <row r="8279" spans="1:12" x14ac:dyDescent="0.45">
      <c r="A8279" s="12" t="s">
        <v>14600</v>
      </c>
      <c r="B8279" s="12" t="s">
        <v>744</v>
      </c>
      <c r="C8279" s="13" t="s">
        <v>745</v>
      </c>
      <c r="D8279" s="13" t="s">
        <v>34</v>
      </c>
      <c r="E8279" s="12" t="s">
        <v>35</v>
      </c>
      <c r="F8279" s="14">
        <v>30000</v>
      </c>
      <c r="G8279" s="14">
        <v>23900</v>
      </c>
      <c r="H8279" s="13" t="s">
        <v>14625</v>
      </c>
      <c r="I8279" s="40" t="s">
        <v>18</v>
      </c>
      <c r="J8279" s="40" t="str">
        <f>HYPERLINK("https://stock.pstatic.net/stock-research/company/61/20251024_company_154977000.pdf","PDF")</f>
        <v>PDF</v>
      </c>
      <c r="K8279" s="12" t="s">
        <v>14626</v>
      </c>
      <c r="L8279" s="20">
        <v>0.25523012552301261</v>
      </c>
    </row>
    <row r="8280" spans="1:12" x14ac:dyDescent="0.45">
      <c r="A8280" s="12" t="s">
        <v>14600</v>
      </c>
      <c r="B8280" s="12" t="s">
        <v>3182</v>
      </c>
      <c r="C8280" s="13" t="s">
        <v>3183</v>
      </c>
      <c r="D8280" s="13" t="s">
        <v>179</v>
      </c>
      <c r="E8280" s="12" t="s">
        <v>16</v>
      </c>
      <c r="F8280" s="14">
        <v>1000000</v>
      </c>
      <c r="G8280" s="14">
        <v>746000</v>
      </c>
      <c r="H8280" s="13" t="s">
        <v>14627</v>
      </c>
      <c r="I8280" s="40" t="s">
        <v>18</v>
      </c>
      <c r="J8280" s="40" t="str">
        <f>HYPERLINK("https://stock.pstatic.net/stock-research/company/64/20251024_company_264038000.pdf","PDF")</f>
        <v>PDF</v>
      </c>
      <c r="K8280" s="12" t="s">
        <v>14628</v>
      </c>
      <c r="L8280" s="20">
        <v>0.34048257372654162</v>
      </c>
    </row>
    <row r="8281" spans="1:12" x14ac:dyDescent="0.45">
      <c r="A8281" s="12" t="s">
        <v>14600</v>
      </c>
      <c r="B8281" s="12" t="s">
        <v>744</v>
      </c>
      <c r="C8281" s="13" t="s">
        <v>745</v>
      </c>
      <c r="D8281" s="13" t="s">
        <v>179</v>
      </c>
      <c r="E8281" s="12" t="s">
        <v>16</v>
      </c>
      <c r="F8281" s="14">
        <v>32000</v>
      </c>
      <c r="G8281" s="14">
        <v>23900</v>
      </c>
      <c r="H8281" s="13" t="s">
        <v>14629</v>
      </c>
      <c r="I8281" s="40" t="s">
        <v>18</v>
      </c>
      <c r="J8281" s="40" t="str">
        <f>HYPERLINK("https://stock.pstatic.net/stock-research/company/64/20251024_company_413382000.pdf","PDF")</f>
        <v>PDF</v>
      </c>
      <c r="K8281" s="12" t="s">
        <v>14630</v>
      </c>
      <c r="L8281" s="20">
        <v>0.33891213389121339</v>
      </c>
    </row>
    <row r="8282" spans="1:12" x14ac:dyDescent="0.45">
      <c r="A8282" s="12" t="s">
        <v>14600</v>
      </c>
      <c r="B8282" s="12" t="s">
        <v>744</v>
      </c>
      <c r="C8282" s="13" t="s">
        <v>745</v>
      </c>
      <c r="D8282" s="13" t="s">
        <v>53</v>
      </c>
      <c r="E8282" s="12" t="s">
        <v>16</v>
      </c>
      <c r="F8282" s="14">
        <v>34000</v>
      </c>
      <c r="G8282" s="14">
        <v>23900</v>
      </c>
      <c r="H8282" s="13" t="s">
        <v>14631</v>
      </c>
      <c r="I8282" s="40" t="s">
        <v>18</v>
      </c>
      <c r="J8282" s="40" t="str">
        <f>HYPERLINK("https://stock.pstatic.net/stock-research/company/40/20251024_company_673728000.pdf","PDF")</f>
        <v>PDF</v>
      </c>
      <c r="K8282" s="12" t="s">
        <v>14632</v>
      </c>
      <c r="L8282" s="20">
        <v>0.42259414225941422</v>
      </c>
    </row>
    <row r="8283" spans="1:12" x14ac:dyDescent="0.45">
      <c r="A8283" s="12" t="s">
        <v>14600</v>
      </c>
      <c r="B8283" s="12" t="s">
        <v>1407</v>
      </c>
      <c r="C8283" s="13" t="s">
        <v>1408</v>
      </c>
      <c r="D8283" s="13" t="s">
        <v>92</v>
      </c>
      <c r="E8283" s="12" t="s">
        <v>35</v>
      </c>
      <c r="F8283" s="14">
        <v>66000</v>
      </c>
      <c r="G8283" s="14">
        <v>49250</v>
      </c>
      <c r="H8283" s="13" t="s">
        <v>14633</v>
      </c>
      <c r="I8283" s="40" t="s">
        <v>18</v>
      </c>
      <c r="J8283" s="40" t="str">
        <f>HYPERLINK("https://stock.pstatic.net/stock-research/company/63/20251024_company_763800000.pdf","PDF")</f>
        <v>PDF</v>
      </c>
      <c r="K8283" s="12" t="s">
        <v>14634</v>
      </c>
      <c r="L8283" s="20">
        <v>0.34010152284263961</v>
      </c>
    </row>
    <row r="8284" spans="1:12" x14ac:dyDescent="0.45">
      <c r="A8284" s="12" t="s">
        <v>14600</v>
      </c>
      <c r="B8284" s="12" t="s">
        <v>744</v>
      </c>
      <c r="C8284" s="13" t="s">
        <v>745</v>
      </c>
      <c r="D8284" s="13" t="s">
        <v>23</v>
      </c>
      <c r="E8284" s="12" t="s">
        <v>16</v>
      </c>
      <c r="F8284" s="14">
        <v>30000</v>
      </c>
      <c r="G8284" s="14">
        <v>23900</v>
      </c>
      <c r="H8284" s="13" t="s">
        <v>14635</v>
      </c>
      <c r="I8284" s="40" t="s">
        <v>18</v>
      </c>
      <c r="J8284" s="40" t="str">
        <f>HYPERLINK("https://stock.pstatic.net/stock-research/company/21/20251024_company_255553000.pdf","PDF")</f>
        <v>PDF</v>
      </c>
      <c r="K8284" s="12" t="s">
        <v>14636</v>
      </c>
      <c r="L8284" s="20">
        <v>0.25523012552301261</v>
      </c>
    </row>
    <row r="8285" spans="1:12" x14ac:dyDescent="0.45">
      <c r="A8285" s="12" t="s">
        <v>14600</v>
      </c>
      <c r="B8285" s="12" t="s">
        <v>3182</v>
      </c>
      <c r="C8285" s="13" t="s">
        <v>3183</v>
      </c>
      <c r="D8285" s="13" t="s">
        <v>23</v>
      </c>
      <c r="E8285" s="12" t="s">
        <v>16</v>
      </c>
      <c r="F8285" s="14">
        <v>1000000</v>
      </c>
      <c r="G8285" s="14">
        <v>746000</v>
      </c>
      <c r="H8285" s="13" t="s">
        <v>14637</v>
      </c>
      <c r="I8285" s="40" t="s">
        <v>18</v>
      </c>
      <c r="J8285" s="40" t="str">
        <f>HYPERLINK("https://stock.pstatic.net/stock-research/company/21/20251024_company_228679000.pdf","PDF")</f>
        <v>PDF</v>
      </c>
      <c r="K8285" s="12" t="s">
        <v>14638</v>
      </c>
      <c r="L8285" s="20">
        <v>0.34048257372654162</v>
      </c>
    </row>
    <row r="8286" spans="1:12" x14ac:dyDescent="0.45">
      <c r="A8286" s="12" t="s">
        <v>14600</v>
      </c>
      <c r="B8286" s="12" t="s">
        <v>14639</v>
      </c>
      <c r="C8286" s="13" t="s">
        <v>14640</v>
      </c>
      <c r="D8286" s="13" t="s">
        <v>124</v>
      </c>
      <c r="E8286" s="12" t="s">
        <v>50</v>
      </c>
      <c r="F8286" s="13"/>
      <c r="G8286" s="13"/>
      <c r="H8286" s="13" t="s">
        <v>14641</v>
      </c>
      <c r="I8286" s="40" t="s">
        <v>18</v>
      </c>
      <c r="J8286" s="40" t="str">
        <f>HYPERLINK("https://stock.pstatic.net/stock-research/company/74/20251024_company_110308000.pdf","PDF")</f>
        <v>PDF</v>
      </c>
      <c r="K8286" s="12" t="s">
        <v>14642</v>
      </c>
    </row>
    <row r="8287" spans="1:12" x14ac:dyDescent="0.45">
      <c r="A8287" s="12" t="s">
        <v>14600</v>
      </c>
      <c r="B8287" s="12" t="s">
        <v>14643</v>
      </c>
      <c r="C8287" s="13" t="s">
        <v>14644</v>
      </c>
      <c r="D8287" s="13" t="s">
        <v>124</v>
      </c>
      <c r="E8287" s="12" t="s">
        <v>50</v>
      </c>
      <c r="F8287" s="13"/>
      <c r="G8287" s="13"/>
      <c r="H8287" s="13" t="s">
        <v>14645</v>
      </c>
      <c r="I8287" s="40" t="s">
        <v>18</v>
      </c>
      <c r="J8287" s="40" t="str">
        <f>HYPERLINK("https://stock.pstatic.net/stock-research/company/74/20251024_company_901538000.pdf","PDF")</f>
        <v>PDF</v>
      </c>
      <c r="K8287" s="12" t="s">
        <v>14646</v>
      </c>
    </row>
    <row r="8288" spans="1:12" x14ac:dyDescent="0.45">
      <c r="A8288" s="12" t="s">
        <v>14600</v>
      </c>
      <c r="B8288" s="12" t="s">
        <v>1682</v>
      </c>
      <c r="C8288" s="13" t="s">
        <v>4787</v>
      </c>
      <c r="D8288" s="13" t="s">
        <v>53</v>
      </c>
      <c r="E8288" s="12" t="s">
        <v>16</v>
      </c>
      <c r="F8288" s="14">
        <v>280000</v>
      </c>
      <c r="G8288" s="14">
        <v>203500</v>
      </c>
      <c r="H8288" s="13" t="s">
        <v>14647</v>
      </c>
      <c r="I8288" s="40" t="s">
        <v>18</v>
      </c>
      <c r="J8288" s="40" t="str">
        <f>HYPERLINK("https://stock.pstatic.net/stock-research/company/40/20251024_company_970501000.pdf","PDF")</f>
        <v>PDF</v>
      </c>
      <c r="K8288" s="12" t="s">
        <v>14648</v>
      </c>
      <c r="L8288" s="20">
        <v>0.37592137592137592</v>
      </c>
    </row>
    <row r="8289" spans="1:12" x14ac:dyDescent="0.45">
      <c r="A8289" s="12" t="s">
        <v>14600</v>
      </c>
      <c r="B8289" s="12" t="s">
        <v>1042</v>
      </c>
      <c r="C8289" s="13" t="s">
        <v>1043</v>
      </c>
      <c r="D8289" s="13" t="s">
        <v>53</v>
      </c>
      <c r="E8289" s="12" t="s">
        <v>16</v>
      </c>
      <c r="F8289" s="14">
        <v>48000</v>
      </c>
      <c r="G8289" s="14">
        <v>25900</v>
      </c>
      <c r="H8289" s="13" t="s">
        <v>14649</v>
      </c>
      <c r="I8289" s="40" t="s">
        <v>18</v>
      </c>
      <c r="J8289" s="40" t="str">
        <f>HYPERLINK("https://stock.pstatic.net/stock-research/company/40/20251024_company_816752000.pdf","PDF")</f>
        <v>PDF</v>
      </c>
      <c r="K8289" s="12" t="s">
        <v>14650</v>
      </c>
      <c r="L8289" s="20">
        <v>0.85328185328185324</v>
      </c>
    </row>
    <row r="8290" spans="1:12" x14ac:dyDescent="0.45">
      <c r="A8290" s="12" t="s">
        <v>14600</v>
      </c>
      <c r="B8290" s="12" t="s">
        <v>14651</v>
      </c>
      <c r="C8290" s="13" t="s">
        <v>14652</v>
      </c>
      <c r="D8290" s="13" t="s">
        <v>202</v>
      </c>
      <c r="E8290" s="12" t="s">
        <v>50</v>
      </c>
      <c r="F8290" s="13"/>
      <c r="G8290" s="13"/>
      <c r="H8290" s="13" t="s">
        <v>14653</v>
      </c>
      <c r="I8290" s="40" t="s">
        <v>18</v>
      </c>
      <c r="J8290" s="40" t="str">
        <f>HYPERLINK("https://stock.pstatic.net/stock-research/company/69/20251024_company_429074000.pdf","PDF")</f>
        <v>PDF</v>
      </c>
      <c r="K8290" s="12" t="s">
        <v>14654</v>
      </c>
    </row>
    <row r="8291" spans="1:12" x14ac:dyDescent="0.45">
      <c r="A8291" s="12" t="s">
        <v>14600</v>
      </c>
      <c r="B8291" s="12" t="s">
        <v>14655</v>
      </c>
      <c r="C8291" s="13" t="s">
        <v>14656</v>
      </c>
      <c r="D8291" s="13" t="s">
        <v>11154</v>
      </c>
      <c r="E8291" s="12" t="s">
        <v>50</v>
      </c>
      <c r="F8291" s="13"/>
      <c r="G8291" s="13"/>
      <c r="H8291" s="13" t="s">
        <v>14657</v>
      </c>
      <c r="I8291" s="40" t="s">
        <v>18</v>
      </c>
      <c r="J8291" s="40" t="str">
        <f>HYPERLINK("https://stock.pstatic.net/stock-research/company/79/20251024_company_86963000.pdf","PDF")</f>
        <v>PDF</v>
      </c>
      <c r="K8291" s="12" t="s">
        <v>14658</v>
      </c>
    </row>
    <row r="8292" spans="1:12" x14ac:dyDescent="0.45">
      <c r="A8292" s="12" t="s">
        <v>14600</v>
      </c>
      <c r="B8292" s="12" t="s">
        <v>14659</v>
      </c>
      <c r="C8292" s="13" t="s">
        <v>14660</v>
      </c>
      <c r="D8292" s="13" t="s">
        <v>202</v>
      </c>
      <c r="E8292" s="12" t="s">
        <v>50</v>
      </c>
      <c r="F8292" s="13"/>
      <c r="G8292" s="13"/>
      <c r="H8292" s="13" t="s">
        <v>14661</v>
      </c>
      <c r="I8292" s="40" t="s">
        <v>18</v>
      </c>
      <c r="J8292" s="40" t="str">
        <f>HYPERLINK("https://stock.pstatic.net/stock-research/company/69/20251024_company_780257000.pdf","PDF")</f>
        <v>PDF</v>
      </c>
      <c r="K8292" s="12" t="s">
        <v>14662</v>
      </c>
    </row>
    <row r="8293" spans="1:12" x14ac:dyDescent="0.45">
      <c r="A8293" s="12" t="s">
        <v>14600</v>
      </c>
      <c r="B8293" s="12" t="s">
        <v>1073</v>
      </c>
      <c r="C8293" s="13" t="s">
        <v>1074</v>
      </c>
      <c r="D8293" s="13" t="s">
        <v>11154</v>
      </c>
      <c r="E8293" s="12" t="s">
        <v>50</v>
      </c>
      <c r="F8293" s="13"/>
      <c r="G8293" s="13"/>
      <c r="H8293" s="13" t="s">
        <v>14663</v>
      </c>
      <c r="I8293" s="40" t="s">
        <v>18</v>
      </c>
      <c r="J8293" s="40" t="str">
        <f>HYPERLINK("https://stock.pstatic.net/stock-research/company/79/20251024_company_803549000.pdf","PDF")</f>
        <v>PDF</v>
      </c>
      <c r="K8293" s="12" t="s">
        <v>14664</v>
      </c>
    </row>
    <row r="8294" spans="1:12" x14ac:dyDescent="0.45">
      <c r="A8294" s="12" t="s">
        <v>14600</v>
      </c>
      <c r="B8294" s="12" t="s">
        <v>14665</v>
      </c>
      <c r="C8294" s="13" t="s">
        <v>14666</v>
      </c>
      <c r="D8294" s="13" t="s">
        <v>202</v>
      </c>
      <c r="E8294" s="12" t="s">
        <v>50</v>
      </c>
      <c r="F8294" s="13"/>
      <c r="G8294" s="13"/>
      <c r="H8294" s="13" t="s">
        <v>14667</v>
      </c>
      <c r="I8294" s="40" t="s">
        <v>18</v>
      </c>
      <c r="J8294" s="40" t="str">
        <f>HYPERLINK("https://stock.pstatic.net/stock-research/company/69/20251024_company_93631000.pdf","PDF")</f>
        <v>PDF</v>
      </c>
      <c r="K8294" s="12" t="s">
        <v>14668</v>
      </c>
    </row>
    <row r="8295" spans="1:12" x14ac:dyDescent="0.45">
      <c r="A8295" s="12" t="s">
        <v>14600</v>
      </c>
      <c r="B8295" s="12" t="s">
        <v>14669</v>
      </c>
      <c r="C8295" s="13" t="s">
        <v>14670</v>
      </c>
      <c r="D8295" s="13" t="s">
        <v>202</v>
      </c>
      <c r="E8295" s="12" t="s">
        <v>50</v>
      </c>
      <c r="F8295" s="13"/>
      <c r="G8295" s="13"/>
      <c r="H8295" s="13" t="s">
        <v>14671</v>
      </c>
      <c r="I8295" s="40" t="s">
        <v>18</v>
      </c>
      <c r="J8295" s="40" t="str">
        <f>HYPERLINK("https://stock.pstatic.net/stock-research/company/69/20251024_company_82184000.pdf","PDF")</f>
        <v>PDF</v>
      </c>
      <c r="K8295" s="12" t="s">
        <v>14672</v>
      </c>
    </row>
    <row r="8296" spans="1:12" x14ac:dyDescent="0.45">
      <c r="A8296" s="12" t="s">
        <v>14600</v>
      </c>
      <c r="B8296" s="12" t="s">
        <v>6751</v>
      </c>
      <c r="C8296" s="13" t="s">
        <v>6752</v>
      </c>
      <c r="D8296" s="13" t="s">
        <v>202</v>
      </c>
      <c r="E8296" s="12" t="s">
        <v>50</v>
      </c>
      <c r="F8296" s="13"/>
      <c r="G8296" s="13"/>
      <c r="H8296" s="13" t="s">
        <v>14673</v>
      </c>
      <c r="I8296" s="40" t="s">
        <v>18</v>
      </c>
      <c r="J8296" s="40" t="str">
        <f>HYPERLINK("https://stock.pstatic.net/stock-research/company/69/20251024_company_21824000.pdf","PDF")</f>
        <v>PDF</v>
      </c>
      <c r="K8296" s="12" t="s">
        <v>14674</v>
      </c>
    </row>
    <row r="8297" spans="1:12" x14ac:dyDescent="0.45">
      <c r="A8297" s="12" t="s">
        <v>14600</v>
      </c>
      <c r="B8297" s="12" t="s">
        <v>14675</v>
      </c>
      <c r="C8297" s="13" t="s">
        <v>14676</v>
      </c>
      <c r="D8297" s="13" t="s">
        <v>202</v>
      </c>
      <c r="E8297" s="12" t="s">
        <v>50</v>
      </c>
      <c r="F8297" s="13"/>
      <c r="G8297" s="13"/>
      <c r="H8297" s="13" t="s">
        <v>14677</v>
      </c>
      <c r="I8297" s="40" t="s">
        <v>18</v>
      </c>
      <c r="J8297" s="40" t="str">
        <f>HYPERLINK("https://stock.pstatic.net/stock-research/company/69/20251024_company_43406000.pdf","PDF")</f>
        <v>PDF</v>
      </c>
      <c r="K8297" s="12" t="s">
        <v>14678</v>
      </c>
    </row>
    <row r="8298" spans="1:12" x14ac:dyDescent="0.45">
      <c r="A8298" s="12" t="s">
        <v>14600</v>
      </c>
      <c r="B8298" s="12" t="s">
        <v>14679</v>
      </c>
      <c r="C8298" s="13" t="s">
        <v>14680</v>
      </c>
      <c r="D8298" s="13" t="s">
        <v>202</v>
      </c>
      <c r="E8298" s="12" t="s">
        <v>50</v>
      </c>
      <c r="F8298" s="13"/>
      <c r="G8298" s="13"/>
      <c r="H8298" s="13" t="s">
        <v>14681</v>
      </c>
      <c r="I8298" s="40" t="s">
        <v>18</v>
      </c>
      <c r="J8298" s="40" t="str">
        <f>HYPERLINK("https://stock.pstatic.net/stock-research/company/69/20251024_company_493048000.pdf","PDF")</f>
        <v>PDF</v>
      </c>
      <c r="K8298" s="12" t="s">
        <v>14682</v>
      </c>
    </row>
    <row r="8299" spans="1:12" x14ac:dyDescent="0.45">
      <c r="A8299" s="12" t="s">
        <v>14600</v>
      </c>
      <c r="B8299" s="12" t="s">
        <v>14683</v>
      </c>
      <c r="C8299" s="13" t="s">
        <v>14684</v>
      </c>
      <c r="D8299" s="13" t="s">
        <v>207</v>
      </c>
      <c r="E8299" s="12" t="s">
        <v>50</v>
      </c>
      <c r="F8299" s="13"/>
      <c r="G8299" s="13"/>
      <c r="H8299" s="13" t="s">
        <v>14685</v>
      </c>
      <c r="I8299" s="40" t="s">
        <v>18</v>
      </c>
      <c r="J8299" s="40" t="str">
        <f>HYPERLINK("https://stock.pstatic.net/stock-research/company/75/20251024_company_854462000.pdf","PDF")</f>
        <v>PDF</v>
      </c>
      <c r="K8299" s="12" t="s">
        <v>14686</v>
      </c>
    </row>
    <row r="8300" spans="1:12" x14ac:dyDescent="0.45">
      <c r="A8300" s="12" t="s">
        <v>14600</v>
      </c>
      <c r="B8300" s="12" t="s">
        <v>4012</v>
      </c>
      <c r="C8300" s="13" t="s">
        <v>4013</v>
      </c>
      <c r="D8300" s="13" t="s">
        <v>207</v>
      </c>
      <c r="E8300" s="12" t="s">
        <v>50</v>
      </c>
      <c r="F8300" s="13"/>
      <c r="G8300" s="13"/>
      <c r="H8300" s="13" t="s">
        <v>14687</v>
      </c>
      <c r="I8300" s="40" t="s">
        <v>18</v>
      </c>
      <c r="J8300" s="40" t="str">
        <f>HYPERLINK("https://stock.pstatic.net/stock-research/company/75/20251024_company_429036000.pdf","PDF")</f>
        <v>PDF</v>
      </c>
      <c r="K8300" s="12" t="s">
        <v>14688</v>
      </c>
    </row>
    <row r="8301" spans="1:12" x14ac:dyDescent="0.45">
      <c r="A8301" s="12" t="s">
        <v>14689</v>
      </c>
      <c r="B8301" s="12" t="s">
        <v>1308</v>
      </c>
      <c r="C8301" s="13" t="s">
        <v>1309</v>
      </c>
      <c r="D8301" s="13" t="s">
        <v>57</v>
      </c>
      <c r="E8301" s="12" t="s">
        <v>35</v>
      </c>
      <c r="F8301" s="14">
        <v>500000</v>
      </c>
      <c r="G8301" s="14">
        <v>431000</v>
      </c>
      <c r="H8301" s="13" t="s">
        <v>14690</v>
      </c>
      <c r="I8301" s="40" t="s">
        <v>18</v>
      </c>
      <c r="J8301" s="40" t="str">
        <f>HYPERLINK("https://stock.pstatic.net/stock-research/company/16/20251023_company_209238000.pdf","PDF")</f>
        <v>PDF</v>
      </c>
      <c r="K8301" s="12" t="s">
        <v>14691</v>
      </c>
      <c r="L8301" s="20">
        <v>0.160092807424594</v>
      </c>
    </row>
    <row r="8302" spans="1:12" x14ac:dyDescent="0.45">
      <c r="A8302" s="12" t="s">
        <v>14689</v>
      </c>
      <c r="B8302" s="12" t="s">
        <v>3014</v>
      </c>
      <c r="C8302" s="13" t="s">
        <v>3015</v>
      </c>
      <c r="D8302" s="13" t="s">
        <v>57</v>
      </c>
      <c r="E8302" s="12" t="s">
        <v>35</v>
      </c>
      <c r="F8302" s="14">
        <v>200000</v>
      </c>
      <c r="G8302" s="14">
        <v>119100</v>
      </c>
      <c r="H8302" s="13" t="s">
        <v>14692</v>
      </c>
      <c r="I8302" s="40" t="s">
        <v>18</v>
      </c>
      <c r="J8302" s="40" t="str">
        <f>HYPERLINK("https://stock.pstatic.net/stock-research/company/16/20251023_company_253213000.pdf","PDF")</f>
        <v>PDF</v>
      </c>
      <c r="K8302" s="12" t="s">
        <v>14693</v>
      </c>
      <c r="L8302" s="20">
        <v>0.67926112510495384</v>
      </c>
    </row>
    <row r="8303" spans="1:12" x14ac:dyDescent="0.45">
      <c r="A8303" s="12" t="s">
        <v>14689</v>
      </c>
      <c r="B8303" s="12" t="s">
        <v>2414</v>
      </c>
      <c r="C8303" s="13" t="s">
        <v>2415</v>
      </c>
      <c r="D8303" s="13" t="s">
        <v>276</v>
      </c>
      <c r="E8303" s="12" t="s">
        <v>16</v>
      </c>
      <c r="F8303" s="14">
        <v>1000000</v>
      </c>
      <c r="G8303" s="14">
        <v>791000</v>
      </c>
      <c r="H8303" s="13" t="s">
        <v>14694</v>
      </c>
      <c r="I8303" s="40" t="s">
        <v>18</v>
      </c>
      <c r="J8303" s="40" t="str">
        <f>HYPERLINK("https://stock.pstatic.net/stock-research/company/66/20251023_company_979738000.pdf","PDF")</f>
        <v>PDF</v>
      </c>
      <c r="K8303" s="12" t="s">
        <v>14695</v>
      </c>
      <c r="L8303" s="20">
        <v>0.26422250316055618</v>
      </c>
    </row>
    <row r="8304" spans="1:12" x14ac:dyDescent="0.45">
      <c r="A8304" s="12" t="s">
        <v>14689</v>
      </c>
      <c r="B8304" s="12" t="s">
        <v>4021</v>
      </c>
      <c r="C8304" s="13" t="s">
        <v>4022</v>
      </c>
      <c r="D8304" s="13" t="s">
        <v>276</v>
      </c>
      <c r="E8304" s="12" t="s">
        <v>16</v>
      </c>
      <c r="F8304" s="14">
        <v>380000</v>
      </c>
      <c r="G8304" s="14">
        <v>319500</v>
      </c>
      <c r="H8304" s="13" t="s">
        <v>14696</v>
      </c>
      <c r="I8304" s="40" t="s">
        <v>18</v>
      </c>
      <c r="J8304" s="40" t="str">
        <f>HYPERLINK("https://stock.pstatic.net/stock-research/company/66/20251023_company_32414000.pdf","PDF")</f>
        <v>PDF</v>
      </c>
      <c r="K8304" s="12" t="s">
        <v>14697</v>
      </c>
      <c r="L8304" s="20">
        <v>0.18935837245696399</v>
      </c>
    </row>
    <row r="8305" spans="1:12" x14ac:dyDescent="0.45">
      <c r="A8305" s="12" t="s">
        <v>14689</v>
      </c>
      <c r="B8305" s="12" t="s">
        <v>4021</v>
      </c>
      <c r="C8305" s="13" t="s">
        <v>4022</v>
      </c>
      <c r="D8305" s="13" t="s">
        <v>65</v>
      </c>
      <c r="E8305" s="12" t="s">
        <v>35</v>
      </c>
      <c r="F8305" s="14">
        <v>380000</v>
      </c>
      <c r="G8305" s="14">
        <v>319500</v>
      </c>
      <c r="H8305" s="13" t="s">
        <v>14698</v>
      </c>
      <c r="I8305" s="40" t="s">
        <v>18</v>
      </c>
      <c r="J8305" s="40" t="str">
        <f>HYPERLINK("https://stock.pstatic.net/stock-research/company/57/20251023_company_155129000.pdf","PDF")</f>
        <v>PDF</v>
      </c>
      <c r="K8305" s="12" t="s">
        <v>14699</v>
      </c>
      <c r="L8305" s="20">
        <v>0.18935837245696399</v>
      </c>
    </row>
    <row r="8306" spans="1:12" x14ac:dyDescent="0.45">
      <c r="A8306" s="12" t="s">
        <v>14689</v>
      </c>
      <c r="B8306" s="12" t="s">
        <v>888</v>
      </c>
      <c r="C8306" s="13" t="s">
        <v>889</v>
      </c>
      <c r="D8306" s="13" t="s">
        <v>65</v>
      </c>
      <c r="E8306" s="12" t="s">
        <v>35</v>
      </c>
      <c r="F8306" s="14">
        <v>70000</v>
      </c>
      <c r="G8306" s="14">
        <v>50900</v>
      </c>
      <c r="H8306" s="13" t="s">
        <v>14700</v>
      </c>
      <c r="I8306" s="40" t="s">
        <v>18</v>
      </c>
      <c r="J8306" s="40" t="str">
        <f>HYPERLINK("https://stock.pstatic.net/stock-research/company/57/20251023_company_733650000.pdf","PDF")</f>
        <v>PDF</v>
      </c>
      <c r="K8306" s="12" t="s">
        <v>14701</v>
      </c>
      <c r="L8306" s="20">
        <v>0.37524557956777999</v>
      </c>
    </row>
    <row r="8307" spans="1:12" x14ac:dyDescent="0.45">
      <c r="A8307" s="12" t="s">
        <v>14689</v>
      </c>
      <c r="B8307" s="12" t="s">
        <v>9051</v>
      </c>
      <c r="C8307" s="13" t="s">
        <v>9052</v>
      </c>
      <c r="D8307" s="13" t="s">
        <v>158</v>
      </c>
      <c r="E8307" s="12" t="s">
        <v>50</v>
      </c>
      <c r="F8307" s="13"/>
      <c r="G8307" s="14">
        <v>9840</v>
      </c>
      <c r="H8307" s="13" t="s">
        <v>14702</v>
      </c>
      <c r="I8307" s="40" t="s">
        <v>18</v>
      </c>
      <c r="J8307" s="40" t="str">
        <f>HYPERLINK("https://stock.pstatic.net/stock-research/company/18/20251023_company_184569000.pdf","PDF")</f>
        <v>PDF</v>
      </c>
      <c r="K8307" s="12" t="s">
        <v>14703</v>
      </c>
    </row>
    <row r="8308" spans="1:12" x14ac:dyDescent="0.45">
      <c r="A8308" s="12" t="s">
        <v>14689</v>
      </c>
      <c r="B8308" s="12" t="s">
        <v>4021</v>
      </c>
      <c r="C8308" s="13" t="s">
        <v>4022</v>
      </c>
      <c r="D8308" s="13" t="s">
        <v>158</v>
      </c>
      <c r="E8308" s="12" t="s">
        <v>35</v>
      </c>
      <c r="F8308" s="14">
        <v>380000</v>
      </c>
      <c r="G8308" s="14">
        <v>319500</v>
      </c>
      <c r="H8308" s="13" t="s">
        <v>14704</v>
      </c>
      <c r="I8308" s="40" t="s">
        <v>18</v>
      </c>
      <c r="J8308" s="40" t="str">
        <f>HYPERLINK("https://stock.pstatic.net/stock-research/company/18/20251023_company_224024000.pdf","PDF")</f>
        <v>PDF</v>
      </c>
      <c r="K8308" s="12" t="s">
        <v>14705</v>
      </c>
      <c r="L8308" s="20">
        <v>0.18935837245696399</v>
      </c>
    </row>
    <row r="8309" spans="1:12" x14ac:dyDescent="0.45">
      <c r="A8309" s="12" t="s">
        <v>14689</v>
      </c>
      <c r="B8309" s="12" t="s">
        <v>4021</v>
      </c>
      <c r="C8309" s="13" t="s">
        <v>4022</v>
      </c>
      <c r="D8309" s="13" t="s">
        <v>179</v>
      </c>
      <c r="E8309" s="12" t="s">
        <v>16</v>
      </c>
      <c r="F8309" s="14">
        <v>420000</v>
      </c>
      <c r="G8309" s="14">
        <v>319500</v>
      </c>
      <c r="H8309" s="13" t="s">
        <v>14706</v>
      </c>
      <c r="I8309" s="40" t="s">
        <v>18</v>
      </c>
      <c r="J8309" s="40" t="str">
        <f>HYPERLINK("https://stock.pstatic.net/stock-research/company/64/20251023_company_178934000.pdf","PDF")</f>
        <v>PDF</v>
      </c>
      <c r="K8309" s="12" t="s">
        <v>14707</v>
      </c>
      <c r="L8309" s="20">
        <v>0.31455399061032863</v>
      </c>
    </row>
    <row r="8310" spans="1:12" x14ac:dyDescent="0.45">
      <c r="A8310" s="12" t="s">
        <v>14689</v>
      </c>
      <c r="B8310" s="12" t="s">
        <v>4021</v>
      </c>
      <c r="C8310" s="13" t="s">
        <v>4022</v>
      </c>
      <c r="D8310" s="13" t="s">
        <v>53</v>
      </c>
      <c r="E8310" s="12" t="s">
        <v>16</v>
      </c>
      <c r="F8310" s="14">
        <v>400000</v>
      </c>
      <c r="G8310" s="14">
        <v>319500</v>
      </c>
      <c r="H8310" s="13" t="s">
        <v>7879</v>
      </c>
      <c r="I8310" s="40" t="s">
        <v>18</v>
      </c>
      <c r="J8310" s="40" t="str">
        <f>HYPERLINK("https://stock.pstatic.net/stock-research/company/40/20251023_company_564110000.pdf","PDF")</f>
        <v>PDF</v>
      </c>
      <c r="K8310" s="12" t="s">
        <v>14708</v>
      </c>
      <c r="L8310" s="20">
        <v>0.2519561815336463</v>
      </c>
    </row>
    <row r="8311" spans="1:12" x14ac:dyDescent="0.45">
      <c r="A8311" s="12" t="s">
        <v>14689</v>
      </c>
      <c r="B8311" s="12" t="s">
        <v>5503</v>
      </c>
      <c r="C8311" s="13" t="s">
        <v>5504</v>
      </c>
      <c r="D8311" s="13" t="s">
        <v>92</v>
      </c>
      <c r="E8311" s="12" t="s">
        <v>35</v>
      </c>
      <c r="F8311" s="14">
        <v>10000</v>
      </c>
      <c r="G8311" s="14">
        <v>5680</v>
      </c>
      <c r="H8311" s="13" t="s">
        <v>14709</v>
      </c>
      <c r="I8311" s="40" t="s">
        <v>18</v>
      </c>
      <c r="J8311" s="40" t="str">
        <f>HYPERLINK("https://stock.pstatic.net/stock-research/company/63/20251023_company_106843000.pdf","PDF")</f>
        <v>PDF</v>
      </c>
      <c r="K8311" s="12" t="s">
        <v>14710</v>
      </c>
      <c r="L8311" s="20">
        <v>0.76056338028169013</v>
      </c>
    </row>
    <row r="8312" spans="1:12" x14ac:dyDescent="0.45">
      <c r="A8312" s="12" t="s">
        <v>14689</v>
      </c>
      <c r="B8312" s="12" t="s">
        <v>868</v>
      </c>
      <c r="C8312" s="13" t="s">
        <v>869</v>
      </c>
      <c r="D8312" s="13" t="s">
        <v>23</v>
      </c>
      <c r="E8312" s="12" t="s">
        <v>16</v>
      </c>
      <c r="F8312" s="14">
        <v>65000</v>
      </c>
      <c r="G8312" s="14">
        <v>42650</v>
      </c>
      <c r="H8312" s="13" t="s">
        <v>14711</v>
      </c>
      <c r="I8312" s="40" t="s">
        <v>18</v>
      </c>
      <c r="J8312" s="40" t="str">
        <f>HYPERLINK("https://stock.pstatic.net/stock-research/company/21/20251023_company_225886000.pdf","PDF")</f>
        <v>PDF</v>
      </c>
      <c r="K8312" s="12" t="s">
        <v>14712</v>
      </c>
      <c r="L8312" s="20">
        <v>0.52403282532239159</v>
      </c>
    </row>
    <row r="8313" spans="1:12" x14ac:dyDescent="0.45">
      <c r="A8313" s="12" t="s">
        <v>14689</v>
      </c>
      <c r="B8313" s="12" t="s">
        <v>4021</v>
      </c>
      <c r="C8313" s="13" t="s">
        <v>4022</v>
      </c>
      <c r="D8313" s="13" t="s">
        <v>23</v>
      </c>
      <c r="E8313" s="12" t="s">
        <v>16</v>
      </c>
      <c r="F8313" s="14">
        <v>400000</v>
      </c>
      <c r="G8313" s="14">
        <v>319500</v>
      </c>
      <c r="H8313" s="13" t="s">
        <v>14713</v>
      </c>
      <c r="I8313" s="40" t="s">
        <v>18</v>
      </c>
      <c r="J8313" s="40" t="str">
        <f>HYPERLINK("https://stock.pstatic.net/stock-research/company/21/20251023_company_208486000.pdf","PDF")</f>
        <v>PDF</v>
      </c>
      <c r="K8313" s="12" t="s">
        <v>14714</v>
      </c>
      <c r="L8313" s="20">
        <v>0.2519561815336463</v>
      </c>
    </row>
    <row r="8314" spans="1:12" x14ac:dyDescent="0.45">
      <c r="A8314" s="12" t="s">
        <v>14689</v>
      </c>
      <c r="B8314" s="12" t="s">
        <v>3403</v>
      </c>
      <c r="C8314" s="13" t="s">
        <v>3404</v>
      </c>
      <c r="D8314" s="13" t="s">
        <v>44</v>
      </c>
      <c r="E8314" s="12" t="s">
        <v>45</v>
      </c>
      <c r="F8314" s="14">
        <v>53000</v>
      </c>
      <c r="G8314" s="14">
        <v>46150</v>
      </c>
      <c r="H8314" s="13" t="s">
        <v>14715</v>
      </c>
      <c r="I8314" s="40" t="s">
        <v>18</v>
      </c>
      <c r="J8314" s="40" t="str">
        <f>HYPERLINK("https://stock.pstatic.net/stock-research/company/39/20251023_company_319828000.pdf","PDF")</f>
        <v>PDF</v>
      </c>
      <c r="K8314" s="12" t="s">
        <v>14716</v>
      </c>
      <c r="L8314" s="20">
        <v>0.14842903575297939</v>
      </c>
    </row>
    <row r="8315" spans="1:12" x14ac:dyDescent="0.45">
      <c r="A8315" s="12" t="s">
        <v>14689</v>
      </c>
      <c r="B8315" s="12" t="s">
        <v>14717</v>
      </c>
      <c r="C8315" s="13" t="s">
        <v>14718</v>
      </c>
      <c r="D8315" s="13" t="s">
        <v>124</v>
      </c>
      <c r="E8315" s="12" t="s">
        <v>50</v>
      </c>
      <c r="F8315" s="13"/>
      <c r="G8315" s="13"/>
      <c r="H8315" s="13" t="s">
        <v>14719</v>
      </c>
      <c r="I8315" s="40" t="s">
        <v>18</v>
      </c>
      <c r="J8315" s="40" t="str">
        <f>HYPERLINK("https://stock.pstatic.net/stock-research/company/74/20251023_company_145308000.pdf","PDF")</f>
        <v>PDF</v>
      </c>
      <c r="K8315" s="12" t="s">
        <v>14720</v>
      </c>
    </row>
    <row r="8316" spans="1:12" x14ac:dyDescent="0.45">
      <c r="A8316" s="12" t="s">
        <v>14689</v>
      </c>
      <c r="B8316" s="12" t="s">
        <v>2414</v>
      </c>
      <c r="C8316" s="13" t="s">
        <v>2415</v>
      </c>
      <c r="D8316" s="13" t="s">
        <v>92</v>
      </c>
      <c r="E8316" s="12" t="s">
        <v>35</v>
      </c>
      <c r="F8316" s="14">
        <v>1000000</v>
      </c>
      <c r="G8316" s="14">
        <v>791000</v>
      </c>
      <c r="H8316" s="13" t="s">
        <v>14721</v>
      </c>
      <c r="I8316" s="40" t="s">
        <v>18</v>
      </c>
      <c r="J8316" s="40" t="str">
        <f>HYPERLINK("https://stock.pstatic.net/stock-research/company/63/20251023_company_549080000.pdf","PDF")</f>
        <v>PDF</v>
      </c>
      <c r="K8316" s="12" t="s">
        <v>14722</v>
      </c>
      <c r="L8316" s="20">
        <v>0.26422250316055618</v>
      </c>
    </row>
    <row r="8317" spans="1:12" x14ac:dyDescent="0.45">
      <c r="A8317" s="12" t="s">
        <v>14723</v>
      </c>
      <c r="B8317" s="12" t="s">
        <v>2956</v>
      </c>
      <c r="C8317" s="13" t="s">
        <v>2957</v>
      </c>
      <c r="D8317" s="13" t="s">
        <v>15</v>
      </c>
      <c r="E8317" s="12" t="s">
        <v>16</v>
      </c>
      <c r="F8317" s="14">
        <v>27000</v>
      </c>
      <c r="G8317" s="14">
        <v>18630</v>
      </c>
      <c r="H8317" s="13" t="s">
        <v>14724</v>
      </c>
      <c r="I8317" s="40" t="s">
        <v>18</v>
      </c>
      <c r="J8317" s="40" t="str">
        <f>HYPERLINK("https://stock.pstatic.net/stock-research/company/29/20251022_company_719869000.pdf","PDF")</f>
        <v>PDF</v>
      </c>
      <c r="K8317" s="12" t="s">
        <v>14725</v>
      </c>
      <c r="L8317" s="20">
        <v>0.44927536231884058</v>
      </c>
    </row>
    <row r="8318" spans="1:12" x14ac:dyDescent="0.45">
      <c r="A8318" s="12" t="s">
        <v>14723</v>
      </c>
      <c r="B8318" s="12" t="s">
        <v>3204</v>
      </c>
      <c r="C8318" s="13" t="s">
        <v>3205</v>
      </c>
      <c r="D8318" s="13" t="s">
        <v>15</v>
      </c>
      <c r="E8318" s="12" t="s">
        <v>16</v>
      </c>
      <c r="F8318" s="14">
        <v>5400</v>
      </c>
      <c r="G8318" s="14">
        <v>3690</v>
      </c>
      <c r="H8318" s="13" t="s">
        <v>14726</v>
      </c>
      <c r="I8318" s="40" t="s">
        <v>18</v>
      </c>
      <c r="J8318" s="40" t="str">
        <f>HYPERLINK("https://stock.pstatic.net/stock-research/company/29/20251022_company_967141000.pdf","PDF")</f>
        <v>PDF</v>
      </c>
      <c r="K8318" s="12" t="s">
        <v>14727</v>
      </c>
      <c r="L8318" s="20">
        <v>0.46341463414634149</v>
      </c>
    </row>
    <row r="8319" spans="1:12" x14ac:dyDescent="0.45">
      <c r="A8319" s="12" t="s">
        <v>14723</v>
      </c>
      <c r="B8319" s="12" t="s">
        <v>732</v>
      </c>
      <c r="C8319" s="13" t="s">
        <v>733</v>
      </c>
      <c r="D8319" s="13" t="s">
        <v>276</v>
      </c>
      <c r="E8319" s="12" t="s">
        <v>16</v>
      </c>
      <c r="F8319" s="14">
        <v>160000</v>
      </c>
      <c r="G8319" s="14">
        <v>107100</v>
      </c>
      <c r="H8319" s="13" t="s">
        <v>14728</v>
      </c>
      <c r="I8319" s="40" t="s">
        <v>18</v>
      </c>
      <c r="J8319" s="40" t="str">
        <f>HYPERLINK("https://stock.pstatic.net/stock-research/company/66/20251022_company_210361000.pdf","PDF")</f>
        <v>PDF</v>
      </c>
      <c r="K8319" s="12" t="s">
        <v>14729</v>
      </c>
      <c r="L8319" s="20">
        <v>0.4939309056956116</v>
      </c>
    </row>
    <row r="8320" spans="1:12" x14ac:dyDescent="0.45">
      <c r="A8320" s="12" t="s">
        <v>14723</v>
      </c>
      <c r="B8320" s="12" t="s">
        <v>14730</v>
      </c>
      <c r="C8320" s="13" t="s">
        <v>14731</v>
      </c>
      <c r="D8320" s="13" t="s">
        <v>276</v>
      </c>
      <c r="E8320" s="12" t="s">
        <v>16</v>
      </c>
      <c r="F8320" s="14">
        <v>76000</v>
      </c>
      <c r="G8320" s="14">
        <v>57700</v>
      </c>
      <c r="H8320" s="13" t="s">
        <v>7774</v>
      </c>
      <c r="I8320" s="40" t="s">
        <v>18</v>
      </c>
      <c r="J8320" s="40" t="str">
        <f>HYPERLINK("https://stock.pstatic.net/stock-research/company/66/20251022_company_176396000.pdf","PDF")</f>
        <v>PDF</v>
      </c>
      <c r="K8320" s="12" t="s">
        <v>14732</v>
      </c>
      <c r="L8320" s="20">
        <v>0.31715771230502598</v>
      </c>
    </row>
    <row r="8321" spans="1:12" x14ac:dyDescent="0.45">
      <c r="A8321" s="12" t="s">
        <v>14723</v>
      </c>
      <c r="B8321" s="12" t="s">
        <v>95</v>
      </c>
      <c r="C8321" s="13" t="s">
        <v>31</v>
      </c>
      <c r="D8321" s="13" t="s">
        <v>15</v>
      </c>
      <c r="E8321" s="12" t="s">
        <v>16</v>
      </c>
      <c r="F8321" s="14">
        <v>38000</v>
      </c>
      <c r="G8321" s="14">
        <v>27950</v>
      </c>
      <c r="H8321" s="13" t="s">
        <v>14733</v>
      </c>
      <c r="I8321" s="40" t="s">
        <v>18</v>
      </c>
      <c r="J8321" s="40" t="str">
        <f>HYPERLINK("https://stock.pstatic.net/stock-research/company/56/20251022_company_676233000.pdf","PDF")</f>
        <v>PDF</v>
      </c>
      <c r="K8321" s="12" t="s">
        <v>14734</v>
      </c>
      <c r="L8321" s="20">
        <v>0.35957066189624332</v>
      </c>
    </row>
    <row r="8322" spans="1:12" x14ac:dyDescent="0.45">
      <c r="A8322" s="12" t="s">
        <v>14723</v>
      </c>
      <c r="B8322" s="12" t="s">
        <v>2982</v>
      </c>
      <c r="C8322" s="13" t="s">
        <v>2983</v>
      </c>
      <c r="D8322" s="13" t="s">
        <v>15</v>
      </c>
      <c r="E8322" s="12" t="s">
        <v>16</v>
      </c>
      <c r="F8322" s="14">
        <v>59000</v>
      </c>
      <c r="G8322" s="14">
        <v>41300</v>
      </c>
      <c r="H8322" s="13" t="s">
        <v>14735</v>
      </c>
      <c r="I8322" s="40" t="s">
        <v>18</v>
      </c>
      <c r="J8322" s="40" t="str">
        <f>HYPERLINK("https://stock.pstatic.net/stock-research/company/29/20251022_company_625410000.pdf","PDF")</f>
        <v>PDF</v>
      </c>
      <c r="K8322" s="12" t="s">
        <v>14736</v>
      </c>
      <c r="L8322" s="20">
        <v>0.42857142857142849</v>
      </c>
    </row>
    <row r="8323" spans="1:12" x14ac:dyDescent="0.45">
      <c r="A8323" s="12" t="s">
        <v>14723</v>
      </c>
      <c r="B8323" s="12" t="s">
        <v>1120</v>
      </c>
      <c r="C8323" s="13" t="s">
        <v>1121</v>
      </c>
      <c r="D8323" s="13" t="s">
        <v>60</v>
      </c>
      <c r="E8323" s="12" t="s">
        <v>35</v>
      </c>
      <c r="F8323" s="14">
        <v>145000</v>
      </c>
      <c r="G8323" s="13"/>
      <c r="H8323" s="13" t="s">
        <v>14737</v>
      </c>
      <c r="I8323" s="40" t="s">
        <v>18</v>
      </c>
      <c r="J8323" s="40" t="str">
        <f>HYPERLINK("https://stock.pstatic.net/stock-research/company/1/20251022_company_641181000.pdf","PDF")</f>
        <v>PDF</v>
      </c>
      <c r="K8323" s="12" t="s">
        <v>14738</v>
      </c>
    </row>
    <row r="8324" spans="1:12" x14ac:dyDescent="0.45">
      <c r="A8324" s="12" t="s">
        <v>14723</v>
      </c>
      <c r="B8324" s="12" t="s">
        <v>3164</v>
      </c>
      <c r="C8324" s="13" t="s">
        <v>3165</v>
      </c>
      <c r="D8324" s="13" t="s">
        <v>15</v>
      </c>
      <c r="E8324" s="12" t="s">
        <v>16</v>
      </c>
      <c r="F8324" s="14">
        <v>86000</v>
      </c>
      <c r="G8324" s="14">
        <v>58500</v>
      </c>
      <c r="H8324" s="13" t="s">
        <v>14739</v>
      </c>
      <c r="I8324" s="40" t="s">
        <v>18</v>
      </c>
      <c r="J8324" s="40" t="str">
        <f>HYPERLINK("https://stock.pstatic.net/stock-research/company/29/20251022_company_925116000.pdf","PDF")</f>
        <v>PDF</v>
      </c>
      <c r="K8324" s="12" t="s">
        <v>14740</v>
      </c>
      <c r="L8324" s="20">
        <v>0.47008547008547008</v>
      </c>
    </row>
    <row r="8325" spans="1:12" x14ac:dyDescent="0.45">
      <c r="A8325" s="12" t="s">
        <v>14723</v>
      </c>
      <c r="B8325" s="12" t="s">
        <v>4642</v>
      </c>
      <c r="C8325" s="13" t="s">
        <v>4643</v>
      </c>
      <c r="D8325" s="13" t="s">
        <v>65</v>
      </c>
      <c r="E8325" s="12" t="s">
        <v>35</v>
      </c>
      <c r="F8325" s="14">
        <v>28000</v>
      </c>
      <c r="G8325" s="14">
        <v>22550</v>
      </c>
      <c r="H8325" s="13" t="s">
        <v>14741</v>
      </c>
      <c r="I8325" s="40" t="s">
        <v>18</v>
      </c>
      <c r="J8325" s="40" t="str">
        <f>HYPERLINK("https://stock.pstatic.net/stock-research/company/57/20251022_company_428444000.pdf","PDF")</f>
        <v>PDF</v>
      </c>
      <c r="K8325" s="12" t="s">
        <v>14742</v>
      </c>
      <c r="L8325" s="20">
        <v>0.2416851441241685</v>
      </c>
    </row>
    <row r="8326" spans="1:12" x14ac:dyDescent="0.45">
      <c r="A8326" s="12" t="s">
        <v>14723</v>
      </c>
      <c r="B8326" s="12" t="s">
        <v>1300</v>
      </c>
      <c r="C8326" s="13" t="s">
        <v>1301</v>
      </c>
      <c r="D8326" s="13" t="s">
        <v>65</v>
      </c>
      <c r="E8326" s="12" t="s">
        <v>35</v>
      </c>
      <c r="F8326" s="14">
        <v>200000</v>
      </c>
      <c r="G8326" s="14">
        <v>125700</v>
      </c>
      <c r="H8326" s="13" t="s">
        <v>14743</v>
      </c>
      <c r="I8326" s="40" t="s">
        <v>18</v>
      </c>
      <c r="J8326" s="40" t="str">
        <f>HYPERLINK("https://stock.pstatic.net/stock-research/company/57/20251022_company_668614000.pdf","PDF")</f>
        <v>PDF</v>
      </c>
      <c r="K8326" s="12" t="s">
        <v>14744</v>
      </c>
      <c r="L8326" s="20">
        <v>0.59108989657915667</v>
      </c>
    </row>
    <row r="8327" spans="1:12" x14ac:dyDescent="0.45">
      <c r="A8327" s="12" t="s">
        <v>14723</v>
      </c>
      <c r="B8327" s="12" t="s">
        <v>1140</v>
      </c>
      <c r="C8327" s="13" t="s">
        <v>1141</v>
      </c>
      <c r="D8327" s="13" t="s">
        <v>65</v>
      </c>
      <c r="E8327" s="12" t="s">
        <v>35</v>
      </c>
      <c r="F8327" s="14">
        <v>55000</v>
      </c>
      <c r="G8327" s="14">
        <v>43850</v>
      </c>
      <c r="H8327" s="13" t="s">
        <v>14745</v>
      </c>
      <c r="I8327" s="40" t="s">
        <v>18</v>
      </c>
      <c r="J8327" s="40" t="str">
        <f>HYPERLINK("https://stock.pstatic.net/stock-research/company/57/20251022_company_834577000.pdf","PDF")</f>
        <v>PDF</v>
      </c>
      <c r="K8327" s="12" t="s">
        <v>14746</v>
      </c>
      <c r="L8327" s="20">
        <v>0.25427594070695553</v>
      </c>
    </row>
    <row r="8328" spans="1:12" x14ac:dyDescent="0.45">
      <c r="A8328" s="12" t="s">
        <v>14723</v>
      </c>
      <c r="B8328" s="12" t="s">
        <v>1936</v>
      </c>
      <c r="C8328" s="13" t="s">
        <v>1937</v>
      </c>
      <c r="D8328" s="13" t="s">
        <v>65</v>
      </c>
      <c r="E8328" s="12" t="s">
        <v>35</v>
      </c>
      <c r="F8328" s="14">
        <v>8000</v>
      </c>
      <c r="G8328" s="14">
        <v>6230</v>
      </c>
      <c r="H8328" s="13" t="s">
        <v>14747</v>
      </c>
      <c r="I8328" s="40" t="s">
        <v>18</v>
      </c>
      <c r="J8328" s="40" t="str">
        <f>HYPERLINK("https://stock.pstatic.net/stock-research/company/57/20251022_company_839803000.pdf","PDF")</f>
        <v>PDF</v>
      </c>
      <c r="K8328" s="12" t="s">
        <v>14748</v>
      </c>
      <c r="L8328" s="20">
        <v>0.2841091492776886</v>
      </c>
    </row>
    <row r="8329" spans="1:12" x14ac:dyDescent="0.45">
      <c r="A8329" s="12" t="s">
        <v>14723</v>
      </c>
      <c r="B8329" s="12" t="s">
        <v>732</v>
      </c>
      <c r="C8329" s="13" t="s">
        <v>733</v>
      </c>
      <c r="D8329" s="13" t="s">
        <v>65</v>
      </c>
      <c r="E8329" s="12" t="s">
        <v>35</v>
      </c>
      <c r="F8329" s="14">
        <v>150000</v>
      </c>
      <c r="G8329" s="14">
        <v>107100</v>
      </c>
      <c r="H8329" s="13" t="s">
        <v>14749</v>
      </c>
      <c r="I8329" s="40" t="s">
        <v>18</v>
      </c>
      <c r="J8329" s="40" t="str">
        <f>HYPERLINK("https://stock.pstatic.net/stock-research/company/57/20251022_company_500978000.pdf","PDF")</f>
        <v>PDF</v>
      </c>
      <c r="K8329" s="12" t="s">
        <v>14750</v>
      </c>
      <c r="L8329" s="20">
        <v>0.40056022408963587</v>
      </c>
    </row>
    <row r="8330" spans="1:12" x14ac:dyDescent="0.45">
      <c r="A8330" s="12" t="s">
        <v>14723</v>
      </c>
      <c r="B8330" s="12" t="s">
        <v>2777</v>
      </c>
      <c r="C8330" s="13" t="s">
        <v>2778</v>
      </c>
      <c r="D8330" s="13" t="s">
        <v>57</v>
      </c>
      <c r="E8330" s="12" t="s">
        <v>35</v>
      </c>
      <c r="F8330" s="14">
        <v>210000</v>
      </c>
      <c r="G8330" s="14">
        <v>156800</v>
      </c>
      <c r="H8330" s="13" t="s">
        <v>14751</v>
      </c>
      <c r="I8330" s="40" t="s">
        <v>18</v>
      </c>
      <c r="J8330" s="40" t="str">
        <f>HYPERLINK("https://stock.pstatic.net/stock-research/company/16/20251022_company_678086000.pdf","PDF")</f>
        <v>PDF</v>
      </c>
      <c r="K8330" s="12" t="s">
        <v>14752</v>
      </c>
      <c r="L8330" s="20">
        <v>0.3392857142857143</v>
      </c>
    </row>
    <row r="8331" spans="1:12" x14ac:dyDescent="0.45">
      <c r="A8331" s="12" t="s">
        <v>14723</v>
      </c>
      <c r="B8331" s="12" t="s">
        <v>2435</v>
      </c>
      <c r="C8331" s="13" t="s">
        <v>2436</v>
      </c>
      <c r="D8331" s="13" t="s">
        <v>15</v>
      </c>
      <c r="E8331" s="12" t="s">
        <v>16</v>
      </c>
      <c r="F8331" s="14">
        <v>690000</v>
      </c>
      <c r="G8331" s="14">
        <v>563000</v>
      </c>
      <c r="H8331" s="13" t="s">
        <v>14753</v>
      </c>
      <c r="I8331" s="40" t="s">
        <v>18</v>
      </c>
      <c r="J8331" s="40" t="str">
        <f>HYPERLINK("https://stock.pstatic.net/stock-research/company/29/20251022_company_147394000.pdf","PDF")</f>
        <v>PDF</v>
      </c>
      <c r="K8331" s="12" t="s">
        <v>14754</v>
      </c>
      <c r="L8331" s="20">
        <v>0.2255772646536412</v>
      </c>
    </row>
    <row r="8332" spans="1:12" x14ac:dyDescent="0.45">
      <c r="A8332" s="12" t="s">
        <v>14723</v>
      </c>
      <c r="B8332" s="12" t="s">
        <v>13410</v>
      </c>
      <c r="C8332" s="13" t="s">
        <v>13411</v>
      </c>
      <c r="D8332" s="13" t="s">
        <v>15</v>
      </c>
      <c r="E8332" s="12" t="s">
        <v>16</v>
      </c>
      <c r="F8332" s="14">
        <v>270000</v>
      </c>
      <c r="G8332" s="14">
        <v>224000</v>
      </c>
      <c r="H8332" s="13" t="s">
        <v>14755</v>
      </c>
      <c r="I8332" s="40" t="s">
        <v>18</v>
      </c>
      <c r="J8332" s="40" t="str">
        <f>HYPERLINK("https://stock.pstatic.net/stock-research/company/29/20251022_company_602059000.pdf","PDF")</f>
        <v>PDF</v>
      </c>
      <c r="K8332" s="12" t="s">
        <v>14756</v>
      </c>
      <c r="L8332" s="20">
        <v>0.20535714285714279</v>
      </c>
    </row>
    <row r="8333" spans="1:12" x14ac:dyDescent="0.45">
      <c r="A8333" s="12" t="s">
        <v>14723</v>
      </c>
      <c r="B8333" s="12" t="s">
        <v>13410</v>
      </c>
      <c r="C8333" s="13" t="s">
        <v>13411</v>
      </c>
      <c r="D8333" s="13" t="s">
        <v>83</v>
      </c>
      <c r="E8333" s="12" t="s">
        <v>35</v>
      </c>
      <c r="F8333" s="14">
        <v>270000</v>
      </c>
      <c r="G8333" s="14">
        <v>224000</v>
      </c>
      <c r="H8333" s="13" t="s">
        <v>14757</v>
      </c>
      <c r="I8333" s="40" t="s">
        <v>18</v>
      </c>
      <c r="J8333" s="40" t="str">
        <f>HYPERLINK("https://m.stock.naver.com/research/company/86985","PDF")</f>
        <v>PDF</v>
      </c>
      <c r="K8333" s="12" t="s">
        <v>14758</v>
      </c>
      <c r="L8333" s="20">
        <v>0.20535714285714279</v>
      </c>
    </row>
    <row r="8334" spans="1:12" x14ac:dyDescent="0.45">
      <c r="A8334" s="12" t="s">
        <v>14723</v>
      </c>
      <c r="B8334" s="12" t="s">
        <v>4642</v>
      </c>
      <c r="C8334" s="13" t="s">
        <v>4643</v>
      </c>
      <c r="D8334" s="13" t="s">
        <v>83</v>
      </c>
      <c r="E8334" s="12" t="s">
        <v>35</v>
      </c>
      <c r="F8334" s="14">
        <v>26000</v>
      </c>
      <c r="G8334" s="14">
        <v>22550</v>
      </c>
      <c r="H8334" s="13" t="s">
        <v>14759</v>
      </c>
      <c r="I8334" s="40" t="s">
        <v>18</v>
      </c>
      <c r="J8334" s="40" t="str">
        <f>HYPERLINK("https://m.stock.naver.com/research/company/86984","PDF")</f>
        <v>PDF</v>
      </c>
      <c r="K8334" s="12" t="s">
        <v>14760</v>
      </c>
      <c r="L8334" s="20">
        <v>0.1529933481152993</v>
      </c>
    </row>
    <row r="8335" spans="1:12" x14ac:dyDescent="0.45">
      <c r="A8335" s="12" t="s">
        <v>14723</v>
      </c>
      <c r="B8335" s="12" t="s">
        <v>3478</v>
      </c>
      <c r="C8335" s="13" t="s">
        <v>3479</v>
      </c>
      <c r="D8335" s="13" t="s">
        <v>83</v>
      </c>
      <c r="E8335" s="12" t="s">
        <v>35</v>
      </c>
      <c r="F8335" s="14">
        <v>43000</v>
      </c>
      <c r="G8335" s="14">
        <v>33300</v>
      </c>
      <c r="H8335" s="13" t="s">
        <v>14761</v>
      </c>
      <c r="I8335" s="40" t="s">
        <v>18</v>
      </c>
      <c r="J8335" s="40" t="str">
        <f>HYPERLINK("https://stock.pstatic.net/stock-research/company/2/20251022_company_572304000.pdf","PDF")</f>
        <v>PDF</v>
      </c>
      <c r="K8335" s="12" t="s">
        <v>14762</v>
      </c>
      <c r="L8335" s="20">
        <v>0.29129129129129128</v>
      </c>
    </row>
    <row r="8336" spans="1:12" x14ac:dyDescent="0.45">
      <c r="A8336" s="12" t="s">
        <v>14723</v>
      </c>
      <c r="B8336" s="12" t="s">
        <v>2758</v>
      </c>
      <c r="C8336" s="13" t="s">
        <v>2759</v>
      </c>
      <c r="D8336" s="13" t="s">
        <v>83</v>
      </c>
      <c r="E8336" s="12" t="s">
        <v>35</v>
      </c>
      <c r="F8336" s="14">
        <v>390000</v>
      </c>
      <c r="G8336" s="14">
        <v>295000</v>
      </c>
      <c r="H8336" s="13" t="s">
        <v>14763</v>
      </c>
      <c r="I8336" s="40" t="s">
        <v>18</v>
      </c>
      <c r="J8336" s="40" t="str">
        <f>HYPERLINK("https://stock.pstatic.net/stock-research/company/2/20251022_company_364972000.pdf","PDF")</f>
        <v>PDF</v>
      </c>
      <c r="K8336" s="12" t="s">
        <v>14764</v>
      </c>
      <c r="L8336" s="20">
        <v>0.32203389830508472</v>
      </c>
    </row>
    <row r="8337" spans="1:12" x14ac:dyDescent="0.45">
      <c r="A8337" s="12" t="s">
        <v>14723</v>
      </c>
      <c r="B8337" s="12" t="s">
        <v>2522</v>
      </c>
      <c r="C8337" s="13" t="s">
        <v>2523</v>
      </c>
      <c r="D8337" s="13" t="s">
        <v>83</v>
      </c>
      <c r="E8337" s="12" t="s">
        <v>35</v>
      </c>
      <c r="F8337" s="14">
        <v>440000</v>
      </c>
      <c r="G8337" s="14">
        <v>285000</v>
      </c>
      <c r="H8337" s="13" t="s">
        <v>14765</v>
      </c>
      <c r="I8337" s="40" t="s">
        <v>18</v>
      </c>
      <c r="J8337" s="40" t="str">
        <f>HYPERLINK("https://stock.pstatic.net/stock-research/company/2/20251022_company_798041000.pdf","PDF")</f>
        <v>PDF</v>
      </c>
      <c r="K8337" s="12" t="s">
        <v>14766</v>
      </c>
      <c r="L8337" s="20">
        <v>0.54385964912280704</v>
      </c>
    </row>
    <row r="8338" spans="1:12" x14ac:dyDescent="0.45">
      <c r="A8338" s="12" t="s">
        <v>14723</v>
      </c>
      <c r="B8338" s="12" t="s">
        <v>4642</v>
      </c>
      <c r="C8338" s="13" t="s">
        <v>4643</v>
      </c>
      <c r="D8338" s="13" t="s">
        <v>15</v>
      </c>
      <c r="E8338" s="12" t="s">
        <v>16</v>
      </c>
      <c r="F8338" s="14">
        <v>29000</v>
      </c>
      <c r="G8338" s="14">
        <v>22550</v>
      </c>
      <c r="H8338" s="13" t="s">
        <v>14767</v>
      </c>
      <c r="I8338" s="40" t="s">
        <v>18</v>
      </c>
      <c r="J8338" s="40" t="str">
        <f>HYPERLINK("https://stock.pstatic.net/stock-research/company/29/20251022_company_477216000.pdf","PDF")</f>
        <v>PDF</v>
      </c>
      <c r="K8338" s="12" t="s">
        <v>14768</v>
      </c>
      <c r="L8338" s="20">
        <v>0.28603104212860309</v>
      </c>
    </row>
    <row r="8339" spans="1:12" x14ac:dyDescent="0.45">
      <c r="A8339" s="12" t="s">
        <v>14723</v>
      </c>
      <c r="B8339" s="12" t="s">
        <v>4642</v>
      </c>
      <c r="C8339" s="13" t="s">
        <v>4643</v>
      </c>
      <c r="D8339" s="13" t="s">
        <v>92</v>
      </c>
      <c r="E8339" s="12" t="s">
        <v>35</v>
      </c>
      <c r="F8339" s="14">
        <v>35000</v>
      </c>
      <c r="G8339" s="14">
        <v>22550</v>
      </c>
      <c r="H8339" s="13" t="s">
        <v>14769</v>
      </c>
      <c r="I8339" s="40" t="s">
        <v>18</v>
      </c>
      <c r="J8339" s="40" t="str">
        <f>HYPERLINK("https://stock.pstatic.net/stock-research/company/63/20251022_company_638545000.pdf","PDF")</f>
        <v>PDF</v>
      </c>
      <c r="K8339" s="12" t="s">
        <v>14770</v>
      </c>
      <c r="L8339" s="20">
        <v>0.55210643015521066</v>
      </c>
    </row>
    <row r="8340" spans="1:12" x14ac:dyDescent="0.45">
      <c r="A8340" s="12" t="s">
        <v>14723</v>
      </c>
      <c r="B8340" s="12" t="s">
        <v>1120</v>
      </c>
      <c r="C8340" s="13" t="s">
        <v>1121</v>
      </c>
      <c r="D8340" s="13" t="s">
        <v>92</v>
      </c>
      <c r="E8340" s="12" t="s">
        <v>35</v>
      </c>
      <c r="F8340" s="14">
        <v>140000</v>
      </c>
      <c r="G8340" s="14">
        <v>100400</v>
      </c>
      <c r="H8340" s="13" t="s">
        <v>14771</v>
      </c>
      <c r="I8340" s="40" t="s">
        <v>18</v>
      </c>
      <c r="J8340" s="40" t="str">
        <f>HYPERLINK("https://stock.pstatic.net/stock-research/company/63/20251022_company_688615000.pdf","PDF")</f>
        <v>PDF</v>
      </c>
      <c r="K8340" s="12" t="s">
        <v>14772</v>
      </c>
      <c r="L8340" s="20">
        <v>0.39442231075697209</v>
      </c>
    </row>
    <row r="8341" spans="1:12" x14ac:dyDescent="0.45">
      <c r="A8341" s="12" t="s">
        <v>14723</v>
      </c>
      <c r="B8341" s="12" t="s">
        <v>4642</v>
      </c>
      <c r="C8341" s="13" t="s">
        <v>4643</v>
      </c>
      <c r="D8341" s="13" t="s">
        <v>23</v>
      </c>
      <c r="E8341" s="12" t="s">
        <v>16</v>
      </c>
      <c r="F8341" s="14">
        <v>31000</v>
      </c>
      <c r="G8341" s="14">
        <v>22550</v>
      </c>
      <c r="H8341" s="13" t="s">
        <v>14773</v>
      </c>
      <c r="I8341" s="40" t="s">
        <v>18</v>
      </c>
      <c r="J8341" s="40" t="str">
        <f>HYPERLINK("https://stock.pstatic.net/stock-research/company/21/20251022_company_10582000.pdf","PDF")</f>
        <v>PDF</v>
      </c>
      <c r="K8341" s="12" t="s">
        <v>14774</v>
      </c>
      <c r="L8341" s="20">
        <v>0.37472283813747231</v>
      </c>
    </row>
    <row r="8342" spans="1:12" x14ac:dyDescent="0.45">
      <c r="A8342" s="12" t="s">
        <v>14723</v>
      </c>
      <c r="B8342" s="12" t="s">
        <v>760</v>
      </c>
      <c r="C8342" s="13" t="s">
        <v>761</v>
      </c>
      <c r="D8342" s="13" t="s">
        <v>23</v>
      </c>
      <c r="E8342" s="12" t="s">
        <v>16</v>
      </c>
      <c r="F8342" s="14">
        <v>240000</v>
      </c>
      <c r="G8342" s="14">
        <v>141600</v>
      </c>
      <c r="H8342" s="13" t="s">
        <v>14775</v>
      </c>
      <c r="I8342" s="40" t="s">
        <v>18</v>
      </c>
      <c r="J8342" s="40" t="str">
        <f>HYPERLINK("https://m.stock.naver.com/research/company/86976","PDF")</f>
        <v>PDF</v>
      </c>
      <c r="K8342" s="12" t="s">
        <v>14776</v>
      </c>
      <c r="L8342" s="20">
        <v>0.69491525423728817</v>
      </c>
    </row>
    <row r="8343" spans="1:12" x14ac:dyDescent="0.45">
      <c r="A8343" s="12" t="s">
        <v>14723</v>
      </c>
      <c r="B8343" s="12" t="s">
        <v>1128</v>
      </c>
      <c r="C8343" s="13" t="s">
        <v>1129</v>
      </c>
      <c r="D8343" s="13" t="s">
        <v>44</v>
      </c>
      <c r="E8343" s="12" t="s">
        <v>35</v>
      </c>
      <c r="F8343" s="14">
        <v>100000</v>
      </c>
      <c r="G8343" s="14">
        <v>81100</v>
      </c>
      <c r="H8343" s="13" t="s">
        <v>14777</v>
      </c>
      <c r="I8343" s="40" t="s">
        <v>18</v>
      </c>
      <c r="J8343" s="40" t="str">
        <f>HYPERLINK("https://stock.pstatic.net/stock-research/company/39/20251022_company_536162000.pdf","PDF")</f>
        <v>PDF</v>
      </c>
      <c r="K8343" s="12" t="s">
        <v>14778</v>
      </c>
      <c r="L8343" s="20">
        <v>0.23304562268803949</v>
      </c>
    </row>
    <row r="8344" spans="1:12" x14ac:dyDescent="0.45">
      <c r="A8344" s="12" t="s">
        <v>14723</v>
      </c>
      <c r="B8344" s="12" t="s">
        <v>76</v>
      </c>
      <c r="C8344" s="13" t="s">
        <v>77</v>
      </c>
      <c r="D8344" s="13" t="s">
        <v>23</v>
      </c>
      <c r="E8344" s="12" t="s">
        <v>385</v>
      </c>
      <c r="F8344" s="13"/>
      <c r="G8344" s="14">
        <v>20200</v>
      </c>
      <c r="H8344" s="13" t="s">
        <v>14779</v>
      </c>
      <c r="I8344" s="40" t="s">
        <v>18</v>
      </c>
      <c r="J8344" s="40" t="str">
        <f>HYPERLINK("https://stock.pstatic.net/stock-research/company/21/20251022_company_491353000.pdf","PDF")</f>
        <v>PDF</v>
      </c>
      <c r="K8344" s="12" t="s">
        <v>14780</v>
      </c>
    </row>
    <row r="8345" spans="1:12" x14ac:dyDescent="0.45">
      <c r="A8345" s="12" t="s">
        <v>14723</v>
      </c>
      <c r="B8345" s="12" t="s">
        <v>1087</v>
      </c>
      <c r="C8345" s="13" t="s">
        <v>1088</v>
      </c>
      <c r="D8345" s="13" t="s">
        <v>44</v>
      </c>
      <c r="E8345" s="12" t="s">
        <v>35</v>
      </c>
      <c r="F8345" s="14">
        <v>120000</v>
      </c>
      <c r="G8345" s="14">
        <v>94900</v>
      </c>
      <c r="H8345" s="13" t="s">
        <v>14781</v>
      </c>
      <c r="I8345" s="40" t="s">
        <v>18</v>
      </c>
      <c r="J8345" s="40" t="str">
        <f>HYPERLINK("https://stock.pstatic.net/stock-research/company/39/20251022_company_633423000.pdf","PDF")</f>
        <v>PDF</v>
      </c>
      <c r="K8345" s="12" t="s">
        <v>14782</v>
      </c>
      <c r="L8345" s="20">
        <v>0.26448893572181242</v>
      </c>
    </row>
    <row r="8346" spans="1:12" x14ac:dyDescent="0.45">
      <c r="A8346" s="12" t="s">
        <v>14783</v>
      </c>
      <c r="B8346" s="12" t="s">
        <v>1686</v>
      </c>
      <c r="C8346" s="13" t="s">
        <v>1687</v>
      </c>
      <c r="D8346" s="13" t="s">
        <v>57</v>
      </c>
      <c r="E8346" s="12" t="s">
        <v>35</v>
      </c>
      <c r="F8346" s="14">
        <v>1800000</v>
      </c>
      <c r="G8346" s="14">
        <v>1381000</v>
      </c>
      <c r="H8346" s="13" t="s">
        <v>14784</v>
      </c>
      <c r="I8346" s="40" t="s">
        <v>18</v>
      </c>
      <c r="J8346" s="40" t="str">
        <f>HYPERLINK("https://m.stock.naver.com/research/company/86972","PDF")</f>
        <v>PDF</v>
      </c>
      <c r="K8346" s="12" t="s">
        <v>14785</v>
      </c>
      <c r="L8346" s="20">
        <v>0.30340333091962352</v>
      </c>
    </row>
    <row r="8347" spans="1:12" x14ac:dyDescent="0.45">
      <c r="A8347" s="12" t="s">
        <v>14783</v>
      </c>
      <c r="B8347" s="12" t="s">
        <v>2837</v>
      </c>
      <c r="C8347" s="13" t="s">
        <v>2838</v>
      </c>
      <c r="D8347" s="13" t="s">
        <v>57</v>
      </c>
      <c r="E8347" s="12" t="s">
        <v>35</v>
      </c>
      <c r="F8347" s="14">
        <v>74000</v>
      </c>
      <c r="G8347" s="14">
        <v>52700</v>
      </c>
      <c r="H8347" s="13" t="s">
        <v>14786</v>
      </c>
      <c r="I8347" s="40" t="s">
        <v>18</v>
      </c>
      <c r="J8347" s="40" t="str">
        <f>HYPERLINK("https://stock.pstatic.net/stock-research/company/16/20251021_company_771197000.pdf","PDF")</f>
        <v>PDF</v>
      </c>
      <c r="K8347" s="12" t="s">
        <v>14787</v>
      </c>
      <c r="L8347" s="20">
        <v>0.40417457305502852</v>
      </c>
    </row>
    <row r="8348" spans="1:12" x14ac:dyDescent="0.45">
      <c r="A8348" s="12" t="s">
        <v>14783</v>
      </c>
      <c r="B8348" s="12" t="s">
        <v>3164</v>
      </c>
      <c r="C8348" s="13" t="s">
        <v>3165</v>
      </c>
      <c r="D8348" s="13" t="s">
        <v>57</v>
      </c>
      <c r="E8348" s="12" t="s">
        <v>35</v>
      </c>
      <c r="F8348" s="14">
        <v>92000</v>
      </c>
      <c r="G8348" s="14">
        <v>56600</v>
      </c>
      <c r="H8348" s="13" t="s">
        <v>14788</v>
      </c>
      <c r="I8348" s="40" t="s">
        <v>18</v>
      </c>
      <c r="J8348" s="40" t="str">
        <f>HYPERLINK("https://stock.pstatic.net/stock-research/company/16/20251021_company_411342000.pdf","PDF")</f>
        <v>PDF</v>
      </c>
      <c r="K8348" s="12" t="s">
        <v>14789</v>
      </c>
      <c r="L8348" s="20">
        <v>0.62544169611307421</v>
      </c>
    </row>
    <row r="8349" spans="1:12" x14ac:dyDescent="0.45">
      <c r="A8349" s="12" t="s">
        <v>14783</v>
      </c>
      <c r="B8349" s="12" t="s">
        <v>3349</v>
      </c>
      <c r="C8349" s="13" t="s">
        <v>7707</v>
      </c>
      <c r="D8349" s="13" t="s">
        <v>57</v>
      </c>
      <c r="E8349" s="12" t="s">
        <v>35</v>
      </c>
      <c r="F8349" s="14">
        <v>36000</v>
      </c>
      <c r="G8349" s="14">
        <v>19160</v>
      </c>
      <c r="H8349" s="13" t="s">
        <v>14790</v>
      </c>
      <c r="I8349" s="40" t="s">
        <v>18</v>
      </c>
      <c r="J8349" s="40" t="str">
        <f>HYPERLINK("https://stock.pstatic.net/stock-research/company/16/20251021_company_918386000.pdf","PDF")</f>
        <v>PDF</v>
      </c>
      <c r="K8349" s="12" t="s">
        <v>14791</v>
      </c>
      <c r="L8349" s="20">
        <v>0.87891440501043838</v>
      </c>
    </row>
    <row r="8350" spans="1:12" x14ac:dyDescent="0.45">
      <c r="A8350" s="12" t="s">
        <v>14783</v>
      </c>
      <c r="B8350" s="12" t="s">
        <v>2837</v>
      </c>
      <c r="C8350" s="13" t="s">
        <v>2838</v>
      </c>
      <c r="D8350" s="13" t="s">
        <v>276</v>
      </c>
      <c r="E8350" s="12" t="s">
        <v>16</v>
      </c>
      <c r="F8350" s="14">
        <v>67000</v>
      </c>
      <c r="G8350" s="14">
        <v>52700</v>
      </c>
      <c r="H8350" s="13" t="s">
        <v>14792</v>
      </c>
      <c r="I8350" s="40" t="s">
        <v>18</v>
      </c>
      <c r="J8350" s="40" t="str">
        <f>HYPERLINK("https://m.stock.naver.com/research/company/86968","PDF")</f>
        <v>PDF</v>
      </c>
      <c r="K8350" s="12" t="s">
        <v>14793</v>
      </c>
      <c r="L8350" s="20">
        <v>0.27134724857685011</v>
      </c>
    </row>
    <row r="8351" spans="1:12" x14ac:dyDescent="0.45">
      <c r="A8351" s="12" t="s">
        <v>14783</v>
      </c>
      <c r="B8351" s="12" t="s">
        <v>2425</v>
      </c>
      <c r="C8351" s="13" t="s">
        <v>2426</v>
      </c>
      <c r="D8351" s="13" t="s">
        <v>65</v>
      </c>
      <c r="E8351" s="12" t="s">
        <v>35</v>
      </c>
      <c r="F8351" s="14">
        <v>180000</v>
      </c>
      <c r="G8351" s="14">
        <v>139500</v>
      </c>
      <c r="H8351" s="13" t="s">
        <v>14794</v>
      </c>
      <c r="I8351" s="40" t="s">
        <v>18</v>
      </c>
      <c r="J8351" s="40" t="str">
        <f>HYPERLINK("https://m.stock.naver.com/research/company/86967","PDF")</f>
        <v>PDF</v>
      </c>
      <c r="K8351" s="12" t="s">
        <v>14795</v>
      </c>
      <c r="L8351" s="20">
        <v>0.29032258064516131</v>
      </c>
    </row>
    <row r="8352" spans="1:12" x14ac:dyDescent="0.45">
      <c r="A8352" s="12" t="s">
        <v>14783</v>
      </c>
      <c r="B8352" s="12" t="s">
        <v>2712</v>
      </c>
      <c r="C8352" s="13" t="s">
        <v>2713</v>
      </c>
      <c r="D8352" s="13" t="s">
        <v>65</v>
      </c>
      <c r="E8352" s="12" t="s">
        <v>35</v>
      </c>
      <c r="F8352" s="14">
        <v>30000</v>
      </c>
      <c r="G8352" s="14">
        <v>18890</v>
      </c>
      <c r="H8352" s="13" t="s">
        <v>14796</v>
      </c>
      <c r="I8352" s="40" t="s">
        <v>18</v>
      </c>
      <c r="J8352" s="40" t="str">
        <f>HYPERLINK("https://m.stock.naver.com/research/company/86966","PDF")</f>
        <v>PDF</v>
      </c>
      <c r="K8352" s="12" t="s">
        <v>14797</v>
      </c>
      <c r="L8352" s="20">
        <v>0.58814187400741136</v>
      </c>
    </row>
    <row r="8353" spans="1:12" x14ac:dyDescent="0.45">
      <c r="A8353" s="12" t="s">
        <v>14783</v>
      </c>
      <c r="B8353" s="12" t="s">
        <v>4656</v>
      </c>
      <c r="C8353" s="13" t="s">
        <v>4657</v>
      </c>
      <c r="D8353" s="13" t="s">
        <v>65</v>
      </c>
      <c r="E8353" s="12" t="s">
        <v>35</v>
      </c>
      <c r="F8353" s="14">
        <v>10000</v>
      </c>
      <c r="G8353" s="14">
        <v>6940</v>
      </c>
      <c r="H8353" s="13" t="s">
        <v>14798</v>
      </c>
      <c r="I8353" s="40" t="s">
        <v>18</v>
      </c>
      <c r="J8353" s="40" t="str">
        <f>HYPERLINK("https://stock.pstatic.net/stock-research/company/57/20251021_company_848025000.pdf","PDF")</f>
        <v>PDF</v>
      </c>
      <c r="K8353" s="12" t="s">
        <v>14799</v>
      </c>
      <c r="L8353" s="20">
        <v>0.44092219020172913</v>
      </c>
    </row>
    <row r="8354" spans="1:12" x14ac:dyDescent="0.45">
      <c r="A8354" s="12" t="s">
        <v>14783</v>
      </c>
      <c r="B8354" s="12" t="s">
        <v>669</v>
      </c>
      <c r="C8354" s="13" t="s">
        <v>670</v>
      </c>
      <c r="D8354" s="13" t="s">
        <v>65</v>
      </c>
      <c r="E8354" s="12" t="s">
        <v>35</v>
      </c>
      <c r="F8354" s="14">
        <v>28000</v>
      </c>
      <c r="G8354" s="14">
        <v>14490</v>
      </c>
      <c r="H8354" s="13" t="s">
        <v>14800</v>
      </c>
      <c r="I8354" s="40" t="s">
        <v>18</v>
      </c>
      <c r="J8354" s="40" t="str">
        <f>HYPERLINK("https://stock.pstatic.net/stock-research/company/57/20251021_company_374947000.pdf","PDF")</f>
        <v>PDF</v>
      </c>
      <c r="K8354" s="12" t="s">
        <v>14801</v>
      </c>
      <c r="L8354" s="20">
        <v>0.93236714975845414</v>
      </c>
    </row>
    <row r="8355" spans="1:12" x14ac:dyDescent="0.45">
      <c r="A8355" s="12" t="s">
        <v>14783</v>
      </c>
      <c r="B8355" s="12" t="s">
        <v>772</v>
      </c>
      <c r="C8355" s="13" t="s">
        <v>5840</v>
      </c>
      <c r="D8355" s="13" t="s">
        <v>65</v>
      </c>
      <c r="E8355" s="12" t="s">
        <v>35</v>
      </c>
      <c r="F8355" s="14">
        <v>40000</v>
      </c>
      <c r="G8355" s="14">
        <v>21550</v>
      </c>
      <c r="H8355" s="13" t="s">
        <v>14802</v>
      </c>
      <c r="I8355" s="40" t="s">
        <v>18</v>
      </c>
      <c r="J8355" s="40" t="str">
        <f>HYPERLINK("https://m.stock.naver.com/research/company/86963","PDF")</f>
        <v>PDF</v>
      </c>
      <c r="K8355" s="12" t="s">
        <v>14803</v>
      </c>
      <c r="L8355" s="20">
        <v>0.85614849187935038</v>
      </c>
    </row>
    <row r="8356" spans="1:12" x14ac:dyDescent="0.45">
      <c r="A8356" s="12" t="s">
        <v>14783</v>
      </c>
      <c r="B8356" s="12" t="s">
        <v>780</v>
      </c>
      <c r="C8356" s="13" t="s">
        <v>781</v>
      </c>
      <c r="D8356" s="13" t="s">
        <v>65</v>
      </c>
      <c r="E8356" s="12" t="s">
        <v>35</v>
      </c>
      <c r="F8356" s="14">
        <v>12000</v>
      </c>
      <c r="G8356" s="14">
        <v>6790</v>
      </c>
      <c r="H8356" s="13" t="s">
        <v>14804</v>
      </c>
      <c r="I8356" s="40" t="s">
        <v>18</v>
      </c>
      <c r="J8356" s="40" t="str">
        <f>HYPERLINK("https://m.stock.naver.com/research/company/86962","PDF")</f>
        <v>PDF</v>
      </c>
      <c r="K8356" s="12" t="s">
        <v>14805</v>
      </c>
      <c r="L8356" s="20">
        <v>0.76730486008836529</v>
      </c>
    </row>
    <row r="8357" spans="1:12" x14ac:dyDescent="0.45">
      <c r="A8357" s="12" t="s">
        <v>14783</v>
      </c>
      <c r="B8357" s="12" t="s">
        <v>281</v>
      </c>
      <c r="C8357" s="13" t="s">
        <v>282</v>
      </c>
      <c r="D8357" s="13" t="s">
        <v>65</v>
      </c>
      <c r="E8357" s="12" t="s">
        <v>35</v>
      </c>
      <c r="F8357" s="14">
        <v>25000</v>
      </c>
      <c r="G8357" s="14">
        <v>13130</v>
      </c>
      <c r="H8357" s="13" t="s">
        <v>14806</v>
      </c>
      <c r="I8357" s="40" t="s">
        <v>18</v>
      </c>
      <c r="J8357" s="40" t="str">
        <f>HYPERLINK("https://m.stock.naver.com/research/company/86961","PDF")</f>
        <v>PDF</v>
      </c>
      <c r="K8357" s="12" t="s">
        <v>14807</v>
      </c>
      <c r="L8357" s="20">
        <v>0.90403655750190404</v>
      </c>
    </row>
    <row r="8358" spans="1:12" x14ac:dyDescent="0.45">
      <c r="A8358" s="12" t="s">
        <v>14783</v>
      </c>
      <c r="B8358" s="12" t="s">
        <v>128</v>
      </c>
      <c r="C8358" s="13" t="s">
        <v>129</v>
      </c>
      <c r="D8358" s="13" t="s">
        <v>65</v>
      </c>
      <c r="E8358" s="12" t="s">
        <v>35</v>
      </c>
      <c r="F8358" s="14">
        <v>40000</v>
      </c>
      <c r="G8358" s="14">
        <v>28050</v>
      </c>
      <c r="H8358" s="13" t="s">
        <v>14808</v>
      </c>
      <c r="I8358" s="40" t="s">
        <v>18</v>
      </c>
      <c r="J8358" s="40" t="str">
        <f>HYPERLINK("https://m.stock.naver.com/research/company/86960","PDF")</f>
        <v>PDF</v>
      </c>
      <c r="K8358" s="12" t="s">
        <v>14809</v>
      </c>
      <c r="L8358" s="20">
        <v>0.42602495543672009</v>
      </c>
    </row>
    <row r="8359" spans="1:12" x14ac:dyDescent="0.45">
      <c r="A8359" s="12" t="s">
        <v>14783</v>
      </c>
      <c r="B8359" s="12" t="s">
        <v>326</v>
      </c>
      <c r="C8359" s="13" t="s">
        <v>327</v>
      </c>
      <c r="D8359" s="13" t="s">
        <v>158</v>
      </c>
      <c r="E8359" s="12" t="s">
        <v>50</v>
      </c>
      <c r="F8359" s="13"/>
      <c r="G8359" s="14">
        <v>23300</v>
      </c>
      <c r="H8359" s="13" t="s">
        <v>14810</v>
      </c>
      <c r="I8359" s="40" t="s">
        <v>18</v>
      </c>
      <c r="J8359" s="40" t="str">
        <f>HYPERLINK("https://stock.pstatic.net/stock-research/company/18/20251021_company_952364000.pdf","PDF")</f>
        <v>PDF</v>
      </c>
      <c r="K8359" s="12" t="s">
        <v>14811</v>
      </c>
    </row>
    <row r="8360" spans="1:12" x14ac:dyDescent="0.45">
      <c r="A8360" s="12" t="s">
        <v>14783</v>
      </c>
      <c r="B8360" s="12" t="s">
        <v>1781</v>
      </c>
      <c r="C8360" s="13" t="s">
        <v>1782</v>
      </c>
      <c r="D8360" s="13" t="s">
        <v>158</v>
      </c>
      <c r="E8360" s="12" t="s">
        <v>35</v>
      </c>
      <c r="F8360" s="14">
        <v>110000</v>
      </c>
      <c r="G8360" s="14">
        <v>91000</v>
      </c>
      <c r="H8360" s="13" t="s">
        <v>14812</v>
      </c>
      <c r="I8360" s="40" t="s">
        <v>18</v>
      </c>
      <c r="J8360" s="40" t="str">
        <f>HYPERLINK("https://stock.pstatic.net/stock-research/company/18/20251021_company_142785000.pdf","PDF")</f>
        <v>PDF</v>
      </c>
      <c r="K8360" s="12" t="s">
        <v>14813</v>
      </c>
      <c r="L8360" s="20">
        <v>0.2087912087912088</v>
      </c>
    </row>
    <row r="8361" spans="1:12" x14ac:dyDescent="0.45">
      <c r="A8361" s="12" t="s">
        <v>14783</v>
      </c>
      <c r="B8361" s="12" t="s">
        <v>1278</v>
      </c>
      <c r="C8361" s="13" t="s">
        <v>1279</v>
      </c>
      <c r="D8361" s="13" t="s">
        <v>158</v>
      </c>
      <c r="E8361" s="12" t="s">
        <v>35</v>
      </c>
      <c r="F8361" s="14">
        <v>210000</v>
      </c>
      <c r="G8361" s="14">
        <v>175700</v>
      </c>
      <c r="H8361" s="13" t="s">
        <v>14814</v>
      </c>
      <c r="I8361" s="40" t="s">
        <v>18</v>
      </c>
      <c r="J8361" s="40" t="str">
        <f>HYPERLINK("https://stock.pstatic.net/stock-research/company/18/20251021_company_108917000.pdf","PDF")</f>
        <v>PDF</v>
      </c>
      <c r="K8361" s="12" t="s">
        <v>14815</v>
      </c>
      <c r="L8361" s="20">
        <v>0.19521912350597609</v>
      </c>
    </row>
    <row r="8362" spans="1:12" x14ac:dyDescent="0.45">
      <c r="A8362" s="12" t="s">
        <v>14783</v>
      </c>
      <c r="B8362" s="12" t="s">
        <v>13410</v>
      </c>
      <c r="C8362" s="13" t="s">
        <v>13411</v>
      </c>
      <c r="D8362" s="13" t="s">
        <v>158</v>
      </c>
      <c r="E8362" s="12" t="s">
        <v>35</v>
      </c>
      <c r="F8362" s="14">
        <v>254000</v>
      </c>
      <c r="G8362" s="14">
        <v>202000</v>
      </c>
      <c r="H8362" s="13" t="s">
        <v>14816</v>
      </c>
      <c r="I8362" s="40" t="s">
        <v>18</v>
      </c>
      <c r="J8362" s="40" t="str">
        <f>HYPERLINK("https://stock.pstatic.net/stock-research/company/18/20251021_company_81717000.pdf","PDF")</f>
        <v>PDF</v>
      </c>
      <c r="K8362" s="12" t="s">
        <v>14817</v>
      </c>
      <c r="L8362" s="20">
        <v>0.25742574257425738</v>
      </c>
    </row>
    <row r="8363" spans="1:12" x14ac:dyDescent="0.45">
      <c r="A8363" s="12" t="s">
        <v>14783</v>
      </c>
      <c r="B8363" s="12" t="s">
        <v>1666</v>
      </c>
      <c r="C8363" s="13" t="s">
        <v>1667</v>
      </c>
      <c r="D8363" s="13" t="s">
        <v>83</v>
      </c>
      <c r="E8363" s="12" t="s">
        <v>35</v>
      </c>
      <c r="F8363" s="14">
        <v>81000</v>
      </c>
      <c r="G8363" s="14">
        <v>54200</v>
      </c>
      <c r="H8363" s="13" t="s">
        <v>14818</v>
      </c>
      <c r="I8363" s="40" t="s">
        <v>18</v>
      </c>
      <c r="J8363" s="40" t="str">
        <f>HYPERLINK("https://m.stock.naver.com/research/company/86955","PDF")</f>
        <v>PDF</v>
      </c>
      <c r="K8363" s="12" t="s">
        <v>14819</v>
      </c>
      <c r="L8363" s="20">
        <v>0.49446494464944651</v>
      </c>
    </row>
    <row r="8364" spans="1:12" x14ac:dyDescent="0.45">
      <c r="A8364" s="12" t="s">
        <v>14783</v>
      </c>
      <c r="B8364" s="12" t="s">
        <v>824</v>
      </c>
      <c r="C8364" s="13" t="s">
        <v>825</v>
      </c>
      <c r="D8364" s="13" t="s">
        <v>83</v>
      </c>
      <c r="E8364" s="12" t="s">
        <v>35</v>
      </c>
      <c r="F8364" s="14">
        <v>52000</v>
      </c>
      <c r="G8364" s="14">
        <v>38100</v>
      </c>
      <c r="H8364" s="13" t="s">
        <v>14820</v>
      </c>
      <c r="I8364" s="40" t="s">
        <v>18</v>
      </c>
      <c r="J8364" s="40" t="str">
        <f>HYPERLINK("https://m.stock.naver.com/research/company/86954","PDF")</f>
        <v>PDF</v>
      </c>
      <c r="K8364" s="12" t="s">
        <v>14821</v>
      </c>
      <c r="L8364" s="20">
        <v>0.3648293963254593</v>
      </c>
    </row>
    <row r="8365" spans="1:12" x14ac:dyDescent="0.45">
      <c r="A8365" s="12" t="s">
        <v>14783</v>
      </c>
      <c r="B8365" s="12" t="s">
        <v>32</v>
      </c>
      <c r="C8365" s="13" t="s">
        <v>33</v>
      </c>
      <c r="D8365" s="13" t="s">
        <v>83</v>
      </c>
      <c r="E8365" s="12" t="s">
        <v>35</v>
      </c>
      <c r="F8365" s="14">
        <v>260000</v>
      </c>
      <c r="G8365" s="14">
        <v>207000</v>
      </c>
      <c r="H8365" s="13" t="s">
        <v>14822</v>
      </c>
      <c r="I8365" s="40" t="s">
        <v>18</v>
      </c>
      <c r="J8365" s="40" t="str">
        <f>HYPERLINK("https://stock.pstatic.net/stock-research/company/2/20251021_company_497938000.pdf","PDF")</f>
        <v>PDF</v>
      </c>
      <c r="K8365" s="12" t="s">
        <v>14823</v>
      </c>
      <c r="L8365" s="20">
        <v>0.2560386473429952</v>
      </c>
    </row>
    <row r="8366" spans="1:12" x14ac:dyDescent="0.45">
      <c r="A8366" s="12" t="s">
        <v>14783</v>
      </c>
      <c r="B8366" s="12" t="s">
        <v>1930</v>
      </c>
      <c r="C8366" s="13" t="s">
        <v>1931</v>
      </c>
      <c r="D8366" s="13" t="s">
        <v>83</v>
      </c>
      <c r="E8366" s="12" t="s">
        <v>35</v>
      </c>
      <c r="F8366" s="14">
        <v>280000</v>
      </c>
      <c r="G8366" s="14">
        <v>231000</v>
      </c>
      <c r="H8366" s="13" t="s">
        <v>14824</v>
      </c>
      <c r="I8366" s="40" t="s">
        <v>18</v>
      </c>
      <c r="J8366" s="40" t="str">
        <f>HYPERLINK("https://m.stock.naver.com/research/company/86952","PDF")</f>
        <v>PDF</v>
      </c>
      <c r="K8366" s="12" t="s">
        <v>14825</v>
      </c>
      <c r="L8366" s="20">
        <v>0.2121212121212121</v>
      </c>
    </row>
    <row r="8367" spans="1:12" x14ac:dyDescent="0.45">
      <c r="A8367" s="12" t="s">
        <v>14783</v>
      </c>
      <c r="B8367" s="12" t="s">
        <v>334</v>
      </c>
      <c r="C8367" s="13" t="s">
        <v>335</v>
      </c>
      <c r="D8367" s="13" t="s">
        <v>83</v>
      </c>
      <c r="E8367" s="12" t="s">
        <v>35</v>
      </c>
      <c r="F8367" s="14">
        <v>550000</v>
      </c>
      <c r="G8367" s="14">
        <v>465500</v>
      </c>
      <c r="H8367" s="13" t="s">
        <v>14826</v>
      </c>
      <c r="I8367" s="40" t="s">
        <v>18</v>
      </c>
      <c r="J8367" s="40" t="str">
        <f>HYPERLINK("https://stock.pstatic.net/stock-research/company/2/20251021_company_475081000.pdf","PDF")</f>
        <v>PDF</v>
      </c>
      <c r="K8367" s="12" t="s">
        <v>14827</v>
      </c>
      <c r="L8367" s="20">
        <v>0.18152524167561759</v>
      </c>
    </row>
    <row r="8368" spans="1:12" x14ac:dyDescent="0.45">
      <c r="A8368" s="12" t="s">
        <v>14783</v>
      </c>
      <c r="B8368" s="12" t="s">
        <v>2191</v>
      </c>
      <c r="C8368" s="13" t="s">
        <v>2192</v>
      </c>
      <c r="D8368" s="13" t="s">
        <v>15</v>
      </c>
      <c r="E8368" s="12" t="s">
        <v>16</v>
      </c>
      <c r="F8368" s="14">
        <v>90000</v>
      </c>
      <c r="G8368" s="14">
        <v>67200</v>
      </c>
      <c r="H8368" s="13" t="s">
        <v>14828</v>
      </c>
      <c r="I8368" s="40" t="s">
        <v>18</v>
      </c>
      <c r="J8368" s="40" t="str">
        <f>HYPERLINK("https://m.stock.naver.com/research/company/86950","PDF")</f>
        <v>PDF</v>
      </c>
      <c r="K8368" s="12" t="s">
        <v>14829</v>
      </c>
      <c r="L8368" s="20">
        <v>0.3392857142857143</v>
      </c>
    </row>
    <row r="8369" spans="1:12" x14ac:dyDescent="0.45">
      <c r="A8369" s="12" t="s">
        <v>14783</v>
      </c>
      <c r="B8369" s="12" t="s">
        <v>2199</v>
      </c>
      <c r="C8369" s="13" t="s">
        <v>2200</v>
      </c>
      <c r="D8369" s="13" t="s">
        <v>179</v>
      </c>
      <c r="E8369" s="12" t="s">
        <v>16</v>
      </c>
      <c r="F8369" s="14">
        <v>49000</v>
      </c>
      <c r="G8369" s="14">
        <v>28550</v>
      </c>
      <c r="H8369" s="13" t="s">
        <v>14830</v>
      </c>
      <c r="I8369" s="40" t="s">
        <v>18</v>
      </c>
      <c r="J8369" s="40" t="str">
        <f>HYPERLINK("https://m.stock.naver.com/research/company/86949","PDF")</f>
        <v>PDF</v>
      </c>
      <c r="K8369" s="12" t="s">
        <v>14831</v>
      </c>
      <c r="L8369" s="20">
        <v>0.71628721541155871</v>
      </c>
    </row>
    <row r="8370" spans="1:12" x14ac:dyDescent="0.45">
      <c r="A8370" s="12" t="s">
        <v>14783</v>
      </c>
      <c r="B8370" s="12" t="s">
        <v>1781</v>
      </c>
      <c r="C8370" s="13" t="s">
        <v>1782</v>
      </c>
      <c r="D8370" s="13" t="s">
        <v>92</v>
      </c>
      <c r="E8370" s="12" t="s">
        <v>35</v>
      </c>
      <c r="F8370" s="14">
        <v>107000</v>
      </c>
      <c r="G8370" s="14">
        <v>91000</v>
      </c>
      <c r="H8370" s="13" t="s">
        <v>14832</v>
      </c>
      <c r="I8370" s="40" t="s">
        <v>18</v>
      </c>
      <c r="J8370" s="40" t="str">
        <f>HYPERLINK("https://m.stock.naver.com/research/company/86948","PDF")</f>
        <v>PDF</v>
      </c>
      <c r="K8370" s="12" t="s">
        <v>14833</v>
      </c>
      <c r="L8370" s="20">
        <v>0.17582417582417581</v>
      </c>
    </row>
    <row r="8371" spans="1:12" x14ac:dyDescent="0.45">
      <c r="A8371" s="12" t="s">
        <v>14783</v>
      </c>
      <c r="B8371" s="12" t="s">
        <v>2346</v>
      </c>
      <c r="C8371" s="13" t="s">
        <v>2347</v>
      </c>
      <c r="D8371" s="13" t="s">
        <v>179</v>
      </c>
      <c r="E8371" s="12" t="s">
        <v>16</v>
      </c>
      <c r="F8371" s="14">
        <v>70000</v>
      </c>
      <c r="G8371" s="14">
        <v>55400</v>
      </c>
      <c r="H8371" s="13" t="s">
        <v>14834</v>
      </c>
      <c r="I8371" s="40" t="s">
        <v>18</v>
      </c>
      <c r="J8371" s="40" t="str">
        <f>HYPERLINK("https://m.stock.naver.com/research/company/86947","PDF")</f>
        <v>PDF</v>
      </c>
      <c r="K8371" s="12" t="s">
        <v>14835</v>
      </c>
      <c r="L8371" s="20">
        <v>0.26353790613718409</v>
      </c>
    </row>
    <row r="8372" spans="1:12" x14ac:dyDescent="0.45">
      <c r="A8372" s="12" t="s">
        <v>14783</v>
      </c>
      <c r="B8372" s="12" t="s">
        <v>485</v>
      </c>
      <c r="C8372" s="13" t="s">
        <v>486</v>
      </c>
      <c r="D8372" s="13" t="s">
        <v>179</v>
      </c>
      <c r="E8372" s="12" t="s">
        <v>16</v>
      </c>
      <c r="F8372" s="14">
        <v>200000</v>
      </c>
      <c r="G8372" s="14">
        <v>130700</v>
      </c>
      <c r="H8372" s="13" t="s">
        <v>14836</v>
      </c>
      <c r="I8372" s="40" t="s">
        <v>18</v>
      </c>
      <c r="J8372" s="40" t="str">
        <f>HYPERLINK("https://m.stock.naver.com/research/company/86946","PDF")</f>
        <v>PDF</v>
      </c>
      <c r="K8372" s="12" t="s">
        <v>14837</v>
      </c>
      <c r="L8372" s="20">
        <v>0.5302218821729151</v>
      </c>
    </row>
    <row r="8373" spans="1:12" x14ac:dyDescent="0.45">
      <c r="A8373" s="12" t="s">
        <v>14783</v>
      </c>
      <c r="B8373" s="12" t="s">
        <v>170</v>
      </c>
      <c r="C8373" s="13" t="s">
        <v>171</v>
      </c>
      <c r="D8373" s="13" t="s">
        <v>179</v>
      </c>
      <c r="E8373" s="12" t="s">
        <v>16</v>
      </c>
      <c r="F8373" s="14">
        <v>85000</v>
      </c>
      <c r="G8373" s="14">
        <v>64600</v>
      </c>
      <c r="H8373" s="13" t="s">
        <v>14838</v>
      </c>
      <c r="I8373" s="40" t="s">
        <v>18</v>
      </c>
      <c r="J8373" s="40" t="str">
        <f>HYPERLINK("https://m.stock.naver.com/research/company/86945","PDF")</f>
        <v>PDF</v>
      </c>
      <c r="K8373" s="12" t="s">
        <v>14839</v>
      </c>
      <c r="L8373" s="20">
        <v>0.31578947368421051</v>
      </c>
    </row>
    <row r="8374" spans="1:12" x14ac:dyDescent="0.45">
      <c r="A8374" s="12" t="s">
        <v>14783</v>
      </c>
      <c r="B8374" s="12" t="s">
        <v>1212</v>
      </c>
      <c r="C8374" s="13" t="s">
        <v>1213</v>
      </c>
      <c r="D8374" s="13" t="s">
        <v>23</v>
      </c>
      <c r="E8374" s="12" t="s">
        <v>50</v>
      </c>
      <c r="F8374" s="13"/>
      <c r="G8374" s="14">
        <v>54800</v>
      </c>
      <c r="H8374" s="13" t="s">
        <v>14840</v>
      </c>
      <c r="I8374" s="40" t="s">
        <v>18</v>
      </c>
      <c r="J8374" s="40" t="str">
        <f>HYPERLINK("https://stock.pstatic.net/stock-research/company/21/20251021_company_988119000.pdf","PDF")</f>
        <v>PDF</v>
      </c>
      <c r="K8374" s="12" t="s">
        <v>14841</v>
      </c>
    </row>
    <row r="8375" spans="1:12" x14ac:dyDescent="0.45">
      <c r="A8375" s="12" t="s">
        <v>14783</v>
      </c>
      <c r="B8375" s="12" t="s">
        <v>888</v>
      </c>
      <c r="C8375" s="13" t="s">
        <v>889</v>
      </c>
      <c r="D8375" s="13" t="s">
        <v>23</v>
      </c>
      <c r="E8375" s="12" t="s">
        <v>16</v>
      </c>
      <c r="F8375" s="14">
        <v>76000</v>
      </c>
      <c r="G8375" s="14">
        <v>50100</v>
      </c>
      <c r="H8375" s="13" t="s">
        <v>14842</v>
      </c>
      <c r="I8375" s="40" t="s">
        <v>18</v>
      </c>
      <c r="J8375" s="40" t="str">
        <f>HYPERLINK("https://stock.pstatic.net/stock-research/company/21/20251021_company_445953000.pdf","PDF")</f>
        <v>PDF</v>
      </c>
      <c r="K8375" s="12" t="s">
        <v>14843</v>
      </c>
      <c r="L8375" s="20">
        <v>0.51696606786427146</v>
      </c>
    </row>
    <row r="8376" spans="1:12" x14ac:dyDescent="0.45">
      <c r="A8376" s="12" t="s">
        <v>14783</v>
      </c>
      <c r="B8376" s="12" t="s">
        <v>3105</v>
      </c>
      <c r="C8376" s="13" t="s">
        <v>3106</v>
      </c>
      <c r="D8376" s="13" t="s">
        <v>34</v>
      </c>
      <c r="E8376" s="12" t="s">
        <v>35</v>
      </c>
      <c r="F8376" s="14">
        <v>370000</v>
      </c>
      <c r="G8376" s="14">
        <v>275500</v>
      </c>
      <c r="H8376" s="13" t="s">
        <v>14844</v>
      </c>
      <c r="I8376" s="40" t="s">
        <v>18</v>
      </c>
      <c r="J8376" s="40" t="str">
        <f>HYPERLINK("https://stock.pstatic.net/stock-research/company/61/20251021_company_533205000.pdf","PDF")</f>
        <v>PDF</v>
      </c>
      <c r="K8376" s="12" t="s">
        <v>14845</v>
      </c>
      <c r="L8376" s="20">
        <v>0.34301270417422869</v>
      </c>
    </row>
    <row r="8377" spans="1:12" x14ac:dyDescent="0.45">
      <c r="A8377" s="12" t="s">
        <v>14783</v>
      </c>
      <c r="B8377" s="12" t="s">
        <v>1666</v>
      </c>
      <c r="C8377" s="13" t="s">
        <v>1667</v>
      </c>
      <c r="D8377" s="13" t="s">
        <v>23</v>
      </c>
      <c r="E8377" s="12" t="s">
        <v>16</v>
      </c>
      <c r="F8377" s="14">
        <v>91000</v>
      </c>
      <c r="G8377" s="14">
        <v>54600</v>
      </c>
      <c r="H8377" s="13" t="s">
        <v>14846</v>
      </c>
      <c r="I8377" s="40" t="s">
        <v>18</v>
      </c>
      <c r="J8377" s="40" t="str">
        <f>HYPERLINK("https://stock.pstatic.net/stock-research/company/21/20251021_company_95490000.pdf","PDF")</f>
        <v>PDF</v>
      </c>
      <c r="K8377" s="12" t="s">
        <v>14847</v>
      </c>
      <c r="L8377" s="20">
        <v>0.66666666666666663</v>
      </c>
    </row>
    <row r="8378" spans="1:12" x14ac:dyDescent="0.45">
      <c r="A8378" s="12" t="s">
        <v>14783</v>
      </c>
      <c r="B8378" s="12" t="s">
        <v>375</v>
      </c>
      <c r="C8378" s="13" t="s">
        <v>376</v>
      </c>
      <c r="D8378" s="13" t="s">
        <v>44</v>
      </c>
      <c r="E8378" s="12" t="s">
        <v>35</v>
      </c>
      <c r="F8378" s="14">
        <v>30000</v>
      </c>
      <c r="G8378" s="14">
        <v>24300</v>
      </c>
      <c r="H8378" s="13" t="s">
        <v>14848</v>
      </c>
      <c r="I8378" s="40" t="s">
        <v>18</v>
      </c>
      <c r="J8378" s="40" t="str">
        <f>HYPERLINK("https://stock.pstatic.net/stock-research/company/39/20251021_company_417424000.pdf","PDF")</f>
        <v>PDF</v>
      </c>
      <c r="K8378" s="12" t="s">
        <v>14849</v>
      </c>
      <c r="L8378" s="20">
        <v>0.23456790123456789</v>
      </c>
    </row>
    <row r="8379" spans="1:12" x14ac:dyDescent="0.45">
      <c r="A8379" s="12" t="s">
        <v>14783</v>
      </c>
      <c r="B8379" s="12" t="s">
        <v>3204</v>
      </c>
      <c r="C8379" s="13" t="s">
        <v>3205</v>
      </c>
      <c r="D8379" s="13" t="s">
        <v>44</v>
      </c>
      <c r="E8379" s="12" t="s">
        <v>35</v>
      </c>
      <c r="F8379" s="14">
        <v>5000</v>
      </c>
      <c r="G8379" s="14">
        <v>3670</v>
      </c>
      <c r="H8379" s="13" t="s">
        <v>14850</v>
      </c>
      <c r="I8379" s="40" t="s">
        <v>18</v>
      </c>
      <c r="J8379" s="40" t="str">
        <f>HYPERLINK("https://stock.pstatic.net/stock-research/company/39/20251021_company_668209000.pdf","PDF")</f>
        <v>PDF</v>
      </c>
      <c r="K8379" s="12" t="s">
        <v>14851</v>
      </c>
      <c r="L8379" s="20">
        <v>0.36239782016348782</v>
      </c>
    </row>
    <row r="8380" spans="1:12" x14ac:dyDescent="0.45">
      <c r="A8380" s="12" t="s">
        <v>14783</v>
      </c>
      <c r="B8380" s="12" t="s">
        <v>3164</v>
      </c>
      <c r="C8380" s="13" t="s">
        <v>3165</v>
      </c>
      <c r="D8380" s="13" t="s">
        <v>44</v>
      </c>
      <c r="E8380" s="12" t="s">
        <v>35</v>
      </c>
      <c r="F8380" s="14">
        <v>81000</v>
      </c>
      <c r="G8380" s="14">
        <v>56800</v>
      </c>
      <c r="H8380" s="13" t="s">
        <v>14852</v>
      </c>
      <c r="I8380" s="40" t="s">
        <v>18</v>
      </c>
      <c r="J8380" s="40" t="str">
        <f>HYPERLINK("https://stock.pstatic.net/stock-research/company/39/20251021_company_415203000.pdf","PDF")</f>
        <v>PDF</v>
      </c>
      <c r="K8380" s="12" t="s">
        <v>14853</v>
      </c>
      <c r="L8380" s="20">
        <v>0.426056338028169</v>
      </c>
    </row>
    <row r="8381" spans="1:12" x14ac:dyDescent="0.45">
      <c r="A8381" s="12" t="s">
        <v>14783</v>
      </c>
      <c r="B8381" s="12" t="s">
        <v>728</v>
      </c>
      <c r="C8381" s="13" t="s">
        <v>729</v>
      </c>
      <c r="D8381" s="13" t="s">
        <v>44</v>
      </c>
      <c r="E8381" s="12" t="s">
        <v>35</v>
      </c>
      <c r="F8381" s="14">
        <v>100000</v>
      </c>
      <c r="G8381" s="14">
        <v>81200</v>
      </c>
      <c r="H8381" s="13" t="s">
        <v>14854</v>
      </c>
      <c r="I8381" s="40" t="s">
        <v>18</v>
      </c>
      <c r="J8381" s="40" t="str">
        <f>HYPERLINK("https://stock.pstatic.net/stock-research/company/39/20251021_company_934808000.pdf","PDF")</f>
        <v>PDF</v>
      </c>
      <c r="K8381" s="12" t="s">
        <v>14855</v>
      </c>
      <c r="L8381" s="20">
        <v>0.23152709359605911</v>
      </c>
    </row>
    <row r="8382" spans="1:12" x14ac:dyDescent="0.45">
      <c r="A8382" s="12" t="s">
        <v>14783</v>
      </c>
      <c r="B8382" s="12" t="s">
        <v>272</v>
      </c>
      <c r="C8382" s="13" t="s">
        <v>273</v>
      </c>
      <c r="D8382" s="13" t="s">
        <v>44</v>
      </c>
      <c r="E8382" s="12" t="s">
        <v>35</v>
      </c>
      <c r="F8382" s="14">
        <v>810000</v>
      </c>
      <c r="G8382" s="14">
        <v>602000</v>
      </c>
      <c r="H8382" s="13" t="s">
        <v>14856</v>
      </c>
      <c r="I8382" s="40" t="s">
        <v>18</v>
      </c>
      <c r="J8382" s="40" t="str">
        <f>HYPERLINK("https://stock.pstatic.net/stock-research/company/39/20251021_company_91578000.pdf","PDF")</f>
        <v>PDF</v>
      </c>
      <c r="K8382" s="12" t="s">
        <v>14857</v>
      </c>
      <c r="L8382" s="20">
        <v>0.34551495016611289</v>
      </c>
    </row>
    <row r="8383" spans="1:12" x14ac:dyDescent="0.45">
      <c r="A8383" s="12" t="s">
        <v>14783</v>
      </c>
      <c r="B8383" s="12" t="s">
        <v>1666</v>
      </c>
      <c r="C8383" s="13" t="s">
        <v>1667</v>
      </c>
      <c r="D8383" s="13" t="s">
        <v>53</v>
      </c>
      <c r="E8383" s="12" t="s">
        <v>16</v>
      </c>
      <c r="F8383" s="14">
        <v>70000</v>
      </c>
      <c r="G8383" s="14">
        <v>54600</v>
      </c>
      <c r="H8383" s="13" t="s">
        <v>14858</v>
      </c>
      <c r="I8383" s="40" t="s">
        <v>18</v>
      </c>
      <c r="J8383" s="40" t="str">
        <f>HYPERLINK("https://stock.pstatic.net/stock-research/company/40/20251021_company_546601000.pdf","PDF")</f>
        <v>PDF</v>
      </c>
      <c r="K8383" s="12" t="s">
        <v>14859</v>
      </c>
      <c r="L8383" s="20">
        <v>0.28205128205128199</v>
      </c>
    </row>
    <row r="8384" spans="1:12" x14ac:dyDescent="0.45">
      <c r="A8384" s="12" t="s">
        <v>14783</v>
      </c>
      <c r="B8384" s="12" t="s">
        <v>14860</v>
      </c>
      <c r="C8384" s="13" t="s">
        <v>14861</v>
      </c>
      <c r="D8384" s="13" t="s">
        <v>53</v>
      </c>
      <c r="E8384" s="12" t="s">
        <v>16</v>
      </c>
      <c r="F8384" s="14">
        <v>28000</v>
      </c>
      <c r="G8384" s="14">
        <v>19440</v>
      </c>
      <c r="H8384" s="13" t="s">
        <v>14862</v>
      </c>
      <c r="I8384" s="40" t="s">
        <v>18</v>
      </c>
      <c r="J8384" s="40" t="str">
        <f>HYPERLINK("https://stock.pstatic.net/stock-research/company/40/20251021_company_508966000.pdf","PDF")</f>
        <v>PDF</v>
      </c>
      <c r="K8384" s="12" t="s">
        <v>14863</v>
      </c>
      <c r="L8384" s="20">
        <v>0.44032921810699588</v>
      </c>
    </row>
    <row r="8385" spans="1:12" x14ac:dyDescent="0.45">
      <c r="A8385" s="12" t="s">
        <v>14783</v>
      </c>
      <c r="B8385" s="12" t="s">
        <v>1686</v>
      </c>
      <c r="C8385" s="13" t="s">
        <v>1687</v>
      </c>
      <c r="D8385" s="13" t="s">
        <v>53</v>
      </c>
      <c r="E8385" s="12" t="s">
        <v>16</v>
      </c>
      <c r="F8385" s="14">
        <v>1600000</v>
      </c>
      <c r="G8385" s="14">
        <v>1381000</v>
      </c>
      <c r="H8385" s="13" t="s">
        <v>14864</v>
      </c>
      <c r="I8385" s="40" t="s">
        <v>18</v>
      </c>
      <c r="J8385" s="40" t="str">
        <f>HYPERLINK("https://stock.pstatic.net/stock-research/company/40/20251021_company_616388000.pdf","PDF")</f>
        <v>PDF</v>
      </c>
      <c r="K8385" s="12" t="s">
        <v>14865</v>
      </c>
      <c r="L8385" s="20">
        <v>0.15858073859522079</v>
      </c>
    </row>
    <row r="8386" spans="1:12" x14ac:dyDescent="0.45">
      <c r="A8386" s="12" t="s">
        <v>14866</v>
      </c>
      <c r="B8386" s="12" t="s">
        <v>3584</v>
      </c>
      <c r="C8386" s="13" t="s">
        <v>3585</v>
      </c>
      <c r="D8386" s="13" t="s">
        <v>57</v>
      </c>
      <c r="E8386" s="12" t="s">
        <v>35</v>
      </c>
      <c r="F8386" s="14">
        <v>26000</v>
      </c>
      <c r="G8386" s="14">
        <v>20100</v>
      </c>
      <c r="H8386" s="13" t="s">
        <v>14867</v>
      </c>
      <c r="I8386" s="40" t="s">
        <v>18</v>
      </c>
      <c r="J8386" s="40" t="str">
        <f>HYPERLINK("https://stock.pstatic.net/stock-research/company/16/20251020_company_673995000.pdf","PDF")</f>
        <v>PDF</v>
      </c>
      <c r="K8386" s="12" t="s">
        <v>14868</v>
      </c>
      <c r="L8386" s="20">
        <v>0.29353233830845771</v>
      </c>
    </row>
    <row r="8387" spans="1:12" x14ac:dyDescent="0.45">
      <c r="A8387" s="12" t="s">
        <v>14866</v>
      </c>
      <c r="B8387" s="12" t="s">
        <v>1262</v>
      </c>
      <c r="C8387" s="13" t="s">
        <v>1263</v>
      </c>
      <c r="D8387" s="13" t="s">
        <v>57</v>
      </c>
      <c r="E8387" s="12" t="s">
        <v>35</v>
      </c>
      <c r="F8387" s="14">
        <v>3600</v>
      </c>
      <c r="G8387" s="14">
        <v>3100</v>
      </c>
      <c r="H8387" s="13" t="s">
        <v>14869</v>
      </c>
      <c r="I8387" s="40" t="s">
        <v>18</v>
      </c>
      <c r="J8387" s="40" t="str">
        <f>HYPERLINK("https://stock.pstatic.net/stock-research/company/16/20251020_company_194604000.pdf","PDF")</f>
        <v>PDF</v>
      </c>
      <c r="K8387" s="12" t="s">
        <v>14870</v>
      </c>
      <c r="L8387" s="20">
        <v>0.16129032258064521</v>
      </c>
    </row>
    <row r="8388" spans="1:12" x14ac:dyDescent="0.45">
      <c r="A8388" s="12" t="s">
        <v>14866</v>
      </c>
      <c r="B8388" s="12" t="s">
        <v>330</v>
      </c>
      <c r="C8388" s="13" t="s">
        <v>331</v>
      </c>
      <c r="D8388" s="13" t="s">
        <v>57</v>
      </c>
      <c r="E8388" s="12" t="s">
        <v>35</v>
      </c>
      <c r="F8388" s="14">
        <v>38000</v>
      </c>
      <c r="G8388" s="14">
        <v>29750</v>
      </c>
      <c r="H8388" s="13" t="s">
        <v>14871</v>
      </c>
      <c r="I8388" s="40" t="s">
        <v>18</v>
      </c>
      <c r="J8388" s="40" t="str">
        <f>HYPERLINK("https://stock.pstatic.net/stock-research/company/16/20251020_company_316186000.pdf","PDF")</f>
        <v>PDF</v>
      </c>
      <c r="K8388" s="12" t="s">
        <v>14872</v>
      </c>
      <c r="L8388" s="20">
        <v>0.27731092436974791</v>
      </c>
    </row>
    <row r="8389" spans="1:12" x14ac:dyDescent="0.45">
      <c r="A8389" s="12" t="s">
        <v>14866</v>
      </c>
      <c r="B8389" s="12" t="s">
        <v>768</v>
      </c>
      <c r="C8389" s="13" t="s">
        <v>769</v>
      </c>
      <c r="D8389" s="13" t="s">
        <v>57</v>
      </c>
      <c r="E8389" s="12" t="s">
        <v>35</v>
      </c>
      <c r="F8389" s="14">
        <v>270000</v>
      </c>
      <c r="G8389" s="14">
        <v>199400</v>
      </c>
      <c r="H8389" s="13" t="s">
        <v>14873</v>
      </c>
      <c r="I8389" s="40" t="s">
        <v>18</v>
      </c>
      <c r="J8389" s="40" t="str">
        <f>HYPERLINK("https://stock.pstatic.net/stock-research/company/16/20251020_company_375960000.pdf","PDF")</f>
        <v>PDF</v>
      </c>
      <c r="K8389" s="12" t="s">
        <v>14874</v>
      </c>
      <c r="L8389" s="20">
        <v>0.35406218655967903</v>
      </c>
    </row>
    <row r="8390" spans="1:12" x14ac:dyDescent="0.45">
      <c r="A8390" s="12" t="s">
        <v>14866</v>
      </c>
      <c r="B8390" s="12" t="s">
        <v>2089</v>
      </c>
      <c r="C8390" s="13" t="s">
        <v>2090</v>
      </c>
      <c r="D8390" s="13" t="s">
        <v>57</v>
      </c>
      <c r="E8390" s="12" t="s">
        <v>35</v>
      </c>
      <c r="F8390" s="14">
        <v>81000</v>
      </c>
      <c r="G8390" s="14">
        <v>65300</v>
      </c>
      <c r="H8390" s="13" t="s">
        <v>14875</v>
      </c>
      <c r="I8390" s="40" t="s">
        <v>18</v>
      </c>
      <c r="J8390" s="40" t="str">
        <f>HYPERLINK("https://stock.pstatic.net/stock-research/company/16/20251020_company_548109000.pdf","PDF")</f>
        <v>PDF</v>
      </c>
      <c r="K8390" s="12" t="s">
        <v>14876</v>
      </c>
      <c r="L8390" s="20">
        <v>0.2404287901990812</v>
      </c>
    </row>
    <row r="8391" spans="1:12" x14ac:dyDescent="0.45">
      <c r="A8391" s="12" t="s">
        <v>14866</v>
      </c>
      <c r="B8391" s="12" t="s">
        <v>1781</v>
      </c>
      <c r="C8391" s="13" t="s">
        <v>1782</v>
      </c>
      <c r="D8391" s="13" t="s">
        <v>65</v>
      </c>
      <c r="E8391" s="12" t="s">
        <v>35</v>
      </c>
      <c r="F8391" s="14">
        <v>108000</v>
      </c>
      <c r="G8391" s="14">
        <v>84200</v>
      </c>
      <c r="H8391" s="13" t="s">
        <v>14877</v>
      </c>
      <c r="I8391" s="40" t="s">
        <v>18</v>
      </c>
      <c r="J8391" s="40" t="str">
        <f>HYPERLINK("https://stock.pstatic.net/stock-research/company/57/20251020_company_540368000.pdf","PDF")</f>
        <v>PDF</v>
      </c>
      <c r="K8391" s="12" t="s">
        <v>14878</v>
      </c>
      <c r="L8391" s="20">
        <v>0.28266033254156769</v>
      </c>
    </row>
    <row r="8392" spans="1:12" x14ac:dyDescent="0.45">
      <c r="A8392" s="12" t="s">
        <v>14866</v>
      </c>
      <c r="B8392" s="12" t="s">
        <v>375</v>
      </c>
      <c r="C8392" s="13" t="s">
        <v>376</v>
      </c>
      <c r="D8392" s="13" t="s">
        <v>65</v>
      </c>
      <c r="E8392" s="12" t="s">
        <v>35</v>
      </c>
      <c r="F8392" s="14">
        <v>36000</v>
      </c>
      <c r="G8392" s="14">
        <v>24150</v>
      </c>
      <c r="H8392" s="13" t="s">
        <v>14879</v>
      </c>
      <c r="I8392" s="40" t="s">
        <v>18</v>
      </c>
      <c r="J8392" s="40" t="str">
        <f>HYPERLINK("https://stock.pstatic.net/stock-research/company/57/20251020_company_149387000.pdf","PDF")</f>
        <v>PDF</v>
      </c>
      <c r="K8392" s="12" t="s">
        <v>14880</v>
      </c>
      <c r="L8392" s="20">
        <v>0.49068322981366458</v>
      </c>
    </row>
    <row r="8393" spans="1:12" x14ac:dyDescent="0.45">
      <c r="A8393" s="12" t="s">
        <v>14866</v>
      </c>
      <c r="B8393" s="12" t="s">
        <v>2795</v>
      </c>
      <c r="C8393" s="13" t="s">
        <v>2796</v>
      </c>
      <c r="D8393" s="13" t="s">
        <v>65</v>
      </c>
      <c r="E8393" s="12" t="s">
        <v>35</v>
      </c>
      <c r="F8393" s="14">
        <v>4800</v>
      </c>
      <c r="G8393" s="14">
        <v>3670</v>
      </c>
      <c r="H8393" s="13" t="s">
        <v>14881</v>
      </c>
      <c r="I8393" s="40" t="s">
        <v>18</v>
      </c>
      <c r="J8393" s="40" t="str">
        <f>HYPERLINK("https://stock.pstatic.net/stock-research/company/57/20251020_company_374763000.pdf","PDF")</f>
        <v>PDF</v>
      </c>
      <c r="K8393" s="12" t="s">
        <v>14882</v>
      </c>
      <c r="L8393" s="20">
        <v>0.30790190735694822</v>
      </c>
    </row>
    <row r="8394" spans="1:12" x14ac:dyDescent="0.45">
      <c r="A8394" s="12" t="s">
        <v>14866</v>
      </c>
      <c r="B8394" s="12" t="s">
        <v>3831</v>
      </c>
      <c r="C8394" s="13" t="s">
        <v>3832</v>
      </c>
      <c r="D8394" s="13" t="s">
        <v>65</v>
      </c>
      <c r="E8394" s="12" t="s">
        <v>35</v>
      </c>
      <c r="F8394" s="14">
        <v>50000</v>
      </c>
      <c r="G8394" s="14">
        <v>35400</v>
      </c>
      <c r="H8394" s="13" t="s">
        <v>14883</v>
      </c>
      <c r="I8394" s="40" t="s">
        <v>18</v>
      </c>
      <c r="J8394" s="40" t="str">
        <f>HYPERLINK("https://stock.pstatic.net/stock-research/company/57/20251020_company_505736000.pdf","PDF")</f>
        <v>PDF</v>
      </c>
      <c r="K8394" s="12" t="s">
        <v>14884</v>
      </c>
      <c r="L8394" s="20">
        <v>0.41242937853107342</v>
      </c>
    </row>
    <row r="8395" spans="1:12" x14ac:dyDescent="0.45">
      <c r="A8395" s="12" t="s">
        <v>14866</v>
      </c>
      <c r="B8395" s="12" t="s">
        <v>3349</v>
      </c>
      <c r="C8395" s="13" t="s">
        <v>7707</v>
      </c>
      <c r="D8395" s="13" t="s">
        <v>65</v>
      </c>
      <c r="E8395" s="12" t="s">
        <v>35</v>
      </c>
      <c r="F8395" s="14">
        <v>26000</v>
      </c>
      <c r="G8395" s="14">
        <v>19000</v>
      </c>
      <c r="H8395" s="13" t="s">
        <v>14885</v>
      </c>
      <c r="I8395" s="40" t="s">
        <v>18</v>
      </c>
      <c r="J8395" s="40" t="str">
        <f>HYPERLINK("https://stock.pstatic.net/stock-research/company/57/20251020_company_373358000.pdf","PDF")</f>
        <v>PDF</v>
      </c>
      <c r="K8395" s="12" t="s">
        <v>14886</v>
      </c>
      <c r="L8395" s="20">
        <v>0.36842105263157893</v>
      </c>
    </row>
    <row r="8396" spans="1:12" x14ac:dyDescent="0.45">
      <c r="A8396" s="12" t="s">
        <v>14866</v>
      </c>
      <c r="B8396" s="12" t="s">
        <v>398</v>
      </c>
      <c r="C8396" s="13" t="s">
        <v>399</v>
      </c>
      <c r="D8396" s="13" t="s">
        <v>158</v>
      </c>
      <c r="E8396" s="12" t="s">
        <v>35</v>
      </c>
      <c r="F8396" s="14">
        <v>226000</v>
      </c>
      <c r="G8396" s="14">
        <v>193500</v>
      </c>
      <c r="H8396" s="13" t="s">
        <v>14887</v>
      </c>
      <c r="I8396" s="40" t="s">
        <v>18</v>
      </c>
      <c r="J8396" s="40" t="str">
        <f>HYPERLINK("https://stock.pstatic.net/stock-research/company/18/20251020_company_616245000.pdf","PDF")</f>
        <v>PDF</v>
      </c>
      <c r="K8396" s="12" t="s">
        <v>14888</v>
      </c>
      <c r="L8396" s="20">
        <v>0.16795865633074941</v>
      </c>
    </row>
    <row r="8397" spans="1:12" x14ac:dyDescent="0.45">
      <c r="A8397" s="12" t="s">
        <v>14866</v>
      </c>
      <c r="B8397" s="12" t="s">
        <v>2365</v>
      </c>
      <c r="C8397" s="13" t="s">
        <v>2366</v>
      </c>
      <c r="D8397" s="13" t="s">
        <v>158</v>
      </c>
      <c r="E8397" s="12" t="s">
        <v>35</v>
      </c>
      <c r="F8397" s="14">
        <v>142000</v>
      </c>
      <c r="G8397" s="14">
        <v>111000</v>
      </c>
      <c r="H8397" s="13" t="s">
        <v>14889</v>
      </c>
      <c r="I8397" s="40" t="s">
        <v>18</v>
      </c>
      <c r="J8397" s="40" t="str">
        <f>HYPERLINK("https://stock.pstatic.net/stock-research/company/18/20251020_company_465421000.pdf","PDF")</f>
        <v>PDF</v>
      </c>
      <c r="K8397" s="12" t="s">
        <v>14890</v>
      </c>
      <c r="L8397" s="20">
        <v>0.27927927927927931</v>
      </c>
    </row>
    <row r="8398" spans="1:12" x14ac:dyDescent="0.45">
      <c r="A8398" s="12" t="s">
        <v>14866</v>
      </c>
      <c r="B8398" s="12" t="s">
        <v>2378</v>
      </c>
      <c r="C8398" s="13" t="s">
        <v>2379</v>
      </c>
      <c r="D8398" s="13" t="s">
        <v>158</v>
      </c>
      <c r="E8398" s="12" t="s">
        <v>35</v>
      </c>
      <c r="F8398" s="14">
        <v>531000</v>
      </c>
      <c r="G8398" s="14">
        <v>434000</v>
      </c>
      <c r="H8398" s="13" t="s">
        <v>14891</v>
      </c>
      <c r="I8398" s="40" t="s">
        <v>18</v>
      </c>
      <c r="J8398" s="40" t="str">
        <f>HYPERLINK("https://stock.pstatic.net/stock-research/company/18/20251020_company_956810000.pdf","PDF")</f>
        <v>PDF</v>
      </c>
      <c r="K8398" s="12" t="s">
        <v>14892</v>
      </c>
      <c r="L8398" s="20">
        <v>0.22350230414746541</v>
      </c>
    </row>
    <row r="8399" spans="1:12" x14ac:dyDescent="0.45">
      <c r="A8399" s="12" t="s">
        <v>14866</v>
      </c>
      <c r="B8399" s="12" t="s">
        <v>14893</v>
      </c>
      <c r="C8399" s="13" t="s">
        <v>14894</v>
      </c>
      <c r="D8399" s="13" t="s">
        <v>158</v>
      </c>
      <c r="E8399" s="12" t="s">
        <v>50</v>
      </c>
      <c r="F8399" s="13"/>
      <c r="G8399" s="14">
        <v>8600</v>
      </c>
      <c r="H8399" s="13" t="s">
        <v>14895</v>
      </c>
      <c r="I8399" s="40" t="s">
        <v>18</v>
      </c>
      <c r="J8399" s="40" t="str">
        <f>HYPERLINK("https://stock.pstatic.net/stock-research/company/18/20251020_company_342619000.pdf","PDF")</f>
        <v>PDF</v>
      </c>
      <c r="K8399" s="12" t="s">
        <v>14896</v>
      </c>
    </row>
    <row r="8400" spans="1:12" x14ac:dyDescent="0.45">
      <c r="A8400" s="12" t="s">
        <v>14866</v>
      </c>
      <c r="B8400" s="12" t="s">
        <v>272</v>
      </c>
      <c r="C8400" s="13" t="s">
        <v>273</v>
      </c>
      <c r="D8400" s="13" t="s">
        <v>15</v>
      </c>
      <c r="E8400" s="12" t="s">
        <v>16</v>
      </c>
      <c r="F8400" s="14">
        <v>820000</v>
      </c>
      <c r="G8400" s="14">
        <v>552000</v>
      </c>
      <c r="H8400" s="13" t="s">
        <v>14897</v>
      </c>
      <c r="I8400" s="40" t="s">
        <v>18</v>
      </c>
      <c r="J8400" s="40" t="str">
        <f>HYPERLINK("https://stock.pstatic.net/stock-research/company/29/20251020_company_476430000.pdf","PDF")</f>
        <v>PDF</v>
      </c>
      <c r="K8400" s="12" t="s">
        <v>14898</v>
      </c>
      <c r="L8400" s="20">
        <v>0.48550724637681159</v>
      </c>
    </row>
    <row r="8401" spans="1:12" x14ac:dyDescent="0.45">
      <c r="A8401" s="12" t="s">
        <v>14866</v>
      </c>
      <c r="B8401" s="12" t="s">
        <v>1781</v>
      </c>
      <c r="C8401" s="13" t="s">
        <v>1782</v>
      </c>
      <c r="D8401" s="13" t="s">
        <v>179</v>
      </c>
      <c r="E8401" s="12" t="s">
        <v>16</v>
      </c>
      <c r="F8401" s="14">
        <v>115000</v>
      </c>
      <c r="G8401" s="14">
        <v>84200</v>
      </c>
      <c r="H8401" s="13" t="s">
        <v>14899</v>
      </c>
      <c r="I8401" s="40" t="s">
        <v>18</v>
      </c>
      <c r="J8401" s="40" t="str">
        <f>HYPERLINK("https://stock.pstatic.net/stock-research/company/64/20251020_company_524363000.pdf","PDF")</f>
        <v>PDF</v>
      </c>
      <c r="K8401" s="12" t="s">
        <v>14900</v>
      </c>
      <c r="L8401" s="20">
        <v>0.36579572446555819</v>
      </c>
    </row>
    <row r="8402" spans="1:12" x14ac:dyDescent="0.45">
      <c r="A8402" s="12" t="s">
        <v>14866</v>
      </c>
      <c r="B8402" s="12" t="s">
        <v>1350</v>
      </c>
      <c r="C8402" s="13" t="s">
        <v>1351</v>
      </c>
      <c r="D8402" s="13" t="s">
        <v>53</v>
      </c>
      <c r="E8402" s="12" t="s">
        <v>16</v>
      </c>
      <c r="F8402" s="14">
        <v>57000</v>
      </c>
      <c r="G8402" s="14">
        <v>37800</v>
      </c>
      <c r="H8402" s="13" t="s">
        <v>14901</v>
      </c>
      <c r="I8402" s="40" t="s">
        <v>18</v>
      </c>
      <c r="J8402" s="40" t="str">
        <f>HYPERLINK("https://stock.pstatic.net/stock-research/company/40/20251020_company_76175000.pdf","PDF")</f>
        <v>PDF</v>
      </c>
      <c r="K8402" s="12" t="s">
        <v>14902</v>
      </c>
      <c r="L8402" s="20">
        <v>0.50793650793650791</v>
      </c>
    </row>
    <row r="8403" spans="1:12" x14ac:dyDescent="0.45">
      <c r="A8403" s="12" t="s">
        <v>14866</v>
      </c>
      <c r="B8403" s="12" t="s">
        <v>370</v>
      </c>
      <c r="C8403" s="13" t="s">
        <v>371</v>
      </c>
      <c r="D8403" s="13" t="s">
        <v>53</v>
      </c>
      <c r="E8403" s="12" t="s">
        <v>16</v>
      </c>
      <c r="F8403" s="14">
        <v>120000</v>
      </c>
      <c r="G8403" s="14">
        <v>90000</v>
      </c>
      <c r="H8403" s="13" t="s">
        <v>14903</v>
      </c>
      <c r="I8403" s="40" t="s">
        <v>18</v>
      </c>
      <c r="J8403" s="40" t="str">
        <f>HYPERLINK("https://stock.pstatic.net/stock-research/company/40/20251020_company_392187000.pdf","PDF")</f>
        <v>PDF</v>
      </c>
      <c r="K8403" s="12" t="s">
        <v>14904</v>
      </c>
      <c r="L8403" s="20">
        <v>0.33333333333333331</v>
      </c>
    </row>
    <row r="8404" spans="1:12" x14ac:dyDescent="0.45">
      <c r="A8404" s="12" t="s">
        <v>14866</v>
      </c>
      <c r="B8404" s="12" t="s">
        <v>1648</v>
      </c>
      <c r="C8404" s="13" t="s">
        <v>1649</v>
      </c>
      <c r="D8404" s="13" t="s">
        <v>53</v>
      </c>
      <c r="E8404" s="12" t="s">
        <v>16</v>
      </c>
      <c r="F8404" s="14">
        <v>190000</v>
      </c>
      <c r="G8404" s="14">
        <v>116400</v>
      </c>
      <c r="H8404" s="13" t="s">
        <v>14905</v>
      </c>
      <c r="I8404" s="40" t="s">
        <v>18</v>
      </c>
      <c r="J8404" s="40" t="str">
        <f>HYPERLINK("https://stock.pstatic.net/stock-research/company/40/20251020_company_356242000.pdf","PDF")</f>
        <v>PDF</v>
      </c>
      <c r="K8404" s="12" t="s">
        <v>14906</v>
      </c>
      <c r="L8404" s="20">
        <v>0.63230240549828176</v>
      </c>
    </row>
    <row r="8405" spans="1:12" x14ac:dyDescent="0.45">
      <c r="A8405" s="12" t="s">
        <v>14866</v>
      </c>
      <c r="B8405" s="12" t="s">
        <v>2982</v>
      </c>
      <c r="C8405" s="13" t="s">
        <v>2983</v>
      </c>
      <c r="D8405" s="13" t="s">
        <v>53</v>
      </c>
      <c r="E8405" s="12" t="s">
        <v>16</v>
      </c>
      <c r="F8405" s="14">
        <v>58000</v>
      </c>
      <c r="G8405" s="14">
        <v>40550</v>
      </c>
      <c r="H8405" s="13" t="s">
        <v>14907</v>
      </c>
      <c r="I8405" s="40" t="s">
        <v>18</v>
      </c>
      <c r="J8405" s="40" t="str">
        <f>HYPERLINK("https://stock.pstatic.net/stock-research/company/40/20251020_company_817180000.pdf","PDF")</f>
        <v>PDF</v>
      </c>
      <c r="K8405" s="12" t="s">
        <v>14908</v>
      </c>
      <c r="L8405" s="20">
        <v>0.43033292231812581</v>
      </c>
    </row>
    <row r="8406" spans="1:12" x14ac:dyDescent="0.45">
      <c r="A8406" s="12" t="s">
        <v>14866</v>
      </c>
      <c r="B8406" s="12" t="s">
        <v>3204</v>
      </c>
      <c r="C8406" s="13" t="s">
        <v>3205</v>
      </c>
      <c r="D8406" s="13" t="s">
        <v>53</v>
      </c>
      <c r="E8406" s="12" t="s">
        <v>16</v>
      </c>
      <c r="F8406" s="14">
        <v>4800</v>
      </c>
      <c r="G8406" s="14">
        <v>3630</v>
      </c>
      <c r="H8406" s="13" t="s">
        <v>14909</v>
      </c>
      <c r="I8406" s="40" t="s">
        <v>18</v>
      </c>
      <c r="J8406" s="40" t="str">
        <f>HYPERLINK("https://stock.pstatic.net/stock-research/company/40/20251020_company_833954000.pdf","PDF")</f>
        <v>PDF</v>
      </c>
      <c r="K8406" s="12" t="s">
        <v>14910</v>
      </c>
      <c r="L8406" s="20">
        <v>0.32231404958677679</v>
      </c>
    </row>
    <row r="8407" spans="1:12" x14ac:dyDescent="0.45">
      <c r="A8407" s="12" t="s">
        <v>14866</v>
      </c>
      <c r="B8407" s="12" t="s">
        <v>3164</v>
      </c>
      <c r="C8407" s="13" t="s">
        <v>3165</v>
      </c>
      <c r="D8407" s="13" t="s">
        <v>53</v>
      </c>
      <c r="E8407" s="12" t="s">
        <v>16</v>
      </c>
      <c r="F8407" s="14">
        <v>70000</v>
      </c>
      <c r="G8407" s="14">
        <v>56000</v>
      </c>
      <c r="H8407" s="13" t="s">
        <v>14911</v>
      </c>
      <c r="I8407" s="40" t="s">
        <v>18</v>
      </c>
      <c r="J8407" s="40" t="str">
        <f>HYPERLINK("https://stock.pstatic.net/stock-research/company/40/20251020_company_860046000.pdf","PDF")</f>
        <v>PDF</v>
      </c>
      <c r="K8407" s="12" t="s">
        <v>14912</v>
      </c>
      <c r="L8407" s="20">
        <v>0.25</v>
      </c>
    </row>
    <row r="8408" spans="1:12" x14ac:dyDescent="0.45">
      <c r="A8408" s="12" t="s">
        <v>14866</v>
      </c>
      <c r="B8408" s="12" t="s">
        <v>3349</v>
      </c>
      <c r="C8408" s="13" t="s">
        <v>7707</v>
      </c>
      <c r="D8408" s="13" t="s">
        <v>53</v>
      </c>
      <c r="E8408" s="12" t="s">
        <v>16</v>
      </c>
      <c r="F8408" s="14">
        <v>34000</v>
      </c>
      <c r="G8408" s="14">
        <v>19000</v>
      </c>
      <c r="H8408" s="13" t="s">
        <v>14913</v>
      </c>
      <c r="I8408" s="40" t="s">
        <v>18</v>
      </c>
      <c r="J8408" s="40" t="str">
        <f>HYPERLINK("https://stock.pstatic.net/stock-research/company/40/20251020_company_359955000.pdf","PDF")</f>
        <v>PDF</v>
      </c>
      <c r="K8408" s="12" t="s">
        <v>14914</v>
      </c>
      <c r="L8408" s="20">
        <v>0.78947368421052633</v>
      </c>
    </row>
    <row r="8409" spans="1:12" x14ac:dyDescent="0.45">
      <c r="A8409" s="12" t="s">
        <v>14866</v>
      </c>
      <c r="B8409" s="12" t="s">
        <v>3164</v>
      </c>
      <c r="C8409" s="13" t="s">
        <v>3165</v>
      </c>
      <c r="D8409" s="13" t="s">
        <v>34</v>
      </c>
      <c r="E8409" s="12" t="s">
        <v>35</v>
      </c>
      <c r="F8409" s="14">
        <v>90000</v>
      </c>
      <c r="G8409" s="14">
        <v>56000</v>
      </c>
      <c r="H8409" s="13" t="s">
        <v>14915</v>
      </c>
      <c r="I8409" s="40" t="s">
        <v>18</v>
      </c>
      <c r="J8409" s="40" t="str">
        <f>HYPERLINK("https://stock.pstatic.net/stock-research/company/61/20251020_company_475023000.pdf","PDF")</f>
        <v>PDF</v>
      </c>
      <c r="K8409" s="12" t="s">
        <v>14916</v>
      </c>
      <c r="L8409" s="20">
        <v>0.6071428571428571</v>
      </c>
    </row>
    <row r="8410" spans="1:12" x14ac:dyDescent="0.45">
      <c r="A8410" s="12" t="s">
        <v>14866</v>
      </c>
      <c r="B8410" s="12" t="s">
        <v>1781</v>
      </c>
      <c r="C8410" s="13" t="s">
        <v>1782</v>
      </c>
      <c r="D8410" s="13" t="s">
        <v>44</v>
      </c>
      <c r="E8410" s="12" t="s">
        <v>35</v>
      </c>
      <c r="F8410" s="14">
        <v>110000</v>
      </c>
      <c r="G8410" s="14">
        <v>84200</v>
      </c>
      <c r="H8410" s="13" t="s">
        <v>14917</v>
      </c>
      <c r="I8410" s="40" t="s">
        <v>18</v>
      </c>
      <c r="J8410" s="40" t="str">
        <f>HYPERLINK("https://stock.pstatic.net/stock-research/company/39/20251020_company_814665000.pdf","PDF")</f>
        <v>PDF</v>
      </c>
      <c r="K8410" s="12" t="s">
        <v>14918</v>
      </c>
      <c r="L8410" s="20">
        <v>0.30641330166270792</v>
      </c>
    </row>
    <row r="8411" spans="1:12" x14ac:dyDescent="0.45">
      <c r="A8411" s="12" t="s">
        <v>14866</v>
      </c>
      <c r="B8411" s="12" t="s">
        <v>438</v>
      </c>
      <c r="C8411" s="13" t="s">
        <v>439</v>
      </c>
      <c r="D8411" s="13" t="s">
        <v>179</v>
      </c>
      <c r="E8411" s="12" t="s">
        <v>16</v>
      </c>
      <c r="F8411" s="14">
        <v>150000</v>
      </c>
      <c r="G8411" s="14">
        <v>112100</v>
      </c>
      <c r="H8411" s="13" t="s">
        <v>14919</v>
      </c>
      <c r="I8411" s="40" t="s">
        <v>18</v>
      </c>
      <c r="J8411" s="40" t="str">
        <f>HYPERLINK("https://stock.pstatic.net/stock-research/company/64/20251020_company_159387000.pdf","PDF")</f>
        <v>PDF</v>
      </c>
      <c r="K8411" s="12" t="s">
        <v>14920</v>
      </c>
      <c r="L8411" s="20">
        <v>0.33809099018733269</v>
      </c>
    </row>
    <row r="8412" spans="1:12" x14ac:dyDescent="0.45">
      <c r="A8412" s="12" t="s">
        <v>14866</v>
      </c>
      <c r="B8412" s="12" t="s">
        <v>2425</v>
      </c>
      <c r="C8412" s="13" t="s">
        <v>2426</v>
      </c>
      <c r="D8412" s="13" t="s">
        <v>53</v>
      </c>
      <c r="E8412" s="12" t="s">
        <v>16</v>
      </c>
      <c r="F8412" s="14">
        <v>170000</v>
      </c>
      <c r="G8412" s="14">
        <v>139400</v>
      </c>
      <c r="H8412" s="13" t="s">
        <v>14921</v>
      </c>
      <c r="I8412" s="40" t="s">
        <v>18</v>
      </c>
      <c r="J8412" s="40" t="str">
        <f>HYPERLINK("https://stock.pstatic.net/stock-research/company/40/20251020_company_199209000.pdf","PDF")</f>
        <v>PDF</v>
      </c>
      <c r="K8412" s="12" t="s">
        <v>14922</v>
      </c>
      <c r="L8412" s="20">
        <v>0.21951219512195119</v>
      </c>
    </row>
    <row r="8413" spans="1:12" x14ac:dyDescent="0.45">
      <c r="A8413" s="12" t="s">
        <v>14866</v>
      </c>
      <c r="B8413" s="12" t="s">
        <v>42</v>
      </c>
      <c r="C8413" s="13" t="s">
        <v>43</v>
      </c>
      <c r="D8413" s="13" t="s">
        <v>23</v>
      </c>
      <c r="E8413" s="12" t="s">
        <v>50</v>
      </c>
      <c r="F8413" s="14">
        <v>250000</v>
      </c>
      <c r="G8413" s="14">
        <v>255500</v>
      </c>
      <c r="H8413" s="13" t="s">
        <v>14923</v>
      </c>
      <c r="I8413" s="40" t="s">
        <v>18</v>
      </c>
      <c r="J8413" s="40" t="str">
        <f>HYPERLINK("https://stock.pstatic.net/stock-research/company/21/20251020_company_462005000.pdf","PDF")</f>
        <v>PDF</v>
      </c>
      <c r="K8413" s="12" t="s">
        <v>14924</v>
      </c>
      <c r="L8413" s="20">
        <v>-2.1526418786692762E-2</v>
      </c>
    </row>
    <row r="8414" spans="1:12" x14ac:dyDescent="0.45">
      <c r="A8414" s="12" t="s">
        <v>14866</v>
      </c>
      <c r="B8414" s="12" t="s">
        <v>2522</v>
      </c>
      <c r="C8414" s="13" t="s">
        <v>2523</v>
      </c>
      <c r="D8414" s="13" t="s">
        <v>23</v>
      </c>
      <c r="E8414" s="12" t="s">
        <v>385</v>
      </c>
      <c r="F8414" s="13"/>
      <c r="G8414" s="14">
        <v>285000</v>
      </c>
      <c r="H8414" s="13" t="s">
        <v>14925</v>
      </c>
      <c r="I8414" s="40" t="s">
        <v>18</v>
      </c>
      <c r="J8414" s="40" t="str">
        <f>HYPERLINK("https://stock.pstatic.net/stock-research/company/21/20251020_company_706508000.pdf","PDF")</f>
        <v>PDF</v>
      </c>
      <c r="K8414" s="12" t="s">
        <v>14926</v>
      </c>
    </row>
    <row r="8415" spans="1:12" x14ac:dyDescent="0.45">
      <c r="A8415" s="12" t="s">
        <v>14866</v>
      </c>
      <c r="B8415" s="12" t="s">
        <v>916</v>
      </c>
      <c r="C8415" s="13" t="s">
        <v>917</v>
      </c>
      <c r="D8415" s="13" t="s">
        <v>23</v>
      </c>
      <c r="E8415" s="12" t="s">
        <v>16</v>
      </c>
      <c r="F8415" s="14">
        <v>87000</v>
      </c>
      <c r="G8415" s="14">
        <v>58000</v>
      </c>
      <c r="H8415" s="13" t="s">
        <v>14927</v>
      </c>
      <c r="I8415" s="40" t="s">
        <v>18</v>
      </c>
      <c r="J8415" s="40" t="str">
        <f>HYPERLINK("https://stock.pstatic.net/stock-research/company/21/20251020_company_469739000.pdf","PDF")</f>
        <v>PDF</v>
      </c>
      <c r="K8415" s="12" t="s">
        <v>14928</v>
      </c>
      <c r="L8415" s="20">
        <v>0.5</v>
      </c>
    </row>
    <row r="8416" spans="1:12" x14ac:dyDescent="0.45">
      <c r="A8416" s="12" t="s">
        <v>14866</v>
      </c>
      <c r="B8416" s="12" t="s">
        <v>1389</v>
      </c>
      <c r="C8416" s="13" t="s">
        <v>1390</v>
      </c>
      <c r="D8416" s="13" t="s">
        <v>34</v>
      </c>
      <c r="E8416" s="12" t="s">
        <v>50</v>
      </c>
      <c r="F8416" s="13"/>
      <c r="G8416" s="14">
        <v>16360</v>
      </c>
      <c r="H8416" s="13" t="s">
        <v>14929</v>
      </c>
      <c r="I8416" s="40" t="s">
        <v>18</v>
      </c>
      <c r="J8416" s="40" t="str">
        <f>HYPERLINK("https://stock.pstatic.net/stock-research/company/61/20251020_company_385547000.pdf","PDF")</f>
        <v>PDF</v>
      </c>
      <c r="K8416" s="12" t="s">
        <v>14930</v>
      </c>
    </row>
    <row r="8417" spans="1:12" x14ac:dyDescent="0.45">
      <c r="A8417" s="12" t="s">
        <v>14866</v>
      </c>
      <c r="B8417" s="12" t="s">
        <v>14931</v>
      </c>
      <c r="C8417" s="13" t="s">
        <v>14932</v>
      </c>
      <c r="D8417" s="13" t="s">
        <v>34</v>
      </c>
      <c r="E8417" s="12" t="s">
        <v>50</v>
      </c>
      <c r="F8417" s="13"/>
      <c r="G8417" s="14">
        <v>11400</v>
      </c>
      <c r="H8417" s="13" t="s">
        <v>14933</v>
      </c>
      <c r="I8417" s="40" t="s">
        <v>18</v>
      </c>
      <c r="J8417" s="40" t="str">
        <f>HYPERLINK("https://stock.pstatic.net/stock-research/company/61/20251020_company_222476000.pdf","PDF")</f>
        <v>PDF</v>
      </c>
      <c r="K8417" s="12" t="s">
        <v>14934</v>
      </c>
    </row>
    <row r="8418" spans="1:12" x14ac:dyDescent="0.45">
      <c r="A8418" s="12" t="s">
        <v>14866</v>
      </c>
      <c r="B8418" s="12" t="s">
        <v>1144</v>
      </c>
      <c r="C8418" s="13" t="s">
        <v>1145</v>
      </c>
      <c r="D8418" s="13" t="s">
        <v>34</v>
      </c>
      <c r="E8418" s="12" t="s">
        <v>50</v>
      </c>
      <c r="F8418" s="13"/>
      <c r="G8418" s="14">
        <v>97700</v>
      </c>
      <c r="H8418" s="13" t="s">
        <v>14935</v>
      </c>
      <c r="I8418" s="40" t="s">
        <v>18</v>
      </c>
      <c r="J8418" s="40" t="str">
        <f>HYPERLINK("https://stock.pstatic.net/stock-research/company/61/20251020_company_740011000.pdf","PDF")</f>
        <v>PDF</v>
      </c>
      <c r="K8418" s="12" t="s">
        <v>14936</v>
      </c>
    </row>
    <row r="8419" spans="1:12" x14ac:dyDescent="0.45">
      <c r="A8419" s="12" t="s">
        <v>14866</v>
      </c>
      <c r="B8419" s="12" t="s">
        <v>1682</v>
      </c>
      <c r="C8419" s="13" t="s">
        <v>4787</v>
      </c>
      <c r="D8419" s="13" t="s">
        <v>23</v>
      </c>
      <c r="E8419" s="12" t="s">
        <v>385</v>
      </c>
      <c r="F8419" s="13"/>
      <c r="G8419" s="14">
        <v>202000</v>
      </c>
      <c r="H8419" s="13" t="s">
        <v>14937</v>
      </c>
      <c r="I8419" s="40" t="s">
        <v>18</v>
      </c>
      <c r="J8419" s="40" t="str">
        <f>HYPERLINK("https://stock.pstatic.net/stock-research/company/21/20251020_company_339681000.pdf","PDF")</f>
        <v>PDF</v>
      </c>
      <c r="K8419" s="12" t="s">
        <v>14938</v>
      </c>
    </row>
    <row r="8420" spans="1:12" x14ac:dyDescent="0.45">
      <c r="A8420" s="12" t="s">
        <v>14866</v>
      </c>
      <c r="B8420" s="12" t="s">
        <v>740</v>
      </c>
      <c r="C8420" s="13" t="s">
        <v>741</v>
      </c>
      <c r="D8420" s="13" t="s">
        <v>23</v>
      </c>
      <c r="E8420" s="12" t="s">
        <v>16</v>
      </c>
      <c r="F8420" s="14">
        <v>250000</v>
      </c>
      <c r="G8420" s="14">
        <v>209500</v>
      </c>
      <c r="H8420" s="13" t="s">
        <v>14939</v>
      </c>
      <c r="I8420" s="40" t="s">
        <v>18</v>
      </c>
      <c r="J8420" s="40" t="str">
        <f>HYPERLINK("https://stock.pstatic.net/stock-research/company/21/20251020_company_609527000.pdf","PDF")</f>
        <v>PDF</v>
      </c>
      <c r="K8420" s="12" t="s">
        <v>14940</v>
      </c>
      <c r="L8420" s="20">
        <v>0.1933174224343675</v>
      </c>
    </row>
    <row r="8421" spans="1:12" x14ac:dyDescent="0.45">
      <c r="A8421" s="12" t="s">
        <v>14866</v>
      </c>
      <c r="B8421" s="12" t="s">
        <v>541</v>
      </c>
      <c r="C8421" s="13" t="s">
        <v>542</v>
      </c>
      <c r="D8421" s="13" t="s">
        <v>179</v>
      </c>
      <c r="E8421" s="12" t="s">
        <v>16</v>
      </c>
      <c r="F8421" s="14">
        <v>69000</v>
      </c>
      <c r="G8421" s="14">
        <v>54800</v>
      </c>
      <c r="H8421" s="13" t="s">
        <v>14941</v>
      </c>
      <c r="I8421" s="40" t="s">
        <v>18</v>
      </c>
      <c r="J8421" s="40" t="str">
        <f>HYPERLINK("https://stock.pstatic.net/stock-research/company/64/20251020_company_156345000.pdf","PDF")</f>
        <v>PDF</v>
      </c>
      <c r="K8421" s="12" t="s">
        <v>14942</v>
      </c>
      <c r="L8421" s="20">
        <v>0.25912408759124089</v>
      </c>
    </row>
    <row r="8422" spans="1:12" x14ac:dyDescent="0.45">
      <c r="A8422" s="12" t="s">
        <v>14866</v>
      </c>
      <c r="B8422" s="12" t="s">
        <v>63</v>
      </c>
      <c r="C8422" s="13" t="s">
        <v>64</v>
      </c>
      <c r="D8422" s="13" t="s">
        <v>44</v>
      </c>
      <c r="E8422" s="12" t="s">
        <v>35</v>
      </c>
      <c r="F8422" s="14">
        <v>420000</v>
      </c>
      <c r="G8422" s="14">
        <v>346000</v>
      </c>
      <c r="H8422" s="13" t="s">
        <v>14943</v>
      </c>
      <c r="I8422" s="40" t="s">
        <v>18</v>
      </c>
      <c r="J8422" s="40" t="str">
        <f>HYPERLINK("https://stock.pstatic.net/stock-research/company/39/20251020_company_512573000.pdf","PDF")</f>
        <v>PDF</v>
      </c>
      <c r="K8422" s="12" t="s">
        <v>14944</v>
      </c>
      <c r="L8422" s="20">
        <v>0.2138728323699422</v>
      </c>
    </row>
    <row r="8423" spans="1:12" x14ac:dyDescent="0.45">
      <c r="A8423" s="12" t="s">
        <v>14866</v>
      </c>
      <c r="B8423" s="12" t="s">
        <v>519</v>
      </c>
      <c r="C8423" s="13" t="s">
        <v>520</v>
      </c>
      <c r="D8423" s="13" t="s">
        <v>44</v>
      </c>
      <c r="E8423" s="12" t="s">
        <v>45</v>
      </c>
      <c r="F8423" s="14">
        <v>285000</v>
      </c>
      <c r="G8423" s="14">
        <v>243000</v>
      </c>
      <c r="H8423" s="13" t="s">
        <v>14945</v>
      </c>
      <c r="I8423" s="40" t="s">
        <v>18</v>
      </c>
      <c r="J8423" s="40" t="str">
        <f>HYPERLINK("https://stock.pstatic.net/stock-research/company/39/20251020_company_376184000.pdf","PDF")</f>
        <v>PDF</v>
      </c>
      <c r="K8423" s="12" t="s">
        <v>14946</v>
      </c>
      <c r="L8423" s="20">
        <v>0.1728395061728395</v>
      </c>
    </row>
    <row r="8424" spans="1:12" x14ac:dyDescent="0.45">
      <c r="A8424" s="12" t="s">
        <v>14947</v>
      </c>
      <c r="B8424" s="12" t="s">
        <v>3478</v>
      </c>
      <c r="C8424" s="13" t="s">
        <v>3479</v>
      </c>
      <c r="D8424" s="13" t="s">
        <v>57</v>
      </c>
      <c r="E8424" s="12" t="s">
        <v>35</v>
      </c>
      <c r="F8424" s="14">
        <v>50000</v>
      </c>
      <c r="G8424" s="14">
        <v>33600</v>
      </c>
      <c r="H8424" s="13" t="s">
        <v>14948</v>
      </c>
      <c r="I8424" s="40" t="s">
        <v>18</v>
      </c>
      <c r="J8424" s="40" t="str">
        <f>HYPERLINK("https://stock.pstatic.net/stock-research/company/16/20251017_company_894295000.pdf","PDF")</f>
        <v>PDF</v>
      </c>
      <c r="K8424" s="12" t="s">
        <v>14949</v>
      </c>
      <c r="L8424" s="20">
        <v>0.48809523809523808</v>
      </c>
    </row>
    <row r="8425" spans="1:12" x14ac:dyDescent="0.45">
      <c r="A8425" s="12" t="s">
        <v>14947</v>
      </c>
      <c r="B8425" s="12" t="s">
        <v>2231</v>
      </c>
      <c r="C8425" s="13" t="s">
        <v>2232</v>
      </c>
      <c r="D8425" s="13" t="s">
        <v>57</v>
      </c>
      <c r="E8425" s="12" t="s">
        <v>35</v>
      </c>
      <c r="F8425" s="14">
        <v>140000</v>
      </c>
      <c r="G8425" s="14">
        <v>94500</v>
      </c>
      <c r="H8425" s="13" t="s">
        <v>14950</v>
      </c>
      <c r="I8425" s="40" t="s">
        <v>18</v>
      </c>
      <c r="J8425" s="40" t="str">
        <f>HYPERLINK("https://stock.pstatic.net/stock-research/company/16/20251017_company_858162000.pdf","PDF")</f>
        <v>PDF</v>
      </c>
      <c r="K8425" s="12" t="s">
        <v>14951</v>
      </c>
      <c r="L8425" s="20">
        <v>0.48148148148148151</v>
      </c>
    </row>
    <row r="8426" spans="1:12" x14ac:dyDescent="0.45">
      <c r="A8426" s="12" t="s">
        <v>14947</v>
      </c>
      <c r="B8426" s="12" t="s">
        <v>912</v>
      </c>
      <c r="C8426" s="13" t="s">
        <v>913</v>
      </c>
      <c r="D8426" s="13" t="s">
        <v>276</v>
      </c>
      <c r="E8426" s="12" t="s">
        <v>16</v>
      </c>
      <c r="F8426" s="14">
        <v>90000</v>
      </c>
      <c r="G8426" s="14">
        <v>63400</v>
      </c>
      <c r="H8426" s="13" t="s">
        <v>14952</v>
      </c>
      <c r="I8426" s="40" t="s">
        <v>18</v>
      </c>
      <c r="J8426" s="40" t="str">
        <f>HYPERLINK("https://stock.pstatic.net/stock-research/company/66/20251017_company_256654000.pdf","PDF")</f>
        <v>PDF</v>
      </c>
      <c r="K8426" s="12" t="s">
        <v>14953</v>
      </c>
      <c r="L8426" s="20">
        <v>0.4195583596214511</v>
      </c>
    </row>
    <row r="8427" spans="1:12" x14ac:dyDescent="0.45">
      <c r="A8427" s="12" t="s">
        <v>14947</v>
      </c>
      <c r="B8427" s="12" t="s">
        <v>5787</v>
      </c>
      <c r="C8427" s="13" t="s">
        <v>5788</v>
      </c>
      <c r="D8427" s="13" t="s">
        <v>276</v>
      </c>
      <c r="E8427" s="12" t="s">
        <v>16</v>
      </c>
      <c r="F8427" s="14">
        <v>17000</v>
      </c>
      <c r="G8427" s="14">
        <v>13800</v>
      </c>
      <c r="H8427" s="13" t="s">
        <v>14954</v>
      </c>
      <c r="I8427" s="40" t="s">
        <v>18</v>
      </c>
      <c r="J8427" s="40" t="str">
        <f>HYPERLINK("https://stock.pstatic.net/stock-research/company/66/20251017_company_379181000.pdf","PDF")</f>
        <v>PDF</v>
      </c>
      <c r="K8427" s="12" t="s">
        <v>14955</v>
      </c>
      <c r="L8427" s="20">
        <v>0.2318840579710145</v>
      </c>
    </row>
    <row r="8428" spans="1:12" x14ac:dyDescent="0.45">
      <c r="A8428" s="12" t="s">
        <v>14947</v>
      </c>
      <c r="B8428" s="12" t="s">
        <v>7143</v>
      </c>
      <c r="C8428" s="13" t="s">
        <v>7144</v>
      </c>
      <c r="D8428" s="13" t="s">
        <v>276</v>
      </c>
      <c r="E8428" s="12" t="s">
        <v>16</v>
      </c>
      <c r="F8428" s="14">
        <v>65000</v>
      </c>
      <c r="G8428" s="14">
        <v>49550</v>
      </c>
      <c r="H8428" s="13" t="s">
        <v>14956</v>
      </c>
      <c r="I8428" s="40" t="s">
        <v>18</v>
      </c>
      <c r="J8428" s="40" t="str">
        <f>HYPERLINK("https://stock.pstatic.net/stock-research/company/66/20251017_company_491449000.pdf","PDF")</f>
        <v>PDF</v>
      </c>
      <c r="K8428" s="12" t="s">
        <v>14957</v>
      </c>
      <c r="L8428" s="20">
        <v>0.31180625630676079</v>
      </c>
    </row>
    <row r="8429" spans="1:12" x14ac:dyDescent="0.45">
      <c r="A8429" s="12" t="s">
        <v>14947</v>
      </c>
      <c r="B8429" s="12" t="s">
        <v>330</v>
      </c>
      <c r="C8429" s="13" t="s">
        <v>331</v>
      </c>
      <c r="D8429" s="13" t="s">
        <v>276</v>
      </c>
      <c r="E8429" s="12" t="s">
        <v>16</v>
      </c>
      <c r="F8429" s="14">
        <v>47000</v>
      </c>
      <c r="G8429" s="14">
        <v>29800</v>
      </c>
      <c r="H8429" s="13" t="s">
        <v>14958</v>
      </c>
      <c r="I8429" s="40" t="s">
        <v>18</v>
      </c>
      <c r="J8429" s="40" t="str">
        <f>HYPERLINK("https://stock.pstatic.net/stock-research/company/66/20251017_company_477945000.pdf","PDF")</f>
        <v>PDF</v>
      </c>
      <c r="K8429" s="12" t="s">
        <v>14959</v>
      </c>
      <c r="L8429" s="20">
        <v>0.57718120805369133</v>
      </c>
    </row>
    <row r="8430" spans="1:12" x14ac:dyDescent="0.45">
      <c r="A8430" s="12" t="s">
        <v>14947</v>
      </c>
      <c r="B8430" s="12" t="s">
        <v>1308</v>
      </c>
      <c r="C8430" s="13" t="s">
        <v>1309</v>
      </c>
      <c r="D8430" s="13" t="s">
        <v>60</v>
      </c>
      <c r="E8430" s="12" t="s">
        <v>35</v>
      </c>
      <c r="F8430" s="14">
        <v>520000</v>
      </c>
      <c r="G8430" s="14">
        <v>394500</v>
      </c>
      <c r="H8430" s="13" t="s">
        <v>14960</v>
      </c>
      <c r="I8430" s="40" t="s">
        <v>18</v>
      </c>
      <c r="J8430" s="40" t="str">
        <f>HYPERLINK("https://stock.pstatic.net/stock-research/company/34/20251017_company_287884000.pdf","PDF")</f>
        <v>PDF</v>
      </c>
      <c r="K8430" s="12" t="s">
        <v>14961</v>
      </c>
      <c r="L8430" s="20">
        <v>0.31812420785804818</v>
      </c>
    </row>
    <row r="8431" spans="1:12" x14ac:dyDescent="0.45">
      <c r="A8431" s="12" t="s">
        <v>14947</v>
      </c>
      <c r="B8431" s="12" t="s">
        <v>2425</v>
      </c>
      <c r="C8431" s="13" t="s">
        <v>2426</v>
      </c>
      <c r="D8431" s="13" t="s">
        <v>60</v>
      </c>
      <c r="E8431" s="12" t="s">
        <v>35</v>
      </c>
      <c r="F8431" s="14">
        <v>170000</v>
      </c>
      <c r="G8431" s="14">
        <v>138700</v>
      </c>
      <c r="H8431" s="13" t="s">
        <v>14962</v>
      </c>
      <c r="I8431" s="40" t="s">
        <v>18</v>
      </c>
      <c r="J8431" s="40" t="str">
        <f>HYPERLINK("https://stock.pstatic.net/stock-research/company/34/20251017_company_737661000.pdf","PDF")</f>
        <v>PDF</v>
      </c>
      <c r="K8431" s="12" t="s">
        <v>14963</v>
      </c>
      <c r="L8431" s="20">
        <v>0.22566690699351119</v>
      </c>
    </row>
    <row r="8432" spans="1:12" x14ac:dyDescent="0.45">
      <c r="A8432" s="12" t="s">
        <v>14947</v>
      </c>
      <c r="B8432" s="12" t="s">
        <v>118</v>
      </c>
      <c r="C8432" s="13" t="s">
        <v>119</v>
      </c>
      <c r="D8432" s="13" t="s">
        <v>60</v>
      </c>
      <c r="E8432" s="12" t="s">
        <v>35</v>
      </c>
      <c r="F8432" s="14">
        <v>110000</v>
      </c>
      <c r="G8432" s="14">
        <v>73500</v>
      </c>
      <c r="H8432" s="13" t="s">
        <v>14964</v>
      </c>
      <c r="I8432" s="40" t="s">
        <v>18</v>
      </c>
      <c r="J8432" s="40" t="str">
        <f>HYPERLINK("https://stock.pstatic.net/stock-research/company/34/20251017_company_539214000.pdf","PDF")</f>
        <v>PDF</v>
      </c>
      <c r="K8432" s="12" t="s">
        <v>14965</v>
      </c>
      <c r="L8432" s="20">
        <v>0.49659863945578231</v>
      </c>
    </row>
    <row r="8433" spans="1:12" x14ac:dyDescent="0.45">
      <c r="A8433" s="12" t="s">
        <v>14947</v>
      </c>
      <c r="B8433" s="12" t="s">
        <v>3164</v>
      </c>
      <c r="C8433" s="13" t="s">
        <v>3165</v>
      </c>
      <c r="D8433" s="13" t="s">
        <v>65</v>
      </c>
      <c r="E8433" s="12" t="s">
        <v>35</v>
      </c>
      <c r="F8433" s="14">
        <v>72000</v>
      </c>
      <c r="G8433" s="14">
        <v>61200</v>
      </c>
      <c r="H8433" s="13" t="s">
        <v>14966</v>
      </c>
      <c r="I8433" s="40" t="s">
        <v>18</v>
      </c>
      <c r="J8433" s="40" t="str">
        <f>HYPERLINK("https://stock.pstatic.net/stock-research/company/57/20251017_company_493601000.pdf","PDF")</f>
        <v>PDF</v>
      </c>
      <c r="K8433" s="12" t="s">
        <v>14967</v>
      </c>
      <c r="L8433" s="20">
        <v>0.1764705882352941</v>
      </c>
    </row>
    <row r="8434" spans="1:12" x14ac:dyDescent="0.45">
      <c r="A8434" s="12" t="s">
        <v>14947</v>
      </c>
      <c r="B8434" s="12" t="s">
        <v>3530</v>
      </c>
      <c r="C8434" s="13" t="s">
        <v>3531</v>
      </c>
      <c r="D8434" s="13" t="s">
        <v>65</v>
      </c>
      <c r="E8434" s="12" t="s">
        <v>35</v>
      </c>
      <c r="F8434" s="14">
        <v>17000</v>
      </c>
      <c r="G8434" s="14">
        <v>9020</v>
      </c>
      <c r="H8434" s="13" t="s">
        <v>14968</v>
      </c>
      <c r="I8434" s="40" t="s">
        <v>18</v>
      </c>
      <c r="J8434" s="40" t="str">
        <f>HYPERLINK("https://stock.pstatic.net/stock-research/company/57/20251017_company_132390000.pdf","PDF")</f>
        <v>PDF</v>
      </c>
      <c r="K8434" s="12" t="s">
        <v>14969</v>
      </c>
      <c r="L8434" s="20">
        <v>0.88470066518847001</v>
      </c>
    </row>
    <row r="8435" spans="1:12" x14ac:dyDescent="0.45">
      <c r="A8435" s="12" t="s">
        <v>14947</v>
      </c>
      <c r="B8435" s="12" t="s">
        <v>3079</v>
      </c>
      <c r="C8435" s="13" t="s">
        <v>3080</v>
      </c>
      <c r="D8435" s="13" t="s">
        <v>65</v>
      </c>
      <c r="E8435" s="12" t="s">
        <v>35</v>
      </c>
      <c r="F8435" s="14">
        <v>39000</v>
      </c>
      <c r="G8435" s="14">
        <v>25500</v>
      </c>
      <c r="H8435" s="13" t="s">
        <v>14970</v>
      </c>
      <c r="I8435" s="40" t="s">
        <v>18</v>
      </c>
      <c r="J8435" s="40" t="str">
        <f>HYPERLINK("https://stock.pstatic.net/stock-research/company/57/20251017_company_648039000.pdf","PDF")</f>
        <v>PDF</v>
      </c>
      <c r="K8435" s="12" t="s">
        <v>14971</v>
      </c>
      <c r="L8435" s="20">
        <v>0.52941176470588236</v>
      </c>
    </row>
    <row r="8436" spans="1:12" x14ac:dyDescent="0.45">
      <c r="A8436" s="12" t="s">
        <v>14947</v>
      </c>
      <c r="B8436" s="12" t="s">
        <v>170</v>
      </c>
      <c r="C8436" s="13" t="s">
        <v>171</v>
      </c>
      <c r="D8436" s="13" t="s">
        <v>83</v>
      </c>
      <c r="E8436" s="12" t="s">
        <v>35</v>
      </c>
      <c r="F8436" s="14">
        <v>100000</v>
      </c>
      <c r="G8436" s="14">
        <v>64400</v>
      </c>
      <c r="H8436" s="13" t="s">
        <v>14972</v>
      </c>
      <c r="I8436" s="40" t="s">
        <v>18</v>
      </c>
      <c r="J8436" s="40" t="str">
        <f>HYPERLINK("https://stock.pstatic.net/stock-research/company/2/20251017_company_369366000.pdf","PDF")</f>
        <v>PDF</v>
      </c>
      <c r="K8436" s="12" t="s">
        <v>14973</v>
      </c>
      <c r="L8436" s="20">
        <v>0.55279503105590067</v>
      </c>
    </row>
    <row r="8437" spans="1:12" x14ac:dyDescent="0.45">
      <c r="A8437" s="12" t="s">
        <v>14947</v>
      </c>
      <c r="B8437" s="12" t="s">
        <v>1258</v>
      </c>
      <c r="C8437" s="13" t="s">
        <v>1259</v>
      </c>
      <c r="D8437" s="13" t="s">
        <v>83</v>
      </c>
      <c r="E8437" s="12" t="s">
        <v>642</v>
      </c>
      <c r="F8437" s="14">
        <v>490000</v>
      </c>
      <c r="G8437" s="14">
        <v>450500</v>
      </c>
      <c r="H8437" s="13" t="s">
        <v>14974</v>
      </c>
      <c r="I8437" s="40" t="s">
        <v>18</v>
      </c>
      <c r="J8437" s="40" t="str">
        <f>HYPERLINK("https://stock.pstatic.net/stock-research/company/2/20251017_company_769970000.pdf","PDF")</f>
        <v>PDF</v>
      </c>
      <c r="K8437" s="12" t="s">
        <v>14975</v>
      </c>
      <c r="L8437" s="20">
        <v>8.7680355160932297E-2</v>
      </c>
    </row>
    <row r="8438" spans="1:12" x14ac:dyDescent="0.45">
      <c r="A8438" s="12" t="s">
        <v>14947</v>
      </c>
      <c r="B8438" s="12" t="s">
        <v>259</v>
      </c>
      <c r="C8438" s="13" t="s">
        <v>260</v>
      </c>
      <c r="D8438" s="13" t="s">
        <v>15</v>
      </c>
      <c r="E8438" s="12" t="s">
        <v>16</v>
      </c>
      <c r="F8438" s="14">
        <v>95000</v>
      </c>
      <c r="G8438" s="14">
        <v>72700</v>
      </c>
      <c r="H8438" s="13" t="s">
        <v>14976</v>
      </c>
      <c r="I8438" s="40" t="s">
        <v>18</v>
      </c>
      <c r="J8438" s="40" t="str">
        <f>HYPERLINK("https://stock.pstatic.net/stock-research/company/29/20251017_company_169591000.pdf","PDF")</f>
        <v>PDF</v>
      </c>
      <c r="K8438" s="12" t="s">
        <v>14977</v>
      </c>
      <c r="L8438" s="20">
        <v>0.30674002751031643</v>
      </c>
    </row>
    <row r="8439" spans="1:12" x14ac:dyDescent="0.45">
      <c r="A8439" s="12" t="s">
        <v>14947</v>
      </c>
      <c r="B8439" s="12" t="s">
        <v>1666</v>
      </c>
      <c r="C8439" s="13" t="s">
        <v>1667</v>
      </c>
      <c r="D8439" s="13" t="s">
        <v>179</v>
      </c>
      <c r="E8439" s="12" t="s">
        <v>16</v>
      </c>
      <c r="F8439" s="14">
        <v>79000</v>
      </c>
      <c r="G8439" s="14">
        <v>55300</v>
      </c>
      <c r="H8439" s="13" t="s">
        <v>14978</v>
      </c>
      <c r="I8439" s="40" t="s">
        <v>18</v>
      </c>
      <c r="J8439" s="40" t="str">
        <f>HYPERLINK("https://stock.pstatic.net/stock-research/company/64/20251017_company_445014000.pdf","PDF")</f>
        <v>PDF</v>
      </c>
      <c r="K8439" s="12" t="s">
        <v>14979</v>
      </c>
      <c r="L8439" s="20">
        <v>0.42857142857142849</v>
      </c>
    </row>
    <row r="8440" spans="1:12" x14ac:dyDescent="0.45">
      <c r="A8440" s="12" t="s">
        <v>14947</v>
      </c>
      <c r="B8440" s="12" t="s">
        <v>334</v>
      </c>
      <c r="C8440" s="13" t="s">
        <v>335</v>
      </c>
      <c r="D8440" s="13" t="s">
        <v>34</v>
      </c>
      <c r="E8440" s="12" t="s">
        <v>35</v>
      </c>
      <c r="F8440" s="14">
        <v>530000</v>
      </c>
      <c r="G8440" s="14">
        <v>452500</v>
      </c>
      <c r="H8440" s="13" t="s">
        <v>14980</v>
      </c>
      <c r="I8440" s="40" t="s">
        <v>18</v>
      </c>
      <c r="J8440" s="40" t="str">
        <f>HYPERLINK("https://stock.pstatic.net/stock-research/company/61/20251017_company_819238000.pdf","PDF")</f>
        <v>PDF</v>
      </c>
      <c r="K8440" s="12" t="s">
        <v>14981</v>
      </c>
      <c r="L8440" s="20">
        <v>0.17127071823204421</v>
      </c>
    </row>
    <row r="8441" spans="1:12" x14ac:dyDescent="0.45">
      <c r="A8441" s="12" t="s">
        <v>14947</v>
      </c>
      <c r="B8441" s="12" t="s">
        <v>4838</v>
      </c>
      <c r="C8441" s="13" t="s">
        <v>4839</v>
      </c>
      <c r="D8441" s="13" t="s">
        <v>34</v>
      </c>
      <c r="E8441" s="12" t="s">
        <v>50</v>
      </c>
      <c r="F8441" s="13"/>
      <c r="G8441" s="14">
        <v>6080</v>
      </c>
      <c r="H8441" s="13" t="s">
        <v>14982</v>
      </c>
      <c r="I8441" s="40" t="s">
        <v>18</v>
      </c>
      <c r="J8441" s="40" t="str">
        <f>HYPERLINK("https://stock.pstatic.net/stock-research/company/61/20251017_company_505474000.pdf","PDF")</f>
        <v>PDF</v>
      </c>
      <c r="K8441" s="12" t="s">
        <v>14983</v>
      </c>
    </row>
    <row r="8442" spans="1:12" x14ac:dyDescent="0.45">
      <c r="A8442" s="12" t="s">
        <v>14947</v>
      </c>
      <c r="B8442" s="12" t="s">
        <v>1936</v>
      </c>
      <c r="C8442" s="13" t="s">
        <v>1937</v>
      </c>
      <c r="D8442" s="13" t="s">
        <v>23</v>
      </c>
      <c r="E8442" s="12" t="s">
        <v>16</v>
      </c>
      <c r="F8442" s="14">
        <v>8400</v>
      </c>
      <c r="G8442" s="14">
        <v>6070</v>
      </c>
      <c r="H8442" s="13" t="s">
        <v>14984</v>
      </c>
      <c r="I8442" s="40" t="s">
        <v>18</v>
      </c>
      <c r="J8442" s="40" t="str">
        <f>HYPERLINK("https://stock.pstatic.net/stock-research/company/21/20251017_company_867183000.pdf","PDF")</f>
        <v>PDF</v>
      </c>
      <c r="K8442" s="12" t="s">
        <v>14985</v>
      </c>
      <c r="L8442" s="20">
        <v>0.38385502471169691</v>
      </c>
    </row>
    <row r="8443" spans="1:12" x14ac:dyDescent="0.45">
      <c r="A8443" s="12" t="s">
        <v>14947</v>
      </c>
      <c r="B8443" s="12" t="s">
        <v>485</v>
      </c>
      <c r="C8443" s="13" t="s">
        <v>486</v>
      </c>
      <c r="D8443" s="13" t="s">
        <v>44</v>
      </c>
      <c r="E8443" s="12" t="s">
        <v>45</v>
      </c>
      <c r="F8443" s="14">
        <v>150000</v>
      </c>
      <c r="G8443" s="14">
        <v>129400</v>
      </c>
      <c r="H8443" s="13" t="s">
        <v>14986</v>
      </c>
      <c r="I8443" s="40" t="s">
        <v>18</v>
      </c>
      <c r="J8443" s="40" t="str">
        <f>HYPERLINK("https://stock.pstatic.net/stock-research/company/39/20251017_company_834505000.pdf","PDF")</f>
        <v>PDF</v>
      </c>
      <c r="K8443" s="12" t="s">
        <v>14987</v>
      </c>
      <c r="L8443" s="20">
        <v>0.15919629057187021</v>
      </c>
    </row>
    <row r="8444" spans="1:12" x14ac:dyDescent="0.45">
      <c r="A8444" s="12" t="s">
        <v>14947</v>
      </c>
      <c r="B8444" s="12" t="s">
        <v>537</v>
      </c>
      <c r="C8444" s="13" t="s">
        <v>538</v>
      </c>
      <c r="D8444" s="13" t="s">
        <v>53</v>
      </c>
      <c r="E8444" s="12" t="s">
        <v>16</v>
      </c>
      <c r="F8444" s="14">
        <v>18000</v>
      </c>
      <c r="G8444" s="14">
        <v>15210</v>
      </c>
      <c r="H8444" s="13" t="s">
        <v>14988</v>
      </c>
      <c r="I8444" s="40" t="s">
        <v>18</v>
      </c>
      <c r="J8444" s="40" t="str">
        <f>HYPERLINK("https://stock.pstatic.net/stock-research/company/40/20251017_company_214170000.pdf","PDF")</f>
        <v>PDF</v>
      </c>
      <c r="K8444" s="12" t="s">
        <v>14989</v>
      </c>
      <c r="L8444" s="20">
        <v>0.18343195266272189</v>
      </c>
    </row>
    <row r="8445" spans="1:12" x14ac:dyDescent="0.45">
      <c r="A8445" s="12" t="s">
        <v>14947</v>
      </c>
      <c r="B8445" s="12" t="s">
        <v>2425</v>
      </c>
      <c r="C8445" s="13" t="s">
        <v>2426</v>
      </c>
      <c r="D8445" s="13" t="s">
        <v>23</v>
      </c>
      <c r="E8445" s="12" t="s">
        <v>16</v>
      </c>
      <c r="F8445" s="14">
        <v>170000</v>
      </c>
      <c r="G8445" s="14">
        <v>138700</v>
      </c>
      <c r="H8445" s="13" t="s">
        <v>14990</v>
      </c>
      <c r="I8445" s="40" t="s">
        <v>18</v>
      </c>
      <c r="J8445" s="40" t="str">
        <f>HYPERLINK("https://stock.pstatic.net/stock-research/company/21/20251017_company_129801000.pdf","PDF")</f>
        <v>PDF</v>
      </c>
      <c r="K8445" s="12" t="s">
        <v>14991</v>
      </c>
      <c r="L8445" s="20">
        <v>0.22566690699351119</v>
      </c>
    </row>
    <row r="8446" spans="1:12" x14ac:dyDescent="0.45">
      <c r="A8446" s="12" t="s">
        <v>14947</v>
      </c>
      <c r="B8446" s="12" t="s">
        <v>2956</v>
      </c>
      <c r="C8446" s="13" t="s">
        <v>2957</v>
      </c>
      <c r="D8446" s="13" t="s">
        <v>53</v>
      </c>
      <c r="E8446" s="12" t="s">
        <v>16</v>
      </c>
      <c r="F8446" s="14">
        <v>26000</v>
      </c>
      <c r="G8446" s="14">
        <v>18580</v>
      </c>
      <c r="H8446" s="13" t="s">
        <v>14992</v>
      </c>
      <c r="I8446" s="40" t="s">
        <v>18</v>
      </c>
      <c r="J8446" s="40" t="str">
        <f>HYPERLINK("https://stock.pstatic.net/stock-research/company/40/20251017_company_884183000.pdf","PDF")</f>
        <v>PDF</v>
      </c>
      <c r="K8446" s="12" t="s">
        <v>14993</v>
      </c>
      <c r="L8446" s="20">
        <v>0.39935414424111948</v>
      </c>
    </row>
    <row r="8447" spans="1:12" x14ac:dyDescent="0.45">
      <c r="A8447" s="12" t="s">
        <v>14947</v>
      </c>
      <c r="B8447" s="12" t="s">
        <v>1682</v>
      </c>
      <c r="C8447" s="13" t="s">
        <v>4787</v>
      </c>
      <c r="D8447" s="13" t="s">
        <v>92</v>
      </c>
      <c r="E8447" s="12" t="s">
        <v>35</v>
      </c>
      <c r="F8447" s="14">
        <v>280000</v>
      </c>
      <c r="G8447" s="14">
        <v>210500</v>
      </c>
      <c r="H8447" s="13" t="s">
        <v>14994</v>
      </c>
      <c r="I8447" s="40" t="s">
        <v>18</v>
      </c>
      <c r="J8447" s="40" t="str">
        <f>HYPERLINK("https://stock.pstatic.net/stock-research/company/63/20251017_company_154465000.pdf","PDF")</f>
        <v>PDF</v>
      </c>
      <c r="K8447" s="12" t="s">
        <v>14995</v>
      </c>
      <c r="L8447" s="20">
        <v>0.33016627078384803</v>
      </c>
    </row>
    <row r="8448" spans="1:12" x14ac:dyDescent="0.45">
      <c r="A8448" s="12" t="s">
        <v>14947</v>
      </c>
      <c r="B8448" s="12" t="s">
        <v>3349</v>
      </c>
      <c r="C8448" s="13" t="s">
        <v>7707</v>
      </c>
      <c r="D8448" s="13" t="s">
        <v>44</v>
      </c>
      <c r="E8448" s="12" t="s">
        <v>35</v>
      </c>
      <c r="F8448" s="14">
        <v>34000</v>
      </c>
      <c r="G8448" s="14">
        <v>20300</v>
      </c>
      <c r="H8448" s="13" t="s">
        <v>14996</v>
      </c>
      <c r="I8448" s="40" t="s">
        <v>18</v>
      </c>
      <c r="J8448" s="40" t="str">
        <f>HYPERLINK("https://stock.pstatic.net/stock-research/company/39/20251017_company_465165000.pdf","PDF")</f>
        <v>PDF</v>
      </c>
      <c r="K8448" s="12" t="s">
        <v>14997</v>
      </c>
      <c r="L8448" s="20">
        <v>0.67487684729064035</v>
      </c>
    </row>
    <row r="8449" spans="1:11" x14ac:dyDescent="0.45">
      <c r="A8449" s="12" t="s">
        <v>14947</v>
      </c>
      <c r="B8449" s="12" t="s">
        <v>10431</v>
      </c>
      <c r="C8449" s="13" t="s">
        <v>10432</v>
      </c>
      <c r="D8449" s="13" t="s">
        <v>124</v>
      </c>
      <c r="E8449" s="12" t="s">
        <v>50</v>
      </c>
      <c r="F8449" s="13"/>
      <c r="G8449" s="13"/>
      <c r="H8449" s="13" t="s">
        <v>14998</v>
      </c>
      <c r="I8449" s="40" t="s">
        <v>18</v>
      </c>
      <c r="J8449" s="40" t="str">
        <f>HYPERLINK("https://stock.pstatic.net/stock-research/company/74/20251017_company_127121000.pdf","PDF")</f>
        <v>PDF</v>
      </c>
      <c r="K8449" s="12" t="s">
        <v>14999</v>
      </c>
    </row>
    <row r="8450" spans="1:11" x14ac:dyDescent="0.45">
      <c r="A8450" s="12" t="s">
        <v>14947</v>
      </c>
      <c r="B8450" s="12" t="s">
        <v>15000</v>
      </c>
      <c r="C8450" s="13" t="s">
        <v>15001</v>
      </c>
      <c r="D8450" s="13" t="s">
        <v>124</v>
      </c>
      <c r="E8450" s="12" t="s">
        <v>50</v>
      </c>
      <c r="F8450" s="13"/>
      <c r="G8450" s="13"/>
      <c r="H8450" s="13" t="s">
        <v>15002</v>
      </c>
      <c r="I8450" s="40" t="s">
        <v>18</v>
      </c>
      <c r="J8450" s="40" t="str">
        <f>HYPERLINK("https://stock.pstatic.net/stock-research/company/74/20251017_company_823092000.pdf","PDF")</f>
        <v>PDF</v>
      </c>
      <c r="K8450" s="12" t="s">
        <v>15003</v>
      </c>
    </row>
    <row r="8451" spans="1:11" x14ac:dyDescent="0.45">
      <c r="A8451" s="12" t="s">
        <v>14947</v>
      </c>
      <c r="B8451" s="12" t="s">
        <v>15004</v>
      </c>
      <c r="C8451" s="13" t="s">
        <v>15005</v>
      </c>
      <c r="D8451" s="13" t="s">
        <v>124</v>
      </c>
      <c r="E8451" s="12" t="s">
        <v>50</v>
      </c>
      <c r="F8451" s="13"/>
      <c r="G8451" s="13"/>
      <c r="H8451" s="13" t="s">
        <v>15006</v>
      </c>
      <c r="I8451" s="40" t="s">
        <v>18</v>
      </c>
      <c r="J8451" s="40" t="str">
        <f>HYPERLINK("https://stock.pstatic.net/stock-research/company/74/20251017_company_216514000.pdf","PDF")</f>
        <v>PDF</v>
      </c>
      <c r="K8451" s="12" t="s">
        <v>15007</v>
      </c>
    </row>
    <row r="8452" spans="1:11" x14ac:dyDescent="0.45">
      <c r="A8452" s="12" t="s">
        <v>14947</v>
      </c>
      <c r="B8452" s="12" t="s">
        <v>15008</v>
      </c>
      <c r="C8452" s="13" t="s">
        <v>15009</v>
      </c>
      <c r="D8452" s="13" t="s">
        <v>202</v>
      </c>
      <c r="E8452" s="12" t="s">
        <v>50</v>
      </c>
      <c r="F8452" s="13"/>
      <c r="G8452" s="13"/>
      <c r="H8452" s="13" t="s">
        <v>15010</v>
      </c>
      <c r="I8452" s="40" t="s">
        <v>18</v>
      </c>
      <c r="J8452" s="40" t="str">
        <f>HYPERLINK("https://stock.pstatic.net/stock-research/company/69/20251017_company_290453000.pdf","PDF")</f>
        <v>PDF</v>
      </c>
      <c r="K8452" s="12" t="s">
        <v>15011</v>
      </c>
    </row>
    <row r="8453" spans="1:11" x14ac:dyDescent="0.45">
      <c r="A8453" s="12" t="s">
        <v>14947</v>
      </c>
      <c r="B8453" s="12" t="s">
        <v>15012</v>
      </c>
      <c r="C8453" s="13" t="s">
        <v>15013</v>
      </c>
      <c r="D8453" s="13" t="s">
        <v>207</v>
      </c>
      <c r="E8453" s="12" t="s">
        <v>50</v>
      </c>
      <c r="F8453" s="13"/>
      <c r="G8453" s="13"/>
      <c r="H8453" s="13" t="s">
        <v>15014</v>
      </c>
      <c r="I8453" s="40" t="s">
        <v>18</v>
      </c>
      <c r="J8453" s="40" t="str">
        <f>HYPERLINK("https://stock.pstatic.net/stock-research/company/75/20251017_company_101108000.pdf","PDF")</f>
        <v>PDF</v>
      </c>
      <c r="K8453" s="12" t="s">
        <v>15015</v>
      </c>
    </row>
    <row r="8454" spans="1:11" x14ac:dyDescent="0.45">
      <c r="A8454" s="12" t="s">
        <v>14947</v>
      </c>
      <c r="B8454" s="12" t="s">
        <v>15016</v>
      </c>
      <c r="C8454" s="13" t="s">
        <v>15017</v>
      </c>
      <c r="D8454" s="13" t="s">
        <v>11154</v>
      </c>
      <c r="E8454" s="12" t="s">
        <v>50</v>
      </c>
      <c r="F8454" s="13"/>
      <c r="G8454" s="13"/>
      <c r="H8454" s="13" t="s">
        <v>15018</v>
      </c>
      <c r="I8454" s="40" t="s">
        <v>18</v>
      </c>
      <c r="J8454" s="40" t="str">
        <f>HYPERLINK("https://stock.pstatic.net/stock-research/company/79/20251017_company_787138000.pdf","PDF")</f>
        <v>PDF</v>
      </c>
      <c r="K8454" s="12" t="s">
        <v>15019</v>
      </c>
    </row>
    <row r="8455" spans="1:11" x14ac:dyDescent="0.45">
      <c r="A8455" s="12" t="s">
        <v>14947</v>
      </c>
      <c r="B8455" s="12" t="s">
        <v>15020</v>
      </c>
      <c r="C8455" s="13" t="s">
        <v>15021</v>
      </c>
      <c r="D8455" s="13" t="s">
        <v>202</v>
      </c>
      <c r="E8455" s="12" t="s">
        <v>50</v>
      </c>
      <c r="F8455" s="13"/>
      <c r="G8455" s="13"/>
      <c r="H8455" s="13" t="s">
        <v>15022</v>
      </c>
      <c r="I8455" s="40" t="s">
        <v>18</v>
      </c>
      <c r="J8455" s="40" t="str">
        <f>HYPERLINK("https://stock.pstatic.net/stock-research/company/69/20251017_company_250185000.pdf","PDF")</f>
        <v>PDF</v>
      </c>
      <c r="K8455" s="12" t="s">
        <v>15023</v>
      </c>
    </row>
    <row r="8456" spans="1:11" x14ac:dyDescent="0.45">
      <c r="A8456" s="12" t="s">
        <v>14947</v>
      </c>
      <c r="B8456" s="12" t="s">
        <v>15024</v>
      </c>
      <c r="C8456" s="13" t="s">
        <v>15025</v>
      </c>
      <c r="D8456" s="13" t="s">
        <v>202</v>
      </c>
      <c r="E8456" s="12" t="s">
        <v>50</v>
      </c>
      <c r="F8456" s="13"/>
      <c r="G8456" s="13"/>
      <c r="H8456" s="13" t="s">
        <v>15026</v>
      </c>
      <c r="I8456" s="40" t="s">
        <v>18</v>
      </c>
      <c r="J8456" s="40" t="str">
        <f>HYPERLINK("https://stock.pstatic.net/stock-research/company/69/20251027_company_138104000.pdf","PDF")</f>
        <v>PDF</v>
      </c>
      <c r="K8456" s="12" t="s">
        <v>15027</v>
      </c>
    </row>
    <row r="8457" spans="1:11" x14ac:dyDescent="0.45">
      <c r="A8457" s="12" t="s">
        <v>14947</v>
      </c>
      <c r="B8457" s="12" t="s">
        <v>15028</v>
      </c>
      <c r="C8457" s="13" t="s">
        <v>15029</v>
      </c>
      <c r="D8457" s="13" t="s">
        <v>202</v>
      </c>
      <c r="E8457" s="12" t="s">
        <v>50</v>
      </c>
      <c r="F8457" s="13"/>
      <c r="G8457" s="13"/>
      <c r="H8457" s="13" t="s">
        <v>15030</v>
      </c>
      <c r="I8457" s="40" t="s">
        <v>18</v>
      </c>
      <c r="J8457" s="40" t="str">
        <f>HYPERLINK("https://stock.pstatic.net/stock-research/company/69/20251017_company_663804000.pdf","PDF")</f>
        <v>PDF</v>
      </c>
      <c r="K8457" s="12" t="s">
        <v>15031</v>
      </c>
    </row>
    <row r="8458" spans="1:11" x14ac:dyDescent="0.45">
      <c r="A8458" s="12" t="s">
        <v>14947</v>
      </c>
      <c r="B8458" s="12" t="s">
        <v>10907</v>
      </c>
      <c r="C8458" s="13" t="s">
        <v>10908</v>
      </c>
      <c r="D8458" s="13" t="s">
        <v>202</v>
      </c>
      <c r="E8458" s="12" t="s">
        <v>50</v>
      </c>
      <c r="F8458" s="13"/>
      <c r="G8458" s="13"/>
      <c r="H8458" s="13" t="s">
        <v>15032</v>
      </c>
      <c r="I8458" s="40" t="s">
        <v>18</v>
      </c>
      <c r="J8458" s="40" t="str">
        <f>HYPERLINK("https://stock.pstatic.net/stock-research/company/69/20251017_company_721181000.pdf","PDF")</f>
        <v>PDF</v>
      </c>
      <c r="K8458" s="12" t="s">
        <v>15033</v>
      </c>
    </row>
    <row r="8459" spans="1:11" x14ac:dyDescent="0.45">
      <c r="A8459" s="12" t="s">
        <v>14947</v>
      </c>
      <c r="B8459" s="12" t="s">
        <v>15034</v>
      </c>
      <c r="C8459" s="13" t="s">
        <v>15035</v>
      </c>
      <c r="D8459" s="13" t="s">
        <v>202</v>
      </c>
      <c r="E8459" s="12" t="s">
        <v>50</v>
      </c>
      <c r="F8459" s="13"/>
      <c r="G8459" s="13"/>
      <c r="H8459" s="13" t="s">
        <v>15036</v>
      </c>
      <c r="I8459" s="40" t="s">
        <v>18</v>
      </c>
      <c r="J8459" s="40" t="str">
        <f>HYPERLINK("https://stock.pstatic.net/stock-research/company/69/20251017_company_296649000.pdf","PDF")</f>
        <v>PDF</v>
      </c>
      <c r="K8459" s="12" t="s">
        <v>15037</v>
      </c>
    </row>
    <row r="8460" spans="1:11" x14ac:dyDescent="0.45">
      <c r="A8460" s="12" t="s">
        <v>14947</v>
      </c>
      <c r="B8460" s="12" t="s">
        <v>15038</v>
      </c>
      <c r="C8460" s="13" t="s">
        <v>15039</v>
      </c>
      <c r="D8460" s="13" t="s">
        <v>202</v>
      </c>
      <c r="E8460" s="12" t="s">
        <v>50</v>
      </c>
      <c r="F8460" s="13"/>
      <c r="G8460" s="13"/>
      <c r="H8460" s="13" t="s">
        <v>15040</v>
      </c>
      <c r="I8460" s="40" t="s">
        <v>18</v>
      </c>
      <c r="J8460" s="40" t="str">
        <f>HYPERLINK("https://stock.pstatic.net/stock-research/company/69/20251017_company_951253000.pdf","PDF")</f>
        <v>PDF</v>
      </c>
      <c r="K8460" s="12" t="s">
        <v>15041</v>
      </c>
    </row>
    <row r="8461" spans="1:11" x14ac:dyDescent="0.45">
      <c r="A8461" s="12" t="s">
        <v>14947</v>
      </c>
      <c r="B8461" s="12" t="s">
        <v>12357</v>
      </c>
      <c r="C8461" s="13" t="s">
        <v>12358</v>
      </c>
      <c r="D8461" s="13" t="s">
        <v>202</v>
      </c>
      <c r="E8461" s="12" t="s">
        <v>50</v>
      </c>
      <c r="F8461" s="13"/>
      <c r="G8461" s="13"/>
      <c r="H8461" s="13" t="s">
        <v>15042</v>
      </c>
      <c r="I8461" s="40" t="s">
        <v>18</v>
      </c>
      <c r="J8461" s="40" t="str">
        <f>HYPERLINK("https://stock.pstatic.net/stock-research/company/69/20251017_company_193173000.pdf","PDF")</f>
        <v>PDF</v>
      </c>
      <c r="K8461" s="12" t="s">
        <v>15043</v>
      </c>
    </row>
    <row r="8462" spans="1:11" x14ac:dyDescent="0.45">
      <c r="A8462" s="12" t="s">
        <v>14947</v>
      </c>
      <c r="B8462" s="12" t="s">
        <v>15044</v>
      </c>
      <c r="C8462" s="13" t="s">
        <v>15045</v>
      </c>
      <c r="D8462" s="13" t="s">
        <v>202</v>
      </c>
      <c r="E8462" s="12" t="s">
        <v>50</v>
      </c>
      <c r="F8462" s="13"/>
      <c r="G8462" s="13"/>
      <c r="H8462" s="13" t="s">
        <v>15046</v>
      </c>
      <c r="I8462" s="40" t="s">
        <v>18</v>
      </c>
      <c r="J8462" s="40" t="str">
        <f>HYPERLINK("https://stock.pstatic.net/stock-research/company/69/20251017_company_590916000.pdf","PDF")</f>
        <v>PDF</v>
      </c>
      <c r="K8462" s="12" t="s">
        <v>15047</v>
      </c>
    </row>
    <row r="8463" spans="1:11" x14ac:dyDescent="0.45">
      <c r="A8463" s="12" t="s">
        <v>14947</v>
      </c>
      <c r="B8463" s="12" t="s">
        <v>15048</v>
      </c>
      <c r="C8463" s="13" t="s">
        <v>15049</v>
      </c>
      <c r="D8463" s="13" t="s">
        <v>202</v>
      </c>
      <c r="E8463" s="12" t="s">
        <v>50</v>
      </c>
      <c r="F8463" s="13"/>
      <c r="G8463" s="13"/>
      <c r="H8463" s="13" t="s">
        <v>15050</v>
      </c>
      <c r="I8463" s="40" t="s">
        <v>18</v>
      </c>
      <c r="J8463" s="40" t="str">
        <f>HYPERLINK("https://stock.pstatic.net/stock-research/company/69/20251017_company_899173000.pdf","PDF")</f>
        <v>PDF</v>
      </c>
      <c r="K8463" s="12" t="s">
        <v>15051</v>
      </c>
    </row>
    <row r="8464" spans="1:11" x14ac:dyDescent="0.45">
      <c r="A8464" s="12" t="s">
        <v>14947</v>
      </c>
      <c r="B8464" s="12" t="s">
        <v>5032</v>
      </c>
      <c r="C8464" s="13" t="s">
        <v>5033</v>
      </c>
      <c r="D8464" s="13" t="s">
        <v>207</v>
      </c>
      <c r="E8464" s="12" t="s">
        <v>50</v>
      </c>
      <c r="F8464" s="13"/>
      <c r="G8464" s="13"/>
      <c r="H8464" s="13" t="s">
        <v>15052</v>
      </c>
      <c r="I8464" s="40" t="s">
        <v>18</v>
      </c>
      <c r="J8464" s="40" t="str">
        <f>HYPERLINK("https://stock.pstatic.net/stock-research/company/75/20251017_company_688232000.pdf","PDF")</f>
        <v>PDF</v>
      </c>
      <c r="K8464" s="12" t="s">
        <v>15053</v>
      </c>
    </row>
    <row r="8465" spans="1:12" x14ac:dyDescent="0.45">
      <c r="A8465" s="12" t="s">
        <v>14947</v>
      </c>
      <c r="B8465" s="12" t="s">
        <v>15054</v>
      </c>
      <c r="C8465" s="13" t="s">
        <v>15055</v>
      </c>
      <c r="D8465" s="13" t="s">
        <v>202</v>
      </c>
      <c r="E8465" s="12" t="s">
        <v>50</v>
      </c>
      <c r="F8465" s="13"/>
      <c r="G8465" s="13"/>
      <c r="H8465" s="13" t="s">
        <v>15056</v>
      </c>
      <c r="I8465" s="40" t="s">
        <v>18</v>
      </c>
      <c r="J8465" s="40" t="str">
        <f>HYPERLINK("https://stock.pstatic.net/stock-research/company/69/20251017_company_320854000.pdf","PDF")</f>
        <v>PDF</v>
      </c>
      <c r="K8465" s="12" t="s">
        <v>15057</v>
      </c>
    </row>
    <row r="8466" spans="1:12" x14ac:dyDescent="0.45">
      <c r="A8466" s="12" t="s">
        <v>15058</v>
      </c>
      <c r="B8466" s="12" t="s">
        <v>1648</v>
      </c>
      <c r="C8466" s="13" t="s">
        <v>1649</v>
      </c>
      <c r="D8466" s="13" t="s">
        <v>57</v>
      </c>
      <c r="E8466" s="12" t="s">
        <v>35</v>
      </c>
      <c r="F8466" s="14">
        <v>190000</v>
      </c>
      <c r="G8466" s="14">
        <v>121100</v>
      </c>
      <c r="H8466" s="13" t="s">
        <v>15059</v>
      </c>
      <c r="I8466" s="40" t="s">
        <v>18</v>
      </c>
      <c r="J8466" s="40" t="str">
        <f>HYPERLINK("https://stock.pstatic.net/stock-research/company/16/20251016_company_519801000.pdf","PDF")</f>
        <v>PDF</v>
      </c>
      <c r="K8466" s="12" t="s">
        <v>15060</v>
      </c>
      <c r="L8466" s="20">
        <v>0.5689512799339389</v>
      </c>
    </row>
    <row r="8467" spans="1:12" x14ac:dyDescent="0.45">
      <c r="A8467" s="12" t="s">
        <v>15058</v>
      </c>
      <c r="B8467" s="12" t="s">
        <v>2758</v>
      </c>
      <c r="C8467" s="13" t="s">
        <v>2759</v>
      </c>
      <c r="D8467" s="13" t="s">
        <v>57</v>
      </c>
      <c r="E8467" s="12" t="s">
        <v>35</v>
      </c>
      <c r="F8467" s="14">
        <v>490000</v>
      </c>
      <c r="G8467" s="14">
        <v>278500</v>
      </c>
      <c r="H8467" s="13" t="s">
        <v>15061</v>
      </c>
      <c r="I8467" s="40" t="s">
        <v>18</v>
      </c>
      <c r="J8467" s="40" t="str">
        <f>HYPERLINK("https://stock.pstatic.net/stock-research/company/16/20251016_company_140132000.pdf","PDF")</f>
        <v>PDF</v>
      </c>
      <c r="K8467" s="12" t="s">
        <v>15062</v>
      </c>
      <c r="L8467" s="20">
        <v>0.7594254937163375</v>
      </c>
    </row>
    <row r="8468" spans="1:12" x14ac:dyDescent="0.45">
      <c r="A8468" s="12" t="s">
        <v>15058</v>
      </c>
      <c r="B8468" s="12" t="s">
        <v>1266</v>
      </c>
      <c r="C8468" s="13" t="s">
        <v>1267</v>
      </c>
      <c r="D8468" s="13" t="s">
        <v>57</v>
      </c>
      <c r="E8468" s="12" t="s">
        <v>159</v>
      </c>
      <c r="F8468" s="14">
        <v>148000</v>
      </c>
      <c r="G8468" s="14">
        <v>162200</v>
      </c>
      <c r="H8468" s="13" t="s">
        <v>15063</v>
      </c>
      <c r="I8468" s="40" t="s">
        <v>18</v>
      </c>
      <c r="J8468" s="40" t="str">
        <f>HYPERLINK("https://stock.pstatic.net/stock-research/company/16/20251016_company_840393000.pdf","PDF")</f>
        <v>PDF</v>
      </c>
      <c r="K8468" s="12" t="s">
        <v>15064</v>
      </c>
      <c r="L8468" s="20">
        <v>-8.7546239210850807E-2</v>
      </c>
    </row>
    <row r="8469" spans="1:12" x14ac:dyDescent="0.45">
      <c r="A8469" s="12" t="s">
        <v>15058</v>
      </c>
      <c r="B8469" s="12" t="s">
        <v>1350</v>
      </c>
      <c r="C8469" s="13" t="s">
        <v>1351</v>
      </c>
      <c r="D8469" s="13" t="s">
        <v>57</v>
      </c>
      <c r="E8469" s="12" t="s">
        <v>35</v>
      </c>
      <c r="F8469" s="14">
        <v>55000</v>
      </c>
      <c r="G8469" s="14">
        <v>40550</v>
      </c>
      <c r="H8469" s="13" t="s">
        <v>15065</v>
      </c>
      <c r="I8469" s="40" t="s">
        <v>18</v>
      </c>
      <c r="J8469" s="40" t="str">
        <f>HYPERLINK("https://stock.pstatic.net/stock-research/company/16/20251016_company_142064000.pdf","PDF")</f>
        <v>PDF</v>
      </c>
      <c r="K8469" s="12" t="s">
        <v>15066</v>
      </c>
      <c r="L8469" s="20">
        <v>0.3563501849568434</v>
      </c>
    </row>
    <row r="8470" spans="1:12" x14ac:dyDescent="0.45">
      <c r="A8470" s="12" t="s">
        <v>15058</v>
      </c>
      <c r="B8470" s="12" t="s">
        <v>272</v>
      </c>
      <c r="C8470" s="13" t="s">
        <v>273</v>
      </c>
      <c r="D8470" s="13" t="s">
        <v>60</v>
      </c>
      <c r="E8470" s="12" t="s">
        <v>35</v>
      </c>
      <c r="F8470" s="14">
        <v>800000</v>
      </c>
      <c r="G8470" s="14">
        <v>549000</v>
      </c>
      <c r="H8470" s="13" t="s">
        <v>15067</v>
      </c>
      <c r="I8470" s="40" t="s">
        <v>18</v>
      </c>
      <c r="J8470" s="40" t="str">
        <f>HYPERLINK("https://stock.pstatic.net/stock-research/company/34/20251016_company_966075000.pdf","PDF")</f>
        <v>PDF</v>
      </c>
      <c r="K8470" s="12" t="s">
        <v>15068</v>
      </c>
      <c r="L8470" s="20">
        <v>0.45719489981785072</v>
      </c>
    </row>
    <row r="8471" spans="1:12" x14ac:dyDescent="0.45">
      <c r="A8471" s="12" t="s">
        <v>15058</v>
      </c>
      <c r="B8471" s="12" t="s">
        <v>1930</v>
      </c>
      <c r="C8471" s="13" t="s">
        <v>1931</v>
      </c>
      <c r="D8471" s="13" t="s">
        <v>60</v>
      </c>
      <c r="E8471" s="12" t="s">
        <v>35</v>
      </c>
      <c r="F8471" s="14">
        <v>350000</v>
      </c>
      <c r="G8471" s="14">
        <v>233000</v>
      </c>
      <c r="H8471" s="13" t="s">
        <v>15069</v>
      </c>
      <c r="I8471" s="40" t="s">
        <v>18</v>
      </c>
      <c r="J8471" s="40" t="str">
        <f>HYPERLINK("https://stock.pstatic.net/stock-research/company/34/20251016_company_287632000.pdf","PDF")</f>
        <v>PDF</v>
      </c>
      <c r="K8471" s="12" t="s">
        <v>15070</v>
      </c>
      <c r="L8471" s="20">
        <v>0.50214592274678116</v>
      </c>
    </row>
    <row r="8472" spans="1:12" x14ac:dyDescent="0.45">
      <c r="A8472" s="12" t="s">
        <v>15058</v>
      </c>
      <c r="B8472" s="12" t="s">
        <v>593</v>
      </c>
      <c r="C8472" s="13" t="s">
        <v>594</v>
      </c>
      <c r="D8472" s="13" t="s">
        <v>60</v>
      </c>
      <c r="E8472" s="12" t="s">
        <v>50</v>
      </c>
      <c r="F8472" s="13"/>
      <c r="G8472" s="14">
        <v>15430</v>
      </c>
      <c r="H8472" s="13" t="s">
        <v>15071</v>
      </c>
      <c r="I8472" s="40" t="s">
        <v>18</v>
      </c>
      <c r="J8472" s="40" t="str">
        <f>HYPERLINK("https://stock.pstatic.net/stock-research/company/34/20251016_company_129492000.pdf","PDF")</f>
        <v>PDF</v>
      </c>
      <c r="K8472" s="12" t="s">
        <v>15072</v>
      </c>
    </row>
    <row r="8473" spans="1:12" x14ac:dyDescent="0.45">
      <c r="A8473" s="12" t="s">
        <v>15058</v>
      </c>
      <c r="B8473" s="12" t="s">
        <v>756</v>
      </c>
      <c r="C8473" s="13" t="s">
        <v>757</v>
      </c>
      <c r="D8473" s="13" t="s">
        <v>60</v>
      </c>
      <c r="E8473" s="12" t="s">
        <v>35</v>
      </c>
      <c r="F8473" s="14">
        <v>125000</v>
      </c>
      <c r="G8473" s="14">
        <v>75700</v>
      </c>
      <c r="H8473" s="13" t="s">
        <v>15073</v>
      </c>
      <c r="I8473" s="40" t="s">
        <v>18</v>
      </c>
      <c r="J8473" s="40" t="str">
        <f>HYPERLINK("https://stock.pstatic.net/stock-research/company/34/20251016_company_224982000.pdf","PDF")</f>
        <v>PDF</v>
      </c>
      <c r="K8473" s="12" t="s">
        <v>15074</v>
      </c>
      <c r="L8473" s="20">
        <v>0.65125495376486131</v>
      </c>
    </row>
    <row r="8474" spans="1:12" x14ac:dyDescent="0.45">
      <c r="A8474" s="12" t="s">
        <v>15058</v>
      </c>
      <c r="B8474" s="12" t="s">
        <v>1278</v>
      </c>
      <c r="C8474" s="13" t="s">
        <v>1279</v>
      </c>
      <c r="D8474" s="13" t="s">
        <v>65</v>
      </c>
      <c r="E8474" s="12" t="s">
        <v>35</v>
      </c>
      <c r="F8474" s="14">
        <v>200000</v>
      </c>
      <c r="G8474" s="14">
        <v>148000</v>
      </c>
      <c r="H8474" s="13" t="s">
        <v>15075</v>
      </c>
      <c r="I8474" s="40" t="s">
        <v>18</v>
      </c>
      <c r="J8474" s="40" t="str">
        <f>HYPERLINK("https://stock.pstatic.net/stock-research/company/57/20251016_company_406056000.pdf","PDF")</f>
        <v>PDF</v>
      </c>
      <c r="K8474" s="12" t="s">
        <v>15076</v>
      </c>
      <c r="L8474" s="20">
        <v>0.35135135135135143</v>
      </c>
    </row>
    <row r="8475" spans="1:12" x14ac:dyDescent="0.45">
      <c r="A8475" s="12" t="s">
        <v>15058</v>
      </c>
      <c r="B8475" s="12" t="s">
        <v>1734</v>
      </c>
      <c r="C8475" s="13" t="s">
        <v>1735</v>
      </c>
      <c r="D8475" s="13" t="s">
        <v>65</v>
      </c>
      <c r="E8475" s="12" t="s">
        <v>35</v>
      </c>
      <c r="F8475" s="14">
        <v>55000</v>
      </c>
      <c r="G8475" s="14">
        <v>40400</v>
      </c>
      <c r="H8475" s="13" t="s">
        <v>15077</v>
      </c>
      <c r="I8475" s="40" t="s">
        <v>18</v>
      </c>
      <c r="J8475" s="40" t="str">
        <f>HYPERLINK("https://stock.pstatic.net/stock-research/company/57/20251016_company_819560000.pdf","PDF")</f>
        <v>PDF</v>
      </c>
      <c r="K8475" s="12" t="s">
        <v>15078</v>
      </c>
      <c r="L8475" s="20">
        <v>0.36138613861386137</v>
      </c>
    </row>
    <row r="8476" spans="1:12" x14ac:dyDescent="0.45">
      <c r="A8476" s="12" t="s">
        <v>15058</v>
      </c>
      <c r="B8476" s="12" t="s">
        <v>150</v>
      </c>
      <c r="C8476" s="13" t="s">
        <v>151</v>
      </c>
      <c r="D8476" s="13" t="s">
        <v>65</v>
      </c>
      <c r="E8476" s="12" t="s">
        <v>35</v>
      </c>
      <c r="F8476" s="14">
        <v>35000</v>
      </c>
      <c r="G8476" s="14">
        <v>21250</v>
      </c>
      <c r="H8476" s="13" t="s">
        <v>15079</v>
      </c>
      <c r="I8476" s="40" t="s">
        <v>18</v>
      </c>
      <c r="J8476" s="40" t="str">
        <f>HYPERLINK("https://stock.pstatic.net/stock-research/company/57/20251016_company_709615000.pdf","PDF")</f>
        <v>PDF</v>
      </c>
      <c r="K8476" s="12" t="s">
        <v>15080</v>
      </c>
      <c r="L8476" s="20">
        <v>0.6470588235294118</v>
      </c>
    </row>
    <row r="8477" spans="1:12" x14ac:dyDescent="0.45">
      <c r="A8477" s="12" t="s">
        <v>15058</v>
      </c>
      <c r="B8477" s="12" t="s">
        <v>3749</v>
      </c>
      <c r="C8477" s="13" t="s">
        <v>3750</v>
      </c>
      <c r="D8477" s="13" t="s">
        <v>65</v>
      </c>
      <c r="E8477" s="12" t="s">
        <v>35</v>
      </c>
      <c r="F8477" s="14">
        <v>190000</v>
      </c>
      <c r="G8477" s="14">
        <v>162700</v>
      </c>
      <c r="H8477" s="13" t="s">
        <v>15081</v>
      </c>
      <c r="I8477" s="40" t="s">
        <v>18</v>
      </c>
      <c r="J8477" s="40" t="str">
        <f>HYPERLINK("https://stock.pstatic.net/stock-research/company/57/20251016_company_329794000.pdf","PDF")</f>
        <v>PDF</v>
      </c>
      <c r="K8477" s="12" t="s">
        <v>15082</v>
      </c>
      <c r="L8477" s="20">
        <v>0.16779348494161031</v>
      </c>
    </row>
    <row r="8478" spans="1:12" x14ac:dyDescent="0.45">
      <c r="A8478" s="12" t="s">
        <v>15058</v>
      </c>
      <c r="B8478" s="12" t="s">
        <v>63</v>
      </c>
      <c r="C8478" s="13" t="s">
        <v>64</v>
      </c>
      <c r="D8478" s="13" t="s">
        <v>83</v>
      </c>
      <c r="E8478" s="12" t="s">
        <v>35</v>
      </c>
      <c r="F8478" s="14">
        <v>450000</v>
      </c>
      <c r="G8478" s="14">
        <v>342000</v>
      </c>
      <c r="H8478" s="13" t="s">
        <v>15083</v>
      </c>
      <c r="I8478" s="40" t="s">
        <v>18</v>
      </c>
      <c r="J8478" s="40" t="str">
        <f>HYPERLINK("https://stock.pstatic.net/stock-research/company/2/20251016_company_115881000.pdf","PDF")</f>
        <v>PDF</v>
      </c>
      <c r="K8478" s="12" t="s">
        <v>15084</v>
      </c>
      <c r="L8478" s="20">
        <v>0.31578947368421051</v>
      </c>
    </row>
    <row r="8479" spans="1:12" x14ac:dyDescent="0.45">
      <c r="A8479" s="12" t="s">
        <v>15058</v>
      </c>
      <c r="B8479" s="12" t="s">
        <v>2425</v>
      </c>
      <c r="C8479" s="13" t="s">
        <v>2426</v>
      </c>
      <c r="D8479" s="13" t="s">
        <v>83</v>
      </c>
      <c r="E8479" s="12" t="s">
        <v>35</v>
      </c>
      <c r="F8479" s="14">
        <v>170000</v>
      </c>
      <c r="G8479" s="14">
        <v>139100</v>
      </c>
      <c r="H8479" s="13" t="s">
        <v>15085</v>
      </c>
      <c r="I8479" s="40" t="s">
        <v>18</v>
      </c>
      <c r="J8479" s="40" t="str">
        <f>HYPERLINK("https://stock.pstatic.net/stock-research/company/2/20251016_company_687564000.pdf","PDF")</f>
        <v>PDF</v>
      </c>
      <c r="K8479" s="12" t="s">
        <v>15086</v>
      </c>
      <c r="L8479" s="20">
        <v>0.22214234363767069</v>
      </c>
    </row>
    <row r="8480" spans="1:12" x14ac:dyDescent="0.45">
      <c r="A8480" s="12" t="s">
        <v>15058</v>
      </c>
      <c r="B8480" s="12" t="s">
        <v>1081</v>
      </c>
      <c r="C8480" s="13" t="s">
        <v>1082</v>
      </c>
      <c r="D8480" s="13" t="s">
        <v>83</v>
      </c>
      <c r="E8480" s="12" t="s">
        <v>35</v>
      </c>
      <c r="F8480" s="14">
        <v>1300000</v>
      </c>
      <c r="G8480" s="14">
        <v>1027000</v>
      </c>
      <c r="H8480" s="13" t="s">
        <v>15087</v>
      </c>
      <c r="I8480" s="40" t="s">
        <v>18</v>
      </c>
      <c r="J8480" s="40" t="str">
        <f>HYPERLINK("https://stock.pstatic.net/stock-research/company/2/20251016_company_442223000.pdf","PDF")</f>
        <v>PDF</v>
      </c>
      <c r="K8480" s="12" t="s">
        <v>15088</v>
      </c>
      <c r="L8480" s="20">
        <v>0.26582278481012661</v>
      </c>
    </row>
    <row r="8481" spans="1:12" x14ac:dyDescent="0.45">
      <c r="A8481" s="12" t="s">
        <v>15058</v>
      </c>
      <c r="B8481" s="12" t="s">
        <v>3488</v>
      </c>
      <c r="C8481" s="13" t="s">
        <v>3489</v>
      </c>
      <c r="D8481" s="13" t="s">
        <v>15</v>
      </c>
      <c r="E8481" s="12" t="s">
        <v>16</v>
      </c>
      <c r="F8481" s="14">
        <v>31000</v>
      </c>
      <c r="G8481" s="14">
        <v>25550</v>
      </c>
      <c r="H8481" s="13" t="s">
        <v>15089</v>
      </c>
      <c r="I8481" s="40" t="s">
        <v>18</v>
      </c>
      <c r="J8481" s="40" t="str">
        <f>HYPERLINK("https://stock.pstatic.net/stock-research/company/29/20251016_company_428854000.pdf","PDF")</f>
        <v>PDF</v>
      </c>
      <c r="K8481" s="12" t="s">
        <v>15090</v>
      </c>
      <c r="L8481" s="20">
        <v>0.21330724070450099</v>
      </c>
    </row>
    <row r="8482" spans="1:12" x14ac:dyDescent="0.45">
      <c r="A8482" s="12" t="s">
        <v>15058</v>
      </c>
      <c r="B8482" s="12" t="s">
        <v>3369</v>
      </c>
      <c r="C8482" s="13" t="s">
        <v>3370</v>
      </c>
      <c r="D8482" s="13" t="s">
        <v>15</v>
      </c>
      <c r="E8482" s="12" t="s">
        <v>385</v>
      </c>
      <c r="F8482" s="14">
        <v>25000</v>
      </c>
      <c r="G8482" s="14">
        <v>22800</v>
      </c>
      <c r="H8482" s="13" t="s">
        <v>15091</v>
      </c>
      <c r="I8482" s="40" t="s">
        <v>18</v>
      </c>
      <c r="J8482" s="40" t="str">
        <f>HYPERLINK("https://stock.pstatic.net/stock-research/company/29/20251016_company_621114000.pdf","PDF")</f>
        <v>PDF</v>
      </c>
      <c r="K8482" s="12" t="s">
        <v>15092</v>
      </c>
      <c r="L8482" s="20">
        <v>9.6491228070175433E-2</v>
      </c>
    </row>
    <row r="8483" spans="1:12" x14ac:dyDescent="0.45">
      <c r="A8483" s="12" t="s">
        <v>15058</v>
      </c>
      <c r="B8483" s="12" t="s">
        <v>1350</v>
      </c>
      <c r="C8483" s="13" t="s">
        <v>1351</v>
      </c>
      <c r="D8483" s="13" t="s">
        <v>15</v>
      </c>
      <c r="E8483" s="12" t="s">
        <v>16</v>
      </c>
      <c r="F8483" s="14">
        <v>54000</v>
      </c>
      <c r="G8483" s="14">
        <v>40700</v>
      </c>
      <c r="H8483" s="13" t="s">
        <v>1811</v>
      </c>
      <c r="I8483" s="40" t="s">
        <v>18</v>
      </c>
      <c r="J8483" s="40" t="str">
        <f>HYPERLINK("https://stock.pstatic.net/stock-research/company/29/20251016_company_325070000.pdf","PDF")</f>
        <v>PDF</v>
      </c>
      <c r="K8483" s="12" t="s">
        <v>15093</v>
      </c>
      <c r="L8483" s="20">
        <v>0.32678132678132682</v>
      </c>
    </row>
    <row r="8484" spans="1:12" x14ac:dyDescent="0.45">
      <c r="A8484" s="12" t="s">
        <v>15058</v>
      </c>
      <c r="B8484" s="12" t="s">
        <v>3749</v>
      </c>
      <c r="C8484" s="13" t="s">
        <v>3750</v>
      </c>
      <c r="D8484" s="13" t="s">
        <v>23</v>
      </c>
      <c r="E8484" s="12" t="s">
        <v>16</v>
      </c>
      <c r="F8484" s="14">
        <v>205000</v>
      </c>
      <c r="G8484" s="14">
        <v>162700</v>
      </c>
      <c r="H8484" s="13" t="s">
        <v>15094</v>
      </c>
      <c r="I8484" s="40" t="s">
        <v>18</v>
      </c>
      <c r="J8484" s="40" t="str">
        <f>HYPERLINK("https://stock.pstatic.net/stock-research/company/21/20251016_company_38205000.pdf","PDF")</f>
        <v>PDF</v>
      </c>
      <c r="K8484" s="12" t="s">
        <v>15095</v>
      </c>
      <c r="L8484" s="20">
        <v>0.25998770743700061</v>
      </c>
    </row>
    <row r="8485" spans="1:12" x14ac:dyDescent="0.45">
      <c r="A8485" s="12" t="s">
        <v>15058</v>
      </c>
      <c r="B8485" s="12" t="s">
        <v>1377</v>
      </c>
      <c r="C8485" s="13" t="s">
        <v>1378</v>
      </c>
      <c r="D8485" s="13" t="s">
        <v>92</v>
      </c>
      <c r="E8485" s="12" t="s">
        <v>35</v>
      </c>
      <c r="F8485" s="14">
        <v>20000</v>
      </c>
      <c r="G8485" s="14">
        <v>11100</v>
      </c>
      <c r="H8485" s="13" t="s">
        <v>15096</v>
      </c>
      <c r="I8485" s="40" t="s">
        <v>18</v>
      </c>
      <c r="J8485" s="40" t="str">
        <f>HYPERLINK("https://stock.pstatic.net/stock-research/company/63/20251016_company_814365000.pdf","PDF")</f>
        <v>PDF</v>
      </c>
      <c r="K8485" s="12" t="s">
        <v>15097</v>
      </c>
      <c r="L8485" s="20">
        <v>0.80180180180180183</v>
      </c>
    </row>
    <row r="8486" spans="1:12" x14ac:dyDescent="0.45">
      <c r="A8486" s="12" t="s">
        <v>15058</v>
      </c>
      <c r="B8486" s="12" t="s">
        <v>888</v>
      </c>
      <c r="C8486" s="13" t="s">
        <v>889</v>
      </c>
      <c r="D8486" s="13" t="s">
        <v>92</v>
      </c>
      <c r="E8486" s="12" t="s">
        <v>35</v>
      </c>
      <c r="F8486" s="14">
        <v>69000</v>
      </c>
      <c r="G8486" s="14">
        <v>50400</v>
      </c>
      <c r="H8486" s="13" t="s">
        <v>15098</v>
      </c>
      <c r="I8486" s="40" t="s">
        <v>18</v>
      </c>
      <c r="J8486" s="40" t="str">
        <f>HYPERLINK("https://stock.pstatic.net/stock-research/company/63/20251016_company_931743000.pdf","PDF")</f>
        <v>PDF</v>
      </c>
      <c r="K8486" s="12" t="s">
        <v>15099</v>
      </c>
      <c r="L8486" s="20">
        <v>0.36904761904761912</v>
      </c>
    </row>
    <row r="8487" spans="1:12" x14ac:dyDescent="0.45">
      <c r="A8487" s="12" t="s">
        <v>15058</v>
      </c>
      <c r="B8487" s="12" t="s">
        <v>1765</v>
      </c>
      <c r="C8487" s="13" t="s">
        <v>1766</v>
      </c>
      <c r="D8487" s="13" t="s">
        <v>23</v>
      </c>
      <c r="E8487" s="12" t="s">
        <v>16</v>
      </c>
      <c r="F8487" s="14">
        <v>130000</v>
      </c>
      <c r="G8487" s="14">
        <v>103800</v>
      </c>
      <c r="H8487" s="13" t="s">
        <v>15100</v>
      </c>
      <c r="I8487" s="40" t="s">
        <v>18</v>
      </c>
      <c r="J8487" s="40" t="str">
        <f>HYPERLINK("https://stock.pstatic.net/stock-research/company/21/20251016_company_419054000.pdf","PDF")</f>
        <v>PDF</v>
      </c>
      <c r="K8487" s="12" t="s">
        <v>15101</v>
      </c>
      <c r="L8487" s="20">
        <v>0.25240847784200388</v>
      </c>
    </row>
    <row r="8488" spans="1:12" x14ac:dyDescent="0.45">
      <c r="A8488" s="12" t="s">
        <v>15058</v>
      </c>
      <c r="B8488" s="12" t="s">
        <v>2795</v>
      </c>
      <c r="C8488" s="13" t="s">
        <v>2796</v>
      </c>
      <c r="D8488" s="13" t="s">
        <v>23</v>
      </c>
      <c r="E8488" s="12" t="s">
        <v>16</v>
      </c>
      <c r="F8488" s="14">
        <v>5200</v>
      </c>
      <c r="G8488" s="14">
        <v>3695</v>
      </c>
      <c r="H8488" s="13" t="s">
        <v>15102</v>
      </c>
      <c r="I8488" s="40" t="s">
        <v>18</v>
      </c>
      <c r="J8488" s="40" t="str">
        <f>HYPERLINK("https://stock.pstatic.net/stock-research/company/21/20251016_company_600059000.pdf","PDF")</f>
        <v>PDF</v>
      </c>
      <c r="K8488" s="12" t="s">
        <v>15103</v>
      </c>
      <c r="L8488" s="20">
        <v>0.40730717185385662</v>
      </c>
    </row>
    <row r="8489" spans="1:12" x14ac:dyDescent="0.45">
      <c r="A8489" s="12" t="s">
        <v>15058</v>
      </c>
      <c r="B8489" s="12" t="s">
        <v>1682</v>
      </c>
      <c r="C8489" s="13" t="s">
        <v>4787</v>
      </c>
      <c r="D8489" s="13" t="s">
        <v>179</v>
      </c>
      <c r="E8489" s="12" t="s">
        <v>16</v>
      </c>
      <c r="F8489" s="14">
        <v>300000</v>
      </c>
      <c r="G8489" s="14">
        <v>206500</v>
      </c>
      <c r="H8489" s="13" t="s">
        <v>15104</v>
      </c>
      <c r="I8489" s="40" t="s">
        <v>18</v>
      </c>
      <c r="J8489" s="40" t="str">
        <f>HYPERLINK("https://stock.pstatic.net/stock-research/company/64/20251016_company_812990000.pdf","PDF")</f>
        <v>PDF</v>
      </c>
      <c r="K8489" s="12" t="s">
        <v>15105</v>
      </c>
      <c r="L8489" s="20">
        <v>0.45278450363196132</v>
      </c>
    </row>
    <row r="8490" spans="1:12" x14ac:dyDescent="0.45">
      <c r="A8490" s="12" t="s">
        <v>15058</v>
      </c>
      <c r="B8490" s="12" t="s">
        <v>912</v>
      </c>
      <c r="C8490" s="13" t="s">
        <v>913</v>
      </c>
      <c r="D8490" s="13" t="s">
        <v>23</v>
      </c>
      <c r="E8490" s="12" t="s">
        <v>16</v>
      </c>
      <c r="F8490" s="14">
        <v>84000</v>
      </c>
      <c r="G8490" s="14">
        <v>63900</v>
      </c>
      <c r="H8490" s="13" t="s">
        <v>15106</v>
      </c>
      <c r="I8490" s="40" t="s">
        <v>18</v>
      </c>
      <c r="J8490" s="40" t="str">
        <f>HYPERLINK("https://stock.pstatic.net/stock-research/company/21/20251016_company_408695000.pdf","PDF")</f>
        <v>PDF</v>
      </c>
      <c r="K8490" s="12" t="s">
        <v>15107</v>
      </c>
      <c r="L8490" s="20">
        <v>0.31455399061032863</v>
      </c>
    </row>
    <row r="8491" spans="1:12" x14ac:dyDescent="0.45">
      <c r="A8491" s="12" t="s">
        <v>15058</v>
      </c>
      <c r="B8491" s="12" t="s">
        <v>908</v>
      </c>
      <c r="C8491" s="13" t="s">
        <v>909</v>
      </c>
      <c r="D8491" s="13" t="s">
        <v>23</v>
      </c>
      <c r="E8491" s="12" t="s">
        <v>16</v>
      </c>
      <c r="F8491" s="14">
        <v>200000</v>
      </c>
      <c r="G8491" s="14">
        <v>165100</v>
      </c>
      <c r="H8491" s="13" t="s">
        <v>9688</v>
      </c>
      <c r="I8491" s="40" t="s">
        <v>18</v>
      </c>
      <c r="J8491" s="40" t="str">
        <f>HYPERLINK("https://stock.pstatic.net/stock-research/company/21/20251016_company_279950000.pdf","PDF")</f>
        <v>PDF</v>
      </c>
      <c r="K8491" s="12" t="s">
        <v>15108</v>
      </c>
      <c r="L8491" s="20">
        <v>0.2113870381586917</v>
      </c>
    </row>
    <row r="8492" spans="1:12" x14ac:dyDescent="0.45">
      <c r="A8492" s="12" t="s">
        <v>15058</v>
      </c>
      <c r="B8492" s="12" t="s">
        <v>3113</v>
      </c>
      <c r="C8492" s="13" t="s">
        <v>3114</v>
      </c>
      <c r="D8492" s="13" t="s">
        <v>23</v>
      </c>
      <c r="E8492" s="12" t="s">
        <v>16</v>
      </c>
      <c r="F8492" s="14">
        <v>36000</v>
      </c>
      <c r="G8492" s="14">
        <v>31400</v>
      </c>
      <c r="H8492" s="13" t="s">
        <v>15109</v>
      </c>
      <c r="I8492" s="40" t="s">
        <v>18</v>
      </c>
      <c r="J8492" s="40" t="str">
        <f>HYPERLINK("https://stock.pstatic.net/stock-research/company/21/20251016_company_771526000.pdf","PDF")</f>
        <v>PDF</v>
      </c>
      <c r="K8492" s="12" t="s">
        <v>15110</v>
      </c>
      <c r="L8492" s="20">
        <v>0.1464968152866242</v>
      </c>
    </row>
    <row r="8493" spans="1:12" x14ac:dyDescent="0.45">
      <c r="A8493" s="12" t="s">
        <v>15058</v>
      </c>
      <c r="B8493" s="12" t="s">
        <v>519</v>
      </c>
      <c r="C8493" s="13" t="s">
        <v>520</v>
      </c>
      <c r="D8493" s="13" t="s">
        <v>23</v>
      </c>
      <c r="E8493" s="12" t="s">
        <v>16</v>
      </c>
      <c r="F8493" s="14">
        <v>270000</v>
      </c>
      <c r="G8493" s="14">
        <v>223500</v>
      </c>
      <c r="H8493" s="13" t="s">
        <v>15111</v>
      </c>
      <c r="I8493" s="40" t="s">
        <v>18</v>
      </c>
      <c r="J8493" s="40" t="str">
        <f>HYPERLINK("https://stock.pstatic.net/stock-research/company/21/20251016_company_513795000.pdf","PDF")</f>
        <v>PDF</v>
      </c>
      <c r="K8493" s="12" t="s">
        <v>15112</v>
      </c>
      <c r="L8493" s="20">
        <v>0.20805369127516779</v>
      </c>
    </row>
    <row r="8494" spans="1:12" x14ac:dyDescent="0.45">
      <c r="A8494" s="12" t="s">
        <v>15058</v>
      </c>
      <c r="B8494" s="12" t="s">
        <v>4021</v>
      </c>
      <c r="C8494" s="13" t="s">
        <v>4022</v>
      </c>
      <c r="D8494" s="13" t="s">
        <v>44</v>
      </c>
      <c r="E8494" s="12" t="s">
        <v>35</v>
      </c>
      <c r="F8494" s="14">
        <v>370000</v>
      </c>
      <c r="G8494" s="14">
        <v>305500</v>
      </c>
      <c r="H8494" s="13" t="s">
        <v>15113</v>
      </c>
      <c r="I8494" s="40" t="s">
        <v>18</v>
      </c>
      <c r="J8494" s="40" t="str">
        <f>HYPERLINK("https://stock.pstatic.net/stock-research/company/39/20251016_company_130280000.pdf","PDF")</f>
        <v>PDF</v>
      </c>
      <c r="K8494" s="12" t="s">
        <v>15114</v>
      </c>
      <c r="L8494" s="20">
        <v>0.21112929623567919</v>
      </c>
    </row>
    <row r="8495" spans="1:12" x14ac:dyDescent="0.45">
      <c r="A8495" s="12" t="s">
        <v>15058</v>
      </c>
      <c r="B8495" s="12" t="s">
        <v>3182</v>
      </c>
      <c r="C8495" s="13" t="s">
        <v>3183</v>
      </c>
      <c r="D8495" s="13" t="s">
        <v>44</v>
      </c>
      <c r="E8495" s="12" t="s">
        <v>45</v>
      </c>
      <c r="F8495" s="14">
        <v>750000</v>
      </c>
      <c r="G8495" s="14">
        <v>668000</v>
      </c>
      <c r="H8495" s="13" t="s">
        <v>15115</v>
      </c>
      <c r="I8495" s="40" t="s">
        <v>18</v>
      </c>
      <c r="J8495" s="40" t="str">
        <f>HYPERLINK("https://stock.pstatic.net/stock-research/company/39/20251016_company_129436000.pdf","PDF")</f>
        <v>PDF</v>
      </c>
      <c r="K8495" s="12" t="s">
        <v>15116</v>
      </c>
      <c r="L8495" s="20">
        <v>0.1227544910179641</v>
      </c>
    </row>
    <row r="8496" spans="1:12" x14ac:dyDescent="0.45">
      <c r="A8496" s="12" t="s">
        <v>15058</v>
      </c>
      <c r="B8496" s="12" t="s">
        <v>1912</v>
      </c>
      <c r="C8496" s="13" t="s">
        <v>7834</v>
      </c>
      <c r="D8496" s="13" t="s">
        <v>15</v>
      </c>
      <c r="E8496" s="12" t="s">
        <v>50</v>
      </c>
      <c r="F8496" s="13"/>
      <c r="G8496" s="14">
        <v>68200</v>
      </c>
      <c r="H8496" s="13" t="s">
        <v>15117</v>
      </c>
      <c r="I8496" s="40" t="s">
        <v>18</v>
      </c>
      <c r="J8496" s="40" t="str">
        <f>HYPERLINK("https://stock.pstatic.net/stock-research/company/29/20251016_company_309794000.pdf","PDF")</f>
        <v>PDF</v>
      </c>
      <c r="K8496" s="12" t="s">
        <v>15118</v>
      </c>
    </row>
    <row r="8497" spans="1:12" x14ac:dyDescent="0.45">
      <c r="A8497" s="12" t="s">
        <v>15119</v>
      </c>
      <c r="B8497" s="12" t="s">
        <v>2378</v>
      </c>
      <c r="C8497" s="13" t="s">
        <v>2379</v>
      </c>
      <c r="D8497" s="13" t="s">
        <v>15</v>
      </c>
      <c r="E8497" s="12" t="s">
        <v>16</v>
      </c>
      <c r="F8497" s="14">
        <v>530000</v>
      </c>
      <c r="G8497" s="14">
        <v>385000</v>
      </c>
      <c r="H8497" s="13" t="s">
        <v>15120</v>
      </c>
      <c r="I8497" s="40" t="s">
        <v>18</v>
      </c>
      <c r="J8497" s="40" t="str">
        <f>HYPERLINK("https://stock.pstatic.net/stock-research/company/29/20251015_company_544541000.pdf","PDF")</f>
        <v>PDF</v>
      </c>
      <c r="K8497" s="12" t="s">
        <v>15121</v>
      </c>
      <c r="L8497" s="20">
        <v>0.37662337662337658</v>
      </c>
    </row>
    <row r="8498" spans="1:12" x14ac:dyDescent="0.45">
      <c r="A8498" s="12" t="s">
        <v>15119</v>
      </c>
      <c r="B8498" s="12" t="s">
        <v>63</v>
      </c>
      <c r="C8498" s="13" t="s">
        <v>64</v>
      </c>
      <c r="D8498" s="13" t="s">
        <v>276</v>
      </c>
      <c r="E8498" s="12" t="s">
        <v>16</v>
      </c>
      <c r="F8498" s="14">
        <v>470000</v>
      </c>
      <c r="G8498" s="14">
        <v>342000</v>
      </c>
      <c r="H8498" s="13" t="s">
        <v>15122</v>
      </c>
      <c r="I8498" s="40" t="s">
        <v>18</v>
      </c>
      <c r="J8498" s="40" t="str">
        <f>HYPERLINK("https://stock.pstatic.net/stock-research/company/66/20251015_company_734726000.pdf","PDF")</f>
        <v>PDF</v>
      </c>
      <c r="K8498" s="12" t="s">
        <v>15123</v>
      </c>
      <c r="L8498" s="20">
        <v>0.3742690058479532</v>
      </c>
    </row>
    <row r="8499" spans="1:12" x14ac:dyDescent="0.45">
      <c r="A8499" s="12" t="s">
        <v>15119</v>
      </c>
      <c r="B8499" s="12" t="s">
        <v>1081</v>
      </c>
      <c r="C8499" s="13" t="s">
        <v>1082</v>
      </c>
      <c r="D8499" s="13" t="s">
        <v>276</v>
      </c>
      <c r="E8499" s="12" t="s">
        <v>16</v>
      </c>
      <c r="F8499" s="14">
        <v>1300000</v>
      </c>
      <c r="G8499" s="14">
        <v>1027000</v>
      </c>
      <c r="H8499" s="13" t="s">
        <v>15124</v>
      </c>
      <c r="I8499" s="40" t="s">
        <v>18</v>
      </c>
      <c r="J8499" s="40" t="str">
        <f>HYPERLINK("https://stock.pstatic.net/stock-research/company/66/20251015_company_239882000.pdf","PDF")</f>
        <v>PDF</v>
      </c>
      <c r="K8499" s="12" t="s">
        <v>15125</v>
      </c>
      <c r="L8499" s="20">
        <v>0.26582278481012661</v>
      </c>
    </row>
    <row r="8500" spans="1:12" x14ac:dyDescent="0.45">
      <c r="A8500" s="12" t="s">
        <v>15119</v>
      </c>
      <c r="B8500" s="12" t="s">
        <v>2187</v>
      </c>
      <c r="C8500" s="13" t="s">
        <v>2188</v>
      </c>
      <c r="D8500" s="13" t="s">
        <v>60</v>
      </c>
      <c r="E8500" s="12" t="s">
        <v>35</v>
      </c>
      <c r="F8500" s="14">
        <v>175000</v>
      </c>
      <c r="G8500" s="14">
        <v>110400</v>
      </c>
      <c r="H8500" s="13" t="s">
        <v>15126</v>
      </c>
      <c r="I8500" s="40" t="s">
        <v>18</v>
      </c>
      <c r="J8500" s="40" t="str">
        <f>HYPERLINK("https://stock.pstatic.net/stock-research/company/62/20251015_company_440260000.pdf","PDF")</f>
        <v>PDF</v>
      </c>
      <c r="K8500" s="12" t="s">
        <v>15127</v>
      </c>
      <c r="L8500" s="20">
        <v>0.58514492753623193</v>
      </c>
    </row>
    <row r="8501" spans="1:12" x14ac:dyDescent="0.45">
      <c r="A8501" s="12" t="s">
        <v>15119</v>
      </c>
      <c r="B8501" s="12" t="s">
        <v>1548</v>
      </c>
      <c r="C8501" s="13" t="s">
        <v>1549</v>
      </c>
      <c r="D8501" s="13" t="s">
        <v>65</v>
      </c>
      <c r="E8501" s="12" t="s">
        <v>35</v>
      </c>
      <c r="F8501" s="14">
        <v>1230000</v>
      </c>
      <c r="G8501" s="14">
        <v>933000</v>
      </c>
      <c r="H8501" s="13" t="s">
        <v>15128</v>
      </c>
      <c r="I8501" s="40" t="s">
        <v>18</v>
      </c>
      <c r="J8501" s="40" t="str">
        <f>HYPERLINK("https://stock.pstatic.net/stock-research/company/57/20251015_company_772030000.pdf","PDF")</f>
        <v>PDF</v>
      </c>
      <c r="K8501" s="12" t="s">
        <v>15129</v>
      </c>
      <c r="L8501" s="20">
        <v>0.31832797427652731</v>
      </c>
    </row>
    <row r="8502" spans="1:12" x14ac:dyDescent="0.45">
      <c r="A8502" s="12" t="s">
        <v>15119</v>
      </c>
      <c r="B8502" s="12" t="s">
        <v>63</v>
      </c>
      <c r="C8502" s="13" t="s">
        <v>64</v>
      </c>
      <c r="D8502" s="13" t="s">
        <v>65</v>
      </c>
      <c r="E8502" s="12" t="s">
        <v>35</v>
      </c>
      <c r="F8502" s="14">
        <v>420000</v>
      </c>
      <c r="G8502" s="14">
        <v>342000</v>
      </c>
      <c r="H8502" s="13" t="s">
        <v>15130</v>
      </c>
      <c r="I8502" s="40" t="s">
        <v>18</v>
      </c>
      <c r="J8502" s="40" t="str">
        <f>HYPERLINK("https://stock.pstatic.net/stock-research/company/57/20251015_company_250489000.pdf","PDF")</f>
        <v>PDF</v>
      </c>
      <c r="K8502" s="12" t="s">
        <v>15131</v>
      </c>
      <c r="L8502" s="20">
        <v>0.22807017543859651</v>
      </c>
    </row>
    <row r="8503" spans="1:12" x14ac:dyDescent="0.45">
      <c r="A8503" s="12" t="s">
        <v>15119</v>
      </c>
      <c r="B8503" s="12" t="s">
        <v>577</v>
      </c>
      <c r="C8503" s="13" t="s">
        <v>578</v>
      </c>
      <c r="D8503" s="13" t="s">
        <v>65</v>
      </c>
      <c r="E8503" s="12" t="s">
        <v>35</v>
      </c>
      <c r="F8503" s="14">
        <v>350000</v>
      </c>
      <c r="G8503" s="14">
        <v>299500</v>
      </c>
      <c r="H8503" s="13" t="s">
        <v>15132</v>
      </c>
      <c r="I8503" s="40" t="s">
        <v>18</v>
      </c>
      <c r="J8503" s="40" t="str">
        <f>HYPERLINK("https://stock.pstatic.net/stock-research/company/57/20251015_company_85956000.pdf","PDF")</f>
        <v>PDF</v>
      </c>
      <c r="K8503" s="12" t="s">
        <v>15133</v>
      </c>
      <c r="L8503" s="20">
        <v>0.1686143572621035</v>
      </c>
    </row>
    <row r="8504" spans="1:12" x14ac:dyDescent="0.45">
      <c r="A8504" s="12" t="s">
        <v>15119</v>
      </c>
      <c r="B8504" s="12" t="s">
        <v>2199</v>
      </c>
      <c r="C8504" s="13" t="s">
        <v>2200</v>
      </c>
      <c r="D8504" s="13" t="s">
        <v>65</v>
      </c>
      <c r="E8504" s="12" t="s">
        <v>35</v>
      </c>
      <c r="F8504" s="14">
        <v>34000</v>
      </c>
      <c r="G8504" s="14">
        <v>28800</v>
      </c>
      <c r="H8504" s="13" t="s">
        <v>15134</v>
      </c>
      <c r="I8504" s="40" t="s">
        <v>18</v>
      </c>
      <c r="J8504" s="40" t="str">
        <f>HYPERLINK("https://stock.pstatic.net/stock-research/company/57/20251015_company_595137000.pdf","PDF")</f>
        <v>PDF</v>
      </c>
      <c r="K8504" s="12" t="s">
        <v>15135</v>
      </c>
      <c r="L8504" s="20">
        <v>0.18055555555555561</v>
      </c>
    </row>
    <row r="8505" spans="1:12" x14ac:dyDescent="0.45">
      <c r="A8505" s="12" t="s">
        <v>15119</v>
      </c>
      <c r="B8505" s="12" t="s">
        <v>1023</v>
      </c>
      <c r="C8505" s="13" t="s">
        <v>15</v>
      </c>
      <c r="D8505" s="13" t="s">
        <v>65</v>
      </c>
      <c r="E8505" s="12" t="s">
        <v>35</v>
      </c>
      <c r="F8505" s="14">
        <v>26000</v>
      </c>
      <c r="G8505" s="14">
        <v>20550</v>
      </c>
      <c r="H8505" s="13" t="s">
        <v>15136</v>
      </c>
      <c r="I8505" s="40" t="s">
        <v>18</v>
      </c>
      <c r="J8505" s="40" t="str">
        <f>HYPERLINK("https://stock.pstatic.net/stock-research/company/57/20251015_company_760410000.pdf","PDF")</f>
        <v>PDF</v>
      </c>
      <c r="K8505" s="12" t="s">
        <v>15137</v>
      </c>
      <c r="L8505" s="20">
        <v>0.26520681265206808</v>
      </c>
    </row>
    <row r="8506" spans="1:12" x14ac:dyDescent="0.45">
      <c r="A8506" s="12" t="s">
        <v>15119</v>
      </c>
      <c r="B8506" s="12" t="s">
        <v>3548</v>
      </c>
      <c r="C8506" s="13" t="s">
        <v>3549</v>
      </c>
      <c r="D8506" s="13" t="s">
        <v>57</v>
      </c>
      <c r="E8506" s="12" t="s">
        <v>35</v>
      </c>
      <c r="F8506" s="14">
        <v>58000</v>
      </c>
      <c r="G8506" s="14">
        <v>48850</v>
      </c>
      <c r="H8506" s="13" t="s">
        <v>15138</v>
      </c>
      <c r="I8506" s="40" t="s">
        <v>18</v>
      </c>
      <c r="J8506" s="40" t="str">
        <f>HYPERLINK("https://stock.pstatic.net/stock-research/company/16/20251015_company_281492000.pdf","PDF")</f>
        <v>PDF</v>
      </c>
      <c r="K8506" s="12" t="s">
        <v>15139</v>
      </c>
      <c r="L8506" s="20">
        <v>0.18730808597748211</v>
      </c>
    </row>
    <row r="8507" spans="1:12" x14ac:dyDescent="0.45">
      <c r="A8507" s="12" t="s">
        <v>15119</v>
      </c>
      <c r="B8507" s="12" t="s">
        <v>3831</v>
      </c>
      <c r="C8507" s="13" t="s">
        <v>3832</v>
      </c>
      <c r="D8507" s="13" t="s">
        <v>57</v>
      </c>
      <c r="E8507" s="12" t="s">
        <v>35</v>
      </c>
      <c r="F8507" s="14">
        <v>47000</v>
      </c>
      <c r="G8507" s="14">
        <v>32850</v>
      </c>
      <c r="H8507" s="13" t="s">
        <v>15140</v>
      </c>
      <c r="I8507" s="40" t="s">
        <v>18</v>
      </c>
      <c r="J8507" s="40" t="str">
        <f>HYPERLINK("https://stock.pstatic.net/stock-research/company/16/20251015_company_506240000.pdf","PDF")</f>
        <v>PDF</v>
      </c>
      <c r="K8507" s="12" t="s">
        <v>15141</v>
      </c>
      <c r="L8507" s="20">
        <v>0.43074581430745812</v>
      </c>
    </row>
    <row r="8508" spans="1:12" x14ac:dyDescent="0.45">
      <c r="A8508" s="12" t="s">
        <v>15119</v>
      </c>
      <c r="B8508" s="12" t="s">
        <v>13</v>
      </c>
      <c r="C8508" s="13" t="s">
        <v>14</v>
      </c>
      <c r="D8508" s="13" t="s">
        <v>57</v>
      </c>
      <c r="E8508" s="12" t="s">
        <v>35</v>
      </c>
      <c r="F8508" s="14">
        <v>110000</v>
      </c>
      <c r="G8508" s="14">
        <v>91600</v>
      </c>
      <c r="H8508" s="13" t="s">
        <v>15142</v>
      </c>
      <c r="I8508" s="40" t="s">
        <v>18</v>
      </c>
      <c r="J8508" s="40" t="str">
        <f>HYPERLINK("https://stock.pstatic.net/stock-research/company/16/20251015_company_1997000.pdf","PDF")</f>
        <v>PDF</v>
      </c>
      <c r="K8508" s="12" t="s">
        <v>15143</v>
      </c>
      <c r="L8508" s="20">
        <v>0.20087336244541479</v>
      </c>
    </row>
    <row r="8509" spans="1:12" x14ac:dyDescent="0.45">
      <c r="A8509" s="12" t="s">
        <v>15119</v>
      </c>
      <c r="B8509" s="12" t="s">
        <v>824</v>
      </c>
      <c r="C8509" s="13" t="s">
        <v>825</v>
      </c>
      <c r="D8509" s="13" t="s">
        <v>57</v>
      </c>
      <c r="E8509" s="12" t="s">
        <v>35</v>
      </c>
      <c r="F8509" s="14">
        <v>68000</v>
      </c>
      <c r="G8509" s="14">
        <v>37700</v>
      </c>
      <c r="H8509" s="13" t="s">
        <v>15144</v>
      </c>
      <c r="I8509" s="40" t="s">
        <v>18</v>
      </c>
      <c r="J8509" s="40" t="str">
        <f>HYPERLINK("https://stock.pstatic.net/stock-research/company/16/20251015_company_803095000.pdf","PDF")</f>
        <v>PDF</v>
      </c>
      <c r="K8509" s="12" t="s">
        <v>15145</v>
      </c>
      <c r="L8509" s="20">
        <v>0.80371352785145889</v>
      </c>
    </row>
    <row r="8510" spans="1:12" x14ac:dyDescent="0.45">
      <c r="A8510" s="12" t="s">
        <v>15119</v>
      </c>
      <c r="B8510" s="12" t="s">
        <v>170</v>
      </c>
      <c r="C8510" s="13" t="s">
        <v>171</v>
      </c>
      <c r="D8510" s="13" t="s">
        <v>57</v>
      </c>
      <c r="E8510" s="12" t="s">
        <v>35</v>
      </c>
      <c r="F8510" s="14">
        <v>94000</v>
      </c>
      <c r="G8510" s="14">
        <v>63500</v>
      </c>
      <c r="H8510" s="13" t="s">
        <v>15146</v>
      </c>
      <c r="I8510" s="40" t="s">
        <v>18</v>
      </c>
      <c r="J8510" s="40" t="str">
        <f>HYPERLINK("https://stock.pstatic.net/stock-research/company/1/20251015_company_514339000.pdf","PDF")</f>
        <v>PDF</v>
      </c>
      <c r="K8510" s="12" t="s">
        <v>15147</v>
      </c>
      <c r="L8510" s="20">
        <v>0.48031496062992118</v>
      </c>
    </row>
    <row r="8511" spans="1:12" x14ac:dyDescent="0.45">
      <c r="A8511" s="12" t="s">
        <v>15119</v>
      </c>
      <c r="B8511" s="12" t="s">
        <v>1081</v>
      </c>
      <c r="C8511" s="13" t="s">
        <v>1082</v>
      </c>
      <c r="D8511" s="13" t="s">
        <v>158</v>
      </c>
      <c r="E8511" s="12" t="s">
        <v>35</v>
      </c>
      <c r="F8511" s="14">
        <v>1300000</v>
      </c>
      <c r="G8511" s="14">
        <v>1027000</v>
      </c>
      <c r="H8511" s="13" t="s">
        <v>15148</v>
      </c>
      <c r="I8511" s="40" t="s">
        <v>18</v>
      </c>
      <c r="J8511" s="40" t="str">
        <f>HYPERLINK("https://stock.pstatic.net/stock-research/company/18/20251015_company_164473000.pdf","PDF")</f>
        <v>PDF</v>
      </c>
      <c r="K8511" s="12" t="s">
        <v>15149</v>
      </c>
      <c r="L8511" s="20">
        <v>0.26582278481012661</v>
      </c>
    </row>
    <row r="8512" spans="1:12" x14ac:dyDescent="0.45">
      <c r="A8512" s="12" t="s">
        <v>15119</v>
      </c>
      <c r="B8512" s="12" t="s">
        <v>63</v>
      </c>
      <c r="C8512" s="13" t="s">
        <v>64</v>
      </c>
      <c r="D8512" s="13" t="s">
        <v>158</v>
      </c>
      <c r="E8512" s="12" t="s">
        <v>35</v>
      </c>
      <c r="F8512" s="14">
        <v>410000</v>
      </c>
      <c r="G8512" s="14">
        <v>342000</v>
      </c>
      <c r="H8512" s="13" t="s">
        <v>15150</v>
      </c>
      <c r="I8512" s="40" t="s">
        <v>18</v>
      </c>
      <c r="J8512" s="40" t="str">
        <f>HYPERLINK("https://stock.pstatic.net/stock-research/company/18/20251015_company_443946000.pdf","PDF")</f>
        <v>PDF</v>
      </c>
      <c r="K8512" s="12" t="s">
        <v>15151</v>
      </c>
      <c r="L8512" s="20">
        <v>0.19883040935672511</v>
      </c>
    </row>
    <row r="8513" spans="1:12" x14ac:dyDescent="0.45">
      <c r="A8513" s="12" t="s">
        <v>15119</v>
      </c>
      <c r="B8513" s="12" t="s">
        <v>13</v>
      </c>
      <c r="C8513" s="13" t="s">
        <v>14</v>
      </c>
      <c r="D8513" s="13" t="s">
        <v>15</v>
      </c>
      <c r="E8513" s="12" t="s">
        <v>16</v>
      </c>
      <c r="F8513" s="14">
        <v>127000</v>
      </c>
      <c r="G8513" s="14">
        <v>91600</v>
      </c>
      <c r="H8513" s="13" t="s">
        <v>15152</v>
      </c>
      <c r="I8513" s="40" t="s">
        <v>18</v>
      </c>
      <c r="J8513" s="40" t="str">
        <f>HYPERLINK("https://stock.pstatic.net/stock-research/company/29/20251015_company_536642000.pdf","PDF")</f>
        <v>PDF</v>
      </c>
      <c r="K8513" s="12" t="s">
        <v>15153</v>
      </c>
      <c r="L8513" s="20">
        <v>0.38646288209606988</v>
      </c>
    </row>
    <row r="8514" spans="1:12" x14ac:dyDescent="0.45">
      <c r="A8514" s="12" t="s">
        <v>15119</v>
      </c>
      <c r="B8514" s="12" t="s">
        <v>1081</v>
      </c>
      <c r="C8514" s="13" t="s">
        <v>1082</v>
      </c>
      <c r="D8514" s="13" t="s">
        <v>179</v>
      </c>
      <c r="E8514" s="12" t="s">
        <v>16</v>
      </c>
      <c r="F8514" s="14">
        <v>1300000</v>
      </c>
      <c r="G8514" s="14">
        <v>1027000</v>
      </c>
      <c r="H8514" s="13" t="s">
        <v>15154</v>
      </c>
      <c r="I8514" s="40" t="s">
        <v>18</v>
      </c>
      <c r="J8514" s="40" t="str">
        <f>HYPERLINK("https://stock.pstatic.net/stock-research/company/31/20251015_company_543434000.pdf","PDF")</f>
        <v>PDF</v>
      </c>
      <c r="K8514" s="12" t="s">
        <v>15155</v>
      </c>
      <c r="L8514" s="20">
        <v>0.26582278481012661</v>
      </c>
    </row>
    <row r="8515" spans="1:12" x14ac:dyDescent="0.45">
      <c r="A8515" s="12" t="s">
        <v>15119</v>
      </c>
      <c r="B8515" s="12" t="s">
        <v>14384</v>
      </c>
      <c r="C8515" s="13" t="s">
        <v>14385</v>
      </c>
      <c r="D8515" s="13" t="s">
        <v>179</v>
      </c>
      <c r="E8515" s="12" t="s">
        <v>16</v>
      </c>
      <c r="F8515" s="14">
        <v>2150</v>
      </c>
      <c r="G8515" s="14">
        <v>1292</v>
      </c>
      <c r="H8515" s="13" t="s">
        <v>14386</v>
      </c>
      <c r="I8515" s="40" t="s">
        <v>18</v>
      </c>
      <c r="J8515" s="40" t="str">
        <f>HYPERLINK("https://stock.pstatic.net/stock-research/company/31/20251015_company_881685000.pdf","PDF")</f>
        <v>PDF</v>
      </c>
      <c r="K8515" s="12" t="s">
        <v>15156</v>
      </c>
      <c r="L8515" s="20">
        <v>0.66408668730650156</v>
      </c>
    </row>
    <row r="8516" spans="1:12" x14ac:dyDescent="0.45">
      <c r="A8516" s="12" t="s">
        <v>15119</v>
      </c>
      <c r="B8516" s="12" t="s">
        <v>63</v>
      </c>
      <c r="C8516" s="13" t="s">
        <v>64</v>
      </c>
      <c r="D8516" s="13" t="s">
        <v>53</v>
      </c>
      <c r="E8516" s="12" t="s">
        <v>16</v>
      </c>
      <c r="F8516" s="14">
        <v>400000</v>
      </c>
      <c r="G8516" s="14">
        <v>342000</v>
      </c>
      <c r="H8516" s="13" t="s">
        <v>15157</v>
      </c>
      <c r="I8516" s="40" t="s">
        <v>18</v>
      </c>
      <c r="J8516" s="40" t="str">
        <f>HYPERLINK("https://stock.pstatic.net/stock-research/company/40/20251015_company_77473000.pdf","PDF")</f>
        <v>PDF</v>
      </c>
      <c r="K8516" s="12" t="s">
        <v>15158</v>
      </c>
      <c r="L8516" s="20">
        <v>0.16959064327485379</v>
      </c>
    </row>
    <row r="8517" spans="1:12" x14ac:dyDescent="0.45">
      <c r="A8517" s="12" t="s">
        <v>15119</v>
      </c>
      <c r="B8517" s="12" t="s">
        <v>13</v>
      </c>
      <c r="C8517" s="13" t="s">
        <v>14</v>
      </c>
      <c r="D8517" s="13" t="s">
        <v>34</v>
      </c>
      <c r="E8517" s="12" t="s">
        <v>35</v>
      </c>
      <c r="F8517" s="14">
        <v>110000</v>
      </c>
      <c r="G8517" s="14">
        <v>91600</v>
      </c>
      <c r="H8517" s="13" t="s">
        <v>15159</v>
      </c>
      <c r="I8517" s="40" t="s">
        <v>18</v>
      </c>
      <c r="J8517" s="40" t="str">
        <f>HYPERLINK("https://stock.pstatic.net/stock-research/company/61/20251015_company_134526000.pdf","PDF")</f>
        <v>PDF</v>
      </c>
      <c r="K8517" s="12" t="s">
        <v>15160</v>
      </c>
      <c r="L8517" s="20">
        <v>0.20087336244541479</v>
      </c>
    </row>
    <row r="8518" spans="1:12" x14ac:dyDescent="0.45">
      <c r="A8518" s="12" t="s">
        <v>15119</v>
      </c>
      <c r="B8518" s="12" t="s">
        <v>880</v>
      </c>
      <c r="C8518" s="13" t="s">
        <v>881</v>
      </c>
      <c r="D8518" s="13" t="s">
        <v>92</v>
      </c>
      <c r="E8518" s="12" t="s">
        <v>35</v>
      </c>
      <c r="F8518" s="14">
        <v>22000</v>
      </c>
      <c r="G8518" s="14">
        <v>15310</v>
      </c>
      <c r="H8518" s="13" t="s">
        <v>15161</v>
      </c>
      <c r="I8518" s="40" t="s">
        <v>18</v>
      </c>
      <c r="J8518" s="40" t="str">
        <f>HYPERLINK("https://stock.pstatic.net/stock-research/company/63/20251015_company_406806000.pdf","PDF")</f>
        <v>PDF</v>
      </c>
      <c r="K8518" s="12" t="s">
        <v>15162</v>
      </c>
      <c r="L8518" s="20">
        <v>0.43696930111038529</v>
      </c>
    </row>
    <row r="8519" spans="1:12" x14ac:dyDescent="0.45">
      <c r="A8519" s="12" t="s">
        <v>15119</v>
      </c>
      <c r="B8519" s="12" t="s">
        <v>1081</v>
      </c>
      <c r="C8519" s="13" t="s">
        <v>1082</v>
      </c>
      <c r="D8519" s="13" t="s">
        <v>53</v>
      </c>
      <c r="E8519" s="12" t="s">
        <v>16</v>
      </c>
      <c r="F8519" s="14">
        <v>1300000</v>
      </c>
      <c r="G8519" s="14">
        <v>1027000</v>
      </c>
      <c r="H8519" s="13" t="s">
        <v>15163</v>
      </c>
      <c r="I8519" s="40" t="s">
        <v>18</v>
      </c>
      <c r="J8519" s="40" t="str">
        <f>HYPERLINK("https://stock.pstatic.net/stock-research/company/40/20251015_company_92403000.pdf","PDF")</f>
        <v>PDF</v>
      </c>
      <c r="K8519" s="12" t="s">
        <v>15164</v>
      </c>
      <c r="L8519" s="20">
        <v>0.26582278481012661</v>
      </c>
    </row>
    <row r="8520" spans="1:12" x14ac:dyDescent="0.45">
      <c r="A8520" s="12" t="s">
        <v>15119</v>
      </c>
      <c r="B8520" s="12" t="s">
        <v>398</v>
      </c>
      <c r="C8520" s="13" t="s">
        <v>399</v>
      </c>
      <c r="D8520" s="13" t="s">
        <v>23</v>
      </c>
      <c r="E8520" s="12" t="s">
        <v>16</v>
      </c>
      <c r="F8520" s="14">
        <v>180000</v>
      </c>
      <c r="G8520" s="14">
        <v>166700</v>
      </c>
      <c r="H8520" s="13" t="s">
        <v>15165</v>
      </c>
      <c r="I8520" s="40" t="s">
        <v>18</v>
      </c>
      <c r="J8520" s="40" t="str">
        <f>HYPERLINK("https://stock.pstatic.net/stock-research/company/21/20251015_company_66331000.pdf","PDF")</f>
        <v>PDF</v>
      </c>
      <c r="K8520" s="12" t="s">
        <v>15166</v>
      </c>
      <c r="L8520" s="20">
        <v>7.9784043191361731E-2</v>
      </c>
    </row>
    <row r="8521" spans="1:12" x14ac:dyDescent="0.45">
      <c r="A8521" s="12" t="s">
        <v>15119</v>
      </c>
      <c r="B8521" s="12" t="s">
        <v>13</v>
      </c>
      <c r="C8521" s="13" t="s">
        <v>14</v>
      </c>
      <c r="D8521" s="13" t="s">
        <v>53</v>
      </c>
      <c r="E8521" s="12" t="s">
        <v>16</v>
      </c>
      <c r="F8521" s="14">
        <v>110000</v>
      </c>
      <c r="G8521" s="14">
        <v>91600</v>
      </c>
      <c r="H8521" s="13" t="s">
        <v>15167</v>
      </c>
      <c r="I8521" s="40" t="s">
        <v>18</v>
      </c>
      <c r="J8521" s="40" t="str">
        <f>HYPERLINK("https://stock.pstatic.net/stock-research/company/40/20251015_company_268451000.pdf","PDF")</f>
        <v>PDF</v>
      </c>
      <c r="K8521" s="12" t="s">
        <v>15168</v>
      </c>
      <c r="L8521" s="20">
        <v>0.20087336244541479</v>
      </c>
    </row>
    <row r="8522" spans="1:12" x14ac:dyDescent="0.45">
      <c r="A8522" s="12" t="s">
        <v>15119</v>
      </c>
      <c r="B8522" s="12" t="s">
        <v>426</v>
      </c>
      <c r="C8522" s="13" t="s">
        <v>427</v>
      </c>
      <c r="D8522" s="13" t="s">
        <v>92</v>
      </c>
      <c r="E8522" s="12" t="s">
        <v>35</v>
      </c>
      <c r="F8522" s="14">
        <v>26000</v>
      </c>
      <c r="G8522" s="14">
        <v>18850</v>
      </c>
      <c r="H8522" s="13" t="s">
        <v>15169</v>
      </c>
      <c r="I8522" s="40" t="s">
        <v>18</v>
      </c>
      <c r="J8522" s="40" t="str">
        <f>HYPERLINK("https://stock.pstatic.net/stock-research/company/63/20251015_company_33580000.pdf","PDF")</f>
        <v>PDF</v>
      </c>
      <c r="K8522" s="12" t="s">
        <v>15170</v>
      </c>
      <c r="L8522" s="20">
        <v>0.37931034482758619</v>
      </c>
    </row>
    <row r="8523" spans="1:12" x14ac:dyDescent="0.45">
      <c r="A8523" s="12" t="s">
        <v>15119</v>
      </c>
      <c r="B8523" s="12" t="s">
        <v>1019</v>
      </c>
      <c r="C8523" s="13" t="s">
        <v>1020</v>
      </c>
      <c r="D8523" s="13" t="s">
        <v>92</v>
      </c>
      <c r="E8523" s="12" t="s">
        <v>35</v>
      </c>
      <c r="F8523" s="14">
        <v>26000</v>
      </c>
      <c r="G8523" s="14">
        <v>16440</v>
      </c>
      <c r="H8523" s="13" t="s">
        <v>15171</v>
      </c>
      <c r="I8523" s="40" t="s">
        <v>18</v>
      </c>
      <c r="J8523" s="40" t="str">
        <f>HYPERLINK("https://stock.pstatic.net/stock-research/company/63/20251015_company_503977000.pdf","PDF")</f>
        <v>PDF</v>
      </c>
      <c r="K8523" s="12" t="s">
        <v>15172</v>
      </c>
      <c r="L8523" s="20">
        <v>0.58150851581508511</v>
      </c>
    </row>
    <row r="8524" spans="1:12" x14ac:dyDescent="0.45">
      <c r="A8524" s="12" t="s">
        <v>15119</v>
      </c>
      <c r="B8524" s="12" t="s">
        <v>2435</v>
      </c>
      <c r="C8524" s="13" t="s">
        <v>2436</v>
      </c>
      <c r="D8524" s="13" t="s">
        <v>83</v>
      </c>
      <c r="E8524" s="12" t="s">
        <v>35</v>
      </c>
      <c r="F8524" s="14">
        <v>660000</v>
      </c>
      <c r="G8524" s="14">
        <v>517000</v>
      </c>
      <c r="H8524" s="13" t="s">
        <v>15173</v>
      </c>
      <c r="I8524" s="40" t="s">
        <v>18</v>
      </c>
      <c r="J8524" s="40" t="str">
        <f>HYPERLINK("https://stock.pstatic.net/stock-research/company/2/20251015_company_418874000.pdf","PDF")</f>
        <v>PDF</v>
      </c>
      <c r="K8524" s="12" t="s">
        <v>15174</v>
      </c>
      <c r="L8524" s="20">
        <v>0.27659574468085107</v>
      </c>
    </row>
    <row r="8525" spans="1:12" x14ac:dyDescent="0.45">
      <c r="A8525" s="12" t="s">
        <v>15119</v>
      </c>
      <c r="B8525" s="12" t="s">
        <v>27</v>
      </c>
      <c r="C8525" s="13" t="s">
        <v>28</v>
      </c>
      <c r="D8525" s="13" t="s">
        <v>83</v>
      </c>
      <c r="E8525" s="12" t="s">
        <v>35</v>
      </c>
      <c r="F8525" s="14">
        <v>90000</v>
      </c>
      <c r="G8525" s="14">
        <v>66900</v>
      </c>
      <c r="H8525" s="13" t="s">
        <v>15175</v>
      </c>
      <c r="I8525" s="40" t="s">
        <v>18</v>
      </c>
      <c r="J8525" s="40" t="str">
        <f>HYPERLINK("https://stock.pstatic.net/stock-research/company/2/20251015_company_904028000.pdf","PDF")</f>
        <v>PDF</v>
      </c>
      <c r="K8525" s="12" t="s">
        <v>15176</v>
      </c>
      <c r="L8525" s="20">
        <v>0.3452914798206278</v>
      </c>
    </row>
    <row r="8526" spans="1:12" x14ac:dyDescent="0.45">
      <c r="A8526" s="12" t="s">
        <v>15119</v>
      </c>
      <c r="B8526" s="12" t="s">
        <v>132</v>
      </c>
      <c r="C8526" s="13" t="s">
        <v>133</v>
      </c>
      <c r="D8526" s="13" t="s">
        <v>83</v>
      </c>
      <c r="E8526" s="12" t="s">
        <v>35</v>
      </c>
      <c r="F8526" s="14">
        <v>100000</v>
      </c>
      <c r="G8526" s="14">
        <v>82600</v>
      </c>
      <c r="H8526" s="13" t="s">
        <v>15177</v>
      </c>
      <c r="I8526" s="40" t="s">
        <v>18</v>
      </c>
      <c r="J8526" s="40" t="str">
        <f>HYPERLINK("https://stock.pstatic.net/stock-research/company/2/20251015_company_879263000.pdf","PDF")</f>
        <v>PDF</v>
      </c>
      <c r="K8526" s="12" t="s">
        <v>15178</v>
      </c>
      <c r="L8526" s="20">
        <v>0.21065375302663439</v>
      </c>
    </row>
    <row r="8527" spans="1:12" x14ac:dyDescent="0.45">
      <c r="A8527" s="12" t="s">
        <v>15119</v>
      </c>
      <c r="B8527" s="12" t="s">
        <v>1656</v>
      </c>
      <c r="C8527" s="13" t="s">
        <v>1657</v>
      </c>
      <c r="D8527" s="13" t="s">
        <v>83</v>
      </c>
      <c r="E8527" s="12" t="s">
        <v>35</v>
      </c>
      <c r="F8527" s="14">
        <v>260000</v>
      </c>
      <c r="G8527" s="14">
        <v>177500</v>
      </c>
      <c r="H8527" s="13" t="s">
        <v>15179</v>
      </c>
      <c r="I8527" s="40" t="s">
        <v>18</v>
      </c>
      <c r="J8527" s="40" t="str">
        <f>HYPERLINK("https://stock.pstatic.net/stock-research/company/2/20251015_company_83372000.pdf","PDF")</f>
        <v>PDF</v>
      </c>
      <c r="K8527" s="12" t="s">
        <v>15180</v>
      </c>
      <c r="L8527" s="20">
        <v>0.46478873239436619</v>
      </c>
    </row>
    <row r="8528" spans="1:12" x14ac:dyDescent="0.45">
      <c r="A8528" s="12" t="s">
        <v>15119</v>
      </c>
      <c r="B8528" s="12" t="s">
        <v>13</v>
      </c>
      <c r="C8528" s="13" t="s">
        <v>14</v>
      </c>
      <c r="D8528" s="13" t="s">
        <v>83</v>
      </c>
      <c r="E8528" s="12" t="s">
        <v>35</v>
      </c>
      <c r="F8528" s="14">
        <v>110000</v>
      </c>
      <c r="G8528" s="14">
        <v>93300</v>
      </c>
      <c r="H8528" s="13" t="s">
        <v>15181</v>
      </c>
      <c r="I8528" s="40" t="s">
        <v>18</v>
      </c>
      <c r="J8528" s="40" t="str">
        <f>HYPERLINK("https://stock.pstatic.net/stock-research/company/2/20251015_company_773171000.pdf","PDF")</f>
        <v>PDF</v>
      </c>
      <c r="K8528" s="12" t="s">
        <v>15182</v>
      </c>
      <c r="L8528" s="20">
        <v>0.17899249732047159</v>
      </c>
    </row>
    <row r="8529" spans="1:12" x14ac:dyDescent="0.45">
      <c r="A8529" s="12" t="s">
        <v>15119</v>
      </c>
      <c r="B8529" s="12" t="s">
        <v>1449</v>
      </c>
      <c r="C8529" s="13" t="s">
        <v>1450</v>
      </c>
      <c r="D8529" s="13" t="s">
        <v>83</v>
      </c>
      <c r="E8529" s="12" t="s">
        <v>35</v>
      </c>
      <c r="F8529" s="14">
        <v>42000</v>
      </c>
      <c r="G8529" s="14">
        <v>35350</v>
      </c>
      <c r="H8529" s="13" t="s">
        <v>15183</v>
      </c>
      <c r="I8529" s="40" t="s">
        <v>18</v>
      </c>
      <c r="J8529" s="40" t="str">
        <f>HYPERLINK("https://stock.pstatic.net/stock-research/company/2/20251015_company_613379000.pdf","PDF")</f>
        <v>PDF</v>
      </c>
      <c r="K8529" s="12" t="s">
        <v>15184</v>
      </c>
      <c r="L8529" s="20">
        <v>0.18811881188118809</v>
      </c>
    </row>
    <row r="8530" spans="1:12" x14ac:dyDescent="0.45">
      <c r="A8530" s="12" t="s">
        <v>15119</v>
      </c>
      <c r="B8530" s="12" t="s">
        <v>545</v>
      </c>
      <c r="C8530" s="13" t="s">
        <v>546</v>
      </c>
      <c r="D8530" s="13" t="s">
        <v>83</v>
      </c>
      <c r="E8530" s="12" t="s">
        <v>35</v>
      </c>
      <c r="F8530" s="14">
        <v>360000</v>
      </c>
      <c r="G8530" s="14">
        <v>283500</v>
      </c>
      <c r="H8530" s="13" t="s">
        <v>15185</v>
      </c>
      <c r="I8530" s="40" t="s">
        <v>18</v>
      </c>
      <c r="J8530" s="40" t="str">
        <f>HYPERLINK("https://stock.pstatic.net/stock-research/company/2/20251015_company_780782000.pdf","PDF")</f>
        <v>PDF</v>
      </c>
      <c r="K8530" s="12" t="s">
        <v>15186</v>
      </c>
      <c r="L8530" s="20">
        <v>0.26984126984126983</v>
      </c>
    </row>
    <row r="8531" spans="1:12" x14ac:dyDescent="0.45">
      <c r="A8531" s="12" t="s">
        <v>15119</v>
      </c>
      <c r="B8531" s="12" t="s">
        <v>740</v>
      </c>
      <c r="C8531" s="13" t="s">
        <v>741</v>
      </c>
      <c r="D8531" s="13" t="s">
        <v>83</v>
      </c>
      <c r="E8531" s="12" t="s">
        <v>35</v>
      </c>
      <c r="F8531" s="14">
        <v>240000</v>
      </c>
      <c r="G8531" s="14">
        <v>183600</v>
      </c>
      <c r="H8531" s="13" t="s">
        <v>15187</v>
      </c>
      <c r="I8531" s="40" t="s">
        <v>18</v>
      </c>
      <c r="J8531" s="40" t="str">
        <f>HYPERLINK("https://stock.pstatic.net/stock-research/company/2/20251015_company_87427000.pdf","PDF")</f>
        <v>PDF</v>
      </c>
      <c r="K8531" s="12" t="s">
        <v>15188</v>
      </c>
      <c r="L8531" s="20">
        <v>0.30718954248366009</v>
      </c>
    </row>
    <row r="8532" spans="1:12" x14ac:dyDescent="0.45">
      <c r="A8532" s="12" t="s">
        <v>15119</v>
      </c>
      <c r="B8532" s="12" t="s">
        <v>836</v>
      </c>
      <c r="C8532" s="13" t="s">
        <v>837</v>
      </c>
      <c r="D8532" s="13" t="s">
        <v>83</v>
      </c>
      <c r="E8532" s="12" t="s">
        <v>35</v>
      </c>
      <c r="F8532" s="14">
        <v>310000</v>
      </c>
      <c r="G8532" s="14">
        <v>234500</v>
      </c>
      <c r="H8532" s="13" t="s">
        <v>15189</v>
      </c>
      <c r="I8532" s="40" t="s">
        <v>18</v>
      </c>
      <c r="J8532" s="40" t="str">
        <f>HYPERLINK("https://stock.pstatic.net/stock-research/company/2/20251015_company_136653000.pdf","PDF")</f>
        <v>PDF</v>
      </c>
      <c r="K8532" s="12" t="s">
        <v>15190</v>
      </c>
      <c r="L8532" s="20">
        <v>0.32196162046908322</v>
      </c>
    </row>
    <row r="8533" spans="1:12" x14ac:dyDescent="0.45">
      <c r="A8533" s="12" t="s">
        <v>15119</v>
      </c>
      <c r="B8533" s="12" t="s">
        <v>768</v>
      </c>
      <c r="C8533" s="13" t="s">
        <v>769</v>
      </c>
      <c r="D8533" s="13" t="s">
        <v>83</v>
      </c>
      <c r="E8533" s="12" t="s">
        <v>35</v>
      </c>
      <c r="F8533" s="14">
        <v>280000</v>
      </c>
      <c r="G8533" s="14">
        <v>198700</v>
      </c>
      <c r="H8533" s="13" t="s">
        <v>15191</v>
      </c>
      <c r="I8533" s="40" t="s">
        <v>18</v>
      </c>
      <c r="J8533" s="40" t="str">
        <f>HYPERLINK("https://stock.pstatic.net/stock-research/company/2/20251015_company_970422000.pdf","PDF")</f>
        <v>PDF</v>
      </c>
      <c r="K8533" s="12" t="s">
        <v>15192</v>
      </c>
      <c r="L8533" s="20">
        <v>0.40915953699043778</v>
      </c>
    </row>
    <row r="8534" spans="1:12" x14ac:dyDescent="0.45">
      <c r="A8534" s="12" t="s">
        <v>15119</v>
      </c>
      <c r="B8534" s="12" t="s">
        <v>375</v>
      </c>
      <c r="C8534" s="13" t="s">
        <v>376</v>
      </c>
      <c r="D8534" s="13" t="s">
        <v>92</v>
      </c>
      <c r="E8534" s="12" t="s">
        <v>35</v>
      </c>
      <c r="F8534" s="14">
        <v>35000</v>
      </c>
      <c r="G8534" s="14">
        <v>23650</v>
      </c>
      <c r="H8534" s="13" t="s">
        <v>15193</v>
      </c>
      <c r="I8534" s="40" t="s">
        <v>18</v>
      </c>
      <c r="J8534" s="40" t="str">
        <f>HYPERLINK("https://stock.pstatic.net/stock-research/company/63/20251015_company_752492000.pdf","PDF")</f>
        <v>PDF</v>
      </c>
      <c r="K8534" s="12" t="s">
        <v>15194</v>
      </c>
      <c r="L8534" s="20">
        <v>0.47991543340380549</v>
      </c>
    </row>
    <row r="8535" spans="1:12" x14ac:dyDescent="0.45">
      <c r="A8535" s="12" t="s">
        <v>15119</v>
      </c>
      <c r="B8535" s="12" t="s">
        <v>1666</v>
      </c>
      <c r="C8535" s="13" t="s">
        <v>1667</v>
      </c>
      <c r="D8535" s="13" t="s">
        <v>92</v>
      </c>
      <c r="E8535" s="12" t="s">
        <v>35</v>
      </c>
      <c r="F8535" s="14">
        <v>70000</v>
      </c>
      <c r="G8535" s="14">
        <v>55600</v>
      </c>
      <c r="H8535" s="13" t="s">
        <v>15195</v>
      </c>
      <c r="I8535" s="40" t="s">
        <v>18</v>
      </c>
      <c r="J8535" s="40" t="str">
        <f>HYPERLINK("https://stock.pstatic.net/stock-research/company/63/20251015_company_788476000.pdf","PDF")</f>
        <v>PDF</v>
      </c>
      <c r="K8535" s="12" t="s">
        <v>15196</v>
      </c>
      <c r="L8535" s="20">
        <v>0.25899280575539568</v>
      </c>
    </row>
    <row r="8536" spans="1:12" x14ac:dyDescent="0.45">
      <c r="A8536" s="12" t="s">
        <v>15119</v>
      </c>
      <c r="B8536" s="12" t="s">
        <v>511</v>
      </c>
      <c r="C8536" s="13" t="s">
        <v>512</v>
      </c>
      <c r="D8536" s="13" t="s">
        <v>44</v>
      </c>
      <c r="E8536" s="12" t="s">
        <v>35</v>
      </c>
      <c r="F8536" s="14">
        <v>105000</v>
      </c>
      <c r="G8536" s="14">
        <v>78100</v>
      </c>
      <c r="H8536" s="13" t="s">
        <v>15197</v>
      </c>
      <c r="I8536" s="40" t="s">
        <v>18</v>
      </c>
      <c r="J8536" s="40" t="str">
        <f>HYPERLINK("https://stock.pstatic.net/stock-research/company/39/20251015_company_426773000.pdf","PDF")</f>
        <v>PDF</v>
      </c>
      <c r="K8536" s="12" t="s">
        <v>15198</v>
      </c>
      <c r="L8536" s="20">
        <v>0.34443021766965431</v>
      </c>
    </row>
    <row r="8537" spans="1:12" x14ac:dyDescent="0.45">
      <c r="A8537" s="12" t="s">
        <v>15119</v>
      </c>
      <c r="B8537" s="12" t="s">
        <v>3280</v>
      </c>
      <c r="C8537" s="13" t="s">
        <v>3281</v>
      </c>
      <c r="D8537" s="13" t="s">
        <v>44</v>
      </c>
      <c r="E8537" s="12" t="s">
        <v>35</v>
      </c>
      <c r="F8537" s="14">
        <v>60000</v>
      </c>
      <c r="G8537" s="14">
        <v>45350</v>
      </c>
      <c r="H8537" s="13" t="s">
        <v>15199</v>
      </c>
      <c r="I8537" s="40" t="s">
        <v>18</v>
      </c>
      <c r="J8537" s="40" t="str">
        <f>HYPERLINK("https://stock.pstatic.net/stock-research/company/39/20251015_company_836969000.pdf","PDF")</f>
        <v>PDF</v>
      </c>
      <c r="K8537" s="12" t="s">
        <v>15200</v>
      </c>
      <c r="L8537" s="20">
        <v>0.32304299889746418</v>
      </c>
    </row>
    <row r="8538" spans="1:12" x14ac:dyDescent="0.45">
      <c r="A8538" s="12" t="s">
        <v>15119</v>
      </c>
      <c r="B8538" s="12" t="s">
        <v>1081</v>
      </c>
      <c r="C8538" s="13" t="s">
        <v>1082</v>
      </c>
      <c r="D8538" s="13" t="s">
        <v>44</v>
      </c>
      <c r="E8538" s="12" t="s">
        <v>35</v>
      </c>
      <c r="F8538" s="14">
        <v>1300000</v>
      </c>
      <c r="G8538" s="14">
        <v>1027000</v>
      </c>
      <c r="H8538" s="13" t="s">
        <v>15201</v>
      </c>
      <c r="I8538" s="40" t="s">
        <v>18</v>
      </c>
      <c r="J8538" s="40" t="str">
        <f>HYPERLINK("https://stock.pstatic.net/stock-research/company/39/20251015_company_437199000.pdf","PDF")</f>
        <v>PDF</v>
      </c>
      <c r="K8538" s="12" t="s">
        <v>15202</v>
      </c>
      <c r="L8538" s="20">
        <v>0.26582278481012661</v>
      </c>
    </row>
    <row r="8539" spans="1:12" x14ac:dyDescent="0.45">
      <c r="A8539" s="12" t="s">
        <v>15119</v>
      </c>
      <c r="B8539" s="12" t="s">
        <v>1765</v>
      </c>
      <c r="C8539" s="13" t="s">
        <v>1766</v>
      </c>
      <c r="D8539" s="13" t="s">
        <v>44</v>
      </c>
      <c r="E8539" s="12" t="s">
        <v>45</v>
      </c>
      <c r="F8539" s="14">
        <v>115000</v>
      </c>
      <c r="G8539" s="14">
        <v>102500</v>
      </c>
      <c r="H8539" s="13" t="s">
        <v>15203</v>
      </c>
      <c r="I8539" s="40" t="s">
        <v>18</v>
      </c>
      <c r="J8539" s="40" t="str">
        <f>HYPERLINK("https://stock.pstatic.net/stock-research/company/39/20251015_company_20578000.pdf","PDF")</f>
        <v>PDF</v>
      </c>
      <c r="K8539" s="12" t="s">
        <v>15204</v>
      </c>
      <c r="L8539" s="20">
        <v>0.12195121951219511</v>
      </c>
    </row>
    <row r="8540" spans="1:12" x14ac:dyDescent="0.45">
      <c r="A8540" s="12" t="s">
        <v>15119</v>
      </c>
      <c r="B8540" s="12" t="s">
        <v>577</v>
      </c>
      <c r="C8540" s="13" t="s">
        <v>578</v>
      </c>
      <c r="D8540" s="13" t="s">
        <v>44</v>
      </c>
      <c r="E8540" s="12" t="s">
        <v>35</v>
      </c>
      <c r="F8540" s="14">
        <v>400000</v>
      </c>
      <c r="G8540" s="14">
        <v>299500</v>
      </c>
      <c r="H8540" s="13" t="s">
        <v>15205</v>
      </c>
      <c r="I8540" s="40" t="s">
        <v>18</v>
      </c>
      <c r="J8540" s="40" t="str">
        <f>HYPERLINK("https://stock.pstatic.net/stock-research/company/39/20251015_company_717744000.pdf","PDF")</f>
        <v>PDF</v>
      </c>
      <c r="K8540" s="12" t="s">
        <v>15206</v>
      </c>
      <c r="L8540" s="20">
        <v>0.335559265442404</v>
      </c>
    </row>
    <row r="8541" spans="1:12" x14ac:dyDescent="0.45">
      <c r="A8541" s="12" t="s">
        <v>15119</v>
      </c>
      <c r="B8541" s="12" t="s">
        <v>13</v>
      </c>
      <c r="C8541" s="13" t="s">
        <v>14</v>
      </c>
      <c r="D8541" s="13" t="s">
        <v>44</v>
      </c>
      <c r="E8541" s="12" t="s">
        <v>35</v>
      </c>
      <c r="F8541" s="14">
        <v>120000</v>
      </c>
      <c r="G8541" s="14">
        <v>91600</v>
      </c>
      <c r="H8541" s="13" t="s">
        <v>15207</v>
      </c>
      <c r="I8541" s="40" t="s">
        <v>18</v>
      </c>
      <c r="J8541" s="40" t="str">
        <f>HYPERLINK("https://stock.pstatic.net/stock-research/company/39/20251015_company_844690000.pdf","PDF")</f>
        <v>PDF</v>
      </c>
      <c r="K8541" s="12" t="s">
        <v>15208</v>
      </c>
      <c r="L8541" s="20">
        <v>0.31004366812227069</v>
      </c>
    </row>
    <row r="8542" spans="1:12" x14ac:dyDescent="0.45">
      <c r="A8542" s="12" t="s">
        <v>15119</v>
      </c>
      <c r="B8542" s="12" t="s">
        <v>15209</v>
      </c>
      <c r="C8542" s="13" t="s">
        <v>15210</v>
      </c>
      <c r="D8542" s="13" t="s">
        <v>124</v>
      </c>
      <c r="E8542" s="12" t="s">
        <v>50</v>
      </c>
      <c r="F8542" s="13"/>
      <c r="G8542" s="13"/>
      <c r="H8542" s="13" t="s">
        <v>15211</v>
      </c>
      <c r="I8542" s="40" t="s">
        <v>18</v>
      </c>
      <c r="J8542" s="40" t="str">
        <f>HYPERLINK("https://stock.pstatic.net/stock-research/company/74/20251015_company_169847000.pdf","PDF")</f>
        <v>PDF</v>
      </c>
      <c r="K8542" s="12" t="s">
        <v>15212</v>
      </c>
    </row>
    <row r="8543" spans="1:12" x14ac:dyDescent="0.45">
      <c r="A8543" s="12" t="s">
        <v>15119</v>
      </c>
      <c r="B8543" s="12" t="s">
        <v>15213</v>
      </c>
      <c r="C8543" s="13" t="s">
        <v>15214</v>
      </c>
      <c r="D8543" s="13" t="s">
        <v>124</v>
      </c>
      <c r="E8543" s="12" t="s">
        <v>50</v>
      </c>
      <c r="F8543" s="13"/>
      <c r="G8543" s="13"/>
      <c r="H8543" s="13" t="s">
        <v>15215</v>
      </c>
      <c r="I8543" s="40" t="s">
        <v>18</v>
      </c>
      <c r="J8543" s="40" t="str">
        <f>HYPERLINK("https://stock.pstatic.net/stock-research/company/74/20251015_company_605170000.pdf","PDF")</f>
        <v>PDF</v>
      </c>
      <c r="K8543" s="12" t="s">
        <v>15216</v>
      </c>
    </row>
    <row r="8544" spans="1:12" x14ac:dyDescent="0.45">
      <c r="A8544" s="12" t="s">
        <v>15119</v>
      </c>
      <c r="B8544" s="12" t="s">
        <v>15217</v>
      </c>
      <c r="C8544" s="13" t="s">
        <v>15218</v>
      </c>
      <c r="D8544" s="13" t="s">
        <v>124</v>
      </c>
      <c r="E8544" s="12" t="s">
        <v>50</v>
      </c>
      <c r="F8544" s="13"/>
      <c r="G8544" s="13"/>
      <c r="H8544" s="13" t="s">
        <v>15219</v>
      </c>
      <c r="I8544" s="40" t="s">
        <v>18</v>
      </c>
      <c r="J8544" s="40" t="str">
        <f>HYPERLINK("https://stock.pstatic.net/stock-research/company/74/20251015_company_759453000.pdf","PDF")</f>
        <v>PDF</v>
      </c>
      <c r="K8544" s="12" t="s">
        <v>15220</v>
      </c>
    </row>
    <row r="8545" spans="1:12" x14ac:dyDescent="0.45">
      <c r="A8545" s="12" t="s">
        <v>15119</v>
      </c>
      <c r="B8545" s="12" t="s">
        <v>2795</v>
      </c>
      <c r="C8545" s="13" t="s">
        <v>2796</v>
      </c>
      <c r="D8545" s="13" t="s">
        <v>15</v>
      </c>
      <c r="E8545" s="12" t="s">
        <v>16</v>
      </c>
      <c r="F8545" s="14">
        <v>5000</v>
      </c>
      <c r="G8545" s="14">
        <v>3730</v>
      </c>
      <c r="H8545" s="13" t="s">
        <v>15221</v>
      </c>
      <c r="I8545" s="40" t="s">
        <v>18</v>
      </c>
      <c r="J8545" s="40" t="str">
        <f>HYPERLINK("https://stock.pstatic.net/stock-research/company/29/20251015_company_664706000.pdf","PDF")</f>
        <v>PDF</v>
      </c>
      <c r="K8545" s="12" t="s">
        <v>15222</v>
      </c>
      <c r="L8545" s="20">
        <v>0.34048257372654162</v>
      </c>
    </row>
    <row r="8546" spans="1:12" x14ac:dyDescent="0.45">
      <c r="A8546" s="12" t="s">
        <v>15223</v>
      </c>
      <c r="B8546" s="12" t="s">
        <v>2425</v>
      </c>
      <c r="C8546" s="13" t="s">
        <v>2426</v>
      </c>
      <c r="D8546" s="13" t="s">
        <v>57</v>
      </c>
      <c r="E8546" s="12" t="s">
        <v>35</v>
      </c>
      <c r="F8546" s="14">
        <v>180000</v>
      </c>
      <c r="G8546" s="14">
        <v>134000</v>
      </c>
      <c r="H8546" s="13" t="s">
        <v>15224</v>
      </c>
      <c r="I8546" s="40" t="s">
        <v>18</v>
      </c>
      <c r="J8546" s="40" t="str">
        <f>HYPERLINK("https://stock.pstatic.net/stock-research/company/16/20251014_company_759228000.pdf","PDF")</f>
        <v>PDF</v>
      </c>
      <c r="K8546" s="12" t="s">
        <v>15225</v>
      </c>
      <c r="L8546" s="20">
        <v>0.34328358208955218</v>
      </c>
    </row>
    <row r="8547" spans="1:12" x14ac:dyDescent="0.45">
      <c r="A8547" s="12" t="s">
        <v>15223</v>
      </c>
      <c r="B8547" s="12" t="s">
        <v>2378</v>
      </c>
      <c r="C8547" s="13" t="s">
        <v>2379</v>
      </c>
      <c r="D8547" s="13" t="s">
        <v>57</v>
      </c>
      <c r="E8547" s="12" t="s">
        <v>35</v>
      </c>
      <c r="F8547" s="14">
        <v>420000</v>
      </c>
      <c r="G8547" s="14">
        <v>360000</v>
      </c>
      <c r="H8547" s="13" t="s">
        <v>15226</v>
      </c>
      <c r="I8547" s="40" t="s">
        <v>18</v>
      </c>
      <c r="J8547" s="40" t="str">
        <f>HYPERLINK("https://stock.pstatic.net/stock-research/company/16/20251014_company_626408000.pdf","PDF")</f>
        <v>PDF</v>
      </c>
      <c r="K8547" s="12" t="s">
        <v>15227</v>
      </c>
      <c r="L8547" s="20">
        <v>0.16666666666666671</v>
      </c>
    </row>
    <row r="8548" spans="1:12" x14ac:dyDescent="0.45">
      <c r="A8548" s="12" t="s">
        <v>15223</v>
      </c>
      <c r="B8548" s="12" t="s">
        <v>426</v>
      </c>
      <c r="C8548" s="13" t="s">
        <v>427</v>
      </c>
      <c r="D8548" s="13" t="s">
        <v>57</v>
      </c>
      <c r="E8548" s="12" t="s">
        <v>35</v>
      </c>
      <c r="F8548" s="14">
        <v>26000</v>
      </c>
      <c r="G8548" s="14">
        <v>19260</v>
      </c>
      <c r="H8548" s="13" t="s">
        <v>15228</v>
      </c>
      <c r="I8548" s="40" t="s">
        <v>18</v>
      </c>
      <c r="J8548" s="40" t="str">
        <f>HYPERLINK("https://stock.pstatic.net/stock-research/company/16/20251014_company_122298000.pdf","PDF")</f>
        <v>PDF</v>
      </c>
      <c r="K8548" s="12" t="s">
        <v>15229</v>
      </c>
      <c r="L8548" s="20">
        <v>0.34994807892004148</v>
      </c>
    </row>
    <row r="8549" spans="1:12" x14ac:dyDescent="0.45">
      <c r="A8549" s="12" t="s">
        <v>15223</v>
      </c>
      <c r="B8549" s="12" t="s">
        <v>1781</v>
      </c>
      <c r="C8549" s="13" t="s">
        <v>1782</v>
      </c>
      <c r="D8549" s="13" t="s">
        <v>60</v>
      </c>
      <c r="E8549" s="12" t="s">
        <v>50</v>
      </c>
      <c r="F8549" s="13"/>
      <c r="G8549" s="13"/>
      <c r="H8549" s="13" t="s">
        <v>5147</v>
      </c>
      <c r="I8549" s="40" t="s">
        <v>18</v>
      </c>
      <c r="J8549" s="40" t="str">
        <f>HYPERLINK("https://stock.pstatic.net/stock-research/company/34/20251014_company_595123000.pdf","PDF")</f>
        <v>PDF</v>
      </c>
      <c r="K8549" s="12" t="s">
        <v>15230</v>
      </c>
    </row>
    <row r="8550" spans="1:12" x14ac:dyDescent="0.45">
      <c r="A8550" s="12" t="s">
        <v>15223</v>
      </c>
      <c r="B8550" s="12" t="s">
        <v>2378</v>
      </c>
      <c r="C8550" s="13" t="s">
        <v>2379</v>
      </c>
      <c r="D8550" s="13" t="s">
        <v>60</v>
      </c>
      <c r="E8550" s="12" t="s">
        <v>50</v>
      </c>
      <c r="F8550" s="13"/>
      <c r="G8550" s="13"/>
      <c r="H8550" s="13" t="s">
        <v>5147</v>
      </c>
      <c r="I8550" s="40" t="s">
        <v>18</v>
      </c>
      <c r="J8550" s="40" t="str">
        <f>HYPERLINK("https://stock.pstatic.net/stock-research/company/34/20251014_company_42205000.pdf","PDF")</f>
        <v>PDF</v>
      </c>
      <c r="K8550" s="12" t="s">
        <v>15231</v>
      </c>
    </row>
    <row r="8551" spans="1:12" x14ac:dyDescent="0.45">
      <c r="A8551" s="12" t="s">
        <v>15223</v>
      </c>
      <c r="B8551" s="12" t="s">
        <v>3014</v>
      </c>
      <c r="C8551" s="13" t="s">
        <v>3015</v>
      </c>
      <c r="D8551" s="13" t="s">
        <v>65</v>
      </c>
      <c r="E8551" s="12" t="s">
        <v>35</v>
      </c>
      <c r="F8551" s="14">
        <v>160000</v>
      </c>
      <c r="G8551" s="14">
        <v>122300</v>
      </c>
      <c r="H8551" s="13" t="s">
        <v>15232</v>
      </c>
      <c r="I8551" s="40" t="s">
        <v>18</v>
      </c>
      <c r="J8551" s="40" t="str">
        <f>HYPERLINK("https://stock.pstatic.net/stock-research/company/57/20251014_company_389772000.pdf","PDF")</f>
        <v>PDF</v>
      </c>
      <c r="K8551" s="12" t="s">
        <v>15233</v>
      </c>
      <c r="L8551" s="20">
        <v>0.30825838103025349</v>
      </c>
    </row>
    <row r="8552" spans="1:12" x14ac:dyDescent="0.45">
      <c r="A8552" s="12" t="s">
        <v>15223</v>
      </c>
      <c r="B8552" s="12" t="s">
        <v>533</v>
      </c>
      <c r="C8552" s="13" t="s">
        <v>534</v>
      </c>
      <c r="D8552" s="13" t="s">
        <v>65</v>
      </c>
      <c r="E8552" s="12" t="s">
        <v>35</v>
      </c>
      <c r="F8552" s="14">
        <v>65000</v>
      </c>
      <c r="G8552" s="14">
        <v>49850</v>
      </c>
      <c r="H8552" s="13" t="s">
        <v>15234</v>
      </c>
      <c r="I8552" s="40" t="s">
        <v>18</v>
      </c>
      <c r="J8552" s="40" t="str">
        <f>HYPERLINK("https://stock.pstatic.net/stock-research/company/57/20251014_company_931509000.pdf","PDF")</f>
        <v>PDF</v>
      </c>
      <c r="K8552" s="12" t="s">
        <v>15235</v>
      </c>
      <c r="L8552" s="20">
        <v>0.30391173520561687</v>
      </c>
    </row>
    <row r="8553" spans="1:12" x14ac:dyDescent="0.45">
      <c r="A8553" s="12" t="s">
        <v>15223</v>
      </c>
      <c r="B8553" s="12" t="s">
        <v>537</v>
      </c>
      <c r="C8553" s="13" t="s">
        <v>538</v>
      </c>
      <c r="D8553" s="13" t="s">
        <v>65</v>
      </c>
      <c r="E8553" s="12" t="s">
        <v>35</v>
      </c>
      <c r="F8553" s="14">
        <v>16000</v>
      </c>
      <c r="G8553" s="14">
        <v>14930</v>
      </c>
      <c r="H8553" s="13" t="s">
        <v>15236</v>
      </c>
      <c r="I8553" s="40" t="s">
        <v>18</v>
      </c>
      <c r="J8553" s="40" t="str">
        <f>HYPERLINK("https://stock.pstatic.net/stock-research/company/57/20251014_company_44944000.pdf","PDF")</f>
        <v>PDF</v>
      </c>
      <c r="K8553" s="12" t="s">
        <v>15237</v>
      </c>
      <c r="L8553" s="20">
        <v>7.1667782987273942E-2</v>
      </c>
    </row>
    <row r="8554" spans="1:12" x14ac:dyDescent="0.45">
      <c r="A8554" s="12" t="s">
        <v>15223</v>
      </c>
      <c r="B8554" s="12" t="s">
        <v>2712</v>
      </c>
      <c r="C8554" s="13" t="s">
        <v>2713</v>
      </c>
      <c r="D8554" s="13" t="s">
        <v>65</v>
      </c>
      <c r="E8554" s="12" t="s">
        <v>35</v>
      </c>
      <c r="F8554" s="14">
        <v>30000</v>
      </c>
      <c r="G8554" s="14">
        <v>15620</v>
      </c>
      <c r="H8554" s="13" t="s">
        <v>15238</v>
      </c>
      <c r="I8554" s="40" t="s">
        <v>18</v>
      </c>
      <c r="J8554" s="40" t="str">
        <f>HYPERLINK("https://stock.pstatic.net/stock-research/company/57/20251014_company_290123000.pdf","PDF")</f>
        <v>PDF</v>
      </c>
      <c r="K8554" s="12" t="s">
        <v>15239</v>
      </c>
      <c r="L8554" s="20">
        <v>0.9206145966709347</v>
      </c>
    </row>
    <row r="8555" spans="1:12" x14ac:dyDescent="0.45">
      <c r="A8555" s="12" t="s">
        <v>15223</v>
      </c>
      <c r="B8555" s="12" t="s">
        <v>2378</v>
      </c>
      <c r="C8555" s="13" t="s">
        <v>2379</v>
      </c>
      <c r="D8555" s="13" t="s">
        <v>65</v>
      </c>
      <c r="E8555" s="12" t="s">
        <v>35</v>
      </c>
      <c r="F8555" s="14">
        <v>450000</v>
      </c>
      <c r="G8555" s="14">
        <v>360000</v>
      </c>
      <c r="H8555" s="13" t="s">
        <v>15240</v>
      </c>
      <c r="I8555" s="40" t="s">
        <v>18</v>
      </c>
      <c r="J8555" s="40" t="str">
        <f>HYPERLINK("https://stock.pstatic.net/stock-research/company/57/20251014_company_41697000.pdf","PDF")</f>
        <v>PDF</v>
      </c>
      <c r="K8555" s="12" t="s">
        <v>15241</v>
      </c>
      <c r="L8555" s="20">
        <v>0.25</v>
      </c>
    </row>
    <row r="8556" spans="1:12" x14ac:dyDescent="0.45">
      <c r="A8556" s="12" t="s">
        <v>15223</v>
      </c>
      <c r="B8556" s="12" t="s">
        <v>13</v>
      </c>
      <c r="C8556" s="13" t="s">
        <v>14</v>
      </c>
      <c r="D8556" s="13" t="s">
        <v>179</v>
      </c>
      <c r="E8556" s="12" t="s">
        <v>50</v>
      </c>
      <c r="F8556" s="13"/>
      <c r="G8556" s="13"/>
      <c r="H8556" s="13" t="s">
        <v>15242</v>
      </c>
      <c r="I8556" s="40" t="s">
        <v>18</v>
      </c>
      <c r="J8556" s="40" t="str">
        <f>HYPERLINK("https://stock.pstatic.net/stock-research/company/64/20251014_company_284476000.pdf","PDF")</f>
        <v>PDF</v>
      </c>
      <c r="K8556" s="12" t="s">
        <v>15243</v>
      </c>
    </row>
    <row r="8557" spans="1:12" x14ac:dyDescent="0.45">
      <c r="A8557" s="12" t="s">
        <v>15223</v>
      </c>
      <c r="B8557" s="12" t="s">
        <v>4668</v>
      </c>
      <c r="C8557" s="13" t="s">
        <v>4669</v>
      </c>
      <c r="D8557" s="13" t="s">
        <v>158</v>
      </c>
      <c r="E8557" s="12" t="s">
        <v>35</v>
      </c>
      <c r="F8557" s="14">
        <v>21000</v>
      </c>
      <c r="G8557" s="14">
        <v>18140</v>
      </c>
      <c r="H8557" s="13" t="s">
        <v>15244</v>
      </c>
      <c r="I8557" s="40" t="s">
        <v>18</v>
      </c>
      <c r="J8557" s="40" t="str">
        <f>HYPERLINK("https://stock.pstatic.net/stock-research/company/18/20251014_company_967787000.pdf","PDF")</f>
        <v>PDF</v>
      </c>
      <c r="K8557" s="12" t="s">
        <v>15245</v>
      </c>
      <c r="L8557" s="20">
        <v>0.15766262403528111</v>
      </c>
    </row>
    <row r="8558" spans="1:12" x14ac:dyDescent="0.45">
      <c r="A8558" s="12" t="s">
        <v>15223</v>
      </c>
      <c r="B8558" s="12" t="s">
        <v>1344</v>
      </c>
      <c r="C8558" s="13" t="s">
        <v>1345</v>
      </c>
      <c r="D8558" s="13" t="s">
        <v>158</v>
      </c>
      <c r="E8558" s="12" t="s">
        <v>35</v>
      </c>
      <c r="F8558" s="14">
        <v>47000</v>
      </c>
      <c r="G8558" s="14">
        <v>39400</v>
      </c>
      <c r="H8558" s="13" t="s">
        <v>15246</v>
      </c>
      <c r="I8558" s="40" t="s">
        <v>18</v>
      </c>
      <c r="J8558" s="40" t="str">
        <f>HYPERLINK("https://stock.pstatic.net/stock-research/company/18/20251014_company_995321000.pdf","PDF")</f>
        <v>PDF</v>
      </c>
      <c r="K8558" s="12" t="s">
        <v>15247</v>
      </c>
      <c r="L8558" s="20">
        <v>0.19289340101522839</v>
      </c>
    </row>
    <row r="8559" spans="1:12" x14ac:dyDescent="0.45">
      <c r="A8559" s="12" t="s">
        <v>15223</v>
      </c>
      <c r="B8559" s="12" t="s">
        <v>2933</v>
      </c>
      <c r="C8559" s="13" t="s">
        <v>2934</v>
      </c>
      <c r="D8559" s="13" t="s">
        <v>158</v>
      </c>
      <c r="E8559" s="12" t="s">
        <v>35</v>
      </c>
      <c r="F8559" s="14">
        <v>160000</v>
      </c>
      <c r="G8559" s="14">
        <v>107200</v>
      </c>
      <c r="H8559" s="13" t="s">
        <v>15248</v>
      </c>
      <c r="I8559" s="40" t="s">
        <v>18</v>
      </c>
      <c r="J8559" s="40" t="str">
        <f>HYPERLINK("https://stock.pstatic.net/stock-research/company/18/20251014_company_472503000.pdf","PDF")</f>
        <v>PDF</v>
      </c>
      <c r="K8559" s="12" t="s">
        <v>15249</v>
      </c>
      <c r="L8559" s="20">
        <v>0.4925373134328358</v>
      </c>
    </row>
    <row r="8560" spans="1:12" x14ac:dyDescent="0.45">
      <c r="A8560" s="12" t="s">
        <v>15223</v>
      </c>
      <c r="B8560" s="12" t="s">
        <v>4021</v>
      </c>
      <c r="C8560" s="13" t="s">
        <v>4022</v>
      </c>
      <c r="D8560" s="13" t="s">
        <v>158</v>
      </c>
      <c r="E8560" s="12" t="s">
        <v>35</v>
      </c>
      <c r="F8560" s="14">
        <v>360000</v>
      </c>
      <c r="G8560" s="14">
        <v>296000</v>
      </c>
      <c r="H8560" s="13" t="s">
        <v>15250</v>
      </c>
      <c r="I8560" s="40" t="s">
        <v>18</v>
      </c>
      <c r="J8560" s="40" t="str">
        <f>HYPERLINK("https://stock.pstatic.net/stock-research/company/18/20251014_company_719720000.pdf","PDF")</f>
        <v>PDF</v>
      </c>
      <c r="K8560" s="12" t="s">
        <v>15251</v>
      </c>
      <c r="L8560" s="20">
        <v>0.2162162162162162</v>
      </c>
    </row>
    <row r="8561" spans="1:12" x14ac:dyDescent="0.45">
      <c r="A8561" s="12" t="s">
        <v>15223</v>
      </c>
      <c r="B8561" s="12" t="s">
        <v>3230</v>
      </c>
      <c r="C8561" s="13" t="s">
        <v>3231</v>
      </c>
      <c r="D8561" s="13" t="s">
        <v>158</v>
      </c>
      <c r="E8561" s="12" t="s">
        <v>35</v>
      </c>
      <c r="F8561" s="14">
        <v>1860000</v>
      </c>
      <c r="G8561" s="14">
        <v>1446000</v>
      </c>
      <c r="H8561" s="13" t="s">
        <v>15252</v>
      </c>
      <c r="I8561" s="40" t="s">
        <v>18</v>
      </c>
      <c r="J8561" s="40" t="str">
        <f>HYPERLINK("https://stock.pstatic.net/stock-research/company/18/20251014_company_899900000.pdf","PDF")</f>
        <v>PDF</v>
      </c>
      <c r="K8561" s="12" t="s">
        <v>15253</v>
      </c>
      <c r="L8561" s="20">
        <v>0.2863070539419087</v>
      </c>
    </row>
    <row r="8562" spans="1:12" x14ac:dyDescent="0.45">
      <c r="A8562" s="12" t="s">
        <v>15223</v>
      </c>
      <c r="B8562" s="12" t="s">
        <v>3182</v>
      </c>
      <c r="C8562" s="13" t="s">
        <v>3183</v>
      </c>
      <c r="D8562" s="13" t="s">
        <v>158</v>
      </c>
      <c r="E8562" s="12" t="s">
        <v>35</v>
      </c>
      <c r="F8562" s="14">
        <v>770000</v>
      </c>
      <c r="G8562" s="14">
        <v>666000</v>
      </c>
      <c r="H8562" s="13" t="s">
        <v>15254</v>
      </c>
      <c r="I8562" s="40" t="s">
        <v>18</v>
      </c>
      <c r="J8562" s="40" t="str">
        <f>HYPERLINK("https://stock.pstatic.net/stock-research/company/18/20251014_company_449859000.pdf","PDF")</f>
        <v>PDF</v>
      </c>
      <c r="K8562" s="12" t="s">
        <v>15255</v>
      </c>
      <c r="L8562" s="20">
        <v>0.15615615615615619</v>
      </c>
    </row>
    <row r="8563" spans="1:12" x14ac:dyDescent="0.45">
      <c r="A8563" s="12" t="s">
        <v>15223</v>
      </c>
      <c r="B8563" s="12" t="s">
        <v>772</v>
      </c>
      <c r="C8563" s="13" t="s">
        <v>5840</v>
      </c>
      <c r="D8563" s="13" t="s">
        <v>158</v>
      </c>
      <c r="E8563" s="12" t="s">
        <v>50</v>
      </c>
      <c r="F8563" s="13"/>
      <c r="G8563" s="14">
        <v>21900</v>
      </c>
      <c r="H8563" s="13" t="s">
        <v>15256</v>
      </c>
      <c r="I8563" s="40" t="s">
        <v>18</v>
      </c>
      <c r="J8563" s="40" t="str">
        <f>HYPERLINK("https://stock.pstatic.net/stock-research/company/18/20251014_company_875626000.pdf","PDF")</f>
        <v>PDF</v>
      </c>
      <c r="K8563" s="12" t="s">
        <v>15257</v>
      </c>
    </row>
    <row r="8564" spans="1:12" x14ac:dyDescent="0.45">
      <c r="A8564" s="12" t="s">
        <v>15223</v>
      </c>
      <c r="B8564" s="12" t="s">
        <v>12357</v>
      </c>
      <c r="C8564" s="13" t="s">
        <v>12358</v>
      </c>
      <c r="D8564" s="13" t="s">
        <v>158</v>
      </c>
      <c r="E8564" s="12" t="s">
        <v>50</v>
      </c>
      <c r="F8564" s="13"/>
      <c r="G8564" s="14">
        <v>12480</v>
      </c>
      <c r="H8564" s="13" t="s">
        <v>15258</v>
      </c>
      <c r="I8564" s="40" t="s">
        <v>18</v>
      </c>
      <c r="J8564" s="40" t="str">
        <f>HYPERLINK("https://stock.pstatic.net/stock-research/company/18/20251014_company_518190000.pdf","PDF")</f>
        <v>PDF</v>
      </c>
      <c r="K8564" s="12" t="s">
        <v>15259</v>
      </c>
    </row>
    <row r="8565" spans="1:12" x14ac:dyDescent="0.45">
      <c r="A8565" s="12" t="s">
        <v>15223</v>
      </c>
      <c r="B8565" s="12" t="s">
        <v>736</v>
      </c>
      <c r="C8565" s="13" t="s">
        <v>737</v>
      </c>
      <c r="D8565" s="13" t="s">
        <v>15</v>
      </c>
      <c r="E8565" s="12" t="s">
        <v>16</v>
      </c>
      <c r="F8565" s="14">
        <v>131000</v>
      </c>
      <c r="G8565" s="14">
        <v>85900</v>
      </c>
      <c r="H8565" s="13" t="s">
        <v>15260</v>
      </c>
      <c r="I8565" s="40" t="s">
        <v>18</v>
      </c>
      <c r="J8565" s="40" t="str">
        <f>HYPERLINK("https://stock.pstatic.net/stock-research/company/29/20251014_company_539953000.pdf","PDF")</f>
        <v>PDF</v>
      </c>
      <c r="K8565" s="12" t="s">
        <v>15261</v>
      </c>
      <c r="L8565" s="20">
        <v>0.52502910360884747</v>
      </c>
    </row>
    <row r="8566" spans="1:12" x14ac:dyDescent="0.45">
      <c r="A8566" s="12" t="s">
        <v>15223</v>
      </c>
      <c r="B8566" s="12" t="s">
        <v>1383</v>
      </c>
      <c r="C8566" s="13" t="s">
        <v>1384</v>
      </c>
      <c r="D8566" s="13" t="s">
        <v>23</v>
      </c>
      <c r="E8566" s="12" t="s">
        <v>16</v>
      </c>
      <c r="F8566" s="14">
        <v>38000</v>
      </c>
      <c r="G8566" s="14">
        <v>31350</v>
      </c>
      <c r="H8566" s="13" t="s">
        <v>15262</v>
      </c>
      <c r="I8566" s="40" t="s">
        <v>18</v>
      </c>
      <c r="J8566" s="40" t="str">
        <f>HYPERLINK("https://stock.pstatic.net/stock-research/company/21/20251014_company_966238000.pdf","PDF")</f>
        <v>PDF</v>
      </c>
      <c r="K8566" s="12" t="s">
        <v>15263</v>
      </c>
      <c r="L8566" s="20">
        <v>0.2121212121212121</v>
      </c>
    </row>
    <row r="8567" spans="1:12" x14ac:dyDescent="0.45">
      <c r="A8567" s="12" t="s">
        <v>15223</v>
      </c>
      <c r="B8567" s="12" t="s">
        <v>916</v>
      </c>
      <c r="C8567" s="13" t="s">
        <v>917</v>
      </c>
      <c r="D8567" s="13" t="s">
        <v>179</v>
      </c>
      <c r="E8567" s="12" t="s">
        <v>16</v>
      </c>
      <c r="F8567" s="14">
        <v>87000</v>
      </c>
      <c r="G8567" s="14">
        <v>59800</v>
      </c>
      <c r="H8567" s="13" t="s">
        <v>15264</v>
      </c>
      <c r="I8567" s="40" t="s">
        <v>18</v>
      </c>
      <c r="J8567" s="40" t="str">
        <f>HYPERLINK("https://stock.pstatic.net/stock-research/company/64/20251014_company_356295000.pdf","PDF")</f>
        <v>PDF</v>
      </c>
      <c r="K8567" s="12" t="s">
        <v>15265</v>
      </c>
      <c r="L8567" s="20">
        <v>0.45484949832775923</v>
      </c>
    </row>
    <row r="8568" spans="1:12" x14ac:dyDescent="0.45">
      <c r="A8568" s="12" t="s">
        <v>15223</v>
      </c>
      <c r="B8568" s="12" t="s">
        <v>42</v>
      </c>
      <c r="C8568" s="13" t="s">
        <v>43</v>
      </c>
      <c r="D8568" s="13" t="s">
        <v>179</v>
      </c>
      <c r="E8568" s="12" t="s">
        <v>16</v>
      </c>
      <c r="F8568" s="14">
        <v>320000</v>
      </c>
      <c r="G8568" s="14">
        <v>262500</v>
      </c>
      <c r="H8568" s="13" t="s">
        <v>15266</v>
      </c>
      <c r="I8568" s="40" t="s">
        <v>18</v>
      </c>
      <c r="J8568" s="40" t="str">
        <f>HYPERLINK("https://stock.pstatic.net/stock-research/company/64/20251014_company_201446000.pdf","PDF")</f>
        <v>PDF</v>
      </c>
      <c r="K8568" s="12" t="s">
        <v>15267</v>
      </c>
      <c r="L8568" s="20">
        <v>0.21904761904761899</v>
      </c>
    </row>
    <row r="8569" spans="1:12" x14ac:dyDescent="0.45">
      <c r="A8569" s="12" t="s">
        <v>15223</v>
      </c>
      <c r="B8569" s="12" t="s">
        <v>2378</v>
      </c>
      <c r="C8569" s="13" t="s">
        <v>2379</v>
      </c>
      <c r="D8569" s="13" t="s">
        <v>23</v>
      </c>
      <c r="E8569" s="12" t="s">
        <v>16</v>
      </c>
      <c r="F8569" s="14">
        <v>430000</v>
      </c>
      <c r="G8569" s="14">
        <v>360000</v>
      </c>
      <c r="H8569" s="13" t="s">
        <v>15268</v>
      </c>
      <c r="I8569" s="40" t="s">
        <v>18</v>
      </c>
      <c r="J8569" s="40" t="str">
        <f>HYPERLINK("https://stock.pstatic.net/stock-research/company/21/20251014_company_377451000.pdf","PDF")</f>
        <v>PDF</v>
      </c>
      <c r="K8569" s="12" t="s">
        <v>15269</v>
      </c>
      <c r="L8569" s="20">
        <v>0.19444444444444439</v>
      </c>
    </row>
    <row r="8570" spans="1:12" x14ac:dyDescent="0.45">
      <c r="A8570" s="12" t="s">
        <v>15223</v>
      </c>
      <c r="B8570" s="12" t="s">
        <v>1686</v>
      </c>
      <c r="C8570" s="13" t="s">
        <v>1687</v>
      </c>
      <c r="D8570" s="13" t="s">
        <v>23</v>
      </c>
      <c r="E8570" s="12" t="s">
        <v>16</v>
      </c>
      <c r="F8570" s="14">
        <v>1650000</v>
      </c>
      <c r="G8570" s="14">
        <v>1429000</v>
      </c>
      <c r="H8570" s="13" t="s">
        <v>15270</v>
      </c>
      <c r="I8570" s="40" t="s">
        <v>18</v>
      </c>
      <c r="J8570" s="40" t="str">
        <f>HYPERLINK("https://stock.pstatic.net/stock-research/company/21/20251014_company_205273000.pdf","PDF")</f>
        <v>PDF</v>
      </c>
      <c r="K8570" s="12" t="s">
        <v>15271</v>
      </c>
      <c r="L8570" s="20">
        <v>0.15465360391882441</v>
      </c>
    </row>
    <row r="8571" spans="1:12" x14ac:dyDescent="0.45">
      <c r="A8571" s="12" t="s">
        <v>15223</v>
      </c>
      <c r="B8571" s="12" t="s">
        <v>1765</v>
      </c>
      <c r="C8571" s="13" t="s">
        <v>1766</v>
      </c>
      <c r="D8571" s="13" t="s">
        <v>179</v>
      </c>
      <c r="E8571" s="12" t="s">
        <v>16</v>
      </c>
      <c r="F8571" s="14">
        <v>125000</v>
      </c>
      <c r="G8571" s="14">
        <v>101100</v>
      </c>
      <c r="H8571" s="13" t="s">
        <v>15272</v>
      </c>
      <c r="I8571" s="40" t="s">
        <v>18</v>
      </c>
      <c r="J8571" s="40" t="str">
        <f>HYPERLINK("https://stock.pstatic.net/stock-research/company/64/20251014_company_717231000.pdf","PDF")</f>
        <v>PDF</v>
      </c>
      <c r="K8571" s="12" t="s">
        <v>15273</v>
      </c>
      <c r="L8571" s="20">
        <v>0.23639960435212659</v>
      </c>
    </row>
    <row r="8572" spans="1:12" x14ac:dyDescent="0.45">
      <c r="A8572" s="12" t="s">
        <v>15223</v>
      </c>
      <c r="B8572" s="12" t="s">
        <v>1781</v>
      </c>
      <c r="C8572" s="13" t="s">
        <v>1782</v>
      </c>
      <c r="D8572" s="13" t="s">
        <v>34</v>
      </c>
      <c r="E8572" s="12" t="s">
        <v>35</v>
      </c>
      <c r="F8572" s="14">
        <v>95000</v>
      </c>
      <c r="G8572" s="14">
        <v>81000</v>
      </c>
      <c r="H8572" s="13" t="s">
        <v>15274</v>
      </c>
      <c r="I8572" s="40" t="s">
        <v>18</v>
      </c>
      <c r="J8572" s="40" t="str">
        <f>HYPERLINK("https://stock.pstatic.net/stock-research/company/61/20251014_company_410099000.pdf","PDF")</f>
        <v>PDF</v>
      </c>
      <c r="K8572" s="12" t="s">
        <v>15275</v>
      </c>
      <c r="L8572" s="20">
        <v>0.1728395061728395</v>
      </c>
    </row>
    <row r="8573" spans="1:12" x14ac:dyDescent="0.45">
      <c r="A8573" s="12" t="s">
        <v>15223</v>
      </c>
      <c r="B8573" s="12" t="s">
        <v>1930</v>
      </c>
      <c r="C8573" s="13" t="s">
        <v>1931</v>
      </c>
      <c r="D8573" s="13" t="s">
        <v>23</v>
      </c>
      <c r="E8573" s="12" t="s">
        <v>16</v>
      </c>
      <c r="F8573" s="14">
        <v>320000</v>
      </c>
      <c r="G8573" s="14">
        <v>233500</v>
      </c>
      <c r="H8573" s="13" t="s">
        <v>15276</v>
      </c>
      <c r="I8573" s="40" t="s">
        <v>18</v>
      </c>
      <c r="J8573" s="40" t="str">
        <f>HYPERLINK("https://stock.pstatic.net/stock-research/company/21/20251014_company_117815000.pdf","PDF")</f>
        <v>PDF</v>
      </c>
      <c r="K8573" s="12" t="s">
        <v>15277</v>
      </c>
      <c r="L8573" s="20">
        <v>0.37044967880085661</v>
      </c>
    </row>
    <row r="8574" spans="1:12" x14ac:dyDescent="0.45">
      <c r="A8574" s="12" t="s">
        <v>15223</v>
      </c>
      <c r="B8574" s="12" t="s">
        <v>2522</v>
      </c>
      <c r="C8574" s="13" t="s">
        <v>2523</v>
      </c>
      <c r="D8574" s="13" t="s">
        <v>92</v>
      </c>
      <c r="E8574" s="12" t="s">
        <v>35</v>
      </c>
      <c r="F8574" s="14">
        <v>460000</v>
      </c>
      <c r="G8574" s="14">
        <v>303500</v>
      </c>
      <c r="H8574" s="13" t="s">
        <v>15278</v>
      </c>
      <c r="I8574" s="40" t="s">
        <v>18</v>
      </c>
      <c r="J8574" s="40" t="str">
        <f>HYPERLINK("https://stock.pstatic.net/stock-research/company/63/20251014_company_962527000.pdf","PDF")</f>
        <v>PDF</v>
      </c>
      <c r="K8574" s="12" t="s">
        <v>15279</v>
      </c>
      <c r="L8574" s="20">
        <v>0.51565074135090605</v>
      </c>
    </row>
    <row r="8575" spans="1:12" x14ac:dyDescent="0.45">
      <c r="A8575" s="12" t="s">
        <v>15223</v>
      </c>
      <c r="B8575" s="12" t="s">
        <v>2378</v>
      </c>
      <c r="C8575" s="13" t="s">
        <v>2379</v>
      </c>
      <c r="D8575" s="13" t="s">
        <v>92</v>
      </c>
      <c r="E8575" s="12" t="s">
        <v>35</v>
      </c>
      <c r="F8575" s="14">
        <v>430000</v>
      </c>
      <c r="G8575" s="14">
        <v>360000</v>
      </c>
      <c r="H8575" s="13" t="s">
        <v>15280</v>
      </c>
      <c r="I8575" s="40" t="s">
        <v>18</v>
      </c>
      <c r="J8575" s="40" t="str">
        <f>HYPERLINK("https://stock.pstatic.net/stock-research/company/63/20251014_company_747482000.pdf","PDF")</f>
        <v>PDF</v>
      </c>
      <c r="K8575" s="12" t="s">
        <v>15281</v>
      </c>
      <c r="L8575" s="20">
        <v>0.19444444444444439</v>
      </c>
    </row>
    <row r="8576" spans="1:12" x14ac:dyDescent="0.45">
      <c r="A8576" s="12" t="s">
        <v>15223</v>
      </c>
      <c r="B8576" s="12" t="s">
        <v>2378</v>
      </c>
      <c r="C8576" s="13" t="s">
        <v>2379</v>
      </c>
      <c r="D8576" s="13" t="s">
        <v>34</v>
      </c>
      <c r="E8576" s="12" t="s">
        <v>35</v>
      </c>
      <c r="F8576" s="14">
        <v>450000</v>
      </c>
      <c r="G8576" s="14">
        <v>360000</v>
      </c>
      <c r="H8576" s="13" t="s">
        <v>15282</v>
      </c>
      <c r="I8576" s="40" t="s">
        <v>18</v>
      </c>
      <c r="J8576" s="40" t="str">
        <f>HYPERLINK("https://stock.pstatic.net/stock-research/company/61/20251014_company_245967000.pdf","PDF")</f>
        <v>PDF</v>
      </c>
      <c r="K8576" s="12" t="s">
        <v>15283</v>
      </c>
      <c r="L8576" s="20">
        <v>0.25</v>
      </c>
    </row>
    <row r="8577" spans="1:12" x14ac:dyDescent="0.45">
      <c r="A8577" s="12" t="s">
        <v>15223</v>
      </c>
      <c r="B8577" s="12" t="s">
        <v>1308</v>
      </c>
      <c r="C8577" s="13" t="s">
        <v>1309</v>
      </c>
      <c r="D8577" s="13" t="s">
        <v>23</v>
      </c>
      <c r="E8577" s="12" t="s">
        <v>16</v>
      </c>
      <c r="F8577" s="14">
        <v>520000</v>
      </c>
      <c r="G8577" s="14">
        <v>442500</v>
      </c>
      <c r="H8577" s="13" t="s">
        <v>15284</v>
      </c>
      <c r="I8577" s="40" t="s">
        <v>18</v>
      </c>
      <c r="J8577" s="40" t="str">
        <f>HYPERLINK("https://stock.pstatic.net/stock-research/company/21/20251014_company_46055000.pdf","PDF")</f>
        <v>PDF</v>
      </c>
      <c r="K8577" s="12" t="s">
        <v>15285</v>
      </c>
      <c r="L8577" s="20">
        <v>0.1751412429378531</v>
      </c>
    </row>
    <row r="8578" spans="1:12" x14ac:dyDescent="0.45">
      <c r="A8578" s="12" t="s">
        <v>15223</v>
      </c>
      <c r="B8578" s="12" t="s">
        <v>1773</v>
      </c>
      <c r="C8578" s="13" t="s">
        <v>1774</v>
      </c>
      <c r="D8578" s="13" t="s">
        <v>23</v>
      </c>
      <c r="E8578" s="12" t="s">
        <v>16</v>
      </c>
      <c r="F8578" s="14">
        <v>115000</v>
      </c>
      <c r="G8578" s="14">
        <v>82800</v>
      </c>
      <c r="H8578" s="13" t="s">
        <v>15286</v>
      </c>
      <c r="I8578" s="40" t="s">
        <v>18</v>
      </c>
      <c r="J8578" s="40" t="str">
        <f>HYPERLINK("https://stock.pstatic.net/stock-research/company/21/20251014_company_234173000.pdf","PDF")</f>
        <v>PDF</v>
      </c>
      <c r="K8578" s="12" t="s">
        <v>15287</v>
      </c>
      <c r="L8578" s="20">
        <v>0.3888888888888889</v>
      </c>
    </row>
    <row r="8579" spans="1:12" x14ac:dyDescent="0.45">
      <c r="A8579" s="12" t="s">
        <v>15223</v>
      </c>
      <c r="B8579" s="12" t="s">
        <v>2378</v>
      </c>
      <c r="C8579" s="13" t="s">
        <v>2379</v>
      </c>
      <c r="D8579" s="13" t="s">
        <v>44</v>
      </c>
      <c r="E8579" s="12" t="s">
        <v>50</v>
      </c>
      <c r="F8579" s="13"/>
      <c r="G8579" s="13"/>
      <c r="H8579" s="13" t="s">
        <v>15288</v>
      </c>
      <c r="I8579" s="40" t="s">
        <v>18</v>
      </c>
      <c r="J8579" s="40" t="str">
        <f>HYPERLINK("https://stock.pstatic.net/stock-research/company/39/20251014_company_740107000.pdf","PDF")</f>
        <v>PDF</v>
      </c>
      <c r="K8579" s="12" t="s">
        <v>15289</v>
      </c>
    </row>
    <row r="8580" spans="1:12" x14ac:dyDescent="0.45">
      <c r="A8580" s="12" t="s">
        <v>15223</v>
      </c>
      <c r="B8580" s="12" t="s">
        <v>222</v>
      </c>
      <c r="C8580" s="13" t="s">
        <v>223</v>
      </c>
      <c r="D8580" s="13" t="s">
        <v>124</v>
      </c>
      <c r="E8580" s="12" t="s">
        <v>50</v>
      </c>
      <c r="F8580" s="13"/>
      <c r="G8580" s="13"/>
      <c r="H8580" s="13" t="s">
        <v>15290</v>
      </c>
      <c r="I8580" s="40" t="s">
        <v>18</v>
      </c>
      <c r="J8580" s="40" t="str">
        <f>HYPERLINK("https://stock.pstatic.net/stock-research/company/74/20251014_company_384683000.pdf","PDF")</f>
        <v>PDF</v>
      </c>
      <c r="K8580" s="12" t="s">
        <v>15291</v>
      </c>
    </row>
    <row r="8581" spans="1:12" x14ac:dyDescent="0.45">
      <c r="A8581" s="12" t="s">
        <v>15223</v>
      </c>
      <c r="B8581" s="12" t="s">
        <v>15292</v>
      </c>
      <c r="C8581" s="13" t="s">
        <v>15293</v>
      </c>
      <c r="D8581" s="13" t="s">
        <v>124</v>
      </c>
      <c r="E8581" s="12" t="s">
        <v>50</v>
      </c>
      <c r="F8581" s="13"/>
      <c r="G8581" s="13"/>
      <c r="H8581" s="13" t="s">
        <v>15294</v>
      </c>
      <c r="I8581" s="40" t="s">
        <v>18</v>
      </c>
      <c r="J8581" s="40" t="str">
        <f>HYPERLINK("https://stock.pstatic.net/stock-research/company/74/20251015_company_887263000.pdf","PDF")</f>
        <v>PDF</v>
      </c>
      <c r="K8581" s="12" t="s">
        <v>15295</v>
      </c>
    </row>
    <row r="8582" spans="1:12" x14ac:dyDescent="0.45">
      <c r="A8582" s="12" t="s">
        <v>15223</v>
      </c>
      <c r="B8582" s="12" t="s">
        <v>581</v>
      </c>
      <c r="C8582" s="13" t="s">
        <v>582</v>
      </c>
      <c r="D8582" s="13" t="s">
        <v>124</v>
      </c>
      <c r="E8582" s="12" t="s">
        <v>50</v>
      </c>
      <c r="F8582" s="13"/>
      <c r="G8582" s="13"/>
      <c r="H8582" s="13" t="s">
        <v>15296</v>
      </c>
      <c r="I8582" s="40" t="s">
        <v>18</v>
      </c>
      <c r="J8582" s="40" t="str">
        <f>HYPERLINK("https://stock.pstatic.net/stock-research/company/74/20251014_company_329887000.pdf","PDF")</f>
        <v>PDF</v>
      </c>
      <c r="K8582" s="12" t="s">
        <v>15297</v>
      </c>
    </row>
    <row r="8583" spans="1:12" x14ac:dyDescent="0.45">
      <c r="A8583" s="12" t="s">
        <v>15223</v>
      </c>
      <c r="B8583" s="12" t="s">
        <v>334</v>
      </c>
      <c r="C8583" s="13" t="s">
        <v>335</v>
      </c>
      <c r="D8583" s="13" t="s">
        <v>15</v>
      </c>
      <c r="E8583" s="12" t="s">
        <v>16</v>
      </c>
      <c r="F8583" s="14">
        <v>520000</v>
      </c>
      <c r="G8583" s="14">
        <v>428000</v>
      </c>
      <c r="H8583" s="13" t="s">
        <v>15298</v>
      </c>
      <c r="I8583" s="40" t="s">
        <v>18</v>
      </c>
      <c r="J8583" s="40" t="str">
        <f>HYPERLINK("https://stock.pstatic.net/stock-research/company/29/20251014_company_160985000.pdf","PDF")</f>
        <v>PDF</v>
      </c>
      <c r="K8583" s="12" t="s">
        <v>15299</v>
      </c>
      <c r="L8583" s="20">
        <v>0.21495327102803741</v>
      </c>
    </row>
    <row r="8584" spans="1:12" x14ac:dyDescent="0.45">
      <c r="A8584" s="12" t="s">
        <v>15300</v>
      </c>
      <c r="B8584" s="12" t="s">
        <v>3154</v>
      </c>
      <c r="C8584" s="13" t="s">
        <v>3155</v>
      </c>
      <c r="D8584" s="13" t="s">
        <v>23</v>
      </c>
      <c r="E8584" s="12" t="s">
        <v>16</v>
      </c>
      <c r="F8584" s="14">
        <v>6400</v>
      </c>
      <c r="G8584" s="14">
        <v>4555</v>
      </c>
      <c r="H8584" s="13" t="s">
        <v>15301</v>
      </c>
      <c r="I8584" s="40" t="s">
        <v>18</v>
      </c>
      <c r="J8584" s="40" t="str">
        <f>HYPERLINK("https://stock.pstatic.net/stock-research/company/21/20251013_company_467065000.pdf","PDF")</f>
        <v>PDF</v>
      </c>
      <c r="K8584" s="12" t="s">
        <v>15302</v>
      </c>
      <c r="L8584" s="20">
        <v>0.40504939626783748</v>
      </c>
    </row>
    <row r="8585" spans="1:12" x14ac:dyDescent="0.45">
      <c r="A8585" s="12" t="s">
        <v>15300</v>
      </c>
      <c r="B8585" s="12" t="s">
        <v>3831</v>
      </c>
      <c r="C8585" s="13" t="s">
        <v>3832</v>
      </c>
      <c r="D8585" s="13" t="s">
        <v>23</v>
      </c>
      <c r="E8585" s="12" t="s">
        <v>16</v>
      </c>
      <c r="F8585" s="14">
        <v>49000</v>
      </c>
      <c r="G8585" s="14">
        <v>32850</v>
      </c>
      <c r="H8585" s="13" t="s">
        <v>15303</v>
      </c>
      <c r="I8585" s="40" t="s">
        <v>18</v>
      </c>
      <c r="J8585" s="40" t="str">
        <f>HYPERLINK("https://stock.pstatic.net/stock-research/company/21/20251013_company_989787000.pdf","PDF")</f>
        <v>PDF</v>
      </c>
      <c r="K8585" s="12" t="s">
        <v>15304</v>
      </c>
      <c r="L8585" s="20">
        <v>0.49162861491628612</v>
      </c>
    </row>
    <row r="8586" spans="1:12" x14ac:dyDescent="0.45">
      <c r="A8586" s="12" t="s">
        <v>15300</v>
      </c>
      <c r="B8586" s="12" t="s">
        <v>3548</v>
      </c>
      <c r="C8586" s="13" t="s">
        <v>3549</v>
      </c>
      <c r="D8586" s="13" t="s">
        <v>23</v>
      </c>
      <c r="E8586" s="12" t="s">
        <v>16</v>
      </c>
      <c r="F8586" s="14">
        <v>59000</v>
      </c>
      <c r="G8586" s="14">
        <v>48500</v>
      </c>
      <c r="H8586" s="13" t="s">
        <v>15305</v>
      </c>
      <c r="I8586" s="40" t="s">
        <v>18</v>
      </c>
      <c r="J8586" s="40" t="str">
        <f>HYPERLINK("https://stock.pstatic.net/stock-research/company/21/20251013_company_137754000.pdf","PDF")</f>
        <v>PDF</v>
      </c>
      <c r="K8586" s="12" t="s">
        <v>15306</v>
      </c>
      <c r="L8586" s="20">
        <v>0.21649484536082481</v>
      </c>
    </row>
    <row r="8587" spans="1:12" x14ac:dyDescent="0.45">
      <c r="A8587" s="12" t="s">
        <v>15300</v>
      </c>
      <c r="B8587" s="12" t="s">
        <v>3749</v>
      </c>
      <c r="C8587" s="13" t="s">
        <v>3750</v>
      </c>
      <c r="D8587" s="13" t="s">
        <v>57</v>
      </c>
      <c r="E8587" s="12" t="s">
        <v>35</v>
      </c>
      <c r="F8587" s="14">
        <v>200000</v>
      </c>
      <c r="G8587" s="14">
        <v>163800</v>
      </c>
      <c r="H8587" s="13" t="s">
        <v>15307</v>
      </c>
      <c r="I8587" s="40" t="s">
        <v>18</v>
      </c>
      <c r="J8587" s="40" t="str">
        <f>HYPERLINK("https://stock.pstatic.net/stock-research/company/16/20251013_company_93245000.pdf","PDF")</f>
        <v>PDF</v>
      </c>
      <c r="K8587" s="12" t="s">
        <v>15308</v>
      </c>
      <c r="L8587" s="20">
        <v>0.22100122100122099</v>
      </c>
    </row>
    <row r="8588" spans="1:12" x14ac:dyDescent="0.45">
      <c r="A8588" s="12" t="s">
        <v>15300</v>
      </c>
      <c r="B8588" s="12" t="s">
        <v>259</v>
      </c>
      <c r="C8588" s="13" t="s">
        <v>260</v>
      </c>
      <c r="D8588" s="13" t="s">
        <v>57</v>
      </c>
      <c r="E8588" s="12" t="s">
        <v>35</v>
      </c>
      <c r="F8588" s="14">
        <v>100000</v>
      </c>
      <c r="G8588" s="14">
        <v>75100</v>
      </c>
      <c r="H8588" s="13" t="s">
        <v>15309</v>
      </c>
      <c r="I8588" s="40" t="s">
        <v>18</v>
      </c>
      <c r="J8588" s="40" t="str">
        <f>HYPERLINK("https://stock.pstatic.net/stock-research/company/16/20251013_company_708158000.pdf","PDF")</f>
        <v>PDF</v>
      </c>
      <c r="K8588" s="12" t="s">
        <v>15310</v>
      </c>
      <c r="L8588" s="20">
        <v>0.33155792276964052</v>
      </c>
    </row>
    <row r="8589" spans="1:12" x14ac:dyDescent="0.45">
      <c r="A8589" s="12" t="s">
        <v>15300</v>
      </c>
      <c r="B8589" s="12" t="s">
        <v>3105</v>
      </c>
      <c r="C8589" s="13" t="s">
        <v>3106</v>
      </c>
      <c r="D8589" s="13" t="s">
        <v>57</v>
      </c>
      <c r="E8589" s="12" t="s">
        <v>35</v>
      </c>
      <c r="F8589" s="14">
        <v>360000</v>
      </c>
      <c r="G8589" s="14">
        <v>272500</v>
      </c>
      <c r="H8589" s="13" t="s">
        <v>15311</v>
      </c>
      <c r="I8589" s="40" t="s">
        <v>18</v>
      </c>
      <c r="J8589" s="40" t="str">
        <f>HYPERLINK("https://stock.pstatic.net/stock-research/company/16/20251013_company_105385000.pdf","PDF")</f>
        <v>PDF</v>
      </c>
      <c r="K8589" s="12" t="s">
        <v>15312</v>
      </c>
      <c r="L8589" s="20">
        <v>0.32110091743119268</v>
      </c>
    </row>
    <row r="8590" spans="1:12" x14ac:dyDescent="0.45">
      <c r="A8590" s="12" t="s">
        <v>15300</v>
      </c>
      <c r="B8590" s="12" t="s">
        <v>370</v>
      </c>
      <c r="C8590" s="13" t="s">
        <v>371</v>
      </c>
      <c r="D8590" s="13" t="s">
        <v>57</v>
      </c>
      <c r="E8590" s="12" t="s">
        <v>35</v>
      </c>
      <c r="F8590" s="14">
        <v>130000</v>
      </c>
      <c r="G8590" s="14">
        <v>99600</v>
      </c>
      <c r="H8590" s="13" t="s">
        <v>15313</v>
      </c>
      <c r="I8590" s="40" t="s">
        <v>18</v>
      </c>
      <c r="J8590" s="40" t="str">
        <f>HYPERLINK("https://stock.pstatic.net/stock-research/company/16/20251013_company_229064000.pdf","PDF")</f>
        <v>PDF</v>
      </c>
      <c r="K8590" s="12" t="s">
        <v>15314</v>
      </c>
      <c r="L8590" s="20">
        <v>0.30522088353413662</v>
      </c>
    </row>
    <row r="8591" spans="1:12" x14ac:dyDescent="0.45">
      <c r="A8591" s="12" t="s">
        <v>15300</v>
      </c>
      <c r="B8591" s="12" t="s">
        <v>2982</v>
      </c>
      <c r="C8591" s="13" t="s">
        <v>2983</v>
      </c>
      <c r="D8591" s="13" t="s">
        <v>57</v>
      </c>
      <c r="E8591" s="12" t="s">
        <v>35</v>
      </c>
      <c r="F8591" s="14">
        <v>62000</v>
      </c>
      <c r="G8591" s="14">
        <v>41700</v>
      </c>
      <c r="H8591" s="13" t="s">
        <v>15315</v>
      </c>
      <c r="I8591" s="40" t="s">
        <v>18</v>
      </c>
      <c r="J8591" s="40" t="str">
        <f>HYPERLINK("https://stock.pstatic.net/stock-research/company/16/20251013_company_78372000.pdf","PDF")</f>
        <v>PDF</v>
      </c>
      <c r="K8591" s="12" t="s">
        <v>15316</v>
      </c>
      <c r="L8591" s="20">
        <v>0.48681055155875302</v>
      </c>
    </row>
    <row r="8592" spans="1:12" x14ac:dyDescent="0.45">
      <c r="A8592" s="12" t="s">
        <v>15300</v>
      </c>
      <c r="B8592" s="12" t="s">
        <v>1765</v>
      </c>
      <c r="C8592" s="13" t="s">
        <v>1766</v>
      </c>
      <c r="D8592" s="13" t="s">
        <v>60</v>
      </c>
      <c r="E8592" s="12" t="s">
        <v>35</v>
      </c>
      <c r="F8592" s="14">
        <v>123000</v>
      </c>
      <c r="G8592" s="14">
        <v>100600</v>
      </c>
      <c r="H8592" s="13" t="s">
        <v>15317</v>
      </c>
      <c r="I8592" s="40" t="s">
        <v>18</v>
      </c>
      <c r="J8592" s="40" t="str">
        <f>HYPERLINK("https://stock.pstatic.net/stock-research/company/34/20251013_company_884450000.pdf","PDF")</f>
        <v>PDF</v>
      </c>
      <c r="K8592" s="12" t="s">
        <v>15318</v>
      </c>
      <c r="L8592" s="20">
        <v>0.2226640159045726</v>
      </c>
    </row>
    <row r="8593" spans="1:12" x14ac:dyDescent="0.45">
      <c r="A8593" s="12" t="s">
        <v>15300</v>
      </c>
      <c r="B8593" s="12" t="s">
        <v>519</v>
      </c>
      <c r="C8593" s="13" t="s">
        <v>520</v>
      </c>
      <c r="D8593" s="13" t="s">
        <v>60</v>
      </c>
      <c r="E8593" s="12" t="s">
        <v>35</v>
      </c>
      <c r="F8593" s="14">
        <v>270000</v>
      </c>
      <c r="G8593" s="14">
        <v>217000</v>
      </c>
      <c r="H8593" s="13" t="s">
        <v>15319</v>
      </c>
      <c r="I8593" s="40" t="s">
        <v>18</v>
      </c>
      <c r="J8593" s="40" t="str">
        <f>HYPERLINK("https://stock.pstatic.net/stock-research/company/34/20251013_company_566109000.pdf","PDF")</f>
        <v>PDF</v>
      </c>
      <c r="K8593" s="12" t="s">
        <v>15320</v>
      </c>
      <c r="L8593" s="20">
        <v>0.2442396313364055</v>
      </c>
    </row>
    <row r="8594" spans="1:12" x14ac:dyDescent="0.45">
      <c r="A8594" s="12" t="s">
        <v>15300</v>
      </c>
      <c r="B8594" s="12" t="s">
        <v>1270</v>
      </c>
      <c r="C8594" s="13" t="s">
        <v>1271</v>
      </c>
      <c r="D8594" s="13" t="s">
        <v>65</v>
      </c>
      <c r="E8594" s="12" t="s">
        <v>35</v>
      </c>
      <c r="F8594" s="14">
        <v>100000</v>
      </c>
      <c r="G8594" s="14">
        <v>73300</v>
      </c>
      <c r="H8594" s="13" t="s">
        <v>15321</v>
      </c>
      <c r="I8594" s="40" t="s">
        <v>18</v>
      </c>
      <c r="J8594" s="40" t="str">
        <f>HYPERLINK("https://stock.pstatic.net/stock-research/company/57/20251013_company_915992000.pdf","PDF")</f>
        <v>PDF</v>
      </c>
      <c r="K8594" s="12" t="s">
        <v>15322</v>
      </c>
      <c r="L8594" s="20">
        <v>0.36425648021828111</v>
      </c>
    </row>
    <row r="8595" spans="1:12" x14ac:dyDescent="0.45">
      <c r="A8595" s="12" t="s">
        <v>15300</v>
      </c>
      <c r="B8595" s="12" t="s">
        <v>352</v>
      </c>
      <c r="C8595" s="13" t="s">
        <v>353</v>
      </c>
      <c r="D8595" s="13" t="s">
        <v>65</v>
      </c>
      <c r="E8595" s="12" t="s">
        <v>35</v>
      </c>
      <c r="F8595" s="14">
        <v>270000</v>
      </c>
      <c r="G8595" s="14">
        <v>220000</v>
      </c>
      <c r="H8595" s="13" t="s">
        <v>15323</v>
      </c>
      <c r="I8595" s="40" t="s">
        <v>18</v>
      </c>
      <c r="J8595" s="40" t="str">
        <f>HYPERLINK("https://stock.pstatic.net/stock-research/company/57/20251013_company_862272000.pdf","PDF")</f>
        <v>PDF</v>
      </c>
      <c r="K8595" s="12" t="s">
        <v>15324</v>
      </c>
      <c r="L8595" s="20">
        <v>0.22727272727272729</v>
      </c>
    </row>
    <row r="8596" spans="1:12" x14ac:dyDescent="0.45">
      <c r="A8596" s="12" t="s">
        <v>15300</v>
      </c>
      <c r="B8596" s="12" t="s">
        <v>2758</v>
      </c>
      <c r="C8596" s="13" t="s">
        <v>2759</v>
      </c>
      <c r="D8596" s="13" t="s">
        <v>65</v>
      </c>
      <c r="E8596" s="12" t="s">
        <v>35</v>
      </c>
      <c r="F8596" s="14">
        <v>740000</v>
      </c>
      <c r="G8596" s="14">
        <v>263000</v>
      </c>
      <c r="H8596" s="13" t="s">
        <v>15325</v>
      </c>
      <c r="I8596" s="40" t="s">
        <v>18</v>
      </c>
      <c r="J8596" s="40" t="str">
        <f>HYPERLINK("https://stock.pstatic.net/stock-research/company/57/20251013_company_860576000.pdf","PDF")</f>
        <v>PDF</v>
      </c>
      <c r="K8596" s="12" t="s">
        <v>15326</v>
      </c>
      <c r="L8596" s="20">
        <v>1.8136882129277569</v>
      </c>
    </row>
    <row r="8597" spans="1:12" x14ac:dyDescent="0.45">
      <c r="A8597" s="12" t="s">
        <v>15300</v>
      </c>
      <c r="B8597" s="12" t="s">
        <v>3488</v>
      </c>
      <c r="C8597" s="13" t="s">
        <v>3489</v>
      </c>
      <c r="D8597" s="13" t="s">
        <v>65</v>
      </c>
      <c r="E8597" s="12" t="s">
        <v>35</v>
      </c>
      <c r="F8597" s="14">
        <v>30000</v>
      </c>
      <c r="G8597" s="14">
        <v>25350</v>
      </c>
      <c r="H8597" s="13" t="s">
        <v>15327</v>
      </c>
      <c r="I8597" s="40" t="s">
        <v>18</v>
      </c>
      <c r="J8597" s="40" t="str">
        <f>HYPERLINK("https://stock.pstatic.net/stock-research/company/57/20251013_company_752947000.pdf","PDF")</f>
        <v>PDF</v>
      </c>
      <c r="K8597" s="12" t="s">
        <v>15328</v>
      </c>
      <c r="L8597" s="20">
        <v>0.18343195266272189</v>
      </c>
    </row>
    <row r="8598" spans="1:12" x14ac:dyDescent="0.45">
      <c r="A8598" s="12" t="s">
        <v>15300</v>
      </c>
      <c r="B8598" s="12" t="s">
        <v>908</v>
      </c>
      <c r="C8598" s="13" t="s">
        <v>909</v>
      </c>
      <c r="D8598" s="13" t="s">
        <v>65</v>
      </c>
      <c r="E8598" s="12" t="s">
        <v>35</v>
      </c>
      <c r="F8598" s="14">
        <v>220000</v>
      </c>
      <c r="G8598" s="14">
        <v>169500</v>
      </c>
      <c r="H8598" s="13" t="s">
        <v>15329</v>
      </c>
      <c r="I8598" s="40" t="s">
        <v>18</v>
      </c>
      <c r="J8598" s="40" t="str">
        <f>HYPERLINK("https://stock.pstatic.net/stock-research/company/57/20251013_company_663779000.pdf","PDF")</f>
        <v>PDF</v>
      </c>
      <c r="K8598" s="12" t="s">
        <v>15330</v>
      </c>
      <c r="L8598" s="20">
        <v>0.29793510324483768</v>
      </c>
    </row>
    <row r="8599" spans="1:12" x14ac:dyDescent="0.45">
      <c r="A8599" s="12" t="s">
        <v>15300</v>
      </c>
      <c r="B8599" s="12" t="s">
        <v>541</v>
      </c>
      <c r="C8599" s="13" t="s">
        <v>542</v>
      </c>
      <c r="D8599" s="13" t="s">
        <v>65</v>
      </c>
      <c r="E8599" s="12" t="s">
        <v>35</v>
      </c>
      <c r="F8599" s="14">
        <v>70000</v>
      </c>
      <c r="G8599" s="14">
        <v>54600</v>
      </c>
      <c r="H8599" s="13" t="s">
        <v>15331</v>
      </c>
      <c r="I8599" s="40" t="s">
        <v>18</v>
      </c>
      <c r="J8599" s="40" t="str">
        <f>HYPERLINK("https://stock.pstatic.net/stock-research/company/57/20251013_company_835674000.pdf","PDF")</f>
        <v>PDF</v>
      </c>
      <c r="K8599" s="12" t="s">
        <v>15332</v>
      </c>
      <c r="L8599" s="20">
        <v>0.28205128205128199</v>
      </c>
    </row>
    <row r="8600" spans="1:12" x14ac:dyDescent="0.45">
      <c r="A8600" s="12" t="s">
        <v>15300</v>
      </c>
      <c r="B8600" s="12" t="s">
        <v>2187</v>
      </c>
      <c r="C8600" s="13" t="s">
        <v>2188</v>
      </c>
      <c r="D8600" s="13" t="s">
        <v>65</v>
      </c>
      <c r="E8600" s="12" t="s">
        <v>35</v>
      </c>
      <c r="F8600" s="14">
        <v>200000</v>
      </c>
      <c r="G8600" s="14">
        <v>112400</v>
      </c>
      <c r="H8600" s="13" t="s">
        <v>15333</v>
      </c>
      <c r="I8600" s="40" t="s">
        <v>18</v>
      </c>
      <c r="J8600" s="40" t="str">
        <f>HYPERLINK("https://stock.pstatic.net/stock-research/company/57/20251013_company_212869000.pdf","PDF")</f>
        <v>PDF</v>
      </c>
      <c r="K8600" s="12" t="s">
        <v>15334</v>
      </c>
      <c r="L8600" s="20">
        <v>0.77935943060498225</v>
      </c>
    </row>
    <row r="8601" spans="1:12" x14ac:dyDescent="0.45">
      <c r="A8601" s="12" t="s">
        <v>15300</v>
      </c>
      <c r="B8601" s="12" t="s">
        <v>2982</v>
      </c>
      <c r="C8601" s="13" t="s">
        <v>2983</v>
      </c>
      <c r="D8601" s="13" t="s">
        <v>65</v>
      </c>
      <c r="E8601" s="12" t="s">
        <v>35</v>
      </c>
      <c r="F8601" s="14">
        <v>55000</v>
      </c>
      <c r="G8601" s="14">
        <v>41700</v>
      </c>
      <c r="H8601" s="13" t="s">
        <v>15335</v>
      </c>
      <c r="I8601" s="40" t="s">
        <v>18</v>
      </c>
      <c r="J8601" s="40" t="str">
        <f>HYPERLINK("https://stock.pstatic.net/stock-research/company/57/20251013_company_133798000.pdf","PDF")</f>
        <v>PDF</v>
      </c>
      <c r="K8601" s="12" t="s">
        <v>15336</v>
      </c>
      <c r="L8601" s="20">
        <v>0.31894484412470031</v>
      </c>
    </row>
    <row r="8602" spans="1:12" x14ac:dyDescent="0.45">
      <c r="A8602" s="12" t="s">
        <v>15300</v>
      </c>
      <c r="B8602" s="12" t="s">
        <v>2191</v>
      </c>
      <c r="C8602" s="13" t="s">
        <v>2192</v>
      </c>
      <c r="D8602" s="13" t="s">
        <v>158</v>
      </c>
      <c r="E8602" s="12" t="s">
        <v>35</v>
      </c>
      <c r="F8602" s="14">
        <v>84000</v>
      </c>
      <c r="G8602" s="14">
        <v>67800</v>
      </c>
      <c r="H8602" s="13" t="s">
        <v>15337</v>
      </c>
      <c r="I8602" s="40" t="s">
        <v>18</v>
      </c>
      <c r="J8602" s="40" t="str">
        <f>HYPERLINK("https://stock.pstatic.net/stock-research/company/18/20251013_company_650667000.pdf","PDF")</f>
        <v>PDF</v>
      </c>
      <c r="K8602" s="12" t="s">
        <v>15338</v>
      </c>
      <c r="L8602" s="20">
        <v>0.23893805309734509</v>
      </c>
    </row>
    <row r="8603" spans="1:12" x14ac:dyDescent="0.45">
      <c r="A8603" s="12" t="s">
        <v>15300</v>
      </c>
      <c r="B8603" s="12" t="s">
        <v>740</v>
      </c>
      <c r="C8603" s="13" t="s">
        <v>741</v>
      </c>
      <c r="D8603" s="13" t="s">
        <v>158</v>
      </c>
      <c r="E8603" s="12" t="s">
        <v>35</v>
      </c>
      <c r="F8603" s="14">
        <v>230000</v>
      </c>
      <c r="G8603" s="14">
        <v>191800</v>
      </c>
      <c r="H8603" s="13" t="s">
        <v>15339</v>
      </c>
      <c r="I8603" s="40" t="s">
        <v>18</v>
      </c>
      <c r="J8603" s="40" t="str">
        <f>HYPERLINK("https://stock.pstatic.net/stock-research/company/18/20251013_company_322554000.pdf","PDF")</f>
        <v>PDF</v>
      </c>
      <c r="K8603" s="12" t="s">
        <v>15340</v>
      </c>
      <c r="L8603" s="20">
        <v>0.1991657977059437</v>
      </c>
    </row>
    <row r="8604" spans="1:12" x14ac:dyDescent="0.45">
      <c r="A8604" s="12" t="s">
        <v>15300</v>
      </c>
      <c r="B8604" s="12" t="s">
        <v>434</v>
      </c>
      <c r="C8604" s="13" t="s">
        <v>435</v>
      </c>
      <c r="D8604" s="13" t="s">
        <v>83</v>
      </c>
      <c r="E8604" s="12" t="s">
        <v>35</v>
      </c>
      <c r="F8604" s="14">
        <v>160000</v>
      </c>
      <c r="G8604" s="14">
        <v>119800</v>
      </c>
      <c r="H8604" s="13" t="s">
        <v>15341</v>
      </c>
      <c r="I8604" s="40" t="s">
        <v>18</v>
      </c>
      <c r="J8604" s="40" t="str">
        <f>HYPERLINK("https://stock.pstatic.net/stock-research/company/2/20251013_company_416267000.pdf","PDF")</f>
        <v>PDF</v>
      </c>
      <c r="K8604" s="12" t="s">
        <v>15342</v>
      </c>
      <c r="L8604" s="20">
        <v>0.335559265442404</v>
      </c>
    </row>
    <row r="8605" spans="1:12" x14ac:dyDescent="0.45">
      <c r="A8605" s="12" t="s">
        <v>15300</v>
      </c>
      <c r="B8605" s="12" t="s">
        <v>2650</v>
      </c>
      <c r="C8605" s="13" t="s">
        <v>2651</v>
      </c>
      <c r="D8605" s="13" t="s">
        <v>83</v>
      </c>
      <c r="E8605" s="12" t="s">
        <v>642</v>
      </c>
      <c r="F8605" s="14">
        <v>30000</v>
      </c>
      <c r="G8605" s="14">
        <v>23100</v>
      </c>
      <c r="H8605" s="13" t="s">
        <v>15343</v>
      </c>
      <c r="I8605" s="40" t="s">
        <v>18</v>
      </c>
      <c r="J8605" s="40" t="str">
        <f>HYPERLINK("https://stock.pstatic.net/stock-research/company/2/20251013_company_638435000.pdf","PDF")</f>
        <v>PDF</v>
      </c>
      <c r="K8605" s="12" t="s">
        <v>15344</v>
      </c>
      <c r="L8605" s="20">
        <v>0.29870129870129869</v>
      </c>
    </row>
    <row r="8606" spans="1:12" x14ac:dyDescent="0.45">
      <c r="A8606" s="12" t="s">
        <v>15300</v>
      </c>
      <c r="B8606" s="12" t="s">
        <v>434</v>
      </c>
      <c r="C8606" s="13" t="s">
        <v>435</v>
      </c>
      <c r="D8606" s="13" t="s">
        <v>92</v>
      </c>
      <c r="E8606" s="12" t="s">
        <v>35</v>
      </c>
      <c r="F8606" s="14">
        <v>160000</v>
      </c>
      <c r="G8606" s="14">
        <v>119800</v>
      </c>
      <c r="H8606" s="13" t="s">
        <v>15345</v>
      </c>
      <c r="I8606" s="40" t="s">
        <v>18</v>
      </c>
      <c r="J8606" s="40" t="str">
        <f>HYPERLINK("https://stock.pstatic.net/stock-research/company/63/20251013_company_535757000.pdf","PDF")</f>
        <v>PDF</v>
      </c>
      <c r="K8606" s="12" t="s">
        <v>15346</v>
      </c>
      <c r="L8606" s="20">
        <v>0.335559265442404</v>
      </c>
    </row>
    <row r="8607" spans="1:12" x14ac:dyDescent="0.45">
      <c r="A8607" s="12" t="s">
        <v>15300</v>
      </c>
      <c r="B8607" s="12" t="s">
        <v>1648</v>
      </c>
      <c r="C8607" s="13" t="s">
        <v>1649</v>
      </c>
      <c r="D8607" s="13" t="s">
        <v>15</v>
      </c>
      <c r="E8607" s="12" t="s">
        <v>16</v>
      </c>
      <c r="F8607" s="14">
        <v>180000</v>
      </c>
      <c r="G8607" s="14">
        <v>126300</v>
      </c>
      <c r="H8607" s="13" t="s">
        <v>15347</v>
      </c>
      <c r="I8607" s="40" t="s">
        <v>18</v>
      </c>
      <c r="J8607" s="40" t="str">
        <f>HYPERLINK("https://stock.pstatic.net/stock-research/company/29/20251013_company_783856000.pdf","PDF")</f>
        <v>PDF</v>
      </c>
      <c r="K8607" s="12" t="s">
        <v>15348</v>
      </c>
      <c r="L8607" s="20">
        <v>0.42517814726840852</v>
      </c>
    </row>
    <row r="8608" spans="1:12" x14ac:dyDescent="0.45">
      <c r="A8608" s="12" t="s">
        <v>15300</v>
      </c>
      <c r="B8608" s="12" t="s">
        <v>3105</v>
      </c>
      <c r="C8608" s="13" t="s">
        <v>3106</v>
      </c>
      <c r="D8608" s="13" t="s">
        <v>15</v>
      </c>
      <c r="E8608" s="12" t="s">
        <v>16</v>
      </c>
      <c r="F8608" s="14">
        <v>390000</v>
      </c>
      <c r="G8608" s="14">
        <v>272500</v>
      </c>
      <c r="H8608" s="13" t="s">
        <v>15349</v>
      </c>
      <c r="I8608" s="40" t="s">
        <v>18</v>
      </c>
      <c r="J8608" s="40" t="str">
        <f>HYPERLINK("https://stock.pstatic.net/stock-research/company/29/20251013_company_36967000.pdf","PDF")</f>
        <v>PDF</v>
      </c>
      <c r="K8608" s="12" t="s">
        <v>15350</v>
      </c>
      <c r="L8608" s="20">
        <v>0.43119266055045868</v>
      </c>
    </row>
    <row r="8609" spans="1:12" x14ac:dyDescent="0.45">
      <c r="A8609" s="12" t="s">
        <v>15300</v>
      </c>
      <c r="B8609" s="12" t="s">
        <v>1656</v>
      </c>
      <c r="C8609" s="13" t="s">
        <v>1657</v>
      </c>
      <c r="D8609" s="13" t="s">
        <v>92</v>
      </c>
      <c r="E8609" s="12" t="s">
        <v>35</v>
      </c>
      <c r="F8609" s="14">
        <v>230000</v>
      </c>
      <c r="G8609" s="14">
        <v>177500</v>
      </c>
      <c r="H8609" s="13" t="s">
        <v>15351</v>
      </c>
      <c r="I8609" s="40" t="s">
        <v>18</v>
      </c>
      <c r="J8609" s="40" t="str">
        <f>HYPERLINK("https://stock.pstatic.net/stock-research/company/63/20251013_company_317556000.pdf","PDF")</f>
        <v>PDF</v>
      </c>
      <c r="K8609" s="12" t="s">
        <v>15352</v>
      </c>
      <c r="L8609" s="20">
        <v>0.29577464788732388</v>
      </c>
    </row>
    <row r="8610" spans="1:12" x14ac:dyDescent="0.45">
      <c r="A8610" s="12" t="s">
        <v>15300</v>
      </c>
      <c r="B8610" s="12" t="s">
        <v>132</v>
      </c>
      <c r="C8610" s="13" t="s">
        <v>133</v>
      </c>
      <c r="D8610" s="13" t="s">
        <v>92</v>
      </c>
      <c r="E8610" s="12" t="s">
        <v>35</v>
      </c>
      <c r="F8610" s="14">
        <v>115000</v>
      </c>
      <c r="G8610" s="14">
        <v>82600</v>
      </c>
      <c r="H8610" s="13" t="s">
        <v>15353</v>
      </c>
      <c r="I8610" s="40" t="s">
        <v>18</v>
      </c>
      <c r="J8610" s="40" t="str">
        <f>HYPERLINK("https://stock.pstatic.net/stock-research/company/63/20251013_company_491653000.pdf","PDF")</f>
        <v>PDF</v>
      </c>
      <c r="K8610" s="12" t="s">
        <v>15354</v>
      </c>
      <c r="L8610" s="20">
        <v>0.39225181598062953</v>
      </c>
    </row>
    <row r="8611" spans="1:12" x14ac:dyDescent="0.45">
      <c r="A8611" s="12" t="s">
        <v>15300</v>
      </c>
      <c r="B8611" s="12" t="s">
        <v>4642</v>
      </c>
      <c r="C8611" s="13" t="s">
        <v>4643</v>
      </c>
      <c r="D8611" s="13" t="s">
        <v>34</v>
      </c>
      <c r="E8611" s="12" t="s">
        <v>35</v>
      </c>
      <c r="F8611" s="14">
        <v>35000</v>
      </c>
      <c r="G8611" s="14">
        <v>22600</v>
      </c>
      <c r="H8611" s="13" t="s">
        <v>15355</v>
      </c>
      <c r="I8611" s="40" t="s">
        <v>18</v>
      </c>
      <c r="J8611" s="40" t="str">
        <f>HYPERLINK("https://stock.pstatic.net/stock-research/company/61/20251013_company_356632000.pdf","PDF")</f>
        <v>PDF</v>
      </c>
      <c r="K8611" s="12" t="s">
        <v>15356</v>
      </c>
      <c r="L8611" s="20">
        <v>0.54867256637168138</v>
      </c>
    </row>
    <row r="8612" spans="1:12" x14ac:dyDescent="0.45">
      <c r="A8612" s="12" t="s">
        <v>15300</v>
      </c>
      <c r="B8612" s="12" t="s">
        <v>3296</v>
      </c>
      <c r="C8612" s="13" t="s">
        <v>3297</v>
      </c>
      <c r="D8612" s="13" t="s">
        <v>179</v>
      </c>
      <c r="E8612" s="12" t="s">
        <v>16</v>
      </c>
      <c r="F8612" s="14">
        <v>65000</v>
      </c>
      <c r="G8612" s="14">
        <v>45350</v>
      </c>
      <c r="H8612" s="13" t="s">
        <v>15357</v>
      </c>
      <c r="I8612" s="40" t="s">
        <v>18</v>
      </c>
      <c r="J8612" s="40" t="str">
        <f>HYPERLINK("https://stock.pstatic.net/stock-research/company/64/20251013_company_449062000.pdf","PDF")</f>
        <v>PDF</v>
      </c>
      <c r="K8612" s="12" t="s">
        <v>15358</v>
      </c>
      <c r="L8612" s="20">
        <v>0.43329658213891947</v>
      </c>
    </row>
    <row r="8613" spans="1:12" x14ac:dyDescent="0.45">
      <c r="A8613" s="12" t="s">
        <v>15300</v>
      </c>
      <c r="B8613" s="12" t="s">
        <v>4921</v>
      </c>
      <c r="C8613" s="13" t="s">
        <v>4922</v>
      </c>
      <c r="D8613" s="13" t="s">
        <v>34</v>
      </c>
      <c r="E8613" s="12" t="s">
        <v>50</v>
      </c>
      <c r="F8613" s="13"/>
      <c r="G8613" s="14">
        <v>21550</v>
      </c>
      <c r="H8613" s="13" t="s">
        <v>15359</v>
      </c>
      <c r="I8613" s="40" t="s">
        <v>18</v>
      </c>
      <c r="J8613" s="40" t="str">
        <f>HYPERLINK("https://stock.pstatic.net/stock-research/company/61/20251013_company_113254000.pdf","PDF")</f>
        <v>PDF</v>
      </c>
      <c r="K8613" s="12" t="s">
        <v>15360</v>
      </c>
    </row>
    <row r="8614" spans="1:12" x14ac:dyDescent="0.45">
      <c r="A8614" s="12" t="s">
        <v>15300</v>
      </c>
      <c r="B8614" s="12" t="s">
        <v>519</v>
      </c>
      <c r="C8614" s="13" t="s">
        <v>520</v>
      </c>
      <c r="D8614" s="13" t="s">
        <v>179</v>
      </c>
      <c r="E8614" s="12" t="s">
        <v>16</v>
      </c>
      <c r="F8614" s="14">
        <v>270000</v>
      </c>
      <c r="G8614" s="14">
        <v>217000</v>
      </c>
      <c r="H8614" s="13" t="s">
        <v>15361</v>
      </c>
      <c r="I8614" s="40" t="s">
        <v>18</v>
      </c>
      <c r="J8614" s="40" t="str">
        <f>HYPERLINK("https://stock.pstatic.net/stock-research/company/64/20251013_company_25609000.pdf","PDF")</f>
        <v>PDF</v>
      </c>
      <c r="K8614" s="12" t="s">
        <v>15362</v>
      </c>
      <c r="L8614" s="20">
        <v>0.2442396313364055</v>
      </c>
    </row>
    <row r="8615" spans="1:12" x14ac:dyDescent="0.45">
      <c r="A8615" s="12" t="s">
        <v>15300</v>
      </c>
      <c r="B8615" s="12" t="s">
        <v>856</v>
      </c>
      <c r="C8615" s="13" t="s">
        <v>857</v>
      </c>
      <c r="D8615" s="13" t="s">
        <v>179</v>
      </c>
      <c r="E8615" s="12" t="s">
        <v>16</v>
      </c>
      <c r="F8615" s="14">
        <v>210000</v>
      </c>
      <c r="G8615" s="14">
        <v>132300</v>
      </c>
      <c r="H8615" s="13" t="s">
        <v>15363</v>
      </c>
      <c r="I8615" s="40" t="s">
        <v>18</v>
      </c>
      <c r="J8615" s="40" t="str">
        <f>HYPERLINK("https://stock.pstatic.net/stock-research/company/64/20251013_company_178686000.pdf","PDF")</f>
        <v>PDF</v>
      </c>
      <c r="K8615" s="12" t="s">
        <v>15364</v>
      </c>
      <c r="L8615" s="20">
        <v>0.58730158730158732</v>
      </c>
    </row>
    <row r="8616" spans="1:12" x14ac:dyDescent="0.45">
      <c r="A8616" s="12" t="s">
        <v>15300</v>
      </c>
      <c r="B8616" s="12" t="s">
        <v>2488</v>
      </c>
      <c r="C8616" s="13" t="s">
        <v>2489</v>
      </c>
      <c r="D8616" s="13" t="s">
        <v>179</v>
      </c>
      <c r="E8616" s="12" t="s">
        <v>16</v>
      </c>
      <c r="F8616" s="14">
        <v>100000</v>
      </c>
      <c r="G8616" s="14">
        <v>85300</v>
      </c>
      <c r="H8616" s="13" t="s">
        <v>15365</v>
      </c>
      <c r="I8616" s="40" t="s">
        <v>18</v>
      </c>
      <c r="J8616" s="40" t="str">
        <f>HYPERLINK("https://stock.pstatic.net/stock-research/company/64/20251013_company_974891000.pdf","PDF")</f>
        <v>PDF</v>
      </c>
      <c r="K8616" s="12" t="s">
        <v>15366</v>
      </c>
      <c r="L8616" s="20">
        <v>0.17233294255568579</v>
      </c>
    </row>
    <row r="8617" spans="1:12" x14ac:dyDescent="0.45">
      <c r="A8617" s="12" t="s">
        <v>15300</v>
      </c>
      <c r="B8617" s="12" t="s">
        <v>2435</v>
      </c>
      <c r="C8617" s="13" t="s">
        <v>2436</v>
      </c>
      <c r="D8617" s="13" t="s">
        <v>179</v>
      </c>
      <c r="E8617" s="12" t="s">
        <v>16</v>
      </c>
      <c r="F8617" s="14">
        <v>680000</v>
      </c>
      <c r="G8617" s="14">
        <v>515000</v>
      </c>
      <c r="H8617" s="13" t="s">
        <v>15367</v>
      </c>
      <c r="I8617" s="40" t="s">
        <v>18</v>
      </c>
      <c r="J8617" s="40" t="str">
        <f>HYPERLINK("https://stock.pstatic.net/stock-research/company/64/20251013_company_144657000.pdf","PDF")</f>
        <v>PDF</v>
      </c>
      <c r="K8617" s="12" t="s">
        <v>15368</v>
      </c>
      <c r="L8617" s="20">
        <v>0.32038834951456308</v>
      </c>
    </row>
    <row r="8618" spans="1:12" x14ac:dyDescent="0.45">
      <c r="A8618" s="12" t="s">
        <v>15300</v>
      </c>
      <c r="B8618" s="12" t="s">
        <v>13410</v>
      </c>
      <c r="C8618" s="13" t="s">
        <v>13411</v>
      </c>
      <c r="D8618" s="13" t="s">
        <v>179</v>
      </c>
      <c r="E8618" s="12" t="s">
        <v>16</v>
      </c>
      <c r="F8618" s="14">
        <v>270000</v>
      </c>
      <c r="G8618" s="14">
        <v>201500</v>
      </c>
      <c r="H8618" s="13" t="s">
        <v>15369</v>
      </c>
      <c r="I8618" s="40" t="s">
        <v>18</v>
      </c>
      <c r="J8618" s="40" t="str">
        <f>HYPERLINK("https://stock.pstatic.net/stock-research/company/64/20251013_company_250680000.pdf","PDF")</f>
        <v>PDF</v>
      </c>
      <c r="K8618" s="12" t="s">
        <v>15370</v>
      </c>
      <c r="L8618" s="20">
        <v>0.33995037220843671</v>
      </c>
    </row>
    <row r="8619" spans="1:12" x14ac:dyDescent="0.45">
      <c r="A8619" s="12" t="s">
        <v>15300</v>
      </c>
      <c r="B8619" s="12" t="s">
        <v>2492</v>
      </c>
      <c r="C8619" s="13" t="s">
        <v>2493</v>
      </c>
      <c r="D8619" s="13" t="s">
        <v>179</v>
      </c>
      <c r="E8619" s="12" t="s">
        <v>16</v>
      </c>
      <c r="F8619" s="14">
        <v>550000</v>
      </c>
      <c r="G8619" s="14">
        <v>415000</v>
      </c>
      <c r="H8619" s="13" t="s">
        <v>15371</v>
      </c>
      <c r="I8619" s="40" t="s">
        <v>18</v>
      </c>
      <c r="J8619" s="40" t="str">
        <f>HYPERLINK("https://stock.pstatic.net/stock-research/company/64/20251013_company_475937000.pdf","PDF")</f>
        <v>PDF</v>
      </c>
      <c r="K8619" s="12" t="s">
        <v>15372</v>
      </c>
      <c r="L8619" s="20">
        <v>0.3253012048192771</v>
      </c>
    </row>
    <row r="8620" spans="1:12" x14ac:dyDescent="0.45">
      <c r="A8620" s="12" t="s">
        <v>15300</v>
      </c>
      <c r="B8620" s="12" t="s">
        <v>3296</v>
      </c>
      <c r="C8620" s="13" t="s">
        <v>3297</v>
      </c>
      <c r="D8620" s="13" t="s">
        <v>44</v>
      </c>
      <c r="E8620" s="12" t="s">
        <v>35</v>
      </c>
      <c r="F8620" s="14">
        <v>62000</v>
      </c>
      <c r="G8620" s="14">
        <v>45350</v>
      </c>
      <c r="H8620" s="13" t="s">
        <v>15373</v>
      </c>
      <c r="I8620" s="40" t="s">
        <v>18</v>
      </c>
      <c r="J8620" s="40" t="str">
        <f>HYPERLINK("https://stock.pstatic.net/stock-research/company/39/20251013_company_918665000.pdf","PDF")</f>
        <v>PDF</v>
      </c>
      <c r="K8620" s="12" t="s">
        <v>15374</v>
      </c>
      <c r="L8620" s="20">
        <v>0.3671444321940463</v>
      </c>
    </row>
    <row r="8621" spans="1:12" x14ac:dyDescent="0.45">
      <c r="A8621" s="12" t="s">
        <v>15300</v>
      </c>
      <c r="B8621" s="12" t="s">
        <v>3105</v>
      </c>
      <c r="C8621" s="13" t="s">
        <v>3106</v>
      </c>
      <c r="D8621" s="13" t="s">
        <v>53</v>
      </c>
      <c r="E8621" s="12" t="s">
        <v>16</v>
      </c>
      <c r="F8621" s="14">
        <v>370000</v>
      </c>
      <c r="G8621" s="14">
        <v>272500</v>
      </c>
      <c r="H8621" s="13" t="s">
        <v>15375</v>
      </c>
      <c r="I8621" s="40" t="s">
        <v>18</v>
      </c>
      <c r="J8621" s="40" t="str">
        <f>HYPERLINK("https://stock.pstatic.net/stock-research/company/40/20251013_company_125074000.pdf","PDF")</f>
        <v>PDF</v>
      </c>
      <c r="K8621" s="12" t="s">
        <v>15376</v>
      </c>
      <c r="L8621" s="20">
        <v>0.3577981651376147</v>
      </c>
    </row>
    <row r="8622" spans="1:12" x14ac:dyDescent="0.45">
      <c r="A8622" s="12" t="s">
        <v>15300</v>
      </c>
      <c r="B8622" s="12" t="s">
        <v>2758</v>
      </c>
      <c r="C8622" s="13" t="s">
        <v>2759</v>
      </c>
      <c r="D8622" s="13" t="s">
        <v>23</v>
      </c>
      <c r="E8622" s="12" t="s">
        <v>16</v>
      </c>
      <c r="F8622" s="14">
        <v>370000</v>
      </c>
      <c r="G8622" s="14">
        <v>263000</v>
      </c>
      <c r="H8622" s="13" t="s">
        <v>15377</v>
      </c>
      <c r="I8622" s="40" t="s">
        <v>18</v>
      </c>
      <c r="J8622" s="40" t="str">
        <f>HYPERLINK("https://stock.pstatic.net/stock-research/company/21/20251013_company_352459000.pdf","PDF")</f>
        <v>PDF</v>
      </c>
      <c r="K8622" s="12" t="s">
        <v>15378</v>
      </c>
      <c r="L8622" s="20">
        <v>0.40684410646387831</v>
      </c>
    </row>
    <row r="8623" spans="1:12" x14ac:dyDescent="0.45">
      <c r="A8623" s="12" t="s">
        <v>15300</v>
      </c>
      <c r="B8623" s="12" t="s">
        <v>752</v>
      </c>
      <c r="C8623" s="13" t="s">
        <v>753</v>
      </c>
      <c r="D8623" s="13" t="s">
        <v>34</v>
      </c>
      <c r="E8623" s="12" t="s">
        <v>35</v>
      </c>
      <c r="F8623" s="14">
        <v>104000</v>
      </c>
      <c r="G8623" s="14">
        <v>80700</v>
      </c>
      <c r="H8623" s="13" t="s">
        <v>15379</v>
      </c>
      <c r="I8623" s="40" t="s">
        <v>18</v>
      </c>
      <c r="J8623" s="40" t="str">
        <f>HYPERLINK("https://stock.pstatic.net/stock-research/company/61/20251013_company_109761000.pdf","PDF")</f>
        <v>PDF</v>
      </c>
      <c r="K8623" s="12" t="s">
        <v>15380</v>
      </c>
      <c r="L8623" s="20">
        <v>0.28872366790582399</v>
      </c>
    </row>
    <row r="8624" spans="1:12" x14ac:dyDescent="0.45">
      <c r="A8624" s="12" t="s">
        <v>15300</v>
      </c>
      <c r="B8624" s="12" t="s">
        <v>132</v>
      </c>
      <c r="C8624" s="13" t="s">
        <v>133</v>
      </c>
      <c r="D8624" s="13" t="s">
        <v>23</v>
      </c>
      <c r="E8624" s="12" t="s">
        <v>16</v>
      </c>
      <c r="F8624" s="14">
        <v>100000</v>
      </c>
      <c r="G8624" s="14">
        <v>82600</v>
      </c>
      <c r="H8624" s="13" t="s">
        <v>15381</v>
      </c>
      <c r="I8624" s="40" t="s">
        <v>18</v>
      </c>
      <c r="J8624" s="40" t="str">
        <f>HYPERLINK("https://stock.pstatic.net/stock-research/company/21/20251013_company_5028000.pdf","PDF")</f>
        <v>PDF</v>
      </c>
      <c r="K8624" s="12" t="s">
        <v>15382</v>
      </c>
      <c r="L8624" s="20">
        <v>0.21065375302663439</v>
      </c>
    </row>
    <row r="8625" spans="1:12" x14ac:dyDescent="0.45">
      <c r="A8625" s="12" t="s">
        <v>15300</v>
      </c>
      <c r="B8625" s="12" t="s">
        <v>2960</v>
      </c>
      <c r="C8625" s="13" t="s">
        <v>2961</v>
      </c>
      <c r="D8625" s="13" t="s">
        <v>23</v>
      </c>
      <c r="E8625" s="12" t="s">
        <v>16</v>
      </c>
      <c r="F8625" s="14">
        <v>66000</v>
      </c>
      <c r="G8625" s="14">
        <v>49850</v>
      </c>
      <c r="H8625" s="13" t="s">
        <v>15383</v>
      </c>
      <c r="I8625" s="40" t="s">
        <v>18</v>
      </c>
      <c r="J8625" s="40" t="str">
        <f>HYPERLINK("https://stock.pstatic.net/stock-research/company/21/20251013_company_666513000.pdf","PDF")</f>
        <v>PDF</v>
      </c>
      <c r="K8625" s="12" t="s">
        <v>15384</v>
      </c>
      <c r="L8625" s="20">
        <v>0.32397191574724171</v>
      </c>
    </row>
    <row r="8626" spans="1:12" x14ac:dyDescent="0.45">
      <c r="A8626" s="12" t="s">
        <v>15300</v>
      </c>
      <c r="B8626" s="12" t="s">
        <v>1656</v>
      </c>
      <c r="C8626" s="13" t="s">
        <v>1657</v>
      </c>
      <c r="D8626" s="13" t="s">
        <v>23</v>
      </c>
      <c r="E8626" s="12" t="s">
        <v>16</v>
      </c>
      <c r="F8626" s="14">
        <v>220000</v>
      </c>
      <c r="G8626" s="14">
        <v>177500</v>
      </c>
      <c r="H8626" s="13" t="s">
        <v>15385</v>
      </c>
      <c r="I8626" s="40" t="s">
        <v>18</v>
      </c>
      <c r="J8626" s="40" t="str">
        <f>HYPERLINK("https://stock.pstatic.net/stock-research/company/21/20251013_company_409028000.pdf","PDF")</f>
        <v>PDF</v>
      </c>
      <c r="K8626" s="12" t="s">
        <v>15386</v>
      </c>
      <c r="L8626" s="20">
        <v>0.23943661971830979</v>
      </c>
    </row>
    <row r="8627" spans="1:12" x14ac:dyDescent="0.45">
      <c r="A8627" s="12" t="s">
        <v>15300</v>
      </c>
      <c r="B8627" s="12" t="s">
        <v>4864</v>
      </c>
      <c r="C8627" s="13" t="s">
        <v>4865</v>
      </c>
      <c r="D8627" s="13" t="s">
        <v>44</v>
      </c>
      <c r="E8627" s="12" t="s">
        <v>45</v>
      </c>
      <c r="F8627" s="14">
        <v>42000</v>
      </c>
      <c r="G8627" s="14">
        <v>36450</v>
      </c>
      <c r="H8627" s="13" t="s">
        <v>15387</v>
      </c>
      <c r="I8627" s="40" t="s">
        <v>18</v>
      </c>
      <c r="J8627" s="40" t="str">
        <f>HYPERLINK("https://stock.pstatic.net/stock-research/company/39/20251013_company_926253000.pdf","PDF")</f>
        <v>PDF</v>
      </c>
      <c r="K8627" s="12" t="s">
        <v>15388</v>
      </c>
      <c r="L8627" s="20">
        <v>0.15226337448559671</v>
      </c>
    </row>
    <row r="8628" spans="1:12" x14ac:dyDescent="0.45">
      <c r="A8628" s="12" t="s">
        <v>15389</v>
      </c>
      <c r="B8628" s="12" t="s">
        <v>577</v>
      </c>
      <c r="C8628" s="13" t="s">
        <v>578</v>
      </c>
      <c r="D8628" s="13" t="s">
        <v>57</v>
      </c>
      <c r="E8628" s="12" t="s">
        <v>35</v>
      </c>
      <c r="F8628" s="14">
        <v>360000</v>
      </c>
      <c r="G8628" s="14">
        <v>297000</v>
      </c>
      <c r="H8628" s="13" t="s">
        <v>15390</v>
      </c>
      <c r="I8628" s="40" t="s">
        <v>18</v>
      </c>
      <c r="J8628" s="40" t="str">
        <f>HYPERLINK("https://stock.pstatic.net/stock-research/company/16/20251010_company_830447000.pdf","PDF")</f>
        <v>PDF</v>
      </c>
      <c r="K8628" s="12" t="s">
        <v>15391</v>
      </c>
      <c r="L8628" s="20">
        <v>0.2121212121212121</v>
      </c>
    </row>
    <row r="8629" spans="1:12" x14ac:dyDescent="0.45">
      <c r="A8629" s="12" t="s">
        <v>15389</v>
      </c>
      <c r="B8629" s="12" t="s">
        <v>856</v>
      </c>
      <c r="C8629" s="13" t="s">
        <v>857</v>
      </c>
      <c r="D8629" s="13" t="s">
        <v>276</v>
      </c>
      <c r="E8629" s="12" t="s">
        <v>16</v>
      </c>
      <c r="F8629" s="14">
        <v>210000</v>
      </c>
      <c r="G8629" s="14">
        <v>132300</v>
      </c>
      <c r="H8629" s="13" t="s">
        <v>15392</v>
      </c>
      <c r="I8629" s="40" t="s">
        <v>18</v>
      </c>
      <c r="J8629" s="40" t="str">
        <f>HYPERLINK("https://stock.pstatic.net/stock-research/company/66/20251010_company_586407000.pdf","PDF")</f>
        <v>PDF</v>
      </c>
      <c r="K8629" s="12" t="s">
        <v>15393</v>
      </c>
      <c r="L8629" s="20">
        <v>0.58730158730158732</v>
      </c>
    </row>
    <row r="8630" spans="1:12" x14ac:dyDescent="0.45">
      <c r="A8630" s="12" t="s">
        <v>15389</v>
      </c>
      <c r="B8630" s="12" t="s">
        <v>3373</v>
      </c>
      <c r="C8630" s="13" t="s">
        <v>3374</v>
      </c>
      <c r="D8630" s="13" t="s">
        <v>65</v>
      </c>
      <c r="E8630" s="12" t="s">
        <v>35</v>
      </c>
      <c r="F8630" s="14">
        <v>147000</v>
      </c>
      <c r="G8630" s="14">
        <v>116800</v>
      </c>
      <c r="H8630" s="13" t="s">
        <v>15394</v>
      </c>
      <c r="I8630" s="40" t="s">
        <v>18</v>
      </c>
      <c r="J8630" s="40" t="str">
        <f>HYPERLINK("https://stock.pstatic.net/stock-research/company/57/20251010_company_135658000.pdf","PDF")</f>
        <v>PDF</v>
      </c>
      <c r="K8630" s="12" t="s">
        <v>15395</v>
      </c>
      <c r="L8630" s="20">
        <v>0.25856164383561642</v>
      </c>
    </row>
    <row r="8631" spans="1:12" x14ac:dyDescent="0.45">
      <c r="A8631" s="12" t="s">
        <v>15389</v>
      </c>
      <c r="B8631" s="12" t="s">
        <v>3478</v>
      </c>
      <c r="C8631" s="13" t="s">
        <v>3479</v>
      </c>
      <c r="D8631" s="13" t="s">
        <v>65</v>
      </c>
      <c r="E8631" s="12" t="s">
        <v>35</v>
      </c>
      <c r="F8631" s="14">
        <v>50000</v>
      </c>
      <c r="G8631" s="14">
        <v>33200</v>
      </c>
      <c r="H8631" s="13" t="s">
        <v>15396</v>
      </c>
      <c r="I8631" s="40" t="s">
        <v>18</v>
      </c>
      <c r="J8631" s="40" t="str">
        <f>HYPERLINK("https://stock.pstatic.net/stock-research/company/57/20251010_company_379561000.pdf","PDF")</f>
        <v>PDF</v>
      </c>
      <c r="K8631" s="12" t="s">
        <v>15397</v>
      </c>
      <c r="L8631" s="20">
        <v>0.50602409638554213</v>
      </c>
    </row>
    <row r="8632" spans="1:12" x14ac:dyDescent="0.45">
      <c r="A8632" s="12" t="s">
        <v>15389</v>
      </c>
      <c r="B8632" s="12" t="s">
        <v>541</v>
      </c>
      <c r="C8632" s="13" t="s">
        <v>542</v>
      </c>
      <c r="D8632" s="13" t="s">
        <v>158</v>
      </c>
      <c r="E8632" s="12" t="s">
        <v>35</v>
      </c>
      <c r="F8632" s="14">
        <v>71000</v>
      </c>
      <c r="G8632" s="14">
        <v>54400</v>
      </c>
      <c r="H8632" s="13" t="s">
        <v>15398</v>
      </c>
      <c r="I8632" s="40" t="s">
        <v>18</v>
      </c>
      <c r="J8632" s="40" t="str">
        <f>HYPERLINK("https://stock.pstatic.net/stock-research/company/18/20251010_company_118699000.pdf","PDF")</f>
        <v>PDF</v>
      </c>
      <c r="K8632" s="12" t="s">
        <v>15399</v>
      </c>
      <c r="L8632" s="20">
        <v>0.30514705882352938</v>
      </c>
    </row>
    <row r="8633" spans="1:12" x14ac:dyDescent="0.45">
      <c r="A8633" s="12" t="s">
        <v>15389</v>
      </c>
      <c r="B8633" s="12" t="s">
        <v>916</v>
      </c>
      <c r="C8633" s="13" t="s">
        <v>917</v>
      </c>
      <c r="D8633" s="13" t="s">
        <v>83</v>
      </c>
      <c r="E8633" s="12" t="s">
        <v>35</v>
      </c>
      <c r="F8633" s="14">
        <v>86000</v>
      </c>
      <c r="G8633" s="14">
        <v>59600</v>
      </c>
      <c r="H8633" s="13" t="s">
        <v>15400</v>
      </c>
      <c r="I8633" s="40" t="s">
        <v>18</v>
      </c>
      <c r="J8633" s="40" t="str">
        <f>HYPERLINK("https://stock.pstatic.net/stock-research/company/2/20251010_company_370795000.pdf","PDF")</f>
        <v>PDF</v>
      </c>
      <c r="K8633" s="12" t="s">
        <v>15401</v>
      </c>
      <c r="L8633" s="20">
        <v>0.44295302013422821</v>
      </c>
    </row>
    <row r="8634" spans="1:12" x14ac:dyDescent="0.45">
      <c r="A8634" s="12" t="s">
        <v>15389</v>
      </c>
      <c r="B8634" s="12" t="s">
        <v>42</v>
      </c>
      <c r="C8634" s="13" t="s">
        <v>43</v>
      </c>
      <c r="D8634" s="13" t="s">
        <v>83</v>
      </c>
      <c r="E8634" s="12" t="s">
        <v>35</v>
      </c>
      <c r="F8634" s="14">
        <v>330000</v>
      </c>
      <c r="G8634" s="14">
        <v>253000</v>
      </c>
      <c r="H8634" s="13" t="s">
        <v>15402</v>
      </c>
      <c r="I8634" s="40" t="s">
        <v>18</v>
      </c>
      <c r="J8634" s="40" t="str">
        <f>HYPERLINK("https://stock.pstatic.net/stock-research/company/2/20251010_company_499682000.pdf","PDF")</f>
        <v>PDF</v>
      </c>
      <c r="K8634" s="12" t="s">
        <v>15403</v>
      </c>
      <c r="L8634" s="20">
        <v>0.30434782608695649</v>
      </c>
    </row>
    <row r="8635" spans="1:12" x14ac:dyDescent="0.45">
      <c r="A8635" s="12" t="s">
        <v>15389</v>
      </c>
      <c r="B8635" s="12" t="s">
        <v>32</v>
      </c>
      <c r="C8635" s="13" t="s">
        <v>33</v>
      </c>
      <c r="D8635" s="13" t="s">
        <v>15</v>
      </c>
      <c r="E8635" s="12" t="s">
        <v>16</v>
      </c>
      <c r="F8635" s="14">
        <v>250000</v>
      </c>
      <c r="G8635" s="14">
        <v>195800</v>
      </c>
      <c r="H8635" s="13" t="s">
        <v>15404</v>
      </c>
      <c r="I8635" s="40" t="s">
        <v>18</v>
      </c>
      <c r="J8635" s="40" t="str">
        <f>HYPERLINK("https://stock.pstatic.net/stock-research/company/29/20251010_company_416391000.pdf","PDF")</f>
        <v>PDF</v>
      </c>
      <c r="K8635" s="12" t="s">
        <v>15405</v>
      </c>
      <c r="L8635" s="20">
        <v>0.27681307456588361</v>
      </c>
    </row>
    <row r="8636" spans="1:12" x14ac:dyDescent="0.45">
      <c r="A8636" s="12" t="s">
        <v>15389</v>
      </c>
      <c r="B8636" s="12" t="s">
        <v>740</v>
      </c>
      <c r="C8636" s="13" t="s">
        <v>741</v>
      </c>
      <c r="D8636" s="13" t="s">
        <v>15</v>
      </c>
      <c r="E8636" s="12" t="s">
        <v>16</v>
      </c>
      <c r="F8636" s="14">
        <v>250000</v>
      </c>
      <c r="G8636" s="14">
        <v>188500</v>
      </c>
      <c r="H8636" s="13" t="s">
        <v>15406</v>
      </c>
      <c r="I8636" s="40" t="s">
        <v>18</v>
      </c>
      <c r="J8636" s="40" t="str">
        <f>HYPERLINK("https://stock.pstatic.net/stock-research/company/29/20251010_company_955419000.pdf","PDF")</f>
        <v>PDF</v>
      </c>
      <c r="K8636" s="12" t="s">
        <v>15407</v>
      </c>
      <c r="L8636" s="20">
        <v>0.32625994694960209</v>
      </c>
    </row>
    <row r="8637" spans="1:12" x14ac:dyDescent="0.45">
      <c r="A8637" s="12" t="s">
        <v>15389</v>
      </c>
      <c r="B8637" s="12" t="s">
        <v>1666</v>
      </c>
      <c r="C8637" s="13" t="s">
        <v>1667</v>
      </c>
      <c r="D8637" s="13" t="s">
        <v>15</v>
      </c>
      <c r="E8637" s="12" t="s">
        <v>16</v>
      </c>
      <c r="F8637" s="14">
        <v>95000</v>
      </c>
      <c r="G8637" s="14">
        <v>59000</v>
      </c>
      <c r="H8637" s="13" t="s">
        <v>15408</v>
      </c>
      <c r="I8637" s="40" t="s">
        <v>18</v>
      </c>
      <c r="J8637" s="40" t="str">
        <f>HYPERLINK("https://stock.pstatic.net/stock-research/company/29/20251010_company_274777000.pdf","PDF")</f>
        <v>PDF</v>
      </c>
      <c r="K8637" s="12" t="s">
        <v>15409</v>
      </c>
      <c r="L8637" s="20">
        <v>0.61016949152542377</v>
      </c>
    </row>
    <row r="8638" spans="1:12" x14ac:dyDescent="0.45">
      <c r="A8638" s="12" t="s">
        <v>15389</v>
      </c>
      <c r="B8638" s="12" t="s">
        <v>740</v>
      </c>
      <c r="C8638" s="13" t="s">
        <v>741</v>
      </c>
      <c r="D8638" s="13" t="s">
        <v>92</v>
      </c>
      <c r="E8638" s="12" t="s">
        <v>35</v>
      </c>
      <c r="F8638" s="14">
        <v>230000</v>
      </c>
      <c r="G8638" s="14">
        <v>188500</v>
      </c>
      <c r="H8638" s="13" t="s">
        <v>15410</v>
      </c>
      <c r="I8638" s="40" t="s">
        <v>18</v>
      </c>
      <c r="J8638" s="40" t="str">
        <f>HYPERLINK("https://stock.pstatic.net/stock-research/company/63/20251010_company_77830000.pdf","PDF")</f>
        <v>PDF</v>
      </c>
      <c r="K8638" s="12" t="s">
        <v>15411</v>
      </c>
      <c r="L8638" s="20">
        <v>0.22015915119363391</v>
      </c>
    </row>
    <row r="8639" spans="1:12" x14ac:dyDescent="0.45">
      <c r="A8639" s="12" t="s">
        <v>15389</v>
      </c>
      <c r="B8639" s="12" t="s">
        <v>102</v>
      </c>
      <c r="C8639" s="13" t="s">
        <v>103</v>
      </c>
      <c r="D8639" s="13" t="s">
        <v>92</v>
      </c>
      <c r="E8639" s="12" t="s">
        <v>35</v>
      </c>
      <c r="F8639" s="14">
        <v>22000</v>
      </c>
      <c r="G8639" s="14">
        <v>17200</v>
      </c>
      <c r="H8639" s="13" t="s">
        <v>15412</v>
      </c>
      <c r="I8639" s="40" t="s">
        <v>18</v>
      </c>
      <c r="J8639" s="40" t="str">
        <f>HYPERLINK("https://stock.pstatic.net/stock-research/company/63/20251010_company_762538000.pdf","PDF")</f>
        <v>PDF</v>
      </c>
      <c r="K8639" s="12" t="s">
        <v>15413</v>
      </c>
      <c r="L8639" s="20">
        <v>0.27906976744186052</v>
      </c>
    </row>
    <row r="8640" spans="1:12" x14ac:dyDescent="0.45">
      <c r="A8640" s="12" t="s">
        <v>15389</v>
      </c>
      <c r="B8640" s="12" t="s">
        <v>8183</v>
      </c>
      <c r="C8640" s="13" t="s">
        <v>8184</v>
      </c>
      <c r="D8640" s="13" t="s">
        <v>23</v>
      </c>
      <c r="E8640" s="12" t="s">
        <v>50</v>
      </c>
      <c r="F8640" s="14">
        <v>30000</v>
      </c>
      <c r="G8640" s="14">
        <v>27150</v>
      </c>
      <c r="H8640" s="13" t="s">
        <v>15414</v>
      </c>
      <c r="I8640" s="40" t="s">
        <v>18</v>
      </c>
      <c r="J8640" s="40" t="str">
        <f>HYPERLINK("https://stock.pstatic.net/stock-research/company/21/20251010_company_26884000.pdf","PDF")</f>
        <v>PDF</v>
      </c>
      <c r="K8640" s="12" t="s">
        <v>15415</v>
      </c>
      <c r="L8640" s="20">
        <v>0.1049723756906077</v>
      </c>
    </row>
    <row r="8641" spans="1:12" x14ac:dyDescent="0.45">
      <c r="A8641" s="12" t="s">
        <v>15389</v>
      </c>
      <c r="B8641" s="12" t="s">
        <v>1540</v>
      </c>
      <c r="C8641" s="13" t="s">
        <v>1541</v>
      </c>
      <c r="D8641" s="13" t="s">
        <v>23</v>
      </c>
      <c r="E8641" s="12" t="s">
        <v>16</v>
      </c>
      <c r="F8641" s="14">
        <v>63000</v>
      </c>
      <c r="G8641" s="14">
        <v>48000</v>
      </c>
      <c r="H8641" s="13" t="s">
        <v>15416</v>
      </c>
      <c r="I8641" s="40" t="s">
        <v>18</v>
      </c>
      <c r="J8641" s="40" t="str">
        <f>HYPERLINK("https://stock.pstatic.net/stock-research/company/21/20251010_company_655807000.pdf","PDF")</f>
        <v>PDF</v>
      </c>
      <c r="K8641" s="12" t="s">
        <v>15417</v>
      </c>
      <c r="L8641" s="20">
        <v>0.3125</v>
      </c>
    </row>
    <row r="8642" spans="1:12" x14ac:dyDescent="0.45">
      <c r="A8642" s="12" t="s">
        <v>15389</v>
      </c>
      <c r="B8642" s="12" t="s">
        <v>792</v>
      </c>
      <c r="C8642" s="13" t="s">
        <v>793</v>
      </c>
      <c r="D8642" s="13" t="s">
        <v>23</v>
      </c>
      <c r="E8642" s="12" t="s">
        <v>16</v>
      </c>
      <c r="F8642" s="14">
        <v>40000</v>
      </c>
      <c r="G8642" s="14">
        <v>30700</v>
      </c>
      <c r="H8642" s="13" t="s">
        <v>15418</v>
      </c>
      <c r="I8642" s="40" t="s">
        <v>18</v>
      </c>
      <c r="J8642" s="40" t="str">
        <f>HYPERLINK("https://stock.pstatic.net/stock-research/company/21/20251010_company_171619000.pdf","PDF")</f>
        <v>PDF</v>
      </c>
      <c r="K8642" s="12" t="s">
        <v>15419</v>
      </c>
      <c r="L8642" s="20">
        <v>0.30293159609120518</v>
      </c>
    </row>
    <row r="8643" spans="1:12" x14ac:dyDescent="0.45">
      <c r="A8643" s="12" t="s">
        <v>15389</v>
      </c>
      <c r="B8643" s="12" t="s">
        <v>2950</v>
      </c>
      <c r="C8643" s="13" t="s">
        <v>2951</v>
      </c>
      <c r="D8643" s="13" t="s">
        <v>23</v>
      </c>
      <c r="E8643" s="12" t="s">
        <v>16</v>
      </c>
      <c r="F8643" s="14">
        <v>100000</v>
      </c>
      <c r="G8643" s="14">
        <v>64800</v>
      </c>
      <c r="H8643" s="13" t="s">
        <v>15420</v>
      </c>
      <c r="I8643" s="40" t="s">
        <v>18</v>
      </c>
      <c r="J8643" s="40" t="str">
        <f>HYPERLINK("https://stock.pstatic.net/stock-research/company/21/20251010_company_753593000.pdf","PDF")</f>
        <v>PDF</v>
      </c>
      <c r="K8643" s="12" t="s">
        <v>15421</v>
      </c>
      <c r="L8643" s="20">
        <v>0.54320987654320985</v>
      </c>
    </row>
    <row r="8644" spans="1:12" x14ac:dyDescent="0.45">
      <c r="A8644" s="12" t="s">
        <v>15389</v>
      </c>
      <c r="B8644" s="12" t="s">
        <v>860</v>
      </c>
      <c r="C8644" s="13" t="s">
        <v>861</v>
      </c>
      <c r="D8644" s="13" t="s">
        <v>23</v>
      </c>
      <c r="E8644" s="12" t="s">
        <v>16</v>
      </c>
      <c r="F8644" s="14">
        <v>80000</v>
      </c>
      <c r="G8644" s="14">
        <v>51200</v>
      </c>
      <c r="H8644" s="13" t="s">
        <v>15422</v>
      </c>
      <c r="I8644" s="40" t="s">
        <v>18</v>
      </c>
      <c r="J8644" s="40" t="str">
        <f>HYPERLINK("https://stock.pstatic.net/stock-research/company/21/20251010_company_107947000.pdf","PDF")</f>
        <v>PDF</v>
      </c>
      <c r="K8644" s="12" t="s">
        <v>15423</v>
      </c>
      <c r="L8644" s="20">
        <v>0.5625</v>
      </c>
    </row>
    <row r="8645" spans="1:12" x14ac:dyDescent="0.45">
      <c r="A8645" s="12" t="s">
        <v>15389</v>
      </c>
      <c r="B8645" s="12" t="s">
        <v>170</v>
      </c>
      <c r="C8645" s="13" t="s">
        <v>171</v>
      </c>
      <c r="D8645" s="13" t="s">
        <v>92</v>
      </c>
      <c r="E8645" s="12" t="s">
        <v>35</v>
      </c>
      <c r="F8645" s="14">
        <v>95000</v>
      </c>
      <c r="G8645" s="14">
        <v>65100</v>
      </c>
      <c r="H8645" s="13" t="s">
        <v>15424</v>
      </c>
      <c r="I8645" s="40" t="s">
        <v>18</v>
      </c>
      <c r="J8645" s="40" t="str">
        <f>HYPERLINK("https://stock.pstatic.net/stock-research/company/63/20251010_company_629384000.pdf","PDF")</f>
        <v>PDF</v>
      </c>
      <c r="K8645" s="12" t="s">
        <v>15425</v>
      </c>
      <c r="L8645" s="20">
        <v>0.45929339477726572</v>
      </c>
    </row>
    <row r="8646" spans="1:12" x14ac:dyDescent="0.45">
      <c r="A8646" s="12" t="s">
        <v>15389</v>
      </c>
      <c r="B8646" s="12" t="s">
        <v>1741</v>
      </c>
      <c r="C8646" s="13" t="s">
        <v>1742</v>
      </c>
      <c r="D8646" s="13" t="s">
        <v>23</v>
      </c>
      <c r="E8646" s="12" t="s">
        <v>16</v>
      </c>
      <c r="F8646" s="14">
        <v>61000</v>
      </c>
      <c r="G8646" s="14">
        <v>49550</v>
      </c>
      <c r="H8646" s="13" t="s">
        <v>15426</v>
      </c>
      <c r="I8646" s="40" t="s">
        <v>18</v>
      </c>
      <c r="J8646" s="40" t="str">
        <f>HYPERLINK("https://stock.pstatic.net/stock-research/company/21/20251010_company_968240000.pdf","PDF")</f>
        <v>PDF</v>
      </c>
      <c r="K8646" s="12" t="s">
        <v>15427</v>
      </c>
      <c r="L8646" s="20">
        <v>0.231079717457114</v>
      </c>
    </row>
    <row r="8647" spans="1:12" x14ac:dyDescent="0.45">
      <c r="A8647" s="12" t="s">
        <v>15389</v>
      </c>
      <c r="B8647" s="12" t="s">
        <v>4846</v>
      </c>
      <c r="C8647" s="13" t="s">
        <v>4847</v>
      </c>
      <c r="D8647" s="13" t="s">
        <v>34</v>
      </c>
      <c r="E8647" s="12" t="s">
        <v>50</v>
      </c>
      <c r="F8647" s="13"/>
      <c r="G8647" s="14">
        <v>24550</v>
      </c>
      <c r="H8647" s="13" t="s">
        <v>15428</v>
      </c>
      <c r="I8647" s="40" t="s">
        <v>18</v>
      </c>
      <c r="J8647" s="40" t="str">
        <f>HYPERLINK("https://stock.pstatic.net/stock-research/company/61/20251010_company_844885000.pdf","PDF")</f>
        <v>PDF</v>
      </c>
      <c r="K8647" s="12" t="s">
        <v>15429</v>
      </c>
    </row>
    <row r="8648" spans="1:12" x14ac:dyDescent="0.45">
      <c r="A8648" s="12" t="s">
        <v>15389</v>
      </c>
      <c r="B8648" s="12" t="s">
        <v>3628</v>
      </c>
      <c r="C8648" s="13" t="s">
        <v>3629</v>
      </c>
      <c r="D8648" s="13" t="s">
        <v>34</v>
      </c>
      <c r="E8648" s="12" t="s">
        <v>50</v>
      </c>
      <c r="F8648" s="13"/>
      <c r="G8648" s="14">
        <v>15820</v>
      </c>
      <c r="H8648" s="13" t="s">
        <v>15430</v>
      </c>
      <c r="I8648" s="40" t="s">
        <v>18</v>
      </c>
      <c r="J8648" s="40" t="str">
        <f>HYPERLINK("https://stock.pstatic.net/stock-research/company/61/20251010_company_926272000.pdf","PDF")</f>
        <v>PDF</v>
      </c>
      <c r="K8648" s="12" t="s">
        <v>15431</v>
      </c>
    </row>
    <row r="8649" spans="1:12" x14ac:dyDescent="0.45">
      <c r="A8649" s="12" t="s">
        <v>15389</v>
      </c>
      <c r="B8649" s="12" t="s">
        <v>1101</v>
      </c>
      <c r="C8649" s="13" t="s">
        <v>1102</v>
      </c>
      <c r="D8649" s="13" t="s">
        <v>34</v>
      </c>
      <c r="E8649" s="12" t="s">
        <v>50</v>
      </c>
      <c r="F8649" s="13"/>
      <c r="G8649" s="14">
        <v>19550</v>
      </c>
      <c r="H8649" s="13" t="s">
        <v>15432</v>
      </c>
      <c r="I8649" s="40" t="s">
        <v>18</v>
      </c>
      <c r="J8649" s="40" t="str">
        <f>HYPERLINK("https://stock.pstatic.net/stock-research/company/61/20251010_company_899296000.pdf","PDF")</f>
        <v>PDF</v>
      </c>
      <c r="K8649" s="12" t="s">
        <v>15433</v>
      </c>
    </row>
    <row r="8650" spans="1:12" x14ac:dyDescent="0.45">
      <c r="A8650" s="12" t="s">
        <v>15389</v>
      </c>
      <c r="B8650" s="12" t="s">
        <v>744</v>
      </c>
      <c r="C8650" s="13" t="s">
        <v>745</v>
      </c>
      <c r="D8650" s="13" t="s">
        <v>179</v>
      </c>
      <c r="E8650" s="12" t="s">
        <v>16</v>
      </c>
      <c r="F8650" s="14">
        <v>29000</v>
      </c>
      <c r="G8650" s="14">
        <v>21850</v>
      </c>
      <c r="H8650" s="13" t="s">
        <v>15434</v>
      </c>
      <c r="I8650" s="40" t="s">
        <v>18</v>
      </c>
      <c r="J8650" s="40" t="str">
        <f>HYPERLINK("https://stock.pstatic.net/stock-research/company/64/20251010_company_406562000.pdf","PDF")</f>
        <v>PDF</v>
      </c>
      <c r="K8650" s="12" t="s">
        <v>15435</v>
      </c>
      <c r="L8650" s="20">
        <v>0.32723112128146448</v>
      </c>
    </row>
    <row r="8651" spans="1:12" x14ac:dyDescent="0.45">
      <c r="A8651" s="12" t="s">
        <v>15389</v>
      </c>
      <c r="B8651" s="12" t="s">
        <v>3284</v>
      </c>
      <c r="C8651" s="13" t="s">
        <v>3285</v>
      </c>
      <c r="D8651" s="13" t="s">
        <v>179</v>
      </c>
      <c r="E8651" s="12" t="s">
        <v>16</v>
      </c>
      <c r="F8651" s="14">
        <v>144000</v>
      </c>
      <c r="G8651" s="14">
        <v>111500</v>
      </c>
      <c r="H8651" s="13" t="s">
        <v>15436</v>
      </c>
      <c r="I8651" s="40" t="s">
        <v>18</v>
      </c>
      <c r="J8651" s="40" t="str">
        <f>HYPERLINK("https://stock.pstatic.net/stock-research/company/64/20251010_company_451877000.pdf","PDF")</f>
        <v>PDF</v>
      </c>
      <c r="K8651" s="12" t="s">
        <v>15437</v>
      </c>
      <c r="L8651" s="20">
        <v>0.2914798206278027</v>
      </c>
    </row>
    <row r="8652" spans="1:12" x14ac:dyDescent="0.45">
      <c r="A8652" s="12" t="s">
        <v>15389</v>
      </c>
      <c r="B8652" s="12" t="s">
        <v>3123</v>
      </c>
      <c r="C8652" s="13" t="s">
        <v>3124</v>
      </c>
      <c r="D8652" s="13" t="s">
        <v>179</v>
      </c>
      <c r="E8652" s="12" t="s">
        <v>16</v>
      </c>
      <c r="F8652" s="14">
        <v>60000</v>
      </c>
      <c r="G8652" s="14">
        <v>48800</v>
      </c>
      <c r="H8652" s="13" t="s">
        <v>15438</v>
      </c>
      <c r="I8652" s="40" t="s">
        <v>18</v>
      </c>
      <c r="J8652" s="40" t="str">
        <f>HYPERLINK("https://stock.pstatic.net/stock-research/company/64/20251010_company_861546000.pdf","PDF")</f>
        <v>PDF</v>
      </c>
      <c r="K8652" s="12" t="s">
        <v>15439</v>
      </c>
      <c r="L8652" s="20">
        <v>0.22950819672131151</v>
      </c>
    </row>
    <row r="8653" spans="1:12" x14ac:dyDescent="0.45">
      <c r="A8653" s="12" t="s">
        <v>15389</v>
      </c>
      <c r="B8653" s="12" t="s">
        <v>214</v>
      </c>
      <c r="C8653" s="13" t="s">
        <v>215</v>
      </c>
      <c r="D8653" s="13" t="s">
        <v>11154</v>
      </c>
      <c r="E8653" s="12" t="s">
        <v>50</v>
      </c>
      <c r="F8653" s="13"/>
      <c r="G8653" s="13"/>
      <c r="H8653" s="13" t="s">
        <v>15440</v>
      </c>
      <c r="I8653" s="40" t="s">
        <v>18</v>
      </c>
      <c r="J8653" s="40" t="str">
        <f>HYPERLINK("https://stock.pstatic.net/stock-research/company/79/20251010_company_58823000.pdf","PDF")</f>
        <v>PDF</v>
      </c>
      <c r="K8653" s="12" t="s">
        <v>15441</v>
      </c>
    </row>
    <row r="8654" spans="1:12" x14ac:dyDescent="0.45">
      <c r="A8654" s="12" t="s">
        <v>15389</v>
      </c>
      <c r="B8654" s="12" t="s">
        <v>15442</v>
      </c>
      <c r="C8654" s="13" t="s">
        <v>15443</v>
      </c>
      <c r="D8654" s="13" t="s">
        <v>207</v>
      </c>
      <c r="E8654" s="12" t="s">
        <v>50</v>
      </c>
      <c r="F8654" s="13"/>
      <c r="G8654" s="13"/>
      <c r="H8654" s="13" t="s">
        <v>15444</v>
      </c>
      <c r="I8654" s="40" t="s">
        <v>18</v>
      </c>
      <c r="J8654" s="40" t="str">
        <f>HYPERLINK("https://stock.pstatic.net/stock-research/company/75/20251010_company_541369000.pdf","PDF")</f>
        <v>PDF</v>
      </c>
      <c r="K8654" s="12" t="s">
        <v>15445</v>
      </c>
    </row>
    <row r="8655" spans="1:12" x14ac:dyDescent="0.45">
      <c r="A8655" s="12" t="s">
        <v>15389</v>
      </c>
      <c r="B8655" s="12" t="s">
        <v>15446</v>
      </c>
      <c r="C8655" s="13" t="s">
        <v>15447</v>
      </c>
      <c r="D8655" s="13" t="s">
        <v>11154</v>
      </c>
      <c r="E8655" s="12" t="s">
        <v>50</v>
      </c>
      <c r="F8655" s="13"/>
      <c r="G8655" s="13"/>
      <c r="H8655" s="13" t="s">
        <v>15448</v>
      </c>
      <c r="I8655" s="40" t="s">
        <v>18</v>
      </c>
      <c r="J8655" s="40" t="str">
        <f>HYPERLINK("https://stock.pstatic.net/stock-research/company/79/20251010_company_430710000.pdf","PDF")</f>
        <v>PDF</v>
      </c>
      <c r="K8655" s="12" t="s">
        <v>15449</v>
      </c>
    </row>
    <row r="8656" spans="1:12" x14ac:dyDescent="0.45">
      <c r="A8656" s="12" t="s">
        <v>15389</v>
      </c>
      <c r="B8656" s="12" t="s">
        <v>15450</v>
      </c>
      <c r="C8656" s="13" t="s">
        <v>15451</v>
      </c>
      <c r="D8656" s="13" t="s">
        <v>202</v>
      </c>
      <c r="E8656" s="12" t="s">
        <v>50</v>
      </c>
      <c r="F8656" s="13"/>
      <c r="G8656" s="13"/>
      <c r="H8656" s="13" t="s">
        <v>15452</v>
      </c>
      <c r="I8656" s="40" t="s">
        <v>18</v>
      </c>
      <c r="J8656" s="40" t="str">
        <f>HYPERLINK("https://stock.pstatic.net/stock-research/company/69/20251010_company_274016000.pdf","PDF")</f>
        <v>PDF</v>
      </c>
      <c r="K8656" s="12" t="s">
        <v>15453</v>
      </c>
    </row>
    <row r="8657" spans="1:12" x14ac:dyDescent="0.45">
      <c r="A8657" s="12" t="s">
        <v>15389</v>
      </c>
      <c r="B8657" s="12" t="s">
        <v>10625</v>
      </c>
      <c r="C8657" s="13" t="s">
        <v>10626</v>
      </c>
      <c r="D8657" s="13" t="s">
        <v>11154</v>
      </c>
      <c r="E8657" s="12" t="s">
        <v>50</v>
      </c>
      <c r="F8657" s="13"/>
      <c r="G8657" s="13"/>
      <c r="H8657" s="13" t="s">
        <v>15454</v>
      </c>
      <c r="I8657" s="40" t="s">
        <v>18</v>
      </c>
      <c r="J8657" s="40" t="str">
        <f>HYPERLINK("https://stock.pstatic.net/stock-research/company/79/20251010_company_596578000.pdf","PDF")</f>
        <v>PDF</v>
      </c>
      <c r="K8657" s="12" t="s">
        <v>15455</v>
      </c>
    </row>
    <row r="8658" spans="1:12" x14ac:dyDescent="0.45">
      <c r="A8658" s="12" t="s">
        <v>15389</v>
      </c>
      <c r="B8658" s="12" t="s">
        <v>15456</v>
      </c>
      <c r="C8658" s="13" t="s">
        <v>15457</v>
      </c>
      <c r="D8658" s="13" t="s">
        <v>202</v>
      </c>
      <c r="E8658" s="12" t="s">
        <v>50</v>
      </c>
      <c r="F8658" s="13"/>
      <c r="G8658" s="13"/>
      <c r="H8658" s="13" t="s">
        <v>15458</v>
      </c>
      <c r="I8658" s="40" t="s">
        <v>18</v>
      </c>
      <c r="J8658" s="40" t="str">
        <f>HYPERLINK("https://stock.pstatic.net/stock-research/company/69/20251010_company_166397000.pdf","PDF")</f>
        <v>PDF</v>
      </c>
      <c r="K8658" s="12" t="s">
        <v>15459</v>
      </c>
    </row>
    <row r="8659" spans="1:12" x14ac:dyDescent="0.45">
      <c r="A8659" s="12" t="s">
        <v>15389</v>
      </c>
      <c r="B8659" s="12" t="s">
        <v>15460</v>
      </c>
      <c r="C8659" s="13" t="s">
        <v>15461</v>
      </c>
      <c r="D8659" s="13" t="s">
        <v>11154</v>
      </c>
      <c r="E8659" s="12" t="s">
        <v>50</v>
      </c>
      <c r="F8659" s="13"/>
      <c r="G8659" s="13"/>
      <c r="H8659" s="13" t="s">
        <v>15462</v>
      </c>
      <c r="I8659" s="40" t="s">
        <v>18</v>
      </c>
      <c r="J8659" s="40" t="str">
        <f>HYPERLINK("https://stock.pstatic.net/stock-research/company/79/20251010_company_167529000.pdf","PDF")</f>
        <v>PDF</v>
      </c>
      <c r="K8659" s="12" t="s">
        <v>15463</v>
      </c>
    </row>
    <row r="8660" spans="1:12" x14ac:dyDescent="0.45">
      <c r="A8660" s="12" t="s">
        <v>15389</v>
      </c>
      <c r="B8660" s="12" t="s">
        <v>15464</v>
      </c>
      <c r="C8660" s="13" t="s">
        <v>15465</v>
      </c>
      <c r="D8660" s="13" t="s">
        <v>202</v>
      </c>
      <c r="E8660" s="12" t="s">
        <v>50</v>
      </c>
      <c r="F8660" s="13"/>
      <c r="G8660" s="13"/>
      <c r="H8660" s="13" t="s">
        <v>15466</v>
      </c>
      <c r="I8660" s="40" t="s">
        <v>18</v>
      </c>
      <c r="J8660" s="40" t="str">
        <f>HYPERLINK("https://stock.pstatic.net/stock-research/company/69/20251010_company_785877000.pdf","PDF")</f>
        <v>PDF</v>
      </c>
      <c r="K8660" s="12" t="s">
        <v>15467</v>
      </c>
    </row>
    <row r="8661" spans="1:12" x14ac:dyDescent="0.45">
      <c r="A8661" s="12" t="s">
        <v>15389</v>
      </c>
      <c r="B8661" s="12" t="s">
        <v>15468</v>
      </c>
      <c r="C8661" s="13" t="s">
        <v>15469</v>
      </c>
      <c r="D8661" s="13" t="s">
        <v>202</v>
      </c>
      <c r="E8661" s="12" t="s">
        <v>50</v>
      </c>
      <c r="F8661" s="13"/>
      <c r="G8661" s="13"/>
      <c r="H8661" s="13" t="s">
        <v>15470</v>
      </c>
      <c r="I8661" s="40" t="s">
        <v>18</v>
      </c>
      <c r="J8661" s="40" t="str">
        <f>HYPERLINK("https://stock.pstatic.net/stock-research/company/69/20251010_company_234884000.pdf","PDF")</f>
        <v>PDF</v>
      </c>
      <c r="K8661" s="12" t="s">
        <v>15471</v>
      </c>
    </row>
    <row r="8662" spans="1:12" x14ac:dyDescent="0.45">
      <c r="A8662" s="12" t="s">
        <v>15389</v>
      </c>
      <c r="B8662" s="12" t="s">
        <v>15472</v>
      </c>
      <c r="C8662" s="13" t="s">
        <v>15473</v>
      </c>
      <c r="D8662" s="13" t="s">
        <v>11154</v>
      </c>
      <c r="E8662" s="12" t="s">
        <v>50</v>
      </c>
      <c r="F8662" s="13"/>
      <c r="G8662" s="13"/>
      <c r="H8662" s="13" t="s">
        <v>15474</v>
      </c>
      <c r="I8662" s="40" t="s">
        <v>18</v>
      </c>
      <c r="J8662" s="40" t="str">
        <f>HYPERLINK("https://stock.pstatic.net/stock-research/company/79/20251010_company_766004000.pdf","PDF")</f>
        <v>PDF</v>
      </c>
      <c r="K8662" s="12" t="s">
        <v>15475</v>
      </c>
    </row>
    <row r="8663" spans="1:12" x14ac:dyDescent="0.45">
      <c r="A8663" s="12" t="s">
        <v>15389</v>
      </c>
      <c r="B8663" s="12" t="s">
        <v>10486</v>
      </c>
      <c r="C8663" s="13" t="s">
        <v>10487</v>
      </c>
      <c r="D8663" s="13" t="s">
        <v>11154</v>
      </c>
      <c r="E8663" s="12" t="s">
        <v>50</v>
      </c>
      <c r="F8663" s="13"/>
      <c r="G8663" s="13"/>
      <c r="H8663" s="13" t="s">
        <v>15476</v>
      </c>
      <c r="I8663" s="40" t="s">
        <v>18</v>
      </c>
      <c r="J8663" s="40" t="str">
        <f>HYPERLINK("https://stock.pstatic.net/stock-research/company/79/20251010_company_362876000.pdf","PDF")</f>
        <v>PDF</v>
      </c>
      <c r="K8663" s="12" t="s">
        <v>15477</v>
      </c>
    </row>
    <row r="8664" spans="1:12" x14ac:dyDescent="0.45">
      <c r="A8664" s="12" t="s">
        <v>15389</v>
      </c>
      <c r="B8664" s="12" t="s">
        <v>15478</v>
      </c>
      <c r="C8664" s="13" t="s">
        <v>15479</v>
      </c>
      <c r="D8664" s="13" t="s">
        <v>11154</v>
      </c>
      <c r="E8664" s="12" t="s">
        <v>50</v>
      </c>
      <c r="F8664" s="13"/>
      <c r="G8664" s="13"/>
      <c r="H8664" s="13" t="s">
        <v>15480</v>
      </c>
      <c r="I8664" s="40" t="s">
        <v>18</v>
      </c>
      <c r="J8664" s="40" t="str">
        <f>HYPERLINK("https://stock.pstatic.net/stock-research/company/79/20251010_company_279142000.pdf","PDF")</f>
        <v>PDF</v>
      </c>
      <c r="K8664" s="12" t="s">
        <v>15481</v>
      </c>
    </row>
    <row r="8665" spans="1:12" x14ac:dyDescent="0.45">
      <c r="A8665" s="12" t="s">
        <v>15389</v>
      </c>
      <c r="B8665" s="12" t="s">
        <v>4222</v>
      </c>
      <c r="C8665" s="13" t="s">
        <v>4223</v>
      </c>
      <c r="D8665" s="13" t="s">
        <v>202</v>
      </c>
      <c r="E8665" s="12" t="s">
        <v>50</v>
      </c>
      <c r="F8665" s="13"/>
      <c r="G8665" s="13"/>
      <c r="H8665" s="13" t="s">
        <v>15482</v>
      </c>
      <c r="I8665" s="40" t="s">
        <v>18</v>
      </c>
      <c r="J8665" s="40" t="str">
        <f>HYPERLINK("https://stock.pstatic.net/stock-research/company/69/20251010_company_38302000.pdf","PDF")</f>
        <v>PDF</v>
      </c>
      <c r="K8665" s="12" t="s">
        <v>15483</v>
      </c>
    </row>
    <row r="8666" spans="1:12" x14ac:dyDescent="0.45">
      <c r="A8666" s="12" t="s">
        <v>15389</v>
      </c>
      <c r="B8666" s="12" t="s">
        <v>15484</v>
      </c>
      <c r="C8666" s="13" t="s">
        <v>15485</v>
      </c>
      <c r="D8666" s="13" t="s">
        <v>202</v>
      </c>
      <c r="E8666" s="12" t="s">
        <v>50</v>
      </c>
      <c r="F8666" s="13"/>
      <c r="G8666" s="13"/>
      <c r="H8666" s="13" t="s">
        <v>15486</v>
      </c>
      <c r="I8666" s="40" t="s">
        <v>18</v>
      </c>
      <c r="J8666" s="40" t="str">
        <f>HYPERLINK("https://stock.pstatic.net/stock-research/company/69/20251010_company_92111000.pdf","PDF")</f>
        <v>PDF</v>
      </c>
      <c r="K8666" s="12" t="s">
        <v>15487</v>
      </c>
    </row>
    <row r="8667" spans="1:12" x14ac:dyDescent="0.45">
      <c r="A8667" s="12" t="s">
        <v>15389</v>
      </c>
      <c r="B8667" s="12" t="s">
        <v>15488</v>
      </c>
      <c r="C8667" s="13" t="s">
        <v>15489</v>
      </c>
      <c r="D8667" s="13" t="s">
        <v>202</v>
      </c>
      <c r="E8667" s="12" t="s">
        <v>50</v>
      </c>
      <c r="F8667" s="13"/>
      <c r="G8667" s="13"/>
      <c r="H8667" s="13" t="s">
        <v>15490</v>
      </c>
      <c r="I8667" s="40" t="s">
        <v>18</v>
      </c>
      <c r="J8667" s="40" t="str">
        <f>HYPERLINK("https://stock.pstatic.net/stock-research/company/69/20251010_company_500052000.pdf","PDF")</f>
        <v>PDF</v>
      </c>
      <c r="K8667" s="12" t="s">
        <v>15491</v>
      </c>
    </row>
    <row r="8668" spans="1:12" x14ac:dyDescent="0.45">
      <c r="A8668" s="12" t="s">
        <v>15389</v>
      </c>
      <c r="B8668" s="12" t="s">
        <v>15492</v>
      </c>
      <c r="C8668" s="13" t="s">
        <v>15493</v>
      </c>
      <c r="D8668" s="13" t="s">
        <v>11154</v>
      </c>
      <c r="E8668" s="12" t="s">
        <v>50</v>
      </c>
      <c r="F8668" s="13"/>
      <c r="G8668" s="13"/>
      <c r="H8668" s="13" t="s">
        <v>15494</v>
      </c>
      <c r="I8668" s="40" t="s">
        <v>18</v>
      </c>
      <c r="J8668" s="40" t="str">
        <f>HYPERLINK("https://stock.pstatic.net/stock-research/company/79/20251010_company_211367000.pdf","PDF")</f>
        <v>PDF</v>
      </c>
      <c r="K8668" s="12" t="s">
        <v>15495</v>
      </c>
    </row>
    <row r="8669" spans="1:12" x14ac:dyDescent="0.45">
      <c r="A8669" s="12" t="s">
        <v>15389</v>
      </c>
      <c r="B8669" s="12" t="s">
        <v>5019</v>
      </c>
      <c r="C8669" s="13" t="s">
        <v>5020</v>
      </c>
      <c r="D8669" s="13" t="s">
        <v>207</v>
      </c>
      <c r="E8669" s="12" t="s">
        <v>50</v>
      </c>
      <c r="F8669" s="13"/>
      <c r="G8669" s="13"/>
      <c r="H8669" s="13" t="s">
        <v>15496</v>
      </c>
      <c r="I8669" s="40" t="s">
        <v>18</v>
      </c>
      <c r="J8669" s="40" t="str">
        <f>HYPERLINK("https://stock.pstatic.net/stock-research/company/75/20251010_company_787130000.pdf","PDF")</f>
        <v>PDF</v>
      </c>
      <c r="K8669" s="12" t="s">
        <v>15497</v>
      </c>
    </row>
    <row r="8670" spans="1:12" x14ac:dyDescent="0.45">
      <c r="A8670" s="12" t="s">
        <v>15389</v>
      </c>
      <c r="B8670" s="12" t="s">
        <v>15498</v>
      </c>
      <c r="C8670" s="13" t="s">
        <v>15499</v>
      </c>
      <c r="D8670" s="13" t="s">
        <v>202</v>
      </c>
      <c r="E8670" s="12" t="s">
        <v>50</v>
      </c>
      <c r="F8670" s="13"/>
      <c r="G8670" s="13"/>
      <c r="H8670" s="13" t="s">
        <v>15500</v>
      </c>
      <c r="I8670" s="40" t="s">
        <v>18</v>
      </c>
      <c r="J8670" s="40" t="str">
        <f>HYPERLINK("https://stock.pstatic.net/stock-research/company/69/20251010_company_569856000.pdf","PDF")</f>
        <v>PDF</v>
      </c>
      <c r="K8670" s="12" t="s">
        <v>15501</v>
      </c>
    </row>
    <row r="8671" spans="1:12" x14ac:dyDescent="0.45">
      <c r="A8671" s="12" t="s">
        <v>15389</v>
      </c>
      <c r="B8671" s="12" t="s">
        <v>15502</v>
      </c>
      <c r="C8671" s="13" t="s">
        <v>15503</v>
      </c>
      <c r="D8671" s="13" t="s">
        <v>11154</v>
      </c>
      <c r="E8671" s="12" t="s">
        <v>50</v>
      </c>
      <c r="F8671" s="13"/>
      <c r="G8671" s="13"/>
      <c r="H8671" s="13" t="s">
        <v>15504</v>
      </c>
      <c r="I8671" s="40" t="s">
        <v>18</v>
      </c>
      <c r="J8671" s="40" t="str">
        <f>HYPERLINK("https://stock.pstatic.net/stock-research/company/79/20251010_company_887810000.pdf","PDF")</f>
        <v>PDF</v>
      </c>
      <c r="K8671" s="12" t="s">
        <v>15505</v>
      </c>
    </row>
    <row r="8672" spans="1:12" x14ac:dyDescent="0.45">
      <c r="A8672" s="12" t="s">
        <v>15506</v>
      </c>
      <c r="B8672" s="12" t="s">
        <v>1930</v>
      </c>
      <c r="C8672" s="13" t="s">
        <v>1931</v>
      </c>
      <c r="D8672" s="13" t="s">
        <v>57</v>
      </c>
      <c r="E8672" s="12" t="s">
        <v>159</v>
      </c>
      <c r="F8672" s="14">
        <v>250000</v>
      </c>
      <c r="G8672" s="14">
        <v>234500</v>
      </c>
      <c r="H8672" s="13" t="s">
        <v>15507</v>
      </c>
      <c r="I8672" s="40" t="s">
        <v>18</v>
      </c>
      <c r="J8672" s="40" t="str">
        <f>HYPERLINK("https://stock.pstatic.net/stock-research/company/16/20251002_company_911242000.pdf","PDF")</f>
        <v>PDF</v>
      </c>
      <c r="K8672" s="12" t="s">
        <v>15508</v>
      </c>
      <c r="L8672" s="20">
        <v>6.6098081023454158E-2</v>
      </c>
    </row>
    <row r="8673" spans="1:12" x14ac:dyDescent="0.45">
      <c r="A8673" s="12" t="s">
        <v>15506</v>
      </c>
      <c r="B8673" s="12" t="s">
        <v>519</v>
      </c>
      <c r="C8673" s="13" t="s">
        <v>520</v>
      </c>
      <c r="D8673" s="13" t="s">
        <v>57</v>
      </c>
      <c r="E8673" s="12" t="s">
        <v>35</v>
      </c>
      <c r="F8673" s="14">
        <v>270000</v>
      </c>
      <c r="G8673" s="14">
        <v>215500</v>
      </c>
      <c r="H8673" s="13" t="s">
        <v>15509</v>
      </c>
      <c r="I8673" s="40" t="s">
        <v>18</v>
      </c>
      <c r="J8673" s="40" t="str">
        <f>HYPERLINK("https://stock.pstatic.net/stock-research/company/16/20251002_company_307354000.pdf","PDF")</f>
        <v>PDF</v>
      </c>
      <c r="K8673" s="12" t="s">
        <v>15510</v>
      </c>
      <c r="L8673" s="20">
        <v>0.25290023201856149</v>
      </c>
    </row>
    <row r="8674" spans="1:12" x14ac:dyDescent="0.45">
      <c r="A8674" s="12" t="s">
        <v>15506</v>
      </c>
      <c r="B8674" s="12" t="s">
        <v>1765</v>
      </c>
      <c r="C8674" s="13" t="s">
        <v>1766</v>
      </c>
      <c r="D8674" s="13" t="s">
        <v>57</v>
      </c>
      <c r="E8674" s="12" t="s">
        <v>35</v>
      </c>
      <c r="F8674" s="14">
        <v>125000</v>
      </c>
      <c r="G8674" s="14">
        <v>100600</v>
      </c>
      <c r="H8674" s="13" t="s">
        <v>15511</v>
      </c>
      <c r="I8674" s="40" t="s">
        <v>18</v>
      </c>
      <c r="J8674" s="40" t="str">
        <f>HYPERLINK("https://stock.pstatic.net/stock-research/company/16/20251002_company_748775000.pdf","PDF")</f>
        <v>PDF</v>
      </c>
      <c r="K8674" s="12" t="s">
        <v>15512</v>
      </c>
      <c r="L8674" s="20">
        <v>0.24254473161033799</v>
      </c>
    </row>
    <row r="8675" spans="1:12" x14ac:dyDescent="0.45">
      <c r="A8675" s="12" t="s">
        <v>15506</v>
      </c>
      <c r="B8675" s="12" t="s">
        <v>1019</v>
      </c>
      <c r="C8675" s="13" t="s">
        <v>1020</v>
      </c>
      <c r="D8675" s="13" t="s">
        <v>57</v>
      </c>
      <c r="E8675" s="12" t="s">
        <v>35</v>
      </c>
      <c r="F8675" s="14">
        <v>28000</v>
      </c>
      <c r="G8675" s="14">
        <v>17790</v>
      </c>
      <c r="H8675" s="13" t="s">
        <v>15513</v>
      </c>
      <c r="I8675" s="40" t="s">
        <v>18</v>
      </c>
      <c r="J8675" s="40" t="str">
        <f>HYPERLINK("https://stock.pstatic.net/stock-research/company/16/20251002_company_583169000.pdf","PDF")</f>
        <v>PDF</v>
      </c>
      <c r="K8675" s="12" t="s">
        <v>15514</v>
      </c>
      <c r="L8675" s="20">
        <v>0.57391793142214731</v>
      </c>
    </row>
    <row r="8676" spans="1:12" x14ac:dyDescent="0.45">
      <c r="A8676" s="12" t="s">
        <v>15506</v>
      </c>
      <c r="B8676" s="12" t="s">
        <v>1019</v>
      </c>
      <c r="C8676" s="13" t="s">
        <v>1020</v>
      </c>
      <c r="D8676" s="13" t="s">
        <v>276</v>
      </c>
      <c r="E8676" s="12" t="s">
        <v>16</v>
      </c>
      <c r="F8676" s="14">
        <v>30000</v>
      </c>
      <c r="G8676" s="14">
        <v>17790</v>
      </c>
      <c r="H8676" s="13" t="s">
        <v>15515</v>
      </c>
      <c r="I8676" s="40" t="s">
        <v>18</v>
      </c>
      <c r="J8676" s="40" t="str">
        <f>HYPERLINK("https://stock.pstatic.net/stock-research/company/66/20251002_company_463646000.pdf","PDF")</f>
        <v>PDF</v>
      </c>
      <c r="K8676" s="12" t="s">
        <v>15516</v>
      </c>
      <c r="L8676" s="20">
        <v>0.68634064080944346</v>
      </c>
    </row>
    <row r="8677" spans="1:12" x14ac:dyDescent="0.45">
      <c r="A8677" s="12" t="s">
        <v>15506</v>
      </c>
      <c r="B8677" s="12" t="s">
        <v>1930</v>
      </c>
      <c r="C8677" s="13" t="s">
        <v>1931</v>
      </c>
      <c r="D8677" s="13" t="s">
        <v>276</v>
      </c>
      <c r="E8677" s="12" t="s">
        <v>16</v>
      </c>
      <c r="F8677" s="14">
        <v>350000</v>
      </c>
      <c r="G8677" s="14">
        <v>234500</v>
      </c>
      <c r="H8677" s="13" t="s">
        <v>15517</v>
      </c>
      <c r="I8677" s="40" t="s">
        <v>18</v>
      </c>
      <c r="J8677" s="40" t="str">
        <f>HYPERLINK("https://stock.pstatic.net/stock-research/company/66/20251002_company_544749000.pdf","PDF")</f>
        <v>PDF</v>
      </c>
      <c r="K8677" s="12" t="s">
        <v>15518</v>
      </c>
      <c r="L8677" s="20">
        <v>0.4925373134328358</v>
      </c>
    </row>
    <row r="8678" spans="1:12" x14ac:dyDescent="0.45">
      <c r="A8678" s="12" t="s">
        <v>15506</v>
      </c>
      <c r="B8678" s="12" t="s">
        <v>3296</v>
      </c>
      <c r="C8678" s="13" t="s">
        <v>3297</v>
      </c>
      <c r="D8678" s="13" t="s">
        <v>276</v>
      </c>
      <c r="E8678" s="12" t="s">
        <v>16</v>
      </c>
      <c r="F8678" s="14">
        <v>61000</v>
      </c>
      <c r="G8678" s="14">
        <v>44750</v>
      </c>
      <c r="H8678" s="13" t="s">
        <v>15519</v>
      </c>
      <c r="I8678" s="40" t="s">
        <v>18</v>
      </c>
      <c r="J8678" s="40" t="str">
        <f>HYPERLINK("https://stock.pstatic.net/stock-research/company/66/20251002_company_246668000.pdf","PDF")</f>
        <v>PDF</v>
      </c>
      <c r="K8678" s="12" t="s">
        <v>15520</v>
      </c>
      <c r="L8678" s="20">
        <v>0.36312849162011168</v>
      </c>
    </row>
    <row r="8679" spans="1:12" x14ac:dyDescent="0.45">
      <c r="A8679" s="12" t="s">
        <v>15506</v>
      </c>
      <c r="B8679" s="12" t="s">
        <v>434</v>
      </c>
      <c r="C8679" s="13" t="s">
        <v>435</v>
      </c>
      <c r="D8679" s="13" t="s">
        <v>60</v>
      </c>
      <c r="E8679" s="12" t="s">
        <v>35</v>
      </c>
      <c r="F8679" s="14">
        <v>160000</v>
      </c>
      <c r="G8679" s="14">
        <v>123200</v>
      </c>
      <c r="H8679" s="13" t="s">
        <v>15521</v>
      </c>
      <c r="I8679" s="40" t="s">
        <v>18</v>
      </c>
      <c r="J8679" s="40" t="str">
        <f>HYPERLINK("https://stock.pstatic.net/stock-research/company/34/20251002_company_84382000.pdf","PDF")</f>
        <v>PDF</v>
      </c>
      <c r="K8679" s="12" t="s">
        <v>15522</v>
      </c>
      <c r="L8679" s="20">
        <v>0.29870129870129869</v>
      </c>
    </row>
    <row r="8680" spans="1:12" x14ac:dyDescent="0.45">
      <c r="A8680" s="12" t="s">
        <v>15506</v>
      </c>
      <c r="B8680" s="12" t="s">
        <v>2266</v>
      </c>
      <c r="C8680" s="13" t="s">
        <v>2267</v>
      </c>
      <c r="D8680" s="13" t="s">
        <v>65</v>
      </c>
      <c r="E8680" s="12" t="s">
        <v>35</v>
      </c>
      <c r="F8680" s="14">
        <v>135000</v>
      </c>
      <c r="G8680" s="14">
        <v>106700</v>
      </c>
      <c r="H8680" s="13" t="s">
        <v>15523</v>
      </c>
      <c r="I8680" s="40" t="s">
        <v>18</v>
      </c>
      <c r="J8680" s="40" t="str">
        <f>HYPERLINK("https://stock.pstatic.net/stock-research/company/57/20251002_company_898576000.pdf","PDF")</f>
        <v>PDF</v>
      </c>
      <c r="K8680" s="12" t="s">
        <v>15524</v>
      </c>
      <c r="L8680" s="20">
        <v>0.26522961574507958</v>
      </c>
    </row>
    <row r="8681" spans="1:12" x14ac:dyDescent="0.45">
      <c r="A8681" s="12" t="s">
        <v>15506</v>
      </c>
      <c r="B8681" s="12" t="s">
        <v>1686</v>
      </c>
      <c r="C8681" s="13" t="s">
        <v>1687</v>
      </c>
      <c r="D8681" s="13" t="s">
        <v>65</v>
      </c>
      <c r="E8681" s="12" t="s">
        <v>35</v>
      </c>
      <c r="F8681" s="14">
        <v>1800000</v>
      </c>
      <c r="G8681" s="14">
        <v>1558000</v>
      </c>
      <c r="H8681" s="13" t="s">
        <v>15525</v>
      </c>
      <c r="I8681" s="40" t="s">
        <v>18</v>
      </c>
      <c r="J8681" s="40" t="str">
        <f>HYPERLINK("https://stock.pstatic.net/stock-research/company/57/20251002_company_397956000.pdf","PDF")</f>
        <v>PDF</v>
      </c>
      <c r="K8681" s="12" t="s">
        <v>15526</v>
      </c>
      <c r="L8681" s="20">
        <v>0.15532734274711171</v>
      </c>
    </row>
    <row r="8682" spans="1:12" x14ac:dyDescent="0.45">
      <c r="A8682" s="12" t="s">
        <v>15506</v>
      </c>
      <c r="B8682" s="12" t="s">
        <v>1308</v>
      </c>
      <c r="C8682" s="13" t="s">
        <v>1309</v>
      </c>
      <c r="D8682" s="13" t="s">
        <v>65</v>
      </c>
      <c r="E8682" s="12" t="s">
        <v>35</v>
      </c>
      <c r="F8682" s="14">
        <v>540000</v>
      </c>
      <c r="G8682" s="14">
        <v>445500</v>
      </c>
      <c r="H8682" s="13" t="s">
        <v>15527</v>
      </c>
      <c r="I8682" s="40" t="s">
        <v>18</v>
      </c>
      <c r="J8682" s="40" t="str">
        <f>HYPERLINK("https://stock.pstatic.net/stock-research/company/57/20251002_company_56625000.pdf","PDF")</f>
        <v>PDF</v>
      </c>
      <c r="K8682" s="12" t="s">
        <v>15528</v>
      </c>
      <c r="L8682" s="20">
        <v>0.2121212121212121</v>
      </c>
    </row>
    <row r="8683" spans="1:12" x14ac:dyDescent="0.45">
      <c r="A8683" s="12" t="s">
        <v>15506</v>
      </c>
      <c r="B8683" s="12" t="s">
        <v>2956</v>
      </c>
      <c r="C8683" s="13" t="s">
        <v>2957</v>
      </c>
      <c r="D8683" s="13" t="s">
        <v>65</v>
      </c>
      <c r="E8683" s="12" t="s">
        <v>35</v>
      </c>
      <c r="F8683" s="14">
        <v>24000</v>
      </c>
      <c r="G8683" s="14">
        <v>18500</v>
      </c>
      <c r="H8683" s="13" t="s">
        <v>15529</v>
      </c>
      <c r="I8683" s="40" t="s">
        <v>18</v>
      </c>
      <c r="J8683" s="40" t="str">
        <f>HYPERLINK("https://stock.pstatic.net/stock-research/company/57/20251002_company_56097000.pdf","PDF")</f>
        <v>PDF</v>
      </c>
      <c r="K8683" s="12" t="s">
        <v>15530</v>
      </c>
      <c r="L8683" s="20">
        <v>0.29729729729729731</v>
      </c>
    </row>
    <row r="8684" spans="1:12" x14ac:dyDescent="0.45">
      <c r="A8684" s="12" t="s">
        <v>15506</v>
      </c>
      <c r="B8684" s="12" t="s">
        <v>1389</v>
      </c>
      <c r="C8684" s="13" t="s">
        <v>1390</v>
      </c>
      <c r="D8684" s="13" t="s">
        <v>158</v>
      </c>
      <c r="E8684" s="12" t="s">
        <v>50</v>
      </c>
      <c r="F8684" s="13"/>
      <c r="G8684" s="14">
        <v>15700</v>
      </c>
      <c r="H8684" s="13" t="s">
        <v>15531</v>
      </c>
      <c r="I8684" s="40" t="s">
        <v>18</v>
      </c>
      <c r="J8684" s="40" t="str">
        <f>HYPERLINK("https://stock.pstatic.net/stock-research/company/18/20251002_company_614510000.pdf","PDF")</f>
        <v>PDF</v>
      </c>
      <c r="K8684" s="12" t="s">
        <v>15532</v>
      </c>
    </row>
    <row r="8685" spans="1:12" x14ac:dyDescent="0.45">
      <c r="A8685" s="12" t="s">
        <v>15506</v>
      </c>
      <c r="B8685" s="12" t="s">
        <v>3296</v>
      </c>
      <c r="C8685" s="13" t="s">
        <v>3297</v>
      </c>
      <c r="D8685" s="13" t="s">
        <v>158</v>
      </c>
      <c r="E8685" s="12" t="s">
        <v>35</v>
      </c>
      <c r="F8685" s="14">
        <v>58000</v>
      </c>
      <c r="G8685" s="14">
        <v>44750</v>
      </c>
      <c r="H8685" s="13" t="s">
        <v>15533</v>
      </c>
      <c r="I8685" s="40" t="s">
        <v>18</v>
      </c>
      <c r="J8685" s="40" t="str">
        <f>HYPERLINK("https://stock.pstatic.net/stock-research/company/18/20251002_company_379007000.pdf","PDF")</f>
        <v>PDF</v>
      </c>
      <c r="K8685" s="12" t="s">
        <v>15534</v>
      </c>
      <c r="L8685" s="20">
        <v>0.29608938547486041</v>
      </c>
    </row>
    <row r="8686" spans="1:12" x14ac:dyDescent="0.45">
      <c r="A8686" s="12" t="s">
        <v>15506</v>
      </c>
      <c r="B8686" s="12" t="s">
        <v>3284</v>
      </c>
      <c r="C8686" s="13" t="s">
        <v>3285</v>
      </c>
      <c r="D8686" s="13" t="s">
        <v>158</v>
      </c>
      <c r="E8686" s="12" t="s">
        <v>35</v>
      </c>
      <c r="F8686" s="14">
        <v>143000</v>
      </c>
      <c r="G8686" s="14">
        <v>110300</v>
      </c>
      <c r="H8686" s="13" t="s">
        <v>15535</v>
      </c>
      <c r="I8686" s="40" t="s">
        <v>18</v>
      </c>
      <c r="J8686" s="40" t="str">
        <f>HYPERLINK("https://stock.pstatic.net/stock-research/company/18/20251002_company_918495000.pdf","PDF")</f>
        <v>PDF</v>
      </c>
      <c r="K8686" s="12" t="s">
        <v>15536</v>
      </c>
      <c r="L8686" s="20">
        <v>0.29646418857660922</v>
      </c>
    </row>
    <row r="8687" spans="1:12" x14ac:dyDescent="0.45">
      <c r="A8687" s="12" t="s">
        <v>15506</v>
      </c>
      <c r="B8687" s="12" t="s">
        <v>2435</v>
      </c>
      <c r="C8687" s="13" t="s">
        <v>2436</v>
      </c>
      <c r="D8687" s="13" t="s">
        <v>158</v>
      </c>
      <c r="E8687" s="12" t="s">
        <v>35</v>
      </c>
      <c r="F8687" s="14">
        <v>658000</v>
      </c>
      <c r="G8687" s="14">
        <v>515000</v>
      </c>
      <c r="H8687" s="13" t="s">
        <v>15537</v>
      </c>
      <c r="I8687" s="40" t="s">
        <v>18</v>
      </c>
      <c r="J8687" s="40" t="str">
        <f>HYPERLINK("https://stock.pstatic.net/stock-research/company/18/20251002_company_389604000.pdf","PDF")</f>
        <v>PDF</v>
      </c>
      <c r="K8687" s="12" t="s">
        <v>15538</v>
      </c>
      <c r="L8687" s="20">
        <v>0.27766990291262128</v>
      </c>
    </row>
    <row r="8688" spans="1:12" x14ac:dyDescent="0.45">
      <c r="A8688" s="12" t="s">
        <v>15506</v>
      </c>
      <c r="B8688" s="12" t="s">
        <v>3087</v>
      </c>
      <c r="C8688" s="13" t="s">
        <v>3088</v>
      </c>
      <c r="D8688" s="13" t="s">
        <v>158</v>
      </c>
      <c r="E8688" s="12" t="s">
        <v>35</v>
      </c>
      <c r="F8688" s="14">
        <v>300000</v>
      </c>
      <c r="G8688" s="14">
        <v>210000</v>
      </c>
      <c r="H8688" s="13" t="s">
        <v>15539</v>
      </c>
      <c r="I8688" s="40" t="s">
        <v>18</v>
      </c>
      <c r="J8688" s="40" t="str">
        <f>HYPERLINK("https://stock.pstatic.net/stock-research/company/18/20251002_company_236906000.pdf","PDF")</f>
        <v>PDF</v>
      </c>
      <c r="K8688" s="12" t="s">
        <v>15540</v>
      </c>
      <c r="L8688" s="20">
        <v>0.42857142857142849</v>
      </c>
    </row>
    <row r="8689" spans="1:12" x14ac:dyDescent="0.45">
      <c r="A8689" s="12" t="s">
        <v>15506</v>
      </c>
      <c r="B8689" s="12" t="s">
        <v>744</v>
      </c>
      <c r="C8689" s="13" t="s">
        <v>745</v>
      </c>
      <c r="D8689" s="13" t="s">
        <v>158</v>
      </c>
      <c r="E8689" s="12" t="s">
        <v>35</v>
      </c>
      <c r="F8689" s="14">
        <v>26000</v>
      </c>
      <c r="G8689" s="14">
        <v>21900</v>
      </c>
      <c r="H8689" s="13" t="s">
        <v>15541</v>
      </c>
      <c r="I8689" s="40" t="s">
        <v>18</v>
      </c>
      <c r="J8689" s="40" t="str">
        <f>HYPERLINK("https://stock.pstatic.net/stock-research/company/18/20251002_company_590751000.pdf","PDF")</f>
        <v>PDF</v>
      </c>
      <c r="K8689" s="12" t="s">
        <v>15542</v>
      </c>
      <c r="L8689" s="20">
        <v>0.18721461187214611</v>
      </c>
    </row>
    <row r="8690" spans="1:12" x14ac:dyDescent="0.45">
      <c r="A8690" s="12" t="s">
        <v>15506</v>
      </c>
      <c r="B8690" s="12" t="s">
        <v>1781</v>
      </c>
      <c r="C8690" s="13" t="s">
        <v>1782</v>
      </c>
      <c r="D8690" s="13" t="s">
        <v>83</v>
      </c>
      <c r="E8690" s="12" t="s">
        <v>35</v>
      </c>
      <c r="F8690" s="14">
        <v>105000</v>
      </c>
      <c r="G8690" s="14">
        <v>75100</v>
      </c>
      <c r="H8690" s="13" t="s">
        <v>15543</v>
      </c>
      <c r="I8690" s="40" t="s">
        <v>18</v>
      </c>
      <c r="J8690" s="40" t="str">
        <f>HYPERLINK("https://stock.pstatic.net/stock-research/company/2/20251002_company_941807000.pdf","PDF")</f>
        <v>PDF</v>
      </c>
      <c r="K8690" s="12" t="s">
        <v>15544</v>
      </c>
      <c r="L8690" s="20">
        <v>0.3981358189081225</v>
      </c>
    </row>
    <row r="8691" spans="1:12" x14ac:dyDescent="0.45">
      <c r="A8691" s="12" t="s">
        <v>15506</v>
      </c>
      <c r="B8691" s="12" t="s">
        <v>1930</v>
      </c>
      <c r="C8691" s="13" t="s">
        <v>1931</v>
      </c>
      <c r="D8691" s="13" t="s">
        <v>83</v>
      </c>
      <c r="E8691" s="12" t="s">
        <v>35</v>
      </c>
      <c r="F8691" s="14">
        <v>300000</v>
      </c>
      <c r="G8691" s="14">
        <v>234500</v>
      </c>
      <c r="H8691" s="13" t="s">
        <v>15545</v>
      </c>
      <c r="I8691" s="40" t="s">
        <v>18</v>
      </c>
      <c r="J8691" s="40" t="str">
        <f>HYPERLINK("https://stock.pstatic.net/stock-research/company/2/20251002_company_362814000.pdf","PDF")</f>
        <v>PDF</v>
      </c>
      <c r="K8691" s="12" t="s">
        <v>15546</v>
      </c>
      <c r="L8691" s="20">
        <v>0.27931769722814498</v>
      </c>
    </row>
    <row r="8692" spans="1:12" x14ac:dyDescent="0.45">
      <c r="A8692" s="12" t="s">
        <v>15506</v>
      </c>
      <c r="B8692" s="12" t="s">
        <v>2546</v>
      </c>
      <c r="C8692" s="13" t="s">
        <v>2547</v>
      </c>
      <c r="D8692" s="13" t="s">
        <v>124</v>
      </c>
      <c r="E8692" s="12" t="s">
        <v>50</v>
      </c>
      <c r="F8692" s="13"/>
      <c r="G8692" s="13"/>
      <c r="H8692" s="13" t="s">
        <v>15547</v>
      </c>
      <c r="I8692" s="40" t="s">
        <v>18</v>
      </c>
      <c r="J8692" s="40" t="str">
        <f>HYPERLINK("https://stock.pstatic.net/stock-research/company/74/20251015_company_673782000.pdf","PDF")</f>
        <v>PDF</v>
      </c>
      <c r="K8692" s="12" t="s">
        <v>15548</v>
      </c>
    </row>
    <row r="8693" spans="1:12" x14ac:dyDescent="0.45">
      <c r="A8693" s="12" t="s">
        <v>15506</v>
      </c>
      <c r="B8693" s="12" t="s">
        <v>15549</v>
      </c>
      <c r="C8693" s="13" t="s">
        <v>15550</v>
      </c>
      <c r="D8693" s="13" t="s">
        <v>124</v>
      </c>
      <c r="E8693" s="12" t="s">
        <v>50</v>
      </c>
      <c r="F8693" s="13"/>
      <c r="G8693" s="13"/>
      <c r="H8693" s="13" t="s">
        <v>15551</v>
      </c>
      <c r="I8693" s="40" t="s">
        <v>18</v>
      </c>
      <c r="J8693" s="40" t="str">
        <f>HYPERLINK("https://stock.pstatic.net/stock-research/company/74/20251002_company_576153000.pdf","PDF")</f>
        <v>PDF</v>
      </c>
      <c r="K8693" s="12" t="s">
        <v>15552</v>
      </c>
    </row>
    <row r="8694" spans="1:12" x14ac:dyDescent="0.45">
      <c r="A8694" s="12" t="s">
        <v>15506</v>
      </c>
      <c r="B8694" s="12" t="s">
        <v>2435</v>
      </c>
      <c r="C8694" s="13" t="s">
        <v>2436</v>
      </c>
      <c r="D8694" s="13" t="s">
        <v>53</v>
      </c>
      <c r="E8694" s="12" t="s">
        <v>16</v>
      </c>
      <c r="F8694" s="14">
        <v>650000</v>
      </c>
      <c r="G8694" s="14">
        <v>528000</v>
      </c>
      <c r="H8694" s="13" t="s">
        <v>15553</v>
      </c>
      <c r="I8694" s="40" t="s">
        <v>18</v>
      </c>
      <c r="J8694" s="40" t="str">
        <f>HYPERLINK("https://stock.pstatic.net/stock-research/company/40/20251010_company_526055000.pdf","PDF")</f>
        <v>PDF</v>
      </c>
      <c r="K8694" s="12" t="s">
        <v>15554</v>
      </c>
      <c r="L8694" s="20">
        <v>0.23106060606060599</v>
      </c>
    </row>
    <row r="8695" spans="1:12" x14ac:dyDescent="0.45">
      <c r="A8695" s="12" t="s">
        <v>15506</v>
      </c>
      <c r="B8695" s="12" t="s">
        <v>13410</v>
      </c>
      <c r="C8695" s="13" t="s">
        <v>13411</v>
      </c>
      <c r="D8695" s="13" t="s">
        <v>53</v>
      </c>
      <c r="E8695" s="12" t="s">
        <v>16</v>
      </c>
      <c r="F8695" s="14">
        <v>260000</v>
      </c>
      <c r="G8695" s="14">
        <v>208500</v>
      </c>
      <c r="H8695" s="13" t="s">
        <v>15555</v>
      </c>
      <c r="I8695" s="40" t="s">
        <v>18</v>
      </c>
      <c r="J8695" s="40" t="str">
        <f>HYPERLINK("https://stock.pstatic.net/stock-research/company/40/20251002_company_441977000.pdf","PDF")</f>
        <v>PDF</v>
      </c>
      <c r="K8695" s="12" t="s">
        <v>15556</v>
      </c>
      <c r="L8695" s="20">
        <v>0.24700239808153479</v>
      </c>
    </row>
    <row r="8696" spans="1:12" x14ac:dyDescent="0.45">
      <c r="A8696" s="12" t="s">
        <v>15506</v>
      </c>
      <c r="B8696" s="12" t="s">
        <v>792</v>
      </c>
      <c r="C8696" s="13" t="s">
        <v>793</v>
      </c>
      <c r="D8696" s="13" t="s">
        <v>92</v>
      </c>
      <c r="E8696" s="12" t="s">
        <v>159</v>
      </c>
      <c r="F8696" s="14">
        <v>27000</v>
      </c>
      <c r="G8696" s="14">
        <v>28600</v>
      </c>
      <c r="H8696" s="13" t="s">
        <v>15557</v>
      </c>
      <c r="I8696" s="40" t="s">
        <v>18</v>
      </c>
      <c r="J8696" s="40" t="str">
        <f>HYPERLINK("https://stock.pstatic.net/stock-research/company/63/20251002_company_231258000.pdf","PDF")</f>
        <v>PDF</v>
      </c>
      <c r="K8696" s="12" t="s">
        <v>15558</v>
      </c>
      <c r="L8696" s="20">
        <v>-5.5944055944055937E-2</v>
      </c>
    </row>
    <row r="8697" spans="1:12" x14ac:dyDescent="0.45">
      <c r="A8697" s="12" t="s">
        <v>15506</v>
      </c>
      <c r="B8697" s="12" t="s">
        <v>32</v>
      </c>
      <c r="C8697" s="13" t="s">
        <v>33</v>
      </c>
      <c r="D8697" s="13" t="s">
        <v>44</v>
      </c>
      <c r="E8697" s="12" t="s">
        <v>35</v>
      </c>
      <c r="F8697" s="14">
        <v>250000</v>
      </c>
      <c r="G8697" s="14">
        <v>193300</v>
      </c>
      <c r="H8697" s="13" t="s">
        <v>15559</v>
      </c>
      <c r="I8697" s="40" t="s">
        <v>18</v>
      </c>
      <c r="J8697" s="40" t="str">
        <f>HYPERLINK("https://stock.pstatic.net/stock-research/company/39/20251002_company_434399000.pdf","PDF")</f>
        <v>PDF</v>
      </c>
      <c r="K8697" s="12" t="s">
        <v>15560</v>
      </c>
      <c r="L8697" s="20">
        <v>0.2933264355923435</v>
      </c>
    </row>
    <row r="8698" spans="1:12" x14ac:dyDescent="0.45">
      <c r="A8698" s="12" t="s">
        <v>15506</v>
      </c>
      <c r="B8698" s="12" t="s">
        <v>1781</v>
      </c>
      <c r="C8698" s="13" t="s">
        <v>1782</v>
      </c>
      <c r="D8698" s="13" t="s">
        <v>23</v>
      </c>
      <c r="E8698" s="12" t="s">
        <v>16</v>
      </c>
      <c r="F8698" s="14">
        <v>100000</v>
      </c>
      <c r="G8698" s="14">
        <v>75100</v>
      </c>
      <c r="H8698" s="13" t="s">
        <v>15561</v>
      </c>
      <c r="I8698" s="40" t="s">
        <v>18</v>
      </c>
      <c r="J8698" s="40" t="str">
        <f>HYPERLINK("https://stock.pstatic.net/stock-research/company/21/20251002_company_244812000.pdf","PDF")</f>
        <v>PDF</v>
      </c>
      <c r="K8698" s="12" t="s">
        <v>15562</v>
      </c>
      <c r="L8698" s="20">
        <v>0.33155792276964052</v>
      </c>
    </row>
    <row r="8699" spans="1:12" x14ac:dyDescent="0.45">
      <c r="A8699" s="12" t="s">
        <v>15506</v>
      </c>
      <c r="B8699" s="12" t="s">
        <v>2982</v>
      </c>
      <c r="C8699" s="13" t="s">
        <v>2983</v>
      </c>
      <c r="D8699" s="13" t="s">
        <v>44</v>
      </c>
      <c r="E8699" s="12" t="s">
        <v>35</v>
      </c>
      <c r="F8699" s="14">
        <v>52000</v>
      </c>
      <c r="G8699" s="14">
        <v>40800</v>
      </c>
      <c r="H8699" s="13" t="s">
        <v>15563</v>
      </c>
      <c r="I8699" s="40" t="s">
        <v>18</v>
      </c>
      <c r="J8699" s="40" t="str">
        <f>HYPERLINK("https://stock.pstatic.net/stock-research/company/39/20251002_company_741012000.pdf","PDF")</f>
        <v>PDF</v>
      </c>
      <c r="K8699" s="12" t="s">
        <v>15564</v>
      </c>
      <c r="L8699" s="20">
        <v>0.27450980392156871</v>
      </c>
    </row>
    <row r="8700" spans="1:12" x14ac:dyDescent="0.45">
      <c r="A8700" s="12" t="s">
        <v>15506</v>
      </c>
      <c r="B8700" s="12" t="s">
        <v>3831</v>
      </c>
      <c r="C8700" s="13" t="s">
        <v>3832</v>
      </c>
      <c r="D8700" s="13" t="s">
        <v>44</v>
      </c>
      <c r="E8700" s="12" t="s">
        <v>35</v>
      </c>
      <c r="F8700" s="14">
        <v>45000</v>
      </c>
      <c r="G8700" s="14">
        <v>33550</v>
      </c>
      <c r="H8700" s="13" t="s">
        <v>15565</v>
      </c>
      <c r="I8700" s="40" t="s">
        <v>18</v>
      </c>
      <c r="J8700" s="40" t="str">
        <f>HYPERLINK("https://stock.pstatic.net/stock-research/company/39/20251002_company_913339000.pdf","PDF")</f>
        <v>PDF</v>
      </c>
      <c r="K8700" s="12" t="s">
        <v>15566</v>
      </c>
      <c r="L8700" s="20">
        <v>0.3412816691505216</v>
      </c>
    </row>
    <row r="8701" spans="1:12" x14ac:dyDescent="0.45">
      <c r="A8701" s="12" t="s">
        <v>15506</v>
      </c>
      <c r="B8701" s="12" t="s">
        <v>3164</v>
      </c>
      <c r="C8701" s="13" t="s">
        <v>3165</v>
      </c>
      <c r="D8701" s="13" t="s">
        <v>44</v>
      </c>
      <c r="E8701" s="12" t="s">
        <v>35</v>
      </c>
      <c r="F8701" s="14">
        <v>99000</v>
      </c>
      <c r="G8701" s="14">
        <v>56200</v>
      </c>
      <c r="H8701" s="13" t="s">
        <v>15567</v>
      </c>
      <c r="I8701" s="40" t="s">
        <v>18</v>
      </c>
      <c r="J8701" s="40" t="str">
        <f>HYPERLINK("https://stock.pstatic.net/stock-research/company/39/20251002_company_642290000.pdf","PDF")</f>
        <v>PDF</v>
      </c>
      <c r="K8701" s="12" t="s">
        <v>15568</v>
      </c>
      <c r="L8701" s="20">
        <v>0.76156583629893237</v>
      </c>
    </row>
    <row r="8702" spans="1:12" x14ac:dyDescent="0.45">
      <c r="A8702" s="12" t="s">
        <v>15506</v>
      </c>
      <c r="B8702" s="12" t="s">
        <v>1773</v>
      </c>
      <c r="C8702" s="13" t="s">
        <v>1774</v>
      </c>
      <c r="D8702" s="13" t="s">
        <v>34</v>
      </c>
      <c r="E8702" s="12" t="s">
        <v>35</v>
      </c>
      <c r="F8702" s="14">
        <v>120000</v>
      </c>
      <c r="G8702" s="14">
        <v>83800</v>
      </c>
      <c r="H8702" s="13" t="s">
        <v>15569</v>
      </c>
      <c r="I8702" s="40" t="s">
        <v>18</v>
      </c>
      <c r="J8702" s="40" t="str">
        <f>HYPERLINK("https://stock.pstatic.net/stock-research/company/61/20251002_company_274952000.pdf","PDF")</f>
        <v>PDF</v>
      </c>
      <c r="K8702" s="12" t="s">
        <v>15570</v>
      </c>
      <c r="L8702" s="20">
        <v>0.43198090692124103</v>
      </c>
    </row>
    <row r="8703" spans="1:12" x14ac:dyDescent="0.45">
      <c r="A8703" s="12" t="s">
        <v>15506</v>
      </c>
      <c r="B8703" s="12" t="s">
        <v>2795</v>
      </c>
      <c r="C8703" s="13" t="s">
        <v>2796</v>
      </c>
      <c r="D8703" s="13" t="s">
        <v>34</v>
      </c>
      <c r="E8703" s="12" t="s">
        <v>35</v>
      </c>
      <c r="F8703" s="14">
        <v>5800</v>
      </c>
      <c r="G8703" s="14">
        <v>3770</v>
      </c>
      <c r="H8703" s="13" t="s">
        <v>15571</v>
      </c>
      <c r="I8703" s="40" t="s">
        <v>18</v>
      </c>
      <c r="J8703" s="40" t="str">
        <f>HYPERLINK("https://stock.pstatic.net/stock-research/company/61/20251002_company_209305000.pdf","PDF")</f>
        <v>PDF</v>
      </c>
      <c r="K8703" s="12" t="s">
        <v>15572</v>
      </c>
      <c r="L8703" s="20">
        <v>0.53846153846153844</v>
      </c>
    </row>
    <row r="8704" spans="1:12" x14ac:dyDescent="0.45">
      <c r="A8704" s="12" t="s">
        <v>15506</v>
      </c>
      <c r="B8704" s="12" t="s">
        <v>1383</v>
      </c>
      <c r="C8704" s="13" t="s">
        <v>1384</v>
      </c>
      <c r="D8704" s="13" t="s">
        <v>44</v>
      </c>
      <c r="E8704" s="12" t="s">
        <v>35</v>
      </c>
      <c r="F8704" s="14">
        <v>38000</v>
      </c>
      <c r="G8704" s="14">
        <v>29850</v>
      </c>
      <c r="H8704" s="13" t="s">
        <v>15573</v>
      </c>
      <c r="I8704" s="40" t="s">
        <v>18</v>
      </c>
      <c r="J8704" s="40" t="str">
        <f>HYPERLINK("https://stock.pstatic.net/stock-research/company/39/20251002_company_88455000.pdf","PDF")</f>
        <v>PDF</v>
      </c>
      <c r="K8704" s="12" t="s">
        <v>15574</v>
      </c>
      <c r="L8704" s="20">
        <v>0.27303182579564489</v>
      </c>
    </row>
    <row r="8705" spans="1:12" x14ac:dyDescent="0.45">
      <c r="A8705" s="12" t="s">
        <v>15506</v>
      </c>
      <c r="B8705" s="12" t="s">
        <v>2089</v>
      </c>
      <c r="C8705" s="13" t="s">
        <v>2090</v>
      </c>
      <c r="D8705" s="13" t="s">
        <v>23</v>
      </c>
      <c r="E8705" s="12" t="s">
        <v>16</v>
      </c>
      <c r="F8705" s="14">
        <v>80000</v>
      </c>
      <c r="G8705" s="14">
        <v>62400</v>
      </c>
      <c r="H8705" s="13" t="s">
        <v>15575</v>
      </c>
      <c r="I8705" s="40" t="s">
        <v>18</v>
      </c>
      <c r="J8705" s="40" t="str">
        <f>HYPERLINK("https://stock.pstatic.net/stock-research/company/21/20251002_company_185615000.pdf","PDF")</f>
        <v>PDF</v>
      </c>
      <c r="K8705" s="12" t="s">
        <v>15576</v>
      </c>
      <c r="L8705" s="20">
        <v>0.28205128205128199</v>
      </c>
    </row>
    <row r="8706" spans="1:12" x14ac:dyDescent="0.45">
      <c r="A8706" s="12" t="s">
        <v>15506</v>
      </c>
      <c r="B8706" s="12" t="s">
        <v>15577</v>
      </c>
      <c r="C8706" s="13" t="s">
        <v>15578</v>
      </c>
      <c r="D8706" s="13" t="s">
        <v>124</v>
      </c>
      <c r="E8706" s="12" t="s">
        <v>50</v>
      </c>
      <c r="F8706" s="13"/>
      <c r="G8706" s="13"/>
      <c r="H8706" s="13" t="s">
        <v>15579</v>
      </c>
      <c r="I8706" s="40" t="s">
        <v>18</v>
      </c>
      <c r="J8706" s="40" t="str">
        <f>HYPERLINK("https://stock.pstatic.net/stock-research/company/74/20251002_company_515038000.pdf","PDF")</f>
        <v>PDF</v>
      </c>
      <c r="K8706" s="12" t="s">
        <v>15580</v>
      </c>
    </row>
    <row r="8707" spans="1:12" x14ac:dyDescent="0.45">
      <c r="A8707" s="12" t="s">
        <v>15581</v>
      </c>
      <c r="B8707" s="12" t="s">
        <v>2378</v>
      </c>
      <c r="C8707" s="13" t="s">
        <v>2379</v>
      </c>
      <c r="D8707" s="13" t="s">
        <v>276</v>
      </c>
      <c r="E8707" s="12" t="s">
        <v>16</v>
      </c>
      <c r="F8707" s="14">
        <v>400000</v>
      </c>
      <c r="G8707" s="14">
        <v>347500</v>
      </c>
      <c r="H8707" s="13" t="s">
        <v>15582</v>
      </c>
      <c r="I8707" s="40" t="s">
        <v>18</v>
      </c>
      <c r="J8707" s="40" t="str">
        <f>HYPERLINK("https://stock.pstatic.net/stock-research/company/66/20251001_company_8950000.pdf","PDF")</f>
        <v>PDF</v>
      </c>
      <c r="K8707" s="12" t="s">
        <v>15583</v>
      </c>
      <c r="L8707" s="20">
        <v>0.15107913669064749</v>
      </c>
    </row>
    <row r="8708" spans="1:12" x14ac:dyDescent="0.45">
      <c r="A8708" s="12" t="s">
        <v>15581</v>
      </c>
      <c r="B8708" s="12" t="s">
        <v>132</v>
      </c>
      <c r="C8708" s="13" t="s">
        <v>133</v>
      </c>
      <c r="D8708" s="13" t="s">
        <v>60</v>
      </c>
      <c r="E8708" s="12" t="s">
        <v>35</v>
      </c>
      <c r="F8708" s="14">
        <v>103000</v>
      </c>
      <c r="G8708" s="14">
        <v>88500</v>
      </c>
      <c r="H8708" s="13" t="s">
        <v>15584</v>
      </c>
      <c r="I8708" s="40" t="s">
        <v>18</v>
      </c>
      <c r="J8708" s="40" t="str">
        <f>HYPERLINK("https://stock.pstatic.net/stock-research/company/34/20251001_company_590866000.pdf","PDF")</f>
        <v>PDF</v>
      </c>
      <c r="K8708" s="12" t="s">
        <v>15585</v>
      </c>
      <c r="L8708" s="20">
        <v>0.16384180790960451</v>
      </c>
    </row>
    <row r="8709" spans="1:12" x14ac:dyDescent="0.45">
      <c r="A8709" s="12" t="s">
        <v>15581</v>
      </c>
      <c r="B8709" s="12" t="s">
        <v>1656</v>
      </c>
      <c r="C8709" s="13" t="s">
        <v>1657</v>
      </c>
      <c r="D8709" s="13" t="s">
        <v>60</v>
      </c>
      <c r="E8709" s="12" t="s">
        <v>35</v>
      </c>
      <c r="F8709" s="14">
        <v>230000</v>
      </c>
      <c r="G8709" s="14">
        <v>187100</v>
      </c>
      <c r="H8709" s="13" t="s">
        <v>15586</v>
      </c>
      <c r="I8709" s="40" t="s">
        <v>18</v>
      </c>
      <c r="J8709" s="40" t="str">
        <f>HYPERLINK("https://stock.pstatic.net/stock-research/company/34/20251001_company_347701000.pdf","PDF")</f>
        <v>PDF</v>
      </c>
      <c r="K8709" s="12" t="s">
        <v>15587</v>
      </c>
      <c r="L8709" s="20">
        <v>0.22928915018706569</v>
      </c>
    </row>
    <row r="8710" spans="1:12" x14ac:dyDescent="0.45">
      <c r="A8710" s="12" t="s">
        <v>15581</v>
      </c>
      <c r="B8710" s="12" t="s">
        <v>3113</v>
      </c>
      <c r="C8710" s="13" t="s">
        <v>3114</v>
      </c>
      <c r="D8710" s="13" t="s">
        <v>65</v>
      </c>
      <c r="E8710" s="12" t="s">
        <v>35</v>
      </c>
      <c r="F8710" s="14">
        <v>40000</v>
      </c>
      <c r="G8710" s="14">
        <v>31950</v>
      </c>
      <c r="H8710" s="13" t="s">
        <v>15588</v>
      </c>
      <c r="I8710" s="40" t="s">
        <v>18</v>
      </c>
      <c r="J8710" s="40" t="str">
        <f>HYPERLINK("https://stock.pstatic.net/stock-research/company/57/20251001_company_976032000.pdf","PDF")</f>
        <v>PDF</v>
      </c>
      <c r="K8710" s="12" t="s">
        <v>15589</v>
      </c>
      <c r="L8710" s="20">
        <v>0.2519561815336463</v>
      </c>
    </row>
    <row r="8711" spans="1:12" x14ac:dyDescent="0.45">
      <c r="A8711" s="12" t="s">
        <v>15581</v>
      </c>
      <c r="B8711" s="12" t="s">
        <v>95</v>
      </c>
      <c r="C8711" s="13" t="s">
        <v>31</v>
      </c>
      <c r="D8711" s="13" t="s">
        <v>65</v>
      </c>
      <c r="E8711" s="12" t="s">
        <v>35</v>
      </c>
      <c r="F8711" s="14">
        <v>39000</v>
      </c>
      <c r="G8711" s="14">
        <v>26800</v>
      </c>
      <c r="H8711" s="13" t="s">
        <v>15590</v>
      </c>
      <c r="I8711" s="40" t="s">
        <v>18</v>
      </c>
      <c r="J8711" s="40" t="str">
        <f>HYPERLINK("https://stock.pstatic.net/stock-research/company/57/20251001_company_240664000.pdf","PDF")</f>
        <v>PDF</v>
      </c>
      <c r="K8711" s="12" t="s">
        <v>15591</v>
      </c>
      <c r="L8711" s="20">
        <v>0.45522388059701491</v>
      </c>
    </row>
    <row r="8712" spans="1:12" x14ac:dyDescent="0.45">
      <c r="A8712" s="12" t="s">
        <v>15581</v>
      </c>
      <c r="B8712" s="12" t="s">
        <v>677</v>
      </c>
      <c r="C8712" s="13" t="s">
        <v>678</v>
      </c>
      <c r="D8712" s="13" t="s">
        <v>83</v>
      </c>
      <c r="E8712" s="12" t="s">
        <v>35</v>
      </c>
      <c r="F8712" s="14">
        <v>13000</v>
      </c>
      <c r="G8712" s="14">
        <v>10790</v>
      </c>
      <c r="H8712" s="13" t="s">
        <v>15592</v>
      </c>
      <c r="I8712" s="40" t="s">
        <v>18</v>
      </c>
      <c r="J8712" s="40" t="str">
        <f>HYPERLINK("https://stock.pstatic.net/stock-research/company/2/20251001_company_584489000.pdf","PDF")</f>
        <v>PDF</v>
      </c>
      <c r="K8712" s="12" t="s">
        <v>15593</v>
      </c>
      <c r="L8712" s="20">
        <v>0.2048192771084337</v>
      </c>
    </row>
    <row r="8713" spans="1:12" x14ac:dyDescent="0.45">
      <c r="A8713" s="12" t="s">
        <v>15581</v>
      </c>
      <c r="B8713" s="12" t="s">
        <v>2414</v>
      </c>
      <c r="C8713" s="13" t="s">
        <v>2415</v>
      </c>
      <c r="D8713" s="13" t="s">
        <v>83</v>
      </c>
      <c r="E8713" s="12" t="s">
        <v>35</v>
      </c>
      <c r="F8713" s="14">
        <v>810000</v>
      </c>
      <c r="G8713" s="14">
        <v>541000</v>
      </c>
      <c r="H8713" s="13" t="s">
        <v>15594</v>
      </c>
      <c r="I8713" s="40" t="s">
        <v>18</v>
      </c>
      <c r="J8713" s="40" t="str">
        <f>HYPERLINK("https://stock.pstatic.net/stock-research/company/2/20251001_company_221445000.pdf","PDF")</f>
        <v>PDF</v>
      </c>
      <c r="K8713" s="12" t="s">
        <v>15595</v>
      </c>
      <c r="L8713" s="20">
        <v>0.49722735674676533</v>
      </c>
    </row>
    <row r="8714" spans="1:12" x14ac:dyDescent="0.45">
      <c r="A8714" s="12" t="s">
        <v>15581</v>
      </c>
      <c r="B8714" s="12" t="s">
        <v>507</v>
      </c>
      <c r="C8714" s="13" t="s">
        <v>508</v>
      </c>
      <c r="D8714" s="13" t="s">
        <v>83</v>
      </c>
      <c r="E8714" s="12" t="s">
        <v>35</v>
      </c>
      <c r="F8714" s="14">
        <v>9000</v>
      </c>
      <c r="G8714" s="14">
        <v>6250</v>
      </c>
      <c r="H8714" s="13" t="s">
        <v>15596</v>
      </c>
      <c r="I8714" s="40" t="s">
        <v>18</v>
      </c>
      <c r="J8714" s="40" t="str">
        <f>HYPERLINK("https://stock.pstatic.net/stock-research/company/2/20251001_company_713612000.pdf","PDF")</f>
        <v>PDF</v>
      </c>
      <c r="K8714" s="12" t="s">
        <v>15597</v>
      </c>
      <c r="L8714" s="20">
        <v>0.44</v>
      </c>
    </row>
    <row r="8715" spans="1:12" x14ac:dyDescent="0.45">
      <c r="A8715" s="12" t="s">
        <v>15581</v>
      </c>
      <c r="B8715" s="12" t="s">
        <v>812</v>
      </c>
      <c r="C8715" s="13" t="s">
        <v>813</v>
      </c>
      <c r="D8715" s="13" t="s">
        <v>83</v>
      </c>
      <c r="E8715" s="12" t="s">
        <v>35</v>
      </c>
      <c r="F8715" s="14">
        <v>80000</v>
      </c>
      <c r="G8715" s="14">
        <v>65200</v>
      </c>
      <c r="H8715" s="13" t="s">
        <v>15598</v>
      </c>
      <c r="I8715" s="40" t="s">
        <v>18</v>
      </c>
      <c r="J8715" s="40" t="str">
        <f>HYPERLINK("https://stock.pstatic.net/stock-research/company/2/20251001_company_689692000.pdf","PDF")</f>
        <v>PDF</v>
      </c>
      <c r="K8715" s="12" t="s">
        <v>15599</v>
      </c>
      <c r="L8715" s="20">
        <v>0.22699386503067481</v>
      </c>
    </row>
    <row r="8716" spans="1:12" x14ac:dyDescent="0.45">
      <c r="A8716" s="12" t="s">
        <v>15581</v>
      </c>
      <c r="B8716" s="12" t="s">
        <v>2262</v>
      </c>
      <c r="C8716" s="13" t="s">
        <v>2263</v>
      </c>
      <c r="D8716" s="13" t="s">
        <v>83</v>
      </c>
      <c r="E8716" s="12" t="s">
        <v>35</v>
      </c>
      <c r="F8716" s="14">
        <v>17000</v>
      </c>
      <c r="G8716" s="14">
        <v>10500</v>
      </c>
      <c r="H8716" s="13" t="s">
        <v>15600</v>
      </c>
      <c r="I8716" s="40" t="s">
        <v>18</v>
      </c>
      <c r="J8716" s="40" t="str">
        <f>HYPERLINK("https://stock.pstatic.net/stock-research/company/2/20251001_company_330555000.pdf","PDF")</f>
        <v>PDF</v>
      </c>
      <c r="K8716" s="12" t="s">
        <v>15601</v>
      </c>
      <c r="L8716" s="20">
        <v>0.61904761904761907</v>
      </c>
    </row>
    <row r="8717" spans="1:12" x14ac:dyDescent="0.45">
      <c r="A8717" s="12" t="s">
        <v>15581</v>
      </c>
      <c r="B8717" s="12" t="s">
        <v>4642</v>
      </c>
      <c r="C8717" s="13" t="s">
        <v>4643</v>
      </c>
      <c r="D8717" s="13" t="s">
        <v>158</v>
      </c>
      <c r="E8717" s="12" t="s">
        <v>35</v>
      </c>
      <c r="F8717" s="14">
        <v>31000</v>
      </c>
      <c r="G8717" s="14">
        <v>22750</v>
      </c>
      <c r="H8717" s="13" t="s">
        <v>15602</v>
      </c>
      <c r="I8717" s="40" t="s">
        <v>18</v>
      </c>
      <c r="J8717" s="40" t="str">
        <f>HYPERLINK("https://stock.pstatic.net/stock-research/company/18/20251001_company_800462000.pdf","PDF")</f>
        <v>PDF</v>
      </c>
      <c r="K8717" s="12" t="s">
        <v>15603</v>
      </c>
      <c r="L8717" s="20">
        <v>0.36263736263736263</v>
      </c>
    </row>
    <row r="8718" spans="1:12" x14ac:dyDescent="0.45">
      <c r="A8718" s="12" t="s">
        <v>15581</v>
      </c>
      <c r="B8718" s="12" t="s">
        <v>32</v>
      </c>
      <c r="C8718" s="13" t="s">
        <v>33</v>
      </c>
      <c r="D8718" s="13" t="s">
        <v>158</v>
      </c>
      <c r="E8718" s="12" t="s">
        <v>35</v>
      </c>
      <c r="F8718" s="14">
        <v>230000</v>
      </c>
      <c r="G8718" s="14">
        <v>193500</v>
      </c>
      <c r="H8718" s="13" t="s">
        <v>15604</v>
      </c>
      <c r="I8718" s="40" t="s">
        <v>18</v>
      </c>
      <c r="J8718" s="40" t="str">
        <f>HYPERLINK("https://stock.pstatic.net/stock-research/company/18/20251001_company_891974000.pdf","PDF")</f>
        <v>PDF</v>
      </c>
      <c r="K8718" s="12" t="s">
        <v>15605</v>
      </c>
      <c r="L8718" s="20">
        <v>0.18863049095607229</v>
      </c>
    </row>
    <row r="8719" spans="1:12" x14ac:dyDescent="0.45">
      <c r="A8719" s="12" t="s">
        <v>15581</v>
      </c>
      <c r="B8719" s="12" t="s">
        <v>1656</v>
      </c>
      <c r="C8719" s="13" t="s">
        <v>1657</v>
      </c>
      <c r="D8719" s="13" t="s">
        <v>15</v>
      </c>
      <c r="E8719" s="12" t="s">
        <v>16</v>
      </c>
      <c r="F8719" s="14">
        <v>240000</v>
      </c>
      <c r="G8719" s="14">
        <v>187100</v>
      </c>
      <c r="H8719" s="13" t="s">
        <v>15606</v>
      </c>
      <c r="I8719" s="40" t="s">
        <v>18</v>
      </c>
      <c r="J8719" s="40" t="str">
        <f>HYPERLINK("https://stock.pstatic.net/stock-research/company/29/20251001_company_186437000.pdf","PDF")</f>
        <v>PDF</v>
      </c>
      <c r="K8719" s="12" t="s">
        <v>15607</v>
      </c>
      <c r="L8719" s="20">
        <v>0.28273650454302512</v>
      </c>
    </row>
    <row r="8720" spans="1:12" x14ac:dyDescent="0.45">
      <c r="A8720" s="12" t="s">
        <v>15581</v>
      </c>
      <c r="B8720" s="12" t="s">
        <v>132</v>
      </c>
      <c r="C8720" s="13" t="s">
        <v>133</v>
      </c>
      <c r="D8720" s="13" t="s">
        <v>15</v>
      </c>
      <c r="E8720" s="12" t="s">
        <v>16</v>
      </c>
      <c r="F8720" s="14">
        <v>110000</v>
      </c>
      <c r="G8720" s="14">
        <v>88500</v>
      </c>
      <c r="H8720" s="13" t="s">
        <v>15608</v>
      </c>
      <c r="I8720" s="40" t="s">
        <v>18</v>
      </c>
      <c r="J8720" s="40" t="str">
        <f>HYPERLINK("https://stock.pstatic.net/stock-research/company/29/20251001_company_932025000.pdf","PDF")</f>
        <v>PDF</v>
      </c>
      <c r="K8720" s="12" t="s">
        <v>15609</v>
      </c>
      <c r="L8720" s="20">
        <v>0.24293785310734459</v>
      </c>
    </row>
    <row r="8721" spans="1:12" x14ac:dyDescent="0.45">
      <c r="A8721" s="12" t="s">
        <v>15581</v>
      </c>
      <c r="B8721" s="12" t="s">
        <v>2960</v>
      </c>
      <c r="C8721" s="13" t="s">
        <v>2961</v>
      </c>
      <c r="D8721" s="13" t="s">
        <v>15</v>
      </c>
      <c r="E8721" s="12" t="s">
        <v>16</v>
      </c>
      <c r="F8721" s="14">
        <v>72000</v>
      </c>
      <c r="G8721" s="14">
        <v>51400</v>
      </c>
      <c r="H8721" s="13" t="s">
        <v>15610</v>
      </c>
      <c r="I8721" s="40" t="s">
        <v>18</v>
      </c>
      <c r="J8721" s="40" t="str">
        <f>HYPERLINK("https://stock.pstatic.net/stock-research/company/29/20251001_company_30255000.pdf","PDF")</f>
        <v>PDF</v>
      </c>
      <c r="K8721" s="12" t="s">
        <v>15611</v>
      </c>
      <c r="L8721" s="20">
        <v>0.40077821011673148</v>
      </c>
    </row>
    <row r="8722" spans="1:12" x14ac:dyDescent="0.45">
      <c r="A8722" s="12" t="s">
        <v>15581</v>
      </c>
      <c r="B8722" s="12" t="s">
        <v>32</v>
      </c>
      <c r="C8722" s="13" t="s">
        <v>33</v>
      </c>
      <c r="D8722" s="13" t="s">
        <v>92</v>
      </c>
      <c r="E8722" s="12" t="s">
        <v>35</v>
      </c>
      <c r="F8722" s="14">
        <v>230000</v>
      </c>
      <c r="G8722" s="14">
        <v>193500</v>
      </c>
      <c r="H8722" s="13" t="s">
        <v>15612</v>
      </c>
      <c r="I8722" s="40" t="s">
        <v>18</v>
      </c>
      <c r="J8722" s="40" t="str">
        <f>HYPERLINK("https://stock.pstatic.net/stock-research/company/63/20251001_company_399185000.pdf","PDF")</f>
        <v>PDF</v>
      </c>
      <c r="K8722" s="12" t="s">
        <v>15613</v>
      </c>
      <c r="L8722" s="20">
        <v>0.18863049095607229</v>
      </c>
    </row>
    <row r="8723" spans="1:12" x14ac:dyDescent="0.45">
      <c r="A8723" s="12" t="s">
        <v>15581</v>
      </c>
      <c r="B8723" s="12" t="s">
        <v>3395</v>
      </c>
      <c r="C8723" s="13" t="s">
        <v>3396</v>
      </c>
      <c r="D8723" s="13" t="s">
        <v>23</v>
      </c>
      <c r="E8723" s="12" t="s">
        <v>50</v>
      </c>
      <c r="F8723" s="13"/>
      <c r="G8723" s="14">
        <v>14450</v>
      </c>
      <c r="H8723" s="13" t="s">
        <v>10071</v>
      </c>
      <c r="I8723" s="40" t="s">
        <v>18</v>
      </c>
      <c r="J8723" s="40" t="str">
        <f>HYPERLINK("https://stock.pstatic.net/stock-research/company/21/20251001_company_696536000.pdf","PDF")</f>
        <v>PDF</v>
      </c>
      <c r="K8723" s="12" t="s">
        <v>15614</v>
      </c>
    </row>
    <row r="8724" spans="1:12" x14ac:dyDescent="0.45">
      <c r="A8724" s="12" t="s">
        <v>15581</v>
      </c>
      <c r="B8724" s="12" t="s">
        <v>2488</v>
      </c>
      <c r="C8724" s="13" t="s">
        <v>2489</v>
      </c>
      <c r="D8724" s="13" t="s">
        <v>23</v>
      </c>
      <c r="E8724" s="12" t="s">
        <v>50</v>
      </c>
      <c r="F8724" s="13"/>
      <c r="G8724" s="14">
        <v>82900</v>
      </c>
      <c r="H8724" s="13" t="s">
        <v>15615</v>
      </c>
      <c r="I8724" s="40" t="s">
        <v>18</v>
      </c>
      <c r="J8724" s="40" t="str">
        <f>HYPERLINK("https://stock.pstatic.net/stock-research/company/21/20251001_company_841334000.pdf","PDF")</f>
        <v>PDF</v>
      </c>
      <c r="K8724" s="12" t="s">
        <v>15616</v>
      </c>
    </row>
    <row r="8725" spans="1:12" x14ac:dyDescent="0.45">
      <c r="A8725" s="12" t="s">
        <v>15581</v>
      </c>
      <c r="B8725" s="12" t="s">
        <v>3036</v>
      </c>
      <c r="C8725" s="13" t="s">
        <v>4380</v>
      </c>
      <c r="D8725" s="13" t="s">
        <v>23</v>
      </c>
      <c r="E8725" s="12" t="s">
        <v>50</v>
      </c>
      <c r="F8725" s="13"/>
      <c r="G8725" s="14">
        <v>26600</v>
      </c>
      <c r="H8725" s="13" t="s">
        <v>15617</v>
      </c>
      <c r="I8725" s="40" t="s">
        <v>18</v>
      </c>
      <c r="J8725" s="40" t="str">
        <f>HYPERLINK("https://stock.pstatic.net/stock-research/company/21/20251001_company_592554000.pdf","PDF")</f>
        <v>PDF</v>
      </c>
      <c r="K8725" s="12" t="s">
        <v>15618</v>
      </c>
    </row>
    <row r="8726" spans="1:12" x14ac:dyDescent="0.45">
      <c r="A8726" s="12" t="s">
        <v>15581</v>
      </c>
      <c r="B8726" s="12" t="s">
        <v>3813</v>
      </c>
      <c r="C8726" s="13" t="s">
        <v>3814</v>
      </c>
      <c r="D8726" s="13" t="s">
        <v>53</v>
      </c>
      <c r="E8726" s="12" t="s">
        <v>16</v>
      </c>
      <c r="F8726" s="14">
        <v>20000</v>
      </c>
      <c r="G8726" s="14">
        <v>14410</v>
      </c>
      <c r="H8726" s="13" t="s">
        <v>15619</v>
      </c>
      <c r="I8726" s="40" t="s">
        <v>18</v>
      </c>
      <c r="J8726" s="40" t="str">
        <f>HYPERLINK("https://stock.pstatic.net/stock-research/company/40/20251001_company_398778000.pdf","PDF")</f>
        <v>PDF</v>
      </c>
      <c r="K8726" s="12" t="s">
        <v>15620</v>
      </c>
      <c r="L8726" s="20">
        <v>0.38792505204718952</v>
      </c>
    </row>
    <row r="8727" spans="1:12" x14ac:dyDescent="0.45">
      <c r="A8727" s="12" t="s">
        <v>15581</v>
      </c>
      <c r="B8727" s="12" t="s">
        <v>2522</v>
      </c>
      <c r="C8727" s="13" t="s">
        <v>2523</v>
      </c>
      <c r="D8727" s="13" t="s">
        <v>179</v>
      </c>
      <c r="E8727" s="12" t="s">
        <v>16</v>
      </c>
      <c r="F8727" s="14">
        <v>450000</v>
      </c>
      <c r="G8727" s="14">
        <v>292500</v>
      </c>
      <c r="H8727" s="13" t="s">
        <v>15621</v>
      </c>
      <c r="I8727" s="40" t="s">
        <v>18</v>
      </c>
      <c r="J8727" s="40" t="str">
        <f>HYPERLINK("https://stock.pstatic.net/stock-research/company/64/20251001_company_874143000.pdf","PDF")</f>
        <v>PDF</v>
      </c>
      <c r="K8727" s="12" t="s">
        <v>15622</v>
      </c>
      <c r="L8727" s="20">
        <v>0.53846153846153844</v>
      </c>
    </row>
    <row r="8728" spans="1:12" x14ac:dyDescent="0.45">
      <c r="A8728" s="12" t="s">
        <v>15581</v>
      </c>
      <c r="B8728" s="12" t="s">
        <v>177</v>
      </c>
      <c r="C8728" s="13" t="s">
        <v>178</v>
      </c>
      <c r="D8728" s="13" t="s">
        <v>44</v>
      </c>
      <c r="E8728" s="12" t="s">
        <v>35</v>
      </c>
      <c r="F8728" s="14">
        <v>17000</v>
      </c>
      <c r="G8728" s="14">
        <v>12180</v>
      </c>
      <c r="H8728" s="13" t="s">
        <v>15623</v>
      </c>
      <c r="I8728" s="40" t="s">
        <v>18</v>
      </c>
      <c r="J8728" s="40" t="str">
        <f>HYPERLINK("https://stock.pstatic.net/stock-research/company/39/20251001_company_95344000.pdf","PDF")</f>
        <v>PDF</v>
      </c>
      <c r="K8728" s="12" t="s">
        <v>15624</v>
      </c>
      <c r="L8728" s="20">
        <v>0.39573070607553368</v>
      </c>
    </row>
    <row r="8729" spans="1:12" x14ac:dyDescent="0.45">
      <c r="A8729" s="12" t="s">
        <v>15581</v>
      </c>
      <c r="B8729" s="12" t="s">
        <v>1140</v>
      </c>
      <c r="C8729" s="13" t="s">
        <v>1141</v>
      </c>
      <c r="D8729" s="13" t="s">
        <v>23</v>
      </c>
      <c r="E8729" s="12" t="s">
        <v>50</v>
      </c>
      <c r="F8729" s="14">
        <v>40000</v>
      </c>
      <c r="G8729" s="14">
        <v>36050</v>
      </c>
      <c r="H8729" s="13" t="s">
        <v>15625</v>
      </c>
      <c r="I8729" s="40" t="s">
        <v>18</v>
      </c>
      <c r="J8729" s="40" t="str">
        <f>HYPERLINK("https://stock.pstatic.net/stock-research/company/21/20251001_company_21906000.pdf","PDF")</f>
        <v>PDF</v>
      </c>
      <c r="K8729" s="12" t="s">
        <v>15626</v>
      </c>
      <c r="L8729" s="20">
        <v>0.10957004160887659</v>
      </c>
    </row>
    <row r="8730" spans="1:12" x14ac:dyDescent="0.45">
      <c r="A8730" s="12" t="s">
        <v>15581</v>
      </c>
      <c r="B8730" s="12" t="s">
        <v>15627</v>
      </c>
      <c r="C8730" s="13" t="s">
        <v>15628</v>
      </c>
      <c r="D8730" s="13" t="s">
        <v>124</v>
      </c>
      <c r="E8730" s="12" t="s">
        <v>50</v>
      </c>
      <c r="F8730" s="13"/>
      <c r="G8730" s="13"/>
      <c r="H8730" s="13" t="s">
        <v>15629</v>
      </c>
      <c r="I8730" s="40" t="s">
        <v>18</v>
      </c>
      <c r="J8730" s="40" t="str">
        <f>HYPERLINK("https://stock.pstatic.net/stock-research/company/74/20251001_company_961851000.pdf","PDF")</f>
        <v>PDF</v>
      </c>
      <c r="K8730" s="12" t="s">
        <v>15630</v>
      </c>
    </row>
    <row r="8731" spans="1:12" x14ac:dyDescent="0.45">
      <c r="A8731" s="12" t="s">
        <v>15581</v>
      </c>
      <c r="B8731" s="12" t="s">
        <v>2162</v>
      </c>
      <c r="C8731" s="13" t="s">
        <v>2163</v>
      </c>
      <c r="D8731" s="13" t="s">
        <v>124</v>
      </c>
      <c r="E8731" s="12" t="s">
        <v>50</v>
      </c>
      <c r="F8731" s="13"/>
      <c r="G8731" s="13"/>
      <c r="H8731" s="13" t="s">
        <v>15631</v>
      </c>
      <c r="I8731" s="40" t="s">
        <v>18</v>
      </c>
      <c r="J8731" s="40" t="str">
        <f>HYPERLINK("https://stock.pstatic.net/stock-research/company/74/20251001_company_206395000.pdf","PDF")</f>
        <v>PDF</v>
      </c>
      <c r="K8731" s="12" t="s">
        <v>15632</v>
      </c>
    </row>
    <row r="8732" spans="1:12" x14ac:dyDescent="0.45">
      <c r="A8732" s="12" t="s">
        <v>15581</v>
      </c>
      <c r="B8732" s="12" t="s">
        <v>15633</v>
      </c>
      <c r="C8732" s="13" t="s">
        <v>15634</v>
      </c>
      <c r="D8732" s="13" t="s">
        <v>124</v>
      </c>
      <c r="E8732" s="12" t="s">
        <v>50</v>
      </c>
      <c r="F8732" s="13"/>
      <c r="G8732" s="13"/>
      <c r="H8732" s="13" t="s">
        <v>15635</v>
      </c>
      <c r="I8732" s="40" t="s">
        <v>18</v>
      </c>
      <c r="J8732" s="40" t="str">
        <f>HYPERLINK("https://stock.pstatic.net/stock-research/company/74/20251001_company_540082000.pdf","PDF")</f>
        <v>PDF</v>
      </c>
      <c r="K8732" s="12" t="s">
        <v>15636</v>
      </c>
    </row>
    <row r="8733" spans="1:12" x14ac:dyDescent="0.45">
      <c r="A8733" s="12" t="s">
        <v>15581</v>
      </c>
      <c r="B8733" s="12" t="s">
        <v>519</v>
      </c>
      <c r="C8733" s="13" t="s">
        <v>520</v>
      </c>
      <c r="D8733" s="13" t="s">
        <v>1271</v>
      </c>
      <c r="E8733" s="12" t="s">
        <v>35</v>
      </c>
      <c r="F8733" s="14">
        <v>285000</v>
      </c>
      <c r="G8733" s="14">
        <v>218000</v>
      </c>
      <c r="H8733" s="13" t="s">
        <v>15637</v>
      </c>
      <c r="I8733" s="40" t="s">
        <v>18</v>
      </c>
      <c r="J8733" s="40" t="str">
        <f>HYPERLINK("https://stock.pstatic.net/stock-research/company/7/20251001_company_379012000.pdf","PDF")</f>
        <v>PDF</v>
      </c>
      <c r="K8733" s="12" t="s">
        <v>15638</v>
      </c>
      <c r="L8733" s="20">
        <v>0.30733944954128439</v>
      </c>
    </row>
    <row r="8734" spans="1:12" x14ac:dyDescent="0.45">
      <c r="A8734" s="12" t="s">
        <v>15581</v>
      </c>
      <c r="B8734" s="12" t="s">
        <v>398</v>
      </c>
      <c r="C8734" s="13" t="s">
        <v>399</v>
      </c>
      <c r="D8734" s="13" t="s">
        <v>1271</v>
      </c>
      <c r="E8734" s="12" t="s">
        <v>35</v>
      </c>
      <c r="F8734" s="14">
        <v>180000</v>
      </c>
      <c r="G8734" s="14">
        <v>143600</v>
      </c>
      <c r="H8734" s="13" t="s">
        <v>15639</v>
      </c>
      <c r="I8734" s="40" t="s">
        <v>18</v>
      </c>
      <c r="J8734" s="40" t="str">
        <f>HYPERLINK("https://stock.pstatic.net/stock-research/company/7/20251001_company_679786000.pdf","PDF")</f>
        <v>PDF</v>
      </c>
      <c r="K8734" s="12" t="s">
        <v>15640</v>
      </c>
      <c r="L8734" s="20">
        <v>0.25348189415041777</v>
      </c>
    </row>
    <row r="8735" spans="1:12" x14ac:dyDescent="0.45">
      <c r="A8735" s="12" t="s">
        <v>15581</v>
      </c>
      <c r="B8735" s="12" t="s">
        <v>916</v>
      </c>
      <c r="C8735" s="13" t="s">
        <v>917</v>
      </c>
      <c r="D8735" s="13" t="s">
        <v>1271</v>
      </c>
      <c r="E8735" s="12" t="s">
        <v>35</v>
      </c>
      <c r="F8735" s="14">
        <v>78000</v>
      </c>
      <c r="G8735" s="14">
        <v>63300</v>
      </c>
      <c r="H8735" s="13" t="s">
        <v>15641</v>
      </c>
      <c r="I8735" s="40" t="s">
        <v>18</v>
      </c>
      <c r="J8735" s="40" t="str">
        <f>HYPERLINK("https://stock.pstatic.net/stock-research/company/7/20251001_company_644381000.pdf","PDF")</f>
        <v>PDF</v>
      </c>
      <c r="K8735" s="12" t="s">
        <v>15642</v>
      </c>
      <c r="L8735" s="20">
        <v>0.23222748815165881</v>
      </c>
    </row>
    <row r="8736" spans="1:12" x14ac:dyDescent="0.45">
      <c r="A8736" s="12" t="s">
        <v>15581</v>
      </c>
      <c r="B8736" s="12" t="s">
        <v>3584</v>
      </c>
      <c r="C8736" s="13" t="s">
        <v>3585</v>
      </c>
      <c r="D8736" s="13" t="s">
        <v>1271</v>
      </c>
      <c r="E8736" s="12" t="s">
        <v>35</v>
      </c>
      <c r="F8736" s="14">
        <v>25000</v>
      </c>
      <c r="G8736" s="14">
        <v>20750</v>
      </c>
      <c r="H8736" s="13" t="s">
        <v>15643</v>
      </c>
      <c r="I8736" s="40" t="s">
        <v>18</v>
      </c>
      <c r="J8736" s="40" t="str">
        <f>HYPERLINK("https://stock.pstatic.net/stock-research/company/7/20251001_company_60777000.pdf","PDF")</f>
        <v>PDF</v>
      </c>
      <c r="K8736" s="12" t="s">
        <v>15644</v>
      </c>
      <c r="L8736" s="20">
        <v>0.2048192771084337</v>
      </c>
    </row>
    <row r="8737" spans="1:12" x14ac:dyDescent="0.45">
      <c r="A8737" s="12" t="s">
        <v>15581</v>
      </c>
      <c r="B8737" s="12" t="s">
        <v>2369</v>
      </c>
      <c r="C8737" s="13" t="s">
        <v>2370</v>
      </c>
      <c r="D8737" s="13" t="s">
        <v>1271</v>
      </c>
      <c r="E8737" s="12" t="s">
        <v>35</v>
      </c>
      <c r="F8737" s="14">
        <v>250000</v>
      </c>
      <c r="G8737" s="14">
        <v>210500</v>
      </c>
      <c r="H8737" s="13" t="s">
        <v>15645</v>
      </c>
      <c r="I8737" s="40" t="s">
        <v>18</v>
      </c>
      <c r="J8737" s="40" t="str">
        <f>HYPERLINK("https://stock.pstatic.net/stock-research/company/7/20251001_company_337148000.pdf","PDF")</f>
        <v>PDF</v>
      </c>
      <c r="K8737" s="12" t="s">
        <v>15646</v>
      </c>
      <c r="L8737" s="20">
        <v>0.18764845605700711</v>
      </c>
    </row>
    <row r="8738" spans="1:12" x14ac:dyDescent="0.45">
      <c r="A8738" s="12" t="s">
        <v>15581</v>
      </c>
      <c r="B8738" s="12" t="s">
        <v>1274</v>
      </c>
      <c r="C8738" s="13" t="s">
        <v>1275</v>
      </c>
      <c r="D8738" s="13" t="s">
        <v>1271</v>
      </c>
      <c r="E8738" s="12" t="s">
        <v>35</v>
      </c>
      <c r="F8738" s="14">
        <v>158000</v>
      </c>
      <c r="G8738" s="14">
        <v>138800</v>
      </c>
      <c r="H8738" s="13" t="s">
        <v>15647</v>
      </c>
      <c r="I8738" s="40" t="s">
        <v>18</v>
      </c>
      <c r="J8738" s="40" t="str">
        <f>HYPERLINK("https://stock.pstatic.net/stock-research/company/7/20251001_company_580546000.pdf","PDF")</f>
        <v>PDF</v>
      </c>
      <c r="K8738" s="12" t="s">
        <v>15648</v>
      </c>
      <c r="L8738" s="20">
        <v>0.13832853025936601</v>
      </c>
    </row>
    <row r="8739" spans="1:12" x14ac:dyDescent="0.45">
      <c r="A8739" s="12" t="s">
        <v>15581</v>
      </c>
      <c r="B8739" s="12" t="s">
        <v>3113</v>
      </c>
      <c r="C8739" s="13" t="s">
        <v>3114</v>
      </c>
      <c r="D8739" s="13" t="s">
        <v>15</v>
      </c>
      <c r="E8739" s="12" t="s">
        <v>385</v>
      </c>
      <c r="F8739" s="14">
        <v>30000</v>
      </c>
      <c r="G8739" s="14">
        <v>31950</v>
      </c>
      <c r="H8739" s="13" t="s">
        <v>15649</v>
      </c>
      <c r="I8739" s="40" t="s">
        <v>18</v>
      </c>
      <c r="J8739" s="40" t="str">
        <f>HYPERLINK("https://m.stock.naver.com/research/company/86579","PDF")</f>
        <v>PDF</v>
      </c>
      <c r="K8739" s="12" t="s">
        <v>15650</v>
      </c>
      <c r="L8739" s="20">
        <v>-6.1032863849765258E-2</v>
      </c>
    </row>
    <row r="8740" spans="1:12" x14ac:dyDescent="0.45">
      <c r="A8740" s="12" t="s">
        <v>15581</v>
      </c>
      <c r="B8740" s="12" t="s">
        <v>4301</v>
      </c>
      <c r="C8740" s="13" t="s">
        <v>4302</v>
      </c>
      <c r="D8740" s="13" t="s">
        <v>23</v>
      </c>
      <c r="E8740" s="12" t="s">
        <v>16</v>
      </c>
      <c r="F8740" s="14">
        <v>2500</v>
      </c>
      <c r="G8740" s="14">
        <v>1980</v>
      </c>
      <c r="H8740" s="13" t="s">
        <v>15651</v>
      </c>
      <c r="I8740" s="40" t="s">
        <v>18</v>
      </c>
      <c r="J8740" s="40" t="str">
        <f>HYPERLINK("https://stock.pstatic.net/stock-research/company/21/20251001_company_862159000.pdf","PDF")</f>
        <v>PDF</v>
      </c>
      <c r="K8740" s="12" t="s">
        <v>15652</v>
      </c>
      <c r="L8740" s="20">
        <v>0.26262626262626271</v>
      </c>
    </row>
    <row r="8741" spans="1:12" x14ac:dyDescent="0.45">
      <c r="A8741" s="12" t="s">
        <v>15581</v>
      </c>
      <c r="B8741" s="12" t="s">
        <v>2758</v>
      </c>
      <c r="C8741" s="13" t="s">
        <v>2759</v>
      </c>
      <c r="D8741" s="13" t="s">
        <v>15</v>
      </c>
      <c r="E8741" s="12" t="s">
        <v>16</v>
      </c>
      <c r="F8741" s="14">
        <v>430000</v>
      </c>
      <c r="G8741" s="14">
        <v>278500</v>
      </c>
      <c r="H8741" s="13" t="s">
        <v>15653</v>
      </c>
      <c r="I8741" s="40" t="s">
        <v>18</v>
      </c>
      <c r="J8741" s="40" t="str">
        <f>HYPERLINK("https://stock.pstatic.net/stock-research/company/29/20251001_company_133837000.pdf","PDF")</f>
        <v>PDF</v>
      </c>
      <c r="K8741" s="12" t="s">
        <v>15654</v>
      </c>
      <c r="L8741" s="20">
        <v>0.54398563734290839</v>
      </c>
    </row>
    <row r="8742" spans="1:12" x14ac:dyDescent="0.45">
      <c r="A8742" s="12" t="s">
        <v>15581</v>
      </c>
      <c r="B8742" s="12" t="s">
        <v>3478</v>
      </c>
      <c r="C8742" s="13" t="s">
        <v>3479</v>
      </c>
      <c r="D8742" s="13" t="s">
        <v>15</v>
      </c>
      <c r="E8742" s="12" t="s">
        <v>16</v>
      </c>
      <c r="F8742" s="14">
        <v>46000</v>
      </c>
      <c r="G8742" s="14">
        <v>34850</v>
      </c>
      <c r="H8742" s="13" t="s">
        <v>15655</v>
      </c>
      <c r="I8742" s="40" t="s">
        <v>18</v>
      </c>
      <c r="J8742" s="40" t="str">
        <f>HYPERLINK("https://stock.pstatic.net/stock-research/company/29/20251001_company_738541000.pdf","PDF")</f>
        <v>PDF</v>
      </c>
      <c r="K8742" s="12" t="s">
        <v>15656</v>
      </c>
      <c r="L8742" s="20">
        <v>0.31994261119081779</v>
      </c>
    </row>
    <row r="8743" spans="1:12" x14ac:dyDescent="0.45">
      <c r="A8743" s="12" t="s">
        <v>15581</v>
      </c>
      <c r="B8743" s="12" t="s">
        <v>15657</v>
      </c>
      <c r="C8743" s="13" t="s">
        <v>15658</v>
      </c>
      <c r="D8743" s="13" t="s">
        <v>853</v>
      </c>
      <c r="E8743" s="12" t="s">
        <v>35</v>
      </c>
      <c r="F8743" s="14">
        <v>21000</v>
      </c>
      <c r="G8743" s="14">
        <v>16900</v>
      </c>
      <c r="H8743" s="13" t="s">
        <v>15659</v>
      </c>
      <c r="I8743" s="40" t="s">
        <v>18</v>
      </c>
      <c r="J8743" s="40" t="str">
        <f>HYPERLINK("https://stock.pstatic.net/stock-research/company/17/20251001_company_258055000.pdf","PDF")</f>
        <v>PDF</v>
      </c>
      <c r="K8743" s="12" t="s">
        <v>15660</v>
      </c>
      <c r="L8743" s="20">
        <v>0.24260355029585801</v>
      </c>
    </row>
    <row r="8744" spans="1:12" x14ac:dyDescent="0.45">
      <c r="A8744" s="12" t="s">
        <v>15661</v>
      </c>
      <c r="B8744" s="12" t="s">
        <v>15662</v>
      </c>
      <c r="C8744" s="13" t="s">
        <v>15663</v>
      </c>
      <c r="D8744" s="13" t="s">
        <v>57</v>
      </c>
      <c r="E8744" s="12" t="s">
        <v>35</v>
      </c>
      <c r="F8744" s="14">
        <v>3100</v>
      </c>
      <c r="G8744" s="14">
        <v>2305</v>
      </c>
      <c r="H8744" s="13" t="s">
        <v>15664</v>
      </c>
      <c r="I8744" s="40" t="s">
        <v>18</v>
      </c>
      <c r="J8744" s="40" t="str">
        <f>HYPERLINK("https://m.stock.naver.com/research/company/86574","PDF")</f>
        <v>PDF</v>
      </c>
      <c r="K8744" s="12" t="s">
        <v>15665</v>
      </c>
      <c r="L8744" s="20">
        <v>0.34490238611713658</v>
      </c>
    </row>
    <row r="8745" spans="1:12" x14ac:dyDescent="0.45">
      <c r="A8745" s="12" t="s">
        <v>15661</v>
      </c>
      <c r="B8745" s="12" t="s">
        <v>42</v>
      </c>
      <c r="C8745" s="13" t="s">
        <v>43</v>
      </c>
      <c r="D8745" s="13" t="s">
        <v>276</v>
      </c>
      <c r="E8745" s="12" t="s">
        <v>16</v>
      </c>
      <c r="F8745" s="14">
        <v>400000</v>
      </c>
      <c r="G8745" s="14">
        <v>274500</v>
      </c>
      <c r="H8745" s="13" t="s">
        <v>15666</v>
      </c>
      <c r="I8745" s="40" t="s">
        <v>18</v>
      </c>
      <c r="J8745" s="40" t="str">
        <f>HYPERLINK("https://stock.pstatic.net/stock-research/company/66/20250930_company_892615000.pdf","PDF")</f>
        <v>PDF</v>
      </c>
      <c r="K8745" s="12" t="s">
        <v>15667</v>
      </c>
      <c r="L8745" s="20">
        <v>0.45719489981785072</v>
      </c>
    </row>
    <row r="8746" spans="1:12" x14ac:dyDescent="0.45">
      <c r="A8746" s="12" t="s">
        <v>15661</v>
      </c>
      <c r="B8746" s="12" t="s">
        <v>4567</v>
      </c>
      <c r="C8746" s="13" t="s">
        <v>4568</v>
      </c>
      <c r="D8746" s="13" t="s">
        <v>65</v>
      </c>
      <c r="E8746" s="12" t="s">
        <v>35</v>
      </c>
      <c r="F8746" s="14">
        <v>35000</v>
      </c>
      <c r="G8746" s="14">
        <v>27400</v>
      </c>
      <c r="H8746" s="13" t="s">
        <v>15668</v>
      </c>
      <c r="I8746" s="40" t="s">
        <v>18</v>
      </c>
      <c r="J8746" s="40" t="str">
        <f>HYPERLINK("https://m.stock.naver.com/research/company/86572","PDF")</f>
        <v>PDF</v>
      </c>
      <c r="K8746" s="12" t="s">
        <v>15669</v>
      </c>
      <c r="L8746" s="20">
        <v>0.27737226277372262</v>
      </c>
    </row>
    <row r="8747" spans="1:12" x14ac:dyDescent="0.45">
      <c r="A8747" s="12" t="s">
        <v>15661</v>
      </c>
      <c r="B8747" s="12" t="s">
        <v>1930</v>
      </c>
      <c r="C8747" s="13" t="s">
        <v>1931</v>
      </c>
      <c r="D8747" s="13" t="s">
        <v>65</v>
      </c>
      <c r="E8747" s="12" t="s">
        <v>35</v>
      </c>
      <c r="F8747" s="14">
        <v>350000</v>
      </c>
      <c r="G8747" s="14">
        <v>233000</v>
      </c>
      <c r="H8747" s="13" t="s">
        <v>15670</v>
      </c>
      <c r="I8747" s="40" t="s">
        <v>18</v>
      </c>
      <c r="J8747" s="40" t="str">
        <f>HYPERLINK("https://stock.pstatic.net/stock-research/company/57/20250930_company_116642000.pdf","PDF")</f>
        <v>PDF</v>
      </c>
      <c r="K8747" s="12" t="s">
        <v>15671</v>
      </c>
      <c r="L8747" s="20">
        <v>0.50214592274678116</v>
      </c>
    </row>
    <row r="8748" spans="1:12" x14ac:dyDescent="0.45">
      <c r="A8748" s="12" t="s">
        <v>15661</v>
      </c>
      <c r="B8748" s="12" t="s">
        <v>495</v>
      </c>
      <c r="C8748" s="13" t="s">
        <v>496</v>
      </c>
      <c r="D8748" s="13" t="s">
        <v>158</v>
      </c>
      <c r="E8748" s="12" t="s">
        <v>35</v>
      </c>
      <c r="F8748" s="14">
        <v>310000</v>
      </c>
      <c r="G8748" s="14">
        <v>246500</v>
      </c>
      <c r="H8748" s="13" t="s">
        <v>15672</v>
      </c>
      <c r="I8748" s="40" t="s">
        <v>18</v>
      </c>
      <c r="J8748" s="40" t="str">
        <f>HYPERLINK("https://stock.pstatic.net/stock-research/company/18/20250930_company_106777000.pdf","PDF")</f>
        <v>PDF</v>
      </c>
      <c r="K8748" s="12" t="s">
        <v>15673</v>
      </c>
      <c r="L8748" s="20">
        <v>0.25760649087221088</v>
      </c>
    </row>
    <row r="8749" spans="1:12" x14ac:dyDescent="0.45">
      <c r="A8749" s="12" t="s">
        <v>15661</v>
      </c>
      <c r="B8749" s="12" t="s">
        <v>768</v>
      </c>
      <c r="C8749" s="13" t="s">
        <v>769</v>
      </c>
      <c r="D8749" s="13" t="s">
        <v>158</v>
      </c>
      <c r="E8749" s="12" t="s">
        <v>35</v>
      </c>
      <c r="F8749" s="14">
        <v>288000</v>
      </c>
      <c r="G8749" s="14">
        <v>228000</v>
      </c>
      <c r="H8749" s="13" t="s">
        <v>15674</v>
      </c>
      <c r="I8749" s="40" t="s">
        <v>18</v>
      </c>
      <c r="J8749" s="40" t="str">
        <f>HYPERLINK("https://m.stock.naver.com/research/company/86569","PDF")</f>
        <v>PDF</v>
      </c>
      <c r="K8749" s="12" t="s">
        <v>15675</v>
      </c>
      <c r="L8749" s="20">
        <v>0.26315789473684209</v>
      </c>
    </row>
    <row r="8750" spans="1:12" x14ac:dyDescent="0.45">
      <c r="A8750" s="12" t="s">
        <v>15661</v>
      </c>
      <c r="B8750" s="12" t="s">
        <v>764</v>
      </c>
      <c r="C8750" s="13" t="s">
        <v>765</v>
      </c>
      <c r="D8750" s="13" t="s">
        <v>158</v>
      </c>
      <c r="E8750" s="12" t="s">
        <v>35</v>
      </c>
      <c r="F8750" s="14">
        <v>57000</v>
      </c>
      <c r="G8750" s="14">
        <v>46200</v>
      </c>
      <c r="H8750" s="13" t="s">
        <v>15676</v>
      </c>
      <c r="I8750" s="40" t="s">
        <v>18</v>
      </c>
      <c r="J8750" s="40" t="str">
        <f>HYPERLINK("https://stock.pstatic.net/stock-research/company/18/20250930_company_21837000.pdf","PDF")</f>
        <v>PDF</v>
      </c>
      <c r="K8750" s="12" t="s">
        <v>15677</v>
      </c>
      <c r="L8750" s="20">
        <v>0.23376623376623379</v>
      </c>
    </row>
    <row r="8751" spans="1:12" x14ac:dyDescent="0.45">
      <c r="A8751" s="12" t="s">
        <v>15661</v>
      </c>
      <c r="B8751" s="12" t="s">
        <v>63</v>
      </c>
      <c r="C8751" s="13" t="s">
        <v>64</v>
      </c>
      <c r="D8751" s="13" t="s">
        <v>78</v>
      </c>
      <c r="E8751" s="12" t="s">
        <v>50</v>
      </c>
      <c r="F8751" s="13"/>
      <c r="G8751" s="13"/>
      <c r="H8751" s="13" t="s">
        <v>15678</v>
      </c>
      <c r="I8751" s="40" t="s">
        <v>18</v>
      </c>
      <c r="J8751" s="40" t="str">
        <f>HYPERLINK("https://m.stock.naver.com/research/company/86567","PDF")</f>
        <v>PDF</v>
      </c>
      <c r="K8751" s="12" t="s">
        <v>15679</v>
      </c>
    </row>
    <row r="8752" spans="1:12" x14ac:dyDescent="0.45">
      <c r="A8752" s="12" t="s">
        <v>15661</v>
      </c>
      <c r="B8752" s="12" t="s">
        <v>2262</v>
      </c>
      <c r="C8752" s="13" t="s">
        <v>2263</v>
      </c>
      <c r="D8752" s="13" t="s">
        <v>23</v>
      </c>
      <c r="E8752" s="12" t="s">
        <v>16</v>
      </c>
      <c r="F8752" s="14">
        <v>13500</v>
      </c>
      <c r="G8752" s="14">
        <v>10690</v>
      </c>
      <c r="H8752" s="13" t="s">
        <v>15680</v>
      </c>
      <c r="I8752" s="40" t="s">
        <v>18</v>
      </c>
      <c r="J8752" s="40" t="str">
        <f>HYPERLINK("https://stock.pstatic.net/stock-research/company/21/20250930_company_967724000.pdf","PDF")</f>
        <v>PDF</v>
      </c>
      <c r="K8752" s="12" t="s">
        <v>15681</v>
      </c>
      <c r="L8752" s="20">
        <v>0.26286248830682879</v>
      </c>
    </row>
    <row r="8753" spans="1:12" x14ac:dyDescent="0.45">
      <c r="A8753" s="12" t="s">
        <v>15661</v>
      </c>
      <c r="B8753" s="12" t="s">
        <v>3164</v>
      </c>
      <c r="C8753" s="13" t="s">
        <v>3165</v>
      </c>
      <c r="D8753" s="13" t="s">
        <v>23</v>
      </c>
      <c r="E8753" s="12" t="s">
        <v>16</v>
      </c>
      <c r="F8753" s="14">
        <v>88000</v>
      </c>
      <c r="G8753" s="14">
        <v>54800</v>
      </c>
      <c r="H8753" s="13" t="s">
        <v>15682</v>
      </c>
      <c r="I8753" s="40" t="s">
        <v>18</v>
      </c>
      <c r="J8753" s="40" t="str">
        <f>HYPERLINK("https://stock.pstatic.net/stock-research/company/21/20250930_company_671574000.pdf","PDF")</f>
        <v>PDF</v>
      </c>
      <c r="K8753" s="12" t="s">
        <v>15683</v>
      </c>
      <c r="L8753" s="20">
        <v>0.6058394160583942</v>
      </c>
    </row>
    <row r="8754" spans="1:12" x14ac:dyDescent="0.45">
      <c r="A8754" s="12" t="s">
        <v>15661</v>
      </c>
      <c r="B8754" s="12" t="s">
        <v>4642</v>
      </c>
      <c r="C8754" s="13" t="s">
        <v>4643</v>
      </c>
      <c r="D8754" s="13" t="s">
        <v>23</v>
      </c>
      <c r="E8754" s="12" t="s">
        <v>16</v>
      </c>
      <c r="F8754" s="14">
        <v>31000</v>
      </c>
      <c r="G8754" s="14">
        <v>23200</v>
      </c>
      <c r="H8754" s="13" t="s">
        <v>15684</v>
      </c>
      <c r="I8754" s="40" t="s">
        <v>18</v>
      </c>
      <c r="J8754" s="40" t="str">
        <f>HYPERLINK("https://m.stock.naver.com/research/company/86564","PDF")</f>
        <v>PDF</v>
      </c>
      <c r="K8754" s="12" t="s">
        <v>15685</v>
      </c>
      <c r="L8754" s="20">
        <v>0.33620689655172409</v>
      </c>
    </row>
    <row r="8755" spans="1:12" x14ac:dyDescent="0.45">
      <c r="A8755" s="12" t="s">
        <v>15661</v>
      </c>
      <c r="B8755" s="12" t="s">
        <v>4617</v>
      </c>
      <c r="C8755" s="13" t="s">
        <v>4618</v>
      </c>
      <c r="D8755" s="13" t="s">
        <v>23</v>
      </c>
      <c r="E8755" s="12" t="s">
        <v>16</v>
      </c>
      <c r="F8755" s="14">
        <v>27000</v>
      </c>
      <c r="G8755" s="14">
        <v>18680</v>
      </c>
      <c r="H8755" s="13" t="s">
        <v>15686</v>
      </c>
      <c r="I8755" s="40" t="s">
        <v>18</v>
      </c>
      <c r="J8755" s="40" t="str">
        <f>HYPERLINK("https://stock.pstatic.net/stock-research/company/21/20250930_company_208947000.pdf","PDF")</f>
        <v>PDF</v>
      </c>
      <c r="K8755" s="12" t="s">
        <v>15687</v>
      </c>
      <c r="L8755" s="20">
        <v>0.44539614561027829</v>
      </c>
    </row>
    <row r="8756" spans="1:12" x14ac:dyDescent="0.45">
      <c r="A8756" s="12" t="s">
        <v>15661</v>
      </c>
      <c r="B8756" s="12" t="s">
        <v>13</v>
      </c>
      <c r="C8756" s="13" t="s">
        <v>14</v>
      </c>
      <c r="D8756" s="13" t="s">
        <v>23</v>
      </c>
      <c r="E8756" s="12" t="s">
        <v>16</v>
      </c>
      <c r="F8756" s="14">
        <v>115000</v>
      </c>
      <c r="G8756" s="14">
        <v>84200</v>
      </c>
      <c r="H8756" s="13" t="s">
        <v>15688</v>
      </c>
      <c r="I8756" s="40" t="s">
        <v>18</v>
      </c>
      <c r="J8756" s="40" t="str">
        <f>HYPERLINK("https://stock.pstatic.net/stock-research/company/21/20250930_company_879222000.pdf","PDF")</f>
        <v>PDF</v>
      </c>
      <c r="K8756" s="12" t="s">
        <v>15689</v>
      </c>
      <c r="L8756" s="20">
        <v>0.36579572446555819</v>
      </c>
    </row>
    <row r="8757" spans="1:12" x14ac:dyDescent="0.45">
      <c r="A8757" s="12" t="s">
        <v>15661</v>
      </c>
      <c r="B8757" s="12" t="s">
        <v>334</v>
      </c>
      <c r="C8757" s="13" t="s">
        <v>335</v>
      </c>
      <c r="D8757" s="13" t="s">
        <v>23</v>
      </c>
      <c r="E8757" s="12" t="s">
        <v>16</v>
      </c>
      <c r="F8757" s="14">
        <v>500000</v>
      </c>
      <c r="G8757" s="14">
        <v>349000</v>
      </c>
      <c r="H8757" s="13" t="s">
        <v>15690</v>
      </c>
      <c r="I8757" s="40" t="s">
        <v>18</v>
      </c>
      <c r="J8757" s="40" t="str">
        <f>HYPERLINK("https://stock.pstatic.net/stock-research/company/21/20250930_company_680137000.pdf","PDF")</f>
        <v>PDF</v>
      </c>
      <c r="K8757" s="12" t="s">
        <v>15691</v>
      </c>
      <c r="L8757" s="20">
        <v>0.43266475644699143</v>
      </c>
    </row>
    <row r="8758" spans="1:12" x14ac:dyDescent="0.45">
      <c r="A8758" s="12" t="s">
        <v>15661</v>
      </c>
      <c r="B8758" s="12" t="s">
        <v>95</v>
      </c>
      <c r="C8758" s="13" t="s">
        <v>31</v>
      </c>
      <c r="D8758" s="13" t="s">
        <v>44</v>
      </c>
      <c r="E8758" s="12" t="s">
        <v>35</v>
      </c>
      <c r="F8758" s="14">
        <v>40000</v>
      </c>
      <c r="G8758" s="14">
        <v>27150</v>
      </c>
      <c r="H8758" s="13" t="s">
        <v>15692</v>
      </c>
      <c r="I8758" s="40" t="s">
        <v>18</v>
      </c>
      <c r="J8758" s="40" t="str">
        <f>HYPERLINK("https://stock.pstatic.net/stock-research/company/39/20250930_company_903004000.pdf","PDF")</f>
        <v>PDF</v>
      </c>
      <c r="K8758" s="12" t="s">
        <v>15693</v>
      </c>
      <c r="L8758" s="20">
        <v>0.47329650092081033</v>
      </c>
    </row>
    <row r="8759" spans="1:12" x14ac:dyDescent="0.45">
      <c r="A8759" s="12" t="s">
        <v>15661</v>
      </c>
      <c r="B8759" s="12" t="s">
        <v>2956</v>
      </c>
      <c r="C8759" s="13" t="s">
        <v>2957</v>
      </c>
      <c r="D8759" s="13" t="s">
        <v>44</v>
      </c>
      <c r="E8759" s="12" t="s">
        <v>35</v>
      </c>
      <c r="F8759" s="14">
        <v>27000</v>
      </c>
      <c r="G8759" s="14">
        <v>18470</v>
      </c>
      <c r="H8759" s="13" t="s">
        <v>15694</v>
      </c>
      <c r="I8759" s="40" t="s">
        <v>18</v>
      </c>
      <c r="J8759" s="40" t="str">
        <f>HYPERLINK("https://stock.pstatic.net/stock-research/company/39/20250930_company_420693000.pdf","PDF")</f>
        <v>PDF</v>
      </c>
      <c r="K8759" s="12" t="s">
        <v>15695</v>
      </c>
      <c r="L8759" s="20">
        <v>0.46182999458581492</v>
      </c>
    </row>
    <row r="8760" spans="1:12" x14ac:dyDescent="0.45">
      <c r="A8760" s="12" t="s">
        <v>15661</v>
      </c>
      <c r="B8760" s="12" t="s">
        <v>6545</v>
      </c>
      <c r="C8760" s="13" t="s">
        <v>6546</v>
      </c>
      <c r="D8760" s="13" t="s">
        <v>92</v>
      </c>
      <c r="E8760" s="12" t="s">
        <v>35</v>
      </c>
      <c r="F8760" s="14">
        <v>17000</v>
      </c>
      <c r="G8760" s="14">
        <v>14890</v>
      </c>
      <c r="H8760" s="13" t="s">
        <v>15696</v>
      </c>
      <c r="I8760" s="40" t="s">
        <v>18</v>
      </c>
      <c r="J8760" s="40" t="str">
        <f>HYPERLINK("https://stock.pstatic.net/stock-research/company/63/20250930_company_842445000.pdf","PDF")</f>
        <v>PDF</v>
      </c>
      <c r="K8760" s="12" t="s">
        <v>15697</v>
      </c>
      <c r="L8760" s="20">
        <v>0.1417058428475487</v>
      </c>
    </row>
    <row r="8761" spans="1:12" x14ac:dyDescent="0.45">
      <c r="A8761" s="12" t="s">
        <v>15661</v>
      </c>
      <c r="B8761" s="12" t="s">
        <v>468</v>
      </c>
      <c r="C8761" s="13" t="s">
        <v>469</v>
      </c>
      <c r="D8761" s="13" t="s">
        <v>124</v>
      </c>
      <c r="E8761" s="12" t="s">
        <v>50</v>
      </c>
      <c r="F8761" s="13"/>
      <c r="G8761" s="13"/>
      <c r="H8761" s="13" t="s">
        <v>15698</v>
      </c>
      <c r="I8761" s="40" t="s">
        <v>18</v>
      </c>
      <c r="J8761" s="40" t="str">
        <f>HYPERLINK("https://stock.pstatic.net/stock-research/company/74/20251001_company_55392000.pdf","PDF")</f>
        <v>PDF</v>
      </c>
      <c r="K8761" s="12" t="s">
        <v>15699</v>
      </c>
    </row>
    <row r="8762" spans="1:12" x14ac:dyDescent="0.45">
      <c r="A8762" s="12" t="s">
        <v>15661</v>
      </c>
      <c r="B8762" s="12" t="s">
        <v>15700</v>
      </c>
      <c r="C8762" s="13" t="s">
        <v>15701</v>
      </c>
      <c r="D8762" s="13" t="s">
        <v>124</v>
      </c>
      <c r="E8762" s="12" t="s">
        <v>50</v>
      </c>
      <c r="F8762" s="13"/>
      <c r="G8762" s="13"/>
      <c r="H8762" s="13" t="s">
        <v>15702</v>
      </c>
      <c r="I8762" s="40" t="s">
        <v>18</v>
      </c>
      <c r="J8762" s="40" t="str">
        <f>HYPERLINK("https://stock.pstatic.net/stock-research/company/74/20250930_company_951683000.pdf","PDF")</f>
        <v>PDF</v>
      </c>
      <c r="K8762" s="12" t="s">
        <v>15703</v>
      </c>
    </row>
    <row r="8763" spans="1:12" x14ac:dyDescent="0.45">
      <c r="A8763" s="12" t="s">
        <v>15661</v>
      </c>
      <c r="B8763" s="12" t="s">
        <v>334</v>
      </c>
      <c r="C8763" s="13" t="s">
        <v>335</v>
      </c>
      <c r="D8763" s="13" t="s">
        <v>714</v>
      </c>
      <c r="E8763" s="12" t="s">
        <v>35</v>
      </c>
      <c r="F8763" s="14">
        <v>405000</v>
      </c>
      <c r="G8763" s="14">
        <v>348000</v>
      </c>
      <c r="H8763" s="13" t="s">
        <v>15704</v>
      </c>
      <c r="I8763" s="40" t="s">
        <v>18</v>
      </c>
      <c r="J8763" s="40" t="str">
        <f>HYPERLINK("https://m.stock.naver.com/research/company/86555","PDF")</f>
        <v>PDF</v>
      </c>
      <c r="K8763" s="12" t="s">
        <v>15705</v>
      </c>
      <c r="L8763" s="20">
        <v>0.16379310344827591</v>
      </c>
    </row>
    <row r="8764" spans="1:12" x14ac:dyDescent="0.45">
      <c r="A8764" s="12" t="s">
        <v>15706</v>
      </c>
      <c r="B8764" s="12" t="s">
        <v>8541</v>
      </c>
      <c r="C8764" s="13" t="s">
        <v>8542</v>
      </c>
      <c r="D8764" s="13" t="s">
        <v>124</v>
      </c>
      <c r="E8764" s="12" t="s">
        <v>50</v>
      </c>
      <c r="F8764" s="13"/>
      <c r="G8764" s="13"/>
      <c r="H8764" s="13" t="s">
        <v>15707</v>
      </c>
      <c r="I8764" s="40" t="s">
        <v>18</v>
      </c>
      <c r="J8764" s="40" t="str">
        <f>HYPERLINK("https://stock.pstatic.net/stock-research/company/74/20250929_company_905738000.pdf","PDF")</f>
        <v>PDF</v>
      </c>
      <c r="K8764" s="12" t="s">
        <v>15708</v>
      </c>
    </row>
    <row r="8765" spans="1:12" x14ac:dyDescent="0.45">
      <c r="A8765" s="12" t="s">
        <v>15706</v>
      </c>
      <c r="B8765" s="12" t="s">
        <v>2191</v>
      </c>
      <c r="C8765" s="13" t="s">
        <v>2192</v>
      </c>
      <c r="D8765" s="13" t="s">
        <v>57</v>
      </c>
      <c r="E8765" s="12" t="s">
        <v>35</v>
      </c>
      <c r="F8765" s="14">
        <v>100000</v>
      </c>
      <c r="G8765" s="14">
        <v>69500</v>
      </c>
      <c r="H8765" s="13" t="s">
        <v>15709</v>
      </c>
      <c r="I8765" s="40" t="s">
        <v>18</v>
      </c>
      <c r="J8765" s="40" t="str">
        <f>HYPERLINK("https://m.stock.naver.com/research/company/86553","PDF")</f>
        <v>PDF</v>
      </c>
      <c r="K8765" s="12" t="s">
        <v>15710</v>
      </c>
      <c r="L8765" s="20">
        <v>0.43884892086330929</v>
      </c>
    </row>
    <row r="8766" spans="1:12" x14ac:dyDescent="0.45">
      <c r="A8766" s="12" t="s">
        <v>15706</v>
      </c>
      <c r="B8766" s="12" t="s">
        <v>15711</v>
      </c>
      <c r="C8766" s="13" t="s">
        <v>15712</v>
      </c>
      <c r="D8766" s="13" t="s">
        <v>60</v>
      </c>
      <c r="E8766" s="12" t="s">
        <v>50</v>
      </c>
      <c r="F8766" s="13"/>
      <c r="G8766" s="14">
        <v>906</v>
      </c>
      <c r="H8766" s="13" t="s">
        <v>15713</v>
      </c>
      <c r="I8766" s="40" t="s">
        <v>18</v>
      </c>
      <c r="J8766" s="40" t="str">
        <f>HYPERLINK("https://m.stock.naver.com/research/company/86552","PDF")</f>
        <v>PDF</v>
      </c>
      <c r="K8766" s="12" t="s">
        <v>15714</v>
      </c>
    </row>
    <row r="8767" spans="1:12" x14ac:dyDescent="0.45">
      <c r="A8767" s="12" t="s">
        <v>15706</v>
      </c>
      <c r="B8767" s="12" t="s">
        <v>42</v>
      </c>
      <c r="C8767" s="13" t="s">
        <v>43</v>
      </c>
      <c r="D8767" s="13" t="s">
        <v>65</v>
      </c>
      <c r="E8767" s="12" t="s">
        <v>35</v>
      </c>
      <c r="F8767" s="14">
        <v>320000</v>
      </c>
      <c r="G8767" s="14">
        <v>256500</v>
      </c>
      <c r="H8767" s="13" t="s">
        <v>15715</v>
      </c>
      <c r="I8767" s="40" t="s">
        <v>18</v>
      </c>
      <c r="J8767" s="40" t="str">
        <f>HYPERLINK("https://m.stock.naver.com/research/company/86551","PDF")</f>
        <v>PDF</v>
      </c>
      <c r="K8767" s="12" t="s">
        <v>15716</v>
      </c>
      <c r="L8767" s="20">
        <v>0.24756335282651071</v>
      </c>
    </row>
    <row r="8768" spans="1:12" x14ac:dyDescent="0.45">
      <c r="A8768" s="12" t="s">
        <v>15706</v>
      </c>
      <c r="B8768" s="12" t="s">
        <v>894</v>
      </c>
      <c r="C8768" s="13" t="s">
        <v>26</v>
      </c>
      <c r="D8768" s="13" t="s">
        <v>65</v>
      </c>
      <c r="E8768" s="12" t="s">
        <v>35</v>
      </c>
      <c r="F8768" s="14">
        <v>65000</v>
      </c>
      <c r="G8768" s="14">
        <v>51100</v>
      </c>
      <c r="H8768" s="13" t="s">
        <v>15717</v>
      </c>
      <c r="I8768" s="40" t="s">
        <v>18</v>
      </c>
      <c r="J8768" s="40" t="str">
        <f>HYPERLINK("https://stock.pstatic.net/stock-research/company/57/20250929_company_335645000.pdf","PDF")</f>
        <v>PDF</v>
      </c>
      <c r="K8768" s="12" t="s">
        <v>15718</v>
      </c>
      <c r="L8768" s="20">
        <v>0.2720156555772994</v>
      </c>
    </row>
    <row r="8769" spans="1:12" x14ac:dyDescent="0.45">
      <c r="A8769" s="12" t="s">
        <v>15706</v>
      </c>
      <c r="B8769" s="12" t="s">
        <v>3813</v>
      </c>
      <c r="C8769" s="13" t="s">
        <v>3814</v>
      </c>
      <c r="D8769" s="13" t="s">
        <v>179</v>
      </c>
      <c r="E8769" s="12" t="s">
        <v>16</v>
      </c>
      <c r="F8769" s="14">
        <v>16500</v>
      </c>
      <c r="G8769" s="14">
        <v>14030</v>
      </c>
      <c r="H8769" s="13" t="s">
        <v>15719</v>
      </c>
      <c r="I8769" s="40" t="s">
        <v>18</v>
      </c>
      <c r="J8769" s="40" t="str">
        <f>HYPERLINK("https://stock.pstatic.net/stock-research/company/64/20250929_company_645478000.pdf","PDF")</f>
        <v>PDF</v>
      </c>
      <c r="K8769" s="12" t="s">
        <v>15720</v>
      </c>
      <c r="L8769" s="20">
        <v>0.17605131860299361</v>
      </c>
    </row>
    <row r="8770" spans="1:12" x14ac:dyDescent="0.45">
      <c r="A8770" s="12" t="s">
        <v>15706</v>
      </c>
      <c r="B8770" s="12" t="s">
        <v>495</v>
      </c>
      <c r="C8770" s="13" t="s">
        <v>496</v>
      </c>
      <c r="D8770" s="13" t="s">
        <v>15</v>
      </c>
      <c r="E8770" s="12" t="s">
        <v>16</v>
      </c>
      <c r="F8770" s="14">
        <v>300000</v>
      </c>
      <c r="G8770" s="14">
        <v>225000</v>
      </c>
      <c r="H8770" s="13" t="s">
        <v>15721</v>
      </c>
      <c r="I8770" s="40" t="s">
        <v>18</v>
      </c>
      <c r="J8770" s="40" t="str">
        <f>HYPERLINK("https://stock.pstatic.net/stock-research/company/29/20250929_company_884077000.pdf","PDF")</f>
        <v>PDF</v>
      </c>
      <c r="K8770" s="12" t="s">
        <v>15722</v>
      </c>
      <c r="L8770" s="20">
        <v>0.33333333333333331</v>
      </c>
    </row>
    <row r="8771" spans="1:12" x14ac:dyDescent="0.45">
      <c r="A8771" s="12" t="s">
        <v>15706</v>
      </c>
      <c r="B8771" s="12" t="s">
        <v>585</v>
      </c>
      <c r="C8771" s="13" t="s">
        <v>586</v>
      </c>
      <c r="D8771" s="13" t="s">
        <v>23</v>
      </c>
      <c r="E8771" s="12" t="s">
        <v>16</v>
      </c>
      <c r="F8771" s="14">
        <v>57800</v>
      </c>
      <c r="G8771" s="14">
        <v>48150</v>
      </c>
      <c r="H8771" s="13" t="s">
        <v>15723</v>
      </c>
      <c r="I8771" s="40" t="s">
        <v>18</v>
      </c>
      <c r="J8771" s="40" t="str">
        <f>HYPERLINK("https://m.stock.naver.com/research/company/86547","PDF")</f>
        <v>PDF</v>
      </c>
      <c r="K8771" s="12" t="s">
        <v>15724</v>
      </c>
      <c r="L8771" s="20">
        <v>0.20041536863966769</v>
      </c>
    </row>
    <row r="8772" spans="1:12" x14ac:dyDescent="0.45">
      <c r="A8772" s="12" t="s">
        <v>15706</v>
      </c>
      <c r="B8772" s="12" t="s">
        <v>430</v>
      </c>
      <c r="C8772" s="13" t="s">
        <v>431</v>
      </c>
      <c r="D8772" s="13" t="s">
        <v>23</v>
      </c>
      <c r="E8772" s="12" t="s">
        <v>16</v>
      </c>
      <c r="F8772" s="14">
        <v>48000</v>
      </c>
      <c r="G8772" s="14">
        <v>30700</v>
      </c>
      <c r="H8772" s="13" t="s">
        <v>15725</v>
      </c>
      <c r="I8772" s="40" t="s">
        <v>18</v>
      </c>
      <c r="J8772" s="40" t="str">
        <f>HYPERLINK("https://m.stock.naver.com/research/company/86546","PDF")</f>
        <v>PDF</v>
      </c>
      <c r="K8772" s="12" t="s">
        <v>15726</v>
      </c>
      <c r="L8772" s="20">
        <v>0.56351791530944628</v>
      </c>
    </row>
    <row r="8773" spans="1:12" x14ac:dyDescent="0.45">
      <c r="A8773" s="12" t="s">
        <v>15706</v>
      </c>
      <c r="B8773" s="12" t="s">
        <v>468</v>
      </c>
      <c r="C8773" s="13" t="s">
        <v>469</v>
      </c>
      <c r="D8773" s="13" t="s">
        <v>34</v>
      </c>
      <c r="E8773" s="12" t="s">
        <v>50</v>
      </c>
      <c r="F8773" s="13"/>
      <c r="G8773" s="13"/>
      <c r="H8773" s="13" t="s">
        <v>15727</v>
      </c>
      <c r="I8773" s="40" t="s">
        <v>18</v>
      </c>
      <c r="J8773" s="40" t="str">
        <f>HYPERLINK("https://m.stock.naver.com/research/company/86545","PDF")</f>
        <v>PDF</v>
      </c>
      <c r="K8773" s="12" t="s">
        <v>15728</v>
      </c>
    </row>
    <row r="8774" spans="1:12" x14ac:dyDescent="0.45">
      <c r="A8774" s="12" t="s">
        <v>15706</v>
      </c>
      <c r="B8774" s="12" t="s">
        <v>11396</v>
      </c>
      <c r="C8774" s="13" t="s">
        <v>11397</v>
      </c>
      <c r="D8774" s="13" t="s">
        <v>34</v>
      </c>
      <c r="E8774" s="12" t="s">
        <v>50</v>
      </c>
      <c r="F8774" s="13"/>
      <c r="G8774" s="14">
        <v>7940</v>
      </c>
      <c r="H8774" s="13" t="s">
        <v>15729</v>
      </c>
      <c r="I8774" s="40" t="s">
        <v>18</v>
      </c>
      <c r="J8774" s="40" t="str">
        <f>HYPERLINK("https://stock.pstatic.net/stock-research/company/61/20250929_company_896486000.pdf","PDF")</f>
        <v>PDF</v>
      </c>
      <c r="K8774" s="12" t="s">
        <v>15730</v>
      </c>
    </row>
    <row r="8775" spans="1:12" x14ac:dyDescent="0.45">
      <c r="A8775" s="12" t="s">
        <v>15706</v>
      </c>
      <c r="B8775" s="12" t="s">
        <v>828</v>
      </c>
      <c r="C8775" s="13" t="s">
        <v>829</v>
      </c>
      <c r="D8775" s="13" t="s">
        <v>34</v>
      </c>
      <c r="E8775" s="12" t="s">
        <v>50</v>
      </c>
      <c r="F8775" s="13"/>
      <c r="G8775" s="14">
        <v>72200</v>
      </c>
      <c r="H8775" s="13" t="s">
        <v>15731</v>
      </c>
      <c r="I8775" s="40" t="s">
        <v>18</v>
      </c>
      <c r="J8775" s="40" t="str">
        <f>HYPERLINK("https://m.stock.naver.com/research/company/86543","PDF")</f>
        <v>PDF</v>
      </c>
      <c r="K8775" s="12" t="s">
        <v>15732</v>
      </c>
    </row>
    <row r="8776" spans="1:12" x14ac:dyDescent="0.45">
      <c r="A8776" s="12" t="s">
        <v>15706</v>
      </c>
      <c r="B8776" s="12" t="s">
        <v>4206</v>
      </c>
      <c r="C8776" s="13" t="s">
        <v>4207</v>
      </c>
      <c r="D8776" s="13" t="s">
        <v>44</v>
      </c>
      <c r="E8776" s="12" t="s">
        <v>50</v>
      </c>
      <c r="F8776" s="13"/>
      <c r="G8776" s="14">
        <v>22100</v>
      </c>
      <c r="H8776" s="13" t="s">
        <v>15733</v>
      </c>
      <c r="I8776" s="40" t="s">
        <v>18</v>
      </c>
      <c r="J8776" s="40" t="str">
        <f>HYPERLINK("https://stock.pstatic.net/stock-research/company/39/20250929_company_314690000.pdf","PDF")</f>
        <v>PDF</v>
      </c>
      <c r="K8776" s="12" t="s">
        <v>15734</v>
      </c>
    </row>
    <row r="8777" spans="1:12" x14ac:dyDescent="0.45">
      <c r="A8777" s="12" t="s">
        <v>15735</v>
      </c>
      <c r="B8777" s="12" t="s">
        <v>1773</v>
      </c>
      <c r="C8777" s="13" t="s">
        <v>1774</v>
      </c>
      <c r="D8777" s="13" t="s">
        <v>15</v>
      </c>
      <c r="E8777" s="12" t="s">
        <v>16</v>
      </c>
      <c r="F8777" s="14">
        <v>120000</v>
      </c>
      <c r="G8777" s="14">
        <v>83000</v>
      </c>
      <c r="H8777" s="13" t="s">
        <v>15736</v>
      </c>
      <c r="I8777" s="40" t="s">
        <v>18</v>
      </c>
      <c r="J8777" s="40" t="str">
        <f>HYPERLINK("https://m.stock.naver.com/research/company/86541","PDF")</f>
        <v>PDF</v>
      </c>
      <c r="K8777" s="12" t="s">
        <v>15737</v>
      </c>
      <c r="L8777" s="20">
        <v>0.44578313253012047</v>
      </c>
    </row>
    <row r="8778" spans="1:12" x14ac:dyDescent="0.45">
      <c r="A8778" s="12" t="s">
        <v>15735</v>
      </c>
      <c r="B8778" s="12" t="s">
        <v>537</v>
      </c>
      <c r="C8778" s="13" t="s">
        <v>538</v>
      </c>
      <c r="D8778" s="13" t="s">
        <v>83</v>
      </c>
      <c r="E8778" s="12" t="s">
        <v>35</v>
      </c>
      <c r="F8778" s="14">
        <v>17000</v>
      </c>
      <c r="G8778" s="14">
        <v>14990</v>
      </c>
      <c r="H8778" s="13" t="s">
        <v>15738</v>
      </c>
      <c r="I8778" s="40" t="s">
        <v>18</v>
      </c>
      <c r="J8778" s="40" t="str">
        <f>HYPERLINK("https://m.stock.naver.com/research/company/86540","PDF")</f>
        <v>PDF</v>
      </c>
      <c r="K8778" s="12" t="s">
        <v>15739</v>
      </c>
      <c r="L8778" s="20">
        <v>0.1340893929286191</v>
      </c>
    </row>
    <row r="8779" spans="1:12" x14ac:dyDescent="0.45">
      <c r="A8779" s="12" t="s">
        <v>15735</v>
      </c>
      <c r="B8779" s="12" t="s">
        <v>3230</v>
      </c>
      <c r="C8779" s="13" t="s">
        <v>3231</v>
      </c>
      <c r="D8779" s="13" t="s">
        <v>83</v>
      </c>
      <c r="E8779" s="12" t="s">
        <v>35</v>
      </c>
      <c r="F8779" s="14">
        <v>1850000</v>
      </c>
      <c r="G8779" s="14">
        <v>1378000</v>
      </c>
      <c r="H8779" s="13" t="s">
        <v>15740</v>
      </c>
      <c r="I8779" s="40" t="s">
        <v>18</v>
      </c>
      <c r="J8779" s="40" t="str">
        <f>HYPERLINK("https://m.stock.naver.com/research/company/86539","PDF")</f>
        <v>PDF</v>
      </c>
      <c r="K8779" s="12" t="s">
        <v>15741</v>
      </c>
      <c r="L8779" s="20">
        <v>0.34252539912917268</v>
      </c>
    </row>
    <row r="8780" spans="1:12" x14ac:dyDescent="0.45">
      <c r="A8780" s="12" t="s">
        <v>15735</v>
      </c>
      <c r="B8780" s="12" t="s">
        <v>7867</v>
      </c>
      <c r="C8780" s="13" t="s">
        <v>7868</v>
      </c>
      <c r="D8780" s="13" t="s">
        <v>83</v>
      </c>
      <c r="E8780" s="12" t="s">
        <v>50</v>
      </c>
      <c r="F8780" s="13"/>
      <c r="G8780" s="14">
        <v>15860</v>
      </c>
      <c r="H8780" s="13" t="s">
        <v>15742</v>
      </c>
      <c r="I8780" s="40" t="s">
        <v>18</v>
      </c>
      <c r="J8780" s="40" t="str">
        <f>HYPERLINK("https://m.stock.naver.com/research/company/86538","PDF")</f>
        <v>PDF</v>
      </c>
      <c r="K8780" s="12" t="s">
        <v>15743</v>
      </c>
    </row>
    <row r="8781" spans="1:12" x14ac:dyDescent="0.45">
      <c r="A8781" s="12" t="s">
        <v>15735</v>
      </c>
      <c r="B8781" s="12" t="s">
        <v>3182</v>
      </c>
      <c r="C8781" s="13" t="s">
        <v>3183</v>
      </c>
      <c r="D8781" s="13" t="s">
        <v>83</v>
      </c>
      <c r="E8781" s="12" t="s">
        <v>35</v>
      </c>
      <c r="F8781" s="14">
        <v>730000</v>
      </c>
      <c r="G8781" s="14">
        <v>587000</v>
      </c>
      <c r="H8781" s="13" t="s">
        <v>15744</v>
      </c>
      <c r="I8781" s="40" t="s">
        <v>18</v>
      </c>
      <c r="J8781" s="40" t="str">
        <f>HYPERLINK("https://m.stock.naver.com/research/company/86537","PDF")</f>
        <v>PDF</v>
      </c>
      <c r="K8781" s="12" t="s">
        <v>15745</v>
      </c>
      <c r="L8781" s="20">
        <v>0.24361158432708691</v>
      </c>
    </row>
    <row r="8782" spans="1:12" x14ac:dyDescent="0.45">
      <c r="A8782" s="12" t="s">
        <v>15735</v>
      </c>
      <c r="B8782" s="12" t="s">
        <v>8114</v>
      </c>
      <c r="C8782" s="13" t="s">
        <v>8115</v>
      </c>
      <c r="D8782" s="13" t="s">
        <v>23</v>
      </c>
      <c r="E8782" s="12" t="s">
        <v>16</v>
      </c>
      <c r="F8782" s="14">
        <v>44000</v>
      </c>
      <c r="G8782" s="14">
        <v>30850</v>
      </c>
      <c r="H8782" s="13" t="s">
        <v>15746</v>
      </c>
      <c r="I8782" s="40" t="s">
        <v>18</v>
      </c>
      <c r="J8782" s="40" t="str">
        <f>HYPERLINK("https://m.stock.naver.com/research/company/86536","PDF")</f>
        <v>PDF</v>
      </c>
      <c r="K8782" s="12" t="s">
        <v>15747</v>
      </c>
      <c r="L8782" s="20">
        <v>0.42625607779578611</v>
      </c>
    </row>
    <row r="8783" spans="1:12" x14ac:dyDescent="0.45">
      <c r="A8783" s="12" t="s">
        <v>15735</v>
      </c>
      <c r="B8783" s="12" t="s">
        <v>15657</v>
      </c>
      <c r="C8783" s="13" t="s">
        <v>15658</v>
      </c>
      <c r="D8783" s="13" t="s">
        <v>23</v>
      </c>
      <c r="E8783" s="12" t="s">
        <v>16</v>
      </c>
      <c r="F8783" s="14">
        <v>28000</v>
      </c>
      <c r="G8783" s="14">
        <v>21450</v>
      </c>
      <c r="H8783" s="13" t="s">
        <v>15748</v>
      </c>
      <c r="I8783" s="40" t="s">
        <v>18</v>
      </c>
      <c r="J8783" s="40" t="str">
        <f>HYPERLINK("https://m.stock.naver.com/research/company/86535","PDF")</f>
        <v>PDF</v>
      </c>
      <c r="K8783" s="12" t="s">
        <v>15749</v>
      </c>
      <c r="L8783" s="20">
        <v>0.30536130536130529</v>
      </c>
    </row>
    <row r="8784" spans="1:12" x14ac:dyDescent="0.45">
      <c r="A8784" s="12" t="s">
        <v>15735</v>
      </c>
      <c r="B8784" s="12" t="s">
        <v>10588</v>
      </c>
      <c r="C8784" s="13" t="s">
        <v>10589</v>
      </c>
      <c r="D8784" s="13" t="s">
        <v>44</v>
      </c>
      <c r="E8784" s="12" t="s">
        <v>50</v>
      </c>
      <c r="F8784" s="13"/>
      <c r="G8784" s="14">
        <v>3330</v>
      </c>
      <c r="H8784" s="13" t="s">
        <v>15750</v>
      </c>
      <c r="I8784" s="40" t="s">
        <v>18</v>
      </c>
      <c r="J8784" s="40" t="str">
        <f>HYPERLINK("https://stock.pstatic.net/stock-research/company/39/20250926_company_432178000.pdf","PDF")</f>
        <v>PDF</v>
      </c>
      <c r="K8784" s="12" t="s">
        <v>15751</v>
      </c>
    </row>
    <row r="8785" spans="1:12" x14ac:dyDescent="0.45">
      <c r="A8785" s="12" t="s">
        <v>15735</v>
      </c>
      <c r="B8785" s="12" t="s">
        <v>2191</v>
      </c>
      <c r="C8785" s="13" t="s">
        <v>2192</v>
      </c>
      <c r="D8785" s="13" t="s">
        <v>44</v>
      </c>
      <c r="E8785" s="12" t="s">
        <v>35</v>
      </c>
      <c r="F8785" s="14">
        <v>89000</v>
      </c>
      <c r="G8785" s="14">
        <v>68200</v>
      </c>
      <c r="H8785" s="13" t="s">
        <v>15752</v>
      </c>
      <c r="I8785" s="40" t="s">
        <v>18</v>
      </c>
      <c r="J8785" s="40" t="str">
        <f>HYPERLINK("https://stock.pstatic.net/stock-research/company/39/20250926_company_450616000.pdf","PDF")</f>
        <v>PDF</v>
      </c>
      <c r="K8785" s="12" t="s">
        <v>15753</v>
      </c>
      <c r="L8785" s="20">
        <v>0.30498533724340182</v>
      </c>
    </row>
    <row r="8786" spans="1:12" x14ac:dyDescent="0.45">
      <c r="A8786" s="12" t="s">
        <v>15735</v>
      </c>
      <c r="B8786" s="12" t="s">
        <v>756</v>
      </c>
      <c r="C8786" s="13" t="s">
        <v>757</v>
      </c>
      <c r="D8786" s="13" t="s">
        <v>44</v>
      </c>
      <c r="E8786" s="12" t="s">
        <v>35</v>
      </c>
      <c r="F8786" s="14">
        <v>130000</v>
      </c>
      <c r="G8786" s="14">
        <v>78300</v>
      </c>
      <c r="H8786" s="13" t="s">
        <v>15754</v>
      </c>
      <c r="I8786" s="40" t="s">
        <v>18</v>
      </c>
      <c r="J8786" s="40" t="str">
        <f>HYPERLINK("https://stock.pstatic.net/stock-research/company/39/20250926_company_809046000.pdf","PDF")</f>
        <v>PDF</v>
      </c>
      <c r="K8786" s="12" t="s">
        <v>15755</v>
      </c>
      <c r="L8786" s="20">
        <v>0.66028097062579816</v>
      </c>
    </row>
    <row r="8787" spans="1:12" x14ac:dyDescent="0.45">
      <c r="A8787" s="12" t="s">
        <v>15735</v>
      </c>
      <c r="B8787" s="12" t="s">
        <v>434</v>
      </c>
      <c r="C8787" s="13" t="s">
        <v>435</v>
      </c>
      <c r="D8787" s="13" t="s">
        <v>44</v>
      </c>
      <c r="E8787" s="12" t="s">
        <v>35</v>
      </c>
      <c r="F8787" s="14">
        <v>180000</v>
      </c>
      <c r="G8787" s="14">
        <v>125500</v>
      </c>
      <c r="H8787" s="13" t="s">
        <v>15756</v>
      </c>
      <c r="I8787" s="40" t="s">
        <v>18</v>
      </c>
      <c r="J8787" s="40" t="str">
        <f>HYPERLINK("https://stock.pstatic.net/stock-research/company/39/20250926_company_721420000.pdf","PDF")</f>
        <v>PDF</v>
      </c>
      <c r="K8787" s="12" t="s">
        <v>15757</v>
      </c>
      <c r="L8787" s="20">
        <v>0.43426294820717132</v>
      </c>
    </row>
    <row r="8788" spans="1:12" x14ac:dyDescent="0.45">
      <c r="A8788" s="12" t="s">
        <v>15735</v>
      </c>
      <c r="B8788" s="12" t="s">
        <v>764</v>
      </c>
      <c r="C8788" s="13" t="s">
        <v>765</v>
      </c>
      <c r="D8788" s="13" t="s">
        <v>44</v>
      </c>
      <c r="E8788" s="12" t="s">
        <v>35</v>
      </c>
      <c r="F8788" s="14">
        <v>62000</v>
      </c>
      <c r="G8788" s="14">
        <v>44750</v>
      </c>
      <c r="H8788" s="13" t="s">
        <v>15758</v>
      </c>
      <c r="I8788" s="40" t="s">
        <v>18</v>
      </c>
      <c r="J8788" s="40" t="str">
        <f>HYPERLINK("https://stock.pstatic.net/stock-research/company/39/20250926_company_976919000.pdf","PDF")</f>
        <v>PDF</v>
      </c>
      <c r="K8788" s="12" t="s">
        <v>15759</v>
      </c>
      <c r="L8788" s="20">
        <v>0.38547486033519551</v>
      </c>
    </row>
    <row r="8789" spans="1:12" x14ac:dyDescent="0.45">
      <c r="A8789" s="12" t="s">
        <v>15735</v>
      </c>
      <c r="B8789" s="12" t="s">
        <v>14596</v>
      </c>
      <c r="C8789" s="13" t="s">
        <v>14597</v>
      </c>
      <c r="D8789" s="13" t="s">
        <v>44</v>
      </c>
      <c r="E8789" s="12" t="s">
        <v>50</v>
      </c>
      <c r="F8789" s="13"/>
      <c r="G8789" s="14">
        <v>27150</v>
      </c>
      <c r="H8789" s="13" t="s">
        <v>15760</v>
      </c>
      <c r="I8789" s="40" t="s">
        <v>18</v>
      </c>
      <c r="J8789" s="40" t="str">
        <f>HYPERLINK("https://stock.pstatic.net/stock-research/company/39/20250926_company_676171000.pdf","PDF")</f>
        <v>PDF</v>
      </c>
      <c r="K8789" s="12" t="s">
        <v>15761</v>
      </c>
    </row>
    <row r="8790" spans="1:12" x14ac:dyDescent="0.45">
      <c r="A8790" s="12" t="s">
        <v>15735</v>
      </c>
      <c r="B8790" s="12" t="s">
        <v>740</v>
      </c>
      <c r="C8790" s="13" t="s">
        <v>741</v>
      </c>
      <c r="D8790" s="13" t="s">
        <v>44</v>
      </c>
      <c r="E8790" s="12" t="s">
        <v>35</v>
      </c>
      <c r="F8790" s="14">
        <v>250000</v>
      </c>
      <c r="G8790" s="14">
        <v>197500</v>
      </c>
      <c r="H8790" s="13" t="s">
        <v>15762</v>
      </c>
      <c r="I8790" s="40" t="s">
        <v>18</v>
      </c>
      <c r="J8790" s="40" t="str">
        <f>HYPERLINK("https://stock.pstatic.net/stock-research/company/39/20250926_company_709250000.pdf","PDF")</f>
        <v>PDF</v>
      </c>
      <c r="K8790" s="12" t="s">
        <v>15763</v>
      </c>
      <c r="L8790" s="20">
        <v>0.26582278481012661</v>
      </c>
    </row>
    <row r="8791" spans="1:12" x14ac:dyDescent="0.45">
      <c r="A8791" s="12" t="s">
        <v>15735</v>
      </c>
      <c r="B8791" s="12" t="s">
        <v>132</v>
      </c>
      <c r="C8791" s="13" t="s">
        <v>133</v>
      </c>
      <c r="D8791" s="13" t="s">
        <v>53</v>
      </c>
      <c r="E8791" s="12" t="s">
        <v>16</v>
      </c>
      <c r="F8791" s="14">
        <v>106000</v>
      </c>
      <c r="G8791" s="14">
        <v>89700</v>
      </c>
      <c r="H8791" s="13" t="s">
        <v>15764</v>
      </c>
      <c r="I8791" s="40" t="s">
        <v>18</v>
      </c>
      <c r="J8791" s="40" t="str">
        <f>HYPERLINK("https://stock.pstatic.net/stock-research/company/40/20250926_company_108935000.pdf","PDF")</f>
        <v>PDF</v>
      </c>
      <c r="K8791" s="12" t="s">
        <v>15765</v>
      </c>
      <c r="L8791" s="20">
        <v>0.18171683389074689</v>
      </c>
    </row>
    <row r="8792" spans="1:12" x14ac:dyDescent="0.45">
      <c r="A8792" s="12" t="s">
        <v>15735</v>
      </c>
      <c r="B8792" s="12" t="s">
        <v>15766</v>
      </c>
      <c r="C8792" s="13" t="s">
        <v>15767</v>
      </c>
      <c r="D8792" s="13" t="s">
        <v>207</v>
      </c>
      <c r="E8792" s="12" t="s">
        <v>50</v>
      </c>
      <c r="F8792" s="13"/>
      <c r="G8792" s="13"/>
      <c r="H8792" s="13" t="s">
        <v>15768</v>
      </c>
      <c r="I8792" s="40" t="s">
        <v>18</v>
      </c>
      <c r="J8792" s="40" t="str">
        <f>HYPERLINK("https://stock.pstatic.net/stock-research/company/75/20250926_company_989487000.pdf","PDF")</f>
        <v>PDF</v>
      </c>
      <c r="K8792" s="12" t="s">
        <v>15769</v>
      </c>
    </row>
    <row r="8793" spans="1:12" x14ac:dyDescent="0.45">
      <c r="A8793" s="12" t="s">
        <v>15735</v>
      </c>
      <c r="B8793" s="12" t="s">
        <v>15770</v>
      </c>
      <c r="C8793" s="13" t="s">
        <v>15771</v>
      </c>
      <c r="D8793" s="13" t="s">
        <v>207</v>
      </c>
      <c r="E8793" s="12" t="s">
        <v>50</v>
      </c>
      <c r="F8793" s="13"/>
      <c r="G8793" s="13"/>
      <c r="H8793" s="13" t="s">
        <v>15772</v>
      </c>
      <c r="I8793" s="40" t="s">
        <v>18</v>
      </c>
      <c r="J8793" s="40" t="str">
        <f>HYPERLINK("https://stock.pstatic.net/stock-research/company/75/20250926_company_304102000.pdf","PDF")</f>
        <v>PDF</v>
      </c>
      <c r="K8793" s="12" t="s">
        <v>15773</v>
      </c>
    </row>
    <row r="8794" spans="1:12" x14ac:dyDescent="0.45">
      <c r="A8794" s="12" t="s">
        <v>15735</v>
      </c>
      <c r="B8794" s="12" t="s">
        <v>15774</v>
      </c>
      <c r="C8794" s="13" t="s">
        <v>15775</v>
      </c>
      <c r="D8794" s="13" t="s">
        <v>207</v>
      </c>
      <c r="E8794" s="12" t="s">
        <v>50</v>
      </c>
      <c r="F8794" s="13"/>
      <c r="G8794" s="13"/>
      <c r="H8794" s="13" t="s">
        <v>15776</v>
      </c>
      <c r="I8794" s="40" t="s">
        <v>18</v>
      </c>
      <c r="J8794" s="40" t="str">
        <f>HYPERLINK("https://stock.pstatic.net/stock-research/company/75/20250926_company_712550000.pdf","PDF")</f>
        <v>PDF</v>
      </c>
      <c r="K8794" s="12" t="s">
        <v>15777</v>
      </c>
    </row>
    <row r="8795" spans="1:12" x14ac:dyDescent="0.45">
      <c r="A8795" s="12" t="s">
        <v>15735</v>
      </c>
      <c r="B8795" s="12" t="s">
        <v>573</v>
      </c>
      <c r="C8795" s="13" t="s">
        <v>574</v>
      </c>
      <c r="D8795" s="13" t="s">
        <v>11154</v>
      </c>
      <c r="E8795" s="12" t="s">
        <v>50</v>
      </c>
      <c r="F8795" s="13"/>
      <c r="G8795" s="13"/>
      <c r="H8795" s="13" t="s">
        <v>15778</v>
      </c>
      <c r="I8795" s="40" t="s">
        <v>18</v>
      </c>
      <c r="J8795" s="40" t="str">
        <f>HYPERLINK("https://stock.pstatic.net/stock-research/company/79/20250926_company_569535000.pdf","PDF")</f>
        <v>PDF</v>
      </c>
      <c r="K8795" s="12" t="s">
        <v>15779</v>
      </c>
    </row>
    <row r="8796" spans="1:12" x14ac:dyDescent="0.45">
      <c r="A8796" s="12" t="s">
        <v>15735</v>
      </c>
      <c r="B8796" s="12" t="s">
        <v>15780</v>
      </c>
      <c r="C8796" s="13" t="s">
        <v>15781</v>
      </c>
      <c r="D8796" s="13" t="s">
        <v>11154</v>
      </c>
      <c r="E8796" s="12" t="s">
        <v>50</v>
      </c>
      <c r="F8796" s="13"/>
      <c r="G8796" s="13"/>
      <c r="H8796" s="13" t="s">
        <v>15782</v>
      </c>
      <c r="I8796" s="40" t="s">
        <v>18</v>
      </c>
      <c r="J8796" s="40" t="str">
        <f>HYPERLINK("https://stock.pstatic.net/stock-research/company/79/20250926_company_504306000.pdf","PDF")</f>
        <v>PDF</v>
      </c>
      <c r="K8796" s="12" t="s">
        <v>15783</v>
      </c>
    </row>
    <row r="8797" spans="1:12" x14ac:dyDescent="0.45">
      <c r="A8797" s="12" t="s">
        <v>15735</v>
      </c>
      <c r="B8797" s="12" t="s">
        <v>15784</v>
      </c>
      <c r="C8797" s="13" t="s">
        <v>15785</v>
      </c>
      <c r="D8797" s="13" t="s">
        <v>202</v>
      </c>
      <c r="E8797" s="12" t="s">
        <v>50</v>
      </c>
      <c r="F8797" s="13"/>
      <c r="G8797" s="13"/>
      <c r="H8797" s="13" t="s">
        <v>15786</v>
      </c>
      <c r="I8797" s="40" t="s">
        <v>18</v>
      </c>
      <c r="J8797" s="40" t="str">
        <f>HYPERLINK("https://stock.pstatic.net/stock-research/company/69/20250926_company_304176000.pdf","PDF")</f>
        <v>PDF</v>
      </c>
      <c r="K8797" s="12" t="s">
        <v>15787</v>
      </c>
    </row>
    <row r="8798" spans="1:12" x14ac:dyDescent="0.45">
      <c r="A8798" s="12" t="s">
        <v>15735</v>
      </c>
      <c r="B8798" s="12" t="s">
        <v>15788</v>
      </c>
      <c r="C8798" s="13" t="s">
        <v>15789</v>
      </c>
      <c r="D8798" s="13" t="s">
        <v>202</v>
      </c>
      <c r="E8798" s="12" t="s">
        <v>50</v>
      </c>
      <c r="F8798" s="13"/>
      <c r="G8798" s="13"/>
      <c r="H8798" s="13" t="s">
        <v>15790</v>
      </c>
      <c r="I8798" s="40" t="s">
        <v>18</v>
      </c>
      <c r="J8798" s="40" t="str">
        <f>HYPERLINK("https://stock.pstatic.net/stock-research/company/69/20250926_company_859013000.pdf","PDF")</f>
        <v>PDF</v>
      </c>
      <c r="K8798" s="12" t="s">
        <v>15791</v>
      </c>
    </row>
    <row r="8799" spans="1:12" x14ac:dyDescent="0.45">
      <c r="A8799" s="12" t="s">
        <v>15735</v>
      </c>
      <c r="B8799" s="12" t="s">
        <v>15792</v>
      </c>
      <c r="C8799" s="13" t="s">
        <v>15793</v>
      </c>
      <c r="D8799" s="13" t="s">
        <v>11154</v>
      </c>
      <c r="E8799" s="12" t="s">
        <v>50</v>
      </c>
      <c r="F8799" s="13"/>
      <c r="G8799" s="13"/>
      <c r="H8799" s="13" t="s">
        <v>15794</v>
      </c>
      <c r="I8799" s="40" t="s">
        <v>18</v>
      </c>
      <c r="J8799" s="40" t="str">
        <f>HYPERLINK("https://stock.pstatic.net/stock-research/company/79/20250926_company_316688000.pdf","PDF")</f>
        <v>PDF</v>
      </c>
      <c r="K8799" s="12" t="s">
        <v>15795</v>
      </c>
    </row>
    <row r="8800" spans="1:12" x14ac:dyDescent="0.45">
      <c r="A8800" s="12" t="s">
        <v>15735</v>
      </c>
      <c r="B8800" s="12" t="s">
        <v>10521</v>
      </c>
      <c r="C8800" s="13" t="s">
        <v>10522</v>
      </c>
      <c r="D8800" s="13" t="s">
        <v>11154</v>
      </c>
      <c r="E8800" s="12" t="s">
        <v>50</v>
      </c>
      <c r="F8800" s="13"/>
      <c r="G8800" s="13"/>
      <c r="H8800" s="13" t="s">
        <v>15796</v>
      </c>
      <c r="I8800" s="40" t="s">
        <v>18</v>
      </c>
      <c r="J8800" s="40" t="str">
        <f>HYPERLINK("https://stock.pstatic.net/stock-research/company/79/20250926_company_919132000.pdf","PDF")</f>
        <v>PDF</v>
      </c>
      <c r="K8800" s="12" t="s">
        <v>15797</v>
      </c>
    </row>
    <row r="8801" spans="1:12" x14ac:dyDescent="0.45">
      <c r="A8801" s="12" t="s">
        <v>15735</v>
      </c>
      <c r="B8801" s="12" t="s">
        <v>15798</v>
      </c>
      <c r="C8801" s="13" t="s">
        <v>15799</v>
      </c>
      <c r="D8801" s="13" t="s">
        <v>202</v>
      </c>
      <c r="E8801" s="12" t="s">
        <v>50</v>
      </c>
      <c r="F8801" s="13"/>
      <c r="G8801" s="13"/>
      <c r="H8801" s="13" t="s">
        <v>15800</v>
      </c>
      <c r="I8801" s="40" t="s">
        <v>18</v>
      </c>
      <c r="J8801" s="40" t="str">
        <f>HYPERLINK("https://stock.pstatic.net/stock-research/company/69/20250926_company_372333000.pdf","PDF")</f>
        <v>PDF</v>
      </c>
      <c r="K8801" s="12" t="s">
        <v>15801</v>
      </c>
    </row>
    <row r="8802" spans="1:12" x14ac:dyDescent="0.45">
      <c r="A8802" s="12" t="s">
        <v>15735</v>
      </c>
      <c r="B8802" s="12" t="s">
        <v>15802</v>
      </c>
      <c r="C8802" s="13" t="s">
        <v>15803</v>
      </c>
      <c r="D8802" s="13" t="s">
        <v>207</v>
      </c>
      <c r="E8802" s="12" t="s">
        <v>50</v>
      </c>
      <c r="F8802" s="13"/>
      <c r="G8802" s="13"/>
      <c r="H8802" s="13" t="s">
        <v>15804</v>
      </c>
      <c r="I8802" s="40" t="s">
        <v>18</v>
      </c>
      <c r="J8802" s="40" t="str">
        <f>HYPERLINK("https://stock.pstatic.net/stock-research/company/75/20250926_company_227608000.pdf","PDF")</f>
        <v>PDF</v>
      </c>
      <c r="K8802" s="12" t="s">
        <v>15805</v>
      </c>
    </row>
    <row r="8803" spans="1:12" x14ac:dyDescent="0.45">
      <c r="A8803" s="12" t="s">
        <v>15806</v>
      </c>
      <c r="B8803" s="12" t="s">
        <v>334</v>
      </c>
      <c r="C8803" s="13" t="s">
        <v>335</v>
      </c>
      <c r="D8803" s="13" t="s">
        <v>57</v>
      </c>
      <c r="E8803" s="12" t="s">
        <v>35</v>
      </c>
      <c r="F8803" s="14">
        <v>440000</v>
      </c>
      <c r="G8803" s="14">
        <v>357500</v>
      </c>
      <c r="H8803" s="13" t="s">
        <v>15807</v>
      </c>
      <c r="I8803" s="40" t="s">
        <v>18</v>
      </c>
      <c r="J8803" s="40" t="str">
        <f>HYPERLINK("https://stock.pstatic.net/stock-research/company/16/20250925_company_560709000.pdf","PDF")</f>
        <v>PDF</v>
      </c>
      <c r="K8803" s="12" t="s">
        <v>15808</v>
      </c>
      <c r="L8803" s="20">
        <v>0.23076923076923081</v>
      </c>
    </row>
    <row r="8804" spans="1:12" x14ac:dyDescent="0.45">
      <c r="A8804" s="12" t="s">
        <v>15806</v>
      </c>
      <c r="B8804" s="12" t="s">
        <v>156</v>
      </c>
      <c r="C8804" s="13" t="s">
        <v>157</v>
      </c>
      <c r="D8804" s="13" t="s">
        <v>276</v>
      </c>
      <c r="E8804" s="12" t="s">
        <v>385</v>
      </c>
      <c r="F8804" s="14">
        <v>3300</v>
      </c>
      <c r="G8804" s="14">
        <v>3075</v>
      </c>
      <c r="H8804" s="13" t="s">
        <v>15809</v>
      </c>
      <c r="I8804" s="40" t="s">
        <v>18</v>
      </c>
      <c r="J8804" s="40" t="str">
        <f>HYPERLINK("https://stock.pstatic.net/stock-research/company/66/20250925_company_772334000.pdf","PDF")</f>
        <v>PDF</v>
      </c>
      <c r="K8804" s="12" t="s">
        <v>15810</v>
      </c>
      <c r="L8804" s="20">
        <v>7.3170731707317069E-2</v>
      </c>
    </row>
    <row r="8805" spans="1:12" x14ac:dyDescent="0.45">
      <c r="A8805" s="12" t="s">
        <v>15806</v>
      </c>
      <c r="B8805" s="12" t="s">
        <v>541</v>
      </c>
      <c r="C8805" s="13" t="s">
        <v>542</v>
      </c>
      <c r="D8805" s="13" t="s">
        <v>65</v>
      </c>
      <c r="E8805" s="12" t="s">
        <v>35</v>
      </c>
      <c r="F8805" s="14">
        <v>70000</v>
      </c>
      <c r="G8805" s="14">
        <v>55100</v>
      </c>
      <c r="H8805" s="13" t="s">
        <v>15811</v>
      </c>
      <c r="I8805" s="40" t="s">
        <v>18</v>
      </c>
      <c r="J8805" s="40" t="str">
        <f>HYPERLINK("https://stock.pstatic.net/stock-research/company/57/20250925_company_534223000.pdf","PDF")</f>
        <v>PDF</v>
      </c>
      <c r="K8805" s="12" t="s">
        <v>15812</v>
      </c>
      <c r="L8805" s="20">
        <v>0.27041742286751358</v>
      </c>
    </row>
    <row r="8806" spans="1:12" x14ac:dyDescent="0.45">
      <c r="A8806" s="12" t="s">
        <v>15806</v>
      </c>
      <c r="B8806" s="12" t="s">
        <v>537</v>
      </c>
      <c r="C8806" s="13" t="s">
        <v>538</v>
      </c>
      <c r="D8806" s="13" t="s">
        <v>65</v>
      </c>
      <c r="E8806" s="12" t="s">
        <v>35</v>
      </c>
      <c r="F8806" s="14">
        <v>16000</v>
      </c>
      <c r="G8806" s="14">
        <v>14990</v>
      </c>
      <c r="H8806" s="13" t="s">
        <v>15813</v>
      </c>
      <c r="I8806" s="40" t="s">
        <v>18</v>
      </c>
      <c r="J8806" s="40" t="str">
        <f>HYPERLINK("https://stock.pstatic.net/stock-research/company/57/20250925_company_9574000.pdf","PDF")</f>
        <v>PDF</v>
      </c>
      <c r="K8806" s="12" t="s">
        <v>15814</v>
      </c>
      <c r="L8806" s="20">
        <v>6.7378252168112079E-2</v>
      </c>
    </row>
    <row r="8807" spans="1:12" x14ac:dyDescent="0.45">
      <c r="A8807" s="12" t="s">
        <v>15806</v>
      </c>
      <c r="B8807" s="12" t="s">
        <v>533</v>
      </c>
      <c r="C8807" s="13" t="s">
        <v>534</v>
      </c>
      <c r="D8807" s="13" t="s">
        <v>65</v>
      </c>
      <c r="E8807" s="12" t="s">
        <v>35</v>
      </c>
      <c r="F8807" s="14">
        <v>65000</v>
      </c>
      <c r="G8807" s="14">
        <v>50800</v>
      </c>
      <c r="H8807" s="13" t="s">
        <v>15815</v>
      </c>
      <c r="I8807" s="40" t="s">
        <v>18</v>
      </c>
      <c r="J8807" s="40" t="str">
        <f>HYPERLINK("https://stock.pstatic.net/stock-research/company/57/20250925_company_59018000.pdf","PDF")</f>
        <v>PDF</v>
      </c>
      <c r="K8807" s="12" t="s">
        <v>15816</v>
      </c>
      <c r="L8807" s="20">
        <v>0.27952755905511811</v>
      </c>
    </row>
    <row r="8808" spans="1:12" x14ac:dyDescent="0.45">
      <c r="A8808" s="12" t="s">
        <v>15806</v>
      </c>
      <c r="B8808" s="12" t="s">
        <v>1120</v>
      </c>
      <c r="C8808" s="13" t="s">
        <v>1121</v>
      </c>
      <c r="D8808" s="13" t="s">
        <v>65</v>
      </c>
      <c r="E8808" s="12" t="s">
        <v>35</v>
      </c>
      <c r="F8808" s="14">
        <v>155000</v>
      </c>
      <c r="G8808" s="14">
        <v>104600</v>
      </c>
      <c r="H8808" s="13" t="s">
        <v>15817</v>
      </c>
      <c r="I8808" s="40" t="s">
        <v>18</v>
      </c>
      <c r="J8808" s="40" t="str">
        <f>HYPERLINK("https://stock.pstatic.net/stock-research/company/57/20250925_company_391586000.pdf","PDF")</f>
        <v>PDF</v>
      </c>
      <c r="K8808" s="12" t="s">
        <v>15818</v>
      </c>
      <c r="L8808" s="20">
        <v>0.48183556405353728</v>
      </c>
    </row>
    <row r="8809" spans="1:12" x14ac:dyDescent="0.45">
      <c r="A8809" s="12" t="s">
        <v>15806</v>
      </c>
      <c r="B8809" s="12" t="s">
        <v>2089</v>
      </c>
      <c r="C8809" s="13" t="s">
        <v>2090</v>
      </c>
      <c r="D8809" s="13" t="s">
        <v>158</v>
      </c>
      <c r="E8809" s="12" t="s">
        <v>35</v>
      </c>
      <c r="F8809" s="14">
        <v>80000</v>
      </c>
      <c r="G8809" s="14">
        <v>59800</v>
      </c>
      <c r="H8809" s="13" t="s">
        <v>15819</v>
      </c>
      <c r="I8809" s="40" t="s">
        <v>18</v>
      </c>
      <c r="J8809" s="40" t="str">
        <f>HYPERLINK("https://stock.pstatic.net/stock-research/company/18/20250925_company_471410000.pdf","PDF")</f>
        <v>PDF</v>
      </c>
      <c r="K8809" s="12" t="s">
        <v>15820</v>
      </c>
      <c r="L8809" s="20">
        <v>0.33779264214046822</v>
      </c>
    </row>
    <row r="8810" spans="1:12" x14ac:dyDescent="0.45">
      <c r="A8810" s="12" t="s">
        <v>15806</v>
      </c>
      <c r="B8810" s="12" t="s">
        <v>916</v>
      </c>
      <c r="C8810" s="13" t="s">
        <v>917</v>
      </c>
      <c r="D8810" s="13" t="s">
        <v>179</v>
      </c>
      <c r="E8810" s="12" t="s">
        <v>50</v>
      </c>
      <c r="F8810" s="13"/>
      <c r="G8810" s="13"/>
      <c r="H8810" s="13" t="s">
        <v>15821</v>
      </c>
      <c r="I8810" s="40" t="s">
        <v>18</v>
      </c>
      <c r="J8810" s="40" t="str">
        <f>HYPERLINK("https://stock.pstatic.net/stock-research/company/64/20250925_company_565505000.pdf","PDF")</f>
        <v>PDF</v>
      </c>
      <c r="K8810" s="12" t="s">
        <v>15822</v>
      </c>
    </row>
    <row r="8811" spans="1:12" x14ac:dyDescent="0.45">
      <c r="A8811" s="12" t="s">
        <v>15806</v>
      </c>
      <c r="B8811" s="12" t="s">
        <v>4921</v>
      </c>
      <c r="C8811" s="13" t="s">
        <v>4922</v>
      </c>
      <c r="D8811" s="13" t="s">
        <v>53</v>
      </c>
      <c r="E8811" s="12" t="s">
        <v>16</v>
      </c>
      <c r="F8811" s="14">
        <v>32000</v>
      </c>
      <c r="G8811" s="14">
        <v>22950</v>
      </c>
      <c r="H8811" s="13" t="s">
        <v>15823</v>
      </c>
      <c r="I8811" s="40" t="s">
        <v>18</v>
      </c>
      <c r="J8811" s="40" t="str">
        <f>HYPERLINK("https://stock.pstatic.net/stock-research/company/40/20250925_company_913634000.pdf","PDF")</f>
        <v>PDF</v>
      </c>
      <c r="K8811" s="12" t="s">
        <v>15824</v>
      </c>
      <c r="L8811" s="20">
        <v>0.39433551198257077</v>
      </c>
    </row>
    <row r="8812" spans="1:12" x14ac:dyDescent="0.45">
      <c r="A8812" s="12" t="s">
        <v>15806</v>
      </c>
      <c r="B8812" s="12" t="s">
        <v>495</v>
      </c>
      <c r="C8812" s="13" t="s">
        <v>496</v>
      </c>
      <c r="D8812" s="13" t="s">
        <v>23</v>
      </c>
      <c r="E8812" s="12" t="s">
        <v>16</v>
      </c>
      <c r="F8812" s="14">
        <v>280000</v>
      </c>
      <c r="G8812" s="14">
        <v>217500</v>
      </c>
      <c r="H8812" s="13" t="s">
        <v>15825</v>
      </c>
      <c r="I8812" s="40" t="s">
        <v>18</v>
      </c>
      <c r="J8812" s="40" t="str">
        <f>HYPERLINK("https://stock.pstatic.net/stock-research/company/21/20250925_company_79143000.pdf","PDF")</f>
        <v>PDF</v>
      </c>
      <c r="K8812" s="12" t="s">
        <v>15826</v>
      </c>
      <c r="L8812" s="20">
        <v>0.28735632183908039</v>
      </c>
    </row>
    <row r="8813" spans="1:12" x14ac:dyDescent="0.45">
      <c r="A8813" s="12" t="s">
        <v>15806</v>
      </c>
      <c r="B8813" s="12" t="s">
        <v>1773</v>
      </c>
      <c r="C8813" s="13" t="s">
        <v>1774</v>
      </c>
      <c r="D8813" s="13" t="s">
        <v>23</v>
      </c>
      <c r="E8813" s="12" t="s">
        <v>16</v>
      </c>
      <c r="F8813" s="14">
        <v>115000</v>
      </c>
      <c r="G8813" s="14">
        <v>82400</v>
      </c>
      <c r="H8813" s="13" t="s">
        <v>15827</v>
      </c>
      <c r="I8813" s="40" t="s">
        <v>18</v>
      </c>
      <c r="J8813" s="40" t="str">
        <f>HYPERLINK("https://stock.pstatic.net/stock-research/company/21/20250925_company_82743000.pdf","PDF")</f>
        <v>PDF</v>
      </c>
      <c r="K8813" s="12" t="s">
        <v>15828</v>
      </c>
      <c r="L8813" s="20">
        <v>0.39563106796116498</v>
      </c>
    </row>
    <row r="8814" spans="1:12" x14ac:dyDescent="0.45">
      <c r="A8814" s="12" t="s">
        <v>15806</v>
      </c>
      <c r="B8814" s="12" t="s">
        <v>1459</v>
      </c>
      <c r="C8814" s="13" t="s">
        <v>1460</v>
      </c>
      <c r="D8814" s="13" t="s">
        <v>34</v>
      </c>
      <c r="E8814" s="12" t="s">
        <v>35</v>
      </c>
      <c r="F8814" s="14">
        <v>300000</v>
      </c>
      <c r="G8814" s="14">
        <v>239500</v>
      </c>
      <c r="H8814" s="13" t="s">
        <v>15829</v>
      </c>
      <c r="I8814" s="40" t="s">
        <v>18</v>
      </c>
      <c r="J8814" s="40" t="str">
        <f>HYPERLINK("https://stock.pstatic.net/stock-research/company/61/20250925_company_578005000.pdf","PDF")</f>
        <v>PDF</v>
      </c>
      <c r="K8814" s="12" t="s">
        <v>15830</v>
      </c>
      <c r="L8814" s="20">
        <v>0.25260960334029231</v>
      </c>
    </row>
    <row r="8815" spans="1:12" x14ac:dyDescent="0.45">
      <c r="A8815" s="12" t="s">
        <v>15806</v>
      </c>
      <c r="B8815" s="12" t="s">
        <v>156</v>
      </c>
      <c r="C8815" s="13" t="s">
        <v>157</v>
      </c>
      <c r="D8815" s="13" t="s">
        <v>44</v>
      </c>
      <c r="E8815" s="12" t="s">
        <v>642</v>
      </c>
      <c r="F8815" s="14">
        <v>3300</v>
      </c>
      <c r="G8815" s="14">
        <v>3075</v>
      </c>
      <c r="H8815" s="13" t="s">
        <v>15831</v>
      </c>
      <c r="I8815" s="40" t="s">
        <v>18</v>
      </c>
      <c r="J8815" s="40" t="str">
        <f>HYPERLINK("https://stock.pstatic.net/stock-research/company/39/20250925_company_251428000.pdf","PDF")</f>
        <v>PDF</v>
      </c>
      <c r="K8815" s="12" t="s">
        <v>15832</v>
      </c>
      <c r="L8815" s="20">
        <v>7.3170731707317069E-2</v>
      </c>
    </row>
    <row r="8816" spans="1:12" x14ac:dyDescent="0.45">
      <c r="A8816" s="12" t="s">
        <v>15806</v>
      </c>
      <c r="B8816" s="12" t="s">
        <v>1829</v>
      </c>
      <c r="C8816" s="13" t="s">
        <v>1830</v>
      </c>
      <c r="D8816" s="13" t="s">
        <v>124</v>
      </c>
      <c r="E8816" s="12" t="s">
        <v>50</v>
      </c>
      <c r="F8816" s="13"/>
      <c r="G8816" s="13"/>
      <c r="H8816" s="13" t="s">
        <v>15833</v>
      </c>
      <c r="I8816" s="40" t="s">
        <v>18</v>
      </c>
      <c r="J8816" s="40" t="str">
        <f>HYPERLINK("https://stock.pstatic.net/stock-research/company/74/20250925_company_875817000.pdf","PDF")</f>
        <v>PDF</v>
      </c>
      <c r="K8816" s="12" t="s">
        <v>15834</v>
      </c>
    </row>
    <row r="8817" spans="1:12" x14ac:dyDescent="0.45">
      <c r="A8817" s="12" t="s">
        <v>15835</v>
      </c>
      <c r="B8817" s="12" t="s">
        <v>430</v>
      </c>
      <c r="C8817" s="13" t="s">
        <v>431</v>
      </c>
      <c r="D8817" s="13" t="s">
        <v>15</v>
      </c>
      <c r="E8817" s="12" t="s">
        <v>16</v>
      </c>
      <c r="F8817" s="14">
        <v>44000</v>
      </c>
      <c r="G8817" s="14">
        <v>33100</v>
      </c>
      <c r="H8817" s="13" t="s">
        <v>15836</v>
      </c>
      <c r="I8817" s="40" t="s">
        <v>18</v>
      </c>
      <c r="J8817" s="40" t="str">
        <f>HYPERLINK("https://stock.pstatic.net/stock-research/company/29/20250924_company_650670000.pdf","PDF")</f>
        <v>PDF</v>
      </c>
      <c r="K8817" s="12" t="s">
        <v>15837</v>
      </c>
      <c r="L8817" s="20">
        <v>0.32930513595166161</v>
      </c>
    </row>
    <row r="8818" spans="1:12" x14ac:dyDescent="0.45">
      <c r="A8818" s="12" t="s">
        <v>15835</v>
      </c>
      <c r="B8818" s="12" t="s">
        <v>2425</v>
      </c>
      <c r="C8818" s="13" t="s">
        <v>2426</v>
      </c>
      <c r="D8818" s="13" t="s">
        <v>276</v>
      </c>
      <c r="E8818" s="12" t="s">
        <v>16</v>
      </c>
      <c r="F8818" s="14">
        <v>180000</v>
      </c>
      <c r="G8818" s="14">
        <v>142600</v>
      </c>
      <c r="H8818" s="13" t="s">
        <v>15838</v>
      </c>
      <c r="I8818" s="40" t="s">
        <v>18</v>
      </c>
      <c r="J8818" s="40" t="str">
        <f>HYPERLINK("https://stock.pstatic.net/stock-research/company/66/20250924_company_747856000.pdf","PDF")</f>
        <v>PDF</v>
      </c>
      <c r="K8818" s="12" t="s">
        <v>15839</v>
      </c>
      <c r="L8818" s="20">
        <v>0.26227208976157079</v>
      </c>
    </row>
    <row r="8819" spans="1:12" x14ac:dyDescent="0.45">
      <c r="A8819" s="12" t="s">
        <v>15835</v>
      </c>
      <c r="B8819" s="12" t="s">
        <v>434</v>
      </c>
      <c r="C8819" s="13" t="s">
        <v>435</v>
      </c>
      <c r="D8819" s="13" t="s">
        <v>60</v>
      </c>
      <c r="E8819" s="12" t="s">
        <v>50</v>
      </c>
      <c r="F8819" s="13"/>
      <c r="G8819" s="13"/>
      <c r="H8819" s="13" t="s">
        <v>6225</v>
      </c>
      <c r="I8819" s="40" t="s">
        <v>18</v>
      </c>
      <c r="J8819" s="40" t="str">
        <f>HYPERLINK("https://stock.pstatic.net/stock-research/company/62/20250924_company_936123000.pdf","PDF")</f>
        <v>PDF</v>
      </c>
      <c r="K8819" s="12" t="s">
        <v>15840</v>
      </c>
    </row>
    <row r="8820" spans="1:12" x14ac:dyDescent="0.45">
      <c r="A8820" s="12" t="s">
        <v>15835</v>
      </c>
      <c r="B8820" s="12" t="s">
        <v>916</v>
      </c>
      <c r="C8820" s="13" t="s">
        <v>917</v>
      </c>
      <c r="D8820" s="13" t="s">
        <v>60</v>
      </c>
      <c r="E8820" s="12" t="s">
        <v>35</v>
      </c>
      <c r="F8820" s="14">
        <v>76000</v>
      </c>
      <c r="G8820" s="14">
        <v>63300</v>
      </c>
      <c r="H8820" s="13" t="s">
        <v>15841</v>
      </c>
      <c r="I8820" s="40" t="s">
        <v>18</v>
      </c>
      <c r="J8820" s="40" t="str">
        <f>HYPERLINK("https://stock.pstatic.net/stock-research/company/62/20250924_company_47797000.pdf","PDF")</f>
        <v>PDF</v>
      </c>
      <c r="K8820" s="12" t="s">
        <v>15842</v>
      </c>
      <c r="L8820" s="20">
        <v>0.20063191153238549</v>
      </c>
    </row>
    <row r="8821" spans="1:12" x14ac:dyDescent="0.45">
      <c r="A8821" s="12" t="s">
        <v>15835</v>
      </c>
      <c r="B8821" s="12" t="s">
        <v>2425</v>
      </c>
      <c r="C8821" s="13" t="s">
        <v>2426</v>
      </c>
      <c r="D8821" s="13" t="s">
        <v>60</v>
      </c>
      <c r="E8821" s="12" t="s">
        <v>50</v>
      </c>
      <c r="F8821" s="13"/>
      <c r="G8821" s="13"/>
      <c r="H8821" s="13" t="s">
        <v>15843</v>
      </c>
      <c r="I8821" s="40" t="s">
        <v>18</v>
      </c>
      <c r="J8821" s="40" t="str">
        <f>HYPERLINK("https://stock.pstatic.net/stock-research/company/62/20250924_company_606985000.pdf","PDF")</f>
        <v>PDF</v>
      </c>
      <c r="K8821" s="12" t="s">
        <v>15844</v>
      </c>
    </row>
    <row r="8822" spans="1:12" x14ac:dyDescent="0.45">
      <c r="A8822" s="12" t="s">
        <v>15835</v>
      </c>
      <c r="B8822" s="12" t="s">
        <v>156</v>
      </c>
      <c r="C8822" s="13" t="s">
        <v>157</v>
      </c>
      <c r="D8822" s="13" t="s">
        <v>65</v>
      </c>
      <c r="E8822" s="12" t="s">
        <v>1738</v>
      </c>
      <c r="F8822" s="14">
        <v>3600</v>
      </c>
      <c r="G8822" s="14">
        <v>3175</v>
      </c>
      <c r="H8822" s="13" t="s">
        <v>15845</v>
      </c>
      <c r="I8822" s="40" t="s">
        <v>18</v>
      </c>
      <c r="J8822" s="40" t="str">
        <f>HYPERLINK("https://stock.pstatic.net/stock-research/company/57/20250924_company_523120000.pdf","PDF")</f>
        <v>PDF</v>
      </c>
      <c r="K8822" s="12" t="s">
        <v>15846</v>
      </c>
      <c r="L8822" s="20">
        <v>0.13385826771653539</v>
      </c>
    </row>
    <row r="8823" spans="1:12" x14ac:dyDescent="0.45">
      <c r="A8823" s="12" t="s">
        <v>15835</v>
      </c>
      <c r="B8823" s="12" t="s">
        <v>2425</v>
      </c>
      <c r="C8823" s="13" t="s">
        <v>2426</v>
      </c>
      <c r="D8823" s="13" t="s">
        <v>65</v>
      </c>
      <c r="E8823" s="12" t="s">
        <v>35</v>
      </c>
      <c r="F8823" s="14">
        <v>180000</v>
      </c>
      <c r="G8823" s="14">
        <v>142600</v>
      </c>
      <c r="H8823" s="13" t="s">
        <v>15847</v>
      </c>
      <c r="I8823" s="40" t="s">
        <v>18</v>
      </c>
      <c r="J8823" s="40" t="str">
        <f>HYPERLINK("https://stock.pstatic.net/stock-research/company/57/20250924_company_541881000.pdf","PDF")</f>
        <v>PDF</v>
      </c>
      <c r="K8823" s="12" t="s">
        <v>15848</v>
      </c>
      <c r="L8823" s="20">
        <v>0.26227208976157079</v>
      </c>
    </row>
    <row r="8824" spans="1:12" x14ac:dyDescent="0.45">
      <c r="A8824" s="12" t="s">
        <v>15835</v>
      </c>
      <c r="B8824" s="12" t="s">
        <v>426</v>
      </c>
      <c r="C8824" s="13" t="s">
        <v>427</v>
      </c>
      <c r="D8824" s="13" t="s">
        <v>65</v>
      </c>
      <c r="E8824" s="12" t="s">
        <v>35</v>
      </c>
      <c r="F8824" s="14">
        <v>30000</v>
      </c>
      <c r="G8824" s="14">
        <v>23650</v>
      </c>
      <c r="H8824" s="13" t="s">
        <v>15849</v>
      </c>
      <c r="I8824" s="40" t="s">
        <v>18</v>
      </c>
      <c r="J8824" s="40" t="str">
        <f>HYPERLINK("https://stock.pstatic.net/stock-research/company/1/20250924_company_308238000.pdf","PDF")</f>
        <v>PDF</v>
      </c>
      <c r="K8824" s="12" t="s">
        <v>15850</v>
      </c>
      <c r="L8824" s="20">
        <v>0.26849894291754761</v>
      </c>
    </row>
    <row r="8825" spans="1:12" x14ac:dyDescent="0.45">
      <c r="A8825" s="12" t="s">
        <v>15835</v>
      </c>
      <c r="B8825" s="12" t="s">
        <v>916</v>
      </c>
      <c r="C8825" s="13" t="s">
        <v>917</v>
      </c>
      <c r="D8825" s="13" t="s">
        <v>65</v>
      </c>
      <c r="E8825" s="12" t="s">
        <v>35</v>
      </c>
      <c r="F8825" s="14">
        <v>70000</v>
      </c>
      <c r="G8825" s="14">
        <v>63300</v>
      </c>
      <c r="H8825" s="13" t="s">
        <v>15851</v>
      </c>
      <c r="I8825" s="40" t="s">
        <v>18</v>
      </c>
      <c r="J8825" s="40" t="str">
        <f>HYPERLINK("https://stock.pstatic.net/stock-research/company/57/20250924_company_539573000.pdf","PDF")</f>
        <v>PDF</v>
      </c>
      <c r="K8825" s="12" t="s">
        <v>15852</v>
      </c>
      <c r="L8825" s="20">
        <v>0.10584518167456559</v>
      </c>
    </row>
    <row r="8826" spans="1:12" x14ac:dyDescent="0.45">
      <c r="A8826" s="12" t="s">
        <v>15835</v>
      </c>
      <c r="B8826" s="12" t="s">
        <v>800</v>
      </c>
      <c r="C8826" s="13" t="s">
        <v>801</v>
      </c>
      <c r="D8826" s="13" t="s">
        <v>57</v>
      </c>
      <c r="E8826" s="12" t="s">
        <v>159</v>
      </c>
      <c r="F8826" s="14">
        <v>34000</v>
      </c>
      <c r="G8826" s="14">
        <v>35700</v>
      </c>
      <c r="H8826" s="13" t="s">
        <v>15853</v>
      </c>
      <c r="I8826" s="40" t="s">
        <v>18</v>
      </c>
      <c r="J8826" s="40" t="str">
        <f>HYPERLINK("https://stock.pstatic.net/stock-research/company/16/20250924_company_934717000.pdf","PDF")</f>
        <v>PDF</v>
      </c>
      <c r="K8826" s="12" t="s">
        <v>15854</v>
      </c>
      <c r="L8826" s="20">
        <v>-4.7619047619047623E-2</v>
      </c>
    </row>
    <row r="8827" spans="1:12" x14ac:dyDescent="0.45">
      <c r="A8827" s="12" t="s">
        <v>15835</v>
      </c>
      <c r="B8827" s="12" t="s">
        <v>2425</v>
      </c>
      <c r="C8827" s="13" t="s">
        <v>2426</v>
      </c>
      <c r="D8827" s="13" t="s">
        <v>57</v>
      </c>
      <c r="E8827" s="12" t="s">
        <v>35</v>
      </c>
      <c r="F8827" s="14">
        <v>180000</v>
      </c>
      <c r="G8827" s="14">
        <v>142600</v>
      </c>
      <c r="H8827" s="13" t="s">
        <v>15855</v>
      </c>
      <c r="I8827" s="40" t="s">
        <v>18</v>
      </c>
      <c r="J8827" s="40" t="str">
        <f>HYPERLINK("https://stock.pstatic.net/stock-research/company/16/20250924_company_228573000.pdf","PDF")</f>
        <v>PDF</v>
      </c>
      <c r="K8827" s="12" t="s">
        <v>15856</v>
      </c>
      <c r="L8827" s="20">
        <v>0.26227208976157079</v>
      </c>
    </row>
    <row r="8828" spans="1:12" x14ac:dyDescent="0.45">
      <c r="A8828" s="12" t="s">
        <v>15835</v>
      </c>
      <c r="B8828" s="12" t="s">
        <v>495</v>
      </c>
      <c r="C8828" s="13" t="s">
        <v>496</v>
      </c>
      <c r="D8828" s="13" t="s">
        <v>57</v>
      </c>
      <c r="E8828" s="12" t="s">
        <v>35</v>
      </c>
      <c r="F8828" s="14">
        <v>300000</v>
      </c>
      <c r="G8828" s="14">
        <v>218000</v>
      </c>
      <c r="H8828" s="13" t="s">
        <v>15857</v>
      </c>
      <c r="I8828" s="40" t="s">
        <v>18</v>
      </c>
      <c r="J8828" s="40" t="str">
        <f>HYPERLINK("https://stock.pstatic.net/stock-research/company/16/20250924_company_527578000.pdf","PDF")</f>
        <v>PDF</v>
      </c>
      <c r="K8828" s="12" t="s">
        <v>15858</v>
      </c>
      <c r="L8828" s="20">
        <v>0.37614678899082571</v>
      </c>
    </row>
    <row r="8829" spans="1:12" x14ac:dyDescent="0.45">
      <c r="A8829" s="12" t="s">
        <v>15835</v>
      </c>
      <c r="B8829" s="12" t="s">
        <v>434</v>
      </c>
      <c r="C8829" s="13" t="s">
        <v>435</v>
      </c>
      <c r="D8829" s="13" t="s">
        <v>57</v>
      </c>
      <c r="E8829" s="12" t="s">
        <v>35</v>
      </c>
      <c r="F8829" s="14">
        <v>150000</v>
      </c>
      <c r="G8829" s="14">
        <v>123400</v>
      </c>
      <c r="H8829" s="13" t="s">
        <v>15855</v>
      </c>
      <c r="I8829" s="40" t="s">
        <v>18</v>
      </c>
      <c r="J8829" s="40" t="str">
        <f>HYPERLINK("https://stock.pstatic.net/stock-research/company/16/20250924_company_218609000.pdf","PDF")</f>
        <v>PDF</v>
      </c>
      <c r="K8829" s="12" t="s">
        <v>15859</v>
      </c>
      <c r="L8829" s="20">
        <v>0.21555915721231769</v>
      </c>
    </row>
    <row r="8830" spans="1:12" x14ac:dyDescent="0.45">
      <c r="A8830" s="12" t="s">
        <v>15835</v>
      </c>
      <c r="B8830" s="12" t="s">
        <v>3079</v>
      </c>
      <c r="C8830" s="13" t="s">
        <v>3080</v>
      </c>
      <c r="D8830" s="13" t="s">
        <v>158</v>
      </c>
      <c r="E8830" s="12" t="s">
        <v>35</v>
      </c>
      <c r="F8830" s="14">
        <v>32000</v>
      </c>
      <c r="G8830" s="14">
        <v>25650</v>
      </c>
      <c r="H8830" s="13" t="s">
        <v>15860</v>
      </c>
      <c r="I8830" s="40" t="s">
        <v>18</v>
      </c>
      <c r="J8830" s="40" t="str">
        <f>HYPERLINK("https://stock.pstatic.net/stock-research/company/18/20250924_company_662799000.pdf","PDF")</f>
        <v>PDF</v>
      </c>
      <c r="K8830" s="12" t="s">
        <v>15861</v>
      </c>
      <c r="L8830" s="20">
        <v>0.24756335282651071</v>
      </c>
    </row>
    <row r="8831" spans="1:12" x14ac:dyDescent="0.45">
      <c r="A8831" s="12" t="s">
        <v>15835</v>
      </c>
      <c r="B8831" s="12" t="s">
        <v>916</v>
      </c>
      <c r="C8831" s="13" t="s">
        <v>917</v>
      </c>
      <c r="D8831" s="13" t="s">
        <v>158</v>
      </c>
      <c r="E8831" s="12" t="s">
        <v>35</v>
      </c>
      <c r="F8831" s="14">
        <v>80000</v>
      </c>
      <c r="G8831" s="14">
        <v>63000</v>
      </c>
      <c r="H8831" s="13" t="s">
        <v>15862</v>
      </c>
      <c r="I8831" s="40" t="s">
        <v>18</v>
      </c>
      <c r="J8831" s="40" t="str">
        <f>HYPERLINK("https://stock.pstatic.net/stock-research/company/18/20250924_company_620926000.pdf","PDF")</f>
        <v>PDF</v>
      </c>
      <c r="K8831" s="12" t="s">
        <v>15863</v>
      </c>
      <c r="L8831" s="20">
        <v>0.26984126984126983</v>
      </c>
    </row>
    <row r="8832" spans="1:12" x14ac:dyDescent="0.45">
      <c r="A8832" s="12" t="s">
        <v>15835</v>
      </c>
      <c r="B8832" s="12" t="s">
        <v>2425</v>
      </c>
      <c r="C8832" s="13" t="s">
        <v>2426</v>
      </c>
      <c r="D8832" s="13" t="s">
        <v>158</v>
      </c>
      <c r="E8832" s="12" t="s">
        <v>35</v>
      </c>
      <c r="F8832" s="14">
        <v>200000</v>
      </c>
      <c r="G8832" s="14">
        <v>142600</v>
      </c>
      <c r="H8832" s="13" t="s">
        <v>15864</v>
      </c>
      <c r="I8832" s="40" t="s">
        <v>18</v>
      </c>
      <c r="J8832" s="40" t="str">
        <f>HYPERLINK("https://stock.pstatic.net/stock-research/company/18/20250924_company_613357000.pdf","PDF")</f>
        <v>PDF</v>
      </c>
      <c r="K8832" s="12" t="s">
        <v>15865</v>
      </c>
      <c r="L8832" s="20">
        <v>0.40252454417952321</v>
      </c>
    </row>
    <row r="8833" spans="1:12" x14ac:dyDescent="0.45">
      <c r="A8833" s="12" t="s">
        <v>15835</v>
      </c>
      <c r="B8833" s="12" t="s">
        <v>1087</v>
      </c>
      <c r="C8833" s="13" t="s">
        <v>1088</v>
      </c>
      <c r="D8833" s="13" t="s">
        <v>92</v>
      </c>
      <c r="E8833" s="12" t="s">
        <v>35</v>
      </c>
      <c r="F8833" s="14">
        <v>130000</v>
      </c>
      <c r="G8833" s="14">
        <v>93300</v>
      </c>
      <c r="H8833" s="13" t="s">
        <v>15866</v>
      </c>
      <c r="I8833" s="40" t="s">
        <v>18</v>
      </c>
      <c r="J8833" s="40" t="str">
        <f>HYPERLINK("https://stock.pstatic.net/stock-research/company/63/20250924_company_481252000.pdf","PDF")</f>
        <v>PDF</v>
      </c>
      <c r="K8833" s="12" t="s">
        <v>15867</v>
      </c>
      <c r="L8833" s="20">
        <v>0.39335476956055732</v>
      </c>
    </row>
    <row r="8834" spans="1:12" x14ac:dyDescent="0.45">
      <c r="A8834" s="12" t="s">
        <v>15835</v>
      </c>
      <c r="B8834" s="12" t="s">
        <v>756</v>
      </c>
      <c r="C8834" s="13" t="s">
        <v>757</v>
      </c>
      <c r="D8834" s="13" t="s">
        <v>179</v>
      </c>
      <c r="E8834" s="12" t="s">
        <v>16</v>
      </c>
      <c r="F8834" s="14">
        <v>100000</v>
      </c>
      <c r="G8834" s="14">
        <v>79100</v>
      </c>
      <c r="H8834" s="13" t="s">
        <v>15868</v>
      </c>
      <c r="I8834" s="40" t="s">
        <v>18</v>
      </c>
      <c r="J8834" s="40" t="str">
        <f>HYPERLINK("https://stock.pstatic.net/stock-research/company/31/20250924_company_800759000.pdf","PDF")</f>
        <v>PDF</v>
      </c>
      <c r="K8834" s="12" t="s">
        <v>15869</v>
      </c>
      <c r="L8834" s="20">
        <v>0.26422250316055618</v>
      </c>
    </row>
    <row r="8835" spans="1:12" x14ac:dyDescent="0.45">
      <c r="A8835" s="12" t="s">
        <v>15835</v>
      </c>
      <c r="B8835" s="12" t="s">
        <v>768</v>
      </c>
      <c r="C8835" s="13" t="s">
        <v>769</v>
      </c>
      <c r="D8835" s="13" t="s">
        <v>179</v>
      </c>
      <c r="E8835" s="12" t="s">
        <v>16</v>
      </c>
      <c r="F8835" s="14">
        <v>300000</v>
      </c>
      <c r="G8835" s="14">
        <v>239000</v>
      </c>
      <c r="H8835" s="13" t="s">
        <v>15870</v>
      </c>
      <c r="I8835" s="40" t="s">
        <v>18</v>
      </c>
      <c r="J8835" s="40" t="str">
        <f>HYPERLINK("https://stock.pstatic.net/stock-research/company/31/20250924_company_320340000.pdf","PDF")</f>
        <v>PDF</v>
      </c>
      <c r="K8835" s="12" t="s">
        <v>15871</v>
      </c>
      <c r="L8835" s="20">
        <v>0.25523012552301261</v>
      </c>
    </row>
    <row r="8836" spans="1:12" x14ac:dyDescent="0.45">
      <c r="A8836" s="12" t="s">
        <v>15835</v>
      </c>
      <c r="B8836" s="12" t="s">
        <v>764</v>
      </c>
      <c r="C8836" s="13" t="s">
        <v>765</v>
      </c>
      <c r="D8836" s="13" t="s">
        <v>179</v>
      </c>
      <c r="E8836" s="12" t="s">
        <v>16</v>
      </c>
      <c r="F8836" s="14">
        <v>57000</v>
      </c>
      <c r="G8836" s="14">
        <v>46050</v>
      </c>
      <c r="H8836" s="13" t="s">
        <v>15872</v>
      </c>
      <c r="I8836" s="40" t="s">
        <v>18</v>
      </c>
      <c r="J8836" s="40" t="str">
        <f>HYPERLINK("https://stock.pstatic.net/stock-research/company/31/20250924_company_535825000.pdf","PDF")</f>
        <v>PDF</v>
      </c>
      <c r="K8836" s="12" t="s">
        <v>15873</v>
      </c>
      <c r="L8836" s="20">
        <v>0.23778501628664489</v>
      </c>
    </row>
    <row r="8837" spans="1:12" x14ac:dyDescent="0.45">
      <c r="A8837" s="12" t="s">
        <v>15835</v>
      </c>
      <c r="B8837" s="12" t="s">
        <v>434</v>
      </c>
      <c r="C8837" s="13" t="s">
        <v>435</v>
      </c>
      <c r="D8837" s="13" t="s">
        <v>179</v>
      </c>
      <c r="E8837" s="12" t="s">
        <v>16</v>
      </c>
      <c r="F8837" s="14">
        <v>150000</v>
      </c>
      <c r="G8837" s="14">
        <v>123400</v>
      </c>
      <c r="H8837" s="13" t="s">
        <v>15874</v>
      </c>
      <c r="I8837" s="40" t="s">
        <v>18</v>
      </c>
      <c r="J8837" s="40" t="str">
        <f>HYPERLINK("https://stock.pstatic.net/stock-research/company/31/20250924_company_767009000.pdf","PDF")</f>
        <v>PDF</v>
      </c>
      <c r="K8837" s="12" t="s">
        <v>15875</v>
      </c>
      <c r="L8837" s="20">
        <v>0.21555915721231769</v>
      </c>
    </row>
    <row r="8838" spans="1:12" x14ac:dyDescent="0.45">
      <c r="A8838" s="12" t="s">
        <v>15835</v>
      </c>
      <c r="B8838" s="12" t="s">
        <v>495</v>
      </c>
      <c r="C8838" s="13" t="s">
        <v>496</v>
      </c>
      <c r="D8838" s="13" t="s">
        <v>179</v>
      </c>
      <c r="E8838" s="12" t="s">
        <v>16</v>
      </c>
      <c r="F8838" s="14">
        <v>290000</v>
      </c>
      <c r="G8838" s="14">
        <v>218000</v>
      </c>
      <c r="H8838" s="13" t="s">
        <v>15876</v>
      </c>
      <c r="I8838" s="40" t="s">
        <v>18</v>
      </c>
      <c r="J8838" s="40" t="str">
        <f>HYPERLINK("https://stock.pstatic.net/stock-research/company/31/20250924_company_438599000.pdf","PDF")</f>
        <v>PDF</v>
      </c>
      <c r="K8838" s="12" t="s">
        <v>15877</v>
      </c>
      <c r="L8838" s="20">
        <v>0.33027522935779818</v>
      </c>
    </row>
    <row r="8839" spans="1:12" x14ac:dyDescent="0.45">
      <c r="A8839" s="12" t="s">
        <v>15835</v>
      </c>
      <c r="B8839" s="12" t="s">
        <v>691</v>
      </c>
      <c r="C8839" s="13" t="s">
        <v>20</v>
      </c>
      <c r="D8839" s="13" t="s">
        <v>83</v>
      </c>
      <c r="E8839" s="12" t="s">
        <v>35</v>
      </c>
      <c r="F8839" s="14">
        <v>240000</v>
      </c>
      <c r="G8839" s="14">
        <v>169100</v>
      </c>
      <c r="H8839" s="13" t="s">
        <v>15878</v>
      </c>
      <c r="I8839" s="40" t="s">
        <v>18</v>
      </c>
      <c r="J8839" s="40" t="str">
        <f>HYPERLINK("https://stock.pstatic.net/stock-research/company/2/20250924_company_293904000.pdf","PDF")</f>
        <v>PDF</v>
      </c>
      <c r="K8839" s="12" t="s">
        <v>15879</v>
      </c>
      <c r="L8839" s="20">
        <v>0.41927853341218208</v>
      </c>
    </row>
    <row r="8840" spans="1:12" x14ac:dyDescent="0.45">
      <c r="A8840" s="12" t="s">
        <v>15835</v>
      </c>
      <c r="B8840" s="12" t="s">
        <v>3584</v>
      </c>
      <c r="C8840" s="13" t="s">
        <v>3585</v>
      </c>
      <c r="D8840" s="13" t="s">
        <v>83</v>
      </c>
      <c r="E8840" s="12" t="s">
        <v>35</v>
      </c>
      <c r="F8840" s="14">
        <v>27000</v>
      </c>
      <c r="G8840" s="14">
        <v>20750</v>
      </c>
      <c r="H8840" s="13" t="s">
        <v>15880</v>
      </c>
      <c r="I8840" s="40" t="s">
        <v>18</v>
      </c>
      <c r="J8840" s="40" t="str">
        <f>HYPERLINK("https://stock.pstatic.net/stock-research/company/2/20250924_company_149129000.pdf","PDF")</f>
        <v>PDF</v>
      </c>
      <c r="K8840" s="12" t="s">
        <v>15881</v>
      </c>
      <c r="L8840" s="20">
        <v>0.30120481927710852</v>
      </c>
    </row>
    <row r="8841" spans="1:12" x14ac:dyDescent="0.45">
      <c r="A8841" s="12" t="s">
        <v>15835</v>
      </c>
      <c r="B8841" s="12" t="s">
        <v>916</v>
      </c>
      <c r="C8841" s="13" t="s">
        <v>917</v>
      </c>
      <c r="D8841" s="13" t="s">
        <v>83</v>
      </c>
      <c r="E8841" s="12" t="s">
        <v>35</v>
      </c>
      <c r="F8841" s="14">
        <v>86000</v>
      </c>
      <c r="G8841" s="14">
        <v>63300</v>
      </c>
      <c r="H8841" s="13" t="s">
        <v>15882</v>
      </c>
      <c r="I8841" s="40" t="s">
        <v>18</v>
      </c>
      <c r="J8841" s="40" t="str">
        <f>HYPERLINK("https://stock.pstatic.net/stock-research/company/2/20250924_company_584759000.pdf","PDF")</f>
        <v>PDF</v>
      </c>
      <c r="K8841" s="12" t="s">
        <v>15883</v>
      </c>
      <c r="L8841" s="20">
        <v>0.35860979462875198</v>
      </c>
    </row>
    <row r="8842" spans="1:12" x14ac:dyDescent="0.45">
      <c r="A8842" s="12" t="s">
        <v>15835</v>
      </c>
      <c r="B8842" s="12" t="s">
        <v>2425</v>
      </c>
      <c r="C8842" s="13" t="s">
        <v>2426</v>
      </c>
      <c r="D8842" s="13" t="s">
        <v>83</v>
      </c>
      <c r="E8842" s="12" t="s">
        <v>35</v>
      </c>
      <c r="F8842" s="14">
        <v>170000</v>
      </c>
      <c r="G8842" s="14">
        <v>142600</v>
      </c>
      <c r="H8842" s="13" t="s">
        <v>15884</v>
      </c>
      <c r="I8842" s="40" t="s">
        <v>18</v>
      </c>
      <c r="J8842" s="40" t="str">
        <f>HYPERLINK("https://stock.pstatic.net/stock-research/company/2/20250924_company_363555000.pdf","PDF")</f>
        <v>PDF</v>
      </c>
      <c r="K8842" s="12" t="s">
        <v>15885</v>
      </c>
      <c r="L8842" s="20">
        <v>0.19214586255259469</v>
      </c>
    </row>
    <row r="8843" spans="1:12" x14ac:dyDescent="0.45">
      <c r="A8843" s="12" t="s">
        <v>15835</v>
      </c>
      <c r="B8843" s="12" t="s">
        <v>10648</v>
      </c>
      <c r="C8843" s="13" t="s">
        <v>10649</v>
      </c>
      <c r="D8843" s="13" t="s">
        <v>179</v>
      </c>
      <c r="E8843" s="12" t="s">
        <v>50</v>
      </c>
      <c r="F8843" s="13"/>
      <c r="G8843" s="14">
        <v>2185</v>
      </c>
      <c r="H8843" s="13" t="s">
        <v>15886</v>
      </c>
      <c r="I8843" s="40" t="s">
        <v>18</v>
      </c>
      <c r="J8843" s="40" t="str">
        <f>HYPERLINK("https://stock.pstatic.net/stock-research/company/1/20250924_company_846842000.pdf","PDF")</f>
        <v>PDF</v>
      </c>
      <c r="K8843" s="12" t="s">
        <v>15887</v>
      </c>
    </row>
    <row r="8844" spans="1:12" x14ac:dyDescent="0.45">
      <c r="A8844" s="12" t="s">
        <v>15835</v>
      </c>
      <c r="B8844" s="12" t="s">
        <v>2032</v>
      </c>
      <c r="C8844" s="13" t="s">
        <v>2033</v>
      </c>
      <c r="D8844" s="13" t="s">
        <v>92</v>
      </c>
      <c r="E8844" s="12" t="s">
        <v>35</v>
      </c>
      <c r="F8844" s="14">
        <v>49000</v>
      </c>
      <c r="G8844" s="14">
        <v>28950</v>
      </c>
      <c r="H8844" s="13" t="s">
        <v>15888</v>
      </c>
      <c r="I8844" s="40" t="s">
        <v>18</v>
      </c>
      <c r="J8844" s="40" t="str">
        <f>HYPERLINK("https://stock.pstatic.net/stock-research/company/63/20250924_company_53398000.pdf","PDF")</f>
        <v>PDF</v>
      </c>
      <c r="K8844" s="12" t="s">
        <v>15889</v>
      </c>
      <c r="L8844" s="20">
        <v>0.69257340241796206</v>
      </c>
    </row>
    <row r="8845" spans="1:12" x14ac:dyDescent="0.45">
      <c r="A8845" s="12" t="s">
        <v>15835</v>
      </c>
      <c r="B8845" s="12" t="s">
        <v>1463</v>
      </c>
      <c r="C8845" s="13" t="s">
        <v>1464</v>
      </c>
      <c r="D8845" s="13" t="s">
        <v>23</v>
      </c>
      <c r="E8845" s="12" t="s">
        <v>16</v>
      </c>
      <c r="F8845" s="14">
        <v>61000</v>
      </c>
      <c r="G8845" s="14">
        <v>48350</v>
      </c>
      <c r="H8845" s="13" t="s">
        <v>8508</v>
      </c>
      <c r="I8845" s="40" t="s">
        <v>18</v>
      </c>
      <c r="J8845" s="40" t="str">
        <f>HYPERLINK("https://stock.pstatic.net/stock-research/company/21/20250924_company_175781000.pdf","PDF")</f>
        <v>PDF</v>
      </c>
      <c r="K8845" s="12" t="s">
        <v>15890</v>
      </c>
      <c r="L8845" s="20">
        <v>0.26163391933815933</v>
      </c>
    </row>
    <row r="8846" spans="1:12" x14ac:dyDescent="0.45">
      <c r="A8846" s="12" t="s">
        <v>15835</v>
      </c>
      <c r="B8846" s="12" t="s">
        <v>3813</v>
      </c>
      <c r="C8846" s="13" t="s">
        <v>3814</v>
      </c>
      <c r="D8846" s="13" t="s">
        <v>23</v>
      </c>
      <c r="E8846" s="12" t="s">
        <v>16</v>
      </c>
      <c r="F8846" s="14">
        <v>16000</v>
      </c>
      <c r="G8846" s="14">
        <v>13320</v>
      </c>
      <c r="H8846" s="13" t="s">
        <v>15891</v>
      </c>
      <c r="I8846" s="40" t="s">
        <v>18</v>
      </c>
      <c r="J8846" s="40" t="str">
        <f>HYPERLINK("https://stock.pstatic.net/stock-research/company/21/20250924_company_300046000.pdf","PDF")</f>
        <v>PDF</v>
      </c>
      <c r="K8846" s="12" t="s">
        <v>15892</v>
      </c>
      <c r="L8846" s="20">
        <v>0.20120120120120119</v>
      </c>
    </row>
    <row r="8847" spans="1:12" x14ac:dyDescent="0.45">
      <c r="A8847" s="12" t="s">
        <v>15835</v>
      </c>
      <c r="B8847" s="12" t="s">
        <v>916</v>
      </c>
      <c r="C8847" s="13" t="s">
        <v>917</v>
      </c>
      <c r="D8847" s="13" t="s">
        <v>23</v>
      </c>
      <c r="E8847" s="12" t="s">
        <v>16</v>
      </c>
      <c r="F8847" s="14">
        <v>87000</v>
      </c>
      <c r="G8847" s="14">
        <v>63300</v>
      </c>
      <c r="H8847" s="13" t="s">
        <v>15893</v>
      </c>
      <c r="I8847" s="40" t="s">
        <v>18</v>
      </c>
      <c r="J8847" s="40" t="str">
        <f>HYPERLINK("https://stock.pstatic.net/stock-research/company/21/20250924_company_894820000.pdf","PDF")</f>
        <v>PDF</v>
      </c>
      <c r="K8847" s="12" t="s">
        <v>15894</v>
      </c>
      <c r="L8847" s="20">
        <v>0.37440758293838861</v>
      </c>
    </row>
    <row r="8848" spans="1:12" x14ac:dyDescent="0.45">
      <c r="A8848" s="12" t="s">
        <v>15835</v>
      </c>
      <c r="B8848" s="12" t="s">
        <v>916</v>
      </c>
      <c r="C8848" s="13" t="s">
        <v>917</v>
      </c>
      <c r="D8848" s="13" t="s">
        <v>92</v>
      </c>
      <c r="E8848" s="12" t="s">
        <v>35</v>
      </c>
      <c r="F8848" s="14">
        <v>74000</v>
      </c>
      <c r="G8848" s="14">
        <v>63300</v>
      </c>
      <c r="H8848" s="13" t="s">
        <v>15895</v>
      </c>
      <c r="I8848" s="40" t="s">
        <v>18</v>
      </c>
      <c r="J8848" s="40" t="str">
        <f>HYPERLINK("https://stock.pstatic.net/stock-research/company/63/20250924_company_789996000.pdf","PDF")</f>
        <v>PDF</v>
      </c>
      <c r="K8848" s="12" t="s">
        <v>15896</v>
      </c>
      <c r="L8848" s="20">
        <v>0.16903633491311221</v>
      </c>
    </row>
    <row r="8849" spans="1:12" x14ac:dyDescent="0.45">
      <c r="A8849" s="12" t="s">
        <v>15835</v>
      </c>
      <c r="B8849" s="12" t="s">
        <v>916</v>
      </c>
      <c r="C8849" s="13" t="s">
        <v>917</v>
      </c>
      <c r="D8849" s="13" t="s">
        <v>44</v>
      </c>
      <c r="E8849" s="12" t="s">
        <v>35</v>
      </c>
      <c r="F8849" s="14">
        <v>100000</v>
      </c>
      <c r="G8849" s="14">
        <v>63300</v>
      </c>
      <c r="H8849" s="13" t="s">
        <v>15897</v>
      </c>
      <c r="I8849" s="40" t="s">
        <v>18</v>
      </c>
      <c r="J8849" s="40" t="str">
        <f>HYPERLINK("https://stock.pstatic.net/stock-research/company/39/20250924_company_223423000.pdf","PDF")</f>
        <v>PDF</v>
      </c>
      <c r="K8849" s="12" t="s">
        <v>15898</v>
      </c>
      <c r="L8849" s="20">
        <v>0.57977883096366511</v>
      </c>
    </row>
    <row r="8850" spans="1:12" x14ac:dyDescent="0.45">
      <c r="A8850" s="12" t="s">
        <v>15835</v>
      </c>
      <c r="B8850" s="12" t="s">
        <v>2819</v>
      </c>
      <c r="C8850" s="13" t="s">
        <v>2820</v>
      </c>
      <c r="D8850" s="13" t="s">
        <v>92</v>
      </c>
      <c r="E8850" s="12" t="s">
        <v>50</v>
      </c>
      <c r="F8850" s="13"/>
      <c r="G8850" s="14">
        <v>16550</v>
      </c>
      <c r="H8850" s="13" t="s">
        <v>15899</v>
      </c>
      <c r="I8850" s="40" t="s">
        <v>18</v>
      </c>
      <c r="J8850" s="40" t="str">
        <f>HYPERLINK("https://stock.pstatic.net/stock-research/company/63/20250924_company_801938000.pdf","PDF")</f>
        <v>PDF</v>
      </c>
      <c r="K8850" s="12" t="s">
        <v>15900</v>
      </c>
    </row>
    <row r="8851" spans="1:12" x14ac:dyDescent="0.45">
      <c r="A8851" s="12" t="s">
        <v>15835</v>
      </c>
      <c r="B8851" s="12" t="s">
        <v>2425</v>
      </c>
      <c r="C8851" s="13" t="s">
        <v>2426</v>
      </c>
      <c r="D8851" s="13" t="s">
        <v>44</v>
      </c>
      <c r="E8851" s="12" t="s">
        <v>35</v>
      </c>
      <c r="F8851" s="14">
        <v>180000</v>
      </c>
      <c r="G8851" s="14">
        <v>142600</v>
      </c>
      <c r="H8851" s="13" t="s">
        <v>15901</v>
      </c>
      <c r="I8851" s="40" t="s">
        <v>18</v>
      </c>
      <c r="J8851" s="40" t="str">
        <f>HYPERLINK("https://stock.pstatic.net/stock-research/company/39/20250924_company_793818000.pdf","PDF")</f>
        <v>PDF</v>
      </c>
      <c r="K8851" s="12" t="s">
        <v>15902</v>
      </c>
      <c r="L8851" s="20">
        <v>0.26227208976157079</v>
      </c>
    </row>
    <row r="8852" spans="1:12" x14ac:dyDescent="0.45">
      <c r="A8852" s="12" t="s">
        <v>15835</v>
      </c>
      <c r="B8852" s="12" t="s">
        <v>691</v>
      </c>
      <c r="C8852" s="13" t="s">
        <v>20</v>
      </c>
      <c r="D8852" s="13" t="s">
        <v>44</v>
      </c>
      <c r="E8852" s="12" t="s">
        <v>50</v>
      </c>
      <c r="F8852" s="13"/>
      <c r="G8852" s="13"/>
      <c r="H8852" s="13" t="s">
        <v>15903</v>
      </c>
      <c r="I8852" s="40" t="s">
        <v>18</v>
      </c>
      <c r="J8852" s="40" t="str">
        <f>HYPERLINK("https://stock.pstatic.net/stock-research/company/39/20250924_company_896405000.pdf","PDF")</f>
        <v>PDF</v>
      </c>
      <c r="K8852" s="12" t="s">
        <v>15904</v>
      </c>
    </row>
    <row r="8853" spans="1:12" x14ac:dyDescent="0.45">
      <c r="A8853" s="12" t="s">
        <v>15835</v>
      </c>
      <c r="B8853" s="12" t="s">
        <v>15905</v>
      </c>
      <c r="C8853" s="13" t="s">
        <v>15906</v>
      </c>
      <c r="D8853" s="13" t="s">
        <v>124</v>
      </c>
      <c r="E8853" s="12" t="s">
        <v>50</v>
      </c>
      <c r="F8853" s="13"/>
      <c r="G8853" s="13"/>
      <c r="H8853" s="13" t="s">
        <v>15907</v>
      </c>
      <c r="I8853" s="40" t="s">
        <v>18</v>
      </c>
      <c r="J8853" s="40" t="str">
        <f>HYPERLINK("https://stock.pstatic.net/stock-research/company/74/20250924_company_318639000.pdf","PDF")</f>
        <v>PDF</v>
      </c>
      <c r="K8853" s="12" t="s">
        <v>15908</v>
      </c>
    </row>
    <row r="8854" spans="1:12" x14ac:dyDescent="0.45">
      <c r="A8854" s="12" t="s">
        <v>15835</v>
      </c>
      <c r="B8854" s="12" t="s">
        <v>1906</v>
      </c>
      <c r="C8854" s="13" t="s">
        <v>1907</v>
      </c>
      <c r="D8854" s="13" t="s">
        <v>124</v>
      </c>
      <c r="E8854" s="12" t="s">
        <v>50</v>
      </c>
      <c r="F8854" s="13"/>
      <c r="G8854" s="13"/>
      <c r="H8854" s="13" t="s">
        <v>15909</v>
      </c>
      <c r="I8854" s="40" t="s">
        <v>18</v>
      </c>
      <c r="J8854" s="40" t="str">
        <f>HYPERLINK("https://stock.pstatic.net/stock-research/company/74/20250924_company_722609000.pdf","PDF")</f>
        <v>PDF</v>
      </c>
      <c r="K8854" s="12" t="s">
        <v>15910</v>
      </c>
    </row>
    <row r="8855" spans="1:12" x14ac:dyDescent="0.45">
      <c r="A8855" s="12" t="s">
        <v>15835</v>
      </c>
      <c r="B8855" s="12" t="s">
        <v>309</v>
      </c>
      <c r="C8855" s="13" t="s">
        <v>310</v>
      </c>
      <c r="D8855" s="13" t="s">
        <v>15</v>
      </c>
      <c r="E8855" s="12" t="s">
        <v>50</v>
      </c>
      <c r="F8855" s="13"/>
      <c r="G8855" s="14">
        <v>74400</v>
      </c>
      <c r="H8855" s="13" t="s">
        <v>15911</v>
      </c>
      <c r="I8855" s="40" t="s">
        <v>18</v>
      </c>
      <c r="J8855" s="40" t="str">
        <f>HYPERLINK("https://stock.pstatic.net/stock-research/company/1/20250924_company_995352000.pdf","PDF")</f>
        <v>PDF</v>
      </c>
      <c r="K8855" s="12" t="s">
        <v>15912</v>
      </c>
    </row>
    <row r="8856" spans="1:12" x14ac:dyDescent="0.45">
      <c r="A8856" s="12" t="s">
        <v>15913</v>
      </c>
      <c r="B8856" s="12" t="s">
        <v>1109</v>
      </c>
      <c r="C8856" s="13" t="s">
        <v>1110</v>
      </c>
      <c r="D8856" s="13" t="s">
        <v>83</v>
      </c>
      <c r="E8856" s="12" t="s">
        <v>50</v>
      </c>
      <c r="F8856" s="13"/>
      <c r="G8856" s="14">
        <v>7250</v>
      </c>
      <c r="H8856" s="13" t="s">
        <v>15914</v>
      </c>
      <c r="I8856" s="40" t="s">
        <v>18</v>
      </c>
      <c r="J8856" s="40" t="str">
        <f>HYPERLINK("https://stock.pstatic.net/stock-research/company/2/20250923_company_178133000.pdf","PDF")</f>
        <v>PDF</v>
      </c>
      <c r="K8856" s="12" t="s">
        <v>15915</v>
      </c>
    </row>
    <row r="8857" spans="1:12" x14ac:dyDescent="0.45">
      <c r="A8857" s="12" t="s">
        <v>15913</v>
      </c>
      <c r="B8857" s="12" t="s">
        <v>638</v>
      </c>
      <c r="C8857" s="13" t="s">
        <v>639</v>
      </c>
      <c r="D8857" s="13" t="s">
        <v>83</v>
      </c>
      <c r="E8857" s="12" t="s">
        <v>50</v>
      </c>
      <c r="F8857" s="13"/>
      <c r="G8857" s="14">
        <v>34950</v>
      </c>
      <c r="H8857" s="13" t="s">
        <v>15916</v>
      </c>
      <c r="I8857" s="40" t="s">
        <v>18</v>
      </c>
      <c r="J8857" s="40" t="str">
        <f>HYPERLINK("https://stock.pstatic.net/stock-research/company/2/20250923_company_685112000.pdf","PDF")</f>
        <v>PDF</v>
      </c>
      <c r="K8857" s="12" t="s">
        <v>15917</v>
      </c>
    </row>
    <row r="8858" spans="1:12" x14ac:dyDescent="0.45">
      <c r="A8858" s="12" t="s">
        <v>15913</v>
      </c>
      <c r="B8858" s="12" t="s">
        <v>1548</v>
      </c>
      <c r="C8858" s="13" t="s">
        <v>1549</v>
      </c>
      <c r="D8858" s="13" t="s">
        <v>83</v>
      </c>
      <c r="E8858" s="12" t="s">
        <v>35</v>
      </c>
      <c r="F8858" s="14">
        <v>1200000</v>
      </c>
      <c r="G8858" s="14">
        <v>1022000</v>
      </c>
      <c r="H8858" s="13" t="s">
        <v>15918</v>
      </c>
      <c r="I8858" s="40" t="s">
        <v>18</v>
      </c>
      <c r="J8858" s="40" t="str">
        <f>HYPERLINK("https://stock.pstatic.net/stock-research/company/2/20250923_company_929584000.pdf","PDF")</f>
        <v>PDF</v>
      </c>
      <c r="K8858" s="12" t="s">
        <v>15919</v>
      </c>
      <c r="L8858" s="20">
        <v>0.17416829745596871</v>
      </c>
    </row>
    <row r="8859" spans="1:12" x14ac:dyDescent="0.45">
      <c r="A8859" s="12" t="s">
        <v>15913</v>
      </c>
      <c r="B8859" s="12" t="s">
        <v>2837</v>
      </c>
      <c r="C8859" s="13" t="s">
        <v>2838</v>
      </c>
      <c r="D8859" s="13" t="s">
        <v>83</v>
      </c>
      <c r="E8859" s="12" t="s">
        <v>35</v>
      </c>
      <c r="F8859" s="14">
        <v>67000</v>
      </c>
      <c r="G8859" s="14">
        <v>59600</v>
      </c>
      <c r="H8859" s="13" t="s">
        <v>15920</v>
      </c>
      <c r="I8859" s="40" t="s">
        <v>18</v>
      </c>
      <c r="J8859" s="40" t="str">
        <f>HYPERLINK("https://stock.pstatic.net/stock-research/company/2/20250923_company_46019000.pdf","PDF")</f>
        <v>PDF</v>
      </c>
      <c r="K8859" s="12" t="s">
        <v>15921</v>
      </c>
      <c r="L8859" s="20">
        <v>0.1241610738255034</v>
      </c>
    </row>
    <row r="8860" spans="1:12" x14ac:dyDescent="0.45">
      <c r="A8860" s="12" t="s">
        <v>15913</v>
      </c>
      <c r="B8860" s="12" t="s">
        <v>2960</v>
      </c>
      <c r="C8860" s="13" t="s">
        <v>2961</v>
      </c>
      <c r="D8860" s="13" t="s">
        <v>57</v>
      </c>
      <c r="E8860" s="12" t="s">
        <v>35</v>
      </c>
      <c r="F8860" s="14">
        <v>76000</v>
      </c>
      <c r="G8860" s="14">
        <v>54700</v>
      </c>
      <c r="H8860" s="13" t="s">
        <v>15922</v>
      </c>
      <c r="I8860" s="40" t="s">
        <v>18</v>
      </c>
      <c r="J8860" s="40" t="str">
        <f>HYPERLINK("https://stock.pstatic.net/stock-research/company/16/20250923_company_574030000.pdf","PDF")</f>
        <v>PDF</v>
      </c>
      <c r="K8860" s="12" t="s">
        <v>15923</v>
      </c>
      <c r="L8860" s="20">
        <v>0.38939670932358322</v>
      </c>
    </row>
    <row r="8861" spans="1:12" x14ac:dyDescent="0.45">
      <c r="A8861" s="12" t="s">
        <v>15913</v>
      </c>
      <c r="B8861" s="12" t="s">
        <v>740</v>
      </c>
      <c r="C8861" s="13" t="s">
        <v>741</v>
      </c>
      <c r="D8861" s="13" t="s">
        <v>276</v>
      </c>
      <c r="E8861" s="12" t="s">
        <v>16</v>
      </c>
      <c r="F8861" s="14">
        <v>240000</v>
      </c>
      <c r="G8861" s="14">
        <v>193100</v>
      </c>
      <c r="H8861" s="13" t="s">
        <v>15924</v>
      </c>
      <c r="I8861" s="40" t="s">
        <v>18</v>
      </c>
      <c r="J8861" s="40" t="str">
        <f>HYPERLINK("https://stock.pstatic.net/stock-research/company/66/20250923_company_534306000.pdf","PDF")</f>
        <v>PDF</v>
      </c>
      <c r="K8861" s="12" t="s">
        <v>15925</v>
      </c>
      <c r="L8861" s="20">
        <v>0.2428793371310202</v>
      </c>
    </row>
    <row r="8862" spans="1:12" x14ac:dyDescent="0.45">
      <c r="A8862" s="12" t="s">
        <v>15913</v>
      </c>
      <c r="B8862" s="12" t="s">
        <v>519</v>
      </c>
      <c r="C8862" s="13" t="s">
        <v>520</v>
      </c>
      <c r="D8862" s="13" t="s">
        <v>60</v>
      </c>
      <c r="E8862" s="12" t="s">
        <v>35</v>
      </c>
      <c r="F8862" s="14">
        <v>270000</v>
      </c>
      <c r="G8862" s="14">
        <v>218000</v>
      </c>
      <c r="H8862" s="13" t="s">
        <v>15926</v>
      </c>
      <c r="I8862" s="40" t="s">
        <v>18</v>
      </c>
      <c r="J8862" s="40" t="str">
        <f>HYPERLINK("https://stock.pstatic.net/stock-research/company/34/20250923_company_519439000.pdf","PDF")</f>
        <v>PDF</v>
      </c>
      <c r="K8862" s="12" t="s">
        <v>15927</v>
      </c>
      <c r="L8862" s="20">
        <v>0.2385321100917431</v>
      </c>
    </row>
    <row r="8863" spans="1:12" x14ac:dyDescent="0.45">
      <c r="A8863" s="12" t="s">
        <v>15913</v>
      </c>
      <c r="B8863" s="12" t="s">
        <v>68</v>
      </c>
      <c r="C8863" s="13" t="s">
        <v>69</v>
      </c>
      <c r="D8863" s="13" t="s">
        <v>65</v>
      </c>
      <c r="E8863" s="12" t="s">
        <v>50</v>
      </c>
      <c r="F8863" s="13"/>
      <c r="G8863" s="14">
        <v>215500</v>
      </c>
      <c r="H8863" s="13" t="s">
        <v>15928</v>
      </c>
      <c r="I8863" s="40" t="s">
        <v>18</v>
      </c>
      <c r="J8863" s="40" t="str">
        <f>HYPERLINK("https://stock.pstatic.net/stock-research/company/57/20250923_company_537801000.pdf","PDF")</f>
        <v>PDF</v>
      </c>
      <c r="K8863" s="12" t="s">
        <v>15929</v>
      </c>
    </row>
    <row r="8864" spans="1:12" x14ac:dyDescent="0.45">
      <c r="A8864" s="12" t="s">
        <v>15913</v>
      </c>
      <c r="B8864" s="12" t="s">
        <v>519</v>
      </c>
      <c r="C8864" s="13" t="s">
        <v>520</v>
      </c>
      <c r="D8864" s="13" t="s">
        <v>158</v>
      </c>
      <c r="E8864" s="12" t="s">
        <v>35</v>
      </c>
      <c r="F8864" s="14">
        <v>300000</v>
      </c>
      <c r="G8864" s="14">
        <v>218000</v>
      </c>
      <c r="H8864" s="13" t="s">
        <v>15930</v>
      </c>
      <c r="I8864" s="40" t="s">
        <v>18</v>
      </c>
      <c r="J8864" s="40" t="str">
        <f>HYPERLINK("https://stock.pstatic.net/stock-research/company/18/20250923_company_724311000.pdf","PDF")</f>
        <v>PDF</v>
      </c>
      <c r="K8864" s="12" t="s">
        <v>15931</v>
      </c>
      <c r="L8864" s="20">
        <v>0.37614678899082571</v>
      </c>
    </row>
    <row r="8865" spans="1:12" x14ac:dyDescent="0.45">
      <c r="A8865" s="12" t="s">
        <v>15913</v>
      </c>
      <c r="B8865" s="12" t="s">
        <v>2516</v>
      </c>
      <c r="C8865" s="13" t="s">
        <v>2517</v>
      </c>
      <c r="D8865" s="13" t="s">
        <v>124</v>
      </c>
      <c r="E8865" s="12" t="s">
        <v>50</v>
      </c>
      <c r="F8865" s="13"/>
      <c r="G8865" s="13"/>
      <c r="H8865" s="13" t="s">
        <v>15932</v>
      </c>
      <c r="I8865" s="40" t="s">
        <v>18</v>
      </c>
      <c r="J8865" s="40" t="str">
        <f>HYPERLINK("https://stock.pstatic.net/stock-research/company/74/20250923_company_505733000.pdf","PDF")</f>
        <v>PDF</v>
      </c>
      <c r="K8865" s="12" t="s">
        <v>15933</v>
      </c>
    </row>
    <row r="8866" spans="1:12" x14ac:dyDescent="0.45">
      <c r="A8866" s="12" t="s">
        <v>15913</v>
      </c>
      <c r="B8866" s="12" t="s">
        <v>5912</v>
      </c>
      <c r="C8866" s="13" t="s">
        <v>5913</v>
      </c>
      <c r="D8866" s="13" t="s">
        <v>23</v>
      </c>
      <c r="E8866" s="12" t="s">
        <v>16</v>
      </c>
      <c r="F8866" s="14">
        <v>44500</v>
      </c>
      <c r="G8866" s="14">
        <v>35400</v>
      </c>
      <c r="H8866" s="13" t="s">
        <v>15934</v>
      </c>
      <c r="I8866" s="40" t="s">
        <v>18</v>
      </c>
      <c r="J8866" s="40" t="str">
        <f>HYPERLINK("https://stock.pstatic.net/stock-research/company/21/20250923_company_647473000.pdf","PDF")</f>
        <v>PDF</v>
      </c>
      <c r="K8866" s="12" t="s">
        <v>15935</v>
      </c>
      <c r="L8866" s="20">
        <v>0.25706214689265539</v>
      </c>
    </row>
    <row r="8867" spans="1:12" x14ac:dyDescent="0.45">
      <c r="A8867" s="12" t="s">
        <v>15913</v>
      </c>
      <c r="B8867" s="12" t="s">
        <v>1734</v>
      </c>
      <c r="C8867" s="13" t="s">
        <v>1735</v>
      </c>
      <c r="D8867" s="13" t="s">
        <v>23</v>
      </c>
      <c r="E8867" s="12" t="s">
        <v>50</v>
      </c>
      <c r="F8867" s="14">
        <v>42000</v>
      </c>
      <c r="G8867" s="14">
        <v>39300</v>
      </c>
      <c r="H8867" s="13" t="s">
        <v>15936</v>
      </c>
      <c r="I8867" s="40" t="s">
        <v>18</v>
      </c>
      <c r="J8867" s="40" t="str">
        <f>HYPERLINK("https://stock.pstatic.net/stock-research/company/21/20250923_company_699568000.pdf","PDF")</f>
        <v>PDF</v>
      </c>
      <c r="K8867" s="12" t="s">
        <v>15937</v>
      </c>
      <c r="L8867" s="20">
        <v>6.8702290076335881E-2</v>
      </c>
    </row>
    <row r="8868" spans="1:12" x14ac:dyDescent="0.45">
      <c r="A8868" s="12" t="s">
        <v>15913</v>
      </c>
      <c r="B8868" s="12" t="s">
        <v>334</v>
      </c>
      <c r="C8868" s="13" t="s">
        <v>335</v>
      </c>
      <c r="D8868" s="13" t="s">
        <v>53</v>
      </c>
      <c r="E8868" s="12" t="s">
        <v>16</v>
      </c>
      <c r="F8868" s="14">
        <v>450000</v>
      </c>
      <c r="G8868" s="14">
        <v>351000</v>
      </c>
      <c r="H8868" s="13" t="s">
        <v>15938</v>
      </c>
      <c r="I8868" s="40" t="s">
        <v>18</v>
      </c>
      <c r="J8868" s="40" t="str">
        <f>HYPERLINK("https://stock.pstatic.net/stock-research/company/40/20250923_company_922860000.pdf","PDF")</f>
        <v>PDF</v>
      </c>
      <c r="K8868" s="12" t="s">
        <v>15939</v>
      </c>
      <c r="L8868" s="20">
        <v>0.28205128205128199</v>
      </c>
    </row>
    <row r="8869" spans="1:12" x14ac:dyDescent="0.45">
      <c r="A8869" s="12" t="s">
        <v>15913</v>
      </c>
      <c r="B8869" s="12" t="s">
        <v>450</v>
      </c>
      <c r="C8869" s="13" t="s">
        <v>451</v>
      </c>
      <c r="D8869" s="13" t="s">
        <v>44</v>
      </c>
      <c r="E8869" s="12" t="s">
        <v>642</v>
      </c>
      <c r="F8869" s="14">
        <v>270000</v>
      </c>
      <c r="G8869" s="14">
        <v>292000</v>
      </c>
      <c r="H8869" s="13" t="s">
        <v>15940</v>
      </c>
      <c r="I8869" s="40" t="s">
        <v>18</v>
      </c>
      <c r="J8869" s="40" t="str">
        <f>HYPERLINK("https://stock.pstatic.net/stock-research/company/39/20250923_company_913376000.pdf","PDF")</f>
        <v>PDF</v>
      </c>
      <c r="K8869" s="12" t="s">
        <v>15941</v>
      </c>
      <c r="L8869" s="20">
        <v>-7.5342465753424653E-2</v>
      </c>
    </row>
    <row r="8870" spans="1:12" x14ac:dyDescent="0.45">
      <c r="A8870" s="12" t="s">
        <v>15913</v>
      </c>
      <c r="B8870" s="12" t="s">
        <v>495</v>
      </c>
      <c r="C8870" s="13" t="s">
        <v>496</v>
      </c>
      <c r="D8870" s="13" t="s">
        <v>44</v>
      </c>
      <c r="E8870" s="12" t="s">
        <v>35</v>
      </c>
      <c r="F8870" s="14">
        <v>270000</v>
      </c>
      <c r="G8870" s="14">
        <v>225000</v>
      </c>
      <c r="H8870" s="13" t="s">
        <v>15942</v>
      </c>
      <c r="I8870" s="40" t="s">
        <v>18</v>
      </c>
      <c r="J8870" s="40" t="str">
        <f>HYPERLINK("https://stock.pstatic.net/stock-research/company/39/20250923_company_180991000.pdf","PDF")</f>
        <v>PDF</v>
      </c>
      <c r="K8870" s="12" t="s">
        <v>15943</v>
      </c>
      <c r="L8870" s="20">
        <v>0.2</v>
      </c>
    </row>
    <row r="8871" spans="1:12" x14ac:dyDescent="0.45">
      <c r="A8871" s="12" t="s">
        <v>15913</v>
      </c>
      <c r="B8871" s="12" t="s">
        <v>760</v>
      </c>
      <c r="C8871" s="13" t="s">
        <v>761</v>
      </c>
      <c r="D8871" s="13" t="s">
        <v>44</v>
      </c>
      <c r="E8871" s="12" t="s">
        <v>35</v>
      </c>
      <c r="F8871" s="14">
        <v>250000</v>
      </c>
      <c r="G8871" s="14">
        <v>165900</v>
      </c>
      <c r="H8871" s="13" t="s">
        <v>15944</v>
      </c>
      <c r="I8871" s="40" t="s">
        <v>18</v>
      </c>
      <c r="J8871" s="40" t="str">
        <f>HYPERLINK("https://stock.pstatic.net/stock-research/company/39/20250923_company_472881000.pdf","PDF")</f>
        <v>PDF</v>
      </c>
      <c r="K8871" s="12" t="s">
        <v>15945</v>
      </c>
      <c r="L8871" s="20">
        <v>0.50693188667872213</v>
      </c>
    </row>
    <row r="8872" spans="1:12" x14ac:dyDescent="0.45">
      <c r="A8872" s="12" t="s">
        <v>15913</v>
      </c>
      <c r="B8872" s="12" t="s">
        <v>519</v>
      </c>
      <c r="C8872" s="13" t="s">
        <v>520</v>
      </c>
      <c r="D8872" s="13" t="s">
        <v>44</v>
      </c>
      <c r="E8872" s="12" t="s">
        <v>45</v>
      </c>
      <c r="F8872" s="14">
        <v>260000</v>
      </c>
      <c r="G8872" s="14">
        <v>218000</v>
      </c>
      <c r="H8872" s="13" t="s">
        <v>15946</v>
      </c>
      <c r="I8872" s="40" t="s">
        <v>18</v>
      </c>
      <c r="J8872" s="40" t="str">
        <f>HYPERLINK("https://stock.pstatic.net/stock-research/company/39/20250923_company_335625000.pdf","PDF")</f>
        <v>PDF</v>
      </c>
      <c r="K8872" s="12" t="s">
        <v>15947</v>
      </c>
      <c r="L8872" s="20">
        <v>0.19266055045871561</v>
      </c>
    </row>
    <row r="8873" spans="1:12" x14ac:dyDescent="0.45">
      <c r="A8873" s="12" t="s">
        <v>15913</v>
      </c>
      <c r="B8873" s="12" t="s">
        <v>13</v>
      </c>
      <c r="C8873" s="13" t="s">
        <v>14</v>
      </c>
      <c r="D8873" s="13" t="s">
        <v>44</v>
      </c>
      <c r="E8873" s="12" t="s">
        <v>35</v>
      </c>
      <c r="F8873" s="14">
        <v>105000</v>
      </c>
      <c r="G8873" s="14">
        <v>83500</v>
      </c>
      <c r="H8873" s="13" t="s">
        <v>15948</v>
      </c>
      <c r="I8873" s="40" t="s">
        <v>18</v>
      </c>
      <c r="J8873" s="40" t="str">
        <f>HYPERLINK("https://stock.pstatic.net/stock-research/company/39/20250923_company_123424000.pdf","PDF")</f>
        <v>PDF</v>
      </c>
      <c r="K8873" s="12" t="s">
        <v>15949</v>
      </c>
      <c r="L8873" s="20">
        <v>0.25748502994011968</v>
      </c>
    </row>
    <row r="8874" spans="1:12" x14ac:dyDescent="0.45">
      <c r="A8874" s="12" t="s">
        <v>15913</v>
      </c>
      <c r="B8874" s="12" t="s">
        <v>780</v>
      </c>
      <c r="C8874" s="13" t="s">
        <v>781</v>
      </c>
      <c r="D8874" s="13" t="s">
        <v>124</v>
      </c>
      <c r="E8874" s="12" t="s">
        <v>50</v>
      </c>
      <c r="F8874" s="13"/>
      <c r="G8874" s="13"/>
      <c r="H8874" s="13" t="s">
        <v>15950</v>
      </c>
      <c r="I8874" s="40" t="s">
        <v>18</v>
      </c>
      <c r="J8874" s="40" t="str">
        <f>HYPERLINK("https://stock.pstatic.net/stock-research/company/74/20250923_company_951423000.pdf","PDF")</f>
        <v>PDF</v>
      </c>
      <c r="K8874" s="12" t="s">
        <v>15951</v>
      </c>
    </row>
    <row r="8875" spans="1:12" x14ac:dyDescent="0.45">
      <c r="A8875" s="12" t="s">
        <v>15952</v>
      </c>
      <c r="B8875" s="12" t="s">
        <v>2225</v>
      </c>
      <c r="C8875" s="13" t="s">
        <v>5282</v>
      </c>
      <c r="D8875" s="13" t="s">
        <v>158</v>
      </c>
      <c r="E8875" s="12" t="s">
        <v>35</v>
      </c>
      <c r="F8875" s="14">
        <v>592000</v>
      </c>
      <c r="G8875" s="14">
        <v>513000</v>
      </c>
      <c r="H8875" s="13" t="s">
        <v>15953</v>
      </c>
      <c r="I8875" s="40" t="s">
        <v>18</v>
      </c>
      <c r="J8875" s="40" t="str">
        <f>HYPERLINK("https://stock.pstatic.net/stock-research/company/18/20250922_company_873634000.pdf","PDF")</f>
        <v>PDF</v>
      </c>
      <c r="K8875" s="12" t="s">
        <v>15954</v>
      </c>
      <c r="L8875" s="20">
        <v>0.15399610136452241</v>
      </c>
    </row>
    <row r="8876" spans="1:12" x14ac:dyDescent="0.45">
      <c r="A8876" s="12" t="s">
        <v>15952</v>
      </c>
      <c r="B8876" s="12" t="s">
        <v>352</v>
      </c>
      <c r="C8876" s="13" t="s">
        <v>353</v>
      </c>
      <c r="D8876" s="13" t="s">
        <v>158</v>
      </c>
      <c r="E8876" s="12" t="s">
        <v>35</v>
      </c>
      <c r="F8876" s="14">
        <v>280000</v>
      </c>
      <c r="G8876" s="14">
        <v>230000</v>
      </c>
      <c r="H8876" s="13" t="s">
        <v>15955</v>
      </c>
      <c r="I8876" s="40" t="s">
        <v>18</v>
      </c>
      <c r="J8876" s="40" t="str">
        <f>HYPERLINK("https://stock.pstatic.net/stock-research/company/18/20250922_company_445619000.pdf","PDF")</f>
        <v>PDF</v>
      </c>
      <c r="K8876" s="12" t="s">
        <v>15956</v>
      </c>
      <c r="L8876" s="20">
        <v>0.21739130434782611</v>
      </c>
    </row>
    <row r="8877" spans="1:12" x14ac:dyDescent="0.45">
      <c r="A8877" s="12" t="s">
        <v>15952</v>
      </c>
      <c r="B8877" s="12" t="s">
        <v>1548</v>
      </c>
      <c r="C8877" s="13" t="s">
        <v>1549</v>
      </c>
      <c r="D8877" s="13" t="s">
        <v>158</v>
      </c>
      <c r="E8877" s="12" t="s">
        <v>35</v>
      </c>
      <c r="F8877" s="14">
        <v>1280000</v>
      </c>
      <c r="G8877" s="14">
        <v>1022000</v>
      </c>
      <c r="H8877" s="13" t="s">
        <v>15957</v>
      </c>
      <c r="I8877" s="40" t="s">
        <v>18</v>
      </c>
      <c r="J8877" s="40" t="str">
        <f>HYPERLINK("https://stock.pstatic.net/stock-research/company/18/20250922_company_789426000.pdf","PDF")</f>
        <v>PDF</v>
      </c>
      <c r="K8877" s="12" t="s">
        <v>15958</v>
      </c>
      <c r="L8877" s="20">
        <v>0.25244618395303331</v>
      </c>
    </row>
    <row r="8878" spans="1:12" x14ac:dyDescent="0.45">
      <c r="A8878" s="12" t="s">
        <v>15952</v>
      </c>
      <c r="B8878" s="12" t="s">
        <v>2266</v>
      </c>
      <c r="C8878" s="13" t="s">
        <v>2267</v>
      </c>
      <c r="D8878" s="13" t="s">
        <v>158</v>
      </c>
      <c r="E8878" s="12" t="s">
        <v>35</v>
      </c>
      <c r="F8878" s="14">
        <v>135000</v>
      </c>
      <c r="G8878" s="14">
        <v>109900</v>
      </c>
      <c r="H8878" s="13" t="s">
        <v>15959</v>
      </c>
      <c r="I8878" s="40" t="s">
        <v>18</v>
      </c>
      <c r="J8878" s="40" t="str">
        <f>HYPERLINK("https://stock.pstatic.net/stock-research/company/18/20250922_company_652078000.pdf","PDF")</f>
        <v>PDF</v>
      </c>
      <c r="K8878" s="12" t="s">
        <v>15960</v>
      </c>
      <c r="L8878" s="20">
        <v>0.2283894449499545</v>
      </c>
    </row>
    <row r="8879" spans="1:12" x14ac:dyDescent="0.45">
      <c r="A8879" s="12" t="s">
        <v>15952</v>
      </c>
      <c r="B8879" s="12" t="s">
        <v>5011</v>
      </c>
      <c r="C8879" s="13" t="s">
        <v>5012</v>
      </c>
      <c r="D8879" s="13" t="s">
        <v>57</v>
      </c>
      <c r="E8879" s="12" t="s">
        <v>35</v>
      </c>
      <c r="F8879" s="14">
        <v>90000</v>
      </c>
      <c r="G8879" s="14">
        <v>70900</v>
      </c>
      <c r="H8879" s="13" t="s">
        <v>15961</v>
      </c>
      <c r="I8879" s="40" t="s">
        <v>18</v>
      </c>
      <c r="J8879" s="40" t="str">
        <f>HYPERLINK("https://stock.pstatic.net/stock-research/company/16/20250922_company_240545000.pdf","PDF")</f>
        <v>PDF</v>
      </c>
      <c r="K8879" s="12" t="s">
        <v>15962</v>
      </c>
      <c r="L8879" s="20">
        <v>0.26939351198871653</v>
      </c>
    </row>
    <row r="8880" spans="1:12" x14ac:dyDescent="0.45">
      <c r="A8880" s="12" t="s">
        <v>15952</v>
      </c>
      <c r="B8880" s="12" t="s">
        <v>519</v>
      </c>
      <c r="C8880" s="13" t="s">
        <v>520</v>
      </c>
      <c r="D8880" s="13" t="s">
        <v>57</v>
      </c>
      <c r="E8880" s="12" t="s">
        <v>35</v>
      </c>
      <c r="F8880" s="14">
        <v>270000</v>
      </c>
      <c r="G8880" s="14">
        <v>218500</v>
      </c>
      <c r="H8880" s="13" t="s">
        <v>15963</v>
      </c>
      <c r="I8880" s="40" t="s">
        <v>18</v>
      </c>
      <c r="J8880" s="40" t="str">
        <f>HYPERLINK("https://stock.pstatic.net/stock-research/company/16/20250922_company_141253000.pdf","PDF")</f>
        <v>PDF</v>
      </c>
      <c r="K8880" s="12" t="s">
        <v>15964</v>
      </c>
      <c r="L8880" s="20">
        <v>0.23569794050343251</v>
      </c>
    </row>
    <row r="8881" spans="1:12" x14ac:dyDescent="0.45">
      <c r="A8881" s="12" t="s">
        <v>15952</v>
      </c>
      <c r="B8881" s="12" t="s">
        <v>268</v>
      </c>
      <c r="C8881" s="13" t="s">
        <v>269</v>
      </c>
      <c r="D8881" s="13" t="s">
        <v>65</v>
      </c>
      <c r="E8881" s="12" t="s">
        <v>35</v>
      </c>
      <c r="F8881" s="14">
        <v>550000</v>
      </c>
      <c r="G8881" s="14">
        <v>472500</v>
      </c>
      <c r="H8881" s="13" t="s">
        <v>15965</v>
      </c>
      <c r="I8881" s="40" t="s">
        <v>18</v>
      </c>
      <c r="J8881" s="40" t="str">
        <f>HYPERLINK("https://stock.pstatic.net/stock-research/company/57/20250922_company_767520000.pdf","PDF")</f>
        <v>PDF</v>
      </c>
      <c r="K8881" s="12" t="s">
        <v>15966</v>
      </c>
      <c r="L8881" s="20">
        <v>0.16402116402116401</v>
      </c>
    </row>
    <row r="8882" spans="1:12" x14ac:dyDescent="0.45">
      <c r="A8882" s="12" t="s">
        <v>15952</v>
      </c>
      <c r="B8882" s="12" t="s">
        <v>4642</v>
      </c>
      <c r="C8882" s="13" t="s">
        <v>4643</v>
      </c>
      <c r="D8882" s="13" t="s">
        <v>65</v>
      </c>
      <c r="E8882" s="12" t="s">
        <v>35</v>
      </c>
      <c r="F8882" s="14">
        <v>30000</v>
      </c>
      <c r="G8882" s="14">
        <v>23100</v>
      </c>
      <c r="H8882" s="13" t="s">
        <v>15967</v>
      </c>
      <c r="I8882" s="40" t="s">
        <v>18</v>
      </c>
      <c r="J8882" s="40" t="str">
        <f>HYPERLINK("https://stock.pstatic.net/stock-research/company/57/20250922_company_954246000.pdf","PDF")</f>
        <v>PDF</v>
      </c>
      <c r="K8882" s="12" t="s">
        <v>15968</v>
      </c>
      <c r="L8882" s="20">
        <v>0.29870129870129869</v>
      </c>
    </row>
    <row r="8883" spans="1:12" x14ac:dyDescent="0.45">
      <c r="A8883" s="12" t="s">
        <v>15952</v>
      </c>
      <c r="B8883" s="12" t="s">
        <v>519</v>
      </c>
      <c r="C8883" s="13" t="s">
        <v>520</v>
      </c>
      <c r="D8883" s="13" t="s">
        <v>65</v>
      </c>
      <c r="E8883" s="12" t="s">
        <v>35</v>
      </c>
      <c r="F8883" s="14">
        <v>250000</v>
      </c>
      <c r="G8883" s="14">
        <v>214000</v>
      </c>
      <c r="H8883" s="13" t="s">
        <v>15969</v>
      </c>
      <c r="I8883" s="40" t="s">
        <v>18</v>
      </c>
      <c r="J8883" s="40" t="str">
        <f>HYPERLINK("https://stock.pstatic.net/stock-research/company/57/20250922_company_810350000.pdf","PDF")</f>
        <v>PDF</v>
      </c>
      <c r="K8883" s="12" t="s">
        <v>15970</v>
      </c>
      <c r="L8883" s="20">
        <v>0.16822429906542061</v>
      </c>
    </row>
    <row r="8884" spans="1:12" x14ac:dyDescent="0.45">
      <c r="A8884" s="12" t="s">
        <v>15952</v>
      </c>
      <c r="B8884" s="12" t="s">
        <v>2960</v>
      </c>
      <c r="C8884" s="13" t="s">
        <v>2961</v>
      </c>
      <c r="D8884" s="13" t="s">
        <v>15</v>
      </c>
      <c r="E8884" s="12" t="s">
        <v>16</v>
      </c>
      <c r="F8884" s="14">
        <v>72000</v>
      </c>
      <c r="G8884" s="14">
        <v>54700</v>
      </c>
      <c r="H8884" s="13" t="s">
        <v>15971</v>
      </c>
      <c r="I8884" s="40" t="s">
        <v>18</v>
      </c>
      <c r="J8884" s="40" t="str">
        <f>HYPERLINK("https://stock.pstatic.net/stock-research/company/29/20250922_company_551097000.pdf","PDF")</f>
        <v>PDF</v>
      </c>
      <c r="K8884" s="12" t="s">
        <v>15972</v>
      </c>
      <c r="L8884" s="20">
        <v>0.31627056672760512</v>
      </c>
    </row>
    <row r="8885" spans="1:12" x14ac:dyDescent="0.45">
      <c r="A8885" s="12" t="s">
        <v>15952</v>
      </c>
      <c r="B8885" s="12" t="s">
        <v>13</v>
      </c>
      <c r="C8885" s="13" t="s">
        <v>14</v>
      </c>
      <c r="D8885" s="13" t="s">
        <v>15</v>
      </c>
      <c r="E8885" s="12" t="s">
        <v>16</v>
      </c>
      <c r="F8885" s="14">
        <v>111000</v>
      </c>
      <c r="G8885" s="14">
        <v>79700</v>
      </c>
      <c r="H8885" s="13" t="s">
        <v>15973</v>
      </c>
      <c r="I8885" s="40" t="s">
        <v>18</v>
      </c>
      <c r="J8885" s="40" t="str">
        <f>HYPERLINK("https://stock.pstatic.net/stock-research/company/29/20250922_company_428561000.pdf","PDF")</f>
        <v>PDF</v>
      </c>
      <c r="K8885" s="12" t="s">
        <v>15974</v>
      </c>
      <c r="L8885" s="20">
        <v>0.39272271016311172</v>
      </c>
    </row>
    <row r="8886" spans="1:12" x14ac:dyDescent="0.45">
      <c r="A8886" s="12" t="s">
        <v>15952</v>
      </c>
      <c r="B8886" s="12" t="s">
        <v>1666</v>
      </c>
      <c r="C8886" s="13" t="s">
        <v>1667</v>
      </c>
      <c r="D8886" s="13" t="s">
        <v>15</v>
      </c>
      <c r="E8886" s="12" t="s">
        <v>16</v>
      </c>
      <c r="F8886" s="14">
        <v>95000</v>
      </c>
      <c r="G8886" s="14">
        <v>66100</v>
      </c>
      <c r="H8886" s="13" t="s">
        <v>15975</v>
      </c>
      <c r="I8886" s="40" t="s">
        <v>18</v>
      </c>
      <c r="J8886" s="40" t="str">
        <f>HYPERLINK("https://stock.pstatic.net/stock-research/company/29/20250922_company_439074000.pdf","PDF")</f>
        <v>PDF</v>
      </c>
      <c r="K8886" s="12" t="s">
        <v>15976</v>
      </c>
      <c r="L8886" s="20">
        <v>0.43721633888048411</v>
      </c>
    </row>
    <row r="8887" spans="1:12" x14ac:dyDescent="0.45">
      <c r="A8887" s="12" t="s">
        <v>15952</v>
      </c>
      <c r="B8887" s="12" t="s">
        <v>2024</v>
      </c>
      <c r="C8887" s="13" t="s">
        <v>2025</v>
      </c>
      <c r="D8887" s="13" t="s">
        <v>34</v>
      </c>
      <c r="E8887" s="12" t="s">
        <v>35</v>
      </c>
      <c r="F8887" s="14">
        <v>67000</v>
      </c>
      <c r="G8887" s="14">
        <v>46250</v>
      </c>
      <c r="H8887" s="13" t="s">
        <v>15977</v>
      </c>
      <c r="I8887" s="40" t="s">
        <v>18</v>
      </c>
      <c r="J8887" s="40" t="str">
        <f>HYPERLINK("https://stock.pstatic.net/stock-research/company/61/20250922_company_418667000.pdf","PDF")</f>
        <v>PDF</v>
      </c>
      <c r="K8887" s="12" t="s">
        <v>15978</v>
      </c>
      <c r="L8887" s="20">
        <v>0.44864864864864867</v>
      </c>
    </row>
    <row r="8888" spans="1:12" x14ac:dyDescent="0.45">
      <c r="A8888" s="12" t="s">
        <v>15952</v>
      </c>
      <c r="B8888" s="12" t="s">
        <v>710</v>
      </c>
      <c r="C8888" s="13" t="s">
        <v>711</v>
      </c>
      <c r="D8888" s="13" t="s">
        <v>34</v>
      </c>
      <c r="E8888" s="12" t="s">
        <v>50</v>
      </c>
      <c r="F8888" s="13"/>
      <c r="G8888" s="14">
        <v>43350</v>
      </c>
      <c r="H8888" s="13" t="s">
        <v>15979</v>
      </c>
      <c r="I8888" s="40" t="s">
        <v>18</v>
      </c>
      <c r="J8888" s="40" t="str">
        <f>HYPERLINK("https://stock.pstatic.net/stock-research/company/61/20250922_company_312763000.pdf","PDF")</f>
        <v>PDF</v>
      </c>
      <c r="K8888" s="12" t="s">
        <v>15980</v>
      </c>
    </row>
    <row r="8889" spans="1:12" x14ac:dyDescent="0.45">
      <c r="A8889" s="12" t="s">
        <v>15952</v>
      </c>
      <c r="B8889" s="12" t="s">
        <v>557</v>
      </c>
      <c r="C8889" s="13" t="s">
        <v>558</v>
      </c>
      <c r="D8889" s="13" t="s">
        <v>34</v>
      </c>
      <c r="E8889" s="12" t="s">
        <v>35</v>
      </c>
      <c r="F8889" s="14">
        <v>140000</v>
      </c>
      <c r="G8889" s="14">
        <v>116200</v>
      </c>
      <c r="H8889" s="13" t="s">
        <v>15981</v>
      </c>
      <c r="I8889" s="40" t="s">
        <v>18</v>
      </c>
      <c r="J8889" s="40" t="str">
        <f>HYPERLINK("https://stock.pstatic.net/stock-research/company/61/20250922_company_116259000.pdf","PDF")</f>
        <v>PDF</v>
      </c>
      <c r="K8889" s="12" t="s">
        <v>15982</v>
      </c>
      <c r="L8889" s="20">
        <v>0.2048192771084337</v>
      </c>
    </row>
    <row r="8890" spans="1:12" x14ac:dyDescent="0.45">
      <c r="A8890" s="12" t="s">
        <v>15952</v>
      </c>
      <c r="B8890" s="12" t="s">
        <v>740</v>
      </c>
      <c r="C8890" s="13" t="s">
        <v>741</v>
      </c>
      <c r="D8890" s="13" t="s">
        <v>34</v>
      </c>
      <c r="E8890" s="12" t="s">
        <v>35</v>
      </c>
      <c r="F8890" s="14">
        <v>230000</v>
      </c>
      <c r="G8890" s="14">
        <v>176500</v>
      </c>
      <c r="H8890" s="13" t="s">
        <v>15983</v>
      </c>
      <c r="I8890" s="40" t="s">
        <v>18</v>
      </c>
      <c r="J8890" s="40" t="str">
        <f>HYPERLINK("https://stock.pstatic.net/stock-research/company/61/20250922_company_797658000.pdf","PDF")</f>
        <v>PDF</v>
      </c>
      <c r="K8890" s="12" t="s">
        <v>15984</v>
      </c>
      <c r="L8890" s="20">
        <v>0.30311614730878189</v>
      </c>
    </row>
    <row r="8891" spans="1:12" x14ac:dyDescent="0.45">
      <c r="A8891" s="12" t="s">
        <v>15952</v>
      </c>
      <c r="B8891" s="12" t="s">
        <v>268</v>
      </c>
      <c r="C8891" s="13" t="s">
        <v>269</v>
      </c>
      <c r="D8891" s="13" t="s">
        <v>23</v>
      </c>
      <c r="E8891" s="12" t="s">
        <v>16</v>
      </c>
      <c r="F8891" s="14">
        <v>730000</v>
      </c>
      <c r="G8891" s="14">
        <v>472500</v>
      </c>
      <c r="H8891" s="13" t="s">
        <v>15985</v>
      </c>
      <c r="I8891" s="40" t="s">
        <v>18</v>
      </c>
      <c r="J8891" s="40" t="str">
        <f>HYPERLINK("https://stock.pstatic.net/stock-research/company/21/20250922_company_551723000.pdf","PDF")</f>
        <v>PDF</v>
      </c>
      <c r="K8891" s="12" t="s">
        <v>15986</v>
      </c>
      <c r="L8891" s="20">
        <v>0.544973544973545</v>
      </c>
    </row>
    <row r="8892" spans="1:12" x14ac:dyDescent="0.45">
      <c r="A8892" s="12" t="s">
        <v>15952</v>
      </c>
      <c r="B8892" s="12" t="s">
        <v>2658</v>
      </c>
      <c r="C8892" s="13" t="s">
        <v>2659</v>
      </c>
      <c r="D8892" s="13" t="s">
        <v>44</v>
      </c>
      <c r="E8892" s="12" t="s">
        <v>35</v>
      </c>
      <c r="F8892" s="14">
        <v>150000</v>
      </c>
      <c r="G8892" s="14">
        <v>118600</v>
      </c>
      <c r="H8892" s="13" t="s">
        <v>15987</v>
      </c>
      <c r="I8892" s="40" t="s">
        <v>18</v>
      </c>
      <c r="J8892" s="40" t="str">
        <f>HYPERLINK("https://stock.pstatic.net/stock-research/company/39/20250922_company_177212000.pdf","PDF")</f>
        <v>PDF</v>
      </c>
      <c r="K8892" s="12" t="s">
        <v>15988</v>
      </c>
      <c r="L8892" s="20">
        <v>0.26475548060708259</v>
      </c>
    </row>
    <row r="8893" spans="1:12" x14ac:dyDescent="0.45">
      <c r="A8893" s="12" t="s">
        <v>15952</v>
      </c>
      <c r="B8893" s="12" t="s">
        <v>15989</v>
      </c>
      <c r="C8893" s="13" t="s">
        <v>15990</v>
      </c>
      <c r="D8893" s="13" t="s">
        <v>124</v>
      </c>
      <c r="E8893" s="12" t="s">
        <v>50</v>
      </c>
      <c r="F8893" s="13"/>
      <c r="G8893" s="13"/>
      <c r="H8893" s="13" t="s">
        <v>15991</v>
      </c>
      <c r="I8893" s="40" t="s">
        <v>18</v>
      </c>
      <c r="J8893" s="40" t="str">
        <f>HYPERLINK("https://stock.pstatic.net/stock-research/company/74/20250922_company_490695000.pdf","PDF")</f>
        <v>PDF</v>
      </c>
      <c r="K8893" s="12" t="s">
        <v>15992</v>
      </c>
    </row>
    <row r="8894" spans="1:12" x14ac:dyDescent="0.45">
      <c r="A8894" s="12" t="s">
        <v>15952</v>
      </c>
      <c r="B8894" s="12" t="s">
        <v>456</v>
      </c>
      <c r="C8894" s="13" t="s">
        <v>457</v>
      </c>
      <c r="D8894" s="13" t="s">
        <v>124</v>
      </c>
      <c r="E8894" s="12" t="s">
        <v>50</v>
      </c>
      <c r="F8894" s="13"/>
      <c r="G8894" s="13"/>
      <c r="H8894" s="13" t="s">
        <v>15993</v>
      </c>
      <c r="I8894" s="40" t="s">
        <v>18</v>
      </c>
      <c r="J8894" s="40" t="str">
        <f>HYPERLINK("https://stock.pstatic.net/stock-research/company/74/20250922_company_576929000.pdf","PDF")</f>
        <v>PDF</v>
      </c>
      <c r="K8894" s="12" t="s">
        <v>15994</v>
      </c>
    </row>
    <row r="8895" spans="1:12" x14ac:dyDescent="0.45">
      <c r="A8895" s="12" t="s">
        <v>15995</v>
      </c>
      <c r="B8895" s="12" t="s">
        <v>13</v>
      </c>
      <c r="C8895" s="13" t="s">
        <v>14</v>
      </c>
      <c r="D8895" s="13" t="s">
        <v>57</v>
      </c>
      <c r="E8895" s="12" t="s">
        <v>35</v>
      </c>
      <c r="F8895" s="14">
        <v>110000</v>
      </c>
      <c r="G8895" s="14">
        <v>80500</v>
      </c>
      <c r="H8895" s="13" t="s">
        <v>15996</v>
      </c>
      <c r="I8895" s="40" t="s">
        <v>18</v>
      </c>
      <c r="J8895" s="40" t="str">
        <f>HYPERLINK("https://stock.pstatic.net/stock-research/company/16/20250919_company_302331000.pdf","PDF")</f>
        <v>PDF</v>
      </c>
      <c r="K8895" s="12" t="s">
        <v>15997</v>
      </c>
      <c r="L8895" s="20">
        <v>0.36645962732919263</v>
      </c>
    </row>
    <row r="8896" spans="1:12" x14ac:dyDescent="0.45">
      <c r="A8896" s="12" t="s">
        <v>15995</v>
      </c>
      <c r="B8896" s="12" t="s">
        <v>118</v>
      </c>
      <c r="C8896" s="13" t="s">
        <v>119</v>
      </c>
      <c r="D8896" s="13" t="s">
        <v>57</v>
      </c>
      <c r="E8896" s="12" t="s">
        <v>35</v>
      </c>
      <c r="F8896" s="14">
        <v>120000</v>
      </c>
      <c r="G8896" s="14">
        <v>78500</v>
      </c>
      <c r="H8896" s="13" t="s">
        <v>15998</v>
      </c>
      <c r="I8896" s="40" t="s">
        <v>18</v>
      </c>
      <c r="J8896" s="40" t="str">
        <f>HYPERLINK("https://stock.pstatic.net/stock-research/company/16/20250919_company_4162000.pdf","PDF")</f>
        <v>PDF</v>
      </c>
      <c r="K8896" s="12" t="s">
        <v>15999</v>
      </c>
      <c r="L8896" s="20">
        <v>0.5286624203821656</v>
      </c>
    </row>
    <row r="8897" spans="1:12" x14ac:dyDescent="0.45">
      <c r="A8897" s="12" t="s">
        <v>15995</v>
      </c>
      <c r="B8897" s="12" t="s">
        <v>68</v>
      </c>
      <c r="C8897" s="13" t="s">
        <v>69</v>
      </c>
      <c r="D8897" s="13" t="s">
        <v>65</v>
      </c>
      <c r="E8897" s="12" t="s">
        <v>50</v>
      </c>
      <c r="F8897" s="13"/>
      <c r="G8897" s="14">
        <v>165100</v>
      </c>
      <c r="H8897" s="13" t="s">
        <v>16000</v>
      </c>
      <c r="I8897" s="40" t="s">
        <v>18</v>
      </c>
      <c r="J8897" s="40" t="str">
        <f>HYPERLINK("https://stock.pstatic.net/stock-research/company/57/20250919_company_422668000.pdf","PDF")</f>
        <v>PDF</v>
      </c>
      <c r="K8897" s="12" t="s">
        <v>16001</v>
      </c>
    </row>
    <row r="8898" spans="1:12" x14ac:dyDescent="0.45">
      <c r="A8898" s="12" t="s">
        <v>15995</v>
      </c>
      <c r="B8898" s="12" t="s">
        <v>519</v>
      </c>
      <c r="C8898" s="13" t="s">
        <v>520</v>
      </c>
      <c r="D8898" s="13" t="s">
        <v>83</v>
      </c>
      <c r="E8898" s="12" t="s">
        <v>35</v>
      </c>
      <c r="F8898" s="14">
        <v>270000</v>
      </c>
      <c r="G8898" s="14">
        <v>218500</v>
      </c>
      <c r="H8898" s="13" t="s">
        <v>16002</v>
      </c>
      <c r="I8898" s="40" t="s">
        <v>18</v>
      </c>
      <c r="J8898" s="40" t="str">
        <f>HYPERLINK("https://stock.pstatic.net/stock-research/company/2/20250919_company_955555000.pdf","PDF")</f>
        <v>PDF</v>
      </c>
      <c r="K8898" s="12" t="s">
        <v>16003</v>
      </c>
      <c r="L8898" s="20">
        <v>0.23569794050343251</v>
      </c>
    </row>
    <row r="8899" spans="1:12" x14ac:dyDescent="0.45">
      <c r="A8899" s="12" t="s">
        <v>15995</v>
      </c>
      <c r="B8899" s="12" t="s">
        <v>4921</v>
      </c>
      <c r="C8899" s="13" t="s">
        <v>4922</v>
      </c>
      <c r="D8899" s="13" t="s">
        <v>83</v>
      </c>
      <c r="E8899" s="12" t="s">
        <v>50</v>
      </c>
      <c r="F8899" s="13"/>
      <c r="G8899" s="14">
        <v>20100</v>
      </c>
      <c r="H8899" s="13" t="s">
        <v>16004</v>
      </c>
      <c r="I8899" s="40" t="s">
        <v>18</v>
      </c>
      <c r="J8899" s="40" t="str">
        <f>HYPERLINK("https://stock.pstatic.net/stock-research/company/2/20250919_company_879682000.pdf","PDF")</f>
        <v>PDF</v>
      </c>
      <c r="K8899" s="12" t="s">
        <v>16005</v>
      </c>
    </row>
    <row r="8900" spans="1:12" x14ac:dyDescent="0.45">
      <c r="A8900" s="12" t="s">
        <v>15995</v>
      </c>
      <c r="B8900" s="12" t="s">
        <v>3606</v>
      </c>
      <c r="C8900" s="13" t="s">
        <v>3607</v>
      </c>
      <c r="D8900" s="13" t="s">
        <v>92</v>
      </c>
      <c r="E8900" s="12" t="s">
        <v>50</v>
      </c>
      <c r="F8900" s="13"/>
      <c r="G8900" s="14">
        <v>15320</v>
      </c>
      <c r="H8900" s="13" t="s">
        <v>16006</v>
      </c>
      <c r="I8900" s="40" t="s">
        <v>18</v>
      </c>
      <c r="J8900" s="40" t="str">
        <f>HYPERLINK("https://stock.pstatic.net/stock-research/company/63/20250919_company_241328000.pdf","PDF")</f>
        <v>PDF</v>
      </c>
      <c r="K8900" s="12" t="s">
        <v>16007</v>
      </c>
    </row>
    <row r="8901" spans="1:12" x14ac:dyDescent="0.45">
      <c r="A8901" s="12" t="s">
        <v>15995</v>
      </c>
      <c r="B8901" s="12" t="s">
        <v>90</v>
      </c>
      <c r="C8901" s="13" t="s">
        <v>91</v>
      </c>
      <c r="D8901" s="13" t="s">
        <v>34</v>
      </c>
      <c r="E8901" s="12" t="s">
        <v>35</v>
      </c>
      <c r="F8901" s="14">
        <v>30000</v>
      </c>
      <c r="G8901" s="14">
        <v>22400</v>
      </c>
      <c r="H8901" s="13" t="s">
        <v>16008</v>
      </c>
      <c r="I8901" s="40" t="s">
        <v>18</v>
      </c>
      <c r="J8901" s="40" t="str">
        <f>HYPERLINK("https://stock.pstatic.net/stock-research/company/61/20250919_company_460936000.pdf","PDF")</f>
        <v>PDF</v>
      </c>
      <c r="K8901" s="12" t="s">
        <v>16009</v>
      </c>
      <c r="L8901" s="20">
        <v>0.3392857142857143</v>
      </c>
    </row>
    <row r="8902" spans="1:12" x14ac:dyDescent="0.45">
      <c r="A8902" s="12" t="s">
        <v>15995</v>
      </c>
      <c r="B8902" s="12" t="s">
        <v>485</v>
      </c>
      <c r="C8902" s="13" t="s">
        <v>486</v>
      </c>
      <c r="D8902" s="13" t="s">
        <v>53</v>
      </c>
      <c r="E8902" s="12" t="s">
        <v>16</v>
      </c>
      <c r="F8902" s="14">
        <v>190000</v>
      </c>
      <c r="G8902" s="14">
        <v>131800</v>
      </c>
      <c r="H8902" s="13" t="s">
        <v>16010</v>
      </c>
      <c r="I8902" s="40" t="s">
        <v>18</v>
      </c>
      <c r="J8902" s="40" t="str">
        <f>HYPERLINK("https://stock.pstatic.net/stock-research/company/40/20250919_company_328534000.pdf","PDF")</f>
        <v>PDF</v>
      </c>
      <c r="K8902" s="12" t="s">
        <v>16011</v>
      </c>
      <c r="L8902" s="20">
        <v>0.44157814871016687</v>
      </c>
    </row>
    <row r="8903" spans="1:12" x14ac:dyDescent="0.45">
      <c r="A8903" s="12" t="s">
        <v>15995</v>
      </c>
      <c r="B8903" s="12" t="s">
        <v>3813</v>
      </c>
      <c r="C8903" s="13" t="s">
        <v>3814</v>
      </c>
      <c r="D8903" s="13" t="s">
        <v>44</v>
      </c>
      <c r="E8903" s="12" t="s">
        <v>35</v>
      </c>
      <c r="F8903" s="14">
        <v>16000</v>
      </c>
      <c r="G8903" s="14">
        <v>13090</v>
      </c>
      <c r="H8903" s="13" t="s">
        <v>16012</v>
      </c>
      <c r="I8903" s="40" t="s">
        <v>18</v>
      </c>
      <c r="J8903" s="40" t="str">
        <f>HYPERLINK("https://stock.pstatic.net/stock-research/company/39/20250919_company_7450000.pdf","PDF")</f>
        <v>PDF</v>
      </c>
      <c r="K8903" s="12" t="s">
        <v>16013</v>
      </c>
      <c r="L8903" s="20">
        <v>0.2223071046600458</v>
      </c>
    </row>
    <row r="8904" spans="1:12" x14ac:dyDescent="0.45">
      <c r="A8904" s="12" t="s">
        <v>15995</v>
      </c>
      <c r="B8904" s="12" t="s">
        <v>3718</v>
      </c>
      <c r="C8904" s="13" t="s">
        <v>3719</v>
      </c>
      <c r="D8904" s="13" t="s">
        <v>44</v>
      </c>
      <c r="E8904" s="12" t="s">
        <v>50</v>
      </c>
      <c r="F8904" s="13"/>
      <c r="G8904" s="14">
        <v>4030</v>
      </c>
      <c r="H8904" s="13" t="s">
        <v>16014</v>
      </c>
      <c r="I8904" s="40" t="s">
        <v>18</v>
      </c>
      <c r="J8904" s="40" t="str">
        <f>HYPERLINK("https://stock.pstatic.net/stock-research/company/39/20250919_company_163724000.pdf","PDF")</f>
        <v>PDF</v>
      </c>
      <c r="K8904" s="12" t="s">
        <v>16015</v>
      </c>
    </row>
    <row r="8905" spans="1:12" x14ac:dyDescent="0.45">
      <c r="A8905" s="12" t="s">
        <v>15995</v>
      </c>
      <c r="B8905" s="12" t="s">
        <v>3536</v>
      </c>
      <c r="C8905" s="13" t="s">
        <v>3537</v>
      </c>
      <c r="D8905" s="13" t="s">
        <v>23</v>
      </c>
      <c r="E8905" s="12" t="s">
        <v>16</v>
      </c>
      <c r="F8905" s="14">
        <v>340000</v>
      </c>
      <c r="G8905" s="14">
        <v>223000</v>
      </c>
      <c r="H8905" s="13" t="s">
        <v>16016</v>
      </c>
      <c r="I8905" s="40" t="s">
        <v>18</v>
      </c>
      <c r="J8905" s="40" t="str">
        <f>HYPERLINK("https://stock.pstatic.net/stock-research/company/21/20250919_company_797861000.pdf","PDF")</f>
        <v>PDF</v>
      </c>
      <c r="K8905" s="12" t="s">
        <v>16017</v>
      </c>
      <c r="L8905" s="20">
        <v>0.5246636771300448</v>
      </c>
    </row>
    <row r="8906" spans="1:12" x14ac:dyDescent="0.45">
      <c r="A8906" s="12" t="s">
        <v>15995</v>
      </c>
      <c r="B8906" s="12" t="s">
        <v>519</v>
      </c>
      <c r="C8906" s="13" t="s">
        <v>520</v>
      </c>
      <c r="D8906" s="13" t="s">
        <v>23</v>
      </c>
      <c r="E8906" s="12" t="s">
        <v>16</v>
      </c>
      <c r="F8906" s="14">
        <v>270000</v>
      </c>
      <c r="G8906" s="14">
        <v>218500</v>
      </c>
      <c r="H8906" s="13" t="s">
        <v>16018</v>
      </c>
      <c r="I8906" s="40" t="s">
        <v>18</v>
      </c>
      <c r="J8906" s="40" t="str">
        <f>HYPERLINK("https://stock.pstatic.net/stock-research/company/21/20250919_company_924783000.pdf","PDF")</f>
        <v>PDF</v>
      </c>
      <c r="K8906" s="12" t="s">
        <v>16019</v>
      </c>
      <c r="L8906" s="20">
        <v>0.23569794050343251</v>
      </c>
    </row>
    <row r="8907" spans="1:12" x14ac:dyDescent="0.45">
      <c r="A8907" s="12" t="s">
        <v>15995</v>
      </c>
      <c r="B8907" s="12" t="s">
        <v>621</v>
      </c>
      <c r="C8907" s="13" t="s">
        <v>622</v>
      </c>
      <c r="D8907" s="13" t="s">
        <v>124</v>
      </c>
      <c r="E8907" s="12" t="s">
        <v>50</v>
      </c>
      <c r="F8907" s="13"/>
      <c r="G8907" s="13"/>
      <c r="H8907" s="13" t="s">
        <v>16020</v>
      </c>
      <c r="I8907" s="40" t="s">
        <v>18</v>
      </c>
      <c r="J8907" s="40" t="str">
        <f>HYPERLINK("https://stock.pstatic.net/stock-research/company/74/20250919_company_684045000.pdf","PDF")</f>
        <v>PDF</v>
      </c>
      <c r="K8907" s="12" t="s">
        <v>16021</v>
      </c>
    </row>
    <row r="8908" spans="1:12" x14ac:dyDescent="0.45">
      <c r="A8908" s="12" t="s">
        <v>15995</v>
      </c>
      <c r="B8908" s="12" t="s">
        <v>1377</v>
      </c>
      <c r="C8908" s="13" t="s">
        <v>1378</v>
      </c>
      <c r="D8908" s="13" t="s">
        <v>124</v>
      </c>
      <c r="E8908" s="12" t="s">
        <v>50</v>
      </c>
      <c r="F8908" s="13"/>
      <c r="G8908" s="13"/>
      <c r="H8908" s="13" t="s">
        <v>16022</v>
      </c>
      <c r="I8908" s="40" t="s">
        <v>18</v>
      </c>
      <c r="J8908" s="40" t="str">
        <f>HYPERLINK("https://stock.pstatic.net/stock-research/company/74/20250919_company_44812000.pdf","PDF")</f>
        <v>PDF</v>
      </c>
      <c r="K8908" s="12" t="s">
        <v>16023</v>
      </c>
    </row>
    <row r="8909" spans="1:12" x14ac:dyDescent="0.45">
      <c r="A8909" s="12" t="s">
        <v>15995</v>
      </c>
      <c r="B8909" s="12" t="s">
        <v>1184</v>
      </c>
      <c r="C8909" s="13" t="s">
        <v>1185</v>
      </c>
      <c r="D8909" s="13" t="s">
        <v>53</v>
      </c>
      <c r="E8909" s="12" t="s">
        <v>16</v>
      </c>
      <c r="F8909" s="14">
        <v>21000</v>
      </c>
      <c r="G8909" s="14">
        <v>16740</v>
      </c>
      <c r="H8909" s="13" t="s">
        <v>16024</v>
      </c>
      <c r="I8909" s="40" t="s">
        <v>18</v>
      </c>
      <c r="J8909" s="40" t="str">
        <f>HYPERLINK("https://stock.pstatic.net/stock-research/company/40/20250919_company_677269000.pdf","PDF")</f>
        <v>PDF</v>
      </c>
      <c r="K8909" s="12" t="s">
        <v>16025</v>
      </c>
      <c r="L8909" s="20">
        <v>0.25448028673835132</v>
      </c>
    </row>
    <row r="8910" spans="1:12" x14ac:dyDescent="0.45">
      <c r="A8910" s="12" t="s">
        <v>15995</v>
      </c>
      <c r="B8910" s="12" t="s">
        <v>3164</v>
      </c>
      <c r="C8910" s="13" t="s">
        <v>3165</v>
      </c>
      <c r="D8910" s="13" t="s">
        <v>1271</v>
      </c>
      <c r="E8910" s="12" t="s">
        <v>35</v>
      </c>
      <c r="F8910" s="14">
        <v>79000</v>
      </c>
      <c r="G8910" s="14">
        <v>58500</v>
      </c>
      <c r="H8910" s="13" t="s">
        <v>16026</v>
      </c>
      <c r="I8910" s="40" t="s">
        <v>18</v>
      </c>
      <c r="J8910" s="40" t="str">
        <f>HYPERLINK("https://stock.pstatic.net/stock-research/company/7/20250919_company_21951000.pdf","PDF")</f>
        <v>PDF</v>
      </c>
      <c r="K8910" s="12" t="s">
        <v>16027</v>
      </c>
      <c r="L8910" s="20">
        <v>0.3504273504273504</v>
      </c>
    </row>
    <row r="8911" spans="1:12" x14ac:dyDescent="0.45">
      <c r="A8911" s="12" t="s">
        <v>15995</v>
      </c>
      <c r="B8911" s="12" t="s">
        <v>3014</v>
      </c>
      <c r="C8911" s="13" t="s">
        <v>3015</v>
      </c>
      <c r="D8911" s="13" t="s">
        <v>1271</v>
      </c>
      <c r="E8911" s="12" t="s">
        <v>35</v>
      </c>
      <c r="F8911" s="14">
        <v>165000</v>
      </c>
      <c r="G8911" s="14">
        <v>126500</v>
      </c>
      <c r="H8911" s="13" t="s">
        <v>16028</v>
      </c>
      <c r="I8911" s="40" t="s">
        <v>18</v>
      </c>
      <c r="J8911" s="40" t="str">
        <f>HYPERLINK("https://stock.pstatic.net/stock-research/company/7/20250919_company_139891000.pdf","PDF")</f>
        <v>PDF</v>
      </c>
      <c r="K8911" s="12" t="s">
        <v>16029</v>
      </c>
      <c r="L8911" s="20">
        <v>0.30434782608695649</v>
      </c>
    </row>
    <row r="8912" spans="1:12" x14ac:dyDescent="0.45">
      <c r="A8912" s="12" t="s">
        <v>15995</v>
      </c>
      <c r="B8912" s="12" t="s">
        <v>2365</v>
      </c>
      <c r="C8912" s="13" t="s">
        <v>2366</v>
      </c>
      <c r="D8912" s="13" t="s">
        <v>1271</v>
      </c>
      <c r="E8912" s="12" t="s">
        <v>35</v>
      </c>
      <c r="F8912" s="14">
        <v>100000</v>
      </c>
      <c r="G8912" s="14">
        <v>70700</v>
      </c>
      <c r="H8912" s="13" t="s">
        <v>16030</v>
      </c>
      <c r="I8912" s="40" t="s">
        <v>18</v>
      </c>
      <c r="J8912" s="40" t="str">
        <f>HYPERLINK("https://stock.pstatic.net/stock-research/company/7/20250919_company_292251000.pdf","PDF")</f>
        <v>PDF</v>
      </c>
      <c r="K8912" s="12" t="s">
        <v>16031</v>
      </c>
      <c r="L8912" s="20">
        <v>0.41442715700141441</v>
      </c>
    </row>
    <row r="8913" spans="1:12" x14ac:dyDescent="0.45">
      <c r="A8913" s="12" t="s">
        <v>15995</v>
      </c>
      <c r="B8913" s="12" t="s">
        <v>533</v>
      </c>
      <c r="C8913" s="13" t="s">
        <v>534</v>
      </c>
      <c r="D8913" s="13" t="s">
        <v>1271</v>
      </c>
      <c r="E8913" s="12" t="s">
        <v>35</v>
      </c>
      <c r="F8913" s="14">
        <v>69000</v>
      </c>
      <c r="G8913" s="14">
        <v>51800</v>
      </c>
      <c r="H8913" s="13" t="s">
        <v>16032</v>
      </c>
      <c r="I8913" s="40" t="s">
        <v>18</v>
      </c>
      <c r="J8913" s="40" t="str">
        <f>HYPERLINK("https://stock.pstatic.net/stock-research/company/7/20250919_company_105501000.pdf","PDF")</f>
        <v>PDF</v>
      </c>
      <c r="K8913" s="12" t="s">
        <v>16033</v>
      </c>
      <c r="L8913" s="20">
        <v>0.33204633204633199</v>
      </c>
    </row>
    <row r="8914" spans="1:12" x14ac:dyDescent="0.45">
      <c r="A8914" s="12" t="s">
        <v>15995</v>
      </c>
      <c r="B8914" s="12" t="s">
        <v>16034</v>
      </c>
      <c r="C8914" s="13" t="s">
        <v>16035</v>
      </c>
      <c r="D8914" s="13" t="s">
        <v>11154</v>
      </c>
      <c r="E8914" s="12" t="s">
        <v>50</v>
      </c>
      <c r="F8914" s="13"/>
      <c r="G8914" s="13"/>
      <c r="H8914" s="13" t="s">
        <v>16036</v>
      </c>
      <c r="I8914" s="40" t="s">
        <v>18</v>
      </c>
      <c r="J8914" s="40" t="str">
        <f>HYPERLINK("https://stock.pstatic.net/stock-research/company/79/20250919_company_136951000.pdf","PDF")</f>
        <v>PDF</v>
      </c>
      <c r="K8914" s="12" t="s">
        <v>16037</v>
      </c>
    </row>
    <row r="8915" spans="1:12" x14ac:dyDescent="0.45">
      <c r="A8915" s="12" t="s">
        <v>15995</v>
      </c>
      <c r="B8915" s="12" t="s">
        <v>16038</v>
      </c>
      <c r="C8915" s="13" t="s">
        <v>16039</v>
      </c>
      <c r="D8915" s="13" t="s">
        <v>202</v>
      </c>
      <c r="E8915" s="12" t="s">
        <v>50</v>
      </c>
      <c r="F8915" s="13"/>
      <c r="G8915" s="13"/>
      <c r="H8915" s="13" t="s">
        <v>16040</v>
      </c>
      <c r="I8915" s="40" t="s">
        <v>18</v>
      </c>
      <c r="J8915" s="40" t="str">
        <f>HYPERLINK("https://stock.pstatic.net/stock-research/company/69/20250919_company_458845000.pdf","PDF")</f>
        <v>PDF</v>
      </c>
      <c r="K8915" s="12" t="s">
        <v>16041</v>
      </c>
    </row>
    <row r="8916" spans="1:12" x14ac:dyDescent="0.45">
      <c r="A8916" s="12" t="s">
        <v>15995</v>
      </c>
      <c r="B8916" s="12" t="s">
        <v>16042</v>
      </c>
      <c r="C8916" s="13" t="s">
        <v>16043</v>
      </c>
      <c r="D8916" s="13" t="s">
        <v>202</v>
      </c>
      <c r="E8916" s="12" t="s">
        <v>50</v>
      </c>
      <c r="F8916" s="13"/>
      <c r="G8916" s="13"/>
      <c r="H8916" s="13" t="s">
        <v>16044</v>
      </c>
      <c r="I8916" s="40" t="s">
        <v>18</v>
      </c>
      <c r="J8916" s="40" t="str">
        <f>HYPERLINK("https://stock.pstatic.net/stock-research/company/69/20250919_company_491613000.pdf","PDF")</f>
        <v>PDF</v>
      </c>
      <c r="K8916" s="12" t="s">
        <v>16045</v>
      </c>
    </row>
    <row r="8917" spans="1:12" x14ac:dyDescent="0.45">
      <c r="A8917" s="12" t="s">
        <v>15995</v>
      </c>
      <c r="B8917" s="12" t="s">
        <v>16046</v>
      </c>
      <c r="C8917" s="13" t="s">
        <v>16047</v>
      </c>
      <c r="D8917" s="13" t="s">
        <v>202</v>
      </c>
      <c r="E8917" s="12" t="s">
        <v>50</v>
      </c>
      <c r="F8917" s="13"/>
      <c r="G8917" s="13"/>
      <c r="H8917" s="13" t="s">
        <v>16048</v>
      </c>
      <c r="I8917" s="40" t="s">
        <v>18</v>
      </c>
      <c r="J8917" s="40" t="str">
        <f>HYPERLINK("https://stock.pstatic.net/stock-research/company/69/20250919_company_121122000.pdf","PDF")</f>
        <v>PDF</v>
      </c>
      <c r="K8917" s="12" t="s">
        <v>16049</v>
      </c>
    </row>
    <row r="8918" spans="1:12" x14ac:dyDescent="0.45">
      <c r="A8918" s="12" t="s">
        <v>16050</v>
      </c>
      <c r="B8918" s="12" t="s">
        <v>16051</v>
      </c>
      <c r="C8918" s="13" t="s">
        <v>16052</v>
      </c>
      <c r="D8918" s="13" t="s">
        <v>124</v>
      </c>
      <c r="E8918" s="12" t="s">
        <v>50</v>
      </c>
      <c r="F8918" s="13"/>
      <c r="G8918" s="13"/>
      <c r="H8918" s="13" t="s">
        <v>16053</v>
      </c>
      <c r="I8918" s="40" t="s">
        <v>18</v>
      </c>
      <c r="J8918" s="40" t="str">
        <f>HYPERLINK("https://stock.pstatic.net/stock-research/company/74/20260107_company_918448000.pdf","PDF")</f>
        <v>PDF</v>
      </c>
      <c r="K8918" s="12" t="s">
        <v>16054</v>
      </c>
    </row>
    <row r="8919" spans="1:12" x14ac:dyDescent="0.45">
      <c r="A8919" s="12" t="s">
        <v>16055</v>
      </c>
      <c r="B8919" s="12" t="s">
        <v>4021</v>
      </c>
      <c r="C8919" s="13" t="s">
        <v>4022</v>
      </c>
      <c r="D8919" s="13" t="s">
        <v>23</v>
      </c>
      <c r="E8919" s="12" t="s">
        <v>16</v>
      </c>
      <c r="F8919" s="14">
        <v>360000</v>
      </c>
      <c r="G8919" s="14">
        <v>303500</v>
      </c>
      <c r="H8919" s="13" t="s">
        <v>16056</v>
      </c>
      <c r="I8919" s="40" t="s">
        <v>18</v>
      </c>
      <c r="J8919" s="40" t="str">
        <f>HYPERLINK("https://stock.pstatic.net/stock-research/company/21/20250918_company_648448000.pdf","PDF")</f>
        <v>PDF</v>
      </c>
      <c r="K8919" s="12" t="s">
        <v>16057</v>
      </c>
      <c r="L8919" s="20">
        <v>0.18616144975288301</v>
      </c>
    </row>
    <row r="8920" spans="1:12" x14ac:dyDescent="0.45">
      <c r="A8920" s="12" t="s">
        <v>16055</v>
      </c>
      <c r="B8920" s="12" t="s">
        <v>3280</v>
      </c>
      <c r="C8920" s="13" t="s">
        <v>3281</v>
      </c>
      <c r="D8920" s="13" t="s">
        <v>65</v>
      </c>
      <c r="E8920" s="12" t="s">
        <v>35</v>
      </c>
      <c r="F8920" s="14">
        <v>60000</v>
      </c>
      <c r="G8920" s="14">
        <v>45750</v>
      </c>
      <c r="H8920" s="13" t="s">
        <v>16058</v>
      </c>
      <c r="I8920" s="40" t="s">
        <v>18</v>
      </c>
      <c r="J8920" s="40" t="str">
        <f>HYPERLINK("https://stock.pstatic.net/stock-research/company/57/20250918_company_589478000.pdf","PDF")</f>
        <v>PDF</v>
      </c>
      <c r="K8920" s="12" t="s">
        <v>16059</v>
      </c>
      <c r="L8920" s="20">
        <v>0.31147540983606559</v>
      </c>
    </row>
    <row r="8921" spans="1:12" x14ac:dyDescent="0.45">
      <c r="A8921" s="12" t="s">
        <v>16055</v>
      </c>
      <c r="B8921" s="12" t="s">
        <v>16060</v>
      </c>
      <c r="C8921" s="13" t="s">
        <v>16061</v>
      </c>
      <c r="D8921" s="13" t="s">
        <v>158</v>
      </c>
      <c r="E8921" s="12" t="s">
        <v>50</v>
      </c>
      <c r="F8921" s="13"/>
      <c r="G8921" s="14">
        <v>13880</v>
      </c>
      <c r="H8921" s="13" t="s">
        <v>16062</v>
      </c>
      <c r="I8921" s="40" t="s">
        <v>18</v>
      </c>
      <c r="J8921" s="40" t="str">
        <f>HYPERLINK("https://stock.pstatic.net/stock-research/company/18/20250918_company_946670000.pdf","PDF")</f>
        <v>PDF</v>
      </c>
      <c r="K8921" s="12" t="s">
        <v>16063</v>
      </c>
    </row>
    <row r="8922" spans="1:12" x14ac:dyDescent="0.45">
      <c r="A8922" s="12" t="s">
        <v>16055</v>
      </c>
      <c r="B8922" s="12" t="s">
        <v>957</v>
      </c>
      <c r="C8922" s="13" t="s">
        <v>958</v>
      </c>
      <c r="D8922" s="13" t="s">
        <v>34</v>
      </c>
      <c r="E8922" s="12" t="s">
        <v>35</v>
      </c>
      <c r="F8922" s="14">
        <v>300000</v>
      </c>
      <c r="G8922" s="14">
        <v>242500</v>
      </c>
      <c r="H8922" s="13" t="s">
        <v>16064</v>
      </c>
      <c r="I8922" s="40" t="s">
        <v>18</v>
      </c>
      <c r="J8922" s="40" t="str">
        <f>HYPERLINK("https://stock.pstatic.net/stock-research/company/61/20250918_company_758577000.pdf","PDF")</f>
        <v>PDF</v>
      </c>
      <c r="K8922" s="12" t="s">
        <v>16065</v>
      </c>
      <c r="L8922" s="20">
        <v>0.23711340206185569</v>
      </c>
    </row>
    <row r="8923" spans="1:12" x14ac:dyDescent="0.45">
      <c r="A8923" s="12" t="s">
        <v>16055</v>
      </c>
      <c r="B8923" s="12" t="s">
        <v>904</v>
      </c>
      <c r="C8923" s="13" t="s">
        <v>905</v>
      </c>
      <c r="D8923" s="13" t="s">
        <v>15</v>
      </c>
      <c r="E8923" s="12" t="s">
        <v>16</v>
      </c>
      <c r="F8923" s="14">
        <v>67000</v>
      </c>
      <c r="G8923" s="14">
        <v>40000</v>
      </c>
      <c r="H8923" s="13" t="s">
        <v>16066</v>
      </c>
      <c r="I8923" s="40" t="s">
        <v>18</v>
      </c>
      <c r="J8923" s="40" t="str">
        <f>HYPERLINK("https://stock.pstatic.net/stock-research/company/29/20250918_company_509711000.pdf","PDF")</f>
        <v>PDF</v>
      </c>
      <c r="K8923" s="12" t="s">
        <v>16067</v>
      </c>
      <c r="L8923" s="20">
        <v>0.67500000000000004</v>
      </c>
    </row>
    <row r="8924" spans="1:12" x14ac:dyDescent="0.45">
      <c r="A8924" s="12" t="s">
        <v>16055</v>
      </c>
      <c r="B8924" s="12" t="s">
        <v>916</v>
      </c>
      <c r="C8924" s="13" t="s">
        <v>917</v>
      </c>
      <c r="D8924" s="13" t="s">
        <v>15</v>
      </c>
      <c r="E8924" s="12" t="s">
        <v>16</v>
      </c>
      <c r="F8924" s="14">
        <v>80000</v>
      </c>
      <c r="G8924" s="14">
        <v>62900</v>
      </c>
      <c r="H8924" s="13" t="s">
        <v>16068</v>
      </c>
      <c r="I8924" s="40" t="s">
        <v>18</v>
      </c>
      <c r="J8924" s="40" t="str">
        <f>HYPERLINK("https://stock.pstatic.net/stock-research/company/29/20250918_company_662801000.pdf","PDF")</f>
        <v>PDF</v>
      </c>
      <c r="K8924" s="12" t="s">
        <v>16069</v>
      </c>
      <c r="L8924" s="20">
        <v>0.27186009538950717</v>
      </c>
    </row>
    <row r="8925" spans="1:12" x14ac:dyDescent="0.45">
      <c r="A8925" s="12" t="s">
        <v>16055</v>
      </c>
      <c r="B8925" s="12" t="s">
        <v>42</v>
      </c>
      <c r="C8925" s="13" t="s">
        <v>43</v>
      </c>
      <c r="D8925" s="13" t="s">
        <v>15</v>
      </c>
      <c r="E8925" s="12" t="s">
        <v>16</v>
      </c>
      <c r="F8925" s="14">
        <v>340000</v>
      </c>
      <c r="G8925" s="14">
        <v>235000</v>
      </c>
      <c r="H8925" s="13" t="s">
        <v>16070</v>
      </c>
      <c r="I8925" s="40" t="s">
        <v>18</v>
      </c>
      <c r="J8925" s="40" t="str">
        <f>HYPERLINK("https://stock.pstatic.net/stock-research/company/29/20250918_company_610685000.pdf","PDF")</f>
        <v>PDF</v>
      </c>
      <c r="K8925" s="12" t="s">
        <v>16071</v>
      </c>
      <c r="L8925" s="20">
        <v>0.44680851063829791</v>
      </c>
    </row>
    <row r="8926" spans="1:12" x14ac:dyDescent="0.45">
      <c r="A8926" s="12" t="s">
        <v>16055</v>
      </c>
      <c r="B8926" s="12" t="s">
        <v>1220</v>
      </c>
      <c r="C8926" s="13" t="s">
        <v>1221</v>
      </c>
      <c r="D8926" s="13" t="s">
        <v>23</v>
      </c>
      <c r="E8926" s="12" t="s">
        <v>16</v>
      </c>
      <c r="F8926" s="14">
        <v>47000</v>
      </c>
      <c r="G8926" s="14">
        <v>31950</v>
      </c>
      <c r="H8926" s="13" t="s">
        <v>16072</v>
      </c>
      <c r="I8926" s="40" t="s">
        <v>18</v>
      </c>
      <c r="J8926" s="40" t="str">
        <f>HYPERLINK("https://stock.pstatic.net/stock-research/company/21/20250918_company_287224000.pdf","PDF")</f>
        <v>PDF</v>
      </c>
      <c r="K8926" s="12" t="s">
        <v>16073</v>
      </c>
      <c r="L8926" s="20">
        <v>0.47104851330203451</v>
      </c>
    </row>
    <row r="8927" spans="1:12" x14ac:dyDescent="0.45">
      <c r="A8927" s="12" t="s">
        <v>16055</v>
      </c>
      <c r="B8927" s="12" t="s">
        <v>1220</v>
      </c>
      <c r="C8927" s="13" t="s">
        <v>1221</v>
      </c>
      <c r="D8927" s="13" t="s">
        <v>179</v>
      </c>
      <c r="E8927" s="12" t="s">
        <v>50</v>
      </c>
      <c r="F8927" s="13"/>
      <c r="G8927" s="13"/>
      <c r="H8927" s="13" t="s">
        <v>16074</v>
      </c>
      <c r="I8927" s="40" t="s">
        <v>18</v>
      </c>
      <c r="J8927" s="40" t="str">
        <f>HYPERLINK("https://stock.pstatic.net/stock-research/company/64/20250918_company_970591000.pdf","PDF")</f>
        <v>PDF</v>
      </c>
      <c r="K8927" s="12" t="s">
        <v>16075</v>
      </c>
    </row>
    <row r="8928" spans="1:12" x14ac:dyDescent="0.45">
      <c r="A8928" s="12" t="s">
        <v>16055</v>
      </c>
      <c r="B8928" s="12" t="s">
        <v>1120</v>
      </c>
      <c r="C8928" s="13" t="s">
        <v>1121</v>
      </c>
      <c r="D8928" s="13" t="s">
        <v>44</v>
      </c>
      <c r="E8928" s="12" t="s">
        <v>35</v>
      </c>
      <c r="F8928" s="14">
        <v>150000</v>
      </c>
      <c r="G8928" s="14">
        <v>108000</v>
      </c>
      <c r="H8928" s="13" t="s">
        <v>16076</v>
      </c>
      <c r="I8928" s="40" t="s">
        <v>18</v>
      </c>
      <c r="J8928" s="40" t="str">
        <f>HYPERLINK("https://stock.pstatic.net/stock-research/company/39/20250918_company_803076000.pdf","PDF")</f>
        <v>PDF</v>
      </c>
      <c r="K8928" s="12" t="s">
        <v>16077</v>
      </c>
      <c r="L8928" s="20">
        <v>0.3888888888888889</v>
      </c>
    </row>
    <row r="8929" spans="1:12" x14ac:dyDescent="0.45">
      <c r="A8929" s="12" t="s">
        <v>16078</v>
      </c>
      <c r="B8929" s="12" t="s">
        <v>768</v>
      </c>
      <c r="C8929" s="13" t="s">
        <v>769</v>
      </c>
      <c r="D8929" s="13" t="s">
        <v>83</v>
      </c>
      <c r="E8929" s="12" t="s">
        <v>35</v>
      </c>
      <c r="F8929" s="14">
        <v>300000</v>
      </c>
      <c r="G8929" s="14">
        <v>219500</v>
      </c>
      <c r="H8929" s="13" t="s">
        <v>16079</v>
      </c>
      <c r="I8929" s="40" t="s">
        <v>18</v>
      </c>
      <c r="J8929" s="40" t="str">
        <f>HYPERLINK("https://stock.pstatic.net/stock-research/company/2/20250917_company_59214000.pdf","PDF")</f>
        <v>PDF</v>
      </c>
      <c r="K8929" s="12" t="s">
        <v>16080</v>
      </c>
      <c r="L8929" s="20">
        <v>0.36674259681093402</v>
      </c>
    </row>
    <row r="8930" spans="1:12" x14ac:dyDescent="0.45">
      <c r="A8930" s="12" t="s">
        <v>16078</v>
      </c>
      <c r="B8930" s="12" t="s">
        <v>434</v>
      </c>
      <c r="C8930" s="13" t="s">
        <v>435</v>
      </c>
      <c r="D8930" s="13" t="s">
        <v>83</v>
      </c>
      <c r="E8930" s="12" t="s">
        <v>35</v>
      </c>
      <c r="F8930" s="14">
        <v>160000</v>
      </c>
      <c r="G8930" s="14">
        <v>122100</v>
      </c>
      <c r="H8930" s="13" t="s">
        <v>16081</v>
      </c>
      <c r="I8930" s="40" t="s">
        <v>18</v>
      </c>
      <c r="J8930" s="40" t="str">
        <f>HYPERLINK("https://stock.pstatic.net/stock-research/company/2/20250917_company_202248000.pdf","PDF")</f>
        <v>PDF</v>
      </c>
      <c r="K8930" s="12" t="s">
        <v>16082</v>
      </c>
      <c r="L8930" s="20">
        <v>0.31040131040131042</v>
      </c>
    </row>
    <row r="8931" spans="1:12" x14ac:dyDescent="0.45">
      <c r="A8931" s="12" t="s">
        <v>16078</v>
      </c>
      <c r="B8931" s="12" t="s">
        <v>2191</v>
      </c>
      <c r="C8931" s="13" t="s">
        <v>2192</v>
      </c>
      <c r="D8931" s="13" t="s">
        <v>83</v>
      </c>
      <c r="E8931" s="12" t="s">
        <v>35</v>
      </c>
      <c r="F8931" s="14">
        <v>90000</v>
      </c>
      <c r="G8931" s="14">
        <v>66200</v>
      </c>
      <c r="H8931" s="13" t="s">
        <v>16083</v>
      </c>
      <c r="I8931" s="40" t="s">
        <v>18</v>
      </c>
      <c r="J8931" s="40" t="str">
        <f>HYPERLINK("https://stock.pstatic.net/stock-research/company/2/20250917_company_599592000.pdf","PDF")</f>
        <v>PDF</v>
      </c>
      <c r="K8931" s="12" t="s">
        <v>16084</v>
      </c>
      <c r="L8931" s="20">
        <v>0.3595166163141994</v>
      </c>
    </row>
    <row r="8932" spans="1:12" x14ac:dyDescent="0.45">
      <c r="A8932" s="12" t="s">
        <v>16078</v>
      </c>
      <c r="B8932" s="12" t="s">
        <v>2960</v>
      </c>
      <c r="C8932" s="13" t="s">
        <v>2961</v>
      </c>
      <c r="D8932" s="13" t="s">
        <v>83</v>
      </c>
      <c r="E8932" s="12" t="s">
        <v>35</v>
      </c>
      <c r="F8932" s="14">
        <v>60000</v>
      </c>
      <c r="G8932" s="14">
        <v>50900</v>
      </c>
      <c r="H8932" s="13" t="s">
        <v>16085</v>
      </c>
      <c r="I8932" s="40" t="s">
        <v>18</v>
      </c>
      <c r="J8932" s="40" t="str">
        <f>HYPERLINK("https://stock.pstatic.net/stock-research/company/2/20250917_company_678376000.pdf","PDF")</f>
        <v>PDF</v>
      </c>
      <c r="K8932" s="12" t="s">
        <v>16086</v>
      </c>
      <c r="L8932" s="20">
        <v>0.1787819253438114</v>
      </c>
    </row>
    <row r="8933" spans="1:12" x14ac:dyDescent="0.45">
      <c r="A8933" s="12" t="s">
        <v>16078</v>
      </c>
      <c r="B8933" s="12" t="s">
        <v>1656</v>
      </c>
      <c r="C8933" s="13" t="s">
        <v>1657</v>
      </c>
      <c r="D8933" s="13" t="s">
        <v>83</v>
      </c>
      <c r="E8933" s="12" t="s">
        <v>35</v>
      </c>
      <c r="F8933" s="14">
        <v>220000</v>
      </c>
      <c r="G8933" s="14">
        <v>176600</v>
      </c>
      <c r="H8933" s="13" t="s">
        <v>16087</v>
      </c>
      <c r="I8933" s="40" t="s">
        <v>18</v>
      </c>
      <c r="J8933" s="40" t="str">
        <f>HYPERLINK("https://stock.pstatic.net/stock-research/company/2/20250917_company_481816000.pdf","PDF")</f>
        <v>PDF</v>
      </c>
      <c r="K8933" s="12" t="s">
        <v>16088</v>
      </c>
      <c r="L8933" s="20">
        <v>0.24575311438278599</v>
      </c>
    </row>
    <row r="8934" spans="1:12" x14ac:dyDescent="0.45">
      <c r="A8934" s="12" t="s">
        <v>16078</v>
      </c>
      <c r="B8934" s="12" t="s">
        <v>132</v>
      </c>
      <c r="C8934" s="13" t="s">
        <v>133</v>
      </c>
      <c r="D8934" s="13" t="s">
        <v>83</v>
      </c>
      <c r="E8934" s="12" t="s">
        <v>35</v>
      </c>
      <c r="F8934" s="14">
        <v>100000</v>
      </c>
      <c r="G8934" s="14">
        <v>79900</v>
      </c>
      <c r="H8934" s="13" t="s">
        <v>16089</v>
      </c>
      <c r="I8934" s="40" t="s">
        <v>18</v>
      </c>
      <c r="J8934" s="40" t="str">
        <f>HYPERLINK("https://stock.pstatic.net/stock-research/company/2/20250917_company_453365000.pdf","PDF")</f>
        <v>PDF</v>
      </c>
      <c r="K8934" s="12" t="s">
        <v>16090</v>
      </c>
      <c r="L8934" s="20">
        <v>0.25156445556946178</v>
      </c>
    </row>
    <row r="8935" spans="1:12" x14ac:dyDescent="0.45">
      <c r="A8935" s="12" t="s">
        <v>16078</v>
      </c>
      <c r="B8935" s="12" t="s">
        <v>533</v>
      </c>
      <c r="C8935" s="13" t="s">
        <v>534</v>
      </c>
      <c r="D8935" s="13" t="s">
        <v>83</v>
      </c>
      <c r="E8935" s="12" t="s">
        <v>35</v>
      </c>
      <c r="F8935" s="14">
        <v>74000</v>
      </c>
      <c r="G8935" s="14">
        <v>51300</v>
      </c>
      <c r="H8935" s="13" t="s">
        <v>16091</v>
      </c>
      <c r="I8935" s="40" t="s">
        <v>18</v>
      </c>
      <c r="J8935" s="40" t="str">
        <f>HYPERLINK("https://stock.pstatic.net/stock-research/company/2/20250917_company_98004000.pdf","PDF")</f>
        <v>PDF</v>
      </c>
      <c r="K8935" s="12" t="s">
        <v>16092</v>
      </c>
      <c r="L8935" s="20">
        <v>0.442495126705653</v>
      </c>
    </row>
    <row r="8936" spans="1:12" x14ac:dyDescent="0.45">
      <c r="A8936" s="12" t="s">
        <v>16078</v>
      </c>
      <c r="B8936" s="12" t="s">
        <v>3749</v>
      </c>
      <c r="C8936" s="13" t="s">
        <v>3750</v>
      </c>
      <c r="D8936" s="13" t="s">
        <v>83</v>
      </c>
      <c r="E8936" s="12" t="s">
        <v>35</v>
      </c>
      <c r="F8936" s="14">
        <v>230000</v>
      </c>
      <c r="G8936" s="14">
        <v>184800</v>
      </c>
      <c r="H8936" s="13" t="s">
        <v>16093</v>
      </c>
      <c r="I8936" s="40" t="s">
        <v>18</v>
      </c>
      <c r="J8936" s="40" t="str">
        <f>HYPERLINK("https://stock.pstatic.net/stock-research/company/2/20250917_company_891510000.pdf","PDF")</f>
        <v>PDF</v>
      </c>
      <c r="K8936" s="12" t="s">
        <v>16094</v>
      </c>
      <c r="L8936" s="20">
        <v>0.24458874458874461</v>
      </c>
    </row>
    <row r="8937" spans="1:12" x14ac:dyDescent="0.45">
      <c r="A8937" s="12" t="s">
        <v>16078</v>
      </c>
      <c r="B8937" s="12" t="s">
        <v>7151</v>
      </c>
      <c r="C8937" s="13" t="s">
        <v>7152</v>
      </c>
      <c r="D8937" s="13" t="s">
        <v>276</v>
      </c>
      <c r="E8937" s="12" t="s">
        <v>16</v>
      </c>
      <c r="F8937" s="14">
        <v>33000</v>
      </c>
      <c r="G8937" s="14">
        <v>26600</v>
      </c>
      <c r="H8937" s="13" t="s">
        <v>16095</v>
      </c>
      <c r="I8937" s="40" t="s">
        <v>18</v>
      </c>
      <c r="J8937" s="40" t="str">
        <f>HYPERLINK("https://stock.pstatic.net/stock-research/company/66/20250917_company_384350000.pdf","PDF")</f>
        <v>PDF</v>
      </c>
      <c r="K8937" s="12" t="s">
        <v>16096</v>
      </c>
      <c r="L8937" s="20">
        <v>0.24060150375939851</v>
      </c>
    </row>
    <row r="8938" spans="1:12" x14ac:dyDescent="0.45">
      <c r="A8938" s="12" t="s">
        <v>16078</v>
      </c>
      <c r="B8938" s="12" t="s">
        <v>291</v>
      </c>
      <c r="C8938" s="13" t="s">
        <v>292</v>
      </c>
      <c r="D8938" s="13" t="s">
        <v>276</v>
      </c>
      <c r="E8938" s="12" t="s">
        <v>50</v>
      </c>
      <c r="F8938" s="13"/>
      <c r="G8938" s="14">
        <v>16220</v>
      </c>
      <c r="H8938" s="13" t="s">
        <v>15975</v>
      </c>
      <c r="I8938" s="40" t="s">
        <v>18</v>
      </c>
      <c r="J8938" s="40" t="str">
        <f>HYPERLINK("https://stock.pstatic.net/stock-research/company/66/20250917_company_466054000.pdf","PDF")</f>
        <v>PDF</v>
      </c>
      <c r="K8938" s="12" t="s">
        <v>16097</v>
      </c>
    </row>
    <row r="8939" spans="1:12" x14ac:dyDescent="0.45">
      <c r="A8939" s="12" t="s">
        <v>16078</v>
      </c>
      <c r="B8939" s="12" t="s">
        <v>5912</v>
      </c>
      <c r="C8939" s="13" t="s">
        <v>5913</v>
      </c>
      <c r="D8939" s="13" t="s">
        <v>276</v>
      </c>
      <c r="E8939" s="12" t="s">
        <v>16</v>
      </c>
      <c r="F8939" s="14">
        <v>44000</v>
      </c>
      <c r="G8939" s="14">
        <v>31500</v>
      </c>
      <c r="H8939" s="13" t="s">
        <v>16098</v>
      </c>
      <c r="I8939" s="40" t="s">
        <v>18</v>
      </c>
      <c r="J8939" s="40" t="str">
        <f>HYPERLINK("https://stock.pstatic.net/stock-research/company/66/20250917_company_424012000.pdf","PDF")</f>
        <v>PDF</v>
      </c>
      <c r="K8939" s="12" t="s">
        <v>16099</v>
      </c>
      <c r="L8939" s="20">
        <v>0.3968253968253968</v>
      </c>
    </row>
    <row r="8940" spans="1:12" x14ac:dyDescent="0.45">
      <c r="A8940" s="12" t="s">
        <v>16078</v>
      </c>
      <c r="B8940" s="12" t="s">
        <v>13</v>
      </c>
      <c r="C8940" s="13" t="s">
        <v>14</v>
      </c>
      <c r="D8940" s="13" t="s">
        <v>65</v>
      </c>
      <c r="E8940" s="12" t="s">
        <v>35</v>
      </c>
      <c r="F8940" s="14">
        <v>95000</v>
      </c>
      <c r="G8940" s="14">
        <v>79400</v>
      </c>
      <c r="H8940" s="13" t="s">
        <v>16100</v>
      </c>
      <c r="I8940" s="40" t="s">
        <v>18</v>
      </c>
      <c r="J8940" s="40" t="str">
        <f>HYPERLINK("https://stock.pstatic.net/stock-research/company/57/20250917_company_423593000.pdf","PDF")</f>
        <v>PDF</v>
      </c>
      <c r="K8940" s="12" t="s">
        <v>16101</v>
      </c>
      <c r="L8940" s="20">
        <v>0.19647355163727959</v>
      </c>
    </row>
    <row r="8941" spans="1:12" x14ac:dyDescent="0.45">
      <c r="A8941" s="12" t="s">
        <v>16078</v>
      </c>
      <c r="B8941" s="12" t="s">
        <v>541</v>
      </c>
      <c r="C8941" s="13" t="s">
        <v>542</v>
      </c>
      <c r="D8941" s="13" t="s">
        <v>65</v>
      </c>
      <c r="E8941" s="12" t="s">
        <v>35</v>
      </c>
      <c r="F8941" s="14">
        <v>70000</v>
      </c>
      <c r="G8941" s="14">
        <v>54500</v>
      </c>
      <c r="H8941" s="13" t="s">
        <v>16102</v>
      </c>
      <c r="I8941" s="40" t="s">
        <v>18</v>
      </c>
      <c r="J8941" s="40" t="str">
        <f>HYPERLINK("https://stock.pstatic.net/stock-research/company/57/20250917_company_971464000.pdf","PDF")</f>
        <v>PDF</v>
      </c>
      <c r="K8941" s="12" t="s">
        <v>16103</v>
      </c>
      <c r="L8941" s="20">
        <v>0.28440366972477071</v>
      </c>
    </row>
    <row r="8942" spans="1:12" x14ac:dyDescent="0.45">
      <c r="A8942" s="12" t="s">
        <v>16078</v>
      </c>
      <c r="B8942" s="12" t="s">
        <v>334</v>
      </c>
      <c r="C8942" s="13" t="s">
        <v>335</v>
      </c>
      <c r="D8942" s="13" t="s">
        <v>179</v>
      </c>
      <c r="E8942" s="12" t="s">
        <v>16</v>
      </c>
      <c r="F8942" s="14">
        <v>480000</v>
      </c>
      <c r="G8942" s="14">
        <v>348000</v>
      </c>
      <c r="H8942" s="13" t="s">
        <v>16104</v>
      </c>
      <c r="I8942" s="40" t="s">
        <v>18</v>
      </c>
      <c r="J8942" s="40" t="str">
        <f>HYPERLINK("https://stock.pstatic.net/stock-research/company/64/20250917_company_145432000.pdf","PDF")</f>
        <v>PDF</v>
      </c>
      <c r="K8942" s="12" t="s">
        <v>16105</v>
      </c>
      <c r="L8942" s="20">
        <v>0.37931034482758619</v>
      </c>
    </row>
    <row r="8943" spans="1:12" x14ac:dyDescent="0.45">
      <c r="A8943" s="12" t="s">
        <v>16078</v>
      </c>
      <c r="B8943" s="12" t="s">
        <v>13</v>
      </c>
      <c r="C8943" s="13" t="s">
        <v>14</v>
      </c>
      <c r="D8943" s="13" t="s">
        <v>179</v>
      </c>
      <c r="E8943" s="12" t="s">
        <v>16</v>
      </c>
      <c r="F8943" s="14">
        <v>110000</v>
      </c>
      <c r="G8943" s="14">
        <v>79400</v>
      </c>
      <c r="H8943" s="13" t="s">
        <v>16106</v>
      </c>
      <c r="I8943" s="40" t="s">
        <v>18</v>
      </c>
      <c r="J8943" s="40" t="str">
        <f>HYPERLINK("https://stock.pstatic.net/stock-research/company/64/20250917_company_215588000.pdf","PDF")</f>
        <v>PDF</v>
      </c>
      <c r="K8943" s="12" t="s">
        <v>16107</v>
      </c>
      <c r="L8943" s="20">
        <v>0.38539042821158692</v>
      </c>
    </row>
    <row r="8944" spans="1:12" x14ac:dyDescent="0.45">
      <c r="A8944" s="12" t="s">
        <v>16078</v>
      </c>
      <c r="B8944" s="12" t="s">
        <v>495</v>
      </c>
      <c r="C8944" s="13" t="s">
        <v>496</v>
      </c>
      <c r="D8944" s="13" t="s">
        <v>92</v>
      </c>
      <c r="E8944" s="12" t="s">
        <v>35</v>
      </c>
      <c r="F8944" s="14">
        <v>290000</v>
      </c>
      <c r="G8944" s="14">
        <v>213000</v>
      </c>
      <c r="H8944" s="13" t="s">
        <v>16108</v>
      </c>
      <c r="I8944" s="40" t="s">
        <v>18</v>
      </c>
      <c r="J8944" s="40" t="str">
        <f>HYPERLINK("https://stock.pstatic.net/stock-research/company/63/20250917_company_86151000.pdf","PDF")</f>
        <v>PDF</v>
      </c>
      <c r="K8944" s="12" t="s">
        <v>16109</v>
      </c>
      <c r="L8944" s="20">
        <v>0.36150234741784038</v>
      </c>
    </row>
    <row r="8945" spans="1:12" x14ac:dyDescent="0.45">
      <c r="A8945" s="12" t="s">
        <v>16078</v>
      </c>
      <c r="B8945" s="12" t="s">
        <v>5495</v>
      </c>
      <c r="C8945" s="13" t="s">
        <v>5496</v>
      </c>
      <c r="D8945" s="13" t="s">
        <v>92</v>
      </c>
      <c r="E8945" s="12" t="s">
        <v>50</v>
      </c>
      <c r="F8945" s="13"/>
      <c r="G8945" s="14">
        <v>6280</v>
      </c>
      <c r="H8945" s="13" t="s">
        <v>16110</v>
      </c>
      <c r="I8945" s="40" t="s">
        <v>18</v>
      </c>
      <c r="J8945" s="40" t="str">
        <f>HYPERLINK("https://stock.pstatic.net/stock-research/company/63/20250917_company_7436000.pdf","PDF")</f>
        <v>PDF</v>
      </c>
      <c r="K8945" s="12" t="s">
        <v>16111</v>
      </c>
    </row>
    <row r="8946" spans="1:12" x14ac:dyDescent="0.45">
      <c r="A8946" s="12" t="s">
        <v>16078</v>
      </c>
      <c r="B8946" s="12" t="s">
        <v>264</v>
      </c>
      <c r="C8946" s="13" t="s">
        <v>265</v>
      </c>
      <c r="D8946" s="13" t="s">
        <v>179</v>
      </c>
      <c r="E8946" s="12" t="s">
        <v>16</v>
      </c>
      <c r="F8946" s="14">
        <v>220000</v>
      </c>
      <c r="G8946" s="14">
        <v>187800</v>
      </c>
      <c r="H8946" s="13" t="s">
        <v>16112</v>
      </c>
      <c r="I8946" s="40" t="s">
        <v>18</v>
      </c>
      <c r="J8946" s="40" t="str">
        <f>HYPERLINK("https://stock.pstatic.net/stock-research/company/64/20250917_company_197084000.pdf","PDF")</f>
        <v>PDF</v>
      </c>
      <c r="K8946" s="12" t="s">
        <v>16113</v>
      </c>
      <c r="L8946" s="20">
        <v>0.1714589989350373</v>
      </c>
    </row>
    <row r="8947" spans="1:12" x14ac:dyDescent="0.45">
      <c r="A8947" s="12" t="s">
        <v>16078</v>
      </c>
      <c r="B8947" s="12" t="s">
        <v>1120</v>
      </c>
      <c r="C8947" s="13" t="s">
        <v>1121</v>
      </c>
      <c r="D8947" s="13" t="s">
        <v>23</v>
      </c>
      <c r="E8947" s="12" t="s">
        <v>16</v>
      </c>
      <c r="F8947" s="14">
        <v>140000</v>
      </c>
      <c r="G8947" s="14">
        <v>108800</v>
      </c>
      <c r="H8947" s="13" t="s">
        <v>16114</v>
      </c>
      <c r="I8947" s="40" t="s">
        <v>18</v>
      </c>
      <c r="J8947" s="40" t="str">
        <f>HYPERLINK("https://stock.pstatic.net/stock-research/company/21/20250917_company_496507000.pdf","PDF")</f>
        <v>PDF</v>
      </c>
      <c r="K8947" s="12" t="s">
        <v>16115</v>
      </c>
      <c r="L8947" s="20">
        <v>0.28676470588235292</v>
      </c>
    </row>
    <row r="8948" spans="1:12" x14ac:dyDescent="0.45">
      <c r="A8948" s="12" t="s">
        <v>16078</v>
      </c>
      <c r="B8948" s="12" t="s">
        <v>10923</v>
      </c>
      <c r="C8948" s="13" t="s">
        <v>10924</v>
      </c>
      <c r="D8948" s="13" t="s">
        <v>44</v>
      </c>
      <c r="E8948" s="12" t="s">
        <v>50</v>
      </c>
      <c r="F8948" s="13"/>
      <c r="G8948" s="14">
        <v>14650</v>
      </c>
      <c r="H8948" s="13" t="s">
        <v>16116</v>
      </c>
      <c r="I8948" s="40" t="s">
        <v>18</v>
      </c>
      <c r="J8948" s="40" t="str">
        <f>HYPERLINK("https://stock.pstatic.net/stock-research/company/39/20250917_company_283994000.pdf","PDF")</f>
        <v>PDF</v>
      </c>
      <c r="K8948" s="12" t="s">
        <v>16117</v>
      </c>
    </row>
    <row r="8949" spans="1:12" x14ac:dyDescent="0.45">
      <c r="A8949" s="12" t="s">
        <v>16078</v>
      </c>
      <c r="B8949" s="12" t="s">
        <v>629</v>
      </c>
      <c r="C8949" s="13" t="s">
        <v>630</v>
      </c>
      <c r="D8949" s="13" t="s">
        <v>124</v>
      </c>
      <c r="E8949" s="12" t="s">
        <v>50</v>
      </c>
      <c r="F8949" s="13"/>
      <c r="G8949" s="13"/>
      <c r="H8949" s="13" t="s">
        <v>16118</v>
      </c>
      <c r="I8949" s="40" t="s">
        <v>18</v>
      </c>
      <c r="J8949" s="40" t="str">
        <f>HYPERLINK("https://stock.pstatic.net/stock-research/company/74/20250917_company_378468000.pdf","PDF")</f>
        <v>PDF</v>
      </c>
      <c r="K8949" s="12" t="s">
        <v>16119</v>
      </c>
    </row>
    <row r="8950" spans="1:12" x14ac:dyDescent="0.45">
      <c r="A8950" s="12" t="s">
        <v>16078</v>
      </c>
      <c r="B8950" s="12" t="s">
        <v>2365</v>
      </c>
      <c r="C8950" s="13" t="s">
        <v>2366</v>
      </c>
      <c r="D8950" s="13" t="s">
        <v>15</v>
      </c>
      <c r="E8950" s="12" t="s">
        <v>16</v>
      </c>
      <c r="F8950" s="14">
        <v>110000</v>
      </c>
      <c r="G8950" s="14">
        <v>70700</v>
      </c>
      <c r="H8950" s="13" t="s">
        <v>16120</v>
      </c>
      <c r="I8950" s="40" t="s">
        <v>18</v>
      </c>
      <c r="J8950" s="40" t="str">
        <f>HYPERLINK("https://stock.pstatic.net/stock-research/company/29/20250917_company_929502000.pdf","PDF")</f>
        <v>PDF</v>
      </c>
      <c r="K8950" s="12" t="s">
        <v>16121</v>
      </c>
      <c r="L8950" s="20">
        <v>0.55586987270155586</v>
      </c>
    </row>
    <row r="8951" spans="1:12" x14ac:dyDescent="0.45">
      <c r="A8951" s="12" t="s">
        <v>16050</v>
      </c>
      <c r="B8951" s="12" t="s">
        <v>177</v>
      </c>
      <c r="C8951" s="13" t="s">
        <v>178</v>
      </c>
      <c r="D8951" s="13" t="s">
        <v>83</v>
      </c>
      <c r="E8951" s="12" t="s">
        <v>35</v>
      </c>
      <c r="F8951" s="14">
        <v>18000</v>
      </c>
      <c r="G8951" s="14">
        <v>13230</v>
      </c>
      <c r="H8951" s="13" t="s">
        <v>16122</v>
      </c>
      <c r="I8951" s="40" t="s">
        <v>18</v>
      </c>
      <c r="J8951" s="40" t="str">
        <f>HYPERLINK("https://stock.pstatic.net/stock-research/company/2/20250916_company_15641000.pdf","PDF")</f>
        <v>PDF</v>
      </c>
      <c r="K8951" s="12" t="s">
        <v>16123</v>
      </c>
      <c r="L8951" s="20">
        <v>0.36054421768707479</v>
      </c>
    </row>
    <row r="8952" spans="1:12" x14ac:dyDescent="0.45">
      <c r="A8952" s="12" t="s">
        <v>16050</v>
      </c>
      <c r="B8952" s="12" t="s">
        <v>27</v>
      </c>
      <c r="C8952" s="13" t="s">
        <v>28</v>
      </c>
      <c r="D8952" s="13" t="s">
        <v>57</v>
      </c>
      <c r="E8952" s="12" t="s">
        <v>35</v>
      </c>
      <c r="F8952" s="14">
        <v>110000</v>
      </c>
      <c r="G8952" s="14">
        <v>70000</v>
      </c>
      <c r="H8952" s="13" t="s">
        <v>16124</v>
      </c>
      <c r="I8952" s="40" t="s">
        <v>18</v>
      </c>
      <c r="J8952" s="40" t="str">
        <f>HYPERLINK("https://stock.pstatic.net/stock-research/company/16/20250916_company_909402000.pdf","PDF")</f>
        <v>PDF</v>
      </c>
      <c r="K8952" s="12" t="s">
        <v>16125</v>
      </c>
      <c r="L8952" s="20">
        <v>0.5714285714285714</v>
      </c>
    </row>
    <row r="8953" spans="1:12" x14ac:dyDescent="0.45">
      <c r="A8953" s="12" t="s">
        <v>16050</v>
      </c>
      <c r="B8953" s="12" t="s">
        <v>669</v>
      </c>
      <c r="C8953" s="13" t="s">
        <v>670</v>
      </c>
      <c r="D8953" s="13" t="s">
        <v>65</v>
      </c>
      <c r="E8953" s="12" t="s">
        <v>35</v>
      </c>
      <c r="F8953" s="14">
        <v>28000</v>
      </c>
      <c r="G8953" s="14">
        <v>12600</v>
      </c>
      <c r="H8953" s="13" t="s">
        <v>16126</v>
      </c>
      <c r="I8953" s="40" t="s">
        <v>18</v>
      </c>
      <c r="J8953" s="40" t="str">
        <f>HYPERLINK("https://stock.pstatic.net/stock-research/company/57/20250916_company_3854000.pdf","PDF")</f>
        <v>PDF</v>
      </c>
      <c r="K8953" s="12" t="s">
        <v>16127</v>
      </c>
      <c r="L8953" s="20">
        <v>1.2222222222222221</v>
      </c>
    </row>
    <row r="8954" spans="1:12" x14ac:dyDescent="0.45">
      <c r="A8954" s="12" t="s">
        <v>16050</v>
      </c>
      <c r="B8954" s="12" t="s">
        <v>128</v>
      </c>
      <c r="C8954" s="13" t="s">
        <v>129</v>
      </c>
      <c r="D8954" s="13" t="s">
        <v>65</v>
      </c>
      <c r="E8954" s="12" t="s">
        <v>35</v>
      </c>
      <c r="F8954" s="14">
        <v>40000</v>
      </c>
      <c r="G8954" s="14">
        <v>30250</v>
      </c>
      <c r="H8954" s="13" t="s">
        <v>16128</v>
      </c>
      <c r="I8954" s="40" t="s">
        <v>18</v>
      </c>
      <c r="J8954" s="40" t="str">
        <f>HYPERLINK("https://stock.pstatic.net/stock-research/company/57/20250916_company_593264000.pdf","PDF")</f>
        <v>PDF</v>
      </c>
      <c r="K8954" s="12" t="s">
        <v>16129</v>
      </c>
      <c r="L8954" s="20">
        <v>0.32231404958677679</v>
      </c>
    </row>
    <row r="8955" spans="1:12" x14ac:dyDescent="0.45">
      <c r="A8955" s="12" t="s">
        <v>16050</v>
      </c>
      <c r="B8955" s="12" t="s">
        <v>322</v>
      </c>
      <c r="C8955" s="13" t="s">
        <v>323</v>
      </c>
      <c r="D8955" s="13" t="s">
        <v>158</v>
      </c>
      <c r="E8955" s="12" t="s">
        <v>50</v>
      </c>
      <c r="F8955" s="13"/>
      <c r="G8955" s="14">
        <v>64700</v>
      </c>
      <c r="H8955" s="13" t="s">
        <v>16130</v>
      </c>
      <c r="I8955" s="40" t="s">
        <v>18</v>
      </c>
      <c r="J8955" s="40" t="str">
        <f>HYPERLINK("https://stock.pstatic.net/stock-research/company/18/20250916_company_862650000.pdf","PDF")</f>
        <v>PDF</v>
      </c>
      <c r="K8955" s="12" t="s">
        <v>16131</v>
      </c>
    </row>
    <row r="8956" spans="1:12" x14ac:dyDescent="0.45">
      <c r="A8956" s="12" t="s">
        <v>16050</v>
      </c>
      <c r="B8956" s="12" t="s">
        <v>2853</v>
      </c>
      <c r="C8956" s="13" t="s">
        <v>2854</v>
      </c>
      <c r="D8956" s="13" t="s">
        <v>158</v>
      </c>
      <c r="E8956" s="12" t="s">
        <v>35</v>
      </c>
      <c r="F8956" s="14">
        <v>25000</v>
      </c>
      <c r="G8956" s="14">
        <v>17590</v>
      </c>
      <c r="H8956" s="13" t="s">
        <v>16132</v>
      </c>
      <c r="I8956" s="40" t="s">
        <v>18</v>
      </c>
      <c r="J8956" s="40" t="str">
        <f>HYPERLINK("https://stock.pstatic.net/stock-research/company/18/20250916_company_304726000.pdf","PDF")</f>
        <v>PDF</v>
      </c>
      <c r="K8956" s="12" t="s">
        <v>16133</v>
      </c>
      <c r="L8956" s="20">
        <v>0.42126208072768617</v>
      </c>
    </row>
    <row r="8957" spans="1:12" x14ac:dyDescent="0.45">
      <c r="A8957" s="12" t="s">
        <v>16050</v>
      </c>
      <c r="B8957" s="12" t="s">
        <v>3813</v>
      </c>
      <c r="C8957" s="13" t="s">
        <v>3814</v>
      </c>
      <c r="D8957" s="13" t="s">
        <v>34</v>
      </c>
      <c r="E8957" s="12" t="s">
        <v>35</v>
      </c>
      <c r="F8957" s="14">
        <v>15000</v>
      </c>
      <c r="G8957" s="14">
        <v>12050</v>
      </c>
      <c r="H8957" s="13" t="s">
        <v>16134</v>
      </c>
      <c r="I8957" s="40" t="s">
        <v>18</v>
      </c>
      <c r="J8957" s="40" t="str">
        <f>HYPERLINK("https://stock.pstatic.net/stock-research/company/61/20250916_company_125192000.pdf","PDF")</f>
        <v>PDF</v>
      </c>
      <c r="K8957" s="12" t="s">
        <v>16135</v>
      </c>
      <c r="L8957" s="20">
        <v>0.24481327800829869</v>
      </c>
    </row>
    <row r="8958" spans="1:12" x14ac:dyDescent="0.45">
      <c r="A8958" s="12" t="s">
        <v>16050</v>
      </c>
      <c r="B8958" s="12" t="s">
        <v>27</v>
      </c>
      <c r="C8958" s="13" t="s">
        <v>28</v>
      </c>
      <c r="D8958" s="13" t="s">
        <v>23</v>
      </c>
      <c r="E8958" s="12" t="s">
        <v>16</v>
      </c>
      <c r="F8958" s="14">
        <v>95000</v>
      </c>
      <c r="G8958" s="14">
        <v>70000</v>
      </c>
      <c r="H8958" s="13" t="s">
        <v>16136</v>
      </c>
      <c r="I8958" s="40" t="s">
        <v>18</v>
      </c>
      <c r="J8958" s="40" t="str">
        <f>HYPERLINK("https://stock.pstatic.net/stock-research/company/21/20250916_company_491615000.pdf","PDF")</f>
        <v>PDF</v>
      </c>
      <c r="K8958" s="12" t="s">
        <v>16137</v>
      </c>
      <c r="L8958" s="20">
        <v>0.35714285714285721</v>
      </c>
    </row>
    <row r="8959" spans="1:12" x14ac:dyDescent="0.45">
      <c r="A8959" s="12" t="s">
        <v>16050</v>
      </c>
      <c r="B8959" s="12" t="s">
        <v>2956</v>
      </c>
      <c r="C8959" s="13" t="s">
        <v>2957</v>
      </c>
      <c r="D8959" s="13" t="s">
        <v>44</v>
      </c>
      <c r="E8959" s="12" t="s">
        <v>35</v>
      </c>
      <c r="F8959" s="14">
        <v>27000</v>
      </c>
      <c r="G8959" s="14">
        <v>19460</v>
      </c>
      <c r="H8959" s="13" t="s">
        <v>16138</v>
      </c>
      <c r="I8959" s="40" t="s">
        <v>18</v>
      </c>
      <c r="J8959" s="40" t="str">
        <f>HYPERLINK("https://stock.pstatic.net/stock-research/company/39/20250916_company_265751000.pdf","PDF")</f>
        <v>PDF</v>
      </c>
      <c r="K8959" s="12" t="s">
        <v>16139</v>
      </c>
      <c r="L8959" s="20">
        <v>0.38746145940390547</v>
      </c>
    </row>
    <row r="8960" spans="1:12" x14ac:dyDescent="0.45">
      <c r="A8960" s="12" t="s">
        <v>16050</v>
      </c>
      <c r="B8960" s="12" t="s">
        <v>625</v>
      </c>
      <c r="C8960" s="13" t="s">
        <v>626</v>
      </c>
      <c r="D8960" s="13" t="s">
        <v>124</v>
      </c>
      <c r="E8960" s="12" t="s">
        <v>50</v>
      </c>
      <c r="F8960" s="13"/>
      <c r="G8960" s="13"/>
      <c r="H8960" s="13" t="s">
        <v>16140</v>
      </c>
      <c r="I8960" s="40" t="s">
        <v>18</v>
      </c>
      <c r="J8960" s="40" t="str">
        <f>HYPERLINK("https://stock.pstatic.net/stock-research/company/74/20250916_company_961642000.pdf","PDF")</f>
        <v>PDF</v>
      </c>
      <c r="K8960" s="12" t="s">
        <v>16141</v>
      </c>
    </row>
    <row r="8961" spans="1:12" x14ac:dyDescent="0.45">
      <c r="A8961" s="12" t="s">
        <v>16050</v>
      </c>
      <c r="B8961" s="12" t="s">
        <v>6614</v>
      </c>
      <c r="C8961" s="13" t="s">
        <v>6615</v>
      </c>
      <c r="D8961" s="13" t="s">
        <v>124</v>
      </c>
      <c r="E8961" s="12" t="s">
        <v>50</v>
      </c>
      <c r="F8961" s="13"/>
      <c r="G8961" s="13"/>
      <c r="H8961" s="13" t="s">
        <v>16142</v>
      </c>
      <c r="I8961" s="40" t="s">
        <v>18</v>
      </c>
      <c r="J8961" s="40" t="str">
        <f>HYPERLINK("https://stock.pstatic.net/stock-research/company/74/20250916_company_964383000.pdf","PDF")</f>
        <v>PDF</v>
      </c>
      <c r="K8961" s="12" t="s">
        <v>16143</v>
      </c>
    </row>
    <row r="8962" spans="1:12" x14ac:dyDescent="0.45">
      <c r="A8962" s="12" t="s">
        <v>16144</v>
      </c>
      <c r="B8962" s="12" t="s">
        <v>16145</v>
      </c>
      <c r="C8962" s="13" t="s">
        <v>16146</v>
      </c>
      <c r="D8962" s="13" t="s">
        <v>57</v>
      </c>
      <c r="E8962" s="12" t="s">
        <v>50</v>
      </c>
      <c r="F8962" s="13"/>
      <c r="G8962" s="14">
        <v>88000</v>
      </c>
      <c r="H8962" s="13" t="s">
        <v>16147</v>
      </c>
      <c r="I8962" s="40" t="s">
        <v>18</v>
      </c>
      <c r="J8962" s="40" t="str">
        <f>HYPERLINK("https://stock.pstatic.net/stock-research/company/16/20250915_company_46556000.pdf","PDF")</f>
        <v>PDF</v>
      </c>
      <c r="K8962" s="12" t="s">
        <v>16148</v>
      </c>
    </row>
    <row r="8963" spans="1:12" x14ac:dyDescent="0.45">
      <c r="A8963" s="12" t="s">
        <v>16144</v>
      </c>
      <c r="B8963" s="12" t="s">
        <v>1789</v>
      </c>
      <c r="C8963" s="13" t="s">
        <v>1790</v>
      </c>
      <c r="D8963" s="13" t="s">
        <v>57</v>
      </c>
      <c r="E8963" s="12" t="s">
        <v>35</v>
      </c>
      <c r="F8963" s="14">
        <v>45000</v>
      </c>
      <c r="G8963" s="14">
        <v>37650</v>
      </c>
      <c r="H8963" s="13" t="s">
        <v>16149</v>
      </c>
      <c r="I8963" s="40" t="s">
        <v>18</v>
      </c>
      <c r="J8963" s="40" t="str">
        <f>HYPERLINK("https://stock.pstatic.net/stock-research/company/16/20250915_company_709165000.pdf","PDF")</f>
        <v>PDF</v>
      </c>
      <c r="K8963" s="12" t="s">
        <v>16150</v>
      </c>
      <c r="L8963" s="20">
        <v>0.19521912350597609</v>
      </c>
    </row>
    <row r="8964" spans="1:12" x14ac:dyDescent="0.45">
      <c r="A8964" s="12" t="s">
        <v>16144</v>
      </c>
      <c r="B8964" s="12" t="s">
        <v>1463</v>
      </c>
      <c r="C8964" s="13" t="s">
        <v>1464</v>
      </c>
      <c r="D8964" s="13" t="s">
        <v>65</v>
      </c>
      <c r="E8964" s="12" t="s">
        <v>50</v>
      </c>
      <c r="F8964" s="13"/>
      <c r="G8964" s="14">
        <v>44550</v>
      </c>
      <c r="H8964" s="13" t="s">
        <v>16151</v>
      </c>
      <c r="I8964" s="40" t="s">
        <v>18</v>
      </c>
      <c r="J8964" s="40" t="str">
        <f>HYPERLINK("https://stock.pstatic.net/stock-research/company/57/20250915_company_511760000.pdf","PDF")</f>
        <v>PDF</v>
      </c>
      <c r="K8964" s="12" t="s">
        <v>16152</v>
      </c>
    </row>
    <row r="8965" spans="1:12" x14ac:dyDescent="0.45">
      <c r="A8965" s="12" t="s">
        <v>16144</v>
      </c>
      <c r="B8965" s="12" t="s">
        <v>102</v>
      </c>
      <c r="C8965" s="13" t="s">
        <v>103</v>
      </c>
      <c r="D8965" s="13" t="s">
        <v>65</v>
      </c>
      <c r="E8965" s="12" t="s">
        <v>50</v>
      </c>
      <c r="F8965" s="13"/>
      <c r="G8965" s="14">
        <v>17810</v>
      </c>
      <c r="H8965" s="13" t="s">
        <v>16153</v>
      </c>
      <c r="I8965" s="40" t="s">
        <v>18</v>
      </c>
      <c r="J8965" s="40" t="str">
        <f>HYPERLINK("https://stock.pstatic.net/stock-research/company/57/20250915_company_608131000.pdf","PDF")</f>
        <v>PDF</v>
      </c>
      <c r="K8965" s="12" t="s">
        <v>16154</v>
      </c>
    </row>
    <row r="8966" spans="1:12" x14ac:dyDescent="0.45">
      <c r="A8966" s="12" t="s">
        <v>16144</v>
      </c>
      <c r="B8966" s="12" t="s">
        <v>38</v>
      </c>
      <c r="C8966" s="13" t="s">
        <v>39</v>
      </c>
      <c r="D8966" s="13" t="s">
        <v>83</v>
      </c>
      <c r="E8966" s="12" t="s">
        <v>35</v>
      </c>
      <c r="F8966" s="14">
        <v>310000</v>
      </c>
      <c r="G8966" s="14">
        <v>256000</v>
      </c>
      <c r="H8966" s="13" t="s">
        <v>16155</v>
      </c>
      <c r="I8966" s="40" t="s">
        <v>18</v>
      </c>
      <c r="J8966" s="40" t="str">
        <f>HYPERLINK("https://stock.pstatic.net/stock-research/company/2/20250915_company_443599000.pdf","PDF")</f>
        <v>PDF</v>
      </c>
      <c r="K8966" s="12" t="s">
        <v>16156</v>
      </c>
      <c r="L8966" s="20">
        <v>0.2109375</v>
      </c>
    </row>
    <row r="8967" spans="1:12" x14ac:dyDescent="0.45">
      <c r="A8967" s="12" t="s">
        <v>16144</v>
      </c>
      <c r="B8967" s="12" t="s">
        <v>1109</v>
      </c>
      <c r="C8967" s="13" t="s">
        <v>1110</v>
      </c>
      <c r="D8967" s="13" t="s">
        <v>83</v>
      </c>
      <c r="E8967" s="12" t="s">
        <v>50</v>
      </c>
      <c r="F8967" s="13"/>
      <c r="G8967" s="14">
        <v>7290</v>
      </c>
      <c r="H8967" s="13" t="s">
        <v>15914</v>
      </c>
      <c r="I8967" s="40" t="s">
        <v>18</v>
      </c>
      <c r="J8967" s="40" t="str">
        <f>HYPERLINK("https://stock.pstatic.net/stock-research/company/2/20250915_company_885077000.pdf","PDF")</f>
        <v>PDF</v>
      </c>
      <c r="K8967" s="12" t="s">
        <v>16157</v>
      </c>
    </row>
    <row r="8968" spans="1:12" x14ac:dyDescent="0.45">
      <c r="A8968" s="12" t="s">
        <v>16144</v>
      </c>
      <c r="B8968" s="12" t="s">
        <v>760</v>
      </c>
      <c r="C8968" s="13" t="s">
        <v>761</v>
      </c>
      <c r="D8968" s="13" t="s">
        <v>92</v>
      </c>
      <c r="E8968" s="12" t="s">
        <v>35</v>
      </c>
      <c r="F8968" s="14">
        <v>260000</v>
      </c>
      <c r="G8968" s="14">
        <v>162800</v>
      </c>
      <c r="H8968" s="13" t="s">
        <v>16158</v>
      </c>
      <c r="I8968" s="40" t="s">
        <v>18</v>
      </c>
      <c r="J8968" s="40" t="str">
        <f>HYPERLINK("https://stock.pstatic.net/stock-research/company/63/20250915_company_659108000.pdf","PDF")</f>
        <v>PDF</v>
      </c>
      <c r="K8968" s="12" t="s">
        <v>16159</v>
      </c>
      <c r="L8968" s="20">
        <v>0.59705159705159705</v>
      </c>
    </row>
    <row r="8969" spans="1:12" x14ac:dyDescent="0.45">
      <c r="A8969" s="12" t="s">
        <v>16144</v>
      </c>
      <c r="B8969" s="12" t="s">
        <v>824</v>
      </c>
      <c r="C8969" s="13" t="s">
        <v>825</v>
      </c>
      <c r="D8969" s="13" t="s">
        <v>92</v>
      </c>
      <c r="E8969" s="12" t="s">
        <v>35</v>
      </c>
      <c r="F8969" s="14">
        <v>58000</v>
      </c>
      <c r="G8969" s="14">
        <v>40300</v>
      </c>
      <c r="H8969" s="13" t="s">
        <v>16160</v>
      </c>
      <c r="I8969" s="40" t="s">
        <v>18</v>
      </c>
      <c r="J8969" s="40" t="str">
        <f>HYPERLINK("https://stock.pstatic.net/stock-research/company/63/20250915_company_209415000.pdf","PDF")</f>
        <v>PDF</v>
      </c>
      <c r="K8969" s="12" t="s">
        <v>16161</v>
      </c>
      <c r="L8969" s="20">
        <v>0.43920595533498757</v>
      </c>
    </row>
    <row r="8970" spans="1:12" x14ac:dyDescent="0.45">
      <c r="A8970" s="12" t="s">
        <v>16144</v>
      </c>
      <c r="B8970" s="12" t="s">
        <v>13</v>
      </c>
      <c r="C8970" s="13" t="s">
        <v>14</v>
      </c>
      <c r="D8970" s="13" t="s">
        <v>15</v>
      </c>
      <c r="E8970" s="12" t="s">
        <v>16</v>
      </c>
      <c r="F8970" s="14">
        <v>96000</v>
      </c>
      <c r="G8970" s="14">
        <v>75400</v>
      </c>
      <c r="H8970" s="13" t="s">
        <v>16162</v>
      </c>
      <c r="I8970" s="40" t="s">
        <v>18</v>
      </c>
      <c r="J8970" s="40" t="str">
        <f>HYPERLINK("https://stock.pstatic.net/stock-research/company/29/20250915_company_60828000.pdf","PDF")</f>
        <v>PDF</v>
      </c>
      <c r="K8970" s="12" t="s">
        <v>16163</v>
      </c>
      <c r="L8970" s="20">
        <v>0.27320954907161799</v>
      </c>
    </row>
    <row r="8971" spans="1:12" x14ac:dyDescent="0.45">
      <c r="A8971" s="12" t="s">
        <v>16144</v>
      </c>
      <c r="B8971" s="12" t="s">
        <v>1621</v>
      </c>
      <c r="C8971" s="13" t="s">
        <v>1622</v>
      </c>
      <c r="D8971" s="13" t="s">
        <v>92</v>
      </c>
      <c r="E8971" s="12" t="s">
        <v>50</v>
      </c>
      <c r="F8971" s="13"/>
      <c r="G8971" s="14">
        <v>6160</v>
      </c>
      <c r="H8971" s="13" t="s">
        <v>16164</v>
      </c>
      <c r="I8971" s="40" t="s">
        <v>18</v>
      </c>
      <c r="J8971" s="40" t="str">
        <f>HYPERLINK("https://stock.pstatic.net/stock-research/company/63/20250915_company_95225000.pdf","PDF")</f>
        <v>PDF</v>
      </c>
      <c r="K8971" s="12" t="s">
        <v>16165</v>
      </c>
    </row>
    <row r="8972" spans="1:12" x14ac:dyDescent="0.45">
      <c r="A8972" s="12" t="s">
        <v>16144</v>
      </c>
      <c r="B8972" s="12" t="s">
        <v>9826</v>
      </c>
      <c r="C8972" s="13" t="s">
        <v>9827</v>
      </c>
      <c r="D8972" s="13" t="s">
        <v>53</v>
      </c>
      <c r="E8972" s="12" t="s">
        <v>16</v>
      </c>
      <c r="F8972" s="14">
        <v>27000</v>
      </c>
      <c r="G8972" s="14">
        <v>11000</v>
      </c>
      <c r="H8972" s="13" t="s">
        <v>16166</v>
      </c>
      <c r="I8972" s="40" t="s">
        <v>18</v>
      </c>
      <c r="J8972" s="40" t="str">
        <f>HYPERLINK("https://stock.pstatic.net/stock-research/company/40/20250915_company_205201000.pdf","PDF")</f>
        <v>PDF</v>
      </c>
      <c r="K8972" s="12" t="s">
        <v>16167</v>
      </c>
      <c r="L8972" s="20">
        <v>1.454545454545455</v>
      </c>
    </row>
    <row r="8973" spans="1:12" x14ac:dyDescent="0.45">
      <c r="A8973" s="12" t="s">
        <v>16144</v>
      </c>
      <c r="B8973" s="12" t="s">
        <v>356</v>
      </c>
      <c r="C8973" s="13" t="s">
        <v>357</v>
      </c>
      <c r="D8973" s="13" t="s">
        <v>34</v>
      </c>
      <c r="E8973" s="12" t="s">
        <v>50</v>
      </c>
      <c r="F8973" s="13"/>
      <c r="G8973" s="14">
        <v>39100</v>
      </c>
      <c r="H8973" s="13" t="s">
        <v>16168</v>
      </c>
      <c r="I8973" s="40" t="s">
        <v>18</v>
      </c>
      <c r="J8973" s="40" t="str">
        <f>HYPERLINK("https://stock.pstatic.net/stock-research/company/61/20250915_company_691485000.pdf","PDF")</f>
        <v>PDF</v>
      </c>
      <c r="K8973" s="12" t="s">
        <v>16169</v>
      </c>
    </row>
    <row r="8974" spans="1:12" x14ac:dyDescent="0.45">
      <c r="A8974" s="12" t="s">
        <v>16144</v>
      </c>
      <c r="B8974" s="12" t="s">
        <v>4291</v>
      </c>
      <c r="C8974" s="13" t="s">
        <v>4292</v>
      </c>
      <c r="D8974" s="13" t="s">
        <v>34</v>
      </c>
      <c r="E8974" s="12" t="s">
        <v>50</v>
      </c>
      <c r="F8974" s="13"/>
      <c r="G8974" s="14">
        <v>8750</v>
      </c>
      <c r="H8974" s="13" t="s">
        <v>16170</v>
      </c>
      <c r="I8974" s="40" t="s">
        <v>18</v>
      </c>
      <c r="J8974" s="40" t="str">
        <f>HYPERLINK("https://stock.pstatic.net/stock-research/company/61/20250915_company_211874000.pdf","PDF")</f>
        <v>PDF</v>
      </c>
      <c r="K8974" s="12" t="s">
        <v>16171</v>
      </c>
    </row>
    <row r="8975" spans="1:12" x14ac:dyDescent="0.45">
      <c r="A8975" s="12" t="s">
        <v>16144</v>
      </c>
      <c r="B8975" s="12" t="s">
        <v>1734</v>
      </c>
      <c r="C8975" s="13" t="s">
        <v>1735</v>
      </c>
      <c r="D8975" s="13" t="s">
        <v>34</v>
      </c>
      <c r="E8975" s="12" t="s">
        <v>50</v>
      </c>
      <c r="F8975" s="13"/>
      <c r="G8975" s="14">
        <v>40250</v>
      </c>
      <c r="H8975" s="13" t="s">
        <v>16172</v>
      </c>
      <c r="I8975" s="40" t="s">
        <v>18</v>
      </c>
      <c r="J8975" s="40" t="str">
        <f>HYPERLINK("https://stock.pstatic.net/stock-research/company/61/20250915_company_118260000.pdf","PDF")</f>
        <v>PDF</v>
      </c>
      <c r="K8975" s="12" t="s">
        <v>16173</v>
      </c>
    </row>
    <row r="8976" spans="1:12" x14ac:dyDescent="0.45">
      <c r="A8976" s="12" t="s">
        <v>16144</v>
      </c>
      <c r="B8976" s="12" t="s">
        <v>334</v>
      </c>
      <c r="C8976" s="13" t="s">
        <v>335</v>
      </c>
      <c r="D8976" s="13" t="s">
        <v>34</v>
      </c>
      <c r="E8976" s="12" t="s">
        <v>35</v>
      </c>
      <c r="F8976" s="14">
        <v>380000</v>
      </c>
      <c r="G8976" s="14">
        <v>328500</v>
      </c>
      <c r="H8976" s="13" t="s">
        <v>16174</v>
      </c>
      <c r="I8976" s="40" t="s">
        <v>18</v>
      </c>
      <c r="J8976" s="40" t="str">
        <f>HYPERLINK("https://stock.pstatic.net/stock-research/company/61/20250915_company_705415000.pdf","PDF")</f>
        <v>PDF</v>
      </c>
      <c r="K8976" s="12" t="s">
        <v>16175</v>
      </c>
      <c r="L8976" s="20">
        <v>0.15677321156773211</v>
      </c>
    </row>
    <row r="8977" spans="1:12" x14ac:dyDescent="0.45">
      <c r="A8977" s="12" t="s">
        <v>16144</v>
      </c>
      <c r="B8977" s="12" t="s">
        <v>334</v>
      </c>
      <c r="C8977" s="13" t="s">
        <v>335</v>
      </c>
      <c r="D8977" s="13" t="s">
        <v>44</v>
      </c>
      <c r="E8977" s="12" t="s">
        <v>50</v>
      </c>
      <c r="F8977" s="13"/>
      <c r="G8977" s="13"/>
      <c r="H8977" s="13" t="s">
        <v>16176</v>
      </c>
      <c r="I8977" s="40" t="s">
        <v>18</v>
      </c>
      <c r="J8977" s="40" t="str">
        <f>HYPERLINK("https://stock.pstatic.net/stock-research/company/39/20250915_company_937588000.pdf","PDF")</f>
        <v>PDF</v>
      </c>
      <c r="K8977" s="12" t="s">
        <v>16177</v>
      </c>
    </row>
    <row r="8978" spans="1:12" x14ac:dyDescent="0.45">
      <c r="A8978" s="12" t="s">
        <v>16144</v>
      </c>
      <c r="B8978" s="12" t="s">
        <v>128</v>
      </c>
      <c r="C8978" s="13" t="s">
        <v>129</v>
      </c>
      <c r="D8978" s="13" t="s">
        <v>23</v>
      </c>
      <c r="E8978" s="12" t="s">
        <v>16</v>
      </c>
      <c r="F8978" s="14">
        <v>36000</v>
      </c>
      <c r="G8978" s="14">
        <v>30600</v>
      </c>
      <c r="H8978" s="13" t="s">
        <v>16178</v>
      </c>
      <c r="I8978" s="40" t="s">
        <v>18</v>
      </c>
      <c r="J8978" s="40" t="str">
        <f>HYPERLINK("https://stock.pstatic.net/stock-research/company/21/20250915_company_537683000.pdf","PDF")</f>
        <v>PDF</v>
      </c>
      <c r="K8978" s="12" t="s">
        <v>16179</v>
      </c>
      <c r="L8978" s="20">
        <v>0.1764705882352941</v>
      </c>
    </row>
    <row r="8979" spans="1:12" x14ac:dyDescent="0.45">
      <c r="A8979" s="12" t="s">
        <v>16180</v>
      </c>
      <c r="B8979" s="12" t="s">
        <v>5767</v>
      </c>
      <c r="C8979" s="13" t="s">
        <v>5768</v>
      </c>
      <c r="D8979" s="13" t="s">
        <v>60</v>
      </c>
      <c r="E8979" s="12" t="s">
        <v>35</v>
      </c>
      <c r="F8979" s="14">
        <v>45000</v>
      </c>
      <c r="G8979" s="14">
        <v>35950</v>
      </c>
      <c r="H8979" s="13" t="s">
        <v>16181</v>
      </c>
      <c r="I8979" s="40" t="s">
        <v>18</v>
      </c>
      <c r="J8979" s="40" t="str">
        <f>HYPERLINK("https://stock.pstatic.net/stock-research/company/34/20250912_company_773531000.pdf","PDF")</f>
        <v>PDF</v>
      </c>
      <c r="K8979" s="12" t="s">
        <v>16182</v>
      </c>
      <c r="L8979" s="20">
        <v>0.2517385257301808</v>
      </c>
    </row>
    <row r="8980" spans="1:12" x14ac:dyDescent="0.45">
      <c r="A8980" s="12" t="s">
        <v>16180</v>
      </c>
      <c r="B8980" s="12" t="s">
        <v>908</v>
      </c>
      <c r="C8980" s="13" t="s">
        <v>909</v>
      </c>
      <c r="D8980" s="13" t="s">
        <v>65</v>
      </c>
      <c r="E8980" s="12" t="s">
        <v>35</v>
      </c>
      <c r="F8980" s="14">
        <v>190000</v>
      </c>
      <c r="G8980" s="14">
        <v>163500</v>
      </c>
      <c r="H8980" s="13" t="s">
        <v>16183</v>
      </c>
      <c r="I8980" s="40" t="s">
        <v>18</v>
      </c>
      <c r="J8980" s="40" t="str">
        <f>HYPERLINK("https://stock.pstatic.net/stock-research/company/57/20250912_company_284531000.pdf","PDF")</f>
        <v>PDF</v>
      </c>
      <c r="K8980" s="12" t="s">
        <v>16184</v>
      </c>
      <c r="L8980" s="20">
        <v>0.1620795107033639</v>
      </c>
    </row>
    <row r="8981" spans="1:12" x14ac:dyDescent="0.45">
      <c r="A8981" s="12" t="s">
        <v>16180</v>
      </c>
      <c r="B8981" s="12" t="s">
        <v>1300</v>
      </c>
      <c r="C8981" s="13" t="s">
        <v>1301</v>
      </c>
      <c r="D8981" s="13" t="s">
        <v>158</v>
      </c>
      <c r="E8981" s="12" t="s">
        <v>159</v>
      </c>
      <c r="F8981" s="14">
        <v>130000</v>
      </c>
      <c r="G8981" s="14">
        <v>134100</v>
      </c>
      <c r="H8981" s="13" t="s">
        <v>16185</v>
      </c>
      <c r="I8981" s="40" t="s">
        <v>18</v>
      </c>
      <c r="J8981" s="40" t="str">
        <f>HYPERLINK("https://stock.pstatic.net/stock-research/company/18/20250912_company_621295000.pdf","PDF")</f>
        <v>PDF</v>
      </c>
      <c r="K8981" s="12" t="s">
        <v>16186</v>
      </c>
      <c r="L8981" s="20">
        <v>-3.0574198359433261E-2</v>
      </c>
    </row>
    <row r="8982" spans="1:12" x14ac:dyDescent="0.45">
      <c r="A8982" s="12" t="s">
        <v>16180</v>
      </c>
      <c r="B8982" s="12" t="s">
        <v>3478</v>
      </c>
      <c r="C8982" s="13" t="s">
        <v>3479</v>
      </c>
      <c r="D8982" s="13" t="s">
        <v>158</v>
      </c>
      <c r="E8982" s="12" t="s">
        <v>35</v>
      </c>
      <c r="F8982" s="14">
        <v>50000</v>
      </c>
      <c r="G8982" s="14">
        <v>37000</v>
      </c>
      <c r="H8982" s="13" t="s">
        <v>16187</v>
      </c>
      <c r="I8982" s="40" t="s">
        <v>18</v>
      </c>
      <c r="J8982" s="40" t="str">
        <f>HYPERLINK("https://stock.pstatic.net/stock-research/company/18/20250912_company_371773000.pdf","PDF")</f>
        <v>PDF</v>
      </c>
      <c r="K8982" s="12" t="s">
        <v>16188</v>
      </c>
      <c r="L8982" s="20">
        <v>0.35135135135135143</v>
      </c>
    </row>
    <row r="8983" spans="1:12" x14ac:dyDescent="0.45">
      <c r="A8983" s="12" t="s">
        <v>16180</v>
      </c>
      <c r="B8983" s="12" t="s">
        <v>2758</v>
      </c>
      <c r="C8983" s="13" t="s">
        <v>2759</v>
      </c>
      <c r="D8983" s="13" t="s">
        <v>158</v>
      </c>
      <c r="E8983" s="12" t="s">
        <v>35</v>
      </c>
      <c r="F8983" s="14">
        <v>440000</v>
      </c>
      <c r="G8983" s="14">
        <v>281500</v>
      </c>
      <c r="H8983" s="13" t="s">
        <v>16189</v>
      </c>
      <c r="I8983" s="40" t="s">
        <v>18</v>
      </c>
      <c r="J8983" s="40" t="str">
        <f>HYPERLINK("https://stock.pstatic.net/stock-research/company/18/20250912_company_442232000.pdf","PDF")</f>
        <v>PDF</v>
      </c>
      <c r="K8983" s="12" t="s">
        <v>16190</v>
      </c>
      <c r="L8983" s="20">
        <v>0.56305506216696266</v>
      </c>
    </row>
    <row r="8984" spans="1:12" x14ac:dyDescent="0.45">
      <c r="A8984" s="12" t="s">
        <v>16180</v>
      </c>
      <c r="B8984" s="12" t="s">
        <v>3403</v>
      </c>
      <c r="C8984" s="13" t="s">
        <v>3404</v>
      </c>
      <c r="D8984" s="13" t="s">
        <v>179</v>
      </c>
      <c r="E8984" s="12" t="s">
        <v>16</v>
      </c>
      <c r="F8984" s="14">
        <v>48000</v>
      </c>
      <c r="G8984" s="14">
        <v>38950</v>
      </c>
      <c r="H8984" s="13" t="s">
        <v>16191</v>
      </c>
      <c r="I8984" s="40" t="s">
        <v>18</v>
      </c>
      <c r="J8984" s="40" t="str">
        <f>HYPERLINK("https://stock.pstatic.net/stock-research/company/64/20250912_company_244042000.pdf","PDF")</f>
        <v>PDF</v>
      </c>
      <c r="K8984" s="12" t="s">
        <v>16192</v>
      </c>
      <c r="L8984" s="20">
        <v>0.23234916559691909</v>
      </c>
    </row>
    <row r="8985" spans="1:12" x14ac:dyDescent="0.45">
      <c r="A8985" s="12" t="s">
        <v>16180</v>
      </c>
      <c r="B8985" s="12" t="s">
        <v>8427</v>
      </c>
      <c r="C8985" s="13" t="s">
        <v>8428</v>
      </c>
      <c r="D8985" s="13" t="s">
        <v>179</v>
      </c>
      <c r="E8985" s="12" t="s">
        <v>50</v>
      </c>
      <c r="F8985" s="13"/>
      <c r="G8985" s="14">
        <v>17770</v>
      </c>
      <c r="H8985" s="13" t="s">
        <v>16193</v>
      </c>
      <c r="I8985" s="40" t="s">
        <v>18</v>
      </c>
      <c r="J8985" s="40" t="str">
        <f>HYPERLINK("https://stock.pstatic.net/stock-research/company/64/20250912_company_765834000.pdf","PDF")</f>
        <v>PDF</v>
      </c>
      <c r="K8985" s="12" t="s">
        <v>16194</v>
      </c>
    </row>
    <row r="8986" spans="1:12" x14ac:dyDescent="0.45">
      <c r="A8986" s="12" t="s">
        <v>16180</v>
      </c>
      <c r="B8986" s="12" t="s">
        <v>740</v>
      </c>
      <c r="C8986" s="13" t="s">
        <v>741</v>
      </c>
      <c r="D8986" s="13" t="s">
        <v>83</v>
      </c>
      <c r="E8986" s="12" t="s">
        <v>35</v>
      </c>
      <c r="F8986" s="14">
        <v>220000</v>
      </c>
      <c r="G8986" s="14">
        <v>160800</v>
      </c>
      <c r="H8986" s="13" t="s">
        <v>16195</v>
      </c>
      <c r="I8986" s="40" t="s">
        <v>18</v>
      </c>
      <c r="J8986" s="40" t="str">
        <f>HYPERLINK("https://stock.pstatic.net/stock-research/company/2/20250912_company_702402000.pdf","PDF")</f>
        <v>PDF</v>
      </c>
      <c r="K8986" s="12" t="s">
        <v>16196</v>
      </c>
      <c r="L8986" s="20">
        <v>0.36815920398009949</v>
      </c>
    </row>
    <row r="8987" spans="1:12" x14ac:dyDescent="0.45">
      <c r="A8987" s="12" t="s">
        <v>16180</v>
      </c>
      <c r="B8987" s="12" t="s">
        <v>1162</v>
      </c>
      <c r="C8987" s="13" t="s">
        <v>1163</v>
      </c>
      <c r="D8987" s="13" t="s">
        <v>83</v>
      </c>
      <c r="E8987" s="12" t="s">
        <v>35</v>
      </c>
      <c r="F8987" s="14">
        <v>220000</v>
      </c>
      <c r="G8987" s="14">
        <v>188400</v>
      </c>
      <c r="H8987" s="13" t="s">
        <v>16197</v>
      </c>
      <c r="I8987" s="40" t="s">
        <v>18</v>
      </c>
      <c r="J8987" s="40" t="str">
        <f>HYPERLINK("https://stock.pstatic.net/stock-research/company/2/20250912_company_170896000.pdf","PDF")</f>
        <v>PDF</v>
      </c>
      <c r="K8987" s="12" t="s">
        <v>16198</v>
      </c>
      <c r="L8987" s="20">
        <v>0.16772823779193199</v>
      </c>
    </row>
    <row r="8988" spans="1:12" x14ac:dyDescent="0.45">
      <c r="A8988" s="12" t="s">
        <v>16180</v>
      </c>
      <c r="B8988" s="12" t="s">
        <v>4642</v>
      </c>
      <c r="C8988" s="13" t="s">
        <v>4643</v>
      </c>
      <c r="D8988" s="13" t="s">
        <v>83</v>
      </c>
      <c r="E8988" s="12" t="s">
        <v>35</v>
      </c>
      <c r="F8988" s="14">
        <v>28000</v>
      </c>
      <c r="G8988" s="14">
        <v>23750</v>
      </c>
      <c r="H8988" s="13" t="s">
        <v>16199</v>
      </c>
      <c r="I8988" s="40" t="s">
        <v>18</v>
      </c>
      <c r="J8988" s="40" t="str">
        <f>HYPERLINK("https://stock.pstatic.net/stock-research/company/2/20250912_company_96554000.pdf","PDF")</f>
        <v>PDF</v>
      </c>
      <c r="K8988" s="12" t="s">
        <v>16200</v>
      </c>
      <c r="L8988" s="20">
        <v>0.1789473684210526</v>
      </c>
    </row>
    <row r="8989" spans="1:12" x14ac:dyDescent="0.45">
      <c r="A8989" s="12" t="s">
        <v>16180</v>
      </c>
      <c r="B8989" s="12" t="s">
        <v>375</v>
      </c>
      <c r="C8989" s="13" t="s">
        <v>376</v>
      </c>
      <c r="D8989" s="13" t="s">
        <v>83</v>
      </c>
      <c r="E8989" s="12" t="s">
        <v>35</v>
      </c>
      <c r="F8989" s="14">
        <v>34000</v>
      </c>
      <c r="G8989" s="14">
        <v>26500</v>
      </c>
      <c r="H8989" s="13" t="s">
        <v>16201</v>
      </c>
      <c r="I8989" s="40" t="s">
        <v>18</v>
      </c>
      <c r="J8989" s="40" t="str">
        <f>HYPERLINK("https://stock.pstatic.net/stock-research/company/2/20250912_company_748634000.pdf","PDF")</f>
        <v>PDF</v>
      </c>
      <c r="K8989" s="12" t="s">
        <v>16202</v>
      </c>
      <c r="L8989" s="20">
        <v>0.28301886792452829</v>
      </c>
    </row>
    <row r="8990" spans="1:12" x14ac:dyDescent="0.45">
      <c r="A8990" s="12" t="s">
        <v>16180</v>
      </c>
      <c r="B8990" s="12" t="s">
        <v>2795</v>
      </c>
      <c r="C8990" s="13" t="s">
        <v>2796</v>
      </c>
      <c r="D8990" s="13" t="s">
        <v>83</v>
      </c>
      <c r="E8990" s="12" t="s">
        <v>35</v>
      </c>
      <c r="F8990" s="14">
        <v>6000</v>
      </c>
      <c r="G8990" s="14">
        <v>4100</v>
      </c>
      <c r="H8990" s="13" t="s">
        <v>16203</v>
      </c>
      <c r="I8990" s="40" t="s">
        <v>18</v>
      </c>
      <c r="J8990" s="40" t="str">
        <f>HYPERLINK("https://stock.pstatic.net/stock-research/company/2/20250912_company_611719000.pdf","PDF")</f>
        <v>PDF</v>
      </c>
      <c r="K8990" s="12" t="s">
        <v>16204</v>
      </c>
      <c r="L8990" s="20">
        <v>0.46341463414634149</v>
      </c>
    </row>
    <row r="8991" spans="1:12" x14ac:dyDescent="0.45">
      <c r="A8991" s="12" t="s">
        <v>16180</v>
      </c>
      <c r="B8991" s="12" t="s">
        <v>3714</v>
      </c>
      <c r="C8991" s="13" t="s">
        <v>3715</v>
      </c>
      <c r="D8991" s="13" t="s">
        <v>179</v>
      </c>
      <c r="E8991" s="12" t="s">
        <v>50</v>
      </c>
      <c r="F8991" s="13"/>
      <c r="G8991" s="14">
        <v>6150</v>
      </c>
      <c r="H8991" s="13" t="s">
        <v>16205</v>
      </c>
      <c r="I8991" s="40" t="s">
        <v>18</v>
      </c>
      <c r="J8991" s="40" t="str">
        <f>HYPERLINK("https://stock.pstatic.net/stock-research/company/64/20250912_company_198807000.pdf","PDF")</f>
        <v>PDF</v>
      </c>
      <c r="K8991" s="12" t="s">
        <v>16206</v>
      </c>
    </row>
    <row r="8992" spans="1:12" x14ac:dyDescent="0.45">
      <c r="A8992" s="12" t="s">
        <v>16180</v>
      </c>
      <c r="B8992" s="12" t="s">
        <v>685</v>
      </c>
      <c r="C8992" s="13" t="s">
        <v>686</v>
      </c>
      <c r="D8992" s="13" t="s">
        <v>179</v>
      </c>
      <c r="E8992" s="12" t="s">
        <v>50</v>
      </c>
      <c r="F8992" s="13"/>
      <c r="G8992" s="14">
        <v>30700</v>
      </c>
      <c r="H8992" s="13" t="s">
        <v>16207</v>
      </c>
      <c r="I8992" s="40" t="s">
        <v>18</v>
      </c>
      <c r="J8992" s="40" t="str">
        <f>HYPERLINK("https://stock.pstatic.net/stock-research/company/64/20250912_company_574963000.pdf","PDF")</f>
        <v>PDF</v>
      </c>
      <c r="K8992" s="12" t="s">
        <v>16208</v>
      </c>
    </row>
    <row r="8993" spans="1:12" x14ac:dyDescent="0.45">
      <c r="A8993" s="12" t="s">
        <v>16180</v>
      </c>
      <c r="B8993" s="12" t="s">
        <v>16209</v>
      </c>
      <c r="C8993" s="13" t="s">
        <v>16210</v>
      </c>
      <c r="D8993" s="13" t="s">
        <v>179</v>
      </c>
      <c r="E8993" s="12" t="s">
        <v>50</v>
      </c>
      <c r="F8993" s="13"/>
      <c r="G8993" s="14">
        <v>2560</v>
      </c>
      <c r="H8993" s="13" t="s">
        <v>16211</v>
      </c>
      <c r="I8993" s="40" t="s">
        <v>18</v>
      </c>
      <c r="J8993" s="40" t="str">
        <f>HYPERLINK("https://stock.pstatic.net/stock-research/company/64/20250912_company_399037000.pdf","PDF")</f>
        <v>PDF</v>
      </c>
      <c r="K8993" s="12" t="s">
        <v>16212</v>
      </c>
    </row>
    <row r="8994" spans="1:12" x14ac:dyDescent="0.45">
      <c r="A8994" s="12" t="s">
        <v>16180</v>
      </c>
      <c r="B8994" s="12" t="s">
        <v>10792</v>
      </c>
      <c r="C8994" s="13" t="s">
        <v>10793</v>
      </c>
      <c r="D8994" s="13" t="s">
        <v>23</v>
      </c>
      <c r="E8994" s="12" t="s">
        <v>50</v>
      </c>
      <c r="F8994" s="13"/>
      <c r="G8994" s="14">
        <v>10920</v>
      </c>
      <c r="H8994" s="13" t="s">
        <v>16213</v>
      </c>
      <c r="I8994" s="40" t="s">
        <v>18</v>
      </c>
      <c r="J8994" s="40" t="str">
        <f>HYPERLINK("https://stock.pstatic.net/stock-research/company/21/20250912_company_550182000.pdf","PDF")</f>
        <v>PDF</v>
      </c>
      <c r="K8994" s="12" t="s">
        <v>16214</v>
      </c>
    </row>
    <row r="8995" spans="1:12" x14ac:dyDescent="0.45">
      <c r="A8995" s="12" t="s">
        <v>16180</v>
      </c>
      <c r="B8995" s="12" t="s">
        <v>90</v>
      </c>
      <c r="C8995" s="13" t="s">
        <v>91</v>
      </c>
      <c r="D8995" s="13" t="s">
        <v>179</v>
      </c>
      <c r="E8995" s="12" t="s">
        <v>50</v>
      </c>
      <c r="F8995" s="13"/>
      <c r="G8995" s="13"/>
      <c r="H8995" s="13" t="s">
        <v>16215</v>
      </c>
      <c r="I8995" s="40" t="s">
        <v>18</v>
      </c>
      <c r="J8995" s="40" t="str">
        <f>HYPERLINK("https://stock.pstatic.net/stock-research/company/64/20250912_company_953449000.pdf","PDF")</f>
        <v>PDF</v>
      </c>
      <c r="K8995" s="12" t="s">
        <v>16216</v>
      </c>
    </row>
    <row r="8996" spans="1:12" x14ac:dyDescent="0.45">
      <c r="A8996" s="12" t="s">
        <v>16180</v>
      </c>
      <c r="B8996" s="12" t="s">
        <v>16217</v>
      </c>
      <c r="C8996" s="13" t="s">
        <v>16218</v>
      </c>
      <c r="D8996" s="13" t="s">
        <v>179</v>
      </c>
      <c r="E8996" s="12" t="s">
        <v>50</v>
      </c>
      <c r="F8996" s="13"/>
      <c r="G8996" s="14">
        <v>13610</v>
      </c>
      <c r="H8996" s="13" t="s">
        <v>16219</v>
      </c>
      <c r="I8996" s="40" t="s">
        <v>18</v>
      </c>
      <c r="J8996" s="40" t="str">
        <f>HYPERLINK("https://stock.pstatic.net/stock-research/company/64/20250912_company_543614000.pdf","PDF")</f>
        <v>PDF</v>
      </c>
      <c r="K8996" s="12" t="s">
        <v>16220</v>
      </c>
    </row>
    <row r="8997" spans="1:12" x14ac:dyDescent="0.45">
      <c r="A8997" s="12" t="s">
        <v>16180</v>
      </c>
      <c r="B8997" s="12" t="s">
        <v>1682</v>
      </c>
      <c r="C8997" s="13" t="s">
        <v>4787</v>
      </c>
      <c r="D8997" s="13" t="s">
        <v>44</v>
      </c>
      <c r="E8997" s="12" t="s">
        <v>35</v>
      </c>
      <c r="F8997" s="14">
        <v>390000</v>
      </c>
      <c r="G8997" s="14">
        <v>202000</v>
      </c>
      <c r="H8997" s="13" t="s">
        <v>16221</v>
      </c>
      <c r="I8997" s="40" t="s">
        <v>18</v>
      </c>
      <c r="J8997" s="40" t="str">
        <f>HYPERLINK("https://stock.pstatic.net/stock-research/company/39/20250912_company_173915000.pdf","PDF")</f>
        <v>PDF</v>
      </c>
      <c r="K8997" s="12" t="s">
        <v>16222</v>
      </c>
      <c r="L8997" s="20">
        <v>0.93069306930693074</v>
      </c>
    </row>
    <row r="8998" spans="1:12" x14ac:dyDescent="0.45">
      <c r="A8998" s="12" t="s">
        <v>16180</v>
      </c>
      <c r="B8998" s="12" t="s">
        <v>2815</v>
      </c>
      <c r="C8998" s="13" t="s">
        <v>2816</v>
      </c>
      <c r="D8998" s="13" t="s">
        <v>23</v>
      </c>
      <c r="E8998" s="12" t="s">
        <v>50</v>
      </c>
      <c r="F8998" s="13"/>
      <c r="G8998" s="14">
        <v>8630</v>
      </c>
      <c r="H8998" s="13" t="s">
        <v>16223</v>
      </c>
      <c r="I8998" s="40" t="s">
        <v>18</v>
      </c>
      <c r="J8998" s="40" t="str">
        <f>HYPERLINK("https://stock.pstatic.net/stock-research/company/21/20250912_company_75476000.pdf","PDF")</f>
        <v>PDF</v>
      </c>
      <c r="K8998" s="12" t="s">
        <v>16224</v>
      </c>
    </row>
    <row r="8999" spans="1:12" x14ac:dyDescent="0.45">
      <c r="A8999" s="12" t="s">
        <v>16180</v>
      </c>
      <c r="B8999" s="12" t="s">
        <v>1087</v>
      </c>
      <c r="C8999" s="13" t="s">
        <v>1088</v>
      </c>
      <c r="D8999" s="13" t="s">
        <v>53</v>
      </c>
      <c r="E8999" s="12" t="s">
        <v>16</v>
      </c>
      <c r="F8999" s="14">
        <v>130000</v>
      </c>
      <c r="G8999" s="14">
        <v>91400</v>
      </c>
      <c r="H8999" s="13" t="s">
        <v>16225</v>
      </c>
      <c r="I8999" s="40" t="s">
        <v>18</v>
      </c>
      <c r="J8999" s="40" t="str">
        <f>HYPERLINK("https://stock.pstatic.net/stock-research/company/40/20250912_company_438223000.pdf","PDF")</f>
        <v>PDF</v>
      </c>
      <c r="K8999" s="12" t="s">
        <v>16226</v>
      </c>
      <c r="L8999" s="20">
        <v>0.42231947483588622</v>
      </c>
    </row>
    <row r="9000" spans="1:12" x14ac:dyDescent="0.45">
      <c r="A9000" s="12" t="s">
        <v>16180</v>
      </c>
      <c r="B9000" s="12" t="s">
        <v>10956</v>
      </c>
      <c r="C9000" s="13" t="s">
        <v>10957</v>
      </c>
      <c r="D9000" s="13" t="s">
        <v>124</v>
      </c>
      <c r="E9000" s="12" t="s">
        <v>50</v>
      </c>
      <c r="F9000" s="13"/>
      <c r="G9000" s="13"/>
      <c r="H9000" s="13" t="s">
        <v>16227</v>
      </c>
      <c r="I9000" s="40" t="s">
        <v>18</v>
      </c>
      <c r="J9000" s="40" t="str">
        <f>HYPERLINK("https://stock.pstatic.net/stock-research/company/74/20250912_company_585166000.pdf","PDF")</f>
        <v>PDF</v>
      </c>
      <c r="K9000" s="12" t="s">
        <v>16228</v>
      </c>
    </row>
    <row r="9001" spans="1:12" x14ac:dyDescent="0.45">
      <c r="A9001" s="12" t="s">
        <v>16180</v>
      </c>
      <c r="B9001" s="12" t="s">
        <v>16229</v>
      </c>
      <c r="C9001" s="13" t="s">
        <v>16230</v>
      </c>
      <c r="D9001" s="13" t="s">
        <v>202</v>
      </c>
      <c r="E9001" s="12" t="s">
        <v>50</v>
      </c>
      <c r="F9001" s="13"/>
      <c r="G9001" s="13"/>
      <c r="H9001" s="13" t="s">
        <v>16231</v>
      </c>
      <c r="I9001" s="40" t="s">
        <v>18</v>
      </c>
      <c r="J9001" s="40" t="str">
        <f>HYPERLINK("https://stock.pstatic.net/stock-research/company/69/20250912_company_774355000.pdf","PDF")</f>
        <v>PDF</v>
      </c>
      <c r="K9001" s="12" t="s">
        <v>16232</v>
      </c>
    </row>
    <row r="9002" spans="1:12" x14ac:dyDescent="0.45">
      <c r="A9002" s="12" t="s">
        <v>16180</v>
      </c>
      <c r="B9002" s="12" t="s">
        <v>16233</v>
      </c>
      <c r="C9002" s="13" t="s">
        <v>16234</v>
      </c>
      <c r="D9002" s="13" t="s">
        <v>202</v>
      </c>
      <c r="E9002" s="12" t="s">
        <v>50</v>
      </c>
      <c r="F9002" s="13"/>
      <c r="G9002" s="13"/>
      <c r="H9002" s="13" t="s">
        <v>16235</v>
      </c>
      <c r="I9002" s="40" t="s">
        <v>18</v>
      </c>
      <c r="J9002" s="40" t="str">
        <f>HYPERLINK("https://stock.pstatic.net/stock-research/company/69/20250912_company_438378000.pdf","PDF")</f>
        <v>PDF</v>
      </c>
      <c r="K9002" s="12" t="s">
        <v>16236</v>
      </c>
    </row>
    <row r="9003" spans="1:12" x14ac:dyDescent="0.45">
      <c r="A9003" s="12" t="s">
        <v>16180</v>
      </c>
      <c r="B9003" s="12" t="s">
        <v>16237</v>
      </c>
      <c r="C9003" s="13" t="s">
        <v>16238</v>
      </c>
      <c r="D9003" s="13" t="s">
        <v>11154</v>
      </c>
      <c r="E9003" s="12" t="s">
        <v>50</v>
      </c>
      <c r="F9003" s="13"/>
      <c r="G9003" s="13"/>
      <c r="H9003" s="13" t="s">
        <v>16239</v>
      </c>
      <c r="I9003" s="40" t="s">
        <v>18</v>
      </c>
      <c r="J9003" s="40" t="str">
        <f>HYPERLINK("https://stock.pstatic.net/stock-research/company/79/20250912_company_782127000.pdf","PDF")</f>
        <v>PDF</v>
      </c>
      <c r="K9003" s="12" t="s">
        <v>16240</v>
      </c>
    </row>
    <row r="9004" spans="1:12" x14ac:dyDescent="0.45">
      <c r="A9004" s="12" t="s">
        <v>16180</v>
      </c>
      <c r="B9004" s="12" t="s">
        <v>16241</v>
      </c>
      <c r="C9004" s="13" t="s">
        <v>16242</v>
      </c>
      <c r="D9004" s="13" t="s">
        <v>11154</v>
      </c>
      <c r="E9004" s="12" t="s">
        <v>50</v>
      </c>
      <c r="F9004" s="13"/>
      <c r="G9004" s="13"/>
      <c r="H9004" s="13" t="s">
        <v>16243</v>
      </c>
      <c r="I9004" s="40" t="s">
        <v>18</v>
      </c>
      <c r="J9004" s="40" t="str">
        <f>HYPERLINK("https://stock.pstatic.net/stock-research/company/79/20250912_company_724448000.pdf","PDF")</f>
        <v>PDF</v>
      </c>
      <c r="K9004" s="12" t="s">
        <v>16244</v>
      </c>
    </row>
    <row r="9005" spans="1:12" x14ac:dyDescent="0.45">
      <c r="A9005" s="12" t="s">
        <v>16180</v>
      </c>
      <c r="B9005" s="12" t="s">
        <v>16245</v>
      </c>
      <c r="C9005" s="13" t="s">
        <v>16246</v>
      </c>
      <c r="D9005" s="13" t="s">
        <v>202</v>
      </c>
      <c r="E9005" s="12" t="s">
        <v>50</v>
      </c>
      <c r="F9005" s="13"/>
      <c r="G9005" s="13"/>
      <c r="H9005" s="13" t="s">
        <v>16247</v>
      </c>
      <c r="I9005" s="40" t="s">
        <v>18</v>
      </c>
      <c r="J9005" s="40" t="str">
        <f>HYPERLINK("https://stock.pstatic.net/stock-research/company/69/20250912_company_898662000.pdf","PDF")</f>
        <v>PDF</v>
      </c>
      <c r="K9005" s="12" t="s">
        <v>16248</v>
      </c>
    </row>
    <row r="9006" spans="1:12" x14ac:dyDescent="0.45">
      <c r="A9006" s="12" t="s">
        <v>16180</v>
      </c>
      <c r="B9006" s="12" t="s">
        <v>16249</v>
      </c>
      <c r="C9006" s="13" t="s">
        <v>16250</v>
      </c>
      <c r="D9006" s="13" t="s">
        <v>207</v>
      </c>
      <c r="E9006" s="12" t="s">
        <v>50</v>
      </c>
      <c r="F9006" s="13"/>
      <c r="G9006" s="13"/>
      <c r="H9006" s="13" t="s">
        <v>16251</v>
      </c>
      <c r="I9006" s="40" t="s">
        <v>18</v>
      </c>
      <c r="J9006" s="40" t="str">
        <f>HYPERLINK("https://stock.pstatic.net/stock-research/company/75/20250912_company_289987000.pdf","PDF")</f>
        <v>PDF</v>
      </c>
      <c r="K9006" s="12" t="s">
        <v>16252</v>
      </c>
    </row>
    <row r="9007" spans="1:12" x14ac:dyDescent="0.45">
      <c r="A9007" s="12" t="s">
        <v>16253</v>
      </c>
      <c r="B9007" s="12" t="s">
        <v>114</v>
      </c>
      <c r="C9007" s="13" t="s">
        <v>115</v>
      </c>
      <c r="D9007" s="13" t="s">
        <v>60</v>
      </c>
      <c r="E9007" s="12" t="s">
        <v>35</v>
      </c>
      <c r="F9007" s="14">
        <v>16000</v>
      </c>
      <c r="G9007" s="14">
        <v>13430</v>
      </c>
      <c r="H9007" s="13" t="s">
        <v>16254</v>
      </c>
      <c r="I9007" s="40" t="s">
        <v>18</v>
      </c>
      <c r="J9007" s="40" t="str">
        <f>HYPERLINK("https://stock.pstatic.net/stock-research/company/34/20250911_company_215876000.pdf","PDF")</f>
        <v>PDF</v>
      </c>
      <c r="K9007" s="12" t="s">
        <v>16255</v>
      </c>
      <c r="L9007" s="20">
        <v>0.19136262099776619</v>
      </c>
    </row>
    <row r="9008" spans="1:12" x14ac:dyDescent="0.45">
      <c r="A9008" s="12" t="s">
        <v>16253</v>
      </c>
      <c r="B9008" s="12" t="s">
        <v>16256</v>
      </c>
      <c r="C9008" s="13" t="s">
        <v>16257</v>
      </c>
      <c r="D9008" s="13" t="s">
        <v>124</v>
      </c>
      <c r="E9008" s="12" t="s">
        <v>50</v>
      </c>
      <c r="F9008" s="13"/>
      <c r="G9008" s="13"/>
      <c r="H9008" s="13" t="s">
        <v>16258</v>
      </c>
      <c r="I9008" s="40" t="s">
        <v>18</v>
      </c>
      <c r="J9008" s="40" t="str">
        <f>HYPERLINK("https://m.stock.naver.com/research/company/86309","PDF")</f>
        <v>PDF</v>
      </c>
      <c r="K9008" s="12" t="s">
        <v>16259</v>
      </c>
    </row>
    <row r="9009" spans="1:12" x14ac:dyDescent="0.45">
      <c r="A9009" s="12" t="s">
        <v>16253</v>
      </c>
      <c r="B9009" s="12" t="s">
        <v>16260</v>
      </c>
      <c r="C9009" s="13" t="s">
        <v>16261</v>
      </c>
      <c r="D9009" s="13" t="s">
        <v>92</v>
      </c>
      <c r="E9009" s="12" t="s">
        <v>50</v>
      </c>
      <c r="F9009" s="13"/>
      <c r="G9009" s="14">
        <v>26350</v>
      </c>
      <c r="H9009" s="13" t="s">
        <v>16262</v>
      </c>
      <c r="I9009" s="40" t="s">
        <v>18</v>
      </c>
      <c r="J9009" s="40" t="str">
        <f>HYPERLINK("https://stock.pstatic.net/stock-research/company/63/20250911_company_766035000.pdf","PDF")</f>
        <v>PDF</v>
      </c>
      <c r="K9009" s="12" t="s">
        <v>16263</v>
      </c>
    </row>
    <row r="9010" spans="1:12" x14ac:dyDescent="0.45">
      <c r="A9010" s="12" t="s">
        <v>16253</v>
      </c>
      <c r="B9010" s="12" t="s">
        <v>16264</v>
      </c>
      <c r="C9010" s="13" t="s">
        <v>16265</v>
      </c>
      <c r="D9010" s="13" t="s">
        <v>23</v>
      </c>
      <c r="E9010" s="12" t="s">
        <v>50</v>
      </c>
      <c r="F9010" s="13"/>
      <c r="G9010" s="14">
        <v>3845</v>
      </c>
      <c r="H9010" s="13" t="s">
        <v>16266</v>
      </c>
      <c r="I9010" s="40" t="s">
        <v>18</v>
      </c>
      <c r="J9010" s="40" t="str">
        <f>HYPERLINK("https://stock.pstatic.net/stock-research/company/21/20250911_company_13712000.pdf","PDF")</f>
        <v>PDF</v>
      </c>
      <c r="K9010" s="12" t="s">
        <v>16267</v>
      </c>
    </row>
    <row r="9011" spans="1:12" x14ac:dyDescent="0.45">
      <c r="A9011" s="12" t="s">
        <v>16253</v>
      </c>
      <c r="B9011" s="12" t="s">
        <v>1109</v>
      </c>
      <c r="C9011" s="13" t="s">
        <v>1110</v>
      </c>
      <c r="D9011" s="13" t="s">
        <v>179</v>
      </c>
      <c r="E9011" s="12" t="s">
        <v>50</v>
      </c>
      <c r="F9011" s="13"/>
      <c r="G9011" s="14">
        <v>7010</v>
      </c>
      <c r="H9011" s="13" t="s">
        <v>16268</v>
      </c>
      <c r="I9011" s="40" t="s">
        <v>18</v>
      </c>
      <c r="J9011" s="40" t="str">
        <f>HYPERLINK("https://stock.pstatic.net/stock-research/company/64/20250911_company_600707000.pdf","PDF")</f>
        <v>PDF</v>
      </c>
      <c r="K9011" s="12" t="s">
        <v>16269</v>
      </c>
    </row>
    <row r="9012" spans="1:12" x14ac:dyDescent="0.45">
      <c r="A9012" s="12" t="s">
        <v>16253</v>
      </c>
      <c r="B9012" s="12" t="s">
        <v>6102</v>
      </c>
      <c r="C9012" s="13" t="s">
        <v>6103</v>
      </c>
      <c r="D9012" s="13" t="s">
        <v>179</v>
      </c>
      <c r="E9012" s="12" t="s">
        <v>50</v>
      </c>
      <c r="F9012" s="13"/>
      <c r="G9012" s="14">
        <v>1812</v>
      </c>
      <c r="H9012" s="13" t="s">
        <v>16270</v>
      </c>
      <c r="I9012" s="40" t="s">
        <v>18</v>
      </c>
      <c r="J9012" s="40" t="str">
        <f>HYPERLINK("https://stock.pstatic.net/stock-research/company/64/20250911_company_579368000.pdf","PDF")</f>
        <v>PDF</v>
      </c>
      <c r="K9012" s="12" t="s">
        <v>16271</v>
      </c>
    </row>
    <row r="9013" spans="1:12" x14ac:dyDescent="0.45">
      <c r="A9013" s="12" t="s">
        <v>16253</v>
      </c>
      <c r="B9013" s="12" t="s">
        <v>32</v>
      </c>
      <c r="C9013" s="13" t="s">
        <v>33</v>
      </c>
      <c r="D9013" s="13" t="s">
        <v>15</v>
      </c>
      <c r="E9013" s="12" t="s">
        <v>16</v>
      </c>
      <c r="F9013" s="14">
        <v>225000</v>
      </c>
      <c r="G9013" s="14">
        <v>180300</v>
      </c>
      <c r="H9013" s="13" t="s">
        <v>16272</v>
      </c>
      <c r="I9013" s="40" t="s">
        <v>18</v>
      </c>
      <c r="J9013" s="40" t="str">
        <f>HYPERLINK("https://stock.pstatic.net/stock-research/company/29/20250911_company_269434000.pdf","PDF")</f>
        <v>PDF</v>
      </c>
      <c r="K9013" s="12" t="s">
        <v>16273</v>
      </c>
      <c r="L9013" s="20">
        <v>0.24792013311148089</v>
      </c>
    </row>
    <row r="9014" spans="1:12" x14ac:dyDescent="0.45">
      <c r="A9014" s="12" t="s">
        <v>16253</v>
      </c>
      <c r="B9014" s="12" t="s">
        <v>32</v>
      </c>
      <c r="C9014" s="13" t="s">
        <v>33</v>
      </c>
      <c r="D9014" s="13" t="s">
        <v>23</v>
      </c>
      <c r="E9014" s="12" t="s">
        <v>16</v>
      </c>
      <c r="F9014" s="14">
        <v>220000</v>
      </c>
      <c r="G9014" s="14">
        <v>180500</v>
      </c>
      <c r="H9014" s="13" t="s">
        <v>16274</v>
      </c>
      <c r="I9014" s="40" t="s">
        <v>18</v>
      </c>
      <c r="J9014" s="40" t="str">
        <f>HYPERLINK("https://stock.pstatic.net/stock-research/company/21/20250911_company_995755000.pdf","PDF")</f>
        <v>PDF</v>
      </c>
      <c r="K9014" s="12" t="s">
        <v>16275</v>
      </c>
      <c r="L9014" s="20">
        <v>0.2188365650969529</v>
      </c>
    </row>
    <row r="9015" spans="1:12" x14ac:dyDescent="0.45">
      <c r="A9015" s="12" t="s">
        <v>16253</v>
      </c>
      <c r="B9015" s="12" t="s">
        <v>2807</v>
      </c>
      <c r="C9015" s="13" t="s">
        <v>2808</v>
      </c>
      <c r="D9015" s="13" t="s">
        <v>92</v>
      </c>
      <c r="E9015" s="12" t="s">
        <v>50</v>
      </c>
      <c r="F9015" s="13"/>
      <c r="G9015" s="14">
        <v>7850</v>
      </c>
      <c r="H9015" s="13" t="s">
        <v>16276</v>
      </c>
      <c r="I9015" s="40" t="s">
        <v>18</v>
      </c>
      <c r="J9015" s="40" t="str">
        <f>HYPERLINK("https://stock.pstatic.net/stock-research/company/63/20250911_company_954811000.pdf","PDF")</f>
        <v>PDF</v>
      </c>
      <c r="K9015" s="12" t="s">
        <v>16277</v>
      </c>
    </row>
    <row r="9016" spans="1:12" x14ac:dyDescent="0.45">
      <c r="A9016" s="12" t="s">
        <v>16253</v>
      </c>
      <c r="B9016" s="12" t="s">
        <v>16278</v>
      </c>
      <c r="C9016" s="13" t="s">
        <v>16279</v>
      </c>
      <c r="D9016" s="13" t="s">
        <v>124</v>
      </c>
      <c r="E9016" s="12" t="s">
        <v>50</v>
      </c>
      <c r="F9016" s="13"/>
      <c r="G9016" s="13"/>
      <c r="H9016" s="13" t="s">
        <v>16280</v>
      </c>
      <c r="I9016" s="40" t="s">
        <v>18</v>
      </c>
      <c r="J9016" s="40" t="str">
        <f>HYPERLINK("https://stock.pstatic.net/stock-research/company/74/20250911_company_699848000.pdf","PDF")</f>
        <v>PDF</v>
      </c>
      <c r="K9016" s="12" t="s">
        <v>16281</v>
      </c>
    </row>
    <row r="9017" spans="1:12" x14ac:dyDescent="0.45">
      <c r="A9017" s="12" t="s">
        <v>16282</v>
      </c>
      <c r="B9017" s="12" t="s">
        <v>1678</v>
      </c>
      <c r="C9017" s="13" t="s">
        <v>1679</v>
      </c>
      <c r="D9017" s="13" t="s">
        <v>15</v>
      </c>
      <c r="E9017" s="12" t="s">
        <v>16</v>
      </c>
      <c r="F9017" s="14">
        <v>100000</v>
      </c>
      <c r="G9017" s="14">
        <v>70700</v>
      </c>
      <c r="H9017" s="13" t="s">
        <v>16283</v>
      </c>
      <c r="I9017" s="40" t="s">
        <v>18</v>
      </c>
      <c r="J9017" s="40" t="str">
        <f>HYPERLINK("https://stock.pstatic.net/stock-research/company/29/20250910_company_616153000.pdf","PDF")</f>
        <v>PDF</v>
      </c>
      <c r="K9017" s="12" t="s">
        <v>16284</v>
      </c>
      <c r="L9017" s="20">
        <v>0.41442715700141441</v>
      </c>
    </row>
    <row r="9018" spans="1:12" x14ac:dyDescent="0.45">
      <c r="A9018" s="12" t="s">
        <v>16282</v>
      </c>
      <c r="B9018" s="12" t="s">
        <v>1660</v>
      </c>
      <c r="C9018" s="13" t="s">
        <v>1661</v>
      </c>
      <c r="D9018" s="13" t="s">
        <v>15</v>
      </c>
      <c r="E9018" s="12" t="s">
        <v>16</v>
      </c>
      <c r="F9018" s="14">
        <v>65000</v>
      </c>
      <c r="G9018" s="14">
        <v>44900</v>
      </c>
      <c r="H9018" s="13" t="s">
        <v>16285</v>
      </c>
      <c r="I9018" s="40" t="s">
        <v>18</v>
      </c>
      <c r="J9018" s="40" t="str">
        <f>HYPERLINK("https://stock.pstatic.net/stock-research/company/29/20250910_company_552906000.pdf","PDF")</f>
        <v>PDF</v>
      </c>
      <c r="K9018" s="12" t="s">
        <v>16286</v>
      </c>
      <c r="L9018" s="20">
        <v>0.44766146993318479</v>
      </c>
    </row>
    <row r="9019" spans="1:12" x14ac:dyDescent="0.45">
      <c r="A9019" s="12" t="s">
        <v>16282</v>
      </c>
      <c r="B9019" s="12" t="s">
        <v>908</v>
      </c>
      <c r="C9019" s="13" t="s">
        <v>909</v>
      </c>
      <c r="D9019" s="13" t="s">
        <v>57</v>
      </c>
      <c r="E9019" s="12" t="s">
        <v>35</v>
      </c>
      <c r="F9019" s="14">
        <v>180000</v>
      </c>
      <c r="G9019" s="14">
        <v>161300</v>
      </c>
      <c r="H9019" s="13" t="s">
        <v>16287</v>
      </c>
      <c r="I9019" s="40" t="s">
        <v>18</v>
      </c>
      <c r="J9019" s="40" t="str">
        <f>HYPERLINK("https://stock.pstatic.net/stock-research/company/16/20250910_company_11544000.pdf","PDF")</f>
        <v>PDF</v>
      </c>
      <c r="K9019" s="12" t="s">
        <v>16288</v>
      </c>
      <c r="L9019" s="20">
        <v>0.115933044017359</v>
      </c>
    </row>
    <row r="9020" spans="1:12" x14ac:dyDescent="0.45">
      <c r="A9020" s="12" t="s">
        <v>16282</v>
      </c>
      <c r="B9020" s="12" t="s">
        <v>7000</v>
      </c>
      <c r="C9020" s="13" t="s">
        <v>7001</v>
      </c>
      <c r="D9020" s="13" t="s">
        <v>276</v>
      </c>
      <c r="E9020" s="12" t="s">
        <v>16</v>
      </c>
      <c r="F9020" s="14">
        <v>52000</v>
      </c>
      <c r="G9020" s="14">
        <v>41500</v>
      </c>
      <c r="H9020" s="13" t="s">
        <v>16289</v>
      </c>
      <c r="I9020" s="40" t="s">
        <v>18</v>
      </c>
      <c r="J9020" s="40" t="str">
        <f>HYPERLINK("https://stock.pstatic.net/stock-research/company/66/20250910_company_755753000.pdf","PDF")</f>
        <v>PDF</v>
      </c>
      <c r="K9020" s="12" t="s">
        <v>16290</v>
      </c>
      <c r="L9020" s="20">
        <v>0.25301204819277112</v>
      </c>
    </row>
    <row r="9021" spans="1:12" x14ac:dyDescent="0.45">
      <c r="A9021" s="12" t="s">
        <v>16282</v>
      </c>
      <c r="B9021" s="12" t="s">
        <v>2308</v>
      </c>
      <c r="C9021" s="13" t="s">
        <v>2309</v>
      </c>
      <c r="D9021" s="13" t="s">
        <v>158</v>
      </c>
      <c r="E9021" s="12" t="s">
        <v>50</v>
      </c>
      <c r="F9021" s="13"/>
      <c r="G9021" s="14">
        <v>15970</v>
      </c>
      <c r="H9021" s="13" t="s">
        <v>16291</v>
      </c>
      <c r="I9021" s="40" t="s">
        <v>18</v>
      </c>
      <c r="J9021" s="40" t="str">
        <f>HYPERLINK("https://stock.pstatic.net/stock-research/company/18/20250910_company_972915000.pdf","PDF")</f>
        <v>PDF</v>
      </c>
      <c r="K9021" s="12" t="s">
        <v>16292</v>
      </c>
    </row>
    <row r="9022" spans="1:12" x14ac:dyDescent="0.45">
      <c r="A9022" s="12" t="s">
        <v>16282</v>
      </c>
      <c r="B9022" s="12" t="s">
        <v>1389</v>
      </c>
      <c r="C9022" s="13" t="s">
        <v>1390</v>
      </c>
      <c r="D9022" s="13" t="s">
        <v>158</v>
      </c>
      <c r="E9022" s="12" t="s">
        <v>50</v>
      </c>
      <c r="F9022" s="13"/>
      <c r="G9022" s="14">
        <v>12960</v>
      </c>
      <c r="H9022" s="13" t="s">
        <v>16293</v>
      </c>
      <c r="I9022" s="40" t="s">
        <v>18</v>
      </c>
      <c r="J9022" s="40" t="str">
        <f>HYPERLINK("https://stock.pstatic.net/stock-research/company/18/20250910_company_71435000.pdf","PDF")</f>
        <v>PDF</v>
      </c>
      <c r="K9022" s="12" t="s">
        <v>16294</v>
      </c>
    </row>
    <row r="9023" spans="1:12" x14ac:dyDescent="0.45">
      <c r="A9023" s="12" t="s">
        <v>16282</v>
      </c>
      <c r="B9023" s="12" t="s">
        <v>16295</v>
      </c>
      <c r="C9023" s="13" t="s">
        <v>16296</v>
      </c>
      <c r="D9023" s="13" t="s">
        <v>83</v>
      </c>
      <c r="E9023" s="12" t="s">
        <v>50</v>
      </c>
      <c r="F9023" s="13"/>
      <c r="G9023" s="14">
        <v>2870</v>
      </c>
      <c r="H9023" s="13" t="s">
        <v>16297</v>
      </c>
      <c r="I9023" s="40" t="s">
        <v>18</v>
      </c>
      <c r="J9023" s="40" t="str">
        <f>HYPERLINK("https://stock.pstatic.net/stock-research/company/2/20250910_company_622693000.pdf","PDF")</f>
        <v>PDF</v>
      </c>
      <c r="K9023" s="12" t="s">
        <v>16298</v>
      </c>
    </row>
    <row r="9024" spans="1:12" x14ac:dyDescent="0.45">
      <c r="A9024" s="12" t="s">
        <v>16282</v>
      </c>
      <c r="B9024" s="12" t="s">
        <v>1081</v>
      </c>
      <c r="C9024" s="13" t="s">
        <v>1082</v>
      </c>
      <c r="D9024" s="13" t="s">
        <v>83</v>
      </c>
      <c r="E9024" s="12" t="s">
        <v>35</v>
      </c>
      <c r="F9024" s="14">
        <v>1300000</v>
      </c>
      <c r="G9024" s="14">
        <v>1031000</v>
      </c>
      <c r="H9024" s="13" t="s">
        <v>16299</v>
      </c>
      <c r="I9024" s="40" t="s">
        <v>18</v>
      </c>
      <c r="J9024" s="40" t="str">
        <f>HYPERLINK("https://stock.pstatic.net/stock-research/company/2/20250910_company_308695000.pdf","PDF")</f>
        <v>PDF</v>
      </c>
      <c r="K9024" s="12" t="s">
        <v>16300</v>
      </c>
      <c r="L9024" s="20">
        <v>0.26091173617846752</v>
      </c>
    </row>
    <row r="9025" spans="1:12" x14ac:dyDescent="0.45">
      <c r="A9025" s="12" t="s">
        <v>16282</v>
      </c>
      <c r="B9025" s="12" t="s">
        <v>2956</v>
      </c>
      <c r="C9025" s="13" t="s">
        <v>2957</v>
      </c>
      <c r="D9025" s="13" t="s">
        <v>15</v>
      </c>
      <c r="E9025" s="12" t="s">
        <v>16</v>
      </c>
      <c r="F9025" s="14">
        <v>27000</v>
      </c>
      <c r="G9025" s="14">
        <v>19200</v>
      </c>
      <c r="H9025" s="13" t="s">
        <v>16301</v>
      </c>
      <c r="I9025" s="40" t="s">
        <v>18</v>
      </c>
      <c r="J9025" s="40" t="str">
        <f>HYPERLINK("https://stock.pstatic.net/stock-research/company/29/20250910_company_883645000.pdf","PDF")</f>
        <v>PDF</v>
      </c>
      <c r="K9025" s="12" t="s">
        <v>16302</v>
      </c>
      <c r="L9025" s="20">
        <v>0.40625</v>
      </c>
    </row>
    <row r="9026" spans="1:12" x14ac:dyDescent="0.45">
      <c r="A9026" s="12" t="s">
        <v>16282</v>
      </c>
      <c r="B9026" s="12" t="s">
        <v>16303</v>
      </c>
      <c r="C9026" s="13" t="s">
        <v>16304</v>
      </c>
      <c r="D9026" s="13" t="s">
        <v>124</v>
      </c>
      <c r="E9026" s="12" t="s">
        <v>50</v>
      </c>
      <c r="F9026" s="13"/>
      <c r="G9026" s="13"/>
      <c r="H9026" s="13" t="s">
        <v>16305</v>
      </c>
      <c r="I9026" s="40" t="s">
        <v>18</v>
      </c>
      <c r="J9026" s="40" t="str">
        <f>HYPERLINK("https://stock.pstatic.net/stock-research/company/74/20250910_company_338709000.pdf","PDF")</f>
        <v>PDF</v>
      </c>
      <c r="K9026" s="12" t="s">
        <v>16306</v>
      </c>
    </row>
    <row r="9027" spans="1:12" x14ac:dyDescent="0.45">
      <c r="A9027" s="12" t="s">
        <v>16282</v>
      </c>
      <c r="B9027" s="12" t="s">
        <v>344</v>
      </c>
      <c r="C9027" s="13" t="s">
        <v>345</v>
      </c>
      <c r="D9027" s="13" t="s">
        <v>179</v>
      </c>
      <c r="E9027" s="12" t="s">
        <v>16</v>
      </c>
      <c r="F9027" s="14">
        <v>13000</v>
      </c>
      <c r="G9027" s="14">
        <v>10280</v>
      </c>
      <c r="H9027" s="13" t="s">
        <v>16307</v>
      </c>
      <c r="I9027" s="40" t="s">
        <v>18</v>
      </c>
      <c r="J9027" s="40" t="str">
        <f>HYPERLINK("https://stock.pstatic.net/stock-research/company/64/20250910_company_151687000.pdf","PDF")</f>
        <v>PDF</v>
      </c>
      <c r="K9027" s="12" t="s">
        <v>16308</v>
      </c>
      <c r="L9027" s="20">
        <v>0.26459143968871601</v>
      </c>
    </row>
    <row r="9028" spans="1:12" x14ac:dyDescent="0.45">
      <c r="A9028" s="12" t="s">
        <v>16282</v>
      </c>
      <c r="B9028" s="12" t="s">
        <v>5373</v>
      </c>
      <c r="C9028" s="13" t="s">
        <v>5374</v>
      </c>
      <c r="D9028" s="13" t="s">
        <v>179</v>
      </c>
      <c r="E9028" s="12" t="s">
        <v>16</v>
      </c>
      <c r="F9028" s="14">
        <v>18000</v>
      </c>
      <c r="G9028" s="14">
        <v>12070</v>
      </c>
      <c r="H9028" s="13" t="s">
        <v>16309</v>
      </c>
      <c r="I9028" s="40" t="s">
        <v>18</v>
      </c>
      <c r="J9028" s="40" t="str">
        <f>HYPERLINK("https://stock.pstatic.net/stock-research/company/64/20250910_company_460189000.pdf","PDF")</f>
        <v>PDF</v>
      </c>
      <c r="K9028" s="12" t="s">
        <v>16310</v>
      </c>
      <c r="L9028" s="20">
        <v>0.49130074565037279</v>
      </c>
    </row>
    <row r="9029" spans="1:12" x14ac:dyDescent="0.45">
      <c r="A9029" s="12" t="s">
        <v>16282</v>
      </c>
      <c r="B9029" s="12" t="s">
        <v>14366</v>
      </c>
      <c r="C9029" s="13" t="s">
        <v>14367</v>
      </c>
      <c r="D9029" s="13" t="s">
        <v>179</v>
      </c>
      <c r="E9029" s="12" t="s">
        <v>16</v>
      </c>
      <c r="F9029" s="14">
        <v>9500</v>
      </c>
      <c r="G9029" s="14">
        <v>6740</v>
      </c>
      <c r="H9029" s="13" t="s">
        <v>16311</v>
      </c>
      <c r="I9029" s="40" t="s">
        <v>18</v>
      </c>
      <c r="J9029" s="40" t="str">
        <f>HYPERLINK("https://stock.pstatic.net/stock-research/company/64/20250910_company_731060000.pdf","PDF")</f>
        <v>PDF</v>
      </c>
      <c r="K9029" s="12" t="s">
        <v>16312</v>
      </c>
      <c r="L9029" s="20">
        <v>0.40949554896142432</v>
      </c>
    </row>
    <row r="9030" spans="1:12" x14ac:dyDescent="0.45">
      <c r="A9030" s="12" t="s">
        <v>16282</v>
      </c>
      <c r="B9030" s="12" t="s">
        <v>426</v>
      </c>
      <c r="C9030" s="13" t="s">
        <v>427</v>
      </c>
      <c r="D9030" s="13" t="s">
        <v>179</v>
      </c>
      <c r="E9030" s="12" t="s">
        <v>16</v>
      </c>
      <c r="F9030" s="14">
        <v>25000</v>
      </c>
      <c r="G9030" s="14">
        <v>21450</v>
      </c>
      <c r="H9030" s="13" t="s">
        <v>16313</v>
      </c>
      <c r="I9030" s="40" t="s">
        <v>18</v>
      </c>
      <c r="J9030" s="40" t="str">
        <f>HYPERLINK("https://stock.pstatic.net/stock-research/company/64/20250910_company_308167000.pdf","PDF")</f>
        <v>PDF</v>
      </c>
      <c r="K9030" s="12" t="s">
        <v>16314</v>
      </c>
      <c r="L9030" s="20">
        <v>0.1655011655011655</v>
      </c>
    </row>
    <row r="9031" spans="1:12" x14ac:dyDescent="0.45">
      <c r="A9031" s="12" t="s">
        <v>16282</v>
      </c>
      <c r="B9031" s="12" t="s">
        <v>1019</v>
      </c>
      <c r="C9031" s="13" t="s">
        <v>1020</v>
      </c>
      <c r="D9031" s="13" t="s">
        <v>179</v>
      </c>
      <c r="E9031" s="12" t="s">
        <v>16</v>
      </c>
      <c r="F9031" s="14">
        <v>25000</v>
      </c>
      <c r="G9031" s="14">
        <v>16220</v>
      </c>
      <c r="H9031" s="13" t="s">
        <v>16315</v>
      </c>
      <c r="I9031" s="40" t="s">
        <v>18</v>
      </c>
      <c r="J9031" s="40" t="str">
        <f>HYPERLINK("https://stock.pstatic.net/stock-research/company/64/20250910_company_705787000.pdf","PDF")</f>
        <v>PDF</v>
      </c>
      <c r="K9031" s="12" t="s">
        <v>16316</v>
      </c>
      <c r="L9031" s="20">
        <v>0.54130702836004929</v>
      </c>
    </row>
    <row r="9032" spans="1:12" x14ac:dyDescent="0.45">
      <c r="A9032" s="12" t="s">
        <v>16282</v>
      </c>
      <c r="B9032" s="12" t="s">
        <v>1741</v>
      </c>
      <c r="C9032" s="13" t="s">
        <v>1742</v>
      </c>
      <c r="D9032" s="13" t="s">
        <v>179</v>
      </c>
      <c r="E9032" s="12" t="s">
        <v>16</v>
      </c>
      <c r="F9032" s="14">
        <v>82000</v>
      </c>
      <c r="G9032" s="14">
        <v>52000</v>
      </c>
      <c r="H9032" s="13" t="s">
        <v>16317</v>
      </c>
      <c r="I9032" s="40" t="s">
        <v>18</v>
      </c>
      <c r="J9032" s="40" t="str">
        <f>HYPERLINK("https://stock.pstatic.net/stock-research/company/64/20250910_company_912029000.pdf","PDF")</f>
        <v>PDF</v>
      </c>
      <c r="K9032" s="12" t="s">
        <v>16318</v>
      </c>
      <c r="L9032" s="20">
        <v>0.57692307692307687</v>
      </c>
    </row>
    <row r="9033" spans="1:12" x14ac:dyDescent="0.45">
      <c r="A9033" s="12" t="s">
        <v>16282</v>
      </c>
      <c r="B9033" s="12" t="s">
        <v>268</v>
      </c>
      <c r="C9033" s="13" t="s">
        <v>269</v>
      </c>
      <c r="D9033" s="13" t="s">
        <v>23</v>
      </c>
      <c r="E9033" s="12" t="s">
        <v>16</v>
      </c>
      <c r="F9033" s="14">
        <v>730000</v>
      </c>
      <c r="G9033" s="14">
        <v>476500</v>
      </c>
      <c r="H9033" s="13" t="s">
        <v>16319</v>
      </c>
      <c r="I9033" s="40" t="s">
        <v>18</v>
      </c>
      <c r="J9033" s="40" t="str">
        <f>HYPERLINK("https://stock.pstatic.net/stock-research/company/21/20250910_company_889914000.pdf","PDF")</f>
        <v>PDF</v>
      </c>
      <c r="K9033" s="12" t="s">
        <v>16320</v>
      </c>
      <c r="L9033" s="20">
        <v>0.53200419727177339</v>
      </c>
    </row>
    <row r="9034" spans="1:12" x14ac:dyDescent="0.45">
      <c r="A9034" s="12" t="s">
        <v>16282</v>
      </c>
      <c r="B9034" s="12" t="s">
        <v>916</v>
      </c>
      <c r="C9034" s="13" t="s">
        <v>917</v>
      </c>
      <c r="D9034" s="13" t="s">
        <v>23</v>
      </c>
      <c r="E9034" s="12" t="s">
        <v>16</v>
      </c>
      <c r="F9034" s="14">
        <v>87000</v>
      </c>
      <c r="G9034" s="14">
        <v>59600</v>
      </c>
      <c r="H9034" s="13" t="s">
        <v>16321</v>
      </c>
      <c r="I9034" s="40" t="s">
        <v>18</v>
      </c>
      <c r="J9034" s="40" t="str">
        <f>HYPERLINK("https://stock.pstatic.net/stock-research/company/21/20250910_company_16963000.pdf","PDF")</f>
        <v>PDF</v>
      </c>
      <c r="K9034" s="12" t="s">
        <v>16322</v>
      </c>
      <c r="L9034" s="20">
        <v>0.45973154362416108</v>
      </c>
    </row>
    <row r="9035" spans="1:12" x14ac:dyDescent="0.45">
      <c r="A9035" s="12" t="s">
        <v>16282</v>
      </c>
      <c r="B9035" s="12" t="s">
        <v>12357</v>
      </c>
      <c r="C9035" s="13" t="s">
        <v>12358</v>
      </c>
      <c r="D9035" s="13" t="s">
        <v>44</v>
      </c>
      <c r="E9035" s="12" t="s">
        <v>50</v>
      </c>
      <c r="F9035" s="13"/>
      <c r="G9035" s="14">
        <v>11220</v>
      </c>
      <c r="H9035" s="13" t="s">
        <v>16323</v>
      </c>
      <c r="I9035" s="40" t="s">
        <v>18</v>
      </c>
      <c r="J9035" s="40" t="str">
        <f>HYPERLINK("https://stock.pstatic.net/stock-research/company/39/20250910_company_690401000.pdf","PDF")</f>
        <v>PDF</v>
      </c>
      <c r="K9035" s="12" t="s">
        <v>16324</v>
      </c>
    </row>
    <row r="9036" spans="1:12" x14ac:dyDescent="0.45">
      <c r="A9036" s="12" t="s">
        <v>16282</v>
      </c>
      <c r="B9036" s="12" t="s">
        <v>5489</v>
      </c>
      <c r="C9036" s="13" t="s">
        <v>5490</v>
      </c>
      <c r="D9036" s="13" t="s">
        <v>124</v>
      </c>
      <c r="E9036" s="12" t="s">
        <v>50</v>
      </c>
      <c r="F9036" s="13"/>
      <c r="G9036" s="13"/>
      <c r="H9036" s="13" t="s">
        <v>16325</v>
      </c>
      <c r="I9036" s="40" t="s">
        <v>18</v>
      </c>
      <c r="J9036" s="40" t="str">
        <f>HYPERLINK("https://stock.pstatic.net/stock-research/company/74/20250910_company_773336000.pdf","PDF")</f>
        <v>PDF</v>
      </c>
      <c r="K9036" s="12" t="s">
        <v>16326</v>
      </c>
    </row>
    <row r="9037" spans="1:12" x14ac:dyDescent="0.45">
      <c r="A9037" s="12" t="s">
        <v>16282</v>
      </c>
      <c r="B9037" s="12" t="s">
        <v>3194</v>
      </c>
      <c r="C9037" s="13" t="s">
        <v>3195</v>
      </c>
      <c r="D9037" s="13" t="s">
        <v>124</v>
      </c>
      <c r="E9037" s="12" t="s">
        <v>50</v>
      </c>
      <c r="F9037" s="13"/>
      <c r="G9037" s="13"/>
      <c r="H9037" s="13" t="s">
        <v>16327</v>
      </c>
      <c r="I9037" s="40" t="s">
        <v>18</v>
      </c>
      <c r="J9037" s="40" t="str">
        <f>HYPERLINK("https://stock.pstatic.net/stock-research/company/74/20250910_company_199641000.pdf","PDF")</f>
        <v>PDF</v>
      </c>
      <c r="K9037" s="12" t="s">
        <v>16328</v>
      </c>
    </row>
    <row r="9038" spans="1:12" x14ac:dyDescent="0.45">
      <c r="A9038" s="12" t="s">
        <v>16282</v>
      </c>
      <c r="B9038" s="12" t="s">
        <v>2960</v>
      </c>
      <c r="C9038" s="13" t="s">
        <v>2961</v>
      </c>
      <c r="D9038" s="13" t="s">
        <v>53</v>
      </c>
      <c r="E9038" s="12" t="s">
        <v>50</v>
      </c>
      <c r="F9038" s="14">
        <v>55000</v>
      </c>
      <c r="G9038" s="14">
        <v>49050</v>
      </c>
      <c r="H9038" s="13" t="s">
        <v>16329</v>
      </c>
      <c r="I9038" s="40" t="s">
        <v>18</v>
      </c>
      <c r="J9038" s="40" t="str">
        <f>HYPERLINK("https://stock.pstatic.net/stock-research/company/40/20250910_company_600333000.pdf","PDF")</f>
        <v>PDF</v>
      </c>
      <c r="K9038" s="12" t="s">
        <v>16330</v>
      </c>
      <c r="L9038" s="20">
        <v>0.1213047910295617</v>
      </c>
    </row>
    <row r="9039" spans="1:12" x14ac:dyDescent="0.45">
      <c r="A9039" s="12" t="s">
        <v>16282</v>
      </c>
      <c r="B9039" s="12" t="s">
        <v>1176</v>
      </c>
      <c r="C9039" s="13" t="s">
        <v>1177</v>
      </c>
      <c r="D9039" s="13" t="s">
        <v>53</v>
      </c>
      <c r="E9039" s="12" t="s">
        <v>16</v>
      </c>
      <c r="F9039" s="14">
        <v>9500</v>
      </c>
      <c r="G9039" s="14">
        <v>7850</v>
      </c>
      <c r="H9039" s="13" t="s">
        <v>16331</v>
      </c>
      <c r="I9039" s="40" t="s">
        <v>18</v>
      </c>
      <c r="J9039" s="40" t="str">
        <f>HYPERLINK("https://stock.pstatic.net/stock-research/company/40/20250910_company_367325000.pdf","PDF")</f>
        <v>PDF</v>
      </c>
      <c r="K9039" s="12" t="s">
        <v>16332</v>
      </c>
      <c r="L9039" s="20">
        <v>0.21019108280254781</v>
      </c>
    </row>
    <row r="9040" spans="1:12" x14ac:dyDescent="0.45">
      <c r="A9040" s="12" t="s">
        <v>16333</v>
      </c>
      <c r="B9040" s="12" t="s">
        <v>370</v>
      </c>
      <c r="C9040" s="13" t="s">
        <v>371</v>
      </c>
      <c r="D9040" s="13" t="s">
        <v>57</v>
      </c>
      <c r="E9040" s="12" t="s">
        <v>35</v>
      </c>
      <c r="F9040" s="14">
        <v>130000</v>
      </c>
      <c r="G9040" s="14">
        <v>101200</v>
      </c>
      <c r="H9040" s="13" t="s">
        <v>16334</v>
      </c>
      <c r="I9040" s="40" t="s">
        <v>18</v>
      </c>
      <c r="J9040" s="40" t="str">
        <f>HYPERLINK("https://stock.pstatic.net/stock-research/company/16/20250909_company_727611000.pdf","PDF")</f>
        <v>PDF</v>
      </c>
      <c r="K9040" s="12" t="s">
        <v>16335</v>
      </c>
      <c r="L9040" s="20">
        <v>0.28458498023715417</v>
      </c>
    </row>
    <row r="9041" spans="1:12" x14ac:dyDescent="0.45">
      <c r="A9041" s="12" t="s">
        <v>16333</v>
      </c>
      <c r="B9041" s="12" t="s">
        <v>1015</v>
      </c>
      <c r="C9041" s="13" t="s">
        <v>1016</v>
      </c>
      <c r="D9041" s="13" t="s">
        <v>60</v>
      </c>
      <c r="E9041" s="12" t="s">
        <v>50</v>
      </c>
      <c r="F9041" s="13"/>
      <c r="G9041" s="14">
        <v>18240</v>
      </c>
      <c r="H9041" s="13" t="s">
        <v>16336</v>
      </c>
      <c r="I9041" s="40" t="s">
        <v>18</v>
      </c>
      <c r="J9041" s="40" t="str">
        <f>HYPERLINK("https://stock.pstatic.net/stock-research/company/34/20250909_company_735658000.pdf","PDF")</f>
        <v>PDF</v>
      </c>
      <c r="K9041" s="12" t="s">
        <v>16337</v>
      </c>
    </row>
    <row r="9042" spans="1:12" x14ac:dyDescent="0.45">
      <c r="A9042" s="12" t="s">
        <v>16333</v>
      </c>
      <c r="B9042" s="12" t="s">
        <v>2956</v>
      </c>
      <c r="C9042" s="13" t="s">
        <v>2957</v>
      </c>
      <c r="D9042" s="13" t="s">
        <v>65</v>
      </c>
      <c r="E9042" s="12" t="s">
        <v>35</v>
      </c>
      <c r="F9042" s="14">
        <v>24000</v>
      </c>
      <c r="G9042" s="14">
        <v>19170</v>
      </c>
      <c r="H9042" s="13" t="s">
        <v>16338</v>
      </c>
      <c r="I9042" s="40" t="s">
        <v>18</v>
      </c>
      <c r="J9042" s="40" t="str">
        <f>HYPERLINK("https://stock.pstatic.net/stock-research/company/57/20250909_company_647611000.pdf","PDF")</f>
        <v>PDF</v>
      </c>
      <c r="K9042" s="12" t="s">
        <v>16339</v>
      </c>
      <c r="L9042" s="20">
        <v>0.2519561815336463</v>
      </c>
    </row>
    <row r="9043" spans="1:12" x14ac:dyDescent="0.45">
      <c r="A9043" s="12" t="s">
        <v>16333</v>
      </c>
      <c r="B9043" s="12" t="s">
        <v>2887</v>
      </c>
      <c r="C9043" s="13" t="s">
        <v>2888</v>
      </c>
      <c r="D9043" s="13" t="s">
        <v>158</v>
      </c>
      <c r="E9043" s="12" t="s">
        <v>35</v>
      </c>
      <c r="F9043" s="14">
        <v>500000</v>
      </c>
      <c r="G9043" s="14">
        <v>275500</v>
      </c>
      <c r="H9043" s="13" t="s">
        <v>16340</v>
      </c>
      <c r="I9043" s="40" t="s">
        <v>18</v>
      </c>
      <c r="J9043" s="40" t="str">
        <f>HYPERLINK("https://stock.pstatic.net/stock-research/company/18/20250909_company_198996000.pdf","PDF")</f>
        <v>PDF</v>
      </c>
      <c r="K9043" s="12" t="s">
        <v>16341</v>
      </c>
      <c r="L9043" s="20">
        <v>0.81488203266787662</v>
      </c>
    </row>
    <row r="9044" spans="1:12" x14ac:dyDescent="0.45">
      <c r="A9044" s="12" t="s">
        <v>16333</v>
      </c>
      <c r="B9044" s="12" t="s">
        <v>334</v>
      </c>
      <c r="C9044" s="13" t="s">
        <v>335</v>
      </c>
      <c r="D9044" s="13" t="s">
        <v>83</v>
      </c>
      <c r="E9044" s="12" t="s">
        <v>35</v>
      </c>
      <c r="F9044" s="14">
        <v>330000</v>
      </c>
      <c r="G9044" s="14">
        <v>277000</v>
      </c>
      <c r="H9044" s="13" t="s">
        <v>16342</v>
      </c>
      <c r="I9044" s="40" t="s">
        <v>18</v>
      </c>
      <c r="J9044" s="40" t="str">
        <f>HYPERLINK("https://stock.pstatic.net/stock-research/company/2/20250909_company_141114000.pdf","PDF")</f>
        <v>PDF</v>
      </c>
      <c r="K9044" s="12" t="s">
        <v>16343</v>
      </c>
      <c r="L9044" s="20">
        <v>0.19133574007220219</v>
      </c>
    </row>
    <row r="9045" spans="1:12" x14ac:dyDescent="0.45">
      <c r="A9045" s="12" t="s">
        <v>16333</v>
      </c>
      <c r="B9045" s="12" t="s">
        <v>842</v>
      </c>
      <c r="C9045" s="13" t="s">
        <v>843</v>
      </c>
      <c r="D9045" s="13" t="s">
        <v>83</v>
      </c>
      <c r="E9045" s="12" t="s">
        <v>50</v>
      </c>
      <c r="F9045" s="13"/>
      <c r="G9045" s="14">
        <v>27100</v>
      </c>
      <c r="H9045" s="13" t="s">
        <v>16344</v>
      </c>
      <c r="I9045" s="40" t="s">
        <v>18</v>
      </c>
      <c r="J9045" s="40" t="str">
        <f>HYPERLINK("https://stock.pstatic.net/stock-research/company/2/20250909_company_103654000.pdf","PDF")</f>
        <v>PDF</v>
      </c>
      <c r="K9045" s="12" t="s">
        <v>16345</v>
      </c>
    </row>
    <row r="9046" spans="1:12" x14ac:dyDescent="0.45">
      <c r="A9046" s="12" t="s">
        <v>16333</v>
      </c>
      <c r="B9046" s="12" t="s">
        <v>2944</v>
      </c>
      <c r="C9046" s="13" t="s">
        <v>2945</v>
      </c>
      <c r="D9046" s="13" t="s">
        <v>23</v>
      </c>
      <c r="E9046" s="12" t="s">
        <v>16</v>
      </c>
      <c r="F9046" s="14">
        <v>17000</v>
      </c>
      <c r="G9046" s="14">
        <v>14560</v>
      </c>
      <c r="H9046" s="13" t="s">
        <v>16346</v>
      </c>
      <c r="I9046" s="40" t="s">
        <v>18</v>
      </c>
      <c r="J9046" s="40" t="str">
        <f>HYPERLINK("https://stock.pstatic.net/stock-research/company/21/20250909_company_374533000.pdf","PDF")</f>
        <v>PDF</v>
      </c>
      <c r="K9046" s="12" t="s">
        <v>16347</v>
      </c>
      <c r="L9046" s="20">
        <v>0.1675824175824176</v>
      </c>
    </row>
    <row r="9047" spans="1:12" x14ac:dyDescent="0.45">
      <c r="A9047" s="12" t="s">
        <v>16348</v>
      </c>
      <c r="B9047" s="12" t="s">
        <v>16349</v>
      </c>
      <c r="C9047" s="13" t="s">
        <v>16350</v>
      </c>
      <c r="D9047" s="13" t="s">
        <v>57</v>
      </c>
      <c r="E9047" s="12" t="s">
        <v>50</v>
      </c>
      <c r="F9047" s="13"/>
      <c r="G9047" s="14">
        <v>42200</v>
      </c>
      <c r="H9047" s="13" t="s">
        <v>16351</v>
      </c>
      <c r="I9047" s="40" t="s">
        <v>18</v>
      </c>
      <c r="J9047" s="40" t="str">
        <f>HYPERLINK("https://stock.pstatic.net/stock-research/company/16/20250908_company_486405000.pdf","PDF")</f>
        <v>PDF</v>
      </c>
      <c r="K9047" s="12" t="s">
        <v>16352</v>
      </c>
    </row>
    <row r="9048" spans="1:12" x14ac:dyDescent="0.45">
      <c r="A9048" s="12" t="s">
        <v>16348</v>
      </c>
      <c r="B9048" s="12" t="s">
        <v>880</v>
      </c>
      <c r="C9048" s="13" t="s">
        <v>881</v>
      </c>
      <c r="D9048" s="13" t="s">
        <v>57</v>
      </c>
      <c r="E9048" s="12" t="s">
        <v>35</v>
      </c>
      <c r="F9048" s="14">
        <v>20000</v>
      </c>
      <c r="G9048" s="14">
        <v>16730</v>
      </c>
      <c r="H9048" s="13" t="s">
        <v>16353</v>
      </c>
      <c r="I9048" s="40" t="s">
        <v>18</v>
      </c>
      <c r="J9048" s="40" t="str">
        <f>HYPERLINK("https://stock.pstatic.net/stock-research/company/16/20250908_company_483502000.pdf","PDF")</f>
        <v>PDF</v>
      </c>
      <c r="K9048" s="12" t="s">
        <v>16354</v>
      </c>
      <c r="L9048" s="20">
        <v>0.19545726240286909</v>
      </c>
    </row>
    <row r="9049" spans="1:12" x14ac:dyDescent="0.45">
      <c r="A9049" s="12" t="s">
        <v>16348</v>
      </c>
      <c r="B9049" s="12" t="s">
        <v>1666</v>
      </c>
      <c r="C9049" s="13" t="s">
        <v>1667</v>
      </c>
      <c r="D9049" s="13" t="s">
        <v>276</v>
      </c>
      <c r="E9049" s="12" t="s">
        <v>16</v>
      </c>
      <c r="F9049" s="14">
        <v>86000</v>
      </c>
      <c r="G9049" s="14">
        <v>60800</v>
      </c>
      <c r="H9049" s="13" t="s">
        <v>16355</v>
      </c>
      <c r="I9049" s="40" t="s">
        <v>18</v>
      </c>
      <c r="J9049" s="40" t="str">
        <f>HYPERLINK("https://stock.pstatic.net/stock-research/company/66/20250908_company_929725000.pdf","PDF")</f>
        <v>PDF</v>
      </c>
      <c r="K9049" s="12" t="s">
        <v>16356</v>
      </c>
      <c r="L9049" s="20">
        <v>0.41447368421052633</v>
      </c>
    </row>
    <row r="9050" spans="1:12" x14ac:dyDescent="0.45">
      <c r="A9050" s="12" t="s">
        <v>16348</v>
      </c>
      <c r="B9050" s="12" t="s">
        <v>1128</v>
      </c>
      <c r="C9050" s="13" t="s">
        <v>1129</v>
      </c>
      <c r="D9050" s="13" t="s">
        <v>65</v>
      </c>
      <c r="E9050" s="12" t="s">
        <v>35</v>
      </c>
      <c r="F9050" s="14">
        <v>81000</v>
      </c>
      <c r="G9050" s="14">
        <v>63200</v>
      </c>
      <c r="H9050" s="13" t="s">
        <v>16357</v>
      </c>
      <c r="I9050" s="40" t="s">
        <v>18</v>
      </c>
      <c r="J9050" s="40" t="str">
        <f>HYPERLINK("https://stock.pstatic.net/stock-research/company/57/20250908_company_930322000.pdf","PDF")</f>
        <v>PDF</v>
      </c>
      <c r="K9050" s="12" t="s">
        <v>16358</v>
      </c>
      <c r="L9050" s="20">
        <v>0.28164556962025322</v>
      </c>
    </row>
    <row r="9051" spans="1:12" x14ac:dyDescent="0.45">
      <c r="A9051" s="12" t="s">
        <v>16348</v>
      </c>
      <c r="B9051" s="12" t="s">
        <v>1162</v>
      </c>
      <c r="C9051" s="13" t="s">
        <v>1163</v>
      </c>
      <c r="D9051" s="13" t="s">
        <v>65</v>
      </c>
      <c r="E9051" s="12" t="s">
        <v>35</v>
      </c>
      <c r="F9051" s="14">
        <v>210000</v>
      </c>
      <c r="G9051" s="14">
        <v>175600</v>
      </c>
      <c r="H9051" s="13" t="s">
        <v>16359</v>
      </c>
      <c r="I9051" s="40" t="s">
        <v>18</v>
      </c>
      <c r="J9051" s="40" t="str">
        <f>HYPERLINK("https://stock.pstatic.net/stock-research/company/57/20250908_company_600233000.pdf","PDF")</f>
        <v>PDF</v>
      </c>
      <c r="K9051" s="12" t="s">
        <v>16360</v>
      </c>
      <c r="L9051" s="20">
        <v>0.1958997722095672</v>
      </c>
    </row>
    <row r="9052" spans="1:12" x14ac:dyDescent="0.45">
      <c r="A9052" s="12" t="s">
        <v>16348</v>
      </c>
      <c r="B9052" s="12" t="s">
        <v>698</v>
      </c>
      <c r="C9052" s="13" t="s">
        <v>699</v>
      </c>
      <c r="D9052" s="13" t="s">
        <v>15</v>
      </c>
      <c r="E9052" s="12" t="s">
        <v>16</v>
      </c>
      <c r="F9052" s="14">
        <v>270000</v>
      </c>
      <c r="G9052" s="14">
        <v>206500</v>
      </c>
      <c r="H9052" s="13" t="s">
        <v>16361</v>
      </c>
      <c r="I9052" s="40" t="s">
        <v>18</v>
      </c>
      <c r="J9052" s="40" t="str">
        <f>HYPERLINK("https://stock.pstatic.net/stock-research/company/29/20250908_company_551465000.pdf","PDF")</f>
        <v>PDF</v>
      </c>
      <c r="K9052" s="12" t="s">
        <v>16362</v>
      </c>
      <c r="L9052" s="20">
        <v>0.30750605326876512</v>
      </c>
    </row>
    <row r="9053" spans="1:12" x14ac:dyDescent="0.45">
      <c r="A9053" s="12" t="s">
        <v>16348</v>
      </c>
      <c r="B9053" s="12" t="s">
        <v>1128</v>
      </c>
      <c r="C9053" s="13" t="s">
        <v>1129</v>
      </c>
      <c r="D9053" s="13" t="s">
        <v>179</v>
      </c>
      <c r="E9053" s="12" t="s">
        <v>16</v>
      </c>
      <c r="F9053" s="14">
        <v>79000</v>
      </c>
      <c r="G9053" s="14">
        <v>63200</v>
      </c>
      <c r="H9053" s="13" t="s">
        <v>16363</v>
      </c>
      <c r="I9053" s="40" t="s">
        <v>18</v>
      </c>
      <c r="J9053" s="40" t="str">
        <f>HYPERLINK("https://stock.pstatic.net/stock-research/company/64/20250908_company_10655000.pdf","PDF")</f>
        <v>PDF</v>
      </c>
      <c r="K9053" s="12" t="s">
        <v>16364</v>
      </c>
      <c r="L9053" s="20">
        <v>0.25</v>
      </c>
    </row>
    <row r="9054" spans="1:12" x14ac:dyDescent="0.45">
      <c r="A9054" s="12" t="s">
        <v>16348</v>
      </c>
      <c r="B9054" s="12" t="s">
        <v>2308</v>
      </c>
      <c r="C9054" s="13" t="s">
        <v>2309</v>
      </c>
      <c r="D9054" s="13" t="s">
        <v>92</v>
      </c>
      <c r="E9054" s="12" t="s">
        <v>35</v>
      </c>
      <c r="F9054" s="14">
        <v>21000</v>
      </c>
      <c r="G9054" s="14">
        <v>15200</v>
      </c>
      <c r="H9054" s="13" t="s">
        <v>16365</v>
      </c>
      <c r="I9054" s="40" t="s">
        <v>18</v>
      </c>
      <c r="J9054" s="40" t="str">
        <f>HYPERLINK("https://stock.pstatic.net/stock-research/company/63/20250908_company_744861000.pdf","PDF")</f>
        <v>PDF</v>
      </c>
      <c r="K9054" s="12" t="s">
        <v>16366</v>
      </c>
      <c r="L9054" s="20">
        <v>0.38157894736842107</v>
      </c>
    </row>
    <row r="9055" spans="1:12" x14ac:dyDescent="0.45">
      <c r="A9055" s="12" t="s">
        <v>16348</v>
      </c>
      <c r="B9055" s="12" t="s">
        <v>1666</v>
      </c>
      <c r="C9055" s="13" t="s">
        <v>1667</v>
      </c>
      <c r="D9055" s="13" t="s">
        <v>15</v>
      </c>
      <c r="E9055" s="12" t="s">
        <v>16</v>
      </c>
      <c r="F9055" s="14">
        <v>90000</v>
      </c>
      <c r="G9055" s="14">
        <v>60800</v>
      </c>
      <c r="H9055" s="13" t="s">
        <v>16367</v>
      </c>
      <c r="I9055" s="40" t="s">
        <v>18</v>
      </c>
      <c r="J9055" s="40" t="str">
        <f>HYPERLINK("https://stock.pstatic.net/stock-research/company/29/20250908_company_978482000.pdf","PDF")</f>
        <v>PDF</v>
      </c>
      <c r="K9055" s="12" t="s">
        <v>16368</v>
      </c>
      <c r="L9055" s="20">
        <v>0.48026315789473678</v>
      </c>
    </row>
    <row r="9056" spans="1:12" x14ac:dyDescent="0.45">
      <c r="A9056" s="12" t="s">
        <v>16348</v>
      </c>
      <c r="B9056" s="12" t="s">
        <v>3988</v>
      </c>
      <c r="C9056" s="13" t="s">
        <v>3989</v>
      </c>
      <c r="D9056" s="13" t="s">
        <v>92</v>
      </c>
      <c r="E9056" s="12" t="s">
        <v>50</v>
      </c>
      <c r="F9056" s="13"/>
      <c r="G9056" s="14">
        <v>5280</v>
      </c>
      <c r="H9056" s="13" t="s">
        <v>16369</v>
      </c>
      <c r="I9056" s="40" t="s">
        <v>18</v>
      </c>
      <c r="J9056" s="40" t="str">
        <f>HYPERLINK("https://stock.pstatic.net/stock-research/company/63/20250908_company_48223000.pdf","PDF")</f>
        <v>PDF</v>
      </c>
      <c r="K9056" s="12" t="s">
        <v>16370</v>
      </c>
    </row>
    <row r="9057" spans="1:12" x14ac:dyDescent="0.45">
      <c r="A9057" s="12" t="s">
        <v>16348</v>
      </c>
      <c r="B9057" s="12" t="s">
        <v>868</v>
      </c>
      <c r="C9057" s="13" t="s">
        <v>869</v>
      </c>
      <c r="D9057" s="13" t="s">
        <v>34</v>
      </c>
      <c r="E9057" s="12" t="s">
        <v>35</v>
      </c>
      <c r="F9057" s="14">
        <v>70000</v>
      </c>
      <c r="G9057" s="14">
        <v>45050</v>
      </c>
      <c r="H9057" s="13" t="s">
        <v>16371</v>
      </c>
      <c r="I9057" s="40" t="s">
        <v>18</v>
      </c>
      <c r="J9057" s="40" t="str">
        <f>HYPERLINK("https://stock.pstatic.net/stock-research/company/61/20250908_company_357308000.pdf","PDF")</f>
        <v>PDF</v>
      </c>
      <c r="K9057" s="12" t="s">
        <v>16372</v>
      </c>
      <c r="L9057" s="20">
        <v>0.55382907880133181</v>
      </c>
    </row>
    <row r="9058" spans="1:12" x14ac:dyDescent="0.45">
      <c r="A9058" s="12" t="s">
        <v>16348</v>
      </c>
      <c r="B9058" s="12" t="s">
        <v>2378</v>
      </c>
      <c r="C9058" s="13" t="s">
        <v>2379</v>
      </c>
      <c r="D9058" s="13" t="s">
        <v>23</v>
      </c>
      <c r="E9058" s="12" t="s">
        <v>16</v>
      </c>
      <c r="F9058" s="14">
        <v>430000</v>
      </c>
      <c r="G9058" s="14">
        <v>343000</v>
      </c>
      <c r="H9058" s="13" t="s">
        <v>16373</v>
      </c>
      <c r="I9058" s="40" t="s">
        <v>18</v>
      </c>
      <c r="J9058" s="40" t="str">
        <f>HYPERLINK("https://stock.pstatic.net/stock-research/company/21/20250908_company_903736000.pdf","PDF")</f>
        <v>PDF</v>
      </c>
      <c r="K9058" s="12" t="s">
        <v>16374</v>
      </c>
      <c r="L9058" s="20">
        <v>0.25364431486880468</v>
      </c>
    </row>
    <row r="9059" spans="1:12" x14ac:dyDescent="0.45">
      <c r="A9059" s="12" t="s">
        <v>16348</v>
      </c>
      <c r="B9059" s="12" t="s">
        <v>1912</v>
      </c>
      <c r="C9059" s="13" t="s">
        <v>7834</v>
      </c>
      <c r="D9059" s="13" t="s">
        <v>23</v>
      </c>
      <c r="E9059" s="12" t="s">
        <v>50</v>
      </c>
      <c r="F9059" s="13"/>
      <c r="G9059" s="14">
        <v>64600</v>
      </c>
      <c r="H9059" s="13" t="s">
        <v>16375</v>
      </c>
      <c r="I9059" s="40" t="s">
        <v>18</v>
      </c>
      <c r="J9059" s="40" t="str">
        <f>HYPERLINK("https://stock.pstatic.net/stock-research/company/21/20250908_company_503876000.pdf","PDF")</f>
        <v>PDF</v>
      </c>
      <c r="K9059" s="12" t="s">
        <v>16376</v>
      </c>
    </row>
    <row r="9060" spans="1:12" x14ac:dyDescent="0.45">
      <c r="A9060" s="12" t="s">
        <v>16348</v>
      </c>
      <c r="B9060" s="12" t="s">
        <v>16377</v>
      </c>
      <c r="C9060" s="13" t="s">
        <v>16378</v>
      </c>
      <c r="D9060" s="13" t="s">
        <v>23</v>
      </c>
      <c r="E9060" s="12" t="s">
        <v>50</v>
      </c>
      <c r="F9060" s="13"/>
      <c r="G9060" s="14">
        <v>7840</v>
      </c>
      <c r="H9060" s="13" t="s">
        <v>16379</v>
      </c>
      <c r="I9060" s="40" t="s">
        <v>18</v>
      </c>
      <c r="J9060" s="40" t="str">
        <f>HYPERLINK("https://stock.pstatic.net/stock-research/company/21/20250908_company_143311000.pdf","PDF")</f>
        <v>PDF</v>
      </c>
      <c r="K9060" s="12" t="s">
        <v>16380</v>
      </c>
    </row>
    <row r="9061" spans="1:12" x14ac:dyDescent="0.45">
      <c r="A9061" s="12" t="s">
        <v>16348</v>
      </c>
      <c r="B9061" s="12" t="s">
        <v>268</v>
      </c>
      <c r="C9061" s="13" t="s">
        <v>269</v>
      </c>
      <c r="D9061" s="13" t="s">
        <v>23</v>
      </c>
      <c r="E9061" s="12" t="s">
        <v>16</v>
      </c>
      <c r="F9061" s="14">
        <v>730000</v>
      </c>
      <c r="G9061" s="14">
        <v>475500</v>
      </c>
      <c r="H9061" s="13" t="s">
        <v>16381</v>
      </c>
      <c r="I9061" s="40" t="s">
        <v>18</v>
      </c>
      <c r="J9061" s="40" t="str">
        <f>HYPERLINK("https://stock.pstatic.net/stock-research/company/21/20250908_company_275382000.pdf","PDF")</f>
        <v>PDF</v>
      </c>
      <c r="K9061" s="12" t="s">
        <v>16382</v>
      </c>
      <c r="L9061" s="20">
        <v>0.5352260778128286</v>
      </c>
    </row>
    <row r="9062" spans="1:12" x14ac:dyDescent="0.45">
      <c r="A9062" s="12" t="s">
        <v>16348</v>
      </c>
      <c r="B9062" s="12" t="s">
        <v>1912</v>
      </c>
      <c r="C9062" s="13" t="s">
        <v>7834</v>
      </c>
      <c r="D9062" s="13" t="s">
        <v>34</v>
      </c>
      <c r="E9062" s="12" t="s">
        <v>50</v>
      </c>
      <c r="F9062" s="13"/>
      <c r="G9062" s="14">
        <v>64600</v>
      </c>
      <c r="H9062" s="13" t="s">
        <v>16383</v>
      </c>
      <c r="I9062" s="40" t="s">
        <v>18</v>
      </c>
      <c r="J9062" s="40" t="str">
        <f>HYPERLINK("https://stock.pstatic.net/stock-research/company/61/20250908_company_493277000.pdf","PDF")</f>
        <v>PDF</v>
      </c>
      <c r="K9062" s="12" t="s">
        <v>16384</v>
      </c>
    </row>
    <row r="9063" spans="1:12" x14ac:dyDescent="0.45">
      <c r="A9063" s="12" t="s">
        <v>16348</v>
      </c>
      <c r="B9063" s="12" t="s">
        <v>14281</v>
      </c>
      <c r="C9063" s="13" t="s">
        <v>14282</v>
      </c>
      <c r="D9063" s="13" t="s">
        <v>34</v>
      </c>
      <c r="E9063" s="12" t="s">
        <v>50</v>
      </c>
      <c r="F9063" s="13"/>
      <c r="G9063" s="14">
        <v>8800</v>
      </c>
      <c r="H9063" s="13" t="s">
        <v>16385</v>
      </c>
      <c r="I9063" s="40" t="s">
        <v>18</v>
      </c>
      <c r="J9063" s="40" t="str">
        <f>HYPERLINK("https://stock.pstatic.net/stock-research/company/61/20250908_company_42769000.pdf","PDF")</f>
        <v>PDF</v>
      </c>
      <c r="K9063" s="12" t="s">
        <v>16386</v>
      </c>
    </row>
    <row r="9064" spans="1:12" x14ac:dyDescent="0.45">
      <c r="A9064" s="12" t="s">
        <v>16348</v>
      </c>
      <c r="B9064" s="12" t="s">
        <v>999</v>
      </c>
      <c r="C9064" s="13" t="s">
        <v>1000</v>
      </c>
      <c r="D9064" s="13" t="s">
        <v>34</v>
      </c>
      <c r="E9064" s="12" t="s">
        <v>50</v>
      </c>
      <c r="F9064" s="13"/>
      <c r="G9064" s="14">
        <v>35000</v>
      </c>
      <c r="H9064" s="13" t="s">
        <v>16387</v>
      </c>
      <c r="I9064" s="40" t="s">
        <v>18</v>
      </c>
      <c r="J9064" s="40" t="str">
        <f>HYPERLINK("https://stock.pstatic.net/stock-research/company/61/20250908_company_547167000.pdf","PDF")</f>
        <v>PDF</v>
      </c>
      <c r="K9064" s="12" t="s">
        <v>16388</v>
      </c>
    </row>
    <row r="9065" spans="1:12" x14ac:dyDescent="0.45">
      <c r="A9065" s="12" t="s">
        <v>16348</v>
      </c>
      <c r="B9065" s="12" t="s">
        <v>2658</v>
      </c>
      <c r="C9065" s="13" t="s">
        <v>2659</v>
      </c>
      <c r="D9065" s="13" t="s">
        <v>44</v>
      </c>
      <c r="E9065" s="12" t="s">
        <v>50</v>
      </c>
      <c r="F9065" s="13"/>
      <c r="G9065" s="13"/>
      <c r="H9065" s="13" t="s">
        <v>16389</v>
      </c>
      <c r="I9065" s="40" t="s">
        <v>18</v>
      </c>
      <c r="J9065" s="40" t="str">
        <f>HYPERLINK("https://stock.pstatic.net/stock-research/company/39/20250908_company_6603000.pdf","PDF")</f>
        <v>PDF</v>
      </c>
      <c r="K9065" s="12" t="s">
        <v>16390</v>
      </c>
    </row>
    <row r="9066" spans="1:12" x14ac:dyDescent="0.45">
      <c r="A9066" s="12" t="s">
        <v>16348</v>
      </c>
      <c r="B9066" s="12" t="s">
        <v>456</v>
      </c>
      <c r="C9066" s="13" t="s">
        <v>457</v>
      </c>
      <c r="D9066" s="13" t="s">
        <v>23</v>
      </c>
      <c r="E9066" s="12" t="s">
        <v>50</v>
      </c>
      <c r="F9066" s="13"/>
      <c r="G9066" s="14">
        <v>6230</v>
      </c>
      <c r="H9066" s="13" t="s">
        <v>16391</v>
      </c>
      <c r="I9066" s="40" t="s">
        <v>18</v>
      </c>
      <c r="J9066" s="40" t="str">
        <f>HYPERLINK("https://stock.pstatic.net/stock-research/company/21/20250908_company_155492000.pdf","PDF")</f>
        <v>PDF</v>
      </c>
      <c r="K9066" s="12" t="s">
        <v>16392</v>
      </c>
    </row>
    <row r="9067" spans="1:12" x14ac:dyDescent="0.45">
      <c r="A9067" s="12" t="s">
        <v>16348</v>
      </c>
      <c r="B9067" s="12" t="s">
        <v>106</v>
      </c>
      <c r="C9067" s="13" t="s">
        <v>107</v>
      </c>
      <c r="D9067" s="13" t="s">
        <v>34</v>
      </c>
      <c r="E9067" s="12" t="s">
        <v>50</v>
      </c>
      <c r="F9067" s="13"/>
      <c r="G9067" s="14">
        <v>62400</v>
      </c>
      <c r="H9067" s="13" t="s">
        <v>16393</v>
      </c>
      <c r="I9067" s="40" t="s">
        <v>18</v>
      </c>
      <c r="J9067" s="40" t="str">
        <f>HYPERLINK("https://stock.pstatic.net/stock-research/company/61/20250908_company_929706000.pdf","PDF")</f>
        <v>PDF</v>
      </c>
      <c r="K9067" s="12" t="s">
        <v>16394</v>
      </c>
    </row>
    <row r="9068" spans="1:12" x14ac:dyDescent="0.45">
      <c r="A9068" s="12" t="s">
        <v>16348</v>
      </c>
      <c r="B9068" s="12" t="s">
        <v>2414</v>
      </c>
      <c r="C9068" s="13" t="s">
        <v>2415</v>
      </c>
      <c r="D9068" s="13" t="s">
        <v>92</v>
      </c>
      <c r="E9068" s="12" t="s">
        <v>35</v>
      </c>
      <c r="F9068" s="14">
        <v>980000</v>
      </c>
      <c r="G9068" s="14">
        <v>579000</v>
      </c>
      <c r="H9068" s="13" t="s">
        <v>16395</v>
      </c>
      <c r="I9068" s="40" t="s">
        <v>18</v>
      </c>
      <c r="J9068" s="40" t="str">
        <f>HYPERLINK("https://stock.pstatic.net/stock-research/company/63/20250908_company_272537000.pdf","PDF")</f>
        <v>PDF</v>
      </c>
      <c r="K9068" s="12" t="s">
        <v>16396</v>
      </c>
      <c r="L9068" s="20">
        <v>0.69257340241796206</v>
      </c>
    </row>
    <row r="9069" spans="1:12" x14ac:dyDescent="0.45">
      <c r="A9069" s="12" t="s">
        <v>16397</v>
      </c>
      <c r="B9069" s="12" t="s">
        <v>4921</v>
      </c>
      <c r="C9069" s="13" t="s">
        <v>4922</v>
      </c>
      <c r="D9069" s="13" t="s">
        <v>276</v>
      </c>
      <c r="E9069" s="12" t="s">
        <v>16</v>
      </c>
      <c r="F9069" s="14">
        <v>30000</v>
      </c>
      <c r="G9069" s="14">
        <v>21250</v>
      </c>
      <c r="H9069" s="13" t="s">
        <v>16398</v>
      </c>
      <c r="I9069" s="40" t="s">
        <v>18</v>
      </c>
      <c r="J9069" s="40" t="str">
        <f>HYPERLINK("https://stock.pstatic.net/stock-research/company/66/20250905_company_88228000.pdf","PDF")</f>
        <v>PDF</v>
      </c>
      <c r="K9069" s="12" t="s">
        <v>16399</v>
      </c>
      <c r="L9069" s="20">
        <v>0.41176470588235292</v>
      </c>
    </row>
    <row r="9070" spans="1:12" x14ac:dyDescent="0.45">
      <c r="A9070" s="12" t="s">
        <v>16397</v>
      </c>
      <c r="B9070" s="12" t="s">
        <v>4910</v>
      </c>
      <c r="C9070" s="13" t="s">
        <v>4911</v>
      </c>
      <c r="D9070" s="13" t="s">
        <v>60</v>
      </c>
      <c r="E9070" s="12" t="s">
        <v>50</v>
      </c>
      <c r="F9070" s="13"/>
      <c r="G9070" s="14">
        <v>6490</v>
      </c>
      <c r="H9070" s="13" t="s">
        <v>16400</v>
      </c>
      <c r="I9070" s="40" t="s">
        <v>18</v>
      </c>
      <c r="J9070" s="40" t="str">
        <f>HYPERLINK("https://stock.pstatic.net/stock-research/company/34/20250905_company_460117000.pdf","PDF")</f>
        <v>PDF</v>
      </c>
      <c r="K9070" s="12" t="s">
        <v>16401</v>
      </c>
    </row>
    <row r="9071" spans="1:12" x14ac:dyDescent="0.45">
      <c r="A9071" s="12" t="s">
        <v>16397</v>
      </c>
      <c r="B9071" s="12" t="s">
        <v>10852</v>
      </c>
      <c r="C9071" s="13" t="s">
        <v>10853</v>
      </c>
      <c r="D9071" s="13" t="s">
        <v>65</v>
      </c>
      <c r="E9071" s="12" t="s">
        <v>50</v>
      </c>
      <c r="F9071" s="13"/>
      <c r="G9071" s="14">
        <v>24150</v>
      </c>
      <c r="H9071" s="13" t="s">
        <v>16402</v>
      </c>
      <c r="I9071" s="40" t="s">
        <v>18</v>
      </c>
      <c r="J9071" s="40" t="str">
        <f>HYPERLINK("https://stock.pstatic.net/stock-research/company/57/20250905_company_13340000.pdf","PDF")</f>
        <v>PDF</v>
      </c>
      <c r="K9071" s="12" t="s">
        <v>16403</v>
      </c>
    </row>
    <row r="9072" spans="1:12" x14ac:dyDescent="0.45">
      <c r="A9072" s="12" t="s">
        <v>16397</v>
      </c>
      <c r="B9072" s="12" t="s">
        <v>625</v>
      </c>
      <c r="C9072" s="13" t="s">
        <v>626</v>
      </c>
      <c r="D9072" s="13" t="s">
        <v>158</v>
      </c>
      <c r="E9072" s="12" t="s">
        <v>50</v>
      </c>
      <c r="F9072" s="13"/>
      <c r="G9072" s="14">
        <v>10440</v>
      </c>
      <c r="H9072" s="13" t="s">
        <v>16404</v>
      </c>
      <c r="I9072" s="40" t="s">
        <v>18</v>
      </c>
      <c r="J9072" s="40" t="str">
        <f>HYPERLINK("https://stock.pstatic.net/stock-research/company/18/20250905_company_970942000.pdf","PDF")</f>
        <v>PDF</v>
      </c>
      <c r="K9072" s="12" t="s">
        <v>16405</v>
      </c>
    </row>
    <row r="9073" spans="1:11" x14ac:dyDescent="0.45">
      <c r="A9073" s="12" t="s">
        <v>16397</v>
      </c>
      <c r="B9073" s="12" t="s">
        <v>2662</v>
      </c>
      <c r="C9073" s="13" t="s">
        <v>2663</v>
      </c>
      <c r="D9073" s="13" t="s">
        <v>23</v>
      </c>
      <c r="E9073" s="12" t="s">
        <v>385</v>
      </c>
      <c r="F9073" s="13"/>
      <c r="G9073" s="14">
        <v>51500</v>
      </c>
      <c r="H9073" s="13" t="s">
        <v>16406</v>
      </c>
      <c r="I9073" s="40" t="s">
        <v>18</v>
      </c>
      <c r="J9073" s="40" t="str">
        <f>HYPERLINK("https://stock.pstatic.net/stock-research/company/21/20250905_company_213221000.pdf","PDF")</f>
        <v>PDF</v>
      </c>
      <c r="K9073" s="12" t="s">
        <v>16407</v>
      </c>
    </row>
    <row r="9074" spans="1:11" x14ac:dyDescent="0.45">
      <c r="A9074" s="12" t="s">
        <v>16397</v>
      </c>
      <c r="B9074" s="12" t="s">
        <v>2849</v>
      </c>
      <c r="C9074" s="13" t="s">
        <v>2850</v>
      </c>
      <c r="D9074" s="13" t="s">
        <v>179</v>
      </c>
      <c r="E9074" s="12" t="s">
        <v>50</v>
      </c>
      <c r="F9074" s="13"/>
      <c r="G9074" s="14">
        <v>10170</v>
      </c>
      <c r="H9074" s="13" t="s">
        <v>16408</v>
      </c>
      <c r="I9074" s="40" t="s">
        <v>18</v>
      </c>
      <c r="J9074" s="40" t="str">
        <f>HYPERLINK("https://stock.pstatic.net/stock-research/company/64/20250905_company_200936000.pdf","PDF")</f>
        <v>PDF</v>
      </c>
      <c r="K9074" s="12" t="s">
        <v>16409</v>
      </c>
    </row>
    <row r="9075" spans="1:11" x14ac:dyDescent="0.45">
      <c r="A9075" s="12" t="s">
        <v>16397</v>
      </c>
      <c r="B9075" s="12" t="s">
        <v>16410</v>
      </c>
      <c r="C9075" s="13" t="s">
        <v>16411</v>
      </c>
      <c r="D9075" s="13" t="s">
        <v>124</v>
      </c>
      <c r="E9075" s="12" t="s">
        <v>50</v>
      </c>
      <c r="F9075" s="13"/>
      <c r="G9075" s="13"/>
      <c r="H9075" s="13" t="s">
        <v>16412</v>
      </c>
      <c r="I9075" s="40" t="s">
        <v>18</v>
      </c>
      <c r="J9075" s="40" t="str">
        <f>HYPERLINK("https://stock.pstatic.net/stock-research/company/74/20250905_company_46821000.pdf","PDF")</f>
        <v>PDF</v>
      </c>
      <c r="K9075" s="12" t="s">
        <v>16413</v>
      </c>
    </row>
    <row r="9076" spans="1:11" x14ac:dyDescent="0.45">
      <c r="A9076" s="12" t="s">
        <v>16397</v>
      </c>
      <c r="B9076" s="12" t="s">
        <v>3700</v>
      </c>
      <c r="C9076" s="13" t="s">
        <v>3701</v>
      </c>
      <c r="D9076" s="13" t="s">
        <v>124</v>
      </c>
      <c r="E9076" s="12" t="s">
        <v>50</v>
      </c>
      <c r="F9076" s="13"/>
      <c r="G9076" s="13"/>
      <c r="H9076" s="13" t="s">
        <v>16414</v>
      </c>
      <c r="I9076" s="40" t="s">
        <v>18</v>
      </c>
      <c r="J9076" s="40" t="str">
        <f>HYPERLINK("https://stock.pstatic.net/stock-research/company/74/20250905_company_473032000.pdf","PDF")</f>
        <v>PDF</v>
      </c>
      <c r="K9076" s="12" t="s">
        <v>16415</v>
      </c>
    </row>
    <row r="9077" spans="1:11" x14ac:dyDescent="0.45">
      <c r="A9077" s="12" t="s">
        <v>16397</v>
      </c>
      <c r="B9077" s="12" t="s">
        <v>16416</v>
      </c>
      <c r="C9077" s="13" t="s">
        <v>16417</v>
      </c>
      <c r="D9077" s="13" t="s">
        <v>207</v>
      </c>
      <c r="E9077" s="12" t="s">
        <v>50</v>
      </c>
      <c r="F9077" s="13"/>
      <c r="G9077" s="13"/>
      <c r="H9077" s="13" t="s">
        <v>16418</v>
      </c>
      <c r="I9077" s="40" t="s">
        <v>18</v>
      </c>
      <c r="J9077" s="40" t="str">
        <f>HYPERLINK("https://stock.pstatic.net/stock-research/company/75/20250905_company_261683000.pdf","PDF")</f>
        <v>PDF</v>
      </c>
      <c r="K9077" s="12" t="s">
        <v>16419</v>
      </c>
    </row>
    <row r="9078" spans="1:11" x14ac:dyDescent="0.45">
      <c r="A9078" s="12" t="s">
        <v>16397</v>
      </c>
      <c r="B9078" s="12" t="s">
        <v>16420</v>
      </c>
      <c r="C9078" s="13" t="s">
        <v>16421</v>
      </c>
      <c r="D9078" s="13" t="s">
        <v>11154</v>
      </c>
      <c r="E9078" s="12" t="s">
        <v>50</v>
      </c>
      <c r="F9078" s="13"/>
      <c r="G9078" s="13"/>
      <c r="H9078" s="13" t="s">
        <v>16422</v>
      </c>
      <c r="I9078" s="40" t="s">
        <v>18</v>
      </c>
      <c r="J9078" s="40" t="str">
        <f>HYPERLINK("https://stock.pstatic.net/stock-research/company/79/20250905_company_353078000.pdf","PDF")</f>
        <v>PDF</v>
      </c>
      <c r="K9078" s="12" t="s">
        <v>16423</v>
      </c>
    </row>
    <row r="9079" spans="1:11" x14ac:dyDescent="0.45">
      <c r="A9079" s="12" t="s">
        <v>16397</v>
      </c>
      <c r="B9079" s="12" t="s">
        <v>16424</v>
      </c>
      <c r="C9079" s="13" t="s">
        <v>16425</v>
      </c>
      <c r="D9079" s="13" t="s">
        <v>202</v>
      </c>
      <c r="E9079" s="12" t="s">
        <v>50</v>
      </c>
      <c r="F9079" s="13"/>
      <c r="G9079" s="13"/>
      <c r="H9079" s="13" t="s">
        <v>16426</v>
      </c>
      <c r="I9079" s="40" t="s">
        <v>18</v>
      </c>
      <c r="J9079" s="40" t="str">
        <f>HYPERLINK("https://stock.pstatic.net/stock-research/company/69/20250905_company_559973000.pdf","PDF")</f>
        <v>PDF</v>
      </c>
      <c r="K9079" s="12" t="s">
        <v>16427</v>
      </c>
    </row>
    <row r="9080" spans="1:11" x14ac:dyDescent="0.45">
      <c r="A9080" s="12" t="s">
        <v>16397</v>
      </c>
      <c r="B9080" s="12" t="s">
        <v>16428</v>
      </c>
      <c r="C9080" s="13" t="s">
        <v>16429</v>
      </c>
      <c r="D9080" s="13" t="s">
        <v>11154</v>
      </c>
      <c r="E9080" s="12" t="s">
        <v>50</v>
      </c>
      <c r="F9080" s="13"/>
      <c r="G9080" s="13"/>
      <c r="H9080" s="13" t="s">
        <v>16430</v>
      </c>
      <c r="I9080" s="40" t="s">
        <v>18</v>
      </c>
      <c r="J9080" s="40" t="str">
        <f>HYPERLINK("https://stock.pstatic.net/stock-research/company/79/20250905_company_768338000.pdf","PDF")</f>
        <v>PDF</v>
      </c>
      <c r="K9080" s="12" t="s">
        <v>16431</v>
      </c>
    </row>
    <row r="9081" spans="1:11" x14ac:dyDescent="0.45">
      <c r="A9081" s="12" t="s">
        <v>16397</v>
      </c>
      <c r="B9081" s="12" t="s">
        <v>16432</v>
      </c>
      <c r="C9081" s="13" t="s">
        <v>16433</v>
      </c>
      <c r="D9081" s="13" t="s">
        <v>207</v>
      </c>
      <c r="E9081" s="12" t="s">
        <v>50</v>
      </c>
      <c r="F9081" s="13"/>
      <c r="G9081" s="13"/>
      <c r="H9081" s="13" t="s">
        <v>16434</v>
      </c>
      <c r="I9081" s="40" t="s">
        <v>18</v>
      </c>
      <c r="J9081" s="40" t="str">
        <f>HYPERLINK("https://stock.pstatic.net/stock-research/company/75/20250905_company_892657000.pdf","PDF")</f>
        <v>PDF</v>
      </c>
      <c r="K9081" s="12" t="s">
        <v>16435</v>
      </c>
    </row>
    <row r="9082" spans="1:11" x14ac:dyDescent="0.45">
      <c r="A9082" s="12" t="s">
        <v>16397</v>
      </c>
      <c r="B9082" s="12" t="s">
        <v>16436</v>
      </c>
      <c r="C9082" s="13" t="s">
        <v>16437</v>
      </c>
      <c r="D9082" s="13" t="s">
        <v>11154</v>
      </c>
      <c r="E9082" s="12" t="s">
        <v>50</v>
      </c>
      <c r="F9082" s="13"/>
      <c r="G9082" s="13"/>
      <c r="H9082" s="13" t="s">
        <v>16438</v>
      </c>
      <c r="I9082" s="40" t="s">
        <v>18</v>
      </c>
      <c r="J9082" s="40" t="str">
        <f>HYPERLINK("https://stock.pstatic.net/stock-research/company/79/20250905_company_377624000.pdf","PDF")</f>
        <v>PDF</v>
      </c>
      <c r="K9082" s="12" t="s">
        <v>16439</v>
      </c>
    </row>
    <row r="9083" spans="1:11" x14ac:dyDescent="0.45">
      <c r="A9083" s="12" t="s">
        <v>16397</v>
      </c>
      <c r="B9083" s="12" t="s">
        <v>16440</v>
      </c>
      <c r="C9083" s="13" t="s">
        <v>16441</v>
      </c>
      <c r="D9083" s="13" t="s">
        <v>11154</v>
      </c>
      <c r="E9083" s="12" t="s">
        <v>50</v>
      </c>
      <c r="F9083" s="13"/>
      <c r="G9083" s="13"/>
      <c r="H9083" s="13" t="s">
        <v>16442</v>
      </c>
      <c r="I9083" s="40" t="s">
        <v>18</v>
      </c>
      <c r="J9083" s="40" t="str">
        <f>HYPERLINK("https://stock.pstatic.net/stock-research/company/79/20250911_company_546053000.pdf","PDF")</f>
        <v>PDF</v>
      </c>
      <c r="K9083" s="12" t="s">
        <v>16443</v>
      </c>
    </row>
    <row r="9084" spans="1:11" x14ac:dyDescent="0.45">
      <c r="A9084" s="12" t="s">
        <v>16397</v>
      </c>
      <c r="B9084" s="12" t="s">
        <v>6071</v>
      </c>
      <c r="C9084" s="13" t="s">
        <v>6072</v>
      </c>
      <c r="D9084" s="13" t="s">
        <v>11154</v>
      </c>
      <c r="E9084" s="12" t="s">
        <v>50</v>
      </c>
      <c r="F9084" s="13"/>
      <c r="G9084" s="13"/>
      <c r="H9084" s="13" t="s">
        <v>16444</v>
      </c>
      <c r="I9084" s="40" t="s">
        <v>18</v>
      </c>
      <c r="J9084" s="40" t="str">
        <f>HYPERLINK("https://stock.pstatic.net/stock-research/company/79/20250905_company_907210000.pdf","PDF")</f>
        <v>PDF</v>
      </c>
      <c r="K9084" s="12" t="s">
        <v>16445</v>
      </c>
    </row>
    <row r="9085" spans="1:11" x14ac:dyDescent="0.45">
      <c r="A9085" s="12" t="s">
        <v>16397</v>
      </c>
      <c r="B9085" s="12" t="s">
        <v>16446</v>
      </c>
      <c r="C9085" s="13" t="s">
        <v>16447</v>
      </c>
      <c r="D9085" s="13" t="s">
        <v>11154</v>
      </c>
      <c r="E9085" s="12" t="s">
        <v>50</v>
      </c>
      <c r="F9085" s="13"/>
      <c r="G9085" s="13"/>
      <c r="H9085" s="13" t="s">
        <v>16448</v>
      </c>
      <c r="I9085" s="40" t="s">
        <v>18</v>
      </c>
      <c r="J9085" s="40" t="str">
        <f>HYPERLINK("https://stock.pstatic.net/stock-research/company/79/20250905_company_947220000.pdf","PDF")</f>
        <v>PDF</v>
      </c>
      <c r="K9085" s="12" t="s">
        <v>16449</v>
      </c>
    </row>
    <row r="9086" spans="1:11" x14ac:dyDescent="0.45">
      <c r="A9086" s="12" t="s">
        <v>16397</v>
      </c>
      <c r="B9086" s="12" t="s">
        <v>16450</v>
      </c>
      <c r="C9086" s="13" t="s">
        <v>16451</v>
      </c>
      <c r="D9086" s="13" t="s">
        <v>202</v>
      </c>
      <c r="E9086" s="12" t="s">
        <v>50</v>
      </c>
      <c r="F9086" s="13"/>
      <c r="G9086" s="13"/>
      <c r="H9086" s="13" t="s">
        <v>16452</v>
      </c>
      <c r="I9086" s="40" t="s">
        <v>18</v>
      </c>
      <c r="J9086" s="40" t="str">
        <f>HYPERLINK("https://stock.pstatic.net/stock-research/company/69/20250905_company_506308000.pdf","PDF")</f>
        <v>PDF</v>
      </c>
      <c r="K9086" s="12" t="s">
        <v>16453</v>
      </c>
    </row>
    <row r="9087" spans="1:11" x14ac:dyDescent="0.45">
      <c r="A9087" s="12" t="s">
        <v>16397</v>
      </c>
      <c r="B9087" s="12" t="s">
        <v>549</v>
      </c>
      <c r="C9087" s="13" t="s">
        <v>550</v>
      </c>
      <c r="D9087" s="13" t="s">
        <v>11154</v>
      </c>
      <c r="E9087" s="12" t="s">
        <v>50</v>
      </c>
      <c r="F9087" s="13"/>
      <c r="G9087" s="13"/>
      <c r="H9087" s="13" t="s">
        <v>16454</v>
      </c>
      <c r="I9087" s="40" t="s">
        <v>18</v>
      </c>
      <c r="J9087" s="40" t="str">
        <f>HYPERLINK("https://stock.pstatic.net/stock-research/company/79/20250905_company_556166000.pdf","PDF")</f>
        <v>PDF</v>
      </c>
      <c r="K9087" s="12" t="s">
        <v>16455</v>
      </c>
    </row>
    <row r="9088" spans="1:11" x14ac:dyDescent="0.45">
      <c r="A9088" s="12" t="s">
        <v>16397</v>
      </c>
      <c r="B9088" s="12" t="s">
        <v>16456</v>
      </c>
      <c r="C9088" s="13" t="s">
        <v>16457</v>
      </c>
      <c r="D9088" s="13" t="s">
        <v>11154</v>
      </c>
      <c r="E9088" s="12" t="s">
        <v>50</v>
      </c>
      <c r="F9088" s="13"/>
      <c r="G9088" s="13"/>
      <c r="H9088" s="13" t="s">
        <v>16458</v>
      </c>
      <c r="I9088" s="40" t="s">
        <v>18</v>
      </c>
      <c r="J9088" s="40" t="str">
        <f>HYPERLINK("https://stock.pstatic.net/stock-research/company/79/20250905_company_665662000.pdf","PDF")</f>
        <v>PDF</v>
      </c>
      <c r="K9088" s="12" t="s">
        <v>16459</v>
      </c>
    </row>
    <row r="9089" spans="1:12" x14ac:dyDescent="0.45">
      <c r="A9089" s="12" t="s">
        <v>16397</v>
      </c>
      <c r="B9089" s="12" t="s">
        <v>16460</v>
      </c>
      <c r="C9089" s="13" t="s">
        <v>16461</v>
      </c>
      <c r="D9089" s="13" t="s">
        <v>202</v>
      </c>
      <c r="E9089" s="12" t="s">
        <v>50</v>
      </c>
      <c r="F9089" s="13"/>
      <c r="G9089" s="13"/>
      <c r="H9089" s="13" t="s">
        <v>16462</v>
      </c>
      <c r="I9089" s="40" t="s">
        <v>18</v>
      </c>
      <c r="J9089" s="40" t="str">
        <f>HYPERLINK("https://stock.pstatic.net/stock-research/company/69/20250905_company_36876000.pdf","PDF")</f>
        <v>PDF</v>
      </c>
      <c r="K9089" s="12" t="s">
        <v>16463</v>
      </c>
    </row>
    <row r="9090" spans="1:12" x14ac:dyDescent="0.45">
      <c r="A9090" s="12" t="s">
        <v>16397</v>
      </c>
      <c r="B9090" s="12" t="s">
        <v>13983</v>
      </c>
      <c r="C9090" s="13" t="s">
        <v>13984</v>
      </c>
      <c r="D9090" s="13" t="s">
        <v>23</v>
      </c>
      <c r="E9090" s="12" t="s">
        <v>16</v>
      </c>
      <c r="F9090" s="14">
        <v>16000</v>
      </c>
      <c r="G9090" s="14">
        <v>14060</v>
      </c>
      <c r="H9090" s="13" t="s">
        <v>16464</v>
      </c>
      <c r="I9090" s="40" t="s">
        <v>18</v>
      </c>
      <c r="J9090" s="40" t="str">
        <f>HYPERLINK("https://stock.pstatic.net/stock-research/company/21/20250905_company_3236000.pdf","PDF")</f>
        <v>PDF</v>
      </c>
      <c r="K9090" s="12" t="s">
        <v>16465</v>
      </c>
      <c r="L9090" s="20">
        <v>0.13798008534850639</v>
      </c>
    </row>
    <row r="9091" spans="1:12" x14ac:dyDescent="0.45">
      <c r="A9091" s="12" t="s">
        <v>16466</v>
      </c>
      <c r="B9091" s="12" t="s">
        <v>772</v>
      </c>
      <c r="C9091" s="13" t="s">
        <v>5840</v>
      </c>
      <c r="D9091" s="13" t="s">
        <v>65</v>
      </c>
      <c r="E9091" s="12" t="s">
        <v>35</v>
      </c>
      <c r="F9091" s="14">
        <v>40000</v>
      </c>
      <c r="G9091" s="14">
        <v>18420</v>
      </c>
      <c r="H9091" s="13" t="s">
        <v>16467</v>
      </c>
      <c r="I9091" s="40" t="s">
        <v>18</v>
      </c>
      <c r="J9091" s="40" t="str">
        <f>HYPERLINK("https://stock.pstatic.net/stock-research/company/57/20250904_company_733053000.pdf","PDF")</f>
        <v>PDF</v>
      </c>
      <c r="K9091" s="12" t="s">
        <v>16468</v>
      </c>
      <c r="L9091" s="20">
        <v>1.171552660152009</v>
      </c>
    </row>
    <row r="9092" spans="1:12" x14ac:dyDescent="0.45">
      <c r="A9092" s="12" t="s">
        <v>16466</v>
      </c>
      <c r="B9092" s="12" t="s">
        <v>2748</v>
      </c>
      <c r="C9092" s="13" t="s">
        <v>2749</v>
      </c>
      <c r="D9092" s="13" t="s">
        <v>83</v>
      </c>
      <c r="E9092" s="12" t="s">
        <v>50</v>
      </c>
      <c r="F9092" s="13"/>
      <c r="G9092" s="14">
        <v>20100</v>
      </c>
      <c r="H9092" s="13" t="s">
        <v>16469</v>
      </c>
      <c r="I9092" s="40" t="s">
        <v>18</v>
      </c>
      <c r="J9092" s="40" t="str">
        <f>HYPERLINK("https://stock.pstatic.net/stock-research/company/2/20250904_company_913218000.pdf","PDF")</f>
        <v>PDF</v>
      </c>
      <c r="K9092" s="12" t="s">
        <v>16470</v>
      </c>
    </row>
    <row r="9093" spans="1:12" x14ac:dyDescent="0.45">
      <c r="A9093" s="12" t="s">
        <v>16466</v>
      </c>
      <c r="B9093" s="12" t="s">
        <v>1660</v>
      </c>
      <c r="C9093" s="13" t="s">
        <v>1661</v>
      </c>
      <c r="D9093" s="13" t="s">
        <v>83</v>
      </c>
      <c r="E9093" s="12" t="s">
        <v>35</v>
      </c>
      <c r="F9093" s="14">
        <v>64000</v>
      </c>
      <c r="G9093" s="14">
        <v>43050</v>
      </c>
      <c r="H9093" s="13" t="s">
        <v>16471</v>
      </c>
      <c r="I9093" s="40" t="s">
        <v>18</v>
      </c>
      <c r="J9093" s="40" t="str">
        <f>HYPERLINK("https://stock.pstatic.net/stock-research/company/2/20250904_company_738073000.pdf","PDF")</f>
        <v>PDF</v>
      </c>
      <c r="K9093" s="12" t="s">
        <v>16472</v>
      </c>
      <c r="L9093" s="20">
        <v>0.48664343786295011</v>
      </c>
    </row>
    <row r="9094" spans="1:12" x14ac:dyDescent="0.45">
      <c r="A9094" s="12" t="s">
        <v>16466</v>
      </c>
      <c r="B9094" s="12" t="s">
        <v>11090</v>
      </c>
      <c r="C9094" s="13" t="s">
        <v>11091</v>
      </c>
      <c r="D9094" s="13" t="s">
        <v>23</v>
      </c>
      <c r="E9094" s="12" t="s">
        <v>50</v>
      </c>
      <c r="F9094" s="13"/>
      <c r="G9094" s="14">
        <v>15600</v>
      </c>
      <c r="H9094" s="13" t="s">
        <v>16473</v>
      </c>
      <c r="I9094" s="40" t="s">
        <v>18</v>
      </c>
      <c r="J9094" s="40" t="str">
        <f>HYPERLINK("https://stock.pstatic.net/stock-research/company/21/20250904_company_969764000.pdf","PDF")</f>
        <v>PDF</v>
      </c>
      <c r="K9094" s="12" t="s">
        <v>16474</v>
      </c>
    </row>
    <row r="9095" spans="1:12" x14ac:dyDescent="0.45">
      <c r="A9095" s="12" t="s">
        <v>16466</v>
      </c>
      <c r="B9095" s="12" t="s">
        <v>1459</v>
      </c>
      <c r="C9095" s="13" t="s">
        <v>1460</v>
      </c>
      <c r="D9095" s="13" t="s">
        <v>179</v>
      </c>
      <c r="E9095" s="12" t="s">
        <v>16</v>
      </c>
      <c r="F9095" s="14">
        <v>270000</v>
      </c>
      <c r="G9095" s="14">
        <v>194500</v>
      </c>
      <c r="H9095" s="13" t="s">
        <v>16475</v>
      </c>
      <c r="I9095" s="40" t="s">
        <v>18</v>
      </c>
      <c r="J9095" s="40" t="str">
        <f>HYPERLINK("https://stock.pstatic.net/stock-research/company/64/20250904_company_62499000.pdf","PDF")</f>
        <v>PDF</v>
      </c>
      <c r="K9095" s="12" t="s">
        <v>16476</v>
      </c>
      <c r="L9095" s="20">
        <v>0.38817480719794351</v>
      </c>
    </row>
    <row r="9096" spans="1:12" x14ac:dyDescent="0.45">
      <c r="A9096" s="12" t="s">
        <v>16466</v>
      </c>
      <c r="B9096" s="12" t="s">
        <v>38</v>
      </c>
      <c r="C9096" s="13" t="s">
        <v>39</v>
      </c>
      <c r="D9096" s="13" t="s">
        <v>179</v>
      </c>
      <c r="E9096" s="12" t="s">
        <v>16</v>
      </c>
      <c r="F9096" s="14">
        <v>330000</v>
      </c>
      <c r="G9096" s="14">
        <v>247500</v>
      </c>
      <c r="H9096" s="13" t="s">
        <v>16477</v>
      </c>
      <c r="I9096" s="40" t="s">
        <v>18</v>
      </c>
      <c r="J9096" s="40" t="str">
        <f>HYPERLINK("https://stock.pstatic.net/stock-research/company/64/20250904_company_124241000.pdf","PDF")</f>
        <v>PDF</v>
      </c>
      <c r="K9096" s="12" t="s">
        <v>16478</v>
      </c>
      <c r="L9096" s="20">
        <v>0.33333333333333331</v>
      </c>
    </row>
    <row r="9097" spans="1:12" x14ac:dyDescent="0.45">
      <c r="A9097" s="12" t="s">
        <v>16466</v>
      </c>
      <c r="B9097" s="12" t="s">
        <v>585</v>
      </c>
      <c r="C9097" s="13" t="s">
        <v>586</v>
      </c>
      <c r="D9097" s="13" t="s">
        <v>53</v>
      </c>
      <c r="E9097" s="12" t="s">
        <v>16</v>
      </c>
      <c r="F9097" s="14">
        <v>62000</v>
      </c>
      <c r="G9097" s="14">
        <v>53800</v>
      </c>
      <c r="H9097" s="13" t="s">
        <v>16479</v>
      </c>
      <c r="I9097" s="40" t="s">
        <v>18</v>
      </c>
      <c r="J9097" s="40" t="str">
        <f>HYPERLINK("https://stock.pstatic.net/stock-research/company/40/20250904_company_262624000.pdf","PDF")</f>
        <v>PDF</v>
      </c>
      <c r="K9097" s="12" t="s">
        <v>16480</v>
      </c>
      <c r="L9097" s="20">
        <v>0.15241635687732341</v>
      </c>
    </row>
    <row r="9098" spans="1:12" x14ac:dyDescent="0.45">
      <c r="A9098" s="12" t="s">
        <v>16466</v>
      </c>
      <c r="B9098" s="12" t="s">
        <v>6737</v>
      </c>
      <c r="C9098" s="13" t="s">
        <v>6738</v>
      </c>
      <c r="D9098" s="13" t="s">
        <v>23</v>
      </c>
      <c r="E9098" s="12" t="s">
        <v>50</v>
      </c>
      <c r="F9098" s="13"/>
      <c r="G9098" s="14">
        <v>1247</v>
      </c>
      <c r="H9098" s="13" t="s">
        <v>16481</v>
      </c>
      <c r="I9098" s="40" t="s">
        <v>18</v>
      </c>
      <c r="J9098" s="40" t="str">
        <f>HYPERLINK("https://stock.pstatic.net/stock-research/company/21/20250904_company_525968000.pdf","PDF")</f>
        <v>PDF</v>
      </c>
      <c r="K9098" s="12" t="s">
        <v>16482</v>
      </c>
    </row>
    <row r="9099" spans="1:12" x14ac:dyDescent="0.45">
      <c r="A9099" s="12" t="s">
        <v>16466</v>
      </c>
      <c r="B9099" s="12" t="s">
        <v>16483</v>
      </c>
      <c r="C9099" s="13" t="s">
        <v>16484</v>
      </c>
      <c r="D9099" s="13" t="s">
        <v>92</v>
      </c>
      <c r="E9099" s="12" t="s">
        <v>50</v>
      </c>
      <c r="F9099" s="13"/>
      <c r="G9099" s="14">
        <v>8200</v>
      </c>
      <c r="H9099" s="13" t="s">
        <v>16485</v>
      </c>
      <c r="I9099" s="40" t="s">
        <v>18</v>
      </c>
      <c r="J9099" s="40" t="str">
        <f>HYPERLINK("https://stock.pstatic.net/stock-research/company/63/20250904_company_117936000.pdf","PDF")</f>
        <v>PDF</v>
      </c>
      <c r="K9099" s="12" t="s">
        <v>16486</v>
      </c>
    </row>
    <row r="9100" spans="1:12" x14ac:dyDescent="0.45">
      <c r="A9100" s="12" t="s">
        <v>16466</v>
      </c>
      <c r="B9100" s="12" t="s">
        <v>4291</v>
      </c>
      <c r="C9100" s="13" t="s">
        <v>4292</v>
      </c>
      <c r="D9100" s="13" t="s">
        <v>179</v>
      </c>
      <c r="E9100" s="12" t="s">
        <v>16</v>
      </c>
      <c r="F9100" s="14">
        <v>11000</v>
      </c>
      <c r="G9100" s="14">
        <v>7420</v>
      </c>
      <c r="H9100" s="13" t="s">
        <v>16487</v>
      </c>
      <c r="I9100" s="40" t="s">
        <v>18</v>
      </c>
      <c r="J9100" s="40" t="str">
        <f>HYPERLINK("https://stock.pstatic.net/stock-research/company/64/20250904_company_187770000.pdf","PDF")</f>
        <v>PDF</v>
      </c>
      <c r="K9100" s="12" t="s">
        <v>16488</v>
      </c>
      <c r="L9100" s="20">
        <v>0.48247978436657679</v>
      </c>
    </row>
    <row r="9101" spans="1:12" x14ac:dyDescent="0.45">
      <c r="A9101" s="12" t="s">
        <v>16466</v>
      </c>
      <c r="B9101" s="12" t="s">
        <v>15000</v>
      </c>
      <c r="C9101" s="13" t="s">
        <v>15001</v>
      </c>
      <c r="D9101" s="13" t="s">
        <v>23</v>
      </c>
      <c r="E9101" s="12" t="s">
        <v>50</v>
      </c>
      <c r="F9101" s="13"/>
      <c r="G9101" s="14">
        <v>20100</v>
      </c>
      <c r="H9101" s="13" t="s">
        <v>16489</v>
      </c>
      <c r="I9101" s="40" t="s">
        <v>18</v>
      </c>
      <c r="J9101" s="40" t="str">
        <f>HYPERLINK("https://stock.pstatic.net/stock-research/company/21/20250904_company_114019000.pdf","PDF")</f>
        <v>PDF</v>
      </c>
      <c r="K9101" s="12" t="s">
        <v>16490</v>
      </c>
    </row>
    <row r="9102" spans="1:12" x14ac:dyDescent="0.45">
      <c r="A9102" s="12" t="s">
        <v>16466</v>
      </c>
      <c r="B9102" s="12" t="s">
        <v>1789</v>
      </c>
      <c r="C9102" s="13" t="s">
        <v>1790</v>
      </c>
      <c r="D9102" s="13" t="s">
        <v>179</v>
      </c>
      <c r="E9102" s="12" t="s">
        <v>16</v>
      </c>
      <c r="F9102" s="14">
        <v>33000</v>
      </c>
      <c r="G9102" s="14">
        <v>28300</v>
      </c>
      <c r="H9102" s="13" t="s">
        <v>16491</v>
      </c>
      <c r="I9102" s="40" t="s">
        <v>18</v>
      </c>
      <c r="J9102" s="40" t="str">
        <f>HYPERLINK("https://stock.pstatic.net/stock-research/company/64/20250904_company_130947000.pdf","PDF")</f>
        <v>PDF</v>
      </c>
      <c r="K9102" s="12" t="s">
        <v>16492</v>
      </c>
      <c r="L9102" s="20">
        <v>0.16607773851590099</v>
      </c>
    </row>
    <row r="9103" spans="1:12" x14ac:dyDescent="0.45">
      <c r="A9103" s="12" t="s">
        <v>16466</v>
      </c>
      <c r="B9103" s="12" t="s">
        <v>1660</v>
      </c>
      <c r="C9103" s="13" t="s">
        <v>1661</v>
      </c>
      <c r="D9103" s="13" t="s">
        <v>23</v>
      </c>
      <c r="E9103" s="12" t="s">
        <v>16</v>
      </c>
      <c r="F9103" s="14">
        <v>50000</v>
      </c>
      <c r="G9103" s="14">
        <v>43050</v>
      </c>
      <c r="H9103" s="13" t="s">
        <v>16493</v>
      </c>
      <c r="I9103" s="40" t="s">
        <v>18</v>
      </c>
      <c r="J9103" s="40" t="str">
        <f>HYPERLINK("https://stock.pstatic.net/stock-research/company/21/20250904_company_407294000.pdf","PDF")</f>
        <v>PDF</v>
      </c>
      <c r="K9103" s="12" t="s">
        <v>16494</v>
      </c>
      <c r="L9103" s="20">
        <v>0.16144018583042971</v>
      </c>
    </row>
    <row r="9104" spans="1:12" x14ac:dyDescent="0.45">
      <c r="A9104" s="12" t="s">
        <v>16466</v>
      </c>
      <c r="B9104" s="12" t="s">
        <v>2346</v>
      </c>
      <c r="C9104" s="13" t="s">
        <v>2347</v>
      </c>
      <c r="D9104" s="13" t="s">
        <v>179</v>
      </c>
      <c r="E9104" s="12" t="s">
        <v>16</v>
      </c>
      <c r="F9104" s="14">
        <v>55000</v>
      </c>
      <c r="G9104" s="14">
        <v>38300</v>
      </c>
      <c r="H9104" s="13" t="s">
        <v>16495</v>
      </c>
      <c r="I9104" s="40" t="s">
        <v>18</v>
      </c>
      <c r="J9104" s="40" t="str">
        <f>HYPERLINK("https://stock.pstatic.net/stock-research/company/64/20250904_company_493110000.pdf","PDF")</f>
        <v>PDF</v>
      </c>
      <c r="K9104" s="12" t="s">
        <v>16496</v>
      </c>
      <c r="L9104" s="20">
        <v>0.43603133159268931</v>
      </c>
    </row>
    <row r="9105" spans="1:12" x14ac:dyDescent="0.45">
      <c r="A9105" s="12" t="s">
        <v>16466</v>
      </c>
      <c r="B9105" s="12" t="s">
        <v>3704</v>
      </c>
      <c r="C9105" s="13" t="s">
        <v>3705</v>
      </c>
      <c r="D9105" s="13" t="s">
        <v>124</v>
      </c>
      <c r="E9105" s="12" t="s">
        <v>50</v>
      </c>
      <c r="F9105" s="13"/>
      <c r="G9105" s="13"/>
      <c r="H9105" s="13" t="s">
        <v>16497</v>
      </c>
      <c r="I9105" s="40" t="s">
        <v>18</v>
      </c>
      <c r="J9105" s="40" t="str">
        <f>HYPERLINK("https://stock.pstatic.net/stock-research/company/74/20250909_company_504238000.pdf","PDF")</f>
        <v>PDF</v>
      </c>
      <c r="K9105" s="12" t="s">
        <v>16498</v>
      </c>
    </row>
    <row r="9106" spans="1:12" x14ac:dyDescent="0.45">
      <c r="A9106" s="12" t="s">
        <v>16466</v>
      </c>
      <c r="B9106" s="12" t="s">
        <v>16499</v>
      </c>
      <c r="C9106" s="13" t="s">
        <v>16500</v>
      </c>
      <c r="D9106" s="13" t="s">
        <v>124</v>
      </c>
      <c r="E9106" s="12" t="s">
        <v>50</v>
      </c>
      <c r="F9106" s="13"/>
      <c r="G9106" s="13"/>
      <c r="H9106" s="13" t="s">
        <v>16501</v>
      </c>
      <c r="I9106" s="40" t="s">
        <v>18</v>
      </c>
      <c r="J9106" s="40" t="str">
        <f>HYPERLINK("https://stock.pstatic.net/stock-research/company/74/20250904_company_610560000.pdf","PDF")</f>
        <v>PDF</v>
      </c>
      <c r="K9106" s="12" t="s">
        <v>16502</v>
      </c>
    </row>
    <row r="9107" spans="1:12" x14ac:dyDescent="0.45">
      <c r="A9107" s="12" t="s">
        <v>16466</v>
      </c>
      <c r="B9107" s="12" t="s">
        <v>16503</v>
      </c>
      <c r="C9107" s="13" t="s">
        <v>16504</v>
      </c>
      <c r="D9107" s="13" t="s">
        <v>53</v>
      </c>
      <c r="E9107" s="12" t="s">
        <v>50</v>
      </c>
      <c r="F9107" s="13"/>
      <c r="G9107" s="14">
        <v>4370</v>
      </c>
      <c r="H9107" s="13" t="s">
        <v>16505</v>
      </c>
      <c r="I9107" s="40" t="s">
        <v>18</v>
      </c>
      <c r="J9107" s="40" t="str">
        <f>HYPERLINK("https://stock.pstatic.net/stock-research/company/40/20250904_company_683025000.pdf","PDF")</f>
        <v>PDF</v>
      </c>
      <c r="K9107" s="12" t="s">
        <v>16506</v>
      </c>
    </row>
    <row r="9108" spans="1:12" x14ac:dyDescent="0.45">
      <c r="A9108" s="12" t="s">
        <v>16466</v>
      </c>
      <c r="B9108" s="12" t="s">
        <v>426</v>
      </c>
      <c r="C9108" s="13" t="s">
        <v>427</v>
      </c>
      <c r="D9108" s="13" t="s">
        <v>23</v>
      </c>
      <c r="E9108" s="12" t="s">
        <v>16</v>
      </c>
      <c r="F9108" s="14">
        <v>26000</v>
      </c>
      <c r="G9108" s="14">
        <v>19470</v>
      </c>
      <c r="H9108" s="13" t="s">
        <v>16507</v>
      </c>
      <c r="I9108" s="40" t="s">
        <v>18</v>
      </c>
      <c r="J9108" s="40" t="str">
        <f>HYPERLINK("https://stock.pstatic.net/stock-research/company/21/20250904_company_731274000.pdf","PDF")</f>
        <v>PDF</v>
      </c>
      <c r="K9108" s="12" t="s">
        <v>16508</v>
      </c>
      <c r="L9108" s="20">
        <v>0.33538777606574222</v>
      </c>
    </row>
    <row r="9109" spans="1:12" x14ac:dyDescent="0.45">
      <c r="A9109" s="12" t="s">
        <v>16509</v>
      </c>
      <c r="B9109" s="12" t="s">
        <v>5767</v>
      </c>
      <c r="C9109" s="13" t="s">
        <v>5768</v>
      </c>
      <c r="D9109" s="13" t="s">
        <v>57</v>
      </c>
      <c r="E9109" s="12" t="s">
        <v>35</v>
      </c>
      <c r="F9109" s="14">
        <v>40000</v>
      </c>
      <c r="G9109" s="14">
        <v>36200</v>
      </c>
      <c r="H9109" s="13" t="s">
        <v>16510</v>
      </c>
      <c r="I9109" s="40" t="s">
        <v>18</v>
      </c>
      <c r="J9109" s="40" t="str">
        <f>HYPERLINK("https://stock.pstatic.net/stock-research/company/16/20250903_company_174860000.pdf","PDF")</f>
        <v>PDF</v>
      </c>
      <c r="K9109" s="12" t="s">
        <v>16511</v>
      </c>
      <c r="L9109" s="20">
        <v>0.1049723756906077</v>
      </c>
    </row>
    <row r="9110" spans="1:12" x14ac:dyDescent="0.45">
      <c r="A9110" s="12" t="s">
        <v>16509</v>
      </c>
      <c r="B9110" s="12" t="s">
        <v>426</v>
      </c>
      <c r="C9110" s="13" t="s">
        <v>427</v>
      </c>
      <c r="D9110" s="13" t="s">
        <v>57</v>
      </c>
      <c r="E9110" s="12" t="s">
        <v>35</v>
      </c>
      <c r="F9110" s="14">
        <v>26000</v>
      </c>
      <c r="G9110" s="14">
        <v>19470</v>
      </c>
      <c r="H9110" s="13" t="s">
        <v>16512</v>
      </c>
      <c r="I9110" s="40" t="s">
        <v>18</v>
      </c>
      <c r="J9110" s="40" t="str">
        <f>HYPERLINK("https://stock.pstatic.net/stock-research/company/16/20250903_company_671693000.pdf","PDF")</f>
        <v>PDF</v>
      </c>
      <c r="K9110" s="12" t="s">
        <v>16513</v>
      </c>
      <c r="L9110" s="20">
        <v>0.33538777606574222</v>
      </c>
    </row>
    <row r="9111" spans="1:12" x14ac:dyDescent="0.45">
      <c r="A9111" s="12" t="s">
        <v>16509</v>
      </c>
      <c r="B9111" s="12" t="s">
        <v>32</v>
      </c>
      <c r="C9111" s="13" t="s">
        <v>33</v>
      </c>
      <c r="D9111" s="13" t="s">
        <v>65</v>
      </c>
      <c r="E9111" s="12" t="s">
        <v>35</v>
      </c>
      <c r="F9111" s="14">
        <v>240000</v>
      </c>
      <c r="G9111" s="14">
        <v>169900</v>
      </c>
      <c r="H9111" s="13" t="s">
        <v>16514</v>
      </c>
      <c r="I9111" s="40" t="s">
        <v>18</v>
      </c>
      <c r="J9111" s="40" t="str">
        <f>HYPERLINK("https://stock.pstatic.net/stock-research/company/57/20250903_company_741783000.pdf","PDF")</f>
        <v>PDF</v>
      </c>
      <c r="K9111" s="12" t="s">
        <v>16515</v>
      </c>
      <c r="L9111" s="20">
        <v>0.41259564449676278</v>
      </c>
    </row>
    <row r="9112" spans="1:12" x14ac:dyDescent="0.45">
      <c r="A9112" s="12" t="s">
        <v>16509</v>
      </c>
      <c r="B9112" s="12" t="s">
        <v>16516</v>
      </c>
      <c r="C9112" s="13" t="s">
        <v>16517</v>
      </c>
      <c r="D9112" s="13" t="s">
        <v>65</v>
      </c>
      <c r="E9112" s="12" t="s">
        <v>50</v>
      </c>
      <c r="F9112" s="13"/>
      <c r="G9112" s="14">
        <v>65400</v>
      </c>
      <c r="H9112" s="13" t="s">
        <v>16518</v>
      </c>
      <c r="I9112" s="40" t="s">
        <v>18</v>
      </c>
      <c r="J9112" s="40" t="str">
        <f>HYPERLINK("https://stock.pstatic.net/stock-research/company/57/20250903_company_471461000.pdf","PDF")</f>
        <v>PDF</v>
      </c>
      <c r="K9112" s="12" t="s">
        <v>16519</v>
      </c>
    </row>
    <row r="9113" spans="1:12" x14ac:dyDescent="0.45">
      <c r="A9113" s="12" t="s">
        <v>16509</v>
      </c>
      <c r="B9113" s="12" t="s">
        <v>2748</v>
      </c>
      <c r="C9113" s="13" t="s">
        <v>2749</v>
      </c>
      <c r="D9113" s="13" t="s">
        <v>23</v>
      </c>
      <c r="E9113" s="12" t="s">
        <v>50</v>
      </c>
      <c r="F9113" s="13"/>
      <c r="G9113" s="14">
        <v>19450</v>
      </c>
      <c r="H9113" s="13" t="s">
        <v>16520</v>
      </c>
      <c r="I9113" s="40" t="s">
        <v>18</v>
      </c>
      <c r="J9113" s="40" t="str">
        <f>HYPERLINK("https://stock.pstatic.net/stock-research/company/21/20250903_company_703686000.pdf","PDF")</f>
        <v>PDF</v>
      </c>
      <c r="K9113" s="12" t="s">
        <v>16521</v>
      </c>
    </row>
    <row r="9114" spans="1:12" x14ac:dyDescent="0.45">
      <c r="A9114" s="12" t="s">
        <v>16509</v>
      </c>
      <c r="B9114" s="12" t="s">
        <v>1132</v>
      </c>
      <c r="C9114" s="13" t="s">
        <v>1133</v>
      </c>
      <c r="D9114" s="13" t="s">
        <v>179</v>
      </c>
      <c r="E9114" s="12" t="s">
        <v>16</v>
      </c>
      <c r="F9114" s="14">
        <v>43000</v>
      </c>
      <c r="G9114" s="14">
        <v>31650</v>
      </c>
      <c r="H9114" s="13" t="s">
        <v>16522</v>
      </c>
      <c r="I9114" s="40" t="s">
        <v>18</v>
      </c>
      <c r="J9114" s="40" t="str">
        <f>HYPERLINK("https://stock.pstatic.net/stock-research/company/64/20250903_company_145165000.pdf","PDF")</f>
        <v>PDF</v>
      </c>
      <c r="K9114" s="12" t="s">
        <v>16523</v>
      </c>
      <c r="L9114" s="20">
        <v>0.35860979462875198</v>
      </c>
    </row>
    <row r="9115" spans="1:12" x14ac:dyDescent="0.45">
      <c r="A9115" s="12" t="s">
        <v>16509</v>
      </c>
      <c r="B9115" s="12" t="s">
        <v>1136</v>
      </c>
      <c r="C9115" s="13" t="s">
        <v>1137</v>
      </c>
      <c r="D9115" s="13" t="s">
        <v>179</v>
      </c>
      <c r="E9115" s="12" t="s">
        <v>16</v>
      </c>
      <c r="F9115" s="14">
        <v>44000</v>
      </c>
      <c r="G9115" s="14">
        <v>31800</v>
      </c>
      <c r="H9115" s="13" t="s">
        <v>16524</v>
      </c>
      <c r="I9115" s="40" t="s">
        <v>18</v>
      </c>
      <c r="J9115" s="40" t="str">
        <f>HYPERLINK("https://stock.pstatic.net/stock-research/company/64/20250903_company_133154000.pdf","PDF")</f>
        <v>PDF</v>
      </c>
      <c r="K9115" s="12" t="s">
        <v>16525</v>
      </c>
      <c r="L9115" s="20">
        <v>0.38364779874213839</v>
      </c>
    </row>
    <row r="9116" spans="1:12" x14ac:dyDescent="0.45">
      <c r="A9116" s="12" t="s">
        <v>16509</v>
      </c>
      <c r="B9116" s="12" t="s">
        <v>14931</v>
      </c>
      <c r="C9116" s="13" t="s">
        <v>14932</v>
      </c>
      <c r="D9116" s="13" t="s">
        <v>179</v>
      </c>
      <c r="E9116" s="12" t="s">
        <v>50</v>
      </c>
      <c r="F9116" s="13"/>
      <c r="G9116" s="14">
        <v>4630</v>
      </c>
      <c r="H9116" s="13" t="s">
        <v>16526</v>
      </c>
      <c r="I9116" s="40" t="s">
        <v>18</v>
      </c>
      <c r="J9116" s="40" t="str">
        <f>HYPERLINK("https://stock.pstatic.net/stock-research/company/64/20250903_company_629524000.pdf","PDF")</f>
        <v>PDF</v>
      </c>
      <c r="K9116" s="12" t="s">
        <v>16527</v>
      </c>
    </row>
    <row r="9117" spans="1:12" x14ac:dyDescent="0.45">
      <c r="A9117" s="12" t="s">
        <v>16509</v>
      </c>
      <c r="B9117" s="12" t="s">
        <v>523</v>
      </c>
      <c r="C9117" s="13" t="s">
        <v>524</v>
      </c>
      <c r="D9117" s="13" t="s">
        <v>44</v>
      </c>
      <c r="E9117" s="12" t="s">
        <v>50</v>
      </c>
      <c r="F9117" s="13"/>
      <c r="G9117" s="13"/>
      <c r="H9117" s="13" t="s">
        <v>16528</v>
      </c>
      <c r="I9117" s="40" t="s">
        <v>18</v>
      </c>
      <c r="J9117" s="40" t="str">
        <f>HYPERLINK("https://stock.pstatic.net/stock-research/company/39/20250903_company_216790000.pdf","PDF")</f>
        <v>PDF</v>
      </c>
      <c r="K9117" s="12" t="s">
        <v>16529</v>
      </c>
    </row>
    <row r="9118" spans="1:12" x14ac:dyDescent="0.45">
      <c r="A9118" s="12" t="s">
        <v>16509</v>
      </c>
      <c r="B9118" s="12" t="s">
        <v>3708</v>
      </c>
      <c r="C9118" s="13" t="s">
        <v>3709</v>
      </c>
      <c r="D9118" s="13" t="s">
        <v>124</v>
      </c>
      <c r="E9118" s="12" t="s">
        <v>50</v>
      </c>
      <c r="F9118" s="13"/>
      <c r="G9118" s="13"/>
      <c r="H9118" s="13" t="s">
        <v>16530</v>
      </c>
      <c r="I9118" s="40" t="s">
        <v>18</v>
      </c>
      <c r="J9118" s="40" t="str">
        <f>HYPERLINK("https://stock.pstatic.net/stock-research/company/74/20250903_company_6412000.pdf","PDF")</f>
        <v>PDF</v>
      </c>
      <c r="K9118" s="12" t="s">
        <v>16531</v>
      </c>
    </row>
    <row r="9119" spans="1:12" x14ac:dyDescent="0.45">
      <c r="A9119" s="12" t="s">
        <v>16532</v>
      </c>
      <c r="B9119" s="12" t="s">
        <v>156</v>
      </c>
      <c r="C9119" s="13" t="s">
        <v>157</v>
      </c>
      <c r="D9119" s="13" t="s">
        <v>158</v>
      </c>
      <c r="E9119" s="12" t="s">
        <v>159</v>
      </c>
      <c r="F9119" s="14">
        <v>3200</v>
      </c>
      <c r="G9119" s="14">
        <v>3575</v>
      </c>
      <c r="H9119" s="13" t="s">
        <v>16533</v>
      </c>
      <c r="I9119" s="40" t="s">
        <v>18</v>
      </c>
      <c r="J9119" s="40" t="str">
        <f>HYPERLINK("https://stock.pstatic.net/stock-research/company/18/20250902_company_710521000.pdf","PDF")</f>
        <v>PDF</v>
      </c>
      <c r="K9119" s="12" t="s">
        <v>16534</v>
      </c>
      <c r="L9119" s="20">
        <v>-0.1048951048951049</v>
      </c>
    </row>
    <row r="9120" spans="1:12" x14ac:dyDescent="0.45">
      <c r="A9120" s="12" t="s">
        <v>16532</v>
      </c>
      <c r="B9120" s="12" t="s">
        <v>3831</v>
      </c>
      <c r="C9120" s="13" t="s">
        <v>3832</v>
      </c>
      <c r="D9120" s="13" t="s">
        <v>158</v>
      </c>
      <c r="E9120" s="12" t="s">
        <v>35</v>
      </c>
      <c r="F9120" s="14">
        <v>52000</v>
      </c>
      <c r="G9120" s="14">
        <v>35650</v>
      </c>
      <c r="H9120" s="13" t="s">
        <v>16535</v>
      </c>
      <c r="I9120" s="40" t="s">
        <v>18</v>
      </c>
      <c r="J9120" s="40" t="str">
        <f>HYPERLINK("https://stock.pstatic.net/stock-research/company/18/20250902_company_821299000.pdf","PDF")</f>
        <v>PDF</v>
      </c>
      <c r="K9120" s="12" t="s">
        <v>16536</v>
      </c>
      <c r="L9120" s="20">
        <v>0.45862552594670408</v>
      </c>
    </row>
    <row r="9121" spans="1:12" x14ac:dyDescent="0.45">
      <c r="A9121" s="12" t="s">
        <v>16532</v>
      </c>
      <c r="B9121" s="12" t="s">
        <v>577</v>
      </c>
      <c r="C9121" s="13" t="s">
        <v>578</v>
      </c>
      <c r="D9121" s="13" t="s">
        <v>158</v>
      </c>
      <c r="E9121" s="12" t="s">
        <v>35</v>
      </c>
      <c r="F9121" s="14">
        <v>410000</v>
      </c>
      <c r="G9121" s="14">
        <v>321500</v>
      </c>
      <c r="H9121" s="13" t="s">
        <v>16537</v>
      </c>
      <c r="I9121" s="40" t="s">
        <v>18</v>
      </c>
      <c r="J9121" s="40" t="str">
        <f>HYPERLINK("https://stock.pstatic.net/stock-research/company/18/20250902_company_932903000.pdf","PDF")</f>
        <v>PDF</v>
      </c>
      <c r="K9121" s="12" t="s">
        <v>16538</v>
      </c>
      <c r="L9121" s="20">
        <v>0.27527216174183522</v>
      </c>
    </row>
    <row r="9122" spans="1:12" x14ac:dyDescent="0.45">
      <c r="A9122" s="12" t="s">
        <v>16532</v>
      </c>
      <c r="B9122" s="12" t="s">
        <v>1765</v>
      </c>
      <c r="C9122" s="13" t="s">
        <v>1766</v>
      </c>
      <c r="D9122" s="13" t="s">
        <v>158</v>
      </c>
      <c r="E9122" s="12" t="s">
        <v>159</v>
      </c>
      <c r="F9122" s="14">
        <v>120000</v>
      </c>
      <c r="G9122" s="14">
        <v>106500</v>
      </c>
      <c r="H9122" s="13" t="s">
        <v>16539</v>
      </c>
      <c r="I9122" s="40" t="s">
        <v>18</v>
      </c>
      <c r="J9122" s="40" t="str">
        <f>HYPERLINK("https://stock.pstatic.net/stock-research/company/18/20250902_company_947928000.pdf","PDF")</f>
        <v>PDF</v>
      </c>
      <c r="K9122" s="12" t="s">
        <v>16540</v>
      </c>
      <c r="L9122" s="20">
        <v>0.12676056338028169</v>
      </c>
    </row>
    <row r="9123" spans="1:12" x14ac:dyDescent="0.45">
      <c r="A9123" s="12" t="s">
        <v>16532</v>
      </c>
      <c r="B9123" s="12" t="s">
        <v>519</v>
      </c>
      <c r="C9123" s="13" t="s">
        <v>520</v>
      </c>
      <c r="D9123" s="13" t="s">
        <v>158</v>
      </c>
      <c r="E9123" s="12" t="s">
        <v>35</v>
      </c>
      <c r="F9123" s="14">
        <v>300000</v>
      </c>
      <c r="G9123" s="14">
        <v>220500</v>
      </c>
      <c r="H9123" s="13" t="s">
        <v>16541</v>
      </c>
      <c r="I9123" s="40" t="s">
        <v>18</v>
      </c>
      <c r="J9123" s="40" t="str">
        <f>HYPERLINK("https://stock.pstatic.net/stock-research/company/18/20250902_company_223721000.pdf","PDF")</f>
        <v>PDF</v>
      </c>
      <c r="K9123" s="12" t="s">
        <v>16542</v>
      </c>
      <c r="L9123" s="20">
        <v>0.36054421768707479</v>
      </c>
    </row>
    <row r="9124" spans="1:12" x14ac:dyDescent="0.45">
      <c r="A9124" s="12" t="s">
        <v>16532</v>
      </c>
      <c r="B9124" s="12" t="s">
        <v>1019</v>
      </c>
      <c r="C9124" s="13" t="s">
        <v>1020</v>
      </c>
      <c r="D9124" s="13" t="s">
        <v>57</v>
      </c>
      <c r="E9124" s="12" t="s">
        <v>35</v>
      </c>
      <c r="F9124" s="14">
        <v>28000</v>
      </c>
      <c r="G9124" s="14">
        <v>16020</v>
      </c>
      <c r="H9124" s="13" t="s">
        <v>16543</v>
      </c>
      <c r="I9124" s="40" t="s">
        <v>18</v>
      </c>
      <c r="J9124" s="40" t="str">
        <f>HYPERLINK("https://stock.pstatic.net/stock-research/company/16/20250902_company_925160000.pdf","PDF")</f>
        <v>PDF</v>
      </c>
      <c r="K9124" s="12" t="s">
        <v>16544</v>
      </c>
      <c r="L9124" s="20">
        <v>0.74781523096129843</v>
      </c>
    </row>
    <row r="9125" spans="1:12" x14ac:dyDescent="0.45">
      <c r="A9125" s="12" t="s">
        <v>16532</v>
      </c>
      <c r="B9125" s="12" t="s">
        <v>1124</v>
      </c>
      <c r="C9125" s="13" t="s">
        <v>1125</v>
      </c>
      <c r="D9125" s="13" t="s">
        <v>276</v>
      </c>
      <c r="E9125" s="12" t="s">
        <v>16</v>
      </c>
      <c r="F9125" s="14">
        <v>210000</v>
      </c>
      <c r="G9125" s="14">
        <v>159500</v>
      </c>
      <c r="H9125" s="13" t="s">
        <v>16545</v>
      </c>
      <c r="I9125" s="40" t="s">
        <v>18</v>
      </c>
      <c r="J9125" s="40" t="str">
        <f>HYPERLINK("https://stock.pstatic.net/stock-research/company/66/20250902_company_557731000.pdf","PDF")</f>
        <v>PDF</v>
      </c>
      <c r="K9125" s="12" t="s">
        <v>16546</v>
      </c>
      <c r="L9125" s="20">
        <v>0.31661442006269591</v>
      </c>
    </row>
    <row r="9126" spans="1:12" x14ac:dyDescent="0.45">
      <c r="A9126" s="12" t="s">
        <v>16532</v>
      </c>
      <c r="B9126" s="12" t="s">
        <v>2522</v>
      </c>
      <c r="C9126" s="13" t="s">
        <v>2523</v>
      </c>
      <c r="D9126" s="13" t="s">
        <v>65</v>
      </c>
      <c r="E9126" s="12" t="s">
        <v>35</v>
      </c>
      <c r="F9126" s="14">
        <v>530000</v>
      </c>
      <c r="G9126" s="14">
        <v>331000</v>
      </c>
      <c r="H9126" s="13" t="s">
        <v>16547</v>
      </c>
      <c r="I9126" s="40" t="s">
        <v>18</v>
      </c>
      <c r="J9126" s="40" t="str">
        <f>HYPERLINK("https://stock.pstatic.net/stock-research/company/57/20250902_company_86957000.pdf","PDF")</f>
        <v>PDF</v>
      </c>
      <c r="K9126" s="12" t="s">
        <v>16548</v>
      </c>
      <c r="L9126" s="20">
        <v>0.6012084592145015</v>
      </c>
    </row>
    <row r="9127" spans="1:12" x14ac:dyDescent="0.45">
      <c r="A9127" s="12" t="s">
        <v>16532</v>
      </c>
      <c r="B9127" s="12" t="s">
        <v>402</v>
      </c>
      <c r="C9127" s="13" t="s">
        <v>403</v>
      </c>
      <c r="D9127" s="13" t="s">
        <v>65</v>
      </c>
      <c r="E9127" s="12" t="s">
        <v>35</v>
      </c>
      <c r="F9127" s="14">
        <v>90000</v>
      </c>
      <c r="G9127" s="14">
        <v>75600</v>
      </c>
      <c r="H9127" s="13" t="s">
        <v>16549</v>
      </c>
      <c r="I9127" s="40" t="s">
        <v>18</v>
      </c>
      <c r="J9127" s="40" t="str">
        <f>HYPERLINK("https://stock.pstatic.net/stock-research/company/57/20250902_company_91998000.pdf","PDF")</f>
        <v>PDF</v>
      </c>
      <c r="K9127" s="12" t="s">
        <v>16550</v>
      </c>
      <c r="L9127" s="20">
        <v>0.19047619047619049</v>
      </c>
    </row>
    <row r="9128" spans="1:12" x14ac:dyDescent="0.45">
      <c r="A9128" s="12" t="s">
        <v>16532</v>
      </c>
      <c r="B9128" s="12" t="s">
        <v>177</v>
      </c>
      <c r="C9128" s="13" t="s">
        <v>178</v>
      </c>
      <c r="D9128" s="13" t="s">
        <v>83</v>
      </c>
      <c r="E9128" s="12" t="s">
        <v>35</v>
      </c>
      <c r="F9128" s="14">
        <v>18000</v>
      </c>
      <c r="G9128" s="14">
        <v>12350</v>
      </c>
      <c r="H9128" s="13" t="s">
        <v>16551</v>
      </c>
      <c r="I9128" s="40" t="s">
        <v>18</v>
      </c>
      <c r="J9128" s="40" t="str">
        <f>HYPERLINK("https://stock.pstatic.net/stock-research/company/2/20250902_company_217487000.pdf","PDF")</f>
        <v>PDF</v>
      </c>
      <c r="K9128" s="12" t="s">
        <v>16552</v>
      </c>
      <c r="L9128" s="20">
        <v>0.45748987854251011</v>
      </c>
    </row>
    <row r="9129" spans="1:12" x14ac:dyDescent="0.45">
      <c r="A9129" s="12" t="s">
        <v>16532</v>
      </c>
      <c r="B9129" s="12" t="s">
        <v>32</v>
      </c>
      <c r="C9129" s="13" t="s">
        <v>33</v>
      </c>
      <c r="D9129" s="13" t="s">
        <v>34</v>
      </c>
      <c r="E9129" s="12" t="s">
        <v>35</v>
      </c>
      <c r="F9129" s="14">
        <v>220000</v>
      </c>
      <c r="G9129" s="14">
        <v>162200</v>
      </c>
      <c r="H9129" s="13" t="s">
        <v>16553</v>
      </c>
      <c r="I9129" s="40" t="s">
        <v>18</v>
      </c>
      <c r="J9129" s="40" t="str">
        <f>HYPERLINK("https://stock.pstatic.net/stock-research/company/61/20250902_company_455160000.pdf","PDF")</f>
        <v>PDF</v>
      </c>
      <c r="K9129" s="12" t="s">
        <v>16554</v>
      </c>
      <c r="L9129" s="20">
        <v>0.3563501849568434</v>
      </c>
    </row>
    <row r="9130" spans="1:12" x14ac:dyDescent="0.45">
      <c r="A9130" s="12" t="s">
        <v>16532</v>
      </c>
      <c r="B9130" s="12" t="s">
        <v>6642</v>
      </c>
      <c r="C9130" s="13" t="s">
        <v>6643</v>
      </c>
      <c r="D9130" s="13" t="s">
        <v>92</v>
      </c>
      <c r="E9130" s="12" t="s">
        <v>50</v>
      </c>
      <c r="F9130" s="13"/>
      <c r="G9130" s="14">
        <v>17530</v>
      </c>
      <c r="H9130" s="13" t="s">
        <v>16555</v>
      </c>
      <c r="I9130" s="40" t="s">
        <v>18</v>
      </c>
      <c r="J9130" s="40" t="str">
        <f>HYPERLINK("https://stock.pstatic.net/stock-research/company/63/20250902_company_463214000.pdf","PDF")</f>
        <v>PDF</v>
      </c>
      <c r="K9130" s="12" t="s">
        <v>16556</v>
      </c>
    </row>
    <row r="9131" spans="1:12" x14ac:dyDescent="0.45">
      <c r="A9131" s="12" t="s">
        <v>16532</v>
      </c>
      <c r="B9131" s="12" t="s">
        <v>243</v>
      </c>
      <c r="C9131" s="13" t="s">
        <v>244</v>
      </c>
      <c r="D9131" s="13" t="s">
        <v>23</v>
      </c>
      <c r="E9131" s="12" t="s">
        <v>50</v>
      </c>
      <c r="F9131" s="13"/>
      <c r="G9131" s="14">
        <v>58800</v>
      </c>
      <c r="H9131" s="13" t="s">
        <v>16557</v>
      </c>
      <c r="I9131" s="40" t="s">
        <v>18</v>
      </c>
      <c r="J9131" s="40" t="str">
        <f>HYPERLINK("https://stock.pstatic.net/stock-research/company/21/20250902_company_170669000.pdf","PDF")</f>
        <v>PDF</v>
      </c>
      <c r="K9131" s="12" t="s">
        <v>16558</v>
      </c>
    </row>
    <row r="9132" spans="1:12" x14ac:dyDescent="0.45">
      <c r="A9132" s="12" t="s">
        <v>16532</v>
      </c>
      <c r="B9132" s="12" t="s">
        <v>3150</v>
      </c>
      <c r="C9132" s="13" t="s">
        <v>3151</v>
      </c>
      <c r="D9132" s="13" t="s">
        <v>23</v>
      </c>
      <c r="E9132" s="12" t="s">
        <v>50</v>
      </c>
      <c r="F9132" s="13"/>
      <c r="G9132" s="14">
        <v>90500</v>
      </c>
      <c r="H9132" s="13" t="s">
        <v>16559</v>
      </c>
      <c r="I9132" s="40" t="s">
        <v>18</v>
      </c>
      <c r="J9132" s="40" t="str">
        <f>HYPERLINK("https://stock.pstatic.net/stock-research/company/21/20250902_company_569854000.pdf","PDF")</f>
        <v>PDF</v>
      </c>
      <c r="K9132" s="12" t="s">
        <v>16560</v>
      </c>
    </row>
    <row r="9133" spans="1:12" x14ac:dyDescent="0.45">
      <c r="A9133" s="12" t="s">
        <v>16532</v>
      </c>
      <c r="B9133" s="12" t="s">
        <v>577</v>
      </c>
      <c r="C9133" s="13" t="s">
        <v>578</v>
      </c>
      <c r="D9133" s="13" t="s">
        <v>44</v>
      </c>
      <c r="E9133" s="12" t="s">
        <v>35</v>
      </c>
      <c r="F9133" s="14">
        <v>400000</v>
      </c>
      <c r="G9133" s="14">
        <v>321500</v>
      </c>
      <c r="H9133" s="13" t="s">
        <v>16561</v>
      </c>
      <c r="I9133" s="40" t="s">
        <v>18</v>
      </c>
      <c r="J9133" s="40" t="str">
        <f>HYPERLINK("https://stock.pstatic.net/stock-research/company/39/20250902_company_673957000.pdf","PDF")</f>
        <v>PDF</v>
      </c>
      <c r="K9133" s="12" t="s">
        <v>16562</v>
      </c>
      <c r="L9133" s="20">
        <v>0.2441679626749611</v>
      </c>
    </row>
    <row r="9134" spans="1:12" x14ac:dyDescent="0.45">
      <c r="A9134" s="12" t="s">
        <v>16532</v>
      </c>
      <c r="B9134" s="12" t="s">
        <v>118</v>
      </c>
      <c r="C9134" s="13" t="s">
        <v>119</v>
      </c>
      <c r="D9134" s="13" t="s">
        <v>53</v>
      </c>
      <c r="E9134" s="12" t="s">
        <v>16</v>
      </c>
      <c r="F9134" s="14">
        <v>104000</v>
      </c>
      <c r="G9134" s="14">
        <v>71500</v>
      </c>
      <c r="H9134" s="13" t="s">
        <v>16563</v>
      </c>
      <c r="I9134" s="40" t="s">
        <v>18</v>
      </c>
      <c r="J9134" s="40" t="str">
        <f>HYPERLINK("https://stock.pstatic.net/stock-research/company/40/20250902_company_839422000.pdf","PDF")</f>
        <v>PDF</v>
      </c>
      <c r="K9134" s="12" t="s">
        <v>16564</v>
      </c>
      <c r="L9134" s="20">
        <v>0.45454545454545447</v>
      </c>
    </row>
    <row r="9135" spans="1:12" x14ac:dyDescent="0.45">
      <c r="A9135" s="12" t="s">
        <v>16565</v>
      </c>
      <c r="B9135" s="12" t="s">
        <v>438</v>
      </c>
      <c r="C9135" s="13" t="s">
        <v>439</v>
      </c>
      <c r="D9135" s="13" t="s">
        <v>57</v>
      </c>
      <c r="E9135" s="12" t="s">
        <v>35</v>
      </c>
      <c r="F9135" s="14">
        <v>100000</v>
      </c>
      <c r="G9135" s="14">
        <v>82500</v>
      </c>
      <c r="H9135" s="13" t="s">
        <v>16566</v>
      </c>
      <c r="I9135" s="40" t="s">
        <v>18</v>
      </c>
      <c r="J9135" s="40" t="str">
        <f>HYPERLINK("https://stock.pstatic.net/stock-research/company/16/20250901_company_715033000.pdf","PDF")</f>
        <v>PDF</v>
      </c>
      <c r="K9135" s="12" t="s">
        <v>16567</v>
      </c>
      <c r="L9135" s="20">
        <v>0.2121212121212121</v>
      </c>
    </row>
    <row r="9136" spans="1:12" x14ac:dyDescent="0.45">
      <c r="A9136" s="12" t="s">
        <v>16565</v>
      </c>
      <c r="B9136" s="12" t="s">
        <v>6985</v>
      </c>
      <c r="C9136" s="13" t="s">
        <v>6986</v>
      </c>
      <c r="D9136" s="13" t="s">
        <v>65</v>
      </c>
      <c r="E9136" s="12" t="s">
        <v>50</v>
      </c>
      <c r="F9136" s="13"/>
      <c r="G9136" s="14">
        <v>6150</v>
      </c>
      <c r="H9136" s="13" t="s">
        <v>16568</v>
      </c>
      <c r="I9136" s="40" t="s">
        <v>18</v>
      </c>
      <c r="J9136" s="40" t="str">
        <f>HYPERLINK("https://stock.pstatic.net/stock-research/company/57/20250901_company_192993000.pdf","PDF")</f>
        <v>PDF</v>
      </c>
      <c r="K9136" s="12" t="s">
        <v>16569</v>
      </c>
    </row>
    <row r="9137" spans="1:12" x14ac:dyDescent="0.45">
      <c r="A9137" s="12" t="s">
        <v>16565</v>
      </c>
      <c r="B9137" s="12" t="s">
        <v>1308</v>
      </c>
      <c r="C9137" s="13" t="s">
        <v>1309</v>
      </c>
      <c r="D9137" s="13" t="s">
        <v>65</v>
      </c>
      <c r="E9137" s="12" t="s">
        <v>35</v>
      </c>
      <c r="F9137" s="14">
        <v>540000</v>
      </c>
      <c r="G9137" s="14">
        <v>410000</v>
      </c>
      <c r="H9137" s="13" t="s">
        <v>16570</v>
      </c>
      <c r="I9137" s="40" t="s">
        <v>18</v>
      </c>
      <c r="J9137" s="40" t="str">
        <f>HYPERLINK("https://stock.pstatic.net/stock-research/company/57/20250901_company_306179000.pdf","PDF")</f>
        <v>PDF</v>
      </c>
      <c r="K9137" s="12" t="s">
        <v>16571</v>
      </c>
      <c r="L9137" s="20">
        <v>0.31707317073170732</v>
      </c>
    </row>
    <row r="9138" spans="1:12" x14ac:dyDescent="0.45">
      <c r="A9138" s="12" t="s">
        <v>16565</v>
      </c>
      <c r="B9138" s="12" t="s">
        <v>3708</v>
      </c>
      <c r="C9138" s="13" t="s">
        <v>3709</v>
      </c>
      <c r="D9138" s="13" t="s">
        <v>158</v>
      </c>
      <c r="E9138" s="12" t="s">
        <v>50</v>
      </c>
      <c r="F9138" s="13"/>
      <c r="G9138" s="14">
        <v>19080</v>
      </c>
      <c r="H9138" s="13" t="s">
        <v>16572</v>
      </c>
      <c r="I9138" s="40" t="s">
        <v>18</v>
      </c>
      <c r="J9138" s="40" t="str">
        <f>HYPERLINK("https://stock.pstatic.net/stock-research/company/18/20250901_company_402294000.pdf","PDF")</f>
        <v>PDF</v>
      </c>
      <c r="K9138" s="12" t="s">
        <v>16573</v>
      </c>
    </row>
    <row r="9139" spans="1:12" x14ac:dyDescent="0.45">
      <c r="A9139" s="12" t="s">
        <v>16565</v>
      </c>
      <c r="B9139" s="12" t="s">
        <v>106</v>
      </c>
      <c r="C9139" s="13" t="s">
        <v>107</v>
      </c>
      <c r="D9139" s="13" t="s">
        <v>158</v>
      </c>
      <c r="E9139" s="12" t="s">
        <v>50</v>
      </c>
      <c r="F9139" s="13"/>
      <c r="G9139" s="14">
        <v>54300</v>
      </c>
      <c r="H9139" s="13" t="s">
        <v>16574</v>
      </c>
      <c r="I9139" s="40" t="s">
        <v>18</v>
      </c>
      <c r="J9139" s="40" t="str">
        <f>HYPERLINK("https://stock.pstatic.net/stock-research/company/18/20250901_company_209101000.pdf","PDF")</f>
        <v>PDF</v>
      </c>
      <c r="K9139" s="12" t="s">
        <v>16575</v>
      </c>
    </row>
    <row r="9140" spans="1:12" x14ac:dyDescent="0.45">
      <c r="A9140" s="12" t="s">
        <v>16565</v>
      </c>
      <c r="B9140" s="12" t="s">
        <v>1694</v>
      </c>
      <c r="C9140" s="13" t="s">
        <v>1695</v>
      </c>
      <c r="D9140" s="13" t="s">
        <v>158</v>
      </c>
      <c r="E9140" s="12" t="s">
        <v>35</v>
      </c>
      <c r="F9140" s="14">
        <v>74000</v>
      </c>
      <c r="G9140" s="14">
        <v>52200</v>
      </c>
      <c r="H9140" s="13" t="s">
        <v>16576</v>
      </c>
      <c r="I9140" s="40" t="s">
        <v>18</v>
      </c>
      <c r="J9140" s="40" t="str">
        <f>HYPERLINK("https://stock.pstatic.net/stock-research/company/18/20250901_company_769658000.pdf","PDF")</f>
        <v>PDF</v>
      </c>
      <c r="K9140" s="12" t="s">
        <v>16577</v>
      </c>
      <c r="L9140" s="20">
        <v>0.41762452107279702</v>
      </c>
    </row>
    <row r="9141" spans="1:12" x14ac:dyDescent="0.45">
      <c r="A9141" s="12" t="s">
        <v>16565</v>
      </c>
      <c r="B9141" s="12" t="s">
        <v>272</v>
      </c>
      <c r="C9141" s="13" t="s">
        <v>273</v>
      </c>
      <c r="D9141" s="13" t="s">
        <v>158</v>
      </c>
      <c r="E9141" s="12" t="s">
        <v>35</v>
      </c>
      <c r="F9141" s="14">
        <v>890000</v>
      </c>
      <c r="G9141" s="14">
        <v>680000</v>
      </c>
      <c r="H9141" s="13" t="s">
        <v>16578</v>
      </c>
      <c r="I9141" s="40" t="s">
        <v>18</v>
      </c>
      <c r="J9141" s="40" t="str">
        <f>HYPERLINK("https://stock.pstatic.net/stock-research/company/18/20250901_company_818405000.pdf","PDF")</f>
        <v>PDF</v>
      </c>
      <c r="K9141" s="12" t="s">
        <v>16579</v>
      </c>
      <c r="L9141" s="20">
        <v>0.30882352941176472</v>
      </c>
    </row>
    <row r="9142" spans="1:12" x14ac:dyDescent="0.45">
      <c r="A9142" s="12" t="s">
        <v>16565</v>
      </c>
      <c r="B9142" s="12" t="s">
        <v>430</v>
      </c>
      <c r="C9142" s="13" t="s">
        <v>431</v>
      </c>
      <c r="D9142" s="13" t="s">
        <v>158</v>
      </c>
      <c r="E9142" s="12" t="s">
        <v>35</v>
      </c>
      <c r="F9142" s="14">
        <v>42000</v>
      </c>
      <c r="G9142" s="14">
        <v>29850</v>
      </c>
      <c r="H9142" s="13" t="s">
        <v>16580</v>
      </c>
      <c r="I9142" s="40" t="s">
        <v>18</v>
      </c>
      <c r="J9142" s="40" t="str">
        <f>HYPERLINK("https://stock.pstatic.net/stock-research/company/18/20250901_company_146731000.pdf","PDF")</f>
        <v>PDF</v>
      </c>
      <c r="K9142" s="12" t="s">
        <v>16581</v>
      </c>
      <c r="L9142" s="20">
        <v>0.40703517587939703</v>
      </c>
    </row>
    <row r="9143" spans="1:12" x14ac:dyDescent="0.45">
      <c r="A9143" s="12" t="s">
        <v>16565</v>
      </c>
      <c r="B9143" s="12" t="s">
        <v>1883</v>
      </c>
      <c r="C9143" s="13" t="s">
        <v>1884</v>
      </c>
      <c r="D9143" s="13" t="s">
        <v>83</v>
      </c>
      <c r="E9143" s="12" t="s">
        <v>35</v>
      </c>
      <c r="F9143" s="14">
        <v>35000</v>
      </c>
      <c r="G9143" s="14">
        <v>21400</v>
      </c>
      <c r="H9143" s="13" t="s">
        <v>16582</v>
      </c>
      <c r="I9143" s="40" t="s">
        <v>18</v>
      </c>
      <c r="J9143" s="40" t="str">
        <f>HYPERLINK("https://stock.pstatic.net/stock-research/company/2/20250901_company_877636000.pdf","PDF")</f>
        <v>PDF</v>
      </c>
      <c r="K9143" s="12" t="s">
        <v>16583</v>
      </c>
      <c r="L9143" s="20">
        <v>0.63551401869158874</v>
      </c>
    </row>
    <row r="9144" spans="1:12" x14ac:dyDescent="0.45">
      <c r="A9144" s="12" t="s">
        <v>16565</v>
      </c>
      <c r="B9144" s="12" t="s">
        <v>5767</v>
      </c>
      <c r="C9144" s="13" t="s">
        <v>5768</v>
      </c>
      <c r="D9144" s="13" t="s">
        <v>83</v>
      </c>
      <c r="E9144" s="12" t="s">
        <v>35</v>
      </c>
      <c r="F9144" s="14">
        <v>46000</v>
      </c>
      <c r="G9144" s="14">
        <v>37200</v>
      </c>
      <c r="H9144" s="13" t="s">
        <v>16584</v>
      </c>
      <c r="I9144" s="40" t="s">
        <v>18</v>
      </c>
      <c r="J9144" s="40" t="str">
        <f>HYPERLINK("https://stock.pstatic.net/stock-research/company/2/20250901_company_778041000.pdf","PDF")</f>
        <v>PDF</v>
      </c>
      <c r="K9144" s="12" t="s">
        <v>16585</v>
      </c>
      <c r="L9144" s="20">
        <v>0.23655913978494619</v>
      </c>
    </row>
    <row r="9145" spans="1:12" x14ac:dyDescent="0.45">
      <c r="A9145" s="12" t="s">
        <v>16565</v>
      </c>
      <c r="B9145" s="12" t="s">
        <v>10976</v>
      </c>
      <c r="C9145" s="13" t="s">
        <v>10977</v>
      </c>
      <c r="D9145" s="13" t="s">
        <v>34</v>
      </c>
      <c r="E9145" s="12" t="s">
        <v>35</v>
      </c>
      <c r="F9145" s="14">
        <v>65000</v>
      </c>
      <c r="G9145" s="14">
        <v>53800</v>
      </c>
      <c r="H9145" s="13" t="s">
        <v>16586</v>
      </c>
      <c r="I9145" s="40" t="s">
        <v>18</v>
      </c>
      <c r="J9145" s="40" t="str">
        <f>HYPERLINK("https://stock.pstatic.net/stock-research/company/61/20250901_company_246883000.pdf","PDF")</f>
        <v>PDF</v>
      </c>
      <c r="K9145" s="12" t="s">
        <v>16587</v>
      </c>
      <c r="L9145" s="20">
        <v>0.20817843866171001</v>
      </c>
    </row>
    <row r="9146" spans="1:12" x14ac:dyDescent="0.45">
      <c r="A9146" s="12" t="s">
        <v>16565</v>
      </c>
      <c r="B9146" s="12" t="s">
        <v>11396</v>
      </c>
      <c r="C9146" s="13" t="s">
        <v>11397</v>
      </c>
      <c r="D9146" s="13" t="s">
        <v>34</v>
      </c>
      <c r="E9146" s="12" t="s">
        <v>50</v>
      </c>
      <c r="F9146" s="13"/>
      <c r="G9146" s="14">
        <v>6430</v>
      </c>
      <c r="H9146" s="13" t="s">
        <v>16588</v>
      </c>
      <c r="I9146" s="40" t="s">
        <v>18</v>
      </c>
      <c r="J9146" s="40" t="str">
        <f>HYPERLINK("https://stock.pstatic.net/stock-research/company/61/20250901_company_740565000.pdf","PDF")</f>
        <v>PDF</v>
      </c>
      <c r="K9146" s="12" t="s">
        <v>16589</v>
      </c>
    </row>
    <row r="9147" spans="1:12" x14ac:dyDescent="0.45">
      <c r="A9147" s="12" t="s">
        <v>16565</v>
      </c>
      <c r="B9147" s="12" t="s">
        <v>5355</v>
      </c>
      <c r="C9147" s="13" t="s">
        <v>5356</v>
      </c>
      <c r="D9147" s="13" t="s">
        <v>34</v>
      </c>
      <c r="E9147" s="12" t="s">
        <v>50</v>
      </c>
      <c r="F9147" s="13"/>
      <c r="G9147" s="14">
        <v>61400</v>
      </c>
      <c r="H9147" s="13" t="s">
        <v>16590</v>
      </c>
      <c r="I9147" s="40" t="s">
        <v>18</v>
      </c>
      <c r="J9147" s="40" t="str">
        <f>HYPERLINK("https://stock.pstatic.net/stock-research/company/61/20250901_company_466789000.pdf","PDF")</f>
        <v>PDF</v>
      </c>
      <c r="K9147" s="12" t="s">
        <v>16591</v>
      </c>
    </row>
    <row r="9148" spans="1:12" x14ac:dyDescent="0.45">
      <c r="A9148" s="12" t="s">
        <v>16565</v>
      </c>
      <c r="B9148" s="12" t="s">
        <v>5767</v>
      </c>
      <c r="C9148" s="13" t="s">
        <v>5768</v>
      </c>
      <c r="D9148" s="13" t="s">
        <v>34</v>
      </c>
      <c r="E9148" s="12" t="s">
        <v>50</v>
      </c>
      <c r="F9148" s="13"/>
      <c r="G9148" s="14">
        <v>37200</v>
      </c>
      <c r="H9148" s="13" t="s">
        <v>16592</v>
      </c>
      <c r="I9148" s="40" t="s">
        <v>18</v>
      </c>
      <c r="J9148" s="40" t="str">
        <f>HYPERLINK("https://stock.pstatic.net/stock-research/company/61/20250901_company_132901000.pdf","PDF")</f>
        <v>PDF</v>
      </c>
      <c r="K9148" s="12" t="s">
        <v>16593</v>
      </c>
    </row>
    <row r="9149" spans="1:12" x14ac:dyDescent="0.45">
      <c r="A9149" s="12" t="s">
        <v>16565</v>
      </c>
      <c r="B9149" s="12" t="s">
        <v>2217</v>
      </c>
      <c r="C9149" s="13" t="s">
        <v>2218</v>
      </c>
      <c r="D9149" s="13" t="s">
        <v>34</v>
      </c>
      <c r="E9149" s="12" t="s">
        <v>50</v>
      </c>
      <c r="F9149" s="13"/>
      <c r="G9149" s="14">
        <v>76900</v>
      </c>
      <c r="H9149" s="13" t="s">
        <v>16594</v>
      </c>
      <c r="I9149" s="40" t="s">
        <v>18</v>
      </c>
      <c r="J9149" s="40" t="str">
        <f>HYPERLINK("https://stock.pstatic.net/stock-research/company/61/20250901_company_645207000.pdf","PDF")</f>
        <v>PDF</v>
      </c>
      <c r="K9149" s="12" t="s">
        <v>16595</v>
      </c>
    </row>
    <row r="9150" spans="1:12" x14ac:dyDescent="0.45">
      <c r="A9150" s="12" t="s">
        <v>16565</v>
      </c>
      <c r="B9150" s="12" t="s">
        <v>916</v>
      </c>
      <c r="C9150" s="13" t="s">
        <v>917</v>
      </c>
      <c r="D9150" s="13" t="s">
        <v>44</v>
      </c>
      <c r="E9150" s="12" t="s">
        <v>35</v>
      </c>
      <c r="F9150" s="14">
        <v>100000</v>
      </c>
      <c r="G9150" s="14">
        <v>62500</v>
      </c>
      <c r="H9150" s="13" t="s">
        <v>16596</v>
      </c>
      <c r="I9150" s="40" t="s">
        <v>18</v>
      </c>
      <c r="J9150" s="40" t="str">
        <f>HYPERLINK("https://stock.pstatic.net/stock-research/company/39/20250901_company_239956000.pdf","PDF")</f>
        <v>PDF</v>
      </c>
      <c r="K9150" s="12" t="s">
        <v>16597</v>
      </c>
      <c r="L9150" s="20">
        <v>0.6</v>
      </c>
    </row>
    <row r="9151" spans="1:12" x14ac:dyDescent="0.45">
      <c r="A9151" s="12" t="s">
        <v>16565</v>
      </c>
      <c r="B9151" s="12" t="s">
        <v>1491</v>
      </c>
      <c r="C9151" s="13" t="s">
        <v>1492</v>
      </c>
      <c r="D9151" s="13" t="s">
        <v>92</v>
      </c>
      <c r="E9151" s="12" t="s">
        <v>35</v>
      </c>
      <c r="F9151" s="14">
        <v>30000</v>
      </c>
      <c r="G9151" s="14">
        <v>18100</v>
      </c>
      <c r="H9151" s="13" t="s">
        <v>16598</v>
      </c>
      <c r="I9151" s="40" t="s">
        <v>18</v>
      </c>
      <c r="J9151" s="40" t="str">
        <f>HYPERLINK("https://stock.pstatic.net/stock-research/company/63/20250901_company_122344000.pdf","PDF")</f>
        <v>PDF</v>
      </c>
      <c r="K9151" s="12" t="s">
        <v>16599</v>
      </c>
      <c r="L9151" s="20">
        <v>0.65745856353591159</v>
      </c>
    </row>
    <row r="9152" spans="1:12" x14ac:dyDescent="0.45">
      <c r="A9152" s="12" t="s">
        <v>16565</v>
      </c>
      <c r="B9152" s="12" t="s">
        <v>16349</v>
      </c>
      <c r="C9152" s="13" t="s">
        <v>16350</v>
      </c>
      <c r="D9152" s="13" t="s">
        <v>53</v>
      </c>
      <c r="E9152" s="12" t="s">
        <v>16</v>
      </c>
      <c r="F9152" s="14">
        <v>58000</v>
      </c>
      <c r="G9152" s="14">
        <v>41000</v>
      </c>
      <c r="H9152" s="13" t="s">
        <v>16600</v>
      </c>
      <c r="I9152" s="40" t="s">
        <v>18</v>
      </c>
      <c r="J9152" s="40" t="str">
        <f>HYPERLINK("https://stock.pstatic.net/stock-research/company/40/20250901_company_365790000.pdf","PDF")</f>
        <v>PDF</v>
      </c>
      <c r="K9152" s="12" t="s">
        <v>16601</v>
      </c>
      <c r="L9152" s="20">
        <v>0.41463414634146339</v>
      </c>
    </row>
    <row r="9153" spans="1:12" x14ac:dyDescent="0.45">
      <c r="A9153" s="12" t="s">
        <v>16565</v>
      </c>
      <c r="B9153" s="12" t="s">
        <v>1648</v>
      </c>
      <c r="C9153" s="13" t="s">
        <v>1649</v>
      </c>
      <c r="D9153" s="13" t="s">
        <v>23</v>
      </c>
      <c r="E9153" s="12" t="s">
        <v>16</v>
      </c>
      <c r="F9153" s="14">
        <v>180000</v>
      </c>
      <c r="G9153" s="14">
        <v>139300</v>
      </c>
      <c r="H9153" s="13" t="s">
        <v>16602</v>
      </c>
      <c r="I9153" s="40" t="s">
        <v>18</v>
      </c>
      <c r="J9153" s="40" t="str">
        <f>HYPERLINK("https://stock.pstatic.net/stock-research/company/21/20250901_company_419002000.pdf","PDF")</f>
        <v>PDF</v>
      </c>
      <c r="K9153" s="12" t="s">
        <v>16603</v>
      </c>
      <c r="L9153" s="20">
        <v>0.29217516152189521</v>
      </c>
    </row>
    <row r="9154" spans="1:12" x14ac:dyDescent="0.45">
      <c r="A9154" s="12" t="s">
        <v>16565</v>
      </c>
      <c r="B9154" s="12" t="s">
        <v>1682</v>
      </c>
      <c r="C9154" s="13" t="s">
        <v>4787</v>
      </c>
      <c r="D9154" s="13" t="s">
        <v>23</v>
      </c>
      <c r="E9154" s="12" t="s">
        <v>385</v>
      </c>
      <c r="F9154" s="13"/>
      <c r="G9154" s="14">
        <v>204500</v>
      </c>
      <c r="H9154" s="13" t="s">
        <v>16604</v>
      </c>
      <c r="I9154" s="40" t="s">
        <v>18</v>
      </c>
      <c r="J9154" s="40" t="str">
        <f>HYPERLINK("https://stock.pstatic.net/stock-research/company/21/20250901_company_258314000.pdf","PDF")</f>
        <v>PDF</v>
      </c>
      <c r="K9154" s="12" t="s">
        <v>16605</v>
      </c>
    </row>
    <row r="9155" spans="1:12" x14ac:dyDescent="0.45">
      <c r="A9155" s="12" t="s">
        <v>16565</v>
      </c>
      <c r="B9155" s="12" t="s">
        <v>4864</v>
      </c>
      <c r="C9155" s="13" t="s">
        <v>4865</v>
      </c>
      <c r="D9155" s="13" t="s">
        <v>23</v>
      </c>
      <c r="E9155" s="12" t="s">
        <v>385</v>
      </c>
      <c r="F9155" s="13"/>
      <c r="G9155" s="14">
        <v>39600</v>
      </c>
      <c r="H9155" s="13" t="s">
        <v>16606</v>
      </c>
      <c r="I9155" s="40" t="s">
        <v>18</v>
      </c>
      <c r="J9155" s="40" t="str">
        <f>HYPERLINK("https://stock.pstatic.net/stock-research/company/21/20250901_company_829867000.pdf","PDF")</f>
        <v>PDF</v>
      </c>
      <c r="K9155" s="12" t="s">
        <v>16607</v>
      </c>
    </row>
    <row r="9156" spans="1:12" x14ac:dyDescent="0.45">
      <c r="A9156" s="12" t="s">
        <v>16565</v>
      </c>
      <c r="B9156" s="12" t="s">
        <v>6632</v>
      </c>
      <c r="C9156" s="13" t="s">
        <v>6633</v>
      </c>
      <c r="D9156" s="13" t="s">
        <v>23</v>
      </c>
      <c r="E9156" s="12" t="s">
        <v>385</v>
      </c>
      <c r="F9156" s="13"/>
      <c r="G9156" s="14">
        <v>14350</v>
      </c>
      <c r="H9156" s="13" t="s">
        <v>16608</v>
      </c>
      <c r="I9156" s="40" t="s">
        <v>18</v>
      </c>
      <c r="J9156" s="40" t="str">
        <f>HYPERLINK("https://stock.pstatic.net/stock-research/company/21/20250901_company_817963000.pdf","PDF")</f>
        <v>PDF</v>
      </c>
      <c r="K9156" s="12" t="s">
        <v>16609</v>
      </c>
    </row>
    <row r="9157" spans="1:12" x14ac:dyDescent="0.45">
      <c r="A9157" s="12" t="s">
        <v>16565</v>
      </c>
      <c r="B9157" s="12" t="s">
        <v>98</v>
      </c>
      <c r="C9157" s="13" t="s">
        <v>99</v>
      </c>
      <c r="D9157" s="13" t="s">
        <v>23</v>
      </c>
      <c r="E9157" s="12" t="s">
        <v>385</v>
      </c>
      <c r="F9157" s="13"/>
      <c r="G9157" s="14">
        <v>25900</v>
      </c>
      <c r="H9157" s="13" t="s">
        <v>16610</v>
      </c>
      <c r="I9157" s="40" t="s">
        <v>18</v>
      </c>
      <c r="J9157" s="40" t="str">
        <f>HYPERLINK("https://stock.pstatic.net/stock-research/company/21/20250901_company_977446000.pdf","PDF")</f>
        <v>PDF</v>
      </c>
      <c r="K9157" s="12" t="s">
        <v>16611</v>
      </c>
    </row>
    <row r="9158" spans="1:12" x14ac:dyDescent="0.45">
      <c r="A9158" s="12" t="s">
        <v>16612</v>
      </c>
      <c r="B9158" s="12" t="s">
        <v>1548</v>
      </c>
      <c r="C9158" s="13" t="s">
        <v>1549</v>
      </c>
      <c r="D9158" s="13" t="s">
        <v>853</v>
      </c>
      <c r="E9158" s="12" t="s">
        <v>35</v>
      </c>
      <c r="F9158" s="14">
        <v>1300000</v>
      </c>
      <c r="G9158" s="14">
        <v>996000</v>
      </c>
      <c r="H9158" s="13" t="s">
        <v>16613</v>
      </c>
      <c r="I9158" s="40" t="s">
        <v>18</v>
      </c>
      <c r="J9158" s="40" t="str">
        <f>HYPERLINK("https://stock.pstatic.net/stock-research/company/17/20250829_company_214883000.pdf","PDF")</f>
        <v>PDF</v>
      </c>
      <c r="K9158" s="12" t="s">
        <v>16614</v>
      </c>
      <c r="L9158" s="20">
        <v>0.30522088353413662</v>
      </c>
    </row>
    <row r="9159" spans="1:12" x14ac:dyDescent="0.45">
      <c r="A9159" s="12" t="s">
        <v>16612</v>
      </c>
      <c r="B9159" s="12" t="s">
        <v>2290</v>
      </c>
      <c r="C9159" s="13" t="s">
        <v>2291</v>
      </c>
      <c r="D9159" s="13" t="s">
        <v>23</v>
      </c>
      <c r="E9159" s="12" t="s">
        <v>16</v>
      </c>
      <c r="F9159" s="14">
        <v>6000</v>
      </c>
      <c r="G9159" s="14">
        <v>5300</v>
      </c>
      <c r="H9159" s="13" t="s">
        <v>16615</v>
      </c>
      <c r="I9159" s="40" t="s">
        <v>18</v>
      </c>
      <c r="J9159" s="40" t="str">
        <f>HYPERLINK("https://stock.pstatic.net/stock-research/company/21/20250829_company_373472000.pdf","PDF")</f>
        <v>PDF</v>
      </c>
      <c r="K9159" s="12" t="s">
        <v>16616</v>
      </c>
      <c r="L9159" s="20">
        <v>0.13207547169811321</v>
      </c>
    </row>
    <row r="9160" spans="1:12" x14ac:dyDescent="0.45">
      <c r="A9160" s="12" t="s">
        <v>16612</v>
      </c>
      <c r="B9160" s="12" t="s">
        <v>1686</v>
      </c>
      <c r="C9160" s="13" t="s">
        <v>1687</v>
      </c>
      <c r="D9160" s="13" t="s">
        <v>83</v>
      </c>
      <c r="E9160" s="12" t="s">
        <v>35</v>
      </c>
      <c r="F9160" s="14">
        <v>1900000</v>
      </c>
      <c r="G9160" s="14">
        <v>1597000</v>
      </c>
      <c r="H9160" s="13" t="s">
        <v>16617</v>
      </c>
      <c r="I9160" s="40" t="s">
        <v>18</v>
      </c>
      <c r="J9160" s="40" t="str">
        <f>HYPERLINK("https://stock.pstatic.net/stock-research/company/2/20250829_company_280440000.pdf","PDF")</f>
        <v>PDF</v>
      </c>
      <c r="K9160" s="12" t="s">
        <v>16618</v>
      </c>
      <c r="L9160" s="20">
        <v>0.18973074514715091</v>
      </c>
    </row>
    <row r="9161" spans="1:12" x14ac:dyDescent="0.45">
      <c r="A9161" s="12" t="s">
        <v>16612</v>
      </c>
      <c r="B9161" s="12" t="s">
        <v>4642</v>
      </c>
      <c r="C9161" s="13" t="s">
        <v>4643</v>
      </c>
      <c r="D9161" s="13" t="s">
        <v>83</v>
      </c>
      <c r="E9161" s="12" t="s">
        <v>35</v>
      </c>
      <c r="F9161" s="14">
        <v>28000</v>
      </c>
      <c r="G9161" s="14">
        <v>23850</v>
      </c>
      <c r="H9161" s="13" t="s">
        <v>16619</v>
      </c>
      <c r="I9161" s="40" t="s">
        <v>18</v>
      </c>
      <c r="J9161" s="40" t="str">
        <f>HYPERLINK("https://stock.pstatic.net/stock-research/company/2/20250829_company_218286000.pdf","PDF")</f>
        <v>PDF</v>
      </c>
      <c r="K9161" s="12" t="s">
        <v>16620</v>
      </c>
      <c r="L9161" s="20">
        <v>0.17400419287211741</v>
      </c>
    </row>
    <row r="9162" spans="1:12" x14ac:dyDescent="0.45">
      <c r="A9162" s="12" t="s">
        <v>16612</v>
      </c>
      <c r="B9162" s="12" t="s">
        <v>577</v>
      </c>
      <c r="C9162" s="13" t="s">
        <v>578</v>
      </c>
      <c r="D9162" s="13" t="s">
        <v>60</v>
      </c>
      <c r="E9162" s="12" t="s">
        <v>35</v>
      </c>
      <c r="F9162" s="14">
        <v>370000</v>
      </c>
      <c r="G9162" s="14">
        <v>302500</v>
      </c>
      <c r="H9162" s="13" t="s">
        <v>16621</v>
      </c>
      <c r="I9162" s="40" t="s">
        <v>18</v>
      </c>
      <c r="J9162" s="40" t="str">
        <f>HYPERLINK("https://stock.pstatic.net/stock-research/company/34/20250829_company_585966000.pdf","PDF")</f>
        <v>PDF</v>
      </c>
      <c r="K9162" s="12" t="s">
        <v>16622</v>
      </c>
      <c r="L9162" s="20">
        <v>0.2231404958677686</v>
      </c>
    </row>
    <row r="9163" spans="1:12" x14ac:dyDescent="0.45">
      <c r="A9163" s="12" t="s">
        <v>16612</v>
      </c>
      <c r="B9163" s="12" t="s">
        <v>16623</v>
      </c>
      <c r="C9163" s="13" t="s">
        <v>16624</v>
      </c>
      <c r="D9163" s="13" t="s">
        <v>158</v>
      </c>
      <c r="E9163" s="12" t="s">
        <v>50</v>
      </c>
      <c r="F9163" s="13"/>
      <c r="G9163" s="14">
        <v>3865</v>
      </c>
      <c r="H9163" s="13" t="s">
        <v>16625</v>
      </c>
      <c r="I9163" s="40" t="s">
        <v>18</v>
      </c>
      <c r="J9163" s="40" t="str">
        <f>HYPERLINK("https://stock.pstatic.net/stock-research/company/18/20250829_company_970555000.pdf","PDF")</f>
        <v>PDF</v>
      </c>
      <c r="K9163" s="12" t="s">
        <v>16626</v>
      </c>
    </row>
    <row r="9164" spans="1:12" x14ac:dyDescent="0.45">
      <c r="A9164" s="12" t="s">
        <v>16612</v>
      </c>
      <c r="B9164" s="12" t="s">
        <v>691</v>
      </c>
      <c r="C9164" s="13" t="s">
        <v>20</v>
      </c>
      <c r="D9164" s="13" t="s">
        <v>714</v>
      </c>
      <c r="E9164" s="12" t="s">
        <v>35</v>
      </c>
      <c r="F9164" s="14">
        <v>230000</v>
      </c>
      <c r="G9164" s="14">
        <v>173800</v>
      </c>
      <c r="H9164" s="13" t="s">
        <v>16627</v>
      </c>
      <c r="I9164" s="40" t="s">
        <v>18</v>
      </c>
      <c r="J9164" s="40" t="str">
        <f>HYPERLINK("https://m.stock.naver.com/research/company/86153","PDF")</f>
        <v>PDF</v>
      </c>
      <c r="K9164" s="12" t="s">
        <v>16628</v>
      </c>
      <c r="L9164" s="20">
        <v>0.32336018411967782</v>
      </c>
    </row>
    <row r="9165" spans="1:12" x14ac:dyDescent="0.45">
      <c r="A9165" s="12" t="s">
        <v>16612</v>
      </c>
      <c r="B9165" s="12" t="s">
        <v>1415</v>
      </c>
      <c r="C9165" s="13" t="s">
        <v>1416</v>
      </c>
      <c r="D9165" s="13" t="s">
        <v>23</v>
      </c>
      <c r="E9165" s="12" t="s">
        <v>16</v>
      </c>
      <c r="F9165" s="14">
        <v>6200</v>
      </c>
      <c r="G9165" s="14">
        <v>4430</v>
      </c>
      <c r="H9165" s="13" t="s">
        <v>16629</v>
      </c>
      <c r="I9165" s="40" t="s">
        <v>18</v>
      </c>
      <c r="J9165" s="40" t="str">
        <f>HYPERLINK("https://m.stock.naver.com/research/company/86152","PDF")</f>
        <v>PDF</v>
      </c>
      <c r="K9165" s="12" t="s">
        <v>16630</v>
      </c>
      <c r="L9165" s="20">
        <v>0.39954853273137703</v>
      </c>
    </row>
    <row r="9166" spans="1:12" x14ac:dyDescent="0.45">
      <c r="A9166" s="12" t="s">
        <v>16612</v>
      </c>
      <c r="B9166" s="12" t="s">
        <v>11753</v>
      </c>
      <c r="C9166" s="13" t="s">
        <v>11754</v>
      </c>
      <c r="D9166" s="13" t="s">
        <v>23</v>
      </c>
      <c r="E9166" s="12" t="s">
        <v>50</v>
      </c>
      <c r="F9166" s="13"/>
      <c r="G9166" s="14">
        <v>93600</v>
      </c>
      <c r="H9166" s="13" t="s">
        <v>16631</v>
      </c>
      <c r="I9166" s="40" t="s">
        <v>18</v>
      </c>
      <c r="J9166" s="40" t="str">
        <f>HYPERLINK("https://m.stock.naver.com/research/company/86151","PDF")</f>
        <v>PDF</v>
      </c>
      <c r="K9166" s="12" t="s">
        <v>16632</v>
      </c>
    </row>
    <row r="9167" spans="1:12" x14ac:dyDescent="0.45">
      <c r="A9167" s="12" t="s">
        <v>16612</v>
      </c>
      <c r="B9167" s="12" t="s">
        <v>322</v>
      </c>
      <c r="C9167" s="13" t="s">
        <v>323</v>
      </c>
      <c r="D9167" s="13" t="s">
        <v>23</v>
      </c>
      <c r="E9167" s="12" t="s">
        <v>50</v>
      </c>
      <c r="F9167" s="13"/>
      <c r="G9167" s="14">
        <v>30900</v>
      </c>
      <c r="H9167" s="13" t="s">
        <v>16633</v>
      </c>
      <c r="I9167" s="40" t="s">
        <v>18</v>
      </c>
      <c r="J9167" s="40" t="str">
        <f>HYPERLINK("https://stock.pstatic.net/stock-research/company/21/20250829_company_156366000.pdf","PDF")</f>
        <v>PDF</v>
      </c>
      <c r="K9167" s="12" t="s">
        <v>16634</v>
      </c>
    </row>
    <row r="9168" spans="1:12" x14ac:dyDescent="0.45">
      <c r="A9168" s="12" t="s">
        <v>16612</v>
      </c>
      <c r="B9168" s="12" t="s">
        <v>11753</v>
      </c>
      <c r="C9168" s="13" t="s">
        <v>11754</v>
      </c>
      <c r="D9168" s="13" t="s">
        <v>44</v>
      </c>
      <c r="E9168" s="12" t="s">
        <v>50</v>
      </c>
      <c r="F9168" s="13"/>
      <c r="G9168" s="13"/>
      <c r="H9168" s="13" t="s">
        <v>16635</v>
      </c>
      <c r="I9168" s="40" t="s">
        <v>18</v>
      </c>
      <c r="J9168" s="40" t="str">
        <f>HYPERLINK("https://m.stock.naver.com/research/company/86149","PDF")</f>
        <v>PDF</v>
      </c>
      <c r="K9168" s="12" t="s">
        <v>16636</v>
      </c>
    </row>
    <row r="9169" spans="1:12" x14ac:dyDescent="0.45">
      <c r="A9169" s="12" t="s">
        <v>16612</v>
      </c>
      <c r="B9169" s="12" t="s">
        <v>4746</v>
      </c>
      <c r="C9169" s="13" t="s">
        <v>4747</v>
      </c>
      <c r="D9169" s="13" t="s">
        <v>44</v>
      </c>
      <c r="E9169" s="12" t="s">
        <v>50</v>
      </c>
      <c r="F9169" s="13"/>
      <c r="G9169" s="14">
        <v>13150</v>
      </c>
      <c r="H9169" s="13" t="s">
        <v>16637</v>
      </c>
      <c r="I9169" s="40" t="s">
        <v>18</v>
      </c>
      <c r="J9169" s="40" t="str">
        <f>HYPERLINK("https://stock.pstatic.net/stock-research/company/39/20250829_company_615638000.pdf","PDF")</f>
        <v>PDF</v>
      </c>
      <c r="K9169" s="12" t="s">
        <v>16638</v>
      </c>
    </row>
    <row r="9170" spans="1:12" x14ac:dyDescent="0.45">
      <c r="A9170" s="12" t="s">
        <v>16612</v>
      </c>
      <c r="B9170" s="12" t="s">
        <v>1648</v>
      </c>
      <c r="C9170" s="13" t="s">
        <v>1649</v>
      </c>
      <c r="D9170" s="13" t="s">
        <v>124</v>
      </c>
      <c r="E9170" s="12" t="s">
        <v>50</v>
      </c>
      <c r="F9170" s="13"/>
      <c r="G9170" s="13"/>
      <c r="H9170" s="13" t="s">
        <v>16639</v>
      </c>
      <c r="I9170" s="40" t="s">
        <v>18</v>
      </c>
      <c r="J9170" s="40" t="str">
        <f>HYPERLINK("https://stock.pstatic.net/stock-research/company/74/20250829_company_386779000.pdf","PDF")</f>
        <v>PDF</v>
      </c>
      <c r="K9170" s="12" t="s">
        <v>16640</v>
      </c>
    </row>
    <row r="9171" spans="1:12" x14ac:dyDescent="0.45">
      <c r="A9171" s="12" t="s">
        <v>16612</v>
      </c>
      <c r="B9171" s="12" t="s">
        <v>1389</v>
      </c>
      <c r="C9171" s="13" t="s">
        <v>1390</v>
      </c>
      <c r="D9171" s="13" t="s">
        <v>124</v>
      </c>
      <c r="E9171" s="12" t="s">
        <v>50</v>
      </c>
      <c r="F9171" s="13"/>
      <c r="G9171" s="13"/>
      <c r="H9171" s="13" t="s">
        <v>16641</v>
      </c>
      <c r="I9171" s="40" t="s">
        <v>18</v>
      </c>
      <c r="J9171" s="40" t="str">
        <f>HYPERLINK("https://stock.pstatic.net/stock-research/company/74/20250829_company_952464000.pdf","PDF")</f>
        <v>PDF</v>
      </c>
      <c r="K9171" s="12" t="s">
        <v>16642</v>
      </c>
    </row>
    <row r="9172" spans="1:12" x14ac:dyDescent="0.45">
      <c r="A9172" s="12" t="s">
        <v>16612</v>
      </c>
      <c r="B9172" s="12" t="s">
        <v>102</v>
      </c>
      <c r="C9172" s="13" t="s">
        <v>103</v>
      </c>
      <c r="D9172" s="13" t="s">
        <v>15</v>
      </c>
      <c r="E9172" s="12" t="s">
        <v>16</v>
      </c>
      <c r="F9172" s="14">
        <v>23000</v>
      </c>
      <c r="G9172" s="14">
        <v>18610</v>
      </c>
      <c r="H9172" s="13" t="s">
        <v>16643</v>
      </c>
      <c r="I9172" s="40" t="s">
        <v>18</v>
      </c>
      <c r="J9172" s="40" t="str">
        <f>HYPERLINK("https://stock.pstatic.net/stock-research/company/29/20250829_company_312427000.pdf","PDF")</f>
        <v>PDF</v>
      </c>
      <c r="K9172" s="12" t="s">
        <v>16644</v>
      </c>
      <c r="L9172" s="20">
        <v>0.23589468027941971</v>
      </c>
    </row>
    <row r="9173" spans="1:12" x14ac:dyDescent="0.45">
      <c r="A9173" s="12" t="s">
        <v>16612</v>
      </c>
      <c r="B9173" s="12" t="s">
        <v>1918</v>
      </c>
      <c r="C9173" s="13" t="s">
        <v>1919</v>
      </c>
      <c r="D9173" s="13" t="s">
        <v>53</v>
      </c>
      <c r="E9173" s="12" t="s">
        <v>16</v>
      </c>
      <c r="F9173" s="14">
        <v>6250</v>
      </c>
      <c r="G9173" s="14">
        <v>4870</v>
      </c>
      <c r="H9173" s="13" t="s">
        <v>16645</v>
      </c>
      <c r="I9173" s="40" t="s">
        <v>18</v>
      </c>
      <c r="J9173" s="40" t="str">
        <f>HYPERLINK("https://stock.pstatic.net/stock-research/company/40/20250829_company_910880000.pdf","PDF")</f>
        <v>PDF</v>
      </c>
      <c r="K9173" s="12" t="s">
        <v>16646</v>
      </c>
      <c r="L9173" s="20">
        <v>0.28336755646817252</v>
      </c>
    </row>
    <row r="9174" spans="1:12" x14ac:dyDescent="0.45">
      <c r="A9174" s="12" t="s">
        <v>16612</v>
      </c>
      <c r="B9174" s="12" t="s">
        <v>884</v>
      </c>
      <c r="C9174" s="13" t="s">
        <v>885</v>
      </c>
      <c r="D9174" s="13" t="s">
        <v>53</v>
      </c>
      <c r="E9174" s="12" t="s">
        <v>16</v>
      </c>
      <c r="F9174" s="14">
        <v>3400</v>
      </c>
      <c r="G9174" s="14">
        <v>2460</v>
      </c>
      <c r="H9174" s="13" t="s">
        <v>16647</v>
      </c>
      <c r="I9174" s="40" t="s">
        <v>18</v>
      </c>
      <c r="J9174" s="40" t="str">
        <f>HYPERLINK("https://m.stock.naver.com/research/company/86143","PDF")</f>
        <v>PDF</v>
      </c>
      <c r="K9174" s="12" t="s">
        <v>16648</v>
      </c>
      <c r="L9174" s="20">
        <v>0.38211382113821141</v>
      </c>
    </row>
    <row r="9175" spans="1:12" x14ac:dyDescent="0.45">
      <c r="A9175" s="12" t="s">
        <v>16612</v>
      </c>
      <c r="B9175" s="12" t="s">
        <v>16649</v>
      </c>
      <c r="C9175" s="13" t="s">
        <v>16650</v>
      </c>
      <c r="D9175" s="13" t="s">
        <v>202</v>
      </c>
      <c r="E9175" s="12" t="s">
        <v>50</v>
      </c>
      <c r="F9175" s="13"/>
      <c r="G9175" s="13"/>
      <c r="H9175" s="13" t="s">
        <v>16651</v>
      </c>
      <c r="I9175" s="40" t="s">
        <v>18</v>
      </c>
      <c r="J9175" s="40" t="str">
        <f>HYPERLINK("https://m.stock.naver.com/research/company/86142","PDF")</f>
        <v>PDF</v>
      </c>
      <c r="K9175" s="12" t="s">
        <v>16652</v>
      </c>
    </row>
    <row r="9176" spans="1:12" x14ac:dyDescent="0.45">
      <c r="A9176" s="12" t="s">
        <v>16612</v>
      </c>
      <c r="B9176" s="12" t="s">
        <v>2857</v>
      </c>
      <c r="C9176" s="13" t="s">
        <v>2858</v>
      </c>
      <c r="D9176" s="13" t="s">
        <v>202</v>
      </c>
      <c r="E9176" s="12" t="s">
        <v>50</v>
      </c>
      <c r="F9176" s="13"/>
      <c r="G9176" s="13"/>
      <c r="H9176" s="13" t="s">
        <v>16653</v>
      </c>
      <c r="I9176" s="40" t="s">
        <v>18</v>
      </c>
      <c r="J9176" s="40" t="str">
        <f>HYPERLINK("https://stock.pstatic.net/stock-research/company/69/20250829_company_74615000.pdf","PDF")</f>
        <v>PDF</v>
      </c>
      <c r="K9176" s="12" t="s">
        <v>16654</v>
      </c>
    </row>
    <row r="9177" spans="1:12" x14ac:dyDescent="0.45">
      <c r="A9177" s="12" t="s">
        <v>16612</v>
      </c>
      <c r="B9177" s="12" t="s">
        <v>16655</v>
      </c>
      <c r="C9177" s="13" t="s">
        <v>16656</v>
      </c>
      <c r="D9177" s="13" t="s">
        <v>202</v>
      </c>
      <c r="E9177" s="12" t="s">
        <v>50</v>
      </c>
      <c r="F9177" s="13"/>
      <c r="G9177" s="13"/>
      <c r="H9177" s="13" t="s">
        <v>16657</v>
      </c>
      <c r="I9177" s="40" t="s">
        <v>18</v>
      </c>
      <c r="J9177" s="40" t="str">
        <f>HYPERLINK("https://m.stock.naver.com/research/company/86140","PDF")</f>
        <v>PDF</v>
      </c>
      <c r="K9177" s="12" t="s">
        <v>16658</v>
      </c>
    </row>
    <row r="9178" spans="1:12" x14ac:dyDescent="0.45">
      <c r="A9178" s="12" t="s">
        <v>16612</v>
      </c>
      <c r="B9178" s="12" t="s">
        <v>4115</v>
      </c>
      <c r="C9178" s="13" t="s">
        <v>4116</v>
      </c>
      <c r="D9178" s="13" t="s">
        <v>202</v>
      </c>
      <c r="E9178" s="12" t="s">
        <v>50</v>
      </c>
      <c r="F9178" s="13"/>
      <c r="G9178" s="13"/>
      <c r="H9178" s="13" t="s">
        <v>16659</v>
      </c>
      <c r="I9178" s="40" t="s">
        <v>18</v>
      </c>
      <c r="J9178" s="40" t="str">
        <f>HYPERLINK("https://m.stock.naver.com/research/company/86139","PDF")</f>
        <v>PDF</v>
      </c>
      <c r="K9178" s="12" t="s">
        <v>16660</v>
      </c>
    </row>
    <row r="9179" spans="1:12" x14ac:dyDescent="0.45">
      <c r="A9179" s="12" t="s">
        <v>16612</v>
      </c>
      <c r="B9179" s="12" t="s">
        <v>16661</v>
      </c>
      <c r="C9179" s="13" t="s">
        <v>16662</v>
      </c>
      <c r="D9179" s="13" t="s">
        <v>202</v>
      </c>
      <c r="E9179" s="12" t="s">
        <v>50</v>
      </c>
      <c r="F9179" s="13"/>
      <c r="G9179" s="13"/>
      <c r="H9179" s="13" t="s">
        <v>16663</v>
      </c>
      <c r="I9179" s="40" t="s">
        <v>18</v>
      </c>
      <c r="J9179" s="40" t="str">
        <f>HYPERLINK("https://m.stock.naver.com/research/company/86138","PDF")</f>
        <v>PDF</v>
      </c>
      <c r="K9179" s="12" t="s">
        <v>16664</v>
      </c>
    </row>
    <row r="9180" spans="1:12" x14ac:dyDescent="0.45">
      <c r="A9180" s="12" t="s">
        <v>16612</v>
      </c>
      <c r="B9180" s="12" t="s">
        <v>16665</v>
      </c>
      <c r="C9180" s="13" t="s">
        <v>16666</v>
      </c>
      <c r="D9180" s="13" t="s">
        <v>11154</v>
      </c>
      <c r="E9180" s="12" t="s">
        <v>50</v>
      </c>
      <c r="F9180" s="13"/>
      <c r="G9180" s="13"/>
      <c r="H9180" s="13" t="s">
        <v>16667</v>
      </c>
      <c r="I9180" s="40" t="s">
        <v>18</v>
      </c>
      <c r="J9180" s="40" t="str">
        <f>HYPERLINK("https://m.stock.naver.com/research/company/86137","PDF")</f>
        <v>PDF</v>
      </c>
      <c r="K9180" s="12" t="s">
        <v>16668</v>
      </c>
    </row>
    <row r="9181" spans="1:12" x14ac:dyDescent="0.45">
      <c r="A9181" s="12" t="s">
        <v>16612</v>
      </c>
      <c r="B9181" s="12" t="s">
        <v>16669</v>
      </c>
      <c r="C9181" s="13" t="s">
        <v>16670</v>
      </c>
      <c r="D9181" s="13" t="s">
        <v>207</v>
      </c>
      <c r="E9181" s="12" t="s">
        <v>50</v>
      </c>
      <c r="F9181" s="13"/>
      <c r="G9181" s="13"/>
      <c r="H9181" s="13" t="s">
        <v>16671</v>
      </c>
      <c r="I9181" s="40" t="s">
        <v>18</v>
      </c>
      <c r="J9181" s="40" t="str">
        <f>HYPERLINK("https://m.stock.naver.com/research/company/86136","PDF")</f>
        <v>PDF</v>
      </c>
      <c r="K9181" s="12" t="s">
        <v>16672</v>
      </c>
    </row>
    <row r="9182" spans="1:12" x14ac:dyDescent="0.45">
      <c r="A9182" s="12" t="s">
        <v>16612</v>
      </c>
      <c r="B9182" s="12" t="s">
        <v>16673</v>
      </c>
      <c r="C9182" s="13" t="s">
        <v>16674</v>
      </c>
      <c r="D9182" s="13" t="s">
        <v>11154</v>
      </c>
      <c r="E9182" s="12" t="s">
        <v>50</v>
      </c>
      <c r="F9182" s="13"/>
      <c r="G9182" s="13"/>
      <c r="H9182" s="13" t="s">
        <v>16675</v>
      </c>
      <c r="I9182" s="40" t="s">
        <v>18</v>
      </c>
      <c r="J9182" s="40" t="str">
        <f>HYPERLINK("https://stock.pstatic.net/stock-research/company/79/20250829_company_870974000.pdf","PDF")</f>
        <v>PDF</v>
      </c>
      <c r="K9182" s="12" t="s">
        <v>16676</v>
      </c>
    </row>
    <row r="9183" spans="1:12" x14ac:dyDescent="0.45">
      <c r="A9183" s="12" t="s">
        <v>16612</v>
      </c>
      <c r="B9183" s="12" t="s">
        <v>16677</v>
      </c>
      <c r="C9183" s="13" t="s">
        <v>16678</v>
      </c>
      <c r="D9183" s="13" t="s">
        <v>11154</v>
      </c>
      <c r="E9183" s="12" t="s">
        <v>50</v>
      </c>
      <c r="F9183" s="13"/>
      <c r="G9183" s="13"/>
      <c r="H9183" s="13" t="s">
        <v>16679</v>
      </c>
      <c r="I9183" s="40" t="s">
        <v>18</v>
      </c>
      <c r="J9183" s="40" t="str">
        <f>HYPERLINK("https://m.stock.naver.com/research/company/86134","PDF")</f>
        <v>PDF</v>
      </c>
      <c r="K9183" s="12" t="s">
        <v>16680</v>
      </c>
    </row>
    <row r="9184" spans="1:12" x14ac:dyDescent="0.45">
      <c r="A9184" s="12" t="s">
        <v>16612</v>
      </c>
      <c r="B9184" s="12" t="s">
        <v>16681</v>
      </c>
      <c r="C9184" s="13" t="s">
        <v>16682</v>
      </c>
      <c r="D9184" s="13" t="s">
        <v>11154</v>
      </c>
      <c r="E9184" s="12" t="s">
        <v>50</v>
      </c>
      <c r="F9184" s="13"/>
      <c r="G9184" s="13"/>
      <c r="H9184" s="13" t="s">
        <v>16683</v>
      </c>
      <c r="I9184" s="40" t="s">
        <v>18</v>
      </c>
      <c r="J9184" s="40" t="str">
        <f>HYPERLINK("https://stock.pstatic.net/stock-research/company/79/20250829_company_723064000.pdf","PDF")</f>
        <v>PDF</v>
      </c>
      <c r="K9184" s="12" t="s">
        <v>16684</v>
      </c>
    </row>
    <row r="9185" spans="1:12" x14ac:dyDescent="0.45">
      <c r="A9185" s="12" t="s">
        <v>16612</v>
      </c>
      <c r="B9185" s="12" t="s">
        <v>3805</v>
      </c>
      <c r="C9185" s="13" t="s">
        <v>3806</v>
      </c>
      <c r="D9185" s="13" t="s">
        <v>207</v>
      </c>
      <c r="E9185" s="12" t="s">
        <v>50</v>
      </c>
      <c r="F9185" s="13"/>
      <c r="G9185" s="13"/>
      <c r="H9185" s="13" t="s">
        <v>16685</v>
      </c>
      <c r="I9185" s="40" t="s">
        <v>18</v>
      </c>
      <c r="J9185" s="40" t="str">
        <f>HYPERLINK("https://m.stock.naver.com/research/company/86132","PDF")</f>
        <v>PDF</v>
      </c>
      <c r="K9185" s="12" t="s">
        <v>16686</v>
      </c>
    </row>
    <row r="9186" spans="1:12" x14ac:dyDescent="0.45">
      <c r="A9186" s="12" t="s">
        <v>16612</v>
      </c>
      <c r="B9186" s="12" t="s">
        <v>16687</v>
      </c>
      <c r="C9186" s="13" t="s">
        <v>16688</v>
      </c>
      <c r="D9186" s="13" t="s">
        <v>207</v>
      </c>
      <c r="E9186" s="12" t="s">
        <v>50</v>
      </c>
      <c r="F9186" s="13"/>
      <c r="G9186" s="13"/>
      <c r="H9186" s="13" t="s">
        <v>16689</v>
      </c>
      <c r="I9186" s="40" t="s">
        <v>18</v>
      </c>
      <c r="J9186" s="40" t="str">
        <f>HYPERLINK("https://stock.pstatic.net/stock-research/company/75/20250829_company_313636000.pdf","PDF")</f>
        <v>PDF</v>
      </c>
      <c r="K9186" s="12" t="s">
        <v>16690</v>
      </c>
    </row>
    <row r="9187" spans="1:12" x14ac:dyDescent="0.45">
      <c r="A9187" s="12" t="s">
        <v>16612</v>
      </c>
      <c r="B9187" s="12" t="s">
        <v>10817</v>
      </c>
      <c r="C9187" s="13" t="s">
        <v>10818</v>
      </c>
      <c r="D9187" s="13" t="s">
        <v>11154</v>
      </c>
      <c r="E9187" s="12" t="s">
        <v>50</v>
      </c>
      <c r="F9187" s="13"/>
      <c r="G9187" s="13"/>
      <c r="H9187" s="13" t="s">
        <v>16691</v>
      </c>
      <c r="I9187" s="40" t="s">
        <v>18</v>
      </c>
      <c r="J9187" s="40" t="str">
        <f>HYPERLINK("https://stock.pstatic.net/stock-research/company/79/20250829_company_499975000.pdf","PDF")</f>
        <v>PDF</v>
      </c>
      <c r="K9187" s="12" t="s">
        <v>16692</v>
      </c>
    </row>
    <row r="9188" spans="1:12" x14ac:dyDescent="0.45">
      <c r="A9188" s="12" t="s">
        <v>16693</v>
      </c>
      <c r="B9188" s="12" t="s">
        <v>577</v>
      </c>
      <c r="C9188" s="13" t="s">
        <v>578</v>
      </c>
      <c r="D9188" s="13" t="s">
        <v>57</v>
      </c>
      <c r="E9188" s="12" t="s">
        <v>35</v>
      </c>
      <c r="F9188" s="14">
        <v>360000</v>
      </c>
      <c r="G9188" s="14">
        <v>302500</v>
      </c>
      <c r="H9188" s="13" t="s">
        <v>16694</v>
      </c>
      <c r="I9188" s="40" t="s">
        <v>18</v>
      </c>
      <c r="J9188" s="40" t="str">
        <f>HYPERLINK("https://m.stock.naver.com/research/company/86129","PDF")</f>
        <v>PDF</v>
      </c>
      <c r="K9188" s="12" t="s">
        <v>16695</v>
      </c>
      <c r="L9188" s="20">
        <v>0.19008264462809921</v>
      </c>
    </row>
    <row r="9189" spans="1:12" x14ac:dyDescent="0.45">
      <c r="A9189" s="12" t="s">
        <v>16693</v>
      </c>
      <c r="B9189" s="12" t="s">
        <v>577</v>
      </c>
      <c r="C9189" s="13" t="s">
        <v>578</v>
      </c>
      <c r="D9189" s="13" t="s">
        <v>276</v>
      </c>
      <c r="E9189" s="12" t="s">
        <v>16</v>
      </c>
      <c r="F9189" s="14">
        <v>360000</v>
      </c>
      <c r="G9189" s="14">
        <v>302500</v>
      </c>
      <c r="H9189" s="13" t="s">
        <v>16696</v>
      </c>
      <c r="I9189" s="40" t="s">
        <v>18</v>
      </c>
      <c r="J9189" s="40" t="str">
        <f>HYPERLINK("https://m.stock.naver.com/research/company/86128","PDF")</f>
        <v>PDF</v>
      </c>
      <c r="K9189" s="12" t="s">
        <v>16697</v>
      </c>
      <c r="L9189" s="20">
        <v>0.19008264462809921</v>
      </c>
    </row>
    <row r="9190" spans="1:12" x14ac:dyDescent="0.45">
      <c r="A9190" s="12" t="s">
        <v>16693</v>
      </c>
      <c r="B9190" s="12" t="s">
        <v>146</v>
      </c>
      <c r="C9190" s="13" t="s">
        <v>147</v>
      </c>
      <c r="D9190" s="13" t="s">
        <v>276</v>
      </c>
      <c r="E9190" s="12" t="s">
        <v>16</v>
      </c>
      <c r="F9190" s="14">
        <v>29000</v>
      </c>
      <c r="G9190" s="14">
        <v>21550</v>
      </c>
      <c r="H9190" s="13" t="s">
        <v>16698</v>
      </c>
      <c r="I9190" s="40" t="s">
        <v>18</v>
      </c>
      <c r="J9190" s="40" t="str">
        <f>HYPERLINK("https://stock.pstatic.net/stock-research/company/66/20250828_company_145854000.pdf","PDF")</f>
        <v>PDF</v>
      </c>
      <c r="K9190" s="12" t="s">
        <v>16699</v>
      </c>
      <c r="L9190" s="20">
        <v>0.345707656612529</v>
      </c>
    </row>
    <row r="9191" spans="1:12" x14ac:dyDescent="0.45">
      <c r="A9191" s="12" t="s">
        <v>16693</v>
      </c>
      <c r="B9191" s="12" t="s">
        <v>14123</v>
      </c>
      <c r="C9191" s="13" t="s">
        <v>14124</v>
      </c>
      <c r="D9191" s="13" t="s">
        <v>60</v>
      </c>
      <c r="E9191" s="12" t="s">
        <v>50</v>
      </c>
      <c r="F9191" s="13"/>
      <c r="G9191" s="14">
        <v>2545</v>
      </c>
      <c r="H9191" s="13" t="s">
        <v>16700</v>
      </c>
      <c r="I9191" s="40" t="s">
        <v>18</v>
      </c>
      <c r="J9191" s="40" t="str">
        <f>HYPERLINK("https://m.stock.naver.com/research/company/86126","PDF")</f>
        <v>PDF</v>
      </c>
      <c r="K9191" s="12" t="s">
        <v>16701</v>
      </c>
    </row>
    <row r="9192" spans="1:12" x14ac:dyDescent="0.45">
      <c r="A9192" s="12" t="s">
        <v>16693</v>
      </c>
      <c r="B9192" s="12" t="s">
        <v>577</v>
      </c>
      <c r="C9192" s="13" t="s">
        <v>578</v>
      </c>
      <c r="D9192" s="13" t="s">
        <v>65</v>
      </c>
      <c r="E9192" s="12" t="s">
        <v>35</v>
      </c>
      <c r="F9192" s="14">
        <v>350000</v>
      </c>
      <c r="G9192" s="14">
        <v>302500</v>
      </c>
      <c r="H9192" s="13" t="s">
        <v>16702</v>
      </c>
      <c r="I9192" s="40" t="s">
        <v>18</v>
      </c>
      <c r="J9192" s="40" t="str">
        <f>HYPERLINK("https://m.stock.naver.com/research/company/86125","PDF")</f>
        <v>PDF</v>
      </c>
      <c r="K9192" s="12" t="s">
        <v>16703</v>
      </c>
      <c r="L9192" s="20">
        <v>0.15702479338842981</v>
      </c>
    </row>
    <row r="9193" spans="1:12" x14ac:dyDescent="0.45">
      <c r="A9193" s="12" t="s">
        <v>16693</v>
      </c>
      <c r="B9193" s="12" t="s">
        <v>2435</v>
      </c>
      <c r="C9193" s="13" t="s">
        <v>2436</v>
      </c>
      <c r="D9193" s="13" t="s">
        <v>83</v>
      </c>
      <c r="E9193" s="12" t="s">
        <v>35</v>
      </c>
      <c r="F9193" s="14">
        <v>660000</v>
      </c>
      <c r="G9193" s="14">
        <v>521000</v>
      </c>
      <c r="H9193" s="13" t="s">
        <v>16704</v>
      </c>
      <c r="I9193" s="40" t="s">
        <v>18</v>
      </c>
      <c r="J9193" s="40" t="str">
        <f>HYPERLINK("https://m.stock.naver.com/research/company/86124","PDF")</f>
        <v>PDF</v>
      </c>
      <c r="K9193" s="12" t="s">
        <v>16705</v>
      </c>
      <c r="L9193" s="20">
        <v>0.2667946257197697</v>
      </c>
    </row>
    <row r="9194" spans="1:12" x14ac:dyDescent="0.45">
      <c r="A9194" s="12" t="s">
        <v>16693</v>
      </c>
      <c r="B9194" s="12" t="s">
        <v>577</v>
      </c>
      <c r="C9194" s="13" t="s">
        <v>578</v>
      </c>
      <c r="D9194" s="13" t="s">
        <v>83</v>
      </c>
      <c r="E9194" s="12" t="s">
        <v>35</v>
      </c>
      <c r="F9194" s="14">
        <v>360000</v>
      </c>
      <c r="G9194" s="14">
        <v>302500</v>
      </c>
      <c r="H9194" s="13" t="s">
        <v>16706</v>
      </c>
      <c r="I9194" s="40" t="s">
        <v>18</v>
      </c>
      <c r="J9194" s="40" t="str">
        <f>HYPERLINK("https://m.stock.naver.com/research/company/86123","PDF")</f>
        <v>PDF</v>
      </c>
      <c r="K9194" s="12" t="s">
        <v>16707</v>
      </c>
      <c r="L9194" s="20">
        <v>0.19008264462809921</v>
      </c>
    </row>
    <row r="9195" spans="1:12" x14ac:dyDescent="0.45">
      <c r="A9195" s="12" t="s">
        <v>16693</v>
      </c>
      <c r="B9195" s="12" t="s">
        <v>10531</v>
      </c>
      <c r="C9195" s="13" t="s">
        <v>10532</v>
      </c>
      <c r="D9195" s="13" t="s">
        <v>15</v>
      </c>
      <c r="E9195" s="12" t="s">
        <v>385</v>
      </c>
      <c r="F9195" s="14">
        <v>17000</v>
      </c>
      <c r="G9195" s="14">
        <v>17120</v>
      </c>
      <c r="H9195" s="13" t="s">
        <v>16708</v>
      </c>
      <c r="I9195" s="40" t="s">
        <v>18</v>
      </c>
      <c r="J9195" s="40" t="str">
        <f>HYPERLINK("https://m.stock.naver.com/research/company/86122","PDF")</f>
        <v>PDF</v>
      </c>
      <c r="K9195" s="12" t="s">
        <v>16709</v>
      </c>
      <c r="L9195" s="20">
        <v>-7.0093457943925233E-3</v>
      </c>
    </row>
    <row r="9196" spans="1:12" x14ac:dyDescent="0.45">
      <c r="A9196" s="12" t="s">
        <v>16693</v>
      </c>
      <c r="B9196" s="12" t="s">
        <v>577</v>
      </c>
      <c r="C9196" s="13" t="s">
        <v>578</v>
      </c>
      <c r="D9196" s="13" t="s">
        <v>15</v>
      </c>
      <c r="E9196" s="12" t="s">
        <v>16</v>
      </c>
      <c r="F9196" s="14">
        <v>370000</v>
      </c>
      <c r="G9196" s="14">
        <v>302500</v>
      </c>
      <c r="H9196" s="13" t="s">
        <v>16710</v>
      </c>
      <c r="I9196" s="40" t="s">
        <v>18</v>
      </c>
      <c r="J9196" s="40" t="str">
        <f>HYPERLINK("https://stock.pstatic.net/stock-research/company/29/20250828_company_943072000.pdf","PDF")</f>
        <v>PDF</v>
      </c>
      <c r="K9196" s="12" t="s">
        <v>16711</v>
      </c>
      <c r="L9196" s="20">
        <v>0.2231404958677686</v>
      </c>
    </row>
    <row r="9197" spans="1:12" x14ac:dyDescent="0.45">
      <c r="A9197" s="12" t="s">
        <v>16693</v>
      </c>
      <c r="B9197" s="12" t="s">
        <v>577</v>
      </c>
      <c r="C9197" s="13" t="s">
        <v>578</v>
      </c>
      <c r="D9197" s="13" t="s">
        <v>179</v>
      </c>
      <c r="E9197" s="12" t="s">
        <v>50</v>
      </c>
      <c r="F9197" s="13"/>
      <c r="G9197" s="13"/>
      <c r="H9197" s="13" t="s">
        <v>16712</v>
      </c>
      <c r="I9197" s="40" t="s">
        <v>18</v>
      </c>
      <c r="J9197" s="40" t="str">
        <f>HYPERLINK("https://stock.pstatic.net/stock-research/company/64/20250828_company_847006000.pdf","PDF")</f>
        <v>PDF</v>
      </c>
      <c r="K9197" s="12" t="s">
        <v>16713</v>
      </c>
    </row>
    <row r="9198" spans="1:12" x14ac:dyDescent="0.45">
      <c r="A9198" s="12" t="s">
        <v>16693</v>
      </c>
      <c r="B9198" s="12" t="s">
        <v>1356</v>
      </c>
      <c r="C9198" s="13" t="s">
        <v>1357</v>
      </c>
      <c r="D9198" s="13" t="s">
        <v>23</v>
      </c>
      <c r="E9198" s="12" t="s">
        <v>16</v>
      </c>
      <c r="F9198" s="14">
        <v>25000</v>
      </c>
      <c r="G9198" s="14">
        <v>19200</v>
      </c>
      <c r="H9198" s="13" t="s">
        <v>16714</v>
      </c>
      <c r="I9198" s="40" t="s">
        <v>18</v>
      </c>
      <c r="J9198" s="40" t="str">
        <f>HYPERLINK("https://stock.pstatic.net/stock-research/company/21/20250828_company_409207000.pdf","PDF")</f>
        <v>PDF</v>
      </c>
      <c r="K9198" s="12" t="s">
        <v>16715</v>
      </c>
      <c r="L9198" s="20">
        <v>0.30208333333333331</v>
      </c>
    </row>
    <row r="9199" spans="1:12" x14ac:dyDescent="0.45">
      <c r="A9199" s="12" t="s">
        <v>16693</v>
      </c>
      <c r="B9199" s="12" t="s">
        <v>1300</v>
      </c>
      <c r="C9199" s="13" t="s">
        <v>1301</v>
      </c>
      <c r="D9199" s="13" t="s">
        <v>92</v>
      </c>
      <c r="E9199" s="12" t="s">
        <v>35</v>
      </c>
      <c r="F9199" s="14">
        <v>153000</v>
      </c>
      <c r="G9199" s="14">
        <v>135300</v>
      </c>
      <c r="H9199" s="13" t="s">
        <v>16716</v>
      </c>
      <c r="I9199" s="40" t="s">
        <v>18</v>
      </c>
      <c r="J9199" s="40" t="str">
        <f>HYPERLINK("https://stock.pstatic.net/stock-research/company/63/20250828_company_564343000.pdf","PDF")</f>
        <v>PDF</v>
      </c>
      <c r="K9199" s="12" t="s">
        <v>16717</v>
      </c>
      <c r="L9199" s="20">
        <v>0.13082039911308199</v>
      </c>
    </row>
    <row r="9200" spans="1:12" x14ac:dyDescent="0.45">
      <c r="A9200" s="12" t="s">
        <v>16693</v>
      </c>
      <c r="B9200" s="12" t="s">
        <v>2811</v>
      </c>
      <c r="C9200" s="13" t="s">
        <v>2812</v>
      </c>
      <c r="D9200" s="13" t="s">
        <v>92</v>
      </c>
      <c r="E9200" s="12" t="s">
        <v>50</v>
      </c>
      <c r="F9200" s="13"/>
      <c r="G9200" s="14">
        <v>15610</v>
      </c>
      <c r="H9200" s="13" t="s">
        <v>16718</v>
      </c>
      <c r="I9200" s="40" t="s">
        <v>18</v>
      </c>
      <c r="J9200" s="40" t="str">
        <f>HYPERLINK("https://stock.pstatic.net/stock-research/company/63/20250828_company_469621000.pdf","PDF")</f>
        <v>PDF</v>
      </c>
      <c r="K9200" s="12" t="s">
        <v>16719</v>
      </c>
    </row>
    <row r="9201" spans="1:12" x14ac:dyDescent="0.45">
      <c r="A9201" s="12" t="s">
        <v>16693</v>
      </c>
      <c r="B9201" s="12" t="s">
        <v>2435</v>
      </c>
      <c r="C9201" s="13" t="s">
        <v>2436</v>
      </c>
      <c r="D9201" s="13" t="s">
        <v>44</v>
      </c>
      <c r="E9201" s="12" t="s">
        <v>50</v>
      </c>
      <c r="F9201" s="13"/>
      <c r="G9201" s="13"/>
      <c r="H9201" s="13" t="s">
        <v>16720</v>
      </c>
      <c r="I9201" s="40" t="s">
        <v>18</v>
      </c>
      <c r="J9201" s="40" t="str">
        <f>HYPERLINK("https://stock.pstatic.net/stock-research/company/39/20250828_company_884190000.pdf","PDF")</f>
        <v>PDF</v>
      </c>
      <c r="K9201" s="12" t="s">
        <v>16721</v>
      </c>
    </row>
    <row r="9202" spans="1:12" x14ac:dyDescent="0.45">
      <c r="A9202" s="12" t="s">
        <v>16693</v>
      </c>
      <c r="B9202" s="12" t="s">
        <v>489</v>
      </c>
      <c r="C9202" s="13" t="s">
        <v>490</v>
      </c>
      <c r="D9202" s="13" t="s">
        <v>34</v>
      </c>
      <c r="E9202" s="12" t="s">
        <v>35</v>
      </c>
      <c r="F9202" s="14">
        <v>33500</v>
      </c>
      <c r="G9202" s="14">
        <v>23100</v>
      </c>
      <c r="H9202" s="13" t="s">
        <v>16722</v>
      </c>
      <c r="I9202" s="40" t="s">
        <v>18</v>
      </c>
      <c r="J9202" s="40" t="str">
        <f>HYPERLINK("https://stock.pstatic.net/stock-research/company/61/20250828_company_77066000.pdf","PDF")</f>
        <v>PDF</v>
      </c>
      <c r="K9202" s="12" t="s">
        <v>16723</v>
      </c>
      <c r="L9202" s="20">
        <v>0.45021645021645018</v>
      </c>
    </row>
    <row r="9203" spans="1:12" x14ac:dyDescent="0.45">
      <c r="A9203" s="12" t="s">
        <v>16693</v>
      </c>
      <c r="B9203" s="12" t="s">
        <v>2867</v>
      </c>
      <c r="C9203" s="13" t="s">
        <v>2868</v>
      </c>
      <c r="D9203" s="13" t="s">
        <v>34</v>
      </c>
      <c r="E9203" s="12" t="s">
        <v>35</v>
      </c>
      <c r="F9203" s="14">
        <v>8500</v>
      </c>
      <c r="G9203" s="14">
        <v>6400</v>
      </c>
      <c r="H9203" s="13" t="s">
        <v>16724</v>
      </c>
      <c r="I9203" s="40" t="s">
        <v>18</v>
      </c>
      <c r="J9203" s="40" t="str">
        <f>HYPERLINK("https://stock.pstatic.net/stock-research/company/61/20250828_company_193324000.pdf","PDF")</f>
        <v>PDF</v>
      </c>
      <c r="K9203" s="12" t="s">
        <v>16725</v>
      </c>
      <c r="L9203" s="20">
        <v>0.328125</v>
      </c>
    </row>
    <row r="9204" spans="1:12" x14ac:dyDescent="0.45">
      <c r="A9204" s="12" t="s">
        <v>16693</v>
      </c>
      <c r="B9204" s="12" t="s">
        <v>1437</v>
      </c>
      <c r="C9204" s="13" t="s">
        <v>1438</v>
      </c>
      <c r="D9204" s="13" t="s">
        <v>23</v>
      </c>
      <c r="E9204" s="12" t="s">
        <v>16</v>
      </c>
      <c r="F9204" s="14">
        <v>57000</v>
      </c>
      <c r="G9204" s="14">
        <v>42550</v>
      </c>
      <c r="H9204" s="13" t="s">
        <v>16726</v>
      </c>
      <c r="I9204" s="40" t="s">
        <v>18</v>
      </c>
      <c r="J9204" s="40" t="str">
        <f>HYPERLINK("https://stock.pstatic.net/stock-research/company/21/20250828_company_371351000.pdf","PDF")</f>
        <v>PDF</v>
      </c>
      <c r="K9204" s="12" t="s">
        <v>16727</v>
      </c>
      <c r="L9204" s="20">
        <v>0.33960047003525262</v>
      </c>
    </row>
    <row r="9205" spans="1:12" x14ac:dyDescent="0.45">
      <c r="A9205" s="12" t="s">
        <v>16693</v>
      </c>
      <c r="B9205" s="12" t="s">
        <v>577</v>
      </c>
      <c r="C9205" s="13" t="s">
        <v>578</v>
      </c>
      <c r="D9205" s="13" t="s">
        <v>23</v>
      </c>
      <c r="E9205" s="12" t="s">
        <v>16</v>
      </c>
      <c r="F9205" s="14">
        <v>390000</v>
      </c>
      <c r="G9205" s="14">
        <v>302500</v>
      </c>
      <c r="H9205" s="13" t="s">
        <v>16728</v>
      </c>
      <c r="I9205" s="40" t="s">
        <v>18</v>
      </c>
      <c r="J9205" s="40" t="str">
        <f>HYPERLINK("https://stock.pstatic.net/stock-research/company/21/20250828_company_980206000.pdf","PDF")</f>
        <v>PDF</v>
      </c>
      <c r="K9205" s="12" t="s">
        <v>16729</v>
      </c>
      <c r="L9205" s="20">
        <v>0.28925619834710742</v>
      </c>
    </row>
    <row r="9206" spans="1:12" x14ac:dyDescent="0.45">
      <c r="A9206" s="12" t="s">
        <v>16693</v>
      </c>
      <c r="B9206" s="12" t="s">
        <v>460</v>
      </c>
      <c r="C9206" s="13" t="s">
        <v>461</v>
      </c>
      <c r="D9206" s="13" t="s">
        <v>124</v>
      </c>
      <c r="E9206" s="12" t="s">
        <v>50</v>
      </c>
      <c r="F9206" s="13"/>
      <c r="G9206" s="13"/>
      <c r="H9206" s="13" t="s">
        <v>16730</v>
      </c>
      <c r="I9206" s="40" t="s">
        <v>18</v>
      </c>
      <c r="J9206" s="40" t="str">
        <f>HYPERLINK("https://stock.pstatic.net/stock-research/company/74/20250828_company_302164000.pdf","PDF")</f>
        <v>PDF</v>
      </c>
      <c r="K9206" s="12" t="s">
        <v>16731</v>
      </c>
    </row>
    <row r="9207" spans="1:12" x14ac:dyDescent="0.45">
      <c r="A9207" s="12" t="s">
        <v>16693</v>
      </c>
      <c r="B9207" s="12" t="s">
        <v>16732</v>
      </c>
      <c r="C9207" s="13" t="s">
        <v>16733</v>
      </c>
      <c r="D9207" s="13" t="s">
        <v>124</v>
      </c>
      <c r="E9207" s="12" t="s">
        <v>50</v>
      </c>
      <c r="F9207" s="13"/>
      <c r="G9207" s="13"/>
      <c r="H9207" s="13" t="s">
        <v>16734</v>
      </c>
      <c r="I9207" s="40" t="s">
        <v>18</v>
      </c>
      <c r="J9207" s="40" t="str">
        <f>HYPERLINK("https://stock.pstatic.net/stock-research/company/74/20250829_company_682623000.pdf","PDF")</f>
        <v>PDF</v>
      </c>
      <c r="K9207" s="12" t="s">
        <v>16735</v>
      </c>
    </row>
    <row r="9208" spans="1:12" x14ac:dyDescent="0.45">
      <c r="A9208" s="12" t="s">
        <v>16693</v>
      </c>
      <c r="B9208" s="12" t="s">
        <v>6784</v>
      </c>
      <c r="C9208" s="13" t="s">
        <v>6785</v>
      </c>
      <c r="D9208" s="13" t="s">
        <v>124</v>
      </c>
      <c r="E9208" s="12" t="s">
        <v>50</v>
      </c>
      <c r="F9208" s="13"/>
      <c r="G9208" s="13"/>
      <c r="H9208" s="13" t="s">
        <v>16736</v>
      </c>
      <c r="I9208" s="40" t="s">
        <v>18</v>
      </c>
      <c r="J9208" s="40" t="str">
        <f>HYPERLINK("https://stock.pstatic.net/stock-research/company/74/20250828_company_934650000.pdf","PDF")</f>
        <v>PDF</v>
      </c>
      <c r="K9208" s="12" t="s">
        <v>16737</v>
      </c>
    </row>
    <row r="9209" spans="1:12" x14ac:dyDescent="0.45">
      <c r="A9209" s="12" t="s">
        <v>16693</v>
      </c>
      <c r="B9209" s="12" t="s">
        <v>1912</v>
      </c>
      <c r="C9209" s="13" t="s">
        <v>7834</v>
      </c>
      <c r="D9209" s="13" t="s">
        <v>15</v>
      </c>
      <c r="E9209" s="12" t="s">
        <v>50</v>
      </c>
      <c r="F9209" s="13"/>
      <c r="G9209" s="14">
        <v>47900</v>
      </c>
      <c r="H9209" s="13" t="s">
        <v>16738</v>
      </c>
      <c r="I9209" s="40" t="s">
        <v>18</v>
      </c>
      <c r="J9209" s="40" t="str">
        <f>HYPERLINK("https://stock.pstatic.net/stock-research/company/29/20250828_company_355889000.pdf","PDF")</f>
        <v>PDF</v>
      </c>
      <c r="K9209" s="12" t="s">
        <v>16739</v>
      </c>
    </row>
    <row r="9210" spans="1:12" x14ac:dyDescent="0.45">
      <c r="A9210" s="12" t="s">
        <v>16740</v>
      </c>
      <c r="B9210" s="12" t="s">
        <v>916</v>
      </c>
      <c r="C9210" s="13" t="s">
        <v>917</v>
      </c>
      <c r="D9210" s="13" t="s">
        <v>179</v>
      </c>
      <c r="E9210" s="12" t="s">
        <v>16</v>
      </c>
      <c r="F9210" s="14">
        <v>87000</v>
      </c>
      <c r="G9210" s="14">
        <v>65000</v>
      </c>
      <c r="H9210" s="13" t="s">
        <v>16741</v>
      </c>
      <c r="I9210" s="40" t="s">
        <v>18</v>
      </c>
      <c r="J9210" s="40" t="str">
        <f>HYPERLINK("https://stock.pstatic.net/stock-research/company/64/20250827_company_266259000.pdf","PDF")</f>
        <v>PDF</v>
      </c>
      <c r="K9210" s="12" t="s">
        <v>16742</v>
      </c>
      <c r="L9210" s="20">
        <v>0.33846153846153848</v>
      </c>
    </row>
    <row r="9211" spans="1:12" x14ac:dyDescent="0.45">
      <c r="A9211" s="12" t="s">
        <v>16740</v>
      </c>
      <c r="B9211" s="12" t="s">
        <v>541</v>
      </c>
      <c r="C9211" s="13" t="s">
        <v>542</v>
      </c>
      <c r="D9211" s="13" t="s">
        <v>65</v>
      </c>
      <c r="E9211" s="12" t="s">
        <v>35</v>
      </c>
      <c r="F9211" s="14">
        <v>70000</v>
      </c>
      <c r="G9211" s="14">
        <v>55100</v>
      </c>
      <c r="H9211" s="13" t="s">
        <v>16743</v>
      </c>
      <c r="I9211" s="40" t="s">
        <v>18</v>
      </c>
      <c r="J9211" s="40" t="str">
        <f>HYPERLINK("https://stock.pstatic.net/stock-research/company/57/20250827_company_874522000.pdf","PDF")</f>
        <v>PDF</v>
      </c>
      <c r="K9211" s="12" t="s">
        <v>16744</v>
      </c>
      <c r="L9211" s="20">
        <v>0.27041742286751358</v>
      </c>
    </row>
    <row r="9212" spans="1:12" x14ac:dyDescent="0.45">
      <c r="A9212" s="12" t="s">
        <v>16740</v>
      </c>
      <c r="B9212" s="12" t="s">
        <v>537</v>
      </c>
      <c r="C9212" s="13" t="s">
        <v>538</v>
      </c>
      <c r="D9212" s="13" t="s">
        <v>65</v>
      </c>
      <c r="E9212" s="12" t="s">
        <v>35</v>
      </c>
      <c r="F9212" s="14">
        <v>16000</v>
      </c>
      <c r="G9212" s="14">
        <v>15220</v>
      </c>
      <c r="H9212" s="13" t="s">
        <v>16745</v>
      </c>
      <c r="I9212" s="40" t="s">
        <v>18</v>
      </c>
      <c r="J9212" s="40" t="str">
        <f>HYPERLINK("https://stock.pstatic.net/stock-research/company/57/20250827_company_466358000.pdf","PDF")</f>
        <v>PDF</v>
      </c>
      <c r="K9212" s="12" t="s">
        <v>16746</v>
      </c>
      <c r="L9212" s="20">
        <v>5.1248357424441518E-2</v>
      </c>
    </row>
    <row r="9213" spans="1:12" x14ac:dyDescent="0.45">
      <c r="A9213" s="12" t="s">
        <v>16740</v>
      </c>
      <c r="B9213" s="12" t="s">
        <v>533</v>
      </c>
      <c r="C9213" s="13" t="s">
        <v>534</v>
      </c>
      <c r="D9213" s="13" t="s">
        <v>65</v>
      </c>
      <c r="E9213" s="12" t="s">
        <v>35</v>
      </c>
      <c r="F9213" s="14">
        <v>70000</v>
      </c>
      <c r="G9213" s="14">
        <v>55100</v>
      </c>
      <c r="H9213" s="13" t="s">
        <v>16747</v>
      </c>
      <c r="I9213" s="40" t="s">
        <v>18</v>
      </c>
      <c r="J9213" s="40" t="str">
        <f>HYPERLINK("https://stock.pstatic.net/stock-research/company/57/20250827_company_731187000.pdf","PDF")</f>
        <v>PDF</v>
      </c>
      <c r="K9213" s="12" t="s">
        <v>16748</v>
      </c>
      <c r="L9213" s="20">
        <v>0.27041742286751358</v>
      </c>
    </row>
    <row r="9214" spans="1:12" x14ac:dyDescent="0.45">
      <c r="A9214" s="12" t="s">
        <v>16740</v>
      </c>
      <c r="B9214" s="12" t="s">
        <v>95</v>
      </c>
      <c r="C9214" s="13" t="s">
        <v>31</v>
      </c>
      <c r="D9214" s="13" t="s">
        <v>65</v>
      </c>
      <c r="E9214" s="12" t="s">
        <v>35</v>
      </c>
      <c r="F9214" s="14">
        <v>39000</v>
      </c>
      <c r="G9214" s="14">
        <v>28800</v>
      </c>
      <c r="H9214" s="13" t="s">
        <v>16749</v>
      </c>
      <c r="I9214" s="40" t="s">
        <v>18</v>
      </c>
      <c r="J9214" s="40" t="str">
        <f>HYPERLINK("https://stock.pstatic.net/stock-research/company/57/20250827_company_23297000.pdf","PDF")</f>
        <v>PDF</v>
      </c>
      <c r="K9214" s="12" t="s">
        <v>16750</v>
      </c>
      <c r="L9214" s="20">
        <v>0.35416666666666669</v>
      </c>
    </row>
    <row r="9215" spans="1:12" x14ac:dyDescent="0.45">
      <c r="A9215" s="12" t="s">
        <v>16740</v>
      </c>
      <c r="B9215" s="12" t="s">
        <v>2944</v>
      </c>
      <c r="C9215" s="13" t="s">
        <v>2945</v>
      </c>
      <c r="D9215" s="13" t="s">
        <v>65</v>
      </c>
      <c r="E9215" s="12" t="s">
        <v>35</v>
      </c>
      <c r="F9215" s="14">
        <v>19000</v>
      </c>
      <c r="G9215" s="14">
        <v>14340</v>
      </c>
      <c r="H9215" s="13" t="s">
        <v>16751</v>
      </c>
      <c r="I9215" s="40" t="s">
        <v>18</v>
      </c>
      <c r="J9215" s="40" t="str">
        <f>HYPERLINK("https://stock.pstatic.net/stock-research/company/57/20250827_company_240076000.pdf","PDF")</f>
        <v>PDF</v>
      </c>
      <c r="K9215" s="12" t="s">
        <v>16752</v>
      </c>
      <c r="L9215" s="20">
        <v>0.32496513249651332</v>
      </c>
    </row>
    <row r="9216" spans="1:12" x14ac:dyDescent="0.45">
      <c r="A9216" s="12" t="s">
        <v>16740</v>
      </c>
      <c r="B9216" s="12" t="s">
        <v>4079</v>
      </c>
      <c r="C9216" s="13" t="s">
        <v>4080</v>
      </c>
      <c r="D9216" s="13" t="s">
        <v>179</v>
      </c>
      <c r="E9216" s="12" t="s">
        <v>50</v>
      </c>
      <c r="F9216" s="13"/>
      <c r="G9216" s="14">
        <v>20400</v>
      </c>
      <c r="H9216" s="13" t="s">
        <v>16753</v>
      </c>
      <c r="I9216" s="40" t="s">
        <v>18</v>
      </c>
      <c r="J9216" s="40" t="str">
        <f>HYPERLINK("https://stock.pstatic.net/stock-research/company/64/20250827_company_366724000.pdf","PDF")</f>
        <v>PDF</v>
      </c>
      <c r="K9216" s="12" t="s">
        <v>16754</v>
      </c>
    </row>
    <row r="9217" spans="1:12" x14ac:dyDescent="0.45">
      <c r="A9217" s="12" t="s">
        <v>16740</v>
      </c>
      <c r="B9217" s="12" t="s">
        <v>1344</v>
      </c>
      <c r="C9217" s="13" t="s">
        <v>1345</v>
      </c>
      <c r="D9217" s="13" t="s">
        <v>179</v>
      </c>
      <c r="E9217" s="12" t="s">
        <v>16</v>
      </c>
      <c r="F9217" s="14">
        <v>47000</v>
      </c>
      <c r="G9217" s="14">
        <v>36600</v>
      </c>
      <c r="H9217" s="13" t="s">
        <v>16755</v>
      </c>
      <c r="I9217" s="40" t="s">
        <v>18</v>
      </c>
      <c r="J9217" s="40" t="str">
        <f>HYPERLINK("https://stock.pstatic.net/stock-research/company/64/20250827_company_307131000.pdf","PDF")</f>
        <v>PDF</v>
      </c>
      <c r="K9217" s="12" t="s">
        <v>16756</v>
      </c>
      <c r="L9217" s="20">
        <v>0.28415300546448091</v>
      </c>
    </row>
    <row r="9218" spans="1:12" x14ac:dyDescent="0.45">
      <c r="A9218" s="12" t="s">
        <v>16740</v>
      </c>
      <c r="B9218" s="12" t="s">
        <v>912</v>
      </c>
      <c r="C9218" s="13" t="s">
        <v>913</v>
      </c>
      <c r="D9218" s="13" t="s">
        <v>92</v>
      </c>
      <c r="E9218" s="12" t="s">
        <v>50</v>
      </c>
      <c r="F9218" s="13"/>
      <c r="G9218" s="14">
        <v>68100</v>
      </c>
      <c r="H9218" s="13" t="s">
        <v>16757</v>
      </c>
      <c r="I9218" s="40" t="s">
        <v>18</v>
      </c>
      <c r="J9218" s="40" t="str">
        <f>HYPERLINK("https://stock.pstatic.net/stock-research/company/63/20250827_company_371948000.pdf","PDF")</f>
        <v>PDF</v>
      </c>
      <c r="K9218" s="12" t="s">
        <v>16758</v>
      </c>
    </row>
    <row r="9219" spans="1:12" x14ac:dyDescent="0.45">
      <c r="A9219" s="12" t="s">
        <v>16740</v>
      </c>
      <c r="B9219" s="12" t="s">
        <v>6310</v>
      </c>
      <c r="C9219" s="13" t="s">
        <v>6311</v>
      </c>
      <c r="D9219" s="13" t="s">
        <v>23</v>
      </c>
      <c r="E9219" s="12" t="s">
        <v>16</v>
      </c>
      <c r="F9219" s="14">
        <v>150000</v>
      </c>
      <c r="G9219" s="14">
        <v>126000</v>
      </c>
      <c r="H9219" s="13" t="s">
        <v>16759</v>
      </c>
      <c r="I9219" s="40" t="s">
        <v>18</v>
      </c>
      <c r="J9219" s="40" t="str">
        <f>HYPERLINK("https://stock.pstatic.net/stock-research/company/21/20250827_company_572498000.pdf","PDF")</f>
        <v>PDF</v>
      </c>
      <c r="K9219" s="12" t="s">
        <v>16760</v>
      </c>
      <c r="L9219" s="20">
        <v>0.19047619047619049</v>
      </c>
    </row>
    <row r="9220" spans="1:12" x14ac:dyDescent="0.45">
      <c r="A9220" s="12" t="s">
        <v>16740</v>
      </c>
      <c r="B9220" s="12" t="s">
        <v>3978</v>
      </c>
      <c r="C9220" s="13" t="s">
        <v>3979</v>
      </c>
      <c r="D9220" s="13" t="s">
        <v>23</v>
      </c>
      <c r="E9220" s="12" t="s">
        <v>16</v>
      </c>
      <c r="F9220" s="14">
        <v>35000</v>
      </c>
      <c r="G9220" s="14">
        <v>23500</v>
      </c>
      <c r="H9220" s="13" t="s">
        <v>16761</v>
      </c>
      <c r="I9220" s="40" t="s">
        <v>18</v>
      </c>
      <c r="J9220" s="40" t="str">
        <f>HYPERLINK("https://stock.pstatic.net/stock-research/company/21/20250827_company_609203000.pdf","PDF")</f>
        <v>PDF</v>
      </c>
      <c r="K9220" s="12" t="s">
        <v>16762</v>
      </c>
      <c r="L9220" s="20">
        <v>0.48936170212765961</v>
      </c>
    </row>
    <row r="9221" spans="1:12" x14ac:dyDescent="0.45">
      <c r="A9221" s="12" t="s">
        <v>16740</v>
      </c>
      <c r="B9221" s="12" t="s">
        <v>4352</v>
      </c>
      <c r="C9221" s="13" t="s">
        <v>4353</v>
      </c>
      <c r="D9221" s="13" t="s">
        <v>124</v>
      </c>
      <c r="E9221" s="12" t="s">
        <v>50</v>
      </c>
      <c r="F9221" s="13"/>
      <c r="G9221" s="13"/>
      <c r="H9221" s="13" t="s">
        <v>16763</v>
      </c>
      <c r="I9221" s="40" t="s">
        <v>18</v>
      </c>
      <c r="J9221" s="40" t="str">
        <f>HYPERLINK("https://stock.pstatic.net/stock-research/company/74/20250827_company_293014000.pdf","PDF")</f>
        <v>PDF</v>
      </c>
      <c r="K9221" s="12" t="s">
        <v>16764</v>
      </c>
    </row>
    <row r="9222" spans="1:12" x14ac:dyDescent="0.45">
      <c r="A9222" s="12" t="s">
        <v>16740</v>
      </c>
      <c r="B9222" s="12" t="s">
        <v>1912</v>
      </c>
      <c r="C9222" s="13" t="s">
        <v>7834</v>
      </c>
      <c r="D9222" s="13" t="s">
        <v>124</v>
      </c>
      <c r="E9222" s="12" t="s">
        <v>50</v>
      </c>
      <c r="F9222" s="13"/>
      <c r="G9222" s="13"/>
      <c r="H9222" s="13" t="s">
        <v>16765</v>
      </c>
      <c r="I9222" s="40" t="s">
        <v>18</v>
      </c>
      <c r="J9222" s="40" t="str">
        <f>HYPERLINK("https://stock.pstatic.net/stock-research/company/74/20250903_company_756742000.pdf","PDF")</f>
        <v>PDF</v>
      </c>
      <c r="K9222" s="12" t="s">
        <v>16766</v>
      </c>
    </row>
    <row r="9223" spans="1:12" x14ac:dyDescent="0.45">
      <c r="A9223" s="12" t="s">
        <v>16767</v>
      </c>
      <c r="B9223" s="12" t="s">
        <v>2369</v>
      </c>
      <c r="C9223" s="13" t="s">
        <v>2370</v>
      </c>
      <c r="D9223" s="13" t="s">
        <v>15</v>
      </c>
      <c r="E9223" s="12" t="s">
        <v>16</v>
      </c>
      <c r="F9223" s="14">
        <v>315000</v>
      </c>
      <c r="G9223" s="14">
        <v>221500</v>
      </c>
      <c r="H9223" s="13" t="s">
        <v>16768</v>
      </c>
      <c r="I9223" s="40" t="s">
        <v>18</v>
      </c>
      <c r="J9223" s="40" t="str">
        <f>HYPERLINK("https://stock.pstatic.net/stock-research/company/29/20250826_company_430975000.pdf","PDF")</f>
        <v>PDF</v>
      </c>
      <c r="K9223" s="12" t="s">
        <v>16769</v>
      </c>
      <c r="L9223" s="20">
        <v>0.42212189616252821</v>
      </c>
    </row>
    <row r="9224" spans="1:12" x14ac:dyDescent="0.45">
      <c r="A9224" s="12" t="s">
        <v>16767</v>
      </c>
      <c r="B9224" s="12" t="s">
        <v>3024</v>
      </c>
      <c r="C9224" s="13" t="s">
        <v>3025</v>
      </c>
      <c r="D9224" s="13" t="s">
        <v>83</v>
      </c>
      <c r="E9224" s="12" t="s">
        <v>35</v>
      </c>
      <c r="F9224" s="14">
        <v>60000</v>
      </c>
      <c r="G9224" s="14">
        <v>49000</v>
      </c>
      <c r="H9224" s="13" t="s">
        <v>16770</v>
      </c>
      <c r="I9224" s="40" t="s">
        <v>18</v>
      </c>
      <c r="J9224" s="40" t="str">
        <f>HYPERLINK("https://stock.pstatic.net/stock-research/company/2/20250826_company_591045000.pdf","PDF")</f>
        <v>PDF</v>
      </c>
      <c r="K9224" s="12" t="s">
        <v>16771</v>
      </c>
      <c r="L9224" s="20">
        <v>0.22448979591836729</v>
      </c>
    </row>
    <row r="9225" spans="1:12" x14ac:dyDescent="0.45">
      <c r="A9225" s="12" t="s">
        <v>16767</v>
      </c>
      <c r="B9225" s="12" t="s">
        <v>2522</v>
      </c>
      <c r="C9225" s="13" t="s">
        <v>2523</v>
      </c>
      <c r="D9225" s="13" t="s">
        <v>83</v>
      </c>
      <c r="E9225" s="12" t="s">
        <v>35</v>
      </c>
      <c r="F9225" s="14">
        <v>540000</v>
      </c>
      <c r="G9225" s="14">
        <v>330000</v>
      </c>
      <c r="H9225" s="13" t="s">
        <v>16772</v>
      </c>
      <c r="I9225" s="40" t="s">
        <v>18</v>
      </c>
      <c r="J9225" s="40" t="str">
        <f>HYPERLINK("https://stock.pstatic.net/stock-research/company/2/20250826_company_439650000.pdf","PDF")</f>
        <v>PDF</v>
      </c>
      <c r="K9225" s="12" t="s">
        <v>16773</v>
      </c>
      <c r="L9225" s="20">
        <v>0.63636363636363635</v>
      </c>
    </row>
    <row r="9226" spans="1:12" x14ac:dyDescent="0.45">
      <c r="A9226" s="12" t="s">
        <v>16767</v>
      </c>
      <c r="B9226" s="12" t="s">
        <v>6737</v>
      </c>
      <c r="C9226" s="13" t="s">
        <v>6738</v>
      </c>
      <c r="D9226" s="13" t="s">
        <v>57</v>
      </c>
      <c r="E9226" s="12" t="s">
        <v>35</v>
      </c>
      <c r="F9226" s="14">
        <v>1600</v>
      </c>
      <c r="G9226" s="14">
        <v>1217</v>
      </c>
      <c r="H9226" s="13" t="s">
        <v>16774</v>
      </c>
      <c r="I9226" s="40" t="s">
        <v>18</v>
      </c>
      <c r="J9226" s="40" t="str">
        <f>HYPERLINK("https://stock.pstatic.net/stock-research/company/16/20250826_company_429582000.pdf","PDF")</f>
        <v>PDF</v>
      </c>
      <c r="K9226" s="12" t="s">
        <v>16775</v>
      </c>
      <c r="L9226" s="20">
        <v>0.31470829909613812</v>
      </c>
    </row>
    <row r="9227" spans="1:12" x14ac:dyDescent="0.45">
      <c r="A9227" s="12" t="s">
        <v>16767</v>
      </c>
      <c r="B9227" s="12" t="s">
        <v>6914</v>
      </c>
      <c r="C9227" s="13" t="s">
        <v>6915</v>
      </c>
      <c r="D9227" s="13" t="s">
        <v>57</v>
      </c>
      <c r="E9227" s="12" t="s">
        <v>35</v>
      </c>
      <c r="F9227" s="14">
        <v>80000</v>
      </c>
      <c r="G9227" s="14">
        <v>66500</v>
      </c>
      <c r="H9227" s="13" t="s">
        <v>16776</v>
      </c>
      <c r="I9227" s="40" t="s">
        <v>18</v>
      </c>
      <c r="J9227" s="40" t="str">
        <f>HYPERLINK("https://stock.pstatic.net/stock-research/company/16/20250826_company_66769000.pdf","PDF")</f>
        <v>PDF</v>
      </c>
      <c r="K9227" s="12" t="s">
        <v>16777</v>
      </c>
      <c r="L9227" s="20">
        <v>0.2030075187969925</v>
      </c>
    </row>
    <row r="9228" spans="1:12" x14ac:dyDescent="0.45">
      <c r="A9228" s="12" t="s">
        <v>16767</v>
      </c>
      <c r="B9228" s="12" t="s">
        <v>4095</v>
      </c>
      <c r="C9228" s="13" t="s">
        <v>4096</v>
      </c>
      <c r="D9228" s="13" t="s">
        <v>65</v>
      </c>
      <c r="E9228" s="12" t="s">
        <v>35</v>
      </c>
      <c r="F9228" s="14">
        <v>150000</v>
      </c>
      <c r="G9228" s="14">
        <v>112500</v>
      </c>
      <c r="H9228" s="13" t="s">
        <v>16778</v>
      </c>
      <c r="I9228" s="40" t="s">
        <v>18</v>
      </c>
      <c r="J9228" s="40" t="str">
        <f>HYPERLINK("https://stock.pstatic.net/stock-research/company/57/20250826_company_741334000.pdf","PDF")</f>
        <v>PDF</v>
      </c>
      <c r="K9228" s="12" t="s">
        <v>16779</v>
      </c>
      <c r="L9228" s="20">
        <v>0.33333333333333331</v>
      </c>
    </row>
    <row r="9229" spans="1:12" x14ac:dyDescent="0.45">
      <c r="A9229" s="12" t="s">
        <v>16767</v>
      </c>
      <c r="B9229" s="12" t="s">
        <v>394</v>
      </c>
      <c r="C9229" s="13" t="s">
        <v>395</v>
      </c>
      <c r="D9229" s="13" t="s">
        <v>65</v>
      </c>
      <c r="E9229" s="12" t="s">
        <v>35</v>
      </c>
      <c r="F9229" s="14">
        <v>45000</v>
      </c>
      <c r="G9229" s="14">
        <v>38450</v>
      </c>
      <c r="H9229" s="13" t="s">
        <v>16780</v>
      </c>
      <c r="I9229" s="40" t="s">
        <v>18</v>
      </c>
      <c r="J9229" s="40" t="str">
        <f>HYPERLINK("https://stock.pstatic.net/stock-research/company/57/20250826_company_843173000.pdf","PDF")</f>
        <v>PDF</v>
      </c>
      <c r="K9229" s="12" t="s">
        <v>16781</v>
      </c>
      <c r="L9229" s="20">
        <v>0.1703511053315995</v>
      </c>
    </row>
    <row r="9230" spans="1:12" x14ac:dyDescent="0.45">
      <c r="A9230" s="12" t="s">
        <v>16767</v>
      </c>
      <c r="B9230" s="12" t="s">
        <v>1128</v>
      </c>
      <c r="C9230" s="13" t="s">
        <v>1129</v>
      </c>
      <c r="D9230" s="13" t="s">
        <v>158</v>
      </c>
      <c r="E9230" s="12" t="s">
        <v>35</v>
      </c>
      <c r="F9230" s="14">
        <v>79000</v>
      </c>
      <c r="G9230" s="14">
        <v>63200</v>
      </c>
      <c r="H9230" s="13" t="s">
        <v>16782</v>
      </c>
      <c r="I9230" s="40" t="s">
        <v>18</v>
      </c>
      <c r="J9230" s="40" t="str">
        <f>HYPERLINK("https://stock.pstatic.net/stock-research/company/18/20250826_company_662452000.pdf","PDF")</f>
        <v>PDF</v>
      </c>
      <c r="K9230" s="12" t="s">
        <v>16783</v>
      </c>
      <c r="L9230" s="20">
        <v>0.25</v>
      </c>
    </row>
    <row r="9231" spans="1:12" x14ac:dyDescent="0.45">
      <c r="A9231" s="12" t="s">
        <v>16767</v>
      </c>
      <c r="B9231" s="12" t="s">
        <v>32</v>
      </c>
      <c r="C9231" s="13" t="s">
        <v>33</v>
      </c>
      <c r="D9231" s="13" t="s">
        <v>158</v>
      </c>
      <c r="E9231" s="12" t="s">
        <v>35</v>
      </c>
      <c r="F9231" s="14">
        <v>200000</v>
      </c>
      <c r="G9231" s="14">
        <v>157600</v>
      </c>
      <c r="H9231" s="13" t="s">
        <v>16784</v>
      </c>
      <c r="I9231" s="40" t="s">
        <v>18</v>
      </c>
      <c r="J9231" s="40" t="str">
        <f>HYPERLINK("https://stock.pstatic.net/stock-research/company/18/20250826_company_655540000.pdf","PDF")</f>
        <v>PDF</v>
      </c>
      <c r="K9231" s="12" t="s">
        <v>16785</v>
      </c>
      <c r="L9231" s="20">
        <v>0.26903553299492378</v>
      </c>
    </row>
    <row r="9232" spans="1:12" x14ac:dyDescent="0.45">
      <c r="A9232" s="12" t="s">
        <v>16767</v>
      </c>
      <c r="B9232" s="12" t="s">
        <v>4567</v>
      </c>
      <c r="C9232" s="13" t="s">
        <v>4568</v>
      </c>
      <c r="D9232" s="13" t="s">
        <v>158</v>
      </c>
      <c r="E9232" s="12" t="s">
        <v>35</v>
      </c>
      <c r="F9232" s="14">
        <v>32000</v>
      </c>
      <c r="G9232" s="14">
        <v>23050</v>
      </c>
      <c r="H9232" s="13" t="s">
        <v>16786</v>
      </c>
      <c r="I9232" s="40" t="s">
        <v>18</v>
      </c>
      <c r="J9232" s="40" t="str">
        <f>HYPERLINK("https://stock.pstatic.net/stock-research/company/18/20250826_company_438372000.pdf","PDF")</f>
        <v>PDF</v>
      </c>
      <c r="K9232" s="12" t="s">
        <v>16787</v>
      </c>
      <c r="L9232" s="20">
        <v>0.38828633405639912</v>
      </c>
    </row>
    <row r="9233" spans="1:12" x14ac:dyDescent="0.45">
      <c r="A9233" s="12" t="s">
        <v>16767</v>
      </c>
      <c r="B9233" s="12" t="s">
        <v>1781</v>
      </c>
      <c r="C9233" s="13" t="s">
        <v>1782</v>
      </c>
      <c r="D9233" s="13" t="s">
        <v>158</v>
      </c>
      <c r="E9233" s="12" t="s">
        <v>35</v>
      </c>
      <c r="F9233" s="14">
        <v>95000</v>
      </c>
      <c r="G9233" s="14">
        <v>75900</v>
      </c>
      <c r="H9233" s="13" t="s">
        <v>16788</v>
      </c>
      <c r="I9233" s="40" t="s">
        <v>18</v>
      </c>
      <c r="J9233" s="40" t="str">
        <f>HYPERLINK("https://stock.pstatic.net/stock-research/company/18/20250826_company_192995000.pdf","PDF")</f>
        <v>PDF</v>
      </c>
      <c r="K9233" s="12" t="s">
        <v>16789</v>
      </c>
      <c r="L9233" s="20">
        <v>0.25164690382081689</v>
      </c>
    </row>
    <row r="9234" spans="1:12" x14ac:dyDescent="0.45">
      <c r="A9234" s="12" t="s">
        <v>16767</v>
      </c>
      <c r="B9234" s="12" t="s">
        <v>740</v>
      </c>
      <c r="C9234" s="13" t="s">
        <v>741</v>
      </c>
      <c r="D9234" s="13" t="s">
        <v>158</v>
      </c>
      <c r="E9234" s="12" t="s">
        <v>35</v>
      </c>
      <c r="F9234" s="14">
        <v>200000</v>
      </c>
      <c r="G9234" s="14">
        <v>158700</v>
      </c>
      <c r="H9234" s="13" t="s">
        <v>16790</v>
      </c>
      <c r="I9234" s="40" t="s">
        <v>18</v>
      </c>
      <c r="J9234" s="40" t="str">
        <f>HYPERLINK("https://stock.pstatic.net/stock-research/company/18/20250826_company_731600000.pdf","PDF")</f>
        <v>PDF</v>
      </c>
      <c r="K9234" s="12" t="s">
        <v>16791</v>
      </c>
      <c r="L9234" s="20">
        <v>0.26023944549464401</v>
      </c>
    </row>
    <row r="9235" spans="1:12" x14ac:dyDescent="0.45">
      <c r="A9235" s="12" t="s">
        <v>16767</v>
      </c>
      <c r="B9235" s="12" t="s">
        <v>4095</v>
      </c>
      <c r="C9235" s="13" t="s">
        <v>4096</v>
      </c>
      <c r="D9235" s="13" t="s">
        <v>158</v>
      </c>
      <c r="E9235" s="12" t="s">
        <v>35</v>
      </c>
      <c r="F9235" s="14">
        <v>220000</v>
      </c>
      <c r="G9235" s="14">
        <v>112500</v>
      </c>
      <c r="H9235" s="13" t="s">
        <v>16792</v>
      </c>
      <c r="I9235" s="40" t="s">
        <v>18</v>
      </c>
      <c r="J9235" s="40" t="str">
        <f>HYPERLINK("https://stock.pstatic.net/stock-research/company/18/20250826_company_205548000.pdf","PDF")</f>
        <v>PDF</v>
      </c>
      <c r="K9235" s="12" t="s">
        <v>16793</v>
      </c>
      <c r="L9235" s="20">
        <v>0.9555555555555556</v>
      </c>
    </row>
    <row r="9236" spans="1:12" x14ac:dyDescent="0.45">
      <c r="A9236" s="12" t="s">
        <v>16767</v>
      </c>
      <c r="B9236" s="12" t="s">
        <v>677</v>
      </c>
      <c r="C9236" s="13" t="s">
        <v>678</v>
      </c>
      <c r="D9236" s="13" t="s">
        <v>23</v>
      </c>
      <c r="E9236" s="12" t="s">
        <v>50</v>
      </c>
      <c r="F9236" s="14">
        <v>11000</v>
      </c>
      <c r="G9236" s="14">
        <v>9630</v>
      </c>
      <c r="H9236" s="13" t="s">
        <v>16794</v>
      </c>
      <c r="I9236" s="40" t="s">
        <v>18</v>
      </c>
      <c r="J9236" s="40" t="str">
        <f>HYPERLINK("https://stock.pstatic.net/stock-research/company/21/20250826_company_151668000.pdf","PDF")</f>
        <v>PDF</v>
      </c>
      <c r="K9236" s="12" t="s">
        <v>16795</v>
      </c>
      <c r="L9236" s="20">
        <v>0.14226375908618899</v>
      </c>
    </row>
    <row r="9237" spans="1:12" x14ac:dyDescent="0.45">
      <c r="A9237" s="12" t="s">
        <v>16767</v>
      </c>
      <c r="B9237" s="12" t="s">
        <v>8114</v>
      </c>
      <c r="C9237" s="13" t="s">
        <v>8115</v>
      </c>
      <c r="D9237" s="13" t="s">
        <v>53</v>
      </c>
      <c r="E9237" s="12" t="s">
        <v>16</v>
      </c>
      <c r="F9237" s="14">
        <v>37000</v>
      </c>
      <c r="G9237" s="14">
        <v>29700</v>
      </c>
      <c r="H9237" s="13" t="s">
        <v>16796</v>
      </c>
      <c r="I9237" s="40" t="s">
        <v>18</v>
      </c>
      <c r="J9237" s="40" t="str">
        <f>HYPERLINK("https://stock.pstatic.net/stock-research/company/40/20250826_company_631465000.pdf","PDF")</f>
        <v>PDF</v>
      </c>
      <c r="K9237" s="12" t="s">
        <v>16797</v>
      </c>
      <c r="L9237" s="20">
        <v>0.24579124579124581</v>
      </c>
    </row>
    <row r="9238" spans="1:12" x14ac:dyDescent="0.45">
      <c r="A9238" s="12" t="s">
        <v>16767</v>
      </c>
      <c r="B9238" s="12" t="s">
        <v>1047</v>
      </c>
      <c r="C9238" s="13" t="s">
        <v>1048</v>
      </c>
      <c r="D9238" s="13" t="s">
        <v>23</v>
      </c>
      <c r="E9238" s="12" t="s">
        <v>16</v>
      </c>
      <c r="F9238" s="14">
        <v>14000</v>
      </c>
      <c r="G9238" s="14">
        <v>10350</v>
      </c>
      <c r="H9238" s="13" t="s">
        <v>16798</v>
      </c>
      <c r="I9238" s="40" t="s">
        <v>18</v>
      </c>
      <c r="J9238" s="40" t="str">
        <f>HYPERLINK("https://stock.pstatic.net/stock-research/company/21/20250826_company_732639000.pdf","PDF")</f>
        <v>PDF</v>
      </c>
      <c r="K9238" s="12" t="s">
        <v>16799</v>
      </c>
      <c r="L9238" s="20">
        <v>0.35265700483091789</v>
      </c>
    </row>
    <row r="9239" spans="1:12" x14ac:dyDescent="0.45">
      <c r="A9239" s="12" t="s">
        <v>16767</v>
      </c>
      <c r="B9239" s="12" t="s">
        <v>5011</v>
      </c>
      <c r="C9239" s="13" t="s">
        <v>5012</v>
      </c>
      <c r="D9239" s="13" t="s">
        <v>23</v>
      </c>
      <c r="E9239" s="12" t="s">
        <v>16</v>
      </c>
      <c r="F9239" s="14">
        <v>70000</v>
      </c>
      <c r="G9239" s="14">
        <v>52900</v>
      </c>
      <c r="H9239" s="13" t="s">
        <v>16800</v>
      </c>
      <c r="I9239" s="40" t="s">
        <v>18</v>
      </c>
      <c r="J9239" s="40" t="str">
        <f>HYPERLINK("https://stock.pstatic.net/stock-research/company/21/20250826_company_970213000.pdf","PDF")</f>
        <v>PDF</v>
      </c>
      <c r="K9239" s="12" t="s">
        <v>16801</v>
      </c>
      <c r="L9239" s="20">
        <v>0.32325141776937621</v>
      </c>
    </row>
    <row r="9240" spans="1:12" x14ac:dyDescent="0.45">
      <c r="A9240" s="12" t="s">
        <v>16767</v>
      </c>
      <c r="B9240" s="12" t="s">
        <v>16802</v>
      </c>
      <c r="C9240" s="13" t="s">
        <v>16803</v>
      </c>
      <c r="D9240" s="13" t="s">
        <v>23</v>
      </c>
      <c r="E9240" s="12" t="s">
        <v>16</v>
      </c>
      <c r="F9240" s="14">
        <v>9400</v>
      </c>
      <c r="G9240" s="14">
        <v>6630</v>
      </c>
      <c r="H9240" s="13" t="s">
        <v>16804</v>
      </c>
      <c r="I9240" s="40" t="s">
        <v>18</v>
      </c>
      <c r="J9240" s="40" t="str">
        <f>HYPERLINK("https://stock.pstatic.net/stock-research/company/21/20250826_company_135458000.pdf","PDF")</f>
        <v>PDF</v>
      </c>
      <c r="K9240" s="12" t="s">
        <v>16805</v>
      </c>
      <c r="L9240" s="20">
        <v>0.41779788838612369</v>
      </c>
    </row>
    <row r="9241" spans="1:12" x14ac:dyDescent="0.45">
      <c r="A9241" s="12" t="s">
        <v>16767</v>
      </c>
      <c r="B9241" s="12" t="s">
        <v>2819</v>
      </c>
      <c r="C9241" s="13" t="s">
        <v>2820</v>
      </c>
      <c r="D9241" s="13" t="s">
        <v>92</v>
      </c>
      <c r="E9241" s="12" t="s">
        <v>50</v>
      </c>
      <c r="F9241" s="13"/>
      <c r="G9241" s="14">
        <v>12630</v>
      </c>
      <c r="H9241" s="13" t="s">
        <v>16806</v>
      </c>
      <c r="I9241" s="40" t="s">
        <v>18</v>
      </c>
      <c r="J9241" s="40" t="str">
        <f>HYPERLINK("https://stock.pstatic.net/stock-research/company/63/20250826_company_828628000.pdf","PDF")</f>
        <v>PDF</v>
      </c>
      <c r="K9241" s="12" t="s">
        <v>16807</v>
      </c>
    </row>
    <row r="9242" spans="1:12" x14ac:dyDescent="0.45">
      <c r="A9242" s="12" t="s">
        <v>16767</v>
      </c>
      <c r="B9242" s="12" t="s">
        <v>464</v>
      </c>
      <c r="C9242" s="13" t="s">
        <v>465</v>
      </c>
      <c r="D9242" s="13" t="s">
        <v>124</v>
      </c>
      <c r="E9242" s="12" t="s">
        <v>50</v>
      </c>
      <c r="F9242" s="13"/>
      <c r="G9242" s="13"/>
      <c r="H9242" s="13" t="s">
        <v>16808</v>
      </c>
      <c r="I9242" s="40" t="s">
        <v>18</v>
      </c>
      <c r="J9242" s="40" t="str">
        <f>HYPERLINK("https://stock.pstatic.net/stock-research/company/74/20250826_company_565549000.pdf","PDF")</f>
        <v>PDF</v>
      </c>
      <c r="K9242" s="12" t="s">
        <v>16809</v>
      </c>
    </row>
    <row r="9243" spans="1:12" x14ac:dyDescent="0.45">
      <c r="A9243" s="12" t="s">
        <v>16767</v>
      </c>
      <c r="B9243" s="12" t="s">
        <v>177</v>
      </c>
      <c r="C9243" s="13" t="s">
        <v>178</v>
      </c>
      <c r="D9243" s="13" t="s">
        <v>53</v>
      </c>
      <c r="E9243" s="12" t="s">
        <v>16</v>
      </c>
      <c r="F9243" s="14">
        <v>20000</v>
      </c>
      <c r="G9243" s="14">
        <v>11900</v>
      </c>
      <c r="H9243" s="13" t="s">
        <v>16810</v>
      </c>
      <c r="I9243" s="40" t="s">
        <v>18</v>
      </c>
      <c r="J9243" s="40" t="str">
        <f>HYPERLINK("https://stock.pstatic.net/stock-research/company/40/20250826_company_175354000.pdf","PDF")</f>
        <v>PDF</v>
      </c>
      <c r="K9243" s="12" t="s">
        <v>16811</v>
      </c>
      <c r="L9243" s="20">
        <v>0.68067226890756305</v>
      </c>
    </row>
    <row r="9244" spans="1:12" x14ac:dyDescent="0.45">
      <c r="A9244" s="12" t="s">
        <v>16767</v>
      </c>
      <c r="B9244" s="12" t="s">
        <v>344</v>
      </c>
      <c r="C9244" s="13" t="s">
        <v>345</v>
      </c>
      <c r="D9244" s="13" t="s">
        <v>53</v>
      </c>
      <c r="E9244" s="12" t="s">
        <v>50</v>
      </c>
      <c r="F9244" s="13"/>
      <c r="G9244" s="14">
        <v>9160</v>
      </c>
      <c r="H9244" s="13" t="s">
        <v>16812</v>
      </c>
      <c r="I9244" s="40" t="s">
        <v>18</v>
      </c>
      <c r="J9244" s="40" t="str">
        <f>HYPERLINK("https://stock.pstatic.net/stock-research/company/40/20250826_company_423335000.pdf","PDF")</f>
        <v>PDF</v>
      </c>
      <c r="K9244" s="12" t="s">
        <v>16813</v>
      </c>
    </row>
    <row r="9245" spans="1:12" x14ac:dyDescent="0.45">
      <c r="A9245" s="12" t="s">
        <v>16767</v>
      </c>
      <c r="B9245" s="12" t="s">
        <v>438</v>
      </c>
      <c r="C9245" s="13" t="s">
        <v>439</v>
      </c>
      <c r="D9245" s="13" t="s">
        <v>15</v>
      </c>
      <c r="E9245" s="12" t="s">
        <v>16</v>
      </c>
      <c r="F9245" s="14">
        <v>120000</v>
      </c>
      <c r="G9245" s="14">
        <v>76200</v>
      </c>
      <c r="H9245" s="13" t="s">
        <v>16814</v>
      </c>
      <c r="I9245" s="40" t="s">
        <v>18</v>
      </c>
      <c r="J9245" s="40" t="str">
        <f>HYPERLINK("https://stock.pstatic.net/stock-research/company/29/20250826_company_738665000.pdf","PDF")</f>
        <v>PDF</v>
      </c>
      <c r="K9245" s="12" t="s">
        <v>16815</v>
      </c>
      <c r="L9245" s="20">
        <v>0.57480314960629919</v>
      </c>
    </row>
    <row r="9246" spans="1:12" x14ac:dyDescent="0.45">
      <c r="A9246" s="12" t="s">
        <v>16816</v>
      </c>
      <c r="B9246" s="12" t="s">
        <v>3204</v>
      </c>
      <c r="C9246" s="13" t="s">
        <v>3205</v>
      </c>
      <c r="D9246" s="13" t="s">
        <v>15</v>
      </c>
      <c r="E9246" s="12" t="s">
        <v>16</v>
      </c>
      <c r="F9246" s="14">
        <v>6100</v>
      </c>
      <c r="G9246" s="14">
        <v>4370</v>
      </c>
      <c r="H9246" s="13" t="s">
        <v>16817</v>
      </c>
      <c r="I9246" s="40" t="s">
        <v>18</v>
      </c>
      <c r="J9246" s="40" t="str">
        <f>HYPERLINK("https://stock.pstatic.net/stock-research/company/29/20250825_company_28810000.pdf","PDF")</f>
        <v>PDF</v>
      </c>
      <c r="K9246" s="12" t="s">
        <v>16818</v>
      </c>
      <c r="L9246" s="20">
        <v>0.39588100686498862</v>
      </c>
    </row>
    <row r="9247" spans="1:12" x14ac:dyDescent="0.45">
      <c r="A9247" s="12" t="s">
        <v>16816</v>
      </c>
      <c r="B9247" s="12" t="s">
        <v>95</v>
      </c>
      <c r="C9247" s="13" t="s">
        <v>31</v>
      </c>
      <c r="D9247" s="13" t="s">
        <v>15</v>
      </c>
      <c r="E9247" s="12" t="s">
        <v>16</v>
      </c>
      <c r="F9247" s="14">
        <v>38000</v>
      </c>
      <c r="G9247" s="14">
        <v>28550</v>
      </c>
      <c r="H9247" s="13" t="s">
        <v>16819</v>
      </c>
      <c r="I9247" s="40" t="s">
        <v>18</v>
      </c>
      <c r="J9247" s="40" t="str">
        <f>HYPERLINK("https://stock.pstatic.net/stock-research/company/29/20250825_company_109644000.pdf","PDF")</f>
        <v>PDF</v>
      </c>
      <c r="K9247" s="12" t="s">
        <v>16820</v>
      </c>
      <c r="L9247" s="20">
        <v>0.3309982486865149</v>
      </c>
    </row>
    <row r="9248" spans="1:12" x14ac:dyDescent="0.45">
      <c r="A9248" s="12" t="s">
        <v>16816</v>
      </c>
      <c r="B9248" s="12" t="s">
        <v>973</v>
      </c>
      <c r="C9248" s="13" t="s">
        <v>974</v>
      </c>
      <c r="D9248" s="13" t="s">
        <v>57</v>
      </c>
      <c r="E9248" s="12" t="s">
        <v>35</v>
      </c>
      <c r="F9248" s="14">
        <v>34000</v>
      </c>
      <c r="G9248" s="14">
        <v>22950</v>
      </c>
      <c r="H9248" s="13" t="s">
        <v>16821</v>
      </c>
      <c r="I9248" s="40" t="s">
        <v>18</v>
      </c>
      <c r="J9248" s="40" t="str">
        <f>HYPERLINK("https://stock.pstatic.net/stock-research/company/16/20250825_company_122502000.pdf","PDF")</f>
        <v>PDF</v>
      </c>
      <c r="K9248" s="12" t="s">
        <v>16822</v>
      </c>
      <c r="L9248" s="20">
        <v>0.48148148148148151</v>
      </c>
    </row>
    <row r="9249" spans="1:12" x14ac:dyDescent="0.45">
      <c r="A9249" s="12" t="s">
        <v>16816</v>
      </c>
      <c r="B9249" s="12" t="s">
        <v>4927</v>
      </c>
      <c r="C9249" s="13" t="s">
        <v>4928</v>
      </c>
      <c r="D9249" s="13" t="s">
        <v>57</v>
      </c>
      <c r="E9249" s="12" t="s">
        <v>50</v>
      </c>
      <c r="F9249" s="13"/>
      <c r="G9249" s="14">
        <v>148600</v>
      </c>
      <c r="H9249" s="13" t="s">
        <v>16823</v>
      </c>
      <c r="I9249" s="40" t="s">
        <v>18</v>
      </c>
      <c r="J9249" s="40" t="str">
        <f>HYPERLINK("https://stock.pstatic.net/stock-research/company/16/20250825_company_438963000.pdf","PDF")</f>
        <v>PDF</v>
      </c>
      <c r="K9249" s="12" t="s">
        <v>16824</v>
      </c>
    </row>
    <row r="9250" spans="1:12" x14ac:dyDescent="0.45">
      <c r="A9250" s="12" t="s">
        <v>16816</v>
      </c>
      <c r="B9250" s="12" t="s">
        <v>1051</v>
      </c>
      <c r="C9250" s="13" t="s">
        <v>1052</v>
      </c>
      <c r="D9250" s="13" t="s">
        <v>57</v>
      </c>
      <c r="E9250" s="12" t="s">
        <v>35</v>
      </c>
      <c r="F9250" s="14">
        <v>56000</v>
      </c>
      <c r="G9250" s="14">
        <v>40250</v>
      </c>
      <c r="H9250" s="13" t="s">
        <v>16825</v>
      </c>
      <c r="I9250" s="40" t="s">
        <v>18</v>
      </c>
      <c r="J9250" s="40" t="str">
        <f>HYPERLINK("https://stock.pstatic.net/stock-research/company/16/20250825_company_233373000.pdf","PDF")</f>
        <v>PDF</v>
      </c>
      <c r="K9250" s="12" t="s">
        <v>16826</v>
      </c>
      <c r="L9250" s="20">
        <v>0.39130434782608697</v>
      </c>
    </row>
    <row r="9251" spans="1:12" x14ac:dyDescent="0.45">
      <c r="A9251" s="12" t="s">
        <v>16816</v>
      </c>
      <c r="B9251" s="12" t="s">
        <v>2449</v>
      </c>
      <c r="C9251" s="13" t="s">
        <v>2450</v>
      </c>
      <c r="D9251" s="13" t="s">
        <v>276</v>
      </c>
      <c r="E9251" s="12" t="s">
        <v>16</v>
      </c>
      <c r="F9251" s="14">
        <v>6000</v>
      </c>
      <c r="G9251" s="14">
        <v>3775</v>
      </c>
      <c r="H9251" s="13" t="s">
        <v>16827</v>
      </c>
      <c r="I9251" s="40" t="s">
        <v>18</v>
      </c>
      <c r="J9251" s="40" t="str">
        <f>HYPERLINK("https://stock.pstatic.net/stock-research/company/66/20250825_company_686459000.pdf","PDF")</f>
        <v>PDF</v>
      </c>
      <c r="K9251" s="12" t="s">
        <v>16828</v>
      </c>
      <c r="L9251" s="20">
        <v>0.58940397350993379</v>
      </c>
    </row>
    <row r="9252" spans="1:12" x14ac:dyDescent="0.45">
      <c r="A9252" s="12" t="s">
        <v>16816</v>
      </c>
      <c r="B9252" s="12" t="s">
        <v>6131</v>
      </c>
      <c r="C9252" s="13" t="s">
        <v>6132</v>
      </c>
      <c r="D9252" s="13" t="s">
        <v>65</v>
      </c>
      <c r="E9252" s="12" t="s">
        <v>35</v>
      </c>
      <c r="F9252" s="14">
        <v>15000</v>
      </c>
      <c r="G9252" s="14">
        <v>10810</v>
      </c>
      <c r="H9252" s="13" t="s">
        <v>16829</v>
      </c>
      <c r="I9252" s="40" t="s">
        <v>18</v>
      </c>
      <c r="J9252" s="40" t="str">
        <f>HYPERLINK("https://stock.pstatic.net/stock-research/company/57/20250825_company_942685000.pdf","PDF")</f>
        <v>PDF</v>
      </c>
      <c r="K9252" s="12" t="s">
        <v>16830</v>
      </c>
      <c r="L9252" s="20">
        <v>0.38760407030527289</v>
      </c>
    </row>
    <row r="9253" spans="1:12" x14ac:dyDescent="0.45">
      <c r="A9253" s="12" t="s">
        <v>16816</v>
      </c>
      <c r="B9253" s="12" t="s">
        <v>370</v>
      </c>
      <c r="C9253" s="13" t="s">
        <v>371</v>
      </c>
      <c r="D9253" s="13" t="s">
        <v>53</v>
      </c>
      <c r="E9253" s="12" t="s">
        <v>16</v>
      </c>
      <c r="F9253" s="14">
        <v>120000</v>
      </c>
      <c r="G9253" s="14">
        <v>102000</v>
      </c>
      <c r="H9253" s="13" t="s">
        <v>16831</v>
      </c>
      <c r="I9253" s="40" t="s">
        <v>18</v>
      </c>
      <c r="J9253" s="40" t="str">
        <f>HYPERLINK("https://stock.pstatic.net/stock-research/company/40/20250825_company_413691000.pdf","PDF")</f>
        <v>PDF</v>
      </c>
      <c r="K9253" s="12" t="s">
        <v>16832</v>
      </c>
      <c r="L9253" s="20">
        <v>0.1764705882352941</v>
      </c>
    </row>
    <row r="9254" spans="1:12" x14ac:dyDescent="0.45">
      <c r="A9254" s="12" t="s">
        <v>16816</v>
      </c>
      <c r="B9254" s="12" t="s">
        <v>237</v>
      </c>
      <c r="C9254" s="13" t="s">
        <v>238</v>
      </c>
      <c r="D9254" s="13" t="s">
        <v>92</v>
      </c>
      <c r="E9254" s="12" t="s">
        <v>35</v>
      </c>
      <c r="F9254" s="14">
        <v>53000</v>
      </c>
      <c r="G9254" s="14">
        <v>32600</v>
      </c>
      <c r="H9254" s="13" t="s">
        <v>16833</v>
      </c>
      <c r="I9254" s="40" t="s">
        <v>18</v>
      </c>
      <c r="J9254" s="40" t="str">
        <f>HYPERLINK("https://stock.pstatic.net/stock-research/company/63/20250825_company_245208000.pdf","PDF")</f>
        <v>PDF</v>
      </c>
      <c r="K9254" s="12" t="s">
        <v>16834</v>
      </c>
      <c r="L9254" s="20">
        <v>0.62576687116564422</v>
      </c>
    </row>
    <row r="9255" spans="1:12" x14ac:dyDescent="0.45">
      <c r="A9255" s="12" t="s">
        <v>16816</v>
      </c>
      <c r="B9255" s="12" t="s">
        <v>985</v>
      </c>
      <c r="C9255" s="13" t="s">
        <v>986</v>
      </c>
      <c r="D9255" s="13" t="s">
        <v>92</v>
      </c>
      <c r="E9255" s="12" t="s">
        <v>35</v>
      </c>
      <c r="F9255" s="14">
        <v>6000</v>
      </c>
      <c r="G9255" s="14">
        <v>4240</v>
      </c>
      <c r="H9255" s="13" t="s">
        <v>16835</v>
      </c>
      <c r="I9255" s="40" t="s">
        <v>18</v>
      </c>
      <c r="J9255" s="40" t="str">
        <f>HYPERLINK("https://stock.pstatic.net/stock-research/company/63/20250825_company_164802000.pdf","PDF")</f>
        <v>PDF</v>
      </c>
      <c r="K9255" s="12" t="s">
        <v>16836</v>
      </c>
      <c r="L9255" s="20">
        <v>0.41509433962264147</v>
      </c>
    </row>
    <row r="9256" spans="1:12" x14ac:dyDescent="0.45">
      <c r="A9256" s="12" t="s">
        <v>16816</v>
      </c>
      <c r="B9256" s="12" t="s">
        <v>2550</v>
      </c>
      <c r="C9256" s="13" t="s">
        <v>2551</v>
      </c>
      <c r="D9256" s="13" t="s">
        <v>92</v>
      </c>
      <c r="E9256" s="12" t="s">
        <v>35</v>
      </c>
      <c r="F9256" s="14">
        <v>21000</v>
      </c>
      <c r="G9256" s="14">
        <v>14840</v>
      </c>
      <c r="H9256" s="13" t="s">
        <v>16837</v>
      </c>
      <c r="I9256" s="40" t="s">
        <v>18</v>
      </c>
      <c r="J9256" s="40" t="str">
        <f>HYPERLINK("https://stock.pstatic.net/stock-research/company/63/20250825_company_907392000.pdf","PDF")</f>
        <v>PDF</v>
      </c>
      <c r="K9256" s="12" t="s">
        <v>16838</v>
      </c>
      <c r="L9256" s="20">
        <v>0.41509433962264147</v>
      </c>
    </row>
    <row r="9257" spans="1:12" x14ac:dyDescent="0.45">
      <c r="A9257" s="12" t="s">
        <v>16816</v>
      </c>
      <c r="B9257" s="12" t="s">
        <v>8861</v>
      </c>
      <c r="C9257" s="13" t="s">
        <v>8862</v>
      </c>
      <c r="D9257" s="13" t="s">
        <v>53</v>
      </c>
      <c r="E9257" s="12" t="s">
        <v>16</v>
      </c>
      <c r="F9257" s="14">
        <v>33000</v>
      </c>
      <c r="G9257" s="14">
        <v>26100</v>
      </c>
      <c r="H9257" s="13" t="s">
        <v>16839</v>
      </c>
      <c r="I9257" s="40" t="s">
        <v>18</v>
      </c>
      <c r="J9257" s="40" t="str">
        <f>HYPERLINK("https://stock.pstatic.net/stock-research/company/40/20250825_company_965562000.pdf","PDF")</f>
        <v>PDF</v>
      </c>
      <c r="K9257" s="12" t="s">
        <v>16840</v>
      </c>
      <c r="L9257" s="20">
        <v>0.26436781609195398</v>
      </c>
    </row>
    <row r="9258" spans="1:12" x14ac:dyDescent="0.45">
      <c r="A9258" s="12" t="s">
        <v>16816</v>
      </c>
      <c r="B9258" s="12" t="s">
        <v>2950</v>
      </c>
      <c r="C9258" s="13" t="s">
        <v>2951</v>
      </c>
      <c r="D9258" s="13" t="s">
        <v>34</v>
      </c>
      <c r="E9258" s="12" t="s">
        <v>50</v>
      </c>
      <c r="F9258" s="13"/>
      <c r="G9258" s="14">
        <v>62200</v>
      </c>
      <c r="H9258" s="13" t="s">
        <v>16841</v>
      </c>
      <c r="I9258" s="40" t="s">
        <v>18</v>
      </c>
      <c r="J9258" s="40" t="str">
        <f>HYPERLINK("https://stock.pstatic.net/stock-research/company/61/20250825_company_421675000.pdf","PDF")</f>
        <v>PDF</v>
      </c>
      <c r="K9258" s="12" t="s">
        <v>16842</v>
      </c>
    </row>
    <row r="9259" spans="1:12" x14ac:dyDescent="0.45">
      <c r="A9259" s="12" t="s">
        <v>16816</v>
      </c>
      <c r="B9259" s="12" t="s">
        <v>1144</v>
      </c>
      <c r="C9259" s="13" t="s">
        <v>1145</v>
      </c>
      <c r="D9259" s="13" t="s">
        <v>34</v>
      </c>
      <c r="E9259" s="12" t="s">
        <v>50</v>
      </c>
      <c r="F9259" s="13"/>
      <c r="G9259" s="14">
        <v>99900</v>
      </c>
      <c r="H9259" s="13" t="s">
        <v>16843</v>
      </c>
      <c r="I9259" s="40" t="s">
        <v>18</v>
      </c>
      <c r="J9259" s="40" t="str">
        <f>HYPERLINK("https://stock.pstatic.net/stock-research/company/61/20250825_company_354936000.pdf","PDF")</f>
        <v>PDF</v>
      </c>
      <c r="K9259" s="12" t="s">
        <v>16844</v>
      </c>
    </row>
    <row r="9260" spans="1:12" x14ac:dyDescent="0.45">
      <c r="A9260" s="12" t="s">
        <v>16816</v>
      </c>
      <c r="B9260" s="12" t="s">
        <v>6967</v>
      </c>
      <c r="C9260" s="13" t="s">
        <v>6968</v>
      </c>
      <c r="D9260" s="13" t="s">
        <v>34</v>
      </c>
      <c r="E9260" s="12" t="s">
        <v>35</v>
      </c>
      <c r="F9260" s="14">
        <v>27000</v>
      </c>
      <c r="G9260" s="14">
        <v>20150</v>
      </c>
      <c r="H9260" s="13" t="s">
        <v>16845</v>
      </c>
      <c r="I9260" s="40" t="s">
        <v>18</v>
      </c>
      <c r="J9260" s="40" t="str">
        <f>HYPERLINK("https://stock.pstatic.net/stock-research/company/61/20250825_company_217237000.pdf","PDF")</f>
        <v>PDF</v>
      </c>
      <c r="K9260" s="12" t="s">
        <v>16846</v>
      </c>
      <c r="L9260" s="20">
        <v>0.33995037220843671</v>
      </c>
    </row>
    <row r="9261" spans="1:12" x14ac:dyDescent="0.45">
      <c r="A9261" s="12" t="s">
        <v>16816</v>
      </c>
      <c r="B9261" s="12" t="s">
        <v>6812</v>
      </c>
      <c r="C9261" s="13" t="s">
        <v>6813</v>
      </c>
      <c r="D9261" s="13" t="s">
        <v>34</v>
      </c>
      <c r="E9261" s="12" t="s">
        <v>35</v>
      </c>
      <c r="F9261" s="14">
        <v>34500</v>
      </c>
      <c r="G9261" s="14">
        <v>25500</v>
      </c>
      <c r="H9261" s="13" t="s">
        <v>16847</v>
      </c>
      <c r="I9261" s="40" t="s">
        <v>18</v>
      </c>
      <c r="J9261" s="40" t="str">
        <f>HYPERLINK("https://stock.pstatic.net/stock-research/company/61/20250825_company_758005000.pdf","PDF")</f>
        <v>PDF</v>
      </c>
      <c r="K9261" s="12" t="s">
        <v>16848</v>
      </c>
      <c r="L9261" s="20">
        <v>0.35294117647058831</v>
      </c>
    </row>
    <row r="9262" spans="1:12" x14ac:dyDescent="0.45">
      <c r="A9262" s="12" t="s">
        <v>16816</v>
      </c>
      <c r="B9262" s="12" t="s">
        <v>585</v>
      </c>
      <c r="C9262" s="13" t="s">
        <v>586</v>
      </c>
      <c r="D9262" s="13" t="s">
        <v>34</v>
      </c>
      <c r="E9262" s="12" t="s">
        <v>50</v>
      </c>
      <c r="F9262" s="13"/>
      <c r="G9262" s="14">
        <v>51900</v>
      </c>
      <c r="H9262" s="13" t="s">
        <v>16849</v>
      </c>
      <c r="I9262" s="40" t="s">
        <v>18</v>
      </c>
      <c r="J9262" s="40" t="str">
        <f>HYPERLINK("https://stock.pstatic.net/stock-research/company/61/20250825_company_452324000.pdf","PDF")</f>
        <v>PDF</v>
      </c>
      <c r="K9262" s="12" t="s">
        <v>16850</v>
      </c>
    </row>
    <row r="9263" spans="1:12" x14ac:dyDescent="0.45">
      <c r="A9263" s="12" t="s">
        <v>16816</v>
      </c>
      <c r="B9263" s="12" t="s">
        <v>383</v>
      </c>
      <c r="C9263" s="13" t="s">
        <v>384</v>
      </c>
      <c r="D9263" s="13" t="s">
        <v>23</v>
      </c>
      <c r="E9263" s="12" t="s">
        <v>50</v>
      </c>
      <c r="F9263" s="13"/>
      <c r="G9263" s="14">
        <v>60500</v>
      </c>
      <c r="H9263" s="13" t="s">
        <v>16851</v>
      </c>
      <c r="I9263" s="40" t="s">
        <v>18</v>
      </c>
      <c r="J9263" s="40" t="str">
        <f>HYPERLINK("https://stock.pstatic.net/stock-research/company/21/20250825_company_239505000.pdf","PDF")</f>
        <v>PDF</v>
      </c>
      <c r="K9263" s="12" t="s">
        <v>16852</v>
      </c>
    </row>
    <row r="9264" spans="1:12" x14ac:dyDescent="0.45">
      <c r="A9264" s="12" t="s">
        <v>16816</v>
      </c>
      <c r="B9264" s="12" t="s">
        <v>16853</v>
      </c>
      <c r="C9264" s="13" t="s">
        <v>16854</v>
      </c>
      <c r="D9264" s="13" t="s">
        <v>53</v>
      </c>
      <c r="E9264" s="12" t="s">
        <v>50</v>
      </c>
      <c r="F9264" s="13"/>
      <c r="G9264" s="14">
        <v>1710</v>
      </c>
      <c r="H9264" s="13" t="s">
        <v>16855</v>
      </c>
      <c r="I9264" s="40" t="s">
        <v>18</v>
      </c>
      <c r="J9264" s="40" t="str">
        <f>HYPERLINK("https://stock.pstatic.net/stock-research/company/40/20250825_company_641418000.pdf","PDF")</f>
        <v>PDF</v>
      </c>
      <c r="K9264" s="12" t="s">
        <v>16856</v>
      </c>
    </row>
    <row r="9265" spans="1:12" x14ac:dyDescent="0.45">
      <c r="A9265" s="12" t="s">
        <v>16857</v>
      </c>
      <c r="B9265" s="12" t="s">
        <v>1051</v>
      </c>
      <c r="C9265" s="13" t="s">
        <v>1052</v>
      </c>
      <c r="D9265" s="13" t="s">
        <v>83</v>
      </c>
      <c r="E9265" s="12" t="s">
        <v>35</v>
      </c>
      <c r="F9265" s="14">
        <v>51000</v>
      </c>
      <c r="G9265" s="14">
        <v>40250</v>
      </c>
      <c r="H9265" s="13" t="s">
        <v>16858</v>
      </c>
      <c r="I9265" s="40" t="s">
        <v>18</v>
      </c>
      <c r="J9265" s="40" t="str">
        <f>HYPERLINK("https://stock.pstatic.net/stock-research/company/2/20250822_company_221698000.pdf","PDF")</f>
        <v>PDF</v>
      </c>
      <c r="K9265" s="12" t="s">
        <v>16859</v>
      </c>
      <c r="L9265" s="20">
        <v>0.26708074534161491</v>
      </c>
    </row>
    <row r="9266" spans="1:12" x14ac:dyDescent="0.45">
      <c r="A9266" s="12" t="s">
        <v>16857</v>
      </c>
      <c r="B9266" s="12" t="s">
        <v>2777</v>
      </c>
      <c r="C9266" s="13" t="s">
        <v>2778</v>
      </c>
      <c r="D9266" s="13" t="s">
        <v>83</v>
      </c>
      <c r="E9266" s="12" t="s">
        <v>35</v>
      </c>
      <c r="F9266" s="14">
        <v>240000</v>
      </c>
      <c r="G9266" s="14">
        <v>150200</v>
      </c>
      <c r="H9266" s="13" t="s">
        <v>16860</v>
      </c>
      <c r="I9266" s="40" t="s">
        <v>18</v>
      </c>
      <c r="J9266" s="40" t="str">
        <f>HYPERLINK("https://stock.pstatic.net/stock-research/company/2/20250822_company_966992000.pdf","PDF")</f>
        <v>PDF</v>
      </c>
      <c r="K9266" s="12" t="s">
        <v>16861</v>
      </c>
      <c r="L9266" s="20">
        <v>0.59786950732356858</v>
      </c>
    </row>
    <row r="9267" spans="1:12" x14ac:dyDescent="0.45">
      <c r="A9267" s="12" t="s">
        <v>16857</v>
      </c>
      <c r="B9267" s="12" t="s">
        <v>1051</v>
      </c>
      <c r="C9267" s="13" t="s">
        <v>1052</v>
      </c>
      <c r="D9267" s="13" t="s">
        <v>65</v>
      </c>
      <c r="E9267" s="12" t="s">
        <v>35</v>
      </c>
      <c r="F9267" s="14">
        <v>48000</v>
      </c>
      <c r="G9267" s="14">
        <v>40250</v>
      </c>
      <c r="H9267" s="13" t="s">
        <v>16862</v>
      </c>
      <c r="I9267" s="40" t="s">
        <v>18</v>
      </c>
      <c r="J9267" s="40" t="str">
        <f>HYPERLINK("https://stock.pstatic.net/stock-research/company/57/20250822_company_913629000.pdf","PDF")</f>
        <v>PDF</v>
      </c>
      <c r="K9267" s="12" t="s">
        <v>16863</v>
      </c>
      <c r="L9267" s="20">
        <v>0.19254658385093171</v>
      </c>
    </row>
    <row r="9268" spans="1:12" x14ac:dyDescent="0.45">
      <c r="A9268" s="12" t="s">
        <v>16857</v>
      </c>
      <c r="B9268" s="12" t="s">
        <v>6922</v>
      </c>
      <c r="C9268" s="13" t="s">
        <v>6923</v>
      </c>
      <c r="D9268" s="13" t="s">
        <v>65</v>
      </c>
      <c r="E9268" s="12" t="s">
        <v>35</v>
      </c>
      <c r="F9268" s="14">
        <v>45000</v>
      </c>
      <c r="G9268" s="14">
        <v>32600</v>
      </c>
      <c r="H9268" s="13" t="s">
        <v>16864</v>
      </c>
      <c r="I9268" s="40" t="s">
        <v>18</v>
      </c>
      <c r="J9268" s="40" t="str">
        <f>HYPERLINK("https://stock.pstatic.net/stock-research/company/57/20250822_company_729869000.pdf","PDF")</f>
        <v>PDF</v>
      </c>
      <c r="K9268" s="12" t="s">
        <v>16865</v>
      </c>
      <c r="L9268" s="20">
        <v>0.38036809815950923</v>
      </c>
    </row>
    <row r="9269" spans="1:12" x14ac:dyDescent="0.45">
      <c r="A9269" s="12" t="s">
        <v>16857</v>
      </c>
      <c r="B9269" s="12" t="s">
        <v>4864</v>
      </c>
      <c r="C9269" s="13" t="s">
        <v>4865</v>
      </c>
      <c r="D9269" s="13" t="s">
        <v>57</v>
      </c>
      <c r="E9269" s="12" t="s">
        <v>35</v>
      </c>
      <c r="F9269" s="14">
        <v>55000</v>
      </c>
      <c r="G9269" s="14">
        <v>38300</v>
      </c>
      <c r="H9269" s="13" t="s">
        <v>16866</v>
      </c>
      <c r="I9269" s="40" t="s">
        <v>18</v>
      </c>
      <c r="J9269" s="40" t="str">
        <f>HYPERLINK("https://stock.pstatic.net/stock-research/company/16/20250822_company_686584000.pdf","PDF")</f>
        <v>PDF</v>
      </c>
      <c r="K9269" s="12" t="s">
        <v>16867</v>
      </c>
      <c r="L9269" s="20">
        <v>0.43603133159268931</v>
      </c>
    </row>
    <row r="9270" spans="1:12" x14ac:dyDescent="0.45">
      <c r="A9270" s="12" t="s">
        <v>16857</v>
      </c>
      <c r="B9270" s="12" t="s">
        <v>1212</v>
      </c>
      <c r="C9270" s="13" t="s">
        <v>1213</v>
      </c>
      <c r="D9270" s="13" t="s">
        <v>23</v>
      </c>
      <c r="E9270" s="12" t="s">
        <v>50</v>
      </c>
      <c r="F9270" s="13"/>
      <c r="G9270" s="14">
        <v>58700</v>
      </c>
      <c r="H9270" s="13" t="s">
        <v>16868</v>
      </c>
      <c r="I9270" s="40" t="s">
        <v>18</v>
      </c>
      <c r="J9270" s="40" t="str">
        <f>HYPERLINK("https://stock.pstatic.net/stock-research/company/21/20250822_company_961987000.pdf","PDF")</f>
        <v>PDF</v>
      </c>
      <c r="K9270" s="12" t="s">
        <v>16869</v>
      </c>
    </row>
    <row r="9271" spans="1:12" x14ac:dyDescent="0.45">
      <c r="A9271" s="12" t="s">
        <v>16857</v>
      </c>
      <c r="B9271" s="12" t="s">
        <v>2191</v>
      </c>
      <c r="C9271" s="13" t="s">
        <v>2192</v>
      </c>
      <c r="D9271" s="13" t="s">
        <v>15</v>
      </c>
      <c r="E9271" s="12" t="s">
        <v>16</v>
      </c>
      <c r="F9271" s="14">
        <v>90000</v>
      </c>
      <c r="G9271" s="14">
        <v>63500</v>
      </c>
      <c r="H9271" s="13" t="s">
        <v>16870</v>
      </c>
      <c r="I9271" s="40" t="s">
        <v>18</v>
      </c>
      <c r="J9271" s="40" t="str">
        <f>HYPERLINK("https://stock.pstatic.net/stock-research/company/29/20250822_company_921996000.pdf","PDF")</f>
        <v>PDF</v>
      </c>
      <c r="K9271" s="12" t="s">
        <v>16871</v>
      </c>
      <c r="L9271" s="20">
        <v>0.41732283464566933</v>
      </c>
    </row>
    <row r="9272" spans="1:12" x14ac:dyDescent="0.45">
      <c r="A9272" s="12" t="s">
        <v>16857</v>
      </c>
      <c r="B9272" s="12" t="s">
        <v>1051</v>
      </c>
      <c r="C9272" s="13" t="s">
        <v>1052</v>
      </c>
      <c r="D9272" s="13" t="s">
        <v>23</v>
      </c>
      <c r="E9272" s="12" t="s">
        <v>16</v>
      </c>
      <c r="F9272" s="14">
        <v>54000</v>
      </c>
      <c r="G9272" s="14">
        <v>40250</v>
      </c>
      <c r="H9272" s="13" t="s">
        <v>16872</v>
      </c>
      <c r="I9272" s="40" t="s">
        <v>18</v>
      </c>
      <c r="J9272" s="40" t="str">
        <f>HYPERLINK("https://stock.pstatic.net/stock-research/company/21/20250822_company_340558000.pdf","PDF")</f>
        <v>PDF</v>
      </c>
      <c r="K9272" s="12" t="s">
        <v>16873</v>
      </c>
      <c r="L9272" s="20">
        <v>0.34161490683229812</v>
      </c>
    </row>
    <row r="9273" spans="1:12" x14ac:dyDescent="0.45">
      <c r="A9273" s="12" t="s">
        <v>16857</v>
      </c>
      <c r="B9273" s="12" t="s">
        <v>613</v>
      </c>
      <c r="C9273" s="13" t="s">
        <v>614</v>
      </c>
      <c r="D9273" s="13" t="s">
        <v>124</v>
      </c>
      <c r="E9273" s="12" t="s">
        <v>50</v>
      </c>
      <c r="F9273" s="13"/>
      <c r="G9273" s="13"/>
      <c r="H9273" s="13" t="s">
        <v>16874</v>
      </c>
      <c r="I9273" s="40" t="s">
        <v>18</v>
      </c>
      <c r="J9273" s="40" t="str">
        <f>HYPERLINK("https://stock.pstatic.net/stock-research/company/74/20250822_company_237872000.pdf","PDF")</f>
        <v>PDF</v>
      </c>
      <c r="K9273" s="12" t="s">
        <v>16875</v>
      </c>
    </row>
    <row r="9274" spans="1:12" x14ac:dyDescent="0.45">
      <c r="A9274" s="12" t="s">
        <v>16857</v>
      </c>
      <c r="B9274" s="12" t="s">
        <v>1069</v>
      </c>
      <c r="C9274" s="13" t="s">
        <v>1070</v>
      </c>
      <c r="D9274" s="13" t="s">
        <v>23</v>
      </c>
      <c r="E9274" s="12" t="s">
        <v>16</v>
      </c>
      <c r="F9274" s="14">
        <v>42000</v>
      </c>
      <c r="G9274" s="14">
        <v>34150</v>
      </c>
      <c r="H9274" s="13" t="s">
        <v>16876</v>
      </c>
      <c r="I9274" s="40" t="s">
        <v>18</v>
      </c>
      <c r="J9274" s="40" t="str">
        <f>HYPERLINK("https://stock.pstatic.net/stock-research/company/21/20250822_company_82763000.pdf","PDF")</f>
        <v>PDF</v>
      </c>
      <c r="K9274" s="12" t="s">
        <v>16877</v>
      </c>
      <c r="L9274" s="20">
        <v>0.22986822840409959</v>
      </c>
    </row>
    <row r="9275" spans="1:12" x14ac:dyDescent="0.45">
      <c r="A9275" s="12" t="s">
        <v>16857</v>
      </c>
      <c r="B9275" s="12" t="s">
        <v>3972</v>
      </c>
      <c r="C9275" s="13" t="s">
        <v>3973</v>
      </c>
      <c r="D9275" s="13" t="s">
        <v>53</v>
      </c>
      <c r="E9275" s="12" t="s">
        <v>16</v>
      </c>
      <c r="F9275" s="14">
        <v>66000</v>
      </c>
      <c r="G9275" s="14">
        <v>36000</v>
      </c>
      <c r="H9275" s="13" t="s">
        <v>16878</v>
      </c>
      <c r="I9275" s="40" t="s">
        <v>18</v>
      </c>
      <c r="J9275" s="40" t="str">
        <f>HYPERLINK("https://stock.pstatic.net/stock-research/company/40/20250822_company_525943000.pdf","PDF")</f>
        <v>PDF</v>
      </c>
      <c r="K9275" s="12" t="s">
        <v>16879</v>
      </c>
      <c r="L9275" s="20">
        <v>0.83333333333333337</v>
      </c>
    </row>
    <row r="9276" spans="1:12" x14ac:dyDescent="0.45">
      <c r="A9276" s="12" t="s">
        <v>16857</v>
      </c>
      <c r="B9276" s="12" t="s">
        <v>2024</v>
      </c>
      <c r="C9276" s="13" t="s">
        <v>2025</v>
      </c>
      <c r="D9276" s="13" t="s">
        <v>23</v>
      </c>
      <c r="E9276" s="12" t="s">
        <v>50</v>
      </c>
      <c r="F9276" s="14">
        <v>46000</v>
      </c>
      <c r="G9276" s="14">
        <v>43950</v>
      </c>
      <c r="H9276" s="13" t="s">
        <v>16880</v>
      </c>
      <c r="I9276" s="40" t="s">
        <v>18</v>
      </c>
      <c r="J9276" s="40" t="str">
        <f>HYPERLINK("https://stock.pstatic.net/stock-research/company/21/20250822_company_492238000.pdf","PDF")</f>
        <v>PDF</v>
      </c>
      <c r="K9276" s="12" t="s">
        <v>16881</v>
      </c>
      <c r="L9276" s="20">
        <v>4.6643913538111488E-2</v>
      </c>
    </row>
    <row r="9277" spans="1:12" x14ac:dyDescent="0.45">
      <c r="A9277" s="12" t="s">
        <v>16857</v>
      </c>
      <c r="B9277" s="12" t="s">
        <v>13</v>
      </c>
      <c r="C9277" s="13" t="s">
        <v>14</v>
      </c>
      <c r="D9277" s="13" t="s">
        <v>44</v>
      </c>
      <c r="E9277" s="12" t="s">
        <v>35</v>
      </c>
      <c r="F9277" s="14">
        <v>90000</v>
      </c>
      <c r="G9277" s="14">
        <v>70600</v>
      </c>
      <c r="H9277" s="13" t="s">
        <v>16882</v>
      </c>
      <c r="I9277" s="40" t="s">
        <v>18</v>
      </c>
      <c r="J9277" s="40" t="str">
        <f>HYPERLINK("https://stock.pstatic.net/stock-research/company/1/20250822_company_743606000.pdf","PDF")</f>
        <v>PDF</v>
      </c>
      <c r="K9277" s="12" t="s">
        <v>16883</v>
      </c>
      <c r="L9277" s="20">
        <v>0.27478753541076489</v>
      </c>
    </row>
    <row r="9278" spans="1:12" x14ac:dyDescent="0.45">
      <c r="A9278" s="12" t="s">
        <v>16857</v>
      </c>
      <c r="B9278" s="12" t="s">
        <v>593</v>
      </c>
      <c r="C9278" s="13" t="s">
        <v>594</v>
      </c>
      <c r="D9278" s="13" t="s">
        <v>44</v>
      </c>
      <c r="E9278" s="12" t="s">
        <v>50</v>
      </c>
      <c r="F9278" s="13"/>
      <c r="G9278" s="14">
        <v>10950</v>
      </c>
      <c r="H9278" s="13" t="s">
        <v>16884</v>
      </c>
      <c r="I9278" s="40" t="s">
        <v>18</v>
      </c>
      <c r="J9278" s="40" t="str">
        <f>HYPERLINK("https://stock.pstatic.net/stock-research/company/39/20250822_company_21143000.pdf","PDF")</f>
        <v>PDF</v>
      </c>
      <c r="K9278" s="12" t="s">
        <v>16885</v>
      </c>
    </row>
    <row r="9279" spans="1:12" x14ac:dyDescent="0.45">
      <c r="A9279" s="12" t="s">
        <v>16857</v>
      </c>
      <c r="B9279" s="12" t="s">
        <v>16886</v>
      </c>
      <c r="C9279" s="13" t="s">
        <v>16887</v>
      </c>
      <c r="D9279" s="13" t="s">
        <v>202</v>
      </c>
      <c r="E9279" s="12" t="s">
        <v>50</v>
      </c>
      <c r="F9279" s="13"/>
      <c r="G9279" s="13"/>
      <c r="H9279" s="13" t="s">
        <v>16888</v>
      </c>
      <c r="I9279" s="40" t="s">
        <v>18</v>
      </c>
      <c r="J9279" s="40" t="str">
        <f>HYPERLINK("https://stock.pstatic.net/stock-research/company/1/20250822_company_262753000.pdf","PDF")</f>
        <v>PDF</v>
      </c>
      <c r="K9279" s="12" t="s">
        <v>16889</v>
      </c>
    </row>
    <row r="9280" spans="1:12" x14ac:dyDescent="0.45">
      <c r="A9280" s="12" t="s">
        <v>16857</v>
      </c>
      <c r="B9280" s="12" t="s">
        <v>16890</v>
      </c>
      <c r="C9280" s="13" t="s">
        <v>16891</v>
      </c>
      <c r="D9280" s="13" t="s">
        <v>202</v>
      </c>
      <c r="E9280" s="12" t="s">
        <v>50</v>
      </c>
      <c r="F9280" s="13"/>
      <c r="G9280" s="13"/>
      <c r="H9280" s="13" t="s">
        <v>16892</v>
      </c>
      <c r="I9280" s="40" t="s">
        <v>18</v>
      </c>
      <c r="J9280" s="40" t="str">
        <f>HYPERLINK("https://stock.pstatic.net/stock-research/company/69/20250822_company_885554000.pdf","PDF")</f>
        <v>PDF</v>
      </c>
      <c r="K9280" s="12" t="s">
        <v>16893</v>
      </c>
    </row>
    <row r="9281" spans="1:12" x14ac:dyDescent="0.45">
      <c r="A9281" s="12" t="s">
        <v>16857</v>
      </c>
      <c r="B9281" s="12" t="s">
        <v>16894</v>
      </c>
      <c r="C9281" s="13" t="s">
        <v>16895</v>
      </c>
      <c r="D9281" s="13" t="s">
        <v>207</v>
      </c>
      <c r="E9281" s="12" t="s">
        <v>50</v>
      </c>
      <c r="F9281" s="13"/>
      <c r="G9281" s="13"/>
      <c r="H9281" s="13" t="s">
        <v>16896</v>
      </c>
      <c r="I9281" s="40" t="s">
        <v>18</v>
      </c>
      <c r="J9281" s="40" t="str">
        <f>HYPERLINK("https://stock.pstatic.net/stock-research/company/75/20250822_company_859594000.pdf","PDF")</f>
        <v>PDF</v>
      </c>
      <c r="K9281" s="12" t="s">
        <v>16897</v>
      </c>
    </row>
    <row r="9282" spans="1:12" x14ac:dyDescent="0.45">
      <c r="A9282" s="12" t="s">
        <v>16857</v>
      </c>
      <c r="B9282" s="12" t="s">
        <v>2933</v>
      </c>
      <c r="C9282" s="13" t="s">
        <v>2934</v>
      </c>
      <c r="D9282" s="13" t="s">
        <v>15</v>
      </c>
      <c r="E9282" s="12" t="s">
        <v>16</v>
      </c>
      <c r="F9282" s="14">
        <v>140000</v>
      </c>
      <c r="G9282" s="14">
        <v>109000</v>
      </c>
      <c r="H9282" s="13" t="s">
        <v>16898</v>
      </c>
      <c r="I9282" s="40" t="s">
        <v>18</v>
      </c>
      <c r="J9282" s="40" t="str">
        <f>HYPERLINK("https://stock.pstatic.net/stock-research/company/29/20250822_company_95228000.pdf","PDF")</f>
        <v>PDF</v>
      </c>
      <c r="K9282" s="12" t="s">
        <v>16899</v>
      </c>
      <c r="L9282" s="20">
        <v>0.28440366972477071</v>
      </c>
    </row>
    <row r="9283" spans="1:12" x14ac:dyDescent="0.45">
      <c r="A9283" s="12" t="s">
        <v>16900</v>
      </c>
      <c r="B9283" s="12" t="s">
        <v>1383</v>
      </c>
      <c r="C9283" s="13" t="s">
        <v>1384</v>
      </c>
      <c r="D9283" s="13" t="s">
        <v>83</v>
      </c>
      <c r="E9283" s="12" t="s">
        <v>35</v>
      </c>
      <c r="F9283" s="14">
        <v>37000</v>
      </c>
      <c r="G9283" s="14">
        <v>29200</v>
      </c>
      <c r="H9283" s="13" t="s">
        <v>16901</v>
      </c>
      <c r="I9283" s="40" t="s">
        <v>18</v>
      </c>
      <c r="J9283" s="40" t="str">
        <f>HYPERLINK("https://stock.pstatic.net/stock-research/company/2/20250821_company_972037000.pdf","PDF")</f>
        <v>PDF</v>
      </c>
      <c r="K9283" s="12" t="s">
        <v>16902</v>
      </c>
      <c r="L9283" s="20">
        <v>0.26712328767123289</v>
      </c>
    </row>
    <row r="9284" spans="1:12" x14ac:dyDescent="0.45">
      <c r="A9284" s="12" t="s">
        <v>16900</v>
      </c>
      <c r="B9284" s="12" t="s">
        <v>16903</v>
      </c>
      <c r="C9284" s="13" t="s">
        <v>16904</v>
      </c>
      <c r="D9284" s="13" t="s">
        <v>83</v>
      </c>
      <c r="E9284" s="12" t="s">
        <v>50</v>
      </c>
      <c r="F9284" s="13"/>
      <c r="G9284" s="14">
        <v>8270</v>
      </c>
      <c r="H9284" s="13" t="s">
        <v>16905</v>
      </c>
      <c r="I9284" s="40" t="s">
        <v>18</v>
      </c>
      <c r="J9284" s="40" t="str">
        <f>HYPERLINK("https://stock.pstatic.net/stock-research/company/2/20250821_company_4576000.pdf","PDF")</f>
        <v>PDF</v>
      </c>
      <c r="K9284" s="12" t="s">
        <v>16906</v>
      </c>
    </row>
    <row r="9285" spans="1:12" x14ac:dyDescent="0.45">
      <c r="A9285" s="12" t="s">
        <v>16900</v>
      </c>
      <c r="B9285" s="12" t="s">
        <v>76</v>
      </c>
      <c r="C9285" s="13" t="s">
        <v>77</v>
      </c>
      <c r="D9285" s="13" t="s">
        <v>83</v>
      </c>
      <c r="E9285" s="12" t="s">
        <v>642</v>
      </c>
      <c r="F9285" s="14">
        <v>23000</v>
      </c>
      <c r="G9285" s="14">
        <v>22950</v>
      </c>
      <c r="H9285" s="13" t="s">
        <v>16907</v>
      </c>
      <c r="I9285" s="40" t="s">
        <v>18</v>
      </c>
      <c r="J9285" s="40" t="str">
        <f>HYPERLINK("https://stock.pstatic.net/stock-research/company/2/20250821_company_344194000.pdf","PDF")</f>
        <v>PDF</v>
      </c>
      <c r="K9285" s="12" t="s">
        <v>16908</v>
      </c>
      <c r="L9285" s="20">
        <v>2.1786492374727671E-3</v>
      </c>
    </row>
    <row r="9286" spans="1:12" x14ac:dyDescent="0.45">
      <c r="A9286" s="12" t="s">
        <v>16900</v>
      </c>
      <c r="B9286" s="12" t="s">
        <v>1694</v>
      </c>
      <c r="C9286" s="13" t="s">
        <v>1695</v>
      </c>
      <c r="D9286" s="13" t="s">
        <v>83</v>
      </c>
      <c r="E9286" s="12" t="s">
        <v>35</v>
      </c>
      <c r="F9286" s="14">
        <v>78000</v>
      </c>
      <c r="G9286" s="14">
        <v>53700</v>
      </c>
      <c r="H9286" s="13" t="s">
        <v>16909</v>
      </c>
      <c r="I9286" s="40" t="s">
        <v>18</v>
      </c>
      <c r="J9286" s="40" t="str">
        <f>HYPERLINK("https://stock.pstatic.net/stock-research/company/2/20250821_company_463434000.pdf","PDF")</f>
        <v>PDF</v>
      </c>
      <c r="K9286" s="12" t="s">
        <v>16910</v>
      </c>
      <c r="L9286" s="20">
        <v>0.45251396648044689</v>
      </c>
    </row>
    <row r="9287" spans="1:12" x14ac:dyDescent="0.45">
      <c r="A9287" s="12" t="s">
        <v>16900</v>
      </c>
      <c r="B9287" s="12" t="s">
        <v>255</v>
      </c>
      <c r="C9287" s="13" t="s">
        <v>256</v>
      </c>
      <c r="D9287" s="13" t="s">
        <v>57</v>
      </c>
      <c r="E9287" s="12" t="s">
        <v>35</v>
      </c>
      <c r="F9287" s="14">
        <v>24000</v>
      </c>
      <c r="G9287" s="14">
        <v>17390</v>
      </c>
      <c r="H9287" s="13" t="s">
        <v>16911</v>
      </c>
      <c r="I9287" s="40" t="s">
        <v>18</v>
      </c>
      <c r="J9287" s="40" t="str">
        <f>HYPERLINK("https://stock.pstatic.net/stock-research/company/16/20250821_company_798467000.pdf","PDF")</f>
        <v>PDF</v>
      </c>
      <c r="K9287" s="12" t="s">
        <v>16912</v>
      </c>
      <c r="L9287" s="20">
        <v>0.38010350776308222</v>
      </c>
    </row>
    <row r="9288" spans="1:12" x14ac:dyDescent="0.45">
      <c r="A9288" s="12" t="s">
        <v>16900</v>
      </c>
      <c r="B9288" s="12" t="s">
        <v>16913</v>
      </c>
      <c r="C9288" s="13" t="s">
        <v>16914</v>
      </c>
      <c r="D9288" s="13" t="s">
        <v>276</v>
      </c>
      <c r="E9288" s="12" t="s">
        <v>16</v>
      </c>
      <c r="F9288" s="14">
        <v>7500</v>
      </c>
      <c r="G9288" s="14">
        <v>5560</v>
      </c>
      <c r="H9288" s="13" t="s">
        <v>16915</v>
      </c>
      <c r="I9288" s="40" t="s">
        <v>18</v>
      </c>
      <c r="J9288" s="40" t="str">
        <f>HYPERLINK("https://stock.pstatic.net/stock-research/company/66/20250821_company_620306000.pdf","PDF")</f>
        <v>PDF</v>
      </c>
      <c r="K9288" s="12" t="s">
        <v>16916</v>
      </c>
      <c r="L9288" s="20">
        <v>0.34892086330935251</v>
      </c>
    </row>
    <row r="9289" spans="1:12" x14ac:dyDescent="0.45">
      <c r="A9289" s="12" t="s">
        <v>16900</v>
      </c>
      <c r="B9289" s="12" t="s">
        <v>6519</v>
      </c>
      <c r="C9289" s="13" t="s">
        <v>6520</v>
      </c>
      <c r="D9289" s="13" t="s">
        <v>60</v>
      </c>
      <c r="E9289" s="12" t="s">
        <v>50</v>
      </c>
      <c r="F9289" s="13"/>
      <c r="G9289" s="14">
        <v>8240</v>
      </c>
      <c r="H9289" s="13" t="s">
        <v>16917</v>
      </c>
      <c r="I9289" s="40" t="s">
        <v>18</v>
      </c>
      <c r="J9289" s="40" t="str">
        <f>HYPERLINK("https://stock.pstatic.net/stock-research/company/34/20250821_company_555696000.pdf","PDF")</f>
        <v>PDF</v>
      </c>
      <c r="K9289" s="12" t="s">
        <v>16918</v>
      </c>
    </row>
    <row r="9290" spans="1:12" x14ac:dyDescent="0.45">
      <c r="A9290" s="12" t="s">
        <v>16900</v>
      </c>
      <c r="B9290" s="12" t="s">
        <v>272</v>
      </c>
      <c r="C9290" s="13" t="s">
        <v>273</v>
      </c>
      <c r="D9290" s="13" t="s">
        <v>60</v>
      </c>
      <c r="E9290" s="12" t="s">
        <v>35</v>
      </c>
      <c r="F9290" s="14">
        <v>800000</v>
      </c>
      <c r="G9290" s="14">
        <v>653000</v>
      </c>
      <c r="H9290" s="13" t="s">
        <v>16919</v>
      </c>
      <c r="I9290" s="40" t="s">
        <v>18</v>
      </c>
      <c r="J9290" s="40" t="str">
        <f>HYPERLINK("https://stock.pstatic.net/stock-research/company/34/20250821_company_859084000.pdf","PDF")</f>
        <v>PDF</v>
      </c>
      <c r="K9290" s="12" t="s">
        <v>16920</v>
      </c>
      <c r="L9290" s="20">
        <v>0.22511485451761101</v>
      </c>
    </row>
    <row r="9291" spans="1:12" x14ac:dyDescent="0.45">
      <c r="A9291" s="12" t="s">
        <v>16900</v>
      </c>
      <c r="B9291" s="12" t="s">
        <v>768</v>
      </c>
      <c r="C9291" s="13" t="s">
        <v>769</v>
      </c>
      <c r="D9291" s="13" t="s">
        <v>158</v>
      </c>
      <c r="E9291" s="12" t="s">
        <v>35</v>
      </c>
      <c r="F9291" s="14">
        <v>288000</v>
      </c>
      <c r="G9291" s="14">
        <v>205500</v>
      </c>
      <c r="H9291" s="13" t="s">
        <v>16921</v>
      </c>
      <c r="I9291" s="40" t="s">
        <v>18</v>
      </c>
      <c r="J9291" s="40" t="str">
        <f>HYPERLINK("https://stock.pstatic.net/stock-research/company/18/20250821_company_892370000.pdf","PDF")</f>
        <v>PDF</v>
      </c>
      <c r="K9291" s="12" t="s">
        <v>16922</v>
      </c>
      <c r="L9291" s="20">
        <v>0.40145985401459849</v>
      </c>
    </row>
    <row r="9292" spans="1:12" x14ac:dyDescent="0.45">
      <c r="A9292" s="12" t="s">
        <v>16900</v>
      </c>
      <c r="B9292" s="12" t="s">
        <v>4291</v>
      </c>
      <c r="C9292" s="13" t="s">
        <v>4292</v>
      </c>
      <c r="D9292" s="13" t="s">
        <v>158</v>
      </c>
      <c r="E9292" s="12" t="s">
        <v>50</v>
      </c>
      <c r="F9292" s="13"/>
      <c r="G9292" s="14">
        <v>7340</v>
      </c>
      <c r="H9292" s="13" t="s">
        <v>16923</v>
      </c>
      <c r="I9292" s="40" t="s">
        <v>18</v>
      </c>
      <c r="J9292" s="40" t="str">
        <f>HYPERLINK("https://stock.pstatic.net/stock-research/company/18/20250821_company_667019000.pdf","PDF")</f>
        <v>PDF</v>
      </c>
      <c r="K9292" s="12" t="s">
        <v>16924</v>
      </c>
    </row>
    <row r="9293" spans="1:12" x14ac:dyDescent="0.45">
      <c r="A9293" s="12" t="s">
        <v>16900</v>
      </c>
      <c r="B9293" s="12" t="s">
        <v>4466</v>
      </c>
      <c r="C9293" s="13" t="s">
        <v>4467</v>
      </c>
      <c r="D9293" s="13" t="s">
        <v>23</v>
      </c>
      <c r="E9293" s="12" t="s">
        <v>50</v>
      </c>
      <c r="F9293" s="13"/>
      <c r="G9293" s="14">
        <v>1580</v>
      </c>
      <c r="H9293" s="13" t="s">
        <v>16925</v>
      </c>
      <c r="I9293" s="40" t="s">
        <v>18</v>
      </c>
      <c r="J9293" s="40" t="str">
        <f>HYPERLINK("https://stock.pstatic.net/stock-research/company/21/20250821_company_962414000.pdf","PDF")</f>
        <v>PDF</v>
      </c>
      <c r="K9293" s="12" t="s">
        <v>16926</v>
      </c>
    </row>
    <row r="9294" spans="1:12" x14ac:dyDescent="0.45">
      <c r="A9294" s="12" t="s">
        <v>16900</v>
      </c>
      <c r="B9294" s="12" t="s">
        <v>698</v>
      </c>
      <c r="C9294" s="13" t="s">
        <v>699</v>
      </c>
      <c r="D9294" s="13" t="s">
        <v>179</v>
      </c>
      <c r="E9294" s="12" t="s">
        <v>16</v>
      </c>
      <c r="F9294" s="14">
        <v>240000</v>
      </c>
      <c r="G9294" s="14">
        <v>181500</v>
      </c>
      <c r="H9294" s="13" t="s">
        <v>16927</v>
      </c>
      <c r="I9294" s="40" t="s">
        <v>18</v>
      </c>
      <c r="J9294" s="40" t="str">
        <f>HYPERLINK("https://stock.pstatic.net/stock-research/company/64/20250821_company_458031000.pdf","PDF")</f>
        <v>PDF</v>
      </c>
      <c r="K9294" s="12" t="s">
        <v>16928</v>
      </c>
      <c r="L9294" s="20">
        <v>0.32231404958677679</v>
      </c>
    </row>
    <row r="9295" spans="1:12" x14ac:dyDescent="0.45">
      <c r="A9295" s="12" t="s">
        <v>16900</v>
      </c>
      <c r="B9295" s="12" t="s">
        <v>3972</v>
      </c>
      <c r="C9295" s="13" t="s">
        <v>3973</v>
      </c>
      <c r="D9295" s="13" t="s">
        <v>92</v>
      </c>
      <c r="E9295" s="12" t="s">
        <v>35</v>
      </c>
      <c r="F9295" s="14">
        <v>60000</v>
      </c>
      <c r="G9295" s="14">
        <v>34400</v>
      </c>
      <c r="H9295" s="13" t="s">
        <v>16929</v>
      </c>
      <c r="I9295" s="40" t="s">
        <v>18</v>
      </c>
      <c r="J9295" s="40" t="str">
        <f>HYPERLINK("https://stock.pstatic.net/stock-research/company/63/20250821_company_127698000.pdf","PDF")</f>
        <v>PDF</v>
      </c>
      <c r="K9295" s="12" t="s">
        <v>16930</v>
      </c>
      <c r="L9295" s="20">
        <v>0.7441860465116279</v>
      </c>
    </row>
    <row r="9296" spans="1:12" x14ac:dyDescent="0.45">
      <c r="A9296" s="12" t="s">
        <v>16900</v>
      </c>
      <c r="B9296" s="12" t="s">
        <v>418</v>
      </c>
      <c r="C9296" s="13" t="s">
        <v>419</v>
      </c>
      <c r="D9296" s="13" t="s">
        <v>34</v>
      </c>
      <c r="E9296" s="12" t="s">
        <v>35</v>
      </c>
      <c r="F9296" s="14">
        <v>18000</v>
      </c>
      <c r="G9296" s="14">
        <v>15200</v>
      </c>
      <c r="H9296" s="13" t="s">
        <v>16931</v>
      </c>
      <c r="I9296" s="40" t="s">
        <v>18</v>
      </c>
      <c r="J9296" s="40" t="str">
        <f>HYPERLINK("https://stock.pstatic.net/stock-research/company/61/20250821_company_339913000.pdf","PDF")</f>
        <v>PDF</v>
      </c>
      <c r="K9296" s="12" t="s">
        <v>16932</v>
      </c>
      <c r="L9296" s="20">
        <v>0.18421052631578949</v>
      </c>
    </row>
    <row r="9297" spans="1:12" x14ac:dyDescent="0.45">
      <c r="A9297" s="12" t="s">
        <v>16900</v>
      </c>
      <c r="B9297" s="12" t="s">
        <v>1670</v>
      </c>
      <c r="C9297" s="13" t="s">
        <v>1671</v>
      </c>
      <c r="D9297" s="13" t="s">
        <v>23</v>
      </c>
      <c r="E9297" s="12" t="s">
        <v>16</v>
      </c>
      <c r="F9297" s="14">
        <v>160000</v>
      </c>
      <c r="G9297" s="14">
        <v>108700</v>
      </c>
      <c r="H9297" s="13" t="s">
        <v>16933</v>
      </c>
      <c r="I9297" s="40" t="s">
        <v>18</v>
      </c>
      <c r="J9297" s="40" t="str">
        <f>HYPERLINK("https://stock.pstatic.net/stock-research/company/21/20250821_company_248747000.pdf","PDF")</f>
        <v>PDF</v>
      </c>
      <c r="K9297" s="12" t="s">
        <v>16934</v>
      </c>
      <c r="L9297" s="20">
        <v>0.47194112235510582</v>
      </c>
    </row>
    <row r="9298" spans="1:12" x14ac:dyDescent="0.45">
      <c r="A9298" s="12" t="s">
        <v>16900</v>
      </c>
      <c r="B9298" s="12" t="s">
        <v>1682</v>
      </c>
      <c r="C9298" s="13" t="s">
        <v>4787</v>
      </c>
      <c r="D9298" s="13" t="s">
        <v>92</v>
      </c>
      <c r="E9298" s="12" t="s">
        <v>35</v>
      </c>
      <c r="F9298" s="14">
        <v>280000</v>
      </c>
      <c r="G9298" s="14">
        <v>199900</v>
      </c>
      <c r="H9298" s="13" t="s">
        <v>16935</v>
      </c>
      <c r="I9298" s="40" t="s">
        <v>18</v>
      </c>
      <c r="J9298" s="40" t="str">
        <f>HYPERLINK("https://stock.pstatic.net/stock-research/company/63/20250821_company_719101000.pdf","PDF")</f>
        <v>PDF</v>
      </c>
      <c r="K9298" s="12" t="s">
        <v>16936</v>
      </c>
      <c r="L9298" s="20">
        <v>0.40070035017508748</v>
      </c>
    </row>
    <row r="9299" spans="1:12" x14ac:dyDescent="0.45">
      <c r="A9299" s="12" t="s">
        <v>16900</v>
      </c>
      <c r="B9299" s="12" t="s">
        <v>685</v>
      </c>
      <c r="C9299" s="13" t="s">
        <v>686</v>
      </c>
      <c r="D9299" s="13" t="s">
        <v>92</v>
      </c>
      <c r="E9299" s="12" t="s">
        <v>50</v>
      </c>
      <c r="F9299" s="13"/>
      <c r="G9299" s="14">
        <v>24450</v>
      </c>
      <c r="H9299" s="13" t="s">
        <v>16937</v>
      </c>
      <c r="I9299" s="40" t="s">
        <v>18</v>
      </c>
      <c r="J9299" s="40" t="str">
        <f>HYPERLINK("https://stock.pstatic.net/stock-research/company/63/20250821_company_633969000.pdf","PDF")</f>
        <v>PDF</v>
      </c>
      <c r="K9299" s="12" t="s">
        <v>16938</v>
      </c>
    </row>
    <row r="9300" spans="1:12" x14ac:dyDescent="0.45">
      <c r="A9300" s="12" t="s">
        <v>16900</v>
      </c>
      <c r="B9300" s="12" t="s">
        <v>1477</v>
      </c>
      <c r="C9300" s="13" t="s">
        <v>1478</v>
      </c>
      <c r="D9300" s="13" t="s">
        <v>23</v>
      </c>
      <c r="E9300" s="12" t="s">
        <v>16</v>
      </c>
      <c r="F9300" s="14">
        <v>80000</v>
      </c>
      <c r="G9300" s="14">
        <v>54800</v>
      </c>
      <c r="H9300" s="13" t="s">
        <v>16939</v>
      </c>
      <c r="I9300" s="40" t="s">
        <v>18</v>
      </c>
      <c r="J9300" s="40" t="str">
        <f>HYPERLINK("https://stock.pstatic.net/stock-research/company/21/20250821_company_206867000.pdf","PDF")</f>
        <v>PDF</v>
      </c>
      <c r="K9300" s="12" t="s">
        <v>16940</v>
      </c>
      <c r="L9300" s="20">
        <v>0.45985401459854008</v>
      </c>
    </row>
    <row r="9301" spans="1:12" x14ac:dyDescent="0.45">
      <c r="A9301" s="12" t="s">
        <v>16900</v>
      </c>
      <c r="B9301" s="12" t="s">
        <v>768</v>
      </c>
      <c r="C9301" s="13" t="s">
        <v>769</v>
      </c>
      <c r="D9301" s="13" t="s">
        <v>23</v>
      </c>
      <c r="E9301" s="12" t="s">
        <v>16</v>
      </c>
      <c r="F9301" s="14">
        <v>300000</v>
      </c>
      <c r="G9301" s="14">
        <v>205500</v>
      </c>
      <c r="H9301" s="13" t="s">
        <v>16941</v>
      </c>
      <c r="I9301" s="40" t="s">
        <v>18</v>
      </c>
      <c r="J9301" s="40" t="str">
        <f>HYPERLINK("https://stock.pstatic.net/stock-research/company/21/20250821_company_296341000.pdf","PDF")</f>
        <v>PDF</v>
      </c>
      <c r="K9301" s="12" t="s">
        <v>16942</v>
      </c>
      <c r="L9301" s="20">
        <v>0.45985401459854008</v>
      </c>
    </row>
    <row r="9302" spans="1:12" x14ac:dyDescent="0.45">
      <c r="A9302" s="12" t="s">
        <v>16900</v>
      </c>
      <c r="B9302" s="12" t="s">
        <v>2170</v>
      </c>
      <c r="C9302" s="13" t="s">
        <v>2171</v>
      </c>
      <c r="D9302" s="13" t="s">
        <v>124</v>
      </c>
      <c r="E9302" s="12" t="s">
        <v>50</v>
      </c>
      <c r="F9302" s="13"/>
      <c r="G9302" s="13"/>
      <c r="H9302" s="13" t="s">
        <v>16943</v>
      </c>
      <c r="I9302" s="40" t="s">
        <v>18</v>
      </c>
      <c r="J9302" s="40" t="str">
        <f>HYPERLINK("https://stock.pstatic.net/stock-research/company/74/20250821_company_853951000.pdf","PDF")</f>
        <v>PDF</v>
      </c>
      <c r="K9302" s="12" t="s">
        <v>16944</v>
      </c>
    </row>
    <row r="9303" spans="1:12" x14ac:dyDescent="0.45">
      <c r="A9303" s="12" t="s">
        <v>16900</v>
      </c>
      <c r="B9303" s="12" t="s">
        <v>4364</v>
      </c>
      <c r="C9303" s="13" t="s">
        <v>4365</v>
      </c>
      <c r="D9303" s="13" t="s">
        <v>124</v>
      </c>
      <c r="E9303" s="12" t="s">
        <v>50</v>
      </c>
      <c r="F9303" s="13"/>
      <c r="G9303" s="13"/>
      <c r="H9303" s="13" t="s">
        <v>16945</v>
      </c>
      <c r="I9303" s="40" t="s">
        <v>18</v>
      </c>
      <c r="J9303" s="40" t="str">
        <f>HYPERLINK("https://stock.pstatic.net/stock-research/company/74/20250821_company_356248000.pdf","PDF")</f>
        <v>PDF</v>
      </c>
      <c r="K9303" s="12" t="s">
        <v>16946</v>
      </c>
    </row>
    <row r="9304" spans="1:12" x14ac:dyDescent="0.45">
      <c r="A9304" s="12" t="s">
        <v>16947</v>
      </c>
      <c r="B9304" s="12" t="s">
        <v>16948</v>
      </c>
      <c r="C9304" s="13" t="s">
        <v>16949</v>
      </c>
      <c r="D9304" s="13" t="s">
        <v>57</v>
      </c>
      <c r="E9304" s="12" t="s">
        <v>50</v>
      </c>
      <c r="F9304" s="13"/>
      <c r="G9304" s="14">
        <v>12270</v>
      </c>
      <c r="H9304" s="13" t="s">
        <v>16950</v>
      </c>
      <c r="I9304" s="40" t="s">
        <v>18</v>
      </c>
      <c r="J9304" s="40" t="str">
        <f>HYPERLINK("https://stock.pstatic.net/stock-research/company/16/20250820_company_676357000.pdf","PDF")</f>
        <v>PDF</v>
      </c>
      <c r="K9304" s="12" t="s">
        <v>16951</v>
      </c>
    </row>
    <row r="9305" spans="1:12" x14ac:dyDescent="0.45">
      <c r="A9305" s="12" t="s">
        <v>16947</v>
      </c>
      <c r="B9305" s="12" t="s">
        <v>1286</v>
      </c>
      <c r="C9305" s="13" t="s">
        <v>1287</v>
      </c>
      <c r="D9305" s="13" t="s">
        <v>57</v>
      </c>
      <c r="E9305" s="12" t="s">
        <v>35</v>
      </c>
      <c r="F9305" s="14">
        <v>43000</v>
      </c>
      <c r="G9305" s="14">
        <v>33350</v>
      </c>
      <c r="H9305" s="13" t="s">
        <v>16952</v>
      </c>
      <c r="I9305" s="40" t="s">
        <v>18</v>
      </c>
      <c r="J9305" s="40" t="str">
        <f>HYPERLINK("https://stock.pstatic.net/stock-research/company/16/20250820_company_368898000.pdf","PDF")</f>
        <v>PDF</v>
      </c>
      <c r="K9305" s="12" t="s">
        <v>16953</v>
      </c>
      <c r="L9305" s="20">
        <v>0.2893553223388306</v>
      </c>
    </row>
    <row r="9306" spans="1:12" x14ac:dyDescent="0.45">
      <c r="A9306" s="12" t="s">
        <v>16947</v>
      </c>
      <c r="B9306" s="12" t="s">
        <v>1120</v>
      </c>
      <c r="C9306" s="13" t="s">
        <v>1121</v>
      </c>
      <c r="D9306" s="13" t="s">
        <v>60</v>
      </c>
      <c r="E9306" s="12" t="s">
        <v>35</v>
      </c>
      <c r="F9306" s="14">
        <v>145000</v>
      </c>
      <c r="G9306" s="14">
        <v>10800</v>
      </c>
      <c r="H9306" s="13" t="s">
        <v>16954</v>
      </c>
      <c r="I9306" s="40" t="s">
        <v>18</v>
      </c>
      <c r="J9306" s="40" t="str">
        <f>HYPERLINK("https://stock.pstatic.net/stock-research/company/34/20250820_company_821639000.pdf","PDF")</f>
        <v>PDF</v>
      </c>
      <c r="K9306" s="12" t="s">
        <v>16955</v>
      </c>
      <c r="L9306" s="20">
        <v>12.425925925925929</v>
      </c>
    </row>
    <row r="9307" spans="1:12" x14ac:dyDescent="0.45">
      <c r="A9307" s="12" t="s">
        <v>16947</v>
      </c>
      <c r="B9307" s="12" t="s">
        <v>1286</v>
      </c>
      <c r="C9307" s="13" t="s">
        <v>1287</v>
      </c>
      <c r="D9307" s="13" t="s">
        <v>65</v>
      </c>
      <c r="E9307" s="12" t="s">
        <v>35</v>
      </c>
      <c r="F9307" s="14">
        <v>41000</v>
      </c>
      <c r="G9307" s="14">
        <v>33350</v>
      </c>
      <c r="H9307" s="13" t="s">
        <v>16956</v>
      </c>
      <c r="I9307" s="40" t="s">
        <v>18</v>
      </c>
      <c r="J9307" s="40" t="str">
        <f>HYPERLINK("https://stock.pstatic.net/stock-research/company/57/20250820_company_236243000.pdf","PDF")</f>
        <v>PDF</v>
      </c>
      <c r="K9307" s="12" t="s">
        <v>16957</v>
      </c>
      <c r="L9307" s="20">
        <v>0.22938530734632681</v>
      </c>
    </row>
    <row r="9308" spans="1:12" x14ac:dyDescent="0.45">
      <c r="A9308" s="12" t="s">
        <v>16947</v>
      </c>
      <c r="B9308" s="12" t="s">
        <v>281</v>
      </c>
      <c r="C9308" s="13" t="s">
        <v>282</v>
      </c>
      <c r="D9308" s="13" t="s">
        <v>65</v>
      </c>
      <c r="E9308" s="12" t="s">
        <v>35</v>
      </c>
      <c r="F9308" s="14">
        <v>25000</v>
      </c>
      <c r="G9308" s="14">
        <v>11490</v>
      </c>
      <c r="H9308" s="13" t="s">
        <v>16958</v>
      </c>
      <c r="I9308" s="40" t="s">
        <v>18</v>
      </c>
      <c r="J9308" s="40" t="str">
        <f>HYPERLINK("https://stock.pstatic.net/stock-research/company/57/20250820_company_428809000.pdf","PDF")</f>
        <v>PDF</v>
      </c>
      <c r="K9308" s="12" t="s">
        <v>16959</v>
      </c>
      <c r="L9308" s="20">
        <v>1.1758050478677109</v>
      </c>
    </row>
    <row r="9309" spans="1:12" x14ac:dyDescent="0.45">
      <c r="A9309" s="12" t="s">
        <v>16947</v>
      </c>
      <c r="B9309" s="12" t="s">
        <v>3704</v>
      </c>
      <c r="C9309" s="13" t="s">
        <v>3705</v>
      </c>
      <c r="D9309" s="13" t="s">
        <v>158</v>
      </c>
      <c r="E9309" s="12" t="s">
        <v>50</v>
      </c>
      <c r="F9309" s="13"/>
      <c r="G9309" s="14">
        <v>18650</v>
      </c>
      <c r="H9309" s="13" t="s">
        <v>16960</v>
      </c>
      <c r="I9309" s="40" t="s">
        <v>18</v>
      </c>
      <c r="J9309" s="40" t="str">
        <f>HYPERLINK("https://stock.pstatic.net/stock-research/company/18/20250820_company_736051000.pdf","PDF")</f>
        <v>PDF</v>
      </c>
      <c r="K9309" s="12" t="s">
        <v>16961</v>
      </c>
    </row>
    <row r="9310" spans="1:12" x14ac:dyDescent="0.45">
      <c r="A9310" s="12" t="s">
        <v>16947</v>
      </c>
      <c r="B9310" s="12" t="s">
        <v>1120</v>
      </c>
      <c r="C9310" s="13" t="s">
        <v>1121</v>
      </c>
      <c r="D9310" s="13" t="s">
        <v>53</v>
      </c>
      <c r="E9310" s="12" t="s">
        <v>16</v>
      </c>
      <c r="F9310" s="14">
        <v>140000</v>
      </c>
      <c r="G9310" s="14">
        <v>108200</v>
      </c>
      <c r="H9310" s="13" t="s">
        <v>16962</v>
      </c>
      <c r="I9310" s="40" t="s">
        <v>18</v>
      </c>
      <c r="J9310" s="40" t="str">
        <f>HYPERLINK("https://stock.pstatic.net/stock-research/company/40/20250820_company_727594000.pdf","PDF")</f>
        <v>PDF</v>
      </c>
      <c r="K9310" s="12" t="s">
        <v>16963</v>
      </c>
      <c r="L9310" s="20">
        <v>0.29390018484288349</v>
      </c>
    </row>
    <row r="9311" spans="1:12" x14ac:dyDescent="0.45">
      <c r="A9311" s="12" t="s">
        <v>16947</v>
      </c>
      <c r="B9311" s="12" t="s">
        <v>4352</v>
      </c>
      <c r="C9311" s="13" t="s">
        <v>4353</v>
      </c>
      <c r="D9311" s="13" t="s">
        <v>23</v>
      </c>
      <c r="E9311" s="12" t="s">
        <v>16</v>
      </c>
      <c r="F9311" s="14">
        <v>19500</v>
      </c>
      <c r="G9311" s="14">
        <v>16600</v>
      </c>
      <c r="H9311" s="13" t="s">
        <v>16964</v>
      </c>
      <c r="I9311" s="40" t="s">
        <v>18</v>
      </c>
      <c r="J9311" s="40" t="str">
        <f>HYPERLINK("https://stock.pstatic.net/stock-research/company/21/20250820_company_336846000.pdf","PDF")</f>
        <v>PDF</v>
      </c>
      <c r="K9311" s="12" t="s">
        <v>16965</v>
      </c>
      <c r="L9311" s="20">
        <v>0.1746987951807229</v>
      </c>
    </row>
    <row r="9312" spans="1:12" x14ac:dyDescent="0.45">
      <c r="A9312" s="12" t="s">
        <v>16947</v>
      </c>
      <c r="B9312" s="12" t="s">
        <v>1120</v>
      </c>
      <c r="C9312" s="13" t="s">
        <v>1121</v>
      </c>
      <c r="D9312" s="13" t="s">
        <v>92</v>
      </c>
      <c r="E9312" s="12" t="s">
        <v>35</v>
      </c>
      <c r="F9312" s="14">
        <v>140000</v>
      </c>
      <c r="G9312" s="14">
        <v>108000</v>
      </c>
      <c r="H9312" s="13" t="s">
        <v>16966</v>
      </c>
      <c r="I9312" s="40" t="s">
        <v>18</v>
      </c>
      <c r="J9312" s="40" t="str">
        <f>HYPERLINK("https://stock.pstatic.net/stock-research/company/63/20250820_company_832701000.pdf","PDF")</f>
        <v>PDF</v>
      </c>
      <c r="K9312" s="12" t="s">
        <v>16967</v>
      </c>
      <c r="L9312" s="20">
        <v>0.29629629629629628</v>
      </c>
    </row>
    <row r="9313" spans="1:12" x14ac:dyDescent="0.45">
      <c r="A9313" s="12" t="s">
        <v>16947</v>
      </c>
      <c r="B9313" s="12" t="s">
        <v>1202</v>
      </c>
      <c r="C9313" s="13" t="s">
        <v>1203</v>
      </c>
      <c r="D9313" s="13" t="s">
        <v>92</v>
      </c>
      <c r="E9313" s="12" t="s">
        <v>50</v>
      </c>
      <c r="F9313" s="13"/>
      <c r="G9313" s="14">
        <v>4060</v>
      </c>
      <c r="H9313" s="13" t="s">
        <v>16968</v>
      </c>
      <c r="I9313" s="40" t="s">
        <v>18</v>
      </c>
      <c r="J9313" s="40" t="str">
        <f>HYPERLINK("https://stock.pstatic.net/stock-research/company/63/20250820_company_338073000.pdf","PDF")</f>
        <v>PDF</v>
      </c>
      <c r="K9313" s="12" t="s">
        <v>16969</v>
      </c>
    </row>
    <row r="9314" spans="1:12" x14ac:dyDescent="0.45">
      <c r="A9314" s="12" t="s">
        <v>16947</v>
      </c>
      <c r="B9314" s="12" t="s">
        <v>981</v>
      </c>
      <c r="C9314" s="13" t="s">
        <v>982</v>
      </c>
      <c r="D9314" s="13" t="s">
        <v>92</v>
      </c>
      <c r="E9314" s="12" t="s">
        <v>50</v>
      </c>
      <c r="F9314" s="13"/>
      <c r="G9314" s="14">
        <v>40850</v>
      </c>
      <c r="H9314" s="13" t="s">
        <v>16970</v>
      </c>
      <c r="I9314" s="40" t="s">
        <v>18</v>
      </c>
      <c r="J9314" s="40" t="str">
        <f>HYPERLINK("https://stock.pstatic.net/stock-research/company/63/20250820_company_742478000.pdf","PDF")</f>
        <v>PDF</v>
      </c>
      <c r="K9314" s="12" t="s">
        <v>16971</v>
      </c>
    </row>
    <row r="9315" spans="1:12" x14ac:dyDescent="0.45">
      <c r="A9315" s="12" t="s">
        <v>16947</v>
      </c>
      <c r="B9315" s="12" t="s">
        <v>6642</v>
      </c>
      <c r="C9315" s="13" t="s">
        <v>6643</v>
      </c>
      <c r="D9315" s="13" t="s">
        <v>92</v>
      </c>
      <c r="E9315" s="12" t="s">
        <v>50</v>
      </c>
      <c r="F9315" s="13"/>
      <c r="G9315" s="14">
        <v>18080</v>
      </c>
      <c r="H9315" s="13" t="s">
        <v>16972</v>
      </c>
      <c r="I9315" s="40" t="s">
        <v>18</v>
      </c>
      <c r="J9315" s="40" t="str">
        <f>HYPERLINK("https://stock.pstatic.net/stock-research/company/63/20250820_company_720162000.pdf","PDF")</f>
        <v>PDF</v>
      </c>
      <c r="K9315" s="12" t="s">
        <v>16973</v>
      </c>
    </row>
    <row r="9316" spans="1:12" x14ac:dyDescent="0.45">
      <c r="A9316" s="12" t="s">
        <v>16947</v>
      </c>
      <c r="B9316" s="12" t="s">
        <v>6347</v>
      </c>
      <c r="C9316" s="13" t="s">
        <v>6348</v>
      </c>
      <c r="D9316" s="13" t="s">
        <v>23</v>
      </c>
      <c r="E9316" s="12" t="s">
        <v>16</v>
      </c>
      <c r="F9316" s="14">
        <v>46000</v>
      </c>
      <c r="G9316" s="14">
        <v>31500</v>
      </c>
      <c r="H9316" s="13" t="s">
        <v>16974</v>
      </c>
      <c r="I9316" s="40" t="s">
        <v>18</v>
      </c>
      <c r="J9316" s="40" t="str">
        <f>HYPERLINK("https://stock.pstatic.net/stock-research/company/21/20250820_company_753905000.pdf","PDF")</f>
        <v>PDF</v>
      </c>
      <c r="K9316" s="12" t="s">
        <v>16975</v>
      </c>
      <c r="L9316" s="20">
        <v>0.46031746031746029</v>
      </c>
    </row>
    <row r="9317" spans="1:12" x14ac:dyDescent="0.45">
      <c r="A9317" s="12" t="s">
        <v>16947</v>
      </c>
      <c r="B9317" s="12" t="s">
        <v>1212</v>
      </c>
      <c r="C9317" s="13" t="s">
        <v>1213</v>
      </c>
      <c r="D9317" s="13" t="s">
        <v>92</v>
      </c>
      <c r="E9317" s="12" t="s">
        <v>35</v>
      </c>
      <c r="F9317" s="14">
        <v>90000</v>
      </c>
      <c r="G9317" s="14">
        <v>59100</v>
      </c>
      <c r="H9317" s="13" t="s">
        <v>16976</v>
      </c>
      <c r="I9317" s="40" t="s">
        <v>18</v>
      </c>
      <c r="J9317" s="40" t="str">
        <f>HYPERLINK("https://stock.pstatic.net/stock-research/company/63/20250820_company_169589000.pdf","PDF")</f>
        <v>PDF</v>
      </c>
      <c r="K9317" s="12" t="s">
        <v>16977</v>
      </c>
      <c r="L9317" s="20">
        <v>0.52284263959390864</v>
      </c>
    </row>
    <row r="9318" spans="1:12" x14ac:dyDescent="0.45">
      <c r="A9318" s="12" t="s">
        <v>16947</v>
      </c>
      <c r="B9318" s="12" t="s">
        <v>1120</v>
      </c>
      <c r="C9318" s="13" t="s">
        <v>1121</v>
      </c>
      <c r="D9318" s="13" t="s">
        <v>23</v>
      </c>
      <c r="E9318" s="12" t="s">
        <v>16</v>
      </c>
      <c r="F9318" s="14">
        <v>140000</v>
      </c>
      <c r="G9318" s="14">
        <v>108000</v>
      </c>
      <c r="H9318" s="13" t="s">
        <v>16978</v>
      </c>
      <c r="I9318" s="40" t="s">
        <v>18</v>
      </c>
      <c r="J9318" s="40" t="str">
        <f>HYPERLINK("https://stock.pstatic.net/stock-research/company/21/20250820_company_391637000.pdf","PDF")</f>
        <v>PDF</v>
      </c>
      <c r="K9318" s="12" t="s">
        <v>16979</v>
      </c>
      <c r="L9318" s="20">
        <v>0.29629629629629628</v>
      </c>
    </row>
    <row r="9319" spans="1:12" x14ac:dyDescent="0.45">
      <c r="A9319" s="12" t="s">
        <v>16947</v>
      </c>
      <c r="B9319" s="12" t="s">
        <v>1678</v>
      </c>
      <c r="C9319" s="13" t="s">
        <v>1679</v>
      </c>
      <c r="D9319" s="13" t="s">
        <v>124</v>
      </c>
      <c r="E9319" s="12" t="s">
        <v>50</v>
      </c>
      <c r="F9319" s="13"/>
      <c r="G9319" s="13"/>
      <c r="H9319" s="13" t="s">
        <v>16980</v>
      </c>
      <c r="I9319" s="40" t="s">
        <v>18</v>
      </c>
      <c r="J9319" s="40" t="str">
        <f>HYPERLINK("https://stock.pstatic.net/stock-research/company/74/20250820_company_866607000.pdf","PDF")</f>
        <v>PDF</v>
      </c>
      <c r="K9319" s="12" t="s">
        <v>16981</v>
      </c>
    </row>
    <row r="9320" spans="1:12" x14ac:dyDescent="0.45">
      <c r="A9320" s="12" t="s">
        <v>16947</v>
      </c>
      <c r="B9320" s="12" t="s">
        <v>309</v>
      </c>
      <c r="C9320" s="13" t="s">
        <v>310</v>
      </c>
      <c r="D9320" s="13" t="s">
        <v>124</v>
      </c>
      <c r="E9320" s="12" t="s">
        <v>50</v>
      </c>
      <c r="F9320" s="13"/>
      <c r="G9320" s="13"/>
      <c r="H9320" s="13" t="s">
        <v>16982</v>
      </c>
      <c r="I9320" s="40" t="s">
        <v>18</v>
      </c>
      <c r="J9320" s="40" t="str">
        <f>HYPERLINK("https://stock.pstatic.net/stock-research/company/74/20250821_company_363950000.pdf","PDF")</f>
        <v>PDF</v>
      </c>
      <c r="K9320" s="12" t="s">
        <v>16983</v>
      </c>
    </row>
    <row r="9321" spans="1:12" x14ac:dyDescent="0.45">
      <c r="A9321" s="12" t="s">
        <v>16947</v>
      </c>
      <c r="B9321" s="12" t="s">
        <v>16349</v>
      </c>
      <c r="C9321" s="13" t="s">
        <v>16350</v>
      </c>
      <c r="D9321" s="13" t="s">
        <v>53</v>
      </c>
      <c r="E9321" s="12" t="s">
        <v>16</v>
      </c>
      <c r="F9321" s="14">
        <v>58000</v>
      </c>
      <c r="G9321" s="14">
        <v>37100</v>
      </c>
      <c r="H9321" s="13" t="s">
        <v>16984</v>
      </c>
      <c r="I9321" s="40" t="s">
        <v>18</v>
      </c>
      <c r="J9321" s="40" t="str">
        <f>HYPERLINK("https://stock.pstatic.net/stock-research/company/40/20250820_company_181504000.pdf","PDF")</f>
        <v>PDF</v>
      </c>
      <c r="K9321" s="12" t="s">
        <v>16985</v>
      </c>
      <c r="L9321" s="20">
        <v>0.56334231805929924</v>
      </c>
    </row>
    <row r="9322" spans="1:12" x14ac:dyDescent="0.45">
      <c r="A9322" s="12" t="s">
        <v>16947</v>
      </c>
      <c r="B9322" s="12" t="s">
        <v>694</v>
      </c>
      <c r="C9322" s="13" t="s">
        <v>695</v>
      </c>
      <c r="D9322" s="13" t="s">
        <v>53</v>
      </c>
      <c r="E9322" s="12" t="s">
        <v>16</v>
      </c>
      <c r="F9322" s="14">
        <v>17000</v>
      </c>
      <c r="G9322" s="14">
        <v>11300</v>
      </c>
      <c r="H9322" s="13" t="s">
        <v>16986</v>
      </c>
      <c r="I9322" s="40" t="s">
        <v>18</v>
      </c>
      <c r="J9322" s="40" t="str">
        <f>HYPERLINK("https://stock.pstatic.net/stock-research/company/40/20250820_company_79047000.pdf","PDF")</f>
        <v>PDF</v>
      </c>
      <c r="K9322" s="12" t="s">
        <v>16987</v>
      </c>
      <c r="L9322" s="20">
        <v>0.50442477876106195</v>
      </c>
    </row>
    <row r="9323" spans="1:12" x14ac:dyDescent="0.45">
      <c r="A9323" s="12" t="s">
        <v>16988</v>
      </c>
      <c r="B9323" s="12" t="s">
        <v>1686</v>
      </c>
      <c r="C9323" s="13" t="s">
        <v>1687</v>
      </c>
      <c r="D9323" s="13" t="s">
        <v>83</v>
      </c>
      <c r="E9323" s="12" t="s">
        <v>35</v>
      </c>
      <c r="F9323" s="14">
        <v>1700000</v>
      </c>
      <c r="G9323" s="14">
        <v>1380000</v>
      </c>
      <c r="H9323" s="13" t="s">
        <v>16989</v>
      </c>
      <c r="I9323" s="40" t="s">
        <v>18</v>
      </c>
      <c r="J9323" s="40" t="str">
        <f>HYPERLINK("https://stock.pstatic.net/stock-research/company/2/20250819_company_746267000.pdf","PDF")</f>
        <v>PDF</v>
      </c>
      <c r="K9323" s="12" t="s">
        <v>16990</v>
      </c>
      <c r="L9323" s="20">
        <v>0.2318840579710145</v>
      </c>
    </row>
    <row r="9324" spans="1:12" x14ac:dyDescent="0.45">
      <c r="A9324" s="12" t="s">
        <v>16988</v>
      </c>
      <c r="B9324" s="12" t="s">
        <v>12184</v>
      </c>
      <c r="C9324" s="13" t="s">
        <v>12185</v>
      </c>
      <c r="D9324" s="13" t="s">
        <v>65</v>
      </c>
      <c r="E9324" s="12" t="s">
        <v>50</v>
      </c>
      <c r="F9324" s="13"/>
      <c r="G9324" s="14">
        <v>9530</v>
      </c>
      <c r="H9324" s="13" t="s">
        <v>16991</v>
      </c>
      <c r="I9324" s="40" t="s">
        <v>18</v>
      </c>
      <c r="J9324" s="40" t="str">
        <f>HYPERLINK("https://stock.pstatic.net/stock-research/company/57/20250819_company_274599000.pdf","PDF")</f>
        <v>PDF</v>
      </c>
      <c r="K9324" s="12" t="s">
        <v>16992</v>
      </c>
    </row>
    <row r="9325" spans="1:12" x14ac:dyDescent="0.45">
      <c r="A9325" s="12" t="s">
        <v>16988</v>
      </c>
      <c r="B9325" s="12" t="s">
        <v>4656</v>
      </c>
      <c r="C9325" s="13" t="s">
        <v>4657</v>
      </c>
      <c r="D9325" s="13" t="s">
        <v>65</v>
      </c>
      <c r="E9325" s="12" t="s">
        <v>35</v>
      </c>
      <c r="F9325" s="14">
        <v>10000</v>
      </c>
      <c r="G9325" s="14">
        <v>6570</v>
      </c>
      <c r="H9325" s="13" t="s">
        <v>16993</v>
      </c>
      <c r="I9325" s="40" t="s">
        <v>18</v>
      </c>
      <c r="J9325" s="40" t="str">
        <f>HYPERLINK("https://stock.pstatic.net/stock-research/company/57/20250819_company_845355000.pdf","PDF")</f>
        <v>PDF</v>
      </c>
      <c r="K9325" s="12" t="s">
        <v>16994</v>
      </c>
      <c r="L9325" s="20">
        <v>0.52207001522070018</v>
      </c>
    </row>
    <row r="9326" spans="1:12" x14ac:dyDescent="0.45">
      <c r="A9326" s="12" t="s">
        <v>16988</v>
      </c>
      <c r="B9326" s="12" t="s">
        <v>1789</v>
      </c>
      <c r="C9326" s="13" t="s">
        <v>1790</v>
      </c>
      <c r="D9326" s="13" t="s">
        <v>65</v>
      </c>
      <c r="E9326" s="12" t="s">
        <v>35</v>
      </c>
      <c r="F9326" s="14">
        <v>45000</v>
      </c>
      <c r="G9326" s="14">
        <v>27850</v>
      </c>
      <c r="H9326" s="13" t="s">
        <v>16995</v>
      </c>
      <c r="I9326" s="40" t="s">
        <v>18</v>
      </c>
      <c r="J9326" s="40" t="str">
        <f>HYPERLINK("https://stock.pstatic.net/stock-research/company/57/20250819_company_749362000.pdf","PDF")</f>
        <v>PDF</v>
      </c>
      <c r="K9326" s="12" t="s">
        <v>16996</v>
      </c>
      <c r="L9326" s="20">
        <v>0.61579892280071813</v>
      </c>
    </row>
    <row r="9327" spans="1:12" x14ac:dyDescent="0.45">
      <c r="A9327" s="12" t="s">
        <v>16988</v>
      </c>
      <c r="B9327" s="12" t="s">
        <v>2372</v>
      </c>
      <c r="C9327" s="13" t="s">
        <v>2373</v>
      </c>
      <c r="D9327" s="13" t="s">
        <v>158</v>
      </c>
      <c r="E9327" s="12" t="s">
        <v>35</v>
      </c>
      <c r="F9327" s="14">
        <v>80000</v>
      </c>
      <c r="G9327" s="14">
        <v>56500</v>
      </c>
      <c r="H9327" s="13" t="s">
        <v>16997</v>
      </c>
      <c r="I9327" s="40" t="s">
        <v>18</v>
      </c>
      <c r="J9327" s="40" t="str">
        <f>HYPERLINK("https://stock.pstatic.net/stock-research/company/18/20250819_company_662749000.pdf","PDF")</f>
        <v>PDF</v>
      </c>
      <c r="K9327" s="12" t="s">
        <v>16998</v>
      </c>
      <c r="L9327" s="20">
        <v>0.41592920353982299</v>
      </c>
    </row>
    <row r="9328" spans="1:12" x14ac:dyDescent="0.45">
      <c r="A9328" s="12" t="s">
        <v>16988</v>
      </c>
      <c r="B9328" s="12" t="s">
        <v>523</v>
      </c>
      <c r="C9328" s="13" t="s">
        <v>524</v>
      </c>
      <c r="D9328" s="13" t="s">
        <v>158</v>
      </c>
      <c r="E9328" s="12" t="s">
        <v>50</v>
      </c>
      <c r="F9328" s="13"/>
      <c r="G9328" s="14">
        <v>21650</v>
      </c>
      <c r="H9328" s="13" t="s">
        <v>16999</v>
      </c>
      <c r="I9328" s="40" t="s">
        <v>18</v>
      </c>
      <c r="J9328" s="40" t="str">
        <f>HYPERLINK("https://stock.pstatic.net/stock-research/company/18/20250819_company_836858000.pdf","PDF")</f>
        <v>PDF</v>
      </c>
      <c r="K9328" s="12" t="s">
        <v>17000</v>
      </c>
    </row>
    <row r="9329" spans="1:12" x14ac:dyDescent="0.45">
      <c r="A9329" s="12" t="s">
        <v>16988</v>
      </c>
      <c r="B9329" s="12" t="s">
        <v>68</v>
      </c>
      <c r="C9329" s="13" t="s">
        <v>69</v>
      </c>
      <c r="D9329" s="13" t="s">
        <v>158</v>
      </c>
      <c r="E9329" s="12" t="s">
        <v>50</v>
      </c>
      <c r="F9329" s="13"/>
      <c r="G9329" s="14">
        <v>139800</v>
      </c>
      <c r="H9329" s="13" t="s">
        <v>17001</v>
      </c>
      <c r="I9329" s="40" t="s">
        <v>18</v>
      </c>
      <c r="J9329" s="40" t="str">
        <f>HYPERLINK("https://stock.pstatic.net/stock-research/company/18/20250819_company_1562000.pdf","PDF")</f>
        <v>PDF</v>
      </c>
      <c r="K9329" s="12" t="s">
        <v>17002</v>
      </c>
    </row>
    <row r="9330" spans="1:12" x14ac:dyDescent="0.45">
      <c r="A9330" s="12" t="s">
        <v>16988</v>
      </c>
      <c r="B9330" s="12" t="s">
        <v>11090</v>
      </c>
      <c r="C9330" s="13" t="s">
        <v>11091</v>
      </c>
      <c r="D9330" s="13" t="s">
        <v>158</v>
      </c>
      <c r="E9330" s="12" t="s">
        <v>50</v>
      </c>
      <c r="F9330" s="13"/>
      <c r="G9330" s="14">
        <v>17460</v>
      </c>
      <c r="H9330" s="13" t="s">
        <v>17003</v>
      </c>
      <c r="I9330" s="40" t="s">
        <v>18</v>
      </c>
      <c r="J9330" s="40" t="str">
        <f>HYPERLINK("https://stock.pstatic.net/stock-research/company/18/20250819_company_435673000.pdf","PDF")</f>
        <v>PDF</v>
      </c>
      <c r="K9330" s="12" t="s">
        <v>17004</v>
      </c>
    </row>
    <row r="9331" spans="1:12" x14ac:dyDescent="0.45">
      <c r="A9331" s="12" t="s">
        <v>16988</v>
      </c>
      <c r="B9331" s="12" t="s">
        <v>1401</v>
      </c>
      <c r="C9331" s="13" t="s">
        <v>1402</v>
      </c>
      <c r="D9331" s="13" t="s">
        <v>158</v>
      </c>
      <c r="E9331" s="12" t="s">
        <v>50</v>
      </c>
      <c r="F9331" s="13"/>
      <c r="G9331" s="14">
        <v>10500</v>
      </c>
      <c r="H9331" s="13" t="s">
        <v>17005</v>
      </c>
      <c r="I9331" s="40" t="s">
        <v>18</v>
      </c>
      <c r="J9331" s="40" t="str">
        <f>HYPERLINK("https://stock.pstatic.net/stock-research/company/18/20250819_company_274840000.pdf","PDF")</f>
        <v>PDF</v>
      </c>
      <c r="K9331" s="12" t="s">
        <v>17006</v>
      </c>
    </row>
    <row r="9332" spans="1:12" x14ac:dyDescent="0.45">
      <c r="A9332" s="12" t="s">
        <v>16988</v>
      </c>
      <c r="B9332" s="12" t="s">
        <v>438</v>
      </c>
      <c r="C9332" s="13" t="s">
        <v>439</v>
      </c>
      <c r="D9332" s="13" t="s">
        <v>179</v>
      </c>
      <c r="E9332" s="12" t="s">
        <v>50</v>
      </c>
      <c r="F9332" s="13"/>
      <c r="G9332" s="13"/>
      <c r="H9332" s="13" t="s">
        <v>17007</v>
      </c>
      <c r="I9332" s="40" t="s">
        <v>18</v>
      </c>
      <c r="J9332" s="40" t="str">
        <f>HYPERLINK("https://stock.pstatic.net/stock-research/company/64/20250819_company_619137000.pdf","PDF")</f>
        <v>PDF</v>
      </c>
      <c r="K9332" s="12" t="s">
        <v>17008</v>
      </c>
    </row>
    <row r="9333" spans="1:12" x14ac:dyDescent="0.45">
      <c r="A9333" s="12" t="s">
        <v>16988</v>
      </c>
      <c r="B9333" s="12" t="s">
        <v>800</v>
      </c>
      <c r="C9333" s="13" t="s">
        <v>801</v>
      </c>
      <c r="D9333" s="13" t="s">
        <v>92</v>
      </c>
      <c r="E9333" s="12" t="s">
        <v>35</v>
      </c>
      <c r="F9333" s="14">
        <v>44000</v>
      </c>
      <c r="G9333" s="14">
        <v>38800</v>
      </c>
      <c r="H9333" s="13" t="s">
        <v>17009</v>
      </c>
      <c r="I9333" s="40" t="s">
        <v>18</v>
      </c>
      <c r="J9333" s="40" t="str">
        <f>HYPERLINK("https://stock.pstatic.net/stock-research/company/63/20250819_company_429745000.pdf","PDF")</f>
        <v>PDF</v>
      </c>
      <c r="K9333" s="12" t="s">
        <v>17010</v>
      </c>
      <c r="L9333" s="20">
        <v>0.134020618556701</v>
      </c>
    </row>
    <row r="9334" spans="1:12" x14ac:dyDescent="0.45">
      <c r="A9334" s="12" t="s">
        <v>16988</v>
      </c>
      <c r="B9334" s="12" t="s">
        <v>17011</v>
      </c>
      <c r="C9334" s="13" t="s">
        <v>17012</v>
      </c>
      <c r="D9334" s="13" t="s">
        <v>23</v>
      </c>
      <c r="E9334" s="12" t="s">
        <v>16</v>
      </c>
      <c r="F9334" s="14">
        <v>27000</v>
      </c>
      <c r="G9334" s="14">
        <v>18230</v>
      </c>
      <c r="H9334" s="13" t="s">
        <v>17013</v>
      </c>
      <c r="I9334" s="40" t="s">
        <v>18</v>
      </c>
      <c r="J9334" s="40" t="str">
        <f>HYPERLINK("https://stock.pstatic.net/stock-research/company/21/20250819_company_185092000.pdf","PDF")</f>
        <v>PDF</v>
      </c>
      <c r="K9334" s="12" t="s">
        <v>17014</v>
      </c>
      <c r="L9334" s="20">
        <v>0.48107515085024682</v>
      </c>
    </row>
    <row r="9335" spans="1:12" x14ac:dyDescent="0.45">
      <c r="A9335" s="12" t="s">
        <v>16988</v>
      </c>
      <c r="B9335" s="12" t="s">
        <v>255</v>
      </c>
      <c r="C9335" s="13" t="s">
        <v>256</v>
      </c>
      <c r="D9335" s="13" t="s">
        <v>23</v>
      </c>
      <c r="E9335" s="12" t="s">
        <v>16</v>
      </c>
      <c r="F9335" s="14">
        <v>27000</v>
      </c>
      <c r="G9335" s="14">
        <v>17950</v>
      </c>
      <c r="H9335" s="13" t="s">
        <v>17015</v>
      </c>
      <c r="I9335" s="40" t="s">
        <v>18</v>
      </c>
      <c r="J9335" s="40" t="str">
        <f>HYPERLINK("https://stock.pstatic.net/stock-research/company/21/20250819_company_586508000.pdf","PDF")</f>
        <v>PDF</v>
      </c>
      <c r="K9335" s="12" t="s">
        <v>17016</v>
      </c>
      <c r="L9335" s="20">
        <v>0.50417827298050144</v>
      </c>
    </row>
    <row r="9336" spans="1:12" x14ac:dyDescent="0.45">
      <c r="A9336" s="12" t="s">
        <v>16988</v>
      </c>
      <c r="B9336" s="12" t="s">
        <v>569</v>
      </c>
      <c r="C9336" s="13" t="s">
        <v>570</v>
      </c>
      <c r="D9336" s="13" t="s">
        <v>92</v>
      </c>
      <c r="E9336" s="12" t="s">
        <v>35</v>
      </c>
      <c r="F9336" s="14">
        <v>26000</v>
      </c>
      <c r="G9336" s="14">
        <v>18180</v>
      </c>
      <c r="H9336" s="13" t="s">
        <v>17017</v>
      </c>
      <c r="I9336" s="40" t="s">
        <v>18</v>
      </c>
      <c r="J9336" s="40" t="str">
        <f>HYPERLINK("https://stock.pstatic.net/stock-research/company/63/20250819_company_976477000.pdf","PDF")</f>
        <v>PDF</v>
      </c>
      <c r="K9336" s="12" t="s">
        <v>17018</v>
      </c>
      <c r="L9336" s="20">
        <v>0.43014301430143009</v>
      </c>
    </row>
    <row r="9337" spans="1:12" x14ac:dyDescent="0.45">
      <c r="A9337" s="12" t="s">
        <v>16988</v>
      </c>
      <c r="B9337" s="12" t="s">
        <v>1124</v>
      </c>
      <c r="C9337" s="13" t="s">
        <v>1125</v>
      </c>
      <c r="D9337" s="13" t="s">
        <v>34</v>
      </c>
      <c r="E9337" s="12" t="s">
        <v>35</v>
      </c>
      <c r="F9337" s="14">
        <v>230000</v>
      </c>
      <c r="G9337" s="14">
        <v>169200</v>
      </c>
      <c r="H9337" s="13" t="s">
        <v>17019</v>
      </c>
      <c r="I9337" s="40" t="s">
        <v>18</v>
      </c>
      <c r="J9337" s="40" t="str">
        <f>HYPERLINK("https://stock.pstatic.net/stock-research/company/61/20250819_company_306279000.pdf","PDF")</f>
        <v>PDF</v>
      </c>
      <c r="K9337" s="12" t="s">
        <v>17020</v>
      </c>
      <c r="L9337" s="20">
        <v>0.35933806146572111</v>
      </c>
    </row>
    <row r="9338" spans="1:12" x14ac:dyDescent="0.45">
      <c r="A9338" s="12" t="s">
        <v>16988</v>
      </c>
      <c r="B9338" s="12" t="s">
        <v>6022</v>
      </c>
      <c r="C9338" s="13" t="s">
        <v>6023</v>
      </c>
      <c r="D9338" s="13" t="s">
        <v>53</v>
      </c>
      <c r="E9338" s="12" t="s">
        <v>16</v>
      </c>
      <c r="F9338" s="14">
        <v>28000</v>
      </c>
      <c r="G9338" s="14">
        <v>16030</v>
      </c>
      <c r="H9338" s="13" t="s">
        <v>17021</v>
      </c>
      <c r="I9338" s="40" t="s">
        <v>18</v>
      </c>
      <c r="J9338" s="40" t="str">
        <f>HYPERLINK("https://stock.pstatic.net/stock-research/company/40/20250819_company_572963000.pdf","PDF")</f>
        <v>PDF</v>
      </c>
      <c r="K9338" s="12" t="s">
        <v>17022</v>
      </c>
      <c r="L9338" s="20">
        <v>0.74672489082969429</v>
      </c>
    </row>
    <row r="9339" spans="1:12" x14ac:dyDescent="0.45">
      <c r="A9339" s="12" t="s">
        <v>16988</v>
      </c>
      <c r="B9339" s="12" t="s">
        <v>694</v>
      </c>
      <c r="C9339" s="13" t="s">
        <v>695</v>
      </c>
      <c r="D9339" s="13" t="s">
        <v>34</v>
      </c>
      <c r="E9339" s="12" t="s">
        <v>35</v>
      </c>
      <c r="F9339" s="14">
        <v>15000</v>
      </c>
      <c r="G9339" s="14">
        <v>11300</v>
      </c>
      <c r="H9339" s="13" t="s">
        <v>17023</v>
      </c>
      <c r="I9339" s="40" t="s">
        <v>18</v>
      </c>
      <c r="J9339" s="40" t="str">
        <f>HYPERLINK("https://stock.pstatic.net/stock-research/company/61/20250819_company_971998000.pdf","PDF")</f>
        <v>PDF</v>
      </c>
      <c r="K9339" s="12" t="s">
        <v>17024</v>
      </c>
      <c r="L9339" s="20">
        <v>0.32743362831858408</v>
      </c>
    </row>
    <row r="9340" spans="1:12" x14ac:dyDescent="0.45">
      <c r="A9340" s="12" t="s">
        <v>16988</v>
      </c>
      <c r="B9340" s="12" t="s">
        <v>752</v>
      </c>
      <c r="C9340" s="13" t="s">
        <v>753</v>
      </c>
      <c r="D9340" s="13" t="s">
        <v>23</v>
      </c>
      <c r="E9340" s="12" t="s">
        <v>16</v>
      </c>
      <c r="F9340" s="14">
        <v>81000</v>
      </c>
      <c r="G9340" s="14">
        <v>61100</v>
      </c>
      <c r="H9340" s="13" t="s">
        <v>17025</v>
      </c>
      <c r="I9340" s="40" t="s">
        <v>18</v>
      </c>
      <c r="J9340" s="40" t="str">
        <f>HYPERLINK("https://stock.pstatic.net/stock-research/company/21/20250819_company_646475000.pdf","PDF")</f>
        <v>PDF</v>
      </c>
      <c r="K9340" s="12" t="s">
        <v>17026</v>
      </c>
      <c r="L9340" s="20">
        <v>0.32569558101473001</v>
      </c>
    </row>
    <row r="9341" spans="1:12" x14ac:dyDescent="0.45">
      <c r="A9341" s="12" t="s">
        <v>16988</v>
      </c>
      <c r="B9341" s="12" t="s">
        <v>1463</v>
      </c>
      <c r="C9341" s="13" t="s">
        <v>1464</v>
      </c>
      <c r="D9341" s="13" t="s">
        <v>23</v>
      </c>
      <c r="E9341" s="12" t="s">
        <v>16</v>
      </c>
      <c r="F9341" s="14">
        <v>57000</v>
      </c>
      <c r="G9341" s="14">
        <v>38750</v>
      </c>
      <c r="H9341" s="13" t="s">
        <v>17027</v>
      </c>
      <c r="I9341" s="40" t="s">
        <v>18</v>
      </c>
      <c r="J9341" s="40" t="str">
        <f>HYPERLINK("https://stock.pstatic.net/stock-research/company/21/20250819_company_518134000.pdf","PDF")</f>
        <v>PDF</v>
      </c>
      <c r="K9341" s="12" t="s">
        <v>17028</v>
      </c>
      <c r="L9341" s="20">
        <v>0.47096774193548391</v>
      </c>
    </row>
    <row r="9342" spans="1:12" x14ac:dyDescent="0.45">
      <c r="A9342" s="12" t="s">
        <v>16988</v>
      </c>
      <c r="B9342" s="12" t="s">
        <v>4446</v>
      </c>
      <c r="C9342" s="13" t="s">
        <v>4447</v>
      </c>
      <c r="D9342" s="13" t="s">
        <v>179</v>
      </c>
      <c r="E9342" s="12" t="s">
        <v>16</v>
      </c>
      <c r="F9342" s="14">
        <v>90000</v>
      </c>
      <c r="G9342" s="14">
        <v>61900</v>
      </c>
      <c r="H9342" s="13" t="s">
        <v>17029</v>
      </c>
      <c r="I9342" s="40" t="s">
        <v>18</v>
      </c>
      <c r="J9342" s="40" t="str">
        <f>HYPERLINK("https://stock.pstatic.net/stock-research/company/64/20250819_company_804885000.pdf","PDF")</f>
        <v>PDF</v>
      </c>
      <c r="K9342" s="12" t="s">
        <v>17030</v>
      </c>
      <c r="L9342" s="20">
        <v>0.45395799676898219</v>
      </c>
    </row>
    <row r="9343" spans="1:12" x14ac:dyDescent="0.45">
      <c r="A9343" s="12" t="s">
        <v>16988</v>
      </c>
      <c r="B9343" s="12" t="s">
        <v>10956</v>
      </c>
      <c r="C9343" s="13" t="s">
        <v>10957</v>
      </c>
      <c r="D9343" s="13" t="s">
        <v>92</v>
      </c>
      <c r="E9343" s="12" t="s">
        <v>50</v>
      </c>
      <c r="F9343" s="13"/>
      <c r="G9343" s="14">
        <v>8960</v>
      </c>
      <c r="H9343" s="13" t="s">
        <v>17031</v>
      </c>
      <c r="I9343" s="40" t="s">
        <v>18</v>
      </c>
      <c r="J9343" s="40" t="str">
        <f>HYPERLINK("https://stock.pstatic.net/stock-research/company/63/20250819_company_793099000.pdf","PDF")</f>
        <v>PDF</v>
      </c>
      <c r="K9343" s="12" t="s">
        <v>17032</v>
      </c>
    </row>
    <row r="9344" spans="1:12" x14ac:dyDescent="0.45">
      <c r="A9344" s="12" t="s">
        <v>16988</v>
      </c>
      <c r="B9344" s="12" t="s">
        <v>1401</v>
      </c>
      <c r="C9344" s="13" t="s">
        <v>1402</v>
      </c>
      <c r="D9344" s="13" t="s">
        <v>92</v>
      </c>
      <c r="E9344" s="12" t="s">
        <v>50</v>
      </c>
      <c r="F9344" s="13"/>
      <c r="G9344" s="14">
        <v>10500</v>
      </c>
      <c r="H9344" s="13" t="s">
        <v>17033</v>
      </c>
      <c r="I9344" s="40" t="s">
        <v>18</v>
      </c>
      <c r="J9344" s="40" t="str">
        <f>HYPERLINK("https://stock.pstatic.net/stock-research/company/63/20250819_company_825552000.pdf","PDF")</f>
        <v>PDF</v>
      </c>
      <c r="K9344" s="12" t="s">
        <v>17034</v>
      </c>
    </row>
    <row r="9345" spans="1:12" x14ac:dyDescent="0.45">
      <c r="A9345" s="12" t="s">
        <v>16988</v>
      </c>
      <c r="B9345" s="12" t="s">
        <v>1936</v>
      </c>
      <c r="C9345" s="13" t="s">
        <v>1937</v>
      </c>
      <c r="D9345" s="13" t="s">
        <v>44</v>
      </c>
      <c r="E9345" s="12" t="s">
        <v>35</v>
      </c>
      <c r="F9345" s="14">
        <v>7500</v>
      </c>
      <c r="G9345" s="14">
        <v>5670</v>
      </c>
      <c r="H9345" s="13" t="s">
        <v>17035</v>
      </c>
      <c r="I9345" s="40" t="s">
        <v>18</v>
      </c>
      <c r="J9345" s="40" t="str">
        <f>HYPERLINK("https://stock.pstatic.net/stock-research/company/39/20250819_company_995593000.pdf","PDF")</f>
        <v>PDF</v>
      </c>
      <c r="K9345" s="12" t="s">
        <v>17036</v>
      </c>
      <c r="L9345" s="20">
        <v>0.32275132275132268</v>
      </c>
    </row>
    <row r="9346" spans="1:12" x14ac:dyDescent="0.45">
      <c r="A9346" s="12" t="s">
        <v>16988</v>
      </c>
      <c r="B9346" s="12" t="s">
        <v>3391</v>
      </c>
      <c r="C9346" s="13" t="s">
        <v>3392</v>
      </c>
      <c r="D9346" s="13" t="s">
        <v>179</v>
      </c>
      <c r="E9346" s="12" t="s">
        <v>16</v>
      </c>
      <c r="F9346" s="14">
        <v>10300</v>
      </c>
      <c r="G9346" s="14">
        <v>6730</v>
      </c>
      <c r="H9346" s="13" t="s">
        <v>17037</v>
      </c>
      <c r="I9346" s="40" t="s">
        <v>18</v>
      </c>
      <c r="J9346" s="40" t="str">
        <f>HYPERLINK("https://stock.pstatic.net/stock-research/company/64/20250819_company_918258000.pdf","PDF")</f>
        <v>PDF</v>
      </c>
      <c r="K9346" s="12" t="s">
        <v>17038</v>
      </c>
      <c r="L9346" s="20">
        <v>0.53046062407132244</v>
      </c>
    </row>
    <row r="9347" spans="1:12" x14ac:dyDescent="0.45">
      <c r="A9347" s="12" t="s">
        <v>16988</v>
      </c>
      <c r="B9347" s="12" t="s">
        <v>6320</v>
      </c>
      <c r="C9347" s="13" t="s">
        <v>6321</v>
      </c>
      <c r="D9347" s="13" t="s">
        <v>44</v>
      </c>
      <c r="E9347" s="12" t="s">
        <v>50</v>
      </c>
      <c r="F9347" s="13"/>
      <c r="G9347" s="14">
        <v>1999</v>
      </c>
      <c r="H9347" s="13" t="s">
        <v>17039</v>
      </c>
      <c r="I9347" s="40" t="s">
        <v>18</v>
      </c>
      <c r="J9347" s="40" t="str">
        <f>HYPERLINK("https://stock.pstatic.net/stock-research/company/39/20250819_company_561037000.pdf","PDF")</f>
        <v>PDF</v>
      </c>
      <c r="K9347" s="12" t="s">
        <v>17040</v>
      </c>
    </row>
    <row r="9348" spans="1:12" x14ac:dyDescent="0.45">
      <c r="A9348" s="12" t="s">
        <v>16988</v>
      </c>
      <c r="B9348" s="12" t="s">
        <v>724</v>
      </c>
      <c r="C9348" s="13" t="s">
        <v>725</v>
      </c>
      <c r="D9348" s="13" t="s">
        <v>15</v>
      </c>
      <c r="E9348" s="12" t="s">
        <v>16</v>
      </c>
      <c r="F9348" s="14">
        <v>85000</v>
      </c>
      <c r="G9348" s="14">
        <v>63800</v>
      </c>
      <c r="H9348" s="13" t="s">
        <v>17041</v>
      </c>
      <c r="I9348" s="40" t="s">
        <v>18</v>
      </c>
      <c r="J9348" s="40" t="str">
        <f>HYPERLINK("https://stock.pstatic.net/stock-research/company/29/20250819_company_390077000.pdf","PDF")</f>
        <v>PDF</v>
      </c>
      <c r="K9348" s="12" t="s">
        <v>17042</v>
      </c>
      <c r="L9348" s="20">
        <v>0.33228840125391851</v>
      </c>
    </row>
    <row r="9349" spans="1:12" x14ac:dyDescent="0.45">
      <c r="A9349" s="12" t="s">
        <v>17043</v>
      </c>
      <c r="B9349" s="12" t="s">
        <v>677</v>
      </c>
      <c r="C9349" s="13" t="s">
        <v>678</v>
      </c>
      <c r="D9349" s="13" t="s">
        <v>57</v>
      </c>
      <c r="E9349" s="12" t="s">
        <v>159</v>
      </c>
      <c r="F9349" s="14">
        <v>11000</v>
      </c>
      <c r="G9349" s="14">
        <v>10190</v>
      </c>
      <c r="H9349" s="13" t="s">
        <v>17044</v>
      </c>
      <c r="I9349" s="40" t="s">
        <v>18</v>
      </c>
      <c r="J9349" s="40" t="str">
        <f>HYPERLINK("https://stock.pstatic.net/stock-research/company/16/20250818_company_874640000.pdf","PDF")</f>
        <v>PDF</v>
      </c>
      <c r="K9349" s="12" t="s">
        <v>17045</v>
      </c>
      <c r="L9349" s="20">
        <v>7.9489695780176645E-2</v>
      </c>
    </row>
    <row r="9350" spans="1:12" x14ac:dyDescent="0.45">
      <c r="A9350" s="12" t="s">
        <v>17043</v>
      </c>
      <c r="B9350" s="12" t="s">
        <v>812</v>
      </c>
      <c r="C9350" s="13" t="s">
        <v>813</v>
      </c>
      <c r="D9350" s="13" t="s">
        <v>57</v>
      </c>
      <c r="E9350" s="12" t="s">
        <v>35</v>
      </c>
      <c r="F9350" s="14">
        <v>73000</v>
      </c>
      <c r="G9350" s="14">
        <v>58000</v>
      </c>
      <c r="H9350" s="13" t="s">
        <v>17046</v>
      </c>
      <c r="I9350" s="40" t="s">
        <v>18</v>
      </c>
      <c r="J9350" s="40" t="str">
        <f>HYPERLINK("https://stock.pstatic.net/stock-research/company/16/20250818_company_753451000.pdf","PDF")</f>
        <v>PDF</v>
      </c>
      <c r="K9350" s="12" t="s">
        <v>17047</v>
      </c>
      <c r="L9350" s="20">
        <v>0.25862068965517238</v>
      </c>
    </row>
    <row r="9351" spans="1:12" x14ac:dyDescent="0.45">
      <c r="A9351" s="12" t="s">
        <v>17043</v>
      </c>
      <c r="B9351" s="12" t="s">
        <v>824</v>
      </c>
      <c r="C9351" s="13" t="s">
        <v>825</v>
      </c>
      <c r="D9351" s="13" t="s">
        <v>57</v>
      </c>
      <c r="E9351" s="12" t="s">
        <v>35</v>
      </c>
      <c r="F9351" s="14">
        <v>68000</v>
      </c>
      <c r="G9351" s="14">
        <v>36600</v>
      </c>
      <c r="H9351" s="13" t="s">
        <v>17048</v>
      </c>
      <c r="I9351" s="40" t="s">
        <v>18</v>
      </c>
      <c r="J9351" s="40" t="str">
        <f>HYPERLINK("https://stock.pstatic.net/stock-research/company/16/20250818_company_346200000.pdf","PDF")</f>
        <v>PDF</v>
      </c>
      <c r="K9351" s="12" t="s">
        <v>17049</v>
      </c>
      <c r="L9351" s="20">
        <v>0.85792349726775952</v>
      </c>
    </row>
    <row r="9352" spans="1:12" x14ac:dyDescent="0.45">
      <c r="A9352" s="12" t="s">
        <v>17043</v>
      </c>
      <c r="B9352" s="12" t="s">
        <v>1274</v>
      </c>
      <c r="C9352" s="13" t="s">
        <v>1275</v>
      </c>
      <c r="D9352" s="13" t="s">
        <v>57</v>
      </c>
      <c r="E9352" s="12" t="s">
        <v>35</v>
      </c>
      <c r="F9352" s="14">
        <v>152000</v>
      </c>
      <c r="G9352" s="14">
        <v>128900</v>
      </c>
      <c r="H9352" s="13" t="s">
        <v>17050</v>
      </c>
      <c r="I9352" s="40" t="s">
        <v>18</v>
      </c>
      <c r="J9352" s="40" t="str">
        <f>HYPERLINK("https://stock.pstatic.net/stock-research/company/16/20250818_company_508650000.pdf","PDF")</f>
        <v>PDF</v>
      </c>
      <c r="K9352" s="12" t="s">
        <v>17051</v>
      </c>
      <c r="L9352" s="20">
        <v>0.17920868890612879</v>
      </c>
    </row>
    <row r="9353" spans="1:12" x14ac:dyDescent="0.45">
      <c r="A9353" s="12" t="s">
        <v>17043</v>
      </c>
      <c r="B9353" s="12" t="s">
        <v>1407</v>
      </c>
      <c r="C9353" s="13" t="s">
        <v>1408</v>
      </c>
      <c r="D9353" s="13" t="s">
        <v>57</v>
      </c>
      <c r="E9353" s="12" t="s">
        <v>35</v>
      </c>
      <c r="F9353" s="14">
        <v>68000</v>
      </c>
      <c r="G9353" s="14">
        <v>50400</v>
      </c>
      <c r="H9353" s="13" t="s">
        <v>17052</v>
      </c>
      <c r="I9353" s="40" t="s">
        <v>18</v>
      </c>
      <c r="J9353" s="40" t="str">
        <f>HYPERLINK("https://stock.pstatic.net/stock-research/company/16/20250818_company_879978000.pdf","PDF")</f>
        <v>PDF</v>
      </c>
      <c r="K9353" s="12" t="s">
        <v>17053</v>
      </c>
      <c r="L9353" s="20">
        <v>0.34920634920634919</v>
      </c>
    </row>
    <row r="9354" spans="1:12" x14ac:dyDescent="0.45">
      <c r="A9354" s="12" t="s">
        <v>17043</v>
      </c>
      <c r="B9354" s="12" t="s">
        <v>1300</v>
      </c>
      <c r="C9354" s="13" t="s">
        <v>1301</v>
      </c>
      <c r="D9354" s="13" t="s">
        <v>57</v>
      </c>
      <c r="E9354" s="12" t="s">
        <v>35</v>
      </c>
      <c r="F9354" s="14">
        <v>169000</v>
      </c>
      <c r="G9354" s="14">
        <v>143600</v>
      </c>
      <c r="H9354" s="13" t="s">
        <v>17054</v>
      </c>
      <c r="I9354" s="40" t="s">
        <v>18</v>
      </c>
      <c r="J9354" s="40" t="str">
        <f>HYPERLINK("https://stock.pstatic.net/stock-research/company/16/20250818_company_463622000.pdf","PDF")</f>
        <v>PDF</v>
      </c>
      <c r="K9354" s="12" t="s">
        <v>17055</v>
      </c>
      <c r="L9354" s="20">
        <v>0.17688022284122559</v>
      </c>
    </row>
    <row r="9355" spans="1:12" x14ac:dyDescent="0.45">
      <c r="A9355" s="12" t="s">
        <v>17043</v>
      </c>
      <c r="B9355" s="12" t="s">
        <v>156</v>
      </c>
      <c r="C9355" s="13" t="s">
        <v>157</v>
      </c>
      <c r="D9355" s="13" t="s">
        <v>57</v>
      </c>
      <c r="E9355" s="12" t="s">
        <v>159</v>
      </c>
      <c r="F9355" s="14">
        <v>3400</v>
      </c>
      <c r="G9355" s="14">
        <v>3160</v>
      </c>
      <c r="H9355" s="13" t="s">
        <v>17056</v>
      </c>
      <c r="I9355" s="40" t="s">
        <v>18</v>
      </c>
      <c r="J9355" s="40" t="str">
        <f>HYPERLINK("https://stock.pstatic.net/stock-research/company/16/20250818_company_268831000.pdf","PDF")</f>
        <v>PDF</v>
      </c>
      <c r="K9355" s="12" t="s">
        <v>17057</v>
      </c>
      <c r="L9355" s="20">
        <v>7.5949367088607597E-2</v>
      </c>
    </row>
    <row r="9356" spans="1:12" x14ac:dyDescent="0.45">
      <c r="A9356" s="12" t="s">
        <v>17043</v>
      </c>
      <c r="B9356" s="12" t="s">
        <v>1686</v>
      </c>
      <c r="C9356" s="13" t="s">
        <v>1687</v>
      </c>
      <c r="D9356" s="13" t="s">
        <v>57</v>
      </c>
      <c r="E9356" s="12" t="s">
        <v>35</v>
      </c>
      <c r="F9356" s="14">
        <v>1900000</v>
      </c>
      <c r="G9356" s="14">
        <v>1380000</v>
      </c>
      <c r="H9356" s="13" t="s">
        <v>17058</v>
      </c>
      <c r="I9356" s="40" t="s">
        <v>18</v>
      </c>
      <c r="J9356" s="40" t="str">
        <f>HYPERLINK("https://stock.pstatic.net/stock-research/company/16/20250818_company_523816000.pdf","PDF")</f>
        <v>PDF</v>
      </c>
      <c r="K9356" s="12" t="s">
        <v>17059</v>
      </c>
      <c r="L9356" s="20">
        <v>0.37681159420289861</v>
      </c>
    </row>
    <row r="9357" spans="1:12" x14ac:dyDescent="0.45">
      <c r="A9357" s="12" t="s">
        <v>17043</v>
      </c>
      <c r="B9357" s="12" t="s">
        <v>1246</v>
      </c>
      <c r="C9357" s="13" t="s">
        <v>1247</v>
      </c>
      <c r="D9357" s="13" t="s">
        <v>276</v>
      </c>
      <c r="E9357" s="12" t="s">
        <v>16</v>
      </c>
      <c r="F9357" s="14">
        <v>23000</v>
      </c>
      <c r="G9357" s="14">
        <v>19440</v>
      </c>
      <c r="H9357" s="13" t="s">
        <v>17060</v>
      </c>
      <c r="I9357" s="40" t="s">
        <v>18</v>
      </c>
      <c r="J9357" s="40" t="str">
        <f>HYPERLINK("https://stock.pstatic.net/stock-research/company/66/20250818_company_568992000.pdf","PDF")</f>
        <v>PDF</v>
      </c>
      <c r="K9357" s="12" t="s">
        <v>17061</v>
      </c>
      <c r="L9357" s="20">
        <v>0.1831275720164609</v>
      </c>
    </row>
    <row r="9358" spans="1:12" x14ac:dyDescent="0.45">
      <c r="A9358" s="12" t="s">
        <v>17043</v>
      </c>
      <c r="B9358" s="12" t="s">
        <v>1686</v>
      </c>
      <c r="C9358" s="13" t="s">
        <v>1687</v>
      </c>
      <c r="D9358" s="13" t="s">
        <v>276</v>
      </c>
      <c r="E9358" s="12" t="s">
        <v>16</v>
      </c>
      <c r="F9358" s="14">
        <v>1600000</v>
      </c>
      <c r="G9358" s="14">
        <v>1380000</v>
      </c>
      <c r="H9358" s="13" t="s">
        <v>17062</v>
      </c>
      <c r="I9358" s="40" t="s">
        <v>18</v>
      </c>
      <c r="J9358" s="40" t="str">
        <f>HYPERLINK("https://stock.pstatic.net/stock-research/company/66/20250818_company_668481000.pdf","PDF")</f>
        <v>PDF</v>
      </c>
      <c r="K9358" s="12" t="s">
        <v>17063</v>
      </c>
      <c r="L9358" s="20">
        <v>0.15942028985507251</v>
      </c>
    </row>
    <row r="9359" spans="1:12" x14ac:dyDescent="0.45">
      <c r="A9359" s="12" t="s">
        <v>17043</v>
      </c>
      <c r="B9359" s="12" t="s">
        <v>6213</v>
      </c>
      <c r="C9359" s="13" t="s">
        <v>6214</v>
      </c>
      <c r="D9359" s="13" t="s">
        <v>276</v>
      </c>
      <c r="E9359" s="12" t="s">
        <v>16</v>
      </c>
      <c r="F9359" s="14">
        <v>17500</v>
      </c>
      <c r="G9359" s="14">
        <v>12600</v>
      </c>
      <c r="H9359" s="13" t="s">
        <v>17064</v>
      </c>
      <c r="I9359" s="40" t="s">
        <v>18</v>
      </c>
      <c r="J9359" s="40" t="str">
        <f>HYPERLINK("https://stock.pstatic.net/stock-research/company/66/20250818_company_741600000.pdf","PDF")</f>
        <v>PDF</v>
      </c>
      <c r="K9359" s="12" t="s">
        <v>17065</v>
      </c>
      <c r="L9359" s="20">
        <v>0.3888888888888889</v>
      </c>
    </row>
    <row r="9360" spans="1:12" x14ac:dyDescent="0.45">
      <c r="A9360" s="12" t="s">
        <v>17043</v>
      </c>
      <c r="B9360" s="12" t="s">
        <v>1162</v>
      </c>
      <c r="C9360" s="13" t="s">
        <v>1163</v>
      </c>
      <c r="D9360" s="13" t="s">
        <v>276</v>
      </c>
      <c r="E9360" s="12" t="s">
        <v>16</v>
      </c>
      <c r="F9360" s="14">
        <v>260000</v>
      </c>
      <c r="G9360" s="14">
        <v>144500</v>
      </c>
      <c r="H9360" s="13" t="s">
        <v>17066</v>
      </c>
      <c r="I9360" s="40" t="s">
        <v>18</v>
      </c>
      <c r="J9360" s="40" t="str">
        <f>HYPERLINK("https://stock.pstatic.net/stock-research/company/66/20250818_company_382263000.pdf","PDF")</f>
        <v>PDF</v>
      </c>
      <c r="K9360" s="12" t="s">
        <v>17067</v>
      </c>
      <c r="L9360" s="20">
        <v>0.79930795847750868</v>
      </c>
    </row>
    <row r="9361" spans="1:12" x14ac:dyDescent="0.45">
      <c r="A9361" s="12" t="s">
        <v>17043</v>
      </c>
      <c r="B9361" s="12" t="s">
        <v>6632</v>
      </c>
      <c r="C9361" s="13" t="s">
        <v>6633</v>
      </c>
      <c r="D9361" s="13" t="s">
        <v>276</v>
      </c>
      <c r="E9361" s="12" t="s">
        <v>16</v>
      </c>
      <c r="F9361" s="14">
        <v>20000</v>
      </c>
      <c r="G9361" s="14">
        <v>14420</v>
      </c>
      <c r="H9361" s="13" t="s">
        <v>17068</v>
      </c>
      <c r="I9361" s="40" t="s">
        <v>18</v>
      </c>
      <c r="J9361" s="40" t="str">
        <f>HYPERLINK("https://stock.pstatic.net/stock-research/company/66/20250818_company_695939000.pdf","PDF")</f>
        <v>PDF</v>
      </c>
      <c r="K9361" s="12" t="s">
        <v>17069</v>
      </c>
      <c r="L9361" s="20">
        <v>0.3869625520110957</v>
      </c>
    </row>
    <row r="9362" spans="1:12" x14ac:dyDescent="0.45">
      <c r="A9362" s="12" t="s">
        <v>17043</v>
      </c>
      <c r="B9362" s="12" t="s">
        <v>156</v>
      </c>
      <c r="C9362" s="13" t="s">
        <v>157</v>
      </c>
      <c r="D9362" s="13" t="s">
        <v>276</v>
      </c>
      <c r="E9362" s="12" t="s">
        <v>385</v>
      </c>
      <c r="F9362" s="14">
        <v>3600</v>
      </c>
      <c r="G9362" s="14">
        <v>3160</v>
      </c>
      <c r="H9362" s="13" t="s">
        <v>17070</v>
      </c>
      <c r="I9362" s="40" t="s">
        <v>18</v>
      </c>
      <c r="J9362" s="40" t="str">
        <f>HYPERLINK("https://stock.pstatic.net/stock-research/company/66/20250818_company_925550000.pdf","PDF")</f>
        <v>PDF</v>
      </c>
      <c r="K9362" s="12" t="s">
        <v>17071</v>
      </c>
      <c r="L9362" s="20">
        <v>0.13924050632911389</v>
      </c>
    </row>
    <row r="9363" spans="1:12" x14ac:dyDescent="0.45">
      <c r="A9363" s="12" t="s">
        <v>17043</v>
      </c>
      <c r="B9363" s="12" t="s">
        <v>1437</v>
      </c>
      <c r="C9363" s="13" t="s">
        <v>1438</v>
      </c>
      <c r="D9363" s="13" t="s">
        <v>276</v>
      </c>
      <c r="E9363" s="12" t="s">
        <v>16</v>
      </c>
      <c r="F9363" s="14">
        <v>60000</v>
      </c>
      <c r="G9363" s="14">
        <v>47400</v>
      </c>
      <c r="H9363" s="13" t="s">
        <v>17072</v>
      </c>
      <c r="I9363" s="40" t="s">
        <v>18</v>
      </c>
      <c r="J9363" s="40" t="str">
        <f>HYPERLINK("https://stock.pstatic.net/stock-research/company/66/20250818_company_479817000.pdf","PDF")</f>
        <v>PDF</v>
      </c>
      <c r="K9363" s="12" t="s">
        <v>17073</v>
      </c>
      <c r="L9363" s="20">
        <v>0.26582278481012661</v>
      </c>
    </row>
    <row r="9364" spans="1:12" x14ac:dyDescent="0.45">
      <c r="A9364" s="12" t="s">
        <v>17043</v>
      </c>
      <c r="B9364" s="12" t="s">
        <v>860</v>
      </c>
      <c r="C9364" s="13" t="s">
        <v>861</v>
      </c>
      <c r="D9364" s="13" t="s">
        <v>276</v>
      </c>
      <c r="E9364" s="12" t="s">
        <v>16</v>
      </c>
      <c r="F9364" s="14">
        <v>50000</v>
      </c>
      <c r="G9364" s="14">
        <v>32650</v>
      </c>
      <c r="H9364" s="13" t="s">
        <v>17074</v>
      </c>
      <c r="I9364" s="40" t="s">
        <v>18</v>
      </c>
      <c r="J9364" s="40" t="str">
        <f>HYPERLINK("https://stock.pstatic.net/stock-research/company/66/20250818_company_698497000.pdf","PDF")</f>
        <v>PDF</v>
      </c>
      <c r="K9364" s="12" t="s">
        <v>17075</v>
      </c>
      <c r="L9364" s="20">
        <v>0.53139356814701377</v>
      </c>
    </row>
    <row r="9365" spans="1:12" x14ac:dyDescent="0.45">
      <c r="A9365" s="12" t="s">
        <v>17043</v>
      </c>
      <c r="B9365" s="12" t="s">
        <v>3194</v>
      </c>
      <c r="C9365" s="13" t="s">
        <v>3195</v>
      </c>
      <c r="D9365" s="13" t="s">
        <v>60</v>
      </c>
      <c r="E9365" s="12" t="s">
        <v>35</v>
      </c>
      <c r="F9365" s="14">
        <v>14500</v>
      </c>
      <c r="G9365" s="14">
        <v>10610</v>
      </c>
      <c r="H9365" s="13" t="s">
        <v>17076</v>
      </c>
      <c r="I9365" s="40" t="s">
        <v>18</v>
      </c>
      <c r="J9365" s="40" t="str">
        <f>HYPERLINK("https://stock.pstatic.net/stock-research/company/34/20250818_company_468355000.pdf","PDF")</f>
        <v>PDF</v>
      </c>
      <c r="K9365" s="12" t="s">
        <v>17077</v>
      </c>
      <c r="L9365" s="20">
        <v>0.36663524976437317</v>
      </c>
    </row>
    <row r="9366" spans="1:12" x14ac:dyDescent="0.45">
      <c r="A9366" s="12" t="s">
        <v>17043</v>
      </c>
      <c r="B9366" s="12" t="s">
        <v>1252</v>
      </c>
      <c r="C9366" s="13" t="s">
        <v>1253</v>
      </c>
      <c r="D9366" s="13" t="s">
        <v>60</v>
      </c>
      <c r="E9366" s="12" t="s">
        <v>35</v>
      </c>
      <c r="F9366" s="14">
        <v>7000</v>
      </c>
      <c r="G9366" s="14">
        <v>5760</v>
      </c>
      <c r="H9366" s="13" t="s">
        <v>17078</v>
      </c>
      <c r="I9366" s="40" t="s">
        <v>18</v>
      </c>
      <c r="J9366" s="40" t="str">
        <f>HYPERLINK("https://stock.pstatic.net/stock-research/company/34/20250818_company_934677000.pdf","PDF")</f>
        <v>PDF</v>
      </c>
      <c r="K9366" s="12" t="s">
        <v>17079</v>
      </c>
      <c r="L9366" s="20">
        <v>0.21527777777777779</v>
      </c>
    </row>
    <row r="9367" spans="1:12" x14ac:dyDescent="0.45">
      <c r="A9367" s="12" t="s">
        <v>17043</v>
      </c>
      <c r="B9367" s="12" t="s">
        <v>1274</v>
      </c>
      <c r="C9367" s="13" t="s">
        <v>1275</v>
      </c>
      <c r="D9367" s="13" t="s">
        <v>60</v>
      </c>
      <c r="E9367" s="12" t="s">
        <v>35</v>
      </c>
      <c r="F9367" s="14">
        <v>160000</v>
      </c>
      <c r="G9367" s="14">
        <v>128900</v>
      </c>
      <c r="H9367" s="13" t="s">
        <v>17080</v>
      </c>
      <c r="I9367" s="40" t="s">
        <v>18</v>
      </c>
      <c r="J9367" s="40" t="str">
        <f>HYPERLINK("https://stock.pstatic.net/stock-research/company/34/20250818_company_164797000.pdf","PDF")</f>
        <v>PDF</v>
      </c>
      <c r="K9367" s="12" t="s">
        <v>17081</v>
      </c>
      <c r="L9367" s="20">
        <v>0.24127230411171449</v>
      </c>
    </row>
    <row r="9368" spans="1:12" x14ac:dyDescent="0.45">
      <c r="A9368" s="12" t="s">
        <v>17043</v>
      </c>
      <c r="B9368" s="12" t="s">
        <v>156</v>
      </c>
      <c r="C9368" s="13" t="s">
        <v>157</v>
      </c>
      <c r="D9368" s="13" t="s">
        <v>60</v>
      </c>
      <c r="E9368" s="12" t="s">
        <v>50</v>
      </c>
      <c r="F9368" s="14">
        <v>3700</v>
      </c>
      <c r="G9368" s="14">
        <v>3160</v>
      </c>
      <c r="H9368" s="13" t="s">
        <v>17082</v>
      </c>
      <c r="I9368" s="40" t="s">
        <v>18</v>
      </c>
      <c r="J9368" s="40" t="str">
        <f>HYPERLINK("https://stock.pstatic.net/stock-research/company/34/20250818_company_470567000.pdf","PDF")</f>
        <v>PDF</v>
      </c>
      <c r="K9368" s="12" t="s">
        <v>17083</v>
      </c>
      <c r="L9368" s="20">
        <v>0.17088607594936711</v>
      </c>
    </row>
    <row r="9369" spans="1:12" x14ac:dyDescent="0.45">
      <c r="A9369" s="12" t="s">
        <v>17043</v>
      </c>
      <c r="B9369" s="12" t="s">
        <v>1286</v>
      </c>
      <c r="C9369" s="13" t="s">
        <v>1287</v>
      </c>
      <c r="D9369" s="13" t="s">
        <v>60</v>
      </c>
      <c r="E9369" s="12" t="s">
        <v>35</v>
      </c>
      <c r="F9369" s="14">
        <v>45000</v>
      </c>
      <c r="G9369" s="14">
        <v>32950</v>
      </c>
      <c r="H9369" s="13" t="s">
        <v>17084</v>
      </c>
      <c r="I9369" s="40" t="s">
        <v>18</v>
      </c>
      <c r="J9369" s="40" t="str">
        <f>HYPERLINK("https://stock.pstatic.net/stock-research/company/34/20250818_company_71257000.pdf","PDF")</f>
        <v>PDF</v>
      </c>
      <c r="K9369" s="12" t="s">
        <v>17085</v>
      </c>
      <c r="L9369" s="20">
        <v>0.36570561456752648</v>
      </c>
    </row>
    <row r="9370" spans="1:12" x14ac:dyDescent="0.45">
      <c r="A9370" s="12" t="s">
        <v>17043</v>
      </c>
      <c r="B9370" s="12" t="s">
        <v>1308</v>
      </c>
      <c r="C9370" s="13" t="s">
        <v>1309</v>
      </c>
      <c r="D9370" s="13" t="s">
        <v>60</v>
      </c>
      <c r="E9370" s="12" t="s">
        <v>35</v>
      </c>
      <c r="F9370" s="14">
        <v>460000</v>
      </c>
      <c r="G9370" s="14">
        <v>381000</v>
      </c>
      <c r="H9370" s="13" t="s">
        <v>17086</v>
      </c>
      <c r="I9370" s="40" t="s">
        <v>18</v>
      </c>
      <c r="J9370" s="40" t="str">
        <f>HYPERLINK("https://stock.pstatic.net/stock-research/company/34/20250818_company_564393000.pdf","PDF")</f>
        <v>PDF</v>
      </c>
      <c r="K9370" s="12" t="s">
        <v>17087</v>
      </c>
      <c r="L9370" s="20">
        <v>0.20734908136482941</v>
      </c>
    </row>
    <row r="9371" spans="1:12" x14ac:dyDescent="0.45">
      <c r="A9371" s="12" t="s">
        <v>17043</v>
      </c>
      <c r="B9371" s="12" t="s">
        <v>1686</v>
      </c>
      <c r="C9371" s="13" t="s">
        <v>1687</v>
      </c>
      <c r="D9371" s="13" t="s">
        <v>60</v>
      </c>
      <c r="E9371" s="12" t="s">
        <v>35</v>
      </c>
      <c r="F9371" s="14">
        <v>1770000</v>
      </c>
      <c r="G9371" s="14">
        <v>1380000</v>
      </c>
      <c r="H9371" s="13" t="s">
        <v>17088</v>
      </c>
      <c r="I9371" s="40" t="s">
        <v>18</v>
      </c>
      <c r="J9371" s="40" t="str">
        <f>HYPERLINK("https://stock.pstatic.net/stock-research/company/34/20250818_company_869536000.pdf","PDF")</f>
        <v>PDF</v>
      </c>
      <c r="K9371" s="12" t="s">
        <v>17089</v>
      </c>
      <c r="L9371" s="20">
        <v>0.28260869565217389</v>
      </c>
    </row>
    <row r="9372" spans="1:12" x14ac:dyDescent="0.45">
      <c r="A9372" s="12" t="s">
        <v>17043</v>
      </c>
      <c r="B9372" s="12" t="s">
        <v>677</v>
      </c>
      <c r="C9372" s="13" t="s">
        <v>678</v>
      </c>
      <c r="D9372" s="13" t="s">
        <v>65</v>
      </c>
      <c r="E9372" s="12" t="s">
        <v>35</v>
      </c>
      <c r="F9372" s="14">
        <v>12000</v>
      </c>
      <c r="G9372" s="14">
        <v>10190</v>
      </c>
      <c r="H9372" s="13" t="s">
        <v>17090</v>
      </c>
      <c r="I9372" s="40" t="s">
        <v>18</v>
      </c>
      <c r="J9372" s="40" t="str">
        <f>HYPERLINK("https://stock.pstatic.net/stock-research/company/57/20250818_company_824765000.pdf","PDF")</f>
        <v>PDF</v>
      </c>
      <c r="K9372" s="12" t="s">
        <v>17091</v>
      </c>
      <c r="L9372" s="20">
        <v>0.1776251226692836</v>
      </c>
    </row>
    <row r="9373" spans="1:12" x14ac:dyDescent="0.45">
      <c r="A9373" s="12" t="s">
        <v>17043</v>
      </c>
      <c r="B9373" s="12" t="s">
        <v>698</v>
      </c>
      <c r="C9373" s="13" t="s">
        <v>699</v>
      </c>
      <c r="D9373" s="13" t="s">
        <v>65</v>
      </c>
      <c r="E9373" s="12" t="s">
        <v>35</v>
      </c>
      <c r="F9373" s="14">
        <v>225000</v>
      </c>
      <c r="G9373" s="14">
        <v>186300</v>
      </c>
      <c r="H9373" s="13" t="s">
        <v>17092</v>
      </c>
      <c r="I9373" s="40" t="s">
        <v>18</v>
      </c>
      <c r="J9373" s="40" t="str">
        <f>HYPERLINK("https://stock.pstatic.net/stock-research/company/57/20250818_company_18295000.pdf","PDF")</f>
        <v>PDF</v>
      </c>
      <c r="K9373" s="12" t="s">
        <v>17093</v>
      </c>
      <c r="L9373" s="20">
        <v>0.2077294685990338</v>
      </c>
    </row>
    <row r="9374" spans="1:12" x14ac:dyDescent="0.45">
      <c r="A9374" s="12" t="s">
        <v>17043</v>
      </c>
      <c r="B9374" s="12" t="s">
        <v>1162</v>
      </c>
      <c r="C9374" s="13" t="s">
        <v>1163</v>
      </c>
      <c r="D9374" s="13" t="s">
        <v>65</v>
      </c>
      <c r="E9374" s="12" t="s">
        <v>35</v>
      </c>
      <c r="F9374" s="14">
        <v>190000</v>
      </c>
      <c r="G9374" s="14">
        <v>144500</v>
      </c>
      <c r="H9374" s="13" t="s">
        <v>17094</v>
      </c>
      <c r="I9374" s="40" t="s">
        <v>18</v>
      </c>
      <c r="J9374" s="40" t="str">
        <f>HYPERLINK("https://stock.pstatic.net/stock-research/company/57/20250818_company_255167000.pdf","PDF")</f>
        <v>PDF</v>
      </c>
      <c r="K9374" s="12" t="s">
        <v>17095</v>
      </c>
      <c r="L9374" s="20">
        <v>0.31487889273356401</v>
      </c>
    </row>
    <row r="9375" spans="1:12" x14ac:dyDescent="0.45">
      <c r="A9375" s="12" t="s">
        <v>17043</v>
      </c>
      <c r="B9375" s="12" t="s">
        <v>1300</v>
      </c>
      <c r="C9375" s="13" t="s">
        <v>1301</v>
      </c>
      <c r="D9375" s="13" t="s">
        <v>65</v>
      </c>
      <c r="E9375" s="12" t="s">
        <v>35</v>
      </c>
      <c r="F9375" s="14">
        <v>260000</v>
      </c>
      <c r="G9375" s="14">
        <v>143600</v>
      </c>
      <c r="H9375" s="13" t="s">
        <v>17096</v>
      </c>
      <c r="I9375" s="40" t="s">
        <v>18</v>
      </c>
      <c r="J9375" s="40" t="str">
        <f>HYPERLINK("https://stock.pstatic.net/stock-research/company/57/20250818_company_932212000.pdf","PDF")</f>
        <v>PDF</v>
      </c>
      <c r="K9375" s="12" t="s">
        <v>17097</v>
      </c>
      <c r="L9375" s="20">
        <v>0.81058495821727017</v>
      </c>
    </row>
    <row r="9376" spans="1:12" x14ac:dyDescent="0.45">
      <c r="A9376" s="12" t="s">
        <v>17043</v>
      </c>
      <c r="B9376" s="12" t="s">
        <v>76</v>
      </c>
      <c r="C9376" s="13" t="s">
        <v>77</v>
      </c>
      <c r="D9376" s="13" t="s">
        <v>65</v>
      </c>
      <c r="E9376" s="12" t="s">
        <v>1738</v>
      </c>
      <c r="F9376" s="14">
        <v>24000</v>
      </c>
      <c r="G9376" s="14">
        <v>22100</v>
      </c>
      <c r="H9376" s="13" t="s">
        <v>17098</v>
      </c>
      <c r="I9376" s="40" t="s">
        <v>18</v>
      </c>
      <c r="J9376" s="40" t="str">
        <f>HYPERLINK("https://stock.pstatic.net/stock-research/company/57/20250818_company_644625000.pdf","PDF")</f>
        <v>PDF</v>
      </c>
      <c r="K9376" s="12" t="s">
        <v>17099</v>
      </c>
      <c r="L9376" s="20">
        <v>8.5972850678733032E-2</v>
      </c>
    </row>
    <row r="9377" spans="1:12" x14ac:dyDescent="0.45">
      <c r="A9377" s="12" t="s">
        <v>17043</v>
      </c>
      <c r="B9377" s="12" t="s">
        <v>1128</v>
      </c>
      <c r="C9377" s="13" t="s">
        <v>1129</v>
      </c>
      <c r="D9377" s="13" t="s">
        <v>65</v>
      </c>
      <c r="E9377" s="12" t="s">
        <v>35</v>
      </c>
      <c r="F9377" s="14">
        <v>75000</v>
      </c>
      <c r="G9377" s="14">
        <v>61500</v>
      </c>
      <c r="H9377" s="13" t="s">
        <v>17100</v>
      </c>
      <c r="I9377" s="40" t="s">
        <v>18</v>
      </c>
      <c r="J9377" s="40" t="str">
        <f>HYPERLINK("https://stock.pstatic.net/stock-research/company/57/20250818_company_614621000.pdf","PDF")</f>
        <v>PDF</v>
      </c>
      <c r="K9377" s="12" t="s">
        <v>17101</v>
      </c>
      <c r="L9377" s="20">
        <v>0.21951219512195119</v>
      </c>
    </row>
    <row r="9378" spans="1:12" x14ac:dyDescent="0.45">
      <c r="A9378" s="12" t="s">
        <v>17043</v>
      </c>
      <c r="B9378" s="12" t="s">
        <v>1051</v>
      </c>
      <c r="C9378" s="13" t="s">
        <v>1052</v>
      </c>
      <c r="D9378" s="13" t="s">
        <v>65</v>
      </c>
      <c r="E9378" s="12" t="s">
        <v>35</v>
      </c>
      <c r="F9378" s="14">
        <v>48000</v>
      </c>
      <c r="G9378" s="14">
        <v>39750</v>
      </c>
      <c r="H9378" s="13" t="s">
        <v>17102</v>
      </c>
      <c r="I9378" s="40" t="s">
        <v>18</v>
      </c>
      <c r="J9378" s="40" t="str">
        <f>HYPERLINK("https://stock.pstatic.net/stock-research/company/57/20250818_company_759062000.pdf","PDF")</f>
        <v>PDF</v>
      </c>
      <c r="K9378" s="12" t="s">
        <v>17103</v>
      </c>
      <c r="L9378" s="20">
        <v>0.20754716981132079</v>
      </c>
    </row>
    <row r="9379" spans="1:12" x14ac:dyDescent="0.45">
      <c r="A9379" s="12" t="s">
        <v>17043</v>
      </c>
      <c r="B9379" s="12" t="s">
        <v>156</v>
      </c>
      <c r="C9379" s="13" t="s">
        <v>157</v>
      </c>
      <c r="D9379" s="13" t="s">
        <v>65</v>
      </c>
      <c r="E9379" s="12" t="s">
        <v>1738</v>
      </c>
      <c r="F9379" s="14">
        <v>3600</v>
      </c>
      <c r="G9379" s="14">
        <v>3160</v>
      </c>
      <c r="H9379" s="13" t="s">
        <v>17104</v>
      </c>
      <c r="I9379" s="40" t="s">
        <v>18</v>
      </c>
      <c r="J9379" s="40" t="str">
        <f>HYPERLINK("https://stock.pstatic.net/stock-research/company/57/20250818_company_547553000.pdf","PDF")</f>
        <v>PDF</v>
      </c>
      <c r="K9379" s="12" t="s">
        <v>17105</v>
      </c>
      <c r="L9379" s="20">
        <v>0.13924050632911389</v>
      </c>
    </row>
    <row r="9380" spans="1:12" x14ac:dyDescent="0.45">
      <c r="A9380" s="12" t="s">
        <v>17043</v>
      </c>
      <c r="B9380" s="12" t="s">
        <v>1946</v>
      </c>
      <c r="C9380" s="13" t="s">
        <v>1947</v>
      </c>
      <c r="D9380" s="13" t="s">
        <v>65</v>
      </c>
      <c r="E9380" s="12" t="s">
        <v>35</v>
      </c>
      <c r="F9380" s="14">
        <v>25000</v>
      </c>
      <c r="G9380" s="14">
        <v>20000</v>
      </c>
      <c r="H9380" s="13" t="s">
        <v>17106</v>
      </c>
      <c r="I9380" s="40" t="s">
        <v>18</v>
      </c>
      <c r="J9380" s="40" t="str">
        <f>HYPERLINK("https://stock.pstatic.net/stock-research/company/57/20250818_company_257310000.pdf","PDF")</f>
        <v>PDF</v>
      </c>
      <c r="K9380" s="12" t="s">
        <v>17107</v>
      </c>
      <c r="L9380" s="20">
        <v>0.25</v>
      </c>
    </row>
    <row r="9381" spans="1:12" x14ac:dyDescent="0.45">
      <c r="A9381" s="12" t="s">
        <v>17043</v>
      </c>
      <c r="B9381" s="12" t="s">
        <v>661</v>
      </c>
      <c r="C9381" s="13" t="s">
        <v>662</v>
      </c>
      <c r="D9381" s="13" t="s">
        <v>65</v>
      </c>
      <c r="E9381" s="12" t="s">
        <v>35</v>
      </c>
      <c r="F9381" s="14">
        <v>34000</v>
      </c>
      <c r="G9381" s="14">
        <v>21750</v>
      </c>
      <c r="H9381" s="13" t="s">
        <v>17108</v>
      </c>
      <c r="I9381" s="40" t="s">
        <v>18</v>
      </c>
      <c r="J9381" s="40" t="str">
        <f>HYPERLINK("https://stock.pstatic.net/stock-research/company/57/20250818_company_586263000.pdf","PDF")</f>
        <v>PDF</v>
      </c>
      <c r="K9381" s="12" t="s">
        <v>17109</v>
      </c>
      <c r="L9381" s="20">
        <v>0.56321839080459768</v>
      </c>
    </row>
    <row r="9382" spans="1:12" x14ac:dyDescent="0.45">
      <c r="A9382" s="12" t="s">
        <v>17043</v>
      </c>
      <c r="B9382" s="12" t="s">
        <v>95</v>
      </c>
      <c r="C9382" s="13" t="s">
        <v>31</v>
      </c>
      <c r="D9382" s="13" t="s">
        <v>65</v>
      </c>
      <c r="E9382" s="12" t="s">
        <v>35</v>
      </c>
      <c r="F9382" s="14">
        <v>39000</v>
      </c>
      <c r="G9382" s="14">
        <v>28150</v>
      </c>
      <c r="H9382" s="13" t="s">
        <v>17110</v>
      </c>
      <c r="I9382" s="40" t="s">
        <v>18</v>
      </c>
      <c r="J9382" s="40" t="str">
        <f>HYPERLINK("https://stock.pstatic.net/stock-research/company/57/20250818_company_929464000.pdf","PDF")</f>
        <v>PDF</v>
      </c>
      <c r="K9382" s="12" t="s">
        <v>17111</v>
      </c>
      <c r="L9382" s="20">
        <v>0.38543516873889883</v>
      </c>
    </row>
    <row r="9383" spans="1:12" x14ac:dyDescent="0.45">
      <c r="A9383" s="12" t="s">
        <v>17043</v>
      </c>
      <c r="B9383" s="12" t="s">
        <v>255</v>
      </c>
      <c r="C9383" s="13" t="s">
        <v>256</v>
      </c>
      <c r="D9383" s="13" t="s">
        <v>158</v>
      </c>
      <c r="E9383" s="12" t="s">
        <v>35</v>
      </c>
      <c r="F9383" s="14">
        <v>32000</v>
      </c>
      <c r="G9383" s="14">
        <v>18380</v>
      </c>
      <c r="H9383" s="13" t="s">
        <v>17112</v>
      </c>
      <c r="I9383" s="40" t="s">
        <v>18</v>
      </c>
      <c r="J9383" s="40" t="str">
        <f>HYPERLINK("https://stock.pstatic.net/stock-research/company/18/20250818_company_108462000.pdf","PDF")</f>
        <v>PDF</v>
      </c>
      <c r="K9383" s="12" t="s">
        <v>17113</v>
      </c>
      <c r="L9383" s="20">
        <v>0.74102285092491837</v>
      </c>
    </row>
    <row r="9384" spans="1:12" x14ac:dyDescent="0.45">
      <c r="A9384" s="12" t="s">
        <v>17043</v>
      </c>
      <c r="B9384" s="12" t="s">
        <v>1686</v>
      </c>
      <c r="C9384" s="13" t="s">
        <v>1687</v>
      </c>
      <c r="D9384" s="13" t="s">
        <v>158</v>
      </c>
      <c r="E9384" s="12" t="s">
        <v>35</v>
      </c>
      <c r="F9384" s="14">
        <v>1780000</v>
      </c>
      <c r="G9384" s="14">
        <v>1380000</v>
      </c>
      <c r="H9384" s="13" t="s">
        <v>17114</v>
      </c>
      <c r="I9384" s="40" t="s">
        <v>18</v>
      </c>
      <c r="J9384" s="40" t="str">
        <f>HYPERLINK("https://stock.pstatic.net/stock-research/company/18/20250818_company_419784000.pdf","PDF")</f>
        <v>PDF</v>
      </c>
      <c r="K9384" s="12" t="s">
        <v>17115</v>
      </c>
      <c r="L9384" s="20">
        <v>0.28985507246376813</v>
      </c>
    </row>
    <row r="9385" spans="1:12" x14ac:dyDescent="0.45">
      <c r="A9385" s="12" t="s">
        <v>17043</v>
      </c>
      <c r="B9385" s="12" t="s">
        <v>1308</v>
      </c>
      <c r="C9385" s="13" t="s">
        <v>1309</v>
      </c>
      <c r="D9385" s="13" t="s">
        <v>158</v>
      </c>
      <c r="E9385" s="12" t="s">
        <v>35</v>
      </c>
      <c r="F9385" s="14">
        <v>450000</v>
      </c>
      <c r="G9385" s="14">
        <v>381000</v>
      </c>
      <c r="H9385" s="13" t="s">
        <v>17116</v>
      </c>
      <c r="I9385" s="40" t="s">
        <v>18</v>
      </c>
      <c r="J9385" s="40" t="str">
        <f>HYPERLINK("https://stock.pstatic.net/stock-research/company/18/20250818_company_18725000.pdf","PDF")</f>
        <v>PDF</v>
      </c>
      <c r="K9385" s="12" t="s">
        <v>17117</v>
      </c>
      <c r="L9385" s="20">
        <v>0.18110236220472439</v>
      </c>
    </row>
    <row r="9386" spans="1:12" x14ac:dyDescent="0.45">
      <c r="A9386" s="12" t="s">
        <v>17043</v>
      </c>
      <c r="B9386" s="12" t="s">
        <v>5787</v>
      </c>
      <c r="C9386" s="13" t="s">
        <v>5788</v>
      </c>
      <c r="D9386" s="13" t="s">
        <v>158</v>
      </c>
      <c r="E9386" s="12" t="s">
        <v>35</v>
      </c>
      <c r="F9386" s="14">
        <v>21000</v>
      </c>
      <c r="G9386" s="14">
        <v>15440</v>
      </c>
      <c r="H9386" s="13" t="s">
        <v>17118</v>
      </c>
      <c r="I9386" s="40" t="s">
        <v>18</v>
      </c>
      <c r="J9386" s="40" t="str">
        <f>HYPERLINK("https://stock.pstatic.net/stock-research/company/18/20250818_company_886867000.pdf","PDF")</f>
        <v>PDF</v>
      </c>
      <c r="K9386" s="12" t="s">
        <v>17119</v>
      </c>
      <c r="L9386" s="20">
        <v>0.36010362694300518</v>
      </c>
    </row>
    <row r="9387" spans="1:12" x14ac:dyDescent="0.45">
      <c r="A9387" s="12" t="s">
        <v>17043</v>
      </c>
      <c r="B9387" s="12" t="s">
        <v>17120</v>
      </c>
      <c r="C9387" s="13" t="s">
        <v>17121</v>
      </c>
      <c r="D9387" s="13" t="s">
        <v>92</v>
      </c>
      <c r="E9387" s="12" t="s">
        <v>50</v>
      </c>
      <c r="F9387" s="13"/>
      <c r="G9387" s="14">
        <v>4665</v>
      </c>
      <c r="H9387" s="13" t="s">
        <v>17122</v>
      </c>
      <c r="I9387" s="40" t="s">
        <v>18</v>
      </c>
      <c r="J9387" s="40" t="str">
        <f>HYPERLINK("https://stock.pstatic.net/stock-research/company/63/20250818_company_631974000.pdf","PDF")</f>
        <v>PDF</v>
      </c>
      <c r="K9387" s="12" t="s">
        <v>17123</v>
      </c>
    </row>
    <row r="9388" spans="1:12" x14ac:dyDescent="0.45">
      <c r="A9388" s="12" t="s">
        <v>17043</v>
      </c>
      <c r="B9388" s="12" t="s">
        <v>1308</v>
      </c>
      <c r="C9388" s="13" t="s">
        <v>1309</v>
      </c>
      <c r="D9388" s="13" t="s">
        <v>92</v>
      </c>
      <c r="E9388" s="12" t="s">
        <v>35</v>
      </c>
      <c r="F9388" s="14">
        <v>450000</v>
      </c>
      <c r="G9388" s="14">
        <v>381000</v>
      </c>
      <c r="H9388" s="13" t="s">
        <v>17124</v>
      </c>
      <c r="I9388" s="40" t="s">
        <v>18</v>
      </c>
      <c r="J9388" s="40" t="str">
        <f>HYPERLINK("https://stock.pstatic.net/stock-research/company/63/20250818_company_880193000.pdf","PDF")</f>
        <v>PDF</v>
      </c>
      <c r="K9388" s="12" t="s">
        <v>17125</v>
      </c>
      <c r="L9388" s="20">
        <v>0.18110236220472439</v>
      </c>
    </row>
    <row r="9389" spans="1:12" x14ac:dyDescent="0.45">
      <c r="A9389" s="12" t="s">
        <v>17043</v>
      </c>
      <c r="B9389" s="12" t="s">
        <v>5705</v>
      </c>
      <c r="C9389" s="13" t="s">
        <v>5706</v>
      </c>
      <c r="D9389" s="13" t="s">
        <v>53</v>
      </c>
      <c r="E9389" s="12" t="s">
        <v>16</v>
      </c>
      <c r="F9389" s="14">
        <v>95000</v>
      </c>
      <c r="G9389" s="14">
        <v>75400</v>
      </c>
      <c r="H9389" s="13" t="s">
        <v>17126</v>
      </c>
      <c r="I9389" s="40" t="s">
        <v>18</v>
      </c>
      <c r="J9389" s="40" t="str">
        <f>HYPERLINK("https://stock.pstatic.net/stock-research/company/40/20250818_company_577665000.pdf","PDF")</f>
        <v>PDF</v>
      </c>
      <c r="K9389" s="12" t="s">
        <v>17127</v>
      </c>
      <c r="L9389" s="20">
        <v>0.259946949602122</v>
      </c>
    </row>
    <row r="9390" spans="1:12" x14ac:dyDescent="0.45">
      <c r="A9390" s="12" t="s">
        <v>17043</v>
      </c>
      <c r="B9390" s="12" t="s">
        <v>156</v>
      </c>
      <c r="C9390" s="13" t="s">
        <v>157</v>
      </c>
      <c r="D9390" s="13" t="s">
        <v>15</v>
      </c>
      <c r="E9390" s="12" t="s">
        <v>385</v>
      </c>
      <c r="F9390" s="14">
        <v>3400</v>
      </c>
      <c r="G9390" s="14">
        <v>3160</v>
      </c>
      <c r="H9390" s="13" t="s">
        <v>17128</v>
      </c>
      <c r="I9390" s="40" t="s">
        <v>18</v>
      </c>
      <c r="J9390" s="40" t="str">
        <f>HYPERLINK("https://stock.pstatic.net/stock-research/company/29/20250818_company_698200000.pdf","PDF")</f>
        <v>PDF</v>
      </c>
      <c r="K9390" s="12" t="s">
        <v>17129</v>
      </c>
      <c r="L9390" s="20">
        <v>7.5949367088607597E-2</v>
      </c>
    </row>
    <row r="9391" spans="1:12" x14ac:dyDescent="0.45">
      <c r="A9391" s="12" t="s">
        <v>17043</v>
      </c>
      <c r="B9391" s="12" t="s">
        <v>5503</v>
      </c>
      <c r="C9391" s="13" t="s">
        <v>5504</v>
      </c>
      <c r="D9391" s="13" t="s">
        <v>92</v>
      </c>
      <c r="E9391" s="12" t="s">
        <v>35</v>
      </c>
      <c r="F9391" s="14">
        <v>10000</v>
      </c>
      <c r="G9391" s="14">
        <v>5500</v>
      </c>
      <c r="H9391" s="13" t="s">
        <v>17130</v>
      </c>
      <c r="I9391" s="40" t="s">
        <v>18</v>
      </c>
      <c r="J9391" s="40" t="str">
        <f>HYPERLINK("https://stock.pstatic.net/stock-research/company/63/20250818_company_182416000.pdf","PDF")</f>
        <v>PDF</v>
      </c>
      <c r="K9391" s="12" t="s">
        <v>17131</v>
      </c>
      <c r="L9391" s="20">
        <v>0.81818181818181823</v>
      </c>
    </row>
    <row r="9392" spans="1:12" x14ac:dyDescent="0.45">
      <c r="A9392" s="12" t="s">
        <v>17043</v>
      </c>
      <c r="B9392" s="12" t="s">
        <v>1686</v>
      </c>
      <c r="C9392" s="13" t="s">
        <v>1687</v>
      </c>
      <c r="D9392" s="13" t="s">
        <v>53</v>
      </c>
      <c r="E9392" s="12" t="s">
        <v>16</v>
      </c>
      <c r="F9392" s="14">
        <v>1600000</v>
      </c>
      <c r="G9392" s="14">
        <v>1380000</v>
      </c>
      <c r="H9392" s="13" t="s">
        <v>17132</v>
      </c>
      <c r="I9392" s="40" t="s">
        <v>18</v>
      </c>
      <c r="J9392" s="40" t="str">
        <f>HYPERLINK("https://stock.pstatic.net/stock-research/company/40/20250818_company_789605000.pdf","PDF")</f>
        <v>PDF</v>
      </c>
      <c r="K9392" s="12" t="s">
        <v>17133</v>
      </c>
      <c r="L9392" s="20">
        <v>0.15942028985507251</v>
      </c>
    </row>
    <row r="9393" spans="1:12" x14ac:dyDescent="0.45">
      <c r="A9393" s="12" t="s">
        <v>17043</v>
      </c>
      <c r="B9393" s="12" t="s">
        <v>1128</v>
      </c>
      <c r="C9393" s="13" t="s">
        <v>1129</v>
      </c>
      <c r="D9393" s="13" t="s">
        <v>179</v>
      </c>
      <c r="E9393" s="12" t="s">
        <v>16</v>
      </c>
      <c r="F9393" s="14">
        <v>79000</v>
      </c>
      <c r="G9393" s="14">
        <v>61500</v>
      </c>
      <c r="H9393" s="13" t="s">
        <v>17134</v>
      </c>
      <c r="I9393" s="40" t="s">
        <v>18</v>
      </c>
      <c r="J9393" s="40" t="str">
        <f>HYPERLINK("https://stock.pstatic.net/stock-research/company/64/20250818_company_683625000.pdf","PDF")</f>
        <v>PDF</v>
      </c>
      <c r="K9393" s="12" t="s">
        <v>17135</v>
      </c>
      <c r="L9393" s="20">
        <v>0.28455284552845528</v>
      </c>
    </row>
    <row r="9394" spans="1:12" x14ac:dyDescent="0.45">
      <c r="A9394" s="12" t="s">
        <v>17043</v>
      </c>
      <c r="B9394" s="12" t="s">
        <v>1356</v>
      </c>
      <c r="C9394" s="13" t="s">
        <v>1357</v>
      </c>
      <c r="D9394" s="13" t="s">
        <v>53</v>
      </c>
      <c r="E9394" s="12" t="s">
        <v>16</v>
      </c>
      <c r="F9394" s="14">
        <v>24000</v>
      </c>
      <c r="G9394" s="14">
        <v>19490</v>
      </c>
      <c r="H9394" s="13" t="s">
        <v>17136</v>
      </c>
      <c r="I9394" s="40" t="s">
        <v>18</v>
      </c>
      <c r="J9394" s="40" t="str">
        <f>HYPERLINK("https://stock.pstatic.net/stock-research/company/40/20250818_company_527005000.pdf","PDF")</f>
        <v>PDF</v>
      </c>
      <c r="K9394" s="12" t="s">
        <v>17137</v>
      </c>
      <c r="L9394" s="20">
        <v>0.2314007183170857</v>
      </c>
    </row>
    <row r="9395" spans="1:12" x14ac:dyDescent="0.45">
      <c r="A9395" s="12" t="s">
        <v>17043</v>
      </c>
      <c r="B9395" s="12" t="s">
        <v>1686</v>
      </c>
      <c r="C9395" s="13" t="s">
        <v>1687</v>
      </c>
      <c r="D9395" s="13" t="s">
        <v>92</v>
      </c>
      <c r="E9395" s="12" t="s">
        <v>35</v>
      </c>
      <c r="F9395" s="14">
        <v>1750000</v>
      </c>
      <c r="G9395" s="14">
        <v>1380000</v>
      </c>
      <c r="H9395" s="13" t="s">
        <v>17138</v>
      </c>
      <c r="I9395" s="40" t="s">
        <v>18</v>
      </c>
      <c r="J9395" s="40" t="str">
        <f>HYPERLINK("https://stock.pstatic.net/stock-research/company/63/20250818_company_460138000.pdf","PDF")</f>
        <v>PDF</v>
      </c>
      <c r="K9395" s="12" t="s">
        <v>17139</v>
      </c>
      <c r="L9395" s="20">
        <v>0.26811594202898548</v>
      </c>
    </row>
    <row r="9396" spans="1:12" x14ac:dyDescent="0.45">
      <c r="A9396" s="12" t="s">
        <v>17043</v>
      </c>
      <c r="B9396" s="12" t="s">
        <v>1946</v>
      </c>
      <c r="C9396" s="13" t="s">
        <v>1947</v>
      </c>
      <c r="D9396" s="13" t="s">
        <v>92</v>
      </c>
      <c r="E9396" s="12" t="s">
        <v>35</v>
      </c>
      <c r="F9396" s="14">
        <v>27000</v>
      </c>
      <c r="G9396" s="14">
        <v>20200</v>
      </c>
      <c r="H9396" s="13" t="s">
        <v>17140</v>
      </c>
      <c r="I9396" s="40" t="s">
        <v>18</v>
      </c>
      <c r="J9396" s="40" t="str">
        <f>HYPERLINK("https://stock.pstatic.net/stock-research/company/63/20250818_company_558770000.pdf","PDF")</f>
        <v>PDF</v>
      </c>
      <c r="K9396" s="12" t="s">
        <v>17141</v>
      </c>
      <c r="L9396" s="20">
        <v>0.33663366336633671</v>
      </c>
    </row>
    <row r="9397" spans="1:12" x14ac:dyDescent="0.45">
      <c r="A9397" s="12" t="s">
        <v>17043</v>
      </c>
      <c r="B9397" s="12" t="s">
        <v>1162</v>
      </c>
      <c r="C9397" s="13" t="s">
        <v>1163</v>
      </c>
      <c r="D9397" s="13" t="s">
        <v>179</v>
      </c>
      <c r="E9397" s="12" t="s">
        <v>16</v>
      </c>
      <c r="F9397" s="14">
        <v>170000</v>
      </c>
      <c r="G9397" s="14">
        <v>144500</v>
      </c>
      <c r="H9397" s="13" t="s">
        <v>17142</v>
      </c>
      <c r="I9397" s="40" t="s">
        <v>18</v>
      </c>
      <c r="J9397" s="40" t="str">
        <f>HYPERLINK("https://stock.pstatic.net/stock-research/company/64/20250818_company_643973000.pdf","PDF")</f>
        <v>PDF</v>
      </c>
      <c r="K9397" s="12" t="s">
        <v>17143</v>
      </c>
      <c r="L9397" s="20">
        <v>0.1764705882352941</v>
      </c>
    </row>
    <row r="9398" spans="1:12" x14ac:dyDescent="0.45">
      <c r="A9398" s="12" t="s">
        <v>17043</v>
      </c>
      <c r="B9398" s="12" t="s">
        <v>812</v>
      </c>
      <c r="C9398" s="13" t="s">
        <v>813</v>
      </c>
      <c r="D9398" s="13" t="s">
        <v>179</v>
      </c>
      <c r="E9398" s="12" t="s">
        <v>385</v>
      </c>
      <c r="F9398" s="14">
        <v>62000</v>
      </c>
      <c r="G9398" s="14">
        <v>58000</v>
      </c>
      <c r="H9398" s="13" t="s">
        <v>17144</v>
      </c>
      <c r="I9398" s="40" t="s">
        <v>18</v>
      </c>
      <c r="J9398" s="40" t="str">
        <f>HYPERLINK("https://stock.pstatic.net/stock-research/company/64/20250818_company_355485000.pdf","PDF")</f>
        <v>PDF</v>
      </c>
      <c r="K9398" s="12" t="s">
        <v>17145</v>
      </c>
      <c r="L9398" s="20">
        <v>6.8965517241379309E-2</v>
      </c>
    </row>
    <row r="9399" spans="1:12" x14ac:dyDescent="0.45">
      <c r="A9399" s="12" t="s">
        <v>17043</v>
      </c>
      <c r="B9399" s="12" t="s">
        <v>1499</v>
      </c>
      <c r="C9399" s="13" t="s">
        <v>1500</v>
      </c>
      <c r="D9399" s="13" t="s">
        <v>92</v>
      </c>
      <c r="E9399" s="12" t="s">
        <v>35</v>
      </c>
      <c r="F9399" s="14">
        <v>10000</v>
      </c>
      <c r="G9399" s="14">
        <v>5840</v>
      </c>
      <c r="H9399" s="13" t="s">
        <v>17146</v>
      </c>
      <c r="I9399" s="40" t="s">
        <v>18</v>
      </c>
      <c r="J9399" s="40" t="str">
        <f>HYPERLINK("https://stock.pstatic.net/stock-research/company/63/20250818_company_539020000.pdf","PDF")</f>
        <v>PDF</v>
      </c>
      <c r="K9399" s="12" t="s">
        <v>17147</v>
      </c>
      <c r="L9399" s="20">
        <v>0.71232876712328763</v>
      </c>
    </row>
    <row r="9400" spans="1:12" x14ac:dyDescent="0.45">
      <c r="A9400" s="12" t="s">
        <v>17043</v>
      </c>
      <c r="B9400" s="12" t="s">
        <v>868</v>
      </c>
      <c r="C9400" s="13" t="s">
        <v>869</v>
      </c>
      <c r="D9400" s="13" t="s">
        <v>53</v>
      </c>
      <c r="E9400" s="12" t="s">
        <v>16</v>
      </c>
      <c r="F9400" s="14">
        <v>57000</v>
      </c>
      <c r="G9400" s="14">
        <v>42800</v>
      </c>
      <c r="H9400" s="13" t="s">
        <v>17148</v>
      </c>
      <c r="I9400" s="40" t="s">
        <v>18</v>
      </c>
      <c r="J9400" s="40" t="str">
        <f>HYPERLINK("https://stock.pstatic.net/stock-research/company/40/20250818_company_226886000.pdf","PDF")</f>
        <v>PDF</v>
      </c>
      <c r="K9400" s="12" t="s">
        <v>17149</v>
      </c>
      <c r="L9400" s="20">
        <v>0.33177570093457942</v>
      </c>
    </row>
    <row r="9401" spans="1:12" x14ac:dyDescent="0.45">
      <c r="A9401" s="12" t="s">
        <v>17043</v>
      </c>
      <c r="B9401" s="12" t="s">
        <v>1389</v>
      </c>
      <c r="C9401" s="13" t="s">
        <v>1390</v>
      </c>
      <c r="D9401" s="13" t="s">
        <v>92</v>
      </c>
      <c r="E9401" s="12" t="s">
        <v>35</v>
      </c>
      <c r="F9401" s="14">
        <v>17000</v>
      </c>
      <c r="G9401" s="14">
        <v>12940</v>
      </c>
      <c r="H9401" s="13" t="s">
        <v>17150</v>
      </c>
      <c r="I9401" s="40" t="s">
        <v>18</v>
      </c>
      <c r="J9401" s="40" t="str">
        <f>HYPERLINK("https://stock.pstatic.net/stock-research/company/63/20250818_company_808084000.pdf","PDF")</f>
        <v>PDF</v>
      </c>
      <c r="K9401" s="12" t="s">
        <v>17151</v>
      </c>
      <c r="L9401" s="20">
        <v>0.31375579598145292</v>
      </c>
    </row>
    <row r="9402" spans="1:12" x14ac:dyDescent="0.45">
      <c r="A9402" s="12" t="s">
        <v>17043</v>
      </c>
      <c r="B9402" s="12" t="s">
        <v>1503</v>
      </c>
      <c r="C9402" s="13" t="s">
        <v>1504</v>
      </c>
      <c r="D9402" s="13" t="s">
        <v>92</v>
      </c>
      <c r="E9402" s="12" t="s">
        <v>35</v>
      </c>
      <c r="F9402" s="14">
        <v>22000</v>
      </c>
      <c r="G9402" s="14">
        <v>14070</v>
      </c>
      <c r="H9402" s="13" t="s">
        <v>17152</v>
      </c>
      <c r="I9402" s="40" t="s">
        <v>18</v>
      </c>
      <c r="J9402" s="40" t="str">
        <f>HYPERLINK("https://stock.pstatic.net/stock-research/company/63/20250818_company_452270000.pdf","PDF")</f>
        <v>PDF</v>
      </c>
      <c r="K9402" s="12" t="s">
        <v>17153</v>
      </c>
      <c r="L9402" s="20">
        <v>0.56361051883439939</v>
      </c>
    </row>
    <row r="9403" spans="1:12" x14ac:dyDescent="0.45">
      <c r="A9403" s="12" t="s">
        <v>17043</v>
      </c>
      <c r="B9403" s="12" t="s">
        <v>1212</v>
      </c>
      <c r="C9403" s="13" t="s">
        <v>1213</v>
      </c>
      <c r="D9403" s="13" t="s">
        <v>23</v>
      </c>
      <c r="E9403" s="12" t="s">
        <v>50</v>
      </c>
      <c r="F9403" s="13"/>
      <c r="G9403" s="14">
        <v>73500</v>
      </c>
      <c r="H9403" s="13" t="s">
        <v>17154</v>
      </c>
      <c r="I9403" s="40" t="s">
        <v>18</v>
      </c>
      <c r="J9403" s="40" t="str">
        <f>HYPERLINK("https://stock.pstatic.net/stock-research/company/21/20250818_company_730653000.pdf","PDF")</f>
        <v>PDF</v>
      </c>
      <c r="K9403" s="12" t="s">
        <v>17155</v>
      </c>
    </row>
    <row r="9404" spans="1:12" x14ac:dyDescent="0.45">
      <c r="A9404" s="12" t="s">
        <v>17043</v>
      </c>
      <c r="B9404" s="12" t="s">
        <v>1562</v>
      </c>
      <c r="C9404" s="13" t="s">
        <v>1563</v>
      </c>
      <c r="D9404" s="13" t="s">
        <v>92</v>
      </c>
      <c r="E9404" s="12" t="s">
        <v>35</v>
      </c>
      <c r="F9404" s="14">
        <v>35000</v>
      </c>
      <c r="G9404" s="14">
        <v>25500</v>
      </c>
      <c r="H9404" s="13" t="s">
        <v>17156</v>
      </c>
      <c r="I9404" s="40" t="s">
        <v>18</v>
      </c>
      <c r="J9404" s="40" t="str">
        <f>HYPERLINK("https://stock.pstatic.net/stock-research/company/63/20250818_company_180564000.pdf","PDF")</f>
        <v>PDF</v>
      </c>
      <c r="K9404" s="12" t="s">
        <v>17157</v>
      </c>
      <c r="L9404" s="20">
        <v>0.37254901960784309</v>
      </c>
    </row>
    <row r="9405" spans="1:12" x14ac:dyDescent="0.45">
      <c r="A9405" s="12" t="s">
        <v>17043</v>
      </c>
      <c r="B9405" s="12" t="s">
        <v>1566</v>
      </c>
      <c r="C9405" s="13" t="s">
        <v>1567</v>
      </c>
      <c r="D9405" s="13" t="s">
        <v>92</v>
      </c>
      <c r="E9405" s="12" t="s">
        <v>50</v>
      </c>
      <c r="F9405" s="13"/>
      <c r="G9405" s="14">
        <v>2850</v>
      </c>
      <c r="H9405" s="13" t="s">
        <v>17158</v>
      </c>
      <c r="I9405" s="40" t="s">
        <v>18</v>
      </c>
      <c r="J9405" s="40" t="str">
        <f>HYPERLINK("https://stock.pstatic.net/stock-research/company/63/20250818_company_321920000.pdf","PDF")</f>
        <v>PDF</v>
      </c>
      <c r="K9405" s="12" t="s">
        <v>17159</v>
      </c>
    </row>
    <row r="9406" spans="1:12" x14ac:dyDescent="0.45">
      <c r="A9406" s="12" t="s">
        <v>17043</v>
      </c>
      <c r="B9406" s="12" t="s">
        <v>76</v>
      </c>
      <c r="C9406" s="13" t="s">
        <v>77</v>
      </c>
      <c r="D9406" s="13" t="s">
        <v>34</v>
      </c>
      <c r="E9406" s="12" t="s">
        <v>35</v>
      </c>
      <c r="F9406" s="14">
        <v>29000</v>
      </c>
      <c r="G9406" s="14">
        <v>22100</v>
      </c>
      <c r="H9406" s="13" t="s">
        <v>17160</v>
      </c>
      <c r="I9406" s="40" t="s">
        <v>18</v>
      </c>
      <c r="J9406" s="40" t="str">
        <f>HYPERLINK("https://stock.pstatic.net/stock-research/company/61/20250818_company_526346000.pdf","PDF")</f>
        <v>PDF</v>
      </c>
      <c r="K9406" s="12" t="s">
        <v>17161</v>
      </c>
      <c r="L9406" s="20">
        <v>0.31221719457013569</v>
      </c>
    </row>
    <row r="9407" spans="1:12" x14ac:dyDescent="0.45">
      <c r="A9407" s="12" t="s">
        <v>17043</v>
      </c>
      <c r="B9407" s="12" t="s">
        <v>76</v>
      </c>
      <c r="C9407" s="13" t="s">
        <v>77</v>
      </c>
      <c r="D9407" s="13" t="s">
        <v>23</v>
      </c>
      <c r="E9407" s="12" t="s">
        <v>50</v>
      </c>
      <c r="F9407" s="13"/>
      <c r="G9407" s="14">
        <v>22100</v>
      </c>
      <c r="H9407" s="13" t="s">
        <v>17162</v>
      </c>
      <c r="I9407" s="40" t="s">
        <v>18</v>
      </c>
      <c r="J9407" s="40" t="str">
        <f>HYPERLINK("https://stock.pstatic.net/stock-research/company/21/20250818_company_362004000.pdf","PDF")</f>
        <v>PDF</v>
      </c>
      <c r="K9407" s="12" t="s">
        <v>17163</v>
      </c>
    </row>
    <row r="9408" spans="1:12" x14ac:dyDescent="0.45">
      <c r="A9408" s="12" t="s">
        <v>17043</v>
      </c>
      <c r="B9408" s="12" t="s">
        <v>1308</v>
      </c>
      <c r="C9408" s="13" t="s">
        <v>1309</v>
      </c>
      <c r="D9408" s="13" t="s">
        <v>23</v>
      </c>
      <c r="E9408" s="12" t="s">
        <v>16</v>
      </c>
      <c r="F9408" s="14">
        <v>460000</v>
      </c>
      <c r="G9408" s="14">
        <v>381000</v>
      </c>
      <c r="H9408" s="13" t="s">
        <v>17164</v>
      </c>
      <c r="I9408" s="40" t="s">
        <v>18</v>
      </c>
      <c r="J9408" s="40" t="str">
        <f>HYPERLINK("https://stock.pstatic.net/stock-research/company/21/20250818_company_452255000.pdf","PDF")</f>
        <v>PDF</v>
      </c>
      <c r="K9408" s="12" t="s">
        <v>17165</v>
      </c>
      <c r="L9408" s="20">
        <v>0.20734908136482941</v>
      </c>
    </row>
    <row r="9409" spans="1:12" x14ac:dyDescent="0.45">
      <c r="A9409" s="12" t="s">
        <v>17043</v>
      </c>
      <c r="B9409" s="12" t="s">
        <v>1274</v>
      </c>
      <c r="C9409" s="13" t="s">
        <v>1275</v>
      </c>
      <c r="D9409" s="13" t="s">
        <v>23</v>
      </c>
      <c r="E9409" s="12" t="s">
        <v>16</v>
      </c>
      <c r="F9409" s="14">
        <v>156000</v>
      </c>
      <c r="G9409" s="14">
        <v>128900</v>
      </c>
      <c r="H9409" s="13" t="s">
        <v>17166</v>
      </c>
      <c r="I9409" s="40" t="s">
        <v>18</v>
      </c>
      <c r="J9409" s="40" t="str">
        <f>HYPERLINK("https://stock.pstatic.net/stock-research/company/21/20250818_company_262233000.pdf","PDF")</f>
        <v>PDF</v>
      </c>
      <c r="K9409" s="12" t="s">
        <v>17167</v>
      </c>
      <c r="L9409" s="20">
        <v>0.21024049650892171</v>
      </c>
    </row>
    <row r="9410" spans="1:12" x14ac:dyDescent="0.45">
      <c r="A9410" s="12" t="s">
        <v>17043</v>
      </c>
      <c r="B9410" s="12" t="s">
        <v>156</v>
      </c>
      <c r="C9410" s="13" t="s">
        <v>157</v>
      </c>
      <c r="D9410" s="13" t="s">
        <v>23</v>
      </c>
      <c r="E9410" s="12" t="s">
        <v>385</v>
      </c>
      <c r="F9410" s="13"/>
      <c r="G9410" s="14">
        <v>3160</v>
      </c>
      <c r="H9410" s="13" t="s">
        <v>17168</v>
      </c>
      <c r="I9410" s="40" t="s">
        <v>18</v>
      </c>
      <c r="J9410" s="40" t="str">
        <f>HYPERLINK("https://stock.pstatic.net/stock-research/company/21/20250818_company_316258000.pdf","PDF")</f>
        <v>PDF</v>
      </c>
      <c r="K9410" s="12" t="s">
        <v>17169</v>
      </c>
    </row>
    <row r="9411" spans="1:12" x14ac:dyDescent="0.45">
      <c r="A9411" s="12" t="s">
        <v>17043</v>
      </c>
      <c r="B9411" s="12" t="s">
        <v>1344</v>
      </c>
      <c r="C9411" s="13" t="s">
        <v>1345</v>
      </c>
      <c r="D9411" s="13" t="s">
        <v>23</v>
      </c>
      <c r="E9411" s="12" t="s">
        <v>16</v>
      </c>
      <c r="F9411" s="14">
        <v>50000</v>
      </c>
      <c r="G9411" s="14">
        <v>39400</v>
      </c>
      <c r="H9411" s="13" t="s">
        <v>17170</v>
      </c>
      <c r="I9411" s="40" t="s">
        <v>18</v>
      </c>
      <c r="J9411" s="40" t="str">
        <f>HYPERLINK("https://stock.pstatic.net/stock-research/company/21/20250818_company_695270000.pdf","PDF")</f>
        <v>PDF</v>
      </c>
      <c r="K9411" s="12" t="s">
        <v>17171</v>
      </c>
      <c r="L9411" s="20">
        <v>0.26903553299492378</v>
      </c>
    </row>
    <row r="9412" spans="1:12" x14ac:dyDescent="0.45">
      <c r="A9412" s="12" t="s">
        <v>17043</v>
      </c>
      <c r="B9412" s="12" t="s">
        <v>1562</v>
      </c>
      <c r="C9412" s="13" t="s">
        <v>1563</v>
      </c>
      <c r="D9412" s="13" t="s">
        <v>23</v>
      </c>
      <c r="E9412" s="12" t="s">
        <v>16</v>
      </c>
      <c r="F9412" s="14">
        <v>35000</v>
      </c>
      <c r="G9412" s="14">
        <v>25500</v>
      </c>
      <c r="H9412" s="13" t="s">
        <v>17172</v>
      </c>
      <c r="I9412" s="40" t="s">
        <v>18</v>
      </c>
      <c r="J9412" s="40" t="str">
        <f>HYPERLINK("https://stock.pstatic.net/stock-research/company/21/20250818_company_547896000.pdf","PDF")</f>
        <v>PDF</v>
      </c>
      <c r="K9412" s="12" t="s">
        <v>17173</v>
      </c>
      <c r="L9412" s="20">
        <v>0.37254901960784309</v>
      </c>
    </row>
    <row r="9413" spans="1:12" x14ac:dyDescent="0.45">
      <c r="A9413" s="12" t="s">
        <v>17043</v>
      </c>
      <c r="B9413" s="12" t="s">
        <v>7516</v>
      </c>
      <c r="C9413" s="13" t="s">
        <v>7517</v>
      </c>
      <c r="D9413" s="13" t="s">
        <v>23</v>
      </c>
      <c r="E9413" s="12" t="s">
        <v>16</v>
      </c>
      <c r="F9413" s="14">
        <v>20000</v>
      </c>
      <c r="G9413" s="14">
        <v>13870</v>
      </c>
      <c r="H9413" s="13" t="s">
        <v>17174</v>
      </c>
      <c r="I9413" s="40" t="s">
        <v>18</v>
      </c>
      <c r="J9413" s="40" t="str">
        <f>HYPERLINK("https://stock.pstatic.net/stock-research/company/21/20250818_company_232995000.pdf","PDF")</f>
        <v>PDF</v>
      </c>
      <c r="K9413" s="12" t="s">
        <v>17175</v>
      </c>
      <c r="L9413" s="20">
        <v>0.44196106705118959</v>
      </c>
    </row>
    <row r="9414" spans="1:12" x14ac:dyDescent="0.45">
      <c r="A9414" s="12" t="s">
        <v>17043</v>
      </c>
      <c r="B9414" s="12" t="s">
        <v>1686</v>
      </c>
      <c r="C9414" s="13" t="s">
        <v>1687</v>
      </c>
      <c r="D9414" s="13" t="s">
        <v>23</v>
      </c>
      <c r="E9414" s="12" t="s">
        <v>16</v>
      </c>
      <c r="F9414" s="14">
        <v>1650000</v>
      </c>
      <c r="G9414" s="14">
        <v>1380000</v>
      </c>
      <c r="H9414" s="13" t="s">
        <v>17176</v>
      </c>
      <c r="I9414" s="40" t="s">
        <v>18</v>
      </c>
      <c r="J9414" s="40" t="str">
        <f>HYPERLINK("https://stock.pstatic.net/stock-research/company/21/20250818_company_419309000.pdf","PDF")</f>
        <v>PDF</v>
      </c>
      <c r="K9414" s="12" t="s">
        <v>17177</v>
      </c>
      <c r="L9414" s="20">
        <v>0.19565217391304349</v>
      </c>
    </row>
    <row r="9415" spans="1:12" x14ac:dyDescent="0.45">
      <c r="A9415" s="12" t="s">
        <v>17043</v>
      </c>
      <c r="B9415" s="12" t="s">
        <v>1817</v>
      </c>
      <c r="C9415" s="13" t="s">
        <v>1818</v>
      </c>
      <c r="D9415" s="13" t="s">
        <v>92</v>
      </c>
      <c r="E9415" s="12" t="s">
        <v>35</v>
      </c>
      <c r="F9415" s="14">
        <v>50000</v>
      </c>
      <c r="G9415" s="14">
        <v>45900</v>
      </c>
      <c r="H9415" s="13" t="s">
        <v>17178</v>
      </c>
      <c r="I9415" s="40" t="s">
        <v>18</v>
      </c>
      <c r="J9415" s="40" t="str">
        <f>HYPERLINK("https://stock.pstatic.net/stock-research/company/63/20250818_company_521081000.pdf","PDF")</f>
        <v>PDF</v>
      </c>
      <c r="K9415" s="12" t="s">
        <v>17179</v>
      </c>
      <c r="L9415" s="20">
        <v>8.9324618736383449E-2</v>
      </c>
    </row>
    <row r="9416" spans="1:12" x14ac:dyDescent="0.45">
      <c r="A9416" s="12" t="s">
        <v>17043</v>
      </c>
      <c r="B9416" s="12" t="s">
        <v>3093</v>
      </c>
      <c r="C9416" s="13" t="s">
        <v>3094</v>
      </c>
      <c r="D9416" s="13" t="s">
        <v>23</v>
      </c>
      <c r="E9416" s="12" t="s">
        <v>16</v>
      </c>
      <c r="F9416" s="14">
        <v>7800</v>
      </c>
      <c r="G9416" s="14">
        <v>5800</v>
      </c>
      <c r="H9416" s="13" t="s">
        <v>17180</v>
      </c>
      <c r="I9416" s="40" t="s">
        <v>18</v>
      </c>
      <c r="J9416" s="40" t="str">
        <f>HYPERLINK("https://stock.pstatic.net/stock-research/company/21/20250818_company_938309000.pdf","PDF")</f>
        <v>PDF</v>
      </c>
      <c r="K9416" s="12" t="s">
        <v>17181</v>
      </c>
      <c r="L9416" s="20">
        <v>0.34482758620689657</v>
      </c>
    </row>
    <row r="9417" spans="1:12" x14ac:dyDescent="0.45">
      <c r="A9417" s="12" t="s">
        <v>17043</v>
      </c>
      <c r="B9417" s="12" t="s">
        <v>146</v>
      </c>
      <c r="C9417" s="13" t="s">
        <v>147</v>
      </c>
      <c r="D9417" s="13" t="s">
        <v>23</v>
      </c>
      <c r="E9417" s="12" t="s">
        <v>16</v>
      </c>
      <c r="F9417" s="14">
        <v>27000</v>
      </c>
      <c r="G9417" s="14">
        <v>21350</v>
      </c>
      <c r="H9417" s="13" t="s">
        <v>17182</v>
      </c>
      <c r="I9417" s="40" t="s">
        <v>18</v>
      </c>
      <c r="J9417" s="40" t="str">
        <f>HYPERLINK("https://stock.pstatic.net/stock-research/company/21/20250818_company_301595000.pdf","PDF")</f>
        <v>PDF</v>
      </c>
      <c r="K9417" s="12" t="s">
        <v>17183</v>
      </c>
      <c r="L9417" s="20">
        <v>0.26463700234192039</v>
      </c>
    </row>
    <row r="9418" spans="1:12" x14ac:dyDescent="0.45">
      <c r="A9418" s="12" t="s">
        <v>17043</v>
      </c>
      <c r="B9418" s="12" t="s">
        <v>868</v>
      </c>
      <c r="C9418" s="13" t="s">
        <v>869</v>
      </c>
      <c r="D9418" s="13" t="s">
        <v>34</v>
      </c>
      <c r="E9418" s="12" t="s">
        <v>35</v>
      </c>
      <c r="F9418" s="14">
        <v>60000</v>
      </c>
      <c r="G9418" s="14">
        <v>42800</v>
      </c>
      <c r="H9418" s="13" t="s">
        <v>17184</v>
      </c>
      <c r="I9418" s="40" t="s">
        <v>18</v>
      </c>
      <c r="J9418" s="40" t="str">
        <f>HYPERLINK("https://stock.pstatic.net/stock-research/company/61/20250818_company_478308000.pdf","PDF")</f>
        <v>PDF</v>
      </c>
      <c r="K9418" s="12" t="s">
        <v>17185</v>
      </c>
      <c r="L9418" s="20">
        <v>0.40186915887850472</v>
      </c>
    </row>
    <row r="9419" spans="1:12" x14ac:dyDescent="0.45">
      <c r="A9419" s="12" t="s">
        <v>17043</v>
      </c>
      <c r="B9419" s="12" t="s">
        <v>9826</v>
      </c>
      <c r="C9419" s="13" t="s">
        <v>9827</v>
      </c>
      <c r="D9419" s="13" t="s">
        <v>53</v>
      </c>
      <c r="E9419" s="12" t="s">
        <v>16</v>
      </c>
      <c r="F9419" s="14">
        <v>27000</v>
      </c>
      <c r="G9419" s="14">
        <v>9910</v>
      </c>
      <c r="H9419" s="13" t="s">
        <v>17186</v>
      </c>
      <c r="I9419" s="40" t="s">
        <v>18</v>
      </c>
      <c r="J9419" s="40" t="str">
        <f>HYPERLINK("https://stock.pstatic.net/stock-research/company/40/20250818_company_617392000.pdf","PDF")</f>
        <v>PDF</v>
      </c>
      <c r="K9419" s="12" t="s">
        <v>17187</v>
      </c>
      <c r="L9419" s="20">
        <v>1.72452068617558</v>
      </c>
    </row>
    <row r="9420" spans="1:12" x14ac:dyDescent="0.45">
      <c r="A9420" s="12" t="s">
        <v>17043</v>
      </c>
      <c r="B9420" s="12" t="s">
        <v>1459</v>
      </c>
      <c r="C9420" s="13" t="s">
        <v>1460</v>
      </c>
      <c r="D9420" s="13" t="s">
        <v>23</v>
      </c>
      <c r="E9420" s="12" t="s">
        <v>16</v>
      </c>
      <c r="F9420" s="14">
        <v>260000</v>
      </c>
      <c r="G9420" s="14">
        <v>235000</v>
      </c>
      <c r="H9420" s="13" t="s">
        <v>17188</v>
      </c>
      <c r="I9420" s="40" t="s">
        <v>18</v>
      </c>
      <c r="J9420" s="40" t="str">
        <f>HYPERLINK("https://stock.pstatic.net/stock-research/company/21/20250818_company_819286000.pdf","PDF")</f>
        <v>PDF</v>
      </c>
      <c r="K9420" s="12" t="s">
        <v>17189</v>
      </c>
      <c r="L9420" s="20">
        <v>0.1063829787234043</v>
      </c>
    </row>
    <row r="9421" spans="1:12" x14ac:dyDescent="0.45">
      <c r="A9421" s="12" t="s">
        <v>17043</v>
      </c>
      <c r="B9421" s="12" t="s">
        <v>824</v>
      </c>
      <c r="C9421" s="13" t="s">
        <v>825</v>
      </c>
      <c r="D9421" s="13" t="s">
        <v>179</v>
      </c>
      <c r="E9421" s="12" t="s">
        <v>16</v>
      </c>
      <c r="F9421" s="14">
        <v>47000</v>
      </c>
      <c r="G9421" s="14">
        <v>36600</v>
      </c>
      <c r="H9421" s="13" t="s">
        <v>17190</v>
      </c>
      <c r="I9421" s="40" t="s">
        <v>18</v>
      </c>
      <c r="J9421" s="40" t="str">
        <f>HYPERLINK("https://stock.pstatic.net/stock-research/company/64/20250818_company_226220000.pdf","PDF")</f>
        <v>PDF</v>
      </c>
      <c r="K9421" s="12" t="s">
        <v>17191</v>
      </c>
      <c r="L9421" s="20">
        <v>0.28415300546448091</v>
      </c>
    </row>
    <row r="9422" spans="1:12" x14ac:dyDescent="0.45">
      <c r="A9422" s="12" t="s">
        <v>17043</v>
      </c>
      <c r="B9422" s="12" t="s">
        <v>6541</v>
      </c>
      <c r="C9422" s="13" t="s">
        <v>6542</v>
      </c>
      <c r="D9422" s="13" t="s">
        <v>23</v>
      </c>
      <c r="E9422" s="12" t="s">
        <v>16</v>
      </c>
      <c r="F9422" s="14">
        <v>44000</v>
      </c>
      <c r="G9422" s="14">
        <v>33600</v>
      </c>
      <c r="H9422" s="13" t="s">
        <v>17192</v>
      </c>
      <c r="I9422" s="40" t="s">
        <v>18</v>
      </c>
      <c r="J9422" s="40" t="str">
        <f>HYPERLINK("https://stock.pstatic.net/stock-research/company/21/20250818_company_287953000.pdf","PDF")</f>
        <v>PDF</v>
      </c>
      <c r="K9422" s="12" t="s">
        <v>17193</v>
      </c>
      <c r="L9422" s="20">
        <v>0.30952380952380948</v>
      </c>
    </row>
    <row r="9423" spans="1:12" x14ac:dyDescent="0.45">
      <c r="A9423" s="12" t="s">
        <v>17043</v>
      </c>
      <c r="B9423" s="12" t="s">
        <v>585</v>
      </c>
      <c r="C9423" s="13" t="s">
        <v>586</v>
      </c>
      <c r="D9423" s="13" t="s">
        <v>23</v>
      </c>
      <c r="E9423" s="12" t="s">
        <v>16</v>
      </c>
      <c r="F9423" s="14">
        <v>57800</v>
      </c>
      <c r="G9423" s="14">
        <v>44700</v>
      </c>
      <c r="H9423" s="13" t="s">
        <v>17194</v>
      </c>
      <c r="I9423" s="40" t="s">
        <v>18</v>
      </c>
      <c r="J9423" s="40" t="str">
        <f>HYPERLINK("https://stock.pstatic.net/stock-research/company/21/20250818_company_964315000.pdf","PDF")</f>
        <v>PDF</v>
      </c>
      <c r="K9423" s="12" t="s">
        <v>17195</v>
      </c>
      <c r="L9423" s="20">
        <v>0.29306487695749439</v>
      </c>
    </row>
    <row r="9424" spans="1:12" x14ac:dyDescent="0.45">
      <c r="A9424" s="12" t="s">
        <v>17043</v>
      </c>
      <c r="B9424" s="12" t="s">
        <v>593</v>
      </c>
      <c r="C9424" s="13" t="s">
        <v>594</v>
      </c>
      <c r="D9424" s="13" t="s">
        <v>179</v>
      </c>
      <c r="E9424" s="12" t="s">
        <v>50</v>
      </c>
      <c r="F9424" s="13"/>
      <c r="G9424" s="14">
        <v>10360</v>
      </c>
      <c r="H9424" s="13" t="s">
        <v>17196</v>
      </c>
      <c r="I9424" s="40" t="s">
        <v>18</v>
      </c>
      <c r="J9424" s="40" t="str">
        <f>HYPERLINK("https://stock.pstatic.net/stock-research/company/64/20250818_company_546954000.pdf","PDF")</f>
        <v>PDF</v>
      </c>
      <c r="K9424" s="12" t="s">
        <v>17197</v>
      </c>
    </row>
    <row r="9425" spans="1:12" x14ac:dyDescent="0.45">
      <c r="A9425" s="12" t="s">
        <v>17043</v>
      </c>
      <c r="B9425" s="12" t="s">
        <v>868</v>
      </c>
      <c r="C9425" s="13" t="s">
        <v>869</v>
      </c>
      <c r="D9425" s="13" t="s">
        <v>44</v>
      </c>
      <c r="E9425" s="12" t="s">
        <v>35</v>
      </c>
      <c r="F9425" s="14">
        <v>63000</v>
      </c>
      <c r="G9425" s="14">
        <v>42800</v>
      </c>
      <c r="H9425" s="13" t="s">
        <v>17198</v>
      </c>
      <c r="I9425" s="40" t="s">
        <v>18</v>
      </c>
      <c r="J9425" s="40" t="str">
        <f>HYPERLINK("https://stock.pstatic.net/stock-research/company/39/20250818_company_844648000.pdf","PDF")</f>
        <v>PDF</v>
      </c>
      <c r="K9425" s="12" t="s">
        <v>17199</v>
      </c>
      <c r="L9425" s="20">
        <v>0.4719626168224299</v>
      </c>
    </row>
    <row r="9426" spans="1:12" x14ac:dyDescent="0.45">
      <c r="A9426" s="12" t="s">
        <v>17043</v>
      </c>
      <c r="B9426" s="12" t="s">
        <v>1407</v>
      </c>
      <c r="C9426" s="13" t="s">
        <v>1408</v>
      </c>
      <c r="D9426" s="13" t="s">
        <v>92</v>
      </c>
      <c r="E9426" s="12" t="s">
        <v>35</v>
      </c>
      <c r="F9426" s="14">
        <v>66000</v>
      </c>
      <c r="G9426" s="14">
        <v>50400</v>
      </c>
      <c r="H9426" s="13" t="s">
        <v>17200</v>
      </c>
      <c r="I9426" s="40" t="s">
        <v>18</v>
      </c>
      <c r="J9426" s="40" t="str">
        <f>HYPERLINK("https://stock.pstatic.net/stock-research/company/63/20250818_company_917336000.pdf","PDF")</f>
        <v>PDF</v>
      </c>
      <c r="K9426" s="12" t="s">
        <v>17201</v>
      </c>
      <c r="L9426" s="20">
        <v>0.30952380952380948</v>
      </c>
    </row>
    <row r="9427" spans="1:12" x14ac:dyDescent="0.45">
      <c r="A9427" s="12" t="s">
        <v>17043</v>
      </c>
      <c r="B9427" s="12" t="s">
        <v>1128</v>
      </c>
      <c r="C9427" s="13" t="s">
        <v>1129</v>
      </c>
      <c r="D9427" s="13" t="s">
        <v>44</v>
      </c>
      <c r="E9427" s="12" t="s">
        <v>35</v>
      </c>
      <c r="F9427" s="14">
        <v>78000</v>
      </c>
      <c r="G9427" s="14">
        <v>61500</v>
      </c>
      <c r="H9427" s="13" t="s">
        <v>17202</v>
      </c>
      <c r="I9427" s="40" t="s">
        <v>18</v>
      </c>
      <c r="J9427" s="40" t="str">
        <f>HYPERLINK("https://stock.pstatic.net/stock-research/company/39/20250818_company_103251000.pdf","PDF")</f>
        <v>PDF</v>
      </c>
      <c r="K9427" s="12" t="s">
        <v>17203</v>
      </c>
      <c r="L9427" s="20">
        <v>0.26829268292682928</v>
      </c>
    </row>
    <row r="9428" spans="1:12" x14ac:dyDescent="0.45">
      <c r="A9428" s="12" t="s">
        <v>17043</v>
      </c>
      <c r="B9428" s="12" t="s">
        <v>1606</v>
      </c>
      <c r="C9428" s="13" t="s">
        <v>1607</v>
      </c>
      <c r="D9428" s="13" t="s">
        <v>44</v>
      </c>
      <c r="E9428" s="12" t="s">
        <v>35</v>
      </c>
      <c r="F9428" s="14">
        <v>100000</v>
      </c>
      <c r="G9428" s="14">
        <v>77400</v>
      </c>
      <c r="H9428" s="13" t="s">
        <v>17204</v>
      </c>
      <c r="I9428" s="40" t="s">
        <v>18</v>
      </c>
      <c r="J9428" s="40" t="str">
        <f>HYPERLINK("https://stock.pstatic.net/stock-research/company/39/20250818_company_265261000.pdf","PDF")</f>
        <v>PDF</v>
      </c>
      <c r="K9428" s="12" t="s">
        <v>17205</v>
      </c>
      <c r="L9428" s="20">
        <v>0.29198966408268728</v>
      </c>
    </row>
    <row r="9429" spans="1:12" x14ac:dyDescent="0.45">
      <c r="A9429" s="12" t="s">
        <v>17043</v>
      </c>
      <c r="B9429" s="12" t="s">
        <v>1162</v>
      </c>
      <c r="C9429" s="13" t="s">
        <v>1163</v>
      </c>
      <c r="D9429" s="13" t="s">
        <v>44</v>
      </c>
      <c r="E9429" s="12" t="s">
        <v>35</v>
      </c>
      <c r="F9429" s="14">
        <v>200000</v>
      </c>
      <c r="G9429" s="14">
        <v>144500</v>
      </c>
      <c r="H9429" s="13" t="s">
        <v>17206</v>
      </c>
      <c r="I9429" s="40" t="s">
        <v>18</v>
      </c>
      <c r="J9429" s="40" t="str">
        <f>HYPERLINK("https://stock.pstatic.net/stock-research/company/39/20250818_company_442447000.pdf","PDF")</f>
        <v>PDF</v>
      </c>
      <c r="K9429" s="12" t="s">
        <v>17207</v>
      </c>
      <c r="L9429" s="20">
        <v>0.38408304498269902</v>
      </c>
    </row>
    <row r="9430" spans="1:12" x14ac:dyDescent="0.45">
      <c r="A9430" s="12" t="s">
        <v>17043</v>
      </c>
      <c r="B9430" s="12" t="s">
        <v>1308</v>
      </c>
      <c r="C9430" s="13" t="s">
        <v>1309</v>
      </c>
      <c r="D9430" s="13" t="s">
        <v>44</v>
      </c>
      <c r="E9430" s="12" t="s">
        <v>50</v>
      </c>
      <c r="F9430" s="13"/>
      <c r="G9430" s="13"/>
      <c r="H9430" s="13" t="s">
        <v>17208</v>
      </c>
      <c r="I9430" s="40" t="s">
        <v>18</v>
      </c>
      <c r="J9430" s="40" t="str">
        <f>HYPERLINK("https://stock.pstatic.net/stock-research/company/39/20250818_company_719625000.pdf","PDF")</f>
        <v>PDF</v>
      </c>
      <c r="K9430" s="12" t="s">
        <v>17209</v>
      </c>
    </row>
    <row r="9431" spans="1:12" x14ac:dyDescent="0.45">
      <c r="A9431" s="12" t="s">
        <v>17043</v>
      </c>
      <c r="B9431" s="12" t="s">
        <v>1686</v>
      </c>
      <c r="C9431" s="13" t="s">
        <v>1687</v>
      </c>
      <c r="D9431" s="13" t="s">
        <v>44</v>
      </c>
      <c r="E9431" s="12" t="s">
        <v>35</v>
      </c>
      <c r="F9431" s="14">
        <v>1800000</v>
      </c>
      <c r="G9431" s="14">
        <v>1380000</v>
      </c>
      <c r="H9431" s="13" t="s">
        <v>17210</v>
      </c>
      <c r="I9431" s="40" t="s">
        <v>18</v>
      </c>
      <c r="J9431" s="40" t="str">
        <f>HYPERLINK("https://stock.pstatic.net/stock-research/company/39/20250818_company_999396000.pdf","PDF")</f>
        <v>PDF</v>
      </c>
      <c r="K9431" s="12" t="s">
        <v>17211</v>
      </c>
      <c r="L9431" s="20">
        <v>0.30434782608695649</v>
      </c>
    </row>
    <row r="9432" spans="1:12" x14ac:dyDescent="0.45">
      <c r="A9432" s="12" t="s">
        <v>17043</v>
      </c>
      <c r="B9432" s="12" t="s">
        <v>1682</v>
      </c>
      <c r="C9432" s="13" t="s">
        <v>4787</v>
      </c>
      <c r="D9432" s="13" t="s">
        <v>44</v>
      </c>
      <c r="E9432" s="12" t="s">
        <v>35</v>
      </c>
      <c r="F9432" s="14">
        <v>390000</v>
      </c>
      <c r="G9432" s="14">
        <v>210000</v>
      </c>
      <c r="H9432" s="13" t="s">
        <v>7096</v>
      </c>
      <c r="I9432" s="40" t="s">
        <v>18</v>
      </c>
      <c r="J9432" s="40" t="str">
        <f>HYPERLINK("https://stock.pstatic.net/stock-research/company/39/20250818_company_500300000.pdf","PDF")</f>
        <v>PDF</v>
      </c>
      <c r="K9432" s="12" t="s">
        <v>17212</v>
      </c>
      <c r="L9432" s="20">
        <v>0.8571428571428571</v>
      </c>
    </row>
    <row r="9433" spans="1:12" x14ac:dyDescent="0.45">
      <c r="A9433" s="12" t="s">
        <v>17043</v>
      </c>
      <c r="B9433" s="12" t="s">
        <v>1274</v>
      </c>
      <c r="C9433" s="13" t="s">
        <v>1275</v>
      </c>
      <c r="D9433" s="13" t="s">
        <v>179</v>
      </c>
      <c r="E9433" s="12" t="s">
        <v>16</v>
      </c>
      <c r="F9433" s="14">
        <v>162000</v>
      </c>
      <c r="G9433" s="14">
        <v>128900</v>
      </c>
      <c r="H9433" s="13" t="s">
        <v>17213</v>
      </c>
      <c r="I9433" s="40" t="s">
        <v>18</v>
      </c>
      <c r="J9433" s="40" t="str">
        <f>HYPERLINK("https://stock.pstatic.net/stock-research/company/64/20250818_company_222012000.pdf","PDF")</f>
        <v>PDF</v>
      </c>
      <c r="K9433" s="12" t="s">
        <v>17214</v>
      </c>
      <c r="L9433" s="20">
        <v>0.25678820791311102</v>
      </c>
    </row>
    <row r="9434" spans="1:12" x14ac:dyDescent="0.45">
      <c r="A9434" s="12" t="s">
        <v>17043</v>
      </c>
      <c r="B9434" s="12" t="s">
        <v>1252</v>
      </c>
      <c r="C9434" s="13" t="s">
        <v>1253</v>
      </c>
      <c r="D9434" s="13" t="s">
        <v>179</v>
      </c>
      <c r="E9434" s="12" t="s">
        <v>385</v>
      </c>
      <c r="F9434" s="14">
        <v>6500</v>
      </c>
      <c r="G9434" s="14">
        <v>5760</v>
      </c>
      <c r="H9434" s="13" t="s">
        <v>17215</v>
      </c>
      <c r="I9434" s="40" t="s">
        <v>18</v>
      </c>
      <c r="J9434" s="40" t="str">
        <f>HYPERLINK("https://stock.pstatic.net/stock-research/company/64/20250818_company_258968000.pdf","PDF")</f>
        <v>PDF</v>
      </c>
      <c r="K9434" s="12" t="s">
        <v>17216</v>
      </c>
      <c r="L9434" s="20">
        <v>0.12847222222222221</v>
      </c>
    </row>
    <row r="9435" spans="1:12" x14ac:dyDescent="0.45">
      <c r="A9435" s="12" t="s">
        <v>17043</v>
      </c>
      <c r="B9435" s="12" t="s">
        <v>1328</v>
      </c>
      <c r="C9435" s="13" t="s">
        <v>1329</v>
      </c>
      <c r="D9435" s="13" t="s">
        <v>179</v>
      </c>
      <c r="E9435" s="12" t="s">
        <v>16</v>
      </c>
      <c r="F9435" s="14">
        <v>13000</v>
      </c>
      <c r="G9435" s="14">
        <v>10970</v>
      </c>
      <c r="H9435" s="13" t="s">
        <v>17217</v>
      </c>
      <c r="I9435" s="40" t="s">
        <v>18</v>
      </c>
      <c r="J9435" s="40" t="str">
        <f>HYPERLINK("https://stock.pstatic.net/stock-research/company/64/20250818_company_692827000.pdf","PDF")</f>
        <v>PDF</v>
      </c>
      <c r="K9435" s="12" t="s">
        <v>17218</v>
      </c>
      <c r="L9435" s="20">
        <v>0.18505013673655421</v>
      </c>
    </row>
    <row r="9436" spans="1:12" x14ac:dyDescent="0.45">
      <c r="A9436" s="12" t="s">
        <v>17043</v>
      </c>
      <c r="B9436" s="12" t="s">
        <v>894</v>
      </c>
      <c r="C9436" s="13" t="s">
        <v>26</v>
      </c>
      <c r="D9436" s="13" t="s">
        <v>92</v>
      </c>
      <c r="E9436" s="12" t="s">
        <v>35</v>
      </c>
      <c r="F9436" s="14">
        <v>60000</v>
      </c>
      <c r="G9436" s="14">
        <v>46850</v>
      </c>
      <c r="H9436" s="13" t="s">
        <v>17219</v>
      </c>
      <c r="I9436" s="40" t="s">
        <v>18</v>
      </c>
      <c r="J9436" s="40" t="str">
        <f>HYPERLINK("https://stock.pstatic.net/stock-research/company/63/20250818_company_682339000.pdf","PDF")</f>
        <v>PDF</v>
      </c>
      <c r="K9436" s="12" t="s">
        <v>17220</v>
      </c>
      <c r="L9436" s="20">
        <v>0.28068303094983987</v>
      </c>
    </row>
    <row r="9437" spans="1:12" x14ac:dyDescent="0.45">
      <c r="A9437" s="12" t="s">
        <v>17043</v>
      </c>
      <c r="B9437" s="12" t="s">
        <v>4129</v>
      </c>
      <c r="C9437" s="13" t="s">
        <v>4130</v>
      </c>
      <c r="D9437" s="13" t="s">
        <v>92</v>
      </c>
      <c r="E9437" s="12" t="s">
        <v>35</v>
      </c>
      <c r="F9437" s="14">
        <v>31000</v>
      </c>
      <c r="G9437" s="14">
        <v>22500</v>
      </c>
      <c r="H9437" s="13" t="s">
        <v>17221</v>
      </c>
      <c r="I9437" s="40" t="s">
        <v>18</v>
      </c>
      <c r="J9437" s="40" t="str">
        <f>HYPERLINK("https://stock.pstatic.net/stock-research/company/63/20250818_company_288934000.pdf","PDF")</f>
        <v>PDF</v>
      </c>
      <c r="K9437" s="12" t="s">
        <v>17222</v>
      </c>
      <c r="L9437" s="20">
        <v>0.37777777777777782</v>
      </c>
    </row>
    <row r="9438" spans="1:12" x14ac:dyDescent="0.45">
      <c r="A9438" s="12" t="s">
        <v>17043</v>
      </c>
      <c r="B9438" s="12" t="s">
        <v>868</v>
      </c>
      <c r="C9438" s="13" t="s">
        <v>869</v>
      </c>
      <c r="D9438" s="13" t="s">
        <v>179</v>
      </c>
      <c r="E9438" s="12" t="s">
        <v>16</v>
      </c>
      <c r="F9438" s="14">
        <v>50000</v>
      </c>
      <c r="G9438" s="14">
        <v>42800</v>
      </c>
      <c r="H9438" s="13" t="s">
        <v>17223</v>
      </c>
      <c r="I9438" s="40" t="s">
        <v>18</v>
      </c>
      <c r="J9438" s="40" t="str">
        <f>HYPERLINK("https://stock.pstatic.net/stock-research/company/64/20250818_company_934773000.pdf","PDF")</f>
        <v>PDF</v>
      </c>
      <c r="K9438" s="12" t="s">
        <v>17224</v>
      </c>
      <c r="L9438" s="20">
        <v>0.16822429906542061</v>
      </c>
    </row>
    <row r="9439" spans="1:12" x14ac:dyDescent="0.45">
      <c r="A9439" s="12" t="s">
        <v>17043</v>
      </c>
      <c r="B9439" s="12" t="s">
        <v>17225</v>
      </c>
      <c r="C9439" s="13" t="s">
        <v>17226</v>
      </c>
      <c r="D9439" s="13" t="s">
        <v>179</v>
      </c>
      <c r="E9439" s="12" t="s">
        <v>50</v>
      </c>
      <c r="F9439" s="13"/>
      <c r="G9439" s="14">
        <v>5340</v>
      </c>
      <c r="H9439" s="13" t="s">
        <v>17227</v>
      </c>
      <c r="I9439" s="40" t="s">
        <v>18</v>
      </c>
      <c r="J9439" s="40" t="str">
        <f>HYPERLINK("https://stock.pstatic.net/stock-research/company/64/20250818_company_866672000.pdf","PDF")</f>
        <v>PDF</v>
      </c>
      <c r="K9439" s="12" t="s">
        <v>17228</v>
      </c>
    </row>
    <row r="9440" spans="1:12" x14ac:dyDescent="0.45">
      <c r="A9440" s="12" t="s">
        <v>17043</v>
      </c>
      <c r="B9440" s="12" t="s">
        <v>17229</v>
      </c>
      <c r="C9440" s="13" t="s">
        <v>17230</v>
      </c>
      <c r="D9440" s="13" t="s">
        <v>34</v>
      </c>
      <c r="E9440" s="12" t="s">
        <v>35</v>
      </c>
      <c r="F9440" s="14">
        <v>550000</v>
      </c>
      <c r="G9440" s="14">
        <v>390500</v>
      </c>
      <c r="H9440" s="13" t="s">
        <v>17231</v>
      </c>
      <c r="I9440" s="40" t="s">
        <v>18</v>
      </c>
      <c r="J9440" s="40" t="str">
        <f>HYPERLINK("https://stock.pstatic.net/stock-research/company/61/20250818_company_12983000.pdf","PDF")</f>
        <v>PDF</v>
      </c>
      <c r="K9440" s="12" t="s">
        <v>17232</v>
      </c>
      <c r="L9440" s="20">
        <v>0.40845070422535212</v>
      </c>
    </row>
    <row r="9441" spans="1:12" x14ac:dyDescent="0.45">
      <c r="A9441" s="12" t="s">
        <v>17043</v>
      </c>
      <c r="B9441" s="12" t="s">
        <v>1308</v>
      </c>
      <c r="C9441" s="13" t="s">
        <v>1309</v>
      </c>
      <c r="D9441" s="13" t="s">
        <v>34</v>
      </c>
      <c r="E9441" s="12" t="s">
        <v>35</v>
      </c>
      <c r="F9441" s="14">
        <v>500000</v>
      </c>
      <c r="G9441" s="14">
        <v>381000</v>
      </c>
      <c r="H9441" s="13" t="s">
        <v>17233</v>
      </c>
      <c r="I9441" s="40" t="s">
        <v>18</v>
      </c>
      <c r="J9441" s="40" t="str">
        <f>HYPERLINK("https://stock.pstatic.net/stock-research/company/61/20250818_company_135637000.pdf","PDF")</f>
        <v>PDF</v>
      </c>
      <c r="K9441" s="12" t="s">
        <v>17234</v>
      </c>
      <c r="L9441" s="20">
        <v>0.31233595800524933</v>
      </c>
    </row>
    <row r="9442" spans="1:12" x14ac:dyDescent="0.45">
      <c r="A9442" s="12" t="s">
        <v>17043</v>
      </c>
      <c r="B9442" s="12" t="s">
        <v>5705</v>
      </c>
      <c r="C9442" s="13" t="s">
        <v>5706</v>
      </c>
      <c r="D9442" s="13" t="s">
        <v>34</v>
      </c>
      <c r="E9442" s="12" t="s">
        <v>35</v>
      </c>
      <c r="F9442" s="14">
        <v>100000</v>
      </c>
      <c r="G9442" s="14">
        <v>75400</v>
      </c>
      <c r="H9442" s="13" t="s">
        <v>17235</v>
      </c>
      <c r="I9442" s="40" t="s">
        <v>18</v>
      </c>
      <c r="J9442" s="40" t="str">
        <f>HYPERLINK("https://stock.pstatic.net/stock-research/company/61/20250818_company_207911000.pdf","PDF")</f>
        <v>PDF</v>
      </c>
      <c r="K9442" s="12" t="s">
        <v>17236</v>
      </c>
      <c r="L9442" s="20">
        <v>0.32625994694960209</v>
      </c>
    </row>
    <row r="9443" spans="1:12" x14ac:dyDescent="0.45">
      <c r="A9443" s="12" t="s">
        <v>17043</v>
      </c>
      <c r="B9443" s="12" t="s">
        <v>9883</v>
      </c>
      <c r="C9443" s="13" t="s">
        <v>9884</v>
      </c>
      <c r="D9443" s="13" t="s">
        <v>44</v>
      </c>
      <c r="E9443" s="12" t="s">
        <v>35</v>
      </c>
      <c r="F9443" s="14">
        <v>13000</v>
      </c>
      <c r="G9443" s="14">
        <v>9970</v>
      </c>
      <c r="H9443" s="13" t="s">
        <v>17237</v>
      </c>
      <c r="I9443" s="40" t="s">
        <v>18</v>
      </c>
      <c r="J9443" s="40" t="str">
        <f>HYPERLINK("https://stock.pstatic.net/stock-research/company/39/20250818_company_170510000.pdf","PDF")</f>
        <v>PDF</v>
      </c>
      <c r="K9443" s="12" t="s">
        <v>17238</v>
      </c>
      <c r="L9443" s="20">
        <v>0.30391173520561687</v>
      </c>
    </row>
    <row r="9444" spans="1:12" x14ac:dyDescent="0.45">
      <c r="A9444" s="12" t="s">
        <v>17043</v>
      </c>
      <c r="B9444" s="12" t="s">
        <v>2631</v>
      </c>
      <c r="C9444" s="13" t="s">
        <v>2632</v>
      </c>
      <c r="D9444" s="13" t="s">
        <v>44</v>
      </c>
      <c r="E9444" s="12" t="s">
        <v>50</v>
      </c>
      <c r="F9444" s="13"/>
      <c r="G9444" s="14">
        <v>17780</v>
      </c>
      <c r="H9444" s="13" t="s">
        <v>17239</v>
      </c>
      <c r="I9444" s="40" t="s">
        <v>18</v>
      </c>
      <c r="J9444" s="40" t="str">
        <f>HYPERLINK("https://stock.pstatic.net/stock-research/company/39/20250818_company_208723000.pdf","PDF")</f>
        <v>PDF</v>
      </c>
      <c r="K9444" s="12" t="s">
        <v>17240</v>
      </c>
    </row>
    <row r="9445" spans="1:12" x14ac:dyDescent="0.45">
      <c r="A9445" s="12" t="s">
        <v>17043</v>
      </c>
      <c r="B9445" s="12" t="s">
        <v>724</v>
      </c>
      <c r="C9445" s="13" t="s">
        <v>725</v>
      </c>
      <c r="D9445" s="13" t="s">
        <v>44</v>
      </c>
      <c r="E9445" s="12" t="s">
        <v>642</v>
      </c>
      <c r="F9445" s="14">
        <v>67000</v>
      </c>
      <c r="G9445" s="14">
        <v>61500</v>
      </c>
      <c r="H9445" s="13" t="s">
        <v>17241</v>
      </c>
      <c r="I9445" s="40" t="s">
        <v>18</v>
      </c>
      <c r="J9445" s="40" t="str">
        <f>HYPERLINK("https://stock.pstatic.net/stock-research/company/39/20250818_company_818629000.pdf","PDF")</f>
        <v>PDF</v>
      </c>
      <c r="K9445" s="12" t="s">
        <v>17242</v>
      </c>
      <c r="L9445" s="20">
        <v>8.943089430894309E-2</v>
      </c>
    </row>
    <row r="9446" spans="1:12" x14ac:dyDescent="0.45">
      <c r="A9446" s="12" t="s">
        <v>17043</v>
      </c>
      <c r="B9446" s="12" t="s">
        <v>710</v>
      </c>
      <c r="C9446" s="13" t="s">
        <v>711</v>
      </c>
      <c r="D9446" s="13" t="s">
        <v>44</v>
      </c>
      <c r="E9446" s="12" t="s">
        <v>50</v>
      </c>
      <c r="F9446" s="13"/>
      <c r="G9446" s="14">
        <v>43650</v>
      </c>
      <c r="H9446" s="13" t="s">
        <v>17243</v>
      </c>
      <c r="I9446" s="40" t="s">
        <v>18</v>
      </c>
      <c r="J9446" s="40" t="str">
        <f>HYPERLINK("https://stock.pstatic.net/stock-research/company/39/20250818_company_17988000.pdf","PDF")</f>
        <v>PDF</v>
      </c>
      <c r="K9446" s="12" t="s">
        <v>17244</v>
      </c>
    </row>
    <row r="9447" spans="1:12" x14ac:dyDescent="0.45">
      <c r="A9447" s="12" t="s">
        <v>17043</v>
      </c>
      <c r="B9447" s="12" t="s">
        <v>1415</v>
      </c>
      <c r="C9447" s="13" t="s">
        <v>1416</v>
      </c>
      <c r="D9447" s="13" t="s">
        <v>34</v>
      </c>
      <c r="E9447" s="12" t="s">
        <v>35</v>
      </c>
      <c r="F9447" s="14">
        <v>6500</v>
      </c>
      <c r="G9447" s="14">
        <v>4495</v>
      </c>
      <c r="H9447" s="13" t="s">
        <v>17245</v>
      </c>
      <c r="I9447" s="40" t="s">
        <v>18</v>
      </c>
      <c r="J9447" s="40" t="str">
        <f>HYPERLINK("https://stock.pstatic.net/stock-research/company/61/20250818_company_435523000.pdf","PDF")</f>
        <v>PDF</v>
      </c>
      <c r="K9447" s="12" t="s">
        <v>17246</v>
      </c>
      <c r="L9447" s="20">
        <v>0.44605116796440492</v>
      </c>
    </row>
    <row r="9448" spans="1:12" x14ac:dyDescent="0.45">
      <c r="A9448" s="12" t="s">
        <v>17043</v>
      </c>
      <c r="B9448" s="12" t="s">
        <v>2631</v>
      </c>
      <c r="C9448" s="13" t="s">
        <v>2632</v>
      </c>
      <c r="D9448" s="13" t="s">
        <v>34</v>
      </c>
      <c r="E9448" s="12" t="s">
        <v>50</v>
      </c>
      <c r="F9448" s="13"/>
      <c r="G9448" s="14">
        <v>17780</v>
      </c>
      <c r="H9448" s="13" t="s">
        <v>17247</v>
      </c>
      <c r="I9448" s="40" t="s">
        <v>18</v>
      </c>
      <c r="J9448" s="40" t="str">
        <f>HYPERLINK("https://stock.pstatic.net/stock-research/company/61/20250818_company_344111000.pdf","PDF")</f>
        <v>PDF</v>
      </c>
      <c r="K9448" s="12" t="s">
        <v>17248</v>
      </c>
    </row>
    <row r="9449" spans="1:12" x14ac:dyDescent="0.45">
      <c r="A9449" s="12" t="s">
        <v>17043</v>
      </c>
      <c r="B9449" s="12" t="s">
        <v>849</v>
      </c>
      <c r="C9449" s="13" t="s">
        <v>850</v>
      </c>
      <c r="D9449" s="13" t="s">
        <v>34</v>
      </c>
      <c r="E9449" s="12" t="s">
        <v>50</v>
      </c>
      <c r="F9449" s="13"/>
      <c r="G9449" s="14">
        <v>36300</v>
      </c>
      <c r="H9449" s="13" t="s">
        <v>17249</v>
      </c>
      <c r="I9449" s="40" t="s">
        <v>18</v>
      </c>
      <c r="J9449" s="40" t="str">
        <f>HYPERLINK("https://stock.pstatic.net/stock-research/company/61/20250818_company_970810000.pdf","PDF")</f>
        <v>PDF</v>
      </c>
      <c r="K9449" s="12" t="s">
        <v>17250</v>
      </c>
    </row>
    <row r="9450" spans="1:12" x14ac:dyDescent="0.45">
      <c r="A9450" s="12" t="s">
        <v>17043</v>
      </c>
      <c r="B9450" s="12" t="s">
        <v>259</v>
      </c>
      <c r="C9450" s="13" t="s">
        <v>260</v>
      </c>
      <c r="D9450" s="13" t="s">
        <v>34</v>
      </c>
      <c r="E9450" s="12" t="s">
        <v>35</v>
      </c>
      <c r="F9450" s="14">
        <v>100000</v>
      </c>
      <c r="G9450" s="14">
        <v>79300</v>
      </c>
      <c r="H9450" s="13" t="s">
        <v>17251</v>
      </c>
      <c r="I9450" s="40" t="s">
        <v>18</v>
      </c>
      <c r="J9450" s="40" t="str">
        <f>HYPERLINK("https://stock.pstatic.net/stock-research/company/61/20250818_company_30270000.pdf","PDF")</f>
        <v>PDF</v>
      </c>
      <c r="K9450" s="12" t="s">
        <v>17252</v>
      </c>
      <c r="L9450" s="20">
        <v>0.2610340479192938</v>
      </c>
    </row>
    <row r="9451" spans="1:12" x14ac:dyDescent="0.45">
      <c r="A9451" s="12" t="s">
        <v>17043</v>
      </c>
      <c r="B9451" s="12" t="s">
        <v>617</v>
      </c>
      <c r="C9451" s="13" t="s">
        <v>618</v>
      </c>
      <c r="D9451" s="13" t="s">
        <v>124</v>
      </c>
      <c r="E9451" s="12" t="s">
        <v>50</v>
      </c>
      <c r="F9451" s="13"/>
      <c r="G9451" s="13"/>
      <c r="H9451" s="13" t="s">
        <v>17253</v>
      </c>
      <c r="I9451" s="40" t="s">
        <v>18</v>
      </c>
      <c r="J9451" s="40" t="str">
        <f>HYPERLINK("https://stock.pstatic.net/stock-research/company/74/20250818_company_475469000.pdf","PDF")</f>
        <v>PDF</v>
      </c>
      <c r="K9451" s="12" t="s">
        <v>17254</v>
      </c>
    </row>
    <row r="9452" spans="1:12" x14ac:dyDescent="0.45">
      <c r="A9452" s="12" t="s">
        <v>17043</v>
      </c>
      <c r="B9452" s="12" t="s">
        <v>946</v>
      </c>
      <c r="C9452" s="13" t="s">
        <v>947</v>
      </c>
      <c r="D9452" s="13" t="s">
        <v>124</v>
      </c>
      <c r="E9452" s="12" t="s">
        <v>50</v>
      </c>
      <c r="F9452" s="13"/>
      <c r="G9452" s="13"/>
      <c r="H9452" s="13" t="s">
        <v>17255</v>
      </c>
      <c r="I9452" s="40" t="s">
        <v>18</v>
      </c>
      <c r="J9452" s="40" t="str">
        <f>HYPERLINK("https://stock.pstatic.net/stock-research/company/74/20250818_company_69763000.pdf","PDF")</f>
        <v>PDF</v>
      </c>
      <c r="K9452" s="12" t="s">
        <v>17256</v>
      </c>
    </row>
    <row r="9453" spans="1:12" x14ac:dyDescent="0.45">
      <c r="A9453" s="12" t="s">
        <v>17043</v>
      </c>
      <c r="B9453" s="12" t="s">
        <v>8911</v>
      </c>
      <c r="C9453" s="13" t="s">
        <v>8912</v>
      </c>
      <c r="D9453" s="13" t="s">
        <v>44</v>
      </c>
      <c r="E9453" s="12" t="s">
        <v>45</v>
      </c>
      <c r="F9453" s="14">
        <v>46000</v>
      </c>
      <c r="G9453" s="14">
        <v>40750</v>
      </c>
      <c r="H9453" s="13" t="s">
        <v>17257</v>
      </c>
      <c r="I9453" s="40" t="s">
        <v>18</v>
      </c>
      <c r="J9453" s="40" t="str">
        <f>HYPERLINK("https://stock.pstatic.net/stock-research/company/39/20250818_company_771664000.pdf","PDF")</f>
        <v>PDF</v>
      </c>
      <c r="K9453" s="12" t="s">
        <v>17258</v>
      </c>
      <c r="L9453" s="20">
        <v>0.12883435582822089</v>
      </c>
    </row>
    <row r="9454" spans="1:12" x14ac:dyDescent="0.45">
      <c r="A9454" s="12" t="s">
        <v>17043</v>
      </c>
      <c r="B9454" s="12" t="s">
        <v>114</v>
      </c>
      <c r="C9454" s="13" t="s">
        <v>115</v>
      </c>
      <c r="D9454" s="13" t="s">
        <v>44</v>
      </c>
      <c r="E9454" s="12" t="s">
        <v>35</v>
      </c>
      <c r="F9454" s="14">
        <v>18000</v>
      </c>
      <c r="G9454" s="14">
        <v>15000</v>
      </c>
      <c r="H9454" s="13" t="s">
        <v>17259</v>
      </c>
      <c r="I9454" s="40" t="s">
        <v>18</v>
      </c>
      <c r="J9454" s="40" t="str">
        <f>HYPERLINK("https://stock.pstatic.net/stock-research/company/39/20250818_company_501359000.pdf","PDF")</f>
        <v>PDF</v>
      </c>
      <c r="K9454" s="12" t="s">
        <v>17260</v>
      </c>
      <c r="L9454" s="20">
        <v>0.2</v>
      </c>
    </row>
    <row r="9455" spans="1:12" x14ac:dyDescent="0.45">
      <c r="A9455" s="12" t="s">
        <v>17043</v>
      </c>
      <c r="B9455" s="12" t="s">
        <v>98</v>
      </c>
      <c r="C9455" s="13" t="s">
        <v>99</v>
      </c>
      <c r="D9455" s="13" t="s">
        <v>44</v>
      </c>
      <c r="E9455" s="12" t="s">
        <v>45</v>
      </c>
      <c r="F9455" s="14">
        <v>32000</v>
      </c>
      <c r="G9455" s="14">
        <v>27550</v>
      </c>
      <c r="H9455" s="13" t="s">
        <v>17261</v>
      </c>
      <c r="I9455" s="40" t="s">
        <v>18</v>
      </c>
      <c r="J9455" s="40" t="str">
        <f>HYPERLINK("https://stock.pstatic.net/stock-research/company/39/20250818_company_893615000.pdf","PDF")</f>
        <v>PDF</v>
      </c>
      <c r="K9455" s="12" t="s">
        <v>17262</v>
      </c>
      <c r="L9455" s="20">
        <v>0.161524500907441</v>
      </c>
    </row>
    <row r="9456" spans="1:12" x14ac:dyDescent="0.45">
      <c r="A9456" s="12" t="s">
        <v>17043</v>
      </c>
      <c r="B9456" s="12" t="s">
        <v>1946</v>
      </c>
      <c r="C9456" s="13" t="s">
        <v>1947</v>
      </c>
      <c r="D9456" s="13" t="s">
        <v>15</v>
      </c>
      <c r="E9456" s="12" t="s">
        <v>16</v>
      </c>
      <c r="F9456" s="14">
        <v>25000</v>
      </c>
      <c r="G9456" s="14">
        <v>20200</v>
      </c>
      <c r="H9456" s="13" t="s">
        <v>17263</v>
      </c>
      <c r="I9456" s="40" t="s">
        <v>18</v>
      </c>
      <c r="J9456" s="40" t="str">
        <f>HYPERLINK("https://stock.pstatic.net/stock-research/company/29/20250818_company_356222000.pdf","PDF")</f>
        <v>PDF</v>
      </c>
      <c r="K9456" s="12" t="s">
        <v>17264</v>
      </c>
      <c r="L9456" s="20">
        <v>0.23762376237623761</v>
      </c>
    </row>
    <row r="9457" spans="1:12" x14ac:dyDescent="0.45">
      <c r="A9457" s="12" t="s">
        <v>17043</v>
      </c>
      <c r="B9457" s="12" t="s">
        <v>17265</v>
      </c>
      <c r="C9457" s="13" t="s">
        <v>17266</v>
      </c>
      <c r="D9457" s="13" t="s">
        <v>202</v>
      </c>
      <c r="E9457" s="12" t="s">
        <v>50</v>
      </c>
      <c r="F9457" s="13"/>
      <c r="G9457" s="13"/>
      <c r="H9457" s="13" t="s">
        <v>17267</v>
      </c>
      <c r="I9457" s="40" t="s">
        <v>18</v>
      </c>
      <c r="J9457" s="40" t="str">
        <f>HYPERLINK("https://stock.pstatic.net/stock-research/company/69/20250818_company_40995000.pdf","PDF")</f>
        <v>PDF</v>
      </c>
      <c r="K9457" s="12" t="s">
        <v>17268</v>
      </c>
    </row>
    <row r="9458" spans="1:12" x14ac:dyDescent="0.45">
      <c r="A9458" s="12" t="s">
        <v>17043</v>
      </c>
      <c r="B9458" s="12" t="s">
        <v>17269</v>
      </c>
      <c r="C9458" s="13" t="s">
        <v>17270</v>
      </c>
      <c r="D9458" s="13" t="s">
        <v>202</v>
      </c>
      <c r="E9458" s="12" t="s">
        <v>50</v>
      </c>
      <c r="F9458" s="13"/>
      <c r="G9458" s="13"/>
      <c r="H9458" s="13" t="s">
        <v>17271</v>
      </c>
      <c r="I9458" s="40" t="s">
        <v>18</v>
      </c>
      <c r="J9458" s="40" t="str">
        <f>HYPERLINK("https://stock.pstatic.net/stock-research/company/69/20250818_company_342481000.pdf","PDF")</f>
        <v>PDF</v>
      </c>
      <c r="K9458" s="12" t="s">
        <v>17272</v>
      </c>
    </row>
    <row r="9459" spans="1:12" x14ac:dyDescent="0.45">
      <c r="A9459" s="12" t="s">
        <v>17043</v>
      </c>
      <c r="B9459" s="12" t="s">
        <v>17273</v>
      </c>
      <c r="C9459" s="13" t="s">
        <v>17274</v>
      </c>
      <c r="D9459" s="13" t="s">
        <v>202</v>
      </c>
      <c r="E9459" s="12" t="s">
        <v>50</v>
      </c>
      <c r="F9459" s="13"/>
      <c r="G9459" s="13"/>
      <c r="H9459" s="13" t="s">
        <v>17275</v>
      </c>
      <c r="I9459" s="40" t="s">
        <v>18</v>
      </c>
      <c r="J9459" s="40" t="str">
        <f>HYPERLINK("https://stock.pstatic.net/stock-research/company/69/20250818_company_956580000.pdf","PDF")</f>
        <v>PDF</v>
      </c>
      <c r="K9459" s="12" t="s">
        <v>17276</v>
      </c>
    </row>
    <row r="9460" spans="1:12" x14ac:dyDescent="0.45">
      <c r="A9460" s="12" t="s">
        <v>17043</v>
      </c>
      <c r="B9460" s="12" t="s">
        <v>17277</v>
      </c>
      <c r="C9460" s="13" t="s">
        <v>17278</v>
      </c>
      <c r="D9460" s="13" t="s">
        <v>202</v>
      </c>
      <c r="E9460" s="12" t="s">
        <v>50</v>
      </c>
      <c r="F9460" s="13"/>
      <c r="G9460" s="13"/>
      <c r="H9460" s="13" t="s">
        <v>17279</v>
      </c>
      <c r="I9460" s="40" t="s">
        <v>18</v>
      </c>
      <c r="J9460" s="40" t="str">
        <f>HYPERLINK("https://stock.pstatic.net/stock-research/company/69/20250818_company_583133000.pdf","PDF")</f>
        <v>PDF</v>
      </c>
      <c r="K9460" s="12" t="s">
        <v>17280</v>
      </c>
    </row>
    <row r="9461" spans="1:12" x14ac:dyDescent="0.45">
      <c r="A9461" s="12" t="s">
        <v>17043</v>
      </c>
      <c r="B9461" s="12" t="s">
        <v>17281</v>
      </c>
      <c r="C9461" s="13" t="s">
        <v>17282</v>
      </c>
      <c r="D9461" s="13" t="s">
        <v>207</v>
      </c>
      <c r="E9461" s="12" t="s">
        <v>50</v>
      </c>
      <c r="F9461" s="13"/>
      <c r="G9461" s="13"/>
      <c r="H9461" s="13" t="s">
        <v>17283</v>
      </c>
      <c r="I9461" s="40" t="s">
        <v>18</v>
      </c>
      <c r="J9461" s="40" t="str">
        <f>HYPERLINK("https://stock.pstatic.net/stock-research/company/75/20250818_company_739278000.pdf","PDF")</f>
        <v>PDF</v>
      </c>
      <c r="K9461" s="12" t="s">
        <v>17284</v>
      </c>
    </row>
    <row r="9462" spans="1:12" x14ac:dyDescent="0.45">
      <c r="A9462" s="12" t="s">
        <v>17043</v>
      </c>
      <c r="B9462" s="12" t="s">
        <v>17285</v>
      </c>
      <c r="C9462" s="13" t="s">
        <v>17286</v>
      </c>
      <c r="D9462" s="13" t="s">
        <v>207</v>
      </c>
      <c r="E9462" s="12" t="s">
        <v>50</v>
      </c>
      <c r="F9462" s="13"/>
      <c r="G9462" s="13"/>
      <c r="H9462" s="13" t="s">
        <v>17287</v>
      </c>
      <c r="I9462" s="40" t="s">
        <v>18</v>
      </c>
      <c r="J9462" s="40" t="str">
        <f>HYPERLINK("https://stock.pstatic.net/stock-research/company/75/20250818_company_833807000.pdf","PDF")</f>
        <v>PDF</v>
      </c>
      <c r="K9462" s="12" t="s">
        <v>17288</v>
      </c>
    </row>
    <row r="9463" spans="1:12" x14ac:dyDescent="0.45">
      <c r="A9463" s="12" t="s">
        <v>17043</v>
      </c>
      <c r="B9463" s="12" t="s">
        <v>17289</v>
      </c>
      <c r="C9463" s="13" t="s">
        <v>17290</v>
      </c>
      <c r="D9463" s="13" t="s">
        <v>207</v>
      </c>
      <c r="E9463" s="12" t="s">
        <v>50</v>
      </c>
      <c r="F9463" s="13"/>
      <c r="G9463" s="13"/>
      <c r="H9463" s="13" t="s">
        <v>17291</v>
      </c>
      <c r="I9463" s="40" t="s">
        <v>18</v>
      </c>
      <c r="J9463" s="40" t="str">
        <f>HYPERLINK("https://stock.pstatic.net/stock-research/company/75/20250818_company_927801000.pdf","PDF")</f>
        <v>PDF</v>
      </c>
      <c r="K9463" s="12" t="s">
        <v>17292</v>
      </c>
    </row>
    <row r="9464" spans="1:12" x14ac:dyDescent="0.45">
      <c r="A9464" s="12" t="s">
        <v>17043</v>
      </c>
      <c r="B9464" s="12" t="s">
        <v>17293</v>
      </c>
      <c r="C9464" s="13" t="s">
        <v>17294</v>
      </c>
      <c r="D9464" s="13" t="s">
        <v>207</v>
      </c>
      <c r="E9464" s="12" t="s">
        <v>50</v>
      </c>
      <c r="F9464" s="13"/>
      <c r="G9464" s="13"/>
      <c r="H9464" s="13" t="s">
        <v>17295</v>
      </c>
      <c r="I9464" s="40" t="s">
        <v>18</v>
      </c>
      <c r="J9464" s="40" t="str">
        <f>HYPERLINK("https://stock.pstatic.net/stock-research/company/75/20250818_company_938223000.pdf","PDF")</f>
        <v>PDF</v>
      </c>
      <c r="K9464" s="12" t="s">
        <v>17296</v>
      </c>
    </row>
    <row r="9465" spans="1:12" x14ac:dyDescent="0.45">
      <c r="A9465" s="12" t="s">
        <v>17297</v>
      </c>
      <c r="B9465" s="12" t="s">
        <v>1906</v>
      </c>
      <c r="C9465" s="13" t="s">
        <v>1907</v>
      </c>
      <c r="D9465" s="13" t="s">
        <v>57</v>
      </c>
      <c r="E9465" s="12" t="s">
        <v>35</v>
      </c>
      <c r="F9465" s="14">
        <v>37000</v>
      </c>
      <c r="G9465" s="14">
        <v>29650</v>
      </c>
      <c r="H9465" s="13" t="s">
        <v>17298</v>
      </c>
      <c r="I9465" s="40" t="s">
        <v>18</v>
      </c>
      <c r="J9465" s="40" t="str">
        <f>HYPERLINK("https://stock.pstatic.net/stock-research/company/16/20250814_company_362046000.pdf","PDF")</f>
        <v>PDF</v>
      </c>
      <c r="K9465" s="12" t="s">
        <v>17299</v>
      </c>
      <c r="L9465" s="20">
        <v>0.2478920741989882</v>
      </c>
    </row>
    <row r="9466" spans="1:12" x14ac:dyDescent="0.45">
      <c r="A9466" s="12" t="s">
        <v>17297</v>
      </c>
      <c r="B9466" s="12" t="s">
        <v>259</v>
      </c>
      <c r="C9466" s="13" t="s">
        <v>260</v>
      </c>
      <c r="D9466" s="13" t="s">
        <v>57</v>
      </c>
      <c r="E9466" s="12" t="s">
        <v>35</v>
      </c>
      <c r="F9466" s="14">
        <v>100000</v>
      </c>
      <c r="G9466" s="14">
        <v>75700</v>
      </c>
      <c r="H9466" s="13" t="s">
        <v>17300</v>
      </c>
      <c r="I9466" s="40" t="s">
        <v>18</v>
      </c>
      <c r="J9466" s="40" t="str">
        <f>HYPERLINK("https://stock.pstatic.net/stock-research/company/16/20250814_company_903628000.pdf","PDF")</f>
        <v>PDF</v>
      </c>
      <c r="K9466" s="12" t="s">
        <v>17301</v>
      </c>
      <c r="L9466" s="20">
        <v>0.32100396301188899</v>
      </c>
    </row>
    <row r="9467" spans="1:12" x14ac:dyDescent="0.45">
      <c r="A9467" s="12" t="s">
        <v>17297</v>
      </c>
      <c r="B9467" s="12" t="s">
        <v>21</v>
      </c>
      <c r="C9467" s="13" t="s">
        <v>22</v>
      </c>
      <c r="D9467" s="13" t="s">
        <v>57</v>
      </c>
      <c r="E9467" s="12" t="s">
        <v>35</v>
      </c>
      <c r="F9467" s="14">
        <v>38000</v>
      </c>
      <c r="G9467" s="14">
        <v>26150</v>
      </c>
      <c r="H9467" s="13" t="s">
        <v>17302</v>
      </c>
      <c r="I9467" s="40" t="s">
        <v>18</v>
      </c>
      <c r="J9467" s="40" t="str">
        <f>HYPERLINK("https://stock.pstatic.net/stock-research/company/16/20250814_company_997943000.pdf","PDF")</f>
        <v>PDF</v>
      </c>
      <c r="K9467" s="12" t="s">
        <v>17303</v>
      </c>
      <c r="L9467" s="20">
        <v>0.45315487571701718</v>
      </c>
    </row>
    <row r="9468" spans="1:12" x14ac:dyDescent="0.45">
      <c r="A9468" s="12" t="s">
        <v>17297</v>
      </c>
      <c r="B9468" s="12" t="s">
        <v>1266</v>
      </c>
      <c r="C9468" s="13" t="s">
        <v>1267</v>
      </c>
      <c r="D9468" s="13" t="s">
        <v>57</v>
      </c>
      <c r="E9468" s="12" t="s">
        <v>159</v>
      </c>
      <c r="F9468" s="14">
        <v>125000</v>
      </c>
      <c r="G9468" s="14">
        <v>125300</v>
      </c>
      <c r="H9468" s="13" t="s">
        <v>17304</v>
      </c>
      <c r="I9468" s="40" t="s">
        <v>18</v>
      </c>
      <c r="J9468" s="40" t="str">
        <f>HYPERLINK("https://stock.pstatic.net/stock-research/company/16/20250814_company_853965000.pdf","PDF")</f>
        <v>PDF</v>
      </c>
      <c r="K9468" s="12" t="s">
        <v>17305</v>
      </c>
      <c r="L9468" s="20">
        <v>-2.394253790901836E-3</v>
      </c>
    </row>
    <row r="9469" spans="1:12" x14ac:dyDescent="0.45">
      <c r="A9469" s="12" t="s">
        <v>17297</v>
      </c>
      <c r="B9469" s="12" t="s">
        <v>11329</v>
      </c>
      <c r="C9469" s="13" t="s">
        <v>11330</v>
      </c>
      <c r="D9469" s="13" t="s">
        <v>276</v>
      </c>
      <c r="E9469" s="12" t="s">
        <v>16</v>
      </c>
      <c r="F9469" s="14">
        <v>12000</v>
      </c>
      <c r="G9469" s="14">
        <v>9890</v>
      </c>
      <c r="H9469" s="13" t="s">
        <v>17306</v>
      </c>
      <c r="I9469" s="40" t="s">
        <v>18</v>
      </c>
      <c r="J9469" s="40" t="str">
        <f>HYPERLINK("https://stock.pstatic.net/stock-research/company/66/20250814_company_879803000.pdf","PDF")</f>
        <v>PDF</v>
      </c>
      <c r="K9469" s="12" t="s">
        <v>17307</v>
      </c>
      <c r="L9469" s="20">
        <v>0.21334681496461069</v>
      </c>
    </row>
    <row r="9470" spans="1:12" x14ac:dyDescent="0.45">
      <c r="A9470" s="12" t="s">
        <v>17297</v>
      </c>
      <c r="B9470" s="12" t="s">
        <v>21</v>
      </c>
      <c r="C9470" s="13" t="s">
        <v>22</v>
      </c>
      <c r="D9470" s="13" t="s">
        <v>60</v>
      </c>
      <c r="E9470" s="12" t="s">
        <v>35</v>
      </c>
      <c r="F9470" s="14">
        <v>30000</v>
      </c>
      <c r="G9470" s="14">
        <v>26150</v>
      </c>
      <c r="H9470" s="13" t="s">
        <v>17308</v>
      </c>
      <c r="I9470" s="40" t="s">
        <v>18</v>
      </c>
      <c r="J9470" s="40" t="str">
        <f>HYPERLINK("https://stock.pstatic.net/stock-research/company/34/20250814_company_55809000.pdf","PDF")</f>
        <v>PDF</v>
      </c>
      <c r="K9470" s="12" t="s">
        <v>17309</v>
      </c>
      <c r="L9470" s="20">
        <v>0.14722753346080311</v>
      </c>
    </row>
    <row r="9471" spans="1:12" x14ac:dyDescent="0.45">
      <c r="A9471" s="12" t="s">
        <v>17297</v>
      </c>
      <c r="B9471" s="12" t="s">
        <v>1258</v>
      </c>
      <c r="C9471" s="13" t="s">
        <v>1259</v>
      </c>
      <c r="D9471" s="13" t="s">
        <v>60</v>
      </c>
      <c r="E9471" s="12" t="s">
        <v>35</v>
      </c>
      <c r="F9471" s="14">
        <v>520000</v>
      </c>
      <c r="G9471" s="14">
        <v>438500</v>
      </c>
      <c r="H9471" s="13" t="s">
        <v>17310</v>
      </c>
      <c r="I9471" s="40" t="s">
        <v>18</v>
      </c>
      <c r="J9471" s="40" t="str">
        <f>HYPERLINK("https://stock.pstatic.net/stock-research/company/34/20250814_company_874704000.pdf","PDF")</f>
        <v>PDF</v>
      </c>
      <c r="K9471" s="12" t="s">
        <v>17311</v>
      </c>
      <c r="L9471" s="20">
        <v>0.18586088939566711</v>
      </c>
    </row>
    <row r="9472" spans="1:12" x14ac:dyDescent="0.45">
      <c r="A9472" s="12" t="s">
        <v>17297</v>
      </c>
      <c r="B9472" s="12" t="s">
        <v>1266</v>
      </c>
      <c r="C9472" s="13" t="s">
        <v>1267</v>
      </c>
      <c r="D9472" s="13" t="s">
        <v>60</v>
      </c>
      <c r="E9472" s="12" t="s">
        <v>35</v>
      </c>
      <c r="F9472" s="14">
        <v>144000</v>
      </c>
      <c r="G9472" s="14">
        <v>125300</v>
      </c>
      <c r="H9472" s="13" t="s">
        <v>17312</v>
      </c>
      <c r="I9472" s="40" t="s">
        <v>18</v>
      </c>
      <c r="J9472" s="40" t="str">
        <f>HYPERLINK("https://stock.pstatic.net/stock-research/company/34/20250814_company_583375000.pdf","PDF")</f>
        <v>PDF</v>
      </c>
      <c r="K9472" s="12" t="s">
        <v>17313</v>
      </c>
      <c r="L9472" s="20">
        <v>0.14924181963288111</v>
      </c>
    </row>
    <row r="9473" spans="1:12" x14ac:dyDescent="0.45">
      <c r="A9473" s="12" t="s">
        <v>17297</v>
      </c>
      <c r="B9473" s="12" t="s">
        <v>1262</v>
      </c>
      <c r="C9473" s="13" t="s">
        <v>1263</v>
      </c>
      <c r="D9473" s="13" t="s">
        <v>60</v>
      </c>
      <c r="E9473" s="12" t="s">
        <v>35</v>
      </c>
      <c r="F9473" s="14">
        <v>4000</v>
      </c>
      <c r="G9473" s="14">
        <v>3335</v>
      </c>
      <c r="H9473" s="13" t="s">
        <v>17314</v>
      </c>
      <c r="I9473" s="40" t="s">
        <v>18</v>
      </c>
      <c r="J9473" s="40" t="str">
        <f>HYPERLINK("https://stock.pstatic.net/stock-research/company/34/20250814_company_519638000.pdf","PDF")</f>
        <v>PDF</v>
      </c>
      <c r="K9473" s="12" t="s">
        <v>17315</v>
      </c>
      <c r="L9473" s="20">
        <v>0.19940029985007501</v>
      </c>
    </row>
    <row r="9474" spans="1:12" x14ac:dyDescent="0.45">
      <c r="A9474" s="12" t="s">
        <v>17297</v>
      </c>
      <c r="B9474" s="12" t="s">
        <v>1906</v>
      </c>
      <c r="C9474" s="13" t="s">
        <v>1907</v>
      </c>
      <c r="D9474" s="13" t="s">
        <v>60</v>
      </c>
      <c r="E9474" s="12" t="s">
        <v>50</v>
      </c>
      <c r="F9474" s="14">
        <v>39000</v>
      </c>
      <c r="G9474" s="14">
        <v>29650</v>
      </c>
      <c r="H9474" s="13" t="s">
        <v>17316</v>
      </c>
      <c r="I9474" s="40" t="s">
        <v>18</v>
      </c>
      <c r="J9474" s="40" t="str">
        <f>HYPERLINK("https://stock.pstatic.net/stock-research/company/34/20250814_company_103873000.pdf","PDF")</f>
        <v>PDF</v>
      </c>
      <c r="K9474" s="12" t="s">
        <v>17317</v>
      </c>
      <c r="L9474" s="20">
        <v>0.31534569983136601</v>
      </c>
    </row>
    <row r="9475" spans="1:12" x14ac:dyDescent="0.45">
      <c r="A9475" s="12" t="s">
        <v>17297</v>
      </c>
      <c r="B9475" s="12" t="s">
        <v>888</v>
      </c>
      <c r="C9475" s="13" t="s">
        <v>889</v>
      </c>
      <c r="D9475" s="13" t="s">
        <v>60</v>
      </c>
      <c r="E9475" s="12" t="s">
        <v>35</v>
      </c>
      <c r="F9475" s="14">
        <v>70000</v>
      </c>
      <c r="G9475" s="14">
        <v>53000</v>
      </c>
      <c r="H9475" s="13" t="s">
        <v>17318</v>
      </c>
      <c r="I9475" s="40" t="s">
        <v>18</v>
      </c>
      <c r="J9475" s="40" t="str">
        <f>HYPERLINK("https://stock.pstatic.net/stock-research/company/34/20250814_company_716290000.pdf","PDF")</f>
        <v>PDF</v>
      </c>
      <c r="K9475" s="12" t="s">
        <v>17319</v>
      </c>
      <c r="L9475" s="20">
        <v>0.32075471698113212</v>
      </c>
    </row>
    <row r="9476" spans="1:12" x14ac:dyDescent="0.45">
      <c r="A9476" s="12" t="s">
        <v>17297</v>
      </c>
      <c r="B9476" s="12" t="s">
        <v>888</v>
      </c>
      <c r="C9476" s="13" t="s">
        <v>889</v>
      </c>
      <c r="D9476" s="13" t="s">
        <v>65</v>
      </c>
      <c r="E9476" s="12" t="s">
        <v>35</v>
      </c>
      <c r="F9476" s="14">
        <v>70000</v>
      </c>
      <c r="G9476" s="14">
        <v>53000</v>
      </c>
      <c r="H9476" s="13" t="s">
        <v>17320</v>
      </c>
      <c r="I9476" s="40" t="s">
        <v>18</v>
      </c>
      <c r="J9476" s="40" t="str">
        <f>HYPERLINK("https://stock.pstatic.net/stock-research/company/57/20250814_company_982805000.pdf","PDF")</f>
        <v>PDF</v>
      </c>
      <c r="K9476" s="12" t="s">
        <v>17321</v>
      </c>
      <c r="L9476" s="20">
        <v>0.32075471698113212</v>
      </c>
    </row>
    <row r="9477" spans="1:12" x14ac:dyDescent="0.45">
      <c r="A9477" s="12" t="s">
        <v>17297</v>
      </c>
      <c r="B9477" s="12" t="s">
        <v>894</v>
      </c>
      <c r="C9477" s="13" t="s">
        <v>26</v>
      </c>
      <c r="D9477" s="13" t="s">
        <v>65</v>
      </c>
      <c r="E9477" s="12" t="s">
        <v>35</v>
      </c>
      <c r="F9477" s="14">
        <v>57000</v>
      </c>
      <c r="G9477" s="14">
        <v>47600</v>
      </c>
      <c r="H9477" s="13" t="s">
        <v>17322</v>
      </c>
      <c r="I9477" s="40" t="s">
        <v>18</v>
      </c>
      <c r="J9477" s="40" t="str">
        <f>HYPERLINK("https://stock.pstatic.net/stock-research/company/57/20250814_company_858648000.pdf","PDF")</f>
        <v>PDF</v>
      </c>
      <c r="K9477" s="12" t="s">
        <v>17323</v>
      </c>
      <c r="L9477" s="20">
        <v>0.19747899159663859</v>
      </c>
    </row>
    <row r="9478" spans="1:12" x14ac:dyDescent="0.45">
      <c r="A9478" s="12" t="s">
        <v>17297</v>
      </c>
      <c r="B9478" s="12" t="s">
        <v>259</v>
      </c>
      <c r="C9478" s="13" t="s">
        <v>260</v>
      </c>
      <c r="D9478" s="13" t="s">
        <v>65</v>
      </c>
      <c r="E9478" s="12" t="s">
        <v>35</v>
      </c>
      <c r="F9478" s="14">
        <v>95000</v>
      </c>
      <c r="G9478" s="14">
        <v>75700</v>
      </c>
      <c r="H9478" s="13" t="s">
        <v>17324</v>
      </c>
      <c r="I9478" s="40" t="s">
        <v>18</v>
      </c>
      <c r="J9478" s="40" t="str">
        <f>HYPERLINK("https://stock.pstatic.net/stock-research/company/57/20250814_company_136614000.pdf","PDF")</f>
        <v>PDF</v>
      </c>
      <c r="K9478" s="12" t="s">
        <v>17325</v>
      </c>
      <c r="L9478" s="20">
        <v>0.25495376486129462</v>
      </c>
    </row>
    <row r="9479" spans="1:12" x14ac:dyDescent="0.45">
      <c r="A9479" s="12" t="s">
        <v>17297</v>
      </c>
      <c r="B9479" s="12" t="s">
        <v>76</v>
      </c>
      <c r="C9479" s="13" t="s">
        <v>77</v>
      </c>
      <c r="D9479" s="13" t="s">
        <v>65</v>
      </c>
      <c r="E9479" s="12" t="s">
        <v>1738</v>
      </c>
      <c r="F9479" s="14">
        <v>24000</v>
      </c>
      <c r="G9479" s="14">
        <v>22500</v>
      </c>
      <c r="H9479" s="13" t="s">
        <v>17326</v>
      </c>
      <c r="I9479" s="40" t="s">
        <v>18</v>
      </c>
      <c r="J9479" s="40" t="str">
        <f>HYPERLINK("https://stock.pstatic.net/stock-research/company/57/20250814_company_273135000.pdf","PDF")</f>
        <v>PDF</v>
      </c>
      <c r="K9479" s="12" t="s">
        <v>17327</v>
      </c>
      <c r="L9479" s="20">
        <v>6.6666666666666666E-2</v>
      </c>
    </row>
    <row r="9480" spans="1:12" x14ac:dyDescent="0.45">
      <c r="A9480" s="12" t="s">
        <v>17297</v>
      </c>
      <c r="B9480" s="12" t="s">
        <v>1556</v>
      </c>
      <c r="C9480" s="13" t="s">
        <v>1557</v>
      </c>
      <c r="D9480" s="13" t="s">
        <v>65</v>
      </c>
      <c r="E9480" s="12" t="s">
        <v>35</v>
      </c>
      <c r="F9480" s="14">
        <v>28000</v>
      </c>
      <c r="G9480" s="14">
        <v>23650</v>
      </c>
      <c r="H9480" s="13" t="s">
        <v>17328</v>
      </c>
      <c r="I9480" s="40" t="s">
        <v>18</v>
      </c>
      <c r="J9480" s="40" t="str">
        <f>HYPERLINK("https://stock.pstatic.net/stock-research/company/57/20250814_company_866585000.pdf","PDF")</f>
        <v>PDF</v>
      </c>
      <c r="K9480" s="12" t="s">
        <v>17329</v>
      </c>
      <c r="L9480" s="20">
        <v>0.1839323467230444</v>
      </c>
    </row>
    <row r="9481" spans="1:12" x14ac:dyDescent="0.45">
      <c r="A9481" s="12" t="s">
        <v>17297</v>
      </c>
      <c r="B9481" s="12" t="s">
        <v>1415</v>
      </c>
      <c r="C9481" s="13" t="s">
        <v>1416</v>
      </c>
      <c r="D9481" s="13" t="s">
        <v>65</v>
      </c>
      <c r="E9481" s="12" t="s">
        <v>35</v>
      </c>
      <c r="F9481" s="14">
        <v>7000</v>
      </c>
      <c r="G9481" s="14">
        <v>4505</v>
      </c>
      <c r="H9481" s="13" t="s">
        <v>17330</v>
      </c>
      <c r="I9481" s="40" t="s">
        <v>18</v>
      </c>
      <c r="J9481" s="40" t="str">
        <f>HYPERLINK("https://stock.pstatic.net/stock-research/company/57/20250814_company_619563000.pdf","PDF")</f>
        <v>PDF</v>
      </c>
      <c r="K9481" s="12" t="s">
        <v>17331</v>
      </c>
      <c r="L9481" s="20">
        <v>0.55382907880133181</v>
      </c>
    </row>
    <row r="9482" spans="1:12" x14ac:dyDescent="0.45">
      <c r="A9482" s="12" t="s">
        <v>17297</v>
      </c>
      <c r="B9482" s="12" t="s">
        <v>888</v>
      </c>
      <c r="C9482" s="13" t="s">
        <v>889</v>
      </c>
      <c r="D9482" s="13" t="s">
        <v>158</v>
      </c>
      <c r="E9482" s="12" t="s">
        <v>35</v>
      </c>
      <c r="F9482" s="14">
        <v>78000</v>
      </c>
      <c r="G9482" s="14">
        <v>53000</v>
      </c>
      <c r="H9482" s="13" t="s">
        <v>17332</v>
      </c>
      <c r="I9482" s="40" t="s">
        <v>18</v>
      </c>
      <c r="J9482" s="40" t="str">
        <f>HYPERLINK("https://stock.pstatic.net/stock-research/company/18/20250814_company_285411000.pdf","PDF")</f>
        <v>PDF</v>
      </c>
      <c r="K9482" s="12" t="s">
        <v>17333</v>
      </c>
      <c r="L9482" s="20">
        <v>0.47169811320754718</v>
      </c>
    </row>
    <row r="9483" spans="1:12" x14ac:dyDescent="0.45">
      <c r="A9483" s="12" t="s">
        <v>17297</v>
      </c>
      <c r="B9483" s="12" t="s">
        <v>259</v>
      </c>
      <c r="C9483" s="13" t="s">
        <v>260</v>
      </c>
      <c r="D9483" s="13" t="s">
        <v>158</v>
      </c>
      <c r="E9483" s="12" t="s">
        <v>35</v>
      </c>
      <c r="F9483" s="14">
        <v>100000</v>
      </c>
      <c r="G9483" s="14">
        <v>75700</v>
      </c>
      <c r="H9483" s="13" t="s">
        <v>17334</v>
      </c>
      <c r="I9483" s="40" t="s">
        <v>18</v>
      </c>
      <c r="J9483" s="40" t="str">
        <f>HYPERLINK("https://stock.pstatic.net/stock-research/company/18/20250814_company_596714000.pdf","PDF")</f>
        <v>PDF</v>
      </c>
      <c r="K9483" s="12" t="s">
        <v>17335</v>
      </c>
      <c r="L9483" s="20">
        <v>0.32100396301188899</v>
      </c>
    </row>
    <row r="9484" spans="1:12" x14ac:dyDescent="0.45">
      <c r="A9484" s="12" t="s">
        <v>17297</v>
      </c>
      <c r="B9484" s="12" t="s">
        <v>1344</v>
      </c>
      <c r="C9484" s="13" t="s">
        <v>1345</v>
      </c>
      <c r="D9484" s="13" t="s">
        <v>158</v>
      </c>
      <c r="E9484" s="12" t="s">
        <v>35</v>
      </c>
      <c r="F9484" s="14">
        <v>47000</v>
      </c>
      <c r="G9484" s="14">
        <v>39650</v>
      </c>
      <c r="H9484" s="13" t="s">
        <v>17336</v>
      </c>
      <c r="I9484" s="40" t="s">
        <v>18</v>
      </c>
      <c r="J9484" s="40" t="str">
        <f>HYPERLINK("https://stock.pstatic.net/stock-research/company/18/20250814_company_113968000.pdf","PDF")</f>
        <v>PDF</v>
      </c>
      <c r="K9484" s="12" t="s">
        <v>17337</v>
      </c>
      <c r="L9484" s="20">
        <v>0.1853720050441362</v>
      </c>
    </row>
    <row r="9485" spans="1:12" x14ac:dyDescent="0.45">
      <c r="A9485" s="12" t="s">
        <v>17297</v>
      </c>
      <c r="B9485" s="12" t="s">
        <v>76</v>
      </c>
      <c r="C9485" s="13" t="s">
        <v>77</v>
      </c>
      <c r="D9485" s="13" t="s">
        <v>158</v>
      </c>
      <c r="E9485" s="12" t="s">
        <v>159</v>
      </c>
      <c r="F9485" s="14">
        <v>24000</v>
      </c>
      <c r="G9485" s="14">
        <v>22550</v>
      </c>
      <c r="H9485" s="13" t="s">
        <v>17338</v>
      </c>
      <c r="I9485" s="40" t="s">
        <v>18</v>
      </c>
      <c r="J9485" s="40" t="str">
        <f>HYPERLINK("https://stock.pstatic.net/stock-research/company/18/20250814_company_244111000.pdf","PDF")</f>
        <v>PDF</v>
      </c>
      <c r="K9485" s="12" t="s">
        <v>17339</v>
      </c>
      <c r="L9485" s="20">
        <v>6.4301552106430154E-2</v>
      </c>
    </row>
    <row r="9486" spans="1:12" x14ac:dyDescent="0.45">
      <c r="A9486" s="12" t="s">
        <v>17297</v>
      </c>
      <c r="B9486" s="12" t="s">
        <v>489</v>
      </c>
      <c r="C9486" s="13" t="s">
        <v>490</v>
      </c>
      <c r="D9486" s="13" t="s">
        <v>1271</v>
      </c>
      <c r="E9486" s="12" t="s">
        <v>35</v>
      </c>
      <c r="F9486" s="14">
        <v>32000</v>
      </c>
      <c r="G9486" s="14">
        <v>23400</v>
      </c>
      <c r="H9486" s="13" t="s">
        <v>17340</v>
      </c>
      <c r="I9486" s="40" t="s">
        <v>18</v>
      </c>
      <c r="J9486" s="40" t="str">
        <f>HYPERLINK("https://stock.pstatic.net/stock-research/company/52/20250814_company_296750000.pdf","PDF")</f>
        <v>PDF</v>
      </c>
      <c r="K9486" s="12" t="s">
        <v>17341</v>
      </c>
      <c r="L9486" s="20">
        <v>0.36752136752136749</v>
      </c>
    </row>
    <row r="9487" spans="1:12" x14ac:dyDescent="0.45">
      <c r="A9487" s="12" t="s">
        <v>17297</v>
      </c>
      <c r="B9487" s="12" t="s">
        <v>1734</v>
      </c>
      <c r="C9487" s="13" t="s">
        <v>1735</v>
      </c>
      <c r="D9487" s="13" t="s">
        <v>1271</v>
      </c>
      <c r="E9487" s="12" t="s">
        <v>35</v>
      </c>
      <c r="F9487" s="14">
        <v>49000</v>
      </c>
      <c r="G9487" s="14">
        <v>41300</v>
      </c>
      <c r="H9487" s="13" t="s">
        <v>17342</v>
      </c>
      <c r="I9487" s="40" t="s">
        <v>18</v>
      </c>
      <c r="J9487" s="40" t="str">
        <f>HYPERLINK("https://stock.pstatic.net/stock-research/company/52/20250814_company_669998000.pdf","PDF")</f>
        <v>PDF</v>
      </c>
      <c r="K9487" s="12" t="s">
        <v>17343</v>
      </c>
      <c r="L9487" s="20">
        <v>0.1864406779661017</v>
      </c>
    </row>
    <row r="9488" spans="1:12" x14ac:dyDescent="0.45">
      <c r="A9488" s="12" t="s">
        <v>17297</v>
      </c>
      <c r="B9488" s="12" t="s">
        <v>1652</v>
      </c>
      <c r="C9488" s="13" t="s">
        <v>1653</v>
      </c>
      <c r="D9488" s="13" t="s">
        <v>1271</v>
      </c>
      <c r="E9488" s="12" t="s">
        <v>35</v>
      </c>
      <c r="F9488" s="14">
        <v>65000</v>
      </c>
      <c r="G9488" s="14">
        <v>46750</v>
      </c>
      <c r="H9488" s="13" t="s">
        <v>17344</v>
      </c>
      <c r="I9488" s="40" t="s">
        <v>18</v>
      </c>
      <c r="J9488" s="40" t="str">
        <f>HYPERLINK("https://stock.pstatic.net/stock-research/company/52/20250814_company_430371000.pdf","PDF")</f>
        <v>PDF</v>
      </c>
      <c r="K9488" s="12" t="s">
        <v>17345</v>
      </c>
      <c r="L9488" s="20">
        <v>0.39037433155080209</v>
      </c>
    </row>
    <row r="9489" spans="1:12" x14ac:dyDescent="0.45">
      <c r="A9489" s="12" t="s">
        <v>17297</v>
      </c>
      <c r="B9489" s="12" t="s">
        <v>1660</v>
      </c>
      <c r="C9489" s="13" t="s">
        <v>1661</v>
      </c>
      <c r="D9489" s="13" t="s">
        <v>1271</v>
      </c>
      <c r="E9489" s="12" t="s">
        <v>35</v>
      </c>
      <c r="F9489" s="14">
        <v>61000</v>
      </c>
      <c r="G9489" s="14">
        <v>46650</v>
      </c>
      <c r="H9489" s="13" t="s">
        <v>17346</v>
      </c>
      <c r="I9489" s="40" t="s">
        <v>18</v>
      </c>
      <c r="J9489" s="40" t="str">
        <f>HYPERLINK("https://stock.pstatic.net/stock-research/company/52/20250814_company_725821000.pdf","PDF")</f>
        <v>PDF</v>
      </c>
      <c r="K9489" s="12" t="s">
        <v>17347</v>
      </c>
      <c r="L9489" s="20">
        <v>0.30760986066452312</v>
      </c>
    </row>
    <row r="9490" spans="1:12" x14ac:dyDescent="0.45">
      <c r="A9490" s="12" t="s">
        <v>17297</v>
      </c>
      <c r="B9490" s="12" t="s">
        <v>27</v>
      </c>
      <c r="C9490" s="13" t="s">
        <v>28</v>
      </c>
      <c r="D9490" s="13" t="s">
        <v>1271</v>
      </c>
      <c r="E9490" s="12" t="s">
        <v>35</v>
      </c>
      <c r="F9490" s="14">
        <v>95000</v>
      </c>
      <c r="G9490" s="14">
        <v>73100</v>
      </c>
      <c r="H9490" s="13" t="s">
        <v>17348</v>
      </c>
      <c r="I9490" s="40" t="s">
        <v>18</v>
      </c>
      <c r="J9490" s="40" t="str">
        <f>HYPERLINK("https://stock.pstatic.net/stock-research/company/52/20250814_company_72637000.pdf","PDF")</f>
        <v>PDF</v>
      </c>
      <c r="K9490" s="12" t="s">
        <v>17349</v>
      </c>
      <c r="L9490" s="20">
        <v>0.29958960328317369</v>
      </c>
    </row>
    <row r="9491" spans="1:12" x14ac:dyDescent="0.45">
      <c r="A9491" s="12" t="s">
        <v>17297</v>
      </c>
      <c r="B9491" s="12" t="s">
        <v>888</v>
      </c>
      <c r="C9491" s="13" t="s">
        <v>889</v>
      </c>
      <c r="D9491" s="13" t="s">
        <v>1271</v>
      </c>
      <c r="E9491" s="12" t="s">
        <v>35</v>
      </c>
      <c r="F9491" s="14">
        <v>74000</v>
      </c>
      <c r="G9491" s="14">
        <v>54200</v>
      </c>
      <c r="H9491" s="13" t="s">
        <v>17350</v>
      </c>
      <c r="I9491" s="40" t="s">
        <v>18</v>
      </c>
      <c r="J9491" s="40" t="str">
        <f>HYPERLINK("https://stock.pstatic.net/stock-research/company/52/20250814_company_535176000.pdf","PDF")</f>
        <v>PDF</v>
      </c>
      <c r="K9491" s="12" t="s">
        <v>17351</v>
      </c>
      <c r="L9491" s="20">
        <v>0.36531365313653141</v>
      </c>
    </row>
    <row r="9492" spans="1:12" x14ac:dyDescent="0.45">
      <c r="A9492" s="12" t="s">
        <v>17297</v>
      </c>
      <c r="B9492" s="12" t="s">
        <v>533</v>
      </c>
      <c r="C9492" s="13" t="s">
        <v>534</v>
      </c>
      <c r="D9492" s="13" t="s">
        <v>1271</v>
      </c>
      <c r="E9492" s="12" t="s">
        <v>35</v>
      </c>
      <c r="F9492" s="14">
        <v>69000</v>
      </c>
      <c r="G9492" s="14">
        <v>54100</v>
      </c>
      <c r="H9492" s="13" t="s">
        <v>17352</v>
      </c>
      <c r="I9492" s="40" t="s">
        <v>18</v>
      </c>
      <c r="J9492" s="40" t="str">
        <f>HYPERLINK("https://stock.pstatic.net/stock-research/company/52/20250814_company_920974000.pdf","PDF")</f>
        <v>PDF</v>
      </c>
      <c r="K9492" s="12" t="s">
        <v>17353</v>
      </c>
      <c r="L9492" s="20">
        <v>0.2754158964879852</v>
      </c>
    </row>
    <row r="9493" spans="1:12" x14ac:dyDescent="0.45">
      <c r="A9493" s="12" t="s">
        <v>17297</v>
      </c>
      <c r="B9493" s="12" t="s">
        <v>1184</v>
      </c>
      <c r="C9493" s="13" t="s">
        <v>1185</v>
      </c>
      <c r="D9493" s="13" t="s">
        <v>1271</v>
      </c>
      <c r="E9493" s="12" t="s">
        <v>35</v>
      </c>
      <c r="F9493" s="14">
        <v>22000</v>
      </c>
      <c r="G9493" s="14">
        <v>17150</v>
      </c>
      <c r="H9493" s="13" t="s">
        <v>17354</v>
      </c>
      <c r="I9493" s="40" t="s">
        <v>18</v>
      </c>
      <c r="J9493" s="40" t="str">
        <f>HYPERLINK("https://stock.pstatic.net/stock-research/company/52/20250814_company_25861000.pdf","PDF")</f>
        <v>PDF</v>
      </c>
      <c r="K9493" s="12" t="s">
        <v>17355</v>
      </c>
      <c r="L9493" s="20">
        <v>0.28279883381924198</v>
      </c>
    </row>
    <row r="9494" spans="1:12" x14ac:dyDescent="0.45">
      <c r="A9494" s="12" t="s">
        <v>17297</v>
      </c>
      <c r="B9494" s="12" t="s">
        <v>1678</v>
      </c>
      <c r="C9494" s="13" t="s">
        <v>1679</v>
      </c>
      <c r="D9494" s="13" t="s">
        <v>1271</v>
      </c>
      <c r="E9494" s="12" t="s">
        <v>35</v>
      </c>
      <c r="F9494" s="14">
        <v>93000</v>
      </c>
      <c r="G9494" s="14">
        <v>69000</v>
      </c>
      <c r="H9494" s="13" t="s">
        <v>17356</v>
      </c>
      <c r="I9494" s="40" t="s">
        <v>18</v>
      </c>
      <c r="J9494" s="40" t="str">
        <f>HYPERLINK("https://stock.pstatic.net/stock-research/company/52/20250814_company_164888000.pdf","PDF")</f>
        <v>PDF</v>
      </c>
      <c r="K9494" s="12" t="s">
        <v>17357</v>
      </c>
      <c r="L9494" s="20">
        <v>0.34782608695652167</v>
      </c>
    </row>
    <row r="9495" spans="1:12" x14ac:dyDescent="0.45">
      <c r="A9495" s="12" t="s">
        <v>17297</v>
      </c>
      <c r="B9495" s="12" t="s">
        <v>1097</v>
      </c>
      <c r="C9495" s="13" t="s">
        <v>1098</v>
      </c>
      <c r="D9495" s="13" t="s">
        <v>1271</v>
      </c>
      <c r="E9495" s="12" t="s">
        <v>35</v>
      </c>
      <c r="F9495" s="14">
        <v>150000</v>
      </c>
      <c r="G9495" s="14">
        <v>122400</v>
      </c>
      <c r="H9495" s="13" t="s">
        <v>17358</v>
      </c>
      <c r="I9495" s="40" t="s">
        <v>18</v>
      </c>
      <c r="J9495" s="40" t="str">
        <f>HYPERLINK("https://stock.pstatic.net/stock-research/company/52/20250814_company_141790000.pdf","PDF")</f>
        <v>PDF</v>
      </c>
      <c r="K9495" s="12" t="s">
        <v>17359</v>
      </c>
      <c r="L9495" s="20">
        <v>0.2254901960784314</v>
      </c>
    </row>
    <row r="9496" spans="1:12" x14ac:dyDescent="0.45">
      <c r="A9496" s="12" t="s">
        <v>17297</v>
      </c>
      <c r="B9496" s="12" t="s">
        <v>4172</v>
      </c>
      <c r="C9496" s="13" t="s">
        <v>4173</v>
      </c>
      <c r="D9496" s="13" t="s">
        <v>83</v>
      </c>
      <c r="E9496" s="12" t="s">
        <v>35</v>
      </c>
      <c r="F9496" s="14">
        <v>11000</v>
      </c>
      <c r="G9496" s="14">
        <v>9030</v>
      </c>
      <c r="H9496" s="13" t="s">
        <v>17360</v>
      </c>
      <c r="I9496" s="40" t="s">
        <v>18</v>
      </c>
      <c r="J9496" s="40" t="str">
        <f>HYPERLINK("https://stock.pstatic.net/stock-research/company/2/20250814_company_947991000.pdf","PDF")</f>
        <v>PDF</v>
      </c>
      <c r="K9496" s="12" t="s">
        <v>17361</v>
      </c>
      <c r="L9496" s="20">
        <v>0.21816168327796229</v>
      </c>
    </row>
    <row r="9497" spans="1:12" x14ac:dyDescent="0.45">
      <c r="A9497" s="12" t="s">
        <v>17297</v>
      </c>
      <c r="B9497" s="12" t="s">
        <v>2576</v>
      </c>
      <c r="C9497" s="13" t="s">
        <v>2577</v>
      </c>
      <c r="D9497" s="13" t="s">
        <v>83</v>
      </c>
      <c r="E9497" s="12" t="s">
        <v>642</v>
      </c>
      <c r="F9497" s="14">
        <v>750000</v>
      </c>
      <c r="G9497" s="14">
        <v>795000</v>
      </c>
      <c r="H9497" s="13" t="s">
        <v>17362</v>
      </c>
      <c r="I9497" s="40" t="s">
        <v>18</v>
      </c>
      <c r="J9497" s="40" t="str">
        <f>HYPERLINK("https://stock.pstatic.net/stock-research/company/2/20250814_company_713120000.pdf","PDF")</f>
        <v>PDF</v>
      </c>
      <c r="K9497" s="12" t="s">
        <v>17363</v>
      </c>
      <c r="L9497" s="20">
        <v>-5.6603773584905662E-2</v>
      </c>
    </row>
    <row r="9498" spans="1:12" x14ac:dyDescent="0.45">
      <c r="A9498" s="12" t="s">
        <v>17297</v>
      </c>
      <c r="B9498" s="12" t="s">
        <v>1906</v>
      </c>
      <c r="C9498" s="13" t="s">
        <v>1907</v>
      </c>
      <c r="D9498" s="13" t="s">
        <v>83</v>
      </c>
      <c r="E9498" s="12" t="s">
        <v>35</v>
      </c>
      <c r="F9498" s="14">
        <v>38000</v>
      </c>
      <c r="G9498" s="14">
        <v>29650</v>
      </c>
      <c r="H9498" s="13" t="s">
        <v>17364</v>
      </c>
      <c r="I9498" s="40" t="s">
        <v>18</v>
      </c>
      <c r="J9498" s="40" t="str">
        <f>HYPERLINK("https://stock.pstatic.net/stock-research/company/2/20250814_company_251526000.pdf","PDF")</f>
        <v>PDF</v>
      </c>
      <c r="K9498" s="12" t="s">
        <v>17365</v>
      </c>
      <c r="L9498" s="20">
        <v>0.28161888701517712</v>
      </c>
    </row>
    <row r="9499" spans="1:12" x14ac:dyDescent="0.45">
      <c r="A9499" s="12" t="s">
        <v>17297</v>
      </c>
      <c r="B9499" s="12" t="s">
        <v>76</v>
      </c>
      <c r="C9499" s="13" t="s">
        <v>77</v>
      </c>
      <c r="D9499" s="13" t="s">
        <v>83</v>
      </c>
      <c r="E9499" s="12" t="s">
        <v>642</v>
      </c>
      <c r="F9499" s="14">
        <v>23000</v>
      </c>
      <c r="G9499" s="14">
        <v>22550</v>
      </c>
      <c r="H9499" s="13" t="s">
        <v>17366</v>
      </c>
      <c r="I9499" s="40" t="s">
        <v>18</v>
      </c>
      <c r="J9499" s="40" t="str">
        <f>HYPERLINK("https://stock.pstatic.net/stock-research/company/2/20250814_company_426864000.pdf","PDF")</f>
        <v>PDF</v>
      </c>
      <c r="K9499" s="12" t="s">
        <v>17367</v>
      </c>
      <c r="L9499" s="20">
        <v>1.9955654101995561E-2</v>
      </c>
    </row>
    <row r="9500" spans="1:12" x14ac:dyDescent="0.45">
      <c r="A9500" s="12" t="s">
        <v>17297</v>
      </c>
      <c r="B9500" s="12" t="s">
        <v>1266</v>
      </c>
      <c r="C9500" s="13" t="s">
        <v>1267</v>
      </c>
      <c r="D9500" s="13" t="s">
        <v>83</v>
      </c>
      <c r="E9500" s="12" t="s">
        <v>35</v>
      </c>
      <c r="F9500" s="14">
        <v>140000</v>
      </c>
      <c r="G9500" s="14">
        <v>125300</v>
      </c>
      <c r="H9500" s="13" t="s">
        <v>17368</v>
      </c>
      <c r="I9500" s="40" t="s">
        <v>18</v>
      </c>
      <c r="J9500" s="40" t="str">
        <f>HYPERLINK("https://stock.pstatic.net/stock-research/company/2/20250814_company_621561000.pdf","PDF")</f>
        <v>PDF</v>
      </c>
      <c r="K9500" s="12" t="s">
        <v>17369</v>
      </c>
      <c r="L9500" s="20">
        <v>0.1173184357541899</v>
      </c>
    </row>
    <row r="9501" spans="1:12" x14ac:dyDescent="0.45">
      <c r="A9501" s="12" t="s">
        <v>17297</v>
      </c>
      <c r="B9501" s="12" t="s">
        <v>76</v>
      </c>
      <c r="C9501" s="13" t="s">
        <v>77</v>
      </c>
      <c r="D9501" s="13" t="s">
        <v>15</v>
      </c>
      <c r="E9501" s="12" t="s">
        <v>16</v>
      </c>
      <c r="F9501" s="14">
        <v>29000</v>
      </c>
      <c r="G9501" s="14">
        <v>22550</v>
      </c>
      <c r="H9501" s="13" t="s">
        <v>17370</v>
      </c>
      <c r="I9501" s="40" t="s">
        <v>18</v>
      </c>
      <c r="J9501" s="40" t="str">
        <f>HYPERLINK("https://stock.pstatic.net/stock-research/company/29/20250814_company_982479000.pdf","PDF")</f>
        <v>PDF</v>
      </c>
      <c r="K9501" s="12" t="s">
        <v>17371</v>
      </c>
      <c r="L9501" s="20">
        <v>0.28603104212860309</v>
      </c>
    </row>
    <row r="9502" spans="1:12" x14ac:dyDescent="0.45">
      <c r="A9502" s="12" t="s">
        <v>17297</v>
      </c>
      <c r="B9502" s="12" t="s">
        <v>565</v>
      </c>
      <c r="C9502" s="13" t="s">
        <v>566</v>
      </c>
      <c r="D9502" s="13" t="s">
        <v>15</v>
      </c>
      <c r="E9502" s="12" t="s">
        <v>16</v>
      </c>
      <c r="F9502" s="14">
        <v>37000</v>
      </c>
      <c r="G9502" s="14">
        <v>28000</v>
      </c>
      <c r="H9502" s="13" t="s">
        <v>17372</v>
      </c>
      <c r="I9502" s="40" t="s">
        <v>18</v>
      </c>
      <c r="J9502" s="40" t="str">
        <f>HYPERLINK("https://stock.pstatic.net/stock-research/company/29/20250814_company_615477000.pdf","PDF")</f>
        <v>PDF</v>
      </c>
      <c r="K9502" s="12" t="s">
        <v>17373</v>
      </c>
      <c r="L9502" s="20">
        <v>0.32142857142857151</v>
      </c>
    </row>
    <row r="9503" spans="1:12" x14ac:dyDescent="0.45">
      <c r="A9503" s="12" t="s">
        <v>17297</v>
      </c>
      <c r="B9503" s="12" t="s">
        <v>42</v>
      </c>
      <c r="C9503" s="13" t="s">
        <v>43</v>
      </c>
      <c r="D9503" s="13" t="s">
        <v>15</v>
      </c>
      <c r="E9503" s="12" t="s">
        <v>16</v>
      </c>
      <c r="F9503" s="14">
        <v>310000</v>
      </c>
      <c r="G9503" s="14">
        <v>225000</v>
      </c>
      <c r="H9503" s="13" t="s">
        <v>17374</v>
      </c>
      <c r="I9503" s="40" t="s">
        <v>18</v>
      </c>
      <c r="J9503" s="40" t="str">
        <f>HYPERLINK("https://stock.pstatic.net/stock-research/company/29/20250814_company_936614000.pdf","PDF")</f>
        <v>PDF</v>
      </c>
      <c r="K9503" s="12" t="s">
        <v>17375</v>
      </c>
      <c r="L9503" s="20">
        <v>0.37777777777777782</v>
      </c>
    </row>
    <row r="9504" spans="1:12" x14ac:dyDescent="0.45">
      <c r="A9504" s="12" t="s">
        <v>17297</v>
      </c>
      <c r="B9504" s="12" t="s">
        <v>1266</v>
      </c>
      <c r="C9504" s="13" t="s">
        <v>1267</v>
      </c>
      <c r="D9504" s="13" t="s">
        <v>179</v>
      </c>
      <c r="E9504" s="12" t="s">
        <v>16</v>
      </c>
      <c r="F9504" s="14">
        <v>144000</v>
      </c>
      <c r="G9504" s="14">
        <v>125300</v>
      </c>
      <c r="H9504" s="13" t="s">
        <v>17376</v>
      </c>
      <c r="I9504" s="40" t="s">
        <v>18</v>
      </c>
      <c r="J9504" s="40" t="str">
        <f>HYPERLINK("https://stock.pstatic.net/stock-research/company/64/20250814_company_869675000.pdf","PDF")</f>
        <v>PDF</v>
      </c>
      <c r="K9504" s="12" t="s">
        <v>17377</v>
      </c>
      <c r="L9504" s="20">
        <v>0.14924181963288111</v>
      </c>
    </row>
    <row r="9505" spans="1:12" x14ac:dyDescent="0.45">
      <c r="A9505" s="12" t="s">
        <v>17297</v>
      </c>
      <c r="B9505" s="12" t="s">
        <v>950</v>
      </c>
      <c r="C9505" s="13" t="s">
        <v>951</v>
      </c>
      <c r="D9505" s="13" t="s">
        <v>124</v>
      </c>
      <c r="E9505" s="12" t="s">
        <v>50</v>
      </c>
      <c r="F9505" s="13"/>
      <c r="G9505" s="13"/>
      <c r="H9505" s="13" t="s">
        <v>17378</v>
      </c>
      <c r="I9505" s="40" t="s">
        <v>18</v>
      </c>
      <c r="J9505" s="40" t="str">
        <f>HYPERLINK("https://stock.pstatic.net/stock-research/company/74/20250814_company_660375000.pdf","PDF")</f>
        <v>PDF</v>
      </c>
      <c r="K9505" s="12" t="s">
        <v>17379</v>
      </c>
    </row>
    <row r="9506" spans="1:12" x14ac:dyDescent="0.45">
      <c r="A9506" s="12" t="s">
        <v>17297</v>
      </c>
      <c r="B9506" s="12" t="s">
        <v>1258</v>
      </c>
      <c r="C9506" s="13" t="s">
        <v>1259</v>
      </c>
      <c r="D9506" s="13" t="s">
        <v>179</v>
      </c>
      <c r="E9506" s="12" t="s">
        <v>385</v>
      </c>
      <c r="F9506" s="14">
        <v>474000</v>
      </c>
      <c r="G9506" s="14">
        <v>438500</v>
      </c>
      <c r="H9506" s="13" t="s">
        <v>17380</v>
      </c>
      <c r="I9506" s="40" t="s">
        <v>18</v>
      </c>
      <c r="J9506" s="40" t="str">
        <f>HYPERLINK("https://stock.pstatic.net/stock-research/company/64/20250814_company_957648000.pdf","PDF")</f>
        <v>PDF</v>
      </c>
      <c r="K9506" s="12" t="s">
        <v>17381</v>
      </c>
      <c r="L9506" s="20">
        <v>8.0957810718358045E-2</v>
      </c>
    </row>
    <row r="9507" spans="1:12" x14ac:dyDescent="0.45">
      <c r="A9507" s="12" t="s">
        <v>17297</v>
      </c>
      <c r="B9507" s="12" t="s">
        <v>1344</v>
      </c>
      <c r="C9507" s="13" t="s">
        <v>1345</v>
      </c>
      <c r="D9507" s="13" t="s">
        <v>179</v>
      </c>
      <c r="E9507" s="12" t="s">
        <v>16</v>
      </c>
      <c r="F9507" s="14">
        <v>47000</v>
      </c>
      <c r="G9507" s="14">
        <v>39650</v>
      </c>
      <c r="H9507" s="13" t="s">
        <v>17382</v>
      </c>
      <c r="I9507" s="40" t="s">
        <v>18</v>
      </c>
      <c r="J9507" s="40" t="str">
        <f>HYPERLINK("https://stock.pstatic.net/stock-research/company/64/20250814_company_765617000.pdf","PDF")</f>
        <v>PDF</v>
      </c>
      <c r="K9507" s="12" t="s">
        <v>17383</v>
      </c>
      <c r="L9507" s="20">
        <v>0.1853720050441362</v>
      </c>
    </row>
    <row r="9508" spans="1:12" x14ac:dyDescent="0.45">
      <c r="A9508" s="12" t="s">
        <v>17297</v>
      </c>
      <c r="B9508" s="12" t="s">
        <v>894</v>
      </c>
      <c r="C9508" s="13" t="s">
        <v>26</v>
      </c>
      <c r="D9508" s="13" t="s">
        <v>179</v>
      </c>
      <c r="E9508" s="12" t="s">
        <v>16</v>
      </c>
      <c r="F9508" s="14">
        <v>67000</v>
      </c>
      <c r="G9508" s="14">
        <v>47600</v>
      </c>
      <c r="H9508" s="13" t="s">
        <v>17384</v>
      </c>
      <c r="I9508" s="40" t="s">
        <v>18</v>
      </c>
      <c r="J9508" s="40" t="str">
        <f>HYPERLINK("https://stock.pstatic.net/stock-research/company/64/20250814_company_526164000.pdf","PDF")</f>
        <v>PDF</v>
      </c>
      <c r="K9508" s="12" t="s">
        <v>17385</v>
      </c>
      <c r="L9508" s="20">
        <v>0.40756302521008397</v>
      </c>
    </row>
    <row r="9509" spans="1:12" x14ac:dyDescent="0.45">
      <c r="A9509" s="12" t="s">
        <v>17297</v>
      </c>
      <c r="B9509" s="12" t="s">
        <v>259</v>
      </c>
      <c r="C9509" s="13" t="s">
        <v>260</v>
      </c>
      <c r="D9509" s="13" t="s">
        <v>15</v>
      </c>
      <c r="E9509" s="12" t="s">
        <v>16</v>
      </c>
      <c r="F9509" s="14">
        <v>95000</v>
      </c>
      <c r="G9509" s="14">
        <v>75700</v>
      </c>
      <c r="H9509" s="13" t="s">
        <v>17386</v>
      </c>
      <c r="I9509" s="40" t="s">
        <v>18</v>
      </c>
      <c r="J9509" s="40" t="str">
        <f>HYPERLINK("https://stock.pstatic.net/stock-research/company/29/20250814_company_32780000.pdf","PDF")</f>
        <v>PDF</v>
      </c>
      <c r="K9509" s="12" t="s">
        <v>17387</v>
      </c>
      <c r="L9509" s="20">
        <v>0.25495376486129462</v>
      </c>
    </row>
    <row r="9510" spans="1:12" x14ac:dyDescent="0.45">
      <c r="A9510" s="12" t="s">
        <v>17297</v>
      </c>
      <c r="B9510" s="12" t="s">
        <v>1906</v>
      </c>
      <c r="C9510" s="13" t="s">
        <v>1907</v>
      </c>
      <c r="D9510" s="13" t="s">
        <v>179</v>
      </c>
      <c r="E9510" s="12" t="s">
        <v>385</v>
      </c>
      <c r="F9510" s="14">
        <v>33000</v>
      </c>
      <c r="G9510" s="14">
        <v>29650</v>
      </c>
      <c r="H9510" s="13" t="s">
        <v>17388</v>
      </c>
      <c r="I9510" s="40" t="s">
        <v>18</v>
      </c>
      <c r="J9510" s="40" t="str">
        <f>HYPERLINK("https://stock.pstatic.net/stock-research/company/64/20250814_company_519002000.pdf","PDF")</f>
        <v>PDF</v>
      </c>
      <c r="K9510" s="12" t="s">
        <v>17389</v>
      </c>
      <c r="L9510" s="20">
        <v>0.1129848229342327</v>
      </c>
    </row>
    <row r="9511" spans="1:12" x14ac:dyDescent="0.45">
      <c r="A9511" s="12" t="s">
        <v>17297</v>
      </c>
      <c r="B9511" s="12" t="s">
        <v>888</v>
      </c>
      <c r="C9511" s="13" t="s">
        <v>889</v>
      </c>
      <c r="D9511" s="13" t="s">
        <v>179</v>
      </c>
      <c r="E9511" s="12" t="s">
        <v>16</v>
      </c>
      <c r="F9511" s="14">
        <v>62000</v>
      </c>
      <c r="G9511" s="14">
        <v>53000</v>
      </c>
      <c r="H9511" s="13" t="s">
        <v>17390</v>
      </c>
      <c r="I9511" s="40" t="s">
        <v>18</v>
      </c>
      <c r="J9511" s="40" t="str">
        <f>HYPERLINK("https://stock.pstatic.net/stock-research/company/64/20250814_company_713314000.pdf","PDF")</f>
        <v>PDF</v>
      </c>
      <c r="K9511" s="12" t="s">
        <v>17391</v>
      </c>
      <c r="L9511" s="20">
        <v>0.169811320754717</v>
      </c>
    </row>
    <row r="9512" spans="1:12" x14ac:dyDescent="0.45">
      <c r="A9512" s="12" t="s">
        <v>17297</v>
      </c>
      <c r="B9512" s="12" t="s">
        <v>21</v>
      </c>
      <c r="C9512" s="13" t="s">
        <v>22</v>
      </c>
      <c r="D9512" s="13" t="s">
        <v>179</v>
      </c>
      <c r="E9512" s="12" t="s">
        <v>385</v>
      </c>
      <c r="F9512" s="14">
        <v>25000</v>
      </c>
      <c r="G9512" s="14">
        <v>26150</v>
      </c>
      <c r="H9512" s="13" t="s">
        <v>17392</v>
      </c>
      <c r="I9512" s="40" t="s">
        <v>18</v>
      </c>
      <c r="J9512" s="40" t="str">
        <f>HYPERLINK("https://stock.pstatic.net/stock-research/company/64/20250814_company_717525000.pdf","PDF")</f>
        <v>PDF</v>
      </c>
      <c r="K9512" s="12" t="s">
        <v>17393</v>
      </c>
      <c r="L9512" s="20">
        <v>-4.3977055449330782E-2</v>
      </c>
    </row>
    <row r="9513" spans="1:12" x14ac:dyDescent="0.45">
      <c r="A9513" s="12" t="s">
        <v>17297</v>
      </c>
      <c r="B9513" s="12" t="s">
        <v>76</v>
      </c>
      <c r="C9513" s="13" t="s">
        <v>77</v>
      </c>
      <c r="D9513" s="13" t="s">
        <v>34</v>
      </c>
      <c r="E9513" s="12" t="s">
        <v>35</v>
      </c>
      <c r="F9513" s="14">
        <v>29000</v>
      </c>
      <c r="G9513" s="14">
        <v>22550</v>
      </c>
      <c r="H9513" s="13" t="s">
        <v>17394</v>
      </c>
      <c r="I9513" s="40" t="s">
        <v>18</v>
      </c>
      <c r="J9513" s="40" t="str">
        <f>HYPERLINK("https://stock.pstatic.net/stock-research/company/61/20250814_company_56392000.pdf","PDF")</f>
        <v>PDF</v>
      </c>
      <c r="K9513" s="12" t="s">
        <v>17395</v>
      </c>
      <c r="L9513" s="20">
        <v>0.28603104212860309</v>
      </c>
    </row>
    <row r="9514" spans="1:12" x14ac:dyDescent="0.45">
      <c r="A9514" s="12" t="s">
        <v>17297</v>
      </c>
      <c r="B9514" s="12" t="s">
        <v>259</v>
      </c>
      <c r="C9514" s="13" t="s">
        <v>260</v>
      </c>
      <c r="D9514" s="13" t="s">
        <v>53</v>
      </c>
      <c r="E9514" s="12" t="s">
        <v>16</v>
      </c>
      <c r="F9514" s="14">
        <v>100000</v>
      </c>
      <c r="G9514" s="14">
        <v>75700</v>
      </c>
      <c r="H9514" s="13" t="s">
        <v>17396</v>
      </c>
      <c r="I9514" s="40" t="s">
        <v>18</v>
      </c>
      <c r="J9514" s="40" t="str">
        <f>HYPERLINK("https://stock.pstatic.net/stock-research/company/40/20250814_company_249573000.pdf","PDF")</f>
        <v>PDF</v>
      </c>
      <c r="K9514" s="12" t="s">
        <v>17397</v>
      </c>
      <c r="L9514" s="20">
        <v>0.32100396301188899</v>
      </c>
    </row>
    <row r="9515" spans="1:12" x14ac:dyDescent="0.45">
      <c r="A9515" s="12" t="s">
        <v>17297</v>
      </c>
      <c r="B9515" s="12" t="s">
        <v>1136</v>
      </c>
      <c r="C9515" s="13" t="s">
        <v>1137</v>
      </c>
      <c r="D9515" s="13" t="s">
        <v>179</v>
      </c>
      <c r="E9515" s="12" t="s">
        <v>16</v>
      </c>
      <c r="F9515" s="14">
        <v>41000</v>
      </c>
      <c r="G9515" s="14">
        <v>30950</v>
      </c>
      <c r="H9515" s="13" t="s">
        <v>17398</v>
      </c>
      <c r="I9515" s="40" t="s">
        <v>18</v>
      </c>
      <c r="J9515" s="40" t="str">
        <f>HYPERLINK("https://stock.pstatic.net/stock-research/company/64/20250814_company_692632000.pdf","PDF")</f>
        <v>PDF</v>
      </c>
      <c r="K9515" s="12" t="s">
        <v>17399</v>
      </c>
      <c r="L9515" s="20">
        <v>0.32471728594507271</v>
      </c>
    </row>
    <row r="9516" spans="1:12" x14ac:dyDescent="0.45">
      <c r="A9516" s="12" t="s">
        <v>17297</v>
      </c>
      <c r="B9516" s="12" t="s">
        <v>86</v>
      </c>
      <c r="C9516" s="13" t="s">
        <v>87</v>
      </c>
      <c r="D9516" s="13" t="s">
        <v>179</v>
      </c>
      <c r="E9516" s="12" t="s">
        <v>16</v>
      </c>
      <c r="F9516" s="14">
        <v>145000</v>
      </c>
      <c r="G9516" s="14">
        <v>113800</v>
      </c>
      <c r="H9516" s="13" t="s">
        <v>17400</v>
      </c>
      <c r="I9516" s="40" t="s">
        <v>18</v>
      </c>
      <c r="J9516" s="40" t="str">
        <f>HYPERLINK("https://stock.pstatic.net/stock-research/company/64/20250814_company_156654000.pdf","PDF")</f>
        <v>PDF</v>
      </c>
      <c r="K9516" s="12" t="s">
        <v>17401</v>
      </c>
      <c r="L9516" s="20">
        <v>0.27416520210896311</v>
      </c>
    </row>
    <row r="9517" spans="1:12" x14ac:dyDescent="0.45">
      <c r="A9517" s="12" t="s">
        <v>17297</v>
      </c>
      <c r="B9517" s="12" t="s">
        <v>1356</v>
      </c>
      <c r="C9517" s="13" t="s">
        <v>1357</v>
      </c>
      <c r="D9517" s="13" t="s">
        <v>34</v>
      </c>
      <c r="E9517" s="12" t="s">
        <v>35</v>
      </c>
      <c r="F9517" s="14">
        <v>28000</v>
      </c>
      <c r="G9517" s="14">
        <v>19520</v>
      </c>
      <c r="H9517" s="13" t="s">
        <v>17402</v>
      </c>
      <c r="I9517" s="40" t="s">
        <v>18</v>
      </c>
      <c r="J9517" s="40" t="str">
        <f>HYPERLINK("https://stock.pstatic.net/stock-research/company/61/20250814_company_306757000.pdf","PDF")</f>
        <v>PDF</v>
      </c>
      <c r="K9517" s="12" t="s">
        <v>17403</v>
      </c>
      <c r="L9517" s="20">
        <v>0.4344262295081967</v>
      </c>
    </row>
    <row r="9518" spans="1:12" x14ac:dyDescent="0.45">
      <c r="A9518" s="12" t="s">
        <v>17297</v>
      </c>
      <c r="B9518" s="12" t="s">
        <v>1918</v>
      </c>
      <c r="C9518" s="13" t="s">
        <v>1919</v>
      </c>
      <c r="D9518" s="13" t="s">
        <v>92</v>
      </c>
      <c r="E9518" s="12" t="s">
        <v>35</v>
      </c>
      <c r="F9518" s="14">
        <v>8000</v>
      </c>
      <c r="G9518" s="14">
        <v>4980</v>
      </c>
      <c r="H9518" s="13" t="s">
        <v>17404</v>
      </c>
      <c r="I9518" s="40" t="s">
        <v>18</v>
      </c>
      <c r="J9518" s="40" t="str">
        <f>HYPERLINK("https://stock.pstatic.net/stock-research/company/63/20250814_company_364746000.pdf","PDF")</f>
        <v>PDF</v>
      </c>
      <c r="K9518" s="12" t="s">
        <v>17405</v>
      </c>
      <c r="L9518" s="20">
        <v>0.60642570281124497</v>
      </c>
    </row>
    <row r="9519" spans="1:12" x14ac:dyDescent="0.45">
      <c r="A9519" s="12" t="s">
        <v>17297</v>
      </c>
      <c r="B9519" s="12" t="s">
        <v>1262</v>
      </c>
      <c r="C9519" s="13" t="s">
        <v>1263</v>
      </c>
      <c r="D9519" s="13" t="s">
        <v>179</v>
      </c>
      <c r="E9519" s="12" t="s">
        <v>50</v>
      </c>
      <c r="F9519" s="13"/>
      <c r="G9519" s="13"/>
      <c r="H9519" s="13" t="s">
        <v>17406</v>
      </c>
      <c r="I9519" s="40" t="s">
        <v>18</v>
      </c>
      <c r="J9519" s="40" t="str">
        <f>HYPERLINK("https://stock.pstatic.net/stock-research/company/64/20250814_company_374389000.pdf","PDF")</f>
        <v>PDF</v>
      </c>
      <c r="K9519" s="12" t="s">
        <v>17407</v>
      </c>
    </row>
    <row r="9520" spans="1:12" x14ac:dyDescent="0.45">
      <c r="A9520" s="12" t="s">
        <v>17297</v>
      </c>
      <c r="B9520" s="12" t="s">
        <v>102</v>
      </c>
      <c r="C9520" s="13" t="s">
        <v>103</v>
      </c>
      <c r="D9520" s="13" t="s">
        <v>23</v>
      </c>
      <c r="E9520" s="12" t="s">
        <v>16</v>
      </c>
      <c r="F9520" s="14">
        <v>21000</v>
      </c>
      <c r="G9520" s="14">
        <v>18030</v>
      </c>
      <c r="H9520" s="13" t="s">
        <v>17408</v>
      </c>
      <c r="I9520" s="40" t="s">
        <v>18</v>
      </c>
      <c r="J9520" s="40" t="str">
        <f>HYPERLINK("https://stock.pstatic.net/stock-research/company/21/20250814_company_997424000.pdf","PDF")</f>
        <v>PDF</v>
      </c>
      <c r="K9520" s="12" t="s">
        <v>17409</v>
      </c>
      <c r="L9520" s="20">
        <v>0.16472545757071549</v>
      </c>
    </row>
    <row r="9521" spans="1:12" x14ac:dyDescent="0.45">
      <c r="A9521" s="12" t="s">
        <v>17297</v>
      </c>
      <c r="B9521" s="12" t="s">
        <v>2032</v>
      </c>
      <c r="C9521" s="13" t="s">
        <v>2033</v>
      </c>
      <c r="D9521" s="13" t="s">
        <v>23</v>
      </c>
      <c r="E9521" s="12" t="s">
        <v>16</v>
      </c>
      <c r="F9521" s="14">
        <v>38500</v>
      </c>
      <c r="G9521" s="14">
        <v>31500</v>
      </c>
      <c r="H9521" s="13" t="s">
        <v>17410</v>
      </c>
      <c r="I9521" s="40" t="s">
        <v>18</v>
      </c>
      <c r="J9521" s="40" t="str">
        <f>HYPERLINK("https://stock.pstatic.net/stock-research/company/21/20250814_company_311795000.pdf","PDF")</f>
        <v>PDF</v>
      </c>
      <c r="K9521" s="12" t="s">
        <v>17411</v>
      </c>
      <c r="L9521" s="20">
        <v>0.22222222222222221</v>
      </c>
    </row>
    <row r="9522" spans="1:12" x14ac:dyDescent="0.45">
      <c r="A9522" s="12" t="s">
        <v>17297</v>
      </c>
      <c r="B9522" s="12" t="s">
        <v>259</v>
      </c>
      <c r="C9522" s="13" t="s">
        <v>260</v>
      </c>
      <c r="D9522" s="13" t="s">
        <v>23</v>
      </c>
      <c r="E9522" s="12" t="s">
        <v>16</v>
      </c>
      <c r="F9522" s="14">
        <v>96000</v>
      </c>
      <c r="G9522" s="14">
        <v>75700</v>
      </c>
      <c r="H9522" s="13" t="s">
        <v>17412</v>
      </c>
      <c r="I9522" s="40" t="s">
        <v>18</v>
      </c>
      <c r="J9522" s="40" t="str">
        <f>HYPERLINK("https://stock.pstatic.net/stock-research/company/21/20250814_company_554178000.pdf","PDF")</f>
        <v>PDF</v>
      </c>
      <c r="K9522" s="12" t="s">
        <v>17413</v>
      </c>
      <c r="L9522" s="20">
        <v>0.26816380449141353</v>
      </c>
    </row>
    <row r="9523" spans="1:12" x14ac:dyDescent="0.45">
      <c r="A9523" s="12" t="s">
        <v>17297</v>
      </c>
      <c r="B9523" s="12" t="s">
        <v>259</v>
      </c>
      <c r="C9523" s="13" t="s">
        <v>260</v>
      </c>
      <c r="D9523" s="13" t="s">
        <v>92</v>
      </c>
      <c r="E9523" s="12" t="s">
        <v>35</v>
      </c>
      <c r="F9523" s="14">
        <v>100000</v>
      </c>
      <c r="G9523" s="14">
        <v>75700</v>
      </c>
      <c r="H9523" s="13" t="s">
        <v>17414</v>
      </c>
      <c r="I9523" s="40" t="s">
        <v>18</v>
      </c>
      <c r="J9523" s="40" t="str">
        <f>HYPERLINK("https://stock.pstatic.net/stock-research/company/63/20250814_company_876952000.pdf","PDF")</f>
        <v>PDF</v>
      </c>
      <c r="K9523" s="12" t="s">
        <v>17415</v>
      </c>
      <c r="L9523" s="20">
        <v>0.32100396301188899</v>
      </c>
    </row>
    <row r="9524" spans="1:12" x14ac:dyDescent="0.45">
      <c r="A9524" s="12" t="s">
        <v>17297</v>
      </c>
      <c r="B9524" s="12" t="s">
        <v>76</v>
      </c>
      <c r="C9524" s="13" t="s">
        <v>77</v>
      </c>
      <c r="D9524" s="13" t="s">
        <v>23</v>
      </c>
      <c r="E9524" s="12" t="s">
        <v>385</v>
      </c>
      <c r="F9524" s="13"/>
      <c r="G9524" s="14">
        <v>22550</v>
      </c>
      <c r="H9524" s="13" t="s">
        <v>17416</v>
      </c>
      <c r="I9524" s="40" t="s">
        <v>18</v>
      </c>
      <c r="J9524" s="40" t="str">
        <f>HYPERLINK("https://stock.pstatic.net/stock-research/company/21/20250814_company_168545000.pdf","PDF")</f>
        <v>PDF</v>
      </c>
      <c r="K9524" s="12" t="s">
        <v>17417</v>
      </c>
    </row>
    <row r="9525" spans="1:12" x14ac:dyDescent="0.45">
      <c r="A9525" s="12" t="s">
        <v>17297</v>
      </c>
      <c r="B9525" s="12" t="s">
        <v>17418</v>
      </c>
      <c r="C9525" s="13" t="s">
        <v>17419</v>
      </c>
      <c r="D9525" s="13" t="s">
        <v>92</v>
      </c>
      <c r="E9525" s="12" t="s">
        <v>50</v>
      </c>
      <c r="F9525" s="13"/>
      <c r="G9525" s="14">
        <v>11890</v>
      </c>
      <c r="H9525" s="13" t="s">
        <v>17420</v>
      </c>
      <c r="I9525" s="40" t="s">
        <v>18</v>
      </c>
      <c r="J9525" s="40" t="str">
        <f>HYPERLINK("https://stock.pstatic.net/stock-research/company/63/20250814_company_428129000.pdf","PDF")</f>
        <v>PDF</v>
      </c>
      <c r="K9525" s="12" t="s">
        <v>17421</v>
      </c>
    </row>
    <row r="9526" spans="1:12" x14ac:dyDescent="0.45">
      <c r="A9526" s="12" t="s">
        <v>17297</v>
      </c>
      <c r="B9526" s="12" t="s">
        <v>10929</v>
      </c>
      <c r="C9526" s="13" t="s">
        <v>10930</v>
      </c>
      <c r="D9526" s="13" t="s">
        <v>179</v>
      </c>
      <c r="E9526" s="12" t="s">
        <v>16</v>
      </c>
      <c r="F9526" s="14">
        <v>8200</v>
      </c>
      <c r="G9526" s="14">
        <v>6710</v>
      </c>
      <c r="H9526" s="13" t="s">
        <v>17422</v>
      </c>
      <c r="I9526" s="40" t="s">
        <v>18</v>
      </c>
      <c r="J9526" s="40" t="str">
        <f>HYPERLINK("https://stock.pstatic.net/stock-research/company/64/20250814_company_595658000.pdf","PDF")</f>
        <v>PDF</v>
      </c>
      <c r="K9526" s="12" t="s">
        <v>17423</v>
      </c>
      <c r="L9526" s="20">
        <v>0.2220566318926975</v>
      </c>
    </row>
    <row r="9527" spans="1:12" x14ac:dyDescent="0.45">
      <c r="A9527" s="12" t="s">
        <v>17297</v>
      </c>
      <c r="B9527" s="12" t="s">
        <v>1906</v>
      </c>
      <c r="C9527" s="13" t="s">
        <v>1907</v>
      </c>
      <c r="D9527" s="13" t="s">
        <v>92</v>
      </c>
      <c r="E9527" s="12" t="s">
        <v>159</v>
      </c>
      <c r="F9527" s="14">
        <v>35000</v>
      </c>
      <c r="G9527" s="14">
        <v>29650</v>
      </c>
      <c r="H9527" s="13" t="s">
        <v>17424</v>
      </c>
      <c r="I9527" s="40" t="s">
        <v>18</v>
      </c>
      <c r="J9527" s="40" t="str">
        <f>HYPERLINK("https://stock.pstatic.net/stock-research/company/63/20250814_company_724682000.pdf","PDF")</f>
        <v>PDF</v>
      </c>
      <c r="K9527" s="12" t="s">
        <v>17425</v>
      </c>
      <c r="L9527" s="20">
        <v>0.18043844856661051</v>
      </c>
    </row>
    <row r="9528" spans="1:12" x14ac:dyDescent="0.45">
      <c r="A9528" s="12" t="s">
        <v>17297</v>
      </c>
      <c r="B9528" s="12" t="s">
        <v>1258</v>
      </c>
      <c r="C9528" s="13" t="s">
        <v>1259</v>
      </c>
      <c r="D9528" s="13" t="s">
        <v>23</v>
      </c>
      <c r="E9528" s="12" t="s">
        <v>16</v>
      </c>
      <c r="F9528" s="14">
        <v>530000</v>
      </c>
      <c r="G9528" s="14">
        <v>438500</v>
      </c>
      <c r="H9528" s="13" t="s">
        <v>17426</v>
      </c>
      <c r="I9528" s="40" t="s">
        <v>18</v>
      </c>
      <c r="J9528" s="40" t="str">
        <f>HYPERLINK("https://stock.pstatic.net/stock-research/company/21/20250814_company_406240000.pdf","PDF")</f>
        <v>PDF</v>
      </c>
      <c r="K9528" s="12" t="s">
        <v>17427</v>
      </c>
      <c r="L9528" s="20">
        <v>0.2086659064994299</v>
      </c>
    </row>
    <row r="9529" spans="1:12" x14ac:dyDescent="0.45">
      <c r="A9529" s="12" t="s">
        <v>17297</v>
      </c>
      <c r="B9529" s="12" t="s">
        <v>21</v>
      </c>
      <c r="C9529" s="13" t="s">
        <v>22</v>
      </c>
      <c r="D9529" s="13" t="s">
        <v>23</v>
      </c>
      <c r="E9529" s="12" t="s">
        <v>16</v>
      </c>
      <c r="F9529" s="14">
        <v>32000</v>
      </c>
      <c r="G9529" s="14">
        <v>26150</v>
      </c>
      <c r="H9529" s="13" t="s">
        <v>17428</v>
      </c>
      <c r="I9529" s="40" t="s">
        <v>18</v>
      </c>
      <c r="J9529" s="40" t="str">
        <f>HYPERLINK("https://stock.pstatic.net/stock-research/company/21/20250814_company_165598000.pdf","PDF")</f>
        <v>PDF</v>
      </c>
      <c r="K9529" s="12" t="s">
        <v>17429</v>
      </c>
      <c r="L9529" s="20">
        <v>0.22370936902485661</v>
      </c>
    </row>
    <row r="9530" spans="1:12" x14ac:dyDescent="0.45">
      <c r="A9530" s="12" t="s">
        <v>17297</v>
      </c>
      <c r="B9530" s="12" t="s">
        <v>888</v>
      </c>
      <c r="C9530" s="13" t="s">
        <v>889</v>
      </c>
      <c r="D9530" s="13" t="s">
        <v>92</v>
      </c>
      <c r="E9530" s="12" t="s">
        <v>35</v>
      </c>
      <c r="F9530" s="14">
        <v>69000</v>
      </c>
      <c r="G9530" s="14">
        <v>53000</v>
      </c>
      <c r="H9530" s="13" t="s">
        <v>17430</v>
      </c>
      <c r="I9530" s="40" t="s">
        <v>18</v>
      </c>
      <c r="J9530" s="40" t="str">
        <f>HYPERLINK("https://stock.pstatic.net/stock-research/company/63/20250814_company_827313000.pdf","PDF")</f>
        <v>PDF</v>
      </c>
      <c r="K9530" s="12" t="s">
        <v>17431</v>
      </c>
      <c r="L9530" s="20">
        <v>0.30188679245283018</v>
      </c>
    </row>
    <row r="9531" spans="1:12" x14ac:dyDescent="0.45">
      <c r="A9531" s="12" t="s">
        <v>17297</v>
      </c>
      <c r="B9531" s="12" t="s">
        <v>1906</v>
      </c>
      <c r="C9531" s="13" t="s">
        <v>1907</v>
      </c>
      <c r="D9531" s="13" t="s">
        <v>44</v>
      </c>
      <c r="E9531" s="12" t="s">
        <v>45</v>
      </c>
      <c r="F9531" s="14">
        <v>34000</v>
      </c>
      <c r="G9531" s="14">
        <v>29650</v>
      </c>
      <c r="H9531" s="13" t="s">
        <v>17432</v>
      </c>
      <c r="I9531" s="40" t="s">
        <v>18</v>
      </c>
      <c r="J9531" s="40" t="str">
        <f>HYPERLINK("https://stock.pstatic.net/stock-research/company/39/20250814_company_373075000.pdf","PDF")</f>
        <v>PDF</v>
      </c>
      <c r="K9531" s="12" t="s">
        <v>17433</v>
      </c>
      <c r="L9531" s="20">
        <v>0.14671163575042159</v>
      </c>
    </row>
    <row r="9532" spans="1:12" x14ac:dyDescent="0.45">
      <c r="A9532" s="12" t="s">
        <v>17297</v>
      </c>
      <c r="B9532" s="12" t="s">
        <v>1258</v>
      </c>
      <c r="C9532" s="13" t="s">
        <v>1259</v>
      </c>
      <c r="D9532" s="13" t="s">
        <v>44</v>
      </c>
      <c r="E9532" s="12" t="s">
        <v>35</v>
      </c>
      <c r="F9532" s="14">
        <v>530000</v>
      </c>
      <c r="G9532" s="14">
        <v>438500</v>
      </c>
      <c r="H9532" s="13" t="s">
        <v>17434</v>
      </c>
      <c r="I9532" s="40" t="s">
        <v>18</v>
      </c>
      <c r="J9532" s="40" t="str">
        <f>HYPERLINK("https://stock.pstatic.net/stock-research/company/39/20250814_company_204830000.pdf","PDF")</f>
        <v>PDF</v>
      </c>
      <c r="K9532" s="12" t="s">
        <v>17435</v>
      </c>
      <c r="L9532" s="20">
        <v>0.2086659064994299</v>
      </c>
    </row>
    <row r="9533" spans="1:12" x14ac:dyDescent="0.45">
      <c r="A9533" s="12" t="s">
        <v>17297</v>
      </c>
      <c r="B9533" s="12" t="s">
        <v>86</v>
      </c>
      <c r="C9533" s="13" t="s">
        <v>87</v>
      </c>
      <c r="D9533" s="13" t="s">
        <v>44</v>
      </c>
      <c r="E9533" s="12" t="s">
        <v>35</v>
      </c>
      <c r="F9533" s="14">
        <v>150000</v>
      </c>
      <c r="G9533" s="14">
        <v>113800</v>
      </c>
      <c r="H9533" s="13" t="s">
        <v>17436</v>
      </c>
      <c r="I9533" s="40" t="s">
        <v>18</v>
      </c>
      <c r="J9533" s="40" t="str">
        <f>HYPERLINK("https://stock.pstatic.net/stock-research/company/39/20250814_company_238835000.pdf","PDF")</f>
        <v>PDF</v>
      </c>
      <c r="K9533" s="12" t="s">
        <v>17437</v>
      </c>
      <c r="L9533" s="20">
        <v>0.3181019332161687</v>
      </c>
    </row>
    <row r="9534" spans="1:12" x14ac:dyDescent="0.45">
      <c r="A9534" s="12" t="s">
        <v>17297</v>
      </c>
      <c r="B9534" s="12" t="s">
        <v>86</v>
      </c>
      <c r="C9534" s="13" t="s">
        <v>87</v>
      </c>
      <c r="D9534" s="13" t="s">
        <v>23</v>
      </c>
      <c r="E9534" s="12" t="s">
        <v>16</v>
      </c>
      <c r="F9534" s="14">
        <v>149000</v>
      </c>
      <c r="G9534" s="14">
        <v>113800</v>
      </c>
      <c r="H9534" s="13" t="s">
        <v>17438</v>
      </c>
      <c r="I9534" s="40" t="s">
        <v>18</v>
      </c>
      <c r="J9534" s="40" t="str">
        <f>HYPERLINK("https://stock.pstatic.net/stock-research/company/21/20250814_company_319097000.pdf","PDF")</f>
        <v>PDF</v>
      </c>
      <c r="K9534" s="12" t="s">
        <v>17439</v>
      </c>
      <c r="L9534" s="20">
        <v>0.30931458699472758</v>
      </c>
    </row>
    <row r="9535" spans="1:12" x14ac:dyDescent="0.45">
      <c r="A9535" s="12" t="s">
        <v>17297</v>
      </c>
      <c r="B9535" s="12" t="s">
        <v>1266</v>
      </c>
      <c r="C9535" s="13" t="s">
        <v>1267</v>
      </c>
      <c r="D9535" s="13" t="s">
        <v>44</v>
      </c>
      <c r="E9535" s="12" t="s">
        <v>35</v>
      </c>
      <c r="F9535" s="14">
        <v>160000</v>
      </c>
      <c r="G9535" s="14">
        <v>125300</v>
      </c>
      <c r="H9535" s="13" t="s">
        <v>17440</v>
      </c>
      <c r="I9535" s="40" t="s">
        <v>18</v>
      </c>
      <c r="J9535" s="40" t="str">
        <f>HYPERLINK("https://stock.pstatic.net/stock-research/company/39/20250814_company_128530000.pdf","PDF")</f>
        <v>PDF</v>
      </c>
      <c r="K9535" s="12" t="s">
        <v>17441</v>
      </c>
      <c r="L9535" s="20">
        <v>0.27693535514764572</v>
      </c>
    </row>
    <row r="9536" spans="1:12" x14ac:dyDescent="0.45">
      <c r="A9536" s="12" t="s">
        <v>17297</v>
      </c>
      <c r="B9536" s="12" t="s">
        <v>489</v>
      </c>
      <c r="C9536" s="13" t="s">
        <v>490</v>
      </c>
      <c r="D9536" s="13" t="s">
        <v>23</v>
      </c>
      <c r="E9536" s="12" t="s">
        <v>16</v>
      </c>
      <c r="F9536" s="14">
        <v>32000</v>
      </c>
      <c r="G9536" s="14">
        <v>25300</v>
      </c>
      <c r="H9536" s="13" t="s">
        <v>17442</v>
      </c>
      <c r="I9536" s="40" t="s">
        <v>18</v>
      </c>
      <c r="J9536" s="40" t="str">
        <f>HYPERLINK("https://stock.pstatic.net/stock-research/company/21/20250814_company_320098000.pdf","PDF")</f>
        <v>PDF</v>
      </c>
      <c r="K9536" s="12" t="s">
        <v>17443</v>
      </c>
      <c r="L9536" s="20">
        <v>0.2648221343873518</v>
      </c>
    </row>
    <row r="9537" spans="1:12" x14ac:dyDescent="0.45">
      <c r="A9537" s="12" t="s">
        <v>17297</v>
      </c>
      <c r="B9537" s="12" t="s">
        <v>894</v>
      </c>
      <c r="C9537" s="13" t="s">
        <v>26</v>
      </c>
      <c r="D9537" s="13" t="s">
        <v>23</v>
      </c>
      <c r="E9537" s="12" t="s">
        <v>16</v>
      </c>
      <c r="F9537" s="14">
        <v>62000</v>
      </c>
      <c r="G9537" s="14">
        <v>47600</v>
      </c>
      <c r="H9537" s="13" t="s">
        <v>17444</v>
      </c>
      <c r="I9537" s="40" t="s">
        <v>18</v>
      </c>
      <c r="J9537" s="40" t="str">
        <f>HYPERLINK("https://stock.pstatic.net/stock-research/company/21/20250814_company_42162000.pdf","PDF")</f>
        <v>PDF</v>
      </c>
      <c r="K9537" s="12" t="s">
        <v>17445</v>
      </c>
      <c r="L9537" s="20">
        <v>0.30252100840336132</v>
      </c>
    </row>
    <row r="9538" spans="1:12" x14ac:dyDescent="0.45">
      <c r="A9538" s="12" t="s">
        <v>17297</v>
      </c>
      <c r="B9538" s="12" t="s">
        <v>17446</v>
      </c>
      <c r="C9538" s="13" t="s">
        <v>17447</v>
      </c>
      <c r="D9538" s="13" t="s">
        <v>124</v>
      </c>
      <c r="E9538" s="12" t="s">
        <v>50</v>
      </c>
      <c r="F9538" s="13"/>
      <c r="G9538" s="13"/>
      <c r="H9538" s="13" t="s">
        <v>17448</v>
      </c>
      <c r="I9538" s="40" t="s">
        <v>18</v>
      </c>
      <c r="J9538" s="40" t="str">
        <f>HYPERLINK("https://stock.pstatic.net/stock-research/company/74/20250814_company_131976000.pdf","PDF")</f>
        <v>PDF</v>
      </c>
      <c r="K9538" s="12" t="s">
        <v>17449</v>
      </c>
    </row>
    <row r="9539" spans="1:12" x14ac:dyDescent="0.45">
      <c r="A9539" s="12" t="s">
        <v>17297</v>
      </c>
      <c r="B9539" s="12" t="s">
        <v>2631</v>
      </c>
      <c r="C9539" s="13" t="s">
        <v>2632</v>
      </c>
      <c r="D9539" s="13" t="s">
        <v>15</v>
      </c>
      <c r="E9539" s="12" t="s">
        <v>16</v>
      </c>
      <c r="F9539" s="14">
        <v>25000</v>
      </c>
      <c r="G9539" s="14">
        <v>17750</v>
      </c>
      <c r="H9539" s="13" t="s">
        <v>17450</v>
      </c>
      <c r="I9539" s="40" t="s">
        <v>18</v>
      </c>
      <c r="J9539" s="40" t="str">
        <f>HYPERLINK("https://stock.pstatic.net/stock-research/company/29/20250814_company_635989000.pdf","PDF")</f>
        <v>PDF</v>
      </c>
      <c r="K9539" s="12" t="s">
        <v>17451</v>
      </c>
      <c r="L9539" s="20">
        <v>0.40845070422535212</v>
      </c>
    </row>
    <row r="9540" spans="1:12" x14ac:dyDescent="0.45">
      <c r="A9540" s="12" t="s">
        <v>17297</v>
      </c>
      <c r="B9540" s="12" t="s">
        <v>2312</v>
      </c>
      <c r="C9540" s="13" t="s">
        <v>2313</v>
      </c>
      <c r="D9540" s="13" t="s">
        <v>15</v>
      </c>
      <c r="E9540" s="12" t="s">
        <v>16</v>
      </c>
      <c r="F9540" s="14">
        <v>44000</v>
      </c>
      <c r="G9540" s="14">
        <v>27200</v>
      </c>
      <c r="H9540" s="13" t="s">
        <v>17452</v>
      </c>
      <c r="I9540" s="40" t="s">
        <v>18</v>
      </c>
      <c r="J9540" s="40" t="str">
        <f>HYPERLINK("https://stock.pstatic.net/stock-research/company/29/20250814_company_148650000.pdf","PDF")</f>
        <v>PDF</v>
      </c>
      <c r="K9540" s="12" t="s">
        <v>17453</v>
      </c>
      <c r="L9540" s="20">
        <v>0.61764705882352944</v>
      </c>
    </row>
    <row r="9541" spans="1:12" x14ac:dyDescent="0.45">
      <c r="A9541" s="12" t="s">
        <v>17297</v>
      </c>
      <c r="B9541" s="12" t="s">
        <v>118</v>
      </c>
      <c r="C9541" s="13" t="s">
        <v>119</v>
      </c>
      <c r="D9541" s="13" t="s">
        <v>53</v>
      </c>
      <c r="E9541" s="12" t="s">
        <v>16</v>
      </c>
      <c r="F9541" s="14">
        <v>104000</v>
      </c>
      <c r="G9541" s="14">
        <v>79400</v>
      </c>
      <c r="H9541" s="13" t="s">
        <v>17454</v>
      </c>
      <c r="I9541" s="40" t="s">
        <v>18</v>
      </c>
      <c r="J9541" s="40" t="str">
        <f>HYPERLINK("https://stock.pstatic.net/stock-research/company/40/20250814_company_899771000.pdf","PDF")</f>
        <v>PDF</v>
      </c>
      <c r="K9541" s="12" t="s">
        <v>17455</v>
      </c>
      <c r="L9541" s="20">
        <v>0.30982367758186402</v>
      </c>
    </row>
    <row r="9542" spans="1:12" x14ac:dyDescent="0.45">
      <c r="A9542" s="12" t="s">
        <v>17456</v>
      </c>
      <c r="B9542" s="12" t="s">
        <v>1258</v>
      </c>
      <c r="C9542" s="13" t="s">
        <v>1259</v>
      </c>
      <c r="D9542" s="13" t="s">
        <v>57</v>
      </c>
      <c r="E9542" s="12" t="s">
        <v>159</v>
      </c>
      <c r="F9542" s="14">
        <v>440000</v>
      </c>
      <c r="G9542" s="14">
        <v>440500</v>
      </c>
      <c r="H9542" s="13" t="s">
        <v>17457</v>
      </c>
      <c r="I9542" s="40" t="s">
        <v>18</v>
      </c>
      <c r="J9542" s="40" t="str">
        <f>HYPERLINK("https://stock.pstatic.net/stock-research/company/16/20250813_company_45540000.pdf","PDF")</f>
        <v>PDF</v>
      </c>
      <c r="K9542" s="12" t="s">
        <v>17458</v>
      </c>
      <c r="L9542" s="20">
        <v>-1.1350737797956869E-3</v>
      </c>
    </row>
    <row r="9543" spans="1:12" x14ac:dyDescent="0.45">
      <c r="A9543" s="12" t="s">
        <v>17456</v>
      </c>
      <c r="B9543" s="12" t="s">
        <v>6579</v>
      </c>
      <c r="C9543" s="13" t="s">
        <v>6580</v>
      </c>
      <c r="D9543" s="13" t="s">
        <v>15</v>
      </c>
      <c r="E9543" s="12" t="s">
        <v>16</v>
      </c>
      <c r="F9543" s="14">
        <v>53000</v>
      </c>
      <c r="G9543" s="14">
        <v>36100</v>
      </c>
      <c r="H9543" s="13" t="s">
        <v>17459</v>
      </c>
      <c r="I9543" s="40" t="s">
        <v>18</v>
      </c>
      <c r="J9543" s="40" t="str">
        <f>HYPERLINK("https://stock.pstatic.net/stock-research/company/29/20250813_company_108385000.pdf","PDF")</f>
        <v>PDF</v>
      </c>
      <c r="K9543" s="12" t="s">
        <v>17460</v>
      </c>
      <c r="L9543" s="20">
        <v>0.46814404432132972</v>
      </c>
    </row>
    <row r="9544" spans="1:12" x14ac:dyDescent="0.45">
      <c r="A9544" s="12" t="s">
        <v>17456</v>
      </c>
      <c r="B9544" s="12" t="s">
        <v>1906</v>
      </c>
      <c r="C9544" s="13" t="s">
        <v>1907</v>
      </c>
      <c r="D9544" s="13" t="s">
        <v>15</v>
      </c>
      <c r="E9544" s="12" t="s">
        <v>385</v>
      </c>
      <c r="F9544" s="14">
        <v>36000</v>
      </c>
      <c r="G9544" s="14">
        <v>39100</v>
      </c>
      <c r="H9544" s="13" t="s">
        <v>17461</v>
      </c>
      <c r="I9544" s="40" t="s">
        <v>18</v>
      </c>
      <c r="J9544" s="40" t="str">
        <f>HYPERLINK("https://stock.pstatic.net/stock-research/company/29/20250813_company_482068000.pdf","PDF")</f>
        <v>PDF</v>
      </c>
      <c r="K9544" s="12" t="s">
        <v>17462</v>
      </c>
      <c r="L9544" s="20">
        <v>-7.9283887468030695E-2</v>
      </c>
    </row>
    <row r="9545" spans="1:12" x14ac:dyDescent="0.45">
      <c r="A9545" s="12" t="s">
        <v>17456</v>
      </c>
      <c r="B9545" s="12" t="s">
        <v>1682</v>
      </c>
      <c r="C9545" s="13" t="s">
        <v>4787</v>
      </c>
      <c r="D9545" s="13" t="s">
        <v>83</v>
      </c>
      <c r="E9545" s="12" t="s">
        <v>642</v>
      </c>
      <c r="F9545" s="14">
        <v>230000</v>
      </c>
      <c r="G9545" s="14">
        <v>223000</v>
      </c>
      <c r="H9545" s="13" t="s">
        <v>17463</v>
      </c>
      <c r="I9545" s="40" t="s">
        <v>18</v>
      </c>
      <c r="J9545" s="40" t="str">
        <f>HYPERLINK("https://stock.pstatic.net/stock-research/company/2/20250813_company_346592000.pdf","PDF")</f>
        <v>PDF</v>
      </c>
      <c r="K9545" s="12" t="s">
        <v>17464</v>
      </c>
      <c r="L9545" s="20">
        <v>3.1390134529147982E-2</v>
      </c>
    </row>
    <row r="9546" spans="1:12" x14ac:dyDescent="0.45">
      <c r="A9546" s="12" t="s">
        <v>17456</v>
      </c>
      <c r="B9546" s="12" t="s">
        <v>4864</v>
      </c>
      <c r="C9546" s="13" t="s">
        <v>4865</v>
      </c>
      <c r="D9546" s="13" t="s">
        <v>83</v>
      </c>
      <c r="E9546" s="12" t="s">
        <v>35</v>
      </c>
      <c r="F9546" s="14">
        <v>45000</v>
      </c>
      <c r="G9546" s="14">
        <v>39000</v>
      </c>
      <c r="H9546" s="13" t="s">
        <v>17465</v>
      </c>
      <c r="I9546" s="40" t="s">
        <v>18</v>
      </c>
      <c r="J9546" s="40" t="str">
        <f>HYPERLINK("https://stock.pstatic.net/stock-research/company/2/20250813_company_575670000.pdf","PDF")</f>
        <v>PDF</v>
      </c>
      <c r="K9546" s="12" t="s">
        <v>17466</v>
      </c>
      <c r="L9546" s="20">
        <v>0.15384615384615391</v>
      </c>
    </row>
    <row r="9547" spans="1:12" x14ac:dyDescent="0.45">
      <c r="A9547" s="12" t="s">
        <v>17456</v>
      </c>
      <c r="B9547" s="12" t="s">
        <v>356</v>
      </c>
      <c r="C9547" s="13" t="s">
        <v>357</v>
      </c>
      <c r="D9547" s="13" t="s">
        <v>83</v>
      </c>
      <c r="E9547" s="12" t="s">
        <v>35</v>
      </c>
      <c r="F9547" s="14">
        <v>33000</v>
      </c>
      <c r="G9547" s="14">
        <v>26600</v>
      </c>
      <c r="H9547" s="13" t="s">
        <v>17467</v>
      </c>
      <c r="I9547" s="40" t="s">
        <v>18</v>
      </c>
      <c r="J9547" s="40" t="str">
        <f>HYPERLINK("https://stock.pstatic.net/stock-research/company/2/20250813_company_173965000.pdf","PDF")</f>
        <v>PDF</v>
      </c>
      <c r="K9547" s="12" t="s">
        <v>17468</v>
      </c>
      <c r="L9547" s="20">
        <v>0.24060150375939851</v>
      </c>
    </row>
    <row r="9548" spans="1:12" x14ac:dyDescent="0.45">
      <c r="A9548" s="12" t="s">
        <v>17456</v>
      </c>
      <c r="B9548" s="12" t="s">
        <v>1694</v>
      </c>
      <c r="C9548" s="13" t="s">
        <v>1695</v>
      </c>
      <c r="D9548" s="13" t="s">
        <v>83</v>
      </c>
      <c r="E9548" s="12" t="s">
        <v>35</v>
      </c>
      <c r="F9548" s="14">
        <v>78000</v>
      </c>
      <c r="G9548" s="14">
        <v>55100</v>
      </c>
      <c r="H9548" s="13" t="s">
        <v>17469</v>
      </c>
      <c r="I9548" s="40" t="s">
        <v>18</v>
      </c>
      <c r="J9548" s="40" t="str">
        <f>HYPERLINK("https://stock.pstatic.net/stock-research/company/2/20250813_company_506246000.pdf","PDF")</f>
        <v>PDF</v>
      </c>
      <c r="K9548" s="12" t="s">
        <v>17470</v>
      </c>
      <c r="L9548" s="20">
        <v>0.41560798548094369</v>
      </c>
    </row>
    <row r="9549" spans="1:12" x14ac:dyDescent="0.45">
      <c r="A9549" s="12" t="s">
        <v>17456</v>
      </c>
      <c r="B9549" s="12" t="s">
        <v>1930</v>
      </c>
      <c r="C9549" s="13" t="s">
        <v>1931</v>
      </c>
      <c r="D9549" s="13" t="s">
        <v>83</v>
      </c>
      <c r="E9549" s="12" t="s">
        <v>35</v>
      </c>
      <c r="F9549" s="14">
        <v>300000</v>
      </c>
      <c r="G9549" s="14">
        <v>251000</v>
      </c>
      <c r="H9549" s="13" t="s">
        <v>17471</v>
      </c>
      <c r="I9549" s="40" t="s">
        <v>18</v>
      </c>
      <c r="J9549" s="40" t="str">
        <f>HYPERLINK("https://stock.pstatic.net/stock-research/company/2/20250813_company_96735000.pdf","PDF")</f>
        <v>PDF</v>
      </c>
      <c r="K9549" s="12" t="s">
        <v>17472</v>
      </c>
      <c r="L9549" s="20">
        <v>0.19521912350597609</v>
      </c>
    </row>
    <row r="9550" spans="1:12" x14ac:dyDescent="0.45">
      <c r="A9550" s="12" t="s">
        <v>17456</v>
      </c>
      <c r="B9550" s="12" t="s">
        <v>1140</v>
      </c>
      <c r="C9550" s="13" t="s">
        <v>1141</v>
      </c>
      <c r="D9550" s="13" t="s">
        <v>83</v>
      </c>
      <c r="E9550" s="12" t="s">
        <v>35</v>
      </c>
      <c r="F9550" s="14">
        <v>49000</v>
      </c>
      <c r="G9550" s="14">
        <v>38550</v>
      </c>
      <c r="H9550" s="13" t="s">
        <v>17473</v>
      </c>
      <c r="I9550" s="40" t="s">
        <v>18</v>
      </c>
      <c r="J9550" s="40" t="str">
        <f>HYPERLINK("https://stock.pstatic.net/stock-research/company/2/20250813_company_400722000.pdf","PDF")</f>
        <v>PDF</v>
      </c>
      <c r="K9550" s="12" t="s">
        <v>17474</v>
      </c>
      <c r="L9550" s="20">
        <v>0.27107652399481191</v>
      </c>
    </row>
    <row r="9551" spans="1:12" x14ac:dyDescent="0.45">
      <c r="A9551" s="12" t="s">
        <v>17456</v>
      </c>
      <c r="B9551" s="12" t="s">
        <v>118</v>
      </c>
      <c r="C9551" s="13" t="s">
        <v>119</v>
      </c>
      <c r="D9551" s="13" t="s">
        <v>57</v>
      </c>
      <c r="E9551" s="12" t="s">
        <v>35</v>
      </c>
      <c r="F9551" s="14">
        <v>120000</v>
      </c>
      <c r="G9551" s="14">
        <v>80000</v>
      </c>
      <c r="H9551" s="13" t="s">
        <v>17475</v>
      </c>
      <c r="I9551" s="40" t="s">
        <v>18</v>
      </c>
      <c r="J9551" s="40" t="str">
        <f>HYPERLINK("https://stock.pstatic.net/stock-research/company/16/20250813_company_109138000.pdf","PDF")</f>
        <v>PDF</v>
      </c>
      <c r="K9551" s="12" t="s">
        <v>17476</v>
      </c>
      <c r="L9551" s="20">
        <v>0.5</v>
      </c>
    </row>
    <row r="9552" spans="1:12" x14ac:dyDescent="0.45">
      <c r="A9552" s="12" t="s">
        <v>17456</v>
      </c>
      <c r="B9552" s="12" t="s">
        <v>1682</v>
      </c>
      <c r="C9552" s="13" t="s">
        <v>4787</v>
      </c>
      <c r="D9552" s="13" t="s">
        <v>276</v>
      </c>
      <c r="E9552" s="12" t="s">
        <v>16</v>
      </c>
      <c r="F9552" s="14">
        <v>260000</v>
      </c>
      <c r="G9552" s="14">
        <v>223000</v>
      </c>
      <c r="H9552" s="13" t="s">
        <v>17477</v>
      </c>
      <c r="I9552" s="40" t="s">
        <v>18</v>
      </c>
      <c r="J9552" s="40" t="str">
        <f>HYPERLINK("https://stock.pstatic.net/stock-research/company/66/20250813_company_137089000.pdf","PDF")</f>
        <v>PDF</v>
      </c>
      <c r="K9552" s="12" t="s">
        <v>17478</v>
      </c>
      <c r="L9552" s="20">
        <v>0.1659192825112108</v>
      </c>
    </row>
    <row r="9553" spans="1:12" x14ac:dyDescent="0.45">
      <c r="A9553" s="12" t="s">
        <v>17456</v>
      </c>
      <c r="B9553" s="12" t="s">
        <v>118</v>
      </c>
      <c r="C9553" s="13" t="s">
        <v>119</v>
      </c>
      <c r="D9553" s="13" t="s">
        <v>60</v>
      </c>
      <c r="E9553" s="12" t="s">
        <v>35</v>
      </c>
      <c r="F9553" s="14">
        <v>110000</v>
      </c>
      <c r="G9553" s="14">
        <v>80000</v>
      </c>
      <c r="H9553" s="13" t="s">
        <v>17479</v>
      </c>
      <c r="I9553" s="40" t="s">
        <v>18</v>
      </c>
      <c r="J9553" s="40" t="str">
        <f>HYPERLINK("https://stock.pstatic.net/stock-research/company/34/20250813_company_677480000.pdf","PDF")</f>
        <v>PDF</v>
      </c>
      <c r="K9553" s="12" t="s">
        <v>17480</v>
      </c>
      <c r="L9553" s="20">
        <v>0.375</v>
      </c>
    </row>
    <row r="9554" spans="1:12" x14ac:dyDescent="0.45">
      <c r="A9554" s="12" t="s">
        <v>17456</v>
      </c>
      <c r="B9554" s="12" t="s">
        <v>1930</v>
      </c>
      <c r="C9554" s="13" t="s">
        <v>1931</v>
      </c>
      <c r="D9554" s="13" t="s">
        <v>60</v>
      </c>
      <c r="E9554" s="12" t="s">
        <v>35</v>
      </c>
      <c r="F9554" s="14">
        <v>350000</v>
      </c>
      <c r="G9554" s="14">
        <v>251000</v>
      </c>
      <c r="H9554" s="13" t="s">
        <v>17481</v>
      </c>
      <c r="I9554" s="40" t="s">
        <v>18</v>
      </c>
      <c r="J9554" s="40" t="str">
        <f>HYPERLINK("https://stock.pstatic.net/stock-research/company/34/20250813_company_4467000.pdf","PDF")</f>
        <v>PDF</v>
      </c>
      <c r="K9554" s="12" t="s">
        <v>17482</v>
      </c>
      <c r="L9554" s="20">
        <v>0.39442231075697209</v>
      </c>
    </row>
    <row r="9555" spans="1:12" x14ac:dyDescent="0.45">
      <c r="A9555" s="12" t="s">
        <v>17456</v>
      </c>
      <c r="B9555" s="12" t="s">
        <v>4864</v>
      </c>
      <c r="C9555" s="13" t="s">
        <v>4865</v>
      </c>
      <c r="D9555" s="13" t="s">
        <v>60</v>
      </c>
      <c r="E9555" s="12" t="s">
        <v>35</v>
      </c>
      <c r="F9555" s="14">
        <v>47000</v>
      </c>
      <c r="G9555" s="14">
        <v>39000</v>
      </c>
      <c r="H9555" s="13" t="s">
        <v>17483</v>
      </c>
      <c r="I9555" s="40" t="s">
        <v>18</v>
      </c>
      <c r="J9555" s="40" t="str">
        <f>HYPERLINK("https://stock.pstatic.net/stock-research/company/34/20250813_company_423040000.pdf","PDF")</f>
        <v>PDF</v>
      </c>
      <c r="K9555" s="12" t="s">
        <v>17484</v>
      </c>
      <c r="L9555" s="20">
        <v>0.20512820512820509</v>
      </c>
    </row>
    <row r="9556" spans="1:12" x14ac:dyDescent="0.45">
      <c r="A9556" s="12" t="s">
        <v>17456</v>
      </c>
      <c r="B9556" s="12" t="s">
        <v>1682</v>
      </c>
      <c r="C9556" s="13" t="s">
        <v>4787</v>
      </c>
      <c r="D9556" s="13" t="s">
        <v>60</v>
      </c>
      <c r="E9556" s="12" t="s">
        <v>50</v>
      </c>
      <c r="F9556" s="14">
        <v>270000</v>
      </c>
      <c r="G9556" s="14">
        <v>223000</v>
      </c>
      <c r="H9556" s="13" t="s">
        <v>17485</v>
      </c>
      <c r="I9556" s="40" t="s">
        <v>18</v>
      </c>
      <c r="J9556" s="40" t="str">
        <f>HYPERLINK("https://stock.pstatic.net/stock-research/company/34/20250813_company_571499000.pdf","PDF")</f>
        <v>PDF</v>
      </c>
      <c r="K9556" s="12" t="s">
        <v>17486</v>
      </c>
      <c r="L9556" s="20">
        <v>0.21076233183856499</v>
      </c>
    </row>
    <row r="9557" spans="1:12" x14ac:dyDescent="0.45">
      <c r="A9557" s="12" t="s">
        <v>17456</v>
      </c>
      <c r="B9557" s="12" t="s">
        <v>118</v>
      </c>
      <c r="C9557" s="13" t="s">
        <v>119</v>
      </c>
      <c r="D9557" s="13" t="s">
        <v>65</v>
      </c>
      <c r="E9557" s="12" t="s">
        <v>35</v>
      </c>
      <c r="F9557" s="14">
        <v>120000</v>
      </c>
      <c r="G9557" s="14">
        <v>80000</v>
      </c>
      <c r="H9557" s="13" t="s">
        <v>17487</v>
      </c>
      <c r="I9557" s="40" t="s">
        <v>18</v>
      </c>
      <c r="J9557" s="40" t="str">
        <f>HYPERLINK("https://stock.pstatic.net/stock-research/company/57/20250813_company_758503000.pdf","PDF")</f>
        <v>PDF</v>
      </c>
      <c r="K9557" s="12" t="s">
        <v>17488</v>
      </c>
      <c r="L9557" s="20">
        <v>0.5</v>
      </c>
    </row>
    <row r="9558" spans="1:12" x14ac:dyDescent="0.45">
      <c r="A9558" s="12" t="s">
        <v>17456</v>
      </c>
      <c r="B9558" s="12" t="s">
        <v>1140</v>
      </c>
      <c r="C9558" s="13" t="s">
        <v>1141</v>
      </c>
      <c r="D9558" s="13" t="s">
        <v>65</v>
      </c>
      <c r="E9558" s="12" t="s">
        <v>35</v>
      </c>
      <c r="F9558" s="14">
        <v>45000</v>
      </c>
      <c r="G9558" s="14">
        <v>38550</v>
      </c>
      <c r="H9558" s="13" t="s">
        <v>17489</v>
      </c>
      <c r="I9558" s="40" t="s">
        <v>18</v>
      </c>
      <c r="J9558" s="40" t="str">
        <f>HYPERLINK("https://stock.pstatic.net/stock-research/company/57/20250813_company_67745000.pdf","PDF")</f>
        <v>PDF</v>
      </c>
      <c r="K9558" s="12" t="s">
        <v>17490</v>
      </c>
      <c r="L9558" s="20">
        <v>0.16731517509727631</v>
      </c>
    </row>
    <row r="9559" spans="1:12" x14ac:dyDescent="0.45">
      <c r="A9559" s="12" t="s">
        <v>17456</v>
      </c>
      <c r="B9559" s="12" t="s">
        <v>1930</v>
      </c>
      <c r="C9559" s="13" t="s">
        <v>1931</v>
      </c>
      <c r="D9559" s="13" t="s">
        <v>65</v>
      </c>
      <c r="E9559" s="12" t="s">
        <v>35</v>
      </c>
      <c r="F9559" s="14">
        <v>380000</v>
      </c>
      <c r="G9559" s="14">
        <v>251000</v>
      </c>
      <c r="H9559" s="13" t="s">
        <v>17491</v>
      </c>
      <c r="I9559" s="40" t="s">
        <v>18</v>
      </c>
      <c r="J9559" s="40" t="str">
        <f>HYPERLINK("https://stock.pstatic.net/stock-research/company/57/20250813_company_227637000.pdf","PDF")</f>
        <v>PDF</v>
      </c>
      <c r="K9559" s="12" t="s">
        <v>17492</v>
      </c>
      <c r="L9559" s="20">
        <v>0.51394422310756971</v>
      </c>
    </row>
    <row r="9560" spans="1:12" x14ac:dyDescent="0.45">
      <c r="A9560" s="12" t="s">
        <v>17456</v>
      </c>
      <c r="B9560" s="12" t="s">
        <v>16217</v>
      </c>
      <c r="C9560" s="13" t="s">
        <v>16218</v>
      </c>
      <c r="D9560" s="13" t="s">
        <v>65</v>
      </c>
      <c r="E9560" s="12" t="s">
        <v>35</v>
      </c>
      <c r="F9560" s="14">
        <v>17500</v>
      </c>
      <c r="G9560" s="14">
        <v>14540</v>
      </c>
      <c r="H9560" s="13" t="s">
        <v>17493</v>
      </c>
      <c r="I9560" s="40" t="s">
        <v>18</v>
      </c>
      <c r="J9560" s="40" t="str">
        <f>HYPERLINK("https://stock.pstatic.net/stock-research/company/57/20250813_company_523265000.pdf","PDF")</f>
        <v>PDF</v>
      </c>
      <c r="K9560" s="12" t="s">
        <v>17494</v>
      </c>
      <c r="L9560" s="20">
        <v>0.203576341127923</v>
      </c>
    </row>
    <row r="9561" spans="1:12" x14ac:dyDescent="0.45">
      <c r="A9561" s="12" t="s">
        <v>17456</v>
      </c>
      <c r="B9561" s="12" t="s">
        <v>1682</v>
      </c>
      <c r="C9561" s="13" t="s">
        <v>4787</v>
      </c>
      <c r="D9561" s="13" t="s">
        <v>65</v>
      </c>
      <c r="E9561" s="12" t="s">
        <v>35</v>
      </c>
      <c r="F9561" s="14">
        <v>260000</v>
      </c>
      <c r="G9561" s="14">
        <v>223000</v>
      </c>
      <c r="H9561" s="13" t="s">
        <v>17495</v>
      </c>
      <c r="I9561" s="40" t="s">
        <v>18</v>
      </c>
      <c r="J9561" s="40" t="str">
        <f>HYPERLINK("https://stock.pstatic.net/stock-research/company/57/20250813_company_80817000.pdf","PDF")</f>
        <v>PDF</v>
      </c>
      <c r="K9561" s="12" t="s">
        <v>17496</v>
      </c>
      <c r="L9561" s="20">
        <v>0.1659192825112108</v>
      </c>
    </row>
    <row r="9562" spans="1:12" x14ac:dyDescent="0.45">
      <c r="A9562" s="12" t="s">
        <v>17456</v>
      </c>
      <c r="B9562" s="12" t="s">
        <v>95</v>
      </c>
      <c r="C9562" s="13" t="s">
        <v>31</v>
      </c>
      <c r="D9562" s="13" t="s">
        <v>65</v>
      </c>
      <c r="E9562" s="12" t="s">
        <v>35</v>
      </c>
      <c r="F9562" s="14">
        <v>39000</v>
      </c>
      <c r="G9562" s="14">
        <v>27500</v>
      </c>
      <c r="H9562" s="13" t="s">
        <v>17497</v>
      </c>
      <c r="I9562" s="40" t="s">
        <v>18</v>
      </c>
      <c r="J9562" s="40" t="str">
        <f>HYPERLINK("https://stock.pstatic.net/stock-research/company/57/20250813_company_771827000.pdf","PDF")</f>
        <v>PDF</v>
      </c>
      <c r="K9562" s="12" t="s">
        <v>17498</v>
      </c>
      <c r="L9562" s="20">
        <v>0.41818181818181821</v>
      </c>
    </row>
    <row r="9563" spans="1:12" x14ac:dyDescent="0.45">
      <c r="A9563" s="12" t="s">
        <v>17456</v>
      </c>
      <c r="B9563" s="12" t="s">
        <v>1930</v>
      </c>
      <c r="C9563" s="13" t="s">
        <v>1931</v>
      </c>
      <c r="D9563" s="13" t="s">
        <v>158</v>
      </c>
      <c r="E9563" s="12" t="s">
        <v>35</v>
      </c>
      <c r="F9563" s="14">
        <v>300000</v>
      </c>
      <c r="G9563" s="14">
        <v>251000</v>
      </c>
      <c r="H9563" s="13" t="s">
        <v>17499</v>
      </c>
      <c r="I9563" s="40" t="s">
        <v>18</v>
      </c>
      <c r="J9563" s="40" t="str">
        <f>HYPERLINK("https://stock.pstatic.net/stock-research/company/18/20250813_company_497211000.pdf","PDF")</f>
        <v>PDF</v>
      </c>
      <c r="K9563" s="12" t="s">
        <v>17500</v>
      </c>
      <c r="L9563" s="20">
        <v>0.19521912350597609</v>
      </c>
    </row>
    <row r="9564" spans="1:12" x14ac:dyDescent="0.45">
      <c r="A9564" s="12" t="s">
        <v>17456</v>
      </c>
      <c r="B9564" s="12" t="s">
        <v>1682</v>
      </c>
      <c r="C9564" s="13" t="s">
        <v>4787</v>
      </c>
      <c r="D9564" s="13" t="s">
        <v>158</v>
      </c>
      <c r="E9564" s="12" t="s">
        <v>35</v>
      </c>
      <c r="F9564" s="14">
        <v>310000</v>
      </c>
      <c r="G9564" s="14">
        <v>223000</v>
      </c>
      <c r="H9564" s="13" t="s">
        <v>17501</v>
      </c>
      <c r="I9564" s="40" t="s">
        <v>18</v>
      </c>
      <c r="J9564" s="40" t="str">
        <f>HYPERLINK("https://stock.pstatic.net/stock-research/company/18/20250813_company_103976000.pdf","PDF")</f>
        <v>PDF</v>
      </c>
      <c r="K9564" s="12" t="s">
        <v>17502</v>
      </c>
      <c r="L9564" s="20">
        <v>0.39013452914798208</v>
      </c>
    </row>
    <row r="9565" spans="1:12" x14ac:dyDescent="0.45">
      <c r="A9565" s="12" t="s">
        <v>17456</v>
      </c>
      <c r="B9565" s="12" t="s">
        <v>6328</v>
      </c>
      <c r="C9565" s="13" t="s">
        <v>6329</v>
      </c>
      <c r="D9565" s="13" t="s">
        <v>158</v>
      </c>
      <c r="E9565" s="12" t="s">
        <v>50</v>
      </c>
      <c r="F9565" s="13"/>
      <c r="G9565" s="14">
        <v>5410</v>
      </c>
      <c r="H9565" s="13" t="s">
        <v>17503</v>
      </c>
      <c r="I9565" s="40" t="s">
        <v>18</v>
      </c>
      <c r="J9565" s="40" t="str">
        <f>HYPERLINK("https://stock.pstatic.net/stock-research/company/18/20250813_company_806688000.pdf","PDF")</f>
        <v>PDF</v>
      </c>
      <c r="K9565" s="12" t="s">
        <v>17504</v>
      </c>
    </row>
    <row r="9566" spans="1:12" x14ac:dyDescent="0.45">
      <c r="A9566" s="12" t="s">
        <v>17456</v>
      </c>
      <c r="B9566" s="12" t="s">
        <v>17505</v>
      </c>
      <c r="C9566" s="13" t="s">
        <v>17506</v>
      </c>
      <c r="D9566" s="13" t="s">
        <v>158</v>
      </c>
      <c r="E9566" s="12" t="s">
        <v>50</v>
      </c>
      <c r="F9566" s="13"/>
      <c r="G9566" s="14">
        <v>13850</v>
      </c>
      <c r="H9566" s="13" t="s">
        <v>17507</v>
      </c>
      <c r="I9566" s="40" t="s">
        <v>18</v>
      </c>
      <c r="J9566" s="40" t="str">
        <f>HYPERLINK("https://stock.pstatic.net/stock-research/company/18/20250813_company_901816000.pdf","PDF")</f>
        <v>PDF</v>
      </c>
      <c r="K9566" s="12" t="s">
        <v>17508</v>
      </c>
    </row>
    <row r="9567" spans="1:12" x14ac:dyDescent="0.45">
      <c r="A9567" s="12" t="s">
        <v>17456</v>
      </c>
      <c r="B9567" s="12" t="s">
        <v>2024</v>
      </c>
      <c r="C9567" s="13" t="s">
        <v>2025</v>
      </c>
      <c r="D9567" s="13" t="s">
        <v>15</v>
      </c>
      <c r="E9567" s="12" t="s">
        <v>385</v>
      </c>
      <c r="F9567" s="14">
        <v>45000</v>
      </c>
      <c r="G9567" s="14">
        <v>44950</v>
      </c>
      <c r="H9567" s="13" t="s">
        <v>17509</v>
      </c>
      <c r="I9567" s="40" t="s">
        <v>18</v>
      </c>
      <c r="J9567" s="40" t="str">
        <f>HYPERLINK("https://stock.pstatic.net/stock-research/company/29/20250813_company_392102000.pdf","PDF")</f>
        <v>PDF</v>
      </c>
      <c r="K9567" s="12" t="s">
        <v>17510</v>
      </c>
      <c r="L9567" s="20">
        <v>1.112347052280311E-3</v>
      </c>
    </row>
    <row r="9568" spans="1:12" x14ac:dyDescent="0.45">
      <c r="A9568" s="12" t="s">
        <v>17456</v>
      </c>
      <c r="B9568" s="12" t="s">
        <v>1140</v>
      </c>
      <c r="C9568" s="13" t="s">
        <v>1141</v>
      </c>
      <c r="D9568" s="13" t="s">
        <v>15</v>
      </c>
      <c r="E9568" s="12" t="s">
        <v>385</v>
      </c>
      <c r="F9568" s="14">
        <v>36000</v>
      </c>
      <c r="G9568" s="14">
        <v>38550</v>
      </c>
      <c r="H9568" s="13" t="s">
        <v>17511</v>
      </c>
      <c r="I9568" s="40" t="s">
        <v>18</v>
      </c>
      <c r="J9568" s="40" t="str">
        <f>HYPERLINK("https://stock.pstatic.net/stock-research/company/29/20250813_company_91456000.pdf","PDF")</f>
        <v>PDF</v>
      </c>
      <c r="K9568" s="12" t="s">
        <v>17512</v>
      </c>
      <c r="L9568" s="20">
        <v>-6.6147859922178989E-2</v>
      </c>
    </row>
    <row r="9569" spans="1:12" x14ac:dyDescent="0.45">
      <c r="A9569" s="12" t="s">
        <v>17456</v>
      </c>
      <c r="B9569" s="12" t="s">
        <v>1140</v>
      </c>
      <c r="C9569" s="13" t="s">
        <v>1141</v>
      </c>
      <c r="D9569" s="13" t="s">
        <v>179</v>
      </c>
      <c r="E9569" s="12" t="s">
        <v>385</v>
      </c>
      <c r="F9569" s="14">
        <v>40000</v>
      </c>
      <c r="G9569" s="14">
        <v>38550</v>
      </c>
      <c r="H9569" s="13" t="s">
        <v>17513</v>
      </c>
      <c r="I9569" s="40" t="s">
        <v>18</v>
      </c>
      <c r="J9569" s="40" t="str">
        <f>HYPERLINK("https://stock.pstatic.net/stock-research/company/64/20250813_company_745889000.pdf","PDF")</f>
        <v>PDF</v>
      </c>
      <c r="K9569" s="12" t="s">
        <v>17514</v>
      </c>
      <c r="L9569" s="20">
        <v>3.7613488975356678E-2</v>
      </c>
    </row>
    <row r="9570" spans="1:12" x14ac:dyDescent="0.45">
      <c r="A9570" s="12" t="s">
        <v>17456</v>
      </c>
      <c r="B9570" s="12" t="s">
        <v>1682</v>
      </c>
      <c r="C9570" s="13" t="s">
        <v>4787</v>
      </c>
      <c r="D9570" s="13" t="s">
        <v>78</v>
      </c>
      <c r="E9570" s="12" t="s">
        <v>50</v>
      </c>
      <c r="F9570" s="13"/>
      <c r="G9570" s="13"/>
      <c r="H9570" s="13" t="s">
        <v>17515</v>
      </c>
      <c r="I9570" s="40" t="s">
        <v>18</v>
      </c>
      <c r="J9570" s="40" t="str">
        <f>HYPERLINK("https://m.stock.naver.com/research/company/85747","PDF")</f>
        <v>PDF</v>
      </c>
      <c r="K9570" s="12" t="s">
        <v>17516</v>
      </c>
    </row>
    <row r="9571" spans="1:12" x14ac:dyDescent="0.45">
      <c r="A9571" s="12" t="s">
        <v>17456</v>
      </c>
      <c r="B9571" s="12" t="s">
        <v>118</v>
      </c>
      <c r="C9571" s="13" t="s">
        <v>119</v>
      </c>
      <c r="D9571" s="13" t="s">
        <v>78</v>
      </c>
      <c r="E9571" s="12" t="s">
        <v>50</v>
      </c>
      <c r="F9571" s="13"/>
      <c r="G9571" s="13"/>
      <c r="H9571" s="13" t="s">
        <v>17517</v>
      </c>
      <c r="I9571" s="40" t="s">
        <v>18</v>
      </c>
      <c r="J9571" s="40" t="str">
        <f>HYPERLINK("https://m.stock.naver.com/research/company/85746","PDF")</f>
        <v>PDF</v>
      </c>
      <c r="K9571" s="12" t="s">
        <v>17518</v>
      </c>
    </row>
    <row r="9572" spans="1:12" x14ac:dyDescent="0.45">
      <c r="A9572" s="12" t="s">
        <v>17456</v>
      </c>
      <c r="B9572" s="12" t="s">
        <v>1930</v>
      </c>
      <c r="C9572" s="13" t="s">
        <v>1931</v>
      </c>
      <c r="D9572" s="13" t="s">
        <v>53</v>
      </c>
      <c r="E9572" s="12" t="s">
        <v>16</v>
      </c>
      <c r="F9572" s="14">
        <v>310000</v>
      </c>
      <c r="G9572" s="14">
        <v>251000</v>
      </c>
      <c r="H9572" s="13" t="s">
        <v>17519</v>
      </c>
      <c r="I9572" s="40" t="s">
        <v>18</v>
      </c>
      <c r="J9572" s="40" t="str">
        <f>HYPERLINK("https://stock.pstatic.net/stock-research/company/40/20250813_company_240546000.pdf","PDF")</f>
        <v>PDF</v>
      </c>
      <c r="K9572" s="12" t="s">
        <v>17520</v>
      </c>
      <c r="L9572" s="20">
        <v>0.23505976095617531</v>
      </c>
    </row>
    <row r="9573" spans="1:12" x14ac:dyDescent="0.45">
      <c r="A9573" s="12" t="s">
        <v>17456</v>
      </c>
      <c r="B9573" s="12" t="s">
        <v>1912</v>
      </c>
      <c r="C9573" s="13" t="s">
        <v>7834</v>
      </c>
      <c r="D9573" s="13" t="s">
        <v>179</v>
      </c>
      <c r="E9573" s="12" t="s">
        <v>50</v>
      </c>
      <c r="F9573" s="13"/>
      <c r="G9573" s="14">
        <v>32300</v>
      </c>
      <c r="H9573" s="13" t="s">
        <v>17521</v>
      </c>
      <c r="I9573" s="40" t="s">
        <v>18</v>
      </c>
      <c r="J9573" s="40" t="str">
        <f>HYPERLINK("https://stock.pstatic.net/stock-research/company/64/20250813_company_881031000.pdf","PDF")</f>
        <v>PDF</v>
      </c>
      <c r="K9573" s="12" t="s">
        <v>17522</v>
      </c>
    </row>
    <row r="9574" spans="1:12" x14ac:dyDescent="0.45">
      <c r="A9574" s="12" t="s">
        <v>17456</v>
      </c>
      <c r="B9574" s="12" t="s">
        <v>1930</v>
      </c>
      <c r="C9574" s="13" t="s">
        <v>1931</v>
      </c>
      <c r="D9574" s="13" t="s">
        <v>92</v>
      </c>
      <c r="E9574" s="12" t="s">
        <v>35</v>
      </c>
      <c r="F9574" s="14">
        <v>308000</v>
      </c>
      <c r="G9574" s="14">
        <v>251000</v>
      </c>
      <c r="H9574" s="13" t="s">
        <v>17523</v>
      </c>
      <c r="I9574" s="40" t="s">
        <v>18</v>
      </c>
      <c r="J9574" s="40" t="str">
        <f>HYPERLINK("https://stock.pstatic.net/stock-research/company/63/20250813_company_658432000.pdf","PDF")</f>
        <v>PDF</v>
      </c>
      <c r="K9574" s="12" t="s">
        <v>17524</v>
      </c>
      <c r="L9574" s="20">
        <v>0.22709163346613551</v>
      </c>
    </row>
    <row r="9575" spans="1:12" x14ac:dyDescent="0.45">
      <c r="A9575" s="12" t="s">
        <v>17456</v>
      </c>
      <c r="B9575" s="12" t="s">
        <v>1350</v>
      </c>
      <c r="C9575" s="13" t="s">
        <v>1351</v>
      </c>
      <c r="D9575" s="13" t="s">
        <v>34</v>
      </c>
      <c r="E9575" s="12" t="s">
        <v>35</v>
      </c>
      <c r="F9575" s="14">
        <v>63000</v>
      </c>
      <c r="G9575" s="14">
        <v>52000</v>
      </c>
      <c r="H9575" s="13" t="s">
        <v>17525</v>
      </c>
      <c r="I9575" s="40" t="s">
        <v>18</v>
      </c>
      <c r="J9575" s="40" t="str">
        <f>HYPERLINK("https://stock.pstatic.net/stock-research/company/61/20250813_company_27522000.pdf","PDF")</f>
        <v>PDF</v>
      </c>
      <c r="K9575" s="12" t="s">
        <v>17526</v>
      </c>
      <c r="L9575" s="20">
        <v>0.21153846153846151</v>
      </c>
    </row>
    <row r="9576" spans="1:12" x14ac:dyDescent="0.45">
      <c r="A9576" s="12" t="s">
        <v>17456</v>
      </c>
      <c r="B9576" s="12" t="s">
        <v>503</v>
      </c>
      <c r="C9576" s="13" t="s">
        <v>504</v>
      </c>
      <c r="D9576" s="13" t="s">
        <v>23</v>
      </c>
      <c r="E9576" s="12" t="s">
        <v>16</v>
      </c>
      <c r="F9576" s="14">
        <v>130000</v>
      </c>
      <c r="G9576" s="14">
        <v>88000</v>
      </c>
      <c r="H9576" s="13" t="s">
        <v>17527</v>
      </c>
      <c r="I9576" s="40" t="s">
        <v>18</v>
      </c>
      <c r="J9576" s="40" t="str">
        <f>HYPERLINK("https://stock.pstatic.net/stock-research/company/21/20250813_company_225310000.pdf","PDF")</f>
        <v>PDF</v>
      </c>
      <c r="K9576" s="12" t="s">
        <v>17528</v>
      </c>
      <c r="L9576" s="20">
        <v>0.47727272727272729</v>
      </c>
    </row>
    <row r="9577" spans="1:12" x14ac:dyDescent="0.45">
      <c r="A9577" s="12" t="s">
        <v>17456</v>
      </c>
      <c r="B9577" s="12" t="s">
        <v>5912</v>
      </c>
      <c r="C9577" s="13" t="s">
        <v>5913</v>
      </c>
      <c r="D9577" s="13" t="s">
        <v>179</v>
      </c>
      <c r="E9577" s="12" t="s">
        <v>50</v>
      </c>
      <c r="F9577" s="13"/>
      <c r="G9577" s="14">
        <v>34800</v>
      </c>
      <c r="H9577" s="13" t="s">
        <v>17529</v>
      </c>
      <c r="I9577" s="40" t="s">
        <v>18</v>
      </c>
      <c r="J9577" s="40" t="str">
        <f>HYPERLINK("https://m.stock.naver.com/research/company/85740","PDF")</f>
        <v>PDF</v>
      </c>
      <c r="K9577" s="12" t="s">
        <v>17530</v>
      </c>
    </row>
    <row r="9578" spans="1:12" x14ac:dyDescent="0.45">
      <c r="A9578" s="12" t="s">
        <v>17456</v>
      </c>
      <c r="B9578" s="12" t="s">
        <v>1140</v>
      </c>
      <c r="C9578" s="13" t="s">
        <v>1141</v>
      </c>
      <c r="D9578" s="13" t="s">
        <v>92</v>
      </c>
      <c r="E9578" s="12" t="s">
        <v>35</v>
      </c>
      <c r="F9578" s="14">
        <v>50000</v>
      </c>
      <c r="G9578" s="14">
        <v>38550</v>
      </c>
      <c r="H9578" s="13" t="s">
        <v>17531</v>
      </c>
      <c r="I9578" s="40" t="s">
        <v>18</v>
      </c>
      <c r="J9578" s="40" t="str">
        <f>HYPERLINK("https://stock.pstatic.net/stock-research/company/63/20250813_company_888575000.pdf","PDF")</f>
        <v>PDF</v>
      </c>
      <c r="K9578" s="12" t="s">
        <v>17532</v>
      </c>
      <c r="L9578" s="20">
        <v>0.29701686121919579</v>
      </c>
    </row>
    <row r="9579" spans="1:12" x14ac:dyDescent="0.45">
      <c r="A9579" s="12" t="s">
        <v>17456</v>
      </c>
      <c r="B9579" s="12" t="s">
        <v>691</v>
      </c>
      <c r="C9579" s="13" t="s">
        <v>20</v>
      </c>
      <c r="D9579" s="13" t="s">
        <v>53</v>
      </c>
      <c r="E9579" s="12" t="s">
        <v>16</v>
      </c>
      <c r="F9579" s="14">
        <v>230000</v>
      </c>
      <c r="G9579" s="14">
        <v>172400</v>
      </c>
      <c r="H9579" s="13" t="s">
        <v>17533</v>
      </c>
      <c r="I9579" s="40" t="s">
        <v>18</v>
      </c>
      <c r="J9579" s="40" t="str">
        <f>HYPERLINK("https://stock.pstatic.net/stock-research/company/40/20250813_company_531820000.pdf","PDF")</f>
        <v>PDF</v>
      </c>
      <c r="K9579" s="12" t="s">
        <v>17534</v>
      </c>
      <c r="L9579" s="20">
        <v>0.33410672853828299</v>
      </c>
    </row>
    <row r="9580" spans="1:12" x14ac:dyDescent="0.45">
      <c r="A9580" s="12" t="s">
        <v>17456</v>
      </c>
      <c r="B9580" s="12" t="s">
        <v>1682</v>
      </c>
      <c r="C9580" s="13" t="s">
        <v>4787</v>
      </c>
      <c r="D9580" s="13" t="s">
        <v>179</v>
      </c>
      <c r="E9580" s="12" t="s">
        <v>16</v>
      </c>
      <c r="F9580" s="14">
        <v>300000</v>
      </c>
      <c r="G9580" s="14">
        <v>223000</v>
      </c>
      <c r="H9580" s="13" t="s">
        <v>17535</v>
      </c>
      <c r="I9580" s="40" t="s">
        <v>18</v>
      </c>
      <c r="J9580" s="40" t="str">
        <f>HYPERLINK("https://m.stock.naver.com/research/company/85737","PDF")</f>
        <v>PDF</v>
      </c>
      <c r="K9580" s="12" t="s">
        <v>17536</v>
      </c>
      <c r="L9580" s="20">
        <v>0.3452914798206278</v>
      </c>
    </row>
    <row r="9581" spans="1:12" x14ac:dyDescent="0.45">
      <c r="A9581" s="12" t="s">
        <v>17456</v>
      </c>
      <c r="B9581" s="12" t="s">
        <v>114</v>
      </c>
      <c r="C9581" s="13" t="s">
        <v>115</v>
      </c>
      <c r="D9581" s="13" t="s">
        <v>23</v>
      </c>
      <c r="E9581" s="12" t="s">
        <v>16</v>
      </c>
      <c r="F9581" s="14">
        <v>17000</v>
      </c>
      <c r="G9581" s="14">
        <v>14500</v>
      </c>
      <c r="H9581" s="13" t="s">
        <v>17537</v>
      </c>
      <c r="I9581" s="40" t="s">
        <v>18</v>
      </c>
      <c r="J9581" s="40" t="str">
        <f>HYPERLINK("https://m.stock.naver.com/research/company/85736","PDF")</f>
        <v>PDF</v>
      </c>
      <c r="K9581" s="12" t="s">
        <v>17538</v>
      </c>
      <c r="L9581" s="20">
        <v>0.17241379310344829</v>
      </c>
    </row>
    <row r="9582" spans="1:12" x14ac:dyDescent="0.45">
      <c r="A9582" s="12" t="s">
        <v>17456</v>
      </c>
      <c r="B9582" s="12" t="s">
        <v>1140</v>
      </c>
      <c r="C9582" s="13" t="s">
        <v>1141</v>
      </c>
      <c r="D9582" s="13" t="s">
        <v>23</v>
      </c>
      <c r="E9582" s="12" t="s">
        <v>50</v>
      </c>
      <c r="F9582" s="14">
        <v>40000</v>
      </c>
      <c r="G9582" s="14">
        <v>38550</v>
      </c>
      <c r="H9582" s="13" t="s">
        <v>17539</v>
      </c>
      <c r="I9582" s="40" t="s">
        <v>18</v>
      </c>
      <c r="J9582" s="40" t="str">
        <f>HYPERLINK("https://m.stock.naver.com/research/company/85735","PDF")</f>
        <v>PDF</v>
      </c>
      <c r="K9582" s="12" t="s">
        <v>17540</v>
      </c>
      <c r="L9582" s="20">
        <v>3.7613488975356678E-2</v>
      </c>
    </row>
    <row r="9583" spans="1:12" x14ac:dyDescent="0.45">
      <c r="A9583" s="12" t="s">
        <v>17456</v>
      </c>
      <c r="B9583" s="12" t="s">
        <v>784</v>
      </c>
      <c r="C9583" s="13" t="s">
        <v>785</v>
      </c>
      <c r="D9583" s="13" t="s">
        <v>23</v>
      </c>
      <c r="E9583" s="12" t="s">
        <v>16</v>
      </c>
      <c r="F9583" s="14">
        <v>12000</v>
      </c>
      <c r="G9583" s="14">
        <v>8770</v>
      </c>
      <c r="H9583" s="13" t="s">
        <v>17541</v>
      </c>
      <c r="I9583" s="40" t="s">
        <v>18</v>
      </c>
      <c r="J9583" s="40" t="str">
        <f>HYPERLINK("https://stock.pstatic.net/stock-research/company/21/20250813_company_458971000.pdf","PDF")</f>
        <v>PDF</v>
      </c>
      <c r="K9583" s="12" t="s">
        <v>17542</v>
      </c>
      <c r="L9583" s="20">
        <v>0.36830102622576971</v>
      </c>
    </row>
    <row r="9584" spans="1:12" x14ac:dyDescent="0.45">
      <c r="A9584" s="12" t="s">
        <v>17456</v>
      </c>
      <c r="B9584" s="12" t="s">
        <v>118</v>
      </c>
      <c r="C9584" s="13" t="s">
        <v>119</v>
      </c>
      <c r="D9584" s="13" t="s">
        <v>23</v>
      </c>
      <c r="E9584" s="12" t="s">
        <v>16</v>
      </c>
      <c r="F9584" s="14">
        <v>110000</v>
      </c>
      <c r="G9584" s="14">
        <v>80000</v>
      </c>
      <c r="H9584" s="13" t="s">
        <v>17543</v>
      </c>
      <c r="I9584" s="40" t="s">
        <v>18</v>
      </c>
      <c r="J9584" s="40" t="str">
        <f>HYPERLINK("https://stock.pstatic.net/stock-research/company/21/20250813_company_945200000.pdf","PDF")</f>
        <v>PDF</v>
      </c>
      <c r="K9584" s="12" t="s">
        <v>17544</v>
      </c>
      <c r="L9584" s="20">
        <v>0.375</v>
      </c>
    </row>
    <row r="9585" spans="1:12" x14ac:dyDescent="0.45">
      <c r="A9585" s="12" t="s">
        <v>17456</v>
      </c>
      <c r="B9585" s="12" t="s">
        <v>1930</v>
      </c>
      <c r="C9585" s="13" t="s">
        <v>1931</v>
      </c>
      <c r="D9585" s="13" t="s">
        <v>34</v>
      </c>
      <c r="E9585" s="12" t="s">
        <v>35</v>
      </c>
      <c r="F9585" s="14">
        <v>350000</v>
      </c>
      <c r="G9585" s="14">
        <v>251000</v>
      </c>
      <c r="H9585" s="13" t="s">
        <v>17545</v>
      </c>
      <c r="I9585" s="40" t="s">
        <v>18</v>
      </c>
      <c r="J9585" s="40" t="str">
        <f>HYPERLINK("https://stock.pstatic.net/stock-research/company/61/20250813_company_151677000.pdf","PDF")</f>
        <v>PDF</v>
      </c>
      <c r="K9585" s="12" t="s">
        <v>17546</v>
      </c>
      <c r="L9585" s="20">
        <v>0.39442231075697209</v>
      </c>
    </row>
    <row r="9586" spans="1:12" x14ac:dyDescent="0.45">
      <c r="A9586" s="12" t="s">
        <v>17456</v>
      </c>
      <c r="B9586" s="12" t="s">
        <v>1930</v>
      </c>
      <c r="C9586" s="13" t="s">
        <v>1931</v>
      </c>
      <c r="D9586" s="13" t="s">
        <v>23</v>
      </c>
      <c r="E9586" s="12" t="s">
        <v>16</v>
      </c>
      <c r="F9586" s="14">
        <v>320000</v>
      </c>
      <c r="G9586" s="14">
        <v>251000</v>
      </c>
      <c r="H9586" s="13" t="s">
        <v>17547</v>
      </c>
      <c r="I9586" s="40" t="s">
        <v>18</v>
      </c>
      <c r="J9586" s="40" t="str">
        <f>HYPERLINK("https://m.stock.naver.com/research/company/85731","PDF")</f>
        <v>PDF</v>
      </c>
      <c r="K9586" s="12" t="s">
        <v>17548</v>
      </c>
      <c r="L9586" s="20">
        <v>0.27490039840637448</v>
      </c>
    </row>
    <row r="9587" spans="1:12" x14ac:dyDescent="0.45">
      <c r="A9587" s="12" t="s">
        <v>17456</v>
      </c>
      <c r="B9587" s="12" t="s">
        <v>1682</v>
      </c>
      <c r="C9587" s="13" t="s">
        <v>4787</v>
      </c>
      <c r="D9587" s="13" t="s">
        <v>92</v>
      </c>
      <c r="E9587" s="12" t="s">
        <v>35</v>
      </c>
      <c r="F9587" s="14">
        <v>280000</v>
      </c>
      <c r="G9587" s="14">
        <v>223000</v>
      </c>
      <c r="H9587" s="13" t="s">
        <v>17549</v>
      </c>
      <c r="I9587" s="40" t="s">
        <v>18</v>
      </c>
      <c r="J9587" s="40" t="str">
        <f>HYPERLINK("https://stock.pstatic.net/stock-research/company/63/20250813_company_931984000.pdf","PDF")</f>
        <v>PDF</v>
      </c>
      <c r="K9587" s="12" t="s">
        <v>17550</v>
      </c>
      <c r="L9587" s="20">
        <v>0.2556053811659193</v>
      </c>
    </row>
    <row r="9588" spans="1:12" x14ac:dyDescent="0.45">
      <c r="A9588" s="12" t="s">
        <v>17456</v>
      </c>
      <c r="B9588" s="12" t="s">
        <v>118</v>
      </c>
      <c r="C9588" s="13" t="s">
        <v>119</v>
      </c>
      <c r="D9588" s="13" t="s">
        <v>44</v>
      </c>
      <c r="E9588" s="12" t="s">
        <v>35</v>
      </c>
      <c r="F9588" s="14">
        <v>130000</v>
      </c>
      <c r="G9588" s="14">
        <v>80000</v>
      </c>
      <c r="H9588" s="13" t="s">
        <v>17551</v>
      </c>
      <c r="I9588" s="40" t="s">
        <v>18</v>
      </c>
      <c r="J9588" s="40" t="str">
        <f>HYPERLINK("https://m.stock.naver.com/research/company/85729","PDF")</f>
        <v>PDF</v>
      </c>
      <c r="K9588" s="12" t="s">
        <v>17552</v>
      </c>
      <c r="L9588" s="20">
        <v>0.625</v>
      </c>
    </row>
    <row r="9589" spans="1:12" x14ac:dyDescent="0.45">
      <c r="A9589" s="12" t="s">
        <v>17456</v>
      </c>
      <c r="B9589" s="12" t="s">
        <v>1930</v>
      </c>
      <c r="C9589" s="13" t="s">
        <v>1931</v>
      </c>
      <c r="D9589" s="13" t="s">
        <v>44</v>
      </c>
      <c r="E9589" s="12" t="s">
        <v>35</v>
      </c>
      <c r="F9589" s="14">
        <v>320000</v>
      </c>
      <c r="G9589" s="14">
        <v>251000</v>
      </c>
      <c r="H9589" s="13" t="s">
        <v>17553</v>
      </c>
      <c r="I9589" s="40" t="s">
        <v>18</v>
      </c>
      <c r="J9589" s="40" t="str">
        <f>HYPERLINK("https://m.stock.naver.com/research/company/85728","PDF")</f>
        <v>PDF</v>
      </c>
      <c r="K9589" s="12" t="s">
        <v>17554</v>
      </c>
      <c r="L9589" s="20">
        <v>0.27490039840637448</v>
      </c>
    </row>
    <row r="9590" spans="1:12" x14ac:dyDescent="0.45">
      <c r="A9590" s="12" t="s">
        <v>17456</v>
      </c>
      <c r="B9590" s="12" t="s">
        <v>1652</v>
      </c>
      <c r="C9590" s="13" t="s">
        <v>1653</v>
      </c>
      <c r="D9590" s="13" t="s">
        <v>44</v>
      </c>
      <c r="E9590" s="12" t="s">
        <v>35</v>
      </c>
      <c r="F9590" s="14">
        <v>64000</v>
      </c>
      <c r="G9590" s="14">
        <v>45650</v>
      </c>
      <c r="H9590" s="13" t="s">
        <v>17555</v>
      </c>
      <c r="I9590" s="40" t="s">
        <v>18</v>
      </c>
      <c r="J9590" s="40" t="str">
        <f>HYPERLINK("https://m.stock.naver.com/research/company/85727","PDF")</f>
        <v>PDF</v>
      </c>
      <c r="K9590" s="12" t="s">
        <v>17556</v>
      </c>
      <c r="L9590" s="20">
        <v>0.40197152245345019</v>
      </c>
    </row>
    <row r="9591" spans="1:12" x14ac:dyDescent="0.45">
      <c r="A9591" s="12" t="s">
        <v>17456</v>
      </c>
      <c r="B9591" s="12" t="s">
        <v>752</v>
      </c>
      <c r="C9591" s="13" t="s">
        <v>753</v>
      </c>
      <c r="D9591" s="13" t="s">
        <v>124</v>
      </c>
      <c r="E9591" s="12" t="s">
        <v>50</v>
      </c>
      <c r="F9591" s="13"/>
      <c r="G9591" s="13"/>
      <c r="H9591" s="13" t="s">
        <v>17557</v>
      </c>
      <c r="I9591" s="40" t="s">
        <v>18</v>
      </c>
      <c r="J9591" s="40" t="str">
        <f>HYPERLINK("https://m.stock.naver.com/research/company/85726","PDF")</f>
        <v>PDF</v>
      </c>
      <c r="K9591" s="12" t="s">
        <v>17558</v>
      </c>
    </row>
    <row r="9592" spans="1:12" x14ac:dyDescent="0.45">
      <c r="A9592" s="12" t="s">
        <v>17456</v>
      </c>
      <c r="B9592" s="12" t="s">
        <v>4496</v>
      </c>
      <c r="C9592" s="13" t="s">
        <v>4497</v>
      </c>
      <c r="D9592" s="13" t="s">
        <v>124</v>
      </c>
      <c r="E9592" s="12" t="s">
        <v>50</v>
      </c>
      <c r="F9592" s="13"/>
      <c r="G9592" s="13"/>
      <c r="H9592" s="13" t="s">
        <v>17559</v>
      </c>
      <c r="I9592" s="40" t="s">
        <v>18</v>
      </c>
      <c r="J9592" s="40" t="str">
        <f>HYPERLINK("https://stock.pstatic.net/stock-research/company/74/20250814_company_415890000.pdf","PDF")</f>
        <v>PDF</v>
      </c>
      <c r="K9592" s="12" t="s">
        <v>17560</v>
      </c>
    </row>
    <row r="9593" spans="1:12" x14ac:dyDescent="0.45">
      <c r="A9593" s="12" t="s">
        <v>17456</v>
      </c>
      <c r="B9593" s="12" t="s">
        <v>4516</v>
      </c>
      <c r="C9593" s="13" t="s">
        <v>4517</v>
      </c>
      <c r="D9593" s="13" t="s">
        <v>124</v>
      </c>
      <c r="E9593" s="12" t="s">
        <v>50</v>
      </c>
      <c r="F9593" s="13"/>
      <c r="G9593" s="13"/>
      <c r="H9593" s="13" t="s">
        <v>17561</v>
      </c>
      <c r="I9593" s="40" t="s">
        <v>18</v>
      </c>
      <c r="J9593" s="40" t="str">
        <f>HYPERLINK("https://m.stock.naver.com/research/company/85724","PDF")</f>
        <v>PDF</v>
      </c>
      <c r="K9593" s="12" t="s">
        <v>17562</v>
      </c>
    </row>
    <row r="9594" spans="1:12" x14ac:dyDescent="0.45">
      <c r="A9594" s="12" t="s">
        <v>17456</v>
      </c>
      <c r="B9594" s="12" t="s">
        <v>1216</v>
      </c>
      <c r="C9594" s="13" t="s">
        <v>1217</v>
      </c>
      <c r="D9594" s="13" t="s">
        <v>53</v>
      </c>
      <c r="E9594" s="12" t="s">
        <v>16</v>
      </c>
      <c r="F9594" s="14">
        <v>34000</v>
      </c>
      <c r="G9594" s="14">
        <v>24900</v>
      </c>
      <c r="H9594" s="13" t="s">
        <v>17563</v>
      </c>
      <c r="I9594" s="40" t="s">
        <v>18</v>
      </c>
      <c r="J9594" s="40" t="str">
        <f>HYPERLINK("https://stock.pstatic.net/stock-research/company/40/20250813_company_313148000.pdf","PDF")</f>
        <v>PDF</v>
      </c>
      <c r="K9594" s="12" t="s">
        <v>17564</v>
      </c>
      <c r="L9594" s="20">
        <v>0.36546184738955823</v>
      </c>
    </row>
    <row r="9595" spans="1:12" x14ac:dyDescent="0.45">
      <c r="A9595" s="12" t="s">
        <v>17565</v>
      </c>
      <c r="B9595" s="12" t="s">
        <v>1682</v>
      </c>
      <c r="C9595" s="13" t="s">
        <v>4787</v>
      </c>
      <c r="D9595" s="13" t="s">
        <v>57</v>
      </c>
      <c r="E9595" s="12" t="s">
        <v>35</v>
      </c>
      <c r="F9595" s="14">
        <v>280000</v>
      </c>
      <c r="G9595" s="14">
        <v>202500</v>
      </c>
      <c r="H9595" s="13" t="s">
        <v>17566</v>
      </c>
      <c r="I9595" s="40" t="s">
        <v>18</v>
      </c>
      <c r="J9595" s="40" t="str">
        <f>HYPERLINK("https://stock.pstatic.net/stock-research/company/16/20250812_company_352353000.pdf","PDF")</f>
        <v>PDF</v>
      </c>
      <c r="K9595" s="12" t="s">
        <v>17567</v>
      </c>
      <c r="L9595" s="20">
        <v>0.38271604938271597</v>
      </c>
    </row>
    <row r="9596" spans="1:12" x14ac:dyDescent="0.45">
      <c r="A9596" s="12" t="s">
        <v>17565</v>
      </c>
      <c r="B9596" s="12" t="s">
        <v>1930</v>
      </c>
      <c r="C9596" s="13" t="s">
        <v>1931</v>
      </c>
      <c r="D9596" s="13" t="s">
        <v>57</v>
      </c>
      <c r="E9596" s="12" t="s">
        <v>159</v>
      </c>
      <c r="F9596" s="14">
        <v>250000</v>
      </c>
      <c r="G9596" s="14">
        <v>250000</v>
      </c>
      <c r="H9596" s="13" t="s">
        <v>17568</v>
      </c>
      <c r="I9596" s="40" t="s">
        <v>18</v>
      </c>
      <c r="J9596" s="40" t="str">
        <f>HYPERLINK("https://stock.pstatic.net/stock-research/company/16/20250812_company_769118000.pdf","PDF")</f>
        <v>PDF</v>
      </c>
      <c r="K9596" s="12" t="s">
        <v>17569</v>
      </c>
      <c r="L9596" s="20">
        <v>0</v>
      </c>
    </row>
    <row r="9597" spans="1:12" x14ac:dyDescent="0.45">
      <c r="A9597" s="12" t="s">
        <v>17565</v>
      </c>
      <c r="B9597" s="12" t="s">
        <v>1682</v>
      </c>
      <c r="C9597" s="13" t="s">
        <v>4787</v>
      </c>
      <c r="D9597" s="13" t="s">
        <v>15</v>
      </c>
      <c r="E9597" s="12" t="s">
        <v>16</v>
      </c>
      <c r="F9597" s="14">
        <v>260000</v>
      </c>
      <c r="G9597" s="14">
        <v>202500</v>
      </c>
      <c r="H9597" s="13" t="s">
        <v>17570</v>
      </c>
      <c r="I9597" s="40" t="s">
        <v>18</v>
      </c>
      <c r="J9597" s="40" t="str">
        <f>HYPERLINK("https://stock.pstatic.net/stock-research/company/29/20250812_company_557814000.pdf","PDF")</f>
        <v>PDF</v>
      </c>
      <c r="K9597" s="12" t="s">
        <v>17571</v>
      </c>
      <c r="L9597" s="20">
        <v>0.2839506172839506</v>
      </c>
    </row>
    <row r="9598" spans="1:12" x14ac:dyDescent="0.45">
      <c r="A9598" s="12" t="s">
        <v>17565</v>
      </c>
      <c r="B9598" s="12" t="s">
        <v>2105</v>
      </c>
      <c r="C9598" s="13" t="s">
        <v>2106</v>
      </c>
      <c r="D9598" s="13" t="s">
        <v>57</v>
      </c>
      <c r="E9598" s="12" t="s">
        <v>35</v>
      </c>
      <c r="F9598" s="14">
        <v>55000</v>
      </c>
      <c r="G9598" s="14">
        <v>43500</v>
      </c>
      <c r="H9598" s="13" t="s">
        <v>17572</v>
      </c>
      <c r="I9598" s="40" t="s">
        <v>18</v>
      </c>
      <c r="J9598" s="40" t="str">
        <f>HYPERLINK("https://stock.pstatic.net/stock-research/company/16/20250812_company_706180000.pdf","PDF")</f>
        <v>PDF</v>
      </c>
      <c r="K9598" s="12" t="s">
        <v>17573</v>
      </c>
      <c r="L9598" s="20">
        <v>0.26436781609195398</v>
      </c>
    </row>
    <row r="9599" spans="1:12" x14ac:dyDescent="0.45">
      <c r="A9599" s="12" t="s">
        <v>17565</v>
      </c>
      <c r="B9599" s="12" t="s">
        <v>1019</v>
      </c>
      <c r="C9599" s="13" t="s">
        <v>1020</v>
      </c>
      <c r="D9599" s="13" t="s">
        <v>57</v>
      </c>
      <c r="E9599" s="12" t="s">
        <v>35</v>
      </c>
      <c r="F9599" s="14">
        <v>28000</v>
      </c>
      <c r="G9599" s="14">
        <v>17240</v>
      </c>
      <c r="H9599" s="13" t="s">
        <v>17574</v>
      </c>
      <c r="I9599" s="40" t="s">
        <v>18</v>
      </c>
      <c r="J9599" s="40" t="str">
        <f>HYPERLINK("https://stock.pstatic.net/stock-research/company/16/20250812_company_428232000.pdf","PDF")</f>
        <v>PDF</v>
      </c>
      <c r="K9599" s="12" t="s">
        <v>17575</v>
      </c>
      <c r="L9599" s="20">
        <v>0.62412993039443154</v>
      </c>
    </row>
    <row r="9600" spans="1:12" x14ac:dyDescent="0.45">
      <c r="A9600" s="12" t="s">
        <v>17565</v>
      </c>
      <c r="B9600" s="12" t="s">
        <v>2105</v>
      </c>
      <c r="C9600" s="13" t="s">
        <v>2106</v>
      </c>
      <c r="D9600" s="13" t="s">
        <v>276</v>
      </c>
      <c r="E9600" s="12" t="s">
        <v>16</v>
      </c>
      <c r="F9600" s="14">
        <v>53000</v>
      </c>
      <c r="G9600" s="14">
        <v>43500</v>
      </c>
      <c r="H9600" s="13" t="s">
        <v>17576</v>
      </c>
      <c r="I9600" s="40" t="s">
        <v>18</v>
      </c>
      <c r="J9600" s="40" t="str">
        <f>HYPERLINK("https://stock.pstatic.net/stock-research/company/66/20250812_company_895800000.pdf","PDF")</f>
        <v>PDF</v>
      </c>
      <c r="K9600" s="12" t="s">
        <v>17577</v>
      </c>
      <c r="L9600" s="20">
        <v>0.21839080459770119</v>
      </c>
    </row>
    <row r="9601" spans="1:12" x14ac:dyDescent="0.45">
      <c r="A9601" s="12" t="s">
        <v>17565</v>
      </c>
      <c r="B9601" s="12" t="s">
        <v>764</v>
      </c>
      <c r="C9601" s="13" t="s">
        <v>765</v>
      </c>
      <c r="D9601" s="13" t="s">
        <v>60</v>
      </c>
      <c r="E9601" s="12" t="s">
        <v>35</v>
      </c>
      <c r="F9601" s="14">
        <v>63000</v>
      </c>
      <c r="G9601" s="14">
        <v>1175000</v>
      </c>
      <c r="H9601" s="13" t="s">
        <v>17578</v>
      </c>
      <c r="I9601" s="40" t="s">
        <v>18</v>
      </c>
      <c r="J9601" s="40" t="str">
        <f>HYPERLINK("https://m.stock.naver.com/research/company/85716","PDF")</f>
        <v>PDF</v>
      </c>
      <c r="K9601" s="12" t="s">
        <v>17579</v>
      </c>
      <c r="L9601" s="20">
        <v>-0.94638297872340427</v>
      </c>
    </row>
    <row r="9602" spans="1:12" x14ac:dyDescent="0.45">
      <c r="A9602" s="12" t="s">
        <v>17565</v>
      </c>
      <c r="B9602" s="12" t="s">
        <v>768</v>
      </c>
      <c r="C9602" s="13" t="s">
        <v>769</v>
      </c>
      <c r="D9602" s="13" t="s">
        <v>60</v>
      </c>
      <c r="E9602" s="12" t="s">
        <v>35</v>
      </c>
      <c r="F9602" s="14">
        <v>310000</v>
      </c>
      <c r="G9602" s="14">
        <v>236500</v>
      </c>
      <c r="H9602" s="13" t="s">
        <v>17580</v>
      </c>
      <c r="I9602" s="40" t="s">
        <v>18</v>
      </c>
      <c r="J9602" s="40" t="str">
        <f>HYPERLINK("https://m.stock.naver.com/research/company/85715","PDF")</f>
        <v>PDF</v>
      </c>
      <c r="K9602" s="12" t="s">
        <v>17581</v>
      </c>
      <c r="L9602" s="20">
        <v>0.31078224101479918</v>
      </c>
    </row>
    <row r="9603" spans="1:12" x14ac:dyDescent="0.45">
      <c r="A9603" s="12" t="s">
        <v>17565</v>
      </c>
      <c r="B9603" s="12" t="s">
        <v>2191</v>
      </c>
      <c r="C9603" s="13" t="s">
        <v>2192</v>
      </c>
      <c r="D9603" s="13" t="s">
        <v>60</v>
      </c>
      <c r="E9603" s="12" t="s">
        <v>35</v>
      </c>
      <c r="F9603" s="14">
        <v>80000</v>
      </c>
      <c r="G9603" s="14">
        <v>62500</v>
      </c>
      <c r="H9603" s="13" t="s">
        <v>17582</v>
      </c>
      <c r="I9603" s="40" t="s">
        <v>18</v>
      </c>
      <c r="J9603" s="40" t="str">
        <f>HYPERLINK("https://m.stock.naver.com/research/company/85714","PDF")</f>
        <v>PDF</v>
      </c>
      <c r="K9603" s="12" t="s">
        <v>17583</v>
      </c>
      <c r="L9603" s="20">
        <v>0.28000000000000003</v>
      </c>
    </row>
    <row r="9604" spans="1:12" x14ac:dyDescent="0.45">
      <c r="A9604" s="12" t="s">
        <v>17565</v>
      </c>
      <c r="B9604" s="12" t="s">
        <v>12635</v>
      </c>
      <c r="C9604" s="13" t="s">
        <v>12636</v>
      </c>
      <c r="D9604" s="13" t="s">
        <v>60</v>
      </c>
      <c r="E9604" s="12" t="s">
        <v>35</v>
      </c>
      <c r="F9604" s="14">
        <v>190000</v>
      </c>
      <c r="G9604" s="14">
        <v>144100</v>
      </c>
      <c r="H9604" s="13" t="s">
        <v>17584</v>
      </c>
      <c r="I9604" s="40" t="s">
        <v>18</v>
      </c>
      <c r="J9604" s="40" t="str">
        <f>HYPERLINK("https://m.stock.naver.com/research/company/85713","PDF")</f>
        <v>PDF</v>
      </c>
      <c r="K9604" s="12" t="s">
        <v>17585</v>
      </c>
      <c r="L9604" s="20">
        <v>0.31852879944482998</v>
      </c>
    </row>
    <row r="9605" spans="1:12" x14ac:dyDescent="0.45">
      <c r="A9605" s="12" t="s">
        <v>17565</v>
      </c>
      <c r="B9605" s="12" t="s">
        <v>2105</v>
      </c>
      <c r="C9605" s="13" t="s">
        <v>2106</v>
      </c>
      <c r="D9605" s="13" t="s">
        <v>60</v>
      </c>
      <c r="E9605" s="12" t="s">
        <v>35</v>
      </c>
      <c r="F9605" s="14">
        <v>64000</v>
      </c>
      <c r="G9605" s="14">
        <v>43500</v>
      </c>
      <c r="H9605" s="13" t="s">
        <v>17586</v>
      </c>
      <c r="I9605" s="40" t="s">
        <v>18</v>
      </c>
      <c r="J9605" s="40" t="str">
        <f>HYPERLINK("https://m.stock.naver.com/research/company/85712","PDF")</f>
        <v>PDF</v>
      </c>
      <c r="K9605" s="12" t="s">
        <v>17587</v>
      </c>
      <c r="L9605" s="20">
        <v>0.47126436781609188</v>
      </c>
    </row>
    <row r="9606" spans="1:12" x14ac:dyDescent="0.45">
      <c r="A9606" s="12" t="s">
        <v>17565</v>
      </c>
      <c r="B9606" s="12" t="s">
        <v>1694</v>
      </c>
      <c r="C9606" s="13" t="s">
        <v>1695</v>
      </c>
      <c r="D9606" s="13" t="s">
        <v>60</v>
      </c>
      <c r="E9606" s="12" t="s">
        <v>35</v>
      </c>
      <c r="F9606" s="14">
        <v>70000</v>
      </c>
      <c r="G9606" s="14">
        <v>59800</v>
      </c>
      <c r="H9606" s="13" t="s">
        <v>17588</v>
      </c>
      <c r="I9606" s="40" t="s">
        <v>18</v>
      </c>
      <c r="J9606" s="40" t="str">
        <f>HYPERLINK("https://m.stock.naver.com/research/company/85711","PDF")</f>
        <v>PDF</v>
      </c>
      <c r="K9606" s="12" t="s">
        <v>17589</v>
      </c>
      <c r="L9606" s="20">
        <v>0.1705685618729097</v>
      </c>
    </row>
    <row r="9607" spans="1:12" x14ac:dyDescent="0.45">
      <c r="A9607" s="12" t="s">
        <v>17565</v>
      </c>
      <c r="B9607" s="12" t="s">
        <v>13568</v>
      </c>
      <c r="C9607" s="13" t="s">
        <v>13569</v>
      </c>
      <c r="D9607" s="13" t="s">
        <v>60</v>
      </c>
      <c r="E9607" s="12" t="s">
        <v>159</v>
      </c>
      <c r="F9607" s="14">
        <v>7900</v>
      </c>
      <c r="G9607" s="14">
        <v>8400</v>
      </c>
      <c r="H9607" s="13" t="s">
        <v>17590</v>
      </c>
      <c r="I9607" s="40" t="s">
        <v>18</v>
      </c>
      <c r="J9607" s="40" t="str">
        <f>HYPERLINK("https://m.stock.naver.com/research/company/85710","PDF")</f>
        <v>PDF</v>
      </c>
      <c r="K9607" s="12" t="s">
        <v>17591</v>
      </c>
      <c r="L9607" s="20">
        <v>-5.9523809523809521E-2</v>
      </c>
    </row>
    <row r="9608" spans="1:12" x14ac:dyDescent="0.45">
      <c r="A9608" s="12" t="s">
        <v>17565</v>
      </c>
      <c r="B9608" s="12" t="s">
        <v>1047</v>
      </c>
      <c r="C9608" s="13" t="s">
        <v>1048</v>
      </c>
      <c r="D9608" s="13" t="s">
        <v>65</v>
      </c>
      <c r="E9608" s="12" t="s">
        <v>35</v>
      </c>
      <c r="F9608" s="14">
        <v>14000</v>
      </c>
      <c r="G9608" s="14">
        <v>11270</v>
      </c>
      <c r="H9608" s="13" t="s">
        <v>17592</v>
      </c>
      <c r="I9608" s="40" t="s">
        <v>18</v>
      </c>
      <c r="J9608" s="40" t="str">
        <f>HYPERLINK("https://m.stock.naver.com/research/company/85709","PDF")</f>
        <v>PDF</v>
      </c>
      <c r="K9608" s="12" t="s">
        <v>17593</v>
      </c>
      <c r="L9608" s="20">
        <v>0.24223602484472051</v>
      </c>
    </row>
    <row r="9609" spans="1:12" x14ac:dyDescent="0.45">
      <c r="A9609" s="12" t="s">
        <v>17565</v>
      </c>
      <c r="B9609" s="12" t="s">
        <v>2105</v>
      </c>
      <c r="C9609" s="13" t="s">
        <v>2106</v>
      </c>
      <c r="D9609" s="13" t="s">
        <v>65</v>
      </c>
      <c r="E9609" s="12" t="s">
        <v>35</v>
      </c>
      <c r="F9609" s="14">
        <v>77000</v>
      </c>
      <c r="G9609" s="14">
        <v>43500</v>
      </c>
      <c r="H9609" s="13" t="s">
        <v>17594</v>
      </c>
      <c r="I9609" s="40" t="s">
        <v>18</v>
      </c>
      <c r="J9609" s="40" t="str">
        <f>HYPERLINK("https://m.stock.naver.com/research/company/85708","PDF")</f>
        <v>PDF</v>
      </c>
      <c r="K9609" s="12" t="s">
        <v>17595</v>
      </c>
      <c r="L9609" s="20">
        <v>0.77011494252873558</v>
      </c>
    </row>
    <row r="9610" spans="1:12" x14ac:dyDescent="0.45">
      <c r="A9610" s="12" t="s">
        <v>17565</v>
      </c>
      <c r="B9610" s="12" t="s">
        <v>533</v>
      </c>
      <c r="C9610" s="13" t="s">
        <v>534</v>
      </c>
      <c r="D9610" s="13" t="s">
        <v>65</v>
      </c>
      <c r="E9610" s="12" t="s">
        <v>35</v>
      </c>
      <c r="F9610" s="14">
        <v>70000</v>
      </c>
      <c r="G9610" s="14">
        <v>54100</v>
      </c>
      <c r="H9610" s="13" t="s">
        <v>17596</v>
      </c>
      <c r="I9610" s="40" t="s">
        <v>18</v>
      </c>
      <c r="J9610" s="40" t="str">
        <f>HYPERLINK("https://m.stock.naver.com/research/company/85707","PDF")</f>
        <v>PDF</v>
      </c>
      <c r="K9610" s="12" t="s">
        <v>17597</v>
      </c>
      <c r="L9610" s="20">
        <v>0.29390018484288349</v>
      </c>
    </row>
    <row r="9611" spans="1:12" x14ac:dyDescent="0.45">
      <c r="A9611" s="12" t="s">
        <v>17565</v>
      </c>
      <c r="B9611" s="12" t="s">
        <v>2105</v>
      </c>
      <c r="C9611" s="13" t="s">
        <v>2106</v>
      </c>
      <c r="D9611" s="13" t="s">
        <v>83</v>
      </c>
      <c r="E9611" s="12" t="s">
        <v>35</v>
      </c>
      <c r="F9611" s="14">
        <v>55000</v>
      </c>
      <c r="G9611" s="14">
        <v>43500</v>
      </c>
      <c r="H9611" s="13" t="s">
        <v>17598</v>
      </c>
      <c r="I9611" s="40" t="s">
        <v>18</v>
      </c>
      <c r="J9611" s="40" t="str">
        <f>HYPERLINK("https://stock.pstatic.net/stock-research/company/2/20250812_company_475594000.pdf","PDF")</f>
        <v>PDF</v>
      </c>
      <c r="K9611" s="12" t="s">
        <v>17599</v>
      </c>
      <c r="L9611" s="20">
        <v>0.26436781609195398</v>
      </c>
    </row>
    <row r="9612" spans="1:12" x14ac:dyDescent="0.45">
      <c r="A9612" s="12" t="s">
        <v>17565</v>
      </c>
      <c r="B9612" s="12" t="s">
        <v>1773</v>
      </c>
      <c r="C9612" s="13" t="s">
        <v>1774</v>
      </c>
      <c r="D9612" s="13" t="s">
        <v>83</v>
      </c>
      <c r="E9612" s="12" t="s">
        <v>35</v>
      </c>
      <c r="F9612" s="14">
        <v>110000</v>
      </c>
      <c r="G9612" s="14">
        <v>87200</v>
      </c>
      <c r="H9612" s="13" t="s">
        <v>17600</v>
      </c>
      <c r="I9612" s="40" t="s">
        <v>18</v>
      </c>
      <c r="J9612" s="40" t="str">
        <f>HYPERLINK("https://stock.pstatic.net/stock-research/company/2/20250812_company_511153000.pdf","PDF")</f>
        <v>PDF</v>
      </c>
      <c r="K9612" s="12" t="s">
        <v>17601</v>
      </c>
      <c r="L9612" s="20">
        <v>0.26146788990825692</v>
      </c>
    </row>
    <row r="9613" spans="1:12" x14ac:dyDescent="0.45">
      <c r="A9613" s="12" t="s">
        <v>17565</v>
      </c>
      <c r="B9613" s="12" t="s">
        <v>768</v>
      </c>
      <c r="C9613" s="13" t="s">
        <v>769</v>
      </c>
      <c r="D9613" s="13" t="s">
        <v>83</v>
      </c>
      <c r="E9613" s="12" t="s">
        <v>35</v>
      </c>
      <c r="F9613" s="14">
        <v>300000</v>
      </c>
      <c r="G9613" s="14">
        <v>236500</v>
      </c>
      <c r="H9613" s="13" t="s">
        <v>17602</v>
      </c>
      <c r="I9613" s="40" t="s">
        <v>18</v>
      </c>
      <c r="J9613" s="40" t="str">
        <f>HYPERLINK("https://stock.pstatic.net/stock-research/company/2/20250812_company_601120000.pdf","PDF")</f>
        <v>PDF</v>
      </c>
      <c r="K9613" s="12" t="s">
        <v>17603</v>
      </c>
      <c r="L9613" s="20">
        <v>0.26849894291754761</v>
      </c>
    </row>
    <row r="9614" spans="1:12" x14ac:dyDescent="0.45">
      <c r="A9614" s="12" t="s">
        <v>17565</v>
      </c>
      <c r="B9614" s="12" t="s">
        <v>533</v>
      </c>
      <c r="C9614" s="13" t="s">
        <v>534</v>
      </c>
      <c r="D9614" s="13" t="s">
        <v>83</v>
      </c>
      <c r="E9614" s="12" t="s">
        <v>35</v>
      </c>
      <c r="F9614" s="14">
        <v>74000</v>
      </c>
      <c r="G9614" s="14">
        <v>54100</v>
      </c>
      <c r="H9614" s="13" t="s">
        <v>17604</v>
      </c>
      <c r="I9614" s="40" t="s">
        <v>18</v>
      </c>
      <c r="J9614" s="40" t="str">
        <f>HYPERLINK("https://stock.pstatic.net/stock-research/company/2/20250812_company_291450000.pdf","PDF")</f>
        <v>PDF</v>
      </c>
      <c r="K9614" s="12" t="s">
        <v>17605</v>
      </c>
      <c r="L9614" s="20">
        <v>0.36783733826247689</v>
      </c>
    </row>
    <row r="9615" spans="1:12" x14ac:dyDescent="0.45">
      <c r="A9615" s="12" t="s">
        <v>17565</v>
      </c>
      <c r="B9615" s="12" t="s">
        <v>764</v>
      </c>
      <c r="C9615" s="13" t="s">
        <v>765</v>
      </c>
      <c r="D9615" s="13" t="s">
        <v>158</v>
      </c>
      <c r="E9615" s="12" t="s">
        <v>35</v>
      </c>
      <c r="F9615" s="14">
        <v>57000</v>
      </c>
      <c r="G9615" s="14">
        <v>43800</v>
      </c>
      <c r="H9615" s="13" t="s">
        <v>17606</v>
      </c>
      <c r="I9615" s="40" t="s">
        <v>18</v>
      </c>
      <c r="J9615" s="40" t="str">
        <f>HYPERLINK("https://stock.pstatic.net/stock-research/company/18/20250812_company_847918000.pdf","PDF")</f>
        <v>PDF</v>
      </c>
      <c r="K9615" s="12" t="s">
        <v>17607</v>
      </c>
      <c r="L9615" s="20">
        <v>0.30136986301369861</v>
      </c>
    </row>
    <row r="9616" spans="1:12" x14ac:dyDescent="0.45">
      <c r="A9616" s="12" t="s">
        <v>17565</v>
      </c>
      <c r="B9616" s="12" t="s">
        <v>768</v>
      </c>
      <c r="C9616" s="13" t="s">
        <v>769</v>
      </c>
      <c r="D9616" s="13" t="s">
        <v>158</v>
      </c>
      <c r="E9616" s="12" t="s">
        <v>35</v>
      </c>
      <c r="F9616" s="14">
        <v>288000</v>
      </c>
      <c r="G9616" s="14">
        <v>236500</v>
      </c>
      <c r="H9616" s="13" t="s">
        <v>17608</v>
      </c>
      <c r="I9616" s="40" t="s">
        <v>18</v>
      </c>
      <c r="J9616" s="40" t="str">
        <f>HYPERLINK("https://stock.pstatic.net/stock-research/company/18/20250812_company_161997000.pdf","PDF")</f>
        <v>PDF</v>
      </c>
      <c r="K9616" s="12" t="s">
        <v>17609</v>
      </c>
      <c r="L9616" s="20">
        <v>0.21775898520084569</v>
      </c>
    </row>
    <row r="9617" spans="1:12" x14ac:dyDescent="0.45">
      <c r="A9617" s="12" t="s">
        <v>17565</v>
      </c>
      <c r="B9617" s="12" t="s">
        <v>2191</v>
      </c>
      <c r="C9617" s="13" t="s">
        <v>2192</v>
      </c>
      <c r="D9617" s="13" t="s">
        <v>158</v>
      </c>
      <c r="E9617" s="12" t="s">
        <v>35</v>
      </c>
      <c r="F9617" s="14">
        <v>84000</v>
      </c>
      <c r="G9617" s="14">
        <v>62500</v>
      </c>
      <c r="H9617" s="13" t="s">
        <v>17610</v>
      </c>
      <c r="I9617" s="40" t="s">
        <v>18</v>
      </c>
      <c r="J9617" s="40" t="str">
        <f>HYPERLINK("https://stock.pstatic.net/stock-research/company/18/20250812_company_927146000.pdf","PDF")</f>
        <v>PDF</v>
      </c>
      <c r="K9617" s="12" t="s">
        <v>17611</v>
      </c>
      <c r="L9617" s="20">
        <v>0.34399999999999997</v>
      </c>
    </row>
    <row r="9618" spans="1:12" x14ac:dyDescent="0.45">
      <c r="A9618" s="12" t="s">
        <v>17565</v>
      </c>
      <c r="B9618" s="12" t="s">
        <v>784</v>
      </c>
      <c r="C9618" s="13" t="s">
        <v>785</v>
      </c>
      <c r="D9618" s="13" t="s">
        <v>158</v>
      </c>
      <c r="E9618" s="12" t="s">
        <v>35</v>
      </c>
      <c r="F9618" s="14">
        <v>11000</v>
      </c>
      <c r="G9618" s="14">
        <v>8840</v>
      </c>
      <c r="H9618" s="13" t="s">
        <v>17612</v>
      </c>
      <c r="I9618" s="40" t="s">
        <v>18</v>
      </c>
      <c r="J9618" s="40" t="str">
        <f>HYPERLINK("https://stock.pstatic.net/stock-research/company/18/20250812_company_569818000.pdf","PDF")</f>
        <v>PDF</v>
      </c>
      <c r="K9618" s="12" t="s">
        <v>17613</v>
      </c>
      <c r="L9618" s="20">
        <v>0.2443438914027149</v>
      </c>
    </row>
    <row r="9619" spans="1:12" x14ac:dyDescent="0.45">
      <c r="A9619" s="12" t="s">
        <v>17565</v>
      </c>
      <c r="B9619" s="12" t="s">
        <v>2040</v>
      </c>
      <c r="C9619" s="13" t="s">
        <v>2041</v>
      </c>
      <c r="D9619" s="13" t="s">
        <v>158</v>
      </c>
      <c r="E9619" s="12" t="s">
        <v>35</v>
      </c>
      <c r="F9619" s="14">
        <v>165000</v>
      </c>
      <c r="G9619" s="14">
        <v>61300</v>
      </c>
      <c r="H9619" s="13" t="s">
        <v>17614</v>
      </c>
      <c r="I9619" s="40" t="s">
        <v>18</v>
      </c>
      <c r="J9619" s="40" t="str">
        <f>HYPERLINK("https://stock.pstatic.net/stock-research/company/18/20250812_company_155006000.pdf","PDF")</f>
        <v>PDF</v>
      </c>
      <c r="K9619" s="12" t="s">
        <v>17615</v>
      </c>
      <c r="L9619" s="20">
        <v>1.691680261011419</v>
      </c>
    </row>
    <row r="9620" spans="1:12" x14ac:dyDescent="0.45">
      <c r="A9620" s="12" t="s">
        <v>17565</v>
      </c>
      <c r="B9620" s="12" t="s">
        <v>768</v>
      </c>
      <c r="C9620" s="13" t="s">
        <v>769</v>
      </c>
      <c r="D9620" s="13" t="s">
        <v>92</v>
      </c>
      <c r="E9620" s="12" t="s">
        <v>35</v>
      </c>
      <c r="F9620" s="14">
        <v>300000</v>
      </c>
      <c r="G9620" s="14">
        <v>236500</v>
      </c>
      <c r="H9620" s="13" t="s">
        <v>17616</v>
      </c>
      <c r="I9620" s="40" t="s">
        <v>18</v>
      </c>
      <c r="J9620" s="40" t="str">
        <f>HYPERLINK("https://stock.pstatic.net/stock-research/company/63/20250812_company_698819000.pdf","PDF")</f>
        <v>PDF</v>
      </c>
      <c r="K9620" s="12" t="s">
        <v>17617</v>
      </c>
      <c r="L9620" s="20">
        <v>0.26849894291754761</v>
      </c>
    </row>
    <row r="9621" spans="1:12" x14ac:dyDescent="0.45">
      <c r="A9621" s="12" t="s">
        <v>17565</v>
      </c>
      <c r="B9621" s="12" t="s">
        <v>1694</v>
      </c>
      <c r="C9621" s="13" t="s">
        <v>1695</v>
      </c>
      <c r="D9621" s="13" t="s">
        <v>15</v>
      </c>
      <c r="E9621" s="12" t="s">
        <v>16</v>
      </c>
      <c r="F9621" s="14">
        <v>83000</v>
      </c>
      <c r="G9621" s="14">
        <v>59800</v>
      </c>
      <c r="H9621" s="13" t="s">
        <v>17618</v>
      </c>
      <c r="I9621" s="40" t="s">
        <v>18</v>
      </c>
      <c r="J9621" s="40" t="str">
        <f>HYPERLINK("https://stock.pstatic.net/stock-research/company/29/20250812_company_996861000.pdf","PDF")</f>
        <v>PDF</v>
      </c>
      <c r="K9621" s="12" t="s">
        <v>17619</v>
      </c>
      <c r="L9621" s="20">
        <v>0.38795986622073581</v>
      </c>
    </row>
    <row r="9622" spans="1:12" x14ac:dyDescent="0.45">
      <c r="A9622" s="12" t="s">
        <v>17565</v>
      </c>
      <c r="B9622" s="12" t="s">
        <v>1883</v>
      </c>
      <c r="C9622" s="13" t="s">
        <v>1884</v>
      </c>
      <c r="D9622" s="13" t="s">
        <v>15</v>
      </c>
      <c r="E9622" s="12" t="s">
        <v>16</v>
      </c>
      <c r="F9622" s="14">
        <v>28500</v>
      </c>
      <c r="G9622" s="14">
        <v>23400</v>
      </c>
      <c r="H9622" s="13" t="s">
        <v>17620</v>
      </c>
      <c r="I9622" s="40" t="s">
        <v>18</v>
      </c>
      <c r="J9622" s="40" t="str">
        <f>HYPERLINK("https://stock.pstatic.net/stock-research/company/29/20250812_company_989660000.pdf","PDF")</f>
        <v>PDF</v>
      </c>
      <c r="K9622" s="12" t="s">
        <v>17621</v>
      </c>
      <c r="L9622" s="20">
        <v>0.21794871794871801</v>
      </c>
    </row>
    <row r="9623" spans="1:12" x14ac:dyDescent="0.45">
      <c r="A9623" s="12" t="s">
        <v>17565</v>
      </c>
      <c r="B9623" s="12" t="s">
        <v>2105</v>
      </c>
      <c r="C9623" s="13" t="s">
        <v>2106</v>
      </c>
      <c r="D9623" s="13" t="s">
        <v>15</v>
      </c>
      <c r="E9623" s="12" t="s">
        <v>16</v>
      </c>
      <c r="F9623" s="14">
        <v>60000</v>
      </c>
      <c r="G9623" s="14">
        <v>43500</v>
      </c>
      <c r="H9623" s="13" t="s">
        <v>17622</v>
      </c>
      <c r="I9623" s="40" t="s">
        <v>18</v>
      </c>
      <c r="J9623" s="40" t="str">
        <f>HYPERLINK("https://stock.pstatic.net/stock-research/company/29/20250812_company_250350000.pdf","PDF")</f>
        <v>PDF</v>
      </c>
      <c r="K9623" s="12" t="s">
        <v>17623</v>
      </c>
      <c r="L9623" s="20">
        <v>0.37931034482758619</v>
      </c>
    </row>
    <row r="9624" spans="1:12" x14ac:dyDescent="0.45">
      <c r="A9624" s="12" t="s">
        <v>17565</v>
      </c>
      <c r="B9624" s="12" t="s">
        <v>938</v>
      </c>
      <c r="C9624" s="13" t="s">
        <v>939</v>
      </c>
      <c r="D9624" s="13" t="s">
        <v>124</v>
      </c>
      <c r="E9624" s="12" t="s">
        <v>50</v>
      </c>
      <c r="F9624" s="13"/>
      <c r="G9624" s="13"/>
      <c r="H9624" s="13" t="s">
        <v>17624</v>
      </c>
      <c r="I9624" s="40" t="s">
        <v>18</v>
      </c>
      <c r="J9624" s="40" t="str">
        <f>HYPERLINK("https://stock.pstatic.net/stock-research/company/74/20250813_company_970539000.pdf","PDF")</f>
        <v>PDF</v>
      </c>
      <c r="K9624" s="12" t="s">
        <v>17625</v>
      </c>
    </row>
    <row r="9625" spans="1:12" x14ac:dyDescent="0.45">
      <c r="A9625" s="12" t="s">
        <v>17565</v>
      </c>
      <c r="B9625" s="12" t="s">
        <v>768</v>
      </c>
      <c r="C9625" s="13" t="s">
        <v>769</v>
      </c>
      <c r="D9625" s="13" t="s">
        <v>15</v>
      </c>
      <c r="E9625" s="12" t="s">
        <v>16</v>
      </c>
      <c r="F9625" s="14">
        <v>290000</v>
      </c>
      <c r="G9625" s="14">
        <v>236500</v>
      </c>
      <c r="H9625" s="13" t="s">
        <v>17626</v>
      </c>
      <c r="I9625" s="40" t="s">
        <v>18</v>
      </c>
      <c r="J9625" s="40" t="str">
        <f>HYPERLINK("https://stock.pstatic.net/stock-research/company/29/20250812_company_179993000.pdf","PDF")</f>
        <v>PDF</v>
      </c>
      <c r="K9625" s="12" t="s">
        <v>17627</v>
      </c>
      <c r="L9625" s="20">
        <v>0.22621564482029599</v>
      </c>
    </row>
    <row r="9626" spans="1:12" x14ac:dyDescent="0.45">
      <c r="A9626" s="12" t="s">
        <v>17565</v>
      </c>
      <c r="B9626" s="12" t="s">
        <v>2191</v>
      </c>
      <c r="C9626" s="13" t="s">
        <v>2192</v>
      </c>
      <c r="D9626" s="13" t="s">
        <v>15</v>
      </c>
      <c r="E9626" s="12" t="s">
        <v>16</v>
      </c>
      <c r="F9626" s="14">
        <v>90000</v>
      </c>
      <c r="G9626" s="14">
        <v>62500</v>
      </c>
      <c r="H9626" s="13" t="s">
        <v>17628</v>
      </c>
      <c r="I9626" s="40" t="s">
        <v>18</v>
      </c>
      <c r="J9626" s="40" t="str">
        <f>HYPERLINK("https://stock.pstatic.net/stock-research/company/29/20250812_company_761919000.pdf","PDF")</f>
        <v>PDF</v>
      </c>
      <c r="K9626" s="12" t="s">
        <v>17629</v>
      </c>
      <c r="L9626" s="20">
        <v>0.44</v>
      </c>
    </row>
    <row r="9627" spans="1:12" x14ac:dyDescent="0.45">
      <c r="A9627" s="12" t="s">
        <v>17565</v>
      </c>
      <c r="B9627" s="12" t="s">
        <v>1009</v>
      </c>
      <c r="C9627" s="13" t="s">
        <v>1010</v>
      </c>
      <c r="D9627" s="13" t="s">
        <v>34</v>
      </c>
      <c r="E9627" s="12" t="s">
        <v>35</v>
      </c>
      <c r="F9627" s="14">
        <v>200000</v>
      </c>
      <c r="G9627" s="14">
        <v>149500</v>
      </c>
      <c r="H9627" s="13" t="s">
        <v>17630</v>
      </c>
      <c r="I9627" s="40" t="s">
        <v>18</v>
      </c>
      <c r="J9627" s="40" t="str">
        <f>HYPERLINK("https://stock.pstatic.net/stock-research/company/61/20250812_company_41155000.pdf","PDF")</f>
        <v>PDF</v>
      </c>
      <c r="K9627" s="12" t="s">
        <v>17631</v>
      </c>
      <c r="L9627" s="20">
        <v>0.33779264214046822</v>
      </c>
    </row>
    <row r="9628" spans="1:12" x14ac:dyDescent="0.45">
      <c r="A9628" s="12" t="s">
        <v>17565</v>
      </c>
      <c r="B9628" s="12" t="s">
        <v>1487</v>
      </c>
      <c r="C9628" s="13" t="s">
        <v>1488</v>
      </c>
      <c r="D9628" s="13" t="s">
        <v>92</v>
      </c>
      <c r="E9628" s="12" t="s">
        <v>35</v>
      </c>
      <c r="F9628" s="14">
        <v>10000</v>
      </c>
      <c r="G9628" s="14">
        <v>5080</v>
      </c>
      <c r="H9628" s="13" t="s">
        <v>17632</v>
      </c>
      <c r="I9628" s="40" t="s">
        <v>18</v>
      </c>
      <c r="J9628" s="40" t="str">
        <f>HYPERLINK("https://stock.pstatic.net/stock-research/company/63/20250812_company_416266000.pdf","PDF")</f>
        <v>PDF</v>
      </c>
      <c r="K9628" s="12" t="s">
        <v>17633</v>
      </c>
      <c r="L9628" s="20">
        <v>0.96850393700787396</v>
      </c>
    </row>
    <row r="9629" spans="1:12" x14ac:dyDescent="0.45">
      <c r="A9629" s="12" t="s">
        <v>17565</v>
      </c>
      <c r="B9629" s="12" t="s">
        <v>1694</v>
      </c>
      <c r="C9629" s="13" t="s">
        <v>1695</v>
      </c>
      <c r="D9629" s="13" t="s">
        <v>92</v>
      </c>
      <c r="E9629" s="12" t="s">
        <v>35</v>
      </c>
      <c r="F9629" s="14">
        <v>75000</v>
      </c>
      <c r="G9629" s="14">
        <v>59800</v>
      </c>
      <c r="H9629" s="13" t="s">
        <v>17634</v>
      </c>
      <c r="I9629" s="40" t="s">
        <v>18</v>
      </c>
      <c r="J9629" s="40" t="str">
        <f>HYPERLINK("https://stock.pstatic.net/stock-research/company/63/20250812_company_654509000.pdf","PDF")</f>
        <v>PDF</v>
      </c>
      <c r="K9629" s="12" t="s">
        <v>17635</v>
      </c>
      <c r="L9629" s="20">
        <v>0.25418060200668902</v>
      </c>
    </row>
    <row r="9630" spans="1:12" x14ac:dyDescent="0.45">
      <c r="A9630" s="12" t="s">
        <v>17565</v>
      </c>
      <c r="B9630" s="12" t="s">
        <v>1966</v>
      </c>
      <c r="C9630" s="13" t="s">
        <v>1967</v>
      </c>
      <c r="D9630" s="13" t="s">
        <v>92</v>
      </c>
      <c r="E9630" s="12" t="s">
        <v>35</v>
      </c>
      <c r="F9630" s="14">
        <v>9000</v>
      </c>
      <c r="G9630" s="14">
        <v>6460</v>
      </c>
      <c r="H9630" s="13" t="s">
        <v>17636</v>
      </c>
      <c r="I9630" s="40" t="s">
        <v>18</v>
      </c>
      <c r="J9630" s="40" t="str">
        <f>HYPERLINK("https://stock.pstatic.net/stock-research/company/63/20250812_company_678275000.pdf","PDF")</f>
        <v>PDF</v>
      </c>
      <c r="K9630" s="12" t="s">
        <v>17637</v>
      </c>
      <c r="L9630" s="20">
        <v>0.39318885448916407</v>
      </c>
    </row>
    <row r="9631" spans="1:12" x14ac:dyDescent="0.45">
      <c r="A9631" s="12" t="s">
        <v>17565</v>
      </c>
      <c r="B9631" s="12" t="s">
        <v>1883</v>
      </c>
      <c r="C9631" s="13" t="s">
        <v>1884</v>
      </c>
      <c r="D9631" s="13" t="s">
        <v>92</v>
      </c>
      <c r="E9631" s="12" t="s">
        <v>35</v>
      </c>
      <c r="F9631" s="14">
        <v>31000</v>
      </c>
      <c r="G9631" s="14">
        <v>23400</v>
      </c>
      <c r="H9631" s="13" t="s">
        <v>17638</v>
      </c>
      <c r="I9631" s="40" t="s">
        <v>18</v>
      </c>
      <c r="J9631" s="40" t="str">
        <f>HYPERLINK("https://stock.pstatic.net/stock-research/company/63/20250812_company_795231000.pdf","PDF")</f>
        <v>PDF</v>
      </c>
      <c r="K9631" s="12" t="s">
        <v>17639</v>
      </c>
      <c r="L9631" s="20">
        <v>0.3247863247863248</v>
      </c>
    </row>
    <row r="9632" spans="1:12" x14ac:dyDescent="0.45">
      <c r="A9632" s="12" t="s">
        <v>17565</v>
      </c>
      <c r="B9632" s="12" t="s">
        <v>533</v>
      </c>
      <c r="C9632" s="13" t="s">
        <v>534</v>
      </c>
      <c r="D9632" s="13" t="s">
        <v>23</v>
      </c>
      <c r="E9632" s="12" t="s">
        <v>16</v>
      </c>
      <c r="F9632" s="14">
        <v>65000</v>
      </c>
      <c r="G9632" s="14">
        <v>54100</v>
      </c>
      <c r="H9632" s="13" t="s">
        <v>17640</v>
      </c>
      <c r="I9632" s="40" t="s">
        <v>18</v>
      </c>
      <c r="J9632" s="40" t="str">
        <f>HYPERLINK("https://stock.pstatic.net/stock-research/company/21/20250812_company_317993000.pdf","PDF")</f>
        <v>PDF</v>
      </c>
      <c r="K9632" s="12" t="s">
        <v>17641</v>
      </c>
      <c r="L9632" s="20">
        <v>0.20147874306839189</v>
      </c>
    </row>
    <row r="9633" spans="1:12" x14ac:dyDescent="0.45">
      <c r="A9633" s="12" t="s">
        <v>17565</v>
      </c>
      <c r="B9633" s="12" t="s">
        <v>768</v>
      </c>
      <c r="C9633" s="13" t="s">
        <v>769</v>
      </c>
      <c r="D9633" s="13" t="s">
        <v>23</v>
      </c>
      <c r="E9633" s="12" t="s">
        <v>16</v>
      </c>
      <c r="F9633" s="14">
        <v>300000</v>
      </c>
      <c r="G9633" s="14">
        <v>236500</v>
      </c>
      <c r="H9633" s="13" t="s">
        <v>17642</v>
      </c>
      <c r="I9633" s="40" t="s">
        <v>18</v>
      </c>
      <c r="J9633" s="40" t="str">
        <f>HYPERLINK("https://stock.pstatic.net/stock-research/company/21/20250812_company_821585000.pdf","PDF")</f>
        <v>PDF</v>
      </c>
      <c r="K9633" s="12" t="s">
        <v>17643</v>
      </c>
      <c r="L9633" s="20">
        <v>0.26849894291754761</v>
      </c>
    </row>
    <row r="9634" spans="1:12" x14ac:dyDescent="0.45">
      <c r="A9634" s="12" t="s">
        <v>17565</v>
      </c>
      <c r="B9634" s="12" t="s">
        <v>1407</v>
      </c>
      <c r="C9634" s="13" t="s">
        <v>1408</v>
      </c>
      <c r="D9634" s="13" t="s">
        <v>92</v>
      </c>
      <c r="E9634" s="12" t="s">
        <v>35</v>
      </c>
      <c r="F9634" s="14">
        <v>61000</v>
      </c>
      <c r="G9634" s="14">
        <v>50900</v>
      </c>
      <c r="H9634" s="13" t="s">
        <v>17644</v>
      </c>
      <c r="I9634" s="40" t="s">
        <v>18</v>
      </c>
      <c r="J9634" s="40" t="str">
        <f>HYPERLINK("https://stock.pstatic.net/stock-research/company/63/20250812_company_83111000.pdf","PDF")</f>
        <v>PDF</v>
      </c>
      <c r="K9634" s="12" t="s">
        <v>17645</v>
      </c>
      <c r="L9634" s="20">
        <v>0.19842829076620819</v>
      </c>
    </row>
    <row r="9635" spans="1:12" x14ac:dyDescent="0.45">
      <c r="A9635" s="12" t="s">
        <v>17565</v>
      </c>
      <c r="B9635" s="12" t="s">
        <v>1682</v>
      </c>
      <c r="C9635" s="13" t="s">
        <v>4787</v>
      </c>
      <c r="D9635" s="13" t="s">
        <v>44</v>
      </c>
      <c r="E9635" s="12" t="s">
        <v>35</v>
      </c>
      <c r="F9635" s="14">
        <v>390000</v>
      </c>
      <c r="G9635" s="14">
        <v>202500</v>
      </c>
      <c r="H9635" s="13" t="s">
        <v>17646</v>
      </c>
      <c r="I9635" s="40" t="s">
        <v>18</v>
      </c>
      <c r="J9635" s="40" t="str">
        <f>HYPERLINK("https://stock.pstatic.net/stock-research/company/39/20250812_company_170282000.pdf","PDF")</f>
        <v>PDF</v>
      </c>
      <c r="K9635" s="12" t="s">
        <v>17647</v>
      </c>
      <c r="L9635" s="20">
        <v>0.92592592592592593</v>
      </c>
    </row>
    <row r="9636" spans="1:12" x14ac:dyDescent="0.45">
      <c r="A9636" s="12" t="s">
        <v>17565</v>
      </c>
      <c r="B9636" s="12" t="s">
        <v>657</v>
      </c>
      <c r="C9636" s="13" t="s">
        <v>658</v>
      </c>
      <c r="D9636" s="13" t="s">
        <v>23</v>
      </c>
      <c r="E9636" s="12" t="s">
        <v>16</v>
      </c>
      <c r="F9636" s="14">
        <v>31000</v>
      </c>
      <c r="G9636" s="14">
        <v>22250</v>
      </c>
      <c r="H9636" s="13" t="s">
        <v>17648</v>
      </c>
      <c r="I9636" s="40" t="s">
        <v>18</v>
      </c>
      <c r="J9636" s="40" t="str">
        <f>HYPERLINK("https://stock.pstatic.net/stock-research/company/21/20250812_company_117437000.pdf","PDF")</f>
        <v>PDF</v>
      </c>
      <c r="K9636" s="12" t="s">
        <v>17649</v>
      </c>
      <c r="L9636" s="20">
        <v>0.39325842696629221</v>
      </c>
    </row>
    <row r="9637" spans="1:12" x14ac:dyDescent="0.45">
      <c r="A9637" s="12" t="s">
        <v>17565</v>
      </c>
      <c r="B9637" s="12" t="s">
        <v>2191</v>
      </c>
      <c r="C9637" s="13" t="s">
        <v>2192</v>
      </c>
      <c r="D9637" s="13" t="s">
        <v>44</v>
      </c>
      <c r="E9637" s="12" t="s">
        <v>35</v>
      </c>
      <c r="F9637" s="14">
        <v>87000</v>
      </c>
      <c r="G9637" s="14">
        <v>62500</v>
      </c>
      <c r="H9637" s="13" t="s">
        <v>17650</v>
      </c>
      <c r="I9637" s="40" t="s">
        <v>18</v>
      </c>
      <c r="J9637" s="40" t="str">
        <f>HYPERLINK("https://stock.pstatic.net/stock-research/company/39/20250812_company_26905000.pdf","PDF")</f>
        <v>PDF</v>
      </c>
      <c r="K9637" s="12" t="s">
        <v>17651</v>
      </c>
      <c r="L9637" s="20">
        <v>0.39200000000000002</v>
      </c>
    </row>
    <row r="9638" spans="1:12" x14ac:dyDescent="0.45">
      <c r="A9638" s="12" t="s">
        <v>17565</v>
      </c>
      <c r="B9638" s="12" t="s">
        <v>12635</v>
      </c>
      <c r="C9638" s="13" t="s">
        <v>12636</v>
      </c>
      <c r="D9638" s="13" t="s">
        <v>44</v>
      </c>
      <c r="E9638" s="12" t="s">
        <v>642</v>
      </c>
      <c r="F9638" s="14">
        <v>120000</v>
      </c>
      <c r="G9638" s="14">
        <v>130200</v>
      </c>
      <c r="H9638" s="13" t="s">
        <v>17652</v>
      </c>
      <c r="I9638" s="40" t="s">
        <v>18</v>
      </c>
      <c r="J9638" s="40" t="str">
        <f>HYPERLINK("https://stock.pstatic.net/stock-research/company/39/20250812_company_998710000.pdf","PDF")</f>
        <v>PDF</v>
      </c>
      <c r="K9638" s="12" t="s">
        <v>17653</v>
      </c>
      <c r="L9638" s="20">
        <v>-7.8341013824884786E-2</v>
      </c>
    </row>
    <row r="9639" spans="1:12" x14ac:dyDescent="0.45">
      <c r="A9639" s="12" t="s">
        <v>17565</v>
      </c>
      <c r="B9639" s="12" t="s">
        <v>533</v>
      </c>
      <c r="C9639" s="13" t="s">
        <v>534</v>
      </c>
      <c r="D9639" s="13" t="s">
        <v>92</v>
      </c>
      <c r="E9639" s="12" t="s">
        <v>35</v>
      </c>
      <c r="F9639" s="14">
        <v>66000</v>
      </c>
      <c r="G9639" s="14">
        <v>54100</v>
      </c>
      <c r="H9639" s="13" t="s">
        <v>17654</v>
      </c>
      <c r="I9639" s="40" t="s">
        <v>18</v>
      </c>
      <c r="J9639" s="40" t="str">
        <f>HYPERLINK("https://stock.pstatic.net/stock-research/company/63/20250812_company_442283000.pdf","PDF")</f>
        <v>PDF</v>
      </c>
      <c r="K9639" s="12" t="s">
        <v>17655</v>
      </c>
      <c r="L9639" s="20">
        <v>0.21996303142329021</v>
      </c>
    </row>
    <row r="9640" spans="1:12" x14ac:dyDescent="0.45">
      <c r="A9640" s="12" t="s">
        <v>17565</v>
      </c>
      <c r="B9640" s="12" t="s">
        <v>768</v>
      </c>
      <c r="C9640" s="13" t="s">
        <v>769</v>
      </c>
      <c r="D9640" s="13" t="s">
        <v>44</v>
      </c>
      <c r="E9640" s="12" t="s">
        <v>35</v>
      </c>
      <c r="F9640" s="14">
        <v>290000</v>
      </c>
      <c r="G9640" s="14">
        <v>236500</v>
      </c>
      <c r="H9640" s="13" t="s">
        <v>17656</v>
      </c>
      <c r="I9640" s="40" t="s">
        <v>18</v>
      </c>
      <c r="J9640" s="40" t="str">
        <f>HYPERLINK("https://stock.pstatic.net/stock-research/company/39/20250812_company_140226000.pdf","PDF")</f>
        <v>PDF</v>
      </c>
      <c r="K9640" s="12" t="s">
        <v>17657</v>
      </c>
      <c r="L9640" s="20">
        <v>0.22621564482029599</v>
      </c>
    </row>
    <row r="9641" spans="1:12" x14ac:dyDescent="0.45">
      <c r="A9641" s="12" t="s">
        <v>17565</v>
      </c>
      <c r="B9641" s="12" t="s">
        <v>533</v>
      </c>
      <c r="C9641" s="13" t="s">
        <v>534</v>
      </c>
      <c r="D9641" s="13" t="s">
        <v>179</v>
      </c>
      <c r="E9641" s="12" t="s">
        <v>16</v>
      </c>
      <c r="F9641" s="14">
        <v>63000</v>
      </c>
      <c r="G9641" s="14">
        <v>54100</v>
      </c>
      <c r="H9641" s="13" t="s">
        <v>17658</v>
      </c>
      <c r="I9641" s="40" t="s">
        <v>18</v>
      </c>
      <c r="J9641" s="40" t="str">
        <f>HYPERLINK("https://stock.pstatic.net/stock-research/company/64/20250812_company_331486000.pdf","PDF")</f>
        <v>PDF</v>
      </c>
      <c r="K9641" s="12" t="s">
        <v>17659</v>
      </c>
      <c r="L9641" s="20">
        <v>0.16451016635859519</v>
      </c>
    </row>
    <row r="9642" spans="1:12" x14ac:dyDescent="0.45">
      <c r="A9642" s="12" t="s">
        <v>17565</v>
      </c>
      <c r="B9642" s="12" t="s">
        <v>1694</v>
      </c>
      <c r="C9642" s="13" t="s">
        <v>1695</v>
      </c>
      <c r="D9642" s="13" t="s">
        <v>44</v>
      </c>
      <c r="E9642" s="12" t="s">
        <v>35</v>
      </c>
      <c r="F9642" s="14">
        <v>78000</v>
      </c>
      <c r="G9642" s="14">
        <v>59800</v>
      </c>
      <c r="H9642" s="13" t="s">
        <v>17660</v>
      </c>
      <c r="I9642" s="40" t="s">
        <v>18</v>
      </c>
      <c r="J9642" s="40" t="str">
        <f>HYPERLINK("https://stock.pstatic.net/stock-research/company/39/20250812_company_905284000.pdf","PDF")</f>
        <v>PDF</v>
      </c>
      <c r="K9642" s="12" t="s">
        <v>17661</v>
      </c>
      <c r="L9642" s="20">
        <v>0.30434782608695649</v>
      </c>
    </row>
    <row r="9643" spans="1:12" x14ac:dyDescent="0.45">
      <c r="A9643" s="12" t="s">
        <v>17565</v>
      </c>
      <c r="B9643" s="12" t="s">
        <v>272</v>
      </c>
      <c r="C9643" s="13" t="s">
        <v>273</v>
      </c>
      <c r="D9643" s="13" t="s">
        <v>15</v>
      </c>
      <c r="E9643" s="12" t="s">
        <v>16</v>
      </c>
      <c r="F9643" s="14">
        <v>820000</v>
      </c>
      <c r="G9643" s="14">
        <v>680000</v>
      </c>
      <c r="H9643" s="13" t="s">
        <v>17662</v>
      </c>
      <c r="I9643" s="40" t="s">
        <v>18</v>
      </c>
      <c r="J9643" s="40" t="str">
        <f>HYPERLINK("https://stock.pstatic.net/stock-research/company/29/20250812_company_713097000.pdf","PDF")</f>
        <v>PDF</v>
      </c>
      <c r="K9643" s="12" t="s">
        <v>17663</v>
      </c>
      <c r="L9643" s="20">
        <v>0.20588235294117649</v>
      </c>
    </row>
    <row r="9644" spans="1:12" x14ac:dyDescent="0.45">
      <c r="A9644" s="12" t="s">
        <v>17565</v>
      </c>
      <c r="B9644" s="12" t="s">
        <v>784</v>
      </c>
      <c r="C9644" s="13" t="s">
        <v>785</v>
      </c>
      <c r="D9644" s="13" t="s">
        <v>15</v>
      </c>
      <c r="E9644" s="12" t="s">
        <v>16</v>
      </c>
      <c r="F9644" s="14">
        <v>11000</v>
      </c>
      <c r="G9644" s="14">
        <v>8990</v>
      </c>
      <c r="H9644" s="13" t="s">
        <v>17664</v>
      </c>
      <c r="I9644" s="40" t="s">
        <v>18</v>
      </c>
      <c r="J9644" s="40" t="str">
        <f>HYPERLINK("https://stock.pstatic.net/stock-research/company/29/20250812_company_538545000.pdf","PDF")</f>
        <v>PDF</v>
      </c>
      <c r="K9644" s="12" t="s">
        <v>17665</v>
      </c>
      <c r="L9644" s="20">
        <v>0.22358175750834261</v>
      </c>
    </row>
    <row r="9645" spans="1:12" x14ac:dyDescent="0.45">
      <c r="A9645" s="12" t="s">
        <v>17666</v>
      </c>
      <c r="B9645" s="12" t="s">
        <v>1184</v>
      </c>
      <c r="C9645" s="13" t="s">
        <v>1185</v>
      </c>
      <c r="D9645" s="13" t="s">
        <v>57</v>
      </c>
      <c r="E9645" s="12" t="s">
        <v>35</v>
      </c>
      <c r="F9645" s="14">
        <v>23000</v>
      </c>
      <c r="G9645" s="14">
        <v>17200</v>
      </c>
      <c r="H9645" s="13" t="s">
        <v>17667</v>
      </c>
      <c r="I9645" s="40" t="s">
        <v>18</v>
      </c>
      <c r="J9645" s="40" t="str">
        <f>HYPERLINK("https://stock.pstatic.net/stock-research/company/16/20250811_company_124970000.pdf","PDF")</f>
        <v>PDF</v>
      </c>
      <c r="K9645" s="12" t="s">
        <v>17668</v>
      </c>
      <c r="L9645" s="20">
        <v>0.33720930232558138</v>
      </c>
    </row>
    <row r="9646" spans="1:12" x14ac:dyDescent="0.45">
      <c r="A9646" s="12" t="s">
        <v>17666</v>
      </c>
      <c r="B9646" s="12" t="s">
        <v>1047</v>
      </c>
      <c r="C9646" s="13" t="s">
        <v>1048</v>
      </c>
      <c r="D9646" s="13" t="s">
        <v>57</v>
      </c>
      <c r="E9646" s="12" t="s">
        <v>35</v>
      </c>
      <c r="F9646" s="14">
        <v>14000</v>
      </c>
      <c r="G9646" s="14">
        <v>11400</v>
      </c>
      <c r="H9646" s="13" t="s">
        <v>17669</v>
      </c>
      <c r="I9646" s="40" t="s">
        <v>18</v>
      </c>
      <c r="J9646" s="40" t="str">
        <f>HYPERLINK("https://stock.pstatic.net/stock-research/company/16/20250811_company_636295000.pdf","PDF")</f>
        <v>PDF</v>
      </c>
      <c r="K9646" s="12" t="s">
        <v>17670</v>
      </c>
      <c r="L9646" s="20">
        <v>0.22807017543859651</v>
      </c>
    </row>
    <row r="9647" spans="1:12" x14ac:dyDescent="0.45">
      <c r="A9647" s="12" t="s">
        <v>17666</v>
      </c>
      <c r="B9647" s="12" t="s">
        <v>1656</v>
      </c>
      <c r="C9647" s="13" t="s">
        <v>1657</v>
      </c>
      <c r="D9647" s="13" t="s">
        <v>57</v>
      </c>
      <c r="E9647" s="12" t="s">
        <v>35</v>
      </c>
      <c r="F9647" s="14">
        <v>220000</v>
      </c>
      <c r="G9647" s="14">
        <v>171300</v>
      </c>
      <c r="H9647" s="13" t="s">
        <v>17671</v>
      </c>
      <c r="I9647" s="40" t="s">
        <v>18</v>
      </c>
      <c r="J9647" s="40" t="str">
        <f>HYPERLINK("https://stock.pstatic.net/stock-research/company/16/20250811_company_733623000.pdf","PDF")</f>
        <v>PDF</v>
      </c>
      <c r="K9647" s="12" t="s">
        <v>17672</v>
      </c>
      <c r="L9647" s="20">
        <v>0.28429655575014601</v>
      </c>
    </row>
    <row r="9648" spans="1:12" x14ac:dyDescent="0.45">
      <c r="A9648" s="12" t="s">
        <v>17666</v>
      </c>
      <c r="B9648" s="12" t="s">
        <v>27</v>
      </c>
      <c r="C9648" s="13" t="s">
        <v>28</v>
      </c>
      <c r="D9648" s="13" t="s">
        <v>57</v>
      </c>
      <c r="E9648" s="12" t="s">
        <v>35</v>
      </c>
      <c r="F9648" s="14">
        <v>110000</v>
      </c>
      <c r="G9648" s="14">
        <v>70400</v>
      </c>
      <c r="H9648" s="13" t="s">
        <v>17673</v>
      </c>
      <c r="I9648" s="40" t="s">
        <v>18</v>
      </c>
      <c r="J9648" s="40" t="str">
        <f>HYPERLINK("https://stock.pstatic.net/stock-research/company/16/20250811_company_90907000.pdf","PDF")</f>
        <v>PDF</v>
      </c>
      <c r="K9648" s="12" t="s">
        <v>17674</v>
      </c>
      <c r="L9648" s="20">
        <v>0.5625</v>
      </c>
    </row>
    <row r="9649" spans="1:12" x14ac:dyDescent="0.45">
      <c r="A9649" s="12" t="s">
        <v>17666</v>
      </c>
      <c r="B9649" s="12" t="s">
        <v>2231</v>
      </c>
      <c r="C9649" s="13" t="s">
        <v>2232</v>
      </c>
      <c r="D9649" s="13" t="s">
        <v>57</v>
      </c>
      <c r="E9649" s="12" t="s">
        <v>35</v>
      </c>
      <c r="F9649" s="14">
        <v>140000</v>
      </c>
      <c r="G9649" s="14">
        <v>105500</v>
      </c>
      <c r="H9649" s="13" t="s">
        <v>17675</v>
      </c>
      <c r="I9649" s="40" t="s">
        <v>18</v>
      </c>
      <c r="J9649" s="40" t="str">
        <f>HYPERLINK("https://stock.pstatic.net/stock-research/company/16/20250811_company_547013000.pdf","PDF")</f>
        <v>PDF</v>
      </c>
      <c r="K9649" s="12" t="s">
        <v>17676</v>
      </c>
      <c r="L9649" s="20">
        <v>0.32701421800947872</v>
      </c>
    </row>
    <row r="9650" spans="1:12" x14ac:dyDescent="0.45">
      <c r="A9650" s="12" t="s">
        <v>17666</v>
      </c>
      <c r="B9650" s="12" t="s">
        <v>2040</v>
      </c>
      <c r="C9650" s="13" t="s">
        <v>2041</v>
      </c>
      <c r="D9650" s="13" t="s">
        <v>57</v>
      </c>
      <c r="E9650" s="12" t="s">
        <v>35</v>
      </c>
      <c r="F9650" s="14">
        <v>84000</v>
      </c>
      <c r="G9650" s="14">
        <v>62200</v>
      </c>
      <c r="H9650" s="13" t="s">
        <v>17677</v>
      </c>
      <c r="I9650" s="40" t="s">
        <v>18</v>
      </c>
      <c r="J9650" s="40" t="str">
        <f>HYPERLINK("https://stock.pstatic.net/stock-research/company/16/20250811_company_806880000.pdf","PDF")</f>
        <v>PDF</v>
      </c>
      <c r="K9650" s="12" t="s">
        <v>17678</v>
      </c>
      <c r="L9650" s="20">
        <v>0.35048231511254019</v>
      </c>
    </row>
    <row r="9651" spans="1:12" x14ac:dyDescent="0.45">
      <c r="A9651" s="12" t="s">
        <v>17666</v>
      </c>
      <c r="B9651" s="12" t="s">
        <v>370</v>
      </c>
      <c r="C9651" s="13" t="s">
        <v>371</v>
      </c>
      <c r="D9651" s="13" t="s">
        <v>57</v>
      </c>
      <c r="E9651" s="12" t="s">
        <v>35</v>
      </c>
      <c r="F9651" s="14">
        <v>130000</v>
      </c>
      <c r="G9651" s="14">
        <v>93200</v>
      </c>
      <c r="H9651" s="13" t="s">
        <v>17679</v>
      </c>
      <c r="I9651" s="40" t="s">
        <v>18</v>
      </c>
      <c r="J9651" s="40" t="str">
        <f>HYPERLINK("https://stock.pstatic.net/stock-research/company/16/20250811_company_837649000.pdf","PDF")</f>
        <v>PDF</v>
      </c>
      <c r="K9651" s="12" t="s">
        <v>17680</v>
      </c>
      <c r="L9651" s="20">
        <v>0.39484978540772531</v>
      </c>
    </row>
    <row r="9652" spans="1:12" x14ac:dyDescent="0.45">
      <c r="A9652" s="12" t="s">
        <v>17666</v>
      </c>
      <c r="B9652" s="12" t="s">
        <v>42</v>
      </c>
      <c r="C9652" s="13" t="s">
        <v>43</v>
      </c>
      <c r="D9652" s="13" t="s">
        <v>57</v>
      </c>
      <c r="E9652" s="12" t="s">
        <v>35</v>
      </c>
      <c r="F9652" s="14">
        <v>340000</v>
      </c>
      <c r="G9652" s="14">
        <v>235500</v>
      </c>
      <c r="H9652" s="13" t="s">
        <v>17681</v>
      </c>
      <c r="I9652" s="40" t="s">
        <v>18</v>
      </c>
      <c r="J9652" s="40" t="str">
        <f>HYPERLINK("https://stock.pstatic.net/stock-research/company/16/20250811_company_153181000.pdf","PDF")</f>
        <v>PDF</v>
      </c>
      <c r="K9652" s="12" t="s">
        <v>17682</v>
      </c>
      <c r="L9652" s="20">
        <v>0.4437367303609342</v>
      </c>
    </row>
    <row r="9653" spans="1:12" x14ac:dyDescent="0.45">
      <c r="A9653" s="12" t="s">
        <v>17666</v>
      </c>
      <c r="B9653" s="12" t="s">
        <v>1652</v>
      </c>
      <c r="C9653" s="13" t="s">
        <v>1653</v>
      </c>
      <c r="D9653" s="13" t="s">
        <v>276</v>
      </c>
      <c r="E9653" s="12" t="s">
        <v>16</v>
      </c>
      <c r="F9653" s="14">
        <v>65000</v>
      </c>
      <c r="G9653" s="14">
        <v>46750</v>
      </c>
      <c r="H9653" s="13" t="s">
        <v>17683</v>
      </c>
      <c r="I9653" s="40" t="s">
        <v>18</v>
      </c>
      <c r="J9653" s="40" t="str">
        <f>HYPERLINK("https://stock.pstatic.net/stock-research/company/66/20250811_company_669768000.pdf","PDF")</f>
        <v>PDF</v>
      </c>
      <c r="K9653" s="12" t="s">
        <v>17684</v>
      </c>
      <c r="L9653" s="20">
        <v>0.39037433155080209</v>
      </c>
    </row>
    <row r="9654" spans="1:12" x14ac:dyDescent="0.45">
      <c r="A9654" s="12" t="s">
        <v>17666</v>
      </c>
      <c r="B9654" s="12" t="s">
        <v>42</v>
      </c>
      <c r="C9654" s="13" t="s">
        <v>43</v>
      </c>
      <c r="D9654" s="13" t="s">
        <v>276</v>
      </c>
      <c r="E9654" s="12" t="s">
        <v>16</v>
      </c>
      <c r="F9654" s="14">
        <v>340000</v>
      </c>
      <c r="G9654" s="14">
        <v>229500</v>
      </c>
      <c r="H9654" s="13" t="s">
        <v>17685</v>
      </c>
      <c r="I9654" s="40" t="s">
        <v>18</v>
      </c>
      <c r="J9654" s="40" t="str">
        <f>HYPERLINK("https://stock.pstatic.net/stock-research/company/66/20250811_company_925973000.pdf","PDF")</f>
        <v>PDF</v>
      </c>
      <c r="K9654" s="12" t="s">
        <v>17686</v>
      </c>
      <c r="L9654" s="20">
        <v>0.48148148148148151</v>
      </c>
    </row>
    <row r="9655" spans="1:12" x14ac:dyDescent="0.45">
      <c r="A9655" s="12" t="s">
        <v>17666</v>
      </c>
      <c r="B9655" s="12" t="s">
        <v>1270</v>
      </c>
      <c r="C9655" s="13" t="s">
        <v>1271</v>
      </c>
      <c r="D9655" s="13" t="s">
        <v>60</v>
      </c>
      <c r="E9655" s="12" t="s">
        <v>35</v>
      </c>
      <c r="F9655" s="14">
        <v>86000</v>
      </c>
      <c r="G9655" s="14">
        <v>70000</v>
      </c>
      <c r="H9655" s="13" t="s">
        <v>17687</v>
      </c>
      <c r="I9655" s="40" t="s">
        <v>18</v>
      </c>
      <c r="J9655" s="40" t="str">
        <f>HYPERLINK("https://stock.pstatic.net/stock-research/company/34/20250811_company_916524000.pdf","PDF")</f>
        <v>PDF</v>
      </c>
      <c r="K9655" s="12" t="s">
        <v>17688</v>
      </c>
      <c r="L9655" s="20">
        <v>0.22857142857142859</v>
      </c>
    </row>
    <row r="9656" spans="1:12" x14ac:dyDescent="0.45">
      <c r="A9656" s="12" t="s">
        <v>17666</v>
      </c>
      <c r="B9656" s="12" t="s">
        <v>42</v>
      </c>
      <c r="C9656" s="13" t="s">
        <v>43</v>
      </c>
      <c r="D9656" s="13" t="s">
        <v>60</v>
      </c>
      <c r="E9656" s="12" t="s">
        <v>35</v>
      </c>
      <c r="F9656" s="14">
        <v>330000</v>
      </c>
      <c r="G9656" s="14">
        <v>229500</v>
      </c>
      <c r="H9656" s="13" t="s">
        <v>17689</v>
      </c>
      <c r="I9656" s="40" t="s">
        <v>18</v>
      </c>
      <c r="J9656" s="40" t="str">
        <f>HYPERLINK("https://stock.pstatic.net/stock-research/company/34/20250811_company_3167000.pdf","PDF")</f>
        <v>PDF</v>
      </c>
      <c r="K9656" s="12" t="s">
        <v>17690</v>
      </c>
      <c r="L9656" s="20">
        <v>0.43790849673202609</v>
      </c>
    </row>
    <row r="9657" spans="1:12" x14ac:dyDescent="0.45">
      <c r="A9657" s="12" t="s">
        <v>17666</v>
      </c>
      <c r="B9657" s="12" t="s">
        <v>375</v>
      </c>
      <c r="C9657" s="13" t="s">
        <v>376</v>
      </c>
      <c r="D9657" s="13" t="s">
        <v>60</v>
      </c>
      <c r="E9657" s="12" t="s">
        <v>35</v>
      </c>
      <c r="F9657" s="14">
        <v>35000</v>
      </c>
      <c r="G9657" s="14">
        <v>24700</v>
      </c>
      <c r="H9657" s="13" t="s">
        <v>17691</v>
      </c>
      <c r="I9657" s="40" t="s">
        <v>18</v>
      </c>
      <c r="J9657" s="40" t="str">
        <f>HYPERLINK("https://stock.pstatic.net/stock-research/company/34/20250811_company_781173000.pdf","PDF")</f>
        <v>PDF</v>
      </c>
      <c r="K9657" s="12" t="s">
        <v>17692</v>
      </c>
      <c r="L9657" s="20">
        <v>0.41700404858299589</v>
      </c>
    </row>
    <row r="9658" spans="1:12" x14ac:dyDescent="0.45">
      <c r="A9658" s="12" t="s">
        <v>17666</v>
      </c>
      <c r="B9658" s="12" t="s">
        <v>1656</v>
      </c>
      <c r="C9658" s="13" t="s">
        <v>1657</v>
      </c>
      <c r="D9658" s="13" t="s">
        <v>60</v>
      </c>
      <c r="E9658" s="12" t="s">
        <v>35</v>
      </c>
      <c r="F9658" s="14">
        <v>230000</v>
      </c>
      <c r="G9658" s="14">
        <v>171300</v>
      </c>
      <c r="H9658" s="13" t="s">
        <v>17693</v>
      </c>
      <c r="I9658" s="40" t="s">
        <v>18</v>
      </c>
      <c r="J9658" s="40" t="str">
        <f>HYPERLINK("https://stock.pstatic.net/stock-research/company/34/20250811_company_467599000.pdf","PDF")</f>
        <v>PDF</v>
      </c>
      <c r="K9658" s="12" t="s">
        <v>17694</v>
      </c>
      <c r="L9658" s="20">
        <v>0.3426736719206071</v>
      </c>
    </row>
    <row r="9659" spans="1:12" x14ac:dyDescent="0.45">
      <c r="A9659" s="12" t="s">
        <v>17666</v>
      </c>
      <c r="B9659" s="12" t="s">
        <v>760</v>
      </c>
      <c r="C9659" s="13" t="s">
        <v>761</v>
      </c>
      <c r="D9659" s="13" t="s">
        <v>60</v>
      </c>
      <c r="E9659" s="12" t="s">
        <v>35</v>
      </c>
      <c r="F9659" s="14">
        <v>260000</v>
      </c>
      <c r="G9659" s="14">
        <v>239500</v>
      </c>
      <c r="H9659" s="13" t="s">
        <v>17695</v>
      </c>
      <c r="I9659" s="40" t="s">
        <v>18</v>
      </c>
      <c r="J9659" s="40" t="str">
        <f>HYPERLINK("https://stock.pstatic.net/stock-research/company/34/20250811_company_771578000.pdf","PDF")</f>
        <v>PDF</v>
      </c>
      <c r="K9659" s="12" t="s">
        <v>17696</v>
      </c>
      <c r="L9659" s="20">
        <v>8.5594989561586635E-2</v>
      </c>
    </row>
    <row r="9660" spans="1:12" x14ac:dyDescent="0.45">
      <c r="A9660" s="12" t="s">
        <v>17666</v>
      </c>
      <c r="B9660" s="12" t="s">
        <v>756</v>
      </c>
      <c r="C9660" s="13" t="s">
        <v>757</v>
      </c>
      <c r="D9660" s="13" t="s">
        <v>60</v>
      </c>
      <c r="E9660" s="12" t="s">
        <v>35</v>
      </c>
      <c r="F9660" s="14">
        <v>125000</v>
      </c>
      <c r="G9660" s="14">
        <v>88900</v>
      </c>
      <c r="H9660" s="13" t="s">
        <v>17697</v>
      </c>
      <c r="I9660" s="40" t="s">
        <v>18</v>
      </c>
      <c r="J9660" s="40" t="str">
        <f>HYPERLINK("https://stock.pstatic.net/stock-research/company/34/20250811_company_536642000.pdf","PDF")</f>
        <v>PDF</v>
      </c>
      <c r="K9660" s="12" t="s">
        <v>17698</v>
      </c>
      <c r="L9660" s="20">
        <v>0.40607424071991</v>
      </c>
    </row>
    <row r="9661" spans="1:12" x14ac:dyDescent="0.45">
      <c r="A9661" s="12" t="s">
        <v>17666</v>
      </c>
      <c r="B9661" s="12" t="s">
        <v>1270</v>
      </c>
      <c r="C9661" s="13" t="s">
        <v>1271</v>
      </c>
      <c r="D9661" s="13" t="s">
        <v>65</v>
      </c>
      <c r="E9661" s="12" t="s">
        <v>35</v>
      </c>
      <c r="F9661" s="14">
        <v>100000</v>
      </c>
      <c r="G9661" s="14">
        <v>70000</v>
      </c>
      <c r="H9661" s="13" t="s">
        <v>17699</v>
      </c>
      <c r="I9661" s="40" t="s">
        <v>18</v>
      </c>
      <c r="J9661" s="40" t="str">
        <f>HYPERLINK("https://stock.pstatic.net/stock-research/company/57/20250811_company_585363000.pdf","PDF")</f>
        <v>PDF</v>
      </c>
      <c r="K9661" s="12" t="s">
        <v>17700</v>
      </c>
      <c r="L9661" s="20">
        <v>0.42857142857142849</v>
      </c>
    </row>
    <row r="9662" spans="1:12" x14ac:dyDescent="0.45">
      <c r="A9662" s="12" t="s">
        <v>17666</v>
      </c>
      <c r="B9662" s="12" t="s">
        <v>784</v>
      </c>
      <c r="C9662" s="13" t="s">
        <v>785</v>
      </c>
      <c r="D9662" s="13" t="s">
        <v>65</v>
      </c>
      <c r="E9662" s="12" t="s">
        <v>35</v>
      </c>
      <c r="F9662" s="14">
        <v>10000</v>
      </c>
      <c r="G9662" s="14">
        <v>8990</v>
      </c>
      <c r="H9662" s="13" t="s">
        <v>17701</v>
      </c>
      <c r="I9662" s="40" t="s">
        <v>18</v>
      </c>
      <c r="J9662" s="40" t="str">
        <f>HYPERLINK("https://stock.pstatic.net/stock-research/company/57/20250811_company_264274000.pdf","PDF")</f>
        <v>PDF</v>
      </c>
      <c r="K9662" s="12" t="s">
        <v>17702</v>
      </c>
      <c r="L9662" s="20">
        <v>0.1123470522803115</v>
      </c>
    </row>
    <row r="9663" spans="1:12" x14ac:dyDescent="0.45">
      <c r="A9663" s="12" t="s">
        <v>17666</v>
      </c>
      <c r="B9663" s="12" t="s">
        <v>375</v>
      </c>
      <c r="C9663" s="13" t="s">
        <v>376</v>
      </c>
      <c r="D9663" s="13" t="s">
        <v>65</v>
      </c>
      <c r="E9663" s="12" t="s">
        <v>35</v>
      </c>
      <c r="F9663" s="14">
        <v>36000</v>
      </c>
      <c r="G9663" s="14">
        <v>24700</v>
      </c>
      <c r="H9663" s="13" t="s">
        <v>17703</v>
      </c>
      <c r="I9663" s="40" t="s">
        <v>18</v>
      </c>
      <c r="J9663" s="40" t="str">
        <f>HYPERLINK("https://stock.pstatic.net/stock-research/company/57/20250811_company_878569000.pdf","PDF")</f>
        <v>PDF</v>
      </c>
      <c r="K9663" s="12" t="s">
        <v>17704</v>
      </c>
      <c r="L9663" s="20">
        <v>0.45748987854251011</v>
      </c>
    </row>
    <row r="9664" spans="1:12" x14ac:dyDescent="0.45">
      <c r="A9664" s="12" t="s">
        <v>17666</v>
      </c>
      <c r="B9664" s="12" t="s">
        <v>42</v>
      </c>
      <c r="C9664" s="13" t="s">
        <v>43</v>
      </c>
      <c r="D9664" s="13" t="s">
        <v>65</v>
      </c>
      <c r="E9664" s="12" t="s">
        <v>35</v>
      </c>
      <c r="F9664" s="14">
        <v>320000</v>
      </c>
      <c r="G9664" s="14">
        <v>229500</v>
      </c>
      <c r="H9664" s="13" t="s">
        <v>17705</v>
      </c>
      <c r="I9664" s="40" t="s">
        <v>18</v>
      </c>
      <c r="J9664" s="40" t="str">
        <f>HYPERLINK("https://stock.pstatic.net/stock-research/company/57/20250811_company_926147000.pdf","PDF")</f>
        <v>PDF</v>
      </c>
      <c r="K9664" s="12" t="s">
        <v>17706</v>
      </c>
      <c r="L9664" s="20">
        <v>0.39433551198257077</v>
      </c>
    </row>
    <row r="9665" spans="1:12" x14ac:dyDescent="0.45">
      <c r="A9665" s="12" t="s">
        <v>17666</v>
      </c>
      <c r="B9665" s="12" t="s">
        <v>1734</v>
      </c>
      <c r="C9665" s="13" t="s">
        <v>1735</v>
      </c>
      <c r="D9665" s="13" t="s">
        <v>65</v>
      </c>
      <c r="E9665" s="12" t="s">
        <v>35</v>
      </c>
      <c r="F9665" s="14">
        <v>55000</v>
      </c>
      <c r="G9665" s="14">
        <v>41300</v>
      </c>
      <c r="H9665" s="13" t="s">
        <v>17707</v>
      </c>
      <c r="I9665" s="40" t="s">
        <v>18</v>
      </c>
      <c r="J9665" s="40" t="str">
        <f>HYPERLINK("https://stock.pstatic.net/stock-research/company/57/20250811_company_643014000.pdf","PDF")</f>
        <v>PDF</v>
      </c>
      <c r="K9665" s="12" t="s">
        <v>17708</v>
      </c>
      <c r="L9665" s="20">
        <v>0.33171912832929779</v>
      </c>
    </row>
    <row r="9666" spans="1:12" x14ac:dyDescent="0.45">
      <c r="A9666" s="12" t="s">
        <v>17666</v>
      </c>
      <c r="B9666" s="12" t="s">
        <v>1652</v>
      </c>
      <c r="C9666" s="13" t="s">
        <v>1653</v>
      </c>
      <c r="D9666" s="13" t="s">
        <v>65</v>
      </c>
      <c r="E9666" s="12" t="s">
        <v>35</v>
      </c>
      <c r="F9666" s="14">
        <v>68000</v>
      </c>
      <c r="G9666" s="14">
        <v>46750</v>
      </c>
      <c r="H9666" s="13" t="s">
        <v>17709</v>
      </c>
      <c r="I9666" s="40" t="s">
        <v>18</v>
      </c>
      <c r="J9666" s="40" t="str">
        <f>HYPERLINK("https://stock.pstatic.net/stock-research/company/57/20250811_company_83473000.pdf","PDF")</f>
        <v>PDF</v>
      </c>
      <c r="K9666" s="12" t="s">
        <v>17710</v>
      </c>
      <c r="L9666" s="20">
        <v>0.45454545454545447</v>
      </c>
    </row>
    <row r="9667" spans="1:12" x14ac:dyDescent="0.45">
      <c r="A9667" s="12" t="s">
        <v>17666</v>
      </c>
      <c r="B9667" s="12" t="s">
        <v>2040</v>
      </c>
      <c r="C9667" s="13" t="s">
        <v>2041</v>
      </c>
      <c r="D9667" s="13" t="s">
        <v>65</v>
      </c>
      <c r="E9667" s="12" t="s">
        <v>1738</v>
      </c>
      <c r="F9667" s="14">
        <v>75000</v>
      </c>
      <c r="G9667" s="14">
        <v>62200</v>
      </c>
      <c r="H9667" s="13" t="s">
        <v>17711</v>
      </c>
      <c r="I9667" s="40" t="s">
        <v>18</v>
      </c>
      <c r="J9667" s="40" t="str">
        <f>HYPERLINK("https://stock.pstatic.net/stock-research/company/57/20250811_company_28723000.pdf","PDF")</f>
        <v>PDF</v>
      </c>
      <c r="K9667" s="12" t="s">
        <v>17712</v>
      </c>
      <c r="L9667" s="20">
        <v>0.20578778135048231</v>
      </c>
    </row>
    <row r="9668" spans="1:12" x14ac:dyDescent="0.45">
      <c r="A9668" s="12" t="s">
        <v>17666</v>
      </c>
      <c r="B9668" s="12" t="s">
        <v>2205</v>
      </c>
      <c r="C9668" s="13" t="s">
        <v>2206</v>
      </c>
      <c r="D9668" s="13" t="s">
        <v>65</v>
      </c>
      <c r="E9668" s="12" t="s">
        <v>35</v>
      </c>
      <c r="F9668" s="14">
        <v>52000</v>
      </c>
      <c r="G9668" s="14">
        <v>40250</v>
      </c>
      <c r="H9668" s="13" t="s">
        <v>17713</v>
      </c>
      <c r="I9668" s="40" t="s">
        <v>18</v>
      </c>
      <c r="J9668" s="40" t="str">
        <f>HYPERLINK("https://stock.pstatic.net/stock-research/company/57/20250811_company_46715000.pdf","PDF")</f>
        <v>PDF</v>
      </c>
      <c r="K9668" s="12" t="s">
        <v>17714</v>
      </c>
      <c r="L9668" s="20">
        <v>0.29192546583850931</v>
      </c>
    </row>
    <row r="9669" spans="1:12" x14ac:dyDescent="0.45">
      <c r="A9669" s="12" t="s">
        <v>17666</v>
      </c>
      <c r="B9669" s="12" t="s">
        <v>370</v>
      </c>
      <c r="C9669" s="13" t="s">
        <v>371</v>
      </c>
      <c r="D9669" s="13" t="s">
        <v>65</v>
      </c>
      <c r="E9669" s="12" t="s">
        <v>35</v>
      </c>
      <c r="F9669" s="14">
        <v>130000</v>
      </c>
      <c r="G9669" s="14">
        <v>93200</v>
      </c>
      <c r="H9669" s="13" t="s">
        <v>17715</v>
      </c>
      <c r="I9669" s="40" t="s">
        <v>18</v>
      </c>
      <c r="J9669" s="40" t="str">
        <f>HYPERLINK("https://stock.pstatic.net/stock-research/company/57/20250811_company_700509000.pdf","PDF")</f>
        <v>PDF</v>
      </c>
      <c r="K9669" s="12" t="s">
        <v>17716</v>
      </c>
      <c r="L9669" s="20">
        <v>0.39484978540772531</v>
      </c>
    </row>
    <row r="9670" spans="1:12" x14ac:dyDescent="0.45">
      <c r="A9670" s="12" t="s">
        <v>17666</v>
      </c>
      <c r="B9670" s="12" t="s">
        <v>537</v>
      </c>
      <c r="C9670" s="13" t="s">
        <v>538</v>
      </c>
      <c r="D9670" s="13" t="s">
        <v>65</v>
      </c>
      <c r="E9670" s="12" t="s">
        <v>35</v>
      </c>
      <c r="F9670" s="14">
        <v>16000</v>
      </c>
      <c r="G9670" s="14">
        <v>14590</v>
      </c>
      <c r="H9670" s="13" t="s">
        <v>17596</v>
      </c>
      <c r="I9670" s="40" t="s">
        <v>18</v>
      </c>
      <c r="J9670" s="40" t="str">
        <f>HYPERLINK("https://stock.pstatic.net/stock-research/company/57/20250811_company_111686000.pdf","PDF")</f>
        <v>PDF</v>
      </c>
      <c r="K9670" s="12" t="s">
        <v>17717</v>
      </c>
      <c r="L9670" s="20">
        <v>9.6641535298149422E-2</v>
      </c>
    </row>
    <row r="9671" spans="1:12" x14ac:dyDescent="0.45">
      <c r="A9671" s="12" t="s">
        <v>17666</v>
      </c>
      <c r="B9671" s="12" t="s">
        <v>756</v>
      </c>
      <c r="C9671" s="13" t="s">
        <v>757</v>
      </c>
      <c r="D9671" s="13" t="s">
        <v>158</v>
      </c>
      <c r="E9671" s="12" t="s">
        <v>35</v>
      </c>
      <c r="F9671" s="14">
        <v>107000</v>
      </c>
      <c r="G9671" s="14">
        <v>88900</v>
      </c>
      <c r="H9671" s="13" t="s">
        <v>17718</v>
      </c>
      <c r="I9671" s="40" t="s">
        <v>18</v>
      </c>
      <c r="J9671" s="40" t="str">
        <f>HYPERLINK("https://stock.pstatic.net/stock-research/company/18/20250811_company_173031000.pdf","PDF")</f>
        <v>PDF</v>
      </c>
      <c r="K9671" s="12" t="s">
        <v>17719</v>
      </c>
      <c r="L9671" s="20">
        <v>0.203599550056243</v>
      </c>
    </row>
    <row r="9672" spans="1:12" x14ac:dyDescent="0.45">
      <c r="A9672" s="12" t="s">
        <v>17666</v>
      </c>
      <c r="B9672" s="12" t="s">
        <v>42</v>
      </c>
      <c r="C9672" s="13" t="s">
        <v>43</v>
      </c>
      <c r="D9672" s="13" t="s">
        <v>158</v>
      </c>
      <c r="E9672" s="12" t="s">
        <v>35</v>
      </c>
      <c r="F9672" s="14">
        <v>360000</v>
      </c>
      <c r="G9672" s="14">
        <v>229500</v>
      </c>
      <c r="H9672" s="13" t="s">
        <v>17720</v>
      </c>
      <c r="I9672" s="40" t="s">
        <v>18</v>
      </c>
      <c r="J9672" s="40" t="str">
        <f>HYPERLINK("https://stock.pstatic.net/stock-research/company/18/20250811_company_299458000.pdf","PDF")</f>
        <v>PDF</v>
      </c>
      <c r="K9672" s="12" t="s">
        <v>17721</v>
      </c>
      <c r="L9672" s="20">
        <v>0.56862745098039214</v>
      </c>
    </row>
    <row r="9673" spans="1:12" x14ac:dyDescent="0.45">
      <c r="A9673" s="12" t="s">
        <v>17666</v>
      </c>
      <c r="B9673" s="12" t="s">
        <v>6575</v>
      </c>
      <c r="C9673" s="13" t="s">
        <v>6576</v>
      </c>
      <c r="D9673" s="13" t="s">
        <v>158</v>
      </c>
      <c r="E9673" s="12" t="s">
        <v>50</v>
      </c>
      <c r="F9673" s="13"/>
      <c r="G9673" s="14">
        <v>1522</v>
      </c>
      <c r="H9673" s="13" t="s">
        <v>17722</v>
      </c>
      <c r="I9673" s="40" t="s">
        <v>18</v>
      </c>
      <c r="J9673" s="40" t="str">
        <f>HYPERLINK("https://stock.pstatic.net/stock-research/company/18/20250811_company_465505000.pdf","PDF")</f>
        <v>PDF</v>
      </c>
      <c r="K9673" s="12" t="s">
        <v>17723</v>
      </c>
    </row>
    <row r="9674" spans="1:12" x14ac:dyDescent="0.45">
      <c r="A9674" s="12" t="s">
        <v>17666</v>
      </c>
      <c r="B9674" s="12" t="s">
        <v>617</v>
      </c>
      <c r="C9674" s="13" t="s">
        <v>618</v>
      </c>
      <c r="D9674" s="13" t="s">
        <v>83</v>
      </c>
      <c r="E9674" s="12" t="s">
        <v>50</v>
      </c>
      <c r="F9674" s="13"/>
      <c r="G9674" s="14">
        <v>11570</v>
      </c>
      <c r="H9674" s="13" t="s">
        <v>17724</v>
      </c>
      <c r="I9674" s="40" t="s">
        <v>18</v>
      </c>
      <c r="J9674" s="40" t="str">
        <f>HYPERLINK("https://stock.pstatic.net/stock-research/company/2/20250811_company_152186000.pdf","PDF")</f>
        <v>PDF</v>
      </c>
      <c r="K9674" s="12" t="s">
        <v>17725</v>
      </c>
    </row>
    <row r="9675" spans="1:12" x14ac:dyDescent="0.45">
      <c r="A9675" s="12" t="s">
        <v>17666</v>
      </c>
      <c r="B9675" s="12" t="s">
        <v>3704</v>
      </c>
      <c r="C9675" s="13" t="s">
        <v>3705</v>
      </c>
      <c r="D9675" s="13" t="s">
        <v>83</v>
      </c>
      <c r="E9675" s="12" t="s">
        <v>50</v>
      </c>
      <c r="F9675" s="13"/>
      <c r="G9675" s="14">
        <v>21100</v>
      </c>
      <c r="H9675" s="13" t="s">
        <v>17726</v>
      </c>
      <c r="I9675" s="40" t="s">
        <v>18</v>
      </c>
      <c r="J9675" s="40" t="str">
        <f>HYPERLINK("https://stock.pstatic.net/stock-research/company/2/20250811_company_393891000.pdf","PDF")</f>
        <v>PDF</v>
      </c>
      <c r="K9675" s="12" t="s">
        <v>17727</v>
      </c>
    </row>
    <row r="9676" spans="1:12" x14ac:dyDescent="0.45">
      <c r="A9676" s="12" t="s">
        <v>17666</v>
      </c>
      <c r="B9676" s="12" t="s">
        <v>2278</v>
      </c>
      <c r="C9676" s="13" t="s">
        <v>2279</v>
      </c>
      <c r="D9676" s="13" t="s">
        <v>83</v>
      </c>
      <c r="E9676" s="12" t="s">
        <v>642</v>
      </c>
      <c r="F9676" s="14">
        <v>3100</v>
      </c>
      <c r="G9676" s="14">
        <v>3020</v>
      </c>
      <c r="H9676" s="13" t="s">
        <v>17728</v>
      </c>
      <c r="I9676" s="40" t="s">
        <v>18</v>
      </c>
      <c r="J9676" s="40" t="str">
        <f>HYPERLINK("https://stock.pstatic.net/stock-research/company/2/20250811_company_678200000.pdf","PDF")</f>
        <v>PDF</v>
      </c>
      <c r="K9676" s="12" t="s">
        <v>17729</v>
      </c>
      <c r="L9676" s="20">
        <v>2.6490066225165559E-2</v>
      </c>
    </row>
    <row r="9677" spans="1:12" x14ac:dyDescent="0.45">
      <c r="A9677" s="12" t="s">
        <v>17666</v>
      </c>
      <c r="B9677" s="12" t="s">
        <v>1849</v>
      </c>
      <c r="C9677" s="13" t="s">
        <v>1850</v>
      </c>
      <c r="D9677" s="13" t="s">
        <v>83</v>
      </c>
      <c r="E9677" s="12" t="s">
        <v>35</v>
      </c>
      <c r="F9677" s="14">
        <v>30500</v>
      </c>
      <c r="G9677" s="14">
        <v>19480</v>
      </c>
      <c r="H9677" s="13" t="s">
        <v>17730</v>
      </c>
      <c r="I9677" s="40" t="s">
        <v>18</v>
      </c>
      <c r="J9677" s="40" t="str">
        <f>HYPERLINK("https://stock.pstatic.net/stock-research/company/2/20250811_company_967695000.pdf","PDF")</f>
        <v>PDF</v>
      </c>
      <c r="K9677" s="12" t="s">
        <v>17731</v>
      </c>
      <c r="L9677" s="20">
        <v>0.56570841889117041</v>
      </c>
    </row>
    <row r="9678" spans="1:12" x14ac:dyDescent="0.45">
      <c r="A9678" s="12" t="s">
        <v>17666</v>
      </c>
      <c r="B9678" s="12" t="s">
        <v>2290</v>
      </c>
      <c r="C9678" s="13" t="s">
        <v>2291</v>
      </c>
      <c r="D9678" s="13" t="s">
        <v>83</v>
      </c>
      <c r="E9678" s="12" t="s">
        <v>642</v>
      </c>
      <c r="F9678" s="14">
        <v>5600</v>
      </c>
      <c r="G9678" s="14">
        <v>5180</v>
      </c>
      <c r="H9678" s="13" t="s">
        <v>17732</v>
      </c>
      <c r="I9678" s="40" t="s">
        <v>18</v>
      </c>
      <c r="J9678" s="40" t="str">
        <f>HYPERLINK("https://stock.pstatic.net/stock-research/company/2/20250811_company_691352000.pdf","PDF")</f>
        <v>PDF</v>
      </c>
      <c r="K9678" s="12" t="s">
        <v>17733</v>
      </c>
      <c r="L9678" s="20">
        <v>8.1081081081081086E-2</v>
      </c>
    </row>
    <row r="9679" spans="1:12" x14ac:dyDescent="0.45">
      <c r="A9679" s="12" t="s">
        <v>17666</v>
      </c>
      <c r="B9679" s="12" t="s">
        <v>537</v>
      </c>
      <c r="C9679" s="13" t="s">
        <v>538</v>
      </c>
      <c r="D9679" s="13" t="s">
        <v>83</v>
      </c>
      <c r="E9679" s="12" t="s">
        <v>35</v>
      </c>
      <c r="F9679" s="14">
        <v>17000</v>
      </c>
      <c r="G9679" s="14">
        <v>14590</v>
      </c>
      <c r="H9679" s="13" t="s">
        <v>17734</v>
      </c>
      <c r="I9679" s="40" t="s">
        <v>18</v>
      </c>
      <c r="J9679" s="40" t="str">
        <f>HYPERLINK("https://stock.pstatic.net/stock-research/company/2/20250811_company_247639000.pdf","PDF")</f>
        <v>PDF</v>
      </c>
      <c r="K9679" s="12" t="s">
        <v>17735</v>
      </c>
      <c r="L9679" s="20">
        <v>0.16518163125428381</v>
      </c>
    </row>
    <row r="9680" spans="1:12" x14ac:dyDescent="0.45">
      <c r="A9680" s="12" t="s">
        <v>17666</v>
      </c>
      <c r="B9680" s="12" t="s">
        <v>1656</v>
      </c>
      <c r="C9680" s="13" t="s">
        <v>1657</v>
      </c>
      <c r="D9680" s="13" t="s">
        <v>83</v>
      </c>
      <c r="E9680" s="12" t="s">
        <v>35</v>
      </c>
      <c r="F9680" s="14">
        <v>220000</v>
      </c>
      <c r="G9680" s="14">
        <v>171300</v>
      </c>
      <c r="H9680" s="13" t="s">
        <v>17736</v>
      </c>
      <c r="I9680" s="40" t="s">
        <v>18</v>
      </c>
      <c r="J9680" s="40" t="str">
        <f>HYPERLINK("https://stock.pstatic.net/stock-research/company/2/20250811_company_439772000.pdf","PDF")</f>
        <v>PDF</v>
      </c>
      <c r="K9680" s="12" t="s">
        <v>17737</v>
      </c>
      <c r="L9680" s="20">
        <v>0.28429655575014601</v>
      </c>
    </row>
    <row r="9681" spans="1:12" x14ac:dyDescent="0.45">
      <c r="A9681" s="12" t="s">
        <v>17666</v>
      </c>
      <c r="B9681" s="12" t="s">
        <v>375</v>
      </c>
      <c r="C9681" s="13" t="s">
        <v>376</v>
      </c>
      <c r="D9681" s="13" t="s">
        <v>83</v>
      </c>
      <c r="E9681" s="12" t="s">
        <v>35</v>
      </c>
      <c r="F9681" s="14">
        <v>31000</v>
      </c>
      <c r="G9681" s="14">
        <v>24700</v>
      </c>
      <c r="H9681" s="13" t="s">
        <v>17738</v>
      </c>
      <c r="I9681" s="40" t="s">
        <v>18</v>
      </c>
      <c r="J9681" s="40" t="str">
        <f>HYPERLINK("https://stock.pstatic.net/stock-research/company/2/20250811_company_683559000.pdf","PDF")</f>
        <v>PDF</v>
      </c>
      <c r="K9681" s="12" t="s">
        <v>17739</v>
      </c>
      <c r="L9681" s="20">
        <v>0.25506072874493929</v>
      </c>
    </row>
    <row r="9682" spans="1:12" x14ac:dyDescent="0.45">
      <c r="A9682" s="12" t="s">
        <v>17666</v>
      </c>
      <c r="B9682" s="12" t="s">
        <v>27</v>
      </c>
      <c r="C9682" s="13" t="s">
        <v>28</v>
      </c>
      <c r="D9682" s="13" t="s">
        <v>83</v>
      </c>
      <c r="E9682" s="12" t="s">
        <v>35</v>
      </c>
      <c r="F9682" s="14">
        <v>90000</v>
      </c>
      <c r="G9682" s="14">
        <v>70400</v>
      </c>
      <c r="H9682" s="13" t="s">
        <v>17740</v>
      </c>
      <c r="I9682" s="40" t="s">
        <v>18</v>
      </c>
      <c r="J9682" s="40" t="str">
        <f>HYPERLINK("https://stock.pstatic.net/stock-research/company/2/20250811_company_868005000.pdf","PDF")</f>
        <v>PDF</v>
      </c>
      <c r="K9682" s="12" t="s">
        <v>17741</v>
      </c>
      <c r="L9682" s="20">
        <v>0.27840909090909088</v>
      </c>
    </row>
    <row r="9683" spans="1:12" x14ac:dyDescent="0.45">
      <c r="A9683" s="12" t="s">
        <v>17666</v>
      </c>
      <c r="B9683" s="12" t="s">
        <v>1184</v>
      </c>
      <c r="C9683" s="13" t="s">
        <v>1185</v>
      </c>
      <c r="D9683" s="13" t="s">
        <v>83</v>
      </c>
      <c r="E9683" s="12" t="s">
        <v>35</v>
      </c>
      <c r="F9683" s="14">
        <v>20000</v>
      </c>
      <c r="G9683" s="14">
        <v>16390</v>
      </c>
      <c r="H9683" s="13" t="s">
        <v>17742</v>
      </c>
      <c r="I9683" s="40" t="s">
        <v>18</v>
      </c>
      <c r="J9683" s="40" t="str">
        <f>HYPERLINK("https://stock.pstatic.net/stock-research/company/2/20250811_company_667689000.pdf","PDF")</f>
        <v>PDF</v>
      </c>
      <c r="K9683" s="12" t="s">
        <v>17743</v>
      </c>
      <c r="L9683" s="20">
        <v>0.2202562538133008</v>
      </c>
    </row>
    <row r="9684" spans="1:12" x14ac:dyDescent="0.45">
      <c r="A9684" s="12" t="s">
        <v>17666</v>
      </c>
      <c r="B9684" s="12" t="s">
        <v>42</v>
      </c>
      <c r="C9684" s="13" t="s">
        <v>43</v>
      </c>
      <c r="D9684" s="13" t="s">
        <v>83</v>
      </c>
      <c r="E9684" s="12" t="s">
        <v>35</v>
      </c>
      <c r="F9684" s="14">
        <v>330000</v>
      </c>
      <c r="G9684" s="14">
        <v>229500</v>
      </c>
      <c r="H9684" s="13" t="s">
        <v>17744</v>
      </c>
      <c r="I9684" s="40" t="s">
        <v>18</v>
      </c>
      <c r="J9684" s="40" t="str">
        <f>HYPERLINK("https://stock.pstatic.net/stock-research/company/2/20250811_company_252406000.pdf","PDF")</f>
        <v>PDF</v>
      </c>
      <c r="K9684" s="12" t="s">
        <v>17745</v>
      </c>
      <c r="L9684" s="20">
        <v>0.43790849673202609</v>
      </c>
    </row>
    <row r="9685" spans="1:12" x14ac:dyDescent="0.45">
      <c r="A9685" s="12" t="s">
        <v>17666</v>
      </c>
      <c r="B9685" s="12" t="s">
        <v>756</v>
      </c>
      <c r="C9685" s="13" t="s">
        <v>757</v>
      </c>
      <c r="D9685" s="13" t="s">
        <v>83</v>
      </c>
      <c r="E9685" s="12" t="s">
        <v>35</v>
      </c>
      <c r="F9685" s="14">
        <v>130000</v>
      </c>
      <c r="G9685" s="14">
        <v>88900</v>
      </c>
      <c r="H9685" s="13" t="s">
        <v>17746</v>
      </c>
      <c r="I9685" s="40" t="s">
        <v>18</v>
      </c>
      <c r="J9685" s="40" t="str">
        <f>HYPERLINK("https://stock.pstatic.net/stock-research/company/2/20250811_company_818920000.pdf","PDF")</f>
        <v>PDF</v>
      </c>
      <c r="K9685" s="12" t="s">
        <v>17747</v>
      </c>
      <c r="L9685" s="20">
        <v>0.46231721034870638</v>
      </c>
    </row>
    <row r="9686" spans="1:12" x14ac:dyDescent="0.45">
      <c r="A9686" s="12" t="s">
        <v>17666</v>
      </c>
      <c r="B9686" s="12" t="s">
        <v>8911</v>
      </c>
      <c r="C9686" s="13" t="s">
        <v>8912</v>
      </c>
      <c r="D9686" s="13" t="s">
        <v>83</v>
      </c>
      <c r="E9686" s="12" t="s">
        <v>642</v>
      </c>
      <c r="F9686" s="14">
        <v>39000</v>
      </c>
      <c r="G9686" s="14">
        <v>41700</v>
      </c>
      <c r="H9686" s="13" t="s">
        <v>17748</v>
      </c>
      <c r="I9686" s="40" t="s">
        <v>18</v>
      </c>
      <c r="J9686" s="40" t="str">
        <f>HYPERLINK("https://stock.pstatic.net/stock-research/company/2/20250811_company_401653000.pdf","PDF")</f>
        <v>PDF</v>
      </c>
      <c r="K9686" s="12" t="s">
        <v>17749</v>
      </c>
      <c r="L9686" s="20">
        <v>-6.4748201438848921E-2</v>
      </c>
    </row>
    <row r="9687" spans="1:12" x14ac:dyDescent="0.45">
      <c r="A9687" s="12" t="s">
        <v>17666</v>
      </c>
      <c r="B9687" s="12" t="s">
        <v>272</v>
      </c>
      <c r="C9687" s="13" t="s">
        <v>273</v>
      </c>
      <c r="D9687" s="13" t="s">
        <v>83</v>
      </c>
      <c r="E9687" s="12" t="s">
        <v>35</v>
      </c>
      <c r="F9687" s="14">
        <v>900000</v>
      </c>
      <c r="G9687" s="14">
        <v>664000</v>
      </c>
      <c r="H9687" s="13" t="s">
        <v>17750</v>
      </c>
      <c r="I9687" s="40" t="s">
        <v>18</v>
      </c>
      <c r="J9687" s="40" t="str">
        <f>HYPERLINK("https://stock.pstatic.net/stock-research/company/2/20250811_company_960073000.pdf","PDF")</f>
        <v>PDF</v>
      </c>
      <c r="K9687" s="12" t="s">
        <v>17751</v>
      </c>
      <c r="L9687" s="20">
        <v>0.35542168674698787</v>
      </c>
    </row>
    <row r="9688" spans="1:12" x14ac:dyDescent="0.45">
      <c r="A9688" s="12" t="s">
        <v>17666</v>
      </c>
      <c r="B9688" s="12" t="s">
        <v>2040</v>
      </c>
      <c r="C9688" s="13" t="s">
        <v>2041</v>
      </c>
      <c r="D9688" s="13" t="s">
        <v>15</v>
      </c>
      <c r="E9688" s="12" t="s">
        <v>385</v>
      </c>
      <c r="F9688" s="14">
        <v>64000</v>
      </c>
      <c r="G9688" s="14">
        <v>62200</v>
      </c>
      <c r="H9688" s="13" t="s">
        <v>17752</v>
      </c>
      <c r="I9688" s="40" t="s">
        <v>18</v>
      </c>
      <c r="J9688" s="40" t="str">
        <f>HYPERLINK("https://stock.pstatic.net/stock-research/company/29/20250811_company_421687000.pdf","PDF")</f>
        <v>PDF</v>
      </c>
      <c r="K9688" s="12" t="s">
        <v>17753</v>
      </c>
      <c r="L9688" s="20">
        <v>2.8938906752411571E-2</v>
      </c>
    </row>
    <row r="9689" spans="1:12" x14ac:dyDescent="0.45">
      <c r="A9689" s="12" t="s">
        <v>17666</v>
      </c>
      <c r="B9689" s="12" t="s">
        <v>1656</v>
      </c>
      <c r="C9689" s="13" t="s">
        <v>1657</v>
      </c>
      <c r="D9689" s="13" t="s">
        <v>15</v>
      </c>
      <c r="E9689" s="12" t="s">
        <v>16</v>
      </c>
      <c r="F9689" s="14">
        <v>210000</v>
      </c>
      <c r="G9689" s="14">
        <v>171300</v>
      </c>
      <c r="H9689" s="13" t="s">
        <v>17754</v>
      </c>
      <c r="I9689" s="40" t="s">
        <v>18</v>
      </c>
      <c r="J9689" s="40" t="str">
        <f>HYPERLINK("https://stock.pstatic.net/stock-research/company/29/20250811_company_9985000.pdf","PDF")</f>
        <v>PDF</v>
      </c>
      <c r="K9689" s="12" t="s">
        <v>17755</v>
      </c>
      <c r="L9689" s="20">
        <v>0.2259194395796848</v>
      </c>
    </row>
    <row r="9690" spans="1:12" x14ac:dyDescent="0.45">
      <c r="A9690" s="12" t="s">
        <v>17666</v>
      </c>
      <c r="B9690" s="12" t="s">
        <v>1652</v>
      </c>
      <c r="C9690" s="13" t="s">
        <v>1653</v>
      </c>
      <c r="D9690" s="13" t="s">
        <v>15</v>
      </c>
      <c r="E9690" s="12" t="s">
        <v>16</v>
      </c>
      <c r="F9690" s="14">
        <v>60000</v>
      </c>
      <c r="G9690" s="14">
        <v>46750</v>
      </c>
      <c r="H9690" s="13" t="s">
        <v>17756</v>
      </c>
      <c r="I9690" s="40" t="s">
        <v>18</v>
      </c>
      <c r="J9690" s="40" t="str">
        <f>HYPERLINK("https://stock.pstatic.net/stock-research/company/29/20250811_company_473832000.pdf","PDF")</f>
        <v>PDF</v>
      </c>
      <c r="K9690" s="12" t="s">
        <v>17757</v>
      </c>
      <c r="L9690" s="20">
        <v>0.28342245989304821</v>
      </c>
    </row>
    <row r="9691" spans="1:12" x14ac:dyDescent="0.45">
      <c r="A9691" s="12" t="s">
        <v>17666</v>
      </c>
      <c r="B9691" s="12" t="s">
        <v>1734</v>
      </c>
      <c r="C9691" s="13" t="s">
        <v>1735</v>
      </c>
      <c r="D9691" s="13" t="s">
        <v>15</v>
      </c>
      <c r="E9691" s="12" t="s">
        <v>385</v>
      </c>
      <c r="F9691" s="14">
        <v>38000</v>
      </c>
      <c r="G9691" s="14">
        <v>41300</v>
      </c>
      <c r="H9691" s="13" t="s">
        <v>17758</v>
      </c>
      <c r="I9691" s="40" t="s">
        <v>18</v>
      </c>
      <c r="J9691" s="40" t="str">
        <f>HYPERLINK("https://stock.pstatic.net/stock-research/company/29/20250811_company_879859000.pdf","PDF")</f>
        <v>PDF</v>
      </c>
      <c r="K9691" s="12" t="s">
        <v>17759</v>
      </c>
      <c r="L9691" s="20">
        <v>-7.990314769975787E-2</v>
      </c>
    </row>
    <row r="9692" spans="1:12" x14ac:dyDescent="0.45">
      <c r="A9692" s="12" t="s">
        <v>17666</v>
      </c>
      <c r="B9692" s="12" t="s">
        <v>1656</v>
      </c>
      <c r="C9692" s="13" t="s">
        <v>1657</v>
      </c>
      <c r="D9692" s="13" t="s">
        <v>92</v>
      </c>
      <c r="E9692" s="12" t="s">
        <v>35</v>
      </c>
      <c r="F9692" s="14">
        <v>230000</v>
      </c>
      <c r="G9692" s="14">
        <v>171300</v>
      </c>
      <c r="H9692" s="13" t="s">
        <v>17760</v>
      </c>
      <c r="I9692" s="40" t="s">
        <v>18</v>
      </c>
      <c r="J9692" s="40" t="str">
        <f>HYPERLINK("https://stock.pstatic.net/stock-research/company/63/20250811_company_847638000.pdf","PDF")</f>
        <v>PDF</v>
      </c>
      <c r="K9692" s="12" t="s">
        <v>17761</v>
      </c>
      <c r="L9692" s="20">
        <v>0.3426736719206071</v>
      </c>
    </row>
    <row r="9693" spans="1:12" x14ac:dyDescent="0.45">
      <c r="A9693" s="12" t="s">
        <v>17666</v>
      </c>
      <c r="B9693" s="12" t="s">
        <v>756</v>
      </c>
      <c r="C9693" s="13" t="s">
        <v>757</v>
      </c>
      <c r="D9693" s="13" t="s">
        <v>15</v>
      </c>
      <c r="E9693" s="12" t="s">
        <v>16</v>
      </c>
      <c r="F9693" s="14">
        <v>110000</v>
      </c>
      <c r="G9693" s="14">
        <v>88900</v>
      </c>
      <c r="H9693" s="13" t="s">
        <v>12732</v>
      </c>
      <c r="I9693" s="40" t="s">
        <v>18</v>
      </c>
      <c r="J9693" s="40" t="str">
        <f>HYPERLINK("https://stock.pstatic.net/stock-research/company/29/20250811_company_12590000.pdf","PDF")</f>
        <v>PDF</v>
      </c>
      <c r="K9693" s="12" t="s">
        <v>17762</v>
      </c>
      <c r="L9693" s="20">
        <v>0.2373453318335208</v>
      </c>
    </row>
    <row r="9694" spans="1:12" x14ac:dyDescent="0.45">
      <c r="A9694" s="12" t="s">
        <v>17666</v>
      </c>
      <c r="B9694" s="12" t="s">
        <v>756</v>
      </c>
      <c r="C9694" s="13" t="s">
        <v>757</v>
      </c>
      <c r="D9694" s="13" t="s">
        <v>92</v>
      </c>
      <c r="E9694" s="12" t="s">
        <v>35</v>
      </c>
      <c r="F9694" s="14">
        <v>120000</v>
      </c>
      <c r="G9694" s="14">
        <v>88900</v>
      </c>
      <c r="H9694" s="13" t="s">
        <v>17763</v>
      </c>
      <c r="I9694" s="40" t="s">
        <v>18</v>
      </c>
      <c r="J9694" s="40" t="str">
        <f>HYPERLINK("https://stock.pstatic.net/stock-research/company/63/20250811_company_450906000.pdf","PDF")</f>
        <v>PDF</v>
      </c>
      <c r="K9694" s="12" t="s">
        <v>17764</v>
      </c>
      <c r="L9694" s="20">
        <v>0.34983127109111362</v>
      </c>
    </row>
    <row r="9695" spans="1:12" x14ac:dyDescent="0.45">
      <c r="A9695" s="12" t="s">
        <v>17666</v>
      </c>
      <c r="B9695" s="12" t="s">
        <v>132</v>
      </c>
      <c r="C9695" s="13" t="s">
        <v>133</v>
      </c>
      <c r="D9695" s="13" t="s">
        <v>92</v>
      </c>
      <c r="E9695" s="12" t="s">
        <v>35</v>
      </c>
      <c r="F9695" s="14">
        <v>98000</v>
      </c>
      <c r="G9695" s="14">
        <v>74100</v>
      </c>
      <c r="H9695" s="13" t="s">
        <v>17765</v>
      </c>
      <c r="I9695" s="40" t="s">
        <v>18</v>
      </c>
      <c r="J9695" s="40" t="str">
        <f>HYPERLINK("https://stock.pstatic.net/stock-research/company/63/20250811_company_926232000.pdf","PDF")</f>
        <v>PDF</v>
      </c>
      <c r="K9695" s="12" t="s">
        <v>17766</v>
      </c>
      <c r="L9695" s="20">
        <v>0.32253711201079621</v>
      </c>
    </row>
    <row r="9696" spans="1:12" x14ac:dyDescent="0.45">
      <c r="A9696" s="12" t="s">
        <v>17666</v>
      </c>
      <c r="B9696" s="12" t="s">
        <v>691</v>
      </c>
      <c r="C9696" s="13" t="s">
        <v>20</v>
      </c>
      <c r="D9696" s="13" t="s">
        <v>23</v>
      </c>
      <c r="E9696" s="12" t="s">
        <v>16</v>
      </c>
      <c r="F9696" s="14">
        <v>230000</v>
      </c>
      <c r="G9696" s="14">
        <v>174100</v>
      </c>
      <c r="H9696" s="13" t="s">
        <v>17767</v>
      </c>
      <c r="I9696" s="40" t="s">
        <v>18</v>
      </c>
      <c r="J9696" s="40" t="str">
        <f>HYPERLINK("https://stock.pstatic.net/stock-research/company/21/20250811_company_896356000.pdf","PDF")</f>
        <v>PDF</v>
      </c>
      <c r="K9696" s="12" t="s">
        <v>17768</v>
      </c>
      <c r="L9696" s="20">
        <v>0.32107983917288913</v>
      </c>
    </row>
    <row r="9697" spans="1:12" x14ac:dyDescent="0.45">
      <c r="A9697" s="12" t="s">
        <v>17666</v>
      </c>
      <c r="B9697" s="12" t="s">
        <v>537</v>
      </c>
      <c r="C9697" s="13" t="s">
        <v>538</v>
      </c>
      <c r="D9697" s="13" t="s">
        <v>23</v>
      </c>
      <c r="E9697" s="12" t="s">
        <v>16</v>
      </c>
      <c r="F9697" s="14">
        <v>16500</v>
      </c>
      <c r="G9697" s="14">
        <v>14590</v>
      </c>
      <c r="H9697" s="13" t="s">
        <v>17769</v>
      </c>
      <c r="I9697" s="40" t="s">
        <v>18</v>
      </c>
      <c r="J9697" s="40" t="str">
        <f>HYPERLINK("https://stock.pstatic.net/stock-research/company/21/20250811_company_634298000.pdf","PDF")</f>
        <v>PDF</v>
      </c>
      <c r="K9697" s="12" t="s">
        <v>17770</v>
      </c>
      <c r="L9697" s="20">
        <v>0.1309115832762166</v>
      </c>
    </row>
    <row r="9698" spans="1:12" x14ac:dyDescent="0.45">
      <c r="A9698" s="12" t="s">
        <v>17666</v>
      </c>
      <c r="B9698" s="12" t="s">
        <v>1900</v>
      </c>
      <c r="C9698" s="13" t="s">
        <v>1901</v>
      </c>
      <c r="D9698" s="13" t="s">
        <v>15</v>
      </c>
      <c r="E9698" s="12" t="s">
        <v>16</v>
      </c>
      <c r="F9698" s="14">
        <v>38000</v>
      </c>
      <c r="G9698" s="14">
        <v>31450</v>
      </c>
      <c r="H9698" s="13" t="s">
        <v>17771</v>
      </c>
      <c r="I9698" s="40" t="s">
        <v>18</v>
      </c>
      <c r="J9698" s="40" t="str">
        <f>HYPERLINK("https://stock.pstatic.net/stock-research/company/29/20250811_company_151302000.pdf","PDF")</f>
        <v>PDF</v>
      </c>
      <c r="K9698" s="12" t="s">
        <v>17772</v>
      </c>
      <c r="L9698" s="20">
        <v>0.20826709062003179</v>
      </c>
    </row>
    <row r="9699" spans="1:12" x14ac:dyDescent="0.45">
      <c r="A9699" s="12" t="s">
        <v>17666</v>
      </c>
      <c r="B9699" s="12" t="s">
        <v>414</v>
      </c>
      <c r="C9699" s="13" t="s">
        <v>415</v>
      </c>
      <c r="D9699" s="13" t="s">
        <v>92</v>
      </c>
      <c r="E9699" s="12" t="s">
        <v>50</v>
      </c>
      <c r="F9699" s="13"/>
      <c r="G9699" s="14">
        <v>19330</v>
      </c>
      <c r="H9699" s="13" t="s">
        <v>17773</v>
      </c>
      <c r="I9699" s="40" t="s">
        <v>18</v>
      </c>
      <c r="J9699" s="40" t="str">
        <f>HYPERLINK("https://stock.pstatic.net/stock-research/company/63/20250811_company_410495000.pdf","PDF")</f>
        <v>PDF</v>
      </c>
      <c r="K9699" s="12" t="s">
        <v>17774</v>
      </c>
    </row>
    <row r="9700" spans="1:12" x14ac:dyDescent="0.45">
      <c r="A9700" s="12" t="s">
        <v>17666</v>
      </c>
      <c r="B9700" s="12" t="s">
        <v>375</v>
      </c>
      <c r="C9700" s="13" t="s">
        <v>376</v>
      </c>
      <c r="D9700" s="13" t="s">
        <v>15</v>
      </c>
      <c r="E9700" s="12" t="s">
        <v>16</v>
      </c>
      <c r="F9700" s="14">
        <v>30000</v>
      </c>
      <c r="G9700" s="14">
        <v>24700</v>
      </c>
      <c r="H9700" s="13" t="s">
        <v>17775</v>
      </c>
      <c r="I9700" s="40" t="s">
        <v>18</v>
      </c>
      <c r="J9700" s="40" t="str">
        <f>HYPERLINK("https://stock.pstatic.net/stock-research/company/29/20250811_company_253999000.pdf","PDF")</f>
        <v>PDF</v>
      </c>
      <c r="K9700" s="12" t="s">
        <v>17776</v>
      </c>
      <c r="L9700" s="20">
        <v>0.2145748987854251</v>
      </c>
    </row>
    <row r="9701" spans="1:12" x14ac:dyDescent="0.45">
      <c r="A9701" s="12" t="s">
        <v>17666</v>
      </c>
      <c r="B9701" s="12" t="s">
        <v>1652</v>
      </c>
      <c r="C9701" s="13" t="s">
        <v>1653</v>
      </c>
      <c r="D9701" s="13" t="s">
        <v>92</v>
      </c>
      <c r="E9701" s="12" t="s">
        <v>35</v>
      </c>
      <c r="F9701" s="14">
        <v>70000</v>
      </c>
      <c r="G9701" s="14">
        <v>46750</v>
      </c>
      <c r="H9701" s="13" t="s">
        <v>17777</v>
      </c>
      <c r="I9701" s="40" t="s">
        <v>18</v>
      </c>
      <c r="J9701" s="40" t="str">
        <f>HYPERLINK("https://stock.pstatic.net/stock-research/company/63/20250811_company_460497000.pdf","PDF")</f>
        <v>PDF</v>
      </c>
      <c r="K9701" s="12" t="s">
        <v>17778</v>
      </c>
      <c r="L9701" s="20">
        <v>0.49732620320855608</v>
      </c>
    </row>
    <row r="9702" spans="1:12" x14ac:dyDescent="0.45">
      <c r="A9702" s="12" t="s">
        <v>17666</v>
      </c>
      <c r="B9702" s="12" t="s">
        <v>4642</v>
      </c>
      <c r="C9702" s="13" t="s">
        <v>4643</v>
      </c>
      <c r="D9702" s="13" t="s">
        <v>34</v>
      </c>
      <c r="E9702" s="12" t="s">
        <v>35</v>
      </c>
      <c r="F9702" s="14">
        <v>35000</v>
      </c>
      <c r="G9702" s="14">
        <v>24150</v>
      </c>
      <c r="H9702" s="13" t="s">
        <v>17779</v>
      </c>
      <c r="I9702" s="40" t="s">
        <v>18</v>
      </c>
      <c r="J9702" s="40" t="str">
        <f>HYPERLINK("https://stock.pstatic.net/stock-research/company/61/20250811_company_429903000.pdf","PDF")</f>
        <v>PDF</v>
      </c>
      <c r="K9702" s="12" t="s">
        <v>17780</v>
      </c>
      <c r="L9702" s="20">
        <v>0.44927536231884058</v>
      </c>
    </row>
    <row r="9703" spans="1:12" x14ac:dyDescent="0.45">
      <c r="A9703" s="12" t="s">
        <v>17666</v>
      </c>
      <c r="B9703" s="12" t="s">
        <v>916</v>
      </c>
      <c r="C9703" s="13" t="s">
        <v>917</v>
      </c>
      <c r="D9703" s="13" t="s">
        <v>44</v>
      </c>
      <c r="E9703" s="12" t="s">
        <v>35</v>
      </c>
      <c r="F9703" s="14">
        <v>100000</v>
      </c>
      <c r="G9703" s="14">
        <v>63800</v>
      </c>
      <c r="H9703" s="13" t="s">
        <v>17781</v>
      </c>
      <c r="I9703" s="40" t="s">
        <v>18</v>
      </c>
      <c r="J9703" s="40" t="str">
        <f>HYPERLINK("https://stock.pstatic.net/stock-research/company/39/20250811_company_953480000.pdf","PDF")</f>
        <v>PDF</v>
      </c>
      <c r="K9703" s="12" t="s">
        <v>17782</v>
      </c>
      <c r="L9703" s="20">
        <v>0.56739811912225702</v>
      </c>
    </row>
    <row r="9704" spans="1:12" x14ac:dyDescent="0.45">
      <c r="A9704" s="12" t="s">
        <v>17666</v>
      </c>
      <c r="B9704" s="12" t="s">
        <v>370</v>
      </c>
      <c r="C9704" s="13" t="s">
        <v>371</v>
      </c>
      <c r="D9704" s="13" t="s">
        <v>53</v>
      </c>
      <c r="E9704" s="12" t="s">
        <v>16</v>
      </c>
      <c r="F9704" s="14">
        <v>120000</v>
      </c>
      <c r="G9704" s="14">
        <v>93200</v>
      </c>
      <c r="H9704" s="13" t="s">
        <v>17783</v>
      </c>
      <c r="I9704" s="40" t="s">
        <v>18</v>
      </c>
      <c r="J9704" s="40" t="str">
        <f>HYPERLINK("https://stock.pstatic.net/stock-research/company/40/20250811_company_287432000.pdf","PDF")</f>
        <v>PDF</v>
      </c>
      <c r="K9704" s="12" t="s">
        <v>17784</v>
      </c>
      <c r="L9704" s="20">
        <v>0.28755364806866951</v>
      </c>
    </row>
    <row r="9705" spans="1:12" x14ac:dyDescent="0.45">
      <c r="A9705" s="12" t="s">
        <v>17666</v>
      </c>
      <c r="B9705" s="12" t="s">
        <v>1270</v>
      </c>
      <c r="C9705" s="13" t="s">
        <v>1271</v>
      </c>
      <c r="D9705" s="13" t="s">
        <v>179</v>
      </c>
      <c r="E9705" s="12" t="s">
        <v>16</v>
      </c>
      <c r="F9705" s="14">
        <v>81000</v>
      </c>
      <c r="G9705" s="14">
        <v>70000</v>
      </c>
      <c r="H9705" s="13" t="s">
        <v>17785</v>
      </c>
      <c r="I9705" s="40" t="s">
        <v>18</v>
      </c>
      <c r="J9705" s="40" t="str">
        <f>HYPERLINK("https://stock.pstatic.net/stock-research/company/64/20250811_company_696222000.pdf","PDF")</f>
        <v>PDF</v>
      </c>
      <c r="K9705" s="12" t="s">
        <v>17786</v>
      </c>
      <c r="L9705" s="20">
        <v>0.15714285714285711</v>
      </c>
    </row>
    <row r="9706" spans="1:12" x14ac:dyDescent="0.45">
      <c r="A9706" s="12" t="s">
        <v>17666</v>
      </c>
      <c r="B9706" s="12" t="s">
        <v>760</v>
      </c>
      <c r="C9706" s="13" t="s">
        <v>761</v>
      </c>
      <c r="D9706" s="13" t="s">
        <v>23</v>
      </c>
      <c r="E9706" s="12" t="s">
        <v>16</v>
      </c>
      <c r="F9706" s="14">
        <v>290000</v>
      </c>
      <c r="G9706" s="14">
        <v>239500</v>
      </c>
      <c r="H9706" s="13" t="s">
        <v>17787</v>
      </c>
      <c r="I9706" s="40" t="s">
        <v>18</v>
      </c>
      <c r="J9706" s="40" t="str">
        <f>HYPERLINK("https://stock.pstatic.net/stock-research/company/21/20250811_company_541023000.pdf","PDF")</f>
        <v>PDF</v>
      </c>
      <c r="K9706" s="12" t="s">
        <v>17788</v>
      </c>
      <c r="L9706" s="20">
        <v>0.2108559498956159</v>
      </c>
    </row>
    <row r="9707" spans="1:12" x14ac:dyDescent="0.45">
      <c r="A9707" s="12" t="s">
        <v>17666</v>
      </c>
      <c r="B9707" s="12" t="s">
        <v>1656</v>
      </c>
      <c r="C9707" s="13" t="s">
        <v>1657</v>
      </c>
      <c r="D9707" s="13" t="s">
        <v>23</v>
      </c>
      <c r="E9707" s="12" t="s">
        <v>16</v>
      </c>
      <c r="F9707" s="14">
        <v>220000</v>
      </c>
      <c r="G9707" s="14">
        <v>171300</v>
      </c>
      <c r="H9707" s="13" t="s">
        <v>17789</v>
      </c>
      <c r="I9707" s="40" t="s">
        <v>18</v>
      </c>
      <c r="J9707" s="40" t="str">
        <f>HYPERLINK("https://stock.pstatic.net/stock-research/company/21/20250811_company_626737000.pdf","PDF")</f>
        <v>PDF</v>
      </c>
      <c r="K9707" s="12" t="s">
        <v>17790</v>
      </c>
      <c r="L9707" s="20">
        <v>0.28429655575014601</v>
      </c>
    </row>
    <row r="9708" spans="1:12" x14ac:dyDescent="0.45">
      <c r="A9708" s="12" t="s">
        <v>17666</v>
      </c>
      <c r="B9708" s="12" t="s">
        <v>756</v>
      </c>
      <c r="C9708" s="13" t="s">
        <v>757</v>
      </c>
      <c r="D9708" s="13" t="s">
        <v>23</v>
      </c>
      <c r="E9708" s="12" t="s">
        <v>16</v>
      </c>
      <c r="F9708" s="14">
        <v>112000</v>
      </c>
      <c r="G9708" s="14">
        <v>88900</v>
      </c>
      <c r="H9708" s="13" t="s">
        <v>17791</v>
      </c>
      <c r="I9708" s="40" t="s">
        <v>18</v>
      </c>
      <c r="J9708" s="40" t="str">
        <f>HYPERLINK("https://stock.pstatic.net/stock-research/company/21/20250811_company_276895000.pdf","PDF")</f>
        <v>PDF</v>
      </c>
      <c r="K9708" s="12" t="s">
        <v>17792</v>
      </c>
      <c r="L9708" s="20">
        <v>0.25984251968503941</v>
      </c>
    </row>
    <row r="9709" spans="1:12" x14ac:dyDescent="0.45">
      <c r="A9709" s="12" t="s">
        <v>17666</v>
      </c>
      <c r="B9709" s="12" t="s">
        <v>1734</v>
      </c>
      <c r="C9709" s="13" t="s">
        <v>1735</v>
      </c>
      <c r="D9709" s="13" t="s">
        <v>23</v>
      </c>
      <c r="E9709" s="12" t="s">
        <v>50</v>
      </c>
      <c r="F9709" s="14">
        <v>45000</v>
      </c>
      <c r="G9709" s="14">
        <v>41300</v>
      </c>
      <c r="H9709" s="13" t="s">
        <v>17793</v>
      </c>
      <c r="I9709" s="40" t="s">
        <v>18</v>
      </c>
      <c r="J9709" s="40" t="str">
        <f>HYPERLINK("https://stock.pstatic.net/stock-research/company/21/20250811_company_398437000.pdf","PDF")</f>
        <v>PDF</v>
      </c>
      <c r="K9709" s="12" t="s">
        <v>17794</v>
      </c>
      <c r="L9709" s="20">
        <v>8.9588377723970949E-2</v>
      </c>
    </row>
    <row r="9710" spans="1:12" x14ac:dyDescent="0.45">
      <c r="A9710" s="12" t="s">
        <v>17666</v>
      </c>
      <c r="B9710" s="12" t="s">
        <v>2231</v>
      </c>
      <c r="C9710" s="13" t="s">
        <v>2232</v>
      </c>
      <c r="D9710" s="13" t="s">
        <v>23</v>
      </c>
      <c r="E9710" s="12" t="s">
        <v>16</v>
      </c>
      <c r="F9710" s="14">
        <v>130000</v>
      </c>
      <c r="G9710" s="14">
        <v>105500</v>
      </c>
      <c r="H9710" s="13" t="s">
        <v>17795</v>
      </c>
      <c r="I9710" s="40" t="s">
        <v>18</v>
      </c>
      <c r="J9710" s="40" t="str">
        <f>HYPERLINK("https://stock.pstatic.net/stock-research/company/21/20250811_company_976187000.pdf","PDF")</f>
        <v>PDF</v>
      </c>
      <c r="K9710" s="12" t="s">
        <v>17796</v>
      </c>
      <c r="L9710" s="20">
        <v>0.23222748815165881</v>
      </c>
    </row>
    <row r="9711" spans="1:12" x14ac:dyDescent="0.45">
      <c r="A9711" s="12" t="s">
        <v>17666</v>
      </c>
      <c r="B9711" s="12" t="s">
        <v>1773</v>
      </c>
      <c r="C9711" s="13" t="s">
        <v>1774</v>
      </c>
      <c r="D9711" s="13" t="s">
        <v>23</v>
      </c>
      <c r="E9711" s="12" t="s">
        <v>16</v>
      </c>
      <c r="F9711" s="14">
        <v>115000</v>
      </c>
      <c r="G9711" s="14">
        <v>87200</v>
      </c>
      <c r="H9711" s="13" t="s">
        <v>17797</v>
      </c>
      <c r="I9711" s="40" t="s">
        <v>18</v>
      </c>
      <c r="J9711" s="40" t="str">
        <f>HYPERLINK("https://stock.pstatic.net/stock-research/company/21/20250811_company_956175000.pdf","PDF")</f>
        <v>PDF</v>
      </c>
      <c r="K9711" s="12" t="s">
        <v>17798</v>
      </c>
      <c r="L9711" s="20">
        <v>0.31880733944954132</v>
      </c>
    </row>
    <row r="9712" spans="1:12" x14ac:dyDescent="0.45">
      <c r="A9712" s="12" t="s">
        <v>17666</v>
      </c>
      <c r="B9712" s="12" t="s">
        <v>27</v>
      </c>
      <c r="C9712" s="13" t="s">
        <v>28</v>
      </c>
      <c r="D9712" s="13" t="s">
        <v>23</v>
      </c>
      <c r="E9712" s="12" t="s">
        <v>16</v>
      </c>
      <c r="F9712" s="14">
        <v>95000</v>
      </c>
      <c r="G9712" s="14">
        <v>70400</v>
      </c>
      <c r="H9712" s="13" t="s">
        <v>17799</v>
      </c>
      <c r="I9712" s="40" t="s">
        <v>18</v>
      </c>
      <c r="J9712" s="40" t="str">
        <f>HYPERLINK("https://stock.pstatic.net/stock-research/company/21/20250811_company_138933000.pdf","PDF")</f>
        <v>PDF</v>
      </c>
      <c r="K9712" s="12" t="s">
        <v>17800</v>
      </c>
      <c r="L9712" s="20">
        <v>0.34943181818181818</v>
      </c>
    </row>
    <row r="9713" spans="1:12" x14ac:dyDescent="0.45">
      <c r="A9713" s="12" t="s">
        <v>17666</v>
      </c>
      <c r="B9713" s="12" t="s">
        <v>2662</v>
      </c>
      <c r="C9713" s="13" t="s">
        <v>2663</v>
      </c>
      <c r="D9713" s="13" t="s">
        <v>44</v>
      </c>
      <c r="E9713" s="12" t="s">
        <v>35</v>
      </c>
      <c r="F9713" s="14">
        <v>130000</v>
      </c>
      <c r="G9713" s="14">
        <v>63800</v>
      </c>
      <c r="H9713" s="13" t="s">
        <v>17801</v>
      </c>
      <c r="I9713" s="40" t="s">
        <v>18</v>
      </c>
      <c r="J9713" s="40" t="str">
        <f>HYPERLINK("https://stock.pstatic.net/stock-research/company/39/20250811_company_369774000.pdf","PDF")</f>
        <v>PDF</v>
      </c>
      <c r="K9713" s="12" t="s">
        <v>17802</v>
      </c>
      <c r="L9713" s="20">
        <v>1.0376175548589339</v>
      </c>
    </row>
    <row r="9714" spans="1:12" x14ac:dyDescent="0.45">
      <c r="A9714" s="12" t="s">
        <v>17666</v>
      </c>
      <c r="B9714" s="12" t="s">
        <v>2040</v>
      </c>
      <c r="C9714" s="13" t="s">
        <v>2041</v>
      </c>
      <c r="D9714" s="13" t="s">
        <v>23</v>
      </c>
      <c r="E9714" s="12" t="s">
        <v>16</v>
      </c>
      <c r="F9714" s="14">
        <v>80000</v>
      </c>
      <c r="G9714" s="14">
        <v>62200</v>
      </c>
      <c r="H9714" s="13" t="s">
        <v>17803</v>
      </c>
      <c r="I9714" s="40" t="s">
        <v>18</v>
      </c>
      <c r="J9714" s="40" t="str">
        <f>HYPERLINK("https://stock.pstatic.net/stock-research/company/21/20250811_company_844770000.pdf","PDF")</f>
        <v>PDF</v>
      </c>
      <c r="K9714" s="12" t="s">
        <v>17804</v>
      </c>
      <c r="L9714" s="20">
        <v>0.2861736334405145</v>
      </c>
    </row>
    <row r="9715" spans="1:12" x14ac:dyDescent="0.45">
      <c r="A9715" s="12" t="s">
        <v>17666</v>
      </c>
      <c r="B9715" s="12" t="s">
        <v>1036</v>
      </c>
      <c r="C9715" s="13" t="s">
        <v>1037</v>
      </c>
      <c r="D9715" s="13" t="s">
        <v>44</v>
      </c>
      <c r="E9715" s="12" t="s">
        <v>45</v>
      </c>
      <c r="F9715" s="14">
        <v>19000</v>
      </c>
      <c r="G9715" s="14">
        <v>16670</v>
      </c>
      <c r="H9715" s="13" t="s">
        <v>17805</v>
      </c>
      <c r="I9715" s="40" t="s">
        <v>18</v>
      </c>
      <c r="J9715" s="40" t="str">
        <f>HYPERLINK("https://stock.pstatic.net/stock-research/company/39/20250811_company_824675000.pdf","PDF")</f>
        <v>PDF</v>
      </c>
      <c r="K9715" s="12" t="s">
        <v>17806</v>
      </c>
      <c r="L9715" s="20">
        <v>0.1397720455908818</v>
      </c>
    </row>
    <row r="9716" spans="1:12" x14ac:dyDescent="0.45">
      <c r="A9716" s="12" t="s">
        <v>17666</v>
      </c>
      <c r="B9716" s="12" t="s">
        <v>760</v>
      </c>
      <c r="C9716" s="13" t="s">
        <v>761</v>
      </c>
      <c r="D9716" s="13" t="s">
        <v>44</v>
      </c>
      <c r="E9716" s="12" t="s">
        <v>35</v>
      </c>
      <c r="F9716" s="14">
        <v>300000</v>
      </c>
      <c r="G9716" s="14">
        <v>239500</v>
      </c>
      <c r="H9716" s="13" t="s">
        <v>17807</v>
      </c>
      <c r="I9716" s="40" t="s">
        <v>18</v>
      </c>
      <c r="J9716" s="40" t="str">
        <f>HYPERLINK("https://stock.pstatic.net/stock-research/company/39/20250811_company_179367000.pdf","PDF")</f>
        <v>PDF</v>
      </c>
      <c r="K9716" s="12" t="s">
        <v>17808</v>
      </c>
      <c r="L9716" s="20">
        <v>0.25260960334029231</v>
      </c>
    </row>
    <row r="9717" spans="1:12" x14ac:dyDescent="0.45">
      <c r="A9717" s="12" t="s">
        <v>17666</v>
      </c>
      <c r="B9717" s="12" t="s">
        <v>1773</v>
      </c>
      <c r="C9717" s="13" t="s">
        <v>1774</v>
      </c>
      <c r="D9717" s="13" t="s">
        <v>34</v>
      </c>
      <c r="E9717" s="12" t="s">
        <v>35</v>
      </c>
      <c r="F9717" s="14">
        <v>120000</v>
      </c>
      <c r="G9717" s="14">
        <v>87200</v>
      </c>
      <c r="H9717" s="13" t="s">
        <v>17809</v>
      </c>
      <c r="I9717" s="40" t="s">
        <v>18</v>
      </c>
      <c r="J9717" s="40" t="str">
        <f>HYPERLINK("https://stock.pstatic.net/stock-research/company/61/20250811_company_643944000.pdf","PDF")</f>
        <v>PDF</v>
      </c>
      <c r="K9717" s="12" t="s">
        <v>17810</v>
      </c>
      <c r="L9717" s="20">
        <v>0.37614678899082571</v>
      </c>
    </row>
    <row r="9718" spans="1:12" x14ac:dyDescent="0.45">
      <c r="A9718" s="12" t="s">
        <v>17666</v>
      </c>
      <c r="B9718" s="12" t="s">
        <v>1184</v>
      </c>
      <c r="C9718" s="13" t="s">
        <v>1185</v>
      </c>
      <c r="D9718" s="13" t="s">
        <v>23</v>
      </c>
      <c r="E9718" s="12" t="s">
        <v>16</v>
      </c>
      <c r="F9718" s="14">
        <v>20000</v>
      </c>
      <c r="G9718" s="14">
        <v>17200</v>
      </c>
      <c r="H9718" s="13" t="s">
        <v>17811</v>
      </c>
      <c r="I9718" s="40" t="s">
        <v>18</v>
      </c>
      <c r="J9718" s="40" t="str">
        <f>HYPERLINK("https://stock.pstatic.net/stock-research/company/21/20250811_company_929084000.pdf","PDF")</f>
        <v>PDF</v>
      </c>
      <c r="K9718" s="12" t="s">
        <v>17812</v>
      </c>
      <c r="L9718" s="20">
        <v>0.16279069767441859</v>
      </c>
    </row>
    <row r="9719" spans="1:12" x14ac:dyDescent="0.45">
      <c r="A9719" s="12" t="s">
        <v>17666</v>
      </c>
      <c r="B9719" s="12" t="s">
        <v>2205</v>
      </c>
      <c r="C9719" s="13" t="s">
        <v>2206</v>
      </c>
      <c r="D9719" s="13" t="s">
        <v>23</v>
      </c>
      <c r="E9719" s="12" t="s">
        <v>16</v>
      </c>
      <c r="F9719" s="14">
        <v>47000</v>
      </c>
      <c r="G9719" s="14">
        <v>40250</v>
      </c>
      <c r="H9719" s="13" t="s">
        <v>17813</v>
      </c>
      <c r="I9719" s="40" t="s">
        <v>18</v>
      </c>
      <c r="J9719" s="40" t="str">
        <f>HYPERLINK("https://stock.pstatic.net/stock-research/company/21/20250811_company_811731000.pdf","PDF")</f>
        <v>PDF</v>
      </c>
      <c r="K9719" s="12" t="s">
        <v>17814</v>
      </c>
      <c r="L9719" s="20">
        <v>0.16770186335403731</v>
      </c>
    </row>
    <row r="9720" spans="1:12" x14ac:dyDescent="0.45">
      <c r="A9720" s="12" t="s">
        <v>17666</v>
      </c>
      <c r="B9720" s="12" t="s">
        <v>3101</v>
      </c>
      <c r="C9720" s="13" t="s">
        <v>3102</v>
      </c>
      <c r="D9720" s="13" t="s">
        <v>34</v>
      </c>
      <c r="E9720" s="12" t="s">
        <v>159</v>
      </c>
      <c r="F9720" s="14">
        <v>110000</v>
      </c>
      <c r="G9720" s="14">
        <v>124100</v>
      </c>
      <c r="H9720" s="13" t="s">
        <v>17815</v>
      </c>
      <c r="I9720" s="40" t="s">
        <v>18</v>
      </c>
      <c r="J9720" s="40" t="str">
        <f>HYPERLINK("https://stock.pstatic.net/stock-research/company/61/20250811_company_590042000.pdf","PDF")</f>
        <v>PDF</v>
      </c>
      <c r="K9720" s="12" t="s">
        <v>17816</v>
      </c>
      <c r="L9720" s="20">
        <v>-0.11361804995970989</v>
      </c>
    </row>
    <row r="9721" spans="1:12" x14ac:dyDescent="0.45">
      <c r="A9721" s="12" t="s">
        <v>17666</v>
      </c>
      <c r="B9721" s="12" t="s">
        <v>42</v>
      </c>
      <c r="C9721" s="13" t="s">
        <v>43</v>
      </c>
      <c r="D9721" s="13" t="s">
        <v>23</v>
      </c>
      <c r="E9721" s="12" t="s">
        <v>50</v>
      </c>
      <c r="F9721" s="14">
        <v>250000</v>
      </c>
      <c r="G9721" s="14">
        <v>229500</v>
      </c>
      <c r="H9721" s="13" t="s">
        <v>17817</v>
      </c>
      <c r="I9721" s="40" t="s">
        <v>18</v>
      </c>
      <c r="J9721" s="40" t="str">
        <f>HYPERLINK("https://stock.pstatic.net/stock-research/company/21/20250811_company_365217000.pdf","PDF")</f>
        <v>PDF</v>
      </c>
      <c r="K9721" s="12" t="s">
        <v>17818</v>
      </c>
      <c r="L9721" s="20">
        <v>8.9324618736383449E-2</v>
      </c>
    </row>
    <row r="9722" spans="1:12" x14ac:dyDescent="0.45">
      <c r="A9722" s="12" t="s">
        <v>17666</v>
      </c>
      <c r="B9722" s="12" t="s">
        <v>537</v>
      </c>
      <c r="C9722" s="13" t="s">
        <v>538</v>
      </c>
      <c r="D9722" s="13" t="s">
        <v>92</v>
      </c>
      <c r="E9722" s="12" t="s">
        <v>35</v>
      </c>
      <c r="F9722" s="14">
        <v>18000</v>
      </c>
      <c r="G9722" s="14">
        <v>14590</v>
      </c>
      <c r="H9722" s="13" t="s">
        <v>17819</v>
      </c>
      <c r="I9722" s="40" t="s">
        <v>18</v>
      </c>
      <c r="J9722" s="40" t="str">
        <f>HYPERLINK("https://stock.pstatic.net/stock-research/company/63/20250811_company_628424000.pdf","PDF")</f>
        <v>PDF</v>
      </c>
      <c r="K9722" s="12" t="s">
        <v>17820</v>
      </c>
      <c r="L9722" s="20">
        <v>0.23372172721041809</v>
      </c>
    </row>
    <row r="9723" spans="1:12" x14ac:dyDescent="0.45">
      <c r="A9723" s="12" t="s">
        <v>17666</v>
      </c>
      <c r="B9723" s="12" t="s">
        <v>42</v>
      </c>
      <c r="C9723" s="13" t="s">
        <v>43</v>
      </c>
      <c r="D9723" s="13" t="s">
        <v>179</v>
      </c>
      <c r="E9723" s="12" t="s">
        <v>16</v>
      </c>
      <c r="F9723" s="14">
        <v>320000</v>
      </c>
      <c r="G9723" s="14">
        <v>229500</v>
      </c>
      <c r="H9723" s="13" t="s">
        <v>17821</v>
      </c>
      <c r="I9723" s="40" t="s">
        <v>18</v>
      </c>
      <c r="J9723" s="40" t="str">
        <f>HYPERLINK("https://stock.pstatic.net/stock-research/company/64/20250811_company_228304000.pdf","PDF")</f>
        <v>PDF</v>
      </c>
      <c r="K9723" s="12" t="s">
        <v>17822</v>
      </c>
      <c r="L9723" s="20">
        <v>0.39433551198257077</v>
      </c>
    </row>
    <row r="9724" spans="1:12" x14ac:dyDescent="0.45">
      <c r="A9724" s="12" t="s">
        <v>17666</v>
      </c>
      <c r="B9724" s="12" t="s">
        <v>375</v>
      </c>
      <c r="C9724" s="13" t="s">
        <v>376</v>
      </c>
      <c r="D9724" s="13" t="s">
        <v>92</v>
      </c>
      <c r="E9724" s="12" t="s">
        <v>35</v>
      </c>
      <c r="F9724" s="14">
        <v>30000</v>
      </c>
      <c r="G9724" s="14">
        <v>24700</v>
      </c>
      <c r="H9724" s="13" t="s">
        <v>17823</v>
      </c>
      <c r="I9724" s="40" t="s">
        <v>18</v>
      </c>
      <c r="J9724" s="40" t="str">
        <f>HYPERLINK("https://stock.pstatic.net/stock-research/company/63/20250811_company_884510000.pdf","PDF")</f>
        <v>PDF</v>
      </c>
      <c r="K9724" s="12" t="s">
        <v>17824</v>
      </c>
      <c r="L9724" s="20">
        <v>0.2145748987854251</v>
      </c>
    </row>
    <row r="9725" spans="1:12" x14ac:dyDescent="0.45">
      <c r="A9725" s="12" t="s">
        <v>17666</v>
      </c>
      <c r="B9725" s="12" t="s">
        <v>1184</v>
      </c>
      <c r="C9725" s="13" t="s">
        <v>1185</v>
      </c>
      <c r="D9725" s="13" t="s">
        <v>44</v>
      </c>
      <c r="E9725" s="12" t="s">
        <v>50</v>
      </c>
      <c r="F9725" s="13"/>
      <c r="G9725" s="13"/>
      <c r="H9725" s="13" t="s">
        <v>17825</v>
      </c>
      <c r="I9725" s="40" t="s">
        <v>18</v>
      </c>
      <c r="J9725" s="40" t="str">
        <f>HYPERLINK("https://stock.pstatic.net/stock-research/company/39/20250811_company_518933000.pdf","PDF")</f>
        <v>PDF</v>
      </c>
      <c r="K9725" s="12" t="s">
        <v>17826</v>
      </c>
    </row>
    <row r="9726" spans="1:12" x14ac:dyDescent="0.45">
      <c r="A9726" s="12" t="s">
        <v>17666</v>
      </c>
      <c r="B9726" s="12" t="s">
        <v>756</v>
      </c>
      <c r="C9726" s="13" t="s">
        <v>757</v>
      </c>
      <c r="D9726" s="13" t="s">
        <v>44</v>
      </c>
      <c r="E9726" s="12" t="s">
        <v>35</v>
      </c>
      <c r="F9726" s="14">
        <v>130000</v>
      </c>
      <c r="G9726" s="14">
        <v>88900</v>
      </c>
      <c r="H9726" s="13" t="s">
        <v>17827</v>
      </c>
      <c r="I9726" s="40" t="s">
        <v>18</v>
      </c>
      <c r="J9726" s="40" t="str">
        <f>HYPERLINK("https://stock.pstatic.net/stock-research/company/39/20250811_company_848759000.pdf","PDF")</f>
        <v>PDF</v>
      </c>
      <c r="K9726" s="12" t="s">
        <v>17828</v>
      </c>
      <c r="L9726" s="20">
        <v>0.46231721034870638</v>
      </c>
    </row>
    <row r="9727" spans="1:12" x14ac:dyDescent="0.45">
      <c r="A9727" s="12" t="s">
        <v>17666</v>
      </c>
      <c r="B9727" s="12" t="s">
        <v>27</v>
      </c>
      <c r="C9727" s="13" t="s">
        <v>28</v>
      </c>
      <c r="D9727" s="13" t="s">
        <v>44</v>
      </c>
      <c r="E9727" s="12" t="s">
        <v>35</v>
      </c>
      <c r="F9727" s="14">
        <v>95000</v>
      </c>
      <c r="G9727" s="14">
        <v>70400</v>
      </c>
      <c r="H9727" s="13" t="s">
        <v>17829</v>
      </c>
      <c r="I9727" s="40" t="s">
        <v>18</v>
      </c>
      <c r="J9727" s="40" t="str">
        <f>HYPERLINK("https://stock.pstatic.net/stock-research/company/39/20250811_company_279181000.pdf","PDF")</f>
        <v>PDF</v>
      </c>
      <c r="K9727" s="12" t="s">
        <v>17830</v>
      </c>
      <c r="L9727" s="20">
        <v>0.34943181818181818</v>
      </c>
    </row>
    <row r="9728" spans="1:12" x14ac:dyDescent="0.45">
      <c r="A9728" s="12" t="s">
        <v>17666</v>
      </c>
      <c r="B9728" s="12" t="s">
        <v>2040</v>
      </c>
      <c r="C9728" s="13" t="s">
        <v>2041</v>
      </c>
      <c r="D9728" s="13" t="s">
        <v>34</v>
      </c>
      <c r="E9728" s="12" t="s">
        <v>35</v>
      </c>
      <c r="F9728" s="14">
        <v>80000</v>
      </c>
      <c r="G9728" s="14">
        <v>62200</v>
      </c>
      <c r="H9728" s="13" t="s">
        <v>17831</v>
      </c>
      <c r="I9728" s="40" t="s">
        <v>18</v>
      </c>
      <c r="J9728" s="40" t="str">
        <f>HYPERLINK("https://stock.pstatic.net/stock-research/company/61/20250811_company_56212000.pdf","PDF")</f>
        <v>PDF</v>
      </c>
      <c r="K9728" s="12" t="s">
        <v>17832</v>
      </c>
      <c r="L9728" s="20">
        <v>0.2861736334405145</v>
      </c>
    </row>
    <row r="9729" spans="1:12" x14ac:dyDescent="0.45">
      <c r="A9729" s="12" t="s">
        <v>17666</v>
      </c>
      <c r="B9729" s="12" t="s">
        <v>370</v>
      </c>
      <c r="C9729" s="13" t="s">
        <v>371</v>
      </c>
      <c r="D9729" s="13" t="s">
        <v>92</v>
      </c>
      <c r="E9729" s="12" t="s">
        <v>35</v>
      </c>
      <c r="F9729" s="14">
        <v>130000</v>
      </c>
      <c r="G9729" s="14">
        <v>93200</v>
      </c>
      <c r="H9729" s="13" t="s">
        <v>17833</v>
      </c>
      <c r="I9729" s="40" t="s">
        <v>18</v>
      </c>
      <c r="J9729" s="40" t="str">
        <f>HYPERLINK("https://stock.pstatic.net/stock-research/company/63/20250811_company_7919000.pdf","PDF")</f>
        <v>PDF</v>
      </c>
      <c r="K9729" s="12" t="s">
        <v>17834</v>
      </c>
      <c r="L9729" s="20">
        <v>0.39484978540772531</v>
      </c>
    </row>
    <row r="9730" spans="1:12" x14ac:dyDescent="0.45">
      <c r="A9730" s="12" t="s">
        <v>17666</v>
      </c>
      <c r="B9730" s="12" t="s">
        <v>42</v>
      </c>
      <c r="C9730" s="13" t="s">
        <v>43</v>
      </c>
      <c r="D9730" s="13" t="s">
        <v>92</v>
      </c>
      <c r="E9730" s="12" t="s">
        <v>35</v>
      </c>
      <c r="F9730" s="14">
        <v>280000</v>
      </c>
      <c r="G9730" s="14">
        <v>229500</v>
      </c>
      <c r="H9730" s="13" t="s">
        <v>17835</v>
      </c>
      <c r="I9730" s="40" t="s">
        <v>18</v>
      </c>
      <c r="J9730" s="40" t="str">
        <f>HYPERLINK("https://stock.pstatic.net/stock-research/company/63/20250811_company_265281000.pdf","PDF")</f>
        <v>PDF</v>
      </c>
      <c r="K9730" s="12" t="s">
        <v>17836</v>
      </c>
      <c r="L9730" s="20">
        <v>0.22004357298474941</v>
      </c>
    </row>
    <row r="9731" spans="1:12" x14ac:dyDescent="0.45">
      <c r="A9731" s="12" t="s">
        <v>17666</v>
      </c>
      <c r="B9731" s="12" t="s">
        <v>5658</v>
      </c>
      <c r="C9731" s="13" t="s">
        <v>5659</v>
      </c>
      <c r="D9731" s="13" t="s">
        <v>34</v>
      </c>
      <c r="E9731" s="12" t="s">
        <v>50</v>
      </c>
      <c r="F9731" s="13"/>
      <c r="G9731" s="14">
        <v>24650</v>
      </c>
      <c r="H9731" s="13" t="s">
        <v>17837</v>
      </c>
      <c r="I9731" s="40" t="s">
        <v>18</v>
      </c>
      <c r="J9731" s="40" t="str">
        <f>HYPERLINK("https://stock.pstatic.net/stock-research/company/61/20250811_company_664793000.pdf","PDF")</f>
        <v>PDF</v>
      </c>
      <c r="K9731" s="12" t="s">
        <v>17838</v>
      </c>
    </row>
    <row r="9732" spans="1:12" x14ac:dyDescent="0.45">
      <c r="A9732" s="12" t="s">
        <v>17666</v>
      </c>
      <c r="B9732" s="12" t="s">
        <v>2205</v>
      </c>
      <c r="C9732" s="13" t="s">
        <v>2206</v>
      </c>
      <c r="D9732" s="13" t="s">
        <v>53</v>
      </c>
      <c r="E9732" s="12" t="s">
        <v>16</v>
      </c>
      <c r="F9732" s="14">
        <v>55000</v>
      </c>
      <c r="G9732" s="14">
        <v>40250</v>
      </c>
      <c r="H9732" s="13" t="s">
        <v>17839</v>
      </c>
      <c r="I9732" s="40" t="s">
        <v>18</v>
      </c>
      <c r="J9732" s="40" t="str">
        <f>HYPERLINK("https://stock.pstatic.net/stock-research/company/40/20250811_company_129625000.pdf","PDF")</f>
        <v>PDF</v>
      </c>
      <c r="K9732" s="12" t="s">
        <v>17840</v>
      </c>
      <c r="L9732" s="20">
        <v>0.36645962732919263</v>
      </c>
    </row>
    <row r="9733" spans="1:12" x14ac:dyDescent="0.45">
      <c r="A9733" s="12" t="s">
        <v>17666</v>
      </c>
      <c r="B9733" s="12" t="s">
        <v>13983</v>
      </c>
      <c r="C9733" s="13" t="s">
        <v>13984</v>
      </c>
      <c r="D9733" s="13" t="s">
        <v>34</v>
      </c>
      <c r="E9733" s="12" t="s">
        <v>50</v>
      </c>
      <c r="F9733" s="13"/>
      <c r="G9733" s="14">
        <v>17000</v>
      </c>
      <c r="H9733" s="13" t="s">
        <v>17841</v>
      </c>
      <c r="I9733" s="40" t="s">
        <v>18</v>
      </c>
      <c r="J9733" s="40" t="str">
        <f>HYPERLINK("https://stock.pstatic.net/stock-research/company/61/20250811_company_307932000.pdf","PDF")</f>
        <v>PDF</v>
      </c>
      <c r="K9733" s="12" t="s">
        <v>17842</v>
      </c>
    </row>
    <row r="9734" spans="1:12" x14ac:dyDescent="0.45">
      <c r="A9734" s="12" t="s">
        <v>17666</v>
      </c>
      <c r="B9734" s="12" t="s">
        <v>370</v>
      </c>
      <c r="C9734" s="13" t="s">
        <v>371</v>
      </c>
      <c r="D9734" s="13" t="s">
        <v>34</v>
      </c>
      <c r="E9734" s="12" t="s">
        <v>35</v>
      </c>
      <c r="F9734" s="14">
        <v>130000</v>
      </c>
      <c r="G9734" s="14">
        <v>93200</v>
      </c>
      <c r="H9734" s="13" t="s">
        <v>17843</v>
      </c>
      <c r="I9734" s="40" t="s">
        <v>18</v>
      </c>
      <c r="J9734" s="40" t="str">
        <f>HYPERLINK("https://stock.pstatic.net/stock-research/company/61/20250811_company_666414000.pdf","PDF")</f>
        <v>PDF</v>
      </c>
      <c r="K9734" s="12" t="s">
        <v>17844</v>
      </c>
      <c r="L9734" s="20">
        <v>0.39484978540772531</v>
      </c>
    </row>
    <row r="9735" spans="1:12" x14ac:dyDescent="0.45">
      <c r="A9735" s="12" t="s">
        <v>17666</v>
      </c>
      <c r="B9735" s="12" t="s">
        <v>17845</v>
      </c>
      <c r="C9735" s="13" t="s">
        <v>17846</v>
      </c>
      <c r="D9735" s="13" t="s">
        <v>34</v>
      </c>
      <c r="E9735" s="12" t="s">
        <v>50</v>
      </c>
      <c r="F9735" s="13"/>
      <c r="G9735" s="14">
        <v>5480</v>
      </c>
      <c r="H9735" s="13" t="s">
        <v>17847</v>
      </c>
      <c r="I9735" s="40" t="s">
        <v>18</v>
      </c>
      <c r="J9735" s="40" t="str">
        <f>HYPERLINK("https://stock.pstatic.net/stock-research/company/61/20250811_company_225674000.pdf","PDF")</f>
        <v>PDF</v>
      </c>
      <c r="K9735" s="12" t="s">
        <v>17848</v>
      </c>
    </row>
    <row r="9736" spans="1:12" x14ac:dyDescent="0.45">
      <c r="A9736" s="12" t="s">
        <v>17666</v>
      </c>
      <c r="B9736" s="12" t="s">
        <v>1734</v>
      </c>
      <c r="C9736" s="13" t="s">
        <v>1735</v>
      </c>
      <c r="D9736" s="13" t="s">
        <v>92</v>
      </c>
      <c r="E9736" s="12" t="s">
        <v>35</v>
      </c>
      <c r="F9736" s="14">
        <v>59000</v>
      </c>
      <c r="G9736" s="14">
        <v>41300</v>
      </c>
      <c r="H9736" s="13" t="s">
        <v>17849</v>
      </c>
      <c r="I9736" s="40" t="s">
        <v>18</v>
      </c>
      <c r="J9736" s="40" t="str">
        <f>HYPERLINK("https://stock.pstatic.net/stock-research/company/63/20250811_company_148361000.pdf","PDF")</f>
        <v>PDF</v>
      </c>
      <c r="K9736" s="12" t="s">
        <v>17850</v>
      </c>
      <c r="L9736" s="20">
        <v>0.42857142857142849</v>
      </c>
    </row>
    <row r="9737" spans="1:12" x14ac:dyDescent="0.45">
      <c r="A9737" s="12" t="s">
        <v>17666</v>
      </c>
      <c r="B9737" s="12" t="s">
        <v>2040</v>
      </c>
      <c r="C9737" s="13" t="s">
        <v>2041</v>
      </c>
      <c r="D9737" s="13" t="s">
        <v>92</v>
      </c>
      <c r="E9737" s="12" t="s">
        <v>35</v>
      </c>
      <c r="F9737" s="14">
        <v>115000</v>
      </c>
      <c r="G9737" s="14">
        <v>62200</v>
      </c>
      <c r="H9737" s="13" t="s">
        <v>17851</v>
      </c>
      <c r="I9737" s="40" t="s">
        <v>18</v>
      </c>
      <c r="J9737" s="40" t="str">
        <f>HYPERLINK("https://stock.pstatic.net/stock-research/company/63/20250811_company_296581000.pdf","PDF")</f>
        <v>PDF</v>
      </c>
      <c r="K9737" s="12" t="s">
        <v>17852</v>
      </c>
      <c r="L9737" s="20">
        <v>0.84887459807073951</v>
      </c>
    </row>
    <row r="9738" spans="1:12" x14ac:dyDescent="0.45">
      <c r="A9738" s="12" t="s">
        <v>17666</v>
      </c>
      <c r="B9738" s="12" t="s">
        <v>1270</v>
      </c>
      <c r="C9738" s="13" t="s">
        <v>1271</v>
      </c>
      <c r="D9738" s="13" t="s">
        <v>44</v>
      </c>
      <c r="E9738" s="12" t="s">
        <v>35</v>
      </c>
      <c r="F9738" s="14">
        <v>95000</v>
      </c>
      <c r="G9738" s="14">
        <v>70000</v>
      </c>
      <c r="H9738" s="13" t="s">
        <v>17853</v>
      </c>
      <c r="I9738" s="40" t="s">
        <v>18</v>
      </c>
      <c r="J9738" s="40" t="str">
        <f>HYPERLINK("https://stock.pstatic.net/stock-research/company/39/20250811_company_969423000.pdf","PDF")</f>
        <v>PDF</v>
      </c>
      <c r="K9738" s="12" t="s">
        <v>17854</v>
      </c>
      <c r="L9738" s="20">
        <v>0.35714285714285721</v>
      </c>
    </row>
    <row r="9739" spans="1:12" x14ac:dyDescent="0.45">
      <c r="A9739" s="12" t="s">
        <v>17666</v>
      </c>
      <c r="B9739" s="12" t="s">
        <v>1656</v>
      </c>
      <c r="C9739" s="13" t="s">
        <v>1657</v>
      </c>
      <c r="D9739" s="13" t="s">
        <v>44</v>
      </c>
      <c r="E9739" s="12" t="s">
        <v>50</v>
      </c>
      <c r="F9739" s="13"/>
      <c r="G9739" s="13"/>
      <c r="H9739" s="13" t="s">
        <v>17855</v>
      </c>
      <c r="I9739" s="40" t="s">
        <v>18</v>
      </c>
      <c r="J9739" s="40" t="str">
        <f>HYPERLINK("https://stock.pstatic.net/stock-research/company/39/20250811_company_822316000.pdf","PDF")</f>
        <v>PDF</v>
      </c>
      <c r="K9739" s="12" t="s">
        <v>17856</v>
      </c>
    </row>
    <row r="9740" spans="1:12" x14ac:dyDescent="0.45">
      <c r="A9740" s="12" t="s">
        <v>17666</v>
      </c>
      <c r="B9740" s="12" t="s">
        <v>2278</v>
      </c>
      <c r="C9740" s="13" t="s">
        <v>2279</v>
      </c>
      <c r="D9740" s="13" t="s">
        <v>179</v>
      </c>
      <c r="E9740" s="12" t="s">
        <v>385</v>
      </c>
      <c r="F9740" s="14">
        <v>3000</v>
      </c>
      <c r="G9740" s="14">
        <v>3020</v>
      </c>
      <c r="H9740" s="13" t="s">
        <v>17857</v>
      </c>
      <c r="I9740" s="40" t="s">
        <v>18</v>
      </c>
      <c r="J9740" s="40" t="str">
        <f>HYPERLINK("https://stock.pstatic.net/stock-research/company/64/20250811_company_235334000.pdf","PDF")</f>
        <v>PDF</v>
      </c>
      <c r="K9740" s="12" t="s">
        <v>17858</v>
      </c>
      <c r="L9740" s="20">
        <v>-6.6225165562913907E-3</v>
      </c>
    </row>
    <row r="9741" spans="1:12" x14ac:dyDescent="0.45">
      <c r="A9741" s="12" t="s">
        <v>17666</v>
      </c>
      <c r="B9741" s="12" t="s">
        <v>272</v>
      </c>
      <c r="C9741" s="13" t="s">
        <v>273</v>
      </c>
      <c r="D9741" s="13" t="s">
        <v>44</v>
      </c>
      <c r="E9741" s="12" t="s">
        <v>35</v>
      </c>
      <c r="F9741" s="14">
        <v>810000</v>
      </c>
      <c r="G9741" s="14">
        <v>664000</v>
      </c>
      <c r="H9741" s="13" t="s">
        <v>17859</v>
      </c>
      <c r="I9741" s="40" t="s">
        <v>18</v>
      </c>
      <c r="J9741" s="40" t="str">
        <f>HYPERLINK("https://stock.pstatic.net/stock-research/company/39/20250811_company_783647000.pdf","PDF")</f>
        <v>PDF</v>
      </c>
      <c r="K9741" s="12" t="s">
        <v>17860</v>
      </c>
      <c r="L9741" s="20">
        <v>0.21987951807228909</v>
      </c>
    </row>
    <row r="9742" spans="1:12" x14ac:dyDescent="0.45">
      <c r="A9742" s="12" t="s">
        <v>17666</v>
      </c>
      <c r="B9742" s="12" t="s">
        <v>537</v>
      </c>
      <c r="C9742" s="13" t="s">
        <v>538</v>
      </c>
      <c r="D9742" s="13" t="s">
        <v>179</v>
      </c>
      <c r="E9742" s="12" t="s">
        <v>16</v>
      </c>
      <c r="F9742" s="14">
        <v>17500</v>
      </c>
      <c r="G9742" s="14">
        <v>14590</v>
      </c>
      <c r="H9742" s="13" t="s">
        <v>17861</v>
      </c>
      <c r="I9742" s="40" t="s">
        <v>18</v>
      </c>
      <c r="J9742" s="40" t="str">
        <f>HYPERLINK("https://stock.pstatic.net/stock-research/company/64/20250811_company_441497000.pdf","PDF")</f>
        <v>PDF</v>
      </c>
      <c r="K9742" s="12" t="s">
        <v>17862</v>
      </c>
      <c r="L9742" s="20">
        <v>0.19945167923235091</v>
      </c>
    </row>
    <row r="9743" spans="1:12" x14ac:dyDescent="0.45">
      <c r="A9743" s="12" t="s">
        <v>17666</v>
      </c>
      <c r="B9743" s="12" t="s">
        <v>1184</v>
      </c>
      <c r="C9743" s="13" t="s">
        <v>1185</v>
      </c>
      <c r="D9743" s="13" t="s">
        <v>53</v>
      </c>
      <c r="E9743" s="12" t="s">
        <v>16</v>
      </c>
      <c r="F9743" s="14">
        <v>21000</v>
      </c>
      <c r="G9743" s="14">
        <v>17200</v>
      </c>
      <c r="H9743" s="13" t="s">
        <v>17863</v>
      </c>
      <c r="I9743" s="40" t="s">
        <v>18</v>
      </c>
      <c r="J9743" s="40" t="str">
        <f>HYPERLINK("https://stock.pstatic.net/stock-research/company/40/20250811_company_411324000.pdf","PDF")</f>
        <v>PDF</v>
      </c>
      <c r="K9743" s="12" t="s">
        <v>17864</v>
      </c>
      <c r="L9743" s="20">
        <v>0.22093023255813951</v>
      </c>
    </row>
    <row r="9744" spans="1:12" x14ac:dyDescent="0.45">
      <c r="A9744" s="12" t="s">
        <v>17666</v>
      </c>
      <c r="B9744" s="12" t="s">
        <v>1042</v>
      </c>
      <c r="C9744" s="13" t="s">
        <v>1043</v>
      </c>
      <c r="D9744" s="13" t="s">
        <v>53</v>
      </c>
      <c r="E9744" s="12" t="s">
        <v>16</v>
      </c>
      <c r="F9744" s="14">
        <v>48000</v>
      </c>
      <c r="G9744" s="14">
        <v>30000</v>
      </c>
      <c r="H9744" s="13" t="s">
        <v>17865</v>
      </c>
      <c r="I9744" s="40" t="s">
        <v>18</v>
      </c>
      <c r="J9744" s="40" t="str">
        <f>HYPERLINK("https://stock.pstatic.net/stock-research/company/40/20250811_company_985639000.pdf","PDF")</f>
        <v>PDF</v>
      </c>
      <c r="K9744" s="12" t="s">
        <v>17866</v>
      </c>
      <c r="L9744" s="20">
        <v>0.6</v>
      </c>
    </row>
    <row r="9745" spans="1:12" x14ac:dyDescent="0.45">
      <c r="A9745" s="12" t="s">
        <v>17666</v>
      </c>
      <c r="B9745" s="12" t="s">
        <v>537</v>
      </c>
      <c r="C9745" s="13" t="s">
        <v>538</v>
      </c>
      <c r="D9745" s="13" t="s">
        <v>53</v>
      </c>
      <c r="E9745" s="12" t="s">
        <v>16</v>
      </c>
      <c r="F9745" s="14">
        <v>18000</v>
      </c>
      <c r="G9745" s="14">
        <v>14590</v>
      </c>
      <c r="H9745" s="13" t="s">
        <v>17867</v>
      </c>
      <c r="I9745" s="40" t="s">
        <v>18</v>
      </c>
      <c r="J9745" s="40" t="str">
        <f>HYPERLINK("https://stock.pstatic.net/stock-research/company/40/20250811_company_898993000.pdf","PDF")</f>
        <v>PDF</v>
      </c>
      <c r="K9745" s="12" t="s">
        <v>17868</v>
      </c>
      <c r="L9745" s="20">
        <v>0.23372172721041809</v>
      </c>
    </row>
    <row r="9746" spans="1:12" x14ac:dyDescent="0.45">
      <c r="A9746" s="12" t="s">
        <v>17869</v>
      </c>
      <c r="B9746" s="12" t="s">
        <v>756</v>
      </c>
      <c r="C9746" s="13" t="s">
        <v>757</v>
      </c>
      <c r="D9746" s="13" t="s">
        <v>57</v>
      </c>
      <c r="E9746" s="12" t="s">
        <v>35</v>
      </c>
      <c r="F9746" s="14">
        <v>110000</v>
      </c>
      <c r="G9746" s="14">
        <v>102100</v>
      </c>
      <c r="H9746" s="13" t="s">
        <v>17870</v>
      </c>
      <c r="I9746" s="40" t="s">
        <v>18</v>
      </c>
      <c r="J9746" s="40" t="str">
        <f>HYPERLINK("https://stock.pstatic.net/stock-research/company/16/20250808_company_948747000.pdf","PDF")</f>
        <v>PDF</v>
      </c>
      <c r="K9746" s="12" t="s">
        <v>17871</v>
      </c>
      <c r="L9746" s="20">
        <v>7.737512242899118E-2</v>
      </c>
    </row>
    <row r="9747" spans="1:12" x14ac:dyDescent="0.45">
      <c r="A9747" s="12" t="s">
        <v>17869</v>
      </c>
      <c r="B9747" s="12" t="s">
        <v>42</v>
      </c>
      <c r="C9747" s="13" t="s">
        <v>43</v>
      </c>
      <c r="D9747" s="13" t="s">
        <v>15</v>
      </c>
      <c r="E9747" s="12" t="s">
        <v>16</v>
      </c>
      <c r="F9747" s="14">
        <v>310000</v>
      </c>
      <c r="G9747" s="14">
        <v>235500</v>
      </c>
      <c r="H9747" s="13" t="s">
        <v>17872</v>
      </c>
      <c r="I9747" s="40" t="s">
        <v>18</v>
      </c>
      <c r="J9747" s="40" t="str">
        <f>HYPERLINK("https://stock.pstatic.net/stock-research/company/29/20250808_company_186084000.pdf","PDF")</f>
        <v>PDF</v>
      </c>
      <c r="K9747" s="12" t="s">
        <v>17873</v>
      </c>
      <c r="L9747" s="20">
        <v>0.31634819532908698</v>
      </c>
    </row>
    <row r="9748" spans="1:12" x14ac:dyDescent="0.45">
      <c r="A9748" s="12" t="s">
        <v>17869</v>
      </c>
      <c r="B9748" s="12" t="s">
        <v>1773</v>
      </c>
      <c r="C9748" s="13" t="s">
        <v>1774</v>
      </c>
      <c r="D9748" s="13" t="s">
        <v>15</v>
      </c>
      <c r="E9748" s="12" t="s">
        <v>16</v>
      </c>
      <c r="F9748" s="14">
        <v>120000</v>
      </c>
      <c r="G9748" s="14">
        <v>88000</v>
      </c>
      <c r="H9748" s="13" t="s">
        <v>17874</v>
      </c>
      <c r="I9748" s="40" t="s">
        <v>18</v>
      </c>
      <c r="J9748" s="40" t="str">
        <f>HYPERLINK("https://stock.pstatic.net/stock-research/company/29/20250808_company_91635000.pdf","PDF")</f>
        <v>PDF</v>
      </c>
      <c r="K9748" s="12" t="s">
        <v>17875</v>
      </c>
      <c r="L9748" s="20">
        <v>0.36363636363636359</v>
      </c>
    </row>
    <row r="9749" spans="1:12" x14ac:dyDescent="0.45">
      <c r="A9749" s="12" t="s">
        <v>17869</v>
      </c>
      <c r="B9749" s="12" t="s">
        <v>1666</v>
      </c>
      <c r="C9749" s="13" t="s">
        <v>1667</v>
      </c>
      <c r="D9749" s="13" t="s">
        <v>57</v>
      </c>
      <c r="E9749" s="12" t="s">
        <v>159</v>
      </c>
      <c r="F9749" s="14">
        <v>71000</v>
      </c>
      <c r="G9749" s="14">
        <v>61900</v>
      </c>
      <c r="H9749" s="13" t="s">
        <v>17876</v>
      </c>
      <c r="I9749" s="40" t="s">
        <v>18</v>
      </c>
      <c r="J9749" s="40" t="str">
        <f>HYPERLINK("https://stock.pstatic.net/stock-research/company/16/20250808_company_579006000.pdf","PDF")</f>
        <v>PDF</v>
      </c>
      <c r="K9749" s="12" t="s">
        <v>17877</v>
      </c>
      <c r="L9749" s="20">
        <v>0.1470113085621971</v>
      </c>
    </row>
    <row r="9750" spans="1:12" x14ac:dyDescent="0.45">
      <c r="A9750" s="12" t="s">
        <v>17869</v>
      </c>
      <c r="B9750" s="12" t="s">
        <v>2425</v>
      </c>
      <c r="C9750" s="13" t="s">
        <v>2426</v>
      </c>
      <c r="D9750" s="13" t="s">
        <v>57</v>
      </c>
      <c r="E9750" s="12" t="s">
        <v>35</v>
      </c>
      <c r="F9750" s="14">
        <v>180000</v>
      </c>
      <c r="G9750" s="14">
        <v>138500</v>
      </c>
      <c r="H9750" s="13" t="s">
        <v>17878</v>
      </c>
      <c r="I9750" s="40" t="s">
        <v>18</v>
      </c>
      <c r="J9750" s="40" t="str">
        <f>HYPERLINK("https://stock.pstatic.net/stock-research/company/16/20250808_company_725555000.pdf","PDF")</f>
        <v>PDF</v>
      </c>
      <c r="K9750" s="12" t="s">
        <v>17879</v>
      </c>
      <c r="L9750" s="20">
        <v>0.29963898916967507</v>
      </c>
    </row>
    <row r="9751" spans="1:12" x14ac:dyDescent="0.45">
      <c r="A9751" s="12" t="s">
        <v>17869</v>
      </c>
      <c r="B9751" s="12" t="s">
        <v>2777</v>
      </c>
      <c r="C9751" s="13" t="s">
        <v>2778</v>
      </c>
      <c r="D9751" s="13" t="s">
        <v>57</v>
      </c>
      <c r="E9751" s="12" t="s">
        <v>35</v>
      </c>
      <c r="F9751" s="14">
        <v>200000</v>
      </c>
      <c r="G9751" s="14">
        <v>150500</v>
      </c>
      <c r="H9751" s="13" t="s">
        <v>17880</v>
      </c>
      <c r="I9751" s="40" t="s">
        <v>18</v>
      </c>
      <c r="J9751" s="40" t="str">
        <f>HYPERLINK("https://stock.pstatic.net/stock-research/company/16/20250808_company_860271000.pdf","PDF")</f>
        <v>PDF</v>
      </c>
      <c r="K9751" s="12" t="s">
        <v>17881</v>
      </c>
      <c r="L9751" s="20">
        <v>0.32890365448504982</v>
      </c>
    </row>
    <row r="9752" spans="1:12" x14ac:dyDescent="0.45">
      <c r="A9752" s="12" t="s">
        <v>17869</v>
      </c>
      <c r="B9752" s="12" t="s">
        <v>426</v>
      </c>
      <c r="C9752" s="13" t="s">
        <v>427</v>
      </c>
      <c r="D9752" s="13" t="s">
        <v>57</v>
      </c>
      <c r="E9752" s="12" t="s">
        <v>35</v>
      </c>
      <c r="F9752" s="14">
        <v>26000</v>
      </c>
      <c r="G9752" s="14">
        <v>19500</v>
      </c>
      <c r="H9752" s="13" t="s">
        <v>17882</v>
      </c>
      <c r="I9752" s="40" t="s">
        <v>18</v>
      </c>
      <c r="J9752" s="40" t="str">
        <f>HYPERLINK("https://stock.pstatic.net/stock-research/company/16/20250808_company_128528000.pdf","PDF")</f>
        <v>PDF</v>
      </c>
      <c r="K9752" s="12" t="s">
        <v>17883</v>
      </c>
      <c r="L9752" s="20">
        <v>0.33333333333333331</v>
      </c>
    </row>
    <row r="9753" spans="1:12" x14ac:dyDescent="0.45">
      <c r="A9753" s="12" t="s">
        <v>17869</v>
      </c>
      <c r="B9753" s="12" t="s">
        <v>2225</v>
      </c>
      <c r="C9753" s="13" t="s">
        <v>5282</v>
      </c>
      <c r="D9753" s="13" t="s">
        <v>57</v>
      </c>
      <c r="E9753" s="12" t="s">
        <v>35</v>
      </c>
      <c r="F9753" s="14">
        <v>740000</v>
      </c>
      <c r="G9753" s="14">
        <v>603000</v>
      </c>
      <c r="H9753" s="13" t="s">
        <v>17884</v>
      </c>
      <c r="I9753" s="40" t="s">
        <v>18</v>
      </c>
      <c r="J9753" s="40" t="str">
        <f>HYPERLINK("https://stock.pstatic.net/stock-research/company/16/20250808_company_314242000.pdf","PDF")</f>
        <v>PDF</v>
      </c>
      <c r="K9753" s="12" t="s">
        <v>17885</v>
      </c>
      <c r="L9753" s="20">
        <v>0.2271973466003317</v>
      </c>
    </row>
    <row r="9754" spans="1:12" x14ac:dyDescent="0.45">
      <c r="A9754" s="12" t="s">
        <v>17869</v>
      </c>
      <c r="B9754" s="12" t="s">
        <v>1097</v>
      </c>
      <c r="C9754" s="13" t="s">
        <v>1098</v>
      </c>
      <c r="D9754" s="13" t="s">
        <v>57</v>
      </c>
      <c r="E9754" s="12" t="s">
        <v>35</v>
      </c>
      <c r="F9754" s="14">
        <v>150000</v>
      </c>
      <c r="G9754" s="14">
        <v>122400</v>
      </c>
      <c r="H9754" s="13" t="s">
        <v>17886</v>
      </c>
      <c r="I9754" s="40" t="s">
        <v>18</v>
      </c>
      <c r="J9754" s="40" t="str">
        <f>HYPERLINK("https://stock.pstatic.net/stock-research/company/16/20250808_company_88470000.pdf","PDF")</f>
        <v>PDF</v>
      </c>
      <c r="K9754" s="12" t="s">
        <v>17887</v>
      </c>
      <c r="L9754" s="20">
        <v>0.2254901960784314</v>
      </c>
    </row>
    <row r="9755" spans="1:12" x14ac:dyDescent="0.45">
      <c r="A9755" s="12" t="s">
        <v>17869</v>
      </c>
      <c r="B9755" s="12" t="s">
        <v>1666</v>
      </c>
      <c r="C9755" s="13" t="s">
        <v>1667</v>
      </c>
      <c r="D9755" s="13" t="s">
        <v>276</v>
      </c>
      <c r="E9755" s="12" t="s">
        <v>16</v>
      </c>
      <c r="F9755" s="14">
        <v>86000</v>
      </c>
      <c r="G9755" s="14">
        <v>61900</v>
      </c>
      <c r="H9755" s="13" t="s">
        <v>17888</v>
      </c>
      <c r="I9755" s="40" t="s">
        <v>18</v>
      </c>
      <c r="J9755" s="40" t="str">
        <f>HYPERLINK("https://stock.pstatic.net/stock-research/company/66/20250808_company_841622000.pdf","PDF")</f>
        <v>PDF</v>
      </c>
      <c r="K9755" s="12" t="s">
        <v>17889</v>
      </c>
      <c r="L9755" s="20">
        <v>0.38933764135702748</v>
      </c>
    </row>
    <row r="9756" spans="1:12" x14ac:dyDescent="0.45">
      <c r="A9756" s="12" t="s">
        <v>17869</v>
      </c>
      <c r="B9756" s="12" t="s">
        <v>916</v>
      </c>
      <c r="C9756" s="13" t="s">
        <v>917</v>
      </c>
      <c r="D9756" s="13" t="s">
        <v>276</v>
      </c>
      <c r="E9756" s="12" t="s">
        <v>16</v>
      </c>
      <c r="F9756" s="14">
        <v>80000</v>
      </c>
      <c r="G9756" s="14">
        <v>63600</v>
      </c>
      <c r="H9756" s="13" t="s">
        <v>17890</v>
      </c>
      <c r="I9756" s="40" t="s">
        <v>18</v>
      </c>
      <c r="J9756" s="40" t="str">
        <f>HYPERLINK("https://stock.pstatic.net/stock-research/company/66/20250808_company_431780000.pdf","PDF")</f>
        <v>PDF</v>
      </c>
      <c r="K9756" s="12" t="s">
        <v>17891</v>
      </c>
      <c r="L9756" s="20">
        <v>0.25786163522012578</v>
      </c>
    </row>
    <row r="9757" spans="1:12" x14ac:dyDescent="0.45">
      <c r="A9757" s="12" t="s">
        <v>17869</v>
      </c>
      <c r="B9757" s="12" t="s">
        <v>2425</v>
      </c>
      <c r="C9757" s="13" t="s">
        <v>2426</v>
      </c>
      <c r="D9757" s="13" t="s">
        <v>276</v>
      </c>
      <c r="E9757" s="12" t="s">
        <v>16</v>
      </c>
      <c r="F9757" s="14">
        <v>160000</v>
      </c>
      <c r="G9757" s="14">
        <v>138500</v>
      </c>
      <c r="H9757" s="13" t="s">
        <v>17892</v>
      </c>
      <c r="I9757" s="40" t="s">
        <v>18</v>
      </c>
      <c r="J9757" s="40" t="str">
        <f>HYPERLINK("https://stock.pstatic.net/stock-research/company/66/20250808_company_925481000.pdf","PDF")</f>
        <v>PDF</v>
      </c>
      <c r="K9757" s="12" t="s">
        <v>17893</v>
      </c>
      <c r="L9757" s="20">
        <v>0.1552346570397112</v>
      </c>
    </row>
    <row r="9758" spans="1:12" x14ac:dyDescent="0.45">
      <c r="A9758" s="12" t="s">
        <v>17869</v>
      </c>
      <c r="B9758" s="12" t="s">
        <v>6914</v>
      </c>
      <c r="C9758" s="13" t="s">
        <v>6915</v>
      </c>
      <c r="D9758" s="13" t="s">
        <v>60</v>
      </c>
      <c r="E9758" s="12" t="s">
        <v>50</v>
      </c>
      <c r="F9758" s="13"/>
      <c r="G9758" s="14">
        <v>73100</v>
      </c>
      <c r="H9758" s="13" t="s">
        <v>17894</v>
      </c>
      <c r="I9758" s="40" t="s">
        <v>18</v>
      </c>
      <c r="J9758" s="40" t="str">
        <f>HYPERLINK("https://stock.pstatic.net/stock-research/company/34/20250808_company_305664000.pdf","PDF")</f>
        <v>PDF</v>
      </c>
      <c r="K9758" s="12" t="s">
        <v>17895</v>
      </c>
    </row>
    <row r="9759" spans="1:12" x14ac:dyDescent="0.45">
      <c r="A9759" s="12" t="s">
        <v>17869</v>
      </c>
      <c r="B9759" s="12" t="s">
        <v>916</v>
      </c>
      <c r="C9759" s="13" t="s">
        <v>917</v>
      </c>
      <c r="D9759" s="13" t="s">
        <v>60</v>
      </c>
      <c r="E9759" s="12" t="s">
        <v>35</v>
      </c>
      <c r="F9759" s="14">
        <v>76000</v>
      </c>
      <c r="G9759" s="14">
        <v>63600</v>
      </c>
      <c r="H9759" s="13" t="s">
        <v>17896</v>
      </c>
      <c r="I9759" s="40" t="s">
        <v>18</v>
      </c>
      <c r="J9759" s="40" t="str">
        <f>HYPERLINK("https://stock.pstatic.net/stock-research/company/34/20250808_company_440283000.pdf","PDF")</f>
        <v>PDF</v>
      </c>
      <c r="K9759" s="12" t="s">
        <v>17897</v>
      </c>
      <c r="L9759" s="20">
        <v>0.19496855345911951</v>
      </c>
    </row>
    <row r="9760" spans="1:12" x14ac:dyDescent="0.45">
      <c r="A9760" s="12" t="s">
        <v>17869</v>
      </c>
      <c r="B9760" s="12" t="s">
        <v>2425</v>
      </c>
      <c r="C9760" s="13" t="s">
        <v>2426</v>
      </c>
      <c r="D9760" s="13" t="s">
        <v>60</v>
      </c>
      <c r="E9760" s="12" t="s">
        <v>35</v>
      </c>
      <c r="F9760" s="14">
        <v>160000</v>
      </c>
      <c r="G9760" s="14">
        <v>138500</v>
      </c>
      <c r="H9760" s="13" t="s">
        <v>17898</v>
      </c>
      <c r="I9760" s="40" t="s">
        <v>18</v>
      </c>
      <c r="J9760" s="40" t="str">
        <f>HYPERLINK("https://stock.pstatic.net/stock-research/company/34/20250808_company_748495000.pdf","PDF")</f>
        <v>PDF</v>
      </c>
      <c r="K9760" s="12" t="s">
        <v>17899</v>
      </c>
      <c r="L9760" s="20">
        <v>0.1552346570397112</v>
      </c>
    </row>
    <row r="9761" spans="1:12" x14ac:dyDescent="0.45">
      <c r="A9761" s="12" t="s">
        <v>17869</v>
      </c>
      <c r="B9761" s="12" t="s">
        <v>2225</v>
      </c>
      <c r="C9761" s="13" t="s">
        <v>5282</v>
      </c>
      <c r="D9761" s="13" t="s">
        <v>60</v>
      </c>
      <c r="E9761" s="12" t="s">
        <v>35</v>
      </c>
      <c r="F9761" s="14">
        <v>700000</v>
      </c>
      <c r="G9761" s="14">
        <v>603000</v>
      </c>
      <c r="H9761" s="13" t="s">
        <v>17900</v>
      </c>
      <c r="I9761" s="40" t="s">
        <v>18</v>
      </c>
      <c r="J9761" s="40" t="str">
        <f>HYPERLINK("https://stock.pstatic.net/stock-research/company/34/20250808_company_638526000.pdf","PDF")</f>
        <v>PDF</v>
      </c>
      <c r="K9761" s="12" t="s">
        <v>17901</v>
      </c>
      <c r="L9761" s="20">
        <v>0.1608623548922056</v>
      </c>
    </row>
    <row r="9762" spans="1:12" x14ac:dyDescent="0.45">
      <c r="A9762" s="12" t="s">
        <v>17869</v>
      </c>
      <c r="B9762" s="12" t="s">
        <v>1666</v>
      </c>
      <c r="C9762" s="13" t="s">
        <v>1667</v>
      </c>
      <c r="D9762" s="13" t="s">
        <v>60</v>
      </c>
      <c r="E9762" s="12" t="s">
        <v>35</v>
      </c>
      <c r="F9762" s="14">
        <v>78000</v>
      </c>
      <c r="G9762" s="14">
        <v>61900</v>
      </c>
      <c r="H9762" s="13" t="s">
        <v>17902</v>
      </c>
      <c r="I9762" s="40" t="s">
        <v>18</v>
      </c>
      <c r="J9762" s="40" t="str">
        <f>HYPERLINK("https://stock.pstatic.net/stock-research/company/34/20250808_company_308216000.pdf","PDF")</f>
        <v>PDF</v>
      </c>
      <c r="K9762" s="12" t="s">
        <v>17903</v>
      </c>
      <c r="L9762" s="20">
        <v>0.26009693053311789</v>
      </c>
    </row>
    <row r="9763" spans="1:12" x14ac:dyDescent="0.45">
      <c r="A9763" s="12" t="s">
        <v>17869</v>
      </c>
      <c r="B9763" s="12" t="s">
        <v>17904</v>
      </c>
      <c r="C9763" s="13" t="s">
        <v>17905</v>
      </c>
      <c r="D9763" s="13" t="s">
        <v>60</v>
      </c>
      <c r="E9763" s="12" t="s">
        <v>35</v>
      </c>
      <c r="F9763" s="14">
        <v>22000</v>
      </c>
      <c r="G9763" s="14">
        <v>18900</v>
      </c>
      <c r="H9763" s="13" t="s">
        <v>17906</v>
      </c>
      <c r="I9763" s="40" t="s">
        <v>18</v>
      </c>
      <c r="J9763" s="40" t="str">
        <f>HYPERLINK("https://stock.pstatic.net/stock-research/company/34/20250808_company_431425000.pdf","PDF")</f>
        <v>PDF</v>
      </c>
      <c r="K9763" s="12" t="s">
        <v>17907</v>
      </c>
      <c r="L9763" s="20">
        <v>0.16402116402116401</v>
      </c>
    </row>
    <row r="9764" spans="1:12" x14ac:dyDescent="0.45">
      <c r="A9764" s="12" t="s">
        <v>17869</v>
      </c>
      <c r="B9764" s="12" t="s">
        <v>1023</v>
      </c>
      <c r="C9764" s="13" t="s">
        <v>15</v>
      </c>
      <c r="D9764" s="13" t="s">
        <v>65</v>
      </c>
      <c r="E9764" s="12" t="s">
        <v>35</v>
      </c>
      <c r="F9764" s="14">
        <v>26000</v>
      </c>
      <c r="G9764" s="14">
        <v>18900</v>
      </c>
      <c r="H9764" s="13" t="s">
        <v>17908</v>
      </c>
      <c r="I9764" s="40" t="s">
        <v>18</v>
      </c>
      <c r="J9764" s="40" t="str">
        <f>HYPERLINK("https://stock.pstatic.net/stock-research/company/57/20250808_company_867727000.pdf","PDF")</f>
        <v>PDF</v>
      </c>
      <c r="K9764" s="12" t="s">
        <v>17909</v>
      </c>
      <c r="L9764" s="20">
        <v>0.37566137566137559</v>
      </c>
    </row>
    <row r="9765" spans="1:12" x14ac:dyDescent="0.45">
      <c r="A9765" s="12" t="s">
        <v>17869</v>
      </c>
      <c r="B9765" s="12" t="s">
        <v>2887</v>
      </c>
      <c r="C9765" s="13" t="s">
        <v>2888</v>
      </c>
      <c r="D9765" s="13" t="s">
        <v>65</v>
      </c>
      <c r="E9765" s="12" t="s">
        <v>1738</v>
      </c>
      <c r="F9765" s="14">
        <v>270000</v>
      </c>
      <c r="G9765" s="14">
        <v>292500</v>
      </c>
      <c r="H9765" s="13" t="s">
        <v>17910</v>
      </c>
      <c r="I9765" s="40" t="s">
        <v>18</v>
      </c>
      <c r="J9765" s="40" t="str">
        <f>HYPERLINK("https://stock.pstatic.net/stock-research/company/57/20250808_company_461762000.pdf","PDF")</f>
        <v>PDF</v>
      </c>
      <c r="K9765" s="12" t="s">
        <v>17911</v>
      </c>
      <c r="L9765" s="20">
        <v>-7.6923076923076927E-2</v>
      </c>
    </row>
    <row r="9766" spans="1:12" x14ac:dyDescent="0.45">
      <c r="A9766" s="12" t="s">
        <v>17869</v>
      </c>
      <c r="B9766" s="12" t="s">
        <v>1023</v>
      </c>
      <c r="C9766" s="13" t="s">
        <v>15</v>
      </c>
      <c r="D9766" s="13" t="s">
        <v>65</v>
      </c>
      <c r="E9766" s="12" t="s">
        <v>35</v>
      </c>
      <c r="F9766" s="14">
        <v>26000</v>
      </c>
      <c r="G9766" s="14">
        <v>18900</v>
      </c>
      <c r="H9766" s="13" t="s">
        <v>17912</v>
      </c>
      <c r="I9766" s="40" t="s">
        <v>18</v>
      </c>
      <c r="J9766" s="40" t="str">
        <f>HYPERLINK("https://stock.pstatic.net/stock-research/company/57/20250808_company_101787000.pdf","PDF")</f>
        <v>PDF</v>
      </c>
      <c r="K9766" s="12" t="s">
        <v>17913</v>
      </c>
      <c r="L9766" s="20">
        <v>0.37566137566137559</v>
      </c>
    </row>
    <row r="9767" spans="1:12" x14ac:dyDescent="0.45">
      <c r="A9767" s="12" t="s">
        <v>17869</v>
      </c>
      <c r="B9767" s="12" t="s">
        <v>916</v>
      </c>
      <c r="C9767" s="13" t="s">
        <v>917</v>
      </c>
      <c r="D9767" s="13" t="s">
        <v>65</v>
      </c>
      <c r="E9767" s="12" t="s">
        <v>35</v>
      </c>
      <c r="F9767" s="14">
        <v>70000</v>
      </c>
      <c r="G9767" s="14">
        <v>63600</v>
      </c>
      <c r="H9767" s="13" t="s">
        <v>17914</v>
      </c>
      <c r="I9767" s="40" t="s">
        <v>18</v>
      </c>
      <c r="J9767" s="40" t="str">
        <f>HYPERLINK("https://stock.pstatic.net/stock-research/company/57/20250808_company_431514000.pdf","PDF")</f>
        <v>PDF</v>
      </c>
      <c r="K9767" s="12" t="s">
        <v>17915</v>
      </c>
      <c r="L9767" s="20">
        <v>0.1006289308176101</v>
      </c>
    </row>
    <row r="9768" spans="1:12" x14ac:dyDescent="0.45">
      <c r="A9768" s="12" t="s">
        <v>17869</v>
      </c>
      <c r="B9768" s="12" t="s">
        <v>1666</v>
      </c>
      <c r="C9768" s="13" t="s">
        <v>1667</v>
      </c>
      <c r="D9768" s="13" t="s">
        <v>65</v>
      </c>
      <c r="E9768" s="12" t="s">
        <v>35</v>
      </c>
      <c r="F9768" s="14">
        <v>71000</v>
      </c>
      <c r="G9768" s="14">
        <v>61900</v>
      </c>
      <c r="H9768" s="13" t="s">
        <v>17916</v>
      </c>
      <c r="I9768" s="40" t="s">
        <v>18</v>
      </c>
      <c r="J9768" s="40" t="str">
        <f>HYPERLINK("https://stock.pstatic.net/stock-research/company/57/20250808_company_662357000.pdf","PDF")</f>
        <v>PDF</v>
      </c>
      <c r="K9768" s="12" t="s">
        <v>17917</v>
      </c>
      <c r="L9768" s="20">
        <v>0.1470113085621971</v>
      </c>
    </row>
    <row r="9769" spans="1:12" x14ac:dyDescent="0.45">
      <c r="A9769" s="12" t="s">
        <v>17869</v>
      </c>
      <c r="B9769" s="12" t="s">
        <v>1097</v>
      </c>
      <c r="C9769" s="13" t="s">
        <v>1098</v>
      </c>
      <c r="D9769" s="13" t="s">
        <v>65</v>
      </c>
      <c r="E9769" s="12" t="s">
        <v>35</v>
      </c>
      <c r="F9769" s="14">
        <v>150000</v>
      </c>
      <c r="G9769" s="14">
        <v>122400</v>
      </c>
      <c r="H9769" s="13" t="s">
        <v>17918</v>
      </c>
      <c r="I9769" s="40" t="s">
        <v>18</v>
      </c>
      <c r="J9769" s="40" t="str">
        <f>HYPERLINK("https://stock.pstatic.net/stock-research/company/57/20250808_company_673832000.pdf","PDF")</f>
        <v>PDF</v>
      </c>
      <c r="K9769" s="12" t="s">
        <v>17919</v>
      </c>
      <c r="L9769" s="20">
        <v>0.2254901960784314</v>
      </c>
    </row>
    <row r="9770" spans="1:12" x14ac:dyDescent="0.45">
      <c r="A9770" s="12" t="s">
        <v>17869</v>
      </c>
      <c r="B9770" s="12" t="s">
        <v>426</v>
      </c>
      <c r="C9770" s="13" t="s">
        <v>427</v>
      </c>
      <c r="D9770" s="13" t="s">
        <v>65</v>
      </c>
      <c r="E9770" s="12" t="s">
        <v>35</v>
      </c>
      <c r="F9770" s="14">
        <v>25000</v>
      </c>
      <c r="G9770" s="14">
        <v>19500</v>
      </c>
      <c r="H9770" s="13" t="s">
        <v>17920</v>
      </c>
      <c r="I9770" s="40" t="s">
        <v>18</v>
      </c>
      <c r="J9770" s="40" t="str">
        <f>HYPERLINK("https://stock.pstatic.net/stock-research/company/57/20250808_company_889497000.pdf","PDF")</f>
        <v>PDF</v>
      </c>
      <c r="K9770" s="12" t="s">
        <v>17921</v>
      </c>
      <c r="L9770" s="20">
        <v>0.28205128205128199</v>
      </c>
    </row>
    <row r="9771" spans="1:12" x14ac:dyDescent="0.45">
      <c r="A9771" s="12" t="s">
        <v>17869</v>
      </c>
      <c r="B9771" s="12" t="s">
        <v>2262</v>
      </c>
      <c r="C9771" s="13" t="s">
        <v>2263</v>
      </c>
      <c r="D9771" s="13" t="s">
        <v>65</v>
      </c>
      <c r="E9771" s="12" t="s">
        <v>35</v>
      </c>
      <c r="F9771" s="14">
        <v>16500</v>
      </c>
      <c r="G9771" s="14">
        <v>10880</v>
      </c>
      <c r="H9771" s="13" t="s">
        <v>17922</v>
      </c>
      <c r="I9771" s="40" t="s">
        <v>18</v>
      </c>
      <c r="J9771" s="40" t="str">
        <f>HYPERLINK("https://stock.pstatic.net/stock-research/company/57/20250808_company_653874000.pdf","PDF")</f>
        <v>PDF</v>
      </c>
      <c r="K9771" s="12" t="s">
        <v>17923</v>
      </c>
      <c r="L9771" s="20">
        <v>0.51654411764705888</v>
      </c>
    </row>
    <row r="9772" spans="1:12" x14ac:dyDescent="0.45">
      <c r="A9772" s="12" t="s">
        <v>17869</v>
      </c>
      <c r="B9772" s="12" t="s">
        <v>1660</v>
      </c>
      <c r="C9772" s="13" t="s">
        <v>1661</v>
      </c>
      <c r="D9772" s="13" t="s">
        <v>65</v>
      </c>
      <c r="E9772" s="12" t="s">
        <v>35</v>
      </c>
      <c r="F9772" s="14">
        <v>59000</v>
      </c>
      <c r="G9772" s="14">
        <v>46650</v>
      </c>
      <c r="H9772" s="13" t="s">
        <v>17924</v>
      </c>
      <c r="I9772" s="40" t="s">
        <v>18</v>
      </c>
      <c r="J9772" s="40" t="str">
        <f>HYPERLINK("https://stock.pstatic.net/stock-research/company/57/20250808_company_205148000.pdf","PDF")</f>
        <v>PDF</v>
      </c>
      <c r="K9772" s="12" t="s">
        <v>17925</v>
      </c>
      <c r="L9772" s="20">
        <v>0.26473740621650588</v>
      </c>
    </row>
    <row r="9773" spans="1:12" x14ac:dyDescent="0.45">
      <c r="A9773" s="12" t="s">
        <v>17869</v>
      </c>
      <c r="B9773" s="12" t="s">
        <v>880</v>
      </c>
      <c r="C9773" s="13" t="s">
        <v>881</v>
      </c>
      <c r="D9773" s="13" t="s">
        <v>65</v>
      </c>
      <c r="E9773" s="12" t="s">
        <v>35</v>
      </c>
      <c r="F9773" s="14">
        <v>21000</v>
      </c>
      <c r="G9773" s="14">
        <v>16570</v>
      </c>
      <c r="H9773" s="13" t="s">
        <v>17926</v>
      </c>
      <c r="I9773" s="40" t="s">
        <v>18</v>
      </c>
      <c r="J9773" s="40" t="str">
        <f>HYPERLINK("https://stock.pstatic.net/stock-research/company/57/20250808_company_943491000.pdf","PDF")</f>
        <v>PDF</v>
      </c>
      <c r="K9773" s="12" t="s">
        <v>17927</v>
      </c>
      <c r="L9773" s="20">
        <v>0.26735063367531692</v>
      </c>
    </row>
    <row r="9774" spans="1:12" x14ac:dyDescent="0.45">
      <c r="A9774" s="12" t="s">
        <v>17869</v>
      </c>
      <c r="B9774" s="12" t="s">
        <v>1678</v>
      </c>
      <c r="C9774" s="13" t="s">
        <v>1679</v>
      </c>
      <c r="D9774" s="13" t="s">
        <v>65</v>
      </c>
      <c r="E9774" s="12" t="s">
        <v>35</v>
      </c>
      <c r="F9774" s="14">
        <v>95000</v>
      </c>
      <c r="G9774" s="14">
        <v>69000</v>
      </c>
      <c r="H9774" s="13" t="s">
        <v>17928</v>
      </c>
      <c r="I9774" s="40" t="s">
        <v>18</v>
      </c>
      <c r="J9774" s="40" t="str">
        <f>HYPERLINK("https://stock.pstatic.net/stock-research/company/57/20250808_company_774570000.pdf","PDF")</f>
        <v>PDF</v>
      </c>
      <c r="K9774" s="12" t="s">
        <v>17929</v>
      </c>
      <c r="L9774" s="20">
        <v>0.37681159420289861</v>
      </c>
    </row>
    <row r="9775" spans="1:12" x14ac:dyDescent="0.45">
      <c r="A9775" s="12" t="s">
        <v>17869</v>
      </c>
      <c r="B9775" s="12" t="s">
        <v>1144</v>
      </c>
      <c r="C9775" s="13" t="s">
        <v>1145</v>
      </c>
      <c r="D9775" s="13" t="s">
        <v>65</v>
      </c>
      <c r="E9775" s="12" t="s">
        <v>35</v>
      </c>
      <c r="F9775" s="14">
        <v>112000</v>
      </c>
      <c r="G9775" s="14">
        <v>97000</v>
      </c>
      <c r="H9775" s="13" t="s">
        <v>17930</v>
      </c>
      <c r="I9775" s="40" t="s">
        <v>18</v>
      </c>
      <c r="J9775" s="40" t="str">
        <f>HYPERLINK("https://stock.pstatic.net/stock-research/company/57/20250808_company_294968000.pdf","PDF")</f>
        <v>PDF</v>
      </c>
      <c r="K9775" s="12" t="s">
        <v>17931</v>
      </c>
      <c r="L9775" s="20">
        <v>0.15463917525773199</v>
      </c>
    </row>
    <row r="9776" spans="1:12" x14ac:dyDescent="0.45">
      <c r="A9776" s="12" t="s">
        <v>17869</v>
      </c>
      <c r="B9776" s="12" t="s">
        <v>1540</v>
      </c>
      <c r="C9776" s="13" t="s">
        <v>1541</v>
      </c>
      <c r="D9776" s="13" t="s">
        <v>65</v>
      </c>
      <c r="E9776" s="12" t="s">
        <v>35</v>
      </c>
      <c r="F9776" s="14">
        <v>62000</v>
      </c>
      <c r="G9776" s="14">
        <v>53500</v>
      </c>
      <c r="H9776" s="13" t="s">
        <v>17932</v>
      </c>
      <c r="I9776" s="40" t="s">
        <v>18</v>
      </c>
      <c r="J9776" s="40" t="str">
        <f>HYPERLINK("https://stock.pstatic.net/stock-research/company/57/20250808_company_997662000.pdf","PDF")</f>
        <v>PDF</v>
      </c>
      <c r="K9776" s="12" t="s">
        <v>17933</v>
      </c>
      <c r="L9776" s="20">
        <v>0.15887850467289719</v>
      </c>
    </row>
    <row r="9777" spans="1:12" x14ac:dyDescent="0.45">
      <c r="A9777" s="12" t="s">
        <v>17869</v>
      </c>
      <c r="B9777" s="12" t="s">
        <v>2217</v>
      </c>
      <c r="C9777" s="13" t="s">
        <v>2218</v>
      </c>
      <c r="D9777" s="13" t="s">
        <v>65</v>
      </c>
      <c r="E9777" s="12" t="s">
        <v>35</v>
      </c>
      <c r="F9777" s="14">
        <v>110000</v>
      </c>
      <c r="G9777" s="14">
        <v>82800</v>
      </c>
      <c r="H9777" s="13" t="s">
        <v>17934</v>
      </c>
      <c r="I9777" s="40" t="s">
        <v>18</v>
      </c>
      <c r="J9777" s="40" t="str">
        <f>HYPERLINK("https://stock.pstatic.net/stock-research/company/57/20250808_company_929698000.pdf","PDF")</f>
        <v>PDF</v>
      </c>
      <c r="K9777" s="12" t="s">
        <v>17935</v>
      </c>
      <c r="L9777" s="20">
        <v>0.32850241545893721</v>
      </c>
    </row>
    <row r="9778" spans="1:12" x14ac:dyDescent="0.45">
      <c r="A9778" s="12" t="s">
        <v>17869</v>
      </c>
      <c r="B9778" s="12" t="s">
        <v>2308</v>
      </c>
      <c r="C9778" s="13" t="s">
        <v>2309</v>
      </c>
      <c r="D9778" s="13" t="s">
        <v>158</v>
      </c>
      <c r="E9778" s="12" t="s">
        <v>50</v>
      </c>
      <c r="F9778" s="13"/>
      <c r="G9778" s="14">
        <v>15680</v>
      </c>
      <c r="H9778" s="13" t="s">
        <v>17936</v>
      </c>
      <c r="I9778" s="40" t="s">
        <v>18</v>
      </c>
      <c r="J9778" s="40" t="str">
        <f>HYPERLINK("https://stock.pstatic.net/stock-research/company/18/20250808_company_249381000.pdf","PDF")</f>
        <v>PDF</v>
      </c>
      <c r="K9778" s="12" t="s">
        <v>17937</v>
      </c>
    </row>
    <row r="9779" spans="1:12" x14ac:dyDescent="0.45">
      <c r="A9779" s="12" t="s">
        <v>17869</v>
      </c>
      <c r="B9779" s="12" t="s">
        <v>2576</v>
      </c>
      <c r="C9779" s="13" t="s">
        <v>2577</v>
      </c>
      <c r="D9779" s="13" t="s">
        <v>158</v>
      </c>
      <c r="E9779" s="12" t="s">
        <v>50</v>
      </c>
      <c r="F9779" s="13"/>
      <c r="G9779" s="14">
        <v>815000</v>
      </c>
      <c r="H9779" s="13" t="s">
        <v>17938</v>
      </c>
      <c r="I9779" s="40" t="s">
        <v>18</v>
      </c>
      <c r="J9779" s="40" t="str">
        <f>HYPERLINK("https://stock.pstatic.net/stock-research/company/18/20250808_company_110387000.pdf","PDF")</f>
        <v>PDF</v>
      </c>
      <c r="K9779" s="12" t="s">
        <v>17939</v>
      </c>
    </row>
    <row r="9780" spans="1:12" x14ac:dyDescent="0.45">
      <c r="A9780" s="12" t="s">
        <v>17869</v>
      </c>
      <c r="B9780" s="12" t="s">
        <v>916</v>
      </c>
      <c r="C9780" s="13" t="s">
        <v>917</v>
      </c>
      <c r="D9780" s="13" t="s">
        <v>158</v>
      </c>
      <c r="E9780" s="12" t="s">
        <v>35</v>
      </c>
      <c r="F9780" s="14">
        <v>80000</v>
      </c>
      <c r="G9780" s="14">
        <v>63600</v>
      </c>
      <c r="H9780" s="13" t="s">
        <v>17940</v>
      </c>
      <c r="I9780" s="40" t="s">
        <v>18</v>
      </c>
      <c r="J9780" s="40" t="str">
        <f>HYPERLINK("https://stock.pstatic.net/stock-research/company/18/20250808_company_373852000.pdf","PDF")</f>
        <v>PDF</v>
      </c>
      <c r="K9780" s="12" t="s">
        <v>17941</v>
      </c>
      <c r="L9780" s="20">
        <v>0.25786163522012578</v>
      </c>
    </row>
    <row r="9781" spans="1:12" x14ac:dyDescent="0.45">
      <c r="A9781" s="12" t="s">
        <v>17869</v>
      </c>
      <c r="B9781" s="12" t="s">
        <v>2425</v>
      </c>
      <c r="C9781" s="13" t="s">
        <v>2426</v>
      </c>
      <c r="D9781" s="13" t="s">
        <v>158</v>
      </c>
      <c r="E9781" s="12" t="s">
        <v>35</v>
      </c>
      <c r="F9781" s="14">
        <v>170000</v>
      </c>
      <c r="G9781" s="14">
        <v>138500</v>
      </c>
      <c r="H9781" s="13" t="s">
        <v>17942</v>
      </c>
      <c r="I9781" s="40" t="s">
        <v>18</v>
      </c>
      <c r="J9781" s="40" t="str">
        <f>HYPERLINK("https://stock.pstatic.net/stock-research/company/18/20250808_company_246020000.pdf","PDF")</f>
        <v>PDF</v>
      </c>
      <c r="K9781" s="12" t="s">
        <v>17943</v>
      </c>
      <c r="L9781" s="20">
        <v>0.22743682310469321</v>
      </c>
    </row>
    <row r="9782" spans="1:12" x14ac:dyDescent="0.45">
      <c r="A9782" s="12" t="s">
        <v>17869</v>
      </c>
      <c r="B9782" s="12" t="s">
        <v>1383</v>
      </c>
      <c r="C9782" s="13" t="s">
        <v>1384</v>
      </c>
      <c r="D9782" s="13" t="s">
        <v>83</v>
      </c>
      <c r="E9782" s="12" t="s">
        <v>35</v>
      </c>
      <c r="F9782" s="14">
        <v>37000</v>
      </c>
      <c r="G9782" s="14">
        <v>29950</v>
      </c>
      <c r="H9782" s="13" t="s">
        <v>17944</v>
      </c>
      <c r="I9782" s="40" t="s">
        <v>18</v>
      </c>
      <c r="J9782" s="40" t="str">
        <f>HYPERLINK("https://stock.pstatic.net/stock-research/company/2/20250808_company_168134000.pdf","PDF")</f>
        <v>PDF</v>
      </c>
      <c r="K9782" s="12" t="s">
        <v>17945</v>
      </c>
      <c r="L9782" s="20">
        <v>0.23539232053422371</v>
      </c>
    </row>
    <row r="9783" spans="1:12" x14ac:dyDescent="0.45">
      <c r="A9783" s="12" t="s">
        <v>17869</v>
      </c>
      <c r="B9783" s="12" t="s">
        <v>1023</v>
      </c>
      <c r="C9783" s="13" t="s">
        <v>15</v>
      </c>
      <c r="D9783" s="13" t="s">
        <v>83</v>
      </c>
      <c r="E9783" s="12" t="s">
        <v>642</v>
      </c>
      <c r="F9783" s="14">
        <v>23000</v>
      </c>
      <c r="G9783" s="14">
        <v>18900</v>
      </c>
      <c r="H9783" s="13" t="s">
        <v>17946</v>
      </c>
      <c r="I9783" s="40" t="s">
        <v>18</v>
      </c>
      <c r="J9783" s="40" t="str">
        <f>HYPERLINK("https://stock.pstatic.net/stock-research/company/2/20250808_company_17422000.pdf","PDF")</f>
        <v>PDF</v>
      </c>
      <c r="K9783" s="12" t="s">
        <v>17947</v>
      </c>
      <c r="L9783" s="20">
        <v>0.21693121693121689</v>
      </c>
    </row>
    <row r="9784" spans="1:12" x14ac:dyDescent="0.45">
      <c r="A9784" s="12" t="s">
        <v>17869</v>
      </c>
      <c r="B9784" s="12" t="s">
        <v>110</v>
      </c>
      <c r="C9784" s="13" t="s">
        <v>111</v>
      </c>
      <c r="D9784" s="13" t="s">
        <v>83</v>
      </c>
      <c r="E9784" s="12" t="s">
        <v>35</v>
      </c>
      <c r="F9784" s="14">
        <v>31000</v>
      </c>
      <c r="G9784" s="14">
        <v>23600</v>
      </c>
      <c r="H9784" s="13" t="s">
        <v>17948</v>
      </c>
      <c r="I9784" s="40" t="s">
        <v>18</v>
      </c>
      <c r="J9784" s="40" t="str">
        <f>HYPERLINK("https://stock.pstatic.net/stock-research/company/2/20250808_company_398971000.pdf","PDF")</f>
        <v>PDF</v>
      </c>
      <c r="K9784" s="12" t="s">
        <v>17949</v>
      </c>
      <c r="L9784" s="20">
        <v>0.3135593220338983</v>
      </c>
    </row>
    <row r="9785" spans="1:12" x14ac:dyDescent="0.45">
      <c r="A9785" s="12" t="s">
        <v>17869</v>
      </c>
      <c r="B9785" s="12" t="s">
        <v>2286</v>
      </c>
      <c r="C9785" s="13" t="s">
        <v>2287</v>
      </c>
      <c r="D9785" s="13" t="s">
        <v>83</v>
      </c>
      <c r="E9785" s="12" t="s">
        <v>35</v>
      </c>
      <c r="F9785" s="14">
        <v>7000</v>
      </c>
      <c r="G9785" s="14">
        <v>4975</v>
      </c>
      <c r="H9785" s="13" t="s">
        <v>17950</v>
      </c>
      <c r="I9785" s="40" t="s">
        <v>18</v>
      </c>
      <c r="J9785" s="40" t="str">
        <f>HYPERLINK("https://stock.pstatic.net/stock-research/company/2/20250808_company_945820000.pdf","PDF")</f>
        <v>PDF</v>
      </c>
      <c r="K9785" s="12" t="s">
        <v>17951</v>
      </c>
      <c r="L9785" s="20">
        <v>0.40703517587939703</v>
      </c>
    </row>
    <row r="9786" spans="1:12" x14ac:dyDescent="0.45">
      <c r="A9786" s="12" t="s">
        <v>17869</v>
      </c>
      <c r="B9786" s="12" t="s">
        <v>1666</v>
      </c>
      <c r="C9786" s="13" t="s">
        <v>1667</v>
      </c>
      <c r="D9786" s="13" t="s">
        <v>83</v>
      </c>
      <c r="E9786" s="12" t="s">
        <v>35</v>
      </c>
      <c r="F9786" s="14">
        <v>81000</v>
      </c>
      <c r="G9786" s="14">
        <v>61900</v>
      </c>
      <c r="H9786" s="13" t="s">
        <v>17952</v>
      </c>
      <c r="I9786" s="40" t="s">
        <v>18</v>
      </c>
      <c r="J9786" s="40" t="str">
        <f>HYPERLINK("https://stock.pstatic.net/stock-research/company/2/20250808_company_949992000.pdf","PDF")</f>
        <v>PDF</v>
      </c>
      <c r="K9786" s="12" t="s">
        <v>17953</v>
      </c>
      <c r="L9786" s="20">
        <v>0.30856219709208399</v>
      </c>
    </row>
    <row r="9787" spans="1:12" x14ac:dyDescent="0.45">
      <c r="A9787" s="12" t="s">
        <v>17869</v>
      </c>
      <c r="B9787" s="12" t="s">
        <v>1660</v>
      </c>
      <c r="C9787" s="13" t="s">
        <v>1661</v>
      </c>
      <c r="D9787" s="13" t="s">
        <v>83</v>
      </c>
      <c r="E9787" s="12" t="s">
        <v>35</v>
      </c>
      <c r="F9787" s="14">
        <v>64000</v>
      </c>
      <c r="G9787" s="14">
        <v>46650</v>
      </c>
      <c r="H9787" s="13" t="s">
        <v>17954</v>
      </c>
      <c r="I9787" s="40" t="s">
        <v>18</v>
      </c>
      <c r="J9787" s="40" t="str">
        <f>HYPERLINK("https://stock.pstatic.net/stock-research/company/2/20250808_company_115777000.pdf","PDF")</f>
        <v>PDF</v>
      </c>
      <c r="K9787" s="12" t="s">
        <v>17955</v>
      </c>
      <c r="L9787" s="20">
        <v>0.37191854233654881</v>
      </c>
    </row>
    <row r="9788" spans="1:12" x14ac:dyDescent="0.45">
      <c r="A9788" s="12" t="s">
        <v>17869</v>
      </c>
      <c r="B9788" s="12" t="s">
        <v>1678</v>
      </c>
      <c r="C9788" s="13" t="s">
        <v>1679</v>
      </c>
      <c r="D9788" s="13" t="s">
        <v>83</v>
      </c>
      <c r="E9788" s="12" t="s">
        <v>35</v>
      </c>
      <c r="F9788" s="14">
        <v>86000</v>
      </c>
      <c r="G9788" s="14">
        <v>69000</v>
      </c>
      <c r="H9788" s="13" t="s">
        <v>17956</v>
      </c>
      <c r="I9788" s="40" t="s">
        <v>18</v>
      </c>
      <c r="J9788" s="40" t="str">
        <f>HYPERLINK("https://stock.pstatic.net/stock-research/company/2/20250808_company_226493000.pdf","PDF")</f>
        <v>PDF</v>
      </c>
      <c r="K9788" s="12" t="s">
        <v>17957</v>
      </c>
      <c r="L9788" s="20">
        <v>0.24637681159420291</v>
      </c>
    </row>
    <row r="9789" spans="1:12" x14ac:dyDescent="0.45">
      <c r="A9789" s="12" t="s">
        <v>17869</v>
      </c>
      <c r="B9789" s="12" t="s">
        <v>916</v>
      </c>
      <c r="C9789" s="13" t="s">
        <v>917</v>
      </c>
      <c r="D9789" s="13" t="s">
        <v>83</v>
      </c>
      <c r="E9789" s="12" t="s">
        <v>35</v>
      </c>
      <c r="F9789" s="14">
        <v>75000</v>
      </c>
      <c r="G9789" s="14">
        <v>63600</v>
      </c>
      <c r="H9789" s="13" t="s">
        <v>17958</v>
      </c>
      <c r="I9789" s="40" t="s">
        <v>18</v>
      </c>
      <c r="J9789" s="40" t="str">
        <f>HYPERLINK("https://stock.pstatic.net/stock-research/company/2/20250808_company_684599000.pdf","PDF")</f>
        <v>PDF</v>
      </c>
      <c r="K9789" s="12" t="s">
        <v>17959</v>
      </c>
      <c r="L9789" s="20">
        <v>0.17924528301886791</v>
      </c>
    </row>
    <row r="9790" spans="1:12" x14ac:dyDescent="0.45">
      <c r="A9790" s="12" t="s">
        <v>17869</v>
      </c>
      <c r="B9790" s="12" t="s">
        <v>2262</v>
      </c>
      <c r="C9790" s="13" t="s">
        <v>2263</v>
      </c>
      <c r="D9790" s="13" t="s">
        <v>83</v>
      </c>
      <c r="E9790" s="12" t="s">
        <v>35</v>
      </c>
      <c r="F9790" s="14">
        <v>17000</v>
      </c>
      <c r="G9790" s="14">
        <v>10880</v>
      </c>
      <c r="H9790" s="13" t="s">
        <v>17960</v>
      </c>
      <c r="I9790" s="40" t="s">
        <v>18</v>
      </c>
      <c r="J9790" s="40" t="str">
        <f>HYPERLINK("https://stock.pstatic.net/stock-research/company/2/20250808_company_273625000.pdf","PDF")</f>
        <v>PDF</v>
      </c>
      <c r="K9790" s="12" t="s">
        <v>17961</v>
      </c>
      <c r="L9790" s="20">
        <v>0.5625</v>
      </c>
    </row>
    <row r="9791" spans="1:12" x14ac:dyDescent="0.45">
      <c r="A9791" s="12" t="s">
        <v>17869</v>
      </c>
      <c r="B9791" s="12" t="s">
        <v>2425</v>
      </c>
      <c r="C9791" s="13" t="s">
        <v>2426</v>
      </c>
      <c r="D9791" s="13" t="s">
        <v>83</v>
      </c>
      <c r="E9791" s="12" t="s">
        <v>35</v>
      </c>
      <c r="F9791" s="14">
        <v>170000</v>
      </c>
      <c r="G9791" s="14">
        <v>138500</v>
      </c>
      <c r="H9791" s="13" t="s">
        <v>17962</v>
      </c>
      <c r="I9791" s="40" t="s">
        <v>18</v>
      </c>
      <c r="J9791" s="40" t="str">
        <f>HYPERLINK("https://stock.pstatic.net/stock-research/company/2/20250808_company_555197000.pdf","PDF")</f>
        <v>PDF</v>
      </c>
      <c r="K9791" s="12" t="s">
        <v>17963</v>
      </c>
      <c r="L9791" s="20">
        <v>0.22743682310469321</v>
      </c>
    </row>
    <row r="9792" spans="1:12" x14ac:dyDescent="0.45">
      <c r="A9792" s="12" t="s">
        <v>17869</v>
      </c>
      <c r="B9792" s="12" t="s">
        <v>1097</v>
      </c>
      <c r="C9792" s="13" t="s">
        <v>1098</v>
      </c>
      <c r="D9792" s="13" t="s">
        <v>83</v>
      </c>
      <c r="E9792" s="12" t="s">
        <v>35</v>
      </c>
      <c r="F9792" s="14">
        <v>150000</v>
      </c>
      <c r="G9792" s="14">
        <v>122400</v>
      </c>
      <c r="H9792" s="13" t="s">
        <v>17964</v>
      </c>
      <c r="I9792" s="40" t="s">
        <v>18</v>
      </c>
      <c r="J9792" s="40" t="str">
        <f>HYPERLINK("https://stock.pstatic.net/stock-research/company/2/20250808_company_452328000.pdf","PDF")</f>
        <v>PDF</v>
      </c>
      <c r="K9792" s="12" t="s">
        <v>17965</v>
      </c>
      <c r="L9792" s="20">
        <v>0.2254901960784314</v>
      </c>
    </row>
    <row r="9793" spans="1:12" x14ac:dyDescent="0.45">
      <c r="A9793" s="12" t="s">
        <v>17869</v>
      </c>
      <c r="B9793" s="12" t="s">
        <v>1144</v>
      </c>
      <c r="C9793" s="13" t="s">
        <v>1145</v>
      </c>
      <c r="D9793" s="13" t="s">
        <v>83</v>
      </c>
      <c r="E9793" s="12" t="s">
        <v>35</v>
      </c>
      <c r="F9793" s="14">
        <v>150000</v>
      </c>
      <c r="G9793" s="14">
        <v>97000</v>
      </c>
      <c r="H9793" s="13" t="s">
        <v>17966</v>
      </c>
      <c r="I9793" s="40" t="s">
        <v>18</v>
      </c>
      <c r="J9793" s="40" t="str">
        <f>HYPERLINK("https://stock.pstatic.net/stock-research/company/2/20250808_company_233827000.pdf","PDF")</f>
        <v>PDF</v>
      </c>
      <c r="K9793" s="12" t="s">
        <v>17967</v>
      </c>
      <c r="L9793" s="20">
        <v>0.54639175257731953</v>
      </c>
    </row>
    <row r="9794" spans="1:12" x14ac:dyDescent="0.45">
      <c r="A9794" s="12" t="s">
        <v>17869</v>
      </c>
      <c r="B9794" s="12" t="s">
        <v>1540</v>
      </c>
      <c r="C9794" s="13" t="s">
        <v>1541</v>
      </c>
      <c r="D9794" s="13" t="s">
        <v>83</v>
      </c>
      <c r="E9794" s="12" t="s">
        <v>35</v>
      </c>
      <c r="F9794" s="14">
        <v>65000</v>
      </c>
      <c r="G9794" s="14">
        <v>53500</v>
      </c>
      <c r="H9794" s="13" t="s">
        <v>17968</v>
      </c>
      <c r="I9794" s="40" t="s">
        <v>18</v>
      </c>
      <c r="J9794" s="40" t="str">
        <f>HYPERLINK("https://stock.pstatic.net/stock-research/company/2/20250808_company_870355000.pdf","PDF")</f>
        <v>PDF</v>
      </c>
      <c r="K9794" s="12" t="s">
        <v>17969</v>
      </c>
      <c r="L9794" s="20">
        <v>0.21495327102803741</v>
      </c>
    </row>
    <row r="9795" spans="1:12" x14ac:dyDescent="0.45">
      <c r="A9795" s="12" t="s">
        <v>17869</v>
      </c>
      <c r="B9795" s="12" t="s">
        <v>2225</v>
      </c>
      <c r="C9795" s="13" t="s">
        <v>5282</v>
      </c>
      <c r="D9795" s="13" t="s">
        <v>15</v>
      </c>
      <c r="E9795" s="12" t="s">
        <v>385</v>
      </c>
      <c r="F9795" s="14">
        <v>570000</v>
      </c>
      <c r="G9795" s="14">
        <v>603000</v>
      </c>
      <c r="H9795" s="13" t="s">
        <v>17970</v>
      </c>
      <c r="I9795" s="40" t="s">
        <v>18</v>
      </c>
      <c r="J9795" s="40" t="str">
        <f>HYPERLINK("https://stock.pstatic.net/stock-research/company/29/20250808_company_505959000.pdf","PDF")</f>
        <v>PDF</v>
      </c>
      <c r="K9795" s="12" t="s">
        <v>17971</v>
      </c>
      <c r="L9795" s="20">
        <v>-5.4726368159203981E-2</v>
      </c>
    </row>
    <row r="9796" spans="1:12" x14ac:dyDescent="0.45">
      <c r="A9796" s="12" t="s">
        <v>17869</v>
      </c>
      <c r="B9796" s="12" t="s">
        <v>1023</v>
      </c>
      <c r="C9796" s="13" t="s">
        <v>15</v>
      </c>
      <c r="D9796" s="13" t="s">
        <v>179</v>
      </c>
      <c r="E9796" s="12" t="s">
        <v>385</v>
      </c>
      <c r="F9796" s="14">
        <v>18000</v>
      </c>
      <c r="G9796" s="14">
        <v>18900</v>
      </c>
      <c r="H9796" s="13" t="s">
        <v>17972</v>
      </c>
      <c r="I9796" s="40" t="s">
        <v>18</v>
      </c>
      <c r="J9796" s="40" t="str">
        <f>HYPERLINK("https://stock.pstatic.net/stock-research/company/64/20250808_company_677171000.pdf","PDF")</f>
        <v>PDF</v>
      </c>
      <c r="K9796" s="12" t="s">
        <v>17973</v>
      </c>
      <c r="L9796" s="20">
        <v>-4.7619047619047623E-2</v>
      </c>
    </row>
    <row r="9797" spans="1:12" x14ac:dyDescent="0.45">
      <c r="A9797" s="12" t="s">
        <v>17869</v>
      </c>
      <c r="B9797" s="12" t="s">
        <v>1660</v>
      </c>
      <c r="C9797" s="13" t="s">
        <v>1661</v>
      </c>
      <c r="D9797" s="13" t="s">
        <v>15</v>
      </c>
      <c r="E9797" s="12" t="s">
        <v>16</v>
      </c>
      <c r="F9797" s="14">
        <v>71000</v>
      </c>
      <c r="G9797" s="14">
        <v>46650</v>
      </c>
      <c r="H9797" s="13" t="s">
        <v>17974</v>
      </c>
      <c r="I9797" s="40" t="s">
        <v>18</v>
      </c>
      <c r="J9797" s="40" t="str">
        <f>HYPERLINK("https://stock.pstatic.net/stock-research/company/29/20250808_company_873118000.pdf","PDF")</f>
        <v>PDF</v>
      </c>
      <c r="K9797" s="12" t="s">
        <v>17975</v>
      </c>
      <c r="L9797" s="20">
        <v>0.52197213290460875</v>
      </c>
    </row>
    <row r="9798" spans="1:12" x14ac:dyDescent="0.45">
      <c r="A9798" s="12" t="s">
        <v>17869</v>
      </c>
      <c r="B9798" s="12" t="s">
        <v>1678</v>
      </c>
      <c r="C9798" s="13" t="s">
        <v>1679</v>
      </c>
      <c r="D9798" s="13" t="s">
        <v>15</v>
      </c>
      <c r="E9798" s="12" t="s">
        <v>16</v>
      </c>
      <c r="F9798" s="14">
        <v>100000</v>
      </c>
      <c r="G9798" s="14">
        <v>69000</v>
      </c>
      <c r="H9798" s="13" t="s">
        <v>17976</v>
      </c>
      <c r="I9798" s="40" t="s">
        <v>18</v>
      </c>
      <c r="J9798" s="40" t="str">
        <f>HYPERLINK("https://stock.pstatic.net/stock-research/company/29/20250808_company_540166000.pdf","PDF")</f>
        <v>PDF</v>
      </c>
      <c r="K9798" s="12" t="s">
        <v>17977</v>
      </c>
      <c r="L9798" s="20">
        <v>0.44927536231884058</v>
      </c>
    </row>
    <row r="9799" spans="1:12" x14ac:dyDescent="0.45">
      <c r="A9799" s="12" t="s">
        <v>17869</v>
      </c>
      <c r="B9799" s="12" t="s">
        <v>2225</v>
      </c>
      <c r="C9799" s="13" t="s">
        <v>5282</v>
      </c>
      <c r="D9799" s="13" t="s">
        <v>92</v>
      </c>
      <c r="E9799" s="12" t="s">
        <v>35</v>
      </c>
      <c r="F9799" s="14">
        <v>720000</v>
      </c>
      <c r="G9799" s="14">
        <v>603000</v>
      </c>
      <c r="H9799" s="13" t="s">
        <v>17978</v>
      </c>
      <c r="I9799" s="40" t="s">
        <v>18</v>
      </c>
      <c r="J9799" s="40" t="str">
        <f>HYPERLINK("https://stock.pstatic.net/stock-research/company/63/20250808_company_300244000.pdf","PDF")</f>
        <v>PDF</v>
      </c>
      <c r="K9799" s="12" t="s">
        <v>17979</v>
      </c>
      <c r="L9799" s="20">
        <v>0.19402985074626869</v>
      </c>
    </row>
    <row r="9800" spans="1:12" x14ac:dyDescent="0.45">
      <c r="A9800" s="12" t="s">
        <v>17869</v>
      </c>
      <c r="B9800" s="12" t="s">
        <v>1097</v>
      </c>
      <c r="C9800" s="13" t="s">
        <v>1098</v>
      </c>
      <c r="D9800" s="13" t="s">
        <v>92</v>
      </c>
      <c r="E9800" s="12" t="s">
        <v>35</v>
      </c>
      <c r="F9800" s="14">
        <v>150000</v>
      </c>
      <c r="G9800" s="14">
        <v>122400</v>
      </c>
      <c r="H9800" s="13" t="s">
        <v>17980</v>
      </c>
      <c r="I9800" s="40" t="s">
        <v>18</v>
      </c>
      <c r="J9800" s="40" t="str">
        <f>HYPERLINK("https://stock.pstatic.net/stock-research/company/63/20250808_company_873423000.pdf","PDF")</f>
        <v>PDF</v>
      </c>
      <c r="K9800" s="12" t="s">
        <v>17981</v>
      </c>
      <c r="L9800" s="20">
        <v>0.2254901960784314</v>
      </c>
    </row>
    <row r="9801" spans="1:12" x14ac:dyDescent="0.45">
      <c r="A9801" s="12" t="s">
        <v>17869</v>
      </c>
      <c r="B9801" s="12" t="s">
        <v>2346</v>
      </c>
      <c r="C9801" s="13" t="s">
        <v>2347</v>
      </c>
      <c r="D9801" s="13" t="s">
        <v>92</v>
      </c>
      <c r="E9801" s="12" t="s">
        <v>35</v>
      </c>
      <c r="F9801" s="14">
        <v>38000</v>
      </c>
      <c r="G9801" s="14">
        <v>31500</v>
      </c>
      <c r="H9801" s="13" t="s">
        <v>17982</v>
      </c>
      <c r="I9801" s="40" t="s">
        <v>18</v>
      </c>
      <c r="J9801" s="40" t="str">
        <f>HYPERLINK("https://stock.pstatic.net/stock-research/company/63/20250808_company_3134000.pdf","PDF")</f>
        <v>PDF</v>
      </c>
      <c r="K9801" s="12" t="s">
        <v>17983</v>
      </c>
      <c r="L9801" s="20">
        <v>0.20634920634920631</v>
      </c>
    </row>
    <row r="9802" spans="1:12" x14ac:dyDescent="0.45">
      <c r="A9802" s="12" t="s">
        <v>17869</v>
      </c>
      <c r="B9802" s="12" t="s">
        <v>438</v>
      </c>
      <c r="C9802" s="13" t="s">
        <v>439</v>
      </c>
      <c r="D9802" s="13" t="s">
        <v>179</v>
      </c>
      <c r="E9802" s="12" t="s">
        <v>16</v>
      </c>
      <c r="F9802" s="14">
        <v>100000</v>
      </c>
      <c r="G9802" s="14">
        <v>70200</v>
      </c>
      <c r="H9802" s="13" t="s">
        <v>17984</v>
      </c>
      <c r="I9802" s="40" t="s">
        <v>18</v>
      </c>
      <c r="J9802" s="40" t="str">
        <f>HYPERLINK("https://stock.pstatic.net/stock-research/company/64/20250808_company_979340000.pdf","PDF")</f>
        <v>PDF</v>
      </c>
      <c r="K9802" s="12" t="s">
        <v>17985</v>
      </c>
      <c r="L9802" s="20">
        <v>0.42450142450142447</v>
      </c>
    </row>
    <row r="9803" spans="1:12" x14ac:dyDescent="0.45">
      <c r="A9803" s="12" t="s">
        <v>17869</v>
      </c>
      <c r="B9803" s="12" t="s">
        <v>904</v>
      </c>
      <c r="C9803" s="13" t="s">
        <v>905</v>
      </c>
      <c r="D9803" s="13" t="s">
        <v>23</v>
      </c>
      <c r="E9803" s="12" t="s">
        <v>50</v>
      </c>
      <c r="F9803" s="13"/>
      <c r="G9803" s="14">
        <v>45300</v>
      </c>
      <c r="H9803" s="13" t="s">
        <v>17986</v>
      </c>
      <c r="I9803" s="40" t="s">
        <v>18</v>
      </c>
      <c r="J9803" s="40" t="str">
        <f>HYPERLINK("https://stock.pstatic.net/stock-research/company/21/20250808_company_559230000.pdf","PDF")</f>
        <v>PDF</v>
      </c>
      <c r="K9803" s="12" t="s">
        <v>17987</v>
      </c>
    </row>
    <row r="9804" spans="1:12" x14ac:dyDescent="0.45">
      <c r="A9804" s="12" t="s">
        <v>17869</v>
      </c>
      <c r="B9804" s="12" t="s">
        <v>2887</v>
      </c>
      <c r="C9804" s="13" t="s">
        <v>2888</v>
      </c>
      <c r="D9804" s="13" t="s">
        <v>15</v>
      </c>
      <c r="E9804" s="12" t="s">
        <v>16</v>
      </c>
      <c r="F9804" s="14">
        <v>360000</v>
      </c>
      <c r="G9804" s="14">
        <v>292500</v>
      </c>
      <c r="H9804" s="13" t="s">
        <v>17988</v>
      </c>
      <c r="I9804" s="40" t="s">
        <v>18</v>
      </c>
      <c r="J9804" s="40" t="str">
        <f>HYPERLINK("https://stock.pstatic.net/stock-research/company/29/20250808_company_500203000.pdf","PDF")</f>
        <v>PDF</v>
      </c>
      <c r="K9804" s="12" t="s">
        <v>17989</v>
      </c>
      <c r="L9804" s="20">
        <v>0.23076923076923081</v>
      </c>
    </row>
    <row r="9805" spans="1:12" x14ac:dyDescent="0.45">
      <c r="A9805" s="12" t="s">
        <v>17869</v>
      </c>
      <c r="B9805" s="12" t="s">
        <v>2199</v>
      </c>
      <c r="C9805" s="13" t="s">
        <v>2200</v>
      </c>
      <c r="D9805" s="13" t="s">
        <v>92</v>
      </c>
      <c r="E9805" s="12" t="s">
        <v>35</v>
      </c>
      <c r="F9805" s="14">
        <v>46000</v>
      </c>
      <c r="G9805" s="14">
        <v>29300</v>
      </c>
      <c r="H9805" s="13" t="s">
        <v>17990</v>
      </c>
      <c r="I9805" s="40" t="s">
        <v>18</v>
      </c>
      <c r="J9805" s="40" t="str">
        <f>HYPERLINK("https://stock.pstatic.net/stock-research/company/63/20250808_company_356922000.pdf","PDF")</f>
        <v>PDF</v>
      </c>
      <c r="K9805" s="12" t="s">
        <v>17991</v>
      </c>
      <c r="L9805" s="20">
        <v>0.56996587030716728</v>
      </c>
    </row>
    <row r="9806" spans="1:12" x14ac:dyDescent="0.45">
      <c r="A9806" s="12" t="s">
        <v>17869</v>
      </c>
      <c r="B9806" s="12" t="s">
        <v>2308</v>
      </c>
      <c r="C9806" s="13" t="s">
        <v>2309</v>
      </c>
      <c r="D9806" s="13" t="s">
        <v>92</v>
      </c>
      <c r="E9806" s="12" t="s">
        <v>35</v>
      </c>
      <c r="F9806" s="14">
        <v>21000</v>
      </c>
      <c r="G9806" s="14">
        <v>15680</v>
      </c>
      <c r="H9806" s="13" t="s">
        <v>17992</v>
      </c>
      <c r="I9806" s="40" t="s">
        <v>18</v>
      </c>
      <c r="J9806" s="40" t="str">
        <f>HYPERLINK("https://stock.pstatic.net/stock-research/company/63/20250808_company_639008000.pdf","PDF")</f>
        <v>PDF</v>
      </c>
      <c r="K9806" s="12" t="s">
        <v>17993</v>
      </c>
      <c r="L9806" s="20">
        <v>0.3392857142857143</v>
      </c>
    </row>
    <row r="9807" spans="1:12" x14ac:dyDescent="0.45">
      <c r="A9807" s="12" t="s">
        <v>17869</v>
      </c>
      <c r="B9807" s="12" t="s">
        <v>1678</v>
      </c>
      <c r="C9807" s="13" t="s">
        <v>1679</v>
      </c>
      <c r="D9807" s="13" t="s">
        <v>23</v>
      </c>
      <c r="E9807" s="12" t="s">
        <v>16</v>
      </c>
      <c r="F9807" s="14">
        <v>90000</v>
      </c>
      <c r="G9807" s="14">
        <v>68900</v>
      </c>
      <c r="H9807" s="13" t="s">
        <v>17994</v>
      </c>
      <c r="I9807" s="40" t="s">
        <v>18</v>
      </c>
      <c r="J9807" s="40" t="str">
        <f>HYPERLINK("https://stock.pstatic.net/stock-research/company/21/20250808_company_455655000.pdf","PDF")</f>
        <v>PDF</v>
      </c>
      <c r="K9807" s="12" t="s">
        <v>17995</v>
      </c>
      <c r="L9807" s="20">
        <v>0.30624092888243831</v>
      </c>
    </row>
    <row r="9808" spans="1:12" x14ac:dyDescent="0.45">
      <c r="A9808" s="12" t="s">
        <v>17869</v>
      </c>
      <c r="B9808" s="12" t="s">
        <v>468</v>
      </c>
      <c r="C9808" s="13" t="s">
        <v>469</v>
      </c>
      <c r="D9808" s="13" t="s">
        <v>92</v>
      </c>
      <c r="E9808" s="12" t="s">
        <v>35</v>
      </c>
      <c r="F9808" s="14">
        <v>23000</v>
      </c>
      <c r="G9808" s="14">
        <v>17220</v>
      </c>
      <c r="H9808" s="13" t="s">
        <v>17996</v>
      </c>
      <c r="I9808" s="40" t="s">
        <v>18</v>
      </c>
      <c r="J9808" s="40" t="str">
        <f>HYPERLINK("https://stock.pstatic.net/stock-research/company/63/20250808_company_678324000.pdf","PDF")</f>
        <v>PDF</v>
      </c>
      <c r="K9808" s="12" t="s">
        <v>17997</v>
      </c>
      <c r="L9808" s="20">
        <v>0.33565621370499421</v>
      </c>
    </row>
    <row r="9809" spans="1:12" x14ac:dyDescent="0.45">
      <c r="A9809" s="12" t="s">
        <v>17869</v>
      </c>
      <c r="B9809" s="12" t="s">
        <v>2425</v>
      </c>
      <c r="C9809" s="13" t="s">
        <v>2426</v>
      </c>
      <c r="D9809" s="13" t="s">
        <v>53</v>
      </c>
      <c r="E9809" s="12" t="s">
        <v>16</v>
      </c>
      <c r="F9809" s="14">
        <v>160000</v>
      </c>
      <c r="G9809" s="14">
        <v>138500</v>
      </c>
      <c r="H9809" s="13" t="s">
        <v>17998</v>
      </c>
      <c r="I9809" s="40" t="s">
        <v>18</v>
      </c>
      <c r="J9809" s="40" t="str">
        <f>HYPERLINK("https://stock.pstatic.net/stock-research/company/40/20250808_company_69674000.pdf","PDF")</f>
        <v>PDF</v>
      </c>
      <c r="K9809" s="12" t="s">
        <v>17999</v>
      </c>
      <c r="L9809" s="20">
        <v>0.1552346570397112</v>
      </c>
    </row>
    <row r="9810" spans="1:12" x14ac:dyDescent="0.45">
      <c r="A9810" s="12" t="s">
        <v>17869</v>
      </c>
      <c r="B9810" s="12" t="s">
        <v>1666</v>
      </c>
      <c r="C9810" s="13" t="s">
        <v>1667</v>
      </c>
      <c r="D9810" s="13" t="s">
        <v>23</v>
      </c>
      <c r="E9810" s="12" t="s">
        <v>16</v>
      </c>
      <c r="F9810" s="14">
        <v>88000</v>
      </c>
      <c r="G9810" s="14">
        <v>61900</v>
      </c>
      <c r="H9810" s="13" t="s">
        <v>18000</v>
      </c>
      <c r="I9810" s="40" t="s">
        <v>18</v>
      </c>
      <c r="J9810" s="40" t="str">
        <f>HYPERLINK("https://stock.pstatic.net/stock-research/company/21/20250808_company_927190000.pdf","PDF")</f>
        <v>PDF</v>
      </c>
      <c r="K9810" s="12" t="s">
        <v>18001</v>
      </c>
      <c r="L9810" s="20">
        <v>0.42164781906300491</v>
      </c>
    </row>
    <row r="9811" spans="1:12" x14ac:dyDescent="0.45">
      <c r="A9811" s="12" t="s">
        <v>17869</v>
      </c>
      <c r="B9811" s="12" t="s">
        <v>426</v>
      </c>
      <c r="C9811" s="13" t="s">
        <v>427</v>
      </c>
      <c r="D9811" s="13" t="s">
        <v>92</v>
      </c>
      <c r="E9811" s="12" t="s">
        <v>35</v>
      </c>
      <c r="F9811" s="14">
        <v>26000</v>
      </c>
      <c r="G9811" s="14">
        <v>19500</v>
      </c>
      <c r="H9811" s="13" t="s">
        <v>18002</v>
      </c>
      <c r="I9811" s="40" t="s">
        <v>18</v>
      </c>
      <c r="J9811" s="40" t="str">
        <f>HYPERLINK("https://stock.pstatic.net/stock-research/company/63/20250808_company_825176000.pdf","PDF")</f>
        <v>PDF</v>
      </c>
      <c r="K9811" s="12" t="s">
        <v>18003</v>
      </c>
      <c r="L9811" s="20">
        <v>0.33333333333333331</v>
      </c>
    </row>
    <row r="9812" spans="1:12" x14ac:dyDescent="0.45">
      <c r="A9812" s="12" t="s">
        <v>17869</v>
      </c>
      <c r="B9812" s="12" t="s">
        <v>1660</v>
      </c>
      <c r="C9812" s="13" t="s">
        <v>1661</v>
      </c>
      <c r="D9812" s="13" t="s">
        <v>23</v>
      </c>
      <c r="E9812" s="12" t="s">
        <v>16</v>
      </c>
      <c r="F9812" s="14">
        <v>50000</v>
      </c>
      <c r="G9812" s="14">
        <v>46550</v>
      </c>
      <c r="H9812" s="13" t="s">
        <v>18004</v>
      </c>
      <c r="I9812" s="40" t="s">
        <v>18</v>
      </c>
      <c r="J9812" s="40" t="str">
        <f>HYPERLINK("https://stock.pstatic.net/stock-research/company/21/20250808_company_111537000.pdf","PDF")</f>
        <v>PDF</v>
      </c>
      <c r="K9812" s="12" t="s">
        <v>18005</v>
      </c>
      <c r="L9812" s="20">
        <v>7.4113856068743281E-2</v>
      </c>
    </row>
    <row r="9813" spans="1:12" x14ac:dyDescent="0.45">
      <c r="A9813" s="12" t="s">
        <v>17869</v>
      </c>
      <c r="B9813" s="12" t="s">
        <v>2304</v>
      </c>
      <c r="C9813" s="13" t="s">
        <v>2305</v>
      </c>
      <c r="D9813" s="13" t="s">
        <v>92</v>
      </c>
      <c r="E9813" s="12" t="s">
        <v>35</v>
      </c>
      <c r="F9813" s="14">
        <v>17000</v>
      </c>
      <c r="G9813" s="14">
        <v>12600</v>
      </c>
      <c r="H9813" s="13" t="s">
        <v>18006</v>
      </c>
      <c r="I9813" s="40" t="s">
        <v>18</v>
      </c>
      <c r="J9813" s="40" t="str">
        <f>HYPERLINK("https://stock.pstatic.net/stock-research/company/63/20250808_company_438058000.pdf","PDF")</f>
        <v>PDF</v>
      </c>
      <c r="K9813" s="12" t="s">
        <v>18007</v>
      </c>
      <c r="L9813" s="20">
        <v>0.34920634920634919</v>
      </c>
    </row>
    <row r="9814" spans="1:12" x14ac:dyDescent="0.45">
      <c r="A9814" s="12" t="s">
        <v>17869</v>
      </c>
      <c r="B9814" s="12" t="s">
        <v>1666</v>
      </c>
      <c r="C9814" s="13" t="s">
        <v>1667</v>
      </c>
      <c r="D9814" s="13" t="s">
        <v>15</v>
      </c>
      <c r="E9814" s="12" t="s">
        <v>16</v>
      </c>
      <c r="F9814" s="14">
        <v>85000</v>
      </c>
      <c r="G9814" s="14">
        <v>61900</v>
      </c>
      <c r="H9814" s="13" t="s">
        <v>18008</v>
      </c>
      <c r="I9814" s="40" t="s">
        <v>18</v>
      </c>
      <c r="J9814" s="40" t="str">
        <f>HYPERLINK("https://stock.pstatic.net/stock-research/company/29/20250808_company_290960000.pdf","PDF")</f>
        <v>PDF</v>
      </c>
      <c r="K9814" s="12" t="s">
        <v>18009</v>
      </c>
      <c r="L9814" s="20">
        <v>0.37318255250403881</v>
      </c>
    </row>
    <row r="9815" spans="1:12" x14ac:dyDescent="0.45">
      <c r="A9815" s="12" t="s">
        <v>17869</v>
      </c>
      <c r="B9815" s="12" t="s">
        <v>916</v>
      </c>
      <c r="C9815" s="13" t="s">
        <v>917</v>
      </c>
      <c r="D9815" s="13" t="s">
        <v>179</v>
      </c>
      <c r="E9815" s="12" t="s">
        <v>16</v>
      </c>
      <c r="F9815" s="14">
        <v>78000</v>
      </c>
      <c r="G9815" s="14">
        <v>63600</v>
      </c>
      <c r="H9815" s="13" t="s">
        <v>18010</v>
      </c>
      <c r="I9815" s="40" t="s">
        <v>18</v>
      </c>
      <c r="J9815" s="40" t="str">
        <f>HYPERLINK("https://stock.pstatic.net/stock-research/company/64/20250808_company_859951000.pdf","PDF")</f>
        <v>PDF</v>
      </c>
      <c r="K9815" s="12" t="s">
        <v>18011</v>
      </c>
      <c r="L9815" s="20">
        <v>0.22641509433962259</v>
      </c>
    </row>
    <row r="9816" spans="1:12" x14ac:dyDescent="0.45">
      <c r="A9816" s="12" t="s">
        <v>17869</v>
      </c>
      <c r="B9816" s="12" t="s">
        <v>880</v>
      </c>
      <c r="C9816" s="13" t="s">
        <v>881</v>
      </c>
      <c r="D9816" s="13" t="s">
        <v>92</v>
      </c>
      <c r="E9816" s="12" t="s">
        <v>35</v>
      </c>
      <c r="F9816" s="14">
        <v>22000</v>
      </c>
      <c r="G9816" s="14">
        <v>16570</v>
      </c>
      <c r="H9816" s="13" t="s">
        <v>18012</v>
      </c>
      <c r="I9816" s="40" t="s">
        <v>18</v>
      </c>
      <c r="J9816" s="40" t="str">
        <f>HYPERLINK("https://stock.pstatic.net/stock-research/company/63/20250808_company_138809000.pdf","PDF")</f>
        <v>PDF</v>
      </c>
      <c r="K9816" s="12" t="s">
        <v>18013</v>
      </c>
      <c r="L9816" s="20">
        <v>0.32770066385033192</v>
      </c>
    </row>
    <row r="9817" spans="1:12" x14ac:dyDescent="0.45">
      <c r="A9817" s="12" t="s">
        <v>17869</v>
      </c>
      <c r="B9817" s="12" t="s">
        <v>110</v>
      </c>
      <c r="C9817" s="13" t="s">
        <v>111</v>
      </c>
      <c r="D9817" s="13" t="s">
        <v>53</v>
      </c>
      <c r="E9817" s="12" t="s">
        <v>16</v>
      </c>
      <c r="F9817" s="14">
        <v>35000</v>
      </c>
      <c r="G9817" s="14">
        <v>23600</v>
      </c>
      <c r="H9817" s="13" t="s">
        <v>18014</v>
      </c>
      <c r="I9817" s="40" t="s">
        <v>18</v>
      </c>
      <c r="J9817" s="40" t="str">
        <f>HYPERLINK("https://stock.pstatic.net/stock-research/company/40/20250808_company_917511000.pdf","PDF")</f>
        <v>PDF</v>
      </c>
      <c r="K9817" s="12" t="s">
        <v>18015</v>
      </c>
      <c r="L9817" s="20">
        <v>0.48305084745762711</v>
      </c>
    </row>
    <row r="9818" spans="1:12" x14ac:dyDescent="0.45">
      <c r="A9818" s="12" t="s">
        <v>17869</v>
      </c>
      <c r="B9818" s="12" t="s">
        <v>2576</v>
      </c>
      <c r="C9818" s="13" t="s">
        <v>2577</v>
      </c>
      <c r="D9818" s="13" t="s">
        <v>23</v>
      </c>
      <c r="E9818" s="12" t="s">
        <v>50</v>
      </c>
      <c r="F9818" s="14">
        <v>870000</v>
      </c>
      <c r="G9818" s="14">
        <v>815000</v>
      </c>
      <c r="H9818" s="13" t="s">
        <v>18016</v>
      </c>
      <c r="I9818" s="40" t="s">
        <v>18</v>
      </c>
      <c r="J9818" s="40" t="str">
        <f>HYPERLINK("https://stock.pstatic.net/stock-research/company/21/20250808_company_265384000.pdf","PDF")</f>
        <v>PDF</v>
      </c>
      <c r="K9818" s="12" t="s">
        <v>18017</v>
      </c>
      <c r="L9818" s="20">
        <v>6.7484662576687116E-2</v>
      </c>
    </row>
    <row r="9819" spans="1:12" x14ac:dyDescent="0.45">
      <c r="A9819" s="12" t="s">
        <v>17869</v>
      </c>
      <c r="B9819" s="12" t="s">
        <v>1097</v>
      </c>
      <c r="C9819" s="13" t="s">
        <v>1098</v>
      </c>
      <c r="D9819" s="13" t="s">
        <v>23</v>
      </c>
      <c r="E9819" s="12" t="s">
        <v>16</v>
      </c>
      <c r="F9819" s="14">
        <v>145000</v>
      </c>
      <c r="G9819" s="14">
        <v>122400</v>
      </c>
      <c r="H9819" s="13" t="s">
        <v>18018</v>
      </c>
      <c r="I9819" s="40" t="s">
        <v>18</v>
      </c>
      <c r="J9819" s="40" t="str">
        <f>HYPERLINK("https://stock.pstatic.net/stock-research/company/21/20250808_company_612663000.pdf","PDF")</f>
        <v>PDF</v>
      </c>
      <c r="K9819" s="12" t="s">
        <v>18019</v>
      </c>
      <c r="L9819" s="20">
        <v>0.184640522875817</v>
      </c>
    </row>
    <row r="9820" spans="1:12" x14ac:dyDescent="0.45">
      <c r="A9820" s="12" t="s">
        <v>17869</v>
      </c>
      <c r="B9820" s="12" t="s">
        <v>1666</v>
      </c>
      <c r="C9820" s="13" t="s">
        <v>1667</v>
      </c>
      <c r="D9820" s="13" t="s">
        <v>179</v>
      </c>
      <c r="E9820" s="12" t="s">
        <v>16</v>
      </c>
      <c r="F9820" s="14">
        <v>79000</v>
      </c>
      <c r="G9820" s="14">
        <v>61900</v>
      </c>
      <c r="H9820" s="13" t="s">
        <v>18020</v>
      </c>
      <c r="I9820" s="40" t="s">
        <v>18</v>
      </c>
      <c r="J9820" s="40" t="str">
        <f>HYPERLINK("https://stock.pstatic.net/stock-research/company/64/20250808_company_508935000.pdf","PDF")</f>
        <v>PDF</v>
      </c>
      <c r="K9820" s="12" t="s">
        <v>18021</v>
      </c>
      <c r="L9820" s="20">
        <v>0.27625201938610661</v>
      </c>
    </row>
    <row r="9821" spans="1:12" x14ac:dyDescent="0.45">
      <c r="A9821" s="12" t="s">
        <v>17869</v>
      </c>
      <c r="B9821" s="12" t="s">
        <v>2933</v>
      </c>
      <c r="C9821" s="13" t="s">
        <v>2934</v>
      </c>
      <c r="D9821" s="13" t="s">
        <v>23</v>
      </c>
      <c r="E9821" s="12" t="s">
        <v>16</v>
      </c>
      <c r="F9821" s="14">
        <v>141000</v>
      </c>
      <c r="G9821" s="14">
        <v>120800</v>
      </c>
      <c r="H9821" s="13" t="s">
        <v>18022</v>
      </c>
      <c r="I9821" s="40" t="s">
        <v>18</v>
      </c>
      <c r="J9821" s="40" t="str">
        <f>HYPERLINK("https://stock.pstatic.net/stock-research/company/21/20250808_company_808320000.pdf","PDF")</f>
        <v>PDF</v>
      </c>
      <c r="K9821" s="12" t="s">
        <v>18023</v>
      </c>
      <c r="L9821" s="20">
        <v>0.16721854304635761</v>
      </c>
    </row>
    <row r="9822" spans="1:12" x14ac:dyDescent="0.45">
      <c r="A9822" s="12" t="s">
        <v>17869</v>
      </c>
      <c r="B9822" s="12" t="s">
        <v>2887</v>
      </c>
      <c r="C9822" s="13" t="s">
        <v>2888</v>
      </c>
      <c r="D9822" s="13" t="s">
        <v>92</v>
      </c>
      <c r="E9822" s="12" t="s">
        <v>35</v>
      </c>
      <c r="F9822" s="14">
        <v>330000</v>
      </c>
      <c r="G9822" s="14">
        <v>292500</v>
      </c>
      <c r="H9822" s="13" t="s">
        <v>18024</v>
      </c>
      <c r="I9822" s="40" t="s">
        <v>18</v>
      </c>
      <c r="J9822" s="40" t="str">
        <f>HYPERLINK("https://stock.pstatic.net/stock-research/company/63/20250808_company_789969000.pdf","PDF")</f>
        <v>PDF</v>
      </c>
      <c r="K9822" s="12" t="s">
        <v>18025</v>
      </c>
      <c r="L9822" s="20">
        <v>0.12820512820512819</v>
      </c>
    </row>
    <row r="9823" spans="1:12" x14ac:dyDescent="0.45">
      <c r="A9823" s="12" t="s">
        <v>17869</v>
      </c>
      <c r="B9823" s="12" t="s">
        <v>2887</v>
      </c>
      <c r="C9823" s="13" t="s">
        <v>2888</v>
      </c>
      <c r="D9823" s="13" t="s">
        <v>23</v>
      </c>
      <c r="E9823" s="12" t="s">
        <v>16</v>
      </c>
      <c r="F9823" s="14">
        <v>360000</v>
      </c>
      <c r="G9823" s="14">
        <v>292500</v>
      </c>
      <c r="H9823" s="13" t="s">
        <v>18026</v>
      </c>
      <c r="I9823" s="40" t="s">
        <v>18</v>
      </c>
      <c r="J9823" s="40" t="str">
        <f>HYPERLINK("https://stock.pstatic.net/stock-research/company/21/20250808_company_175886000.pdf","PDF")</f>
        <v>PDF</v>
      </c>
      <c r="K9823" s="12" t="s">
        <v>18027</v>
      </c>
      <c r="L9823" s="20">
        <v>0.23076923076923081</v>
      </c>
    </row>
    <row r="9824" spans="1:12" x14ac:dyDescent="0.45">
      <c r="A9824" s="12" t="s">
        <v>17869</v>
      </c>
      <c r="B9824" s="12" t="s">
        <v>1042</v>
      </c>
      <c r="C9824" s="13" t="s">
        <v>1043</v>
      </c>
      <c r="D9824" s="13" t="s">
        <v>44</v>
      </c>
      <c r="E9824" s="12" t="s">
        <v>35</v>
      </c>
      <c r="F9824" s="14">
        <v>38000</v>
      </c>
      <c r="G9824" s="14">
        <v>30000</v>
      </c>
      <c r="H9824" s="13" t="s">
        <v>18028</v>
      </c>
      <c r="I9824" s="40" t="s">
        <v>18</v>
      </c>
      <c r="J9824" s="40" t="str">
        <f>HYPERLINK("https://stock.pstatic.net/stock-research/company/39/20250808_company_612189000.pdf","PDF")</f>
        <v>PDF</v>
      </c>
      <c r="K9824" s="12" t="s">
        <v>18029</v>
      </c>
      <c r="L9824" s="20">
        <v>0.26666666666666672</v>
      </c>
    </row>
    <row r="9825" spans="1:12" x14ac:dyDescent="0.45">
      <c r="A9825" s="12" t="s">
        <v>17869</v>
      </c>
      <c r="B9825" s="12" t="s">
        <v>2217</v>
      </c>
      <c r="C9825" s="13" t="s">
        <v>2218</v>
      </c>
      <c r="D9825" s="13" t="s">
        <v>92</v>
      </c>
      <c r="E9825" s="12" t="s">
        <v>35</v>
      </c>
      <c r="F9825" s="14">
        <v>104000</v>
      </c>
      <c r="G9825" s="14">
        <v>82800</v>
      </c>
      <c r="H9825" s="13" t="s">
        <v>18030</v>
      </c>
      <c r="I9825" s="40" t="s">
        <v>18</v>
      </c>
      <c r="J9825" s="40" t="str">
        <f>HYPERLINK("https://stock.pstatic.net/stock-research/company/63/20250808_company_511646000.pdf","PDF")</f>
        <v>PDF</v>
      </c>
      <c r="K9825" s="12" t="s">
        <v>18031</v>
      </c>
      <c r="L9825" s="20">
        <v>0.2560386473429952</v>
      </c>
    </row>
    <row r="9826" spans="1:12" x14ac:dyDescent="0.45">
      <c r="A9826" s="12" t="s">
        <v>17869</v>
      </c>
      <c r="B9826" s="12" t="s">
        <v>2425</v>
      </c>
      <c r="C9826" s="13" t="s">
        <v>2426</v>
      </c>
      <c r="D9826" s="13" t="s">
        <v>23</v>
      </c>
      <c r="E9826" s="12" t="s">
        <v>16</v>
      </c>
      <c r="F9826" s="14">
        <v>170000</v>
      </c>
      <c r="G9826" s="14">
        <v>138500</v>
      </c>
      <c r="H9826" s="13" t="s">
        <v>18032</v>
      </c>
      <c r="I9826" s="40" t="s">
        <v>18</v>
      </c>
      <c r="J9826" s="40" t="str">
        <f>HYPERLINK("https://stock.pstatic.net/stock-research/company/21/20250808_company_688613000.pdf","PDF")</f>
        <v>PDF</v>
      </c>
      <c r="K9826" s="12" t="s">
        <v>18033</v>
      </c>
      <c r="L9826" s="20">
        <v>0.22743682310469321</v>
      </c>
    </row>
    <row r="9827" spans="1:12" x14ac:dyDescent="0.45">
      <c r="A9827" s="12" t="s">
        <v>17869</v>
      </c>
      <c r="B9827" s="12" t="s">
        <v>1540</v>
      </c>
      <c r="C9827" s="13" t="s">
        <v>1541</v>
      </c>
      <c r="D9827" s="13" t="s">
        <v>23</v>
      </c>
      <c r="E9827" s="12" t="s">
        <v>16</v>
      </c>
      <c r="F9827" s="14">
        <v>63000</v>
      </c>
      <c r="G9827" s="14">
        <v>53500</v>
      </c>
      <c r="H9827" s="13" t="s">
        <v>18034</v>
      </c>
      <c r="I9827" s="40" t="s">
        <v>18</v>
      </c>
      <c r="J9827" s="40" t="str">
        <f>HYPERLINK("https://stock.pstatic.net/stock-research/company/21/20250808_company_531178000.pdf","PDF")</f>
        <v>PDF</v>
      </c>
      <c r="K9827" s="12" t="s">
        <v>18035</v>
      </c>
      <c r="L9827" s="20">
        <v>0.17757009345794389</v>
      </c>
    </row>
    <row r="9828" spans="1:12" x14ac:dyDescent="0.45">
      <c r="A9828" s="12" t="s">
        <v>17869</v>
      </c>
      <c r="B9828" s="12" t="s">
        <v>1666</v>
      </c>
      <c r="C9828" s="13" t="s">
        <v>1667</v>
      </c>
      <c r="D9828" s="13" t="s">
        <v>92</v>
      </c>
      <c r="E9828" s="12" t="s">
        <v>35</v>
      </c>
      <c r="F9828" s="14">
        <v>70000</v>
      </c>
      <c r="G9828" s="14">
        <v>61900</v>
      </c>
      <c r="H9828" s="13" t="s">
        <v>18036</v>
      </c>
      <c r="I9828" s="40" t="s">
        <v>18</v>
      </c>
      <c r="J9828" s="40" t="str">
        <f>HYPERLINK("https://stock.pstatic.net/stock-research/company/63/20250808_company_902001000.pdf","PDF")</f>
        <v>PDF</v>
      </c>
      <c r="K9828" s="12" t="s">
        <v>18037</v>
      </c>
      <c r="L9828" s="20">
        <v>0.13085621970920841</v>
      </c>
    </row>
    <row r="9829" spans="1:12" x14ac:dyDescent="0.45">
      <c r="A9829" s="12" t="s">
        <v>17869</v>
      </c>
      <c r="B9829" s="12" t="s">
        <v>916</v>
      </c>
      <c r="C9829" s="13" t="s">
        <v>917</v>
      </c>
      <c r="D9829" s="13" t="s">
        <v>92</v>
      </c>
      <c r="E9829" s="12" t="s">
        <v>35</v>
      </c>
      <c r="F9829" s="14">
        <v>74000</v>
      </c>
      <c r="G9829" s="14">
        <v>63600</v>
      </c>
      <c r="H9829" s="13" t="s">
        <v>18038</v>
      </c>
      <c r="I9829" s="40" t="s">
        <v>18</v>
      </c>
      <c r="J9829" s="40" t="str">
        <f>HYPERLINK("https://stock.pstatic.net/stock-research/company/63/20250808_company_872665000.pdf","PDF")</f>
        <v>PDF</v>
      </c>
      <c r="K9829" s="12" t="s">
        <v>18039</v>
      </c>
      <c r="L9829" s="20">
        <v>0.16352201257861629</v>
      </c>
    </row>
    <row r="9830" spans="1:12" x14ac:dyDescent="0.45">
      <c r="A9830" s="12" t="s">
        <v>17869</v>
      </c>
      <c r="B9830" s="12" t="s">
        <v>2576</v>
      </c>
      <c r="C9830" s="13" t="s">
        <v>2577</v>
      </c>
      <c r="D9830" s="13" t="s">
        <v>34</v>
      </c>
      <c r="E9830" s="12" t="s">
        <v>159</v>
      </c>
      <c r="F9830" s="14">
        <v>740000</v>
      </c>
      <c r="G9830" s="14">
        <v>815000</v>
      </c>
      <c r="H9830" s="13" t="s">
        <v>18040</v>
      </c>
      <c r="I9830" s="40" t="s">
        <v>18</v>
      </c>
      <c r="J9830" s="40" t="str">
        <f>HYPERLINK("https://stock.pstatic.net/stock-research/company/61/20250808_company_275858000.pdf","PDF")</f>
        <v>PDF</v>
      </c>
      <c r="K9830" s="12" t="s">
        <v>18041</v>
      </c>
      <c r="L9830" s="20">
        <v>-9.202453987730061E-2</v>
      </c>
    </row>
    <row r="9831" spans="1:12" x14ac:dyDescent="0.45">
      <c r="A9831" s="12" t="s">
        <v>17869</v>
      </c>
      <c r="B9831" s="12" t="s">
        <v>11387</v>
      </c>
      <c r="C9831" s="13" t="s">
        <v>11388</v>
      </c>
      <c r="D9831" s="13" t="s">
        <v>23</v>
      </c>
      <c r="E9831" s="12" t="s">
        <v>50</v>
      </c>
      <c r="F9831" s="14">
        <v>11300</v>
      </c>
      <c r="G9831" s="14">
        <v>10930</v>
      </c>
      <c r="H9831" s="13" t="s">
        <v>18042</v>
      </c>
      <c r="I9831" s="40" t="s">
        <v>18</v>
      </c>
      <c r="J9831" s="40" t="str">
        <f>HYPERLINK("https://stock.pstatic.net/stock-research/company/21/20250808_company_744692000.pdf","PDF")</f>
        <v>PDF</v>
      </c>
      <c r="K9831" s="12" t="s">
        <v>18043</v>
      </c>
      <c r="L9831" s="20">
        <v>3.385178408051235E-2</v>
      </c>
    </row>
    <row r="9832" spans="1:12" x14ac:dyDescent="0.45">
      <c r="A9832" s="12" t="s">
        <v>17869</v>
      </c>
      <c r="B9832" s="12" t="s">
        <v>10531</v>
      </c>
      <c r="C9832" s="13" t="s">
        <v>10532</v>
      </c>
      <c r="D9832" s="13" t="s">
        <v>23</v>
      </c>
      <c r="E9832" s="12" t="s">
        <v>50</v>
      </c>
      <c r="F9832" s="14">
        <v>18000</v>
      </c>
      <c r="G9832" s="14">
        <v>17170</v>
      </c>
      <c r="H9832" s="13" t="s">
        <v>18044</v>
      </c>
      <c r="I9832" s="40" t="s">
        <v>18</v>
      </c>
      <c r="J9832" s="40" t="str">
        <f>HYPERLINK("https://stock.pstatic.net/stock-research/company/21/20250808_company_841699000.pdf","PDF")</f>
        <v>PDF</v>
      </c>
      <c r="K9832" s="12" t="s">
        <v>18045</v>
      </c>
      <c r="L9832" s="20">
        <v>4.8340128130460097E-2</v>
      </c>
    </row>
    <row r="9833" spans="1:12" x14ac:dyDescent="0.45">
      <c r="A9833" s="12" t="s">
        <v>17869</v>
      </c>
      <c r="B9833" s="12" t="s">
        <v>110</v>
      </c>
      <c r="C9833" s="13" t="s">
        <v>111</v>
      </c>
      <c r="D9833" s="13" t="s">
        <v>44</v>
      </c>
      <c r="E9833" s="12" t="s">
        <v>35</v>
      </c>
      <c r="F9833" s="14">
        <v>29000</v>
      </c>
      <c r="G9833" s="14">
        <v>23600</v>
      </c>
      <c r="H9833" s="13" t="s">
        <v>18046</v>
      </c>
      <c r="I9833" s="40" t="s">
        <v>18</v>
      </c>
      <c r="J9833" s="40" t="str">
        <f>HYPERLINK("https://stock.pstatic.net/stock-research/company/39/20250808_company_770285000.pdf","PDF")</f>
        <v>PDF</v>
      </c>
      <c r="K9833" s="12" t="s">
        <v>18047</v>
      </c>
      <c r="L9833" s="20">
        <v>0.2288135593220339</v>
      </c>
    </row>
    <row r="9834" spans="1:12" x14ac:dyDescent="0.45">
      <c r="A9834" s="12" t="s">
        <v>17869</v>
      </c>
      <c r="B9834" s="12" t="s">
        <v>916</v>
      </c>
      <c r="C9834" s="13" t="s">
        <v>917</v>
      </c>
      <c r="D9834" s="13" t="s">
        <v>23</v>
      </c>
      <c r="E9834" s="12" t="s">
        <v>16</v>
      </c>
      <c r="F9834" s="14">
        <v>87000</v>
      </c>
      <c r="G9834" s="14">
        <v>63600</v>
      </c>
      <c r="H9834" s="13" t="s">
        <v>18048</v>
      </c>
      <c r="I9834" s="40" t="s">
        <v>18</v>
      </c>
      <c r="J9834" s="40" t="str">
        <f>HYPERLINK("https://stock.pstatic.net/stock-research/company/21/20250808_company_739627000.pdf","PDF")</f>
        <v>PDF</v>
      </c>
      <c r="K9834" s="12" t="s">
        <v>18049</v>
      </c>
      <c r="L9834" s="20">
        <v>0.36792452830188682</v>
      </c>
    </row>
    <row r="9835" spans="1:12" x14ac:dyDescent="0.45">
      <c r="A9835" s="12" t="s">
        <v>17869</v>
      </c>
      <c r="B9835" s="12" t="s">
        <v>1678</v>
      </c>
      <c r="C9835" s="13" t="s">
        <v>1679</v>
      </c>
      <c r="D9835" s="13" t="s">
        <v>92</v>
      </c>
      <c r="E9835" s="12" t="s">
        <v>35</v>
      </c>
      <c r="F9835" s="14">
        <v>95000</v>
      </c>
      <c r="G9835" s="14">
        <v>69000</v>
      </c>
      <c r="H9835" s="13" t="s">
        <v>18050</v>
      </c>
      <c r="I9835" s="40" t="s">
        <v>18</v>
      </c>
      <c r="J9835" s="40" t="str">
        <f>HYPERLINK("https://stock.pstatic.net/stock-research/company/63/20250808_company_141594000.pdf","PDF")</f>
        <v>PDF</v>
      </c>
      <c r="K9835" s="12" t="s">
        <v>18051</v>
      </c>
      <c r="L9835" s="20">
        <v>0.37681159420289861</v>
      </c>
    </row>
    <row r="9836" spans="1:12" x14ac:dyDescent="0.45">
      <c r="A9836" s="12" t="s">
        <v>17869</v>
      </c>
      <c r="B9836" s="12" t="s">
        <v>2887</v>
      </c>
      <c r="C9836" s="13" t="s">
        <v>2888</v>
      </c>
      <c r="D9836" s="13" t="s">
        <v>34</v>
      </c>
      <c r="E9836" s="12" t="s">
        <v>35</v>
      </c>
      <c r="F9836" s="14">
        <v>370000</v>
      </c>
      <c r="G9836" s="14">
        <v>292500</v>
      </c>
      <c r="H9836" s="13" t="s">
        <v>18052</v>
      </c>
      <c r="I9836" s="40" t="s">
        <v>18</v>
      </c>
      <c r="J9836" s="40" t="str">
        <f>HYPERLINK("https://stock.pstatic.net/stock-research/company/61/20250808_company_311711000.pdf","PDF")</f>
        <v>PDF</v>
      </c>
      <c r="K9836" s="12" t="s">
        <v>18053</v>
      </c>
      <c r="L9836" s="20">
        <v>0.26495726495726502</v>
      </c>
    </row>
    <row r="9837" spans="1:12" x14ac:dyDescent="0.45">
      <c r="A9837" s="12" t="s">
        <v>17869</v>
      </c>
      <c r="B9837" s="12" t="s">
        <v>1660</v>
      </c>
      <c r="C9837" s="13" t="s">
        <v>1661</v>
      </c>
      <c r="D9837" s="13" t="s">
        <v>92</v>
      </c>
      <c r="E9837" s="12" t="s">
        <v>35</v>
      </c>
      <c r="F9837" s="14">
        <v>60000</v>
      </c>
      <c r="G9837" s="14">
        <v>46650</v>
      </c>
      <c r="H9837" s="13" t="s">
        <v>18054</v>
      </c>
      <c r="I9837" s="40" t="s">
        <v>18</v>
      </c>
      <c r="J9837" s="40" t="str">
        <f>HYPERLINK("https://stock.pstatic.net/stock-research/company/63/20250808_company_408486000.pdf","PDF")</f>
        <v>PDF</v>
      </c>
      <c r="K9837" s="12" t="s">
        <v>18055</v>
      </c>
      <c r="L9837" s="20">
        <v>0.2861736334405145</v>
      </c>
    </row>
    <row r="9838" spans="1:12" x14ac:dyDescent="0.45">
      <c r="A9838" s="12" t="s">
        <v>17869</v>
      </c>
      <c r="B9838" s="12" t="s">
        <v>2425</v>
      </c>
      <c r="C9838" s="13" t="s">
        <v>2426</v>
      </c>
      <c r="D9838" s="13" t="s">
        <v>44</v>
      </c>
      <c r="E9838" s="12" t="s">
        <v>35</v>
      </c>
      <c r="F9838" s="14">
        <v>170000</v>
      </c>
      <c r="G9838" s="14">
        <v>138500</v>
      </c>
      <c r="H9838" s="13" t="s">
        <v>18056</v>
      </c>
      <c r="I9838" s="40" t="s">
        <v>18</v>
      </c>
      <c r="J9838" s="40" t="str">
        <f>HYPERLINK("https://stock.pstatic.net/stock-research/company/39/20250808_company_103267000.pdf","PDF")</f>
        <v>PDF</v>
      </c>
      <c r="K9838" s="12" t="s">
        <v>18057</v>
      </c>
      <c r="L9838" s="20">
        <v>0.22743682310469321</v>
      </c>
    </row>
    <row r="9839" spans="1:12" x14ac:dyDescent="0.45">
      <c r="A9839" s="12" t="s">
        <v>17869</v>
      </c>
      <c r="B9839" s="12" t="s">
        <v>1097</v>
      </c>
      <c r="C9839" s="13" t="s">
        <v>1098</v>
      </c>
      <c r="D9839" s="13" t="s">
        <v>44</v>
      </c>
      <c r="E9839" s="12" t="s">
        <v>50</v>
      </c>
      <c r="F9839" s="13"/>
      <c r="G9839" s="13"/>
      <c r="H9839" s="13" t="s">
        <v>18058</v>
      </c>
      <c r="I9839" s="40" t="s">
        <v>18</v>
      </c>
      <c r="J9839" s="40" t="str">
        <f>HYPERLINK("https://stock.pstatic.net/stock-research/company/39/20250808_company_619462000.pdf","PDF")</f>
        <v>PDF</v>
      </c>
      <c r="K9839" s="12" t="s">
        <v>18059</v>
      </c>
    </row>
    <row r="9840" spans="1:12" x14ac:dyDescent="0.45">
      <c r="A9840" s="12" t="s">
        <v>17869</v>
      </c>
      <c r="B9840" s="12" t="s">
        <v>2425</v>
      </c>
      <c r="C9840" s="13" t="s">
        <v>2426</v>
      </c>
      <c r="D9840" s="13" t="s">
        <v>34</v>
      </c>
      <c r="E9840" s="12" t="s">
        <v>35</v>
      </c>
      <c r="F9840" s="14">
        <v>175000</v>
      </c>
      <c r="G9840" s="14">
        <v>138500</v>
      </c>
      <c r="H9840" s="13" t="s">
        <v>18060</v>
      </c>
      <c r="I9840" s="40" t="s">
        <v>18</v>
      </c>
      <c r="J9840" s="40" t="str">
        <f>HYPERLINK("https://stock.pstatic.net/stock-research/company/61/20250812_company_481415000.pdf","PDF")</f>
        <v>PDF</v>
      </c>
      <c r="K9840" s="12" t="s">
        <v>18061</v>
      </c>
      <c r="L9840" s="20">
        <v>0.26353790613718409</v>
      </c>
    </row>
    <row r="9841" spans="1:12" x14ac:dyDescent="0.45">
      <c r="A9841" s="12" t="s">
        <v>17869</v>
      </c>
      <c r="B9841" s="12" t="s">
        <v>2887</v>
      </c>
      <c r="C9841" s="13" t="s">
        <v>2888</v>
      </c>
      <c r="D9841" s="13" t="s">
        <v>44</v>
      </c>
      <c r="E9841" s="12" t="s">
        <v>35</v>
      </c>
      <c r="F9841" s="14">
        <v>360000</v>
      </c>
      <c r="G9841" s="14">
        <v>292500</v>
      </c>
      <c r="H9841" s="13" t="s">
        <v>18062</v>
      </c>
      <c r="I9841" s="40" t="s">
        <v>18</v>
      </c>
      <c r="J9841" s="40" t="str">
        <f>HYPERLINK("https://stock.pstatic.net/stock-research/company/39/20250808_company_583076000.pdf","PDF")</f>
        <v>PDF</v>
      </c>
      <c r="K9841" s="12" t="s">
        <v>18063</v>
      </c>
      <c r="L9841" s="20">
        <v>0.23076923076923081</v>
      </c>
    </row>
    <row r="9842" spans="1:12" x14ac:dyDescent="0.45">
      <c r="A9842" s="12" t="s">
        <v>17869</v>
      </c>
      <c r="B9842" s="12" t="s">
        <v>12399</v>
      </c>
      <c r="C9842" s="13" t="s">
        <v>12400</v>
      </c>
      <c r="D9842" s="13" t="s">
        <v>44</v>
      </c>
      <c r="E9842" s="12" t="s">
        <v>35</v>
      </c>
      <c r="F9842" s="14">
        <v>88000</v>
      </c>
      <c r="G9842" s="14">
        <v>67300</v>
      </c>
      <c r="H9842" s="13" t="s">
        <v>18064</v>
      </c>
      <c r="I9842" s="40" t="s">
        <v>18</v>
      </c>
      <c r="J9842" s="40" t="str">
        <f>HYPERLINK("https://stock.pstatic.net/stock-research/company/39/20250808_company_12434000.pdf","PDF")</f>
        <v>PDF</v>
      </c>
      <c r="K9842" s="12" t="s">
        <v>18065</v>
      </c>
      <c r="L9842" s="20">
        <v>0.30757800891530462</v>
      </c>
    </row>
    <row r="9843" spans="1:12" x14ac:dyDescent="0.45">
      <c r="A9843" s="12" t="s">
        <v>17869</v>
      </c>
      <c r="B9843" s="12" t="s">
        <v>1023</v>
      </c>
      <c r="C9843" s="13" t="s">
        <v>15</v>
      </c>
      <c r="D9843" s="13" t="s">
        <v>44</v>
      </c>
      <c r="E9843" s="12" t="s">
        <v>35</v>
      </c>
      <c r="F9843" s="14">
        <v>28000</v>
      </c>
      <c r="G9843" s="14">
        <v>18900</v>
      </c>
      <c r="H9843" s="13" t="s">
        <v>18066</v>
      </c>
      <c r="I9843" s="40" t="s">
        <v>18</v>
      </c>
      <c r="J9843" s="40" t="str">
        <f>HYPERLINK("https://stock.pstatic.net/stock-research/company/39/20250808_company_882897000.pdf","PDF")</f>
        <v>PDF</v>
      </c>
      <c r="K9843" s="12" t="s">
        <v>18067</v>
      </c>
      <c r="L9843" s="20">
        <v>0.48148148148148151</v>
      </c>
    </row>
    <row r="9844" spans="1:12" x14ac:dyDescent="0.45">
      <c r="A9844" s="12" t="s">
        <v>17869</v>
      </c>
      <c r="B9844" s="12" t="s">
        <v>6310</v>
      </c>
      <c r="C9844" s="13" t="s">
        <v>6311</v>
      </c>
      <c r="D9844" s="13" t="s">
        <v>124</v>
      </c>
      <c r="E9844" s="12" t="s">
        <v>50</v>
      </c>
      <c r="F9844" s="13"/>
      <c r="G9844" s="13"/>
      <c r="H9844" s="13" t="s">
        <v>18068</v>
      </c>
      <c r="I9844" s="40" t="s">
        <v>18</v>
      </c>
      <c r="J9844" s="40" t="str">
        <f>HYPERLINK("https://stock.pstatic.net/stock-research/company/74/20250808_company_155932000.pdf","PDF")</f>
        <v>PDF</v>
      </c>
      <c r="K9844" s="12" t="s">
        <v>18069</v>
      </c>
    </row>
    <row r="9845" spans="1:12" x14ac:dyDescent="0.45">
      <c r="A9845" s="12" t="s">
        <v>17869</v>
      </c>
      <c r="B9845" s="12" t="s">
        <v>942</v>
      </c>
      <c r="C9845" s="13" t="s">
        <v>943</v>
      </c>
      <c r="D9845" s="13" t="s">
        <v>124</v>
      </c>
      <c r="E9845" s="12" t="s">
        <v>50</v>
      </c>
      <c r="F9845" s="13"/>
      <c r="G9845" s="13"/>
      <c r="H9845" s="13" t="s">
        <v>18070</v>
      </c>
      <c r="I9845" s="40" t="s">
        <v>18</v>
      </c>
      <c r="J9845" s="40" t="str">
        <f>HYPERLINK("https://stock.pstatic.net/stock-research/company/74/20250808_company_263082000.pdf","PDF")</f>
        <v>PDF</v>
      </c>
      <c r="K9845" s="12" t="s">
        <v>18071</v>
      </c>
    </row>
    <row r="9846" spans="1:12" x14ac:dyDescent="0.45">
      <c r="A9846" s="12" t="s">
        <v>17869</v>
      </c>
      <c r="B9846" s="12" t="s">
        <v>3200</v>
      </c>
      <c r="C9846" s="13" t="s">
        <v>3201</v>
      </c>
      <c r="D9846" s="13" t="s">
        <v>124</v>
      </c>
      <c r="E9846" s="12" t="s">
        <v>50</v>
      </c>
      <c r="F9846" s="13"/>
      <c r="G9846" s="13"/>
      <c r="H9846" s="13" t="s">
        <v>18072</v>
      </c>
      <c r="I9846" s="40" t="s">
        <v>18</v>
      </c>
      <c r="J9846" s="40" t="str">
        <f>HYPERLINK("https://stock.pstatic.net/stock-research/company/74/20250808_company_61350000.pdf","PDF")</f>
        <v>PDF</v>
      </c>
      <c r="K9846" s="12" t="s">
        <v>18073</v>
      </c>
    </row>
    <row r="9847" spans="1:12" x14ac:dyDescent="0.45">
      <c r="A9847" s="12" t="s">
        <v>17869</v>
      </c>
      <c r="B9847" s="12" t="s">
        <v>3395</v>
      </c>
      <c r="C9847" s="13" t="s">
        <v>3396</v>
      </c>
      <c r="D9847" s="13" t="s">
        <v>15</v>
      </c>
      <c r="E9847" s="12" t="s">
        <v>16</v>
      </c>
      <c r="F9847" s="14">
        <v>20800</v>
      </c>
      <c r="G9847" s="14">
        <v>14770</v>
      </c>
      <c r="H9847" s="13" t="s">
        <v>18074</v>
      </c>
      <c r="I9847" s="40" t="s">
        <v>18</v>
      </c>
      <c r="J9847" s="40" t="str">
        <f>HYPERLINK("https://stock.pstatic.net/stock-research/company/29/20250808_company_712906000.pdf","PDF")</f>
        <v>PDF</v>
      </c>
      <c r="K9847" s="12" t="s">
        <v>18075</v>
      </c>
      <c r="L9847" s="20">
        <v>0.4082599864590386</v>
      </c>
    </row>
    <row r="9848" spans="1:12" x14ac:dyDescent="0.45">
      <c r="A9848" s="12" t="s">
        <v>17869</v>
      </c>
      <c r="B9848" s="12" t="s">
        <v>1540</v>
      </c>
      <c r="C9848" s="13" t="s">
        <v>1541</v>
      </c>
      <c r="D9848" s="13" t="s">
        <v>15</v>
      </c>
      <c r="E9848" s="12" t="s">
        <v>16</v>
      </c>
      <c r="F9848" s="14">
        <v>55000</v>
      </c>
      <c r="G9848" s="14">
        <v>53500</v>
      </c>
      <c r="H9848" s="13" t="s">
        <v>18076</v>
      </c>
      <c r="I9848" s="40" t="s">
        <v>18</v>
      </c>
      <c r="J9848" s="40" t="str">
        <f>HYPERLINK("https://stock.pstatic.net/stock-research/company/29/20250808_company_850288000.pdf","PDF")</f>
        <v>PDF</v>
      </c>
      <c r="K9848" s="12" t="s">
        <v>18077</v>
      </c>
      <c r="L9848" s="20">
        <v>2.803738317757009E-2</v>
      </c>
    </row>
    <row r="9849" spans="1:12" x14ac:dyDescent="0.45">
      <c r="A9849" s="12" t="s">
        <v>17869</v>
      </c>
      <c r="B9849" s="12" t="s">
        <v>18078</v>
      </c>
      <c r="C9849" s="13" t="s">
        <v>18079</v>
      </c>
      <c r="D9849" s="13" t="s">
        <v>207</v>
      </c>
      <c r="E9849" s="12" t="s">
        <v>50</v>
      </c>
      <c r="F9849" s="13"/>
      <c r="G9849" s="13"/>
      <c r="H9849" s="13" t="s">
        <v>18080</v>
      </c>
      <c r="I9849" s="40" t="s">
        <v>18</v>
      </c>
      <c r="J9849" s="40" t="str">
        <f>HYPERLINK("https://stock.pstatic.net/stock-research/company/75/20250808_company_951545000.pdf","PDF")</f>
        <v>PDF</v>
      </c>
      <c r="K9849" s="12" t="s">
        <v>18081</v>
      </c>
    </row>
    <row r="9850" spans="1:12" x14ac:dyDescent="0.45">
      <c r="A9850" s="12" t="s">
        <v>17869</v>
      </c>
      <c r="B9850" s="12" t="s">
        <v>2917</v>
      </c>
      <c r="C9850" s="13" t="s">
        <v>2918</v>
      </c>
      <c r="D9850" s="13" t="s">
        <v>202</v>
      </c>
      <c r="E9850" s="12" t="s">
        <v>50</v>
      </c>
      <c r="F9850" s="13"/>
      <c r="G9850" s="13"/>
      <c r="H9850" s="13" t="s">
        <v>18082</v>
      </c>
      <c r="I9850" s="40" t="s">
        <v>18</v>
      </c>
      <c r="J9850" s="40" t="str">
        <f>HYPERLINK("https://stock.pstatic.net/stock-research/company/69/20250808_company_931511000.pdf","PDF")</f>
        <v>PDF</v>
      </c>
      <c r="K9850" s="12" t="s">
        <v>18083</v>
      </c>
    </row>
    <row r="9851" spans="1:12" x14ac:dyDescent="0.45">
      <c r="A9851" s="12" t="s">
        <v>17869</v>
      </c>
      <c r="B9851" s="12" t="s">
        <v>182</v>
      </c>
      <c r="C9851" s="13" t="s">
        <v>183</v>
      </c>
      <c r="D9851" s="13" t="s">
        <v>11154</v>
      </c>
      <c r="E9851" s="12" t="s">
        <v>50</v>
      </c>
      <c r="F9851" s="13"/>
      <c r="G9851" s="13"/>
      <c r="H9851" s="13" t="s">
        <v>18084</v>
      </c>
      <c r="I9851" s="40" t="s">
        <v>18</v>
      </c>
      <c r="J9851" s="40" t="str">
        <f>HYPERLINK("https://stock.pstatic.net/stock-research/company/1/20250808_company_673423000.pdf","PDF")</f>
        <v>PDF</v>
      </c>
      <c r="K9851" s="12" t="s">
        <v>18085</v>
      </c>
    </row>
    <row r="9852" spans="1:12" x14ac:dyDescent="0.45">
      <c r="A9852" s="12" t="s">
        <v>17869</v>
      </c>
      <c r="B9852" s="12" t="s">
        <v>18086</v>
      </c>
      <c r="C9852" s="13" t="s">
        <v>18087</v>
      </c>
      <c r="D9852" s="13" t="s">
        <v>11154</v>
      </c>
      <c r="E9852" s="12" t="s">
        <v>50</v>
      </c>
      <c r="F9852" s="13"/>
      <c r="G9852" s="13"/>
      <c r="H9852" s="13" t="s">
        <v>18088</v>
      </c>
      <c r="I9852" s="40" t="s">
        <v>18</v>
      </c>
      <c r="J9852" s="40" t="str">
        <f>HYPERLINK("https://stock.pstatic.net/stock-research/company/79/20250808_company_100601000.pdf","PDF")</f>
        <v>PDF</v>
      </c>
      <c r="K9852" s="12" t="s">
        <v>18089</v>
      </c>
    </row>
    <row r="9853" spans="1:12" x14ac:dyDescent="0.45">
      <c r="A9853" s="12" t="s">
        <v>17869</v>
      </c>
      <c r="B9853" s="12" t="s">
        <v>18090</v>
      </c>
      <c r="C9853" s="13" t="s">
        <v>18091</v>
      </c>
      <c r="D9853" s="13" t="s">
        <v>11154</v>
      </c>
      <c r="E9853" s="12" t="s">
        <v>50</v>
      </c>
      <c r="F9853" s="13"/>
      <c r="G9853" s="13"/>
      <c r="H9853" s="13" t="s">
        <v>18092</v>
      </c>
      <c r="I9853" s="40" t="s">
        <v>18</v>
      </c>
      <c r="J9853" s="40" t="str">
        <f>HYPERLINK("https://stock.pstatic.net/stock-research/company/79/20250808_company_995649000.pdf","PDF")</f>
        <v>PDF</v>
      </c>
      <c r="K9853" s="12" t="s">
        <v>18093</v>
      </c>
    </row>
    <row r="9854" spans="1:12" x14ac:dyDescent="0.45">
      <c r="A9854" s="12" t="s">
        <v>17869</v>
      </c>
      <c r="B9854" s="12" t="s">
        <v>18094</v>
      </c>
      <c r="C9854" s="13" t="s">
        <v>18095</v>
      </c>
      <c r="D9854" s="13" t="s">
        <v>11154</v>
      </c>
      <c r="E9854" s="12" t="s">
        <v>50</v>
      </c>
      <c r="F9854" s="13"/>
      <c r="G9854" s="13"/>
      <c r="H9854" s="13" t="s">
        <v>18096</v>
      </c>
      <c r="I9854" s="40" t="s">
        <v>18</v>
      </c>
      <c r="J9854" s="40" t="str">
        <f>HYPERLINK("https://stock.pstatic.net/stock-research/company/79/20250808_company_689376000.pdf","PDF")</f>
        <v>PDF</v>
      </c>
      <c r="K9854" s="12" t="s">
        <v>18097</v>
      </c>
    </row>
    <row r="9855" spans="1:12" x14ac:dyDescent="0.45">
      <c r="A9855" s="12" t="s">
        <v>17869</v>
      </c>
      <c r="B9855" s="12" t="s">
        <v>10923</v>
      </c>
      <c r="C9855" s="13" t="s">
        <v>10924</v>
      </c>
      <c r="D9855" s="13" t="s">
        <v>11154</v>
      </c>
      <c r="E9855" s="12" t="s">
        <v>50</v>
      </c>
      <c r="F9855" s="13"/>
      <c r="G9855" s="13"/>
      <c r="H9855" s="13" t="s">
        <v>18098</v>
      </c>
      <c r="I9855" s="40" t="s">
        <v>18</v>
      </c>
      <c r="J9855" s="40" t="str">
        <f>HYPERLINK("https://stock.pstatic.net/stock-research/company/79/20250808_company_408739000.pdf","PDF")</f>
        <v>PDF</v>
      </c>
      <c r="K9855" s="12" t="s">
        <v>18099</v>
      </c>
    </row>
    <row r="9856" spans="1:12" x14ac:dyDescent="0.45">
      <c r="A9856" s="12" t="s">
        <v>17869</v>
      </c>
      <c r="B9856" s="12" t="s">
        <v>18100</v>
      </c>
      <c r="C9856" s="13" t="s">
        <v>18101</v>
      </c>
      <c r="D9856" s="13" t="s">
        <v>11154</v>
      </c>
      <c r="E9856" s="12" t="s">
        <v>50</v>
      </c>
      <c r="F9856" s="13"/>
      <c r="G9856" s="13"/>
      <c r="H9856" s="13" t="s">
        <v>18102</v>
      </c>
      <c r="I9856" s="40" t="s">
        <v>18</v>
      </c>
      <c r="J9856" s="40" t="str">
        <f>HYPERLINK("https://stock.pstatic.net/stock-research/company/79/20250808_company_88547000.pdf","PDF")</f>
        <v>PDF</v>
      </c>
      <c r="K9856" s="12" t="s">
        <v>18103</v>
      </c>
    </row>
    <row r="9857" spans="1:12" x14ac:dyDescent="0.45">
      <c r="A9857" s="12" t="s">
        <v>17869</v>
      </c>
      <c r="B9857" s="12" t="s">
        <v>18104</v>
      </c>
      <c r="C9857" s="13" t="s">
        <v>18105</v>
      </c>
      <c r="D9857" s="13" t="s">
        <v>11154</v>
      </c>
      <c r="E9857" s="12" t="s">
        <v>50</v>
      </c>
      <c r="F9857" s="13"/>
      <c r="G9857" s="13"/>
      <c r="H9857" s="13" t="s">
        <v>18106</v>
      </c>
      <c r="I9857" s="40" t="s">
        <v>18</v>
      </c>
      <c r="J9857" s="40" t="str">
        <f>HYPERLINK("https://stock.pstatic.net/stock-research/company/79/20250808_company_528258000.pdf","PDF")</f>
        <v>PDF</v>
      </c>
      <c r="K9857" s="12" t="s">
        <v>18107</v>
      </c>
    </row>
    <row r="9858" spans="1:12" x14ac:dyDescent="0.45">
      <c r="A9858" s="12" t="s">
        <v>17869</v>
      </c>
      <c r="B9858" s="12" t="s">
        <v>18108</v>
      </c>
      <c r="C9858" s="13" t="s">
        <v>18109</v>
      </c>
      <c r="D9858" s="13" t="s">
        <v>11154</v>
      </c>
      <c r="E9858" s="12" t="s">
        <v>50</v>
      </c>
      <c r="F9858" s="13"/>
      <c r="G9858" s="13"/>
      <c r="H9858" s="13" t="s">
        <v>18110</v>
      </c>
      <c r="I9858" s="40" t="s">
        <v>18</v>
      </c>
      <c r="J9858" s="40" t="str">
        <f>HYPERLINK("https://stock.pstatic.net/stock-research/company/79/20250808_company_841160000.pdf","PDF")</f>
        <v>PDF</v>
      </c>
      <c r="K9858" s="12" t="s">
        <v>18111</v>
      </c>
    </row>
    <row r="9859" spans="1:12" x14ac:dyDescent="0.45">
      <c r="A9859" s="12" t="s">
        <v>17869</v>
      </c>
      <c r="B9859" s="12" t="s">
        <v>916</v>
      </c>
      <c r="C9859" s="13" t="s">
        <v>917</v>
      </c>
      <c r="D9859" s="13" t="s">
        <v>15</v>
      </c>
      <c r="E9859" s="12" t="s">
        <v>16</v>
      </c>
      <c r="F9859" s="14">
        <v>70000</v>
      </c>
      <c r="G9859" s="14">
        <v>56800</v>
      </c>
      <c r="H9859" s="13" t="s">
        <v>18112</v>
      </c>
      <c r="I9859" s="40" t="s">
        <v>18</v>
      </c>
      <c r="J9859" s="40" t="str">
        <f>HYPERLINK("https://stock.pstatic.net/stock-research/company/29/20250808_company_755474000.pdf","PDF")</f>
        <v>PDF</v>
      </c>
      <c r="K9859" s="12" t="s">
        <v>18113</v>
      </c>
      <c r="L9859" s="20">
        <v>0.23239436619718309</v>
      </c>
    </row>
    <row r="9860" spans="1:12" x14ac:dyDescent="0.45">
      <c r="A9860" s="12" t="s">
        <v>18114</v>
      </c>
      <c r="B9860" s="12" t="s">
        <v>8183</v>
      </c>
      <c r="C9860" s="13" t="s">
        <v>8184</v>
      </c>
      <c r="D9860" s="13" t="s">
        <v>23</v>
      </c>
      <c r="E9860" s="12" t="s">
        <v>50</v>
      </c>
      <c r="F9860" s="14">
        <v>18900</v>
      </c>
      <c r="G9860" s="14">
        <v>17540</v>
      </c>
      <c r="H9860" s="13" t="s">
        <v>18115</v>
      </c>
      <c r="I9860" s="40" t="s">
        <v>18</v>
      </c>
      <c r="J9860" s="40" t="str">
        <f>HYPERLINK("https://stock.pstatic.net/stock-research/company/21/20250807_company_553168000.pdf","PDF")</f>
        <v>PDF</v>
      </c>
      <c r="K9860" s="12" t="s">
        <v>18116</v>
      </c>
      <c r="L9860" s="20">
        <v>7.7537058152793617E-2</v>
      </c>
    </row>
    <row r="9861" spans="1:12" x14ac:dyDescent="0.45">
      <c r="A9861" s="12" t="s">
        <v>18114</v>
      </c>
      <c r="B9861" s="12" t="s">
        <v>860</v>
      </c>
      <c r="C9861" s="13" t="s">
        <v>861</v>
      </c>
      <c r="D9861" s="13" t="s">
        <v>23</v>
      </c>
      <c r="E9861" s="12" t="s">
        <v>16</v>
      </c>
      <c r="F9861" s="14">
        <v>40000</v>
      </c>
      <c r="G9861" s="14">
        <v>28100</v>
      </c>
      <c r="H9861" s="13" t="s">
        <v>18117</v>
      </c>
      <c r="I9861" s="40" t="s">
        <v>18</v>
      </c>
      <c r="J9861" s="40" t="str">
        <f>HYPERLINK("https://stock.pstatic.net/stock-research/company/21/20250807_company_435135000.pdf","PDF")</f>
        <v>PDF</v>
      </c>
      <c r="K9861" s="12" t="s">
        <v>18118</v>
      </c>
      <c r="L9861" s="20">
        <v>0.42348754448398579</v>
      </c>
    </row>
    <row r="9862" spans="1:12" x14ac:dyDescent="0.45">
      <c r="A9862" s="12" t="s">
        <v>18114</v>
      </c>
      <c r="B9862" s="12" t="s">
        <v>5658</v>
      </c>
      <c r="C9862" s="13" t="s">
        <v>5659</v>
      </c>
      <c r="D9862" s="13" t="s">
        <v>57</v>
      </c>
      <c r="E9862" s="12" t="s">
        <v>35</v>
      </c>
      <c r="F9862" s="14">
        <v>32000</v>
      </c>
      <c r="G9862" s="14">
        <v>23700</v>
      </c>
      <c r="H9862" s="13" t="s">
        <v>18119</v>
      </c>
      <c r="I9862" s="40" t="s">
        <v>18</v>
      </c>
      <c r="J9862" s="40" t="str">
        <f>HYPERLINK("https://stock.pstatic.net/stock-research/company/16/20250807_company_717298000.pdf","PDF")</f>
        <v>PDF</v>
      </c>
      <c r="K9862" s="12" t="s">
        <v>18120</v>
      </c>
      <c r="L9862" s="20">
        <v>0.35021097046413502</v>
      </c>
    </row>
    <row r="9863" spans="1:12" x14ac:dyDescent="0.45">
      <c r="A9863" s="12" t="s">
        <v>18114</v>
      </c>
      <c r="B9863" s="12" t="s">
        <v>916</v>
      </c>
      <c r="C9863" s="13" t="s">
        <v>917</v>
      </c>
      <c r="D9863" s="13" t="s">
        <v>57</v>
      </c>
      <c r="E9863" s="12" t="s">
        <v>35</v>
      </c>
      <c r="F9863" s="14">
        <v>80000</v>
      </c>
      <c r="G9863" s="14">
        <v>56800</v>
      </c>
      <c r="H9863" s="13" t="s">
        <v>18121</v>
      </c>
      <c r="I9863" s="40" t="s">
        <v>18</v>
      </c>
      <c r="J9863" s="40" t="str">
        <f>HYPERLINK("https://stock.pstatic.net/stock-research/company/16/20250807_company_574748000.pdf","PDF")</f>
        <v>PDF</v>
      </c>
      <c r="K9863" s="12" t="s">
        <v>18122</v>
      </c>
      <c r="L9863" s="20">
        <v>0.40845070422535212</v>
      </c>
    </row>
    <row r="9864" spans="1:12" x14ac:dyDescent="0.45">
      <c r="A9864" s="12" t="s">
        <v>18114</v>
      </c>
      <c r="B9864" s="12" t="s">
        <v>3105</v>
      </c>
      <c r="C9864" s="13" t="s">
        <v>3106</v>
      </c>
      <c r="D9864" s="13" t="s">
        <v>57</v>
      </c>
      <c r="E9864" s="12" t="s">
        <v>35</v>
      </c>
      <c r="F9864" s="14">
        <v>360000</v>
      </c>
      <c r="G9864" s="14">
        <v>259000</v>
      </c>
      <c r="H9864" s="13" t="s">
        <v>18123</v>
      </c>
      <c r="I9864" s="40" t="s">
        <v>18</v>
      </c>
      <c r="J9864" s="40" t="str">
        <f>HYPERLINK("https://stock.pstatic.net/stock-research/company/16/20250807_company_481446000.pdf","PDF")</f>
        <v>PDF</v>
      </c>
      <c r="K9864" s="12" t="s">
        <v>18124</v>
      </c>
      <c r="L9864" s="20">
        <v>0.38996138996139001</v>
      </c>
    </row>
    <row r="9865" spans="1:12" x14ac:dyDescent="0.45">
      <c r="A9865" s="12" t="s">
        <v>18114</v>
      </c>
      <c r="B9865" s="12" t="s">
        <v>8706</v>
      </c>
      <c r="C9865" s="13" t="s">
        <v>8707</v>
      </c>
      <c r="D9865" s="13" t="s">
        <v>57</v>
      </c>
      <c r="E9865" s="12" t="s">
        <v>35</v>
      </c>
      <c r="F9865" s="14">
        <v>70000</v>
      </c>
      <c r="G9865" s="14">
        <v>56000</v>
      </c>
      <c r="H9865" s="13" t="s">
        <v>18125</v>
      </c>
      <c r="I9865" s="40" t="s">
        <v>18</v>
      </c>
      <c r="J9865" s="40" t="str">
        <f>HYPERLINK("https://stock.pstatic.net/stock-research/company/16/20250807_company_164747000.pdf","PDF")</f>
        <v>PDF</v>
      </c>
      <c r="K9865" s="12" t="s">
        <v>18126</v>
      </c>
      <c r="L9865" s="20">
        <v>0.25</v>
      </c>
    </row>
    <row r="9866" spans="1:12" x14ac:dyDescent="0.45">
      <c r="A9866" s="12" t="s">
        <v>18114</v>
      </c>
      <c r="B9866" s="12" t="s">
        <v>1648</v>
      </c>
      <c r="C9866" s="13" t="s">
        <v>1649</v>
      </c>
      <c r="D9866" s="13" t="s">
        <v>57</v>
      </c>
      <c r="E9866" s="12" t="s">
        <v>35</v>
      </c>
      <c r="F9866" s="14">
        <v>190000</v>
      </c>
      <c r="G9866" s="14">
        <v>137400</v>
      </c>
      <c r="H9866" s="13" t="s">
        <v>18127</v>
      </c>
      <c r="I9866" s="40" t="s">
        <v>18</v>
      </c>
      <c r="J9866" s="40" t="str">
        <f>HYPERLINK("https://stock.pstatic.net/stock-research/company/16/20250807_company_652457000.pdf","PDF")</f>
        <v>PDF</v>
      </c>
      <c r="K9866" s="12" t="s">
        <v>18128</v>
      </c>
      <c r="L9866" s="20">
        <v>0.38282387190684142</v>
      </c>
    </row>
    <row r="9867" spans="1:12" x14ac:dyDescent="0.45">
      <c r="A9867" s="12" t="s">
        <v>18114</v>
      </c>
      <c r="B9867" s="12" t="s">
        <v>132</v>
      </c>
      <c r="C9867" s="13" t="s">
        <v>133</v>
      </c>
      <c r="D9867" s="13" t="s">
        <v>57</v>
      </c>
      <c r="E9867" s="12" t="s">
        <v>35</v>
      </c>
      <c r="F9867" s="14">
        <v>100000</v>
      </c>
      <c r="G9867" s="14">
        <v>74000</v>
      </c>
      <c r="H9867" s="13" t="s">
        <v>18129</v>
      </c>
      <c r="I9867" s="40" t="s">
        <v>18</v>
      </c>
      <c r="J9867" s="40" t="str">
        <f>HYPERLINK("https://stock.pstatic.net/stock-research/company/16/20250807_company_694453000.pdf","PDF")</f>
        <v>PDF</v>
      </c>
      <c r="K9867" s="12" t="s">
        <v>18130</v>
      </c>
      <c r="L9867" s="20">
        <v>0.35135135135135143</v>
      </c>
    </row>
    <row r="9868" spans="1:12" x14ac:dyDescent="0.45">
      <c r="A9868" s="12" t="s">
        <v>18114</v>
      </c>
      <c r="B9868" s="12" t="s">
        <v>495</v>
      </c>
      <c r="C9868" s="13" t="s">
        <v>496</v>
      </c>
      <c r="D9868" s="13" t="s">
        <v>57</v>
      </c>
      <c r="E9868" s="12" t="s">
        <v>35</v>
      </c>
      <c r="F9868" s="14">
        <v>300000</v>
      </c>
      <c r="G9868" s="14">
        <v>208500</v>
      </c>
      <c r="H9868" s="13" t="s">
        <v>18131</v>
      </c>
      <c r="I9868" s="40" t="s">
        <v>18</v>
      </c>
      <c r="J9868" s="40" t="str">
        <f>HYPERLINK("https://stock.pstatic.net/stock-research/company/16/20250807_company_711959000.pdf","PDF")</f>
        <v>PDF</v>
      </c>
      <c r="K9868" s="12" t="s">
        <v>18132</v>
      </c>
      <c r="L9868" s="20">
        <v>0.43884892086330929</v>
      </c>
    </row>
    <row r="9869" spans="1:12" x14ac:dyDescent="0.45">
      <c r="A9869" s="12" t="s">
        <v>18114</v>
      </c>
      <c r="B9869" s="12" t="s">
        <v>2933</v>
      </c>
      <c r="C9869" s="13" t="s">
        <v>2934</v>
      </c>
      <c r="D9869" s="13" t="s">
        <v>276</v>
      </c>
      <c r="E9869" s="12" t="s">
        <v>16</v>
      </c>
      <c r="F9869" s="14">
        <v>154000</v>
      </c>
      <c r="G9869" s="14">
        <v>130100</v>
      </c>
      <c r="H9869" s="13" t="s">
        <v>18133</v>
      </c>
      <c r="I9869" s="40" t="s">
        <v>18</v>
      </c>
      <c r="J9869" s="40" t="str">
        <f>HYPERLINK("https://stock.pstatic.net/stock-research/company/66/20250807_company_678165000.pdf","PDF")</f>
        <v>PDF</v>
      </c>
      <c r="K9869" s="12" t="s">
        <v>18134</v>
      </c>
      <c r="L9869" s="20">
        <v>0.18370484242890081</v>
      </c>
    </row>
    <row r="9870" spans="1:12" x14ac:dyDescent="0.45">
      <c r="A9870" s="12" t="s">
        <v>18114</v>
      </c>
      <c r="B9870" s="12" t="s">
        <v>495</v>
      </c>
      <c r="C9870" s="13" t="s">
        <v>496</v>
      </c>
      <c r="D9870" s="13" t="s">
        <v>276</v>
      </c>
      <c r="E9870" s="12" t="s">
        <v>16</v>
      </c>
      <c r="F9870" s="14">
        <v>265000</v>
      </c>
      <c r="G9870" s="14">
        <v>208500</v>
      </c>
      <c r="H9870" s="13" t="s">
        <v>18135</v>
      </c>
      <c r="I9870" s="40" t="s">
        <v>18</v>
      </c>
      <c r="J9870" s="40" t="str">
        <f>HYPERLINK("https://stock.pstatic.net/stock-research/company/66/20250807_company_490200000.pdf","PDF")</f>
        <v>PDF</v>
      </c>
      <c r="K9870" s="12" t="s">
        <v>18136</v>
      </c>
      <c r="L9870" s="20">
        <v>0.27098321342925658</v>
      </c>
    </row>
    <row r="9871" spans="1:12" x14ac:dyDescent="0.45">
      <c r="A9871" s="12" t="s">
        <v>18114</v>
      </c>
      <c r="B9871" s="12" t="s">
        <v>691</v>
      </c>
      <c r="C9871" s="13" t="s">
        <v>20</v>
      </c>
      <c r="D9871" s="13" t="s">
        <v>276</v>
      </c>
      <c r="E9871" s="12" t="s">
        <v>16</v>
      </c>
      <c r="F9871" s="14">
        <v>220000</v>
      </c>
      <c r="G9871" s="14">
        <v>178500</v>
      </c>
      <c r="H9871" s="13" t="s">
        <v>18137</v>
      </c>
      <c r="I9871" s="40" t="s">
        <v>18</v>
      </c>
      <c r="J9871" s="40" t="str">
        <f>HYPERLINK("https://stock.pstatic.net/stock-research/company/66/20250807_company_235927000.pdf","PDF")</f>
        <v>PDF</v>
      </c>
      <c r="K9871" s="12" t="s">
        <v>18138</v>
      </c>
      <c r="L9871" s="20">
        <v>0.23249299719887959</v>
      </c>
    </row>
    <row r="9872" spans="1:12" x14ac:dyDescent="0.45">
      <c r="A9872" s="12" t="s">
        <v>18114</v>
      </c>
      <c r="B9872" s="12" t="s">
        <v>1602</v>
      </c>
      <c r="C9872" s="13" t="s">
        <v>1603</v>
      </c>
      <c r="D9872" s="13" t="s">
        <v>276</v>
      </c>
      <c r="E9872" s="12" t="s">
        <v>16</v>
      </c>
      <c r="F9872" s="14">
        <v>30000</v>
      </c>
      <c r="G9872" s="14">
        <v>25950</v>
      </c>
      <c r="H9872" s="13" t="s">
        <v>18139</v>
      </c>
      <c r="I9872" s="40" t="s">
        <v>18</v>
      </c>
      <c r="J9872" s="40" t="str">
        <f>HYPERLINK("https://stock.pstatic.net/stock-research/company/66/20250807_company_282013000.pdf","PDF")</f>
        <v>PDF</v>
      </c>
      <c r="K9872" s="12" t="s">
        <v>18140</v>
      </c>
      <c r="L9872" s="20">
        <v>0.15606936416184969</v>
      </c>
    </row>
    <row r="9873" spans="1:12" x14ac:dyDescent="0.45">
      <c r="A9873" s="12" t="s">
        <v>18114</v>
      </c>
      <c r="B9873" s="12" t="s">
        <v>2650</v>
      </c>
      <c r="C9873" s="13" t="s">
        <v>2651</v>
      </c>
      <c r="D9873" s="13" t="s">
        <v>60</v>
      </c>
      <c r="E9873" s="12" t="s">
        <v>35</v>
      </c>
      <c r="F9873" s="14">
        <v>33000</v>
      </c>
      <c r="G9873" s="14">
        <v>26900</v>
      </c>
      <c r="H9873" s="13" t="s">
        <v>18141</v>
      </c>
      <c r="I9873" s="40" t="s">
        <v>18</v>
      </c>
      <c r="J9873" s="40" t="str">
        <f>HYPERLINK("https://stock.pstatic.net/stock-research/company/34/20250807_company_475688000.pdf","PDF")</f>
        <v>PDF</v>
      </c>
      <c r="K9873" s="12" t="s">
        <v>18142</v>
      </c>
      <c r="L9873" s="20">
        <v>0.22676579925650561</v>
      </c>
    </row>
    <row r="9874" spans="1:12" x14ac:dyDescent="0.45">
      <c r="A9874" s="12" t="s">
        <v>18114</v>
      </c>
      <c r="B9874" s="12" t="s">
        <v>132</v>
      </c>
      <c r="C9874" s="13" t="s">
        <v>133</v>
      </c>
      <c r="D9874" s="13" t="s">
        <v>60</v>
      </c>
      <c r="E9874" s="12" t="s">
        <v>35</v>
      </c>
      <c r="F9874" s="14">
        <v>91000</v>
      </c>
      <c r="G9874" s="14">
        <v>74000</v>
      </c>
      <c r="H9874" s="13" t="s">
        <v>18143</v>
      </c>
      <c r="I9874" s="40" t="s">
        <v>18</v>
      </c>
      <c r="J9874" s="40" t="str">
        <f>HYPERLINK("https://stock.pstatic.net/stock-research/company/34/20250807_company_212474000.pdf","PDF")</f>
        <v>PDF</v>
      </c>
      <c r="K9874" s="12" t="s">
        <v>18144</v>
      </c>
      <c r="L9874" s="20">
        <v>0.22972972972972969</v>
      </c>
    </row>
    <row r="9875" spans="1:12" x14ac:dyDescent="0.45">
      <c r="A9875" s="12" t="s">
        <v>18114</v>
      </c>
      <c r="B9875" s="12" t="s">
        <v>2613</v>
      </c>
      <c r="C9875" s="13" t="s">
        <v>2614</v>
      </c>
      <c r="D9875" s="13" t="s">
        <v>60</v>
      </c>
      <c r="E9875" s="12" t="s">
        <v>35</v>
      </c>
      <c r="F9875" s="14">
        <v>460000</v>
      </c>
      <c r="G9875" s="14">
        <v>342000</v>
      </c>
      <c r="H9875" s="13" t="s">
        <v>18145</v>
      </c>
      <c r="I9875" s="40" t="s">
        <v>18</v>
      </c>
      <c r="J9875" s="40" t="str">
        <f>HYPERLINK("https://stock.pstatic.net/stock-research/company/34/20250807_company_479402000.pdf","PDF")</f>
        <v>PDF</v>
      </c>
      <c r="K9875" s="12" t="s">
        <v>18146</v>
      </c>
      <c r="L9875" s="20">
        <v>0.34502923976608191</v>
      </c>
    </row>
    <row r="9876" spans="1:12" x14ac:dyDescent="0.45">
      <c r="A9876" s="12" t="s">
        <v>18114</v>
      </c>
      <c r="B9876" s="12" t="s">
        <v>495</v>
      </c>
      <c r="C9876" s="13" t="s">
        <v>496</v>
      </c>
      <c r="D9876" s="13" t="s">
        <v>60</v>
      </c>
      <c r="E9876" s="12" t="s">
        <v>35</v>
      </c>
      <c r="F9876" s="14">
        <v>290000</v>
      </c>
      <c r="G9876" s="14">
        <v>208500</v>
      </c>
      <c r="H9876" s="13" t="s">
        <v>18147</v>
      </c>
      <c r="I9876" s="40" t="s">
        <v>18</v>
      </c>
      <c r="J9876" s="40" t="str">
        <f>HYPERLINK("https://stock.pstatic.net/stock-research/company/34/20250807_company_774752000.pdf","PDF")</f>
        <v>PDF</v>
      </c>
      <c r="K9876" s="12" t="s">
        <v>18148</v>
      </c>
      <c r="L9876" s="20">
        <v>0.39088729016786572</v>
      </c>
    </row>
    <row r="9877" spans="1:12" x14ac:dyDescent="0.45">
      <c r="A9877" s="12" t="s">
        <v>18114</v>
      </c>
      <c r="B9877" s="12" t="s">
        <v>1278</v>
      </c>
      <c r="C9877" s="13" t="s">
        <v>1279</v>
      </c>
      <c r="D9877" s="13" t="s">
        <v>60</v>
      </c>
      <c r="E9877" s="12" t="s">
        <v>35</v>
      </c>
      <c r="F9877" s="14">
        <v>180000</v>
      </c>
      <c r="G9877" s="14">
        <v>142000</v>
      </c>
      <c r="H9877" s="13" t="s">
        <v>18149</v>
      </c>
      <c r="I9877" s="40" t="s">
        <v>18</v>
      </c>
      <c r="J9877" s="40" t="str">
        <f>HYPERLINK("https://stock.pstatic.net/stock-research/company/34/20250807_company_96628000.pdf","PDF")</f>
        <v>PDF</v>
      </c>
      <c r="K9877" s="12" t="s">
        <v>18150</v>
      </c>
      <c r="L9877" s="20">
        <v>0.26760563380281688</v>
      </c>
    </row>
    <row r="9878" spans="1:12" x14ac:dyDescent="0.45">
      <c r="A9878" s="12" t="s">
        <v>18114</v>
      </c>
      <c r="B9878" s="12" t="s">
        <v>1278</v>
      </c>
      <c r="C9878" s="13" t="s">
        <v>1279</v>
      </c>
      <c r="D9878" s="13" t="s">
        <v>65</v>
      </c>
      <c r="E9878" s="12" t="s">
        <v>35</v>
      </c>
      <c r="F9878" s="14">
        <v>190000</v>
      </c>
      <c r="G9878" s="14">
        <v>142000</v>
      </c>
      <c r="H9878" s="13" t="s">
        <v>18151</v>
      </c>
      <c r="I9878" s="40" t="s">
        <v>18</v>
      </c>
      <c r="J9878" s="40" t="str">
        <f>HYPERLINK("https://stock.pstatic.net/stock-research/company/57/20250807_company_271182000.pdf","PDF")</f>
        <v>PDF</v>
      </c>
      <c r="K9878" s="12" t="s">
        <v>18152</v>
      </c>
      <c r="L9878" s="20">
        <v>0.3380281690140845</v>
      </c>
    </row>
    <row r="9879" spans="1:12" x14ac:dyDescent="0.45">
      <c r="A9879" s="12" t="s">
        <v>18114</v>
      </c>
      <c r="B9879" s="12" t="s">
        <v>3105</v>
      </c>
      <c r="C9879" s="13" t="s">
        <v>3106</v>
      </c>
      <c r="D9879" s="13" t="s">
        <v>65</v>
      </c>
      <c r="E9879" s="12" t="s">
        <v>35</v>
      </c>
      <c r="F9879" s="14">
        <v>350000</v>
      </c>
      <c r="G9879" s="14">
        <v>259000</v>
      </c>
      <c r="H9879" s="13" t="s">
        <v>18153</v>
      </c>
      <c r="I9879" s="40" t="s">
        <v>18</v>
      </c>
      <c r="J9879" s="40" t="str">
        <f>HYPERLINK("https://stock.pstatic.net/stock-research/company/57/20250807_company_161692000.pdf","PDF")</f>
        <v>PDF</v>
      </c>
      <c r="K9879" s="12" t="s">
        <v>18154</v>
      </c>
      <c r="L9879" s="20">
        <v>0.35135135135135143</v>
      </c>
    </row>
    <row r="9880" spans="1:12" x14ac:dyDescent="0.45">
      <c r="A9880" s="12" t="s">
        <v>18114</v>
      </c>
      <c r="B9880" s="12" t="s">
        <v>1741</v>
      </c>
      <c r="C9880" s="13" t="s">
        <v>1742</v>
      </c>
      <c r="D9880" s="13" t="s">
        <v>65</v>
      </c>
      <c r="E9880" s="12" t="s">
        <v>35</v>
      </c>
      <c r="F9880" s="14">
        <v>68000</v>
      </c>
      <c r="G9880" s="14">
        <v>52800</v>
      </c>
      <c r="H9880" s="13" t="s">
        <v>18155</v>
      </c>
      <c r="I9880" s="40" t="s">
        <v>18</v>
      </c>
      <c r="J9880" s="40" t="str">
        <f>HYPERLINK("https://stock.pstatic.net/stock-research/company/57/20250807_company_153299000.pdf","PDF")</f>
        <v>PDF</v>
      </c>
      <c r="K9880" s="12" t="s">
        <v>18156</v>
      </c>
      <c r="L9880" s="20">
        <v>0.2878787878787879</v>
      </c>
    </row>
    <row r="9881" spans="1:12" x14ac:dyDescent="0.45">
      <c r="A9881" s="12" t="s">
        <v>18114</v>
      </c>
      <c r="B9881" s="12" t="s">
        <v>1648</v>
      </c>
      <c r="C9881" s="13" t="s">
        <v>1649</v>
      </c>
      <c r="D9881" s="13" t="s">
        <v>65</v>
      </c>
      <c r="E9881" s="12" t="s">
        <v>35</v>
      </c>
      <c r="F9881" s="14">
        <v>180000</v>
      </c>
      <c r="G9881" s="14">
        <v>137400</v>
      </c>
      <c r="H9881" s="13" t="s">
        <v>18157</v>
      </c>
      <c r="I9881" s="40" t="s">
        <v>18</v>
      </c>
      <c r="J9881" s="40" t="str">
        <f>HYPERLINK("https://stock.pstatic.net/stock-research/company/57/20250807_company_151403000.pdf","PDF")</f>
        <v>PDF</v>
      </c>
      <c r="K9881" s="12" t="s">
        <v>18158</v>
      </c>
      <c r="L9881" s="20">
        <v>0.31004366812227069</v>
      </c>
    </row>
    <row r="9882" spans="1:12" x14ac:dyDescent="0.45">
      <c r="A9882" s="12" t="s">
        <v>18114</v>
      </c>
      <c r="B9882" s="12" t="s">
        <v>132</v>
      </c>
      <c r="C9882" s="13" t="s">
        <v>133</v>
      </c>
      <c r="D9882" s="13" t="s">
        <v>65</v>
      </c>
      <c r="E9882" s="12" t="s">
        <v>35</v>
      </c>
      <c r="F9882" s="14">
        <v>100000</v>
      </c>
      <c r="G9882" s="14">
        <v>74000</v>
      </c>
      <c r="H9882" s="13" t="s">
        <v>18159</v>
      </c>
      <c r="I9882" s="40" t="s">
        <v>18</v>
      </c>
      <c r="J9882" s="40" t="str">
        <f>HYPERLINK("https://stock.pstatic.net/stock-research/company/57/20250807_company_860237000.pdf","PDF")</f>
        <v>PDF</v>
      </c>
      <c r="K9882" s="12" t="s">
        <v>18160</v>
      </c>
      <c r="L9882" s="20">
        <v>0.35135135135135143</v>
      </c>
    </row>
    <row r="9883" spans="1:12" x14ac:dyDescent="0.45">
      <c r="A9883" s="12" t="s">
        <v>18114</v>
      </c>
      <c r="B9883" s="12" t="s">
        <v>2650</v>
      </c>
      <c r="C9883" s="13" t="s">
        <v>2651</v>
      </c>
      <c r="D9883" s="13" t="s">
        <v>65</v>
      </c>
      <c r="E9883" s="12" t="s">
        <v>35</v>
      </c>
      <c r="F9883" s="14">
        <v>36000</v>
      </c>
      <c r="G9883" s="14">
        <v>26900</v>
      </c>
      <c r="H9883" s="13" t="s">
        <v>18161</v>
      </c>
      <c r="I9883" s="40" t="s">
        <v>18</v>
      </c>
      <c r="J9883" s="40" t="str">
        <f>HYPERLINK("https://stock.pstatic.net/stock-research/company/57/20250807_company_702859000.pdf","PDF")</f>
        <v>PDF</v>
      </c>
      <c r="K9883" s="12" t="s">
        <v>18162</v>
      </c>
      <c r="L9883" s="20">
        <v>0.33828996282527879</v>
      </c>
    </row>
    <row r="9884" spans="1:12" x14ac:dyDescent="0.45">
      <c r="A9884" s="12" t="s">
        <v>18114</v>
      </c>
      <c r="B9884" s="12" t="s">
        <v>541</v>
      </c>
      <c r="C9884" s="13" t="s">
        <v>542</v>
      </c>
      <c r="D9884" s="13" t="s">
        <v>65</v>
      </c>
      <c r="E9884" s="12" t="s">
        <v>35</v>
      </c>
      <c r="F9884" s="14">
        <v>70000</v>
      </c>
      <c r="G9884" s="14">
        <v>56300</v>
      </c>
      <c r="H9884" s="13" t="s">
        <v>18163</v>
      </c>
      <c r="I9884" s="40" t="s">
        <v>18</v>
      </c>
      <c r="J9884" s="40" t="str">
        <f>HYPERLINK("https://stock.pstatic.net/stock-research/company/57/20250807_company_636230000.pdf","PDF")</f>
        <v>PDF</v>
      </c>
      <c r="K9884" s="12" t="s">
        <v>18164</v>
      </c>
      <c r="L9884" s="20">
        <v>0.2433392539964476</v>
      </c>
    </row>
    <row r="9885" spans="1:12" x14ac:dyDescent="0.45">
      <c r="A9885" s="12" t="s">
        <v>18114</v>
      </c>
      <c r="B9885" s="12" t="s">
        <v>541</v>
      </c>
      <c r="C9885" s="13" t="s">
        <v>542</v>
      </c>
      <c r="D9885" s="13" t="s">
        <v>65</v>
      </c>
      <c r="E9885" s="12" t="s">
        <v>35</v>
      </c>
      <c r="F9885" s="14">
        <v>70000</v>
      </c>
      <c r="G9885" s="14">
        <v>56300</v>
      </c>
      <c r="H9885" s="13" t="s">
        <v>17596</v>
      </c>
      <c r="I9885" s="40" t="s">
        <v>18</v>
      </c>
      <c r="J9885" s="40" t="str">
        <f>HYPERLINK("https://stock.pstatic.net/stock-research/company/57/20250807_company_267224000.pdf","PDF")</f>
        <v>PDF</v>
      </c>
      <c r="K9885" s="12" t="s">
        <v>18165</v>
      </c>
      <c r="L9885" s="20">
        <v>0.2433392539964476</v>
      </c>
    </row>
    <row r="9886" spans="1:12" x14ac:dyDescent="0.45">
      <c r="A9886" s="12" t="s">
        <v>18114</v>
      </c>
      <c r="B9886" s="12" t="s">
        <v>2199</v>
      </c>
      <c r="C9886" s="13" t="s">
        <v>2200</v>
      </c>
      <c r="D9886" s="13" t="s">
        <v>65</v>
      </c>
      <c r="E9886" s="12" t="s">
        <v>35</v>
      </c>
      <c r="F9886" s="14">
        <v>34000</v>
      </c>
      <c r="G9886" s="14">
        <v>30900</v>
      </c>
      <c r="H9886" s="13" t="s">
        <v>18166</v>
      </c>
      <c r="I9886" s="40" t="s">
        <v>18</v>
      </c>
      <c r="J9886" s="40" t="str">
        <f>HYPERLINK("https://stock.pstatic.net/stock-research/company/57/20250807_company_205124000.pdf","PDF")</f>
        <v>PDF</v>
      </c>
      <c r="K9886" s="12" t="s">
        <v>18167</v>
      </c>
      <c r="L9886" s="20">
        <v>0.1003236245954693</v>
      </c>
    </row>
    <row r="9887" spans="1:12" x14ac:dyDescent="0.45">
      <c r="A9887" s="12" t="s">
        <v>18114</v>
      </c>
      <c r="B9887" s="12" t="s">
        <v>81</v>
      </c>
      <c r="C9887" s="13" t="s">
        <v>82</v>
      </c>
      <c r="D9887" s="13" t="s">
        <v>158</v>
      </c>
      <c r="E9887" s="12" t="s">
        <v>35</v>
      </c>
      <c r="F9887" s="14">
        <v>22600</v>
      </c>
      <c r="G9887" s="14">
        <v>19570</v>
      </c>
      <c r="H9887" s="13" t="s">
        <v>18168</v>
      </c>
      <c r="I9887" s="40" t="s">
        <v>18</v>
      </c>
      <c r="J9887" s="40" t="str">
        <f>HYPERLINK("https://stock.pstatic.net/stock-research/company/18/20250807_company_858876000.pdf","PDF")</f>
        <v>PDF</v>
      </c>
      <c r="K9887" s="12" t="s">
        <v>18169</v>
      </c>
      <c r="L9887" s="20">
        <v>0.1548288196218702</v>
      </c>
    </row>
    <row r="9888" spans="1:12" x14ac:dyDescent="0.45">
      <c r="A9888" s="12" t="s">
        <v>18114</v>
      </c>
      <c r="B9888" s="12" t="s">
        <v>1278</v>
      </c>
      <c r="C9888" s="13" t="s">
        <v>1279</v>
      </c>
      <c r="D9888" s="13" t="s">
        <v>158</v>
      </c>
      <c r="E9888" s="12" t="s">
        <v>35</v>
      </c>
      <c r="F9888" s="14">
        <v>180000</v>
      </c>
      <c r="G9888" s="14">
        <v>142000</v>
      </c>
      <c r="H9888" s="13" t="s">
        <v>18170</v>
      </c>
      <c r="I9888" s="40" t="s">
        <v>18</v>
      </c>
      <c r="J9888" s="40" t="str">
        <f>HYPERLINK("https://stock.pstatic.net/stock-research/company/18/20250807_company_367469000.pdf","PDF")</f>
        <v>PDF</v>
      </c>
      <c r="K9888" s="12" t="s">
        <v>18171</v>
      </c>
      <c r="L9888" s="20">
        <v>0.26760563380281688</v>
      </c>
    </row>
    <row r="9889" spans="1:12" x14ac:dyDescent="0.45">
      <c r="A9889" s="12" t="s">
        <v>18114</v>
      </c>
      <c r="B9889" s="12" t="s">
        <v>1648</v>
      </c>
      <c r="C9889" s="13" t="s">
        <v>1649</v>
      </c>
      <c r="D9889" s="13" t="s">
        <v>158</v>
      </c>
      <c r="E9889" s="12" t="s">
        <v>35</v>
      </c>
      <c r="F9889" s="14">
        <v>160000</v>
      </c>
      <c r="G9889" s="14">
        <v>137400</v>
      </c>
      <c r="H9889" s="13" t="s">
        <v>18172</v>
      </c>
      <c r="I9889" s="40" t="s">
        <v>18</v>
      </c>
      <c r="J9889" s="40" t="str">
        <f>HYPERLINK("https://stock.pstatic.net/stock-research/company/18/20250807_company_962944000.pdf","PDF")</f>
        <v>PDF</v>
      </c>
      <c r="K9889" s="12" t="s">
        <v>18173</v>
      </c>
      <c r="L9889" s="20">
        <v>0.16448326055312959</v>
      </c>
    </row>
    <row r="9890" spans="1:12" x14ac:dyDescent="0.45">
      <c r="A9890" s="12" t="s">
        <v>18114</v>
      </c>
      <c r="B9890" s="12" t="s">
        <v>495</v>
      </c>
      <c r="C9890" s="13" t="s">
        <v>496</v>
      </c>
      <c r="D9890" s="13" t="s">
        <v>158</v>
      </c>
      <c r="E9890" s="12" t="s">
        <v>35</v>
      </c>
      <c r="F9890" s="14">
        <v>310000</v>
      </c>
      <c r="G9890" s="14">
        <v>208500</v>
      </c>
      <c r="H9890" s="13" t="s">
        <v>18174</v>
      </c>
      <c r="I9890" s="40" t="s">
        <v>18</v>
      </c>
      <c r="J9890" s="40" t="str">
        <f>HYPERLINK("https://stock.pstatic.net/stock-research/company/18/20250807_company_937331000.pdf","PDF")</f>
        <v>PDF</v>
      </c>
      <c r="K9890" s="12" t="s">
        <v>18175</v>
      </c>
      <c r="L9890" s="20">
        <v>0.48681055155875302</v>
      </c>
    </row>
    <row r="9891" spans="1:12" x14ac:dyDescent="0.45">
      <c r="A9891" s="12" t="s">
        <v>18114</v>
      </c>
      <c r="B9891" s="12" t="s">
        <v>3105</v>
      </c>
      <c r="C9891" s="13" t="s">
        <v>3106</v>
      </c>
      <c r="D9891" s="13" t="s">
        <v>158</v>
      </c>
      <c r="E9891" s="12" t="s">
        <v>35</v>
      </c>
      <c r="F9891" s="14">
        <v>330000</v>
      </c>
      <c r="G9891" s="14">
        <v>259000</v>
      </c>
      <c r="H9891" s="13" t="s">
        <v>18176</v>
      </c>
      <c r="I9891" s="40" t="s">
        <v>18</v>
      </c>
      <c r="J9891" s="40" t="str">
        <f>HYPERLINK("https://stock.pstatic.net/stock-research/company/18/20250807_company_358634000.pdf","PDF")</f>
        <v>PDF</v>
      </c>
      <c r="K9891" s="12" t="s">
        <v>18177</v>
      </c>
      <c r="L9891" s="20">
        <v>0.27413127413127408</v>
      </c>
    </row>
    <row r="9892" spans="1:12" x14ac:dyDescent="0.45">
      <c r="A9892" s="12" t="s">
        <v>18114</v>
      </c>
      <c r="B9892" s="12" t="s">
        <v>2933</v>
      </c>
      <c r="C9892" s="13" t="s">
        <v>2934</v>
      </c>
      <c r="D9892" s="13" t="s">
        <v>158</v>
      </c>
      <c r="E9892" s="12" t="s">
        <v>35</v>
      </c>
      <c r="F9892" s="14">
        <v>160000</v>
      </c>
      <c r="G9892" s="14">
        <v>130100</v>
      </c>
      <c r="H9892" s="13" t="s">
        <v>18178</v>
      </c>
      <c r="I9892" s="40" t="s">
        <v>18</v>
      </c>
      <c r="J9892" s="40" t="str">
        <f>HYPERLINK("https://stock.pstatic.net/stock-research/company/18/20250807_company_651352000.pdf","PDF")</f>
        <v>PDF</v>
      </c>
      <c r="K9892" s="12" t="s">
        <v>18179</v>
      </c>
      <c r="L9892" s="20">
        <v>0.2298232129131437</v>
      </c>
    </row>
    <row r="9893" spans="1:12" x14ac:dyDescent="0.45">
      <c r="A9893" s="12" t="s">
        <v>18114</v>
      </c>
      <c r="B9893" s="12" t="s">
        <v>691</v>
      </c>
      <c r="C9893" s="13" t="s">
        <v>20</v>
      </c>
      <c r="D9893" s="13" t="s">
        <v>158</v>
      </c>
      <c r="E9893" s="12" t="s">
        <v>35</v>
      </c>
      <c r="F9893" s="14">
        <v>220000</v>
      </c>
      <c r="G9893" s="14">
        <v>178500</v>
      </c>
      <c r="H9893" s="13" t="s">
        <v>18180</v>
      </c>
      <c r="I9893" s="40" t="s">
        <v>18</v>
      </c>
      <c r="J9893" s="40" t="str">
        <f>HYPERLINK("https://stock.pstatic.net/stock-research/company/18/20250807_company_802081000.pdf","PDF")</f>
        <v>PDF</v>
      </c>
      <c r="K9893" s="12" t="s">
        <v>18181</v>
      </c>
      <c r="L9893" s="20">
        <v>0.23249299719887959</v>
      </c>
    </row>
    <row r="9894" spans="1:12" x14ac:dyDescent="0.45">
      <c r="A9894" s="12" t="s">
        <v>18114</v>
      </c>
      <c r="B9894" s="12" t="s">
        <v>6784</v>
      </c>
      <c r="C9894" s="13" t="s">
        <v>6785</v>
      </c>
      <c r="D9894" s="13" t="s">
        <v>158</v>
      </c>
      <c r="E9894" s="12" t="s">
        <v>50</v>
      </c>
      <c r="F9894" s="13"/>
      <c r="G9894" s="14">
        <v>7040</v>
      </c>
      <c r="H9894" s="13" t="s">
        <v>18182</v>
      </c>
      <c r="I9894" s="40" t="s">
        <v>18</v>
      </c>
      <c r="J9894" s="40" t="str">
        <f>HYPERLINK("https://stock.pstatic.net/stock-research/company/18/20250807_company_614990000.pdf","PDF")</f>
        <v>PDF</v>
      </c>
      <c r="K9894" s="12" t="s">
        <v>18183</v>
      </c>
    </row>
    <row r="9895" spans="1:12" x14ac:dyDescent="0.45">
      <c r="A9895" s="12" t="s">
        <v>18114</v>
      </c>
      <c r="B9895" s="12" t="s">
        <v>2982</v>
      </c>
      <c r="C9895" s="13" t="s">
        <v>2983</v>
      </c>
      <c r="D9895" s="13" t="s">
        <v>158</v>
      </c>
      <c r="E9895" s="12" t="s">
        <v>35</v>
      </c>
      <c r="F9895" s="14">
        <v>67000</v>
      </c>
      <c r="G9895" s="14">
        <v>47900</v>
      </c>
      <c r="H9895" s="13" t="s">
        <v>18184</v>
      </c>
      <c r="I9895" s="40" t="s">
        <v>18</v>
      </c>
      <c r="J9895" s="40" t="str">
        <f>HYPERLINK("https://stock.pstatic.net/stock-research/company/18/20250807_company_187063000.pdf","PDF")</f>
        <v>PDF</v>
      </c>
      <c r="K9895" s="12" t="s">
        <v>18185</v>
      </c>
      <c r="L9895" s="20">
        <v>0.39874739039665968</v>
      </c>
    </row>
    <row r="9896" spans="1:12" x14ac:dyDescent="0.45">
      <c r="A9896" s="12" t="s">
        <v>18114</v>
      </c>
      <c r="B9896" s="12" t="s">
        <v>9323</v>
      </c>
      <c r="C9896" s="13" t="s">
        <v>9324</v>
      </c>
      <c r="D9896" s="13" t="s">
        <v>158</v>
      </c>
      <c r="E9896" s="12" t="s">
        <v>50</v>
      </c>
      <c r="F9896" s="13"/>
      <c r="G9896" s="14">
        <v>8100</v>
      </c>
      <c r="H9896" s="13" t="s">
        <v>18186</v>
      </c>
      <c r="I9896" s="40" t="s">
        <v>18</v>
      </c>
      <c r="J9896" s="40" t="str">
        <f>HYPERLINK("https://stock.pstatic.net/stock-research/company/18/20250807_company_175086000.pdf","PDF")</f>
        <v>PDF</v>
      </c>
      <c r="K9896" s="12" t="s">
        <v>18187</v>
      </c>
    </row>
    <row r="9897" spans="1:12" x14ac:dyDescent="0.45">
      <c r="A9897" s="12" t="s">
        <v>18114</v>
      </c>
      <c r="B9897" s="12" t="s">
        <v>2849</v>
      </c>
      <c r="C9897" s="13" t="s">
        <v>2850</v>
      </c>
      <c r="D9897" s="13" t="s">
        <v>158</v>
      </c>
      <c r="E9897" s="12" t="s">
        <v>50</v>
      </c>
      <c r="F9897" s="13"/>
      <c r="G9897" s="14">
        <v>10330</v>
      </c>
      <c r="H9897" s="13" t="s">
        <v>18188</v>
      </c>
      <c r="I9897" s="40" t="s">
        <v>18</v>
      </c>
      <c r="J9897" s="40" t="str">
        <f>HYPERLINK("https://stock.pstatic.net/stock-research/company/18/20250807_company_176646000.pdf","PDF")</f>
        <v>PDF</v>
      </c>
      <c r="K9897" s="12" t="s">
        <v>18189</v>
      </c>
    </row>
    <row r="9898" spans="1:12" x14ac:dyDescent="0.45">
      <c r="A9898" s="12" t="s">
        <v>18114</v>
      </c>
      <c r="B9898" s="12" t="s">
        <v>136</v>
      </c>
      <c r="C9898" s="13" t="s">
        <v>137</v>
      </c>
      <c r="D9898" s="13" t="s">
        <v>83</v>
      </c>
      <c r="E9898" s="12" t="s">
        <v>50</v>
      </c>
      <c r="F9898" s="13"/>
      <c r="G9898" s="14">
        <v>37300</v>
      </c>
      <c r="H9898" s="13" t="s">
        <v>18190</v>
      </c>
      <c r="I9898" s="40" t="s">
        <v>18</v>
      </c>
      <c r="J9898" s="40" t="str">
        <f>HYPERLINK("https://stock.pstatic.net/stock-research/company/2/20250807_company_424627000.pdf","PDF")</f>
        <v>PDF</v>
      </c>
      <c r="K9898" s="12" t="s">
        <v>18191</v>
      </c>
    </row>
    <row r="9899" spans="1:12" x14ac:dyDescent="0.45">
      <c r="A9899" s="12" t="s">
        <v>18114</v>
      </c>
      <c r="B9899" s="12" t="s">
        <v>732</v>
      </c>
      <c r="C9899" s="13" t="s">
        <v>733</v>
      </c>
      <c r="D9899" s="13" t="s">
        <v>83</v>
      </c>
      <c r="E9899" s="12" t="s">
        <v>35</v>
      </c>
      <c r="F9899" s="14">
        <v>160000</v>
      </c>
      <c r="G9899" s="14">
        <v>111400</v>
      </c>
      <c r="H9899" s="13" t="s">
        <v>18192</v>
      </c>
      <c r="I9899" s="40" t="s">
        <v>18</v>
      </c>
      <c r="J9899" s="40" t="str">
        <f>HYPERLINK("https://stock.pstatic.net/stock-research/company/2/20250807_company_132976000.pdf","PDF")</f>
        <v>PDF</v>
      </c>
      <c r="K9899" s="12" t="s">
        <v>18193</v>
      </c>
      <c r="L9899" s="20">
        <v>0.43626570915619389</v>
      </c>
    </row>
    <row r="9900" spans="1:12" x14ac:dyDescent="0.45">
      <c r="A9900" s="12" t="s">
        <v>18114</v>
      </c>
      <c r="B9900" s="12" t="s">
        <v>76</v>
      </c>
      <c r="C9900" s="13" t="s">
        <v>77</v>
      </c>
      <c r="D9900" s="13" t="s">
        <v>83</v>
      </c>
      <c r="E9900" s="12" t="s">
        <v>642</v>
      </c>
      <c r="F9900" s="14">
        <v>26000</v>
      </c>
      <c r="G9900" s="14">
        <v>23050</v>
      </c>
      <c r="H9900" s="13" t="s">
        <v>18194</v>
      </c>
      <c r="I9900" s="40" t="s">
        <v>18</v>
      </c>
      <c r="J9900" s="40" t="str">
        <f>HYPERLINK("https://stock.pstatic.net/stock-research/company/2/20250807_company_49808000.pdf","PDF")</f>
        <v>PDF</v>
      </c>
      <c r="K9900" s="12" t="s">
        <v>18195</v>
      </c>
      <c r="L9900" s="20">
        <v>0.1279826464208243</v>
      </c>
    </row>
    <row r="9901" spans="1:12" x14ac:dyDescent="0.45">
      <c r="A9901" s="12" t="s">
        <v>18114</v>
      </c>
      <c r="B9901" s="12" t="s">
        <v>132</v>
      </c>
      <c r="C9901" s="13" t="s">
        <v>133</v>
      </c>
      <c r="D9901" s="13" t="s">
        <v>83</v>
      </c>
      <c r="E9901" s="12" t="s">
        <v>35</v>
      </c>
      <c r="F9901" s="14">
        <v>100000</v>
      </c>
      <c r="G9901" s="14">
        <v>74000</v>
      </c>
      <c r="H9901" s="13" t="s">
        <v>18196</v>
      </c>
      <c r="I9901" s="40" t="s">
        <v>18</v>
      </c>
      <c r="J9901" s="40" t="str">
        <f>HYPERLINK("https://stock.pstatic.net/stock-research/company/2/20250807_company_230172000.pdf","PDF")</f>
        <v>PDF</v>
      </c>
      <c r="K9901" s="12" t="s">
        <v>18197</v>
      </c>
      <c r="L9901" s="20">
        <v>0.35135135135135143</v>
      </c>
    </row>
    <row r="9902" spans="1:12" x14ac:dyDescent="0.45">
      <c r="A9902" s="12" t="s">
        <v>18114</v>
      </c>
      <c r="B9902" s="12" t="s">
        <v>2650</v>
      </c>
      <c r="C9902" s="13" t="s">
        <v>2651</v>
      </c>
      <c r="D9902" s="13" t="s">
        <v>83</v>
      </c>
      <c r="E9902" s="12" t="s">
        <v>642</v>
      </c>
      <c r="F9902" s="14">
        <v>30000</v>
      </c>
      <c r="G9902" s="14">
        <v>26900</v>
      </c>
      <c r="H9902" s="13" t="s">
        <v>18198</v>
      </c>
      <c r="I9902" s="40" t="s">
        <v>18</v>
      </c>
      <c r="J9902" s="40" t="str">
        <f>HYPERLINK("https://stock.pstatic.net/stock-research/company/2/20250807_company_526902000.pdf","PDF")</f>
        <v>PDF</v>
      </c>
      <c r="K9902" s="12" t="s">
        <v>18199</v>
      </c>
      <c r="L9902" s="20">
        <v>0.1152416356877323</v>
      </c>
    </row>
    <row r="9903" spans="1:12" x14ac:dyDescent="0.45">
      <c r="A9903" s="12" t="s">
        <v>18114</v>
      </c>
      <c r="B9903" s="12" t="s">
        <v>1431</v>
      </c>
      <c r="C9903" s="13" t="s">
        <v>1432</v>
      </c>
      <c r="D9903" s="13" t="s">
        <v>83</v>
      </c>
      <c r="E9903" s="12" t="s">
        <v>35</v>
      </c>
      <c r="F9903" s="14">
        <v>180000</v>
      </c>
      <c r="G9903" s="14">
        <v>133700</v>
      </c>
      <c r="H9903" s="13" t="s">
        <v>18200</v>
      </c>
      <c r="I9903" s="40" t="s">
        <v>18</v>
      </c>
      <c r="J9903" s="40" t="str">
        <f>HYPERLINK("https://stock.pstatic.net/stock-research/company/2/20250807_company_685517000.pdf","PDF")</f>
        <v>PDF</v>
      </c>
      <c r="K9903" s="12" t="s">
        <v>18201</v>
      </c>
      <c r="L9903" s="20">
        <v>0.34629768137621542</v>
      </c>
    </row>
    <row r="9904" spans="1:12" x14ac:dyDescent="0.45">
      <c r="A9904" s="12" t="s">
        <v>18114</v>
      </c>
      <c r="B9904" s="12" t="s">
        <v>541</v>
      </c>
      <c r="C9904" s="13" t="s">
        <v>542</v>
      </c>
      <c r="D9904" s="13" t="s">
        <v>83</v>
      </c>
      <c r="E9904" s="12" t="s">
        <v>642</v>
      </c>
      <c r="F9904" s="14">
        <v>56000</v>
      </c>
      <c r="G9904" s="14">
        <v>56300</v>
      </c>
      <c r="H9904" s="13" t="s">
        <v>18202</v>
      </c>
      <c r="I9904" s="40" t="s">
        <v>18</v>
      </c>
      <c r="J9904" s="40" t="str">
        <f>HYPERLINK("https://stock.pstatic.net/stock-research/company/2/20250807_company_213777000.pdf","PDF")</f>
        <v>PDF</v>
      </c>
      <c r="K9904" s="12" t="s">
        <v>18203</v>
      </c>
      <c r="L9904" s="20">
        <v>-5.3285968028419176E-3</v>
      </c>
    </row>
    <row r="9905" spans="1:12" x14ac:dyDescent="0.45">
      <c r="A9905" s="12" t="s">
        <v>18114</v>
      </c>
      <c r="B9905" s="12" t="s">
        <v>1278</v>
      </c>
      <c r="C9905" s="13" t="s">
        <v>1279</v>
      </c>
      <c r="D9905" s="13" t="s">
        <v>83</v>
      </c>
      <c r="E9905" s="12" t="s">
        <v>35</v>
      </c>
      <c r="F9905" s="14">
        <v>188000</v>
      </c>
      <c r="G9905" s="14">
        <v>142000</v>
      </c>
      <c r="H9905" s="13" t="s">
        <v>18204</v>
      </c>
      <c r="I9905" s="40" t="s">
        <v>18</v>
      </c>
      <c r="J9905" s="40" t="str">
        <f>HYPERLINK("https://stock.pstatic.net/stock-research/company/2/20250807_company_314365000.pdf","PDF")</f>
        <v>PDF</v>
      </c>
      <c r="K9905" s="12" t="s">
        <v>18205</v>
      </c>
      <c r="L9905" s="20">
        <v>0.323943661971831</v>
      </c>
    </row>
    <row r="9906" spans="1:12" x14ac:dyDescent="0.45">
      <c r="A9906" s="12" t="s">
        <v>18114</v>
      </c>
      <c r="B9906" s="12" t="s">
        <v>2613</v>
      </c>
      <c r="C9906" s="13" t="s">
        <v>2614</v>
      </c>
      <c r="D9906" s="13" t="s">
        <v>83</v>
      </c>
      <c r="E9906" s="12" t="s">
        <v>35</v>
      </c>
      <c r="F9906" s="14">
        <v>510000</v>
      </c>
      <c r="G9906" s="14">
        <v>342000</v>
      </c>
      <c r="H9906" s="13" t="s">
        <v>18206</v>
      </c>
      <c r="I9906" s="40" t="s">
        <v>18</v>
      </c>
      <c r="J9906" s="40" t="str">
        <f>HYPERLINK("https://stock.pstatic.net/stock-research/company/2/20250807_company_267324000.pdf","PDF")</f>
        <v>PDF</v>
      </c>
      <c r="K9906" s="12" t="s">
        <v>18207</v>
      </c>
      <c r="L9906" s="20">
        <v>0.49122807017543862</v>
      </c>
    </row>
    <row r="9907" spans="1:12" x14ac:dyDescent="0.45">
      <c r="A9907" s="12" t="s">
        <v>18114</v>
      </c>
      <c r="B9907" s="12" t="s">
        <v>495</v>
      </c>
      <c r="C9907" s="13" t="s">
        <v>496</v>
      </c>
      <c r="D9907" s="13" t="s">
        <v>83</v>
      </c>
      <c r="E9907" s="12" t="s">
        <v>642</v>
      </c>
      <c r="F9907" s="14">
        <v>230000</v>
      </c>
      <c r="G9907" s="14">
        <v>208500</v>
      </c>
      <c r="H9907" s="13" t="s">
        <v>18208</v>
      </c>
      <c r="I9907" s="40" t="s">
        <v>18</v>
      </c>
      <c r="J9907" s="40" t="str">
        <f>HYPERLINK("https://stock.pstatic.net/stock-research/company/2/20250807_company_82311000.pdf","PDF")</f>
        <v>PDF</v>
      </c>
      <c r="K9907" s="12" t="s">
        <v>18209</v>
      </c>
      <c r="L9907" s="20">
        <v>0.10311750599520381</v>
      </c>
    </row>
    <row r="9908" spans="1:12" x14ac:dyDescent="0.45">
      <c r="A9908" s="12" t="s">
        <v>18114</v>
      </c>
      <c r="B9908" s="12" t="s">
        <v>495</v>
      </c>
      <c r="C9908" s="13" t="s">
        <v>496</v>
      </c>
      <c r="D9908" s="13" t="s">
        <v>15</v>
      </c>
      <c r="E9908" s="12" t="s">
        <v>16</v>
      </c>
      <c r="F9908" s="14">
        <v>300000</v>
      </c>
      <c r="G9908" s="14">
        <v>208500</v>
      </c>
      <c r="H9908" s="13" t="s">
        <v>18210</v>
      </c>
      <c r="I9908" s="40" t="s">
        <v>18</v>
      </c>
      <c r="J9908" s="40" t="str">
        <f>HYPERLINK("https://stock.pstatic.net/stock-research/company/29/20250807_company_988436000.pdf","PDF")</f>
        <v>PDF</v>
      </c>
      <c r="K9908" s="12" t="s">
        <v>18211</v>
      </c>
      <c r="L9908" s="20">
        <v>0.43884892086330929</v>
      </c>
    </row>
    <row r="9909" spans="1:12" x14ac:dyDescent="0.45">
      <c r="A9909" s="12" t="s">
        <v>18114</v>
      </c>
      <c r="B9909" s="12" t="s">
        <v>1648</v>
      </c>
      <c r="C9909" s="13" t="s">
        <v>1649</v>
      </c>
      <c r="D9909" s="13" t="s">
        <v>15</v>
      </c>
      <c r="E9909" s="12" t="s">
        <v>16</v>
      </c>
      <c r="F9909" s="14">
        <v>180000</v>
      </c>
      <c r="G9909" s="14">
        <v>137400</v>
      </c>
      <c r="H9909" s="13" t="s">
        <v>18212</v>
      </c>
      <c r="I9909" s="40" t="s">
        <v>18</v>
      </c>
      <c r="J9909" s="40" t="str">
        <f>HYPERLINK("https://stock.pstatic.net/stock-research/company/29/20250807_company_525273000.pdf","PDF")</f>
        <v>PDF</v>
      </c>
      <c r="K9909" s="12" t="s">
        <v>18213</v>
      </c>
      <c r="L9909" s="20">
        <v>0.31004366812227069</v>
      </c>
    </row>
    <row r="9910" spans="1:12" x14ac:dyDescent="0.45">
      <c r="A9910" s="12" t="s">
        <v>18114</v>
      </c>
      <c r="B9910" s="12" t="s">
        <v>3105</v>
      </c>
      <c r="C9910" s="13" t="s">
        <v>3106</v>
      </c>
      <c r="D9910" s="13" t="s">
        <v>15</v>
      </c>
      <c r="E9910" s="12" t="s">
        <v>16</v>
      </c>
      <c r="F9910" s="14">
        <v>390000</v>
      </c>
      <c r="G9910" s="14">
        <v>259000</v>
      </c>
      <c r="H9910" s="13" t="s">
        <v>18214</v>
      </c>
      <c r="I9910" s="40" t="s">
        <v>18</v>
      </c>
      <c r="J9910" s="40" t="str">
        <f>HYPERLINK("https://stock.pstatic.net/stock-research/company/29/20250807_company_372985000.pdf","PDF")</f>
        <v>PDF</v>
      </c>
      <c r="K9910" s="12" t="s">
        <v>18215</v>
      </c>
      <c r="L9910" s="20">
        <v>0.50579150579150578</v>
      </c>
    </row>
    <row r="9911" spans="1:12" x14ac:dyDescent="0.45">
      <c r="A9911" s="12" t="s">
        <v>18114</v>
      </c>
      <c r="B9911" s="12" t="s">
        <v>132</v>
      </c>
      <c r="C9911" s="13" t="s">
        <v>133</v>
      </c>
      <c r="D9911" s="13" t="s">
        <v>15</v>
      </c>
      <c r="E9911" s="12" t="s">
        <v>16</v>
      </c>
      <c r="F9911" s="14">
        <v>110000</v>
      </c>
      <c r="G9911" s="14">
        <v>74000</v>
      </c>
      <c r="H9911" s="13" t="s">
        <v>18216</v>
      </c>
      <c r="I9911" s="40" t="s">
        <v>18</v>
      </c>
      <c r="J9911" s="40" t="str">
        <f>HYPERLINK("https://stock.pstatic.net/stock-research/company/29/20250807_company_256839000.pdf","PDF")</f>
        <v>PDF</v>
      </c>
      <c r="K9911" s="12" t="s">
        <v>18217</v>
      </c>
      <c r="L9911" s="20">
        <v>0.48648648648648651</v>
      </c>
    </row>
    <row r="9912" spans="1:12" x14ac:dyDescent="0.45">
      <c r="A9912" s="12" t="s">
        <v>18114</v>
      </c>
      <c r="B9912" s="12" t="s">
        <v>3373</v>
      </c>
      <c r="C9912" s="13" t="s">
        <v>3374</v>
      </c>
      <c r="D9912" s="13" t="s">
        <v>179</v>
      </c>
      <c r="E9912" s="12" t="s">
        <v>16</v>
      </c>
      <c r="F9912" s="14">
        <v>137000</v>
      </c>
      <c r="G9912" s="14">
        <v>112400</v>
      </c>
      <c r="H9912" s="13" t="s">
        <v>18218</v>
      </c>
      <c r="I9912" s="40" t="s">
        <v>18</v>
      </c>
      <c r="J9912" s="40" t="str">
        <f>HYPERLINK("https://stock.pstatic.net/stock-research/company/64/20250807_company_146726000.pdf","PDF")</f>
        <v>PDF</v>
      </c>
      <c r="K9912" s="12" t="s">
        <v>18219</v>
      </c>
      <c r="L9912" s="20">
        <v>0.2188612099644128</v>
      </c>
    </row>
    <row r="9913" spans="1:12" x14ac:dyDescent="0.45">
      <c r="A9913" s="12" t="s">
        <v>18114</v>
      </c>
      <c r="B9913" s="12" t="s">
        <v>3105</v>
      </c>
      <c r="C9913" s="13" t="s">
        <v>3106</v>
      </c>
      <c r="D9913" s="13" t="s">
        <v>23</v>
      </c>
      <c r="E9913" s="12" t="s">
        <v>16</v>
      </c>
      <c r="F9913" s="14">
        <v>330000</v>
      </c>
      <c r="G9913" s="14">
        <v>259000</v>
      </c>
      <c r="H9913" s="13" t="s">
        <v>18220</v>
      </c>
      <c r="I9913" s="40" t="s">
        <v>18</v>
      </c>
      <c r="J9913" s="40" t="str">
        <f>HYPERLINK("https://stock.pstatic.net/stock-research/company/21/20250807_company_556109000.pdf","PDF")</f>
        <v>PDF</v>
      </c>
      <c r="K9913" s="12" t="s">
        <v>18221</v>
      </c>
      <c r="L9913" s="20">
        <v>0.27413127413127408</v>
      </c>
    </row>
    <row r="9914" spans="1:12" x14ac:dyDescent="0.45">
      <c r="A9914" s="12" t="s">
        <v>18114</v>
      </c>
      <c r="B9914" s="12" t="s">
        <v>1741</v>
      </c>
      <c r="C9914" s="13" t="s">
        <v>1742</v>
      </c>
      <c r="D9914" s="13" t="s">
        <v>23</v>
      </c>
      <c r="E9914" s="12" t="s">
        <v>16</v>
      </c>
      <c r="F9914" s="14">
        <v>66000</v>
      </c>
      <c r="G9914" s="14">
        <v>52800</v>
      </c>
      <c r="H9914" s="13" t="s">
        <v>18222</v>
      </c>
      <c r="I9914" s="40" t="s">
        <v>18</v>
      </c>
      <c r="J9914" s="40" t="str">
        <f>HYPERLINK("https://stock.pstatic.net/stock-research/company/21/20250807_company_359631000.pdf","PDF")</f>
        <v>PDF</v>
      </c>
      <c r="K9914" s="12" t="s">
        <v>18223</v>
      </c>
      <c r="L9914" s="20">
        <v>0.25</v>
      </c>
    </row>
    <row r="9915" spans="1:12" x14ac:dyDescent="0.45">
      <c r="A9915" s="12" t="s">
        <v>18114</v>
      </c>
      <c r="B9915" s="12" t="s">
        <v>541</v>
      </c>
      <c r="C9915" s="13" t="s">
        <v>542</v>
      </c>
      <c r="D9915" s="13" t="s">
        <v>53</v>
      </c>
      <c r="E9915" s="12" t="s">
        <v>16</v>
      </c>
      <c r="F9915" s="14">
        <v>66000</v>
      </c>
      <c r="G9915" s="14">
        <v>56300</v>
      </c>
      <c r="H9915" s="13" t="s">
        <v>18224</v>
      </c>
      <c r="I9915" s="40" t="s">
        <v>18</v>
      </c>
      <c r="J9915" s="40" t="str">
        <f>HYPERLINK("https://stock.pstatic.net/stock-research/company/40/20250807_company_43049000.pdf","PDF")</f>
        <v>PDF</v>
      </c>
      <c r="K9915" s="12" t="s">
        <v>18225</v>
      </c>
      <c r="L9915" s="20">
        <v>0.172291296625222</v>
      </c>
    </row>
    <row r="9916" spans="1:12" x14ac:dyDescent="0.45">
      <c r="A9916" s="12" t="s">
        <v>18114</v>
      </c>
      <c r="B9916" s="12" t="s">
        <v>3488</v>
      </c>
      <c r="C9916" s="13" t="s">
        <v>3489</v>
      </c>
      <c r="D9916" s="13" t="s">
        <v>179</v>
      </c>
      <c r="E9916" s="12" t="s">
        <v>16</v>
      </c>
      <c r="F9916" s="14">
        <v>29400</v>
      </c>
      <c r="G9916" s="14">
        <v>24700</v>
      </c>
      <c r="H9916" s="13" t="s">
        <v>18226</v>
      </c>
      <c r="I9916" s="40" t="s">
        <v>18</v>
      </c>
      <c r="J9916" s="40" t="str">
        <f>HYPERLINK("https://stock.pstatic.net/stock-research/company/64/20250807_company_191626000.pdf","PDF")</f>
        <v>PDF</v>
      </c>
      <c r="K9916" s="12" t="s">
        <v>18227</v>
      </c>
      <c r="L9916" s="20">
        <v>0.19028340080971659</v>
      </c>
    </row>
    <row r="9917" spans="1:12" x14ac:dyDescent="0.45">
      <c r="A9917" s="12" t="s">
        <v>18114</v>
      </c>
      <c r="B9917" s="12" t="s">
        <v>3688</v>
      </c>
      <c r="C9917" s="13" t="s">
        <v>3689</v>
      </c>
      <c r="D9917" s="13" t="s">
        <v>179</v>
      </c>
      <c r="E9917" s="12" t="s">
        <v>16</v>
      </c>
      <c r="F9917" s="14">
        <v>83000</v>
      </c>
      <c r="G9917" s="14">
        <v>68000</v>
      </c>
      <c r="H9917" s="13" t="s">
        <v>18228</v>
      </c>
      <c r="I9917" s="40" t="s">
        <v>18</v>
      </c>
      <c r="J9917" s="40" t="str">
        <f>HYPERLINK("https://stock.pstatic.net/stock-research/company/64/20250807_company_610326000.pdf","PDF")</f>
        <v>PDF</v>
      </c>
      <c r="K9917" s="12" t="s">
        <v>18229</v>
      </c>
      <c r="L9917" s="20">
        <v>0.22058823529411761</v>
      </c>
    </row>
    <row r="9918" spans="1:12" x14ac:dyDescent="0.45">
      <c r="A9918" s="12" t="s">
        <v>18114</v>
      </c>
      <c r="B9918" s="12" t="s">
        <v>2933</v>
      </c>
      <c r="C9918" s="13" t="s">
        <v>2934</v>
      </c>
      <c r="D9918" s="13" t="s">
        <v>53</v>
      </c>
      <c r="E9918" s="12" t="s">
        <v>16</v>
      </c>
      <c r="F9918" s="14">
        <v>150000</v>
      </c>
      <c r="G9918" s="14">
        <v>130100</v>
      </c>
      <c r="H9918" s="13" t="s">
        <v>18230</v>
      </c>
      <c r="I9918" s="40" t="s">
        <v>18</v>
      </c>
      <c r="J9918" s="40" t="str">
        <f>HYPERLINK("https://stock.pstatic.net/stock-research/company/40/20250807_company_533626000.pdf","PDF")</f>
        <v>PDF</v>
      </c>
      <c r="K9918" s="12" t="s">
        <v>18231</v>
      </c>
      <c r="L9918" s="20">
        <v>0.15295926210607219</v>
      </c>
    </row>
    <row r="9919" spans="1:12" x14ac:dyDescent="0.45">
      <c r="A9919" s="12" t="s">
        <v>18114</v>
      </c>
      <c r="B9919" s="12" t="s">
        <v>1278</v>
      </c>
      <c r="C9919" s="13" t="s">
        <v>1279</v>
      </c>
      <c r="D9919" s="13" t="s">
        <v>15</v>
      </c>
      <c r="E9919" s="12" t="s">
        <v>385</v>
      </c>
      <c r="F9919" s="14">
        <v>145000</v>
      </c>
      <c r="G9919" s="14">
        <v>142000</v>
      </c>
      <c r="H9919" s="13" t="s">
        <v>18232</v>
      </c>
      <c r="I9919" s="40" t="s">
        <v>18</v>
      </c>
      <c r="J9919" s="40" t="str">
        <f>HYPERLINK("https://stock.pstatic.net/stock-research/company/29/20250807_company_550360000.pdf","PDF")</f>
        <v>PDF</v>
      </c>
      <c r="K9919" s="12" t="s">
        <v>18233</v>
      </c>
      <c r="L9919" s="20">
        <v>2.1126760563380281E-2</v>
      </c>
    </row>
    <row r="9920" spans="1:12" x14ac:dyDescent="0.45">
      <c r="A9920" s="12" t="s">
        <v>18114</v>
      </c>
      <c r="B9920" s="12" t="s">
        <v>1648</v>
      </c>
      <c r="C9920" s="13" t="s">
        <v>1649</v>
      </c>
      <c r="D9920" s="13" t="s">
        <v>53</v>
      </c>
      <c r="E9920" s="12" t="s">
        <v>16</v>
      </c>
      <c r="F9920" s="14">
        <v>190000</v>
      </c>
      <c r="G9920" s="14">
        <v>137400</v>
      </c>
      <c r="H9920" s="13" t="s">
        <v>18234</v>
      </c>
      <c r="I9920" s="40" t="s">
        <v>18</v>
      </c>
      <c r="J9920" s="40" t="str">
        <f>HYPERLINK("https://stock.pstatic.net/stock-research/company/40/20250807_company_570337000.pdf","PDF")</f>
        <v>PDF</v>
      </c>
      <c r="K9920" s="12" t="s">
        <v>18235</v>
      </c>
      <c r="L9920" s="20">
        <v>0.38282387190684142</v>
      </c>
    </row>
    <row r="9921" spans="1:12" x14ac:dyDescent="0.45">
      <c r="A9921" s="12" t="s">
        <v>18114</v>
      </c>
      <c r="B9921" s="12" t="s">
        <v>1278</v>
      </c>
      <c r="C9921" s="13" t="s">
        <v>1279</v>
      </c>
      <c r="D9921" s="13" t="s">
        <v>179</v>
      </c>
      <c r="E9921" s="12" t="s">
        <v>16</v>
      </c>
      <c r="F9921" s="14">
        <v>176000</v>
      </c>
      <c r="G9921" s="14">
        <v>142000</v>
      </c>
      <c r="H9921" s="13" t="s">
        <v>18236</v>
      </c>
      <c r="I9921" s="40" t="s">
        <v>18</v>
      </c>
      <c r="J9921" s="40" t="str">
        <f>HYPERLINK("https://stock.pstatic.net/stock-research/company/64/20250807_company_736510000.pdf","PDF")</f>
        <v>PDF</v>
      </c>
      <c r="K9921" s="12" t="s">
        <v>18237</v>
      </c>
      <c r="L9921" s="20">
        <v>0.23943661971830979</v>
      </c>
    </row>
    <row r="9922" spans="1:12" x14ac:dyDescent="0.45">
      <c r="A9922" s="12" t="s">
        <v>18114</v>
      </c>
      <c r="B9922" s="12" t="s">
        <v>541</v>
      </c>
      <c r="C9922" s="13" t="s">
        <v>542</v>
      </c>
      <c r="D9922" s="13" t="s">
        <v>179</v>
      </c>
      <c r="E9922" s="12" t="s">
        <v>16</v>
      </c>
      <c r="F9922" s="14">
        <v>69000</v>
      </c>
      <c r="G9922" s="14">
        <v>56500</v>
      </c>
      <c r="H9922" s="13" t="s">
        <v>18238</v>
      </c>
      <c r="I9922" s="40" t="s">
        <v>18</v>
      </c>
      <c r="J9922" s="40" t="str">
        <f>HYPERLINK("https://stock.pstatic.net/stock-research/company/64/20250807_company_572294000.pdf","PDF")</f>
        <v>PDF</v>
      </c>
      <c r="K9922" s="12" t="s">
        <v>18239</v>
      </c>
      <c r="L9922" s="20">
        <v>0.22123893805309741</v>
      </c>
    </row>
    <row r="9923" spans="1:12" x14ac:dyDescent="0.45">
      <c r="A9923" s="12" t="s">
        <v>18114</v>
      </c>
      <c r="B9923" s="12" t="s">
        <v>3105</v>
      </c>
      <c r="C9923" s="13" t="s">
        <v>3106</v>
      </c>
      <c r="D9923" s="13" t="s">
        <v>53</v>
      </c>
      <c r="E9923" s="12" t="s">
        <v>16</v>
      </c>
      <c r="F9923" s="14">
        <v>370000</v>
      </c>
      <c r="G9923" s="14">
        <v>259000</v>
      </c>
      <c r="H9923" s="13" t="s">
        <v>18240</v>
      </c>
      <c r="I9923" s="40" t="s">
        <v>18</v>
      </c>
      <c r="J9923" s="40" t="str">
        <f>HYPERLINK("https://stock.pstatic.net/stock-research/company/40/20250807_company_467087000.pdf","PDF")</f>
        <v>PDF</v>
      </c>
      <c r="K9923" s="12" t="s">
        <v>18241</v>
      </c>
      <c r="L9923" s="20">
        <v>0.42857142857142849</v>
      </c>
    </row>
    <row r="9924" spans="1:12" x14ac:dyDescent="0.45">
      <c r="A9924" s="12" t="s">
        <v>18114</v>
      </c>
      <c r="B9924" s="12" t="s">
        <v>495</v>
      </c>
      <c r="C9924" s="13" t="s">
        <v>496</v>
      </c>
      <c r="D9924" s="13" t="s">
        <v>92</v>
      </c>
      <c r="E9924" s="12" t="s">
        <v>35</v>
      </c>
      <c r="F9924" s="14">
        <v>250000</v>
      </c>
      <c r="G9924" s="14">
        <v>208500</v>
      </c>
      <c r="H9924" s="13" t="s">
        <v>18242</v>
      </c>
      <c r="I9924" s="40" t="s">
        <v>18</v>
      </c>
      <c r="J9924" s="40" t="str">
        <f>HYPERLINK("https://stock.pstatic.net/stock-research/company/63/20250807_company_964961000.pdf","PDF")</f>
        <v>PDF</v>
      </c>
      <c r="K9924" s="12" t="s">
        <v>18243</v>
      </c>
      <c r="L9924" s="20">
        <v>0.19904076738609111</v>
      </c>
    </row>
    <row r="9925" spans="1:12" x14ac:dyDescent="0.45">
      <c r="A9925" s="12" t="s">
        <v>18114</v>
      </c>
      <c r="B9925" s="12" t="s">
        <v>1602</v>
      </c>
      <c r="C9925" s="13" t="s">
        <v>1603</v>
      </c>
      <c r="D9925" s="13" t="s">
        <v>179</v>
      </c>
      <c r="E9925" s="12" t="s">
        <v>16</v>
      </c>
      <c r="F9925" s="14">
        <v>32000</v>
      </c>
      <c r="G9925" s="14">
        <v>25950</v>
      </c>
      <c r="H9925" s="13" t="s">
        <v>18244</v>
      </c>
      <c r="I9925" s="40" t="s">
        <v>18</v>
      </c>
      <c r="J9925" s="40" t="str">
        <f>HYPERLINK("https://stock.pstatic.net/stock-research/company/64/20250807_company_743386000.pdf","PDF")</f>
        <v>PDF</v>
      </c>
      <c r="K9925" s="12" t="s">
        <v>18245</v>
      </c>
      <c r="L9925" s="20">
        <v>0.23314065510597301</v>
      </c>
    </row>
    <row r="9926" spans="1:12" x14ac:dyDescent="0.45">
      <c r="A9926" s="12" t="s">
        <v>18114</v>
      </c>
      <c r="B9926" s="12" t="s">
        <v>495</v>
      </c>
      <c r="C9926" s="13" t="s">
        <v>496</v>
      </c>
      <c r="D9926" s="13" t="s">
        <v>23</v>
      </c>
      <c r="E9926" s="12" t="s">
        <v>16</v>
      </c>
      <c r="F9926" s="14">
        <v>250000</v>
      </c>
      <c r="G9926" s="14">
        <v>208500</v>
      </c>
      <c r="H9926" s="13" t="s">
        <v>18246</v>
      </c>
      <c r="I9926" s="40" t="s">
        <v>18</v>
      </c>
      <c r="J9926" s="40" t="str">
        <f>HYPERLINK("https://stock.pstatic.net/stock-research/company/21/20250807_company_344740000.pdf","PDF")</f>
        <v>PDF</v>
      </c>
      <c r="K9926" s="12" t="s">
        <v>18247</v>
      </c>
      <c r="L9926" s="20">
        <v>0.19904076738609111</v>
      </c>
    </row>
    <row r="9927" spans="1:12" x14ac:dyDescent="0.45">
      <c r="A9927" s="12" t="s">
        <v>18114</v>
      </c>
      <c r="B9927" s="12" t="s">
        <v>2199</v>
      </c>
      <c r="C9927" s="13" t="s">
        <v>2200</v>
      </c>
      <c r="D9927" s="13" t="s">
        <v>23</v>
      </c>
      <c r="E9927" s="12" t="s">
        <v>16</v>
      </c>
      <c r="F9927" s="14">
        <v>43000</v>
      </c>
      <c r="G9927" s="14">
        <v>30900</v>
      </c>
      <c r="H9927" s="13" t="s">
        <v>18248</v>
      </c>
      <c r="I9927" s="40" t="s">
        <v>18</v>
      </c>
      <c r="J9927" s="40" t="str">
        <f>HYPERLINK("https://stock.pstatic.net/stock-research/company/21/20250807_company_673654000.pdf","PDF")</f>
        <v>PDF</v>
      </c>
      <c r="K9927" s="12" t="s">
        <v>18249</v>
      </c>
      <c r="L9927" s="20">
        <v>0.39158576051779942</v>
      </c>
    </row>
    <row r="9928" spans="1:12" x14ac:dyDescent="0.45">
      <c r="A9928" s="12" t="s">
        <v>18114</v>
      </c>
      <c r="B9928" s="12" t="s">
        <v>1036</v>
      </c>
      <c r="C9928" s="13" t="s">
        <v>1037</v>
      </c>
      <c r="D9928" s="13" t="s">
        <v>179</v>
      </c>
      <c r="E9928" s="12" t="s">
        <v>385</v>
      </c>
      <c r="F9928" s="14">
        <v>18000</v>
      </c>
      <c r="G9928" s="14">
        <v>16750</v>
      </c>
      <c r="H9928" s="13" t="s">
        <v>18250</v>
      </c>
      <c r="I9928" s="40" t="s">
        <v>18</v>
      </c>
      <c r="J9928" s="40" t="str">
        <f>HYPERLINK("https://stock.pstatic.net/stock-research/company/64/20250807_company_124799000.pdf","PDF")</f>
        <v>PDF</v>
      </c>
      <c r="K9928" s="12" t="s">
        <v>18251</v>
      </c>
      <c r="L9928" s="20">
        <v>7.4626865671641784E-2</v>
      </c>
    </row>
    <row r="9929" spans="1:12" x14ac:dyDescent="0.45">
      <c r="A9929" s="12" t="s">
        <v>18114</v>
      </c>
      <c r="B9929" s="12" t="s">
        <v>3395</v>
      </c>
      <c r="C9929" s="13" t="s">
        <v>3396</v>
      </c>
      <c r="D9929" s="13" t="s">
        <v>92</v>
      </c>
      <c r="E9929" s="12" t="s">
        <v>35</v>
      </c>
      <c r="F9929" s="14">
        <v>21000</v>
      </c>
      <c r="G9929" s="14">
        <v>14450</v>
      </c>
      <c r="H9929" s="13" t="s">
        <v>18252</v>
      </c>
      <c r="I9929" s="40" t="s">
        <v>18</v>
      </c>
      <c r="J9929" s="40" t="str">
        <f>HYPERLINK("https://stock.pstatic.net/stock-research/company/63/20250807_company_660472000.pdf","PDF")</f>
        <v>PDF</v>
      </c>
      <c r="K9929" s="12" t="s">
        <v>18253</v>
      </c>
      <c r="L9929" s="20">
        <v>0.45328719723183392</v>
      </c>
    </row>
    <row r="9930" spans="1:12" x14ac:dyDescent="0.45">
      <c r="A9930" s="12" t="s">
        <v>18114</v>
      </c>
      <c r="B9930" s="12" t="s">
        <v>1602</v>
      </c>
      <c r="C9930" s="13" t="s">
        <v>1603</v>
      </c>
      <c r="D9930" s="13" t="s">
        <v>92</v>
      </c>
      <c r="E9930" s="12" t="s">
        <v>35</v>
      </c>
      <c r="F9930" s="14">
        <v>35000</v>
      </c>
      <c r="G9930" s="14">
        <v>25950</v>
      </c>
      <c r="H9930" s="13" t="s">
        <v>18254</v>
      </c>
      <c r="I9930" s="40" t="s">
        <v>18</v>
      </c>
      <c r="J9930" s="40" t="str">
        <f>HYPERLINK("https://stock.pstatic.net/stock-research/company/63/20250807_company_910034000.pdf","PDF")</f>
        <v>PDF</v>
      </c>
      <c r="K9930" s="12" t="s">
        <v>18255</v>
      </c>
      <c r="L9930" s="20">
        <v>0.34874759152215801</v>
      </c>
    </row>
    <row r="9931" spans="1:12" x14ac:dyDescent="0.45">
      <c r="A9931" s="12" t="s">
        <v>18114</v>
      </c>
      <c r="B9931" s="12" t="s">
        <v>541</v>
      </c>
      <c r="C9931" s="13" t="s">
        <v>542</v>
      </c>
      <c r="D9931" s="13" t="s">
        <v>23</v>
      </c>
      <c r="E9931" s="12" t="s">
        <v>50</v>
      </c>
      <c r="F9931" s="14">
        <v>59000</v>
      </c>
      <c r="G9931" s="14">
        <v>56300</v>
      </c>
      <c r="H9931" s="13" t="s">
        <v>18256</v>
      </c>
      <c r="I9931" s="40" t="s">
        <v>18</v>
      </c>
      <c r="J9931" s="40" t="str">
        <f>HYPERLINK("https://stock.pstatic.net/stock-research/company/21/20250807_company_604830000.pdf","PDF")</f>
        <v>PDF</v>
      </c>
      <c r="K9931" s="12" t="s">
        <v>18257</v>
      </c>
      <c r="L9931" s="20">
        <v>4.7957371225577257E-2</v>
      </c>
    </row>
    <row r="9932" spans="1:12" x14ac:dyDescent="0.45">
      <c r="A9932" s="12" t="s">
        <v>18114</v>
      </c>
      <c r="B9932" s="12" t="s">
        <v>1648</v>
      </c>
      <c r="C9932" s="13" t="s">
        <v>1649</v>
      </c>
      <c r="D9932" s="13" t="s">
        <v>92</v>
      </c>
      <c r="E9932" s="12" t="s">
        <v>35</v>
      </c>
      <c r="F9932" s="14">
        <v>180000</v>
      </c>
      <c r="G9932" s="14">
        <v>137400</v>
      </c>
      <c r="H9932" s="13" t="s">
        <v>18258</v>
      </c>
      <c r="I9932" s="40" t="s">
        <v>18</v>
      </c>
      <c r="J9932" s="40" t="str">
        <f>HYPERLINK("https://stock.pstatic.net/stock-research/company/63/20250807_company_131005000.pdf","PDF")</f>
        <v>PDF</v>
      </c>
      <c r="K9932" s="12" t="s">
        <v>18259</v>
      </c>
      <c r="L9932" s="20">
        <v>0.31004366812227069</v>
      </c>
    </row>
    <row r="9933" spans="1:12" x14ac:dyDescent="0.45">
      <c r="A9933" s="12" t="s">
        <v>18114</v>
      </c>
      <c r="B9933" s="12" t="s">
        <v>132</v>
      </c>
      <c r="C9933" s="13" t="s">
        <v>133</v>
      </c>
      <c r="D9933" s="13" t="s">
        <v>23</v>
      </c>
      <c r="E9933" s="12" t="s">
        <v>16</v>
      </c>
      <c r="F9933" s="14">
        <v>93000</v>
      </c>
      <c r="G9933" s="14">
        <v>74000</v>
      </c>
      <c r="H9933" s="13" t="s">
        <v>18260</v>
      </c>
      <c r="I9933" s="40" t="s">
        <v>18</v>
      </c>
      <c r="J9933" s="40" t="str">
        <f>HYPERLINK("https://stock.pstatic.net/stock-research/company/21/20250807_company_94961000.pdf","PDF")</f>
        <v>PDF</v>
      </c>
      <c r="K9933" s="12" t="s">
        <v>18261</v>
      </c>
      <c r="L9933" s="20">
        <v>0.25675675675675669</v>
      </c>
    </row>
    <row r="9934" spans="1:12" x14ac:dyDescent="0.45">
      <c r="A9934" s="12" t="s">
        <v>18114</v>
      </c>
      <c r="B9934" s="12" t="s">
        <v>3105</v>
      </c>
      <c r="C9934" s="13" t="s">
        <v>3106</v>
      </c>
      <c r="D9934" s="13" t="s">
        <v>92</v>
      </c>
      <c r="E9934" s="12" t="s">
        <v>35</v>
      </c>
      <c r="F9934" s="14">
        <v>370000</v>
      </c>
      <c r="G9934" s="14">
        <v>259000</v>
      </c>
      <c r="H9934" s="13" t="s">
        <v>18262</v>
      </c>
      <c r="I9934" s="40" t="s">
        <v>18</v>
      </c>
      <c r="J9934" s="40" t="str">
        <f>HYPERLINK("https://stock.pstatic.net/stock-research/company/63/20250807_company_556311000.pdf","PDF")</f>
        <v>PDF</v>
      </c>
      <c r="K9934" s="12" t="s">
        <v>18263</v>
      </c>
      <c r="L9934" s="20">
        <v>0.42857142857142849</v>
      </c>
    </row>
    <row r="9935" spans="1:12" x14ac:dyDescent="0.45">
      <c r="A9935" s="12" t="s">
        <v>18114</v>
      </c>
      <c r="B9935" s="12" t="s">
        <v>1278</v>
      </c>
      <c r="C9935" s="13" t="s">
        <v>1279</v>
      </c>
      <c r="D9935" s="13" t="s">
        <v>23</v>
      </c>
      <c r="E9935" s="12" t="s">
        <v>16</v>
      </c>
      <c r="F9935" s="14">
        <v>190000</v>
      </c>
      <c r="G9935" s="14">
        <v>142000</v>
      </c>
      <c r="H9935" s="13" t="s">
        <v>18264</v>
      </c>
      <c r="I9935" s="40" t="s">
        <v>18</v>
      </c>
      <c r="J9935" s="40" t="str">
        <f>HYPERLINK("https://stock.pstatic.net/stock-research/company/21/20250807_company_802257000.pdf","PDF")</f>
        <v>PDF</v>
      </c>
      <c r="K9935" s="12" t="s">
        <v>18265</v>
      </c>
      <c r="L9935" s="20">
        <v>0.3380281690140845</v>
      </c>
    </row>
    <row r="9936" spans="1:12" x14ac:dyDescent="0.45">
      <c r="A9936" s="12" t="s">
        <v>18114</v>
      </c>
      <c r="B9936" s="12" t="s">
        <v>3105</v>
      </c>
      <c r="C9936" s="13" t="s">
        <v>3106</v>
      </c>
      <c r="D9936" s="13" t="s">
        <v>34</v>
      </c>
      <c r="E9936" s="12" t="s">
        <v>35</v>
      </c>
      <c r="F9936" s="14">
        <v>370000</v>
      </c>
      <c r="G9936" s="14">
        <v>259000</v>
      </c>
      <c r="H9936" s="13" t="s">
        <v>18266</v>
      </c>
      <c r="I9936" s="40" t="s">
        <v>18</v>
      </c>
      <c r="J9936" s="40" t="str">
        <f>HYPERLINK("https://stock.pstatic.net/stock-research/company/61/20250807_company_586563000.pdf","PDF")</f>
        <v>PDF</v>
      </c>
      <c r="K9936" s="12" t="s">
        <v>18267</v>
      </c>
      <c r="L9936" s="20">
        <v>0.42857142857142849</v>
      </c>
    </row>
    <row r="9937" spans="1:12" x14ac:dyDescent="0.45">
      <c r="A9937" s="12" t="s">
        <v>18114</v>
      </c>
      <c r="B9937" s="12" t="s">
        <v>1648</v>
      </c>
      <c r="C9937" s="13" t="s">
        <v>1649</v>
      </c>
      <c r="D9937" s="13" t="s">
        <v>34</v>
      </c>
      <c r="E9937" s="12" t="s">
        <v>35</v>
      </c>
      <c r="F9937" s="14">
        <v>178000</v>
      </c>
      <c r="G9937" s="14">
        <v>137400</v>
      </c>
      <c r="H9937" s="13" t="s">
        <v>18268</v>
      </c>
      <c r="I9937" s="40" t="s">
        <v>18</v>
      </c>
      <c r="J9937" s="40" t="str">
        <f>HYPERLINK("https://stock.pstatic.net/stock-research/company/61/20250807_company_369649000.pdf","PDF")</f>
        <v>PDF</v>
      </c>
      <c r="K9937" s="12" t="s">
        <v>18269</v>
      </c>
      <c r="L9937" s="20">
        <v>0.29548762736535661</v>
      </c>
    </row>
    <row r="9938" spans="1:12" x14ac:dyDescent="0.45">
      <c r="A9938" s="12" t="s">
        <v>18114</v>
      </c>
      <c r="B9938" s="12" t="s">
        <v>691</v>
      </c>
      <c r="C9938" s="13" t="s">
        <v>20</v>
      </c>
      <c r="D9938" s="13" t="s">
        <v>34</v>
      </c>
      <c r="E9938" s="12" t="s">
        <v>35</v>
      </c>
      <c r="F9938" s="14">
        <v>220000</v>
      </c>
      <c r="G9938" s="14">
        <v>178500</v>
      </c>
      <c r="H9938" s="13" t="s">
        <v>18270</v>
      </c>
      <c r="I9938" s="40" t="s">
        <v>18</v>
      </c>
      <c r="J9938" s="40" t="str">
        <f>HYPERLINK("https://stock.pstatic.net/stock-research/company/61/20250807_company_18984000.pdf","PDF")</f>
        <v>PDF</v>
      </c>
      <c r="K9938" s="12" t="s">
        <v>18271</v>
      </c>
      <c r="L9938" s="20">
        <v>0.23249299719887959</v>
      </c>
    </row>
    <row r="9939" spans="1:12" x14ac:dyDescent="0.45">
      <c r="A9939" s="12" t="s">
        <v>18114</v>
      </c>
      <c r="B9939" s="12" t="s">
        <v>2650</v>
      </c>
      <c r="C9939" s="13" t="s">
        <v>2651</v>
      </c>
      <c r="D9939" s="13" t="s">
        <v>23</v>
      </c>
      <c r="E9939" s="12" t="s">
        <v>16</v>
      </c>
      <c r="F9939" s="14">
        <v>30000</v>
      </c>
      <c r="G9939" s="14">
        <v>26900</v>
      </c>
      <c r="H9939" s="13" t="s">
        <v>18272</v>
      </c>
      <c r="I9939" s="40" t="s">
        <v>18</v>
      </c>
      <c r="J9939" s="40" t="str">
        <f>HYPERLINK("https://stock.pstatic.net/stock-research/company/21/20250807_company_640389000.pdf","PDF")</f>
        <v>PDF</v>
      </c>
      <c r="K9939" s="12" t="s">
        <v>18273</v>
      </c>
      <c r="L9939" s="20">
        <v>0.1152416356877323</v>
      </c>
    </row>
    <row r="9940" spans="1:12" x14ac:dyDescent="0.45">
      <c r="A9940" s="12" t="s">
        <v>18114</v>
      </c>
      <c r="B9940" s="12" t="s">
        <v>1036</v>
      </c>
      <c r="C9940" s="13" t="s">
        <v>1037</v>
      </c>
      <c r="D9940" s="13" t="s">
        <v>92</v>
      </c>
      <c r="E9940" s="12" t="s">
        <v>159</v>
      </c>
      <c r="F9940" s="14">
        <v>13000</v>
      </c>
      <c r="G9940" s="14">
        <v>16750</v>
      </c>
      <c r="H9940" s="13" t="s">
        <v>18274</v>
      </c>
      <c r="I9940" s="40" t="s">
        <v>18</v>
      </c>
      <c r="J9940" s="40" t="str">
        <f>HYPERLINK("https://stock.pstatic.net/stock-research/company/63/20250807_company_253457000.pdf","PDF")</f>
        <v>PDF</v>
      </c>
      <c r="K9940" s="12" t="s">
        <v>18275</v>
      </c>
      <c r="L9940" s="20">
        <v>-0.22388059701492541</v>
      </c>
    </row>
    <row r="9941" spans="1:12" x14ac:dyDescent="0.45">
      <c r="A9941" s="12" t="s">
        <v>18114</v>
      </c>
      <c r="B9941" s="12" t="s">
        <v>541</v>
      </c>
      <c r="C9941" s="13" t="s">
        <v>542</v>
      </c>
      <c r="D9941" s="13" t="s">
        <v>92</v>
      </c>
      <c r="E9941" s="12" t="s">
        <v>159</v>
      </c>
      <c r="F9941" s="14">
        <v>52000</v>
      </c>
      <c r="G9941" s="14">
        <v>56300</v>
      </c>
      <c r="H9941" s="13" t="s">
        <v>18276</v>
      </c>
      <c r="I9941" s="40" t="s">
        <v>18</v>
      </c>
      <c r="J9941" s="40" t="str">
        <f>HYPERLINK("https://stock.pstatic.net/stock-research/company/63/20250807_company_326076000.pdf","PDF")</f>
        <v>PDF</v>
      </c>
      <c r="K9941" s="12" t="s">
        <v>18277</v>
      </c>
      <c r="L9941" s="20">
        <v>-7.6376554174067496E-2</v>
      </c>
    </row>
    <row r="9942" spans="1:12" x14ac:dyDescent="0.45">
      <c r="A9942" s="12" t="s">
        <v>18114</v>
      </c>
      <c r="B9942" s="12" t="s">
        <v>1278</v>
      </c>
      <c r="C9942" s="13" t="s">
        <v>1279</v>
      </c>
      <c r="D9942" s="13" t="s">
        <v>44</v>
      </c>
      <c r="E9942" s="12" t="s">
        <v>35</v>
      </c>
      <c r="F9942" s="14">
        <v>200000</v>
      </c>
      <c r="G9942" s="14">
        <v>142000</v>
      </c>
      <c r="H9942" s="13" t="s">
        <v>18278</v>
      </c>
      <c r="I9942" s="40" t="s">
        <v>18</v>
      </c>
      <c r="J9942" s="40" t="str">
        <f>HYPERLINK("https://stock.pstatic.net/stock-research/company/39/20250807_company_198790000.pdf","PDF")</f>
        <v>PDF</v>
      </c>
      <c r="K9942" s="12" t="s">
        <v>18279</v>
      </c>
      <c r="L9942" s="20">
        <v>0.40845070422535212</v>
      </c>
    </row>
    <row r="9943" spans="1:12" x14ac:dyDescent="0.45">
      <c r="A9943" s="12" t="s">
        <v>18114</v>
      </c>
      <c r="B9943" s="12" t="s">
        <v>495</v>
      </c>
      <c r="C9943" s="13" t="s">
        <v>496</v>
      </c>
      <c r="D9943" s="13" t="s">
        <v>44</v>
      </c>
      <c r="E9943" s="12" t="s">
        <v>35</v>
      </c>
      <c r="F9943" s="14">
        <v>270000</v>
      </c>
      <c r="G9943" s="14">
        <v>208500</v>
      </c>
      <c r="H9943" s="13" t="s">
        <v>18280</v>
      </c>
      <c r="I9943" s="40" t="s">
        <v>18</v>
      </c>
      <c r="J9943" s="40" t="str">
        <f>HYPERLINK("https://stock.pstatic.net/stock-research/company/39/20250807_company_669511000.pdf","PDF")</f>
        <v>PDF</v>
      </c>
      <c r="K9943" s="12" t="s">
        <v>18281</v>
      </c>
      <c r="L9943" s="20">
        <v>0.29496402877697842</v>
      </c>
    </row>
    <row r="9944" spans="1:12" x14ac:dyDescent="0.45">
      <c r="A9944" s="12" t="s">
        <v>18114</v>
      </c>
      <c r="B9944" s="12" t="s">
        <v>132</v>
      </c>
      <c r="C9944" s="13" t="s">
        <v>133</v>
      </c>
      <c r="D9944" s="13" t="s">
        <v>44</v>
      </c>
      <c r="E9944" s="12" t="s">
        <v>35</v>
      </c>
      <c r="F9944" s="14">
        <v>100000</v>
      </c>
      <c r="G9944" s="14">
        <v>74000</v>
      </c>
      <c r="H9944" s="13" t="s">
        <v>18282</v>
      </c>
      <c r="I9944" s="40" t="s">
        <v>18</v>
      </c>
      <c r="J9944" s="40" t="str">
        <f>HYPERLINK("https://stock.pstatic.net/stock-research/company/39/20250807_company_743459000.pdf","PDF")</f>
        <v>PDF</v>
      </c>
      <c r="K9944" s="12" t="s">
        <v>18283</v>
      </c>
      <c r="L9944" s="20">
        <v>0.35135135135135143</v>
      </c>
    </row>
    <row r="9945" spans="1:12" x14ac:dyDescent="0.45">
      <c r="A9945" s="12" t="s">
        <v>18114</v>
      </c>
      <c r="B9945" s="12" t="s">
        <v>1602</v>
      </c>
      <c r="C9945" s="13" t="s">
        <v>1603</v>
      </c>
      <c r="D9945" s="13" t="s">
        <v>44</v>
      </c>
      <c r="E9945" s="12" t="s">
        <v>35</v>
      </c>
      <c r="F9945" s="14">
        <v>36000</v>
      </c>
      <c r="G9945" s="14">
        <v>25950</v>
      </c>
      <c r="H9945" s="13" t="s">
        <v>18284</v>
      </c>
      <c r="I9945" s="40" t="s">
        <v>18</v>
      </c>
      <c r="J9945" s="40" t="str">
        <f>HYPERLINK("https://stock.pstatic.net/stock-research/company/39/20250807_company_886828000.pdf","PDF")</f>
        <v>PDF</v>
      </c>
      <c r="K9945" s="12" t="s">
        <v>18285</v>
      </c>
      <c r="L9945" s="20">
        <v>0.38728323699421963</v>
      </c>
    </row>
    <row r="9946" spans="1:12" x14ac:dyDescent="0.45">
      <c r="A9946" s="12" t="s">
        <v>18114</v>
      </c>
      <c r="B9946" s="12" t="s">
        <v>2613</v>
      </c>
      <c r="C9946" s="13" t="s">
        <v>2614</v>
      </c>
      <c r="D9946" s="13" t="s">
        <v>44</v>
      </c>
      <c r="E9946" s="12" t="s">
        <v>35</v>
      </c>
      <c r="F9946" s="14">
        <v>500000</v>
      </c>
      <c r="G9946" s="14">
        <v>342000</v>
      </c>
      <c r="H9946" s="13" t="s">
        <v>18286</v>
      </c>
      <c r="I9946" s="40" t="s">
        <v>18</v>
      </c>
      <c r="J9946" s="40" t="str">
        <f>HYPERLINK("https://stock.pstatic.net/stock-research/company/39/20250807_company_8970000.pdf","PDF")</f>
        <v>PDF</v>
      </c>
      <c r="K9946" s="12" t="s">
        <v>18287</v>
      </c>
      <c r="L9946" s="20">
        <v>0.46198830409356723</v>
      </c>
    </row>
    <row r="9947" spans="1:12" x14ac:dyDescent="0.45">
      <c r="A9947" s="12" t="s">
        <v>18114</v>
      </c>
      <c r="B9947" s="12" t="s">
        <v>132</v>
      </c>
      <c r="C9947" s="13" t="s">
        <v>133</v>
      </c>
      <c r="D9947" s="13" t="s">
        <v>53</v>
      </c>
      <c r="E9947" s="12" t="s">
        <v>16</v>
      </c>
      <c r="F9947" s="14">
        <v>96000</v>
      </c>
      <c r="G9947" s="14">
        <v>74000</v>
      </c>
      <c r="H9947" s="13" t="s">
        <v>18288</v>
      </c>
      <c r="I9947" s="40" t="s">
        <v>18</v>
      </c>
      <c r="J9947" s="40" t="str">
        <f>HYPERLINK("https://stock.pstatic.net/stock-research/company/40/20250807_company_264675000.pdf","PDF")</f>
        <v>PDF</v>
      </c>
      <c r="K9947" s="12" t="s">
        <v>18289</v>
      </c>
      <c r="L9947" s="20">
        <v>0.29729729729729731</v>
      </c>
    </row>
    <row r="9948" spans="1:12" x14ac:dyDescent="0.45">
      <c r="A9948" s="12" t="s">
        <v>18114</v>
      </c>
      <c r="B9948" s="12" t="s">
        <v>1036</v>
      </c>
      <c r="C9948" s="13" t="s">
        <v>1037</v>
      </c>
      <c r="D9948" s="13" t="s">
        <v>15</v>
      </c>
      <c r="E9948" s="12" t="s">
        <v>385</v>
      </c>
      <c r="F9948" s="14">
        <v>17000</v>
      </c>
      <c r="G9948" s="14">
        <v>16880</v>
      </c>
      <c r="H9948" s="13" t="s">
        <v>18290</v>
      </c>
      <c r="I9948" s="40" t="s">
        <v>18</v>
      </c>
      <c r="J9948" s="40" t="str">
        <f>HYPERLINK("https://stock.pstatic.net/stock-research/company/29/20250807_company_28885000.pdf","PDF")</f>
        <v>PDF</v>
      </c>
      <c r="K9948" s="12" t="s">
        <v>18291</v>
      </c>
      <c r="L9948" s="20">
        <v>7.1090047393364934E-3</v>
      </c>
    </row>
    <row r="9949" spans="1:12" x14ac:dyDescent="0.45">
      <c r="A9949" s="12" t="s">
        <v>18292</v>
      </c>
      <c r="B9949" s="12" t="s">
        <v>2650</v>
      </c>
      <c r="C9949" s="13" t="s">
        <v>2651</v>
      </c>
      <c r="D9949" s="13" t="s">
        <v>57</v>
      </c>
      <c r="E9949" s="12" t="s">
        <v>159</v>
      </c>
      <c r="F9949" s="14">
        <v>25000</v>
      </c>
      <c r="G9949" s="14">
        <v>27250</v>
      </c>
      <c r="H9949" s="13" t="s">
        <v>18293</v>
      </c>
      <c r="I9949" s="40" t="s">
        <v>18</v>
      </c>
      <c r="J9949" s="40" t="str">
        <f>HYPERLINK("https://stock.pstatic.net/stock-research/company/16/20250806_company_361912000.pdf","PDF")</f>
        <v>PDF</v>
      </c>
      <c r="K9949" s="12" t="s">
        <v>18294</v>
      </c>
      <c r="L9949" s="20">
        <v>-8.2568807339449546E-2</v>
      </c>
    </row>
    <row r="9950" spans="1:12" x14ac:dyDescent="0.45">
      <c r="A9950" s="12" t="s">
        <v>18292</v>
      </c>
      <c r="B9950" s="12" t="s">
        <v>3101</v>
      </c>
      <c r="C9950" s="13" t="s">
        <v>3102</v>
      </c>
      <c r="D9950" s="13" t="s">
        <v>57</v>
      </c>
      <c r="E9950" s="12" t="s">
        <v>159</v>
      </c>
      <c r="F9950" s="14">
        <v>110000</v>
      </c>
      <c r="G9950" s="14">
        <v>124500</v>
      </c>
      <c r="H9950" s="13" t="s">
        <v>18295</v>
      </c>
      <c r="I9950" s="40" t="s">
        <v>18</v>
      </c>
      <c r="J9950" s="40" t="str">
        <f>HYPERLINK("https://stock.pstatic.net/stock-research/company/16/20250806_company_647342000.pdf","PDF")</f>
        <v>PDF</v>
      </c>
      <c r="K9950" s="12" t="s">
        <v>18296</v>
      </c>
      <c r="L9950" s="20">
        <v>-0.11646586345381529</v>
      </c>
    </row>
    <row r="9951" spans="1:12" x14ac:dyDescent="0.45">
      <c r="A9951" s="12" t="s">
        <v>18292</v>
      </c>
      <c r="B9951" s="12" t="s">
        <v>1350</v>
      </c>
      <c r="C9951" s="13" t="s">
        <v>1351</v>
      </c>
      <c r="D9951" s="13" t="s">
        <v>57</v>
      </c>
      <c r="E9951" s="12" t="s">
        <v>35</v>
      </c>
      <c r="F9951" s="14">
        <v>75000</v>
      </c>
      <c r="G9951" s="14">
        <v>47600</v>
      </c>
      <c r="H9951" s="13" t="s">
        <v>9339</v>
      </c>
      <c r="I9951" s="40" t="s">
        <v>18</v>
      </c>
      <c r="J9951" s="40" t="str">
        <f>HYPERLINK("https://stock.pstatic.net/stock-research/company/16/20250806_company_861555000.pdf","PDF")</f>
        <v>PDF</v>
      </c>
      <c r="K9951" s="12" t="s">
        <v>18297</v>
      </c>
      <c r="L9951" s="20">
        <v>0.57563025210084029</v>
      </c>
    </row>
    <row r="9952" spans="1:12" x14ac:dyDescent="0.45">
      <c r="A9952" s="12" t="s">
        <v>18292</v>
      </c>
      <c r="B9952" s="12" t="s">
        <v>1019</v>
      </c>
      <c r="C9952" s="13" t="s">
        <v>1020</v>
      </c>
      <c r="D9952" s="13" t="s">
        <v>57</v>
      </c>
      <c r="E9952" s="12" t="s">
        <v>35</v>
      </c>
      <c r="F9952" s="14">
        <v>24000</v>
      </c>
      <c r="G9952" s="14">
        <v>18350</v>
      </c>
      <c r="H9952" s="13" t="s">
        <v>18298</v>
      </c>
      <c r="I9952" s="40" t="s">
        <v>18</v>
      </c>
      <c r="J9952" s="40" t="str">
        <f>HYPERLINK("https://stock.pstatic.net/stock-research/company/16/20250806_company_851120000.pdf","PDF")</f>
        <v>PDF</v>
      </c>
      <c r="K9952" s="12" t="s">
        <v>18299</v>
      </c>
      <c r="L9952" s="20">
        <v>0.30790190735694822</v>
      </c>
    </row>
    <row r="9953" spans="1:12" x14ac:dyDescent="0.45">
      <c r="A9953" s="12" t="s">
        <v>18292</v>
      </c>
      <c r="B9953" s="12" t="s">
        <v>352</v>
      </c>
      <c r="C9953" s="13" t="s">
        <v>353</v>
      </c>
      <c r="D9953" s="13" t="s">
        <v>57</v>
      </c>
      <c r="E9953" s="12" t="s">
        <v>35</v>
      </c>
      <c r="F9953" s="14">
        <v>240000</v>
      </c>
      <c r="G9953" s="14">
        <v>201000</v>
      </c>
      <c r="H9953" s="13" t="s">
        <v>18300</v>
      </c>
      <c r="I9953" s="40" t="s">
        <v>18</v>
      </c>
      <c r="J9953" s="40" t="str">
        <f>HYPERLINK("https://stock.pstatic.net/stock-research/company/16/20250806_company_877880000.pdf","PDF")</f>
        <v>PDF</v>
      </c>
      <c r="K9953" s="12" t="s">
        <v>18301</v>
      </c>
      <c r="L9953" s="20">
        <v>0.19402985074626869</v>
      </c>
    </row>
    <row r="9954" spans="1:12" x14ac:dyDescent="0.45">
      <c r="A9954" s="12" t="s">
        <v>18292</v>
      </c>
      <c r="B9954" s="12" t="s">
        <v>2187</v>
      </c>
      <c r="C9954" s="13" t="s">
        <v>2188</v>
      </c>
      <c r="D9954" s="13" t="s">
        <v>57</v>
      </c>
      <c r="E9954" s="12" t="s">
        <v>159</v>
      </c>
      <c r="F9954" s="14">
        <v>130000</v>
      </c>
      <c r="G9954" s="14">
        <v>117000</v>
      </c>
      <c r="H9954" s="13" t="s">
        <v>18302</v>
      </c>
      <c r="I9954" s="40" t="s">
        <v>18</v>
      </c>
      <c r="J9954" s="40" t="str">
        <f>HYPERLINK("https://stock.pstatic.net/stock-research/company/16/20250806_company_996142000.pdf","PDF")</f>
        <v>PDF</v>
      </c>
      <c r="K9954" s="12" t="s">
        <v>18303</v>
      </c>
      <c r="L9954" s="20">
        <v>0.1111111111111111</v>
      </c>
    </row>
    <row r="9955" spans="1:12" x14ac:dyDescent="0.45">
      <c r="A9955" s="12" t="s">
        <v>18292</v>
      </c>
      <c r="B9955" s="12" t="s">
        <v>1350</v>
      </c>
      <c r="C9955" s="13" t="s">
        <v>1351</v>
      </c>
      <c r="D9955" s="13" t="s">
        <v>276</v>
      </c>
      <c r="E9955" s="12" t="s">
        <v>16</v>
      </c>
      <c r="F9955" s="14">
        <v>62000</v>
      </c>
      <c r="G9955" s="14">
        <v>47600</v>
      </c>
      <c r="H9955" s="13" t="s">
        <v>18304</v>
      </c>
      <c r="I9955" s="40" t="s">
        <v>18</v>
      </c>
      <c r="J9955" s="40" t="str">
        <f>HYPERLINK("https://stock.pstatic.net/stock-research/company/66/20250806_company_410869000.pdf","PDF")</f>
        <v>PDF</v>
      </c>
      <c r="K9955" s="12" t="s">
        <v>18305</v>
      </c>
      <c r="L9955" s="20">
        <v>0.30252100840336132</v>
      </c>
    </row>
    <row r="9956" spans="1:12" x14ac:dyDescent="0.45">
      <c r="A9956" s="12" t="s">
        <v>18292</v>
      </c>
      <c r="B9956" s="12" t="s">
        <v>732</v>
      </c>
      <c r="C9956" s="13" t="s">
        <v>733</v>
      </c>
      <c r="D9956" s="13" t="s">
        <v>276</v>
      </c>
      <c r="E9956" s="12" t="s">
        <v>16</v>
      </c>
      <c r="F9956" s="14">
        <v>160000</v>
      </c>
      <c r="G9956" s="14">
        <v>111400</v>
      </c>
      <c r="H9956" s="13" t="s">
        <v>18306</v>
      </c>
      <c r="I9956" s="40" t="s">
        <v>18</v>
      </c>
      <c r="J9956" s="40" t="str">
        <f>HYPERLINK("https://stock.pstatic.net/stock-research/company/66/20250806_company_842451000.pdf","PDF")</f>
        <v>PDF</v>
      </c>
      <c r="K9956" s="12" t="s">
        <v>18307</v>
      </c>
      <c r="L9956" s="20">
        <v>0.43626570915619389</v>
      </c>
    </row>
    <row r="9957" spans="1:12" x14ac:dyDescent="0.45">
      <c r="A9957" s="12" t="s">
        <v>18292</v>
      </c>
      <c r="B9957" s="12" t="s">
        <v>3101</v>
      </c>
      <c r="C9957" s="13" t="s">
        <v>3102</v>
      </c>
      <c r="D9957" s="13" t="s">
        <v>276</v>
      </c>
      <c r="E9957" s="12" t="s">
        <v>16</v>
      </c>
      <c r="F9957" s="14">
        <v>140000</v>
      </c>
      <c r="G9957" s="14">
        <v>124500</v>
      </c>
      <c r="H9957" s="13" t="s">
        <v>18308</v>
      </c>
      <c r="I9957" s="40" t="s">
        <v>18</v>
      </c>
      <c r="J9957" s="40" t="str">
        <f>HYPERLINK("https://stock.pstatic.net/stock-research/company/66/20250806_company_371836000.pdf","PDF")</f>
        <v>PDF</v>
      </c>
      <c r="K9957" s="12" t="s">
        <v>18309</v>
      </c>
      <c r="L9957" s="20">
        <v>0.12449799196787149</v>
      </c>
    </row>
    <row r="9958" spans="1:12" x14ac:dyDescent="0.45">
      <c r="A9958" s="12" t="s">
        <v>18292</v>
      </c>
      <c r="B9958" s="12" t="s">
        <v>2662</v>
      </c>
      <c r="C9958" s="13" t="s">
        <v>2663</v>
      </c>
      <c r="D9958" s="13" t="s">
        <v>60</v>
      </c>
      <c r="E9958" s="12" t="s">
        <v>50</v>
      </c>
      <c r="F9958" s="14">
        <v>76000</v>
      </c>
      <c r="G9958" s="14">
        <v>61800</v>
      </c>
      <c r="H9958" s="13" t="s">
        <v>18310</v>
      </c>
      <c r="I9958" s="40" t="s">
        <v>18</v>
      </c>
      <c r="J9958" s="40" t="str">
        <f>HYPERLINK("https://stock.pstatic.net/stock-research/company/34/20250806_company_937350000.pdf","PDF")</f>
        <v>PDF</v>
      </c>
      <c r="K9958" s="12" t="s">
        <v>18311</v>
      </c>
      <c r="L9958" s="20">
        <v>0.22977346278317151</v>
      </c>
    </row>
    <row r="9959" spans="1:12" x14ac:dyDescent="0.45">
      <c r="A9959" s="12" t="s">
        <v>18292</v>
      </c>
      <c r="B9959" s="12" t="s">
        <v>2187</v>
      </c>
      <c r="C9959" s="13" t="s">
        <v>2188</v>
      </c>
      <c r="D9959" s="13" t="s">
        <v>60</v>
      </c>
      <c r="E9959" s="12" t="s">
        <v>35</v>
      </c>
      <c r="F9959" s="14">
        <v>175000</v>
      </c>
      <c r="G9959" s="14">
        <v>117000</v>
      </c>
      <c r="H9959" s="13" t="s">
        <v>18312</v>
      </c>
      <c r="I9959" s="40" t="s">
        <v>18</v>
      </c>
      <c r="J9959" s="40" t="str">
        <f>HYPERLINK("https://stock.pstatic.net/stock-research/company/34/20250806_company_650419000.pdf","PDF")</f>
        <v>PDF</v>
      </c>
      <c r="K9959" s="12" t="s">
        <v>18313</v>
      </c>
      <c r="L9959" s="20">
        <v>0.49572649572649569</v>
      </c>
    </row>
    <row r="9960" spans="1:12" x14ac:dyDescent="0.45">
      <c r="A9960" s="12" t="s">
        <v>18292</v>
      </c>
      <c r="B9960" s="12" t="s">
        <v>352</v>
      </c>
      <c r="C9960" s="13" t="s">
        <v>353</v>
      </c>
      <c r="D9960" s="13" t="s">
        <v>60</v>
      </c>
      <c r="E9960" s="12" t="s">
        <v>35</v>
      </c>
      <c r="F9960" s="14">
        <v>330000</v>
      </c>
      <c r="G9960" s="14">
        <v>201000</v>
      </c>
      <c r="H9960" s="13" t="s">
        <v>18314</v>
      </c>
      <c r="I9960" s="40" t="s">
        <v>18</v>
      </c>
      <c r="J9960" s="40" t="str">
        <f>HYPERLINK("https://stock.pstatic.net/stock-research/company/34/20250806_company_144380000.pdf","PDF")</f>
        <v>PDF</v>
      </c>
      <c r="K9960" s="12" t="s">
        <v>18315</v>
      </c>
      <c r="L9960" s="20">
        <v>0.64179104477611937</v>
      </c>
    </row>
    <row r="9961" spans="1:12" x14ac:dyDescent="0.45">
      <c r="A9961" s="12" t="s">
        <v>18292</v>
      </c>
      <c r="B9961" s="12" t="s">
        <v>3101</v>
      </c>
      <c r="C9961" s="13" t="s">
        <v>3102</v>
      </c>
      <c r="D9961" s="13" t="s">
        <v>65</v>
      </c>
      <c r="E9961" s="12" t="s">
        <v>35</v>
      </c>
      <c r="F9961" s="14">
        <v>151000</v>
      </c>
      <c r="G9961" s="14">
        <v>124500</v>
      </c>
      <c r="H9961" s="13" t="s">
        <v>18316</v>
      </c>
      <c r="I9961" s="40" t="s">
        <v>18</v>
      </c>
      <c r="J9961" s="40" t="str">
        <f>HYPERLINK("https://stock.pstatic.net/stock-research/company/57/20250806_company_354448000.pdf","PDF")</f>
        <v>PDF</v>
      </c>
      <c r="K9961" s="12" t="s">
        <v>18317</v>
      </c>
      <c r="L9961" s="20">
        <v>0.21285140562249</v>
      </c>
    </row>
    <row r="9962" spans="1:12" x14ac:dyDescent="0.45">
      <c r="A9962" s="12" t="s">
        <v>18292</v>
      </c>
      <c r="B9962" s="12" t="s">
        <v>1019</v>
      </c>
      <c r="C9962" s="13" t="s">
        <v>1020</v>
      </c>
      <c r="D9962" s="13" t="s">
        <v>65</v>
      </c>
      <c r="E9962" s="12" t="s">
        <v>35</v>
      </c>
      <c r="F9962" s="14">
        <v>23000</v>
      </c>
      <c r="G9962" s="14">
        <v>18350</v>
      </c>
      <c r="H9962" s="13" t="s">
        <v>18318</v>
      </c>
      <c r="I9962" s="40" t="s">
        <v>18</v>
      </c>
      <c r="J9962" s="40" t="str">
        <f>HYPERLINK("https://stock.pstatic.net/stock-research/company/57/20250806_company_266327000.pdf","PDF")</f>
        <v>PDF</v>
      </c>
      <c r="K9962" s="12" t="s">
        <v>18319</v>
      </c>
      <c r="L9962" s="20">
        <v>0.25340599455040869</v>
      </c>
    </row>
    <row r="9963" spans="1:12" x14ac:dyDescent="0.45">
      <c r="A9963" s="12" t="s">
        <v>18292</v>
      </c>
      <c r="B9963" s="12" t="s">
        <v>2187</v>
      </c>
      <c r="C9963" s="13" t="s">
        <v>2188</v>
      </c>
      <c r="D9963" s="13" t="s">
        <v>65</v>
      </c>
      <c r="E9963" s="12" t="s">
        <v>35</v>
      </c>
      <c r="F9963" s="14">
        <v>200000</v>
      </c>
      <c r="G9963" s="14">
        <v>117000</v>
      </c>
      <c r="H9963" s="13" t="s">
        <v>18320</v>
      </c>
      <c r="I9963" s="40" t="s">
        <v>18</v>
      </c>
      <c r="J9963" s="40" t="str">
        <f>HYPERLINK("https://stock.pstatic.net/stock-research/company/57/20250806_company_302044000.pdf","PDF")</f>
        <v>PDF</v>
      </c>
      <c r="K9963" s="12" t="s">
        <v>18321</v>
      </c>
      <c r="L9963" s="20">
        <v>0.70940170940170943</v>
      </c>
    </row>
    <row r="9964" spans="1:12" x14ac:dyDescent="0.45">
      <c r="A9964" s="12" t="s">
        <v>18292</v>
      </c>
      <c r="B9964" s="12" t="s">
        <v>533</v>
      </c>
      <c r="C9964" s="13" t="s">
        <v>534</v>
      </c>
      <c r="D9964" s="13" t="s">
        <v>65</v>
      </c>
      <c r="E9964" s="12" t="s">
        <v>35</v>
      </c>
      <c r="F9964" s="14">
        <v>70000</v>
      </c>
      <c r="G9964" s="14">
        <v>54800</v>
      </c>
      <c r="H9964" s="13" t="s">
        <v>18322</v>
      </c>
      <c r="I9964" s="40" t="s">
        <v>18</v>
      </c>
      <c r="J9964" s="40" t="str">
        <f>HYPERLINK("https://stock.pstatic.net/stock-research/company/57/20250806_company_338967000.pdf","PDF")</f>
        <v>PDF</v>
      </c>
      <c r="K9964" s="12" t="s">
        <v>18323</v>
      </c>
      <c r="L9964" s="20">
        <v>0.27737226277372262</v>
      </c>
    </row>
    <row r="9965" spans="1:12" x14ac:dyDescent="0.45">
      <c r="A9965" s="12" t="s">
        <v>18292</v>
      </c>
      <c r="B9965" s="12" t="s">
        <v>537</v>
      </c>
      <c r="C9965" s="13" t="s">
        <v>538</v>
      </c>
      <c r="D9965" s="13" t="s">
        <v>65</v>
      </c>
      <c r="E9965" s="12" t="s">
        <v>35</v>
      </c>
      <c r="F9965" s="14">
        <v>16000</v>
      </c>
      <c r="G9965" s="14">
        <v>14750</v>
      </c>
      <c r="H9965" s="13" t="s">
        <v>18324</v>
      </c>
      <c r="I9965" s="40" t="s">
        <v>18</v>
      </c>
      <c r="J9965" s="40" t="str">
        <f>HYPERLINK("https://stock.pstatic.net/stock-research/company/57/20250806_company_597211000.pdf","PDF")</f>
        <v>PDF</v>
      </c>
      <c r="K9965" s="12" t="s">
        <v>18325</v>
      </c>
      <c r="L9965" s="20">
        <v>8.4745762711864403E-2</v>
      </c>
    </row>
    <row r="9966" spans="1:12" x14ac:dyDescent="0.45">
      <c r="A9966" s="12" t="s">
        <v>18292</v>
      </c>
      <c r="B9966" s="12" t="s">
        <v>10852</v>
      </c>
      <c r="C9966" s="13" t="s">
        <v>10853</v>
      </c>
      <c r="D9966" s="13" t="s">
        <v>65</v>
      </c>
      <c r="E9966" s="12" t="s">
        <v>50</v>
      </c>
      <c r="F9966" s="13"/>
      <c r="G9966" s="14">
        <v>24150</v>
      </c>
      <c r="H9966" s="13" t="s">
        <v>18326</v>
      </c>
      <c r="I9966" s="40" t="s">
        <v>18</v>
      </c>
      <c r="J9966" s="40" t="str">
        <f>HYPERLINK("https://stock.pstatic.net/stock-research/company/57/20250806_company_304265000.pdf","PDF")</f>
        <v>PDF</v>
      </c>
      <c r="K9966" s="12" t="s">
        <v>18327</v>
      </c>
    </row>
    <row r="9967" spans="1:12" x14ac:dyDescent="0.45">
      <c r="A9967" s="12" t="s">
        <v>18292</v>
      </c>
      <c r="B9967" s="12" t="s">
        <v>732</v>
      </c>
      <c r="C9967" s="13" t="s">
        <v>733</v>
      </c>
      <c r="D9967" s="13" t="s">
        <v>65</v>
      </c>
      <c r="E9967" s="12" t="s">
        <v>35</v>
      </c>
      <c r="F9967" s="14">
        <v>130000</v>
      </c>
      <c r="G9967" s="14">
        <v>111400</v>
      </c>
      <c r="H9967" s="13" t="s">
        <v>18328</v>
      </c>
      <c r="I9967" s="40" t="s">
        <v>18</v>
      </c>
      <c r="J9967" s="40" t="str">
        <f>HYPERLINK("https://stock.pstatic.net/stock-research/company/57/20250806_company_319797000.pdf","PDF")</f>
        <v>PDF</v>
      </c>
      <c r="K9967" s="12" t="s">
        <v>18329</v>
      </c>
      <c r="L9967" s="20">
        <v>0.16696588868940751</v>
      </c>
    </row>
    <row r="9968" spans="1:12" x14ac:dyDescent="0.45">
      <c r="A9968" s="12" t="s">
        <v>18292</v>
      </c>
      <c r="B9968" s="12" t="s">
        <v>3488</v>
      </c>
      <c r="C9968" s="13" t="s">
        <v>3489</v>
      </c>
      <c r="D9968" s="13" t="s">
        <v>158</v>
      </c>
      <c r="E9968" s="12" t="s">
        <v>35</v>
      </c>
      <c r="F9968" s="14">
        <v>31000</v>
      </c>
      <c r="G9968" s="14">
        <v>24900</v>
      </c>
      <c r="H9968" s="13" t="s">
        <v>18330</v>
      </c>
      <c r="I9968" s="40" t="s">
        <v>18</v>
      </c>
      <c r="J9968" s="40" t="str">
        <f>HYPERLINK("https://stock.pstatic.net/stock-research/company/18/20250806_company_722754000.pdf","PDF")</f>
        <v>PDF</v>
      </c>
      <c r="K9968" s="12" t="s">
        <v>18331</v>
      </c>
      <c r="L9968" s="20">
        <v>0.24497991967871491</v>
      </c>
    </row>
    <row r="9969" spans="1:12" x14ac:dyDescent="0.45">
      <c r="A9969" s="12" t="s">
        <v>18292</v>
      </c>
      <c r="B9969" s="12" t="s">
        <v>2944</v>
      </c>
      <c r="C9969" s="13" t="s">
        <v>2945</v>
      </c>
      <c r="D9969" s="13" t="s">
        <v>158</v>
      </c>
      <c r="E9969" s="12" t="s">
        <v>35</v>
      </c>
      <c r="F9969" s="14">
        <v>18000</v>
      </c>
      <c r="G9969" s="14">
        <v>14410</v>
      </c>
      <c r="H9969" s="13" t="s">
        <v>18332</v>
      </c>
      <c r="I9969" s="40" t="s">
        <v>18</v>
      </c>
      <c r="J9969" s="40" t="str">
        <f>HYPERLINK("https://stock.pstatic.net/stock-research/company/18/20250806_company_14429000.pdf","PDF")</f>
        <v>PDF</v>
      </c>
      <c r="K9969" s="12" t="s">
        <v>18333</v>
      </c>
      <c r="L9969" s="20">
        <v>0.24913254684247049</v>
      </c>
    </row>
    <row r="9970" spans="1:12" x14ac:dyDescent="0.45">
      <c r="A9970" s="12" t="s">
        <v>18292</v>
      </c>
      <c r="B9970" s="12" t="s">
        <v>2187</v>
      </c>
      <c r="C9970" s="13" t="s">
        <v>2188</v>
      </c>
      <c r="D9970" s="13" t="s">
        <v>158</v>
      </c>
      <c r="E9970" s="12" t="s">
        <v>35</v>
      </c>
      <c r="F9970" s="14">
        <v>140000</v>
      </c>
      <c r="G9970" s="14">
        <v>117000</v>
      </c>
      <c r="H9970" s="13" t="s">
        <v>18334</v>
      </c>
      <c r="I9970" s="40" t="s">
        <v>18</v>
      </c>
      <c r="J9970" s="40" t="str">
        <f>HYPERLINK("https://stock.pstatic.net/stock-research/company/18/20250806_company_698183000.pdf","PDF")</f>
        <v>PDF</v>
      </c>
      <c r="K9970" s="12" t="s">
        <v>18335</v>
      </c>
      <c r="L9970" s="20">
        <v>0.1965811965811966</v>
      </c>
    </row>
    <row r="9971" spans="1:12" x14ac:dyDescent="0.45">
      <c r="A9971" s="12" t="s">
        <v>18292</v>
      </c>
      <c r="B9971" s="12" t="s">
        <v>352</v>
      </c>
      <c r="C9971" s="13" t="s">
        <v>353</v>
      </c>
      <c r="D9971" s="13" t="s">
        <v>92</v>
      </c>
      <c r="E9971" s="12" t="s">
        <v>35</v>
      </c>
      <c r="F9971" s="14">
        <v>245000</v>
      </c>
      <c r="G9971" s="14">
        <v>201000</v>
      </c>
      <c r="H9971" s="13" t="s">
        <v>18336</v>
      </c>
      <c r="I9971" s="40" t="s">
        <v>18</v>
      </c>
      <c r="J9971" s="40" t="str">
        <f>HYPERLINK("https://stock.pstatic.net/stock-research/company/63/20250806_company_207761000.pdf","PDF")</f>
        <v>PDF</v>
      </c>
      <c r="K9971" s="12" t="s">
        <v>18337</v>
      </c>
      <c r="L9971" s="20">
        <v>0.2189054726368159</v>
      </c>
    </row>
    <row r="9972" spans="1:12" x14ac:dyDescent="0.45">
      <c r="A9972" s="12" t="s">
        <v>18292</v>
      </c>
      <c r="B9972" s="12" t="s">
        <v>352</v>
      </c>
      <c r="C9972" s="13" t="s">
        <v>353</v>
      </c>
      <c r="D9972" s="13" t="s">
        <v>15</v>
      </c>
      <c r="E9972" s="12" t="s">
        <v>16</v>
      </c>
      <c r="F9972" s="14">
        <v>300000</v>
      </c>
      <c r="G9972" s="14">
        <v>201000</v>
      </c>
      <c r="H9972" s="13" t="s">
        <v>18338</v>
      </c>
      <c r="I9972" s="40" t="s">
        <v>18</v>
      </c>
      <c r="J9972" s="40" t="str">
        <f>HYPERLINK("https://stock.pstatic.net/stock-research/company/29/20250806_company_98000000.pdf","PDF")</f>
        <v>PDF</v>
      </c>
      <c r="K9972" s="12" t="s">
        <v>18339</v>
      </c>
      <c r="L9972" s="20">
        <v>0.4925373134328358</v>
      </c>
    </row>
    <row r="9973" spans="1:12" x14ac:dyDescent="0.45">
      <c r="A9973" s="12" t="s">
        <v>18292</v>
      </c>
      <c r="B9973" s="12" t="s">
        <v>1350</v>
      </c>
      <c r="C9973" s="13" t="s">
        <v>1351</v>
      </c>
      <c r="D9973" s="13" t="s">
        <v>15</v>
      </c>
      <c r="E9973" s="12" t="s">
        <v>16</v>
      </c>
      <c r="F9973" s="14">
        <v>67000</v>
      </c>
      <c r="G9973" s="14">
        <v>47600</v>
      </c>
      <c r="H9973" s="13" t="s">
        <v>18340</v>
      </c>
      <c r="I9973" s="40" t="s">
        <v>18</v>
      </c>
      <c r="J9973" s="40" t="str">
        <f>HYPERLINK("https://stock.pstatic.net/stock-research/company/29/20250806_company_256109000.pdf","PDF")</f>
        <v>PDF</v>
      </c>
      <c r="K9973" s="12" t="s">
        <v>18341</v>
      </c>
      <c r="L9973" s="20">
        <v>0.40756302521008397</v>
      </c>
    </row>
    <row r="9974" spans="1:12" x14ac:dyDescent="0.45">
      <c r="A9974" s="12" t="s">
        <v>18292</v>
      </c>
      <c r="B9974" s="12" t="s">
        <v>732</v>
      </c>
      <c r="C9974" s="13" t="s">
        <v>733</v>
      </c>
      <c r="D9974" s="13" t="s">
        <v>92</v>
      </c>
      <c r="E9974" s="12" t="s">
        <v>50</v>
      </c>
      <c r="F9974" s="13"/>
      <c r="G9974" s="14">
        <v>111400</v>
      </c>
      <c r="H9974" s="13" t="s">
        <v>18342</v>
      </c>
      <c r="I9974" s="40" t="s">
        <v>18</v>
      </c>
      <c r="J9974" s="40" t="str">
        <f>HYPERLINK("https://stock.pstatic.net/stock-research/company/63/20250806_company_707371000.pdf","PDF")</f>
        <v>PDF</v>
      </c>
      <c r="K9974" s="12" t="s">
        <v>18343</v>
      </c>
    </row>
    <row r="9975" spans="1:12" x14ac:dyDescent="0.45">
      <c r="A9975" s="12" t="s">
        <v>18292</v>
      </c>
      <c r="B9975" s="12" t="s">
        <v>2740</v>
      </c>
      <c r="C9975" s="13" t="s">
        <v>2741</v>
      </c>
      <c r="D9975" s="13" t="s">
        <v>92</v>
      </c>
      <c r="E9975" s="12" t="s">
        <v>35</v>
      </c>
      <c r="F9975" s="14">
        <v>23000</v>
      </c>
      <c r="G9975" s="14">
        <v>16560</v>
      </c>
      <c r="H9975" s="13" t="s">
        <v>18344</v>
      </c>
      <c r="I9975" s="40" t="s">
        <v>18</v>
      </c>
      <c r="J9975" s="40" t="str">
        <f>HYPERLINK("https://stock.pstatic.net/stock-research/company/63/20250806_company_254139000.pdf","PDF")</f>
        <v>PDF</v>
      </c>
      <c r="K9975" s="12" t="s">
        <v>18345</v>
      </c>
      <c r="L9975" s="20">
        <v>0.3888888888888889</v>
      </c>
    </row>
    <row r="9976" spans="1:12" x14ac:dyDescent="0.45">
      <c r="A9976" s="12" t="s">
        <v>18292</v>
      </c>
      <c r="B9976" s="12" t="s">
        <v>3101</v>
      </c>
      <c r="C9976" s="13" t="s">
        <v>3102</v>
      </c>
      <c r="D9976" s="13" t="s">
        <v>92</v>
      </c>
      <c r="E9976" s="12" t="s">
        <v>35</v>
      </c>
      <c r="F9976" s="14">
        <v>180000</v>
      </c>
      <c r="G9976" s="14">
        <v>124500</v>
      </c>
      <c r="H9976" s="13" t="s">
        <v>18346</v>
      </c>
      <c r="I9976" s="40" t="s">
        <v>18</v>
      </c>
      <c r="J9976" s="40" t="str">
        <f>HYPERLINK("https://stock.pstatic.net/stock-research/company/63/20250806_company_663467000.pdf","PDF")</f>
        <v>PDF</v>
      </c>
      <c r="K9976" s="12" t="s">
        <v>18347</v>
      </c>
      <c r="L9976" s="20">
        <v>0.44578313253012047</v>
      </c>
    </row>
    <row r="9977" spans="1:12" x14ac:dyDescent="0.45">
      <c r="A9977" s="12" t="s">
        <v>18292</v>
      </c>
      <c r="B9977" s="12" t="s">
        <v>2187</v>
      </c>
      <c r="C9977" s="13" t="s">
        <v>2188</v>
      </c>
      <c r="D9977" s="13" t="s">
        <v>92</v>
      </c>
      <c r="E9977" s="12" t="s">
        <v>35</v>
      </c>
      <c r="F9977" s="14">
        <v>136000</v>
      </c>
      <c r="G9977" s="14">
        <v>117000</v>
      </c>
      <c r="H9977" s="13" t="s">
        <v>18348</v>
      </c>
      <c r="I9977" s="40" t="s">
        <v>18</v>
      </c>
      <c r="J9977" s="40" t="str">
        <f>HYPERLINK("https://stock.pstatic.net/stock-research/company/63/20250806_company_432323000.pdf","PDF")</f>
        <v>PDF</v>
      </c>
      <c r="K9977" s="12" t="s">
        <v>18349</v>
      </c>
      <c r="L9977" s="20">
        <v>0.1623931623931624</v>
      </c>
    </row>
    <row r="9978" spans="1:12" x14ac:dyDescent="0.45">
      <c r="A9978" s="12" t="s">
        <v>18292</v>
      </c>
      <c r="B9978" s="12" t="s">
        <v>1350</v>
      </c>
      <c r="C9978" s="13" t="s">
        <v>1351</v>
      </c>
      <c r="D9978" s="13" t="s">
        <v>53</v>
      </c>
      <c r="E9978" s="12" t="s">
        <v>16</v>
      </c>
      <c r="F9978" s="14">
        <v>67000</v>
      </c>
      <c r="G9978" s="14">
        <v>47600</v>
      </c>
      <c r="H9978" s="13" t="s">
        <v>18350</v>
      </c>
      <c r="I9978" s="40" t="s">
        <v>18</v>
      </c>
      <c r="J9978" s="40" t="str">
        <f>HYPERLINK("https://stock.pstatic.net/stock-research/company/40/20250806_company_571567000.pdf","PDF")</f>
        <v>PDF</v>
      </c>
      <c r="K9978" s="12" t="s">
        <v>18351</v>
      </c>
      <c r="L9978" s="20">
        <v>0.40756302521008397</v>
      </c>
    </row>
    <row r="9979" spans="1:12" x14ac:dyDescent="0.45">
      <c r="A9979" s="12" t="s">
        <v>18292</v>
      </c>
      <c r="B9979" s="12" t="s">
        <v>1019</v>
      </c>
      <c r="C9979" s="13" t="s">
        <v>1020</v>
      </c>
      <c r="D9979" s="13" t="s">
        <v>92</v>
      </c>
      <c r="E9979" s="12" t="s">
        <v>35</v>
      </c>
      <c r="F9979" s="14">
        <v>26000</v>
      </c>
      <c r="G9979" s="14">
        <v>18350</v>
      </c>
      <c r="H9979" s="13" t="s">
        <v>18352</v>
      </c>
      <c r="I9979" s="40" t="s">
        <v>18</v>
      </c>
      <c r="J9979" s="40" t="str">
        <f>HYPERLINK("https://stock.pstatic.net/stock-research/company/63/20250806_company_41632000.pdf","PDF")</f>
        <v>PDF</v>
      </c>
      <c r="K9979" s="12" t="s">
        <v>18353</v>
      </c>
      <c r="L9979" s="20">
        <v>0.41689373297002719</v>
      </c>
    </row>
    <row r="9980" spans="1:12" x14ac:dyDescent="0.45">
      <c r="A9980" s="12" t="s">
        <v>18292</v>
      </c>
      <c r="B9980" s="12" t="s">
        <v>6298</v>
      </c>
      <c r="C9980" s="13" t="s">
        <v>6299</v>
      </c>
      <c r="D9980" s="13" t="s">
        <v>92</v>
      </c>
      <c r="E9980" s="12" t="s">
        <v>50</v>
      </c>
      <c r="F9980" s="13"/>
      <c r="G9980" s="14">
        <v>13150</v>
      </c>
      <c r="H9980" s="13" t="s">
        <v>18354</v>
      </c>
      <c r="I9980" s="40" t="s">
        <v>18</v>
      </c>
      <c r="J9980" s="40" t="str">
        <f>HYPERLINK("https://stock.pstatic.net/stock-research/company/63/20250806_company_111625000.pdf","PDF")</f>
        <v>PDF</v>
      </c>
      <c r="K9980" s="12" t="s">
        <v>18355</v>
      </c>
    </row>
    <row r="9981" spans="1:12" x14ac:dyDescent="0.45">
      <c r="A9981" s="12" t="s">
        <v>18292</v>
      </c>
      <c r="B9981" s="12" t="s">
        <v>8204</v>
      </c>
      <c r="C9981" s="13" t="s">
        <v>8205</v>
      </c>
      <c r="D9981" s="13" t="s">
        <v>23</v>
      </c>
      <c r="E9981" s="12" t="s">
        <v>16</v>
      </c>
      <c r="F9981" s="14">
        <v>85000</v>
      </c>
      <c r="G9981" s="14">
        <v>69600</v>
      </c>
      <c r="H9981" s="13" t="s">
        <v>18356</v>
      </c>
      <c r="I9981" s="40" t="s">
        <v>18</v>
      </c>
      <c r="J9981" s="40" t="str">
        <f>HYPERLINK("https://stock.pstatic.net/stock-research/company/21/20250806_company_792124000.pdf","PDF")</f>
        <v>PDF</v>
      </c>
      <c r="K9981" s="12" t="s">
        <v>18357</v>
      </c>
      <c r="L9981" s="20">
        <v>0.22126436781609199</v>
      </c>
    </row>
    <row r="9982" spans="1:12" x14ac:dyDescent="0.45">
      <c r="A9982" s="12" t="s">
        <v>18292</v>
      </c>
      <c r="B9982" s="12" t="s">
        <v>8204</v>
      </c>
      <c r="C9982" s="13" t="s">
        <v>8205</v>
      </c>
      <c r="D9982" s="13" t="s">
        <v>92</v>
      </c>
      <c r="E9982" s="12" t="s">
        <v>35</v>
      </c>
      <c r="F9982" s="14">
        <v>89000</v>
      </c>
      <c r="G9982" s="14">
        <v>69600</v>
      </c>
      <c r="H9982" s="13" t="s">
        <v>18358</v>
      </c>
      <c r="I9982" s="40" t="s">
        <v>18</v>
      </c>
      <c r="J9982" s="40" t="str">
        <f>HYPERLINK("https://stock.pstatic.net/stock-research/company/63/20250806_company_933159000.pdf","PDF")</f>
        <v>PDF</v>
      </c>
      <c r="K9982" s="12" t="s">
        <v>18359</v>
      </c>
      <c r="L9982" s="20">
        <v>0.27873563218390812</v>
      </c>
    </row>
    <row r="9983" spans="1:12" x14ac:dyDescent="0.45">
      <c r="A9983" s="12" t="s">
        <v>18292</v>
      </c>
      <c r="B9983" s="12" t="s">
        <v>1216</v>
      </c>
      <c r="C9983" s="13" t="s">
        <v>1217</v>
      </c>
      <c r="D9983" s="13" t="s">
        <v>23</v>
      </c>
      <c r="E9983" s="12" t="s">
        <v>16</v>
      </c>
      <c r="F9983" s="14">
        <v>35000</v>
      </c>
      <c r="G9983" s="14">
        <v>24600</v>
      </c>
      <c r="H9983" s="13" t="s">
        <v>18360</v>
      </c>
      <c r="I9983" s="40" t="s">
        <v>18</v>
      </c>
      <c r="J9983" s="40" t="str">
        <f>HYPERLINK("https://stock.pstatic.net/stock-research/company/21/20250806_company_655868000.pdf","PDF")</f>
        <v>PDF</v>
      </c>
      <c r="K9983" s="12" t="s">
        <v>18361</v>
      </c>
      <c r="L9983" s="20">
        <v>0.42276422764227639</v>
      </c>
    </row>
    <row r="9984" spans="1:12" x14ac:dyDescent="0.45">
      <c r="A9984" s="12" t="s">
        <v>18292</v>
      </c>
      <c r="B9984" s="12" t="s">
        <v>732</v>
      </c>
      <c r="C9984" s="13" t="s">
        <v>733</v>
      </c>
      <c r="D9984" s="13" t="s">
        <v>179</v>
      </c>
      <c r="E9984" s="12" t="s">
        <v>16</v>
      </c>
      <c r="F9984" s="14">
        <v>160000</v>
      </c>
      <c r="G9984" s="14">
        <v>111400</v>
      </c>
      <c r="H9984" s="13" t="s">
        <v>18362</v>
      </c>
      <c r="I9984" s="40" t="s">
        <v>18</v>
      </c>
      <c r="J9984" s="40" t="str">
        <f>HYPERLINK("https://stock.pstatic.net/stock-research/company/64/20250806_company_212441000.pdf","PDF")</f>
        <v>PDF</v>
      </c>
      <c r="K9984" s="12" t="s">
        <v>18363</v>
      </c>
      <c r="L9984" s="20">
        <v>0.43626570915619389</v>
      </c>
    </row>
    <row r="9985" spans="1:12" x14ac:dyDescent="0.45">
      <c r="A9985" s="12" t="s">
        <v>18292</v>
      </c>
      <c r="B9985" s="12" t="s">
        <v>2187</v>
      </c>
      <c r="C9985" s="13" t="s">
        <v>2188</v>
      </c>
      <c r="D9985" s="13" t="s">
        <v>53</v>
      </c>
      <c r="E9985" s="12" t="s">
        <v>16</v>
      </c>
      <c r="F9985" s="14">
        <v>135000</v>
      </c>
      <c r="G9985" s="14">
        <v>117000</v>
      </c>
      <c r="H9985" s="13" t="s">
        <v>18364</v>
      </c>
      <c r="I9985" s="40" t="s">
        <v>18</v>
      </c>
      <c r="J9985" s="40" t="str">
        <f>HYPERLINK("https://stock.pstatic.net/stock-research/company/40/20250806_company_982934000.pdf","PDF")</f>
        <v>PDF</v>
      </c>
      <c r="K9985" s="12" t="s">
        <v>18365</v>
      </c>
      <c r="L9985" s="20">
        <v>0.15384615384615391</v>
      </c>
    </row>
    <row r="9986" spans="1:12" x14ac:dyDescent="0.45">
      <c r="A9986" s="12" t="s">
        <v>18292</v>
      </c>
      <c r="B9986" s="12" t="s">
        <v>10796</v>
      </c>
      <c r="C9986" s="13" t="s">
        <v>10797</v>
      </c>
      <c r="D9986" s="13" t="s">
        <v>179</v>
      </c>
      <c r="E9986" s="12" t="s">
        <v>16</v>
      </c>
      <c r="F9986" s="14">
        <v>28000</v>
      </c>
      <c r="G9986" s="14">
        <v>16740</v>
      </c>
      <c r="H9986" s="13" t="s">
        <v>18366</v>
      </c>
      <c r="I9986" s="40" t="s">
        <v>18</v>
      </c>
      <c r="J9986" s="40" t="str">
        <f>HYPERLINK("https://stock.pstatic.net/stock-research/company/64/20250806_company_638564000.pdf","PDF")</f>
        <v>PDF</v>
      </c>
      <c r="K9986" s="12" t="s">
        <v>18367</v>
      </c>
      <c r="L9986" s="20">
        <v>0.67264038231780165</v>
      </c>
    </row>
    <row r="9987" spans="1:12" x14ac:dyDescent="0.45">
      <c r="A9987" s="12" t="s">
        <v>18292</v>
      </c>
      <c r="B9987" s="12" t="s">
        <v>352</v>
      </c>
      <c r="C9987" s="13" t="s">
        <v>353</v>
      </c>
      <c r="D9987" s="13" t="s">
        <v>34</v>
      </c>
      <c r="E9987" s="12" t="s">
        <v>35</v>
      </c>
      <c r="F9987" s="14">
        <v>320000</v>
      </c>
      <c r="G9987" s="14">
        <v>201000</v>
      </c>
      <c r="H9987" s="13" t="s">
        <v>18368</v>
      </c>
      <c r="I9987" s="40" t="s">
        <v>18</v>
      </c>
      <c r="J9987" s="40" t="str">
        <f>HYPERLINK("https://stock.pstatic.net/stock-research/company/61/20250806_company_757349000.pdf","PDF")</f>
        <v>PDF</v>
      </c>
      <c r="K9987" s="12" t="s">
        <v>18369</v>
      </c>
      <c r="L9987" s="20">
        <v>0.59203980099502485</v>
      </c>
    </row>
    <row r="9988" spans="1:12" x14ac:dyDescent="0.45">
      <c r="A9988" s="12" t="s">
        <v>18292</v>
      </c>
      <c r="B9988" s="12" t="s">
        <v>18370</v>
      </c>
      <c r="C9988" s="13" t="s">
        <v>18371</v>
      </c>
      <c r="D9988" s="13" t="s">
        <v>23</v>
      </c>
      <c r="E9988" s="12" t="s">
        <v>50</v>
      </c>
      <c r="F9988" s="13"/>
      <c r="G9988" s="14">
        <v>2980</v>
      </c>
      <c r="H9988" s="13" t="s">
        <v>18372</v>
      </c>
      <c r="I9988" s="40" t="s">
        <v>18</v>
      </c>
      <c r="J9988" s="40" t="str">
        <f>HYPERLINK("https://m.stock.naver.com/research/company/85328","PDF")</f>
        <v>PDF</v>
      </c>
      <c r="K9988" s="12" t="s">
        <v>18373</v>
      </c>
    </row>
    <row r="9989" spans="1:12" x14ac:dyDescent="0.45">
      <c r="A9989" s="12" t="s">
        <v>18292</v>
      </c>
      <c r="B9989" s="12" t="s">
        <v>1781</v>
      </c>
      <c r="C9989" s="13" t="s">
        <v>1782</v>
      </c>
      <c r="D9989" s="13" t="s">
        <v>34</v>
      </c>
      <c r="E9989" s="12" t="s">
        <v>35</v>
      </c>
      <c r="F9989" s="14">
        <v>95000</v>
      </c>
      <c r="G9989" s="14">
        <v>76600</v>
      </c>
      <c r="H9989" s="13" t="s">
        <v>18374</v>
      </c>
      <c r="I9989" s="40" t="s">
        <v>18</v>
      </c>
      <c r="J9989" s="40" t="str">
        <f>HYPERLINK("https://stock.pstatic.net/stock-research/company/61/20250806_company_683203000.pdf","PDF")</f>
        <v>PDF</v>
      </c>
      <c r="K9989" s="12" t="s">
        <v>18375</v>
      </c>
      <c r="L9989" s="20">
        <v>0.24020887728459531</v>
      </c>
    </row>
    <row r="9990" spans="1:12" x14ac:dyDescent="0.45">
      <c r="A9990" s="12" t="s">
        <v>18292</v>
      </c>
      <c r="B9990" s="12" t="s">
        <v>732</v>
      </c>
      <c r="C9990" s="13" t="s">
        <v>733</v>
      </c>
      <c r="D9990" s="13" t="s">
        <v>53</v>
      </c>
      <c r="E9990" s="12" t="s">
        <v>16</v>
      </c>
      <c r="F9990" s="14">
        <v>140000</v>
      </c>
      <c r="G9990" s="14">
        <v>111400</v>
      </c>
      <c r="H9990" s="13" t="s">
        <v>18376</v>
      </c>
      <c r="I9990" s="40" t="s">
        <v>18</v>
      </c>
      <c r="J9990" s="40" t="str">
        <f>HYPERLINK("https://stock.pstatic.net/stock-research/company/40/20250806_company_461042000.pdf","PDF")</f>
        <v>PDF</v>
      </c>
      <c r="K9990" s="12" t="s">
        <v>18377</v>
      </c>
      <c r="L9990" s="20">
        <v>0.25673249551166971</v>
      </c>
    </row>
    <row r="9991" spans="1:12" x14ac:dyDescent="0.45">
      <c r="A9991" s="12" t="s">
        <v>18292</v>
      </c>
      <c r="B9991" s="12" t="s">
        <v>2187</v>
      </c>
      <c r="C9991" s="13" t="s">
        <v>2188</v>
      </c>
      <c r="D9991" s="13" t="s">
        <v>23</v>
      </c>
      <c r="E9991" s="12" t="s">
        <v>16</v>
      </c>
      <c r="F9991" s="14">
        <v>140000</v>
      </c>
      <c r="G9991" s="14">
        <v>117000</v>
      </c>
      <c r="H9991" s="13" t="s">
        <v>18378</v>
      </c>
      <c r="I9991" s="40" t="s">
        <v>18</v>
      </c>
      <c r="J9991" s="40" t="str">
        <f>HYPERLINK("https://stock.pstatic.net/stock-research/company/21/20250806_company_237733000.pdf","PDF")</f>
        <v>PDF</v>
      </c>
      <c r="K9991" s="12" t="s">
        <v>18379</v>
      </c>
      <c r="L9991" s="20">
        <v>0.1965811965811966</v>
      </c>
    </row>
    <row r="9992" spans="1:12" x14ac:dyDescent="0.45">
      <c r="A9992" s="12" t="s">
        <v>18292</v>
      </c>
      <c r="B9992" s="12" t="s">
        <v>2777</v>
      </c>
      <c r="C9992" s="13" t="s">
        <v>2778</v>
      </c>
      <c r="D9992" s="13" t="s">
        <v>23</v>
      </c>
      <c r="E9992" s="12" t="s">
        <v>16</v>
      </c>
      <c r="F9992" s="14">
        <v>200000</v>
      </c>
      <c r="G9992" s="14">
        <v>149600</v>
      </c>
      <c r="H9992" s="13" t="s">
        <v>18380</v>
      </c>
      <c r="I9992" s="40" t="s">
        <v>18</v>
      </c>
      <c r="J9992" s="40" t="str">
        <f>HYPERLINK("https://stock.pstatic.net/stock-research/company/21/20250806_company_303238000.pdf","PDF")</f>
        <v>PDF</v>
      </c>
      <c r="K9992" s="12" t="s">
        <v>18381</v>
      </c>
      <c r="L9992" s="20">
        <v>0.33689839572192509</v>
      </c>
    </row>
    <row r="9993" spans="1:12" x14ac:dyDescent="0.45">
      <c r="A9993" s="12" t="s">
        <v>18292</v>
      </c>
      <c r="B9993" s="12" t="s">
        <v>3101</v>
      </c>
      <c r="C9993" s="13" t="s">
        <v>3102</v>
      </c>
      <c r="D9993" s="13" t="s">
        <v>23</v>
      </c>
      <c r="E9993" s="12" t="s">
        <v>16</v>
      </c>
      <c r="F9993" s="14">
        <v>140000</v>
      </c>
      <c r="G9993" s="14">
        <v>124500</v>
      </c>
      <c r="H9993" s="13" t="s">
        <v>18382</v>
      </c>
      <c r="I9993" s="40" t="s">
        <v>18</v>
      </c>
      <c r="J9993" s="40" t="str">
        <f>HYPERLINK("https://m.stock.naver.com/research/company/85323","PDF")</f>
        <v>PDF</v>
      </c>
      <c r="K9993" s="12" t="s">
        <v>18383</v>
      </c>
      <c r="L9993" s="20">
        <v>0.12449799196787149</v>
      </c>
    </row>
    <row r="9994" spans="1:12" x14ac:dyDescent="0.45">
      <c r="A9994" s="12" t="s">
        <v>18292</v>
      </c>
      <c r="B9994" s="12" t="s">
        <v>2662</v>
      </c>
      <c r="C9994" s="13" t="s">
        <v>2663</v>
      </c>
      <c r="D9994" s="13" t="s">
        <v>23</v>
      </c>
      <c r="E9994" s="12" t="s">
        <v>385</v>
      </c>
      <c r="F9994" s="13"/>
      <c r="G9994" s="14">
        <v>61800</v>
      </c>
      <c r="H9994" s="13" t="s">
        <v>18384</v>
      </c>
      <c r="I9994" s="40" t="s">
        <v>18</v>
      </c>
      <c r="J9994" s="40" t="str">
        <f>HYPERLINK("https://m.stock.naver.com/research/company/85322","PDF")</f>
        <v>PDF</v>
      </c>
      <c r="K9994" s="12" t="s">
        <v>18385</v>
      </c>
    </row>
    <row r="9995" spans="1:12" x14ac:dyDescent="0.45">
      <c r="A9995" s="12" t="s">
        <v>18292</v>
      </c>
      <c r="B9995" s="12" t="s">
        <v>1350</v>
      </c>
      <c r="C9995" s="13" t="s">
        <v>1351</v>
      </c>
      <c r="D9995" s="13" t="s">
        <v>23</v>
      </c>
      <c r="E9995" s="12" t="s">
        <v>16</v>
      </c>
      <c r="F9995" s="14">
        <v>59000</v>
      </c>
      <c r="G9995" s="14">
        <v>47600</v>
      </c>
      <c r="H9995" s="13" t="s">
        <v>18386</v>
      </c>
      <c r="I9995" s="40" t="s">
        <v>18</v>
      </c>
      <c r="J9995" s="40" t="str">
        <f>HYPERLINK("https://stock.pstatic.net/stock-research/company/21/20250806_company_384003000.pdf","PDF")</f>
        <v>PDF</v>
      </c>
      <c r="K9995" s="12" t="s">
        <v>18387</v>
      </c>
      <c r="L9995" s="20">
        <v>0.23949579831932771</v>
      </c>
    </row>
    <row r="9996" spans="1:12" x14ac:dyDescent="0.45">
      <c r="A9996" s="12" t="s">
        <v>18292</v>
      </c>
      <c r="B9996" s="12" t="s">
        <v>3101</v>
      </c>
      <c r="C9996" s="13" t="s">
        <v>3102</v>
      </c>
      <c r="D9996" s="13" t="s">
        <v>53</v>
      </c>
      <c r="E9996" s="12" t="s">
        <v>50</v>
      </c>
      <c r="F9996" s="14">
        <v>130000</v>
      </c>
      <c r="G9996" s="14">
        <v>124500</v>
      </c>
      <c r="H9996" s="13" t="s">
        <v>18388</v>
      </c>
      <c r="I9996" s="40" t="s">
        <v>18</v>
      </c>
      <c r="J9996" s="40" t="str">
        <f>HYPERLINK("https://m.stock.naver.com/research/company/85320","PDF")</f>
        <v>PDF</v>
      </c>
      <c r="K9996" s="12" t="s">
        <v>18389</v>
      </c>
      <c r="L9996" s="20">
        <v>4.4176706827309238E-2</v>
      </c>
    </row>
    <row r="9997" spans="1:12" x14ac:dyDescent="0.45">
      <c r="A9997" s="12" t="s">
        <v>18292</v>
      </c>
      <c r="B9997" s="12" t="s">
        <v>2187</v>
      </c>
      <c r="C9997" s="13" t="s">
        <v>2188</v>
      </c>
      <c r="D9997" s="13" t="s">
        <v>44</v>
      </c>
      <c r="E9997" s="12" t="s">
        <v>35</v>
      </c>
      <c r="F9997" s="14">
        <v>163000</v>
      </c>
      <c r="G9997" s="14">
        <v>117000</v>
      </c>
      <c r="H9997" s="13" t="s">
        <v>18390</v>
      </c>
      <c r="I9997" s="40" t="s">
        <v>18</v>
      </c>
      <c r="J9997" s="40" t="str">
        <f>HYPERLINK("https://stock.pstatic.net/stock-research/company/39/20250806_company_911728000.pdf","PDF")</f>
        <v>PDF</v>
      </c>
      <c r="K9997" s="12" t="s">
        <v>18391</v>
      </c>
      <c r="L9997" s="20">
        <v>0.39316239316239321</v>
      </c>
    </row>
    <row r="9998" spans="1:12" x14ac:dyDescent="0.45">
      <c r="A9998" s="12" t="s">
        <v>18292</v>
      </c>
      <c r="B9998" s="12" t="s">
        <v>732</v>
      </c>
      <c r="C9998" s="13" t="s">
        <v>733</v>
      </c>
      <c r="D9998" s="13" t="s">
        <v>44</v>
      </c>
      <c r="E9998" s="12" t="s">
        <v>35</v>
      </c>
      <c r="F9998" s="14">
        <v>140000</v>
      </c>
      <c r="G9998" s="14">
        <v>111400</v>
      </c>
      <c r="H9998" s="13" t="s">
        <v>18392</v>
      </c>
      <c r="I9998" s="40" t="s">
        <v>18</v>
      </c>
      <c r="J9998" s="40" t="str">
        <f>HYPERLINK("https://m.stock.naver.com/research/company/85318","PDF")</f>
        <v>PDF</v>
      </c>
      <c r="K9998" s="12" t="s">
        <v>18393</v>
      </c>
      <c r="L9998" s="20">
        <v>0.25673249551166971</v>
      </c>
    </row>
    <row r="9999" spans="1:12" x14ac:dyDescent="0.45">
      <c r="A9999" s="12" t="s">
        <v>18292</v>
      </c>
      <c r="B9999" s="12" t="s">
        <v>3101</v>
      </c>
      <c r="C9999" s="13" t="s">
        <v>3102</v>
      </c>
      <c r="D9999" s="13" t="s">
        <v>44</v>
      </c>
      <c r="E9999" s="12" t="s">
        <v>45</v>
      </c>
      <c r="F9999" s="14">
        <v>140000</v>
      </c>
      <c r="G9999" s="14">
        <v>124500</v>
      </c>
      <c r="H9999" s="13" t="s">
        <v>18394</v>
      </c>
      <c r="I9999" s="40" t="s">
        <v>18</v>
      </c>
      <c r="J9999" s="40" t="str">
        <f>HYPERLINK("https://stock.pstatic.net/stock-research/company/39/20250806_company_801027000.pdf","PDF")</f>
        <v>PDF</v>
      </c>
      <c r="K9999" s="12" t="s">
        <v>18395</v>
      </c>
      <c r="L9999" s="20">
        <v>0.12449799196787149</v>
      </c>
    </row>
    <row r="10000" spans="1:12" x14ac:dyDescent="0.45">
      <c r="A10000" s="12" t="s">
        <v>18292</v>
      </c>
      <c r="B10000" s="12" t="s">
        <v>4500</v>
      </c>
      <c r="C10000" s="13" t="s">
        <v>4501</v>
      </c>
      <c r="D10000" s="13" t="s">
        <v>124</v>
      </c>
      <c r="E10000" s="12" t="s">
        <v>50</v>
      </c>
      <c r="F10000" s="13"/>
      <c r="G10000" s="13"/>
      <c r="H10000" s="13" t="s">
        <v>18396</v>
      </c>
      <c r="I10000" s="40" t="s">
        <v>18</v>
      </c>
      <c r="J10000" s="40" t="str">
        <f>HYPERLINK("https://stock.pstatic.net/stock-research/company/74/20250806_company_565456000.pdf","PDF")</f>
        <v>PDF</v>
      </c>
      <c r="K10000" s="12" t="s">
        <v>18397</v>
      </c>
    </row>
    <row r="10001" spans="1:12" x14ac:dyDescent="0.45">
      <c r="A10001" s="12" t="s">
        <v>18292</v>
      </c>
      <c r="B10001" s="12" t="s">
        <v>4008</v>
      </c>
      <c r="C10001" s="13" t="s">
        <v>4009</v>
      </c>
      <c r="D10001" s="13" t="s">
        <v>124</v>
      </c>
      <c r="E10001" s="12" t="s">
        <v>50</v>
      </c>
      <c r="F10001" s="13"/>
      <c r="G10001" s="13"/>
      <c r="H10001" s="13" t="s">
        <v>18398</v>
      </c>
      <c r="I10001" s="40" t="s">
        <v>18</v>
      </c>
      <c r="J10001" s="40" t="str">
        <f>HYPERLINK("https://m.stock.naver.com/research/company/85315","PDF")</f>
        <v>PDF</v>
      </c>
      <c r="K10001" s="12" t="s">
        <v>18399</v>
      </c>
    </row>
    <row r="10002" spans="1:12" x14ac:dyDescent="0.45">
      <c r="A10002" s="12" t="s">
        <v>18292</v>
      </c>
      <c r="B10002" s="12" t="s">
        <v>732</v>
      </c>
      <c r="C10002" s="13" t="s">
        <v>733</v>
      </c>
      <c r="D10002" s="13" t="s">
        <v>15</v>
      </c>
      <c r="E10002" s="12" t="s">
        <v>16</v>
      </c>
      <c r="F10002" s="14">
        <v>165000</v>
      </c>
      <c r="G10002" s="14">
        <v>111400</v>
      </c>
      <c r="H10002" s="13" t="s">
        <v>18400</v>
      </c>
      <c r="I10002" s="40" t="s">
        <v>18</v>
      </c>
      <c r="J10002" s="40" t="str">
        <f>HYPERLINK("https://stock.pstatic.net/stock-research/company/29/20250806_company_677552000.pdf","PDF")</f>
        <v>PDF</v>
      </c>
      <c r="K10002" s="12" t="s">
        <v>18401</v>
      </c>
      <c r="L10002" s="20">
        <v>0.48114901256732501</v>
      </c>
    </row>
    <row r="10003" spans="1:12" x14ac:dyDescent="0.45">
      <c r="A10003" s="12" t="s">
        <v>18292</v>
      </c>
      <c r="B10003" s="12" t="s">
        <v>3399</v>
      </c>
      <c r="C10003" s="13" t="s">
        <v>3400</v>
      </c>
      <c r="D10003" s="13" t="s">
        <v>15</v>
      </c>
      <c r="E10003" s="12" t="s">
        <v>16</v>
      </c>
      <c r="F10003" s="14">
        <v>24000</v>
      </c>
      <c r="G10003" s="14">
        <v>17770</v>
      </c>
      <c r="H10003" s="13" t="s">
        <v>18402</v>
      </c>
      <c r="I10003" s="40" t="s">
        <v>18</v>
      </c>
      <c r="J10003" s="40" t="str">
        <f>HYPERLINK("https://m.stock.naver.com/research/company/85313","PDF")</f>
        <v>PDF</v>
      </c>
      <c r="K10003" s="12" t="s">
        <v>18403</v>
      </c>
      <c r="L10003" s="20">
        <v>0.35059088351153628</v>
      </c>
    </row>
    <row r="10004" spans="1:12" x14ac:dyDescent="0.45">
      <c r="A10004" s="12" t="s">
        <v>18292</v>
      </c>
      <c r="B10004" s="12" t="s">
        <v>2644</v>
      </c>
      <c r="C10004" s="13" t="s">
        <v>2645</v>
      </c>
      <c r="D10004" s="13" t="s">
        <v>15</v>
      </c>
      <c r="E10004" s="12" t="s">
        <v>16</v>
      </c>
      <c r="F10004" s="14">
        <v>30000</v>
      </c>
      <c r="G10004" s="14">
        <v>21850</v>
      </c>
      <c r="H10004" s="13" t="s">
        <v>18404</v>
      </c>
      <c r="I10004" s="40" t="s">
        <v>18</v>
      </c>
      <c r="J10004" s="40" t="str">
        <f>HYPERLINK("https://stock.pstatic.net/stock-research/company/29/20250806_company_328171000.pdf","PDF")</f>
        <v>PDF</v>
      </c>
      <c r="K10004" s="12" t="s">
        <v>18405</v>
      </c>
      <c r="L10004" s="20">
        <v>0.37299771167048063</v>
      </c>
    </row>
    <row r="10005" spans="1:12" x14ac:dyDescent="0.45">
      <c r="A10005" s="12" t="s">
        <v>18292</v>
      </c>
      <c r="B10005" s="12" t="s">
        <v>728</v>
      </c>
      <c r="C10005" s="13" t="s">
        <v>729</v>
      </c>
      <c r="D10005" s="13" t="s">
        <v>92</v>
      </c>
      <c r="E10005" s="12" t="s">
        <v>35</v>
      </c>
      <c r="F10005" s="14">
        <v>125000</v>
      </c>
      <c r="G10005" s="14">
        <v>83200</v>
      </c>
      <c r="H10005" s="13" t="s">
        <v>18406</v>
      </c>
      <c r="I10005" s="40" t="s">
        <v>18</v>
      </c>
      <c r="J10005" s="40" t="str">
        <f>HYPERLINK("https://stock.pstatic.net/stock-research/company/63/20250806_company_112321000.pdf","PDF")</f>
        <v>PDF</v>
      </c>
      <c r="K10005" s="12" t="s">
        <v>18407</v>
      </c>
      <c r="L10005" s="20">
        <v>0.50240384615384615</v>
      </c>
    </row>
    <row r="10006" spans="1:12" x14ac:dyDescent="0.45">
      <c r="A10006" s="12" t="s">
        <v>18408</v>
      </c>
      <c r="B10006" s="12" t="s">
        <v>2365</v>
      </c>
      <c r="C10006" s="13" t="s">
        <v>2366</v>
      </c>
      <c r="D10006" s="13" t="s">
        <v>15</v>
      </c>
      <c r="E10006" s="12" t="s">
        <v>16</v>
      </c>
      <c r="F10006" s="14">
        <v>110000</v>
      </c>
      <c r="G10006" s="14">
        <v>65900</v>
      </c>
      <c r="H10006" s="13" t="s">
        <v>18409</v>
      </c>
      <c r="I10006" s="40" t="s">
        <v>18</v>
      </c>
      <c r="J10006" s="40" t="str">
        <f>HYPERLINK("https://stock.pstatic.net/stock-research/company/29/20250805_company_450638000.pdf","PDF")</f>
        <v>PDF</v>
      </c>
      <c r="K10006" s="12" t="s">
        <v>18410</v>
      </c>
      <c r="L10006" s="20">
        <v>0.66919575113808805</v>
      </c>
    </row>
    <row r="10007" spans="1:12" x14ac:dyDescent="0.45">
      <c r="A10007" s="12" t="s">
        <v>18408</v>
      </c>
      <c r="B10007" s="12" t="s">
        <v>2781</v>
      </c>
      <c r="C10007" s="13" t="s">
        <v>2782</v>
      </c>
      <c r="D10007" s="13" t="s">
        <v>57</v>
      </c>
      <c r="E10007" s="12" t="s">
        <v>35</v>
      </c>
      <c r="F10007" s="14">
        <v>160000</v>
      </c>
      <c r="G10007" s="14">
        <v>134800</v>
      </c>
      <c r="H10007" s="13" t="s">
        <v>18411</v>
      </c>
      <c r="I10007" s="40" t="s">
        <v>18</v>
      </c>
      <c r="J10007" s="40" t="str">
        <f>HYPERLINK("https://m.stock.naver.com/research/company/85309","PDF")</f>
        <v>PDF</v>
      </c>
      <c r="K10007" s="12" t="s">
        <v>18412</v>
      </c>
      <c r="L10007" s="20">
        <v>0.1869436201780415</v>
      </c>
    </row>
    <row r="10008" spans="1:12" x14ac:dyDescent="0.45">
      <c r="A10008" s="12" t="s">
        <v>18408</v>
      </c>
      <c r="B10008" s="12" t="s">
        <v>957</v>
      </c>
      <c r="C10008" s="13" t="s">
        <v>958</v>
      </c>
      <c r="D10008" s="13" t="s">
        <v>57</v>
      </c>
      <c r="E10008" s="12" t="s">
        <v>35</v>
      </c>
      <c r="F10008" s="14">
        <v>320000</v>
      </c>
      <c r="G10008" s="14">
        <v>252500</v>
      </c>
      <c r="H10008" s="13" t="s">
        <v>18413</v>
      </c>
      <c r="I10008" s="40" t="s">
        <v>18</v>
      </c>
      <c r="J10008" s="40" t="str">
        <f>HYPERLINK("https://m.stock.naver.com/research/company/85308","PDF")</f>
        <v>PDF</v>
      </c>
      <c r="K10008" s="12" t="s">
        <v>18414</v>
      </c>
      <c r="L10008" s="20">
        <v>0.26732673267326729</v>
      </c>
    </row>
    <row r="10009" spans="1:12" x14ac:dyDescent="0.45">
      <c r="A10009" s="12" t="s">
        <v>18408</v>
      </c>
      <c r="B10009" s="12" t="s">
        <v>366</v>
      </c>
      <c r="C10009" s="13" t="s">
        <v>367</v>
      </c>
      <c r="D10009" s="13" t="s">
        <v>57</v>
      </c>
      <c r="E10009" s="12" t="s">
        <v>35</v>
      </c>
      <c r="F10009" s="14">
        <v>18000</v>
      </c>
      <c r="G10009" s="14">
        <v>15730</v>
      </c>
      <c r="H10009" s="13" t="s">
        <v>18415</v>
      </c>
      <c r="I10009" s="40" t="s">
        <v>18</v>
      </c>
      <c r="J10009" s="40" t="str">
        <f>HYPERLINK("https://m.stock.naver.com/research/company/85307","PDF")</f>
        <v>PDF</v>
      </c>
      <c r="K10009" s="12" t="s">
        <v>18416</v>
      </c>
      <c r="L10009" s="20">
        <v>0.14431023521932609</v>
      </c>
    </row>
    <row r="10010" spans="1:12" x14ac:dyDescent="0.45">
      <c r="A10010" s="12" t="s">
        <v>18408</v>
      </c>
      <c r="B10010" s="12" t="s">
        <v>957</v>
      </c>
      <c r="C10010" s="13" t="s">
        <v>958</v>
      </c>
      <c r="D10010" s="13" t="s">
        <v>276</v>
      </c>
      <c r="E10010" s="12" t="s">
        <v>16</v>
      </c>
      <c r="F10010" s="14">
        <v>380000</v>
      </c>
      <c r="G10010" s="14">
        <v>252500</v>
      </c>
      <c r="H10010" s="13" t="s">
        <v>18417</v>
      </c>
      <c r="I10010" s="40" t="s">
        <v>18</v>
      </c>
      <c r="J10010" s="40" t="str">
        <f>HYPERLINK("https://stock.pstatic.net/stock-research/company/66/20250805_company_270981000.pdf","PDF")</f>
        <v>PDF</v>
      </c>
      <c r="K10010" s="12" t="s">
        <v>18418</v>
      </c>
      <c r="L10010" s="20">
        <v>0.50495049504950495</v>
      </c>
    </row>
    <row r="10011" spans="1:12" x14ac:dyDescent="0.45">
      <c r="A10011" s="12" t="s">
        <v>18408</v>
      </c>
      <c r="B10011" s="12" t="s">
        <v>957</v>
      </c>
      <c r="C10011" s="13" t="s">
        <v>958</v>
      </c>
      <c r="D10011" s="13" t="s">
        <v>65</v>
      </c>
      <c r="E10011" s="12" t="s">
        <v>35</v>
      </c>
      <c r="F10011" s="14">
        <v>300000</v>
      </c>
      <c r="G10011" s="14">
        <v>252500</v>
      </c>
      <c r="H10011" s="13" t="s">
        <v>18419</v>
      </c>
      <c r="I10011" s="40" t="s">
        <v>18</v>
      </c>
      <c r="J10011" s="40" t="str">
        <f>HYPERLINK("https://m.stock.naver.com/research/company/85305","PDF")</f>
        <v>PDF</v>
      </c>
      <c r="K10011" s="12" t="s">
        <v>18420</v>
      </c>
      <c r="L10011" s="20">
        <v>0.18811881188118809</v>
      </c>
    </row>
    <row r="10012" spans="1:12" x14ac:dyDescent="0.45">
      <c r="A10012" s="12" t="s">
        <v>18408</v>
      </c>
      <c r="B10012" s="12" t="s">
        <v>2781</v>
      </c>
      <c r="C10012" s="13" t="s">
        <v>2782</v>
      </c>
      <c r="D10012" s="13" t="s">
        <v>65</v>
      </c>
      <c r="E10012" s="12" t="s">
        <v>35</v>
      </c>
      <c r="F10012" s="14">
        <v>170000</v>
      </c>
      <c r="G10012" s="14">
        <v>134800</v>
      </c>
      <c r="H10012" s="13" t="s">
        <v>18421</v>
      </c>
      <c r="I10012" s="40" t="s">
        <v>18</v>
      </c>
      <c r="J10012" s="40" t="str">
        <f>HYPERLINK("https://m.stock.naver.com/research/company/85304","PDF")</f>
        <v>PDF</v>
      </c>
      <c r="K10012" s="12" t="s">
        <v>18422</v>
      </c>
      <c r="L10012" s="20">
        <v>0.26112759643916922</v>
      </c>
    </row>
    <row r="10013" spans="1:12" x14ac:dyDescent="0.45">
      <c r="A10013" s="12" t="s">
        <v>18408</v>
      </c>
      <c r="B10013" s="12" t="s">
        <v>1674</v>
      </c>
      <c r="C10013" s="13" t="s">
        <v>1675</v>
      </c>
      <c r="D10013" s="13" t="s">
        <v>65</v>
      </c>
      <c r="E10013" s="12" t="s">
        <v>35</v>
      </c>
      <c r="F10013" s="14">
        <v>520000</v>
      </c>
      <c r="G10013" s="14">
        <v>376000</v>
      </c>
      <c r="H10013" s="13" t="s">
        <v>18423</v>
      </c>
      <c r="I10013" s="40" t="s">
        <v>18</v>
      </c>
      <c r="J10013" s="40" t="str">
        <f>HYPERLINK("https://m.stock.naver.com/research/company/85303","PDF")</f>
        <v>PDF</v>
      </c>
      <c r="K10013" s="12" t="s">
        <v>18424</v>
      </c>
      <c r="L10013" s="20">
        <v>0.38297872340425532</v>
      </c>
    </row>
    <row r="10014" spans="1:12" x14ac:dyDescent="0.45">
      <c r="A10014" s="12" t="s">
        <v>18408</v>
      </c>
      <c r="B10014" s="12" t="s">
        <v>11448</v>
      </c>
      <c r="C10014" s="13" t="s">
        <v>11449</v>
      </c>
      <c r="D10014" s="13" t="s">
        <v>65</v>
      </c>
      <c r="E10014" s="12" t="s">
        <v>50</v>
      </c>
      <c r="F10014" s="13"/>
      <c r="G10014" s="14">
        <v>64000</v>
      </c>
      <c r="H10014" s="13" t="s">
        <v>18425</v>
      </c>
      <c r="I10014" s="40" t="s">
        <v>18</v>
      </c>
      <c r="J10014" s="40" t="str">
        <f>HYPERLINK("https://m.stock.naver.com/research/company/85302","PDF")</f>
        <v>PDF</v>
      </c>
      <c r="K10014" s="12" t="s">
        <v>18426</v>
      </c>
    </row>
    <row r="10015" spans="1:12" x14ac:dyDescent="0.45">
      <c r="A10015" s="12" t="s">
        <v>18408</v>
      </c>
      <c r="B10015" s="12" t="s">
        <v>414</v>
      </c>
      <c r="C10015" s="13" t="s">
        <v>415</v>
      </c>
      <c r="D10015" s="13" t="s">
        <v>158</v>
      </c>
      <c r="E10015" s="12" t="s">
        <v>50</v>
      </c>
      <c r="F10015" s="13"/>
      <c r="G10015" s="14">
        <v>20800</v>
      </c>
      <c r="H10015" s="13" t="s">
        <v>18427</v>
      </c>
      <c r="I10015" s="40" t="s">
        <v>18</v>
      </c>
      <c r="J10015" s="40" t="str">
        <f>HYPERLINK("https://m.stock.naver.com/research/company/85301","PDF")</f>
        <v>PDF</v>
      </c>
      <c r="K10015" s="12" t="s">
        <v>18428</v>
      </c>
    </row>
    <row r="10016" spans="1:12" x14ac:dyDescent="0.45">
      <c r="A10016" s="12" t="s">
        <v>18408</v>
      </c>
      <c r="B10016" s="12" t="s">
        <v>6347</v>
      </c>
      <c r="C10016" s="13" t="s">
        <v>6348</v>
      </c>
      <c r="D10016" s="13" t="s">
        <v>158</v>
      </c>
      <c r="E10016" s="12" t="s">
        <v>50</v>
      </c>
      <c r="F10016" s="13"/>
      <c r="G10016" s="14">
        <v>32100</v>
      </c>
      <c r="H10016" s="13" t="s">
        <v>18429</v>
      </c>
      <c r="I10016" s="40" t="s">
        <v>18</v>
      </c>
      <c r="J10016" s="40" t="str">
        <f>HYPERLINK("https://m.stock.naver.com/research/company/85300","PDF")</f>
        <v>PDF</v>
      </c>
      <c r="K10016" s="12" t="s">
        <v>18430</v>
      </c>
    </row>
    <row r="10017" spans="1:12" x14ac:dyDescent="0.45">
      <c r="A10017" s="12" t="s">
        <v>18408</v>
      </c>
      <c r="B10017" s="12" t="s">
        <v>3482</v>
      </c>
      <c r="C10017" s="13" t="s">
        <v>3483</v>
      </c>
      <c r="D10017" s="13" t="s">
        <v>158</v>
      </c>
      <c r="E10017" s="12" t="s">
        <v>35</v>
      </c>
      <c r="F10017" s="14">
        <v>97000</v>
      </c>
      <c r="G10017" s="14">
        <v>82400</v>
      </c>
      <c r="H10017" s="13" t="s">
        <v>18431</v>
      </c>
      <c r="I10017" s="40" t="s">
        <v>18</v>
      </c>
      <c r="J10017" s="40" t="str">
        <f>HYPERLINK("https://m.stock.naver.com/research/company/85299","PDF")</f>
        <v>PDF</v>
      </c>
      <c r="K10017" s="12" t="s">
        <v>18432</v>
      </c>
      <c r="L10017" s="20">
        <v>0.17718446601941751</v>
      </c>
    </row>
    <row r="10018" spans="1:12" x14ac:dyDescent="0.45">
      <c r="A10018" s="12" t="s">
        <v>18408</v>
      </c>
      <c r="B10018" s="12" t="s">
        <v>13410</v>
      </c>
      <c r="C10018" s="13" t="s">
        <v>13411</v>
      </c>
      <c r="D10018" s="13" t="s">
        <v>15</v>
      </c>
      <c r="E10018" s="12" t="s">
        <v>16</v>
      </c>
      <c r="F10018" s="14">
        <v>270000</v>
      </c>
      <c r="G10018" s="14">
        <v>195800</v>
      </c>
      <c r="H10018" s="13" t="s">
        <v>18433</v>
      </c>
      <c r="I10018" s="40" t="s">
        <v>18</v>
      </c>
      <c r="J10018" s="40" t="str">
        <f>HYPERLINK("https://m.stock.naver.com/research/company/85298","PDF")</f>
        <v>PDF</v>
      </c>
      <c r="K10018" s="12" t="s">
        <v>18434</v>
      </c>
      <c r="L10018" s="20">
        <v>0.37895812053115419</v>
      </c>
    </row>
    <row r="10019" spans="1:12" x14ac:dyDescent="0.45">
      <c r="A10019" s="12" t="s">
        <v>18408</v>
      </c>
      <c r="B10019" s="12" t="s">
        <v>102</v>
      </c>
      <c r="C10019" s="13" t="s">
        <v>103</v>
      </c>
      <c r="D10019" s="13" t="s">
        <v>92</v>
      </c>
      <c r="E10019" s="12" t="s">
        <v>35</v>
      </c>
      <c r="F10019" s="14">
        <v>19000</v>
      </c>
      <c r="G10019" s="14">
        <v>14850</v>
      </c>
      <c r="H10019" s="13" t="s">
        <v>18435</v>
      </c>
      <c r="I10019" s="40" t="s">
        <v>18</v>
      </c>
      <c r="J10019" s="40" t="str">
        <f>HYPERLINK("https://m.stock.naver.com/research/company/85297","PDF")</f>
        <v>PDF</v>
      </c>
      <c r="K10019" s="12" t="s">
        <v>18436</v>
      </c>
      <c r="L10019" s="20">
        <v>0.27946127946127952</v>
      </c>
    </row>
    <row r="10020" spans="1:12" x14ac:dyDescent="0.45">
      <c r="A10020" s="12" t="s">
        <v>18408</v>
      </c>
      <c r="B10020" s="12" t="s">
        <v>2781</v>
      </c>
      <c r="C10020" s="13" t="s">
        <v>2782</v>
      </c>
      <c r="D10020" s="13" t="s">
        <v>53</v>
      </c>
      <c r="E10020" s="12" t="s">
        <v>16</v>
      </c>
      <c r="F10020" s="14">
        <v>160000</v>
      </c>
      <c r="G10020" s="14">
        <v>134800</v>
      </c>
      <c r="H10020" s="13" t="s">
        <v>18437</v>
      </c>
      <c r="I10020" s="40" t="s">
        <v>18</v>
      </c>
      <c r="J10020" s="40" t="str">
        <f>HYPERLINK("https://m.stock.naver.com/research/company/85296","PDF")</f>
        <v>PDF</v>
      </c>
      <c r="K10020" s="12" t="s">
        <v>18438</v>
      </c>
      <c r="L10020" s="20">
        <v>0.1869436201780415</v>
      </c>
    </row>
    <row r="10021" spans="1:12" x14ac:dyDescent="0.45">
      <c r="A10021" s="12" t="s">
        <v>18408</v>
      </c>
      <c r="B10021" s="12" t="s">
        <v>102</v>
      </c>
      <c r="C10021" s="13" t="s">
        <v>103</v>
      </c>
      <c r="D10021" s="13" t="s">
        <v>83</v>
      </c>
      <c r="E10021" s="12" t="s">
        <v>35</v>
      </c>
      <c r="F10021" s="14">
        <v>17500</v>
      </c>
      <c r="G10021" s="14">
        <v>14850</v>
      </c>
      <c r="H10021" s="13" t="s">
        <v>18439</v>
      </c>
      <c r="I10021" s="40" t="s">
        <v>18</v>
      </c>
      <c r="J10021" s="40" t="str">
        <f>HYPERLINK("https://stock.pstatic.net/stock-research/company/2/20250805_company_175915000.pdf","PDF")</f>
        <v>PDF</v>
      </c>
      <c r="K10021" s="12" t="s">
        <v>18440</v>
      </c>
      <c r="L10021" s="20">
        <v>0.17845117845117839</v>
      </c>
    </row>
    <row r="10022" spans="1:12" x14ac:dyDescent="0.45">
      <c r="A10022" s="12" t="s">
        <v>18408</v>
      </c>
      <c r="B10022" s="12" t="s">
        <v>2781</v>
      </c>
      <c r="C10022" s="13" t="s">
        <v>2782</v>
      </c>
      <c r="D10022" s="13" t="s">
        <v>83</v>
      </c>
      <c r="E10022" s="12" t="s">
        <v>35</v>
      </c>
      <c r="F10022" s="14">
        <v>160000</v>
      </c>
      <c r="G10022" s="14">
        <v>134800</v>
      </c>
      <c r="H10022" s="13" t="s">
        <v>18441</v>
      </c>
      <c r="I10022" s="40" t="s">
        <v>18</v>
      </c>
      <c r="J10022" s="40" t="str">
        <f>HYPERLINK("https://stock.pstatic.net/stock-research/company/2/20250805_company_147658000.pdf","PDF")</f>
        <v>PDF</v>
      </c>
      <c r="K10022" s="12" t="s">
        <v>18442</v>
      </c>
      <c r="L10022" s="20">
        <v>0.1869436201780415</v>
      </c>
    </row>
    <row r="10023" spans="1:12" x14ac:dyDescent="0.45">
      <c r="A10023" s="12" t="s">
        <v>18408</v>
      </c>
      <c r="B10023" s="12" t="s">
        <v>3284</v>
      </c>
      <c r="C10023" s="13" t="s">
        <v>3285</v>
      </c>
      <c r="D10023" s="13" t="s">
        <v>83</v>
      </c>
      <c r="E10023" s="12" t="s">
        <v>35</v>
      </c>
      <c r="F10023" s="14">
        <v>130000</v>
      </c>
      <c r="G10023" s="14">
        <v>114300</v>
      </c>
      <c r="H10023" s="13" t="s">
        <v>18443</v>
      </c>
      <c r="I10023" s="40" t="s">
        <v>18</v>
      </c>
      <c r="J10023" s="40" t="str">
        <f>HYPERLINK("https://stock.pstatic.net/stock-research/company/2/20250805_company_811138000.pdf","PDF")</f>
        <v>PDF</v>
      </c>
      <c r="K10023" s="12" t="s">
        <v>18444</v>
      </c>
      <c r="L10023" s="20">
        <v>0.13735783027121609</v>
      </c>
    </row>
    <row r="10024" spans="1:12" x14ac:dyDescent="0.45">
      <c r="A10024" s="12" t="s">
        <v>18408</v>
      </c>
      <c r="B10024" s="12" t="s">
        <v>102</v>
      </c>
      <c r="C10024" s="13" t="s">
        <v>103</v>
      </c>
      <c r="D10024" s="13" t="s">
        <v>179</v>
      </c>
      <c r="E10024" s="12" t="s">
        <v>16</v>
      </c>
      <c r="F10024" s="14">
        <v>20500</v>
      </c>
      <c r="G10024" s="14">
        <v>14850</v>
      </c>
      <c r="H10024" s="13" t="s">
        <v>18445</v>
      </c>
      <c r="I10024" s="40" t="s">
        <v>18</v>
      </c>
      <c r="J10024" s="40" t="str">
        <f>HYPERLINK("https://stock.pstatic.net/stock-research/company/64/20250805_company_162795000.pdf","PDF")</f>
        <v>PDF</v>
      </c>
      <c r="K10024" s="12" t="s">
        <v>18446</v>
      </c>
      <c r="L10024" s="20">
        <v>0.38047138047138052</v>
      </c>
    </row>
    <row r="10025" spans="1:12" x14ac:dyDescent="0.45">
      <c r="A10025" s="12" t="s">
        <v>18408</v>
      </c>
      <c r="B10025" s="12" t="s">
        <v>366</v>
      </c>
      <c r="C10025" s="13" t="s">
        <v>367</v>
      </c>
      <c r="D10025" s="13" t="s">
        <v>44</v>
      </c>
      <c r="E10025" s="12" t="s">
        <v>642</v>
      </c>
      <c r="F10025" s="14">
        <v>17000</v>
      </c>
      <c r="G10025" s="14">
        <v>15730</v>
      </c>
      <c r="H10025" s="13" t="s">
        <v>18447</v>
      </c>
      <c r="I10025" s="40" t="s">
        <v>18</v>
      </c>
      <c r="J10025" s="40" t="str">
        <f>HYPERLINK("https://stock.pstatic.net/stock-research/company/39/20250805_company_686863000.pdf","PDF")</f>
        <v>PDF</v>
      </c>
      <c r="K10025" s="12" t="s">
        <v>18448</v>
      </c>
      <c r="L10025" s="20">
        <v>8.0737444373808004E-2</v>
      </c>
    </row>
    <row r="10026" spans="1:12" x14ac:dyDescent="0.45">
      <c r="A10026" s="12" t="s">
        <v>18408</v>
      </c>
      <c r="B10026" s="12" t="s">
        <v>1216</v>
      </c>
      <c r="C10026" s="13" t="s">
        <v>1217</v>
      </c>
      <c r="D10026" s="13" t="s">
        <v>179</v>
      </c>
      <c r="E10026" s="12" t="s">
        <v>16</v>
      </c>
      <c r="F10026" s="14">
        <v>34000</v>
      </c>
      <c r="G10026" s="14">
        <v>26150</v>
      </c>
      <c r="H10026" s="13" t="s">
        <v>18449</v>
      </c>
      <c r="I10026" s="40" t="s">
        <v>18</v>
      </c>
      <c r="J10026" s="40" t="str">
        <f>HYPERLINK("https://stock.pstatic.net/stock-research/company/64/20250805_company_513410000.pdf","PDF")</f>
        <v>PDF</v>
      </c>
      <c r="K10026" s="12" t="s">
        <v>18450</v>
      </c>
      <c r="L10026" s="20">
        <v>0.30019120458891008</v>
      </c>
    </row>
    <row r="10027" spans="1:12" x14ac:dyDescent="0.45">
      <c r="A10027" s="12" t="s">
        <v>18408</v>
      </c>
      <c r="B10027" s="12" t="s">
        <v>2644</v>
      </c>
      <c r="C10027" s="13" t="s">
        <v>2645</v>
      </c>
      <c r="D10027" s="13" t="s">
        <v>92</v>
      </c>
      <c r="E10027" s="12" t="s">
        <v>35</v>
      </c>
      <c r="F10027" s="14">
        <v>30000</v>
      </c>
      <c r="G10027" s="14">
        <v>20900</v>
      </c>
      <c r="H10027" s="13" t="s">
        <v>18451</v>
      </c>
      <c r="I10027" s="40" t="s">
        <v>18</v>
      </c>
      <c r="J10027" s="40" t="str">
        <f>HYPERLINK("https://stock.pstatic.net/stock-research/company/63/20250805_company_238217000.pdf","PDF")</f>
        <v>PDF</v>
      </c>
      <c r="K10027" s="12" t="s">
        <v>18452</v>
      </c>
      <c r="L10027" s="20">
        <v>0.4354066985645933</v>
      </c>
    </row>
    <row r="10028" spans="1:12" x14ac:dyDescent="0.45">
      <c r="A10028" s="12" t="s">
        <v>18408</v>
      </c>
      <c r="B10028" s="12" t="s">
        <v>2097</v>
      </c>
      <c r="C10028" s="13" t="s">
        <v>2098</v>
      </c>
      <c r="D10028" s="13" t="s">
        <v>92</v>
      </c>
      <c r="E10028" s="12" t="s">
        <v>35</v>
      </c>
      <c r="F10028" s="14">
        <v>54000</v>
      </c>
      <c r="G10028" s="14">
        <v>45500</v>
      </c>
      <c r="H10028" s="13" t="s">
        <v>18453</v>
      </c>
      <c r="I10028" s="40" t="s">
        <v>18</v>
      </c>
      <c r="J10028" s="40" t="str">
        <f>HYPERLINK("https://stock.pstatic.net/stock-research/company/63/20250805_company_175548000.pdf","PDF")</f>
        <v>PDF</v>
      </c>
      <c r="K10028" s="12" t="s">
        <v>18454</v>
      </c>
      <c r="L10028" s="20">
        <v>0.18681318681318679</v>
      </c>
    </row>
    <row r="10029" spans="1:12" x14ac:dyDescent="0.45">
      <c r="A10029" s="12" t="s">
        <v>18408</v>
      </c>
      <c r="B10029" s="12" t="s">
        <v>3972</v>
      </c>
      <c r="C10029" s="13" t="s">
        <v>3973</v>
      </c>
      <c r="D10029" s="13" t="s">
        <v>92</v>
      </c>
      <c r="E10029" s="12" t="s">
        <v>35</v>
      </c>
      <c r="F10029" s="14">
        <v>60000</v>
      </c>
      <c r="G10029" s="14">
        <v>38450</v>
      </c>
      <c r="H10029" s="13" t="s">
        <v>18455</v>
      </c>
      <c r="I10029" s="40" t="s">
        <v>18</v>
      </c>
      <c r="J10029" s="40" t="str">
        <f>HYPERLINK("https://stock.pstatic.net/stock-research/company/63/20250805_company_731513000.pdf","PDF")</f>
        <v>PDF</v>
      </c>
      <c r="K10029" s="12" t="s">
        <v>18456</v>
      </c>
      <c r="L10029" s="20">
        <v>0.56046814044213267</v>
      </c>
    </row>
    <row r="10030" spans="1:12" x14ac:dyDescent="0.45">
      <c r="A10030" s="12" t="s">
        <v>18408</v>
      </c>
      <c r="B10030" s="12" t="s">
        <v>434</v>
      </c>
      <c r="C10030" s="13" t="s">
        <v>435</v>
      </c>
      <c r="D10030" s="13" t="s">
        <v>44</v>
      </c>
      <c r="E10030" s="12" t="s">
        <v>35</v>
      </c>
      <c r="F10030" s="14">
        <v>180000</v>
      </c>
      <c r="G10030" s="14">
        <v>129100</v>
      </c>
      <c r="H10030" s="13" t="s">
        <v>18457</v>
      </c>
      <c r="I10030" s="40" t="s">
        <v>18</v>
      </c>
      <c r="J10030" s="40" t="str">
        <f>HYPERLINK("https://stock.pstatic.net/stock-research/company/39/20250805_company_656455000.pdf","PDF")</f>
        <v>PDF</v>
      </c>
      <c r="K10030" s="12" t="s">
        <v>18458</v>
      </c>
      <c r="L10030" s="20">
        <v>0.39426800929512013</v>
      </c>
    </row>
    <row r="10031" spans="1:12" x14ac:dyDescent="0.45">
      <c r="A10031" s="12" t="s">
        <v>18408</v>
      </c>
      <c r="B10031" s="12" t="s">
        <v>1190</v>
      </c>
      <c r="C10031" s="13" t="s">
        <v>1191</v>
      </c>
      <c r="D10031" s="13" t="s">
        <v>179</v>
      </c>
      <c r="E10031" s="12" t="s">
        <v>16</v>
      </c>
      <c r="F10031" s="14">
        <v>115000</v>
      </c>
      <c r="G10031" s="14">
        <v>89800</v>
      </c>
      <c r="H10031" s="13" t="s">
        <v>18459</v>
      </c>
      <c r="I10031" s="40" t="s">
        <v>18</v>
      </c>
      <c r="J10031" s="40" t="str">
        <f>HYPERLINK("https://stock.pstatic.net/stock-research/company/64/20250805_company_42618000.pdf","PDF")</f>
        <v>PDF</v>
      </c>
      <c r="K10031" s="12" t="s">
        <v>18460</v>
      </c>
      <c r="L10031" s="20">
        <v>0.28062360801781738</v>
      </c>
    </row>
    <row r="10032" spans="1:12" x14ac:dyDescent="0.45">
      <c r="A10032" s="12" t="s">
        <v>18408</v>
      </c>
      <c r="B10032" s="12" t="s">
        <v>2781</v>
      </c>
      <c r="C10032" s="13" t="s">
        <v>2782</v>
      </c>
      <c r="D10032" s="13" t="s">
        <v>34</v>
      </c>
      <c r="E10032" s="12" t="s">
        <v>35</v>
      </c>
      <c r="F10032" s="14">
        <v>160000</v>
      </c>
      <c r="G10032" s="14">
        <v>134800</v>
      </c>
      <c r="H10032" s="13" t="s">
        <v>18461</v>
      </c>
      <c r="I10032" s="40" t="s">
        <v>18</v>
      </c>
      <c r="J10032" s="40" t="str">
        <f>HYPERLINK("https://stock.pstatic.net/stock-research/company/61/20250805_company_115390000.pdf","PDF")</f>
        <v>PDF</v>
      </c>
      <c r="K10032" s="12" t="s">
        <v>18462</v>
      </c>
      <c r="L10032" s="20">
        <v>0.1869436201780415</v>
      </c>
    </row>
    <row r="10033" spans="1:12" x14ac:dyDescent="0.45">
      <c r="A10033" s="12" t="s">
        <v>18408</v>
      </c>
      <c r="B10033" s="12" t="s">
        <v>102</v>
      </c>
      <c r="C10033" s="13" t="s">
        <v>103</v>
      </c>
      <c r="D10033" s="13" t="s">
        <v>44</v>
      </c>
      <c r="E10033" s="12" t="s">
        <v>35</v>
      </c>
      <c r="F10033" s="14">
        <v>22000</v>
      </c>
      <c r="G10033" s="14">
        <v>14850</v>
      </c>
      <c r="H10033" s="13" t="s">
        <v>18463</v>
      </c>
      <c r="I10033" s="40" t="s">
        <v>18</v>
      </c>
      <c r="J10033" s="40" t="str">
        <f>HYPERLINK("https://stock.pstatic.net/stock-research/company/39/20250805_company_614045000.pdf","PDF")</f>
        <v>PDF</v>
      </c>
      <c r="K10033" s="12" t="s">
        <v>18464</v>
      </c>
      <c r="L10033" s="20">
        <v>0.48148148148148151</v>
      </c>
    </row>
    <row r="10034" spans="1:12" x14ac:dyDescent="0.45">
      <c r="A10034" s="12" t="s">
        <v>18408</v>
      </c>
      <c r="B10034" s="12" t="s">
        <v>2781</v>
      </c>
      <c r="C10034" s="13" t="s">
        <v>2782</v>
      </c>
      <c r="D10034" s="13" t="s">
        <v>23</v>
      </c>
      <c r="E10034" s="12" t="s">
        <v>16</v>
      </c>
      <c r="F10034" s="14">
        <v>160000</v>
      </c>
      <c r="G10034" s="14">
        <v>134800</v>
      </c>
      <c r="H10034" s="13" t="s">
        <v>18465</v>
      </c>
      <c r="I10034" s="40" t="s">
        <v>18</v>
      </c>
      <c r="J10034" s="40" t="str">
        <f>HYPERLINK("https://stock.pstatic.net/stock-research/company/21/20250805_company_390362000.pdf","PDF")</f>
        <v>PDF</v>
      </c>
      <c r="K10034" s="12" t="s">
        <v>18466</v>
      </c>
      <c r="L10034" s="20">
        <v>0.1869436201780415</v>
      </c>
    </row>
    <row r="10035" spans="1:12" x14ac:dyDescent="0.45">
      <c r="A10035" s="12" t="s">
        <v>18408</v>
      </c>
      <c r="B10035" s="12" t="s">
        <v>2781</v>
      </c>
      <c r="C10035" s="13" t="s">
        <v>2782</v>
      </c>
      <c r="D10035" s="13" t="s">
        <v>44</v>
      </c>
      <c r="E10035" s="12" t="s">
        <v>35</v>
      </c>
      <c r="F10035" s="14">
        <v>170000</v>
      </c>
      <c r="G10035" s="14">
        <v>134800</v>
      </c>
      <c r="H10035" s="13" t="s">
        <v>18467</v>
      </c>
      <c r="I10035" s="40" t="s">
        <v>18</v>
      </c>
      <c r="J10035" s="40" t="str">
        <f>HYPERLINK("https://stock.pstatic.net/stock-research/company/39/20250805_company_609659000.pdf","PDF")</f>
        <v>PDF</v>
      </c>
      <c r="K10035" s="12" t="s">
        <v>18468</v>
      </c>
      <c r="L10035" s="20">
        <v>0.26112759643916922</v>
      </c>
    </row>
    <row r="10036" spans="1:12" x14ac:dyDescent="0.45">
      <c r="A10036" s="12" t="s">
        <v>18469</v>
      </c>
      <c r="B10036" s="12" t="s">
        <v>1670</v>
      </c>
      <c r="C10036" s="13" t="s">
        <v>1671</v>
      </c>
      <c r="D10036" s="13" t="s">
        <v>15</v>
      </c>
      <c r="E10036" s="12" t="s">
        <v>385</v>
      </c>
      <c r="F10036" s="14">
        <v>117000</v>
      </c>
      <c r="G10036" s="14">
        <v>115900</v>
      </c>
      <c r="H10036" s="13" t="s">
        <v>18470</v>
      </c>
      <c r="I10036" s="40" t="s">
        <v>18</v>
      </c>
      <c r="J10036" s="40" t="str">
        <f>HYPERLINK("https://stock.pstatic.net/stock-research/company/29/20250804_company_344283000.pdf","PDF")</f>
        <v>PDF</v>
      </c>
      <c r="K10036" s="12" t="s">
        <v>18471</v>
      </c>
      <c r="L10036" s="20">
        <v>9.4909404659188953E-3</v>
      </c>
    </row>
    <row r="10037" spans="1:12" x14ac:dyDescent="0.45">
      <c r="A10037" s="12" t="s">
        <v>18469</v>
      </c>
      <c r="B10037" s="12" t="s">
        <v>2867</v>
      </c>
      <c r="C10037" s="13" t="s">
        <v>2868</v>
      </c>
      <c r="D10037" s="13" t="s">
        <v>83</v>
      </c>
      <c r="E10037" s="12" t="s">
        <v>35</v>
      </c>
      <c r="F10037" s="14">
        <v>9000</v>
      </c>
      <c r="G10037" s="14">
        <v>6450</v>
      </c>
      <c r="H10037" s="13" t="s">
        <v>18472</v>
      </c>
      <c r="I10037" s="40" t="s">
        <v>18</v>
      </c>
      <c r="J10037" s="40" t="str">
        <f>HYPERLINK("https://stock.pstatic.net/stock-research/company/2/20250804_company_713962000.pdf","PDF")</f>
        <v>PDF</v>
      </c>
      <c r="K10037" s="12" t="s">
        <v>18473</v>
      </c>
      <c r="L10037" s="20">
        <v>0.39534883720930231</v>
      </c>
    </row>
    <row r="10038" spans="1:12" x14ac:dyDescent="0.45">
      <c r="A10038" s="12" t="s">
        <v>18469</v>
      </c>
      <c r="B10038" s="12" t="s">
        <v>2917</v>
      </c>
      <c r="C10038" s="13" t="s">
        <v>2918</v>
      </c>
      <c r="D10038" s="13" t="s">
        <v>83</v>
      </c>
      <c r="E10038" s="12" t="s">
        <v>50</v>
      </c>
      <c r="F10038" s="13"/>
      <c r="G10038" s="14">
        <v>2600</v>
      </c>
      <c r="H10038" s="13" t="s">
        <v>18474</v>
      </c>
      <c r="I10038" s="40" t="s">
        <v>18</v>
      </c>
      <c r="J10038" s="40" t="str">
        <f>HYPERLINK("https://stock.pstatic.net/stock-research/company/2/20250804_company_546506000.pdf","PDF")</f>
        <v>PDF</v>
      </c>
      <c r="K10038" s="12" t="s">
        <v>18475</v>
      </c>
    </row>
    <row r="10039" spans="1:12" x14ac:dyDescent="0.45">
      <c r="A10039" s="12" t="s">
        <v>18469</v>
      </c>
      <c r="B10039" s="12" t="s">
        <v>450</v>
      </c>
      <c r="C10039" s="13" t="s">
        <v>451</v>
      </c>
      <c r="D10039" s="13" t="s">
        <v>83</v>
      </c>
      <c r="E10039" s="12" t="s">
        <v>642</v>
      </c>
      <c r="F10039" s="14">
        <v>290000</v>
      </c>
      <c r="G10039" s="14">
        <v>293000</v>
      </c>
      <c r="H10039" s="13" t="s">
        <v>18476</v>
      </c>
      <c r="I10039" s="40" t="s">
        <v>18</v>
      </c>
      <c r="J10039" s="40" t="str">
        <f>HYPERLINK("https://stock.pstatic.net/stock-research/company/2/20250804_company_768956000.pdf","PDF")</f>
        <v>PDF</v>
      </c>
      <c r="K10039" s="12" t="s">
        <v>18477</v>
      </c>
      <c r="L10039" s="20">
        <v>-1.0238907849829349E-2</v>
      </c>
    </row>
    <row r="10040" spans="1:12" x14ac:dyDescent="0.45">
      <c r="A10040" s="12" t="s">
        <v>18469</v>
      </c>
      <c r="B10040" s="12" t="s">
        <v>434</v>
      </c>
      <c r="C10040" s="13" t="s">
        <v>435</v>
      </c>
      <c r="D10040" s="13" t="s">
        <v>83</v>
      </c>
      <c r="E10040" s="12" t="s">
        <v>35</v>
      </c>
      <c r="F10040" s="14">
        <v>160000</v>
      </c>
      <c r="G10040" s="14">
        <v>131500</v>
      </c>
      <c r="H10040" s="13" t="s">
        <v>18478</v>
      </c>
      <c r="I10040" s="40" t="s">
        <v>18</v>
      </c>
      <c r="J10040" s="40" t="str">
        <f>HYPERLINK("https://stock.pstatic.net/stock-research/company/2/20250804_company_16938000.pdf","PDF")</f>
        <v>PDF</v>
      </c>
      <c r="K10040" s="12" t="s">
        <v>18479</v>
      </c>
      <c r="L10040" s="20">
        <v>0.21673003802281371</v>
      </c>
    </row>
    <row r="10041" spans="1:12" x14ac:dyDescent="0.45">
      <c r="A10041" s="12" t="s">
        <v>18469</v>
      </c>
      <c r="B10041" s="12" t="s">
        <v>485</v>
      </c>
      <c r="C10041" s="13" t="s">
        <v>486</v>
      </c>
      <c r="D10041" s="13" t="s">
        <v>276</v>
      </c>
      <c r="E10041" s="12" t="s">
        <v>16</v>
      </c>
      <c r="F10041" s="14">
        <v>200000</v>
      </c>
      <c r="G10041" s="14">
        <v>137400</v>
      </c>
      <c r="H10041" s="13" t="s">
        <v>18480</v>
      </c>
      <c r="I10041" s="40" t="s">
        <v>18</v>
      </c>
      <c r="J10041" s="40" t="str">
        <f>HYPERLINK("https://stock.pstatic.net/stock-research/company/66/20250804_company_580467000.pdf","PDF")</f>
        <v>PDF</v>
      </c>
      <c r="K10041" s="12" t="s">
        <v>18481</v>
      </c>
      <c r="L10041" s="20">
        <v>0.45560407569141192</v>
      </c>
    </row>
    <row r="10042" spans="1:12" x14ac:dyDescent="0.45">
      <c r="A10042" s="12" t="s">
        <v>18469</v>
      </c>
      <c r="B10042" s="12" t="s">
        <v>2369</v>
      </c>
      <c r="C10042" s="13" t="s">
        <v>2370</v>
      </c>
      <c r="D10042" s="13" t="s">
        <v>276</v>
      </c>
      <c r="E10042" s="12" t="s">
        <v>16</v>
      </c>
      <c r="F10042" s="14">
        <v>250000</v>
      </c>
      <c r="G10042" s="14">
        <v>190000</v>
      </c>
      <c r="H10042" s="13" t="s">
        <v>18482</v>
      </c>
      <c r="I10042" s="40" t="s">
        <v>18</v>
      </c>
      <c r="J10042" s="40" t="str">
        <f>HYPERLINK("https://stock.pstatic.net/stock-research/company/66/20250804_company_456090000.pdf","PDF")</f>
        <v>PDF</v>
      </c>
      <c r="K10042" s="12" t="s">
        <v>18483</v>
      </c>
      <c r="L10042" s="20">
        <v>0.31578947368421051</v>
      </c>
    </row>
    <row r="10043" spans="1:12" x14ac:dyDescent="0.45">
      <c r="A10043" s="12" t="s">
        <v>18469</v>
      </c>
      <c r="B10043" s="12" t="s">
        <v>434</v>
      </c>
      <c r="C10043" s="13" t="s">
        <v>435</v>
      </c>
      <c r="D10043" s="13" t="s">
        <v>60</v>
      </c>
      <c r="E10043" s="12" t="s">
        <v>35</v>
      </c>
      <c r="F10043" s="14">
        <v>160000</v>
      </c>
      <c r="G10043" s="14">
        <v>131500</v>
      </c>
      <c r="H10043" s="13" t="s">
        <v>18484</v>
      </c>
      <c r="I10043" s="40" t="s">
        <v>18</v>
      </c>
      <c r="J10043" s="40" t="str">
        <f>HYPERLINK("https://stock.pstatic.net/stock-research/company/34/20250804_company_715377000.pdf","PDF")</f>
        <v>PDF</v>
      </c>
      <c r="K10043" s="12" t="s">
        <v>18485</v>
      </c>
      <c r="L10043" s="20">
        <v>0.21673003802281371</v>
      </c>
    </row>
    <row r="10044" spans="1:12" x14ac:dyDescent="0.45">
      <c r="A10044" s="12" t="s">
        <v>18469</v>
      </c>
      <c r="B10044" s="12" t="s">
        <v>2950</v>
      </c>
      <c r="C10044" s="13" t="s">
        <v>2951</v>
      </c>
      <c r="D10044" s="13" t="s">
        <v>23</v>
      </c>
      <c r="E10044" s="12" t="s">
        <v>16</v>
      </c>
      <c r="F10044" s="14">
        <v>100000</v>
      </c>
      <c r="G10044" s="14">
        <v>61400</v>
      </c>
      <c r="H10044" s="13" t="s">
        <v>18486</v>
      </c>
      <c r="I10044" s="40" t="s">
        <v>18</v>
      </c>
      <c r="J10044" s="40" t="str">
        <f>HYPERLINK("https://stock.pstatic.net/stock-research/company/21/20250804_company_298708000.pdf","PDF")</f>
        <v>PDF</v>
      </c>
      <c r="K10044" s="12" t="s">
        <v>18487</v>
      </c>
      <c r="L10044" s="20">
        <v>0.62866449511400646</v>
      </c>
    </row>
    <row r="10045" spans="1:12" x14ac:dyDescent="0.45">
      <c r="A10045" s="12" t="s">
        <v>18469</v>
      </c>
      <c r="B10045" s="12" t="s">
        <v>1540</v>
      </c>
      <c r="C10045" s="13" t="s">
        <v>1541</v>
      </c>
      <c r="D10045" s="13" t="s">
        <v>23</v>
      </c>
      <c r="E10045" s="12" t="s">
        <v>16</v>
      </c>
      <c r="F10045" s="14">
        <v>58600</v>
      </c>
      <c r="G10045" s="14">
        <v>49250</v>
      </c>
      <c r="H10045" s="13" t="s">
        <v>18488</v>
      </c>
      <c r="I10045" s="40" t="s">
        <v>18</v>
      </c>
      <c r="J10045" s="40" t="str">
        <f>HYPERLINK("https://stock.pstatic.net/stock-research/company/21/20250804_company_215085000.pdf","PDF")</f>
        <v>PDF</v>
      </c>
      <c r="K10045" s="12" t="s">
        <v>18489</v>
      </c>
      <c r="L10045" s="20">
        <v>0.18984771573604059</v>
      </c>
    </row>
    <row r="10046" spans="1:12" x14ac:dyDescent="0.45">
      <c r="A10046" s="12" t="s">
        <v>18469</v>
      </c>
      <c r="B10046" s="12" t="s">
        <v>1734</v>
      </c>
      <c r="C10046" s="13" t="s">
        <v>1735</v>
      </c>
      <c r="D10046" s="13" t="s">
        <v>23</v>
      </c>
      <c r="E10046" s="12" t="s">
        <v>50</v>
      </c>
      <c r="F10046" s="14">
        <v>45000</v>
      </c>
      <c r="G10046" s="14">
        <v>41300</v>
      </c>
      <c r="H10046" s="13" t="s">
        <v>18490</v>
      </c>
      <c r="I10046" s="40" t="s">
        <v>18</v>
      </c>
      <c r="J10046" s="40" t="str">
        <f>HYPERLINK("https://stock.pstatic.net/stock-research/company/21/20250804_company_318067000.pdf","PDF")</f>
        <v>PDF</v>
      </c>
      <c r="K10046" s="12" t="s">
        <v>18491</v>
      </c>
      <c r="L10046" s="20">
        <v>8.9588377723970949E-2</v>
      </c>
    </row>
    <row r="10047" spans="1:12" x14ac:dyDescent="0.45">
      <c r="A10047" s="12" t="s">
        <v>18469</v>
      </c>
      <c r="B10047" s="12" t="s">
        <v>3014</v>
      </c>
      <c r="C10047" s="13" t="s">
        <v>3015</v>
      </c>
      <c r="D10047" s="13" t="s">
        <v>65</v>
      </c>
      <c r="E10047" s="12" t="s">
        <v>35</v>
      </c>
      <c r="F10047" s="14">
        <v>160000</v>
      </c>
      <c r="G10047" s="14">
        <v>135500</v>
      </c>
      <c r="H10047" s="13" t="s">
        <v>18492</v>
      </c>
      <c r="I10047" s="40" t="s">
        <v>18</v>
      </c>
      <c r="J10047" s="40" t="str">
        <f>HYPERLINK("https://stock.pstatic.net/stock-research/company/57/20250804_company_848416000.pdf","PDF")</f>
        <v>PDF</v>
      </c>
      <c r="K10047" s="12" t="s">
        <v>18493</v>
      </c>
      <c r="L10047" s="20">
        <v>0.1808118081180812</v>
      </c>
    </row>
    <row r="10048" spans="1:12" x14ac:dyDescent="0.45">
      <c r="A10048" s="12" t="s">
        <v>18469</v>
      </c>
      <c r="B10048" s="12" t="s">
        <v>2801</v>
      </c>
      <c r="C10048" s="13" t="s">
        <v>2802</v>
      </c>
      <c r="D10048" s="13" t="s">
        <v>65</v>
      </c>
      <c r="E10048" s="12" t="s">
        <v>35</v>
      </c>
      <c r="F10048" s="14">
        <v>33000</v>
      </c>
      <c r="G10048" s="14">
        <v>23100</v>
      </c>
      <c r="H10048" s="13" t="s">
        <v>18494</v>
      </c>
      <c r="I10048" s="40" t="s">
        <v>18</v>
      </c>
      <c r="J10048" s="40" t="str">
        <f>HYPERLINK("https://stock.pstatic.net/stock-research/company/57/20250804_company_801793000.pdf","PDF")</f>
        <v>PDF</v>
      </c>
      <c r="K10048" s="12" t="s">
        <v>18495</v>
      </c>
      <c r="L10048" s="20">
        <v>0.42857142857142849</v>
      </c>
    </row>
    <row r="10049" spans="1:12" x14ac:dyDescent="0.45">
      <c r="A10049" s="12" t="s">
        <v>18469</v>
      </c>
      <c r="B10049" s="12" t="s">
        <v>3113</v>
      </c>
      <c r="C10049" s="13" t="s">
        <v>3114</v>
      </c>
      <c r="D10049" s="13" t="s">
        <v>65</v>
      </c>
      <c r="E10049" s="12" t="s">
        <v>35</v>
      </c>
      <c r="F10049" s="14">
        <v>40000</v>
      </c>
      <c r="G10049" s="14">
        <v>29600</v>
      </c>
      <c r="H10049" s="13" t="s">
        <v>18496</v>
      </c>
      <c r="I10049" s="40" t="s">
        <v>18</v>
      </c>
      <c r="J10049" s="40" t="str">
        <f>HYPERLINK("https://stock.pstatic.net/stock-research/company/57/20250804_company_140629000.pdf","PDF")</f>
        <v>PDF</v>
      </c>
      <c r="K10049" s="12" t="s">
        <v>18497</v>
      </c>
      <c r="L10049" s="20">
        <v>0.35135135135135143</v>
      </c>
    </row>
    <row r="10050" spans="1:12" x14ac:dyDescent="0.45">
      <c r="A10050" s="12" t="s">
        <v>18469</v>
      </c>
      <c r="B10050" s="12" t="s">
        <v>5395</v>
      </c>
      <c r="C10050" s="13" t="s">
        <v>5396</v>
      </c>
      <c r="D10050" s="13" t="s">
        <v>65</v>
      </c>
      <c r="E10050" s="12" t="s">
        <v>35</v>
      </c>
      <c r="F10050" s="14">
        <v>72000</v>
      </c>
      <c r="G10050" s="14">
        <v>43650</v>
      </c>
      <c r="H10050" s="13" t="s">
        <v>18498</v>
      </c>
      <c r="I10050" s="40" t="s">
        <v>18</v>
      </c>
      <c r="J10050" s="40" t="str">
        <f>HYPERLINK("https://stock.pstatic.net/stock-research/company/57/20250804_company_613363000.pdf","PDF")</f>
        <v>PDF</v>
      </c>
      <c r="K10050" s="12" t="s">
        <v>18499</v>
      </c>
      <c r="L10050" s="20">
        <v>0.64948453608247425</v>
      </c>
    </row>
    <row r="10051" spans="1:12" x14ac:dyDescent="0.45">
      <c r="A10051" s="12" t="s">
        <v>18469</v>
      </c>
      <c r="B10051" s="12" t="s">
        <v>1670</v>
      </c>
      <c r="C10051" s="13" t="s">
        <v>1671</v>
      </c>
      <c r="D10051" s="13" t="s">
        <v>65</v>
      </c>
      <c r="E10051" s="12" t="s">
        <v>35</v>
      </c>
      <c r="F10051" s="14">
        <v>160000</v>
      </c>
      <c r="G10051" s="14">
        <v>115900</v>
      </c>
      <c r="H10051" s="13" t="s">
        <v>18500</v>
      </c>
      <c r="I10051" s="40" t="s">
        <v>18</v>
      </c>
      <c r="J10051" s="40" t="str">
        <f>HYPERLINK("https://stock.pstatic.net/stock-research/company/57/20250804_company_796731000.pdf","PDF")</f>
        <v>PDF</v>
      </c>
      <c r="K10051" s="12" t="s">
        <v>18501</v>
      </c>
      <c r="L10051" s="20">
        <v>0.38050043140638479</v>
      </c>
    </row>
    <row r="10052" spans="1:12" x14ac:dyDescent="0.45">
      <c r="A10052" s="12" t="s">
        <v>18469</v>
      </c>
      <c r="B10052" s="12" t="s">
        <v>434</v>
      </c>
      <c r="C10052" s="13" t="s">
        <v>435</v>
      </c>
      <c r="D10052" s="13" t="s">
        <v>57</v>
      </c>
      <c r="E10052" s="12" t="s">
        <v>35</v>
      </c>
      <c r="F10052" s="14">
        <v>150000</v>
      </c>
      <c r="G10052" s="14">
        <v>131500</v>
      </c>
      <c r="H10052" s="13" t="s">
        <v>18502</v>
      </c>
      <c r="I10052" s="40" t="s">
        <v>18</v>
      </c>
      <c r="J10052" s="40" t="str">
        <f>HYPERLINK("https://stock.pstatic.net/stock-research/company/1/20250804_company_898871000.pdf","PDF")</f>
        <v>PDF</v>
      </c>
      <c r="K10052" s="12" t="s">
        <v>18503</v>
      </c>
      <c r="L10052" s="20">
        <v>0.14068441064638779</v>
      </c>
    </row>
    <row r="10053" spans="1:12" x14ac:dyDescent="0.45">
      <c r="A10053" s="12" t="s">
        <v>18469</v>
      </c>
      <c r="B10053" s="12" t="s">
        <v>3014</v>
      </c>
      <c r="C10053" s="13" t="s">
        <v>3015</v>
      </c>
      <c r="D10053" s="13" t="s">
        <v>57</v>
      </c>
      <c r="E10053" s="12" t="s">
        <v>35</v>
      </c>
      <c r="F10053" s="14">
        <v>200000</v>
      </c>
      <c r="G10053" s="14">
        <v>135500</v>
      </c>
      <c r="H10053" s="13" t="s">
        <v>18504</v>
      </c>
      <c r="I10053" s="40" t="s">
        <v>18</v>
      </c>
      <c r="J10053" s="40" t="str">
        <f>HYPERLINK("https://stock.pstatic.net/stock-research/company/16/20250804_company_901987000.pdf","PDF")</f>
        <v>PDF</v>
      </c>
      <c r="K10053" s="12" t="s">
        <v>18505</v>
      </c>
      <c r="L10053" s="20">
        <v>0.47601476014760152</v>
      </c>
    </row>
    <row r="10054" spans="1:12" x14ac:dyDescent="0.45">
      <c r="A10054" s="12" t="s">
        <v>18469</v>
      </c>
      <c r="B10054" s="12" t="s">
        <v>3014</v>
      </c>
      <c r="C10054" s="13" t="s">
        <v>3015</v>
      </c>
      <c r="D10054" s="13" t="s">
        <v>158</v>
      </c>
      <c r="E10054" s="12" t="s">
        <v>159</v>
      </c>
      <c r="F10054" s="14">
        <v>142000</v>
      </c>
      <c r="G10054" s="14">
        <v>135500</v>
      </c>
      <c r="H10054" s="13" t="s">
        <v>18506</v>
      </c>
      <c r="I10054" s="40" t="s">
        <v>18</v>
      </c>
      <c r="J10054" s="40" t="str">
        <f>HYPERLINK("https://stock.pstatic.net/stock-research/company/18/20250804_company_271956000.pdf","PDF")</f>
        <v>PDF</v>
      </c>
      <c r="K10054" s="12" t="s">
        <v>18507</v>
      </c>
      <c r="L10054" s="20">
        <v>4.797047970479705E-2</v>
      </c>
    </row>
    <row r="10055" spans="1:12" x14ac:dyDescent="0.45">
      <c r="A10055" s="12" t="s">
        <v>18469</v>
      </c>
      <c r="B10055" s="12" t="s">
        <v>4668</v>
      </c>
      <c r="C10055" s="13" t="s">
        <v>4669</v>
      </c>
      <c r="D10055" s="13" t="s">
        <v>158</v>
      </c>
      <c r="E10055" s="12" t="s">
        <v>35</v>
      </c>
      <c r="F10055" s="14">
        <v>20000</v>
      </c>
      <c r="G10055" s="14">
        <v>15110</v>
      </c>
      <c r="H10055" s="13" t="s">
        <v>18508</v>
      </c>
      <c r="I10055" s="40" t="s">
        <v>18</v>
      </c>
      <c r="J10055" s="40" t="str">
        <f>HYPERLINK("https://stock.pstatic.net/stock-research/company/1/20250804_company_918011000.pdf","PDF")</f>
        <v>PDF</v>
      </c>
      <c r="K10055" s="12" t="s">
        <v>18509</v>
      </c>
      <c r="L10055" s="20">
        <v>0.32362673726009272</v>
      </c>
    </row>
    <row r="10056" spans="1:12" x14ac:dyDescent="0.45">
      <c r="A10056" s="12" t="s">
        <v>18469</v>
      </c>
      <c r="B10056" s="12" t="s">
        <v>728</v>
      </c>
      <c r="C10056" s="13" t="s">
        <v>729</v>
      </c>
      <c r="D10056" s="13" t="s">
        <v>15</v>
      </c>
      <c r="E10056" s="12" t="s">
        <v>16</v>
      </c>
      <c r="F10056" s="14">
        <v>110000</v>
      </c>
      <c r="G10056" s="14">
        <v>82000</v>
      </c>
      <c r="H10056" s="13" t="s">
        <v>18510</v>
      </c>
      <c r="I10056" s="40" t="s">
        <v>18</v>
      </c>
      <c r="J10056" s="40" t="str">
        <f>HYPERLINK("https://stock.pstatic.net/stock-research/company/29/20250804_company_463343000.pdf","PDF")</f>
        <v>PDF</v>
      </c>
      <c r="K10056" s="12" t="s">
        <v>18511</v>
      </c>
      <c r="L10056" s="20">
        <v>0.34146341463414642</v>
      </c>
    </row>
    <row r="10057" spans="1:12" x14ac:dyDescent="0.45">
      <c r="A10057" s="12" t="s">
        <v>18469</v>
      </c>
      <c r="B10057" s="12" t="s">
        <v>3113</v>
      </c>
      <c r="C10057" s="13" t="s">
        <v>3114</v>
      </c>
      <c r="D10057" s="13" t="s">
        <v>15</v>
      </c>
      <c r="E10057" s="12" t="s">
        <v>385</v>
      </c>
      <c r="F10057" s="14">
        <v>30000</v>
      </c>
      <c r="G10057" s="14">
        <v>29600</v>
      </c>
      <c r="H10057" s="13" t="s">
        <v>18512</v>
      </c>
      <c r="I10057" s="40" t="s">
        <v>18</v>
      </c>
      <c r="J10057" s="40" t="str">
        <f>HYPERLINK("https://stock.pstatic.net/stock-research/company/29/20250804_company_183479000.pdf","PDF")</f>
        <v>PDF</v>
      </c>
      <c r="K10057" s="12" t="s">
        <v>18513</v>
      </c>
      <c r="L10057" s="20">
        <v>1.3513513513513511E-2</v>
      </c>
    </row>
    <row r="10058" spans="1:12" x14ac:dyDescent="0.45">
      <c r="A10058" s="12" t="s">
        <v>18469</v>
      </c>
      <c r="B10058" s="12" t="s">
        <v>18514</v>
      </c>
      <c r="C10058" s="13" t="s">
        <v>18515</v>
      </c>
      <c r="D10058" s="13" t="s">
        <v>15</v>
      </c>
      <c r="E10058" s="12" t="s">
        <v>50</v>
      </c>
      <c r="F10058" s="13"/>
      <c r="G10058" s="14">
        <v>3850</v>
      </c>
      <c r="H10058" s="13" t="s">
        <v>18516</v>
      </c>
      <c r="I10058" s="40" t="s">
        <v>18</v>
      </c>
      <c r="J10058" s="40" t="str">
        <f>HYPERLINK("https://stock.pstatic.net/stock-research/company/29/20250804_company_335809000.pdf","PDF")</f>
        <v>PDF</v>
      </c>
      <c r="K10058" s="12" t="s">
        <v>18517</v>
      </c>
    </row>
    <row r="10059" spans="1:12" x14ac:dyDescent="0.45">
      <c r="A10059" s="12" t="s">
        <v>18469</v>
      </c>
      <c r="B10059" s="12" t="s">
        <v>434</v>
      </c>
      <c r="C10059" s="13" t="s">
        <v>435</v>
      </c>
      <c r="D10059" s="13" t="s">
        <v>15</v>
      </c>
      <c r="E10059" s="12" t="s">
        <v>16</v>
      </c>
      <c r="F10059" s="14">
        <v>160000</v>
      </c>
      <c r="G10059" s="14">
        <v>131500</v>
      </c>
      <c r="H10059" s="13" t="s">
        <v>18518</v>
      </c>
      <c r="I10059" s="40" t="s">
        <v>18</v>
      </c>
      <c r="J10059" s="40" t="str">
        <f>HYPERLINK("https://stock.pstatic.net/stock-research/company/1/20250804_company_466380000.pdf","PDF")</f>
        <v>PDF</v>
      </c>
      <c r="K10059" s="12" t="s">
        <v>18519</v>
      </c>
      <c r="L10059" s="20">
        <v>0.21673003802281371</v>
      </c>
    </row>
    <row r="10060" spans="1:12" x14ac:dyDescent="0.45">
      <c r="A10060" s="12" t="s">
        <v>18469</v>
      </c>
      <c r="B10060" s="12" t="s">
        <v>434</v>
      </c>
      <c r="C10060" s="13" t="s">
        <v>435</v>
      </c>
      <c r="D10060" s="13" t="s">
        <v>92</v>
      </c>
      <c r="E10060" s="12" t="s">
        <v>35</v>
      </c>
      <c r="F10060" s="14">
        <v>180000</v>
      </c>
      <c r="G10060" s="14">
        <v>131500</v>
      </c>
      <c r="H10060" s="13" t="s">
        <v>18520</v>
      </c>
      <c r="I10060" s="40" t="s">
        <v>18</v>
      </c>
      <c r="J10060" s="40" t="str">
        <f>HYPERLINK("https://stock.pstatic.net/stock-research/company/63/20250804_company_911558000.pdf","PDF")</f>
        <v>PDF</v>
      </c>
      <c r="K10060" s="12" t="s">
        <v>18521</v>
      </c>
      <c r="L10060" s="20">
        <v>0.36882129277566539</v>
      </c>
    </row>
    <row r="10061" spans="1:12" x14ac:dyDescent="0.45">
      <c r="A10061" s="12" t="s">
        <v>18469</v>
      </c>
      <c r="B10061" s="12" t="s">
        <v>3014</v>
      </c>
      <c r="C10061" s="13" t="s">
        <v>3015</v>
      </c>
      <c r="D10061" s="13" t="s">
        <v>92</v>
      </c>
      <c r="E10061" s="12" t="s">
        <v>35</v>
      </c>
      <c r="F10061" s="14">
        <v>158000</v>
      </c>
      <c r="G10061" s="14">
        <v>135500</v>
      </c>
      <c r="H10061" s="13" t="s">
        <v>18522</v>
      </c>
      <c r="I10061" s="40" t="s">
        <v>18</v>
      </c>
      <c r="J10061" s="40" t="str">
        <f>HYPERLINK("https://stock.pstatic.net/stock-research/company/63/20250804_company_483039000.pdf","PDF")</f>
        <v>PDF</v>
      </c>
      <c r="K10061" s="12" t="s">
        <v>18523</v>
      </c>
      <c r="L10061" s="20">
        <v>0.16605166051660519</v>
      </c>
    </row>
    <row r="10062" spans="1:12" x14ac:dyDescent="0.45">
      <c r="A10062" s="12" t="s">
        <v>18469</v>
      </c>
      <c r="B10062" s="12" t="s">
        <v>485</v>
      </c>
      <c r="C10062" s="13" t="s">
        <v>486</v>
      </c>
      <c r="D10062" s="13" t="s">
        <v>92</v>
      </c>
      <c r="E10062" s="12" t="s">
        <v>35</v>
      </c>
      <c r="F10062" s="14">
        <v>200000</v>
      </c>
      <c r="G10062" s="14">
        <v>137400</v>
      </c>
      <c r="H10062" s="13" t="s">
        <v>18524</v>
      </c>
      <c r="I10062" s="40" t="s">
        <v>18</v>
      </c>
      <c r="J10062" s="40" t="str">
        <f>HYPERLINK("https://stock.pstatic.net/stock-research/company/63/20250804_company_85865000.pdf","PDF")</f>
        <v>PDF</v>
      </c>
      <c r="K10062" s="12" t="s">
        <v>18525</v>
      </c>
      <c r="L10062" s="20">
        <v>0.45560407569141192</v>
      </c>
    </row>
    <row r="10063" spans="1:12" x14ac:dyDescent="0.45">
      <c r="A10063" s="12" t="s">
        <v>18469</v>
      </c>
      <c r="B10063" s="12" t="s">
        <v>3113</v>
      </c>
      <c r="C10063" s="13" t="s">
        <v>3114</v>
      </c>
      <c r="D10063" s="13" t="s">
        <v>23</v>
      </c>
      <c r="E10063" s="12" t="s">
        <v>16</v>
      </c>
      <c r="F10063" s="14">
        <v>36000</v>
      </c>
      <c r="G10063" s="14">
        <v>29600</v>
      </c>
      <c r="H10063" s="13" t="s">
        <v>18526</v>
      </c>
      <c r="I10063" s="40" t="s">
        <v>18</v>
      </c>
      <c r="J10063" s="40" t="str">
        <f>HYPERLINK("https://stock.pstatic.net/stock-research/company/21/20250804_company_562852000.pdf","PDF")</f>
        <v>PDF</v>
      </c>
      <c r="K10063" s="12" t="s">
        <v>18527</v>
      </c>
      <c r="L10063" s="20">
        <v>0.2162162162162162</v>
      </c>
    </row>
    <row r="10064" spans="1:12" x14ac:dyDescent="0.45">
      <c r="A10064" s="12" t="s">
        <v>18469</v>
      </c>
      <c r="B10064" s="12" t="s">
        <v>3014</v>
      </c>
      <c r="C10064" s="13" t="s">
        <v>3015</v>
      </c>
      <c r="D10064" s="13" t="s">
        <v>23</v>
      </c>
      <c r="E10064" s="12" t="s">
        <v>16</v>
      </c>
      <c r="F10064" s="14">
        <v>175000</v>
      </c>
      <c r="G10064" s="14">
        <v>135500</v>
      </c>
      <c r="H10064" s="13" t="s">
        <v>18528</v>
      </c>
      <c r="I10064" s="40" t="s">
        <v>18</v>
      </c>
      <c r="J10064" s="40" t="str">
        <f>HYPERLINK("https://stock.pstatic.net/stock-research/company/21/20250804_company_997221000.pdf","PDF")</f>
        <v>PDF</v>
      </c>
      <c r="K10064" s="12" t="s">
        <v>18529</v>
      </c>
      <c r="L10064" s="20">
        <v>0.29151291512915128</v>
      </c>
    </row>
    <row r="10065" spans="1:12" x14ac:dyDescent="0.45">
      <c r="A10065" s="12" t="s">
        <v>18469</v>
      </c>
      <c r="B10065" s="12" t="s">
        <v>1507</v>
      </c>
      <c r="C10065" s="13" t="s">
        <v>1508</v>
      </c>
      <c r="D10065" s="13" t="s">
        <v>92</v>
      </c>
      <c r="E10065" s="12" t="s">
        <v>35</v>
      </c>
      <c r="F10065" s="14">
        <v>14000</v>
      </c>
      <c r="G10065" s="14">
        <v>8380</v>
      </c>
      <c r="H10065" s="13" t="s">
        <v>18530</v>
      </c>
      <c r="I10065" s="40" t="s">
        <v>18</v>
      </c>
      <c r="J10065" s="40" t="str">
        <f>HYPERLINK("https://stock.pstatic.net/stock-research/company/63/20250804_company_403260000.pdf","PDF")</f>
        <v>PDF</v>
      </c>
      <c r="K10065" s="12" t="s">
        <v>18531</v>
      </c>
      <c r="L10065" s="20">
        <v>0.6706443914081146</v>
      </c>
    </row>
    <row r="10066" spans="1:12" x14ac:dyDescent="0.45">
      <c r="A10066" s="12" t="s">
        <v>18469</v>
      </c>
      <c r="B10066" s="12" t="s">
        <v>4668</v>
      </c>
      <c r="C10066" s="13" t="s">
        <v>4669</v>
      </c>
      <c r="D10066" s="13" t="s">
        <v>34</v>
      </c>
      <c r="E10066" s="12" t="s">
        <v>50</v>
      </c>
      <c r="F10066" s="13"/>
      <c r="G10066" s="14">
        <v>15110</v>
      </c>
      <c r="H10066" s="13" t="s">
        <v>18532</v>
      </c>
      <c r="I10066" s="40" t="s">
        <v>18</v>
      </c>
      <c r="J10066" s="40" t="str">
        <f>HYPERLINK("https://stock.pstatic.net/stock-research/company/61/20250804_company_477680000.pdf","PDF")</f>
        <v>PDF</v>
      </c>
      <c r="K10066" s="12" t="s">
        <v>18533</v>
      </c>
    </row>
    <row r="10067" spans="1:12" x14ac:dyDescent="0.45">
      <c r="A10067" s="12" t="s">
        <v>18469</v>
      </c>
      <c r="B10067" s="12" t="s">
        <v>2688</v>
      </c>
      <c r="C10067" s="13" t="s">
        <v>2689</v>
      </c>
      <c r="D10067" s="13" t="s">
        <v>34</v>
      </c>
      <c r="E10067" s="12" t="s">
        <v>35</v>
      </c>
      <c r="F10067" s="14">
        <v>88000</v>
      </c>
      <c r="G10067" s="14">
        <v>72600</v>
      </c>
      <c r="H10067" s="13" t="s">
        <v>18534</v>
      </c>
      <c r="I10067" s="40" t="s">
        <v>18</v>
      </c>
      <c r="J10067" s="40" t="str">
        <f>HYPERLINK("https://stock.pstatic.net/stock-research/company/61/20250804_company_472668000.pdf","PDF")</f>
        <v>PDF</v>
      </c>
      <c r="K10067" s="12" t="s">
        <v>18535</v>
      </c>
      <c r="L10067" s="20">
        <v>0.2121212121212121</v>
      </c>
    </row>
    <row r="10068" spans="1:12" x14ac:dyDescent="0.45">
      <c r="A10068" s="12" t="s">
        <v>18469</v>
      </c>
      <c r="B10068" s="12" t="s">
        <v>3014</v>
      </c>
      <c r="C10068" s="13" t="s">
        <v>3015</v>
      </c>
      <c r="D10068" s="13" t="s">
        <v>34</v>
      </c>
      <c r="E10068" s="12" t="s">
        <v>159</v>
      </c>
      <c r="F10068" s="14">
        <v>150000</v>
      </c>
      <c r="G10068" s="14">
        <v>135500</v>
      </c>
      <c r="H10068" s="13" t="s">
        <v>18536</v>
      </c>
      <c r="I10068" s="40" t="s">
        <v>18</v>
      </c>
      <c r="J10068" s="40" t="str">
        <f>HYPERLINK("https://stock.pstatic.net/stock-research/company/61/20250804_company_783397000.pdf","PDF")</f>
        <v>PDF</v>
      </c>
      <c r="K10068" s="12" t="s">
        <v>18537</v>
      </c>
      <c r="L10068" s="20">
        <v>0.1070110701107011</v>
      </c>
    </row>
    <row r="10069" spans="1:12" x14ac:dyDescent="0.45">
      <c r="A10069" s="12" t="s">
        <v>18469</v>
      </c>
      <c r="B10069" s="12" t="s">
        <v>3113</v>
      </c>
      <c r="C10069" s="13" t="s">
        <v>3114</v>
      </c>
      <c r="D10069" s="13" t="s">
        <v>92</v>
      </c>
      <c r="E10069" s="12" t="s">
        <v>35</v>
      </c>
      <c r="F10069" s="14">
        <v>34000</v>
      </c>
      <c r="G10069" s="14">
        <v>29600</v>
      </c>
      <c r="H10069" s="13" t="s">
        <v>18538</v>
      </c>
      <c r="I10069" s="40" t="s">
        <v>18</v>
      </c>
      <c r="J10069" s="40" t="str">
        <f>HYPERLINK("https://stock.pstatic.net/stock-research/company/63/20250804_company_810867000.pdf","PDF")</f>
        <v>PDF</v>
      </c>
      <c r="K10069" s="12" t="s">
        <v>18539</v>
      </c>
      <c r="L10069" s="20">
        <v>0.14864864864864871</v>
      </c>
    </row>
    <row r="10070" spans="1:12" x14ac:dyDescent="0.45">
      <c r="A10070" s="12" t="s">
        <v>18469</v>
      </c>
      <c r="B10070" s="12" t="s">
        <v>2853</v>
      </c>
      <c r="C10070" s="13" t="s">
        <v>2854</v>
      </c>
      <c r="D10070" s="13" t="s">
        <v>44</v>
      </c>
      <c r="E10070" s="12" t="s">
        <v>35</v>
      </c>
      <c r="F10070" s="14">
        <v>22000</v>
      </c>
      <c r="G10070" s="14">
        <v>17270</v>
      </c>
      <c r="H10070" s="13" t="s">
        <v>18540</v>
      </c>
      <c r="I10070" s="40" t="s">
        <v>18</v>
      </c>
      <c r="J10070" s="40" t="str">
        <f>HYPERLINK("https://stock.pstatic.net/stock-research/company/39/20250804_company_861229000.pdf","PDF")</f>
        <v>PDF</v>
      </c>
      <c r="K10070" s="12" t="s">
        <v>18541</v>
      </c>
      <c r="L10070" s="20">
        <v>0.27388535031847128</v>
      </c>
    </row>
    <row r="10071" spans="1:12" x14ac:dyDescent="0.45">
      <c r="A10071" s="12" t="s">
        <v>18469</v>
      </c>
      <c r="B10071" s="12" t="s">
        <v>744</v>
      </c>
      <c r="C10071" s="13" t="s">
        <v>745</v>
      </c>
      <c r="D10071" s="13" t="s">
        <v>53</v>
      </c>
      <c r="E10071" s="12" t="s">
        <v>16</v>
      </c>
      <c r="F10071" s="14">
        <v>27000</v>
      </c>
      <c r="G10071" s="14">
        <v>18580</v>
      </c>
      <c r="H10071" s="13" t="s">
        <v>18542</v>
      </c>
      <c r="I10071" s="40" t="s">
        <v>18</v>
      </c>
      <c r="J10071" s="40" t="str">
        <f>HYPERLINK("https://stock.pstatic.net/stock-research/company/40/20250804_company_286249000.pdf","PDF")</f>
        <v>PDF</v>
      </c>
      <c r="K10071" s="12" t="s">
        <v>18543</v>
      </c>
      <c r="L10071" s="20">
        <v>0.45317545748116261</v>
      </c>
    </row>
    <row r="10072" spans="1:12" x14ac:dyDescent="0.45">
      <c r="A10072" s="12" t="s">
        <v>18469</v>
      </c>
      <c r="B10072" s="12" t="s">
        <v>1556</v>
      </c>
      <c r="C10072" s="13" t="s">
        <v>1557</v>
      </c>
      <c r="D10072" s="13" t="s">
        <v>44</v>
      </c>
      <c r="E10072" s="12" t="s">
        <v>50</v>
      </c>
      <c r="F10072" s="13"/>
      <c r="G10072" s="14">
        <v>23400</v>
      </c>
      <c r="H10072" s="13" t="s">
        <v>18544</v>
      </c>
      <c r="I10072" s="40" t="s">
        <v>18</v>
      </c>
      <c r="J10072" s="40" t="str">
        <f>HYPERLINK("https://stock.pstatic.net/stock-research/company/39/20250804_company_53432000.pdf","PDF")</f>
        <v>PDF</v>
      </c>
      <c r="K10072" s="12" t="s">
        <v>18545</v>
      </c>
    </row>
    <row r="10073" spans="1:12" x14ac:dyDescent="0.45">
      <c r="A10073" s="12" t="s">
        <v>18469</v>
      </c>
      <c r="B10073" s="12" t="s">
        <v>868</v>
      </c>
      <c r="C10073" s="13" t="s">
        <v>869</v>
      </c>
      <c r="D10073" s="13" t="s">
        <v>53</v>
      </c>
      <c r="E10073" s="12" t="s">
        <v>16</v>
      </c>
      <c r="F10073" s="14">
        <v>50000</v>
      </c>
      <c r="G10073" s="14">
        <v>38950</v>
      </c>
      <c r="H10073" s="13" t="s">
        <v>18546</v>
      </c>
      <c r="I10073" s="40" t="s">
        <v>18</v>
      </c>
      <c r="J10073" s="40" t="str">
        <f>HYPERLINK("https://stock.pstatic.net/stock-research/company/40/20250804_company_560109000.pdf","PDF")</f>
        <v>PDF</v>
      </c>
      <c r="K10073" s="12" t="s">
        <v>18547</v>
      </c>
      <c r="L10073" s="20">
        <v>0.28369704749679081</v>
      </c>
    </row>
    <row r="10074" spans="1:12" x14ac:dyDescent="0.45">
      <c r="A10074" s="12" t="s">
        <v>18469</v>
      </c>
      <c r="B10074" s="12" t="s">
        <v>2801</v>
      </c>
      <c r="C10074" s="13" t="s">
        <v>2802</v>
      </c>
      <c r="D10074" s="13" t="s">
        <v>23</v>
      </c>
      <c r="E10074" s="12" t="s">
        <v>16</v>
      </c>
      <c r="F10074" s="14">
        <v>32000</v>
      </c>
      <c r="G10074" s="14">
        <v>23100</v>
      </c>
      <c r="H10074" s="13" t="s">
        <v>18548</v>
      </c>
      <c r="I10074" s="40" t="s">
        <v>18</v>
      </c>
      <c r="J10074" s="40" t="str">
        <f>HYPERLINK("https://stock.pstatic.net/stock-research/company/21/20250804_company_586445000.pdf","PDF")</f>
        <v>PDF</v>
      </c>
      <c r="K10074" s="12" t="s">
        <v>18549</v>
      </c>
      <c r="L10074" s="20">
        <v>0.38528138528138528</v>
      </c>
    </row>
    <row r="10075" spans="1:12" x14ac:dyDescent="0.45">
      <c r="A10075" s="12" t="s">
        <v>18469</v>
      </c>
      <c r="B10075" s="12" t="s">
        <v>1670</v>
      </c>
      <c r="C10075" s="13" t="s">
        <v>1671</v>
      </c>
      <c r="D10075" s="13" t="s">
        <v>92</v>
      </c>
      <c r="E10075" s="12" t="s">
        <v>35</v>
      </c>
      <c r="F10075" s="14">
        <v>177000</v>
      </c>
      <c r="G10075" s="14">
        <v>115900</v>
      </c>
      <c r="H10075" s="13" t="s">
        <v>12387</v>
      </c>
      <c r="I10075" s="40" t="s">
        <v>18</v>
      </c>
      <c r="J10075" s="40" t="str">
        <f>HYPERLINK("https://stock.pstatic.net/stock-research/company/1/20250804_company_831313000.pdf","PDF")</f>
        <v>PDF</v>
      </c>
      <c r="K10075" s="12" t="s">
        <v>18550</v>
      </c>
      <c r="L10075" s="20">
        <v>0.52717860224331325</v>
      </c>
    </row>
    <row r="10076" spans="1:12" x14ac:dyDescent="0.45">
      <c r="A10076" s="12" t="s">
        <v>18469</v>
      </c>
      <c r="B10076" s="12" t="s">
        <v>1670</v>
      </c>
      <c r="C10076" s="13" t="s">
        <v>1671</v>
      </c>
      <c r="D10076" s="13" t="s">
        <v>23</v>
      </c>
      <c r="E10076" s="12" t="s">
        <v>16</v>
      </c>
      <c r="F10076" s="14">
        <v>160000</v>
      </c>
      <c r="G10076" s="14">
        <v>115900</v>
      </c>
      <c r="H10076" s="13" t="s">
        <v>18551</v>
      </c>
      <c r="I10076" s="40" t="s">
        <v>18</v>
      </c>
      <c r="J10076" s="40" t="str">
        <f>HYPERLINK("https://stock.pstatic.net/stock-research/company/21/20250804_company_550323000.pdf","PDF")</f>
        <v>PDF</v>
      </c>
      <c r="K10076" s="12" t="s">
        <v>18552</v>
      </c>
      <c r="L10076" s="20">
        <v>0.38050043140638479</v>
      </c>
    </row>
    <row r="10077" spans="1:12" x14ac:dyDescent="0.45">
      <c r="A10077" s="12" t="s">
        <v>18469</v>
      </c>
      <c r="B10077" s="12" t="s">
        <v>1670</v>
      </c>
      <c r="C10077" s="13" t="s">
        <v>1671</v>
      </c>
      <c r="D10077" s="13" t="s">
        <v>44</v>
      </c>
      <c r="E10077" s="12" t="s">
        <v>35</v>
      </c>
      <c r="F10077" s="14">
        <v>150000</v>
      </c>
      <c r="G10077" s="14">
        <v>115900</v>
      </c>
      <c r="H10077" s="13" t="s">
        <v>18553</v>
      </c>
      <c r="I10077" s="40" t="s">
        <v>18</v>
      </c>
      <c r="J10077" s="40" t="str">
        <f>HYPERLINK("https://stock.pstatic.net/stock-research/company/39/20250804_company_268273000.pdf","PDF")</f>
        <v>PDF</v>
      </c>
      <c r="K10077" s="12" t="s">
        <v>18554</v>
      </c>
      <c r="L10077" s="20">
        <v>0.29421915444348579</v>
      </c>
    </row>
    <row r="10078" spans="1:12" x14ac:dyDescent="0.45">
      <c r="A10078" s="12" t="s">
        <v>18469</v>
      </c>
      <c r="B10078" s="12" t="s">
        <v>2170</v>
      </c>
      <c r="C10078" s="13" t="s">
        <v>2171</v>
      </c>
      <c r="D10078" s="13" t="s">
        <v>53</v>
      </c>
      <c r="E10078" s="12" t="s">
        <v>50</v>
      </c>
      <c r="F10078" s="14">
        <v>8000</v>
      </c>
      <c r="G10078" s="14">
        <v>7120</v>
      </c>
      <c r="H10078" s="13" t="s">
        <v>18555</v>
      </c>
      <c r="I10078" s="40" t="s">
        <v>18</v>
      </c>
      <c r="J10078" s="40" t="str">
        <f>HYPERLINK("https://stock.pstatic.net/stock-research/company/40/20250804_company_598285000.pdf","PDF")</f>
        <v>PDF</v>
      </c>
      <c r="K10078" s="12" t="s">
        <v>18556</v>
      </c>
      <c r="L10078" s="20">
        <v>0.1235955056179775</v>
      </c>
    </row>
    <row r="10079" spans="1:12" x14ac:dyDescent="0.45">
      <c r="A10079" s="12" t="s">
        <v>18469</v>
      </c>
      <c r="B10079" s="12" t="s">
        <v>1065</v>
      </c>
      <c r="C10079" s="13" t="s">
        <v>1066</v>
      </c>
      <c r="D10079" s="13" t="s">
        <v>44</v>
      </c>
      <c r="E10079" s="12" t="s">
        <v>35</v>
      </c>
      <c r="F10079" s="14">
        <v>140000</v>
      </c>
      <c r="G10079" s="14">
        <v>101600</v>
      </c>
      <c r="H10079" s="13" t="s">
        <v>18557</v>
      </c>
      <c r="I10079" s="40" t="s">
        <v>18</v>
      </c>
      <c r="J10079" s="40" t="str">
        <f>HYPERLINK("https://stock.pstatic.net/stock-research/company/39/20250804_company_986126000.pdf","PDF")</f>
        <v>PDF</v>
      </c>
      <c r="K10079" s="12" t="s">
        <v>18558</v>
      </c>
      <c r="L10079" s="20">
        <v>0.37795275590551181</v>
      </c>
    </row>
    <row r="10080" spans="1:12" x14ac:dyDescent="0.45">
      <c r="A10080" s="12" t="s">
        <v>18469</v>
      </c>
      <c r="B10080" s="12" t="s">
        <v>561</v>
      </c>
      <c r="C10080" s="13" t="s">
        <v>562</v>
      </c>
      <c r="D10080" s="13" t="s">
        <v>124</v>
      </c>
      <c r="E10080" s="12" t="s">
        <v>50</v>
      </c>
      <c r="F10080" s="13"/>
      <c r="G10080" s="13"/>
      <c r="H10080" s="13" t="s">
        <v>18559</v>
      </c>
      <c r="I10080" s="40" t="s">
        <v>18</v>
      </c>
      <c r="J10080" s="40" t="str">
        <f>HYPERLINK("https://stock.pstatic.net/stock-research/company/74/20250807_company_597604000.pdf","PDF")</f>
        <v>PDF</v>
      </c>
      <c r="K10080" s="12" t="s">
        <v>18560</v>
      </c>
    </row>
    <row r="10081" spans="1:12" x14ac:dyDescent="0.45">
      <c r="A10081" s="12" t="s">
        <v>18469</v>
      </c>
      <c r="B10081" s="12" t="s">
        <v>2435</v>
      </c>
      <c r="C10081" s="13" t="s">
        <v>2436</v>
      </c>
      <c r="D10081" s="13" t="s">
        <v>15</v>
      </c>
      <c r="E10081" s="12" t="s">
        <v>16</v>
      </c>
      <c r="F10081" s="14">
        <v>610000</v>
      </c>
      <c r="G10081" s="14">
        <v>490500</v>
      </c>
      <c r="H10081" s="13" t="s">
        <v>18561</v>
      </c>
      <c r="I10081" s="40" t="s">
        <v>18</v>
      </c>
      <c r="J10081" s="40" t="str">
        <f>HYPERLINK("https://stock.pstatic.net/stock-research/company/29/20250804_company_579442000.pdf","PDF")</f>
        <v>PDF</v>
      </c>
      <c r="K10081" s="12" t="s">
        <v>18562</v>
      </c>
      <c r="L10081" s="20">
        <v>0.24362895005096841</v>
      </c>
    </row>
    <row r="10082" spans="1:12" x14ac:dyDescent="0.45">
      <c r="A10082" s="12" t="s">
        <v>18563</v>
      </c>
      <c r="B10082" s="12" t="s">
        <v>81</v>
      </c>
      <c r="C10082" s="13" t="s">
        <v>82</v>
      </c>
      <c r="D10082" s="13" t="s">
        <v>65</v>
      </c>
      <c r="E10082" s="12" t="s">
        <v>35</v>
      </c>
      <c r="F10082" s="14">
        <v>25000</v>
      </c>
      <c r="G10082" s="14">
        <v>20200</v>
      </c>
      <c r="H10082" s="13" t="s">
        <v>18564</v>
      </c>
      <c r="I10082" s="40" t="s">
        <v>18</v>
      </c>
      <c r="J10082" s="40" t="str">
        <f>HYPERLINK("https://stock.pstatic.net/stock-research/company/57/20250801_company_53329000.pdf","PDF")</f>
        <v>PDF</v>
      </c>
      <c r="K10082" s="12" t="s">
        <v>18565</v>
      </c>
      <c r="L10082" s="20">
        <v>0.23762376237623761</v>
      </c>
    </row>
    <row r="10083" spans="1:12" x14ac:dyDescent="0.45">
      <c r="A10083" s="12" t="s">
        <v>18563</v>
      </c>
      <c r="B10083" s="12" t="s">
        <v>81</v>
      </c>
      <c r="C10083" s="13" t="s">
        <v>82</v>
      </c>
      <c r="D10083" s="13" t="s">
        <v>65</v>
      </c>
      <c r="E10083" s="12" t="s">
        <v>35</v>
      </c>
      <c r="F10083" s="14">
        <v>25000</v>
      </c>
      <c r="G10083" s="14">
        <v>20200</v>
      </c>
      <c r="H10083" s="13" t="s">
        <v>18566</v>
      </c>
      <c r="I10083" s="40" t="s">
        <v>18</v>
      </c>
      <c r="J10083" s="40" t="str">
        <f>HYPERLINK("https://stock.pstatic.net/stock-research/company/57/20250801_company_503183000.pdf","PDF")</f>
        <v>PDF</v>
      </c>
      <c r="K10083" s="12" t="s">
        <v>18567</v>
      </c>
      <c r="L10083" s="20">
        <v>0.23762376237623761</v>
      </c>
    </row>
    <row r="10084" spans="1:12" x14ac:dyDescent="0.45">
      <c r="A10084" s="12" t="s">
        <v>18563</v>
      </c>
      <c r="B10084" s="12" t="s">
        <v>32</v>
      </c>
      <c r="C10084" s="13" t="s">
        <v>33</v>
      </c>
      <c r="D10084" s="13" t="s">
        <v>65</v>
      </c>
      <c r="E10084" s="12" t="s">
        <v>35</v>
      </c>
      <c r="F10084" s="14">
        <v>174000</v>
      </c>
      <c r="G10084" s="14">
        <v>148700</v>
      </c>
      <c r="H10084" s="13" t="s">
        <v>18568</v>
      </c>
      <c r="I10084" s="40" t="s">
        <v>18</v>
      </c>
      <c r="J10084" s="40" t="str">
        <f>HYPERLINK("https://stock.pstatic.net/stock-research/company/57/20250801_company_357876000.pdf","PDF")</f>
        <v>PDF</v>
      </c>
      <c r="K10084" s="12" t="s">
        <v>18569</v>
      </c>
      <c r="L10084" s="20">
        <v>0.17014122394082051</v>
      </c>
    </row>
    <row r="10085" spans="1:12" x14ac:dyDescent="0.45">
      <c r="A10085" s="12" t="s">
        <v>18563</v>
      </c>
      <c r="B10085" s="12" t="s">
        <v>170</v>
      </c>
      <c r="C10085" s="13" t="s">
        <v>171</v>
      </c>
      <c r="D10085" s="13" t="s">
        <v>65</v>
      </c>
      <c r="E10085" s="12" t="s">
        <v>35</v>
      </c>
      <c r="F10085" s="14">
        <v>95000</v>
      </c>
      <c r="G10085" s="14">
        <v>69900</v>
      </c>
      <c r="H10085" s="13" t="s">
        <v>18570</v>
      </c>
      <c r="I10085" s="40" t="s">
        <v>18</v>
      </c>
      <c r="J10085" s="40" t="str">
        <f>HYPERLINK("https://stock.pstatic.net/stock-research/company/57/20250801_company_722333000.pdf","PDF")</f>
        <v>PDF</v>
      </c>
      <c r="K10085" s="12" t="s">
        <v>18571</v>
      </c>
      <c r="L10085" s="20">
        <v>0.35908440629470673</v>
      </c>
    </row>
    <row r="10086" spans="1:12" x14ac:dyDescent="0.45">
      <c r="A10086" s="12" t="s">
        <v>18563</v>
      </c>
      <c r="B10086" s="12" t="s">
        <v>2944</v>
      </c>
      <c r="C10086" s="13" t="s">
        <v>2945</v>
      </c>
      <c r="D10086" s="13" t="s">
        <v>65</v>
      </c>
      <c r="E10086" s="12" t="s">
        <v>35</v>
      </c>
      <c r="F10086" s="14">
        <v>19000</v>
      </c>
      <c r="G10086" s="14">
        <v>14590</v>
      </c>
      <c r="H10086" s="13" t="s">
        <v>18572</v>
      </c>
      <c r="I10086" s="40" t="s">
        <v>18</v>
      </c>
      <c r="J10086" s="40" t="str">
        <f>HYPERLINK("https://stock.pstatic.net/stock-research/company/57/20250801_company_931394000.pdf","PDF")</f>
        <v>PDF</v>
      </c>
      <c r="K10086" s="12" t="s">
        <v>18573</v>
      </c>
      <c r="L10086" s="20">
        <v>0.30226182316655242</v>
      </c>
    </row>
    <row r="10087" spans="1:12" x14ac:dyDescent="0.45">
      <c r="A10087" s="12" t="s">
        <v>18563</v>
      </c>
      <c r="B10087" s="12" t="s">
        <v>2795</v>
      </c>
      <c r="C10087" s="13" t="s">
        <v>2796</v>
      </c>
      <c r="D10087" s="13" t="s">
        <v>65</v>
      </c>
      <c r="E10087" s="12" t="s">
        <v>35</v>
      </c>
      <c r="F10087" s="14">
        <v>4800</v>
      </c>
      <c r="G10087" s="14">
        <v>4210</v>
      </c>
      <c r="H10087" s="13" t="s">
        <v>18574</v>
      </c>
      <c r="I10087" s="40" t="s">
        <v>18</v>
      </c>
      <c r="J10087" s="40" t="str">
        <f>HYPERLINK("https://stock.pstatic.net/stock-research/company/57/20250801_company_704932000.pdf","PDF")</f>
        <v>PDF</v>
      </c>
      <c r="K10087" s="12" t="s">
        <v>18575</v>
      </c>
      <c r="L10087" s="20">
        <v>0.14014251781472681</v>
      </c>
    </row>
    <row r="10088" spans="1:12" x14ac:dyDescent="0.45">
      <c r="A10088" s="12" t="s">
        <v>18563</v>
      </c>
      <c r="B10088" s="12" t="s">
        <v>2369</v>
      </c>
      <c r="C10088" s="13" t="s">
        <v>2370</v>
      </c>
      <c r="D10088" s="13" t="s">
        <v>65</v>
      </c>
      <c r="E10088" s="12" t="s">
        <v>1738</v>
      </c>
      <c r="F10088" s="14">
        <v>195000</v>
      </c>
      <c r="G10088" s="14">
        <v>201000</v>
      </c>
      <c r="H10088" s="13" t="s">
        <v>18576</v>
      </c>
      <c r="I10088" s="40" t="s">
        <v>18</v>
      </c>
      <c r="J10088" s="40" t="str">
        <f>HYPERLINK("https://stock.pstatic.net/stock-research/company/57/20250801_company_766118000.pdf","PDF")</f>
        <v>PDF</v>
      </c>
      <c r="K10088" s="12" t="s">
        <v>18577</v>
      </c>
      <c r="L10088" s="20">
        <v>-2.9850746268656719E-2</v>
      </c>
    </row>
    <row r="10089" spans="1:12" x14ac:dyDescent="0.45">
      <c r="A10089" s="12" t="s">
        <v>18563</v>
      </c>
      <c r="B10089" s="12" t="s">
        <v>3079</v>
      </c>
      <c r="C10089" s="13" t="s">
        <v>3080</v>
      </c>
      <c r="D10089" s="13" t="s">
        <v>65</v>
      </c>
      <c r="E10089" s="12" t="s">
        <v>35</v>
      </c>
      <c r="F10089" s="14">
        <v>39000</v>
      </c>
      <c r="G10089" s="14">
        <v>31350</v>
      </c>
      <c r="H10089" s="13" t="s">
        <v>18578</v>
      </c>
      <c r="I10089" s="40" t="s">
        <v>18</v>
      </c>
      <c r="J10089" s="40" t="str">
        <f>HYPERLINK("https://stock.pstatic.net/stock-research/company/57/20250801_company_639275000.pdf","PDF")</f>
        <v>PDF</v>
      </c>
      <c r="K10089" s="12" t="s">
        <v>18579</v>
      </c>
      <c r="L10089" s="20">
        <v>0.24401913875598091</v>
      </c>
    </row>
    <row r="10090" spans="1:12" x14ac:dyDescent="0.45">
      <c r="A10090" s="12" t="s">
        <v>18563</v>
      </c>
      <c r="B10090" s="12" t="s">
        <v>2758</v>
      </c>
      <c r="C10090" s="13" t="s">
        <v>2759</v>
      </c>
      <c r="D10090" s="13" t="s">
        <v>65</v>
      </c>
      <c r="E10090" s="12" t="s">
        <v>35</v>
      </c>
      <c r="F10090" s="14">
        <v>740000</v>
      </c>
      <c r="G10090" s="14">
        <v>308500</v>
      </c>
      <c r="H10090" s="13" t="s">
        <v>18580</v>
      </c>
      <c r="I10090" s="40" t="s">
        <v>18</v>
      </c>
      <c r="J10090" s="40" t="str">
        <f>HYPERLINK("https://stock.pstatic.net/stock-research/company/57/20250801_company_152468000.pdf","PDF")</f>
        <v>PDF</v>
      </c>
      <c r="K10090" s="12" t="s">
        <v>18581</v>
      </c>
      <c r="L10090" s="20">
        <v>1.39870340356564</v>
      </c>
    </row>
    <row r="10091" spans="1:12" x14ac:dyDescent="0.45">
      <c r="A10091" s="12" t="s">
        <v>18563</v>
      </c>
      <c r="B10091" s="12" t="s">
        <v>32</v>
      </c>
      <c r="C10091" s="13" t="s">
        <v>33</v>
      </c>
      <c r="D10091" s="13" t="s">
        <v>276</v>
      </c>
      <c r="E10091" s="12" t="s">
        <v>16</v>
      </c>
      <c r="F10091" s="14">
        <v>200000</v>
      </c>
      <c r="G10091" s="14">
        <v>148700</v>
      </c>
      <c r="H10091" s="13" t="s">
        <v>18582</v>
      </c>
      <c r="I10091" s="40" t="s">
        <v>18</v>
      </c>
      <c r="J10091" s="40" t="str">
        <f>HYPERLINK("https://stock.pstatic.net/stock-research/company/66/20250801_company_392871000.pdf","PDF")</f>
        <v>PDF</v>
      </c>
      <c r="K10091" s="12" t="s">
        <v>18583</v>
      </c>
      <c r="L10091" s="20">
        <v>0.3449899125756557</v>
      </c>
    </row>
    <row r="10092" spans="1:12" x14ac:dyDescent="0.45">
      <c r="A10092" s="12" t="s">
        <v>18563</v>
      </c>
      <c r="B10092" s="12" t="s">
        <v>13</v>
      </c>
      <c r="C10092" s="13" t="s">
        <v>14</v>
      </c>
      <c r="D10092" s="13" t="s">
        <v>65</v>
      </c>
      <c r="E10092" s="12" t="s">
        <v>35</v>
      </c>
      <c r="F10092" s="14">
        <v>84000</v>
      </c>
      <c r="G10092" s="14">
        <v>71400</v>
      </c>
      <c r="H10092" s="13" t="s">
        <v>18584</v>
      </c>
      <c r="I10092" s="40" t="s">
        <v>18</v>
      </c>
      <c r="J10092" s="40" t="str">
        <f>HYPERLINK("https://stock.pstatic.net/stock-research/company/57/20250801_company_786889000.pdf","PDF")</f>
        <v>PDF</v>
      </c>
      <c r="K10092" s="12" t="s">
        <v>18585</v>
      </c>
      <c r="L10092" s="20">
        <v>0.1764705882352941</v>
      </c>
    </row>
    <row r="10093" spans="1:12" x14ac:dyDescent="0.45">
      <c r="A10093" s="12" t="s">
        <v>18563</v>
      </c>
      <c r="B10093" s="12" t="s">
        <v>13</v>
      </c>
      <c r="C10093" s="13" t="s">
        <v>14</v>
      </c>
      <c r="D10093" s="13" t="s">
        <v>276</v>
      </c>
      <c r="E10093" s="12" t="s">
        <v>16</v>
      </c>
      <c r="F10093" s="14">
        <v>81000</v>
      </c>
      <c r="G10093" s="14">
        <v>71400</v>
      </c>
      <c r="H10093" s="13" t="s">
        <v>18586</v>
      </c>
      <c r="I10093" s="40" t="s">
        <v>18</v>
      </c>
      <c r="J10093" s="40" t="str">
        <f>HYPERLINK("https://stock.pstatic.net/stock-research/company/66/20250801_company_795307000.pdf","PDF")</f>
        <v>PDF</v>
      </c>
      <c r="K10093" s="12" t="s">
        <v>18587</v>
      </c>
      <c r="L10093" s="20">
        <v>0.13445378151260501</v>
      </c>
    </row>
    <row r="10094" spans="1:12" x14ac:dyDescent="0.45">
      <c r="A10094" s="12" t="s">
        <v>18563</v>
      </c>
      <c r="B10094" s="12" t="s">
        <v>1690</v>
      </c>
      <c r="C10094" s="13" t="s">
        <v>1691</v>
      </c>
      <c r="D10094" s="13" t="s">
        <v>65</v>
      </c>
      <c r="E10094" s="12" t="s">
        <v>1738</v>
      </c>
      <c r="F10094" s="14">
        <v>120000</v>
      </c>
      <c r="G10094" s="14">
        <v>107900</v>
      </c>
      <c r="H10094" s="13" t="s">
        <v>18588</v>
      </c>
      <c r="I10094" s="40" t="s">
        <v>18</v>
      </c>
      <c r="J10094" s="40" t="str">
        <f>HYPERLINK("https://stock.pstatic.net/stock-research/company/1/20250801_company_7714000.pdf","PDF")</f>
        <v>PDF</v>
      </c>
      <c r="K10094" s="12" t="s">
        <v>18589</v>
      </c>
      <c r="L10094" s="20">
        <v>0.11214087117701579</v>
      </c>
    </row>
    <row r="10095" spans="1:12" x14ac:dyDescent="0.45">
      <c r="A10095" s="12" t="s">
        <v>18563</v>
      </c>
      <c r="B10095" s="12" t="s">
        <v>2982</v>
      </c>
      <c r="C10095" s="13" t="s">
        <v>2983</v>
      </c>
      <c r="D10095" s="13" t="s">
        <v>65</v>
      </c>
      <c r="E10095" s="12" t="s">
        <v>35</v>
      </c>
      <c r="F10095" s="14">
        <v>55000</v>
      </c>
      <c r="G10095" s="14">
        <v>47150</v>
      </c>
      <c r="H10095" s="13" t="s">
        <v>18590</v>
      </c>
      <c r="I10095" s="40" t="s">
        <v>18</v>
      </c>
      <c r="J10095" s="40" t="str">
        <f>HYPERLINK("https://stock.pstatic.net/stock-research/company/57/20250801_company_47021000.pdf","PDF")</f>
        <v>PDF</v>
      </c>
      <c r="K10095" s="12" t="s">
        <v>18591</v>
      </c>
      <c r="L10095" s="20">
        <v>0.16648992576882291</v>
      </c>
    </row>
    <row r="10096" spans="1:12" x14ac:dyDescent="0.45">
      <c r="A10096" s="12" t="s">
        <v>18563</v>
      </c>
      <c r="B10096" s="12" t="s">
        <v>3024</v>
      </c>
      <c r="C10096" s="13" t="s">
        <v>3025</v>
      </c>
      <c r="D10096" s="13" t="s">
        <v>65</v>
      </c>
      <c r="E10096" s="12" t="s">
        <v>35</v>
      </c>
      <c r="F10096" s="14">
        <v>66000</v>
      </c>
      <c r="G10096" s="14">
        <v>48800</v>
      </c>
      <c r="H10096" s="13" t="s">
        <v>18592</v>
      </c>
      <c r="I10096" s="40" t="s">
        <v>18</v>
      </c>
      <c r="J10096" s="40" t="str">
        <f>HYPERLINK("https://stock.pstatic.net/stock-research/company/57/20250801_company_868554000.pdf","PDF")</f>
        <v>PDF</v>
      </c>
      <c r="K10096" s="12" t="s">
        <v>18593</v>
      </c>
      <c r="L10096" s="20">
        <v>0.35245901639344263</v>
      </c>
    </row>
    <row r="10097" spans="1:12" x14ac:dyDescent="0.45">
      <c r="A10097" s="12" t="s">
        <v>18563</v>
      </c>
      <c r="B10097" s="12" t="s">
        <v>4668</v>
      </c>
      <c r="C10097" s="13" t="s">
        <v>4669</v>
      </c>
      <c r="D10097" s="13" t="s">
        <v>65</v>
      </c>
      <c r="E10097" s="12" t="s">
        <v>35</v>
      </c>
      <c r="F10097" s="14">
        <v>19000</v>
      </c>
      <c r="G10097" s="14">
        <v>15730</v>
      </c>
      <c r="H10097" s="13" t="s">
        <v>18594</v>
      </c>
      <c r="I10097" s="40" t="s">
        <v>18</v>
      </c>
      <c r="J10097" s="40" t="str">
        <f>HYPERLINK("https://stock.pstatic.net/stock-research/company/57/20250801_company_493284000.pdf","PDF")</f>
        <v>PDF</v>
      </c>
      <c r="K10097" s="12" t="s">
        <v>18595</v>
      </c>
      <c r="L10097" s="20">
        <v>0.20788302606484421</v>
      </c>
    </row>
    <row r="10098" spans="1:12" x14ac:dyDescent="0.45">
      <c r="A10098" s="12" t="s">
        <v>18563</v>
      </c>
      <c r="B10098" s="12" t="s">
        <v>81</v>
      </c>
      <c r="C10098" s="13" t="s">
        <v>82</v>
      </c>
      <c r="D10098" s="13" t="s">
        <v>60</v>
      </c>
      <c r="E10098" s="12" t="s">
        <v>35</v>
      </c>
      <c r="F10098" s="14">
        <v>24000</v>
      </c>
      <c r="G10098" s="14">
        <v>20200</v>
      </c>
      <c r="H10098" s="13" t="s">
        <v>18596</v>
      </c>
      <c r="I10098" s="40" t="s">
        <v>18</v>
      </c>
      <c r="J10098" s="40" t="str">
        <f>HYPERLINK("https://stock.pstatic.net/stock-research/company/34/20250801_company_598197000.pdf","PDF")</f>
        <v>PDF</v>
      </c>
      <c r="K10098" s="12" t="s">
        <v>18597</v>
      </c>
      <c r="L10098" s="20">
        <v>0.18811881188118809</v>
      </c>
    </row>
    <row r="10099" spans="1:12" x14ac:dyDescent="0.45">
      <c r="A10099" s="12" t="s">
        <v>18563</v>
      </c>
      <c r="B10099" s="12" t="s">
        <v>2435</v>
      </c>
      <c r="C10099" s="13" t="s">
        <v>2436</v>
      </c>
      <c r="D10099" s="13" t="s">
        <v>65</v>
      </c>
      <c r="E10099" s="12" t="s">
        <v>35</v>
      </c>
      <c r="F10099" s="14">
        <v>570000</v>
      </c>
      <c r="G10099" s="14">
        <v>490500</v>
      </c>
      <c r="H10099" s="13" t="s">
        <v>18598</v>
      </c>
      <c r="I10099" s="40" t="s">
        <v>18</v>
      </c>
      <c r="J10099" s="40" t="str">
        <f>HYPERLINK("https://stock.pstatic.net/stock-research/company/57/20250801_company_827505000.pdf","PDF")</f>
        <v>PDF</v>
      </c>
      <c r="K10099" s="12" t="s">
        <v>18599</v>
      </c>
      <c r="L10099" s="20">
        <v>0.1620795107033639</v>
      </c>
    </row>
    <row r="10100" spans="1:12" x14ac:dyDescent="0.45">
      <c r="A10100" s="12" t="s">
        <v>18563</v>
      </c>
      <c r="B10100" s="12" t="s">
        <v>2944</v>
      </c>
      <c r="C10100" s="13" t="s">
        <v>2945</v>
      </c>
      <c r="D10100" s="13" t="s">
        <v>60</v>
      </c>
      <c r="E10100" s="12" t="s">
        <v>35</v>
      </c>
      <c r="F10100" s="14">
        <v>18500</v>
      </c>
      <c r="G10100" s="14">
        <v>14590</v>
      </c>
      <c r="H10100" s="13" t="s">
        <v>18600</v>
      </c>
      <c r="I10100" s="40" t="s">
        <v>18</v>
      </c>
      <c r="J10100" s="40" t="str">
        <f>HYPERLINK("https://stock.pstatic.net/stock-research/company/34/20250801_company_713198000.pdf","PDF")</f>
        <v>PDF</v>
      </c>
      <c r="K10100" s="12" t="s">
        <v>18601</v>
      </c>
      <c r="L10100" s="20">
        <v>0.26799177518848533</v>
      </c>
    </row>
    <row r="10101" spans="1:12" x14ac:dyDescent="0.45">
      <c r="A10101" s="12" t="s">
        <v>18563</v>
      </c>
      <c r="B10101" s="12" t="s">
        <v>13410</v>
      </c>
      <c r="C10101" s="13" t="s">
        <v>13411</v>
      </c>
      <c r="D10101" s="13" t="s">
        <v>65</v>
      </c>
      <c r="E10101" s="12" t="s">
        <v>35</v>
      </c>
      <c r="F10101" s="14">
        <v>250000</v>
      </c>
      <c r="G10101" s="14">
        <v>212000</v>
      </c>
      <c r="H10101" s="13" t="s">
        <v>18602</v>
      </c>
      <c r="I10101" s="40" t="s">
        <v>18</v>
      </c>
      <c r="J10101" s="40" t="str">
        <f>HYPERLINK("https://stock.pstatic.net/stock-research/company/57/20250801_company_944608000.pdf","PDF")</f>
        <v>PDF</v>
      </c>
      <c r="K10101" s="12" t="s">
        <v>18603</v>
      </c>
      <c r="L10101" s="20">
        <v>0.17924528301886791</v>
      </c>
    </row>
    <row r="10102" spans="1:12" x14ac:dyDescent="0.45">
      <c r="A10102" s="12" t="s">
        <v>18563</v>
      </c>
      <c r="B10102" s="12" t="s">
        <v>2488</v>
      </c>
      <c r="C10102" s="13" t="s">
        <v>2489</v>
      </c>
      <c r="D10102" s="13" t="s">
        <v>65</v>
      </c>
      <c r="E10102" s="12" t="s">
        <v>35</v>
      </c>
      <c r="F10102" s="14">
        <v>77000</v>
      </c>
      <c r="G10102" s="14">
        <v>65700</v>
      </c>
      <c r="H10102" s="13" t="s">
        <v>18604</v>
      </c>
      <c r="I10102" s="40" t="s">
        <v>18</v>
      </c>
      <c r="J10102" s="40" t="str">
        <f>HYPERLINK("https://stock.pstatic.net/stock-research/company/57/20250801_company_267510000.pdf","PDF")</f>
        <v>PDF</v>
      </c>
      <c r="K10102" s="12" t="s">
        <v>18605</v>
      </c>
      <c r="L10102" s="20">
        <v>0.17199391171993911</v>
      </c>
    </row>
    <row r="10103" spans="1:12" x14ac:dyDescent="0.45">
      <c r="A10103" s="12" t="s">
        <v>18563</v>
      </c>
      <c r="B10103" s="12" t="s">
        <v>1548</v>
      </c>
      <c r="C10103" s="13" t="s">
        <v>1549</v>
      </c>
      <c r="D10103" s="13" t="s">
        <v>60</v>
      </c>
      <c r="E10103" s="12" t="s">
        <v>35</v>
      </c>
      <c r="F10103" s="14">
        <v>1300000</v>
      </c>
      <c r="G10103" s="14">
        <v>996000</v>
      </c>
      <c r="H10103" s="13" t="s">
        <v>18606</v>
      </c>
      <c r="I10103" s="40" t="s">
        <v>18</v>
      </c>
      <c r="J10103" s="40" t="str">
        <f>HYPERLINK("https://stock.pstatic.net/stock-research/company/34/20250801_company_589271000.pdf","PDF")</f>
        <v>PDF</v>
      </c>
      <c r="K10103" s="12" t="s">
        <v>18607</v>
      </c>
      <c r="L10103" s="20">
        <v>0.30522088353413662</v>
      </c>
    </row>
    <row r="10104" spans="1:12" x14ac:dyDescent="0.45">
      <c r="A10104" s="12" t="s">
        <v>18563</v>
      </c>
      <c r="B10104" s="12" t="s">
        <v>2492</v>
      </c>
      <c r="C10104" s="13" t="s">
        <v>2493</v>
      </c>
      <c r="D10104" s="13" t="s">
        <v>65</v>
      </c>
      <c r="E10104" s="12" t="s">
        <v>35</v>
      </c>
      <c r="F10104" s="14">
        <v>450000</v>
      </c>
      <c r="G10104" s="14">
        <v>359000</v>
      </c>
      <c r="H10104" s="13" t="s">
        <v>18608</v>
      </c>
      <c r="I10104" s="40" t="s">
        <v>18</v>
      </c>
      <c r="J10104" s="40" t="str">
        <f>HYPERLINK("https://stock.pstatic.net/stock-research/company/57/20250801_company_36495000.pdf","PDF")</f>
        <v>PDF</v>
      </c>
      <c r="K10104" s="12" t="s">
        <v>18609</v>
      </c>
      <c r="L10104" s="20">
        <v>0.25348189415041777</v>
      </c>
    </row>
    <row r="10105" spans="1:12" x14ac:dyDescent="0.45">
      <c r="A10105" s="12" t="s">
        <v>18563</v>
      </c>
      <c r="B10105" s="12" t="s">
        <v>2777</v>
      </c>
      <c r="C10105" s="13" t="s">
        <v>2778</v>
      </c>
      <c r="D10105" s="13" t="s">
        <v>60</v>
      </c>
      <c r="E10105" s="12" t="s">
        <v>35</v>
      </c>
      <c r="F10105" s="14">
        <v>210000</v>
      </c>
      <c r="G10105" s="14">
        <v>154100</v>
      </c>
      <c r="H10105" s="13" t="s">
        <v>18610</v>
      </c>
      <c r="I10105" s="40" t="s">
        <v>18</v>
      </c>
      <c r="J10105" s="40" t="str">
        <f>HYPERLINK("https://stock.pstatic.net/stock-research/company/34/20250801_company_990228000.pdf","PDF")</f>
        <v>PDF</v>
      </c>
      <c r="K10105" s="12" t="s">
        <v>18611</v>
      </c>
      <c r="L10105" s="20">
        <v>0.36275146009085008</v>
      </c>
    </row>
    <row r="10106" spans="1:12" x14ac:dyDescent="0.45">
      <c r="A10106" s="12" t="s">
        <v>18563</v>
      </c>
      <c r="B10106" s="12" t="s">
        <v>2982</v>
      </c>
      <c r="C10106" s="13" t="s">
        <v>2983</v>
      </c>
      <c r="D10106" s="13" t="s">
        <v>57</v>
      </c>
      <c r="E10106" s="12" t="s">
        <v>35</v>
      </c>
      <c r="F10106" s="14">
        <v>62000</v>
      </c>
      <c r="G10106" s="14">
        <v>47150</v>
      </c>
      <c r="H10106" s="13" t="s">
        <v>18612</v>
      </c>
      <c r="I10106" s="40" t="s">
        <v>18</v>
      </c>
      <c r="J10106" s="40" t="str">
        <f>HYPERLINK("https://stock.pstatic.net/stock-research/company/16/20250801_company_865021000.pdf","PDF")</f>
        <v>PDF</v>
      </c>
      <c r="K10106" s="12" t="s">
        <v>18613</v>
      </c>
      <c r="L10106" s="20">
        <v>0.31495227995758218</v>
      </c>
    </row>
    <row r="10107" spans="1:12" x14ac:dyDescent="0.45">
      <c r="A10107" s="12" t="s">
        <v>18563</v>
      </c>
      <c r="B10107" s="12" t="s">
        <v>2982</v>
      </c>
      <c r="C10107" s="13" t="s">
        <v>2983</v>
      </c>
      <c r="D10107" s="13" t="s">
        <v>60</v>
      </c>
      <c r="E10107" s="12" t="s">
        <v>35</v>
      </c>
      <c r="F10107" s="14">
        <v>66000</v>
      </c>
      <c r="G10107" s="14">
        <v>47150</v>
      </c>
      <c r="H10107" s="13" t="s">
        <v>18614</v>
      </c>
      <c r="I10107" s="40" t="s">
        <v>18</v>
      </c>
      <c r="J10107" s="40" t="str">
        <f>HYPERLINK("https://stock.pstatic.net/stock-research/company/34/20250801_company_211053000.pdf","PDF")</f>
        <v>PDF</v>
      </c>
      <c r="K10107" s="12" t="s">
        <v>18615</v>
      </c>
      <c r="L10107" s="20">
        <v>0.39978791092258747</v>
      </c>
    </row>
    <row r="10108" spans="1:12" x14ac:dyDescent="0.45">
      <c r="A10108" s="12" t="s">
        <v>18563</v>
      </c>
      <c r="B10108" s="12" t="s">
        <v>2944</v>
      </c>
      <c r="C10108" s="13" t="s">
        <v>2945</v>
      </c>
      <c r="D10108" s="13" t="s">
        <v>57</v>
      </c>
      <c r="E10108" s="12" t="s">
        <v>159</v>
      </c>
      <c r="F10108" s="14">
        <v>14000</v>
      </c>
      <c r="G10108" s="14">
        <v>14590</v>
      </c>
      <c r="H10108" s="13" t="s">
        <v>18616</v>
      </c>
      <c r="I10108" s="40" t="s">
        <v>18</v>
      </c>
      <c r="J10108" s="40" t="str">
        <f>HYPERLINK("https://stock.pstatic.net/stock-research/company/16/20250801_company_893332000.pdf","PDF")</f>
        <v>PDF</v>
      </c>
      <c r="K10108" s="12" t="s">
        <v>18617</v>
      </c>
      <c r="L10108" s="20">
        <v>-4.0438656614119259E-2</v>
      </c>
    </row>
    <row r="10109" spans="1:12" x14ac:dyDescent="0.45">
      <c r="A10109" s="12" t="s">
        <v>18563</v>
      </c>
      <c r="B10109" s="12" t="s">
        <v>450</v>
      </c>
      <c r="C10109" s="13" t="s">
        <v>451</v>
      </c>
      <c r="D10109" s="13" t="s">
        <v>60</v>
      </c>
      <c r="E10109" s="12" t="s">
        <v>35</v>
      </c>
      <c r="F10109" s="14">
        <v>370000</v>
      </c>
      <c r="G10109" s="14">
        <v>316000</v>
      </c>
      <c r="H10109" s="13" t="s">
        <v>18618</v>
      </c>
      <c r="I10109" s="40" t="s">
        <v>18</v>
      </c>
      <c r="J10109" s="40" t="str">
        <f>HYPERLINK("https://stock.pstatic.net/stock-research/company/34/20250801_company_836977000.pdf","PDF")</f>
        <v>PDF</v>
      </c>
      <c r="K10109" s="12" t="s">
        <v>18619</v>
      </c>
      <c r="L10109" s="20">
        <v>0.17088607594936711</v>
      </c>
    </row>
    <row r="10110" spans="1:12" x14ac:dyDescent="0.45">
      <c r="A10110" s="12" t="s">
        <v>18563</v>
      </c>
      <c r="B10110" s="12" t="s">
        <v>2369</v>
      </c>
      <c r="C10110" s="13" t="s">
        <v>2370</v>
      </c>
      <c r="D10110" s="13" t="s">
        <v>57</v>
      </c>
      <c r="E10110" s="12" t="s">
        <v>35</v>
      </c>
      <c r="F10110" s="14">
        <v>240000</v>
      </c>
      <c r="G10110" s="14">
        <v>201000</v>
      </c>
      <c r="H10110" s="13" t="s">
        <v>18620</v>
      </c>
      <c r="I10110" s="40" t="s">
        <v>18</v>
      </c>
      <c r="J10110" s="40" t="str">
        <f>HYPERLINK("https://stock.pstatic.net/stock-research/company/16/20250801_company_808369000.pdf","PDF")</f>
        <v>PDF</v>
      </c>
      <c r="K10110" s="12" t="s">
        <v>18621</v>
      </c>
      <c r="L10110" s="20">
        <v>0.19402985074626869</v>
      </c>
    </row>
    <row r="10111" spans="1:12" x14ac:dyDescent="0.45">
      <c r="A10111" s="12" t="s">
        <v>18563</v>
      </c>
      <c r="B10111" s="12" t="s">
        <v>1690</v>
      </c>
      <c r="C10111" s="13" t="s">
        <v>1691</v>
      </c>
      <c r="D10111" s="13" t="s">
        <v>57</v>
      </c>
      <c r="E10111" s="12" t="s">
        <v>159</v>
      </c>
      <c r="F10111" s="14">
        <v>120000</v>
      </c>
      <c r="G10111" s="14">
        <v>107900</v>
      </c>
      <c r="H10111" s="13" t="s">
        <v>18622</v>
      </c>
      <c r="I10111" s="40" t="s">
        <v>18</v>
      </c>
      <c r="J10111" s="40" t="str">
        <f>HYPERLINK("https://stock.pstatic.net/stock-research/company/16/20250801_company_265304000.pdf","PDF")</f>
        <v>PDF</v>
      </c>
      <c r="K10111" s="12" t="s">
        <v>18623</v>
      </c>
      <c r="L10111" s="20">
        <v>0.11214087117701579</v>
      </c>
    </row>
    <row r="10112" spans="1:12" x14ac:dyDescent="0.45">
      <c r="A10112" s="12" t="s">
        <v>18563</v>
      </c>
      <c r="B10112" s="12" t="s">
        <v>2758</v>
      </c>
      <c r="C10112" s="13" t="s">
        <v>2759</v>
      </c>
      <c r="D10112" s="13" t="s">
        <v>57</v>
      </c>
      <c r="E10112" s="12" t="s">
        <v>35</v>
      </c>
      <c r="F10112" s="14">
        <v>500000</v>
      </c>
      <c r="G10112" s="14">
        <v>308500</v>
      </c>
      <c r="H10112" s="13" t="s">
        <v>18624</v>
      </c>
      <c r="I10112" s="40" t="s">
        <v>18</v>
      </c>
      <c r="J10112" s="40" t="str">
        <f>HYPERLINK("https://stock.pstatic.net/stock-research/company/16/20250801_company_452515000.pdf","PDF")</f>
        <v>PDF</v>
      </c>
      <c r="K10112" s="12" t="s">
        <v>18625</v>
      </c>
      <c r="L10112" s="20">
        <v>0.62074554294975692</v>
      </c>
    </row>
    <row r="10113" spans="1:12" x14ac:dyDescent="0.45">
      <c r="A10113" s="12" t="s">
        <v>18563</v>
      </c>
      <c r="B10113" s="12" t="s">
        <v>450</v>
      </c>
      <c r="C10113" s="13" t="s">
        <v>451</v>
      </c>
      <c r="D10113" s="13" t="s">
        <v>57</v>
      </c>
      <c r="E10113" s="12" t="s">
        <v>159</v>
      </c>
      <c r="F10113" s="14">
        <v>300000</v>
      </c>
      <c r="G10113" s="14">
        <v>316000</v>
      </c>
      <c r="H10113" s="13" t="s">
        <v>18626</v>
      </c>
      <c r="I10113" s="40" t="s">
        <v>18</v>
      </c>
      <c r="J10113" s="40" t="str">
        <f>HYPERLINK("https://stock.pstatic.net/stock-research/company/16/20250801_company_676775000.pdf","PDF")</f>
        <v>PDF</v>
      </c>
      <c r="K10113" s="12" t="s">
        <v>18627</v>
      </c>
      <c r="L10113" s="20">
        <v>-5.0632911392405063E-2</v>
      </c>
    </row>
    <row r="10114" spans="1:12" x14ac:dyDescent="0.45">
      <c r="A10114" s="12" t="s">
        <v>18563</v>
      </c>
      <c r="B10114" s="12" t="s">
        <v>170</v>
      </c>
      <c r="C10114" s="13" t="s">
        <v>171</v>
      </c>
      <c r="D10114" s="13" t="s">
        <v>57</v>
      </c>
      <c r="E10114" s="12" t="s">
        <v>35</v>
      </c>
      <c r="F10114" s="14">
        <v>94000</v>
      </c>
      <c r="G10114" s="14">
        <v>69900</v>
      </c>
      <c r="H10114" s="13" t="s">
        <v>18628</v>
      </c>
      <c r="I10114" s="40" t="s">
        <v>18</v>
      </c>
      <c r="J10114" s="40" t="str">
        <f>HYPERLINK("https://stock.pstatic.net/stock-research/company/16/20250801_company_325974000.pdf","PDF")</f>
        <v>PDF</v>
      </c>
      <c r="K10114" s="12" t="s">
        <v>18629</v>
      </c>
      <c r="L10114" s="20">
        <v>0.34477825464949929</v>
      </c>
    </row>
    <row r="10115" spans="1:12" x14ac:dyDescent="0.45">
      <c r="A10115" s="12" t="s">
        <v>18563</v>
      </c>
      <c r="B10115" s="12" t="s">
        <v>1548</v>
      </c>
      <c r="C10115" s="13" t="s">
        <v>1549</v>
      </c>
      <c r="D10115" s="13" t="s">
        <v>57</v>
      </c>
      <c r="E10115" s="12" t="s">
        <v>35</v>
      </c>
      <c r="F10115" s="14">
        <v>1350000</v>
      </c>
      <c r="G10115" s="14">
        <v>996000</v>
      </c>
      <c r="H10115" s="13" t="s">
        <v>18630</v>
      </c>
      <c r="I10115" s="40" t="s">
        <v>18</v>
      </c>
      <c r="J10115" s="40" t="str">
        <f>HYPERLINK("https://stock.pstatic.net/stock-research/company/16/20250801_company_583546000.pdf","PDF")</f>
        <v>PDF</v>
      </c>
      <c r="K10115" s="12" t="s">
        <v>18631</v>
      </c>
      <c r="L10115" s="20">
        <v>0.35542168674698787</v>
      </c>
    </row>
    <row r="10116" spans="1:12" x14ac:dyDescent="0.45">
      <c r="A10116" s="12" t="s">
        <v>18563</v>
      </c>
      <c r="B10116" s="12" t="s">
        <v>13</v>
      </c>
      <c r="C10116" s="13" t="s">
        <v>14</v>
      </c>
      <c r="D10116" s="13" t="s">
        <v>57</v>
      </c>
      <c r="E10116" s="12" t="s">
        <v>35</v>
      </c>
      <c r="F10116" s="14">
        <v>84000</v>
      </c>
      <c r="G10116" s="14">
        <v>71400</v>
      </c>
      <c r="H10116" s="13" t="s">
        <v>18632</v>
      </c>
      <c r="I10116" s="40" t="s">
        <v>18</v>
      </c>
      <c r="J10116" s="40" t="str">
        <f>HYPERLINK("https://stock.pstatic.net/stock-research/company/16/20250801_company_201699000.pdf","PDF")</f>
        <v>PDF</v>
      </c>
      <c r="K10116" s="12" t="s">
        <v>18633</v>
      </c>
      <c r="L10116" s="20">
        <v>0.1764705882352941</v>
      </c>
    </row>
    <row r="10117" spans="1:12" x14ac:dyDescent="0.45">
      <c r="A10117" s="12" t="s">
        <v>18563</v>
      </c>
      <c r="B10117" s="12" t="s">
        <v>565</v>
      </c>
      <c r="C10117" s="13" t="s">
        <v>566</v>
      </c>
      <c r="D10117" s="13" t="s">
        <v>158</v>
      </c>
      <c r="E10117" s="12" t="s">
        <v>50</v>
      </c>
      <c r="F10117" s="13"/>
      <c r="G10117" s="14">
        <v>23800</v>
      </c>
      <c r="H10117" s="13" t="s">
        <v>18634</v>
      </c>
      <c r="I10117" s="40" t="s">
        <v>18</v>
      </c>
      <c r="J10117" s="40" t="str">
        <f>HYPERLINK("https://stock.pstatic.net/stock-research/company/18/20250801_company_475431000.pdf","PDF")</f>
        <v>PDF</v>
      </c>
      <c r="K10117" s="12" t="s">
        <v>18635</v>
      </c>
    </row>
    <row r="10118" spans="1:12" x14ac:dyDescent="0.45">
      <c r="A10118" s="12" t="s">
        <v>18563</v>
      </c>
      <c r="B10118" s="12" t="s">
        <v>450</v>
      </c>
      <c r="C10118" s="13" t="s">
        <v>451</v>
      </c>
      <c r="D10118" s="13" t="s">
        <v>158</v>
      </c>
      <c r="E10118" s="12" t="s">
        <v>159</v>
      </c>
      <c r="F10118" s="14">
        <v>320000</v>
      </c>
      <c r="G10118" s="14">
        <v>316000</v>
      </c>
      <c r="H10118" s="13" t="s">
        <v>18636</v>
      </c>
      <c r="I10118" s="40" t="s">
        <v>18</v>
      </c>
      <c r="J10118" s="40" t="str">
        <f>HYPERLINK("https://stock.pstatic.net/stock-research/company/18/20250801_company_960118000.pdf","PDF")</f>
        <v>PDF</v>
      </c>
      <c r="K10118" s="12" t="s">
        <v>18637</v>
      </c>
      <c r="L10118" s="20">
        <v>1.2658227848101271E-2</v>
      </c>
    </row>
    <row r="10119" spans="1:12" x14ac:dyDescent="0.45">
      <c r="A10119" s="12" t="s">
        <v>18563</v>
      </c>
      <c r="B10119" s="12" t="s">
        <v>13</v>
      </c>
      <c r="C10119" s="13" t="s">
        <v>14</v>
      </c>
      <c r="D10119" s="13" t="s">
        <v>158</v>
      </c>
      <c r="E10119" s="12" t="s">
        <v>35</v>
      </c>
      <c r="F10119" s="14">
        <v>84000</v>
      </c>
      <c r="G10119" s="14">
        <v>71400</v>
      </c>
      <c r="H10119" s="13" t="s">
        <v>18638</v>
      </c>
      <c r="I10119" s="40" t="s">
        <v>18</v>
      </c>
      <c r="J10119" s="40" t="str">
        <f>HYPERLINK("https://stock.pstatic.net/stock-research/company/18/20250801_company_523689000.pdf","PDF")</f>
        <v>PDF</v>
      </c>
      <c r="K10119" s="12" t="s">
        <v>18639</v>
      </c>
      <c r="L10119" s="20">
        <v>0.1764705882352941</v>
      </c>
    </row>
    <row r="10120" spans="1:12" x14ac:dyDescent="0.45">
      <c r="A10120" s="12" t="s">
        <v>18563</v>
      </c>
      <c r="B10120" s="12" t="s">
        <v>2492</v>
      </c>
      <c r="C10120" s="13" t="s">
        <v>2493</v>
      </c>
      <c r="D10120" s="13" t="s">
        <v>158</v>
      </c>
      <c r="E10120" s="12" t="s">
        <v>35</v>
      </c>
      <c r="F10120" s="14">
        <v>494000</v>
      </c>
      <c r="G10120" s="14">
        <v>359000</v>
      </c>
      <c r="H10120" s="13" t="s">
        <v>18640</v>
      </c>
      <c r="I10120" s="40" t="s">
        <v>18</v>
      </c>
      <c r="J10120" s="40" t="str">
        <f>HYPERLINK("https://stock.pstatic.net/stock-research/company/18/20250801_company_874831000.pdf","PDF")</f>
        <v>PDF</v>
      </c>
      <c r="K10120" s="12" t="s">
        <v>18641</v>
      </c>
      <c r="L10120" s="20">
        <v>0.37604456824512528</v>
      </c>
    </row>
    <row r="10121" spans="1:12" x14ac:dyDescent="0.45">
      <c r="A10121" s="12" t="s">
        <v>18563</v>
      </c>
      <c r="B10121" s="12" t="s">
        <v>13410</v>
      </c>
      <c r="C10121" s="13" t="s">
        <v>13411</v>
      </c>
      <c r="D10121" s="13" t="s">
        <v>158</v>
      </c>
      <c r="E10121" s="12" t="s">
        <v>35</v>
      </c>
      <c r="F10121" s="14">
        <v>254000</v>
      </c>
      <c r="G10121" s="14">
        <v>212000</v>
      </c>
      <c r="H10121" s="13" t="s">
        <v>18642</v>
      </c>
      <c r="I10121" s="40" t="s">
        <v>18</v>
      </c>
      <c r="J10121" s="40" t="str">
        <f>HYPERLINK("https://stock.pstatic.net/stock-research/company/18/20250801_company_793776000.pdf","PDF")</f>
        <v>PDF</v>
      </c>
      <c r="K10121" s="12" t="s">
        <v>18643</v>
      </c>
      <c r="L10121" s="20">
        <v>0.1981132075471698</v>
      </c>
    </row>
    <row r="10122" spans="1:12" x14ac:dyDescent="0.45">
      <c r="A10122" s="12" t="s">
        <v>18563</v>
      </c>
      <c r="B10122" s="12" t="s">
        <v>2435</v>
      </c>
      <c r="C10122" s="13" t="s">
        <v>2436</v>
      </c>
      <c r="D10122" s="13" t="s">
        <v>158</v>
      </c>
      <c r="E10122" s="12" t="s">
        <v>35</v>
      </c>
      <c r="F10122" s="14">
        <v>573000</v>
      </c>
      <c r="G10122" s="14">
        <v>490500</v>
      </c>
      <c r="H10122" s="13" t="s">
        <v>18644</v>
      </c>
      <c r="I10122" s="40" t="s">
        <v>18</v>
      </c>
      <c r="J10122" s="40" t="str">
        <f>HYPERLINK("https://stock.pstatic.net/stock-research/company/18/20250801_company_571441000.pdf","PDF")</f>
        <v>PDF</v>
      </c>
      <c r="K10122" s="12" t="s">
        <v>18645</v>
      </c>
      <c r="L10122" s="20">
        <v>0.16819571865443431</v>
      </c>
    </row>
    <row r="10123" spans="1:12" x14ac:dyDescent="0.45">
      <c r="A10123" s="12" t="s">
        <v>18563</v>
      </c>
      <c r="B10123" s="12" t="s">
        <v>2758</v>
      </c>
      <c r="C10123" s="13" t="s">
        <v>2759</v>
      </c>
      <c r="D10123" s="13" t="s">
        <v>158</v>
      </c>
      <c r="E10123" s="12" t="s">
        <v>35</v>
      </c>
      <c r="F10123" s="14">
        <v>440000</v>
      </c>
      <c r="G10123" s="14">
        <v>308500</v>
      </c>
      <c r="H10123" s="13" t="s">
        <v>18646</v>
      </c>
      <c r="I10123" s="40" t="s">
        <v>18</v>
      </c>
      <c r="J10123" s="40" t="str">
        <f>HYPERLINK("https://stock.pstatic.net/stock-research/company/18/20250801_company_810694000.pdf","PDF")</f>
        <v>PDF</v>
      </c>
      <c r="K10123" s="12" t="s">
        <v>18647</v>
      </c>
      <c r="L10123" s="20">
        <v>0.42625607779578611</v>
      </c>
    </row>
    <row r="10124" spans="1:12" x14ac:dyDescent="0.45">
      <c r="A10124" s="12" t="s">
        <v>18563</v>
      </c>
      <c r="B10124" s="12" t="s">
        <v>2795</v>
      </c>
      <c r="C10124" s="13" t="s">
        <v>2796</v>
      </c>
      <c r="D10124" s="13" t="s">
        <v>158</v>
      </c>
      <c r="E10124" s="12" t="s">
        <v>35</v>
      </c>
      <c r="F10124" s="14">
        <v>5200</v>
      </c>
      <c r="G10124" s="14">
        <v>4210</v>
      </c>
      <c r="H10124" s="13" t="s">
        <v>18648</v>
      </c>
      <c r="I10124" s="40" t="s">
        <v>18</v>
      </c>
      <c r="J10124" s="40" t="str">
        <f>HYPERLINK("https://stock.pstatic.net/stock-research/company/1/20250801_company_462149000.pdf","PDF")</f>
        <v>PDF</v>
      </c>
      <c r="K10124" s="12" t="s">
        <v>18649</v>
      </c>
      <c r="L10124" s="20">
        <v>0.23515439429928739</v>
      </c>
    </row>
    <row r="10125" spans="1:12" x14ac:dyDescent="0.45">
      <c r="A10125" s="12" t="s">
        <v>18563</v>
      </c>
      <c r="B10125" s="12" t="s">
        <v>2837</v>
      </c>
      <c r="C10125" s="13" t="s">
        <v>2838</v>
      </c>
      <c r="D10125" s="13" t="s">
        <v>15</v>
      </c>
      <c r="E10125" s="12" t="s">
        <v>385</v>
      </c>
      <c r="F10125" s="14">
        <v>54000</v>
      </c>
      <c r="G10125" s="14">
        <v>59400</v>
      </c>
      <c r="H10125" s="13" t="s">
        <v>18650</v>
      </c>
      <c r="I10125" s="40" t="s">
        <v>18</v>
      </c>
      <c r="J10125" s="40" t="str">
        <f>HYPERLINK("https://stock.pstatic.net/stock-research/company/29/20250801_company_87689000.pdf","PDF")</f>
        <v>PDF</v>
      </c>
      <c r="K10125" s="12" t="s">
        <v>18651</v>
      </c>
      <c r="L10125" s="20">
        <v>-9.0909090909090912E-2</v>
      </c>
    </row>
    <row r="10126" spans="1:12" x14ac:dyDescent="0.45">
      <c r="A10126" s="12" t="s">
        <v>18563</v>
      </c>
      <c r="B10126" s="12" t="s">
        <v>170</v>
      </c>
      <c r="C10126" s="13" t="s">
        <v>171</v>
      </c>
      <c r="D10126" s="13" t="s">
        <v>15</v>
      </c>
      <c r="E10126" s="12" t="s">
        <v>16</v>
      </c>
      <c r="F10126" s="14">
        <v>100000</v>
      </c>
      <c r="G10126" s="14">
        <v>69900</v>
      </c>
      <c r="H10126" s="13" t="s">
        <v>18652</v>
      </c>
      <c r="I10126" s="40" t="s">
        <v>18</v>
      </c>
      <c r="J10126" s="40" t="str">
        <f>HYPERLINK("https://stock.pstatic.net/stock-research/company/56/20250801_company_970013000.pdf","PDF")</f>
        <v>PDF</v>
      </c>
      <c r="K10126" s="12" t="s">
        <v>18653</v>
      </c>
      <c r="L10126" s="20">
        <v>0.43061516452074389</v>
      </c>
    </row>
    <row r="10127" spans="1:12" x14ac:dyDescent="0.45">
      <c r="A10127" s="12" t="s">
        <v>18563</v>
      </c>
      <c r="B10127" s="12" t="s">
        <v>450</v>
      </c>
      <c r="C10127" s="13" t="s">
        <v>451</v>
      </c>
      <c r="D10127" s="13" t="s">
        <v>15</v>
      </c>
      <c r="E10127" s="12" t="s">
        <v>385</v>
      </c>
      <c r="F10127" s="14">
        <v>290000</v>
      </c>
      <c r="G10127" s="14">
        <v>316000</v>
      </c>
      <c r="H10127" s="13" t="s">
        <v>18654</v>
      </c>
      <c r="I10127" s="40" t="s">
        <v>18</v>
      </c>
      <c r="J10127" s="40" t="str">
        <f>HYPERLINK("https://stock.pstatic.net/stock-research/company/29/20250801_company_707713000.pdf","PDF")</f>
        <v>PDF</v>
      </c>
      <c r="K10127" s="12" t="s">
        <v>18655</v>
      </c>
      <c r="L10127" s="20">
        <v>-8.2278481012658222E-2</v>
      </c>
    </row>
    <row r="10128" spans="1:12" x14ac:dyDescent="0.45">
      <c r="A10128" s="12" t="s">
        <v>18563</v>
      </c>
      <c r="B10128" s="12" t="s">
        <v>2758</v>
      </c>
      <c r="C10128" s="13" t="s">
        <v>2759</v>
      </c>
      <c r="D10128" s="13" t="s">
        <v>15</v>
      </c>
      <c r="E10128" s="12" t="s">
        <v>16</v>
      </c>
      <c r="F10128" s="14">
        <v>430000</v>
      </c>
      <c r="G10128" s="14">
        <v>308500</v>
      </c>
      <c r="H10128" s="13" t="s">
        <v>18656</v>
      </c>
      <c r="I10128" s="40" t="s">
        <v>18</v>
      </c>
      <c r="J10128" s="40" t="str">
        <f>HYPERLINK("https://stock.pstatic.net/stock-research/company/29/20250801_company_435415000.pdf","PDF")</f>
        <v>PDF</v>
      </c>
      <c r="K10128" s="12" t="s">
        <v>18657</v>
      </c>
      <c r="L10128" s="20">
        <v>0.39384116693679089</v>
      </c>
    </row>
    <row r="10129" spans="1:12" x14ac:dyDescent="0.45">
      <c r="A10129" s="12" t="s">
        <v>18563</v>
      </c>
      <c r="B10129" s="12" t="s">
        <v>856</v>
      </c>
      <c r="C10129" s="13" t="s">
        <v>857</v>
      </c>
      <c r="D10129" s="13" t="s">
        <v>179</v>
      </c>
      <c r="E10129" s="12" t="s">
        <v>16</v>
      </c>
      <c r="F10129" s="14">
        <v>210000</v>
      </c>
      <c r="G10129" s="14">
        <v>147200</v>
      </c>
      <c r="H10129" s="13" t="s">
        <v>18658</v>
      </c>
      <c r="I10129" s="40" t="s">
        <v>18</v>
      </c>
      <c r="J10129" s="40" t="str">
        <f>HYPERLINK("https://stock.pstatic.net/stock-research/company/31/20250801_company_765548000.pdf","PDF")</f>
        <v>PDF</v>
      </c>
      <c r="K10129" s="12" t="s">
        <v>18659</v>
      </c>
      <c r="L10129" s="20">
        <v>0.4266304347826087</v>
      </c>
    </row>
    <row r="10130" spans="1:12" x14ac:dyDescent="0.45">
      <c r="A10130" s="12" t="s">
        <v>18563</v>
      </c>
      <c r="B10130" s="12" t="s">
        <v>13</v>
      </c>
      <c r="C10130" s="13" t="s">
        <v>14</v>
      </c>
      <c r="D10130" s="13" t="s">
        <v>15</v>
      </c>
      <c r="E10130" s="12" t="s">
        <v>16</v>
      </c>
      <c r="F10130" s="14">
        <v>88000</v>
      </c>
      <c r="G10130" s="14">
        <v>71400</v>
      </c>
      <c r="H10130" s="13" t="s">
        <v>18660</v>
      </c>
      <c r="I10130" s="40" t="s">
        <v>18</v>
      </c>
      <c r="J10130" s="40" t="str">
        <f>HYPERLINK("https://stock.pstatic.net/stock-research/company/29/20250801_company_998624000.pdf","PDF")</f>
        <v>PDF</v>
      </c>
      <c r="K10130" s="12" t="s">
        <v>18661</v>
      </c>
      <c r="L10130" s="20">
        <v>0.23249299719887959</v>
      </c>
    </row>
    <row r="10131" spans="1:12" x14ac:dyDescent="0.45">
      <c r="A10131" s="12" t="s">
        <v>18563</v>
      </c>
      <c r="B10131" s="12" t="s">
        <v>2369</v>
      </c>
      <c r="C10131" s="13" t="s">
        <v>2370</v>
      </c>
      <c r="D10131" s="13" t="s">
        <v>179</v>
      </c>
      <c r="E10131" s="12" t="s">
        <v>16</v>
      </c>
      <c r="F10131" s="14">
        <v>250000</v>
      </c>
      <c r="G10131" s="14">
        <v>201000</v>
      </c>
      <c r="H10131" s="13" t="s">
        <v>18662</v>
      </c>
      <c r="I10131" s="40" t="s">
        <v>18</v>
      </c>
      <c r="J10131" s="40" t="str">
        <f>HYPERLINK("https://stock.pstatic.net/stock-research/company/31/20250801_company_377713000.pdf","PDF")</f>
        <v>PDF</v>
      </c>
      <c r="K10131" s="12" t="s">
        <v>18663</v>
      </c>
      <c r="L10131" s="20">
        <v>0.24378109452736321</v>
      </c>
    </row>
    <row r="10132" spans="1:12" x14ac:dyDescent="0.45">
      <c r="A10132" s="12" t="s">
        <v>18563</v>
      </c>
      <c r="B10132" s="12" t="s">
        <v>2369</v>
      </c>
      <c r="C10132" s="13" t="s">
        <v>2370</v>
      </c>
      <c r="D10132" s="13" t="s">
        <v>15</v>
      </c>
      <c r="E10132" s="12" t="s">
        <v>16</v>
      </c>
      <c r="F10132" s="14">
        <v>280000</v>
      </c>
      <c r="G10132" s="14">
        <v>201000</v>
      </c>
      <c r="H10132" s="13" t="s">
        <v>18664</v>
      </c>
      <c r="I10132" s="40" t="s">
        <v>18</v>
      </c>
      <c r="J10132" s="40" t="str">
        <f>HYPERLINK("https://stock.pstatic.net/stock-research/company/29/20250801_company_109358000.pdf","PDF")</f>
        <v>PDF</v>
      </c>
      <c r="K10132" s="12" t="s">
        <v>18665</v>
      </c>
      <c r="L10132" s="20">
        <v>0.39303482587064681</v>
      </c>
    </row>
    <row r="10133" spans="1:12" x14ac:dyDescent="0.45">
      <c r="A10133" s="12" t="s">
        <v>18563</v>
      </c>
      <c r="B10133" s="12" t="s">
        <v>32</v>
      </c>
      <c r="C10133" s="13" t="s">
        <v>33</v>
      </c>
      <c r="D10133" s="13" t="s">
        <v>179</v>
      </c>
      <c r="E10133" s="12" t="s">
        <v>16</v>
      </c>
      <c r="F10133" s="14">
        <v>187000</v>
      </c>
      <c r="G10133" s="14">
        <v>148700</v>
      </c>
      <c r="H10133" s="13" t="s">
        <v>18666</v>
      </c>
      <c r="I10133" s="40" t="s">
        <v>18</v>
      </c>
      <c r="J10133" s="40" t="str">
        <f>HYPERLINK("https://stock.pstatic.net/stock-research/company/31/20250801_company_220423000.pdf","PDF")</f>
        <v>PDF</v>
      </c>
      <c r="K10133" s="12" t="s">
        <v>18667</v>
      </c>
      <c r="L10133" s="20">
        <v>0.25756556825823812</v>
      </c>
    </row>
    <row r="10134" spans="1:12" x14ac:dyDescent="0.45">
      <c r="A10134" s="12" t="s">
        <v>18563</v>
      </c>
      <c r="B10134" s="12" t="s">
        <v>2982</v>
      </c>
      <c r="C10134" s="13" t="s">
        <v>2983</v>
      </c>
      <c r="D10134" s="13" t="s">
        <v>15</v>
      </c>
      <c r="E10134" s="12" t="s">
        <v>16</v>
      </c>
      <c r="F10134" s="14">
        <v>67000</v>
      </c>
      <c r="G10134" s="14">
        <v>47150</v>
      </c>
      <c r="H10134" s="13" t="s">
        <v>18668</v>
      </c>
      <c r="I10134" s="40" t="s">
        <v>18</v>
      </c>
      <c r="J10134" s="40" t="str">
        <f>HYPERLINK("https://stock.pstatic.net/stock-research/company/29/20250801_company_468164000.pdf","PDF")</f>
        <v>PDF</v>
      </c>
      <c r="K10134" s="12" t="s">
        <v>18669</v>
      </c>
      <c r="L10134" s="20">
        <v>0.42099681866383881</v>
      </c>
    </row>
    <row r="10135" spans="1:12" x14ac:dyDescent="0.45">
      <c r="A10135" s="12" t="s">
        <v>18563</v>
      </c>
      <c r="B10135" s="12" t="s">
        <v>14332</v>
      </c>
      <c r="C10135" s="13" t="s">
        <v>14333</v>
      </c>
      <c r="D10135" s="13" t="s">
        <v>179</v>
      </c>
      <c r="E10135" s="12" t="s">
        <v>50</v>
      </c>
      <c r="F10135" s="13"/>
      <c r="G10135" s="13"/>
      <c r="H10135" s="13" t="s">
        <v>18670</v>
      </c>
      <c r="I10135" s="40" t="s">
        <v>18</v>
      </c>
      <c r="J10135" s="40" t="str">
        <f>HYPERLINK("https://stock.pstatic.net/stock-research/company/31/20250801_company_644161000.pdf","PDF")</f>
        <v>PDF</v>
      </c>
      <c r="K10135" s="12" t="s">
        <v>18671</v>
      </c>
    </row>
    <row r="10136" spans="1:12" x14ac:dyDescent="0.45">
      <c r="A10136" s="12" t="s">
        <v>18563</v>
      </c>
      <c r="B10136" s="12" t="s">
        <v>13</v>
      </c>
      <c r="C10136" s="13" t="s">
        <v>14</v>
      </c>
      <c r="D10136" s="13" t="s">
        <v>92</v>
      </c>
      <c r="E10136" s="12" t="s">
        <v>35</v>
      </c>
      <c r="F10136" s="14">
        <v>84000</v>
      </c>
      <c r="G10136" s="14">
        <v>71400</v>
      </c>
      <c r="H10136" s="13" t="s">
        <v>18672</v>
      </c>
      <c r="I10136" s="40" t="s">
        <v>18</v>
      </c>
      <c r="J10136" s="40" t="str">
        <f>HYPERLINK("https://stock.pstatic.net/stock-research/company/63/20250801_company_590091000.pdf","PDF")</f>
        <v>PDF</v>
      </c>
      <c r="K10136" s="12" t="s">
        <v>18673</v>
      </c>
      <c r="L10136" s="20">
        <v>0.1764705882352941</v>
      </c>
    </row>
    <row r="10137" spans="1:12" x14ac:dyDescent="0.45">
      <c r="A10137" s="12" t="s">
        <v>18563</v>
      </c>
      <c r="B10137" s="12" t="s">
        <v>1548</v>
      </c>
      <c r="C10137" s="13" t="s">
        <v>1549</v>
      </c>
      <c r="D10137" s="13" t="s">
        <v>15</v>
      </c>
      <c r="E10137" s="12" t="s">
        <v>16</v>
      </c>
      <c r="F10137" s="14">
        <v>1400000</v>
      </c>
      <c r="G10137" s="14">
        <v>996000</v>
      </c>
      <c r="H10137" s="13" t="s">
        <v>18674</v>
      </c>
      <c r="I10137" s="40" t="s">
        <v>18</v>
      </c>
      <c r="J10137" s="40" t="str">
        <f>HYPERLINK("https://stock.pstatic.net/stock-research/company/29/20250801_company_328315000.pdf","PDF")</f>
        <v>PDF</v>
      </c>
      <c r="K10137" s="12" t="s">
        <v>18675</v>
      </c>
      <c r="L10137" s="20">
        <v>0.40562248995983929</v>
      </c>
    </row>
    <row r="10138" spans="1:12" x14ac:dyDescent="0.45">
      <c r="A10138" s="12" t="s">
        <v>18563</v>
      </c>
      <c r="B10138" s="12" t="s">
        <v>2944</v>
      </c>
      <c r="C10138" s="13" t="s">
        <v>2945</v>
      </c>
      <c r="D10138" s="13" t="s">
        <v>179</v>
      </c>
      <c r="E10138" s="12" t="s">
        <v>50</v>
      </c>
      <c r="F10138" s="13"/>
      <c r="G10138" s="13"/>
      <c r="H10138" s="13" t="s">
        <v>18676</v>
      </c>
      <c r="I10138" s="40" t="s">
        <v>18</v>
      </c>
      <c r="J10138" s="40" t="str">
        <f>HYPERLINK("https://stock.pstatic.net/stock-research/company/31/20250801_company_521713000.pdf","PDF")</f>
        <v>PDF</v>
      </c>
      <c r="K10138" s="12" t="s">
        <v>18677</v>
      </c>
    </row>
    <row r="10139" spans="1:12" x14ac:dyDescent="0.45">
      <c r="A10139" s="12" t="s">
        <v>18563</v>
      </c>
      <c r="B10139" s="12" t="s">
        <v>81</v>
      </c>
      <c r="C10139" s="13" t="s">
        <v>82</v>
      </c>
      <c r="D10139" s="13" t="s">
        <v>179</v>
      </c>
      <c r="E10139" s="12" t="s">
        <v>385</v>
      </c>
      <c r="F10139" s="14">
        <v>22000</v>
      </c>
      <c r="G10139" s="14">
        <v>20200</v>
      </c>
      <c r="H10139" s="13" t="s">
        <v>18678</v>
      </c>
      <c r="I10139" s="40" t="s">
        <v>18</v>
      </c>
      <c r="J10139" s="40" t="str">
        <f>HYPERLINK("https://stock.pstatic.net/stock-research/company/31/20250801_company_852473000.pdf","PDF")</f>
        <v>PDF</v>
      </c>
      <c r="K10139" s="12" t="s">
        <v>18679</v>
      </c>
      <c r="L10139" s="20">
        <v>8.9108910891089105E-2</v>
      </c>
    </row>
    <row r="10140" spans="1:12" x14ac:dyDescent="0.45">
      <c r="A10140" s="12" t="s">
        <v>18563</v>
      </c>
      <c r="B10140" s="12" t="s">
        <v>1548</v>
      </c>
      <c r="C10140" s="13" t="s">
        <v>1549</v>
      </c>
      <c r="D10140" s="13" t="s">
        <v>92</v>
      </c>
      <c r="E10140" s="12" t="s">
        <v>35</v>
      </c>
      <c r="F10140" s="14">
        <v>1280000</v>
      </c>
      <c r="G10140" s="14">
        <v>996000</v>
      </c>
      <c r="H10140" s="13" t="s">
        <v>18680</v>
      </c>
      <c r="I10140" s="40" t="s">
        <v>18</v>
      </c>
      <c r="J10140" s="40" t="str">
        <f>HYPERLINK("https://stock.pstatic.net/stock-research/company/63/20250801_company_751224000.pdf","PDF")</f>
        <v>PDF</v>
      </c>
      <c r="K10140" s="12" t="s">
        <v>18681</v>
      </c>
      <c r="L10140" s="20">
        <v>0.28514056224899598</v>
      </c>
    </row>
    <row r="10141" spans="1:12" x14ac:dyDescent="0.45">
      <c r="A10141" s="12" t="s">
        <v>18563</v>
      </c>
      <c r="B10141" s="12" t="s">
        <v>2795</v>
      </c>
      <c r="C10141" s="13" t="s">
        <v>2796</v>
      </c>
      <c r="D10141" s="13" t="s">
        <v>15</v>
      </c>
      <c r="E10141" s="12" t="s">
        <v>16</v>
      </c>
      <c r="F10141" s="14">
        <v>5500</v>
      </c>
      <c r="G10141" s="14">
        <v>4210</v>
      </c>
      <c r="H10141" s="13" t="s">
        <v>18682</v>
      </c>
      <c r="I10141" s="40" t="s">
        <v>18</v>
      </c>
      <c r="J10141" s="40" t="str">
        <f>HYPERLINK("https://stock.pstatic.net/stock-research/company/29/20250801_company_789805000.pdf","PDF")</f>
        <v>PDF</v>
      </c>
      <c r="K10141" s="12" t="s">
        <v>18683</v>
      </c>
      <c r="L10141" s="20">
        <v>0.30641330166270792</v>
      </c>
    </row>
    <row r="10142" spans="1:12" x14ac:dyDescent="0.45">
      <c r="A10142" s="12" t="s">
        <v>18563</v>
      </c>
      <c r="B10142" s="12" t="s">
        <v>170</v>
      </c>
      <c r="C10142" s="13" t="s">
        <v>171</v>
      </c>
      <c r="D10142" s="13" t="s">
        <v>179</v>
      </c>
      <c r="E10142" s="12" t="s">
        <v>16</v>
      </c>
      <c r="F10142" s="14">
        <v>100000</v>
      </c>
      <c r="G10142" s="14">
        <v>69900</v>
      </c>
      <c r="H10142" s="13" t="s">
        <v>18684</v>
      </c>
      <c r="I10142" s="40" t="s">
        <v>18</v>
      </c>
      <c r="J10142" s="40" t="str">
        <f>HYPERLINK("https://stock.pstatic.net/stock-research/company/31/20250801_company_523844000.pdf","PDF")</f>
        <v>PDF</v>
      </c>
      <c r="K10142" s="12" t="s">
        <v>18685</v>
      </c>
      <c r="L10142" s="20">
        <v>0.43061516452074389</v>
      </c>
    </row>
    <row r="10143" spans="1:12" x14ac:dyDescent="0.45">
      <c r="A10143" s="12" t="s">
        <v>18563</v>
      </c>
      <c r="B10143" s="12" t="s">
        <v>1548</v>
      </c>
      <c r="C10143" s="13" t="s">
        <v>1549</v>
      </c>
      <c r="D10143" s="13" t="s">
        <v>23</v>
      </c>
      <c r="E10143" s="12" t="s">
        <v>16</v>
      </c>
      <c r="F10143" s="14">
        <v>1230000</v>
      </c>
      <c r="G10143" s="14">
        <v>996000</v>
      </c>
      <c r="H10143" s="13" t="s">
        <v>18686</v>
      </c>
      <c r="I10143" s="40" t="s">
        <v>18</v>
      </c>
      <c r="J10143" s="40" t="str">
        <f>HYPERLINK("https://stock.pstatic.net/stock-research/company/21/20250801_company_847491000.pdf","PDF")</f>
        <v>PDF</v>
      </c>
      <c r="K10143" s="12" t="s">
        <v>18687</v>
      </c>
      <c r="L10143" s="20">
        <v>0.23493975903614461</v>
      </c>
    </row>
    <row r="10144" spans="1:12" x14ac:dyDescent="0.45">
      <c r="A10144" s="12" t="s">
        <v>18563</v>
      </c>
      <c r="B10144" s="12" t="s">
        <v>5654</v>
      </c>
      <c r="C10144" s="13" t="s">
        <v>5655</v>
      </c>
      <c r="D10144" s="13" t="s">
        <v>53</v>
      </c>
      <c r="E10144" s="12" t="s">
        <v>16</v>
      </c>
      <c r="F10144" s="14">
        <v>18000</v>
      </c>
      <c r="G10144" s="14">
        <v>13080</v>
      </c>
      <c r="H10144" s="13" t="s">
        <v>18688</v>
      </c>
      <c r="I10144" s="40" t="s">
        <v>18</v>
      </c>
      <c r="J10144" s="40" t="str">
        <f>HYPERLINK("https://stock.pstatic.net/stock-research/company/40/20250801_company_454244000.pdf","PDF")</f>
        <v>PDF</v>
      </c>
      <c r="K10144" s="12" t="s">
        <v>18689</v>
      </c>
      <c r="L10144" s="20">
        <v>0.37614678899082571</v>
      </c>
    </row>
    <row r="10145" spans="1:12" x14ac:dyDescent="0.45">
      <c r="A10145" s="12" t="s">
        <v>18563</v>
      </c>
      <c r="B10145" s="12" t="s">
        <v>2982</v>
      </c>
      <c r="C10145" s="13" t="s">
        <v>2983</v>
      </c>
      <c r="D10145" s="13" t="s">
        <v>23</v>
      </c>
      <c r="E10145" s="12" t="s">
        <v>16</v>
      </c>
      <c r="F10145" s="14">
        <v>66000</v>
      </c>
      <c r="G10145" s="14">
        <v>47150</v>
      </c>
      <c r="H10145" s="13" t="s">
        <v>18690</v>
      </c>
      <c r="I10145" s="40" t="s">
        <v>18</v>
      </c>
      <c r="J10145" s="40" t="str">
        <f>HYPERLINK("https://stock.pstatic.net/stock-research/company/21/20250801_company_312753000.pdf","PDF")</f>
        <v>PDF</v>
      </c>
      <c r="K10145" s="12" t="s">
        <v>18691</v>
      </c>
      <c r="L10145" s="20">
        <v>0.39978791092258747</v>
      </c>
    </row>
    <row r="10146" spans="1:12" x14ac:dyDescent="0.45">
      <c r="A10146" s="12" t="s">
        <v>18563</v>
      </c>
      <c r="B10146" s="12" t="s">
        <v>32</v>
      </c>
      <c r="C10146" s="13" t="s">
        <v>33</v>
      </c>
      <c r="D10146" s="13" t="s">
        <v>92</v>
      </c>
      <c r="E10146" s="12" t="s">
        <v>35</v>
      </c>
      <c r="F10146" s="14">
        <v>170000</v>
      </c>
      <c r="G10146" s="14">
        <v>148700</v>
      </c>
      <c r="H10146" s="13" t="s">
        <v>18692</v>
      </c>
      <c r="I10146" s="40" t="s">
        <v>18</v>
      </c>
      <c r="J10146" s="40" t="str">
        <f>HYPERLINK("https://stock.pstatic.net/stock-research/company/63/20250801_company_908343000.pdf","PDF")</f>
        <v>PDF</v>
      </c>
      <c r="K10146" s="12" t="s">
        <v>18693</v>
      </c>
      <c r="L10146" s="20">
        <v>0.14324142568930731</v>
      </c>
    </row>
    <row r="10147" spans="1:12" x14ac:dyDescent="0.45">
      <c r="A10147" s="12" t="s">
        <v>18563</v>
      </c>
      <c r="B10147" s="12" t="s">
        <v>2795</v>
      </c>
      <c r="C10147" s="13" t="s">
        <v>2796</v>
      </c>
      <c r="D10147" s="13" t="s">
        <v>23</v>
      </c>
      <c r="E10147" s="12" t="s">
        <v>16</v>
      </c>
      <c r="F10147" s="14">
        <v>5200</v>
      </c>
      <c r="G10147" s="14">
        <v>4210</v>
      </c>
      <c r="H10147" s="13" t="s">
        <v>18694</v>
      </c>
      <c r="I10147" s="40" t="s">
        <v>18</v>
      </c>
      <c r="J10147" s="40" t="str">
        <f>HYPERLINK("https://stock.pstatic.net/stock-research/company/21/20250801_company_109520000.pdf","PDF")</f>
        <v>PDF</v>
      </c>
      <c r="K10147" s="12" t="s">
        <v>18695</v>
      </c>
      <c r="L10147" s="20">
        <v>0.23515439429928739</v>
      </c>
    </row>
    <row r="10148" spans="1:12" x14ac:dyDescent="0.45">
      <c r="A10148" s="12" t="s">
        <v>18563</v>
      </c>
      <c r="B10148" s="12" t="s">
        <v>2795</v>
      </c>
      <c r="C10148" s="13" t="s">
        <v>2796</v>
      </c>
      <c r="D10148" s="13" t="s">
        <v>34</v>
      </c>
      <c r="E10148" s="12" t="s">
        <v>35</v>
      </c>
      <c r="F10148" s="14">
        <v>5800</v>
      </c>
      <c r="G10148" s="14">
        <v>4210</v>
      </c>
      <c r="H10148" s="13" t="s">
        <v>18696</v>
      </c>
      <c r="I10148" s="40" t="s">
        <v>18</v>
      </c>
      <c r="J10148" s="40" t="str">
        <f>HYPERLINK("https://stock.pstatic.net/stock-research/company/1/20250801_company_851544000.pdf","PDF")</f>
        <v>PDF</v>
      </c>
      <c r="K10148" s="12" t="s">
        <v>18697</v>
      </c>
      <c r="L10148" s="20">
        <v>0.37767220902612819</v>
      </c>
    </row>
    <row r="10149" spans="1:12" x14ac:dyDescent="0.45">
      <c r="A10149" s="12" t="s">
        <v>18563</v>
      </c>
      <c r="B10149" s="12" t="s">
        <v>13410</v>
      </c>
      <c r="C10149" s="13" t="s">
        <v>13411</v>
      </c>
      <c r="D10149" s="13" t="s">
        <v>179</v>
      </c>
      <c r="E10149" s="12" t="s">
        <v>16</v>
      </c>
      <c r="F10149" s="14">
        <v>260000</v>
      </c>
      <c r="G10149" s="14">
        <v>212000</v>
      </c>
      <c r="H10149" s="13" t="s">
        <v>18698</v>
      </c>
      <c r="I10149" s="40" t="s">
        <v>18</v>
      </c>
      <c r="J10149" s="40" t="str">
        <f>HYPERLINK("https://stock.pstatic.net/stock-research/company/31/20250801_company_545318000.pdf","PDF")</f>
        <v>PDF</v>
      </c>
      <c r="K10149" s="12" t="s">
        <v>18699</v>
      </c>
      <c r="L10149" s="20">
        <v>0.22641509433962259</v>
      </c>
    </row>
    <row r="10150" spans="1:12" x14ac:dyDescent="0.45">
      <c r="A10150" s="12" t="s">
        <v>18563</v>
      </c>
      <c r="B10150" s="12" t="s">
        <v>3451</v>
      </c>
      <c r="C10150" s="13" t="s">
        <v>3452</v>
      </c>
      <c r="D10150" s="13" t="s">
        <v>23</v>
      </c>
      <c r="E10150" s="12" t="s">
        <v>16</v>
      </c>
      <c r="F10150" s="14">
        <v>270000</v>
      </c>
      <c r="G10150" s="14">
        <v>197600</v>
      </c>
      <c r="H10150" s="13" t="s">
        <v>18700</v>
      </c>
      <c r="I10150" s="40" t="s">
        <v>18</v>
      </c>
      <c r="J10150" s="40" t="str">
        <f>HYPERLINK("https://stock.pstatic.net/stock-research/company/21/20250801_company_439560000.pdf","PDF")</f>
        <v>PDF</v>
      </c>
      <c r="K10150" s="12" t="s">
        <v>18701</v>
      </c>
      <c r="L10150" s="20">
        <v>0.36639676113360331</v>
      </c>
    </row>
    <row r="10151" spans="1:12" x14ac:dyDescent="0.45">
      <c r="A10151" s="12" t="s">
        <v>18563</v>
      </c>
      <c r="B10151" s="12" t="s">
        <v>2944</v>
      </c>
      <c r="C10151" s="13" t="s">
        <v>2945</v>
      </c>
      <c r="D10151" s="13" t="s">
        <v>15</v>
      </c>
      <c r="E10151" s="12" t="s">
        <v>16</v>
      </c>
      <c r="F10151" s="14">
        <v>19000</v>
      </c>
      <c r="G10151" s="14">
        <v>14590</v>
      </c>
      <c r="H10151" s="13" t="s">
        <v>18702</v>
      </c>
      <c r="I10151" s="40" t="s">
        <v>18</v>
      </c>
      <c r="J10151" s="40" t="str">
        <f>HYPERLINK("https://stock.pstatic.net/stock-research/company/29/20250801_company_341234000.pdf","PDF")</f>
        <v>PDF</v>
      </c>
      <c r="K10151" s="12" t="s">
        <v>18703</v>
      </c>
      <c r="L10151" s="20">
        <v>0.30226182316655242</v>
      </c>
    </row>
    <row r="10152" spans="1:12" x14ac:dyDescent="0.45">
      <c r="A10152" s="12" t="s">
        <v>18563</v>
      </c>
      <c r="B10152" s="12" t="s">
        <v>2488</v>
      </c>
      <c r="C10152" s="13" t="s">
        <v>2489</v>
      </c>
      <c r="D10152" s="13" t="s">
        <v>179</v>
      </c>
      <c r="E10152" s="12" t="s">
        <v>16</v>
      </c>
      <c r="F10152" s="14">
        <v>76000</v>
      </c>
      <c r="G10152" s="14">
        <v>65700</v>
      </c>
      <c r="H10152" s="13" t="s">
        <v>18704</v>
      </c>
      <c r="I10152" s="40" t="s">
        <v>18</v>
      </c>
      <c r="J10152" s="40" t="str">
        <f>HYPERLINK("https://stock.pstatic.net/stock-research/company/31/20250801_company_681000.pdf","PDF")</f>
        <v>PDF</v>
      </c>
      <c r="K10152" s="12" t="s">
        <v>18705</v>
      </c>
      <c r="L10152" s="20">
        <v>0.15677321156773211</v>
      </c>
    </row>
    <row r="10153" spans="1:12" x14ac:dyDescent="0.45">
      <c r="A10153" s="12" t="s">
        <v>18563</v>
      </c>
      <c r="B10153" s="12" t="s">
        <v>32</v>
      </c>
      <c r="C10153" s="13" t="s">
        <v>33</v>
      </c>
      <c r="D10153" s="13" t="s">
        <v>34</v>
      </c>
      <c r="E10153" s="12" t="s">
        <v>35</v>
      </c>
      <c r="F10153" s="14">
        <v>180000</v>
      </c>
      <c r="G10153" s="14">
        <v>148700</v>
      </c>
      <c r="H10153" s="13" t="s">
        <v>18706</v>
      </c>
      <c r="I10153" s="40" t="s">
        <v>18</v>
      </c>
      <c r="J10153" s="40" t="str">
        <f>HYPERLINK("https://stock.pstatic.net/stock-research/company/61/20250801_company_872531000.pdf","PDF")</f>
        <v>PDF</v>
      </c>
      <c r="K10153" s="12" t="s">
        <v>18707</v>
      </c>
      <c r="L10153" s="20">
        <v>0.21049092131809011</v>
      </c>
    </row>
    <row r="10154" spans="1:12" x14ac:dyDescent="0.45">
      <c r="A10154" s="12" t="s">
        <v>18563</v>
      </c>
      <c r="B10154" s="12" t="s">
        <v>450</v>
      </c>
      <c r="C10154" s="13" t="s">
        <v>451</v>
      </c>
      <c r="D10154" s="13" t="s">
        <v>44</v>
      </c>
      <c r="E10154" s="12" t="s">
        <v>642</v>
      </c>
      <c r="F10154" s="14">
        <v>290000</v>
      </c>
      <c r="G10154" s="14">
        <v>316000</v>
      </c>
      <c r="H10154" s="13" t="s">
        <v>18708</v>
      </c>
      <c r="I10154" s="40" t="s">
        <v>18</v>
      </c>
      <c r="J10154" s="40" t="str">
        <f>HYPERLINK("https://stock.pstatic.net/stock-research/company/39/20250801_company_755572000.pdf","PDF")</f>
        <v>PDF</v>
      </c>
      <c r="K10154" s="12" t="s">
        <v>18709</v>
      </c>
      <c r="L10154" s="20">
        <v>-8.2278481012658222E-2</v>
      </c>
    </row>
    <row r="10155" spans="1:12" x14ac:dyDescent="0.45">
      <c r="A10155" s="12" t="s">
        <v>18563</v>
      </c>
      <c r="B10155" s="12" t="s">
        <v>1690</v>
      </c>
      <c r="C10155" s="13" t="s">
        <v>1691</v>
      </c>
      <c r="D10155" s="13" t="s">
        <v>23</v>
      </c>
      <c r="E10155" s="12" t="s">
        <v>16</v>
      </c>
      <c r="F10155" s="14">
        <v>120000</v>
      </c>
      <c r="G10155" s="14">
        <v>107900</v>
      </c>
      <c r="H10155" s="13" t="s">
        <v>18710</v>
      </c>
      <c r="I10155" s="40" t="s">
        <v>18</v>
      </c>
      <c r="J10155" s="40" t="str">
        <f>HYPERLINK("https://stock.pstatic.net/stock-research/company/21/20250801_company_848307000.pdf","PDF")</f>
        <v>PDF</v>
      </c>
      <c r="K10155" s="12" t="s">
        <v>18711</v>
      </c>
      <c r="L10155" s="20">
        <v>0.11214087117701579</v>
      </c>
    </row>
    <row r="10156" spans="1:12" x14ac:dyDescent="0.45">
      <c r="A10156" s="12" t="s">
        <v>18563</v>
      </c>
      <c r="B10156" s="12" t="s">
        <v>1548</v>
      </c>
      <c r="C10156" s="13" t="s">
        <v>1549</v>
      </c>
      <c r="D10156" s="13" t="s">
        <v>44</v>
      </c>
      <c r="E10156" s="12" t="s">
        <v>35</v>
      </c>
      <c r="F10156" s="14">
        <v>1280000</v>
      </c>
      <c r="G10156" s="14">
        <v>996000</v>
      </c>
      <c r="H10156" s="13" t="s">
        <v>18712</v>
      </c>
      <c r="I10156" s="40" t="s">
        <v>18</v>
      </c>
      <c r="J10156" s="40" t="str">
        <f>HYPERLINK("https://stock.pstatic.net/stock-research/company/39/20250801_company_452839000.pdf","PDF")</f>
        <v>PDF</v>
      </c>
      <c r="K10156" s="12" t="s">
        <v>18713</v>
      </c>
      <c r="L10156" s="20">
        <v>0.28514056224899598</v>
      </c>
    </row>
    <row r="10157" spans="1:12" x14ac:dyDescent="0.45">
      <c r="A10157" s="12" t="s">
        <v>18563</v>
      </c>
      <c r="B10157" s="12" t="s">
        <v>3451</v>
      </c>
      <c r="C10157" s="13" t="s">
        <v>3452</v>
      </c>
      <c r="D10157" s="13" t="s">
        <v>44</v>
      </c>
      <c r="E10157" s="12" t="s">
        <v>35</v>
      </c>
      <c r="F10157" s="14">
        <v>260000</v>
      </c>
      <c r="G10157" s="14">
        <v>197600</v>
      </c>
      <c r="H10157" s="13" t="s">
        <v>18714</v>
      </c>
      <c r="I10157" s="40" t="s">
        <v>18</v>
      </c>
      <c r="J10157" s="40" t="str">
        <f>HYPERLINK("https://stock.pstatic.net/stock-research/company/39/20250801_company_310040000.pdf","PDF")</f>
        <v>PDF</v>
      </c>
      <c r="K10157" s="12" t="s">
        <v>18715</v>
      </c>
      <c r="L10157" s="20">
        <v>0.31578947368421051</v>
      </c>
    </row>
    <row r="10158" spans="1:12" x14ac:dyDescent="0.45">
      <c r="A10158" s="12" t="s">
        <v>18563</v>
      </c>
      <c r="B10158" s="12" t="s">
        <v>3079</v>
      </c>
      <c r="C10158" s="13" t="s">
        <v>3080</v>
      </c>
      <c r="D10158" s="13" t="s">
        <v>92</v>
      </c>
      <c r="E10158" s="12" t="s">
        <v>35</v>
      </c>
      <c r="F10158" s="14">
        <v>42000</v>
      </c>
      <c r="G10158" s="14">
        <v>31350</v>
      </c>
      <c r="H10158" s="13" t="s">
        <v>18716</v>
      </c>
      <c r="I10158" s="40" t="s">
        <v>18</v>
      </c>
      <c r="J10158" s="40" t="str">
        <f>HYPERLINK("https://stock.pstatic.net/stock-research/company/63/20250801_company_459541000.pdf","PDF")</f>
        <v>PDF</v>
      </c>
      <c r="K10158" s="12" t="s">
        <v>18717</v>
      </c>
      <c r="L10158" s="20">
        <v>0.33971291866028708</v>
      </c>
    </row>
    <row r="10159" spans="1:12" x14ac:dyDescent="0.45">
      <c r="A10159" s="12" t="s">
        <v>18563</v>
      </c>
      <c r="B10159" s="12" t="s">
        <v>856</v>
      </c>
      <c r="C10159" s="13" t="s">
        <v>857</v>
      </c>
      <c r="D10159" s="13" t="s">
        <v>92</v>
      </c>
      <c r="E10159" s="12" t="s">
        <v>35</v>
      </c>
      <c r="F10159" s="14">
        <v>210000</v>
      </c>
      <c r="G10159" s="14">
        <v>147200</v>
      </c>
      <c r="H10159" s="13" t="s">
        <v>18718</v>
      </c>
      <c r="I10159" s="40" t="s">
        <v>18</v>
      </c>
      <c r="J10159" s="40" t="str">
        <f>HYPERLINK("https://stock.pstatic.net/stock-research/company/63/20250801_company_678837000.pdf","PDF")</f>
        <v>PDF</v>
      </c>
      <c r="K10159" s="12" t="s">
        <v>18719</v>
      </c>
      <c r="L10159" s="20">
        <v>0.4266304347826087</v>
      </c>
    </row>
    <row r="10160" spans="1:12" x14ac:dyDescent="0.45">
      <c r="A10160" s="12" t="s">
        <v>18563</v>
      </c>
      <c r="B10160" s="12" t="s">
        <v>32</v>
      </c>
      <c r="C10160" s="13" t="s">
        <v>33</v>
      </c>
      <c r="D10160" s="13" t="s">
        <v>23</v>
      </c>
      <c r="E10160" s="12" t="s">
        <v>16</v>
      </c>
      <c r="F10160" s="14">
        <v>190000</v>
      </c>
      <c r="G10160" s="14">
        <v>148700</v>
      </c>
      <c r="H10160" s="13" t="s">
        <v>18720</v>
      </c>
      <c r="I10160" s="40" t="s">
        <v>18</v>
      </c>
      <c r="J10160" s="40" t="str">
        <f>HYPERLINK("https://stock.pstatic.net/stock-research/company/21/20250801_company_285808000.pdf","PDF")</f>
        <v>PDF</v>
      </c>
      <c r="K10160" s="12" t="s">
        <v>18721</v>
      </c>
      <c r="L10160" s="20">
        <v>0.2777404169468729</v>
      </c>
    </row>
    <row r="10161" spans="1:12" x14ac:dyDescent="0.45">
      <c r="A10161" s="12" t="s">
        <v>18563</v>
      </c>
      <c r="B10161" s="12" t="s">
        <v>2369</v>
      </c>
      <c r="C10161" s="13" t="s">
        <v>2370</v>
      </c>
      <c r="D10161" s="13" t="s">
        <v>23</v>
      </c>
      <c r="E10161" s="12" t="s">
        <v>16</v>
      </c>
      <c r="F10161" s="14">
        <v>230000</v>
      </c>
      <c r="G10161" s="14">
        <v>201000</v>
      </c>
      <c r="H10161" s="13" t="s">
        <v>10778</v>
      </c>
      <c r="I10161" s="40" t="s">
        <v>18</v>
      </c>
      <c r="J10161" s="40" t="str">
        <f>HYPERLINK("https://stock.pstatic.net/stock-research/company/21/20250801_company_720560000.pdf","PDF")</f>
        <v>PDF</v>
      </c>
      <c r="K10161" s="12" t="s">
        <v>18722</v>
      </c>
      <c r="L10161" s="20">
        <v>0.14427860696517411</v>
      </c>
    </row>
    <row r="10162" spans="1:12" x14ac:dyDescent="0.45">
      <c r="A10162" s="12" t="s">
        <v>18563</v>
      </c>
      <c r="B10162" s="12" t="s">
        <v>2492</v>
      </c>
      <c r="C10162" s="13" t="s">
        <v>2493</v>
      </c>
      <c r="D10162" s="13" t="s">
        <v>179</v>
      </c>
      <c r="E10162" s="12" t="s">
        <v>16</v>
      </c>
      <c r="F10162" s="14">
        <v>440000</v>
      </c>
      <c r="G10162" s="14">
        <v>359000</v>
      </c>
      <c r="H10162" s="13" t="s">
        <v>18723</v>
      </c>
      <c r="I10162" s="40" t="s">
        <v>18</v>
      </c>
      <c r="J10162" s="40" t="str">
        <f>HYPERLINK("https://stock.pstatic.net/stock-research/company/31/20250801_company_332351000.pdf","PDF")</f>
        <v>PDF</v>
      </c>
      <c r="K10162" s="12" t="s">
        <v>18724</v>
      </c>
      <c r="L10162" s="20">
        <v>0.22562674094707519</v>
      </c>
    </row>
    <row r="10163" spans="1:12" x14ac:dyDescent="0.45">
      <c r="A10163" s="12" t="s">
        <v>18563</v>
      </c>
      <c r="B10163" s="12" t="s">
        <v>2435</v>
      </c>
      <c r="C10163" s="13" t="s">
        <v>2436</v>
      </c>
      <c r="D10163" s="13" t="s">
        <v>179</v>
      </c>
      <c r="E10163" s="12" t="s">
        <v>16</v>
      </c>
      <c r="F10163" s="14">
        <v>600000</v>
      </c>
      <c r="G10163" s="14">
        <v>490500</v>
      </c>
      <c r="H10163" s="13" t="s">
        <v>18725</v>
      </c>
      <c r="I10163" s="40" t="s">
        <v>18</v>
      </c>
      <c r="J10163" s="40" t="str">
        <f>HYPERLINK("https://stock.pstatic.net/stock-research/company/31/20250801_company_17651000.pdf","PDF")</f>
        <v>PDF</v>
      </c>
      <c r="K10163" s="12" t="s">
        <v>18726</v>
      </c>
      <c r="L10163" s="20">
        <v>0.22324159021406731</v>
      </c>
    </row>
    <row r="10164" spans="1:12" x14ac:dyDescent="0.45">
      <c r="A10164" s="12" t="s">
        <v>18563</v>
      </c>
      <c r="B10164" s="12" t="s">
        <v>2369</v>
      </c>
      <c r="C10164" s="13" t="s">
        <v>2370</v>
      </c>
      <c r="D10164" s="13" t="s">
        <v>34</v>
      </c>
      <c r="E10164" s="12" t="s">
        <v>35</v>
      </c>
      <c r="F10164" s="14">
        <v>250000</v>
      </c>
      <c r="G10164" s="14">
        <v>201000</v>
      </c>
      <c r="H10164" s="13" t="s">
        <v>18727</v>
      </c>
      <c r="I10164" s="40" t="s">
        <v>18</v>
      </c>
      <c r="J10164" s="40" t="str">
        <f>HYPERLINK("https://stock.pstatic.net/stock-research/company/61/20250801_company_860218000.pdf","PDF")</f>
        <v>PDF</v>
      </c>
      <c r="K10164" s="12" t="s">
        <v>18728</v>
      </c>
      <c r="L10164" s="20">
        <v>0.24378109452736321</v>
      </c>
    </row>
    <row r="10165" spans="1:12" x14ac:dyDescent="0.45">
      <c r="A10165" s="12" t="s">
        <v>18563</v>
      </c>
      <c r="B10165" s="12" t="s">
        <v>2369</v>
      </c>
      <c r="C10165" s="13" t="s">
        <v>2370</v>
      </c>
      <c r="D10165" s="13" t="s">
        <v>53</v>
      </c>
      <c r="E10165" s="12" t="s">
        <v>16</v>
      </c>
      <c r="F10165" s="14">
        <v>300000</v>
      </c>
      <c r="G10165" s="14">
        <v>201000</v>
      </c>
      <c r="H10165" s="13" t="s">
        <v>18729</v>
      </c>
      <c r="I10165" s="40" t="s">
        <v>18</v>
      </c>
      <c r="J10165" s="40" t="str">
        <f>HYPERLINK("https://stock.pstatic.net/stock-research/company/18/20250801_company_761710000.pdf","PDF")</f>
        <v>PDF</v>
      </c>
      <c r="K10165" s="12" t="s">
        <v>18730</v>
      </c>
      <c r="L10165" s="20">
        <v>0.4925373134328358</v>
      </c>
    </row>
    <row r="10166" spans="1:12" x14ac:dyDescent="0.45">
      <c r="A10166" s="12" t="s">
        <v>18563</v>
      </c>
      <c r="B10166" s="12" t="s">
        <v>170</v>
      </c>
      <c r="C10166" s="13" t="s">
        <v>171</v>
      </c>
      <c r="D10166" s="13" t="s">
        <v>44</v>
      </c>
      <c r="E10166" s="12" t="s">
        <v>35</v>
      </c>
      <c r="F10166" s="14">
        <v>100000</v>
      </c>
      <c r="G10166" s="14">
        <v>69900</v>
      </c>
      <c r="H10166" s="13" t="s">
        <v>18731</v>
      </c>
      <c r="I10166" s="40" t="s">
        <v>18</v>
      </c>
      <c r="J10166" s="40" t="str">
        <f>HYPERLINK("https://stock.pstatic.net/stock-research/company/39/20250801_company_571925000.pdf","PDF")</f>
        <v>PDF</v>
      </c>
      <c r="K10166" s="12" t="s">
        <v>18732</v>
      </c>
      <c r="L10166" s="20">
        <v>0.43061516452074389</v>
      </c>
    </row>
    <row r="10167" spans="1:12" x14ac:dyDescent="0.45">
      <c r="A10167" s="12" t="s">
        <v>18563</v>
      </c>
      <c r="B10167" s="12" t="s">
        <v>3024</v>
      </c>
      <c r="C10167" s="13" t="s">
        <v>3025</v>
      </c>
      <c r="D10167" s="13" t="s">
        <v>92</v>
      </c>
      <c r="E10167" s="12" t="s">
        <v>35</v>
      </c>
      <c r="F10167" s="14">
        <v>69000</v>
      </c>
      <c r="G10167" s="14">
        <v>48800</v>
      </c>
      <c r="H10167" s="13" t="s">
        <v>18733</v>
      </c>
      <c r="I10167" s="40" t="s">
        <v>18</v>
      </c>
      <c r="J10167" s="40" t="str">
        <f>HYPERLINK("https://stock.pstatic.net/stock-research/company/63/20250801_company_584881000.pdf","PDF")</f>
        <v>PDF</v>
      </c>
      <c r="K10167" s="12" t="s">
        <v>18734</v>
      </c>
      <c r="L10167" s="20">
        <v>0.41393442622950821</v>
      </c>
    </row>
    <row r="10168" spans="1:12" x14ac:dyDescent="0.45">
      <c r="A10168" s="12" t="s">
        <v>18563</v>
      </c>
      <c r="B10168" s="12" t="s">
        <v>1690</v>
      </c>
      <c r="C10168" s="13" t="s">
        <v>1691</v>
      </c>
      <c r="D10168" s="13" t="s">
        <v>92</v>
      </c>
      <c r="E10168" s="12" t="s">
        <v>35</v>
      </c>
      <c r="F10168" s="14">
        <v>140000</v>
      </c>
      <c r="G10168" s="14">
        <v>107900</v>
      </c>
      <c r="H10168" s="13" t="s">
        <v>18735</v>
      </c>
      <c r="I10168" s="40" t="s">
        <v>18</v>
      </c>
      <c r="J10168" s="40" t="str">
        <f>HYPERLINK("https://stock.pstatic.net/stock-research/company/63/20250801_company_305896000.pdf","PDF")</f>
        <v>PDF</v>
      </c>
      <c r="K10168" s="12" t="s">
        <v>18736</v>
      </c>
      <c r="L10168" s="20">
        <v>0.29749768303985169</v>
      </c>
    </row>
    <row r="10169" spans="1:12" x14ac:dyDescent="0.45">
      <c r="A10169" s="12" t="s">
        <v>18563</v>
      </c>
      <c r="B10169" s="12" t="s">
        <v>2944</v>
      </c>
      <c r="C10169" s="13" t="s">
        <v>2945</v>
      </c>
      <c r="D10169" s="13" t="s">
        <v>23</v>
      </c>
      <c r="E10169" s="12" t="s">
        <v>16</v>
      </c>
      <c r="F10169" s="14">
        <v>17000</v>
      </c>
      <c r="G10169" s="14">
        <v>14590</v>
      </c>
      <c r="H10169" s="13" t="s">
        <v>18737</v>
      </c>
      <c r="I10169" s="40" t="s">
        <v>18</v>
      </c>
      <c r="J10169" s="40" t="str">
        <f>HYPERLINK("https://stock.pstatic.net/stock-research/company/21/20250801_company_281602000.pdf","PDF")</f>
        <v>PDF</v>
      </c>
      <c r="K10169" s="12" t="s">
        <v>18738</v>
      </c>
      <c r="L10169" s="20">
        <v>0.16518163125428381</v>
      </c>
    </row>
    <row r="10170" spans="1:12" x14ac:dyDescent="0.45">
      <c r="A10170" s="12" t="s">
        <v>18563</v>
      </c>
      <c r="B10170" s="12" t="s">
        <v>13</v>
      </c>
      <c r="C10170" s="13" t="s">
        <v>14</v>
      </c>
      <c r="D10170" s="13" t="s">
        <v>23</v>
      </c>
      <c r="E10170" s="12" t="s">
        <v>16</v>
      </c>
      <c r="F10170" s="14">
        <v>90000</v>
      </c>
      <c r="G10170" s="14">
        <v>71400</v>
      </c>
      <c r="H10170" s="13" t="s">
        <v>18739</v>
      </c>
      <c r="I10170" s="40" t="s">
        <v>18</v>
      </c>
      <c r="J10170" s="40" t="str">
        <f>HYPERLINK("https://stock.pstatic.net/stock-research/company/21/20250801_company_728265000.pdf","PDF")</f>
        <v>PDF</v>
      </c>
      <c r="K10170" s="12" t="s">
        <v>18740</v>
      </c>
      <c r="L10170" s="20">
        <v>0.26050420168067229</v>
      </c>
    </row>
    <row r="10171" spans="1:12" x14ac:dyDescent="0.45">
      <c r="A10171" s="12" t="s">
        <v>18563</v>
      </c>
      <c r="B10171" s="12" t="s">
        <v>2435</v>
      </c>
      <c r="C10171" s="13" t="s">
        <v>2436</v>
      </c>
      <c r="D10171" s="13" t="s">
        <v>34</v>
      </c>
      <c r="E10171" s="12" t="s">
        <v>35</v>
      </c>
      <c r="F10171" s="14">
        <v>589000</v>
      </c>
      <c r="G10171" s="14">
        <v>490500</v>
      </c>
      <c r="H10171" s="13" t="s">
        <v>18741</v>
      </c>
      <c r="I10171" s="40" t="s">
        <v>18</v>
      </c>
      <c r="J10171" s="40" t="str">
        <f>HYPERLINK("https://stock.pstatic.net/stock-research/company/61/20250801_company_44120000.pdf","PDF")</f>
        <v>PDF</v>
      </c>
      <c r="K10171" s="12" t="s">
        <v>18742</v>
      </c>
      <c r="L10171" s="20">
        <v>0.20081549439347601</v>
      </c>
    </row>
    <row r="10172" spans="1:12" x14ac:dyDescent="0.45">
      <c r="A10172" s="12" t="s">
        <v>18563</v>
      </c>
      <c r="B10172" s="12" t="s">
        <v>3024</v>
      </c>
      <c r="C10172" s="13" t="s">
        <v>3025</v>
      </c>
      <c r="D10172" s="13" t="s">
        <v>23</v>
      </c>
      <c r="E10172" s="12" t="s">
        <v>16</v>
      </c>
      <c r="F10172" s="14">
        <v>60000</v>
      </c>
      <c r="G10172" s="14">
        <v>48800</v>
      </c>
      <c r="H10172" s="13" t="s">
        <v>18743</v>
      </c>
      <c r="I10172" s="40" t="s">
        <v>18</v>
      </c>
      <c r="J10172" s="40" t="str">
        <f>HYPERLINK("https://stock.pstatic.net/stock-research/company/21/20250801_company_456018000.pdf","PDF")</f>
        <v>PDF</v>
      </c>
      <c r="K10172" s="12" t="s">
        <v>18744</v>
      </c>
      <c r="L10172" s="20">
        <v>0.22950819672131151</v>
      </c>
    </row>
    <row r="10173" spans="1:12" x14ac:dyDescent="0.45">
      <c r="A10173" s="12" t="s">
        <v>18563</v>
      </c>
      <c r="B10173" s="12" t="s">
        <v>3079</v>
      </c>
      <c r="C10173" s="13" t="s">
        <v>3080</v>
      </c>
      <c r="D10173" s="13" t="s">
        <v>23</v>
      </c>
      <c r="E10173" s="12" t="s">
        <v>16</v>
      </c>
      <c r="F10173" s="14">
        <v>38000</v>
      </c>
      <c r="G10173" s="14">
        <v>31350</v>
      </c>
      <c r="H10173" s="13" t="s">
        <v>18745</v>
      </c>
      <c r="I10173" s="40" t="s">
        <v>18</v>
      </c>
      <c r="J10173" s="40" t="str">
        <f>HYPERLINK("https://stock.pstatic.net/stock-research/company/21/20250801_company_73107000.pdf","PDF")</f>
        <v>PDF</v>
      </c>
      <c r="K10173" s="12" t="s">
        <v>18746</v>
      </c>
      <c r="L10173" s="20">
        <v>0.2121212121212121</v>
      </c>
    </row>
    <row r="10174" spans="1:12" x14ac:dyDescent="0.45">
      <c r="A10174" s="12" t="s">
        <v>18563</v>
      </c>
      <c r="B10174" s="12" t="s">
        <v>2982</v>
      </c>
      <c r="C10174" s="13" t="s">
        <v>2983</v>
      </c>
      <c r="D10174" s="13" t="s">
        <v>44</v>
      </c>
      <c r="E10174" s="12" t="s">
        <v>35</v>
      </c>
      <c r="F10174" s="14">
        <v>61000</v>
      </c>
      <c r="G10174" s="14">
        <v>47150</v>
      </c>
      <c r="H10174" s="13" t="s">
        <v>18747</v>
      </c>
      <c r="I10174" s="40" t="s">
        <v>18</v>
      </c>
      <c r="J10174" s="40" t="str">
        <f>HYPERLINK("https://stock.pstatic.net/stock-research/company/39/20250801_company_644268000.pdf","PDF")</f>
        <v>PDF</v>
      </c>
      <c r="K10174" s="12" t="s">
        <v>18748</v>
      </c>
      <c r="L10174" s="20">
        <v>0.29374337221633079</v>
      </c>
    </row>
    <row r="10175" spans="1:12" x14ac:dyDescent="0.45">
      <c r="A10175" s="12" t="s">
        <v>18563</v>
      </c>
      <c r="B10175" s="12" t="s">
        <v>2369</v>
      </c>
      <c r="C10175" s="13" t="s">
        <v>2370</v>
      </c>
      <c r="D10175" s="13" t="s">
        <v>44</v>
      </c>
      <c r="E10175" s="12" t="s">
        <v>45</v>
      </c>
      <c r="F10175" s="14">
        <v>240000</v>
      </c>
      <c r="G10175" s="14">
        <v>201000</v>
      </c>
      <c r="H10175" s="13" t="s">
        <v>18749</v>
      </c>
      <c r="I10175" s="40" t="s">
        <v>18</v>
      </c>
      <c r="J10175" s="40" t="str">
        <f>HYPERLINK("https://stock.pstatic.net/stock-research/company/39/20250801_company_388750000.pdf","PDF")</f>
        <v>PDF</v>
      </c>
      <c r="K10175" s="12" t="s">
        <v>18750</v>
      </c>
      <c r="L10175" s="20">
        <v>0.19402985074626869</v>
      </c>
    </row>
    <row r="10176" spans="1:12" x14ac:dyDescent="0.45">
      <c r="A10176" s="12" t="s">
        <v>18563</v>
      </c>
      <c r="B10176" s="12" t="s">
        <v>3488</v>
      </c>
      <c r="C10176" s="13" t="s">
        <v>3489</v>
      </c>
      <c r="D10176" s="13" t="s">
        <v>83</v>
      </c>
      <c r="E10176" s="12" t="s">
        <v>35</v>
      </c>
      <c r="F10176" s="14">
        <v>30000</v>
      </c>
      <c r="G10176" s="14">
        <v>25000</v>
      </c>
      <c r="H10176" s="13" t="s">
        <v>18751</v>
      </c>
      <c r="I10176" s="40" t="s">
        <v>18</v>
      </c>
      <c r="J10176" s="40" t="str">
        <f>HYPERLINK("https://stock.pstatic.net/stock-research/company/1/20250801_company_723159000.pdf","PDF")</f>
        <v>PDF</v>
      </c>
      <c r="K10176" s="12" t="s">
        <v>18752</v>
      </c>
      <c r="L10176" s="20">
        <v>0.2</v>
      </c>
    </row>
    <row r="10177" spans="1:12" x14ac:dyDescent="0.45">
      <c r="A10177" s="12" t="s">
        <v>18563</v>
      </c>
      <c r="B10177" s="12" t="s">
        <v>5489</v>
      </c>
      <c r="C10177" s="13" t="s">
        <v>5490</v>
      </c>
      <c r="D10177" s="13" t="s">
        <v>83</v>
      </c>
      <c r="E10177" s="12" t="s">
        <v>50</v>
      </c>
      <c r="F10177" s="13"/>
      <c r="G10177" s="14">
        <v>8440</v>
      </c>
      <c r="H10177" s="13" t="s">
        <v>18753</v>
      </c>
      <c r="I10177" s="40" t="s">
        <v>18</v>
      </c>
      <c r="J10177" s="40" t="str">
        <f>HYPERLINK("https://stock.pstatic.net/stock-research/company/2/20250801_company_273754000.pdf","PDF")</f>
        <v>PDF</v>
      </c>
      <c r="K10177" s="12" t="s">
        <v>18754</v>
      </c>
    </row>
    <row r="10178" spans="1:12" x14ac:dyDescent="0.45">
      <c r="A10178" s="12" t="s">
        <v>18563</v>
      </c>
      <c r="B10178" s="12" t="s">
        <v>2758</v>
      </c>
      <c r="C10178" s="13" t="s">
        <v>2759</v>
      </c>
      <c r="D10178" s="13" t="s">
        <v>83</v>
      </c>
      <c r="E10178" s="12" t="s">
        <v>35</v>
      </c>
      <c r="F10178" s="14">
        <v>410000</v>
      </c>
      <c r="G10178" s="14">
        <v>308500</v>
      </c>
      <c r="H10178" s="13" t="s">
        <v>18755</v>
      </c>
      <c r="I10178" s="40" t="s">
        <v>18</v>
      </c>
      <c r="J10178" s="40" t="str">
        <f>HYPERLINK("https://stock.pstatic.net/stock-research/company/2/20250801_company_520679000.pdf","PDF")</f>
        <v>PDF</v>
      </c>
      <c r="K10178" s="12" t="s">
        <v>18756</v>
      </c>
      <c r="L10178" s="20">
        <v>0.32901134521880071</v>
      </c>
    </row>
    <row r="10179" spans="1:12" x14ac:dyDescent="0.45">
      <c r="A10179" s="12" t="s">
        <v>18563</v>
      </c>
      <c r="B10179" s="12" t="s">
        <v>1548</v>
      </c>
      <c r="C10179" s="13" t="s">
        <v>1549</v>
      </c>
      <c r="D10179" s="13" t="s">
        <v>83</v>
      </c>
      <c r="E10179" s="12" t="s">
        <v>35</v>
      </c>
      <c r="F10179" s="14">
        <v>1200000</v>
      </c>
      <c r="G10179" s="14">
        <v>996000</v>
      </c>
      <c r="H10179" s="13" t="s">
        <v>18757</v>
      </c>
      <c r="I10179" s="40" t="s">
        <v>18</v>
      </c>
      <c r="J10179" s="40" t="str">
        <f>HYPERLINK("https://stock.pstatic.net/stock-research/company/2/20250801_company_161748000.pdf","PDF")</f>
        <v>PDF</v>
      </c>
      <c r="K10179" s="12" t="s">
        <v>18758</v>
      </c>
      <c r="L10179" s="20">
        <v>0.2048192771084337</v>
      </c>
    </row>
    <row r="10180" spans="1:12" x14ac:dyDescent="0.45">
      <c r="A10180" s="12" t="s">
        <v>18563</v>
      </c>
      <c r="B10180" s="12" t="s">
        <v>81</v>
      </c>
      <c r="C10180" s="13" t="s">
        <v>82</v>
      </c>
      <c r="D10180" s="13" t="s">
        <v>83</v>
      </c>
      <c r="E10180" s="12" t="s">
        <v>642</v>
      </c>
      <c r="F10180" s="14">
        <v>23000</v>
      </c>
      <c r="G10180" s="14">
        <v>20200</v>
      </c>
      <c r="H10180" s="13" t="s">
        <v>18759</v>
      </c>
      <c r="I10180" s="40" t="s">
        <v>18</v>
      </c>
      <c r="J10180" s="40" t="str">
        <f>HYPERLINK("https://stock.pstatic.net/stock-research/company/2/20250801_company_985487000.pdf","PDF")</f>
        <v>PDF</v>
      </c>
      <c r="K10180" s="12" t="s">
        <v>18760</v>
      </c>
      <c r="L10180" s="20">
        <v>0.1386138613861386</v>
      </c>
    </row>
    <row r="10181" spans="1:12" x14ac:dyDescent="0.45">
      <c r="A10181" s="12" t="s">
        <v>18563</v>
      </c>
      <c r="B10181" s="12" t="s">
        <v>2435</v>
      </c>
      <c r="C10181" s="13" t="s">
        <v>2436</v>
      </c>
      <c r="D10181" s="13" t="s">
        <v>83</v>
      </c>
      <c r="E10181" s="12" t="s">
        <v>35</v>
      </c>
      <c r="F10181" s="14">
        <v>550000</v>
      </c>
      <c r="G10181" s="14">
        <v>490500</v>
      </c>
      <c r="H10181" s="13" t="s">
        <v>18761</v>
      </c>
      <c r="I10181" s="40" t="s">
        <v>18</v>
      </c>
      <c r="J10181" s="40" t="str">
        <f>HYPERLINK("https://stock.pstatic.net/stock-research/company/2/20250801_company_32210000.pdf","PDF")</f>
        <v>PDF</v>
      </c>
      <c r="K10181" s="12" t="s">
        <v>18762</v>
      </c>
      <c r="L10181" s="20">
        <v>0.1213047910295617</v>
      </c>
    </row>
    <row r="10182" spans="1:12" x14ac:dyDescent="0.45">
      <c r="A10182" s="12" t="s">
        <v>18563</v>
      </c>
      <c r="B10182" s="12" t="s">
        <v>2795</v>
      </c>
      <c r="C10182" s="13" t="s">
        <v>2796</v>
      </c>
      <c r="D10182" s="13" t="s">
        <v>83</v>
      </c>
      <c r="E10182" s="12" t="s">
        <v>35</v>
      </c>
      <c r="F10182" s="14">
        <v>6000</v>
      </c>
      <c r="G10182" s="14">
        <v>4210</v>
      </c>
      <c r="H10182" s="13" t="s">
        <v>18763</v>
      </c>
      <c r="I10182" s="40" t="s">
        <v>18</v>
      </c>
      <c r="J10182" s="40" t="str">
        <f>HYPERLINK("https://stock.pstatic.net/stock-research/company/2/20250801_company_21624000.pdf","PDF")</f>
        <v>PDF</v>
      </c>
      <c r="K10182" s="12" t="s">
        <v>18764</v>
      </c>
      <c r="L10182" s="20">
        <v>0.42517814726840852</v>
      </c>
    </row>
    <row r="10183" spans="1:12" x14ac:dyDescent="0.45">
      <c r="A10183" s="12" t="s">
        <v>18563</v>
      </c>
      <c r="B10183" s="12" t="s">
        <v>1431</v>
      </c>
      <c r="C10183" s="13" t="s">
        <v>1432</v>
      </c>
      <c r="D10183" s="13" t="s">
        <v>83</v>
      </c>
      <c r="E10183" s="12" t="s">
        <v>35</v>
      </c>
      <c r="F10183" s="14">
        <v>180000</v>
      </c>
      <c r="G10183" s="14">
        <v>142600</v>
      </c>
      <c r="H10183" s="13" t="s">
        <v>18765</v>
      </c>
      <c r="I10183" s="40" t="s">
        <v>18</v>
      </c>
      <c r="J10183" s="40" t="str">
        <f>HYPERLINK("https://stock.pstatic.net/stock-research/company/2/20250801_company_268229000.pdf","PDF")</f>
        <v>PDF</v>
      </c>
      <c r="K10183" s="12" t="s">
        <v>18766</v>
      </c>
      <c r="L10183" s="20">
        <v>0.26227208976157079</v>
      </c>
    </row>
    <row r="10184" spans="1:12" x14ac:dyDescent="0.45">
      <c r="A10184" s="12" t="s">
        <v>18563</v>
      </c>
      <c r="B10184" s="12" t="s">
        <v>698</v>
      </c>
      <c r="C10184" s="13" t="s">
        <v>699</v>
      </c>
      <c r="D10184" s="13" t="s">
        <v>83</v>
      </c>
      <c r="E10184" s="12" t="s">
        <v>35</v>
      </c>
      <c r="F10184" s="14">
        <v>270000</v>
      </c>
      <c r="G10184" s="14">
        <v>203000</v>
      </c>
      <c r="H10184" s="13" t="s">
        <v>18767</v>
      </c>
      <c r="I10184" s="40" t="s">
        <v>18</v>
      </c>
      <c r="J10184" s="40" t="str">
        <f>HYPERLINK("https://stock.pstatic.net/stock-research/company/2/20250801_company_136196000.pdf","PDF")</f>
        <v>PDF</v>
      </c>
      <c r="K10184" s="12" t="s">
        <v>18768</v>
      </c>
      <c r="L10184" s="20">
        <v>0.33004926108374377</v>
      </c>
    </row>
    <row r="10185" spans="1:12" x14ac:dyDescent="0.45">
      <c r="A10185" s="12" t="s">
        <v>18563</v>
      </c>
      <c r="B10185" s="12" t="s">
        <v>13</v>
      </c>
      <c r="C10185" s="13" t="s">
        <v>14</v>
      </c>
      <c r="D10185" s="13" t="s">
        <v>83</v>
      </c>
      <c r="E10185" s="12" t="s">
        <v>35</v>
      </c>
      <c r="F10185" s="14">
        <v>88000</v>
      </c>
      <c r="G10185" s="14">
        <v>72600</v>
      </c>
      <c r="H10185" s="13" t="s">
        <v>18769</v>
      </c>
      <c r="I10185" s="40" t="s">
        <v>18</v>
      </c>
      <c r="J10185" s="40" t="str">
        <f>HYPERLINK("https://stock.pstatic.net/stock-research/company/2/20250801_company_471140000.pdf","PDF")</f>
        <v>PDF</v>
      </c>
      <c r="K10185" s="12" t="s">
        <v>18770</v>
      </c>
      <c r="L10185" s="20">
        <v>0.2121212121212121</v>
      </c>
    </row>
    <row r="10186" spans="1:12" x14ac:dyDescent="0.45">
      <c r="A10186" s="12" t="s">
        <v>18563</v>
      </c>
      <c r="B10186" s="12" t="s">
        <v>170</v>
      </c>
      <c r="C10186" s="13" t="s">
        <v>171</v>
      </c>
      <c r="D10186" s="13" t="s">
        <v>83</v>
      </c>
      <c r="E10186" s="12" t="s">
        <v>35</v>
      </c>
      <c r="F10186" s="14">
        <v>100000</v>
      </c>
      <c r="G10186" s="14">
        <v>69900</v>
      </c>
      <c r="H10186" s="13" t="s">
        <v>18771</v>
      </c>
      <c r="I10186" s="40" t="s">
        <v>18</v>
      </c>
      <c r="J10186" s="40" t="str">
        <f>HYPERLINK("https://stock.pstatic.net/stock-research/company/2/20250801_company_194683000.pdf","PDF")</f>
        <v>PDF</v>
      </c>
      <c r="K10186" s="12" t="s">
        <v>18772</v>
      </c>
      <c r="L10186" s="20">
        <v>0.43061516452074389</v>
      </c>
    </row>
    <row r="10187" spans="1:12" x14ac:dyDescent="0.45">
      <c r="A10187" s="12" t="s">
        <v>18563</v>
      </c>
      <c r="B10187" s="12" t="s">
        <v>2758</v>
      </c>
      <c r="C10187" s="13" t="s">
        <v>2759</v>
      </c>
      <c r="D10187" s="13" t="s">
        <v>23</v>
      </c>
      <c r="E10187" s="12" t="s">
        <v>16</v>
      </c>
      <c r="F10187" s="14">
        <v>400000</v>
      </c>
      <c r="G10187" s="14">
        <v>308500</v>
      </c>
      <c r="H10187" s="13" t="s">
        <v>18773</v>
      </c>
      <c r="I10187" s="40" t="s">
        <v>18</v>
      </c>
      <c r="J10187" s="40" t="str">
        <f>HYPERLINK("https://stock.pstatic.net/stock-research/company/1/20250801_company_167677000.pdf","PDF")</f>
        <v>PDF</v>
      </c>
      <c r="K10187" s="12" t="s">
        <v>18774</v>
      </c>
      <c r="L10187" s="20">
        <v>0.29659643435980548</v>
      </c>
    </row>
    <row r="10188" spans="1:12" x14ac:dyDescent="0.45">
      <c r="A10188" s="12" t="s">
        <v>18563</v>
      </c>
      <c r="B10188" s="12" t="s">
        <v>1140</v>
      </c>
      <c r="C10188" s="13" t="s">
        <v>1141</v>
      </c>
      <c r="D10188" s="13" t="s">
        <v>23</v>
      </c>
      <c r="E10188" s="12" t="s">
        <v>50</v>
      </c>
      <c r="F10188" s="14">
        <v>39000</v>
      </c>
      <c r="G10188" s="14">
        <v>38550</v>
      </c>
      <c r="H10188" s="13" t="s">
        <v>18775</v>
      </c>
      <c r="I10188" s="40" t="s">
        <v>18</v>
      </c>
      <c r="J10188" s="40" t="str">
        <f>HYPERLINK("https://stock.pstatic.net/stock-research/company/21/20250801_company_379690000.pdf","PDF")</f>
        <v>PDF</v>
      </c>
      <c r="K10188" s="12" t="s">
        <v>18776</v>
      </c>
      <c r="L10188" s="20">
        <v>1.1673151750972759E-2</v>
      </c>
    </row>
    <row r="10189" spans="1:12" x14ac:dyDescent="0.45">
      <c r="A10189" s="12" t="s">
        <v>18563</v>
      </c>
      <c r="B10189" s="12" t="s">
        <v>3079</v>
      </c>
      <c r="C10189" s="13" t="s">
        <v>3080</v>
      </c>
      <c r="D10189" s="13" t="s">
        <v>34</v>
      </c>
      <c r="E10189" s="12" t="s">
        <v>35</v>
      </c>
      <c r="F10189" s="14">
        <v>37000</v>
      </c>
      <c r="G10189" s="14">
        <v>31350</v>
      </c>
      <c r="H10189" s="13" t="s">
        <v>18777</v>
      </c>
      <c r="I10189" s="40" t="s">
        <v>18</v>
      </c>
      <c r="J10189" s="40" t="str">
        <f>HYPERLINK("https://stock.pstatic.net/stock-research/company/61/20250801_company_704814000.pdf","PDF")</f>
        <v>PDF</v>
      </c>
      <c r="K10189" s="12" t="s">
        <v>18778</v>
      </c>
      <c r="L10189" s="20">
        <v>0.1802232854864434</v>
      </c>
    </row>
    <row r="10190" spans="1:12" x14ac:dyDescent="0.45">
      <c r="A10190" s="12" t="s">
        <v>18563</v>
      </c>
      <c r="B10190" s="12" t="s">
        <v>1548</v>
      </c>
      <c r="C10190" s="13" t="s">
        <v>1549</v>
      </c>
      <c r="D10190" s="13" t="s">
        <v>34</v>
      </c>
      <c r="E10190" s="12" t="s">
        <v>35</v>
      </c>
      <c r="F10190" s="14">
        <v>1360000</v>
      </c>
      <c r="G10190" s="14">
        <v>996000</v>
      </c>
      <c r="H10190" s="13" t="s">
        <v>18779</v>
      </c>
      <c r="I10190" s="40" t="s">
        <v>18</v>
      </c>
      <c r="J10190" s="40" t="str">
        <f>HYPERLINK("https://stock.pstatic.net/stock-research/company/61/20250801_company_583627000.pdf","PDF")</f>
        <v>PDF</v>
      </c>
      <c r="K10190" s="12" t="s">
        <v>18780</v>
      </c>
      <c r="L10190" s="20">
        <v>0.36546184738955823</v>
      </c>
    </row>
    <row r="10191" spans="1:12" x14ac:dyDescent="0.45">
      <c r="A10191" s="12" t="s">
        <v>18563</v>
      </c>
      <c r="B10191" s="12" t="s">
        <v>2758</v>
      </c>
      <c r="C10191" s="13" t="s">
        <v>2759</v>
      </c>
      <c r="D10191" s="13" t="s">
        <v>34</v>
      </c>
      <c r="E10191" s="12" t="s">
        <v>35</v>
      </c>
      <c r="F10191" s="14">
        <v>360000</v>
      </c>
      <c r="G10191" s="14">
        <v>308500</v>
      </c>
      <c r="H10191" s="13" t="s">
        <v>18781</v>
      </c>
      <c r="I10191" s="40" t="s">
        <v>18</v>
      </c>
      <c r="J10191" s="40" t="str">
        <f>HYPERLINK("https://stock.pstatic.net/stock-research/company/61/20250801_company_377168000.pdf","PDF")</f>
        <v>PDF</v>
      </c>
      <c r="K10191" s="12" t="s">
        <v>18782</v>
      </c>
      <c r="L10191" s="20">
        <v>0.16693679092382499</v>
      </c>
    </row>
    <row r="10192" spans="1:12" x14ac:dyDescent="0.45">
      <c r="A10192" s="12" t="s">
        <v>18563</v>
      </c>
      <c r="B10192" s="12" t="s">
        <v>856</v>
      </c>
      <c r="C10192" s="13" t="s">
        <v>857</v>
      </c>
      <c r="D10192" s="13" t="s">
        <v>44</v>
      </c>
      <c r="E10192" s="12" t="s">
        <v>35</v>
      </c>
      <c r="F10192" s="14">
        <v>210000</v>
      </c>
      <c r="G10192" s="14">
        <v>147200</v>
      </c>
      <c r="H10192" s="13" t="s">
        <v>18783</v>
      </c>
      <c r="I10192" s="40" t="s">
        <v>18</v>
      </c>
      <c r="J10192" s="40" t="str">
        <f>HYPERLINK("https://stock.pstatic.net/stock-research/company/39/20250801_company_583152000.pdf","PDF")</f>
        <v>PDF</v>
      </c>
      <c r="K10192" s="12" t="s">
        <v>18784</v>
      </c>
      <c r="L10192" s="20">
        <v>0.4266304347826087</v>
      </c>
    </row>
    <row r="10193" spans="1:12" x14ac:dyDescent="0.45">
      <c r="A10193" s="12" t="s">
        <v>18563</v>
      </c>
      <c r="B10193" s="12" t="s">
        <v>14281</v>
      </c>
      <c r="C10193" s="13" t="s">
        <v>14282</v>
      </c>
      <c r="D10193" s="13" t="s">
        <v>44</v>
      </c>
      <c r="E10193" s="12" t="s">
        <v>50</v>
      </c>
      <c r="F10193" s="13"/>
      <c r="G10193" s="14">
        <v>6010</v>
      </c>
      <c r="H10193" s="13" t="s">
        <v>18785</v>
      </c>
      <c r="I10193" s="40" t="s">
        <v>18</v>
      </c>
      <c r="J10193" s="40" t="str">
        <f>HYPERLINK("https://stock.pstatic.net/stock-research/company/39/20250801_company_3715000.pdf","PDF")</f>
        <v>PDF</v>
      </c>
      <c r="K10193" s="12" t="s">
        <v>18786</v>
      </c>
    </row>
    <row r="10194" spans="1:12" x14ac:dyDescent="0.45">
      <c r="A10194" s="12" t="s">
        <v>18563</v>
      </c>
      <c r="B10194" s="12" t="s">
        <v>32</v>
      </c>
      <c r="C10194" s="13" t="s">
        <v>33</v>
      </c>
      <c r="D10194" s="13" t="s">
        <v>44</v>
      </c>
      <c r="E10194" s="12" t="s">
        <v>35</v>
      </c>
      <c r="F10194" s="14">
        <v>190000</v>
      </c>
      <c r="G10194" s="14">
        <v>148700</v>
      </c>
      <c r="H10194" s="13" t="s">
        <v>18787</v>
      </c>
      <c r="I10194" s="40" t="s">
        <v>18</v>
      </c>
      <c r="J10194" s="40" t="str">
        <f>HYPERLINK("https://stock.pstatic.net/stock-research/company/39/20250801_company_372682000.pdf","PDF")</f>
        <v>PDF</v>
      </c>
      <c r="K10194" s="12" t="s">
        <v>18788</v>
      </c>
      <c r="L10194" s="20">
        <v>0.2777404169468729</v>
      </c>
    </row>
    <row r="10195" spans="1:12" x14ac:dyDescent="0.45">
      <c r="A10195" s="12" t="s">
        <v>18563</v>
      </c>
      <c r="B10195" s="12" t="s">
        <v>13</v>
      </c>
      <c r="C10195" s="13" t="s">
        <v>14</v>
      </c>
      <c r="D10195" s="13" t="s">
        <v>44</v>
      </c>
      <c r="E10195" s="12" t="s">
        <v>35</v>
      </c>
      <c r="F10195" s="14">
        <v>89000</v>
      </c>
      <c r="G10195" s="14">
        <v>71400</v>
      </c>
      <c r="H10195" s="13" t="s">
        <v>18789</v>
      </c>
      <c r="I10195" s="40" t="s">
        <v>18</v>
      </c>
      <c r="J10195" s="40" t="str">
        <f>HYPERLINK("https://stock.pstatic.net/stock-research/company/39/20250801_company_338625000.pdf","PDF")</f>
        <v>PDF</v>
      </c>
      <c r="K10195" s="12" t="s">
        <v>18790</v>
      </c>
      <c r="L10195" s="20">
        <v>0.2464985994397759</v>
      </c>
    </row>
    <row r="10196" spans="1:12" x14ac:dyDescent="0.45">
      <c r="A10196" s="12" t="s">
        <v>18563</v>
      </c>
      <c r="B10196" s="12" t="s">
        <v>2944</v>
      </c>
      <c r="C10196" s="13" t="s">
        <v>2945</v>
      </c>
      <c r="D10196" s="13" t="s">
        <v>44</v>
      </c>
      <c r="E10196" s="12" t="s">
        <v>35</v>
      </c>
      <c r="F10196" s="14">
        <v>18500</v>
      </c>
      <c r="G10196" s="14">
        <v>14590</v>
      </c>
      <c r="H10196" s="13" t="s">
        <v>18791</v>
      </c>
      <c r="I10196" s="40" t="s">
        <v>18</v>
      </c>
      <c r="J10196" s="40" t="str">
        <f>HYPERLINK("https://stock.pstatic.net/stock-research/company/39/20250801_company_400546000.pdf","PDF")</f>
        <v>PDF</v>
      </c>
      <c r="K10196" s="12" t="s">
        <v>18792</v>
      </c>
      <c r="L10196" s="20">
        <v>0.26799177518848533</v>
      </c>
    </row>
    <row r="10197" spans="1:12" x14ac:dyDescent="0.45">
      <c r="A10197" s="12" t="s">
        <v>18563</v>
      </c>
      <c r="B10197" s="12" t="s">
        <v>81</v>
      </c>
      <c r="C10197" s="13" t="s">
        <v>82</v>
      </c>
      <c r="D10197" s="13" t="s">
        <v>44</v>
      </c>
      <c r="E10197" s="12" t="s">
        <v>35</v>
      </c>
      <c r="F10197" s="14">
        <v>24500</v>
      </c>
      <c r="G10197" s="14">
        <v>20200</v>
      </c>
      <c r="H10197" s="13" t="s">
        <v>18793</v>
      </c>
      <c r="I10197" s="40" t="s">
        <v>18</v>
      </c>
      <c r="J10197" s="40" t="str">
        <f>HYPERLINK("https://stock.pstatic.net/stock-research/company/39/20250801_company_593034000.pdf","PDF")</f>
        <v>PDF</v>
      </c>
      <c r="K10197" s="12" t="s">
        <v>18794</v>
      </c>
      <c r="L10197" s="20">
        <v>0.21287128712871289</v>
      </c>
    </row>
    <row r="10198" spans="1:12" x14ac:dyDescent="0.45">
      <c r="A10198" s="12" t="s">
        <v>18563</v>
      </c>
      <c r="B10198" s="12" t="s">
        <v>3714</v>
      </c>
      <c r="C10198" s="13" t="s">
        <v>3715</v>
      </c>
      <c r="D10198" s="13" t="s">
        <v>124</v>
      </c>
      <c r="E10198" s="12" t="s">
        <v>50</v>
      </c>
      <c r="F10198" s="13"/>
      <c r="G10198" s="13"/>
      <c r="H10198" s="13" t="s">
        <v>18795</v>
      </c>
      <c r="I10198" s="40" t="s">
        <v>18</v>
      </c>
      <c r="J10198" s="40" t="str">
        <f>HYPERLINK("https://stock.pstatic.net/stock-research/company/74/20250801_company_109984000.pdf","PDF")</f>
        <v>PDF</v>
      </c>
      <c r="K10198" s="12" t="s">
        <v>18796</v>
      </c>
    </row>
    <row r="10199" spans="1:12" x14ac:dyDescent="0.45">
      <c r="A10199" s="12" t="s">
        <v>18563</v>
      </c>
      <c r="B10199" s="12" t="s">
        <v>3972</v>
      </c>
      <c r="C10199" s="13" t="s">
        <v>3973</v>
      </c>
      <c r="D10199" s="13" t="s">
        <v>53</v>
      </c>
      <c r="E10199" s="12" t="s">
        <v>16</v>
      </c>
      <c r="F10199" s="14">
        <v>66000</v>
      </c>
      <c r="G10199" s="14">
        <v>40400</v>
      </c>
      <c r="H10199" s="13" t="s">
        <v>18797</v>
      </c>
      <c r="I10199" s="40" t="s">
        <v>18</v>
      </c>
      <c r="J10199" s="40" t="str">
        <f>HYPERLINK("https://stock.pstatic.net/stock-research/company/40/20250801_company_422456000.pdf","PDF")</f>
        <v>PDF</v>
      </c>
      <c r="K10199" s="12" t="s">
        <v>18798</v>
      </c>
      <c r="L10199" s="20">
        <v>0.63366336633663367</v>
      </c>
    </row>
    <row r="10200" spans="1:12" x14ac:dyDescent="0.45">
      <c r="A10200" s="12" t="s">
        <v>18563</v>
      </c>
      <c r="B10200" s="12" t="s">
        <v>32</v>
      </c>
      <c r="C10200" s="13" t="s">
        <v>33</v>
      </c>
      <c r="D10200" s="13" t="s">
        <v>53</v>
      </c>
      <c r="E10200" s="12" t="s">
        <v>16</v>
      </c>
      <c r="F10200" s="14">
        <v>170000</v>
      </c>
      <c r="G10200" s="14">
        <v>148700</v>
      </c>
      <c r="H10200" s="13" t="s">
        <v>18799</v>
      </c>
      <c r="I10200" s="40" t="s">
        <v>18</v>
      </c>
      <c r="J10200" s="40" t="str">
        <f>HYPERLINK("https://stock.pstatic.net/stock-research/company/40/20250801_company_810691000.pdf","PDF")</f>
        <v>PDF</v>
      </c>
      <c r="K10200" s="12" t="s">
        <v>18800</v>
      </c>
      <c r="L10200" s="20">
        <v>0.14324142568930731</v>
      </c>
    </row>
    <row r="10201" spans="1:12" x14ac:dyDescent="0.45">
      <c r="A10201" s="12" t="s">
        <v>18563</v>
      </c>
      <c r="B10201" s="12" t="s">
        <v>13</v>
      </c>
      <c r="C10201" s="13" t="s">
        <v>14</v>
      </c>
      <c r="D10201" s="13" t="s">
        <v>53</v>
      </c>
      <c r="E10201" s="12" t="s">
        <v>16</v>
      </c>
      <c r="F10201" s="14">
        <v>90000</v>
      </c>
      <c r="G10201" s="14">
        <v>71400</v>
      </c>
      <c r="H10201" s="13" t="s">
        <v>18801</v>
      </c>
      <c r="I10201" s="40" t="s">
        <v>18</v>
      </c>
      <c r="J10201" s="40" t="str">
        <f>HYPERLINK("https://stock.pstatic.net/stock-research/company/40/20250801_company_324103000.pdf","PDF")</f>
        <v>PDF</v>
      </c>
      <c r="K10201" s="12" t="s">
        <v>18802</v>
      </c>
      <c r="L10201" s="20">
        <v>0.26050420168067229</v>
      </c>
    </row>
    <row r="10202" spans="1:12" x14ac:dyDescent="0.45">
      <c r="A10202" s="12" t="s">
        <v>18563</v>
      </c>
      <c r="B10202" s="12" t="s">
        <v>3024</v>
      </c>
      <c r="C10202" s="13" t="s">
        <v>3025</v>
      </c>
      <c r="D10202" s="13" t="s">
        <v>15</v>
      </c>
      <c r="E10202" s="12" t="s">
        <v>16</v>
      </c>
      <c r="F10202" s="14">
        <v>59000</v>
      </c>
      <c r="G10202" s="14">
        <v>48800</v>
      </c>
      <c r="H10202" s="13" t="s">
        <v>1550</v>
      </c>
      <c r="I10202" s="40" t="s">
        <v>18</v>
      </c>
      <c r="J10202" s="40" t="str">
        <f>HYPERLINK("https://stock.pstatic.net/stock-research/company/29/20250801_company_644321000.pdf","PDF")</f>
        <v>PDF</v>
      </c>
      <c r="K10202" s="12" t="s">
        <v>18803</v>
      </c>
      <c r="L10202" s="20">
        <v>0.20901639344262299</v>
      </c>
    </row>
    <row r="10203" spans="1:12" x14ac:dyDescent="0.45">
      <c r="A10203" s="12" t="s">
        <v>18563</v>
      </c>
      <c r="B10203" s="12" t="s">
        <v>2982</v>
      </c>
      <c r="C10203" s="13" t="s">
        <v>2983</v>
      </c>
      <c r="D10203" s="13" t="s">
        <v>53</v>
      </c>
      <c r="E10203" s="12" t="s">
        <v>16</v>
      </c>
      <c r="F10203" s="14">
        <v>58000</v>
      </c>
      <c r="G10203" s="14">
        <v>47150</v>
      </c>
      <c r="H10203" s="13" t="s">
        <v>18804</v>
      </c>
      <c r="I10203" s="40" t="s">
        <v>18</v>
      </c>
      <c r="J10203" s="40" t="str">
        <f>HYPERLINK("https://stock.pstatic.net/stock-research/company/40/20250801_company_889428000.pdf","PDF")</f>
        <v>PDF</v>
      </c>
      <c r="K10203" s="12" t="s">
        <v>18805</v>
      </c>
      <c r="L10203" s="20">
        <v>0.23011664899257689</v>
      </c>
    </row>
    <row r="10204" spans="1:12" x14ac:dyDescent="0.45">
      <c r="A10204" s="12" t="s">
        <v>18563</v>
      </c>
      <c r="B10204" s="12" t="s">
        <v>32</v>
      </c>
      <c r="C10204" s="13" t="s">
        <v>33</v>
      </c>
      <c r="D10204" s="13" t="s">
        <v>15</v>
      </c>
      <c r="E10204" s="12" t="s">
        <v>16</v>
      </c>
      <c r="F10204" s="14">
        <v>180000</v>
      </c>
      <c r="G10204" s="14">
        <v>151900</v>
      </c>
      <c r="H10204" s="13" t="s">
        <v>18806</v>
      </c>
      <c r="I10204" s="40" t="s">
        <v>18</v>
      </c>
      <c r="J10204" s="40" t="str">
        <f>HYPERLINK("https://stock.pstatic.net/stock-research/company/29/20250801_company_16103000.pdf","PDF")</f>
        <v>PDF</v>
      </c>
      <c r="K10204" s="12" t="s">
        <v>18807</v>
      </c>
      <c r="L10204" s="20">
        <v>0.18499012508229101</v>
      </c>
    </row>
    <row r="10205" spans="1:12" x14ac:dyDescent="0.45">
      <c r="A10205" s="12" t="s">
        <v>18563</v>
      </c>
      <c r="B10205" s="12" t="s">
        <v>533</v>
      </c>
      <c r="C10205" s="13" t="s">
        <v>534</v>
      </c>
      <c r="D10205" s="13" t="s">
        <v>853</v>
      </c>
      <c r="E10205" s="12" t="s">
        <v>35</v>
      </c>
      <c r="F10205" s="14">
        <v>65500</v>
      </c>
      <c r="G10205" s="14">
        <v>58100</v>
      </c>
      <c r="H10205" s="13" t="s">
        <v>18808</v>
      </c>
      <c r="I10205" s="40" t="s">
        <v>18</v>
      </c>
      <c r="J10205" s="40" t="str">
        <f>HYPERLINK("https://stock.pstatic.net/stock-research/company/17/20250801_company_522111000.pdf","PDF")</f>
        <v>PDF</v>
      </c>
      <c r="K10205" s="12" t="s">
        <v>18809</v>
      </c>
      <c r="L10205" s="20">
        <v>0.12736660929432009</v>
      </c>
    </row>
    <row r="10206" spans="1:12" x14ac:dyDescent="0.45">
      <c r="A10206" s="12" t="s">
        <v>18563</v>
      </c>
      <c r="B10206" s="12" t="s">
        <v>1690</v>
      </c>
      <c r="C10206" s="13" t="s">
        <v>1691</v>
      </c>
      <c r="D10206" s="13" t="s">
        <v>34</v>
      </c>
      <c r="E10206" s="12" t="s">
        <v>159</v>
      </c>
      <c r="F10206" s="14">
        <v>120000</v>
      </c>
      <c r="G10206" s="14">
        <v>107900</v>
      </c>
      <c r="H10206" s="13" t="s">
        <v>18810</v>
      </c>
      <c r="I10206" s="40" t="s">
        <v>18</v>
      </c>
      <c r="J10206" s="40" t="str">
        <f>HYPERLINK("https://stock.pstatic.net/stock-research/company/61/20250801_company_485281000.pdf","PDF")</f>
        <v>PDF</v>
      </c>
      <c r="K10206" s="12" t="s">
        <v>18811</v>
      </c>
      <c r="L10206" s="20">
        <v>0.11214087117701579</v>
      </c>
    </row>
    <row r="10207" spans="1:12" x14ac:dyDescent="0.45">
      <c r="A10207" s="12" t="s">
        <v>18563</v>
      </c>
      <c r="B10207" s="12" t="s">
        <v>977</v>
      </c>
      <c r="C10207" s="13" t="s">
        <v>978</v>
      </c>
      <c r="D10207" s="13" t="s">
        <v>207</v>
      </c>
      <c r="E10207" s="12" t="s">
        <v>50</v>
      </c>
      <c r="F10207" s="13"/>
      <c r="G10207" s="13"/>
      <c r="H10207" s="13" t="s">
        <v>18812</v>
      </c>
      <c r="I10207" s="40" t="s">
        <v>18</v>
      </c>
      <c r="J10207" s="40" t="str">
        <f>HYPERLINK("https://stock.pstatic.net/stock-research/company/75/20250801_company_709223000.pdf","PDF")</f>
        <v>PDF</v>
      </c>
      <c r="K10207" s="12" t="s">
        <v>18813</v>
      </c>
    </row>
    <row r="10208" spans="1:12" x14ac:dyDescent="0.45">
      <c r="A10208" s="12" t="s">
        <v>18563</v>
      </c>
      <c r="B10208" s="12" t="s">
        <v>18814</v>
      </c>
      <c r="C10208" s="13" t="s">
        <v>18815</v>
      </c>
      <c r="D10208" s="13" t="s">
        <v>202</v>
      </c>
      <c r="E10208" s="12" t="s">
        <v>50</v>
      </c>
      <c r="F10208" s="13"/>
      <c r="G10208" s="13"/>
      <c r="H10208" s="13" t="s">
        <v>18816</v>
      </c>
      <c r="I10208" s="40" t="s">
        <v>18</v>
      </c>
      <c r="J10208" s="40" t="str">
        <f>HYPERLINK("https://stock.pstatic.net/stock-research/company/69/20250801_company_666127000.pdf","PDF")</f>
        <v>PDF</v>
      </c>
      <c r="K10208" s="12" t="s">
        <v>18817</v>
      </c>
    </row>
    <row r="10209" spans="1:12" x14ac:dyDescent="0.45">
      <c r="A10209" s="12" t="s">
        <v>18563</v>
      </c>
      <c r="B10209" s="12" t="s">
        <v>5715</v>
      </c>
      <c r="C10209" s="13" t="s">
        <v>5716</v>
      </c>
      <c r="D10209" s="13" t="s">
        <v>11154</v>
      </c>
      <c r="E10209" s="12" t="s">
        <v>50</v>
      </c>
      <c r="F10209" s="13"/>
      <c r="G10209" s="13"/>
      <c r="H10209" s="13" t="s">
        <v>18818</v>
      </c>
      <c r="I10209" s="40" t="s">
        <v>18</v>
      </c>
      <c r="J10209" s="40" t="str">
        <f>HYPERLINK("https://stock.pstatic.net/stock-research/company/79/20250801_company_705333000.pdf","PDF")</f>
        <v>PDF</v>
      </c>
      <c r="K10209" s="12" t="s">
        <v>18819</v>
      </c>
    </row>
    <row r="10210" spans="1:12" x14ac:dyDescent="0.45">
      <c r="A10210" s="12" t="s">
        <v>18563</v>
      </c>
      <c r="B10210" s="12" t="s">
        <v>18820</v>
      </c>
      <c r="C10210" s="13" t="s">
        <v>18821</v>
      </c>
      <c r="D10210" s="13" t="s">
        <v>11154</v>
      </c>
      <c r="E10210" s="12" t="s">
        <v>50</v>
      </c>
      <c r="F10210" s="13"/>
      <c r="G10210" s="13"/>
      <c r="H10210" s="13" t="s">
        <v>18822</v>
      </c>
      <c r="I10210" s="40" t="s">
        <v>18</v>
      </c>
      <c r="J10210" s="40" t="str">
        <f>HYPERLINK("https://stock.pstatic.net/stock-research/company/79/20250801_company_957794000.pdf","PDF")</f>
        <v>PDF</v>
      </c>
      <c r="K10210" s="12" t="s">
        <v>18823</v>
      </c>
    </row>
    <row r="10211" spans="1:12" x14ac:dyDescent="0.45">
      <c r="A10211" s="12" t="s">
        <v>18563</v>
      </c>
      <c r="B10211" s="12" t="s">
        <v>18824</v>
      </c>
      <c r="C10211" s="13" t="s">
        <v>18825</v>
      </c>
      <c r="D10211" s="13" t="s">
        <v>207</v>
      </c>
      <c r="E10211" s="12" t="s">
        <v>50</v>
      </c>
      <c r="F10211" s="13"/>
      <c r="G10211" s="13"/>
      <c r="H10211" s="13" t="s">
        <v>18826</v>
      </c>
      <c r="I10211" s="40" t="s">
        <v>18</v>
      </c>
      <c r="J10211" s="40" t="str">
        <f>HYPERLINK("https://stock.pstatic.net/stock-research/company/75/20250801_company_719304000.pdf","PDF")</f>
        <v>PDF</v>
      </c>
      <c r="K10211" s="12" t="s">
        <v>18827</v>
      </c>
    </row>
    <row r="10212" spans="1:12" x14ac:dyDescent="0.45">
      <c r="A10212" s="12" t="s">
        <v>18563</v>
      </c>
      <c r="B10212" s="12" t="s">
        <v>18828</v>
      </c>
      <c r="C10212" s="13" t="s">
        <v>18829</v>
      </c>
      <c r="D10212" s="13" t="s">
        <v>207</v>
      </c>
      <c r="E10212" s="12" t="s">
        <v>50</v>
      </c>
      <c r="F10212" s="13"/>
      <c r="G10212" s="13"/>
      <c r="H10212" s="13" t="s">
        <v>18830</v>
      </c>
      <c r="I10212" s="40" t="s">
        <v>18</v>
      </c>
      <c r="J10212" s="40" t="str">
        <f>HYPERLINK("https://stock.pstatic.net/stock-research/company/75/20250801_company_745645000.pdf","PDF")</f>
        <v>PDF</v>
      </c>
      <c r="K10212" s="12" t="s">
        <v>18831</v>
      </c>
    </row>
    <row r="10213" spans="1:12" x14ac:dyDescent="0.45">
      <c r="A10213" s="12" t="s">
        <v>18563</v>
      </c>
      <c r="B10213" s="12" t="s">
        <v>18832</v>
      </c>
      <c r="C10213" s="13" t="s">
        <v>18833</v>
      </c>
      <c r="D10213" s="13" t="s">
        <v>202</v>
      </c>
      <c r="E10213" s="12" t="s">
        <v>50</v>
      </c>
      <c r="F10213" s="13"/>
      <c r="G10213" s="13"/>
      <c r="H10213" s="13" t="s">
        <v>18834</v>
      </c>
      <c r="I10213" s="40" t="s">
        <v>18</v>
      </c>
      <c r="J10213" s="40" t="str">
        <f>HYPERLINK("https://stock.pstatic.net/stock-research/company/69/20250801_company_764474000.pdf","PDF")</f>
        <v>PDF</v>
      </c>
      <c r="K10213" s="12" t="s">
        <v>18835</v>
      </c>
    </row>
    <row r="10214" spans="1:12" x14ac:dyDescent="0.45">
      <c r="A10214" s="12" t="s">
        <v>18563</v>
      </c>
      <c r="B10214" s="12" t="s">
        <v>18836</v>
      </c>
      <c r="C10214" s="13" t="s">
        <v>18837</v>
      </c>
      <c r="D10214" s="13" t="s">
        <v>202</v>
      </c>
      <c r="E10214" s="12" t="s">
        <v>50</v>
      </c>
      <c r="F10214" s="13"/>
      <c r="G10214" s="13"/>
      <c r="H10214" s="13" t="s">
        <v>18838</v>
      </c>
      <c r="I10214" s="40" t="s">
        <v>18</v>
      </c>
      <c r="J10214" s="40" t="str">
        <f>HYPERLINK("https://stock.pstatic.net/stock-research/company/69/20250801_company_722471000.pdf","PDF")</f>
        <v>PDF</v>
      </c>
      <c r="K10214" s="12" t="s">
        <v>18839</v>
      </c>
    </row>
    <row r="10215" spans="1:12" x14ac:dyDescent="0.45">
      <c r="A10215" s="12" t="s">
        <v>18563</v>
      </c>
      <c r="B10215" s="12" t="s">
        <v>18840</v>
      </c>
      <c r="C10215" s="13" t="s">
        <v>18841</v>
      </c>
      <c r="D10215" s="13" t="s">
        <v>11154</v>
      </c>
      <c r="E10215" s="12" t="s">
        <v>50</v>
      </c>
      <c r="F10215" s="13"/>
      <c r="G10215" s="13"/>
      <c r="H10215" s="13" t="s">
        <v>18842</v>
      </c>
      <c r="I10215" s="40" t="s">
        <v>18</v>
      </c>
      <c r="J10215" s="40" t="str">
        <f>HYPERLINK("https://stock.pstatic.net/stock-research/company/1/20250801_company_660666000.pdf","PDF")</f>
        <v>PDF</v>
      </c>
      <c r="K10215" s="12" t="s">
        <v>18843</v>
      </c>
    </row>
    <row r="10216" spans="1:12" x14ac:dyDescent="0.45">
      <c r="A10216" s="12" t="s">
        <v>18563</v>
      </c>
      <c r="B10216" s="12" t="s">
        <v>18844</v>
      </c>
      <c r="C10216" s="13" t="s">
        <v>18845</v>
      </c>
      <c r="D10216" s="13" t="s">
        <v>207</v>
      </c>
      <c r="E10216" s="12" t="s">
        <v>50</v>
      </c>
      <c r="F10216" s="13"/>
      <c r="G10216" s="13"/>
      <c r="H10216" s="13" t="s">
        <v>18846</v>
      </c>
      <c r="I10216" s="40" t="s">
        <v>18</v>
      </c>
      <c r="J10216" s="40" t="str">
        <f>HYPERLINK("https://stock.pstatic.net/stock-research/company/75/20250801_company_64665000.pdf","PDF")</f>
        <v>PDF</v>
      </c>
      <c r="K10216" s="12" t="s">
        <v>18847</v>
      </c>
    </row>
    <row r="10217" spans="1:12" x14ac:dyDescent="0.45">
      <c r="A10217" s="12" t="s">
        <v>18563</v>
      </c>
      <c r="B10217" s="12" t="s">
        <v>916</v>
      </c>
      <c r="C10217" s="13" t="s">
        <v>917</v>
      </c>
      <c r="D10217" s="13" t="s">
        <v>23</v>
      </c>
      <c r="E10217" s="12" t="s">
        <v>16</v>
      </c>
      <c r="F10217" s="14">
        <v>86000</v>
      </c>
      <c r="G10217" s="14">
        <v>56300</v>
      </c>
      <c r="H10217" s="13" t="s">
        <v>18848</v>
      </c>
      <c r="I10217" s="40" t="s">
        <v>18</v>
      </c>
      <c r="J10217" s="40" t="str">
        <f>HYPERLINK("https://stock.pstatic.net/stock-research/company/21/20250801_company_999246000.pdf","PDF")</f>
        <v>PDF</v>
      </c>
      <c r="K10217" s="12" t="s">
        <v>18849</v>
      </c>
      <c r="L10217" s="20">
        <v>0.52753108348134992</v>
      </c>
    </row>
    <row r="10218" spans="1:12" x14ac:dyDescent="0.45">
      <c r="A10218" s="12" t="s">
        <v>18850</v>
      </c>
      <c r="B10218" s="12" t="s">
        <v>334</v>
      </c>
      <c r="C10218" s="13" t="s">
        <v>335</v>
      </c>
      <c r="D10218" s="13" t="s">
        <v>714</v>
      </c>
      <c r="E10218" s="12" t="s">
        <v>35</v>
      </c>
      <c r="F10218" s="14">
        <v>325000</v>
      </c>
      <c r="G10218" s="14">
        <v>269500</v>
      </c>
      <c r="H10218" s="13" t="s">
        <v>18851</v>
      </c>
      <c r="I10218" s="40" t="s">
        <v>18</v>
      </c>
      <c r="J10218" s="40" t="str">
        <f>HYPERLINK("https://stock.pstatic.net/stock-research/company/38/20250731_company_685270000.pdf","PDF")</f>
        <v>PDF</v>
      </c>
      <c r="K10218" s="12" t="s">
        <v>18852</v>
      </c>
      <c r="L10218" s="20">
        <v>0.20593692022263449</v>
      </c>
    </row>
    <row r="10219" spans="1:12" x14ac:dyDescent="0.45">
      <c r="A10219" s="12" t="s">
        <v>18850</v>
      </c>
      <c r="B10219" s="12" t="s">
        <v>14730</v>
      </c>
      <c r="C10219" s="13" t="s">
        <v>14731</v>
      </c>
      <c r="D10219" s="13" t="s">
        <v>276</v>
      </c>
      <c r="E10219" s="12" t="s">
        <v>16</v>
      </c>
      <c r="F10219" s="14">
        <v>61000</v>
      </c>
      <c r="G10219" s="14">
        <v>50200</v>
      </c>
      <c r="H10219" s="13" t="s">
        <v>18853</v>
      </c>
      <c r="I10219" s="40" t="s">
        <v>18</v>
      </c>
      <c r="J10219" s="40" t="str">
        <f>HYPERLINK("https://stock.pstatic.net/stock-research/company/66/20250731_company_9589000.pdf","PDF")</f>
        <v>PDF</v>
      </c>
      <c r="K10219" s="12" t="s">
        <v>18854</v>
      </c>
      <c r="L10219" s="20">
        <v>0.2151394422310757</v>
      </c>
    </row>
    <row r="10220" spans="1:12" x14ac:dyDescent="0.45">
      <c r="A10220" s="12" t="s">
        <v>18850</v>
      </c>
      <c r="B10220" s="12" t="s">
        <v>2365</v>
      </c>
      <c r="C10220" s="13" t="s">
        <v>2366</v>
      </c>
      <c r="D10220" s="13" t="s">
        <v>276</v>
      </c>
      <c r="E10220" s="12" t="s">
        <v>16</v>
      </c>
      <c r="F10220" s="14">
        <v>120000</v>
      </c>
      <c r="G10220" s="14">
        <v>72000</v>
      </c>
      <c r="H10220" s="13" t="s">
        <v>18855</v>
      </c>
      <c r="I10220" s="40" t="s">
        <v>18</v>
      </c>
      <c r="J10220" s="40" t="str">
        <f>HYPERLINK("https://stock.pstatic.net/stock-research/company/66/20250731_company_281368000.pdf","PDF")</f>
        <v>PDF</v>
      </c>
      <c r="K10220" s="12" t="s">
        <v>18856</v>
      </c>
      <c r="L10220" s="20">
        <v>0.66666666666666663</v>
      </c>
    </row>
    <row r="10221" spans="1:12" x14ac:dyDescent="0.45">
      <c r="A10221" s="12" t="s">
        <v>18850</v>
      </c>
      <c r="B10221" s="12" t="s">
        <v>3296</v>
      </c>
      <c r="C10221" s="13" t="s">
        <v>3297</v>
      </c>
      <c r="D10221" s="13" t="s">
        <v>276</v>
      </c>
      <c r="E10221" s="12" t="s">
        <v>16</v>
      </c>
      <c r="F10221" s="14">
        <v>61000</v>
      </c>
      <c r="G10221" s="14">
        <v>42150</v>
      </c>
      <c r="H10221" s="13" t="s">
        <v>18857</v>
      </c>
      <c r="I10221" s="40" t="s">
        <v>18</v>
      </c>
      <c r="J10221" s="40" t="str">
        <f>HYPERLINK("https://stock.pstatic.net/stock-research/company/66/20250731_company_628539000.pdf","PDF")</f>
        <v>PDF</v>
      </c>
      <c r="K10221" s="12" t="s">
        <v>18858</v>
      </c>
      <c r="L10221" s="20">
        <v>0.4472123368920522</v>
      </c>
    </row>
    <row r="10222" spans="1:12" x14ac:dyDescent="0.45">
      <c r="A10222" s="12" t="s">
        <v>18850</v>
      </c>
      <c r="B10222" s="12" t="s">
        <v>2081</v>
      </c>
      <c r="C10222" s="13" t="s">
        <v>2082</v>
      </c>
      <c r="D10222" s="13" t="s">
        <v>276</v>
      </c>
      <c r="E10222" s="12" t="s">
        <v>16</v>
      </c>
      <c r="F10222" s="14">
        <v>25000</v>
      </c>
      <c r="G10222" s="14">
        <v>18260</v>
      </c>
      <c r="H10222" s="13" t="s">
        <v>18859</v>
      </c>
      <c r="I10222" s="40" t="s">
        <v>18</v>
      </c>
      <c r="J10222" s="40" t="str">
        <f>HYPERLINK("https://stock.pstatic.net/stock-research/company/66/20250731_company_694248000.pdf","PDF")</f>
        <v>PDF</v>
      </c>
      <c r="K10222" s="12" t="s">
        <v>18860</v>
      </c>
      <c r="L10222" s="20">
        <v>0.36911281489594738</v>
      </c>
    </row>
    <row r="10223" spans="1:12" x14ac:dyDescent="0.45">
      <c r="A10223" s="12" t="s">
        <v>18850</v>
      </c>
      <c r="B10223" s="12" t="s">
        <v>3887</v>
      </c>
      <c r="C10223" s="13" t="s">
        <v>3888</v>
      </c>
      <c r="D10223" s="13" t="s">
        <v>276</v>
      </c>
      <c r="E10223" s="12" t="s">
        <v>16</v>
      </c>
      <c r="F10223" s="14">
        <v>34000</v>
      </c>
      <c r="G10223" s="14">
        <v>24550</v>
      </c>
      <c r="H10223" s="13" t="s">
        <v>18861</v>
      </c>
      <c r="I10223" s="40" t="s">
        <v>18</v>
      </c>
      <c r="J10223" s="40" t="str">
        <f>HYPERLINK("https://stock.pstatic.net/stock-research/company/1/20250731_company_102640000.pdf","PDF")</f>
        <v>PDF</v>
      </c>
      <c r="K10223" s="12" t="s">
        <v>18862</v>
      </c>
      <c r="L10223" s="20">
        <v>0.38492871690427699</v>
      </c>
    </row>
    <row r="10224" spans="1:12" x14ac:dyDescent="0.45">
      <c r="A10224" s="12" t="s">
        <v>18850</v>
      </c>
      <c r="B10224" s="12" t="s">
        <v>330</v>
      </c>
      <c r="C10224" s="13" t="s">
        <v>331</v>
      </c>
      <c r="D10224" s="13" t="s">
        <v>276</v>
      </c>
      <c r="E10224" s="12" t="s">
        <v>16</v>
      </c>
      <c r="F10224" s="14">
        <v>47000</v>
      </c>
      <c r="G10224" s="14">
        <v>32350</v>
      </c>
      <c r="H10224" s="13" t="s">
        <v>18863</v>
      </c>
      <c r="I10224" s="40" t="s">
        <v>18</v>
      </c>
      <c r="J10224" s="40" t="str">
        <f>HYPERLINK("https://stock.pstatic.net/stock-research/company/1/20250731_company_991776000.pdf","PDF")</f>
        <v>PDF</v>
      </c>
      <c r="K10224" s="12" t="s">
        <v>18864</v>
      </c>
      <c r="L10224" s="20">
        <v>0.45285935085007728</v>
      </c>
    </row>
    <row r="10225" spans="1:12" x14ac:dyDescent="0.45">
      <c r="A10225" s="12" t="s">
        <v>18850</v>
      </c>
      <c r="B10225" s="12" t="s">
        <v>2956</v>
      </c>
      <c r="C10225" s="13" t="s">
        <v>2957</v>
      </c>
      <c r="D10225" s="13" t="s">
        <v>60</v>
      </c>
      <c r="E10225" s="12" t="s">
        <v>35</v>
      </c>
      <c r="F10225" s="14">
        <v>30000</v>
      </c>
      <c r="G10225" s="14">
        <v>19570</v>
      </c>
      <c r="H10225" s="13" t="s">
        <v>18865</v>
      </c>
      <c r="I10225" s="40" t="s">
        <v>18</v>
      </c>
      <c r="J10225" s="40" t="str">
        <f>HYPERLINK("https://stock.pstatic.net/stock-research/company/62/20250731_company_88690000.pdf","PDF")</f>
        <v>PDF</v>
      </c>
      <c r="K10225" s="12" t="s">
        <v>18866</v>
      </c>
      <c r="L10225" s="20">
        <v>0.53295861011752688</v>
      </c>
    </row>
    <row r="10226" spans="1:12" x14ac:dyDescent="0.45">
      <c r="A10226" s="12" t="s">
        <v>18850</v>
      </c>
      <c r="B10226" s="12" t="s">
        <v>2658</v>
      </c>
      <c r="C10226" s="13" t="s">
        <v>2659</v>
      </c>
      <c r="D10226" s="13" t="s">
        <v>60</v>
      </c>
      <c r="E10226" s="12" t="s">
        <v>35</v>
      </c>
      <c r="F10226" s="14">
        <v>150000</v>
      </c>
      <c r="G10226" s="14">
        <v>119800</v>
      </c>
      <c r="H10226" s="13" t="s">
        <v>18867</v>
      </c>
      <c r="I10226" s="40" t="s">
        <v>18</v>
      </c>
      <c r="J10226" s="40" t="str">
        <f>HYPERLINK("https://stock.pstatic.net/stock-research/company/62/20250731_company_265476000.pdf","PDF")</f>
        <v>PDF</v>
      </c>
      <c r="K10226" s="12" t="s">
        <v>18868</v>
      </c>
      <c r="L10226" s="20">
        <v>0.25208681135225369</v>
      </c>
    </row>
    <row r="10227" spans="1:12" x14ac:dyDescent="0.45">
      <c r="A10227" s="12" t="s">
        <v>18850</v>
      </c>
      <c r="B10227" s="12" t="s">
        <v>174</v>
      </c>
      <c r="C10227" s="13" t="s">
        <v>44</v>
      </c>
      <c r="D10227" s="13" t="s">
        <v>60</v>
      </c>
      <c r="E10227" s="12" t="s">
        <v>35</v>
      </c>
      <c r="F10227" s="14">
        <v>265000</v>
      </c>
      <c r="G10227" s="14">
        <v>216500</v>
      </c>
      <c r="H10227" s="13" t="s">
        <v>18869</v>
      </c>
      <c r="I10227" s="40" t="s">
        <v>18</v>
      </c>
      <c r="J10227" s="40" t="str">
        <f>HYPERLINK("https://stock.pstatic.net/stock-research/company/62/20250731_company_948448000.pdf","PDF")</f>
        <v>PDF</v>
      </c>
      <c r="K10227" s="12" t="s">
        <v>18870</v>
      </c>
      <c r="L10227" s="20">
        <v>0.2240184757505774</v>
      </c>
    </row>
    <row r="10228" spans="1:12" x14ac:dyDescent="0.45">
      <c r="A10228" s="12" t="s">
        <v>18850</v>
      </c>
      <c r="B10228" s="12" t="s">
        <v>3154</v>
      </c>
      <c r="C10228" s="13" t="s">
        <v>3155</v>
      </c>
      <c r="D10228" s="13" t="s">
        <v>65</v>
      </c>
      <c r="E10228" s="12" t="s">
        <v>50</v>
      </c>
      <c r="F10228" s="13"/>
      <c r="G10228" s="14">
        <v>4735</v>
      </c>
      <c r="H10228" s="13" t="s">
        <v>18871</v>
      </c>
      <c r="I10228" s="40" t="s">
        <v>18</v>
      </c>
      <c r="J10228" s="40" t="str">
        <f>HYPERLINK("https://stock.pstatic.net/stock-research/company/57/20250731_company_277482000.pdf","PDF")</f>
        <v>PDF</v>
      </c>
      <c r="K10228" s="12" t="s">
        <v>18872</v>
      </c>
    </row>
    <row r="10229" spans="1:12" x14ac:dyDescent="0.45">
      <c r="A10229" s="12" t="s">
        <v>18850</v>
      </c>
      <c r="B10229" s="12" t="s">
        <v>1936</v>
      </c>
      <c r="C10229" s="13" t="s">
        <v>1937</v>
      </c>
      <c r="D10229" s="13" t="s">
        <v>65</v>
      </c>
      <c r="E10229" s="12" t="s">
        <v>35</v>
      </c>
      <c r="F10229" s="14">
        <v>8000</v>
      </c>
      <c r="G10229" s="14">
        <v>6050</v>
      </c>
      <c r="H10229" s="13" t="s">
        <v>18873</v>
      </c>
      <c r="I10229" s="40" t="s">
        <v>18</v>
      </c>
      <c r="J10229" s="40" t="str">
        <f>HYPERLINK("https://stock.pstatic.net/stock-research/company/57/20250731_company_652202000.pdf","PDF")</f>
        <v>PDF</v>
      </c>
      <c r="K10229" s="12" t="s">
        <v>18874</v>
      </c>
      <c r="L10229" s="20">
        <v>0.32231404958677679</v>
      </c>
    </row>
    <row r="10230" spans="1:12" x14ac:dyDescent="0.45">
      <c r="A10230" s="12" t="s">
        <v>18850</v>
      </c>
      <c r="B10230" s="12" t="s">
        <v>752</v>
      </c>
      <c r="C10230" s="13" t="s">
        <v>753</v>
      </c>
      <c r="D10230" s="13" t="s">
        <v>65</v>
      </c>
      <c r="E10230" s="12" t="s">
        <v>35</v>
      </c>
      <c r="F10230" s="14">
        <v>76000</v>
      </c>
      <c r="G10230" s="14">
        <v>57800</v>
      </c>
      <c r="H10230" s="13" t="s">
        <v>18875</v>
      </c>
      <c r="I10230" s="40" t="s">
        <v>18</v>
      </c>
      <c r="J10230" s="40" t="str">
        <f>HYPERLINK("https://stock.pstatic.net/stock-research/company/1/20250731_company_15277000.pdf","PDF")</f>
        <v>PDF</v>
      </c>
      <c r="K10230" s="12" t="s">
        <v>18876</v>
      </c>
      <c r="L10230" s="20">
        <v>0.31487889273356401</v>
      </c>
    </row>
    <row r="10231" spans="1:12" x14ac:dyDescent="0.45">
      <c r="A10231" s="12" t="s">
        <v>18850</v>
      </c>
      <c r="B10231" s="12" t="s">
        <v>3280</v>
      </c>
      <c r="C10231" s="13" t="s">
        <v>3281</v>
      </c>
      <c r="D10231" s="13" t="s">
        <v>65</v>
      </c>
      <c r="E10231" s="12" t="s">
        <v>35</v>
      </c>
      <c r="F10231" s="14">
        <v>50000</v>
      </c>
      <c r="G10231" s="14">
        <v>42050</v>
      </c>
      <c r="H10231" s="13" t="s">
        <v>18877</v>
      </c>
      <c r="I10231" s="40" t="s">
        <v>18</v>
      </c>
      <c r="J10231" s="40" t="str">
        <f>HYPERLINK("https://stock.pstatic.net/stock-research/company/57/20250731_company_937836000.pdf","PDF")</f>
        <v>PDF</v>
      </c>
      <c r="K10231" s="12" t="s">
        <v>18878</v>
      </c>
      <c r="L10231" s="20">
        <v>0.1890606420927467</v>
      </c>
    </row>
    <row r="10232" spans="1:12" x14ac:dyDescent="0.45">
      <c r="A10232" s="12" t="s">
        <v>18850</v>
      </c>
      <c r="B10232" s="12" t="s">
        <v>330</v>
      </c>
      <c r="C10232" s="13" t="s">
        <v>331</v>
      </c>
      <c r="D10232" s="13" t="s">
        <v>65</v>
      </c>
      <c r="E10232" s="12" t="s">
        <v>1738</v>
      </c>
      <c r="F10232" s="14">
        <v>33000</v>
      </c>
      <c r="G10232" s="14">
        <v>32350</v>
      </c>
      <c r="H10232" s="13" t="s">
        <v>18879</v>
      </c>
      <c r="I10232" s="40" t="s">
        <v>18</v>
      </c>
      <c r="J10232" s="40" t="str">
        <f>HYPERLINK("https://stock.pstatic.net/stock-research/company/57/20250731_company_313647000.pdf","PDF")</f>
        <v>PDF</v>
      </c>
      <c r="K10232" s="12" t="s">
        <v>18880</v>
      </c>
      <c r="L10232" s="20">
        <v>2.009273570324575E-2</v>
      </c>
    </row>
    <row r="10233" spans="1:12" x14ac:dyDescent="0.45">
      <c r="A10233" s="12" t="s">
        <v>18850</v>
      </c>
      <c r="B10233" s="12" t="s">
        <v>10408</v>
      </c>
      <c r="C10233" s="13" t="s">
        <v>10409</v>
      </c>
      <c r="D10233" s="13" t="s">
        <v>65</v>
      </c>
      <c r="E10233" s="12" t="s">
        <v>35</v>
      </c>
      <c r="F10233" s="14">
        <v>42000</v>
      </c>
      <c r="G10233" s="14">
        <v>29550</v>
      </c>
      <c r="H10233" s="13" t="s">
        <v>18881</v>
      </c>
      <c r="I10233" s="40" t="s">
        <v>18</v>
      </c>
      <c r="J10233" s="40" t="str">
        <f>HYPERLINK("https://stock.pstatic.net/stock-research/company/57/20250731_company_480246000.pdf","PDF")</f>
        <v>PDF</v>
      </c>
      <c r="K10233" s="12" t="s">
        <v>18882</v>
      </c>
      <c r="L10233" s="20">
        <v>0.42131979695431471</v>
      </c>
    </row>
    <row r="10234" spans="1:12" x14ac:dyDescent="0.45">
      <c r="A10234" s="12" t="s">
        <v>18850</v>
      </c>
      <c r="B10234" s="12" t="s">
        <v>3887</v>
      </c>
      <c r="C10234" s="13" t="s">
        <v>3888</v>
      </c>
      <c r="D10234" s="13" t="s">
        <v>65</v>
      </c>
      <c r="E10234" s="12" t="s">
        <v>35</v>
      </c>
      <c r="F10234" s="14">
        <v>38000</v>
      </c>
      <c r="G10234" s="14">
        <v>24550</v>
      </c>
      <c r="H10234" s="13" t="s">
        <v>18883</v>
      </c>
      <c r="I10234" s="40" t="s">
        <v>18</v>
      </c>
      <c r="J10234" s="40" t="str">
        <f>HYPERLINK("https://stock.pstatic.net/stock-research/company/57/20250731_company_589099000.pdf","PDF")</f>
        <v>PDF</v>
      </c>
      <c r="K10234" s="12" t="s">
        <v>18884</v>
      </c>
      <c r="L10234" s="20">
        <v>0.54786150712830961</v>
      </c>
    </row>
    <row r="10235" spans="1:12" x14ac:dyDescent="0.45">
      <c r="A10235" s="12" t="s">
        <v>18850</v>
      </c>
      <c r="B10235" s="12" t="s">
        <v>4656</v>
      </c>
      <c r="C10235" s="13" t="s">
        <v>4657</v>
      </c>
      <c r="D10235" s="13" t="s">
        <v>65</v>
      </c>
      <c r="E10235" s="12" t="s">
        <v>35</v>
      </c>
      <c r="F10235" s="14">
        <v>10000</v>
      </c>
      <c r="G10235" s="14">
        <v>6200</v>
      </c>
      <c r="H10235" s="13" t="s">
        <v>18885</v>
      </c>
      <c r="I10235" s="40" t="s">
        <v>18</v>
      </c>
      <c r="J10235" s="40" t="str">
        <f>HYPERLINK("https://stock.pstatic.net/stock-research/company/57/20250731_company_394898000.pdf","PDF")</f>
        <v>PDF</v>
      </c>
      <c r="K10235" s="12" t="s">
        <v>18886</v>
      </c>
      <c r="L10235" s="20">
        <v>0.61290322580645162</v>
      </c>
    </row>
    <row r="10236" spans="1:12" x14ac:dyDescent="0.45">
      <c r="A10236" s="12" t="s">
        <v>18850</v>
      </c>
      <c r="B10236" s="12" t="s">
        <v>2762</v>
      </c>
      <c r="C10236" s="13" t="s">
        <v>2763</v>
      </c>
      <c r="D10236" s="13" t="s">
        <v>65</v>
      </c>
      <c r="E10236" s="12" t="s">
        <v>35</v>
      </c>
      <c r="F10236" s="14">
        <v>150000</v>
      </c>
      <c r="G10236" s="14">
        <v>82400</v>
      </c>
      <c r="H10236" s="13" t="s">
        <v>18887</v>
      </c>
      <c r="I10236" s="40" t="s">
        <v>18</v>
      </c>
      <c r="J10236" s="40" t="str">
        <f>HYPERLINK("https://stock.pstatic.net/stock-research/company/1/20250731_company_3289000.pdf","PDF")</f>
        <v>PDF</v>
      </c>
      <c r="K10236" s="12" t="s">
        <v>18888</v>
      </c>
      <c r="L10236" s="20">
        <v>0.82038834951456308</v>
      </c>
    </row>
    <row r="10237" spans="1:12" x14ac:dyDescent="0.45">
      <c r="A10237" s="12" t="s">
        <v>18850</v>
      </c>
      <c r="B10237" s="12" t="s">
        <v>2956</v>
      </c>
      <c r="C10237" s="13" t="s">
        <v>2957</v>
      </c>
      <c r="D10237" s="13" t="s">
        <v>65</v>
      </c>
      <c r="E10237" s="12" t="s">
        <v>35</v>
      </c>
      <c r="F10237" s="14">
        <v>24000</v>
      </c>
      <c r="G10237" s="14">
        <v>19570</v>
      </c>
      <c r="H10237" s="13" t="s">
        <v>18889</v>
      </c>
      <c r="I10237" s="40" t="s">
        <v>18</v>
      </c>
      <c r="J10237" s="40" t="str">
        <f>HYPERLINK("https://stock.pstatic.net/stock-research/company/57/20250731_company_291173000.pdf","PDF")</f>
        <v>PDF</v>
      </c>
      <c r="K10237" s="12" t="s">
        <v>18890</v>
      </c>
      <c r="L10237" s="20">
        <v>0.2263668880940215</v>
      </c>
    </row>
    <row r="10238" spans="1:12" x14ac:dyDescent="0.45">
      <c r="A10238" s="12" t="s">
        <v>18850</v>
      </c>
      <c r="B10238" s="12" t="s">
        <v>174</v>
      </c>
      <c r="C10238" s="13" t="s">
        <v>44</v>
      </c>
      <c r="D10238" s="13" t="s">
        <v>65</v>
      </c>
      <c r="E10238" s="12" t="s">
        <v>35</v>
      </c>
      <c r="F10238" s="14">
        <v>300000</v>
      </c>
      <c r="G10238" s="14">
        <v>216500</v>
      </c>
      <c r="H10238" s="13" t="s">
        <v>18891</v>
      </c>
      <c r="I10238" s="40" t="s">
        <v>18</v>
      </c>
      <c r="J10238" s="40" t="str">
        <f>HYPERLINK("https://stock.pstatic.net/stock-research/company/57/20250731_company_988998000.pdf","PDF")</f>
        <v>PDF</v>
      </c>
      <c r="K10238" s="12" t="s">
        <v>18892</v>
      </c>
      <c r="L10238" s="20">
        <v>0.38568129330254042</v>
      </c>
    </row>
    <row r="10239" spans="1:12" x14ac:dyDescent="0.45">
      <c r="A10239" s="12" t="s">
        <v>18850</v>
      </c>
      <c r="B10239" s="12" t="s">
        <v>174</v>
      </c>
      <c r="C10239" s="13" t="s">
        <v>44</v>
      </c>
      <c r="D10239" s="13" t="s">
        <v>65</v>
      </c>
      <c r="E10239" s="12" t="s">
        <v>35</v>
      </c>
      <c r="F10239" s="14">
        <v>300000</v>
      </c>
      <c r="G10239" s="14">
        <v>216500</v>
      </c>
      <c r="H10239" s="13" t="s">
        <v>18893</v>
      </c>
      <c r="I10239" s="40" t="s">
        <v>18</v>
      </c>
      <c r="J10239" s="40" t="str">
        <f>HYPERLINK("https://stock.pstatic.net/stock-research/company/57/20250731_company_523685000.pdf","PDF")</f>
        <v>PDF</v>
      </c>
      <c r="K10239" s="12" t="s">
        <v>18894</v>
      </c>
      <c r="L10239" s="20">
        <v>0.38568129330254042</v>
      </c>
    </row>
    <row r="10240" spans="1:12" x14ac:dyDescent="0.45">
      <c r="A10240" s="12" t="s">
        <v>18850</v>
      </c>
      <c r="B10240" s="12" t="s">
        <v>2365</v>
      </c>
      <c r="C10240" s="13" t="s">
        <v>2366</v>
      </c>
      <c r="D10240" s="13" t="s">
        <v>57</v>
      </c>
      <c r="E10240" s="12" t="s">
        <v>35</v>
      </c>
      <c r="F10240" s="14">
        <v>90000</v>
      </c>
      <c r="G10240" s="14">
        <v>72000</v>
      </c>
      <c r="H10240" s="13" t="s">
        <v>18895</v>
      </c>
      <c r="I10240" s="40" t="s">
        <v>18</v>
      </c>
      <c r="J10240" s="40" t="str">
        <f>HYPERLINK("https://stock.pstatic.net/stock-research/company/16/20250731_company_721838000.pdf","PDF")</f>
        <v>PDF</v>
      </c>
      <c r="K10240" s="12" t="s">
        <v>18896</v>
      </c>
      <c r="L10240" s="20">
        <v>0.25</v>
      </c>
    </row>
    <row r="10241" spans="1:12" x14ac:dyDescent="0.45">
      <c r="A10241" s="12" t="s">
        <v>18850</v>
      </c>
      <c r="B10241" s="12" t="s">
        <v>1936</v>
      </c>
      <c r="C10241" s="13" t="s">
        <v>1937</v>
      </c>
      <c r="D10241" s="13" t="s">
        <v>57</v>
      </c>
      <c r="E10241" s="12" t="s">
        <v>35</v>
      </c>
      <c r="F10241" s="14">
        <v>8900</v>
      </c>
      <c r="G10241" s="14">
        <v>6050</v>
      </c>
      <c r="H10241" s="13" t="s">
        <v>18897</v>
      </c>
      <c r="I10241" s="40" t="s">
        <v>18</v>
      </c>
      <c r="J10241" s="40" t="str">
        <f>HYPERLINK("https://stock.pstatic.net/stock-research/company/16/20250731_company_23125000.pdf","PDF")</f>
        <v>PDF</v>
      </c>
      <c r="K10241" s="12" t="s">
        <v>18898</v>
      </c>
      <c r="L10241" s="20">
        <v>0.47107438016528919</v>
      </c>
    </row>
    <row r="10242" spans="1:12" x14ac:dyDescent="0.45">
      <c r="A10242" s="12" t="s">
        <v>18850</v>
      </c>
      <c r="B10242" s="12" t="s">
        <v>3154</v>
      </c>
      <c r="C10242" s="13" t="s">
        <v>3155</v>
      </c>
      <c r="D10242" s="13" t="s">
        <v>57</v>
      </c>
      <c r="E10242" s="12" t="s">
        <v>35</v>
      </c>
      <c r="F10242" s="14">
        <v>6600</v>
      </c>
      <c r="G10242" s="14">
        <v>4735</v>
      </c>
      <c r="H10242" s="13" t="s">
        <v>18899</v>
      </c>
      <c r="I10242" s="40" t="s">
        <v>18</v>
      </c>
      <c r="J10242" s="40" t="str">
        <f>HYPERLINK("https://stock.pstatic.net/stock-research/company/16/20250731_company_69786000.pdf","PDF")</f>
        <v>PDF</v>
      </c>
      <c r="K10242" s="12" t="s">
        <v>18900</v>
      </c>
      <c r="L10242" s="20">
        <v>0.3938753959873284</v>
      </c>
    </row>
    <row r="10243" spans="1:12" x14ac:dyDescent="0.45">
      <c r="A10243" s="12" t="s">
        <v>18850</v>
      </c>
      <c r="B10243" s="12" t="s">
        <v>330</v>
      </c>
      <c r="C10243" s="13" t="s">
        <v>331</v>
      </c>
      <c r="D10243" s="13" t="s">
        <v>57</v>
      </c>
      <c r="E10243" s="12" t="s">
        <v>35</v>
      </c>
      <c r="F10243" s="14">
        <v>38000</v>
      </c>
      <c r="G10243" s="14">
        <v>32350</v>
      </c>
      <c r="H10243" s="13" t="s">
        <v>18901</v>
      </c>
      <c r="I10243" s="40" t="s">
        <v>18</v>
      </c>
      <c r="J10243" s="40" t="str">
        <f>HYPERLINK("https://stock.pstatic.net/stock-research/company/16/20250731_company_658065000.pdf","PDF")</f>
        <v>PDF</v>
      </c>
      <c r="K10243" s="12" t="s">
        <v>18902</v>
      </c>
      <c r="L10243" s="20">
        <v>0.1746522411128284</v>
      </c>
    </row>
    <row r="10244" spans="1:12" x14ac:dyDescent="0.45">
      <c r="A10244" s="12" t="s">
        <v>18850</v>
      </c>
      <c r="B10244" s="12" t="s">
        <v>1530</v>
      </c>
      <c r="C10244" s="13" t="s">
        <v>1531</v>
      </c>
      <c r="D10244" s="13" t="s">
        <v>57</v>
      </c>
      <c r="E10244" s="12" t="s">
        <v>159</v>
      </c>
      <c r="F10244" s="14">
        <v>26000</v>
      </c>
      <c r="G10244" s="14">
        <v>29200</v>
      </c>
      <c r="H10244" s="13" t="s">
        <v>18903</v>
      </c>
      <c r="I10244" s="40" t="s">
        <v>18</v>
      </c>
      <c r="J10244" s="40" t="str">
        <f>HYPERLINK("https://stock.pstatic.net/stock-research/company/16/20250731_company_780243000.pdf","PDF")</f>
        <v>PDF</v>
      </c>
      <c r="K10244" s="12" t="s">
        <v>18904</v>
      </c>
      <c r="L10244" s="20">
        <v>-0.1095890410958904</v>
      </c>
    </row>
    <row r="10245" spans="1:12" x14ac:dyDescent="0.45">
      <c r="A10245" s="12" t="s">
        <v>18850</v>
      </c>
      <c r="B10245" s="12" t="s">
        <v>3244</v>
      </c>
      <c r="C10245" s="13" t="s">
        <v>3245</v>
      </c>
      <c r="D10245" s="13" t="s">
        <v>57</v>
      </c>
      <c r="E10245" s="12" t="s">
        <v>35</v>
      </c>
      <c r="F10245" s="14">
        <v>64000</v>
      </c>
      <c r="G10245" s="14">
        <v>55300</v>
      </c>
      <c r="H10245" s="13" t="s">
        <v>18905</v>
      </c>
      <c r="I10245" s="40" t="s">
        <v>18</v>
      </c>
      <c r="J10245" s="40" t="str">
        <f>HYPERLINK("https://stock.pstatic.net/stock-research/company/16/20250731_company_696667000.pdf","PDF")</f>
        <v>PDF</v>
      </c>
      <c r="K10245" s="12" t="s">
        <v>18906</v>
      </c>
      <c r="L10245" s="20">
        <v>0.15732368896925861</v>
      </c>
    </row>
    <row r="10246" spans="1:12" x14ac:dyDescent="0.45">
      <c r="A10246" s="12" t="s">
        <v>18850</v>
      </c>
      <c r="B10246" s="12" t="s">
        <v>72</v>
      </c>
      <c r="C10246" s="13" t="s">
        <v>73</v>
      </c>
      <c r="D10246" s="13" t="s">
        <v>57</v>
      </c>
      <c r="E10246" s="12" t="s">
        <v>35</v>
      </c>
      <c r="F10246" s="14">
        <v>200000</v>
      </c>
      <c r="G10246" s="14">
        <v>175500</v>
      </c>
      <c r="H10246" s="13" t="s">
        <v>18907</v>
      </c>
      <c r="I10246" s="40" t="s">
        <v>18</v>
      </c>
      <c r="J10246" s="40" t="str">
        <f>HYPERLINK("https://stock.pstatic.net/stock-research/company/16/20250731_company_148245000.pdf","PDF")</f>
        <v>PDF</v>
      </c>
      <c r="K10246" s="12" t="s">
        <v>18908</v>
      </c>
      <c r="L10246" s="20">
        <v>0.1396011396011396</v>
      </c>
    </row>
    <row r="10247" spans="1:12" x14ac:dyDescent="0.45">
      <c r="A10247" s="12" t="s">
        <v>18850</v>
      </c>
      <c r="B10247" s="12" t="s">
        <v>2956</v>
      </c>
      <c r="C10247" s="13" t="s">
        <v>2957</v>
      </c>
      <c r="D10247" s="13" t="s">
        <v>57</v>
      </c>
      <c r="E10247" s="12" t="s">
        <v>35</v>
      </c>
      <c r="F10247" s="14">
        <v>30000</v>
      </c>
      <c r="G10247" s="14">
        <v>20200</v>
      </c>
      <c r="H10247" s="13" t="s">
        <v>18909</v>
      </c>
      <c r="I10247" s="40" t="s">
        <v>18</v>
      </c>
      <c r="J10247" s="40" t="str">
        <f>HYPERLINK("https://stock.pstatic.net/stock-research/company/16/20250731_company_409183000.pdf","PDF")</f>
        <v>PDF</v>
      </c>
      <c r="K10247" s="12" t="s">
        <v>18910</v>
      </c>
      <c r="L10247" s="20">
        <v>0.48514851485148508</v>
      </c>
    </row>
    <row r="10248" spans="1:12" x14ac:dyDescent="0.45">
      <c r="A10248" s="12" t="s">
        <v>18850</v>
      </c>
      <c r="B10248" s="12" t="s">
        <v>174</v>
      </c>
      <c r="C10248" s="13" t="s">
        <v>44</v>
      </c>
      <c r="D10248" s="13" t="s">
        <v>158</v>
      </c>
      <c r="E10248" s="12" t="s">
        <v>35</v>
      </c>
      <c r="F10248" s="14">
        <v>260000</v>
      </c>
      <c r="G10248" s="14">
        <v>216500</v>
      </c>
      <c r="H10248" s="13" t="s">
        <v>18911</v>
      </c>
      <c r="I10248" s="40" t="s">
        <v>18</v>
      </c>
      <c r="J10248" s="40" t="str">
        <f>HYPERLINK("https://stock.pstatic.net/stock-research/company/1/20250731_company_423640000.pdf","PDF")</f>
        <v>PDF</v>
      </c>
      <c r="K10248" s="12" t="s">
        <v>18912</v>
      </c>
      <c r="L10248" s="20">
        <v>0.20092378752886841</v>
      </c>
    </row>
    <row r="10249" spans="1:12" x14ac:dyDescent="0.45">
      <c r="A10249" s="12" t="s">
        <v>18850</v>
      </c>
      <c r="B10249" s="12" t="s">
        <v>2365</v>
      </c>
      <c r="C10249" s="13" t="s">
        <v>2366</v>
      </c>
      <c r="D10249" s="13" t="s">
        <v>158</v>
      </c>
      <c r="E10249" s="12" t="s">
        <v>35</v>
      </c>
      <c r="F10249" s="14">
        <v>96000</v>
      </c>
      <c r="G10249" s="14">
        <v>72000</v>
      </c>
      <c r="H10249" s="13" t="s">
        <v>18913</v>
      </c>
      <c r="I10249" s="40" t="s">
        <v>18</v>
      </c>
      <c r="J10249" s="40" t="str">
        <f>HYPERLINK("https://stock.pstatic.net/stock-research/company/18/20250731_company_945116000.pdf","PDF")</f>
        <v>PDF</v>
      </c>
      <c r="K10249" s="12" t="s">
        <v>18914</v>
      </c>
      <c r="L10249" s="20">
        <v>0.33333333333333331</v>
      </c>
    </row>
    <row r="10250" spans="1:12" x14ac:dyDescent="0.45">
      <c r="A10250" s="12" t="s">
        <v>18850</v>
      </c>
      <c r="B10250" s="12" t="s">
        <v>3296</v>
      </c>
      <c r="C10250" s="13" t="s">
        <v>3297</v>
      </c>
      <c r="D10250" s="13" t="s">
        <v>158</v>
      </c>
      <c r="E10250" s="12" t="s">
        <v>35</v>
      </c>
      <c r="F10250" s="14">
        <v>58000</v>
      </c>
      <c r="G10250" s="14">
        <v>42150</v>
      </c>
      <c r="H10250" s="13" t="s">
        <v>18915</v>
      </c>
      <c r="I10250" s="40" t="s">
        <v>18</v>
      </c>
      <c r="J10250" s="40" t="str">
        <f>HYPERLINK("https://stock.pstatic.net/stock-research/company/18/20250731_company_371404000.pdf","PDF")</f>
        <v>PDF</v>
      </c>
      <c r="K10250" s="12" t="s">
        <v>18916</v>
      </c>
      <c r="L10250" s="20">
        <v>0.37603795966785292</v>
      </c>
    </row>
    <row r="10251" spans="1:12" x14ac:dyDescent="0.45">
      <c r="A10251" s="12" t="s">
        <v>18850</v>
      </c>
      <c r="B10251" s="12" t="s">
        <v>72</v>
      </c>
      <c r="C10251" s="13" t="s">
        <v>73</v>
      </c>
      <c r="D10251" s="13" t="s">
        <v>158</v>
      </c>
      <c r="E10251" s="12" t="s">
        <v>35</v>
      </c>
      <c r="F10251" s="14">
        <v>210000</v>
      </c>
      <c r="G10251" s="14">
        <v>175500</v>
      </c>
      <c r="H10251" s="13" t="s">
        <v>18917</v>
      </c>
      <c r="I10251" s="40" t="s">
        <v>18</v>
      </c>
      <c r="J10251" s="40" t="str">
        <f>HYPERLINK("https://stock.pstatic.net/stock-research/company/18/20250731_company_484682000.pdf","PDF")</f>
        <v>PDF</v>
      </c>
      <c r="K10251" s="12" t="s">
        <v>18918</v>
      </c>
      <c r="L10251" s="20">
        <v>0.1965811965811966</v>
      </c>
    </row>
    <row r="10252" spans="1:12" x14ac:dyDescent="0.45">
      <c r="A10252" s="12" t="s">
        <v>18850</v>
      </c>
      <c r="B10252" s="12" t="s">
        <v>2956</v>
      </c>
      <c r="C10252" s="13" t="s">
        <v>2957</v>
      </c>
      <c r="D10252" s="13" t="s">
        <v>158</v>
      </c>
      <c r="E10252" s="12" t="s">
        <v>35</v>
      </c>
      <c r="F10252" s="14">
        <v>30000</v>
      </c>
      <c r="G10252" s="14">
        <v>19570</v>
      </c>
      <c r="H10252" s="13" t="s">
        <v>5910</v>
      </c>
      <c r="I10252" s="40" t="s">
        <v>18</v>
      </c>
      <c r="J10252" s="40" t="str">
        <f>HYPERLINK("https://stock.pstatic.net/stock-research/company/18/20250731_company_685353000.pdf","PDF")</f>
        <v>PDF</v>
      </c>
      <c r="K10252" s="12" t="s">
        <v>18919</v>
      </c>
      <c r="L10252" s="20">
        <v>0.53295861011752688</v>
      </c>
    </row>
    <row r="10253" spans="1:12" x14ac:dyDescent="0.45">
      <c r="A10253" s="12" t="s">
        <v>18850</v>
      </c>
      <c r="B10253" s="12" t="s">
        <v>13</v>
      </c>
      <c r="C10253" s="13" t="s">
        <v>14</v>
      </c>
      <c r="D10253" s="13" t="s">
        <v>179</v>
      </c>
      <c r="E10253" s="12" t="s">
        <v>50</v>
      </c>
      <c r="F10253" s="13"/>
      <c r="G10253" s="13"/>
      <c r="H10253" s="13" t="s">
        <v>18920</v>
      </c>
      <c r="I10253" s="40" t="s">
        <v>18</v>
      </c>
      <c r="J10253" s="40" t="str">
        <f>HYPERLINK("https://stock.pstatic.net/stock-research/company/31/20250731_company_131494000.pdf","PDF")</f>
        <v>PDF</v>
      </c>
      <c r="K10253" s="12" t="s">
        <v>18921</v>
      </c>
    </row>
    <row r="10254" spans="1:12" x14ac:dyDescent="0.45">
      <c r="A10254" s="12" t="s">
        <v>18850</v>
      </c>
      <c r="B10254" s="12" t="s">
        <v>4125</v>
      </c>
      <c r="C10254" s="13" t="s">
        <v>4126</v>
      </c>
      <c r="D10254" s="13" t="s">
        <v>83</v>
      </c>
      <c r="E10254" s="12" t="s">
        <v>50</v>
      </c>
      <c r="F10254" s="13"/>
      <c r="G10254" s="14">
        <v>31700</v>
      </c>
      <c r="H10254" s="13" t="s">
        <v>18922</v>
      </c>
      <c r="I10254" s="40" t="s">
        <v>18</v>
      </c>
      <c r="J10254" s="40" t="str">
        <f>HYPERLINK("https://stock.pstatic.net/stock-research/company/2/20250731_company_261126000.pdf","PDF")</f>
        <v>PDF</v>
      </c>
      <c r="K10254" s="12" t="s">
        <v>18923</v>
      </c>
    </row>
    <row r="10255" spans="1:12" x14ac:dyDescent="0.45">
      <c r="A10255" s="12" t="s">
        <v>18850</v>
      </c>
      <c r="B10255" s="12" t="s">
        <v>2956</v>
      </c>
      <c r="C10255" s="13" t="s">
        <v>2957</v>
      </c>
      <c r="D10255" s="13" t="s">
        <v>83</v>
      </c>
      <c r="E10255" s="12" t="s">
        <v>35</v>
      </c>
      <c r="F10255" s="14">
        <v>24000</v>
      </c>
      <c r="G10255" s="14">
        <v>20200</v>
      </c>
      <c r="H10255" s="13" t="s">
        <v>18924</v>
      </c>
      <c r="I10255" s="40" t="s">
        <v>18</v>
      </c>
      <c r="J10255" s="40" t="str">
        <f>HYPERLINK("https://stock.pstatic.net/stock-research/company/2/20250731_company_75827000.pdf","PDF")</f>
        <v>PDF</v>
      </c>
      <c r="K10255" s="12" t="s">
        <v>18925</v>
      </c>
      <c r="L10255" s="20">
        <v>0.18811881188118809</v>
      </c>
    </row>
    <row r="10256" spans="1:12" x14ac:dyDescent="0.45">
      <c r="A10256" s="12" t="s">
        <v>18850</v>
      </c>
      <c r="B10256" s="12" t="s">
        <v>2837</v>
      </c>
      <c r="C10256" s="13" t="s">
        <v>2838</v>
      </c>
      <c r="D10256" s="13" t="s">
        <v>83</v>
      </c>
      <c r="E10256" s="12" t="s">
        <v>35</v>
      </c>
      <c r="F10256" s="14">
        <v>62000</v>
      </c>
      <c r="G10256" s="14">
        <v>55400</v>
      </c>
      <c r="H10256" s="13" t="s">
        <v>18926</v>
      </c>
      <c r="I10256" s="40" t="s">
        <v>18</v>
      </c>
      <c r="J10256" s="40" t="str">
        <f>HYPERLINK("https://stock.pstatic.net/stock-research/company/2/20250731_company_185390000.pdf","PDF")</f>
        <v>PDF</v>
      </c>
      <c r="K10256" s="12" t="s">
        <v>18927</v>
      </c>
      <c r="L10256" s="20">
        <v>0.1191335740072202</v>
      </c>
    </row>
    <row r="10257" spans="1:12" x14ac:dyDescent="0.45">
      <c r="A10257" s="12" t="s">
        <v>18850</v>
      </c>
      <c r="B10257" s="12" t="s">
        <v>495</v>
      </c>
      <c r="C10257" s="13" t="s">
        <v>496</v>
      </c>
      <c r="D10257" s="13" t="s">
        <v>83</v>
      </c>
      <c r="E10257" s="12" t="s">
        <v>642</v>
      </c>
      <c r="F10257" s="14">
        <v>190000</v>
      </c>
      <c r="G10257" s="14">
        <v>174600</v>
      </c>
      <c r="H10257" s="13" t="s">
        <v>18928</v>
      </c>
      <c r="I10257" s="40" t="s">
        <v>18</v>
      </c>
      <c r="J10257" s="40" t="str">
        <f>HYPERLINK("https://stock.pstatic.net/stock-research/company/2/20250731_company_685208000.pdf","PDF")</f>
        <v>PDF</v>
      </c>
      <c r="K10257" s="12" t="s">
        <v>18929</v>
      </c>
      <c r="L10257" s="20">
        <v>8.8201603665521197E-2</v>
      </c>
    </row>
    <row r="10258" spans="1:12" x14ac:dyDescent="0.45">
      <c r="A10258" s="12" t="s">
        <v>18850</v>
      </c>
      <c r="B10258" s="12" t="s">
        <v>1936</v>
      </c>
      <c r="C10258" s="13" t="s">
        <v>1937</v>
      </c>
      <c r="D10258" s="13" t="s">
        <v>83</v>
      </c>
      <c r="E10258" s="12" t="s">
        <v>35</v>
      </c>
      <c r="F10258" s="14">
        <v>7700</v>
      </c>
      <c r="G10258" s="14">
        <v>6050</v>
      </c>
      <c r="H10258" s="13" t="s">
        <v>18930</v>
      </c>
      <c r="I10258" s="40" t="s">
        <v>18</v>
      </c>
      <c r="J10258" s="40" t="str">
        <f>HYPERLINK("https://stock.pstatic.net/stock-research/company/2/20250731_company_898294000.pdf","PDF")</f>
        <v>PDF</v>
      </c>
      <c r="K10258" s="12" t="s">
        <v>18931</v>
      </c>
      <c r="L10258" s="20">
        <v>0.27272727272727271</v>
      </c>
    </row>
    <row r="10259" spans="1:12" x14ac:dyDescent="0.45">
      <c r="A10259" s="12" t="s">
        <v>18850</v>
      </c>
      <c r="B10259" s="12" t="s">
        <v>3154</v>
      </c>
      <c r="C10259" s="13" t="s">
        <v>3155</v>
      </c>
      <c r="D10259" s="13" t="s">
        <v>83</v>
      </c>
      <c r="E10259" s="12" t="s">
        <v>35</v>
      </c>
      <c r="F10259" s="14">
        <v>6000</v>
      </c>
      <c r="G10259" s="14">
        <v>4735</v>
      </c>
      <c r="H10259" s="13" t="s">
        <v>18932</v>
      </c>
      <c r="I10259" s="40" t="s">
        <v>18</v>
      </c>
      <c r="J10259" s="40" t="str">
        <f>HYPERLINK("https://stock.pstatic.net/stock-research/company/2/20250731_company_919521000.pdf","PDF")</f>
        <v>PDF</v>
      </c>
      <c r="K10259" s="12" t="s">
        <v>18933</v>
      </c>
      <c r="L10259" s="20">
        <v>0.26715945089757132</v>
      </c>
    </row>
    <row r="10260" spans="1:12" x14ac:dyDescent="0.45">
      <c r="A10260" s="12" t="s">
        <v>18850</v>
      </c>
      <c r="B10260" s="12" t="s">
        <v>174</v>
      </c>
      <c r="C10260" s="13" t="s">
        <v>44</v>
      </c>
      <c r="D10260" s="13" t="s">
        <v>83</v>
      </c>
      <c r="E10260" s="12" t="s">
        <v>35</v>
      </c>
      <c r="F10260" s="14">
        <v>285000</v>
      </c>
      <c r="G10260" s="14">
        <v>216500</v>
      </c>
      <c r="H10260" s="13" t="s">
        <v>18934</v>
      </c>
      <c r="I10260" s="40" t="s">
        <v>18</v>
      </c>
      <c r="J10260" s="40" t="str">
        <f>HYPERLINK("https://stock.pstatic.net/stock-research/company/1/20250731_company_340610000.pdf","PDF")</f>
        <v>PDF</v>
      </c>
      <c r="K10260" s="12" t="s">
        <v>18935</v>
      </c>
      <c r="L10260" s="20">
        <v>0.31639722863741337</v>
      </c>
    </row>
    <row r="10261" spans="1:12" x14ac:dyDescent="0.45">
      <c r="A10261" s="12" t="s">
        <v>18850</v>
      </c>
      <c r="B10261" s="12" t="s">
        <v>2658</v>
      </c>
      <c r="C10261" s="13" t="s">
        <v>2659</v>
      </c>
      <c r="D10261" s="13" t="s">
        <v>83</v>
      </c>
      <c r="E10261" s="12" t="s">
        <v>35</v>
      </c>
      <c r="F10261" s="14">
        <v>180000</v>
      </c>
      <c r="G10261" s="14">
        <v>119800</v>
      </c>
      <c r="H10261" s="13" t="s">
        <v>18936</v>
      </c>
      <c r="I10261" s="40" t="s">
        <v>18</v>
      </c>
      <c r="J10261" s="40" t="str">
        <f>HYPERLINK("https://stock.pstatic.net/stock-research/company/2/20250731_company_634077000.pdf","PDF")</f>
        <v>PDF</v>
      </c>
      <c r="K10261" s="12" t="s">
        <v>18937</v>
      </c>
      <c r="L10261" s="20">
        <v>0.5025041736227045</v>
      </c>
    </row>
    <row r="10262" spans="1:12" x14ac:dyDescent="0.45">
      <c r="A10262" s="12" t="s">
        <v>18850</v>
      </c>
      <c r="B10262" s="12" t="s">
        <v>792</v>
      </c>
      <c r="C10262" s="13" t="s">
        <v>793</v>
      </c>
      <c r="D10262" s="13" t="s">
        <v>15</v>
      </c>
      <c r="E10262" s="12" t="s">
        <v>385</v>
      </c>
      <c r="F10262" s="14">
        <v>22000</v>
      </c>
      <c r="G10262" s="14">
        <v>24200</v>
      </c>
      <c r="H10262" s="13" t="s">
        <v>18938</v>
      </c>
      <c r="I10262" s="40" t="s">
        <v>18</v>
      </c>
      <c r="J10262" s="40" t="str">
        <f>HYPERLINK("https://stock.pstatic.net/stock-research/company/29/20250731_company_199325000.pdf","PDF")</f>
        <v>PDF</v>
      </c>
      <c r="K10262" s="12" t="s">
        <v>18939</v>
      </c>
      <c r="L10262" s="20">
        <v>-9.0909090909090912E-2</v>
      </c>
    </row>
    <row r="10263" spans="1:12" x14ac:dyDescent="0.45">
      <c r="A10263" s="12" t="s">
        <v>18850</v>
      </c>
      <c r="B10263" s="12" t="s">
        <v>2658</v>
      </c>
      <c r="C10263" s="13" t="s">
        <v>2659</v>
      </c>
      <c r="D10263" s="13" t="s">
        <v>15</v>
      </c>
      <c r="E10263" s="12" t="s">
        <v>16</v>
      </c>
      <c r="F10263" s="14">
        <v>170000</v>
      </c>
      <c r="G10263" s="14">
        <v>119800</v>
      </c>
      <c r="H10263" s="13" t="s">
        <v>18940</v>
      </c>
      <c r="I10263" s="40" t="s">
        <v>18</v>
      </c>
      <c r="J10263" s="40" t="str">
        <f>HYPERLINK("https://stock.pstatic.net/stock-research/company/29/20250731_company_278276000.pdf","PDF")</f>
        <v>PDF</v>
      </c>
      <c r="K10263" s="12" t="s">
        <v>18941</v>
      </c>
      <c r="L10263" s="20">
        <v>0.41903171953255419</v>
      </c>
    </row>
    <row r="10264" spans="1:12" x14ac:dyDescent="0.45">
      <c r="A10264" s="12" t="s">
        <v>18850</v>
      </c>
      <c r="B10264" s="12" t="s">
        <v>72</v>
      </c>
      <c r="C10264" s="13" t="s">
        <v>73</v>
      </c>
      <c r="D10264" s="13" t="s">
        <v>15</v>
      </c>
      <c r="E10264" s="12" t="s">
        <v>16</v>
      </c>
      <c r="F10264" s="14">
        <v>230000</v>
      </c>
      <c r="G10264" s="14">
        <v>175500</v>
      </c>
      <c r="H10264" s="13" t="s">
        <v>18942</v>
      </c>
      <c r="I10264" s="40" t="s">
        <v>18</v>
      </c>
      <c r="J10264" s="40" t="str">
        <f>HYPERLINK("https://stock.pstatic.net/stock-research/company/29/20250731_company_256809000.pdf","PDF")</f>
        <v>PDF</v>
      </c>
      <c r="K10264" s="12" t="s">
        <v>18943</v>
      </c>
      <c r="L10264" s="20">
        <v>0.31054131054131062</v>
      </c>
    </row>
    <row r="10265" spans="1:12" x14ac:dyDescent="0.45">
      <c r="A10265" s="12" t="s">
        <v>18850</v>
      </c>
      <c r="B10265" s="12" t="s">
        <v>3478</v>
      </c>
      <c r="C10265" s="13" t="s">
        <v>3479</v>
      </c>
      <c r="D10265" s="13" t="s">
        <v>1271</v>
      </c>
      <c r="E10265" s="12" t="s">
        <v>35</v>
      </c>
      <c r="F10265" s="14">
        <v>47000</v>
      </c>
      <c r="G10265" s="14">
        <v>36750</v>
      </c>
      <c r="H10265" s="13" t="s">
        <v>18944</v>
      </c>
      <c r="I10265" s="40" t="s">
        <v>18</v>
      </c>
      <c r="J10265" s="40" t="str">
        <f>HYPERLINK("https://stock.pstatic.net/stock-research/company/78/20250731_company_236605000.pdf","PDF")</f>
        <v>PDF</v>
      </c>
      <c r="K10265" s="12" t="s">
        <v>18945</v>
      </c>
      <c r="L10265" s="20">
        <v>0.27891156462585032</v>
      </c>
    </row>
    <row r="10266" spans="1:12" x14ac:dyDescent="0.45">
      <c r="A10266" s="12" t="s">
        <v>18850</v>
      </c>
      <c r="B10266" s="12" t="s">
        <v>2950</v>
      </c>
      <c r="C10266" s="13" t="s">
        <v>2951</v>
      </c>
      <c r="D10266" s="13" t="s">
        <v>1271</v>
      </c>
      <c r="E10266" s="12" t="s">
        <v>35</v>
      </c>
      <c r="F10266" s="14">
        <v>78000</v>
      </c>
      <c r="G10266" s="14">
        <v>65900</v>
      </c>
      <c r="H10266" s="13" t="s">
        <v>18946</v>
      </c>
      <c r="I10266" s="40" t="s">
        <v>18</v>
      </c>
      <c r="J10266" s="40" t="str">
        <f>HYPERLINK("https://stock.pstatic.net/stock-research/company/78/20250731_company_149935000.pdf","PDF")</f>
        <v>PDF</v>
      </c>
      <c r="K10266" s="12" t="s">
        <v>18947</v>
      </c>
      <c r="L10266" s="20">
        <v>0.1836115326251897</v>
      </c>
    </row>
    <row r="10267" spans="1:12" x14ac:dyDescent="0.45">
      <c r="A10267" s="12" t="s">
        <v>18850</v>
      </c>
      <c r="B10267" s="12" t="s">
        <v>2089</v>
      </c>
      <c r="C10267" s="13" t="s">
        <v>2090</v>
      </c>
      <c r="D10267" s="13" t="s">
        <v>1271</v>
      </c>
      <c r="E10267" s="12" t="s">
        <v>35</v>
      </c>
      <c r="F10267" s="14">
        <v>79000</v>
      </c>
      <c r="G10267" s="14">
        <v>62300</v>
      </c>
      <c r="H10267" s="13" t="s">
        <v>18948</v>
      </c>
      <c r="I10267" s="40" t="s">
        <v>18</v>
      </c>
      <c r="J10267" s="40" t="str">
        <f>HYPERLINK("https://stock.pstatic.net/stock-research/company/78/20250731_company_262976000.pdf","PDF")</f>
        <v>PDF</v>
      </c>
      <c r="K10267" s="12" t="s">
        <v>18949</v>
      </c>
      <c r="L10267" s="20">
        <v>0.2680577849117175</v>
      </c>
    </row>
    <row r="10268" spans="1:12" x14ac:dyDescent="0.45">
      <c r="A10268" s="12" t="s">
        <v>18850</v>
      </c>
      <c r="B10268" s="12" t="s">
        <v>4021</v>
      </c>
      <c r="C10268" s="13" t="s">
        <v>4022</v>
      </c>
      <c r="D10268" s="13" t="s">
        <v>1271</v>
      </c>
      <c r="E10268" s="12" t="s">
        <v>35</v>
      </c>
      <c r="F10268" s="14">
        <v>352000</v>
      </c>
      <c r="G10268" s="14">
        <v>289000</v>
      </c>
      <c r="H10268" s="13" t="s">
        <v>18950</v>
      </c>
      <c r="I10268" s="40" t="s">
        <v>18</v>
      </c>
      <c r="J10268" s="40" t="str">
        <f>HYPERLINK("https://stock.pstatic.net/stock-research/company/78/20250731_company_245282000.pdf","PDF")</f>
        <v>PDF</v>
      </c>
      <c r="K10268" s="12" t="s">
        <v>18951</v>
      </c>
      <c r="L10268" s="20">
        <v>0.2179930795847751</v>
      </c>
    </row>
    <row r="10269" spans="1:12" x14ac:dyDescent="0.45">
      <c r="A10269" s="12" t="s">
        <v>18850</v>
      </c>
      <c r="B10269" s="12" t="s">
        <v>3349</v>
      </c>
      <c r="C10269" s="13" t="s">
        <v>7707</v>
      </c>
      <c r="D10269" s="13" t="s">
        <v>1271</v>
      </c>
      <c r="E10269" s="12" t="s">
        <v>35</v>
      </c>
      <c r="F10269" s="14">
        <v>31000</v>
      </c>
      <c r="G10269" s="14">
        <v>23000</v>
      </c>
      <c r="H10269" s="13" t="s">
        <v>18952</v>
      </c>
      <c r="I10269" s="40" t="s">
        <v>18</v>
      </c>
      <c r="J10269" s="40" t="str">
        <f>HYPERLINK("https://stock.pstatic.net/stock-research/company/78/20250731_company_708406000.pdf","PDF")</f>
        <v>PDF</v>
      </c>
      <c r="K10269" s="12" t="s">
        <v>18953</v>
      </c>
      <c r="L10269" s="20">
        <v>0.34782608695652167</v>
      </c>
    </row>
    <row r="10270" spans="1:12" x14ac:dyDescent="0.45">
      <c r="A10270" s="12" t="s">
        <v>18850</v>
      </c>
      <c r="B10270" s="12" t="s">
        <v>63</v>
      </c>
      <c r="C10270" s="13" t="s">
        <v>64</v>
      </c>
      <c r="D10270" s="13" t="s">
        <v>1271</v>
      </c>
      <c r="E10270" s="12" t="s">
        <v>35</v>
      </c>
      <c r="F10270" s="14">
        <v>400000</v>
      </c>
      <c r="G10270" s="14">
        <v>282000</v>
      </c>
      <c r="H10270" s="13" t="s">
        <v>18954</v>
      </c>
      <c r="I10270" s="40" t="s">
        <v>18</v>
      </c>
      <c r="J10270" s="40" t="str">
        <f>HYPERLINK("https://stock.pstatic.net/stock-research/company/78/20250731_company_303999000.pdf","PDF")</f>
        <v>PDF</v>
      </c>
      <c r="K10270" s="12" t="s">
        <v>18955</v>
      </c>
      <c r="L10270" s="20">
        <v>0.41843971631205668</v>
      </c>
    </row>
    <row r="10271" spans="1:12" x14ac:dyDescent="0.45">
      <c r="A10271" s="12" t="s">
        <v>18850</v>
      </c>
      <c r="B10271" s="12" t="s">
        <v>330</v>
      </c>
      <c r="C10271" s="13" t="s">
        <v>331</v>
      </c>
      <c r="D10271" s="13" t="s">
        <v>15</v>
      </c>
      <c r="E10271" s="12" t="s">
        <v>16</v>
      </c>
      <c r="F10271" s="14">
        <v>38000</v>
      </c>
      <c r="G10271" s="14">
        <v>32350</v>
      </c>
      <c r="H10271" s="13" t="s">
        <v>18956</v>
      </c>
      <c r="I10271" s="40" t="s">
        <v>18</v>
      </c>
      <c r="J10271" s="40" t="str">
        <f>HYPERLINK("https://stock.pstatic.net/stock-research/company/1/20250731_company_514580000.pdf","PDF")</f>
        <v>PDF</v>
      </c>
      <c r="K10271" s="12" t="s">
        <v>18957</v>
      </c>
      <c r="L10271" s="20">
        <v>0.1746522411128284</v>
      </c>
    </row>
    <row r="10272" spans="1:12" x14ac:dyDescent="0.45">
      <c r="A10272" s="12" t="s">
        <v>18850</v>
      </c>
      <c r="B10272" s="12" t="s">
        <v>2956</v>
      </c>
      <c r="C10272" s="13" t="s">
        <v>2957</v>
      </c>
      <c r="D10272" s="13" t="s">
        <v>15</v>
      </c>
      <c r="E10272" s="12" t="s">
        <v>16</v>
      </c>
      <c r="F10272" s="14">
        <v>27000</v>
      </c>
      <c r="G10272" s="14">
        <v>19570</v>
      </c>
      <c r="H10272" s="13" t="s">
        <v>18958</v>
      </c>
      <c r="I10272" s="40" t="s">
        <v>18</v>
      </c>
      <c r="J10272" s="40" t="str">
        <f>HYPERLINK("https://stock.pstatic.net/stock-research/company/29/20250731_company_97307000.pdf","PDF")</f>
        <v>PDF</v>
      </c>
      <c r="K10272" s="12" t="s">
        <v>18959</v>
      </c>
      <c r="L10272" s="20">
        <v>0.37966274910577408</v>
      </c>
    </row>
    <row r="10273" spans="1:12" x14ac:dyDescent="0.45">
      <c r="A10273" s="12" t="s">
        <v>18850</v>
      </c>
      <c r="B10273" s="12" t="s">
        <v>6914</v>
      </c>
      <c r="C10273" s="13" t="s">
        <v>6915</v>
      </c>
      <c r="D10273" s="13" t="s">
        <v>15</v>
      </c>
      <c r="E10273" s="12" t="s">
        <v>50</v>
      </c>
      <c r="F10273" s="13"/>
      <c r="G10273" s="14">
        <v>63000</v>
      </c>
      <c r="H10273" s="13" t="s">
        <v>18960</v>
      </c>
      <c r="I10273" s="40" t="s">
        <v>18</v>
      </c>
      <c r="J10273" s="40" t="str">
        <f>HYPERLINK("https://stock.pstatic.net/stock-research/company/1/20250731_company_389035000.pdf","PDF")</f>
        <v>PDF</v>
      </c>
      <c r="K10273" s="12" t="s">
        <v>18961</v>
      </c>
    </row>
    <row r="10274" spans="1:12" x14ac:dyDescent="0.45">
      <c r="A10274" s="12" t="s">
        <v>18850</v>
      </c>
      <c r="B10274" s="12" t="s">
        <v>752</v>
      </c>
      <c r="C10274" s="13" t="s">
        <v>753</v>
      </c>
      <c r="D10274" s="13" t="s">
        <v>92</v>
      </c>
      <c r="E10274" s="12" t="s">
        <v>35</v>
      </c>
      <c r="F10274" s="14">
        <v>70000</v>
      </c>
      <c r="G10274" s="14">
        <v>57800</v>
      </c>
      <c r="H10274" s="13" t="s">
        <v>18962</v>
      </c>
      <c r="I10274" s="40" t="s">
        <v>18</v>
      </c>
      <c r="J10274" s="40" t="str">
        <f>HYPERLINK("https://stock.pstatic.net/stock-research/company/63/20250731_company_680280000.pdf","PDF")</f>
        <v>PDF</v>
      </c>
      <c r="K10274" s="12" t="s">
        <v>18963</v>
      </c>
      <c r="L10274" s="20">
        <v>0.21107266435986161</v>
      </c>
    </row>
    <row r="10275" spans="1:12" x14ac:dyDescent="0.45">
      <c r="A10275" s="12" t="s">
        <v>18850</v>
      </c>
      <c r="B10275" s="12" t="s">
        <v>72</v>
      </c>
      <c r="C10275" s="13" t="s">
        <v>73</v>
      </c>
      <c r="D10275" s="13" t="s">
        <v>92</v>
      </c>
      <c r="E10275" s="12" t="s">
        <v>35</v>
      </c>
      <c r="F10275" s="14">
        <v>230000</v>
      </c>
      <c r="G10275" s="14">
        <v>175500</v>
      </c>
      <c r="H10275" s="13" t="s">
        <v>18964</v>
      </c>
      <c r="I10275" s="40" t="s">
        <v>18</v>
      </c>
      <c r="J10275" s="40" t="str">
        <f>HYPERLINK("https://stock.pstatic.net/stock-research/company/63/20250731_company_421790000.pdf","PDF")</f>
        <v>PDF</v>
      </c>
      <c r="K10275" s="12" t="s">
        <v>18965</v>
      </c>
      <c r="L10275" s="20">
        <v>0.31054131054131062</v>
      </c>
    </row>
    <row r="10276" spans="1:12" x14ac:dyDescent="0.45">
      <c r="A10276" s="12" t="s">
        <v>18850</v>
      </c>
      <c r="B10276" s="12" t="s">
        <v>2762</v>
      </c>
      <c r="C10276" s="13" t="s">
        <v>2763</v>
      </c>
      <c r="D10276" s="13" t="s">
        <v>92</v>
      </c>
      <c r="E10276" s="12" t="s">
        <v>35</v>
      </c>
      <c r="F10276" s="14">
        <v>110000</v>
      </c>
      <c r="G10276" s="14">
        <v>82400</v>
      </c>
      <c r="H10276" s="13" t="s">
        <v>18966</v>
      </c>
      <c r="I10276" s="40" t="s">
        <v>18</v>
      </c>
      <c r="J10276" s="40" t="str">
        <f>HYPERLINK("https://stock.pstatic.net/stock-research/company/63/20250731_company_512303000.pdf","PDF")</f>
        <v>PDF</v>
      </c>
      <c r="K10276" s="12" t="s">
        <v>18967</v>
      </c>
      <c r="L10276" s="20">
        <v>0.33495145631067957</v>
      </c>
    </row>
    <row r="10277" spans="1:12" x14ac:dyDescent="0.45">
      <c r="A10277" s="12" t="s">
        <v>18850</v>
      </c>
      <c r="B10277" s="12" t="s">
        <v>174</v>
      </c>
      <c r="C10277" s="13" t="s">
        <v>44</v>
      </c>
      <c r="D10277" s="13" t="s">
        <v>15</v>
      </c>
      <c r="E10277" s="12" t="s">
        <v>385</v>
      </c>
      <c r="F10277" s="14">
        <v>232000</v>
      </c>
      <c r="G10277" s="14">
        <v>216500</v>
      </c>
      <c r="H10277" s="13" t="s">
        <v>18968</v>
      </c>
      <c r="I10277" s="40" t="s">
        <v>18</v>
      </c>
      <c r="J10277" s="40" t="str">
        <f>HYPERLINK("https://stock.pstatic.net/stock-research/company/29/20250731_company_623173000.pdf","PDF")</f>
        <v>PDF</v>
      </c>
      <c r="K10277" s="12" t="s">
        <v>18969</v>
      </c>
      <c r="L10277" s="20">
        <v>7.1593533487297925E-2</v>
      </c>
    </row>
    <row r="10278" spans="1:12" x14ac:dyDescent="0.45">
      <c r="A10278" s="12" t="s">
        <v>18850</v>
      </c>
      <c r="B10278" s="12" t="s">
        <v>812</v>
      </c>
      <c r="C10278" s="13" t="s">
        <v>813</v>
      </c>
      <c r="D10278" s="13" t="s">
        <v>92</v>
      </c>
      <c r="E10278" s="12" t="s">
        <v>35</v>
      </c>
      <c r="F10278" s="14">
        <v>70000</v>
      </c>
      <c r="G10278" s="14">
        <v>60600</v>
      </c>
      <c r="H10278" s="13" t="s">
        <v>18970</v>
      </c>
      <c r="I10278" s="40" t="s">
        <v>18</v>
      </c>
      <c r="J10278" s="40" t="str">
        <f>HYPERLINK("https://stock.pstatic.net/stock-research/company/63/20250731_company_214896000.pdf","PDF")</f>
        <v>PDF</v>
      </c>
      <c r="K10278" s="12" t="s">
        <v>18971</v>
      </c>
      <c r="L10278" s="20">
        <v>0.15511551155115511</v>
      </c>
    </row>
    <row r="10279" spans="1:12" x14ac:dyDescent="0.45">
      <c r="A10279" s="12" t="s">
        <v>18850</v>
      </c>
      <c r="B10279" s="12" t="s">
        <v>174</v>
      </c>
      <c r="C10279" s="13" t="s">
        <v>44</v>
      </c>
      <c r="D10279" s="13" t="s">
        <v>179</v>
      </c>
      <c r="E10279" s="12" t="s">
        <v>16</v>
      </c>
      <c r="F10279" s="14">
        <v>250000</v>
      </c>
      <c r="G10279" s="14">
        <v>216500</v>
      </c>
      <c r="H10279" s="13" t="s">
        <v>18972</v>
      </c>
      <c r="I10279" s="40" t="s">
        <v>18</v>
      </c>
      <c r="J10279" s="40" t="str">
        <f>HYPERLINK("https://stock.pstatic.net/stock-research/company/31/20250731_company_2398000.pdf","PDF")</f>
        <v>PDF</v>
      </c>
      <c r="K10279" s="12" t="s">
        <v>18973</v>
      </c>
      <c r="L10279" s="20">
        <v>0.15473441108545041</v>
      </c>
    </row>
    <row r="10280" spans="1:12" x14ac:dyDescent="0.45">
      <c r="A10280" s="12" t="s">
        <v>18850</v>
      </c>
      <c r="B10280" s="12" t="s">
        <v>2365</v>
      </c>
      <c r="C10280" s="13" t="s">
        <v>2366</v>
      </c>
      <c r="D10280" s="13" t="s">
        <v>34</v>
      </c>
      <c r="E10280" s="12" t="s">
        <v>35</v>
      </c>
      <c r="F10280" s="14">
        <v>95000</v>
      </c>
      <c r="G10280" s="14">
        <v>72000</v>
      </c>
      <c r="H10280" s="13" t="s">
        <v>18974</v>
      </c>
      <c r="I10280" s="40" t="s">
        <v>18</v>
      </c>
      <c r="J10280" s="40" t="str">
        <f>HYPERLINK("https://stock.pstatic.net/stock-research/company/61/20250731_company_197568000.pdf","PDF")</f>
        <v>PDF</v>
      </c>
      <c r="K10280" s="12" t="s">
        <v>18975</v>
      </c>
      <c r="L10280" s="20">
        <v>0.31944444444444442</v>
      </c>
    </row>
    <row r="10281" spans="1:12" x14ac:dyDescent="0.45">
      <c r="A10281" s="12" t="s">
        <v>18850</v>
      </c>
      <c r="B10281" s="12" t="s">
        <v>1530</v>
      </c>
      <c r="C10281" s="13" t="s">
        <v>1531</v>
      </c>
      <c r="D10281" s="13" t="s">
        <v>34</v>
      </c>
      <c r="E10281" s="12" t="s">
        <v>159</v>
      </c>
      <c r="F10281" s="14">
        <v>25000</v>
      </c>
      <c r="G10281" s="14">
        <v>29200</v>
      </c>
      <c r="H10281" s="13" t="s">
        <v>18976</v>
      </c>
      <c r="I10281" s="40" t="s">
        <v>18</v>
      </c>
      <c r="J10281" s="40" t="str">
        <f>HYPERLINK("https://stock.pstatic.net/stock-research/company/61/20250731_company_536404000.pdf","PDF")</f>
        <v>PDF</v>
      </c>
      <c r="K10281" s="12" t="s">
        <v>18977</v>
      </c>
      <c r="L10281" s="20">
        <v>-0.14383561643835621</v>
      </c>
    </row>
    <row r="10282" spans="1:12" x14ac:dyDescent="0.45">
      <c r="A10282" s="12" t="s">
        <v>18850</v>
      </c>
      <c r="B10282" s="12" t="s">
        <v>18978</v>
      </c>
      <c r="C10282" s="13" t="s">
        <v>18979</v>
      </c>
      <c r="D10282" s="13" t="s">
        <v>34</v>
      </c>
      <c r="E10282" s="12" t="s">
        <v>159</v>
      </c>
      <c r="F10282" s="14">
        <v>7000</v>
      </c>
      <c r="G10282" s="14">
        <v>6660</v>
      </c>
      <c r="H10282" s="13" t="s">
        <v>18980</v>
      </c>
      <c r="I10282" s="40" t="s">
        <v>18</v>
      </c>
      <c r="J10282" s="40" t="str">
        <f>HYPERLINK("https://stock.pstatic.net/stock-research/company/61/20250731_company_999923000.pdf","PDF")</f>
        <v>PDF</v>
      </c>
      <c r="K10282" s="12" t="s">
        <v>18981</v>
      </c>
      <c r="L10282" s="20">
        <v>5.1051051051051052E-2</v>
      </c>
    </row>
    <row r="10283" spans="1:12" x14ac:dyDescent="0.45">
      <c r="A10283" s="12" t="s">
        <v>18850</v>
      </c>
      <c r="B10283" s="12" t="s">
        <v>694</v>
      </c>
      <c r="C10283" s="13" t="s">
        <v>695</v>
      </c>
      <c r="D10283" s="13" t="s">
        <v>34</v>
      </c>
      <c r="E10283" s="12" t="s">
        <v>35</v>
      </c>
      <c r="F10283" s="14">
        <v>15000</v>
      </c>
      <c r="G10283" s="14">
        <v>10520</v>
      </c>
      <c r="H10283" s="13" t="s">
        <v>18982</v>
      </c>
      <c r="I10283" s="40" t="s">
        <v>18</v>
      </c>
      <c r="J10283" s="40" t="str">
        <f>HYPERLINK("https://stock.pstatic.net/stock-research/company/61/20250731_company_886795000.pdf","PDF")</f>
        <v>PDF</v>
      </c>
      <c r="K10283" s="12" t="s">
        <v>18983</v>
      </c>
      <c r="L10283" s="20">
        <v>0.42585551330798482</v>
      </c>
    </row>
    <row r="10284" spans="1:12" x14ac:dyDescent="0.45">
      <c r="A10284" s="12" t="s">
        <v>18850</v>
      </c>
      <c r="B10284" s="12" t="s">
        <v>698</v>
      </c>
      <c r="C10284" s="13" t="s">
        <v>699</v>
      </c>
      <c r="D10284" s="13" t="s">
        <v>15</v>
      </c>
      <c r="E10284" s="12" t="s">
        <v>16</v>
      </c>
      <c r="F10284" s="14">
        <v>275000</v>
      </c>
      <c r="G10284" s="14">
        <v>203000</v>
      </c>
      <c r="H10284" s="13" t="s">
        <v>18984</v>
      </c>
      <c r="I10284" s="40" t="s">
        <v>18</v>
      </c>
      <c r="J10284" s="40" t="str">
        <f>HYPERLINK("https://stock.pstatic.net/stock-research/company/31/20250731_company_349915000.pdf","PDF")</f>
        <v>PDF</v>
      </c>
      <c r="K10284" s="12" t="s">
        <v>18985</v>
      </c>
      <c r="L10284" s="20">
        <v>0.35467980295566498</v>
      </c>
    </row>
    <row r="10285" spans="1:12" x14ac:dyDescent="0.45">
      <c r="A10285" s="12" t="s">
        <v>18850</v>
      </c>
      <c r="B10285" s="12" t="s">
        <v>10408</v>
      </c>
      <c r="C10285" s="13" t="s">
        <v>10409</v>
      </c>
      <c r="D10285" s="13" t="s">
        <v>179</v>
      </c>
      <c r="E10285" s="12" t="s">
        <v>16</v>
      </c>
      <c r="F10285" s="14">
        <v>41000</v>
      </c>
      <c r="G10285" s="14">
        <v>29550</v>
      </c>
      <c r="H10285" s="13" t="s">
        <v>18986</v>
      </c>
      <c r="I10285" s="40" t="s">
        <v>18</v>
      </c>
      <c r="J10285" s="40" t="str">
        <f>HYPERLINK("https://stock.pstatic.net/stock-research/company/31/20250731_company_202996000.pdf","PDF")</f>
        <v>PDF</v>
      </c>
      <c r="K10285" s="12" t="s">
        <v>18987</v>
      </c>
      <c r="L10285" s="20">
        <v>0.38747884940778338</v>
      </c>
    </row>
    <row r="10286" spans="1:12" x14ac:dyDescent="0.45">
      <c r="A10286" s="12" t="s">
        <v>18850</v>
      </c>
      <c r="B10286" s="12" t="s">
        <v>2956</v>
      </c>
      <c r="C10286" s="13" t="s">
        <v>2957</v>
      </c>
      <c r="D10286" s="13" t="s">
        <v>34</v>
      </c>
      <c r="E10286" s="12" t="s">
        <v>35</v>
      </c>
      <c r="F10286" s="14">
        <v>30000</v>
      </c>
      <c r="G10286" s="14">
        <v>19570</v>
      </c>
      <c r="H10286" s="13" t="s">
        <v>18988</v>
      </c>
      <c r="I10286" s="40" t="s">
        <v>18</v>
      </c>
      <c r="J10286" s="40" t="str">
        <f>HYPERLINK("https://stock.pstatic.net/stock-research/company/61/20250731_company_793657000.pdf","PDF")</f>
        <v>PDF</v>
      </c>
      <c r="K10286" s="12" t="s">
        <v>18989</v>
      </c>
      <c r="L10286" s="20">
        <v>0.53295861011752688</v>
      </c>
    </row>
    <row r="10287" spans="1:12" x14ac:dyDescent="0.45">
      <c r="A10287" s="12" t="s">
        <v>18850</v>
      </c>
      <c r="B10287" s="12" t="s">
        <v>3296</v>
      </c>
      <c r="C10287" s="13" t="s">
        <v>3297</v>
      </c>
      <c r="D10287" s="13" t="s">
        <v>179</v>
      </c>
      <c r="E10287" s="12" t="s">
        <v>16</v>
      </c>
      <c r="F10287" s="14">
        <v>65000</v>
      </c>
      <c r="G10287" s="14">
        <v>42150</v>
      </c>
      <c r="H10287" s="13" t="s">
        <v>18990</v>
      </c>
      <c r="I10287" s="40" t="s">
        <v>18</v>
      </c>
      <c r="J10287" s="40" t="str">
        <f>HYPERLINK("https://stock.pstatic.net/stock-research/company/31/20250731_company_675330000.pdf","PDF")</f>
        <v>PDF</v>
      </c>
      <c r="K10287" s="12" t="s">
        <v>18991</v>
      </c>
      <c r="L10287" s="20">
        <v>0.54211150652431794</v>
      </c>
    </row>
    <row r="10288" spans="1:12" x14ac:dyDescent="0.45">
      <c r="A10288" s="12" t="s">
        <v>18850</v>
      </c>
      <c r="B10288" s="12" t="s">
        <v>1530</v>
      </c>
      <c r="C10288" s="13" t="s">
        <v>1531</v>
      </c>
      <c r="D10288" s="13" t="s">
        <v>92</v>
      </c>
      <c r="E10288" s="12" t="s">
        <v>35</v>
      </c>
      <c r="F10288" s="14">
        <v>40000</v>
      </c>
      <c r="G10288" s="14">
        <v>29200</v>
      </c>
      <c r="H10288" s="13" t="s">
        <v>18992</v>
      </c>
      <c r="I10288" s="40" t="s">
        <v>18</v>
      </c>
      <c r="J10288" s="40" t="str">
        <f>HYPERLINK("https://stock.pstatic.net/stock-research/company/63/20250731_company_915116000.pdf","PDF")</f>
        <v>PDF</v>
      </c>
      <c r="K10288" s="12" t="s">
        <v>18993</v>
      </c>
      <c r="L10288" s="20">
        <v>0.36986301369863012</v>
      </c>
    </row>
    <row r="10289" spans="1:12" x14ac:dyDescent="0.45">
      <c r="A10289" s="12" t="s">
        <v>18850</v>
      </c>
      <c r="B10289" s="12" t="s">
        <v>1530</v>
      </c>
      <c r="C10289" s="13" t="s">
        <v>1531</v>
      </c>
      <c r="D10289" s="13" t="s">
        <v>179</v>
      </c>
      <c r="E10289" s="12" t="s">
        <v>16</v>
      </c>
      <c r="F10289" s="14">
        <v>39500</v>
      </c>
      <c r="G10289" s="14">
        <v>29200</v>
      </c>
      <c r="H10289" s="13" t="s">
        <v>18994</v>
      </c>
      <c r="I10289" s="40" t="s">
        <v>18</v>
      </c>
      <c r="J10289" s="40" t="str">
        <f>HYPERLINK("https://stock.pstatic.net/stock-research/company/31/20250731_company_958021000.pdf","PDF")</f>
        <v>PDF</v>
      </c>
      <c r="K10289" s="12" t="s">
        <v>18995</v>
      </c>
      <c r="L10289" s="20">
        <v>0.35273972602739728</v>
      </c>
    </row>
    <row r="10290" spans="1:12" x14ac:dyDescent="0.45">
      <c r="A10290" s="12" t="s">
        <v>18850</v>
      </c>
      <c r="B10290" s="12" t="s">
        <v>2266</v>
      </c>
      <c r="C10290" s="13" t="s">
        <v>2267</v>
      </c>
      <c r="D10290" s="13" t="s">
        <v>34</v>
      </c>
      <c r="E10290" s="12" t="s">
        <v>159</v>
      </c>
      <c r="F10290" s="14">
        <v>92000</v>
      </c>
      <c r="G10290" s="14">
        <v>94500</v>
      </c>
      <c r="H10290" s="13" t="s">
        <v>18996</v>
      </c>
      <c r="I10290" s="40" t="s">
        <v>18</v>
      </c>
      <c r="J10290" s="40" t="str">
        <f>HYPERLINK("https://stock.pstatic.net/stock-research/company/61/20250731_company_983512000.pdf","PDF")</f>
        <v>PDF</v>
      </c>
      <c r="K10290" s="12" t="s">
        <v>18997</v>
      </c>
      <c r="L10290" s="20">
        <v>-2.645502645502645E-2</v>
      </c>
    </row>
    <row r="10291" spans="1:12" x14ac:dyDescent="0.45">
      <c r="A10291" s="12" t="s">
        <v>18850</v>
      </c>
      <c r="B10291" s="12" t="s">
        <v>2956</v>
      </c>
      <c r="C10291" s="13" t="s">
        <v>2957</v>
      </c>
      <c r="D10291" s="13" t="s">
        <v>23</v>
      </c>
      <c r="E10291" s="12" t="s">
        <v>16</v>
      </c>
      <c r="F10291" s="14">
        <v>27000</v>
      </c>
      <c r="G10291" s="14">
        <v>19570</v>
      </c>
      <c r="H10291" s="13" t="s">
        <v>18998</v>
      </c>
      <c r="I10291" s="40" t="s">
        <v>18</v>
      </c>
      <c r="J10291" s="40" t="str">
        <f>HYPERLINK("https://stock.pstatic.net/stock-research/company/21/20250731_company_602903000.pdf","PDF")</f>
        <v>PDF</v>
      </c>
      <c r="K10291" s="12" t="s">
        <v>18999</v>
      </c>
      <c r="L10291" s="20">
        <v>0.37966274910577408</v>
      </c>
    </row>
    <row r="10292" spans="1:12" x14ac:dyDescent="0.45">
      <c r="A10292" s="12" t="s">
        <v>18850</v>
      </c>
      <c r="B10292" s="12" t="s">
        <v>10408</v>
      </c>
      <c r="C10292" s="13" t="s">
        <v>10409</v>
      </c>
      <c r="D10292" s="13" t="s">
        <v>92</v>
      </c>
      <c r="E10292" s="12" t="s">
        <v>35</v>
      </c>
      <c r="F10292" s="14">
        <v>44000</v>
      </c>
      <c r="G10292" s="14">
        <v>29550</v>
      </c>
      <c r="H10292" s="13" t="s">
        <v>19000</v>
      </c>
      <c r="I10292" s="40" t="s">
        <v>18</v>
      </c>
      <c r="J10292" s="40" t="str">
        <f>HYPERLINK("https://stock.pstatic.net/stock-research/company/63/20250731_company_728593000.pdf","PDF")</f>
        <v>PDF</v>
      </c>
      <c r="K10292" s="12" t="s">
        <v>19001</v>
      </c>
      <c r="L10292" s="20">
        <v>0.48900169204737731</v>
      </c>
    </row>
    <row r="10293" spans="1:12" x14ac:dyDescent="0.45">
      <c r="A10293" s="12" t="s">
        <v>18850</v>
      </c>
      <c r="B10293" s="12" t="s">
        <v>8114</v>
      </c>
      <c r="C10293" s="13" t="s">
        <v>8115</v>
      </c>
      <c r="D10293" s="13" t="s">
        <v>53</v>
      </c>
      <c r="E10293" s="12" t="s">
        <v>16</v>
      </c>
      <c r="F10293" s="14">
        <v>37000</v>
      </c>
      <c r="G10293" s="14">
        <v>26050</v>
      </c>
      <c r="H10293" s="13" t="s">
        <v>19002</v>
      </c>
      <c r="I10293" s="40" t="s">
        <v>18</v>
      </c>
      <c r="J10293" s="40" t="str">
        <f>HYPERLINK("https://stock.pstatic.net/stock-research/company/40/20250731_company_824251000.pdf","PDF")</f>
        <v>PDF</v>
      </c>
      <c r="K10293" s="12" t="s">
        <v>19003</v>
      </c>
      <c r="L10293" s="20">
        <v>0.42034548944337807</v>
      </c>
    </row>
    <row r="10294" spans="1:12" x14ac:dyDescent="0.45">
      <c r="A10294" s="12" t="s">
        <v>18850</v>
      </c>
      <c r="B10294" s="12" t="s">
        <v>2365</v>
      </c>
      <c r="C10294" s="13" t="s">
        <v>2366</v>
      </c>
      <c r="D10294" s="13" t="s">
        <v>23</v>
      </c>
      <c r="E10294" s="12" t="s">
        <v>16</v>
      </c>
      <c r="F10294" s="14">
        <v>90000</v>
      </c>
      <c r="G10294" s="14">
        <v>72000</v>
      </c>
      <c r="H10294" s="13" t="s">
        <v>19004</v>
      </c>
      <c r="I10294" s="40" t="s">
        <v>18</v>
      </c>
      <c r="J10294" s="40" t="str">
        <f>HYPERLINK("https://stock.pstatic.net/stock-research/company/21/20250731_company_795295000.pdf","PDF")</f>
        <v>PDF</v>
      </c>
      <c r="K10294" s="12" t="s">
        <v>19005</v>
      </c>
      <c r="L10294" s="20">
        <v>0.25</v>
      </c>
    </row>
    <row r="10295" spans="1:12" x14ac:dyDescent="0.45">
      <c r="A10295" s="12" t="s">
        <v>18850</v>
      </c>
      <c r="B10295" s="12" t="s">
        <v>330</v>
      </c>
      <c r="C10295" s="13" t="s">
        <v>331</v>
      </c>
      <c r="D10295" s="13" t="s">
        <v>92</v>
      </c>
      <c r="E10295" s="12" t="s">
        <v>159</v>
      </c>
      <c r="F10295" s="14">
        <v>25000</v>
      </c>
      <c r="G10295" s="14">
        <v>32350</v>
      </c>
      <c r="H10295" s="13" t="s">
        <v>19006</v>
      </c>
      <c r="I10295" s="40" t="s">
        <v>18</v>
      </c>
      <c r="J10295" s="40" t="str">
        <f>HYPERLINK("https://stock.pstatic.net/stock-research/company/1/20250731_company_527935000.pdf","PDF")</f>
        <v>PDF</v>
      </c>
      <c r="K10295" s="12" t="s">
        <v>19007</v>
      </c>
      <c r="L10295" s="20">
        <v>-0.22720247295208659</v>
      </c>
    </row>
    <row r="10296" spans="1:12" x14ac:dyDescent="0.45">
      <c r="A10296" s="12" t="s">
        <v>18850</v>
      </c>
      <c r="B10296" s="12" t="s">
        <v>330</v>
      </c>
      <c r="C10296" s="13" t="s">
        <v>331</v>
      </c>
      <c r="D10296" s="13" t="s">
        <v>34</v>
      </c>
      <c r="E10296" s="12" t="s">
        <v>159</v>
      </c>
      <c r="F10296" s="14">
        <v>34000</v>
      </c>
      <c r="G10296" s="14">
        <v>32350</v>
      </c>
      <c r="H10296" s="13" t="s">
        <v>19008</v>
      </c>
      <c r="I10296" s="40" t="s">
        <v>18</v>
      </c>
      <c r="J10296" s="40" t="str">
        <f>HYPERLINK("https://stock.pstatic.net/stock-research/company/61/20250731_company_7048000.pdf","PDF")</f>
        <v>PDF</v>
      </c>
      <c r="K10296" s="12" t="s">
        <v>19009</v>
      </c>
      <c r="L10296" s="20">
        <v>5.1004636785162288E-2</v>
      </c>
    </row>
    <row r="10297" spans="1:12" x14ac:dyDescent="0.45">
      <c r="A10297" s="12" t="s">
        <v>18850</v>
      </c>
      <c r="B10297" s="12" t="s">
        <v>309</v>
      </c>
      <c r="C10297" s="13" t="s">
        <v>310</v>
      </c>
      <c r="D10297" s="13" t="s">
        <v>53</v>
      </c>
      <c r="E10297" s="12" t="s">
        <v>50</v>
      </c>
      <c r="F10297" s="13"/>
      <c r="G10297" s="14">
        <v>56000</v>
      </c>
      <c r="H10297" s="13" t="s">
        <v>19010</v>
      </c>
      <c r="I10297" s="40" t="s">
        <v>18</v>
      </c>
      <c r="J10297" s="40" t="str">
        <f>HYPERLINK("https://stock.pstatic.net/stock-research/company/40/20250731_company_880406000.pdf","PDF")</f>
        <v>PDF</v>
      </c>
      <c r="K10297" s="12" t="s">
        <v>19011</v>
      </c>
    </row>
    <row r="10298" spans="1:12" x14ac:dyDescent="0.45">
      <c r="A10298" s="12" t="s">
        <v>18850</v>
      </c>
      <c r="B10298" s="12" t="s">
        <v>698</v>
      </c>
      <c r="C10298" s="13" t="s">
        <v>699</v>
      </c>
      <c r="D10298" s="13" t="s">
        <v>179</v>
      </c>
      <c r="E10298" s="12" t="s">
        <v>16</v>
      </c>
      <c r="F10298" s="14">
        <v>240000</v>
      </c>
      <c r="G10298" s="14">
        <v>203000</v>
      </c>
      <c r="H10298" s="13" t="s">
        <v>19012</v>
      </c>
      <c r="I10298" s="40" t="s">
        <v>18</v>
      </c>
      <c r="J10298" s="40" t="str">
        <f>HYPERLINK("https://stock.pstatic.net/stock-research/company/31/20250731_company_933926000.pdf","PDF")</f>
        <v>PDF</v>
      </c>
      <c r="K10298" s="12" t="s">
        <v>19013</v>
      </c>
      <c r="L10298" s="20">
        <v>0.18226600985221669</v>
      </c>
    </row>
    <row r="10299" spans="1:12" x14ac:dyDescent="0.45">
      <c r="A10299" s="12" t="s">
        <v>18850</v>
      </c>
      <c r="B10299" s="12" t="s">
        <v>330</v>
      </c>
      <c r="C10299" s="13" t="s">
        <v>331</v>
      </c>
      <c r="D10299" s="13" t="s">
        <v>23</v>
      </c>
      <c r="E10299" s="12" t="s">
        <v>50</v>
      </c>
      <c r="F10299" s="14">
        <v>32000</v>
      </c>
      <c r="G10299" s="14">
        <v>32350</v>
      </c>
      <c r="H10299" s="13" t="s">
        <v>19014</v>
      </c>
      <c r="I10299" s="40" t="s">
        <v>18</v>
      </c>
      <c r="J10299" s="40" t="str">
        <f>HYPERLINK("https://stock.pstatic.net/stock-research/company/21/20250731_company_473456000.pdf","PDF")</f>
        <v>PDF</v>
      </c>
      <c r="K10299" s="12" t="s">
        <v>19015</v>
      </c>
      <c r="L10299" s="20">
        <v>-1.081916537867079E-2</v>
      </c>
    </row>
    <row r="10300" spans="1:12" x14ac:dyDescent="0.45">
      <c r="A10300" s="12" t="s">
        <v>18850</v>
      </c>
      <c r="B10300" s="12" t="s">
        <v>4642</v>
      </c>
      <c r="C10300" s="13" t="s">
        <v>4643</v>
      </c>
      <c r="D10300" s="13" t="s">
        <v>92</v>
      </c>
      <c r="E10300" s="12" t="s">
        <v>35</v>
      </c>
      <c r="F10300" s="14">
        <v>35000</v>
      </c>
      <c r="G10300" s="14">
        <v>24000</v>
      </c>
      <c r="H10300" s="13" t="s">
        <v>19016</v>
      </c>
      <c r="I10300" s="40" t="s">
        <v>18</v>
      </c>
      <c r="J10300" s="40" t="str">
        <f>HYPERLINK("https://stock.pstatic.net/stock-research/company/63/20250731_company_14306000.pdf","PDF")</f>
        <v>PDF</v>
      </c>
      <c r="K10300" s="12" t="s">
        <v>19017</v>
      </c>
      <c r="L10300" s="20">
        <v>0.45833333333333331</v>
      </c>
    </row>
    <row r="10301" spans="1:12" x14ac:dyDescent="0.45">
      <c r="A10301" s="12" t="s">
        <v>18850</v>
      </c>
      <c r="B10301" s="12" t="s">
        <v>2365</v>
      </c>
      <c r="C10301" s="13" t="s">
        <v>2366</v>
      </c>
      <c r="D10301" s="13" t="s">
        <v>53</v>
      </c>
      <c r="E10301" s="12" t="s">
        <v>50</v>
      </c>
      <c r="F10301" s="14">
        <v>74000</v>
      </c>
      <c r="G10301" s="14">
        <v>72000</v>
      </c>
      <c r="H10301" s="13" t="s">
        <v>19018</v>
      </c>
      <c r="I10301" s="40" t="s">
        <v>18</v>
      </c>
      <c r="J10301" s="40" t="str">
        <f>HYPERLINK("https://stock.pstatic.net/stock-research/company/40/20250731_company_340281000.pdf","PDF")</f>
        <v>PDF</v>
      </c>
      <c r="K10301" s="12" t="s">
        <v>19019</v>
      </c>
      <c r="L10301" s="20">
        <v>2.777777777777778E-2</v>
      </c>
    </row>
    <row r="10302" spans="1:12" x14ac:dyDescent="0.45">
      <c r="A10302" s="12" t="s">
        <v>18850</v>
      </c>
      <c r="B10302" s="12" t="s">
        <v>3280</v>
      </c>
      <c r="C10302" s="13" t="s">
        <v>3281</v>
      </c>
      <c r="D10302" s="13" t="s">
        <v>23</v>
      </c>
      <c r="E10302" s="12" t="s">
        <v>16</v>
      </c>
      <c r="F10302" s="14">
        <v>56000</v>
      </c>
      <c r="G10302" s="14">
        <v>42050</v>
      </c>
      <c r="H10302" s="13" t="s">
        <v>19020</v>
      </c>
      <c r="I10302" s="40" t="s">
        <v>18</v>
      </c>
      <c r="J10302" s="40" t="str">
        <f>HYPERLINK("https://stock.pstatic.net/stock-research/company/21/20250731_company_748707000.pdf","PDF")</f>
        <v>PDF</v>
      </c>
      <c r="K10302" s="12" t="s">
        <v>19021</v>
      </c>
      <c r="L10302" s="20">
        <v>0.33174791914387641</v>
      </c>
    </row>
    <row r="10303" spans="1:12" x14ac:dyDescent="0.45">
      <c r="A10303" s="12" t="s">
        <v>18850</v>
      </c>
      <c r="B10303" s="12" t="s">
        <v>3230</v>
      </c>
      <c r="C10303" s="13" t="s">
        <v>3231</v>
      </c>
      <c r="D10303" s="13" t="s">
        <v>23</v>
      </c>
      <c r="E10303" s="12" t="s">
        <v>16</v>
      </c>
      <c r="F10303" s="14">
        <v>1430000</v>
      </c>
      <c r="G10303" s="14">
        <v>1241000</v>
      </c>
      <c r="H10303" s="13" t="s">
        <v>19022</v>
      </c>
      <c r="I10303" s="40" t="s">
        <v>18</v>
      </c>
      <c r="J10303" s="40" t="str">
        <f>HYPERLINK("https://stock.pstatic.net/stock-research/company/21/20250731_company_123660000.pdf","PDF")</f>
        <v>PDF</v>
      </c>
      <c r="K10303" s="12" t="s">
        <v>19023</v>
      </c>
      <c r="L10303" s="20">
        <v>0.15229653505237711</v>
      </c>
    </row>
    <row r="10304" spans="1:12" x14ac:dyDescent="0.45">
      <c r="A10304" s="12" t="s">
        <v>18850</v>
      </c>
      <c r="B10304" s="12" t="s">
        <v>1936</v>
      </c>
      <c r="C10304" s="13" t="s">
        <v>1937</v>
      </c>
      <c r="D10304" s="13" t="s">
        <v>23</v>
      </c>
      <c r="E10304" s="12" t="s">
        <v>16</v>
      </c>
      <c r="F10304" s="14">
        <v>7800</v>
      </c>
      <c r="G10304" s="14">
        <v>6050</v>
      </c>
      <c r="H10304" s="13" t="s">
        <v>19024</v>
      </c>
      <c r="I10304" s="40" t="s">
        <v>18</v>
      </c>
      <c r="J10304" s="40" t="str">
        <f>HYPERLINK("https://stock.pstatic.net/stock-research/company/21/20250731_company_134968000.pdf","PDF")</f>
        <v>PDF</v>
      </c>
      <c r="K10304" s="12" t="s">
        <v>19025</v>
      </c>
      <c r="L10304" s="20">
        <v>0.28925619834710742</v>
      </c>
    </row>
    <row r="10305" spans="1:12" x14ac:dyDescent="0.45">
      <c r="A10305" s="12" t="s">
        <v>18850</v>
      </c>
      <c r="B10305" s="12" t="s">
        <v>2978</v>
      </c>
      <c r="C10305" s="13" t="s">
        <v>2979</v>
      </c>
      <c r="D10305" s="13" t="s">
        <v>23</v>
      </c>
      <c r="E10305" s="12" t="s">
        <v>16</v>
      </c>
      <c r="F10305" s="14">
        <v>14500</v>
      </c>
      <c r="G10305" s="14">
        <v>10950</v>
      </c>
      <c r="H10305" s="13" t="s">
        <v>19026</v>
      </c>
      <c r="I10305" s="40" t="s">
        <v>18</v>
      </c>
      <c r="J10305" s="40" t="str">
        <f>HYPERLINK("https://stock.pstatic.net/stock-research/company/21/20250731_company_263358000.pdf","PDF")</f>
        <v>PDF</v>
      </c>
      <c r="K10305" s="12" t="s">
        <v>19027</v>
      </c>
      <c r="L10305" s="20">
        <v>0.32420091324200911</v>
      </c>
    </row>
    <row r="10306" spans="1:12" x14ac:dyDescent="0.45">
      <c r="A10306" s="12" t="s">
        <v>18850</v>
      </c>
      <c r="B10306" s="12" t="s">
        <v>8114</v>
      </c>
      <c r="C10306" s="13" t="s">
        <v>8115</v>
      </c>
      <c r="D10306" s="13" t="s">
        <v>23</v>
      </c>
      <c r="E10306" s="12" t="s">
        <v>16</v>
      </c>
      <c r="F10306" s="14">
        <v>38000</v>
      </c>
      <c r="G10306" s="14">
        <v>26050</v>
      </c>
      <c r="H10306" s="13" t="s">
        <v>19028</v>
      </c>
      <c r="I10306" s="40" t="s">
        <v>18</v>
      </c>
      <c r="J10306" s="40" t="str">
        <f>HYPERLINK("https://stock.pstatic.net/stock-research/company/21/20250731_company_466779000.pdf","PDF")</f>
        <v>PDF</v>
      </c>
      <c r="K10306" s="12" t="s">
        <v>19029</v>
      </c>
      <c r="L10306" s="20">
        <v>0.45873320537428031</v>
      </c>
    </row>
    <row r="10307" spans="1:12" x14ac:dyDescent="0.45">
      <c r="A10307" s="12" t="s">
        <v>18850</v>
      </c>
      <c r="B10307" s="12" t="s">
        <v>72</v>
      </c>
      <c r="C10307" s="13" t="s">
        <v>73</v>
      </c>
      <c r="D10307" s="13" t="s">
        <v>23</v>
      </c>
      <c r="E10307" s="12" t="s">
        <v>16</v>
      </c>
      <c r="F10307" s="14">
        <v>220000</v>
      </c>
      <c r="G10307" s="14">
        <v>175500</v>
      </c>
      <c r="H10307" s="13" t="s">
        <v>19030</v>
      </c>
      <c r="I10307" s="40" t="s">
        <v>18</v>
      </c>
      <c r="J10307" s="40" t="str">
        <f>HYPERLINK("https://stock.pstatic.net/stock-research/company/21/20250731_company_705031000.pdf","PDF")</f>
        <v>PDF</v>
      </c>
      <c r="K10307" s="12" t="s">
        <v>19031</v>
      </c>
      <c r="L10307" s="20">
        <v>0.25356125356125359</v>
      </c>
    </row>
    <row r="10308" spans="1:12" x14ac:dyDescent="0.45">
      <c r="A10308" s="12" t="s">
        <v>18850</v>
      </c>
      <c r="B10308" s="12" t="s">
        <v>3154</v>
      </c>
      <c r="C10308" s="13" t="s">
        <v>3155</v>
      </c>
      <c r="D10308" s="13" t="s">
        <v>23</v>
      </c>
      <c r="E10308" s="12" t="s">
        <v>16</v>
      </c>
      <c r="F10308" s="14">
        <v>6400</v>
      </c>
      <c r="G10308" s="14">
        <v>4735</v>
      </c>
      <c r="H10308" s="13" t="s">
        <v>19032</v>
      </c>
      <c r="I10308" s="40" t="s">
        <v>18</v>
      </c>
      <c r="J10308" s="40" t="str">
        <f>HYPERLINK("https://stock.pstatic.net/stock-research/company/21/20250731_company_271943000.pdf","PDF")</f>
        <v>PDF</v>
      </c>
      <c r="K10308" s="12" t="s">
        <v>19033</v>
      </c>
      <c r="L10308" s="20">
        <v>0.35163674762407598</v>
      </c>
    </row>
    <row r="10309" spans="1:12" x14ac:dyDescent="0.45">
      <c r="A10309" s="12" t="s">
        <v>18850</v>
      </c>
      <c r="B10309" s="12" t="s">
        <v>2378</v>
      </c>
      <c r="C10309" s="13" t="s">
        <v>2379</v>
      </c>
      <c r="D10309" s="13" t="s">
        <v>44</v>
      </c>
      <c r="E10309" s="12" t="s">
        <v>50</v>
      </c>
      <c r="F10309" s="13"/>
      <c r="G10309" s="13"/>
      <c r="H10309" s="13" t="s">
        <v>19034</v>
      </c>
      <c r="I10309" s="40" t="s">
        <v>18</v>
      </c>
      <c r="J10309" s="40" t="str">
        <f>HYPERLINK("https://stock.pstatic.net/stock-research/company/39/20250731_company_840081000.pdf","PDF")</f>
        <v>PDF</v>
      </c>
      <c r="K10309" s="12" t="s">
        <v>19035</v>
      </c>
    </row>
    <row r="10310" spans="1:12" x14ac:dyDescent="0.45">
      <c r="A10310" s="12" t="s">
        <v>18850</v>
      </c>
      <c r="B10310" s="12" t="s">
        <v>3280</v>
      </c>
      <c r="C10310" s="13" t="s">
        <v>3281</v>
      </c>
      <c r="D10310" s="13" t="s">
        <v>34</v>
      </c>
      <c r="E10310" s="12" t="s">
        <v>35</v>
      </c>
      <c r="F10310" s="14">
        <v>55000</v>
      </c>
      <c r="G10310" s="14">
        <v>42050</v>
      </c>
      <c r="H10310" s="13" t="s">
        <v>19036</v>
      </c>
      <c r="I10310" s="40" t="s">
        <v>18</v>
      </c>
      <c r="J10310" s="40" t="str">
        <f>HYPERLINK("https://stock.pstatic.net/stock-research/company/61/20250731_company_369885000.pdf","PDF")</f>
        <v>PDF</v>
      </c>
      <c r="K10310" s="12" t="s">
        <v>19037</v>
      </c>
      <c r="L10310" s="20">
        <v>0.30796670630202139</v>
      </c>
    </row>
    <row r="10311" spans="1:12" x14ac:dyDescent="0.45">
      <c r="A10311" s="12" t="s">
        <v>18850</v>
      </c>
      <c r="B10311" s="12" t="s">
        <v>2365</v>
      </c>
      <c r="C10311" s="13" t="s">
        <v>2366</v>
      </c>
      <c r="D10311" s="13" t="s">
        <v>44</v>
      </c>
      <c r="E10311" s="12" t="s">
        <v>35</v>
      </c>
      <c r="F10311" s="14">
        <v>90000</v>
      </c>
      <c r="G10311" s="14">
        <v>72000</v>
      </c>
      <c r="H10311" s="13" t="s">
        <v>19038</v>
      </c>
      <c r="I10311" s="40" t="s">
        <v>18</v>
      </c>
      <c r="J10311" s="40" t="str">
        <f>HYPERLINK("https://stock.pstatic.net/stock-research/company/39/20250731_company_649481000.pdf","PDF")</f>
        <v>PDF</v>
      </c>
      <c r="K10311" s="12" t="s">
        <v>19039</v>
      </c>
      <c r="L10311" s="20">
        <v>0.25</v>
      </c>
    </row>
    <row r="10312" spans="1:12" x14ac:dyDescent="0.45">
      <c r="A10312" s="12" t="s">
        <v>18850</v>
      </c>
      <c r="B10312" s="12" t="s">
        <v>3280</v>
      </c>
      <c r="C10312" s="13" t="s">
        <v>3281</v>
      </c>
      <c r="D10312" s="13" t="s">
        <v>44</v>
      </c>
      <c r="E10312" s="12" t="s">
        <v>35</v>
      </c>
      <c r="F10312" s="14">
        <v>54000</v>
      </c>
      <c r="G10312" s="14">
        <v>42050</v>
      </c>
      <c r="H10312" s="13" t="s">
        <v>19040</v>
      </c>
      <c r="I10312" s="40" t="s">
        <v>18</v>
      </c>
      <c r="J10312" s="40" t="str">
        <f>HYPERLINK("https://stock.pstatic.net/stock-research/company/1/20250731_company_618626000.pdf","PDF")</f>
        <v>PDF</v>
      </c>
      <c r="K10312" s="12" t="s">
        <v>19041</v>
      </c>
      <c r="L10312" s="20">
        <v>0.28418549346016653</v>
      </c>
    </row>
    <row r="10313" spans="1:12" x14ac:dyDescent="0.45">
      <c r="A10313" s="12" t="s">
        <v>18850</v>
      </c>
      <c r="B10313" s="12" t="s">
        <v>414</v>
      </c>
      <c r="C10313" s="13" t="s">
        <v>415</v>
      </c>
      <c r="D10313" s="13" t="s">
        <v>44</v>
      </c>
      <c r="E10313" s="12" t="s">
        <v>50</v>
      </c>
      <c r="F10313" s="13"/>
      <c r="G10313" s="14">
        <v>22400</v>
      </c>
      <c r="H10313" s="13" t="s">
        <v>19042</v>
      </c>
      <c r="I10313" s="40" t="s">
        <v>18</v>
      </c>
      <c r="J10313" s="40" t="str">
        <f>HYPERLINK("https://stock.pstatic.net/stock-research/company/39/20250731_company_97140000.pdf","PDF")</f>
        <v>PDF</v>
      </c>
      <c r="K10313" s="12" t="s">
        <v>19043</v>
      </c>
    </row>
    <row r="10314" spans="1:12" x14ac:dyDescent="0.45">
      <c r="A10314" s="12" t="s">
        <v>18850</v>
      </c>
      <c r="B10314" s="12" t="s">
        <v>2658</v>
      </c>
      <c r="C10314" s="13" t="s">
        <v>2659</v>
      </c>
      <c r="D10314" s="13" t="s">
        <v>44</v>
      </c>
      <c r="E10314" s="12" t="s">
        <v>35</v>
      </c>
      <c r="F10314" s="14">
        <v>150000</v>
      </c>
      <c r="G10314" s="14">
        <v>119800</v>
      </c>
      <c r="H10314" s="13" t="s">
        <v>19044</v>
      </c>
      <c r="I10314" s="40" t="s">
        <v>18</v>
      </c>
      <c r="J10314" s="40" t="str">
        <f>HYPERLINK("https://stock.pstatic.net/stock-research/company/39/20250731_company_39505000.pdf","PDF")</f>
        <v>PDF</v>
      </c>
      <c r="K10314" s="12" t="s">
        <v>19045</v>
      </c>
      <c r="L10314" s="20">
        <v>0.25208681135225369</v>
      </c>
    </row>
    <row r="10315" spans="1:12" x14ac:dyDescent="0.45">
      <c r="A10315" s="12" t="s">
        <v>18850</v>
      </c>
      <c r="B10315" s="12" t="s">
        <v>2956</v>
      </c>
      <c r="C10315" s="13" t="s">
        <v>2957</v>
      </c>
      <c r="D10315" s="13" t="s">
        <v>44</v>
      </c>
      <c r="E10315" s="12" t="s">
        <v>35</v>
      </c>
      <c r="F10315" s="14">
        <v>27000</v>
      </c>
      <c r="G10315" s="14">
        <v>19570</v>
      </c>
      <c r="H10315" s="13" t="s">
        <v>19046</v>
      </c>
      <c r="I10315" s="40" t="s">
        <v>18</v>
      </c>
      <c r="J10315" s="40" t="str">
        <f>HYPERLINK("https://stock.pstatic.net/stock-research/company/39/20250731_company_749101000.pdf","PDF")</f>
        <v>PDF</v>
      </c>
      <c r="K10315" s="12" t="s">
        <v>19047</v>
      </c>
      <c r="L10315" s="20">
        <v>0.37966274910577408</v>
      </c>
    </row>
    <row r="10316" spans="1:12" x14ac:dyDescent="0.45">
      <c r="A10316" s="12" t="s">
        <v>18850</v>
      </c>
      <c r="B10316" s="12" t="s">
        <v>3296</v>
      </c>
      <c r="C10316" s="13" t="s">
        <v>3297</v>
      </c>
      <c r="D10316" s="13" t="s">
        <v>44</v>
      </c>
      <c r="E10316" s="12" t="s">
        <v>35</v>
      </c>
      <c r="F10316" s="14">
        <v>53000</v>
      </c>
      <c r="G10316" s="14">
        <v>42150</v>
      </c>
      <c r="H10316" s="13" t="s">
        <v>19048</v>
      </c>
      <c r="I10316" s="40" t="s">
        <v>18</v>
      </c>
      <c r="J10316" s="40" t="str">
        <f>HYPERLINK("https://stock.pstatic.net/stock-research/company/39/20250731_company_691303000.pdf","PDF")</f>
        <v>PDF</v>
      </c>
      <c r="K10316" s="12" t="s">
        <v>19049</v>
      </c>
      <c r="L10316" s="20">
        <v>0.25741399762752082</v>
      </c>
    </row>
    <row r="10317" spans="1:12" x14ac:dyDescent="0.45">
      <c r="A10317" s="12" t="s">
        <v>18850</v>
      </c>
      <c r="B10317" s="12" t="s">
        <v>545</v>
      </c>
      <c r="C10317" s="13" t="s">
        <v>546</v>
      </c>
      <c r="D10317" s="13" t="s">
        <v>124</v>
      </c>
      <c r="E10317" s="12" t="s">
        <v>50</v>
      </c>
      <c r="F10317" s="13"/>
      <c r="G10317" s="13"/>
      <c r="H10317" s="13" t="s">
        <v>19050</v>
      </c>
      <c r="I10317" s="40" t="s">
        <v>18</v>
      </c>
      <c r="J10317" s="40" t="str">
        <f>HYPERLINK("https://stock.pstatic.net/stock-research/company/74/20251224_company_749936000.pdf","PDF")</f>
        <v>PDF</v>
      </c>
      <c r="K10317" s="12" t="s">
        <v>19051</v>
      </c>
    </row>
    <row r="10318" spans="1:12" x14ac:dyDescent="0.45">
      <c r="A10318" s="12" t="s">
        <v>18850</v>
      </c>
      <c r="B10318" s="12" t="s">
        <v>5988</v>
      </c>
      <c r="C10318" s="13" t="s">
        <v>5989</v>
      </c>
      <c r="D10318" s="13" t="s">
        <v>124</v>
      </c>
      <c r="E10318" s="12" t="s">
        <v>50</v>
      </c>
      <c r="F10318" s="13"/>
      <c r="G10318" s="13"/>
      <c r="H10318" s="13" t="s">
        <v>19052</v>
      </c>
      <c r="I10318" s="40" t="s">
        <v>18</v>
      </c>
      <c r="J10318" s="40" t="str">
        <f>HYPERLINK("https://stock.pstatic.net/stock-research/company/74/20250731_company_712289000.pdf","PDF")</f>
        <v>PDF</v>
      </c>
      <c r="K10318" s="12" t="s">
        <v>19053</v>
      </c>
    </row>
    <row r="10319" spans="1:12" x14ac:dyDescent="0.45">
      <c r="A10319" s="12" t="s">
        <v>18850</v>
      </c>
      <c r="B10319" s="12" t="s">
        <v>2956</v>
      </c>
      <c r="C10319" s="13" t="s">
        <v>2957</v>
      </c>
      <c r="D10319" s="13" t="s">
        <v>53</v>
      </c>
      <c r="E10319" s="12" t="s">
        <v>16</v>
      </c>
      <c r="F10319" s="14">
        <v>26000</v>
      </c>
      <c r="G10319" s="14">
        <v>19570</v>
      </c>
      <c r="H10319" s="13" t="s">
        <v>19054</v>
      </c>
      <c r="I10319" s="40" t="s">
        <v>18</v>
      </c>
      <c r="J10319" s="40" t="str">
        <f>HYPERLINK("https://stock.pstatic.net/stock-research/company/40/20250731_company_947898000.pdf","PDF")</f>
        <v>PDF</v>
      </c>
      <c r="K10319" s="12" t="s">
        <v>19055</v>
      </c>
      <c r="L10319" s="20">
        <v>0.32856412876852331</v>
      </c>
    </row>
    <row r="10320" spans="1:12" x14ac:dyDescent="0.45">
      <c r="A10320" s="12" t="s">
        <v>18850</v>
      </c>
      <c r="B10320" s="12" t="s">
        <v>6812</v>
      </c>
      <c r="C10320" s="13" t="s">
        <v>6813</v>
      </c>
      <c r="D10320" s="13" t="s">
        <v>15</v>
      </c>
      <c r="E10320" s="12" t="s">
        <v>16</v>
      </c>
      <c r="F10320" s="14">
        <v>40000</v>
      </c>
      <c r="G10320" s="14">
        <v>27050</v>
      </c>
      <c r="H10320" s="13" t="s">
        <v>19056</v>
      </c>
      <c r="I10320" s="40" t="s">
        <v>18</v>
      </c>
      <c r="J10320" s="40" t="str">
        <f>HYPERLINK("https://stock.pstatic.net/stock-research/company/29/20250731_company_838834000.pdf","PDF")</f>
        <v>PDF</v>
      </c>
      <c r="K10320" s="12" t="s">
        <v>19057</v>
      </c>
      <c r="L10320" s="20">
        <v>0.47874306839186692</v>
      </c>
    </row>
    <row r="10321" spans="1:12" x14ac:dyDescent="0.45">
      <c r="A10321" s="12" t="s">
        <v>18850</v>
      </c>
      <c r="B10321" s="12" t="s">
        <v>489</v>
      </c>
      <c r="C10321" s="13" t="s">
        <v>490</v>
      </c>
      <c r="D10321" s="13" t="s">
        <v>15</v>
      </c>
      <c r="E10321" s="12" t="s">
        <v>16</v>
      </c>
      <c r="F10321" s="14">
        <v>35000</v>
      </c>
      <c r="G10321" s="14">
        <v>25500</v>
      </c>
      <c r="H10321" s="13" t="s">
        <v>19058</v>
      </c>
      <c r="I10321" s="40" t="s">
        <v>18</v>
      </c>
      <c r="J10321" s="40" t="str">
        <f>HYPERLINK("https://stock.pstatic.net/stock-research/company/29/20250731_company_555363000.pdf","PDF")</f>
        <v>PDF</v>
      </c>
      <c r="K10321" s="12" t="s">
        <v>19059</v>
      </c>
      <c r="L10321" s="20">
        <v>0.37254901960784309</v>
      </c>
    </row>
    <row r="10322" spans="1:12" x14ac:dyDescent="0.45">
      <c r="A10322" s="12" t="s">
        <v>18850</v>
      </c>
      <c r="B10322" s="12" t="s">
        <v>6579</v>
      </c>
      <c r="C10322" s="13" t="s">
        <v>6580</v>
      </c>
      <c r="D10322" s="13" t="s">
        <v>15</v>
      </c>
      <c r="E10322" s="12" t="s">
        <v>16</v>
      </c>
      <c r="F10322" s="14">
        <v>66000</v>
      </c>
      <c r="G10322" s="14">
        <v>34200</v>
      </c>
      <c r="H10322" s="13" t="s">
        <v>19060</v>
      </c>
      <c r="I10322" s="40" t="s">
        <v>18</v>
      </c>
      <c r="J10322" s="40" t="str">
        <f>HYPERLINK("https://stock.pstatic.net/stock-research/company/29/20250731_company_843724000.pdf","PDF")</f>
        <v>PDF</v>
      </c>
      <c r="K10322" s="12" t="s">
        <v>19061</v>
      </c>
      <c r="L10322" s="20">
        <v>0.92982456140350878</v>
      </c>
    </row>
    <row r="10323" spans="1:12" x14ac:dyDescent="0.45">
      <c r="A10323" s="12" t="s">
        <v>19062</v>
      </c>
      <c r="B10323" s="12" t="s">
        <v>3164</v>
      </c>
      <c r="C10323" s="13" t="s">
        <v>3165</v>
      </c>
      <c r="D10323" s="13" t="s">
        <v>23</v>
      </c>
      <c r="E10323" s="12" t="s">
        <v>16</v>
      </c>
      <c r="F10323" s="14">
        <v>88000</v>
      </c>
      <c r="G10323" s="14">
        <v>65800</v>
      </c>
      <c r="H10323" s="13" t="s">
        <v>19063</v>
      </c>
      <c r="I10323" s="40" t="s">
        <v>18</v>
      </c>
      <c r="J10323" s="40" t="str">
        <f>HYPERLINK("https://stock.pstatic.net/stock-research/company/21/20250730_company_764835000.pdf","PDF")</f>
        <v>PDF</v>
      </c>
      <c r="K10323" s="12" t="s">
        <v>19064</v>
      </c>
      <c r="L10323" s="20">
        <v>0.33738601823708209</v>
      </c>
    </row>
    <row r="10324" spans="1:12" x14ac:dyDescent="0.45">
      <c r="A10324" s="12" t="s">
        <v>19062</v>
      </c>
      <c r="B10324" s="12" t="s">
        <v>2762</v>
      </c>
      <c r="C10324" s="13" t="s">
        <v>2763</v>
      </c>
      <c r="D10324" s="13" t="s">
        <v>15</v>
      </c>
      <c r="E10324" s="12" t="s">
        <v>5386</v>
      </c>
      <c r="F10324" s="14">
        <v>75000</v>
      </c>
      <c r="G10324" s="14">
        <v>91000</v>
      </c>
      <c r="H10324" s="13" t="s">
        <v>19065</v>
      </c>
      <c r="I10324" s="40" t="s">
        <v>18</v>
      </c>
      <c r="J10324" s="40" t="str">
        <f>HYPERLINK("https://stock.pstatic.net/stock-research/company/29/20250730_company_883951000.pdf","PDF")</f>
        <v>PDF</v>
      </c>
      <c r="K10324" s="12" t="s">
        <v>19066</v>
      </c>
      <c r="L10324" s="20">
        <v>-0.17582417582417581</v>
      </c>
    </row>
    <row r="10325" spans="1:12" x14ac:dyDescent="0.45">
      <c r="A10325" s="12" t="s">
        <v>19062</v>
      </c>
      <c r="B10325" s="12" t="s">
        <v>3204</v>
      </c>
      <c r="C10325" s="13" t="s">
        <v>3205</v>
      </c>
      <c r="D10325" s="13" t="s">
        <v>83</v>
      </c>
      <c r="E10325" s="12" t="s">
        <v>35</v>
      </c>
      <c r="F10325" s="14">
        <v>4500</v>
      </c>
      <c r="G10325" s="14">
        <v>3810</v>
      </c>
      <c r="H10325" s="13" t="s">
        <v>19067</v>
      </c>
      <c r="I10325" s="40" t="s">
        <v>18</v>
      </c>
      <c r="J10325" s="40" t="str">
        <f>HYPERLINK("https://stock.pstatic.net/stock-research/company/2/20250730_company_48197000.pdf","PDF")</f>
        <v>PDF</v>
      </c>
      <c r="K10325" s="12" t="s">
        <v>19068</v>
      </c>
      <c r="L10325" s="20">
        <v>0.18110236220472439</v>
      </c>
    </row>
    <row r="10326" spans="1:12" x14ac:dyDescent="0.45">
      <c r="A10326" s="12" t="s">
        <v>19062</v>
      </c>
      <c r="B10326" s="12" t="s">
        <v>4567</v>
      </c>
      <c r="C10326" s="13" t="s">
        <v>4568</v>
      </c>
      <c r="D10326" s="13" t="s">
        <v>83</v>
      </c>
      <c r="E10326" s="12" t="s">
        <v>35</v>
      </c>
      <c r="F10326" s="14">
        <v>26000</v>
      </c>
      <c r="G10326" s="14">
        <v>20350</v>
      </c>
      <c r="H10326" s="13" t="s">
        <v>19069</v>
      </c>
      <c r="I10326" s="40" t="s">
        <v>18</v>
      </c>
      <c r="J10326" s="40" t="str">
        <f>HYPERLINK("https://stock.pstatic.net/stock-research/company/2/20250730_company_606588000.pdf","PDF")</f>
        <v>PDF</v>
      </c>
      <c r="K10326" s="12" t="s">
        <v>19070</v>
      </c>
      <c r="L10326" s="20">
        <v>0.27764127764127772</v>
      </c>
    </row>
    <row r="10327" spans="1:12" x14ac:dyDescent="0.45">
      <c r="A10327" s="12" t="s">
        <v>19062</v>
      </c>
      <c r="B10327" s="12" t="s">
        <v>32</v>
      </c>
      <c r="C10327" s="13" t="s">
        <v>33</v>
      </c>
      <c r="D10327" s="13" t="s">
        <v>83</v>
      </c>
      <c r="E10327" s="12" t="s">
        <v>35</v>
      </c>
      <c r="F10327" s="14">
        <v>180000</v>
      </c>
      <c r="G10327" s="14">
        <v>137400</v>
      </c>
      <c r="H10327" s="13" t="s">
        <v>19071</v>
      </c>
      <c r="I10327" s="40" t="s">
        <v>18</v>
      </c>
      <c r="J10327" s="40" t="str">
        <f>HYPERLINK("https://stock.pstatic.net/stock-research/company/2/20250730_company_203515000.pdf","PDF")</f>
        <v>PDF</v>
      </c>
      <c r="K10327" s="12" t="s">
        <v>19072</v>
      </c>
      <c r="L10327" s="20">
        <v>0.31004366812227069</v>
      </c>
    </row>
    <row r="10328" spans="1:12" x14ac:dyDescent="0.45">
      <c r="A10328" s="12" t="s">
        <v>19062</v>
      </c>
      <c r="B10328" s="12" t="s">
        <v>3831</v>
      </c>
      <c r="C10328" s="13" t="s">
        <v>3832</v>
      </c>
      <c r="D10328" s="13" t="s">
        <v>83</v>
      </c>
      <c r="E10328" s="12" t="s">
        <v>35</v>
      </c>
      <c r="F10328" s="14">
        <v>56000</v>
      </c>
      <c r="G10328" s="14">
        <v>35750</v>
      </c>
      <c r="H10328" s="13" t="s">
        <v>19073</v>
      </c>
      <c r="I10328" s="40" t="s">
        <v>18</v>
      </c>
      <c r="J10328" s="40" t="str">
        <f>HYPERLINK("https://stock.pstatic.net/stock-research/company/2/20250730_company_627706000.pdf","PDF")</f>
        <v>PDF</v>
      </c>
      <c r="K10328" s="12" t="s">
        <v>19074</v>
      </c>
      <c r="L10328" s="20">
        <v>0.56643356643356646</v>
      </c>
    </row>
    <row r="10329" spans="1:12" x14ac:dyDescent="0.45">
      <c r="A10329" s="12" t="s">
        <v>19062</v>
      </c>
      <c r="B10329" s="12" t="s">
        <v>2522</v>
      </c>
      <c r="C10329" s="13" t="s">
        <v>2523</v>
      </c>
      <c r="D10329" s="13" t="s">
        <v>83</v>
      </c>
      <c r="E10329" s="12" t="s">
        <v>35</v>
      </c>
      <c r="F10329" s="14">
        <v>540000</v>
      </c>
      <c r="G10329" s="14">
        <v>338000</v>
      </c>
      <c r="H10329" s="13" t="s">
        <v>19075</v>
      </c>
      <c r="I10329" s="40" t="s">
        <v>18</v>
      </c>
      <c r="J10329" s="40" t="str">
        <f>HYPERLINK("https://stock.pstatic.net/stock-research/company/2/20250730_company_365135000.pdf","PDF")</f>
        <v>PDF</v>
      </c>
      <c r="K10329" s="12" t="s">
        <v>19076</v>
      </c>
      <c r="L10329" s="20">
        <v>0.59763313609467461</v>
      </c>
    </row>
    <row r="10330" spans="1:12" x14ac:dyDescent="0.45">
      <c r="A10330" s="12" t="s">
        <v>19062</v>
      </c>
      <c r="B10330" s="12" t="s">
        <v>2266</v>
      </c>
      <c r="C10330" s="13" t="s">
        <v>2267</v>
      </c>
      <c r="D10330" s="13" t="s">
        <v>15</v>
      </c>
      <c r="E10330" s="12" t="s">
        <v>385</v>
      </c>
      <c r="F10330" s="14">
        <v>106000</v>
      </c>
      <c r="G10330" s="14">
        <v>100500</v>
      </c>
      <c r="H10330" s="13" t="s">
        <v>19077</v>
      </c>
      <c r="I10330" s="40" t="s">
        <v>18</v>
      </c>
      <c r="J10330" s="40" t="str">
        <f>HYPERLINK("https://stock.pstatic.net/stock-research/company/29/20250730_company_257043000.pdf","PDF")</f>
        <v>PDF</v>
      </c>
      <c r="K10330" s="12" t="s">
        <v>19078</v>
      </c>
      <c r="L10330" s="20">
        <v>5.4726368159203981E-2</v>
      </c>
    </row>
    <row r="10331" spans="1:12" x14ac:dyDescent="0.45">
      <c r="A10331" s="12" t="s">
        <v>19062</v>
      </c>
      <c r="B10331" s="12" t="s">
        <v>2837</v>
      </c>
      <c r="C10331" s="13" t="s">
        <v>2838</v>
      </c>
      <c r="D10331" s="13" t="s">
        <v>276</v>
      </c>
      <c r="E10331" s="12" t="s">
        <v>16</v>
      </c>
      <c r="F10331" s="14">
        <v>67000</v>
      </c>
      <c r="G10331" s="14">
        <v>56500</v>
      </c>
      <c r="H10331" s="13" t="s">
        <v>19079</v>
      </c>
      <c r="I10331" s="40" t="s">
        <v>18</v>
      </c>
      <c r="J10331" s="40" t="str">
        <f>HYPERLINK("https://stock.pstatic.net/stock-research/company/66/20250730_company_958923000.pdf","PDF")</f>
        <v>PDF</v>
      </c>
      <c r="K10331" s="12" t="s">
        <v>19080</v>
      </c>
      <c r="L10331" s="20">
        <v>0.18584070796460181</v>
      </c>
    </row>
    <row r="10332" spans="1:12" x14ac:dyDescent="0.45">
      <c r="A10332" s="12" t="s">
        <v>19062</v>
      </c>
      <c r="B10332" s="12" t="s">
        <v>2522</v>
      </c>
      <c r="C10332" s="13" t="s">
        <v>2523</v>
      </c>
      <c r="D10332" s="13" t="s">
        <v>276</v>
      </c>
      <c r="E10332" s="12" t="s">
        <v>16</v>
      </c>
      <c r="F10332" s="14">
        <v>500000</v>
      </c>
      <c r="G10332" s="14">
        <v>338000</v>
      </c>
      <c r="H10332" s="13" t="s">
        <v>19081</v>
      </c>
      <c r="I10332" s="40" t="s">
        <v>18</v>
      </c>
      <c r="J10332" s="40" t="str">
        <f>HYPERLINK("https://stock.pstatic.net/stock-research/company/66/20250730_company_152452000.pdf","PDF")</f>
        <v>PDF</v>
      </c>
      <c r="K10332" s="12" t="s">
        <v>19082</v>
      </c>
      <c r="L10332" s="20">
        <v>0.47928994082840243</v>
      </c>
    </row>
    <row r="10333" spans="1:12" x14ac:dyDescent="0.45">
      <c r="A10333" s="12" t="s">
        <v>19062</v>
      </c>
      <c r="B10333" s="12" t="s">
        <v>1356</v>
      </c>
      <c r="C10333" s="13" t="s">
        <v>1357</v>
      </c>
      <c r="D10333" s="13" t="s">
        <v>60</v>
      </c>
      <c r="E10333" s="12" t="s">
        <v>35</v>
      </c>
      <c r="F10333" s="14">
        <v>29000</v>
      </c>
      <c r="G10333" s="14">
        <v>20200</v>
      </c>
      <c r="H10333" s="13" t="s">
        <v>19083</v>
      </c>
      <c r="I10333" s="40" t="s">
        <v>18</v>
      </c>
      <c r="J10333" s="40" t="str">
        <f>HYPERLINK("https://stock.pstatic.net/stock-research/company/62/20250730_company_287985000.pdf","PDF")</f>
        <v>PDF</v>
      </c>
      <c r="K10333" s="12" t="s">
        <v>19084</v>
      </c>
      <c r="L10333" s="20">
        <v>0.43564356435643559</v>
      </c>
    </row>
    <row r="10334" spans="1:12" x14ac:dyDescent="0.45">
      <c r="A10334" s="12" t="s">
        <v>19062</v>
      </c>
      <c r="B10334" s="12" t="s">
        <v>2837</v>
      </c>
      <c r="C10334" s="13" t="s">
        <v>2838</v>
      </c>
      <c r="D10334" s="13" t="s">
        <v>60</v>
      </c>
      <c r="E10334" s="12" t="s">
        <v>35</v>
      </c>
      <c r="F10334" s="14">
        <v>65000</v>
      </c>
      <c r="G10334" s="14">
        <v>56500</v>
      </c>
      <c r="H10334" s="13" t="s">
        <v>19085</v>
      </c>
      <c r="I10334" s="40" t="s">
        <v>18</v>
      </c>
      <c r="J10334" s="40" t="str">
        <f>HYPERLINK("https://stock.pstatic.net/stock-research/company/62/20250730_company_622186000.pdf","PDF")</f>
        <v>PDF</v>
      </c>
      <c r="K10334" s="12" t="s">
        <v>19086</v>
      </c>
      <c r="L10334" s="20">
        <v>0.15044247787610621</v>
      </c>
    </row>
    <row r="10335" spans="1:12" x14ac:dyDescent="0.45">
      <c r="A10335" s="12" t="s">
        <v>19062</v>
      </c>
      <c r="B10335" s="12" t="s">
        <v>2522</v>
      </c>
      <c r="C10335" s="13" t="s">
        <v>2523</v>
      </c>
      <c r="D10335" s="13" t="s">
        <v>60</v>
      </c>
      <c r="E10335" s="12" t="s">
        <v>35</v>
      </c>
      <c r="F10335" s="14">
        <v>500000</v>
      </c>
      <c r="G10335" s="14">
        <v>338000</v>
      </c>
      <c r="H10335" s="13" t="s">
        <v>19087</v>
      </c>
      <c r="I10335" s="40" t="s">
        <v>18</v>
      </c>
      <c r="J10335" s="40" t="str">
        <f>HYPERLINK("https://stock.pstatic.net/stock-research/company/62/20250730_company_89443000.pdf","PDF")</f>
        <v>PDF</v>
      </c>
      <c r="K10335" s="12" t="s">
        <v>19088</v>
      </c>
      <c r="L10335" s="20">
        <v>0.47928994082840243</v>
      </c>
    </row>
    <row r="10336" spans="1:12" x14ac:dyDescent="0.45">
      <c r="A10336" s="12" t="s">
        <v>19062</v>
      </c>
      <c r="B10336" s="12" t="s">
        <v>3204</v>
      </c>
      <c r="C10336" s="13" t="s">
        <v>3205</v>
      </c>
      <c r="D10336" s="13" t="s">
        <v>60</v>
      </c>
      <c r="E10336" s="12" t="s">
        <v>35</v>
      </c>
      <c r="F10336" s="14">
        <v>5300</v>
      </c>
      <c r="G10336" s="14">
        <v>3905</v>
      </c>
      <c r="H10336" s="13" t="s">
        <v>19089</v>
      </c>
      <c r="I10336" s="40" t="s">
        <v>18</v>
      </c>
      <c r="J10336" s="40" t="str">
        <f>HYPERLINK("https://stock.pstatic.net/stock-research/company/62/20250730_company_468321000.pdf","PDF")</f>
        <v>PDF</v>
      </c>
      <c r="K10336" s="12" t="s">
        <v>19090</v>
      </c>
      <c r="L10336" s="20">
        <v>0.35723431498079378</v>
      </c>
    </row>
    <row r="10337" spans="1:12" x14ac:dyDescent="0.45">
      <c r="A10337" s="12" t="s">
        <v>19062</v>
      </c>
      <c r="B10337" s="12" t="s">
        <v>2522</v>
      </c>
      <c r="C10337" s="13" t="s">
        <v>2523</v>
      </c>
      <c r="D10337" s="13" t="s">
        <v>65</v>
      </c>
      <c r="E10337" s="12" t="s">
        <v>35</v>
      </c>
      <c r="F10337" s="14">
        <v>530000</v>
      </c>
      <c r="G10337" s="14">
        <v>338000</v>
      </c>
      <c r="H10337" s="13" t="s">
        <v>19091</v>
      </c>
      <c r="I10337" s="40" t="s">
        <v>18</v>
      </c>
      <c r="J10337" s="40" t="str">
        <f>HYPERLINK("https://stock.pstatic.net/stock-research/company/1/20250730_company_537703000.pdf","PDF")</f>
        <v>PDF</v>
      </c>
      <c r="K10337" s="12" t="s">
        <v>19092</v>
      </c>
      <c r="L10337" s="20">
        <v>0.56804733727810652</v>
      </c>
    </row>
    <row r="10338" spans="1:12" x14ac:dyDescent="0.45">
      <c r="A10338" s="12" t="s">
        <v>19062</v>
      </c>
      <c r="B10338" s="12" t="s">
        <v>4567</v>
      </c>
      <c r="C10338" s="13" t="s">
        <v>4568</v>
      </c>
      <c r="D10338" s="13" t="s">
        <v>65</v>
      </c>
      <c r="E10338" s="12" t="s">
        <v>35</v>
      </c>
      <c r="F10338" s="14">
        <v>32000</v>
      </c>
      <c r="G10338" s="14">
        <v>20350</v>
      </c>
      <c r="H10338" s="13" t="s">
        <v>19093</v>
      </c>
      <c r="I10338" s="40" t="s">
        <v>18</v>
      </c>
      <c r="J10338" s="40" t="str">
        <f>HYPERLINK("https://stock.pstatic.net/stock-research/company/1/20250730_company_937631000.pdf","PDF")</f>
        <v>PDF</v>
      </c>
      <c r="K10338" s="12" t="s">
        <v>19094</v>
      </c>
      <c r="L10338" s="20">
        <v>0.5724815724815725</v>
      </c>
    </row>
    <row r="10339" spans="1:12" x14ac:dyDescent="0.45">
      <c r="A10339" s="12" t="s">
        <v>19062</v>
      </c>
      <c r="B10339" s="12" t="s">
        <v>3018</v>
      </c>
      <c r="C10339" s="13" t="s">
        <v>3019</v>
      </c>
      <c r="D10339" s="13" t="s">
        <v>65</v>
      </c>
      <c r="E10339" s="12" t="s">
        <v>35</v>
      </c>
      <c r="F10339" s="14">
        <v>23000</v>
      </c>
      <c r="G10339" s="14">
        <v>19160</v>
      </c>
      <c r="H10339" s="13" t="s">
        <v>19095</v>
      </c>
      <c r="I10339" s="40" t="s">
        <v>18</v>
      </c>
      <c r="J10339" s="40" t="str">
        <f>HYPERLINK("https://stock.pstatic.net/stock-research/company/57/20250730_company_631318000.pdf","PDF")</f>
        <v>PDF</v>
      </c>
      <c r="K10339" s="12" t="s">
        <v>19096</v>
      </c>
      <c r="L10339" s="20">
        <v>0.2004175365344468</v>
      </c>
    </row>
    <row r="10340" spans="1:12" x14ac:dyDescent="0.45">
      <c r="A10340" s="12" t="s">
        <v>19062</v>
      </c>
      <c r="B10340" s="12" t="s">
        <v>3204</v>
      </c>
      <c r="C10340" s="13" t="s">
        <v>3205</v>
      </c>
      <c r="D10340" s="13" t="s">
        <v>65</v>
      </c>
      <c r="E10340" s="12" t="s">
        <v>35</v>
      </c>
      <c r="F10340" s="14">
        <v>4500</v>
      </c>
      <c r="G10340" s="14">
        <v>3905</v>
      </c>
      <c r="H10340" s="13" t="s">
        <v>19097</v>
      </c>
      <c r="I10340" s="40" t="s">
        <v>18</v>
      </c>
      <c r="J10340" s="40" t="str">
        <f>HYPERLINK("https://stock.pstatic.net/stock-research/company/57/20250730_company_449751000.pdf","PDF")</f>
        <v>PDF</v>
      </c>
      <c r="K10340" s="12" t="s">
        <v>19098</v>
      </c>
      <c r="L10340" s="20">
        <v>0.15236875800256081</v>
      </c>
    </row>
    <row r="10341" spans="1:12" x14ac:dyDescent="0.45">
      <c r="A10341" s="12" t="s">
        <v>19062</v>
      </c>
      <c r="B10341" s="12" t="s">
        <v>3284</v>
      </c>
      <c r="C10341" s="13" t="s">
        <v>3285</v>
      </c>
      <c r="D10341" s="13" t="s">
        <v>65</v>
      </c>
      <c r="E10341" s="12" t="s">
        <v>35</v>
      </c>
      <c r="F10341" s="14">
        <v>120000</v>
      </c>
      <c r="G10341" s="14">
        <v>96800</v>
      </c>
      <c r="H10341" s="13" t="s">
        <v>19099</v>
      </c>
      <c r="I10341" s="40" t="s">
        <v>18</v>
      </c>
      <c r="J10341" s="40" t="str">
        <f>HYPERLINK("https://stock.pstatic.net/stock-research/company/1/20250730_company_395390000.pdf","PDF")</f>
        <v>PDF</v>
      </c>
      <c r="K10341" s="12" t="s">
        <v>19100</v>
      </c>
      <c r="L10341" s="20">
        <v>0.23966942148760331</v>
      </c>
    </row>
    <row r="10342" spans="1:12" x14ac:dyDescent="0.45">
      <c r="A10342" s="12" t="s">
        <v>19062</v>
      </c>
      <c r="B10342" s="12" t="s">
        <v>1686</v>
      </c>
      <c r="C10342" s="13" t="s">
        <v>1687</v>
      </c>
      <c r="D10342" s="13" t="s">
        <v>65</v>
      </c>
      <c r="E10342" s="12" t="s">
        <v>35</v>
      </c>
      <c r="F10342" s="14">
        <v>1800000</v>
      </c>
      <c r="G10342" s="14">
        <v>1362000</v>
      </c>
      <c r="H10342" s="13" t="s">
        <v>19101</v>
      </c>
      <c r="I10342" s="40" t="s">
        <v>18</v>
      </c>
      <c r="J10342" s="40" t="str">
        <f>HYPERLINK("https://stock.pstatic.net/stock-research/company/57/20250730_company_47843000.pdf","PDF")</f>
        <v>PDF</v>
      </c>
      <c r="K10342" s="12" t="s">
        <v>19102</v>
      </c>
      <c r="L10342" s="20">
        <v>0.32158590308370039</v>
      </c>
    </row>
    <row r="10343" spans="1:12" x14ac:dyDescent="0.45">
      <c r="A10343" s="12" t="s">
        <v>19062</v>
      </c>
      <c r="B10343" s="12" t="s">
        <v>14601</v>
      </c>
      <c r="C10343" s="13" t="s">
        <v>14602</v>
      </c>
      <c r="D10343" s="13" t="s">
        <v>65</v>
      </c>
      <c r="E10343" s="12" t="s">
        <v>50</v>
      </c>
      <c r="F10343" s="13"/>
      <c r="G10343" s="14">
        <v>24700</v>
      </c>
      <c r="H10343" s="13" t="s">
        <v>19103</v>
      </c>
      <c r="I10343" s="40" t="s">
        <v>18</v>
      </c>
      <c r="J10343" s="40" t="str">
        <f>HYPERLINK("https://stock.pstatic.net/stock-research/company/57/20250730_company_691158000.pdf","PDF")</f>
        <v>PDF</v>
      </c>
      <c r="K10343" s="12" t="s">
        <v>19104</v>
      </c>
    </row>
    <row r="10344" spans="1:12" x14ac:dyDescent="0.45">
      <c r="A10344" s="12" t="s">
        <v>19062</v>
      </c>
      <c r="B10344" s="12" t="s">
        <v>2522</v>
      </c>
      <c r="C10344" s="13" t="s">
        <v>2523</v>
      </c>
      <c r="D10344" s="13" t="s">
        <v>57</v>
      </c>
      <c r="E10344" s="12" t="s">
        <v>35</v>
      </c>
      <c r="F10344" s="14">
        <v>440000</v>
      </c>
      <c r="G10344" s="14">
        <v>338000</v>
      </c>
      <c r="H10344" s="13" t="s">
        <v>19105</v>
      </c>
      <c r="I10344" s="40" t="s">
        <v>18</v>
      </c>
      <c r="J10344" s="40" t="str">
        <f>HYPERLINK("https://stock.pstatic.net/stock-research/company/16/20250730_company_590933000.pdf","PDF")</f>
        <v>PDF</v>
      </c>
      <c r="K10344" s="12" t="s">
        <v>19106</v>
      </c>
      <c r="L10344" s="20">
        <v>0.30177514792899413</v>
      </c>
    </row>
    <row r="10345" spans="1:12" x14ac:dyDescent="0.45">
      <c r="A10345" s="12" t="s">
        <v>19062</v>
      </c>
      <c r="B10345" s="12" t="s">
        <v>2837</v>
      </c>
      <c r="C10345" s="13" t="s">
        <v>2838</v>
      </c>
      <c r="D10345" s="13" t="s">
        <v>57</v>
      </c>
      <c r="E10345" s="12" t="s">
        <v>35</v>
      </c>
      <c r="F10345" s="14">
        <v>74000</v>
      </c>
      <c r="G10345" s="14">
        <v>56500</v>
      </c>
      <c r="H10345" s="13" t="s">
        <v>19107</v>
      </c>
      <c r="I10345" s="40" t="s">
        <v>18</v>
      </c>
      <c r="J10345" s="40" t="str">
        <f>HYPERLINK("https://stock.pstatic.net/stock-research/company/16/20250730_company_154671000.pdf","PDF")</f>
        <v>PDF</v>
      </c>
      <c r="K10345" s="12" t="s">
        <v>19108</v>
      </c>
      <c r="L10345" s="20">
        <v>0.30973451327433632</v>
      </c>
    </row>
    <row r="10346" spans="1:12" x14ac:dyDescent="0.45">
      <c r="A10346" s="12" t="s">
        <v>19062</v>
      </c>
      <c r="B10346" s="12" t="s">
        <v>3204</v>
      </c>
      <c r="C10346" s="13" t="s">
        <v>3205</v>
      </c>
      <c r="D10346" s="13" t="s">
        <v>57</v>
      </c>
      <c r="E10346" s="12" t="s">
        <v>35</v>
      </c>
      <c r="F10346" s="14">
        <v>5000</v>
      </c>
      <c r="G10346" s="14">
        <v>3810</v>
      </c>
      <c r="H10346" s="13" t="s">
        <v>19109</v>
      </c>
      <c r="I10346" s="40" t="s">
        <v>18</v>
      </c>
      <c r="J10346" s="40" t="str">
        <f>HYPERLINK("https://stock.pstatic.net/stock-research/company/1/20250730_company_617485000.pdf","PDF")</f>
        <v>PDF</v>
      </c>
      <c r="K10346" s="12" t="s">
        <v>19110</v>
      </c>
      <c r="L10346" s="20">
        <v>0.31233595800524933</v>
      </c>
    </row>
    <row r="10347" spans="1:12" x14ac:dyDescent="0.45">
      <c r="A10347" s="12" t="s">
        <v>19062</v>
      </c>
      <c r="B10347" s="12" t="s">
        <v>3688</v>
      </c>
      <c r="C10347" s="13" t="s">
        <v>3689</v>
      </c>
      <c r="D10347" s="13" t="s">
        <v>158</v>
      </c>
      <c r="E10347" s="12" t="s">
        <v>35</v>
      </c>
      <c r="F10347" s="14">
        <v>84500</v>
      </c>
      <c r="G10347" s="14">
        <v>68800</v>
      </c>
      <c r="H10347" s="13" t="s">
        <v>19111</v>
      </c>
      <c r="I10347" s="40" t="s">
        <v>18</v>
      </c>
      <c r="J10347" s="40" t="str">
        <f>HYPERLINK("https://stock.pstatic.net/stock-research/company/18/20250730_company_928692000.pdf","PDF")</f>
        <v>PDF</v>
      </c>
      <c r="K10347" s="12" t="s">
        <v>19112</v>
      </c>
      <c r="L10347" s="20">
        <v>0.22819767441860461</v>
      </c>
    </row>
    <row r="10348" spans="1:12" x14ac:dyDescent="0.45">
      <c r="A10348" s="12" t="s">
        <v>19062</v>
      </c>
      <c r="B10348" s="12" t="s">
        <v>3284</v>
      </c>
      <c r="C10348" s="13" t="s">
        <v>3285</v>
      </c>
      <c r="D10348" s="13" t="s">
        <v>158</v>
      </c>
      <c r="E10348" s="12" t="s">
        <v>35</v>
      </c>
      <c r="F10348" s="14">
        <v>121000</v>
      </c>
      <c r="G10348" s="14">
        <v>96800</v>
      </c>
      <c r="H10348" s="13" t="s">
        <v>19113</v>
      </c>
      <c r="I10348" s="40" t="s">
        <v>18</v>
      </c>
      <c r="J10348" s="40" t="str">
        <f>HYPERLINK("https://stock.pstatic.net/stock-research/company/18/20250730_company_264991000.pdf","PDF")</f>
        <v>PDF</v>
      </c>
      <c r="K10348" s="12" t="s">
        <v>19114</v>
      </c>
      <c r="L10348" s="20">
        <v>0.25</v>
      </c>
    </row>
    <row r="10349" spans="1:12" x14ac:dyDescent="0.45">
      <c r="A10349" s="12" t="s">
        <v>19062</v>
      </c>
      <c r="B10349" s="12" t="s">
        <v>3349</v>
      </c>
      <c r="C10349" s="13" t="s">
        <v>7707</v>
      </c>
      <c r="D10349" s="13" t="s">
        <v>158</v>
      </c>
      <c r="E10349" s="12" t="s">
        <v>35</v>
      </c>
      <c r="F10349" s="14">
        <v>29500</v>
      </c>
      <c r="G10349" s="14">
        <v>24000</v>
      </c>
      <c r="H10349" s="13" t="s">
        <v>19115</v>
      </c>
      <c r="I10349" s="40" t="s">
        <v>18</v>
      </c>
      <c r="J10349" s="40" t="str">
        <f>HYPERLINK("https://stock.pstatic.net/stock-research/company/1/20250730_company_710118000.pdf","PDF")</f>
        <v>PDF</v>
      </c>
      <c r="K10349" s="12" t="s">
        <v>19116</v>
      </c>
      <c r="L10349" s="20">
        <v>0.22916666666666671</v>
      </c>
    </row>
    <row r="10350" spans="1:12" x14ac:dyDescent="0.45">
      <c r="A10350" s="12" t="s">
        <v>19062</v>
      </c>
      <c r="B10350" s="12" t="s">
        <v>3204</v>
      </c>
      <c r="C10350" s="13" t="s">
        <v>3205</v>
      </c>
      <c r="D10350" s="13" t="s">
        <v>158</v>
      </c>
      <c r="E10350" s="12" t="s">
        <v>35</v>
      </c>
      <c r="F10350" s="14">
        <v>5300</v>
      </c>
      <c r="G10350" s="14">
        <v>3905</v>
      </c>
      <c r="H10350" s="13" t="s">
        <v>19117</v>
      </c>
      <c r="I10350" s="40" t="s">
        <v>18</v>
      </c>
      <c r="J10350" s="40" t="str">
        <f>HYPERLINK("https://stock.pstatic.net/stock-research/company/18/20250730_company_957400000.pdf","PDF")</f>
        <v>PDF</v>
      </c>
      <c r="K10350" s="12" t="s">
        <v>19118</v>
      </c>
      <c r="L10350" s="20">
        <v>0.35723431498079378</v>
      </c>
    </row>
    <row r="10351" spans="1:12" x14ac:dyDescent="0.45">
      <c r="A10351" s="12" t="s">
        <v>19062</v>
      </c>
      <c r="B10351" s="12" t="s">
        <v>2253</v>
      </c>
      <c r="C10351" s="13" t="s">
        <v>2254</v>
      </c>
      <c r="D10351" s="13" t="s">
        <v>15</v>
      </c>
      <c r="E10351" s="12" t="s">
        <v>16</v>
      </c>
      <c r="F10351" s="14">
        <v>9700</v>
      </c>
      <c r="G10351" s="14">
        <v>7860</v>
      </c>
      <c r="H10351" s="13" t="s">
        <v>19119</v>
      </c>
      <c r="I10351" s="40" t="s">
        <v>18</v>
      </c>
      <c r="J10351" s="40" t="str">
        <f>HYPERLINK("https://stock.pstatic.net/stock-research/company/29/20250730_company_12153000.pdf","PDF")</f>
        <v>PDF</v>
      </c>
      <c r="K10351" s="12" t="s">
        <v>19120</v>
      </c>
      <c r="L10351" s="20">
        <v>0.2340966921119593</v>
      </c>
    </row>
    <row r="10352" spans="1:12" x14ac:dyDescent="0.45">
      <c r="A10352" s="12" t="s">
        <v>19062</v>
      </c>
      <c r="B10352" s="12" t="s">
        <v>3204</v>
      </c>
      <c r="C10352" s="13" t="s">
        <v>3205</v>
      </c>
      <c r="D10352" s="13" t="s">
        <v>15</v>
      </c>
      <c r="E10352" s="12" t="s">
        <v>16</v>
      </c>
      <c r="F10352" s="14">
        <v>5600</v>
      </c>
      <c r="G10352" s="14">
        <v>3905</v>
      </c>
      <c r="H10352" s="13" t="s">
        <v>19121</v>
      </c>
      <c r="I10352" s="40" t="s">
        <v>18</v>
      </c>
      <c r="J10352" s="40" t="str">
        <f>HYPERLINK("https://stock.pstatic.net/stock-research/company/29/20250730_company_623577000.pdf","PDF")</f>
        <v>PDF</v>
      </c>
      <c r="K10352" s="12" t="s">
        <v>19122</v>
      </c>
      <c r="L10352" s="20">
        <v>0.43405889884763132</v>
      </c>
    </row>
    <row r="10353" spans="1:12" x14ac:dyDescent="0.45">
      <c r="A10353" s="12" t="s">
        <v>19062</v>
      </c>
      <c r="B10353" s="12" t="s">
        <v>3284</v>
      </c>
      <c r="C10353" s="13" t="s">
        <v>3285</v>
      </c>
      <c r="D10353" s="13" t="s">
        <v>92</v>
      </c>
      <c r="E10353" s="12" t="s">
        <v>35</v>
      </c>
      <c r="F10353" s="14">
        <v>120000</v>
      </c>
      <c r="G10353" s="14">
        <v>96800</v>
      </c>
      <c r="H10353" s="13" t="s">
        <v>19123</v>
      </c>
      <c r="I10353" s="40" t="s">
        <v>18</v>
      </c>
      <c r="J10353" s="40" t="str">
        <f>HYPERLINK("https://stock.pstatic.net/stock-research/company/63/20250730_company_144604000.pdf","PDF")</f>
        <v>PDF</v>
      </c>
      <c r="K10353" s="12" t="s">
        <v>19124</v>
      </c>
      <c r="L10353" s="20">
        <v>0.23966942148760331</v>
      </c>
    </row>
    <row r="10354" spans="1:12" x14ac:dyDescent="0.45">
      <c r="A10354" s="12" t="s">
        <v>19062</v>
      </c>
      <c r="B10354" s="12" t="s">
        <v>442</v>
      </c>
      <c r="C10354" s="13" t="s">
        <v>443</v>
      </c>
      <c r="D10354" s="13" t="s">
        <v>92</v>
      </c>
      <c r="E10354" s="12" t="s">
        <v>35</v>
      </c>
      <c r="F10354" s="14">
        <v>24000</v>
      </c>
      <c r="G10354" s="14">
        <v>17410</v>
      </c>
      <c r="H10354" s="13" t="s">
        <v>19125</v>
      </c>
      <c r="I10354" s="40" t="s">
        <v>18</v>
      </c>
      <c r="J10354" s="40" t="str">
        <f>HYPERLINK("https://stock.pstatic.net/stock-research/company/63/20250730_company_470509000.pdf","PDF")</f>
        <v>PDF</v>
      </c>
      <c r="K10354" s="12" t="s">
        <v>19126</v>
      </c>
      <c r="L10354" s="20">
        <v>0.3785180930499713</v>
      </c>
    </row>
    <row r="10355" spans="1:12" x14ac:dyDescent="0.45">
      <c r="A10355" s="12" t="s">
        <v>19062</v>
      </c>
      <c r="B10355" s="12" t="s">
        <v>3018</v>
      </c>
      <c r="C10355" s="13" t="s">
        <v>3019</v>
      </c>
      <c r="D10355" s="13" t="s">
        <v>23</v>
      </c>
      <c r="E10355" s="12" t="s">
        <v>16</v>
      </c>
      <c r="F10355" s="14">
        <v>22000</v>
      </c>
      <c r="G10355" s="14">
        <v>19160</v>
      </c>
      <c r="H10355" s="13" t="s">
        <v>19127</v>
      </c>
      <c r="I10355" s="40" t="s">
        <v>18</v>
      </c>
      <c r="J10355" s="40" t="str">
        <f>HYPERLINK("https://stock.pstatic.net/stock-research/company/21/20250730_company_795709000.pdf","PDF")</f>
        <v>PDF</v>
      </c>
      <c r="K10355" s="12" t="s">
        <v>19128</v>
      </c>
      <c r="L10355" s="20">
        <v>0.14822546972860129</v>
      </c>
    </row>
    <row r="10356" spans="1:12" x14ac:dyDescent="0.45">
      <c r="A10356" s="12" t="s">
        <v>19062</v>
      </c>
      <c r="B10356" s="12" t="s">
        <v>3284</v>
      </c>
      <c r="C10356" s="13" t="s">
        <v>3285</v>
      </c>
      <c r="D10356" s="13" t="s">
        <v>44</v>
      </c>
      <c r="E10356" s="12" t="s">
        <v>45</v>
      </c>
      <c r="F10356" s="14">
        <v>108000</v>
      </c>
      <c r="G10356" s="14">
        <v>96800</v>
      </c>
      <c r="H10356" s="13" t="s">
        <v>19129</v>
      </c>
      <c r="I10356" s="40" t="s">
        <v>18</v>
      </c>
      <c r="J10356" s="40" t="str">
        <f>HYPERLINK("https://stock.pstatic.net/stock-research/company/39/20250730_company_441224000.pdf","PDF")</f>
        <v>PDF</v>
      </c>
      <c r="K10356" s="12" t="s">
        <v>19130</v>
      </c>
      <c r="L10356" s="20">
        <v>0.11570247933884301</v>
      </c>
    </row>
    <row r="10357" spans="1:12" x14ac:dyDescent="0.45">
      <c r="A10357" s="12" t="s">
        <v>19062</v>
      </c>
      <c r="B10357" s="12" t="s">
        <v>3284</v>
      </c>
      <c r="C10357" s="13" t="s">
        <v>3285</v>
      </c>
      <c r="D10357" s="13" t="s">
        <v>34</v>
      </c>
      <c r="E10357" s="12" t="s">
        <v>35</v>
      </c>
      <c r="F10357" s="14">
        <v>115000</v>
      </c>
      <c r="G10357" s="14">
        <v>96800</v>
      </c>
      <c r="H10357" s="13" t="s">
        <v>19131</v>
      </c>
      <c r="I10357" s="40" t="s">
        <v>18</v>
      </c>
      <c r="J10357" s="40" t="str">
        <f>HYPERLINK("https://stock.pstatic.net/stock-research/company/61/20250730_company_664417000.pdf","PDF")</f>
        <v>PDF</v>
      </c>
      <c r="K10357" s="12" t="s">
        <v>19132</v>
      </c>
      <c r="L10357" s="20">
        <v>0.18801652892561979</v>
      </c>
    </row>
    <row r="10358" spans="1:12" x14ac:dyDescent="0.45">
      <c r="A10358" s="12" t="s">
        <v>19062</v>
      </c>
      <c r="B10358" s="12" t="s">
        <v>2837</v>
      </c>
      <c r="C10358" s="13" t="s">
        <v>2838</v>
      </c>
      <c r="D10358" s="13" t="s">
        <v>34</v>
      </c>
      <c r="E10358" s="12" t="s">
        <v>35</v>
      </c>
      <c r="F10358" s="14">
        <v>68000</v>
      </c>
      <c r="G10358" s="14">
        <v>56500</v>
      </c>
      <c r="H10358" s="13" t="s">
        <v>19133</v>
      </c>
      <c r="I10358" s="40" t="s">
        <v>18</v>
      </c>
      <c r="J10358" s="40" t="str">
        <f>HYPERLINK("https://stock.pstatic.net/stock-research/company/61/20250730_company_591579000.pdf","PDF")</f>
        <v>PDF</v>
      </c>
      <c r="K10358" s="12" t="s">
        <v>19134</v>
      </c>
      <c r="L10358" s="20">
        <v>0.2035398230088496</v>
      </c>
    </row>
    <row r="10359" spans="1:12" x14ac:dyDescent="0.45">
      <c r="A10359" s="12" t="s">
        <v>19062</v>
      </c>
      <c r="B10359" s="12" t="s">
        <v>3018</v>
      </c>
      <c r="C10359" s="13" t="s">
        <v>3019</v>
      </c>
      <c r="D10359" s="13" t="s">
        <v>92</v>
      </c>
      <c r="E10359" s="12" t="s">
        <v>35</v>
      </c>
      <c r="F10359" s="14">
        <v>22000</v>
      </c>
      <c r="G10359" s="14">
        <v>19160</v>
      </c>
      <c r="H10359" s="13" t="s">
        <v>19135</v>
      </c>
      <c r="I10359" s="40" t="s">
        <v>18</v>
      </c>
      <c r="J10359" s="40" t="str">
        <f>HYPERLINK("https://stock.pstatic.net/stock-research/company/63/20250730_company_531449000.pdf","PDF")</f>
        <v>PDF</v>
      </c>
      <c r="K10359" s="12" t="s">
        <v>19136</v>
      </c>
      <c r="L10359" s="20">
        <v>0.14822546972860129</v>
      </c>
    </row>
    <row r="10360" spans="1:12" x14ac:dyDescent="0.45">
      <c r="A10360" s="12" t="s">
        <v>19062</v>
      </c>
      <c r="B10360" s="12" t="s">
        <v>2522</v>
      </c>
      <c r="C10360" s="13" t="s">
        <v>2523</v>
      </c>
      <c r="D10360" s="13" t="s">
        <v>179</v>
      </c>
      <c r="E10360" s="12" t="s">
        <v>16</v>
      </c>
      <c r="F10360" s="14">
        <v>450000</v>
      </c>
      <c r="G10360" s="14">
        <v>338000</v>
      </c>
      <c r="H10360" s="13" t="s">
        <v>19137</v>
      </c>
      <c r="I10360" s="40" t="s">
        <v>18</v>
      </c>
      <c r="J10360" s="40" t="str">
        <f>HYPERLINK("https://stock.pstatic.net/stock-research/company/31/20250730_company_952544000.pdf","PDF")</f>
        <v>PDF</v>
      </c>
      <c r="K10360" s="12" t="s">
        <v>19138</v>
      </c>
      <c r="L10360" s="20">
        <v>0.33136094674556221</v>
      </c>
    </row>
    <row r="10361" spans="1:12" x14ac:dyDescent="0.45">
      <c r="A10361" s="12" t="s">
        <v>19062</v>
      </c>
      <c r="B10361" s="12" t="s">
        <v>4567</v>
      </c>
      <c r="C10361" s="13" t="s">
        <v>4568</v>
      </c>
      <c r="D10361" s="13" t="s">
        <v>34</v>
      </c>
      <c r="E10361" s="12" t="s">
        <v>35</v>
      </c>
      <c r="F10361" s="14">
        <v>28000</v>
      </c>
      <c r="G10361" s="14">
        <v>20350</v>
      </c>
      <c r="H10361" s="13" t="s">
        <v>19139</v>
      </c>
      <c r="I10361" s="40" t="s">
        <v>18</v>
      </c>
      <c r="J10361" s="40" t="str">
        <f>HYPERLINK("https://stock.pstatic.net/stock-research/company/61/20250730_company_766344000.pdf","PDF")</f>
        <v>PDF</v>
      </c>
      <c r="K10361" s="12" t="s">
        <v>19140</v>
      </c>
      <c r="L10361" s="20">
        <v>0.37592137592137592</v>
      </c>
    </row>
    <row r="10362" spans="1:12" x14ac:dyDescent="0.45">
      <c r="A10362" s="12" t="s">
        <v>19062</v>
      </c>
      <c r="B10362" s="12" t="s">
        <v>2522</v>
      </c>
      <c r="C10362" s="13" t="s">
        <v>2523</v>
      </c>
      <c r="D10362" s="13" t="s">
        <v>15</v>
      </c>
      <c r="E10362" s="12" t="s">
        <v>16</v>
      </c>
      <c r="F10362" s="14">
        <v>450000</v>
      </c>
      <c r="G10362" s="14">
        <v>338000</v>
      </c>
      <c r="H10362" s="13" t="s">
        <v>19141</v>
      </c>
      <c r="I10362" s="40" t="s">
        <v>18</v>
      </c>
      <c r="J10362" s="40" t="str">
        <f>HYPERLINK("https://stock.pstatic.net/stock-research/company/29/20250730_company_483739000.pdf","PDF")</f>
        <v>PDF</v>
      </c>
      <c r="K10362" s="12" t="s">
        <v>19142</v>
      </c>
      <c r="L10362" s="20">
        <v>0.33136094674556221</v>
      </c>
    </row>
    <row r="10363" spans="1:12" x14ac:dyDescent="0.45">
      <c r="A10363" s="12" t="s">
        <v>19062</v>
      </c>
      <c r="B10363" s="12" t="s">
        <v>2522</v>
      </c>
      <c r="C10363" s="13" t="s">
        <v>2523</v>
      </c>
      <c r="D10363" s="13" t="s">
        <v>92</v>
      </c>
      <c r="E10363" s="12" t="s">
        <v>35</v>
      </c>
      <c r="F10363" s="14">
        <v>510000</v>
      </c>
      <c r="G10363" s="14">
        <v>338000</v>
      </c>
      <c r="H10363" s="13" t="s">
        <v>19143</v>
      </c>
      <c r="I10363" s="40" t="s">
        <v>18</v>
      </c>
      <c r="J10363" s="40" t="str">
        <f>HYPERLINK("https://stock.pstatic.net/stock-research/company/63/20250730_company_123142000.pdf","PDF")</f>
        <v>PDF</v>
      </c>
      <c r="K10363" s="12" t="s">
        <v>19144</v>
      </c>
      <c r="L10363" s="20">
        <v>0.50887573964497046</v>
      </c>
    </row>
    <row r="10364" spans="1:12" x14ac:dyDescent="0.45">
      <c r="A10364" s="12" t="s">
        <v>19062</v>
      </c>
      <c r="B10364" s="12" t="s">
        <v>5503</v>
      </c>
      <c r="C10364" s="13" t="s">
        <v>5504</v>
      </c>
      <c r="D10364" s="13" t="s">
        <v>92</v>
      </c>
      <c r="E10364" s="12" t="s">
        <v>35</v>
      </c>
      <c r="F10364" s="14">
        <v>10000</v>
      </c>
      <c r="G10364" s="14">
        <v>5630</v>
      </c>
      <c r="H10364" s="13" t="s">
        <v>19145</v>
      </c>
      <c r="I10364" s="40" t="s">
        <v>18</v>
      </c>
      <c r="J10364" s="40" t="str">
        <f>HYPERLINK("https://stock.pstatic.net/stock-research/company/63/20250730_company_187613000.pdf","PDF")</f>
        <v>PDF</v>
      </c>
      <c r="K10364" s="12" t="s">
        <v>19146</v>
      </c>
      <c r="L10364" s="20">
        <v>0.77619893428063946</v>
      </c>
    </row>
    <row r="10365" spans="1:12" x14ac:dyDescent="0.45">
      <c r="A10365" s="12" t="s">
        <v>19062</v>
      </c>
      <c r="B10365" s="12" t="s">
        <v>2621</v>
      </c>
      <c r="C10365" s="13" t="s">
        <v>2622</v>
      </c>
      <c r="D10365" s="13" t="s">
        <v>53</v>
      </c>
      <c r="E10365" s="12" t="s">
        <v>16</v>
      </c>
      <c r="F10365" s="14">
        <v>10500</v>
      </c>
      <c r="G10365" s="14">
        <v>9050</v>
      </c>
      <c r="H10365" s="13" t="s">
        <v>19147</v>
      </c>
      <c r="I10365" s="40" t="s">
        <v>18</v>
      </c>
      <c r="J10365" s="40" t="str">
        <f>HYPERLINK("https://stock.pstatic.net/stock-research/company/40/20250730_company_861757000.pdf","PDF")</f>
        <v>PDF</v>
      </c>
      <c r="K10365" s="12" t="s">
        <v>19148</v>
      </c>
      <c r="L10365" s="20">
        <v>0.1602209944751381</v>
      </c>
    </row>
    <row r="10366" spans="1:12" x14ac:dyDescent="0.45">
      <c r="A10366" s="12" t="s">
        <v>19062</v>
      </c>
      <c r="B10366" s="12" t="s">
        <v>3204</v>
      </c>
      <c r="C10366" s="13" t="s">
        <v>3205</v>
      </c>
      <c r="D10366" s="13" t="s">
        <v>44</v>
      </c>
      <c r="E10366" s="12" t="s">
        <v>35</v>
      </c>
      <c r="F10366" s="14">
        <v>5000</v>
      </c>
      <c r="G10366" s="14">
        <v>3905</v>
      </c>
      <c r="H10366" s="13" t="s">
        <v>19149</v>
      </c>
      <c r="I10366" s="40" t="s">
        <v>18</v>
      </c>
      <c r="J10366" s="40" t="str">
        <f>HYPERLINK("https://stock.pstatic.net/stock-research/company/39/20250730_company_918209000.pdf","PDF")</f>
        <v>PDF</v>
      </c>
      <c r="K10366" s="12" t="s">
        <v>19150</v>
      </c>
      <c r="L10366" s="20">
        <v>0.28040973111395651</v>
      </c>
    </row>
    <row r="10367" spans="1:12" x14ac:dyDescent="0.45">
      <c r="A10367" s="12" t="s">
        <v>19062</v>
      </c>
      <c r="B10367" s="12" t="s">
        <v>3284</v>
      </c>
      <c r="C10367" s="13" t="s">
        <v>3285</v>
      </c>
      <c r="D10367" s="13" t="s">
        <v>179</v>
      </c>
      <c r="E10367" s="12" t="s">
        <v>16</v>
      </c>
      <c r="F10367" s="14">
        <v>120000</v>
      </c>
      <c r="G10367" s="14">
        <v>96800</v>
      </c>
      <c r="H10367" s="13" t="s">
        <v>19151</v>
      </c>
      <c r="I10367" s="40" t="s">
        <v>18</v>
      </c>
      <c r="J10367" s="40" t="str">
        <f>HYPERLINK("https://stock.pstatic.net/stock-research/company/31/20250730_company_790476000.pdf","PDF")</f>
        <v>PDF</v>
      </c>
      <c r="K10367" s="12" t="s">
        <v>19152</v>
      </c>
      <c r="L10367" s="20">
        <v>0.23966942148760331</v>
      </c>
    </row>
    <row r="10368" spans="1:12" x14ac:dyDescent="0.45">
      <c r="A10368" s="12" t="s">
        <v>19062</v>
      </c>
      <c r="B10368" s="12" t="s">
        <v>2266</v>
      </c>
      <c r="C10368" s="13" t="s">
        <v>2267</v>
      </c>
      <c r="D10368" s="13" t="s">
        <v>44</v>
      </c>
      <c r="E10368" s="12" t="s">
        <v>35</v>
      </c>
      <c r="F10368" s="14">
        <v>135000</v>
      </c>
      <c r="G10368" s="14">
        <v>100500</v>
      </c>
      <c r="H10368" s="13" t="s">
        <v>19153</v>
      </c>
      <c r="I10368" s="40" t="s">
        <v>18</v>
      </c>
      <c r="J10368" s="40" t="str">
        <f>HYPERLINK("https://stock.pstatic.net/stock-research/company/39/20250730_company_120062000.pdf","PDF")</f>
        <v>PDF</v>
      </c>
      <c r="K10368" s="12" t="s">
        <v>19154</v>
      </c>
      <c r="L10368" s="20">
        <v>0.34328358208955218</v>
      </c>
    </row>
    <row r="10369" spans="1:12" x14ac:dyDescent="0.45">
      <c r="A10369" s="12" t="s">
        <v>19062</v>
      </c>
      <c r="B10369" s="12" t="s">
        <v>3284</v>
      </c>
      <c r="C10369" s="13" t="s">
        <v>3285</v>
      </c>
      <c r="D10369" s="13" t="s">
        <v>23</v>
      </c>
      <c r="E10369" s="12" t="s">
        <v>16</v>
      </c>
      <c r="F10369" s="14">
        <v>120000</v>
      </c>
      <c r="G10369" s="14">
        <v>96800</v>
      </c>
      <c r="H10369" s="13" t="s">
        <v>19155</v>
      </c>
      <c r="I10369" s="40" t="s">
        <v>18</v>
      </c>
      <c r="J10369" s="40" t="str">
        <f>HYPERLINK("https://stock.pstatic.net/stock-research/company/21/20250730_company_467626000.pdf","PDF")</f>
        <v>PDF</v>
      </c>
      <c r="K10369" s="12" t="s">
        <v>19156</v>
      </c>
      <c r="L10369" s="20">
        <v>0.23966942148760331</v>
      </c>
    </row>
    <row r="10370" spans="1:12" x14ac:dyDescent="0.45">
      <c r="A10370" s="12" t="s">
        <v>19062</v>
      </c>
      <c r="B10370" s="12" t="s">
        <v>2266</v>
      </c>
      <c r="C10370" s="13" t="s">
        <v>2267</v>
      </c>
      <c r="D10370" s="13" t="s">
        <v>23</v>
      </c>
      <c r="E10370" s="12" t="s">
        <v>16</v>
      </c>
      <c r="F10370" s="14">
        <v>116000</v>
      </c>
      <c r="G10370" s="14">
        <v>100500</v>
      </c>
      <c r="H10370" s="13" t="s">
        <v>19157</v>
      </c>
      <c r="I10370" s="40" t="s">
        <v>18</v>
      </c>
      <c r="J10370" s="40" t="str">
        <f>HYPERLINK("https://stock.pstatic.net/stock-research/company/21/20250730_company_388126000.pdf","PDF")</f>
        <v>PDF</v>
      </c>
      <c r="K10370" s="12" t="s">
        <v>19158</v>
      </c>
      <c r="L10370" s="20">
        <v>0.154228855721393</v>
      </c>
    </row>
    <row r="10371" spans="1:12" x14ac:dyDescent="0.45">
      <c r="A10371" s="12" t="s">
        <v>19062</v>
      </c>
      <c r="B10371" s="12" t="s">
        <v>720</v>
      </c>
      <c r="C10371" s="13" t="s">
        <v>721</v>
      </c>
      <c r="D10371" s="13" t="s">
        <v>44</v>
      </c>
      <c r="E10371" s="12" t="s">
        <v>35</v>
      </c>
      <c r="F10371" s="14">
        <v>17000</v>
      </c>
      <c r="G10371" s="14">
        <v>13180</v>
      </c>
      <c r="H10371" s="13" t="s">
        <v>19159</v>
      </c>
      <c r="I10371" s="40" t="s">
        <v>18</v>
      </c>
      <c r="J10371" s="40" t="str">
        <f>HYPERLINK("https://stock.pstatic.net/stock-research/company/39/20250730_company_524065000.pdf","PDF")</f>
        <v>PDF</v>
      </c>
      <c r="K10371" s="12" t="s">
        <v>19160</v>
      </c>
      <c r="L10371" s="20">
        <v>0.2898330804248862</v>
      </c>
    </row>
    <row r="10372" spans="1:12" x14ac:dyDescent="0.45">
      <c r="A10372" s="12" t="s">
        <v>19062</v>
      </c>
      <c r="B10372" s="12" t="s">
        <v>2911</v>
      </c>
      <c r="C10372" s="13" t="s">
        <v>2912</v>
      </c>
      <c r="D10372" s="13" t="s">
        <v>44</v>
      </c>
      <c r="E10372" s="12" t="s">
        <v>35</v>
      </c>
      <c r="F10372" s="14">
        <v>28000</v>
      </c>
      <c r="G10372" s="14">
        <v>19610</v>
      </c>
      <c r="H10372" s="13" t="s">
        <v>19161</v>
      </c>
      <c r="I10372" s="40" t="s">
        <v>18</v>
      </c>
      <c r="J10372" s="40" t="str">
        <f>HYPERLINK("https://stock.pstatic.net/stock-research/company/39/20250730_company_935701000.pdf","PDF")</f>
        <v>PDF</v>
      </c>
      <c r="K10372" s="12" t="s">
        <v>19162</v>
      </c>
      <c r="L10372" s="20">
        <v>0.42784293727689948</v>
      </c>
    </row>
    <row r="10373" spans="1:12" x14ac:dyDescent="0.45">
      <c r="A10373" s="12" t="s">
        <v>19062</v>
      </c>
      <c r="B10373" s="12" t="s">
        <v>609</v>
      </c>
      <c r="C10373" s="13" t="s">
        <v>610</v>
      </c>
      <c r="D10373" s="13" t="s">
        <v>124</v>
      </c>
      <c r="E10373" s="12" t="s">
        <v>50</v>
      </c>
      <c r="F10373" s="13"/>
      <c r="G10373" s="13"/>
      <c r="H10373" s="13" t="s">
        <v>19163</v>
      </c>
      <c r="I10373" s="40" t="s">
        <v>18</v>
      </c>
      <c r="J10373" s="40" t="str">
        <f>HYPERLINK("https://stock.pstatic.net/stock-research/company/1/20250730_company_620030000.pdf","PDF")</f>
        <v>PDF</v>
      </c>
      <c r="K10373" s="12" t="s">
        <v>19164</v>
      </c>
    </row>
    <row r="10374" spans="1:12" x14ac:dyDescent="0.45">
      <c r="A10374" s="12" t="s">
        <v>19062</v>
      </c>
      <c r="B10374" s="12" t="s">
        <v>3204</v>
      </c>
      <c r="C10374" s="13" t="s">
        <v>3205</v>
      </c>
      <c r="D10374" s="13" t="s">
        <v>53</v>
      </c>
      <c r="E10374" s="12" t="s">
        <v>16</v>
      </c>
      <c r="F10374" s="14">
        <v>4800</v>
      </c>
      <c r="G10374" s="14">
        <v>3905</v>
      </c>
      <c r="H10374" s="13" t="s">
        <v>19165</v>
      </c>
      <c r="I10374" s="40" t="s">
        <v>18</v>
      </c>
      <c r="J10374" s="40" t="str">
        <f>HYPERLINK("https://stock.pstatic.net/stock-research/company/40/20250730_company_685096000.pdf","PDF")</f>
        <v>PDF</v>
      </c>
      <c r="K10374" s="12" t="s">
        <v>19166</v>
      </c>
      <c r="L10374" s="20">
        <v>0.22919334186939819</v>
      </c>
    </row>
    <row r="10375" spans="1:12" x14ac:dyDescent="0.45">
      <c r="A10375" s="12" t="s">
        <v>19167</v>
      </c>
      <c r="B10375" s="12" t="s">
        <v>2911</v>
      </c>
      <c r="C10375" s="13" t="s">
        <v>2912</v>
      </c>
      <c r="D10375" s="13" t="s">
        <v>179</v>
      </c>
      <c r="E10375" s="12" t="s">
        <v>50</v>
      </c>
      <c r="F10375" s="13"/>
      <c r="G10375" s="13"/>
      <c r="H10375" s="13" t="s">
        <v>19168</v>
      </c>
      <c r="I10375" s="40" t="s">
        <v>18</v>
      </c>
      <c r="J10375" s="40" t="str">
        <f>HYPERLINK("https://stock.pstatic.net/stock-research/company/64/20250729_company_406014000.pdf","PDF")</f>
        <v>PDF</v>
      </c>
      <c r="K10375" s="12" t="s">
        <v>19169</v>
      </c>
    </row>
    <row r="10376" spans="1:12" x14ac:dyDescent="0.45">
      <c r="A10376" s="12" t="s">
        <v>19167</v>
      </c>
      <c r="B10376" s="12" t="s">
        <v>3204</v>
      </c>
      <c r="C10376" s="13" t="s">
        <v>3205</v>
      </c>
      <c r="D10376" s="13" t="s">
        <v>23</v>
      </c>
      <c r="E10376" s="12" t="s">
        <v>50</v>
      </c>
      <c r="F10376" s="14">
        <v>3600</v>
      </c>
      <c r="G10376" s="14">
        <v>3810</v>
      </c>
      <c r="H10376" s="13" t="s">
        <v>19170</v>
      </c>
      <c r="I10376" s="40" t="s">
        <v>18</v>
      </c>
      <c r="J10376" s="40" t="str">
        <f>HYPERLINK("https://stock.pstatic.net/stock-research/company/21/20250729_company_108444000.pdf","PDF")</f>
        <v>PDF</v>
      </c>
      <c r="K10376" s="12" t="s">
        <v>19171</v>
      </c>
      <c r="L10376" s="20">
        <v>-5.5118110236220472E-2</v>
      </c>
    </row>
    <row r="10377" spans="1:12" x14ac:dyDescent="0.45">
      <c r="A10377" s="12" t="s">
        <v>19167</v>
      </c>
      <c r="B10377" s="12" t="s">
        <v>2777</v>
      </c>
      <c r="C10377" s="13" t="s">
        <v>2778</v>
      </c>
      <c r="D10377" s="13" t="s">
        <v>276</v>
      </c>
      <c r="E10377" s="12" t="s">
        <v>16</v>
      </c>
      <c r="F10377" s="14">
        <v>240000</v>
      </c>
      <c r="G10377" s="14">
        <v>162000</v>
      </c>
      <c r="H10377" s="13" t="s">
        <v>19172</v>
      </c>
      <c r="I10377" s="40" t="s">
        <v>18</v>
      </c>
      <c r="J10377" s="40" t="str">
        <f>HYPERLINK("https://stock.pstatic.net/stock-research/company/66/20250729_company_411201000.pdf","PDF")</f>
        <v>PDF</v>
      </c>
      <c r="K10377" s="12" t="s">
        <v>19173</v>
      </c>
      <c r="L10377" s="20">
        <v>0.48148148148148151</v>
      </c>
    </row>
    <row r="10378" spans="1:12" x14ac:dyDescent="0.45">
      <c r="A10378" s="12" t="s">
        <v>19167</v>
      </c>
      <c r="B10378" s="12" t="s">
        <v>3168</v>
      </c>
      <c r="C10378" s="13" t="s">
        <v>3169</v>
      </c>
      <c r="D10378" s="13" t="s">
        <v>60</v>
      </c>
      <c r="E10378" s="12" t="s">
        <v>35</v>
      </c>
      <c r="F10378" s="14">
        <v>16100</v>
      </c>
      <c r="G10378" s="14">
        <v>13390</v>
      </c>
      <c r="H10378" s="13" t="s">
        <v>19174</v>
      </c>
      <c r="I10378" s="40" t="s">
        <v>18</v>
      </c>
      <c r="J10378" s="40" t="str">
        <f>HYPERLINK("https://stock.pstatic.net/stock-research/company/1/20250729_company_221830000.pdf","PDF")</f>
        <v>PDF</v>
      </c>
      <c r="K10378" s="12" t="s">
        <v>19175</v>
      </c>
      <c r="L10378" s="20">
        <v>0.20238984316654221</v>
      </c>
    </row>
    <row r="10379" spans="1:12" x14ac:dyDescent="0.45">
      <c r="A10379" s="12" t="s">
        <v>19167</v>
      </c>
      <c r="B10379" s="12" t="s">
        <v>3168</v>
      </c>
      <c r="C10379" s="13" t="s">
        <v>3169</v>
      </c>
      <c r="D10379" s="13" t="s">
        <v>65</v>
      </c>
      <c r="E10379" s="12" t="s">
        <v>35</v>
      </c>
      <c r="F10379" s="14">
        <v>17500</v>
      </c>
      <c r="G10379" s="14">
        <v>13390</v>
      </c>
      <c r="H10379" s="13" t="s">
        <v>19176</v>
      </c>
      <c r="I10379" s="40" t="s">
        <v>18</v>
      </c>
      <c r="J10379" s="40" t="str">
        <f>HYPERLINK("https://stock.pstatic.net/stock-research/company/57/20250729_company_47816000.pdf","PDF")</f>
        <v>PDF</v>
      </c>
      <c r="K10379" s="12" t="s">
        <v>19177</v>
      </c>
      <c r="L10379" s="20">
        <v>0.30694548170276331</v>
      </c>
    </row>
    <row r="10380" spans="1:12" x14ac:dyDescent="0.45">
      <c r="A10380" s="12" t="s">
        <v>19167</v>
      </c>
      <c r="B10380" s="12" t="s">
        <v>780</v>
      </c>
      <c r="C10380" s="13" t="s">
        <v>781</v>
      </c>
      <c r="D10380" s="13" t="s">
        <v>65</v>
      </c>
      <c r="E10380" s="12" t="s">
        <v>35</v>
      </c>
      <c r="F10380" s="14">
        <v>12000</v>
      </c>
      <c r="G10380" s="14">
        <v>6460</v>
      </c>
      <c r="H10380" s="13" t="s">
        <v>19178</v>
      </c>
      <c r="I10380" s="40" t="s">
        <v>18</v>
      </c>
      <c r="J10380" s="40" t="str">
        <f>HYPERLINK("https://stock.pstatic.net/stock-research/company/57/20250729_company_911317000.pdf","PDF")</f>
        <v>PDF</v>
      </c>
      <c r="K10380" s="12" t="s">
        <v>19179</v>
      </c>
      <c r="L10380" s="20">
        <v>0.85758513931888547</v>
      </c>
    </row>
    <row r="10381" spans="1:12" x14ac:dyDescent="0.45">
      <c r="A10381" s="12" t="s">
        <v>19167</v>
      </c>
      <c r="B10381" s="12" t="s">
        <v>3168</v>
      </c>
      <c r="C10381" s="13" t="s">
        <v>3169</v>
      </c>
      <c r="D10381" s="13" t="s">
        <v>57</v>
      </c>
      <c r="E10381" s="12" t="s">
        <v>35</v>
      </c>
      <c r="F10381" s="14">
        <v>14000</v>
      </c>
      <c r="G10381" s="14">
        <v>13390</v>
      </c>
      <c r="H10381" s="13" t="s">
        <v>19180</v>
      </c>
      <c r="I10381" s="40" t="s">
        <v>18</v>
      </c>
      <c r="J10381" s="40" t="str">
        <f>HYPERLINK("https://stock.pstatic.net/stock-research/company/16/20250729_company_81964000.pdf","PDF")</f>
        <v>PDF</v>
      </c>
      <c r="K10381" s="12" t="s">
        <v>19181</v>
      </c>
      <c r="L10381" s="20">
        <v>4.5556385362210607E-2</v>
      </c>
    </row>
    <row r="10382" spans="1:12" x14ac:dyDescent="0.45">
      <c r="A10382" s="12" t="s">
        <v>19167</v>
      </c>
      <c r="B10382" s="12" t="s">
        <v>3168</v>
      </c>
      <c r="C10382" s="13" t="s">
        <v>3169</v>
      </c>
      <c r="D10382" s="13" t="s">
        <v>158</v>
      </c>
      <c r="E10382" s="12" t="s">
        <v>35</v>
      </c>
      <c r="F10382" s="14">
        <v>16500</v>
      </c>
      <c r="G10382" s="14">
        <v>13390</v>
      </c>
      <c r="H10382" s="13" t="s">
        <v>19182</v>
      </c>
      <c r="I10382" s="40" t="s">
        <v>18</v>
      </c>
      <c r="J10382" s="40" t="str">
        <f>HYPERLINK("https://stock.pstatic.net/stock-research/company/18/20250729_company_989665000.pdf","PDF")</f>
        <v>PDF</v>
      </c>
      <c r="K10382" s="12" t="s">
        <v>19183</v>
      </c>
      <c r="L10382" s="20">
        <v>0.2322628827483196</v>
      </c>
    </row>
    <row r="10383" spans="1:12" x14ac:dyDescent="0.45">
      <c r="A10383" s="12" t="s">
        <v>19167</v>
      </c>
      <c r="B10383" s="12" t="s">
        <v>3244</v>
      </c>
      <c r="C10383" s="13" t="s">
        <v>3245</v>
      </c>
      <c r="D10383" s="13" t="s">
        <v>158</v>
      </c>
      <c r="E10383" s="12" t="s">
        <v>35</v>
      </c>
      <c r="F10383" s="14">
        <v>68000</v>
      </c>
      <c r="G10383" s="14">
        <v>53500</v>
      </c>
      <c r="H10383" s="13" t="s">
        <v>19184</v>
      </c>
      <c r="I10383" s="40" t="s">
        <v>18</v>
      </c>
      <c r="J10383" s="40" t="str">
        <f>HYPERLINK("https://stock.pstatic.net/stock-research/company/18/20250729_company_719578000.pdf","PDF")</f>
        <v>PDF</v>
      </c>
      <c r="K10383" s="12" t="s">
        <v>19185</v>
      </c>
      <c r="L10383" s="20">
        <v>0.27102803738317749</v>
      </c>
    </row>
    <row r="10384" spans="1:12" x14ac:dyDescent="0.45">
      <c r="A10384" s="12" t="s">
        <v>19167</v>
      </c>
      <c r="B10384" s="12" t="s">
        <v>2688</v>
      </c>
      <c r="C10384" s="13" t="s">
        <v>2689</v>
      </c>
      <c r="D10384" s="13" t="s">
        <v>158</v>
      </c>
      <c r="E10384" s="12" t="s">
        <v>35</v>
      </c>
      <c r="F10384" s="14">
        <v>90000</v>
      </c>
      <c r="G10384" s="14">
        <v>70900</v>
      </c>
      <c r="H10384" s="13" t="s">
        <v>19186</v>
      </c>
      <c r="I10384" s="40" t="s">
        <v>18</v>
      </c>
      <c r="J10384" s="40" t="str">
        <f>HYPERLINK("https://stock.pstatic.net/stock-research/company/18/20250729_company_278363000.pdf","PDF")</f>
        <v>PDF</v>
      </c>
      <c r="K10384" s="12" t="s">
        <v>19187</v>
      </c>
      <c r="L10384" s="20">
        <v>0.26939351198871653</v>
      </c>
    </row>
    <row r="10385" spans="1:12" x14ac:dyDescent="0.45">
      <c r="A10385" s="12" t="s">
        <v>19167</v>
      </c>
      <c r="B10385" s="12" t="s">
        <v>1087</v>
      </c>
      <c r="C10385" s="13" t="s">
        <v>1088</v>
      </c>
      <c r="D10385" s="13" t="s">
        <v>83</v>
      </c>
      <c r="E10385" s="12" t="s">
        <v>35</v>
      </c>
      <c r="F10385" s="14">
        <v>140000</v>
      </c>
      <c r="G10385" s="14">
        <v>89600</v>
      </c>
      <c r="H10385" s="13" t="s">
        <v>19188</v>
      </c>
      <c r="I10385" s="40" t="s">
        <v>18</v>
      </c>
      <c r="J10385" s="40" t="str">
        <f>HYPERLINK("https://stock.pstatic.net/stock-research/company/2/20250729_company_397523000.pdf","PDF")</f>
        <v>PDF</v>
      </c>
      <c r="K10385" s="12" t="s">
        <v>19189</v>
      </c>
      <c r="L10385" s="20">
        <v>0.5625</v>
      </c>
    </row>
    <row r="10386" spans="1:12" x14ac:dyDescent="0.45">
      <c r="A10386" s="12" t="s">
        <v>19167</v>
      </c>
      <c r="B10386" s="12" t="s">
        <v>2873</v>
      </c>
      <c r="C10386" s="13" t="s">
        <v>2874</v>
      </c>
      <c r="D10386" s="13" t="s">
        <v>83</v>
      </c>
      <c r="E10386" s="12" t="s">
        <v>35</v>
      </c>
      <c r="F10386" s="14">
        <v>115000</v>
      </c>
      <c r="G10386" s="14">
        <v>79300</v>
      </c>
      <c r="H10386" s="13" t="s">
        <v>19190</v>
      </c>
      <c r="I10386" s="40" t="s">
        <v>18</v>
      </c>
      <c r="J10386" s="40" t="str">
        <f>HYPERLINK("https://stock.pstatic.net/stock-research/company/2/20250729_company_954491000.pdf","PDF")</f>
        <v>PDF</v>
      </c>
      <c r="K10386" s="12" t="s">
        <v>19191</v>
      </c>
      <c r="L10386" s="20">
        <v>0.45018915510718788</v>
      </c>
    </row>
    <row r="10387" spans="1:12" x14ac:dyDescent="0.45">
      <c r="A10387" s="12" t="s">
        <v>19167</v>
      </c>
      <c r="B10387" s="12" t="s">
        <v>2777</v>
      </c>
      <c r="C10387" s="13" t="s">
        <v>2778</v>
      </c>
      <c r="D10387" s="13" t="s">
        <v>83</v>
      </c>
      <c r="E10387" s="12" t="s">
        <v>35</v>
      </c>
      <c r="F10387" s="14">
        <v>240000</v>
      </c>
      <c r="G10387" s="14">
        <v>162000</v>
      </c>
      <c r="H10387" s="13" t="s">
        <v>19192</v>
      </c>
      <c r="I10387" s="40" t="s">
        <v>18</v>
      </c>
      <c r="J10387" s="40" t="str">
        <f>HYPERLINK("https://stock.pstatic.net/stock-research/company/2/20250729_company_156049000.pdf","PDF")</f>
        <v>PDF</v>
      </c>
      <c r="K10387" s="12" t="s">
        <v>19193</v>
      </c>
      <c r="L10387" s="20">
        <v>0.48148148148148151</v>
      </c>
    </row>
    <row r="10388" spans="1:12" x14ac:dyDescent="0.45">
      <c r="A10388" s="12" t="s">
        <v>19167</v>
      </c>
      <c r="B10388" s="12" t="s">
        <v>13</v>
      </c>
      <c r="C10388" s="13" t="s">
        <v>14</v>
      </c>
      <c r="D10388" s="13" t="s">
        <v>83</v>
      </c>
      <c r="E10388" s="12" t="s">
        <v>35</v>
      </c>
      <c r="F10388" s="14">
        <v>88000</v>
      </c>
      <c r="G10388" s="14">
        <v>70400</v>
      </c>
      <c r="H10388" s="13" t="s">
        <v>19194</v>
      </c>
      <c r="I10388" s="40" t="s">
        <v>18</v>
      </c>
      <c r="J10388" s="40" t="str">
        <f>HYPERLINK("https://stock.pstatic.net/stock-research/company/2/20250729_company_237449000.pdf","PDF")</f>
        <v>PDF</v>
      </c>
      <c r="K10388" s="12" t="s">
        <v>19195</v>
      </c>
      <c r="L10388" s="20">
        <v>0.25</v>
      </c>
    </row>
    <row r="10389" spans="1:12" x14ac:dyDescent="0.45">
      <c r="A10389" s="12" t="s">
        <v>19167</v>
      </c>
      <c r="B10389" s="12" t="s">
        <v>13</v>
      </c>
      <c r="C10389" s="13" t="s">
        <v>14</v>
      </c>
      <c r="D10389" s="13" t="s">
        <v>92</v>
      </c>
      <c r="E10389" s="12" t="s">
        <v>35</v>
      </c>
      <c r="F10389" s="14">
        <v>84000</v>
      </c>
      <c r="G10389" s="14">
        <v>70400</v>
      </c>
      <c r="H10389" s="13" t="s">
        <v>19196</v>
      </c>
      <c r="I10389" s="40" t="s">
        <v>18</v>
      </c>
      <c r="J10389" s="40" t="str">
        <f>HYPERLINK("https://stock.pstatic.net/stock-research/company/63/20250729_company_852337000.pdf","PDF")</f>
        <v>PDF</v>
      </c>
      <c r="K10389" s="12" t="s">
        <v>19197</v>
      </c>
      <c r="L10389" s="20">
        <v>0.1931818181818182</v>
      </c>
    </row>
    <row r="10390" spans="1:12" x14ac:dyDescent="0.45">
      <c r="A10390" s="12" t="s">
        <v>19167</v>
      </c>
      <c r="B10390" s="12" t="s">
        <v>3168</v>
      </c>
      <c r="C10390" s="13" t="s">
        <v>3169</v>
      </c>
      <c r="D10390" s="13" t="s">
        <v>15</v>
      </c>
      <c r="E10390" s="12" t="s">
        <v>16</v>
      </c>
      <c r="F10390" s="14">
        <v>19000</v>
      </c>
      <c r="G10390" s="14">
        <v>13390</v>
      </c>
      <c r="H10390" s="13" t="s">
        <v>19198</v>
      </c>
      <c r="I10390" s="40" t="s">
        <v>18</v>
      </c>
      <c r="J10390" s="40" t="str">
        <f>HYPERLINK("https://stock.pstatic.net/stock-research/company/29/20250729_company_990417000.pdf","PDF")</f>
        <v>PDF</v>
      </c>
      <c r="K10390" s="12" t="s">
        <v>19199</v>
      </c>
      <c r="L10390" s="20">
        <v>0.41896938013442869</v>
      </c>
    </row>
    <row r="10391" spans="1:12" x14ac:dyDescent="0.45">
      <c r="A10391" s="12" t="s">
        <v>19167</v>
      </c>
      <c r="B10391" s="12" t="s">
        <v>3395</v>
      </c>
      <c r="C10391" s="13" t="s">
        <v>3396</v>
      </c>
      <c r="D10391" s="13" t="s">
        <v>34</v>
      </c>
      <c r="E10391" s="12" t="s">
        <v>35</v>
      </c>
      <c r="F10391" s="14">
        <v>23300</v>
      </c>
      <c r="G10391" s="14">
        <v>15280</v>
      </c>
      <c r="H10391" s="13" t="s">
        <v>19200</v>
      </c>
      <c r="I10391" s="40" t="s">
        <v>18</v>
      </c>
      <c r="J10391" s="40" t="str">
        <f>HYPERLINK("https://stock.pstatic.net/stock-research/company/61/20250729_company_297643000.pdf","PDF")</f>
        <v>PDF</v>
      </c>
      <c r="K10391" s="12" t="s">
        <v>19201</v>
      </c>
      <c r="L10391" s="20">
        <v>0.52486910994764402</v>
      </c>
    </row>
    <row r="10392" spans="1:12" x14ac:dyDescent="0.45">
      <c r="A10392" s="12" t="s">
        <v>19167</v>
      </c>
      <c r="B10392" s="12" t="s">
        <v>259</v>
      </c>
      <c r="C10392" s="13" t="s">
        <v>260</v>
      </c>
      <c r="D10392" s="13" t="s">
        <v>53</v>
      </c>
      <c r="E10392" s="12" t="s">
        <v>16</v>
      </c>
      <c r="F10392" s="14">
        <v>100000</v>
      </c>
      <c r="G10392" s="14">
        <v>69300</v>
      </c>
      <c r="H10392" s="13" t="s">
        <v>19202</v>
      </c>
      <c r="I10392" s="40" t="s">
        <v>18</v>
      </c>
      <c r="J10392" s="40" t="str">
        <f>HYPERLINK("https://stock.pstatic.net/stock-research/company/40/20250729_company_44311000.pdf","PDF")</f>
        <v>PDF</v>
      </c>
      <c r="K10392" s="12" t="s">
        <v>19203</v>
      </c>
      <c r="L10392" s="20">
        <v>0.44300144300144301</v>
      </c>
    </row>
    <row r="10393" spans="1:12" x14ac:dyDescent="0.45">
      <c r="A10393" s="12" t="s">
        <v>19167</v>
      </c>
      <c r="B10393" s="12" t="s">
        <v>3150</v>
      </c>
      <c r="C10393" s="13" t="s">
        <v>3151</v>
      </c>
      <c r="D10393" s="13" t="s">
        <v>92</v>
      </c>
      <c r="E10393" s="12" t="s">
        <v>35</v>
      </c>
      <c r="F10393" s="14">
        <v>100000</v>
      </c>
      <c r="G10393" s="14">
        <v>81300</v>
      </c>
      <c r="H10393" s="13" t="s">
        <v>19204</v>
      </c>
      <c r="I10393" s="40" t="s">
        <v>18</v>
      </c>
      <c r="J10393" s="40" t="str">
        <f>HYPERLINK("https://stock.pstatic.net/stock-research/company/63/20250729_company_347899000.pdf","PDF")</f>
        <v>PDF</v>
      </c>
      <c r="K10393" s="12" t="s">
        <v>19205</v>
      </c>
      <c r="L10393" s="20">
        <v>0.2300123001230012</v>
      </c>
    </row>
    <row r="10394" spans="1:12" x14ac:dyDescent="0.45">
      <c r="A10394" s="12" t="s">
        <v>19167</v>
      </c>
      <c r="B10394" s="12" t="s">
        <v>128</v>
      </c>
      <c r="C10394" s="13" t="s">
        <v>129</v>
      </c>
      <c r="D10394" s="13" t="s">
        <v>23</v>
      </c>
      <c r="E10394" s="12" t="s">
        <v>16</v>
      </c>
      <c r="F10394" s="14">
        <v>28000</v>
      </c>
      <c r="G10394" s="14">
        <v>29700</v>
      </c>
      <c r="H10394" s="13" t="s">
        <v>19206</v>
      </c>
      <c r="I10394" s="40" t="s">
        <v>18</v>
      </c>
      <c r="J10394" s="40" t="str">
        <f>HYPERLINK("https://stock.pstatic.net/stock-research/company/21/20250729_company_937635000.pdf","PDF")</f>
        <v>PDF</v>
      </c>
      <c r="K10394" s="12" t="s">
        <v>19207</v>
      </c>
      <c r="L10394" s="20">
        <v>-5.7239057239057242E-2</v>
      </c>
    </row>
    <row r="10395" spans="1:12" x14ac:dyDescent="0.45">
      <c r="A10395" s="12" t="s">
        <v>19167</v>
      </c>
      <c r="B10395" s="12" t="s">
        <v>13</v>
      </c>
      <c r="C10395" s="13" t="s">
        <v>14</v>
      </c>
      <c r="D10395" s="13" t="s">
        <v>53</v>
      </c>
      <c r="E10395" s="12" t="s">
        <v>16</v>
      </c>
      <c r="F10395" s="14">
        <v>75000</v>
      </c>
      <c r="G10395" s="13"/>
      <c r="H10395" s="13" t="s">
        <v>19208</v>
      </c>
      <c r="I10395" s="40" t="s">
        <v>18</v>
      </c>
      <c r="J10395" s="40" t="str">
        <f>HYPERLINK("https://stock.pstatic.net/stock-research/company/40/20250729_company_53699000.pdf","PDF")</f>
        <v>PDF</v>
      </c>
      <c r="K10395" s="12" t="s">
        <v>19209</v>
      </c>
    </row>
    <row r="10396" spans="1:12" x14ac:dyDescent="0.45">
      <c r="A10396" s="12" t="s">
        <v>19167</v>
      </c>
      <c r="B10396" s="12" t="s">
        <v>3168</v>
      </c>
      <c r="C10396" s="13" t="s">
        <v>3169</v>
      </c>
      <c r="D10396" s="13" t="s">
        <v>179</v>
      </c>
      <c r="E10396" s="12" t="s">
        <v>50</v>
      </c>
      <c r="F10396" s="13"/>
      <c r="G10396" s="13"/>
      <c r="H10396" s="13" t="s">
        <v>19210</v>
      </c>
      <c r="I10396" s="40" t="s">
        <v>18</v>
      </c>
      <c r="J10396" s="40" t="str">
        <f>HYPERLINK("https://stock.pstatic.net/stock-research/company/31/20250729_company_439818000.pdf","PDF")</f>
        <v>PDF</v>
      </c>
      <c r="K10396" s="12" t="s">
        <v>19211</v>
      </c>
    </row>
    <row r="10397" spans="1:12" x14ac:dyDescent="0.45">
      <c r="A10397" s="12" t="s">
        <v>19167</v>
      </c>
      <c r="B10397" s="12" t="s">
        <v>2960</v>
      </c>
      <c r="C10397" s="13" t="s">
        <v>2961</v>
      </c>
      <c r="D10397" s="13" t="s">
        <v>53</v>
      </c>
      <c r="E10397" s="12" t="s">
        <v>50</v>
      </c>
      <c r="F10397" s="14">
        <v>55000</v>
      </c>
      <c r="G10397" s="14">
        <v>47300</v>
      </c>
      <c r="H10397" s="13" t="s">
        <v>19212</v>
      </c>
      <c r="I10397" s="40" t="s">
        <v>18</v>
      </c>
      <c r="J10397" s="40" t="str">
        <f>HYPERLINK("https://stock.pstatic.net/stock-research/company/40/20250729_company_161004000.pdf","PDF")</f>
        <v>PDF</v>
      </c>
      <c r="K10397" s="12" t="s">
        <v>19213</v>
      </c>
      <c r="L10397" s="20">
        <v>0.16279069767441859</v>
      </c>
    </row>
    <row r="10398" spans="1:12" x14ac:dyDescent="0.45">
      <c r="A10398" s="12" t="s">
        <v>19167</v>
      </c>
      <c r="B10398" s="12" t="s">
        <v>1918</v>
      </c>
      <c r="C10398" s="13" t="s">
        <v>1919</v>
      </c>
      <c r="D10398" s="13" t="s">
        <v>53</v>
      </c>
      <c r="E10398" s="12" t="s">
        <v>16</v>
      </c>
      <c r="F10398" s="14">
        <v>6250</v>
      </c>
      <c r="G10398" s="14">
        <v>5140</v>
      </c>
      <c r="H10398" s="13" t="s">
        <v>19214</v>
      </c>
      <c r="I10398" s="40" t="s">
        <v>18</v>
      </c>
      <c r="J10398" s="40" t="str">
        <f>HYPERLINK("https://stock.pstatic.net/stock-research/company/40/20250729_company_483112000.pdf","PDF")</f>
        <v>PDF</v>
      </c>
      <c r="K10398" s="12" t="s">
        <v>19215</v>
      </c>
      <c r="L10398" s="20">
        <v>0.21595330739299609</v>
      </c>
    </row>
    <row r="10399" spans="1:12" x14ac:dyDescent="0.45">
      <c r="A10399" s="12" t="s">
        <v>19167</v>
      </c>
      <c r="B10399" s="12" t="s">
        <v>3168</v>
      </c>
      <c r="C10399" s="13" t="s">
        <v>3169</v>
      </c>
      <c r="D10399" s="13" t="s">
        <v>23</v>
      </c>
      <c r="E10399" s="12" t="s">
        <v>16</v>
      </c>
      <c r="F10399" s="14">
        <v>15000</v>
      </c>
      <c r="G10399" s="14">
        <v>13390</v>
      </c>
      <c r="H10399" s="13" t="s">
        <v>19216</v>
      </c>
      <c r="I10399" s="40" t="s">
        <v>18</v>
      </c>
      <c r="J10399" s="40" t="str">
        <f>HYPERLINK("https://m.stock.naver.com/research/company/84917","PDF")</f>
        <v>PDF</v>
      </c>
      <c r="K10399" s="12" t="s">
        <v>19217</v>
      </c>
      <c r="L10399" s="20">
        <v>0.1202389843166542</v>
      </c>
    </row>
    <row r="10400" spans="1:12" x14ac:dyDescent="0.45">
      <c r="A10400" s="12" t="s">
        <v>19167</v>
      </c>
      <c r="B10400" s="12" t="s">
        <v>2777</v>
      </c>
      <c r="C10400" s="13" t="s">
        <v>2778</v>
      </c>
      <c r="D10400" s="13" t="s">
        <v>44</v>
      </c>
      <c r="E10400" s="12" t="s">
        <v>642</v>
      </c>
      <c r="F10400" s="14">
        <v>150000</v>
      </c>
      <c r="G10400" s="14">
        <v>162000</v>
      </c>
      <c r="H10400" s="13" t="s">
        <v>19218</v>
      </c>
      <c r="I10400" s="40" t="s">
        <v>18</v>
      </c>
      <c r="J10400" s="40" t="str">
        <f>HYPERLINK("https://stock.pstatic.net/stock-research/company/39/20250729_company_203919000.pdf","PDF")</f>
        <v>PDF</v>
      </c>
      <c r="K10400" s="12" t="s">
        <v>19219</v>
      </c>
      <c r="L10400" s="20">
        <v>-7.407407407407407E-2</v>
      </c>
    </row>
    <row r="10401" spans="1:12" x14ac:dyDescent="0.45">
      <c r="A10401" s="12" t="s">
        <v>19167</v>
      </c>
      <c r="B10401" s="12" t="s">
        <v>744</v>
      </c>
      <c r="C10401" s="13" t="s">
        <v>745</v>
      </c>
      <c r="D10401" s="13" t="s">
        <v>23</v>
      </c>
      <c r="E10401" s="12" t="s">
        <v>16</v>
      </c>
      <c r="F10401" s="14">
        <v>23000</v>
      </c>
      <c r="G10401" s="14">
        <v>18630</v>
      </c>
      <c r="H10401" s="13" t="s">
        <v>19220</v>
      </c>
      <c r="I10401" s="40" t="s">
        <v>18</v>
      </c>
      <c r="J10401" s="40" t="str">
        <f>HYPERLINK("https://stock.pstatic.net/stock-research/company/21/20250729_company_595057000.pdf","PDF")</f>
        <v>PDF</v>
      </c>
      <c r="K10401" s="12" t="s">
        <v>19221</v>
      </c>
      <c r="L10401" s="20">
        <v>0.23456790123456789</v>
      </c>
    </row>
    <row r="10402" spans="1:12" x14ac:dyDescent="0.45">
      <c r="A10402" s="12" t="s">
        <v>19167</v>
      </c>
      <c r="B10402" s="12" t="s">
        <v>3168</v>
      </c>
      <c r="C10402" s="13" t="s">
        <v>3169</v>
      </c>
      <c r="D10402" s="13" t="s">
        <v>44</v>
      </c>
      <c r="E10402" s="12" t="s">
        <v>35</v>
      </c>
      <c r="F10402" s="14">
        <v>17500</v>
      </c>
      <c r="G10402" s="14">
        <v>13390</v>
      </c>
      <c r="H10402" s="13" t="s">
        <v>19222</v>
      </c>
      <c r="I10402" s="40" t="s">
        <v>18</v>
      </c>
      <c r="J10402" s="40" t="str">
        <f>HYPERLINK("https://stock.pstatic.net/stock-research/company/39/20250729_company_152456000.pdf","PDF")</f>
        <v>PDF</v>
      </c>
      <c r="K10402" s="12" t="s">
        <v>19223</v>
      </c>
      <c r="L10402" s="20">
        <v>0.30694548170276331</v>
      </c>
    </row>
    <row r="10403" spans="1:12" x14ac:dyDescent="0.45">
      <c r="A10403" s="12" t="s">
        <v>19167</v>
      </c>
      <c r="B10403" s="12" t="s">
        <v>3718</v>
      </c>
      <c r="C10403" s="13" t="s">
        <v>3719</v>
      </c>
      <c r="D10403" s="13" t="s">
        <v>124</v>
      </c>
      <c r="E10403" s="12" t="s">
        <v>50</v>
      </c>
      <c r="F10403" s="13"/>
      <c r="G10403" s="13"/>
      <c r="H10403" s="13" t="s">
        <v>19224</v>
      </c>
      <c r="I10403" s="40" t="s">
        <v>18</v>
      </c>
      <c r="J10403" s="40" t="str">
        <f>HYPERLINK("https://m.stock.naver.com/research/company/84913","PDF")</f>
        <v>PDF</v>
      </c>
      <c r="K10403" s="12" t="s">
        <v>19225</v>
      </c>
    </row>
    <row r="10404" spans="1:12" x14ac:dyDescent="0.45">
      <c r="A10404" s="12" t="s">
        <v>19167</v>
      </c>
      <c r="B10404" s="12" t="s">
        <v>4621</v>
      </c>
      <c r="C10404" s="13" t="s">
        <v>4622</v>
      </c>
      <c r="D10404" s="13" t="s">
        <v>124</v>
      </c>
      <c r="E10404" s="12" t="s">
        <v>50</v>
      </c>
      <c r="F10404" s="13"/>
      <c r="G10404" s="13"/>
      <c r="H10404" s="13" t="s">
        <v>19226</v>
      </c>
      <c r="I10404" s="40" t="s">
        <v>18</v>
      </c>
      <c r="J10404" s="40" t="str">
        <f>HYPERLINK("https://stock.pstatic.net/stock-research/company/74/20250730_company_912241000.pdf","PDF")</f>
        <v>PDF</v>
      </c>
      <c r="K10404" s="12" t="s">
        <v>19227</v>
      </c>
    </row>
    <row r="10405" spans="1:12" x14ac:dyDescent="0.45">
      <c r="A10405" s="12" t="s">
        <v>19167</v>
      </c>
      <c r="B10405" s="12" t="s">
        <v>13</v>
      </c>
      <c r="C10405" s="13" t="s">
        <v>14</v>
      </c>
      <c r="D10405" s="13" t="s">
        <v>15</v>
      </c>
      <c r="E10405" s="12" t="s">
        <v>50</v>
      </c>
      <c r="F10405" s="13"/>
      <c r="G10405" s="13"/>
      <c r="H10405" s="13" t="s">
        <v>19228</v>
      </c>
      <c r="I10405" s="40" t="s">
        <v>18</v>
      </c>
      <c r="J10405" s="40" t="str">
        <f>HYPERLINK("https://m.stock.naver.com/research/company/84911","PDF")</f>
        <v>PDF</v>
      </c>
      <c r="K10405" s="12" t="s">
        <v>19229</v>
      </c>
    </row>
    <row r="10406" spans="1:12" x14ac:dyDescent="0.45">
      <c r="A10406" s="12" t="s">
        <v>19167</v>
      </c>
      <c r="B10406" s="12" t="s">
        <v>2378</v>
      </c>
      <c r="C10406" s="13" t="s">
        <v>2379</v>
      </c>
      <c r="D10406" s="13" t="s">
        <v>15</v>
      </c>
      <c r="E10406" s="12" t="s">
        <v>16</v>
      </c>
      <c r="F10406" s="14">
        <v>530000</v>
      </c>
      <c r="G10406" s="14">
        <v>363500</v>
      </c>
      <c r="H10406" s="13" t="s">
        <v>19230</v>
      </c>
      <c r="I10406" s="40" t="s">
        <v>18</v>
      </c>
      <c r="J10406" s="40" t="str">
        <f>HYPERLINK("https://m.stock.naver.com/research/company/84910","PDF")</f>
        <v>PDF</v>
      </c>
      <c r="K10406" s="12" t="s">
        <v>19231</v>
      </c>
      <c r="L10406" s="20">
        <v>0.45804676753782669</v>
      </c>
    </row>
    <row r="10407" spans="1:12" x14ac:dyDescent="0.45">
      <c r="A10407" s="12" t="s">
        <v>19232</v>
      </c>
      <c r="B10407" s="12" t="s">
        <v>63</v>
      </c>
      <c r="C10407" s="13" t="s">
        <v>64</v>
      </c>
      <c r="D10407" s="13" t="s">
        <v>276</v>
      </c>
      <c r="E10407" s="12" t="s">
        <v>16</v>
      </c>
      <c r="F10407" s="14">
        <v>400000</v>
      </c>
      <c r="G10407" s="14">
        <v>282000</v>
      </c>
      <c r="H10407" s="13" t="s">
        <v>19233</v>
      </c>
      <c r="I10407" s="40" t="s">
        <v>18</v>
      </c>
      <c r="J10407" s="40" t="str">
        <f>HYPERLINK("https://stock.pstatic.net/stock-research/company/66/20250728_company_161397000.pdf","PDF")</f>
        <v>PDF</v>
      </c>
      <c r="K10407" s="12" t="s">
        <v>19234</v>
      </c>
      <c r="L10407" s="20">
        <v>0.41843971631205668</v>
      </c>
    </row>
    <row r="10408" spans="1:12" x14ac:dyDescent="0.45">
      <c r="A10408" s="12" t="s">
        <v>19232</v>
      </c>
      <c r="B10408" s="12" t="s">
        <v>1781</v>
      </c>
      <c r="C10408" s="13" t="s">
        <v>1782</v>
      </c>
      <c r="D10408" s="13" t="s">
        <v>276</v>
      </c>
      <c r="E10408" s="12" t="s">
        <v>16</v>
      </c>
      <c r="F10408" s="14">
        <v>100000</v>
      </c>
      <c r="G10408" s="14">
        <v>77100</v>
      </c>
      <c r="H10408" s="13" t="s">
        <v>19235</v>
      </c>
      <c r="I10408" s="40" t="s">
        <v>18</v>
      </c>
      <c r="J10408" s="40" t="str">
        <f>HYPERLINK("https://m.stock.naver.com/research/company/84908","PDF")</f>
        <v>PDF</v>
      </c>
      <c r="K10408" s="12" t="s">
        <v>19236</v>
      </c>
      <c r="L10408" s="20">
        <v>0.29701686121919579</v>
      </c>
    </row>
    <row r="10409" spans="1:12" x14ac:dyDescent="0.45">
      <c r="A10409" s="12" t="s">
        <v>19232</v>
      </c>
      <c r="B10409" s="12" t="s">
        <v>334</v>
      </c>
      <c r="C10409" s="13" t="s">
        <v>335</v>
      </c>
      <c r="D10409" s="13" t="s">
        <v>276</v>
      </c>
      <c r="E10409" s="12" t="s">
        <v>16</v>
      </c>
      <c r="F10409" s="14">
        <v>310000</v>
      </c>
      <c r="G10409" s="14">
        <v>266000</v>
      </c>
      <c r="H10409" s="13" t="s">
        <v>19237</v>
      </c>
      <c r="I10409" s="40" t="s">
        <v>18</v>
      </c>
      <c r="J10409" s="40" t="str">
        <f>HYPERLINK("https://stock.pstatic.net/stock-research/company/66/20250728_company_321245000.pdf","PDF")</f>
        <v>PDF</v>
      </c>
      <c r="K10409" s="12" t="s">
        <v>19238</v>
      </c>
      <c r="L10409" s="20">
        <v>0.16541353383458651</v>
      </c>
    </row>
    <row r="10410" spans="1:12" x14ac:dyDescent="0.45">
      <c r="A10410" s="12" t="s">
        <v>19232</v>
      </c>
      <c r="B10410" s="12" t="s">
        <v>2414</v>
      </c>
      <c r="C10410" s="13" t="s">
        <v>2415</v>
      </c>
      <c r="D10410" s="13" t="s">
        <v>276</v>
      </c>
      <c r="E10410" s="12" t="s">
        <v>16</v>
      </c>
      <c r="F10410" s="14">
        <v>930000</v>
      </c>
      <c r="G10410" s="14">
        <v>570000</v>
      </c>
      <c r="H10410" s="13" t="s">
        <v>19239</v>
      </c>
      <c r="I10410" s="40" t="s">
        <v>18</v>
      </c>
      <c r="J10410" s="40" t="str">
        <f>HYPERLINK("https://stock.pstatic.net/stock-research/company/66/20250728_company_297278000.pdf","PDF")</f>
        <v>PDF</v>
      </c>
      <c r="K10410" s="12" t="s">
        <v>19240</v>
      </c>
      <c r="L10410" s="20">
        <v>0.63157894736842102</v>
      </c>
    </row>
    <row r="10411" spans="1:12" x14ac:dyDescent="0.45">
      <c r="A10411" s="12" t="s">
        <v>19232</v>
      </c>
      <c r="B10411" s="12" t="s">
        <v>3230</v>
      </c>
      <c r="C10411" s="13" t="s">
        <v>3231</v>
      </c>
      <c r="D10411" s="13" t="s">
        <v>60</v>
      </c>
      <c r="E10411" s="12" t="s">
        <v>35</v>
      </c>
      <c r="F10411" s="14">
        <v>1500000</v>
      </c>
      <c r="G10411" s="14">
        <v>1125000</v>
      </c>
      <c r="H10411" s="13" t="s">
        <v>19241</v>
      </c>
      <c r="I10411" s="40" t="s">
        <v>18</v>
      </c>
      <c r="J10411" s="40" t="str">
        <f>HYPERLINK("https://stock.pstatic.net/stock-research/company/34/20250728_company_292130000.pdf","PDF")</f>
        <v>PDF</v>
      </c>
      <c r="K10411" s="12" t="s">
        <v>19242</v>
      </c>
      <c r="L10411" s="20">
        <v>0.33333333333333331</v>
      </c>
    </row>
    <row r="10412" spans="1:12" x14ac:dyDescent="0.45">
      <c r="A10412" s="12" t="s">
        <v>19232</v>
      </c>
      <c r="B10412" s="12" t="s">
        <v>577</v>
      </c>
      <c r="C10412" s="13" t="s">
        <v>578</v>
      </c>
      <c r="D10412" s="13" t="s">
        <v>60</v>
      </c>
      <c r="E10412" s="12" t="s">
        <v>35</v>
      </c>
      <c r="F10412" s="14">
        <v>370000</v>
      </c>
      <c r="G10412" s="14">
        <v>297500</v>
      </c>
      <c r="H10412" s="13" t="s">
        <v>19243</v>
      </c>
      <c r="I10412" s="40" t="s">
        <v>18</v>
      </c>
      <c r="J10412" s="40" t="str">
        <f>HYPERLINK("https://stock.pstatic.net/stock-research/company/62/20250728_company_244936000.pdf","PDF")</f>
        <v>PDF</v>
      </c>
      <c r="K10412" s="12" t="s">
        <v>19244</v>
      </c>
      <c r="L10412" s="20">
        <v>0.24369747899159661</v>
      </c>
    </row>
    <row r="10413" spans="1:12" x14ac:dyDescent="0.45">
      <c r="A10413" s="12" t="s">
        <v>19232</v>
      </c>
      <c r="B10413" s="12" t="s">
        <v>3182</v>
      </c>
      <c r="C10413" s="13" t="s">
        <v>3183</v>
      </c>
      <c r="D10413" s="13" t="s">
        <v>60</v>
      </c>
      <c r="E10413" s="12" t="s">
        <v>35</v>
      </c>
      <c r="F10413" s="14">
        <v>680000</v>
      </c>
      <c r="G10413" s="14">
        <v>489000</v>
      </c>
      <c r="H10413" s="13" t="s">
        <v>19245</v>
      </c>
      <c r="I10413" s="40" t="s">
        <v>18</v>
      </c>
      <c r="J10413" s="40" t="str">
        <f>HYPERLINK("https://stock.pstatic.net/stock-research/company/34/20250728_company_118420000.pdf","PDF")</f>
        <v>PDF</v>
      </c>
      <c r="K10413" s="12" t="s">
        <v>19246</v>
      </c>
      <c r="L10413" s="20">
        <v>0.39059304703476477</v>
      </c>
    </row>
    <row r="10414" spans="1:12" x14ac:dyDescent="0.45">
      <c r="A10414" s="12" t="s">
        <v>19232</v>
      </c>
      <c r="B10414" s="12" t="s">
        <v>3244</v>
      </c>
      <c r="C10414" s="13" t="s">
        <v>3245</v>
      </c>
      <c r="D10414" s="13" t="s">
        <v>60</v>
      </c>
      <c r="E10414" s="12" t="s">
        <v>35</v>
      </c>
      <c r="F10414" s="14">
        <v>88000</v>
      </c>
      <c r="G10414" s="14">
        <v>55600</v>
      </c>
      <c r="H10414" s="13" t="s">
        <v>19247</v>
      </c>
      <c r="I10414" s="40" t="s">
        <v>18</v>
      </c>
      <c r="J10414" s="40" t="str">
        <f>HYPERLINK("https://m.stock.naver.com/research/company/84902","PDF")</f>
        <v>PDF</v>
      </c>
      <c r="K10414" s="12" t="s">
        <v>19248</v>
      </c>
      <c r="L10414" s="20">
        <v>0.58273381294964033</v>
      </c>
    </row>
    <row r="10415" spans="1:12" x14ac:dyDescent="0.45">
      <c r="A10415" s="12" t="s">
        <v>19232</v>
      </c>
      <c r="B10415" s="12" t="s">
        <v>3349</v>
      </c>
      <c r="C10415" s="13" t="s">
        <v>7707</v>
      </c>
      <c r="D10415" s="13" t="s">
        <v>60</v>
      </c>
      <c r="E10415" s="12" t="s">
        <v>35</v>
      </c>
      <c r="F10415" s="14">
        <v>31000</v>
      </c>
      <c r="G10415" s="14">
        <v>23000</v>
      </c>
      <c r="H10415" s="13" t="s">
        <v>19249</v>
      </c>
      <c r="I10415" s="40" t="s">
        <v>18</v>
      </c>
      <c r="J10415" s="40" t="str">
        <f>HYPERLINK("https://stock.pstatic.net/stock-research/company/34/20250728_company_560257000.pdf","PDF")</f>
        <v>PDF</v>
      </c>
      <c r="K10415" s="12" t="s">
        <v>19250</v>
      </c>
      <c r="L10415" s="20">
        <v>0.34782608695652167</v>
      </c>
    </row>
    <row r="10416" spans="1:12" x14ac:dyDescent="0.45">
      <c r="A10416" s="12" t="s">
        <v>19232</v>
      </c>
      <c r="B10416" s="12" t="s">
        <v>2960</v>
      </c>
      <c r="C10416" s="13" t="s">
        <v>2961</v>
      </c>
      <c r="D10416" s="13" t="s">
        <v>60</v>
      </c>
      <c r="E10416" s="12" t="s">
        <v>35</v>
      </c>
      <c r="F10416" s="14">
        <v>58000</v>
      </c>
      <c r="G10416" s="14">
        <v>51400</v>
      </c>
      <c r="H10416" s="13" t="s">
        <v>19251</v>
      </c>
      <c r="I10416" s="40" t="s">
        <v>18</v>
      </c>
      <c r="J10416" s="40" t="str">
        <f>HYPERLINK("https://m.stock.naver.com/research/company/84900","PDF")</f>
        <v>PDF</v>
      </c>
      <c r="K10416" s="12" t="s">
        <v>19252</v>
      </c>
      <c r="L10416" s="20">
        <v>0.1284046692607004</v>
      </c>
    </row>
    <row r="10417" spans="1:12" x14ac:dyDescent="0.45">
      <c r="A10417" s="12" t="s">
        <v>19232</v>
      </c>
      <c r="B10417" s="12" t="s">
        <v>3488</v>
      </c>
      <c r="C10417" s="13" t="s">
        <v>3489</v>
      </c>
      <c r="D10417" s="13" t="s">
        <v>60</v>
      </c>
      <c r="E10417" s="12" t="s">
        <v>35</v>
      </c>
      <c r="F10417" s="14">
        <v>33000</v>
      </c>
      <c r="G10417" s="14">
        <v>25550</v>
      </c>
      <c r="H10417" s="13" t="s">
        <v>19253</v>
      </c>
      <c r="I10417" s="40" t="s">
        <v>18</v>
      </c>
      <c r="J10417" s="40" t="str">
        <f>HYPERLINK("https://stock.pstatic.net/stock-research/company/34/20250728_company_474267000.pdf","PDF")</f>
        <v>PDF</v>
      </c>
      <c r="K10417" s="12" t="s">
        <v>19254</v>
      </c>
      <c r="L10417" s="20">
        <v>0.29158512720156549</v>
      </c>
    </row>
    <row r="10418" spans="1:12" x14ac:dyDescent="0.45">
      <c r="A10418" s="12" t="s">
        <v>19232</v>
      </c>
      <c r="B10418" s="12" t="s">
        <v>3688</v>
      </c>
      <c r="C10418" s="13" t="s">
        <v>3689</v>
      </c>
      <c r="D10418" s="13" t="s">
        <v>60</v>
      </c>
      <c r="E10418" s="12" t="s">
        <v>35</v>
      </c>
      <c r="F10418" s="14">
        <v>93000</v>
      </c>
      <c r="G10418" s="14">
        <v>71200</v>
      </c>
      <c r="H10418" s="13" t="s">
        <v>19255</v>
      </c>
      <c r="I10418" s="40" t="s">
        <v>18</v>
      </c>
      <c r="J10418" s="40" t="str">
        <f>HYPERLINK("https://m.stock.naver.com/research/company/84898","PDF")</f>
        <v>PDF</v>
      </c>
      <c r="K10418" s="12" t="s">
        <v>19256</v>
      </c>
      <c r="L10418" s="20">
        <v>0.3061797752808989</v>
      </c>
    </row>
    <row r="10419" spans="1:12" x14ac:dyDescent="0.45">
      <c r="A10419" s="12" t="s">
        <v>19232</v>
      </c>
      <c r="B10419" s="12" t="s">
        <v>3482</v>
      </c>
      <c r="C10419" s="13" t="s">
        <v>3483</v>
      </c>
      <c r="D10419" s="13" t="s">
        <v>60</v>
      </c>
      <c r="E10419" s="12" t="s">
        <v>35</v>
      </c>
      <c r="F10419" s="14">
        <v>114000</v>
      </c>
      <c r="G10419" s="14">
        <v>92500</v>
      </c>
      <c r="H10419" s="13" t="s">
        <v>19257</v>
      </c>
      <c r="I10419" s="40" t="s">
        <v>18</v>
      </c>
      <c r="J10419" s="40" t="str">
        <f>HYPERLINK("https://m.stock.naver.com/research/company/84897","PDF")</f>
        <v>PDF</v>
      </c>
      <c r="K10419" s="12" t="s">
        <v>19258</v>
      </c>
      <c r="L10419" s="20">
        <v>0.23243243243243239</v>
      </c>
    </row>
    <row r="10420" spans="1:12" x14ac:dyDescent="0.45">
      <c r="A10420" s="12" t="s">
        <v>19232</v>
      </c>
      <c r="B10420" s="12" t="s">
        <v>1674</v>
      </c>
      <c r="C10420" s="13" t="s">
        <v>1675</v>
      </c>
      <c r="D10420" s="13" t="s">
        <v>65</v>
      </c>
      <c r="E10420" s="12" t="s">
        <v>35</v>
      </c>
      <c r="F10420" s="14">
        <v>440000</v>
      </c>
      <c r="G10420" s="14">
        <v>366500</v>
      </c>
      <c r="H10420" s="13" t="s">
        <v>19259</v>
      </c>
      <c r="I10420" s="40" t="s">
        <v>18</v>
      </c>
      <c r="J10420" s="40" t="str">
        <f>HYPERLINK("https://stock.pstatic.net/stock-research/company/57/20250728_company_675532000.pdf","PDF")</f>
        <v>PDF</v>
      </c>
      <c r="K10420" s="12" t="s">
        <v>19260</v>
      </c>
      <c r="L10420" s="20">
        <v>0.20054570259208729</v>
      </c>
    </row>
    <row r="10421" spans="1:12" x14ac:dyDescent="0.45">
      <c r="A10421" s="12" t="s">
        <v>19232</v>
      </c>
      <c r="B10421" s="12" t="s">
        <v>2414</v>
      </c>
      <c r="C10421" s="13" t="s">
        <v>2415</v>
      </c>
      <c r="D10421" s="13" t="s">
        <v>65</v>
      </c>
      <c r="E10421" s="12" t="s">
        <v>35</v>
      </c>
      <c r="F10421" s="14">
        <v>849000</v>
      </c>
      <c r="G10421" s="14">
        <v>570000</v>
      </c>
      <c r="H10421" s="13" t="s">
        <v>19261</v>
      </c>
      <c r="I10421" s="40" t="s">
        <v>18</v>
      </c>
      <c r="J10421" s="40" t="str">
        <f>HYPERLINK("https://m.stock.naver.com/research/company/84895","PDF")</f>
        <v>PDF</v>
      </c>
      <c r="K10421" s="12" t="s">
        <v>19262</v>
      </c>
      <c r="L10421" s="20">
        <v>0.48947368421052628</v>
      </c>
    </row>
    <row r="10422" spans="1:12" x14ac:dyDescent="0.45">
      <c r="A10422" s="12" t="s">
        <v>19232</v>
      </c>
      <c r="B10422" s="12" t="s">
        <v>1781</v>
      </c>
      <c r="C10422" s="13" t="s">
        <v>1782</v>
      </c>
      <c r="D10422" s="13" t="s">
        <v>65</v>
      </c>
      <c r="E10422" s="12" t="s">
        <v>35</v>
      </c>
      <c r="F10422" s="14">
        <v>108000</v>
      </c>
      <c r="G10422" s="14">
        <v>77100</v>
      </c>
      <c r="H10422" s="13" t="s">
        <v>19263</v>
      </c>
      <c r="I10422" s="40" t="s">
        <v>18</v>
      </c>
      <c r="J10422" s="40" t="str">
        <f>HYPERLINK("https://m.stock.naver.com/research/company/84894","PDF")</f>
        <v>PDF</v>
      </c>
      <c r="K10422" s="12" t="s">
        <v>19264</v>
      </c>
      <c r="L10422" s="20">
        <v>0.40077821011673148</v>
      </c>
    </row>
    <row r="10423" spans="1:12" x14ac:dyDescent="0.45">
      <c r="A10423" s="12" t="s">
        <v>19232</v>
      </c>
      <c r="B10423" s="12" t="s">
        <v>63</v>
      </c>
      <c r="C10423" s="13" t="s">
        <v>64</v>
      </c>
      <c r="D10423" s="13" t="s">
        <v>65</v>
      </c>
      <c r="E10423" s="12" t="s">
        <v>35</v>
      </c>
      <c r="F10423" s="14">
        <v>400000</v>
      </c>
      <c r="G10423" s="14">
        <v>282000</v>
      </c>
      <c r="H10423" s="13" t="s">
        <v>19265</v>
      </c>
      <c r="I10423" s="40" t="s">
        <v>18</v>
      </c>
      <c r="J10423" s="40" t="str">
        <f>HYPERLINK("https://stock.pstatic.net/stock-research/company/57/20250728_company_897889000.pdf","PDF")</f>
        <v>PDF</v>
      </c>
      <c r="K10423" s="12" t="s">
        <v>19266</v>
      </c>
      <c r="L10423" s="20">
        <v>0.41843971631205668</v>
      </c>
    </row>
    <row r="10424" spans="1:12" x14ac:dyDescent="0.45">
      <c r="A10424" s="12" t="s">
        <v>19232</v>
      </c>
      <c r="B10424" s="12" t="s">
        <v>3530</v>
      </c>
      <c r="C10424" s="13" t="s">
        <v>3531</v>
      </c>
      <c r="D10424" s="13" t="s">
        <v>65</v>
      </c>
      <c r="E10424" s="12" t="s">
        <v>35</v>
      </c>
      <c r="F10424" s="14">
        <v>17000</v>
      </c>
      <c r="G10424" s="14">
        <v>11790</v>
      </c>
      <c r="H10424" s="13" t="s">
        <v>19267</v>
      </c>
      <c r="I10424" s="40" t="s">
        <v>18</v>
      </c>
      <c r="J10424" s="40" t="str">
        <f>HYPERLINK("https://m.stock.naver.com/research/company/84892","PDF")</f>
        <v>PDF</v>
      </c>
      <c r="K10424" s="12" t="s">
        <v>19268</v>
      </c>
      <c r="L10424" s="20">
        <v>0.44189991518235788</v>
      </c>
    </row>
    <row r="10425" spans="1:12" x14ac:dyDescent="0.45">
      <c r="A10425" s="12" t="s">
        <v>19232</v>
      </c>
      <c r="B10425" s="12" t="s">
        <v>3230</v>
      </c>
      <c r="C10425" s="13" t="s">
        <v>3231</v>
      </c>
      <c r="D10425" s="13" t="s">
        <v>65</v>
      </c>
      <c r="E10425" s="12" t="s">
        <v>35</v>
      </c>
      <c r="F10425" s="14">
        <v>1500000</v>
      </c>
      <c r="G10425" s="14">
        <v>1125000</v>
      </c>
      <c r="H10425" s="13" t="s">
        <v>19269</v>
      </c>
      <c r="I10425" s="40" t="s">
        <v>18</v>
      </c>
      <c r="J10425" s="40" t="str">
        <f>HYPERLINK("https://m.stock.naver.com/research/company/84891","PDF")</f>
        <v>PDF</v>
      </c>
      <c r="K10425" s="12" t="s">
        <v>19270</v>
      </c>
      <c r="L10425" s="20">
        <v>0.33333333333333331</v>
      </c>
    </row>
    <row r="10426" spans="1:12" x14ac:dyDescent="0.45">
      <c r="A10426" s="12" t="s">
        <v>19232</v>
      </c>
      <c r="B10426" s="12" t="s">
        <v>792</v>
      </c>
      <c r="C10426" s="13" t="s">
        <v>793</v>
      </c>
      <c r="D10426" s="13" t="s">
        <v>65</v>
      </c>
      <c r="E10426" s="12" t="s">
        <v>35</v>
      </c>
      <c r="F10426" s="14">
        <v>28000</v>
      </c>
      <c r="G10426" s="14">
        <v>23850</v>
      </c>
      <c r="H10426" s="13" t="s">
        <v>19271</v>
      </c>
      <c r="I10426" s="40" t="s">
        <v>18</v>
      </c>
      <c r="J10426" s="40" t="str">
        <f>HYPERLINK("https://m.stock.naver.com/research/company/84890","PDF")</f>
        <v>PDF</v>
      </c>
      <c r="K10426" s="12" t="s">
        <v>19272</v>
      </c>
      <c r="L10426" s="20">
        <v>0.17400419287211741</v>
      </c>
    </row>
    <row r="10427" spans="1:12" x14ac:dyDescent="0.45">
      <c r="A10427" s="12" t="s">
        <v>19232</v>
      </c>
      <c r="B10427" s="12" t="s">
        <v>2950</v>
      </c>
      <c r="C10427" s="13" t="s">
        <v>2951</v>
      </c>
      <c r="D10427" s="13" t="s">
        <v>65</v>
      </c>
      <c r="E10427" s="12" t="s">
        <v>35</v>
      </c>
      <c r="F10427" s="14">
        <v>76000</v>
      </c>
      <c r="G10427" s="14">
        <v>65900</v>
      </c>
      <c r="H10427" s="13" t="s">
        <v>19273</v>
      </c>
      <c r="I10427" s="40" t="s">
        <v>18</v>
      </c>
      <c r="J10427" s="40" t="str">
        <f>HYPERLINK("https://m.stock.naver.com/research/company/84889","PDF")</f>
        <v>PDF</v>
      </c>
      <c r="K10427" s="12" t="s">
        <v>19274</v>
      </c>
      <c r="L10427" s="20">
        <v>0.1532625189681335</v>
      </c>
    </row>
    <row r="10428" spans="1:12" x14ac:dyDescent="0.45">
      <c r="A10428" s="12" t="s">
        <v>19232</v>
      </c>
      <c r="B10428" s="12" t="s">
        <v>3482</v>
      </c>
      <c r="C10428" s="13" t="s">
        <v>3483</v>
      </c>
      <c r="D10428" s="13" t="s">
        <v>65</v>
      </c>
      <c r="E10428" s="12" t="s">
        <v>35</v>
      </c>
      <c r="F10428" s="14">
        <v>110000</v>
      </c>
      <c r="G10428" s="14">
        <v>92500</v>
      </c>
      <c r="H10428" s="13" t="s">
        <v>19275</v>
      </c>
      <c r="I10428" s="40" t="s">
        <v>18</v>
      </c>
      <c r="J10428" s="40" t="str">
        <f>HYPERLINK("https://m.stock.naver.com/research/company/84888","PDF")</f>
        <v>PDF</v>
      </c>
      <c r="K10428" s="12" t="s">
        <v>19276</v>
      </c>
      <c r="L10428" s="20">
        <v>0.1891891891891892</v>
      </c>
    </row>
    <row r="10429" spans="1:12" x14ac:dyDescent="0.45">
      <c r="A10429" s="12" t="s">
        <v>19232</v>
      </c>
      <c r="B10429" s="12" t="s">
        <v>3488</v>
      </c>
      <c r="C10429" s="13" t="s">
        <v>3489</v>
      </c>
      <c r="D10429" s="13" t="s">
        <v>65</v>
      </c>
      <c r="E10429" s="12" t="s">
        <v>35</v>
      </c>
      <c r="F10429" s="14">
        <v>30000</v>
      </c>
      <c r="G10429" s="14">
        <v>25550</v>
      </c>
      <c r="H10429" s="13" t="s">
        <v>19277</v>
      </c>
      <c r="I10429" s="40" t="s">
        <v>18</v>
      </c>
      <c r="J10429" s="40" t="str">
        <f>HYPERLINK("https://m.stock.naver.com/research/company/84887","PDF")</f>
        <v>PDF</v>
      </c>
      <c r="K10429" s="12" t="s">
        <v>19278</v>
      </c>
      <c r="L10429" s="20">
        <v>0.17416829745596871</v>
      </c>
    </row>
    <row r="10430" spans="1:12" x14ac:dyDescent="0.45">
      <c r="A10430" s="12" t="s">
        <v>19232</v>
      </c>
      <c r="B10430" s="12" t="s">
        <v>3688</v>
      </c>
      <c r="C10430" s="13" t="s">
        <v>3689</v>
      </c>
      <c r="D10430" s="13" t="s">
        <v>65</v>
      </c>
      <c r="E10430" s="12" t="s">
        <v>35</v>
      </c>
      <c r="F10430" s="14">
        <v>90000</v>
      </c>
      <c r="G10430" s="14">
        <v>71200</v>
      </c>
      <c r="H10430" s="13" t="s">
        <v>19279</v>
      </c>
      <c r="I10430" s="40" t="s">
        <v>18</v>
      </c>
      <c r="J10430" s="40" t="str">
        <f>HYPERLINK("https://m.stock.naver.com/research/company/84886","PDF")</f>
        <v>PDF</v>
      </c>
      <c r="K10430" s="12" t="s">
        <v>19280</v>
      </c>
      <c r="L10430" s="20">
        <v>0.2640449438202247</v>
      </c>
    </row>
    <row r="10431" spans="1:12" x14ac:dyDescent="0.45">
      <c r="A10431" s="12" t="s">
        <v>19232</v>
      </c>
      <c r="B10431" s="12" t="s">
        <v>2960</v>
      </c>
      <c r="C10431" s="13" t="s">
        <v>2961</v>
      </c>
      <c r="D10431" s="13" t="s">
        <v>65</v>
      </c>
      <c r="E10431" s="12" t="s">
        <v>35</v>
      </c>
      <c r="F10431" s="14">
        <v>60000</v>
      </c>
      <c r="G10431" s="14">
        <v>51400</v>
      </c>
      <c r="H10431" s="13" t="s">
        <v>19281</v>
      </c>
      <c r="I10431" s="40" t="s">
        <v>18</v>
      </c>
      <c r="J10431" s="40" t="str">
        <f>HYPERLINK("https://m.stock.naver.com/research/company/84885","PDF")</f>
        <v>PDF</v>
      </c>
      <c r="K10431" s="12" t="s">
        <v>19282</v>
      </c>
      <c r="L10431" s="20">
        <v>0.16731517509727631</v>
      </c>
    </row>
    <row r="10432" spans="1:12" x14ac:dyDescent="0.45">
      <c r="A10432" s="12" t="s">
        <v>19232</v>
      </c>
      <c r="B10432" s="12" t="s">
        <v>3308</v>
      </c>
      <c r="C10432" s="13" t="s">
        <v>3309</v>
      </c>
      <c r="D10432" s="13" t="s">
        <v>65</v>
      </c>
      <c r="E10432" s="12" t="s">
        <v>50</v>
      </c>
      <c r="F10432" s="13"/>
      <c r="G10432" s="14">
        <v>3620</v>
      </c>
      <c r="H10432" s="13" t="s">
        <v>19283</v>
      </c>
      <c r="I10432" s="40" t="s">
        <v>18</v>
      </c>
      <c r="J10432" s="40" t="str">
        <f>HYPERLINK("https://m.stock.naver.com/research/company/84884","PDF")</f>
        <v>PDF</v>
      </c>
      <c r="K10432" s="12" t="s">
        <v>19284</v>
      </c>
    </row>
    <row r="10433" spans="1:12" x14ac:dyDescent="0.45">
      <c r="A10433" s="12" t="s">
        <v>19232</v>
      </c>
      <c r="B10433" s="12" t="s">
        <v>3831</v>
      </c>
      <c r="C10433" s="13" t="s">
        <v>3832</v>
      </c>
      <c r="D10433" s="13" t="s">
        <v>65</v>
      </c>
      <c r="E10433" s="12" t="s">
        <v>35</v>
      </c>
      <c r="F10433" s="14">
        <v>50000</v>
      </c>
      <c r="G10433" s="14">
        <v>35750</v>
      </c>
      <c r="H10433" s="13" t="s">
        <v>19285</v>
      </c>
      <c r="I10433" s="40" t="s">
        <v>18</v>
      </c>
      <c r="J10433" s="40" t="str">
        <f>HYPERLINK("https://stock.pstatic.net/stock-research/company/57/20250728_company_85128000.pdf","PDF")</f>
        <v>PDF</v>
      </c>
      <c r="K10433" s="12" t="s">
        <v>19286</v>
      </c>
      <c r="L10433" s="20">
        <v>0.39860139860139859</v>
      </c>
    </row>
    <row r="10434" spans="1:12" x14ac:dyDescent="0.45">
      <c r="A10434" s="12" t="s">
        <v>19232</v>
      </c>
      <c r="B10434" s="12" t="s">
        <v>3548</v>
      </c>
      <c r="C10434" s="13" t="s">
        <v>3549</v>
      </c>
      <c r="D10434" s="13" t="s">
        <v>65</v>
      </c>
      <c r="E10434" s="12" t="s">
        <v>35</v>
      </c>
      <c r="F10434" s="14">
        <v>58000</v>
      </c>
      <c r="G10434" s="14">
        <v>51000</v>
      </c>
      <c r="H10434" s="13" t="s">
        <v>19287</v>
      </c>
      <c r="I10434" s="40" t="s">
        <v>18</v>
      </c>
      <c r="J10434" s="40" t="str">
        <f>HYPERLINK("https://stock.pstatic.net/stock-research/company/57/20250728_company_394769000.pdf","PDF")</f>
        <v>PDF</v>
      </c>
      <c r="K10434" s="12" t="s">
        <v>19288</v>
      </c>
      <c r="L10434" s="20">
        <v>0.1372549019607843</v>
      </c>
    </row>
    <row r="10435" spans="1:12" x14ac:dyDescent="0.45">
      <c r="A10435" s="12" t="s">
        <v>19232</v>
      </c>
      <c r="B10435" s="12" t="s">
        <v>577</v>
      </c>
      <c r="C10435" s="13" t="s">
        <v>578</v>
      </c>
      <c r="D10435" s="13" t="s">
        <v>65</v>
      </c>
      <c r="E10435" s="12" t="s">
        <v>35</v>
      </c>
      <c r="F10435" s="14">
        <v>350000</v>
      </c>
      <c r="G10435" s="14">
        <v>297500</v>
      </c>
      <c r="H10435" s="13" t="s">
        <v>19289</v>
      </c>
      <c r="I10435" s="40" t="s">
        <v>18</v>
      </c>
      <c r="J10435" s="40" t="str">
        <f>HYPERLINK("https://stock.pstatic.net/stock-research/company/57/20250728_company_690942000.pdf","PDF")</f>
        <v>PDF</v>
      </c>
      <c r="K10435" s="12" t="s">
        <v>19290</v>
      </c>
      <c r="L10435" s="20">
        <v>0.1764705882352941</v>
      </c>
    </row>
    <row r="10436" spans="1:12" x14ac:dyDescent="0.45">
      <c r="A10436" s="12" t="s">
        <v>19232</v>
      </c>
      <c r="B10436" s="12" t="s">
        <v>1765</v>
      </c>
      <c r="C10436" s="13" t="s">
        <v>1766</v>
      </c>
      <c r="D10436" s="13" t="s">
        <v>65</v>
      </c>
      <c r="E10436" s="12" t="s">
        <v>35</v>
      </c>
      <c r="F10436" s="14">
        <v>125000</v>
      </c>
      <c r="G10436" s="14">
        <v>104100</v>
      </c>
      <c r="H10436" s="13" t="s">
        <v>19291</v>
      </c>
      <c r="I10436" s="40" t="s">
        <v>18</v>
      </c>
      <c r="J10436" s="40" t="str">
        <f>HYPERLINK("https://stock.pstatic.net/stock-research/company/57/20250728_company_349528000.pdf","PDF")</f>
        <v>PDF</v>
      </c>
      <c r="K10436" s="12" t="s">
        <v>19292</v>
      </c>
      <c r="L10436" s="20">
        <v>0.20076849183477419</v>
      </c>
    </row>
    <row r="10437" spans="1:12" x14ac:dyDescent="0.45">
      <c r="A10437" s="12" t="s">
        <v>19232</v>
      </c>
      <c r="B10437" s="12" t="s">
        <v>2378</v>
      </c>
      <c r="C10437" s="13" t="s">
        <v>2379</v>
      </c>
      <c r="D10437" s="13" t="s">
        <v>65</v>
      </c>
      <c r="E10437" s="12" t="s">
        <v>35</v>
      </c>
      <c r="F10437" s="14">
        <v>450000</v>
      </c>
      <c r="G10437" s="14">
        <v>363500</v>
      </c>
      <c r="H10437" s="13" t="s">
        <v>19293</v>
      </c>
      <c r="I10437" s="40" t="s">
        <v>18</v>
      </c>
      <c r="J10437" s="40" t="str">
        <f>HYPERLINK("https://stock.pstatic.net/stock-research/company/57/20250728_company_278542000.pdf","PDF")</f>
        <v>PDF</v>
      </c>
      <c r="K10437" s="12" t="s">
        <v>19294</v>
      </c>
      <c r="L10437" s="20">
        <v>0.23796423658872079</v>
      </c>
    </row>
    <row r="10438" spans="1:12" x14ac:dyDescent="0.45">
      <c r="A10438" s="12" t="s">
        <v>19232</v>
      </c>
      <c r="B10438" s="12" t="s">
        <v>3349</v>
      </c>
      <c r="C10438" s="13" t="s">
        <v>7707</v>
      </c>
      <c r="D10438" s="13" t="s">
        <v>65</v>
      </c>
      <c r="E10438" s="12" t="s">
        <v>35</v>
      </c>
      <c r="F10438" s="14">
        <v>33000</v>
      </c>
      <c r="G10438" s="14">
        <v>23000</v>
      </c>
      <c r="H10438" s="13" t="s">
        <v>1362</v>
      </c>
      <c r="I10438" s="40" t="s">
        <v>18</v>
      </c>
      <c r="J10438" s="40" t="str">
        <f>HYPERLINK("https://stock.pstatic.net/stock-research/company/1/20250728_company_822737000.pdf","PDF")</f>
        <v>PDF</v>
      </c>
      <c r="K10438" s="12" t="s">
        <v>19295</v>
      </c>
      <c r="L10438" s="20">
        <v>0.43478260869565222</v>
      </c>
    </row>
    <row r="10439" spans="1:12" x14ac:dyDescent="0.45">
      <c r="A10439" s="12" t="s">
        <v>19232</v>
      </c>
      <c r="B10439" s="12" t="s">
        <v>2089</v>
      </c>
      <c r="C10439" s="13" t="s">
        <v>2090</v>
      </c>
      <c r="D10439" s="13" t="s">
        <v>65</v>
      </c>
      <c r="E10439" s="12" t="s">
        <v>35</v>
      </c>
      <c r="F10439" s="14">
        <v>80000</v>
      </c>
      <c r="G10439" s="14">
        <v>62300</v>
      </c>
      <c r="H10439" s="13" t="s">
        <v>19296</v>
      </c>
      <c r="I10439" s="40" t="s">
        <v>18</v>
      </c>
      <c r="J10439" s="40" t="str">
        <f>HYPERLINK("https://stock.pstatic.net/stock-research/company/57/20250728_company_370538000.pdf","PDF")</f>
        <v>PDF</v>
      </c>
      <c r="K10439" s="12" t="s">
        <v>19297</v>
      </c>
      <c r="L10439" s="20">
        <v>0.2841091492776886</v>
      </c>
    </row>
    <row r="10440" spans="1:12" x14ac:dyDescent="0.45">
      <c r="A10440" s="12" t="s">
        <v>19232</v>
      </c>
      <c r="B10440" s="12" t="s">
        <v>3584</v>
      </c>
      <c r="C10440" s="13" t="s">
        <v>3585</v>
      </c>
      <c r="D10440" s="13" t="s">
        <v>92</v>
      </c>
      <c r="E10440" s="12" t="s">
        <v>35</v>
      </c>
      <c r="F10440" s="14">
        <v>26000</v>
      </c>
      <c r="G10440" s="14">
        <v>21150</v>
      </c>
      <c r="H10440" s="13" t="s">
        <v>19298</v>
      </c>
      <c r="I10440" s="40" t="s">
        <v>18</v>
      </c>
      <c r="J10440" s="40" t="str">
        <f>HYPERLINK("https://stock.pstatic.net/stock-research/company/63/20250728_company_207502000.pdf","PDF")</f>
        <v>PDF</v>
      </c>
      <c r="K10440" s="12" t="s">
        <v>19299</v>
      </c>
      <c r="L10440" s="20">
        <v>0.2293144208037825</v>
      </c>
    </row>
    <row r="10441" spans="1:12" x14ac:dyDescent="0.45">
      <c r="A10441" s="12" t="s">
        <v>19232</v>
      </c>
      <c r="B10441" s="12" t="s">
        <v>2089</v>
      </c>
      <c r="C10441" s="13" t="s">
        <v>2090</v>
      </c>
      <c r="D10441" s="13" t="s">
        <v>57</v>
      </c>
      <c r="E10441" s="12" t="s">
        <v>35</v>
      </c>
      <c r="F10441" s="14">
        <v>79000</v>
      </c>
      <c r="G10441" s="14">
        <v>62300</v>
      </c>
      <c r="H10441" s="13" t="s">
        <v>19300</v>
      </c>
      <c r="I10441" s="40" t="s">
        <v>18</v>
      </c>
      <c r="J10441" s="40" t="str">
        <f>HYPERLINK("https://stock.pstatic.net/stock-research/company/16/20250728_company_404863000.pdf","PDF")</f>
        <v>PDF</v>
      </c>
      <c r="K10441" s="12" t="s">
        <v>19301</v>
      </c>
      <c r="L10441" s="20">
        <v>0.2680577849117175</v>
      </c>
    </row>
    <row r="10442" spans="1:12" x14ac:dyDescent="0.45">
      <c r="A10442" s="12" t="s">
        <v>19232</v>
      </c>
      <c r="B10442" s="12" t="s">
        <v>1765</v>
      </c>
      <c r="C10442" s="13" t="s">
        <v>1766</v>
      </c>
      <c r="D10442" s="13" t="s">
        <v>57</v>
      </c>
      <c r="E10442" s="12" t="s">
        <v>35</v>
      </c>
      <c r="F10442" s="14">
        <v>125000</v>
      </c>
      <c r="G10442" s="14">
        <v>104100</v>
      </c>
      <c r="H10442" s="13" t="s">
        <v>19302</v>
      </c>
      <c r="I10442" s="40" t="s">
        <v>18</v>
      </c>
      <c r="J10442" s="40" t="str">
        <f>HYPERLINK("https://stock.pstatic.net/stock-research/company/16/20250728_company_316856000.pdf","PDF")</f>
        <v>PDF</v>
      </c>
      <c r="K10442" s="12" t="s">
        <v>19303</v>
      </c>
      <c r="L10442" s="20">
        <v>0.20076849183477419</v>
      </c>
    </row>
    <row r="10443" spans="1:12" x14ac:dyDescent="0.45">
      <c r="A10443" s="12" t="s">
        <v>19232</v>
      </c>
      <c r="B10443" s="12" t="s">
        <v>3688</v>
      </c>
      <c r="C10443" s="13" t="s">
        <v>3689</v>
      </c>
      <c r="D10443" s="13" t="s">
        <v>57</v>
      </c>
      <c r="E10443" s="12" t="s">
        <v>159</v>
      </c>
      <c r="F10443" s="14">
        <v>80000</v>
      </c>
      <c r="G10443" s="14">
        <v>71200</v>
      </c>
      <c r="H10443" s="13" t="s">
        <v>19304</v>
      </c>
      <c r="I10443" s="40" t="s">
        <v>18</v>
      </c>
      <c r="J10443" s="40" t="str">
        <f>HYPERLINK("https://stock.pstatic.net/stock-research/company/16/20250728_company_280074000.pdf","PDF")</f>
        <v>PDF</v>
      </c>
      <c r="K10443" s="12" t="s">
        <v>19305</v>
      </c>
      <c r="L10443" s="20">
        <v>0.1235955056179775</v>
      </c>
    </row>
    <row r="10444" spans="1:12" x14ac:dyDescent="0.45">
      <c r="A10444" s="12" t="s">
        <v>19232</v>
      </c>
      <c r="B10444" s="12" t="s">
        <v>3482</v>
      </c>
      <c r="C10444" s="13" t="s">
        <v>3483</v>
      </c>
      <c r="D10444" s="13" t="s">
        <v>57</v>
      </c>
      <c r="E10444" s="12" t="s">
        <v>159</v>
      </c>
      <c r="F10444" s="14">
        <v>98000</v>
      </c>
      <c r="G10444" s="14">
        <v>92500</v>
      </c>
      <c r="H10444" s="13" t="s">
        <v>19306</v>
      </c>
      <c r="I10444" s="40" t="s">
        <v>18</v>
      </c>
      <c r="J10444" s="40" t="str">
        <f>HYPERLINK("https://stock.pstatic.net/stock-research/company/16/20250728_company_326710000.pdf","PDF")</f>
        <v>PDF</v>
      </c>
      <c r="K10444" s="12" t="s">
        <v>19307</v>
      </c>
      <c r="L10444" s="20">
        <v>5.9459459459459463E-2</v>
      </c>
    </row>
    <row r="10445" spans="1:12" x14ac:dyDescent="0.45">
      <c r="A10445" s="12" t="s">
        <v>19232</v>
      </c>
      <c r="B10445" s="12" t="s">
        <v>3548</v>
      </c>
      <c r="C10445" s="13" t="s">
        <v>3549</v>
      </c>
      <c r="D10445" s="13" t="s">
        <v>57</v>
      </c>
      <c r="E10445" s="12" t="s">
        <v>35</v>
      </c>
      <c r="F10445" s="14">
        <v>56000</v>
      </c>
      <c r="G10445" s="14">
        <v>51000</v>
      </c>
      <c r="H10445" s="13" t="s">
        <v>19308</v>
      </c>
      <c r="I10445" s="40" t="s">
        <v>18</v>
      </c>
      <c r="J10445" s="40" t="str">
        <f>HYPERLINK("https://stock.pstatic.net/stock-research/company/16/20250728_company_156266000.pdf","PDF")</f>
        <v>PDF</v>
      </c>
      <c r="K10445" s="12" t="s">
        <v>19309</v>
      </c>
      <c r="L10445" s="20">
        <v>9.8039215686274508E-2</v>
      </c>
    </row>
    <row r="10446" spans="1:12" x14ac:dyDescent="0.45">
      <c r="A10446" s="12" t="s">
        <v>19232</v>
      </c>
      <c r="B10446" s="12" t="s">
        <v>577</v>
      </c>
      <c r="C10446" s="13" t="s">
        <v>578</v>
      </c>
      <c r="D10446" s="13" t="s">
        <v>57</v>
      </c>
      <c r="E10446" s="12" t="s">
        <v>35</v>
      </c>
      <c r="F10446" s="14">
        <v>360000</v>
      </c>
      <c r="G10446" s="14">
        <v>297500</v>
      </c>
      <c r="H10446" s="13" t="s">
        <v>19310</v>
      </c>
      <c r="I10446" s="40" t="s">
        <v>18</v>
      </c>
      <c r="J10446" s="40" t="str">
        <f>HYPERLINK("https://stock.pstatic.net/stock-research/company/16/20250728_company_559603000.pdf","PDF")</f>
        <v>PDF</v>
      </c>
      <c r="K10446" s="12" t="s">
        <v>19311</v>
      </c>
      <c r="L10446" s="20">
        <v>0.21008403361344541</v>
      </c>
    </row>
    <row r="10447" spans="1:12" x14ac:dyDescent="0.45">
      <c r="A10447" s="12" t="s">
        <v>19232</v>
      </c>
      <c r="B10447" s="12" t="s">
        <v>3349</v>
      </c>
      <c r="C10447" s="13" t="s">
        <v>7707</v>
      </c>
      <c r="D10447" s="13" t="s">
        <v>57</v>
      </c>
      <c r="E10447" s="12" t="s">
        <v>35</v>
      </c>
      <c r="F10447" s="14">
        <v>36000</v>
      </c>
      <c r="G10447" s="14">
        <v>23000</v>
      </c>
      <c r="H10447" s="13" t="s">
        <v>19312</v>
      </c>
      <c r="I10447" s="40" t="s">
        <v>18</v>
      </c>
      <c r="J10447" s="40" t="str">
        <f>HYPERLINK("https://stock.pstatic.net/stock-research/company/16/20250728_company_991138000.pdf","PDF")</f>
        <v>PDF</v>
      </c>
      <c r="K10447" s="12" t="s">
        <v>19313</v>
      </c>
      <c r="L10447" s="20">
        <v>0.56521739130434778</v>
      </c>
    </row>
    <row r="10448" spans="1:12" x14ac:dyDescent="0.45">
      <c r="A10448" s="12" t="s">
        <v>19232</v>
      </c>
      <c r="B10448" s="12" t="s">
        <v>2378</v>
      </c>
      <c r="C10448" s="13" t="s">
        <v>2379</v>
      </c>
      <c r="D10448" s="13" t="s">
        <v>57</v>
      </c>
      <c r="E10448" s="12" t="s">
        <v>35</v>
      </c>
      <c r="F10448" s="14">
        <v>420000</v>
      </c>
      <c r="G10448" s="14">
        <v>363500</v>
      </c>
      <c r="H10448" s="13" t="s">
        <v>19314</v>
      </c>
      <c r="I10448" s="40" t="s">
        <v>18</v>
      </c>
      <c r="J10448" s="40" t="str">
        <f>HYPERLINK("https://stock.pstatic.net/stock-research/company/16/20250728_company_659559000.pdf","PDF")</f>
        <v>PDF</v>
      </c>
      <c r="K10448" s="12" t="s">
        <v>19315</v>
      </c>
      <c r="L10448" s="20">
        <v>0.15543328748280599</v>
      </c>
    </row>
    <row r="10449" spans="1:12" x14ac:dyDescent="0.45">
      <c r="A10449" s="12" t="s">
        <v>19232</v>
      </c>
      <c r="B10449" s="12" t="s">
        <v>2378</v>
      </c>
      <c r="C10449" s="13" t="s">
        <v>2379</v>
      </c>
      <c r="D10449" s="13" t="s">
        <v>158</v>
      </c>
      <c r="E10449" s="12" t="s">
        <v>35</v>
      </c>
      <c r="F10449" s="14">
        <v>531000</v>
      </c>
      <c r="G10449" s="14">
        <v>363500</v>
      </c>
      <c r="H10449" s="13" t="s">
        <v>19316</v>
      </c>
      <c r="I10449" s="40" t="s">
        <v>18</v>
      </c>
      <c r="J10449" s="40" t="str">
        <f>HYPERLINK("https://stock.pstatic.net/stock-research/company/18/20250728_company_982322000.pdf","PDF")</f>
        <v>PDF</v>
      </c>
      <c r="K10449" s="12" t="s">
        <v>19317</v>
      </c>
      <c r="L10449" s="20">
        <v>0.46079779917469049</v>
      </c>
    </row>
    <row r="10450" spans="1:12" x14ac:dyDescent="0.45">
      <c r="A10450" s="12" t="s">
        <v>19232</v>
      </c>
      <c r="B10450" s="12" t="s">
        <v>3369</v>
      </c>
      <c r="C10450" s="13" t="s">
        <v>3370</v>
      </c>
      <c r="D10450" s="13" t="s">
        <v>158</v>
      </c>
      <c r="E10450" s="12" t="s">
        <v>35</v>
      </c>
      <c r="F10450" s="14">
        <v>28500</v>
      </c>
      <c r="G10450" s="14">
        <v>23750</v>
      </c>
      <c r="H10450" s="13" t="s">
        <v>19318</v>
      </c>
      <c r="I10450" s="40" t="s">
        <v>18</v>
      </c>
      <c r="J10450" s="40" t="str">
        <f>HYPERLINK("https://stock.pstatic.net/stock-research/company/1/20250728_company_811580000.pdf","PDF")</f>
        <v>PDF</v>
      </c>
      <c r="K10450" s="12" t="s">
        <v>19319</v>
      </c>
      <c r="L10450" s="20">
        <v>0.2</v>
      </c>
    </row>
    <row r="10451" spans="1:12" x14ac:dyDescent="0.45">
      <c r="A10451" s="12" t="s">
        <v>19232</v>
      </c>
      <c r="B10451" s="12" t="s">
        <v>63</v>
      </c>
      <c r="C10451" s="13" t="s">
        <v>64</v>
      </c>
      <c r="D10451" s="13" t="s">
        <v>158</v>
      </c>
      <c r="E10451" s="12" t="s">
        <v>35</v>
      </c>
      <c r="F10451" s="14">
        <v>360000</v>
      </c>
      <c r="G10451" s="14">
        <v>282000</v>
      </c>
      <c r="H10451" s="13" t="s">
        <v>19320</v>
      </c>
      <c r="I10451" s="40" t="s">
        <v>18</v>
      </c>
      <c r="J10451" s="40" t="str">
        <f>HYPERLINK("https://stock.pstatic.net/stock-research/company/18/20250728_company_180840000.pdf","PDF")</f>
        <v>PDF</v>
      </c>
      <c r="K10451" s="12" t="s">
        <v>19321</v>
      </c>
      <c r="L10451" s="20">
        <v>0.27659574468085107</v>
      </c>
    </row>
    <row r="10452" spans="1:12" x14ac:dyDescent="0.45">
      <c r="A10452" s="12" t="s">
        <v>19232</v>
      </c>
      <c r="B10452" s="12" t="s">
        <v>2950</v>
      </c>
      <c r="C10452" s="13" t="s">
        <v>2951</v>
      </c>
      <c r="D10452" s="13" t="s">
        <v>158</v>
      </c>
      <c r="E10452" s="12" t="s">
        <v>35</v>
      </c>
      <c r="F10452" s="14">
        <v>81000</v>
      </c>
      <c r="G10452" s="14">
        <v>65900</v>
      </c>
      <c r="H10452" s="13" t="s">
        <v>19322</v>
      </c>
      <c r="I10452" s="40" t="s">
        <v>18</v>
      </c>
      <c r="J10452" s="40" t="str">
        <f>HYPERLINK("https://stock.pstatic.net/stock-research/company/18/20250728_company_642258000.pdf","PDF")</f>
        <v>PDF</v>
      </c>
      <c r="K10452" s="12" t="s">
        <v>19323</v>
      </c>
      <c r="L10452" s="20">
        <v>0.2291350531107739</v>
      </c>
    </row>
    <row r="10453" spans="1:12" x14ac:dyDescent="0.45">
      <c r="A10453" s="12" t="s">
        <v>19232</v>
      </c>
      <c r="B10453" s="12" t="s">
        <v>3230</v>
      </c>
      <c r="C10453" s="13" t="s">
        <v>3231</v>
      </c>
      <c r="D10453" s="13" t="s">
        <v>158</v>
      </c>
      <c r="E10453" s="12" t="s">
        <v>35</v>
      </c>
      <c r="F10453" s="14">
        <v>1500000</v>
      </c>
      <c r="G10453" s="14">
        <v>1125000</v>
      </c>
      <c r="H10453" s="13" t="s">
        <v>19324</v>
      </c>
      <c r="I10453" s="40" t="s">
        <v>18</v>
      </c>
      <c r="J10453" s="40" t="str">
        <f>HYPERLINK("https://stock.pstatic.net/stock-research/company/18/20250728_company_888166000.pdf","PDF")</f>
        <v>PDF</v>
      </c>
      <c r="K10453" s="12" t="s">
        <v>19325</v>
      </c>
      <c r="L10453" s="20">
        <v>0.33333333333333331</v>
      </c>
    </row>
    <row r="10454" spans="1:12" x14ac:dyDescent="0.45">
      <c r="A10454" s="12" t="s">
        <v>19232</v>
      </c>
      <c r="B10454" s="12" t="s">
        <v>3530</v>
      </c>
      <c r="C10454" s="13" t="s">
        <v>3531</v>
      </c>
      <c r="D10454" s="13" t="s">
        <v>158</v>
      </c>
      <c r="E10454" s="12" t="s">
        <v>35</v>
      </c>
      <c r="F10454" s="14">
        <v>16000</v>
      </c>
      <c r="G10454" s="14">
        <v>11790</v>
      </c>
      <c r="H10454" s="13" t="s">
        <v>19326</v>
      </c>
      <c r="I10454" s="40" t="s">
        <v>18</v>
      </c>
      <c r="J10454" s="40" t="str">
        <f>HYPERLINK("https://stock.pstatic.net/stock-research/company/18/20250728_company_395771000.pdf","PDF")</f>
        <v>PDF</v>
      </c>
      <c r="K10454" s="12" t="s">
        <v>19327</v>
      </c>
      <c r="L10454" s="20">
        <v>0.35708227311280749</v>
      </c>
    </row>
    <row r="10455" spans="1:12" x14ac:dyDescent="0.45">
      <c r="A10455" s="12" t="s">
        <v>19232</v>
      </c>
      <c r="B10455" s="12" t="s">
        <v>63</v>
      </c>
      <c r="C10455" s="13" t="s">
        <v>64</v>
      </c>
      <c r="D10455" s="13" t="s">
        <v>83</v>
      </c>
      <c r="E10455" s="12" t="s">
        <v>35</v>
      </c>
      <c r="F10455" s="14">
        <v>380000</v>
      </c>
      <c r="G10455" s="14">
        <v>282000</v>
      </c>
      <c r="H10455" s="13" t="s">
        <v>19328</v>
      </c>
      <c r="I10455" s="40" t="s">
        <v>18</v>
      </c>
      <c r="J10455" s="40" t="str">
        <f>HYPERLINK("https://stock.pstatic.net/stock-research/company/2/20250728_company_932452000.pdf","PDF")</f>
        <v>PDF</v>
      </c>
      <c r="K10455" s="12" t="s">
        <v>19329</v>
      </c>
      <c r="L10455" s="20">
        <v>0.3475177304964539</v>
      </c>
    </row>
    <row r="10456" spans="1:12" x14ac:dyDescent="0.45">
      <c r="A10456" s="12" t="s">
        <v>19232</v>
      </c>
      <c r="B10456" s="12" t="s">
        <v>2960</v>
      </c>
      <c r="C10456" s="13" t="s">
        <v>2961</v>
      </c>
      <c r="D10456" s="13" t="s">
        <v>83</v>
      </c>
      <c r="E10456" s="12" t="s">
        <v>35</v>
      </c>
      <c r="F10456" s="14">
        <v>60000</v>
      </c>
      <c r="G10456" s="14">
        <v>51400</v>
      </c>
      <c r="H10456" s="13" t="s">
        <v>19330</v>
      </c>
      <c r="I10456" s="40" t="s">
        <v>18</v>
      </c>
      <c r="J10456" s="40" t="str">
        <f>HYPERLINK("https://stock.pstatic.net/stock-research/company/2/20250728_company_413586000.pdf","PDF")</f>
        <v>PDF</v>
      </c>
      <c r="K10456" s="12" t="s">
        <v>19331</v>
      </c>
      <c r="L10456" s="20">
        <v>0.16731517509727631</v>
      </c>
    </row>
    <row r="10457" spans="1:12" x14ac:dyDescent="0.45">
      <c r="A10457" s="12" t="s">
        <v>19232</v>
      </c>
      <c r="B10457" s="12" t="s">
        <v>2950</v>
      </c>
      <c r="C10457" s="13" t="s">
        <v>2951</v>
      </c>
      <c r="D10457" s="13" t="s">
        <v>83</v>
      </c>
      <c r="E10457" s="12" t="s">
        <v>35</v>
      </c>
      <c r="F10457" s="14">
        <v>85000</v>
      </c>
      <c r="G10457" s="14">
        <v>65900</v>
      </c>
      <c r="H10457" s="13" t="s">
        <v>19332</v>
      </c>
      <c r="I10457" s="40" t="s">
        <v>18</v>
      </c>
      <c r="J10457" s="40" t="str">
        <f>HYPERLINK("https://stock.pstatic.net/stock-research/company/2/20250728_company_608358000.pdf","PDF")</f>
        <v>PDF</v>
      </c>
      <c r="K10457" s="12" t="s">
        <v>19333</v>
      </c>
      <c r="L10457" s="20">
        <v>0.2898330804248862</v>
      </c>
    </row>
    <row r="10458" spans="1:12" x14ac:dyDescent="0.45">
      <c r="A10458" s="12" t="s">
        <v>19232</v>
      </c>
      <c r="B10458" s="12" t="s">
        <v>577</v>
      </c>
      <c r="C10458" s="13" t="s">
        <v>578</v>
      </c>
      <c r="D10458" s="13" t="s">
        <v>83</v>
      </c>
      <c r="E10458" s="12" t="s">
        <v>35</v>
      </c>
      <c r="F10458" s="14">
        <v>360000</v>
      </c>
      <c r="G10458" s="14">
        <v>297500</v>
      </c>
      <c r="H10458" s="13" t="s">
        <v>19334</v>
      </c>
      <c r="I10458" s="40" t="s">
        <v>18</v>
      </c>
      <c r="J10458" s="40" t="str">
        <f>HYPERLINK("https://stock.pstatic.net/stock-research/company/2/20250728_company_324962000.pdf","PDF")</f>
        <v>PDF</v>
      </c>
      <c r="K10458" s="12" t="s">
        <v>19335</v>
      </c>
      <c r="L10458" s="20">
        <v>0.21008403361344541</v>
      </c>
    </row>
    <row r="10459" spans="1:12" x14ac:dyDescent="0.45">
      <c r="A10459" s="12" t="s">
        <v>19232</v>
      </c>
      <c r="B10459" s="12" t="s">
        <v>3548</v>
      </c>
      <c r="C10459" s="13" t="s">
        <v>3549</v>
      </c>
      <c r="D10459" s="13" t="s">
        <v>83</v>
      </c>
      <c r="E10459" s="12" t="s">
        <v>35</v>
      </c>
      <c r="F10459" s="14">
        <v>58000</v>
      </c>
      <c r="G10459" s="14">
        <v>51000</v>
      </c>
      <c r="H10459" s="13" t="s">
        <v>19336</v>
      </c>
      <c r="I10459" s="40" t="s">
        <v>18</v>
      </c>
      <c r="J10459" s="40" t="str">
        <f>HYPERLINK("https://stock.pstatic.net/stock-research/company/2/20250728_company_497174000.pdf","PDF")</f>
        <v>PDF</v>
      </c>
      <c r="K10459" s="12" t="s">
        <v>19337</v>
      </c>
      <c r="L10459" s="20">
        <v>0.1372549019607843</v>
      </c>
    </row>
    <row r="10460" spans="1:12" x14ac:dyDescent="0.45">
      <c r="A10460" s="12" t="s">
        <v>19232</v>
      </c>
      <c r="B10460" s="12" t="s">
        <v>1765</v>
      </c>
      <c r="C10460" s="13" t="s">
        <v>1766</v>
      </c>
      <c r="D10460" s="13" t="s">
        <v>83</v>
      </c>
      <c r="E10460" s="12" t="s">
        <v>35</v>
      </c>
      <c r="F10460" s="14">
        <v>135000</v>
      </c>
      <c r="G10460" s="14">
        <v>104100</v>
      </c>
      <c r="H10460" s="13" t="s">
        <v>19338</v>
      </c>
      <c r="I10460" s="40" t="s">
        <v>18</v>
      </c>
      <c r="J10460" s="40" t="str">
        <f>HYPERLINK("https://stock.pstatic.net/stock-research/company/2/20250728_company_873519000.pdf","PDF")</f>
        <v>PDF</v>
      </c>
      <c r="K10460" s="12" t="s">
        <v>19339</v>
      </c>
      <c r="L10460" s="20">
        <v>0.29682997118155618</v>
      </c>
    </row>
    <row r="10461" spans="1:12" x14ac:dyDescent="0.45">
      <c r="A10461" s="12" t="s">
        <v>19232</v>
      </c>
      <c r="B10461" s="12" t="s">
        <v>3831</v>
      </c>
      <c r="C10461" s="13" t="s">
        <v>3832</v>
      </c>
      <c r="D10461" s="13" t="s">
        <v>83</v>
      </c>
      <c r="E10461" s="12" t="s">
        <v>35</v>
      </c>
      <c r="F10461" s="14">
        <v>56000</v>
      </c>
      <c r="G10461" s="14">
        <v>35750</v>
      </c>
      <c r="H10461" s="13" t="s">
        <v>19340</v>
      </c>
      <c r="I10461" s="40" t="s">
        <v>18</v>
      </c>
      <c r="J10461" s="40" t="str">
        <f>HYPERLINK("https://stock.pstatic.net/stock-research/company/2/20250728_company_683282000.pdf","PDF")</f>
        <v>PDF</v>
      </c>
      <c r="K10461" s="12" t="s">
        <v>19341</v>
      </c>
      <c r="L10461" s="20">
        <v>0.56643356643356646</v>
      </c>
    </row>
    <row r="10462" spans="1:12" x14ac:dyDescent="0.45">
      <c r="A10462" s="12" t="s">
        <v>19232</v>
      </c>
      <c r="B10462" s="12" t="s">
        <v>3349</v>
      </c>
      <c r="C10462" s="13" t="s">
        <v>7707</v>
      </c>
      <c r="D10462" s="13" t="s">
        <v>83</v>
      </c>
      <c r="E10462" s="12" t="s">
        <v>35</v>
      </c>
      <c r="F10462" s="14">
        <v>35000</v>
      </c>
      <c r="G10462" s="14">
        <v>23000</v>
      </c>
      <c r="H10462" s="13" t="s">
        <v>19342</v>
      </c>
      <c r="I10462" s="40" t="s">
        <v>18</v>
      </c>
      <c r="J10462" s="40" t="str">
        <f>HYPERLINK("https://stock.pstatic.net/stock-research/company/2/20250728_company_28577000.pdf","PDF")</f>
        <v>PDF</v>
      </c>
      <c r="K10462" s="12" t="s">
        <v>19343</v>
      </c>
      <c r="L10462" s="20">
        <v>0.52173913043478259</v>
      </c>
    </row>
    <row r="10463" spans="1:12" x14ac:dyDescent="0.45">
      <c r="A10463" s="12" t="s">
        <v>19232</v>
      </c>
      <c r="B10463" s="12" t="s">
        <v>63</v>
      </c>
      <c r="C10463" s="13" t="s">
        <v>64</v>
      </c>
      <c r="D10463" s="13" t="s">
        <v>83</v>
      </c>
      <c r="E10463" s="12" t="s">
        <v>35</v>
      </c>
      <c r="F10463" s="14">
        <v>380000</v>
      </c>
      <c r="G10463" s="14">
        <v>282000</v>
      </c>
      <c r="H10463" s="13" t="s">
        <v>19328</v>
      </c>
      <c r="I10463" s="40" t="s">
        <v>18</v>
      </c>
      <c r="J10463" s="40" t="str">
        <f>HYPERLINK("https://stock.pstatic.net/stock-research/company/2/20250728_company_137333000.pdf","PDF")</f>
        <v>PDF</v>
      </c>
      <c r="K10463" s="12" t="s">
        <v>19344</v>
      </c>
      <c r="L10463" s="20">
        <v>0.3475177304964539</v>
      </c>
    </row>
    <row r="10464" spans="1:12" x14ac:dyDescent="0.45">
      <c r="A10464" s="12" t="s">
        <v>19232</v>
      </c>
      <c r="B10464" s="12" t="s">
        <v>2960</v>
      </c>
      <c r="C10464" s="13" t="s">
        <v>2961</v>
      </c>
      <c r="D10464" s="13" t="s">
        <v>83</v>
      </c>
      <c r="E10464" s="12" t="s">
        <v>35</v>
      </c>
      <c r="F10464" s="14">
        <v>60000</v>
      </c>
      <c r="G10464" s="14">
        <v>51400</v>
      </c>
      <c r="H10464" s="13" t="s">
        <v>19330</v>
      </c>
      <c r="I10464" s="40" t="s">
        <v>18</v>
      </c>
      <c r="J10464" s="40" t="str">
        <f>HYPERLINK("https://stock.pstatic.net/stock-research/company/2/20250728_company_582363000.pdf","PDF")</f>
        <v>PDF</v>
      </c>
      <c r="K10464" s="12" t="s">
        <v>19345</v>
      </c>
      <c r="L10464" s="20">
        <v>0.16731517509727631</v>
      </c>
    </row>
    <row r="10465" spans="1:12" x14ac:dyDescent="0.45">
      <c r="A10465" s="12" t="s">
        <v>19232</v>
      </c>
      <c r="B10465" s="12" t="s">
        <v>2378</v>
      </c>
      <c r="C10465" s="13" t="s">
        <v>2379</v>
      </c>
      <c r="D10465" s="13" t="s">
        <v>179</v>
      </c>
      <c r="E10465" s="12" t="s">
        <v>16</v>
      </c>
      <c r="F10465" s="14">
        <v>465000</v>
      </c>
      <c r="G10465" s="14">
        <v>363500</v>
      </c>
      <c r="H10465" s="13" t="s">
        <v>19346</v>
      </c>
      <c r="I10465" s="40" t="s">
        <v>18</v>
      </c>
      <c r="J10465" s="40" t="str">
        <f>HYPERLINK("https://stock.pstatic.net/stock-research/company/31/20250728_company_577378000.pdf","PDF")</f>
        <v>PDF</v>
      </c>
      <c r="K10465" s="12" t="s">
        <v>19347</v>
      </c>
      <c r="L10465" s="20">
        <v>0.27922971114167811</v>
      </c>
    </row>
    <row r="10466" spans="1:12" x14ac:dyDescent="0.45">
      <c r="A10466" s="12" t="s">
        <v>19232</v>
      </c>
      <c r="B10466" s="12" t="s">
        <v>519</v>
      </c>
      <c r="C10466" s="13" t="s">
        <v>520</v>
      </c>
      <c r="D10466" s="13" t="s">
        <v>179</v>
      </c>
      <c r="E10466" s="12" t="s">
        <v>16</v>
      </c>
      <c r="F10466" s="14">
        <v>270000</v>
      </c>
      <c r="G10466" s="14">
        <v>216500</v>
      </c>
      <c r="H10466" s="13" t="s">
        <v>19348</v>
      </c>
      <c r="I10466" s="40" t="s">
        <v>18</v>
      </c>
      <c r="J10466" s="40" t="str">
        <f>HYPERLINK("https://stock.pstatic.net/stock-research/company/31/20250728_company_194214000.pdf","PDF")</f>
        <v>PDF</v>
      </c>
      <c r="K10466" s="12" t="s">
        <v>19349</v>
      </c>
      <c r="L10466" s="20">
        <v>0.24711316397228639</v>
      </c>
    </row>
    <row r="10467" spans="1:12" x14ac:dyDescent="0.45">
      <c r="A10467" s="12" t="s">
        <v>19232</v>
      </c>
      <c r="B10467" s="12" t="s">
        <v>577</v>
      </c>
      <c r="C10467" s="13" t="s">
        <v>578</v>
      </c>
      <c r="D10467" s="13" t="s">
        <v>15</v>
      </c>
      <c r="E10467" s="12" t="s">
        <v>16</v>
      </c>
      <c r="F10467" s="14">
        <v>370000</v>
      </c>
      <c r="G10467" s="14">
        <v>297500</v>
      </c>
      <c r="H10467" s="13" t="s">
        <v>19350</v>
      </c>
      <c r="I10467" s="40" t="s">
        <v>18</v>
      </c>
      <c r="J10467" s="40" t="str">
        <f>HYPERLINK("https://stock.pstatic.net/stock-research/company/1/20250728_company_974328000.pdf","PDF")</f>
        <v>PDF</v>
      </c>
      <c r="K10467" s="12" t="s">
        <v>19351</v>
      </c>
      <c r="L10467" s="20">
        <v>0.24369747899159661</v>
      </c>
    </row>
    <row r="10468" spans="1:12" x14ac:dyDescent="0.45">
      <c r="A10468" s="12" t="s">
        <v>19232</v>
      </c>
      <c r="B10468" s="12" t="s">
        <v>3831</v>
      </c>
      <c r="C10468" s="13" t="s">
        <v>3832</v>
      </c>
      <c r="D10468" s="13" t="s">
        <v>15</v>
      </c>
      <c r="E10468" s="12" t="s">
        <v>16</v>
      </c>
      <c r="F10468" s="14">
        <v>52000</v>
      </c>
      <c r="G10468" s="14">
        <v>35750</v>
      </c>
      <c r="H10468" s="13" t="s">
        <v>19352</v>
      </c>
      <c r="I10468" s="40" t="s">
        <v>18</v>
      </c>
      <c r="J10468" s="40" t="str">
        <f>HYPERLINK("https://stock.pstatic.net/stock-research/company/29/20250728_company_35868000.pdf","PDF")</f>
        <v>PDF</v>
      </c>
      <c r="K10468" s="12" t="s">
        <v>19353</v>
      </c>
      <c r="L10468" s="20">
        <v>0.45454545454545447</v>
      </c>
    </row>
    <row r="10469" spans="1:12" x14ac:dyDescent="0.45">
      <c r="A10469" s="12" t="s">
        <v>19232</v>
      </c>
      <c r="B10469" s="12" t="s">
        <v>1781</v>
      </c>
      <c r="C10469" s="13" t="s">
        <v>1782</v>
      </c>
      <c r="D10469" s="13" t="s">
        <v>179</v>
      </c>
      <c r="E10469" s="12" t="s">
        <v>16</v>
      </c>
      <c r="F10469" s="14">
        <v>100000</v>
      </c>
      <c r="G10469" s="14">
        <v>77100</v>
      </c>
      <c r="H10469" s="13" t="s">
        <v>19354</v>
      </c>
      <c r="I10469" s="40" t="s">
        <v>18</v>
      </c>
      <c r="J10469" s="40" t="str">
        <f>HYPERLINK("https://stock.pstatic.net/stock-research/company/31/20250728_company_19118000.pdf","PDF")</f>
        <v>PDF</v>
      </c>
      <c r="K10469" s="12" t="s">
        <v>19355</v>
      </c>
      <c r="L10469" s="20">
        <v>0.29701686121919579</v>
      </c>
    </row>
    <row r="10470" spans="1:12" x14ac:dyDescent="0.45">
      <c r="A10470" s="12" t="s">
        <v>19232</v>
      </c>
      <c r="B10470" s="12" t="s">
        <v>2089</v>
      </c>
      <c r="C10470" s="13" t="s">
        <v>2090</v>
      </c>
      <c r="D10470" s="13" t="s">
        <v>92</v>
      </c>
      <c r="E10470" s="12" t="s">
        <v>35</v>
      </c>
      <c r="F10470" s="14">
        <v>80000</v>
      </c>
      <c r="G10470" s="14">
        <v>62300</v>
      </c>
      <c r="H10470" s="13" t="s">
        <v>19356</v>
      </c>
      <c r="I10470" s="40" t="s">
        <v>18</v>
      </c>
      <c r="J10470" s="40" t="str">
        <f>HYPERLINK("https://stock.pstatic.net/stock-research/company/63/20250728_company_703879000.pdf","PDF")</f>
        <v>PDF</v>
      </c>
      <c r="K10470" s="12" t="s">
        <v>19357</v>
      </c>
      <c r="L10470" s="20">
        <v>0.2841091492776886</v>
      </c>
    </row>
    <row r="10471" spans="1:12" x14ac:dyDescent="0.45">
      <c r="A10471" s="12" t="s">
        <v>19232</v>
      </c>
      <c r="B10471" s="12" t="s">
        <v>63</v>
      </c>
      <c r="C10471" s="13" t="s">
        <v>64</v>
      </c>
      <c r="D10471" s="13" t="s">
        <v>15</v>
      </c>
      <c r="E10471" s="12" t="s">
        <v>16</v>
      </c>
      <c r="F10471" s="14">
        <v>370000</v>
      </c>
      <c r="G10471" s="14">
        <v>282000</v>
      </c>
      <c r="H10471" s="13" t="s">
        <v>19358</v>
      </c>
      <c r="I10471" s="40" t="s">
        <v>18</v>
      </c>
      <c r="J10471" s="40" t="str">
        <f>HYPERLINK("https://stock.pstatic.net/stock-research/company/29/20250728_company_368559000.pdf","PDF")</f>
        <v>PDF</v>
      </c>
      <c r="K10471" s="12" t="s">
        <v>19359</v>
      </c>
      <c r="L10471" s="20">
        <v>0.31205673758865249</v>
      </c>
    </row>
    <row r="10472" spans="1:12" x14ac:dyDescent="0.45">
      <c r="A10472" s="12" t="s">
        <v>19232</v>
      </c>
      <c r="B10472" s="12" t="s">
        <v>1781</v>
      </c>
      <c r="C10472" s="13" t="s">
        <v>1782</v>
      </c>
      <c r="D10472" s="13" t="s">
        <v>92</v>
      </c>
      <c r="E10472" s="12" t="s">
        <v>35</v>
      </c>
      <c r="F10472" s="14">
        <v>90000</v>
      </c>
      <c r="G10472" s="14">
        <v>77100</v>
      </c>
      <c r="H10472" s="13" t="s">
        <v>19360</v>
      </c>
      <c r="I10472" s="40" t="s">
        <v>18</v>
      </c>
      <c r="J10472" s="40" t="str">
        <f>HYPERLINK("https://stock.pstatic.net/stock-research/company/63/20250728_company_647562000.pdf","PDF")</f>
        <v>PDF</v>
      </c>
      <c r="K10472" s="12" t="s">
        <v>19361</v>
      </c>
      <c r="L10472" s="20">
        <v>0.16731517509727631</v>
      </c>
    </row>
    <row r="10473" spans="1:12" x14ac:dyDescent="0.45">
      <c r="A10473" s="12" t="s">
        <v>19232</v>
      </c>
      <c r="B10473" s="12" t="s">
        <v>2378</v>
      </c>
      <c r="C10473" s="13" t="s">
        <v>2379</v>
      </c>
      <c r="D10473" s="13" t="s">
        <v>92</v>
      </c>
      <c r="E10473" s="12" t="s">
        <v>35</v>
      </c>
      <c r="F10473" s="14">
        <v>430000</v>
      </c>
      <c r="G10473" s="14">
        <v>363500</v>
      </c>
      <c r="H10473" s="13" t="s">
        <v>19362</v>
      </c>
      <c r="I10473" s="40" t="s">
        <v>18</v>
      </c>
      <c r="J10473" s="40" t="str">
        <f>HYPERLINK("https://stock.pstatic.net/stock-research/company/1/20250728_company_679278000.pdf","PDF")</f>
        <v>PDF</v>
      </c>
      <c r="K10473" s="12" t="s">
        <v>19363</v>
      </c>
      <c r="L10473" s="20">
        <v>0.18294360385144429</v>
      </c>
    </row>
    <row r="10474" spans="1:12" x14ac:dyDescent="0.45">
      <c r="A10474" s="12" t="s">
        <v>19232</v>
      </c>
      <c r="B10474" s="12" t="s">
        <v>1765</v>
      </c>
      <c r="C10474" s="13" t="s">
        <v>1766</v>
      </c>
      <c r="D10474" s="13" t="s">
        <v>15</v>
      </c>
      <c r="E10474" s="12" t="s">
        <v>16</v>
      </c>
      <c r="F10474" s="14">
        <v>150000</v>
      </c>
      <c r="G10474" s="14">
        <v>104100</v>
      </c>
      <c r="H10474" s="13" t="s">
        <v>19364</v>
      </c>
      <c r="I10474" s="40" t="s">
        <v>18</v>
      </c>
      <c r="J10474" s="40" t="str">
        <f>HYPERLINK("https://stock.pstatic.net/stock-research/company/29/20250728_company_55337000.pdf","PDF")</f>
        <v>PDF</v>
      </c>
      <c r="K10474" s="12" t="s">
        <v>19365</v>
      </c>
      <c r="L10474" s="20">
        <v>0.44092219020172913</v>
      </c>
    </row>
    <row r="10475" spans="1:12" x14ac:dyDescent="0.45">
      <c r="A10475" s="12" t="s">
        <v>19232</v>
      </c>
      <c r="B10475" s="12" t="s">
        <v>1765</v>
      </c>
      <c r="C10475" s="13" t="s">
        <v>1766</v>
      </c>
      <c r="D10475" s="13" t="s">
        <v>179</v>
      </c>
      <c r="E10475" s="12" t="s">
        <v>16</v>
      </c>
      <c r="F10475" s="14">
        <v>125000</v>
      </c>
      <c r="G10475" s="14">
        <v>104100</v>
      </c>
      <c r="H10475" s="13" t="s">
        <v>19366</v>
      </c>
      <c r="I10475" s="40" t="s">
        <v>18</v>
      </c>
      <c r="J10475" s="40" t="str">
        <f>HYPERLINK("https://stock.pstatic.net/stock-research/company/31/20250728_company_651747000.pdf","PDF")</f>
        <v>PDF</v>
      </c>
      <c r="K10475" s="12" t="s">
        <v>19367</v>
      </c>
      <c r="L10475" s="20">
        <v>0.20076849183477419</v>
      </c>
    </row>
    <row r="10476" spans="1:12" x14ac:dyDescent="0.45">
      <c r="A10476" s="12" t="s">
        <v>19232</v>
      </c>
      <c r="B10476" s="12" t="s">
        <v>2378</v>
      </c>
      <c r="C10476" s="13" t="s">
        <v>2379</v>
      </c>
      <c r="D10476" s="13" t="s">
        <v>34</v>
      </c>
      <c r="E10476" s="12" t="s">
        <v>35</v>
      </c>
      <c r="F10476" s="14">
        <v>450000</v>
      </c>
      <c r="G10476" s="14">
        <v>363500</v>
      </c>
      <c r="H10476" s="13" t="s">
        <v>19368</v>
      </c>
      <c r="I10476" s="40" t="s">
        <v>18</v>
      </c>
      <c r="J10476" s="40" t="str">
        <f>HYPERLINK("https://stock.pstatic.net/stock-research/company/61/20250728_company_807953000.pdf","PDF")</f>
        <v>PDF</v>
      </c>
      <c r="K10476" s="12" t="s">
        <v>19369</v>
      </c>
      <c r="L10476" s="20">
        <v>0.23796423658872079</v>
      </c>
    </row>
    <row r="10477" spans="1:12" x14ac:dyDescent="0.45">
      <c r="A10477" s="12" t="s">
        <v>19232</v>
      </c>
      <c r="B10477" s="12" t="s">
        <v>2378</v>
      </c>
      <c r="C10477" s="13" t="s">
        <v>2379</v>
      </c>
      <c r="D10477" s="13" t="s">
        <v>53</v>
      </c>
      <c r="E10477" s="12" t="s">
        <v>16</v>
      </c>
      <c r="F10477" s="14">
        <v>420000</v>
      </c>
      <c r="G10477" s="14">
        <v>363500</v>
      </c>
      <c r="H10477" s="13" t="s">
        <v>19370</v>
      </c>
      <c r="I10477" s="40" t="s">
        <v>18</v>
      </c>
      <c r="J10477" s="40" t="str">
        <f>HYPERLINK("https://stock.pstatic.net/stock-research/company/40/20250728_company_284936000.pdf","PDF")</f>
        <v>PDF</v>
      </c>
      <c r="K10477" s="12" t="s">
        <v>19371</v>
      </c>
      <c r="L10477" s="20">
        <v>0.15543328748280599</v>
      </c>
    </row>
    <row r="10478" spans="1:12" x14ac:dyDescent="0.45">
      <c r="A10478" s="12" t="s">
        <v>19232</v>
      </c>
      <c r="B10478" s="12" t="s">
        <v>3482</v>
      </c>
      <c r="C10478" s="13" t="s">
        <v>3483</v>
      </c>
      <c r="D10478" s="13" t="s">
        <v>15</v>
      </c>
      <c r="E10478" s="12" t="s">
        <v>16</v>
      </c>
      <c r="F10478" s="14">
        <v>133000</v>
      </c>
      <c r="G10478" s="14">
        <v>92500</v>
      </c>
      <c r="H10478" s="13" t="s">
        <v>19372</v>
      </c>
      <c r="I10478" s="40" t="s">
        <v>18</v>
      </c>
      <c r="J10478" s="40" t="str">
        <f>HYPERLINK("https://stock.pstatic.net/stock-research/company/29/20250728_company_73941000.pdf","PDF")</f>
        <v>PDF</v>
      </c>
      <c r="K10478" s="12" t="s">
        <v>19373</v>
      </c>
      <c r="L10478" s="20">
        <v>0.43783783783783792</v>
      </c>
    </row>
    <row r="10479" spans="1:12" x14ac:dyDescent="0.45">
      <c r="A10479" s="12" t="s">
        <v>19232</v>
      </c>
      <c r="B10479" s="12" t="s">
        <v>577</v>
      </c>
      <c r="C10479" s="13" t="s">
        <v>578</v>
      </c>
      <c r="D10479" s="13" t="s">
        <v>179</v>
      </c>
      <c r="E10479" s="12" t="s">
        <v>16</v>
      </c>
      <c r="F10479" s="14">
        <v>390000</v>
      </c>
      <c r="G10479" s="14">
        <v>297500</v>
      </c>
      <c r="H10479" s="13" t="s">
        <v>19374</v>
      </c>
      <c r="I10479" s="40" t="s">
        <v>18</v>
      </c>
      <c r="J10479" s="40" t="str">
        <f>HYPERLINK("https://stock.pstatic.net/stock-research/company/31/20250728_company_469283000.pdf","PDF")</f>
        <v>PDF</v>
      </c>
      <c r="K10479" s="12" t="s">
        <v>19375</v>
      </c>
      <c r="L10479" s="20">
        <v>0.31092436974789922</v>
      </c>
    </row>
    <row r="10480" spans="1:12" x14ac:dyDescent="0.45">
      <c r="A10480" s="12" t="s">
        <v>19232</v>
      </c>
      <c r="B10480" s="12" t="s">
        <v>577</v>
      </c>
      <c r="C10480" s="13" t="s">
        <v>578</v>
      </c>
      <c r="D10480" s="13" t="s">
        <v>92</v>
      </c>
      <c r="E10480" s="12" t="s">
        <v>35</v>
      </c>
      <c r="F10480" s="14">
        <v>390000</v>
      </c>
      <c r="G10480" s="14">
        <v>297500</v>
      </c>
      <c r="H10480" s="13" t="s">
        <v>19376</v>
      </c>
      <c r="I10480" s="40" t="s">
        <v>18</v>
      </c>
      <c r="J10480" s="40" t="str">
        <f>HYPERLINK("https://stock.pstatic.net/stock-research/company/63/20250728_company_970314000.pdf","PDF")</f>
        <v>PDF</v>
      </c>
      <c r="K10480" s="12" t="s">
        <v>19377</v>
      </c>
      <c r="L10480" s="20">
        <v>0.31092436974789922</v>
      </c>
    </row>
    <row r="10481" spans="1:12" x14ac:dyDescent="0.45">
      <c r="A10481" s="12" t="s">
        <v>19232</v>
      </c>
      <c r="B10481" s="12" t="s">
        <v>3230</v>
      </c>
      <c r="C10481" s="13" t="s">
        <v>3231</v>
      </c>
      <c r="D10481" s="13" t="s">
        <v>53</v>
      </c>
      <c r="E10481" s="12" t="s">
        <v>16</v>
      </c>
      <c r="F10481" s="14">
        <v>1500000</v>
      </c>
      <c r="G10481" s="14">
        <v>1125000</v>
      </c>
      <c r="H10481" s="13" t="s">
        <v>19378</v>
      </c>
      <c r="I10481" s="40" t="s">
        <v>18</v>
      </c>
      <c r="J10481" s="40" t="str">
        <f>HYPERLINK("https://stock.pstatic.net/stock-research/company/40/20250728_company_817967000.pdf","PDF")</f>
        <v>PDF</v>
      </c>
      <c r="K10481" s="12" t="s">
        <v>19379</v>
      </c>
      <c r="L10481" s="20">
        <v>0.33333333333333331</v>
      </c>
    </row>
    <row r="10482" spans="1:12" x14ac:dyDescent="0.45">
      <c r="A10482" s="12" t="s">
        <v>19232</v>
      </c>
      <c r="B10482" s="12" t="s">
        <v>63</v>
      </c>
      <c r="C10482" s="13" t="s">
        <v>64</v>
      </c>
      <c r="D10482" s="13" t="s">
        <v>92</v>
      </c>
      <c r="E10482" s="12" t="s">
        <v>35</v>
      </c>
      <c r="F10482" s="14">
        <v>380000</v>
      </c>
      <c r="G10482" s="14">
        <v>282000</v>
      </c>
      <c r="H10482" s="13" t="s">
        <v>19380</v>
      </c>
      <c r="I10482" s="40" t="s">
        <v>18</v>
      </c>
      <c r="J10482" s="40" t="str">
        <f>HYPERLINK("https://stock.pstatic.net/stock-research/company/63/20250728_company_15830000.pdf","PDF")</f>
        <v>PDF</v>
      </c>
      <c r="K10482" s="12" t="s">
        <v>19381</v>
      </c>
      <c r="L10482" s="20">
        <v>0.3475177304964539</v>
      </c>
    </row>
    <row r="10483" spans="1:12" x14ac:dyDescent="0.45">
      <c r="A10483" s="12" t="s">
        <v>19232</v>
      </c>
      <c r="B10483" s="12" t="s">
        <v>3688</v>
      </c>
      <c r="C10483" s="13" t="s">
        <v>3689</v>
      </c>
      <c r="D10483" s="13" t="s">
        <v>15</v>
      </c>
      <c r="E10483" s="12" t="s">
        <v>16</v>
      </c>
      <c r="F10483" s="14">
        <v>97000</v>
      </c>
      <c r="G10483" s="14">
        <v>71200</v>
      </c>
      <c r="H10483" s="13" t="s">
        <v>19382</v>
      </c>
      <c r="I10483" s="40" t="s">
        <v>18</v>
      </c>
      <c r="J10483" s="40" t="str">
        <f>HYPERLINK("https://stock.pstatic.net/stock-research/company/29/20250728_company_803912000.pdf","PDF")</f>
        <v>PDF</v>
      </c>
      <c r="K10483" s="12" t="s">
        <v>19383</v>
      </c>
      <c r="L10483" s="20">
        <v>0.36235955056179769</v>
      </c>
    </row>
    <row r="10484" spans="1:12" x14ac:dyDescent="0.45">
      <c r="A10484" s="12" t="s">
        <v>19232</v>
      </c>
      <c r="B10484" s="12" t="s">
        <v>3831</v>
      </c>
      <c r="C10484" s="13" t="s">
        <v>3832</v>
      </c>
      <c r="D10484" s="13" t="s">
        <v>92</v>
      </c>
      <c r="E10484" s="12" t="s">
        <v>35</v>
      </c>
      <c r="F10484" s="14">
        <v>51000</v>
      </c>
      <c r="G10484" s="14">
        <v>35750</v>
      </c>
      <c r="H10484" s="13" t="s">
        <v>19384</v>
      </c>
      <c r="I10484" s="40" t="s">
        <v>18</v>
      </c>
      <c r="J10484" s="40" t="str">
        <f>HYPERLINK("https://stock.pstatic.net/stock-research/company/63/20250728_company_832160000.pdf","PDF")</f>
        <v>PDF</v>
      </c>
      <c r="K10484" s="12" t="s">
        <v>19385</v>
      </c>
      <c r="L10484" s="20">
        <v>0.42657342657342662</v>
      </c>
    </row>
    <row r="10485" spans="1:12" x14ac:dyDescent="0.45">
      <c r="A10485" s="12" t="s">
        <v>19232</v>
      </c>
      <c r="B10485" s="12" t="s">
        <v>577</v>
      </c>
      <c r="C10485" s="13" t="s">
        <v>578</v>
      </c>
      <c r="D10485" s="13" t="s">
        <v>53</v>
      </c>
      <c r="E10485" s="12" t="s">
        <v>16</v>
      </c>
      <c r="F10485" s="14">
        <v>370000</v>
      </c>
      <c r="G10485" s="14">
        <v>297500</v>
      </c>
      <c r="H10485" s="13" t="s">
        <v>19386</v>
      </c>
      <c r="I10485" s="40" t="s">
        <v>18</v>
      </c>
      <c r="J10485" s="40" t="str">
        <f>HYPERLINK("https://stock.pstatic.net/stock-research/company/40/20250728_company_733615000.pdf","PDF")</f>
        <v>PDF</v>
      </c>
      <c r="K10485" s="12" t="s">
        <v>19387</v>
      </c>
      <c r="L10485" s="20">
        <v>0.24369747899159661</v>
      </c>
    </row>
    <row r="10486" spans="1:12" x14ac:dyDescent="0.45">
      <c r="A10486" s="12" t="s">
        <v>19232</v>
      </c>
      <c r="B10486" s="12" t="s">
        <v>5805</v>
      </c>
      <c r="C10486" s="13" t="s">
        <v>5806</v>
      </c>
      <c r="D10486" s="13" t="s">
        <v>179</v>
      </c>
      <c r="E10486" s="12" t="s">
        <v>16</v>
      </c>
      <c r="F10486" s="14">
        <v>13000</v>
      </c>
      <c r="G10486" s="14">
        <v>7280</v>
      </c>
      <c r="H10486" s="13" t="s">
        <v>19388</v>
      </c>
      <c r="I10486" s="40" t="s">
        <v>18</v>
      </c>
      <c r="J10486" s="40" t="str">
        <f>HYPERLINK("https://stock.pstatic.net/stock-research/company/31/20250728_company_816812000.pdf","PDF")</f>
        <v>PDF</v>
      </c>
      <c r="K10486" s="12" t="s">
        <v>19389</v>
      </c>
      <c r="L10486" s="20">
        <v>0.7857142857142857</v>
      </c>
    </row>
    <row r="10487" spans="1:12" x14ac:dyDescent="0.45">
      <c r="A10487" s="12" t="s">
        <v>19232</v>
      </c>
      <c r="B10487" s="12" t="s">
        <v>1765</v>
      </c>
      <c r="C10487" s="13" t="s">
        <v>1766</v>
      </c>
      <c r="D10487" s="13" t="s">
        <v>53</v>
      </c>
      <c r="E10487" s="12" t="s">
        <v>16</v>
      </c>
      <c r="F10487" s="14">
        <v>140000</v>
      </c>
      <c r="G10487" s="14">
        <v>104100</v>
      </c>
      <c r="H10487" s="13" t="s">
        <v>19390</v>
      </c>
      <c r="I10487" s="40" t="s">
        <v>18</v>
      </c>
      <c r="J10487" s="40" t="str">
        <f>HYPERLINK("https://stock.pstatic.net/stock-research/company/40/20250728_company_501529000.pdf","PDF")</f>
        <v>PDF</v>
      </c>
      <c r="K10487" s="12" t="s">
        <v>19391</v>
      </c>
      <c r="L10487" s="20">
        <v>0.34486071085494718</v>
      </c>
    </row>
    <row r="10488" spans="1:12" x14ac:dyDescent="0.45">
      <c r="A10488" s="12" t="s">
        <v>19232</v>
      </c>
      <c r="B10488" s="12" t="s">
        <v>1765</v>
      </c>
      <c r="C10488" s="13" t="s">
        <v>1766</v>
      </c>
      <c r="D10488" s="13" t="s">
        <v>92</v>
      </c>
      <c r="E10488" s="12" t="s">
        <v>35</v>
      </c>
      <c r="F10488" s="14">
        <v>120000</v>
      </c>
      <c r="G10488" s="14">
        <v>104100</v>
      </c>
      <c r="H10488" s="13" t="s">
        <v>19392</v>
      </c>
      <c r="I10488" s="40" t="s">
        <v>18</v>
      </c>
      <c r="J10488" s="40" t="str">
        <f>HYPERLINK("https://stock.pstatic.net/stock-research/company/1/20250728_company_236477000.pdf","PDF")</f>
        <v>PDF</v>
      </c>
      <c r="K10488" s="12" t="s">
        <v>19393</v>
      </c>
      <c r="L10488" s="20">
        <v>0.1527377521613833</v>
      </c>
    </row>
    <row r="10489" spans="1:12" x14ac:dyDescent="0.45">
      <c r="A10489" s="12" t="s">
        <v>19232</v>
      </c>
      <c r="B10489" s="12" t="s">
        <v>2960</v>
      </c>
      <c r="C10489" s="13" t="s">
        <v>2961</v>
      </c>
      <c r="D10489" s="13" t="s">
        <v>23</v>
      </c>
      <c r="E10489" s="12" t="s">
        <v>16</v>
      </c>
      <c r="F10489" s="14">
        <v>60000</v>
      </c>
      <c r="G10489" s="14">
        <v>51400</v>
      </c>
      <c r="H10489" s="13" t="s">
        <v>19394</v>
      </c>
      <c r="I10489" s="40" t="s">
        <v>18</v>
      </c>
      <c r="J10489" s="40" t="str">
        <f>HYPERLINK("https://stock.pstatic.net/stock-research/company/21/20250728_company_449324000.pdf","PDF")</f>
        <v>PDF</v>
      </c>
      <c r="K10489" s="12" t="s">
        <v>19395</v>
      </c>
      <c r="L10489" s="20">
        <v>0.16731517509727631</v>
      </c>
    </row>
    <row r="10490" spans="1:12" x14ac:dyDescent="0.45">
      <c r="A10490" s="12" t="s">
        <v>19232</v>
      </c>
      <c r="B10490" s="12" t="s">
        <v>5654</v>
      </c>
      <c r="C10490" s="13" t="s">
        <v>5655</v>
      </c>
      <c r="D10490" s="13" t="s">
        <v>53</v>
      </c>
      <c r="E10490" s="12" t="s">
        <v>16</v>
      </c>
      <c r="F10490" s="14">
        <v>18000</v>
      </c>
      <c r="G10490" s="13"/>
      <c r="H10490" s="13" t="s">
        <v>19396</v>
      </c>
      <c r="I10490" s="40" t="s">
        <v>18</v>
      </c>
      <c r="J10490" s="40" t="str">
        <f>HYPERLINK("https://stock.pstatic.net/stock-research/company/40/20250728_company_56156000.pdf","PDF")</f>
        <v>PDF</v>
      </c>
      <c r="K10490" s="12" t="s">
        <v>19397</v>
      </c>
    </row>
    <row r="10491" spans="1:12" x14ac:dyDescent="0.45">
      <c r="A10491" s="12" t="s">
        <v>19232</v>
      </c>
      <c r="B10491" s="12" t="s">
        <v>1781</v>
      </c>
      <c r="C10491" s="13" t="s">
        <v>1782</v>
      </c>
      <c r="D10491" s="13" t="s">
        <v>34</v>
      </c>
      <c r="E10491" s="12" t="s">
        <v>35</v>
      </c>
      <c r="F10491" s="14">
        <v>95000</v>
      </c>
      <c r="G10491" s="14">
        <v>77100</v>
      </c>
      <c r="H10491" s="13" t="s">
        <v>19398</v>
      </c>
      <c r="I10491" s="40" t="s">
        <v>18</v>
      </c>
      <c r="J10491" s="40" t="str">
        <f>HYPERLINK("https://stock.pstatic.net/stock-research/company/61/20250728_company_511688000.pdf","PDF")</f>
        <v>PDF</v>
      </c>
      <c r="K10491" s="12" t="s">
        <v>19399</v>
      </c>
      <c r="L10491" s="20">
        <v>0.23216601815823609</v>
      </c>
    </row>
    <row r="10492" spans="1:12" x14ac:dyDescent="0.45">
      <c r="A10492" s="12" t="s">
        <v>19232</v>
      </c>
      <c r="B10492" s="12" t="s">
        <v>63</v>
      </c>
      <c r="C10492" s="13" t="s">
        <v>64</v>
      </c>
      <c r="D10492" s="13" t="s">
        <v>179</v>
      </c>
      <c r="E10492" s="12" t="s">
        <v>16</v>
      </c>
      <c r="F10492" s="14">
        <v>370000</v>
      </c>
      <c r="G10492" s="14">
        <v>282000</v>
      </c>
      <c r="H10492" s="13" t="s">
        <v>19400</v>
      </c>
      <c r="I10492" s="40" t="s">
        <v>18</v>
      </c>
      <c r="J10492" s="40" t="str">
        <f>HYPERLINK("https://stock.pstatic.net/stock-research/company/31/20250728_company_418999000.pdf","PDF")</f>
        <v>PDF</v>
      </c>
      <c r="K10492" s="12" t="s">
        <v>19401</v>
      </c>
      <c r="L10492" s="20">
        <v>0.31205673758865249</v>
      </c>
    </row>
    <row r="10493" spans="1:12" x14ac:dyDescent="0.45">
      <c r="A10493" s="12" t="s">
        <v>19232</v>
      </c>
      <c r="B10493" s="12" t="s">
        <v>3349</v>
      </c>
      <c r="C10493" s="13" t="s">
        <v>7707</v>
      </c>
      <c r="D10493" s="13" t="s">
        <v>34</v>
      </c>
      <c r="E10493" s="12" t="s">
        <v>35</v>
      </c>
      <c r="F10493" s="14">
        <v>32000</v>
      </c>
      <c r="G10493" s="14">
        <v>23000</v>
      </c>
      <c r="H10493" s="13" t="s">
        <v>19402</v>
      </c>
      <c r="I10493" s="40" t="s">
        <v>18</v>
      </c>
      <c r="J10493" s="40" t="str">
        <f>HYPERLINK("https://stock.pstatic.net/stock-research/company/61/20250728_company_379059000.pdf","PDF")</f>
        <v>PDF</v>
      </c>
      <c r="K10493" s="12" t="s">
        <v>19403</v>
      </c>
      <c r="L10493" s="20">
        <v>0.39130434782608697</v>
      </c>
    </row>
    <row r="10494" spans="1:12" x14ac:dyDescent="0.45">
      <c r="A10494" s="12" t="s">
        <v>19232</v>
      </c>
      <c r="B10494" s="12" t="s">
        <v>792</v>
      </c>
      <c r="C10494" s="13" t="s">
        <v>793</v>
      </c>
      <c r="D10494" s="13" t="s">
        <v>92</v>
      </c>
      <c r="E10494" s="12" t="s">
        <v>35</v>
      </c>
      <c r="F10494" s="14">
        <v>25000</v>
      </c>
      <c r="G10494" s="14">
        <v>23850</v>
      </c>
      <c r="H10494" s="13" t="s">
        <v>19404</v>
      </c>
      <c r="I10494" s="40" t="s">
        <v>18</v>
      </c>
      <c r="J10494" s="40" t="str">
        <f>HYPERLINK("https://stock.pstatic.net/stock-research/company/63/20250728_company_788138000.pdf","PDF")</f>
        <v>PDF</v>
      </c>
      <c r="K10494" s="12" t="s">
        <v>19405</v>
      </c>
      <c r="L10494" s="20">
        <v>4.8218029350104823E-2</v>
      </c>
    </row>
    <row r="10495" spans="1:12" x14ac:dyDescent="0.45">
      <c r="A10495" s="12" t="s">
        <v>19232</v>
      </c>
      <c r="B10495" s="12" t="s">
        <v>3349</v>
      </c>
      <c r="C10495" s="13" t="s">
        <v>7707</v>
      </c>
      <c r="D10495" s="13" t="s">
        <v>53</v>
      </c>
      <c r="E10495" s="12" t="s">
        <v>16</v>
      </c>
      <c r="F10495" s="14">
        <v>34000</v>
      </c>
      <c r="G10495" s="14">
        <v>23000</v>
      </c>
      <c r="H10495" s="13" t="s">
        <v>19406</v>
      </c>
      <c r="I10495" s="40" t="s">
        <v>18</v>
      </c>
      <c r="J10495" s="40" t="str">
        <f>HYPERLINK("https://stock.pstatic.net/stock-research/company/40/20250728_company_583180000.pdf","PDF")</f>
        <v>PDF</v>
      </c>
      <c r="K10495" s="12" t="s">
        <v>19407</v>
      </c>
      <c r="L10495" s="20">
        <v>0.47826086956521741</v>
      </c>
    </row>
    <row r="10496" spans="1:12" x14ac:dyDescent="0.45">
      <c r="A10496" s="12" t="s">
        <v>19232</v>
      </c>
      <c r="B10496" s="12" t="s">
        <v>3230</v>
      </c>
      <c r="C10496" s="13" t="s">
        <v>3231</v>
      </c>
      <c r="D10496" s="13" t="s">
        <v>23</v>
      </c>
      <c r="E10496" s="12" t="s">
        <v>16</v>
      </c>
      <c r="F10496" s="14">
        <v>1320000</v>
      </c>
      <c r="G10496" s="14">
        <v>1125000</v>
      </c>
      <c r="H10496" s="13" t="s">
        <v>19408</v>
      </c>
      <c r="I10496" s="40" t="s">
        <v>18</v>
      </c>
      <c r="J10496" s="40" t="str">
        <f>HYPERLINK("https://stock.pstatic.net/stock-research/company/21/20250728_company_955963000.pdf","PDF")</f>
        <v>PDF</v>
      </c>
      <c r="K10496" s="12" t="s">
        <v>19409</v>
      </c>
      <c r="L10496" s="20">
        <v>0.17333333333333331</v>
      </c>
    </row>
    <row r="10497" spans="1:12" x14ac:dyDescent="0.45">
      <c r="A10497" s="12" t="s">
        <v>19232</v>
      </c>
      <c r="B10497" s="12" t="s">
        <v>3244</v>
      </c>
      <c r="C10497" s="13" t="s">
        <v>3245</v>
      </c>
      <c r="D10497" s="13" t="s">
        <v>23</v>
      </c>
      <c r="E10497" s="12" t="s">
        <v>16</v>
      </c>
      <c r="F10497" s="14">
        <v>62000</v>
      </c>
      <c r="G10497" s="14">
        <v>55600</v>
      </c>
      <c r="H10497" s="13" t="s">
        <v>19410</v>
      </c>
      <c r="I10497" s="40" t="s">
        <v>18</v>
      </c>
      <c r="J10497" s="40" t="str">
        <f>HYPERLINK("https://stock.pstatic.net/stock-research/company/21/20250728_company_13208000.pdf","PDF")</f>
        <v>PDF</v>
      </c>
      <c r="K10497" s="12" t="s">
        <v>19411</v>
      </c>
      <c r="L10497" s="20">
        <v>0.1151079136690648</v>
      </c>
    </row>
    <row r="10498" spans="1:12" x14ac:dyDescent="0.45">
      <c r="A10498" s="12" t="s">
        <v>19232</v>
      </c>
      <c r="B10498" s="12" t="s">
        <v>3482</v>
      </c>
      <c r="C10498" s="13" t="s">
        <v>3483</v>
      </c>
      <c r="D10498" s="13" t="s">
        <v>179</v>
      </c>
      <c r="E10498" s="12" t="s">
        <v>16</v>
      </c>
      <c r="F10498" s="14">
        <v>106000</v>
      </c>
      <c r="G10498" s="14">
        <v>92500</v>
      </c>
      <c r="H10498" s="13" t="s">
        <v>19412</v>
      </c>
      <c r="I10498" s="40" t="s">
        <v>18</v>
      </c>
      <c r="J10498" s="40" t="str">
        <f>HYPERLINK("https://stock.pstatic.net/stock-research/company/31/20250728_company_929028000.pdf","PDF")</f>
        <v>PDF</v>
      </c>
      <c r="K10498" s="12" t="s">
        <v>19413</v>
      </c>
      <c r="L10498" s="20">
        <v>0.14594594594594601</v>
      </c>
    </row>
    <row r="10499" spans="1:12" x14ac:dyDescent="0.45">
      <c r="A10499" s="12" t="s">
        <v>19232</v>
      </c>
      <c r="B10499" s="12" t="s">
        <v>3688</v>
      </c>
      <c r="C10499" s="13" t="s">
        <v>3689</v>
      </c>
      <c r="D10499" s="13" t="s">
        <v>179</v>
      </c>
      <c r="E10499" s="12" t="s">
        <v>16</v>
      </c>
      <c r="F10499" s="14">
        <v>83000</v>
      </c>
      <c r="G10499" s="14">
        <v>71200</v>
      </c>
      <c r="H10499" s="13" t="s">
        <v>19414</v>
      </c>
      <c r="I10499" s="40" t="s">
        <v>18</v>
      </c>
      <c r="J10499" s="40" t="str">
        <f>HYPERLINK("https://stock.pstatic.net/stock-research/company/31/20250728_company_445720000.pdf","PDF")</f>
        <v>PDF</v>
      </c>
      <c r="K10499" s="12" t="s">
        <v>19415</v>
      </c>
      <c r="L10499" s="20">
        <v>0.1657303370786517</v>
      </c>
    </row>
    <row r="10500" spans="1:12" x14ac:dyDescent="0.45">
      <c r="A10500" s="12" t="s">
        <v>19232</v>
      </c>
      <c r="B10500" s="12" t="s">
        <v>1781</v>
      </c>
      <c r="C10500" s="13" t="s">
        <v>1782</v>
      </c>
      <c r="D10500" s="13" t="s">
        <v>53</v>
      </c>
      <c r="E10500" s="12" t="s">
        <v>16</v>
      </c>
      <c r="F10500" s="14">
        <v>100000</v>
      </c>
      <c r="G10500" s="14">
        <v>77100</v>
      </c>
      <c r="H10500" s="13" t="s">
        <v>19416</v>
      </c>
      <c r="I10500" s="40" t="s">
        <v>18</v>
      </c>
      <c r="J10500" s="40" t="str">
        <f>HYPERLINK("https://stock.pstatic.net/stock-research/company/40/20250728_company_309265000.pdf","PDF")</f>
        <v>PDF</v>
      </c>
      <c r="K10500" s="12" t="s">
        <v>19417</v>
      </c>
      <c r="L10500" s="20">
        <v>0.29701686121919579</v>
      </c>
    </row>
    <row r="10501" spans="1:12" x14ac:dyDescent="0.45">
      <c r="A10501" s="12" t="s">
        <v>19232</v>
      </c>
      <c r="B10501" s="12" t="s">
        <v>2378</v>
      </c>
      <c r="C10501" s="13" t="s">
        <v>2379</v>
      </c>
      <c r="D10501" s="13" t="s">
        <v>23</v>
      </c>
      <c r="E10501" s="12" t="s">
        <v>16</v>
      </c>
      <c r="F10501" s="14">
        <v>430000</v>
      </c>
      <c r="G10501" s="14">
        <v>363500</v>
      </c>
      <c r="H10501" s="13" t="s">
        <v>19418</v>
      </c>
      <c r="I10501" s="40" t="s">
        <v>18</v>
      </c>
      <c r="J10501" s="40" t="str">
        <f>HYPERLINK("https://stock.pstatic.net/stock-research/company/21/20250728_company_233321000.pdf","PDF")</f>
        <v>PDF</v>
      </c>
      <c r="K10501" s="12" t="s">
        <v>19419</v>
      </c>
      <c r="L10501" s="20">
        <v>0.18294360385144429</v>
      </c>
    </row>
    <row r="10502" spans="1:12" x14ac:dyDescent="0.45">
      <c r="A10502" s="12" t="s">
        <v>19232</v>
      </c>
      <c r="B10502" s="12" t="s">
        <v>3349</v>
      </c>
      <c r="C10502" s="13" t="s">
        <v>7707</v>
      </c>
      <c r="D10502" s="13" t="s">
        <v>23</v>
      </c>
      <c r="E10502" s="12" t="s">
        <v>16</v>
      </c>
      <c r="F10502" s="14">
        <v>31000</v>
      </c>
      <c r="G10502" s="14">
        <v>23000</v>
      </c>
      <c r="H10502" s="13" t="s">
        <v>19420</v>
      </c>
      <c r="I10502" s="40" t="s">
        <v>18</v>
      </c>
      <c r="J10502" s="40" t="str">
        <f>HYPERLINK("https://stock.pstatic.net/stock-research/company/21/20250728_company_443000.pdf","PDF")</f>
        <v>PDF</v>
      </c>
      <c r="K10502" s="12" t="s">
        <v>19421</v>
      </c>
      <c r="L10502" s="20">
        <v>0.34782608695652167</v>
      </c>
    </row>
    <row r="10503" spans="1:12" x14ac:dyDescent="0.45">
      <c r="A10503" s="12" t="s">
        <v>19232</v>
      </c>
      <c r="B10503" s="12" t="s">
        <v>3395</v>
      </c>
      <c r="C10503" s="13" t="s">
        <v>3396</v>
      </c>
      <c r="D10503" s="13" t="s">
        <v>92</v>
      </c>
      <c r="E10503" s="12" t="s">
        <v>35</v>
      </c>
      <c r="F10503" s="14">
        <v>21000</v>
      </c>
      <c r="G10503" s="14">
        <v>14650</v>
      </c>
      <c r="H10503" s="13" t="s">
        <v>19422</v>
      </c>
      <c r="I10503" s="40" t="s">
        <v>18</v>
      </c>
      <c r="J10503" s="40" t="str">
        <f>HYPERLINK("https://stock.pstatic.net/stock-research/company/63/20250728_company_732958000.pdf","PDF")</f>
        <v>PDF</v>
      </c>
      <c r="K10503" s="12" t="s">
        <v>19423</v>
      </c>
      <c r="L10503" s="20">
        <v>0.43344709897610922</v>
      </c>
    </row>
    <row r="10504" spans="1:12" x14ac:dyDescent="0.45">
      <c r="A10504" s="12" t="s">
        <v>19232</v>
      </c>
      <c r="B10504" s="12" t="s">
        <v>2883</v>
      </c>
      <c r="C10504" s="13" t="s">
        <v>2884</v>
      </c>
      <c r="D10504" s="13" t="s">
        <v>92</v>
      </c>
      <c r="E10504" s="12" t="s">
        <v>35</v>
      </c>
      <c r="F10504" s="14">
        <v>79000</v>
      </c>
      <c r="G10504" s="14">
        <v>68000</v>
      </c>
      <c r="H10504" s="13" t="s">
        <v>19424</v>
      </c>
      <c r="I10504" s="40" t="s">
        <v>18</v>
      </c>
      <c r="J10504" s="40" t="str">
        <f>HYPERLINK("https://stock.pstatic.net/stock-research/company/63/20250728_company_620937000.pdf","PDF")</f>
        <v>PDF</v>
      </c>
      <c r="K10504" s="12" t="s">
        <v>19425</v>
      </c>
      <c r="L10504" s="20">
        <v>0.16176470588235289</v>
      </c>
    </row>
    <row r="10505" spans="1:12" x14ac:dyDescent="0.45">
      <c r="A10505" s="12" t="s">
        <v>19232</v>
      </c>
      <c r="B10505" s="12" t="s">
        <v>3488</v>
      </c>
      <c r="C10505" s="13" t="s">
        <v>3489</v>
      </c>
      <c r="D10505" s="13" t="s">
        <v>179</v>
      </c>
      <c r="E10505" s="12" t="s">
        <v>16</v>
      </c>
      <c r="F10505" s="14">
        <v>29400</v>
      </c>
      <c r="G10505" s="14">
        <v>25550</v>
      </c>
      <c r="H10505" s="13" t="s">
        <v>19426</v>
      </c>
      <c r="I10505" s="40" t="s">
        <v>18</v>
      </c>
      <c r="J10505" s="40" t="str">
        <f>HYPERLINK("https://stock.pstatic.net/stock-research/company/31/20250728_company_84893000.pdf","PDF")</f>
        <v>PDF</v>
      </c>
      <c r="K10505" s="12" t="s">
        <v>19427</v>
      </c>
      <c r="L10505" s="20">
        <v>0.15068493150684931</v>
      </c>
    </row>
    <row r="10506" spans="1:12" x14ac:dyDescent="0.45">
      <c r="A10506" s="12" t="s">
        <v>19232</v>
      </c>
      <c r="B10506" s="12" t="s">
        <v>2089</v>
      </c>
      <c r="C10506" s="13" t="s">
        <v>2090</v>
      </c>
      <c r="D10506" s="13" t="s">
        <v>23</v>
      </c>
      <c r="E10506" s="12" t="s">
        <v>16</v>
      </c>
      <c r="F10506" s="14">
        <v>80000</v>
      </c>
      <c r="G10506" s="14">
        <v>62300</v>
      </c>
      <c r="H10506" s="13" t="s">
        <v>19428</v>
      </c>
      <c r="I10506" s="40" t="s">
        <v>18</v>
      </c>
      <c r="J10506" s="40" t="str">
        <f>HYPERLINK("https://stock.pstatic.net/stock-research/company/21/20250728_company_145668000.pdf","PDF")</f>
        <v>PDF</v>
      </c>
      <c r="K10506" s="12" t="s">
        <v>19429</v>
      </c>
      <c r="L10506" s="20">
        <v>0.2841091492776886</v>
      </c>
    </row>
    <row r="10507" spans="1:12" x14ac:dyDescent="0.45">
      <c r="A10507" s="12" t="s">
        <v>19232</v>
      </c>
      <c r="B10507" s="12" t="s">
        <v>1781</v>
      </c>
      <c r="C10507" s="13" t="s">
        <v>1782</v>
      </c>
      <c r="D10507" s="13" t="s">
        <v>44</v>
      </c>
      <c r="E10507" s="12" t="s">
        <v>50</v>
      </c>
      <c r="F10507" s="13"/>
      <c r="G10507" s="13"/>
      <c r="H10507" s="13" t="s">
        <v>19430</v>
      </c>
      <c r="I10507" s="40" t="s">
        <v>18</v>
      </c>
      <c r="J10507" s="40" t="str">
        <f>HYPERLINK("https://stock.pstatic.net/stock-research/company/39/20250728_company_776794000.pdf","PDF")</f>
        <v>PDF</v>
      </c>
      <c r="K10507" s="12" t="s">
        <v>19431</v>
      </c>
    </row>
    <row r="10508" spans="1:12" x14ac:dyDescent="0.45">
      <c r="A10508" s="12" t="s">
        <v>19232</v>
      </c>
      <c r="B10508" s="12" t="s">
        <v>2662</v>
      </c>
      <c r="C10508" s="13" t="s">
        <v>2663</v>
      </c>
      <c r="D10508" s="13" t="s">
        <v>23</v>
      </c>
      <c r="E10508" s="12" t="s">
        <v>385</v>
      </c>
      <c r="F10508" s="13"/>
      <c r="G10508" s="14">
        <v>65100</v>
      </c>
      <c r="H10508" s="13" t="s">
        <v>19432</v>
      </c>
      <c r="I10508" s="40" t="s">
        <v>18</v>
      </c>
      <c r="J10508" s="40" t="str">
        <f>HYPERLINK("https://stock.pstatic.net/stock-research/company/21/20250728_company_877596000.pdf","PDF")</f>
        <v>PDF</v>
      </c>
      <c r="K10508" s="12" t="s">
        <v>19433</v>
      </c>
    </row>
    <row r="10509" spans="1:12" x14ac:dyDescent="0.45">
      <c r="A10509" s="12" t="s">
        <v>19232</v>
      </c>
      <c r="B10509" s="12" t="s">
        <v>3536</v>
      </c>
      <c r="C10509" s="13" t="s">
        <v>3537</v>
      </c>
      <c r="D10509" s="13" t="s">
        <v>23</v>
      </c>
      <c r="E10509" s="12" t="s">
        <v>16</v>
      </c>
      <c r="F10509" s="14">
        <v>400000</v>
      </c>
      <c r="G10509" s="14">
        <v>253000</v>
      </c>
      <c r="H10509" s="13" t="s">
        <v>3276</v>
      </c>
      <c r="I10509" s="40" t="s">
        <v>18</v>
      </c>
      <c r="J10509" s="40" t="str">
        <f>HYPERLINK("https://stock.pstatic.net/stock-research/company/21/20250728_company_331758000.pdf","PDF")</f>
        <v>PDF</v>
      </c>
      <c r="K10509" s="12" t="s">
        <v>19434</v>
      </c>
      <c r="L10509" s="20">
        <v>0.5810276679841897</v>
      </c>
    </row>
    <row r="10510" spans="1:12" x14ac:dyDescent="0.45">
      <c r="A10510" s="12" t="s">
        <v>19232</v>
      </c>
      <c r="B10510" s="12" t="s">
        <v>1781</v>
      </c>
      <c r="C10510" s="13" t="s">
        <v>1782</v>
      </c>
      <c r="D10510" s="13" t="s">
        <v>23</v>
      </c>
      <c r="E10510" s="12" t="s">
        <v>16</v>
      </c>
      <c r="F10510" s="14">
        <v>100000</v>
      </c>
      <c r="G10510" s="14">
        <v>77100</v>
      </c>
      <c r="H10510" s="13" t="s">
        <v>19435</v>
      </c>
      <c r="I10510" s="40" t="s">
        <v>18</v>
      </c>
      <c r="J10510" s="40" t="str">
        <f>HYPERLINK("https://stock.pstatic.net/stock-research/company/21/20250728_company_183902000.pdf","PDF")</f>
        <v>PDF</v>
      </c>
      <c r="K10510" s="12" t="s">
        <v>19436</v>
      </c>
      <c r="L10510" s="20">
        <v>0.29701686121919579</v>
      </c>
    </row>
    <row r="10511" spans="1:12" x14ac:dyDescent="0.45">
      <c r="A10511" s="12" t="s">
        <v>19232</v>
      </c>
      <c r="B10511" s="12" t="s">
        <v>577</v>
      </c>
      <c r="C10511" s="13" t="s">
        <v>578</v>
      </c>
      <c r="D10511" s="13" t="s">
        <v>23</v>
      </c>
      <c r="E10511" s="12" t="s">
        <v>16</v>
      </c>
      <c r="F10511" s="14">
        <v>390000</v>
      </c>
      <c r="G10511" s="14">
        <v>297500</v>
      </c>
      <c r="H10511" s="13" t="s">
        <v>19437</v>
      </c>
      <c r="I10511" s="40" t="s">
        <v>18</v>
      </c>
      <c r="J10511" s="40" t="str">
        <f>HYPERLINK("https://stock.pstatic.net/stock-research/company/1/20250728_company_72741000.pdf","PDF")</f>
        <v>PDF</v>
      </c>
      <c r="K10511" s="12" t="s">
        <v>19438</v>
      </c>
      <c r="L10511" s="20">
        <v>0.31092436974789922</v>
      </c>
    </row>
    <row r="10512" spans="1:12" x14ac:dyDescent="0.45">
      <c r="A10512" s="12" t="s">
        <v>19232</v>
      </c>
      <c r="B10512" s="12" t="s">
        <v>11396</v>
      </c>
      <c r="C10512" s="13" t="s">
        <v>11397</v>
      </c>
      <c r="D10512" s="13" t="s">
        <v>34</v>
      </c>
      <c r="E10512" s="12" t="s">
        <v>50</v>
      </c>
      <c r="F10512" s="13"/>
      <c r="G10512" s="14">
        <v>6620</v>
      </c>
      <c r="H10512" s="13" t="s">
        <v>19439</v>
      </c>
      <c r="I10512" s="40" t="s">
        <v>18</v>
      </c>
      <c r="J10512" s="40" t="str">
        <f>HYPERLINK("https://stock.pstatic.net/stock-research/company/61/20250728_company_122364000.pdf","PDF")</f>
        <v>PDF</v>
      </c>
      <c r="K10512" s="12" t="s">
        <v>19440</v>
      </c>
    </row>
    <row r="10513" spans="1:12" x14ac:dyDescent="0.45">
      <c r="A10513" s="12" t="s">
        <v>19232</v>
      </c>
      <c r="B10513" s="12" t="s">
        <v>1765</v>
      </c>
      <c r="C10513" s="13" t="s">
        <v>1766</v>
      </c>
      <c r="D10513" s="13" t="s">
        <v>23</v>
      </c>
      <c r="E10513" s="12" t="s">
        <v>16</v>
      </c>
      <c r="F10513" s="14">
        <v>130000</v>
      </c>
      <c r="G10513" s="14">
        <v>104100</v>
      </c>
      <c r="H10513" s="13" t="s">
        <v>19441</v>
      </c>
      <c r="I10513" s="40" t="s">
        <v>18</v>
      </c>
      <c r="J10513" s="40" t="str">
        <f>HYPERLINK("https://stock.pstatic.net/stock-research/company/21/20250728_company_435475000.pdf","PDF")</f>
        <v>PDF</v>
      </c>
      <c r="K10513" s="12" t="s">
        <v>19442</v>
      </c>
      <c r="L10513" s="20">
        <v>0.24879923150816519</v>
      </c>
    </row>
    <row r="10514" spans="1:12" x14ac:dyDescent="0.45">
      <c r="A10514" s="12" t="s">
        <v>19232</v>
      </c>
      <c r="B10514" s="12" t="s">
        <v>2950</v>
      </c>
      <c r="C10514" s="13" t="s">
        <v>2951</v>
      </c>
      <c r="D10514" s="13" t="s">
        <v>23</v>
      </c>
      <c r="E10514" s="12" t="s">
        <v>16</v>
      </c>
      <c r="F10514" s="14">
        <v>100000</v>
      </c>
      <c r="G10514" s="14">
        <v>65900</v>
      </c>
      <c r="H10514" s="13" t="s">
        <v>19443</v>
      </c>
      <c r="I10514" s="40" t="s">
        <v>18</v>
      </c>
      <c r="J10514" s="40" t="str">
        <f>HYPERLINK("https://stock.pstatic.net/stock-research/company/21/20250728_company_400571000.pdf","PDF")</f>
        <v>PDF</v>
      </c>
      <c r="K10514" s="12" t="s">
        <v>19444</v>
      </c>
      <c r="L10514" s="20">
        <v>0.51745068285280726</v>
      </c>
    </row>
    <row r="10515" spans="1:12" x14ac:dyDescent="0.45">
      <c r="A10515" s="12" t="s">
        <v>19232</v>
      </c>
      <c r="B10515" s="12" t="s">
        <v>585</v>
      </c>
      <c r="C10515" s="13" t="s">
        <v>586</v>
      </c>
      <c r="D10515" s="13" t="s">
        <v>34</v>
      </c>
      <c r="E10515" s="12" t="s">
        <v>50</v>
      </c>
      <c r="F10515" s="13"/>
      <c r="G10515" s="14">
        <v>40500</v>
      </c>
      <c r="H10515" s="13" t="s">
        <v>19445</v>
      </c>
      <c r="I10515" s="40" t="s">
        <v>18</v>
      </c>
      <c r="J10515" s="40" t="str">
        <f>HYPERLINK("https://stock.pstatic.net/stock-research/company/61/20250729_company_407758000.pdf","PDF")</f>
        <v>PDF</v>
      </c>
      <c r="K10515" s="12" t="s">
        <v>19446</v>
      </c>
    </row>
    <row r="10516" spans="1:12" x14ac:dyDescent="0.45">
      <c r="A10516" s="12" t="s">
        <v>19232</v>
      </c>
      <c r="B10516" s="12" t="s">
        <v>1190</v>
      </c>
      <c r="C10516" s="13" t="s">
        <v>1191</v>
      </c>
      <c r="D10516" s="13" t="s">
        <v>34</v>
      </c>
      <c r="E10516" s="12" t="s">
        <v>35</v>
      </c>
      <c r="F10516" s="14">
        <v>120000</v>
      </c>
      <c r="G10516" s="14">
        <v>95500</v>
      </c>
      <c r="H10516" s="13" t="s">
        <v>19447</v>
      </c>
      <c r="I10516" s="40" t="s">
        <v>18</v>
      </c>
      <c r="J10516" s="40" t="str">
        <f>HYPERLINK("https://stock.pstatic.net/stock-research/company/61/20250728_company_105576000.pdf","PDF")</f>
        <v>PDF</v>
      </c>
      <c r="K10516" s="12" t="s">
        <v>19448</v>
      </c>
      <c r="L10516" s="20">
        <v>0.25654450261780098</v>
      </c>
    </row>
    <row r="10517" spans="1:12" x14ac:dyDescent="0.45">
      <c r="A10517" s="12" t="s">
        <v>19232</v>
      </c>
      <c r="B10517" s="12" t="s">
        <v>2414</v>
      </c>
      <c r="C10517" s="13" t="s">
        <v>2415</v>
      </c>
      <c r="D10517" s="13" t="s">
        <v>34</v>
      </c>
      <c r="E10517" s="12" t="s">
        <v>35</v>
      </c>
      <c r="F10517" s="14">
        <v>700000</v>
      </c>
      <c r="G10517" s="14">
        <v>570000</v>
      </c>
      <c r="H10517" s="13" t="s">
        <v>19449</v>
      </c>
      <c r="I10517" s="40" t="s">
        <v>18</v>
      </c>
      <c r="J10517" s="40" t="str">
        <f>HYPERLINK("https://stock.pstatic.net/stock-research/company/61/20250728_company_433535000.pdf","PDF")</f>
        <v>PDF</v>
      </c>
      <c r="K10517" s="12" t="s">
        <v>19450</v>
      </c>
      <c r="L10517" s="20">
        <v>0.22807017543859651</v>
      </c>
    </row>
    <row r="10518" spans="1:12" x14ac:dyDescent="0.45">
      <c r="A10518" s="12" t="s">
        <v>19232</v>
      </c>
      <c r="B10518" s="12" t="s">
        <v>2089</v>
      </c>
      <c r="C10518" s="13" t="s">
        <v>2090</v>
      </c>
      <c r="D10518" s="13" t="s">
        <v>34</v>
      </c>
      <c r="E10518" s="12" t="s">
        <v>35</v>
      </c>
      <c r="F10518" s="14">
        <v>82000</v>
      </c>
      <c r="G10518" s="14">
        <v>62300</v>
      </c>
      <c r="H10518" s="13" t="s">
        <v>19451</v>
      </c>
      <c r="I10518" s="40" t="s">
        <v>18</v>
      </c>
      <c r="J10518" s="40" t="str">
        <f>HYPERLINK("https://stock.pstatic.net/stock-research/company/61/20250728_company_604495000.pdf","PDF")</f>
        <v>PDF</v>
      </c>
      <c r="K10518" s="12" t="s">
        <v>19452</v>
      </c>
      <c r="L10518" s="20">
        <v>0.3162118780096308</v>
      </c>
    </row>
    <row r="10519" spans="1:12" x14ac:dyDescent="0.45">
      <c r="A10519" s="12" t="s">
        <v>19232</v>
      </c>
      <c r="B10519" s="12" t="s">
        <v>792</v>
      </c>
      <c r="C10519" s="13" t="s">
        <v>793</v>
      </c>
      <c r="D10519" s="13" t="s">
        <v>23</v>
      </c>
      <c r="E10519" s="12" t="s">
        <v>16</v>
      </c>
      <c r="F10519" s="14">
        <v>27500</v>
      </c>
      <c r="G10519" s="14">
        <v>23850</v>
      </c>
      <c r="H10519" s="13" t="s">
        <v>19453</v>
      </c>
      <c r="I10519" s="40" t="s">
        <v>18</v>
      </c>
      <c r="J10519" s="40" t="str">
        <f>HYPERLINK("https://stock.pstatic.net/stock-research/company/21/20250728_company_995601000.pdf","PDF")</f>
        <v>PDF</v>
      </c>
      <c r="K10519" s="12" t="s">
        <v>19454</v>
      </c>
      <c r="L10519" s="20">
        <v>0.15303983228511531</v>
      </c>
    </row>
    <row r="10520" spans="1:12" x14ac:dyDescent="0.45">
      <c r="A10520" s="12" t="s">
        <v>19232</v>
      </c>
      <c r="B10520" s="12" t="s">
        <v>2089</v>
      </c>
      <c r="C10520" s="13" t="s">
        <v>2090</v>
      </c>
      <c r="D10520" s="13" t="s">
        <v>44</v>
      </c>
      <c r="E10520" s="12" t="s">
        <v>35</v>
      </c>
      <c r="F10520" s="14">
        <v>77000</v>
      </c>
      <c r="G10520" s="14">
        <v>62300</v>
      </c>
      <c r="H10520" s="13" t="s">
        <v>19455</v>
      </c>
      <c r="I10520" s="40" t="s">
        <v>18</v>
      </c>
      <c r="J10520" s="40" t="str">
        <f>HYPERLINK("https://stock.pstatic.net/stock-research/company/39/20250728_company_290476000.pdf","PDF")</f>
        <v>PDF</v>
      </c>
      <c r="K10520" s="12" t="s">
        <v>19456</v>
      </c>
      <c r="L10520" s="20">
        <v>0.2359550561797753</v>
      </c>
    </row>
    <row r="10521" spans="1:12" x14ac:dyDescent="0.45">
      <c r="A10521" s="12" t="s">
        <v>19232</v>
      </c>
      <c r="B10521" s="12" t="s">
        <v>3482</v>
      </c>
      <c r="C10521" s="13" t="s">
        <v>3483</v>
      </c>
      <c r="D10521" s="13" t="s">
        <v>23</v>
      </c>
      <c r="E10521" s="12" t="s">
        <v>16</v>
      </c>
      <c r="F10521" s="14">
        <v>105000</v>
      </c>
      <c r="G10521" s="14">
        <v>92500</v>
      </c>
      <c r="H10521" s="13" t="s">
        <v>19457</v>
      </c>
      <c r="I10521" s="40" t="s">
        <v>18</v>
      </c>
      <c r="J10521" s="40" t="str">
        <f>HYPERLINK("https://stock.pstatic.net/stock-research/company/21/20250728_company_609168000.pdf","PDF")</f>
        <v>PDF</v>
      </c>
      <c r="K10521" s="12" t="s">
        <v>19458</v>
      </c>
      <c r="L10521" s="20">
        <v>0.13513513513513509</v>
      </c>
    </row>
    <row r="10522" spans="1:12" x14ac:dyDescent="0.45">
      <c r="A10522" s="12" t="s">
        <v>19232</v>
      </c>
      <c r="B10522" s="12" t="s">
        <v>3488</v>
      </c>
      <c r="C10522" s="13" t="s">
        <v>3489</v>
      </c>
      <c r="D10522" s="13" t="s">
        <v>23</v>
      </c>
      <c r="E10522" s="12" t="s">
        <v>16</v>
      </c>
      <c r="F10522" s="14">
        <v>28500</v>
      </c>
      <c r="G10522" s="14">
        <v>25550</v>
      </c>
      <c r="H10522" s="13" t="s">
        <v>19459</v>
      </c>
      <c r="I10522" s="40" t="s">
        <v>18</v>
      </c>
      <c r="J10522" s="40" t="str">
        <f>HYPERLINK("https://stock.pstatic.net/stock-research/company/21/20250728_company_112183000.pdf","PDF")</f>
        <v>PDF</v>
      </c>
      <c r="K10522" s="12" t="s">
        <v>19460</v>
      </c>
      <c r="L10522" s="20">
        <v>0.11545988258317021</v>
      </c>
    </row>
    <row r="10523" spans="1:12" x14ac:dyDescent="0.45">
      <c r="A10523" s="12" t="s">
        <v>19232</v>
      </c>
      <c r="B10523" s="12" t="s">
        <v>3349</v>
      </c>
      <c r="C10523" s="13" t="s">
        <v>7707</v>
      </c>
      <c r="D10523" s="13" t="s">
        <v>44</v>
      </c>
      <c r="E10523" s="12" t="s">
        <v>35</v>
      </c>
      <c r="F10523" s="14">
        <v>34000</v>
      </c>
      <c r="G10523" s="14">
        <v>23000</v>
      </c>
      <c r="H10523" s="13" t="s">
        <v>19461</v>
      </c>
      <c r="I10523" s="40" t="s">
        <v>18</v>
      </c>
      <c r="J10523" s="40" t="str">
        <f>HYPERLINK("https://stock.pstatic.net/stock-research/company/39/20250728_company_915756000.pdf","PDF")</f>
        <v>PDF</v>
      </c>
      <c r="K10523" s="12" t="s">
        <v>19462</v>
      </c>
      <c r="L10523" s="20">
        <v>0.47826086956521741</v>
      </c>
    </row>
    <row r="10524" spans="1:12" x14ac:dyDescent="0.45">
      <c r="A10524" s="12" t="s">
        <v>19232</v>
      </c>
      <c r="B10524" s="12" t="s">
        <v>3536</v>
      </c>
      <c r="C10524" s="13" t="s">
        <v>3537</v>
      </c>
      <c r="D10524" s="13" t="s">
        <v>44</v>
      </c>
      <c r="E10524" s="12" t="s">
        <v>35</v>
      </c>
      <c r="F10524" s="14">
        <v>350000</v>
      </c>
      <c r="G10524" s="14">
        <v>253000</v>
      </c>
      <c r="H10524" s="13" t="s">
        <v>19463</v>
      </c>
      <c r="I10524" s="40" t="s">
        <v>18</v>
      </c>
      <c r="J10524" s="40" t="str">
        <f>HYPERLINK("https://stock.pstatic.net/stock-research/company/39/20250728_company_423637000.pdf","PDF")</f>
        <v>PDF</v>
      </c>
      <c r="K10524" s="12" t="s">
        <v>19464</v>
      </c>
      <c r="L10524" s="20">
        <v>0.38339920948616601</v>
      </c>
    </row>
    <row r="10525" spans="1:12" x14ac:dyDescent="0.45">
      <c r="A10525" s="12" t="s">
        <v>19232</v>
      </c>
      <c r="B10525" s="12" t="s">
        <v>2414</v>
      </c>
      <c r="C10525" s="13" t="s">
        <v>2415</v>
      </c>
      <c r="D10525" s="13" t="s">
        <v>44</v>
      </c>
      <c r="E10525" s="12" t="s">
        <v>35</v>
      </c>
      <c r="F10525" s="14">
        <v>850000</v>
      </c>
      <c r="G10525" s="14">
        <v>570000</v>
      </c>
      <c r="H10525" s="13" t="s">
        <v>19465</v>
      </c>
      <c r="I10525" s="40" t="s">
        <v>18</v>
      </c>
      <c r="J10525" s="40" t="str">
        <f>HYPERLINK("https://stock.pstatic.net/stock-research/company/39/20250728_company_297358000.pdf","PDF")</f>
        <v>PDF</v>
      </c>
      <c r="K10525" s="12" t="s">
        <v>19466</v>
      </c>
      <c r="L10525" s="20">
        <v>0.49122807017543862</v>
      </c>
    </row>
    <row r="10526" spans="1:12" x14ac:dyDescent="0.45">
      <c r="A10526" s="12" t="s">
        <v>19232</v>
      </c>
      <c r="B10526" s="12" t="s">
        <v>63</v>
      </c>
      <c r="C10526" s="13" t="s">
        <v>64</v>
      </c>
      <c r="D10526" s="13" t="s">
        <v>53</v>
      </c>
      <c r="E10526" s="12" t="s">
        <v>16</v>
      </c>
      <c r="F10526" s="14">
        <v>340000</v>
      </c>
      <c r="G10526" s="14">
        <v>282000</v>
      </c>
      <c r="H10526" s="13" t="s">
        <v>19467</v>
      </c>
      <c r="I10526" s="40" t="s">
        <v>18</v>
      </c>
      <c r="J10526" s="40" t="str">
        <f>HYPERLINK("https://stock.pstatic.net/stock-research/company/40/20250728_company_931313000.pdf","PDF")</f>
        <v>PDF</v>
      </c>
      <c r="K10526" s="12" t="s">
        <v>19468</v>
      </c>
      <c r="L10526" s="20">
        <v>0.20567375886524819</v>
      </c>
    </row>
    <row r="10527" spans="1:12" x14ac:dyDescent="0.45">
      <c r="A10527" s="12" t="s">
        <v>19232</v>
      </c>
      <c r="B10527" s="12" t="s">
        <v>3831</v>
      </c>
      <c r="C10527" s="13" t="s">
        <v>3832</v>
      </c>
      <c r="D10527" s="13" t="s">
        <v>44</v>
      </c>
      <c r="E10527" s="12" t="s">
        <v>35</v>
      </c>
      <c r="F10527" s="14">
        <v>55000</v>
      </c>
      <c r="G10527" s="14">
        <v>35750</v>
      </c>
      <c r="H10527" s="13" t="s">
        <v>19469</v>
      </c>
      <c r="I10527" s="40" t="s">
        <v>18</v>
      </c>
      <c r="J10527" s="40" t="str">
        <f>HYPERLINK("https://stock.pstatic.net/stock-research/company/39/20250728_company_166808000.pdf","PDF")</f>
        <v>PDF</v>
      </c>
      <c r="K10527" s="12" t="s">
        <v>19470</v>
      </c>
      <c r="L10527" s="20">
        <v>0.53846153846153844</v>
      </c>
    </row>
    <row r="10528" spans="1:12" x14ac:dyDescent="0.45">
      <c r="A10528" s="12" t="s">
        <v>19232</v>
      </c>
      <c r="B10528" s="12" t="s">
        <v>2378</v>
      </c>
      <c r="C10528" s="13" t="s">
        <v>2379</v>
      </c>
      <c r="D10528" s="13" t="s">
        <v>44</v>
      </c>
      <c r="E10528" s="12" t="s">
        <v>35</v>
      </c>
      <c r="F10528" s="14">
        <v>440000</v>
      </c>
      <c r="G10528" s="14">
        <v>363500</v>
      </c>
      <c r="H10528" s="13" t="s">
        <v>19471</v>
      </c>
      <c r="I10528" s="40" t="s">
        <v>18</v>
      </c>
      <c r="J10528" s="40" t="str">
        <f>HYPERLINK("https://stock.pstatic.net/stock-research/company/39/20250728_company_674959000.pdf","PDF")</f>
        <v>PDF</v>
      </c>
      <c r="K10528" s="12" t="s">
        <v>19472</v>
      </c>
      <c r="L10528" s="20">
        <v>0.2104539202200825</v>
      </c>
    </row>
    <row r="10529" spans="1:12" x14ac:dyDescent="0.45">
      <c r="A10529" s="12" t="s">
        <v>19232</v>
      </c>
      <c r="B10529" s="12" t="s">
        <v>3488</v>
      </c>
      <c r="C10529" s="13" t="s">
        <v>3489</v>
      </c>
      <c r="D10529" s="13" t="s">
        <v>44</v>
      </c>
      <c r="E10529" s="12" t="s">
        <v>35</v>
      </c>
      <c r="F10529" s="14">
        <v>33000</v>
      </c>
      <c r="G10529" s="14">
        <v>25550</v>
      </c>
      <c r="H10529" s="13" t="s">
        <v>19473</v>
      </c>
      <c r="I10529" s="40" t="s">
        <v>18</v>
      </c>
      <c r="J10529" s="40" t="str">
        <f>HYPERLINK("https://stock.pstatic.net/stock-research/company/39/20250728_company_935001000.pdf","PDF")</f>
        <v>PDF</v>
      </c>
      <c r="K10529" s="12" t="s">
        <v>19474</v>
      </c>
      <c r="L10529" s="20">
        <v>0.29158512720156549</v>
      </c>
    </row>
    <row r="10530" spans="1:12" x14ac:dyDescent="0.45">
      <c r="A10530" s="12" t="s">
        <v>19232</v>
      </c>
      <c r="B10530" s="12" t="s">
        <v>3688</v>
      </c>
      <c r="C10530" s="13" t="s">
        <v>3689</v>
      </c>
      <c r="D10530" s="13" t="s">
        <v>44</v>
      </c>
      <c r="E10530" s="12" t="s">
        <v>35</v>
      </c>
      <c r="F10530" s="14">
        <v>95000</v>
      </c>
      <c r="G10530" s="14">
        <v>71200</v>
      </c>
      <c r="H10530" s="13" t="s">
        <v>19475</v>
      </c>
      <c r="I10530" s="40" t="s">
        <v>18</v>
      </c>
      <c r="J10530" s="40" t="str">
        <f>HYPERLINK("https://stock.pstatic.net/stock-research/company/39/20250728_company_431709000.pdf","PDF")</f>
        <v>PDF</v>
      </c>
      <c r="K10530" s="12" t="s">
        <v>19476</v>
      </c>
      <c r="L10530" s="20">
        <v>0.3342696629213483</v>
      </c>
    </row>
    <row r="10531" spans="1:12" x14ac:dyDescent="0.45">
      <c r="A10531" s="12" t="s">
        <v>19232</v>
      </c>
      <c r="B10531" s="12" t="s">
        <v>272</v>
      </c>
      <c r="C10531" s="13" t="s">
        <v>273</v>
      </c>
      <c r="D10531" s="13" t="s">
        <v>44</v>
      </c>
      <c r="E10531" s="12" t="s">
        <v>35</v>
      </c>
      <c r="F10531" s="14">
        <v>700000</v>
      </c>
      <c r="G10531" s="14">
        <v>558000</v>
      </c>
      <c r="H10531" s="13" t="s">
        <v>19477</v>
      </c>
      <c r="I10531" s="40" t="s">
        <v>18</v>
      </c>
      <c r="J10531" s="40" t="str">
        <f>HYPERLINK("https://stock.pstatic.net/stock-research/company/39/20250728_company_271585000.pdf","PDF")</f>
        <v>PDF</v>
      </c>
      <c r="K10531" s="12" t="s">
        <v>19478</v>
      </c>
      <c r="L10531" s="20">
        <v>0.25448028673835132</v>
      </c>
    </row>
    <row r="10532" spans="1:12" x14ac:dyDescent="0.45">
      <c r="A10532" s="12" t="s">
        <v>19232</v>
      </c>
      <c r="B10532" s="12" t="s">
        <v>3482</v>
      </c>
      <c r="C10532" s="13" t="s">
        <v>3483</v>
      </c>
      <c r="D10532" s="13" t="s">
        <v>44</v>
      </c>
      <c r="E10532" s="12" t="s">
        <v>35</v>
      </c>
      <c r="F10532" s="14">
        <v>120000</v>
      </c>
      <c r="G10532" s="14">
        <v>92500</v>
      </c>
      <c r="H10532" s="13" t="s">
        <v>19479</v>
      </c>
      <c r="I10532" s="40" t="s">
        <v>18</v>
      </c>
      <c r="J10532" s="40" t="str">
        <f>HYPERLINK("https://stock.pstatic.net/stock-research/company/39/20250728_company_751886000.pdf","PDF")</f>
        <v>PDF</v>
      </c>
      <c r="K10532" s="12" t="s">
        <v>19480</v>
      </c>
      <c r="L10532" s="20">
        <v>0.29729729729729731</v>
      </c>
    </row>
    <row r="10533" spans="1:12" x14ac:dyDescent="0.45">
      <c r="A10533" s="12" t="s">
        <v>19232</v>
      </c>
      <c r="B10533" s="12" t="s">
        <v>2613</v>
      </c>
      <c r="C10533" s="13" t="s">
        <v>2614</v>
      </c>
      <c r="D10533" s="13" t="s">
        <v>44</v>
      </c>
      <c r="E10533" s="12" t="s">
        <v>35</v>
      </c>
      <c r="F10533" s="14">
        <v>460000</v>
      </c>
      <c r="G10533" s="14">
        <v>338000</v>
      </c>
      <c r="H10533" s="13" t="s">
        <v>19481</v>
      </c>
      <c r="I10533" s="40" t="s">
        <v>18</v>
      </c>
      <c r="J10533" s="40" t="str">
        <f>HYPERLINK("https://stock.pstatic.net/stock-research/company/39/20250728_company_515361000.pdf","PDF")</f>
        <v>PDF</v>
      </c>
      <c r="K10533" s="12" t="s">
        <v>19482</v>
      </c>
      <c r="L10533" s="20">
        <v>0.36094674556213019</v>
      </c>
    </row>
    <row r="10534" spans="1:12" x14ac:dyDescent="0.45">
      <c r="A10534" s="12" t="s">
        <v>19232</v>
      </c>
      <c r="B10534" s="12" t="s">
        <v>7511</v>
      </c>
      <c r="C10534" s="13" t="s">
        <v>7512</v>
      </c>
      <c r="D10534" s="13" t="s">
        <v>15</v>
      </c>
      <c r="E10534" s="12" t="s">
        <v>50</v>
      </c>
      <c r="F10534" s="13"/>
      <c r="G10534" s="14">
        <v>15190</v>
      </c>
      <c r="H10534" s="13" t="s">
        <v>19483</v>
      </c>
      <c r="I10534" s="40" t="s">
        <v>18</v>
      </c>
      <c r="J10534" s="40" t="str">
        <f>HYPERLINK("https://stock.pstatic.net/stock-research/company/29/20250728_company_494526000.pdf","PDF")</f>
        <v>PDF</v>
      </c>
      <c r="K10534" s="12" t="s">
        <v>19484</v>
      </c>
    </row>
    <row r="10535" spans="1:12" x14ac:dyDescent="0.45">
      <c r="A10535" s="12" t="s">
        <v>19232</v>
      </c>
      <c r="B10535" s="12" t="s">
        <v>2089</v>
      </c>
      <c r="C10535" s="13" t="s">
        <v>2090</v>
      </c>
      <c r="D10535" s="13" t="s">
        <v>15</v>
      </c>
      <c r="E10535" s="12" t="s">
        <v>16</v>
      </c>
      <c r="F10535" s="14">
        <v>82000</v>
      </c>
      <c r="G10535" s="14">
        <v>62300</v>
      </c>
      <c r="H10535" s="13" t="s">
        <v>19485</v>
      </c>
      <c r="I10535" s="40" t="s">
        <v>18</v>
      </c>
      <c r="J10535" s="40" t="str">
        <f>HYPERLINK("https://stock.pstatic.net/stock-research/company/29/20250728_company_219446000.pdf","PDF")</f>
        <v>PDF</v>
      </c>
      <c r="K10535" s="12" t="s">
        <v>19486</v>
      </c>
      <c r="L10535" s="20">
        <v>0.3162118780096308</v>
      </c>
    </row>
    <row r="10536" spans="1:12" x14ac:dyDescent="0.45">
      <c r="A10536" s="12" t="s">
        <v>19487</v>
      </c>
      <c r="B10536" s="12" t="s">
        <v>744</v>
      </c>
      <c r="C10536" s="13" t="s">
        <v>745</v>
      </c>
      <c r="D10536" s="13" t="s">
        <v>15</v>
      </c>
      <c r="E10536" s="12" t="s">
        <v>16</v>
      </c>
      <c r="F10536" s="14">
        <v>26000</v>
      </c>
      <c r="G10536" s="14">
        <v>19450</v>
      </c>
      <c r="H10536" s="13" t="s">
        <v>19488</v>
      </c>
      <c r="I10536" s="40" t="s">
        <v>18</v>
      </c>
      <c r="J10536" s="40" t="str">
        <f>HYPERLINK("https://stock.pstatic.net/stock-research/company/29/20250725_company_967545000.pdf","PDF")</f>
        <v>PDF</v>
      </c>
      <c r="K10536" s="12" t="s">
        <v>19489</v>
      </c>
      <c r="L10536" s="20">
        <v>0.33676092544987152</v>
      </c>
    </row>
    <row r="10537" spans="1:12" x14ac:dyDescent="0.45">
      <c r="A10537" s="12" t="s">
        <v>19487</v>
      </c>
      <c r="B10537" s="12" t="s">
        <v>4021</v>
      </c>
      <c r="C10537" s="13" t="s">
        <v>4022</v>
      </c>
      <c r="D10537" s="13" t="s">
        <v>15</v>
      </c>
      <c r="E10537" s="12" t="s">
        <v>16</v>
      </c>
      <c r="F10537" s="14">
        <v>350000</v>
      </c>
      <c r="G10537" s="14">
        <v>289000</v>
      </c>
      <c r="H10537" s="13" t="s">
        <v>19490</v>
      </c>
      <c r="I10537" s="40" t="s">
        <v>18</v>
      </c>
      <c r="J10537" s="40" t="str">
        <f>HYPERLINK("https://stock.pstatic.net/stock-research/company/29/20250725_company_133397000.pdf","PDF")</f>
        <v>PDF</v>
      </c>
      <c r="K10537" s="12" t="s">
        <v>19491</v>
      </c>
      <c r="L10537" s="20">
        <v>0.21107266435986161</v>
      </c>
    </row>
    <row r="10538" spans="1:12" x14ac:dyDescent="0.45">
      <c r="A10538" s="12" t="s">
        <v>19487</v>
      </c>
      <c r="B10538" s="12" t="s">
        <v>908</v>
      </c>
      <c r="C10538" s="13" t="s">
        <v>909</v>
      </c>
      <c r="D10538" s="13" t="s">
        <v>276</v>
      </c>
      <c r="E10538" s="12" t="s">
        <v>16</v>
      </c>
      <c r="F10538" s="14">
        <v>210000</v>
      </c>
      <c r="G10538" s="14">
        <v>160400</v>
      </c>
      <c r="H10538" s="13" t="s">
        <v>19492</v>
      </c>
      <c r="I10538" s="40" t="s">
        <v>18</v>
      </c>
      <c r="J10538" s="40" t="str">
        <f>HYPERLINK("https://stock.pstatic.net/stock-research/company/66/20250725_company_712691000.pdf","PDF")</f>
        <v>PDF</v>
      </c>
      <c r="K10538" s="12" t="s">
        <v>19493</v>
      </c>
      <c r="L10538" s="20">
        <v>0.30922693266832918</v>
      </c>
    </row>
    <row r="10539" spans="1:12" x14ac:dyDescent="0.45">
      <c r="A10539" s="12" t="s">
        <v>19487</v>
      </c>
      <c r="B10539" s="12" t="s">
        <v>3355</v>
      </c>
      <c r="C10539" s="13" t="s">
        <v>3356</v>
      </c>
      <c r="D10539" s="13" t="s">
        <v>276</v>
      </c>
      <c r="E10539" s="12" t="s">
        <v>16</v>
      </c>
      <c r="F10539" s="14">
        <v>65000</v>
      </c>
      <c r="G10539" s="14">
        <v>49300</v>
      </c>
      <c r="H10539" s="13" t="s">
        <v>19494</v>
      </c>
      <c r="I10539" s="40" t="s">
        <v>18</v>
      </c>
      <c r="J10539" s="40" t="str">
        <f>HYPERLINK("https://stock.pstatic.net/stock-research/company/66/20250725_company_276927000.pdf","PDF")</f>
        <v>PDF</v>
      </c>
      <c r="K10539" s="12" t="s">
        <v>19495</v>
      </c>
      <c r="L10539" s="20">
        <v>0.31845841784989859</v>
      </c>
    </row>
    <row r="10540" spans="1:12" x14ac:dyDescent="0.45">
      <c r="A10540" s="12" t="s">
        <v>19487</v>
      </c>
      <c r="B10540" s="12" t="s">
        <v>4021</v>
      </c>
      <c r="C10540" s="13" t="s">
        <v>4022</v>
      </c>
      <c r="D10540" s="13" t="s">
        <v>276</v>
      </c>
      <c r="E10540" s="12" t="s">
        <v>16</v>
      </c>
      <c r="F10540" s="14">
        <v>350000</v>
      </c>
      <c r="G10540" s="14">
        <v>289000</v>
      </c>
      <c r="H10540" s="13" t="s">
        <v>19496</v>
      </c>
      <c r="I10540" s="40" t="s">
        <v>18</v>
      </c>
      <c r="J10540" s="40" t="str">
        <f>HYPERLINK("https://stock.pstatic.net/stock-research/company/66/20250725_company_608361000.pdf","PDF")</f>
        <v>PDF</v>
      </c>
      <c r="K10540" s="12" t="s">
        <v>19497</v>
      </c>
      <c r="L10540" s="20">
        <v>0.21107266435986161</v>
      </c>
    </row>
    <row r="10541" spans="1:12" x14ac:dyDescent="0.45">
      <c r="A10541" s="12" t="s">
        <v>19487</v>
      </c>
      <c r="B10541" s="12" t="s">
        <v>7143</v>
      </c>
      <c r="C10541" s="13" t="s">
        <v>7144</v>
      </c>
      <c r="D10541" s="13" t="s">
        <v>276</v>
      </c>
      <c r="E10541" s="12" t="s">
        <v>16</v>
      </c>
      <c r="F10541" s="14">
        <v>65000</v>
      </c>
      <c r="G10541" s="14">
        <v>49350</v>
      </c>
      <c r="H10541" s="13" t="s">
        <v>19498</v>
      </c>
      <c r="I10541" s="40" t="s">
        <v>18</v>
      </c>
      <c r="J10541" s="40" t="str">
        <f>HYPERLINK("https://stock.pstatic.net/stock-research/company/66/20250725_company_936297000.pdf","PDF")</f>
        <v>PDF</v>
      </c>
      <c r="K10541" s="12" t="s">
        <v>19499</v>
      </c>
      <c r="L10541" s="20">
        <v>0.3171225937183384</v>
      </c>
    </row>
    <row r="10542" spans="1:12" x14ac:dyDescent="0.45">
      <c r="A10542" s="12" t="s">
        <v>19487</v>
      </c>
      <c r="B10542" s="12" t="s">
        <v>1552</v>
      </c>
      <c r="C10542" s="13" t="s">
        <v>9704</v>
      </c>
      <c r="D10542" s="13" t="s">
        <v>60</v>
      </c>
      <c r="E10542" s="12" t="s">
        <v>35</v>
      </c>
      <c r="F10542" s="14">
        <v>130000</v>
      </c>
      <c r="G10542" s="14">
        <v>94600</v>
      </c>
      <c r="H10542" s="13" t="s">
        <v>19500</v>
      </c>
      <c r="I10542" s="40" t="s">
        <v>18</v>
      </c>
      <c r="J10542" s="40" t="str">
        <f>HYPERLINK("https://stock.pstatic.net/stock-research/company/62/20250725_company_62999000.pdf","PDF")</f>
        <v>PDF</v>
      </c>
      <c r="K10542" s="12" t="s">
        <v>19501</v>
      </c>
      <c r="L10542" s="20">
        <v>0.37420718816067661</v>
      </c>
    </row>
    <row r="10543" spans="1:12" x14ac:dyDescent="0.45">
      <c r="A10543" s="12" t="s">
        <v>19487</v>
      </c>
      <c r="B10543" s="12" t="s">
        <v>519</v>
      </c>
      <c r="C10543" s="13" t="s">
        <v>520</v>
      </c>
      <c r="D10543" s="13" t="s">
        <v>60</v>
      </c>
      <c r="E10543" s="12" t="s">
        <v>35</v>
      </c>
      <c r="F10543" s="14">
        <v>270000</v>
      </c>
      <c r="G10543" s="14">
        <v>217500</v>
      </c>
      <c r="H10543" s="13" t="s">
        <v>19502</v>
      </c>
      <c r="I10543" s="40" t="s">
        <v>18</v>
      </c>
      <c r="J10543" s="40" t="str">
        <f>HYPERLINK("https://stock.pstatic.net/stock-research/company/62/20250725_company_641848000.pdf","PDF")</f>
        <v>PDF</v>
      </c>
      <c r="K10543" s="12" t="s">
        <v>19503</v>
      </c>
      <c r="L10543" s="20">
        <v>0.2413793103448276</v>
      </c>
    </row>
    <row r="10544" spans="1:12" x14ac:dyDescent="0.45">
      <c r="A10544" s="12" t="s">
        <v>19487</v>
      </c>
      <c r="B10544" s="12" t="s">
        <v>4021</v>
      </c>
      <c r="C10544" s="13" t="s">
        <v>4022</v>
      </c>
      <c r="D10544" s="13" t="s">
        <v>60</v>
      </c>
      <c r="E10544" s="12" t="s">
        <v>35</v>
      </c>
      <c r="F10544" s="14">
        <v>350000</v>
      </c>
      <c r="G10544" s="14">
        <v>289000</v>
      </c>
      <c r="H10544" s="13" t="s">
        <v>19504</v>
      </c>
      <c r="I10544" s="40" t="s">
        <v>18</v>
      </c>
      <c r="J10544" s="40" t="str">
        <f>HYPERLINK("https://stock.pstatic.net/stock-research/company/34/20250725_company_567174000.pdf","PDF")</f>
        <v>PDF</v>
      </c>
      <c r="K10544" s="12" t="s">
        <v>19505</v>
      </c>
      <c r="L10544" s="20">
        <v>0.21107266435986161</v>
      </c>
    </row>
    <row r="10545" spans="1:12" x14ac:dyDescent="0.45">
      <c r="A10545" s="12" t="s">
        <v>19487</v>
      </c>
      <c r="B10545" s="12" t="s">
        <v>95</v>
      </c>
      <c r="C10545" s="13" t="s">
        <v>31</v>
      </c>
      <c r="D10545" s="13" t="s">
        <v>60</v>
      </c>
      <c r="E10545" s="12" t="s">
        <v>35</v>
      </c>
      <c r="F10545" s="14">
        <v>32000</v>
      </c>
      <c r="G10545" s="14">
        <v>25500</v>
      </c>
      <c r="H10545" s="13" t="s">
        <v>19506</v>
      </c>
      <c r="I10545" s="40" t="s">
        <v>18</v>
      </c>
      <c r="J10545" s="40" t="str">
        <f>HYPERLINK("https://stock.pstatic.net/stock-research/company/62/20250725_company_177984000.pdf","PDF")</f>
        <v>PDF</v>
      </c>
      <c r="K10545" s="12" t="s">
        <v>19507</v>
      </c>
      <c r="L10545" s="20">
        <v>0.25490196078431371</v>
      </c>
    </row>
    <row r="10546" spans="1:12" x14ac:dyDescent="0.45">
      <c r="A10546" s="12" t="s">
        <v>19487</v>
      </c>
      <c r="B10546" s="12" t="s">
        <v>760</v>
      </c>
      <c r="C10546" s="13" t="s">
        <v>761</v>
      </c>
      <c r="D10546" s="13" t="s">
        <v>60</v>
      </c>
      <c r="E10546" s="12" t="s">
        <v>35</v>
      </c>
      <c r="F10546" s="14">
        <v>260000</v>
      </c>
      <c r="G10546" s="14">
        <v>204500</v>
      </c>
      <c r="H10546" s="13" t="s">
        <v>19508</v>
      </c>
      <c r="I10546" s="40" t="s">
        <v>18</v>
      </c>
      <c r="J10546" s="40" t="str">
        <f>HYPERLINK("https://stock.pstatic.net/stock-research/company/1/20250725_company_439703000.pdf","PDF")</f>
        <v>PDF</v>
      </c>
      <c r="K10546" s="12" t="s">
        <v>19509</v>
      </c>
      <c r="L10546" s="20">
        <v>0.27139364303178481</v>
      </c>
    </row>
    <row r="10547" spans="1:12" x14ac:dyDescent="0.45">
      <c r="A10547" s="12" t="s">
        <v>19487</v>
      </c>
      <c r="B10547" s="12" t="s">
        <v>3492</v>
      </c>
      <c r="C10547" s="13" t="s">
        <v>3493</v>
      </c>
      <c r="D10547" s="13" t="s">
        <v>60</v>
      </c>
      <c r="E10547" s="12" t="s">
        <v>35</v>
      </c>
      <c r="F10547" s="14">
        <v>24500</v>
      </c>
      <c r="G10547" s="14">
        <v>20250</v>
      </c>
      <c r="H10547" s="13" t="s">
        <v>19510</v>
      </c>
      <c r="I10547" s="40" t="s">
        <v>18</v>
      </c>
      <c r="J10547" s="40" t="str">
        <f>HYPERLINK("https://stock.pstatic.net/stock-research/company/62/20250725_company_304296000.pdf","PDF")</f>
        <v>PDF</v>
      </c>
      <c r="K10547" s="12" t="s">
        <v>19511</v>
      </c>
      <c r="L10547" s="20">
        <v>0.2098765432098765</v>
      </c>
    </row>
    <row r="10548" spans="1:12" x14ac:dyDescent="0.45">
      <c r="A10548" s="12" t="s">
        <v>19487</v>
      </c>
      <c r="B10548" s="12" t="s">
        <v>3373</v>
      </c>
      <c r="C10548" s="13" t="s">
        <v>3374</v>
      </c>
      <c r="D10548" s="13" t="s">
        <v>60</v>
      </c>
      <c r="E10548" s="12" t="s">
        <v>35</v>
      </c>
      <c r="F10548" s="14">
        <v>145000</v>
      </c>
      <c r="G10548" s="14">
        <v>117200</v>
      </c>
      <c r="H10548" s="13" t="s">
        <v>19512</v>
      </c>
      <c r="I10548" s="40" t="s">
        <v>18</v>
      </c>
      <c r="J10548" s="40" t="str">
        <f>HYPERLINK("https://stock.pstatic.net/stock-research/company/34/20250725_company_514765000.pdf","PDF")</f>
        <v>PDF</v>
      </c>
      <c r="K10548" s="12" t="s">
        <v>19513</v>
      </c>
      <c r="L10548" s="20">
        <v>0.23720136518771329</v>
      </c>
    </row>
    <row r="10549" spans="1:12" x14ac:dyDescent="0.45">
      <c r="A10549" s="12" t="s">
        <v>19487</v>
      </c>
      <c r="B10549" s="12" t="s">
        <v>3369</v>
      </c>
      <c r="C10549" s="13" t="s">
        <v>3370</v>
      </c>
      <c r="D10549" s="13" t="s">
        <v>60</v>
      </c>
      <c r="E10549" s="12" t="s">
        <v>35</v>
      </c>
      <c r="F10549" s="14">
        <v>29000</v>
      </c>
      <c r="G10549" s="14">
        <v>24350</v>
      </c>
      <c r="H10549" s="13" t="s">
        <v>19514</v>
      </c>
      <c r="I10549" s="40" t="s">
        <v>18</v>
      </c>
      <c r="J10549" s="40" t="str">
        <f>HYPERLINK("https://stock.pstatic.net/stock-research/company/62/20250725_company_129693000.pdf","PDF")</f>
        <v>PDF</v>
      </c>
      <c r="K10549" s="12" t="s">
        <v>19515</v>
      </c>
      <c r="L10549" s="20">
        <v>0.19096509240246409</v>
      </c>
    </row>
    <row r="10550" spans="1:12" x14ac:dyDescent="0.45">
      <c r="A10550" s="12" t="s">
        <v>19487</v>
      </c>
      <c r="B10550" s="12" t="s">
        <v>3369</v>
      </c>
      <c r="C10550" s="13" t="s">
        <v>3370</v>
      </c>
      <c r="D10550" s="13" t="s">
        <v>65</v>
      </c>
      <c r="E10550" s="12" t="s">
        <v>35</v>
      </c>
      <c r="F10550" s="14">
        <v>29000</v>
      </c>
      <c r="G10550" s="14">
        <v>24350</v>
      </c>
      <c r="H10550" s="13" t="s">
        <v>19516</v>
      </c>
      <c r="I10550" s="40" t="s">
        <v>18</v>
      </c>
      <c r="J10550" s="40" t="str">
        <f>HYPERLINK("https://stock.pstatic.net/stock-research/company/57/20250725_company_368569000.pdf","PDF")</f>
        <v>PDF</v>
      </c>
      <c r="K10550" s="12" t="s">
        <v>19517</v>
      </c>
      <c r="L10550" s="20">
        <v>0.19096509240246409</v>
      </c>
    </row>
    <row r="10551" spans="1:12" x14ac:dyDescent="0.45">
      <c r="A10551" s="12" t="s">
        <v>19487</v>
      </c>
      <c r="B10551" s="12" t="s">
        <v>519</v>
      </c>
      <c r="C10551" s="13" t="s">
        <v>520</v>
      </c>
      <c r="D10551" s="13" t="s">
        <v>65</v>
      </c>
      <c r="E10551" s="12" t="s">
        <v>35</v>
      </c>
      <c r="F10551" s="14">
        <v>250000</v>
      </c>
      <c r="G10551" s="14">
        <v>217500</v>
      </c>
      <c r="H10551" s="13" t="s">
        <v>19518</v>
      </c>
      <c r="I10551" s="40" t="s">
        <v>18</v>
      </c>
      <c r="J10551" s="40" t="str">
        <f>HYPERLINK("https://stock.pstatic.net/stock-research/company/57/20250725_company_11629000.pdf","PDF")</f>
        <v>PDF</v>
      </c>
      <c r="K10551" s="12" t="s">
        <v>19519</v>
      </c>
      <c r="L10551" s="20">
        <v>0.14942528735632191</v>
      </c>
    </row>
    <row r="10552" spans="1:12" x14ac:dyDescent="0.45">
      <c r="A10552" s="12" t="s">
        <v>19487</v>
      </c>
      <c r="B10552" s="12" t="s">
        <v>95</v>
      </c>
      <c r="C10552" s="13" t="s">
        <v>31</v>
      </c>
      <c r="D10552" s="13" t="s">
        <v>65</v>
      </c>
      <c r="E10552" s="12" t="s">
        <v>35</v>
      </c>
      <c r="F10552" s="14">
        <v>33000</v>
      </c>
      <c r="G10552" s="14">
        <v>25500</v>
      </c>
      <c r="H10552" s="13" t="s">
        <v>19520</v>
      </c>
      <c r="I10552" s="40" t="s">
        <v>18</v>
      </c>
      <c r="J10552" s="40" t="str">
        <f>HYPERLINK("https://stock.pstatic.net/stock-research/company/57/20250725_company_603362000.pdf","PDF")</f>
        <v>PDF</v>
      </c>
      <c r="K10552" s="12" t="s">
        <v>19521</v>
      </c>
      <c r="L10552" s="20">
        <v>0.29411764705882348</v>
      </c>
    </row>
    <row r="10553" spans="1:12" x14ac:dyDescent="0.45">
      <c r="A10553" s="12" t="s">
        <v>19487</v>
      </c>
      <c r="B10553" s="12" t="s">
        <v>9369</v>
      </c>
      <c r="C10553" s="13" t="s">
        <v>9370</v>
      </c>
      <c r="D10553" s="13" t="s">
        <v>65</v>
      </c>
      <c r="E10553" s="12" t="s">
        <v>35</v>
      </c>
      <c r="F10553" s="14">
        <v>40000</v>
      </c>
      <c r="G10553" s="14">
        <v>32750</v>
      </c>
      <c r="H10553" s="13" t="s">
        <v>19522</v>
      </c>
      <c r="I10553" s="40" t="s">
        <v>18</v>
      </c>
      <c r="J10553" s="40" t="str">
        <f>HYPERLINK("https://stock.pstatic.net/stock-research/company/57/20250725_company_657655000.pdf","PDF")</f>
        <v>PDF</v>
      </c>
      <c r="K10553" s="12" t="s">
        <v>19523</v>
      </c>
      <c r="L10553" s="20">
        <v>0.2213740458015267</v>
      </c>
    </row>
    <row r="10554" spans="1:12" x14ac:dyDescent="0.45">
      <c r="A10554" s="12" t="s">
        <v>19487</v>
      </c>
      <c r="B10554" s="12" t="s">
        <v>908</v>
      </c>
      <c r="C10554" s="13" t="s">
        <v>909</v>
      </c>
      <c r="D10554" s="13" t="s">
        <v>65</v>
      </c>
      <c r="E10554" s="12" t="s">
        <v>35</v>
      </c>
      <c r="F10554" s="14">
        <v>190000</v>
      </c>
      <c r="G10554" s="14">
        <v>160400</v>
      </c>
      <c r="H10554" s="13" t="s">
        <v>19524</v>
      </c>
      <c r="I10554" s="40" t="s">
        <v>18</v>
      </c>
      <c r="J10554" s="40" t="str">
        <f>HYPERLINK("https://stock.pstatic.net/stock-research/company/57/20250725_company_338198000.pdf","PDF")</f>
        <v>PDF</v>
      </c>
      <c r="K10554" s="12" t="s">
        <v>19525</v>
      </c>
      <c r="L10554" s="20">
        <v>0.18453865336658351</v>
      </c>
    </row>
    <row r="10555" spans="1:12" x14ac:dyDescent="0.45">
      <c r="A10555" s="12" t="s">
        <v>19487</v>
      </c>
      <c r="B10555" s="12" t="s">
        <v>3478</v>
      </c>
      <c r="C10555" s="13" t="s">
        <v>3479</v>
      </c>
      <c r="D10555" s="13" t="s">
        <v>65</v>
      </c>
      <c r="E10555" s="12" t="s">
        <v>35</v>
      </c>
      <c r="F10555" s="14">
        <v>50000</v>
      </c>
      <c r="G10555" s="14">
        <v>36750</v>
      </c>
      <c r="H10555" s="13" t="s">
        <v>19526</v>
      </c>
      <c r="I10555" s="40" t="s">
        <v>18</v>
      </c>
      <c r="J10555" s="40" t="str">
        <f>HYPERLINK("https://stock.pstatic.net/stock-research/company/57/20250725_company_383350000.pdf","PDF")</f>
        <v>PDF</v>
      </c>
      <c r="K10555" s="12" t="s">
        <v>19527</v>
      </c>
      <c r="L10555" s="20">
        <v>0.36054421768707479</v>
      </c>
    </row>
    <row r="10556" spans="1:12" x14ac:dyDescent="0.45">
      <c r="A10556" s="12" t="s">
        <v>19487</v>
      </c>
      <c r="B10556" s="12" t="s">
        <v>334</v>
      </c>
      <c r="C10556" s="13" t="s">
        <v>335</v>
      </c>
      <c r="D10556" s="13" t="s">
        <v>65</v>
      </c>
      <c r="E10556" s="12" t="s">
        <v>35</v>
      </c>
      <c r="F10556" s="14">
        <v>350000</v>
      </c>
      <c r="G10556" s="14">
        <v>269500</v>
      </c>
      <c r="H10556" s="13" t="s">
        <v>19528</v>
      </c>
      <c r="I10556" s="40" t="s">
        <v>18</v>
      </c>
      <c r="J10556" s="40" t="str">
        <f>HYPERLINK("https://stock.pstatic.net/stock-research/company/57/20250725_company_747377000.pdf","PDF")</f>
        <v>PDF</v>
      </c>
      <c r="K10556" s="12" t="s">
        <v>19529</v>
      </c>
      <c r="L10556" s="20">
        <v>0.29870129870129869</v>
      </c>
    </row>
    <row r="10557" spans="1:12" x14ac:dyDescent="0.45">
      <c r="A10557" s="12" t="s">
        <v>19487</v>
      </c>
      <c r="B10557" s="12" t="s">
        <v>3749</v>
      </c>
      <c r="C10557" s="13" t="s">
        <v>3750</v>
      </c>
      <c r="D10557" s="13" t="s">
        <v>65</v>
      </c>
      <c r="E10557" s="12" t="s">
        <v>35</v>
      </c>
      <c r="F10557" s="14">
        <v>190000</v>
      </c>
      <c r="G10557" s="14">
        <v>142200</v>
      </c>
      <c r="H10557" s="13" t="s">
        <v>19530</v>
      </c>
      <c r="I10557" s="40" t="s">
        <v>18</v>
      </c>
      <c r="J10557" s="40" t="str">
        <f>HYPERLINK("https://stock.pstatic.net/stock-research/company/57/20250725_company_101020000.pdf","PDF")</f>
        <v>PDF</v>
      </c>
      <c r="K10557" s="12" t="s">
        <v>19531</v>
      </c>
      <c r="L10557" s="20">
        <v>0.3361462728551336</v>
      </c>
    </row>
    <row r="10558" spans="1:12" x14ac:dyDescent="0.45">
      <c r="A10558" s="12" t="s">
        <v>19487</v>
      </c>
      <c r="B10558" s="12" t="s">
        <v>5767</v>
      </c>
      <c r="C10558" s="13" t="s">
        <v>5768</v>
      </c>
      <c r="D10558" s="13" t="s">
        <v>65</v>
      </c>
      <c r="E10558" s="12" t="s">
        <v>35</v>
      </c>
      <c r="F10558" s="14">
        <v>40000</v>
      </c>
      <c r="G10558" s="14">
        <v>34300</v>
      </c>
      <c r="H10558" s="13" t="s">
        <v>19532</v>
      </c>
      <c r="I10558" s="40" t="s">
        <v>18</v>
      </c>
      <c r="J10558" s="40" t="str">
        <f>HYPERLINK("https://stock.pstatic.net/stock-research/company/57/20250725_company_140960000.pdf","PDF")</f>
        <v>PDF</v>
      </c>
      <c r="K10558" s="12" t="s">
        <v>19533</v>
      </c>
      <c r="L10558" s="20">
        <v>0.16618075801749271</v>
      </c>
    </row>
    <row r="10559" spans="1:12" x14ac:dyDescent="0.45">
      <c r="A10559" s="12" t="s">
        <v>19487</v>
      </c>
      <c r="B10559" s="12" t="s">
        <v>3373</v>
      </c>
      <c r="C10559" s="13" t="s">
        <v>3374</v>
      </c>
      <c r="D10559" s="13" t="s">
        <v>65</v>
      </c>
      <c r="E10559" s="12" t="s">
        <v>35</v>
      </c>
      <c r="F10559" s="14">
        <v>147000</v>
      </c>
      <c r="G10559" s="14">
        <v>117200</v>
      </c>
      <c r="H10559" s="13" t="s">
        <v>19534</v>
      </c>
      <c r="I10559" s="40" t="s">
        <v>18</v>
      </c>
      <c r="J10559" s="40" t="str">
        <f>HYPERLINK("https://stock.pstatic.net/stock-research/company/57/20250725_company_960263000.pdf","PDF")</f>
        <v>PDF</v>
      </c>
      <c r="K10559" s="12" t="s">
        <v>19535</v>
      </c>
      <c r="L10559" s="20">
        <v>0.25426621160409563</v>
      </c>
    </row>
    <row r="10560" spans="1:12" x14ac:dyDescent="0.45">
      <c r="A10560" s="12" t="s">
        <v>19487</v>
      </c>
      <c r="B10560" s="12" t="s">
        <v>3492</v>
      </c>
      <c r="C10560" s="13" t="s">
        <v>3493</v>
      </c>
      <c r="D10560" s="13" t="s">
        <v>65</v>
      </c>
      <c r="E10560" s="12" t="s">
        <v>35</v>
      </c>
      <c r="F10560" s="14">
        <v>23500</v>
      </c>
      <c r="G10560" s="14">
        <v>20250</v>
      </c>
      <c r="H10560" s="13" t="s">
        <v>19536</v>
      </c>
      <c r="I10560" s="40" t="s">
        <v>18</v>
      </c>
      <c r="J10560" s="40" t="str">
        <f>HYPERLINK("https://stock.pstatic.net/stock-research/company/57/20250725_company_964066000.pdf","PDF")</f>
        <v>PDF</v>
      </c>
      <c r="K10560" s="12" t="s">
        <v>19537</v>
      </c>
      <c r="L10560" s="20">
        <v>0.16049382716049379</v>
      </c>
    </row>
    <row r="10561" spans="1:12" x14ac:dyDescent="0.45">
      <c r="A10561" s="12" t="s">
        <v>19487</v>
      </c>
      <c r="B10561" s="12" t="s">
        <v>744</v>
      </c>
      <c r="C10561" s="13" t="s">
        <v>745</v>
      </c>
      <c r="D10561" s="13" t="s">
        <v>65</v>
      </c>
      <c r="E10561" s="12" t="s">
        <v>35</v>
      </c>
      <c r="F10561" s="14">
        <v>26000</v>
      </c>
      <c r="G10561" s="14">
        <v>19450</v>
      </c>
      <c r="H10561" s="13" t="s">
        <v>19538</v>
      </c>
      <c r="I10561" s="40" t="s">
        <v>18</v>
      </c>
      <c r="J10561" s="40" t="str">
        <f>HYPERLINK("https://stock.pstatic.net/stock-research/company/57/20250725_company_733116000.pdf","PDF")</f>
        <v>PDF</v>
      </c>
      <c r="K10561" s="12" t="s">
        <v>19539</v>
      </c>
      <c r="L10561" s="20">
        <v>0.33676092544987152</v>
      </c>
    </row>
    <row r="10562" spans="1:12" x14ac:dyDescent="0.45">
      <c r="A10562" s="12" t="s">
        <v>19487</v>
      </c>
      <c r="B10562" s="12" t="s">
        <v>4021</v>
      </c>
      <c r="C10562" s="13" t="s">
        <v>4022</v>
      </c>
      <c r="D10562" s="13" t="s">
        <v>65</v>
      </c>
      <c r="E10562" s="12" t="s">
        <v>35</v>
      </c>
      <c r="F10562" s="14">
        <v>340000</v>
      </c>
      <c r="G10562" s="14">
        <v>289000</v>
      </c>
      <c r="H10562" s="13" t="s">
        <v>19540</v>
      </c>
      <c r="I10562" s="40" t="s">
        <v>18</v>
      </c>
      <c r="J10562" s="40" t="str">
        <f>HYPERLINK("https://stock.pstatic.net/stock-research/company/57/20250725_company_237012000.pdf","PDF")</f>
        <v>PDF</v>
      </c>
      <c r="K10562" s="12" t="s">
        <v>19541</v>
      </c>
      <c r="L10562" s="20">
        <v>0.1764705882352941</v>
      </c>
    </row>
    <row r="10563" spans="1:12" x14ac:dyDescent="0.45">
      <c r="A10563" s="12" t="s">
        <v>19487</v>
      </c>
      <c r="B10563" s="12" t="s">
        <v>3087</v>
      </c>
      <c r="C10563" s="13" t="s">
        <v>3088</v>
      </c>
      <c r="D10563" s="13" t="s">
        <v>65</v>
      </c>
      <c r="E10563" s="12" t="s">
        <v>35</v>
      </c>
      <c r="F10563" s="14">
        <v>230000</v>
      </c>
      <c r="G10563" s="14">
        <v>185200</v>
      </c>
      <c r="H10563" s="13" t="s">
        <v>19542</v>
      </c>
      <c r="I10563" s="40" t="s">
        <v>18</v>
      </c>
      <c r="J10563" s="40" t="str">
        <f>HYPERLINK("https://stock.pstatic.net/stock-research/company/57/20250725_company_575621000.pdf","PDF")</f>
        <v>PDF</v>
      </c>
      <c r="K10563" s="12" t="s">
        <v>19543</v>
      </c>
      <c r="L10563" s="20">
        <v>0.24190064794816421</v>
      </c>
    </row>
    <row r="10564" spans="1:12" x14ac:dyDescent="0.45">
      <c r="A10564" s="12" t="s">
        <v>19487</v>
      </c>
      <c r="B10564" s="12" t="s">
        <v>519</v>
      </c>
      <c r="C10564" s="13" t="s">
        <v>520</v>
      </c>
      <c r="D10564" s="13" t="s">
        <v>57</v>
      </c>
      <c r="E10564" s="12" t="s">
        <v>35</v>
      </c>
      <c r="F10564" s="14">
        <v>270000</v>
      </c>
      <c r="G10564" s="14">
        <v>217500</v>
      </c>
      <c r="H10564" s="13" t="s">
        <v>19544</v>
      </c>
      <c r="I10564" s="40" t="s">
        <v>18</v>
      </c>
      <c r="J10564" s="40" t="str">
        <f>HYPERLINK("https://stock.pstatic.net/stock-research/company/16/20250725_company_922115000.pdf","PDF")</f>
        <v>PDF</v>
      </c>
      <c r="K10564" s="12" t="s">
        <v>19545</v>
      </c>
      <c r="L10564" s="20">
        <v>0.2413793103448276</v>
      </c>
    </row>
    <row r="10565" spans="1:12" x14ac:dyDescent="0.45">
      <c r="A10565" s="12" t="s">
        <v>19487</v>
      </c>
      <c r="B10565" s="12" t="s">
        <v>908</v>
      </c>
      <c r="C10565" s="13" t="s">
        <v>909</v>
      </c>
      <c r="D10565" s="13" t="s">
        <v>57</v>
      </c>
      <c r="E10565" s="12" t="s">
        <v>35</v>
      </c>
      <c r="F10565" s="14">
        <v>180000</v>
      </c>
      <c r="G10565" s="14">
        <v>160400</v>
      </c>
      <c r="H10565" s="13" t="s">
        <v>19546</v>
      </c>
      <c r="I10565" s="40" t="s">
        <v>18</v>
      </c>
      <c r="J10565" s="40" t="str">
        <f>HYPERLINK("https://stock.pstatic.net/stock-research/company/1/20250725_company_232180000.pdf","PDF")</f>
        <v>PDF</v>
      </c>
      <c r="K10565" s="12" t="s">
        <v>19547</v>
      </c>
      <c r="L10565" s="20">
        <v>0.1221945137157107</v>
      </c>
    </row>
    <row r="10566" spans="1:12" x14ac:dyDescent="0.45">
      <c r="A10566" s="12" t="s">
        <v>19487</v>
      </c>
      <c r="B10566" s="12" t="s">
        <v>3749</v>
      </c>
      <c r="C10566" s="13" t="s">
        <v>3750</v>
      </c>
      <c r="D10566" s="13" t="s">
        <v>57</v>
      </c>
      <c r="E10566" s="12" t="s">
        <v>35</v>
      </c>
      <c r="F10566" s="14">
        <v>195000</v>
      </c>
      <c r="G10566" s="14">
        <v>142200</v>
      </c>
      <c r="H10566" s="13" t="s">
        <v>19548</v>
      </c>
      <c r="I10566" s="40" t="s">
        <v>18</v>
      </c>
      <c r="J10566" s="40" t="str">
        <f>HYPERLINK("https://stock.pstatic.net/stock-research/company/16/20250725_company_733521000.pdf","PDF")</f>
        <v>PDF</v>
      </c>
      <c r="K10566" s="12" t="s">
        <v>19549</v>
      </c>
      <c r="L10566" s="20">
        <v>0.37130801687763709</v>
      </c>
    </row>
    <row r="10567" spans="1:12" x14ac:dyDescent="0.45">
      <c r="A10567" s="12" t="s">
        <v>19487</v>
      </c>
      <c r="B10567" s="12" t="s">
        <v>3373</v>
      </c>
      <c r="C10567" s="13" t="s">
        <v>3374</v>
      </c>
      <c r="D10567" s="13" t="s">
        <v>57</v>
      </c>
      <c r="E10567" s="12" t="s">
        <v>35</v>
      </c>
      <c r="F10567" s="14">
        <v>142000</v>
      </c>
      <c r="G10567" s="14">
        <v>117200</v>
      </c>
      <c r="H10567" s="13" t="s">
        <v>19550</v>
      </c>
      <c r="I10567" s="40" t="s">
        <v>18</v>
      </c>
      <c r="J10567" s="40" t="str">
        <f>HYPERLINK("https://stock.pstatic.net/stock-research/company/16/20250725_company_617193000.pdf","PDF")</f>
        <v>PDF</v>
      </c>
      <c r="K10567" s="12" t="s">
        <v>19551</v>
      </c>
      <c r="L10567" s="20">
        <v>0.21160409556313989</v>
      </c>
    </row>
    <row r="10568" spans="1:12" x14ac:dyDescent="0.45">
      <c r="A10568" s="12" t="s">
        <v>19487</v>
      </c>
      <c r="B10568" s="12" t="s">
        <v>1552</v>
      </c>
      <c r="C10568" s="13" t="s">
        <v>9704</v>
      </c>
      <c r="D10568" s="13" t="s">
        <v>57</v>
      </c>
      <c r="E10568" s="12" t="s">
        <v>35</v>
      </c>
      <c r="F10568" s="14">
        <v>123000</v>
      </c>
      <c r="G10568" s="14">
        <v>94600</v>
      </c>
      <c r="H10568" s="13" t="s">
        <v>19552</v>
      </c>
      <c r="I10568" s="40" t="s">
        <v>18</v>
      </c>
      <c r="J10568" s="40" t="str">
        <f>HYPERLINK("https://stock.pstatic.net/stock-research/company/16/20250725_company_64143000.pdf","PDF")</f>
        <v>PDF</v>
      </c>
      <c r="K10568" s="12" t="s">
        <v>19553</v>
      </c>
      <c r="L10568" s="20">
        <v>0.30021141649048633</v>
      </c>
    </row>
    <row r="10569" spans="1:12" x14ac:dyDescent="0.45">
      <c r="A10569" s="12" t="s">
        <v>19487</v>
      </c>
      <c r="B10569" s="12" t="s">
        <v>3478</v>
      </c>
      <c r="C10569" s="13" t="s">
        <v>3479</v>
      </c>
      <c r="D10569" s="13" t="s">
        <v>57</v>
      </c>
      <c r="E10569" s="12" t="s">
        <v>35</v>
      </c>
      <c r="F10569" s="14">
        <v>50000</v>
      </c>
      <c r="G10569" s="14">
        <v>36750</v>
      </c>
      <c r="H10569" s="13" t="s">
        <v>19554</v>
      </c>
      <c r="I10569" s="40" t="s">
        <v>18</v>
      </c>
      <c r="J10569" s="40" t="str">
        <f>HYPERLINK("https://stock.pstatic.net/stock-research/company/16/20250725_company_47702000.pdf","PDF")</f>
        <v>PDF</v>
      </c>
      <c r="K10569" s="12" t="s">
        <v>19555</v>
      </c>
      <c r="L10569" s="20">
        <v>0.36054421768707479</v>
      </c>
    </row>
    <row r="10570" spans="1:12" x14ac:dyDescent="0.45">
      <c r="A10570" s="12" t="s">
        <v>19487</v>
      </c>
      <c r="B10570" s="12" t="s">
        <v>334</v>
      </c>
      <c r="C10570" s="13" t="s">
        <v>335</v>
      </c>
      <c r="D10570" s="13" t="s">
        <v>57</v>
      </c>
      <c r="E10570" s="12" t="s">
        <v>35</v>
      </c>
      <c r="F10570" s="14">
        <v>360000</v>
      </c>
      <c r="G10570" s="14">
        <v>269500</v>
      </c>
      <c r="H10570" s="13" t="s">
        <v>19556</v>
      </c>
      <c r="I10570" s="40" t="s">
        <v>18</v>
      </c>
      <c r="J10570" s="40" t="str">
        <f>HYPERLINK("https://stock.pstatic.net/stock-research/company/16/20250725_company_836843000.pdf","PDF")</f>
        <v>PDF</v>
      </c>
      <c r="K10570" s="12" t="s">
        <v>19557</v>
      </c>
      <c r="L10570" s="20">
        <v>0.3358070500927644</v>
      </c>
    </row>
    <row r="10571" spans="1:12" x14ac:dyDescent="0.45">
      <c r="A10571" s="12" t="s">
        <v>19487</v>
      </c>
      <c r="B10571" s="12" t="s">
        <v>95</v>
      </c>
      <c r="C10571" s="13" t="s">
        <v>31</v>
      </c>
      <c r="D10571" s="13" t="s">
        <v>57</v>
      </c>
      <c r="E10571" s="12" t="s">
        <v>35</v>
      </c>
      <c r="F10571" s="14">
        <v>31000</v>
      </c>
      <c r="G10571" s="14">
        <v>25500</v>
      </c>
      <c r="H10571" s="13" t="s">
        <v>19558</v>
      </c>
      <c r="I10571" s="40" t="s">
        <v>18</v>
      </c>
      <c r="J10571" s="40" t="str">
        <f>HYPERLINK("https://stock.pstatic.net/stock-research/company/16/20250725_company_453654000.pdf","PDF")</f>
        <v>PDF</v>
      </c>
      <c r="K10571" s="12" t="s">
        <v>19559</v>
      </c>
      <c r="L10571" s="20">
        <v>0.2156862745098039</v>
      </c>
    </row>
    <row r="10572" spans="1:12" x14ac:dyDescent="0.45">
      <c r="A10572" s="12" t="s">
        <v>19487</v>
      </c>
      <c r="B10572" s="12" t="s">
        <v>4021</v>
      </c>
      <c r="C10572" s="13" t="s">
        <v>4022</v>
      </c>
      <c r="D10572" s="13" t="s">
        <v>158</v>
      </c>
      <c r="E10572" s="12" t="s">
        <v>35</v>
      </c>
      <c r="F10572" s="14">
        <v>340000</v>
      </c>
      <c r="G10572" s="14">
        <v>289000</v>
      </c>
      <c r="H10572" s="13" t="s">
        <v>19560</v>
      </c>
      <c r="I10572" s="40" t="s">
        <v>18</v>
      </c>
      <c r="J10572" s="40" t="str">
        <f>HYPERLINK("https://stock.pstatic.net/stock-research/company/1/20250725_company_522421000.pdf","PDF")</f>
        <v>PDF</v>
      </c>
      <c r="K10572" s="12" t="s">
        <v>19561</v>
      </c>
      <c r="L10572" s="20">
        <v>0.1764705882352941</v>
      </c>
    </row>
    <row r="10573" spans="1:12" x14ac:dyDescent="0.45">
      <c r="A10573" s="12" t="s">
        <v>19487</v>
      </c>
      <c r="B10573" s="12" t="s">
        <v>334</v>
      </c>
      <c r="C10573" s="13" t="s">
        <v>335</v>
      </c>
      <c r="D10573" s="13" t="s">
        <v>158</v>
      </c>
      <c r="E10573" s="12" t="s">
        <v>35</v>
      </c>
      <c r="F10573" s="14">
        <v>320000</v>
      </c>
      <c r="G10573" s="14">
        <v>269500</v>
      </c>
      <c r="H10573" s="13" t="s">
        <v>19562</v>
      </c>
      <c r="I10573" s="40" t="s">
        <v>18</v>
      </c>
      <c r="J10573" s="40" t="str">
        <f>HYPERLINK("https://stock.pstatic.net/stock-research/company/18/20250725_company_607920000.pdf","PDF")</f>
        <v>PDF</v>
      </c>
      <c r="K10573" s="12" t="s">
        <v>19563</v>
      </c>
      <c r="L10573" s="20">
        <v>0.18738404452690169</v>
      </c>
    </row>
    <row r="10574" spans="1:12" x14ac:dyDescent="0.45">
      <c r="A10574" s="12" t="s">
        <v>19487</v>
      </c>
      <c r="B10574" s="12" t="s">
        <v>3087</v>
      </c>
      <c r="C10574" s="13" t="s">
        <v>3088</v>
      </c>
      <c r="D10574" s="13" t="s">
        <v>158</v>
      </c>
      <c r="E10574" s="12" t="s">
        <v>35</v>
      </c>
      <c r="F10574" s="14">
        <v>225000</v>
      </c>
      <c r="G10574" s="14">
        <v>185200</v>
      </c>
      <c r="H10574" s="13" t="s">
        <v>19564</v>
      </c>
      <c r="I10574" s="40" t="s">
        <v>18</v>
      </c>
      <c r="J10574" s="40" t="str">
        <f>HYPERLINK("https://stock.pstatic.net/stock-research/company/18/20250725_company_71715000.pdf","PDF")</f>
        <v>PDF</v>
      </c>
      <c r="K10574" s="12" t="s">
        <v>19565</v>
      </c>
      <c r="L10574" s="20">
        <v>0.21490280777537801</v>
      </c>
    </row>
    <row r="10575" spans="1:12" x14ac:dyDescent="0.45">
      <c r="A10575" s="12" t="s">
        <v>19487</v>
      </c>
      <c r="B10575" s="12" t="s">
        <v>744</v>
      </c>
      <c r="C10575" s="13" t="s">
        <v>745</v>
      </c>
      <c r="D10575" s="13" t="s">
        <v>158</v>
      </c>
      <c r="E10575" s="12" t="s">
        <v>35</v>
      </c>
      <c r="F10575" s="14">
        <v>25000</v>
      </c>
      <c r="G10575" s="14">
        <v>19450</v>
      </c>
      <c r="H10575" s="13" t="s">
        <v>19566</v>
      </c>
      <c r="I10575" s="40" t="s">
        <v>18</v>
      </c>
      <c r="J10575" s="40" t="str">
        <f>HYPERLINK("https://stock.pstatic.net/stock-research/company/1/20250725_company_508941000.pdf","PDF")</f>
        <v>PDF</v>
      </c>
      <c r="K10575" s="12" t="s">
        <v>19567</v>
      </c>
      <c r="L10575" s="20">
        <v>0.28534704370179947</v>
      </c>
    </row>
    <row r="10576" spans="1:12" x14ac:dyDescent="0.45">
      <c r="A10576" s="12" t="s">
        <v>19487</v>
      </c>
      <c r="B10576" s="12" t="s">
        <v>76</v>
      </c>
      <c r="C10576" s="13" t="s">
        <v>77</v>
      </c>
      <c r="D10576" s="13" t="s">
        <v>158</v>
      </c>
      <c r="E10576" s="12" t="s">
        <v>159</v>
      </c>
      <c r="F10576" s="14">
        <v>24000</v>
      </c>
      <c r="G10576" s="14">
        <v>24600</v>
      </c>
      <c r="H10576" s="13" t="s">
        <v>19568</v>
      </c>
      <c r="I10576" s="40" t="s">
        <v>18</v>
      </c>
      <c r="J10576" s="40" t="str">
        <f>HYPERLINK("https://stock.pstatic.net/stock-research/company/18/20250725_company_75623000.pdf","PDF")</f>
        <v>PDF</v>
      </c>
      <c r="K10576" s="12" t="s">
        <v>19569</v>
      </c>
      <c r="L10576" s="20">
        <v>-2.4390243902439029E-2</v>
      </c>
    </row>
    <row r="10577" spans="1:12" x14ac:dyDescent="0.45">
      <c r="A10577" s="12" t="s">
        <v>19487</v>
      </c>
      <c r="B10577" s="12" t="s">
        <v>1552</v>
      </c>
      <c r="C10577" s="13" t="s">
        <v>9704</v>
      </c>
      <c r="D10577" s="13" t="s">
        <v>158</v>
      </c>
      <c r="E10577" s="12" t="s">
        <v>35</v>
      </c>
      <c r="F10577" s="14">
        <v>130000</v>
      </c>
      <c r="G10577" s="14">
        <v>94600</v>
      </c>
      <c r="H10577" s="13" t="s">
        <v>19570</v>
      </c>
      <c r="I10577" s="40" t="s">
        <v>18</v>
      </c>
      <c r="J10577" s="40" t="str">
        <f>HYPERLINK("https://stock.pstatic.net/stock-research/company/18/20250725_company_217823000.pdf","PDF")</f>
        <v>PDF</v>
      </c>
      <c r="K10577" s="12" t="s">
        <v>19571</v>
      </c>
      <c r="L10577" s="20">
        <v>0.37420718816067661</v>
      </c>
    </row>
    <row r="10578" spans="1:12" x14ac:dyDescent="0.45">
      <c r="A10578" s="12" t="s">
        <v>19487</v>
      </c>
      <c r="B10578" s="12" t="s">
        <v>3373</v>
      </c>
      <c r="C10578" s="13" t="s">
        <v>3374</v>
      </c>
      <c r="D10578" s="13" t="s">
        <v>158</v>
      </c>
      <c r="E10578" s="12" t="s">
        <v>35</v>
      </c>
      <c r="F10578" s="14">
        <v>141000</v>
      </c>
      <c r="G10578" s="14">
        <v>117200</v>
      </c>
      <c r="H10578" s="13" t="s">
        <v>19572</v>
      </c>
      <c r="I10578" s="40" t="s">
        <v>18</v>
      </c>
      <c r="J10578" s="40" t="str">
        <f>HYPERLINK("https://stock.pstatic.net/stock-research/company/1/20250725_company_18795000.pdf","PDF")</f>
        <v>PDF</v>
      </c>
      <c r="K10578" s="12" t="s">
        <v>19573</v>
      </c>
      <c r="L10578" s="20">
        <v>0.2030716723549488</v>
      </c>
    </row>
    <row r="10579" spans="1:12" x14ac:dyDescent="0.45">
      <c r="A10579" s="12" t="s">
        <v>19487</v>
      </c>
      <c r="B10579" s="12" t="s">
        <v>3492</v>
      </c>
      <c r="C10579" s="13" t="s">
        <v>3493</v>
      </c>
      <c r="D10579" s="13" t="s">
        <v>158</v>
      </c>
      <c r="E10579" s="12" t="s">
        <v>159</v>
      </c>
      <c r="F10579" s="14">
        <v>22000</v>
      </c>
      <c r="G10579" s="14">
        <v>20250</v>
      </c>
      <c r="H10579" s="13" t="s">
        <v>19574</v>
      </c>
      <c r="I10579" s="40" t="s">
        <v>18</v>
      </c>
      <c r="J10579" s="40" t="str">
        <f>HYPERLINK("https://stock.pstatic.net/stock-research/company/1/20250725_company_313815000.pdf","PDF")</f>
        <v>PDF</v>
      </c>
      <c r="K10579" s="12" t="s">
        <v>19575</v>
      </c>
      <c r="L10579" s="20">
        <v>8.6419753086419748E-2</v>
      </c>
    </row>
    <row r="10580" spans="1:12" x14ac:dyDescent="0.45">
      <c r="A10580" s="12" t="s">
        <v>19487</v>
      </c>
      <c r="B10580" s="12" t="s">
        <v>95</v>
      </c>
      <c r="C10580" s="13" t="s">
        <v>31</v>
      </c>
      <c r="D10580" s="13" t="s">
        <v>158</v>
      </c>
      <c r="E10580" s="12" t="s">
        <v>35</v>
      </c>
      <c r="F10580" s="14">
        <v>34500</v>
      </c>
      <c r="G10580" s="14">
        <v>25500</v>
      </c>
      <c r="H10580" s="13" t="s">
        <v>19576</v>
      </c>
      <c r="I10580" s="40" t="s">
        <v>18</v>
      </c>
      <c r="J10580" s="40" t="str">
        <f>HYPERLINK("https://stock.pstatic.net/stock-research/company/18/20250725_company_64475000.pdf","PDF")</f>
        <v>PDF</v>
      </c>
      <c r="K10580" s="12" t="s">
        <v>19577</v>
      </c>
      <c r="L10580" s="20">
        <v>0.35294117647058831</v>
      </c>
    </row>
    <row r="10581" spans="1:12" x14ac:dyDescent="0.45">
      <c r="A10581" s="12" t="s">
        <v>19487</v>
      </c>
      <c r="B10581" s="12" t="s">
        <v>13983</v>
      </c>
      <c r="C10581" s="13" t="s">
        <v>13984</v>
      </c>
      <c r="D10581" s="13" t="s">
        <v>158</v>
      </c>
      <c r="E10581" s="12" t="s">
        <v>35</v>
      </c>
      <c r="F10581" s="14">
        <v>18000</v>
      </c>
      <c r="G10581" s="14">
        <v>14940</v>
      </c>
      <c r="H10581" s="13" t="s">
        <v>19578</v>
      </c>
      <c r="I10581" s="40" t="s">
        <v>18</v>
      </c>
      <c r="J10581" s="40" t="str">
        <f>HYPERLINK("https://stock.pstatic.net/stock-research/company/18/20250725_company_743891000.pdf","PDF")</f>
        <v>PDF</v>
      </c>
      <c r="K10581" s="12" t="s">
        <v>19579</v>
      </c>
      <c r="L10581" s="20">
        <v>0.2048192771084337</v>
      </c>
    </row>
    <row r="10582" spans="1:12" x14ac:dyDescent="0.45">
      <c r="A10582" s="12" t="s">
        <v>19487</v>
      </c>
      <c r="B10582" s="12" t="s">
        <v>3478</v>
      </c>
      <c r="C10582" s="13" t="s">
        <v>3479</v>
      </c>
      <c r="D10582" s="13" t="s">
        <v>158</v>
      </c>
      <c r="E10582" s="12" t="s">
        <v>35</v>
      </c>
      <c r="F10582" s="14">
        <v>50000</v>
      </c>
      <c r="G10582" s="14">
        <v>36750</v>
      </c>
      <c r="H10582" s="13" t="s">
        <v>19580</v>
      </c>
      <c r="I10582" s="40" t="s">
        <v>18</v>
      </c>
      <c r="J10582" s="40" t="str">
        <f>HYPERLINK("https://stock.pstatic.net/stock-research/company/1/20250725_company_66180000.pdf","PDF")</f>
        <v>PDF</v>
      </c>
      <c r="K10582" s="12" t="s">
        <v>19581</v>
      </c>
      <c r="L10582" s="20">
        <v>0.36054421768707479</v>
      </c>
    </row>
    <row r="10583" spans="1:12" x14ac:dyDescent="0.45">
      <c r="A10583" s="12" t="s">
        <v>19487</v>
      </c>
      <c r="B10583" s="12" t="s">
        <v>3403</v>
      </c>
      <c r="C10583" s="13" t="s">
        <v>3404</v>
      </c>
      <c r="D10583" s="13" t="s">
        <v>83</v>
      </c>
      <c r="E10583" s="12" t="s">
        <v>35</v>
      </c>
      <c r="F10583" s="14">
        <v>45000</v>
      </c>
      <c r="G10583" s="14">
        <v>36200</v>
      </c>
      <c r="H10583" s="13" t="s">
        <v>19582</v>
      </c>
      <c r="I10583" s="40" t="s">
        <v>18</v>
      </c>
      <c r="J10583" s="40" t="str">
        <f>HYPERLINK("https://stock.pstatic.net/stock-research/company/2/20250725_company_43776000.pdf","PDF")</f>
        <v>PDF</v>
      </c>
      <c r="K10583" s="12" t="s">
        <v>19583</v>
      </c>
      <c r="L10583" s="20">
        <v>0.24309392265193369</v>
      </c>
    </row>
    <row r="10584" spans="1:12" x14ac:dyDescent="0.45">
      <c r="A10584" s="12" t="s">
        <v>19487</v>
      </c>
      <c r="B10584" s="12" t="s">
        <v>3749</v>
      </c>
      <c r="C10584" s="13" t="s">
        <v>3750</v>
      </c>
      <c r="D10584" s="13" t="s">
        <v>83</v>
      </c>
      <c r="E10584" s="12" t="s">
        <v>35</v>
      </c>
      <c r="F10584" s="14">
        <v>200000</v>
      </c>
      <c r="G10584" s="14">
        <v>142200</v>
      </c>
      <c r="H10584" s="13" t="s">
        <v>19584</v>
      </c>
      <c r="I10584" s="40" t="s">
        <v>18</v>
      </c>
      <c r="J10584" s="40" t="str">
        <f>HYPERLINK("https://stock.pstatic.net/stock-research/company/2/20250725_company_310572000.pdf","PDF")</f>
        <v>PDF</v>
      </c>
      <c r="K10584" s="12" t="s">
        <v>19585</v>
      </c>
      <c r="L10584" s="20">
        <v>0.40646976090014059</v>
      </c>
    </row>
    <row r="10585" spans="1:12" x14ac:dyDescent="0.45">
      <c r="A10585" s="12" t="s">
        <v>19487</v>
      </c>
      <c r="B10585" s="12" t="s">
        <v>334</v>
      </c>
      <c r="C10585" s="13" t="s">
        <v>335</v>
      </c>
      <c r="D10585" s="13" t="s">
        <v>83</v>
      </c>
      <c r="E10585" s="12" t="s">
        <v>35</v>
      </c>
      <c r="F10585" s="14">
        <v>330000</v>
      </c>
      <c r="G10585" s="14">
        <v>269500</v>
      </c>
      <c r="H10585" s="13" t="s">
        <v>19586</v>
      </c>
      <c r="I10585" s="40" t="s">
        <v>18</v>
      </c>
      <c r="J10585" s="40" t="str">
        <f>HYPERLINK("https://stock.pstatic.net/stock-research/company/2/20250725_company_465547000.pdf","PDF")</f>
        <v>PDF</v>
      </c>
      <c r="K10585" s="12" t="s">
        <v>19587</v>
      </c>
      <c r="L10585" s="20">
        <v>0.22448979591836729</v>
      </c>
    </row>
    <row r="10586" spans="1:12" x14ac:dyDescent="0.45">
      <c r="A10586" s="12" t="s">
        <v>19487</v>
      </c>
      <c r="B10586" s="12" t="s">
        <v>4021</v>
      </c>
      <c r="C10586" s="13" t="s">
        <v>4022</v>
      </c>
      <c r="D10586" s="13" t="s">
        <v>83</v>
      </c>
      <c r="E10586" s="12" t="s">
        <v>35</v>
      </c>
      <c r="F10586" s="14">
        <v>360000</v>
      </c>
      <c r="G10586" s="14">
        <v>289000</v>
      </c>
      <c r="H10586" s="13" t="s">
        <v>19588</v>
      </c>
      <c r="I10586" s="40" t="s">
        <v>18</v>
      </c>
      <c r="J10586" s="40" t="str">
        <f>HYPERLINK("https://stock.pstatic.net/stock-research/company/2/20250725_company_383551000.pdf","PDF")</f>
        <v>PDF</v>
      </c>
      <c r="K10586" s="12" t="s">
        <v>19589</v>
      </c>
      <c r="L10586" s="20">
        <v>0.24567474048442911</v>
      </c>
    </row>
    <row r="10587" spans="1:12" x14ac:dyDescent="0.45">
      <c r="A10587" s="12" t="s">
        <v>19487</v>
      </c>
      <c r="B10587" s="12" t="s">
        <v>3478</v>
      </c>
      <c r="C10587" s="13" t="s">
        <v>3479</v>
      </c>
      <c r="D10587" s="13" t="s">
        <v>83</v>
      </c>
      <c r="E10587" s="12" t="s">
        <v>35</v>
      </c>
      <c r="F10587" s="14">
        <v>43000</v>
      </c>
      <c r="G10587" s="14">
        <v>36750</v>
      </c>
      <c r="H10587" s="13" t="s">
        <v>19590</v>
      </c>
      <c r="I10587" s="40" t="s">
        <v>18</v>
      </c>
      <c r="J10587" s="40" t="str">
        <f>HYPERLINK("https://stock.pstatic.net/stock-research/company/2/20250725_company_355819000.pdf","PDF")</f>
        <v>PDF</v>
      </c>
      <c r="K10587" s="12" t="s">
        <v>19591</v>
      </c>
      <c r="L10587" s="20">
        <v>0.17006802721088429</v>
      </c>
    </row>
    <row r="10588" spans="1:12" x14ac:dyDescent="0.45">
      <c r="A10588" s="12" t="s">
        <v>19487</v>
      </c>
      <c r="B10588" s="12" t="s">
        <v>95</v>
      </c>
      <c r="C10588" s="13" t="s">
        <v>31</v>
      </c>
      <c r="D10588" s="13" t="s">
        <v>83</v>
      </c>
      <c r="E10588" s="12" t="s">
        <v>35</v>
      </c>
      <c r="F10588" s="14">
        <v>35000</v>
      </c>
      <c r="G10588" s="14">
        <v>25500</v>
      </c>
      <c r="H10588" s="13" t="s">
        <v>19592</v>
      </c>
      <c r="I10588" s="40" t="s">
        <v>18</v>
      </c>
      <c r="J10588" s="40" t="str">
        <f>HYPERLINK("https://stock.pstatic.net/stock-research/company/2/20250725_company_878005000.pdf","PDF")</f>
        <v>PDF</v>
      </c>
      <c r="K10588" s="12" t="s">
        <v>19593</v>
      </c>
      <c r="L10588" s="20">
        <v>0.37254901960784309</v>
      </c>
    </row>
    <row r="10589" spans="1:12" x14ac:dyDescent="0.45">
      <c r="A10589" s="12" t="s">
        <v>19487</v>
      </c>
      <c r="B10589" s="12" t="s">
        <v>3373</v>
      </c>
      <c r="C10589" s="13" t="s">
        <v>3374</v>
      </c>
      <c r="D10589" s="13" t="s">
        <v>83</v>
      </c>
      <c r="E10589" s="12" t="s">
        <v>35</v>
      </c>
      <c r="F10589" s="14">
        <v>132000</v>
      </c>
      <c r="G10589" s="14">
        <v>117200</v>
      </c>
      <c r="H10589" s="13" t="s">
        <v>19594</v>
      </c>
      <c r="I10589" s="40" t="s">
        <v>18</v>
      </c>
      <c r="J10589" s="40" t="str">
        <f>HYPERLINK("https://stock.pstatic.net/stock-research/company/2/20250725_company_275147000.pdf","PDF")</f>
        <v>PDF</v>
      </c>
      <c r="K10589" s="12" t="s">
        <v>19595</v>
      </c>
      <c r="L10589" s="20">
        <v>0.12627986348122869</v>
      </c>
    </row>
    <row r="10590" spans="1:12" x14ac:dyDescent="0.45">
      <c r="A10590" s="12" t="s">
        <v>19487</v>
      </c>
      <c r="B10590" s="12" t="s">
        <v>744</v>
      </c>
      <c r="C10590" s="13" t="s">
        <v>745</v>
      </c>
      <c r="D10590" s="13" t="s">
        <v>83</v>
      </c>
      <c r="E10590" s="12" t="s">
        <v>35</v>
      </c>
      <c r="F10590" s="14">
        <v>22000</v>
      </c>
      <c r="G10590" s="14">
        <v>19450</v>
      </c>
      <c r="H10590" s="13" t="s">
        <v>19596</v>
      </c>
      <c r="I10590" s="40" t="s">
        <v>18</v>
      </c>
      <c r="J10590" s="40" t="str">
        <f>HYPERLINK("https://stock.pstatic.net/stock-research/company/2/20250725_company_291923000.pdf","PDF")</f>
        <v>PDF</v>
      </c>
      <c r="K10590" s="12" t="s">
        <v>19597</v>
      </c>
      <c r="L10590" s="20">
        <v>0.13110539845758351</v>
      </c>
    </row>
    <row r="10591" spans="1:12" x14ac:dyDescent="0.45">
      <c r="A10591" s="12" t="s">
        <v>19487</v>
      </c>
      <c r="B10591" s="12" t="s">
        <v>5767</v>
      </c>
      <c r="C10591" s="13" t="s">
        <v>5768</v>
      </c>
      <c r="D10591" s="13" t="s">
        <v>83</v>
      </c>
      <c r="E10591" s="12" t="s">
        <v>35</v>
      </c>
      <c r="F10591" s="14">
        <v>41000</v>
      </c>
      <c r="G10591" s="14">
        <v>34300</v>
      </c>
      <c r="H10591" s="13" t="s">
        <v>19598</v>
      </c>
      <c r="I10591" s="40" t="s">
        <v>18</v>
      </c>
      <c r="J10591" s="40" t="str">
        <f>HYPERLINK("https://stock.pstatic.net/stock-research/company/2/20250725_company_979842000.pdf","PDF")</f>
        <v>PDF</v>
      </c>
      <c r="K10591" s="12" t="s">
        <v>19599</v>
      </c>
      <c r="L10591" s="20">
        <v>0.19533527696792999</v>
      </c>
    </row>
    <row r="10592" spans="1:12" x14ac:dyDescent="0.45">
      <c r="A10592" s="12" t="s">
        <v>19487</v>
      </c>
      <c r="B10592" s="12" t="s">
        <v>519</v>
      </c>
      <c r="C10592" s="13" t="s">
        <v>520</v>
      </c>
      <c r="D10592" s="13" t="s">
        <v>83</v>
      </c>
      <c r="E10592" s="12" t="s">
        <v>35</v>
      </c>
      <c r="F10592" s="14">
        <v>270000</v>
      </c>
      <c r="G10592" s="14">
        <v>217500</v>
      </c>
      <c r="H10592" s="13" t="s">
        <v>19600</v>
      </c>
      <c r="I10592" s="40" t="s">
        <v>18</v>
      </c>
      <c r="J10592" s="40" t="str">
        <f>HYPERLINK("https://stock.pstatic.net/stock-research/company/2/20250725_company_118621000.pdf","PDF")</f>
        <v>PDF</v>
      </c>
      <c r="K10592" s="12" t="s">
        <v>19601</v>
      </c>
      <c r="L10592" s="20">
        <v>0.2413793103448276</v>
      </c>
    </row>
    <row r="10593" spans="1:12" x14ac:dyDescent="0.45">
      <c r="A10593" s="12" t="s">
        <v>19487</v>
      </c>
      <c r="B10593" s="12" t="s">
        <v>9369</v>
      </c>
      <c r="C10593" s="13" t="s">
        <v>9370</v>
      </c>
      <c r="D10593" s="13" t="s">
        <v>15</v>
      </c>
      <c r="E10593" s="12" t="s">
        <v>385</v>
      </c>
      <c r="F10593" s="14">
        <v>35000</v>
      </c>
      <c r="G10593" s="14">
        <v>32750</v>
      </c>
      <c r="H10593" s="13" t="s">
        <v>19602</v>
      </c>
      <c r="I10593" s="40" t="s">
        <v>18</v>
      </c>
      <c r="J10593" s="40" t="str">
        <f>HYPERLINK("https://stock.pstatic.net/stock-research/company/1/20250725_company_674996000.pdf","PDF")</f>
        <v>PDF</v>
      </c>
      <c r="K10593" s="12" t="s">
        <v>19603</v>
      </c>
      <c r="L10593" s="20">
        <v>6.8702290076335881E-2</v>
      </c>
    </row>
    <row r="10594" spans="1:12" x14ac:dyDescent="0.45">
      <c r="A10594" s="12" t="s">
        <v>19487</v>
      </c>
      <c r="B10594" s="12" t="s">
        <v>3355</v>
      </c>
      <c r="C10594" s="13" t="s">
        <v>3356</v>
      </c>
      <c r="D10594" s="13" t="s">
        <v>15</v>
      </c>
      <c r="E10594" s="12" t="s">
        <v>16</v>
      </c>
      <c r="F10594" s="14">
        <v>68000</v>
      </c>
      <c r="G10594" s="14">
        <v>49300</v>
      </c>
      <c r="H10594" s="13" t="s">
        <v>19604</v>
      </c>
      <c r="I10594" s="40" t="s">
        <v>18</v>
      </c>
      <c r="J10594" s="40" t="str">
        <f>HYPERLINK("https://stock.pstatic.net/stock-research/company/29/20250725_company_59712000.pdf","PDF")</f>
        <v>PDF</v>
      </c>
      <c r="K10594" s="12" t="s">
        <v>19605</v>
      </c>
      <c r="L10594" s="20">
        <v>0.37931034482758619</v>
      </c>
    </row>
    <row r="10595" spans="1:12" x14ac:dyDescent="0.45">
      <c r="A10595" s="12" t="s">
        <v>19487</v>
      </c>
      <c r="B10595" s="12" t="s">
        <v>95</v>
      </c>
      <c r="C10595" s="13" t="s">
        <v>31</v>
      </c>
      <c r="D10595" s="13" t="s">
        <v>15</v>
      </c>
      <c r="E10595" s="12" t="s">
        <v>16</v>
      </c>
      <c r="F10595" s="14">
        <v>32000</v>
      </c>
      <c r="G10595" s="14">
        <v>25500</v>
      </c>
      <c r="H10595" s="13" t="s">
        <v>19606</v>
      </c>
      <c r="I10595" s="40" t="s">
        <v>18</v>
      </c>
      <c r="J10595" s="40" t="str">
        <f>HYPERLINK("https://stock.pstatic.net/stock-research/company/29/20250725_company_790437000.pdf","PDF")</f>
        <v>PDF</v>
      </c>
      <c r="K10595" s="12" t="s">
        <v>19607</v>
      </c>
      <c r="L10595" s="20">
        <v>0.25490196078431371</v>
      </c>
    </row>
    <row r="10596" spans="1:12" x14ac:dyDescent="0.45">
      <c r="A10596" s="12" t="s">
        <v>19487</v>
      </c>
      <c r="B10596" s="12" t="s">
        <v>3749</v>
      </c>
      <c r="C10596" s="13" t="s">
        <v>3750</v>
      </c>
      <c r="D10596" s="13" t="s">
        <v>15</v>
      </c>
      <c r="E10596" s="12" t="s">
        <v>16</v>
      </c>
      <c r="F10596" s="14">
        <v>180000</v>
      </c>
      <c r="G10596" s="14">
        <v>142200</v>
      </c>
      <c r="H10596" s="13" t="s">
        <v>19608</v>
      </c>
      <c r="I10596" s="40" t="s">
        <v>18</v>
      </c>
      <c r="J10596" s="40" t="str">
        <f>HYPERLINK("https://stock.pstatic.net/stock-research/company/29/20250725_company_274880000.pdf","PDF")</f>
        <v>PDF</v>
      </c>
      <c r="K10596" s="12" t="s">
        <v>19609</v>
      </c>
      <c r="L10596" s="20">
        <v>0.26582278481012661</v>
      </c>
    </row>
    <row r="10597" spans="1:12" x14ac:dyDescent="0.45">
      <c r="A10597" s="12" t="s">
        <v>19487</v>
      </c>
      <c r="B10597" s="12" t="s">
        <v>3478</v>
      </c>
      <c r="C10597" s="13" t="s">
        <v>3479</v>
      </c>
      <c r="D10597" s="13" t="s">
        <v>15</v>
      </c>
      <c r="E10597" s="12" t="s">
        <v>16</v>
      </c>
      <c r="F10597" s="14">
        <v>46000</v>
      </c>
      <c r="G10597" s="14">
        <v>36750</v>
      </c>
      <c r="H10597" s="13" t="s">
        <v>19610</v>
      </c>
      <c r="I10597" s="40" t="s">
        <v>18</v>
      </c>
      <c r="J10597" s="40" t="str">
        <f>HYPERLINK("https://stock.pstatic.net/stock-research/company/29/20250725_company_824482000.pdf","PDF")</f>
        <v>PDF</v>
      </c>
      <c r="K10597" s="12" t="s">
        <v>19611</v>
      </c>
      <c r="L10597" s="20">
        <v>0.25170068027210879</v>
      </c>
    </row>
    <row r="10598" spans="1:12" x14ac:dyDescent="0.45">
      <c r="A10598" s="12" t="s">
        <v>19487</v>
      </c>
      <c r="B10598" s="12" t="s">
        <v>736</v>
      </c>
      <c r="C10598" s="13" t="s">
        <v>737</v>
      </c>
      <c r="D10598" s="13" t="s">
        <v>15</v>
      </c>
      <c r="E10598" s="12" t="s">
        <v>16</v>
      </c>
      <c r="F10598" s="14">
        <v>128000</v>
      </c>
      <c r="G10598" s="14">
        <v>89200</v>
      </c>
      <c r="H10598" s="13" t="s">
        <v>19612</v>
      </c>
      <c r="I10598" s="40" t="s">
        <v>18</v>
      </c>
      <c r="J10598" s="40" t="str">
        <f>HYPERLINK("https://stock.pstatic.net/stock-research/company/29/20250725_company_137240000.pdf","PDF")</f>
        <v>PDF</v>
      </c>
      <c r="K10598" s="12" t="s">
        <v>19613</v>
      </c>
      <c r="L10598" s="20">
        <v>0.4349775784753363</v>
      </c>
    </row>
    <row r="10599" spans="1:12" x14ac:dyDescent="0.45">
      <c r="A10599" s="12" t="s">
        <v>19487</v>
      </c>
      <c r="B10599" s="12" t="s">
        <v>1087</v>
      </c>
      <c r="C10599" s="13" t="s">
        <v>1088</v>
      </c>
      <c r="D10599" s="13" t="s">
        <v>92</v>
      </c>
      <c r="E10599" s="12" t="s">
        <v>35</v>
      </c>
      <c r="F10599" s="14">
        <v>130000</v>
      </c>
      <c r="G10599" s="14">
        <v>92700</v>
      </c>
      <c r="H10599" s="13" t="s">
        <v>19614</v>
      </c>
      <c r="I10599" s="40" t="s">
        <v>18</v>
      </c>
      <c r="J10599" s="40" t="str">
        <f>HYPERLINK("https://stock.pstatic.net/stock-research/company/63/20250725_company_912200000.pdf","PDF")</f>
        <v>PDF</v>
      </c>
      <c r="K10599" s="12" t="s">
        <v>19615</v>
      </c>
      <c r="L10599" s="20">
        <v>0.40237324703344118</v>
      </c>
    </row>
    <row r="10600" spans="1:12" x14ac:dyDescent="0.45">
      <c r="A10600" s="12" t="s">
        <v>19487</v>
      </c>
      <c r="B10600" s="12" t="s">
        <v>1087</v>
      </c>
      <c r="C10600" s="13" t="s">
        <v>1088</v>
      </c>
      <c r="D10600" s="13" t="s">
        <v>15</v>
      </c>
      <c r="E10600" s="12" t="s">
        <v>16</v>
      </c>
      <c r="F10600" s="14">
        <v>125000</v>
      </c>
      <c r="G10600" s="14">
        <v>92700</v>
      </c>
      <c r="H10600" s="13" t="s">
        <v>19616</v>
      </c>
      <c r="I10600" s="40" t="s">
        <v>18</v>
      </c>
      <c r="J10600" s="40" t="str">
        <f>HYPERLINK("https://stock.pstatic.net/stock-research/company/29/20250725_company_867360000.pdf","PDF")</f>
        <v>PDF</v>
      </c>
      <c r="K10600" s="12" t="s">
        <v>19617</v>
      </c>
      <c r="L10600" s="20">
        <v>0.34843581445523192</v>
      </c>
    </row>
    <row r="10601" spans="1:12" x14ac:dyDescent="0.45">
      <c r="A10601" s="12" t="s">
        <v>19487</v>
      </c>
      <c r="B10601" s="12" t="s">
        <v>836</v>
      </c>
      <c r="C10601" s="13" t="s">
        <v>837</v>
      </c>
      <c r="D10601" s="13" t="s">
        <v>179</v>
      </c>
      <c r="E10601" s="12" t="s">
        <v>16</v>
      </c>
      <c r="F10601" s="14">
        <v>180000</v>
      </c>
      <c r="G10601" s="14">
        <v>152000</v>
      </c>
      <c r="H10601" s="13" t="s">
        <v>19618</v>
      </c>
      <c r="I10601" s="40" t="s">
        <v>18</v>
      </c>
      <c r="J10601" s="40" t="str">
        <f>HYPERLINK("https://stock.pstatic.net/stock-research/company/31/20250725_company_183895000.pdf","PDF")</f>
        <v>PDF</v>
      </c>
      <c r="K10601" s="12" t="s">
        <v>19619</v>
      </c>
      <c r="L10601" s="20">
        <v>0.18421052631578949</v>
      </c>
    </row>
    <row r="10602" spans="1:12" x14ac:dyDescent="0.45">
      <c r="A10602" s="12" t="s">
        <v>19487</v>
      </c>
      <c r="B10602" s="12" t="s">
        <v>744</v>
      </c>
      <c r="C10602" s="13" t="s">
        <v>745</v>
      </c>
      <c r="D10602" s="13" t="s">
        <v>23</v>
      </c>
      <c r="E10602" s="12" t="s">
        <v>16</v>
      </c>
      <c r="F10602" s="14">
        <v>17000</v>
      </c>
      <c r="G10602" s="14">
        <v>19450</v>
      </c>
      <c r="H10602" s="13" t="s">
        <v>19620</v>
      </c>
      <c r="I10602" s="40" t="s">
        <v>18</v>
      </c>
      <c r="J10602" s="40" t="str">
        <f>HYPERLINK("https://stock.pstatic.net/stock-research/company/21/20250725_company_714921000.pdf","PDF")</f>
        <v>PDF</v>
      </c>
      <c r="K10602" s="12" t="s">
        <v>19621</v>
      </c>
      <c r="L10602" s="20">
        <v>-0.12596401028277629</v>
      </c>
    </row>
    <row r="10603" spans="1:12" x14ac:dyDescent="0.45">
      <c r="A10603" s="12" t="s">
        <v>19487</v>
      </c>
      <c r="B10603" s="12" t="s">
        <v>3087</v>
      </c>
      <c r="C10603" s="13" t="s">
        <v>3088</v>
      </c>
      <c r="D10603" s="13" t="s">
        <v>23</v>
      </c>
      <c r="E10603" s="12" t="s">
        <v>50</v>
      </c>
      <c r="F10603" s="13"/>
      <c r="G10603" s="14">
        <v>185200</v>
      </c>
      <c r="H10603" s="13" t="s">
        <v>19622</v>
      </c>
      <c r="I10603" s="40" t="s">
        <v>18</v>
      </c>
      <c r="J10603" s="40" t="str">
        <f>HYPERLINK("https://stock.pstatic.net/stock-research/company/21/20250725_company_597291000.pdf","PDF")</f>
        <v>PDF</v>
      </c>
      <c r="K10603" s="12" t="s">
        <v>19623</v>
      </c>
    </row>
    <row r="10604" spans="1:12" x14ac:dyDescent="0.45">
      <c r="A10604" s="12" t="s">
        <v>19487</v>
      </c>
      <c r="B10604" s="12" t="s">
        <v>1652</v>
      </c>
      <c r="C10604" s="13" t="s">
        <v>1653</v>
      </c>
      <c r="D10604" s="13" t="s">
        <v>15</v>
      </c>
      <c r="E10604" s="12" t="s">
        <v>16</v>
      </c>
      <c r="F10604" s="14">
        <v>60000</v>
      </c>
      <c r="G10604" s="14">
        <v>49050</v>
      </c>
      <c r="H10604" s="13" t="s">
        <v>19624</v>
      </c>
      <c r="I10604" s="40" t="s">
        <v>18</v>
      </c>
      <c r="J10604" s="40" t="str">
        <f>HYPERLINK("https://stock.pstatic.net/stock-research/company/29/20250725_company_771710000.pdf","PDF")</f>
        <v>PDF</v>
      </c>
      <c r="K10604" s="12" t="s">
        <v>19625</v>
      </c>
      <c r="L10604" s="20">
        <v>0.22324159021406731</v>
      </c>
    </row>
    <row r="10605" spans="1:12" x14ac:dyDescent="0.45">
      <c r="A10605" s="12" t="s">
        <v>19487</v>
      </c>
      <c r="B10605" s="12" t="s">
        <v>4021</v>
      </c>
      <c r="C10605" s="13" t="s">
        <v>4022</v>
      </c>
      <c r="D10605" s="13" t="s">
        <v>53</v>
      </c>
      <c r="E10605" s="12" t="s">
        <v>16</v>
      </c>
      <c r="F10605" s="14">
        <v>340000</v>
      </c>
      <c r="G10605" s="14">
        <v>289000</v>
      </c>
      <c r="H10605" s="13" t="s">
        <v>19626</v>
      </c>
      <c r="I10605" s="40" t="s">
        <v>18</v>
      </c>
      <c r="J10605" s="40" t="str">
        <f>HYPERLINK("https://stock.pstatic.net/stock-research/company/40/20250725_company_8966000.pdf","PDF")</f>
        <v>PDF</v>
      </c>
      <c r="K10605" s="12" t="s">
        <v>19627</v>
      </c>
      <c r="L10605" s="20">
        <v>0.1764705882352941</v>
      </c>
    </row>
    <row r="10606" spans="1:12" x14ac:dyDescent="0.45">
      <c r="A10606" s="12" t="s">
        <v>19487</v>
      </c>
      <c r="B10606" s="12" t="s">
        <v>3373</v>
      </c>
      <c r="C10606" s="13" t="s">
        <v>3374</v>
      </c>
      <c r="D10606" s="13" t="s">
        <v>15</v>
      </c>
      <c r="E10606" s="12" t="s">
        <v>16</v>
      </c>
      <c r="F10606" s="14">
        <v>167000</v>
      </c>
      <c r="G10606" s="14">
        <v>117200</v>
      </c>
      <c r="H10606" s="13" t="s">
        <v>19628</v>
      </c>
      <c r="I10606" s="40" t="s">
        <v>18</v>
      </c>
      <c r="J10606" s="40" t="str">
        <f>HYPERLINK("https://stock.pstatic.net/stock-research/company/29/20250725_company_137466000.pdf","PDF")</f>
        <v>PDF</v>
      </c>
      <c r="K10606" s="12" t="s">
        <v>19629</v>
      </c>
      <c r="L10606" s="20">
        <v>0.42491467576791808</v>
      </c>
    </row>
    <row r="10607" spans="1:12" x14ac:dyDescent="0.45">
      <c r="A10607" s="12" t="s">
        <v>19487</v>
      </c>
      <c r="B10607" s="12" t="s">
        <v>736</v>
      </c>
      <c r="C10607" s="13" t="s">
        <v>737</v>
      </c>
      <c r="D10607" s="13" t="s">
        <v>92</v>
      </c>
      <c r="E10607" s="12" t="s">
        <v>35</v>
      </c>
      <c r="F10607" s="14">
        <v>117000</v>
      </c>
      <c r="G10607" s="14">
        <v>89200</v>
      </c>
      <c r="H10607" s="13" t="s">
        <v>8633</v>
      </c>
      <c r="I10607" s="40" t="s">
        <v>18</v>
      </c>
      <c r="J10607" s="40" t="str">
        <f>HYPERLINK("https://stock.pstatic.net/stock-research/company/63/20250725_company_920075000.pdf","PDF")</f>
        <v>PDF</v>
      </c>
      <c r="K10607" s="12" t="s">
        <v>19630</v>
      </c>
      <c r="L10607" s="20">
        <v>0.31165919282511212</v>
      </c>
    </row>
    <row r="10608" spans="1:12" x14ac:dyDescent="0.45">
      <c r="A10608" s="12" t="s">
        <v>19487</v>
      </c>
      <c r="B10608" s="12" t="s">
        <v>744</v>
      </c>
      <c r="C10608" s="13" t="s">
        <v>745</v>
      </c>
      <c r="D10608" s="13" t="s">
        <v>92</v>
      </c>
      <c r="E10608" s="12" t="s">
        <v>35</v>
      </c>
      <c r="F10608" s="14">
        <v>26000</v>
      </c>
      <c r="G10608" s="14">
        <v>19450</v>
      </c>
      <c r="H10608" s="13" t="s">
        <v>19631</v>
      </c>
      <c r="I10608" s="40" t="s">
        <v>18</v>
      </c>
      <c r="J10608" s="40" t="str">
        <f>HYPERLINK("https://stock.pstatic.net/stock-research/company/63/20250725_company_2361000.pdf","PDF")</f>
        <v>PDF</v>
      </c>
      <c r="K10608" s="12" t="s">
        <v>19632</v>
      </c>
      <c r="L10608" s="20">
        <v>0.33676092544987152</v>
      </c>
    </row>
    <row r="10609" spans="1:12" x14ac:dyDescent="0.45">
      <c r="A10609" s="12" t="s">
        <v>19487</v>
      </c>
      <c r="B10609" s="12" t="s">
        <v>3813</v>
      </c>
      <c r="C10609" s="13" t="s">
        <v>3814</v>
      </c>
      <c r="D10609" s="13" t="s">
        <v>53</v>
      </c>
      <c r="E10609" s="12" t="s">
        <v>16</v>
      </c>
      <c r="F10609" s="14">
        <v>16000</v>
      </c>
      <c r="G10609" s="14">
        <v>9220</v>
      </c>
      <c r="H10609" s="13" t="s">
        <v>19633</v>
      </c>
      <c r="I10609" s="40" t="s">
        <v>18</v>
      </c>
      <c r="J10609" s="40" t="str">
        <f>HYPERLINK("https://stock.pstatic.net/stock-research/company/40/20250725_company_190057000.pdf","PDF")</f>
        <v>PDF</v>
      </c>
      <c r="K10609" s="12" t="s">
        <v>19634</v>
      </c>
      <c r="L10609" s="20">
        <v>0.73535791757049895</v>
      </c>
    </row>
    <row r="10610" spans="1:12" x14ac:dyDescent="0.45">
      <c r="A10610" s="12" t="s">
        <v>19487</v>
      </c>
      <c r="B10610" s="12" t="s">
        <v>519</v>
      </c>
      <c r="C10610" s="13" t="s">
        <v>520</v>
      </c>
      <c r="D10610" s="13" t="s">
        <v>53</v>
      </c>
      <c r="E10610" s="12" t="s">
        <v>16</v>
      </c>
      <c r="F10610" s="14">
        <v>260000</v>
      </c>
      <c r="G10610" s="14">
        <v>217500</v>
      </c>
      <c r="H10610" s="13" t="s">
        <v>15592</v>
      </c>
      <c r="I10610" s="40" t="s">
        <v>18</v>
      </c>
      <c r="J10610" s="40" t="str">
        <f>HYPERLINK("https://stock.pstatic.net/stock-research/company/40/20250725_company_872288000.pdf","PDF")</f>
        <v>PDF</v>
      </c>
      <c r="K10610" s="12" t="s">
        <v>19635</v>
      </c>
      <c r="L10610" s="20">
        <v>0.1954022988505747</v>
      </c>
    </row>
    <row r="10611" spans="1:12" x14ac:dyDescent="0.45">
      <c r="A10611" s="12" t="s">
        <v>19487</v>
      </c>
      <c r="B10611" s="12" t="s">
        <v>3492</v>
      </c>
      <c r="C10611" s="13" t="s">
        <v>3493</v>
      </c>
      <c r="D10611" s="13" t="s">
        <v>15</v>
      </c>
      <c r="E10611" s="12" t="s">
        <v>385</v>
      </c>
      <c r="F10611" s="14">
        <v>20000</v>
      </c>
      <c r="G10611" s="14">
        <v>20250</v>
      </c>
      <c r="H10611" s="13" t="s">
        <v>19636</v>
      </c>
      <c r="I10611" s="40" t="s">
        <v>18</v>
      </c>
      <c r="J10611" s="40" t="str">
        <f>HYPERLINK("https://stock.pstatic.net/stock-research/company/29/20250725_company_115944000.pdf","PDF")</f>
        <v>PDF</v>
      </c>
      <c r="K10611" s="12" t="s">
        <v>19637</v>
      </c>
      <c r="L10611" s="20">
        <v>-1.234567901234568E-2</v>
      </c>
    </row>
    <row r="10612" spans="1:12" x14ac:dyDescent="0.45">
      <c r="A10612" s="12" t="s">
        <v>19487</v>
      </c>
      <c r="B10612" s="12" t="s">
        <v>519</v>
      </c>
      <c r="C10612" s="13" t="s">
        <v>520</v>
      </c>
      <c r="D10612" s="13" t="s">
        <v>15</v>
      </c>
      <c r="E10612" s="12" t="s">
        <v>16</v>
      </c>
      <c r="F10612" s="14">
        <v>320000</v>
      </c>
      <c r="G10612" s="14">
        <v>217500</v>
      </c>
      <c r="H10612" s="13" t="s">
        <v>19638</v>
      </c>
      <c r="I10612" s="40" t="s">
        <v>18</v>
      </c>
      <c r="J10612" s="40" t="str">
        <f>HYPERLINK("https://stock.pstatic.net/stock-research/company/56/20250725_company_51589000.pdf","PDF")</f>
        <v>PDF</v>
      </c>
      <c r="K10612" s="12" t="s">
        <v>19639</v>
      </c>
      <c r="L10612" s="20">
        <v>0.47126436781609188</v>
      </c>
    </row>
    <row r="10613" spans="1:12" x14ac:dyDescent="0.45">
      <c r="A10613" s="12" t="s">
        <v>19487</v>
      </c>
      <c r="B10613" s="12" t="s">
        <v>334</v>
      </c>
      <c r="C10613" s="13" t="s">
        <v>335</v>
      </c>
      <c r="D10613" s="13" t="s">
        <v>92</v>
      </c>
      <c r="E10613" s="12" t="s">
        <v>35</v>
      </c>
      <c r="F10613" s="14">
        <v>330000</v>
      </c>
      <c r="G10613" s="14">
        <v>269500</v>
      </c>
      <c r="H10613" s="13" t="s">
        <v>19640</v>
      </c>
      <c r="I10613" s="40" t="s">
        <v>18</v>
      </c>
      <c r="J10613" s="40" t="str">
        <f>HYPERLINK("https://stock.pstatic.net/stock-research/company/63/20250725_company_4750000.pdf","PDF")</f>
        <v>PDF</v>
      </c>
      <c r="K10613" s="12" t="s">
        <v>19641</v>
      </c>
      <c r="L10613" s="20">
        <v>0.22448979591836729</v>
      </c>
    </row>
    <row r="10614" spans="1:12" x14ac:dyDescent="0.45">
      <c r="A10614" s="12" t="s">
        <v>19487</v>
      </c>
      <c r="B10614" s="12" t="s">
        <v>95</v>
      </c>
      <c r="C10614" s="13" t="s">
        <v>31</v>
      </c>
      <c r="D10614" s="13" t="s">
        <v>53</v>
      </c>
      <c r="E10614" s="12" t="s">
        <v>16</v>
      </c>
      <c r="F10614" s="14">
        <v>30000</v>
      </c>
      <c r="G10614" s="14">
        <v>25500</v>
      </c>
      <c r="H10614" s="13" t="s">
        <v>19642</v>
      </c>
      <c r="I10614" s="40" t="s">
        <v>18</v>
      </c>
      <c r="J10614" s="40" t="str">
        <f>HYPERLINK("https://stock.pstatic.net/stock-research/company/40/20250725_company_419648000.pdf","PDF")</f>
        <v>PDF</v>
      </c>
      <c r="K10614" s="12" t="s">
        <v>19643</v>
      </c>
      <c r="L10614" s="20">
        <v>0.1764705882352941</v>
      </c>
    </row>
    <row r="10615" spans="1:12" x14ac:dyDescent="0.45">
      <c r="A10615" s="12" t="s">
        <v>19487</v>
      </c>
      <c r="B10615" s="12" t="s">
        <v>95</v>
      </c>
      <c r="C10615" s="13" t="s">
        <v>31</v>
      </c>
      <c r="D10615" s="13" t="s">
        <v>23</v>
      </c>
      <c r="E10615" s="12" t="s">
        <v>16</v>
      </c>
      <c r="F10615" s="14">
        <v>31000</v>
      </c>
      <c r="G10615" s="14">
        <v>25500</v>
      </c>
      <c r="H10615" s="13" t="s">
        <v>19644</v>
      </c>
      <c r="I10615" s="40" t="s">
        <v>18</v>
      </c>
      <c r="J10615" s="40" t="str">
        <f>HYPERLINK("https://stock.pstatic.net/stock-research/company/21/20250725_company_355784000.pdf","PDF")</f>
        <v>PDF</v>
      </c>
      <c r="K10615" s="12" t="s">
        <v>19645</v>
      </c>
      <c r="L10615" s="20">
        <v>0.2156862745098039</v>
      </c>
    </row>
    <row r="10616" spans="1:12" x14ac:dyDescent="0.45">
      <c r="A10616" s="12" t="s">
        <v>19487</v>
      </c>
      <c r="B10616" s="12" t="s">
        <v>3369</v>
      </c>
      <c r="C10616" s="13" t="s">
        <v>3370</v>
      </c>
      <c r="D10616" s="13" t="s">
        <v>179</v>
      </c>
      <c r="E10616" s="12" t="s">
        <v>16</v>
      </c>
      <c r="F10616" s="14">
        <v>28000</v>
      </c>
      <c r="G10616" s="14">
        <v>24350</v>
      </c>
      <c r="H10616" s="13" t="s">
        <v>19646</v>
      </c>
      <c r="I10616" s="40" t="s">
        <v>18</v>
      </c>
      <c r="J10616" s="40" t="str">
        <f>HYPERLINK("https://stock.pstatic.net/stock-research/company/31/20250725_company_162276000.pdf","PDF")</f>
        <v>PDF</v>
      </c>
      <c r="K10616" s="12" t="s">
        <v>19647</v>
      </c>
      <c r="L10616" s="20">
        <v>0.14989733059548249</v>
      </c>
    </row>
    <row r="10617" spans="1:12" x14ac:dyDescent="0.45">
      <c r="A10617" s="12" t="s">
        <v>19487</v>
      </c>
      <c r="B10617" s="12" t="s">
        <v>334</v>
      </c>
      <c r="C10617" s="13" t="s">
        <v>335</v>
      </c>
      <c r="D10617" s="13" t="s">
        <v>53</v>
      </c>
      <c r="E10617" s="12" t="s">
        <v>16</v>
      </c>
      <c r="F10617" s="14">
        <v>360000</v>
      </c>
      <c r="G10617" s="14">
        <v>269500</v>
      </c>
      <c r="H10617" s="13" t="s">
        <v>19648</v>
      </c>
      <c r="I10617" s="40" t="s">
        <v>18</v>
      </c>
      <c r="J10617" s="40" t="str">
        <f>HYPERLINK("https://stock.pstatic.net/stock-research/company/40/20250725_company_82273000.pdf","PDF")</f>
        <v>PDF</v>
      </c>
      <c r="K10617" s="12" t="s">
        <v>19649</v>
      </c>
      <c r="L10617" s="20">
        <v>0.3358070500927644</v>
      </c>
    </row>
    <row r="10618" spans="1:12" x14ac:dyDescent="0.45">
      <c r="A10618" s="12" t="s">
        <v>19487</v>
      </c>
      <c r="B10618" s="12" t="s">
        <v>3813</v>
      </c>
      <c r="C10618" s="13" t="s">
        <v>3814</v>
      </c>
      <c r="D10618" s="13" t="s">
        <v>179</v>
      </c>
      <c r="E10618" s="12" t="s">
        <v>16</v>
      </c>
      <c r="F10618" s="14">
        <v>14000</v>
      </c>
      <c r="G10618" s="14">
        <v>9220</v>
      </c>
      <c r="H10618" s="13" t="s">
        <v>19650</v>
      </c>
      <c r="I10618" s="40" t="s">
        <v>18</v>
      </c>
      <c r="J10618" s="40" t="str">
        <f>HYPERLINK("https://stock.pstatic.net/stock-research/company/31/20250725_company_156498000.pdf","PDF")</f>
        <v>PDF</v>
      </c>
      <c r="K10618" s="12" t="s">
        <v>19651</v>
      </c>
      <c r="L10618" s="20">
        <v>0.51843817787418656</v>
      </c>
    </row>
    <row r="10619" spans="1:12" x14ac:dyDescent="0.45">
      <c r="A10619" s="12" t="s">
        <v>19487</v>
      </c>
      <c r="B10619" s="12" t="s">
        <v>4021</v>
      </c>
      <c r="C10619" s="13" t="s">
        <v>4022</v>
      </c>
      <c r="D10619" s="13" t="s">
        <v>23</v>
      </c>
      <c r="E10619" s="12" t="s">
        <v>16</v>
      </c>
      <c r="F10619" s="14">
        <v>360000</v>
      </c>
      <c r="G10619" s="14">
        <v>289000</v>
      </c>
      <c r="H10619" s="13" t="s">
        <v>19652</v>
      </c>
      <c r="I10619" s="40" t="s">
        <v>18</v>
      </c>
      <c r="J10619" s="40" t="str">
        <f>HYPERLINK("https://stock.pstatic.net/stock-research/company/21/20250725_company_875646000.pdf","PDF")</f>
        <v>PDF</v>
      </c>
      <c r="K10619" s="12" t="s">
        <v>19653</v>
      </c>
      <c r="L10619" s="20">
        <v>0.24567474048442911</v>
      </c>
    </row>
    <row r="10620" spans="1:12" x14ac:dyDescent="0.45">
      <c r="A10620" s="12" t="s">
        <v>19487</v>
      </c>
      <c r="B10620" s="12" t="s">
        <v>1552</v>
      </c>
      <c r="C10620" s="13" t="s">
        <v>9704</v>
      </c>
      <c r="D10620" s="13" t="s">
        <v>23</v>
      </c>
      <c r="E10620" s="12" t="s">
        <v>16</v>
      </c>
      <c r="F10620" s="14">
        <v>105000</v>
      </c>
      <c r="G10620" s="14">
        <v>94600</v>
      </c>
      <c r="H10620" s="13" t="s">
        <v>19654</v>
      </c>
      <c r="I10620" s="40" t="s">
        <v>18</v>
      </c>
      <c r="J10620" s="40" t="str">
        <f>HYPERLINK("https://stock.pstatic.net/stock-research/company/21/20250725_company_235576000.pdf","PDF")</f>
        <v>PDF</v>
      </c>
      <c r="K10620" s="12" t="s">
        <v>19655</v>
      </c>
      <c r="L10620" s="20">
        <v>0.1099365750528541</v>
      </c>
    </row>
    <row r="10621" spans="1:12" x14ac:dyDescent="0.45">
      <c r="A10621" s="12" t="s">
        <v>19487</v>
      </c>
      <c r="B10621" s="12" t="s">
        <v>95</v>
      </c>
      <c r="C10621" s="13" t="s">
        <v>31</v>
      </c>
      <c r="D10621" s="13" t="s">
        <v>34</v>
      </c>
      <c r="E10621" s="12" t="s">
        <v>35</v>
      </c>
      <c r="F10621" s="14">
        <v>33000</v>
      </c>
      <c r="G10621" s="14">
        <v>25500</v>
      </c>
      <c r="H10621" s="13" t="s">
        <v>19656</v>
      </c>
      <c r="I10621" s="40" t="s">
        <v>18</v>
      </c>
      <c r="J10621" s="40" t="str">
        <f>HYPERLINK("https://stock.pstatic.net/stock-research/company/61/20250725_company_290476000.pdf","PDF")</f>
        <v>PDF</v>
      </c>
      <c r="K10621" s="12" t="s">
        <v>19657</v>
      </c>
      <c r="L10621" s="20">
        <v>0.29411764705882348</v>
      </c>
    </row>
    <row r="10622" spans="1:12" x14ac:dyDescent="0.45">
      <c r="A10622" s="12" t="s">
        <v>19487</v>
      </c>
      <c r="B10622" s="12" t="s">
        <v>3749</v>
      </c>
      <c r="C10622" s="13" t="s">
        <v>3750</v>
      </c>
      <c r="D10622" s="13" t="s">
        <v>23</v>
      </c>
      <c r="E10622" s="12" t="s">
        <v>16</v>
      </c>
      <c r="F10622" s="14">
        <v>205000</v>
      </c>
      <c r="G10622" s="14">
        <v>142200</v>
      </c>
      <c r="H10622" s="13" t="s">
        <v>19658</v>
      </c>
      <c r="I10622" s="40" t="s">
        <v>18</v>
      </c>
      <c r="J10622" s="40" t="str">
        <f>HYPERLINK("https://stock.pstatic.net/stock-research/company/1/20250725_company_138237000.pdf","PDF")</f>
        <v>PDF</v>
      </c>
      <c r="K10622" s="12" t="s">
        <v>19659</v>
      </c>
      <c r="L10622" s="20">
        <v>0.44163150492264408</v>
      </c>
    </row>
    <row r="10623" spans="1:12" x14ac:dyDescent="0.45">
      <c r="A10623" s="12" t="s">
        <v>19487</v>
      </c>
      <c r="B10623" s="12" t="s">
        <v>3478</v>
      </c>
      <c r="C10623" s="13" t="s">
        <v>3479</v>
      </c>
      <c r="D10623" s="13" t="s">
        <v>92</v>
      </c>
      <c r="E10623" s="12" t="s">
        <v>35</v>
      </c>
      <c r="F10623" s="14">
        <v>54000</v>
      </c>
      <c r="G10623" s="14">
        <v>36750</v>
      </c>
      <c r="H10623" s="13" t="s">
        <v>19660</v>
      </c>
      <c r="I10623" s="40" t="s">
        <v>18</v>
      </c>
      <c r="J10623" s="40" t="str">
        <f>HYPERLINK("https://stock.pstatic.net/stock-research/company/63/20250725_company_838078000.pdf","PDF")</f>
        <v>PDF</v>
      </c>
      <c r="K10623" s="12" t="s">
        <v>19661</v>
      </c>
      <c r="L10623" s="20">
        <v>0.46938775510204078</v>
      </c>
    </row>
    <row r="10624" spans="1:12" x14ac:dyDescent="0.45">
      <c r="A10624" s="12" t="s">
        <v>19487</v>
      </c>
      <c r="B10624" s="12" t="s">
        <v>3749</v>
      </c>
      <c r="C10624" s="13" t="s">
        <v>3750</v>
      </c>
      <c r="D10624" s="13" t="s">
        <v>34</v>
      </c>
      <c r="E10624" s="12" t="s">
        <v>35</v>
      </c>
      <c r="F10624" s="14">
        <v>185000</v>
      </c>
      <c r="G10624" s="14">
        <v>142200</v>
      </c>
      <c r="H10624" s="13" t="s">
        <v>19662</v>
      </c>
      <c r="I10624" s="40" t="s">
        <v>18</v>
      </c>
      <c r="J10624" s="40" t="str">
        <f>HYPERLINK("https://stock.pstatic.net/stock-research/company/61/20250725_company_417495000.pdf","PDF")</f>
        <v>PDF</v>
      </c>
      <c r="K10624" s="12" t="s">
        <v>19663</v>
      </c>
      <c r="L10624" s="20">
        <v>0.3009845288326301</v>
      </c>
    </row>
    <row r="10625" spans="1:12" x14ac:dyDescent="0.45">
      <c r="A10625" s="12" t="s">
        <v>19487</v>
      </c>
      <c r="B10625" s="12" t="s">
        <v>519</v>
      </c>
      <c r="C10625" s="13" t="s">
        <v>520</v>
      </c>
      <c r="D10625" s="13" t="s">
        <v>92</v>
      </c>
      <c r="E10625" s="12" t="s">
        <v>35</v>
      </c>
      <c r="F10625" s="14">
        <v>280000</v>
      </c>
      <c r="G10625" s="14">
        <v>217500</v>
      </c>
      <c r="H10625" s="13" t="s">
        <v>19664</v>
      </c>
      <c r="I10625" s="40" t="s">
        <v>18</v>
      </c>
      <c r="J10625" s="40" t="str">
        <f>HYPERLINK("https://stock.pstatic.net/stock-research/company/1/20250725_company_598625000.pdf","PDF")</f>
        <v>PDF</v>
      </c>
      <c r="K10625" s="12" t="s">
        <v>19665</v>
      </c>
      <c r="L10625" s="20">
        <v>0.28735632183908039</v>
      </c>
    </row>
    <row r="10626" spans="1:12" x14ac:dyDescent="0.45">
      <c r="A10626" s="12" t="s">
        <v>19487</v>
      </c>
      <c r="B10626" s="12" t="s">
        <v>519</v>
      </c>
      <c r="C10626" s="13" t="s">
        <v>520</v>
      </c>
      <c r="D10626" s="13" t="s">
        <v>23</v>
      </c>
      <c r="E10626" s="12" t="s">
        <v>16</v>
      </c>
      <c r="F10626" s="14">
        <v>270000</v>
      </c>
      <c r="G10626" s="14">
        <v>217500</v>
      </c>
      <c r="H10626" s="13" t="s">
        <v>19666</v>
      </c>
      <c r="I10626" s="40" t="s">
        <v>18</v>
      </c>
      <c r="J10626" s="40" t="str">
        <f>HYPERLINK("https://stock.pstatic.net/stock-research/company/21/20250725_company_669270000.pdf","PDF")</f>
        <v>PDF</v>
      </c>
      <c r="K10626" s="12" t="s">
        <v>19667</v>
      </c>
      <c r="L10626" s="20">
        <v>0.2413793103448276</v>
      </c>
    </row>
    <row r="10627" spans="1:12" x14ac:dyDescent="0.45">
      <c r="A10627" s="12" t="s">
        <v>19487</v>
      </c>
      <c r="B10627" s="12" t="s">
        <v>744</v>
      </c>
      <c r="C10627" s="13" t="s">
        <v>745</v>
      </c>
      <c r="D10627" s="13" t="s">
        <v>44</v>
      </c>
      <c r="E10627" s="12" t="s">
        <v>35</v>
      </c>
      <c r="F10627" s="14">
        <v>25000</v>
      </c>
      <c r="G10627" s="14">
        <v>19450</v>
      </c>
      <c r="H10627" s="13" t="s">
        <v>19668</v>
      </c>
      <c r="I10627" s="40" t="s">
        <v>18</v>
      </c>
      <c r="J10627" s="40" t="str">
        <f>HYPERLINK("https://stock.pstatic.net/stock-research/company/39/20250725_company_255006000.pdf","PDF")</f>
        <v>PDF</v>
      </c>
      <c r="K10627" s="12" t="s">
        <v>19669</v>
      </c>
      <c r="L10627" s="20">
        <v>0.28534704370179947</v>
      </c>
    </row>
    <row r="10628" spans="1:12" x14ac:dyDescent="0.45">
      <c r="A10628" s="12" t="s">
        <v>19487</v>
      </c>
      <c r="B10628" s="12" t="s">
        <v>3373</v>
      </c>
      <c r="C10628" s="13" t="s">
        <v>3374</v>
      </c>
      <c r="D10628" s="13" t="s">
        <v>179</v>
      </c>
      <c r="E10628" s="12" t="s">
        <v>16</v>
      </c>
      <c r="F10628" s="14">
        <v>137000</v>
      </c>
      <c r="G10628" s="14">
        <v>117200</v>
      </c>
      <c r="H10628" s="13" t="s">
        <v>19670</v>
      </c>
      <c r="I10628" s="40" t="s">
        <v>18</v>
      </c>
      <c r="J10628" s="40" t="str">
        <f>HYPERLINK("https://stock.pstatic.net/stock-research/company/31/20250725_company_736689000.pdf","PDF")</f>
        <v>PDF</v>
      </c>
      <c r="K10628" s="12" t="s">
        <v>19671</v>
      </c>
      <c r="L10628" s="20">
        <v>0.16894197952218429</v>
      </c>
    </row>
    <row r="10629" spans="1:12" x14ac:dyDescent="0.45">
      <c r="A10629" s="12" t="s">
        <v>19487</v>
      </c>
      <c r="B10629" s="12" t="s">
        <v>334</v>
      </c>
      <c r="C10629" s="13" t="s">
        <v>335</v>
      </c>
      <c r="D10629" s="13" t="s">
        <v>23</v>
      </c>
      <c r="E10629" s="12" t="s">
        <v>16</v>
      </c>
      <c r="F10629" s="14">
        <v>380000</v>
      </c>
      <c r="G10629" s="14">
        <v>269000</v>
      </c>
      <c r="H10629" s="13" t="s">
        <v>19672</v>
      </c>
      <c r="I10629" s="40" t="s">
        <v>18</v>
      </c>
      <c r="J10629" s="40" t="str">
        <f>HYPERLINK("https://stock.pstatic.net/stock-research/company/21/20250725_company_777432000.pdf","PDF")</f>
        <v>PDF</v>
      </c>
      <c r="K10629" s="12" t="s">
        <v>19673</v>
      </c>
      <c r="L10629" s="20">
        <v>0.41263940520446102</v>
      </c>
    </row>
    <row r="10630" spans="1:12" x14ac:dyDescent="0.45">
      <c r="A10630" s="12" t="s">
        <v>19487</v>
      </c>
      <c r="B10630" s="12" t="s">
        <v>334</v>
      </c>
      <c r="C10630" s="13" t="s">
        <v>335</v>
      </c>
      <c r="D10630" s="13" t="s">
        <v>34</v>
      </c>
      <c r="E10630" s="12" t="s">
        <v>159</v>
      </c>
      <c r="F10630" s="14">
        <v>280000</v>
      </c>
      <c r="G10630" s="14">
        <v>269500</v>
      </c>
      <c r="H10630" s="13" t="s">
        <v>19674</v>
      </c>
      <c r="I10630" s="40" t="s">
        <v>18</v>
      </c>
      <c r="J10630" s="40" t="str">
        <f>HYPERLINK("https://stock.pstatic.net/stock-research/company/61/20250725_company_486682000.pdf","PDF")</f>
        <v>PDF</v>
      </c>
      <c r="K10630" s="12" t="s">
        <v>19675</v>
      </c>
      <c r="L10630" s="20">
        <v>3.896103896103896E-2</v>
      </c>
    </row>
    <row r="10631" spans="1:12" x14ac:dyDescent="0.45">
      <c r="A10631" s="12" t="s">
        <v>19487</v>
      </c>
      <c r="B10631" s="12" t="s">
        <v>3478</v>
      </c>
      <c r="C10631" s="13" t="s">
        <v>3479</v>
      </c>
      <c r="D10631" s="13" t="s">
        <v>34</v>
      </c>
      <c r="E10631" s="12" t="s">
        <v>35</v>
      </c>
      <c r="F10631" s="14">
        <v>43000</v>
      </c>
      <c r="G10631" s="14">
        <v>36750</v>
      </c>
      <c r="H10631" s="13" t="s">
        <v>19676</v>
      </c>
      <c r="I10631" s="40" t="s">
        <v>18</v>
      </c>
      <c r="J10631" s="40" t="str">
        <f>HYPERLINK("https://stock.pstatic.net/stock-research/company/61/20250728_company_197624000.pdf","PDF")</f>
        <v>PDF</v>
      </c>
      <c r="K10631" s="12" t="s">
        <v>19677</v>
      </c>
      <c r="L10631" s="20">
        <v>0.17006802721088429</v>
      </c>
    </row>
    <row r="10632" spans="1:12" x14ac:dyDescent="0.45">
      <c r="A10632" s="12" t="s">
        <v>19487</v>
      </c>
      <c r="B10632" s="12" t="s">
        <v>5355</v>
      </c>
      <c r="C10632" s="13" t="s">
        <v>5356</v>
      </c>
      <c r="D10632" s="13" t="s">
        <v>23</v>
      </c>
      <c r="E10632" s="12" t="s">
        <v>50</v>
      </c>
      <c r="F10632" s="13"/>
      <c r="G10632" s="14">
        <v>49250</v>
      </c>
      <c r="H10632" s="13" t="s">
        <v>19678</v>
      </c>
      <c r="I10632" s="40" t="s">
        <v>18</v>
      </c>
      <c r="J10632" s="40" t="str">
        <f>HYPERLINK("https://stock.pstatic.net/stock-research/company/21/20250725_company_992445000.pdf","PDF")</f>
        <v>PDF</v>
      </c>
      <c r="K10632" s="12" t="s">
        <v>19679</v>
      </c>
    </row>
    <row r="10633" spans="1:12" x14ac:dyDescent="0.45">
      <c r="A10633" s="12" t="s">
        <v>19487</v>
      </c>
      <c r="B10633" s="12" t="s">
        <v>908</v>
      </c>
      <c r="C10633" s="13" t="s">
        <v>909</v>
      </c>
      <c r="D10633" s="13" t="s">
        <v>179</v>
      </c>
      <c r="E10633" s="12" t="s">
        <v>16</v>
      </c>
      <c r="F10633" s="14">
        <v>185000</v>
      </c>
      <c r="G10633" s="14">
        <v>160400</v>
      </c>
      <c r="H10633" s="13" t="s">
        <v>19680</v>
      </c>
      <c r="I10633" s="40" t="s">
        <v>18</v>
      </c>
      <c r="J10633" s="40" t="str">
        <f>HYPERLINK("https://stock.pstatic.net/stock-research/company/31/20250725_company_927271000.pdf","PDF")</f>
        <v>PDF</v>
      </c>
      <c r="K10633" s="12" t="s">
        <v>19681</v>
      </c>
      <c r="L10633" s="20">
        <v>0.1533665835411471</v>
      </c>
    </row>
    <row r="10634" spans="1:12" x14ac:dyDescent="0.45">
      <c r="A10634" s="12" t="s">
        <v>19487</v>
      </c>
      <c r="B10634" s="12" t="s">
        <v>3492</v>
      </c>
      <c r="C10634" s="13" t="s">
        <v>3493</v>
      </c>
      <c r="D10634" s="13" t="s">
        <v>23</v>
      </c>
      <c r="E10634" s="12" t="s">
        <v>16</v>
      </c>
      <c r="F10634" s="14">
        <v>23000</v>
      </c>
      <c r="G10634" s="14">
        <v>20250</v>
      </c>
      <c r="H10634" s="13" t="s">
        <v>19682</v>
      </c>
      <c r="I10634" s="40" t="s">
        <v>18</v>
      </c>
      <c r="J10634" s="40" t="str">
        <f>HYPERLINK("https://stock.pstatic.net/stock-research/company/21/20250725_company_425899000.pdf","PDF")</f>
        <v>PDF</v>
      </c>
      <c r="K10634" s="12" t="s">
        <v>19683</v>
      </c>
      <c r="L10634" s="20">
        <v>0.13580246913580249</v>
      </c>
    </row>
    <row r="10635" spans="1:12" x14ac:dyDescent="0.45">
      <c r="A10635" s="12" t="s">
        <v>19487</v>
      </c>
      <c r="B10635" s="12" t="s">
        <v>908</v>
      </c>
      <c r="C10635" s="13" t="s">
        <v>909</v>
      </c>
      <c r="D10635" s="13" t="s">
        <v>23</v>
      </c>
      <c r="E10635" s="12" t="s">
        <v>16</v>
      </c>
      <c r="F10635" s="14">
        <v>200000</v>
      </c>
      <c r="G10635" s="14">
        <v>160400</v>
      </c>
      <c r="H10635" s="13" t="s">
        <v>19684</v>
      </c>
      <c r="I10635" s="40" t="s">
        <v>18</v>
      </c>
      <c r="J10635" s="40" t="str">
        <f>HYPERLINK("https://stock.pstatic.net/stock-research/company/21/20250725_company_555518000.pdf","PDF")</f>
        <v>PDF</v>
      </c>
      <c r="K10635" s="12" t="s">
        <v>19685</v>
      </c>
      <c r="L10635" s="20">
        <v>0.24688279301745639</v>
      </c>
    </row>
    <row r="10636" spans="1:12" x14ac:dyDescent="0.45">
      <c r="A10636" s="12" t="s">
        <v>19487</v>
      </c>
      <c r="B10636" s="12" t="s">
        <v>744</v>
      </c>
      <c r="C10636" s="13" t="s">
        <v>745</v>
      </c>
      <c r="D10636" s="13" t="s">
        <v>34</v>
      </c>
      <c r="E10636" s="12" t="s">
        <v>35</v>
      </c>
      <c r="F10636" s="14">
        <v>23000</v>
      </c>
      <c r="G10636" s="14">
        <v>19450</v>
      </c>
      <c r="H10636" s="13" t="s">
        <v>19686</v>
      </c>
      <c r="I10636" s="40" t="s">
        <v>18</v>
      </c>
      <c r="J10636" s="40" t="str">
        <f>HYPERLINK("https://stock.pstatic.net/stock-research/company/61/20250725_company_834607000.pdf","PDF")</f>
        <v>PDF</v>
      </c>
      <c r="K10636" s="12" t="s">
        <v>19687</v>
      </c>
      <c r="L10636" s="20">
        <v>0.1825192802056555</v>
      </c>
    </row>
    <row r="10637" spans="1:12" x14ac:dyDescent="0.45">
      <c r="A10637" s="12" t="s">
        <v>19487</v>
      </c>
      <c r="B10637" s="12" t="s">
        <v>334</v>
      </c>
      <c r="C10637" s="13" t="s">
        <v>335</v>
      </c>
      <c r="D10637" s="13" t="s">
        <v>44</v>
      </c>
      <c r="E10637" s="12" t="s">
        <v>50</v>
      </c>
      <c r="F10637" s="13"/>
      <c r="G10637" s="13"/>
      <c r="H10637" s="13" t="s">
        <v>19688</v>
      </c>
      <c r="I10637" s="40" t="s">
        <v>18</v>
      </c>
      <c r="J10637" s="40" t="str">
        <f>HYPERLINK("https://stock.pstatic.net/stock-research/company/39/20250725_company_198816000.pdf","PDF")</f>
        <v>PDF</v>
      </c>
      <c r="K10637" s="12" t="s">
        <v>19689</v>
      </c>
    </row>
    <row r="10638" spans="1:12" x14ac:dyDescent="0.45">
      <c r="A10638" s="12" t="s">
        <v>19487</v>
      </c>
      <c r="B10638" s="12" t="s">
        <v>3813</v>
      </c>
      <c r="C10638" s="13" t="s">
        <v>3814</v>
      </c>
      <c r="D10638" s="13" t="s">
        <v>23</v>
      </c>
      <c r="E10638" s="12" t="s">
        <v>16</v>
      </c>
      <c r="F10638" s="14">
        <v>13000</v>
      </c>
      <c r="G10638" s="14">
        <v>9220</v>
      </c>
      <c r="H10638" s="13" t="s">
        <v>19690</v>
      </c>
      <c r="I10638" s="40" t="s">
        <v>18</v>
      </c>
      <c r="J10638" s="40" t="str">
        <f>HYPERLINK("https://stock.pstatic.net/stock-research/company/21/20250725_company_194041000.pdf","PDF")</f>
        <v>PDF</v>
      </c>
      <c r="K10638" s="12" t="s">
        <v>19691</v>
      </c>
      <c r="L10638" s="20">
        <v>0.40997830802603041</v>
      </c>
    </row>
    <row r="10639" spans="1:12" x14ac:dyDescent="0.45">
      <c r="A10639" s="12" t="s">
        <v>19487</v>
      </c>
      <c r="B10639" s="12" t="s">
        <v>519</v>
      </c>
      <c r="C10639" s="13" t="s">
        <v>520</v>
      </c>
      <c r="D10639" s="13" t="s">
        <v>44</v>
      </c>
      <c r="E10639" s="12" t="s">
        <v>45</v>
      </c>
      <c r="F10639" s="14">
        <v>240000</v>
      </c>
      <c r="G10639" s="14">
        <v>217500</v>
      </c>
      <c r="H10639" s="13" t="s">
        <v>19692</v>
      </c>
      <c r="I10639" s="40" t="s">
        <v>18</v>
      </c>
      <c r="J10639" s="40" t="str">
        <f>HYPERLINK("https://stock.pstatic.net/stock-research/company/39/20250725_company_549332000.pdf","PDF")</f>
        <v>PDF</v>
      </c>
      <c r="K10639" s="12" t="s">
        <v>19693</v>
      </c>
      <c r="L10639" s="20">
        <v>0.10344827586206901</v>
      </c>
    </row>
    <row r="10640" spans="1:12" x14ac:dyDescent="0.45">
      <c r="A10640" s="12" t="s">
        <v>19487</v>
      </c>
      <c r="B10640" s="12" t="s">
        <v>3813</v>
      </c>
      <c r="C10640" s="13" t="s">
        <v>3814</v>
      </c>
      <c r="D10640" s="13" t="s">
        <v>44</v>
      </c>
      <c r="E10640" s="12" t="s">
        <v>35</v>
      </c>
      <c r="F10640" s="14">
        <v>13000</v>
      </c>
      <c r="G10640" s="14">
        <v>9220</v>
      </c>
      <c r="H10640" s="13" t="s">
        <v>19694</v>
      </c>
      <c r="I10640" s="40" t="s">
        <v>18</v>
      </c>
      <c r="J10640" s="40" t="str">
        <f>HYPERLINK("https://stock.pstatic.net/stock-research/company/39/20250725_company_379475000.pdf","PDF")</f>
        <v>PDF</v>
      </c>
      <c r="K10640" s="12" t="s">
        <v>19695</v>
      </c>
      <c r="L10640" s="20">
        <v>0.40997830802603041</v>
      </c>
    </row>
    <row r="10641" spans="1:12" x14ac:dyDescent="0.45">
      <c r="A10641" s="12" t="s">
        <v>19487</v>
      </c>
      <c r="B10641" s="12" t="s">
        <v>3373</v>
      </c>
      <c r="C10641" s="13" t="s">
        <v>3374</v>
      </c>
      <c r="D10641" s="13" t="s">
        <v>23</v>
      </c>
      <c r="E10641" s="12" t="s">
        <v>16</v>
      </c>
      <c r="F10641" s="14">
        <v>130000</v>
      </c>
      <c r="G10641" s="14">
        <v>117200</v>
      </c>
      <c r="H10641" s="13" t="s">
        <v>19696</v>
      </c>
      <c r="I10641" s="40" t="s">
        <v>18</v>
      </c>
      <c r="J10641" s="40" t="str">
        <f>HYPERLINK("https://stock.pstatic.net/stock-research/company/21/20250725_company_599532000.pdf","PDF")</f>
        <v>PDF</v>
      </c>
      <c r="K10641" s="12" t="s">
        <v>19697</v>
      </c>
      <c r="L10641" s="20">
        <v>0.1092150170648464</v>
      </c>
    </row>
    <row r="10642" spans="1:12" x14ac:dyDescent="0.45">
      <c r="A10642" s="12" t="s">
        <v>19487</v>
      </c>
      <c r="B10642" s="12" t="s">
        <v>3369</v>
      </c>
      <c r="C10642" s="13" t="s">
        <v>3370</v>
      </c>
      <c r="D10642" s="13" t="s">
        <v>23</v>
      </c>
      <c r="E10642" s="12" t="s">
        <v>16</v>
      </c>
      <c r="F10642" s="14">
        <v>27000</v>
      </c>
      <c r="G10642" s="14">
        <v>24350</v>
      </c>
      <c r="H10642" s="13" t="s">
        <v>19698</v>
      </c>
      <c r="I10642" s="40" t="s">
        <v>18</v>
      </c>
      <c r="J10642" s="40" t="str">
        <f>HYPERLINK("https://stock.pstatic.net/stock-research/company/21/20250725_company_696800000.pdf","PDF")</f>
        <v>PDF</v>
      </c>
      <c r="K10642" s="12" t="s">
        <v>19699</v>
      </c>
      <c r="L10642" s="20">
        <v>0.108829568788501</v>
      </c>
    </row>
    <row r="10643" spans="1:12" x14ac:dyDescent="0.45">
      <c r="A10643" s="12" t="s">
        <v>19487</v>
      </c>
      <c r="B10643" s="12" t="s">
        <v>3478</v>
      </c>
      <c r="C10643" s="13" t="s">
        <v>3479</v>
      </c>
      <c r="D10643" s="13" t="s">
        <v>23</v>
      </c>
      <c r="E10643" s="12" t="s">
        <v>16</v>
      </c>
      <c r="F10643" s="14">
        <v>41000</v>
      </c>
      <c r="G10643" s="14">
        <v>36750</v>
      </c>
      <c r="H10643" s="13" t="s">
        <v>19700</v>
      </c>
      <c r="I10643" s="40" t="s">
        <v>18</v>
      </c>
      <c r="J10643" s="40" t="str">
        <f>HYPERLINK("https://stock.pstatic.net/stock-research/company/1/20250725_company_621350000.pdf","PDF")</f>
        <v>PDF</v>
      </c>
      <c r="K10643" s="12" t="s">
        <v>19701</v>
      </c>
      <c r="L10643" s="20">
        <v>0.11564625850340141</v>
      </c>
    </row>
    <row r="10644" spans="1:12" x14ac:dyDescent="0.45">
      <c r="A10644" s="12" t="s">
        <v>19487</v>
      </c>
      <c r="B10644" s="12" t="s">
        <v>95</v>
      </c>
      <c r="C10644" s="13" t="s">
        <v>31</v>
      </c>
      <c r="D10644" s="13" t="s">
        <v>44</v>
      </c>
      <c r="E10644" s="12" t="s">
        <v>35</v>
      </c>
      <c r="F10644" s="14">
        <v>34000</v>
      </c>
      <c r="G10644" s="14">
        <v>25500</v>
      </c>
      <c r="H10644" s="13" t="s">
        <v>19702</v>
      </c>
      <c r="I10644" s="40" t="s">
        <v>18</v>
      </c>
      <c r="J10644" s="40" t="str">
        <f>HYPERLINK("https://stock.pstatic.net/stock-research/company/39/20250725_company_810387000.pdf","PDF")</f>
        <v>PDF</v>
      </c>
      <c r="K10644" s="12" t="s">
        <v>19703</v>
      </c>
      <c r="L10644" s="20">
        <v>0.33333333333333331</v>
      </c>
    </row>
    <row r="10645" spans="1:12" x14ac:dyDescent="0.45">
      <c r="A10645" s="12" t="s">
        <v>19487</v>
      </c>
      <c r="B10645" s="12" t="s">
        <v>3369</v>
      </c>
      <c r="C10645" s="13" t="s">
        <v>3370</v>
      </c>
      <c r="D10645" s="13" t="s">
        <v>44</v>
      </c>
      <c r="E10645" s="12" t="s">
        <v>35</v>
      </c>
      <c r="F10645" s="14">
        <v>32000</v>
      </c>
      <c r="G10645" s="14">
        <v>24350</v>
      </c>
      <c r="H10645" s="13" t="s">
        <v>19704</v>
      </c>
      <c r="I10645" s="40" t="s">
        <v>18</v>
      </c>
      <c r="J10645" s="40" t="str">
        <f>HYPERLINK("https://stock.pstatic.net/stock-research/company/39/20250725_company_565444000.pdf","PDF")</f>
        <v>PDF</v>
      </c>
      <c r="K10645" s="12" t="s">
        <v>19705</v>
      </c>
      <c r="L10645" s="20">
        <v>0.31416837782340862</v>
      </c>
    </row>
    <row r="10646" spans="1:12" x14ac:dyDescent="0.45">
      <c r="A10646" s="12" t="s">
        <v>19487</v>
      </c>
      <c r="B10646" s="12" t="s">
        <v>3492</v>
      </c>
      <c r="C10646" s="13" t="s">
        <v>3493</v>
      </c>
      <c r="D10646" s="13" t="s">
        <v>44</v>
      </c>
      <c r="E10646" s="12" t="s">
        <v>35</v>
      </c>
      <c r="F10646" s="14">
        <v>28000</v>
      </c>
      <c r="G10646" s="14">
        <v>20250</v>
      </c>
      <c r="H10646" s="13" t="s">
        <v>19706</v>
      </c>
      <c r="I10646" s="40" t="s">
        <v>18</v>
      </c>
      <c r="J10646" s="40" t="str">
        <f>HYPERLINK("https://stock.pstatic.net/stock-research/company/39/20250725_company_128246000.pdf","PDF")</f>
        <v>PDF</v>
      </c>
      <c r="K10646" s="12" t="s">
        <v>19707</v>
      </c>
      <c r="L10646" s="20">
        <v>0.38271604938271597</v>
      </c>
    </row>
    <row r="10647" spans="1:12" x14ac:dyDescent="0.45">
      <c r="A10647" s="12" t="s">
        <v>19487</v>
      </c>
      <c r="B10647" s="12" t="s">
        <v>3373</v>
      </c>
      <c r="C10647" s="13" t="s">
        <v>3374</v>
      </c>
      <c r="D10647" s="13" t="s">
        <v>44</v>
      </c>
      <c r="E10647" s="12" t="s">
        <v>35</v>
      </c>
      <c r="F10647" s="14">
        <v>150000</v>
      </c>
      <c r="G10647" s="14">
        <v>117200</v>
      </c>
      <c r="H10647" s="13" t="s">
        <v>19708</v>
      </c>
      <c r="I10647" s="40" t="s">
        <v>18</v>
      </c>
      <c r="J10647" s="40" t="str">
        <f>HYPERLINK("https://stock.pstatic.net/stock-research/company/39/20250725_company_649049000.pdf","PDF")</f>
        <v>PDF</v>
      </c>
      <c r="K10647" s="12" t="s">
        <v>19709</v>
      </c>
      <c r="L10647" s="20">
        <v>0.27986348122866889</v>
      </c>
    </row>
    <row r="10648" spans="1:12" x14ac:dyDescent="0.45">
      <c r="A10648" s="12" t="s">
        <v>19487</v>
      </c>
      <c r="B10648" s="12" t="s">
        <v>764</v>
      </c>
      <c r="C10648" s="13" t="s">
        <v>765</v>
      </c>
      <c r="D10648" s="13" t="s">
        <v>44</v>
      </c>
      <c r="E10648" s="12" t="s">
        <v>35</v>
      </c>
      <c r="F10648" s="14">
        <v>62000</v>
      </c>
      <c r="G10648" s="14">
        <v>49950</v>
      </c>
      <c r="H10648" s="13" t="s">
        <v>19710</v>
      </c>
      <c r="I10648" s="40" t="s">
        <v>18</v>
      </c>
      <c r="J10648" s="40" t="str">
        <f>HYPERLINK("https://stock.pstatic.net/stock-research/company/39/20250725_company_494467000.pdf","PDF")</f>
        <v>PDF</v>
      </c>
      <c r="K10648" s="12" t="s">
        <v>19711</v>
      </c>
      <c r="L10648" s="20">
        <v>0.24124124124124119</v>
      </c>
    </row>
    <row r="10649" spans="1:12" x14ac:dyDescent="0.45">
      <c r="A10649" s="12" t="s">
        <v>19487</v>
      </c>
      <c r="B10649" s="12" t="s">
        <v>4115</v>
      </c>
      <c r="C10649" s="13" t="s">
        <v>4116</v>
      </c>
      <c r="D10649" s="13" t="s">
        <v>124</v>
      </c>
      <c r="E10649" s="12" t="s">
        <v>50</v>
      </c>
      <c r="F10649" s="13"/>
      <c r="G10649" s="13"/>
      <c r="H10649" s="13" t="s">
        <v>19712</v>
      </c>
      <c r="I10649" s="40" t="s">
        <v>18</v>
      </c>
      <c r="J10649" s="40" t="str">
        <f>HYPERLINK("https://stock.pstatic.net/stock-research/company/74/20250725_company_403032000.pdf","PDF")</f>
        <v>PDF</v>
      </c>
      <c r="K10649" s="12" t="s">
        <v>19713</v>
      </c>
    </row>
    <row r="10650" spans="1:12" x14ac:dyDescent="0.45">
      <c r="A10650" s="12" t="s">
        <v>19487</v>
      </c>
      <c r="B10650" s="12" t="s">
        <v>1562</v>
      </c>
      <c r="C10650" s="13" t="s">
        <v>1563</v>
      </c>
      <c r="D10650" s="13" t="s">
        <v>124</v>
      </c>
      <c r="E10650" s="12" t="s">
        <v>50</v>
      </c>
      <c r="F10650" s="13"/>
      <c r="G10650" s="13"/>
      <c r="H10650" s="13" t="s">
        <v>19714</v>
      </c>
      <c r="I10650" s="40" t="s">
        <v>18</v>
      </c>
      <c r="J10650" s="40" t="str">
        <f>HYPERLINK("https://stock.pstatic.net/stock-research/company/1/20250725_company_261408000.pdf","PDF")</f>
        <v>PDF</v>
      </c>
      <c r="K10650" s="12" t="s">
        <v>19715</v>
      </c>
    </row>
    <row r="10651" spans="1:12" x14ac:dyDescent="0.45">
      <c r="A10651" s="12" t="s">
        <v>19487</v>
      </c>
      <c r="B10651" s="12" t="s">
        <v>4768</v>
      </c>
      <c r="C10651" s="13" t="s">
        <v>4769</v>
      </c>
      <c r="D10651" s="13" t="s">
        <v>124</v>
      </c>
      <c r="E10651" s="12" t="s">
        <v>50</v>
      </c>
      <c r="F10651" s="13"/>
      <c r="G10651" s="13"/>
      <c r="H10651" s="13" t="s">
        <v>19716</v>
      </c>
      <c r="I10651" s="40" t="s">
        <v>18</v>
      </c>
      <c r="J10651" s="40" t="str">
        <f>HYPERLINK("https://stock.pstatic.net/stock-research/company/1/20250725_company_295720000.pdf","PDF")</f>
        <v>PDF</v>
      </c>
      <c r="K10651" s="12" t="s">
        <v>19717</v>
      </c>
    </row>
    <row r="10652" spans="1:12" x14ac:dyDescent="0.45">
      <c r="A10652" s="12" t="s">
        <v>19487</v>
      </c>
      <c r="B10652" s="12" t="s">
        <v>4758</v>
      </c>
      <c r="C10652" s="13" t="s">
        <v>4759</v>
      </c>
      <c r="D10652" s="13" t="s">
        <v>124</v>
      </c>
      <c r="E10652" s="12" t="s">
        <v>50</v>
      </c>
      <c r="F10652" s="13"/>
      <c r="G10652" s="13"/>
      <c r="H10652" s="13" t="s">
        <v>19718</v>
      </c>
      <c r="I10652" s="40" t="s">
        <v>18</v>
      </c>
      <c r="J10652" s="40" t="str">
        <f>HYPERLINK("https://stock.pstatic.net/stock-research/company/1/20250725_company_32049000.pdf","PDF")</f>
        <v>PDF</v>
      </c>
      <c r="K10652" s="12" t="s">
        <v>19719</v>
      </c>
    </row>
    <row r="10653" spans="1:12" x14ac:dyDescent="0.45">
      <c r="A10653" s="12" t="s">
        <v>19487</v>
      </c>
      <c r="B10653" s="12" t="s">
        <v>5355</v>
      </c>
      <c r="C10653" s="13" t="s">
        <v>5356</v>
      </c>
      <c r="D10653" s="13" t="s">
        <v>53</v>
      </c>
      <c r="E10653" s="12" t="s">
        <v>50</v>
      </c>
      <c r="F10653" s="13"/>
      <c r="G10653" s="13"/>
      <c r="H10653" s="13" t="s">
        <v>19720</v>
      </c>
      <c r="I10653" s="40" t="s">
        <v>18</v>
      </c>
      <c r="J10653" s="40" t="str">
        <f>HYPERLINK("https://stock.pstatic.net/stock-research/company/40/20250725_company_868993000.pdf","PDF")</f>
        <v>PDF</v>
      </c>
      <c r="K10653" s="12" t="s">
        <v>19721</v>
      </c>
    </row>
    <row r="10654" spans="1:12" x14ac:dyDescent="0.45">
      <c r="A10654" s="12" t="s">
        <v>19722</v>
      </c>
      <c r="B10654" s="12" t="s">
        <v>19723</v>
      </c>
      <c r="C10654" s="13" t="s">
        <v>19724</v>
      </c>
      <c r="D10654" s="13" t="s">
        <v>202</v>
      </c>
      <c r="E10654" s="12" t="s">
        <v>50</v>
      </c>
      <c r="F10654" s="13"/>
      <c r="G10654" s="13"/>
      <c r="H10654" s="13" t="s">
        <v>19725</v>
      </c>
      <c r="I10654" s="40" t="s">
        <v>18</v>
      </c>
      <c r="J10654" s="40" t="str">
        <f>HYPERLINK("https://stock.pstatic.net/stock-research/company/69/20250724_company_950665000.pdf","PDF")</f>
        <v>PDF</v>
      </c>
      <c r="K10654" s="12" t="s">
        <v>19726</v>
      </c>
    </row>
    <row r="10655" spans="1:12" x14ac:dyDescent="0.45">
      <c r="A10655" s="12" t="s">
        <v>19722</v>
      </c>
      <c r="B10655" s="12" t="s">
        <v>19727</v>
      </c>
      <c r="C10655" s="13" t="s">
        <v>19728</v>
      </c>
      <c r="D10655" s="13" t="s">
        <v>11154</v>
      </c>
      <c r="E10655" s="12" t="s">
        <v>50</v>
      </c>
      <c r="F10655" s="13"/>
      <c r="G10655" s="13"/>
      <c r="H10655" s="13" t="s">
        <v>19729</v>
      </c>
      <c r="I10655" s="40" t="s">
        <v>18</v>
      </c>
      <c r="J10655" s="40" t="str">
        <f>HYPERLINK("https://stock.pstatic.net/stock-research/company/79/20250724_company_923313000.pdf","PDF")</f>
        <v>PDF</v>
      </c>
      <c r="K10655" s="12" t="s">
        <v>19730</v>
      </c>
    </row>
    <row r="10656" spans="1:12" x14ac:dyDescent="0.45">
      <c r="A10656" s="12" t="s">
        <v>19722</v>
      </c>
      <c r="B10656" s="12" t="s">
        <v>10471</v>
      </c>
      <c r="C10656" s="13" t="s">
        <v>10472</v>
      </c>
      <c r="D10656" s="13" t="s">
        <v>202</v>
      </c>
      <c r="E10656" s="12" t="s">
        <v>50</v>
      </c>
      <c r="F10656" s="13"/>
      <c r="G10656" s="13"/>
      <c r="H10656" s="13" t="s">
        <v>19731</v>
      </c>
      <c r="I10656" s="40" t="s">
        <v>18</v>
      </c>
      <c r="J10656" s="40" t="str">
        <f>HYPERLINK("https://stock.pstatic.net/stock-research/company/69/20250724_company_986764000.pdf","PDF")</f>
        <v>PDF</v>
      </c>
      <c r="K10656" s="12" t="s">
        <v>19732</v>
      </c>
    </row>
    <row r="10657" spans="1:12" x14ac:dyDescent="0.45">
      <c r="A10657" s="12" t="s">
        <v>19722</v>
      </c>
      <c r="B10657" s="12" t="s">
        <v>19733</v>
      </c>
      <c r="C10657" s="13" t="s">
        <v>19734</v>
      </c>
      <c r="D10657" s="13" t="s">
        <v>11154</v>
      </c>
      <c r="E10657" s="12" t="s">
        <v>50</v>
      </c>
      <c r="F10657" s="13"/>
      <c r="G10657" s="13"/>
      <c r="H10657" s="13" t="s">
        <v>19735</v>
      </c>
      <c r="I10657" s="40" t="s">
        <v>18</v>
      </c>
      <c r="J10657" s="40" t="str">
        <f>HYPERLINK("https://stock.pstatic.net/stock-research/company/79/20250724_company_553036000.pdf","PDF")</f>
        <v>PDF</v>
      </c>
      <c r="K10657" s="12" t="s">
        <v>19736</v>
      </c>
    </row>
    <row r="10658" spans="1:12" x14ac:dyDescent="0.45">
      <c r="A10658" s="12" t="s">
        <v>19722</v>
      </c>
      <c r="B10658" s="12" t="s">
        <v>19737</v>
      </c>
      <c r="C10658" s="13" t="s">
        <v>19738</v>
      </c>
      <c r="D10658" s="13" t="s">
        <v>11154</v>
      </c>
      <c r="E10658" s="12" t="s">
        <v>50</v>
      </c>
      <c r="F10658" s="13"/>
      <c r="G10658" s="13"/>
      <c r="H10658" s="13" t="s">
        <v>19739</v>
      </c>
      <c r="I10658" s="40" t="s">
        <v>18</v>
      </c>
      <c r="J10658" s="40" t="str">
        <f>HYPERLINK("https://stock.pstatic.net/stock-research/company/79/20250724_company_515333000.pdf","PDF")</f>
        <v>PDF</v>
      </c>
      <c r="K10658" s="12" t="s">
        <v>19740</v>
      </c>
    </row>
    <row r="10659" spans="1:12" x14ac:dyDescent="0.45">
      <c r="A10659" s="12" t="s">
        <v>19722</v>
      </c>
      <c r="B10659" s="12" t="s">
        <v>19741</v>
      </c>
      <c r="C10659" s="13" t="s">
        <v>19742</v>
      </c>
      <c r="D10659" s="13" t="s">
        <v>11154</v>
      </c>
      <c r="E10659" s="12" t="s">
        <v>50</v>
      </c>
      <c r="F10659" s="13"/>
      <c r="G10659" s="13"/>
      <c r="H10659" s="13" t="s">
        <v>19743</v>
      </c>
      <c r="I10659" s="40" t="s">
        <v>18</v>
      </c>
      <c r="J10659" s="40" t="str">
        <f>HYPERLINK("https://stock.pstatic.net/stock-research/company/79/20250724_company_401243000.pdf","PDF")</f>
        <v>PDF</v>
      </c>
      <c r="K10659" s="12" t="s">
        <v>19744</v>
      </c>
    </row>
    <row r="10660" spans="1:12" x14ac:dyDescent="0.45">
      <c r="A10660" s="12" t="s">
        <v>19722</v>
      </c>
      <c r="B10660" s="12" t="s">
        <v>16503</v>
      </c>
      <c r="C10660" s="13" t="s">
        <v>16504</v>
      </c>
      <c r="D10660" s="13" t="s">
        <v>11154</v>
      </c>
      <c r="E10660" s="12" t="s">
        <v>50</v>
      </c>
      <c r="F10660" s="13"/>
      <c r="G10660" s="13"/>
      <c r="H10660" s="13" t="s">
        <v>19745</v>
      </c>
      <c r="I10660" s="40" t="s">
        <v>18</v>
      </c>
      <c r="J10660" s="40" t="str">
        <f>HYPERLINK("https://stock.pstatic.net/stock-research/company/79/20250724_company_816005000.pdf","PDF")</f>
        <v>PDF</v>
      </c>
      <c r="K10660" s="12" t="s">
        <v>19746</v>
      </c>
    </row>
    <row r="10661" spans="1:12" x14ac:dyDescent="0.45">
      <c r="A10661" s="12" t="s">
        <v>19722</v>
      </c>
      <c r="B10661" s="12" t="s">
        <v>19747</v>
      </c>
      <c r="C10661" s="13" t="s">
        <v>19748</v>
      </c>
      <c r="D10661" s="13" t="s">
        <v>11154</v>
      </c>
      <c r="E10661" s="12" t="s">
        <v>50</v>
      </c>
      <c r="F10661" s="13"/>
      <c r="G10661" s="13"/>
      <c r="H10661" s="13" t="s">
        <v>19749</v>
      </c>
      <c r="I10661" s="40" t="s">
        <v>18</v>
      </c>
      <c r="J10661" s="40" t="str">
        <f>HYPERLINK("https://stock.pstatic.net/stock-research/company/79/20250724_company_278083000.pdf","PDF")</f>
        <v>PDF</v>
      </c>
      <c r="K10661" s="12" t="s">
        <v>19750</v>
      </c>
    </row>
    <row r="10662" spans="1:12" x14ac:dyDescent="0.45">
      <c r="A10662" s="12" t="s">
        <v>19722</v>
      </c>
      <c r="B10662" s="12" t="s">
        <v>19751</v>
      </c>
      <c r="C10662" s="13" t="s">
        <v>19752</v>
      </c>
      <c r="D10662" s="13" t="s">
        <v>11154</v>
      </c>
      <c r="E10662" s="12" t="s">
        <v>50</v>
      </c>
      <c r="F10662" s="13"/>
      <c r="G10662" s="13"/>
      <c r="H10662" s="13" t="s">
        <v>19753</v>
      </c>
      <c r="I10662" s="40" t="s">
        <v>18</v>
      </c>
      <c r="J10662" s="40" t="str">
        <f>HYPERLINK("https://stock.pstatic.net/stock-research/company/75/20250724_company_188668000.pdf","PDF")</f>
        <v>PDF</v>
      </c>
      <c r="K10662" s="12" t="s">
        <v>19754</v>
      </c>
    </row>
    <row r="10663" spans="1:12" x14ac:dyDescent="0.45">
      <c r="A10663" s="12" t="s">
        <v>19722</v>
      </c>
      <c r="B10663" s="12" t="s">
        <v>19755</v>
      </c>
      <c r="C10663" s="13" t="s">
        <v>19756</v>
      </c>
      <c r="D10663" s="13" t="s">
        <v>207</v>
      </c>
      <c r="E10663" s="12" t="s">
        <v>50</v>
      </c>
      <c r="F10663" s="13"/>
      <c r="G10663" s="13"/>
      <c r="H10663" s="13" t="s">
        <v>19757</v>
      </c>
      <c r="I10663" s="40" t="s">
        <v>18</v>
      </c>
      <c r="J10663" s="40" t="str">
        <f>HYPERLINK("https://stock.pstatic.net/stock-research/company/75/20250724_company_678922000.pdf","PDF")</f>
        <v>PDF</v>
      </c>
      <c r="K10663" s="12" t="s">
        <v>19758</v>
      </c>
    </row>
    <row r="10664" spans="1:12" x14ac:dyDescent="0.45">
      <c r="A10664" s="12" t="s">
        <v>19722</v>
      </c>
      <c r="B10664" s="12" t="s">
        <v>334</v>
      </c>
      <c r="C10664" s="13" t="s">
        <v>335</v>
      </c>
      <c r="D10664" s="13" t="s">
        <v>179</v>
      </c>
      <c r="E10664" s="12" t="s">
        <v>50</v>
      </c>
      <c r="F10664" s="13"/>
      <c r="G10664" s="13"/>
      <c r="H10664" s="13" t="s">
        <v>19759</v>
      </c>
      <c r="I10664" s="40" t="s">
        <v>18</v>
      </c>
      <c r="J10664" s="40" t="str">
        <f>HYPERLINK("https://stock.pstatic.net/stock-research/company/31/20250724_company_982036000.pdf","PDF")</f>
        <v>PDF</v>
      </c>
      <c r="K10664" s="12" t="s">
        <v>19760</v>
      </c>
    </row>
    <row r="10665" spans="1:12" x14ac:dyDescent="0.45">
      <c r="A10665" s="12" t="s">
        <v>19722</v>
      </c>
      <c r="B10665" s="12" t="s">
        <v>740</v>
      </c>
      <c r="C10665" s="13" t="s">
        <v>741</v>
      </c>
      <c r="D10665" s="13" t="s">
        <v>276</v>
      </c>
      <c r="E10665" s="12" t="s">
        <v>16</v>
      </c>
      <c r="F10665" s="14">
        <v>210000</v>
      </c>
      <c r="G10665" s="14">
        <v>154000</v>
      </c>
      <c r="H10665" s="13" t="s">
        <v>19761</v>
      </c>
      <c r="I10665" s="40" t="s">
        <v>18</v>
      </c>
      <c r="J10665" s="40" t="str">
        <f>HYPERLINK("https://stock.pstatic.net/stock-research/company/66/20250724_company_307085000.pdf","PDF")</f>
        <v>PDF</v>
      </c>
      <c r="K10665" s="12" t="s">
        <v>19762</v>
      </c>
      <c r="L10665" s="20">
        <v>0.36363636363636359</v>
      </c>
    </row>
    <row r="10666" spans="1:12" x14ac:dyDescent="0.45">
      <c r="A10666" s="12" t="s">
        <v>19722</v>
      </c>
      <c r="B10666" s="12" t="s">
        <v>1081</v>
      </c>
      <c r="C10666" s="13" t="s">
        <v>1082</v>
      </c>
      <c r="D10666" s="13" t="s">
        <v>276</v>
      </c>
      <c r="E10666" s="12" t="s">
        <v>16</v>
      </c>
      <c r="F10666" s="14">
        <v>1300000</v>
      </c>
      <c r="G10666" s="14">
        <v>1064000</v>
      </c>
      <c r="H10666" s="13" t="s">
        <v>19763</v>
      </c>
      <c r="I10666" s="40" t="s">
        <v>18</v>
      </c>
      <c r="J10666" s="40" t="str">
        <f>HYPERLINK("https://stock.pstatic.net/stock-research/company/66/20250724_company_194923000.pdf","PDF")</f>
        <v>PDF</v>
      </c>
      <c r="K10666" s="12" t="s">
        <v>19764</v>
      </c>
      <c r="L10666" s="20">
        <v>0.2218045112781955</v>
      </c>
    </row>
    <row r="10667" spans="1:12" x14ac:dyDescent="0.45">
      <c r="A10667" s="12" t="s">
        <v>19722</v>
      </c>
      <c r="B10667" s="12" t="s">
        <v>13983</v>
      </c>
      <c r="C10667" s="13" t="s">
        <v>13984</v>
      </c>
      <c r="D10667" s="13" t="s">
        <v>60</v>
      </c>
      <c r="E10667" s="12" t="s">
        <v>35</v>
      </c>
      <c r="F10667" s="14">
        <v>19600</v>
      </c>
      <c r="G10667" s="14">
        <v>13230</v>
      </c>
      <c r="H10667" s="13" t="s">
        <v>19765</v>
      </c>
      <c r="I10667" s="40" t="s">
        <v>18</v>
      </c>
      <c r="J10667" s="40" t="str">
        <f>HYPERLINK("https://stock.pstatic.net/stock-research/company/62/20250724_company_780651000.pdf","PDF")</f>
        <v>PDF</v>
      </c>
      <c r="K10667" s="12" t="s">
        <v>19766</v>
      </c>
      <c r="L10667" s="20">
        <v>0.48148148148148151</v>
      </c>
    </row>
    <row r="10668" spans="1:12" x14ac:dyDescent="0.45">
      <c r="A10668" s="12" t="s">
        <v>19722</v>
      </c>
      <c r="B10668" s="12" t="s">
        <v>1081</v>
      </c>
      <c r="C10668" s="13" t="s">
        <v>1082</v>
      </c>
      <c r="D10668" s="13" t="s">
        <v>60</v>
      </c>
      <c r="E10668" s="12" t="s">
        <v>35</v>
      </c>
      <c r="F10668" s="14">
        <v>1400000</v>
      </c>
      <c r="G10668" s="14">
        <v>1064000</v>
      </c>
      <c r="H10668" s="13" t="s">
        <v>19767</v>
      </c>
      <c r="I10668" s="40" t="s">
        <v>18</v>
      </c>
      <c r="J10668" s="40" t="str">
        <f>HYPERLINK("https://stock.pstatic.net/stock-research/company/62/20250724_company_360407000.pdf","PDF")</f>
        <v>PDF</v>
      </c>
      <c r="K10668" s="12" t="s">
        <v>19768</v>
      </c>
      <c r="L10668" s="20">
        <v>0.31578947368421051</v>
      </c>
    </row>
    <row r="10669" spans="1:12" x14ac:dyDescent="0.45">
      <c r="A10669" s="12" t="s">
        <v>19722</v>
      </c>
      <c r="B10669" s="12" t="s">
        <v>740</v>
      </c>
      <c r="C10669" s="13" t="s">
        <v>741</v>
      </c>
      <c r="D10669" s="13" t="s">
        <v>65</v>
      </c>
      <c r="E10669" s="12" t="s">
        <v>35</v>
      </c>
      <c r="F10669" s="14">
        <v>186000</v>
      </c>
      <c r="G10669" s="14">
        <v>154000</v>
      </c>
      <c r="H10669" s="13" t="s">
        <v>19769</v>
      </c>
      <c r="I10669" s="40" t="s">
        <v>18</v>
      </c>
      <c r="J10669" s="40" t="str">
        <f>HYPERLINK("https://stock.pstatic.net/stock-research/company/57/20250724_company_879680000.pdf","PDF")</f>
        <v>PDF</v>
      </c>
      <c r="K10669" s="12" t="s">
        <v>19770</v>
      </c>
      <c r="L10669" s="20">
        <v>0.20779220779220781</v>
      </c>
    </row>
    <row r="10670" spans="1:12" x14ac:dyDescent="0.45">
      <c r="A10670" s="12" t="s">
        <v>19722</v>
      </c>
      <c r="B10670" s="12" t="s">
        <v>1081</v>
      </c>
      <c r="C10670" s="13" t="s">
        <v>1082</v>
      </c>
      <c r="D10670" s="13" t="s">
        <v>65</v>
      </c>
      <c r="E10670" s="12" t="s">
        <v>35</v>
      </c>
      <c r="F10670" s="14">
        <v>1450000</v>
      </c>
      <c r="G10670" s="14">
        <v>1064000</v>
      </c>
      <c r="H10670" s="13" t="s">
        <v>19771</v>
      </c>
      <c r="I10670" s="40" t="s">
        <v>18</v>
      </c>
      <c r="J10670" s="40" t="str">
        <f>HYPERLINK("https://stock.pstatic.net/stock-research/company/57/20250724_company_507867000.pdf","PDF")</f>
        <v>PDF</v>
      </c>
      <c r="K10670" s="12" t="s">
        <v>19772</v>
      </c>
      <c r="L10670" s="20">
        <v>0.36278195488721798</v>
      </c>
    </row>
    <row r="10671" spans="1:12" x14ac:dyDescent="0.45">
      <c r="A10671" s="12" t="s">
        <v>19722</v>
      </c>
      <c r="B10671" s="12" t="s">
        <v>1652</v>
      </c>
      <c r="C10671" s="13" t="s">
        <v>1653</v>
      </c>
      <c r="D10671" s="13" t="s">
        <v>65</v>
      </c>
      <c r="E10671" s="12" t="s">
        <v>35</v>
      </c>
      <c r="F10671" s="14">
        <v>68000</v>
      </c>
      <c r="G10671" s="14">
        <v>50100</v>
      </c>
      <c r="H10671" s="13" t="s">
        <v>19773</v>
      </c>
      <c r="I10671" s="40" t="s">
        <v>18</v>
      </c>
      <c r="J10671" s="40" t="str">
        <f>HYPERLINK("https://stock.pstatic.net/stock-research/company/57/20250724_company_366405000.pdf","PDF")</f>
        <v>PDF</v>
      </c>
      <c r="K10671" s="12" t="s">
        <v>19774</v>
      </c>
      <c r="L10671" s="20">
        <v>0.35728542914171663</v>
      </c>
    </row>
    <row r="10672" spans="1:12" x14ac:dyDescent="0.45">
      <c r="A10672" s="12" t="s">
        <v>19722</v>
      </c>
      <c r="B10672" s="12" t="s">
        <v>511</v>
      </c>
      <c r="C10672" s="13" t="s">
        <v>512</v>
      </c>
      <c r="D10672" s="13" t="s">
        <v>65</v>
      </c>
      <c r="E10672" s="12" t="s">
        <v>35</v>
      </c>
      <c r="F10672" s="14">
        <v>130000</v>
      </c>
      <c r="G10672" s="14">
        <v>85400</v>
      </c>
      <c r="H10672" s="13" t="s">
        <v>19775</v>
      </c>
      <c r="I10672" s="40" t="s">
        <v>18</v>
      </c>
      <c r="J10672" s="40" t="str">
        <f>HYPERLINK("https://stock.pstatic.net/stock-research/company/1/20250724_company_714233000.pdf","PDF")</f>
        <v>PDF</v>
      </c>
      <c r="K10672" s="12" t="s">
        <v>19776</v>
      </c>
      <c r="L10672" s="20">
        <v>0.52224824355971899</v>
      </c>
    </row>
    <row r="10673" spans="1:12" x14ac:dyDescent="0.45">
      <c r="A10673" s="12" t="s">
        <v>19722</v>
      </c>
      <c r="B10673" s="12" t="s">
        <v>1120</v>
      </c>
      <c r="C10673" s="13" t="s">
        <v>1121</v>
      </c>
      <c r="D10673" s="13" t="s">
        <v>65</v>
      </c>
      <c r="E10673" s="12" t="s">
        <v>35</v>
      </c>
      <c r="F10673" s="14">
        <v>140000</v>
      </c>
      <c r="G10673" s="14">
        <v>112700</v>
      </c>
      <c r="H10673" s="13" t="s">
        <v>19777</v>
      </c>
      <c r="I10673" s="40" t="s">
        <v>18</v>
      </c>
      <c r="J10673" s="40" t="str">
        <f>HYPERLINK("https://stock.pstatic.net/stock-research/company/1/20250724_company_204456000.pdf","PDF")</f>
        <v>PDF</v>
      </c>
      <c r="K10673" s="12" t="s">
        <v>19778</v>
      </c>
      <c r="L10673" s="20">
        <v>0.24223602484472051</v>
      </c>
    </row>
    <row r="10674" spans="1:12" x14ac:dyDescent="0.45">
      <c r="A10674" s="12" t="s">
        <v>19722</v>
      </c>
      <c r="B10674" s="12" t="s">
        <v>362</v>
      </c>
      <c r="C10674" s="13" t="s">
        <v>363</v>
      </c>
      <c r="D10674" s="13" t="s">
        <v>65</v>
      </c>
      <c r="E10674" s="12" t="s">
        <v>35</v>
      </c>
      <c r="F10674" s="14">
        <v>95000</v>
      </c>
      <c r="G10674" s="14">
        <v>80100</v>
      </c>
      <c r="H10674" s="13" t="s">
        <v>19779</v>
      </c>
      <c r="I10674" s="40" t="s">
        <v>18</v>
      </c>
      <c r="J10674" s="40" t="str">
        <f>HYPERLINK("https://stock.pstatic.net/stock-research/company/57/20250724_company_501816000.pdf","PDF")</f>
        <v>PDF</v>
      </c>
      <c r="K10674" s="12" t="s">
        <v>19780</v>
      </c>
      <c r="L10674" s="20">
        <v>0.1860174781523096</v>
      </c>
    </row>
    <row r="10675" spans="1:12" x14ac:dyDescent="0.45">
      <c r="A10675" s="12" t="s">
        <v>19722</v>
      </c>
      <c r="B10675" s="12" t="s">
        <v>3138</v>
      </c>
      <c r="C10675" s="13" t="s">
        <v>3139</v>
      </c>
      <c r="D10675" s="13" t="s">
        <v>57</v>
      </c>
      <c r="E10675" s="12" t="s">
        <v>35</v>
      </c>
      <c r="F10675" s="14">
        <v>11000</v>
      </c>
      <c r="G10675" s="14">
        <v>8710</v>
      </c>
      <c r="H10675" s="13" t="s">
        <v>19781</v>
      </c>
      <c r="I10675" s="40" t="s">
        <v>18</v>
      </c>
      <c r="J10675" s="40" t="str">
        <f>HYPERLINK("https://stock.pstatic.net/stock-research/company/16/20250724_company_570228000.pdf","PDF")</f>
        <v>PDF</v>
      </c>
      <c r="K10675" s="12" t="s">
        <v>19782</v>
      </c>
      <c r="L10675" s="20">
        <v>0.26291618828932262</v>
      </c>
    </row>
    <row r="10676" spans="1:12" x14ac:dyDescent="0.45">
      <c r="A10676" s="12" t="s">
        <v>19722</v>
      </c>
      <c r="B10676" s="12" t="s">
        <v>13983</v>
      </c>
      <c r="C10676" s="13" t="s">
        <v>13984</v>
      </c>
      <c r="D10676" s="13" t="s">
        <v>57</v>
      </c>
      <c r="E10676" s="12" t="s">
        <v>35</v>
      </c>
      <c r="F10676" s="14">
        <v>17000</v>
      </c>
      <c r="G10676" s="14">
        <v>13230</v>
      </c>
      <c r="H10676" s="13" t="s">
        <v>19783</v>
      </c>
      <c r="I10676" s="40" t="s">
        <v>18</v>
      </c>
      <c r="J10676" s="40" t="str">
        <f>HYPERLINK("https://stock.pstatic.net/stock-research/company/16/20250724_company_338822000.pdf","PDF")</f>
        <v>PDF</v>
      </c>
      <c r="K10676" s="12" t="s">
        <v>19784</v>
      </c>
      <c r="L10676" s="20">
        <v>0.28495842781557068</v>
      </c>
    </row>
    <row r="10677" spans="1:12" x14ac:dyDescent="0.45">
      <c r="A10677" s="12" t="s">
        <v>19722</v>
      </c>
      <c r="B10677" s="12" t="s">
        <v>912</v>
      </c>
      <c r="C10677" s="13" t="s">
        <v>913</v>
      </c>
      <c r="D10677" s="13" t="s">
        <v>158</v>
      </c>
      <c r="E10677" s="12" t="s">
        <v>35</v>
      </c>
      <c r="F10677" s="14">
        <v>84000</v>
      </c>
      <c r="G10677" s="14">
        <v>69800</v>
      </c>
      <c r="H10677" s="13" t="s">
        <v>19785</v>
      </c>
      <c r="I10677" s="40" t="s">
        <v>18</v>
      </c>
      <c r="J10677" s="40" t="str">
        <f>HYPERLINK("https://stock.pstatic.net/stock-research/company/18/20250724_company_8391000.pdf","PDF")</f>
        <v>PDF</v>
      </c>
      <c r="K10677" s="12" t="s">
        <v>19786</v>
      </c>
      <c r="L10677" s="20">
        <v>0.20343839541547279</v>
      </c>
    </row>
    <row r="10678" spans="1:12" x14ac:dyDescent="0.45">
      <c r="A10678" s="12" t="s">
        <v>19722</v>
      </c>
      <c r="B10678" s="12" t="s">
        <v>1081</v>
      </c>
      <c r="C10678" s="13" t="s">
        <v>1082</v>
      </c>
      <c r="D10678" s="13" t="s">
        <v>158</v>
      </c>
      <c r="E10678" s="12" t="s">
        <v>35</v>
      </c>
      <c r="F10678" s="14">
        <v>1300000</v>
      </c>
      <c r="G10678" s="14">
        <v>1064000</v>
      </c>
      <c r="H10678" s="13" t="s">
        <v>19787</v>
      </c>
      <c r="I10678" s="40" t="s">
        <v>18</v>
      </c>
      <c r="J10678" s="40" t="str">
        <f>HYPERLINK("https://stock.pstatic.net/stock-research/company/18/20250724_company_180273000.pdf","PDF")</f>
        <v>PDF</v>
      </c>
      <c r="K10678" s="12" t="s">
        <v>19788</v>
      </c>
      <c r="L10678" s="20">
        <v>0.2218045112781955</v>
      </c>
    </row>
    <row r="10679" spans="1:12" x14ac:dyDescent="0.45">
      <c r="A10679" s="12" t="s">
        <v>19722</v>
      </c>
      <c r="B10679" s="12" t="s">
        <v>6178</v>
      </c>
      <c r="C10679" s="13" t="s">
        <v>6179</v>
      </c>
      <c r="D10679" s="13" t="s">
        <v>83</v>
      </c>
      <c r="E10679" s="12" t="s">
        <v>50</v>
      </c>
      <c r="F10679" s="13"/>
      <c r="G10679" s="14">
        <v>49400</v>
      </c>
      <c r="H10679" s="13" t="s">
        <v>19789</v>
      </c>
      <c r="I10679" s="40" t="s">
        <v>18</v>
      </c>
      <c r="J10679" s="40" t="str">
        <f>HYPERLINK("https://stock.pstatic.net/stock-research/company/2/20250724_company_938431000.pdf","PDF")</f>
        <v>PDF</v>
      </c>
      <c r="K10679" s="12" t="s">
        <v>19790</v>
      </c>
    </row>
    <row r="10680" spans="1:12" x14ac:dyDescent="0.45">
      <c r="A10680" s="12" t="s">
        <v>19722</v>
      </c>
      <c r="B10680" s="12" t="s">
        <v>533</v>
      </c>
      <c r="C10680" s="13" t="s">
        <v>534</v>
      </c>
      <c r="D10680" s="13" t="s">
        <v>83</v>
      </c>
      <c r="E10680" s="12" t="s">
        <v>35</v>
      </c>
      <c r="F10680" s="14">
        <v>74000</v>
      </c>
      <c r="G10680" s="14">
        <v>56400</v>
      </c>
      <c r="H10680" s="13" t="s">
        <v>19791</v>
      </c>
      <c r="I10680" s="40" t="s">
        <v>18</v>
      </c>
      <c r="J10680" s="40" t="str">
        <f>HYPERLINK("https://stock.pstatic.net/stock-research/company/2/20250724_company_544000.pdf","PDF")</f>
        <v>PDF</v>
      </c>
      <c r="K10680" s="12" t="s">
        <v>19792</v>
      </c>
      <c r="L10680" s="20">
        <v>0.31205673758865249</v>
      </c>
    </row>
    <row r="10681" spans="1:12" x14ac:dyDescent="0.45">
      <c r="A10681" s="12" t="s">
        <v>19722</v>
      </c>
      <c r="B10681" s="12" t="s">
        <v>740</v>
      </c>
      <c r="C10681" s="13" t="s">
        <v>741</v>
      </c>
      <c r="D10681" s="13" t="s">
        <v>83</v>
      </c>
      <c r="E10681" s="12" t="s">
        <v>35</v>
      </c>
      <c r="F10681" s="14">
        <v>220000</v>
      </c>
      <c r="G10681" s="14">
        <v>154000</v>
      </c>
      <c r="H10681" s="13" t="s">
        <v>19793</v>
      </c>
      <c r="I10681" s="40" t="s">
        <v>18</v>
      </c>
      <c r="J10681" s="40" t="str">
        <f>HYPERLINK("https://stock.pstatic.net/stock-research/company/2/20250724_company_617348000.pdf","PDF")</f>
        <v>PDF</v>
      </c>
      <c r="K10681" s="12" t="s">
        <v>19794</v>
      </c>
      <c r="L10681" s="20">
        <v>0.42857142857142849</v>
      </c>
    </row>
    <row r="10682" spans="1:12" x14ac:dyDescent="0.45">
      <c r="A10682" s="12" t="s">
        <v>19722</v>
      </c>
      <c r="B10682" s="12" t="s">
        <v>1081</v>
      </c>
      <c r="C10682" s="13" t="s">
        <v>1082</v>
      </c>
      <c r="D10682" s="13" t="s">
        <v>83</v>
      </c>
      <c r="E10682" s="12" t="s">
        <v>35</v>
      </c>
      <c r="F10682" s="14">
        <v>1300000</v>
      </c>
      <c r="G10682" s="14">
        <v>1064000</v>
      </c>
      <c r="H10682" s="13" t="s">
        <v>19795</v>
      </c>
      <c r="I10682" s="40" t="s">
        <v>18</v>
      </c>
      <c r="J10682" s="40" t="str">
        <f>HYPERLINK("https://stock.pstatic.net/stock-research/company/2/20250724_company_58218000.pdf","PDF")</f>
        <v>PDF</v>
      </c>
      <c r="K10682" s="12" t="s">
        <v>19796</v>
      </c>
      <c r="L10682" s="20">
        <v>0.2218045112781955</v>
      </c>
    </row>
    <row r="10683" spans="1:12" x14ac:dyDescent="0.45">
      <c r="A10683" s="12" t="s">
        <v>19722</v>
      </c>
      <c r="B10683" s="12" t="s">
        <v>740</v>
      </c>
      <c r="C10683" s="13" t="s">
        <v>741</v>
      </c>
      <c r="D10683" s="13" t="s">
        <v>15</v>
      </c>
      <c r="E10683" s="12" t="s">
        <v>16</v>
      </c>
      <c r="F10683" s="14">
        <v>220000</v>
      </c>
      <c r="G10683" s="14">
        <v>154000</v>
      </c>
      <c r="H10683" s="13" t="s">
        <v>19797</v>
      </c>
      <c r="I10683" s="40" t="s">
        <v>18</v>
      </c>
      <c r="J10683" s="40" t="str">
        <f>HYPERLINK("https://stock.pstatic.net/stock-research/company/29/20250724_company_657240000.pdf","PDF")</f>
        <v>PDF</v>
      </c>
      <c r="K10683" s="12" t="s">
        <v>19798</v>
      </c>
      <c r="L10683" s="20">
        <v>0.42857142857142849</v>
      </c>
    </row>
    <row r="10684" spans="1:12" x14ac:dyDescent="0.45">
      <c r="A10684" s="12" t="s">
        <v>19722</v>
      </c>
      <c r="B10684" s="12" t="s">
        <v>792</v>
      </c>
      <c r="C10684" s="13" t="s">
        <v>793</v>
      </c>
      <c r="D10684" s="13" t="s">
        <v>23</v>
      </c>
      <c r="E10684" s="12" t="s">
        <v>16</v>
      </c>
      <c r="F10684" s="14">
        <v>27500</v>
      </c>
      <c r="G10684" s="14">
        <v>22200</v>
      </c>
      <c r="H10684" s="13" t="s">
        <v>19799</v>
      </c>
      <c r="I10684" s="40" t="s">
        <v>18</v>
      </c>
      <c r="J10684" s="40" t="str">
        <f>HYPERLINK("https://stock.pstatic.net/stock-research/company/21/20250724_company_372510000.pdf","PDF")</f>
        <v>PDF</v>
      </c>
      <c r="K10684" s="12" t="s">
        <v>19800</v>
      </c>
      <c r="L10684" s="20">
        <v>0.23873873873873869</v>
      </c>
    </row>
    <row r="10685" spans="1:12" x14ac:dyDescent="0.45">
      <c r="A10685" s="12" t="s">
        <v>19722</v>
      </c>
      <c r="B10685" s="12" t="s">
        <v>5654</v>
      </c>
      <c r="C10685" s="13" t="s">
        <v>5655</v>
      </c>
      <c r="D10685" s="13" t="s">
        <v>53</v>
      </c>
      <c r="E10685" s="12" t="s">
        <v>16</v>
      </c>
      <c r="F10685" s="14">
        <v>18000</v>
      </c>
      <c r="G10685" s="14">
        <v>11490</v>
      </c>
      <c r="H10685" s="13" t="s">
        <v>19801</v>
      </c>
      <c r="I10685" s="40" t="s">
        <v>18</v>
      </c>
      <c r="J10685" s="40" t="str">
        <f>HYPERLINK("https://stock.pstatic.net/stock-research/company/40/20250724_company_201132000.pdf","PDF")</f>
        <v>PDF</v>
      </c>
      <c r="K10685" s="12" t="s">
        <v>19802</v>
      </c>
      <c r="L10685" s="20">
        <v>0.56657963446475201</v>
      </c>
    </row>
    <row r="10686" spans="1:12" x14ac:dyDescent="0.45">
      <c r="A10686" s="12" t="s">
        <v>19722</v>
      </c>
      <c r="B10686" s="12" t="s">
        <v>1081</v>
      </c>
      <c r="C10686" s="13" t="s">
        <v>1082</v>
      </c>
      <c r="D10686" s="13" t="s">
        <v>15</v>
      </c>
      <c r="E10686" s="12" t="s">
        <v>16</v>
      </c>
      <c r="F10686" s="14">
        <v>1400000</v>
      </c>
      <c r="G10686" s="14">
        <v>1064000</v>
      </c>
      <c r="H10686" s="13" t="s">
        <v>19803</v>
      </c>
      <c r="I10686" s="40" t="s">
        <v>18</v>
      </c>
      <c r="J10686" s="40" t="str">
        <f>HYPERLINK("https://stock.pstatic.net/stock-research/company/29/20250724_company_567526000.pdf","PDF")</f>
        <v>PDF</v>
      </c>
      <c r="K10686" s="12" t="s">
        <v>19804</v>
      </c>
      <c r="L10686" s="20">
        <v>0.31578947368421051</v>
      </c>
    </row>
    <row r="10687" spans="1:12" x14ac:dyDescent="0.45">
      <c r="A10687" s="12" t="s">
        <v>19722</v>
      </c>
      <c r="B10687" s="12" t="s">
        <v>76</v>
      </c>
      <c r="C10687" s="13" t="s">
        <v>77</v>
      </c>
      <c r="D10687" s="13" t="s">
        <v>23</v>
      </c>
      <c r="E10687" s="12" t="s">
        <v>385</v>
      </c>
      <c r="F10687" s="13"/>
      <c r="G10687" s="14">
        <v>24700</v>
      </c>
      <c r="H10687" s="13" t="s">
        <v>19805</v>
      </c>
      <c r="I10687" s="40" t="s">
        <v>18</v>
      </c>
      <c r="J10687" s="40" t="str">
        <f>HYPERLINK("https://stock.pstatic.net/stock-research/company/1/20250724_company_975503000.pdf","PDF")</f>
        <v>PDF</v>
      </c>
      <c r="K10687" s="12" t="s">
        <v>19806</v>
      </c>
    </row>
    <row r="10688" spans="1:12" x14ac:dyDescent="0.45">
      <c r="A10688" s="12" t="s">
        <v>19722</v>
      </c>
      <c r="B10688" s="12" t="s">
        <v>9826</v>
      </c>
      <c r="C10688" s="13" t="s">
        <v>9827</v>
      </c>
      <c r="D10688" s="13" t="s">
        <v>53</v>
      </c>
      <c r="E10688" s="12" t="s">
        <v>16</v>
      </c>
      <c r="F10688" s="14">
        <v>27000</v>
      </c>
      <c r="G10688" s="13"/>
      <c r="H10688" s="13" t="s">
        <v>19807</v>
      </c>
      <c r="I10688" s="40" t="s">
        <v>18</v>
      </c>
      <c r="J10688" s="40" t="str">
        <f>HYPERLINK("https://stock.pstatic.net/stock-research/company/40/20250724_company_539251000.pdf","PDF")</f>
        <v>PDF</v>
      </c>
      <c r="K10688" s="12" t="s">
        <v>19808</v>
      </c>
    </row>
    <row r="10689" spans="1:12" x14ac:dyDescent="0.45">
      <c r="A10689" s="12" t="s">
        <v>19722</v>
      </c>
      <c r="B10689" s="12" t="s">
        <v>13983</v>
      </c>
      <c r="C10689" s="13" t="s">
        <v>13984</v>
      </c>
      <c r="D10689" s="13" t="s">
        <v>23</v>
      </c>
      <c r="E10689" s="12" t="s">
        <v>16</v>
      </c>
      <c r="F10689" s="14">
        <v>16000</v>
      </c>
      <c r="G10689" s="14">
        <v>13230</v>
      </c>
      <c r="H10689" s="13" t="s">
        <v>19809</v>
      </c>
      <c r="I10689" s="40" t="s">
        <v>18</v>
      </c>
      <c r="J10689" s="40" t="str">
        <f>HYPERLINK("https://stock.pstatic.net/stock-research/company/21/20250724_company_916787000.pdf","PDF")</f>
        <v>PDF</v>
      </c>
      <c r="K10689" s="12" t="s">
        <v>19810</v>
      </c>
      <c r="L10689" s="20">
        <v>0.20937263794406649</v>
      </c>
    </row>
    <row r="10690" spans="1:12" x14ac:dyDescent="0.45">
      <c r="A10690" s="12" t="s">
        <v>19722</v>
      </c>
      <c r="B10690" s="12" t="s">
        <v>3138</v>
      </c>
      <c r="C10690" s="13" t="s">
        <v>3139</v>
      </c>
      <c r="D10690" s="13" t="s">
        <v>34</v>
      </c>
      <c r="E10690" s="12" t="s">
        <v>159</v>
      </c>
      <c r="F10690" s="14">
        <v>10000</v>
      </c>
      <c r="G10690" s="14">
        <v>8710</v>
      </c>
      <c r="H10690" s="13" t="s">
        <v>19811</v>
      </c>
      <c r="I10690" s="40" t="s">
        <v>18</v>
      </c>
      <c r="J10690" s="40" t="str">
        <f>HYPERLINK("https://stock.pstatic.net/stock-research/company/61/20250724_company_163219000.pdf","PDF")</f>
        <v>PDF</v>
      </c>
      <c r="K10690" s="12" t="s">
        <v>19812</v>
      </c>
      <c r="L10690" s="20">
        <v>0.148105625717566</v>
      </c>
    </row>
    <row r="10691" spans="1:12" x14ac:dyDescent="0.45">
      <c r="A10691" s="12" t="s">
        <v>19722</v>
      </c>
      <c r="B10691" s="12" t="s">
        <v>740</v>
      </c>
      <c r="C10691" s="13" t="s">
        <v>741</v>
      </c>
      <c r="D10691" s="13" t="s">
        <v>34</v>
      </c>
      <c r="E10691" s="12" t="s">
        <v>35</v>
      </c>
      <c r="F10691" s="14">
        <v>225000</v>
      </c>
      <c r="G10691" s="14">
        <v>154000</v>
      </c>
      <c r="H10691" s="13" t="s">
        <v>19813</v>
      </c>
      <c r="I10691" s="40" t="s">
        <v>18</v>
      </c>
      <c r="J10691" s="40" t="str">
        <f>HYPERLINK("https://stock.pstatic.net/stock-research/company/61/20250724_company_305391000.pdf","PDF")</f>
        <v>PDF</v>
      </c>
      <c r="K10691" s="12" t="s">
        <v>19814</v>
      </c>
      <c r="L10691" s="20">
        <v>0.46103896103896103</v>
      </c>
    </row>
    <row r="10692" spans="1:12" x14ac:dyDescent="0.45">
      <c r="A10692" s="12" t="s">
        <v>19722</v>
      </c>
      <c r="B10692" s="12" t="s">
        <v>3138</v>
      </c>
      <c r="C10692" s="13" t="s">
        <v>3139</v>
      </c>
      <c r="D10692" s="13" t="s">
        <v>179</v>
      </c>
      <c r="E10692" s="12" t="s">
        <v>16</v>
      </c>
      <c r="F10692" s="14">
        <v>11000</v>
      </c>
      <c r="G10692" s="14">
        <v>8710</v>
      </c>
      <c r="H10692" s="13" t="s">
        <v>19815</v>
      </c>
      <c r="I10692" s="40" t="s">
        <v>18</v>
      </c>
      <c r="J10692" s="40" t="str">
        <f>HYPERLINK("https://stock.pstatic.net/stock-research/company/31/20250724_company_867409000.pdf","PDF")</f>
        <v>PDF</v>
      </c>
      <c r="K10692" s="12" t="s">
        <v>19816</v>
      </c>
      <c r="L10692" s="20">
        <v>0.26291618828932262</v>
      </c>
    </row>
    <row r="10693" spans="1:12" x14ac:dyDescent="0.45">
      <c r="A10693" s="12" t="s">
        <v>19722</v>
      </c>
      <c r="B10693" s="12" t="s">
        <v>1081</v>
      </c>
      <c r="C10693" s="13" t="s">
        <v>1082</v>
      </c>
      <c r="D10693" s="13" t="s">
        <v>53</v>
      </c>
      <c r="E10693" s="12" t="s">
        <v>16</v>
      </c>
      <c r="F10693" s="14">
        <v>1300000</v>
      </c>
      <c r="G10693" s="14">
        <v>1064000</v>
      </c>
      <c r="H10693" s="13" t="s">
        <v>19817</v>
      </c>
      <c r="I10693" s="40" t="s">
        <v>18</v>
      </c>
      <c r="J10693" s="40" t="str">
        <f>HYPERLINK("https://stock.pstatic.net/stock-research/company/40/20250724_company_794242000.pdf","PDF")</f>
        <v>PDF</v>
      </c>
      <c r="K10693" s="12" t="s">
        <v>19818</v>
      </c>
      <c r="L10693" s="20">
        <v>0.2218045112781955</v>
      </c>
    </row>
    <row r="10694" spans="1:12" x14ac:dyDescent="0.45">
      <c r="A10694" s="12" t="s">
        <v>19722</v>
      </c>
      <c r="B10694" s="12" t="s">
        <v>1374</v>
      </c>
      <c r="C10694" s="13" t="s">
        <v>1375</v>
      </c>
      <c r="D10694" s="13" t="s">
        <v>179</v>
      </c>
      <c r="E10694" s="12" t="s">
        <v>16</v>
      </c>
      <c r="F10694" s="14">
        <v>50000</v>
      </c>
      <c r="G10694" s="14">
        <v>38350</v>
      </c>
      <c r="H10694" s="13" t="s">
        <v>19819</v>
      </c>
      <c r="I10694" s="40" t="s">
        <v>18</v>
      </c>
      <c r="J10694" s="40" t="str">
        <f>HYPERLINK("https://stock.pstatic.net/stock-research/company/31/20250724_company_636884000.pdf","PDF")</f>
        <v>PDF</v>
      </c>
      <c r="K10694" s="12" t="s">
        <v>19820</v>
      </c>
      <c r="L10694" s="20">
        <v>0.30378096479791389</v>
      </c>
    </row>
    <row r="10695" spans="1:12" x14ac:dyDescent="0.45">
      <c r="A10695" s="12" t="s">
        <v>19722</v>
      </c>
      <c r="B10695" s="12" t="s">
        <v>740</v>
      </c>
      <c r="C10695" s="13" t="s">
        <v>741</v>
      </c>
      <c r="D10695" s="13" t="s">
        <v>92</v>
      </c>
      <c r="E10695" s="12" t="s">
        <v>35</v>
      </c>
      <c r="F10695" s="14">
        <v>200000</v>
      </c>
      <c r="G10695" s="14">
        <v>154000</v>
      </c>
      <c r="H10695" s="13" t="s">
        <v>19821</v>
      </c>
      <c r="I10695" s="40" t="s">
        <v>18</v>
      </c>
      <c r="J10695" s="40" t="str">
        <f>HYPERLINK("https://stock.pstatic.net/stock-research/company/63/20250724_company_993949000.pdf","PDF")</f>
        <v>PDF</v>
      </c>
      <c r="K10695" s="12" t="s">
        <v>19822</v>
      </c>
      <c r="L10695" s="20">
        <v>0.29870129870129869</v>
      </c>
    </row>
    <row r="10696" spans="1:12" x14ac:dyDescent="0.45">
      <c r="A10696" s="12" t="s">
        <v>19722</v>
      </c>
      <c r="B10696" s="12" t="s">
        <v>1648</v>
      </c>
      <c r="C10696" s="13" t="s">
        <v>1649</v>
      </c>
      <c r="D10696" s="13" t="s">
        <v>53</v>
      </c>
      <c r="E10696" s="12" t="s">
        <v>16</v>
      </c>
      <c r="F10696" s="14">
        <v>170000</v>
      </c>
      <c r="G10696" s="14">
        <v>133100</v>
      </c>
      <c r="H10696" s="13" t="s">
        <v>19823</v>
      </c>
      <c r="I10696" s="40" t="s">
        <v>18</v>
      </c>
      <c r="J10696" s="40" t="str">
        <f>HYPERLINK("https://stock.pstatic.net/stock-research/company/40/20250724_company_526984000.pdf","PDF")</f>
        <v>PDF</v>
      </c>
      <c r="K10696" s="12" t="s">
        <v>19824</v>
      </c>
      <c r="L10696" s="20">
        <v>0.27723516153268218</v>
      </c>
    </row>
    <row r="10697" spans="1:12" x14ac:dyDescent="0.45">
      <c r="A10697" s="12" t="s">
        <v>19722</v>
      </c>
      <c r="B10697" s="12" t="s">
        <v>1652</v>
      </c>
      <c r="C10697" s="13" t="s">
        <v>1653</v>
      </c>
      <c r="D10697" s="13" t="s">
        <v>92</v>
      </c>
      <c r="E10697" s="12" t="s">
        <v>35</v>
      </c>
      <c r="F10697" s="14">
        <v>70000</v>
      </c>
      <c r="G10697" s="14">
        <v>50100</v>
      </c>
      <c r="H10697" s="13" t="s">
        <v>19825</v>
      </c>
      <c r="I10697" s="40" t="s">
        <v>18</v>
      </c>
      <c r="J10697" s="40" t="str">
        <f>HYPERLINK("https://stock.pstatic.net/stock-research/company/63/20250724_company_436148000.pdf","PDF")</f>
        <v>PDF</v>
      </c>
      <c r="K10697" s="12" t="s">
        <v>19826</v>
      </c>
      <c r="L10697" s="20">
        <v>0.39720558882235529</v>
      </c>
    </row>
    <row r="10698" spans="1:12" x14ac:dyDescent="0.45">
      <c r="A10698" s="12" t="s">
        <v>19722</v>
      </c>
      <c r="B10698" s="12" t="s">
        <v>912</v>
      </c>
      <c r="C10698" s="13" t="s">
        <v>913</v>
      </c>
      <c r="D10698" s="13" t="s">
        <v>92</v>
      </c>
      <c r="E10698" s="12" t="s">
        <v>50</v>
      </c>
      <c r="F10698" s="13"/>
      <c r="G10698" s="14">
        <v>69800</v>
      </c>
      <c r="H10698" s="13" t="s">
        <v>19827</v>
      </c>
      <c r="I10698" s="40" t="s">
        <v>18</v>
      </c>
      <c r="J10698" s="40" t="str">
        <f>HYPERLINK("https://stock.pstatic.net/stock-research/company/63/20250724_company_282920000.pdf","PDF")</f>
        <v>PDF</v>
      </c>
      <c r="K10698" s="12" t="s">
        <v>19828</v>
      </c>
    </row>
    <row r="10699" spans="1:12" x14ac:dyDescent="0.45">
      <c r="A10699" s="12" t="s">
        <v>19722</v>
      </c>
      <c r="B10699" s="12" t="s">
        <v>740</v>
      </c>
      <c r="C10699" s="13" t="s">
        <v>741</v>
      </c>
      <c r="D10699" s="13" t="s">
        <v>179</v>
      </c>
      <c r="E10699" s="12" t="s">
        <v>16</v>
      </c>
      <c r="F10699" s="14">
        <v>190000</v>
      </c>
      <c r="G10699" s="14">
        <v>154000</v>
      </c>
      <c r="H10699" s="13" t="s">
        <v>19829</v>
      </c>
      <c r="I10699" s="40" t="s">
        <v>18</v>
      </c>
      <c r="J10699" s="40" t="str">
        <f>HYPERLINK("https://stock.pstatic.net/stock-research/company/31/20250724_company_822610000.pdf","PDF")</f>
        <v>PDF</v>
      </c>
      <c r="K10699" s="12" t="s">
        <v>19830</v>
      </c>
      <c r="L10699" s="20">
        <v>0.23376623376623379</v>
      </c>
    </row>
    <row r="10700" spans="1:12" x14ac:dyDescent="0.45">
      <c r="A10700" s="12" t="s">
        <v>19722</v>
      </c>
      <c r="B10700" s="12" t="s">
        <v>3138</v>
      </c>
      <c r="C10700" s="13" t="s">
        <v>3139</v>
      </c>
      <c r="D10700" s="13" t="s">
        <v>92</v>
      </c>
      <c r="E10700" s="12" t="s">
        <v>35</v>
      </c>
      <c r="F10700" s="14">
        <v>16000</v>
      </c>
      <c r="G10700" s="14">
        <v>8710</v>
      </c>
      <c r="H10700" s="13" t="s">
        <v>19831</v>
      </c>
      <c r="I10700" s="40" t="s">
        <v>18</v>
      </c>
      <c r="J10700" s="40" t="str">
        <f>HYPERLINK("https://stock.pstatic.net/stock-research/company/63/20250724_company_493115000.pdf","PDF")</f>
        <v>PDF</v>
      </c>
      <c r="K10700" s="12" t="s">
        <v>19832</v>
      </c>
      <c r="L10700" s="20">
        <v>0.83696900114810557</v>
      </c>
    </row>
    <row r="10701" spans="1:12" x14ac:dyDescent="0.45">
      <c r="A10701" s="12" t="s">
        <v>19722</v>
      </c>
      <c r="B10701" s="12" t="s">
        <v>1350</v>
      </c>
      <c r="C10701" s="13" t="s">
        <v>1351</v>
      </c>
      <c r="D10701" s="13" t="s">
        <v>53</v>
      </c>
      <c r="E10701" s="12" t="s">
        <v>16</v>
      </c>
      <c r="F10701" s="14">
        <v>67000</v>
      </c>
      <c r="G10701" s="14">
        <v>50900</v>
      </c>
      <c r="H10701" s="13" t="s">
        <v>19833</v>
      </c>
      <c r="I10701" s="40" t="s">
        <v>18</v>
      </c>
      <c r="J10701" s="40" t="str">
        <f>HYPERLINK("https://stock.pstatic.net/stock-research/company/40/20250724_company_211478000.pdf","PDF")</f>
        <v>PDF</v>
      </c>
      <c r="K10701" s="12" t="s">
        <v>19834</v>
      </c>
      <c r="L10701" s="20">
        <v>0.31630648330058941</v>
      </c>
    </row>
    <row r="10702" spans="1:12" x14ac:dyDescent="0.45">
      <c r="A10702" s="12" t="s">
        <v>19722</v>
      </c>
      <c r="B10702" s="12" t="s">
        <v>1081</v>
      </c>
      <c r="C10702" s="13" t="s">
        <v>1082</v>
      </c>
      <c r="D10702" s="13" t="s">
        <v>179</v>
      </c>
      <c r="E10702" s="12" t="s">
        <v>16</v>
      </c>
      <c r="F10702" s="14">
        <v>1300000</v>
      </c>
      <c r="G10702" s="14">
        <v>1064000</v>
      </c>
      <c r="H10702" s="13" t="s">
        <v>19835</v>
      </c>
      <c r="I10702" s="40" t="s">
        <v>18</v>
      </c>
      <c r="J10702" s="40" t="str">
        <f>HYPERLINK("https://stock.pstatic.net/stock-research/company/64/20250724_company_240979000.pdf","PDF")</f>
        <v>PDF</v>
      </c>
      <c r="K10702" s="12" t="s">
        <v>19836</v>
      </c>
      <c r="L10702" s="20">
        <v>0.2218045112781955</v>
      </c>
    </row>
    <row r="10703" spans="1:12" x14ac:dyDescent="0.45">
      <c r="A10703" s="12" t="s">
        <v>19722</v>
      </c>
      <c r="B10703" s="12" t="s">
        <v>1081</v>
      </c>
      <c r="C10703" s="13" t="s">
        <v>1082</v>
      </c>
      <c r="D10703" s="13" t="s">
        <v>92</v>
      </c>
      <c r="E10703" s="12" t="s">
        <v>35</v>
      </c>
      <c r="F10703" s="14">
        <v>1300000</v>
      </c>
      <c r="G10703" s="14">
        <v>1064000</v>
      </c>
      <c r="H10703" s="13" t="s">
        <v>19837</v>
      </c>
      <c r="I10703" s="40" t="s">
        <v>18</v>
      </c>
      <c r="J10703" s="40" t="str">
        <f>HYPERLINK("https://stock.pstatic.net/stock-research/company/1/20250724_company_848165000.pdf","PDF")</f>
        <v>PDF</v>
      </c>
      <c r="K10703" s="12" t="s">
        <v>19838</v>
      </c>
      <c r="L10703" s="20">
        <v>0.2218045112781955</v>
      </c>
    </row>
    <row r="10704" spans="1:12" x14ac:dyDescent="0.45">
      <c r="A10704" s="12" t="s">
        <v>19722</v>
      </c>
      <c r="B10704" s="12" t="s">
        <v>1019</v>
      </c>
      <c r="C10704" s="13" t="s">
        <v>1020</v>
      </c>
      <c r="D10704" s="13" t="s">
        <v>92</v>
      </c>
      <c r="E10704" s="12" t="s">
        <v>35</v>
      </c>
      <c r="F10704" s="14">
        <v>23000</v>
      </c>
      <c r="G10704" s="14">
        <v>17280</v>
      </c>
      <c r="H10704" s="13" t="s">
        <v>19839</v>
      </c>
      <c r="I10704" s="40" t="s">
        <v>18</v>
      </c>
      <c r="J10704" s="40" t="str">
        <f>HYPERLINK("https://stock.pstatic.net/stock-research/company/63/20250724_company_544681000.pdf","PDF")</f>
        <v>PDF</v>
      </c>
      <c r="K10704" s="12" t="s">
        <v>19840</v>
      </c>
      <c r="L10704" s="20">
        <v>0.33101851851851849</v>
      </c>
    </row>
    <row r="10705" spans="1:12" x14ac:dyDescent="0.45">
      <c r="A10705" s="12" t="s">
        <v>19722</v>
      </c>
      <c r="B10705" s="12" t="s">
        <v>6086</v>
      </c>
      <c r="C10705" s="13" t="s">
        <v>6087</v>
      </c>
      <c r="D10705" s="13" t="s">
        <v>23</v>
      </c>
      <c r="E10705" s="12" t="s">
        <v>50</v>
      </c>
      <c r="F10705" s="13"/>
      <c r="G10705" s="14">
        <v>9160</v>
      </c>
      <c r="H10705" s="13" t="s">
        <v>19841</v>
      </c>
      <c r="I10705" s="40" t="s">
        <v>18</v>
      </c>
      <c r="J10705" s="40" t="str">
        <f>HYPERLINK("https://stock.pstatic.net/stock-research/company/21/20250724_company_930706000.pdf","PDF")</f>
        <v>PDF</v>
      </c>
      <c r="K10705" s="12" t="s">
        <v>19842</v>
      </c>
    </row>
    <row r="10706" spans="1:12" x14ac:dyDescent="0.45">
      <c r="A10706" s="12" t="s">
        <v>19722</v>
      </c>
      <c r="B10706" s="12" t="s">
        <v>740</v>
      </c>
      <c r="C10706" s="13" t="s">
        <v>741</v>
      </c>
      <c r="D10706" s="13" t="s">
        <v>44</v>
      </c>
      <c r="E10706" s="12" t="s">
        <v>35</v>
      </c>
      <c r="F10706" s="14">
        <v>210000</v>
      </c>
      <c r="G10706" s="14">
        <v>154000</v>
      </c>
      <c r="H10706" s="13" t="s">
        <v>19843</v>
      </c>
      <c r="I10706" s="40" t="s">
        <v>18</v>
      </c>
      <c r="J10706" s="40" t="str">
        <f>HYPERLINK("https://stock.pstatic.net/stock-research/company/39/20250724_company_164376000.pdf","PDF")</f>
        <v>PDF</v>
      </c>
      <c r="K10706" s="12" t="s">
        <v>19844</v>
      </c>
      <c r="L10706" s="20">
        <v>0.36363636363636359</v>
      </c>
    </row>
    <row r="10707" spans="1:12" x14ac:dyDescent="0.45">
      <c r="A10707" s="12" t="s">
        <v>19722</v>
      </c>
      <c r="B10707" s="12" t="s">
        <v>511</v>
      </c>
      <c r="C10707" s="13" t="s">
        <v>512</v>
      </c>
      <c r="D10707" s="13" t="s">
        <v>23</v>
      </c>
      <c r="E10707" s="12" t="s">
        <v>16</v>
      </c>
      <c r="F10707" s="14">
        <v>120000</v>
      </c>
      <c r="G10707" s="14">
        <v>85400</v>
      </c>
      <c r="H10707" s="13" t="s">
        <v>19845</v>
      </c>
      <c r="I10707" s="40" t="s">
        <v>18</v>
      </c>
      <c r="J10707" s="40" t="str">
        <f>HYPERLINK("https://stock.pstatic.net/stock-research/company/21/20250724_company_585022000.pdf","PDF")</f>
        <v>PDF</v>
      </c>
      <c r="K10707" s="12" t="s">
        <v>19846</v>
      </c>
      <c r="L10707" s="20">
        <v>0.40515222482435598</v>
      </c>
    </row>
    <row r="10708" spans="1:12" x14ac:dyDescent="0.45">
      <c r="A10708" s="12" t="s">
        <v>19722</v>
      </c>
      <c r="B10708" s="12" t="s">
        <v>19847</v>
      </c>
      <c r="C10708" s="13" t="s">
        <v>19848</v>
      </c>
      <c r="D10708" s="13" t="s">
        <v>23</v>
      </c>
      <c r="E10708" s="12" t="s">
        <v>50</v>
      </c>
      <c r="F10708" s="13"/>
      <c r="G10708" s="14">
        <v>18280</v>
      </c>
      <c r="H10708" s="13" t="s">
        <v>19849</v>
      </c>
      <c r="I10708" s="40" t="s">
        <v>18</v>
      </c>
      <c r="J10708" s="40" t="str">
        <f>HYPERLINK("https://stock.pstatic.net/stock-research/company/21/20250724_company_50531000.pdf","PDF")</f>
        <v>PDF</v>
      </c>
      <c r="K10708" s="12" t="s">
        <v>19850</v>
      </c>
    </row>
    <row r="10709" spans="1:12" x14ac:dyDescent="0.45">
      <c r="A10709" s="12" t="s">
        <v>19722</v>
      </c>
      <c r="B10709" s="12" t="s">
        <v>511</v>
      </c>
      <c r="C10709" s="13" t="s">
        <v>512</v>
      </c>
      <c r="D10709" s="13" t="s">
        <v>44</v>
      </c>
      <c r="E10709" s="12" t="s">
        <v>35</v>
      </c>
      <c r="F10709" s="14">
        <v>120000</v>
      </c>
      <c r="G10709" s="14">
        <v>85400</v>
      </c>
      <c r="H10709" s="13" t="s">
        <v>19851</v>
      </c>
      <c r="I10709" s="40" t="s">
        <v>18</v>
      </c>
      <c r="J10709" s="40" t="str">
        <f>HYPERLINK("https://stock.pstatic.net/stock-research/company/39/20250724_company_48077000.pdf","PDF")</f>
        <v>PDF</v>
      </c>
      <c r="K10709" s="12" t="s">
        <v>19852</v>
      </c>
      <c r="L10709" s="20">
        <v>0.40515222482435598</v>
      </c>
    </row>
    <row r="10710" spans="1:12" x14ac:dyDescent="0.45">
      <c r="A10710" s="12" t="s">
        <v>19722</v>
      </c>
      <c r="B10710" s="12" t="s">
        <v>511</v>
      </c>
      <c r="C10710" s="13" t="s">
        <v>512</v>
      </c>
      <c r="D10710" s="13" t="s">
        <v>34</v>
      </c>
      <c r="E10710" s="12" t="s">
        <v>35</v>
      </c>
      <c r="F10710" s="14">
        <v>126000</v>
      </c>
      <c r="G10710" s="14">
        <v>85400</v>
      </c>
      <c r="H10710" s="13" t="s">
        <v>19853</v>
      </c>
      <c r="I10710" s="40" t="s">
        <v>18</v>
      </c>
      <c r="J10710" s="40" t="str">
        <f>HYPERLINK("https://stock.pstatic.net/stock-research/company/61/20250724_company_473294000.pdf","PDF")</f>
        <v>PDF</v>
      </c>
      <c r="K10710" s="12" t="s">
        <v>19854</v>
      </c>
      <c r="L10710" s="20">
        <v>0.47540983606557369</v>
      </c>
    </row>
    <row r="10711" spans="1:12" x14ac:dyDescent="0.45">
      <c r="A10711" s="12" t="s">
        <v>19722</v>
      </c>
      <c r="B10711" s="12" t="s">
        <v>1081</v>
      </c>
      <c r="C10711" s="13" t="s">
        <v>1082</v>
      </c>
      <c r="D10711" s="13" t="s">
        <v>34</v>
      </c>
      <c r="E10711" s="12" t="s">
        <v>35</v>
      </c>
      <c r="F10711" s="14">
        <v>1300000</v>
      </c>
      <c r="G10711" s="14">
        <v>1064000</v>
      </c>
      <c r="H10711" s="13" t="s">
        <v>19855</v>
      </c>
      <c r="I10711" s="40" t="s">
        <v>18</v>
      </c>
      <c r="J10711" s="40" t="str">
        <f>HYPERLINK("https://stock.pstatic.net/stock-research/company/61/20250724_company_915881000.pdf","PDF")</f>
        <v>PDF</v>
      </c>
      <c r="K10711" s="12" t="s">
        <v>19856</v>
      </c>
      <c r="L10711" s="20">
        <v>0.2218045112781955</v>
      </c>
    </row>
    <row r="10712" spans="1:12" x14ac:dyDescent="0.45">
      <c r="A10712" s="12" t="s">
        <v>19722</v>
      </c>
      <c r="B10712" s="12" t="s">
        <v>740</v>
      </c>
      <c r="C10712" s="13" t="s">
        <v>741</v>
      </c>
      <c r="D10712" s="13" t="s">
        <v>53</v>
      </c>
      <c r="E10712" s="12" t="s">
        <v>16</v>
      </c>
      <c r="F10712" s="14">
        <v>220000</v>
      </c>
      <c r="G10712" s="14">
        <v>154000</v>
      </c>
      <c r="H10712" s="13" t="s">
        <v>19857</v>
      </c>
      <c r="I10712" s="40" t="s">
        <v>18</v>
      </c>
      <c r="J10712" s="40" t="str">
        <f>HYPERLINK("https://stock.pstatic.net/stock-research/company/40/20250724_company_824459000.pdf","PDF")</f>
        <v>PDF</v>
      </c>
      <c r="K10712" s="12" t="s">
        <v>19858</v>
      </c>
      <c r="L10712" s="20">
        <v>0.42857142857142849</v>
      </c>
    </row>
    <row r="10713" spans="1:12" x14ac:dyDescent="0.45">
      <c r="A10713" s="12" t="s">
        <v>19722</v>
      </c>
      <c r="B10713" s="12" t="s">
        <v>740</v>
      </c>
      <c r="C10713" s="13" t="s">
        <v>741</v>
      </c>
      <c r="D10713" s="13" t="s">
        <v>23</v>
      </c>
      <c r="E10713" s="12" t="s">
        <v>16</v>
      </c>
      <c r="F10713" s="14">
        <v>200000</v>
      </c>
      <c r="G10713" s="14">
        <v>154000</v>
      </c>
      <c r="H10713" s="13" t="s">
        <v>19859</v>
      </c>
      <c r="I10713" s="40" t="s">
        <v>18</v>
      </c>
      <c r="J10713" s="40" t="str">
        <f>HYPERLINK("https://stock.pstatic.net/stock-research/company/1/20250724_company_660945000.pdf","PDF")</f>
        <v>PDF</v>
      </c>
      <c r="K10713" s="12" t="s">
        <v>19860</v>
      </c>
      <c r="L10713" s="20">
        <v>0.29870129870129869</v>
      </c>
    </row>
    <row r="10714" spans="1:12" x14ac:dyDescent="0.45">
      <c r="A10714" s="12" t="s">
        <v>19722</v>
      </c>
      <c r="B10714" s="12" t="s">
        <v>912</v>
      </c>
      <c r="C10714" s="13" t="s">
        <v>913</v>
      </c>
      <c r="D10714" s="13" t="s">
        <v>23</v>
      </c>
      <c r="E10714" s="12" t="s">
        <v>16</v>
      </c>
      <c r="F10714" s="14">
        <v>84000</v>
      </c>
      <c r="G10714" s="14">
        <v>69800</v>
      </c>
      <c r="H10714" s="13" t="s">
        <v>19861</v>
      </c>
      <c r="I10714" s="40" t="s">
        <v>18</v>
      </c>
      <c r="J10714" s="40" t="str">
        <f>HYPERLINK("https://stock.pstatic.net/stock-research/company/21/20250724_company_2908000.pdf","PDF")</f>
        <v>PDF</v>
      </c>
      <c r="K10714" s="12" t="s">
        <v>19862</v>
      </c>
      <c r="L10714" s="20">
        <v>0.20343839541547279</v>
      </c>
    </row>
    <row r="10715" spans="1:12" x14ac:dyDescent="0.45">
      <c r="A10715" s="12" t="s">
        <v>19722</v>
      </c>
      <c r="B10715" s="12" t="s">
        <v>1081</v>
      </c>
      <c r="C10715" s="13" t="s">
        <v>1082</v>
      </c>
      <c r="D10715" s="13" t="s">
        <v>44</v>
      </c>
      <c r="E10715" s="12" t="s">
        <v>50</v>
      </c>
      <c r="F10715" s="13"/>
      <c r="G10715" s="13"/>
      <c r="H10715" s="13" t="s">
        <v>19863</v>
      </c>
      <c r="I10715" s="40" t="s">
        <v>18</v>
      </c>
      <c r="J10715" s="40" t="str">
        <f>HYPERLINK("https://stock.pstatic.net/stock-research/company/39/20250724_company_748284000.pdf","PDF")</f>
        <v>PDF</v>
      </c>
      <c r="K10715" s="12" t="s">
        <v>19864</v>
      </c>
    </row>
    <row r="10716" spans="1:12" x14ac:dyDescent="0.45">
      <c r="A10716" s="12" t="s">
        <v>19722</v>
      </c>
      <c r="B10716" s="12" t="s">
        <v>272</v>
      </c>
      <c r="C10716" s="13" t="s">
        <v>273</v>
      </c>
      <c r="D10716" s="13" t="s">
        <v>15</v>
      </c>
      <c r="E10716" s="12" t="s">
        <v>16</v>
      </c>
      <c r="F10716" s="14">
        <v>670000</v>
      </c>
      <c r="G10716" s="14">
        <v>583000</v>
      </c>
      <c r="H10716" s="13" t="s">
        <v>19865</v>
      </c>
      <c r="I10716" s="40" t="s">
        <v>18</v>
      </c>
      <c r="J10716" s="40" t="str">
        <f>HYPERLINK("https://stock.pstatic.net/stock-research/company/29/20250724_company_637913000.pdf","PDF")</f>
        <v>PDF</v>
      </c>
      <c r="K10716" s="12" t="s">
        <v>19866</v>
      </c>
      <c r="L10716" s="20">
        <v>0.1492281303602058</v>
      </c>
    </row>
    <row r="10717" spans="1:12" x14ac:dyDescent="0.45">
      <c r="A10717" s="12" t="s">
        <v>19722</v>
      </c>
      <c r="B10717" s="12" t="s">
        <v>3399</v>
      </c>
      <c r="C10717" s="13" t="s">
        <v>3400</v>
      </c>
      <c r="D10717" s="13" t="s">
        <v>15</v>
      </c>
      <c r="E10717" s="12" t="s">
        <v>16</v>
      </c>
      <c r="F10717" s="14">
        <v>24000</v>
      </c>
      <c r="G10717" s="14">
        <v>18410</v>
      </c>
      <c r="H10717" s="13" t="s">
        <v>19867</v>
      </c>
      <c r="I10717" s="40" t="s">
        <v>18</v>
      </c>
      <c r="J10717" s="40" t="str">
        <f>HYPERLINK("https://stock.pstatic.net/stock-research/company/56/20250724_company_630997000.pdf","PDF")</f>
        <v>PDF</v>
      </c>
      <c r="K10717" s="12" t="s">
        <v>19868</v>
      </c>
      <c r="L10717" s="20">
        <v>0.30363932645301472</v>
      </c>
    </row>
    <row r="10718" spans="1:12" x14ac:dyDescent="0.45">
      <c r="A10718" s="12" t="s">
        <v>19869</v>
      </c>
      <c r="B10718" s="12" t="s">
        <v>2097</v>
      </c>
      <c r="C10718" s="13" t="s">
        <v>2098</v>
      </c>
      <c r="D10718" s="13" t="s">
        <v>276</v>
      </c>
      <c r="E10718" s="12" t="s">
        <v>16</v>
      </c>
      <c r="F10718" s="14">
        <v>53000</v>
      </c>
      <c r="G10718" s="14">
        <v>45600</v>
      </c>
      <c r="H10718" s="13" t="s">
        <v>19870</v>
      </c>
      <c r="I10718" s="40" t="s">
        <v>18</v>
      </c>
      <c r="J10718" s="40" t="str">
        <f>HYPERLINK("https://stock.pstatic.net/stock-research/company/66/20250723_company_827772000.pdf","PDF")</f>
        <v>PDF</v>
      </c>
      <c r="K10718" s="12" t="s">
        <v>19871</v>
      </c>
      <c r="L10718" s="20">
        <v>0.162280701754386</v>
      </c>
    </row>
    <row r="10719" spans="1:12" x14ac:dyDescent="0.45">
      <c r="A10719" s="12" t="s">
        <v>19869</v>
      </c>
      <c r="B10719" s="12" t="s">
        <v>3182</v>
      </c>
      <c r="C10719" s="13" t="s">
        <v>3183</v>
      </c>
      <c r="D10719" s="13" t="s">
        <v>65</v>
      </c>
      <c r="E10719" s="12" t="s">
        <v>35</v>
      </c>
      <c r="F10719" s="14">
        <v>560000</v>
      </c>
      <c r="G10719" s="14">
        <v>468000</v>
      </c>
      <c r="H10719" s="13" t="s">
        <v>19872</v>
      </c>
      <c r="I10719" s="40" t="s">
        <v>18</v>
      </c>
      <c r="J10719" s="40" t="str">
        <f>HYPERLINK("https://stock.pstatic.net/stock-research/company/57/20250723_company_46000.pdf","PDF")</f>
        <v>PDF</v>
      </c>
      <c r="K10719" s="12" t="s">
        <v>19873</v>
      </c>
      <c r="L10719" s="20">
        <v>0.1965811965811966</v>
      </c>
    </row>
    <row r="10720" spans="1:12" x14ac:dyDescent="0.45">
      <c r="A10720" s="12" t="s">
        <v>19869</v>
      </c>
      <c r="B10720" s="12" t="s">
        <v>128</v>
      </c>
      <c r="C10720" s="13" t="s">
        <v>129</v>
      </c>
      <c r="D10720" s="13" t="s">
        <v>65</v>
      </c>
      <c r="E10720" s="12" t="s">
        <v>35</v>
      </c>
      <c r="F10720" s="14">
        <v>40000</v>
      </c>
      <c r="G10720" s="14">
        <v>27750</v>
      </c>
      <c r="H10720" s="13" t="s">
        <v>19874</v>
      </c>
      <c r="I10720" s="40" t="s">
        <v>18</v>
      </c>
      <c r="J10720" s="40" t="str">
        <f>HYPERLINK("https://stock.pstatic.net/stock-research/company/57/20250723_company_905470000.pdf","PDF")</f>
        <v>PDF</v>
      </c>
      <c r="K10720" s="12" t="s">
        <v>19875</v>
      </c>
      <c r="L10720" s="20">
        <v>0.44144144144144137</v>
      </c>
    </row>
    <row r="10721" spans="1:12" x14ac:dyDescent="0.45">
      <c r="A10721" s="12" t="s">
        <v>19869</v>
      </c>
      <c r="B10721" s="12" t="s">
        <v>3182</v>
      </c>
      <c r="C10721" s="13" t="s">
        <v>3183</v>
      </c>
      <c r="D10721" s="13" t="s">
        <v>15</v>
      </c>
      <c r="E10721" s="12" t="s">
        <v>16</v>
      </c>
      <c r="F10721" s="14">
        <v>580000</v>
      </c>
      <c r="G10721" s="14">
        <v>468000</v>
      </c>
      <c r="H10721" s="13" t="s">
        <v>19876</v>
      </c>
      <c r="I10721" s="40" t="s">
        <v>18</v>
      </c>
      <c r="J10721" s="40" t="str">
        <f>HYPERLINK("https://stock.pstatic.net/stock-research/company/29/20250723_company_293355000.pdf","PDF")</f>
        <v>PDF</v>
      </c>
      <c r="K10721" s="12" t="s">
        <v>19877</v>
      </c>
      <c r="L10721" s="20">
        <v>0.2393162393162393</v>
      </c>
    </row>
    <row r="10722" spans="1:12" x14ac:dyDescent="0.45">
      <c r="A10722" s="12" t="s">
        <v>19869</v>
      </c>
      <c r="B10722" s="12" t="s">
        <v>426</v>
      </c>
      <c r="C10722" s="13" t="s">
        <v>427</v>
      </c>
      <c r="D10722" s="13" t="s">
        <v>57</v>
      </c>
      <c r="E10722" s="12" t="s">
        <v>35</v>
      </c>
      <c r="F10722" s="14">
        <v>24000</v>
      </c>
      <c r="G10722" s="14">
        <v>19500</v>
      </c>
      <c r="H10722" s="13" t="s">
        <v>19878</v>
      </c>
      <c r="I10722" s="40" t="s">
        <v>18</v>
      </c>
      <c r="J10722" s="40" t="str">
        <f>HYPERLINK("https://stock.pstatic.net/stock-research/company/1/20250723_company_370025000.pdf","PDF")</f>
        <v>PDF</v>
      </c>
      <c r="K10722" s="12" t="s">
        <v>19879</v>
      </c>
      <c r="L10722" s="20">
        <v>0.23076923076923081</v>
      </c>
    </row>
    <row r="10723" spans="1:12" x14ac:dyDescent="0.45">
      <c r="A10723" s="12" t="s">
        <v>19869</v>
      </c>
      <c r="B10723" s="12" t="s">
        <v>2225</v>
      </c>
      <c r="C10723" s="13" t="s">
        <v>5282</v>
      </c>
      <c r="D10723" s="13" t="s">
        <v>57</v>
      </c>
      <c r="E10723" s="12" t="s">
        <v>35</v>
      </c>
      <c r="F10723" s="14">
        <v>740000</v>
      </c>
      <c r="G10723" s="14">
        <v>591000</v>
      </c>
      <c r="H10723" s="13" t="s">
        <v>19880</v>
      </c>
      <c r="I10723" s="40" t="s">
        <v>18</v>
      </c>
      <c r="J10723" s="40" t="str">
        <f>HYPERLINK("https://stock.pstatic.net/stock-research/company/16/20250723_company_165629000.pdf","PDF")</f>
        <v>PDF</v>
      </c>
      <c r="K10723" s="12" t="s">
        <v>19881</v>
      </c>
      <c r="L10723" s="20">
        <v>0.25211505922165822</v>
      </c>
    </row>
    <row r="10724" spans="1:12" x14ac:dyDescent="0.45">
      <c r="A10724" s="12" t="s">
        <v>19869</v>
      </c>
      <c r="B10724" s="12" t="s">
        <v>1190</v>
      </c>
      <c r="C10724" s="13" t="s">
        <v>1191</v>
      </c>
      <c r="D10724" s="13" t="s">
        <v>158</v>
      </c>
      <c r="E10724" s="12" t="s">
        <v>35</v>
      </c>
      <c r="F10724" s="14">
        <v>122000</v>
      </c>
      <c r="G10724" s="14">
        <v>92400</v>
      </c>
      <c r="H10724" s="13" t="s">
        <v>19882</v>
      </c>
      <c r="I10724" s="40" t="s">
        <v>18</v>
      </c>
      <c r="J10724" s="40" t="str">
        <f>HYPERLINK("https://stock.pstatic.net/stock-research/company/18/20250723_company_350136000.pdf","PDF")</f>
        <v>PDF</v>
      </c>
      <c r="K10724" s="12" t="s">
        <v>19883</v>
      </c>
      <c r="L10724" s="20">
        <v>0.32034632034632032</v>
      </c>
    </row>
    <row r="10725" spans="1:12" x14ac:dyDescent="0.45">
      <c r="A10725" s="12" t="s">
        <v>19869</v>
      </c>
      <c r="B10725" s="12" t="s">
        <v>3182</v>
      </c>
      <c r="C10725" s="13" t="s">
        <v>3183</v>
      </c>
      <c r="D10725" s="13" t="s">
        <v>158</v>
      </c>
      <c r="E10725" s="12" t="s">
        <v>35</v>
      </c>
      <c r="F10725" s="14">
        <v>600000</v>
      </c>
      <c r="G10725" s="14">
        <v>468000</v>
      </c>
      <c r="H10725" s="13" t="s">
        <v>19884</v>
      </c>
      <c r="I10725" s="40" t="s">
        <v>18</v>
      </c>
      <c r="J10725" s="40" t="str">
        <f>HYPERLINK("https://stock.pstatic.net/stock-research/company/1/20250723_company_696887000.pdf","PDF")</f>
        <v>PDF</v>
      </c>
      <c r="K10725" s="12" t="s">
        <v>19885</v>
      </c>
      <c r="L10725" s="20">
        <v>0.28205128205128199</v>
      </c>
    </row>
    <row r="10726" spans="1:12" x14ac:dyDescent="0.45">
      <c r="A10726" s="12" t="s">
        <v>19869</v>
      </c>
      <c r="B10726" s="12" t="s">
        <v>2801</v>
      </c>
      <c r="C10726" s="13" t="s">
        <v>2802</v>
      </c>
      <c r="D10726" s="13" t="s">
        <v>23</v>
      </c>
      <c r="E10726" s="12" t="s">
        <v>16</v>
      </c>
      <c r="F10726" s="14">
        <v>32000</v>
      </c>
      <c r="G10726" s="14">
        <v>26450</v>
      </c>
      <c r="H10726" s="13" t="s">
        <v>19886</v>
      </c>
      <c r="I10726" s="40" t="s">
        <v>18</v>
      </c>
      <c r="J10726" s="40" t="str">
        <f>HYPERLINK("https://stock.pstatic.net/stock-research/company/21/20250723_company_727482000.pdf","PDF")</f>
        <v>PDF</v>
      </c>
      <c r="K10726" s="12" t="s">
        <v>19887</v>
      </c>
      <c r="L10726" s="20">
        <v>0.2098298676748582</v>
      </c>
    </row>
    <row r="10727" spans="1:12" x14ac:dyDescent="0.45">
      <c r="A10727" s="12" t="s">
        <v>19869</v>
      </c>
      <c r="B10727" s="12" t="s">
        <v>3182</v>
      </c>
      <c r="C10727" s="13" t="s">
        <v>3183</v>
      </c>
      <c r="D10727" s="13" t="s">
        <v>53</v>
      </c>
      <c r="E10727" s="12" t="s">
        <v>16</v>
      </c>
      <c r="F10727" s="14">
        <v>560000</v>
      </c>
      <c r="G10727" s="14">
        <v>468000</v>
      </c>
      <c r="H10727" s="13" t="s">
        <v>19888</v>
      </c>
      <c r="I10727" s="40" t="s">
        <v>18</v>
      </c>
      <c r="J10727" s="40" t="str">
        <f>HYPERLINK("https://stock.pstatic.net/stock-research/company/40/20250723_company_174619000.pdf","PDF")</f>
        <v>PDF</v>
      </c>
      <c r="K10727" s="12" t="s">
        <v>19889</v>
      </c>
      <c r="L10727" s="20">
        <v>0.1965811965811966</v>
      </c>
    </row>
    <row r="10728" spans="1:12" x14ac:dyDescent="0.45">
      <c r="A10728" s="12" t="s">
        <v>19869</v>
      </c>
      <c r="B10728" s="12" t="s">
        <v>2950</v>
      </c>
      <c r="C10728" s="13" t="s">
        <v>2951</v>
      </c>
      <c r="D10728" s="13" t="s">
        <v>23</v>
      </c>
      <c r="E10728" s="12" t="s">
        <v>16</v>
      </c>
      <c r="F10728" s="14">
        <v>100000</v>
      </c>
      <c r="G10728" s="14">
        <v>62600</v>
      </c>
      <c r="H10728" s="13" t="s">
        <v>19890</v>
      </c>
      <c r="I10728" s="40" t="s">
        <v>18</v>
      </c>
      <c r="J10728" s="40" t="str">
        <f>HYPERLINK("https://stock.pstatic.net/stock-research/company/21/20250723_company_53022000.pdf","PDF")</f>
        <v>PDF</v>
      </c>
      <c r="K10728" s="12" t="s">
        <v>19891</v>
      </c>
      <c r="L10728" s="20">
        <v>0.597444089456869</v>
      </c>
    </row>
    <row r="10729" spans="1:12" x14ac:dyDescent="0.45">
      <c r="A10729" s="12" t="s">
        <v>19869</v>
      </c>
      <c r="B10729" s="12" t="s">
        <v>468</v>
      </c>
      <c r="C10729" s="13" t="s">
        <v>469</v>
      </c>
      <c r="D10729" s="13" t="s">
        <v>23</v>
      </c>
      <c r="E10729" s="12" t="s">
        <v>16</v>
      </c>
      <c r="F10729" s="14">
        <v>31000</v>
      </c>
      <c r="G10729" s="14">
        <v>27350</v>
      </c>
      <c r="H10729" s="13" t="s">
        <v>19892</v>
      </c>
      <c r="I10729" s="40" t="s">
        <v>18</v>
      </c>
      <c r="J10729" s="40" t="str">
        <f>HYPERLINK("https://stock.pstatic.net/stock-research/company/21/20250723_company_164182000.pdf","PDF")</f>
        <v>PDF</v>
      </c>
      <c r="K10729" s="12" t="s">
        <v>19893</v>
      </c>
      <c r="L10729" s="20">
        <v>0.13345521023765999</v>
      </c>
    </row>
    <row r="10730" spans="1:12" x14ac:dyDescent="0.45">
      <c r="A10730" s="12" t="s">
        <v>19869</v>
      </c>
      <c r="B10730" s="12" t="s">
        <v>3182</v>
      </c>
      <c r="C10730" s="13" t="s">
        <v>3183</v>
      </c>
      <c r="D10730" s="13" t="s">
        <v>23</v>
      </c>
      <c r="E10730" s="12" t="s">
        <v>16</v>
      </c>
      <c r="F10730" s="14">
        <v>525000</v>
      </c>
      <c r="G10730" s="14">
        <v>468000</v>
      </c>
      <c r="H10730" s="13" t="s">
        <v>19894</v>
      </c>
      <c r="I10730" s="40" t="s">
        <v>18</v>
      </c>
      <c r="J10730" s="40" t="str">
        <f>HYPERLINK("https://stock.pstatic.net/stock-research/company/21/20250723_company_624344000.pdf","PDF")</f>
        <v>PDF</v>
      </c>
      <c r="K10730" s="12" t="s">
        <v>19895</v>
      </c>
      <c r="L10730" s="20">
        <v>0.12179487179487181</v>
      </c>
    </row>
    <row r="10731" spans="1:12" x14ac:dyDescent="0.45">
      <c r="A10731" s="12" t="s">
        <v>19869</v>
      </c>
      <c r="B10731" s="12" t="s">
        <v>812</v>
      </c>
      <c r="C10731" s="13" t="s">
        <v>813</v>
      </c>
      <c r="D10731" s="13" t="s">
        <v>23</v>
      </c>
      <c r="E10731" s="12" t="s">
        <v>16</v>
      </c>
      <c r="F10731" s="14">
        <v>76000</v>
      </c>
      <c r="G10731" s="14">
        <v>59700</v>
      </c>
      <c r="H10731" s="13" t="s">
        <v>19896</v>
      </c>
      <c r="I10731" s="40" t="s">
        <v>18</v>
      </c>
      <c r="J10731" s="40" t="str">
        <f>HYPERLINK("https://stock.pstatic.net/stock-research/company/21/20250723_company_721364000.pdf","PDF")</f>
        <v>PDF</v>
      </c>
      <c r="K10731" s="12" t="s">
        <v>19897</v>
      </c>
      <c r="L10731" s="20">
        <v>0.27303182579564489</v>
      </c>
    </row>
    <row r="10732" spans="1:12" x14ac:dyDescent="0.45">
      <c r="A10732" s="12" t="s">
        <v>19869</v>
      </c>
      <c r="B10732" s="12" t="s">
        <v>32</v>
      </c>
      <c r="C10732" s="13" t="s">
        <v>33</v>
      </c>
      <c r="D10732" s="13" t="s">
        <v>23</v>
      </c>
      <c r="E10732" s="12" t="s">
        <v>16</v>
      </c>
      <c r="F10732" s="14">
        <v>190000</v>
      </c>
      <c r="G10732" s="14">
        <v>134500</v>
      </c>
      <c r="H10732" s="13" t="s">
        <v>19898</v>
      </c>
      <c r="I10732" s="40" t="s">
        <v>18</v>
      </c>
      <c r="J10732" s="40" t="str">
        <f>HYPERLINK("https://stock.pstatic.net/stock-research/company/21/20250723_company_714366000.pdf","PDF")</f>
        <v>PDF</v>
      </c>
      <c r="K10732" s="12" t="s">
        <v>19899</v>
      </c>
      <c r="L10732" s="20">
        <v>0.41263940520446102</v>
      </c>
    </row>
    <row r="10733" spans="1:12" x14ac:dyDescent="0.45">
      <c r="A10733" s="12" t="s">
        <v>19869</v>
      </c>
      <c r="B10733" s="12" t="s">
        <v>2550</v>
      </c>
      <c r="C10733" s="13" t="s">
        <v>2551</v>
      </c>
      <c r="D10733" s="13" t="s">
        <v>23</v>
      </c>
      <c r="E10733" s="12" t="s">
        <v>16</v>
      </c>
      <c r="F10733" s="14">
        <v>21000</v>
      </c>
      <c r="G10733" s="14">
        <v>16260</v>
      </c>
      <c r="H10733" s="13" t="s">
        <v>19900</v>
      </c>
      <c r="I10733" s="40" t="s">
        <v>18</v>
      </c>
      <c r="J10733" s="40" t="str">
        <f>HYPERLINK("https://stock.pstatic.net/stock-research/company/21/20250723_company_120546000.pdf","PDF")</f>
        <v>PDF</v>
      </c>
      <c r="K10733" s="12" t="s">
        <v>19901</v>
      </c>
      <c r="L10733" s="20">
        <v>0.29151291512915128</v>
      </c>
    </row>
    <row r="10734" spans="1:12" x14ac:dyDescent="0.45">
      <c r="A10734" s="12" t="s">
        <v>19869</v>
      </c>
      <c r="B10734" s="12" t="s">
        <v>3182</v>
      </c>
      <c r="C10734" s="13" t="s">
        <v>3183</v>
      </c>
      <c r="D10734" s="13" t="s">
        <v>44</v>
      </c>
      <c r="E10734" s="12" t="s">
        <v>35</v>
      </c>
      <c r="F10734" s="14">
        <v>580000</v>
      </c>
      <c r="G10734" s="14">
        <v>468000</v>
      </c>
      <c r="H10734" s="13" t="s">
        <v>19902</v>
      </c>
      <c r="I10734" s="40" t="s">
        <v>18</v>
      </c>
      <c r="J10734" s="40" t="str">
        <f>HYPERLINK("https://stock.pstatic.net/stock-research/company/39/20250723_company_375702000.pdf","PDF")</f>
        <v>PDF</v>
      </c>
      <c r="K10734" s="12" t="s">
        <v>19903</v>
      </c>
      <c r="L10734" s="20">
        <v>0.2393162393162393</v>
      </c>
    </row>
    <row r="10735" spans="1:12" x14ac:dyDescent="0.45">
      <c r="A10735" s="12" t="s">
        <v>19869</v>
      </c>
      <c r="B10735" s="12" t="s">
        <v>388</v>
      </c>
      <c r="C10735" s="13" t="s">
        <v>389</v>
      </c>
      <c r="D10735" s="13" t="s">
        <v>92</v>
      </c>
      <c r="E10735" s="12" t="s">
        <v>35</v>
      </c>
      <c r="F10735" s="14">
        <v>61000</v>
      </c>
      <c r="G10735" s="14">
        <v>51500</v>
      </c>
      <c r="H10735" s="13" t="s">
        <v>19904</v>
      </c>
      <c r="I10735" s="40" t="s">
        <v>18</v>
      </c>
      <c r="J10735" s="40" t="str">
        <f>HYPERLINK("https://stock.pstatic.net/stock-research/company/63/20250723_company_251359000.pdf","PDF")</f>
        <v>PDF</v>
      </c>
      <c r="K10735" s="12" t="s">
        <v>19905</v>
      </c>
      <c r="L10735" s="20">
        <v>0.1844660194174757</v>
      </c>
    </row>
    <row r="10736" spans="1:12" x14ac:dyDescent="0.45">
      <c r="A10736" s="12" t="s">
        <v>19869</v>
      </c>
      <c r="B10736" s="12" t="s">
        <v>3164</v>
      </c>
      <c r="C10736" s="13" t="s">
        <v>3165</v>
      </c>
      <c r="D10736" s="13" t="s">
        <v>44</v>
      </c>
      <c r="E10736" s="12" t="s">
        <v>50</v>
      </c>
      <c r="F10736" s="13"/>
      <c r="G10736" s="13"/>
      <c r="H10736" s="13" t="s">
        <v>19906</v>
      </c>
      <c r="I10736" s="40" t="s">
        <v>18</v>
      </c>
      <c r="J10736" s="40" t="str">
        <f>HYPERLINK("https://stock.pstatic.net/stock-research/company/39/20250723_company_96732000.pdf","PDF")</f>
        <v>PDF</v>
      </c>
      <c r="K10736" s="12" t="s">
        <v>19907</v>
      </c>
    </row>
    <row r="10737" spans="1:12" x14ac:dyDescent="0.45">
      <c r="A10737" s="12" t="s">
        <v>19869</v>
      </c>
      <c r="B10737" s="12" t="s">
        <v>19908</v>
      </c>
      <c r="C10737" s="13" t="s">
        <v>19909</v>
      </c>
      <c r="D10737" s="13" t="s">
        <v>124</v>
      </c>
      <c r="E10737" s="12" t="s">
        <v>50</v>
      </c>
      <c r="F10737" s="13"/>
      <c r="G10737" s="13"/>
      <c r="H10737" s="13" t="s">
        <v>19910</v>
      </c>
      <c r="I10737" s="40" t="s">
        <v>18</v>
      </c>
      <c r="J10737" s="40" t="str">
        <f>HYPERLINK("https://stock.pstatic.net/stock-research/company/74/20250723_company_18938000.pdf","PDF")</f>
        <v>PDF</v>
      </c>
      <c r="K10737" s="12" t="s">
        <v>19911</v>
      </c>
    </row>
    <row r="10738" spans="1:12" x14ac:dyDescent="0.45">
      <c r="A10738" s="12" t="s">
        <v>19912</v>
      </c>
      <c r="B10738" s="12" t="s">
        <v>356</v>
      </c>
      <c r="C10738" s="13" t="s">
        <v>357</v>
      </c>
      <c r="D10738" s="13" t="s">
        <v>83</v>
      </c>
      <c r="E10738" s="12" t="s">
        <v>35</v>
      </c>
      <c r="F10738" s="14">
        <v>33000</v>
      </c>
      <c r="G10738" s="14">
        <v>25600</v>
      </c>
      <c r="H10738" s="13" t="s">
        <v>19913</v>
      </c>
      <c r="I10738" s="40" t="s">
        <v>18</v>
      </c>
      <c r="J10738" s="40" t="str">
        <f>HYPERLINK("https://stock.pstatic.net/stock-research/company/2/20250722_company_285291000.pdf","PDF")</f>
        <v>PDF</v>
      </c>
      <c r="K10738" s="12" t="s">
        <v>19914</v>
      </c>
      <c r="L10738" s="20">
        <v>0.2890625</v>
      </c>
    </row>
    <row r="10739" spans="1:12" x14ac:dyDescent="0.45">
      <c r="A10739" s="12" t="s">
        <v>19912</v>
      </c>
      <c r="B10739" s="12" t="s">
        <v>11408</v>
      </c>
      <c r="C10739" s="13" t="s">
        <v>11409</v>
      </c>
      <c r="D10739" s="13" t="s">
        <v>83</v>
      </c>
      <c r="E10739" s="12" t="s">
        <v>50</v>
      </c>
      <c r="F10739" s="13"/>
      <c r="G10739" s="14">
        <v>12170</v>
      </c>
      <c r="H10739" s="13" t="s">
        <v>19915</v>
      </c>
      <c r="I10739" s="40" t="s">
        <v>18</v>
      </c>
      <c r="J10739" s="40" t="str">
        <f>HYPERLINK("https://stock.pstatic.net/stock-research/company/2/20250722_company_402595000.pdf","PDF")</f>
        <v>PDF</v>
      </c>
      <c r="K10739" s="12" t="s">
        <v>19916</v>
      </c>
    </row>
    <row r="10740" spans="1:12" x14ac:dyDescent="0.45">
      <c r="A10740" s="12" t="s">
        <v>19912</v>
      </c>
      <c r="B10740" s="12" t="s">
        <v>537</v>
      </c>
      <c r="C10740" s="13" t="s">
        <v>538</v>
      </c>
      <c r="D10740" s="13" t="s">
        <v>83</v>
      </c>
      <c r="E10740" s="12" t="s">
        <v>35</v>
      </c>
      <c r="F10740" s="14">
        <v>17000</v>
      </c>
      <c r="G10740" s="14">
        <v>14920</v>
      </c>
      <c r="H10740" s="13" t="s">
        <v>19917</v>
      </c>
      <c r="I10740" s="40" t="s">
        <v>18</v>
      </c>
      <c r="J10740" s="40" t="str">
        <f>HYPERLINK("https://stock.pstatic.net/stock-research/company/2/20250722_company_741497000.pdf","PDF")</f>
        <v>PDF</v>
      </c>
      <c r="K10740" s="12" t="s">
        <v>19918</v>
      </c>
      <c r="L10740" s="20">
        <v>0.1394101876675603</v>
      </c>
    </row>
    <row r="10741" spans="1:12" x14ac:dyDescent="0.45">
      <c r="A10741" s="12" t="s">
        <v>19912</v>
      </c>
      <c r="B10741" s="12" t="s">
        <v>691</v>
      </c>
      <c r="C10741" s="13" t="s">
        <v>20</v>
      </c>
      <c r="D10741" s="13" t="s">
        <v>83</v>
      </c>
      <c r="E10741" s="12" t="s">
        <v>35</v>
      </c>
      <c r="F10741" s="14">
        <v>240000</v>
      </c>
      <c r="G10741" s="14">
        <v>181200</v>
      </c>
      <c r="H10741" s="13" t="s">
        <v>19919</v>
      </c>
      <c r="I10741" s="40" t="s">
        <v>18</v>
      </c>
      <c r="J10741" s="40" t="str">
        <f>HYPERLINK("https://stock.pstatic.net/stock-research/company/2/20250722_company_491269000.pdf","PDF")</f>
        <v>PDF</v>
      </c>
      <c r="K10741" s="12" t="s">
        <v>19920</v>
      </c>
      <c r="L10741" s="20">
        <v>0.32450331125827808</v>
      </c>
    </row>
    <row r="10742" spans="1:12" x14ac:dyDescent="0.45">
      <c r="A10742" s="12" t="s">
        <v>19912</v>
      </c>
      <c r="B10742" s="12" t="s">
        <v>533</v>
      </c>
      <c r="C10742" s="13" t="s">
        <v>534</v>
      </c>
      <c r="D10742" s="13" t="s">
        <v>65</v>
      </c>
      <c r="E10742" s="12" t="s">
        <v>35</v>
      </c>
      <c r="F10742" s="14">
        <v>70000</v>
      </c>
      <c r="G10742" s="14">
        <v>56600</v>
      </c>
      <c r="H10742" s="13" t="s">
        <v>19921</v>
      </c>
      <c r="I10742" s="40" t="s">
        <v>18</v>
      </c>
      <c r="J10742" s="40" t="str">
        <f>HYPERLINK("https://stock.pstatic.net/stock-research/company/57/20250722_company_666030000.pdf","PDF")</f>
        <v>PDF</v>
      </c>
      <c r="K10742" s="12" t="s">
        <v>19922</v>
      </c>
      <c r="L10742" s="20">
        <v>0.23674911660777381</v>
      </c>
    </row>
    <row r="10743" spans="1:12" x14ac:dyDescent="0.45">
      <c r="A10743" s="12" t="s">
        <v>19912</v>
      </c>
      <c r="B10743" s="12" t="s">
        <v>541</v>
      </c>
      <c r="C10743" s="13" t="s">
        <v>542</v>
      </c>
      <c r="D10743" s="13" t="s">
        <v>65</v>
      </c>
      <c r="E10743" s="12" t="s">
        <v>35</v>
      </c>
      <c r="F10743" s="14">
        <v>70000</v>
      </c>
      <c r="G10743" s="14">
        <v>55900</v>
      </c>
      <c r="H10743" s="13" t="s">
        <v>19923</v>
      </c>
      <c r="I10743" s="40" t="s">
        <v>18</v>
      </c>
      <c r="J10743" s="40" t="str">
        <f>HYPERLINK("https://stock.pstatic.net/stock-research/company/57/20250722_company_924636000.pdf","PDF")</f>
        <v>PDF</v>
      </c>
      <c r="K10743" s="12" t="s">
        <v>19924</v>
      </c>
      <c r="L10743" s="20">
        <v>0.25223613595706618</v>
      </c>
    </row>
    <row r="10744" spans="1:12" x14ac:dyDescent="0.45">
      <c r="A10744" s="12" t="s">
        <v>19912</v>
      </c>
      <c r="B10744" s="12" t="s">
        <v>537</v>
      </c>
      <c r="C10744" s="13" t="s">
        <v>538</v>
      </c>
      <c r="D10744" s="13" t="s">
        <v>65</v>
      </c>
      <c r="E10744" s="12" t="s">
        <v>35</v>
      </c>
      <c r="F10744" s="14">
        <v>16000</v>
      </c>
      <c r="G10744" s="14">
        <v>14920</v>
      </c>
      <c r="H10744" s="13" t="s">
        <v>19925</v>
      </c>
      <c r="I10744" s="40" t="s">
        <v>18</v>
      </c>
      <c r="J10744" s="40" t="str">
        <f>HYPERLINK("https://stock.pstatic.net/stock-research/company/57/20250722_company_344118000.pdf","PDF")</f>
        <v>PDF</v>
      </c>
      <c r="K10744" s="12" t="s">
        <v>19926</v>
      </c>
      <c r="L10744" s="20">
        <v>7.2386058981233251E-2</v>
      </c>
    </row>
    <row r="10745" spans="1:12" x14ac:dyDescent="0.45">
      <c r="A10745" s="12" t="s">
        <v>19912</v>
      </c>
      <c r="B10745" s="12" t="s">
        <v>1140</v>
      </c>
      <c r="C10745" s="13" t="s">
        <v>1141</v>
      </c>
      <c r="D10745" s="13" t="s">
        <v>65</v>
      </c>
      <c r="E10745" s="12" t="s">
        <v>35</v>
      </c>
      <c r="F10745" s="14">
        <v>45000</v>
      </c>
      <c r="G10745" s="14">
        <v>37150</v>
      </c>
      <c r="H10745" s="13" t="s">
        <v>19927</v>
      </c>
      <c r="I10745" s="40" t="s">
        <v>18</v>
      </c>
      <c r="J10745" s="40" t="str">
        <f>HYPERLINK("https://stock.pstatic.net/stock-research/company/57/20250722_company_822289000.pdf","PDF")</f>
        <v>PDF</v>
      </c>
      <c r="K10745" s="12" t="s">
        <v>19928</v>
      </c>
      <c r="L10745" s="20">
        <v>0.21130551816958279</v>
      </c>
    </row>
    <row r="10746" spans="1:12" x14ac:dyDescent="0.45">
      <c r="A10746" s="12" t="s">
        <v>19912</v>
      </c>
      <c r="B10746" s="12" t="s">
        <v>1682</v>
      </c>
      <c r="C10746" s="13" t="s">
        <v>4787</v>
      </c>
      <c r="D10746" s="13" t="s">
        <v>57</v>
      </c>
      <c r="E10746" s="12" t="s">
        <v>35</v>
      </c>
      <c r="F10746" s="14">
        <v>250000</v>
      </c>
      <c r="G10746" s="14">
        <v>208000</v>
      </c>
      <c r="H10746" s="13" t="s">
        <v>19929</v>
      </c>
      <c r="I10746" s="40" t="s">
        <v>18</v>
      </c>
      <c r="J10746" s="40" t="str">
        <f>HYPERLINK("https://stock.pstatic.net/stock-research/company/16/20250722_company_615294000.pdf","PDF")</f>
        <v>PDF</v>
      </c>
      <c r="K10746" s="12" t="s">
        <v>19930</v>
      </c>
      <c r="L10746" s="20">
        <v>0.2019230769230769</v>
      </c>
    </row>
    <row r="10747" spans="1:12" x14ac:dyDescent="0.45">
      <c r="A10747" s="12" t="s">
        <v>19912</v>
      </c>
      <c r="B10747" s="12" t="s">
        <v>2853</v>
      </c>
      <c r="C10747" s="13" t="s">
        <v>2854</v>
      </c>
      <c r="D10747" s="13" t="s">
        <v>158</v>
      </c>
      <c r="E10747" s="12" t="s">
        <v>35</v>
      </c>
      <c r="F10747" s="14">
        <v>25000</v>
      </c>
      <c r="G10747" s="14">
        <v>17620</v>
      </c>
      <c r="H10747" s="13" t="s">
        <v>19931</v>
      </c>
      <c r="I10747" s="40" t="s">
        <v>18</v>
      </c>
      <c r="J10747" s="40" t="str">
        <f>HYPERLINK("https://stock.pstatic.net/stock-research/company/18/20250722_company_250699000.pdf","PDF")</f>
        <v>PDF</v>
      </c>
      <c r="K10747" s="12" t="s">
        <v>19932</v>
      </c>
      <c r="L10747" s="20">
        <v>0.41884222474460842</v>
      </c>
    </row>
    <row r="10748" spans="1:12" x14ac:dyDescent="0.45">
      <c r="A10748" s="12" t="s">
        <v>19912</v>
      </c>
      <c r="B10748" s="12" t="s">
        <v>1308</v>
      </c>
      <c r="C10748" s="13" t="s">
        <v>1309</v>
      </c>
      <c r="D10748" s="13" t="s">
        <v>158</v>
      </c>
      <c r="E10748" s="12" t="s">
        <v>35</v>
      </c>
      <c r="F10748" s="14">
        <v>490000</v>
      </c>
      <c r="G10748" s="14">
        <v>405000</v>
      </c>
      <c r="H10748" s="13" t="s">
        <v>19933</v>
      </c>
      <c r="I10748" s="40" t="s">
        <v>18</v>
      </c>
      <c r="J10748" s="40" t="str">
        <f>HYPERLINK("https://stock.pstatic.net/stock-research/company/18/20250722_company_546301000.pdf","PDF")</f>
        <v>PDF</v>
      </c>
      <c r="K10748" s="12" t="s">
        <v>19934</v>
      </c>
      <c r="L10748" s="20">
        <v>0.2098765432098765</v>
      </c>
    </row>
    <row r="10749" spans="1:12" x14ac:dyDescent="0.45">
      <c r="A10749" s="12" t="s">
        <v>19912</v>
      </c>
      <c r="B10749" s="12" t="s">
        <v>2613</v>
      </c>
      <c r="C10749" s="13" t="s">
        <v>2614</v>
      </c>
      <c r="D10749" s="13" t="s">
        <v>15</v>
      </c>
      <c r="E10749" s="12" t="s">
        <v>16</v>
      </c>
      <c r="F10749" s="14">
        <v>480000</v>
      </c>
      <c r="G10749" s="14">
        <v>351000</v>
      </c>
      <c r="H10749" s="13" t="s">
        <v>19935</v>
      </c>
      <c r="I10749" s="40" t="s">
        <v>18</v>
      </c>
      <c r="J10749" s="40" t="str">
        <f>HYPERLINK("https://stock.pstatic.net/stock-research/company/29/20250722_company_307719000.pdf","PDF")</f>
        <v>PDF</v>
      </c>
      <c r="K10749" s="12" t="s">
        <v>19936</v>
      </c>
      <c r="L10749" s="20">
        <v>0.36752136752136749</v>
      </c>
    </row>
    <row r="10750" spans="1:12" x14ac:dyDescent="0.45">
      <c r="A10750" s="12" t="s">
        <v>19912</v>
      </c>
      <c r="B10750" s="12" t="s">
        <v>19937</v>
      </c>
      <c r="C10750" s="13" t="s">
        <v>19938</v>
      </c>
      <c r="D10750" s="13" t="s">
        <v>92</v>
      </c>
      <c r="E10750" s="12" t="s">
        <v>35</v>
      </c>
      <c r="F10750" s="14">
        <v>150000</v>
      </c>
      <c r="G10750" s="14">
        <v>88700</v>
      </c>
      <c r="H10750" s="13" t="s">
        <v>19939</v>
      </c>
      <c r="I10750" s="40" t="s">
        <v>18</v>
      </c>
      <c r="J10750" s="40" t="str">
        <f>HYPERLINK("https://stock.pstatic.net/stock-research/company/63/20250722_company_342086000.pdf","PDF")</f>
        <v>PDF</v>
      </c>
      <c r="K10750" s="12" t="s">
        <v>19940</v>
      </c>
      <c r="L10750" s="20">
        <v>0.69109357384441938</v>
      </c>
    </row>
    <row r="10751" spans="1:12" x14ac:dyDescent="0.45">
      <c r="A10751" s="12" t="s">
        <v>19912</v>
      </c>
      <c r="B10751" s="12" t="s">
        <v>485</v>
      </c>
      <c r="C10751" s="13" t="s">
        <v>486</v>
      </c>
      <c r="D10751" s="13" t="s">
        <v>15</v>
      </c>
      <c r="E10751" s="12" t="s">
        <v>16</v>
      </c>
      <c r="F10751" s="14">
        <v>200000</v>
      </c>
      <c r="G10751" s="14">
        <v>154200</v>
      </c>
      <c r="H10751" s="13" t="s">
        <v>19941</v>
      </c>
      <c r="I10751" s="40" t="s">
        <v>18</v>
      </c>
      <c r="J10751" s="40" t="str">
        <f>HYPERLINK("https://stock.pstatic.net/stock-research/company/29/20250722_company_561669000.pdf","PDF")</f>
        <v>PDF</v>
      </c>
      <c r="K10751" s="12" t="s">
        <v>19942</v>
      </c>
      <c r="L10751" s="20">
        <v>0.29701686121919579</v>
      </c>
    </row>
    <row r="10752" spans="1:12" x14ac:dyDescent="0.45">
      <c r="A10752" s="12" t="s">
        <v>19912</v>
      </c>
      <c r="B10752" s="12" t="s">
        <v>691</v>
      </c>
      <c r="C10752" s="13" t="s">
        <v>20</v>
      </c>
      <c r="D10752" s="13" t="s">
        <v>92</v>
      </c>
      <c r="E10752" s="12" t="s">
        <v>35</v>
      </c>
      <c r="F10752" s="14">
        <v>220000</v>
      </c>
      <c r="G10752" s="14">
        <v>181200</v>
      </c>
      <c r="H10752" s="13" t="s">
        <v>19943</v>
      </c>
      <c r="I10752" s="40" t="s">
        <v>18</v>
      </c>
      <c r="J10752" s="40" t="str">
        <f>HYPERLINK("https://stock.pstatic.net/stock-research/company/63/20250722_company_524081000.pdf","PDF")</f>
        <v>PDF</v>
      </c>
      <c r="K10752" s="12" t="s">
        <v>19944</v>
      </c>
      <c r="L10752" s="20">
        <v>0.21412803532008831</v>
      </c>
    </row>
    <row r="10753" spans="1:12" x14ac:dyDescent="0.45">
      <c r="A10753" s="12" t="s">
        <v>19912</v>
      </c>
      <c r="B10753" s="12" t="s">
        <v>102</v>
      </c>
      <c r="C10753" s="13" t="s">
        <v>103</v>
      </c>
      <c r="D10753" s="13" t="s">
        <v>34</v>
      </c>
      <c r="E10753" s="12" t="s">
        <v>35</v>
      </c>
      <c r="F10753" s="14">
        <v>20000</v>
      </c>
      <c r="G10753" s="14">
        <v>13910</v>
      </c>
      <c r="H10753" s="13" t="s">
        <v>19945</v>
      </c>
      <c r="I10753" s="40" t="s">
        <v>18</v>
      </c>
      <c r="J10753" s="40" t="str">
        <f>HYPERLINK("https://stock.pstatic.net/stock-research/company/61/20250722_company_241854000.pdf","PDF")</f>
        <v>PDF</v>
      </c>
      <c r="K10753" s="12" t="s">
        <v>19946</v>
      </c>
      <c r="L10753" s="20">
        <v>0.43781452192667147</v>
      </c>
    </row>
    <row r="10754" spans="1:12" x14ac:dyDescent="0.45">
      <c r="A10754" s="12" t="s">
        <v>19912</v>
      </c>
      <c r="B10754" s="12" t="s">
        <v>4446</v>
      </c>
      <c r="C10754" s="13" t="s">
        <v>4447</v>
      </c>
      <c r="D10754" s="13" t="s">
        <v>179</v>
      </c>
      <c r="E10754" s="12" t="s">
        <v>16</v>
      </c>
      <c r="F10754" s="14">
        <v>90000</v>
      </c>
      <c r="G10754" s="14">
        <v>65700</v>
      </c>
      <c r="H10754" s="13" t="s">
        <v>19947</v>
      </c>
      <c r="I10754" s="40" t="s">
        <v>18</v>
      </c>
      <c r="J10754" s="40" t="str">
        <f>HYPERLINK("https://stock.pstatic.net/stock-research/company/31/20250722_company_715530000.pdf","PDF")</f>
        <v>PDF</v>
      </c>
      <c r="K10754" s="12" t="s">
        <v>19948</v>
      </c>
      <c r="L10754" s="20">
        <v>0.36986301369863012</v>
      </c>
    </row>
    <row r="10755" spans="1:12" x14ac:dyDescent="0.45">
      <c r="A10755" s="12" t="s">
        <v>19912</v>
      </c>
      <c r="B10755" s="12" t="s">
        <v>1686</v>
      </c>
      <c r="C10755" s="13" t="s">
        <v>1687</v>
      </c>
      <c r="D10755" s="13" t="s">
        <v>23</v>
      </c>
      <c r="E10755" s="12" t="s">
        <v>16</v>
      </c>
      <c r="F10755" s="14">
        <v>1650000</v>
      </c>
      <c r="G10755" s="14">
        <v>1393000</v>
      </c>
      <c r="H10755" s="13" t="s">
        <v>19949</v>
      </c>
      <c r="I10755" s="40" t="s">
        <v>18</v>
      </c>
      <c r="J10755" s="40" t="str">
        <f>HYPERLINK("https://stock.pstatic.net/stock-research/company/21/20250722_company_531568000.pdf","PDF")</f>
        <v>PDF</v>
      </c>
      <c r="K10755" s="12" t="s">
        <v>19950</v>
      </c>
      <c r="L10755" s="20">
        <v>0.1844938980617373</v>
      </c>
    </row>
    <row r="10756" spans="1:12" x14ac:dyDescent="0.45">
      <c r="A10756" s="12" t="s">
        <v>19912</v>
      </c>
      <c r="B10756" s="12" t="s">
        <v>888</v>
      </c>
      <c r="C10756" s="13" t="s">
        <v>889</v>
      </c>
      <c r="D10756" s="13" t="s">
        <v>23</v>
      </c>
      <c r="E10756" s="12" t="s">
        <v>16</v>
      </c>
      <c r="F10756" s="14">
        <v>74000</v>
      </c>
      <c r="G10756" s="14">
        <v>57800</v>
      </c>
      <c r="H10756" s="13" t="s">
        <v>19951</v>
      </c>
      <c r="I10756" s="40" t="s">
        <v>18</v>
      </c>
      <c r="J10756" s="40" t="str">
        <f>HYPERLINK("https://stock.pstatic.net/stock-research/company/21/20250722_company_970433000.pdf","PDF")</f>
        <v>PDF</v>
      </c>
      <c r="K10756" s="12" t="s">
        <v>19952</v>
      </c>
      <c r="L10756" s="20">
        <v>0.28027681660899662</v>
      </c>
    </row>
    <row r="10757" spans="1:12" x14ac:dyDescent="0.45">
      <c r="A10757" s="12" t="s">
        <v>19912</v>
      </c>
      <c r="B10757" s="12" t="s">
        <v>10621</v>
      </c>
      <c r="C10757" s="13" t="s">
        <v>10622</v>
      </c>
      <c r="D10757" s="13" t="s">
        <v>44</v>
      </c>
      <c r="E10757" s="12" t="s">
        <v>50</v>
      </c>
      <c r="F10757" s="13"/>
      <c r="G10757" s="14">
        <v>9840</v>
      </c>
      <c r="H10757" s="13" t="s">
        <v>19953</v>
      </c>
      <c r="I10757" s="40" t="s">
        <v>18</v>
      </c>
      <c r="J10757" s="40" t="str">
        <f>HYPERLINK("https://stock.pstatic.net/stock-research/company/39/20250722_company_514942000.pdf","PDF")</f>
        <v>PDF</v>
      </c>
      <c r="K10757" s="12" t="s">
        <v>19954</v>
      </c>
    </row>
    <row r="10758" spans="1:12" x14ac:dyDescent="0.45">
      <c r="A10758" s="12" t="s">
        <v>19912</v>
      </c>
      <c r="B10758" s="12" t="s">
        <v>4129</v>
      </c>
      <c r="C10758" s="13" t="s">
        <v>4130</v>
      </c>
      <c r="D10758" s="13" t="s">
        <v>124</v>
      </c>
      <c r="E10758" s="12" t="s">
        <v>50</v>
      </c>
      <c r="F10758" s="13"/>
      <c r="G10758" s="13"/>
      <c r="H10758" s="13" t="s">
        <v>19955</v>
      </c>
      <c r="I10758" s="40" t="s">
        <v>18</v>
      </c>
      <c r="J10758" s="40" t="str">
        <f>HYPERLINK("https://stock.pstatic.net/stock-research/company/74/20250722_company_537397000.pdf","PDF")</f>
        <v>PDF</v>
      </c>
      <c r="K10758" s="12" t="s">
        <v>19956</v>
      </c>
    </row>
    <row r="10759" spans="1:12" x14ac:dyDescent="0.45">
      <c r="A10759" s="12" t="s">
        <v>19912</v>
      </c>
      <c r="B10759" s="12" t="s">
        <v>4133</v>
      </c>
      <c r="C10759" s="13" t="s">
        <v>4134</v>
      </c>
      <c r="D10759" s="13" t="s">
        <v>124</v>
      </c>
      <c r="E10759" s="12" t="s">
        <v>50</v>
      </c>
      <c r="F10759" s="13"/>
      <c r="G10759" s="13"/>
      <c r="H10759" s="13" t="s">
        <v>19957</v>
      </c>
      <c r="I10759" s="40" t="s">
        <v>18</v>
      </c>
      <c r="J10759" s="40" t="str">
        <f>HYPERLINK("https://stock.pstatic.net/stock-research/company/74/20250722_company_120017000.pdf","PDF")</f>
        <v>PDF</v>
      </c>
      <c r="K10759" s="12" t="s">
        <v>19958</v>
      </c>
    </row>
    <row r="10760" spans="1:12" x14ac:dyDescent="0.45">
      <c r="A10760" s="12" t="s">
        <v>19959</v>
      </c>
      <c r="B10760" s="12" t="s">
        <v>398</v>
      </c>
      <c r="C10760" s="13" t="s">
        <v>399</v>
      </c>
      <c r="D10760" s="13" t="s">
        <v>276</v>
      </c>
      <c r="E10760" s="12" t="s">
        <v>16</v>
      </c>
      <c r="F10760" s="14">
        <v>180000</v>
      </c>
      <c r="G10760" s="14">
        <v>156900</v>
      </c>
      <c r="H10760" s="13" t="s">
        <v>19960</v>
      </c>
      <c r="I10760" s="40" t="s">
        <v>18</v>
      </c>
      <c r="J10760" s="40" t="str">
        <f>HYPERLINK("https://stock.pstatic.net/stock-research/company/66/20250721_company_172118000.pdf","PDF")</f>
        <v>PDF</v>
      </c>
      <c r="K10760" s="12" t="s">
        <v>19961</v>
      </c>
      <c r="L10760" s="20">
        <v>0.14722753346080311</v>
      </c>
    </row>
    <row r="10761" spans="1:12" x14ac:dyDescent="0.45">
      <c r="A10761" s="12" t="s">
        <v>19959</v>
      </c>
      <c r="B10761" s="12" t="s">
        <v>2777</v>
      </c>
      <c r="C10761" s="13" t="s">
        <v>2778</v>
      </c>
      <c r="D10761" s="13" t="s">
        <v>60</v>
      </c>
      <c r="E10761" s="12" t="s">
        <v>35</v>
      </c>
      <c r="F10761" s="14">
        <v>210000</v>
      </c>
      <c r="G10761" s="14">
        <v>163800</v>
      </c>
      <c r="H10761" s="13" t="s">
        <v>19962</v>
      </c>
      <c r="I10761" s="40" t="s">
        <v>18</v>
      </c>
      <c r="J10761" s="40" t="str">
        <f>HYPERLINK("https://stock.pstatic.net/stock-research/company/34/20250721_company_149584000.pdf","PDF")</f>
        <v>PDF</v>
      </c>
      <c r="K10761" s="12" t="s">
        <v>19963</v>
      </c>
      <c r="L10761" s="20">
        <v>0.28205128205128199</v>
      </c>
    </row>
    <row r="10762" spans="1:12" x14ac:dyDescent="0.45">
      <c r="A10762" s="12" t="s">
        <v>19959</v>
      </c>
      <c r="B10762" s="12" t="s">
        <v>3164</v>
      </c>
      <c r="C10762" s="13" t="s">
        <v>3165</v>
      </c>
      <c r="D10762" s="13" t="s">
        <v>60</v>
      </c>
      <c r="E10762" s="12" t="s">
        <v>35</v>
      </c>
      <c r="F10762" s="14">
        <v>97000</v>
      </c>
      <c r="G10762" s="14">
        <v>70900</v>
      </c>
      <c r="H10762" s="13" t="s">
        <v>19964</v>
      </c>
      <c r="I10762" s="40" t="s">
        <v>18</v>
      </c>
      <c r="J10762" s="40" t="str">
        <f>HYPERLINK("https://stock.pstatic.net/stock-research/company/62/20250721_company_60571000.pdf","PDF")</f>
        <v>PDF</v>
      </c>
      <c r="K10762" s="12" t="s">
        <v>19965</v>
      </c>
      <c r="L10762" s="20">
        <v>0.36812411847672782</v>
      </c>
    </row>
    <row r="10763" spans="1:12" x14ac:dyDescent="0.45">
      <c r="A10763" s="12" t="s">
        <v>19959</v>
      </c>
      <c r="B10763" s="12" t="s">
        <v>3708</v>
      </c>
      <c r="C10763" s="13" t="s">
        <v>3709</v>
      </c>
      <c r="D10763" s="13" t="s">
        <v>65</v>
      </c>
      <c r="E10763" s="12" t="s">
        <v>50</v>
      </c>
      <c r="F10763" s="13"/>
      <c r="G10763" s="14">
        <v>16070</v>
      </c>
      <c r="H10763" s="13" t="s">
        <v>19966</v>
      </c>
      <c r="I10763" s="40" t="s">
        <v>18</v>
      </c>
      <c r="J10763" s="40" t="str">
        <f>HYPERLINK("https://stock.pstatic.net/stock-research/company/57/20250721_company_435168000.pdf","PDF")</f>
        <v>PDF</v>
      </c>
      <c r="K10763" s="12" t="s">
        <v>19967</v>
      </c>
    </row>
    <row r="10764" spans="1:12" x14ac:dyDescent="0.45">
      <c r="A10764" s="12" t="s">
        <v>19959</v>
      </c>
      <c r="B10764" s="12" t="s">
        <v>12062</v>
      </c>
      <c r="C10764" s="13" t="s">
        <v>12063</v>
      </c>
      <c r="D10764" s="13" t="s">
        <v>65</v>
      </c>
      <c r="E10764" s="12" t="s">
        <v>50</v>
      </c>
      <c r="F10764" s="13"/>
      <c r="G10764" s="14">
        <v>11510</v>
      </c>
      <c r="H10764" s="13" t="s">
        <v>19968</v>
      </c>
      <c r="I10764" s="40" t="s">
        <v>18</v>
      </c>
      <c r="J10764" s="40" t="str">
        <f>HYPERLINK("https://stock.pstatic.net/stock-research/company/57/20250721_company_537083000.pdf","PDF")</f>
        <v>PDF</v>
      </c>
      <c r="K10764" s="12" t="s">
        <v>19969</v>
      </c>
    </row>
    <row r="10765" spans="1:12" x14ac:dyDescent="0.45">
      <c r="A10765" s="12" t="s">
        <v>19959</v>
      </c>
      <c r="B10765" s="12" t="s">
        <v>19970</v>
      </c>
      <c r="C10765" s="13" t="s">
        <v>19971</v>
      </c>
      <c r="D10765" s="13" t="s">
        <v>65</v>
      </c>
      <c r="E10765" s="12" t="s">
        <v>35</v>
      </c>
      <c r="F10765" s="14">
        <v>19000</v>
      </c>
      <c r="G10765" s="14">
        <v>16170</v>
      </c>
      <c r="H10765" s="13" t="s">
        <v>19972</v>
      </c>
      <c r="I10765" s="40" t="s">
        <v>18</v>
      </c>
      <c r="J10765" s="40" t="str">
        <f>HYPERLINK("https://stock.pstatic.net/stock-research/company/57/20250721_company_330757000.pdf","PDF")</f>
        <v>PDF</v>
      </c>
      <c r="K10765" s="12" t="s">
        <v>19973</v>
      </c>
      <c r="L10765" s="20">
        <v>0.17501546072974641</v>
      </c>
    </row>
    <row r="10766" spans="1:12" x14ac:dyDescent="0.45">
      <c r="A10766" s="12" t="s">
        <v>19959</v>
      </c>
      <c r="B10766" s="12" t="s">
        <v>76</v>
      </c>
      <c r="C10766" s="13" t="s">
        <v>77</v>
      </c>
      <c r="D10766" s="13" t="s">
        <v>65</v>
      </c>
      <c r="E10766" s="12" t="s">
        <v>1738</v>
      </c>
      <c r="F10766" s="14">
        <v>24000</v>
      </c>
      <c r="G10766" s="14">
        <v>25000</v>
      </c>
      <c r="H10766" s="13" t="s">
        <v>19974</v>
      </c>
      <c r="I10766" s="40" t="s">
        <v>18</v>
      </c>
      <c r="J10766" s="40" t="str">
        <f>HYPERLINK("https://stock.pstatic.net/stock-research/company/1/20250721_company_358416000.pdf","PDF")</f>
        <v>PDF</v>
      </c>
      <c r="K10766" s="12" t="s">
        <v>19975</v>
      </c>
      <c r="L10766" s="20">
        <v>-0.04</v>
      </c>
    </row>
    <row r="10767" spans="1:12" x14ac:dyDescent="0.45">
      <c r="A10767" s="12" t="s">
        <v>19959</v>
      </c>
      <c r="B10767" s="12" t="s">
        <v>3164</v>
      </c>
      <c r="C10767" s="13" t="s">
        <v>3165</v>
      </c>
      <c r="D10767" s="13" t="s">
        <v>65</v>
      </c>
      <c r="E10767" s="12" t="s">
        <v>35</v>
      </c>
      <c r="F10767" s="14">
        <v>83000</v>
      </c>
      <c r="G10767" s="14">
        <v>70900</v>
      </c>
      <c r="H10767" s="13" t="s">
        <v>19976</v>
      </c>
      <c r="I10767" s="40" t="s">
        <v>18</v>
      </c>
      <c r="J10767" s="40" t="str">
        <f>HYPERLINK("https://stock.pstatic.net/stock-research/company/57/20250721_company_26194000.pdf","PDF")</f>
        <v>PDF</v>
      </c>
      <c r="K10767" s="12" t="s">
        <v>19977</v>
      </c>
      <c r="L10767" s="20">
        <v>0.1706629055007052</v>
      </c>
    </row>
    <row r="10768" spans="1:12" x14ac:dyDescent="0.45">
      <c r="A10768" s="12" t="s">
        <v>19959</v>
      </c>
      <c r="B10768" s="12" t="s">
        <v>398</v>
      </c>
      <c r="C10768" s="13" t="s">
        <v>399</v>
      </c>
      <c r="D10768" s="13" t="s">
        <v>57</v>
      </c>
      <c r="E10768" s="12" t="s">
        <v>159</v>
      </c>
      <c r="F10768" s="14">
        <v>170000</v>
      </c>
      <c r="G10768" s="14">
        <v>156900</v>
      </c>
      <c r="H10768" s="13" t="s">
        <v>19978</v>
      </c>
      <c r="I10768" s="40" t="s">
        <v>18</v>
      </c>
      <c r="J10768" s="40" t="str">
        <f>HYPERLINK("https://stock.pstatic.net/stock-research/company/16/20250721_company_222255000.pdf","PDF")</f>
        <v>PDF</v>
      </c>
      <c r="K10768" s="12" t="s">
        <v>19979</v>
      </c>
      <c r="L10768" s="20">
        <v>8.3492670490758439E-2</v>
      </c>
    </row>
    <row r="10769" spans="1:12" x14ac:dyDescent="0.45">
      <c r="A10769" s="12" t="s">
        <v>19959</v>
      </c>
      <c r="B10769" s="12" t="s">
        <v>3164</v>
      </c>
      <c r="C10769" s="13" t="s">
        <v>3165</v>
      </c>
      <c r="D10769" s="13" t="s">
        <v>57</v>
      </c>
      <c r="E10769" s="12" t="s">
        <v>35</v>
      </c>
      <c r="F10769" s="14">
        <v>78000</v>
      </c>
      <c r="G10769" s="14">
        <v>70900</v>
      </c>
      <c r="H10769" s="13" t="s">
        <v>19980</v>
      </c>
      <c r="I10769" s="40" t="s">
        <v>18</v>
      </c>
      <c r="J10769" s="40" t="str">
        <f>HYPERLINK("https://stock.pstatic.net/stock-research/company/16/20250721_company_428791000.pdf","PDF")</f>
        <v>PDF</v>
      </c>
      <c r="K10769" s="12" t="s">
        <v>19981</v>
      </c>
      <c r="L10769" s="20">
        <v>0.1001410437235543</v>
      </c>
    </row>
    <row r="10770" spans="1:12" x14ac:dyDescent="0.45">
      <c r="A10770" s="12" t="s">
        <v>19959</v>
      </c>
      <c r="B10770" s="12" t="s">
        <v>1208</v>
      </c>
      <c r="C10770" s="13" t="s">
        <v>1209</v>
      </c>
      <c r="D10770" s="13" t="s">
        <v>57</v>
      </c>
      <c r="E10770" s="12" t="s">
        <v>35</v>
      </c>
      <c r="F10770" s="14">
        <v>88000</v>
      </c>
      <c r="G10770" s="14">
        <v>53500</v>
      </c>
      <c r="H10770" s="13" t="s">
        <v>19982</v>
      </c>
      <c r="I10770" s="40" t="s">
        <v>18</v>
      </c>
      <c r="J10770" s="40" t="str">
        <f>HYPERLINK("https://stock.pstatic.net/stock-research/company/16/20250721_company_621483000.pdf","PDF")</f>
        <v>PDF</v>
      </c>
      <c r="K10770" s="12" t="s">
        <v>19983</v>
      </c>
      <c r="L10770" s="20">
        <v>0.64485981308411211</v>
      </c>
    </row>
    <row r="10771" spans="1:12" x14ac:dyDescent="0.45">
      <c r="A10771" s="12" t="s">
        <v>19959</v>
      </c>
      <c r="B10771" s="12" t="s">
        <v>19984</v>
      </c>
      <c r="C10771" s="13" t="s">
        <v>19985</v>
      </c>
      <c r="D10771" s="13" t="s">
        <v>57</v>
      </c>
      <c r="E10771" s="12" t="s">
        <v>50</v>
      </c>
      <c r="F10771" s="13"/>
      <c r="G10771" s="14">
        <v>109300</v>
      </c>
      <c r="H10771" s="13" t="s">
        <v>19986</v>
      </c>
      <c r="I10771" s="40" t="s">
        <v>18</v>
      </c>
      <c r="J10771" s="40" t="str">
        <f>HYPERLINK("https://stock.pstatic.net/stock-research/company/1/20250721_company_937394000.pdf","PDF")</f>
        <v>PDF</v>
      </c>
      <c r="K10771" s="12" t="s">
        <v>19987</v>
      </c>
    </row>
    <row r="10772" spans="1:12" x14ac:dyDescent="0.45">
      <c r="A10772" s="12" t="s">
        <v>19959</v>
      </c>
      <c r="B10772" s="12" t="s">
        <v>1686</v>
      </c>
      <c r="C10772" s="13" t="s">
        <v>1687</v>
      </c>
      <c r="D10772" s="13" t="s">
        <v>57</v>
      </c>
      <c r="E10772" s="12" t="s">
        <v>35</v>
      </c>
      <c r="F10772" s="14">
        <v>1700000</v>
      </c>
      <c r="G10772" s="14">
        <v>1484000</v>
      </c>
      <c r="H10772" s="13" t="s">
        <v>19988</v>
      </c>
      <c r="I10772" s="40" t="s">
        <v>18</v>
      </c>
      <c r="J10772" s="40" t="str">
        <f>HYPERLINK("https://stock.pstatic.net/stock-research/company/16/20250721_company_22718000.pdf","PDF")</f>
        <v>PDF</v>
      </c>
      <c r="K10772" s="12" t="s">
        <v>19989</v>
      </c>
      <c r="L10772" s="20">
        <v>0.14555256064690031</v>
      </c>
    </row>
    <row r="10773" spans="1:12" x14ac:dyDescent="0.45">
      <c r="A10773" s="12" t="s">
        <v>19959</v>
      </c>
      <c r="B10773" s="12" t="s">
        <v>1266</v>
      </c>
      <c r="C10773" s="13" t="s">
        <v>1267</v>
      </c>
      <c r="D10773" s="13" t="s">
        <v>15</v>
      </c>
      <c r="E10773" s="12" t="s">
        <v>385</v>
      </c>
      <c r="F10773" s="14">
        <v>131000</v>
      </c>
      <c r="G10773" s="14">
        <v>135600</v>
      </c>
      <c r="H10773" s="13" t="s">
        <v>19990</v>
      </c>
      <c r="I10773" s="40" t="s">
        <v>18</v>
      </c>
      <c r="J10773" s="40" t="str">
        <f>HYPERLINK("https://stock.pstatic.net/stock-research/company/29/20250721_company_256687000.pdf","PDF")</f>
        <v>PDF</v>
      </c>
      <c r="K10773" s="12" t="s">
        <v>19991</v>
      </c>
      <c r="L10773" s="20">
        <v>-3.3923303834808259E-2</v>
      </c>
    </row>
    <row r="10774" spans="1:12" x14ac:dyDescent="0.45">
      <c r="A10774" s="12" t="s">
        <v>19959</v>
      </c>
      <c r="B10774" s="12" t="s">
        <v>3164</v>
      </c>
      <c r="C10774" s="13" t="s">
        <v>3165</v>
      </c>
      <c r="D10774" s="13" t="s">
        <v>15</v>
      </c>
      <c r="E10774" s="12" t="s">
        <v>16</v>
      </c>
      <c r="F10774" s="14">
        <v>96000</v>
      </c>
      <c r="G10774" s="14">
        <v>70900</v>
      </c>
      <c r="H10774" s="13" t="s">
        <v>19992</v>
      </c>
      <c r="I10774" s="40" t="s">
        <v>18</v>
      </c>
      <c r="J10774" s="40" t="str">
        <f>HYPERLINK("https://stock.pstatic.net/stock-research/company/29/20250721_company_117105000.pdf","PDF")</f>
        <v>PDF</v>
      </c>
      <c r="K10774" s="12" t="s">
        <v>19993</v>
      </c>
      <c r="L10774" s="20">
        <v>0.35401974612129761</v>
      </c>
    </row>
    <row r="10775" spans="1:12" x14ac:dyDescent="0.45">
      <c r="A10775" s="12" t="s">
        <v>19959</v>
      </c>
      <c r="B10775" s="12" t="s">
        <v>21</v>
      </c>
      <c r="C10775" s="13" t="s">
        <v>22</v>
      </c>
      <c r="D10775" s="13" t="s">
        <v>15</v>
      </c>
      <c r="E10775" s="12" t="s">
        <v>385</v>
      </c>
      <c r="F10775" s="14">
        <v>28000</v>
      </c>
      <c r="G10775" s="14">
        <v>27850</v>
      </c>
      <c r="H10775" s="13" t="s">
        <v>19994</v>
      </c>
      <c r="I10775" s="40" t="s">
        <v>18</v>
      </c>
      <c r="J10775" s="40" t="str">
        <f>HYPERLINK("https://stock.pstatic.net/stock-research/company/29/20250721_company_974029000.pdf","PDF")</f>
        <v>PDF</v>
      </c>
      <c r="K10775" s="12" t="s">
        <v>19995</v>
      </c>
      <c r="L10775" s="20">
        <v>5.3859964093357273E-3</v>
      </c>
    </row>
    <row r="10776" spans="1:12" x14ac:dyDescent="0.45">
      <c r="A10776" s="12" t="s">
        <v>19959</v>
      </c>
      <c r="B10776" s="12" t="s">
        <v>1274</v>
      </c>
      <c r="C10776" s="13" t="s">
        <v>1275</v>
      </c>
      <c r="D10776" s="13" t="s">
        <v>15</v>
      </c>
      <c r="E10776" s="12" t="s">
        <v>385</v>
      </c>
      <c r="F10776" s="14">
        <v>150000</v>
      </c>
      <c r="G10776" s="14">
        <v>137700</v>
      </c>
      <c r="H10776" s="13" t="s">
        <v>19996</v>
      </c>
      <c r="I10776" s="40" t="s">
        <v>18</v>
      </c>
      <c r="J10776" s="40" t="str">
        <f>HYPERLINK("https://stock.pstatic.net/stock-research/company/29/20250721_company_396659000.pdf","PDF")</f>
        <v>PDF</v>
      </c>
      <c r="K10776" s="12" t="s">
        <v>19997</v>
      </c>
      <c r="L10776" s="20">
        <v>8.9324618736383449E-2</v>
      </c>
    </row>
    <row r="10777" spans="1:12" x14ac:dyDescent="0.45">
      <c r="A10777" s="12" t="s">
        <v>19959</v>
      </c>
      <c r="B10777" s="12" t="s">
        <v>1328</v>
      </c>
      <c r="C10777" s="13" t="s">
        <v>1329</v>
      </c>
      <c r="D10777" s="13" t="s">
        <v>15</v>
      </c>
      <c r="E10777" s="12" t="s">
        <v>385</v>
      </c>
      <c r="F10777" s="14">
        <v>12000</v>
      </c>
      <c r="G10777" s="14">
        <v>10990</v>
      </c>
      <c r="H10777" s="13" t="s">
        <v>19998</v>
      </c>
      <c r="I10777" s="40" t="s">
        <v>18</v>
      </c>
      <c r="J10777" s="40" t="str">
        <f>HYPERLINK("https://stock.pstatic.net/stock-research/company/29/20250721_company_167963000.pdf","PDF")</f>
        <v>PDF</v>
      </c>
      <c r="K10777" s="12" t="s">
        <v>19999</v>
      </c>
      <c r="L10777" s="20">
        <v>9.1901728844404007E-2</v>
      </c>
    </row>
    <row r="10778" spans="1:12" x14ac:dyDescent="0.45">
      <c r="A10778" s="12" t="s">
        <v>19959</v>
      </c>
      <c r="B10778" s="12" t="s">
        <v>86</v>
      </c>
      <c r="C10778" s="13" t="s">
        <v>87</v>
      </c>
      <c r="D10778" s="13" t="s">
        <v>15</v>
      </c>
      <c r="E10778" s="12" t="s">
        <v>16</v>
      </c>
      <c r="F10778" s="14">
        <v>145000</v>
      </c>
      <c r="G10778" s="14">
        <v>116200</v>
      </c>
      <c r="H10778" s="13" t="s">
        <v>20000</v>
      </c>
      <c r="I10778" s="40" t="s">
        <v>18</v>
      </c>
      <c r="J10778" s="40" t="str">
        <f>HYPERLINK("https://stock.pstatic.net/stock-research/company/29/20250721_company_475402000.pdf","PDF")</f>
        <v>PDF</v>
      </c>
      <c r="K10778" s="12" t="s">
        <v>20001</v>
      </c>
      <c r="L10778" s="20">
        <v>0.24784853700516349</v>
      </c>
    </row>
    <row r="10779" spans="1:12" x14ac:dyDescent="0.45">
      <c r="A10779" s="12" t="s">
        <v>19959</v>
      </c>
      <c r="B10779" s="12" t="s">
        <v>1258</v>
      </c>
      <c r="C10779" s="13" t="s">
        <v>1259</v>
      </c>
      <c r="D10779" s="13" t="s">
        <v>15</v>
      </c>
      <c r="E10779" s="12" t="s">
        <v>385</v>
      </c>
      <c r="F10779" s="14">
        <v>473000</v>
      </c>
      <c r="G10779" s="14">
        <v>466500</v>
      </c>
      <c r="H10779" s="13" t="s">
        <v>20002</v>
      </c>
      <c r="I10779" s="40" t="s">
        <v>18</v>
      </c>
      <c r="J10779" s="40" t="str">
        <f>HYPERLINK("https://stock.pstatic.net/stock-research/company/29/20250721_company_241990000.pdf","PDF")</f>
        <v>PDF</v>
      </c>
      <c r="K10779" s="12" t="s">
        <v>20003</v>
      </c>
      <c r="L10779" s="20">
        <v>1.3933547695605571E-2</v>
      </c>
    </row>
    <row r="10780" spans="1:12" x14ac:dyDescent="0.45">
      <c r="A10780" s="12" t="s">
        <v>19959</v>
      </c>
      <c r="B10780" s="12" t="s">
        <v>10907</v>
      </c>
      <c r="C10780" s="13" t="s">
        <v>10908</v>
      </c>
      <c r="D10780" s="13" t="s">
        <v>83</v>
      </c>
      <c r="E10780" s="12" t="s">
        <v>50</v>
      </c>
      <c r="F10780" s="13"/>
      <c r="G10780" s="14">
        <v>15060</v>
      </c>
      <c r="H10780" s="13" t="s">
        <v>20004</v>
      </c>
      <c r="I10780" s="40" t="s">
        <v>18</v>
      </c>
      <c r="J10780" s="40" t="str">
        <f>HYPERLINK("https://stock.pstatic.net/stock-research/company/1/20250721_company_295046000.pdf","PDF")</f>
        <v>PDF</v>
      </c>
      <c r="K10780" s="12" t="s">
        <v>20005</v>
      </c>
    </row>
    <row r="10781" spans="1:12" x14ac:dyDescent="0.45">
      <c r="A10781" s="12" t="s">
        <v>19959</v>
      </c>
      <c r="B10781" s="12" t="s">
        <v>3164</v>
      </c>
      <c r="C10781" s="13" t="s">
        <v>3165</v>
      </c>
      <c r="D10781" s="13" t="s">
        <v>83</v>
      </c>
      <c r="E10781" s="12" t="s">
        <v>35</v>
      </c>
      <c r="F10781" s="14">
        <v>86000</v>
      </c>
      <c r="G10781" s="14">
        <v>70900</v>
      </c>
      <c r="H10781" s="13" t="s">
        <v>20006</v>
      </c>
      <c r="I10781" s="40" t="s">
        <v>18</v>
      </c>
      <c r="J10781" s="40" t="str">
        <f>HYPERLINK("https://stock.pstatic.net/stock-research/company/2/20250721_company_575760000.pdf","PDF")</f>
        <v>PDF</v>
      </c>
      <c r="K10781" s="12" t="s">
        <v>20007</v>
      </c>
      <c r="L10781" s="20">
        <v>0.2129760225669958</v>
      </c>
    </row>
    <row r="10782" spans="1:12" x14ac:dyDescent="0.45">
      <c r="A10782" s="12" t="s">
        <v>19959</v>
      </c>
      <c r="B10782" s="12" t="s">
        <v>3403</v>
      </c>
      <c r="C10782" s="13" t="s">
        <v>3404</v>
      </c>
      <c r="D10782" s="13" t="s">
        <v>34</v>
      </c>
      <c r="E10782" s="12" t="s">
        <v>35</v>
      </c>
      <c r="F10782" s="14">
        <v>47000</v>
      </c>
      <c r="G10782" s="14">
        <v>35350</v>
      </c>
      <c r="H10782" s="13" t="s">
        <v>20008</v>
      </c>
      <c r="I10782" s="40" t="s">
        <v>18</v>
      </c>
      <c r="J10782" s="40" t="str">
        <f>HYPERLINK("https://stock.pstatic.net/stock-research/company/61/20250721_company_340767000.pdf","PDF")</f>
        <v>PDF</v>
      </c>
      <c r="K10782" s="12" t="s">
        <v>20009</v>
      </c>
      <c r="L10782" s="20">
        <v>0.32956152758132962</v>
      </c>
    </row>
    <row r="10783" spans="1:12" x14ac:dyDescent="0.45">
      <c r="A10783" s="12" t="s">
        <v>19959</v>
      </c>
      <c r="B10783" s="12" t="s">
        <v>2873</v>
      </c>
      <c r="C10783" s="13" t="s">
        <v>2874</v>
      </c>
      <c r="D10783" s="13" t="s">
        <v>34</v>
      </c>
      <c r="E10783" s="12" t="s">
        <v>35</v>
      </c>
      <c r="F10783" s="14">
        <v>100000</v>
      </c>
      <c r="G10783" s="14">
        <v>77900</v>
      </c>
      <c r="H10783" s="13" t="s">
        <v>19447</v>
      </c>
      <c r="I10783" s="40" t="s">
        <v>18</v>
      </c>
      <c r="J10783" s="40" t="str">
        <f>HYPERLINK("https://stock.pstatic.net/stock-research/company/61/20250721_company_341035000.pdf","PDF")</f>
        <v>PDF</v>
      </c>
      <c r="K10783" s="12" t="s">
        <v>20010</v>
      </c>
      <c r="L10783" s="20">
        <v>0.28369704749679081</v>
      </c>
    </row>
    <row r="10784" spans="1:12" x14ac:dyDescent="0.45">
      <c r="A10784" s="12" t="s">
        <v>19959</v>
      </c>
      <c r="B10784" s="12" t="s">
        <v>2911</v>
      </c>
      <c r="C10784" s="13" t="s">
        <v>2912</v>
      </c>
      <c r="D10784" s="13" t="s">
        <v>34</v>
      </c>
      <c r="E10784" s="12" t="s">
        <v>35</v>
      </c>
      <c r="F10784" s="14">
        <v>28000</v>
      </c>
      <c r="G10784" s="14">
        <v>21400</v>
      </c>
      <c r="H10784" s="13" t="s">
        <v>20011</v>
      </c>
      <c r="I10784" s="40" t="s">
        <v>18</v>
      </c>
      <c r="J10784" s="40" t="str">
        <f>HYPERLINK("https://stock.pstatic.net/stock-research/company/61/20250721_company_385728000.pdf","PDF")</f>
        <v>PDF</v>
      </c>
      <c r="K10784" s="12" t="s">
        <v>20012</v>
      </c>
      <c r="L10784" s="20">
        <v>0.30841121495327101</v>
      </c>
    </row>
    <row r="10785" spans="1:12" x14ac:dyDescent="0.45">
      <c r="A10785" s="12" t="s">
        <v>19959</v>
      </c>
      <c r="B10785" s="12" t="s">
        <v>3164</v>
      </c>
      <c r="C10785" s="13" t="s">
        <v>3165</v>
      </c>
      <c r="D10785" s="13" t="s">
        <v>34</v>
      </c>
      <c r="E10785" s="12" t="s">
        <v>35</v>
      </c>
      <c r="F10785" s="14">
        <v>100000</v>
      </c>
      <c r="G10785" s="14">
        <v>70900</v>
      </c>
      <c r="H10785" s="13" t="s">
        <v>20013</v>
      </c>
      <c r="I10785" s="40" t="s">
        <v>18</v>
      </c>
      <c r="J10785" s="40" t="str">
        <f>HYPERLINK("https://stock.pstatic.net/stock-research/company/61/20250721_company_522909000.pdf","PDF")</f>
        <v>PDF</v>
      </c>
      <c r="K10785" s="12" t="s">
        <v>20014</v>
      </c>
      <c r="L10785" s="20">
        <v>0.41043723554301831</v>
      </c>
    </row>
    <row r="10786" spans="1:12" x14ac:dyDescent="0.45">
      <c r="A10786" s="12" t="s">
        <v>19959</v>
      </c>
      <c r="B10786" s="12" t="s">
        <v>398</v>
      </c>
      <c r="C10786" s="13" t="s">
        <v>399</v>
      </c>
      <c r="D10786" s="13" t="s">
        <v>179</v>
      </c>
      <c r="E10786" s="12" t="s">
        <v>16</v>
      </c>
      <c r="F10786" s="14">
        <v>196000</v>
      </c>
      <c r="G10786" s="14">
        <v>156900</v>
      </c>
      <c r="H10786" s="13" t="s">
        <v>20015</v>
      </c>
      <c r="I10786" s="40" t="s">
        <v>18</v>
      </c>
      <c r="J10786" s="40" t="str">
        <f>HYPERLINK("https://stock.pstatic.net/stock-research/company/31/20250721_company_162766000.pdf","PDF")</f>
        <v>PDF</v>
      </c>
      <c r="K10786" s="12" t="s">
        <v>20016</v>
      </c>
      <c r="L10786" s="20">
        <v>0.24920331421287439</v>
      </c>
    </row>
    <row r="10787" spans="1:12" x14ac:dyDescent="0.45">
      <c r="A10787" s="12" t="s">
        <v>19959</v>
      </c>
      <c r="B10787" s="12" t="s">
        <v>398</v>
      </c>
      <c r="C10787" s="13" t="s">
        <v>399</v>
      </c>
      <c r="D10787" s="13" t="s">
        <v>53</v>
      </c>
      <c r="E10787" s="12" t="s">
        <v>50</v>
      </c>
      <c r="F10787" s="14">
        <v>160000</v>
      </c>
      <c r="G10787" s="14">
        <v>156900</v>
      </c>
      <c r="H10787" s="13" t="s">
        <v>20017</v>
      </c>
      <c r="I10787" s="40" t="s">
        <v>18</v>
      </c>
      <c r="J10787" s="40" t="str">
        <f>HYPERLINK("https://stock.pstatic.net/stock-research/company/40/20250721_company_765630000.pdf","PDF")</f>
        <v>PDF</v>
      </c>
      <c r="K10787" s="12" t="s">
        <v>20018</v>
      </c>
      <c r="L10787" s="20">
        <v>1.9757807520713828E-2</v>
      </c>
    </row>
    <row r="10788" spans="1:12" x14ac:dyDescent="0.45">
      <c r="A10788" s="12" t="s">
        <v>19959</v>
      </c>
      <c r="B10788" s="12" t="s">
        <v>398</v>
      </c>
      <c r="C10788" s="13" t="s">
        <v>399</v>
      </c>
      <c r="D10788" s="13" t="s">
        <v>23</v>
      </c>
      <c r="E10788" s="12" t="s">
        <v>16</v>
      </c>
      <c r="F10788" s="14">
        <v>180000</v>
      </c>
      <c r="G10788" s="14">
        <v>156900</v>
      </c>
      <c r="H10788" s="13" t="s">
        <v>20019</v>
      </c>
      <c r="I10788" s="40" t="s">
        <v>18</v>
      </c>
      <c r="J10788" s="40" t="str">
        <f>HYPERLINK("https://stock.pstatic.net/stock-research/company/21/20250721_company_841862000.pdf","PDF")</f>
        <v>PDF</v>
      </c>
      <c r="K10788" s="12" t="s">
        <v>20020</v>
      </c>
      <c r="L10788" s="20">
        <v>0.14722753346080311</v>
      </c>
    </row>
    <row r="10789" spans="1:12" x14ac:dyDescent="0.45">
      <c r="A10789" s="12" t="s">
        <v>19959</v>
      </c>
      <c r="B10789" s="12" t="s">
        <v>3813</v>
      </c>
      <c r="C10789" s="13" t="s">
        <v>3814</v>
      </c>
      <c r="D10789" s="13" t="s">
        <v>34</v>
      </c>
      <c r="E10789" s="12" t="s">
        <v>35</v>
      </c>
      <c r="F10789" s="14">
        <v>12000</v>
      </c>
      <c r="G10789" s="14">
        <v>9210</v>
      </c>
      <c r="H10789" s="13" t="s">
        <v>20021</v>
      </c>
      <c r="I10789" s="40" t="s">
        <v>18</v>
      </c>
      <c r="J10789" s="40" t="str">
        <f>HYPERLINK("https://stock.pstatic.net/stock-research/company/61/20250721_company_43395000.pdf","PDF")</f>
        <v>PDF</v>
      </c>
      <c r="K10789" s="12" t="s">
        <v>20022</v>
      </c>
      <c r="L10789" s="20">
        <v>0.30293159609120518</v>
      </c>
    </row>
    <row r="10790" spans="1:12" x14ac:dyDescent="0.45">
      <c r="A10790" s="12" t="s">
        <v>19959</v>
      </c>
      <c r="B10790" s="12" t="s">
        <v>8114</v>
      </c>
      <c r="C10790" s="13" t="s">
        <v>8115</v>
      </c>
      <c r="D10790" s="13" t="s">
        <v>53</v>
      </c>
      <c r="E10790" s="12" t="s">
        <v>16</v>
      </c>
      <c r="F10790" s="14">
        <v>35000</v>
      </c>
      <c r="G10790" s="14">
        <v>25500</v>
      </c>
      <c r="H10790" s="13" t="s">
        <v>20023</v>
      </c>
      <c r="I10790" s="40" t="s">
        <v>18</v>
      </c>
      <c r="J10790" s="40" t="str">
        <f>HYPERLINK("https://stock.pstatic.net/stock-research/company/1/20250721_company_144384000.pdf","PDF")</f>
        <v>PDF</v>
      </c>
      <c r="K10790" s="12" t="s">
        <v>20024</v>
      </c>
      <c r="L10790" s="20">
        <v>0.37254901960784309</v>
      </c>
    </row>
    <row r="10791" spans="1:12" x14ac:dyDescent="0.45">
      <c r="A10791" s="12" t="s">
        <v>19959</v>
      </c>
      <c r="B10791" s="12" t="s">
        <v>1674</v>
      </c>
      <c r="C10791" s="13" t="s">
        <v>1675</v>
      </c>
      <c r="D10791" s="13" t="s">
        <v>44</v>
      </c>
      <c r="E10791" s="12" t="s">
        <v>35</v>
      </c>
      <c r="F10791" s="14">
        <v>480000</v>
      </c>
      <c r="G10791" s="14">
        <v>379000</v>
      </c>
      <c r="H10791" s="13" t="s">
        <v>20025</v>
      </c>
      <c r="I10791" s="40" t="s">
        <v>18</v>
      </c>
      <c r="J10791" s="40" t="str">
        <f>HYPERLINK("https://stock.pstatic.net/stock-research/company/39/20250721_company_744497000.pdf","PDF")</f>
        <v>PDF</v>
      </c>
      <c r="K10791" s="12" t="s">
        <v>20026</v>
      </c>
      <c r="L10791" s="20">
        <v>0.26649076517150388</v>
      </c>
    </row>
    <row r="10792" spans="1:12" x14ac:dyDescent="0.45">
      <c r="A10792" s="12" t="s">
        <v>19959</v>
      </c>
      <c r="B10792" s="12" t="s">
        <v>352</v>
      </c>
      <c r="C10792" s="13" t="s">
        <v>353</v>
      </c>
      <c r="D10792" s="13" t="s">
        <v>44</v>
      </c>
      <c r="E10792" s="12" t="s">
        <v>35</v>
      </c>
      <c r="F10792" s="14">
        <v>260000</v>
      </c>
      <c r="G10792" s="14">
        <v>194300</v>
      </c>
      <c r="H10792" s="13" t="s">
        <v>20027</v>
      </c>
      <c r="I10792" s="40" t="s">
        <v>18</v>
      </c>
      <c r="J10792" s="40" t="str">
        <f>HYPERLINK("https://stock.pstatic.net/stock-research/company/39/20250721_company_883134000.pdf","PDF")</f>
        <v>PDF</v>
      </c>
      <c r="K10792" s="12" t="s">
        <v>20028</v>
      </c>
      <c r="L10792" s="20">
        <v>0.33813690169840449</v>
      </c>
    </row>
    <row r="10793" spans="1:12" x14ac:dyDescent="0.45">
      <c r="A10793" s="12" t="s">
        <v>19959</v>
      </c>
      <c r="B10793" s="12" t="s">
        <v>1690</v>
      </c>
      <c r="C10793" s="13" t="s">
        <v>1691</v>
      </c>
      <c r="D10793" s="13" t="s">
        <v>44</v>
      </c>
      <c r="E10793" s="12" t="s">
        <v>45</v>
      </c>
      <c r="F10793" s="14">
        <v>130000</v>
      </c>
      <c r="G10793" s="14">
        <v>113500</v>
      </c>
      <c r="H10793" s="13" t="s">
        <v>20029</v>
      </c>
      <c r="I10793" s="40" t="s">
        <v>18</v>
      </c>
      <c r="J10793" s="40" t="str">
        <f>HYPERLINK("https://stock.pstatic.net/stock-research/company/39/20250721_company_452669000.pdf","PDF")</f>
        <v>PDF</v>
      </c>
      <c r="K10793" s="12" t="s">
        <v>20030</v>
      </c>
      <c r="L10793" s="20">
        <v>0.14537444933920701</v>
      </c>
    </row>
    <row r="10794" spans="1:12" x14ac:dyDescent="0.45">
      <c r="A10794" s="12" t="s">
        <v>19959</v>
      </c>
      <c r="B10794" s="12" t="s">
        <v>2887</v>
      </c>
      <c r="C10794" s="13" t="s">
        <v>2888</v>
      </c>
      <c r="D10794" s="13" t="s">
        <v>44</v>
      </c>
      <c r="E10794" s="12" t="s">
        <v>35</v>
      </c>
      <c r="F10794" s="14">
        <v>340000</v>
      </c>
      <c r="G10794" s="14">
        <v>272500</v>
      </c>
      <c r="H10794" s="13" t="s">
        <v>10113</v>
      </c>
      <c r="I10794" s="40" t="s">
        <v>18</v>
      </c>
      <c r="J10794" s="40" t="str">
        <f>HYPERLINK("https://stock.pstatic.net/stock-research/company/39/20250721_company_722340000.pdf","PDF")</f>
        <v>PDF</v>
      </c>
      <c r="K10794" s="12" t="s">
        <v>20031</v>
      </c>
      <c r="L10794" s="20">
        <v>0.24770642201834861</v>
      </c>
    </row>
    <row r="10795" spans="1:12" x14ac:dyDescent="0.45">
      <c r="A10795" s="12" t="s">
        <v>19959</v>
      </c>
      <c r="B10795" s="12" t="s">
        <v>398</v>
      </c>
      <c r="C10795" s="13" t="s">
        <v>399</v>
      </c>
      <c r="D10795" s="13" t="s">
        <v>44</v>
      </c>
      <c r="E10795" s="12" t="s">
        <v>35</v>
      </c>
      <c r="F10795" s="14">
        <v>190000</v>
      </c>
      <c r="G10795" s="14">
        <v>156900</v>
      </c>
      <c r="H10795" s="13" t="s">
        <v>20032</v>
      </c>
      <c r="I10795" s="40" t="s">
        <v>18</v>
      </c>
      <c r="J10795" s="40" t="str">
        <f>HYPERLINK("https://stock.pstatic.net/stock-research/company/39/20250721_company_410134000.pdf","PDF")</f>
        <v>PDF</v>
      </c>
      <c r="K10795" s="12" t="s">
        <v>20033</v>
      </c>
      <c r="L10795" s="20">
        <v>0.21096239643084769</v>
      </c>
    </row>
    <row r="10796" spans="1:12" x14ac:dyDescent="0.45">
      <c r="A10796" s="12" t="s">
        <v>19959</v>
      </c>
      <c r="B10796" s="12" t="s">
        <v>3164</v>
      </c>
      <c r="C10796" s="13" t="s">
        <v>3165</v>
      </c>
      <c r="D10796" s="13" t="s">
        <v>44</v>
      </c>
      <c r="E10796" s="12" t="s">
        <v>35</v>
      </c>
      <c r="F10796" s="14">
        <v>102000</v>
      </c>
      <c r="G10796" s="14">
        <v>70900</v>
      </c>
      <c r="H10796" s="13" t="s">
        <v>20034</v>
      </c>
      <c r="I10796" s="40" t="s">
        <v>18</v>
      </c>
      <c r="J10796" s="40" t="str">
        <f>HYPERLINK("https://stock.pstatic.net/stock-research/company/39/20250721_company_682329000.pdf","PDF")</f>
        <v>PDF</v>
      </c>
      <c r="K10796" s="12" t="s">
        <v>20035</v>
      </c>
      <c r="L10796" s="20">
        <v>0.43864598025387869</v>
      </c>
    </row>
    <row r="10797" spans="1:12" x14ac:dyDescent="0.45">
      <c r="A10797" s="12" t="s">
        <v>19959</v>
      </c>
      <c r="B10797" s="12" t="s">
        <v>485</v>
      </c>
      <c r="C10797" s="13" t="s">
        <v>486</v>
      </c>
      <c r="D10797" s="13" t="s">
        <v>44</v>
      </c>
      <c r="E10797" s="12" t="s">
        <v>35</v>
      </c>
      <c r="F10797" s="14">
        <v>190000</v>
      </c>
      <c r="G10797" s="14">
        <v>153500</v>
      </c>
      <c r="H10797" s="13" t="s">
        <v>20036</v>
      </c>
      <c r="I10797" s="40" t="s">
        <v>18</v>
      </c>
      <c r="J10797" s="40" t="str">
        <f>HYPERLINK("https://stock.pstatic.net/stock-research/company/39/20250721_company_382860000.pdf","PDF")</f>
        <v>PDF</v>
      </c>
      <c r="K10797" s="12" t="s">
        <v>20037</v>
      </c>
      <c r="L10797" s="20">
        <v>0.23778501628664489</v>
      </c>
    </row>
    <row r="10798" spans="1:12" x14ac:dyDescent="0.45">
      <c r="A10798" s="12" t="s">
        <v>19959</v>
      </c>
      <c r="B10798" s="12" t="s">
        <v>1789</v>
      </c>
      <c r="C10798" s="13" t="s">
        <v>1790</v>
      </c>
      <c r="D10798" s="13" t="s">
        <v>44</v>
      </c>
      <c r="E10798" s="12" t="s">
        <v>35</v>
      </c>
      <c r="F10798" s="14">
        <v>33000</v>
      </c>
      <c r="G10798" s="14">
        <v>26450</v>
      </c>
      <c r="H10798" s="13" t="s">
        <v>20038</v>
      </c>
      <c r="I10798" s="40" t="s">
        <v>18</v>
      </c>
      <c r="J10798" s="40" t="str">
        <f>HYPERLINK("https://m.stock.naver.com/research/company/84517","PDF")</f>
        <v>PDF</v>
      </c>
      <c r="K10798" s="12" t="s">
        <v>20039</v>
      </c>
      <c r="L10798" s="20">
        <v>0.24763705103969749</v>
      </c>
    </row>
    <row r="10799" spans="1:12" x14ac:dyDescent="0.45">
      <c r="A10799" s="12" t="s">
        <v>19959</v>
      </c>
      <c r="B10799" s="12" t="s">
        <v>13</v>
      </c>
      <c r="C10799" s="13" t="s">
        <v>14</v>
      </c>
      <c r="D10799" s="13" t="s">
        <v>44</v>
      </c>
      <c r="E10799" s="12" t="s">
        <v>35</v>
      </c>
      <c r="F10799" s="14">
        <v>89000</v>
      </c>
      <c r="G10799" s="14">
        <v>67100</v>
      </c>
      <c r="H10799" s="13" t="s">
        <v>20040</v>
      </c>
      <c r="I10799" s="40" t="s">
        <v>18</v>
      </c>
      <c r="J10799" s="40" t="str">
        <f>HYPERLINK("https://m.stock.naver.com/research/company/84516","PDF")</f>
        <v>PDF</v>
      </c>
      <c r="K10799" s="12" t="s">
        <v>20041</v>
      </c>
      <c r="L10799" s="20">
        <v>0.3263785394932936</v>
      </c>
    </row>
    <row r="10800" spans="1:12" x14ac:dyDescent="0.45">
      <c r="A10800" s="12" t="s">
        <v>19959</v>
      </c>
      <c r="B10800" s="12" t="s">
        <v>291</v>
      </c>
      <c r="C10800" s="13" t="s">
        <v>292</v>
      </c>
      <c r="D10800" s="13" t="s">
        <v>124</v>
      </c>
      <c r="E10800" s="12" t="s">
        <v>50</v>
      </c>
      <c r="F10800" s="13"/>
      <c r="G10800" s="13"/>
      <c r="H10800" s="13" t="s">
        <v>20042</v>
      </c>
      <c r="I10800" s="40" t="s">
        <v>18</v>
      </c>
      <c r="J10800" s="40" t="str">
        <f>HYPERLINK("https://stock.pstatic.net/stock-research/company/74/20250721_company_146382000.pdf","PDF")</f>
        <v>PDF</v>
      </c>
      <c r="K10800" s="12" t="s">
        <v>20043</v>
      </c>
    </row>
    <row r="10801" spans="1:12" x14ac:dyDescent="0.45">
      <c r="A10801" s="12" t="s">
        <v>19959</v>
      </c>
      <c r="B10801" s="12" t="s">
        <v>2378</v>
      </c>
      <c r="C10801" s="13" t="s">
        <v>2379</v>
      </c>
      <c r="D10801" s="13" t="s">
        <v>15</v>
      </c>
      <c r="E10801" s="12" t="s">
        <v>16</v>
      </c>
      <c r="F10801" s="14">
        <v>420000</v>
      </c>
      <c r="G10801" s="14">
        <v>322500</v>
      </c>
      <c r="H10801" s="13" t="s">
        <v>20044</v>
      </c>
      <c r="I10801" s="40" t="s">
        <v>18</v>
      </c>
      <c r="J10801" s="40" t="str">
        <f>HYPERLINK("https://stock.pstatic.net/stock-research/company/29/20250721_company_100674000.pdf","PDF")</f>
        <v>PDF</v>
      </c>
      <c r="K10801" s="12" t="s">
        <v>20045</v>
      </c>
      <c r="L10801" s="20">
        <v>0.30232558139534882</v>
      </c>
    </row>
    <row r="10802" spans="1:12" x14ac:dyDescent="0.45">
      <c r="A10802" s="12" t="s">
        <v>19959</v>
      </c>
      <c r="B10802" s="12" t="s">
        <v>3164</v>
      </c>
      <c r="C10802" s="13" t="s">
        <v>3165</v>
      </c>
      <c r="D10802" s="13" t="s">
        <v>53</v>
      </c>
      <c r="E10802" s="12" t="s">
        <v>16</v>
      </c>
      <c r="F10802" s="14">
        <v>85000</v>
      </c>
      <c r="G10802" s="14">
        <v>70900</v>
      </c>
      <c r="H10802" s="13" t="s">
        <v>20046</v>
      </c>
      <c r="I10802" s="40" t="s">
        <v>18</v>
      </c>
      <c r="J10802" s="40" t="str">
        <f>HYPERLINK("https://stock.pstatic.net/stock-research/company/40/20250721_company_500526000.pdf","PDF")</f>
        <v>PDF</v>
      </c>
      <c r="K10802" s="12" t="s">
        <v>20047</v>
      </c>
      <c r="L10802" s="20">
        <v>0.19887165021156561</v>
      </c>
    </row>
    <row r="10803" spans="1:12" x14ac:dyDescent="0.45">
      <c r="A10803" s="12" t="s">
        <v>20048</v>
      </c>
      <c r="B10803" s="12" t="s">
        <v>485</v>
      </c>
      <c r="C10803" s="13" t="s">
        <v>486</v>
      </c>
      <c r="D10803" s="13" t="s">
        <v>276</v>
      </c>
      <c r="E10803" s="12" t="s">
        <v>16</v>
      </c>
      <c r="F10803" s="14">
        <v>200000</v>
      </c>
      <c r="G10803" s="14">
        <v>142800</v>
      </c>
      <c r="H10803" s="13" t="s">
        <v>20049</v>
      </c>
      <c r="I10803" s="40" t="s">
        <v>18</v>
      </c>
      <c r="J10803" s="40" t="str">
        <f>HYPERLINK("https://stock.pstatic.net/stock-research/company/66/20250718_company_685284000.pdf","PDF")</f>
        <v>PDF</v>
      </c>
      <c r="K10803" s="12" t="s">
        <v>20050</v>
      </c>
      <c r="L10803" s="20">
        <v>0.40056022408963587</v>
      </c>
    </row>
    <row r="10804" spans="1:12" x14ac:dyDescent="0.45">
      <c r="A10804" s="12" t="s">
        <v>20048</v>
      </c>
      <c r="B10804" s="12" t="s">
        <v>1666</v>
      </c>
      <c r="C10804" s="13" t="s">
        <v>1667</v>
      </c>
      <c r="D10804" s="13" t="s">
        <v>276</v>
      </c>
      <c r="E10804" s="12" t="s">
        <v>16</v>
      </c>
      <c r="F10804" s="14">
        <v>79000</v>
      </c>
      <c r="G10804" s="14">
        <v>60000</v>
      </c>
      <c r="H10804" s="13" t="s">
        <v>20051</v>
      </c>
      <c r="I10804" s="40" t="s">
        <v>18</v>
      </c>
      <c r="J10804" s="40" t="str">
        <f>HYPERLINK("https://m.stock.naver.com/research/company/84511","PDF")</f>
        <v>PDF</v>
      </c>
      <c r="K10804" s="12" t="s">
        <v>20052</v>
      </c>
      <c r="L10804" s="20">
        <v>0.31666666666666671</v>
      </c>
    </row>
    <row r="10805" spans="1:12" x14ac:dyDescent="0.45">
      <c r="A10805" s="12" t="s">
        <v>20048</v>
      </c>
      <c r="B10805" s="12" t="s">
        <v>2982</v>
      </c>
      <c r="C10805" s="13" t="s">
        <v>2983</v>
      </c>
      <c r="D10805" s="13" t="s">
        <v>60</v>
      </c>
      <c r="E10805" s="12" t="s">
        <v>35</v>
      </c>
      <c r="F10805" s="14">
        <v>66000</v>
      </c>
      <c r="G10805" s="14">
        <v>49450</v>
      </c>
      <c r="H10805" s="13" t="s">
        <v>20053</v>
      </c>
      <c r="I10805" s="40" t="s">
        <v>18</v>
      </c>
      <c r="J10805" s="40" t="str">
        <f>HYPERLINK("https://stock.pstatic.net/stock-research/company/34/20250718_company_790704000.pdf","PDF")</f>
        <v>PDF</v>
      </c>
      <c r="K10805" s="12" t="s">
        <v>20054</v>
      </c>
      <c r="L10805" s="20">
        <v>0.33468149646107181</v>
      </c>
    </row>
    <row r="10806" spans="1:12" x14ac:dyDescent="0.45">
      <c r="A10806" s="12" t="s">
        <v>20048</v>
      </c>
      <c r="B10806" s="12" t="s">
        <v>3831</v>
      </c>
      <c r="C10806" s="13" t="s">
        <v>3832</v>
      </c>
      <c r="D10806" s="13" t="s">
        <v>60</v>
      </c>
      <c r="E10806" s="12" t="s">
        <v>35</v>
      </c>
      <c r="F10806" s="14">
        <v>53000</v>
      </c>
      <c r="G10806" s="14">
        <v>34750</v>
      </c>
      <c r="H10806" s="13" t="s">
        <v>20055</v>
      </c>
      <c r="I10806" s="40" t="s">
        <v>18</v>
      </c>
      <c r="J10806" s="40" t="str">
        <f>HYPERLINK("https://m.stock.naver.com/research/company/84509","PDF")</f>
        <v>PDF</v>
      </c>
      <c r="K10806" s="12" t="s">
        <v>20056</v>
      </c>
      <c r="L10806" s="20">
        <v>0.52517985611510787</v>
      </c>
    </row>
    <row r="10807" spans="1:12" x14ac:dyDescent="0.45">
      <c r="A10807" s="12" t="s">
        <v>20048</v>
      </c>
      <c r="B10807" s="12" t="s">
        <v>132</v>
      </c>
      <c r="C10807" s="13" t="s">
        <v>133</v>
      </c>
      <c r="D10807" s="13" t="s">
        <v>65</v>
      </c>
      <c r="E10807" s="12" t="s">
        <v>35</v>
      </c>
      <c r="F10807" s="14">
        <v>100000</v>
      </c>
      <c r="G10807" s="14">
        <v>79200</v>
      </c>
      <c r="H10807" s="13" t="s">
        <v>20057</v>
      </c>
      <c r="I10807" s="40" t="s">
        <v>18</v>
      </c>
      <c r="J10807" s="40" t="str">
        <f>HYPERLINK("https://stock.pstatic.net/stock-research/company/57/20250718_company_572231000.pdf","PDF")</f>
        <v>PDF</v>
      </c>
      <c r="K10807" s="12" t="s">
        <v>20058</v>
      </c>
      <c r="L10807" s="20">
        <v>0.26262626262626271</v>
      </c>
    </row>
    <row r="10808" spans="1:12" x14ac:dyDescent="0.45">
      <c r="A10808" s="12" t="s">
        <v>20048</v>
      </c>
      <c r="B10808" s="12" t="s">
        <v>752</v>
      </c>
      <c r="C10808" s="13" t="s">
        <v>753</v>
      </c>
      <c r="D10808" s="13" t="s">
        <v>65</v>
      </c>
      <c r="E10808" s="12" t="s">
        <v>35</v>
      </c>
      <c r="F10808" s="14">
        <v>76000</v>
      </c>
      <c r="G10808" s="14">
        <v>59800</v>
      </c>
      <c r="H10808" s="13" t="s">
        <v>20059</v>
      </c>
      <c r="I10808" s="40" t="s">
        <v>18</v>
      </c>
      <c r="J10808" s="40" t="str">
        <f>HYPERLINK("https://stock.pstatic.net/stock-research/company/57/20250718_company_536743000.pdf","PDF")</f>
        <v>PDF</v>
      </c>
      <c r="K10808" s="12" t="s">
        <v>20060</v>
      </c>
      <c r="L10808" s="20">
        <v>0.2709030100334448</v>
      </c>
    </row>
    <row r="10809" spans="1:12" x14ac:dyDescent="0.45">
      <c r="A10809" s="12" t="s">
        <v>20048</v>
      </c>
      <c r="B10809" s="12" t="s">
        <v>1849</v>
      </c>
      <c r="C10809" s="13" t="s">
        <v>1850</v>
      </c>
      <c r="D10809" s="13" t="s">
        <v>57</v>
      </c>
      <c r="E10809" s="12" t="s">
        <v>35</v>
      </c>
      <c r="F10809" s="14">
        <v>28000</v>
      </c>
      <c r="G10809" s="14">
        <v>20650</v>
      </c>
      <c r="H10809" s="13" t="s">
        <v>20061</v>
      </c>
      <c r="I10809" s="40" t="s">
        <v>18</v>
      </c>
      <c r="J10809" s="40" t="str">
        <f>HYPERLINK("https://stock.pstatic.net/stock-research/company/16/20250718_company_691231000.pdf","PDF")</f>
        <v>PDF</v>
      </c>
      <c r="K10809" s="12" t="s">
        <v>20062</v>
      </c>
      <c r="L10809" s="20">
        <v>0.3559322033898305</v>
      </c>
    </row>
    <row r="10810" spans="1:12" x14ac:dyDescent="0.45">
      <c r="A10810" s="12" t="s">
        <v>20048</v>
      </c>
      <c r="B10810" s="12" t="s">
        <v>6328</v>
      </c>
      <c r="C10810" s="13" t="s">
        <v>6329</v>
      </c>
      <c r="D10810" s="13" t="s">
        <v>158</v>
      </c>
      <c r="E10810" s="12" t="s">
        <v>50</v>
      </c>
      <c r="F10810" s="13"/>
      <c r="G10810" s="14">
        <v>6450</v>
      </c>
      <c r="H10810" s="13" t="s">
        <v>20063</v>
      </c>
      <c r="I10810" s="40" t="s">
        <v>18</v>
      </c>
      <c r="J10810" s="40" t="str">
        <f>HYPERLINK("https://stock.pstatic.net/stock-research/company/18/20250718_company_404496000.pdf","PDF")</f>
        <v>PDF</v>
      </c>
      <c r="K10810" s="12" t="s">
        <v>20064</v>
      </c>
    </row>
    <row r="10811" spans="1:12" x14ac:dyDescent="0.45">
      <c r="A10811" s="12" t="s">
        <v>20048</v>
      </c>
      <c r="B10811" s="12" t="s">
        <v>2795</v>
      </c>
      <c r="C10811" s="13" t="s">
        <v>2796</v>
      </c>
      <c r="D10811" s="13" t="s">
        <v>158</v>
      </c>
      <c r="E10811" s="12" t="s">
        <v>35</v>
      </c>
      <c r="F10811" s="14">
        <v>5000</v>
      </c>
      <c r="G10811" s="14">
        <v>4065</v>
      </c>
      <c r="H10811" s="13" t="s">
        <v>20065</v>
      </c>
      <c r="I10811" s="40" t="s">
        <v>18</v>
      </c>
      <c r="J10811" s="40" t="str">
        <f>HYPERLINK("https://m.stock.naver.com/research/company/84504","PDF")</f>
        <v>PDF</v>
      </c>
      <c r="K10811" s="12" t="s">
        <v>20066</v>
      </c>
      <c r="L10811" s="20">
        <v>0.2300123001230012</v>
      </c>
    </row>
    <row r="10812" spans="1:12" x14ac:dyDescent="0.45">
      <c r="A10812" s="12" t="s">
        <v>20048</v>
      </c>
      <c r="B10812" s="12" t="s">
        <v>10321</v>
      </c>
      <c r="C10812" s="13" t="s">
        <v>10322</v>
      </c>
      <c r="D10812" s="13" t="s">
        <v>92</v>
      </c>
      <c r="E10812" s="12" t="s">
        <v>50</v>
      </c>
      <c r="F10812" s="13"/>
      <c r="G10812" s="14">
        <v>10340</v>
      </c>
      <c r="H10812" s="13" t="s">
        <v>20067</v>
      </c>
      <c r="I10812" s="40" t="s">
        <v>18</v>
      </c>
      <c r="J10812" s="40" t="str">
        <f>HYPERLINK("https://stock.pstatic.net/stock-research/company/1/20250718_company_841733000.pdf","PDF")</f>
        <v>PDF</v>
      </c>
      <c r="K10812" s="12" t="s">
        <v>20068</v>
      </c>
    </row>
    <row r="10813" spans="1:12" x14ac:dyDescent="0.45">
      <c r="A10813" s="12" t="s">
        <v>20048</v>
      </c>
      <c r="B10813" s="12" t="s">
        <v>1682</v>
      </c>
      <c r="C10813" s="13" t="s">
        <v>4787</v>
      </c>
      <c r="D10813" s="13" t="s">
        <v>92</v>
      </c>
      <c r="E10813" s="12" t="s">
        <v>35</v>
      </c>
      <c r="F10813" s="14">
        <v>250000</v>
      </c>
      <c r="G10813" s="14">
        <v>212000</v>
      </c>
      <c r="H10813" s="13" t="s">
        <v>20069</v>
      </c>
      <c r="I10813" s="40" t="s">
        <v>18</v>
      </c>
      <c r="J10813" s="40" t="str">
        <f>HYPERLINK("https://stock.pstatic.net/stock-research/company/63/20250718_company_877933000.pdf","PDF")</f>
        <v>PDF</v>
      </c>
      <c r="K10813" s="12" t="s">
        <v>20070</v>
      </c>
      <c r="L10813" s="20">
        <v>0.17924528301886791</v>
      </c>
    </row>
    <row r="10814" spans="1:12" x14ac:dyDescent="0.45">
      <c r="A10814" s="12" t="s">
        <v>20048</v>
      </c>
      <c r="B10814" s="12" t="s">
        <v>6784</v>
      </c>
      <c r="C10814" s="13" t="s">
        <v>6785</v>
      </c>
      <c r="D10814" s="13" t="s">
        <v>44</v>
      </c>
      <c r="E10814" s="12" t="s">
        <v>50</v>
      </c>
      <c r="F10814" s="13"/>
      <c r="G10814" s="14">
        <v>6440</v>
      </c>
      <c r="H10814" s="13" t="s">
        <v>20071</v>
      </c>
      <c r="I10814" s="40" t="s">
        <v>18</v>
      </c>
      <c r="J10814" s="40" t="str">
        <f>HYPERLINK("https://stock.pstatic.net/stock-research/company/39/20250718_company_203419000.pdf","PDF")</f>
        <v>PDF</v>
      </c>
      <c r="K10814" s="12" t="s">
        <v>20072</v>
      </c>
    </row>
    <row r="10815" spans="1:12" x14ac:dyDescent="0.45">
      <c r="A10815" s="12" t="s">
        <v>20048</v>
      </c>
      <c r="B10815" s="12" t="s">
        <v>1308</v>
      </c>
      <c r="C10815" s="13" t="s">
        <v>1309</v>
      </c>
      <c r="D10815" s="13" t="s">
        <v>92</v>
      </c>
      <c r="E10815" s="12" t="s">
        <v>35</v>
      </c>
      <c r="F10815" s="14">
        <v>497000</v>
      </c>
      <c r="G10815" s="14">
        <v>410500</v>
      </c>
      <c r="H10815" s="13" t="s">
        <v>20073</v>
      </c>
      <c r="I10815" s="40" t="s">
        <v>18</v>
      </c>
      <c r="J10815" s="40" t="str">
        <f>HYPERLINK("https://stock.pstatic.net/stock-research/company/1/20250718_company_712973000.pdf","PDF")</f>
        <v>PDF</v>
      </c>
      <c r="K10815" s="12" t="s">
        <v>20074</v>
      </c>
      <c r="L10815" s="20">
        <v>0.21071863580998779</v>
      </c>
    </row>
    <row r="10816" spans="1:12" x14ac:dyDescent="0.45">
      <c r="A10816" s="12" t="s">
        <v>20048</v>
      </c>
      <c r="B10816" s="12" t="s">
        <v>1407</v>
      </c>
      <c r="C10816" s="13" t="s">
        <v>1408</v>
      </c>
      <c r="D10816" s="13" t="s">
        <v>92</v>
      </c>
      <c r="E10816" s="12" t="s">
        <v>35</v>
      </c>
      <c r="F10816" s="14">
        <v>61000</v>
      </c>
      <c r="G10816" s="14">
        <v>51200</v>
      </c>
      <c r="H10816" s="13" t="s">
        <v>20075</v>
      </c>
      <c r="I10816" s="40" t="s">
        <v>18</v>
      </c>
      <c r="J10816" s="40" t="str">
        <f>HYPERLINK("https://stock.pstatic.net/stock-research/company/63/20250718_company_900291000.pdf","PDF")</f>
        <v>PDF</v>
      </c>
      <c r="K10816" s="12" t="s">
        <v>20076</v>
      </c>
      <c r="L10816" s="20">
        <v>0.19140625</v>
      </c>
    </row>
    <row r="10817" spans="1:12" x14ac:dyDescent="0.45">
      <c r="A10817" s="12" t="s">
        <v>20048</v>
      </c>
      <c r="B10817" s="12" t="s">
        <v>1666</v>
      </c>
      <c r="C10817" s="13" t="s">
        <v>1667</v>
      </c>
      <c r="D10817" s="13" t="s">
        <v>23</v>
      </c>
      <c r="E10817" s="12" t="s">
        <v>16</v>
      </c>
      <c r="F10817" s="14">
        <v>82000</v>
      </c>
      <c r="G10817" s="14">
        <v>60000</v>
      </c>
      <c r="H10817" s="13" t="s">
        <v>20077</v>
      </c>
      <c r="I10817" s="40" t="s">
        <v>18</v>
      </c>
      <c r="J10817" s="40" t="str">
        <f>HYPERLINK("https://stock.pstatic.net/stock-research/company/21/20250718_company_558470000.pdf","PDF")</f>
        <v>PDF</v>
      </c>
      <c r="K10817" s="12" t="s">
        <v>20078</v>
      </c>
      <c r="L10817" s="20">
        <v>0.36666666666666659</v>
      </c>
    </row>
    <row r="10818" spans="1:12" x14ac:dyDescent="0.45">
      <c r="A10818" s="12" t="s">
        <v>20048</v>
      </c>
      <c r="B10818" s="12" t="s">
        <v>511</v>
      </c>
      <c r="C10818" s="13" t="s">
        <v>512</v>
      </c>
      <c r="D10818" s="13" t="s">
        <v>23</v>
      </c>
      <c r="E10818" s="12" t="s">
        <v>16</v>
      </c>
      <c r="F10818" s="14">
        <v>120000</v>
      </c>
      <c r="G10818" s="14">
        <v>88200</v>
      </c>
      <c r="H10818" s="13" t="s">
        <v>20079</v>
      </c>
      <c r="I10818" s="40" t="s">
        <v>18</v>
      </c>
      <c r="J10818" s="40" t="str">
        <f>HYPERLINK("https://stock.pstatic.net/stock-research/company/21/20250718_company_796538000.pdf","PDF")</f>
        <v>PDF</v>
      </c>
      <c r="K10818" s="12" t="s">
        <v>20080</v>
      </c>
      <c r="L10818" s="20">
        <v>0.36054421768707479</v>
      </c>
    </row>
    <row r="10819" spans="1:12" x14ac:dyDescent="0.45">
      <c r="A10819" s="12" t="s">
        <v>20048</v>
      </c>
      <c r="B10819" s="12" t="s">
        <v>485</v>
      </c>
      <c r="C10819" s="13" t="s">
        <v>486</v>
      </c>
      <c r="D10819" s="13" t="s">
        <v>179</v>
      </c>
      <c r="E10819" s="12" t="s">
        <v>16</v>
      </c>
      <c r="F10819" s="14">
        <v>200000</v>
      </c>
      <c r="G10819" s="14">
        <v>142800</v>
      </c>
      <c r="H10819" s="13" t="s">
        <v>20081</v>
      </c>
      <c r="I10819" s="40" t="s">
        <v>18</v>
      </c>
      <c r="J10819" s="40" t="str">
        <f>HYPERLINK("https://stock.pstatic.net/stock-research/company/64/20250718_company_841364000.pdf","PDF")</f>
        <v>PDF</v>
      </c>
      <c r="K10819" s="12" t="s">
        <v>20082</v>
      </c>
      <c r="L10819" s="20">
        <v>0.40056022408963587</v>
      </c>
    </row>
    <row r="10820" spans="1:12" x14ac:dyDescent="0.45">
      <c r="A10820" s="12" t="s">
        <v>20048</v>
      </c>
      <c r="B10820" s="12" t="s">
        <v>1087</v>
      </c>
      <c r="C10820" s="13" t="s">
        <v>1088</v>
      </c>
      <c r="D10820" s="13" t="s">
        <v>53</v>
      </c>
      <c r="E10820" s="12" t="s">
        <v>16</v>
      </c>
      <c r="F10820" s="14">
        <v>112000</v>
      </c>
      <c r="G10820" s="14">
        <v>88900</v>
      </c>
      <c r="H10820" s="13" t="s">
        <v>20083</v>
      </c>
      <c r="I10820" s="40" t="s">
        <v>18</v>
      </c>
      <c r="J10820" s="40" t="str">
        <f>HYPERLINK("https://stock.pstatic.net/stock-research/company/1/20250718_company_869627000.pdf","PDF")</f>
        <v>PDF</v>
      </c>
      <c r="K10820" s="12" t="s">
        <v>20084</v>
      </c>
      <c r="L10820" s="20">
        <v>0.25984251968503941</v>
      </c>
    </row>
    <row r="10821" spans="1:12" x14ac:dyDescent="0.45">
      <c r="A10821" s="12" t="s">
        <v>20048</v>
      </c>
      <c r="B10821" s="12" t="s">
        <v>868</v>
      </c>
      <c r="C10821" s="13" t="s">
        <v>869</v>
      </c>
      <c r="D10821" s="13" t="s">
        <v>44</v>
      </c>
      <c r="E10821" s="12" t="s">
        <v>35</v>
      </c>
      <c r="F10821" s="14">
        <v>63000</v>
      </c>
      <c r="G10821" s="14">
        <v>40850</v>
      </c>
      <c r="H10821" s="13" t="s">
        <v>20085</v>
      </c>
      <c r="I10821" s="40" t="s">
        <v>18</v>
      </c>
      <c r="J10821" s="40" t="str">
        <f>HYPERLINK("https://stock.pstatic.net/stock-research/company/39/20250718_company_852561000.pdf","PDF")</f>
        <v>PDF</v>
      </c>
      <c r="K10821" s="12" t="s">
        <v>20086</v>
      </c>
      <c r="L10821" s="20">
        <v>0.54222766217870255</v>
      </c>
    </row>
    <row r="10822" spans="1:12" x14ac:dyDescent="0.45">
      <c r="A10822" s="12" t="s">
        <v>20048</v>
      </c>
      <c r="B10822" s="12" t="s">
        <v>1227</v>
      </c>
      <c r="C10822" s="13" t="s">
        <v>1228</v>
      </c>
      <c r="D10822" s="13" t="s">
        <v>124</v>
      </c>
      <c r="E10822" s="12" t="s">
        <v>50</v>
      </c>
      <c r="F10822" s="13"/>
      <c r="G10822" s="13"/>
      <c r="H10822" s="13" t="s">
        <v>20087</v>
      </c>
      <c r="I10822" s="40" t="s">
        <v>18</v>
      </c>
      <c r="J10822" s="40" t="str">
        <f>HYPERLINK("https://stock.pstatic.net/stock-research/company/74/20250718_company_82367000.pdf","PDF")</f>
        <v>PDF</v>
      </c>
      <c r="K10822" s="12" t="s">
        <v>20088</v>
      </c>
    </row>
    <row r="10823" spans="1:12" x14ac:dyDescent="0.45">
      <c r="A10823" s="12" t="s">
        <v>20048</v>
      </c>
      <c r="B10823" s="12" t="s">
        <v>2795</v>
      </c>
      <c r="C10823" s="13" t="s">
        <v>2796</v>
      </c>
      <c r="D10823" s="13" t="s">
        <v>15</v>
      </c>
      <c r="E10823" s="12" t="s">
        <v>16</v>
      </c>
      <c r="F10823" s="14">
        <v>5500</v>
      </c>
      <c r="G10823" s="14">
        <v>4065</v>
      </c>
      <c r="H10823" s="13" t="s">
        <v>20089</v>
      </c>
      <c r="I10823" s="40" t="s">
        <v>18</v>
      </c>
      <c r="J10823" s="40" t="str">
        <f>HYPERLINK("https://m.stock.naver.com/research/company/84492","PDF")</f>
        <v>PDF</v>
      </c>
      <c r="K10823" s="12" t="s">
        <v>20090</v>
      </c>
      <c r="L10823" s="20">
        <v>0.35301353013530129</v>
      </c>
    </row>
    <row r="10824" spans="1:12" x14ac:dyDescent="0.45">
      <c r="A10824" s="12" t="s">
        <v>20048</v>
      </c>
      <c r="B10824" s="12" t="s">
        <v>8861</v>
      </c>
      <c r="C10824" s="13" t="s">
        <v>8862</v>
      </c>
      <c r="D10824" s="13" t="s">
        <v>53</v>
      </c>
      <c r="E10824" s="12" t="s">
        <v>16</v>
      </c>
      <c r="F10824" s="14">
        <v>33000</v>
      </c>
      <c r="G10824" s="14">
        <v>24200</v>
      </c>
      <c r="H10824" s="13" t="s">
        <v>20091</v>
      </c>
      <c r="I10824" s="40" t="s">
        <v>18</v>
      </c>
      <c r="J10824" s="40" t="str">
        <f>HYPERLINK("https://m.stock.naver.com/research/company/84491","PDF")</f>
        <v>PDF</v>
      </c>
      <c r="K10824" s="12" t="s">
        <v>20092</v>
      </c>
      <c r="L10824" s="20">
        <v>0.36363636363636359</v>
      </c>
    </row>
    <row r="10825" spans="1:12" x14ac:dyDescent="0.45">
      <c r="A10825" s="12" t="s">
        <v>20048</v>
      </c>
      <c r="B10825" s="12" t="s">
        <v>20093</v>
      </c>
      <c r="C10825" s="13" t="s">
        <v>20094</v>
      </c>
      <c r="D10825" s="13" t="s">
        <v>207</v>
      </c>
      <c r="E10825" s="12" t="s">
        <v>50</v>
      </c>
      <c r="F10825" s="13"/>
      <c r="G10825" s="13"/>
      <c r="H10825" s="13" t="s">
        <v>20095</v>
      </c>
      <c r="I10825" s="40" t="s">
        <v>18</v>
      </c>
      <c r="J10825" s="40" t="str">
        <f>HYPERLINK("https://m.stock.naver.com/research/company/84490","PDF")</f>
        <v>PDF</v>
      </c>
      <c r="K10825" s="12" t="s">
        <v>20096</v>
      </c>
    </row>
    <row r="10826" spans="1:12" x14ac:dyDescent="0.45">
      <c r="A10826" s="12" t="s">
        <v>20048</v>
      </c>
      <c r="B10826" s="12" t="s">
        <v>20097</v>
      </c>
      <c r="C10826" s="13" t="s">
        <v>20098</v>
      </c>
      <c r="D10826" s="13" t="s">
        <v>202</v>
      </c>
      <c r="E10826" s="12" t="s">
        <v>50</v>
      </c>
      <c r="F10826" s="13"/>
      <c r="G10826" s="13"/>
      <c r="H10826" s="13" t="s">
        <v>20099</v>
      </c>
      <c r="I10826" s="40" t="s">
        <v>18</v>
      </c>
      <c r="J10826" s="40" t="str">
        <f>HYPERLINK("https://stock.pstatic.net/stock-research/company/1/20250718_company_247345000.pdf","PDF")</f>
        <v>PDF</v>
      </c>
      <c r="K10826" s="12" t="s">
        <v>20100</v>
      </c>
    </row>
    <row r="10827" spans="1:12" x14ac:dyDescent="0.45">
      <c r="A10827" s="12" t="s">
        <v>20048</v>
      </c>
      <c r="B10827" s="12" t="s">
        <v>20101</v>
      </c>
      <c r="C10827" s="13" t="s">
        <v>20102</v>
      </c>
      <c r="D10827" s="13" t="s">
        <v>207</v>
      </c>
      <c r="E10827" s="12" t="s">
        <v>50</v>
      </c>
      <c r="F10827" s="13"/>
      <c r="G10827" s="13"/>
      <c r="H10827" s="13" t="s">
        <v>20103</v>
      </c>
      <c r="I10827" s="40" t="s">
        <v>18</v>
      </c>
      <c r="J10827" s="40" t="str">
        <f>HYPERLINK("https://m.stock.naver.com/research/company/84488","PDF")</f>
        <v>PDF</v>
      </c>
      <c r="K10827" s="12" t="s">
        <v>20104</v>
      </c>
    </row>
    <row r="10828" spans="1:12" x14ac:dyDescent="0.45">
      <c r="A10828" s="12" t="s">
        <v>20105</v>
      </c>
      <c r="B10828" s="12" t="s">
        <v>1120</v>
      </c>
      <c r="C10828" s="13" t="s">
        <v>1121</v>
      </c>
      <c r="D10828" s="13" t="s">
        <v>83</v>
      </c>
      <c r="E10828" s="12" t="s">
        <v>35</v>
      </c>
      <c r="F10828" s="14">
        <v>150000</v>
      </c>
      <c r="G10828" s="14">
        <v>118800</v>
      </c>
      <c r="H10828" s="13" t="s">
        <v>20106</v>
      </c>
      <c r="I10828" s="40" t="s">
        <v>18</v>
      </c>
      <c r="J10828" s="40" t="str">
        <f>HYPERLINK("https://m.stock.naver.com/research/company/84487","PDF")</f>
        <v>PDF</v>
      </c>
      <c r="K10828" s="12" t="s">
        <v>20107</v>
      </c>
      <c r="L10828" s="20">
        <v>0.26262626262626271</v>
      </c>
    </row>
    <row r="10829" spans="1:12" x14ac:dyDescent="0.45">
      <c r="A10829" s="12" t="s">
        <v>20105</v>
      </c>
      <c r="B10829" s="12" t="s">
        <v>2795</v>
      </c>
      <c r="C10829" s="13" t="s">
        <v>2796</v>
      </c>
      <c r="D10829" s="13" t="s">
        <v>83</v>
      </c>
      <c r="E10829" s="12" t="s">
        <v>35</v>
      </c>
      <c r="F10829" s="14">
        <v>5000</v>
      </c>
      <c r="G10829" s="14">
        <v>4030</v>
      </c>
      <c r="H10829" s="13" t="s">
        <v>20108</v>
      </c>
      <c r="I10829" s="40" t="s">
        <v>18</v>
      </c>
      <c r="J10829" s="40" t="str">
        <f>HYPERLINK("https://m.stock.naver.com/research/company/84486","PDF")</f>
        <v>PDF</v>
      </c>
      <c r="K10829" s="12" t="s">
        <v>20109</v>
      </c>
      <c r="L10829" s="20">
        <v>0.24069478908188591</v>
      </c>
    </row>
    <row r="10830" spans="1:12" x14ac:dyDescent="0.45">
      <c r="A10830" s="12" t="s">
        <v>20105</v>
      </c>
      <c r="B10830" s="12" t="s">
        <v>2262</v>
      </c>
      <c r="C10830" s="13" t="s">
        <v>2263</v>
      </c>
      <c r="D10830" s="13" t="s">
        <v>83</v>
      </c>
      <c r="E10830" s="12" t="s">
        <v>35</v>
      </c>
      <c r="F10830" s="14">
        <v>17000</v>
      </c>
      <c r="G10830" s="14">
        <v>10790</v>
      </c>
      <c r="H10830" s="13" t="s">
        <v>20110</v>
      </c>
      <c r="I10830" s="40" t="s">
        <v>18</v>
      </c>
      <c r="J10830" s="40" t="str">
        <f>HYPERLINK("https://stock.pstatic.net/stock-research/company/2/20250717_company_345014000.pdf","PDF")</f>
        <v>PDF</v>
      </c>
      <c r="K10830" s="12" t="s">
        <v>20111</v>
      </c>
      <c r="L10830" s="20">
        <v>0.57553290083410569</v>
      </c>
    </row>
    <row r="10831" spans="1:12" x14ac:dyDescent="0.45">
      <c r="A10831" s="12" t="s">
        <v>20105</v>
      </c>
      <c r="B10831" s="12" t="s">
        <v>884</v>
      </c>
      <c r="C10831" s="13" t="s">
        <v>885</v>
      </c>
      <c r="D10831" s="13" t="s">
        <v>57</v>
      </c>
      <c r="E10831" s="12" t="s">
        <v>35</v>
      </c>
      <c r="F10831" s="14">
        <v>3800</v>
      </c>
      <c r="G10831" s="14">
        <v>2775</v>
      </c>
      <c r="H10831" s="13" t="s">
        <v>20112</v>
      </c>
      <c r="I10831" s="40" t="s">
        <v>18</v>
      </c>
      <c r="J10831" s="40" t="str">
        <f>HYPERLINK("https://stock.pstatic.net/stock-research/company/16/20250717_company_641263000.pdf","PDF")</f>
        <v>PDF</v>
      </c>
      <c r="K10831" s="12" t="s">
        <v>20113</v>
      </c>
      <c r="L10831" s="20">
        <v>0.36936936936936943</v>
      </c>
    </row>
    <row r="10832" spans="1:12" x14ac:dyDescent="0.45">
      <c r="A10832" s="12" t="s">
        <v>20105</v>
      </c>
      <c r="B10832" s="12" t="s">
        <v>17418</v>
      </c>
      <c r="C10832" s="13" t="s">
        <v>17419</v>
      </c>
      <c r="D10832" s="13" t="s">
        <v>92</v>
      </c>
      <c r="E10832" s="12" t="s">
        <v>50</v>
      </c>
      <c r="F10832" s="13"/>
      <c r="G10832" s="14">
        <v>13010</v>
      </c>
      <c r="H10832" s="13" t="s">
        <v>20114</v>
      </c>
      <c r="I10832" s="40" t="s">
        <v>18</v>
      </c>
      <c r="J10832" s="40" t="str">
        <f>HYPERLINK("https://m.stock.naver.com/research/company/84483","PDF")</f>
        <v>PDF</v>
      </c>
      <c r="K10832" s="12" t="s">
        <v>20115</v>
      </c>
    </row>
    <row r="10833" spans="1:12" x14ac:dyDescent="0.45">
      <c r="A10833" s="12" t="s">
        <v>20105</v>
      </c>
      <c r="B10833" s="12" t="s">
        <v>438</v>
      </c>
      <c r="C10833" s="13" t="s">
        <v>439</v>
      </c>
      <c r="D10833" s="13" t="s">
        <v>179</v>
      </c>
      <c r="E10833" s="12" t="s">
        <v>16</v>
      </c>
      <c r="F10833" s="14">
        <v>90000</v>
      </c>
      <c r="G10833" s="14">
        <v>66000</v>
      </c>
      <c r="H10833" s="13" t="s">
        <v>20116</v>
      </c>
      <c r="I10833" s="40" t="s">
        <v>18</v>
      </c>
      <c r="J10833" s="40" t="str">
        <f>HYPERLINK("https://m.stock.naver.com/research/company/84482","PDF")</f>
        <v>PDF</v>
      </c>
      <c r="K10833" s="12" t="s">
        <v>20117</v>
      </c>
      <c r="L10833" s="20">
        <v>0.36363636363636359</v>
      </c>
    </row>
    <row r="10834" spans="1:12" x14ac:dyDescent="0.45">
      <c r="A10834" s="12" t="s">
        <v>20105</v>
      </c>
      <c r="B10834" s="12" t="s">
        <v>1930</v>
      </c>
      <c r="C10834" s="13" t="s">
        <v>1931</v>
      </c>
      <c r="D10834" s="13" t="s">
        <v>92</v>
      </c>
      <c r="E10834" s="12" t="s">
        <v>35</v>
      </c>
      <c r="F10834" s="14">
        <v>308000</v>
      </c>
      <c r="G10834" s="14">
        <v>252500</v>
      </c>
      <c r="H10834" s="13" t="s">
        <v>20118</v>
      </c>
      <c r="I10834" s="40" t="s">
        <v>18</v>
      </c>
      <c r="J10834" s="40" t="str">
        <f>HYPERLINK("https://m.stock.naver.com/research/company/84481","PDF")</f>
        <v>PDF</v>
      </c>
      <c r="K10834" s="12" t="s">
        <v>20119</v>
      </c>
      <c r="L10834" s="20">
        <v>0.2198019801980198</v>
      </c>
    </row>
    <row r="10835" spans="1:12" x14ac:dyDescent="0.45">
      <c r="A10835" s="12" t="s">
        <v>20105</v>
      </c>
      <c r="B10835" s="12" t="s">
        <v>545</v>
      </c>
      <c r="C10835" s="13" t="s">
        <v>546</v>
      </c>
      <c r="D10835" s="13" t="s">
        <v>179</v>
      </c>
      <c r="E10835" s="12" t="s">
        <v>16</v>
      </c>
      <c r="F10835" s="14">
        <v>250000</v>
      </c>
      <c r="G10835" s="14">
        <v>211500</v>
      </c>
      <c r="H10835" s="13" t="s">
        <v>20120</v>
      </c>
      <c r="I10835" s="40" t="s">
        <v>18</v>
      </c>
      <c r="J10835" s="40" t="str">
        <f>HYPERLINK("https://m.stock.naver.com/research/company/84480","PDF")</f>
        <v>PDF</v>
      </c>
      <c r="K10835" s="12" t="s">
        <v>20121</v>
      </c>
      <c r="L10835" s="20">
        <v>0.18203309692671399</v>
      </c>
    </row>
    <row r="10836" spans="1:12" x14ac:dyDescent="0.45">
      <c r="A10836" s="12" t="s">
        <v>20105</v>
      </c>
      <c r="B10836" s="12" t="s">
        <v>1682</v>
      </c>
      <c r="C10836" s="13" t="s">
        <v>4787</v>
      </c>
      <c r="D10836" s="13" t="s">
        <v>179</v>
      </c>
      <c r="E10836" s="12" t="s">
        <v>16</v>
      </c>
      <c r="F10836" s="14">
        <v>250000</v>
      </c>
      <c r="G10836" s="14">
        <v>212000</v>
      </c>
      <c r="H10836" s="13" t="s">
        <v>20122</v>
      </c>
      <c r="I10836" s="40" t="s">
        <v>18</v>
      </c>
      <c r="J10836" s="40" t="str">
        <f>HYPERLINK("https://m.stock.naver.com/research/company/84479","PDF")</f>
        <v>PDF</v>
      </c>
      <c r="K10836" s="12" t="s">
        <v>20123</v>
      </c>
      <c r="L10836" s="20">
        <v>0.17924528301886791</v>
      </c>
    </row>
    <row r="10837" spans="1:12" x14ac:dyDescent="0.45">
      <c r="A10837" s="12" t="s">
        <v>20105</v>
      </c>
      <c r="B10837" s="12" t="s">
        <v>1120</v>
      </c>
      <c r="C10837" s="13" t="s">
        <v>1121</v>
      </c>
      <c r="D10837" s="13" t="s">
        <v>53</v>
      </c>
      <c r="E10837" s="12" t="s">
        <v>16</v>
      </c>
      <c r="F10837" s="14">
        <v>145000</v>
      </c>
      <c r="G10837" s="14">
        <v>114000</v>
      </c>
      <c r="H10837" s="13" t="s">
        <v>20124</v>
      </c>
      <c r="I10837" s="40" t="s">
        <v>18</v>
      </c>
      <c r="J10837" s="40" t="str">
        <f>HYPERLINK("https://m.stock.naver.com/research/company/84478","PDF")</f>
        <v>PDF</v>
      </c>
      <c r="K10837" s="12" t="s">
        <v>20125</v>
      </c>
      <c r="L10837" s="20">
        <v>0.27192982456140352</v>
      </c>
    </row>
    <row r="10838" spans="1:12" x14ac:dyDescent="0.45">
      <c r="A10838" s="12" t="s">
        <v>20105</v>
      </c>
      <c r="B10838" s="12" t="s">
        <v>370</v>
      </c>
      <c r="C10838" s="13" t="s">
        <v>371</v>
      </c>
      <c r="D10838" s="13" t="s">
        <v>53</v>
      </c>
      <c r="E10838" s="12" t="s">
        <v>16</v>
      </c>
      <c r="F10838" s="14">
        <v>110000</v>
      </c>
      <c r="G10838" s="14">
        <v>84800</v>
      </c>
      <c r="H10838" s="13" t="s">
        <v>20126</v>
      </c>
      <c r="I10838" s="40" t="s">
        <v>18</v>
      </c>
      <c r="J10838" s="40" t="str">
        <f>HYPERLINK("https://m.stock.naver.com/research/company/84477","PDF")</f>
        <v>PDF</v>
      </c>
      <c r="K10838" s="12" t="s">
        <v>20127</v>
      </c>
      <c r="L10838" s="20">
        <v>0.29716981132075471</v>
      </c>
    </row>
    <row r="10839" spans="1:12" x14ac:dyDescent="0.45">
      <c r="A10839" s="12" t="s">
        <v>20105</v>
      </c>
      <c r="B10839" s="12" t="s">
        <v>2662</v>
      </c>
      <c r="C10839" s="13" t="s">
        <v>2663</v>
      </c>
      <c r="D10839" s="13" t="s">
        <v>23</v>
      </c>
      <c r="E10839" s="12" t="s">
        <v>385</v>
      </c>
      <c r="F10839" s="13"/>
      <c r="G10839" s="14">
        <v>67300</v>
      </c>
      <c r="H10839" s="13" t="s">
        <v>20128</v>
      </c>
      <c r="I10839" s="40" t="s">
        <v>18</v>
      </c>
      <c r="J10839" s="40" t="str">
        <f>HYPERLINK("https://m.stock.naver.com/research/company/84476","PDF")</f>
        <v>PDF</v>
      </c>
      <c r="K10839" s="12" t="s">
        <v>20129</v>
      </c>
    </row>
    <row r="10840" spans="1:12" x14ac:dyDescent="0.45">
      <c r="A10840" s="12" t="s">
        <v>20105</v>
      </c>
      <c r="B10840" s="12" t="s">
        <v>2369</v>
      </c>
      <c r="C10840" s="13" t="s">
        <v>2370</v>
      </c>
      <c r="D10840" s="13" t="s">
        <v>23</v>
      </c>
      <c r="E10840" s="12" t="s">
        <v>16</v>
      </c>
      <c r="F10840" s="14">
        <v>230000</v>
      </c>
      <c r="G10840" s="14">
        <v>176100</v>
      </c>
      <c r="H10840" s="13" t="s">
        <v>20130</v>
      </c>
      <c r="I10840" s="40" t="s">
        <v>18</v>
      </c>
      <c r="J10840" s="40" t="str">
        <f>HYPERLINK("https://m.stock.naver.com/research/company/84475","PDF")</f>
        <v>PDF</v>
      </c>
      <c r="K10840" s="12" t="s">
        <v>20131</v>
      </c>
      <c r="L10840" s="20">
        <v>0.30607609312890399</v>
      </c>
    </row>
    <row r="10841" spans="1:12" x14ac:dyDescent="0.45">
      <c r="A10841" s="12" t="s">
        <v>20105</v>
      </c>
      <c r="B10841" s="12" t="s">
        <v>800</v>
      </c>
      <c r="C10841" s="13" t="s">
        <v>801</v>
      </c>
      <c r="D10841" s="13" t="s">
        <v>53</v>
      </c>
      <c r="E10841" s="12" t="s">
        <v>385</v>
      </c>
      <c r="F10841" s="14">
        <v>32000</v>
      </c>
      <c r="G10841" s="14">
        <v>36800</v>
      </c>
      <c r="H10841" s="13" t="s">
        <v>20132</v>
      </c>
      <c r="I10841" s="40" t="s">
        <v>18</v>
      </c>
      <c r="J10841" s="40" t="str">
        <f>HYPERLINK("https://stock.pstatic.net/stock-research/company/40/20250717_company_31228000.pdf","PDF")</f>
        <v>PDF</v>
      </c>
      <c r="K10841" s="12" t="s">
        <v>20133</v>
      </c>
      <c r="L10841" s="20">
        <v>-0.13043478260869559</v>
      </c>
    </row>
    <row r="10842" spans="1:12" x14ac:dyDescent="0.45">
      <c r="A10842" s="12" t="s">
        <v>20105</v>
      </c>
      <c r="B10842" s="12" t="s">
        <v>3463</v>
      </c>
      <c r="C10842" s="13" t="s">
        <v>3464</v>
      </c>
      <c r="D10842" s="13" t="s">
        <v>44</v>
      </c>
      <c r="E10842" s="12" t="s">
        <v>50</v>
      </c>
      <c r="F10842" s="13"/>
      <c r="G10842" s="14">
        <v>13420</v>
      </c>
      <c r="H10842" s="13" t="s">
        <v>20134</v>
      </c>
      <c r="I10842" s="40" t="s">
        <v>18</v>
      </c>
      <c r="J10842" s="40" t="str">
        <f>HYPERLINK("https://stock.pstatic.net/stock-research/company/39/20250717_company_876858000.pdf","PDF")</f>
        <v>PDF</v>
      </c>
      <c r="K10842" s="12" t="s">
        <v>20135</v>
      </c>
    </row>
    <row r="10843" spans="1:12" x14ac:dyDescent="0.45">
      <c r="A10843" s="12" t="s">
        <v>20105</v>
      </c>
      <c r="B10843" s="12" t="s">
        <v>3492</v>
      </c>
      <c r="C10843" s="13" t="s">
        <v>3493</v>
      </c>
      <c r="D10843" s="13" t="s">
        <v>44</v>
      </c>
      <c r="E10843" s="12" t="s">
        <v>35</v>
      </c>
      <c r="F10843" s="14">
        <v>26000</v>
      </c>
      <c r="G10843" s="14">
        <v>20700</v>
      </c>
      <c r="H10843" s="13" t="s">
        <v>20136</v>
      </c>
      <c r="I10843" s="40" t="s">
        <v>18</v>
      </c>
      <c r="J10843" s="40" t="str">
        <f>HYPERLINK("https://stock.pstatic.net/stock-research/company/39/20250717_company_601137000.pdf","PDF")</f>
        <v>PDF</v>
      </c>
      <c r="K10843" s="12" t="s">
        <v>20137</v>
      </c>
      <c r="L10843" s="20">
        <v>0.2560386473429952</v>
      </c>
    </row>
    <row r="10844" spans="1:12" x14ac:dyDescent="0.45">
      <c r="A10844" s="12" t="s">
        <v>20105</v>
      </c>
      <c r="B10844" s="12" t="s">
        <v>4226</v>
      </c>
      <c r="C10844" s="13" t="s">
        <v>4227</v>
      </c>
      <c r="D10844" s="13" t="s">
        <v>124</v>
      </c>
      <c r="E10844" s="12" t="s">
        <v>50</v>
      </c>
      <c r="F10844" s="13"/>
      <c r="G10844" s="13"/>
      <c r="H10844" s="13" t="s">
        <v>20138</v>
      </c>
      <c r="I10844" s="40" t="s">
        <v>18</v>
      </c>
      <c r="J10844" s="40" t="str">
        <f>HYPERLINK("https://stock.pstatic.net/stock-research/company/1/20250717_company_346261000.pdf","PDF")</f>
        <v>PDF</v>
      </c>
      <c r="K10844" s="12" t="s">
        <v>20139</v>
      </c>
    </row>
    <row r="10845" spans="1:12" x14ac:dyDescent="0.45">
      <c r="A10845" s="12" t="s">
        <v>20140</v>
      </c>
      <c r="B10845" s="12" t="s">
        <v>3548</v>
      </c>
      <c r="C10845" s="13" t="s">
        <v>3549</v>
      </c>
      <c r="D10845" s="13" t="s">
        <v>92</v>
      </c>
      <c r="E10845" s="12" t="s">
        <v>35</v>
      </c>
      <c r="F10845" s="14">
        <v>57500</v>
      </c>
      <c r="G10845" s="14">
        <v>42800</v>
      </c>
      <c r="H10845" s="13" t="s">
        <v>20141</v>
      </c>
      <c r="I10845" s="40" t="s">
        <v>18</v>
      </c>
      <c r="J10845" s="40" t="str">
        <f>HYPERLINK("https://stock.pstatic.net/stock-research/company/63/20250716_company_242093000.pdf","PDF")</f>
        <v>PDF</v>
      </c>
      <c r="K10845" s="12" t="s">
        <v>20142</v>
      </c>
      <c r="L10845" s="20">
        <v>0.34345794392523371</v>
      </c>
    </row>
    <row r="10846" spans="1:12" x14ac:dyDescent="0.45">
      <c r="A10846" s="12" t="s">
        <v>20140</v>
      </c>
      <c r="B10846" s="12" t="s">
        <v>519</v>
      </c>
      <c r="C10846" s="13" t="s">
        <v>520</v>
      </c>
      <c r="D10846" s="13" t="s">
        <v>60</v>
      </c>
      <c r="E10846" s="12" t="s">
        <v>35</v>
      </c>
      <c r="F10846" s="14">
        <v>270000</v>
      </c>
      <c r="G10846" s="14">
        <v>211000</v>
      </c>
      <c r="H10846" s="13" t="s">
        <v>20143</v>
      </c>
      <c r="I10846" s="40" t="s">
        <v>18</v>
      </c>
      <c r="J10846" s="40" t="str">
        <f>HYPERLINK("https://stock.pstatic.net/stock-research/company/1/20250716_company_500153000.pdf","PDF")</f>
        <v>PDF</v>
      </c>
      <c r="K10846" s="12" t="s">
        <v>20144</v>
      </c>
      <c r="L10846" s="20">
        <v>0.27962085308056872</v>
      </c>
    </row>
    <row r="10847" spans="1:12" x14ac:dyDescent="0.45">
      <c r="A10847" s="12" t="s">
        <v>20140</v>
      </c>
      <c r="B10847" s="12" t="s">
        <v>3164</v>
      </c>
      <c r="C10847" s="13" t="s">
        <v>3165</v>
      </c>
      <c r="D10847" s="13" t="s">
        <v>60</v>
      </c>
      <c r="E10847" s="12" t="s">
        <v>35</v>
      </c>
      <c r="F10847" s="14">
        <v>97000</v>
      </c>
      <c r="G10847" s="14">
        <v>73600</v>
      </c>
      <c r="H10847" s="13" t="s">
        <v>20145</v>
      </c>
      <c r="I10847" s="40" t="s">
        <v>18</v>
      </c>
      <c r="J10847" s="40" t="str">
        <f>HYPERLINK("https://stock.pstatic.net/stock-research/company/62/20250716_company_587339000.pdf","PDF")</f>
        <v>PDF</v>
      </c>
      <c r="K10847" s="12" t="s">
        <v>20146</v>
      </c>
      <c r="L10847" s="20">
        <v>0.31793478260869568</v>
      </c>
    </row>
    <row r="10848" spans="1:12" x14ac:dyDescent="0.45">
      <c r="A10848" s="12" t="s">
        <v>20140</v>
      </c>
      <c r="B10848" s="12" t="s">
        <v>1120</v>
      </c>
      <c r="C10848" s="13" t="s">
        <v>1121</v>
      </c>
      <c r="D10848" s="13" t="s">
        <v>60</v>
      </c>
      <c r="E10848" s="12" t="s">
        <v>35</v>
      </c>
      <c r="F10848" s="14">
        <v>145000</v>
      </c>
      <c r="G10848" s="14">
        <v>118800</v>
      </c>
      <c r="H10848" s="13" t="s">
        <v>20147</v>
      </c>
      <c r="I10848" s="40" t="s">
        <v>18</v>
      </c>
      <c r="J10848" s="40" t="str">
        <f>HYPERLINK("https://stock.pstatic.net/stock-research/company/34/20250716_company_215190000.pdf","PDF")</f>
        <v>PDF</v>
      </c>
      <c r="K10848" s="12" t="s">
        <v>20148</v>
      </c>
      <c r="L10848" s="20">
        <v>0.22053872053872051</v>
      </c>
    </row>
    <row r="10849" spans="1:12" x14ac:dyDescent="0.45">
      <c r="A10849" s="12" t="s">
        <v>20140</v>
      </c>
      <c r="B10849" s="12" t="s">
        <v>375</v>
      </c>
      <c r="C10849" s="13" t="s">
        <v>376</v>
      </c>
      <c r="D10849" s="13" t="s">
        <v>65</v>
      </c>
      <c r="E10849" s="12" t="s">
        <v>35</v>
      </c>
      <c r="F10849" s="14">
        <v>36000</v>
      </c>
      <c r="G10849" s="14">
        <v>24100</v>
      </c>
      <c r="H10849" s="13" t="s">
        <v>20149</v>
      </c>
      <c r="I10849" s="40" t="s">
        <v>18</v>
      </c>
      <c r="J10849" s="40" t="str">
        <f>HYPERLINK("https://stock.pstatic.net/stock-research/company/57/20250716_company_881876000.pdf","PDF")</f>
        <v>PDF</v>
      </c>
      <c r="K10849" s="12" t="s">
        <v>20150</v>
      </c>
      <c r="L10849" s="20">
        <v>0.49377593360995847</v>
      </c>
    </row>
    <row r="10850" spans="1:12" x14ac:dyDescent="0.45">
      <c r="A10850" s="12" t="s">
        <v>20140</v>
      </c>
      <c r="B10850" s="12" t="s">
        <v>334</v>
      </c>
      <c r="C10850" s="13" t="s">
        <v>335</v>
      </c>
      <c r="D10850" s="13" t="s">
        <v>65</v>
      </c>
      <c r="E10850" s="12" t="s">
        <v>35</v>
      </c>
      <c r="F10850" s="14">
        <v>350000</v>
      </c>
      <c r="G10850" s="14">
        <v>298500</v>
      </c>
      <c r="H10850" s="13" t="s">
        <v>20151</v>
      </c>
      <c r="I10850" s="40" t="s">
        <v>18</v>
      </c>
      <c r="J10850" s="40" t="str">
        <f>HYPERLINK("https://stock.pstatic.net/stock-research/company/57/20250716_company_54550000.pdf","PDF")</f>
        <v>PDF</v>
      </c>
      <c r="K10850" s="12" t="s">
        <v>20152</v>
      </c>
      <c r="L10850" s="20">
        <v>0.1725293132328308</v>
      </c>
    </row>
    <row r="10851" spans="1:12" x14ac:dyDescent="0.45">
      <c r="A10851" s="12" t="s">
        <v>20140</v>
      </c>
      <c r="B10851" s="12" t="s">
        <v>1350</v>
      </c>
      <c r="C10851" s="13" t="s">
        <v>1351</v>
      </c>
      <c r="D10851" s="13" t="s">
        <v>57</v>
      </c>
      <c r="E10851" s="12" t="s">
        <v>35</v>
      </c>
      <c r="F10851" s="14">
        <v>75000</v>
      </c>
      <c r="G10851" s="14">
        <v>57300</v>
      </c>
      <c r="H10851" s="13" t="s">
        <v>20153</v>
      </c>
      <c r="I10851" s="40" t="s">
        <v>18</v>
      </c>
      <c r="J10851" s="40" t="str">
        <f>HYPERLINK("https://stock.pstatic.net/stock-research/company/16/20250716_company_577474000.pdf","PDF")</f>
        <v>PDF</v>
      </c>
      <c r="K10851" s="12" t="s">
        <v>20154</v>
      </c>
      <c r="L10851" s="20">
        <v>0.30890052356020942</v>
      </c>
    </row>
    <row r="10852" spans="1:12" x14ac:dyDescent="0.45">
      <c r="A10852" s="12" t="s">
        <v>20140</v>
      </c>
      <c r="B10852" s="12" t="s">
        <v>170</v>
      </c>
      <c r="C10852" s="13" t="s">
        <v>171</v>
      </c>
      <c r="D10852" s="13" t="s">
        <v>57</v>
      </c>
      <c r="E10852" s="12" t="s">
        <v>35</v>
      </c>
      <c r="F10852" s="14">
        <v>100000</v>
      </c>
      <c r="G10852" s="14">
        <v>80500</v>
      </c>
      <c r="H10852" s="13" t="s">
        <v>20155</v>
      </c>
      <c r="I10852" s="40" t="s">
        <v>18</v>
      </c>
      <c r="J10852" s="40" t="str">
        <f>HYPERLINK("https://stock.pstatic.net/stock-research/company/16/20250716_company_374024000.pdf","PDF")</f>
        <v>PDF</v>
      </c>
      <c r="K10852" s="12" t="s">
        <v>20156</v>
      </c>
      <c r="L10852" s="20">
        <v>0.24223602484472051</v>
      </c>
    </row>
    <row r="10853" spans="1:12" x14ac:dyDescent="0.45">
      <c r="A10853" s="12" t="s">
        <v>20140</v>
      </c>
      <c r="B10853" s="12" t="s">
        <v>10321</v>
      </c>
      <c r="C10853" s="13" t="s">
        <v>10322</v>
      </c>
      <c r="D10853" s="13" t="s">
        <v>158</v>
      </c>
      <c r="E10853" s="12" t="s">
        <v>50</v>
      </c>
      <c r="F10853" s="13"/>
      <c r="G10853" s="14">
        <v>9280</v>
      </c>
      <c r="H10853" s="13" t="s">
        <v>20157</v>
      </c>
      <c r="I10853" s="40" t="s">
        <v>18</v>
      </c>
      <c r="J10853" s="40" t="str">
        <f>HYPERLINK("https://stock.pstatic.net/stock-research/company/18/20250716_company_673718000.pdf","PDF")</f>
        <v>PDF</v>
      </c>
      <c r="K10853" s="12" t="s">
        <v>20158</v>
      </c>
    </row>
    <row r="10854" spans="1:12" x14ac:dyDescent="0.45">
      <c r="A10854" s="12" t="s">
        <v>20140</v>
      </c>
      <c r="B10854" s="12" t="s">
        <v>768</v>
      </c>
      <c r="C10854" s="13" t="s">
        <v>769</v>
      </c>
      <c r="D10854" s="13" t="s">
        <v>83</v>
      </c>
      <c r="E10854" s="12" t="s">
        <v>35</v>
      </c>
      <c r="F10854" s="14">
        <v>300000</v>
      </c>
      <c r="G10854" s="14">
        <v>252500</v>
      </c>
      <c r="H10854" s="13" t="s">
        <v>20159</v>
      </c>
      <c r="I10854" s="40" t="s">
        <v>18</v>
      </c>
      <c r="J10854" s="40" t="str">
        <f>HYPERLINK("https://stock.pstatic.net/stock-research/company/2/20250716_company_918804000.pdf","PDF")</f>
        <v>PDF</v>
      </c>
      <c r="K10854" s="12" t="s">
        <v>20160</v>
      </c>
      <c r="L10854" s="20">
        <v>0.18811881188118809</v>
      </c>
    </row>
    <row r="10855" spans="1:12" x14ac:dyDescent="0.45">
      <c r="A10855" s="12" t="s">
        <v>20140</v>
      </c>
      <c r="B10855" s="12" t="s">
        <v>102</v>
      </c>
      <c r="C10855" s="13" t="s">
        <v>103</v>
      </c>
      <c r="D10855" s="13" t="s">
        <v>83</v>
      </c>
      <c r="E10855" s="12" t="s">
        <v>35</v>
      </c>
      <c r="F10855" s="14">
        <v>17500</v>
      </c>
      <c r="G10855" s="14">
        <v>13540</v>
      </c>
      <c r="H10855" s="13" t="s">
        <v>20161</v>
      </c>
      <c r="I10855" s="40" t="s">
        <v>18</v>
      </c>
      <c r="J10855" s="40" t="str">
        <f>HYPERLINK("https://stock.pstatic.net/stock-research/company/2/20250716_company_704825000.pdf","PDF")</f>
        <v>PDF</v>
      </c>
      <c r="K10855" s="12" t="s">
        <v>20162</v>
      </c>
      <c r="L10855" s="20">
        <v>0.29246676514032488</v>
      </c>
    </row>
    <row r="10856" spans="1:12" x14ac:dyDescent="0.45">
      <c r="A10856" s="12" t="s">
        <v>20140</v>
      </c>
      <c r="B10856" s="12" t="s">
        <v>32</v>
      </c>
      <c r="C10856" s="13" t="s">
        <v>33</v>
      </c>
      <c r="D10856" s="13" t="s">
        <v>83</v>
      </c>
      <c r="E10856" s="12" t="s">
        <v>35</v>
      </c>
      <c r="F10856" s="14">
        <v>180000</v>
      </c>
      <c r="G10856" s="14">
        <v>139400</v>
      </c>
      <c r="H10856" s="13" t="s">
        <v>20163</v>
      </c>
      <c r="I10856" s="40" t="s">
        <v>18</v>
      </c>
      <c r="J10856" s="40" t="str">
        <f>HYPERLINK("https://stock.pstatic.net/stock-research/company/2/20250716_company_877433000.pdf","PDF")</f>
        <v>PDF</v>
      </c>
      <c r="K10856" s="12" t="s">
        <v>20164</v>
      </c>
      <c r="L10856" s="20">
        <v>0.29124820659971312</v>
      </c>
    </row>
    <row r="10857" spans="1:12" x14ac:dyDescent="0.45">
      <c r="A10857" s="12" t="s">
        <v>20140</v>
      </c>
      <c r="B10857" s="12" t="s">
        <v>1678</v>
      </c>
      <c r="C10857" s="13" t="s">
        <v>1679</v>
      </c>
      <c r="D10857" s="13" t="s">
        <v>83</v>
      </c>
      <c r="E10857" s="12" t="s">
        <v>35</v>
      </c>
      <c r="F10857" s="14">
        <v>86000</v>
      </c>
      <c r="G10857" s="14">
        <v>69900</v>
      </c>
      <c r="H10857" s="13" t="s">
        <v>20165</v>
      </c>
      <c r="I10857" s="40" t="s">
        <v>18</v>
      </c>
      <c r="J10857" s="40" t="str">
        <f>HYPERLINK("https://stock.pstatic.net/stock-research/company/1/20250716_company_183131000.pdf","PDF")</f>
        <v>PDF</v>
      </c>
      <c r="K10857" s="12" t="s">
        <v>20166</v>
      </c>
      <c r="L10857" s="20">
        <v>0.23032904148783981</v>
      </c>
    </row>
    <row r="10858" spans="1:12" x14ac:dyDescent="0.45">
      <c r="A10858" s="12" t="s">
        <v>20140</v>
      </c>
      <c r="B10858" s="12" t="s">
        <v>3284</v>
      </c>
      <c r="C10858" s="13" t="s">
        <v>3285</v>
      </c>
      <c r="D10858" s="13" t="s">
        <v>83</v>
      </c>
      <c r="E10858" s="12" t="s">
        <v>35</v>
      </c>
      <c r="F10858" s="14">
        <v>100000</v>
      </c>
      <c r="G10858" s="14">
        <v>78000</v>
      </c>
      <c r="H10858" s="13" t="s">
        <v>20167</v>
      </c>
      <c r="I10858" s="40" t="s">
        <v>18</v>
      </c>
      <c r="J10858" s="40" t="str">
        <f>HYPERLINK("https://stock.pstatic.net/stock-research/company/2/20250716_company_406025000.pdf","PDF")</f>
        <v>PDF</v>
      </c>
      <c r="K10858" s="12" t="s">
        <v>20168</v>
      </c>
      <c r="L10858" s="20">
        <v>0.28205128205128199</v>
      </c>
    </row>
    <row r="10859" spans="1:12" x14ac:dyDescent="0.45">
      <c r="A10859" s="12" t="s">
        <v>20140</v>
      </c>
      <c r="B10859" s="12" t="s">
        <v>2435</v>
      </c>
      <c r="C10859" s="13" t="s">
        <v>2436</v>
      </c>
      <c r="D10859" s="13" t="s">
        <v>83</v>
      </c>
      <c r="E10859" s="12" t="s">
        <v>35</v>
      </c>
      <c r="F10859" s="14">
        <v>550000</v>
      </c>
      <c r="G10859" s="14">
        <v>394500</v>
      </c>
      <c r="H10859" s="13" t="s">
        <v>20169</v>
      </c>
      <c r="I10859" s="40" t="s">
        <v>18</v>
      </c>
      <c r="J10859" s="40" t="str">
        <f>HYPERLINK("https://stock.pstatic.net/stock-research/company/2/20250716_company_617502000.pdf","PDF")</f>
        <v>PDF</v>
      </c>
      <c r="K10859" s="12" t="s">
        <v>20170</v>
      </c>
      <c r="L10859" s="20">
        <v>0.39416983523447402</v>
      </c>
    </row>
    <row r="10860" spans="1:12" x14ac:dyDescent="0.45">
      <c r="A10860" s="12" t="s">
        <v>20140</v>
      </c>
      <c r="B10860" s="12" t="s">
        <v>13410</v>
      </c>
      <c r="C10860" s="13" t="s">
        <v>13411</v>
      </c>
      <c r="D10860" s="13" t="s">
        <v>83</v>
      </c>
      <c r="E10860" s="12" t="s">
        <v>35</v>
      </c>
      <c r="F10860" s="14">
        <v>210000</v>
      </c>
      <c r="G10860" s="14">
        <v>181400</v>
      </c>
      <c r="H10860" s="13" t="s">
        <v>20171</v>
      </c>
      <c r="I10860" s="40" t="s">
        <v>18</v>
      </c>
      <c r="J10860" s="40" t="str">
        <f>HYPERLINK("https://stock.pstatic.net/stock-research/company/2/20250716_company_720493000.pdf","PDF")</f>
        <v>PDF</v>
      </c>
      <c r="K10860" s="12" t="s">
        <v>20172</v>
      </c>
      <c r="L10860" s="20">
        <v>0.15766262403528111</v>
      </c>
    </row>
    <row r="10861" spans="1:12" x14ac:dyDescent="0.45">
      <c r="A10861" s="12" t="s">
        <v>20140</v>
      </c>
      <c r="B10861" s="12" t="s">
        <v>1686</v>
      </c>
      <c r="C10861" s="13" t="s">
        <v>1687</v>
      </c>
      <c r="D10861" s="13" t="s">
        <v>92</v>
      </c>
      <c r="E10861" s="12" t="s">
        <v>35</v>
      </c>
      <c r="F10861" s="14">
        <v>1750000</v>
      </c>
      <c r="G10861" s="14">
        <v>1491000</v>
      </c>
      <c r="H10861" s="13" t="s">
        <v>20173</v>
      </c>
      <c r="I10861" s="40" t="s">
        <v>18</v>
      </c>
      <c r="J10861" s="40" t="str">
        <f>HYPERLINK("https://stock.pstatic.net/stock-research/company/63/20250716_company_259303000.pdf","PDF")</f>
        <v>PDF</v>
      </c>
      <c r="K10861" s="12" t="s">
        <v>20174</v>
      </c>
      <c r="L10861" s="20">
        <v>0.17370892018779341</v>
      </c>
    </row>
    <row r="10862" spans="1:12" x14ac:dyDescent="0.45">
      <c r="A10862" s="12" t="s">
        <v>20140</v>
      </c>
      <c r="B10862" s="12" t="s">
        <v>398</v>
      </c>
      <c r="C10862" s="13" t="s">
        <v>399</v>
      </c>
      <c r="D10862" s="13" t="s">
        <v>23</v>
      </c>
      <c r="E10862" s="12" t="s">
        <v>16</v>
      </c>
      <c r="F10862" s="14">
        <v>160000</v>
      </c>
      <c r="G10862" s="14">
        <v>135700</v>
      </c>
      <c r="H10862" s="13" t="s">
        <v>10001</v>
      </c>
      <c r="I10862" s="40" t="s">
        <v>18</v>
      </c>
      <c r="J10862" s="40" t="str">
        <f>HYPERLINK("https://stock.pstatic.net/stock-research/company/21/20250716_company_202018000.pdf","PDF")</f>
        <v>PDF</v>
      </c>
      <c r="K10862" s="12" t="s">
        <v>20175</v>
      </c>
      <c r="L10862" s="20">
        <v>0.17907148120854829</v>
      </c>
    </row>
    <row r="10863" spans="1:12" x14ac:dyDescent="0.45">
      <c r="A10863" s="12" t="s">
        <v>20140</v>
      </c>
      <c r="B10863" s="12" t="s">
        <v>756</v>
      </c>
      <c r="C10863" s="13" t="s">
        <v>757</v>
      </c>
      <c r="D10863" s="13" t="s">
        <v>92</v>
      </c>
      <c r="E10863" s="12" t="s">
        <v>35</v>
      </c>
      <c r="F10863" s="14">
        <v>135000</v>
      </c>
      <c r="G10863" s="14">
        <v>108700</v>
      </c>
      <c r="H10863" s="13" t="s">
        <v>20176</v>
      </c>
      <c r="I10863" s="40" t="s">
        <v>18</v>
      </c>
      <c r="J10863" s="40" t="str">
        <f>HYPERLINK("https://stock.pstatic.net/stock-research/company/63/20250716_company_600713000.pdf","PDF")</f>
        <v>PDF</v>
      </c>
      <c r="K10863" s="12" t="s">
        <v>20177</v>
      </c>
      <c r="L10863" s="20">
        <v>0.24195032198712049</v>
      </c>
    </row>
    <row r="10864" spans="1:12" x14ac:dyDescent="0.45">
      <c r="A10864" s="12" t="s">
        <v>20140</v>
      </c>
      <c r="B10864" s="12" t="s">
        <v>170</v>
      </c>
      <c r="C10864" s="13" t="s">
        <v>171</v>
      </c>
      <c r="D10864" s="13" t="s">
        <v>92</v>
      </c>
      <c r="E10864" s="12" t="s">
        <v>35</v>
      </c>
      <c r="F10864" s="14">
        <v>105000</v>
      </c>
      <c r="G10864" s="14">
        <v>78900</v>
      </c>
      <c r="H10864" s="13" t="s">
        <v>20178</v>
      </c>
      <c r="I10864" s="40" t="s">
        <v>18</v>
      </c>
      <c r="J10864" s="40" t="str">
        <f>HYPERLINK("https://stock.pstatic.net/stock-research/company/63/20250716_company_733323000.pdf","PDF")</f>
        <v>PDF</v>
      </c>
      <c r="K10864" s="12" t="s">
        <v>20179</v>
      </c>
      <c r="L10864" s="20">
        <v>0.33079847908745252</v>
      </c>
    </row>
    <row r="10865" spans="1:12" x14ac:dyDescent="0.45">
      <c r="A10865" s="12" t="s">
        <v>20140</v>
      </c>
      <c r="B10865" s="12" t="s">
        <v>2795</v>
      </c>
      <c r="C10865" s="13" t="s">
        <v>2796</v>
      </c>
      <c r="D10865" s="13" t="s">
        <v>23</v>
      </c>
      <c r="E10865" s="12" t="s">
        <v>16</v>
      </c>
      <c r="F10865" s="14">
        <v>5200</v>
      </c>
      <c r="G10865" s="14">
        <v>4125</v>
      </c>
      <c r="H10865" s="13" t="s">
        <v>20180</v>
      </c>
      <c r="I10865" s="40" t="s">
        <v>18</v>
      </c>
      <c r="J10865" s="40" t="str">
        <f>HYPERLINK("https://stock.pstatic.net/stock-research/company/21/20250716_company_763465000.pdf","PDF")</f>
        <v>PDF</v>
      </c>
      <c r="K10865" s="12" t="s">
        <v>20181</v>
      </c>
      <c r="L10865" s="20">
        <v>0.26060606060606062</v>
      </c>
    </row>
    <row r="10866" spans="1:12" x14ac:dyDescent="0.45">
      <c r="A10866" s="12" t="s">
        <v>20140</v>
      </c>
      <c r="B10866" s="12" t="s">
        <v>3831</v>
      </c>
      <c r="C10866" s="13" t="s">
        <v>3832</v>
      </c>
      <c r="D10866" s="13" t="s">
        <v>92</v>
      </c>
      <c r="E10866" s="12" t="s">
        <v>35</v>
      </c>
      <c r="F10866" s="14">
        <v>51000</v>
      </c>
      <c r="G10866" s="14">
        <v>35150</v>
      </c>
      <c r="H10866" s="13" t="s">
        <v>20182</v>
      </c>
      <c r="I10866" s="40" t="s">
        <v>18</v>
      </c>
      <c r="J10866" s="40" t="str">
        <f>HYPERLINK("https://stock.pstatic.net/stock-research/company/63/20250716_company_661211000.pdf","PDF")</f>
        <v>PDF</v>
      </c>
      <c r="K10866" s="12" t="s">
        <v>20183</v>
      </c>
      <c r="L10866" s="20">
        <v>0.45092460881934571</v>
      </c>
    </row>
    <row r="10867" spans="1:12" x14ac:dyDescent="0.45">
      <c r="A10867" s="12" t="s">
        <v>20140</v>
      </c>
      <c r="B10867" s="12" t="s">
        <v>2777</v>
      </c>
      <c r="C10867" s="13" t="s">
        <v>2778</v>
      </c>
      <c r="D10867" s="13" t="s">
        <v>92</v>
      </c>
      <c r="E10867" s="12" t="s">
        <v>35</v>
      </c>
      <c r="F10867" s="14">
        <v>215000</v>
      </c>
      <c r="G10867" s="14">
        <v>165400</v>
      </c>
      <c r="H10867" s="13" t="s">
        <v>20184</v>
      </c>
      <c r="I10867" s="40" t="s">
        <v>18</v>
      </c>
      <c r="J10867" s="40" t="str">
        <f>HYPERLINK("https://stock.pstatic.net/stock-research/company/63/20250716_company_156378000.pdf","PDF")</f>
        <v>PDF</v>
      </c>
      <c r="K10867" s="12" t="s">
        <v>20185</v>
      </c>
      <c r="L10867" s="20">
        <v>0.29987908101571947</v>
      </c>
    </row>
    <row r="10868" spans="1:12" x14ac:dyDescent="0.45">
      <c r="A10868" s="12" t="s">
        <v>20140</v>
      </c>
      <c r="B10868" s="12" t="s">
        <v>1120</v>
      </c>
      <c r="C10868" s="13" t="s">
        <v>1121</v>
      </c>
      <c r="D10868" s="13" t="s">
        <v>23</v>
      </c>
      <c r="E10868" s="12" t="s">
        <v>16</v>
      </c>
      <c r="F10868" s="14">
        <v>140000</v>
      </c>
      <c r="G10868" s="14">
        <v>118800</v>
      </c>
      <c r="H10868" s="13" t="s">
        <v>20186</v>
      </c>
      <c r="I10868" s="40" t="s">
        <v>18</v>
      </c>
      <c r="J10868" s="40" t="str">
        <f>HYPERLINK("https://stock.pstatic.net/stock-research/company/21/20250716_company_851931000.pdf","PDF")</f>
        <v>PDF</v>
      </c>
      <c r="K10868" s="12" t="s">
        <v>20187</v>
      </c>
      <c r="L10868" s="20">
        <v>0.17845117845117839</v>
      </c>
    </row>
    <row r="10869" spans="1:12" x14ac:dyDescent="0.45">
      <c r="A10869" s="12" t="s">
        <v>20140</v>
      </c>
      <c r="B10869" s="12" t="s">
        <v>1105</v>
      </c>
      <c r="C10869" s="13" t="s">
        <v>1106</v>
      </c>
      <c r="D10869" s="13" t="s">
        <v>92</v>
      </c>
      <c r="E10869" s="12" t="s">
        <v>35</v>
      </c>
      <c r="F10869" s="14">
        <v>20500</v>
      </c>
      <c r="G10869" s="14">
        <v>16890</v>
      </c>
      <c r="H10869" s="13" t="s">
        <v>20188</v>
      </c>
      <c r="I10869" s="40" t="s">
        <v>18</v>
      </c>
      <c r="J10869" s="40" t="str">
        <f>HYPERLINK("https://stock.pstatic.net/stock-research/company/63/20250716_company_467726000.pdf","PDF")</f>
        <v>PDF</v>
      </c>
      <c r="K10869" s="12" t="s">
        <v>20189</v>
      </c>
      <c r="L10869" s="20">
        <v>0.21373593842510361</v>
      </c>
    </row>
    <row r="10870" spans="1:12" x14ac:dyDescent="0.45">
      <c r="A10870" s="12" t="s">
        <v>20140</v>
      </c>
      <c r="B10870" s="12" t="s">
        <v>2435</v>
      </c>
      <c r="C10870" s="13" t="s">
        <v>2436</v>
      </c>
      <c r="D10870" s="13" t="s">
        <v>44</v>
      </c>
      <c r="E10870" s="12" t="s">
        <v>35</v>
      </c>
      <c r="F10870" s="14">
        <v>510000</v>
      </c>
      <c r="G10870" s="14">
        <v>394500</v>
      </c>
      <c r="H10870" s="13" t="s">
        <v>20190</v>
      </c>
      <c r="I10870" s="40" t="s">
        <v>18</v>
      </c>
      <c r="J10870" s="40" t="str">
        <f>HYPERLINK("https://stock.pstatic.net/stock-research/company/39/20250716_company_349320000.pdf","PDF")</f>
        <v>PDF</v>
      </c>
      <c r="K10870" s="12" t="s">
        <v>20191</v>
      </c>
      <c r="L10870" s="20">
        <v>0.29277566539923949</v>
      </c>
    </row>
    <row r="10871" spans="1:12" x14ac:dyDescent="0.45">
      <c r="A10871" s="12" t="s">
        <v>20140</v>
      </c>
      <c r="B10871" s="12" t="s">
        <v>10941</v>
      </c>
      <c r="C10871" s="13" t="s">
        <v>10942</v>
      </c>
      <c r="D10871" s="13" t="s">
        <v>179</v>
      </c>
      <c r="E10871" s="12" t="s">
        <v>50</v>
      </c>
      <c r="F10871" s="13"/>
      <c r="G10871" s="14">
        <v>20950</v>
      </c>
      <c r="H10871" s="13" t="s">
        <v>20192</v>
      </c>
      <c r="I10871" s="40" t="s">
        <v>18</v>
      </c>
      <c r="J10871" s="40" t="str">
        <f>HYPERLINK("https://stock.pstatic.net/stock-research/company/31/20250716_company_875612000.pdf","PDF")</f>
        <v>PDF</v>
      </c>
      <c r="K10871" s="12" t="s">
        <v>20193</v>
      </c>
    </row>
    <row r="10872" spans="1:12" x14ac:dyDescent="0.45">
      <c r="A10872" s="12" t="s">
        <v>20140</v>
      </c>
      <c r="B10872" s="12" t="s">
        <v>1773</v>
      </c>
      <c r="C10872" s="13" t="s">
        <v>1774</v>
      </c>
      <c r="D10872" s="13" t="s">
        <v>23</v>
      </c>
      <c r="E10872" s="12" t="s">
        <v>16</v>
      </c>
      <c r="F10872" s="14">
        <v>115000</v>
      </c>
      <c r="G10872" s="14">
        <v>94100</v>
      </c>
      <c r="H10872" s="13" t="s">
        <v>20194</v>
      </c>
      <c r="I10872" s="40" t="s">
        <v>18</v>
      </c>
      <c r="J10872" s="40" t="str">
        <f>HYPERLINK("https://stock.pstatic.net/stock-research/company/1/20250716_company_950183000.pdf","PDF")</f>
        <v>PDF</v>
      </c>
      <c r="K10872" s="12" t="s">
        <v>20195</v>
      </c>
      <c r="L10872" s="20">
        <v>0.22210414452709881</v>
      </c>
    </row>
    <row r="10873" spans="1:12" x14ac:dyDescent="0.45">
      <c r="A10873" s="12" t="s">
        <v>20140</v>
      </c>
      <c r="B10873" s="12" t="s">
        <v>20196</v>
      </c>
      <c r="C10873" s="13" t="s">
        <v>20197</v>
      </c>
      <c r="D10873" s="13" t="s">
        <v>23</v>
      </c>
      <c r="E10873" s="12" t="s">
        <v>50</v>
      </c>
      <c r="F10873" s="13"/>
      <c r="G10873" s="14">
        <v>235000</v>
      </c>
      <c r="H10873" s="13" t="s">
        <v>20198</v>
      </c>
      <c r="I10873" s="40" t="s">
        <v>18</v>
      </c>
      <c r="J10873" s="40" t="str">
        <f>HYPERLINK("https://stock.pstatic.net/stock-research/company/21/20250716_company_437312000.pdf","PDF")</f>
        <v>PDF</v>
      </c>
      <c r="K10873" s="12" t="s">
        <v>20199</v>
      </c>
    </row>
    <row r="10874" spans="1:12" x14ac:dyDescent="0.45">
      <c r="A10874" s="12" t="s">
        <v>20140</v>
      </c>
      <c r="B10874" s="12" t="s">
        <v>2795</v>
      </c>
      <c r="C10874" s="13" t="s">
        <v>2796</v>
      </c>
      <c r="D10874" s="13" t="s">
        <v>23</v>
      </c>
      <c r="E10874" s="12" t="s">
        <v>16</v>
      </c>
      <c r="F10874" s="14">
        <v>5200</v>
      </c>
      <c r="G10874" s="14">
        <v>4125</v>
      </c>
      <c r="H10874" s="13" t="s">
        <v>20200</v>
      </c>
      <c r="I10874" s="40" t="s">
        <v>18</v>
      </c>
      <c r="J10874" s="40" t="str">
        <f>HYPERLINK("https://stock.pstatic.net/stock-research/company/21/20250716_company_671191000.pdf","PDF")</f>
        <v>PDF</v>
      </c>
      <c r="K10874" s="12" t="s">
        <v>20201</v>
      </c>
      <c r="L10874" s="20">
        <v>0.26060606060606062</v>
      </c>
    </row>
    <row r="10875" spans="1:12" x14ac:dyDescent="0.45">
      <c r="A10875" s="12" t="s">
        <v>20140</v>
      </c>
      <c r="B10875" s="12" t="s">
        <v>1047</v>
      </c>
      <c r="C10875" s="13" t="s">
        <v>1048</v>
      </c>
      <c r="D10875" s="13" t="s">
        <v>179</v>
      </c>
      <c r="E10875" s="12" t="s">
        <v>385</v>
      </c>
      <c r="F10875" s="14">
        <v>14000</v>
      </c>
      <c r="G10875" s="14">
        <v>13500</v>
      </c>
      <c r="H10875" s="13" t="s">
        <v>20202</v>
      </c>
      <c r="I10875" s="40" t="s">
        <v>18</v>
      </c>
      <c r="J10875" s="40" t="str">
        <f>HYPERLINK("https://stock.pstatic.net/stock-research/company/31/20250716_company_471208000.pdf","PDF")</f>
        <v>PDF</v>
      </c>
      <c r="K10875" s="12" t="s">
        <v>20203</v>
      </c>
      <c r="L10875" s="20">
        <v>3.7037037037037028E-2</v>
      </c>
    </row>
    <row r="10876" spans="1:12" x14ac:dyDescent="0.45">
      <c r="A10876" s="12" t="s">
        <v>20140</v>
      </c>
      <c r="B10876" s="12" t="s">
        <v>2777</v>
      </c>
      <c r="C10876" s="13" t="s">
        <v>2778</v>
      </c>
      <c r="D10876" s="13" t="s">
        <v>44</v>
      </c>
      <c r="E10876" s="12" t="s">
        <v>642</v>
      </c>
      <c r="F10876" s="14">
        <v>150000</v>
      </c>
      <c r="G10876" s="14">
        <v>165400</v>
      </c>
      <c r="H10876" s="13" t="s">
        <v>20204</v>
      </c>
      <c r="I10876" s="40" t="s">
        <v>18</v>
      </c>
      <c r="J10876" s="40" t="str">
        <f>HYPERLINK("https://stock.pstatic.net/stock-research/company/39/20250716_company_717264000.pdf","PDF")</f>
        <v>PDF</v>
      </c>
      <c r="K10876" s="12" t="s">
        <v>20205</v>
      </c>
      <c r="L10876" s="20">
        <v>-9.3107617896009673E-2</v>
      </c>
    </row>
    <row r="10877" spans="1:12" x14ac:dyDescent="0.45">
      <c r="A10877" s="12" t="s">
        <v>20140</v>
      </c>
      <c r="B10877" s="12" t="s">
        <v>545</v>
      </c>
      <c r="C10877" s="13" t="s">
        <v>546</v>
      </c>
      <c r="D10877" s="13" t="s">
        <v>44</v>
      </c>
      <c r="E10877" s="12" t="s">
        <v>35</v>
      </c>
      <c r="F10877" s="14">
        <v>260000</v>
      </c>
      <c r="G10877" s="14">
        <v>197000</v>
      </c>
      <c r="H10877" s="13" t="s">
        <v>20206</v>
      </c>
      <c r="I10877" s="40" t="s">
        <v>18</v>
      </c>
      <c r="J10877" s="40" t="str">
        <f>HYPERLINK("https://stock.pstatic.net/stock-research/company/39/20250716_company_573844000.pdf","PDF")</f>
        <v>PDF</v>
      </c>
      <c r="K10877" s="12" t="s">
        <v>20207</v>
      </c>
      <c r="L10877" s="20">
        <v>0.31979695431472083</v>
      </c>
    </row>
    <row r="10878" spans="1:12" x14ac:dyDescent="0.45">
      <c r="A10878" s="12" t="s">
        <v>20140</v>
      </c>
      <c r="B10878" s="12" t="s">
        <v>1660</v>
      </c>
      <c r="C10878" s="13" t="s">
        <v>1661</v>
      </c>
      <c r="D10878" s="13" t="s">
        <v>124</v>
      </c>
      <c r="E10878" s="12" t="s">
        <v>50</v>
      </c>
      <c r="F10878" s="13"/>
      <c r="G10878" s="13"/>
      <c r="H10878" s="13" t="s">
        <v>20208</v>
      </c>
      <c r="I10878" s="40" t="s">
        <v>18</v>
      </c>
      <c r="J10878" s="40" t="str">
        <f>HYPERLINK("https://m.stock.naver.com/research/company/84437","PDF")</f>
        <v>PDF</v>
      </c>
      <c r="K10878" s="12" t="s">
        <v>20209</v>
      </c>
    </row>
    <row r="10879" spans="1:12" x14ac:dyDescent="0.45">
      <c r="A10879" s="12" t="s">
        <v>20140</v>
      </c>
      <c r="B10879" s="12" t="s">
        <v>6347</v>
      </c>
      <c r="C10879" s="13" t="s">
        <v>6348</v>
      </c>
      <c r="D10879" s="13" t="s">
        <v>124</v>
      </c>
      <c r="E10879" s="12" t="s">
        <v>50</v>
      </c>
      <c r="F10879" s="13"/>
      <c r="G10879" s="13"/>
      <c r="H10879" s="13" t="s">
        <v>20210</v>
      </c>
      <c r="I10879" s="40" t="s">
        <v>18</v>
      </c>
      <c r="J10879" s="40" t="str">
        <f>HYPERLINK("https://stock.pstatic.net/stock-research/company/74/20250716_company_975307000.pdf","PDF")</f>
        <v>PDF</v>
      </c>
      <c r="K10879" s="12" t="s">
        <v>20211</v>
      </c>
    </row>
    <row r="10880" spans="1:12" x14ac:dyDescent="0.45">
      <c r="A10880" s="12" t="s">
        <v>20140</v>
      </c>
      <c r="B10880" s="12" t="s">
        <v>800</v>
      </c>
      <c r="C10880" s="13" t="s">
        <v>801</v>
      </c>
      <c r="D10880" s="13" t="s">
        <v>124</v>
      </c>
      <c r="E10880" s="12" t="s">
        <v>50</v>
      </c>
      <c r="F10880" s="13"/>
      <c r="G10880" s="13"/>
      <c r="H10880" s="13" t="s">
        <v>20212</v>
      </c>
      <c r="I10880" s="40" t="s">
        <v>18</v>
      </c>
      <c r="J10880" s="40" t="str">
        <f>HYPERLINK("https://stock.pstatic.net/stock-research/company/74/20250716_company_489121000.pdf","PDF")</f>
        <v>PDF</v>
      </c>
      <c r="K10880" s="12" t="s">
        <v>20213</v>
      </c>
    </row>
    <row r="10881" spans="1:12" x14ac:dyDescent="0.45">
      <c r="A10881" s="12" t="s">
        <v>20140</v>
      </c>
      <c r="B10881" s="12" t="s">
        <v>2369</v>
      </c>
      <c r="C10881" s="13" t="s">
        <v>2370</v>
      </c>
      <c r="D10881" s="13" t="s">
        <v>15</v>
      </c>
      <c r="E10881" s="12" t="s">
        <v>16</v>
      </c>
      <c r="F10881" s="14">
        <v>260000</v>
      </c>
      <c r="G10881" s="14">
        <v>181100</v>
      </c>
      <c r="H10881" s="13" t="s">
        <v>20214</v>
      </c>
      <c r="I10881" s="40" t="s">
        <v>18</v>
      </c>
      <c r="J10881" s="40" t="str">
        <f>HYPERLINK("https://stock.pstatic.net/stock-research/company/29/20250716_company_699025000.pdf","PDF")</f>
        <v>PDF</v>
      </c>
      <c r="K10881" s="12" t="s">
        <v>20215</v>
      </c>
      <c r="L10881" s="20">
        <v>0.43567090005521808</v>
      </c>
    </row>
    <row r="10882" spans="1:12" x14ac:dyDescent="0.45">
      <c r="A10882" s="12" t="s">
        <v>20216</v>
      </c>
      <c r="B10882" s="12" t="s">
        <v>3349</v>
      </c>
      <c r="C10882" s="13" t="s">
        <v>7707</v>
      </c>
      <c r="D10882" s="13" t="s">
        <v>83</v>
      </c>
      <c r="E10882" s="12" t="s">
        <v>35</v>
      </c>
      <c r="F10882" s="14">
        <v>35000</v>
      </c>
      <c r="G10882" s="14">
        <v>23350</v>
      </c>
      <c r="H10882" s="13" t="s">
        <v>20217</v>
      </c>
      <c r="I10882" s="40" t="s">
        <v>18</v>
      </c>
      <c r="J10882" s="40" t="str">
        <f>HYPERLINK("https://stock.pstatic.net/stock-research/company/2/20250715_company_309614000.pdf","PDF")</f>
        <v>PDF</v>
      </c>
      <c r="K10882" s="12" t="s">
        <v>20218</v>
      </c>
      <c r="L10882" s="20">
        <v>0.49892933618843682</v>
      </c>
    </row>
    <row r="10883" spans="1:12" x14ac:dyDescent="0.45">
      <c r="A10883" s="12" t="s">
        <v>20216</v>
      </c>
      <c r="B10883" s="12" t="s">
        <v>2658</v>
      </c>
      <c r="C10883" s="13" t="s">
        <v>2659</v>
      </c>
      <c r="D10883" s="13" t="s">
        <v>83</v>
      </c>
      <c r="E10883" s="12" t="s">
        <v>35</v>
      </c>
      <c r="F10883" s="14">
        <v>180000</v>
      </c>
      <c r="G10883" s="14">
        <v>111700</v>
      </c>
      <c r="H10883" s="13" t="s">
        <v>20219</v>
      </c>
      <c r="I10883" s="40" t="s">
        <v>18</v>
      </c>
      <c r="J10883" s="40" t="str">
        <f>HYPERLINK("https://stock.pstatic.net/stock-research/company/2/20250715_company_848389000.pdf","PDF")</f>
        <v>PDF</v>
      </c>
      <c r="K10883" s="12" t="s">
        <v>20220</v>
      </c>
      <c r="L10883" s="20">
        <v>0.61145926589077892</v>
      </c>
    </row>
    <row r="10884" spans="1:12" x14ac:dyDescent="0.45">
      <c r="A10884" s="12" t="s">
        <v>20216</v>
      </c>
      <c r="B10884" s="12" t="s">
        <v>2231</v>
      </c>
      <c r="C10884" s="13" t="s">
        <v>2232</v>
      </c>
      <c r="D10884" s="13" t="s">
        <v>57</v>
      </c>
      <c r="E10884" s="12" t="s">
        <v>35</v>
      </c>
      <c r="F10884" s="14">
        <v>140000</v>
      </c>
      <c r="G10884" s="14">
        <v>102500</v>
      </c>
      <c r="H10884" s="13" t="s">
        <v>20221</v>
      </c>
      <c r="I10884" s="40" t="s">
        <v>18</v>
      </c>
      <c r="J10884" s="40" t="str">
        <f>HYPERLINK("https://stock.pstatic.net/stock-research/company/16/20250715_company_163716000.pdf","PDF")</f>
        <v>PDF</v>
      </c>
      <c r="K10884" s="12" t="s">
        <v>20222</v>
      </c>
      <c r="L10884" s="20">
        <v>0.36585365853658541</v>
      </c>
    </row>
    <row r="10885" spans="1:12" x14ac:dyDescent="0.45">
      <c r="A10885" s="12" t="s">
        <v>20216</v>
      </c>
      <c r="B10885" s="12" t="s">
        <v>2887</v>
      </c>
      <c r="C10885" s="13" t="s">
        <v>2888</v>
      </c>
      <c r="D10885" s="13" t="s">
        <v>158</v>
      </c>
      <c r="E10885" s="12" t="s">
        <v>35</v>
      </c>
      <c r="F10885" s="14">
        <v>500000</v>
      </c>
      <c r="G10885" s="14">
        <v>273500</v>
      </c>
      <c r="H10885" s="13" t="s">
        <v>20223</v>
      </c>
      <c r="I10885" s="40" t="s">
        <v>18</v>
      </c>
      <c r="J10885" s="40" t="str">
        <f>HYPERLINK("https://stock.pstatic.net/stock-research/company/1/20250715_company_248892000.pdf","PDF")</f>
        <v>PDF</v>
      </c>
      <c r="K10885" s="12" t="s">
        <v>20224</v>
      </c>
      <c r="L10885" s="20">
        <v>0.82815356489945158</v>
      </c>
    </row>
    <row r="10886" spans="1:12" x14ac:dyDescent="0.45">
      <c r="A10886" s="12" t="s">
        <v>20216</v>
      </c>
      <c r="B10886" s="12" t="s">
        <v>3349</v>
      </c>
      <c r="C10886" s="13" t="s">
        <v>7707</v>
      </c>
      <c r="D10886" s="13" t="s">
        <v>158</v>
      </c>
      <c r="E10886" s="12" t="s">
        <v>35</v>
      </c>
      <c r="F10886" s="14">
        <v>29500</v>
      </c>
      <c r="G10886" s="14">
        <v>23750</v>
      </c>
      <c r="H10886" s="13" t="s">
        <v>20225</v>
      </c>
      <c r="I10886" s="40" t="s">
        <v>18</v>
      </c>
      <c r="J10886" s="40" t="str">
        <f>HYPERLINK("https://stock.pstatic.net/stock-research/company/18/20250715_company_146443000.pdf","PDF")</f>
        <v>PDF</v>
      </c>
      <c r="K10886" s="12" t="s">
        <v>20226</v>
      </c>
      <c r="L10886" s="20">
        <v>0.24210526315789471</v>
      </c>
    </row>
    <row r="10887" spans="1:12" x14ac:dyDescent="0.45">
      <c r="A10887" s="12" t="s">
        <v>20216</v>
      </c>
      <c r="B10887" s="12" t="s">
        <v>2956</v>
      </c>
      <c r="C10887" s="13" t="s">
        <v>2957</v>
      </c>
      <c r="D10887" s="13" t="s">
        <v>158</v>
      </c>
      <c r="E10887" s="12" t="s">
        <v>35</v>
      </c>
      <c r="F10887" s="14">
        <v>30000</v>
      </c>
      <c r="G10887" s="14">
        <v>21250</v>
      </c>
      <c r="H10887" s="13" t="s">
        <v>20227</v>
      </c>
      <c r="I10887" s="40" t="s">
        <v>18</v>
      </c>
      <c r="J10887" s="40" t="str">
        <f>HYPERLINK("https://stock.pstatic.net/stock-research/company/18/20250715_company_557513000.pdf","PDF")</f>
        <v>PDF</v>
      </c>
      <c r="K10887" s="12" t="s">
        <v>20228</v>
      </c>
      <c r="L10887" s="20">
        <v>0.41176470588235292</v>
      </c>
    </row>
    <row r="10888" spans="1:12" x14ac:dyDescent="0.45">
      <c r="A10888" s="12" t="s">
        <v>20216</v>
      </c>
      <c r="B10888" s="12" t="s">
        <v>95</v>
      </c>
      <c r="C10888" s="13" t="s">
        <v>31</v>
      </c>
      <c r="D10888" s="13" t="s">
        <v>158</v>
      </c>
      <c r="E10888" s="12" t="s">
        <v>35</v>
      </c>
      <c r="F10888" s="14">
        <v>34500</v>
      </c>
      <c r="G10888" s="14">
        <v>25350</v>
      </c>
      <c r="H10888" s="13" t="s">
        <v>20229</v>
      </c>
      <c r="I10888" s="40" t="s">
        <v>18</v>
      </c>
      <c r="J10888" s="40" t="str">
        <f>HYPERLINK("https://stock.pstatic.net/stock-research/company/1/20250715_company_567033000.pdf","PDF")</f>
        <v>PDF</v>
      </c>
      <c r="K10888" s="12" t="s">
        <v>20230</v>
      </c>
      <c r="L10888" s="20">
        <v>0.36094674556213019</v>
      </c>
    </row>
    <row r="10889" spans="1:12" x14ac:dyDescent="0.45">
      <c r="A10889" s="12" t="s">
        <v>20216</v>
      </c>
      <c r="B10889" s="12" t="s">
        <v>3204</v>
      </c>
      <c r="C10889" s="13" t="s">
        <v>3205</v>
      </c>
      <c r="D10889" s="13" t="s">
        <v>158</v>
      </c>
      <c r="E10889" s="12" t="s">
        <v>35</v>
      </c>
      <c r="F10889" s="14">
        <v>5300</v>
      </c>
      <c r="G10889" s="14">
        <v>4130</v>
      </c>
      <c r="H10889" s="13" t="s">
        <v>20231</v>
      </c>
      <c r="I10889" s="40" t="s">
        <v>18</v>
      </c>
      <c r="J10889" s="40" t="str">
        <f>HYPERLINK("https://stock.pstatic.net/stock-research/company/18/20250715_company_537295000.pdf","PDF")</f>
        <v>PDF</v>
      </c>
      <c r="K10889" s="12" t="s">
        <v>20232</v>
      </c>
      <c r="L10889" s="20">
        <v>0.28329297820823252</v>
      </c>
    </row>
    <row r="10890" spans="1:12" x14ac:dyDescent="0.45">
      <c r="A10890" s="12" t="s">
        <v>20216</v>
      </c>
      <c r="B10890" s="12" t="s">
        <v>2425</v>
      </c>
      <c r="C10890" s="13" t="s">
        <v>2426</v>
      </c>
      <c r="D10890" s="13" t="s">
        <v>158</v>
      </c>
      <c r="E10890" s="12" t="s">
        <v>35</v>
      </c>
      <c r="F10890" s="14">
        <v>170000</v>
      </c>
      <c r="G10890" s="14">
        <v>140700</v>
      </c>
      <c r="H10890" s="13" t="s">
        <v>20233</v>
      </c>
      <c r="I10890" s="40" t="s">
        <v>18</v>
      </c>
      <c r="J10890" s="40" t="str">
        <f>HYPERLINK("https://stock.pstatic.net/stock-research/company/18/20250715_company_668418000.pdf","PDF")</f>
        <v>PDF</v>
      </c>
      <c r="K10890" s="12" t="s">
        <v>20234</v>
      </c>
      <c r="L10890" s="20">
        <v>0.20824449182658139</v>
      </c>
    </row>
    <row r="10891" spans="1:12" x14ac:dyDescent="0.45">
      <c r="A10891" s="12" t="s">
        <v>20216</v>
      </c>
      <c r="B10891" s="12" t="s">
        <v>1686</v>
      </c>
      <c r="C10891" s="13" t="s">
        <v>1687</v>
      </c>
      <c r="D10891" s="13" t="s">
        <v>158</v>
      </c>
      <c r="E10891" s="12" t="s">
        <v>35</v>
      </c>
      <c r="F10891" s="14">
        <v>1780000</v>
      </c>
      <c r="G10891" s="14">
        <v>1462000</v>
      </c>
      <c r="H10891" s="13" t="s">
        <v>20235</v>
      </c>
      <c r="I10891" s="40" t="s">
        <v>18</v>
      </c>
      <c r="J10891" s="40" t="str">
        <f>HYPERLINK("https://stock.pstatic.net/stock-research/company/18/20250715_company_529378000.pdf","PDF")</f>
        <v>PDF</v>
      </c>
      <c r="K10891" s="12" t="s">
        <v>20236</v>
      </c>
      <c r="L10891" s="20">
        <v>0.2175102599179207</v>
      </c>
    </row>
    <row r="10892" spans="1:12" x14ac:dyDescent="0.45">
      <c r="A10892" s="12" t="s">
        <v>20216</v>
      </c>
      <c r="B10892" s="12" t="s">
        <v>76</v>
      </c>
      <c r="C10892" s="13" t="s">
        <v>77</v>
      </c>
      <c r="D10892" s="13" t="s">
        <v>34</v>
      </c>
      <c r="E10892" s="12" t="s">
        <v>35</v>
      </c>
      <c r="F10892" s="14">
        <v>31000</v>
      </c>
      <c r="G10892" s="14">
        <v>25500</v>
      </c>
      <c r="H10892" s="13" t="s">
        <v>20237</v>
      </c>
      <c r="I10892" s="40" t="s">
        <v>18</v>
      </c>
      <c r="J10892" s="40" t="str">
        <f>HYPERLINK("https://stock.pstatic.net/stock-research/company/61/20250715_company_566575000.pdf","PDF")</f>
        <v>PDF</v>
      </c>
      <c r="K10892" s="12" t="s">
        <v>20238</v>
      </c>
      <c r="L10892" s="20">
        <v>0.2156862745098039</v>
      </c>
    </row>
    <row r="10893" spans="1:12" x14ac:dyDescent="0.45">
      <c r="A10893" s="12" t="s">
        <v>20216</v>
      </c>
      <c r="B10893" s="12" t="s">
        <v>3105</v>
      </c>
      <c r="C10893" s="13" t="s">
        <v>3106</v>
      </c>
      <c r="D10893" s="13" t="s">
        <v>34</v>
      </c>
      <c r="E10893" s="12" t="s">
        <v>35</v>
      </c>
      <c r="F10893" s="14">
        <v>370000</v>
      </c>
      <c r="G10893" s="14">
        <v>272500</v>
      </c>
      <c r="H10893" s="13" t="s">
        <v>20239</v>
      </c>
      <c r="I10893" s="40" t="s">
        <v>18</v>
      </c>
      <c r="J10893" s="40" t="str">
        <f>HYPERLINK("https://stock.pstatic.net/stock-research/company/61/20250715_company_916357000.pdf","PDF")</f>
        <v>PDF</v>
      </c>
      <c r="K10893" s="12" t="s">
        <v>20240</v>
      </c>
      <c r="L10893" s="20">
        <v>0.3577981651376147</v>
      </c>
    </row>
    <row r="10894" spans="1:12" x14ac:dyDescent="0.45">
      <c r="A10894" s="12" t="s">
        <v>20216</v>
      </c>
      <c r="B10894" s="12" t="s">
        <v>3014</v>
      </c>
      <c r="C10894" s="13" t="s">
        <v>3015</v>
      </c>
      <c r="D10894" s="13" t="s">
        <v>92</v>
      </c>
      <c r="E10894" s="12" t="s">
        <v>35</v>
      </c>
      <c r="F10894" s="14">
        <v>158000</v>
      </c>
      <c r="G10894" s="14">
        <v>132400</v>
      </c>
      <c r="H10894" s="13" t="s">
        <v>20241</v>
      </c>
      <c r="I10894" s="40" t="s">
        <v>18</v>
      </c>
      <c r="J10894" s="40" t="str">
        <f>HYPERLINK("https://stock.pstatic.net/stock-research/company/63/20250715_company_753455000.pdf","PDF")</f>
        <v>PDF</v>
      </c>
      <c r="K10894" s="12" t="s">
        <v>20242</v>
      </c>
      <c r="L10894" s="20">
        <v>0.19335347432024169</v>
      </c>
    </row>
    <row r="10895" spans="1:12" x14ac:dyDescent="0.45">
      <c r="A10895" s="12" t="s">
        <v>20216</v>
      </c>
      <c r="B10895" s="12" t="s">
        <v>1057</v>
      </c>
      <c r="C10895" s="13" t="s">
        <v>1058</v>
      </c>
      <c r="D10895" s="13" t="s">
        <v>23</v>
      </c>
      <c r="E10895" s="12" t="s">
        <v>16</v>
      </c>
      <c r="F10895" s="14">
        <v>15500</v>
      </c>
      <c r="G10895" s="14">
        <v>12370</v>
      </c>
      <c r="H10895" s="13" t="s">
        <v>20243</v>
      </c>
      <c r="I10895" s="40" t="s">
        <v>18</v>
      </c>
      <c r="J10895" s="40" t="str">
        <f>HYPERLINK("https://stock.pstatic.net/stock-research/company/21/20250715_company_852172000.pdf","PDF")</f>
        <v>PDF</v>
      </c>
      <c r="K10895" s="12" t="s">
        <v>20244</v>
      </c>
      <c r="L10895" s="20">
        <v>0.25303152789005662</v>
      </c>
    </row>
    <row r="10896" spans="1:12" x14ac:dyDescent="0.45">
      <c r="A10896" s="12" t="s">
        <v>20216</v>
      </c>
      <c r="B10896" s="12" t="s">
        <v>868</v>
      </c>
      <c r="C10896" s="13" t="s">
        <v>869</v>
      </c>
      <c r="D10896" s="13" t="s">
        <v>179</v>
      </c>
      <c r="E10896" s="12" t="s">
        <v>16</v>
      </c>
      <c r="F10896" s="14">
        <v>48000</v>
      </c>
      <c r="G10896" s="14">
        <v>33700</v>
      </c>
      <c r="H10896" s="13" t="s">
        <v>20245</v>
      </c>
      <c r="I10896" s="40" t="s">
        <v>18</v>
      </c>
      <c r="J10896" s="40" t="str">
        <f>HYPERLINK("https://stock.pstatic.net/stock-research/company/64/20250715_company_880463000.pdf","PDF")</f>
        <v>PDF</v>
      </c>
      <c r="K10896" s="12" t="s">
        <v>20246</v>
      </c>
      <c r="L10896" s="20">
        <v>0.42433234421364979</v>
      </c>
    </row>
    <row r="10897" spans="1:12" x14ac:dyDescent="0.45">
      <c r="A10897" s="12" t="s">
        <v>20216</v>
      </c>
      <c r="B10897" s="12" t="s">
        <v>3478</v>
      </c>
      <c r="C10897" s="13" t="s">
        <v>3479</v>
      </c>
      <c r="D10897" s="13" t="s">
        <v>92</v>
      </c>
      <c r="E10897" s="12" t="s">
        <v>35</v>
      </c>
      <c r="F10897" s="14">
        <v>54000</v>
      </c>
      <c r="G10897" s="14">
        <v>35150</v>
      </c>
      <c r="H10897" s="13" t="s">
        <v>20247</v>
      </c>
      <c r="I10897" s="40" t="s">
        <v>18</v>
      </c>
      <c r="J10897" s="40" t="str">
        <f>HYPERLINK("https://stock.pstatic.net/stock-research/company/63/20250715_company_334851000.pdf","PDF")</f>
        <v>PDF</v>
      </c>
      <c r="K10897" s="12" t="s">
        <v>20248</v>
      </c>
      <c r="L10897" s="20">
        <v>0.5362731152204836</v>
      </c>
    </row>
    <row r="10898" spans="1:12" x14ac:dyDescent="0.45">
      <c r="A10898" s="12" t="s">
        <v>20216</v>
      </c>
      <c r="B10898" s="12" t="s">
        <v>2758</v>
      </c>
      <c r="C10898" s="13" t="s">
        <v>2759</v>
      </c>
      <c r="D10898" s="13" t="s">
        <v>92</v>
      </c>
      <c r="E10898" s="12" t="s">
        <v>35</v>
      </c>
      <c r="F10898" s="14">
        <v>407000</v>
      </c>
      <c r="G10898" s="14">
        <v>321500</v>
      </c>
      <c r="H10898" s="13" t="s">
        <v>20249</v>
      </c>
      <c r="I10898" s="40" t="s">
        <v>18</v>
      </c>
      <c r="J10898" s="40" t="str">
        <f>HYPERLINK("https://stock.pstatic.net/stock-research/company/63/20250715_company_450288000.pdf","PDF")</f>
        <v>PDF</v>
      </c>
      <c r="K10898" s="12" t="s">
        <v>20250</v>
      </c>
      <c r="L10898" s="20">
        <v>0.26594090202177301</v>
      </c>
    </row>
    <row r="10899" spans="1:12" x14ac:dyDescent="0.45">
      <c r="A10899" s="12" t="s">
        <v>20216</v>
      </c>
      <c r="B10899" s="12" t="s">
        <v>16483</v>
      </c>
      <c r="C10899" s="13" t="s">
        <v>16484</v>
      </c>
      <c r="D10899" s="13" t="s">
        <v>92</v>
      </c>
      <c r="E10899" s="12" t="s">
        <v>50</v>
      </c>
      <c r="F10899" s="13"/>
      <c r="G10899" s="14">
        <v>6200</v>
      </c>
      <c r="H10899" s="13" t="s">
        <v>20251</v>
      </c>
      <c r="I10899" s="40" t="s">
        <v>18</v>
      </c>
      <c r="J10899" s="40" t="str">
        <f>HYPERLINK("https://stock.pstatic.net/stock-research/company/63/20250715_company_772349000.pdf","PDF")</f>
        <v>PDF</v>
      </c>
      <c r="K10899" s="12" t="s">
        <v>20252</v>
      </c>
    </row>
    <row r="10900" spans="1:12" x14ac:dyDescent="0.45">
      <c r="A10900" s="12" t="s">
        <v>20216</v>
      </c>
      <c r="B10900" s="12" t="s">
        <v>732</v>
      </c>
      <c r="C10900" s="13" t="s">
        <v>733</v>
      </c>
      <c r="D10900" s="13" t="s">
        <v>53</v>
      </c>
      <c r="E10900" s="12" t="s">
        <v>16</v>
      </c>
      <c r="F10900" s="14">
        <v>140000</v>
      </c>
      <c r="G10900" s="14">
        <v>95600</v>
      </c>
      <c r="H10900" s="13" t="s">
        <v>20253</v>
      </c>
      <c r="I10900" s="40" t="s">
        <v>18</v>
      </c>
      <c r="J10900" s="40" t="str">
        <f>HYPERLINK("https://stock.pstatic.net/stock-research/company/40/20250715_company_589519000.pdf","PDF")</f>
        <v>PDF</v>
      </c>
      <c r="K10900" s="12" t="s">
        <v>20254</v>
      </c>
      <c r="L10900" s="20">
        <v>0.46443514644351458</v>
      </c>
    </row>
    <row r="10901" spans="1:12" x14ac:dyDescent="0.45">
      <c r="A10901" s="12" t="s">
        <v>20216</v>
      </c>
      <c r="B10901" s="12" t="s">
        <v>3536</v>
      </c>
      <c r="C10901" s="13" t="s">
        <v>3537</v>
      </c>
      <c r="D10901" s="13" t="s">
        <v>44</v>
      </c>
      <c r="E10901" s="12" t="s">
        <v>35</v>
      </c>
      <c r="F10901" s="14">
        <v>350000</v>
      </c>
      <c r="G10901" s="14">
        <v>267500</v>
      </c>
      <c r="H10901" s="13" t="s">
        <v>20255</v>
      </c>
      <c r="I10901" s="40" t="s">
        <v>18</v>
      </c>
      <c r="J10901" s="40" t="str">
        <f>HYPERLINK("https://stock.pstatic.net/stock-research/company/39/20250715_company_244114000.pdf","PDF")</f>
        <v>PDF</v>
      </c>
      <c r="K10901" s="12" t="s">
        <v>20256</v>
      </c>
      <c r="L10901" s="20">
        <v>0.30841121495327101</v>
      </c>
    </row>
    <row r="10902" spans="1:12" x14ac:dyDescent="0.45">
      <c r="A10902" s="12" t="s">
        <v>20216</v>
      </c>
      <c r="B10902" s="12" t="s">
        <v>2762</v>
      </c>
      <c r="C10902" s="13" t="s">
        <v>2763</v>
      </c>
      <c r="D10902" s="13" t="s">
        <v>23</v>
      </c>
      <c r="E10902" s="12" t="s">
        <v>16</v>
      </c>
      <c r="F10902" s="14">
        <v>170000</v>
      </c>
      <c r="G10902" s="14">
        <v>90600</v>
      </c>
      <c r="H10902" s="13" t="s">
        <v>20257</v>
      </c>
      <c r="I10902" s="40" t="s">
        <v>18</v>
      </c>
      <c r="J10902" s="40" t="str">
        <f>HYPERLINK("https://stock.pstatic.net/stock-research/company/21/20250715_company_972974000.pdf","PDF")</f>
        <v>PDF</v>
      </c>
      <c r="K10902" s="12" t="s">
        <v>20258</v>
      </c>
      <c r="L10902" s="20">
        <v>0.87637969094922741</v>
      </c>
    </row>
    <row r="10903" spans="1:12" x14ac:dyDescent="0.45">
      <c r="A10903" s="12" t="s">
        <v>20216</v>
      </c>
      <c r="B10903" s="12" t="s">
        <v>3164</v>
      </c>
      <c r="C10903" s="13" t="s">
        <v>3165</v>
      </c>
      <c r="D10903" s="13" t="s">
        <v>44</v>
      </c>
      <c r="E10903" s="12" t="s">
        <v>35</v>
      </c>
      <c r="F10903" s="14">
        <v>102000</v>
      </c>
      <c r="G10903" s="14">
        <v>71200</v>
      </c>
      <c r="H10903" s="13" t="s">
        <v>20259</v>
      </c>
      <c r="I10903" s="40" t="s">
        <v>18</v>
      </c>
      <c r="J10903" s="40" t="str">
        <f>HYPERLINK("https://stock.pstatic.net/stock-research/company/39/20250715_company_207337000.pdf","PDF")</f>
        <v>PDF</v>
      </c>
      <c r="K10903" s="12" t="s">
        <v>20260</v>
      </c>
      <c r="L10903" s="20">
        <v>0.43258426966292141</v>
      </c>
    </row>
    <row r="10904" spans="1:12" x14ac:dyDescent="0.45">
      <c r="A10904" s="12" t="s">
        <v>20216</v>
      </c>
      <c r="B10904" s="12" t="s">
        <v>1047</v>
      </c>
      <c r="C10904" s="13" t="s">
        <v>1048</v>
      </c>
      <c r="D10904" s="13" t="s">
        <v>124</v>
      </c>
      <c r="E10904" s="12" t="s">
        <v>50</v>
      </c>
      <c r="F10904" s="13"/>
      <c r="G10904" s="13"/>
      <c r="H10904" s="13" t="s">
        <v>20261</v>
      </c>
      <c r="I10904" s="40" t="s">
        <v>18</v>
      </c>
      <c r="J10904" s="40" t="str">
        <f>HYPERLINK("https://stock.pstatic.net/stock-research/company/1/20250715_company_962919000.pdf","PDF")</f>
        <v>PDF</v>
      </c>
      <c r="K10904" s="12" t="s">
        <v>20262</v>
      </c>
    </row>
    <row r="10905" spans="1:12" x14ac:dyDescent="0.45">
      <c r="A10905" s="12" t="s">
        <v>20263</v>
      </c>
      <c r="B10905" s="12" t="s">
        <v>3105</v>
      </c>
      <c r="C10905" s="13" t="s">
        <v>3106</v>
      </c>
      <c r="D10905" s="13" t="s">
        <v>15</v>
      </c>
      <c r="E10905" s="12" t="s">
        <v>16</v>
      </c>
      <c r="F10905" s="14">
        <v>390000</v>
      </c>
      <c r="G10905" s="14">
        <v>271000</v>
      </c>
      <c r="H10905" s="13" t="s">
        <v>20264</v>
      </c>
      <c r="I10905" s="40" t="s">
        <v>18</v>
      </c>
      <c r="J10905" s="40" t="str">
        <f>HYPERLINK("https://stock.pstatic.net/stock-research/company/29/20250714_company_919911000.pdf","PDF")</f>
        <v>PDF</v>
      </c>
      <c r="K10905" s="12" t="s">
        <v>20265</v>
      </c>
      <c r="L10905" s="20">
        <v>0.43911439114391138</v>
      </c>
    </row>
    <row r="10906" spans="1:12" x14ac:dyDescent="0.45">
      <c r="A10906" s="12" t="s">
        <v>20263</v>
      </c>
      <c r="B10906" s="12" t="s">
        <v>1765</v>
      </c>
      <c r="C10906" s="13" t="s">
        <v>1766</v>
      </c>
      <c r="D10906" s="13" t="s">
        <v>60</v>
      </c>
      <c r="E10906" s="12" t="s">
        <v>35</v>
      </c>
      <c r="F10906" s="14">
        <v>123000</v>
      </c>
      <c r="G10906" s="14">
        <v>100800</v>
      </c>
      <c r="H10906" s="13" t="s">
        <v>20266</v>
      </c>
      <c r="I10906" s="40" t="s">
        <v>18</v>
      </c>
      <c r="J10906" s="40" t="str">
        <f>HYPERLINK("https://stock.pstatic.net/stock-research/company/62/20250714_company_173436000.pdf","PDF")</f>
        <v>PDF</v>
      </c>
      <c r="K10906" s="12" t="s">
        <v>20267</v>
      </c>
      <c r="L10906" s="20">
        <v>0.22023809523809521</v>
      </c>
    </row>
    <row r="10907" spans="1:12" x14ac:dyDescent="0.45">
      <c r="A10907" s="12" t="s">
        <v>20263</v>
      </c>
      <c r="B10907" s="12" t="s">
        <v>6914</v>
      </c>
      <c r="C10907" s="13" t="s">
        <v>6915</v>
      </c>
      <c r="D10907" s="13" t="s">
        <v>65</v>
      </c>
      <c r="E10907" s="12" t="s">
        <v>50</v>
      </c>
      <c r="F10907" s="13"/>
      <c r="G10907" s="14">
        <v>60400</v>
      </c>
      <c r="H10907" s="13" t="s">
        <v>20268</v>
      </c>
      <c r="I10907" s="40" t="s">
        <v>18</v>
      </c>
      <c r="J10907" s="40" t="str">
        <f>HYPERLINK("https://stock.pstatic.net/stock-research/company/57/20250714_company_136511000.pdf","PDF")</f>
        <v>PDF</v>
      </c>
      <c r="K10907" s="12" t="s">
        <v>20269</v>
      </c>
    </row>
    <row r="10908" spans="1:12" x14ac:dyDescent="0.45">
      <c r="A10908" s="12" t="s">
        <v>20263</v>
      </c>
      <c r="B10908" s="12" t="s">
        <v>2191</v>
      </c>
      <c r="C10908" s="13" t="s">
        <v>2192</v>
      </c>
      <c r="D10908" s="13" t="s">
        <v>65</v>
      </c>
      <c r="E10908" s="12" t="s">
        <v>35</v>
      </c>
      <c r="F10908" s="14">
        <v>78000</v>
      </c>
      <c r="G10908" s="14">
        <v>67200</v>
      </c>
      <c r="H10908" s="13" t="s">
        <v>20270</v>
      </c>
      <c r="I10908" s="40" t="s">
        <v>18</v>
      </c>
      <c r="J10908" s="40" t="str">
        <f>HYPERLINK("https://stock.pstatic.net/stock-research/company/57/20250714_company_688901000.pdf","PDF")</f>
        <v>PDF</v>
      </c>
      <c r="K10908" s="12" t="s">
        <v>20271</v>
      </c>
      <c r="L10908" s="20">
        <v>0.1607142857142857</v>
      </c>
    </row>
    <row r="10909" spans="1:12" x14ac:dyDescent="0.45">
      <c r="A10909" s="12" t="s">
        <v>20263</v>
      </c>
      <c r="B10909" s="12" t="s">
        <v>756</v>
      </c>
      <c r="C10909" s="13" t="s">
        <v>757</v>
      </c>
      <c r="D10909" s="13" t="s">
        <v>65</v>
      </c>
      <c r="E10909" s="12" t="s">
        <v>35</v>
      </c>
      <c r="F10909" s="14">
        <v>130000</v>
      </c>
      <c r="G10909" s="14">
        <v>105900</v>
      </c>
      <c r="H10909" s="13" t="s">
        <v>20272</v>
      </c>
      <c r="I10909" s="40" t="s">
        <v>18</v>
      </c>
      <c r="J10909" s="40" t="str">
        <f>HYPERLINK("https://stock.pstatic.net/stock-research/company/57/20250714_company_303912000.pdf","PDF")</f>
        <v>PDF</v>
      </c>
      <c r="K10909" s="12" t="s">
        <v>20273</v>
      </c>
      <c r="L10909" s="20">
        <v>0.22757318224740319</v>
      </c>
    </row>
    <row r="10910" spans="1:12" x14ac:dyDescent="0.45">
      <c r="A10910" s="12" t="s">
        <v>20263</v>
      </c>
      <c r="B10910" s="12" t="s">
        <v>768</v>
      </c>
      <c r="C10910" s="13" t="s">
        <v>769</v>
      </c>
      <c r="D10910" s="13" t="s">
        <v>65</v>
      </c>
      <c r="E10910" s="12" t="s">
        <v>35</v>
      </c>
      <c r="F10910" s="14">
        <v>300000</v>
      </c>
      <c r="G10910" s="14">
        <v>245500</v>
      </c>
      <c r="H10910" s="13" t="s">
        <v>20274</v>
      </c>
      <c r="I10910" s="40" t="s">
        <v>18</v>
      </c>
      <c r="J10910" s="40" t="str">
        <f>HYPERLINK("https://stock.pstatic.net/stock-research/company/57/20250714_company_629671000.pdf","PDF")</f>
        <v>PDF</v>
      </c>
      <c r="K10910" s="12" t="s">
        <v>20275</v>
      </c>
      <c r="L10910" s="20">
        <v>0.2219959266802444</v>
      </c>
    </row>
    <row r="10911" spans="1:12" x14ac:dyDescent="0.45">
      <c r="A10911" s="12" t="s">
        <v>20263</v>
      </c>
      <c r="B10911" s="12" t="s">
        <v>4642</v>
      </c>
      <c r="C10911" s="13" t="s">
        <v>4643</v>
      </c>
      <c r="D10911" s="13" t="s">
        <v>65</v>
      </c>
      <c r="E10911" s="12" t="s">
        <v>35</v>
      </c>
      <c r="F10911" s="14">
        <v>30000</v>
      </c>
      <c r="G10911" s="14">
        <v>24850</v>
      </c>
      <c r="H10911" s="13" t="s">
        <v>20276</v>
      </c>
      <c r="I10911" s="40" t="s">
        <v>18</v>
      </c>
      <c r="J10911" s="40" t="str">
        <f>HYPERLINK("https://stock.pstatic.net/stock-research/company/57/20250714_company_686120000.pdf","PDF")</f>
        <v>PDF</v>
      </c>
      <c r="K10911" s="12" t="s">
        <v>20277</v>
      </c>
      <c r="L10911" s="20">
        <v>0.20724346076458749</v>
      </c>
    </row>
    <row r="10912" spans="1:12" x14ac:dyDescent="0.45">
      <c r="A10912" s="12" t="s">
        <v>20263</v>
      </c>
      <c r="B10912" s="12" t="s">
        <v>1670</v>
      </c>
      <c r="C10912" s="13" t="s">
        <v>1671</v>
      </c>
      <c r="D10912" s="13" t="s">
        <v>65</v>
      </c>
      <c r="E10912" s="12" t="s">
        <v>35</v>
      </c>
      <c r="F10912" s="14">
        <v>160000</v>
      </c>
      <c r="G10912" s="14">
        <v>125700</v>
      </c>
      <c r="H10912" s="13" t="s">
        <v>20278</v>
      </c>
      <c r="I10912" s="40" t="s">
        <v>18</v>
      </c>
      <c r="J10912" s="40" t="str">
        <f>HYPERLINK("https://stock.pstatic.net/stock-research/company/1/20250714_company_612589000.pdf","PDF")</f>
        <v>PDF</v>
      </c>
      <c r="K10912" s="12" t="s">
        <v>20279</v>
      </c>
      <c r="L10912" s="20">
        <v>0.27287191726332538</v>
      </c>
    </row>
    <row r="10913" spans="1:12" x14ac:dyDescent="0.45">
      <c r="A10913" s="12" t="s">
        <v>20263</v>
      </c>
      <c r="B10913" s="12" t="s">
        <v>1674</v>
      </c>
      <c r="C10913" s="13" t="s">
        <v>1675</v>
      </c>
      <c r="D10913" s="13" t="s">
        <v>65</v>
      </c>
      <c r="E10913" s="12" t="s">
        <v>35</v>
      </c>
      <c r="F10913" s="14">
        <v>440000</v>
      </c>
      <c r="G10913" s="14">
        <v>357000</v>
      </c>
      <c r="H10913" s="13" t="s">
        <v>20280</v>
      </c>
      <c r="I10913" s="40" t="s">
        <v>18</v>
      </c>
      <c r="J10913" s="40" t="str">
        <f>HYPERLINK("https://stock.pstatic.net/stock-research/company/57/20250714_company_111617000.pdf","PDF")</f>
        <v>PDF</v>
      </c>
      <c r="K10913" s="12" t="s">
        <v>20281</v>
      </c>
      <c r="L10913" s="20">
        <v>0.23249299719887959</v>
      </c>
    </row>
    <row r="10914" spans="1:12" x14ac:dyDescent="0.45">
      <c r="A10914" s="12" t="s">
        <v>20263</v>
      </c>
      <c r="B10914" s="12" t="s">
        <v>1415</v>
      </c>
      <c r="C10914" s="13" t="s">
        <v>1416</v>
      </c>
      <c r="D10914" s="13" t="s">
        <v>65</v>
      </c>
      <c r="E10914" s="12" t="s">
        <v>35</v>
      </c>
      <c r="F10914" s="14">
        <v>7000</v>
      </c>
      <c r="G10914" s="14">
        <v>4780</v>
      </c>
      <c r="H10914" s="13" t="s">
        <v>20282</v>
      </c>
      <c r="I10914" s="40" t="s">
        <v>18</v>
      </c>
      <c r="J10914" s="40" t="str">
        <f>HYPERLINK("https://stock.pstatic.net/stock-research/company/57/20250714_company_424969000.pdf","PDF")</f>
        <v>PDF</v>
      </c>
      <c r="K10914" s="12" t="s">
        <v>20283</v>
      </c>
      <c r="L10914" s="20">
        <v>0.46443514644351458</v>
      </c>
    </row>
    <row r="10915" spans="1:12" x14ac:dyDescent="0.45">
      <c r="A10915" s="12" t="s">
        <v>20263</v>
      </c>
      <c r="B10915" s="12" t="s">
        <v>1300</v>
      </c>
      <c r="C10915" s="13" t="s">
        <v>1301</v>
      </c>
      <c r="D10915" s="13" t="s">
        <v>65</v>
      </c>
      <c r="E10915" s="12" t="s">
        <v>35</v>
      </c>
      <c r="F10915" s="14">
        <v>260000</v>
      </c>
      <c r="G10915" s="14">
        <v>157700</v>
      </c>
      <c r="H10915" s="13" t="s">
        <v>20284</v>
      </c>
      <c r="I10915" s="40" t="s">
        <v>18</v>
      </c>
      <c r="J10915" s="40" t="str">
        <f>HYPERLINK("https://stock.pstatic.net/stock-research/company/57/20250714_company_556871000.pdf","PDF")</f>
        <v>PDF</v>
      </c>
      <c r="K10915" s="12" t="s">
        <v>20285</v>
      </c>
      <c r="L10915" s="20">
        <v>0.64870006341154085</v>
      </c>
    </row>
    <row r="10916" spans="1:12" x14ac:dyDescent="0.45">
      <c r="A10916" s="12" t="s">
        <v>20263</v>
      </c>
      <c r="B10916" s="12" t="s">
        <v>4642</v>
      </c>
      <c r="C10916" s="13" t="s">
        <v>4643</v>
      </c>
      <c r="D10916" s="13" t="s">
        <v>57</v>
      </c>
      <c r="E10916" s="12" t="s">
        <v>35</v>
      </c>
      <c r="F10916" s="14">
        <v>30000</v>
      </c>
      <c r="G10916" s="14">
        <v>24850</v>
      </c>
      <c r="H10916" s="13" t="s">
        <v>20286</v>
      </c>
      <c r="I10916" s="40" t="s">
        <v>18</v>
      </c>
      <c r="J10916" s="40" t="str">
        <f>HYPERLINK("https://stock.pstatic.net/stock-research/company/16/20250714_company_614053000.pdf","PDF")</f>
        <v>PDF</v>
      </c>
      <c r="K10916" s="12" t="s">
        <v>20287</v>
      </c>
      <c r="L10916" s="20">
        <v>0.20724346076458749</v>
      </c>
    </row>
    <row r="10917" spans="1:12" x14ac:dyDescent="0.45">
      <c r="A10917" s="12" t="s">
        <v>20263</v>
      </c>
      <c r="B10917" s="12" t="s">
        <v>3154</v>
      </c>
      <c r="C10917" s="13" t="s">
        <v>3155</v>
      </c>
      <c r="D10917" s="13" t="s">
        <v>57</v>
      </c>
      <c r="E10917" s="12" t="s">
        <v>35</v>
      </c>
      <c r="F10917" s="14">
        <v>6600</v>
      </c>
      <c r="G10917" s="14">
        <v>4975</v>
      </c>
      <c r="H10917" s="13" t="s">
        <v>20288</v>
      </c>
      <c r="I10917" s="40" t="s">
        <v>18</v>
      </c>
      <c r="J10917" s="40" t="str">
        <f>HYPERLINK("https://stock.pstatic.net/stock-research/company/16/20250714_company_409420000.pdf","PDF")</f>
        <v>PDF</v>
      </c>
      <c r="K10917" s="12" t="s">
        <v>20289</v>
      </c>
      <c r="L10917" s="20">
        <v>0.32663316582914581</v>
      </c>
    </row>
    <row r="10918" spans="1:12" x14ac:dyDescent="0.45">
      <c r="A10918" s="12" t="s">
        <v>20263</v>
      </c>
      <c r="B10918" s="12" t="s">
        <v>1936</v>
      </c>
      <c r="C10918" s="13" t="s">
        <v>1937</v>
      </c>
      <c r="D10918" s="13" t="s">
        <v>57</v>
      </c>
      <c r="E10918" s="12" t="s">
        <v>35</v>
      </c>
      <c r="F10918" s="14">
        <v>8900</v>
      </c>
      <c r="G10918" s="14">
        <v>6430</v>
      </c>
      <c r="H10918" s="13" t="s">
        <v>20290</v>
      </c>
      <c r="I10918" s="40" t="s">
        <v>18</v>
      </c>
      <c r="J10918" s="40" t="str">
        <f>HYPERLINK("https://stock.pstatic.net/stock-research/company/16/20250714_company_363254000.pdf","PDF")</f>
        <v>PDF</v>
      </c>
      <c r="K10918" s="12" t="s">
        <v>20291</v>
      </c>
      <c r="L10918" s="20">
        <v>0.38413685847589418</v>
      </c>
    </row>
    <row r="10919" spans="1:12" x14ac:dyDescent="0.45">
      <c r="A10919" s="12" t="s">
        <v>20263</v>
      </c>
      <c r="B10919" s="12" t="s">
        <v>352</v>
      </c>
      <c r="C10919" s="13" t="s">
        <v>353</v>
      </c>
      <c r="D10919" s="13" t="s">
        <v>57</v>
      </c>
      <c r="E10919" s="12" t="s">
        <v>35</v>
      </c>
      <c r="F10919" s="14">
        <v>240000</v>
      </c>
      <c r="G10919" s="14">
        <v>184800</v>
      </c>
      <c r="H10919" s="13" t="s">
        <v>20292</v>
      </c>
      <c r="I10919" s="40" t="s">
        <v>18</v>
      </c>
      <c r="J10919" s="40" t="str">
        <f>HYPERLINK("https://stock.pstatic.net/stock-research/company/16/20250714_company_596470000.pdf","PDF")</f>
        <v>PDF</v>
      </c>
      <c r="K10919" s="12" t="s">
        <v>20293</v>
      </c>
      <c r="L10919" s="20">
        <v>0.29870129870129869</v>
      </c>
    </row>
    <row r="10920" spans="1:12" x14ac:dyDescent="0.45">
      <c r="A10920" s="12" t="s">
        <v>20263</v>
      </c>
      <c r="B10920" s="12" t="s">
        <v>2089</v>
      </c>
      <c r="C10920" s="13" t="s">
        <v>2090</v>
      </c>
      <c r="D10920" s="13" t="s">
        <v>57</v>
      </c>
      <c r="E10920" s="12" t="s">
        <v>35</v>
      </c>
      <c r="F10920" s="14">
        <v>79000</v>
      </c>
      <c r="G10920" s="14">
        <v>63500</v>
      </c>
      <c r="H10920" s="13" t="s">
        <v>14875</v>
      </c>
      <c r="I10920" s="40" t="s">
        <v>18</v>
      </c>
      <c r="J10920" s="40" t="str">
        <f>HYPERLINK("https://stock.pstatic.net/stock-research/company/16/20250714_company_99208000.pdf","PDF")</f>
        <v>PDF</v>
      </c>
      <c r="K10920" s="12" t="s">
        <v>20294</v>
      </c>
      <c r="L10920" s="20">
        <v>0.24409448818897639</v>
      </c>
    </row>
    <row r="10921" spans="1:12" x14ac:dyDescent="0.45">
      <c r="A10921" s="12" t="s">
        <v>20263</v>
      </c>
      <c r="B10921" s="12" t="s">
        <v>2040</v>
      </c>
      <c r="C10921" s="13" t="s">
        <v>2041</v>
      </c>
      <c r="D10921" s="13" t="s">
        <v>57</v>
      </c>
      <c r="E10921" s="12" t="s">
        <v>35</v>
      </c>
      <c r="F10921" s="14">
        <v>84000</v>
      </c>
      <c r="G10921" s="14">
        <v>70000</v>
      </c>
      <c r="H10921" s="13" t="s">
        <v>20295</v>
      </c>
      <c r="I10921" s="40" t="s">
        <v>18</v>
      </c>
      <c r="J10921" s="40" t="str">
        <f>HYPERLINK("https://stock.pstatic.net/stock-research/company/16/20250714_company_785152000.pdf","PDF")</f>
        <v>PDF</v>
      </c>
      <c r="K10921" s="12" t="s">
        <v>20296</v>
      </c>
      <c r="L10921" s="20">
        <v>0.2</v>
      </c>
    </row>
    <row r="10922" spans="1:12" x14ac:dyDescent="0.45">
      <c r="A10922" s="12" t="s">
        <v>20263</v>
      </c>
      <c r="B10922" s="12" t="s">
        <v>4642</v>
      </c>
      <c r="C10922" s="13" t="s">
        <v>4643</v>
      </c>
      <c r="D10922" s="13" t="s">
        <v>158</v>
      </c>
      <c r="E10922" s="12" t="s">
        <v>35</v>
      </c>
      <c r="F10922" s="14">
        <v>31000</v>
      </c>
      <c r="G10922" s="14">
        <v>24850</v>
      </c>
      <c r="H10922" s="13" t="s">
        <v>20297</v>
      </c>
      <c r="I10922" s="40" t="s">
        <v>18</v>
      </c>
      <c r="J10922" s="40" t="str">
        <f>HYPERLINK("https://stock.pstatic.net/stock-research/company/1/20250714_company_849856000.pdf","PDF")</f>
        <v>PDF</v>
      </c>
      <c r="K10922" s="12" t="s">
        <v>20298</v>
      </c>
      <c r="L10922" s="20">
        <v>0.24748490945674051</v>
      </c>
    </row>
    <row r="10923" spans="1:12" x14ac:dyDescent="0.45">
      <c r="A10923" s="12" t="s">
        <v>20263</v>
      </c>
      <c r="B10923" s="12" t="s">
        <v>1019</v>
      </c>
      <c r="C10923" s="13" t="s">
        <v>1020</v>
      </c>
      <c r="D10923" s="13" t="s">
        <v>158</v>
      </c>
      <c r="E10923" s="12" t="s">
        <v>35</v>
      </c>
      <c r="F10923" s="14">
        <v>23000</v>
      </c>
      <c r="G10923" s="14">
        <v>17890</v>
      </c>
      <c r="H10923" s="13" t="s">
        <v>20299</v>
      </c>
      <c r="I10923" s="40" t="s">
        <v>18</v>
      </c>
      <c r="J10923" s="40" t="str">
        <f>HYPERLINK("https://stock.pstatic.net/stock-research/company/18/20250714_company_324760000.pdf","PDF")</f>
        <v>PDF</v>
      </c>
      <c r="K10923" s="12" t="s">
        <v>20300</v>
      </c>
      <c r="L10923" s="20">
        <v>0.28563443264393518</v>
      </c>
    </row>
    <row r="10924" spans="1:12" x14ac:dyDescent="0.45">
      <c r="A10924" s="12" t="s">
        <v>20263</v>
      </c>
      <c r="B10924" s="12" t="s">
        <v>334</v>
      </c>
      <c r="C10924" s="13" t="s">
        <v>335</v>
      </c>
      <c r="D10924" s="13" t="s">
        <v>15</v>
      </c>
      <c r="E10924" s="12" t="s">
        <v>385</v>
      </c>
      <c r="F10924" s="14">
        <v>300000</v>
      </c>
      <c r="G10924" s="14">
        <v>294500</v>
      </c>
      <c r="H10924" s="13" t="s">
        <v>20301</v>
      </c>
      <c r="I10924" s="40" t="s">
        <v>18</v>
      </c>
      <c r="J10924" s="40" t="str">
        <f>HYPERLINK("https://stock.pstatic.net/stock-research/company/29/20250714_company_180482000.pdf","PDF")</f>
        <v>PDF</v>
      </c>
      <c r="K10924" s="12" t="s">
        <v>20302</v>
      </c>
      <c r="L10924" s="20">
        <v>1.8675721561969439E-2</v>
      </c>
    </row>
    <row r="10925" spans="1:12" x14ac:dyDescent="0.45">
      <c r="A10925" s="12" t="s">
        <v>20263</v>
      </c>
      <c r="B10925" s="12" t="s">
        <v>13</v>
      </c>
      <c r="C10925" s="13" t="s">
        <v>14</v>
      </c>
      <c r="D10925" s="13" t="s">
        <v>15</v>
      </c>
      <c r="E10925" s="12" t="s">
        <v>16</v>
      </c>
      <c r="F10925" s="14">
        <v>78000</v>
      </c>
      <c r="G10925" s="14">
        <v>62600</v>
      </c>
      <c r="H10925" s="13" t="s">
        <v>20303</v>
      </c>
      <c r="I10925" s="40" t="s">
        <v>18</v>
      </c>
      <c r="J10925" s="40" t="str">
        <f>HYPERLINK("https://stock.pstatic.net/stock-research/company/29/20250714_company_5548000.pdf","PDF")</f>
        <v>PDF</v>
      </c>
      <c r="K10925" s="12" t="s">
        <v>20304</v>
      </c>
      <c r="L10925" s="20">
        <v>0.2460063897763578</v>
      </c>
    </row>
    <row r="10926" spans="1:12" x14ac:dyDescent="0.45">
      <c r="A10926" s="12" t="s">
        <v>20263</v>
      </c>
      <c r="B10926" s="12" t="s">
        <v>4642</v>
      </c>
      <c r="C10926" s="13" t="s">
        <v>4643</v>
      </c>
      <c r="D10926" s="13" t="s">
        <v>15</v>
      </c>
      <c r="E10926" s="12" t="s">
        <v>16</v>
      </c>
      <c r="F10926" s="14">
        <v>30000</v>
      </c>
      <c r="G10926" s="14">
        <v>24850</v>
      </c>
      <c r="H10926" s="13" t="s">
        <v>20305</v>
      </c>
      <c r="I10926" s="40" t="s">
        <v>18</v>
      </c>
      <c r="J10926" s="40" t="str">
        <f>HYPERLINK("https://stock.pstatic.net/stock-research/company/29/20250714_company_27835000.pdf","PDF")</f>
        <v>PDF</v>
      </c>
      <c r="K10926" s="12" t="s">
        <v>20306</v>
      </c>
      <c r="L10926" s="20">
        <v>0.20724346076458749</v>
      </c>
    </row>
    <row r="10927" spans="1:12" x14ac:dyDescent="0.45">
      <c r="A10927" s="12" t="s">
        <v>20263</v>
      </c>
      <c r="B10927" s="12" t="s">
        <v>2944</v>
      </c>
      <c r="C10927" s="13" t="s">
        <v>2945</v>
      </c>
      <c r="D10927" s="13" t="s">
        <v>15</v>
      </c>
      <c r="E10927" s="12" t="s">
        <v>16</v>
      </c>
      <c r="F10927" s="14">
        <v>19000</v>
      </c>
      <c r="G10927" s="14">
        <v>15310</v>
      </c>
      <c r="H10927" s="13" t="s">
        <v>20307</v>
      </c>
      <c r="I10927" s="40" t="s">
        <v>18</v>
      </c>
      <c r="J10927" s="40" t="str">
        <f>HYPERLINK("https://stock.pstatic.net/stock-research/company/56/20250714_company_67976000.pdf","PDF")</f>
        <v>PDF</v>
      </c>
      <c r="K10927" s="12" t="s">
        <v>20308</v>
      </c>
      <c r="L10927" s="20">
        <v>0.24101894186806011</v>
      </c>
    </row>
    <row r="10928" spans="1:12" x14ac:dyDescent="0.45">
      <c r="A10928" s="12" t="s">
        <v>20263</v>
      </c>
      <c r="B10928" s="12" t="s">
        <v>3168</v>
      </c>
      <c r="C10928" s="13" t="s">
        <v>3169</v>
      </c>
      <c r="D10928" s="13" t="s">
        <v>15</v>
      </c>
      <c r="E10928" s="12" t="s">
        <v>16</v>
      </c>
      <c r="F10928" s="14">
        <v>19000</v>
      </c>
      <c r="G10928" s="14">
        <v>14980</v>
      </c>
      <c r="H10928" s="13" t="s">
        <v>20309</v>
      </c>
      <c r="I10928" s="40" t="s">
        <v>18</v>
      </c>
      <c r="J10928" s="40" t="str">
        <f>HYPERLINK("https://stock.pstatic.net/stock-research/company/1/20250714_company_647804000.pdf","PDF")</f>
        <v>PDF</v>
      </c>
      <c r="K10928" s="12" t="s">
        <v>20310</v>
      </c>
      <c r="L10928" s="20">
        <v>0.26835781041388518</v>
      </c>
    </row>
    <row r="10929" spans="1:12" x14ac:dyDescent="0.45">
      <c r="A10929" s="12" t="s">
        <v>20263</v>
      </c>
      <c r="B10929" s="12" t="s">
        <v>3492</v>
      </c>
      <c r="C10929" s="13" t="s">
        <v>3493</v>
      </c>
      <c r="D10929" s="13" t="s">
        <v>15</v>
      </c>
      <c r="E10929" s="12" t="s">
        <v>385</v>
      </c>
      <c r="F10929" s="14">
        <v>21000</v>
      </c>
      <c r="G10929" s="14">
        <v>20000</v>
      </c>
      <c r="H10929" s="13" t="s">
        <v>20311</v>
      </c>
      <c r="I10929" s="40" t="s">
        <v>18</v>
      </c>
      <c r="J10929" s="40" t="str">
        <f>HYPERLINK("https://stock.pstatic.net/stock-research/company/56/20250714_company_846638000.pdf","PDF")</f>
        <v>PDF</v>
      </c>
      <c r="K10929" s="12" t="s">
        <v>20312</v>
      </c>
      <c r="L10929" s="20">
        <v>0.05</v>
      </c>
    </row>
    <row r="10930" spans="1:12" x14ac:dyDescent="0.45">
      <c r="A10930" s="12" t="s">
        <v>20263</v>
      </c>
      <c r="B10930" s="12" t="s">
        <v>3482</v>
      </c>
      <c r="C10930" s="13" t="s">
        <v>3483</v>
      </c>
      <c r="D10930" s="13" t="s">
        <v>15</v>
      </c>
      <c r="E10930" s="12" t="s">
        <v>16</v>
      </c>
      <c r="F10930" s="14">
        <v>133000</v>
      </c>
      <c r="G10930" s="14">
        <v>93200</v>
      </c>
      <c r="H10930" s="13" t="s">
        <v>20313</v>
      </c>
      <c r="I10930" s="40" t="s">
        <v>18</v>
      </c>
      <c r="J10930" s="40" t="str">
        <f>HYPERLINK("https://stock.pstatic.net/stock-research/company/29/20250714_company_738549000.pdf","PDF")</f>
        <v>PDF</v>
      </c>
      <c r="K10930" s="12" t="s">
        <v>20314</v>
      </c>
      <c r="L10930" s="20">
        <v>0.42703862660944208</v>
      </c>
    </row>
    <row r="10931" spans="1:12" x14ac:dyDescent="0.45">
      <c r="A10931" s="12" t="s">
        <v>20263</v>
      </c>
      <c r="B10931" s="12" t="s">
        <v>3488</v>
      </c>
      <c r="C10931" s="13" t="s">
        <v>3489</v>
      </c>
      <c r="D10931" s="13" t="s">
        <v>15</v>
      </c>
      <c r="E10931" s="12" t="s">
        <v>16</v>
      </c>
      <c r="F10931" s="14">
        <v>29000</v>
      </c>
      <c r="G10931" s="14">
        <v>25850</v>
      </c>
      <c r="H10931" s="13" t="s">
        <v>20315</v>
      </c>
      <c r="I10931" s="40" t="s">
        <v>18</v>
      </c>
      <c r="J10931" s="40" t="str">
        <f>HYPERLINK("https://stock.pstatic.net/stock-research/company/56/20250714_company_837817000.pdf","PDF")</f>
        <v>PDF</v>
      </c>
      <c r="K10931" s="12" t="s">
        <v>20316</v>
      </c>
      <c r="L10931" s="20">
        <v>0.1218568665377176</v>
      </c>
    </row>
    <row r="10932" spans="1:12" x14ac:dyDescent="0.45">
      <c r="A10932" s="12" t="s">
        <v>20263</v>
      </c>
      <c r="B10932" s="12" t="s">
        <v>537</v>
      </c>
      <c r="C10932" s="13" t="s">
        <v>538</v>
      </c>
      <c r="D10932" s="13" t="s">
        <v>83</v>
      </c>
      <c r="E10932" s="12" t="s">
        <v>35</v>
      </c>
      <c r="F10932" s="14">
        <v>17000</v>
      </c>
      <c r="G10932" s="14">
        <v>14990</v>
      </c>
      <c r="H10932" s="13" t="s">
        <v>20317</v>
      </c>
      <c r="I10932" s="40" t="s">
        <v>18</v>
      </c>
      <c r="J10932" s="40" t="str">
        <f>HYPERLINK("https://stock.pstatic.net/stock-research/company/2/20250714_company_764834000.pdf","PDF")</f>
        <v>PDF</v>
      </c>
      <c r="K10932" s="12" t="s">
        <v>20318</v>
      </c>
      <c r="L10932" s="20">
        <v>0.1340893929286191</v>
      </c>
    </row>
    <row r="10933" spans="1:12" x14ac:dyDescent="0.45">
      <c r="A10933" s="12" t="s">
        <v>20263</v>
      </c>
      <c r="B10933" s="12" t="s">
        <v>4642</v>
      </c>
      <c r="C10933" s="13" t="s">
        <v>4643</v>
      </c>
      <c r="D10933" s="13" t="s">
        <v>83</v>
      </c>
      <c r="E10933" s="12" t="s">
        <v>35</v>
      </c>
      <c r="F10933" s="14">
        <v>28000</v>
      </c>
      <c r="G10933" s="14">
        <v>24850</v>
      </c>
      <c r="H10933" s="13" t="s">
        <v>20319</v>
      </c>
      <c r="I10933" s="40" t="s">
        <v>18</v>
      </c>
      <c r="J10933" s="40" t="str">
        <f>HYPERLINK("https://stock.pstatic.net/stock-research/company/2/20250714_company_408252000.pdf","PDF")</f>
        <v>PDF</v>
      </c>
      <c r="K10933" s="12" t="s">
        <v>20320</v>
      </c>
      <c r="L10933" s="20">
        <v>0.12676056338028169</v>
      </c>
    </row>
    <row r="10934" spans="1:12" x14ac:dyDescent="0.45">
      <c r="A10934" s="12" t="s">
        <v>20263</v>
      </c>
      <c r="B10934" s="12" t="s">
        <v>3749</v>
      </c>
      <c r="C10934" s="13" t="s">
        <v>3750</v>
      </c>
      <c r="D10934" s="13" t="s">
        <v>83</v>
      </c>
      <c r="E10934" s="12" t="s">
        <v>35</v>
      </c>
      <c r="F10934" s="14">
        <v>170000</v>
      </c>
      <c r="G10934" s="14">
        <v>141300</v>
      </c>
      <c r="H10934" s="13" t="s">
        <v>20321</v>
      </c>
      <c r="I10934" s="40" t="s">
        <v>18</v>
      </c>
      <c r="J10934" s="40" t="str">
        <f>HYPERLINK("https://stock.pstatic.net/stock-research/company/2/20250714_company_199487000.pdf","PDF")</f>
        <v>PDF</v>
      </c>
      <c r="K10934" s="12" t="s">
        <v>20322</v>
      </c>
      <c r="L10934" s="20">
        <v>0.20311394196744509</v>
      </c>
    </row>
    <row r="10935" spans="1:12" x14ac:dyDescent="0.45">
      <c r="A10935" s="12" t="s">
        <v>20263</v>
      </c>
      <c r="B10935" s="12" t="s">
        <v>756</v>
      </c>
      <c r="C10935" s="13" t="s">
        <v>757</v>
      </c>
      <c r="D10935" s="13" t="s">
        <v>83</v>
      </c>
      <c r="E10935" s="12" t="s">
        <v>35</v>
      </c>
      <c r="F10935" s="14">
        <v>130000</v>
      </c>
      <c r="G10935" s="14">
        <v>105900</v>
      </c>
      <c r="H10935" s="13" t="s">
        <v>20323</v>
      </c>
      <c r="I10935" s="40" t="s">
        <v>18</v>
      </c>
      <c r="J10935" s="40" t="str">
        <f>HYPERLINK("https://stock.pstatic.net/stock-research/company/2/20250714_company_266997000.pdf","PDF")</f>
        <v>PDF</v>
      </c>
      <c r="K10935" s="12" t="s">
        <v>20324</v>
      </c>
      <c r="L10935" s="20">
        <v>0.22757318224740319</v>
      </c>
    </row>
    <row r="10936" spans="1:12" x14ac:dyDescent="0.45">
      <c r="A10936" s="12" t="s">
        <v>20263</v>
      </c>
      <c r="B10936" s="12" t="s">
        <v>507</v>
      </c>
      <c r="C10936" s="13" t="s">
        <v>508</v>
      </c>
      <c r="D10936" s="13" t="s">
        <v>83</v>
      </c>
      <c r="E10936" s="12" t="s">
        <v>35</v>
      </c>
      <c r="F10936" s="14">
        <v>13000</v>
      </c>
      <c r="G10936" s="14">
        <v>8380</v>
      </c>
      <c r="H10936" s="13" t="s">
        <v>20325</v>
      </c>
      <c r="I10936" s="40" t="s">
        <v>18</v>
      </c>
      <c r="J10936" s="40" t="str">
        <f>HYPERLINK("https://stock.pstatic.net/stock-research/company/2/20250714_company_737304000.pdf","PDF")</f>
        <v>PDF</v>
      </c>
      <c r="K10936" s="12" t="s">
        <v>20326</v>
      </c>
      <c r="L10936" s="20">
        <v>0.55131264916467781</v>
      </c>
    </row>
    <row r="10937" spans="1:12" x14ac:dyDescent="0.45">
      <c r="A10937" s="12" t="s">
        <v>20263</v>
      </c>
      <c r="B10937" s="12" t="s">
        <v>677</v>
      </c>
      <c r="C10937" s="13" t="s">
        <v>678</v>
      </c>
      <c r="D10937" s="13" t="s">
        <v>83</v>
      </c>
      <c r="E10937" s="12" t="s">
        <v>35</v>
      </c>
      <c r="F10937" s="14">
        <v>15000</v>
      </c>
      <c r="G10937" s="14">
        <v>11310</v>
      </c>
      <c r="H10937" s="13" t="s">
        <v>20327</v>
      </c>
      <c r="I10937" s="40" t="s">
        <v>18</v>
      </c>
      <c r="J10937" s="40" t="str">
        <f>HYPERLINK("https://stock.pstatic.net/stock-research/company/2/20250714_company_353000000.pdf","PDF")</f>
        <v>PDF</v>
      </c>
      <c r="K10937" s="12" t="s">
        <v>20328</v>
      </c>
      <c r="L10937" s="20">
        <v>0.32625994694960209</v>
      </c>
    </row>
    <row r="10938" spans="1:12" x14ac:dyDescent="0.45">
      <c r="A10938" s="12" t="s">
        <v>20263</v>
      </c>
      <c r="B10938" s="12" t="s">
        <v>812</v>
      </c>
      <c r="C10938" s="13" t="s">
        <v>813</v>
      </c>
      <c r="D10938" s="13" t="s">
        <v>83</v>
      </c>
      <c r="E10938" s="12" t="s">
        <v>35</v>
      </c>
      <c r="F10938" s="14">
        <v>70000</v>
      </c>
      <c r="G10938" s="14">
        <v>60200</v>
      </c>
      <c r="H10938" s="13" t="s">
        <v>20329</v>
      </c>
      <c r="I10938" s="40" t="s">
        <v>18</v>
      </c>
      <c r="J10938" s="40" t="str">
        <f>HYPERLINK("https://stock.pstatic.net/stock-research/company/2/20250714_company_152042000.pdf","PDF")</f>
        <v>PDF</v>
      </c>
      <c r="K10938" s="12" t="s">
        <v>20330</v>
      </c>
      <c r="L10938" s="20">
        <v>0.16279069767441859</v>
      </c>
    </row>
    <row r="10939" spans="1:12" x14ac:dyDescent="0.45">
      <c r="A10939" s="12" t="s">
        <v>20263</v>
      </c>
      <c r="B10939" s="12" t="s">
        <v>4291</v>
      </c>
      <c r="C10939" s="13" t="s">
        <v>4292</v>
      </c>
      <c r="D10939" s="13" t="s">
        <v>124</v>
      </c>
      <c r="E10939" s="12" t="s">
        <v>50</v>
      </c>
      <c r="F10939" s="13"/>
      <c r="G10939" s="13"/>
      <c r="H10939" s="13" t="s">
        <v>20331</v>
      </c>
      <c r="I10939" s="40" t="s">
        <v>18</v>
      </c>
      <c r="J10939" s="40" t="str">
        <f>HYPERLINK("https://stock.pstatic.net/stock-research/company/74/20250714_company_937195000.pdf","PDF")</f>
        <v>PDF</v>
      </c>
      <c r="K10939" s="12" t="s">
        <v>20332</v>
      </c>
    </row>
    <row r="10940" spans="1:12" x14ac:dyDescent="0.45">
      <c r="A10940" s="12" t="s">
        <v>20263</v>
      </c>
      <c r="B10940" s="12" t="s">
        <v>3688</v>
      </c>
      <c r="C10940" s="13" t="s">
        <v>3689</v>
      </c>
      <c r="D10940" s="13" t="s">
        <v>15</v>
      </c>
      <c r="E10940" s="12" t="s">
        <v>16</v>
      </c>
      <c r="F10940" s="14">
        <v>97000</v>
      </c>
      <c r="G10940" s="14">
        <v>69300</v>
      </c>
      <c r="H10940" s="13" t="s">
        <v>20333</v>
      </c>
      <c r="I10940" s="40" t="s">
        <v>18</v>
      </c>
      <c r="J10940" s="40" t="str">
        <f>HYPERLINK("https://stock.pstatic.net/stock-research/company/29/20250714_company_211041000.pdf","PDF")</f>
        <v>PDF</v>
      </c>
      <c r="K10940" s="12" t="s">
        <v>20334</v>
      </c>
      <c r="L10940" s="20">
        <v>0.39971139971139968</v>
      </c>
    </row>
    <row r="10941" spans="1:12" x14ac:dyDescent="0.45">
      <c r="A10941" s="12" t="s">
        <v>20263</v>
      </c>
      <c r="B10941" s="12" t="s">
        <v>3373</v>
      </c>
      <c r="C10941" s="13" t="s">
        <v>3374</v>
      </c>
      <c r="D10941" s="13" t="s">
        <v>15</v>
      </c>
      <c r="E10941" s="12" t="s">
        <v>16</v>
      </c>
      <c r="F10941" s="14">
        <v>167000</v>
      </c>
      <c r="G10941" s="14">
        <v>117300</v>
      </c>
      <c r="H10941" s="13" t="s">
        <v>20335</v>
      </c>
      <c r="I10941" s="40" t="s">
        <v>18</v>
      </c>
      <c r="J10941" s="40" t="str">
        <f>HYPERLINK("https://stock.pstatic.net/stock-research/company/29/20250714_company_974893000.pdf","PDF")</f>
        <v>PDF</v>
      </c>
      <c r="K10941" s="12" t="s">
        <v>20336</v>
      </c>
      <c r="L10941" s="20">
        <v>0.4236999147485081</v>
      </c>
    </row>
    <row r="10942" spans="1:12" x14ac:dyDescent="0.45">
      <c r="A10942" s="12" t="s">
        <v>20263</v>
      </c>
      <c r="B10942" s="12" t="s">
        <v>1262</v>
      </c>
      <c r="C10942" s="13" t="s">
        <v>1263</v>
      </c>
      <c r="D10942" s="13" t="s">
        <v>179</v>
      </c>
      <c r="E10942" s="12" t="s">
        <v>385</v>
      </c>
      <c r="F10942" s="14">
        <v>3900</v>
      </c>
      <c r="G10942" s="14">
        <v>4170</v>
      </c>
      <c r="H10942" s="13" t="s">
        <v>20337</v>
      </c>
      <c r="I10942" s="40" t="s">
        <v>18</v>
      </c>
      <c r="J10942" s="40" t="str">
        <f>HYPERLINK("https://stock.pstatic.net/stock-research/company/1/20250714_company_102233000.pdf","PDF")</f>
        <v>PDF</v>
      </c>
      <c r="K10942" s="12" t="s">
        <v>20338</v>
      </c>
      <c r="L10942" s="20">
        <v>-6.4748201438848921E-2</v>
      </c>
    </row>
    <row r="10943" spans="1:12" x14ac:dyDescent="0.45">
      <c r="A10943" s="12" t="s">
        <v>20263</v>
      </c>
      <c r="B10943" s="12" t="s">
        <v>2187</v>
      </c>
      <c r="C10943" s="13" t="s">
        <v>2188</v>
      </c>
      <c r="D10943" s="13" t="s">
        <v>92</v>
      </c>
      <c r="E10943" s="12" t="s">
        <v>35</v>
      </c>
      <c r="F10943" s="14">
        <v>136000</v>
      </c>
      <c r="G10943" s="14">
        <v>124300</v>
      </c>
      <c r="H10943" s="13" t="s">
        <v>20339</v>
      </c>
      <c r="I10943" s="40" t="s">
        <v>18</v>
      </c>
      <c r="J10943" s="40" t="str">
        <f>HYPERLINK("https://stock.pstatic.net/stock-research/company/63/20250714_company_398971000.pdf","PDF")</f>
        <v>PDF</v>
      </c>
      <c r="K10943" s="12" t="s">
        <v>20340</v>
      </c>
      <c r="L10943" s="20">
        <v>9.4127111826226864E-2</v>
      </c>
    </row>
    <row r="10944" spans="1:12" x14ac:dyDescent="0.45">
      <c r="A10944" s="12" t="s">
        <v>20263</v>
      </c>
      <c r="B10944" s="12" t="s">
        <v>375</v>
      </c>
      <c r="C10944" s="13" t="s">
        <v>376</v>
      </c>
      <c r="D10944" s="13" t="s">
        <v>92</v>
      </c>
      <c r="E10944" s="12" t="s">
        <v>35</v>
      </c>
      <c r="F10944" s="14">
        <v>30000</v>
      </c>
      <c r="G10944" s="14">
        <v>24400</v>
      </c>
      <c r="H10944" s="13" t="s">
        <v>20341</v>
      </c>
      <c r="I10944" s="40" t="s">
        <v>18</v>
      </c>
      <c r="J10944" s="40" t="str">
        <f>HYPERLINK("https://stock.pstatic.net/stock-research/company/63/20250714_company_175749000.pdf","PDF")</f>
        <v>PDF</v>
      </c>
      <c r="K10944" s="12" t="s">
        <v>20342</v>
      </c>
      <c r="L10944" s="20">
        <v>0.22950819672131151</v>
      </c>
    </row>
    <row r="10945" spans="1:12" x14ac:dyDescent="0.45">
      <c r="A10945" s="12" t="s">
        <v>20263</v>
      </c>
      <c r="B10945" s="12" t="s">
        <v>768</v>
      </c>
      <c r="C10945" s="13" t="s">
        <v>769</v>
      </c>
      <c r="D10945" s="13" t="s">
        <v>92</v>
      </c>
      <c r="E10945" s="12" t="s">
        <v>35</v>
      </c>
      <c r="F10945" s="14">
        <v>330000</v>
      </c>
      <c r="G10945" s="14">
        <v>245500</v>
      </c>
      <c r="H10945" s="13" t="s">
        <v>20343</v>
      </c>
      <c r="I10945" s="40" t="s">
        <v>18</v>
      </c>
      <c r="J10945" s="40" t="str">
        <f>HYPERLINK("https://stock.pstatic.net/stock-research/company/63/20250714_company_789624000.pdf","PDF")</f>
        <v>PDF</v>
      </c>
      <c r="K10945" s="12" t="s">
        <v>20344</v>
      </c>
      <c r="L10945" s="20">
        <v>0.34419551934826892</v>
      </c>
    </row>
    <row r="10946" spans="1:12" x14ac:dyDescent="0.45">
      <c r="A10946" s="12" t="s">
        <v>20263</v>
      </c>
      <c r="B10946" s="12" t="s">
        <v>259</v>
      </c>
      <c r="C10946" s="13" t="s">
        <v>260</v>
      </c>
      <c r="D10946" s="13" t="s">
        <v>92</v>
      </c>
      <c r="E10946" s="12" t="s">
        <v>35</v>
      </c>
      <c r="F10946" s="14">
        <v>95000</v>
      </c>
      <c r="G10946" s="14">
        <v>74900</v>
      </c>
      <c r="H10946" s="13" t="s">
        <v>20345</v>
      </c>
      <c r="I10946" s="40" t="s">
        <v>18</v>
      </c>
      <c r="J10946" s="40" t="str">
        <f>HYPERLINK("https://stock.pstatic.net/stock-research/company/63/20250714_company_803350000.pdf","PDF")</f>
        <v>PDF</v>
      </c>
      <c r="K10946" s="12" t="s">
        <v>20346</v>
      </c>
      <c r="L10946" s="20">
        <v>0.26835781041388518</v>
      </c>
    </row>
    <row r="10947" spans="1:12" x14ac:dyDescent="0.45">
      <c r="A10947" s="12" t="s">
        <v>20263</v>
      </c>
      <c r="B10947" s="12" t="s">
        <v>916</v>
      </c>
      <c r="C10947" s="13" t="s">
        <v>917</v>
      </c>
      <c r="D10947" s="13" t="s">
        <v>179</v>
      </c>
      <c r="E10947" s="12" t="s">
        <v>16</v>
      </c>
      <c r="F10947" s="14">
        <v>78000</v>
      </c>
      <c r="G10947" s="14">
        <v>60000</v>
      </c>
      <c r="H10947" s="13" t="s">
        <v>20347</v>
      </c>
      <c r="I10947" s="40" t="s">
        <v>18</v>
      </c>
      <c r="J10947" s="40" t="str">
        <f>HYPERLINK("https://stock.pstatic.net/stock-research/company/64/20250714_company_112234000.pdf","PDF")</f>
        <v>PDF</v>
      </c>
      <c r="K10947" s="12" t="s">
        <v>20348</v>
      </c>
      <c r="L10947" s="20">
        <v>0.3</v>
      </c>
    </row>
    <row r="10948" spans="1:12" x14ac:dyDescent="0.45">
      <c r="A10948" s="12" t="s">
        <v>20263</v>
      </c>
      <c r="B10948" s="12" t="s">
        <v>1648</v>
      </c>
      <c r="C10948" s="13" t="s">
        <v>1649</v>
      </c>
      <c r="D10948" s="13" t="s">
        <v>92</v>
      </c>
      <c r="E10948" s="12" t="s">
        <v>35</v>
      </c>
      <c r="F10948" s="14">
        <v>170000</v>
      </c>
      <c r="G10948" s="14">
        <v>136200</v>
      </c>
      <c r="H10948" s="13" t="s">
        <v>20349</v>
      </c>
      <c r="I10948" s="40" t="s">
        <v>18</v>
      </c>
      <c r="J10948" s="40" t="str">
        <f>HYPERLINK("https://stock.pstatic.net/stock-research/company/1/20250714_company_518102000.pdf","PDF")</f>
        <v>PDF</v>
      </c>
      <c r="K10948" s="12" t="s">
        <v>20350</v>
      </c>
      <c r="L10948" s="20">
        <v>0.2481644640234949</v>
      </c>
    </row>
    <row r="10949" spans="1:12" x14ac:dyDescent="0.45">
      <c r="A10949" s="12" t="s">
        <v>20263</v>
      </c>
      <c r="B10949" s="12" t="s">
        <v>1328</v>
      </c>
      <c r="C10949" s="13" t="s">
        <v>1329</v>
      </c>
      <c r="D10949" s="13" t="s">
        <v>179</v>
      </c>
      <c r="E10949" s="12" t="s">
        <v>16</v>
      </c>
      <c r="F10949" s="14">
        <v>13000</v>
      </c>
      <c r="G10949" s="14">
        <v>11150</v>
      </c>
      <c r="H10949" s="13" t="s">
        <v>20351</v>
      </c>
      <c r="I10949" s="40" t="s">
        <v>18</v>
      </c>
      <c r="J10949" s="40" t="str">
        <f>HYPERLINK("https://stock.pstatic.net/stock-research/company/31/20250714_company_354885000.pdf","PDF")</f>
        <v>PDF</v>
      </c>
      <c r="K10949" s="12" t="s">
        <v>20352</v>
      </c>
      <c r="L10949" s="20">
        <v>0.1659192825112108</v>
      </c>
    </row>
    <row r="10950" spans="1:12" x14ac:dyDescent="0.45">
      <c r="A10950" s="12" t="s">
        <v>20263</v>
      </c>
      <c r="B10950" s="12" t="s">
        <v>370</v>
      </c>
      <c r="C10950" s="13" t="s">
        <v>371</v>
      </c>
      <c r="D10950" s="13" t="s">
        <v>92</v>
      </c>
      <c r="E10950" s="12" t="s">
        <v>35</v>
      </c>
      <c r="F10950" s="14">
        <v>110000</v>
      </c>
      <c r="G10950" s="14">
        <v>86500</v>
      </c>
      <c r="H10950" s="13" t="s">
        <v>20353</v>
      </c>
      <c r="I10950" s="40" t="s">
        <v>18</v>
      </c>
      <c r="J10950" s="40" t="str">
        <f>HYPERLINK("https://stock.pstatic.net/stock-research/company/63/20250714_company_190959000.pdf","PDF")</f>
        <v>PDF</v>
      </c>
      <c r="K10950" s="12" t="s">
        <v>20354</v>
      </c>
      <c r="L10950" s="20">
        <v>0.27167630057803471</v>
      </c>
    </row>
    <row r="10951" spans="1:12" x14ac:dyDescent="0.45">
      <c r="A10951" s="12" t="s">
        <v>20263</v>
      </c>
      <c r="B10951" s="12" t="s">
        <v>4642</v>
      </c>
      <c r="C10951" s="13" t="s">
        <v>4643</v>
      </c>
      <c r="D10951" s="13" t="s">
        <v>34</v>
      </c>
      <c r="E10951" s="12" t="s">
        <v>35</v>
      </c>
      <c r="F10951" s="14">
        <v>29000</v>
      </c>
      <c r="G10951" s="14">
        <v>24850</v>
      </c>
      <c r="H10951" s="13" t="s">
        <v>20355</v>
      </c>
      <c r="I10951" s="40" t="s">
        <v>18</v>
      </c>
      <c r="J10951" s="40" t="str">
        <f>HYPERLINK("https://stock.pstatic.net/stock-research/company/61/20250714_company_335526000.pdf","PDF")</f>
        <v>PDF</v>
      </c>
      <c r="K10951" s="12" t="s">
        <v>20356</v>
      </c>
      <c r="L10951" s="20">
        <v>0.16700201207243459</v>
      </c>
    </row>
    <row r="10952" spans="1:12" x14ac:dyDescent="0.45">
      <c r="A10952" s="12" t="s">
        <v>20263</v>
      </c>
      <c r="B10952" s="12" t="s">
        <v>691</v>
      </c>
      <c r="C10952" s="13" t="s">
        <v>20</v>
      </c>
      <c r="D10952" s="13" t="s">
        <v>179</v>
      </c>
      <c r="E10952" s="12" t="s">
        <v>16</v>
      </c>
      <c r="F10952" s="14">
        <v>221539</v>
      </c>
      <c r="G10952" s="14">
        <v>178600</v>
      </c>
      <c r="H10952" s="13" t="s">
        <v>20357</v>
      </c>
      <c r="I10952" s="40" t="s">
        <v>18</v>
      </c>
      <c r="J10952" s="40" t="str">
        <f>HYPERLINK("https://stock.pstatic.net/stock-research/company/31/20250714_company_858131000.pdf","PDF")</f>
        <v>PDF</v>
      </c>
      <c r="K10952" s="12" t="s">
        <v>20358</v>
      </c>
      <c r="L10952" s="20">
        <v>0.2404199328107503</v>
      </c>
    </row>
    <row r="10953" spans="1:12" x14ac:dyDescent="0.45">
      <c r="A10953" s="12" t="s">
        <v>20263</v>
      </c>
      <c r="B10953" s="12" t="s">
        <v>3105</v>
      </c>
      <c r="C10953" s="13" t="s">
        <v>3106</v>
      </c>
      <c r="D10953" s="13" t="s">
        <v>92</v>
      </c>
      <c r="E10953" s="12" t="s">
        <v>35</v>
      </c>
      <c r="F10953" s="14">
        <v>370000</v>
      </c>
      <c r="G10953" s="14">
        <v>271000</v>
      </c>
      <c r="H10953" s="13" t="s">
        <v>20359</v>
      </c>
      <c r="I10953" s="40" t="s">
        <v>18</v>
      </c>
      <c r="J10953" s="40" t="str">
        <f>HYPERLINK("https://stock.pstatic.net/stock-research/company/1/20250714_company_511140000.pdf","PDF")</f>
        <v>PDF</v>
      </c>
      <c r="K10953" s="12" t="s">
        <v>20360</v>
      </c>
      <c r="L10953" s="20">
        <v>0.36531365313653141</v>
      </c>
    </row>
    <row r="10954" spans="1:12" x14ac:dyDescent="0.45">
      <c r="A10954" s="12" t="s">
        <v>20263</v>
      </c>
      <c r="B10954" s="12" t="s">
        <v>2089</v>
      </c>
      <c r="C10954" s="13" t="s">
        <v>2090</v>
      </c>
      <c r="D10954" s="13" t="s">
        <v>15</v>
      </c>
      <c r="E10954" s="12" t="s">
        <v>16</v>
      </c>
      <c r="F10954" s="14">
        <v>82000</v>
      </c>
      <c r="G10954" s="14">
        <v>63500</v>
      </c>
      <c r="H10954" s="13" t="s">
        <v>20361</v>
      </c>
      <c r="I10954" s="40" t="s">
        <v>18</v>
      </c>
      <c r="J10954" s="40" t="str">
        <f>HYPERLINK("https://stock.pstatic.net/stock-research/company/29/20250714_company_75467000.pdf","PDF")</f>
        <v>PDF</v>
      </c>
      <c r="K10954" s="12" t="s">
        <v>20362</v>
      </c>
      <c r="L10954" s="20">
        <v>0.29133858267716528</v>
      </c>
    </row>
    <row r="10955" spans="1:12" x14ac:dyDescent="0.45">
      <c r="A10955" s="12" t="s">
        <v>20263</v>
      </c>
      <c r="B10955" s="12" t="s">
        <v>3296</v>
      </c>
      <c r="C10955" s="13" t="s">
        <v>3297</v>
      </c>
      <c r="D10955" s="13" t="s">
        <v>179</v>
      </c>
      <c r="E10955" s="12" t="s">
        <v>16</v>
      </c>
      <c r="F10955" s="14">
        <v>65000</v>
      </c>
      <c r="G10955" s="14">
        <v>42600</v>
      </c>
      <c r="H10955" s="13" t="s">
        <v>20363</v>
      </c>
      <c r="I10955" s="40" t="s">
        <v>18</v>
      </c>
      <c r="J10955" s="40" t="str">
        <f>HYPERLINK("https://stock.pstatic.net/stock-research/company/31/20250714_company_856316000.pdf","PDF")</f>
        <v>PDF</v>
      </c>
      <c r="K10955" s="12" t="s">
        <v>20364</v>
      </c>
      <c r="L10955" s="20">
        <v>0.5258215962441315</v>
      </c>
    </row>
    <row r="10956" spans="1:12" x14ac:dyDescent="0.45">
      <c r="A10956" s="12" t="s">
        <v>20263</v>
      </c>
      <c r="B10956" s="12" t="s">
        <v>1666</v>
      </c>
      <c r="C10956" s="13" t="s">
        <v>1667</v>
      </c>
      <c r="D10956" s="13" t="s">
        <v>179</v>
      </c>
      <c r="E10956" s="12" t="s">
        <v>16</v>
      </c>
      <c r="F10956" s="14">
        <v>79000</v>
      </c>
      <c r="G10956" s="14">
        <v>61700</v>
      </c>
      <c r="H10956" s="13" t="s">
        <v>20365</v>
      </c>
      <c r="I10956" s="40" t="s">
        <v>18</v>
      </c>
      <c r="J10956" s="40" t="str">
        <f>HYPERLINK("https://stock.pstatic.net/stock-research/company/31/20250714_company_255596000.pdf","PDF")</f>
        <v>PDF</v>
      </c>
      <c r="K10956" s="12" t="s">
        <v>20366</v>
      </c>
      <c r="L10956" s="20">
        <v>0.28038897893030801</v>
      </c>
    </row>
    <row r="10957" spans="1:12" x14ac:dyDescent="0.45">
      <c r="A10957" s="12" t="s">
        <v>20263</v>
      </c>
      <c r="B10957" s="12" t="s">
        <v>3204</v>
      </c>
      <c r="C10957" s="13" t="s">
        <v>3205</v>
      </c>
      <c r="D10957" s="13" t="s">
        <v>53</v>
      </c>
      <c r="E10957" s="12" t="s">
        <v>16</v>
      </c>
      <c r="F10957" s="14">
        <v>4800</v>
      </c>
      <c r="G10957" s="14">
        <v>4095</v>
      </c>
      <c r="H10957" s="13" t="s">
        <v>20367</v>
      </c>
      <c r="I10957" s="40" t="s">
        <v>18</v>
      </c>
      <c r="J10957" s="40" t="str">
        <f>HYPERLINK("https://stock.pstatic.net/stock-research/company/40/20250714_company_564459000.pdf","PDF")</f>
        <v>PDF</v>
      </c>
      <c r="K10957" s="12" t="s">
        <v>20368</v>
      </c>
      <c r="L10957" s="20">
        <v>0.17216117216117219</v>
      </c>
    </row>
    <row r="10958" spans="1:12" x14ac:dyDescent="0.45">
      <c r="A10958" s="12" t="s">
        <v>20263</v>
      </c>
      <c r="B10958" s="12" t="s">
        <v>537</v>
      </c>
      <c r="C10958" s="13" t="s">
        <v>538</v>
      </c>
      <c r="D10958" s="13" t="s">
        <v>92</v>
      </c>
      <c r="E10958" s="12" t="s">
        <v>35</v>
      </c>
      <c r="F10958" s="14">
        <v>18000</v>
      </c>
      <c r="G10958" s="14">
        <v>14990</v>
      </c>
      <c r="H10958" s="13" t="s">
        <v>20369</v>
      </c>
      <c r="I10958" s="40" t="s">
        <v>18</v>
      </c>
      <c r="J10958" s="40" t="str">
        <f>HYPERLINK("https://stock.pstatic.net/stock-research/company/63/20250714_company_961108000.pdf","PDF")</f>
        <v>PDF</v>
      </c>
      <c r="K10958" s="12" t="s">
        <v>20370</v>
      </c>
      <c r="L10958" s="20">
        <v>0.20080053368912609</v>
      </c>
    </row>
    <row r="10959" spans="1:12" x14ac:dyDescent="0.45">
      <c r="A10959" s="12" t="s">
        <v>20263</v>
      </c>
      <c r="B10959" s="12" t="s">
        <v>4021</v>
      </c>
      <c r="C10959" s="13" t="s">
        <v>4022</v>
      </c>
      <c r="D10959" s="13" t="s">
        <v>34</v>
      </c>
      <c r="E10959" s="12" t="s">
        <v>35</v>
      </c>
      <c r="F10959" s="14">
        <v>310000</v>
      </c>
      <c r="G10959" s="14">
        <v>265500</v>
      </c>
      <c r="H10959" s="13" t="s">
        <v>20371</v>
      </c>
      <c r="I10959" s="40" t="s">
        <v>18</v>
      </c>
      <c r="J10959" s="40" t="str">
        <f>HYPERLINK("https://stock.pstatic.net/stock-research/company/61/20250714_company_968477000.pdf","PDF")</f>
        <v>PDF</v>
      </c>
      <c r="K10959" s="12" t="s">
        <v>20372</v>
      </c>
      <c r="L10959" s="20">
        <v>0.16760828625235399</v>
      </c>
    </row>
    <row r="10960" spans="1:12" x14ac:dyDescent="0.45">
      <c r="A10960" s="12" t="s">
        <v>20263</v>
      </c>
      <c r="B10960" s="12" t="s">
        <v>585</v>
      </c>
      <c r="C10960" s="13" t="s">
        <v>586</v>
      </c>
      <c r="D10960" s="13" t="s">
        <v>53</v>
      </c>
      <c r="E10960" s="12" t="s">
        <v>16</v>
      </c>
      <c r="F10960" s="14">
        <v>43000</v>
      </c>
      <c r="G10960" s="14">
        <v>37050</v>
      </c>
      <c r="H10960" s="13" t="s">
        <v>20373</v>
      </c>
      <c r="I10960" s="40" t="s">
        <v>18</v>
      </c>
      <c r="J10960" s="40" t="str">
        <f>HYPERLINK("https://stock.pstatic.net/stock-research/company/40/20250714_company_726744000.pdf","PDF")</f>
        <v>PDF</v>
      </c>
      <c r="K10960" s="12" t="s">
        <v>20374</v>
      </c>
      <c r="L10960" s="20">
        <v>0.1605937921727395</v>
      </c>
    </row>
    <row r="10961" spans="1:12" x14ac:dyDescent="0.45">
      <c r="A10961" s="12" t="s">
        <v>20263</v>
      </c>
      <c r="B10961" s="12" t="s">
        <v>3087</v>
      </c>
      <c r="C10961" s="13" t="s">
        <v>3088</v>
      </c>
      <c r="D10961" s="13" t="s">
        <v>179</v>
      </c>
      <c r="E10961" s="12" t="s">
        <v>16</v>
      </c>
      <c r="F10961" s="14">
        <v>230000</v>
      </c>
      <c r="G10961" s="14">
        <v>188600</v>
      </c>
      <c r="H10961" s="13" t="s">
        <v>20375</v>
      </c>
      <c r="I10961" s="40" t="s">
        <v>18</v>
      </c>
      <c r="J10961" s="40" t="str">
        <f>HYPERLINK("https://stock.pstatic.net/stock-research/company/31/20250714_company_631483000.pdf","PDF")</f>
        <v>PDF</v>
      </c>
      <c r="K10961" s="12" t="s">
        <v>20376</v>
      </c>
      <c r="L10961" s="20">
        <v>0.21951219512195119</v>
      </c>
    </row>
    <row r="10962" spans="1:12" x14ac:dyDescent="0.45">
      <c r="A10962" s="12" t="s">
        <v>20263</v>
      </c>
      <c r="B10962" s="12" t="s">
        <v>264</v>
      </c>
      <c r="C10962" s="13" t="s">
        <v>265</v>
      </c>
      <c r="D10962" s="13" t="s">
        <v>34</v>
      </c>
      <c r="E10962" s="12" t="s">
        <v>35</v>
      </c>
      <c r="F10962" s="14">
        <v>220000</v>
      </c>
      <c r="G10962" s="14">
        <v>182400</v>
      </c>
      <c r="H10962" s="13" t="s">
        <v>19447</v>
      </c>
      <c r="I10962" s="40" t="s">
        <v>18</v>
      </c>
      <c r="J10962" s="40" t="str">
        <f>HYPERLINK("https://stock.pstatic.net/stock-research/company/61/20250714_company_243953000.pdf","PDF")</f>
        <v>PDF</v>
      </c>
      <c r="K10962" s="12" t="s">
        <v>20377</v>
      </c>
      <c r="L10962" s="20">
        <v>0.20614035087719301</v>
      </c>
    </row>
    <row r="10963" spans="1:12" x14ac:dyDescent="0.45">
      <c r="A10963" s="12" t="s">
        <v>20263</v>
      </c>
      <c r="B10963" s="12" t="s">
        <v>3113</v>
      </c>
      <c r="C10963" s="13" t="s">
        <v>3114</v>
      </c>
      <c r="D10963" s="13" t="s">
        <v>34</v>
      </c>
      <c r="E10963" s="12" t="s">
        <v>35</v>
      </c>
      <c r="F10963" s="14">
        <v>37000</v>
      </c>
      <c r="G10963" s="14">
        <v>31900</v>
      </c>
      <c r="H10963" s="13" t="s">
        <v>20378</v>
      </c>
      <c r="I10963" s="40" t="s">
        <v>18</v>
      </c>
      <c r="J10963" s="40" t="str">
        <f>HYPERLINK("https://stock.pstatic.net/stock-research/company/61/20250714_company_666786000.pdf","PDF")</f>
        <v>PDF</v>
      </c>
      <c r="K10963" s="12" t="s">
        <v>20379</v>
      </c>
      <c r="L10963" s="20">
        <v>0.15987460815047019</v>
      </c>
    </row>
    <row r="10964" spans="1:12" x14ac:dyDescent="0.45">
      <c r="A10964" s="12" t="s">
        <v>20263</v>
      </c>
      <c r="B10964" s="12" t="s">
        <v>5767</v>
      </c>
      <c r="C10964" s="13" t="s">
        <v>5768</v>
      </c>
      <c r="D10964" s="13" t="s">
        <v>34</v>
      </c>
      <c r="E10964" s="12" t="s">
        <v>50</v>
      </c>
      <c r="F10964" s="13"/>
      <c r="G10964" s="14">
        <v>33850</v>
      </c>
      <c r="H10964" s="13" t="s">
        <v>20380</v>
      </c>
      <c r="I10964" s="40" t="s">
        <v>18</v>
      </c>
      <c r="J10964" s="40" t="str">
        <f>HYPERLINK("https://stock.pstatic.net/stock-research/company/61/20250714_company_661056000.pdf","PDF")</f>
        <v>PDF</v>
      </c>
      <c r="K10964" s="12" t="s">
        <v>20381</v>
      </c>
    </row>
    <row r="10965" spans="1:12" x14ac:dyDescent="0.45">
      <c r="A10965" s="12" t="s">
        <v>20263</v>
      </c>
      <c r="B10965" s="12" t="s">
        <v>17845</v>
      </c>
      <c r="C10965" s="13" t="s">
        <v>17846</v>
      </c>
      <c r="D10965" s="13" t="s">
        <v>34</v>
      </c>
      <c r="E10965" s="12" t="s">
        <v>50</v>
      </c>
      <c r="F10965" s="13"/>
      <c r="G10965" s="14">
        <v>5540</v>
      </c>
      <c r="H10965" s="13" t="s">
        <v>20382</v>
      </c>
      <c r="I10965" s="40" t="s">
        <v>18</v>
      </c>
      <c r="J10965" s="40" t="str">
        <f>HYPERLINK("https://stock.pstatic.net/stock-research/company/61/20250714_company_353484000.pdf","PDF")</f>
        <v>PDF</v>
      </c>
      <c r="K10965" s="12" t="s">
        <v>20383</v>
      </c>
    </row>
    <row r="10966" spans="1:12" x14ac:dyDescent="0.45">
      <c r="A10966" s="12" t="s">
        <v>20263</v>
      </c>
      <c r="B10966" s="12" t="s">
        <v>2488</v>
      </c>
      <c r="C10966" s="13" t="s">
        <v>2489</v>
      </c>
      <c r="D10966" s="13" t="s">
        <v>179</v>
      </c>
      <c r="E10966" s="12" t="s">
        <v>16</v>
      </c>
      <c r="F10966" s="14">
        <v>57000</v>
      </c>
      <c r="G10966" s="14">
        <v>47350</v>
      </c>
      <c r="H10966" s="13" t="s">
        <v>20384</v>
      </c>
      <c r="I10966" s="40" t="s">
        <v>18</v>
      </c>
      <c r="J10966" s="40" t="str">
        <f>HYPERLINK("https://stock.pstatic.net/stock-research/company/64/20250714_company_793757000.pdf","PDF")</f>
        <v>PDF</v>
      </c>
      <c r="K10966" s="12" t="s">
        <v>20385</v>
      </c>
      <c r="L10966" s="20">
        <v>0.20380147835269269</v>
      </c>
    </row>
    <row r="10967" spans="1:12" x14ac:dyDescent="0.45">
      <c r="A10967" s="12" t="s">
        <v>20263</v>
      </c>
      <c r="B10967" s="12" t="s">
        <v>12399</v>
      </c>
      <c r="C10967" s="13" t="s">
        <v>12400</v>
      </c>
      <c r="D10967" s="13" t="s">
        <v>44</v>
      </c>
      <c r="E10967" s="12" t="s">
        <v>35</v>
      </c>
      <c r="F10967" s="14">
        <v>88000</v>
      </c>
      <c r="G10967" s="14">
        <v>72800</v>
      </c>
      <c r="H10967" s="13" t="s">
        <v>20386</v>
      </c>
      <c r="I10967" s="40" t="s">
        <v>18</v>
      </c>
      <c r="J10967" s="40" t="str">
        <f>HYPERLINK("https://stock.pstatic.net/stock-research/company/39/20250714_company_270735000.pdf","PDF")</f>
        <v>PDF</v>
      </c>
      <c r="K10967" s="12" t="s">
        <v>20387</v>
      </c>
      <c r="L10967" s="20">
        <v>0.2087912087912088</v>
      </c>
    </row>
    <row r="10968" spans="1:12" x14ac:dyDescent="0.45">
      <c r="A10968" s="12" t="s">
        <v>20263</v>
      </c>
      <c r="B10968" s="12" t="s">
        <v>2365</v>
      </c>
      <c r="C10968" s="13" t="s">
        <v>2366</v>
      </c>
      <c r="D10968" s="13" t="s">
        <v>44</v>
      </c>
      <c r="E10968" s="12" t="s">
        <v>50</v>
      </c>
      <c r="F10968" s="13"/>
      <c r="G10968" s="13"/>
      <c r="H10968" s="13" t="s">
        <v>20388</v>
      </c>
      <c r="I10968" s="40" t="s">
        <v>18</v>
      </c>
      <c r="J10968" s="40" t="str">
        <f>HYPERLINK("https://stock.pstatic.net/stock-research/company/39/20250714_company_966009000.pdf","PDF")</f>
        <v>PDF</v>
      </c>
      <c r="K10968" s="12" t="s">
        <v>20389</v>
      </c>
    </row>
    <row r="10969" spans="1:12" x14ac:dyDescent="0.45">
      <c r="A10969" s="12" t="s">
        <v>20263</v>
      </c>
      <c r="B10969" s="12" t="s">
        <v>3536</v>
      </c>
      <c r="C10969" s="13" t="s">
        <v>3537</v>
      </c>
      <c r="D10969" s="13" t="s">
        <v>23</v>
      </c>
      <c r="E10969" s="12" t="s">
        <v>16</v>
      </c>
      <c r="F10969" s="14">
        <v>400000</v>
      </c>
      <c r="G10969" s="14">
        <v>266500</v>
      </c>
      <c r="H10969" s="13" t="s">
        <v>20390</v>
      </c>
      <c r="I10969" s="40" t="s">
        <v>18</v>
      </c>
      <c r="J10969" s="40" t="str">
        <f>HYPERLINK("https://stock.pstatic.net/stock-research/company/21/20250714_company_967480000.pdf","PDF")</f>
        <v>PDF</v>
      </c>
      <c r="K10969" s="12" t="s">
        <v>20391</v>
      </c>
      <c r="L10969" s="20">
        <v>0.50093808630393999</v>
      </c>
    </row>
    <row r="10970" spans="1:12" x14ac:dyDescent="0.45">
      <c r="A10970" s="12" t="s">
        <v>20263</v>
      </c>
      <c r="B10970" s="12" t="s">
        <v>118</v>
      </c>
      <c r="C10970" s="13" t="s">
        <v>119</v>
      </c>
      <c r="D10970" s="13" t="s">
        <v>23</v>
      </c>
      <c r="E10970" s="12" t="s">
        <v>16</v>
      </c>
      <c r="F10970" s="14">
        <v>120000</v>
      </c>
      <c r="G10970" s="14">
        <v>96200</v>
      </c>
      <c r="H10970" s="13" t="s">
        <v>20392</v>
      </c>
      <c r="I10970" s="40" t="s">
        <v>18</v>
      </c>
      <c r="J10970" s="40" t="str">
        <f>HYPERLINK("https://stock.pstatic.net/stock-research/company/21/20250714_company_112808000.pdf","PDF")</f>
        <v>PDF</v>
      </c>
      <c r="K10970" s="12" t="s">
        <v>20393</v>
      </c>
      <c r="L10970" s="20">
        <v>0.24740124740124739</v>
      </c>
    </row>
    <row r="10971" spans="1:12" x14ac:dyDescent="0.45">
      <c r="A10971" s="12" t="s">
        <v>20263</v>
      </c>
      <c r="B10971" s="12" t="s">
        <v>2944</v>
      </c>
      <c r="C10971" s="13" t="s">
        <v>2945</v>
      </c>
      <c r="D10971" s="13" t="s">
        <v>44</v>
      </c>
      <c r="E10971" s="12" t="s">
        <v>35</v>
      </c>
      <c r="F10971" s="14">
        <v>18500</v>
      </c>
      <c r="G10971" s="14">
        <v>15310</v>
      </c>
      <c r="H10971" s="13" t="s">
        <v>20394</v>
      </c>
      <c r="I10971" s="40" t="s">
        <v>18</v>
      </c>
      <c r="J10971" s="40" t="str">
        <f>HYPERLINK("https://stock.pstatic.net/stock-research/company/39/20250714_company_725415000.pdf","PDF")</f>
        <v>PDF</v>
      </c>
      <c r="K10971" s="12" t="s">
        <v>20395</v>
      </c>
      <c r="L10971" s="20">
        <v>0.2083605486610059</v>
      </c>
    </row>
    <row r="10972" spans="1:12" x14ac:dyDescent="0.45">
      <c r="A10972" s="12" t="s">
        <v>20263</v>
      </c>
      <c r="B10972" s="12" t="s">
        <v>519</v>
      </c>
      <c r="C10972" s="13" t="s">
        <v>520</v>
      </c>
      <c r="D10972" s="13" t="s">
        <v>44</v>
      </c>
      <c r="E10972" s="12" t="s">
        <v>45</v>
      </c>
      <c r="F10972" s="14">
        <v>230000</v>
      </c>
      <c r="G10972" s="14">
        <v>208000</v>
      </c>
      <c r="H10972" s="13" t="s">
        <v>20396</v>
      </c>
      <c r="I10972" s="40" t="s">
        <v>18</v>
      </c>
      <c r="J10972" s="40" t="str">
        <f>HYPERLINK("https://stock.pstatic.net/stock-research/company/39/20250714_company_647530000.pdf","PDF")</f>
        <v>PDF</v>
      </c>
      <c r="K10972" s="12" t="s">
        <v>20397</v>
      </c>
      <c r="L10972" s="20">
        <v>0.1057692307692308</v>
      </c>
    </row>
    <row r="10973" spans="1:12" x14ac:dyDescent="0.45">
      <c r="A10973" s="12" t="s">
        <v>20398</v>
      </c>
      <c r="B10973" s="12" t="s">
        <v>768</v>
      </c>
      <c r="C10973" s="13" t="s">
        <v>769</v>
      </c>
      <c r="D10973" s="13" t="s">
        <v>60</v>
      </c>
      <c r="E10973" s="12" t="s">
        <v>35</v>
      </c>
      <c r="F10973" s="14">
        <v>310000</v>
      </c>
      <c r="G10973" s="14">
        <v>263000</v>
      </c>
      <c r="H10973" s="13" t="s">
        <v>20399</v>
      </c>
      <c r="I10973" s="40" t="s">
        <v>18</v>
      </c>
      <c r="J10973" s="40" t="str">
        <f>HYPERLINK("https://stock.pstatic.net/stock-research/company/34/20250711_company_506262000.pdf","PDF")</f>
        <v>PDF</v>
      </c>
      <c r="K10973" s="12" t="s">
        <v>20400</v>
      </c>
      <c r="L10973" s="20">
        <v>0.17870722433460079</v>
      </c>
    </row>
    <row r="10974" spans="1:12" x14ac:dyDescent="0.45">
      <c r="A10974" s="12" t="s">
        <v>20398</v>
      </c>
      <c r="B10974" s="12" t="s">
        <v>3349</v>
      </c>
      <c r="C10974" s="13" t="s">
        <v>7707</v>
      </c>
      <c r="D10974" s="13" t="s">
        <v>65</v>
      </c>
      <c r="E10974" s="12" t="s">
        <v>35</v>
      </c>
      <c r="F10974" s="14">
        <v>33000</v>
      </c>
      <c r="G10974" s="14">
        <v>23900</v>
      </c>
      <c r="H10974" s="13" t="s">
        <v>20401</v>
      </c>
      <c r="I10974" s="40" t="s">
        <v>18</v>
      </c>
      <c r="J10974" s="40" t="str">
        <f>HYPERLINK("https://stock.pstatic.net/stock-research/company/57/20250711_company_380818000.pdf","PDF")</f>
        <v>PDF</v>
      </c>
      <c r="K10974" s="12" t="s">
        <v>20402</v>
      </c>
      <c r="L10974" s="20">
        <v>0.3807531380753138</v>
      </c>
    </row>
    <row r="10975" spans="1:12" x14ac:dyDescent="0.45">
      <c r="A10975" s="12" t="s">
        <v>20398</v>
      </c>
      <c r="B10975" s="12" t="s">
        <v>4864</v>
      </c>
      <c r="C10975" s="13" t="s">
        <v>4865</v>
      </c>
      <c r="D10975" s="13" t="s">
        <v>57</v>
      </c>
      <c r="E10975" s="12" t="s">
        <v>35</v>
      </c>
      <c r="F10975" s="14">
        <v>55000</v>
      </c>
      <c r="G10975" s="14">
        <v>42000</v>
      </c>
      <c r="H10975" s="13" t="s">
        <v>20403</v>
      </c>
      <c r="I10975" s="40" t="s">
        <v>18</v>
      </c>
      <c r="J10975" s="40" t="str">
        <f>HYPERLINK("https://stock.pstatic.net/stock-research/company/16/20250711_company_655998000.pdf","PDF")</f>
        <v>PDF</v>
      </c>
      <c r="K10975" s="12" t="s">
        <v>20404</v>
      </c>
      <c r="L10975" s="20">
        <v>0.30952380952380948</v>
      </c>
    </row>
    <row r="10976" spans="1:12" x14ac:dyDescent="0.45">
      <c r="A10976" s="12" t="s">
        <v>20398</v>
      </c>
      <c r="B10976" s="12" t="s">
        <v>259</v>
      </c>
      <c r="C10976" s="13" t="s">
        <v>260</v>
      </c>
      <c r="D10976" s="13" t="s">
        <v>57</v>
      </c>
      <c r="E10976" s="12" t="s">
        <v>35</v>
      </c>
      <c r="F10976" s="14">
        <v>90000</v>
      </c>
      <c r="G10976" s="14">
        <v>71000</v>
      </c>
      <c r="H10976" s="13" t="s">
        <v>20405</v>
      </c>
      <c r="I10976" s="40" t="s">
        <v>18</v>
      </c>
      <c r="J10976" s="40" t="str">
        <f>HYPERLINK("https://stock.pstatic.net/stock-research/company/16/20250711_company_178732000.pdf","PDF")</f>
        <v>PDF</v>
      </c>
      <c r="K10976" s="12" t="s">
        <v>20406</v>
      </c>
      <c r="L10976" s="20">
        <v>0.26760563380281688</v>
      </c>
    </row>
    <row r="10977" spans="1:12" x14ac:dyDescent="0.45">
      <c r="A10977" s="12" t="s">
        <v>20398</v>
      </c>
      <c r="B10977" s="12" t="s">
        <v>625</v>
      </c>
      <c r="C10977" s="13" t="s">
        <v>626</v>
      </c>
      <c r="D10977" s="13" t="s">
        <v>158</v>
      </c>
      <c r="E10977" s="12" t="s">
        <v>50</v>
      </c>
      <c r="F10977" s="13"/>
      <c r="G10977" s="14">
        <v>16570</v>
      </c>
      <c r="H10977" s="13" t="s">
        <v>20407</v>
      </c>
      <c r="I10977" s="40" t="s">
        <v>18</v>
      </c>
      <c r="J10977" s="40" t="str">
        <f>HYPERLINK("https://stock.pstatic.net/stock-research/company/18/20250711_company_54689000.pdf","PDF")</f>
        <v>PDF</v>
      </c>
      <c r="K10977" s="12" t="s">
        <v>20408</v>
      </c>
    </row>
    <row r="10978" spans="1:12" x14ac:dyDescent="0.45">
      <c r="A10978" s="12" t="s">
        <v>20398</v>
      </c>
      <c r="B10978" s="12" t="s">
        <v>3296</v>
      </c>
      <c r="C10978" s="13" t="s">
        <v>3297</v>
      </c>
      <c r="D10978" s="13" t="s">
        <v>158</v>
      </c>
      <c r="E10978" s="12" t="s">
        <v>35</v>
      </c>
      <c r="F10978" s="14">
        <v>58000</v>
      </c>
      <c r="G10978" s="14">
        <v>43100</v>
      </c>
      <c r="H10978" s="13" t="s">
        <v>20409</v>
      </c>
      <c r="I10978" s="40" t="s">
        <v>18</v>
      </c>
      <c r="J10978" s="40" t="str">
        <f>HYPERLINK("https://stock.pstatic.net/stock-research/company/18/20250711_company_474383000.pdf","PDF")</f>
        <v>PDF</v>
      </c>
      <c r="K10978" s="12" t="s">
        <v>20410</v>
      </c>
      <c r="L10978" s="20">
        <v>0.345707656612529</v>
      </c>
    </row>
    <row r="10979" spans="1:12" x14ac:dyDescent="0.45">
      <c r="A10979" s="12" t="s">
        <v>20398</v>
      </c>
      <c r="B10979" s="12" t="s">
        <v>1930</v>
      </c>
      <c r="C10979" s="13" t="s">
        <v>1931</v>
      </c>
      <c r="D10979" s="13" t="s">
        <v>83</v>
      </c>
      <c r="E10979" s="12" t="s">
        <v>35</v>
      </c>
      <c r="F10979" s="14">
        <v>350000</v>
      </c>
      <c r="G10979" s="14">
        <v>254000</v>
      </c>
      <c r="H10979" s="13" t="s">
        <v>20411</v>
      </c>
      <c r="I10979" s="40" t="s">
        <v>18</v>
      </c>
      <c r="J10979" s="40" t="str">
        <f>HYPERLINK("https://stock.pstatic.net/stock-research/company/2/20250711_company_71244000.pdf","PDF")</f>
        <v>PDF</v>
      </c>
      <c r="K10979" s="12" t="s">
        <v>20412</v>
      </c>
      <c r="L10979" s="20">
        <v>0.37795275590551181</v>
      </c>
    </row>
    <row r="10980" spans="1:12" x14ac:dyDescent="0.45">
      <c r="A10980" s="12" t="s">
        <v>20398</v>
      </c>
      <c r="B10980" s="12" t="s">
        <v>2522</v>
      </c>
      <c r="C10980" s="13" t="s">
        <v>2523</v>
      </c>
      <c r="D10980" s="13" t="s">
        <v>83</v>
      </c>
      <c r="E10980" s="12" t="s">
        <v>35</v>
      </c>
      <c r="F10980" s="14">
        <v>540000</v>
      </c>
      <c r="G10980" s="14">
        <v>360000</v>
      </c>
      <c r="H10980" s="13" t="s">
        <v>20413</v>
      </c>
      <c r="I10980" s="40" t="s">
        <v>18</v>
      </c>
      <c r="J10980" s="40" t="str">
        <f>HYPERLINK("https://stock.pstatic.net/stock-research/company/2/20250711_company_319024000.pdf","PDF")</f>
        <v>PDF</v>
      </c>
      <c r="K10980" s="12" t="s">
        <v>20414</v>
      </c>
      <c r="L10980" s="20">
        <v>0.5</v>
      </c>
    </row>
    <row r="10981" spans="1:12" x14ac:dyDescent="0.45">
      <c r="A10981" s="12" t="s">
        <v>20398</v>
      </c>
      <c r="B10981" s="12" t="s">
        <v>20415</v>
      </c>
      <c r="C10981" s="13" t="s">
        <v>20416</v>
      </c>
      <c r="D10981" s="13" t="s">
        <v>83</v>
      </c>
      <c r="E10981" s="12" t="s">
        <v>50</v>
      </c>
      <c r="F10981" s="13"/>
      <c r="G10981" s="14">
        <v>7030</v>
      </c>
      <c r="H10981" s="13" t="s">
        <v>20417</v>
      </c>
      <c r="I10981" s="40" t="s">
        <v>18</v>
      </c>
      <c r="J10981" s="40" t="str">
        <f>HYPERLINK("https://stock.pstatic.net/stock-research/company/2/20250711_company_85697000.pdf","PDF")</f>
        <v>PDF</v>
      </c>
      <c r="K10981" s="12" t="s">
        <v>20418</v>
      </c>
    </row>
    <row r="10982" spans="1:12" x14ac:dyDescent="0.45">
      <c r="A10982" s="12" t="s">
        <v>20398</v>
      </c>
      <c r="B10982" s="12" t="s">
        <v>170</v>
      </c>
      <c r="C10982" s="13" t="s">
        <v>171</v>
      </c>
      <c r="D10982" s="13" t="s">
        <v>83</v>
      </c>
      <c r="E10982" s="12" t="s">
        <v>35</v>
      </c>
      <c r="F10982" s="14">
        <v>100000</v>
      </c>
      <c r="G10982" s="14">
        <v>81800</v>
      </c>
      <c r="H10982" s="13" t="s">
        <v>20419</v>
      </c>
      <c r="I10982" s="40" t="s">
        <v>18</v>
      </c>
      <c r="J10982" s="40" t="str">
        <f>HYPERLINK("https://stock.pstatic.net/stock-research/company/2/20250711_company_359630000.pdf","PDF")</f>
        <v>PDF</v>
      </c>
      <c r="K10982" s="12" t="s">
        <v>20420</v>
      </c>
      <c r="L10982" s="20">
        <v>0.22249388753056229</v>
      </c>
    </row>
    <row r="10983" spans="1:12" x14ac:dyDescent="0.45">
      <c r="A10983" s="12" t="s">
        <v>20398</v>
      </c>
      <c r="B10983" s="12" t="s">
        <v>533</v>
      </c>
      <c r="C10983" s="13" t="s">
        <v>534</v>
      </c>
      <c r="D10983" s="13" t="s">
        <v>83</v>
      </c>
      <c r="E10983" s="12" t="s">
        <v>35</v>
      </c>
      <c r="F10983" s="14">
        <v>74000</v>
      </c>
      <c r="G10983" s="14">
        <v>56200</v>
      </c>
      <c r="H10983" s="13" t="s">
        <v>20421</v>
      </c>
      <c r="I10983" s="40" t="s">
        <v>18</v>
      </c>
      <c r="J10983" s="40" t="str">
        <f>HYPERLINK("https://stock.pstatic.net/stock-research/company/2/20250711_company_101345000.pdf","PDF")</f>
        <v>PDF</v>
      </c>
      <c r="K10983" s="12" t="s">
        <v>20422</v>
      </c>
      <c r="L10983" s="20">
        <v>0.31672597864768681</v>
      </c>
    </row>
    <row r="10984" spans="1:12" x14ac:dyDescent="0.45">
      <c r="A10984" s="12" t="s">
        <v>20398</v>
      </c>
      <c r="B10984" s="12" t="s">
        <v>1670</v>
      </c>
      <c r="C10984" s="13" t="s">
        <v>1671</v>
      </c>
      <c r="D10984" s="13" t="s">
        <v>34</v>
      </c>
      <c r="E10984" s="12" t="s">
        <v>35</v>
      </c>
      <c r="F10984" s="14">
        <v>170000</v>
      </c>
      <c r="G10984" s="14">
        <v>122500</v>
      </c>
      <c r="H10984" s="13" t="s">
        <v>20423</v>
      </c>
      <c r="I10984" s="40" t="s">
        <v>18</v>
      </c>
      <c r="J10984" s="40" t="str">
        <f>HYPERLINK("https://stock.pstatic.net/stock-research/company/61/20250711_company_554510000.pdf","PDF")</f>
        <v>PDF</v>
      </c>
      <c r="K10984" s="12" t="s">
        <v>20424</v>
      </c>
      <c r="L10984" s="20">
        <v>0.38775510204081631</v>
      </c>
    </row>
    <row r="10985" spans="1:12" x14ac:dyDescent="0.45">
      <c r="A10985" s="12" t="s">
        <v>20398</v>
      </c>
      <c r="B10985" s="12" t="s">
        <v>2040</v>
      </c>
      <c r="C10985" s="13" t="s">
        <v>2041</v>
      </c>
      <c r="D10985" s="13" t="s">
        <v>34</v>
      </c>
      <c r="E10985" s="12" t="s">
        <v>35</v>
      </c>
      <c r="F10985" s="14">
        <v>80000</v>
      </c>
      <c r="G10985" s="14">
        <v>66500</v>
      </c>
      <c r="H10985" s="13" t="s">
        <v>20425</v>
      </c>
      <c r="I10985" s="40" t="s">
        <v>18</v>
      </c>
      <c r="J10985" s="40" t="str">
        <f>HYPERLINK("https://stock.pstatic.net/stock-research/company/61/20250711_company_458345000.pdf","PDF")</f>
        <v>PDF</v>
      </c>
      <c r="K10985" s="12" t="s">
        <v>20426</v>
      </c>
      <c r="L10985" s="20">
        <v>0.2030075187969925</v>
      </c>
    </row>
    <row r="10986" spans="1:12" x14ac:dyDescent="0.45">
      <c r="A10986" s="12" t="s">
        <v>20398</v>
      </c>
      <c r="B10986" s="12" t="s">
        <v>2887</v>
      </c>
      <c r="C10986" s="13" t="s">
        <v>2888</v>
      </c>
      <c r="D10986" s="13" t="s">
        <v>34</v>
      </c>
      <c r="E10986" s="12" t="s">
        <v>35</v>
      </c>
      <c r="F10986" s="14">
        <v>320000</v>
      </c>
      <c r="G10986" s="14">
        <v>260000</v>
      </c>
      <c r="H10986" s="13" t="s">
        <v>20427</v>
      </c>
      <c r="I10986" s="40" t="s">
        <v>18</v>
      </c>
      <c r="J10986" s="40" t="str">
        <f>HYPERLINK("https://stock.pstatic.net/stock-research/company/61/20250711_company_28437000.pdf","PDF")</f>
        <v>PDF</v>
      </c>
      <c r="K10986" s="12" t="s">
        <v>20428</v>
      </c>
      <c r="L10986" s="20">
        <v>0.23076923076923081</v>
      </c>
    </row>
    <row r="10987" spans="1:12" x14ac:dyDescent="0.45">
      <c r="A10987" s="12" t="s">
        <v>20398</v>
      </c>
      <c r="B10987" s="12" t="s">
        <v>2089</v>
      </c>
      <c r="C10987" s="13" t="s">
        <v>2090</v>
      </c>
      <c r="D10987" s="13" t="s">
        <v>34</v>
      </c>
      <c r="E10987" s="12" t="s">
        <v>35</v>
      </c>
      <c r="F10987" s="14">
        <v>82000</v>
      </c>
      <c r="G10987" s="14">
        <v>63500</v>
      </c>
      <c r="H10987" s="13" t="s">
        <v>20429</v>
      </c>
      <c r="I10987" s="40" t="s">
        <v>18</v>
      </c>
      <c r="J10987" s="40" t="str">
        <f>HYPERLINK("https://stock.pstatic.net/stock-research/company/1/20250711_company_427167000.pdf","PDF")</f>
        <v>PDF</v>
      </c>
      <c r="K10987" s="12" t="s">
        <v>20430</v>
      </c>
      <c r="L10987" s="20">
        <v>0.29133858267716528</v>
      </c>
    </row>
    <row r="10988" spans="1:12" x14ac:dyDescent="0.45">
      <c r="A10988" s="12" t="s">
        <v>20398</v>
      </c>
      <c r="B10988" s="12" t="s">
        <v>1690</v>
      </c>
      <c r="C10988" s="13" t="s">
        <v>1691</v>
      </c>
      <c r="D10988" s="13" t="s">
        <v>34</v>
      </c>
      <c r="E10988" s="12" t="s">
        <v>159</v>
      </c>
      <c r="F10988" s="14">
        <v>130000</v>
      </c>
      <c r="G10988" s="14">
        <v>116500</v>
      </c>
      <c r="H10988" s="13" t="s">
        <v>20431</v>
      </c>
      <c r="I10988" s="40" t="s">
        <v>18</v>
      </c>
      <c r="J10988" s="40" t="str">
        <f>HYPERLINK("https://stock.pstatic.net/stock-research/company/61/20250711_company_950993000.pdf","PDF")</f>
        <v>PDF</v>
      </c>
      <c r="K10988" s="12" t="s">
        <v>20432</v>
      </c>
      <c r="L10988" s="20">
        <v>0.1158798283261803</v>
      </c>
    </row>
    <row r="10989" spans="1:12" x14ac:dyDescent="0.45">
      <c r="A10989" s="12" t="s">
        <v>20398</v>
      </c>
      <c r="B10989" s="12" t="s">
        <v>330</v>
      </c>
      <c r="C10989" s="13" t="s">
        <v>331</v>
      </c>
      <c r="D10989" s="13" t="s">
        <v>34</v>
      </c>
      <c r="E10989" s="12" t="s">
        <v>159</v>
      </c>
      <c r="F10989" s="14">
        <v>38000</v>
      </c>
      <c r="G10989" s="14">
        <v>33350</v>
      </c>
      <c r="H10989" s="13" t="s">
        <v>20433</v>
      </c>
      <c r="I10989" s="40" t="s">
        <v>18</v>
      </c>
      <c r="J10989" s="40" t="str">
        <f>HYPERLINK("https://stock.pstatic.net/stock-research/company/61/20250711_company_820892000.pdf","PDF")</f>
        <v>PDF</v>
      </c>
      <c r="K10989" s="12" t="s">
        <v>20434</v>
      </c>
      <c r="L10989" s="20">
        <v>0.1394302848575712</v>
      </c>
    </row>
    <row r="10990" spans="1:12" x14ac:dyDescent="0.45">
      <c r="A10990" s="12" t="s">
        <v>20398</v>
      </c>
      <c r="B10990" s="12" t="s">
        <v>3536</v>
      </c>
      <c r="C10990" s="13" t="s">
        <v>3537</v>
      </c>
      <c r="D10990" s="13" t="s">
        <v>34</v>
      </c>
      <c r="E10990" s="12" t="s">
        <v>35</v>
      </c>
      <c r="F10990" s="14">
        <v>370000</v>
      </c>
      <c r="G10990" s="14">
        <v>258500</v>
      </c>
      <c r="H10990" s="13" t="s">
        <v>20435</v>
      </c>
      <c r="I10990" s="40" t="s">
        <v>18</v>
      </c>
      <c r="J10990" s="40" t="str">
        <f>HYPERLINK("https://stock.pstatic.net/stock-research/company/61/20250711_company_86948000.pdf","PDF")</f>
        <v>PDF</v>
      </c>
      <c r="K10990" s="12" t="s">
        <v>20436</v>
      </c>
      <c r="L10990" s="20">
        <v>0.43133462282398449</v>
      </c>
    </row>
    <row r="10991" spans="1:12" x14ac:dyDescent="0.45">
      <c r="A10991" s="12" t="s">
        <v>20398</v>
      </c>
      <c r="B10991" s="12" t="s">
        <v>3451</v>
      </c>
      <c r="C10991" s="13" t="s">
        <v>3452</v>
      </c>
      <c r="D10991" s="13" t="s">
        <v>34</v>
      </c>
      <c r="E10991" s="12" t="s">
        <v>35</v>
      </c>
      <c r="F10991" s="14">
        <v>260000</v>
      </c>
      <c r="G10991" s="14">
        <v>209000</v>
      </c>
      <c r="H10991" s="13" t="s">
        <v>20437</v>
      </c>
      <c r="I10991" s="40" t="s">
        <v>18</v>
      </c>
      <c r="J10991" s="40" t="str">
        <f>HYPERLINK("https://stock.pstatic.net/stock-research/company/61/20250711_company_628311000.pdf","PDF")</f>
        <v>PDF</v>
      </c>
      <c r="K10991" s="12" t="s">
        <v>20438</v>
      </c>
      <c r="L10991" s="20">
        <v>0.24401913875598091</v>
      </c>
    </row>
    <row r="10992" spans="1:12" x14ac:dyDescent="0.45">
      <c r="A10992" s="12" t="s">
        <v>20398</v>
      </c>
      <c r="B10992" s="12" t="s">
        <v>511</v>
      </c>
      <c r="C10992" s="13" t="s">
        <v>512</v>
      </c>
      <c r="D10992" s="13" t="s">
        <v>34</v>
      </c>
      <c r="E10992" s="12" t="s">
        <v>35</v>
      </c>
      <c r="F10992" s="14">
        <v>126000</v>
      </c>
      <c r="G10992" s="14">
        <v>92000</v>
      </c>
      <c r="H10992" s="13" t="s">
        <v>20439</v>
      </c>
      <c r="I10992" s="40" t="s">
        <v>18</v>
      </c>
      <c r="J10992" s="40" t="str">
        <f>HYPERLINK("https://stock.pstatic.net/stock-research/company/61/20250711_company_91803000.pdf","PDF")</f>
        <v>PDF</v>
      </c>
      <c r="K10992" s="12" t="s">
        <v>20440</v>
      </c>
      <c r="L10992" s="20">
        <v>0.36956521739130432</v>
      </c>
    </row>
    <row r="10993" spans="1:12" x14ac:dyDescent="0.45">
      <c r="A10993" s="12" t="s">
        <v>20398</v>
      </c>
      <c r="B10993" s="12" t="s">
        <v>3280</v>
      </c>
      <c r="C10993" s="13" t="s">
        <v>3281</v>
      </c>
      <c r="D10993" s="13" t="s">
        <v>34</v>
      </c>
      <c r="E10993" s="12" t="s">
        <v>35</v>
      </c>
      <c r="F10993" s="14">
        <v>55000</v>
      </c>
      <c r="G10993" s="14">
        <v>41100</v>
      </c>
      <c r="H10993" s="13" t="s">
        <v>20441</v>
      </c>
      <c r="I10993" s="40" t="s">
        <v>18</v>
      </c>
      <c r="J10993" s="40" t="str">
        <f>HYPERLINK("https://stock.pstatic.net/stock-research/company/61/20250711_company_465394000.pdf","PDF")</f>
        <v>PDF</v>
      </c>
      <c r="K10993" s="12" t="s">
        <v>20442</v>
      </c>
      <c r="L10993" s="20">
        <v>0.33819951338199511</v>
      </c>
    </row>
    <row r="10994" spans="1:12" x14ac:dyDescent="0.45">
      <c r="A10994" s="12" t="s">
        <v>20398</v>
      </c>
      <c r="B10994" s="12" t="s">
        <v>237</v>
      </c>
      <c r="C10994" s="13" t="s">
        <v>238</v>
      </c>
      <c r="D10994" s="13" t="s">
        <v>92</v>
      </c>
      <c r="E10994" s="12" t="s">
        <v>35</v>
      </c>
      <c r="F10994" s="14">
        <v>53000</v>
      </c>
      <c r="G10994" s="14">
        <v>31250</v>
      </c>
      <c r="H10994" s="13" t="s">
        <v>20443</v>
      </c>
      <c r="I10994" s="40" t="s">
        <v>18</v>
      </c>
      <c r="J10994" s="40" t="str">
        <f>HYPERLINK("https://stock.pstatic.net/stock-research/company/63/20250711_company_290081000.pdf","PDF")</f>
        <v>PDF</v>
      </c>
      <c r="K10994" s="12" t="s">
        <v>20444</v>
      </c>
      <c r="L10994" s="20">
        <v>0.69599999999999995</v>
      </c>
    </row>
    <row r="10995" spans="1:12" x14ac:dyDescent="0.45">
      <c r="A10995" s="12" t="s">
        <v>20398</v>
      </c>
      <c r="B10995" s="12" t="s">
        <v>95</v>
      </c>
      <c r="C10995" s="13" t="s">
        <v>31</v>
      </c>
      <c r="D10995" s="13" t="s">
        <v>15</v>
      </c>
      <c r="E10995" s="12" t="s">
        <v>16</v>
      </c>
      <c r="F10995" s="14">
        <v>32000</v>
      </c>
      <c r="G10995" s="14">
        <v>24700</v>
      </c>
      <c r="H10995" s="13" t="s">
        <v>20445</v>
      </c>
      <c r="I10995" s="40" t="s">
        <v>18</v>
      </c>
      <c r="J10995" s="40" t="str">
        <f>HYPERLINK("https://stock.pstatic.net/stock-research/company/29/20250711_company_823035000.pdf","PDF")</f>
        <v>PDF</v>
      </c>
      <c r="K10995" s="12" t="s">
        <v>20446</v>
      </c>
      <c r="L10995" s="20">
        <v>0.29554655870445351</v>
      </c>
    </row>
    <row r="10996" spans="1:12" x14ac:dyDescent="0.45">
      <c r="A10996" s="12" t="s">
        <v>20398</v>
      </c>
      <c r="B10996" s="12" t="s">
        <v>2956</v>
      </c>
      <c r="C10996" s="13" t="s">
        <v>2957</v>
      </c>
      <c r="D10996" s="13" t="s">
        <v>15</v>
      </c>
      <c r="E10996" s="12" t="s">
        <v>16</v>
      </c>
      <c r="F10996" s="14">
        <v>27000</v>
      </c>
      <c r="G10996" s="14">
        <v>20850</v>
      </c>
      <c r="H10996" s="13" t="s">
        <v>20447</v>
      </c>
      <c r="I10996" s="40" t="s">
        <v>18</v>
      </c>
      <c r="J10996" s="40" t="str">
        <f>HYPERLINK("https://stock.pstatic.net/stock-research/company/56/20250711_company_162299000.pdf","PDF")</f>
        <v>PDF</v>
      </c>
      <c r="K10996" s="12" t="s">
        <v>20448</v>
      </c>
      <c r="L10996" s="20">
        <v>0.29496402877697842</v>
      </c>
    </row>
    <row r="10997" spans="1:12" x14ac:dyDescent="0.45">
      <c r="A10997" s="12" t="s">
        <v>20398</v>
      </c>
      <c r="B10997" s="12" t="s">
        <v>3204</v>
      </c>
      <c r="C10997" s="13" t="s">
        <v>3205</v>
      </c>
      <c r="D10997" s="13" t="s">
        <v>15</v>
      </c>
      <c r="E10997" s="12" t="s">
        <v>16</v>
      </c>
      <c r="F10997" s="14">
        <v>5600</v>
      </c>
      <c r="G10997" s="14">
        <v>4155</v>
      </c>
      <c r="H10997" s="13" t="s">
        <v>20449</v>
      </c>
      <c r="I10997" s="40" t="s">
        <v>18</v>
      </c>
      <c r="J10997" s="40" t="str">
        <f>HYPERLINK("https://stock.pstatic.net/stock-research/company/29/20250711_company_584308000.pdf","PDF")</f>
        <v>PDF</v>
      </c>
      <c r="K10997" s="12" t="s">
        <v>20450</v>
      </c>
      <c r="L10997" s="20">
        <v>0.34777376654632969</v>
      </c>
    </row>
    <row r="10998" spans="1:12" x14ac:dyDescent="0.45">
      <c r="A10998" s="12" t="s">
        <v>20398</v>
      </c>
      <c r="B10998" s="12" t="s">
        <v>2982</v>
      </c>
      <c r="C10998" s="13" t="s">
        <v>2983</v>
      </c>
      <c r="D10998" s="13" t="s">
        <v>15</v>
      </c>
      <c r="E10998" s="12" t="s">
        <v>16</v>
      </c>
      <c r="F10998" s="14">
        <v>67000</v>
      </c>
      <c r="G10998" s="14">
        <v>49250</v>
      </c>
      <c r="H10998" s="13" t="s">
        <v>20451</v>
      </c>
      <c r="I10998" s="40" t="s">
        <v>18</v>
      </c>
      <c r="J10998" s="40" t="str">
        <f>HYPERLINK("https://stock.pstatic.net/stock-research/company/29/20250711_company_109967000.pdf","PDF")</f>
        <v>PDF</v>
      </c>
      <c r="K10998" s="12" t="s">
        <v>20452</v>
      </c>
      <c r="L10998" s="20">
        <v>0.3604060913705584</v>
      </c>
    </row>
    <row r="10999" spans="1:12" x14ac:dyDescent="0.45">
      <c r="A10999" s="12" t="s">
        <v>20398</v>
      </c>
      <c r="B10999" s="12" t="s">
        <v>3164</v>
      </c>
      <c r="C10999" s="13" t="s">
        <v>3165</v>
      </c>
      <c r="D10999" s="13" t="s">
        <v>15</v>
      </c>
      <c r="E10999" s="12" t="s">
        <v>16</v>
      </c>
      <c r="F10999" s="14">
        <v>96000</v>
      </c>
      <c r="G10999" s="14">
        <v>72600</v>
      </c>
      <c r="H10999" s="13" t="s">
        <v>20453</v>
      </c>
      <c r="I10999" s="40" t="s">
        <v>18</v>
      </c>
      <c r="J10999" s="40" t="str">
        <f>HYPERLINK("https://stock.pstatic.net/stock-research/company/29/20250711_company_798019000.pdf","PDF")</f>
        <v>PDF</v>
      </c>
      <c r="K10999" s="12" t="s">
        <v>20454</v>
      </c>
      <c r="L10999" s="20">
        <v>0.32231404958677679</v>
      </c>
    </row>
    <row r="11000" spans="1:12" x14ac:dyDescent="0.45">
      <c r="A11000" s="12" t="s">
        <v>20398</v>
      </c>
      <c r="B11000" s="12" t="s">
        <v>3296</v>
      </c>
      <c r="C11000" s="13" t="s">
        <v>3297</v>
      </c>
      <c r="D11000" s="13" t="s">
        <v>92</v>
      </c>
      <c r="E11000" s="12" t="s">
        <v>35</v>
      </c>
      <c r="F11000" s="14">
        <v>70000</v>
      </c>
      <c r="G11000" s="14">
        <v>43100</v>
      </c>
      <c r="H11000" s="13" t="s">
        <v>20455</v>
      </c>
      <c r="I11000" s="40" t="s">
        <v>18</v>
      </c>
      <c r="J11000" s="40" t="str">
        <f>HYPERLINK("https://stock.pstatic.net/stock-research/company/63/20250711_company_358154000.pdf","PDF")</f>
        <v>PDF</v>
      </c>
      <c r="K11000" s="12" t="s">
        <v>20456</v>
      </c>
      <c r="L11000" s="20">
        <v>0.62412993039443154</v>
      </c>
    </row>
    <row r="11001" spans="1:12" x14ac:dyDescent="0.45">
      <c r="A11001" s="12" t="s">
        <v>20398</v>
      </c>
      <c r="B11001" s="12" t="s">
        <v>1773</v>
      </c>
      <c r="C11001" s="13" t="s">
        <v>1774</v>
      </c>
      <c r="D11001" s="13" t="s">
        <v>34</v>
      </c>
      <c r="E11001" s="12" t="s">
        <v>35</v>
      </c>
      <c r="F11001" s="14">
        <v>120000</v>
      </c>
      <c r="G11001" s="14">
        <v>92800</v>
      </c>
      <c r="H11001" s="13" t="s">
        <v>20457</v>
      </c>
      <c r="I11001" s="40" t="s">
        <v>18</v>
      </c>
      <c r="J11001" s="40" t="str">
        <f>HYPERLINK("https://stock.pstatic.net/stock-research/company/61/20250711_company_57251000.pdf","PDF")</f>
        <v>PDF</v>
      </c>
      <c r="K11001" s="12" t="s">
        <v>20458</v>
      </c>
      <c r="L11001" s="20">
        <v>0.29310344827586199</v>
      </c>
    </row>
    <row r="11002" spans="1:12" x14ac:dyDescent="0.45">
      <c r="A11002" s="12" t="s">
        <v>20398</v>
      </c>
      <c r="B11002" s="12" t="s">
        <v>3813</v>
      </c>
      <c r="C11002" s="13" t="s">
        <v>3814</v>
      </c>
      <c r="D11002" s="13" t="s">
        <v>53</v>
      </c>
      <c r="E11002" s="12" t="s">
        <v>16</v>
      </c>
      <c r="F11002" s="14">
        <v>16000</v>
      </c>
      <c r="G11002" s="14">
        <v>9320</v>
      </c>
      <c r="H11002" s="13" t="s">
        <v>20459</v>
      </c>
      <c r="I11002" s="40" t="s">
        <v>18</v>
      </c>
      <c r="J11002" s="40" t="str">
        <f>HYPERLINK("https://stock.pstatic.net/stock-research/company/40/20250711_company_870440000.pdf","PDF")</f>
        <v>PDF</v>
      </c>
      <c r="K11002" s="12" t="s">
        <v>20460</v>
      </c>
      <c r="L11002" s="20">
        <v>0.71673819742489275</v>
      </c>
    </row>
    <row r="11003" spans="1:12" x14ac:dyDescent="0.45">
      <c r="A11003" s="12" t="s">
        <v>20398</v>
      </c>
      <c r="B11003" s="12" t="s">
        <v>2831</v>
      </c>
      <c r="C11003" s="13" t="s">
        <v>2832</v>
      </c>
      <c r="D11003" s="13" t="s">
        <v>23</v>
      </c>
      <c r="E11003" s="12" t="s">
        <v>50</v>
      </c>
      <c r="F11003" s="13"/>
      <c r="G11003" s="14">
        <v>28500</v>
      </c>
      <c r="H11003" s="13" t="s">
        <v>20461</v>
      </c>
      <c r="I11003" s="40" t="s">
        <v>18</v>
      </c>
      <c r="J11003" s="40" t="str">
        <f>HYPERLINK("https://stock.pstatic.net/stock-research/company/21/20250711_company_109087000.pdf","PDF")</f>
        <v>PDF</v>
      </c>
      <c r="K11003" s="12" t="s">
        <v>20462</v>
      </c>
    </row>
    <row r="11004" spans="1:12" x14ac:dyDescent="0.45">
      <c r="A11004" s="12" t="s">
        <v>20398</v>
      </c>
      <c r="B11004" s="12" t="s">
        <v>2040</v>
      </c>
      <c r="C11004" s="13" t="s">
        <v>2041</v>
      </c>
      <c r="D11004" s="13" t="s">
        <v>23</v>
      </c>
      <c r="E11004" s="12" t="s">
        <v>16</v>
      </c>
      <c r="F11004" s="14">
        <v>80000</v>
      </c>
      <c r="G11004" s="14">
        <v>66600</v>
      </c>
      <c r="H11004" s="13" t="s">
        <v>20463</v>
      </c>
      <c r="I11004" s="40" t="s">
        <v>18</v>
      </c>
      <c r="J11004" s="40" t="str">
        <f>HYPERLINK("https://stock.pstatic.net/stock-research/company/21/20250711_company_542521000.pdf","PDF")</f>
        <v>PDF</v>
      </c>
      <c r="K11004" s="12" t="s">
        <v>20464</v>
      </c>
      <c r="L11004" s="20">
        <v>0.20120120120120119</v>
      </c>
    </row>
    <row r="11005" spans="1:12" x14ac:dyDescent="0.45">
      <c r="A11005" s="12" t="s">
        <v>20398</v>
      </c>
      <c r="B11005" s="12" t="s">
        <v>170</v>
      </c>
      <c r="C11005" s="13" t="s">
        <v>171</v>
      </c>
      <c r="D11005" s="13" t="s">
        <v>23</v>
      </c>
      <c r="E11005" s="12" t="s">
        <v>16</v>
      </c>
      <c r="F11005" s="14">
        <v>93000</v>
      </c>
      <c r="G11005" s="14">
        <v>81100</v>
      </c>
      <c r="H11005" s="13" t="s">
        <v>20465</v>
      </c>
      <c r="I11005" s="40" t="s">
        <v>18</v>
      </c>
      <c r="J11005" s="40" t="str">
        <f>HYPERLINK("https://stock.pstatic.net/stock-research/company/21/20250711_company_600681000.pdf","PDF")</f>
        <v>PDF</v>
      </c>
      <c r="K11005" s="12" t="s">
        <v>20466</v>
      </c>
      <c r="L11005" s="20">
        <v>0.14673242909987669</v>
      </c>
    </row>
    <row r="11006" spans="1:12" x14ac:dyDescent="0.45">
      <c r="A11006" s="12" t="s">
        <v>20398</v>
      </c>
      <c r="B11006" s="12" t="s">
        <v>2956</v>
      </c>
      <c r="C11006" s="13" t="s">
        <v>2957</v>
      </c>
      <c r="D11006" s="13" t="s">
        <v>53</v>
      </c>
      <c r="E11006" s="12" t="s">
        <v>16</v>
      </c>
      <c r="F11006" s="14">
        <v>26000</v>
      </c>
      <c r="G11006" s="14">
        <v>20850</v>
      </c>
      <c r="H11006" s="13" t="s">
        <v>20467</v>
      </c>
      <c r="I11006" s="40" t="s">
        <v>18</v>
      </c>
      <c r="J11006" s="40" t="str">
        <f>HYPERLINK("https://stock.pstatic.net/stock-research/company/40/20250711_company_673411000.pdf","PDF")</f>
        <v>PDF</v>
      </c>
      <c r="K11006" s="12" t="s">
        <v>20468</v>
      </c>
      <c r="L11006" s="20">
        <v>0.24700239808153479</v>
      </c>
    </row>
    <row r="11007" spans="1:12" x14ac:dyDescent="0.45">
      <c r="A11007" s="12" t="s">
        <v>20398</v>
      </c>
      <c r="B11007" s="12" t="s">
        <v>3451</v>
      </c>
      <c r="C11007" s="13" t="s">
        <v>3452</v>
      </c>
      <c r="D11007" s="13" t="s">
        <v>23</v>
      </c>
      <c r="E11007" s="12" t="s">
        <v>16</v>
      </c>
      <c r="F11007" s="14">
        <v>270000</v>
      </c>
      <c r="G11007" s="14">
        <v>210500</v>
      </c>
      <c r="H11007" s="13" t="s">
        <v>20469</v>
      </c>
      <c r="I11007" s="40" t="s">
        <v>18</v>
      </c>
      <c r="J11007" s="40" t="str">
        <f>HYPERLINK("https://stock.pstatic.net/stock-research/company/21/20250711_company_977639000.pdf","PDF")</f>
        <v>PDF</v>
      </c>
      <c r="K11007" s="12" t="s">
        <v>20470</v>
      </c>
      <c r="L11007" s="20">
        <v>0.28266033254156769</v>
      </c>
    </row>
    <row r="11008" spans="1:12" x14ac:dyDescent="0.45">
      <c r="A11008" s="12" t="s">
        <v>20398</v>
      </c>
      <c r="B11008" s="12" t="s">
        <v>132</v>
      </c>
      <c r="C11008" s="13" t="s">
        <v>133</v>
      </c>
      <c r="D11008" s="13" t="s">
        <v>23</v>
      </c>
      <c r="E11008" s="12" t="s">
        <v>16</v>
      </c>
      <c r="F11008" s="14">
        <v>93000</v>
      </c>
      <c r="G11008" s="14">
        <v>78300</v>
      </c>
      <c r="H11008" s="13" t="s">
        <v>20471</v>
      </c>
      <c r="I11008" s="40" t="s">
        <v>18</v>
      </c>
      <c r="J11008" s="40" t="str">
        <f>HYPERLINK("https://stock.pstatic.net/stock-research/company/21/20250711_company_882872000.pdf","PDF")</f>
        <v>PDF</v>
      </c>
      <c r="K11008" s="12" t="s">
        <v>20472</v>
      </c>
      <c r="L11008" s="20">
        <v>0.1877394636015326</v>
      </c>
    </row>
    <row r="11009" spans="1:12" x14ac:dyDescent="0.45">
      <c r="A11009" s="12" t="s">
        <v>20398</v>
      </c>
      <c r="B11009" s="12" t="s">
        <v>3355</v>
      </c>
      <c r="C11009" s="13" t="s">
        <v>3356</v>
      </c>
      <c r="D11009" s="13" t="s">
        <v>44</v>
      </c>
      <c r="E11009" s="12" t="s">
        <v>35</v>
      </c>
      <c r="F11009" s="14">
        <v>60000</v>
      </c>
      <c r="G11009" s="14">
        <v>49900</v>
      </c>
      <c r="H11009" s="13" t="s">
        <v>20473</v>
      </c>
      <c r="I11009" s="40" t="s">
        <v>18</v>
      </c>
      <c r="J11009" s="40" t="str">
        <f>HYPERLINK("https://stock.pstatic.net/stock-research/company/39/20250711_company_173136000.pdf","PDF")</f>
        <v>PDF</v>
      </c>
      <c r="K11009" s="12" t="s">
        <v>20474</v>
      </c>
      <c r="L11009" s="20">
        <v>0.20240480961923851</v>
      </c>
    </row>
    <row r="11010" spans="1:12" x14ac:dyDescent="0.45">
      <c r="A11010" s="12" t="s">
        <v>20398</v>
      </c>
      <c r="B11010" s="12" t="s">
        <v>1656</v>
      </c>
      <c r="C11010" s="13" t="s">
        <v>1657</v>
      </c>
      <c r="D11010" s="13" t="s">
        <v>23</v>
      </c>
      <c r="E11010" s="12" t="s">
        <v>16</v>
      </c>
      <c r="F11010" s="14">
        <v>220000</v>
      </c>
      <c r="G11010" s="14">
        <v>187800</v>
      </c>
      <c r="H11010" s="13" t="s">
        <v>20475</v>
      </c>
      <c r="I11010" s="40" t="s">
        <v>18</v>
      </c>
      <c r="J11010" s="40" t="str">
        <f>HYPERLINK("https://stock.pstatic.net/stock-research/company/21/20250711_company_796064000.pdf","PDF")</f>
        <v>PDF</v>
      </c>
      <c r="K11010" s="12" t="s">
        <v>20476</v>
      </c>
      <c r="L11010" s="20">
        <v>0.1714589989350373</v>
      </c>
    </row>
    <row r="11011" spans="1:12" x14ac:dyDescent="0.45">
      <c r="A11011" s="12" t="s">
        <v>20398</v>
      </c>
      <c r="B11011" s="12" t="s">
        <v>20477</v>
      </c>
      <c r="C11011" s="13" t="s">
        <v>20478</v>
      </c>
      <c r="D11011" s="13" t="s">
        <v>44</v>
      </c>
      <c r="E11011" s="12" t="s">
        <v>50</v>
      </c>
      <c r="F11011" s="13"/>
      <c r="G11011" s="14">
        <v>4575</v>
      </c>
      <c r="H11011" s="13" t="s">
        <v>20479</v>
      </c>
      <c r="I11011" s="40" t="s">
        <v>18</v>
      </c>
      <c r="J11011" s="40" t="str">
        <f>HYPERLINK("https://stock.pstatic.net/stock-research/company/39/20250711_company_679338000.pdf","PDF")</f>
        <v>PDF</v>
      </c>
      <c r="K11011" s="12" t="s">
        <v>20480</v>
      </c>
    </row>
    <row r="11012" spans="1:12" x14ac:dyDescent="0.45">
      <c r="A11012" s="12" t="s">
        <v>20398</v>
      </c>
      <c r="B11012" s="12" t="s">
        <v>1660</v>
      </c>
      <c r="C11012" s="13" t="s">
        <v>1661</v>
      </c>
      <c r="D11012" s="13" t="s">
        <v>124</v>
      </c>
      <c r="E11012" s="12" t="s">
        <v>50</v>
      </c>
      <c r="F11012" s="13"/>
      <c r="G11012" s="13"/>
      <c r="H11012" s="13" t="s">
        <v>20208</v>
      </c>
      <c r="I11012" s="40" t="s">
        <v>18</v>
      </c>
      <c r="J11012" s="40" t="str">
        <f>HYPERLINK("https://stock.pstatic.net/stock-research/company/74/20250711_company_101010000.pdf","PDF")</f>
        <v>PDF</v>
      </c>
      <c r="K11012" s="12" t="s">
        <v>20481</v>
      </c>
    </row>
    <row r="11013" spans="1:12" x14ac:dyDescent="0.45">
      <c r="A11013" s="12" t="s">
        <v>20398</v>
      </c>
      <c r="B11013" s="12" t="s">
        <v>4297</v>
      </c>
      <c r="C11013" s="13" t="s">
        <v>4298</v>
      </c>
      <c r="D11013" s="13" t="s">
        <v>124</v>
      </c>
      <c r="E11013" s="12" t="s">
        <v>50</v>
      </c>
      <c r="F11013" s="13"/>
      <c r="G11013" s="13"/>
      <c r="H11013" s="13" t="s">
        <v>20482</v>
      </c>
      <c r="I11013" s="40" t="s">
        <v>18</v>
      </c>
      <c r="J11013" s="40" t="str">
        <f>HYPERLINK("https://stock.pstatic.net/stock-research/company/1/20250711_company_948949000.pdf","PDF")</f>
        <v>PDF</v>
      </c>
      <c r="K11013" s="12" t="s">
        <v>20483</v>
      </c>
    </row>
    <row r="11014" spans="1:12" x14ac:dyDescent="0.45">
      <c r="A11014" s="12" t="s">
        <v>20398</v>
      </c>
      <c r="B11014" s="12" t="s">
        <v>3978</v>
      </c>
      <c r="C11014" s="13" t="s">
        <v>3979</v>
      </c>
      <c r="D11014" s="13" t="s">
        <v>124</v>
      </c>
      <c r="E11014" s="12" t="s">
        <v>50</v>
      </c>
      <c r="F11014" s="13"/>
      <c r="G11014" s="13"/>
      <c r="H11014" s="13" t="s">
        <v>20484</v>
      </c>
      <c r="I11014" s="40" t="s">
        <v>18</v>
      </c>
      <c r="J11014" s="40" t="str">
        <f>HYPERLINK("https://stock.pstatic.net/stock-research/company/74/20250711_company_979896000.pdf","PDF")</f>
        <v>PDF</v>
      </c>
      <c r="K11014" s="12" t="s">
        <v>20485</v>
      </c>
    </row>
    <row r="11015" spans="1:12" x14ac:dyDescent="0.45">
      <c r="A11015" s="12" t="s">
        <v>20398</v>
      </c>
      <c r="B11015" s="12" t="s">
        <v>537</v>
      </c>
      <c r="C11015" s="13" t="s">
        <v>538</v>
      </c>
      <c r="D11015" s="13" t="s">
        <v>53</v>
      </c>
      <c r="E11015" s="12" t="s">
        <v>16</v>
      </c>
      <c r="F11015" s="14">
        <v>18000</v>
      </c>
      <c r="G11015" s="14">
        <v>14830</v>
      </c>
      <c r="H11015" s="13" t="s">
        <v>20486</v>
      </c>
      <c r="I11015" s="40" t="s">
        <v>18</v>
      </c>
      <c r="J11015" s="40" t="str">
        <f>HYPERLINK("https://stock.pstatic.net/stock-research/company/40/20250711_company_987946000.pdf","PDF")</f>
        <v>PDF</v>
      </c>
      <c r="K11015" s="12" t="s">
        <v>20487</v>
      </c>
      <c r="L11015" s="20">
        <v>0.21375590020229271</v>
      </c>
    </row>
    <row r="11016" spans="1:12" x14ac:dyDescent="0.45">
      <c r="A11016" s="12" t="s">
        <v>20398</v>
      </c>
      <c r="B11016" s="12" t="s">
        <v>20488</v>
      </c>
      <c r="C11016" s="13" t="s">
        <v>20489</v>
      </c>
      <c r="D11016" s="13" t="s">
        <v>11154</v>
      </c>
      <c r="E11016" s="12" t="s">
        <v>50</v>
      </c>
      <c r="F11016" s="13"/>
      <c r="G11016" s="13"/>
      <c r="H11016" s="13" t="s">
        <v>20490</v>
      </c>
      <c r="I11016" s="40" t="s">
        <v>18</v>
      </c>
      <c r="J11016" s="40" t="str">
        <f>HYPERLINK("https://stock.pstatic.net/stock-research/company/79/20250715_company_814784000.pdf","PDF")</f>
        <v>PDF</v>
      </c>
      <c r="K11016" s="12" t="s">
        <v>20491</v>
      </c>
    </row>
    <row r="11017" spans="1:12" x14ac:dyDescent="0.45">
      <c r="A11017" s="12" t="s">
        <v>20398</v>
      </c>
      <c r="B11017" s="12" t="s">
        <v>20492</v>
      </c>
      <c r="C11017" s="13" t="s">
        <v>20493</v>
      </c>
      <c r="D11017" s="13" t="s">
        <v>11154</v>
      </c>
      <c r="E11017" s="12" t="s">
        <v>50</v>
      </c>
      <c r="F11017" s="13"/>
      <c r="G11017" s="13"/>
      <c r="H11017" s="13" t="s">
        <v>20494</v>
      </c>
      <c r="I11017" s="40" t="s">
        <v>18</v>
      </c>
      <c r="J11017" s="40" t="str">
        <f>HYPERLINK("https://stock.pstatic.net/stock-research/company/79/20250711_company_59281000.pdf","PDF")</f>
        <v>PDF</v>
      </c>
      <c r="K11017" s="12" t="s">
        <v>20495</v>
      </c>
    </row>
    <row r="11018" spans="1:12" x14ac:dyDescent="0.45">
      <c r="A11018" s="12" t="s">
        <v>20398</v>
      </c>
      <c r="B11018" s="12" t="s">
        <v>20496</v>
      </c>
      <c r="C11018" s="13" t="s">
        <v>20497</v>
      </c>
      <c r="D11018" s="13" t="s">
        <v>202</v>
      </c>
      <c r="E11018" s="12" t="s">
        <v>50</v>
      </c>
      <c r="F11018" s="13"/>
      <c r="G11018" s="13"/>
      <c r="H11018" s="13" t="s">
        <v>20498</v>
      </c>
      <c r="I11018" s="40" t="s">
        <v>18</v>
      </c>
      <c r="J11018" s="40" t="str">
        <f>HYPERLINK("https://stock.pstatic.net/stock-research/company/69/20250711_company_335455000.pdf","PDF")</f>
        <v>PDF</v>
      </c>
      <c r="K11018" s="12" t="s">
        <v>20499</v>
      </c>
    </row>
    <row r="11019" spans="1:12" x14ac:dyDescent="0.45">
      <c r="A11019" s="12" t="s">
        <v>20398</v>
      </c>
      <c r="B11019" s="12" t="s">
        <v>20500</v>
      </c>
      <c r="C11019" s="13" t="s">
        <v>20501</v>
      </c>
      <c r="D11019" s="13" t="s">
        <v>202</v>
      </c>
      <c r="E11019" s="12" t="s">
        <v>50</v>
      </c>
      <c r="F11019" s="13"/>
      <c r="G11019" s="13"/>
      <c r="H11019" s="13" t="s">
        <v>20502</v>
      </c>
      <c r="I11019" s="40" t="s">
        <v>18</v>
      </c>
      <c r="J11019" s="40" t="str">
        <f>HYPERLINK("https://stock.pstatic.net/stock-research/company/69/20250711_company_97464000.pdf","PDF")</f>
        <v>PDF</v>
      </c>
      <c r="K11019" s="12" t="s">
        <v>20503</v>
      </c>
    </row>
    <row r="11020" spans="1:12" x14ac:dyDescent="0.45">
      <c r="A11020" s="12" t="s">
        <v>20398</v>
      </c>
      <c r="B11020" s="12" t="s">
        <v>63</v>
      </c>
      <c r="C11020" s="13" t="s">
        <v>64</v>
      </c>
      <c r="D11020" s="13" t="s">
        <v>1271</v>
      </c>
      <c r="E11020" s="12" t="s">
        <v>35</v>
      </c>
      <c r="F11020" s="14">
        <v>400000</v>
      </c>
      <c r="G11020" s="14">
        <v>282000</v>
      </c>
      <c r="H11020" s="13" t="s">
        <v>18954</v>
      </c>
      <c r="I11020" s="40" t="s">
        <v>18</v>
      </c>
      <c r="J11020" s="40" t="str">
        <f>HYPERLINK("https://stock.pstatic.net/stock-research/company/78/20250711_company_241319000.pdf","PDF")</f>
        <v>PDF</v>
      </c>
      <c r="K11020" s="12" t="s">
        <v>20504</v>
      </c>
      <c r="L11020" s="20">
        <v>0.41843971631205668</v>
      </c>
    </row>
    <row r="11021" spans="1:12" x14ac:dyDescent="0.45">
      <c r="A11021" s="12" t="s">
        <v>20398</v>
      </c>
      <c r="B11021" s="12" t="s">
        <v>1765</v>
      </c>
      <c r="C11021" s="13" t="s">
        <v>1766</v>
      </c>
      <c r="D11021" s="13" t="s">
        <v>1271</v>
      </c>
      <c r="E11021" s="12" t="s">
        <v>35</v>
      </c>
      <c r="F11021" s="14">
        <v>130000</v>
      </c>
      <c r="G11021" s="14">
        <v>99100</v>
      </c>
      <c r="H11021" s="13" t="s">
        <v>20505</v>
      </c>
      <c r="I11021" s="40" t="s">
        <v>18</v>
      </c>
      <c r="J11021" s="40" t="str">
        <f>HYPERLINK("https://stock.pstatic.net/stock-research/company/78/20250711_company_745592000.pdf","PDF")</f>
        <v>PDF</v>
      </c>
      <c r="K11021" s="12" t="s">
        <v>20506</v>
      </c>
      <c r="L11021" s="20">
        <v>0.31180625630676079</v>
      </c>
    </row>
    <row r="11022" spans="1:12" x14ac:dyDescent="0.45">
      <c r="A11022" s="12" t="s">
        <v>20398</v>
      </c>
      <c r="B11022" s="12" t="s">
        <v>5767</v>
      </c>
      <c r="C11022" s="13" t="s">
        <v>5768</v>
      </c>
      <c r="D11022" s="13" t="s">
        <v>1271</v>
      </c>
      <c r="E11022" s="12" t="s">
        <v>35</v>
      </c>
      <c r="F11022" s="14">
        <v>40000</v>
      </c>
      <c r="G11022" s="14">
        <v>34000</v>
      </c>
      <c r="H11022" s="13" t="s">
        <v>20507</v>
      </c>
      <c r="I11022" s="40" t="s">
        <v>18</v>
      </c>
      <c r="J11022" s="40" t="str">
        <f>HYPERLINK("https://stock.pstatic.net/stock-research/company/78/20250711_company_262038000.pdf","PDF")</f>
        <v>PDF</v>
      </c>
      <c r="K11022" s="12" t="s">
        <v>20508</v>
      </c>
      <c r="L11022" s="20">
        <v>0.1764705882352941</v>
      </c>
    </row>
    <row r="11023" spans="1:12" x14ac:dyDescent="0.45">
      <c r="A11023" s="12" t="s">
        <v>20398</v>
      </c>
      <c r="B11023" s="12" t="s">
        <v>3113</v>
      </c>
      <c r="C11023" s="13" t="s">
        <v>3114</v>
      </c>
      <c r="D11023" s="13" t="s">
        <v>1271</v>
      </c>
      <c r="E11023" s="12" t="s">
        <v>35</v>
      </c>
      <c r="F11023" s="14">
        <v>38000</v>
      </c>
      <c r="G11023" s="14">
        <v>30150</v>
      </c>
      <c r="H11023" s="13" t="s">
        <v>20509</v>
      </c>
      <c r="I11023" s="40" t="s">
        <v>18</v>
      </c>
      <c r="J11023" s="40" t="str">
        <f>HYPERLINK("https://stock.pstatic.net/stock-research/company/78/20250711_company_406987000.pdf","PDF")</f>
        <v>PDF</v>
      </c>
      <c r="K11023" s="12" t="s">
        <v>20510</v>
      </c>
      <c r="L11023" s="20">
        <v>0.26036484245439467</v>
      </c>
    </row>
    <row r="11024" spans="1:12" x14ac:dyDescent="0.45">
      <c r="A11024" s="12" t="s">
        <v>20398</v>
      </c>
      <c r="B11024" s="12" t="s">
        <v>2887</v>
      </c>
      <c r="C11024" s="13" t="s">
        <v>2888</v>
      </c>
      <c r="D11024" s="13" t="s">
        <v>1271</v>
      </c>
      <c r="E11024" s="12" t="s">
        <v>35</v>
      </c>
      <c r="F11024" s="14">
        <v>330000</v>
      </c>
      <c r="G11024" s="14">
        <v>258500</v>
      </c>
      <c r="H11024" s="13" t="s">
        <v>20511</v>
      </c>
      <c r="I11024" s="40" t="s">
        <v>18</v>
      </c>
      <c r="J11024" s="40" t="str">
        <f>HYPERLINK("https://stock.pstatic.net/stock-research/company/78/20250711_company_769541000.pdf","PDF")</f>
        <v>PDF</v>
      </c>
      <c r="K11024" s="12" t="s">
        <v>20512</v>
      </c>
      <c r="L11024" s="20">
        <v>0.27659574468085107</v>
      </c>
    </row>
    <row r="11025" spans="1:12" x14ac:dyDescent="0.45">
      <c r="A11025" s="12" t="s">
        <v>20513</v>
      </c>
      <c r="B11025" s="12" t="s">
        <v>2576</v>
      </c>
      <c r="C11025" s="13" t="s">
        <v>2577</v>
      </c>
      <c r="D11025" s="13" t="s">
        <v>158</v>
      </c>
      <c r="E11025" s="12" t="s">
        <v>50</v>
      </c>
      <c r="F11025" s="13"/>
      <c r="G11025" s="14">
        <v>853000</v>
      </c>
      <c r="H11025" s="13" t="s">
        <v>20514</v>
      </c>
      <c r="I11025" s="40" t="s">
        <v>18</v>
      </c>
      <c r="J11025" s="40" t="str">
        <f>HYPERLINK("https://stock.pstatic.net/stock-research/company/18/20250710_company_478195000.pdf","PDF")</f>
        <v>PDF</v>
      </c>
      <c r="K11025" s="12" t="s">
        <v>20515</v>
      </c>
    </row>
    <row r="11026" spans="1:12" x14ac:dyDescent="0.45">
      <c r="A11026" s="12" t="s">
        <v>20513</v>
      </c>
      <c r="B11026" s="12" t="s">
        <v>63</v>
      </c>
      <c r="C11026" s="13" t="s">
        <v>64</v>
      </c>
      <c r="D11026" s="13" t="s">
        <v>158</v>
      </c>
      <c r="E11026" s="12" t="s">
        <v>35</v>
      </c>
      <c r="F11026" s="14">
        <v>360000</v>
      </c>
      <c r="G11026" s="14">
        <v>281500</v>
      </c>
      <c r="H11026" s="13" t="s">
        <v>20516</v>
      </c>
      <c r="I11026" s="40" t="s">
        <v>18</v>
      </c>
      <c r="J11026" s="40" t="str">
        <f>HYPERLINK("https://stock.pstatic.net/stock-research/company/18/20250710_company_482851000.pdf","PDF")</f>
        <v>PDF</v>
      </c>
      <c r="K11026" s="12" t="s">
        <v>20517</v>
      </c>
      <c r="L11026" s="20">
        <v>0.27886323268206042</v>
      </c>
    </row>
    <row r="11027" spans="1:12" x14ac:dyDescent="0.45">
      <c r="A11027" s="12" t="s">
        <v>20513</v>
      </c>
      <c r="B11027" s="12" t="s">
        <v>728</v>
      </c>
      <c r="C11027" s="13" t="s">
        <v>729</v>
      </c>
      <c r="D11027" s="13" t="s">
        <v>158</v>
      </c>
      <c r="E11027" s="12" t="s">
        <v>35</v>
      </c>
      <c r="F11027" s="14">
        <v>110000</v>
      </c>
      <c r="G11027" s="14">
        <v>84400</v>
      </c>
      <c r="H11027" s="13" t="s">
        <v>20518</v>
      </c>
      <c r="I11027" s="40" t="s">
        <v>18</v>
      </c>
      <c r="J11027" s="40" t="str">
        <f>HYPERLINK("https://stock.pstatic.net/stock-research/company/18/20250710_company_704422000.pdf","PDF")</f>
        <v>PDF</v>
      </c>
      <c r="K11027" s="12" t="s">
        <v>20519</v>
      </c>
      <c r="L11027" s="20">
        <v>0.30331753554502372</v>
      </c>
    </row>
    <row r="11028" spans="1:12" x14ac:dyDescent="0.45">
      <c r="A11028" s="12" t="s">
        <v>20513</v>
      </c>
      <c r="B11028" s="12" t="s">
        <v>888</v>
      </c>
      <c r="C11028" s="13" t="s">
        <v>889</v>
      </c>
      <c r="D11028" s="13" t="s">
        <v>57</v>
      </c>
      <c r="E11028" s="12" t="s">
        <v>35</v>
      </c>
      <c r="F11028" s="14">
        <v>72000</v>
      </c>
      <c r="G11028" s="14">
        <v>60700</v>
      </c>
      <c r="H11028" s="13" t="s">
        <v>20520</v>
      </c>
      <c r="I11028" s="40" t="s">
        <v>18</v>
      </c>
      <c r="J11028" s="40" t="str">
        <f>HYPERLINK("https://stock.pstatic.net/stock-research/company/16/20250710_company_657661000.pdf","PDF")</f>
        <v>PDF</v>
      </c>
      <c r="K11028" s="12" t="s">
        <v>20521</v>
      </c>
      <c r="L11028" s="20">
        <v>0.18616144975288301</v>
      </c>
    </row>
    <row r="11029" spans="1:12" x14ac:dyDescent="0.45">
      <c r="A11029" s="12" t="s">
        <v>20513</v>
      </c>
      <c r="B11029" s="12" t="s">
        <v>3349</v>
      </c>
      <c r="C11029" s="13" t="s">
        <v>7707</v>
      </c>
      <c r="D11029" s="13" t="s">
        <v>57</v>
      </c>
      <c r="E11029" s="12" t="s">
        <v>35</v>
      </c>
      <c r="F11029" s="14">
        <v>36000</v>
      </c>
      <c r="G11029" s="14">
        <v>23600</v>
      </c>
      <c r="H11029" s="13" t="s">
        <v>20522</v>
      </c>
      <c r="I11029" s="40" t="s">
        <v>18</v>
      </c>
      <c r="J11029" s="40" t="str">
        <f>HYPERLINK("https://stock.pstatic.net/stock-research/company/16/20250710_company_34086000.pdf","PDF")</f>
        <v>PDF</v>
      </c>
      <c r="K11029" s="12" t="s">
        <v>20523</v>
      </c>
      <c r="L11029" s="20">
        <v>0.52542372881355937</v>
      </c>
    </row>
    <row r="11030" spans="1:12" x14ac:dyDescent="0.45">
      <c r="A11030" s="12" t="s">
        <v>20513</v>
      </c>
      <c r="B11030" s="12" t="s">
        <v>3105</v>
      </c>
      <c r="C11030" s="13" t="s">
        <v>3106</v>
      </c>
      <c r="D11030" s="13" t="s">
        <v>57</v>
      </c>
      <c r="E11030" s="12" t="s">
        <v>35</v>
      </c>
      <c r="F11030" s="14">
        <v>360000</v>
      </c>
      <c r="G11030" s="14">
        <v>277000</v>
      </c>
      <c r="H11030" s="13" t="s">
        <v>20524</v>
      </c>
      <c r="I11030" s="40" t="s">
        <v>18</v>
      </c>
      <c r="J11030" s="40" t="str">
        <f>HYPERLINK("https://stock.pstatic.net/stock-research/company/16/20250710_company_105851000.pdf","PDF")</f>
        <v>PDF</v>
      </c>
      <c r="K11030" s="12" t="s">
        <v>20525</v>
      </c>
      <c r="L11030" s="20">
        <v>0.29963898916967507</v>
      </c>
    </row>
    <row r="11031" spans="1:12" x14ac:dyDescent="0.45">
      <c r="A11031" s="12" t="s">
        <v>20513</v>
      </c>
      <c r="B11031" s="12" t="s">
        <v>370</v>
      </c>
      <c r="C11031" s="13" t="s">
        <v>371</v>
      </c>
      <c r="D11031" s="13" t="s">
        <v>57</v>
      </c>
      <c r="E11031" s="12" t="s">
        <v>35</v>
      </c>
      <c r="F11031" s="14">
        <v>110000</v>
      </c>
      <c r="G11031" s="14">
        <v>86000</v>
      </c>
      <c r="H11031" s="13" t="s">
        <v>20526</v>
      </c>
      <c r="I11031" s="40" t="s">
        <v>18</v>
      </c>
      <c r="J11031" s="40" t="str">
        <f>HYPERLINK("https://stock.pstatic.net/stock-research/company/16/20250710_company_848414000.pdf","PDF")</f>
        <v>PDF</v>
      </c>
      <c r="K11031" s="12" t="s">
        <v>20527</v>
      </c>
      <c r="L11031" s="20">
        <v>0.27906976744186052</v>
      </c>
    </row>
    <row r="11032" spans="1:12" x14ac:dyDescent="0.45">
      <c r="A11032" s="12" t="s">
        <v>20513</v>
      </c>
      <c r="B11032" s="12" t="s">
        <v>3548</v>
      </c>
      <c r="C11032" s="13" t="s">
        <v>3549</v>
      </c>
      <c r="D11032" s="13" t="s">
        <v>57</v>
      </c>
      <c r="E11032" s="12" t="s">
        <v>35</v>
      </c>
      <c r="F11032" s="14">
        <v>56000</v>
      </c>
      <c r="G11032" s="14">
        <v>47100</v>
      </c>
      <c r="H11032" s="13" t="s">
        <v>20528</v>
      </c>
      <c r="I11032" s="40" t="s">
        <v>18</v>
      </c>
      <c r="J11032" s="40" t="str">
        <f>HYPERLINK("https://stock.pstatic.net/stock-research/company/16/20250710_company_229821000.pdf","PDF")</f>
        <v>PDF</v>
      </c>
      <c r="K11032" s="12" t="s">
        <v>20529</v>
      </c>
      <c r="L11032" s="20">
        <v>0.1889596602972399</v>
      </c>
    </row>
    <row r="11033" spans="1:12" x14ac:dyDescent="0.45">
      <c r="A11033" s="12" t="s">
        <v>20513</v>
      </c>
      <c r="B11033" s="12" t="s">
        <v>894</v>
      </c>
      <c r="C11033" s="13" t="s">
        <v>26</v>
      </c>
      <c r="D11033" s="13" t="s">
        <v>276</v>
      </c>
      <c r="E11033" s="12" t="s">
        <v>16</v>
      </c>
      <c r="F11033" s="14">
        <v>58000</v>
      </c>
      <c r="G11033" s="14">
        <v>50000</v>
      </c>
      <c r="H11033" s="13" t="s">
        <v>20530</v>
      </c>
      <c r="I11033" s="40" t="s">
        <v>18</v>
      </c>
      <c r="J11033" s="40" t="str">
        <f>HYPERLINK("https://stock.pstatic.net/stock-research/company/66/20250710_company_660507000.pdf","PDF")</f>
        <v>PDF</v>
      </c>
      <c r="K11033" s="12" t="s">
        <v>20531</v>
      </c>
      <c r="L11033" s="20">
        <v>0.16</v>
      </c>
    </row>
    <row r="11034" spans="1:12" x14ac:dyDescent="0.45">
      <c r="A11034" s="12" t="s">
        <v>20513</v>
      </c>
      <c r="B11034" s="12" t="s">
        <v>2425</v>
      </c>
      <c r="C11034" s="13" t="s">
        <v>2426</v>
      </c>
      <c r="D11034" s="13" t="s">
        <v>60</v>
      </c>
      <c r="E11034" s="12" t="s">
        <v>35</v>
      </c>
      <c r="F11034" s="14">
        <v>160000</v>
      </c>
      <c r="G11034" s="14">
        <v>137400</v>
      </c>
      <c r="H11034" s="13" t="s">
        <v>20532</v>
      </c>
      <c r="I11034" s="40" t="s">
        <v>18</v>
      </c>
      <c r="J11034" s="40" t="str">
        <f>HYPERLINK("https://stock.pstatic.net/stock-research/company/34/20250710_company_425133000.pdf","PDF")</f>
        <v>PDF</v>
      </c>
      <c r="K11034" s="12" t="s">
        <v>20533</v>
      </c>
      <c r="L11034" s="20">
        <v>0.16448326055312959</v>
      </c>
    </row>
    <row r="11035" spans="1:12" x14ac:dyDescent="0.45">
      <c r="A11035" s="12" t="s">
        <v>20513</v>
      </c>
      <c r="B11035" s="12" t="s">
        <v>888</v>
      </c>
      <c r="C11035" s="13" t="s">
        <v>889</v>
      </c>
      <c r="D11035" s="13" t="s">
        <v>65</v>
      </c>
      <c r="E11035" s="12" t="s">
        <v>35</v>
      </c>
      <c r="F11035" s="14">
        <v>70000</v>
      </c>
      <c r="G11035" s="14">
        <v>60700</v>
      </c>
      <c r="H11035" s="13" t="s">
        <v>20534</v>
      </c>
      <c r="I11035" s="40" t="s">
        <v>18</v>
      </c>
      <c r="J11035" s="40" t="str">
        <f>HYPERLINK("https://stock.pstatic.net/stock-research/company/57/20250710_company_446130000.pdf","PDF")</f>
        <v>PDF</v>
      </c>
      <c r="K11035" s="12" t="s">
        <v>20535</v>
      </c>
      <c r="L11035" s="20">
        <v>0.15321252059308069</v>
      </c>
    </row>
    <row r="11036" spans="1:12" x14ac:dyDescent="0.45">
      <c r="A11036" s="12" t="s">
        <v>20513</v>
      </c>
      <c r="B11036" s="12" t="s">
        <v>2795</v>
      </c>
      <c r="C11036" s="13" t="s">
        <v>2796</v>
      </c>
      <c r="D11036" s="13" t="s">
        <v>65</v>
      </c>
      <c r="E11036" s="12" t="s">
        <v>35</v>
      </c>
      <c r="F11036" s="14">
        <v>4800</v>
      </c>
      <c r="G11036" s="14">
        <v>3980</v>
      </c>
      <c r="H11036" s="13" t="s">
        <v>20536</v>
      </c>
      <c r="I11036" s="40" t="s">
        <v>18</v>
      </c>
      <c r="J11036" s="40" t="str">
        <f>HYPERLINK("https://stock.pstatic.net/stock-research/company/57/20250710_company_256286000.pdf","PDF")</f>
        <v>PDF</v>
      </c>
      <c r="K11036" s="12" t="s">
        <v>20537</v>
      </c>
      <c r="L11036" s="20">
        <v>0.20603015075376879</v>
      </c>
    </row>
    <row r="11037" spans="1:12" x14ac:dyDescent="0.45">
      <c r="A11037" s="12" t="s">
        <v>20513</v>
      </c>
      <c r="B11037" s="12" t="s">
        <v>3230</v>
      </c>
      <c r="C11037" s="13" t="s">
        <v>3231</v>
      </c>
      <c r="D11037" s="13" t="s">
        <v>65</v>
      </c>
      <c r="E11037" s="12" t="s">
        <v>35</v>
      </c>
      <c r="F11037" s="14">
        <v>1200000</v>
      </c>
      <c r="G11037" s="14">
        <v>943000</v>
      </c>
      <c r="H11037" s="13" t="s">
        <v>20538</v>
      </c>
      <c r="I11037" s="40" t="s">
        <v>18</v>
      </c>
      <c r="J11037" s="40" t="str">
        <f>HYPERLINK("https://stock.pstatic.net/stock-research/company/57/20250710_company_876977000.pdf","PDF")</f>
        <v>PDF</v>
      </c>
      <c r="K11037" s="12" t="s">
        <v>20539</v>
      </c>
      <c r="L11037" s="20">
        <v>0.27253446447507951</v>
      </c>
    </row>
    <row r="11038" spans="1:12" x14ac:dyDescent="0.45">
      <c r="A11038" s="12" t="s">
        <v>20513</v>
      </c>
      <c r="B11038" s="12" t="s">
        <v>537</v>
      </c>
      <c r="C11038" s="13" t="s">
        <v>538</v>
      </c>
      <c r="D11038" s="13" t="s">
        <v>65</v>
      </c>
      <c r="E11038" s="12" t="s">
        <v>35</v>
      </c>
      <c r="F11038" s="14">
        <v>16000</v>
      </c>
      <c r="G11038" s="14">
        <v>14790</v>
      </c>
      <c r="H11038" s="13" t="s">
        <v>20540</v>
      </c>
      <c r="I11038" s="40" t="s">
        <v>18</v>
      </c>
      <c r="J11038" s="40" t="str">
        <f>HYPERLINK("https://stock.pstatic.net/stock-research/company/57/20250710_company_532540000.pdf","PDF")</f>
        <v>PDF</v>
      </c>
      <c r="K11038" s="12" t="s">
        <v>20541</v>
      </c>
      <c r="L11038" s="20">
        <v>8.1812035158891142E-2</v>
      </c>
    </row>
    <row r="11039" spans="1:12" x14ac:dyDescent="0.45">
      <c r="A11039" s="12" t="s">
        <v>20513</v>
      </c>
      <c r="B11039" s="12" t="s">
        <v>541</v>
      </c>
      <c r="C11039" s="13" t="s">
        <v>542</v>
      </c>
      <c r="D11039" s="13" t="s">
        <v>65</v>
      </c>
      <c r="E11039" s="12" t="s">
        <v>35</v>
      </c>
      <c r="F11039" s="14">
        <v>70000</v>
      </c>
      <c r="G11039" s="14">
        <v>55000</v>
      </c>
      <c r="H11039" s="13" t="s">
        <v>20542</v>
      </c>
      <c r="I11039" s="40" t="s">
        <v>18</v>
      </c>
      <c r="J11039" s="40" t="str">
        <f>HYPERLINK("https://stock.pstatic.net/stock-research/company/57/20250710_company_472286000.pdf","PDF")</f>
        <v>PDF</v>
      </c>
      <c r="K11039" s="12" t="s">
        <v>20543</v>
      </c>
      <c r="L11039" s="20">
        <v>0.27272727272727271</v>
      </c>
    </row>
    <row r="11040" spans="1:12" x14ac:dyDescent="0.45">
      <c r="A11040" s="12" t="s">
        <v>20513</v>
      </c>
      <c r="B11040" s="12" t="s">
        <v>8821</v>
      </c>
      <c r="C11040" s="13" t="s">
        <v>8822</v>
      </c>
      <c r="D11040" s="13" t="s">
        <v>83</v>
      </c>
      <c r="E11040" s="12" t="s">
        <v>35</v>
      </c>
      <c r="F11040" s="14">
        <v>25000</v>
      </c>
      <c r="G11040" s="14">
        <v>15310</v>
      </c>
      <c r="H11040" s="13" t="s">
        <v>20544</v>
      </c>
      <c r="I11040" s="40" t="s">
        <v>18</v>
      </c>
      <c r="J11040" s="40" t="str">
        <f>HYPERLINK("https://stock.pstatic.net/stock-research/company/2/20250710_company_149763000.pdf","PDF")</f>
        <v>PDF</v>
      </c>
      <c r="K11040" s="12" t="s">
        <v>20545</v>
      </c>
      <c r="L11040" s="20">
        <v>0.63291966035271063</v>
      </c>
    </row>
    <row r="11041" spans="1:12" x14ac:dyDescent="0.45">
      <c r="A11041" s="12" t="s">
        <v>20513</v>
      </c>
      <c r="B11041" s="12" t="s">
        <v>1773</v>
      </c>
      <c r="C11041" s="13" t="s">
        <v>1774</v>
      </c>
      <c r="D11041" s="13" t="s">
        <v>83</v>
      </c>
      <c r="E11041" s="12" t="s">
        <v>35</v>
      </c>
      <c r="F11041" s="14">
        <v>110000</v>
      </c>
      <c r="G11041" s="14">
        <v>93600</v>
      </c>
      <c r="H11041" s="13" t="s">
        <v>20546</v>
      </c>
      <c r="I11041" s="40" t="s">
        <v>18</v>
      </c>
      <c r="J11041" s="40" t="str">
        <f>HYPERLINK("https://stock.pstatic.net/stock-research/company/2/20250710_company_520009000.pdf","PDF")</f>
        <v>PDF</v>
      </c>
      <c r="K11041" s="12" t="s">
        <v>20547</v>
      </c>
      <c r="L11041" s="20">
        <v>0.1752136752136752</v>
      </c>
    </row>
    <row r="11042" spans="1:12" x14ac:dyDescent="0.45">
      <c r="A11042" s="12" t="s">
        <v>20513</v>
      </c>
      <c r="B11042" s="12" t="s">
        <v>2425</v>
      </c>
      <c r="C11042" s="13" t="s">
        <v>2426</v>
      </c>
      <c r="D11042" s="13" t="s">
        <v>83</v>
      </c>
      <c r="E11042" s="12" t="s">
        <v>35</v>
      </c>
      <c r="F11042" s="14">
        <v>170000</v>
      </c>
      <c r="G11042" s="14">
        <v>137400</v>
      </c>
      <c r="H11042" s="13" t="s">
        <v>20548</v>
      </c>
      <c r="I11042" s="40" t="s">
        <v>18</v>
      </c>
      <c r="J11042" s="40" t="str">
        <f>HYPERLINK("https://stock.pstatic.net/stock-research/company/2/20250710_company_336115000.pdf","PDF")</f>
        <v>PDF</v>
      </c>
      <c r="K11042" s="12" t="s">
        <v>20549</v>
      </c>
      <c r="L11042" s="20">
        <v>0.23726346433770021</v>
      </c>
    </row>
    <row r="11043" spans="1:12" x14ac:dyDescent="0.45">
      <c r="A11043" s="12" t="s">
        <v>20513</v>
      </c>
      <c r="B11043" s="12" t="s">
        <v>177</v>
      </c>
      <c r="C11043" s="13" t="s">
        <v>178</v>
      </c>
      <c r="D11043" s="13" t="s">
        <v>83</v>
      </c>
      <c r="E11043" s="12" t="s">
        <v>35</v>
      </c>
      <c r="F11043" s="14">
        <v>15000</v>
      </c>
      <c r="G11043" s="14">
        <v>10770</v>
      </c>
      <c r="H11043" s="13" t="s">
        <v>20550</v>
      </c>
      <c r="I11043" s="40" t="s">
        <v>18</v>
      </c>
      <c r="J11043" s="40" t="str">
        <f>HYPERLINK("https://stock.pstatic.net/stock-research/company/2/20250710_company_585653000.pdf","PDF")</f>
        <v>PDF</v>
      </c>
      <c r="K11043" s="12" t="s">
        <v>20551</v>
      </c>
      <c r="L11043" s="20">
        <v>0.39275766016713087</v>
      </c>
    </row>
    <row r="11044" spans="1:12" x14ac:dyDescent="0.45">
      <c r="A11044" s="12" t="s">
        <v>20513</v>
      </c>
      <c r="B11044" s="12" t="s">
        <v>3230</v>
      </c>
      <c r="C11044" s="13" t="s">
        <v>3231</v>
      </c>
      <c r="D11044" s="13" t="s">
        <v>15</v>
      </c>
      <c r="E11044" s="12" t="s">
        <v>16</v>
      </c>
      <c r="F11044" s="14">
        <v>1220000</v>
      </c>
      <c r="G11044" s="14">
        <v>943000</v>
      </c>
      <c r="H11044" s="13" t="s">
        <v>20552</v>
      </c>
      <c r="I11044" s="40" t="s">
        <v>18</v>
      </c>
      <c r="J11044" s="40" t="str">
        <f>HYPERLINK("https://stock.pstatic.net/stock-research/company/29/20250710_company_630564000.pdf","PDF")</f>
        <v>PDF</v>
      </c>
      <c r="K11044" s="12" t="s">
        <v>20553</v>
      </c>
      <c r="L11044" s="20">
        <v>0.29374337221633079</v>
      </c>
    </row>
    <row r="11045" spans="1:12" x14ac:dyDescent="0.45">
      <c r="A11045" s="12" t="s">
        <v>20513</v>
      </c>
      <c r="B11045" s="12" t="s">
        <v>3105</v>
      </c>
      <c r="C11045" s="13" t="s">
        <v>3106</v>
      </c>
      <c r="D11045" s="13" t="s">
        <v>53</v>
      </c>
      <c r="E11045" s="12" t="s">
        <v>35</v>
      </c>
      <c r="F11045" s="14">
        <v>370000</v>
      </c>
      <c r="G11045" s="14">
        <v>277000</v>
      </c>
      <c r="H11045" s="13" t="s">
        <v>20554</v>
      </c>
      <c r="I11045" s="40" t="s">
        <v>18</v>
      </c>
      <c r="J11045" s="40" t="str">
        <f>HYPERLINK("https://stock.pstatic.net/stock-research/company/40/20250710_company_169985000.pdf","PDF")</f>
        <v>PDF</v>
      </c>
      <c r="K11045" s="12" t="s">
        <v>20555</v>
      </c>
      <c r="L11045" s="20">
        <v>0.33574007220216612</v>
      </c>
    </row>
    <row r="11046" spans="1:12" x14ac:dyDescent="0.45">
      <c r="A11046" s="12" t="s">
        <v>20513</v>
      </c>
      <c r="B11046" s="12" t="s">
        <v>2982</v>
      </c>
      <c r="C11046" s="13" t="s">
        <v>2983</v>
      </c>
      <c r="D11046" s="13" t="s">
        <v>53</v>
      </c>
      <c r="E11046" s="12" t="s">
        <v>16</v>
      </c>
      <c r="F11046" s="14">
        <v>58000</v>
      </c>
      <c r="G11046" s="14">
        <v>49550</v>
      </c>
      <c r="H11046" s="13" t="s">
        <v>20556</v>
      </c>
      <c r="I11046" s="40" t="s">
        <v>18</v>
      </c>
      <c r="J11046" s="40" t="str">
        <f>HYPERLINK("https://stock.pstatic.net/stock-research/company/40/20250710_company_854644000.pdf","PDF")</f>
        <v>PDF</v>
      </c>
      <c r="K11046" s="12" t="s">
        <v>20557</v>
      </c>
      <c r="L11046" s="20">
        <v>0.17053481331987891</v>
      </c>
    </row>
    <row r="11047" spans="1:12" x14ac:dyDescent="0.45">
      <c r="A11047" s="12" t="s">
        <v>20513</v>
      </c>
      <c r="B11047" s="12" t="s">
        <v>1212</v>
      </c>
      <c r="C11047" s="13" t="s">
        <v>1213</v>
      </c>
      <c r="D11047" s="13" t="s">
        <v>23</v>
      </c>
      <c r="E11047" s="12" t="s">
        <v>50</v>
      </c>
      <c r="F11047" s="13"/>
      <c r="G11047" s="14">
        <v>85200</v>
      </c>
      <c r="H11047" s="13" t="s">
        <v>20558</v>
      </c>
      <c r="I11047" s="40" t="s">
        <v>18</v>
      </c>
      <c r="J11047" s="40" t="str">
        <f>HYPERLINK("https://stock.pstatic.net/stock-research/company/21/20250710_company_845229000.pdf","PDF")</f>
        <v>PDF</v>
      </c>
      <c r="K11047" s="12" t="s">
        <v>20559</v>
      </c>
    </row>
    <row r="11048" spans="1:12" x14ac:dyDescent="0.45">
      <c r="A11048" s="12" t="s">
        <v>20513</v>
      </c>
      <c r="B11048" s="12" t="s">
        <v>95</v>
      </c>
      <c r="C11048" s="13" t="s">
        <v>31</v>
      </c>
      <c r="D11048" s="13" t="s">
        <v>53</v>
      </c>
      <c r="E11048" s="12" t="s">
        <v>16</v>
      </c>
      <c r="F11048" s="14">
        <v>30000</v>
      </c>
      <c r="G11048" s="14">
        <v>25000</v>
      </c>
      <c r="H11048" s="13" t="s">
        <v>20560</v>
      </c>
      <c r="I11048" s="40" t="s">
        <v>18</v>
      </c>
      <c r="J11048" s="40" t="str">
        <f>HYPERLINK("https://stock.pstatic.net/stock-research/company/40/20250710_company_592696000.pdf","PDF")</f>
        <v>PDF</v>
      </c>
      <c r="K11048" s="12" t="s">
        <v>20561</v>
      </c>
      <c r="L11048" s="20">
        <v>0.2</v>
      </c>
    </row>
    <row r="11049" spans="1:12" x14ac:dyDescent="0.45">
      <c r="A11049" s="12" t="s">
        <v>20513</v>
      </c>
      <c r="B11049" s="12" t="s">
        <v>14601</v>
      </c>
      <c r="C11049" s="13" t="s">
        <v>14602</v>
      </c>
      <c r="D11049" s="13" t="s">
        <v>179</v>
      </c>
      <c r="E11049" s="12" t="s">
        <v>50</v>
      </c>
      <c r="F11049" s="13"/>
      <c r="G11049" s="13"/>
      <c r="H11049" s="13" t="s">
        <v>20562</v>
      </c>
      <c r="I11049" s="40" t="s">
        <v>18</v>
      </c>
      <c r="J11049" s="40" t="str">
        <f>HYPERLINK("https://stock.pstatic.net/stock-research/company/64/20250710_company_244030000.pdf","PDF")</f>
        <v>PDF</v>
      </c>
      <c r="K11049" s="12" t="s">
        <v>20563</v>
      </c>
    </row>
    <row r="11050" spans="1:12" x14ac:dyDescent="0.45">
      <c r="A11050" s="12" t="s">
        <v>20513</v>
      </c>
      <c r="B11050" s="12" t="s">
        <v>3349</v>
      </c>
      <c r="C11050" s="13" t="s">
        <v>7707</v>
      </c>
      <c r="D11050" s="13" t="s">
        <v>53</v>
      </c>
      <c r="E11050" s="12" t="s">
        <v>16</v>
      </c>
      <c r="F11050" s="14">
        <v>28500</v>
      </c>
      <c r="G11050" s="14">
        <v>23600</v>
      </c>
      <c r="H11050" s="13" t="s">
        <v>20564</v>
      </c>
      <c r="I11050" s="40" t="s">
        <v>18</v>
      </c>
      <c r="J11050" s="40" t="str">
        <f>HYPERLINK("https://stock.pstatic.net/stock-research/company/40/20250710_company_250626000.pdf","PDF")</f>
        <v>PDF</v>
      </c>
      <c r="K11050" s="12" t="s">
        <v>20565</v>
      </c>
      <c r="L11050" s="20">
        <v>0.2076271186440678</v>
      </c>
    </row>
    <row r="11051" spans="1:12" x14ac:dyDescent="0.45">
      <c r="A11051" s="12" t="s">
        <v>20513</v>
      </c>
      <c r="B11051" s="12" t="s">
        <v>10408</v>
      </c>
      <c r="C11051" s="13" t="s">
        <v>10409</v>
      </c>
      <c r="D11051" s="13" t="s">
        <v>179</v>
      </c>
      <c r="E11051" s="12" t="s">
        <v>16</v>
      </c>
      <c r="F11051" s="14">
        <v>43000</v>
      </c>
      <c r="G11051" s="14">
        <v>30100</v>
      </c>
      <c r="H11051" s="13" t="s">
        <v>20566</v>
      </c>
      <c r="I11051" s="40" t="s">
        <v>18</v>
      </c>
      <c r="J11051" s="40" t="str">
        <f>HYPERLINK("https://stock.pstatic.net/stock-research/company/64/20250710_company_803993000.pdf","PDF")</f>
        <v>PDF</v>
      </c>
      <c r="K11051" s="12" t="s">
        <v>20567</v>
      </c>
      <c r="L11051" s="20">
        <v>0.42857142857142849</v>
      </c>
    </row>
    <row r="11052" spans="1:12" x14ac:dyDescent="0.45">
      <c r="A11052" s="12" t="s">
        <v>20513</v>
      </c>
      <c r="B11052" s="12" t="s">
        <v>533</v>
      </c>
      <c r="C11052" s="13" t="s">
        <v>534</v>
      </c>
      <c r="D11052" s="13" t="s">
        <v>92</v>
      </c>
      <c r="E11052" s="12" t="s">
        <v>35</v>
      </c>
      <c r="F11052" s="14">
        <v>66000</v>
      </c>
      <c r="G11052" s="14">
        <v>55600</v>
      </c>
      <c r="H11052" s="13" t="s">
        <v>20568</v>
      </c>
      <c r="I11052" s="40" t="s">
        <v>18</v>
      </c>
      <c r="J11052" s="40" t="str">
        <f>HYPERLINK("https://stock.pstatic.net/stock-research/company/63/20250710_company_335206000.pdf","PDF")</f>
        <v>PDF</v>
      </c>
      <c r="K11052" s="12" t="s">
        <v>20569</v>
      </c>
      <c r="L11052" s="20">
        <v>0.18705035971223019</v>
      </c>
    </row>
    <row r="11053" spans="1:12" x14ac:dyDescent="0.45">
      <c r="A11053" s="12" t="s">
        <v>20513</v>
      </c>
      <c r="B11053" s="12" t="s">
        <v>888</v>
      </c>
      <c r="C11053" s="13" t="s">
        <v>889</v>
      </c>
      <c r="D11053" s="13" t="s">
        <v>92</v>
      </c>
      <c r="E11053" s="12" t="s">
        <v>35</v>
      </c>
      <c r="F11053" s="14">
        <v>69000</v>
      </c>
      <c r="G11053" s="14">
        <v>60700</v>
      </c>
      <c r="H11053" s="13" t="s">
        <v>20570</v>
      </c>
      <c r="I11053" s="40" t="s">
        <v>18</v>
      </c>
      <c r="J11053" s="40" t="str">
        <f>HYPERLINK("https://stock.pstatic.net/stock-research/company/63/20250710_company_381222000.pdf","PDF")</f>
        <v>PDF</v>
      </c>
      <c r="K11053" s="12" t="s">
        <v>20571</v>
      </c>
      <c r="L11053" s="20">
        <v>0.13673805601317959</v>
      </c>
    </row>
    <row r="11054" spans="1:12" x14ac:dyDescent="0.45">
      <c r="A11054" s="12" t="s">
        <v>20513</v>
      </c>
      <c r="B11054" s="12" t="s">
        <v>577</v>
      </c>
      <c r="C11054" s="13" t="s">
        <v>578</v>
      </c>
      <c r="D11054" s="13" t="s">
        <v>179</v>
      </c>
      <c r="E11054" s="12" t="s">
        <v>16</v>
      </c>
      <c r="F11054" s="14">
        <v>390000</v>
      </c>
      <c r="G11054" s="14">
        <v>309500</v>
      </c>
      <c r="H11054" s="13" t="s">
        <v>20572</v>
      </c>
      <c r="I11054" s="40" t="s">
        <v>18</v>
      </c>
      <c r="J11054" s="40" t="str">
        <f>HYPERLINK("https://stock.pstatic.net/stock-research/company/64/20250710_company_86582000.pdf","PDF")</f>
        <v>PDF</v>
      </c>
      <c r="K11054" s="12" t="s">
        <v>20573</v>
      </c>
      <c r="L11054" s="20">
        <v>0.26009693053311789</v>
      </c>
    </row>
    <row r="11055" spans="1:12" x14ac:dyDescent="0.45">
      <c r="A11055" s="12" t="s">
        <v>20513</v>
      </c>
      <c r="B11055" s="12" t="s">
        <v>2781</v>
      </c>
      <c r="C11055" s="13" t="s">
        <v>2782</v>
      </c>
      <c r="D11055" s="13" t="s">
        <v>53</v>
      </c>
      <c r="E11055" s="12" t="s">
        <v>16</v>
      </c>
      <c r="F11055" s="14">
        <v>155000</v>
      </c>
      <c r="G11055" s="14">
        <v>130000</v>
      </c>
      <c r="H11055" s="13" t="s">
        <v>20574</v>
      </c>
      <c r="I11055" s="40" t="s">
        <v>18</v>
      </c>
      <c r="J11055" s="40" t="str">
        <f>HYPERLINK("https://stock.pstatic.net/stock-research/company/40/20250710_company_113808000.pdf","PDF")</f>
        <v>PDF</v>
      </c>
      <c r="K11055" s="12" t="s">
        <v>20575</v>
      </c>
      <c r="L11055" s="20">
        <v>0.19230769230769229</v>
      </c>
    </row>
    <row r="11056" spans="1:12" x14ac:dyDescent="0.45">
      <c r="A11056" s="12" t="s">
        <v>20513</v>
      </c>
      <c r="B11056" s="12" t="s">
        <v>1765</v>
      </c>
      <c r="C11056" s="13" t="s">
        <v>1766</v>
      </c>
      <c r="D11056" s="13" t="s">
        <v>179</v>
      </c>
      <c r="E11056" s="12" t="s">
        <v>16</v>
      </c>
      <c r="F11056" s="14">
        <v>125000</v>
      </c>
      <c r="G11056" s="14">
        <v>99600</v>
      </c>
      <c r="H11056" s="13" t="s">
        <v>20576</v>
      </c>
      <c r="I11056" s="40" t="s">
        <v>18</v>
      </c>
      <c r="J11056" s="40" t="str">
        <f>HYPERLINK("https://stock.pstatic.net/stock-research/company/64/20250710_company_38855000.pdf","PDF")</f>
        <v>PDF</v>
      </c>
      <c r="K11056" s="12" t="s">
        <v>20577</v>
      </c>
      <c r="L11056" s="20">
        <v>0.25502008032128509</v>
      </c>
    </row>
    <row r="11057" spans="1:12" x14ac:dyDescent="0.45">
      <c r="A11057" s="12" t="s">
        <v>20513</v>
      </c>
      <c r="B11057" s="12" t="s">
        <v>2089</v>
      </c>
      <c r="C11057" s="13" t="s">
        <v>2090</v>
      </c>
      <c r="D11057" s="13" t="s">
        <v>44</v>
      </c>
      <c r="E11057" s="12" t="s">
        <v>35</v>
      </c>
      <c r="F11057" s="14">
        <v>77000</v>
      </c>
      <c r="G11057" s="14">
        <v>63500</v>
      </c>
      <c r="H11057" s="13" t="s">
        <v>20578</v>
      </c>
      <c r="I11057" s="40" t="s">
        <v>18</v>
      </c>
      <c r="J11057" s="40" t="str">
        <f>HYPERLINK("https://stock.pstatic.net/stock-research/company/39/20250710_company_155801000.pdf","PDF")</f>
        <v>PDF</v>
      </c>
      <c r="K11057" s="12" t="s">
        <v>20579</v>
      </c>
      <c r="L11057" s="20">
        <v>0.2125984251968504</v>
      </c>
    </row>
    <row r="11058" spans="1:12" x14ac:dyDescent="0.45">
      <c r="A11058" s="12" t="s">
        <v>20513</v>
      </c>
      <c r="B11058" s="12" t="s">
        <v>15000</v>
      </c>
      <c r="C11058" s="13" t="s">
        <v>15001</v>
      </c>
      <c r="D11058" s="13" t="s">
        <v>23</v>
      </c>
      <c r="E11058" s="12" t="s">
        <v>50</v>
      </c>
      <c r="F11058" s="13"/>
      <c r="G11058" s="14">
        <v>17620</v>
      </c>
      <c r="H11058" s="13" t="s">
        <v>20580</v>
      </c>
      <c r="I11058" s="40" t="s">
        <v>18</v>
      </c>
      <c r="J11058" s="40" t="str">
        <f>HYPERLINK("https://stock.pstatic.net/stock-research/company/21/20250710_company_262616000.pdf","PDF")</f>
        <v>PDF</v>
      </c>
      <c r="K11058" s="12" t="s">
        <v>20581</v>
      </c>
    </row>
    <row r="11059" spans="1:12" x14ac:dyDescent="0.45">
      <c r="A11059" s="12" t="s">
        <v>20513</v>
      </c>
      <c r="B11059" s="12" t="s">
        <v>2097</v>
      </c>
      <c r="C11059" s="13" t="s">
        <v>2098</v>
      </c>
      <c r="D11059" s="13" t="s">
        <v>92</v>
      </c>
      <c r="E11059" s="12" t="s">
        <v>35</v>
      </c>
      <c r="F11059" s="14">
        <v>54000</v>
      </c>
      <c r="G11059" s="14">
        <v>46100</v>
      </c>
      <c r="H11059" s="13" t="s">
        <v>20582</v>
      </c>
      <c r="I11059" s="40" t="s">
        <v>18</v>
      </c>
      <c r="J11059" s="40" t="str">
        <f>HYPERLINK("https://stock.pstatic.net/stock-research/company/63/20250710_company_974295000.pdf","PDF")</f>
        <v>PDF</v>
      </c>
      <c r="K11059" s="12" t="s">
        <v>20583</v>
      </c>
      <c r="L11059" s="20">
        <v>0.1713665943600868</v>
      </c>
    </row>
    <row r="11060" spans="1:12" x14ac:dyDescent="0.45">
      <c r="A11060" s="12" t="s">
        <v>20513</v>
      </c>
      <c r="B11060" s="12" t="s">
        <v>519</v>
      </c>
      <c r="C11060" s="13" t="s">
        <v>520</v>
      </c>
      <c r="D11060" s="13" t="s">
        <v>179</v>
      </c>
      <c r="E11060" s="12" t="s">
        <v>16</v>
      </c>
      <c r="F11060" s="14">
        <v>270000</v>
      </c>
      <c r="G11060" s="14">
        <v>209500</v>
      </c>
      <c r="H11060" s="13" t="s">
        <v>20584</v>
      </c>
      <c r="I11060" s="40" t="s">
        <v>18</v>
      </c>
      <c r="J11060" s="40" t="str">
        <f>HYPERLINK("https://stock.pstatic.net/stock-research/company/64/20250710_company_218490000.pdf","PDF")</f>
        <v>PDF</v>
      </c>
      <c r="K11060" s="12" t="s">
        <v>20585</v>
      </c>
      <c r="L11060" s="20">
        <v>0.28878281622911689</v>
      </c>
    </row>
    <row r="11061" spans="1:12" x14ac:dyDescent="0.45">
      <c r="A11061" s="12" t="s">
        <v>20513</v>
      </c>
      <c r="B11061" s="12" t="s">
        <v>2089</v>
      </c>
      <c r="C11061" s="13" t="s">
        <v>2090</v>
      </c>
      <c r="D11061" s="13" t="s">
        <v>23</v>
      </c>
      <c r="E11061" s="12" t="s">
        <v>16</v>
      </c>
      <c r="F11061" s="14">
        <v>80000</v>
      </c>
      <c r="G11061" s="14">
        <v>63500</v>
      </c>
      <c r="H11061" s="13" t="s">
        <v>20586</v>
      </c>
      <c r="I11061" s="40" t="s">
        <v>18</v>
      </c>
      <c r="J11061" s="40" t="str">
        <f>HYPERLINK("https://stock.pstatic.net/stock-research/company/21/20250710_company_39360000.pdf","PDF")</f>
        <v>PDF</v>
      </c>
      <c r="K11061" s="12" t="s">
        <v>20587</v>
      </c>
      <c r="L11061" s="20">
        <v>0.25984251968503941</v>
      </c>
    </row>
    <row r="11062" spans="1:12" x14ac:dyDescent="0.45">
      <c r="A11062" s="12" t="s">
        <v>20513</v>
      </c>
      <c r="B11062" s="12" t="s">
        <v>3813</v>
      </c>
      <c r="C11062" s="13" t="s">
        <v>3814</v>
      </c>
      <c r="D11062" s="13" t="s">
        <v>23</v>
      </c>
      <c r="E11062" s="12" t="s">
        <v>16</v>
      </c>
      <c r="F11062" s="14">
        <v>13000</v>
      </c>
      <c r="G11062" s="14">
        <v>9280</v>
      </c>
      <c r="H11062" s="13" t="s">
        <v>8837</v>
      </c>
      <c r="I11062" s="40" t="s">
        <v>18</v>
      </c>
      <c r="J11062" s="40" t="str">
        <f>HYPERLINK("https://stock.pstatic.net/stock-research/company/21/20250710_company_402408000.pdf","PDF")</f>
        <v>PDF</v>
      </c>
      <c r="K11062" s="12" t="s">
        <v>20588</v>
      </c>
      <c r="L11062" s="20">
        <v>0.40086206896551718</v>
      </c>
    </row>
    <row r="11063" spans="1:12" x14ac:dyDescent="0.45">
      <c r="A11063" s="12" t="s">
        <v>20513</v>
      </c>
      <c r="B11063" s="12" t="s">
        <v>2425</v>
      </c>
      <c r="C11063" s="13" t="s">
        <v>2426</v>
      </c>
      <c r="D11063" s="13" t="s">
        <v>23</v>
      </c>
      <c r="E11063" s="12" t="s">
        <v>16</v>
      </c>
      <c r="F11063" s="14">
        <v>160000</v>
      </c>
      <c r="G11063" s="14">
        <v>137400</v>
      </c>
      <c r="H11063" s="13" t="s">
        <v>20589</v>
      </c>
      <c r="I11063" s="40" t="s">
        <v>18</v>
      </c>
      <c r="J11063" s="40" t="str">
        <f>HYPERLINK("https://stock.pstatic.net/stock-research/company/21/20250710_company_888585000.pdf","PDF")</f>
        <v>PDF</v>
      </c>
      <c r="K11063" s="12" t="s">
        <v>20590</v>
      </c>
      <c r="L11063" s="20">
        <v>0.16448326055312959</v>
      </c>
    </row>
    <row r="11064" spans="1:12" x14ac:dyDescent="0.45">
      <c r="A11064" s="12" t="s">
        <v>20513</v>
      </c>
      <c r="B11064" s="12" t="s">
        <v>3113</v>
      </c>
      <c r="C11064" s="13" t="s">
        <v>3114</v>
      </c>
      <c r="D11064" s="13" t="s">
        <v>23</v>
      </c>
      <c r="E11064" s="12" t="s">
        <v>16</v>
      </c>
      <c r="F11064" s="14">
        <v>36000</v>
      </c>
      <c r="G11064" s="14">
        <v>31000</v>
      </c>
      <c r="H11064" s="13" t="s">
        <v>20591</v>
      </c>
      <c r="I11064" s="40" t="s">
        <v>18</v>
      </c>
      <c r="J11064" s="40" t="str">
        <f>HYPERLINK("https://stock.pstatic.net/stock-research/company/21/20250710_company_170069000.pdf","PDF")</f>
        <v>PDF</v>
      </c>
      <c r="K11064" s="12" t="s">
        <v>20592</v>
      </c>
      <c r="L11064" s="20">
        <v>0.16129032258064521</v>
      </c>
    </row>
    <row r="11065" spans="1:12" x14ac:dyDescent="0.45">
      <c r="A11065" s="12" t="s">
        <v>20513</v>
      </c>
      <c r="B11065" s="12" t="s">
        <v>519</v>
      </c>
      <c r="C11065" s="13" t="s">
        <v>520</v>
      </c>
      <c r="D11065" s="13" t="s">
        <v>23</v>
      </c>
      <c r="E11065" s="12" t="s">
        <v>16</v>
      </c>
      <c r="F11065" s="14">
        <v>270000</v>
      </c>
      <c r="G11065" s="14">
        <v>209500</v>
      </c>
      <c r="H11065" s="13" t="s">
        <v>20593</v>
      </c>
      <c r="I11065" s="40" t="s">
        <v>18</v>
      </c>
      <c r="J11065" s="40" t="str">
        <f>HYPERLINK("https://stock.pstatic.net/stock-research/company/21/20250710_company_437387000.pdf","PDF")</f>
        <v>PDF</v>
      </c>
      <c r="K11065" s="12" t="s">
        <v>20594</v>
      </c>
      <c r="L11065" s="20">
        <v>0.28878281622911689</v>
      </c>
    </row>
    <row r="11066" spans="1:12" x14ac:dyDescent="0.45">
      <c r="A11066" s="12" t="s">
        <v>20513</v>
      </c>
      <c r="B11066" s="12" t="s">
        <v>3749</v>
      </c>
      <c r="C11066" s="13" t="s">
        <v>3750</v>
      </c>
      <c r="D11066" s="13" t="s">
        <v>23</v>
      </c>
      <c r="E11066" s="12" t="s">
        <v>16</v>
      </c>
      <c r="F11066" s="14">
        <v>185000</v>
      </c>
      <c r="G11066" s="14">
        <v>142100</v>
      </c>
      <c r="H11066" s="13" t="s">
        <v>20595</v>
      </c>
      <c r="I11066" s="40" t="s">
        <v>18</v>
      </c>
      <c r="J11066" s="40" t="str">
        <f>HYPERLINK("https://stock.pstatic.net/stock-research/company/21/20250710_company_864435000.pdf","PDF")</f>
        <v>PDF</v>
      </c>
      <c r="K11066" s="12" t="s">
        <v>20596</v>
      </c>
      <c r="L11066" s="20">
        <v>0.30190007037297678</v>
      </c>
    </row>
    <row r="11067" spans="1:12" x14ac:dyDescent="0.45">
      <c r="A11067" s="12" t="s">
        <v>20513</v>
      </c>
      <c r="B11067" s="12" t="s">
        <v>1765</v>
      </c>
      <c r="C11067" s="13" t="s">
        <v>1766</v>
      </c>
      <c r="D11067" s="13" t="s">
        <v>23</v>
      </c>
      <c r="E11067" s="12" t="s">
        <v>16</v>
      </c>
      <c r="F11067" s="14">
        <v>130000</v>
      </c>
      <c r="G11067" s="14">
        <v>99600</v>
      </c>
      <c r="H11067" s="13" t="s">
        <v>20597</v>
      </c>
      <c r="I11067" s="40" t="s">
        <v>18</v>
      </c>
      <c r="J11067" s="40" t="str">
        <f>HYPERLINK("https://stock.pstatic.net/stock-research/company/21/20250710_company_397500000.pdf","PDF")</f>
        <v>PDF</v>
      </c>
      <c r="K11067" s="12" t="s">
        <v>20598</v>
      </c>
      <c r="L11067" s="20">
        <v>0.30522088353413662</v>
      </c>
    </row>
    <row r="11068" spans="1:12" x14ac:dyDescent="0.45">
      <c r="A11068" s="12" t="s">
        <v>20513</v>
      </c>
      <c r="B11068" s="12" t="s">
        <v>3482</v>
      </c>
      <c r="C11068" s="13" t="s">
        <v>3483</v>
      </c>
      <c r="D11068" s="13" t="s">
        <v>44</v>
      </c>
      <c r="E11068" s="12" t="s">
        <v>35</v>
      </c>
      <c r="F11068" s="14">
        <v>115000</v>
      </c>
      <c r="G11068" s="14">
        <v>94100</v>
      </c>
      <c r="H11068" s="13" t="s">
        <v>20599</v>
      </c>
      <c r="I11068" s="40" t="s">
        <v>18</v>
      </c>
      <c r="J11068" s="40" t="str">
        <f>HYPERLINK("https://stock.pstatic.net/stock-research/company/39/20250710_company_252923000.pdf","PDF")</f>
        <v>PDF</v>
      </c>
      <c r="K11068" s="12" t="s">
        <v>20600</v>
      </c>
      <c r="L11068" s="20">
        <v>0.22210414452709881</v>
      </c>
    </row>
    <row r="11069" spans="1:12" x14ac:dyDescent="0.45">
      <c r="A11069" s="12" t="s">
        <v>20513</v>
      </c>
      <c r="B11069" s="12" t="s">
        <v>760</v>
      </c>
      <c r="C11069" s="13" t="s">
        <v>761</v>
      </c>
      <c r="D11069" s="13" t="s">
        <v>44</v>
      </c>
      <c r="E11069" s="12" t="s">
        <v>35</v>
      </c>
      <c r="F11069" s="14">
        <v>270000</v>
      </c>
      <c r="G11069" s="14">
        <v>223500</v>
      </c>
      <c r="H11069" s="13" t="s">
        <v>20601</v>
      </c>
      <c r="I11069" s="40" t="s">
        <v>18</v>
      </c>
      <c r="J11069" s="40" t="str">
        <f>HYPERLINK("https://stock.pstatic.net/stock-research/company/39/20250710_company_646925000.pdf","PDF")</f>
        <v>PDF</v>
      </c>
      <c r="K11069" s="12" t="s">
        <v>20602</v>
      </c>
      <c r="L11069" s="20">
        <v>0.20805369127516779</v>
      </c>
    </row>
    <row r="11070" spans="1:12" x14ac:dyDescent="0.45">
      <c r="A11070" s="12" t="s">
        <v>20513</v>
      </c>
      <c r="B11070" s="12" t="s">
        <v>537</v>
      </c>
      <c r="C11070" s="13" t="s">
        <v>538</v>
      </c>
      <c r="D11070" s="13" t="s">
        <v>179</v>
      </c>
      <c r="E11070" s="12" t="s">
        <v>16</v>
      </c>
      <c r="F11070" s="14">
        <v>17500</v>
      </c>
      <c r="G11070" s="14">
        <v>14790</v>
      </c>
      <c r="H11070" s="13" t="s">
        <v>8988</v>
      </c>
      <c r="I11070" s="40" t="s">
        <v>18</v>
      </c>
      <c r="J11070" s="40" t="str">
        <f>HYPERLINK("https://stock.pstatic.net/stock-research/company/64/20250710_company_663954000.pdf","PDF")</f>
        <v>PDF</v>
      </c>
      <c r="K11070" s="12" t="s">
        <v>20603</v>
      </c>
      <c r="L11070" s="20">
        <v>0.1832319134550372</v>
      </c>
    </row>
    <row r="11071" spans="1:12" x14ac:dyDescent="0.45">
      <c r="A11071" s="12" t="s">
        <v>20513</v>
      </c>
      <c r="B11071" s="12" t="s">
        <v>691</v>
      </c>
      <c r="C11071" s="13" t="s">
        <v>20</v>
      </c>
      <c r="D11071" s="13" t="s">
        <v>53</v>
      </c>
      <c r="E11071" s="12" t="s">
        <v>16</v>
      </c>
      <c r="F11071" s="14">
        <v>230000</v>
      </c>
      <c r="G11071" s="14">
        <v>176100</v>
      </c>
      <c r="H11071" s="13" t="s">
        <v>20604</v>
      </c>
      <c r="I11071" s="40" t="s">
        <v>18</v>
      </c>
      <c r="J11071" s="40" t="str">
        <f>HYPERLINK("https://stock.pstatic.net/stock-research/company/40/20250710_company_327269000.pdf","PDF")</f>
        <v>PDF</v>
      </c>
      <c r="K11071" s="12" t="s">
        <v>20605</v>
      </c>
      <c r="L11071" s="20">
        <v>0.30607609312890399</v>
      </c>
    </row>
    <row r="11072" spans="1:12" x14ac:dyDescent="0.45">
      <c r="A11072" s="12" t="s">
        <v>20513</v>
      </c>
      <c r="B11072" s="12" t="s">
        <v>824</v>
      </c>
      <c r="C11072" s="13" t="s">
        <v>825</v>
      </c>
      <c r="D11072" s="13" t="s">
        <v>179</v>
      </c>
      <c r="E11072" s="12" t="s">
        <v>16</v>
      </c>
      <c r="F11072" s="14">
        <v>47000</v>
      </c>
      <c r="G11072" s="14">
        <v>37600</v>
      </c>
      <c r="H11072" s="13" t="s">
        <v>10073</v>
      </c>
      <c r="I11072" s="40" t="s">
        <v>18</v>
      </c>
      <c r="J11072" s="40" t="str">
        <f>HYPERLINK("https://stock.pstatic.net/stock-research/company/64/20250710_company_486009000.pdf","PDF")</f>
        <v>PDF</v>
      </c>
      <c r="K11072" s="12" t="s">
        <v>20606</v>
      </c>
      <c r="L11072" s="20">
        <v>0.25</v>
      </c>
    </row>
    <row r="11073" spans="1:12" x14ac:dyDescent="0.45">
      <c r="A11073" s="12" t="s">
        <v>20513</v>
      </c>
      <c r="B11073" s="12" t="s">
        <v>3831</v>
      </c>
      <c r="C11073" s="13" t="s">
        <v>3832</v>
      </c>
      <c r="D11073" s="13" t="s">
        <v>44</v>
      </c>
      <c r="E11073" s="12" t="s">
        <v>35</v>
      </c>
      <c r="F11073" s="14">
        <v>50000</v>
      </c>
      <c r="G11073" s="14">
        <v>34350</v>
      </c>
      <c r="H11073" s="13" t="s">
        <v>20607</v>
      </c>
      <c r="I11073" s="40" t="s">
        <v>18</v>
      </c>
      <c r="J11073" s="40" t="str">
        <f>HYPERLINK("https://stock.pstatic.net/stock-research/company/39/20250710_company_773887000.pdf","PDF")</f>
        <v>PDF</v>
      </c>
      <c r="K11073" s="12" t="s">
        <v>20608</v>
      </c>
      <c r="L11073" s="20">
        <v>0.45560407569141192</v>
      </c>
    </row>
    <row r="11074" spans="1:12" x14ac:dyDescent="0.45">
      <c r="A11074" s="12" t="s">
        <v>20513</v>
      </c>
      <c r="B11074" s="12" t="s">
        <v>577</v>
      </c>
      <c r="C11074" s="13" t="s">
        <v>578</v>
      </c>
      <c r="D11074" s="13" t="s">
        <v>44</v>
      </c>
      <c r="E11074" s="12" t="s">
        <v>35</v>
      </c>
      <c r="F11074" s="14">
        <v>385000</v>
      </c>
      <c r="G11074" s="14">
        <v>309500</v>
      </c>
      <c r="H11074" s="13" t="s">
        <v>20609</v>
      </c>
      <c r="I11074" s="40" t="s">
        <v>18</v>
      </c>
      <c r="J11074" s="40" t="str">
        <f>HYPERLINK("https://stock.pstatic.net/stock-research/company/39/20250710_company_866355000.pdf","PDF")</f>
        <v>PDF</v>
      </c>
      <c r="K11074" s="12" t="s">
        <v>20610</v>
      </c>
      <c r="L11074" s="20">
        <v>0.24394184168012931</v>
      </c>
    </row>
    <row r="11075" spans="1:12" x14ac:dyDescent="0.45">
      <c r="A11075" s="12" t="s">
        <v>20513</v>
      </c>
      <c r="B11075" s="12" t="s">
        <v>1184</v>
      </c>
      <c r="C11075" s="13" t="s">
        <v>1185</v>
      </c>
      <c r="D11075" s="13" t="s">
        <v>53</v>
      </c>
      <c r="E11075" s="12" t="s">
        <v>16</v>
      </c>
      <c r="F11075" s="14">
        <v>21000</v>
      </c>
      <c r="G11075" s="14">
        <v>17380</v>
      </c>
      <c r="H11075" s="13" t="s">
        <v>20611</v>
      </c>
      <c r="I11075" s="40" t="s">
        <v>18</v>
      </c>
      <c r="J11075" s="40" t="str">
        <f>HYPERLINK("https://stock.pstatic.net/stock-research/company/40/20250710_company_511592000.pdf","PDF")</f>
        <v>PDF</v>
      </c>
      <c r="K11075" s="12" t="s">
        <v>20612</v>
      </c>
      <c r="L11075" s="20">
        <v>0.2082853855005754</v>
      </c>
    </row>
    <row r="11076" spans="1:12" x14ac:dyDescent="0.45">
      <c r="A11076" s="12" t="s">
        <v>20613</v>
      </c>
      <c r="B11076" s="12" t="s">
        <v>1773</v>
      </c>
      <c r="C11076" s="13" t="s">
        <v>1774</v>
      </c>
      <c r="D11076" s="13" t="s">
        <v>15</v>
      </c>
      <c r="E11076" s="12" t="s">
        <v>16</v>
      </c>
      <c r="F11076" s="14">
        <v>120000</v>
      </c>
      <c r="G11076" s="14">
        <v>89700</v>
      </c>
      <c r="H11076" s="13" t="s">
        <v>20614</v>
      </c>
      <c r="I11076" s="40" t="s">
        <v>18</v>
      </c>
      <c r="J11076" s="40" t="str">
        <f>HYPERLINK("https://stock.pstatic.net/stock-research/company/29/20250709_company_104636000.pdf","PDF")</f>
        <v>PDF</v>
      </c>
      <c r="K11076" s="12" t="s">
        <v>20615</v>
      </c>
      <c r="L11076" s="20">
        <v>0.33779264214046822</v>
      </c>
    </row>
    <row r="11077" spans="1:12" x14ac:dyDescent="0.45">
      <c r="A11077" s="12" t="s">
        <v>20613</v>
      </c>
      <c r="B11077" s="12" t="s">
        <v>2837</v>
      </c>
      <c r="C11077" s="13" t="s">
        <v>2838</v>
      </c>
      <c r="D11077" s="13" t="s">
        <v>276</v>
      </c>
      <c r="E11077" s="12" t="s">
        <v>16</v>
      </c>
      <c r="F11077" s="14">
        <v>67000</v>
      </c>
      <c r="G11077" s="14">
        <v>53000</v>
      </c>
      <c r="H11077" s="13" t="s">
        <v>20616</v>
      </c>
      <c r="I11077" s="40" t="s">
        <v>18</v>
      </c>
      <c r="J11077" s="40" t="str">
        <f>HYPERLINK("https://stock.pstatic.net/stock-research/company/66/20250709_company_88653000.pdf","PDF")</f>
        <v>PDF</v>
      </c>
      <c r="K11077" s="12" t="s">
        <v>20617</v>
      </c>
      <c r="L11077" s="20">
        <v>0.26415094339622641</v>
      </c>
    </row>
    <row r="11078" spans="1:12" x14ac:dyDescent="0.45">
      <c r="A11078" s="12" t="s">
        <v>20613</v>
      </c>
      <c r="B11078" s="12" t="s">
        <v>2225</v>
      </c>
      <c r="C11078" s="13" t="s">
        <v>5282</v>
      </c>
      <c r="D11078" s="13" t="s">
        <v>60</v>
      </c>
      <c r="E11078" s="12" t="s">
        <v>35</v>
      </c>
      <c r="F11078" s="14">
        <v>640000</v>
      </c>
      <c r="G11078" s="14">
        <v>524000</v>
      </c>
      <c r="H11078" s="13" t="s">
        <v>20618</v>
      </c>
      <c r="I11078" s="40" t="s">
        <v>18</v>
      </c>
      <c r="J11078" s="40" t="str">
        <f>HYPERLINK("https://stock.pstatic.net/stock-research/company/62/20250709_company_437058000.pdf","PDF")</f>
        <v>PDF</v>
      </c>
      <c r="K11078" s="12" t="s">
        <v>20619</v>
      </c>
      <c r="L11078" s="20">
        <v>0.2213740458015267</v>
      </c>
    </row>
    <row r="11079" spans="1:12" x14ac:dyDescent="0.45">
      <c r="A11079" s="12" t="s">
        <v>20613</v>
      </c>
      <c r="B11079" s="12" t="s">
        <v>1308</v>
      </c>
      <c r="C11079" s="13" t="s">
        <v>1309</v>
      </c>
      <c r="D11079" s="13" t="s">
        <v>60</v>
      </c>
      <c r="E11079" s="12" t="s">
        <v>35</v>
      </c>
      <c r="F11079" s="14">
        <v>460000</v>
      </c>
      <c r="G11079" s="14">
        <v>394500</v>
      </c>
      <c r="H11079" s="13" t="s">
        <v>20620</v>
      </c>
      <c r="I11079" s="40" t="s">
        <v>18</v>
      </c>
      <c r="J11079" s="40" t="str">
        <f>HYPERLINK("https://stock.pstatic.net/stock-research/company/34/20250709_company_241807000.pdf","PDF")</f>
        <v>PDF</v>
      </c>
      <c r="K11079" s="12" t="s">
        <v>20621</v>
      </c>
      <c r="L11079" s="20">
        <v>0.16603295310519639</v>
      </c>
    </row>
    <row r="11080" spans="1:12" x14ac:dyDescent="0.45">
      <c r="A11080" s="12" t="s">
        <v>20613</v>
      </c>
      <c r="B11080" s="12" t="s">
        <v>916</v>
      </c>
      <c r="C11080" s="13" t="s">
        <v>917</v>
      </c>
      <c r="D11080" s="13" t="s">
        <v>60</v>
      </c>
      <c r="E11080" s="12" t="s">
        <v>35</v>
      </c>
      <c r="F11080" s="14">
        <v>68500</v>
      </c>
      <c r="G11080" s="14">
        <v>60800</v>
      </c>
      <c r="H11080" s="13" t="s">
        <v>20622</v>
      </c>
      <c r="I11080" s="40" t="s">
        <v>18</v>
      </c>
      <c r="J11080" s="40" t="str">
        <f>HYPERLINK("https://stock.pstatic.net/stock-research/company/1/20250709_company_467896000.pdf","PDF")</f>
        <v>PDF</v>
      </c>
      <c r="K11080" s="12" t="s">
        <v>20623</v>
      </c>
      <c r="L11080" s="20">
        <v>0.12664473684210531</v>
      </c>
    </row>
    <row r="11081" spans="1:12" x14ac:dyDescent="0.45">
      <c r="A11081" s="12" t="s">
        <v>20613</v>
      </c>
      <c r="B11081" s="12" t="s">
        <v>2187</v>
      </c>
      <c r="C11081" s="13" t="s">
        <v>2188</v>
      </c>
      <c r="D11081" s="13" t="s">
        <v>60</v>
      </c>
      <c r="E11081" s="12" t="s">
        <v>35</v>
      </c>
      <c r="F11081" s="14">
        <v>175000</v>
      </c>
      <c r="G11081" s="14">
        <v>124000</v>
      </c>
      <c r="H11081" s="13" t="s">
        <v>20624</v>
      </c>
      <c r="I11081" s="40" t="s">
        <v>18</v>
      </c>
      <c r="J11081" s="40" t="str">
        <f>HYPERLINK("https://stock.pstatic.net/stock-research/company/62/20250709_company_608165000.pdf","PDF")</f>
        <v>PDF</v>
      </c>
      <c r="K11081" s="12" t="s">
        <v>20625</v>
      </c>
      <c r="L11081" s="20">
        <v>0.41129032258064518</v>
      </c>
    </row>
    <row r="11082" spans="1:12" x14ac:dyDescent="0.45">
      <c r="A11082" s="12" t="s">
        <v>20613</v>
      </c>
      <c r="B11082" s="12" t="s">
        <v>272</v>
      </c>
      <c r="C11082" s="13" t="s">
        <v>273</v>
      </c>
      <c r="D11082" s="13" t="s">
        <v>60</v>
      </c>
      <c r="E11082" s="12" t="s">
        <v>35</v>
      </c>
      <c r="F11082" s="14">
        <v>650000</v>
      </c>
      <c r="G11082" s="14">
        <v>588000</v>
      </c>
      <c r="H11082" s="13" t="s">
        <v>20626</v>
      </c>
      <c r="I11082" s="40" t="s">
        <v>18</v>
      </c>
      <c r="J11082" s="40" t="str">
        <f>HYPERLINK("https://stock.pstatic.net/stock-research/company/62/20250709_company_941306000.pdf","PDF")</f>
        <v>PDF</v>
      </c>
      <c r="K11082" s="12" t="s">
        <v>20627</v>
      </c>
      <c r="L11082" s="20">
        <v>0.10544217687074831</v>
      </c>
    </row>
    <row r="11083" spans="1:12" x14ac:dyDescent="0.45">
      <c r="A11083" s="12" t="s">
        <v>20613</v>
      </c>
      <c r="B11083" s="12" t="s">
        <v>42</v>
      </c>
      <c r="C11083" s="13" t="s">
        <v>43</v>
      </c>
      <c r="D11083" s="13" t="s">
        <v>83</v>
      </c>
      <c r="E11083" s="12" t="s">
        <v>35</v>
      </c>
      <c r="F11083" s="14">
        <v>330000</v>
      </c>
      <c r="G11083" s="14">
        <v>256000</v>
      </c>
      <c r="H11083" s="13" t="s">
        <v>20628</v>
      </c>
      <c r="I11083" s="40" t="s">
        <v>18</v>
      </c>
      <c r="J11083" s="40" t="str">
        <f>HYPERLINK("https://stock.pstatic.net/stock-research/company/2/20250709_company_669134000.pdf","PDF")</f>
        <v>PDF</v>
      </c>
      <c r="K11083" s="12" t="s">
        <v>20629</v>
      </c>
      <c r="L11083" s="20">
        <v>0.2890625</v>
      </c>
    </row>
    <row r="11084" spans="1:12" x14ac:dyDescent="0.45">
      <c r="A11084" s="12" t="s">
        <v>20613</v>
      </c>
      <c r="B11084" s="12" t="s">
        <v>63</v>
      </c>
      <c r="C11084" s="13" t="s">
        <v>64</v>
      </c>
      <c r="D11084" s="13" t="s">
        <v>83</v>
      </c>
      <c r="E11084" s="12" t="s">
        <v>35</v>
      </c>
      <c r="F11084" s="14">
        <v>380000</v>
      </c>
      <c r="G11084" s="14">
        <v>284000</v>
      </c>
      <c r="H11084" s="13" t="s">
        <v>20630</v>
      </c>
      <c r="I11084" s="40" t="s">
        <v>18</v>
      </c>
      <c r="J11084" s="40" t="str">
        <f>HYPERLINK("https://stock.pstatic.net/stock-research/company/2/20250709_company_107809000.pdf","PDF")</f>
        <v>PDF</v>
      </c>
      <c r="K11084" s="12" t="s">
        <v>20631</v>
      </c>
      <c r="L11084" s="20">
        <v>0.3380281690140845</v>
      </c>
    </row>
    <row r="11085" spans="1:12" x14ac:dyDescent="0.45">
      <c r="A11085" s="12" t="s">
        <v>20613</v>
      </c>
      <c r="B11085" s="12" t="s">
        <v>916</v>
      </c>
      <c r="C11085" s="13" t="s">
        <v>917</v>
      </c>
      <c r="D11085" s="13" t="s">
        <v>83</v>
      </c>
      <c r="E11085" s="12" t="s">
        <v>35</v>
      </c>
      <c r="F11085" s="14">
        <v>70000</v>
      </c>
      <c r="G11085" s="14">
        <v>60100</v>
      </c>
      <c r="H11085" s="13" t="s">
        <v>20632</v>
      </c>
      <c r="I11085" s="40" t="s">
        <v>18</v>
      </c>
      <c r="J11085" s="40" t="str">
        <f>HYPERLINK("https://stock.pstatic.net/stock-research/company/1/20250709_company_920000.pdf","PDF")</f>
        <v>PDF</v>
      </c>
      <c r="K11085" s="12" t="s">
        <v>20633</v>
      </c>
      <c r="L11085" s="20">
        <v>0.16472545757071549</v>
      </c>
    </row>
    <row r="11086" spans="1:12" x14ac:dyDescent="0.45">
      <c r="A11086" s="12" t="s">
        <v>20613</v>
      </c>
      <c r="B11086" s="12" t="s">
        <v>13</v>
      </c>
      <c r="C11086" s="13" t="s">
        <v>14</v>
      </c>
      <c r="D11086" s="13" t="s">
        <v>83</v>
      </c>
      <c r="E11086" s="12" t="s">
        <v>35</v>
      </c>
      <c r="F11086" s="14">
        <v>74000</v>
      </c>
      <c r="G11086" s="14">
        <v>61700</v>
      </c>
      <c r="H11086" s="13" t="s">
        <v>20634</v>
      </c>
      <c r="I11086" s="40" t="s">
        <v>18</v>
      </c>
      <c r="J11086" s="40" t="str">
        <f>HYPERLINK("https://stock.pstatic.net/stock-research/company/2/20250709_company_743830000.pdf","PDF")</f>
        <v>PDF</v>
      </c>
      <c r="K11086" s="12" t="s">
        <v>20635</v>
      </c>
      <c r="L11086" s="20">
        <v>0.19935170178282011</v>
      </c>
    </row>
    <row r="11087" spans="1:12" x14ac:dyDescent="0.45">
      <c r="A11087" s="12" t="s">
        <v>20613</v>
      </c>
      <c r="B11087" s="12" t="s">
        <v>3204</v>
      </c>
      <c r="C11087" s="13" t="s">
        <v>3205</v>
      </c>
      <c r="D11087" s="13" t="s">
        <v>83</v>
      </c>
      <c r="E11087" s="12" t="s">
        <v>35</v>
      </c>
      <c r="F11087" s="14">
        <v>4800</v>
      </c>
      <c r="G11087" s="14">
        <v>4100</v>
      </c>
      <c r="H11087" s="13" t="s">
        <v>20636</v>
      </c>
      <c r="I11087" s="40" t="s">
        <v>18</v>
      </c>
      <c r="J11087" s="40" t="str">
        <f>HYPERLINK("https://stock.pstatic.net/stock-research/company/2/20250709_company_731221000.pdf","PDF")</f>
        <v>PDF</v>
      </c>
      <c r="K11087" s="12" t="s">
        <v>20637</v>
      </c>
      <c r="L11087" s="20">
        <v>0.17073170731707321</v>
      </c>
    </row>
    <row r="11088" spans="1:12" x14ac:dyDescent="0.45">
      <c r="A11088" s="12" t="s">
        <v>20613</v>
      </c>
      <c r="B11088" s="12" t="s">
        <v>1660</v>
      </c>
      <c r="C11088" s="13" t="s">
        <v>1661</v>
      </c>
      <c r="D11088" s="13" t="s">
        <v>83</v>
      </c>
      <c r="E11088" s="12" t="s">
        <v>35</v>
      </c>
      <c r="F11088" s="14">
        <v>64000</v>
      </c>
      <c r="G11088" s="14">
        <v>48000</v>
      </c>
      <c r="H11088" s="13" t="s">
        <v>20638</v>
      </c>
      <c r="I11088" s="40" t="s">
        <v>18</v>
      </c>
      <c r="J11088" s="40" t="str">
        <f>HYPERLINK("https://stock.pstatic.net/stock-research/company/2/20250709_company_393888000.pdf","PDF")</f>
        <v>PDF</v>
      </c>
      <c r="K11088" s="12" t="s">
        <v>20639</v>
      </c>
      <c r="L11088" s="20">
        <v>0.33333333333333331</v>
      </c>
    </row>
    <row r="11089" spans="1:12" x14ac:dyDescent="0.45">
      <c r="A11089" s="12" t="s">
        <v>20613</v>
      </c>
      <c r="B11089" s="12" t="s">
        <v>63</v>
      </c>
      <c r="C11089" s="13" t="s">
        <v>64</v>
      </c>
      <c r="D11089" s="13" t="s">
        <v>65</v>
      </c>
      <c r="E11089" s="12" t="s">
        <v>35</v>
      </c>
      <c r="F11089" s="14">
        <v>400000</v>
      </c>
      <c r="G11089" s="14">
        <v>282000</v>
      </c>
      <c r="H11089" s="13" t="s">
        <v>20640</v>
      </c>
      <c r="I11089" s="40" t="s">
        <v>18</v>
      </c>
      <c r="J11089" s="40" t="str">
        <f>HYPERLINK("https://stock.pstatic.net/stock-research/company/57/20250709_company_479758000.pdf","PDF")</f>
        <v>PDF</v>
      </c>
      <c r="K11089" s="12" t="s">
        <v>20641</v>
      </c>
      <c r="L11089" s="20">
        <v>0.41843971631205668</v>
      </c>
    </row>
    <row r="11090" spans="1:12" x14ac:dyDescent="0.45">
      <c r="A11090" s="12" t="s">
        <v>20613</v>
      </c>
      <c r="B11090" s="12" t="s">
        <v>13</v>
      </c>
      <c r="C11090" s="13" t="s">
        <v>14</v>
      </c>
      <c r="D11090" s="13" t="s">
        <v>65</v>
      </c>
      <c r="E11090" s="12" t="s">
        <v>35</v>
      </c>
      <c r="F11090" s="14">
        <v>80000</v>
      </c>
      <c r="G11090" s="14">
        <v>61400</v>
      </c>
      <c r="H11090" s="13" t="s">
        <v>20642</v>
      </c>
      <c r="I11090" s="40" t="s">
        <v>18</v>
      </c>
      <c r="J11090" s="40" t="str">
        <f>HYPERLINK("https://stock.pstatic.net/stock-research/company/57/20250709_company_25163000.pdf","PDF")</f>
        <v>PDF</v>
      </c>
      <c r="K11090" s="12" t="s">
        <v>20643</v>
      </c>
      <c r="L11090" s="20">
        <v>0.30293159609120518</v>
      </c>
    </row>
    <row r="11091" spans="1:12" x14ac:dyDescent="0.45">
      <c r="A11091" s="12" t="s">
        <v>20613</v>
      </c>
      <c r="B11091" s="12" t="s">
        <v>1656</v>
      </c>
      <c r="C11091" s="13" t="s">
        <v>1657</v>
      </c>
      <c r="D11091" s="13" t="s">
        <v>65</v>
      </c>
      <c r="E11091" s="12" t="s">
        <v>35</v>
      </c>
      <c r="F11091" s="14">
        <v>230000</v>
      </c>
      <c r="G11091" s="14">
        <v>185600</v>
      </c>
      <c r="H11091" s="13" t="s">
        <v>20644</v>
      </c>
      <c r="I11091" s="40" t="s">
        <v>18</v>
      </c>
      <c r="J11091" s="40" t="str">
        <f>HYPERLINK("https://stock.pstatic.net/stock-research/company/57/20250709_company_971512000.pdf","PDF")</f>
        <v>PDF</v>
      </c>
      <c r="K11091" s="12" t="s">
        <v>20645</v>
      </c>
      <c r="L11091" s="20">
        <v>0.2392241379310345</v>
      </c>
    </row>
    <row r="11092" spans="1:12" x14ac:dyDescent="0.45">
      <c r="A11092" s="12" t="s">
        <v>20613</v>
      </c>
      <c r="B11092" s="12" t="s">
        <v>118</v>
      </c>
      <c r="C11092" s="13" t="s">
        <v>119</v>
      </c>
      <c r="D11092" s="13" t="s">
        <v>65</v>
      </c>
      <c r="E11092" s="12" t="s">
        <v>35</v>
      </c>
      <c r="F11092" s="14">
        <v>120000</v>
      </c>
      <c r="G11092" s="14">
        <v>94300</v>
      </c>
      <c r="H11092" s="13" t="s">
        <v>20646</v>
      </c>
      <c r="I11092" s="40" t="s">
        <v>18</v>
      </c>
      <c r="J11092" s="40" t="str">
        <f>HYPERLINK("https://stock.pstatic.net/stock-research/company/1/20250709_company_945438000.pdf","PDF")</f>
        <v>PDF</v>
      </c>
      <c r="K11092" s="12" t="s">
        <v>20647</v>
      </c>
      <c r="L11092" s="20">
        <v>0.27253446447507951</v>
      </c>
    </row>
    <row r="11093" spans="1:12" x14ac:dyDescent="0.45">
      <c r="A11093" s="12" t="s">
        <v>20613</v>
      </c>
      <c r="B11093" s="12" t="s">
        <v>10848</v>
      </c>
      <c r="C11093" s="13" t="s">
        <v>10849</v>
      </c>
      <c r="D11093" s="13" t="s">
        <v>65</v>
      </c>
      <c r="E11093" s="12" t="s">
        <v>35</v>
      </c>
      <c r="F11093" s="14">
        <v>49000</v>
      </c>
      <c r="G11093" s="14">
        <v>34300</v>
      </c>
      <c r="H11093" s="13" t="s">
        <v>20648</v>
      </c>
      <c r="I11093" s="40" t="s">
        <v>18</v>
      </c>
      <c r="J11093" s="40" t="str">
        <f>HYPERLINK("https://stock.pstatic.net/stock-research/company/1/20250709_company_858499000.pdf","PDF")</f>
        <v>PDF</v>
      </c>
      <c r="K11093" s="12" t="s">
        <v>20649</v>
      </c>
      <c r="L11093" s="20">
        <v>0.42857142857142849</v>
      </c>
    </row>
    <row r="11094" spans="1:12" x14ac:dyDescent="0.45">
      <c r="A11094" s="12" t="s">
        <v>20613</v>
      </c>
      <c r="B11094" s="12" t="s">
        <v>3530</v>
      </c>
      <c r="C11094" s="13" t="s">
        <v>3531</v>
      </c>
      <c r="D11094" s="13" t="s">
        <v>65</v>
      </c>
      <c r="E11094" s="12" t="s">
        <v>35</v>
      </c>
      <c r="F11094" s="14">
        <v>17000</v>
      </c>
      <c r="G11094" s="14">
        <v>11030</v>
      </c>
      <c r="H11094" s="13" t="s">
        <v>20650</v>
      </c>
      <c r="I11094" s="40" t="s">
        <v>18</v>
      </c>
      <c r="J11094" s="40" t="str">
        <f>HYPERLINK("https://stock.pstatic.net/stock-research/company/57/20250709_company_606551000.pdf","PDF")</f>
        <v>PDF</v>
      </c>
      <c r="K11094" s="12" t="s">
        <v>20651</v>
      </c>
      <c r="L11094" s="20">
        <v>0.54125113327289209</v>
      </c>
    </row>
    <row r="11095" spans="1:12" x14ac:dyDescent="0.45">
      <c r="A11095" s="12" t="s">
        <v>20613</v>
      </c>
      <c r="B11095" s="12" t="s">
        <v>2425</v>
      </c>
      <c r="C11095" s="13" t="s">
        <v>2426</v>
      </c>
      <c r="D11095" s="13" t="s">
        <v>65</v>
      </c>
      <c r="E11095" s="12" t="s">
        <v>35</v>
      </c>
      <c r="F11095" s="14">
        <v>165000</v>
      </c>
      <c r="G11095" s="14">
        <v>134500</v>
      </c>
      <c r="H11095" s="13" t="s">
        <v>20652</v>
      </c>
      <c r="I11095" s="40" t="s">
        <v>18</v>
      </c>
      <c r="J11095" s="40" t="str">
        <f>HYPERLINK("https://stock.pstatic.net/stock-research/company/1/20250709_company_483138000.pdf","PDF")</f>
        <v>PDF</v>
      </c>
      <c r="K11095" s="12" t="s">
        <v>20653</v>
      </c>
      <c r="L11095" s="20">
        <v>0.22676579925650561</v>
      </c>
    </row>
    <row r="11096" spans="1:12" x14ac:dyDescent="0.45">
      <c r="A11096" s="12" t="s">
        <v>20613</v>
      </c>
      <c r="B11096" s="12" t="s">
        <v>533</v>
      </c>
      <c r="C11096" s="13" t="s">
        <v>534</v>
      </c>
      <c r="D11096" s="13" t="s">
        <v>65</v>
      </c>
      <c r="E11096" s="12" t="s">
        <v>35</v>
      </c>
      <c r="F11096" s="14">
        <v>70000</v>
      </c>
      <c r="G11096" s="14">
        <v>56200</v>
      </c>
      <c r="H11096" s="13" t="s">
        <v>20654</v>
      </c>
      <c r="I11096" s="40" t="s">
        <v>18</v>
      </c>
      <c r="J11096" s="40" t="str">
        <f>HYPERLINK("https://stock.pstatic.net/stock-research/company/57/20250709_company_319466000.pdf","PDF")</f>
        <v>PDF</v>
      </c>
      <c r="K11096" s="12" t="s">
        <v>20655</v>
      </c>
      <c r="L11096" s="20">
        <v>0.2455516014234875</v>
      </c>
    </row>
    <row r="11097" spans="1:12" x14ac:dyDescent="0.45">
      <c r="A11097" s="12" t="s">
        <v>20613</v>
      </c>
      <c r="B11097" s="12" t="s">
        <v>2887</v>
      </c>
      <c r="C11097" s="13" t="s">
        <v>2888</v>
      </c>
      <c r="D11097" s="13" t="s">
        <v>57</v>
      </c>
      <c r="E11097" s="12" t="s">
        <v>35</v>
      </c>
      <c r="F11097" s="14">
        <v>300000</v>
      </c>
      <c r="G11097" s="14">
        <v>254500</v>
      </c>
      <c r="H11097" s="13" t="s">
        <v>20656</v>
      </c>
      <c r="I11097" s="40" t="s">
        <v>18</v>
      </c>
      <c r="J11097" s="40" t="str">
        <f>HYPERLINK("https://stock.pstatic.net/stock-research/company/16/20250709_company_286850000.pdf","PDF")</f>
        <v>PDF</v>
      </c>
      <c r="K11097" s="12" t="s">
        <v>20657</v>
      </c>
      <c r="L11097" s="20">
        <v>0.1787819253438114</v>
      </c>
    </row>
    <row r="11098" spans="1:12" x14ac:dyDescent="0.45">
      <c r="A11098" s="12" t="s">
        <v>20613</v>
      </c>
      <c r="B11098" s="12" t="s">
        <v>13</v>
      </c>
      <c r="C11098" s="13" t="s">
        <v>14</v>
      </c>
      <c r="D11098" s="13" t="s">
        <v>57</v>
      </c>
      <c r="E11098" s="12" t="s">
        <v>35</v>
      </c>
      <c r="F11098" s="14">
        <v>79000</v>
      </c>
      <c r="G11098" s="14">
        <v>61400</v>
      </c>
      <c r="H11098" s="13" t="s">
        <v>20658</v>
      </c>
      <c r="I11098" s="40" t="s">
        <v>18</v>
      </c>
      <c r="J11098" s="40" t="str">
        <f>HYPERLINK("https://stock.pstatic.net/stock-research/company/16/20250709_company_123320000.pdf","PDF")</f>
        <v>PDF</v>
      </c>
      <c r="K11098" s="12" t="s">
        <v>20659</v>
      </c>
      <c r="L11098" s="20">
        <v>0.28664495114006522</v>
      </c>
    </row>
    <row r="11099" spans="1:12" x14ac:dyDescent="0.45">
      <c r="A11099" s="12" t="s">
        <v>20613</v>
      </c>
      <c r="B11099" s="12" t="s">
        <v>13</v>
      </c>
      <c r="C11099" s="13" t="s">
        <v>14</v>
      </c>
      <c r="D11099" s="13" t="s">
        <v>158</v>
      </c>
      <c r="E11099" s="12" t="s">
        <v>35</v>
      </c>
      <c r="F11099" s="14">
        <v>74000</v>
      </c>
      <c r="G11099" s="14">
        <v>61400</v>
      </c>
      <c r="H11099" s="13" t="s">
        <v>20660</v>
      </c>
      <c r="I11099" s="40" t="s">
        <v>18</v>
      </c>
      <c r="J11099" s="40" t="str">
        <f>HYPERLINK("https://stock.pstatic.net/stock-research/company/18/20250709_company_552924000.pdf","PDF")</f>
        <v>PDF</v>
      </c>
      <c r="K11099" s="12" t="s">
        <v>20661</v>
      </c>
      <c r="L11099" s="20">
        <v>0.2052117263843648</v>
      </c>
    </row>
    <row r="11100" spans="1:12" x14ac:dyDescent="0.45">
      <c r="A11100" s="12" t="s">
        <v>20613</v>
      </c>
      <c r="B11100" s="12" t="s">
        <v>63</v>
      </c>
      <c r="C11100" s="13" t="s">
        <v>64</v>
      </c>
      <c r="D11100" s="13" t="s">
        <v>179</v>
      </c>
      <c r="E11100" s="12" t="s">
        <v>16</v>
      </c>
      <c r="F11100" s="14">
        <v>370000</v>
      </c>
      <c r="G11100" s="14">
        <v>282000</v>
      </c>
      <c r="H11100" s="13" t="s">
        <v>20662</v>
      </c>
      <c r="I11100" s="40" t="s">
        <v>18</v>
      </c>
      <c r="J11100" s="40" t="str">
        <f>HYPERLINK("https://stock.pstatic.net/stock-research/company/31/20250709_company_154353000.pdf","PDF")</f>
        <v>PDF</v>
      </c>
      <c r="K11100" s="12" t="s">
        <v>20663</v>
      </c>
      <c r="L11100" s="20">
        <v>0.31205673758865249</v>
      </c>
    </row>
    <row r="11101" spans="1:12" x14ac:dyDescent="0.45">
      <c r="A11101" s="12" t="s">
        <v>20613</v>
      </c>
      <c r="B11101" s="12" t="s">
        <v>1548</v>
      </c>
      <c r="C11101" s="13" t="s">
        <v>1549</v>
      </c>
      <c r="D11101" s="13" t="s">
        <v>92</v>
      </c>
      <c r="E11101" s="12" t="s">
        <v>35</v>
      </c>
      <c r="F11101" s="14">
        <v>1000000</v>
      </c>
      <c r="G11101" s="14">
        <v>815000</v>
      </c>
      <c r="H11101" s="13" t="s">
        <v>20664</v>
      </c>
      <c r="I11101" s="40" t="s">
        <v>18</v>
      </c>
      <c r="J11101" s="40" t="str">
        <f>HYPERLINK("https://stock.pstatic.net/stock-research/company/63/20250709_company_161576000.pdf","PDF")</f>
        <v>PDF</v>
      </c>
      <c r="K11101" s="12" t="s">
        <v>20665</v>
      </c>
      <c r="L11101" s="20">
        <v>0.22699386503067481</v>
      </c>
    </row>
    <row r="11102" spans="1:12" x14ac:dyDescent="0.45">
      <c r="A11102" s="12" t="s">
        <v>20613</v>
      </c>
      <c r="B11102" s="12" t="s">
        <v>13</v>
      </c>
      <c r="C11102" s="13" t="s">
        <v>14</v>
      </c>
      <c r="D11102" s="13" t="s">
        <v>34</v>
      </c>
      <c r="E11102" s="12" t="s">
        <v>35</v>
      </c>
      <c r="F11102" s="14">
        <v>72000</v>
      </c>
      <c r="G11102" s="14">
        <v>61400</v>
      </c>
      <c r="H11102" s="13" t="s">
        <v>20666</v>
      </c>
      <c r="I11102" s="40" t="s">
        <v>18</v>
      </c>
      <c r="J11102" s="40" t="str">
        <f>HYPERLINK("https://stock.pstatic.net/stock-research/company/61/20250709_company_898299000.pdf","PDF")</f>
        <v>PDF</v>
      </c>
      <c r="K11102" s="12" t="s">
        <v>20667</v>
      </c>
      <c r="L11102" s="20">
        <v>0.17263843648208471</v>
      </c>
    </row>
    <row r="11103" spans="1:12" x14ac:dyDescent="0.45">
      <c r="A11103" s="12" t="s">
        <v>20613</v>
      </c>
      <c r="B11103" s="12" t="s">
        <v>744</v>
      </c>
      <c r="C11103" s="13" t="s">
        <v>745</v>
      </c>
      <c r="D11103" s="13" t="s">
        <v>92</v>
      </c>
      <c r="E11103" s="12" t="s">
        <v>35</v>
      </c>
      <c r="F11103" s="14">
        <v>22000</v>
      </c>
      <c r="G11103" s="14">
        <v>17320</v>
      </c>
      <c r="H11103" s="13" t="s">
        <v>20668</v>
      </c>
      <c r="I11103" s="40" t="s">
        <v>18</v>
      </c>
      <c r="J11103" s="40" t="str">
        <f>HYPERLINK("https://stock.pstatic.net/stock-research/company/63/20250709_company_229216000.pdf","PDF")</f>
        <v>PDF</v>
      </c>
      <c r="K11103" s="12" t="s">
        <v>20669</v>
      </c>
      <c r="L11103" s="20">
        <v>0.2702078521939954</v>
      </c>
    </row>
    <row r="11104" spans="1:12" x14ac:dyDescent="0.45">
      <c r="A11104" s="12" t="s">
        <v>20613</v>
      </c>
      <c r="B11104" s="12" t="s">
        <v>352</v>
      </c>
      <c r="C11104" s="13" t="s">
        <v>353</v>
      </c>
      <c r="D11104" s="13" t="s">
        <v>92</v>
      </c>
      <c r="E11104" s="12" t="s">
        <v>35</v>
      </c>
      <c r="F11104" s="14">
        <v>245000</v>
      </c>
      <c r="G11104" s="14">
        <v>184400</v>
      </c>
      <c r="H11104" s="13" t="s">
        <v>20670</v>
      </c>
      <c r="I11104" s="40" t="s">
        <v>18</v>
      </c>
      <c r="J11104" s="40" t="str">
        <f>HYPERLINK("https://stock.pstatic.net/stock-research/company/1/20250709_company_432638000.pdf","PDF")</f>
        <v>PDF</v>
      </c>
      <c r="K11104" s="12" t="s">
        <v>20671</v>
      </c>
      <c r="L11104" s="20">
        <v>0.32863340563991322</v>
      </c>
    </row>
    <row r="11105" spans="1:12" x14ac:dyDescent="0.45">
      <c r="A11105" s="12" t="s">
        <v>20613</v>
      </c>
      <c r="B11105" s="12" t="s">
        <v>3018</v>
      </c>
      <c r="C11105" s="13" t="s">
        <v>3019</v>
      </c>
      <c r="D11105" s="13" t="s">
        <v>23</v>
      </c>
      <c r="E11105" s="12" t="s">
        <v>16</v>
      </c>
      <c r="F11105" s="14">
        <v>22000</v>
      </c>
      <c r="G11105" s="14">
        <v>19980</v>
      </c>
      <c r="H11105" s="13" t="s">
        <v>20672</v>
      </c>
      <c r="I11105" s="40" t="s">
        <v>18</v>
      </c>
      <c r="J11105" s="40" t="str">
        <f>HYPERLINK("https://stock.pstatic.net/stock-research/company/21/20250709_company_289032000.pdf","PDF")</f>
        <v>PDF</v>
      </c>
      <c r="K11105" s="12" t="s">
        <v>20673</v>
      </c>
      <c r="L11105" s="20">
        <v>0.1011011011011011</v>
      </c>
    </row>
    <row r="11106" spans="1:12" x14ac:dyDescent="0.45">
      <c r="A11106" s="12" t="s">
        <v>20613</v>
      </c>
      <c r="B11106" s="12" t="s">
        <v>3164</v>
      </c>
      <c r="C11106" s="13" t="s">
        <v>3165</v>
      </c>
      <c r="D11106" s="13" t="s">
        <v>53</v>
      </c>
      <c r="E11106" s="12" t="s">
        <v>16</v>
      </c>
      <c r="F11106" s="14">
        <v>85000</v>
      </c>
      <c r="G11106" s="14">
        <v>73700</v>
      </c>
      <c r="H11106" s="13" t="s">
        <v>20674</v>
      </c>
      <c r="I11106" s="40" t="s">
        <v>18</v>
      </c>
      <c r="J11106" s="40" t="str">
        <f>HYPERLINK("https://stock.pstatic.net/stock-research/company/40/20250709_company_25201000.pdf","PDF")</f>
        <v>PDF</v>
      </c>
      <c r="K11106" s="12" t="s">
        <v>20675</v>
      </c>
      <c r="L11106" s="20">
        <v>0.15332428765264591</v>
      </c>
    </row>
    <row r="11107" spans="1:12" x14ac:dyDescent="0.45">
      <c r="A11107" s="12" t="s">
        <v>20613</v>
      </c>
      <c r="B11107" s="12" t="s">
        <v>2658</v>
      </c>
      <c r="C11107" s="13" t="s">
        <v>2659</v>
      </c>
      <c r="D11107" s="13" t="s">
        <v>179</v>
      </c>
      <c r="E11107" s="12" t="s">
        <v>16</v>
      </c>
      <c r="F11107" s="14">
        <v>140000</v>
      </c>
      <c r="G11107" s="14">
        <v>106400</v>
      </c>
      <c r="H11107" s="13" t="s">
        <v>20676</v>
      </c>
      <c r="I11107" s="40" t="s">
        <v>18</v>
      </c>
      <c r="J11107" s="40" t="str">
        <f>HYPERLINK("https://stock.pstatic.net/stock-research/company/31/20250709_company_318396000.pdf","PDF")</f>
        <v>PDF</v>
      </c>
      <c r="K11107" s="12" t="s">
        <v>20677</v>
      </c>
      <c r="L11107" s="20">
        <v>0.31578947368421051</v>
      </c>
    </row>
    <row r="11108" spans="1:12" x14ac:dyDescent="0.45">
      <c r="A11108" s="12" t="s">
        <v>20613</v>
      </c>
      <c r="B11108" s="12" t="s">
        <v>573</v>
      </c>
      <c r="C11108" s="13" t="s">
        <v>574</v>
      </c>
      <c r="D11108" s="13" t="s">
        <v>92</v>
      </c>
      <c r="E11108" s="12" t="s">
        <v>50</v>
      </c>
      <c r="F11108" s="13"/>
      <c r="G11108" s="14">
        <v>5220</v>
      </c>
      <c r="H11108" s="13" t="s">
        <v>20678</v>
      </c>
      <c r="I11108" s="40" t="s">
        <v>18</v>
      </c>
      <c r="J11108" s="40" t="str">
        <f>HYPERLINK("https://stock.pstatic.net/stock-research/company/63/20250709_company_633258000.pdf","PDF")</f>
        <v>PDF</v>
      </c>
      <c r="K11108" s="12" t="s">
        <v>20679</v>
      </c>
    </row>
    <row r="11109" spans="1:12" x14ac:dyDescent="0.45">
      <c r="A11109" s="12" t="s">
        <v>20613</v>
      </c>
      <c r="B11109" s="12" t="s">
        <v>1930</v>
      </c>
      <c r="C11109" s="13" t="s">
        <v>1931</v>
      </c>
      <c r="D11109" s="13" t="s">
        <v>53</v>
      </c>
      <c r="E11109" s="12" t="s">
        <v>16</v>
      </c>
      <c r="F11109" s="14">
        <v>310000</v>
      </c>
      <c r="G11109" s="14">
        <v>258500</v>
      </c>
      <c r="H11109" s="13" t="s">
        <v>20680</v>
      </c>
      <c r="I11109" s="40" t="s">
        <v>18</v>
      </c>
      <c r="J11109" s="40" t="str">
        <f>HYPERLINK("https://stock.pstatic.net/stock-research/company/40/20250709_company_338129000.pdf","PDF")</f>
        <v>PDF</v>
      </c>
      <c r="K11109" s="12" t="s">
        <v>20681</v>
      </c>
      <c r="L11109" s="20">
        <v>0.19922630560928431</v>
      </c>
    </row>
    <row r="11110" spans="1:12" x14ac:dyDescent="0.45">
      <c r="A11110" s="12" t="s">
        <v>20613</v>
      </c>
      <c r="B11110" s="12" t="s">
        <v>13</v>
      </c>
      <c r="C11110" s="13" t="s">
        <v>14</v>
      </c>
      <c r="D11110" s="13" t="s">
        <v>92</v>
      </c>
      <c r="E11110" s="12" t="s">
        <v>35</v>
      </c>
      <c r="F11110" s="14">
        <v>72000</v>
      </c>
      <c r="G11110" s="14">
        <v>61400</v>
      </c>
      <c r="H11110" s="13" t="s">
        <v>20682</v>
      </c>
      <c r="I11110" s="40" t="s">
        <v>18</v>
      </c>
      <c r="J11110" s="40" t="str">
        <f>HYPERLINK("https://stock.pstatic.net/stock-research/company/63/20250709_company_380576000.pdf","PDF")</f>
        <v>PDF</v>
      </c>
      <c r="K11110" s="12" t="s">
        <v>20683</v>
      </c>
      <c r="L11110" s="20">
        <v>0.17263843648208471</v>
      </c>
    </row>
    <row r="11111" spans="1:12" x14ac:dyDescent="0.45">
      <c r="A11111" s="12" t="s">
        <v>20613</v>
      </c>
      <c r="B11111" s="12" t="s">
        <v>3284</v>
      </c>
      <c r="C11111" s="13" t="s">
        <v>3285</v>
      </c>
      <c r="D11111" s="13" t="s">
        <v>179</v>
      </c>
      <c r="E11111" s="12" t="s">
        <v>16</v>
      </c>
      <c r="F11111" s="14">
        <v>97000</v>
      </c>
      <c r="G11111" s="14">
        <v>76700</v>
      </c>
      <c r="H11111" s="13" t="s">
        <v>20684</v>
      </c>
      <c r="I11111" s="40" t="s">
        <v>18</v>
      </c>
      <c r="J11111" s="40" t="str">
        <f>HYPERLINK("https://stock.pstatic.net/stock-research/company/31/20250709_company_474050000.pdf","PDF")</f>
        <v>PDF</v>
      </c>
      <c r="K11111" s="12" t="s">
        <v>20685</v>
      </c>
      <c r="L11111" s="20">
        <v>0.26466753585397651</v>
      </c>
    </row>
    <row r="11112" spans="1:12" x14ac:dyDescent="0.45">
      <c r="A11112" s="12" t="s">
        <v>20613</v>
      </c>
      <c r="B11112" s="12" t="s">
        <v>744</v>
      </c>
      <c r="C11112" s="13" t="s">
        <v>745</v>
      </c>
      <c r="D11112" s="13" t="s">
        <v>179</v>
      </c>
      <c r="E11112" s="12" t="s">
        <v>16</v>
      </c>
      <c r="F11112" s="14">
        <v>24000</v>
      </c>
      <c r="G11112" s="14">
        <v>17320</v>
      </c>
      <c r="H11112" s="13" t="s">
        <v>20686</v>
      </c>
      <c r="I11112" s="40" t="s">
        <v>18</v>
      </c>
      <c r="J11112" s="40" t="str">
        <f>HYPERLINK("https://stock.pstatic.net/stock-research/company/31/20250709_company_609858000.pdf","PDF")</f>
        <v>PDF</v>
      </c>
      <c r="K11112" s="12" t="s">
        <v>20687</v>
      </c>
      <c r="L11112" s="20">
        <v>0.38568129330254042</v>
      </c>
    </row>
    <row r="11113" spans="1:12" x14ac:dyDescent="0.45">
      <c r="A11113" s="12" t="s">
        <v>20613</v>
      </c>
      <c r="B11113" s="12" t="s">
        <v>1670</v>
      </c>
      <c r="C11113" s="13" t="s">
        <v>1671</v>
      </c>
      <c r="D11113" s="13" t="s">
        <v>23</v>
      </c>
      <c r="E11113" s="12" t="s">
        <v>16</v>
      </c>
      <c r="F11113" s="14">
        <v>160000</v>
      </c>
      <c r="G11113" s="14">
        <v>115400</v>
      </c>
      <c r="H11113" s="13" t="s">
        <v>20688</v>
      </c>
      <c r="I11113" s="40" t="s">
        <v>18</v>
      </c>
      <c r="J11113" s="40" t="str">
        <f>HYPERLINK("https://stock.pstatic.net/stock-research/company/21/20250709_company_487172000.pdf","PDF")</f>
        <v>PDF</v>
      </c>
      <c r="K11113" s="12" t="s">
        <v>20689</v>
      </c>
      <c r="L11113" s="20">
        <v>0.38648180242634322</v>
      </c>
    </row>
    <row r="11114" spans="1:12" x14ac:dyDescent="0.45">
      <c r="A11114" s="12" t="s">
        <v>20613</v>
      </c>
      <c r="B11114" s="12" t="s">
        <v>3478</v>
      </c>
      <c r="C11114" s="13" t="s">
        <v>3479</v>
      </c>
      <c r="D11114" s="13" t="s">
        <v>23</v>
      </c>
      <c r="E11114" s="12" t="s">
        <v>16</v>
      </c>
      <c r="F11114" s="14">
        <v>39000</v>
      </c>
      <c r="G11114" s="14">
        <v>34200</v>
      </c>
      <c r="H11114" s="13" t="s">
        <v>20690</v>
      </c>
      <c r="I11114" s="40" t="s">
        <v>18</v>
      </c>
      <c r="J11114" s="40" t="str">
        <f>HYPERLINK("https://stock.pstatic.net/stock-research/company/21/20250709_company_144686000.pdf","PDF")</f>
        <v>PDF</v>
      </c>
      <c r="K11114" s="12" t="s">
        <v>20691</v>
      </c>
      <c r="L11114" s="20">
        <v>0.14035087719298239</v>
      </c>
    </row>
    <row r="11115" spans="1:12" x14ac:dyDescent="0.45">
      <c r="A11115" s="12" t="s">
        <v>20613</v>
      </c>
      <c r="B11115" s="12" t="s">
        <v>1936</v>
      </c>
      <c r="C11115" s="13" t="s">
        <v>1937</v>
      </c>
      <c r="D11115" s="13" t="s">
        <v>23</v>
      </c>
      <c r="E11115" s="12" t="s">
        <v>16</v>
      </c>
      <c r="F11115" s="14">
        <v>7800</v>
      </c>
      <c r="G11115" s="14">
        <v>6490</v>
      </c>
      <c r="H11115" s="13" t="s">
        <v>20692</v>
      </c>
      <c r="I11115" s="40" t="s">
        <v>18</v>
      </c>
      <c r="J11115" s="40" t="str">
        <f>HYPERLINK("https://stock.pstatic.net/stock-research/company/21/20250709_company_786290000.pdf","PDF")</f>
        <v>PDF</v>
      </c>
      <c r="K11115" s="12" t="s">
        <v>20693</v>
      </c>
      <c r="L11115" s="20">
        <v>0.20184899845916801</v>
      </c>
    </row>
    <row r="11116" spans="1:12" x14ac:dyDescent="0.45">
      <c r="A11116" s="12" t="s">
        <v>20613</v>
      </c>
      <c r="B11116" s="12" t="s">
        <v>20694</v>
      </c>
      <c r="C11116" s="13" t="s">
        <v>20695</v>
      </c>
      <c r="D11116" s="13" t="s">
        <v>44</v>
      </c>
      <c r="E11116" s="12" t="s">
        <v>50</v>
      </c>
      <c r="F11116" s="13"/>
      <c r="G11116" s="14">
        <v>27500</v>
      </c>
      <c r="H11116" s="13" t="s">
        <v>20696</v>
      </c>
      <c r="I11116" s="40" t="s">
        <v>18</v>
      </c>
      <c r="J11116" s="40" t="str">
        <f>HYPERLINK("https://stock.pstatic.net/stock-research/company/39/20250709_company_252702000.pdf","PDF")</f>
        <v>PDF</v>
      </c>
      <c r="K11116" s="12" t="s">
        <v>20697</v>
      </c>
    </row>
    <row r="11117" spans="1:12" x14ac:dyDescent="0.45">
      <c r="A11117" s="12" t="s">
        <v>20613</v>
      </c>
      <c r="B11117" s="12" t="s">
        <v>3369</v>
      </c>
      <c r="C11117" s="13" t="s">
        <v>3370</v>
      </c>
      <c r="D11117" s="13" t="s">
        <v>44</v>
      </c>
      <c r="E11117" s="12" t="s">
        <v>35</v>
      </c>
      <c r="F11117" s="14">
        <v>30000</v>
      </c>
      <c r="G11117" s="14">
        <v>23850</v>
      </c>
      <c r="H11117" s="13" t="s">
        <v>20698</v>
      </c>
      <c r="I11117" s="40" t="s">
        <v>18</v>
      </c>
      <c r="J11117" s="40" t="str">
        <f>HYPERLINK("https://stock.pstatic.net/stock-research/company/39/20250709_company_459060000.pdf","PDF")</f>
        <v>PDF</v>
      </c>
      <c r="K11117" s="12" t="s">
        <v>20699</v>
      </c>
      <c r="L11117" s="20">
        <v>0.25786163522012578</v>
      </c>
    </row>
    <row r="11118" spans="1:12" x14ac:dyDescent="0.45">
      <c r="A11118" s="12" t="s">
        <v>20613</v>
      </c>
      <c r="B11118" s="12" t="s">
        <v>13</v>
      </c>
      <c r="C11118" s="13" t="s">
        <v>14</v>
      </c>
      <c r="D11118" s="13" t="s">
        <v>44</v>
      </c>
      <c r="E11118" s="12" t="s">
        <v>35</v>
      </c>
      <c r="F11118" s="14">
        <v>80000</v>
      </c>
      <c r="G11118" s="14">
        <v>61400</v>
      </c>
      <c r="H11118" s="13" t="s">
        <v>20700</v>
      </c>
      <c r="I11118" s="40" t="s">
        <v>18</v>
      </c>
      <c r="J11118" s="40" t="str">
        <f>HYPERLINK("https://stock.pstatic.net/stock-research/company/39/20250709_company_543949000.pdf","PDF")</f>
        <v>PDF</v>
      </c>
      <c r="K11118" s="12" t="s">
        <v>20701</v>
      </c>
      <c r="L11118" s="20">
        <v>0.30293159609120518</v>
      </c>
    </row>
    <row r="11119" spans="1:12" x14ac:dyDescent="0.45">
      <c r="A11119" s="12" t="s">
        <v>20613</v>
      </c>
      <c r="B11119" s="12" t="s">
        <v>4214</v>
      </c>
      <c r="C11119" s="13" t="s">
        <v>4215</v>
      </c>
      <c r="D11119" s="13" t="s">
        <v>124</v>
      </c>
      <c r="E11119" s="12" t="s">
        <v>50</v>
      </c>
      <c r="F11119" s="13"/>
      <c r="G11119" s="13"/>
      <c r="H11119" s="13" t="s">
        <v>20702</v>
      </c>
      <c r="I11119" s="40" t="s">
        <v>18</v>
      </c>
      <c r="J11119" s="40" t="str">
        <f>HYPERLINK("https://stock.pstatic.net/stock-research/company/74/20250709_company_334741000.pdf","PDF")</f>
        <v>PDF</v>
      </c>
      <c r="K11119" s="12" t="s">
        <v>20703</v>
      </c>
    </row>
    <row r="11120" spans="1:12" x14ac:dyDescent="0.45">
      <c r="A11120" s="12" t="s">
        <v>20613</v>
      </c>
      <c r="B11120" s="12" t="s">
        <v>13</v>
      </c>
      <c r="C11120" s="13" t="s">
        <v>14</v>
      </c>
      <c r="D11120" s="13" t="s">
        <v>53</v>
      </c>
      <c r="E11120" s="12" t="s">
        <v>16</v>
      </c>
      <c r="F11120" s="14">
        <v>75000</v>
      </c>
      <c r="G11120" s="14">
        <v>61400</v>
      </c>
      <c r="H11120" s="13" t="s">
        <v>20704</v>
      </c>
      <c r="I11120" s="40" t="s">
        <v>18</v>
      </c>
      <c r="J11120" s="40" t="str">
        <f>HYPERLINK("https://stock.pstatic.net/stock-research/company/40/20250709_company_685238000.pdf","PDF")</f>
        <v>PDF</v>
      </c>
      <c r="K11120" s="12" t="s">
        <v>20705</v>
      </c>
      <c r="L11120" s="20">
        <v>0.2214983713355049</v>
      </c>
    </row>
    <row r="11121" spans="1:12" x14ac:dyDescent="0.45">
      <c r="A11121" s="12" t="s">
        <v>20706</v>
      </c>
      <c r="B11121" s="12" t="s">
        <v>13</v>
      </c>
      <c r="C11121" s="13" t="s">
        <v>14</v>
      </c>
      <c r="D11121" s="13" t="s">
        <v>179</v>
      </c>
      <c r="E11121" s="12" t="s">
        <v>50</v>
      </c>
      <c r="F11121" s="13"/>
      <c r="G11121" s="13"/>
      <c r="H11121" s="13" t="s">
        <v>20707</v>
      </c>
      <c r="I11121" s="40" t="s">
        <v>18</v>
      </c>
      <c r="J11121" s="40" t="str">
        <f>HYPERLINK("https://stock.pstatic.net/stock-research/company/31/20250708_company_508157000.pdf","PDF")</f>
        <v>PDF</v>
      </c>
      <c r="K11121" s="12" t="s">
        <v>20708</v>
      </c>
    </row>
    <row r="11122" spans="1:12" x14ac:dyDescent="0.45">
      <c r="A11122" s="12" t="s">
        <v>20706</v>
      </c>
      <c r="B11122" s="12" t="s">
        <v>63</v>
      </c>
      <c r="C11122" s="13" t="s">
        <v>64</v>
      </c>
      <c r="D11122" s="13" t="s">
        <v>276</v>
      </c>
      <c r="E11122" s="12" t="s">
        <v>16</v>
      </c>
      <c r="F11122" s="14">
        <v>400000</v>
      </c>
      <c r="G11122" s="14">
        <v>284000</v>
      </c>
      <c r="H11122" s="13" t="s">
        <v>20709</v>
      </c>
      <c r="I11122" s="40" t="s">
        <v>18</v>
      </c>
      <c r="J11122" s="40" t="str">
        <f>HYPERLINK("https://stock.pstatic.net/stock-research/company/66/20250708_company_760653000.pdf","PDF")</f>
        <v>PDF</v>
      </c>
      <c r="K11122" s="12" t="s">
        <v>20710</v>
      </c>
      <c r="L11122" s="20">
        <v>0.40845070422535212</v>
      </c>
    </row>
    <row r="11123" spans="1:12" x14ac:dyDescent="0.45">
      <c r="A11123" s="12" t="s">
        <v>20706</v>
      </c>
      <c r="B11123" s="12" t="s">
        <v>732</v>
      </c>
      <c r="C11123" s="13" t="s">
        <v>733</v>
      </c>
      <c r="D11123" s="13" t="s">
        <v>60</v>
      </c>
      <c r="E11123" s="12" t="s">
        <v>35</v>
      </c>
      <c r="F11123" s="14">
        <v>150000</v>
      </c>
      <c r="G11123" s="14">
        <v>92400</v>
      </c>
      <c r="H11123" s="13" t="s">
        <v>20711</v>
      </c>
      <c r="I11123" s="40" t="s">
        <v>18</v>
      </c>
      <c r="J11123" s="40" t="str">
        <f>HYPERLINK("https://stock.pstatic.net/stock-research/company/62/20250708_company_690440000.pdf","PDF")</f>
        <v>PDF</v>
      </c>
      <c r="K11123" s="12" t="s">
        <v>20712</v>
      </c>
      <c r="L11123" s="20">
        <v>0.62337662337662336</v>
      </c>
    </row>
    <row r="11124" spans="1:12" x14ac:dyDescent="0.45">
      <c r="A11124" s="12" t="s">
        <v>20706</v>
      </c>
      <c r="B11124" s="12" t="s">
        <v>2613</v>
      </c>
      <c r="C11124" s="13" t="s">
        <v>2614</v>
      </c>
      <c r="D11124" s="13" t="s">
        <v>60</v>
      </c>
      <c r="E11124" s="12" t="s">
        <v>35</v>
      </c>
      <c r="F11124" s="14">
        <v>460000</v>
      </c>
      <c r="G11124" s="14">
        <v>359000</v>
      </c>
      <c r="H11124" s="13" t="s">
        <v>20713</v>
      </c>
      <c r="I11124" s="40" t="s">
        <v>18</v>
      </c>
      <c r="J11124" s="40" t="str">
        <f>HYPERLINK("https://stock.pstatic.net/stock-research/company/62/20250708_company_719419000.pdf","PDF")</f>
        <v>PDF</v>
      </c>
      <c r="K11124" s="12" t="s">
        <v>20714</v>
      </c>
      <c r="L11124" s="20">
        <v>0.28133704735376053</v>
      </c>
    </row>
    <row r="11125" spans="1:12" x14ac:dyDescent="0.45">
      <c r="A11125" s="12" t="s">
        <v>20706</v>
      </c>
      <c r="B11125" s="12" t="s">
        <v>1666</v>
      </c>
      <c r="C11125" s="13" t="s">
        <v>1667</v>
      </c>
      <c r="D11125" s="13" t="s">
        <v>65</v>
      </c>
      <c r="E11125" s="12" t="s">
        <v>35</v>
      </c>
      <c r="F11125" s="14">
        <v>71000</v>
      </c>
      <c r="G11125" s="14">
        <v>61700</v>
      </c>
      <c r="H11125" s="13" t="s">
        <v>20715</v>
      </c>
      <c r="I11125" s="40" t="s">
        <v>18</v>
      </c>
      <c r="J11125" s="40" t="str">
        <f>HYPERLINK("https://stock.pstatic.net/stock-research/company/57/20250708_company_557959000.pdf","PDF")</f>
        <v>PDF</v>
      </c>
      <c r="K11125" s="12" t="s">
        <v>20716</v>
      </c>
      <c r="L11125" s="20">
        <v>0.1507293354943274</v>
      </c>
    </row>
    <row r="11126" spans="1:12" x14ac:dyDescent="0.45">
      <c r="A11126" s="12" t="s">
        <v>20706</v>
      </c>
      <c r="B11126" s="12" t="s">
        <v>1781</v>
      </c>
      <c r="C11126" s="13" t="s">
        <v>1782</v>
      </c>
      <c r="D11126" s="13" t="s">
        <v>65</v>
      </c>
      <c r="E11126" s="12" t="s">
        <v>35</v>
      </c>
      <c r="F11126" s="14">
        <v>129000</v>
      </c>
      <c r="G11126" s="14">
        <v>74100</v>
      </c>
      <c r="H11126" s="13" t="s">
        <v>20717</v>
      </c>
      <c r="I11126" s="40" t="s">
        <v>18</v>
      </c>
      <c r="J11126" s="40" t="str">
        <f>HYPERLINK("https://stock.pstatic.net/stock-research/company/57/20250708_company_738718000.pdf","PDF")</f>
        <v>PDF</v>
      </c>
      <c r="K11126" s="12" t="s">
        <v>20718</v>
      </c>
      <c r="L11126" s="20">
        <v>0.74089068825910931</v>
      </c>
    </row>
    <row r="11127" spans="1:12" x14ac:dyDescent="0.45">
      <c r="A11127" s="12" t="s">
        <v>20706</v>
      </c>
      <c r="B11127" s="12" t="s">
        <v>2378</v>
      </c>
      <c r="C11127" s="13" t="s">
        <v>2379</v>
      </c>
      <c r="D11127" s="13" t="s">
        <v>65</v>
      </c>
      <c r="E11127" s="12" t="s">
        <v>1738</v>
      </c>
      <c r="F11127" s="14">
        <v>336000</v>
      </c>
      <c r="G11127" s="14">
        <v>315000</v>
      </c>
      <c r="H11127" s="13" t="s">
        <v>20719</v>
      </c>
      <c r="I11127" s="40" t="s">
        <v>18</v>
      </c>
      <c r="J11127" s="40" t="str">
        <f>HYPERLINK("https://stock.pstatic.net/stock-research/company/57/20250708_company_226529000.pdf","PDF")</f>
        <v>PDF</v>
      </c>
      <c r="K11127" s="12" t="s">
        <v>20720</v>
      </c>
      <c r="L11127" s="20">
        <v>6.6666666666666666E-2</v>
      </c>
    </row>
    <row r="11128" spans="1:12" x14ac:dyDescent="0.45">
      <c r="A11128" s="12" t="s">
        <v>20706</v>
      </c>
      <c r="B11128" s="12" t="s">
        <v>541</v>
      </c>
      <c r="C11128" s="13" t="s">
        <v>542</v>
      </c>
      <c r="D11128" s="13" t="s">
        <v>65</v>
      </c>
      <c r="E11128" s="12" t="s">
        <v>35</v>
      </c>
      <c r="F11128" s="14">
        <v>70000</v>
      </c>
      <c r="G11128" s="14">
        <v>54000</v>
      </c>
      <c r="H11128" s="13" t="s">
        <v>20721</v>
      </c>
      <c r="I11128" s="40" t="s">
        <v>18</v>
      </c>
      <c r="J11128" s="40" t="str">
        <f>HYPERLINK("https://stock.pstatic.net/stock-research/company/57/20250708_company_61661000.pdf","PDF")</f>
        <v>PDF</v>
      </c>
      <c r="K11128" s="12" t="s">
        <v>20722</v>
      </c>
      <c r="L11128" s="20">
        <v>0.29629629629629628</v>
      </c>
    </row>
    <row r="11129" spans="1:12" x14ac:dyDescent="0.45">
      <c r="A11129" s="12" t="s">
        <v>20706</v>
      </c>
      <c r="B11129" s="12" t="s">
        <v>760</v>
      </c>
      <c r="C11129" s="13" t="s">
        <v>761</v>
      </c>
      <c r="D11129" s="13" t="s">
        <v>65</v>
      </c>
      <c r="E11129" s="12" t="s">
        <v>35</v>
      </c>
      <c r="F11129" s="14">
        <v>290000</v>
      </c>
      <c r="G11129" s="14">
        <v>195100</v>
      </c>
      <c r="H11129" s="13" t="s">
        <v>20270</v>
      </c>
      <c r="I11129" s="40" t="s">
        <v>18</v>
      </c>
      <c r="J11129" s="40" t="str">
        <f>HYPERLINK("https://stock.pstatic.net/stock-research/company/57/20250708_company_925406000.pdf","PDF")</f>
        <v>PDF</v>
      </c>
      <c r="K11129" s="12" t="s">
        <v>20723</v>
      </c>
      <c r="L11129" s="20">
        <v>0.48641722193746789</v>
      </c>
    </row>
    <row r="11130" spans="1:12" x14ac:dyDescent="0.45">
      <c r="A11130" s="12" t="s">
        <v>20706</v>
      </c>
      <c r="B11130" s="12" t="s">
        <v>495</v>
      </c>
      <c r="C11130" s="13" t="s">
        <v>496</v>
      </c>
      <c r="D11130" s="13" t="s">
        <v>65</v>
      </c>
      <c r="E11130" s="12" t="s">
        <v>35</v>
      </c>
      <c r="F11130" s="14">
        <v>200000</v>
      </c>
      <c r="G11130" s="14">
        <v>149500</v>
      </c>
      <c r="H11130" s="13" t="s">
        <v>20724</v>
      </c>
      <c r="I11130" s="40" t="s">
        <v>18</v>
      </c>
      <c r="J11130" s="40" t="str">
        <f>HYPERLINK("https://stock.pstatic.net/stock-research/company/57/20250708_company_590260000.pdf","PDF")</f>
        <v>PDF</v>
      </c>
      <c r="K11130" s="12" t="s">
        <v>20725</v>
      </c>
      <c r="L11130" s="20">
        <v>0.33779264214046822</v>
      </c>
    </row>
    <row r="11131" spans="1:12" x14ac:dyDescent="0.45">
      <c r="A11131" s="12" t="s">
        <v>20706</v>
      </c>
      <c r="B11131" s="12" t="s">
        <v>268</v>
      </c>
      <c r="C11131" s="13" t="s">
        <v>269</v>
      </c>
      <c r="D11131" s="13" t="s">
        <v>65</v>
      </c>
      <c r="E11131" s="12" t="s">
        <v>35</v>
      </c>
      <c r="F11131" s="14">
        <v>550000</v>
      </c>
      <c r="G11131" s="14">
        <v>417000</v>
      </c>
      <c r="H11131" s="13" t="s">
        <v>20726</v>
      </c>
      <c r="I11131" s="40" t="s">
        <v>18</v>
      </c>
      <c r="J11131" s="40" t="str">
        <f>HYPERLINK("https://stock.pstatic.net/stock-research/company/57/20250708_company_26391000.pdf","PDF")</f>
        <v>PDF</v>
      </c>
      <c r="K11131" s="12" t="s">
        <v>20727</v>
      </c>
      <c r="L11131" s="20">
        <v>0.31894484412470031</v>
      </c>
    </row>
    <row r="11132" spans="1:12" x14ac:dyDescent="0.45">
      <c r="A11132" s="12" t="s">
        <v>20706</v>
      </c>
      <c r="B11132" s="12" t="s">
        <v>330</v>
      </c>
      <c r="C11132" s="13" t="s">
        <v>331</v>
      </c>
      <c r="D11132" s="13" t="s">
        <v>57</v>
      </c>
      <c r="E11132" s="12" t="s">
        <v>35</v>
      </c>
      <c r="F11132" s="14">
        <v>42000</v>
      </c>
      <c r="G11132" s="14">
        <v>35900</v>
      </c>
      <c r="H11132" s="13" t="s">
        <v>20728</v>
      </c>
      <c r="I11132" s="40" t="s">
        <v>18</v>
      </c>
      <c r="J11132" s="40" t="str">
        <f>HYPERLINK("https://stock.pstatic.net/stock-research/company/16/20250708_company_628241000.pdf","PDF")</f>
        <v>PDF</v>
      </c>
      <c r="K11132" s="12" t="s">
        <v>20729</v>
      </c>
      <c r="L11132" s="20">
        <v>0.16991643454038999</v>
      </c>
    </row>
    <row r="11133" spans="1:12" x14ac:dyDescent="0.45">
      <c r="A11133" s="12" t="s">
        <v>20706</v>
      </c>
      <c r="B11133" s="12" t="s">
        <v>2378</v>
      </c>
      <c r="C11133" s="13" t="s">
        <v>2379</v>
      </c>
      <c r="D11133" s="13" t="s">
        <v>57</v>
      </c>
      <c r="E11133" s="12" t="s">
        <v>35</v>
      </c>
      <c r="F11133" s="14">
        <v>390000</v>
      </c>
      <c r="G11133" s="14">
        <v>315000</v>
      </c>
      <c r="H11133" s="13" t="s">
        <v>20730</v>
      </c>
      <c r="I11133" s="40" t="s">
        <v>18</v>
      </c>
      <c r="J11133" s="40" t="str">
        <f>HYPERLINK("https://stock.pstatic.net/stock-research/company/16/20250708_company_551456000.pdf","PDF")</f>
        <v>PDF</v>
      </c>
      <c r="K11133" s="12" t="s">
        <v>20731</v>
      </c>
      <c r="L11133" s="20">
        <v>0.23809523809523811</v>
      </c>
    </row>
    <row r="11134" spans="1:12" x14ac:dyDescent="0.45">
      <c r="A11134" s="12" t="s">
        <v>20706</v>
      </c>
      <c r="B11134" s="12" t="s">
        <v>1648</v>
      </c>
      <c r="C11134" s="13" t="s">
        <v>1649</v>
      </c>
      <c r="D11134" s="13" t="s">
        <v>57</v>
      </c>
      <c r="E11134" s="12" t="s">
        <v>35</v>
      </c>
      <c r="F11134" s="14">
        <v>160000</v>
      </c>
      <c r="G11134" s="14">
        <v>129300</v>
      </c>
      <c r="H11134" s="13" t="s">
        <v>20732</v>
      </c>
      <c r="I11134" s="40" t="s">
        <v>18</v>
      </c>
      <c r="J11134" s="40" t="str">
        <f>HYPERLINK("https://stock.pstatic.net/stock-research/company/16/20250708_company_721398000.pdf","PDF")</f>
        <v>PDF</v>
      </c>
      <c r="K11134" s="12" t="s">
        <v>20733</v>
      </c>
      <c r="L11134" s="20">
        <v>0.23743232791956689</v>
      </c>
    </row>
    <row r="11135" spans="1:12" x14ac:dyDescent="0.45">
      <c r="A11135" s="12" t="s">
        <v>20706</v>
      </c>
      <c r="B11135" s="12" t="s">
        <v>27</v>
      </c>
      <c r="C11135" s="13" t="s">
        <v>28</v>
      </c>
      <c r="D11135" s="13" t="s">
        <v>57</v>
      </c>
      <c r="E11135" s="12" t="s">
        <v>35</v>
      </c>
      <c r="F11135" s="14">
        <v>110000</v>
      </c>
      <c r="G11135" s="14">
        <v>76000</v>
      </c>
      <c r="H11135" s="13" t="s">
        <v>20734</v>
      </c>
      <c r="I11135" s="40" t="s">
        <v>18</v>
      </c>
      <c r="J11135" s="40" t="str">
        <f>HYPERLINK("https://stock.pstatic.net/stock-research/company/1/20250708_company_539381000.pdf","PDF")</f>
        <v>PDF</v>
      </c>
      <c r="K11135" s="12" t="s">
        <v>20735</v>
      </c>
      <c r="L11135" s="20">
        <v>0.44736842105263158</v>
      </c>
    </row>
    <row r="11136" spans="1:12" x14ac:dyDescent="0.45">
      <c r="A11136" s="12" t="s">
        <v>20706</v>
      </c>
      <c r="B11136" s="12" t="s">
        <v>4095</v>
      </c>
      <c r="C11136" s="13" t="s">
        <v>4096</v>
      </c>
      <c r="D11136" s="13" t="s">
        <v>158</v>
      </c>
      <c r="E11136" s="12" t="s">
        <v>35</v>
      </c>
      <c r="F11136" s="14">
        <v>220000</v>
      </c>
      <c r="G11136" s="14">
        <v>92500</v>
      </c>
      <c r="H11136" s="13" t="s">
        <v>20736</v>
      </c>
      <c r="I11136" s="40" t="s">
        <v>18</v>
      </c>
      <c r="J11136" s="40" t="str">
        <f>HYPERLINK("https://stock.pstatic.net/stock-research/company/18/20250708_company_831934000.pdf","PDF")</f>
        <v>PDF</v>
      </c>
      <c r="K11136" s="12" t="s">
        <v>20737</v>
      </c>
      <c r="L11136" s="20">
        <v>1.3783783783783781</v>
      </c>
    </row>
    <row r="11137" spans="1:12" x14ac:dyDescent="0.45">
      <c r="A11137" s="12" t="s">
        <v>20706</v>
      </c>
      <c r="B11137" s="12" t="s">
        <v>1019</v>
      </c>
      <c r="C11137" s="13" t="s">
        <v>1020</v>
      </c>
      <c r="D11137" s="13" t="s">
        <v>83</v>
      </c>
      <c r="E11137" s="12" t="s">
        <v>35</v>
      </c>
      <c r="F11137" s="14">
        <v>22000</v>
      </c>
      <c r="G11137" s="14">
        <v>17440</v>
      </c>
      <c r="H11137" s="13" t="s">
        <v>20738</v>
      </c>
      <c r="I11137" s="40" t="s">
        <v>18</v>
      </c>
      <c r="J11137" s="40" t="str">
        <f>HYPERLINK("https://stock.pstatic.net/stock-research/company/2/20250708_company_137516000.pdf","PDF")</f>
        <v>PDF</v>
      </c>
      <c r="K11137" s="12" t="s">
        <v>20739</v>
      </c>
      <c r="L11137" s="20">
        <v>0.26146788990825692</v>
      </c>
    </row>
    <row r="11138" spans="1:12" x14ac:dyDescent="0.45">
      <c r="A11138" s="12" t="s">
        <v>20706</v>
      </c>
      <c r="B11138" s="12" t="s">
        <v>426</v>
      </c>
      <c r="C11138" s="13" t="s">
        <v>427</v>
      </c>
      <c r="D11138" s="13" t="s">
        <v>83</v>
      </c>
      <c r="E11138" s="12" t="s">
        <v>35</v>
      </c>
      <c r="F11138" s="14">
        <v>20000</v>
      </c>
      <c r="G11138" s="14">
        <v>16020</v>
      </c>
      <c r="H11138" s="13" t="s">
        <v>20740</v>
      </c>
      <c r="I11138" s="40" t="s">
        <v>18</v>
      </c>
      <c r="J11138" s="40" t="str">
        <f>HYPERLINK("https://stock.pstatic.net/stock-research/company/2/20250708_company_132777000.pdf","PDF")</f>
        <v>PDF</v>
      </c>
      <c r="K11138" s="12" t="s">
        <v>20741</v>
      </c>
      <c r="L11138" s="20">
        <v>0.24843945068664169</v>
      </c>
    </row>
    <row r="11139" spans="1:12" x14ac:dyDescent="0.45">
      <c r="A11139" s="12" t="s">
        <v>20706</v>
      </c>
      <c r="B11139" s="12" t="s">
        <v>27</v>
      </c>
      <c r="C11139" s="13" t="s">
        <v>28</v>
      </c>
      <c r="D11139" s="13" t="s">
        <v>83</v>
      </c>
      <c r="E11139" s="12" t="s">
        <v>35</v>
      </c>
      <c r="F11139" s="14">
        <v>90000</v>
      </c>
      <c r="G11139" s="14">
        <v>76000</v>
      </c>
      <c r="H11139" s="13" t="s">
        <v>20742</v>
      </c>
      <c r="I11139" s="40" t="s">
        <v>18</v>
      </c>
      <c r="J11139" s="40" t="str">
        <f>HYPERLINK("https://stock.pstatic.net/stock-research/company/2/20250708_company_357425000.pdf","PDF")</f>
        <v>PDF</v>
      </c>
      <c r="K11139" s="12" t="s">
        <v>20743</v>
      </c>
      <c r="L11139" s="20">
        <v>0.18421052631578949</v>
      </c>
    </row>
    <row r="11140" spans="1:12" x14ac:dyDescent="0.45">
      <c r="A11140" s="12" t="s">
        <v>20706</v>
      </c>
      <c r="B11140" s="12" t="s">
        <v>1308</v>
      </c>
      <c r="C11140" s="13" t="s">
        <v>1309</v>
      </c>
      <c r="D11140" s="13" t="s">
        <v>83</v>
      </c>
      <c r="E11140" s="12" t="s">
        <v>35</v>
      </c>
      <c r="F11140" s="14">
        <v>490000</v>
      </c>
      <c r="G11140" s="14">
        <v>395500</v>
      </c>
      <c r="H11140" s="13" t="s">
        <v>20744</v>
      </c>
      <c r="I11140" s="40" t="s">
        <v>18</v>
      </c>
      <c r="J11140" s="40" t="str">
        <f>HYPERLINK("https://stock.pstatic.net/stock-research/company/2/20250708_company_975037000.pdf","PDF")</f>
        <v>PDF</v>
      </c>
      <c r="K11140" s="12" t="s">
        <v>20745</v>
      </c>
      <c r="L11140" s="20">
        <v>0.23893805309734509</v>
      </c>
    </row>
    <row r="11141" spans="1:12" x14ac:dyDescent="0.45">
      <c r="A11141" s="12" t="s">
        <v>20706</v>
      </c>
      <c r="B11141" s="12" t="s">
        <v>4642</v>
      </c>
      <c r="C11141" s="13" t="s">
        <v>4643</v>
      </c>
      <c r="D11141" s="13" t="s">
        <v>83</v>
      </c>
      <c r="E11141" s="12" t="s">
        <v>35</v>
      </c>
      <c r="F11141" s="14">
        <v>28000</v>
      </c>
      <c r="G11141" s="14">
        <v>23600</v>
      </c>
      <c r="H11141" s="13" t="s">
        <v>20746</v>
      </c>
      <c r="I11141" s="40" t="s">
        <v>18</v>
      </c>
      <c r="J11141" s="40" t="str">
        <f>HYPERLINK("https://stock.pstatic.net/stock-research/company/2/20250708_company_248798000.pdf","PDF")</f>
        <v>PDF</v>
      </c>
      <c r="K11141" s="12" t="s">
        <v>20747</v>
      </c>
      <c r="L11141" s="20">
        <v>0.1864406779661017</v>
      </c>
    </row>
    <row r="11142" spans="1:12" x14ac:dyDescent="0.45">
      <c r="A11142" s="12" t="s">
        <v>20706</v>
      </c>
      <c r="B11142" s="12" t="s">
        <v>1781</v>
      </c>
      <c r="C11142" s="13" t="s">
        <v>1782</v>
      </c>
      <c r="D11142" s="13" t="s">
        <v>83</v>
      </c>
      <c r="E11142" s="12" t="s">
        <v>35</v>
      </c>
      <c r="F11142" s="14">
        <v>105000</v>
      </c>
      <c r="G11142" s="14">
        <v>74100</v>
      </c>
      <c r="H11142" s="13" t="s">
        <v>20748</v>
      </c>
      <c r="I11142" s="40" t="s">
        <v>18</v>
      </c>
      <c r="J11142" s="40" t="str">
        <f>HYPERLINK("https://stock.pstatic.net/stock-research/company/2/20250708_company_962189000.pdf","PDF")</f>
        <v>PDF</v>
      </c>
      <c r="K11142" s="12" t="s">
        <v>20749</v>
      </c>
      <c r="L11142" s="20">
        <v>0.41700404858299589</v>
      </c>
    </row>
    <row r="11143" spans="1:12" x14ac:dyDescent="0.45">
      <c r="A11143" s="12" t="s">
        <v>20706</v>
      </c>
      <c r="B11143" s="12" t="s">
        <v>3164</v>
      </c>
      <c r="C11143" s="13" t="s">
        <v>3165</v>
      </c>
      <c r="D11143" s="13" t="s">
        <v>83</v>
      </c>
      <c r="E11143" s="12" t="s">
        <v>35</v>
      </c>
      <c r="F11143" s="14">
        <v>86000</v>
      </c>
      <c r="G11143" s="14">
        <v>71700</v>
      </c>
      <c r="H11143" s="13" t="s">
        <v>20750</v>
      </c>
      <c r="I11143" s="40" t="s">
        <v>18</v>
      </c>
      <c r="J11143" s="40" t="str">
        <f>HYPERLINK("https://stock.pstatic.net/stock-research/company/2/20250708_company_107535000.pdf","PDF")</f>
        <v>PDF</v>
      </c>
      <c r="K11143" s="12" t="s">
        <v>20751</v>
      </c>
      <c r="L11143" s="20">
        <v>0.19944211994421199</v>
      </c>
    </row>
    <row r="11144" spans="1:12" x14ac:dyDescent="0.45">
      <c r="A11144" s="12" t="s">
        <v>20706</v>
      </c>
      <c r="B11144" s="12" t="s">
        <v>3182</v>
      </c>
      <c r="C11144" s="13" t="s">
        <v>3183</v>
      </c>
      <c r="D11144" s="13" t="s">
        <v>83</v>
      </c>
      <c r="E11144" s="12" t="s">
        <v>35</v>
      </c>
      <c r="F11144" s="14">
        <v>540000</v>
      </c>
      <c r="G11144" s="14">
        <v>437000</v>
      </c>
      <c r="H11144" s="13" t="s">
        <v>20752</v>
      </c>
      <c r="I11144" s="40" t="s">
        <v>18</v>
      </c>
      <c r="J11144" s="40" t="str">
        <f>HYPERLINK("https://stock.pstatic.net/stock-research/company/2/20250708_company_438386000.pdf","PDF")</f>
        <v>PDF</v>
      </c>
      <c r="K11144" s="12" t="s">
        <v>20753</v>
      </c>
      <c r="L11144" s="20">
        <v>0.23569794050343251</v>
      </c>
    </row>
    <row r="11145" spans="1:12" x14ac:dyDescent="0.45">
      <c r="A11145" s="12" t="s">
        <v>20706</v>
      </c>
      <c r="B11145" s="12" t="s">
        <v>3230</v>
      </c>
      <c r="C11145" s="13" t="s">
        <v>3231</v>
      </c>
      <c r="D11145" s="13" t="s">
        <v>83</v>
      </c>
      <c r="E11145" s="12" t="s">
        <v>35</v>
      </c>
      <c r="F11145" s="14">
        <v>1100000</v>
      </c>
      <c r="G11145" s="14">
        <v>903000</v>
      </c>
      <c r="H11145" s="13" t="s">
        <v>20754</v>
      </c>
      <c r="I11145" s="40" t="s">
        <v>18</v>
      </c>
      <c r="J11145" s="40" t="str">
        <f>HYPERLINK("https://stock.pstatic.net/stock-research/company/1/20250708_company_382460000.pdf","PDF")</f>
        <v>PDF</v>
      </c>
      <c r="K11145" s="12" t="s">
        <v>20755</v>
      </c>
      <c r="L11145" s="20">
        <v>0.21816168327796229</v>
      </c>
    </row>
    <row r="11146" spans="1:12" x14ac:dyDescent="0.45">
      <c r="A11146" s="12" t="s">
        <v>20706</v>
      </c>
      <c r="B11146" s="12" t="s">
        <v>744</v>
      </c>
      <c r="C11146" s="13" t="s">
        <v>745</v>
      </c>
      <c r="D11146" s="13" t="s">
        <v>83</v>
      </c>
      <c r="E11146" s="12" t="s">
        <v>35</v>
      </c>
      <c r="F11146" s="14">
        <v>22000</v>
      </c>
      <c r="G11146" s="14">
        <v>16210</v>
      </c>
      <c r="H11146" s="13" t="s">
        <v>20756</v>
      </c>
      <c r="I11146" s="40" t="s">
        <v>18</v>
      </c>
      <c r="J11146" s="40" t="str">
        <f>HYPERLINK("https://stock.pstatic.net/stock-research/company/2/20250708_company_190196000.pdf","PDF")</f>
        <v>PDF</v>
      </c>
      <c r="K11146" s="12" t="s">
        <v>20757</v>
      </c>
      <c r="L11146" s="20">
        <v>0.3571869216533004</v>
      </c>
    </row>
    <row r="11147" spans="1:12" x14ac:dyDescent="0.45">
      <c r="A11147" s="12" t="s">
        <v>20706</v>
      </c>
      <c r="B11147" s="12" t="s">
        <v>3478</v>
      </c>
      <c r="C11147" s="13" t="s">
        <v>3479</v>
      </c>
      <c r="D11147" s="13" t="s">
        <v>15</v>
      </c>
      <c r="E11147" s="12" t="s">
        <v>16</v>
      </c>
      <c r="F11147" s="14">
        <v>46000</v>
      </c>
      <c r="G11147" s="14">
        <v>35350</v>
      </c>
      <c r="H11147" s="13" t="s">
        <v>20758</v>
      </c>
      <c r="I11147" s="40" t="s">
        <v>18</v>
      </c>
      <c r="J11147" s="40" t="str">
        <f>HYPERLINK("https://stock.pstatic.net/stock-research/company/29/20250708_company_662711000.pdf","PDF")</f>
        <v>PDF</v>
      </c>
      <c r="K11147" s="12" t="s">
        <v>20759</v>
      </c>
      <c r="L11147" s="20">
        <v>0.30127298444130129</v>
      </c>
    </row>
    <row r="11148" spans="1:12" x14ac:dyDescent="0.45">
      <c r="A11148" s="12" t="s">
        <v>20706</v>
      </c>
      <c r="B11148" s="12" t="s">
        <v>2758</v>
      </c>
      <c r="C11148" s="13" t="s">
        <v>2759</v>
      </c>
      <c r="D11148" s="13" t="s">
        <v>15</v>
      </c>
      <c r="E11148" s="12" t="s">
        <v>16</v>
      </c>
      <c r="F11148" s="14">
        <v>430000</v>
      </c>
      <c r="G11148" s="14">
        <v>313500</v>
      </c>
      <c r="H11148" s="13" t="s">
        <v>20760</v>
      </c>
      <c r="I11148" s="40" t="s">
        <v>18</v>
      </c>
      <c r="J11148" s="40" t="str">
        <f>HYPERLINK("https://stock.pstatic.net/stock-research/company/29/20250708_company_884329000.pdf","PDF")</f>
        <v>PDF</v>
      </c>
      <c r="K11148" s="12" t="s">
        <v>20761</v>
      </c>
      <c r="L11148" s="20">
        <v>0.37161084529505578</v>
      </c>
    </row>
    <row r="11149" spans="1:12" x14ac:dyDescent="0.45">
      <c r="A11149" s="12" t="s">
        <v>20706</v>
      </c>
      <c r="B11149" s="12" t="s">
        <v>2191</v>
      </c>
      <c r="C11149" s="13" t="s">
        <v>2192</v>
      </c>
      <c r="D11149" s="13" t="s">
        <v>15</v>
      </c>
      <c r="E11149" s="12" t="s">
        <v>16</v>
      </c>
      <c r="F11149" s="14">
        <v>80000</v>
      </c>
      <c r="G11149" s="14">
        <v>57200</v>
      </c>
      <c r="H11149" s="13" t="s">
        <v>20762</v>
      </c>
      <c r="I11149" s="40" t="s">
        <v>18</v>
      </c>
      <c r="J11149" s="40" t="str">
        <f>HYPERLINK("https://stock.pstatic.net/stock-research/company/29/20250708_company_745480000.pdf","PDF")</f>
        <v>PDF</v>
      </c>
      <c r="K11149" s="12" t="s">
        <v>20763</v>
      </c>
      <c r="L11149" s="20">
        <v>0.39860139860139859</v>
      </c>
    </row>
    <row r="11150" spans="1:12" x14ac:dyDescent="0.45">
      <c r="A11150" s="12" t="s">
        <v>20706</v>
      </c>
      <c r="B11150" s="12" t="s">
        <v>2435</v>
      </c>
      <c r="C11150" s="13" t="s">
        <v>2436</v>
      </c>
      <c r="D11150" s="13" t="s">
        <v>92</v>
      </c>
      <c r="E11150" s="12" t="s">
        <v>35</v>
      </c>
      <c r="F11150" s="14">
        <v>450000</v>
      </c>
      <c r="G11150" s="14">
        <v>377500</v>
      </c>
      <c r="H11150" s="13" t="s">
        <v>20764</v>
      </c>
      <c r="I11150" s="40" t="s">
        <v>18</v>
      </c>
      <c r="J11150" s="40" t="str">
        <f>HYPERLINK("https://stock.pstatic.net/stock-research/company/63/20250708_company_83647000.pdf","PDF")</f>
        <v>PDF</v>
      </c>
      <c r="K11150" s="12" t="s">
        <v>20765</v>
      </c>
      <c r="L11150" s="20">
        <v>0.19205298013245031</v>
      </c>
    </row>
    <row r="11151" spans="1:12" x14ac:dyDescent="0.45">
      <c r="A11151" s="12" t="s">
        <v>20706</v>
      </c>
      <c r="B11151" s="12" t="s">
        <v>1781</v>
      </c>
      <c r="C11151" s="13" t="s">
        <v>1782</v>
      </c>
      <c r="D11151" s="13" t="s">
        <v>179</v>
      </c>
      <c r="E11151" s="12" t="s">
        <v>50</v>
      </c>
      <c r="F11151" s="13"/>
      <c r="G11151" s="13"/>
      <c r="H11151" s="13" t="s">
        <v>20766</v>
      </c>
      <c r="I11151" s="40" t="s">
        <v>18</v>
      </c>
      <c r="J11151" s="40" t="str">
        <f>HYPERLINK("https://stock.pstatic.net/stock-research/company/1/20250708_company_642936000.pdf","PDF")</f>
        <v>PDF</v>
      </c>
      <c r="K11151" s="12" t="s">
        <v>20767</v>
      </c>
    </row>
    <row r="11152" spans="1:12" x14ac:dyDescent="0.45">
      <c r="A11152" s="12" t="s">
        <v>20706</v>
      </c>
      <c r="B11152" s="12" t="s">
        <v>2378</v>
      </c>
      <c r="C11152" s="13" t="s">
        <v>2379</v>
      </c>
      <c r="D11152" s="13" t="s">
        <v>34</v>
      </c>
      <c r="E11152" s="12" t="s">
        <v>35</v>
      </c>
      <c r="F11152" s="14">
        <v>400000</v>
      </c>
      <c r="G11152" s="14">
        <v>315000</v>
      </c>
      <c r="H11152" s="13" t="s">
        <v>20768</v>
      </c>
      <c r="I11152" s="40" t="s">
        <v>18</v>
      </c>
      <c r="J11152" s="40" t="str">
        <f>HYPERLINK("https://stock.pstatic.net/stock-research/company/61/20250708_company_654439000.pdf","PDF")</f>
        <v>PDF</v>
      </c>
      <c r="K11152" s="12" t="s">
        <v>20769</v>
      </c>
      <c r="L11152" s="20">
        <v>0.26984126984126983</v>
      </c>
    </row>
    <row r="11153" spans="1:12" x14ac:dyDescent="0.45">
      <c r="A11153" s="12" t="s">
        <v>20706</v>
      </c>
      <c r="B11153" s="12" t="s">
        <v>1781</v>
      </c>
      <c r="C11153" s="13" t="s">
        <v>1782</v>
      </c>
      <c r="D11153" s="13" t="s">
        <v>34</v>
      </c>
      <c r="E11153" s="12" t="s">
        <v>35</v>
      </c>
      <c r="F11153" s="14">
        <v>100000</v>
      </c>
      <c r="G11153" s="14">
        <v>74100</v>
      </c>
      <c r="H11153" s="13" t="s">
        <v>20770</v>
      </c>
      <c r="I11153" s="40" t="s">
        <v>18</v>
      </c>
      <c r="J11153" s="40" t="str">
        <f>HYPERLINK("https://stock.pstatic.net/stock-research/company/61/20250708_company_659486000.pdf","PDF")</f>
        <v>PDF</v>
      </c>
      <c r="K11153" s="12" t="s">
        <v>20771</v>
      </c>
      <c r="L11153" s="20">
        <v>0.34952766531713902</v>
      </c>
    </row>
    <row r="11154" spans="1:12" x14ac:dyDescent="0.45">
      <c r="A11154" s="12" t="s">
        <v>20706</v>
      </c>
      <c r="B11154" s="12" t="s">
        <v>14384</v>
      </c>
      <c r="C11154" s="13" t="s">
        <v>14385</v>
      </c>
      <c r="D11154" s="13" t="s">
        <v>179</v>
      </c>
      <c r="E11154" s="12" t="s">
        <v>50</v>
      </c>
      <c r="F11154" s="13"/>
      <c r="G11154" s="14">
        <v>948</v>
      </c>
      <c r="H11154" s="13" t="s">
        <v>20772</v>
      </c>
      <c r="I11154" s="40" t="s">
        <v>18</v>
      </c>
      <c r="J11154" s="40" t="str">
        <f>HYPERLINK("https://stock.pstatic.net/stock-research/company/64/20250708_company_540411000.pdf","PDF")</f>
        <v>PDF</v>
      </c>
      <c r="K11154" s="12" t="s">
        <v>20773</v>
      </c>
    </row>
    <row r="11155" spans="1:12" x14ac:dyDescent="0.45">
      <c r="A11155" s="12" t="s">
        <v>20706</v>
      </c>
      <c r="B11155" s="12" t="s">
        <v>2425</v>
      </c>
      <c r="C11155" s="13" t="s">
        <v>2426</v>
      </c>
      <c r="D11155" s="13" t="s">
        <v>53</v>
      </c>
      <c r="E11155" s="12" t="s">
        <v>16</v>
      </c>
      <c r="F11155" s="14">
        <v>160000</v>
      </c>
      <c r="G11155" s="14">
        <v>136200</v>
      </c>
      <c r="H11155" s="13" t="s">
        <v>20774</v>
      </c>
      <c r="I11155" s="40" t="s">
        <v>18</v>
      </c>
      <c r="J11155" s="40" t="str">
        <f>HYPERLINK("https://stock.pstatic.net/stock-research/company/40/20250708_company_453888000.pdf","PDF")</f>
        <v>PDF</v>
      </c>
      <c r="K11155" s="12" t="s">
        <v>20775</v>
      </c>
      <c r="L11155" s="20">
        <v>0.17474302496328931</v>
      </c>
    </row>
    <row r="11156" spans="1:12" x14ac:dyDescent="0.45">
      <c r="A11156" s="12" t="s">
        <v>20706</v>
      </c>
      <c r="B11156" s="12" t="s">
        <v>2378</v>
      </c>
      <c r="C11156" s="13" t="s">
        <v>2379</v>
      </c>
      <c r="D11156" s="13" t="s">
        <v>23</v>
      </c>
      <c r="E11156" s="12" t="s">
        <v>16</v>
      </c>
      <c r="F11156" s="14">
        <v>400000</v>
      </c>
      <c r="G11156" s="14">
        <v>315000</v>
      </c>
      <c r="H11156" s="13" t="s">
        <v>20776</v>
      </c>
      <c r="I11156" s="40" t="s">
        <v>18</v>
      </c>
      <c r="J11156" s="40" t="str">
        <f>HYPERLINK("https://stock.pstatic.net/stock-research/company/21/20250708_company_537731000.pdf","PDF")</f>
        <v>PDF</v>
      </c>
      <c r="K11156" s="12" t="s">
        <v>20777</v>
      </c>
      <c r="L11156" s="20">
        <v>0.26984126984126983</v>
      </c>
    </row>
    <row r="11157" spans="1:12" x14ac:dyDescent="0.45">
      <c r="A11157" s="12" t="s">
        <v>20706</v>
      </c>
      <c r="B11157" s="12" t="s">
        <v>3813</v>
      </c>
      <c r="C11157" s="13" t="s">
        <v>3814</v>
      </c>
      <c r="D11157" s="13" t="s">
        <v>179</v>
      </c>
      <c r="E11157" s="12" t="s">
        <v>16</v>
      </c>
      <c r="F11157" s="14">
        <v>14000</v>
      </c>
      <c r="G11157" s="14">
        <v>9160</v>
      </c>
      <c r="H11157" s="13" t="s">
        <v>20778</v>
      </c>
      <c r="I11157" s="40" t="s">
        <v>18</v>
      </c>
      <c r="J11157" s="40" t="str">
        <f>HYPERLINK("https://stock.pstatic.net/stock-research/company/31/20250708_company_934889000.pdf","PDF")</f>
        <v>PDF</v>
      </c>
      <c r="K11157" s="12" t="s">
        <v>20779</v>
      </c>
      <c r="L11157" s="20">
        <v>0.52838427947598254</v>
      </c>
    </row>
    <row r="11158" spans="1:12" x14ac:dyDescent="0.45">
      <c r="A11158" s="12" t="s">
        <v>20706</v>
      </c>
      <c r="B11158" s="12" t="s">
        <v>63</v>
      </c>
      <c r="C11158" s="13" t="s">
        <v>64</v>
      </c>
      <c r="D11158" s="13" t="s">
        <v>53</v>
      </c>
      <c r="E11158" s="12" t="s">
        <v>16</v>
      </c>
      <c r="F11158" s="14">
        <v>340000</v>
      </c>
      <c r="G11158" s="14">
        <v>284000</v>
      </c>
      <c r="H11158" s="13" t="s">
        <v>20780</v>
      </c>
      <c r="I11158" s="40" t="s">
        <v>18</v>
      </c>
      <c r="J11158" s="40" t="str">
        <f>HYPERLINK("https://stock.pstatic.net/stock-research/company/40/20250708_company_610725000.pdf","PDF")</f>
        <v>PDF</v>
      </c>
      <c r="K11158" s="12" t="s">
        <v>20781</v>
      </c>
      <c r="L11158" s="20">
        <v>0.19718309859154931</v>
      </c>
    </row>
    <row r="11159" spans="1:12" x14ac:dyDescent="0.45">
      <c r="A11159" s="12" t="s">
        <v>20706</v>
      </c>
      <c r="B11159" s="12" t="s">
        <v>2378</v>
      </c>
      <c r="C11159" s="13" t="s">
        <v>2379</v>
      </c>
      <c r="D11159" s="13" t="s">
        <v>179</v>
      </c>
      <c r="E11159" s="12" t="s">
        <v>50</v>
      </c>
      <c r="F11159" s="13"/>
      <c r="G11159" s="13"/>
      <c r="H11159" s="13" t="s">
        <v>20782</v>
      </c>
      <c r="I11159" s="40" t="s">
        <v>18</v>
      </c>
      <c r="J11159" s="40" t="str">
        <f>HYPERLINK("https://stock.pstatic.net/stock-research/company/31/20250708_company_633438000.pdf","PDF")</f>
        <v>PDF</v>
      </c>
      <c r="K11159" s="12" t="s">
        <v>20783</v>
      </c>
    </row>
    <row r="11160" spans="1:12" x14ac:dyDescent="0.45">
      <c r="A11160" s="12" t="s">
        <v>20706</v>
      </c>
      <c r="B11160" s="12" t="s">
        <v>2435</v>
      </c>
      <c r="C11160" s="13" t="s">
        <v>2436</v>
      </c>
      <c r="D11160" s="13" t="s">
        <v>179</v>
      </c>
      <c r="E11160" s="12" t="s">
        <v>16</v>
      </c>
      <c r="F11160" s="14">
        <v>500000</v>
      </c>
      <c r="G11160" s="14">
        <v>377500</v>
      </c>
      <c r="H11160" s="13" t="s">
        <v>20784</v>
      </c>
      <c r="I11160" s="40" t="s">
        <v>18</v>
      </c>
      <c r="J11160" s="40" t="str">
        <f>HYPERLINK("https://stock.pstatic.net/stock-research/company/31/20250708_company_468804000.pdf","PDF")</f>
        <v>PDF</v>
      </c>
      <c r="K11160" s="12" t="s">
        <v>20785</v>
      </c>
      <c r="L11160" s="20">
        <v>0.32450331125827808</v>
      </c>
    </row>
    <row r="11161" spans="1:12" x14ac:dyDescent="0.45">
      <c r="A11161" s="12" t="s">
        <v>20706</v>
      </c>
      <c r="B11161" s="12" t="s">
        <v>768</v>
      </c>
      <c r="C11161" s="13" t="s">
        <v>769</v>
      </c>
      <c r="D11161" s="13" t="s">
        <v>44</v>
      </c>
      <c r="E11161" s="12" t="s">
        <v>35</v>
      </c>
      <c r="F11161" s="14">
        <v>310000</v>
      </c>
      <c r="G11161" s="14">
        <v>252000</v>
      </c>
      <c r="H11161" s="13" t="s">
        <v>20786</v>
      </c>
      <c r="I11161" s="40" t="s">
        <v>18</v>
      </c>
      <c r="J11161" s="40" t="str">
        <f>HYPERLINK("https://stock.pstatic.net/stock-research/company/39/20250708_company_361533000.pdf","PDF")</f>
        <v>PDF</v>
      </c>
      <c r="K11161" s="12" t="s">
        <v>20787</v>
      </c>
      <c r="L11161" s="20">
        <v>0.23015873015873009</v>
      </c>
    </row>
    <row r="11162" spans="1:12" x14ac:dyDescent="0.45">
      <c r="A11162" s="12" t="s">
        <v>20706</v>
      </c>
      <c r="B11162" s="12" t="s">
        <v>2378</v>
      </c>
      <c r="C11162" s="13" t="s">
        <v>2379</v>
      </c>
      <c r="D11162" s="13" t="s">
        <v>53</v>
      </c>
      <c r="E11162" s="12" t="s">
        <v>16</v>
      </c>
      <c r="F11162" s="14">
        <v>420000</v>
      </c>
      <c r="G11162" s="13"/>
      <c r="H11162" s="13" t="s">
        <v>20788</v>
      </c>
      <c r="I11162" s="40" t="s">
        <v>18</v>
      </c>
      <c r="J11162" s="40" t="str">
        <f>HYPERLINK("https://stock.pstatic.net/stock-research/company/40/20250708_company_152386000.pdf","PDF")</f>
        <v>PDF</v>
      </c>
      <c r="K11162" s="12" t="s">
        <v>20789</v>
      </c>
    </row>
    <row r="11163" spans="1:12" x14ac:dyDescent="0.45">
      <c r="A11163" s="12" t="s">
        <v>20706</v>
      </c>
      <c r="B11163" s="12" t="s">
        <v>42</v>
      </c>
      <c r="C11163" s="13" t="s">
        <v>43</v>
      </c>
      <c r="D11163" s="13" t="s">
        <v>179</v>
      </c>
      <c r="E11163" s="12" t="s">
        <v>16</v>
      </c>
      <c r="F11163" s="14">
        <v>320000</v>
      </c>
      <c r="G11163" s="14">
        <v>256000</v>
      </c>
      <c r="H11163" s="13" t="s">
        <v>20790</v>
      </c>
      <c r="I11163" s="40" t="s">
        <v>18</v>
      </c>
      <c r="J11163" s="40" t="str">
        <f>HYPERLINK("https://stock.pstatic.net/stock-research/company/31/20250708_company_122562000.pdf","PDF")</f>
        <v>PDF</v>
      </c>
      <c r="K11163" s="12" t="s">
        <v>20791</v>
      </c>
      <c r="L11163" s="20">
        <v>0.25</v>
      </c>
    </row>
    <row r="11164" spans="1:12" x14ac:dyDescent="0.45">
      <c r="A11164" s="12" t="s">
        <v>20706</v>
      </c>
      <c r="B11164" s="12" t="s">
        <v>756</v>
      </c>
      <c r="C11164" s="13" t="s">
        <v>757</v>
      </c>
      <c r="D11164" s="13" t="s">
        <v>44</v>
      </c>
      <c r="E11164" s="12" t="s">
        <v>35</v>
      </c>
      <c r="F11164" s="14">
        <v>130000</v>
      </c>
      <c r="G11164" s="14">
        <v>95600</v>
      </c>
      <c r="H11164" s="13" t="s">
        <v>20792</v>
      </c>
      <c r="I11164" s="40" t="s">
        <v>18</v>
      </c>
      <c r="J11164" s="40" t="str">
        <f>HYPERLINK("https://stock.pstatic.net/stock-research/company/1/20250708_company_297527000.pdf","PDF")</f>
        <v>PDF</v>
      </c>
      <c r="K11164" s="12" t="s">
        <v>20793</v>
      </c>
      <c r="L11164" s="20">
        <v>0.35983263598326359</v>
      </c>
    </row>
    <row r="11165" spans="1:12" x14ac:dyDescent="0.45">
      <c r="A11165" s="12" t="s">
        <v>20706</v>
      </c>
      <c r="B11165" s="12" t="s">
        <v>177</v>
      </c>
      <c r="C11165" s="13" t="s">
        <v>178</v>
      </c>
      <c r="D11165" s="13" t="s">
        <v>23</v>
      </c>
      <c r="E11165" s="12" t="s">
        <v>16</v>
      </c>
      <c r="F11165" s="14">
        <v>14000</v>
      </c>
      <c r="G11165" s="14">
        <v>10500</v>
      </c>
      <c r="H11165" s="13" t="s">
        <v>15561</v>
      </c>
      <c r="I11165" s="40" t="s">
        <v>18</v>
      </c>
      <c r="J11165" s="40" t="str">
        <f>HYPERLINK("https://stock.pstatic.net/stock-research/company/21/20250708_company_216940000.pdf","PDF")</f>
        <v>PDF</v>
      </c>
      <c r="K11165" s="12" t="s">
        <v>20794</v>
      </c>
      <c r="L11165" s="20">
        <v>0.33333333333333331</v>
      </c>
    </row>
    <row r="11166" spans="1:12" x14ac:dyDescent="0.45">
      <c r="A11166" s="12" t="s">
        <v>20706</v>
      </c>
      <c r="B11166" s="12" t="s">
        <v>426</v>
      </c>
      <c r="C11166" s="13" t="s">
        <v>427</v>
      </c>
      <c r="D11166" s="13" t="s">
        <v>23</v>
      </c>
      <c r="E11166" s="12" t="s">
        <v>16</v>
      </c>
      <c r="F11166" s="14">
        <v>23000</v>
      </c>
      <c r="G11166" s="14">
        <v>16790</v>
      </c>
      <c r="H11166" s="13" t="s">
        <v>20795</v>
      </c>
      <c r="I11166" s="40" t="s">
        <v>18</v>
      </c>
      <c r="J11166" s="40" t="str">
        <f>HYPERLINK("https://stock.pstatic.net/stock-research/company/21/20250708_company_624302000.pdf","PDF")</f>
        <v>PDF</v>
      </c>
      <c r="K11166" s="12" t="s">
        <v>20796</v>
      </c>
      <c r="L11166" s="20">
        <v>0.36986301369863012</v>
      </c>
    </row>
    <row r="11167" spans="1:12" x14ac:dyDescent="0.45">
      <c r="A11167" s="12" t="s">
        <v>20706</v>
      </c>
      <c r="B11167" s="12" t="s">
        <v>13410</v>
      </c>
      <c r="C11167" s="13" t="s">
        <v>13411</v>
      </c>
      <c r="D11167" s="13" t="s">
        <v>179</v>
      </c>
      <c r="E11167" s="12" t="s">
        <v>16</v>
      </c>
      <c r="F11167" s="14">
        <v>230000</v>
      </c>
      <c r="G11167" s="14">
        <v>174600</v>
      </c>
      <c r="H11167" s="13" t="s">
        <v>20797</v>
      </c>
      <c r="I11167" s="40" t="s">
        <v>18</v>
      </c>
      <c r="J11167" s="40" t="str">
        <f>HYPERLINK("https://stock.pstatic.net/stock-research/company/64/20250708_company_685200000.pdf","PDF")</f>
        <v>PDF</v>
      </c>
      <c r="K11167" s="12" t="s">
        <v>20798</v>
      </c>
      <c r="L11167" s="20">
        <v>0.31729667812142037</v>
      </c>
    </row>
    <row r="11168" spans="1:12" x14ac:dyDescent="0.45">
      <c r="A11168" s="12" t="s">
        <v>20706</v>
      </c>
      <c r="B11168" s="12" t="s">
        <v>170</v>
      </c>
      <c r="C11168" s="13" t="s">
        <v>171</v>
      </c>
      <c r="D11168" s="13" t="s">
        <v>179</v>
      </c>
      <c r="E11168" s="12" t="s">
        <v>16</v>
      </c>
      <c r="F11168" s="14">
        <v>100000</v>
      </c>
      <c r="G11168" s="14">
        <v>82700</v>
      </c>
      <c r="H11168" s="13" t="s">
        <v>20799</v>
      </c>
      <c r="I11168" s="40" t="s">
        <v>18</v>
      </c>
      <c r="J11168" s="40" t="str">
        <f>HYPERLINK("https://stock.pstatic.net/stock-research/company/31/20250708_company_977284000.pdf","PDF")</f>
        <v>PDF</v>
      </c>
      <c r="K11168" s="12" t="s">
        <v>20800</v>
      </c>
      <c r="L11168" s="20">
        <v>0.20918984280532041</v>
      </c>
    </row>
    <row r="11169" spans="1:12" x14ac:dyDescent="0.45">
      <c r="A11169" s="12" t="s">
        <v>20706</v>
      </c>
      <c r="B11169" s="12" t="s">
        <v>2887</v>
      </c>
      <c r="C11169" s="13" t="s">
        <v>2888</v>
      </c>
      <c r="D11169" s="13" t="s">
        <v>23</v>
      </c>
      <c r="E11169" s="12" t="s">
        <v>16</v>
      </c>
      <c r="F11169" s="14">
        <v>320000</v>
      </c>
      <c r="G11169" s="14">
        <v>257500</v>
      </c>
      <c r="H11169" s="13" t="s">
        <v>20801</v>
      </c>
      <c r="I11169" s="40" t="s">
        <v>18</v>
      </c>
      <c r="J11169" s="40" t="str">
        <f>HYPERLINK("https://stock.pstatic.net/stock-research/company/21/20250708_company_408325000.pdf","PDF")</f>
        <v>PDF</v>
      </c>
      <c r="K11169" s="12" t="s">
        <v>20802</v>
      </c>
      <c r="L11169" s="20">
        <v>0.24271844660194181</v>
      </c>
    </row>
    <row r="11170" spans="1:12" x14ac:dyDescent="0.45">
      <c r="A11170" s="12" t="s">
        <v>20706</v>
      </c>
      <c r="B11170" s="12" t="s">
        <v>1308</v>
      </c>
      <c r="C11170" s="13" t="s">
        <v>1309</v>
      </c>
      <c r="D11170" s="13" t="s">
        <v>23</v>
      </c>
      <c r="E11170" s="12" t="s">
        <v>16</v>
      </c>
      <c r="F11170" s="14">
        <v>500000</v>
      </c>
      <c r="G11170" s="14">
        <v>405000</v>
      </c>
      <c r="H11170" s="13" t="s">
        <v>20803</v>
      </c>
      <c r="I11170" s="40" t="s">
        <v>18</v>
      </c>
      <c r="J11170" s="40" t="str">
        <f>HYPERLINK("https://stock.pstatic.net/stock-research/company/21/20250708_company_399170000.pdf","PDF")</f>
        <v>PDF</v>
      </c>
      <c r="K11170" s="12" t="s">
        <v>20804</v>
      </c>
      <c r="L11170" s="20">
        <v>0.23456790123456789</v>
      </c>
    </row>
    <row r="11171" spans="1:12" x14ac:dyDescent="0.45">
      <c r="A11171" s="12" t="s">
        <v>20706</v>
      </c>
      <c r="B11171" s="12" t="s">
        <v>3548</v>
      </c>
      <c r="C11171" s="13" t="s">
        <v>3549</v>
      </c>
      <c r="D11171" s="13" t="s">
        <v>23</v>
      </c>
      <c r="E11171" s="12" t="s">
        <v>16</v>
      </c>
      <c r="F11171" s="14">
        <v>59000</v>
      </c>
      <c r="G11171" s="14">
        <v>46800</v>
      </c>
      <c r="H11171" s="13" t="s">
        <v>20805</v>
      </c>
      <c r="I11171" s="40" t="s">
        <v>18</v>
      </c>
      <c r="J11171" s="40" t="str">
        <f>HYPERLINK("https://stock.pstatic.net/stock-research/company/21/20250708_company_265311000.pdf","PDF")</f>
        <v>PDF</v>
      </c>
      <c r="K11171" s="12" t="s">
        <v>20806</v>
      </c>
      <c r="L11171" s="20">
        <v>0.2606837606837607</v>
      </c>
    </row>
    <row r="11172" spans="1:12" x14ac:dyDescent="0.45">
      <c r="A11172" s="12" t="s">
        <v>20706</v>
      </c>
      <c r="B11172" s="12" t="s">
        <v>1930</v>
      </c>
      <c r="C11172" s="13" t="s">
        <v>1931</v>
      </c>
      <c r="D11172" s="13" t="s">
        <v>23</v>
      </c>
      <c r="E11172" s="12" t="s">
        <v>16</v>
      </c>
      <c r="F11172" s="14">
        <v>340000</v>
      </c>
      <c r="G11172" s="14">
        <v>260500</v>
      </c>
      <c r="H11172" s="13" t="s">
        <v>20807</v>
      </c>
      <c r="I11172" s="40" t="s">
        <v>18</v>
      </c>
      <c r="J11172" s="40" t="str">
        <f>HYPERLINK("https://stock.pstatic.net/stock-research/company/21/20250708_company_632776000.pdf","PDF")</f>
        <v>PDF</v>
      </c>
      <c r="K11172" s="12" t="s">
        <v>20808</v>
      </c>
      <c r="L11172" s="20">
        <v>0.30518234165067182</v>
      </c>
    </row>
    <row r="11173" spans="1:12" x14ac:dyDescent="0.45">
      <c r="A11173" s="12" t="s">
        <v>20706</v>
      </c>
      <c r="B11173" s="12" t="s">
        <v>2378</v>
      </c>
      <c r="C11173" s="13" t="s">
        <v>2379</v>
      </c>
      <c r="D11173" s="13" t="s">
        <v>92</v>
      </c>
      <c r="E11173" s="12" t="s">
        <v>35</v>
      </c>
      <c r="F11173" s="14">
        <v>430000</v>
      </c>
      <c r="G11173" s="14">
        <v>315000</v>
      </c>
      <c r="H11173" s="13" t="s">
        <v>20809</v>
      </c>
      <c r="I11173" s="40" t="s">
        <v>18</v>
      </c>
      <c r="J11173" s="40" t="str">
        <f>HYPERLINK("https://stock.pstatic.net/stock-research/company/63/20250708_company_749915000.pdf","PDF")</f>
        <v>PDF</v>
      </c>
      <c r="K11173" s="12" t="s">
        <v>20810</v>
      </c>
      <c r="L11173" s="20">
        <v>0.36507936507936511</v>
      </c>
    </row>
    <row r="11174" spans="1:12" x14ac:dyDescent="0.45">
      <c r="A11174" s="12" t="s">
        <v>20706</v>
      </c>
      <c r="B11174" s="12" t="s">
        <v>728</v>
      </c>
      <c r="C11174" s="13" t="s">
        <v>729</v>
      </c>
      <c r="D11174" s="13" t="s">
        <v>44</v>
      </c>
      <c r="E11174" s="12" t="s">
        <v>45</v>
      </c>
      <c r="F11174" s="14">
        <v>100000</v>
      </c>
      <c r="G11174" s="14">
        <v>85900</v>
      </c>
      <c r="H11174" s="13" t="s">
        <v>20811</v>
      </c>
      <c r="I11174" s="40" t="s">
        <v>18</v>
      </c>
      <c r="J11174" s="40" t="str">
        <f>HYPERLINK("https://stock.pstatic.net/stock-research/company/39/20250708_company_237727000.pdf","PDF")</f>
        <v>PDF</v>
      </c>
      <c r="K11174" s="12" t="s">
        <v>20812</v>
      </c>
      <c r="L11174" s="20">
        <v>0.1641443538998836</v>
      </c>
    </row>
    <row r="11175" spans="1:12" x14ac:dyDescent="0.45">
      <c r="A11175" s="12" t="s">
        <v>20706</v>
      </c>
      <c r="B11175" s="12" t="s">
        <v>1781</v>
      </c>
      <c r="C11175" s="13" t="s">
        <v>1782</v>
      </c>
      <c r="D11175" s="13" t="s">
        <v>44</v>
      </c>
      <c r="E11175" s="12" t="s">
        <v>35</v>
      </c>
      <c r="F11175" s="14">
        <v>100000</v>
      </c>
      <c r="G11175" s="14">
        <v>74100</v>
      </c>
      <c r="H11175" s="13" t="s">
        <v>20813</v>
      </c>
      <c r="I11175" s="40" t="s">
        <v>18</v>
      </c>
      <c r="J11175" s="40" t="str">
        <f>HYPERLINK("https://stock.pstatic.net/stock-research/company/39/20250708_company_60675000.pdf","PDF")</f>
        <v>PDF</v>
      </c>
      <c r="K11175" s="12" t="s">
        <v>20814</v>
      </c>
      <c r="L11175" s="20">
        <v>0.34952766531713902</v>
      </c>
    </row>
    <row r="11176" spans="1:12" x14ac:dyDescent="0.45">
      <c r="A11176" s="12" t="s">
        <v>20706</v>
      </c>
      <c r="B11176" s="12" t="s">
        <v>2378</v>
      </c>
      <c r="C11176" s="13" t="s">
        <v>2379</v>
      </c>
      <c r="D11176" s="13" t="s">
        <v>44</v>
      </c>
      <c r="E11176" s="12" t="s">
        <v>50</v>
      </c>
      <c r="F11176" s="13"/>
      <c r="G11176" s="13"/>
      <c r="H11176" s="13" t="s">
        <v>20815</v>
      </c>
      <c r="I11176" s="40" t="s">
        <v>18</v>
      </c>
      <c r="J11176" s="40" t="str">
        <f>HYPERLINK("https://stock.pstatic.net/stock-research/company/1/20250708_company_805769000.pdf","PDF")</f>
        <v>PDF</v>
      </c>
      <c r="K11176" s="12" t="s">
        <v>20816</v>
      </c>
    </row>
    <row r="11177" spans="1:12" x14ac:dyDescent="0.45">
      <c r="A11177" s="12" t="s">
        <v>20706</v>
      </c>
      <c r="B11177" s="12" t="s">
        <v>1765</v>
      </c>
      <c r="C11177" s="13" t="s">
        <v>1766</v>
      </c>
      <c r="D11177" s="13" t="s">
        <v>44</v>
      </c>
      <c r="E11177" s="12" t="s">
        <v>45</v>
      </c>
      <c r="F11177" s="14">
        <v>110000</v>
      </c>
      <c r="G11177" s="14">
        <v>98600</v>
      </c>
      <c r="H11177" s="13" t="s">
        <v>20817</v>
      </c>
      <c r="I11177" s="40" t="s">
        <v>18</v>
      </c>
      <c r="J11177" s="40" t="str">
        <f>HYPERLINK("https://stock.pstatic.net/stock-research/company/39/20250708_company_847181000.pdf","PDF")</f>
        <v>PDF</v>
      </c>
      <c r="K11177" s="12" t="s">
        <v>20818</v>
      </c>
      <c r="L11177" s="20">
        <v>0.1156186612576065</v>
      </c>
    </row>
    <row r="11178" spans="1:12" x14ac:dyDescent="0.45">
      <c r="A11178" s="12" t="s">
        <v>20706</v>
      </c>
      <c r="B11178" s="12" t="s">
        <v>3399</v>
      </c>
      <c r="C11178" s="13" t="s">
        <v>3400</v>
      </c>
      <c r="D11178" s="13" t="s">
        <v>124</v>
      </c>
      <c r="E11178" s="12" t="s">
        <v>50</v>
      </c>
      <c r="F11178" s="13"/>
      <c r="G11178" s="13"/>
      <c r="H11178" s="13" t="s">
        <v>20819</v>
      </c>
      <c r="I11178" s="40" t="s">
        <v>18</v>
      </c>
      <c r="J11178" s="40" t="str">
        <f>HYPERLINK("https://stock.pstatic.net/stock-research/company/1/20250708_company_354602000.pdf","PDF")</f>
        <v>PDF</v>
      </c>
      <c r="K11178" s="12" t="s">
        <v>20820</v>
      </c>
    </row>
    <row r="11179" spans="1:12" x14ac:dyDescent="0.45">
      <c r="A11179" s="12" t="s">
        <v>20706</v>
      </c>
      <c r="B11179" s="12" t="s">
        <v>4896</v>
      </c>
      <c r="C11179" s="13" t="s">
        <v>4897</v>
      </c>
      <c r="D11179" s="13" t="s">
        <v>124</v>
      </c>
      <c r="E11179" s="12" t="s">
        <v>50</v>
      </c>
      <c r="F11179" s="13"/>
      <c r="G11179" s="13"/>
      <c r="H11179" s="13" t="s">
        <v>20821</v>
      </c>
      <c r="I11179" s="40" t="s">
        <v>18</v>
      </c>
      <c r="J11179" s="40" t="str">
        <f>HYPERLINK("https://stock.pstatic.net/stock-research/company/74/20250708_company_467647000.pdf","PDF")</f>
        <v>PDF</v>
      </c>
      <c r="K11179" s="12" t="s">
        <v>20822</v>
      </c>
    </row>
    <row r="11180" spans="1:12" x14ac:dyDescent="0.45">
      <c r="A11180" s="12" t="s">
        <v>20823</v>
      </c>
      <c r="B11180" s="12" t="s">
        <v>495</v>
      </c>
      <c r="C11180" s="13" t="s">
        <v>496</v>
      </c>
      <c r="D11180" s="13" t="s">
        <v>60</v>
      </c>
      <c r="E11180" s="12" t="s">
        <v>35</v>
      </c>
      <c r="F11180" s="14">
        <v>195000</v>
      </c>
      <c r="G11180" s="14">
        <v>137800</v>
      </c>
      <c r="H11180" s="13" t="s">
        <v>20824</v>
      </c>
      <c r="I11180" s="40" t="s">
        <v>18</v>
      </c>
      <c r="J11180" s="40" t="str">
        <f>HYPERLINK("https://stock.pstatic.net/stock-research/company/62/20250707_company_422930000.pdf","PDF")</f>
        <v>PDF</v>
      </c>
      <c r="K11180" s="12" t="s">
        <v>20825</v>
      </c>
      <c r="L11180" s="20">
        <v>0.41509433962264147</v>
      </c>
    </row>
    <row r="11181" spans="1:12" x14ac:dyDescent="0.45">
      <c r="A11181" s="12" t="s">
        <v>20823</v>
      </c>
      <c r="B11181" s="12" t="s">
        <v>1930</v>
      </c>
      <c r="C11181" s="13" t="s">
        <v>1931</v>
      </c>
      <c r="D11181" s="13" t="s">
        <v>60</v>
      </c>
      <c r="E11181" s="12" t="s">
        <v>35</v>
      </c>
      <c r="F11181" s="14">
        <v>410000</v>
      </c>
      <c r="G11181" s="14">
        <v>261500</v>
      </c>
      <c r="H11181" s="13" t="s">
        <v>20826</v>
      </c>
      <c r="I11181" s="40" t="s">
        <v>18</v>
      </c>
      <c r="J11181" s="40" t="str">
        <f>HYPERLINK("https://stock.pstatic.net/stock-research/company/34/20250707_company_826227000.pdf","PDF")</f>
        <v>PDF</v>
      </c>
      <c r="K11181" s="12" t="s">
        <v>20827</v>
      </c>
      <c r="L11181" s="20">
        <v>0.56787762906309747</v>
      </c>
    </row>
    <row r="11182" spans="1:12" x14ac:dyDescent="0.45">
      <c r="A11182" s="12" t="s">
        <v>20823</v>
      </c>
      <c r="B11182" s="12" t="s">
        <v>756</v>
      </c>
      <c r="C11182" s="13" t="s">
        <v>757</v>
      </c>
      <c r="D11182" s="13" t="s">
        <v>60</v>
      </c>
      <c r="E11182" s="12" t="s">
        <v>35</v>
      </c>
      <c r="F11182" s="14">
        <v>125000</v>
      </c>
      <c r="G11182" s="14">
        <v>95600</v>
      </c>
      <c r="H11182" s="13" t="s">
        <v>20828</v>
      </c>
      <c r="I11182" s="40" t="s">
        <v>18</v>
      </c>
      <c r="J11182" s="40" t="str">
        <f>HYPERLINK("https://stock.pstatic.net/stock-research/company/62/20250707_company_858451000.pdf","PDF")</f>
        <v>PDF</v>
      </c>
      <c r="K11182" s="12" t="s">
        <v>20829</v>
      </c>
      <c r="L11182" s="20">
        <v>0.30753138075313807</v>
      </c>
    </row>
    <row r="11183" spans="1:12" x14ac:dyDescent="0.45">
      <c r="A11183" s="12" t="s">
        <v>20823</v>
      </c>
      <c r="B11183" s="12" t="s">
        <v>12635</v>
      </c>
      <c r="C11183" s="13" t="s">
        <v>12636</v>
      </c>
      <c r="D11183" s="13" t="s">
        <v>60</v>
      </c>
      <c r="E11183" s="12" t="s">
        <v>35</v>
      </c>
      <c r="F11183" s="14">
        <v>190000</v>
      </c>
      <c r="G11183" s="14">
        <v>166200</v>
      </c>
      <c r="H11183" s="13" t="s">
        <v>20830</v>
      </c>
      <c r="I11183" s="40" t="s">
        <v>18</v>
      </c>
      <c r="J11183" s="40" t="str">
        <f>HYPERLINK("https://stock.pstatic.net/stock-research/company/34/20250707_company_711180000.pdf","PDF")</f>
        <v>PDF</v>
      </c>
      <c r="K11183" s="12" t="s">
        <v>20831</v>
      </c>
      <c r="L11183" s="20">
        <v>0.1432009626955475</v>
      </c>
    </row>
    <row r="11184" spans="1:12" x14ac:dyDescent="0.45">
      <c r="A11184" s="12" t="s">
        <v>20823</v>
      </c>
      <c r="B11184" s="12" t="s">
        <v>42</v>
      </c>
      <c r="C11184" s="13" t="s">
        <v>43</v>
      </c>
      <c r="D11184" s="13" t="s">
        <v>60</v>
      </c>
      <c r="E11184" s="12" t="s">
        <v>35</v>
      </c>
      <c r="F11184" s="14">
        <v>330000</v>
      </c>
      <c r="G11184" s="14">
        <v>249000</v>
      </c>
      <c r="H11184" s="13" t="s">
        <v>20832</v>
      </c>
      <c r="I11184" s="40" t="s">
        <v>18</v>
      </c>
      <c r="J11184" s="40" t="str">
        <f>HYPERLINK("https://stock.pstatic.net/stock-research/company/34/20250707_company_637080000.pdf","PDF")</f>
        <v>PDF</v>
      </c>
      <c r="K11184" s="12" t="s">
        <v>20833</v>
      </c>
      <c r="L11184" s="20">
        <v>0.3253012048192771</v>
      </c>
    </row>
    <row r="11185" spans="1:12" x14ac:dyDescent="0.45">
      <c r="A11185" s="12" t="s">
        <v>20823</v>
      </c>
      <c r="B11185" s="12" t="s">
        <v>2435</v>
      </c>
      <c r="C11185" s="13" t="s">
        <v>2436</v>
      </c>
      <c r="D11185" s="13" t="s">
        <v>60</v>
      </c>
      <c r="E11185" s="12" t="s">
        <v>35</v>
      </c>
      <c r="F11185" s="14">
        <v>570000</v>
      </c>
      <c r="G11185" s="14">
        <v>372000</v>
      </c>
      <c r="H11185" s="13" t="s">
        <v>20834</v>
      </c>
      <c r="I11185" s="40" t="s">
        <v>18</v>
      </c>
      <c r="J11185" s="40" t="str">
        <f>HYPERLINK("https://stock.pstatic.net/stock-research/company/62/20250707_company_522353000.pdf","PDF")</f>
        <v>PDF</v>
      </c>
      <c r="K11185" s="12" t="s">
        <v>20835</v>
      </c>
      <c r="L11185" s="20">
        <v>0.532258064516129</v>
      </c>
    </row>
    <row r="11186" spans="1:12" x14ac:dyDescent="0.45">
      <c r="A11186" s="12" t="s">
        <v>20823</v>
      </c>
      <c r="B11186" s="12" t="s">
        <v>732</v>
      </c>
      <c r="C11186" s="13" t="s">
        <v>733</v>
      </c>
      <c r="D11186" s="13" t="s">
        <v>65</v>
      </c>
      <c r="E11186" s="12" t="s">
        <v>35</v>
      </c>
      <c r="F11186" s="14">
        <v>130000</v>
      </c>
      <c r="G11186" s="14">
        <v>91400</v>
      </c>
      <c r="H11186" s="13" t="s">
        <v>20836</v>
      </c>
      <c r="I11186" s="40" t="s">
        <v>18</v>
      </c>
      <c r="J11186" s="40" t="str">
        <f>HYPERLINK("https://stock.pstatic.net/stock-research/company/57/20250707_company_227056000.pdf","PDF")</f>
        <v>PDF</v>
      </c>
      <c r="K11186" s="12" t="s">
        <v>20837</v>
      </c>
      <c r="L11186" s="20">
        <v>0.42231947483588622</v>
      </c>
    </row>
    <row r="11187" spans="1:12" x14ac:dyDescent="0.45">
      <c r="A11187" s="12" t="s">
        <v>20823</v>
      </c>
      <c r="B11187" s="12" t="s">
        <v>32</v>
      </c>
      <c r="C11187" s="13" t="s">
        <v>33</v>
      </c>
      <c r="D11187" s="13" t="s">
        <v>65</v>
      </c>
      <c r="E11187" s="12" t="s">
        <v>35</v>
      </c>
      <c r="F11187" s="14">
        <v>174000</v>
      </c>
      <c r="G11187" s="14">
        <v>138600</v>
      </c>
      <c r="H11187" s="13" t="s">
        <v>20838</v>
      </c>
      <c r="I11187" s="40" t="s">
        <v>18</v>
      </c>
      <c r="J11187" s="40" t="str">
        <f>HYPERLINK("https://stock.pstatic.net/stock-research/company/57/20250707_company_368329000.pdf","PDF")</f>
        <v>PDF</v>
      </c>
      <c r="K11187" s="12" t="s">
        <v>20839</v>
      </c>
      <c r="L11187" s="20">
        <v>0.25541125541125542</v>
      </c>
    </row>
    <row r="11188" spans="1:12" x14ac:dyDescent="0.45">
      <c r="A11188" s="12" t="s">
        <v>20823</v>
      </c>
      <c r="B11188" s="12" t="s">
        <v>12184</v>
      </c>
      <c r="C11188" s="13" t="s">
        <v>12185</v>
      </c>
      <c r="D11188" s="13" t="s">
        <v>65</v>
      </c>
      <c r="E11188" s="12" t="s">
        <v>50</v>
      </c>
      <c r="F11188" s="13"/>
      <c r="G11188" s="14">
        <v>9780</v>
      </c>
      <c r="H11188" s="13" t="s">
        <v>20840</v>
      </c>
      <c r="I11188" s="40" t="s">
        <v>18</v>
      </c>
      <c r="J11188" s="40" t="str">
        <f>HYPERLINK("https://stock.pstatic.net/stock-research/company/57/20250707_company_303894000.pdf","PDF")</f>
        <v>PDF</v>
      </c>
      <c r="K11188" s="12" t="s">
        <v>20841</v>
      </c>
    </row>
    <row r="11189" spans="1:12" x14ac:dyDescent="0.45">
      <c r="A11189" s="12" t="s">
        <v>20823</v>
      </c>
      <c r="B11189" s="12" t="s">
        <v>2105</v>
      </c>
      <c r="C11189" s="13" t="s">
        <v>2106</v>
      </c>
      <c r="D11189" s="13" t="s">
        <v>65</v>
      </c>
      <c r="E11189" s="12" t="s">
        <v>35</v>
      </c>
      <c r="F11189" s="14">
        <v>77000</v>
      </c>
      <c r="G11189" s="14">
        <v>44650</v>
      </c>
      <c r="H11189" s="13" t="s">
        <v>20842</v>
      </c>
      <c r="I11189" s="40" t="s">
        <v>18</v>
      </c>
      <c r="J11189" s="40" t="str">
        <f>HYPERLINK("https://stock.pstatic.net/stock-research/company/57/20250707_company_953792000.pdf","PDF")</f>
        <v>PDF</v>
      </c>
      <c r="K11189" s="12" t="s">
        <v>20843</v>
      </c>
      <c r="L11189" s="20">
        <v>0.72452407614781633</v>
      </c>
    </row>
    <row r="11190" spans="1:12" x14ac:dyDescent="0.45">
      <c r="A11190" s="12" t="s">
        <v>20823</v>
      </c>
      <c r="B11190" s="12" t="s">
        <v>150</v>
      </c>
      <c r="C11190" s="13" t="s">
        <v>151</v>
      </c>
      <c r="D11190" s="13" t="s">
        <v>65</v>
      </c>
      <c r="E11190" s="12" t="s">
        <v>35</v>
      </c>
      <c r="F11190" s="14">
        <v>35000</v>
      </c>
      <c r="G11190" s="14">
        <v>22750</v>
      </c>
      <c r="H11190" s="13" t="s">
        <v>20844</v>
      </c>
      <c r="I11190" s="40" t="s">
        <v>18</v>
      </c>
      <c r="J11190" s="40" t="str">
        <f>HYPERLINK("https://stock.pstatic.net/stock-research/company/57/20250707_company_163154000.pdf","PDF")</f>
        <v>PDF</v>
      </c>
      <c r="K11190" s="12" t="s">
        <v>20845</v>
      </c>
      <c r="L11190" s="20">
        <v>0.53846153846153844</v>
      </c>
    </row>
    <row r="11191" spans="1:12" x14ac:dyDescent="0.45">
      <c r="A11191" s="12" t="s">
        <v>20823</v>
      </c>
      <c r="B11191" s="12" t="s">
        <v>577</v>
      </c>
      <c r="C11191" s="13" t="s">
        <v>578</v>
      </c>
      <c r="D11191" s="13" t="s">
        <v>57</v>
      </c>
      <c r="E11191" s="12" t="s">
        <v>35</v>
      </c>
      <c r="F11191" s="14">
        <v>360000</v>
      </c>
      <c r="G11191" s="14">
        <v>295500</v>
      </c>
      <c r="H11191" s="13" t="s">
        <v>20846</v>
      </c>
      <c r="I11191" s="40" t="s">
        <v>18</v>
      </c>
      <c r="J11191" s="40" t="str">
        <f>HYPERLINK("https://stock.pstatic.net/stock-research/company/16/20250707_company_776001000.pdf","PDF")</f>
        <v>PDF</v>
      </c>
      <c r="K11191" s="12" t="s">
        <v>20847</v>
      </c>
      <c r="L11191" s="20">
        <v>0.21827411167512689</v>
      </c>
    </row>
    <row r="11192" spans="1:12" x14ac:dyDescent="0.45">
      <c r="A11192" s="12" t="s">
        <v>20823</v>
      </c>
      <c r="B11192" s="12" t="s">
        <v>2982</v>
      </c>
      <c r="C11192" s="13" t="s">
        <v>2983</v>
      </c>
      <c r="D11192" s="13" t="s">
        <v>57</v>
      </c>
      <c r="E11192" s="12" t="s">
        <v>35</v>
      </c>
      <c r="F11192" s="14">
        <v>62000</v>
      </c>
      <c r="G11192" s="14">
        <v>51300</v>
      </c>
      <c r="H11192" s="13" t="s">
        <v>20848</v>
      </c>
      <c r="I11192" s="40" t="s">
        <v>18</v>
      </c>
      <c r="J11192" s="40" t="str">
        <f>HYPERLINK("https://stock.pstatic.net/stock-research/company/16/20250707_company_162510000.pdf","PDF")</f>
        <v>PDF</v>
      </c>
      <c r="K11192" s="12" t="s">
        <v>20849</v>
      </c>
      <c r="L11192" s="20">
        <v>0.20857699805068219</v>
      </c>
    </row>
    <row r="11193" spans="1:12" x14ac:dyDescent="0.45">
      <c r="A11193" s="12" t="s">
        <v>20823</v>
      </c>
      <c r="B11193" s="12" t="s">
        <v>4253</v>
      </c>
      <c r="C11193" s="13" t="s">
        <v>4254</v>
      </c>
      <c r="D11193" s="13" t="s">
        <v>158</v>
      </c>
      <c r="E11193" s="12" t="s">
        <v>35</v>
      </c>
      <c r="F11193" s="14">
        <v>240000</v>
      </c>
      <c r="G11193" s="14">
        <v>117800</v>
      </c>
      <c r="H11193" s="13" t="s">
        <v>20850</v>
      </c>
      <c r="I11193" s="40" t="s">
        <v>18</v>
      </c>
      <c r="J11193" s="40" t="str">
        <f>HYPERLINK("https://stock.pstatic.net/stock-research/company/18/20250707_company_18730000.pdf","PDF")</f>
        <v>PDF</v>
      </c>
      <c r="K11193" s="12" t="s">
        <v>20851</v>
      </c>
      <c r="L11193" s="20">
        <v>1.037351443123939</v>
      </c>
    </row>
    <row r="11194" spans="1:12" x14ac:dyDescent="0.45">
      <c r="A11194" s="12" t="s">
        <v>20823</v>
      </c>
      <c r="B11194" s="12" t="s">
        <v>2308</v>
      </c>
      <c r="C11194" s="13" t="s">
        <v>2309</v>
      </c>
      <c r="D11194" s="13" t="s">
        <v>158</v>
      </c>
      <c r="E11194" s="12" t="s">
        <v>50</v>
      </c>
      <c r="F11194" s="13"/>
      <c r="G11194" s="14">
        <v>14260</v>
      </c>
      <c r="H11194" s="13" t="s">
        <v>20852</v>
      </c>
      <c r="I11194" s="40" t="s">
        <v>18</v>
      </c>
      <c r="J11194" s="40" t="str">
        <f>HYPERLINK("https://stock.pstatic.net/stock-research/company/18/20250707_company_881030000.pdf","PDF")</f>
        <v>PDF</v>
      </c>
      <c r="K11194" s="12" t="s">
        <v>20853</v>
      </c>
    </row>
    <row r="11195" spans="1:12" x14ac:dyDescent="0.45">
      <c r="A11195" s="12" t="s">
        <v>20823</v>
      </c>
      <c r="B11195" s="12" t="s">
        <v>3704</v>
      </c>
      <c r="C11195" s="13" t="s">
        <v>3705</v>
      </c>
      <c r="D11195" s="13" t="s">
        <v>158</v>
      </c>
      <c r="E11195" s="12" t="s">
        <v>50</v>
      </c>
      <c r="F11195" s="13"/>
      <c r="G11195" s="14">
        <v>22600</v>
      </c>
      <c r="H11195" s="13" t="s">
        <v>20854</v>
      </c>
      <c r="I11195" s="40" t="s">
        <v>18</v>
      </c>
      <c r="J11195" s="40" t="str">
        <f>HYPERLINK("https://stock.pstatic.net/stock-research/company/1/20250707_company_371105000.pdf","PDF")</f>
        <v>PDF</v>
      </c>
      <c r="K11195" s="12" t="s">
        <v>20855</v>
      </c>
    </row>
    <row r="11196" spans="1:12" x14ac:dyDescent="0.45">
      <c r="A11196" s="12" t="s">
        <v>20823</v>
      </c>
      <c r="B11196" s="12" t="s">
        <v>434</v>
      </c>
      <c r="C11196" s="13" t="s">
        <v>435</v>
      </c>
      <c r="D11196" s="13" t="s">
        <v>83</v>
      </c>
      <c r="E11196" s="12" t="s">
        <v>35</v>
      </c>
      <c r="F11196" s="14">
        <v>160000</v>
      </c>
      <c r="G11196" s="14">
        <v>137500</v>
      </c>
      <c r="H11196" s="13" t="s">
        <v>20856</v>
      </c>
      <c r="I11196" s="40" t="s">
        <v>18</v>
      </c>
      <c r="J11196" s="40" t="str">
        <f>HYPERLINK("https://stock.pstatic.net/stock-research/company/2/20250707_company_180223000.pdf","PDF")</f>
        <v>PDF</v>
      </c>
      <c r="K11196" s="12" t="s">
        <v>20857</v>
      </c>
      <c r="L11196" s="20">
        <v>0.16363636363636361</v>
      </c>
    </row>
    <row r="11197" spans="1:12" x14ac:dyDescent="0.45">
      <c r="A11197" s="12" t="s">
        <v>20823</v>
      </c>
      <c r="B11197" s="12" t="s">
        <v>3584</v>
      </c>
      <c r="C11197" s="13" t="s">
        <v>3585</v>
      </c>
      <c r="D11197" s="13" t="s">
        <v>83</v>
      </c>
      <c r="E11197" s="12" t="s">
        <v>35</v>
      </c>
      <c r="F11197" s="14">
        <v>27000</v>
      </c>
      <c r="G11197" s="14">
        <v>20500</v>
      </c>
      <c r="H11197" s="13" t="s">
        <v>20858</v>
      </c>
      <c r="I11197" s="40" t="s">
        <v>18</v>
      </c>
      <c r="J11197" s="40" t="str">
        <f>HYPERLINK("https://stock.pstatic.net/stock-research/company/2/20250707_company_176765000.pdf","PDF")</f>
        <v>PDF</v>
      </c>
      <c r="K11197" s="12" t="s">
        <v>20859</v>
      </c>
      <c r="L11197" s="20">
        <v>0.31707317073170732</v>
      </c>
    </row>
    <row r="11198" spans="1:12" x14ac:dyDescent="0.45">
      <c r="A11198" s="12" t="s">
        <v>20823</v>
      </c>
      <c r="B11198" s="12" t="s">
        <v>541</v>
      </c>
      <c r="C11198" s="13" t="s">
        <v>542</v>
      </c>
      <c r="D11198" s="13" t="s">
        <v>83</v>
      </c>
      <c r="E11198" s="12" t="s">
        <v>642</v>
      </c>
      <c r="F11198" s="14">
        <v>56000</v>
      </c>
      <c r="G11198" s="14">
        <v>54400</v>
      </c>
      <c r="H11198" s="13" t="s">
        <v>20860</v>
      </c>
      <c r="I11198" s="40" t="s">
        <v>18</v>
      </c>
      <c r="J11198" s="40" t="str">
        <f>HYPERLINK("https://stock.pstatic.net/stock-research/company/2/20250707_company_399754000.pdf","PDF")</f>
        <v>PDF</v>
      </c>
      <c r="K11198" s="12" t="s">
        <v>20861</v>
      </c>
      <c r="L11198" s="20">
        <v>2.9411764705882349E-2</v>
      </c>
    </row>
    <row r="11199" spans="1:12" x14ac:dyDescent="0.45">
      <c r="A11199" s="12" t="s">
        <v>20823</v>
      </c>
      <c r="B11199" s="12" t="s">
        <v>1140</v>
      </c>
      <c r="C11199" s="13" t="s">
        <v>1141</v>
      </c>
      <c r="D11199" s="13" t="s">
        <v>83</v>
      </c>
      <c r="E11199" s="12" t="s">
        <v>35</v>
      </c>
      <c r="F11199" s="14">
        <v>49000</v>
      </c>
      <c r="G11199" s="14">
        <v>36900</v>
      </c>
      <c r="H11199" s="13" t="s">
        <v>20862</v>
      </c>
      <c r="I11199" s="40" t="s">
        <v>18</v>
      </c>
      <c r="J11199" s="40" t="str">
        <f>HYPERLINK("https://stock.pstatic.net/stock-research/company/2/20250707_company_774689000.pdf","PDF")</f>
        <v>PDF</v>
      </c>
      <c r="K11199" s="12" t="s">
        <v>20863</v>
      </c>
      <c r="L11199" s="20">
        <v>0.32791327913279128</v>
      </c>
    </row>
    <row r="11200" spans="1:12" x14ac:dyDescent="0.45">
      <c r="A11200" s="12" t="s">
        <v>20823</v>
      </c>
      <c r="B11200" s="12" t="s">
        <v>1734</v>
      </c>
      <c r="C11200" s="13" t="s">
        <v>1735</v>
      </c>
      <c r="D11200" s="13" t="s">
        <v>83</v>
      </c>
      <c r="E11200" s="12" t="s">
        <v>35</v>
      </c>
      <c r="F11200" s="14">
        <v>60000</v>
      </c>
      <c r="G11200" s="14">
        <v>47350</v>
      </c>
      <c r="H11200" s="13" t="s">
        <v>20864</v>
      </c>
      <c r="I11200" s="40" t="s">
        <v>18</v>
      </c>
      <c r="J11200" s="40" t="str">
        <f>HYPERLINK("https://stock.pstatic.net/stock-research/company/2/20250707_company_465438000.pdf","PDF")</f>
        <v>PDF</v>
      </c>
      <c r="K11200" s="12" t="s">
        <v>20865</v>
      </c>
      <c r="L11200" s="20">
        <v>0.26715945089757132</v>
      </c>
    </row>
    <row r="11201" spans="1:12" x14ac:dyDescent="0.45">
      <c r="A11201" s="12" t="s">
        <v>20823</v>
      </c>
      <c r="B11201" s="12" t="s">
        <v>32</v>
      </c>
      <c r="C11201" s="13" t="s">
        <v>33</v>
      </c>
      <c r="D11201" s="13" t="s">
        <v>15</v>
      </c>
      <c r="E11201" s="12" t="s">
        <v>16</v>
      </c>
      <c r="F11201" s="14">
        <v>180000</v>
      </c>
      <c r="G11201" s="14">
        <v>138600</v>
      </c>
      <c r="H11201" s="13" t="s">
        <v>20866</v>
      </c>
      <c r="I11201" s="40" t="s">
        <v>18</v>
      </c>
      <c r="J11201" s="40" t="str">
        <f>HYPERLINK("https://stock.pstatic.net/stock-research/company/1/20250707_company_814974000.pdf","PDF")</f>
        <v>PDF</v>
      </c>
      <c r="K11201" s="12" t="s">
        <v>20867</v>
      </c>
      <c r="L11201" s="20">
        <v>0.29870129870129869</v>
      </c>
    </row>
    <row r="11202" spans="1:12" x14ac:dyDescent="0.45">
      <c r="A11202" s="12" t="s">
        <v>20823</v>
      </c>
      <c r="B11202" s="12" t="s">
        <v>541</v>
      </c>
      <c r="C11202" s="13" t="s">
        <v>542</v>
      </c>
      <c r="D11202" s="13" t="s">
        <v>23</v>
      </c>
      <c r="E11202" s="12" t="s">
        <v>50</v>
      </c>
      <c r="F11202" s="14">
        <v>57000</v>
      </c>
      <c r="G11202" s="14">
        <v>54400</v>
      </c>
      <c r="H11202" s="13" t="s">
        <v>20868</v>
      </c>
      <c r="I11202" s="40" t="s">
        <v>18</v>
      </c>
      <c r="J11202" s="40" t="str">
        <f>HYPERLINK("https://stock.pstatic.net/stock-research/company/21/20250707_company_952314000.pdf","PDF")</f>
        <v>PDF</v>
      </c>
      <c r="K11202" s="12" t="s">
        <v>20869</v>
      </c>
      <c r="L11202" s="20">
        <v>4.779411764705882E-2</v>
      </c>
    </row>
    <row r="11203" spans="1:12" x14ac:dyDescent="0.45">
      <c r="A11203" s="12" t="s">
        <v>20823</v>
      </c>
      <c r="B11203" s="12" t="s">
        <v>1278</v>
      </c>
      <c r="C11203" s="13" t="s">
        <v>1279</v>
      </c>
      <c r="D11203" s="13" t="s">
        <v>15</v>
      </c>
      <c r="E11203" s="12" t="s">
        <v>385</v>
      </c>
      <c r="F11203" s="14">
        <v>145000</v>
      </c>
      <c r="G11203" s="14">
        <v>132900</v>
      </c>
      <c r="H11203" s="13" t="s">
        <v>20870</v>
      </c>
      <c r="I11203" s="40" t="s">
        <v>18</v>
      </c>
      <c r="J11203" s="40" t="str">
        <f>HYPERLINK("https://stock.pstatic.net/stock-research/company/29/20250707_company_463346000.pdf","PDF")</f>
        <v>PDF</v>
      </c>
      <c r="K11203" s="12" t="s">
        <v>20871</v>
      </c>
      <c r="L11203" s="20">
        <v>9.1045899172310013E-2</v>
      </c>
    </row>
    <row r="11204" spans="1:12" x14ac:dyDescent="0.45">
      <c r="A11204" s="12" t="s">
        <v>20823</v>
      </c>
      <c r="B11204" s="12" t="s">
        <v>81</v>
      </c>
      <c r="C11204" s="13" t="s">
        <v>82</v>
      </c>
      <c r="D11204" s="13" t="s">
        <v>15</v>
      </c>
      <c r="E11204" s="12" t="s">
        <v>16</v>
      </c>
      <c r="F11204" s="14">
        <v>24000</v>
      </c>
      <c r="G11204" s="14">
        <v>19900</v>
      </c>
      <c r="H11204" s="13" t="s">
        <v>20872</v>
      </c>
      <c r="I11204" s="40" t="s">
        <v>18</v>
      </c>
      <c r="J11204" s="40" t="str">
        <f>HYPERLINK("https://stock.pstatic.net/stock-research/company/29/20250707_company_664957000.pdf","PDF")</f>
        <v>PDF</v>
      </c>
      <c r="K11204" s="12" t="s">
        <v>20873</v>
      </c>
      <c r="L11204" s="20">
        <v>0.20603015075376879</v>
      </c>
    </row>
    <row r="11205" spans="1:12" x14ac:dyDescent="0.45">
      <c r="A11205" s="12" t="s">
        <v>20823</v>
      </c>
      <c r="B11205" s="12" t="s">
        <v>1270</v>
      </c>
      <c r="C11205" s="13" t="s">
        <v>1271</v>
      </c>
      <c r="D11205" s="13" t="s">
        <v>15</v>
      </c>
      <c r="E11205" s="12" t="s">
        <v>16</v>
      </c>
      <c r="F11205" s="14">
        <v>85000</v>
      </c>
      <c r="G11205" s="14">
        <v>69900</v>
      </c>
      <c r="H11205" s="13" t="s">
        <v>20874</v>
      </c>
      <c r="I11205" s="40" t="s">
        <v>18</v>
      </c>
      <c r="J11205" s="40" t="str">
        <f>HYPERLINK("https://stock.pstatic.net/stock-research/company/29/20250707_company_94033000.pdf","PDF")</f>
        <v>PDF</v>
      </c>
      <c r="K11205" s="12" t="s">
        <v>20875</v>
      </c>
      <c r="L11205" s="20">
        <v>0.21602288984263229</v>
      </c>
    </row>
    <row r="11206" spans="1:12" x14ac:dyDescent="0.45">
      <c r="A11206" s="12" t="s">
        <v>20823</v>
      </c>
      <c r="B11206" s="12" t="s">
        <v>174</v>
      </c>
      <c r="C11206" s="13" t="s">
        <v>44</v>
      </c>
      <c r="D11206" s="13" t="s">
        <v>15</v>
      </c>
      <c r="E11206" s="12" t="s">
        <v>385</v>
      </c>
      <c r="F11206" s="14">
        <v>232000</v>
      </c>
      <c r="G11206" s="14">
        <v>210500</v>
      </c>
      <c r="H11206" s="13" t="s">
        <v>20876</v>
      </c>
      <c r="I11206" s="40" t="s">
        <v>18</v>
      </c>
      <c r="J11206" s="40" t="str">
        <f>HYPERLINK("https://stock.pstatic.net/stock-research/company/29/20250707_company_190175000.pdf","PDF")</f>
        <v>PDF</v>
      </c>
      <c r="K11206" s="12" t="s">
        <v>20877</v>
      </c>
      <c r="L11206" s="20">
        <v>0.10213776722090261</v>
      </c>
    </row>
    <row r="11207" spans="1:12" x14ac:dyDescent="0.45">
      <c r="A11207" s="12" t="s">
        <v>20823</v>
      </c>
      <c r="B11207" s="12" t="s">
        <v>434</v>
      </c>
      <c r="C11207" s="13" t="s">
        <v>435</v>
      </c>
      <c r="D11207" s="13" t="s">
        <v>92</v>
      </c>
      <c r="E11207" s="12" t="s">
        <v>35</v>
      </c>
      <c r="F11207" s="14">
        <v>180000</v>
      </c>
      <c r="G11207" s="14">
        <v>133600</v>
      </c>
      <c r="H11207" s="13" t="s">
        <v>20878</v>
      </c>
      <c r="I11207" s="40" t="s">
        <v>18</v>
      </c>
      <c r="J11207" s="40" t="str">
        <f>HYPERLINK("https://stock.pstatic.net/stock-research/company/63/20250707_company_548714000.pdf","PDF")</f>
        <v>PDF</v>
      </c>
      <c r="K11207" s="12" t="s">
        <v>20879</v>
      </c>
      <c r="L11207" s="20">
        <v>0.3473053892215569</v>
      </c>
    </row>
    <row r="11208" spans="1:12" x14ac:dyDescent="0.45">
      <c r="A11208" s="12" t="s">
        <v>20823</v>
      </c>
      <c r="B11208" s="12" t="s">
        <v>1765</v>
      </c>
      <c r="C11208" s="13" t="s">
        <v>1766</v>
      </c>
      <c r="D11208" s="13" t="s">
        <v>92</v>
      </c>
      <c r="E11208" s="12" t="s">
        <v>35</v>
      </c>
      <c r="F11208" s="14">
        <v>120000</v>
      </c>
      <c r="G11208" s="14">
        <v>99100</v>
      </c>
      <c r="H11208" s="13" t="s">
        <v>20880</v>
      </c>
      <c r="I11208" s="40" t="s">
        <v>18</v>
      </c>
      <c r="J11208" s="40" t="str">
        <f>HYPERLINK("https://stock.pstatic.net/stock-research/company/63/20250707_company_356942000.pdf","PDF")</f>
        <v>PDF</v>
      </c>
      <c r="K11208" s="12" t="s">
        <v>20881</v>
      </c>
      <c r="L11208" s="20">
        <v>0.21089808274470229</v>
      </c>
    </row>
    <row r="11209" spans="1:12" x14ac:dyDescent="0.45">
      <c r="A11209" s="12" t="s">
        <v>20823</v>
      </c>
      <c r="B11209" s="12" t="s">
        <v>577</v>
      </c>
      <c r="C11209" s="13" t="s">
        <v>578</v>
      </c>
      <c r="D11209" s="13" t="s">
        <v>92</v>
      </c>
      <c r="E11209" s="12" t="s">
        <v>35</v>
      </c>
      <c r="F11209" s="14">
        <v>325000</v>
      </c>
      <c r="G11209" s="14">
        <v>295500</v>
      </c>
      <c r="H11209" s="13" t="s">
        <v>20882</v>
      </c>
      <c r="I11209" s="40" t="s">
        <v>18</v>
      </c>
      <c r="J11209" s="40" t="str">
        <f>HYPERLINK("https://stock.pstatic.net/stock-research/company/63/20250707_company_417987000.pdf","PDF")</f>
        <v>PDF</v>
      </c>
      <c r="K11209" s="12" t="s">
        <v>20883</v>
      </c>
      <c r="L11209" s="20">
        <v>9.9830795262267347E-2</v>
      </c>
    </row>
    <row r="11210" spans="1:12" x14ac:dyDescent="0.45">
      <c r="A11210" s="12" t="s">
        <v>20823</v>
      </c>
      <c r="B11210" s="12" t="s">
        <v>519</v>
      </c>
      <c r="C11210" s="13" t="s">
        <v>520</v>
      </c>
      <c r="D11210" s="13" t="s">
        <v>92</v>
      </c>
      <c r="E11210" s="12" t="s">
        <v>35</v>
      </c>
      <c r="F11210" s="14">
        <v>280000</v>
      </c>
      <c r="G11210" s="14">
        <v>210500</v>
      </c>
      <c r="H11210" s="13" t="s">
        <v>20884</v>
      </c>
      <c r="I11210" s="40" t="s">
        <v>18</v>
      </c>
      <c r="J11210" s="40" t="str">
        <f>HYPERLINK("https://stock.pstatic.net/stock-research/company/63/20250707_company_179291000.pdf","PDF")</f>
        <v>PDF</v>
      </c>
      <c r="K11210" s="12" t="s">
        <v>20885</v>
      </c>
      <c r="L11210" s="20">
        <v>0.33016627078384803</v>
      </c>
    </row>
    <row r="11211" spans="1:12" x14ac:dyDescent="0.45">
      <c r="A11211" s="12" t="s">
        <v>20823</v>
      </c>
      <c r="B11211" s="12" t="s">
        <v>1946</v>
      </c>
      <c r="C11211" s="13" t="s">
        <v>1947</v>
      </c>
      <c r="D11211" s="13" t="s">
        <v>92</v>
      </c>
      <c r="E11211" s="12" t="s">
        <v>35</v>
      </c>
      <c r="F11211" s="14">
        <v>27000</v>
      </c>
      <c r="G11211" s="14">
        <v>20650</v>
      </c>
      <c r="H11211" s="13" t="s">
        <v>20886</v>
      </c>
      <c r="I11211" s="40" t="s">
        <v>18</v>
      </c>
      <c r="J11211" s="40" t="str">
        <f>HYPERLINK("https://m.stock.naver.com/research/company/84097","PDF")</f>
        <v>PDF</v>
      </c>
      <c r="K11211" s="12" t="s">
        <v>20887</v>
      </c>
      <c r="L11211" s="20">
        <v>0.30750605326876512</v>
      </c>
    </row>
    <row r="11212" spans="1:12" x14ac:dyDescent="0.45">
      <c r="A11212" s="12" t="s">
        <v>20823</v>
      </c>
      <c r="B11212" s="12" t="s">
        <v>541</v>
      </c>
      <c r="C11212" s="13" t="s">
        <v>542</v>
      </c>
      <c r="D11212" s="13" t="s">
        <v>53</v>
      </c>
      <c r="E11212" s="12" t="s">
        <v>16</v>
      </c>
      <c r="F11212" s="14">
        <v>66000</v>
      </c>
      <c r="G11212" s="14">
        <v>54400</v>
      </c>
      <c r="H11212" s="13" t="s">
        <v>20888</v>
      </c>
      <c r="I11212" s="40" t="s">
        <v>18</v>
      </c>
      <c r="J11212" s="40" t="str">
        <f>HYPERLINK("https://stock.pstatic.net/stock-research/company/40/20250707_company_514282000.pdf","PDF")</f>
        <v>PDF</v>
      </c>
      <c r="K11212" s="12" t="s">
        <v>20889</v>
      </c>
      <c r="L11212" s="20">
        <v>0.21323529411764711</v>
      </c>
    </row>
    <row r="11213" spans="1:12" x14ac:dyDescent="0.45">
      <c r="A11213" s="12" t="s">
        <v>20823</v>
      </c>
      <c r="B11213" s="12" t="s">
        <v>1081</v>
      </c>
      <c r="C11213" s="13" t="s">
        <v>1082</v>
      </c>
      <c r="D11213" s="13" t="s">
        <v>53</v>
      </c>
      <c r="E11213" s="12" t="s">
        <v>16</v>
      </c>
      <c r="F11213" s="14">
        <v>1300000</v>
      </c>
      <c r="G11213" s="14">
        <v>1038000</v>
      </c>
      <c r="H11213" s="13" t="s">
        <v>20890</v>
      </c>
      <c r="I11213" s="40" t="s">
        <v>18</v>
      </c>
      <c r="J11213" s="40" t="str">
        <f>HYPERLINK("https://stock.pstatic.net/stock-research/company/40/20250707_company_385780000.pdf","PDF")</f>
        <v>PDF</v>
      </c>
      <c r="K11213" s="12" t="s">
        <v>20891</v>
      </c>
      <c r="L11213" s="20">
        <v>0.25240847784200388</v>
      </c>
    </row>
    <row r="11214" spans="1:12" x14ac:dyDescent="0.45">
      <c r="A11214" s="12" t="s">
        <v>20823</v>
      </c>
      <c r="B11214" s="12" t="s">
        <v>950</v>
      </c>
      <c r="C11214" s="13" t="s">
        <v>951</v>
      </c>
      <c r="D11214" s="13" t="s">
        <v>44</v>
      </c>
      <c r="E11214" s="12" t="s">
        <v>642</v>
      </c>
      <c r="F11214" s="14">
        <v>45000</v>
      </c>
      <c r="G11214" s="14">
        <v>42100</v>
      </c>
      <c r="H11214" s="13" t="s">
        <v>20892</v>
      </c>
      <c r="I11214" s="40" t="s">
        <v>18</v>
      </c>
      <c r="J11214" s="40" t="str">
        <f>HYPERLINK("https://stock.pstatic.net/stock-research/company/39/20250707_company_858910000.pdf","PDF")</f>
        <v>PDF</v>
      </c>
      <c r="K11214" s="12" t="s">
        <v>20893</v>
      </c>
      <c r="L11214" s="20">
        <v>6.8883610451306407E-2</v>
      </c>
    </row>
    <row r="11215" spans="1:12" x14ac:dyDescent="0.45">
      <c r="A11215" s="12" t="s">
        <v>20823</v>
      </c>
      <c r="B11215" s="12" t="s">
        <v>362</v>
      </c>
      <c r="C11215" s="13" t="s">
        <v>363</v>
      </c>
      <c r="D11215" s="13" t="s">
        <v>34</v>
      </c>
      <c r="E11215" s="12" t="s">
        <v>35</v>
      </c>
      <c r="F11215" s="14">
        <v>115000</v>
      </c>
      <c r="G11215" s="14">
        <v>79900</v>
      </c>
      <c r="H11215" s="13" t="s">
        <v>19447</v>
      </c>
      <c r="I11215" s="40" t="s">
        <v>18</v>
      </c>
      <c r="J11215" s="40" t="str">
        <f>HYPERLINK("https://m.stock.naver.com/research/company/84093","PDF")</f>
        <v>PDF</v>
      </c>
      <c r="K11215" s="12" t="s">
        <v>20894</v>
      </c>
      <c r="L11215" s="20">
        <v>0.43929912390488107</v>
      </c>
    </row>
    <row r="11216" spans="1:12" x14ac:dyDescent="0.45">
      <c r="A11216" s="12" t="s">
        <v>20823</v>
      </c>
      <c r="B11216" s="12" t="s">
        <v>1023</v>
      </c>
      <c r="C11216" s="13" t="s">
        <v>15</v>
      </c>
      <c r="D11216" s="13" t="s">
        <v>179</v>
      </c>
      <c r="E11216" s="12" t="s">
        <v>385</v>
      </c>
      <c r="F11216" s="14">
        <v>18000</v>
      </c>
      <c r="G11216" s="14">
        <v>19380</v>
      </c>
      <c r="H11216" s="13" t="s">
        <v>20895</v>
      </c>
      <c r="I11216" s="40" t="s">
        <v>18</v>
      </c>
      <c r="J11216" s="40" t="str">
        <f>HYPERLINK("https://m.stock.naver.com/research/company/84092","PDF")</f>
        <v>PDF</v>
      </c>
      <c r="K11216" s="12" t="s">
        <v>20896</v>
      </c>
      <c r="L11216" s="20">
        <v>-7.1207430340557279E-2</v>
      </c>
    </row>
    <row r="11217" spans="1:12" x14ac:dyDescent="0.45">
      <c r="A11217" s="12" t="s">
        <v>20823</v>
      </c>
      <c r="B11217" s="12" t="s">
        <v>710</v>
      </c>
      <c r="C11217" s="13" t="s">
        <v>711</v>
      </c>
      <c r="D11217" s="13" t="s">
        <v>34</v>
      </c>
      <c r="E11217" s="12" t="s">
        <v>50</v>
      </c>
      <c r="F11217" s="13"/>
      <c r="G11217" s="14">
        <v>50000</v>
      </c>
      <c r="H11217" s="13" t="s">
        <v>20897</v>
      </c>
      <c r="I11217" s="40" t="s">
        <v>18</v>
      </c>
      <c r="J11217" s="40" t="str">
        <f>HYPERLINK("https://m.stock.naver.com/research/company/84091","PDF")</f>
        <v>PDF</v>
      </c>
      <c r="K11217" s="12" t="s">
        <v>20898</v>
      </c>
    </row>
    <row r="11218" spans="1:12" x14ac:dyDescent="0.45">
      <c r="A11218" s="12" t="s">
        <v>20823</v>
      </c>
      <c r="B11218" s="12" t="s">
        <v>27</v>
      </c>
      <c r="C11218" s="13" t="s">
        <v>28</v>
      </c>
      <c r="D11218" s="13" t="s">
        <v>44</v>
      </c>
      <c r="E11218" s="12" t="s">
        <v>35</v>
      </c>
      <c r="F11218" s="14">
        <v>95000</v>
      </c>
      <c r="G11218" s="14">
        <v>76000</v>
      </c>
      <c r="H11218" s="13" t="s">
        <v>20899</v>
      </c>
      <c r="I11218" s="40" t="s">
        <v>18</v>
      </c>
      <c r="J11218" s="40" t="str">
        <f>HYPERLINK("https://stock.pstatic.net/stock-research/company/39/20250707_company_586291000.pdf","PDF")</f>
        <v>PDF</v>
      </c>
      <c r="K11218" s="12" t="s">
        <v>20900</v>
      </c>
      <c r="L11218" s="20">
        <v>0.25</v>
      </c>
    </row>
    <row r="11219" spans="1:12" x14ac:dyDescent="0.45">
      <c r="A11219" s="12" t="s">
        <v>20823</v>
      </c>
      <c r="B11219" s="12" t="s">
        <v>1936</v>
      </c>
      <c r="C11219" s="13" t="s">
        <v>1937</v>
      </c>
      <c r="D11219" s="13" t="s">
        <v>44</v>
      </c>
      <c r="E11219" s="12" t="s">
        <v>45</v>
      </c>
      <c r="F11219" s="14">
        <v>7500</v>
      </c>
      <c r="G11219" s="14">
        <v>6320</v>
      </c>
      <c r="H11219" s="13" t="s">
        <v>20901</v>
      </c>
      <c r="I11219" s="40" t="s">
        <v>18</v>
      </c>
      <c r="J11219" s="40" t="str">
        <f>HYPERLINK("https://stock.pstatic.net/stock-research/company/39/20250707_company_503308000.pdf","PDF")</f>
        <v>PDF</v>
      </c>
      <c r="K11219" s="12" t="s">
        <v>20902</v>
      </c>
      <c r="L11219" s="20">
        <v>0.18670886075949369</v>
      </c>
    </row>
    <row r="11220" spans="1:12" x14ac:dyDescent="0.45">
      <c r="A11220" s="12" t="s">
        <v>20823</v>
      </c>
      <c r="B11220" s="12" t="s">
        <v>541</v>
      </c>
      <c r="C11220" s="13" t="s">
        <v>542</v>
      </c>
      <c r="D11220" s="13" t="s">
        <v>92</v>
      </c>
      <c r="E11220" s="12" t="s">
        <v>159</v>
      </c>
      <c r="F11220" s="14">
        <v>52000</v>
      </c>
      <c r="G11220" s="14">
        <v>54400</v>
      </c>
      <c r="H11220" s="13" t="s">
        <v>20903</v>
      </c>
      <c r="I11220" s="40" t="s">
        <v>18</v>
      </c>
      <c r="J11220" s="40" t="str">
        <f>HYPERLINK("https://m.stock.naver.com/research/company/84088","PDF")</f>
        <v>PDF</v>
      </c>
      <c r="K11220" s="12" t="s">
        <v>20904</v>
      </c>
      <c r="L11220" s="20">
        <v>-4.4117647058823532E-2</v>
      </c>
    </row>
    <row r="11221" spans="1:12" x14ac:dyDescent="0.45">
      <c r="A11221" s="12" t="s">
        <v>20823</v>
      </c>
      <c r="B11221" s="12" t="s">
        <v>334</v>
      </c>
      <c r="C11221" s="13" t="s">
        <v>335</v>
      </c>
      <c r="D11221" s="13" t="s">
        <v>44</v>
      </c>
      <c r="E11221" s="12" t="s">
        <v>50</v>
      </c>
      <c r="F11221" s="13"/>
      <c r="G11221" s="13"/>
      <c r="H11221" s="13" t="s">
        <v>20905</v>
      </c>
      <c r="I11221" s="40" t="s">
        <v>18</v>
      </c>
      <c r="J11221" s="40" t="str">
        <f>HYPERLINK("https://stock.pstatic.net/stock-research/company/39/20250707_company_701569000.pdf","PDF")</f>
        <v>PDF</v>
      </c>
      <c r="K11221" s="12" t="s">
        <v>20906</v>
      </c>
    </row>
    <row r="11222" spans="1:12" x14ac:dyDescent="0.45">
      <c r="A11222" s="12" t="s">
        <v>20823</v>
      </c>
      <c r="B11222" s="12" t="s">
        <v>27</v>
      </c>
      <c r="C11222" s="13" t="s">
        <v>28</v>
      </c>
      <c r="D11222" s="13" t="s">
        <v>23</v>
      </c>
      <c r="E11222" s="12" t="s">
        <v>16</v>
      </c>
      <c r="F11222" s="14">
        <v>95000</v>
      </c>
      <c r="G11222" s="14">
        <v>76000</v>
      </c>
      <c r="H11222" s="13" t="s">
        <v>20907</v>
      </c>
      <c r="I11222" s="40" t="s">
        <v>18</v>
      </c>
      <c r="J11222" s="40" t="str">
        <f>HYPERLINK("https://stock.pstatic.net/stock-research/company/21/20250707_company_281736000.pdf","PDF")</f>
        <v>PDF</v>
      </c>
      <c r="K11222" s="12" t="s">
        <v>20908</v>
      </c>
      <c r="L11222" s="20">
        <v>0.25</v>
      </c>
    </row>
    <row r="11223" spans="1:12" x14ac:dyDescent="0.45">
      <c r="A11223" s="12" t="s">
        <v>20823</v>
      </c>
      <c r="B11223" s="12" t="s">
        <v>102</v>
      </c>
      <c r="C11223" s="13" t="s">
        <v>103</v>
      </c>
      <c r="D11223" s="13" t="s">
        <v>92</v>
      </c>
      <c r="E11223" s="12" t="s">
        <v>35</v>
      </c>
      <c r="F11223" s="14">
        <v>17000</v>
      </c>
      <c r="G11223" s="14">
        <v>12680</v>
      </c>
      <c r="H11223" s="13" t="s">
        <v>20909</v>
      </c>
      <c r="I11223" s="40" t="s">
        <v>18</v>
      </c>
      <c r="J11223" s="40" t="str">
        <f>HYPERLINK("https://stock.pstatic.net/stock-research/company/63/20250707_company_738767000.pdf","PDF")</f>
        <v>PDF</v>
      </c>
      <c r="K11223" s="12" t="s">
        <v>20910</v>
      </c>
      <c r="L11223" s="20">
        <v>0.34069400630914831</v>
      </c>
    </row>
    <row r="11224" spans="1:12" x14ac:dyDescent="0.45">
      <c r="A11224" s="12" t="s">
        <v>20823</v>
      </c>
      <c r="B11224" s="12" t="s">
        <v>1042</v>
      </c>
      <c r="C11224" s="13" t="s">
        <v>1043</v>
      </c>
      <c r="D11224" s="13" t="s">
        <v>53</v>
      </c>
      <c r="E11224" s="12" t="s">
        <v>16</v>
      </c>
      <c r="F11224" s="14">
        <v>48000</v>
      </c>
      <c r="G11224" s="14">
        <v>28450</v>
      </c>
      <c r="H11224" s="13" t="s">
        <v>20911</v>
      </c>
      <c r="I11224" s="40" t="s">
        <v>18</v>
      </c>
      <c r="J11224" s="40" t="str">
        <f>HYPERLINK("https://stock.pstatic.net/stock-research/company/40/20250707_company_234967000.pdf","PDF")</f>
        <v>PDF</v>
      </c>
      <c r="K11224" s="12" t="s">
        <v>20912</v>
      </c>
      <c r="L11224" s="20">
        <v>0.68717047451669599</v>
      </c>
    </row>
    <row r="11225" spans="1:12" x14ac:dyDescent="0.45">
      <c r="A11225" s="12" t="s">
        <v>20913</v>
      </c>
      <c r="B11225" s="12" t="s">
        <v>1686</v>
      </c>
      <c r="C11225" s="13" t="s">
        <v>1687</v>
      </c>
      <c r="D11225" s="13" t="s">
        <v>60</v>
      </c>
      <c r="E11225" s="12" t="s">
        <v>35</v>
      </c>
      <c r="F11225" s="14">
        <v>1570000</v>
      </c>
      <c r="G11225" s="14">
        <v>1330000</v>
      </c>
      <c r="H11225" s="13" t="s">
        <v>20914</v>
      </c>
      <c r="I11225" s="40" t="s">
        <v>18</v>
      </c>
      <c r="J11225" s="40" t="str">
        <f>HYPERLINK("https://stock.pstatic.net/stock-research/company/62/20250704_company_321684000.pdf","PDF")</f>
        <v>PDF</v>
      </c>
      <c r="K11225" s="12" t="s">
        <v>20915</v>
      </c>
      <c r="L11225" s="20">
        <v>0.18045112781954889</v>
      </c>
    </row>
    <row r="11226" spans="1:12" x14ac:dyDescent="0.45">
      <c r="A11226" s="12" t="s">
        <v>20913</v>
      </c>
      <c r="B11226" s="12" t="s">
        <v>1741</v>
      </c>
      <c r="C11226" s="13" t="s">
        <v>1742</v>
      </c>
      <c r="D11226" s="13" t="s">
        <v>23</v>
      </c>
      <c r="E11226" s="12" t="s">
        <v>16</v>
      </c>
      <c r="F11226" s="14">
        <v>66000</v>
      </c>
      <c r="G11226" s="14">
        <v>55200</v>
      </c>
      <c r="H11226" s="13" t="s">
        <v>20916</v>
      </c>
      <c r="I11226" s="40" t="s">
        <v>18</v>
      </c>
      <c r="J11226" s="40" t="str">
        <f>HYPERLINK("https://stock.pstatic.net/stock-research/company/21/20250704_company_88312000.pdf","PDF")</f>
        <v>PDF</v>
      </c>
      <c r="K11226" s="12" t="s">
        <v>20917</v>
      </c>
      <c r="L11226" s="20">
        <v>0.19565217391304349</v>
      </c>
    </row>
    <row r="11227" spans="1:12" x14ac:dyDescent="0.45">
      <c r="A11227" s="12" t="s">
        <v>20913</v>
      </c>
      <c r="B11227" s="12" t="s">
        <v>330</v>
      </c>
      <c r="C11227" s="13" t="s">
        <v>331</v>
      </c>
      <c r="D11227" s="13" t="s">
        <v>15</v>
      </c>
      <c r="E11227" s="12" t="s">
        <v>16</v>
      </c>
      <c r="F11227" s="14">
        <v>51000</v>
      </c>
      <c r="G11227" s="14">
        <v>36300</v>
      </c>
      <c r="H11227" s="13" t="s">
        <v>20918</v>
      </c>
      <c r="I11227" s="40" t="s">
        <v>18</v>
      </c>
      <c r="J11227" s="40" t="str">
        <f>HYPERLINK("https://stock.pstatic.net/stock-research/company/16/20250704_company_828909000.pdf","PDF")</f>
        <v>PDF</v>
      </c>
      <c r="K11227" s="12" t="s">
        <v>20919</v>
      </c>
      <c r="L11227" s="20">
        <v>0.4049586776859504</v>
      </c>
    </row>
    <row r="11228" spans="1:12" x14ac:dyDescent="0.45">
      <c r="A11228" s="12" t="s">
        <v>20913</v>
      </c>
      <c r="B11228" s="12" t="s">
        <v>3688</v>
      </c>
      <c r="C11228" s="13" t="s">
        <v>3689</v>
      </c>
      <c r="D11228" s="13" t="s">
        <v>65</v>
      </c>
      <c r="E11228" s="12" t="s">
        <v>35</v>
      </c>
      <c r="F11228" s="14">
        <v>81000</v>
      </c>
      <c r="G11228" s="14">
        <v>63700</v>
      </c>
      <c r="H11228" s="13" t="s">
        <v>20920</v>
      </c>
      <c r="I11228" s="40" t="s">
        <v>18</v>
      </c>
      <c r="J11228" s="40" t="str">
        <f>HYPERLINK("https://stock.pstatic.net/stock-research/company/57/20250704_company_312642000.pdf","PDF")</f>
        <v>PDF</v>
      </c>
      <c r="K11228" s="12" t="s">
        <v>20921</v>
      </c>
      <c r="L11228" s="20">
        <v>0.27158555729984302</v>
      </c>
    </row>
    <row r="11229" spans="1:12" x14ac:dyDescent="0.45">
      <c r="A11229" s="12" t="s">
        <v>20913</v>
      </c>
      <c r="B11229" s="12" t="s">
        <v>2762</v>
      </c>
      <c r="C11229" s="13" t="s">
        <v>2763</v>
      </c>
      <c r="D11229" s="13" t="s">
        <v>65</v>
      </c>
      <c r="E11229" s="12" t="s">
        <v>35</v>
      </c>
      <c r="F11229" s="14">
        <v>150000</v>
      </c>
      <c r="G11229" s="14">
        <v>90800</v>
      </c>
      <c r="H11229" s="13" t="s">
        <v>20922</v>
      </c>
      <c r="I11229" s="40" t="s">
        <v>18</v>
      </c>
      <c r="J11229" s="40" t="str">
        <f>HYPERLINK("https://stock.pstatic.net/stock-research/company/57/20250704_company_555011000.pdf","PDF")</f>
        <v>PDF</v>
      </c>
      <c r="K11229" s="12" t="s">
        <v>20923</v>
      </c>
      <c r="L11229" s="20">
        <v>0.65198237885462551</v>
      </c>
    </row>
    <row r="11230" spans="1:12" x14ac:dyDescent="0.45">
      <c r="A11230" s="12" t="s">
        <v>20913</v>
      </c>
      <c r="B11230" s="12" t="s">
        <v>13</v>
      </c>
      <c r="C11230" s="13" t="s">
        <v>14</v>
      </c>
      <c r="D11230" s="13" t="s">
        <v>65</v>
      </c>
      <c r="E11230" s="12" t="s">
        <v>35</v>
      </c>
      <c r="F11230" s="14">
        <v>80000</v>
      </c>
      <c r="G11230" s="14">
        <v>63800</v>
      </c>
      <c r="H11230" s="13" t="s">
        <v>20924</v>
      </c>
      <c r="I11230" s="40" t="s">
        <v>18</v>
      </c>
      <c r="J11230" s="40" t="str">
        <f>HYPERLINK("https://stock.pstatic.net/stock-research/company/57/20250704_company_742369000.pdf","PDF")</f>
        <v>PDF</v>
      </c>
      <c r="K11230" s="12" t="s">
        <v>20925</v>
      </c>
      <c r="L11230" s="20">
        <v>0.25391849529780558</v>
      </c>
    </row>
    <row r="11231" spans="1:12" x14ac:dyDescent="0.45">
      <c r="A11231" s="12" t="s">
        <v>20913</v>
      </c>
      <c r="B11231" s="12" t="s">
        <v>3079</v>
      </c>
      <c r="C11231" s="13" t="s">
        <v>3080</v>
      </c>
      <c r="D11231" s="13" t="s">
        <v>65</v>
      </c>
      <c r="E11231" s="12" t="s">
        <v>35</v>
      </c>
      <c r="F11231" s="14">
        <v>39000</v>
      </c>
      <c r="G11231" s="14">
        <v>31750</v>
      </c>
      <c r="H11231" s="13" t="s">
        <v>20926</v>
      </c>
      <c r="I11231" s="40" t="s">
        <v>18</v>
      </c>
      <c r="J11231" s="40" t="str">
        <f>HYPERLINK("https://stock.pstatic.net/stock-research/company/57/20250704_company_95543000.pdf","PDF")</f>
        <v>PDF</v>
      </c>
      <c r="K11231" s="12" t="s">
        <v>20927</v>
      </c>
      <c r="L11231" s="20">
        <v>0.2283464566929134</v>
      </c>
    </row>
    <row r="11232" spans="1:12" x14ac:dyDescent="0.45">
      <c r="A11232" s="12" t="s">
        <v>20913</v>
      </c>
      <c r="B11232" s="12" t="s">
        <v>3478</v>
      </c>
      <c r="C11232" s="13" t="s">
        <v>3479</v>
      </c>
      <c r="D11232" s="13" t="s">
        <v>65</v>
      </c>
      <c r="E11232" s="12" t="s">
        <v>35</v>
      </c>
      <c r="F11232" s="14">
        <v>50000</v>
      </c>
      <c r="G11232" s="14">
        <v>35550</v>
      </c>
      <c r="H11232" s="13" t="s">
        <v>20928</v>
      </c>
      <c r="I11232" s="40" t="s">
        <v>18</v>
      </c>
      <c r="J11232" s="40" t="str">
        <f>HYPERLINK("https://m.stock.naver.com/research/company/84076","PDF")</f>
        <v>PDF</v>
      </c>
      <c r="K11232" s="12" t="s">
        <v>20929</v>
      </c>
      <c r="L11232" s="20">
        <v>0.40646976090014059</v>
      </c>
    </row>
    <row r="11233" spans="1:12" x14ac:dyDescent="0.45">
      <c r="A11233" s="12" t="s">
        <v>20913</v>
      </c>
      <c r="B11233" s="12" t="s">
        <v>2758</v>
      </c>
      <c r="C11233" s="13" t="s">
        <v>2759</v>
      </c>
      <c r="D11233" s="13" t="s">
        <v>65</v>
      </c>
      <c r="E11233" s="12" t="s">
        <v>35</v>
      </c>
      <c r="F11233" s="14">
        <v>740000</v>
      </c>
      <c r="G11233" s="14">
        <v>312000</v>
      </c>
      <c r="H11233" s="13" t="s">
        <v>20930</v>
      </c>
      <c r="I11233" s="40" t="s">
        <v>18</v>
      </c>
      <c r="J11233" s="40" t="str">
        <f>HYPERLINK("https://stock.pstatic.net/stock-research/company/57/20250704_company_108647000.pdf","PDF")</f>
        <v>PDF</v>
      </c>
      <c r="K11233" s="12" t="s">
        <v>20931</v>
      </c>
      <c r="L11233" s="20">
        <v>1.371794871794872</v>
      </c>
    </row>
    <row r="11234" spans="1:12" x14ac:dyDescent="0.45">
      <c r="A11234" s="12" t="s">
        <v>20913</v>
      </c>
      <c r="B11234" s="12" t="s">
        <v>2187</v>
      </c>
      <c r="C11234" s="13" t="s">
        <v>2188</v>
      </c>
      <c r="D11234" s="13" t="s">
        <v>65</v>
      </c>
      <c r="E11234" s="12" t="s">
        <v>35</v>
      </c>
      <c r="F11234" s="14">
        <v>200000</v>
      </c>
      <c r="G11234" s="14">
        <v>123900</v>
      </c>
      <c r="H11234" s="13" t="s">
        <v>20932</v>
      </c>
      <c r="I11234" s="40" t="s">
        <v>18</v>
      </c>
      <c r="J11234" s="40" t="str">
        <f>HYPERLINK("https://stock.pstatic.net/stock-research/company/57/20250704_company_524297000.pdf","PDF")</f>
        <v>PDF</v>
      </c>
      <c r="K11234" s="12" t="s">
        <v>20933</v>
      </c>
      <c r="L11234" s="20">
        <v>0.61420500403551248</v>
      </c>
    </row>
    <row r="11235" spans="1:12" x14ac:dyDescent="0.45">
      <c r="A11235" s="12" t="s">
        <v>20913</v>
      </c>
      <c r="B11235" s="12" t="s">
        <v>1081</v>
      </c>
      <c r="C11235" s="13" t="s">
        <v>1082</v>
      </c>
      <c r="D11235" s="13" t="s">
        <v>65</v>
      </c>
      <c r="E11235" s="12" t="s">
        <v>35</v>
      </c>
      <c r="F11235" s="14">
        <v>1310000</v>
      </c>
      <c r="G11235" s="14">
        <v>1044000</v>
      </c>
      <c r="H11235" s="13" t="s">
        <v>20934</v>
      </c>
      <c r="I11235" s="40" t="s">
        <v>18</v>
      </c>
      <c r="J11235" s="40" t="str">
        <f>HYPERLINK("https://m.stock.naver.com/research/company/84073","PDF")</f>
        <v>PDF</v>
      </c>
      <c r="K11235" s="12" t="s">
        <v>20935</v>
      </c>
      <c r="L11235" s="20">
        <v>0.25478927203065133</v>
      </c>
    </row>
    <row r="11236" spans="1:12" x14ac:dyDescent="0.45">
      <c r="A11236" s="12" t="s">
        <v>20913</v>
      </c>
      <c r="B11236" s="12" t="s">
        <v>2982</v>
      </c>
      <c r="C11236" s="13" t="s">
        <v>2983</v>
      </c>
      <c r="D11236" s="13" t="s">
        <v>158</v>
      </c>
      <c r="E11236" s="12" t="s">
        <v>35</v>
      </c>
      <c r="F11236" s="14">
        <v>67000</v>
      </c>
      <c r="G11236" s="14">
        <v>51300</v>
      </c>
      <c r="H11236" s="13" t="s">
        <v>20936</v>
      </c>
      <c r="I11236" s="40" t="s">
        <v>18</v>
      </c>
      <c r="J11236" s="40" t="str">
        <f>HYPERLINK("https://stock.pstatic.net/stock-research/company/1/20250704_company_4112000.pdf","PDF")</f>
        <v>PDF</v>
      </c>
      <c r="K11236" s="12" t="s">
        <v>20937</v>
      </c>
      <c r="L11236" s="20">
        <v>0.30604288499025339</v>
      </c>
    </row>
    <row r="11237" spans="1:12" x14ac:dyDescent="0.45">
      <c r="A11237" s="12" t="s">
        <v>20913</v>
      </c>
      <c r="B11237" s="12" t="s">
        <v>3164</v>
      </c>
      <c r="C11237" s="13" t="s">
        <v>3165</v>
      </c>
      <c r="D11237" s="13" t="s">
        <v>158</v>
      </c>
      <c r="E11237" s="12" t="s">
        <v>35</v>
      </c>
      <c r="F11237" s="14">
        <v>100000</v>
      </c>
      <c r="G11237" s="14">
        <v>73700</v>
      </c>
      <c r="H11237" s="13" t="s">
        <v>20938</v>
      </c>
      <c r="I11237" s="40" t="s">
        <v>18</v>
      </c>
      <c r="J11237" s="40" t="str">
        <f>HYPERLINK("https://m.stock.naver.com/research/company/84071","PDF")</f>
        <v>PDF</v>
      </c>
      <c r="K11237" s="12" t="s">
        <v>20939</v>
      </c>
      <c r="L11237" s="20">
        <v>0.35685210312075982</v>
      </c>
    </row>
    <row r="11238" spans="1:12" x14ac:dyDescent="0.45">
      <c r="A11238" s="12" t="s">
        <v>20913</v>
      </c>
      <c r="B11238" s="12" t="s">
        <v>4642</v>
      </c>
      <c r="C11238" s="13" t="s">
        <v>4643</v>
      </c>
      <c r="D11238" s="13" t="s">
        <v>158</v>
      </c>
      <c r="E11238" s="12" t="s">
        <v>35</v>
      </c>
      <c r="F11238" s="14">
        <v>31000</v>
      </c>
      <c r="G11238" s="14">
        <v>24000</v>
      </c>
      <c r="H11238" s="13" t="s">
        <v>20940</v>
      </c>
      <c r="I11238" s="40" t="s">
        <v>18</v>
      </c>
      <c r="J11238" s="40" t="str">
        <f>HYPERLINK("https://m.stock.naver.com/research/company/84070","PDF")</f>
        <v>PDF</v>
      </c>
      <c r="K11238" s="12" t="s">
        <v>20941</v>
      </c>
      <c r="L11238" s="20">
        <v>0.29166666666666669</v>
      </c>
    </row>
    <row r="11239" spans="1:12" x14ac:dyDescent="0.45">
      <c r="A11239" s="12" t="s">
        <v>20913</v>
      </c>
      <c r="B11239" s="12" t="s">
        <v>4668</v>
      </c>
      <c r="C11239" s="13" t="s">
        <v>4669</v>
      </c>
      <c r="D11239" s="13" t="s">
        <v>158</v>
      </c>
      <c r="E11239" s="12" t="s">
        <v>35</v>
      </c>
      <c r="F11239" s="14">
        <v>20000</v>
      </c>
      <c r="G11239" s="14">
        <v>16010</v>
      </c>
      <c r="H11239" s="13" t="s">
        <v>20942</v>
      </c>
      <c r="I11239" s="40" t="s">
        <v>18</v>
      </c>
      <c r="J11239" s="40" t="str">
        <f>HYPERLINK("https://m.stock.naver.com/research/company/84069","PDF")</f>
        <v>PDF</v>
      </c>
      <c r="K11239" s="12" t="s">
        <v>20943</v>
      </c>
      <c r="L11239" s="20">
        <v>0.2492192379762648</v>
      </c>
    </row>
    <row r="11240" spans="1:12" x14ac:dyDescent="0.45">
      <c r="A11240" s="12" t="s">
        <v>20913</v>
      </c>
      <c r="B11240" s="12" t="s">
        <v>1344</v>
      </c>
      <c r="C11240" s="13" t="s">
        <v>1345</v>
      </c>
      <c r="D11240" s="13" t="s">
        <v>158</v>
      </c>
      <c r="E11240" s="12" t="s">
        <v>35</v>
      </c>
      <c r="F11240" s="14">
        <v>44000</v>
      </c>
      <c r="G11240" s="14">
        <v>37200</v>
      </c>
      <c r="H11240" s="13" t="s">
        <v>20944</v>
      </c>
      <c r="I11240" s="40" t="s">
        <v>18</v>
      </c>
      <c r="J11240" s="40" t="str">
        <f>HYPERLINK("https://m.stock.naver.com/research/company/84068","PDF")</f>
        <v>PDF</v>
      </c>
      <c r="K11240" s="12" t="s">
        <v>20945</v>
      </c>
      <c r="L11240" s="20">
        <v>0.18279569892473119</v>
      </c>
    </row>
    <row r="11241" spans="1:12" x14ac:dyDescent="0.45">
      <c r="A11241" s="12" t="s">
        <v>20913</v>
      </c>
      <c r="B11241" s="12" t="s">
        <v>2933</v>
      </c>
      <c r="C11241" s="13" t="s">
        <v>2934</v>
      </c>
      <c r="D11241" s="13" t="s">
        <v>158</v>
      </c>
      <c r="E11241" s="12" t="s">
        <v>35</v>
      </c>
      <c r="F11241" s="14">
        <v>104000</v>
      </c>
      <c r="G11241" s="14">
        <v>83700</v>
      </c>
      <c r="H11241" s="13" t="s">
        <v>20946</v>
      </c>
      <c r="I11241" s="40" t="s">
        <v>18</v>
      </c>
      <c r="J11241" s="40" t="str">
        <f>HYPERLINK("https://m.stock.naver.com/research/company/84067","PDF")</f>
        <v>PDF</v>
      </c>
      <c r="K11241" s="12" t="s">
        <v>20947</v>
      </c>
      <c r="L11241" s="20">
        <v>0.24253285543608119</v>
      </c>
    </row>
    <row r="11242" spans="1:12" x14ac:dyDescent="0.45">
      <c r="A11242" s="12" t="s">
        <v>20913</v>
      </c>
      <c r="B11242" s="12" t="s">
        <v>4021</v>
      </c>
      <c r="C11242" s="13" t="s">
        <v>4022</v>
      </c>
      <c r="D11242" s="13" t="s">
        <v>158</v>
      </c>
      <c r="E11242" s="12" t="s">
        <v>35</v>
      </c>
      <c r="F11242" s="14">
        <v>340000</v>
      </c>
      <c r="G11242" s="14">
        <v>276500</v>
      </c>
      <c r="H11242" s="13" t="s">
        <v>20948</v>
      </c>
      <c r="I11242" s="40" t="s">
        <v>18</v>
      </c>
      <c r="J11242" s="40" t="str">
        <f>HYPERLINK("https://m.stock.naver.com/research/company/84066","PDF")</f>
        <v>PDF</v>
      </c>
      <c r="K11242" s="12" t="s">
        <v>20949</v>
      </c>
      <c r="L11242" s="20">
        <v>0.22965641952983731</v>
      </c>
    </row>
    <row r="11243" spans="1:12" x14ac:dyDescent="0.45">
      <c r="A11243" s="12" t="s">
        <v>20913</v>
      </c>
      <c r="B11243" s="12" t="s">
        <v>3182</v>
      </c>
      <c r="C11243" s="13" t="s">
        <v>3183</v>
      </c>
      <c r="D11243" s="13" t="s">
        <v>158</v>
      </c>
      <c r="E11243" s="12" t="s">
        <v>35</v>
      </c>
      <c r="F11243" s="14">
        <v>600000</v>
      </c>
      <c r="G11243" s="14">
        <v>454500</v>
      </c>
      <c r="H11243" s="13" t="s">
        <v>20950</v>
      </c>
      <c r="I11243" s="40" t="s">
        <v>18</v>
      </c>
      <c r="J11243" s="40" t="str">
        <f>HYPERLINK("https://m.stock.naver.com/research/company/84065","PDF")</f>
        <v>PDF</v>
      </c>
      <c r="K11243" s="12" t="s">
        <v>20951</v>
      </c>
      <c r="L11243" s="20">
        <v>0.32013201320132012</v>
      </c>
    </row>
    <row r="11244" spans="1:12" x14ac:dyDescent="0.45">
      <c r="A11244" s="12" t="s">
        <v>20913</v>
      </c>
      <c r="B11244" s="12" t="s">
        <v>3230</v>
      </c>
      <c r="C11244" s="13" t="s">
        <v>3231</v>
      </c>
      <c r="D11244" s="13" t="s">
        <v>158</v>
      </c>
      <c r="E11244" s="12" t="s">
        <v>35</v>
      </c>
      <c r="F11244" s="14">
        <v>1220000</v>
      </c>
      <c r="G11244" s="14">
        <v>907000</v>
      </c>
      <c r="H11244" s="13" t="s">
        <v>20952</v>
      </c>
      <c r="I11244" s="40" t="s">
        <v>18</v>
      </c>
      <c r="J11244" s="40" t="str">
        <f>HYPERLINK("https://m.stock.naver.com/research/company/84064","PDF")</f>
        <v>PDF</v>
      </c>
      <c r="K11244" s="12" t="s">
        <v>20953</v>
      </c>
      <c r="L11244" s="20">
        <v>0.34509371554575519</v>
      </c>
    </row>
    <row r="11245" spans="1:12" x14ac:dyDescent="0.45">
      <c r="A11245" s="12" t="s">
        <v>20913</v>
      </c>
      <c r="B11245" s="12" t="s">
        <v>764</v>
      </c>
      <c r="C11245" s="13" t="s">
        <v>765</v>
      </c>
      <c r="D11245" s="13" t="s">
        <v>158</v>
      </c>
      <c r="E11245" s="12" t="s">
        <v>35</v>
      </c>
      <c r="F11245" s="14">
        <v>69000</v>
      </c>
      <c r="G11245" s="14">
        <v>52900</v>
      </c>
      <c r="H11245" s="13" t="s">
        <v>20954</v>
      </c>
      <c r="I11245" s="40" t="s">
        <v>18</v>
      </c>
      <c r="J11245" s="40" t="str">
        <f>HYPERLINK("https://m.stock.naver.com/research/company/84063","PDF")</f>
        <v>PDF</v>
      </c>
      <c r="K11245" s="12" t="s">
        <v>20955</v>
      </c>
      <c r="L11245" s="20">
        <v>0.30434782608695649</v>
      </c>
    </row>
    <row r="11246" spans="1:12" x14ac:dyDescent="0.45">
      <c r="A11246" s="12" t="s">
        <v>20913</v>
      </c>
      <c r="B11246" s="12" t="s">
        <v>16623</v>
      </c>
      <c r="C11246" s="13" t="s">
        <v>16624</v>
      </c>
      <c r="D11246" s="13" t="s">
        <v>158</v>
      </c>
      <c r="E11246" s="12" t="s">
        <v>50</v>
      </c>
      <c r="F11246" s="13"/>
      <c r="G11246" s="14">
        <v>4050</v>
      </c>
      <c r="H11246" s="13" t="s">
        <v>20956</v>
      </c>
      <c r="I11246" s="40" t="s">
        <v>18</v>
      </c>
      <c r="J11246" s="40" t="str">
        <f>HYPERLINK("https://m.stock.naver.com/research/company/84062","PDF")</f>
        <v>PDF</v>
      </c>
      <c r="K11246" s="12" t="s">
        <v>20957</v>
      </c>
    </row>
    <row r="11247" spans="1:12" x14ac:dyDescent="0.45">
      <c r="A11247" s="12" t="s">
        <v>20913</v>
      </c>
      <c r="B11247" s="12" t="s">
        <v>1690</v>
      </c>
      <c r="C11247" s="13" t="s">
        <v>1691</v>
      </c>
      <c r="D11247" s="13" t="s">
        <v>158</v>
      </c>
      <c r="E11247" s="12" t="s">
        <v>35</v>
      </c>
      <c r="F11247" s="14">
        <v>150000</v>
      </c>
      <c r="G11247" s="14">
        <v>119300</v>
      </c>
      <c r="H11247" s="13" t="s">
        <v>20958</v>
      </c>
      <c r="I11247" s="40" t="s">
        <v>18</v>
      </c>
      <c r="J11247" s="40" t="str">
        <f>HYPERLINK("https://m.stock.naver.com/research/company/84061","PDF")</f>
        <v>PDF</v>
      </c>
      <c r="K11247" s="12" t="s">
        <v>20959</v>
      </c>
      <c r="L11247" s="20">
        <v>0.25733445096395641</v>
      </c>
    </row>
    <row r="11248" spans="1:12" x14ac:dyDescent="0.45">
      <c r="A11248" s="12" t="s">
        <v>20913</v>
      </c>
      <c r="B11248" s="12" t="s">
        <v>1081</v>
      </c>
      <c r="C11248" s="13" t="s">
        <v>1082</v>
      </c>
      <c r="D11248" s="13" t="s">
        <v>158</v>
      </c>
      <c r="E11248" s="12" t="s">
        <v>35</v>
      </c>
      <c r="F11248" s="14">
        <v>1300000</v>
      </c>
      <c r="G11248" s="14">
        <v>1044000</v>
      </c>
      <c r="H11248" s="13" t="s">
        <v>20960</v>
      </c>
      <c r="I11248" s="40" t="s">
        <v>18</v>
      </c>
      <c r="J11248" s="40" t="str">
        <f>HYPERLINK("https://m.stock.naver.com/research/company/84060","PDF")</f>
        <v>PDF</v>
      </c>
      <c r="K11248" s="12" t="s">
        <v>20961</v>
      </c>
      <c r="L11248" s="20">
        <v>0.24521072796934859</v>
      </c>
    </row>
    <row r="11249" spans="1:12" x14ac:dyDescent="0.45">
      <c r="A11249" s="12" t="s">
        <v>20913</v>
      </c>
      <c r="B11249" s="12" t="s">
        <v>2266</v>
      </c>
      <c r="C11249" s="13" t="s">
        <v>2267</v>
      </c>
      <c r="D11249" s="13" t="s">
        <v>83</v>
      </c>
      <c r="E11249" s="12" t="s">
        <v>35</v>
      </c>
      <c r="F11249" s="14">
        <v>110000</v>
      </c>
      <c r="G11249" s="14">
        <v>88900</v>
      </c>
      <c r="H11249" s="13" t="s">
        <v>20962</v>
      </c>
      <c r="I11249" s="40" t="s">
        <v>18</v>
      </c>
      <c r="J11249" s="40" t="str">
        <f>HYPERLINK("https://m.stock.naver.com/research/company/84059","PDF")</f>
        <v>PDF</v>
      </c>
      <c r="K11249" s="12" t="s">
        <v>20963</v>
      </c>
      <c r="L11249" s="20">
        <v>0.2373453318335208</v>
      </c>
    </row>
    <row r="11250" spans="1:12" x14ac:dyDescent="0.45">
      <c r="A11250" s="12" t="s">
        <v>20913</v>
      </c>
      <c r="B11250" s="12" t="s">
        <v>1081</v>
      </c>
      <c r="C11250" s="13" t="s">
        <v>1082</v>
      </c>
      <c r="D11250" s="13" t="s">
        <v>83</v>
      </c>
      <c r="E11250" s="12" t="s">
        <v>35</v>
      </c>
      <c r="F11250" s="14">
        <v>1300000</v>
      </c>
      <c r="G11250" s="14">
        <v>1044000</v>
      </c>
      <c r="H11250" s="13" t="s">
        <v>20964</v>
      </c>
      <c r="I11250" s="40" t="s">
        <v>18</v>
      </c>
      <c r="J11250" s="40" t="str">
        <f>HYPERLINK("https://stock.pstatic.net/stock-research/company/2/20250704_company_486198000.pdf","PDF")</f>
        <v>PDF</v>
      </c>
      <c r="K11250" s="12" t="s">
        <v>20965</v>
      </c>
      <c r="L11250" s="20">
        <v>0.24521072796934859</v>
      </c>
    </row>
    <row r="11251" spans="1:12" x14ac:dyDescent="0.45">
      <c r="A11251" s="12" t="s">
        <v>20913</v>
      </c>
      <c r="B11251" s="12" t="s">
        <v>2346</v>
      </c>
      <c r="C11251" s="13" t="s">
        <v>2347</v>
      </c>
      <c r="D11251" s="13" t="s">
        <v>179</v>
      </c>
      <c r="E11251" s="12" t="s">
        <v>16</v>
      </c>
      <c r="F11251" s="14">
        <v>37000</v>
      </c>
      <c r="G11251" s="14">
        <v>28950</v>
      </c>
      <c r="H11251" s="13" t="s">
        <v>20966</v>
      </c>
      <c r="I11251" s="40" t="s">
        <v>18</v>
      </c>
      <c r="J11251" s="40" t="str">
        <f>HYPERLINK("https://stock.pstatic.net/stock-research/company/31/20250704_company_418657000.pdf","PDF")</f>
        <v>PDF</v>
      </c>
      <c r="K11251" s="12" t="s">
        <v>20967</v>
      </c>
      <c r="L11251" s="20">
        <v>0.27806563039723659</v>
      </c>
    </row>
    <row r="11252" spans="1:12" x14ac:dyDescent="0.45">
      <c r="A11252" s="12" t="s">
        <v>20913</v>
      </c>
      <c r="B11252" s="12" t="s">
        <v>4291</v>
      </c>
      <c r="C11252" s="13" t="s">
        <v>4292</v>
      </c>
      <c r="D11252" s="13" t="s">
        <v>179</v>
      </c>
      <c r="E11252" s="12" t="s">
        <v>16</v>
      </c>
      <c r="F11252" s="14">
        <v>8500</v>
      </c>
      <c r="G11252" s="14">
        <v>6360</v>
      </c>
      <c r="H11252" s="13" t="s">
        <v>20968</v>
      </c>
      <c r="I11252" s="40" t="s">
        <v>18</v>
      </c>
      <c r="J11252" s="40" t="str">
        <f>HYPERLINK("https://stock.pstatic.net/stock-research/company/64/20250704_company_603337000.pdf","PDF")</f>
        <v>PDF</v>
      </c>
      <c r="K11252" s="12" t="s">
        <v>20969</v>
      </c>
      <c r="L11252" s="20">
        <v>0.33647798742138357</v>
      </c>
    </row>
    <row r="11253" spans="1:12" x14ac:dyDescent="0.45">
      <c r="A11253" s="12" t="s">
        <v>20913</v>
      </c>
      <c r="B11253" s="12" t="s">
        <v>740</v>
      </c>
      <c r="C11253" s="13" t="s">
        <v>741</v>
      </c>
      <c r="D11253" s="13" t="s">
        <v>92</v>
      </c>
      <c r="E11253" s="12" t="s">
        <v>35</v>
      </c>
      <c r="F11253" s="14">
        <v>190000</v>
      </c>
      <c r="G11253" s="14">
        <v>156200</v>
      </c>
      <c r="H11253" s="13" t="s">
        <v>20970</v>
      </c>
      <c r="I11253" s="40" t="s">
        <v>18</v>
      </c>
      <c r="J11253" s="40" t="str">
        <f>HYPERLINK("https://stock.pstatic.net/stock-research/company/63/20250704_company_105015000.pdf","PDF")</f>
        <v>PDF</v>
      </c>
      <c r="K11253" s="12" t="s">
        <v>20971</v>
      </c>
      <c r="L11253" s="20">
        <v>0.21638924455825859</v>
      </c>
    </row>
    <row r="11254" spans="1:12" x14ac:dyDescent="0.45">
      <c r="A11254" s="12" t="s">
        <v>20913</v>
      </c>
      <c r="B11254" s="12" t="s">
        <v>1781</v>
      </c>
      <c r="C11254" s="13" t="s">
        <v>1782</v>
      </c>
      <c r="D11254" s="13" t="s">
        <v>92</v>
      </c>
      <c r="E11254" s="12" t="s">
        <v>35</v>
      </c>
      <c r="F11254" s="14">
        <v>90000</v>
      </c>
      <c r="G11254" s="14">
        <v>77900</v>
      </c>
      <c r="H11254" s="13" t="s">
        <v>20972</v>
      </c>
      <c r="I11254" s="40" t="s">
        <v>18</v>
      </c>
      <c r="J11254" s="40" t="str">
        <f>HYPERLINK("https://stock.pstatic.net/stock-research/company/63/20250704_company_679173000.pdf","PDF")</f>
        <v>PDF</v>
      </c>
      <c r="K11254" s="12" t="s">
        <v>20973</v>
      </c>
      <c r="L11254" s="20">
        <v>0.15532734274711171</v>
      </c>
    </row>
    <row r="11255" spans="1:12" x14ac:dyDescent="0.45">
      <c r="A11255" s="12" t="s">
        <v>20913</v>
      </c>
      <c r="B11255" s="12" t="s">
        <v>856</v>
      </c>
      <c r="C11255" s="13" t="s">
        <v>857</v>
      </c>
      <c r="D11255" s="13" t="s">
        <v>179</v>
      </c>
      <c r="E11255" s="12" t="s">
        <v>16</v>
      </c>
      <c r="F11255" s="14">
        <v>210000</v>
      </c>
      <c r="G11255" s="14">
        <v>158800</v>
      </c>
      <c r="H11255" s="13" t="s">
        <v>20974</v>
      </c>
      <c r="I11255" s="40" t="s">
        <v>18</v>
      </c>
      <c r="J11255" s="40" t="str">
        <f>HYPERLINK("https://stock.pstatic.net/stock-research/company/31/20250704_company_58509000.pdf","PDF")</f>
        <v>PDF</v>
      </c>
      <c r="K11255" s="12" t="s">
        <v>20975</v>
      </c>
      <c r="L11255" s="20">
        <v>0.32241813602015112</v>
      </c>
    </row>
    <row r="11256" spans="1:12" x14ac:dyDescent="0.45">
      <c r="A11256" s="12" t="s">
        <v>20913</v>
      </c>
      <c r="B11256" s="12" t="s">
        <v>495</v>
      </c>
      <c r="C11256" s="13" t="s">
        <v>496</v>
      </c>
      <c r="D11256" s="13" t="s">
        <v>23</v>
      </c>
      <c r="E11256" s="12" t="s">
        <v>16</v>
      </c>
      <c r="F11256" s="14">
        <v>170000</v>
      </c>
      <c r="G11256" s="14">
        <v>146700</v>
      </c>
      <c r="H11256" s="13" t="s">
        <v>20976</v>
      </c>
      <c r="I11256" s="40" t="s">
        <v>18</v>
      </c>
      <c r="J11256" s="40" t="str">
        <f>HYPERLINK("https://stock.pstatic.net/stock-research/company/21/20250704_company_755011000.pdf","PDF")</f>
        <v>PDF</v>
      </c>
      <c r="K11256" s="12" t="s">
        <v>20977</v>
      </c>
      <c r="L11256" s="20">
        <v>0.15882753919563741</v>
      </c>
    </row>
    <row r="11257" spans="1:12" x14ac:dyDescent="0.45">
      <c r="A11257" s="12" t="s">
        <v>20913</v>
      </c>
      <c r="B11257" s="12" t="s">
        <v>2758</v>
      </c>
      <c r="C11257" s="13" t="s">
        <v>2759</v>
      </c>
      <c r="D11257" s="13" t="s">
        <v>23</v>
      </c>
      <c r="E11257" s="12" t="s">
        <v>16</v>
      </c>
      <c r="F11257" s="14">
        <v>370000</v>
      </c>
      <c r="G11257" s="14">
        <v>312000</v>
      </c>
      <c r="H11257" s="13" t="s">
        <v>20978</v>
      </c>
      <c r="I11257" s="40" t="s">
        <v>18</v>
      </c>
      <c r="J11257" s="40" t="str">
        <f>HYPERLINK("https://stock.pstatic.net/stock-research/company/21/20250704_company_489172000.pdf","PDF")</f>
        <v>PDF</v>
      </c>
      <c r="K11257" s="12" t="s">
        <v>20979</v>
      </c>
      <c r="L11257" s="20">
        <v>0.1858974358974359</v>
      </c>
    </row>
    <row r="11258" spans="1:12" x14ac:dyDescent="0.45">
      <c r="A11258" s="12" t="s">
        <v>20913</v>
      </c>
      <c r="B11258" s="12" t="s">
        <v>3831</v>
      </c>
      <c r="C11258" s="13" t="s">
        <v>3832</v>
      </c>
      <c r="D11258" s="13" t="s">
        <v>23</v>
      </c>
      <c r="E11258" s="12" t="s">
        <v>16</v>
      </c>
      <c r="F11258" s="14">
        <v>50000</v>
      </c>
      <c r="G11258" s="14">
        <v>34900</v>
      </c>
      <c r="H11258" s="13" t="s">
        <v>20980</v>
      </c>
      <c r="I11258" s="40" t="s">
        <v>18</v>
      </c>
      <c r="J11258" s="40" t="str">
        <f>HYPERLINK("https://stock.pstatic.net/stock-research/company/21/20250704_company_937618000.pdf","PDF")</f>
        <v>PDF</v>
      </c>
      <c r="K11258" s="12" t="s">
        <v>20981</v>
      </c>
      <c r="L11258" s="20">
        <v>0.43266475644699143</v>
      </c>
    </row>
    <row r="11259" spans="1:12" x14ac:dyDescent="0.45">
      <c r="A11259" s="12" t="s">
        <v>20913</v>
      </c>
      <c r="B11259" s="12" t="s">
        <v>756</v>
      </c>
      <c r="C11259" s="13" t="s">
        <v>757</v>
      </c>
      <c r="D11259" s="13" t="s">
        <v>23</v>
      </c>
      <c r="E11259" s="12" t="s">
        <v>16</v>
      </c>
      <c r="F11259" s="14">
        <v>130000</v>
      </c>
      <c r="G11259" s="14">
        <v>99900</v>
      </c>
      <c r="H11259" s="13" t="s">
        <v>20982</v>
      </c>
      <c r="I11259" s="40" t="s">
        <v>18</v>
      </c>
      <c r="J11259" s="40" t="str">
        <f>HYPERLINK("https://stock.pstatic.net/stock-research/company/21/20250704_company_141137000.pdf","PDF")</f>
        <v>PDF</v>
      </c>
      <c r="K11259" s="12" t="s">
        <v>20983</v>
      </c>
      <c r="L11259" s="20">
        <v>0.30130130130130128</v>
      </c>
    </row>
    <row r="11260" spans="1:12" x14ac:dyDescent="0.45">
      <c r="A11260" s="12" t="s">
        <v>20913</v>
      </c>
      <c r="B11260" s="12" t="s">
        <v>768</v>
      </c>
      <c r="C11260" s="13" t="s">
        <v>769</v>
      </c>
      <c r="D11260" s="13" t="s">
        <v>23</v>
      </c>
      <c r="E11260" s="12" t="s">
        <v>16</v>
      </c>
      <c r="F11260" s="14">
        <v>320000</v>
      </c>
      <c r="G11260" s="14">
        <v>264500</v>
      </c>
      <c r="H11260" s="13" t="s">
        <v>20984</v>
      </c>
      <c r="I11260" s="40" t="s">
        <v>18</v>
      </c>
      <c r="J11260" s="40" t="str">
        <f>HYPERLINK("https://stock.pstatic.net/stock-research/company/21/20250704_company_388908000.pdf","PDF")</f>
        <v>PDF</v>
      </c>
      <c r="K11260" s="12" t="s">
        <v>20985</v>
      </c>
      <c r="L11260" s="20">
        <v>0.2098298676748582</v>
      </c>
    </row>
    <row r="11261" spans="1:12" x14ac:dyDescent="0.45">
      <c r="A11261" s="12" t="s">
        <v>20913</v>
      </c>
      <c r="B11261" s="12" t="s">
        <v>577</v>
      </c>
      <c r="C11261" s="13" t="s">
        <v>578</v>
      </c>
      <c r="D11261" s="13" t="s">
        <v>23</v>
      </c>
      <c r="E11261" s="12" t="s">
        <v>16</v>
      </c>
      <c r="F11261" s="14">
        <v>390000</v>
      </c>
      <c r="G11261" s="14">
        <v>299500</v>
      </c>
      <c r="H11261" s="13" t="s">
        <v>20986</v>
      </c>
      <c r="I11261" s="40" t="s">
        <v>18</v>
      </c>
      <c r="J11261" s="40" t="str">
        <f>HYPERLINK("https://stock.pstatic.net/stock-research/company/21/20250704_company_149665000.pdf","PDF")</f>
        <v>PDF</v>
      </c>
      <c r="K11261" s="12" t="s">
        <v>20987</v>
      </c>
      <c r="L11261" s="20">
        <v>0.30217028380634392</v>
      </c>
    </row>
    <row r="11262" spans="1:12" x14ac:dyDescent="0.45">
      <c r="A11262" s="12" t="s">
        <v>20913</v>
      </c>
      <c r="B11262" s="12" t="s">
        <v>1407</v>
      </c>
      <c r="C11262" s="13" t="s">
        <v>1408</v>
      </c>
      <c r="D11262" s="13" t="s">
        <v>44</v>
      </c>
      <c r="E11262" s="12" t="s">
        <v>35</v>
      </c>
      <c r="F11262" s="14">
        <v>69000</v>
      </c>
      <c r="G11262" s="14">
        <v>49000</v>
      </c>
      <c r="H11262" s="13" t="s">
        <v>20988</v>
      </c>
      <c r="I11262" s="40" t="s">
        <v>18</v>
      </c>
      <c r="J11262" s="40" t="str">
        <f>HYPERLINK("https://stock.pstatic.net/stock-research/company/39/20250704_company_197636000.pdf","PDF")</f>
        <v>PDF</v>
      </c>
      <c r="K11262" s="12" t="s">
        <v>20989</v>
      </c>
      <c r="L11262" s="20">
        <v>0.40816326530612251</v>
      </c>
    </row>
    <row r="11263" spans="1:12" x14ac:dyDescent="0.45">
      <c r="A11263" s="12" t="s">
        <v>20913</v>
      </c>
      <c r="B11263" s="12" t="s">
        <v>495</v>
      </c>
      <c r="C11263" s="13" t="s">
        <v>496</v>
      </c>
      <c r="D11263" s="13" t="s">
        <v>44</v>
      </c>
      <c r="E11263" s="12" t="s">
        <v>35</v>
      </c>
      <c r="F11263" s="14">
        <v>200000</v>
      </c>
      <c r="G11263" s="14">
        <v>146700</v>
      </c>
      <c r="H11263" s="13" t="s">
        <v>20990</v>
      </c>
      <c r="I11263" s="40" t="s">
        <v>18</v>
      </c>
      <c r="J11263" s="40" t="str">
        <f>HYPERLINK("https://stock.pstatic.net/stock-research/company/39/20250704_company_515599000.pdf","PDF")</f>
        <v>PDF</v>
      </c>
      <c r="K11263" s="12" t="s">
        <v>20991</v>
      </c>
      <c r="L11263" s="20">
        <v>0.36332651670074978</v>
      </c>
    </row>
    <row r="11264" spans="1:12" x14ac:dyDescent="0.45">
      <c r="A11264" s="12" t="s">
        <v>20913</v>
      </c>
      <c r="B11264" s="12" t="s">
        <v>95</v>
      </c>
      <c r="C11264" s="13" t="s">
        <v>31</v>
      </c>
      <c r="D11264" s="13" t="s">
        <v>44</v>
      </c>
      <c r="E11264" s="12" t="s">
        <v>35</v>
      </c>
      <c r="F11264" s="14">
        <v>34000</v>
      </c>
      <c r="G11264" s="14">
        <v>23200</v>
      </c>
      <c r="H11264" s="13" t="s">
        <v>20992</v>
      </c>
      <c r="I11264" s="40" t="s">
        <v>18</v>
      </c>
      <c r="J11264" s="40" t="str">
        <f>HYPERLINK("https://stock.pstatic.net/stock-research/company/39/20250704_company_354489000.pdf","PDF")</f>
        <v>PDF</v>
      </c>
      <c r="K11264" s="12" t="s">
        <v>20993</v>
      </c>
      <c r="L11264" s="20">
        <v>0.46551724137931028</v>
      </c>
    </row>
    <row r="11265" spans="1:12" x14ac:dyDescent="0.45">
      <c r="A11265" s="12" t="s">
        <v>20913</v>
      </c>
      <c r="B11265" s="12" t="s">
        <v>3373</v>
      </c>
      <c r="C11265" s="13" t="s">
        <v>3374</v>
      </c>
      <c r="D11265" s="13" t="s">
        <v>44</v>
      </c>
      <c r="E11265" s="12" t="s">
        <v>35</v>
      </c>
      <c r="F11265" s="14">
        <v>145000</v>
      </c>
      <c r="G11265" s="14">
        <v>116900</v>
      </c>
      <c r="H11265" s="13" t="s">
        <v>20994</v>
      </c>
      <c r="I11265" s="40" t="s">
        <v>18</v>
      </c>
      <c r="J11265" s="40" t="str">
        <f>HYPERLINK("https://stock.pstatic.net/stock-research/company/39/20250704_company_203725000.pdf","PDF")</f>
        <v>PDF</v>
      </c>
      <c r="K11265" s="12" t="s">
        <v>20995</v>
      </c>
      <c r="L11265" s="20">
        <v>0.24037639007698891</v>
      </c>
    </row>
    <row r="11266" spans="1:12" x14ac:dyDescent="0.45">
      <c r="A11266" s="12" t="s">
        <v>20913</v>
      </c>
      <c r="B11266" s="12" t="s">
        <v>1081</v>
      </c>
      <c r="C11266" s="13" t="s">
        <v>1082</v>
      </c>
      <c r="D11266" s="13" t="s">
        <v>44</v>
      </c>
      <c r="E11266" s="12" t="s">
        <v>35</v>
      </c>
      <c r="F11266" s="14">
        <v>1300000</v>
      </c>
      <c r="G11266" s="14">
        <v>1044000</v>
      </c>
      <c r="H11266" s="13" t="s">
        <v>20996</v>
      </c>
      <c r="I11266" s="40" t="s">
        <v>18</v>
      </c>
      <c r="J11266" s="40" t="str">
        <f>HYPERLINK("https://stock.pstatic.net/stock-research/company/39/20250704_company_598117000.pdf","PDF")</f>
        <v>PDF</v>
      </c>
      <c r="K11266" s="12" t="s">
        <v>20997</v>
      </c>
      <c r="L11266" s="20">
        <v>0.24521072796934859</v>
      </c>
    </row>
    <row r="11267" spans="1:12" x14ac:dyDescent="0.45">
      <c r="A11267" s="12" t="s">
        <v>20913</v>
      </c>
      <c r="B11267" s="12" t="s">
        <v>13</v>
      </c>
      <c r="C11267" s="13" t="s">
        <v>14</v>
      </c>
      <c r="D11267" s="13" t="s">
        <v>44</v>
      </c>
      <c r="E11267" s="12" t="s">
        <v>35</v>
      </c>
      <c r="F11267" s="14">
        <v>80000</v>
      </c>
      <c r="G11267" s="14">
        <v>63800</v>
      </c>
      <c r="H11267" s="13" t="s">
        <v>20998</v>
      </c>
      <c r="I11267" s="40" t="s">
        <v>18</v>
      </c>
      <c r="J11267" s="40" t="str">
        <f>HYPERLINK("https://stock.pstatic.net/stock-research/company/1/20250704_company_212540000.pdf","PDF")</f>
        <v>PDF</v>
      </c>
      <c r="K11267" s="12" t="s">
        <v>20999</v>
      </c>
      <c r="L11267" s="20">
        <v>0.25391849529780558</v>
      </c>
    </row>
    <row r="11268" spans="1:12" x14ac:dyDescent="0.45">
      <c r="A11268" s="12" t="s">
        <v>20913</v>
      </c>
      <c r="B11268" s="12" t="s">
        <v>21000</v>
      </c>
      <c r="C11268" s="13" t="s">
        <v>21001</v>
      </c>
      <c r="D11268" s="13" t="s">
        <v>124</v>
      </c>
      <c r="E11268" s="12" t="s">
        <v>50</v>
      </c>
      <c r="F11268" s="13"/>
      <c r="G11268" s="13"/>
      <c r="H11268" s="13" t="s">
        <v>21002</v>
      </c>
      <c r="I11268" s="40" t="s">
        <v>18</v>
      </c>
      <c r="J11268" s="40" t="str">
        <f>HYPERLINK("https://stock.pstatic.net/stock-research/company/74/20250709_company_496656000.pdf","PDF")</f>
        <v>PDF</v>
      </c>
      <c r="K11268" s="12" t="s">
        <v>21003</v>
      </c>
    </row>
    <row r="11269" spans="1:12" x14ac:dyDescent="0.45">
      <c r="A11269" s="12" t="s">
        <v>20913</v>
      </c>
      <c r="B11269" s="12" t="s">
        <v>4376</v>
      </c>
      <c r="C11269" s="13" t="s">
        <v>4377</v>
      </c>
      <c r="D11269" s="13" t="s">
        <v>124</v>
      </c>
      <c r="E11269" s="12" t="s">
        <v>50</v>
      </c>
      <c r="F11269" s="13"/>
      <c r="G11269" s="13"/>
      <c r="H11269" s="13" t="s">
        <v>21004</v>
      </c>
      <c r="I11269" s="40" t="s">
        <v>18</v>
      </c>
      <c r="J11269" s="40" t="str">
        <f>HYPERLINK("https://stock.pstatic.net/stock-research/company/74/20250704_company_200339000.pdf","PDF")</f>
        <v>PDF</v>
      </c>
      <c r="K11269" s="12" t="s">
        <v>21005</v>
      </c>
    </row>
    <row r="11270" spans="1:12" x14ac:dyDescent="0.45">
      <c r="A11270" s="12" t="s">
        <v>20913</v>
      </c>
      <c r="B11270" s="12" t="s">
        <v>4360</v>
      </c>
      <c r="C11270" s="13" t="s">
        <v>4361</v>
      </c>
      <c r="D11270" s="13" t="s">
        <v>124</v>
      </c>
      <c r="E11270" s="12" t="s">
        <v>50</v>
      </c>
      <c r="F11270" s="13"/>
      <c r="G11270" s="13"/>
      <c r="H11270" s="13" t="s">
        <v>21006</v>
      </c>
      <c r="I11270" s="40" t="s">
        <v>18</v>
      </c>
      <c r="J11270" s="40" t="str">
        <f>HYPERLINK("https://stock.pstatic.net/stock-research/company/74/20250704_company_666999000.pdf","PDF")</f>
        <v>PDF</v>
      </c>
      <c r="K11270" s="12" t="s">
        <v>21007</v>
      </c>
    </row>
    <row r="11271" spans="1:12" x14ac:dyDescent="0.45">
      <c r="A11271" s="12" t="s">
        <v>20913</v>
      </c>
      <c r="B11271" s="12" t="s">
        <v>549</v>
      </c>
      <c r="C11271" s="13" t="s">
        <v>550</v>
      </c>
      <c r="D11271" s="13" t="s">
        <v>53</v>
      </c>
      <c r="E11271" s="12" t="s">
        <v>50</v>
      </c>
      <c r="F11271" s="13"/>
      <c r="G11271" s="14">
        <v>6770</v>
      </c>
      <c r="H11271" s="13" t="s">
        <v>21008</v>
      </c>
      <c r="I11271" s="40" t="s">
        <v>18</v>
      </c>
      <c r="J11271" s="40" t="str">
        <f>HYPERLINK("https://stock.pstatic.net/stock-research/company/40/20250704_company_571050000.pdf","PDF")</f>
        <v>PDF</v>
      </c>
      <c r="K11271" s="12" t="s">
        <v>21009</v>
      </c>
    </row>
    <row r="11272" spans="1:12" x14ac:dyDescent="0.45">
      <c r="A11272" s="12" t="s">
        <v>20913</v>
      </c>
      <c r="B11272" s="12" t="s">
        <v>21010</v>
      </c>
      <c r="C11272" s="13" t="s">
        <v>21011</v>
      </c>
      <c r="D11272" s="13" t="s">
        <v>11154</v>
      </c>
      <c r="E11272" s="12" t="s">
        <v>50</v>
      </c>
      <c r="F11272" s="13"/>
      <c r="G11272" s="13"/>
      <c r="H11272" s="13" t="s">
        <v>21012</v>
      </c>
      <c r="I11272" s="40" t="s">
        <v>18</v>
      </c>
      <c r="J11272" s="40" t="str">
        <f>HYPERLINK("https://stock.pstatic.net/stock-research/company/79/20250704_company_985405000.pdf","PDF")</f>
        <v>PDF</v>
      </c>
      <c r="K11272" s="12" t="s">
        <v>21013</v>
      </c>
    </row>
    <row r="11273" spans="1:12" x14ac:dyDescent="0.45">
      <c r="A11273" s="12" t="s">
        <v>20913</v>
      </c>
      <c r="B11273" s="12" t="s">
        <v>21014</v>
      </c>
      <c r="C11273" s="13" t="s">
        <v>21015</v>
      </c>
      <c r="D11273" s="13" t="s">
        <v>11154</v>
      </c>
      <c r="E11273" s="12" t="s">
        <v>50</v>
      </c>
      <c r="F11273" s="13"/>
      <c r="G11273" s="13"/>
      <c r="H11273" s="13" t="s">
        <v>21016</v>
      </c>
      <c r="I11273" s="40" t="s">
        <v>18</v>
      </c>
      <c r="J11273" s="40" t="str">
        <f>HYPERLINK("https://stock.pstatic.net/stock-research/company/79/20250704_company_649090000.pdf","PDF")</f>
        <v>PDF</v>
      </c>
      <c r="K11273" s="12" t="s">
        <v>21017</v>
      </c>
    </row>
    <row r="11274" spans="1:12" x14ac:dyDescent="0.45">
      <c r="A11274" s="12" t="s">
        <v>21018</v>
      </c>
      <c r="B11274" s="12" t="s">
        <v>3548</v>
      </c>
      <c r="C11274" s="13" t="s">
        <v>3549</v>
      </c>
      <c r="D11274" s="13" t="s">
        <v>83</v>
      </c>
      <c r="E11274" s="12" t="s">
        <v>35</v>
      </c>
      <c r="F11274" s="14">
        <v>58000</v>
      </c>
      <c r="G11274" s="14">
        <v>46900</v>
      </c>
      <c r="H11274" s="13" t="s">
        <v>21019</v>
      </c>
      <c r="I11274" s="40" t="s">
        <v>18</v>
      </c>
      <c r="J11274" s="40" t="str">
        <f>HYPERLINK("https://stock.pstatic.net/stock-research/company/2/20250703_company_640960000.pdf","PDF")</f>
        <v>PDF</v>
      </c>
      <c r="K11274" s="12" t="s">
        <v>21020</v>
      </c>
      <c r="L11274" s="20">
        <v>0.23667377398720679</v>
      </c>
    </row>
    <row r="11275" spans="1:12" x14ac:dyDescent="0.45">
      <c r="A11275" s="12" t="s">
        <v>21018</v>
      </c>
      <c r="B11275" s="12" t="s">
        <v>856</v>
      </c>
      <c r="C11275" s="13" t="s">
        <v>857</v>
      </c>
      <c r="D11275" s="13" t="s">
        <v>276</v>
      </c>
      <c r="E11275" s="12" t="s">
        <v>16</v>
      </c>
      <c r="F11275" s="14">
        <v>210000</v>
      </c>
      <c r="G11275" s="14">
        <v>145300</v>
      </c>
      <c r="H11275" s="13" t="s">
        <v>21021</v>
      </c>
      <c r="I11275" s="40" t="s">
        <v>18</v>
      </c>
      <c r="J11275" s="40" t="str">
        <f>HYPERLINK("https://stock.pstatic.net/stock-research/company/66/20250703_company_648469000.pdf","PDF")</f>
        <v>PDF</v>
      </c>
      <c r="K11275" s="12" t="s">
        <v>21022</v>
      </c>
      <c r="L11275" s="20">
        <v>0.44528561596696492</v>
      </c>
    </row>
    <row r="11276" spans="1:12" x14ac:dyDescent="0.45">
      <c r="A11276" s="12" t="s">
        <v>21018</v>
      </c>
      <c r="B11276" s="12" t="s">
        <v>14730</v>
      </c>
      <c r="C11276" s="13" t="s">
        <v>14731</v>
      </c>
      <c r="D11276" s="13" t="s">
        <v>276</v>
      </c>
      <c r="E11276" s="12" t="s">
        <v>16</v>
      </c>
      <c r="F11276" s="14">
        <v>56000</v>
      </c>
      <c r="G11276" s="14">
        <v>41500</v>
      </c>
      <c r="H11276" s="13" t="s">
        <v>16367</v>
      </c>
      <c r="I11276" s="40" t="s">
        <v>18</v>
      </c>
      <c r="J11276" s="40" t="str">
        <f>HYPERLINK("https://stock.pstatic.net/stock-research/company/66/20250703_company_564519000.pdf","PDF")</f>
        <v>PDF</v>
      </c>
      <c r="K11276" s="12" t="s">
        <v>21023</v>
      </c>
      <c r="L11276" s="20">
        <v>0.3493975903614458</v>
      </c>
    </row>
    <row r="11277" spans="1:12" x14ac:dyDescent="0.45">
      <c r="A11277" s="12" t="s">
        <v>21018</v>
      </c>
      <c r="B11277" s="12" t="s">
        <v>3113</v>
      </c>
      <c r="C11277" s="13" t="s">
        <v>3114</v>
      </c>
      <c r="D11277" s="13" t="s">
        <v>65</v>
      </c>
      <c r="E11277" s="12" t="s">
        <v>35</v>
      </c>
      <c r="F11277" s="14">
        <v>40000</v>
      </c>
      <c r="G11277" s="14">
        <v>31400</v>
      </c>
      <c r="H11277" s="13" t="s">
        <v>21024</v>
      </c>
      <c r="I11277" s="40" t="s">
        <v>18</v>
      </c>
      <c r="J11277" s="40" t="str">
        <f>HYPERLINK("https://stock.pstatic.net/stock-research/company/57/20250703_company_755400000.pdf","PDF")</f>
        <v>PDF</v>
      </c>
      <c r="K11277" s="12" t="s">
        <v>21025</v>
      </c>
      <c r="L11277" s="20">
        <v>0.27388535031847128</v>
      </c>
    </row>
    <row r="11278" spans="1:12" x14ac:dyDescent="0.45">
      <c r="A11278" s="12" t="s">
        <v>21018</v>
      </c>
      <c r="B11278" s="12" t="s">
        <v>281</v>
      </c>
      <c r="C11278" s="13" t="s">
        <v>282</v>
      </c>
      <c r="D11278" s="13" t="s">
        <v>65</v>
      </c>
      <c r="E11278" s="12" t="s">
        <v>35</v>
      </c>
      <c r="F11278" s="14">
        <v>25000</v>
      </c>
      <c r="G11278" s="14">
        <v>12960</v>
      </c>
      <c r="H11278" s="13" t="s">
        <v>21026</v>
      </c>
      <c r="I11278" s="40" t="s">
        <v>18</v>
      </c>
      <c r="J11278" s="40" t="str">
        <f>HYPERLINK("https://stock.pstatic.net/stock-research/company/57/20250703_company_396962000.pdf","PDF")</f>
        <v>PDF</v>
      </c>
      <c r="K11278" s="12" t="s">
        <v>21027</v>
      </c>
      <c r="L11278" s="20">
        <v>0.92901234567901236</v>
      </c>
    </row>
    <row r="11279" spans="1:12" x14ac:dyDescent="0.45">
      <c r="A11279" s="12" t="s">
        <v>21018</v>
      </c>
      <c r="B11279" s="12" t="s">
        <v>95</v>
      </c>
      <c r="C11279" s="13" t="s">
        <v>31</v>
      </c>
      <c r="D11279" s="13" t="s">
        <v>57</v>
      </c>
      <c r="E11279" s="12" t="s">
        <v>35</v>
      </c>
      <c r="F11279" s="14">
        <v>31000</v>
      </c>
      <c r="G11279" s="14">
        <v>22900</v>
      </c>
      <c r="H11279" s="13" t="s">
        <v>21028</v>
      </c>
      <c r="I11279" s="40" t="s">
        <v>18</v>
      </c>
      <c r="J11279" s="40" t="str">
        <f>HYPERLINK("https://stock.pstatic.net/stock-research/company/16/20250703_company_352453000.pdf","PDF")</f>
        <v>PDF</v>
      </c>
      <c r="K11279" s="12" t="s">
        <v>21029</v>
      </c>
      <c r="L11279" s="20">
        <v>0.35371179039301309</v>
      </c>
    </row>
    <row r="11280" spans="1:12" x14ac:dyDescent="0.45">
      <c r="A11280" s="12" t="s">
        <v>21018</v>
      </c>
      <c r="B11280" s="12" t="s">
        <v>1019</v>
      </c>
      <c r="C11280" s="13" t="s">
        <v>1020</v>
      </c>
      <c r="D11280" s="13" t="s">
        <v>57</v>
      </c>
      <c r="E11280" s="12" t="s">
        <v>35</v>
      </c>
      <c r="F11280" s="14">
        <v>24000</v>
      </c>
      <c r="G11280" s="14">
        <v>17400</v>
      </c>
      <c r="H11280" s="13" t="s">
        <v>21030</v>
      </c>
      <c r="I11280" s="40" t="s">
        <v>18</v>
      </c>
      <c r="J11280" s="40" t="str">
        <f>HYPERLINK("https://stock.pstatic.net/stock-research/company/16/20250703_company_739209000.pdf","PDF")</f>
        <v>PDF</v>
      </c>
      <c r="K11280" s="12" t="s">
        <v>21031</v>
      </c>
      <c r="L11280" s="20">
        <v>0.37931034482758619</v>
      </c>
    </row>
    <row r="11281" spans="1:12" x14ac:dyDescent="0.45">
      <c r="A11281" s="12" t="s">
        <v>21018</v>
      </c>
      <c r="B11281" s="12" t="s">
        <v>352</v>
      </c>
      <c r="C11281" s="13" t="s">
        <v>353</v>
      </c>
      <c r="D11281" s="13" t="s">
        <v>15</v>
      </c>
      <c r="E11281" s="12" t="s">
        <v>16</v>
      </c>
      <c r="F11281" s="14">
        <v>300000</v>
      </c>
      <c r="G11281" s="14">
        <v>203000</v>
      </c>
      <c r="H11281" s="13" t="s">
        <v>21032</v>
      </c>
      <c r="I11281" s="40" t="s">
        <v>18</v>
      </c>
      <c r="J11281" s="40" t="str">
        <f>HYPERLINK("https://stock.pstatic.net/stock-research/company/29/20250703_company_122589000.pdf","PDF")</f>
        <v>PDF</v>
      </c>
      <c r="K11281" s="12" t="s">
        <v>21033</v>
      </c>
      <c r="L11281" s="20">
        <v>0.47783251231527102</v>
      </c>
    </row>
    <row r="11282" spans="1:12" x14ac:dyDescent="0.45">
      <c r="A11282" s="12" t="s">
        <v>21018</v>
      </c>
      <c r="B11282" s="12" t="s">
        <v>533</v>
      </c>
      <c r="C11282" s="13" t="s">
        <v>534</v>
      </c>
      <c r="D11282" s="13" t="s">
        <v>53</v>
      </c>
      <c r="E11282" s="12" t="s">
        <v>16</v>
      </c>
      <c r="F11282" s="14">
        <v>72000</v>
      </c>
      <c r="G11282" s="14">
        <v>56800</v>
      </c>
      <c r="H11282" s="13" t="s">
        <v>21034</v>
      </c>
      <c r="I11282" s="40" t="s">
        <v>18</v>
      </c>
      <c r="J11282" s="40" t="str">
        <f>HYPERLINK("https://stock.pstatic.net/stock-research/company/40/20250703_company_287976000.pdf","PDF")</f>
        <v>PDF</v>
      </c>
      <c r="K11282" s="12" t="s">
        <v>21035</v>
      </c>
      <c r="L11282" s="20">
        <v>0.26760563380281688</v>
      </c>
    </row>
    <row r="11283" spans="1:12" x14ac:dyDescent="0.45">
      <c r="A11283" s="12" t="s">
        <v>21018</v>
      </c>
      <c r="B11283" s="12" t="s">
        <v>2522</v>
      </c>
      <c r="C11283" s="13" t="s">
        <v>2523</v>
      </c>
      <c r="D11283" s="13" t="s">
        <v>179</v>
      </c>
      <c r="E11283" s="12" t="s">
        <v>16</v>
      </c>
      <c r="F11283" s="14">
        <v>500000</v>
      </c>
      <c r="G11283" s="14">
        <v>358500</v>
      </c>
      <c r="H11283" s="13" t="s">
        <v>21036</v>
      </c>
      <c r="I11283" s="40" t="s">
        <v>18</v>
      </c>
      <c r="J11283" s="40" t="str">
        <f>HYPERLINK("https://stock.pstatic.net/stock-research/company/31/20250703_company_503179000.pdf","PDF")</f>
        <v>PDF</v>
      </c>
      <c r="K11283" s="12" t="s">
        <v>21037</v>
      </c>
      <c r="L11283" s="20">
        <v>0.39470013947001392</v>
      </c>
    </row>
    <row r="11284" spans="1:12" x14ac:dyDescent="0.45">
      <c r="A11284" s="12" t="s">
        <v>21018</v>
      </c>
      <c r="B11284" s="12" t="s">
        <v>1190</v>
      </c>
      <c r="C11284" s="13" t="s">
        <v>1191</v>
      </c>
      <c r="D11284" s="13" t="s">
        <v>179</v>
      </c>
      <c r="E11284" s="12" t="s">
        <v>16</v>
      </c>
      <c r="F11284" s="14">
        <v>115000</v>
      </c>
      <c r="G11284" s="14">
        <v>95800</v>
      </c>
      <c r="H11284" s="13" t="s">
        <v>21038</v>
      </c>
      <c r="I11284" s="40" t="s">
        <v>18</v>
      </c>
      <c r="J11284" s="40" t="str">
        <f>HYPERLINK("https://stock.pstatic.net/stock-research/company/31/20250703_company_291520000.pdf","PDF")</f>
        <v>PDF</v>
      </c>
      <c r="K11284" s="12" t="s">
        <v>21039</v>
      </c>
      <c r="L11284" s="20">
        <v>0.2004175365344468</v>
      </c>
    </row>
    <row r="11285" spans="1:12" x14ac:dyDescent="0.45">
      <c r="A11285" s="12" t="s">
        <v>21018</v>
      </c>
      <c r="B11285" s="12" t="s">
        <v>629</v>
      </c>
      <c r="C11285" s="13" t="s">
        <v>630</v>
      </c>
      <c r="D11285" s="13" t="s">
        <v>92</v>
      </c>
      <c r="E11285" s="12" t="s">
        <v>50</v>
      </c>
      <c r="F11285" s="13"/>
      <c r="G11285" s="14">
        <v>13000</v>
      </c>
      <c r="H11285" s="13" t="s">
        <v>21040</v>
      </c>
      <c r="I11285" s="40" t="s">
        <v>18</v>
      </c>
      <c r="J11285" s="40" t="str">
        <f>HYPERLINK("https://stock.pstatic.net/stock-research/company/63/20250703_company_982349000.pdf","PDF")</f>
        <v>PDF</v>
      </c>
      <c r="K11285" s="12" t="s">
        <v>21041</v>
      </c>
    </row>
    <row r="11286" spans="1:12" x14ac:dyDescent="0.45">
      <c r="A11286" s="12" t="s">
        <v>21018</v>
      </c>
      <c r="B11286" s="12" t="s">
        <v>7544</v>
      </c>
      <c r="C11286" s="13" t="s">
        <v>7545</v>
      </c>
      <c r="D11286" s="13" t="s">
        <v>23</v>
      </c>
      <c r="E11286" s="12" t="s">
        <v>16</v>
      </c>
      <c r="F11286" s="14">
        <v>64000</v>
      </c>
      <c r="G11286" s="14">
        <v>46300</v>
      </c>
      <c r="H11286" s="13" t="s">
        <v>21042</v>
      </c>
      <c r="I11286" s="40" t="s">
        <v>18</v>
      </c>
      <c r="J11286" s="40" t="str">
        <f>HYPERLINK("https://stock.pstatic.net/stock-research/company/21/20250703_company_653057000.pdf","PDF")</f>
        <v>PDF</v>
      </c>
      <c r="K11286" s="12" t="s">
        <v>21043</v>
      </c>
      <c r="L11286" s="20">
        <v>0.38228941684665219</v>
      </c>
    </row>
    <row r="11287" spans="1:12" x14ac:dyDescent="0.45">
      <c r="A11287" s="12" t="s">
        <v>21018</v>
      </c>
      <c r="B11287" s="12" t="s">
        <v>740</v>
      </c>
      <c r="C11287" s="13" t="s">
        <v>741</v>
      </c>
      <c r="D11287" s="13" t="s">
        <v>44</v>
      </c>
      <c r="E11287" s="12" t="s">
        <v>45</v>
      </c>
      <c r="F11287" s="14">
        <v>170000</v>
      </c>
      <c r="G11287" s="14">
        <v>152900</v>
      </c>
      <c r="H11287" s="13" t="s">
        <v>21044</v>
      </c>
      <c r="I11287" s="40" t="s">
        <v>18</v>
      </c>
      <c r="J11287" s="40" t="str">
        <f>HYPERLINK("https://stock.pstatic.net/stock-research/company/39/20250703_company_273573000.pdf","PDF")</f>
        <v>PDF</v>
      </c>
      <c r="K11287" s="12" t="s">
        <v>21045</v>
      </c>
      <c r="L11287" s="20">
        <v>0.11183780248528449</v>
      </c>
    </row>
    <row r="11288" spans="1:12" x14ac:dyDescent="0.45">
      <c r="A11288" s="12" t="s">
        <v>21018</v>
      </c>
      <c r="B11288" s="12" t="s">
        <v>495</v>
      </c>
      <c r="C11288" s="13" t="s">
        <v>496</v>
      </c>
      <c r="D11288" s="13" t="s">
        <v>44</v>
      </c>
      <c r="E11288" s="12" t="s">
        <v>35</v>
      </c>
      <c r="F11288" s="14">
        <v>200000</v>
      </c>
      <c r="G11288" s="14">
        <v>146600</v>
      </c>
      <c r="H11288" s="13" t="s">
        <v>20990</v>
      </c>
      <c r="I11288" s="40" t="s">
        <v>18</v>
      </c>
      <c r="J11288" s="40" t="str">
        <f>HYPERLINK("https://stock.pstatic.net/stock-research/company/39/20250703_company_594224000.pdf","PDF")</f>
        <v>PDF</v>
      </c>
      <c r="K11288" s="12" t="s">
        <v>21046</v>
      </c>
      <c r="L11288" s="20">
        <v>0.36425648021828111</v>
      </c>
    </row>
    <row r="11289" spans="1:12" x14ac:dyDescent="0.45">
      <c r="A11289" s="12" t="s">
        <v>21018</v>
      </c>
      <c r="B11289" s="12" t="s">
        <v>3383</v>
      </c>
      <c r="C11289" s="13" t="s">
        <v>3384</v>
      </c>
      <c r="D11289" s="13" t="s">
        <v>124</v>
      </c>
      <c r="E11289" s="12" t="s">
        <v>50</v>
      </c>
      <c r="F11289" s="13"/>
      <c r="G11289" s="13"/>
      <c r="H11289" s="13" t="s">
        <v>21047</v>
      </c>
      <c r="I11289" s="40" t="s">
        <v>18</v>
      </c>
      <c r="J11289" s="40" t="str">
        <f>HYPERLINK("https://stock.pstatic.net/stock-research/company/74/20250703_company_532253000.pdf","PDF")</f>
        <v>PDF</v>
      </c>
      <c r="K11289" s="12" t="s">
        <v>21048</v>
      </c>
    </row>
    <row r="11290" spans="1:12" x14ac:dyDescent="0.45">
      <c r="A11290" s="12" t="s">
        <v>21018</v>
      </c>
      <c r="B11290" s="12" t="s">
        <v>4119</v>
      </c>
      <c r="C11290" s="13" t="s">
        <v>4120</v>
      </c>
      <c r="D11290" s="13" t="s">
        <v>124</v>
      </c>
      <c r="E11290" s="12" t="s">
        <v>50</v>
      </c>
      <c r="F11290" s="13"/>
      <c r="G11290" s="13"/>
      <c r="H11290" s="13" t="s">
        <v>21049</v>
      </c>
      <c r="I11290" s="40" t="s">
        <v>18</v>
      </c>
      <c r="J11290" s="40" t="str">
        <f>HYPERLINK("https://stock.pstatic.net/stock-research/company/74/20250703_company_525090000.pdf","PDF")</f>
        <v>PDF</v>
      </c>
      <c r="K11290" s="12" t="s">
        <v>21050</v>
      </c>
    </row>
    <row r="11291" spans="1:12" x14ac:dyDescent="0.45">
      <c r="A11291" s="12" t="s">
        <v>21018</v>
      </c>
      <c r="B11291" s="12" t="s">
        <v>1140</v>
      </c>
      <c r="C11291" s="13" t="s">
        <v>1141</v>
      </c>
      <c r="D11291" s="13" t="s">
        <v>15</v>
      </c>
      <c r="E11291" s="12" t="s">
        <v>385</v>
      </c>
      <c r="F11291" s="14">
        <v>36000</v>
      </c>
      <c r="G11291" s="14">
        <v>35950</v>
      </c>
      <c r="H11291" s="13" t="s">
        <v>21051</v>
      </c>
      <c r="I11291" s="40" t="s">
        <v>18</v>
      </c>
      <c r="J11291" s="40" t="str">
        <f>HYPERLINK("https://stock.pstatic.net/stock-research/company/29/20250703_company_16732000.pdf","PDF")</f>
        <v>PDF</v>
      </c>
      <c r="K11291" s="12" t="s">
        <v>21052</v>
      </c>
      <c r="L11291" s="20">
        <v>1.3908205841446451E-3</v>
      </c>
    </row>
    <row r="11292" spans="1:12" x14ac:dyDescent="0.45">
      <c r="A11292" s="12" t="s">
        <v>21053</v>
      </c>
      <c r="B11292" s="12" t="s">
        <v>3113</v>
      </c>
      <c r="C11292" s="13" t="s">
        <v>3114</v>
      </c>
      <c r="D11292" s="13" t="s">
        <v>15</v>
      </c>
      <c r="E11292" s="12" t="s">
        <v>385</v>
      </c>
      <c r="F11292" s="14">
        <v>33000</v>
      </c>
      <c r="G11292" s="14">
        <v>32000</v>
      </c>
      <c r="H11292" s="13" t="s">
        <v>21054</v>
      </c>
      <c r="I11292" s="40" t="s">
        <v>18</v>
      </c>
      <c r="J11292" s="40" t="str">
        <f>HYPERLINK("https://stock.pstatic.net/stock-research/company/29/20250702_company_873815000.pdf","PDF")</f>
        <v>PDF</v>
      </c>
      <c r="K11292" s="12" t="s">
        <v>21055</v>
      </c>
      <c r="L11292" s="20">
        <v>3.125E-2</v>
      </c>
    </row>
    <row r="11293" spans="1:12" x14ac:dyDescent="0.45">
      <c r="A11293" s="12" t="s">
        <v>21053</v>
      </c>
      <c r="B11293" s="12" t="s">
        <v>2982</v>
      </c>
      <c r="C11293" s="13" t="s">
        <v>2983</v>
      </c>
      <c r="D11293" s="13" t="s">
        <v>83</v>
      </c>
      <c r="E11293" s="12" t="s">
        <v>35</v>
      </c>
      <c r="F11293" s="14">
        <v>62000</v>
      </c>
      <c r="G11293" s="14">
        <v>53500</v>
      </c>
      <c r="H11293" s="13" t="s">
        <v>21056</v>
      </c>
      <c r="I11293" s="40" t="s">
        <v>18</v>
      </c>
      <c r="J11293" s="40" t="str">
        <f>HYPERLINK("https://stock.pstatic.net/stock-research/company/2/20250702_company_676150000.pdf","PDF")</f>
        <v>PDF</v>
      </c>
      <c r="K11293" s="12" t="s">
        <v>21057</v>
      </c>
      <c r="L11293" s="20">
        <v>0.15887850467289719</v>
      </c>
    </row>
    <row r="11294" spans="1:12" x14ac:dyDescent="0.45">
      <c r="A11294" s="12" t="s">
        <v>21053</v>
      </c>
      <c r="B11294" s="12" t="s">
        <v>13</v>
      </c>
      <c r="C11294" s="13" t="s">
        <v>14</v>
      </c>
      <c r="D11294" s="13" t="s">
        <v>276</v>
      </c>
      <c r="E11294" s="12" t="s">
        <v>16</v>
      </c>
      <c r="F11294" s="14">
        <v>71000</v>
      </c>
      <c r="G11294" s="14">
        <v>60200</v>
      </c>
      <c r="H11294" s="13" t="s">
        <v>21058</v>
      </c>
      <c r="I11294" s="40" t="s">
        <v>18</v>
      </c>
      <c r="J11294" s="40" t="str">
        <f>HYPERLINK("https://stock.pstatic.net/stock-research/company/66/20250702_company_53385000.pdf","PDF")</f>
        <v>PDF</v>
      </c>
      <c r="K11294" s="12" t="s">
        <v>21059</v>
      </c>
      <c r="L11294" s="20">
        <v>0.17940199335548171</v>
      </c>
    </row>
    <row r="11295" spans="1:12" x14ac:dyDescent="0.45">
      <c r="A11295" s="12" t="s">
        <v>21053</v>
      </c>
      <c r="B11295" s="12" t="s">
        <v>434</v>
      </c>
      <c r="C11295" s="13" t="s">
        <v>435</v>
      </c>
      <c r="D11295" s="13" t="s">
        <v>60</v>
      </c>
      <c r="E11295" s="12" t="s">
        <v>35</v>
      </c>
      <c r="F11295" s="14">
        <v>160000</v>
      </c>
      <c r="G11295" s="14">
        <v>137500</v>
      </c>
      <c r="H11295" s="13" t="s">
        <v>21060</v>
      </c>
      <c r="I11295" s="40" t="s">
        <v>18</v>
      </c>
      <c r="J11295" s="40" t="str">
        <f>HYPERLINK("https://stock.pstatic.net/stock-research/company/34/20250702_company_581314000.pdf","PDF")</f>
        <v>PDF</v>
      </c>
      <c r="K11295" s="12" t="s">
        <v>21061</v>
      </c>
      <c r="L11295" s="20">
        <v>0.16363636363636361</v>
      </c>
    </row>
    <row r="11296" spans="1:12" x14ac:dyDescent="0.45">
      <c r="A11296" s="12" t="s">
        <v>21053</v>
      </c>
      <c r="B11296" s="12" t="s">
        <v>2191</v>
      </c>
      <c r="C11296" s="13" t="s">
        <v>2192</v>
      </c>
      <c r="D11296" s="13" t="s">
        <v>60</v>
      </c>
      <c r="E11296" s="12" t="s">
        <v>35</v>
      </c>
      <c r="F11296" s="14">
        <v>80000</v>
      </c>
      <c r="G11296" s="14">
        <v>60500</v>
      </c>
      <c r="H11296" s="13" t="s">
        <v>21062</v>
      </c>
      <c r="I11296" s="40" t="s">
        <v>18</v>
      </c>
      <c r="J11296" s="40" t="str">
        <f>HYPERLINK("https://stock.pstatic.net/stock-research/company/62/20250702_company_31527000.pdf","PDF")</f>
        <v>PDF</v>
      </c>
      <c r="K11296" s="12" t="s">
        <v>21063</v>
      </c>
      <c r="L11296" s="20">
        <v>0.32231404958677679</v>
      </c>
    </row>
    <row r="11297" spans="1:12" x14ac:dyDescent="0.45">
      <c r="A11297" s="12" t="s">
        <v>21053</v>
      </c>
      <c r="B11297" s="12" t="s">
        <v>42</v>
      </c>
      <c r="C11297" s="13" t="s">
        <v>43</v>
      </c>
      <c r="D11297" s="13" t="s">
        <v>57</v>
      </c>
      <c r="E11297" s="12" t="s">
        <v>35</v>
      </c>
      <c r="F11297" s="14">
        <v>340000</v>
      </c>
      <c r="G11297" s="14">
        <v>262000</v>
      </c>
      <c r="H11297" s="13" t="s">
        <v>21064</v>
      </c>
      <c r="I11297" s="40" t="s">
        <v>18</v>
      </c>
      <c r="J11297" s="40" t="str">
        <f>HYPERLINK("https://stock.pstatic.net/stock-research/company/16/20250702_company_101686000.pdf","PDF")</f>
        <v>PDF</v>
      </c>
      <c r="K11297" s="12" t="s">
        <v>21065</v>
      </c>
      <c r="L11297" s="20">
        <v>0.29770992366412208</v>
      </c>
    </row>
    <row r="11298" spans="1:12" x14ac:dyDescent="0.45">
      <c r="A11298" s="12" t="s">
        <v>21053</v>
      </c>
      <c r="B11298" s="12" t="s">
        <v>916</v>
      </c>
      <c r="C11298" s="13" t="s">
        <v>917</v>
      </c>
      <c r="D11298" s="13" t="s">
        <v>57</v>
      </c>
      <c r="E11298" s="12" t="s">
        <v>35</v>
      </c>
      <c r="F11298" s="14">
        <v>78000</v>
      </c>
      <c r="G11298" s="14">
        <v>60100</v>
      </c>
      <c r="H11298" s="13" t="s">
        <v>21066</v>
      </c>
      <c r="I11298" s="40" t="s">
        <v>18</v>
      </c>
      <c r="J11298" s="40" t="str">
        <f>HYPERLINK("https://stock.pstatic.net/stock-research/company/16/20250702_company_705015000.pdf","PDF")</f>
        <v>PDF</v>
      </c>
      <c r="K11298" s="12" t="s">
        <v>21067</v>
      </c>
      <c r="L11298" s="20">
        <v>0.29783693843594011</v>
      </c>
    </row>
    <row r="11299" spans="1:12" x14ac:dyDescent="0.45">
      <c r="A11299" s="12" t="s">
        <v>21053</v>
      </c>
      <c r="B11299" s="12" t="s">
        <v>1552</v>
      </c>
      <c r="C11299" s="13" t="s">
        <v>9704</v>
      </c>
      <c r="D11299" s="13" t="s">
        <v>57</v>
      </c>
      <c r="E11299" s="12" t="s">
        <v>35</v>
      </c>
      <c r="F11299" s="14">
        <v>88000</v>
      </c>
      <c r="G11299" s="14">
        <v>75500</v>
      </c>
      <c r="H11299" s="13" t="s">
        <v>21068</v>
      </c>
      <c r="I11299" s="40" t="s">
        <v>18</v>
      </c>
      <c r="J11299" s="40" t="str">
        <f>HYPERLINK("https://stock.pstatic.net/stock-research/company/16/20250702_company_922388000.pdf","PDF")</f>
        <v>PDF</v>
      </c>
      <c r="K11299" s="12" t="s">
        <v>21069</v>
      </c>
      <c r="L11299" s="20">
        <v>0.16556291390728481</v>
      </c>
    </row>
    <row r="11300" spans="1:12" x14ac:dyDescent="0.45">
      <c r="A11300" s="12" t="s">
        <v>21053</v>
      </c>
      <c r="B11300" s="12" t="s">
        <v>1552</v>
      </c>
      <c r="C11300" s="13" t="s">
        <v>9704</v>
      </c>
      <c r="D11300" s="13" t="s">
        <v>23</v>
      </c>
      <c r="E11300" s="12" t="s">
        <v>16</v>
      </c>
      <c r="F11300" s="14">
        <v>77000</v>
      </c>
      <c r="G11300" s="14">
        <v>75500</v>
      </c>
      <c r="H11300" s="13" t="s">
        <v>21070</v>
      </c>
      <c r="I11300" s="40" t="s">
        <v>18</v>
      </c>
      <c r="J11300" s="40" t="str">
        <f>HYPERLINK("https://stock.pstatic.net/stock-research/company/21/20250702_company_571909000.pdf","PDF")</f>
        <v>PDF</v>
      </c>
      <c r="K11300" s="12" t="s">
        <v>21071</v>
      </c>
      <c r="L11300" s="20">
        <v>1.986754966887417E-2</v>
      </c>
    </row>
    <row r="11301" spans="1:12" x14ac:dyDescent="0.45">
      <c r="A11301" s="12" t="s">
        <v>21053</v>
      </c>
      <c r="B11301" s="12" t="s">
        <v>1552</v>
      </c>
      <c r="C11301" s="13" t="s">
        <v>9704</v>
      </c>
      <c r="D11301" s="13" t="s">
        <v>44</v>
      </c>
      <c r="E11301" s="12" t="s">
        <v>50</v>
      </c>
      <c r="F11301" s="13"/>
      <c r="G11301" s="13"/>
      <c r="H11301" s="13" t="s">
        <v>21072</v>
      </c>
      <c r="I11301" s="40" t="s">
        <v>18</v>
      </c>
      <c r="J11301" s="40" t="str">
        <f>HYPERLINK("https://stock.pstatic.net/stock-research/company/39/20250702_company_789912000.pdf","PDF")</f>
        <v>PDF</v>
      </c>
      <c r="K11301" s="12" t="s">
        <v>21073</v>
      </c>
    </row>
    <row r="11302" spans="1:12" x14ac:dyDescent="0.45">
      <c r="A11302" s="12" t="s">
        <v>21053</v>
      </c>
      <c r="B11302" s="12" t="s">
        <v>2522</v>
      </c>
      <c r="C11302" s="13" t="s">
        <v>2523</v>
      </c>
      <c r="D11302" s="13" t="s">
        <v>92</v>
      </c>
      <c r="E11302" s="12" t="s">
        <v>35</v>
      </c>
      <c r="F11302" s="14">
        <v>510000</v>
      </c>
      <c r="G11302" s="14">
        <v>362000</v>
      </c>
      <c r="H11302" s="13" t="s">
        <v>21074</v>
      </c>
      <c r="I11302" s="40" t="s">
        <v>18</v>
      </c>
      <c r="J11302" s="40" t="str">
        <f>HYPERLINK("https://stock.pstatic.net/stock-research/company/63/20250702_company_218020000.pdf","PDF")</f>
        <v>PDF</v>
      </c>
      <c r="K11302" s="12" t="s">
        <v>21075</v>
      </c>
      <c r="L11302" s="20">
        <v>0.40883977900552487</v>
      </c>
    </row>
    <row r="11303" spans="1:12" x14ac:dyDescent="0.45">
      <c r="A11303" s="12" t="s">
        <v>21053</v>
      </c>
      <c r="B11303" s="12" t="s">
        <v>21076</v>
      </c>
      <c r="C11303" s="13" t="s">
        <v>21077</v>
      </c>
      <c r="D11303" s="13" t="s">
        <v>44</v>
      </c>
      <c r="E11303" s="12" t="s">
        <v>50</v>
      </c>
      <c r="F11303" s="13"/>
      <c r="G11303" s="14">
        <v>9030</v>
      </c>
      <c r="H11303" s="13" t="s">
        <v>21078</v>
      </c>
      <c r="I11303" s="40" t="s">
        <v>18</v>
      </c>
      <c r="J11303" s="40" t="str">
        <f>HYPERLINK("https://stock.pstatic.net/stock-research/company/39/20250702_company_840002000.pdf","PDF")</f>
        <v>PDF</v>
      </c>
      <c r="K11303" s="12" t="s">
        <v>21079</v>
      </c>
    </row>
    <row r="11304" spans="1:12" x14ac:dyDescent="0.45">
      <c r="A11304" s="12" t="s">
        <v>21053</v>
      </c>
      <c r="B11304" s="12" t="s">
        <v>450</v>
      </c>
      <c r="C11304" s="13" t="s">
        <v>451</v>
      </c>
      <c r="D11304" s="13" t="s">
        <v>44</v>
      </c>
      <c r="E11304" s="12" t="s">
        <v>35</v>
      </c>
      <c r="F11304" s="14">
        <v>400000</v>
      </c>
      <c r="G11304" s="14">
        <v>320500</v>
      </c>
      <c r="H11304" s="13" t="s">
        <v>21080</v>
      </c>
      <c r="I11304" s="40" t="s">
        <v>18</v>
      </c>
      <c r="J11304" s="40" t="str">
        <f>HYPERLINK("https://stock.pstatic.net/stock-research/company/39/20250702_company_299586000.pdf","PDF")</f>
        <v>PDF</v>
      </c>
      <c r="K11304" s="12" t="s">
        <v>21081</v>
      </c>
      <c r="L11304" s="20">
        <v>0.24804992199687989</v>
      </c>
    </row>
    <row r="11305" spans="1:12" x14ac:dyDescent="0.45">
      <c r="A11305" s="12" t="s">
        <v>21082</v>
      </c>
      <c r="B11305" s="12" t="s">
        <v>740</v>
      </c>
      <c r="C11305" s="13" t="s">
        <v>741</v>
      </c>
      <c r="D11305" s="13" t="s">
        <v>276</v>
      </c>
      <c r="E11305" s="12" t="s">
        <v>16</v>
      </c>
      <c r="F11305" s="14">
        <v>210000</v>
      </c>
      <c r="G11305" s="14">
        <v>147400</v>
      </c>
      <c r="H11305" s="13" t="s">
        <v>21083</v>
      </c>
      <c r="I11305" s="40" t="s">
        <v>18</v>
      </c>
      <c r="J11305" s="40" t="str">
        <f>HYPERLINK("https://stock.pstatic.net/stock-research/company/66/20250701_company_969273000.pdf","PDF")</f>
        <v>PDF</v>
      </c>
      <c r="K11305" s="12" t="s">
        <v>21084</v>
      </c>
      <c r="L11305" s="20">
        <v>0.42469470827679778</v>
      </c>
    </row>
    <row r="11306" spans="1:12" x14ac:dyDescent="0.45">
      <c r="A11306" s="12" t="s">
        <v>21082</v>
      </c>
      <c r="B11306" s="12" t="s">
        <v>1946</v>
      </c>
      <c r="C11306" s="13" t="s">
        <v>1947</v>
      </c>
      <c r="D11306" s="13" t="s">
        <v>276</v>
      </c>
      <c r="E11306" s="12" t="s">
        <v>16</v>
      </c>
      <c r="F11306" s="14">
        <v>25000</v>
      </c>
      <c r="G11306" s="14">
        <v>19100</v>
      </c>
      <c r="H11306" s="13" t="s">
        <v>21085</v>
      </c>
      <c r="I11306" s="40" t="s">
        <v>18</v>
      </c>
      <c r="J11306" s="40" t="str">
        <f>HYPERLINK("https://stock.pstatic.net/stock-research/company/66/20250701_company_534858000.pdf","PDF")</f>
        <v>PDF</v>
      </c>
      <c r="K11306" s="12" t="s">
        <v>21086</v>
      </c>
      <c r="L11306" s="20">
        <v>0.30890052356020942</v>
      </c>
    </row>
    <row r="11307" spans="1:12" x14ac:dyDescent="0.45">
      <c r="A11307" s="12" t="s">
        <v>21082</v>
      </c>
      <c r="B11307" s="12" t="s">
        <v>95</v>
      </c>
      <c r="C11307" s="13" t="s">
        <v>31</v>
      </c>
      <c r="D11307" s="13" t="s">
        <v>65</v>
      </c>
      <c r="E11307" s="12" t="s">
        <v>35</v>
      </c>
      <c r="F11307" s="14">
        <v>31000</v>
      </c>
      <c r="G11307" s="14">
        <v>22100</v>
      </c>
      <c r="H11307" s="13" t="s">
        <v>21087</v>
      </c>
      <c r="I11307" s="40" t="s">
        <v>18</v>
      </c>
      <c r="J11307" s="40" t="str">
        <f>HYPERLINK("https://stock.pstatic.net/stock-research/company/57/20250701_company_265353000.pdf","PDF")</f>
        <v>PDF</v>
      </c>
      <c r="K11307" s="12" t="s">
        <v>21088</v>
      </c>
      <c r="L11307" s="20">
        <v>0.40271493212669679</v>
      </c>
    </row>
    <row r="11308" spans="1:12" x14ac:dyDescent="0.45">
      <c r="A11308" s="12" t="s">
        <v>21082</v>
      </c>
      <c r="B11308" s="12" t="s">
        <v>519</v>
      </c>
      <c r="C11308" s="13" t="s">
        <v>520</v>
      </c>
      <c r="D11308" s="13" t="s">
        <v>57</v>
      </c>
      <c r="E11308" s="12" t="s">
        <v>35</v>
      </c>
      <c r="F11308" s="14">
        <v>270000</v>
      </c>
      <c r="G11308" s="14">
        <v>203500</v>
      </c>
      <c r="H11308" s="13" t="s">
        <v>21089</v>
      </c>
      <c r="I11308" s="40" t="s">
        <v>18</v>
      </c>
      <c r="J11308" s="40" t="str">
        <f>HYPERLINK("https://stock.pstatic.net/stock-research/company/16/20250701_company_401749000.pdf","PDF")</f>
        <v>PDF</v>
      </c>
      <c r="K11308" s="12" t="s">
        <v>21090</v>
      </c>
      <c r="L11308" s="20">
        <v>0.32678132678132682</v>
      </c>
    </row>
    <row r="11309" spans="1:12" x14ac:dyDescent="0.45">
      <c r="A11309" s="12" t="s">
        <v>21082</v>
      </c>
      <c r="B11309" s="12" t="s">
        <v>1765</v>
      </c>
      <c r="C11309" s="13" t="s">
        <v>1766</v>
      </c>
      <c r="D11309" s="13" t="s">
        <v>57</v>
      </c>
      <c r="E11309" s="12" t="s">
        <v>35</v>
      </c>
      <c r="F11309" s="14">
        <v>125000</v>
      </c>
      <c r="G11309" s="14">
        <v>96900</v>
      </c>
      <c r="H11309" s="13" t="s">
        <v>21091</v>
      </c>
      <c r="I11309" s="40" t="s">
        <v>18</v>
      </c>
      <c r="J11309" s="40" t="str">
        <f>HYPERLINK("https://stock.pstatic.net/stock-research/company/16/20250701_company_15442000.pdf","PDF")</f>
        <v>PDF</v>
      </c>
      <c r="K11309" s="12" t="s">
        <v>21092</v>
      </c>
      <c r="L11309" s="20">
        <v>0.28998968008255932</v>
      </c>
    </row>
    <row r="11310" spans="1:12" x14ac:dyDescent="0.45">
      <c r="A11310" s="12" t="s">
        <v>21082</v>
      </c>
      <c r="B11310" s="12" t="s">
        <v>5767</v>
      </c>
      <c r="C11310" s="13" t="s">
        <v>5768</v>
      </c>
      <c r="D11310" s="13" t="s">
        <v>83</v>
      </c>
      <c r="E11310" s="12" t="s">
        <v>35</v>
      </c>
      <c r="F11310" s="14">
        <v>37000</v>
      </c>
      <c r="G11310" s="14">
        <v>31250</v>
      </c>
      <c r="H11310" s="13" t="s">
        <v>21093</v>
      </c>
      <c r="I11310" s="40" t="s">
        <v>18</v>
      </c>
      <c r="J11310" s="40" t="str">
        <f>HYPERLINK("https://stock.pstatic.net/stock-research/company/2/20250701_company_499214000.pdf","PDF")</f>
        <v>PDF</v>
      </c>
      <c r="K11310" s="12" t="s">
        <v>21094</v>
      </c>
      <c r="L11310" s="20">
        <v>0.184</v>
      </c>
    </row>
    <row r="11311" spans="1:12" x14ac:dyDescent="0.45">
      <c r="A11311" s="12" t="s">
        <v>21082</v>
      </c>
      <c r="B11311" s="12" t="s">
        <v>3831</v>
      </c>
      <c r="C11311" s="13" t="s">
        <v>3832</v>
      </c>
      <c r="D11311" s="13" t="s">
        <v>83</v>
      </c>
      <c r="E11311" s="12" t="s">
        <v>35</v>
      </c>
      <c r="F11311" s="14">
        <v>56000</v>
      </c>
      <c r="G11311" s="14">
        <v>32650</v>
      </c>
      <c r="H11311" s="13" t="s">
        <v>21095</v>
      </c>
      <c r="I11311" s="40" t="s">
        <v>18</v>
      </c>
      <c r="J11311" s="40" t="str">
        <f>HYPERLINK("https://stock.pstatic.net/stock-research/company/2/20250701_company_220245000.pdf","PDF")</f>
        <v>PDF</v>
      </c>
      <c r="K11311" s="12" t="s">
        <v>21096</v>
      </c>
      <c r="L11311" s="20">
        <v>0.71516079632465546</v>
      </c>
    </row>
    <row r="11312" spans="1:12" x14ac:dyDescent="0.45">
      <c r="A11312" s="12" t="s">
        <v>21082</v>
      </c>
      <c r="B11312" s="12" t="s">
        <v>2956</v>
      </c>
      <c r="C11312" s="13" t="s">
        <v>2957</v>
      </c>
      <c r="D11312" s="13" t="s">
        <v>83</v>
      </c>
      <c r="E11312" s="12" t="s">
        <v>35</v>
      </c>
      <c r="F11312" s="14">
        <v>24000</v>
      </c>
      <c r="G11312" s="14">
        <v>20750</v>
      </c>
      <c r="H11312" s="13" t="s">
        <v>21097</v>
      </c>
      <c r="I11312" s="40" t="s">
        <v>18</v>
      </c>
      <c r="J11312" s="40" t="str">
        <f>HYPERLINK("https://stock.pstatic.net/stock-research/company/2/20250701_company_25846000.pdf","PDF")</f>
        <v>PDF</v>
      </c>
      <c r="K11312" s="12" t="s">
        <v>21098</v>
      </c>
      <c r="L11312" s="20">
        <v>0.15662650602409639</v>
      </c>
    </row>
    <row r="11313" spans="1:12" x14ac:dyDescent="0.45">
      <c r="A11313" s="12" t="s">
        <v>21082</v>
      </c>
      <c r="B11313" s="12" t="s">
        <v>3014</v>
      </c>
      <c r="C11313" s="13" t="s">
        <v>3015</v>
      </c>
      <c r="D11313" s="13" t="s">
        <v>83</v>
      </c>
      <c r="E11313" s="12" t="s">
        <v>35</v>
      </c>
      <c r="F11313" s="14">
        <v>140000</v>
      </c>
      <c r="G11313" s="14">
        <v>128700</v>
      </c>
      <c r="H11313" s="13" t="s">
        <v>21099</v>
      </c>
      <c r="I11313" s="40" t="s">
        <v>18</v>
      </c>
      <c r="J11313" s="40" t="str">
        <f>HYPERLINK("https://stock.pstatic.net/stock-research/company/2/20250701_company_784025000.pdf","PDF")</f>
        <v>PDF</v>
      </c>
      <c r="K11313" s="12" t="s">
        <v>21100</v>
      </c>
      <c r="L11313" s="20">
        <v>8.7801087801087807E-2</v>
      </c>
    </row>
    <row r="11314" spans="1:12" x14ac:dyDescent="0.45">
      <c r="A11314" s="12" t="s">
        <v>21082</v>
      </c>
      <c r="B11314" s="12" t="s">
        <v>10494</v>
      </c>
      <c r="C11314" s="13" t="s">
        <v>10495</v>
      </c>
      <c r="D11314" s="13" t="s">
        <v>158</v>
      </c>
      <c r="E11314" s="12" t="s">
        <v>50</v>
      </c>
      <c r="F11314" s="13"/>
      <c r="G11314" s="14">
        <v>2740</v>
      </c>
      <c r="H11314" s="13" t="s">
        <v>21101</v>
      </c>
      <c r="I11314" s="40" t="s">
        <v>18</v>
      </c>
      <c r="J11314" s="40" t="str">
        <f>HYPERLINK("https://stock.pstatic.net/stock-research/company/1/20250701_company_334943000.pdf","PDF")</f>
        <v>PDF</v>
      </c>
      <c r="K11314" s="12" t="s">
        <v>21102</v>
      </c>
    </row>
    <row r="11315" spans="1:12" x14ac:dyDescent="0.45">
      <c r="A11315" s="12" t="s">
        <v>21082</v>
      </c>
      <c r="B11315" s="12" t="s">
        <v>10490</v>
      </c>
      <c r="C11315" s="13" t="s">
        <v>10491</v>
      </c>
      <c r="D11315" s="13" t="s">
        <v>158</v>
      </c>
      <c r="E11315" s="12" t="s">
        <v>50</v>
      </c>
      <c r="F11315" s="13"/>
      <c r="G11315" s="14">
        <v>9910</v>
      </c>
      <c r="H11315" s="13" t="s">
        <v>21103</v>
      </c>
      <c r="I11315" s="40" t="s">
        <v>18</v>
      </c>
      <c r="J11315" s="40" t="str">
        <f>HYPERLINK("https://stock.pstatic.net/stock-research/company/1/20250701_company_331741000.pdf","PDF")</f>
        <v>PDF</v>
      </c>
      <c r="K11315" s="12" t="s">
        <v>21104</v>
      </c>
    </row>
    <row r="11316" spans="1:12" x14ac:dyDescent="0.45">
      <c r="A11316" s="12" t="s">
        <v>21082</v>
      </c>
      <c r="B11316" s="12" t="s">
        <v>10446</v>
      </c>
      <c r="C11316" s="13" t="s">
        <v>10447</v>
      </c>
      <c r="D11316" s="13" t="s">
        <v>158</v>
      </c>
      <c r="E11316" s="12" t="s">
        <v>50</v>
      </c>
      <c r="F11316" s="13"/>
      <c r="G11316" s="14">
        <v>5700</v>
      </c>
      <c r="H11316" s="13" t="s">
        <v>21105</v>
      </c>
      <c r="I11316" s="40" t="s">
        <v>18</v>
      </c>
      <c r="J11316" s="40" t="str">
        <f>HYPERLINK("https://stock.pstatic.net/stock-research/company/1/20250701_company_645458000.pdf","PDF")</f>
        <v>PDF</v>
      </c>
      <c r="K11316" s="12" t="s">
        <v>21106</v>
      </c>
    </row>
    <row r="11317" spans="1:12" x14ac:dyDescent="0.45">
      <c r="A11317" s="12" t="s">
        <v>21082</v>
      </c>
      <c r="B11317" s="12" t="s">
        <v>1781</v>
      </c>
      <c r="C11317" s="13" t="s">
        <v>1782</v>
      </c>
      <c r="D11317" s="13" t="s">
        <v>34</v>
      </c>
      <c r="E11317" s="12" t="s">
        <v>35</v>
      </c>
      <c r="F11317" s="14">
        <v>100000</v>
      </c>
      <c r="G11317" s="14">
        <v>73800</v>
      </c>
      <c r="H11317" s="13" t="s">
        <v>18980</v>
      </c>
      <c r="I11317" s="40" t="s">
        <v>18</v>
      </c>
      <c r="J11317" s="40" t="str">
        <f>HYPERLINK("https://stock.pstatic.net/stock-research/company/61/20250701_company_856230000.pdf","PDF")</f>
        <v>PDF</v>
      </c>
      <c r="K11317" s="12" t="s">
        <v>21107</v>
      </c>
      <c r="L11317" s="20">
        <v>0.35501355013550129</v>
      </c>
    </row>
    <row r="11318" spans="1:12" x14ac:dyDescent="0.45">
      <c r="A11318" s="12" t="s">
        <v>21082</v>
      </c>
      <c r="B11318" s="12" t="s">
        <v>32</v>
      </c>
      <c r="C11318" s="13" t="s">
        <v>33</v>
      </c>
      <c r="D11318" s="13" t="s">
        <v>34</v>
      </c>
      <c r="E11318" s="12" t="s">
        <v>35</v>
      </c>
      <c r="F11318" s="14">
        <v>180000</v>
      </c>
      <c r="G11318" s="14">
        <v>134700</v>
      </c>
      <c r="H11318" s="13" t="s">
        <v>21108</v>
      </c>
      <c r="I11318" s="40" t="s">
        <v>18</v>
      </c>
      <c r="J11318" s="40" t="str">
        <f>HYPERLINK("https://stock.pstatic.net/stock-research/company/61/20250701_company_327951000.pdf","PDF")</f>
        <v>PDF</v>
      </c>
      <c r="K11318" s="12" t="s">
        <v>21109</v>
      </c>
      <c r="L11318" s="20">
        <v>0.33630289532293989</v>
      </c>
    </row>
    <row r="11319" spans="1:12" x14ac:dyDescent="0.45">
      <c r="A11319" s="12" t="s">
        <v>21082</v>
      </c>
      <c r="B11319" s="12" t="s">
        <v>740</v>
      </c>
      <c r="C11319" s="13" t="s">
        <v>741</v>
      </c>
      <c r="D11319" s="13" t="s">
        <v>34</v>
      </c>
      <c r="E11319" s="12" t="s">
        <v>35</v>
      </c>
      <c r="F11319" s="14">
        <v>225000</v>
      </c>
      <c r="G11319" s="14">
        <v>147400</v>
      </c>
      <c r="H11319" s="13" t="s">
        <v>21110</v>
      </c>
      <c r="I11319" s="40" t="s">
        <v>18</v>
      </c>
      <c r="J11319" s="40" t="str">
        <f>HYPERLINK("https://stock.pstatic.net/stock-research/company/61/20250701_company_637911000.pdf","PDF")</f>
        <v>PDF</v>
      </c>
      <c r="K11319" s="12" t="s">
        <v>21111</v>
      </c>
      <c r="L11319" s="20">
        <v>0.52645861601085486</v>
      </c>
    </row>
    <row r="11320" spans="1:12" x14ac:dyDescent="0.45">
      <c r="A11320" s="12" t="s">
        <v>21082</v>
      </c>
      <c r="B11320" s="12" t="s">
        <v>569</v>
      </c>
      <c r="C11320" s="13" t="s">
        <v>570</v>
      </c>
      <c r="D11320" s="13" t="s">
        <v>92</v>
      </c>
      <c r="E11320" s="12" t="s">
        <v>35</v>
      </c>
      <c r="F11320" s="14">
        <v>26000</v>
      </c>
      <c r="G11320" s="14">
        <v>18440</v>
      </c>
      <c r="H11320" s="13" t="s">
        <v>21112</v>
      </c>
      <c r="I11320" s="40" t="s">
        <v>18</v>
      </c>
      <c r="J11320" s="40" t="str">
        <f>HYPERLINK("https://stock.pstatic.net/stock-research/company/1/20250701_company_705469000.pdf","PDF")</f>
        <v>PDF</v>
      </c>
      <c r="K11320" s="12" t="s">
        <v>21113</v>
      </c>
      <c r="L11320" s="20">
        <v>0.40997830802603041</v>
      </c>
    </row>
    <row r="11321" spans="1:12" x14ac:dyDescent="0.45">
      <c r="A11321" s="12" t="s">
        <v>21082</v>
      </c>
      <c r="B11321" s="12" t="s">
        <v>434</v>
      </c>
      <c r="C11321" s="13" t="s">
        <v>435</v>
      </c>
      <c r="D11321" s="13" t="s">
        <v>23</v>
      </c>
      <c r="E11321" s="12" t="s">
        <v>16</v>
      </c>
      <c r="F11321" s="14">
        <v>185000</v>
      </c>
      <c r="G11321" s="14">
        <v>136700</v>
      </c>
      <c r="H11321" s="13" t="s">
        <v>21114</v>
      </c>
      <c r="I11321" s="40" t="s">
        <v>18</v>
      </c>
      <c r="J11321" s="40" t="str">
        <f>HYPERLINK("https://stock.pstatic.net/stock-research/company/21/20250701_company_999176000.pdf","PDF")</f>
        <v>PDF</v>
      </c>
      <c r="K11321" s="12" t="s">
        <v>21115</v>
      </c>
      <c r="L11321" s="20">
        <v>0.35332845647403072</v>
      </c>
    </row>
    <row r="11322" spans="1:12" x14ac:dyDescent="0.45">
      <c r="A11322" s="12" t="s">
        <v>21082</v>
      </c>
      <c r="B11322" s="12" t="s">
        <v>1781</v>
      </c>
      <c r="C11322" s="13" t="s">
        <v>1782</v>
      </c>
      <c r="D11322" s="13" t="s">
        <v>23</v>
      </c>
      <c r="E11322" s="12" t="s">
        <v>16</v>
      </c>
      <c r="F11322" s="14">
        <v>100000</v>
      </c>
      <c r="G11322" s="14">
        <v>73800</v>
      </c>
      <c r="H11322" s="13" t="s">
        <v>21116</v>
      </c>
      <c r="I11322" s="40" t="s">
        <v>18</v>
      </c>
      <c r="J11322" s="40" t="str">
        <f>HYPERLINK("https://stock.pstatic.net/stock-research/company/21/20250701_company_919679000.pdf","PDF")</f>
        <v>PDF</v>
      </c>
      <c r="K11322" s="12" t="s">
        <v>21117</v>
      </c>
      <c r="L11322" s="20">
        <v>0.35501355013550129</v>
      </c>
    </row>
    <row r="11323" spans="1:12" x14ac:dyDescent="0.45">
      <c r="A11323" s="12" t="s">
        <v>21082</v>
      </c>
      <c r="B11323" s="12" t="s">
        <v>434</v>
      </c>
      <c r="C11323" s="13" t="s">
        <v>435</v>
      </c>
      <c r="D11323" s="13" t="s">
        <v>44</v>
      </c>
      <c r="E11323" s="12" t="s">
        <v>35</v>
      </c>
      <c r="F11323" s="14">
        <v>180000</v>
      </c>
      <c r="G11323" s="14">
        <v>136700</v>
      </c>
      <c r="H11323" s="13" t="s">
        <v>21118</v>
      </c>
      <c r="I11323" s="40" t="s">
        <v>18</v>
      </c>
      <c r="J11323" s="40" t="str">
        <f>HYPERLINK("https://stock.pstatic.net/stock-research/company/39/20250701_company_875952000.pdf","PDF")</f>
        <v>PDF</v>
      </c>
      <c r="K11323" s="12" t="s">
        <v>21119</v>
      </c>
      <c r="L11323" s="20">
        <v>0.31675201170446232</v>
      </c>
    </row>
    <row r="11324" spans="1:12" x14ac:dyDescent="0.45">
      <c r="A11324" s="12" t="s">
        <v>21082</v>
      </c>
      <c r="B11324" s="12" t="s">
        <v>899</v>
      </c>
      <c r="C11324" s="13" t="s">
        <v>900</v>
      </c>
      <c r="D11324" s="13" t="s">
        <v>124</v>
      </c>
      <c r="E11324" s="12" t="s">
        <v>50</v>
      </c>
      <c r="F11324" s="13"/>
      <c r="G11324" s="13"/>
      <c r="H11324" s="13" t="s">
        <v>21120</v>
      </c>
      <c r="I11324" s="40" t="s">
        <v>18</v>
      </c>
      <c r="J11324" s="40" t="str">
        <f>HYPERLINK("https://stock.pstatic.net/stock-research/company/74/20250701_company_995710000.pdf","PDF")</f>
        <v>PDF</v>
      </c>
      <c r="K11324" s="12" t="s">
        <v>21121</v>
      </c>
    </row>
    <row r="11325" spans="1:12" x14ac:dyDescent="0.45">
      <c r="A11325" s="12" t="s">
        <v>21082</v>
      </c>
      <c r="B11325" s="12" t="s">
        <v>5705</v>
      </c>
      <c r="C11325" s="13" t="s">
        <v>5706</v>
      </c>
      <c r="D11325" s="13" t="s">
        <v>53</v>
      </c>
      <c r="E11325" s="12" t="s">
        <v>16</v>
      </c>
      <c r="F11325" s="14">
        <v>110000</v>
      </c>
      <c r="G11325" s="14">
        <v>85000</v>
      </c>
      <c r="H11325" s="13" t="s">
        <v>21122</v>
      </c>
      <c r="I11325" s="40" t="s">
        <v>18</v>
      </c>
      <c r="J11325" s="40" t="str">
        <f>HYPERLINK("https://stock.pstatic.net/stock-research/company/40/20250701_company_408491000.pdf","PDF")</f>
        <v>PDF</v>
      </c>
      <c r="K11325" s="12" t="s">
        <v>21123</v>
      </c>
      <c r="L11325" s="20">
        <v>0.29411764705882348</v>
      </c>
    </row>
    <row r="11326" spans="1:12" x14ac:dyDescent="0.45">
      <c r="A11326" s="12" t="s">
        <v>21082</v>
      </c>
      <c r="B11326" s="12" t="s">
        <v>2522</v>
      </c>
      <c r="C11326" s="13" t="s">
        <v>2523</v>
      </c>
      <c r="D11326" s="13" t="s">
        <v>1271</v>
      </c>
      <c r="E11326" s="12" t="s">
        <v>35</v>
      </c>
      <c r="F11326" s="14">
        <v>520000</v>
      </c>
      <c r="G11326" s="14">
        <v>357000</v>
      </c>
      <c r="H11326" s="13" t="s">
        <v>21124</v>
      </c>
      <c r="I11326" s="40" t="s">
        <v>18</v>
      </c>
      <c r="J11326" s="40" t="str">
        <f>HYPERLINK("https://stock.pstatic.net/stock-research/company/78/20250701_company_291137000.pdf","PDF")</f>
        <v>PDF</v>
      </c>
      <c r="K11326" s="12" t="s">
        <v>21125</v>
      </c>
      <c r="L11326" s="20">
        <v>0.45658263305322128</v>
      </c>
    </row>
    <row r="11327" spans="1:12" x14ac:dyDescent="0.45">
      <c r="A11327" s="12" t="s">
        <v>21082</v>
      </c>
      <c r="B11327" s="12" t="s">
        <v>3584</v>
      </c>
      <c r="C11327" s="13" t="s">
        <v>3585</v>
      </c>
      <c r="D11327" s="13" t="s">
        <v>1271</v>
      </c>
      <c r="E11327" s="12" t="s">
        <v>35</v>
      </c>
      <c r="F11327" s="14">
        <v>25000</v>
      </c>
      <c r="G11327" s="14">
        <v>20050</v>
      </c>
      <c r="H11327" s="13" t="s">
        <v>21126</v>
      </c>
      <c r="I11327" s="40" t="s">
        <v>18</v>
      </c>
      <c r="J11327" s="40" t="str">
        <f>HYPERLINK("https://stock.pstatic.net/stock-research/company/78/20250701_company_614341000.pdf","PDF")</f>
        <v>PDF</v>
      </c>
      <c r="K11327" s="12" t="s">
        <v>21127</v>
      </c>
      <c r="L11327" s="20">
        <v>0.24688279301745639</v>
      </c>
    </row>
    <row r="11328" spans="1:12" x14ac:dyDescent="0.45">
      <c r="A11328" s="12" t="s">
        <v>21082</v>
      </c>
      <c r="B11328" s="12" t="s">
        <v>2688</v>
      </c>
      <c r="C11328" s="13" t="s">
        <v>2689</v>
      </c>
      <c r="D11328" s="13" t="s">
        <v>1271</v>
      </c>
      <c r="E11328" s="12" t="s">
        <v>35</v>
      </c>
      <c r="F11328" s="14">
        <v>78000</v>
      </c>
      <c r="G11328" s="14">
        <v>69200</v>
      </c>
      <c r="H11328" s="13" t="s">
        <v>21128</v>
      </c>
      <c r="I11328" s="40" t="s">
        <v>18</v>
      </c>
      <c r="J11328" s="40" t="str">
        <f>HYPERLINK("https://stock.pstatic.net/stock-research/company/78/20250701_company_613109000.pdf","PDF")</f>
        <v>PDF</v>
      </c>
      <c r="K11328" s="12" t="s">
        <v>21129</v>
      </c>
      <c r="L11328" s="20">
        <v>0.12716763005780349</v>
      </c>
    </row>
    <row r="11329" spans="1:12" x14ac:dyDescent="0.45">
      <c r="A11329" s="12" t="s">
        <v>21082</v>
      </c>
      <c r="B11329" s="12" t="s">
        <v>2435</v>
      </c>
      <c r="C11329" s="13" t="s">
        <v>2436</v>
      </c>
      <c r="D11329" s="13" t="s">
        <v>1271</v>
      </c>
      <c r="E11329" s="12" t="s">
        <v>35</v>
      </c>
      <c r="F11329" s="14">
        <v>557000</v>
      </c>
      <c r="G11329" s="14">
        <v>437000</v>
      </c>
      <c r="H11329" s="13" t="s">
        <v>21130</v>
      </c>
      <c r="I11329" s="40" t="s">
        <v>18</v>
      </c>
      <c r="J11329" s="40" t="str">
        <f>HYPERLINK("https://stock.pstatic.net/stock-research/company/78/20250701_company_599272000.pdf","PDF")</f>
        <v>PDF</v>
      </c>
      <c r="K11329" s="12" t="s">
        <v>21131</v>
      </c>
      <c r="L11329" s="20">
        <v>0.27459954233409611</v>
      </c>
    </row>
    <row r="11330" spans="1:12" x14ac:dyDescent="0.45">
      <c r="A11330" s="12" t="s">
        <v>21082</v>
      </c>
      <c r="B11330" s="12" t="s">
        <v>1678</v>
      </c>
      <c r="C11330" s="13" t="s">
        <v>1679</v>
      </c>
      <c r="D11330" s="13" t="s">
        <v>1271</v>
      </c>
      <c r="E11330" s="12" t="s">
        <v>35</v>
      </c>
      <c r="F11330" s="14">
        <v>93000</v>
      </c>
      <c r="G11330" s="14">
        <v>75500</v>
      </c>
      <c r="H11330" s="13" t="s">
        <v>21132</v>
      </c>
      <c r="I11330" s="40" t="s">
        <v>18</v>
      </c>
      <c r="J11330" s="40" t="str">
        <f>HYPERLINK("https://stock.pstatic.net/stock-research/company/78/20250701_company_428237000.pdf","PDF")</f>
        <v>PDF</v>
      </c>
      <c r="K11330" s="12" t="s">
        <v>21133</v>
      </c>
      <c r="L11330" s="20">
        <v>0.23178807947019869</v>
      </c>
    </row>
    <row r="11331" spans="1:12" x14ac:dyDescent="0.45">
      <c r="A11331" s="12" t="s">
        <v>21134</v>
      </c>
      <c r="B11331" s="12" t="s">
        <v>1656</v>
      </c>
      <c r="C11331" s="13" t="s">
        <v>1657</v>
      </c>
      <c r="D11331" s="13" t="s">
        <v>83</v>
      </c>
      <c r="E11331" s="12" t="s">
        <v>35</v>
      </c>
      <c r="F11331" s="14">
        <v>220000</v>
      </c>
      <c r="G11331" s="14">
        <v>188900</v>
      </c>
      <c r="H11331" s="13" t="s">
        <v>21135</v>
      </c>
      <c r="I11331" s="40" t="s">
        <v>18</v>
      </c>
      <c r="J11331" s="40" t="str">
        <f>HYPERLINK("https://stock.pstatic.net/stock-research/company/2/20250630_company_795875000.pdf","PDF")</f>
        <v>PDF</v>
      </c>
      <c r="K11331" s="12" t="s">
        <v>21136</v>
      </c>
      <c r="L11331" s="20">
        <v>0.16463737427210159</v>
      </c>
    </row>
    <row r="11332" spans="1:12" x14ac:dyDescent="0.45">
      <c r="A11332" s="12" t="s">
        <v>21134</v>
      </c>
      <c r="B11332" s="12" t="s">
        <v>132</v>
      </c>
      <c r="C11332" s="13" t="s">
        <v>133</v>
      </c>
      <c r="D11332" s="13" t="s">
        <v>83</v>
      </c>
      <c r="E11332" s="12" t="s">
        <v>35</v>
      </c>
      <c r="F11332" s="14">
        <v>100000</v>
      </c>
      <c r="G11332" s="14">
        <v>75400</v>
      </c>
      <c r="H11332" s="13" t="s">
        <v>21137</v>
      </c>
      <c r="I11332" s="40" t="s">
        <v>18</v>
      </c>
      <c r="J11332" s="40" t="str">
        <f>HYPERLINK("https://stock.pstatic.net/stock-research/company/2/20250630_company_862213000.pdf","PDF")</f>
        <v>PDF</v>
      </c>
      <c r="K11332" s="12" t="s">
        <v>21138</v>
      </c>
      <c r="L11332" s="20">
        <v>0.32625994694960209</v>
      </c>
    </row>
    <row r="11333" spans="1:12" x14ac:dyDescent="0.45">
      <c r="A11333" s="12" t="s">
        <v>21134</v>
      </c>
      <c r="B11333" s="12" t="s">
        <v>1184</v>
      </c>
      <c r="C11333" s="13" t="s">
        <v>1185</v>
      </c>
      <c r="D11333" s="13" t="s">
        <v>83</v>
      </c>
      <c r="E11333" s="12" t="s">
        <v>35</v>
      </c>
      <c r="F11333" s="14">
        <v>20000</v>
      </c>
      <c r="G11333" s="14">
        <v>16610</v>
      </c>
      <c r="H11333" s="13" t="s">
        <v>21139</v>
      </c>
      <c r="I11333" s="40" t="s">
        <v>18</v>
      </c>
      <c r="J11333" s="40" t="str">
        <f>HYPERLINK("https://stock.pstatic.net/stock-research/company/2/20250630_company_334824000.pdf","PDF")</f>
        <v>PDF</v>
      </c>
      <c r="K11333" s="12" t="s">
        <v>21140</v>
      </c>
      <c r="L11333" s="20">
        <v>0.20409391932570739</v>
      </c>
    </row>
    <row r="11334" spans="1:12" x14ac:dyDescent="0.45">
      <c r="A11334" s="12" t="s">
        <v>21134</v>
      </c>
      <c r="B11334" s="12" t="s">
        <v>1097</v>
      </c>
      <c r="C11334" s="13" t="s">
        <v>1098</v>
      </c>
      <c r="D11334" s="13" t="s">
        <v>83</v>
      </c>
      <c r="E11334" s="12" t="s">
        <v>35</v>
      </c>
      <c r="F11334" s="14">
        <v>140000</v>
      </c>
      <c r="G11334" s="14">
        <v>119100</v>
      </c>
      <c r="H11334" s="13" t="s">
        <v>21141</v>
      </c>
      <c r="I11334" s="40" t="s">
        <v>18</v>
      </c>
      <c r="J11334" s="40" t="str">
        <f>HYPERLINK("https://stock.pstatic.net/stock-research/company/2/20250630_company_932210000.pdf","PDF")</f>
        <v>PDF</v>
      </c>
      <c r="K11334" s="12" t="s">
        <v>21142</v>
      </c>
      <c r="L11334" s="20">
        <v>0.17548278757346769</v>
      </c>
    </row>
    <row r="11335" spans="1:12" x14ac:dyDescent="0.45">
      <c r="A11335" s="12" t="s">
        <v>21134</v>
      </c>
      <c r="B11335" s="12" t="s">
        <v>334</v>
      </c>
      <c r="C11335" s="13" t="s">
        <v>335</v>
      </c>
      <c r="D11335" s="13" t="s">
        <v>714</v>
      </c>
      <c r="E11335" s="12" t="s">
        <v>35</v>
      </c>
      <c r="F11335" s="14">
        <v>325000</v>
      </c>
      <c r="G11335" s="14">
        <v>286000</v>
      </c>
      <c r="H11335" s="13" t="s">
        <v>21143</v>
      </c>
      <c r="I11335" s="40" t="s">
        <v>18</v>
      </c>
      <c r="J11335" s="40" t="str">
        <f>HYPERLINK("https://stock.pstatic.net/stock-research/company/1/20250630_company_434232000.pdf","PDF")</f>
        <v>PDF</v>
      </c>
      <c r="K11335" s="12" t="s">
        <v>21144</v>
      </c>
      <c r="L11335" s="20">
        <v>0.13636363636363641</v>
      </c>
    </row>
    <row r="11336" spans="1:12" x14ac:dyDescent="0.45">
      <c r="A11336" s="12" t="s">
        <v>21134</v>
      </c>
      <c r="B11336" s="12" t="s">
        <v>744</v>
      </c>
      <c r="C11336" s="13" t="s">
        <v>745</v>
      </c>
      <c r="D11336" s="13" t="s">
        <v>60</v>
      </c>
      <c r="E11336" s="12" t="s">
        <v>35</v>
      </c>
      <c r="F11336" s="14">
        <v>23000</v>
      </c>
      <c r="G11336" s="14">
        <v>16160</v>
      </c>
      <c r="H11336" s="13" t="s">
        <v>21145</v>
      </c>
      <c r="I11336" s="40" t="s">
        <v>18</v>
      </c>
      <c r="J11336" s="40" t="str">
        <f>HYPERLINK("https://stock.pstatic.net/stock-research/company/62/20250630_company_717534000.pdf","PDF")</f>
        <v>PDF</v>
      </c>
      <c r="K11336" s="12" t="s">
        <v>21146</v>
      </c>
      <c r="L11336" s="20">
        <v>0.42326732673267331</v>
      </c>
    </row>
    <row r="11337" spans="1:12" x14ac:dyDescent="0.45">
      <c r="A11337" s="12" t="s">
        <v>21134</v>
      </c>
      <c r="B11337" s="12" t="s">
        <v>10471</v>
      </c>
      <c r="C11337" s="13" t="s">
        <v>10472</v>
      </c>
      <c r="D11337" s="13" t="s">
        <v>65</v>
      </c>
      <c r="E11337" s="12" t="s">
        <v>50</v>
      </c>
      <c r="F11337" s="13"/>
      <c r="G11337" s="14">
        <v>3910</v>
      </c>
      <c r="H11337" s="13" t="s">
        <v>21147</v>
      </c>
      <c r="I11337" s="40" t="s">
        <v>18</v>
      </c>
      <c r="J11337" s="40" t="str">
        <f>HYPERLINK("https://stock.pstatic.net/stock-research/company/57/20250630_company_224056000.pdf","PDF")</f>
        <v>PDF</v>
      </c>
      <c r="K11337" s="12" t="s">
        <v>21148</v>
      </c>
    </row>
    <row r="11338" spans="1:12" x14ac:dyDescent="0.45">
      <c r="A11338" s="12" t="s">
        <v>21134</v>
      </c>
      <c r="B11338" s="12" t="s">
        <v>4496</v>
      </c>
      <c r="C11338" s="13" t="s">
        <v>4497</v>
      </c>
      <c r="D11338" s="13" t="s">
        <v>65</v>
      </c>
      <c r="E11338" s="12" t="s">
        <v>35</v>
      </c>
      <c r="F11338" s="13"/>
      <c r="G11338" s="14">
        <v>3255</v>
      </c>
      <c r="H11338" s="13" t="s">
        <v>21149</v>
      </c>
      <c r="I11338" s="40" t="s">
        <v>18</v>
      </c>
      <c r="J11338" s="40" t="str">
        <f>HYPERLINK("https://stock.pstatic.net/stock-research/company/1/20250630_company_38050000.pdf","PDF")</f>
        <v>PDF</v>
      </c>
      <c r="K11338" s="12" t="s">
        <v>21150</v>
      </c>
    </row>
    <row r="11339" spans="1:12" x14ac:dyDescent="0.45">
      <c r="A11339" s="12" t="s">
        <v>21134</v>
      </c>
      <c r="B11339" s="12" t="s">
        <v>4395</v>
      </c>
      <c r="C11339" s="13" t="s">
        <v>4396</v>
      </c>
      <c r="D11339" s="13" t="s">
        <v>65</v>
      </c>
      <c r="E11339" s="12" t="s">
        <v>50</v>
      </c>
      <c r="F11339" s="13"/>
      <c r="G11339" s="14">
        <v>6960</v>
      </c>
      <c r="H11339" s="13" t="s">
        <v>21151</v>
      </c>
      <c r="I11339" s="40" t="s">
        <v>18</v>
      </c>
      <c r="J11339" s="40" t="str">
        <f>HYPERLINK("https://stock.pstatic.net/stock-research/company/1/20250630_company_194976000.pdf","PDF")</f>
        <v>PDF</v>
      </c>
      <c r="K11339" s="12" t="s">
        <v>21152</v>
      </c>
    </row>
    <row r="11340" spans="1:12" x14ac:dyDescent="0.45">
      <c r="A11340" s="12" t="s">
        <v>21134</v>
      </c>
      <c r="B11340" s="12" t="s">
        <v>908</v>
      </c>
      <c r="C11340" s="13" t="s">
        <v>909</v>
      </c>
      <c r="D11340" s="13" t="s">
        <v>65</v>
      </c>
      <c r="E11340" s="12" t="s">
        <v>35</v>
      </c>
      <c r="F11340" s="14">
        <v>190000</v>
      </c>
      <c r="G11340" s="14">
        <v>173300</v>
      </c>
      <c r="H11340" s="13" t="s">
        <v>21153</v>
      </c>
      <c r="I11340" s="40" t="s">
        <v>18</v>
      </c>
      <c r="J11340" s="40" t="str">
        <f>HYPERLINK("https://stock.pstatic.net/stock-research/company/1/20250630_company_556110000.pdf","PDF")</f>
        <v>PDF</v>
      </c>
      <c r="K11340" s="12" t="s">
        <v>21154</v>
      </c>
      <c r="L11340" s="20">
        <v>9.6364685516445475E-2</v>
      </c>
    </row>
    <row r="11341" spans="1:12" x14ac:dyDescent="0.45">
      <c r="A11341" s="12" t="s">
        <v>21134</v>
      </c>
      <c r="B11341" s="12" t="s">
        <v>685</v>
      </c>
      <c r="C11341" s="13" t="s">
        <v>686</v>
      </c>
      <c r="D11341" s="13" t="s">
        <v>65</v>
      </c>
      <c r="E11341" s="12" t="s">
        <v>50</v>
      </c>
      <c r="F11341" s="13"/>
      <c r="G11341" s="14">
        <v>27500</v>
      </c>
      <c r="H11341" s="13" t="s">
        <v>21155</v>
      </c>
      <c r="I11341" s="40" t="s">
        <v>18</v>
      </c>
      <c r="J11341" s="40" t="str">
        <f>HYPERLINK("https://stock.pstatic.net/stock-research/company/57/20250630_company_3142000.pdf","PDF")</f>
        <v>PDF</v>
      </c>
      <c r="K11341" s="12" t="s">
        <v>21156</v>
      </c>
    </row>
    <row r="11342" spans="1:12" x14ac:dyDescent="0.45">
      <c r="A11342" s="12" t="s">
        <v>21134</v>
      </c>
      <c r="B11342" s="12" t="s">
        <v>1690</v>
      </c>
      <c r="C11342" s="13" t="s">
        <v>1691</v>
      </c>
      <c r="D11342" s="13" t="s">
        <v>57</v>
      </c>
      <c r="E11342" s="12" t="s">
        <v>35</v>
      </c>
      <c r="F11342" s="14">
        <v>120000</v>
      </c>
      <c r="G11342" s="14">
        <v>97800</v>
      </c>
      <c r="H11342" s="13" t="s">
        <v>21157</v>
      </c>
      <c r="I11342" s="40" t="s">
        <v>18</v>
      </c>
      <c r="J11342" s="40" t="str">
        <f>HYPERLINK("https://stock.pstatic.net/stock-research/company/1/20250630_company_189980000.pdf","PDF")</f>
        <v>PDF</v>
      </c>
      <c r="K11342" s="12" t="s">
        <v>21158</v>
      </c>
      <c r="L11342" s="20">
        <v>0.22699386503067481</v>
      </c>
    </row>
    <row r="11343" spans="1:12" x14ac:dyDescent="0.45">
      <c r="A11343" s="12" t="s">
        <v>21134</v>
      </c>
      <c r="B11343" s="12" t="s">
        <v>495</v>
      </c>
      <c r="C11343" s="13" t="s">
        <v>496</v>
      </c>
      <c r="D11343" s="13" t="s">
        <v>158</v>
      </c>
      <c r="E11343" s="12" t="s">
        <v>35</v>
      </c>
      <c r="F11343" s="14">
        <v>188000</v>
      </c>
      <c r="G11343" s="14">
        <v>148700</v>
      </c>
      <c r="H11343" s="13" t="s">
        <v>21159</v>
      </c>
      <c r="I11343" s="40" t="s">
        <v>18</v>
      </c>
      <c r="J11343" s="40" t="str">
        <f>HYPERLINK("https://stock.pstatic.net/stock-research/company/18/20250630_company_279777000.pdf","PDF")</f>
        <v>PDF</v>
      </c>
      <c r="K11343" s="12" t="s">
        <v>21160</v>
      </c>
      <c r="L11343" s="20">
        <v>0.26429051782111629</v>
      </c>
    </row>
    <row r="11344" spans="1:12" x14ac:dyDescent="0.45">
      <c r="A11344" s="12" t="s">
        <v>21134</v>
      </c>
      <c r="B11344" s="12" t="s">
        <v>1656</v>
      </c>
      <c r="C11344" s="13" t="s">
        <v>1657</v>
      </c>
      <c r="D11344" s="13" t="s">
        <v>158</v>
      </c>
      <c r="E11344" s="12" t="s">
        <v>35</v>
      </c>
      <c r="F11344" s="14">
        <v>250000</v>
      </c>
      <c r="G11344" s="14">
        <v>188900</v>
      </c>
      <c r="H11344" s="13" t="s">
        <v>21161</v>
      </c>
      <c r="I11344" s="40" t="s">
        <v>18</v>
      </c>
      <c r="J11344" s="40" t="str">
        <f>HYPERLINK("https://stock.pstatic.net/stock-research/company/1/20250630_company_424955000.pdf","PDF")</f>
        <v>PDF</v>
      </c>
      <c r="K11344" s="12" t="s">
        <v>21162</v>
      </c>
      <c r="L11344" s="20">
        <v>0.32345156167284278</v>
      </c>
    </row>
    <row r="11345" spans="1:12" x14ac:dyDescent="0.45">
      <c r="A11345" s="12" t="s">
        <v>21134</v>
      </c>
      <c r="B11345" s="12" t="s">
        <v>132</v>
      </c>
      <c r="C11345" s="13" t="s">
        <v>133</v>
      </c>
      <c r="D11345" s="13" t="s">
        <v>158</v>
      </c>
      <c r="E11345" s="12" t="s">
        <v>35</v>
      </c>
      <c r="F11345" s="14">
        <v>98000</v>
      </c>
      <c r="G11345" s="14">
        <v>75400</v>
      </c>
      <c r="H11345" s="13" t="s">
        <v>21163</v>
      </c>
      <c r="I11345" s="40" t="s">
        <v>18</v>
      </c>
      <c r="J11345" s="40" t="str">
        <f>HYPERLINK("https://stock.pstatic.net/stock-research/company/18/20250630_company_172409000.pdf","PDF")</f>
        <v>PDF</v>
      </c>
      <c r="K11345" s="12" t="s">
        <v>21164</v>
      </c>
      <c r="L11345" s="20">
        <v>0.29973474801061012</v>
      </c>
    </row>
    <row r="11346" spans="1:12" x14ac:dyDescent="0.45">
      <c r="A11346" s="12" t="s">
        <v>21134</v>
      </c>
      <c r="B11346" s="12" t="s">
        <v>698</v>
      </c>
      <c r="C11346" s="13" t="s">
        <v>699</v>
      </c>
      <c r="D11346" s="13" t="s">
        <v>15</v>
      </c>
      <c r="E11346" s="12" t="s">
        <v>16</v>
      </c>
      <c r="F11346" s="14">
        <v>275000</v>
      </c>
      <c r="G11346" s="14">
        <v>197600</v>
      </c>
      <c r="H11346" s="13" t="s">
        <v>21165</v>
      </c>
      <c r="I11346" s="40" t="s">
        <v>18</v>
      </c>
      <c r="J11346" s="40" t="str">
        <f>HYPERLINK("https://stock.pstatic.net/stock-research/company/31/20250630_company_422446000.pdf","PDF")</f>
        <v>PDF</v>
      </c>
      <c r="K11346" s="12" t="s">
        <v>21166</v>
      </c>
      <c r="L11346" s="20">
        <v>0.3917004048582996</v>
      </c>
    </row>
    <row r="11347" spans="1:12" x14ac:dyDescent="0.45">
      <c r="A11347" s="12" t="s">
        <v>21134</v>
      </c>
      <c r="B11347" s="12" t="s">
        <v>10408</v>
      </c>
      <c r="C11347" s="13" t="s">
        <v>10409</v>
      </c>
      <c r="D11347" s="13" t="s">
        <v>15</v>
      </c>
      <c r="E11347" s="12" t="s">
        <v>16</v>
      </c>
      <c r="F11347" s="14">
        <v>44000</v>
      </c>
      <c r="G11347" s="14">
        <v>31800</v>
      </c>
      <c r="H11347" s="13" t="s">
        <v>21167</v>
      </c>
      <c r="I11347" s="40" t="s">
        <v>18</v>
      </c>
      <c r="J11347" s="40" t="str">
        <f>HYPERLINK("https://stock.pstatic.net/stock-research/company/1/20250630_company_945953000.pdf","PDF")</f>
        <v>PDF</v>
      </c>
      <c r="K11347" s="12" t="s">
        <v>21168</v>
      </c>
      <c r="L11347" s="20">
        <v>0.38364779874213839</v>
      </c>
    </row>
    <row r="11348" spans="1:12" x14ac:dyDescent="0.45">
      <c r="A11348" s="12" t="s">
        <v>21134</v>
      </c>
      <c r="B11348" s="12" t="s">
        <v>4904</v>
      </c>
      <c r="C11348" s="13" t="s">
        <v>4905</v>
      </c>
      <c r="D11348" s="13" t="s">
        <v>124</v>
      </c>
      <c r="E11348" s="12" t="s">
        <v>50</v>
      </c>
      <c r="F11348" s="13"/>
      <c r="G11348" s="13"/>
      <c r="H11348" s="13" t="s">
        <v>21169</v>
      </c>
      <c r="I11348" s="40" t="s">
        <v>18</v>
      </c>
      <c r="J11348" s="40" t="str">
        <f>HYPERLINK("https://stock.pstatic.net/stock-research/company/74/20250630_company_39376000.pdf","PDF")</f>
        <v>PDF</v>
      </c>
      <c r="K11348" s="12" t="s">
        <v>21170</v>
      </c>
    </row>
    <row r="11349" spans="1:12" x14ac:dyDescent="0.45">
      <c r="A11349" s="12" t="s">
        <v>21134</v>
      </c>
      <c r="B11349" s="12" t="s">
        <v>110</v>
      </c>
      <c r="C11349" s="13" t="s">
        <v>111</v>
      </c>
      <c r="D11349" s="13" t="s">
        <v>53</v>
      </c>
      <c r="E11349" s="12" t="s">
        <v>16</v>
      </c>
      <c r="F11349" s="14">
        <v>32000</v>
      </c>
      <c r="G11349" s="14">
        <v>23250</v>
      </c>
      <c r="H11349" s="13" t="s">
        <v>21171</v>
      </c>
      <c r="I11349" s="40" t="s">
        <v>18</v>
      </c>
      <c r="J11349" s="40" t="str">
        <f>HYPERLINK("https://stock.pstatic.net/stock-research/company/40/20250630_company_298157000.pdf","PDF")</f>
        <v>PDF</v>
      </c>
      <c r="K11349" s="12" t="s">
        <v>21172</v>
      </c>
      <c r="L11349" s="20">
        <v>0.37634408602150538</v>
      </c>
    </row>
    <row r="11350" spans="1:12" x14ac:dyDescent="0.45">
      <c r="A11350" s="12" t="s">
        <v>21134</v>
      </c>
      <c r="B11350" s="12" t="s">
        <v>4642</v>
      </c>
      <c r="C11350" s="13" t="s">
        <v>4643</v>
      </c>
      <c r="D11350" s="13" t="s">
        <v>34</v>
      </c>
      <c r="E11350" s="12" t="s">
        <v>35</v>
      </c>
      <c r="F11350" s="14">
        <v>29000</v>
      </c>
      <c r="G11350" s="14">
        <v>23000</v>
      </c>
      <c r="H11350" s="13" t="s">
        <v>21173</v>
      </c>
      <c r="I11350" s="40" t="s">
        <v>18</v>
      </c>
      <c r="J11350" s="40" t="str">
        <f>HYPERLINK("https://stock.pstatic.net/stock-research/company/61/20250630_company_157772000.pdf","PDF")</f>
        <v>PDF</v>
      </c>
      <c r="K11350" s="12" t="s">
        <v>21174</v>
      </c>
      <c r="L11350" s="20">
        <v>0.2608695652173913</v>
      </c>
    </row>
    <row r="11351" spans="1:12" x14ac:dyDescent="0.45">
      <c r="A11351" s="12" t="s">
        <v>21134</v>
      </c>
      <c r="B11351" s="12" t="s">
        <v>10919</v>
      </c>
      <c r="C11351" s="13" t="s">
        <v>10920</v>
      </c>
      <c r="D11351" s="13" t="s">
        <v>92</v>
      </c>
      <c r="E11351" s="12" t="s">
        <v>50</v>
      </c>
      <c r="F11351" s="13"/>
      <c r="G11351" s="14">
        <v>1254</v>
      </c>
      <c r="H11351" s="13" t="s">
        <v>21175</v>
      </c>
      <c r="I11351" s="40" t="s">
        <v>18</v>
      </c>
      <c r="J11351" s="40" t="str">
        <f>HYPERLINK("https://stock.pstatic.net/stock-research/company/63/20250630_company_863695000.pdf","PDF")</f>
        <v>PDF</v>
      </c>
      <c r="K11351" s="12" t="s">
        <v>21176</v>
      </c>
    </row>
    <row r="11352" spans="1:12" x14ac:dyDescent="0.45">
      <c r="A11352" s="12" t="s">
        <v>21134</v>
      </c>
      <c r="B11352" s="12" t="s">
        <v>32</v>
      </c>
      <c r="C11352" s="13" t="s">
        <v>33</v>
      </c>
      <c r="D11352" s="13" t="s">
        <v>92</v>
      </c>
      <c r="E11352" s="12" t="s">
        <v>35</v>
      </c>
      <c r="F11352" s="14">
        <v>160000</v>
      </c>
      <c r="G11352" s="14">
        <v>135500</v>
      </c>
      <c r="H11352" s="13" t="s">
        <v>21177</v>
      </c>
      <c r="I11352" s="40" t="s">
        <v>18</v>
      </c>
      <c r="J11352" s="40" t="str">
        <f>HYPERLINK("https://stock.pstatic.net/stock-research/company/1/20250630_company_620817000.pdf","PDF")</f>
        <v>PDF</v>
      </c>
      <c r="K11352" s="12" t="s">
        <v>21178</v>
      </c>
      <c r="L11352" s="20">
        <v>0.1808118081180812</v>
      </c>
    </row>
    <row r="11353" spans="1:12" x14ac:dyDescent="0.45">
      <c r="A11353" s="12" t="s">
        <v>21134</v>
      </c>
      <c r="B11353" s="12" t="s">
        <v>10907</v>
      </c>
      <c r="C11353" s="13" t="s">
        <v>10908</v>
      </c>
      <c r="D11353" s="13" t="s">
        <v>179</v>
      </c>
      <c r="E11353" s="12" t="s">
        <v>50</v>
      </c>
      <c r="F11353" s="13"/>
      <c r="G11353" s="13"/>
      <c r="H11353" s="13" t="s">
        <v>21179</v>
      </c>
      <c r="I11353" s="40" t="s">
        <v>18</v>
      </c>
      <c r="J11353" s="40" t="str">
        <f>HYPERLINK("https://stock.pstatic.net/stock-research/company/31/20250630_company_452454000.pdf","PDF")</f>
        <v>PDF</v>
      </c>
      <c r="K11353" s="12" t="s">
        <v>21180</v>
      </c>
    </row>
    <row r="11354" spans="1:12" x14ac:dyDescent="0.45">
      <c r="A11354" s="12" t="s">
        <v>21134</v>
      </c>
      <c r="B11354" s="12" t="s">
        <v>912</v>
      </c>
      <c r="C11354" s="13" t="s">
        <v>913</v>
      </c>
      <c r="D11354" s="13" t="s">
        <v>34</v>
      </c>
      <c r="E11354" s="12" t="s">
        <v>50</v>
      </c>
      <c r="F11354" s="13"/>
      <c r="G11354" s="14">
        <v>84500</v>
      </c>
      <c r="H11354" s="13" t="s">
        <v>21181</v>
      </c>
      <c r="I11354" s="40" t="s">
        <v>18</v>
      </c>
      <c r="J11354" s="40" t="str">
        <f>HYPERLINK("https://stock.pstatic.net/stock-research/company/61/20250630_company_986146000.pdf","PDF")</f>
        <v>PDF</v>
      </c>
      <c r="K11354" s="12" t="s">
        <v>21182</v>
      </c>
    </row>
    <row r="11355" spans="1:12" x14ac:dyDescent="0.45">
      <c r="A11355" s="12" t="s">
        <v>21134</v>
      </c>
      <c r="B11355" s="12" t="s">
        <v>8204</v>
      </c>
      <c r="C11355" s="13" t="s">
        <v>8205</v>
      </c>
      <c r="D11355" s="13" t="s">
        <v>34</v>
      </c>
      <c r="E11355" s="12" t="s">
        <v>50</v>
      </c>
      <c r="F11355" s="13"/>
      <c r="G11355" s="14">
        <v>65000</v>
      </c>
      <c r="H11355" s="13" t="s">
        <v>21183</v>
      </c>
      <c r="I11355" s="40" t="s">
        <v>18</v>
      </c>
      <c r="J11355" s="40" t="str">
        <f>HYPERLINK("https://stock.pstatic.net/stock-research/company/61/20250630_company_793750000.pdf","PDF")</f>
        <v>PDF</v>
      </c>
      <c r="K11355" s="12" t="s">
        <v>21184</v>
      </c>
    </row>
    <row r="11356" spans="1:12" x14ac:dyDescent="0.45">
      <c r="A11356" s="12" t="s">
        <v>21134</v>
      </c>
      <c r="B11356" s="12" t="s">
        <v>2933</v>
      </c>
      <c r="C11356" s="13" t="s">
        <v>2934</v>
      </c>
      <c r="D11356" s="13" t="s">
        <v>23</v>
      </c>
      <c r="E11356" s="12" t="s">
        <v>16</v>
      </c>
      <c r="F11356" s="14">
        <v>108000</v>
      </c>
      <c r="G11356" s="14">
        <v>84200</v>
      </c>
      <c r="H11356" s="13" t="s">
        <v>21185</v>
      </c>
      <c r="I11356" s="40" t="s">
        <v>18</v>
      </c>
      <c r="J11356" s="40" t="str">
        <f>HYPERLINK("https://stock.pstatic.net/stock-research/company/21/20250630_company_650916000.pdf","PDF")</f>
        <v>PDF</v>
      </c>
      <c r="K11356" s="12" t="s">
        <v>21186</v>
      </c>
      <c r="L11356" s="20">
        <v>0.28266033254156769</v>
      </c>
    </row>
    <row r="11357" spans="1:12" x14ac:dyDescent="0.45">
      <c r="A11357" s="12" t="s">
        <v>21134</v>
      </c>
      <c r="B11357" s="12" t="s">
        <v>1065</v>
      </c>
      <c r="C11357" s="13" t="s">
        <v>1066</v>
      </c>
      <c r="D11357" s="13" t="s">
        <v>23</v>
      </c>
      <c r="E11357" s="12" t="s">
        <v>16</v>
      </c>
      <c r="F11357" s="14">
        <v>130000</v>
      </c>
      <c r="G11357" s="14">
        <v>103700</v>
      </c>
      <c r="H11357" s="13" t="s">
        <v>21187</v>
      </c>
      <c r="I11357" s="40" t="s">
        <v>18</v>
      </c>
      <c r="J11357" s="40" t="str">
        <f>HYPERLINK("https://stock.pstatic.net/stock-research/company/21/20250630_company_177509000.pdf","PDF")</f>
        <v>PDF</v>
      </c>
      <c r="K11357" s="12" t="s">
        <v>21188</v>
      </c>
      <c r="L11357" s="20">
        <v>0.25361620057859208</v>
      </c>
    </row>
    <row r="11358" spans="1:12" x14ac:dyDescent="0.45">
      <c r="A11358" s="12" t="s">
        <v>21134</v>
      </c>
      <c r="B11358" s="12" t="s">
        <v>13</v>
      </c>
      <c r="C11358" s="13" t="s">
        <v>14</v>
      </c>
      <c r="D11358" s="13" t="s">
        <v>23</v>
      </c>
      <c r="E11358" s="12" t="s">
        <v>16</v>
      </c>
      <c r="F11358" s="14">
        <v>79000</v>
      </c>
      <c r="G11358" s="14">
        <v>60800</v>
      </c>
      <c r="H11358" s="13" t="s">
        <v>21189</v>
      </c>
      <c r="I11358" s="40" t="s">
        <v>18</v>
      </c>
      <c r="J11358" s="40" t="str">
        <f>HYPERLINK("https://stock.pstatic.net/stock-research/company/21/20250630_company_538734000.pdf","PDF")</f>
        <v>PDF</v>
      </c>
      <c r="K11358" s="12" t="s">
        <v>21190</v>
      </c>
      <c r="L11358" s="20">
        <v>0.29934210526315791</v>
      </c>
    </row>
    <row r="11359" spans="1:12" x14ac:dyDescent="0.45">
      <c r="A11359" s="12" t="s">
        <v>21134</v>
      </c>
      <c r="B11359" s="12" t="s">
        <v>6310</v>
      </c>
      <c r="C11359" s="13" t="s">
        <v>6311</v>
      </c>
      <c r="D11359" s="13" t="s">
        <v>23</v>
      </c>
      <c r="E11359" s="12" t="s">
        <v>16</v>
      </c>
      <c r="F11359" s="14">
        <v>140000</v>
      </c>
      <c r="G11359" s="14">
        <v>107000</v>
      </c>
      <c r="H11359" s="13" t="s">
        <v>21191</v>
      </c>
      <c r="I11359" s="40" t="s">
        <v>18</v>
      </c>
      <c r="J11359" s="40" t="str">
        <f>HYPERLINK("https://stock.pstatic.net/stock-research/company/21/20250630_company_954162000.pdf","PDF")</f>
        <v>PDF</v>
      </c>
      <c r="K11359" s="12" t="s">
        <v>21192</v>
      </c>
      <c r="L11359" s="20">
        <v>0.30841121495327101</v>
      </c>
    </row>
    <row r="11360" spans="1:12" x14ac:dyDescent="0.45">
      <c r="A11360" s="12" t="s">
        <v>21134</v>
      </c>
      <c r="B11360" s="12" t="s">
        <v>334</v>
      </c>
      <c r="C11360" s="13" t="s">
        <v>335</v>
      </c>
      <c r="D11360" s="13" t="s">
        <v>23</v>
      </c>
      <c r="E11360" s="12" t="s">
        <v>16</v>
      </c>
      <c r="F11360" s="14">
        <v>380000</v>
      </c>
      <c r="G11360" s="14">
        <v>284000</v>
      </c>
      <c r="H11360" s="13" t="s">
        <v>21193</v>
      </c>
      <c r="I11360" s="40" t="s">
        <v>18</v>
      </c>
      <c r="J11360" s="40" t="str">
        <f>HYPERLINK("https://stock.pstatic.net/stock-research/company/21/20250630_company_99678000.pdf","PDF")</f>
        <v>PDF</v>
      </c>
      <c r="K11360" s="12" t="s">
        <v>21194</v>
      </c>
      <c r="L11360" s="20">
        <v>0.3380281690140845</v>
      </c>
    </row>
    <row r="11361" spans="1:12" x14ac:dyDescent="0.45">
      <c r="A11361" s="12" t="s">
        <v>21134</v>
      </c>
      <c r="B11361" s="12" t="s">
        <v>545</v>
      </c>
      <c r="C11361" s="13" t="s">
        <v>546</v>
      </c>
      <c r="D11361" s="13" t="s">
        <v>23</v>
      </c>
      <c r="E11361" s="12" t="s">
        <v>16</v>
      </c>
      <c r="F11361" s="14">
        <v>260000</v>
      </c>
      <c r="G11361" s="14">
        <v>178000</v>
      </c>
      <c r="H11361" s="13" t="s">
        <v>21195</v>
      </c>
      <c r="I11361" s="40" t="s">
        <v>18</v>
      </c>
      <c r="J11361" s="40" t="str">
        <f>HYPERLINK("https://stock.pstatic.net/stock-research/company/21/20250630_company_736340000.pdf","PDF")</f>
        <v>PDF</v>
      </c>
      <c r="K11361" s="12" t="s">
        <v>21196</v>
      </c>
      <c r="L11361" s="20">
        <v>0.4606741573033708</v>
      </c>
    </row>
    <row r="11362" spans="1:12" x14ac:dyDescent="0.45">
      <c r="A11362" s="12" t="s">
        <v>21134</v>
      </c>
      <c r="B11362" s="12" t="s">
        <v>5036</v>
      </c>
      <c r="C11362" s="13" t="s">
        <v>5037</v>
      </c>
      <c r="D11362" s="13" t="s">
        <v>124</v>
      </c>
      <c r="E11362" s="12" t="s">
        <v>50</v>
      </c>
      <c r="F11362" s="13"/>
      <c r="G11362" s="13"/>
      <c r="H11362" s="13" t="s">
        <v>21197</v>
      </c>
      <c r="I11362" s="40" t="s">
        <v>18</v>
      </c>
      <c r="J11362" s="40" t="str">
        <f>HYPERLINK("https://stock.pstatic.net/stock-research/company/1/20250630_company_445076000.pdf","PDF")</f>
        <v>PDF</v>
      </c>
      <c r="K11362" s="12" t="s">
        <v>21198</v>
      </c>
    </row>
    <row r="11363" spans="1:12" x14ac:dyDescent="0.45">
      <c r="A11363" s="12" t="s">
        <v>21134</v>
      </c>
      <c r="B11363" s="12" t="s">
        <v>4927</v>
      </c>
      <c r="C11363" s="13" t="s">
        <v>4928</v>
      </c>
      <c r="D11363" s="13" t="s">
        <v>23</v>
      </c>
      <c r="E11363" s="12" t="s">
        <v>50</v>
      </c>
      <c r="F11363" s="13"/>
      <c r="G11363" s="14">
        <v>153800</v>
      </c>
      <c r="H11363" s="13" t="s">
        <v>21199</v>
      </c>
      <c r="I11363" s="40" t="s">
        <v>18</v>
      </c>
      <c r="J11363" s="40" t="str">
        <f>HYPERLINK("https://stock.pstatic.net/stock-research/company/21/20250630_company_936661000.pdf","PDF")</f>
        <v>PDF</v>
      </c>
      <c r="K11363" s="12" t="s">
        <v>21200</v>
      </c>
    </row>
    <row r="11364" spans="1:12" x14ac:dyDescent="0.45">
      <c r="A11364" s="12" t="s">
        <v>21201</v>
      </c>
      <c r="B11364" s="12" t="s">
        <v>519</v>
      </c>
      <c r="C11364" s="13" t="s">
        <v>520</v>
      </c>
      <c r="D11364" s="13" t="s">
        <v>853</v>
      </c>
      <c r="E11364" s="12" t="s">
        <v>35</v>
      </c>
      <c r="F11364" s="14">
        <v>265000</v>
      </c>
      <c r="G11364" s="14">
        <v>217000</v>
      </c>
      <c r="H11364" s="13" t="s">
        <v>21202</v>
      </c>
      <c r="I11364" s="40" t="s">
        <v>18</v>
      </c>
      <c r="J11364" s="40" t="str">
        <f>HYPERLINK("https://stock.pstatic.net/stock-research/company/17/20250627_company_81515000.pdf","PDF")</f>
        <v>PDF</v>
      </c>
      <c r="K11364" s="12" t="s">
        <v>21203</v>
      </c>
      <c r="L11364" s="20">
        <v>0.22119815668202769</v>
      </c>
    </row>
    <row r="11365" spans="1:12" x14ac:dyDescent="0.45">
      <c r="A11365" s="12" t="s">
        <v>21201</v>
      </c>
      <c r="B11365" s="12" t="s">
        <v>21204</v>
      </c>
      <c r="C11365" s="13" t="s">
        <v>21205</v>
      </c>
      <c r="D11365" s="13" t="s">
        <v>60</v>
      </c>
      <c r="E11365" s="12" t="s">
        <v>50</v>
      </c>
      <c r="F11365" s="13"/>
      <c r="G11365" s="14">
        <v>608</v>
      </c>
      <c r="H11365" s="13" t="s">
        <v>21206</v>
      </c>
      <c r="I11365" s="40" t="s">
        <v>18</v>
      </c>
      <c r="J11365" s="40" t="str">
        <f>HYPERLINK("https://stock.pstatic.net/stock-research/company/62/20250627_company_980593000.pdf","PDF")</f>
        <v>PDF</v>
      </c>
      <c r="K11365" s="12" t="s">
        <v>21207</v>
      </c>
    </row>
    <row r="11366" spans="1:12" x14ac:dyDescent="0.45">
      <c r="A11366" s="12" t="s">
        <v>21201</v>
      </c>
      <c r="B11366" s="12" t="s">
        <v>1781</v>
      </c>
      <c r="C11366" s="13" t="s">
        <v>1782</v>
      </c>
      <c r="D11366" s="13" t="s">
        <v>65</v>
      </c>
      <c r="E11366" s="12" t="s">
        <v>35</v>
      </c>
      <c r="F11366" s="14">
        <v>129000</v>
      </c>
      <c r="G11366" s="14">
        <v>74700</v>
      </c>
      <c r="H11366" s="13" t="s">
        <v>21208</v>
      </c>
      <c r="I11366" s="40" t="s">
        <v>18</v>
      </c>
      <c r="J11366" s="40" t="str">
        <f>HYPERLINK("https://stock.pstatic.net/stock-research/company/57/20250627_company_948134000.pdf","PDF")</f>
        <v>PDF</v>
      </c>
      <c r="K11366" s="12" t="s">
        <v>21209</v>
      </c>
      <c r="L11366" s="20">
        <v>0.7269076305220884</v>
      </c>
    </row>
    <row r="11367" spans="1:12" x14ac:dyDescent="0.45">
      <c r="A11367" s="12" t="s">
        <v>21201</v>
      </c>
      <c r="B11367" s="12" t="s">
        <v>5359</v>
      </c>
      <c r="C11367" s="13" t="s">
        <v>5360</v>
      </c>
      <c r="D11367" s="13" t="s">
        <v>65</v>
      </c>
      <c r="E11367" s="12" t="s">
        <v>50</v>
      </c>
      <c r="F11367" s="13"/>
      <c r="G11367" s="14">
        <v>21800</v>
      </c>
      <c r="H11367" s="13" t="s">
        <v>21210</v>
      </c>
      <c r="I11367" s="40" t="s">
        <v>18</v>
      </c>
      <c r="J11367" s="40" t="str">
        <f>HYPERLINK("https://stock.pstatic.net/stock-research/company/1/20250627_company_478465000.pdf","PDF")</f>
        <v>PDF</v>
      </c>
      <c r="K11367" s="12" t="s">
        <v>21211</v>
      </c>
    </row>
    <row r="11368" spans="1:12" x14ac:dyDescent="0.45">
      <c r="A11368" s="12" t="s">
        <v>21201</v>
      </c>
      <c r="B11368" s="12" t="s">
        <v>10477</v>
      </c>
      <c r="C11368" s="13" t="s">
        <v>10478</v>
      </c>
      <c r="D11368" s="13" t="s">
        <v>65</v>
      </c>
      <c r="E11368" s="12" t="s">
        <v>50</v>
      </c>
      <c r="F11368" s="13"/>
      <c r="G11368" s="14">
        <v>1969</v>
      </c>
      <c r="H11368" s="13" t="s">
        <v>10479</v>
      </c>
      <c r="I11368" s="40" t="s">
        <v>18</v>
      </c>
      <c r="J11368" s="40" t="str">
        <f>HYPERLINK("https://stock.pstatic.net/stock-research/company/57/20250627_company_860096000.pdf","PDF")</f>
        <v>PDF</v>
      </c>
      <c r="K11368" s="12" t="s">
        <v>21212</v>
      </c>
    </row>
    <row r="11369" spans="1:12" x14ac:dyDescent="0.45">
      <c r="A11369" s="12" t="s">
        <v>21201</v>
      </c>
      <c r="B11369" s="12" t="s">
        <v>541</v>
      </c>
      <c r="C11369" s="13" t="s">
        <v>542</v>
      </c>
      <c r="D11369" s="13" t="s">
        <v>65</v>
      </c>
      <c r="E11369" s="12" t="s">
        <v>35</v>
      </c>
      <c r="F11369" s="14">
        <v>70000</v>
      </c>
      <c r="G11369" s="14">
        <v>56700</v>
      </c>
      <c r="H11369" s="13" t="s">
        <v>21213</v>
      </c>
      <c r="I11369" s="40" t="s">
        <v>18</v>
      </c>
      <c r="J11369" s="40" t="str">
        <f>HYPERLINK("https://stock.pstatic.net/stock-research/company/1/20250627_company_205745000.pdf","PDF")</f>
        <v>PDF</v>
      </c>
      <c r="K11369" s="12" t="s">
        <v>21214</v>
      </c>
      <c r="L11369" s="20">
        <v>0.23456790123456789</v>
      </c>
    </row>
    <row r="11370" spans="1:12" x14ac:dyDescent="0.45">
      <c r="A11370" s="12" t="s">
        <v>21201</v>
      </c>
      <c r="B11370" s="12" t="s">
        <v>537</v>
      </c>
      <c r="C11370" s="13" t="s">
        <v>538</v>
      </c>
      <c r="D11370" s="13" t="s">
        <v>65</v>
      </c>
      <c r="E11370" s="12" t="s">
        <v>35</v>
      </c>
      <c r="F11370" s="14">
        <v>16000</v>
      </c>
      <c r="G11370" s="14">
        <v>14300</v>
      </c>
      <c r="H11370" s="13" t="s">
        <v>21215</v>
      </c>
      <c r="I11370" s="40" t="s">
        <v>18</v>
      </c>
      <c r="J11370" s="40" t="str">
        <f>HYPERLINK("https://stock.pstatic.net/stock-research/company/57/20250627_company_693707000.pdf","PDF")</f>
        <v>PDF</v>
      </c>
      <c r="K11370" s="12" t="s">
        <v>21216</v>
      </c>
      <c r="L11370" s="20">
        <v>0.11888111888111889</v>
      </c>
    </row>
    <row r="11371" spans="1:12" x14ac:dyDescent="0.45">
      <c r="A11371" s="12" t="s">
        <v>21201</v>
      </c>
      <c r="B11371" s="12" t="s">
        <v>533</v>
      </c>
      <c r="C11371" s="13" t="s">
        <v>534</v>
      </c>
      <c r="D11371" s="13" t="s">
        <v>65</v>
      </c>
      <c r="E11371" s="12" t="s">
        <v>35</v>
      </c>
      <c r="F11371" s="14">
        <v>70000</v>
      </c>
      <c r="G11371" s="14">
        <v>52400</v>
      </c>
      <c r="H11371" s="13" t="s">
        <v>21217</v>
      </c>
      <c r="I11371" s="40" t="s">
        <v>18</v>
      </c>
      <c r="J11371" s="40" t="str">
        <f>HYPERLINK("https://stock.pstatic.net/stock-research/company/57/20250627_company_205795000.pdf","PDF")</f>
        <v>PDF</v>
      </c>
      <c r="K11371" s="12" t="s">
        <v>21218</v>
      </c>
      <c r="L11371" s="20">
        <v>0.33587786259541991</v>
      </c>
    </row>
    <row r="11372" spans="1:12" x14ac:dyDescent="0.45">
      <c r="A11372" s="12" t="s">
        <v>21201</v>
      </c>
      <c r="B11372" s="12" t="s">
        <v>1930</v>
      </c>
      <c r="C11372" s="13" t="s">
        <v>1931</v>
      </c>
      <c r="D11372" s="13" t="s">
        <v>65</v>
      </c>
      <c r="E11372" s="12" t="s">
        <v>35</v>
      </c>
      <c r="F11372" s="14">
        <v>380000</v>
      </c>
      <c r="G11372" s="14">
        <v>255500</v>
      </c>
      <c r="H11372" s="13" t="s">
        <v>21219</v>
      </c>
      <c r="I11372" s="40" t="s">
        <v>18</v>
      </c>
      <c r="J11372" s="40" t="str">
        <f>HYPERLINK("https://stock.pstatic.net/stock-research/company/57/20250627_company_55577000.pdf","PDF")</f>
        <v>PDF</v>
      </c>
      <c r="K11372" s="12" t="s">
        <v>21220</v>
      </c>
      <c r="L11372" s="20">
        <v>0.48727984344422698</v>
      </c>
    </row>
    <row r="11373" spans="1:12" x14ac:dyDescent="0.45">
      <c r="A11373" s="12" t="s">
        <v>21201</v>
      </c>
      <c r="B11373" s="12" t="s">
        <v>824</v>
      </c>
      <c r="C11373" s="13" t="s">
        <v>825</v>
      </c>
      <c r="D11373" s="13" t="s">
        <v>57</v>
      </c>
      <c r="E11373" s="12" t="s">
        <v>35</v>
      </c>
      <c r="F11373" s="14">
        <v>64000</v>
      </c>
      <c r="G11373" s="14">
        <v>34650</v>
      </c>
      <c r="H11373" s="13" t="s">
        <v>21221</v>
      </c>
      <c r="I11373" s="40" t="s">
        <v>18</v>
      </c>
      <c r="J11373" s="40" t="str">
        <f>HYPERLINK("https://stock.pstatic.net/stock-research/company/16/20250627_company_191244000.pdf","PDF")</f>
        <v>PDF</v>
      </c>
      <c r="K11373" s="12" t="s">
        <v>21222</v>
      </c>
      <c r="L11373" s="20">
        <v>0.84704184704184704</v>
      </c>
    </row>
    <row r="11374" spans="1:12" x14ac:dyDescent="0.45">
      <c r="A11374" s="12" t="s">
        <v>21201</v>
      </c>
      <c r="B11374" s="12" t="s">
        <v>334</v>
      </c>
      <c r="C11374" s="13" t="s">
        <v>335</v>
      </c>
      <c r="D11374" s="13" t="s">
        <v>57</v>
      </c>
      <c r="E11374" s="12" t="s">
        <v>35</v>
      </c>
      <c r="F11374" s="14">
        <v>360000</v>
      </c>
      <c r="G11374" s="14">
        <v>293000</v>
      </c>
      <c r="H11374" s="13" t="s">
        <v>21223</v>
      </c>
      <c r="I11374" s="40" t="s">
        <v>18</v>
      </c>
      <c r="J11374" s="40" t="str">
        <f>HYPERLINK("https://stock.pstatic.net/stock-research/company/31/20250627_company_593819000.pdf","PDF")</f>
        <v>PDF</v>
      </c>
      <c r="K11374" s="12" t="s">
        <v>21224</v>
      </c>
      <c r="L11374" s="20">
        <v>0.2286689419795222</v>
      </c>
    </row>
    <row r="11375" spans="1:12" x14ac:dyDescent="0.45">
      <c r="A11375" s="12" t="s">
        <v>21201</v>
      </c>
      <c r="B11375" s="12" t="s">
        <v>2243</v>
      </c>
      <c r="C11375" s="13" t="s">
        <v>2244</v>
      </c>
      <c r="D11375" s="13" t="s">
        <v>158</v>
      </c>
      <c r="E11375" s="12" t="s">
        <v>50</v>
      </c>
      <c r="F11375" s="13"/>
      <c r="G11375" s="14">
        <v>7540</v>
      </c>
      <c r="H11375" s="13" t="s">
        <v>21225</v>
      </c>
      <c r="I11375" s="40" t="s">
        <v>18</v>
      </c>
      <c r="J11375" s="40" t="str">
        <f>HYPERLINK("https://stock.pstatic.net/stock-research/company/18/20250627_company_912419000.pdf","PDF")</f>
        <v>PDF</v>
      </c>
      <c r="K11375" s="12" t="s">
        <v>21226</v>
      </c>
    </row>
    <row r="11376" spans="1:12" x14ac:dyDescent="0.45">
      <c r="A11376" s="12" t="s">
        <v>21201</v>
      </c>
      <c r="B11376" s="12" t="s">
        <v>752</v>
      </c>
      <c r="C11376" s="13" t="s">
        <v>753</v>
      </c>
      <c r="D11376" s="13" t="s">
        <v>179</v>
      </c>
      <c r="E11376" s="12" t="s">
        <v>16</v>
      </c>
      <c r="F11376" s="14">
        <v>85000</v>
      </c>
      <c r="G11376" s="14">
        <v>62000</v>
      </c>
      <c r="H11376" s="13" t="s">
        <v>21227</v>
      </c>
      <c r="I11376" s="40" t="s">
        <v>18</v>
      </c>
      <c r="J11376" s="40" t="str">
        <f>HYPERLINK("https://stock.pstatic.net/stock-research/company/31/20250627_company_565828000.pdf","PDF")</f>
        <v>PDF</v>
      </c>
      <c r="K11376" s="12" t="s">
        <v>21228</v>
      </c>
      <c r="L11376" s="20">
        <v>0.37096774193548387</v>
      </c>
    </row>
    <row r="11377" spans="1:12" x14ac:dyDescent="0.45">
      <c r="A11377" s="12" t="s">
        <v>21201</v>
      </c>
      <c r="B11377" s="12" t="s">
        <v>894</v>
      </c>
      <c r="C11377" s="13" t="s">
        <v>26</v>
      </c>
      <c r="D11377" s="13" t="s">
        <v>179</v>
      </c>
      <c r="E11377" s="12" t="s">
        <v>16</v>
      </c>
      <c r="F11377" s="14">
        <v>60000</v>
      </c>
      <c r="G11377" s="14">
        <v>50400</v>
      </c>
      <c r="H11377" s="13" t="s">
        <v>21229</v>
      </c>
      <c r="I11377" s="40" t="s">
        <v>18</v>
      </c>
      <c r="J11377" s="40" t="str">
        <f>HYPERLINK("https://stock.pstatic.net/stock-research/company/31/20250627_company_927995000.pdf","PDF")</f>
        <v>PDF</v>
      </c>
      <c r="K11377" s="12" t="s">
        <v>21230</v>
      </c>
      <c r="L11377" s="20">
        <v>0.19047619047619049</v>
      </c>
    </row>
    <row r="11378" spans="1:12" x14ac:dyDescent="0.45">
      <c r="A11378" s="12" t="s">
        <v>21201</v>
      </c>
      <c r="B11378" s="12" t="s">
        <v>2944</v>
      </c>
      <c r="C11378" s="13" t="s">
        <v>2945</v>
      </c>
      <c r="D11378" s="13" t="s">
        <v>179</v>
      </c>
      <c r="E11378" s="12" t="s">
        <v>16</v>
      </c>
      <c r="F11378" s="14">
        <v>15000</v>
      </c>
      <c r="G11378" s="14">
        <v>12400</v>
      </c>
      <c r="H11378" s="13" t="s">
        <v>21231</v>
      </c>
      <c r="I11378" s="40" t="s">
        <v>18</v>
      </c>
      <c r="J11378" s="40" t="str">
        <f>HYPERLINK("https://stock.pstatic.net/stock-research/company/31/20250627_company_396658000.pdf","PDF")</f>
        <v>PDF</v>
      </c>
      <c r="K11378" s="12" t="s">
        <v>21232</v>
      </c>
      <c r="L11378" s="20">
        <v>0.20967741935483869</v>
      </c>
    </row>
    <row r="11379" spans="1:12" x14ac:dyDescent="0.45">
      <c r="A11379" s="12" t="s">
        <v>21201</v>
      </c>
      <c r="B11379" s="12" t="s">
        <v>3492</v>
      </c>
      <c r="C11379" s="13" t="s">
        <v>3493</v>
      </c>
      <c r="D11379" s="13" t="s">
        <v>179</v>
      </c>
      <c r="E11379" s="12" t="s">
        <v>16</v>
      </c>
      <c r="F11379" s="14">
        <v>23000</v>
      </c>
      <c r="G11379" s="14">
        <v>18520</v>
      </c>
      <c r="H11379" s="13" t="s">
        <v>21233</v>
      </c>
      <c r="I11379" s="40" t="s">
        <v>18</v>
      </c>
      <c r="J11379" s="40" t="str">
        <f>HYPERLINK("https://stock.pstatic.net/stock-research/company/31/20250627_company_776963000.pdf","PDF")</f>
        <v>PDF</v>
      </c>
      <c r="K11379" s="12" t="s">
        <v>21234</v>
      </c>
      <c r="L11379" s="20">
        <v>0.24190064794816421</v>
      </c>
    </row>
    <row r="11380" spans="1:12" x14ac:dyDescent="0.45">
      <c r="A11380" s="12" t="s">
        <v>21201</v>
      </c>
      <c r="B11380" s="12" t="s">
        <v>3488</v>
      </c>
      <c r="C11380" s="13" t="s">
        <v>3489</v>
      </c>
      <c r="D11380" s="13" t="s">
        <v>179</v>
      </c>
      <c r="E11380" s="12" t="s">
        <v>16</v>
      </c>
      <c r="F11380" s="14">
        <v>26000</v>
      </c>
      <c r="G11380" s="14">
        <v>22550</v>
      </c>
      <c r="H11380" s="13" t="s">
        <v>21235</v>
      </c>
      <c r="I11380" s="40" t="s">
        <v>18</v>
      </c>
      <c r="J11380" s="40" t="str">
        <f>HYPERLINK("https://stock.pstatic.net/stock-research/company/31/20250627_company_251311000.pdf","PDF")</f>
        <v>PDF</v>
      </c>
      <c r="K11380" s="12" t="s">
        <v>21236</v>
      </c>
      <c r="L11380" s="20">
        <v>0.1529933481152993</v>
      </c>
    </row>
    <row r="11381" spans="1:12" x14ac:dyDescent="0.45">
      <c r="A11381" s="12" t="s">
        <v>21201</v>
      </c>
      <c r="B11381" s="12" t="s">
        <v>1495</v>
      </c>
      <c r="C11381" s="13" t="s">
        <v>1496</v>
      </c>
      <c r="D11381" s="13" t="s">
        <v>92</v>
      </c>
      <c r="E11381" s="12" t="s">
        <v>35</v>
      </c>
      <c r="F11381" s="14">
        <v>55000</v>
      </c>
      <c r="G11381" s="14">
        <v>39250</v>
      </c>
      <c r="H11381" s="13" t="s">
        <v>21237</v>
      </c>
      <c r="I11381" s="40" t="s">
        <v>18</v>
      </c>
      <c r="J11381" s="40" t="str">
        <f>HYPERLINK("https://stock.pstatic.net/stock-research/company/63/20250627_company_756389000.pdf","PDF")</f>
        <v>PDF</v>
      </c>
      <c r="K11381" s="12" t="s">
        <v>21238</v>
      </c>
      <c r="L11381" s="20">
        <v>0.40127388535031849</v>
      </c>
    </row>
    <row r="11382" spans="1:12" x14ac:dyDescent="0.45">
      <c r="A11382" s="12" t="s">
        <v>21201</v>
      </c>
      <c r="B11382" s="12" t="s">
        <v>3688</v>
      </c>
      <c r="C11382" s="13" t="s">
        <v>3689</v>
      </c>
      <c r="D11382" s="13" t="s">
        <v>179</v>
      </c>
      <c r="E11382" s="12" t="s">
        <v>16</v>
      </c>
      <c r="F11382" s="14">
        <v>75000</v>
      </c>
      <c r="G11382" s="14">
        <v>59700</v>
      </c>
      <c r="H11382" s="13" t="s">
        <v>21239</v>
      </c>
      <c r="I11382" s="40" t="s">
        <v>18</v>
      </c>
      <c r="J11382" s="40" t="str">
        <f>HYPERLINK("https://stock.pstatic.net/stock-research/company/31/20250627_company_406733000.pdf","PDF")</f>
        <v>PDF</v>
      </c>
      <c r="K11382" s="12" t="s">
        <v>21240</v>
      </c>
      <c r="L11382" s="20">
        <v>0.25628140703517588</v>
      </c>
    </row>
    <row r="11383" spans="1:12" x14ac:dyDescent="0.45">
      <c r="A11383" s="12" t="s">
        <v>21201</v>
      </c>
      <c r="B11383" s="12" t="s">
        <v>3369</v>
      </c>
      <c r="C11383" s="13" t="s">
        <v>3370</v>
      </c>
      <c r="D11383" s="13" t="s">
        <v>179</v>
      </c>
      <c r="E11383" s="12" t="s">
        <v>16</v>
      </c>
      <c r="F11383" s="14">
        <v>25000</v>
      </c>
      <c r="G11383" s="14">
        <v>20600</v>
      </c>
      <c r="H11383" s="13" t="s">
        <v>21241</v>
      </c>
      <c r="I11383" s="40" t="s">
        <v>18</v>
      </c>
      <c r="J11383" s="40" t="str">
        <f>HYPERLINK("https://stock.pstatic.net/stock-research/company/31/20250627_company_730568000.pdf","PDF")</f>
        <v>PDF</v>
      </c>
      <c r="K11383" s="12" t="s">
        <v>21242</v>
      </c>
      <c r="L11383" s="20">
        <v>0.2135922330097087</v>
      </c>
    </row>
    <row r="11384" spans="1:12" x14ac:dyDescent="0.45">
      <c r="A11384" s="12" t="s">
        <v>21201</v>
      </c>
      <c r="B11384" s="12" t="s">
        <v>3168</v>
      </c>
      <c r="C11384" s="13" t="s">
        <v>3169</v>
      </c>
      <c r="D11384" s="13" t="s">
        <v>179</v>
      </c>
      <c r="E11384" s="12" t="s">
        <v>16</v>
      </c>
      <c r="F11384" s="14">
        <v>15000</v>
      </c>
      <c r="G11384" s="14">
        <v>12420</v>
      </c>
      <c r="H11384" s="13" t="s">
        <v>21243</v>
      </c>
      <c r="I11384" s="40" t="s">
        <v>18</v>
      </c>
      <c r="J11384" s="40" t="str">
        <f>HYPERLINK("https://stock.pstatic.net/stock-research/company/61/20250627_company_674541000.pdf","PDF")</f>
        <v>PDF</v>
      </c>
      <c r="K11384" s="12" t="s">
        <v>21244</v>
      </c>
      <c r="L11384" s="20">
        <v>0.2077294685990338</v>
      </c>
    </row>
    <row r="11385" spans="1:12" x14ac:dyDescent="0.45">
      <c r="A11385" s="12" t="s">
        <v>21201</v>
      </c>
      <c r="B11385" s="12" t="s">
        <v>3373</v>
      </c>
      <c r="C11385" s="13" t="s">
        <v>3374</v>
      </c>
      <c r="D11385" s="13" t="s">
        <v>179</v>
      </c>
      <c r="E11385" s="12" t="s">
        <v>16</v>
      </c>
      <c r="F11385" s="14">
        <v>130000</v>
      </c>
      <c r="G11385" s="14">
        <v>109900</v>
      </c>
      <c r="H11385" s="13" t="s">
        <v>21245</v>
      </c>
      <c r="I11385" s="40" t="s">
        <v>18</v>
      </c>
      <c r="J11385" s="40" t="str">
        <f>HYPERLINK("https://stock.pstatic.net/stock-research/company/31/20250627_company_259678000.pdf","PDF")</f>
        <v>PDF</v>
      </c>
      <c r="K11385" s="12" t="s">
        <v>21246</v>
      </c>
      <c r="L11385" s="20">
        <v>0.1828935395814377</v>
      </c>
    </row>
    <row r="11386" spans="1:12" x14ac:dyDescent="0.45">
      <c r="A11386" s="12" t="s">
        <v>21201</v>
      </c>
      <c r="B11386" s="12" t="s">
        <v>3482</v>
      </c>
      <c r="C11386" s="13" t="s">
        <v>3483</v>
      </c>
      <c r="D11386" s="13" t="s">
        <v>179</v>
      </c>
      <c r="E11386" s="12" t="s">
        <v>16</v>
      </c>
      <c r="F11386" s="14">
        <v>102000</v>
      </c>
      <c r="G11386" s="14">
        <v>83500</v>
      </c>
      <c r="H11386" s="13" t="s">
        <v>21247</v>
      </c>
      <c r="I11386" s="40" t="s">
        <v>18</v>
      </c>
      <c r="J11386" s="40" t="str">
        <f>HYPERLINK("https://stock.pstatic.net/stock-research/company/31/20250627_company_886265000.pdf","PDF")</f>
        <v>PDF</v>
      </c>
      <c r="K11386" s="12" t="s">
        <v>21248</v>
      </c>
      <c r="L11386" s="20">
        <v>0.22155688622754491</v>
      </c>
    </row>
    <row r="11387" spans="1:12" x14ac:dyDescent="0.45">
      <c r="A11387" s="12" t="s">
        <v>21201</v>
      </c>
      <c r="B11387" s="12" t="s">
        <v>182</v>
      </c>
      <c r="C11387" s="13" t="s">
        <v>183</v>
      </c>
      <c r="D11387" s="13" t="s">
        <v>53</v>
      </c>
      <c r="E11387" s="12" t="s">
        <v>50</v>
      </c>
      <c r="F11387" s="13"/>
      <c r="G11387" s="14">
        <v>2575</v>
      </c>
      <c r="H11387" s="13" t="s">
        <v>21249</v>
      </c>
      <c r="I11387" s="40" t="s">
        <v>18</v>
      </c>
      <c r="J11387" s="40" t="str">
        <f>HYPERLINK("https://stock.pstatic.net/stock-research/company/40/20250627_company_638489000.pdf","PDF")</f>
        <v>PDF</v>
      </c>
      <c r="K11387" s="12" t="s">
        <v>21250</v>
      </c>
    </row>
    <row r="11388" spans="1:12" x14ac:dyDescent="0.45">
      <c r="A11388" s="12" t="s">
        <v>21201</v>
      </c>
      <c r="B11388" s="12" t="s">
        <v>740</v>
      </c>
      <c r="C11388" s="13" t="s">
        <v>741</v>
      </c>
      <c r="D11388" s="13" t="s">
        <v>23</v>
      </c>
      <c r="E11388" s="12" t="s">
        <v>16</v>
      </c>
      <c r="F11388" s="14">
        <v>200000</v>
      </c>
      <c r="G11388" s="14">
        <v>152000</v>
      </c>
      <c r="H11388" s="13" t="s">
        <v>21251</v>
      </c>
      <c r="I11388" s="40" t="s">
        <v>18</v>
      </c>
      <c r="J11388" s="40" t="str">
        <f>HYPERLINK("https://stock.pstatic.net/stock-research/company/21/20250627_company_871611000.pdf","PDF")</f>
        <v>PDF</v>
      </c>
      <c r="K11388" s="12" t="s">
        <v>21252</v>
      </c>
      <c r="L11388" s="20">
        <v>0.31578947368421051</v>
      </c>
    </row>
    <row r="11389" spans="1:12" x14ac:dyDescent="0.45">
      <c r="A11389" s="12" t="s">
        <v>21201</v>
      </c>
      <c r="B11389" s="12" t="s">
        <v>3280</v>
      </c>
      <c r="C11389" s="13" t="s">
        <v>3281</v>
      </c>
      <c r="D11389" s="13" t="s">
        <v>23</v>
      </c>
      <c r="E11389" s="12" t="s">
        <v>16</v>
      </c>
      <c r="F11389" s="14">
        <v>50000</v>
      </c>
      <c r="G11389" s="14">
        <v>39800</v>
      </c>
      <c r="H11389" s="13" t="s">
        <v>21253</v>
      </c>
      <c r="I11389" s="40" t="s">
        <v>18</v>
      </c>
      <c r="J11389" s="40" t="str">
        <f>HYPERLINK("https://stock.pstatic.net/stock-research/company/21/20250627_company_153610000.pdf","PDF")</f>
        <v>PDF</v>
      </c>
      <c r="K11389" s="12" t="s">
        <v>21254</v>
      </c>
      <c r="L11389" s="20">
        <v>0.25628140703517588</v>
      </c>
    </row>
    <row r="11390" spans="1:12" x14ac:dyDescent="0.45">
      <c r="A11390" s="12" t="s">
        <v>21201</v>
      </c>
      <c r="B11390" s="12" t="s">
        <v>21255</v>
      </c>
      <c r="C11390" s="13" t="s">
        <v>21256</v>
      </c>
      <c r="D11390" s="13" t="s">
        <v>124</v>
      </c>
      <c r="E11390" s="12" t="s">
        <v>50</v>
      </c>
      <c r="F11390" s="13"/>
      <c r="G11390" s="13"/>
      <c r="H11390" s="13" t="s">
        <v>21257</v>
      </c>
      <c r="I11390" s="40" t="s">
        <v>18</v>
      </c>
      <c r="J11390" s="40" t="str">
        <f>HYPERLINK("https://stock.pstatic.net/stock-research/company/74/20250627_company_292760000.pdf","PDF")</f>
        <v>PDF</v>
      </c>
      <c r="K11390" s="12" t="s">
        <v>21258</v>
      </c>
    </row>
    <row r="11391" spans="1:12" x14ac:dyDescent="0.45">
      <c r="A11391" s="12" t="s">
        <v>21201</v>
      </c>
      <c r="B11391" s="12" t="s">
        <v>625</v>
      </c>
      <c r="C11391" s="13" t="s">
        <v>626</v>
      </c>
      <c r="D11391" s="13" t="s">
        <v>15</v>
      </c>
      <c r="E11391" s="12" t="s">
        <v>50</v>
      </c>
      <c r="F11391" s="13"/>
      <c r="G11391" s="14">
        <v>13840</v>
      </c>
      <c r="H11391" s="13" t="s">
        <v>21259</v>
      </c>
      <c r="I11391" s="40" t="s">
        <v>18</v>
      </c>
      <c r="J11391" s="40" t="str">
        <f>HYPERLINK("https://stock.pstatic.net/stock-research/company/56/20250627_company_17827000.pdf","PDF")</f>
        <v>PDF</v>
      </c>
      <c r="K11391" s="12" t="s">
        <v>21260</v>
      </c>
    </row>
    <row r="11392" spans="1:12" x14ac:dyDescent="0.45">
      <c r="A11392" s="12" t="s">
        <v>21201</v>
      </c>
      <c r="B11392" s="12" t="s">
        <v>16681</v>
      </c>
      <c r="C11392" s="13" t="s">
        <v>16682</v>
      </c>
      <c r="D11392" s="13" t="s">
        <v>15</v>
      </c>
      <c r="E11392" s="12" t="s">
        <v>50</v>
      </c>
      <c r="F11392" s="13"/>
      <c r="G11392" s="14">
        <v>7500</v>
      </c>
      <c r="H11392" s="13" t="s">
        <v>21261</v>
      </c>
      <c r="I11392" s="40" t="s">
        <v>18</v>
      </c>
      <c r="J11392" s="40" t="str">
        <f>HYPERLINK("https://stock.pstatic.net/stock-research/company/29/20250627_company_91983000.pdf","PDF")</f>
        <v>PDF</v>
      </c>
      <c r="K11392" s="12" t="s">
        <v>21262</v>
      </c>
    </row>
    <row r="11393" spans="1:12" x14ac:dyDescent="0.45">
      <c r="A11393" s="12" t="s">
        <v>21201</v>
      </c>
      <c r="B11393" s="12" t="s">
        <v>926</v>
      </c>
      <c r="C11393" s="13" t="s">
        <v>927</v>
      </c>
      <c r="D11393" s="13" t="s">
        <v>202</v>
      </c>
      <c r="E11393" s="12" t="s">
        <v>50</v>
      </c>
      <c r="F11393" s="13"/>
      <c r="G11393" s="13"/>
      <c r="H11393" s="13" t="s">
        <v>21263</v>
      </c>
      <c r="I11393" s="40" t="s">
        <v>18</v>
      </c>
      <c r="J11393" s="40" t="str">
        <f>HYPERLINK("https://stock.pstatic.net/stock-research/company/69/20250627_company_384025000.pdf","PDF")</f>
        <v>PDF</v>
      </c>
      <c r="K11393" s="12" t="s">
        <v>21264</v>
      </c>
    </row>
    <row r="11394" spans="1:12" x14ac:dyDescent="0.45">
      <c r="A11394" s="12" t="s">
        <v>21201</v>
      </c>
      <c r="B11394" s="12" t="s">
        <v>21265</v>
      </c>
      <c r="C11394" s="13" t="s">
        <v>21266</v>
      </c>
      <c r="D11394" s="13" t="s">
        <v>11154</v>
      </c>
      <c r="E11394" s="12" t="s">
        <v>50</v>
      </c>
      <c r="F11394" s="13"/>
      <c r="G11394" s="13"/>
      <c r="H11394" s="13" t="s">
        <v>21267</v>
      </c>
      <c r="I11394" s="40" t="s">
        <v>18</v>
      </c>
      <c r="J11394" s="40" t="str">
        <f>HYPERLINK("https://stock.pstatic.net/stock-research/company/79/20250627_company_463070000.pdf","PDF")</f>
        <v>PDF</v>
      </c>
      <c r="K11394" s="12" t="s">
        <v>21268</v>
      </c>
    </row>
    <row r="11395" spans="1:12" x14ac:dyDescent="0.45">
      <c r="A11395" s="12" t="s">
        <v>21201</v>
      </c>
      <c r="B11395" s="12" t="s">
        <v>21269</v>
      </c>
      <c r="C11395" s="13" t="s">
        <v>21270</v>
      </c>
      <c r="D11395" s="13" t="s">
        <v>207</v>
      </c>
      <c r="E11395" s="12" t="s">
        <v>50</v>
      </c>
      <c r="F11395" s="13"/>
      <c r="G11395" s="13"/>
      <c r="H11395" s="13" t="s">
        <v>21271</v>
      </c>
      <c r="I11395" s="40" t="s">
        <v>18</v>
      </c>
      <c r="J11395" s="40" t="str">
        <f>HYPERLINK("https://stock.pstatic.net/stock-research/company/75/20250627_company_773364000.pdf","PDF")</f>
        <v>PDF</v>
      </c>
      <c r="K11395" s="12" t="s">
        <v>21272</v>
      </c>
    </row>
    <row r="11396" spans="1:12" x14ac:dyDescent="0.45">
      <c r="A11396" s="12" t="s">
        <v>21273</v>
      </c>
      <c r="B11396" s="12" t="s">
        <v>12841</v>
      </c>
      <c r="C11396" s="13" t="s">
        <v>12842</v>
      </c>
      <c r="D11396" s="13" t="s">
        <v>15</v>
      </c>
      <c r="E11396" s="12" t="s">
        <v>50</v>
      </c>
      <c r="F11396" s="13"/>
      <c r="G11396" s="14">
        <v>5310</v>
      </c>
      <c r="H11396" s="13" t="s">
        <v>21274</v>
      </c>
      <c r="I11396" s="40" t="s">
        <v>18</v>
      </c>
      <c r="J11396" s="40" t="str">
        <f>HYPERLINK("https://stock.pstatic.net/stock-research/company/29/20250626_company_413609000.pdf","PDF")</f>
        <v>PDF</v>
      </c>
      <c r="K11396" s="12" t="s">
        <v>21275</v>
      </c>
    </row>
    <row r="11397" spans="1:12" x14ac:dyDescent="0.45">
      <c r="A11397" s="12" t="s">
        <v>21273</v>
      </c>
      <c r="B11397" s="12" t="s">
        <v>7511</v>
      </c>
      <c r="C11397" s="13" t="s">
        <v>7512</v>
      </c>
      <c r="D11397" s="13" t="s">
        <v>15</v>
      </c>
      <c r="E11397" s="12" t="s">
        <v>50</v>
      </c>
      <c r="F11397" s="13"/>
      <c r="G11397" s="13"/>
      <c r="H11397" s="13" t="s">
        <v>21276</v>
      </c>
      <c r="I11397" s="40" t="s">
        <v>18</v>
      </c>
      <c r="J11397" s="40" t="str">
        <f>HYPERLINK("https://stock.pstatic.net/stock-research/company/29/20250626_company_949495000.pdf","PDF")</f>
        <v>PDF</v>
      </c>
      <c r="K11397" s="12" t="s">
        <v>21277</v>
      </c>
    </row>
    <row r="11398" spans="1:12" x14ac:dyDescent="0.45">
      <c r="A11398" s="12" t="s">
        <v>21273</v>
      </c>
      <c r="B11398" s="12" t="s">
        <v>489</v>
      </c>
      <c r="C11398" s="13" t="s">
        <v>490</v>
      </c>
      <c r="D11398" s="13" t="s">
        <v>276</v>
      </c>
      <c r="E11398" s="12" t="s">
        <v>16</v>
      </c>
      <c r="F11398" s="14">
        <v>34000</v>
      </c>
      <c r="G11398" s="14">
        <v>27350</v>
      </c>
      <c r="H11398" s="13" t="s">
        <v>21278</v>
      </c>
      <c r="I11398" s="40" t="s">
        <v>18</v>
      </c>
      <c r="J11398" s="40" t="str">
        <f>HYPERLINK("https://stock.pstatic.net/stock-research/company/66/20250626_company_446113000.pdf","PDF")</f>
        <v>PDF</v>
      </c>
      <c r="K11398" s="12" t="s">
        <v>21279</v>
      </c>
      <c r="L11398" s="20">
        <v>0.2431444241316271</v>
      </c>
    </row>
    <row r="11399" spans="1:12" x14ac:dyDescent="0.45">
      <c r="A11399" s="12" t="s">
        <v>21273</v>
      </c>
      <c r="B11399" s="12" t="s">
        <v>2378</v>
      </c>
      <c r="C11399" s="13" t="s">
        <v>2379</v>
      </c>
      <c r="D11399" s="13" t="s">
        <v>276</v>
      </c>
      <c r="E11399" s="12" t="s">
        <v>16</v>
      </c>
      <c r="F11399" s="14">
        <v>400000</v>
      </c>
      <c r="G11399" s="14">
        <v>298000</v>
      </c>
      <c r="H11399" s="13" t="s">
        <v>21280</v>
      </c>
      <c r="I11399" s="40" t="s">
        <v>18</v>
      </c>
      <c r="J11399" s="40" t="str">
        <f>HYPERLINK("https://stock.pstatic.net/stock-research/company/66/20250626_company_467233000.pdf","PDF")</f>
        <v>PDF</v>
      </c>
      <c r="K11399" s="12" t="s">
        <v>21281</v>
      </c>
      <c r="L11399" s="20">
        <v>0.34228187919463088</v>
      </c>
    </row>
    <row r="11400" spans="1:12" x14ac:dyDescent="0.45">
      <c r="A11400" s="12" t="s">
        <v>21273</v>
      </c>
      <c r="B11400" s="12" t="s">
        <v>2522</v>
      </c>
      <c r="C11400" s="13" t="s">
        <v>2523</v>
      </c>
      <c r="D11400" s="13" t="s">
        <v>276</v>
      </c>
      <c r="E11400" s="12" t="s">
        <v>16</v>
      </c>
      <c r="F11400" s="14">
        <v>560000</v>
      </c>
      <c r="G11400" s="14">
        <v>357000</v>
      </c>
      <c r="H11400" s="13" t="s">
        <v>21282</v>
      </c>
      <c r="I11400" s="40" t="s">
        <v>18</v>
      </c>
      <c r="J11400" s="40" t="str">
        <f>HYPERLINK("https://stock.pstatic.net/stock-research/company/66/20250626_company_14952000.pdf","PDF")</f>
        <v>PDF</v>
      </c>
      <c r="K11400" s="12" t="s">
        <v>21283</v>
      </c>
      <c r="L11400" s="20">
        <v>0.56862745098039214</v>
      </c>
    </row>
    <row r="11401" spans="1:12" x14ac:dyDescent="0.45">
      <c r="A11401" s="12" t="s">
        <v>21273</v>
      </c>
      <c r="B11401" s="12" t="s">
        <v>3074</v>
      </c>
      <c r="C11401" s="13" t="s">
        <v>3075</v>
      </c>
      <c r="D11401" s="13" t="s">
        <v>158</v>
      </c>
      <c r="E11401" s="12" t="s">
        <v>50</v>
      </c>
      <c r="F11401" s="13"/>
      <c r="G11401" s="14">
        <v>1381</v>
      </c>
      <c r="H11401" s="13" t="s">
        <v>21284</v>
      </c>
      <c r="I11401" s="40" t="s">
        <v>18</v>
      </c>
      <c r="J11401" s="40" t="str">
        <f>HYPERLINK("https://stock.pstatic.net/stock-research/company/18/20250626_company_344733000.pdf","PDF")</f>
        <v>PDF</v>
      </c>
      <c r="K11401" s="12" t="s">
        <v>21285</v>
      </c>
    </row>
    <row r="11402" spans="1:12" x14ac:dyDescent="0.45">
      <c r="A11402" s="12" t="s">
        <v>21273</v>
      </c>
      <c r="B11402" s="12" t="s">
        <v>899</v>
      </c>
      <c r="C11402" s="13" t="s">
        <v>900</v>
      </c>
      <c r="D11402" s="13" t="s">
        <v>158</v>
      </c>
      <c r="E11402" s="12" t="s">
        <v>50</v>
      </c>
      <c r="F11402" s="13"/>
      <c r="G11402" s="14">
        <v>26500</v>
      </c>
      <c r="H11402" s="13" t="s">
        <v>21286</v>
      </c>
      <c r="I11402" s="40" t="s">
        <v>18</v>
      </c>
      <c r="J11402" s="40" t="str">
        <f>HYPERLINK("https://stock.pstatic.net/stock-research/company/18/20250626_company_687875000.pdf","PDF")</f>
        <v>PDF</v>
      </c>
      <c r="K11402" s="12" t="s">
        <v>21287</v>
      </c>
    </row>
    <row r="11403" spans="1:12" x14ac:dyDescent="0.45">
      <c r="A11403" s="12" t="s">
        <v>21273</v>
      </c>
      <c r="B11403" s="12" t="s">
        <v>356</v>
      </c>
      <c r="C11403" s="13" t="s">
        <v>357</v>
      </c>
      <c r="D11403" s="13" t="s">
        <v>83</v>
      </c>
      <c r="E11403" s="12" t="s">
        <v>35</v>
      </c>
      <c r="F11403" s="14">
        <v>30000</v>
      </c>
      <c r="G11403" s="14">
        <v>22550</v>
      </c>
      <c r="H11403" s="13" t="s">
        <v>21288</v>
      </c>
      <c r="I11403" s="40" t="s">
        <v>18</v>
      </c>
      <c r="J11403" s="40" t="str">
        <f>HYPERLINK("https://stock.pstatic.net/stock-research/company/2/20250626_company_807880000.pdf","PDF")</f>
        <v>PDF</v>
      </c>
      <c r="K11403" s="12" t="s">
        <v>21289</v>
      </c>
      <c r="L11403" s="20">
        <v>0.3303769401330377</v>
      </c>
    </row>
    <row r="11404" spans="1:12" x14ac:dyDescent="0.45">
      <c r="A11404" s="12" t="s">
        <v>21273</v>
      </c>
      <c r="B11404" s="12" t="s">
        <v>2777</v>
      </c>
      <c r="C11404" s="13" t="s">
        <v>2778</v>
      </c>
      <c r="D11404" s="13" t="s">
        <v>83</v>
      </c>
      <c r="E11404" s="12" t="s">
        <v>35</v>
      </c>
      <c r="F11404" s="14">
        <v>240000</v>
      </c>
      <c r="G11404" s="14">
        <v>178100</v>
      </c>
      <c r="H11404" s="13" t="s">
        <v>21290</v>
      </c>
      <c r="I11404" s="40" t="s">
        <v>18</v>
      </c>
      <c r="J11404" s="40" t="str">
        <f>HYPERLINK("https://stock.pstatic.net/stock-research/company/2/20250626_company_727628000.pdf","PDF")</f>
        <v>PDF</v>
      </c>
      <c r="K11404" s="12" t="s">
        <v>21291</v>
      </c>
      <c r="L11404" s="20">
        <v>0.34755755193711402</v>
      </c>
    </row>
    <row r="11405" spans="1:12" x14ac:dyDescent="0.45">
      <c r="A11405" s="12" t="s">
        <v>21273</v>
      </c>
      <c r="B11405" s="12" t="s">
        <v>4567</v>
      </c>
      <c r="C11405" s="13" t="s">
        <v>4568</v>
      </c>
      <c r="D11405" s="13" t="s">
        <v>34</v>
      </c>
      <c r="E11405" s="12" t="s">
        <v>35</v>
      </c>
      <c r="F11405" s="14">
        <v>23000</v>
      </c>
      <c r="G11405" s="14">
        <v>17710</v>
      </c>
      <c r="H11405" s="13" t="s">
        <v>21292</v>
      </c>
      <c r="I11405" s="40" t="s">
        <v>18</v>
      </c>
      <c r="J11405" s="40" t="str">
        <f>HYPERLINK("https://stock.pstatic.net/stock-research/company/61/20250626_company_498076000.pdf","PDF")</f>
        <v>PDF</v>
      </c>
      <c r="K11405" s="12" t="s">
        <v>21293</v>
      </c>
      <c r="L11405" s="20">
        <v>0.29870129870129869</v>
      </c>
    </row>
    <row r="11406" spans="1:12" x14ac:dyDescent="0.45">
      <c r="A11406" s="12" t="s">
        <v>21273</v>
      </c>
      <c r="B11406" s="12" t="s">
        <v>698</v>
      </c>
      <c r="C11406" s="13" t="s">
        <v>699</v>
      </c>
      <c r="D11406" s="13" t="s">
        <v>179</v>
      </c>
      <c r="E11406" s="12" t="s">
        <v>16</v>
      </c>
      <c r="F11406" s="14">
        <v>240000</v>
      </c>
      <c r="G11406" s="14">
        <v>202500</v>
      </c>
      <c r="H11406" s="13" t="s">
        <v>21294</v>
      </c>
      <c r="I11406" s="40" t="s">
        <v>18</v>
      </c>
      <c r="J11406" s="40" t="str">
        <f>HYPERLINK("https://stock.pstatic.net/stock-research/company/31/20250626_company_35074000.pdf","PDF")</f>
        <v>PDF</v>
      </c>
      <c r="K11406" s="12" t="s">
        <v>21295</v>
      </c>
      <c r="L11406" s="20">
        <v>0.1851851851851852</v>
      </c>
    </row>
    <row r="11407" spans="1:12" x14ac:dyDescent="0.45">
      <c r="A11407" s="12" t="s">
        <v>21273</v>
      </c>
      <c r="B11407" s="12" t="s">
        <v>577</v>
      </c>
      <c r="C11407" s="13" t="s">
        <v>578</v>
      </c>
      <c r="D11407" s="13" t="s">
        <v>44</v>
      </c>
      <c r="E11407" s="12" t="s">
        <v>50</v>
      </c>
      <c r="F11407" s="13"/>
      <c r="G11407" s="13"/>
      <c r="H11407" s="13" t="s">
        <v>21296</v>
      </c>
      <c r="I11407" s="40" t="s">
        <v>18</v>
      </c>
      <c r="J11407" s="40" t="str">
        <f>HYPERLINK("https://stock.pstatic.net/stock-research/company/39/20250626_company_592594000.pdf","PDF")</f>
        <v>PDF</v>
      </c>
      <c r="K11407" s="12" t="s">
        <v>21297</v>
      </c>
    </row>
    <row r="11408" spans="1:12" x14ac:dyDescent="0.45">
      <c r="A11408" s="12" t="s">
        <v>21273</v>
      </c>
      <c r="B11408" s="12" t="s">
        <v>10613</v>
      </c>
      <c r="C11408" s="13" t="s">
        <v>10614</v>
      </c>
      <c r="D11408" s="13" t="s">
        <v>34</v>
      </c>
      <c r="E11408" s="12" t="s">
        <v>50</v>
      </c>
      <c r="F11408" s="13"/>
      <c r="G11408" s="14">
        <v>3970</v>
      </c>
      <c r="H11408" s="13" t="s">
        <v>21298</v>
      </c>
      <c r="I11408" s="40" t="s">
        <v>18</v>
      </c>
      <c r="J11408" s="40" t="str">
        <f>HYPERLINK("https://stock.pstatic.net/stock-research/company/61/20250626_company_318333000.pdf","PDF")</f>
        <v>PDF</v>
      </c>
      <c r="K11408" s="12" t="s">
        <v>21299</v>
      </c>
    </row>
    <row r="11409" spans="1:12" x14ac:dyDescent="0.45">
      <c r="A11409" s="12" t="s">
        <v>21273</v>
      </c>
      <c r="B11409" s="12" t="s">
        <v>2960</v>
      </c>
      <c r="C11409" s="13" t="s">
        <v>2961</v>
      </c>
      <c r="D11409" s="13" t="s">
        <v>23</v>
      </c>
      <c r="E11409" s="12" t="s">
        <v>16</v>
      </c>
      <c r="F11409" s="14">
        <v>60000</v>
      </c>
      <c r="G11409" s="14">
        <v>52200</v>
      </c>
      <c r="H11409" s="13" t="s">
        <v>21300</v>
      </c>
      <c r="I11409" s="40" t="s">
        <v>18</v>
      </c>
      <c r="J11409" s="40" t="str">
        <f>HYPERLINK("https://stock.pstatic.net/stock-research/company/1/20250626_company_410387000.pdf","PDF")</f>
        <v>PDF</v>
      </c>
      <c r="K11409" s="12" t="s">
        <v>21301</v>
      </c>
      <c r="L11409" s="20">
        <v>0.14942528735632191</v>
      </c>
    </row>
    <row r="11410" spans="1:12" x14ac:dyDescent="0.45">
      <c r="A11410" s="12" t="s">
        <v>21273</v>
      </c>
      <c r="B11410" s="12" t="s">
        <v>10633</v>
      </c>
      <c r="C11410" s="13" t="s">
        <v>10634</v>
      </c>
      <c r="D11410" s="13" t="s">
        <v>44</v>
      </c>
      <c r="E11410" s="12" t="s">
        <v>50</v>
      </c>
      <c r="F11410" s="13"/>
      <c r="G11410" s="14">
        <v>18080</v>
      </c>
      <c r="H11410" s="13" t="s">
        <v>21302</v>
      </c>
      <c r="I11410" s="40" t="s">
        <v>18</v>
      </c>
      <c r="J11410" s="40" t="str">
        <f>HYPERLINK("https://stock.pstatic.net/stock-research/company/39/20250626_company_900933000.pdf","PDF")</f>
        <v>PDF</v>
      </c>
      <c r="K11410" s="12" t="s">
        <v>21303</v>
      </c>
    </row>
    <row r="11411" spans="1:12" x14ac:dyDescent="0.45">
      <c r="A11411" s="12" t="s">
        <v>21273</v>
      </c>
      <c r="B11411" s="12" t="s">
        <v>1350</v>
      </c>
      <c r="C11411" s="13" t="s">
        <v>1351</v>
      </c>
      <c r="D11411" s="13" t="s">
        <v>23</v>
      </c>
      <c r="E11411" s="12" t="s">
        <v>16</v>
      </c>
      <c r="F11411" s="14">
        <v>59000</v>
      </c>
      <c r="G11411" s="14">
        <v>51800</v>
      </c>
      <c r="H11411" s="13" t="s">
        <v>9995</v>
      </c>
      <c r="I11411" s="40" t="s">
        <v>18</v>
      </c>
      <c r="J11411" s="40" t="str">
        <f>HYPERLINK("https://stock.pstatic.net/stock-research/company/21/20250626_company_684382000.pdf","PDF")</f>
        <v>PDF</v>
      </c>
      <c r="K11411" s="12" t="s">
        <v>21304</v>
      </c>
      <c r="L11411" s="20">
        <v>0.138996138996139</v>
      </c>
    </row>
    <row r="11412" spans="1:12" x14ac:dyDescent="0.45">
      <c r="A11412" s="12" t="s">
        <v>21273</v>
      </c>
      <c r="B11412" s="12" t="s">
        <v>2621</v>
      </c>
      <c r="C11412" s="13" t="s">
        <v>2622</v>
      </c>
      <c r="D11412" s="13" t="s">
        <v>53</v>
      </c>
      <c r="E11412" s="12" t="s">
        <v>16</v>
      </c>
      <c r="F11412" s="14">
        <v>9000</v>
      </c>
      <c r="G11412" s="14">
        <v>8110</v>
      </c>
      <c r="H11412" s="13" t="s">
        <v>21305</v>
      </c>
      <c r="I11412" s="40" t="s">
        <v>18</v>
      </c>
      <c r="J11412" s="40" t="str">
        <f>HYPERLINK("https://stock.pstatic.net/stock-research/company/40/20250626_company_312336000.pdf","PDF")</f>
        <v>PDF</v>
      </c>
      <c r="K11412" s="12" t="s">
        <v>21306</v>
      </c>
      <c r="L11412" s="20">
        <v>0.10974106041923549</v>
      </c>
    </row>
    <row r="11413" spans="1:12" x14ac:dyDescent="0.45">
      <c r="A11413" s="12" t="s">
        <v>21273</v>
      </c>
      <c r="B11413" s="12" t="s">
        <v>21307</v>
      </c>
      <c r="C11413" s="13" t="s">
        <v>21308</v>
      </c>
      <c r="D11413" s="13" t="s">
        <v>23</v>
      </c>
      <c r="E11413" s="12" t="s">
        <v>50</v>
      </c>
      <c r="F11413" s="13"/>
      <c r="G11413" s="14">
        <v>1606</v>
      </c>
      <c r="H11413" s="13" t="s">
        <v>21309</v>
      </c>
      <c r="I11413" s="40" t="s">
        <v>18</v>
      </c>
      <c r="J11413" s="40" t="str">
        <f>HYPERLINK("https://stock.pstatic.net/stock-research/company/21/20250626_company_769706000.pdf","PDF")</f>
        <v>PDF</v>
      </c>
      <c r="K11413" s="12" t="s">
        <v>21310</v>
      </c>
    </row>
    <row r="11414" spans="1:12" x14ac:dyDescent="0.45">
      <c r="A11414" s="12" t="s">
        <v>21273</v>
      </c>
      <c r="B11414" s="12" t="s">
        <v>10625</v>
      </c>
      <c r="C11414" s="13" t="s">
        <v>10626</v>
      </c>
      <c r="D11414" s="13" t="s">
        <v>23</v>
      </c>
      <c r="E11414" s="12" t="s">
        <v>50</v>
      </c>
      <c r="F11414" s="13"/>
      <c r="G11414" s="14">
        <v>3070</v>
      </c>
      <c r="H11414" s="13" t="s">
        <v>21311</v>
      </c>
      <c r="I11414" s="40" t="s">
        <v>18</v>
      </c>
      <c r="J11414" s="40" t="str">
        <f>HYPERLINK("https://stock.pstatic.net/stock-research/company/21/20250626_company_475884000.pdf","PDF")</f>
        <v>PDF</v>
      </c>
      <c r="K11414" s="12" t="s">
        <v>21312</v>
      </c>
    </row>
    <row r="11415" spans="1:12" x14ac:dyDescent="0.45">
      <c r="A11415" s="12" t="s">
        <v>21313</v>
      </c>
      <c r="B11415" s="12" t="s">
        <v>4133</v>
      </c>
      <c r="C11415" s="13" t="s">
        <v>4134</v>
      </c>
      <c r="D11415" s="13" t="s">
        <v>15</v>
      </c>
      <c r="E11415" s="12" t="s">
        <v>50</v>
      </c>
      <c r="F11415" s="13"/>
      <c r="G11415" s="14">
        <v>7220</v>
      </c>
      <c r="H11415" s="13" t="s">
        <v>21314</v>
      </c>
      <c r="I11415" s="40" t="s">
        <v>18</v>
      </c>
      <c r="J11415" s="40" t="str">
        <f>HYPERLINK("https://stock.pstatic.net/stock-research/company/29/20250625_company_955484000.pdf","PDF")</f>
        <v>PDF</v>
      </c>
      <c r="K11415" s="12" t="s">
        <v>21315</v>
      </c>
    </row>
    <row r="11416" spans="1:12" x14ac:dyDescent="0.45">
      <c r="A11416" s="12" t="s">
        <v>21313</v>
      </c>
      <c r="B11416" s="12" t="s">
        <v>1019</v>
      </c>
      <c r="C11416" s="13" t="s">
        <v>1020</v>
      </c>
      <c r="D11416" s="13" t="s">
        <v>276</v>
      </c>
      <c r="E11416" s="12" t="s">
        <v>16</v>
      </c>
      <c r="F11416" s="14">
        <v>23000</v>
      </c>
      <c r="G11416" s="14">
        <v>16450</v>
      </c>
      <c r="H11416" s="13" t="s">
        <v>21316</v>
      </c>
      <c r="I11416" s="40" t="s">
        <v>18</v>
      </c>
      <c r="J11416" s="40" t="str">
        <f>HYPERLINK("https://stock.pstatic.net/stock-research/company/66/20250625_company_870929000.pdf","PDF")</f>
        <v>PDF</v>
      </c>
      <c r="K11416" s="12" t="s">
        <v>21317</v>
      </c>
      <c r="L11416" s="20">
        <v>0.3981762917933131</v>
      </c>
    </row>
    <row r="11417" spans="1:12" x14ac:dyDescent="0.45">
      <c r="A11417" s="12" t="s">
        <v>21313</v>
      </c>
      <c r="B11417" s="12" t="s">
        <v>10413</v>
      </c>
      <c r="C11417" s="13" t="s">
        <v>10414</v>
      </c>
      <c r="D11417" s="13" t="s">
        <v>60</v>
      </c>
      <c r="E11417" s="12" t="s">
        <v>50</v>
      </c>
      <c r="F11417" s="13"/>
      <c r="G11417" s="14">
        <v>10610</v>
      </c>
      <c r="H11417" s="13" t="s">
        <v>21318</v>
      </c>
      <c r="I11417" s="40" t="s">
        <v>18</v>
      </c>
      <c r="J11417" s="40" t="str">
        <f>HYPERLINK("https://stock.pstatic.net/stock-research/company/1/20250625_company_113377000.pdf","PDF")</f>
        <v>PDF</v>
      </c>
      <c r="K11417" s="12" t="s">
        <v>21319</v>
      </c>
    </row>
    <row r="11418" spans="1:12" x14ac:dyDescent="0.45">
      <c r="A11418" s="12" t="s">
        <v>21313</v>
      </c>
      <c r="B11418" s="12" t="s">
        <v>12013</v>
      </c>
      <c r="C11418" s="13" t="s">
        <v>12014</v>
      </c>
      <c r="D11418" s="13" t="s">
        <v>60</v>
      </c>
      <c r="E11418" s="12" t="s">
        <v>50</v>
      </c>
      <c r="F11418" s="13"/>
      <c r="G11418" s="14">
        <v>2880</v>
      </c>
      <c r="H11418" s="13" t="s">
        <v>21320</v>
      </c>
      <c r="I11418" s="40" t="s">
        <v>18</v>
      </c>
      <c r="J11418" s="40" t="str">
        <f>HYPERLINK("https://stock.pstatic.net/stock-research/company/34/20250625_company_377771000.pdf","PDF")</f>
        <v>PDF</v>
      </c>
      <c r="K11418" s="12" t="s">
        <v>21321</v>
      </c>
    </row>
    <row r="11419" spans="1:12" x14ac:dyDescent="0.45">
      <c r="A11419" s="12" t="s">
        <v>21313</v>
      </c>
      <c r="B11419" s="12" t="s">
        <v>10511</v>
      </c>
      <c r="C11419" s="13" t="s">
        <v>10512</v>
      </c>
      <c r="D11419" s="13" t="s">
        <v>60</v>
      </c>
      <c r="E11419" s="12" t="s">
        <v>50</v>
      </c>
      <c r="F11419" s="13"/>
      <c r="G11419" s="14">
        <v>4615</v>
      </c>
      <c r="H11419" s="13" t="s">
        <v>21322</v>
      </c>
      <c r="I11419" s="40" t="s">
        <v>18</v>
      </c>
      <c r="J11419" s="40" t="str">
        <f>HYPERLINK("https://stock.pstatic.net/stock-research/company/62/20250625_company_765626000.pdf","PDF")</f>
        <v>PDF</v>
      </c>
      <c r="K11419" s="12" t="s">
        <v>21323</v>
      </c>
    </row>
    <row r="11420" spans="1:12" x14ac:dyDescent="0.45">
      <c r="A11420" s="12" t="s">
        <v>21313</v>
      </c>
      <c r="B11420" s="12" t="s">
        <v>2522</v>
      </c>
      <c r="C11420" s="13" t="s">
        <v>2523</v>
      </c>
      <c r="D11420" s="13" t="s">
        <v>65</v>
      </c>
      <c r="E11420" s="12" t="s">
        <v>35</v>
      </c>
      <c r="F11420" s="14">
        <v>530000</v>
      </c>
      <c r="G11420" s="14">
        <v>361500</v>
      </c>
      <c r="H11420" s="13" t="s">
        <v>21324</v>
      </c>
      <c r="I11420" s="40" t="s">
        <v>18</v>
      </c>
      <c r="J11420" s="40" t="str">
        <f>HYPERLINK("https://stock.pstatic.net/stock-research/company/57/20250625_company_324698000.pdf","PDF")</f>
        <v>PDF</v>
      </c>
      <c r="K11420" s="12" t="s">
        <v>21325</v>
      </c>
      <c r="L11420" s="20">
        <v>0.46611341632088521</v>
      </c>
    </row>
    <row r="11421" spans="1:12" x14ac:dyDescent="0.45">
      <c r="A11421" s="12" t="s">
        <v>21313</v>
      </c>
      <c r="B11421" s="12" t="s">
        <v>16349</v>
      </c>
      <c r="C11421" s="13" t="s">
        <v>16350</v>
      </c>
      <c r="D11421" s="13" t="s">
        <v>65</v>
      </c>
      <c r="E11421" s="12" t="s">
        <v>35</v>
      </c>
      <c r="F11421" s="14">
        <v>50000</v>
      </c>
      <c r="G11421" s="14">
        <v>42000</v>
      </c>
      <c r="H11421" s="13" t="s">
        <v>21326</v>
      </c>
      <c r="I11421" s="40" t="s">
        <v>18</v>
      </c>
      <c r="J11421" s="40" t="str">
        <f>HYPERLINK("https://stock.pstatic.net/stock-research/company/57/20250625_company_377515000.pdf","PDF")</f>
        <v>PDF</v>
      </c>
      <c r="K11421" s="12" t="s">
        <v>21327</v>
      </c>
      <c r="L11421" s="20">
        <v>0.19047619047619049</v>
      </c>
    </row>
    <row r="11422" spans="1:12" x14ac:dyDescent="0.45">
      <c r="A11422" s="12" t="s">
        <v>21313</v>
      </c>
      <c r="B11422" s="12" t="s">
        <v>2576</v>
      </c>
      <c r="C11422" s="13" t="s">
        <v>2577</v>
      </c>
      <c r="D11422" s="13" t="s">
        <v>83</v>
      </c>
      <c r="E11422" s="12" t="s">
        <v>642</v>
      </c>
      <c r="F11422" s="14">
        <v>818000</v>
      </c>
      <c r="G11422" s="14">
        <v>750000</v>
      </c>
      <c r="H11422" s="13" t="s">
        <v>21328</v>
      </c>
      <c r="I11422" s="40" t="s">
        <v>18</v>
      </c>
      <c r="J11422" s="40" t="str">
        <f>HYPERLINK("https://stock.pstatic.net/stock-research/company/2/20250625_company_950312000.pdf","PDF")</f>
        <v>PDF</v>
      </c>
      <c r="K11422" s="12" t="s">
        <v>21329</v>
      </c>
      <c r="L11422" s="20">
        <v>9.0666666666666673E-2</v>
      </c>
    </row>
    <row r="11423" spans="1:12" x14ac:dyDescent="0.45">
      <c r="A11423" s="12" t="s">
        <v>21313</v>
      </c>
      <c r="B11423" s="12" t="s">
        <v>541</v>
      </c>
      <c r="C11423" s="13" t="s">
        <v>542</v>
      </c>
      <c r="D11423" s="13" t="s">
        <v>83</v>
      </c>
      <c r="E11423" s="12" t="s">
        <v>35</v>
      </c>
      <c r="F11423" s="14">
        <v>67000</v>
      </c>
      <c r="G11423" s="14">
        <v>56800</v>
      </c>
      <c r="H11423" s="13" t="s">
        <v>21330</v>
      </c>
      <c r="I11423" s="40" t="s">
        <v>18</v>
      </c>
      <c r="J11423" s="40" t="str">
        <f>HYPERLINK("https://stock.pstatic.net/stock-research/company/2/20250625_company_742346000.pdf","PDF")</f>
        <v>PDF</v>
      </c>
      <c r="K11423" s="12" t="s">
        <v>21331</v>
      </c>
      <c r="L11423" s="20">
        <v>0.1795774647887324</v>
      </c>
    </row>
    <row r="11424" spans="1:12" x14ac:dyDescent="0.45">
      <c r="A11424" s="12" t="s">
        <v>21313</v>
      </c>
      <c r="B11424" s="12" t="s">
        <v>2815</v>
      </c>
      <c r="C11424" s="13" t="s">
        <v>2816</v>
      </c>
      <c r="D11424" s="13" t="s">
        <v>83</v>
      </c>
      <c r="E11424" s="12" t="s">
        <v>50</v>
      </c>
      <c r="F11424" s="13"/>
      <c r="G11424" s="14">
        <v>9540</v>
      </c>
      <c r="H11424" s="13" t="s">
        <v>21332</v>
      </c>
      <c r="I11424" s="40" t="s">
        <v>18</v>
      </c>
      <c r="J11424" s="40" t="str">
        <f>HYPERLINK("https://stock.pstatic.net/stock-research/company/2/20250625_company_231414000.pdf","PDF")</f>
        <v>PDF</v>
      </c>
      <c r="K11424" s="12" t="s">
        <v>21333</v>
      </c>
    </row>
    <row r="11425" spans="1:12" x14ac:dyDescent="0.45">
      <c r="A11425" s="12" t="s">
        <v>21313</v>
      </c>
      <c r="B11425" s="12" t="s">
        <v>1407</v>
      </c>
      <c r="C11425" s="13" t="s">
        <v>1408</v>
      </c>
      <c r="D11425" s="13" t="s">
        <v>57</v>
      </c>
      <c r="E11425" s="12" t="s">
        <v>35</v>
      </c>
      <c r="F11425" s="14">
        <v>68000</v>
      </c>
      <c r="G11425" s="14">
        <v>52000</v>
      </c>
      <c r="H11425" s="13" t="s">
        <v>21334</v>
      </c>
      <c r="I11425" s="40" t="s">
        <v>18</v>
      </c>
      <c r="J11425" s="40" t="str">
        <f>HYPERLINK("https://stock.pstatic.net/stock-research/company/16/20250625_company_170826000.pdf","PDF")</f>
        <v>PDF</v>
      </c>
      <c r="K11425" s="12" t="s">
        <v>21335</v>
      </c>
      <c r="L11425" s="20">
        <v>0.30769230769230771</v>
      </c>
    </row>
    <row r="11426" spans="1:12" x14ac:dyDescent="0.45">
      <c r="A11426" s="12" t="s">
        <v>21313</v>
      </c>
      <c r="B11426" s="12" t="s">
        <v>5623</v>
      </c>
      <c r="C11426" s="13" t="s">
        <v>5624</v>
      </c>
      <c r="D11426" s="13" t="s">
        <v>179</v>
      </c>
      <c r="E11426" s="12" t="s">
        <v>16</v>
      </c>
      <c r="F11426" s="14">
        <v>13000</v>
      </c>
      <c r="G11426" s="14">
        <v>7880</v>
      </c>
      <c r="H11426" s="13" t="s">
        <v>21336</v>
      </c>
      <c r="I11426" s="40" t="s">
        <v>18</v>
      </c>
      <c r="J11426" s="40" t="str">
        <f>HYPERLINK("https://stock.pstatic.net/stock-research/company/31/20250625_company_690560000.pdf","PDF")</f>
        <v>PDF</v>
      </c>
      <c r="K11426" s="12" t="s">
        <v>21337</v>
      </c>
      <c r="L11426" s="20">
        <v>0.64974619289340096</v>
      </c>
    </row>
    <row r="11427" spans="1:12" x14ac:dyDescent="0.45">
      <c r="A11427" s="12" t="s">
        <v>21313</v>
      </c>
      <c r="B11427" s="12" t="s">
        <v>7598</v>
      </c>
      <c r="C11427" s="13" t="s">
        <v>7599</v>
      </c>
      <c r="D11427" s="13" t="s">
        <v>53</v>
      </c>
      <c r="E11427" s="12" t="s">
        <v>50</v>
      </c>
      <c r="F11427" s="13"/>
      <c r="G11427" s="14">
        <v>26100</v>
      </c>
      <c r="H11427" s="13" t="s">
        <v>21338</v>
      </c>
      <c r="I11427" s="40" t="s">
        <v>18</v>
      </c>
      <c r="J11427" s="40" t="str">
        <f>HYPERLINK("https://stock.pstatic.net/stock-research/company/40/20250708_company_229930000.pdf","PDF")</f>
        <v>PDF</v>
      </c>
      <c r="K11427" s="12" t="s">
        <v>21339</v>
      </c>
    </row>
    <row r="11428" spans="1:12" x14ac:dyDescent="0.45">
      <c r="A11428" s="12" t="s">
        <v>21313</v>
      </c>
      <c r="B11428" s="12" t="s">
        <v>4021</v>
      </c>
      <c r="C11428" s="13" t="s">
        <v>4022</v>
      </c>
      <c r="D11428" s="13" t="s">
        <v>23</v>
      </c>
      <c r="E11428" s="12" t="s">
        <v>16</v>
      </c>
      <c r="F11428" s="14">
        <v>360000</v>
      </c>
      <c r="G11428" s="14">
        <v>311000</v>
      </c>
      <c r="H11428" s="13" t="s">
        <v>21340</v>
      </c>
      <c r="I11428" s="40" t="s">
        <v>18</v>
      </c>
      <c r="J11428" s="40" t="str">
        <f>HYPERLINK("https://stock.pstatic.net/stock-research/company/21/20250625_company_103089000.pdf","PDF")</f>
        <v>PDF</v>
      </c>
      <c r="K11428" s="12" t="s">
        <v>21341</v>
      </c>
      <c r="L11428" s="20">
        <v>0.157556270096463</v>
      </c>
    </row>
    <row r="11429" spans="1:12" x14ac:dyDescent="0.45">
      <c r="A11429" s="12" t="s">
        <v>21313</v>
      </c>
      <c r="B11429" s="12" t="s">
        <v>4372</v>
      </c>
      <c r="C11429" s="13" t="s">
        <v>4373</v>
      </c>
      <c r="D11429" s="13" t="s">
        <v>124</v>
      </c>
      <c r="E11429" s="12" t="s">
        <v>50</v>
      </c>
      <c r="F11429" s="13"/>
      <c r="G11429" s="13"/>
      <c r="H11429" s="13" t="s">
        <v>21342</v>
      </c>
      <c r="I11429" s="40" t="s">
        <v>18</v>
      </c>
      <c r="J11429" s="40" t="str">
        <f>HYPERLINK("https://stock.pstatic.net/stock-research/company/74/20250625_company_809934000.pdf","PDF")</f>
        <v>PDF</v>
      </c>
      <c r="K11429" s="12" t="s">
        <v>21343</v>
      </c>
    </row>
    <row r="11430" spans="1:12" x14ac:dyDescent="0.45">
      <c r="A11430" s="12" t="s">
        <v>21313</v>
      </c>
      <c r="B11430" s="12" t="s">
        <v>210</v>
      </c>
      <c r="C11430" s="13" t="s">
        <v>211</v>
      </c>
      <c r="D11430" s="13" t="s">
        <v>124</v>
      </c>
      <c r="E11430" s="12" t="s">
        <v>50</v>
      </c>
      <c r="F11430" s="13"/>
      <c r="G11430" s="13"/>
      <c r="H11430" s="13" t="s">
        <v>21344</v>
      </c>
      <c r="I11430" s="40" t="s">
        <v>18</v>
      </c>
      <c r="J11430" s="40" t="str">
        <f>HYPERLINK("https://stock.pstatic.net/stock-research/company/74/20250625_company_339235000.pdf","PDF")</f>
        <v>PDF</v>
      </c>
      <c r="K11430" s="12" t="s">
        <v>21345</v>
      </c>
    </row>
    <row r="11431" spans="1:12" x14ac:dyDescent="0.45">
      <c r="A11431" s="12" t="s">
        <v>21313</v>
      </c>
      <c r="B11431" s="12" t="s">
        <v>10956</v>
      </c>
      <c r="C11431" s="13" t="s">
        <v>10957</v>
      </c>
      <c r="D11431" s="13" t="s">
        <v>15</v>
      </c>
      <c r="E11431" s="12" t="s">
        <v>50</v>
      </c>
      <c r="F11431" s="13"/>
      <c r="G11431" s="14">
        <v>9430</v>
      </c>
      <c r="H11431" s="13" t="s">
        <v>21346</v>
      </c>
      <c r="I11431" s="40" t="s">
        <v>18</v>
      </c>
      <c r="J11431" s="40" t="str">
        <f>HYPERLINK("https://stock.pstatic.net/stock-research/company/29/20250625_company_492181000.pdf","PDF")</f>
        <v>PDF</v>
      </c>
      <c r="K11431" s="12" t="s">
        <v>21347</v>
      </c>
    </row>
    <row r="11432" spans="1:12" x14ac:dyDescent="0.45">
      <c r="A11432" s="12" t="s">
        <v>21313</v>
      </c>
      <c r="B11432" s="12" t="s">
        <v>10911</v>
      </c>
      <c r="C11432" s="13" t="s">
        <v>10912</v>
      </c>
      <c r="D11432" s="13" t="s">
        <v>15</v>
      </c>
      <c r="E11432" s="12" t="s">
        <v>50</v>
      </c>
      <c r="F11432" s="13"/>
      <c r="G11432" s="14">
        <v>27050</v>
      </c>
      <c r="H11432" s="13" t="s">
        <v>21348</v>
      </c>
      <c r="I11432" s="40" t="s">
        <v>18</v>
      </c>
      <c r="J11432" s="40" t="str">
        <f>HYPERLINK("https://stock.pstatic.net/stock-research/company/29/20250625_company_16547000.pdf","PDF")</f>
        <v>PDF</v>
      </c>
      <c r="K11432" s="12" t="s">
        <v>21349</v>
      </c>
    </row>
    <row r="11433" spans="1:12" x14ac:dyDescent="0.45">
      <c r="A11433" s="12" t="s">
        <v>21313</v>
      </c>
      <c r="B11433" s="12" t="s">
        <v>10952</v>
      </c>
      <c r="C11433" s="13" t="s">
        <v>10953</v>
      </c>
      <c r="D11433" s="13" t="s">
        <v>15</v>
      </c>
      <c r="E11433" s="12" t="s">
        <v>50</v>
      </c>
      <c r="F11433" s="13"/>
      <c r="G11433" s="14">
        <v>7330</v>
      </c>
      <c r="H11433" s="13" t="s">
        <v>21350</v>
      </c>
      <c r="I11433" s="40" t="s">
        <v>18</v>
      </c>
      <c r="J11433" s="40" t="str">
        <f>HYPERLINK("https://stock.pstatic.net/stock-research/company/29/20250625_company_550699000.pdf","PDF")</f>
        <v>PDF</v>
      </c>
      <c r="K11433" s="12" t="s">
        <v>21351</v>
      </c>
    </row>
    <row r="11434" spans="1:12" x14ac:dyDescent="0.45">
      <c r="A11434" s="12" t="s">
        <v>21313</v>
      </c>
      <c r="B11434" s="12" t="s">
        <v>10997</v>
      </c>
      <c r="C11434" s="13" t="s">
        <v>10998</v>
      </c>
      <c r="D11434" s="13" t="s">
        <v>15</v>
      </c>
      <c r="E11434" s="12" t="s">
        <v>50</v>
      </c>
      <c r="F11434" s="13"/>
      <c r="G11434" s="14">
        <v>12780</v>
      </c>
      <c r="H11434" s="13" t="s">
        <v>21352</v>
      </c>
      <c r="I11434" s="40" t="s">
        <v>18</v>
      </c>
      <c r="J11434" s="40" t="str">
        <f>HYPERLINK("https://stock.pstatic.net/stock-research/company/29/20250625_company_328689000.pdf","PDF")</f>
        <v>PDF</v>
      </c>
      <c r="K11434" s="12" t="s">
        <v>21353</v>
      </c>
    </row>
    <row r="11435" spans="1:12" x14ac:dyDescent="0.45">
      <c r="A11435" s="12" t="s">
        <v>21313</v>
      </c>
      <c r="B11435" s="12" t="s">
        <v>10907</v>
      </c>
      <c r="C11435" s="13" t="s">
        <v>10908</v>
      </c>
      <c r="D11435" s="13" t="s">
        <v>15</v>
      </c>
      <c r="E11435" s="12" t="s">
        <v>50</v>
      </c>
      <c r="F11435" s="13"/>
      <c r="G11435" s="14">
        <v>14430</v>
      </c>
      <c r="H11435" s="13" t="s">
        <v>21354</v>
      </c>
      <c r="I11435" s="40" t="s">
        <v>18</v>
      </c>
      <c r="J11435" s="40" t="str">
        <f>HYPERLINK("https://stock.pstatic.net/stock-research/company/29/20250625_company_500996000.pdf","PDF")</f>
        <v>PDF</v>
      </c>
      <c r="K11435" s="12" t="s">
        <v>21355</v>
      </c>
    </row>
    <row r="11436" spans="1:12" x14ac:dyDescent="0.45">
      <c r="A11436" s="12" t="s">
        <v>21356</v>
      </c>
      <c r="B11436" s="12" t="s">
        <v>816</v>
      </c>
      <c r="C11436" s="13" t="s">
        <v>817</v>
      </c>
      <c r="D11436" s="13" t="s">
        <v>34</v>
      </c>
      <c r="E11436" s="12" t="s">
        <v>50</v>
      </c>
      <c r="F11436" s="13"/>
      <c r="G11436" s="14">
        <v>31700</v>
      </c>
      <c r="H11436" s="13" t="s">
        <v>21357</v>
      </c>
      <c r="I11436" s="40" t="s">
        <v>18</v>
      </c>
      <c r="J11436" s="40" t="str">
        <f>HYPERLINK("https://stock.pstatic.net/stock-research/company/61/20250624_company_461402000.pdf","PDF")</f>
        <v>PDF</v>
      </c>
      <c r="K11436" s="12" t="s">
        <v>21358</v>
      </c>
    </row>
    <row r="11437" spans="1:12" x14ac:dyDescent="0.45">
      <c r="A11437" s="12" t="s">
        <v>21356</v>
      </c>
      <c r="B11437" s="12" t="s">
        <v>4567</v>
      </c>
      <c r="C11437" s="13" t="s">
        <v>4568</v>
      </c>
      <c r="D11437" s="13" t="s">
        <v>83</v>
      </c>
      <c r="E11437" s="12" t="s">
        <v>35</v>
      </c>
      <c r="F11437" s="14">
        <v>23000</v>
      </c>
      <c r="G11437" s="14">
        <v>16540</v>
      </c>
      <c r="H11437" s="13" t="s">
        <v>21359</v>
      </c>
      <c r="I11437" s="40" t="s">
        <v>18</v>
      </c>
      <c r="J11437" s="40" t="str">
        <f>HYPERLINK("https://stock.pstatic.net/stock-research/company/2/20250624_company_788661000.pdf","PDF")</f>
        <v>PDF</v>
      </c>
      <c r="K11437" s="12" t="s">
        <v>21360</v>
      </c>
      <c r="L11437" s="20">
        <v>0.39056831922611851</v>
      </c>
    </row>
    <row r="11438" spans="1:12" x14ac:dyDescent="0.45">
      <c r="A11438" s="12" t="s">
        <v>21356</v>
      </c>
      <c r="B11438" s="12" t="s">
        <v>4214</v>
      </c>
      <c r="C11438" s="13" t="s">
        <v>4215</v>
      </c>
      <c r="D11438" s="13" t="s">
        <v>15</v>
      </c>
      <c r="E11438" s="12" t="s">
        <v>50</v>
      </c>
      <c r="F11438" s="13"/>
      <c r="G11438" s="14">
        <v>19420</v>
      </c>
      <c r="H11438" s="13" t="s">
        <v>21361</v>
      </c>
      <c r="I11438" s="40" t="s">
        <v>18</v>
      </c>
      <c r="J11438" s="40" t="str">
        <f>HYPERLINK("https://stock.pstatic.net/stock-research/company/29/20250624_company_153648000.pdf","PDF")</f>
        <v>PDF</v>
      </c>
      <c r="K11438" s="12" t="s">
        <v>21362</v>
      </c>
    </row>
    <row r="11439" spans="1:12" x14ac:dyDescent="0.45">
      <c r="A11439" s="12" t="s">
        <v>21356</v>
      </c>
      <c r="B11439" s="12" t="s">
        <v>259</v>
      </c>
      <c r="C11439" s="13" t="s">
        <v>260</v>
      </c>
      <c r="D11439" s="13" t="s">
        <v>15</v>
      </c>
      <c r="E11439" s="12" t="s">
        <v>16</v>
      </c>
      <c r="F11439" s="14">
        <v>95000</v>
      </c>
      <c r="G11439" s="14">
        <v>76000</v>
      </c>
      <c r="H11439" s="13" t="s">
        <v>21363</v>
      </c>
      <c r="I11439" s="40" t="s">
        <v>18</v>
      </c>
      <c r="J11439" s="40" t="str">
        <f>HYPERLINK("https://stock.pstatic.net/stock-research/company/29/20250624_company_787846000.pdf","PDF")</f>
        <v>PDF</v>
      </c>
      <c r="K11439" s="12" t="s">
        <v>21364</v>
      </c>
      <c r="L11439" s="20">
        <v>0.25</v>
      </c>
    </row>
    <row r="11440" spans="1:12" x14ac:dyDescent="0.45">
      <c r="A11440" s="12" t="s">
        <v>21356</v>
      </c>
      <c r="B11440" s="12" t="s">
        <v>744</v>
      </c>
      <c r="C11440" s="13" t="s">
        <v>745</v>
      </c>
      <c r="D11440" s="13" t="s">
        <v>276</v>
      </c>
      <c r="E11440" s="12" t="s">
        <v>16</v>
      </c>
      <c r="F11440" s="14">
        <v>24000</v>
      </c>
      <c r="G11440" s="14">
        <v>16650</v>
      </c>
      <c r="H11440" s="13" t="s">
        <v>21365</v>
      </c>
      <c r="I11440" s="40" t="s">
        <v>18</v>
      </c>
      <c r="J11440" s="40" t="str">
        <f>HYPERLINK("https://stock.pstatic.net/stock-research/company/66/20250624_company_858083000.pdf","PDF")</f>
        <v>PDF</v>
      </c>
      <c r="K11440" s="12" t="s">
        <v>21366</v>
      </c>
      <c r="L11440" s="20">
        <v>0.44144144144144137</v>
      </c>
    </row>
    <row r="11441" spans="1:12" x14ac:dyDescent="0.45">
      <c r="A11441" s="12" t="s">
        <v>21356</v>
      </c>
      <c r="B11441" s="12" t="s">
        <v>10205</v>
      </c>
      <c r="C11441" s="13" t="s">
        <v>10206</v>
      </c>
      <c r="D11441" s="13" t="s">
        <v>60</v>
      </c>
      <c r="E11441" s="12" t="s">
        <v>50</v>
      </c>
      <c r="F11441" s="13"/>
      <c r="G11441" s="14">
        <v>7330</v>
      </c>
      <c r="H11441" s="13" t="s">
        <v>21367</v>
      </c>
      <c r="I11441" s="40" t="s">
        <v>18</v>
      </c>
      <c r="J11441" s="40" t="str">
        <f>HYPERLINK("https://stock.pstatic.net/stock-research/company/1/20250624_company_237279000.pdf","PDF")</f>
        <v>PDF</v>
      </c>
      <c r="K11441" s="12" t="s">
        <v>21368</v>
      </c>
    </row>
    <row r="11442" spans="1:12" x14ac:dyDescent="0.45">
      <c r="A11442" s="12" t="s">
        <v>21356</v>
      </c>
      <c r="B11442" s="12" t="s">
        <v>3463</v>
      </c>
      <c r="C11442" s="13" t="s">
        <v>3464</v>
      </c>
      <c r="D11442" s="13" t="s">
        <v>60</v>
      </c>
      <c r="E11442" s="12" t="s">
        <v>50</v>
      </c>
      <c r="F11442" s="13"/>
      <c r="G11442" s="14">
        <v>11970</v>
      </c>
      <c r="H11442" s="13" t="s">
        <v>21369</v>
      </c>
      <c r="I11442" s="40" t="s">
        <v>18</v>
      </c>
      <c r="J11442" s="40" t="str">
        <f>HYPERLINK("https://stock.pstatic.net/stock-research/company/62/20250624_company_405517000.pdf","PDF")</f>
        <v>PDF</v>
      </c>
      <c r="K11442" s="12" t="s">
        <v>21370</v>
      </c>
    </row>
    <row r="11443" spans="1:12" x14ac:dyDescent="0.45">
      <c r="A11443" s="12" t="s">
        <v>21356</v>
      </c>
      <c r="B11443" s="12" t="s">
        <v>1648</v>
      </c>
      <c r="C11443" s="13" t="s">
        <v>1649</v>
      </c>
      <c r="D11443" s="13" t="s">
        <v>15</v>
      </c>
      <c r="E11443" s="12" t="s">
        <v>16</v>
      </c>
      <c r="F11443" s="14">
        <v>180000</v>
      </c>
      <c r="G11443" s="14">
        <v>138200</v>
      </c>
      <c r="H11443" s="13" t="s">
        <v>21371</v>
      </c>
      <c r="I11443" s="40" t="s">
        <v>18</v>
      </c>
      <c r="J11443" s="40" t="str">
        <f>HYPERLINK("https://stock.pstatic.net/stock-research/company/29/20250624_company_438689000.pdf","PDF")</f>
        <v>PDF</v>
      </c>
      <c r="K11443" s="12" t="s">
        <v>21372</v>
      </c>
      <c r="L11443" s="20">
        <v>0.3024602026049204</v>
      </c>
    </row>
    <row r="11444" spans="1:12" x14ac:dyDescent="0.45">
      <c r="A11444" s="12" t="s">
        <v>21356</v>
      </c>
      <c r="B11444" s="12" t="s">
        <v>3105</v>
      </c>
      <c r="C11444" s="13" t="s">
        <v>3106</v>
      </c>
      <c r="D11444" s="13" t="s">
        <v>15</v>
      </c>
      <c r="E11444" s="12" t="s">
        <v>16</v>
      </c>
      <c r="F11444" s="14">
        <v>390000</v>
      </c>
      <c r="G11444" s="14">
        <v>307000</v>
      </c>
      <c r="H11444" s="13" t="s">
        <v>21373</v>
      </c>
      <c r="I11444" s="40" t="s">
        <v>18</v>
      </c>
      <c r="J11444" s="40" t="str">
        <f>HYPERLINK("https://stock.pstatic.net/stock-research/company/29/20250624_company_888965000.pdf","PDF")</f>
        <v>PDF</v>
      </c>
      <c r="K11444" s="12" t="s">
        <v>21374</v>
      </c>
      <c r="L11444" s="20">
        <v>0.27035830618892509</v>
      </c>
    </row>
    <row r="11445" spans="1:12" x14ac:dyDescent="0.45">
      <c r="A11445" s="12" t="s">
        <v>21356</v>
      </c>
      <c r="B11445" s="12" t="s">
        <v>1660</v>
      </c>
      <c r="C11445" s="13" t="s">
        <v>1661</v>
      </c>
      <c r="D11445" s="13" t="s">
        <v>15</v>
      </c>
      <c r="E11445" s="12" t="s">
        <v>16</v>
      </c>
      <c r="F11445" s="14">
        <v>71000</v>
      </c>
      <c r="G11445" s="14">
        <v>54700</v>
      </c>
      <c r="H11445" s="13" t="s">
        <v>21375</v>
      </c>
      <c r="I11445" s="40" t="s">
        <v>18</v>
      </c>
      <c r="J11445" s="40" t="str">
        <f>HYPERLINK("https://stock.pstatic.net/stock-research/company/29/20250624_company_20846000.pdf","PDF")</f>
        <v>PDF</v>
      </c>
      <c r="K11445" s="12" t="s">
        <v>21376</v>
      </c>
      <c r="L11445" s="20">
        <v>0.29798903107861058</v>
      </c>
    </row>
    <row r="11446" spans="1:12" x14ac:dyDescent="0.45">
      <c r="A11446" s="12" t="s">
        <v>21356</v>
      </c>
      <c r="B11446" s="12" t="s">
        <v>1678</v>
      </c>
      <c r="C11446" s="13" t="s">
        <v>1679</v>
      </c>
      <c r="D11446" s="13" t="s">
        <v>15</v>
      </c>
      <c r="E11446" s="12" t="s">
        <v>16</v>
      </c>
      <c r="F11446" s="14">
        <v>100000</v>
      </c>
      <c r="G11446" s="14">
        <v>79700</v>
      </c>
      <c r="H11446" s="13" t="s">
        <v>21377</v>
      </c>
      <c r="I11446" s="40" t="s">
        <v>18</v>
      </c>
      <c r="J11446" s="40" t="str">
        <f>HYPERLINK("https://stock.pstatic.net/stock-research/company/29/20250624_company_591311000.pdf","PDF")</f>
        <v>PDF</v>
      </c>
      <c r="K11446" s="12" t="s">
        <v>21378</v>
      </c>
      <c r="L11446" s="20">
        <v>0.25470514429109159</v>
      </c>
    </row>
    <row r="11447" spans="1:12" x14ac:dyDescent="0.45">
      <c r="A11447" s="12" t="s">
        <v>21356</v>
      </c>
      <c r="B11447" s="12" t="s">
        <v>2960</v>
      </c>
      <c r="C11447" s="13" t="s">
        <v>2961</v>
      </c>
      <c r="D11447" s="13" t="s">
        <v>57</v>
      </c>
      <c r="E11447" s="12" t="s">
        <v>159</v>
      </c>
      <c r="F11447" s="14">
        <v>54000</v>
      </c>
      <c r="G11447" s="14">
        <v>51000</v>
      </c>
      <c r="H11447" s="13" t="s">
        <v>21379</v>
      </c>
      <c r="I11447" s="40" t="s">
        <v>18</v>
      </c>
      <c r="J11447" s="40" t="str">
        <f>HYPERLINK("https://stock.pstatic.net/stock-research/company/1/20250624_company_694122000.pdf","PDF")</f>
        <v>PDF</v>
      </c>
      <c r="K11447" s="12" t="s">
        <v>21380</v>
      </c>
      <c r="L11447" s="20">
        <v>5.8823529411764712E-2</v>
      </c>
    </row>
    <row r="11448" spans="1:12" x14ac:dyDescent="0.45">
      <c r="A11448" s="12" t="s">
        <v>21356</v>
      </c>
      <c r="B11448" s="12" t="s">
        <v>10758</v>
      </c>
      <c r="C11448" s="13" t="s">
        <v>10759</v>
      </c>
      <c r="D11448" s="13" t="s">
        <v>57</v>
      </c>
      <c r="E11448" s="12" t="s">
        <v>50</v>
      </c>
      <c r="F11448" s="13"/>
      <c r="G11448" s="14">
        <v>4995</v>
      </c>
      <c r="H11448" s="13" t="s">
        <v>21381</v>
      </c>
      <c r="I11448" s="40" t="s">
        <v>18</v>
      </c>
      <c r="J11448" s="40" t="str">
        <f>HYPERLINK("https://stock.pstatic.net/stock-research/company/16/20250624_company_12183000.pdf","PDF")</f>
        <v>PDF</v>
      </c>
      <c r="K11448" s="12" t="s">
        <v>21382</v>
      </c>
    </row>
    <row r="11449" spans="1:12" x14ac:dyDescent="0.45">
      <c r="A11449" s="12" t="s">
        <v>21356</v>
      </c>
      <c r="B11449" s="12" t="s">
        <v>2205</v>
      </c>
      <c r="C11449" s="13" t="s">
        <v>2206</v>
      </c>
      <c r="D11449" s="13" t="s">
        <v>158</v>
      </c>
      <c r="E11449" s="12" t="s">
        <v>35</v>
      </c>
      <c r="F11449" s="14">
        <v>70000</v>
      </c>
      <c r="G11449" s="14">
        <v>33350</v>
      </c>
      <c r="H11449" s="13" t="s">
        <v>21383</v>
      </c>
      <c r="I11449" s="40" t="s">
        <v>18</v>
      </c>
      <c r="J11449" s="40" t="str">
        <f>HYPERLINK("https://stock.pstatic.net/stock-research/company/18/20250624_company_274861000.pdf","PDF")</f>
        <v>PDF</v>
      </c>
      <c r="K11449" s="12" t="s">
        <v>21384</v>
      </c>
      <c r="L11449" s="20">
        <v>1.098950524737631</v>
      </c>
    </row>
    <row r="11450" spans="1:12" x14ac:dyDescent="0.45">
      <c r="A11450" s="12" t="s">
        <v>21356</v>
      </c>
      <c r="B11450" s="12" t="s">
        <v>1308</v>
      </c>
      <c r="C11450" s="13" t="s">
        <v>1309</v>
      </c>
      <c r="D11450" s="13" t="s">
        <v>53</v>
      </c>
      <c r="E11450" s="12" t="s">
        <v>16</v>
      </c>
      <c r="F11450" s="14">
        <v>500000</v>
      </c>
      <c r="G11450" s="14">
        <v>397000</v>
      </c>
      <c r="H11450" s="13" t="s">
        <v>21385</v>
      </c>
      <c r="I11450" s="40" t="s">
        <v>18</v>
      </c>
      <c r="J11450" s="40" t="str">
        <f>HYPERLINK("https://stock.pstatic.net/stock-research/company/40/20250624_company_713211000.pdf","PDF")</f>
        <v>PDF</v>
      </c>
      <c r="K11450" s="12" t="s">
        <v>21386</v>
      </c>
      <c r="L11450" s="20">
        <v>0.25944584382871538</v>
      </c>
    </row>
    <row r="11451" spans="1:12" x14ac:dyDescent="0.45">
      <c r="A11451" s="12" t="s">
        <v>21356</v>
      </c>
      <c r="B11451" s="12" t="s">
        <v>3079</v>
      </c>
      <c r="C11451" s="13" t="s">
        <v>3080</v>
      </c>
      <c r="D11451" s="13" t="s">
        <v>23</v>
      </c>
      <c r="E11451" s="12" t="s">
        <v>16</v>
      </c>
      <c r="F11451" s="14">
        <v>33000</v>
      </c>
      <c r="G11451" s="14">
        <v>25000</v>
      </c>
      <c r="H11451" s="13" t="s">
        <v>8407</v>
      </c>
      <c r="I11451" s="40" t="s">
        <v>18</v>
      </c>
      <c r="J11451" s="40" t="str">
        <f>HYPERLINK("https://stock.pstatic.net/stock-research/company/21/20250624_company_162081000.pdf","PDF")</f>
        <v>PDF</v>
      </c>
      <c r="K11451" s="12" t="s">
        <v>21387</v>
      </c>
      <c r="L11451" s="20">
        <v>0.32</v>
      </c>
    </row>
    <row r="11452" spans="1:12" x14ac:dyDescent="0.45">
      <c r="A11452" s="12" t="s">
        <v>21356</v>
      </c>
      <c r="B11452" s="12" t="s">
        <v>10788</v>
      </c>
      <c r="C11452" s="13" t="s">
        <v>10789</v>
      </c>
      <c r="D11452" s="13" t="s">
        <v>53</v>
      </c>
      <c r="E11452" s="12" t="s">
        <v>50</v>
      </c>
      <c r="F11452" s="13"/>
      <c r="G11452" s="14">
        <v>16550</v>
      </c>
      <c r="H11452" s="13" t="s">
        <v>21388</v>
      </c>
      <c r="I11452" s="40" t="s">
        <v>18</v>
      </c>
      <c r="J11452" s="40" t="str">
        <f>HYPERLINK("https://stock.pstatic.net/stock-research/company/40/20250624_company_580165000.pdf","PDF")</f>
        <v>PDF</v>
      </c>
      <c r="K11452" s="12" t="s">
        <v>21389</v>
      </c>
    </row>
    <row r="11453" spans="1:12" x14ac:dyDescent="0.45">
      <c r="A11453" s="12" t="s">
        <v>21356</v>
      </c>
      <c r="B11453" s="12" t="s">
        <v>95</v>
      </c>
      <c r="C11453" s="13" t="s">
        <v>31</v>
      </c>
      <c r="D11453" s="13" t="s">
        <v>44</v>
      </c>
      <c r="E11453" s="12" t="s">
        <v>35</v>
      </c>
      <c r="F11453" s="14">
        <v>34000</v>
      </c>
      <c r="G11453" s="14">
        <v>22600</v>
      </c>
      <c r="H11453" s="13" t="s">
        <v>21390</v>
      </c>
      <c r="I11453" s="40" t="s">
        <v>18</v>
      </c>
      <c r="J11453" s="40" t="str">
        <f>HYPERLINK("https://stock.pstatic.net/stock-research/company/39/20250624_company_524851000.pdf","PDF")</f>
        <v>PDF</v>
      </c>
      <c r="K11453" s="12" t="s">
        <v>21391</v>
      </c>
      <c r="L11453" s="20">
        <v>0.50442477876106195</v>
      </c>
    </row>
    <row r="11454" spans="1:12" x14ac:dyDescent="0.45">
      <c r="A11454" s="12" t="s">
        <v>21356</v>
      </c>
      <c r="B11454" s="12" t="s">
        <v>585</v>
      </c>
      <c r="C11454" s="13" t="s">
        <v>586</v>
      </c>
      <c r="D11454" s="13" t="s">
        <v>23</v>
      </c>
      <c r="E11454" s="12" t="s">
        <v>50</v>
      </c>
      <c r="F11454" s="14">
        <v>45300</v>
      </c>
      <c r="G11454" s="14">
        <v>44000</v>
      </c>
      <c r="H11454" s="13" t="s">
        <v>21392</v>
      </c>
      <c r="I11454" s="40" t="s">
        <v>18</v>
      </c>
      <c r="J11454" s="40" t="str">
        <f>HYPERLINK("https://stock.pstatic.net/stock-research/company/21/20250624_company_552123000.pdf","PDF")</f>
        <v>PDF</v>
      </c>
      <c r="K11454" s="12" t="s">
        <v>21393</v>
      </c>
      <c r="L11454" s="20">
        <v>2.9545454545454541E-2</v>
      </c>
    </row>
    <row r="11455" spans="1:12" x14ac:dyDescent="0.45">
      <c r="A11455" s="12" t="s">
        <v>21356</v>
      </c>
      <c r="B11455" s="12" t="s">
        <v>3101</v>
      </c>
      <c r="C11455" s="13" t="s">
        <v>3102</v>
      </c>
      <c r="D11455" s="13" t="s">
        <v>124</v>
      </c>
      <c r="E11455" s="12" t="s">
        <v>50</v>
      </c>
      <c r="F11455" s="13"/>
      <c r="G11455" s="13"/>
      <c r="H11455" s="13" t="s">
        <v>21394</v>
      </c>
      <c r="I11455" s="40" t="s">
        <v>18</v>
      </c>
      <c r="J11455" s="40" t="str">
        <f>HYPERLINK("https://stock.pstatic.net/stock-research/company/1/20250624_company_423194000.pdf","PDF")</f>
        <v>PDF</v>
      </c>
      <c r="K11455" s="12" t="s">
        <v>21395</v>
      </c>
    </row>
    <row r="11456" spans="1:12" x14ac:dyDescent="0.45">
      <c r="A11456" s="12" t="s">
        <v>21356</v>
      </c>
      <c r="B11456" s="12" t="s">
        <v>6632</v>
      </c>
      <c r="C11456" s="13" t="s">
        <v>6633</v>
      </c>
      <c r="D11456" s="13" t="s">
        <v>124</v>
      </c>
      <c r="E11456" s="12" t="s">
        <v>50</v>
      </c>
      <c r="F11456" s="13"/>
      <c r="G11456" s="13"/>
      <c r="H11456" s="13" t="s">
        <v>21396</v>
      </c>
      <c r="I11456" s="40" t="s">
        <v>18</v>
      </c>
      <c r="J11456" s="40" t="str">
        <f>HYPERLINK("https://stock.pstatic.net/stock-research/company/74/20250624_company_268726000.pdf","PDF")</f>
        <v>PDF</v>
      </c>
      <c r="K11456" s="12" t="s">
        <v>21397</v>
      </c>
    </row>
    <row r="11457" spans="1:12" x14ac:dyDescent="0.45">
      <c r="A11457" s="12" t="s">
        <v>21356</v>
      </c>
      <c r="B11457" s="12" t="s">
        <v>309</v>
      </c>
      <c r="C11457" s="13" t="s">
        <v>310</v>
      </c>
      <c r="D11457" s="13" t="s">
        <v>15</v>
      </c>
      <c r="E11457" s="12" t="s">
        <v>50</v>
      </c>
      <c r="F11457" s="13"/>
      <c r="G11457" s="13"/>
      <c r="H11457" s="13" t="s">
        <v>21398</v>
      </c>
      <c r="I11457" s="40" t="s">
        <v>18</v>
      </c>
      <c r="J11457" s="40" t="str">
        <f>HYPERLINK("https://stock.pstatic.net/stock-research/company/29/20250624_company_702691000.pdf","PDF")</f>
        <v>PDF</v>
      </c>
      <c r="K11457" s="12" t="s">
        <v>21399</v>
      </c>
    </row>
    <row r="11458" spans="1:12" x14ac:dyDescent="0.45">
      <c r="A11458" s="12" t="s">
        <v>21356</v>
      </c>
      <c r="B11458" s="12" t="s">
        <v>4133</v>
      </c>
      <c r="C11458" s="13" t="s">
        <v>4134</v>
      </c>
      <c r="D11458" s="13" t="s">
        <v>23</v>
      </c>
      <c r="E11458" s="12" t="s">
        <v>50</v>
      </c>
      <c r="F11458" s="13"/>
      <c r="G11458" s="14">
        <v>7250</v>
      </c>
      <c r="H11458" s="13" t="s">
        <v>21400</v>
      </c>
      <c r="I11458" s="40" t="s">
        <v>18</v>
      </c>
      <c r="J11458" s="40" t="str">
        <f>HYPERLINK("https://stock.pstatic.net/stock-research/company/21/20250624_company_736297000.pdf","PDF")</f>
        <v>PDF</v>
      </c>
      <c r="K11458" s="12" t="s">
        <v>21401</v>
      </c>
    </row>
    <row r="11459" spans="1:12" x14ac:dyDescent="0.45">
      <c r="A11459" s="12" t="s">
        <v>21402</v>
      </c>
      <c r="B11459" s="12" t="s">
        <v>577</v>
      </c>
      <c r="C11459" s="13" t="s">
        <v>578</v>
      </c>
      <c r="D11459" s="13" t="s">
        <v>1271</v>
      </c>
      <c r="E11459" s="12" t="s">
        <v>35</v>
      </c>
      <c r="F11459" s="14">
        <v>370000</v>
      </c>
      <c r="G11459" s="14">
        <v>286000</v>
      </c>
      <c r="H11459" s="13" t="s">
        <v>21403</v>
      </c>
      <c r="I11459" s="40" t="s">
        <v>18</v>
      </c>
      <c r="J11459" s="40" t="str">
        <f>HYPERLINK("https://stock.pstatic.net/stock-research/company/1/20250623_company_867795000.pdf","PDF")</f>
        <v>PDF</v>
      </c>
      <c r="K11459" s="12" t="s">
        <v>21404</v>
      </c>
      <c r="L11459" s="20">
        <v>0.2937062937062937</v>
      </c>
    </row>
    <row r="11460" spans="1:12" x14ac:dyDescent="0.45">
      <c r="A11460" s="12" t="s">
        <v>21402</v>
      </c>
      <c r="B11460" s="12" t="s">
        <v>3105</v>
      </c>
      <c r="C11460" s="13" t="s">
        <v>3106</v>
      </c>
      <c r="D11460" s="13" t="s">
        <v>1271</v>
      </c>
      <c r="E11460" s="12" t="s">
        <v>35</v>
      </c>
      <c r="F11460" s="14">
        <v>365000</v>
      </c>
      <c r="G11460" s="14">
        <v>302000</v>
      </c>
      <c r="H11460" s="13" t="s">
        <v>21405</v>
      </c>
      <c r="I11460" s="40" t="s">
        <v>18</v>
      </c>
      <c r="J11460" s="40" t="str">
        <f>HYPERLINK("https://stock.pstatic.net/stock-research/company/78/20250623_company_291608000.pdf","PDF")</f>
        <v>PDF</v>
      </c>
      <c r="K11460" s="12" t="s">
        <v>21406</v>
      </c>
      <c r="L11460" s="20">
        <v>0.20860927152317879</v>
      </c>
    </row>
    <row r="11461" spans="1:12" x14ac:dyDescent="0.45">
      <c r="A11461" s="12" t="s">
        <v>21402</v>
      </c>
      <c r="B11461" s="12" t="s">
        <v>370</v>
      </c>
      <c r="C11461" s="13" t="s">
        <v>371</v>
      </c>
      <c r="D11461" s="13" t="s">
        <v>1271</v>
      </c>
      <c r="E11461" s="12" t="s">
        <v>35</v>
      </c>
      <c r="F11461" s="14">
        <v>110000</v>
      </c>
      <c r="G11461" s="14">
        <v>85600</v>
      </c>
      <c r="H11461" s="13" t="s">
        <v>21407</v>
      </c>
      <c r="I11461" s="40" t="s">
        <v>18</v>
      </c>
      <c r="J11461" s="40" t="str">
        <f>HYPERLINK("https://stock.pstatic.net/stock-research/company/78/20250623_company_209422000.pdf","PDF")</f>
        <v>PDF</v>
      </c>
      <c r="K11461" s="12" t="s">
        <v>21408</v>
      </c>
      <c r="L11461" s="20">
        <v>0.28504672897196259</v>
      </c>
    </row>
    <row r="11462" spans="1:12" x14ac:dyDescent="0.45">
      <c r="A11462" s="12" t="s">
        <v>21402</v>
      </c>
      <c r="B11462" s="12" t="s">
        <v>21409</v>
      </c>
      <c r="C11462" s="13" t="s">
        <v>21410</v>
      </c>
      <c r="D11462" s="13" t="s">
        <v>1271</v>
      </c>
      <c r="E11462" s="12" t="s">
        <v>35</v>
      </c>
      <c r="F11462" s="14">
        <v>29000</v>
      </c>
      <c r="G11462" s="14">
        <v>20750</v>
      </c>
      <c r="H11462" s="13" t="s">
        <v>21411</v>
      </c>
      <c r="I11462" s="40" t="s">
        <v>18</v>
      </c>
      <c r="J11462" s="40" t="str">
        <f>HYPERLINK("https://stock.pstatic.net/stock-research/company/78/20250623_company_556816000.pdf","PDF")</f>
        <v>PDF</v>
      </c>
      <c r="K11462" s="12" t="s">
        <v>21412</v>
      </c>
      <c r="L11462" s="20">
        <v>0.39759036144578308</v>
      </c>
    </row>
    <row r="11463" spans="1:12" x14ac:dyDescent="0.45">
      <c r="A11463" s="12" t="s">
        <v>21402</v>
      </c>
      <c r="B11463" s="12" t="s">
        <v>2492</v>
      </c>
      <c r="C11463" s="13" t="s">
        <v>2493</v>
      </c>
      <c r="D11463" s="13" t="s">
        <v>1271</v>
      </c>
      <c r="E11463" s="12" t="s">
        <v>35</v>
      </c>
      <c r="F11463" s="14">
        <v>460000</v>
      </c>
      <c r="G11463" s="14">
        <v>365000</v>
      </c>
      <c r="H11463" s="13" t="s">
        <v>21413</v>
      </c>
      <c r="I11463" s="40" t="s">
        <v>18</v>
      </c>
      <c r="J11463" s="40" t="str">
        <f>HYPERLINK("https://stock.pstatic.net/stock-research/company/78/20250623_company_683377000.pdf","PDF")</f>
        <v>PDF</v>
      </c>
      <c r="K11463" s="12" t="s">
        <v>21414</v>
      </c>
      <c r="L11463" s="20">
        <v>0.26027397260273971</v>
      </c>
    </row>
    <row r="11464" spans="1:12" x14ac:dyDescent="0.45">
      <c r="A11464" s="12" t="s">
        <v>21402</v>
      </c>
      <c r="B11464" s="12" t="s">
        <v>1781</v>
      </c>
      <c r="C11464" s="13" t="s">
        <v>1782</v>
      </c>
      <c r="D11464" s="13" t="s">
        <v>15</v>
      </c>
      <c r="E11464" s="12" t="s">
        <v>16</v>
      </c>
      <c r="F11464" s="14">
        <v>100000</v>
      </c>
      <c r="G11464" s="14">
        <v>74000</v>
      </c>
      <c r="H11464" s="13" t="s">
        <v>1122</v>
      </c>
      <c r="I11464" s="40" t="s">
        <v>18</v>
      </c>
      <c r="J11464" s="40" t="str">
        <f>HYPERLINK("https://stock.pstatic.net/stock-research/company/29/20250623_company_788798000.pdf","PDF")</f>
        <v>PDF</v>
      </c>
      <c r="K11464" s="12" t="s">
        <v>21415</v>
      </c>
      <c r="L11464" s="20">
        <v>0.35135135135135143</v>
      </c>
    </row>
    <row r="11465" spans="1:12" x14ac:dyDescent="0.45">
      <c r="A11465" s="12" t="s">
        <v>21402</v>
      </c>
      <c r="B11465" s="12" t="s">
        <v>740</v>
      </c>
      <c r="C11465" s="13" t="s">
        <v>741</v>
      </c>
      <c r="D11465" s="13" t="s">
        <v>15</v>
      </c>
      <c r="E11465" s="12" t="s">
        <v>16</v>
      </c>
      <c r="F11465" s="14">
        <v>220000</v>
      </c>
      <c r="G11465" s="14">
        <v>149700</v>
      </c>
      <c r="H11465" s="13" t="s">
        <v>13407</v>
      </c>
      <c r="I11465" s="40" t="s">
        <v>18</v>
      </c>
      <c r="J11465" s="40" t="str">
        <f>HYPERLINK("https://stock.pstatic.net/stock-research/company/29/20250623_company_700070000.pdf","PDF")</f>
        <v>PDF</v>
      </c>
      <c r="K11465" s="12" t="s">
        <v>21416</v>
      </c>
      <c r="L11465" s="20">
        <v>0.4696058784235137</v>
      </c>
    </row>
    <row r="11466" spans="1:12" x14ac:dyDescent="0.45">
      <c r="A11466" s="12" t="s">
        <v>21402</v>
      </c>
      <c r="B11466" s="12" t="s">
        <v>10723</v>
      </c>
      <c r="C11466" s="13" t="s">
        <v>10724</v>
      </c>
      <c r="D11466" s="13" t="s">
        <v>23</v>
      </c>
      <c r="E11466" s="12" t="s">
        <v>50</v>
      </c>
      <c r="F11466" s="13"/>
      <c r="G11466" s="14">
        <v>5670</v>
      </c>
      <c r="H11466" s="13" t="s">
        <v>21417</v>
      </c>
      <c r="I11466" s="40" t="s">
        <v>18</v>
      </c>
      <c r="J11466" s="40" t="str">
        <f>HYPERLINK("https://stock.pstatic.net/stock-research/company/1/20250623_company_327907000.pdf","PDF")</f>
        <v>PDF</v>
      </c>
      <c r="K11466" s="12" t="s">
        <v>21418</v>
      </c>
    </row>
    <row r="11467" spans="1:12" x14ac:dyDescent="0.45">
      <c r="A11467" s="12" t="s">
        <v>21402</v>
      </c>
      <c r="B11467" s="12" t="s">
        <v>10719</v>
      </c>
      <c r="C11467" s="13" t="s">
        <v>10720</v>
      </c>
      <c r="D11467" s="13" t="s">
        <v>23</v>
      </c>
      <c r="E11467" s="12" t="s">
        <v>50</v>
      </c>
      <c r="F11467" s="13"/>
      <c r="G11467" s="14">
        <v>3370</v>
      </c>
      <c r="H11467" s="13" t="s">
        <v>21419</v>
      </c>
      <c r="I11467" s="40" t="s">
        <v>18</v>
      </c>
      <c r="J11467" s="40" t="str">
        <f>HYPERLINK("https://stock.pstatic.net/stock-research/company/21/20250623_company_369930000.pdf","PDF")</f>
        <v>PDF</v>
      </c>
      <c r="K11467" s="12" t="s">
        <v>21420</v>
      </c>
    </row>
    <row r="11468" spans="1:12" x14ac:dyDescent="0.45">
      <c r="A11468" s="12" t="s">
        <v>21402</v>
      </c>
      <c r="B11468" s="12" t="s">
        <v>10656</v>
      </c>
      <c r="C11468" s="13" t="s">
        <v>10657</v>
      </c>
      <c r="D11468" s="13" t="s">
        <v>23</v>
      </c>
      <c r="E11468" s="12" t="s">
        <v>50</v>
      </c>
      <c r="F11468" s="13"/>
      <c r="G11468" s="14">
        <v>1515</v>
      </c>
      <c r="H11468" s="13" t="s">
        <v>21421</v>
      </c>
      <c r="I11468" s="40" t="s">
        <v>18</v>
      </c>
      <c r="J11468" s="40" t="str">
        <f>HYPERLINK("https://stock.pstatic.net/stock-research/company/21/20250623_company_519635000.pdf","PDF")</f>
        <v>PDF</v>
      </c>
      <c r="K11468" s="12" t="s">
        <v>21422</v>
      </c>
    </row>
    <row r="11469" spans="1:12" x14ac:dyDescent="0.45">
      <c r="A11469" s="12" t="s">
        <v>21402</v>
      </c>
      <c r="B11469" s="12" t="s">
        <v>7867</v>
      </c>
      <c r="C11469" s="13" t="s">
        <v>7868</v>
      </c>
      <c r="D11469" s="13" t="s">
        <v>83</v>
      </c>
      <c r="E11469" s="12" t="s">
        <v>50</v>
      </c>
      <c r="F11469" s="13"/>
      <c r="G11469" s="14">
        <v>11990</v>
      </c>
      <c r="H11469" s="13" t="s">
        <v>21423</v>
      </c>
      <c r="I11469" s="40" t="s">
        <v>18</v>
      </c>
      <c r="J11469" s="40" t="str">
        <f>HYPERLINK("https://stock.pstatic.net/stock-research/company/1/20250623_company_28792000.pdf","PDF")</f>
        <v>PDF</v>
      </c>
      <c r="K11469" s="12" t="s">
        <v>21424</v>
      </c>
    </row>
    <row r="11470" spans="1:12" x14ac:dyDescent="0.45">
      <c r="A11470" s="12" t="s">
        <v>21402</v>
      </c>
      <c r="B11470" s="12" t="s">
        <v>434</v>
      </c>
      <c r="C11470" s="13" t="s">
        <v>435</v>
      </c>
      <c r="D11470" s="13" t="s">
        <v>65</v>
      </c>
      <c r="E11470" s="12" t="s">
        <v>35</v>
      </c>
      <c r="F11470" s="14">
        <v>200000</v>
      </c>
      <c r="G11470" s="14">
        <v>145500</v>
      </c>
      <c r="H11470" s="13" t="s">
        <v>21425</v>
      </c>
      <c r="I11470" s="40" t="s">
        <v>18</v>
      </c>
      <c r="J11470" s="40" t="str">
        <f>HYPERLINK("https://stock.pstatic.net/stock-research/company/1/20250623_company_352468000.pdf","PDF")</f>
        <v>PDF</v>
      </c>
      <c r="K11470" s="12" t="s">
        <v>21426</v>
      </c>
      <c r="L11470" s="20">
        <v>0.37457044673539519</v>
      </c>
    </row>
    <row r="11471" spans="1:12" x14ac:dyDescent="0.45">
      <c r="A11471" s="12" t="s">
        <v>21402</v>
      </c>
      <c r="B11471" s="12" t="s">
        <v>42</v>
      </c>
      <c r="C11471" s="13" t="s">
        <v>43</v>
      </c>
      <c r="D11471" s="13" t="s">
        <v>65</v>
      </c>
      <c r="E11471" s="12" t="s">
        <v>35</v>
      </c>
      <c r="F11471" s="14">
        <v>320000</v>
      </c>
      <c r="G11471" s="14">
        <v>269500</v>
      </c>
      <c r="H11471" s="13" t="s">
        <v>21427</v>
      </c>
      <c r="I11471" s="40" t="s">
        <v>18</v>
      </c>
      <c r="J11471" s="40" t="str">
        <f>HYPERLINK("https://stock.pstatic.net/stock-research/company/57/20250623_company_329511000.pdf","PDF")</f>
        <v>PDF</v>
      </c>
      <c r="K11471" s="12" t="s">
        <v>21428</v>
      </c>
      <c r="L11471" s="20">
        <v>0.18738404452690169</v>
      </c>
    </row>
    <row r="11472" spans="1:12" x14ac:dyDescent="0.45">
      <c r="A11472" s="12" t="s">
        <v>21402</v>
      </c>
      <c r="B11472" s="12" t="s">
        <v>2522</v>
      </c>
      <c r="C11472" s="13" t="s">
        <v>2523</v>
      </c>
      <c r="D11472" s="13" t="s">
        <v>65</v>
      </c>
      <c r="E11472" s="12" t="s">
        <v>35</v>
      </c>
      <c r="F11472" s="14">
        <v>530000</v>
      </c>
      <c r="G11472" s="14">
        <v>358000</v>
      </c>
      <c r="H11472" s="13" t="s">
        <v>21429</v>
      </c>
      <c r="I11472" s="40" t="s">
        <v>18</v>
      </c>
      <c r="J11472" s="40" t="str">
        <f>HYPERLINK("https://stock.pstatic.net/stock-research/company/57/20250623_company_84680000.pdf","PDF")</f>
        <v>PDF</v>
      </c>
      <c r="K11472" s="12" t="s">
        <v>21430</v>
      </c>
      <c r="L11472" s="20">
        <v>0.48044692737430172</v>
      </c>
    </row>
    <row r="11473" spans="1:12" x14ac:dyDescent="0.45">
      <c r="A11473" s="12" t="s">
        <v>21402</v>
      </c>
      <c r="B11473" s="12" t="s">
        <v>2522</v>
      </c>
      <c r="C11473" s="13" t="s">
        <v>2523</v>
      </c>
      <c r="D11473" s="13" t="s">
        <v>57</v>
      </c>
      <c r="E11473" s="12" t="s">
        <v>35</v>
      </c>
      <c r="F11473" s="14">
        <v>440000</v>
      </c>
      <c r="G11473" s="14">
        <v>358000</v>
      </c>
      <c r="H11473" s="13" t="s">
        <v>21431</v>
      </c>
      <c r="I11473" s="40" t="s">
        <v>18</v>
      </c>
      <c r="J11473" s="40" t="str">
        <f>HYPERLINK("https://stock.pstatic.net/stock-research/company/16/20250623_company_832292000.pdf","PDF")</f>
        <v>PDF</v>
      </c>
      <c r="K11473" s="12" t="s">
        <v>21432</v>
      </c>
      <c r="L11473" s="20">
        <v>0.22905027932960889</v>
      </c>
    </row>
    <row r="11474" spans="1:12" x14ac:dyDescent="0.45">
      <c r="A11474" s="12" t="s">
        <v>21402</v>
      </c>
      <c r="B11474" s="12" t="s">
        <v>880</v>
      </c>
      <c r="C11474" s="13" t="s">
        <v>881</v>
      </c>
      <c r="D11474" s="13" t="s">
        <v>57</v>
      </c>
      <c r="E11474" s="12" t="s">
        <v>35</v>
      </c>
      <c r="F11474" s="14">
        <v>19000</v>
      </c>
      <c r="G11474" s="14">
        <v>15090</v>
      </c>
      <c r="H11474" s="13" t="s">
        <v>21433</v>
      </c>
      <c r="I11474" s="40" t="s">
        <v>18</v>
      </c>
      <c r="J11474" s="40" t="str">
        <f>HYPERLINK("https://stock.pstatic.net/stock-research/company/16/20250623_company_861880000.pdf","PDF")</f>
        <v>PDF</v>
      </c>
      <c r="K11474" s="12" t="s">
        <v>21434</v>
      </c>
      <c r="L11474" s="20">
        <v>0.25911199469847579</v>
      </c>
    </row>
    <row r="11475" spans="1:12" x14ac:dyDescent="0.45">
      <c r="A11475" s="12" t="s">
        <v>21402</v>
      </c>
      <c r="B11475" s="12" t="s">
        <v>2191</v>
      </c>
      <c r="C11475" s="13" t="s">
        <v>2192</v>
      </c>
      <c r="D11475" s="13" t="s">
        <v>158</v>
      </c>
      <c r="E11475" s="12" t="s">
        <v>35</v>
      </c>
      <c r="F11475" s="14">
        <v>84000</v>
      </c>
      <c r="G11475" s="14">
        <v>61800</v>
      </c>
      <c r="H11475" s="13" t="s">
        <v>21435</v>
      </c>
      <c r="I11475" s="40" t="s">
        <v>18</v>
      </c>
      <c r="J11475" s="40" t="str">
        <f>HYPERLINK("https://stock.pstatic.net/stock-research/company/18/20250623_company_449814000.pdf","PDF")</f>
        <v>PDF</v>
      </c>
      <c r="K11475" s="12" t="s">
        <v>21436</v>
      </c>
      <c r="L11475" s="20">
        <v>0.35922330097087379</v>
      </c>
    </row>
    <row r="11476" spans="1:12" x14ac:dyDescent="0.45">
      <c r="A11476" s="12" t="s">
        <v>21402</v>
      </c>
      <c r="B11476" s="12" t="s">
        <v>12062</v>
      </c>
      <c r="C11476" s="13" t="s">
        <v>12063</v>
      </c>
      <c r="D11476" s="13" t="s">
        <v>158</v>
      </c>
      <c r="E11476" s="12" t="s">
        <v>50</v>
      </c>
      <c r="F11476" s="13"/>
      <c r="G11476" s="14">
        <v>12710</v>
      </c>
      <c r="H11476" s="13" t="s">
        <v>21437</v>
      </c>
      <c r="I11476" s="40" t="s">
        <v>18</v>
      </c>
      <c r="J11476" s="40" t="str">
        <f>HYPERLINK("https://stock.pstatic.net/stock-research/company/1/20250623_company_524901000.pdf","PDF")</f>
        <v>PDF</v>
      </c>
      <c r="K11476" s="12" t="s">
        <v>21438</v>
      </c>
    </row>
    <row r="11477" spans="1:12" x14ac:dyDescent="0.45">
      <c r="A11477" s="12" t="s">
        <v>21402</v>
      </c>
      <c r="B11477" s="12" t="s">
        <v>2658</v>
      </c>
      <c r="C11477" s="13" t="s">
        <v>2659</v>
      </c>
      <c r="D11477" s="13" t="s">
        <v>15</v>
      </c>
      <c r="E11477" s="12" t="s">
        <v>16</v>
      </c>
      <c r="F11477" s="14">
        <v>160000</v>
      </c>
      <c r="G11477" s="14">
        <v>104200</v>
      </c>
      <c r="H11477" s="13" t="s">
        <v>21439</v>
      </c>
      <c r="I11477" s="40" t="s">
        <v>18</v>
      </c>
      <c r="J11477" s="40" t="str">
        <f>HYPERLINK("https://stock.pstatic.net/stock-research/company/29/20250623_company_172573000.pdf","PDF")</f>
        <v>PDF</v>
      </c>
      <c r="K11477" s="12" t="s">
        <v>21440</v>
      </c>
      <c r="L11477" s="20">
        <v>0.53550863723608444</v>
      </c>
    </row>
    <row r="11478" spans="1:12" x14ac:dyDescent="0.45">
      <c r="A11478" s="12" t="s">
        <v>21402</v>
      </c>
      <c r="B11478" s="12" t="s">
        <v>888</v>
      </c>
      <c r="C11478" s="13" t="s">
        <v>889</v>
      </c>
      <c r="D11478" s="13" t="s">
        <v>92</v>
      </c>
      <c r="E11478" s="12" t="s">
        <v>35</v>
      </c>
      <c r="F11478" s="14">
        <v>69000</v>
      </c>
      <c r="G11478" s="14">
        <v>54400</v>
      </c>
      <c r="H11478" s="13" t="s">
        <v>21441</v>
      </c>
      <c r="I11478" s="40" t="s">
        <v>18</v>
      </c>
      <c r="J11478" s="40" t="str">
        <f>HYPERLINK("https://stock.pstatic.net/stock-research/company/63/20250623_company_876587000.pdf","PDF")</f>
        <v>PDF</v>
      </c>
      <c r="K11478" s="12" t="s">
        <v>21442</v>
      </c>
      <c r="L11478" s="20">
        <v>0.26838235294117652</v>
      </c>
    </row>
    <row r="11479" spans="1:12" x14ac:dyDescent="0.45">
      <c r="A11479" s="12" t="s">
        <v>21402</v>
      </c>
      <c r="B11479" s="12" t="s">
        <v>6515</v>
      </c>
      <c r="C11479" s="13" t="s">
        <v>6516</v>
      </c>
      <c r="D11479" s="13" t="s">
        <v>92</v>
      </c>
      <c r="E11479" s="12" t="s">
        <v>50</v>
      </c>
      <c r="F11479" s="13"/>
      <c r="G11479" s="14">
        <v>13800</v>
      </c>
      <c r="H11479" s="13" t="s">
        <v>21443</v>
      </c>
      <c r="I11479" s="40" t="s">
        <v>18</v>
      </c>
      <c r="J11479" s="40" t="str">
        <f>HYPERLINK("https://stock.pstatic.net/stock-research/company/63/20250623_company_553256000.pdf","PDF")</f>
        <v>PDF</v>
      </c>
      <c r="K11479" s="12" t="s">
        <v>21444</v>
      </c>
    </row>
    <row r="11480" spans="1:12" x14ac:dyDescent="0.45">
      <c r="A11480" s="12" t="s">
        <v>21402</v>
      </c>
      <c r="B11480" s="12" t="s">
        <v>410</v>
      </c>
      <c r="C11480" s="13" t="s">
        <v>411</v>
      </c>
      <c r="D11480" s="13" t="s">
        <v>23</v>
      </c>
      <c r="E11480" s="12" t="s">
        <v>50</v>
      </c>
      <c r="F11480" s="13"/>
      <c r="G11480" s="14">
        <v>5260</v>
      </c>
      <c r="H11480" s="13" t="s">
        <v>21445</v>
      </c>
      <c r="I11480" s="40" t="s">
        <v>18</v>
      </c>
      <c r="J11480" s="40" t="str">
        <f>HYPERLINK("https://stock.pstatic.net/stock-research/company/21/20250623_company_166788000.pdf","PDF")</f>
        <v>PDF</v>
      </c>
      <c r="K11480" s="12" t="s">
        <v>21446</v>
      </c>
    </row>
    <row r="11481" spans="1:12" x14ac:dyDescent="0.45">
      <c r="A11481" s="12" t="s">
        <v>21402</v>
      </c>
      <c r="B11481" s="12" t="s">
        <v>10582</v>
      </c>
      <c r="C11481" s="13" t="s">
        <v>10583</v>
      </c>
      <c r="D11481" s="13" t="s">
        <v>23</v>
      </c>
      <c r="E11481" s="12" t="s">
        <v>50</v>
      </c>
      <c r="F11481" s="13"/>
      <c r="G11481" s="14">
        <v>14270</v>
      </c>
      <c r="H11481" s="13" t="s">
        <v>21447</v>
      </c>
      <c r="I11481" s="40" t="s">
        <v>18</v>
      </c>
      <c r="J11481" s="40" t="str">
        <f>HYPERLINK("https://stock.pstatic.net/stock-research/company/21/20250623_company_673275000.pdf","PDF")</f>
        <v>PDF</v>
      </c>
      <c r="K11481" s="12" t="s">
        <v>21448</v>
      </c>
    </row>
    <row r="11482" spans="1:12" x14ac:dyDescent="0.45">
      <c r="A11482" s="12" t="s">
        <v>21402</v>
      </c>
      <c r="B11482" s="12" t="s">
        <v>549</v>
      </c>
      <c r="C11482" s="13" t="s">
        <v>550</v>
      </c>
      <c r="D11482" s="13" t="s">
        <v>23</v>
      </c>
      <c r="E11482" s="12" t="s">
        <v>50</v>
      </c>
      <c r="F11482" s="13"/>
      <c r="G11482" s="14">
        <v>6900</v>
      </c>
      <c r="H11482" s="13" t="s">
        <v>21449</v>
      </c>
      <c r="I11482" s="40" t="s">
        <v>18</v>
      </c>
      <c r="J11482" s="40" t="str">
        <f>HYPERLINK("https://stock.pstatic.net/stock-research/company/21/20250623_company_177653000.pdf","PDF")</f>
        <v>PDF</v>
      </c>
      <c r="K11482" s="12" t="s">
        <v>21450</v>
      </c>
    </row>
    <row r="11483" spans="1:12" x14ac:dyDescent="0.45">
      <c r="A11483" s="12" t="s">
        <v>21402</v>
      </c>
      <c r="B11483" s="12" t="s">
        <v>5052</v>
      </c>
      <c r="C11483" s="13" t="s">
        <v>5053</v>
      </c>
      <c r="D11483" s="13" t="s">
        <v>124</v>
      </c>
      <c r="E11483" s="12" t="s">
        <v>50</v>
      </c>
      <c r="F11483" s="13"/>
      <c r="G11483" s="13"/>
      <c r="H11483" s="13" t="s">
        <v>21451</v>
      </c>
      <c r="I11483" s="40" t="s">
        <v>18</v>
      </c>
      <c r="J11483" s="40" t="str">
        <f>HYPERLINK("https://stock.pstatic.net/stock-research/company/1/20250623_company_142092000.pdf","PDF")</f>
        <v>PDF</v>
      </c>
      <c r="K11483" s="12" t="s">
        <v>21452</v>
      </c>
    </row>
    <row r="11484" spans="1:12" x14ac:dyDescent="0.45">
      <c r="A11484" s="12" t="s">
        <v>21402</v>
      </c>
      <c r="B11484" s="12" t="s">
        <v>894</v>
      </c>
      <c r="C11484" s="13" t="s">
        <v>26</v>
      </c>
      <c r="D11484" s="13" t="s">
        <v>124</v>
      </c>
      <c r="E11484" s="12" t="s">
        <v>50</v>
      </c>
      <c r="F11484" s="13"/>
      <c r="G11484" s="13"/>
      <c r="H11484" s="13" t="s">
        <v>21453</v>
      </c>
      <c r="I11484" s="40" t="s">
        <v>18</v>
      </c>
      <c r="J11484" s="40" t="str">
        <f>HYPERLINK("https://stock.pstatic.net/stock-research/company/74/20250623_company_937155000.pdf","PDF")</f>
        <v>PDF</v>
      </c>
      <c r="K11484" s="12" t="s">
        <v>21454</v>
      </c>
    </row>
    <row r="11485" spans="1:12" x14ac:dyDescent="0.45">
      <c r="A11485" s="12" t="s">
        <v>21402</v>
      </c>
      <c r="B11485" s="12" t="s">
        <v>4764</v>
      </c>
      <c r="C11485" s="13" t="s">
        <v>4765</v>
      </c>
      <c r="D11485" s="13" t="s">
        <v>124</v>
      </c>
      <c r="E11485" s="12" t="s">
        <v>50</v>
      </c>
      <c r="F11485" s="13"/>
      <c r="G11485" s="13"/>
      <c r="H11485" s="13" t="s">
        <v>21455</v>
      </c>
      <c r="I11485" s="40" t="s">
        <v>18</v>
      </c>
      <c r="J11485" s="40" t="str">
        <f>HYPERLINK("https://stock.pstatic.net/stock-research/company/74/20250623_company_618251000.pdf","PDF")</f>
        <v>PDF</v>
      </c>
      <c r="K11485" s="12" t="s">
        <v>21456</v>
      </c>
    </row>
    <row r="11486" spans="1:12" x14ac:dyDescent="0.45">
      <c r="A11486" s="12" t="s">
        <v>21402</v>
      </c>
      <c r="B11486" s="12" t="s">
        <v>21457</v>
      </c>
      <c r="C11486" s="13" t="s">
        <v>21458</v>
      </c>
      <c r="D11486" s="13" t="s">
        <v>15</v>
      </c>
      <c r="E11486" s="12" t="s">
        <v>50</v>
      </c>
      <c r="F11486" s="13"/>
      <c r="G11486" s="14">
        <v>12710</v>
      </c>
      <c r="H11486" s="13" t="s">
        <v>21459</v>
      </c>
      <c r="I11486" s="40" t="s">
        <v>18</v>
      </c>
      <c r="J11486" s="40" t="str">
        <f>HYPERLINK("https://stock.pstatic.net/stock-research/company/29/20250623_company_394379000.pdf","PDF")</f>
        <v>PDF</v>
      </c>
      <c r="K11486" s="12" t="s">
        <v>21460</v>
      </c>
    </row>
    <row r="11487" spans="1:12" x14ac:dyDescent="0.45">
      <c r="A11487" s="12" t="s">
        <v>21402</v>
      </c>
      <c r="B11487" s="12" t="s">
        <v>561</v>
      </c>
      <c r="C11487" s="13" t="s">
        <v>562</v>
      </c>
      <c r="D11487" s="13" t="s">
        <v>15</v>
      </c>
      <c r="E11487" s="12" t="s">
        <v>50</v>
      </c>
      <c r="F11487" s="13"/>
      <c r="G11487" s="14">
        <v>8760</v>
      </c>
      <c r="H11487" s="13" t="s">
        <v>21461</v>
      </c>
      <c r="I11487" s="40" t="s">
        <v>18</v>
      </c>
      <c r="J11487" s="40" t="str">
        <f>HYPERLINK("https://stock.pstatic.net/stock-research/company/29/20250623_company_661666000.pdf","PDF")</f>
        <v>PDF</v>
      </c>
      <c r="K11487" s="12" t="s">
        <v>21462</v>
      </c>
    </row>
    <row r="11488" spans="1:12" x14ac:dyDescent="0.45">
      <c r="A11488" s="12" t="s">
        <v>21402</v>
      </c>
      <c r="B11488" s="12" t="s">
        <v>10915</v>
      </c>
      <c r="C11488" s="13" t="s">
        <v>10916</v>
      </c>
      <c r="D11488" s="13" t="s">
        <v>15</v>
      </c>
      <c r="E11488" s="12" t="s">
        <v>50</v>
      </c>
      <c r="F11488" s="13"/>
      <c r="G11488" s="14">
        <v>2110</v>
      </c>
      <c r="H11488" s="13" t="s">
        <v>21463</v>
      </c>
      <c r="I11488" s="40" t="s">
        <v>18</v>
      </c>
      <c r="J11488" s="40" t="str">
        <f>HYPERLINK("https://stock.pstatic.net/stock-research/company/29/20250623_company_115965000.pdf","PDF")</f>
        <v>PDF</v>
      </c>
      <c r="K11488" s="12" t="s">
        <v>21464</v>
      </c>
    </row>
    <row r="11489" spans="1:12" x14ac:dyDescent="0.45">
      <c r="A11489" s="12" t="s">
        <v>21465</v>
      </c>
      <c r="B11489" s="12" t="s">
        <v>10923</v>
      </c>
      <c r="C11489" s="13" t="s">
        <v>10924</v>
      </c>
      <c r="D11489" s="13" t="s">
        <v>53</v>
      </c>
      <c r="E11489" s="12" t="s">
        <v>50</v>
      </c>
      <c r="F11489" s="13"/>
      <c r="G11489" s="14">
        <v>20800</v>
      </c>
      <c r="H11489" s="13" t="s">
        <v>21466</v>
      </c>
      <c r="I11489" s="40" t="s">
        <v>18</v>
      </c>
      <c r="J11489" s="40" t="str">
        <f>HYPERLINK("https://stock.pstatic.net/stock-research/company/40/20250620_company_401880000.pdf","PDF")</f>
        <v>PDF</v>
      </c>
      <c r="K11489" s="12" t="s">
        <v>21467</v>
      </c>
    </row>
    <row r="11490" spans="1:12" x14ac:dyDescent="0.45">
      <c r="A11490" s="12" t="s">
        <v>21465</v>
      </c>
      <c r="B11490" s="12" t="s">
        <v>4642</v>
      </c>
      <c r="C11490" s="13" t="s">
        <v>4643</v>
      </c>
      <c r="D11490" s="13" t="s">
        <v>65</v>
      </c>
      <c r="E11490" s="12" t="s">
        <v>35</v>
      </c>
      <c r="F11490" s="14">
        <v>30000</v>
      </c>
      <c r="G11490" s="14">
        <v>21400</v>
      </c>
      <c r="H11490" s="13" t="s">
        <v>21468</v>
      </c>
      <c r="I11490" s="40" t="s">
        <v>18</v>
      </c>
      <c r="J11490" s="40" t="str">
        <f>HYPERLINK("https://stock.pstatic.net/stock-research/company/57/20250620_company_111306000.pdf","PDF")</f>
        <v>PDF</v>
      </c>
      <c r="K11490" s="12" t="s">
        <v>21469</v>
      </c>
      <c r="L11490" s="20">
        <v>0.40186915887850472</v>
      </c>
    </row>
    <row r="11491" spans="1:12" x14ac:dyDescent="0.45">
      <c r="A11491" s="12" t="s">
        <v>21465</v>
      </c>
      <c r="B11491" s="12" t="s">
        <v>146</v>
      </c>
      <c r="C11491" s="13" t="s">
        <v>147</v>
      </c>
      <c r="D11491" s="13" t="s">
        <v>57</v>
      </c>
      <c r="E11491" s="12" t="s">
        <v>35</v>
      </c>
      <c r="F11491" s="14">
        <v>29000</v>
      </c>
      <c r="G11491" s="14">
        <v>19510</v>
      </c>
      <c r="H11491" s="13" t="s">
        <v>21470</v>
      </c>
      <c r="I11491" s="40" t="s">
        <v>18</v>
      </c>
      <c r="J11491" s="40" t="str">
        <f>HYPERLINK("https://stock.pstatic.net/stock-research/company/16/20250620_company_701719000.pdf","PDF")</f>
        <v>PDF</v>
      </c>
      <c r="K11491" s="12" t="s">
        <v>21471</v>
      </c>
      <c r="L11491" s="20">
        <v>0.48641722193746789</v>
      </c>
    </row>
    <row r="11492" spans="1:12" x14ac:dyDescent="0.45">
      <c r="A11492" s="12" t="s">
        <v>21465</v>
      </c>
      <c r="B11492" s="12" t="s">
        <v>1467</v>
      </c>
      <c r="C11492" s="13" t="s">
        <v>1468</v>
      </c>
      <c r="D11492" s="13" t="s">
        <v>158</v>
      </c>
      <c r="E11492" s="12" t="s">
        <v>50</v>
      </c>
      <c r="F11492" s="13"/>
      <c r="G11492" s="14">
        <v>6940</v>
      </c>
      <c r="H11492" s="13" t="s">
        <v>21472</v>
      </c>
      <c r="I11492" s="40" t="s">
        <v>18</v>
      </c>
      <c r="J11492" s="40" t="str">
        <f>HYPERLINK("https://stock.pstatic.net/stock-research/company/18/20250620_company_806479000.pdf","PDF")</f>
        <v>PDF</v>
      </c>
      <c r="K11492" s="12" t="s">
        <v>21473</v>
      </c>
    </row>
    <row r="11493" spans="1:12" x14ac:dyDescent="0.45">
      <c r="A11493" s="12" t="s">
        <v>21465</v>
      </c>
      <c r="B11493" s="12" t="s">
        <v>6784</v>
      </c>
      <c r="C11493" s="13" t="s">
        <v>6785</v>
      </c>
      <c r="D11493" s="13" t="s">
        <v>158</v>
      </c>
      <c r="E11493" s="12" t="s">
        <v>50</v>
      </c>
      <c r="F11493" s="13"/>
      <c r="G11493" s="14">
        <v>6620</v>
      </c>
      <c r="H11493" s="13" t="s">
        <v>21474</v>
      </c>
      <c r="I11493" s="40" t="s">
        <v>18</v>
      </c>
      <c r="J11493" s="40" t="str">
        <f>HYPERLINK("https://stock.pstatic.net/stock-research/company/18/20250620_company_89141000.pdf","PDF")</f>
        <v>PDF</v>
      </c>
      <c r="K11493" s="12" t="s">
        <v>21475</v>
      </c>
    </row>
    <row r="11494" spans="1:12" x14ac:dyDescent="0.45">
      <c r="A11494" s="12" t="s">
        <v>21465</v>
      </c>
      <c r="B11494" s="12" t="s">
        <v>32</v>
      </c>
      <c r="C11494" s="13" t="s">
        <v>33</v>
      </c>
      <c r="D11494" s="13" t="s">
        <v>83</v>
      </c>
      <c r="E11494" s="12" t="s">
        <v>35</v>
      </c>
      <c r="F11494" s="14">
        <v>180000</v>
      </c>
      <c r="G11494" s="14">
        <v>133000</v>
      </c>
      <c r="H11494" s="13" t="s">
        <v>21476</v>
      </c>
      <c r="I11494" s="40" t="s">
        <v>18</v>
      </c>
      <c r="J11494" s="40" t="str">
        <f>HYPERLINK("https://stock.pstatic.net/stock-research/company/2/20250620_company_408332000.pdf","PDF")</f>
        <v>PDF</v>
      </c>
      <c r="K11494" s="12" t="s">
        <v>21477</v>
      </c>
      <c r="L11494" s="20">
        <v>0.35338345864661652</v>
      </c>
    </row>
    <row r="11495" spans="1:12" x14ac:dyDescent="0.45">
      <c r="A11495" s="12" t="s">
        <v>21465</v>
      </c>
      <c r="B11495" s="12" t="s">
        <v>177</v>
      </c>
      <c r="C11495" s="13" t="s">
        <v>178</v>
      </c>
      <c r="D11495" s="13" t="s">
        <v>83</v>
      </c>
      <c r="E11495" s="12" t="s">
        <v>35</v>
      </c>
      <c r="F11495" s="14">
        <v>15000</v>
      </c>
      <c r="G11495" s="14">
        <v>10480</v>
      </c>
      <c r="H11495" s="13" t="s">
        <v>21478</v>
      </c>
      <c r="I11495" s="40" t="s">
        <v>18</v>
      </c>
      <c r="J11495" s="40" t="str">
        <f>HYPERLINK("https://stock.pstatic.net/stock-research/company/2/20250620_company_588778000.pdf","PDF")</f>
        <v>PDF</v>
      </c>
      <c r="K11495" s="12" t="s">
        <v>21479</v>
      </c>
      <c r="L11495" s="20">
        <v>0.43129770992366412</v>
      </c>
    </row>
    <row r="11496" spans="1:12" x14ac:dyDescent="0.45">
      <c r="A11496" s="12" t="s">
        <v>21465</v>
      </c>
      <c r="B11496" s="12" t="s">
        <v>2631</v>
      </c>
      <c r="C11496" s="13" t="s">
        <v>2632</v>
      </c>
      <c r="D11496" s="13" t="s">
        <v>83</v>
      </c>
      <c r="E11496" s="12" t="s">
        <v>50</v>
      </c>
      <c r="F11496" s="13"/>
      <c r="G11496" s="14">
        <v>18700</v>
      </c>
      <c r="H11496" s="13" t="s">
        <v>21480</v>
      </c>
      <c r="I11496" s="40" t="s">
        <v>18</v>
      </c>
      <c r="J11496" s="40" t="str">
        <f>HYPERLINK("https://stock.pstatic.net/stock-research/company/2/20250620_company_516287000.pdf","PDF")</f>
        <v>PDF</v>
      </c>
      <c r="K11496" s="12" t="s">
        <v>21481</v>
      </c>
    </row>
    <row r="11497" spans="1:12" x14ac:dyDescent="0.45">
      <c r="A11497" s="12" t="s">
        <v>21465</v>
      </c>
      <c r="B11497" s="12" t="s">
        <v>10817</v>
      </c>
      <c r="C11497" s="13" t="s">
        <v>10818</v>
      </c>
      <c r="D11497" s="13" t="s">
        <v>23</v>
      </c>
      <c r="E11497" s="12" t="s">
        <v>50</v>
      </c>
      <c r="F11497" s="13"/>
      <c r="G11497" s="14">
        <v>7660</v>
      </c>
      <c r="H11497" s="13" t="s">
        <v>21482</v>
      </c>
      <c r="I11497" s="40" t="s">
        <v>18</v>
      </c>
      <c r="J11497" s="40" t="str">
        <f>HYPERLINK("https://stock.pstatic.net/stock-research/company/21/20250620_company_243947000.pdf","PDF")</f>
        <v>PDF</v>
      </c>
      <c r="K11497" s="12" t="s">
        <v>21483</v>
      </c>
    </row>
    <row r="11498" spans="1:12" x14ac:dyDescent="0.45">
      <c r="A11498" s="12" t="s">
        <v>21465</v>
      </c>
      <c r="B11498" s="12" t="s">
        <v>5558</v>
      </c>
      <c r="C11498" s="13" t="s">
        <v>11810</v>
      </c>
      <c r="D11498" s="13" t="s">
        <v>23</v>
      </c>
      <c r="E11498" s="12" t="s">
        <v>50</v>
      </c>
      <c r="F11498" s="13"/>
      <c r="G11498" s="14">
        <v>20700</v>
      </c>
      <c r="H11498" s="13" t="s">
        <v>21484</v>
      </c>
      <c r="I11498" s="40" t="s">
        <v>18</v>
      </c>
      <c r="J11498" s="40" t="str">
        <f>HYPERLINK("https://stock.pstatic.net/stock-research/company/21/20250620_company_747446000.pdf","PDF")</f>
        <v>PDF</v>
      </c>
      <c r="K11498" s="12" t="s">
        <v>21485</v>
      </c>
    </row>
    <row r="11499" spans="1:12" x14ac:dyDescent="0.45">
      <c r="A11499" s="12" t="s">
        <v>21465</v>
      </c>
      <c r="B11499" s="12" t="s">
        <v>10572</v>
      </c>
      <c r="C11499" s="13" t="s">
        <v>10573</v>
      </c>
      <c r="D11499" s="13" t="s">
        <v>44</v>
      </c>
      <c r="E11499" s="12" t="s">
        <v>50</v>
      </c>
      <c r="F11499" s="13"/>
      <c r="G11499" s="14">
        <v>9160</v>
      </c>
      <c r="H11499" s="13" t="s">
        <v>21486</v>
      </c>
      <c r="I11499" s="40" t="s">
        <v>18</v>
      </c>
      <c r="J11499" s="40" t="str">
        <f>HYPERLINK("https://stock.pstatic.net/stock-research/company/39/20250620_company_104562000.pdf","PDF")</f>
        <v>PDF</v>
      </c>
      <c r="K11499" s="12" t="s">
        <v>21487</v>
      </c>
    </row>
    <row r="11500" spans="1:12" x14ac:dyDescent="0.45">
      <c r="A11500" s="12" t="s">
        <v>21465</v>
      </c>
      <c r="B11500" s="12" t="s">
        <v>10929</v>
      </c>
      <c r="C11500" s="13" t="s">
        <v>10930</v>
      </c>
      <c r="D11500" s="13" t="s">
        <v>44</v>
      </c>
      <c r="E11500" s="12" t="s">
        <v>50</v>
      </c>
      <c r="F11500" s="13"/>
      <c r="G11500" s="14">
        <v>6810</v>
      </c>
      <c r="H11500" s="13" t="s">
        <v>21488</v>
      </c>
      <c r="I11500" s="40" t="s">
        <v>18</v>
      </c>
      <c r="J11500" s="40" t="str">
        <f>HYPERLINK("https://stock.pstatic.net/stock-research/company/39/20250620_company_231131000.pdf","PDF")</f>
        <v>PDF</v>
      </c>
      <c r="K11500" s="12" t="s">
        <v>21489</v>
      </c>
    </row>
    <row r="11501" spans="1:12" x14ac:dyDescent="0.45">
      <c r="A11501" s="12" t="s">
        <v>21465</v>
      </c>
      <c r="B11501" s="12" t="s">
        <v>6593</v>
      </c>
      <c r="C11501" s="13" t="s">
        <v>21490</v>
      </c>
      <c r="D11501" s="13" t="s">
        <v>44</v>
      </c>
      <c r="E11501" s="12" t="s">
        <v>50</v>
      </c>
      <c r="F11501" s="13"/>
      <c r="G11501" s="14">
        <v>13100</v>
      </c>
      <c r="H11501" s="13" t="s">
        <v>21491</v>
      </c>
      <c r="I11501" s="40" t="s">
        <v>18</v>
      </c>
      <c r="J11501" s="40" t="str">
        <f>HYPERLINK("https://stock.pstatic.net/stock-research/company/39/20250620_company_617839000.pdf","PDF")</f>
        <v>PDF</v>
      </c>
      <c r="K11501" s="12" t="s">
        <v>21492</v>
      </c>
    </row>
    <row r="11502" spans="1:12" x14ac:dyDescent="0.45">
      <c r="A11502" s="12" t="s">
        <v>21465</v>
      </c>
      <c r="B11502" s="12" t="s">
        <v>10629</v>
      </c>
      <c r="C11502" s="13" t="s">
        <v>10630</v>
      </c>
      <c r="D11502" s="13" t="s">
        <v>44</v>
      </c>
      <c r="E11502" s="12" t="s">
        <v>50</v>
      </c>
      <c r="F11502" s="13"/>
      <c r="G11502" s="14">
        <v>7910</v>
      </c>
      <c r="H11502" s="13" t="s">
        <v>21493</v>
      </c>
      <c r="I11502" s="40" t="s">
        <v>18</v>
      </c>
      <c r="J11502" s="40" t="str">
        <f>HYPERLINK("https://stock.pstatic.net/stock-research/company/39/20250620_company_389771000.pdf","PDF")</f>
        <v>PDF</v>
      </c>
      <c r="K11502" s="12" t="s">
        <v>21494</v>
      </c>
    </row>
    <row r="11503" spans="1:12" x14ac:dyDescent="0.45">
      <c r="A11503" s="12" t="s">
        <v>21465</v>
      </c>
      <c r="B11503" s="12" t="s">
        <v>2191</v>
      </c>
      <c r="C11503" s="13" t="s">
        <v>2192</v>
      </c>
      <c r="D11503" s="13" t="s">
        <v>44</v>
      </c>
      <c r="E11503" s="12" t="s">
        <v>35</v>
      </c>
      <c r="F11503" s="14">
        <v>85000</v>
      </c>
      <c r="G11503" s="14">
        <v>59200</v>
      </c>
      <c r="H11503" s="13" t="s">
        <v>21495</v>
      </c>
      <c r="I11503" s="40" t="s">
        <v>18</v>
      </c>
      <c r="J11503" s="40" t="str">
        <f>HYPERLINK("https://stock.pstatic.net/stock-research/company/39/20250620_company_157078000.pdf","PDF")</f>
        <v>PDF</v>
      </c>
      <c r="K11503" s="12" t="s">
        <v>21496</v>
      </c>
      <c r="L11503" s="20">
        <v>0.4358108108108108</v>
      </c>
    </row>
    <row r="11504" spans="1:12" x14ac:dyDescent="0.45">
      <c r="A11504" s="12" t="s">
        <v>21465</v>
      </c>
      <c r="B11504" s="12" t="s">
        <v>16349</v>
      </c>
      <c r="C11504" s="13" t="s">
        <v>16350</v>
      </c>
      <c r="D11504" s="13" t="s">
        <v>53</v>
      </c>
      <c r="E11504" s="12" t="s">
        <v>16</v>
      </c>
      <c r="F11504" s="14">
        <v>58000</v>
      </c>
      <c r="G11504" s="14">
        <v>36650</v>
      </c>
      <c r="H11504" s="13" t="s">
        <v>21497</v>
      </c>
      <c r="I11504" s="40" t="s">
        <v>18</v>
      </c>
      <c r="J11504" s="40" t="str">
        <f>HYPERLINK("https://stock.pstatic.net/stock-research/company/40/20250620_company_605446000.pdf","PDF")</f>
        <v>PDF</v>
      </c>
      <c r="K11504" s="12" t="s">
        <v>21498</v>
      </c>
      <c r="L11504" s="20">
        <v>0.582537517053206</v>
      </c>
    </row>
    <row r="11505" spans="1:12" x14ac:dyDescent="0.45">
      <c r="A11505" s="12" t="s">
        <v>21465</v>
      </c>
      <c r="B11505" s="12" t="s">
        <v>21499</v>
      </c>
      <c r="C11505" s="13" t="s">
        <v>21500</v>
      </c>
      <c r="D11505" s="13" t="s">
        <v>207</v>
      </c>
      <c r="E11505" s="12" t="s">
        <v>50</v>
      </c>
      <c r="F11505" s="13"/>
      <c r="G11505" s="13"/>
      <c r="H11505" s="13" t="s">
        <v>21501</v>
      </c>
      <c r="I11505" s="40" t="s">
        <v>18</v>
      </c>
      <c r="J11505" s="40" t="str">
        <f>HYPERLINK("https://stock.pstatic.net/stock-research/company/75/20250620_company_561331000.pdf","PDF")</f>
        <v>PDF</v>
      </c>
      <c r="K11505" s="12" t="s">
        <v>21502</v>
      </c>
    </row>
    <row r="11506" spans="1:12" x14ac:dyDescent="0.45">
      <c r="A11506" s="12" t="s">
        <v>21465</v>
      </c>
      <c r="B11506" s="12" t="s">
        <v>21503</v>
      </c>
      <c r="C11506" s="13" t="s">
        <v>21504</v>
      </c>
      <c r="D11506" s="13" t="s">
        <v>207</v>
      </c>
      <c r="E11506" s="12" t="s">
        <v>50</v>
      </c>
      <c r="F11506" s="13"/>
      <c r="G11506" s="13"/>
      <c r="H11506" s="13" t="s">
        <v>21505</v>
      </c>
      <c r="I11506" s="40" t="s">
        <v>18</v>
      </c>
      <c r="J11506" s="40" t="str">
        <f>HYPERLINK("https://stock.pstatic.net/stock-research/company/75/20250620_company_350618000.pdf","PDF")</f>
        <v>PDF</v>
      </c>
      <c r="K11506" s="12" t="s">
        <v>21506</v>
      </c>
    </row>
    <row r="11507" spans="1:12" x14ac:dyDescent="0.45">
      <c r="A11507" s="12" t="s">
        <v>21465</v>
      </c>
      <c r="B11507" s="12" t="s">
        <v>21507</v>
      </c>
      <c r="C11507" s="13" t="s">
        <v>21508</v>
      </c>
      <c r="D11507" s="13" t="s">
        <v>11154</v>
      </c>
      <c r="E11507" s="12" t="s">
        <v>50</v>
      </c>
      <c r="F11507" s="13"/>
      <c r="G11507" s="13"/>
      <c r="H11507" s="13" t="s">
        <v>21509</v>
      </c>
      <c r="I11507" s="40" t="s">
        <v>18</v>
      </c>
      <c r="J11507" s="40" t="str">
        <f>HYPERLINK("https://stock.pstatic.net/stock-research/company/79/20250620_company_6005000.pdf","PDF")</f>
        <v>PDF</v>
      </c>
      <c r="K11507" s="12" t="s">
        <v>21510</v>
      </c>
    </row>
    <row r="11508" spans="1:12" x14ac:dyDescent="0.45">
      <c r="A11508" s="12" t="s">
        <v>21465</v>
      </c>
      <c r="B11508" s="12" t="s">
        <v>21511</v>
      </c>
      <c r="C11508" s="13" t="s">
        <v>21512</v>
      </c>
      <c r="D11508" s="13" t="s">
        <v>11154</v>
      </c>
      <c r="E11508" s="12" t="s">
        <v>50</v>
      </c>
      <c r="F11508" s="13"/>
      <c r="G11508" s="13"/>
      <c r="H11508" s="13" t="s">
        <v>21513</v>
      </c>
      <c r="I11508" s="40" t="s">
        <v>18</v>
      </c>
      <c r="J11508" s="40" t="str">
        <f>HYPERLINK("https://stock.pstatic.net/stock-research/company/79/20250620_company_49518000.pdf","PDF")</f>
        <v>PDF</v>
      </c>
      <c r="K11508" s="12" t="s">
        <v>21514</v>
      </c>
    </row>
    <row r="11509" spans="1:12" x14ac:dyDescent="0.45">
      <c r="A11509" s="12" t="s">
        <v>21465</v>
      </c>
      <c r="B11509" s="12" t="s">
        <v>21515</v>
      </c>
      <c r="C11509" s="13" t="s">
        <v>21516</v>
      </c>
      <c r="D11509" s="13" t="s">
        <v>11154</v>
      </c>
      <c r="E11509" s="12" t="s">
        <v>50</v>
      </c>
      <c r="F11509" s="13"/>
      <c r="G11509" s="13"/>
      <c r="H11509" s="13" t="s">
        <v>21517</v>
      </c>
      <c r="I11509" s="40" t="s">
        <v>18</v>
      </c>
      <c r="J11509" s="40" t="str">
        <f>HYPERLINK("https://stock.pstatic.net/stock-research/company/79/20250620_company_239625000.pdf","PDF")</f>
        <v>PDF</v>
      </c>
      <c r="K11509" s="12" t="s">
        <v>21518</v>
      </c>
    </row>
    <row r="11510" spans="1:12" x14ac:dyDescent="0.45">
      <c r="A11510" s="12" t="s">
        <v>21465</v>
      </c>
      <c r="B11510" s="12" t="s">
        <v>21519</v>
      </c>
      <c r="C11510" s="13" t="s">
        <v>21520</v>
      </c>
      <c r="D11510" s="13" t="s">
        <v>202</v>
      </c>
      <c r="E11510" s="12" t="s">
        <v>50</v>
      </c>
      <c r="F11510" s="13"/>
      <c r="G11510" s="13"/>
      <c r="H11510" s="13" t="s">
        <v>21521</v>
      </c>
      <c r="I11510" s="40" t="s">
        <v>18</v>
      </c>
      <c r="J11510" s="40" t="str">
        <f>HYPERLINK("https://stock.pstatic.net/stock-research/company/69/20250620_company_692686000.pdf","PDF")</f>
        <v>PDF</v>
      </c>
      <c r="K11510" s="12" t="s">
        <v>21522</v>
      </c>
    </row>
    <row r="11511" spans="1:12" x14ac:dyDescent="0.45">
      <c r="A11511" s="12" t="s">
        <v>21465</v>
      </c>
      <c r="B11511" s="12" t="s">
        <v>21523</v>
      </c>
      <c r="C11511" s="13" t="s">
        <v>21524</v>
      </c>
      <c r="D11511" s="13" t="s">
        <v>202</v>
      </c>
      <c r="E11511" s="12" t="s">
        <v>50</v>
      </c>
      <c r="F11511" s="13"/>
      <c r="G11511" s="13"/>
      <c r="H11511" s="13" t="s">
        <v>21525</v>
      </c>
      <c r="I11511" s="40" t="s">
        <v>18</v>
      </c>
      <c r="J11511" s="40" t="str">
        <f>HYPERLINK("https://stock.pstatic.net/stock-research/company/69/20250620_company_120545000.pdf","PDF")</f>
        <v>PDF</v>
      </c>
      <c r="K11511" s="12" t="s">
        <v>21526</v>
      </c>
    </row>
    <row r="11512" spans="1:12" x14ac:dyDescent="0.45">
      <c r="A11512" s="12" t="s">
        <v>21527</v>
      </c>
      <c r="B11512" s="12" t="s">
        <v>21528</v>
      </c>
      <c r="C11512" s="13" t="s">
        <v>21529</v>
      </c>
      <c r="D11512" s="13" t="s">
        <v>15</v>
      </c>
      <c r="E11512" s="12" t="s">
        <v>50</v>
      </c>
      <c r="F11512" s="13"/>
      <c r="G11512" s="14">
        <v>9580</v>
      </c>
      <c r="H11512" s="13" t="s">
        <v>21530</v>
      </c>
      <c r="I11512" s="40" t="s">
        <v>18</v>
      </c>
      <c r="J11512" s="40" t="str">
        <f>HYPERLINK("https://stock.pstatic.net/stock-research/company/1/20250619_company_730850000.pdf","PDF")</f>
        <v>PDF</v>
      </c>
      <c r="K11512" s="12" t="s">
        <v>21531</v>
      </c>
    </row>
    <row r="11513" spans="1:12" x14ac:dyDescent="0.45">
      <c r="A11513" s="12" t="s">
        <v>21527</v>
      </c>
      <c r="B11513" s="12" t="s">
        <v>511</v>
      </c>
      <c r="C11513" s="13" t="s">
        <v>512</v>
      </c>
      <c r="D11513" s="13" t="s">
        <v>65</v>
      </c>
      <c r="E11513" s="12" t="s">
        <v>35</v>
      </c>
      <c r="F11513" s="14">
        <v>130000</v>
      </c>
      <c r="G11513" s="14">
        <v>84900</v>
      </c>
      <c r="H11513" s="13" t="s">
        <v>21532</v>
      </c>
      <c r="I11513" s="40" t="s">
        <v>18</v>
      </c>
      <c r="J11513" s="40" t="str">
        <f>HYPERLINK("https://stock.pstatic.net/stock-research/company/57/20250619_company_266960000.pdf","PDF")</f>
        <v>PDF</v>
      </c>
      <c r="K11513" s="12" t="s">
        <v>21533</v>
      </c>
      <c r="L11513" s="20">
        <v>0.53121319199057715</v>
      </c>
    </row>
    <row r="11514" spans="1:12" x14ac:dyDescent="0.45">
      <c r="A11514" s="12" t="s">
        <v>21527</v>
      </c>
      <c r="B11514" s="12" t="s">
        <v>1690</v>
      </c>
      <c r="C11514" s="13" t="s">
        <v>1691</v>
      </c>
      <c r="D11514" s="13" t="s">
        <v>65</v>
      </c>
      <c r="E11514" s="12" t="s">
        <v>1738</v>
      </c>
      <c r="F11514" s="14">
        <v>120000</v>
      </c>
      <c r="G11514" s="14">
        <v>101100</v>
      </c>
      <c r="H11514" s="13" t="s">
        <v>21534</v>
      </c>
      <c r="I11514" s="40" t="s">
        <v>18</v>
      </c>
      <c r="J11514" s="40" t="str">
        <f>HYPERLINK("https://stock.pstatic.net/stock-research/company/57/20250619_company_145432000.pdf","PDF")</f>
        <v>PDF</v>
      </c>
      <c r="K11514" s="12" t="s">
        <v>21535</v>
      </c>
      <c r="L11514" s="20">
        <v>0.1869436201780415</v>
      </c>
    </row>
    <row r="11515" spans="1:12" x14ac:dyDescent="0.45">
      <c r="A11515" s="12" t="s">
        <v>21527</v>
      </c>
      <c r="B11515" s="12" t="s">
        <v>3373</v>
      </c>
      <c r="C11515" s="13" t="s">
        <v>3374</v>
      </c>
      <c r="D11515" s="13" t="s">
        <v>65</v>
      </c>
      <c r="E11515" s="12" t="s">
        <v>35</v>
      </c>
      <c r="F11515" s="14">
        <v>135000</v>
      </c>
      <c r="G11515" s="14">
        <v>107000</v>
      </c>
      <c r="H11515" s="13" t="s">
        <v>21536</v>
      </c>
      <c r="I11515" s="40" t="s">
        <v>18</v>
      </c>
      <c r="J11515" s="40" t="str">
        <f>HYPERLINK("https://stock.pstatic.net/stock-research/company/57/20250619_company_972209000.pdf","PDF")</f>
        <v>PDF</v>
      </c>
      <c r="K11515" s="12" t="s">
        <v>21537</v>
      </c>
      <c r="L11515" s="20">
        <v>0.26168224299065418</v>
      </c>
    </row>
    <row r="11516" spans="1:12" x14ac:dyDescent="0.45">
      <c r="A11516" s="12" t="s">
        <v>21527</v>
      </c>
      <c r="B11516" s="12" t="s">
        <v>4567</v>
      </c>
      <c r="C11516" s="13" t="s">
        <v>4568</v>
      </c>
      <c r="D11516" s="13" t="s">
        <v>65</v>
      </c>
      <c r="E11516" s="12" t="s">
        <v>35</v>
      </c>
      <c r="F11516" s="14">
        <v>20000</v>
      </c>
      <c r="G11516" s="14">
        <v>15810</v>
      </c>
      <c r="H11516" s="13" t="s">
        <v>21538</v>
      </c>
      <c r="I11516" s="40" t="s">
        <v>18</v>
      </c>
      <c r="J11516" s="40" t="str">
        <f>HYPERLINK("https://stock.pstatic.net/stock-research/company/57/20250619_company_429133000.pdf","PDF")</f>
        <v>PDF</v>
      </c>
      <c r="K11516" s="12" t="s">
        <v>21539</v>
      </c>
      <c r="L11516" s="20">
        <v>0.26502213788741302</v>
      </c>
    </row>
    <row r="11517" spans="1:12" x14ac:dyDescent="0.45">
      <c r="A11517" s="12" t="s">
        <v>21527</v>
      </c>
      <c r="B11517" s="12" t="s">
        <v>1308</v>
      </c>
      <c r="C11517" s="13" t="s">
        <v>1309</v>
      </c>
      <c r="D11517" s="13" t="s">
        <v>65</v>
      </c>
      <c r="E11517" s="12" t="s">
        <v>35</v>
      </c>
      <c r="F11517" s="14">
        <v>540000</v>
      </c>
      <c r="G11517" s="14">
        <v>389500</v>
      </c>
      <c r="H11517" s="13" t="s">
        <v>21540</v>
      </c>
      <c r="I11517" s="40" t="s">
        <v>18</v>
      </c>
      <c r="J11517" s="40" t="str">
        <f>HYPERLINK("https://stock.pstatic.net/stock-research/company/57/20250619_company_257560000.pdf","PDF")</f>
        <v>PDF</v>
      </c>
      <c r="K11517" s="12" t="s">
        <v>21541</v>
      </c>
      <c r="L11517" s="20">
        <v>0.38639281129653402</v>
      </c>
    </row>
    <row r="11518" spans="1:12" x14ac:dyDescent="0.45">
      <c r="A11518" s="12" t="s">
        <v>21527</v>
      </c>
      <c r="B11518" s="12" t="s">
        <v>1019</v>
      </c>
      <c r="C11518" s="13" t="s">
        <v>1020</v>
      </c>
      <c r="D11518" s="13" t="s">
        <v>65</v>
      </c>
      <c r="E11518" s="12" t="s">
        <v>35</v>
      </c>
      <c r="F11518" s="14">
        <v>19000</v>
      </c>
      <c r="G11518" s="14">
        <v>15400</v>
      </c>
      <c r="H11518" s="13" t="s">
        <v>21542</v>
      </c>
      <c r="I11518" s="40" t="s">
        <v>18</v>
      </c>
      <c r="J11518" s="40" t="str">
        <f>HYPERLINK("https://stock.pstatic.net/stock-research/company/57/20250619_company_154658000.pdf","PDF")</f>
        <v>PDF</v>
      </c>
      <c r="K11518" s="12" t="s">
        <v>21543</v>
      </c>
      <c r="L11518" s="20">
        <v>0.23376623376623379</v>
      </c>
    </row>
    <row r="11519" spans="1:12" x14ac:dyDescent="0.45">
      <c r="A11519" s="12" t="s">
        <v>21527</v>
      </c>
      <c r="B11519" s="12" t="s">
        <v>5767</v>
      </c>
      <c r="C11519" s="13" t="s">
        <v>5768</v>
      </c>
      <c r="D11519" s="13" t="s">
        <v>57</v>
      </c>
      <c r="E11519" s="12" t="s">
        <v>35</v>
      </c>
      <c r="F11519" s="14">
        <v>35000</v>
      </c>
      <c r="G11519" s="14">
        <v>32300</v>
      </c>
      <c r="H11519" s="13" t="s">
        <v>21544</v>
      </c>
      <c r="I11519" s="40" t="s">
        <v>18</v>
      </c>
      <c r="J11519" s="40" t="str">
        <f>HYPERLINK("https://stock.pstatic.net/stock-research/company/16/20250619_company_9562000.pdf","PDF")</f>
        <v>PDF</v>
      </c>
      <c r="K11519" s="12" t="s">
        <v>21545</v>
      </c>
      <c r="L11519" s="20">
        <v>8.3591331269349839E-2</v>
      </c>
    </row>
    <row r="11520" spans="1:12" x14ac:dyDescent="0.45">
      <c r="A11520" s="12" t="s">
        <v>21527</v>
      </c>
      <c r="B11520" s="12" t="s">
        <v>10987</v>
      </c>
      <c r="C11520" s="13" t="s">
        <v>10988</v>
      </c>
      <c r="D11520" s="13" t="s">
        <v>57</v>
      </c>
      <c r="E11520" s="12" t="s">
        <v>50</v>
      </c>
      <c r="F11520" s="13"/>
      <c r="G11520" s="14">
        <v>4095</v>
      </c>
      <c r="H11520" s="13" t="s">
        <v>21546</v>
      </c>
      <c r="I11520" s="40" t="s">
        <v>18</v>
      </c>
      <c r="J11520" s="40" t="str">
        <f>HYPERLINK("https://stock.pstatic.net/stock-research/company/16/20250619_company_48400000.pdf","PDF")</f>
        <v>PDF</v>
      </c>
      <c r="K11520" s="12" t="s">
        <v>21547</v>
      </c>
    </row>
    <row r="11521" spans="1:12" x14ac:dyDescent="0.45">
      <c r="A11521" s="12" t="s">
        <v>21527</v>
      </c>
      <c r="B11521" s="12" t="s">
        <v>2758</v>
      </c>
      <c r="C11521" s="13" t="s">
        <v>2759</v>
      </c>
      <c r="D11521" s="13" t="s">
        <v>158</v>
      </c>
      <c r="E11521" s="12" t="s">
        <v>35</v>
      </c>
      <c r="F11521" s="14">
        <v>440000</v>
      </c>
      <c r="G11521" s="14">
        <v>259000</v>
      </c>
      <c r="H11521" s="13" t="s">
        <v>21548</v>
      </c>
      <c r="I11521" s="40" t="s">
        <v>18</v>
      </c>
      <c r="J11521" s="40" t="str">
        <f>HYPERLINK("https://stock.pstatic.net/stock-research/company/18/20250619_company_633146000.pdf","PDF")</f>
        <v>PDF</v>
      </c>
      <c r="K11521" s="12" t="s">
        <v>21549</v>
      </c>
      <c r="L11521" s="20">
        <v>0.69884169884169889</v>
      </c>
    </row>
    <row r="11522" spans="1:12" x14ac:dyDescent="0.45">
      <c r="A11522" s="12" t="s">
        <v>21527</v>
      </c>
      <c r="B11522" s="12" t="s">
        <v>1781</v>
      </c>
      <c r="C11522" s="13" t="s">
        <v>1782</v>
      </c>
      <c r="D11522" s="13" t="s">
        <v>83</v>
      </c>
      <c r="E11522" s="12" t="s">
        <v>35</v>
      </c>
      <c r="F11522" s="14">
        <v>115000</v>
      </c>
      <c r="G11522" s="14">
        <v>73800</v>
      </c>
      <c r="H11522" s="13" t="s">
        <v>21550</v>
      </c>
      <c r="I11522" s="40" t="s">
        <v>18</v>
      </c>
      <c r="J11522" s="40" t="str">
        <f>HYPERLINK("https://stock.pstatic.net/stock-research/company/2/20250619_company_605890000.pdf","PDF")</f>
        <v>PDF</v>
      </c>
      <c r="K11522" s="12" t="s">
        <v>21551</v>
      </c>
      <c r="L11522" s="20">
        <v>0.5582655826558266</v>
      </c>
    </row>
    <row r="11523" spans="1:12" x14ac:dyDescent="0.45">
      <c r="A11523" s="12" t="s">
        <v>21527</v>
      </c>
      <c r="B11523" s="12" t="s">
        <v>21552</v>
      </c>
      <c r="C11523" s="13" t="s">
        <v>21553</v>
      </c>
      <c r="D11523" s="13" t="s">
        <v>92</v>
      </c>
      <c r="E11523" s="12" t="s">
        <v>50</v>
      </c>
      <c r="F11523" s="13"/>
      <c r="G11523" s="14">
        <v>7760</v>
      </c>
      <c r="H11523" s="13" t="s">
        <v>21554</v>
      </c>
      <c r="I11523" s="40" t="s">
        <v>18</v>
      </c>
      <c r="J11523" s="40" t="str">
        <f>HYPERLINK("https://stock.pstatic.net/stock-research/company/63/20250619_company_551222000.pdf","PDF")</f>
        <v>PDF</v>
      </c>
      <c r="K11523" s="12" t="s">
        <v>21555</v>
      </c>
    </row>
    <row r="11524" spans="1:12" x14ac:dyDescent="0.45">
      <c r="A11524" s="12" t="s">
        <v>21527</v>
      </c>
      <c r="B11524" s="12" t="s">
        <v>10715</v>
      </c>
      <c r="C11524" s="13" t="s">
        <v>10716</v>
      </c>
      <c r="D11524" s="13" t="s">
        <v>23</v>
      </c>
      <c r="E11524" s="12" t="s">
        <v>50</v>
      </c>
      <c r="F11524" s="13"/>
      <c r="G11524" s="14">
        <v>6000</v>
      </c>
      <c r="H11524" s="13" t="s">
        <v>21556</v>
      </c>
      <c r="I11524" s="40" t="s">
        <v>18</v>
      </c>
      <c r="J11524" s="40" t="str">
        <f>HYPERLINK("https://stock.pstatic.net/stock-research/company/21/20250619_company_715179000.pdf","PDF")</f>
        <v>PDF</v>
      </c>
      <c r="K11524" s="12" t="s">
        <v>21557</v>
      </c>
    </row>
    <row r="11525" spans="1:12" x14ac:dyDescent="0.45">
      <c r="A11525" s="12" t="s">
        <v>21527</v>
      </c>
      <c r="B11525" s="12" t="s">
        <v>5036</v>
      </c>
      <c r="C11525" s="13" t="s">
        <v>5037</v>
      </c>
      <c r="D11525" s="13" t="s">
        <v>23</v>
      </c>
      <c r="E11525" s="12" t="s">
        <v>50</v>
      </c>
      <c r="F11525" s="13"/>
      <c r="G11525" s="14">
        <v>3620</v>
      </c>
      <c r="H11525" s="13" t="s">
        <v>21558</v>
      </c>
      <c r="I11525" s="40" t="s">
        <v>18</v>
      </c>
      <c r="J11525" s="40" t="str">
        <f>HYPERLINK("https://stock.pstatic.net/stock-research/company/21/20250619_company_866231000.pdf","PDF")</f>
        <v>PDF</v>
      </c>
      <c r="K11525" s="12" t="s">
        <v>21559</v>
      </c>
    </row>
    <row r="11526" spans="1:12" x14ac:dyDescent="0.45">
      <c r="A11526" s="12" t="s">
        <v>21527</v>
      </c>
      <c r="B11526" s="12" t="s">
        <v>11015</v>
      </c>
      <c r="C11526" s="13" t="s">
        <v>11016</v>
      </c>
      <c r="D11526" s="13" t="s">
        <v>44</v>
      </c>
      <c r="E11526" s="12" t="s">
        <v>50</v>
      </c>
      <c r="F11526" s="13"/>
      <c r="G11526" s="14">
        <v>36500</v>
      </c>
      <c r="H11526" s="13" t="s">
        <v>21560</v>
      </c>
      <c r="I11526" s="40" t="s">
        <v>18</v>
      </c>
      <c r="J11526" s="40" t="str">
        <f>HYPERLINK("https://stock.pstatic.net/stock-research/company/39/20250619_company_446384000.pdf","PDF")</f>
        <v>PDF</v>
      </c>
      <c r="K11526" s="12" t="s">
        <v>21561</v>
      </c>
    </row>
    <row r="11527" spans="1:12" x14ac:dyDescent="0.45">
      <c r="A11527" s="12" t="s">
        <v>21527</v>
      </c>
      <c r="B11527" s="12" t="s">
        <v>10568</v>
      </c>
      <c r="C11527" s="13" t="s">
        <v>10569</v>
      </c>
      <c r="D11527" s="13" t="s">
        <v>44</v>
      </c>
      <c r="E11527" s="12" t="s">
        <v>50</v>
      </c>
      <c r="F11527" s="13"/>
      <c r="G11527" s="14">
        <v>8080</v>
      </c>
      <c r="H11527" s="13" t="s">
        <v>21562</v>
      </c>
      <c r="I11527" s="40" t="s">
        <v>18</v>
      </c>
      <c r="J11527" s="40" t="str">
        <f>HYPERLINK("https://stock.pstatic.net/stock-research/company/39/20250619_company_304417000.pdf","PDF")</f>
        <v>PDF</v>
      </c>
      <c r="K11527" s="12" t="s">
        <v>21563</v>
      </c>
    </row>
    <row r="11528" spans="1:12" x14ac:dyDescent="0.45">
      <c r="A11528" s="12" t="s">
        <v>21527</v>
      </c>
      <c r="B11528" s="12" t="s">
        <v>6045</v>
      </c>
      <c r="C11528" s="13" t="s">
        <v>6046</v>
      </c>
      <c r="D11528" s="13" t="s">
        <v>44</v>
      </c>
      <c r="E11528" s="12" t="s">
        <v>50</v>
      </c>
      <c r="F11528" s="13"/>
      <c r="G11528" s="14">
        <v>8140</v>
      </c>
      <c r="H11528" s="13" t="s">
        <v>21564</v>
      </c>
      <c r="I11528" s="40" t="s">
        <v>18</v>
      </c>
      <c r="J11528" s="40" t="str">
        <f>HYPERLINK("https://stock.pstatic.net/stock-research/company/39/20250619_company_860071000.pdf","PDF")</f>
        <v>PDF</v>
      </c>
      <c r="K11528" s="12" t="s">
        <v>21565</v>
      </c>
    </row>
    <row r="11529" spans="1:12" x14ac:dyDescent="0.45">
      <c r="A11529" s="12" t="s">
        <v>21527</v>
      </c>
      <c r="B11529" s="12" t="s">
        <v>21566</v>
      </c>
      <c r="C11529" s="13" t="s">
        <v>21567</v>
      </c>
      <c r="D11529" s="13" t="s">
        <v>124</v>
      </c>
      <c r="E11529" s="12" t="s">
        <v>50</v>
      </c>
      <c r="F11529" s="13"/>
      <c r="G11529" s="13"/>
      <c r="H11529" s="13" t="s">
        <v>21568</v>
      </c>
      <c r="I11529" s="40" t="s">
        <v>18</v>
      </c>
      <c r="J11529" s="40" t="str">
        <f>HYPERLINK("https://stock.pstatic.net/stock-research/company/74/20250619_company_847966000.pdf","PDF")</f>
        <v>PDF</v>
      </c>
      <c r="K11529" s="12" t="s">
        <v>21569</v>
      </c>
    </row>
    <row r="11530" spans="1:12" x14ac:dyDescent="0.45">
      <c r="A11530" s="12" t="s">
        <v>21527</v>
      </c>
      <c r="B11530" s="12" t="s">
        <v>3036</v>
      </c>
      <c r="C11530" s="13" t="s">
        <v>4380</v>
      </c>
      <c r="D11530" s="13" t="s">
        <v>124</v>
      </c>
      <c r="E11530" s="12" t="s">
        <v>50</v>
      </c>
      <c r="F11530" s="13"/>
      <c r="G11530" s="13"/>
      <c r="H11530" s="13" t="s">
        <v>21570</v>
      </c>
      <c r="I11530" s="40" t="s">
        <v>18</v>
      </c>
      <c r="J11530" s="40" t="str">
        <f>HYPERLINK("https://stock.pstatic.net/stock-research/company/1/20250619_company_377714000.pdf","PDF")</f>
        <v>PDF</v>
      </c>
      <c r="K11530" s="12" t="s">
        <v>21571</v>
      </c>
    </row>
    <row r="11531" spans="1:12" x14ac:dyDescent="0.45">
      <c r="A11531" s="12" t="s">
        <v>21572</v>
      </c>
      <c r="B11531" s="12" t="s">
        <v>740</v>
      </c>
      <c r="C11531" s="13" t="s">
        <v>741</v>
      </c>
      <c r="D11531" s="13" t="s">
        <v>83</v>
      </c>
      <c r="E11531" s="12" t="s">
        <v>35</v>
      </c>
      <c r="F11531" s="14">
        <v>220000</v>
      </c>
      <c r="G11531" s="14">
        <v>143800</v>
      </c>
      <c r="H11531" s="13" t="s">
        <v>21573</v>
      </c>
      <c r="I11531" s="40" t="s">
        <v>18</v>
      </c>
      <c r="J11531" s="40" t="str">
        <f>HYPERLINK("https://stock.pstatic.net/stock-research/company/2/20250618_company_487923000.pdf","PDF")</f>
        <v>PDF</v>
      </c>
      <c r="K11531" s="12" t="s">
        <v>21574</v>
      </c>
      <c r="L11531" s="20">
        <v>0.5299026425591099</v>
      </c>
    </row>
    <row r="11532" spans="1:12" x14ac:dyDescent="0.45">
      <c r="A11532" s="12" t="s">
        <v>21572</v>
      </c>
      <c r="B11532" s="12" t="s">
        <v>13</v>
      </c>
      <c r="C11532" s="13" t="s">
        <v>14</v>
      </c>
      <c r="D11532" s="13" t="s">
        <v>83</v>
      </c>
      <c r="E11532" s="12" t="s">
        <v>35</v>
      </c>
      <c r="F11532" s="14">
        <v>74000</v>
      </c>
      <c r="G11532" s="14">
        <v>58100</v>
      </c>
      <c r="H11532" s="13" t="s">
        <v>21575</v>
      </c>
      <c r="I11532" s="40" t="s">
        <v>18</v>
      </c>
      <c r="J11532" s="40" t="str">
        <f>HYPERLINK("https://stock.pstatic.net/stock-research/company/2/20250618_company_435652000.pdf","PDF")</f>
        <v>PDF</v>
      </c>
      <c r="K11532" s="12" t="s">
        <v>21576</v>
      </c>
      <c r="L11532" s="20">
        <v>0.27366609294320138</v>
      </c>
    </row>
    <row r="11533" spans="1:12" x14ac:dyDescent="0.45">
      <c r="A11533" s="12" t="s">
        <v>21572</v>
      </c>
      <c r="B11533" s="12" t="s">
        <v>334</v>
      </c>
      <c r="C11533" s="13" t="s">
        <v>335</v>
      </c>
      <c r="D11533" s="13" t="s">
        <v>83</v>
      </c>
      <c r="E11533" s="12" t="s">
        <v>35</v>
      </c>
      <c r="F11533" s="14">
        <v>300000</v>
      </c>
      <c r="G11533" s="14">
        <v>249000</v>
      </c>
      <c r="H11533" s="13" t="s">
        <v>21577</v>
      </c>
      <c r="I11533" s="40" t="s">
        <v>18</v>
      </c>
      <c r="J11533" s="40" t="str">
        <f>HYPERLINK("https://stock.pstatic.net/stock-research/company/2/20250618_company_691745000.pdf","PDF")</f>
        <v>PDF</v>
      </c>
      <c r="K11533" s="12" t="s">
        <v>21578</v>
      </c>
      <c r="L11533" s="20">
        <v>0.2048192771084337</v>
      </c>
    </row>
    <row r="11534" spans="1:12" x14ac:dyDescent="0.45">
      <c r="A11534" s="12" t="s">
        <v>21572</v>
      </c>
      <c r="B11534" s="12" t="s">
        <v>15008</v>
      </c>
      <c r="C11534" s="13" t="s">
        <v>15009</v>
      </c>
      <c r="D11534" s="13" t="s">
        <v>15</v>
      </c>
      <c r="E11534" s="12" t="s">
        <v>50</v>
      </c>
      <c r="F11534" s="13"/>
      <c r="G11534" s="14">
        <v>1201</v>
      </c>
      <c r="H11534" s="13" t="s">
        <v>21579</v>
      </c>
      <c r="I11534" s="40" t="s">
        <v>18</v>
      </c>
      <c r="J11534" s="40" t="str">
        <f>HYPERLINK("https://stock.pstatic.net/stock-research/company/29/20250618_company_902991000.pdf","PDF")</f>
        <v>PDF</v>
      </c>
      <c r="K11534" s="12" t="s">
        <v>21580</v>
      </c>
    </row>
    <row r="11535" spans="1:12" x14ac:dyDescent="0.45">
      <c r="A11535" s="12" t="s">
        <v>21572</v>
      </c>
      <c r="B11535" s="12" t="s">
        <v>11189</v>
      </c>
      <c r="C11535" s="13" t="s">
        <v>11190</v>
      </c>
      <c r="D11535" s="13" t="s">
        <v>15</v>
      </c>
      <c r="E11535" s="12" t="s">
        <v>50</v>
      </c>
      <c r="F11535" s="13"/>
      <c r="G11535" s="14">
        <v>4500</v>
      </c>
      <c r="H11535" s="13" t="s">
        <v>21581</v>
      </c>
      <c r="I11535" s="40" t="s">
        <v>18</v>
      </c>
      <c r="J11535" s="40" t="str">
        <f>HYPERLINK("https://stock.pstatic.net/stock-research/company/29/20250618_company_176629000.pdf","PDF")</f>
        <v>PDF</v>
      </c>
      <c r="K11535" s="12" t="s">
        <v>21582</v>
      </c>
    </row>
    <row r="11536" spans="1:12" x14ac:dyDescent="0.45">
      <c r="A11536" s="12" t="s">
        <v>21572</v>
      </c>
      <c r="B11536" s="12" t="s">
        <v>10729</v>
      </c>
      <c r="C11536" s="13" t="s">
        <v>10730</v>
      </c>
      <c r="D11536" s="13" t="s">
        <v>15</v>
      </c>
      <c r="E11536" s="12" t="s">
        <v>50</v>
      </c>
      <c r="F11536" s="13"/>
      <c r="G11536" s="14">
        <v>1217</v>
      </c>
      <c r="H11536" s="13" t="s">
        <v>21583</v>
      </c>
      <c r="I11536" s="40" t="s">
        <v>18</v>
      </c>
      <c r="J11536" s="40" t="str">
        <f>HYPERLINK("https://stock.pstatic.net/stock-research/company/29/20250618_company_206156000.pdf","PDF")</f>
        <v>PDF</v>
      </c>
      <c r="K11536" s="12" t="s">
        <v>21584</v>
      </c>
    </row>
    <row r="11537" spans="1:12" x14ac:dyDescent="0.45">
      <c r="A11537" s="12" t="s">
        <v>21572</v>
      </c>
      <c r="B11537" s="12" t="s">
        <v>1120</v>
      </c>
      <c r="C11537" s="13" t="s">
        <v>1121</v>
      </c>
      <c r="D11537" s="13" t="s">
        <v>276</v>
      </c>
      <c r="E11537" s="12" t="s">
        <v>16</v>
      </c>
      <c r="F11537" s="14">
        <v>160000</v>
      </c>
      <c r="G11537" s="14">
        <v>110200</v>
      </c>
      <c r="H11537" s="13" t="s">
        <v>21585</v>
      </c>
      <c r="I11537" s="40" t="s">
        <v>18</v>
      </c>
      <c r="J11537" s="40" t="str">
        <f>HYPERLINK("https://stock.pstatic.net/stock-research/company/66/20250618_company_315370000.pdf","PDF")</f>
        <v>PDF</v>
      </c>
      <c r="K11537" s="12" t="s">
        <v>21586</v>
      </c>
      <c r="L11537" s="20">
        <v>0.4519056261343013</v>
      </c>
    </row>
    <row r="11538" spans="1:12" x14ac:dyDescent="0.45">
      <c r="A11538" s="12" t="s">
        <v>21572</v>
      </c>
      <c r="B11538" s="12" t="s">
        <v>1120</v>
      </c>
      <c r="C11538" s="13" t="s">
        <v>1121</v>
      </c>
      <c r="D11538" s="13" t="s">
        <v>60</v>
      </c>
      <c r="E11538" s="12" t="s">
        <v>35</v>
      </c>
      <c r="F11538" s="14">
        <v>145000</v>
      </c>
      <c r="G11538" s="13"/>
      <c r="H11538" s="13" t="s">
        <v>21587</v>
      </c>
      <c r="I11538" s="40" t="s">
        <v>18</v>
      </c>
      <c r="J11538" s="40" t="str">
        <f>HYPERLINK("https://stock.pstatic.net/stock-research/company/62/20250618_company_137179000.pdf","PDF")</f>
        <v>PDF</v>
      </c>
      <c r="K11538" s="12" t="s">
        <v>21588</v>
      </c>
    </row>
    <row r="11539" spans="1:12" x14ac:dyDescent="0.45">
      <c r="A11539" s="12" t="s">
        <v>21572</v>
      </c>
      <c r="B11539" s="12" t="s">
        <v>772</v>
      </c>
      <c r="C11539" s="13" t="s">
        <v>5840</v>
      </c>
      <c r="D11539" s="13" t="s">
        <v>65</v>
      </c>
      <c r="E11539" s="12" t="s">
        <v>35</v>
      </c>
      <c r="F11539" s="14">
        <v>40000</v>
      </c>
      <c r="G11539" s="14">
        <v>20700</v>
      </c>
      <c r="H11539" s="13" t="s">
        <v>21589</v>
      </c>
      <c r="I11539" s="40" t="s">
        <v>18</v>
      </c>
      <c r="J11539" s="40" t="str">
        <f>HYPERLINK("https://stock.pstatic.net/stock-research/company/1/20250618_company_114887000.pdf","PDF")</f>
        <v>PDF</v>
      </c>
      <c r="K11539" s="12" t="s">
        <v>21590</v>
      </c>
      <c r="L11539" s="20">
        <v>0.93236714975845414</v>
      </c>
    </row>
    <row r="11540" spans="1:12" x14ac:dyDescent="0.45">
      <c r="A11540" s="12" t="s">
        <v>21572</v>
      </c>
      <c r="B11540" s="12" t="s">
        <v>63</v>
      </c>
      <c r="C11540" s="13" t="s">
        <v>64</v>
      </c>
      <c r="D11540" s="13" t="s">
        <v>65</v>
      </c>
      <c r="E11540" s="12" t="s">
        <v>35</v>
      </c>
      <c r="F11540" s="14">
        <v>400000</v>
      </c>
      <c r="G11540" s="14">
        <v>291500</v>
      </c>
      <c r="H11540" s="13" t="s">
        <v>21591</v>
      </c>
      <c r="I11540" s="40" t="s">
        <v>18</v>
      </c>
      <c r="J11540" s="40" t="str">
        <f>HYPERLINK("https://stock.pstatic.net/stock-research/company/57/20250618_company_80027000.pdf","PDF")</f>
        <v>PDF</v>
      </c>
      <c r="K11540" s="12" t="s">
        <v>21592</v>
      </c>
      <c r="L11540" s="20">
        <v>0.37221269296740989</v>
      </c>
    </row>
    <row r="11541" spans="1:12" x14ac:dyDescent="0.45">
      <c r="A11541" s="12" t="s">
        <v>21572</v>
      </c>
      <c r="B11541" s="12" t="s">
        <v>426</v>
      </c>
      <c r="C11541" s="13" t="s">
        <v>427</v>
      </c>
      <c r="D11541" s="13" t="s">
        <v>57</v>
      </c>
      <c r="E11541" s="12" t="s">
        <v>35</v>
      </c>
      <c r="F11541" s="14">
        <v>16000</v>
      </c>
      <c r="G11541" s="14">
        <v>13650</v>
      </c>
      <c r="H11541" s="13" t="s">
        <v>21593</v>
      </c>
      <c r="I11541" s="40" t="s">
        <v>18</v>
      </c>
      <c r="J11541" s="40" t="str">
        <f>HYPERLINK("https://stock.pstatic.net/stock-research/company/16/20250618_company_726918000.pdf","PDF")</f>
        <v>PDF</v>
      </c>
      <c r="K11541" s="12" t="s">
        <v>21594</v>
      </c>
      <c r="L11541" s="20">
        <v>0.17216117216117219</v>
      </c>
    </row>
    <row r="11542" spans="1:12" x14ac:dyDescent="0.45">
      <c r="A11542" s="12" t="s">
        <v>21572</v>
      </c>
      <c r="B11542" s="12" t="s">
        <v>13983</v>
      </c>
      <c r="C11542" s="13" t="s">
        <v>13984</v>
      </c>
      <c r="D11542" s="13" t="s">
        <v>57</v>
      </c>
      <c r="E11542" s="12" t="s">
        <v>35</v>
      </c>
      <c r="F11542" s="14">
        <v>15000</v>
      </c>
      <c r="G11542" s="14">
        <v>12090</v>
      </c>
      <c r="H11542" s="13" t="s">
        <v>21595</v>
      </c>
      <c r="I11542" s="40" t="s">
        <v>18</v>
      </c>
      <c r="J11542" s="40" t="str">
        <f>HYPERLINK("https://stock.pstatic.net/stock-research/company/16/20250618_company_695024000.pdf","PDF")</f>
        <v>PDF</v>
      </c>
      <c r="K11542" s="12" t="s">
        <v>21596</v>
      </c>
      <c r="L11542" s="20">
        <v>0.24069478908188591</v>
      </c>
    </row>
    <row r="11543" spans="1:12" x14ac:dyDescent="0.45">
      <c r="A11543" s="12" t="s">
        <v>21572</v>
      </c>
      <c r="B11543" s="12" t="s">
        <v>1120</v>
      </c>
      <c r="C11543" s="13" t="s">
        <v>1121</v>
      </c>
      <c r="D11543" s="13" t="s">
        <v>92</v>
      </c>
      <c r="E11543" s="12" t="s">
        <v>35</v>
      </c>
      <c r="F11543" s="14">
        <v>140000</v>
      </c>
      <c r="G11543" s="14">
        <v>110200</v>
      </c>
      <c r="H11543" s="13" t="s">
        <v>21597</v>
      </c>
      <c r="I11543" s="40" t="s">
        <v>18</v>
      </c>
      <c r="J11543" s="40" t="str">
        <f>HYPERLINK("https://stock.pstatic.net/stock-research/company/63/20250618_company_644798000.pdf","PDF")</f>
        <v>PDF</v>
      </c>
      <c r="K11543" s="12" t="s">
        <v>21598</v>
      </c>
      <c r="L11543" s="20">
        <v>0.27041742286751358</v>
      </c>
    </row>
    <row r="11544" spans="1:12" x14ac:dyDescent="0.45">
      <c r="A11544" s="12" t="s">
        <v>21572</v>
      </c>
      <c r="B11544" s="12" t="s">
        <v>698</v>
      </c>
      <c r="C11544" s="13" t="s">
        <v>699</v>
      </c>
      <c r="D11544" s="13" t="s">
        <v>158</v>
      </c>
      <c r="E11544" s="12" t="s">
        <v>35</v>
      </c>
      <c r="F11544" s="14">
        <v>260000</v>
      </c>
      <c r="G11544" s="14">
        <v>198500</v>
      </c>
      <c r="H11544" s="13" t="s">
        <v>21599</v>
      </c>
      <c r="I11544" s="40" t="s">
        <v>18</v>
      </c>
      <c r="J11544" s="40" t="str">
        <f>HYPERLINK("https://stock.pstatic.net/stock-research/company/18/20250618_company_617054000.pdf","PDF")</f>
        <v>PDF</v>
      </c>
      <c r="K11544" s="12" t="s">
        <v>21600</v>
      </c>
      <c r="L11544" s="20">
        <v>0.30982367758186402</v>
      </c>
    </row>
    <row r="11545" spans="1:12" x14ac:dyDescent="0.45">
      <c r="A11545" s="12" t="s">
        <v>21572</v>
      </c>
      <c r="B11545" s="12" t="s">
        <v>38</v>
      </c>
      <c r="C11545" s="13" t="s">
        <v>39</v>
      </c>
      <c r="D11545" s="13" t="s">
        <v>34</v>
      </c>
      <c r="E11545" s="12" t="s">
        <v>35</v>
      </c>
      <c r="F11545" s="14">
        <v>320000</v>
      </c>
      <c r="G11545" s="14">
        <v>269500</v>
      </c>
      <c r="H11545" s="13" t="s">
        <v>21601</v>
      </c>
      <c r="I11545" s="40" t="s">
        <v>18</v>
      </c>
      <c r="J11545" s="40" t="str">
        <f>HYPERLINK("https://stock.pstatic.net/stock-research/company/61/20250618_company_533999000.pdf","PDF")</f>
        <v>PDF</v>
      </c>
      <c r="K11545" s="12" t="s">
        <v>21602</v>
      </c>
      <c r="L11545" s="20">
        <v>0.18738404452690169</v>
      </c>
    </row>
    <row r="11546" spans="1:12" x14ac:dyDescent="0.45">
      <c r="A11546" s="12" t="s">
        <v>21572</v>
      </c>
      <c r="B11546" s="12" t="s">
        <v>1799</v>
      </c>
      <c r="C11546" s="13" t="s">
        <v>1800</v>
      </c>
      <c r="D11546" s="13" t="s">
        <v>92</v>
      </c>
      <c r="E11546" s="12" t="s">
        <v>50</v>
      </c>
      <c r="F11546" s="13"/>
      <c r="G11546" s="14">
        <v>5920</v>
      </c>
      <c r="H11546" s="13" t="s">
        <v>21603</v>
      </c>
      <c r="I11546" s="40" t="s">
        <v>18</v>
      </c>
      <c r="J11546" s="40" t="str">
        <f>HYPERLINK("https://stock.pstatic.net/stock-research/company/63/20250618_company_188904000.pdf","PDF")</f>
        <v>PDF</v>
      </c>
      <c r="K11546" s="12" t="s">
        <v>21604</v>
      </c>
    </row>
    <row r="11547" spans="1:12" x14ac:dyDescent="0.45">
      <c r="A11547" s="12" t="s">
        <v>21572</v>
      </c>
      <c r="B11547" s="12" t="s">
        <v>1120</v>
      </c>
      <c r="C11547" s="13" t="s">
        <v>1121</v>
      </c>
      <c r="D11547" s="13" t="s">
        <v>34</v>
      </c>
      <c r="E11547" s="12" t="s">
        <v>35</v>
      </c>
      <c r="F11547" s="14">
        <v>170000</v>
      </c>
      <c r="G11547" s="14">
        <v>110200</v>
      </c>
      <c r="H11547" s="13" t="s">
        <v>21605</v>
      </c>
      <c r="I11547" s="40" t="s">
        <v>18</v>
      </c>
      <c r="J11547" s="40" t="str">
        <f>HYPERLINK("https://stock.pstatic.net/stock-research/company/61/20250618_company_189040000.pdf","PDF")</f>
        <v>PDF</v>
      </c>
      <c r="K11547" s="12" t="s">
        <v>21606</v>
      </c>
      <c r="L11547" s="20">
        <v>0.54264972776769504</v>
      </c>
    </row>
    <row r="11548" spans="1:12" x14ac:dyDescent="0.45">
      <c r="A11548" s="12" t="s">
        <v>21572</v>
      </c>
      <c r="B11548" s="12" t="s">
        <v>11100</v>
      </c>
      <c r="C11548" s="13" t="s">
        <v>11101</v>
      </c>
      <c r="D11548" s="13" t="s">
        <v>53</v>
      </c>
      <c r="E11548" s="12" t="s">
        <v>50</v>
      </c>
      <c r="F11548" s="13"/>
      <c r="G11548" s="14">
        <v>2055</v>
      </c>
      <c r="H11548" s="13" t="s">
        <v>21607</v>
      </c>
      <c r="I11548" s="40" t="s">
        <v>18</v>
      </c>
      <c r="J11548" s="40" t="str">
        <f>HYPERLINK("https://stock.pstatic.net/stock-research/company/40/20250618_company_230529000.pdf","PDF")</f>
        <v>PDF</v>
      </c>
      <c r="K11548" s="12" t="s">
        <v>21608</v>
      </c>
    </row>
    <row r="11549" spans="1:12" x14ac:dyDescent="0.45">
      <c r="A11549" s="12" t="s">
        <v>21572</v>
      </c>
      <c r="B11549" s="12" t="s">
        <v>1120</v>
      </c>
      <c r="C11549" s="13" t="s">
        <v>1121</v>
      </c>
      <c r="D11549" s="13" t="s">
        <v>23</v>
      </c>
      <c r="E11549" s="12" t="s">
        <v>16</v>
      </c>
      <c r="F11549" s="14">
        <v>140000</v>
      </c>
      <c r="G11549" s="14">
        <v>110200</v>
      </c>
      <c r="H11549" s="13" t="s">
        <v>21609</v>
      </c>
      <c r="I11549" s="40" t="s">
        <v>18</v>
      </c>
      <c r="J11549" s="40" t="str">
        <f>HYPERLINK("https://stock.pstatic.net/stock-research/company/21/20250618_company_564290000.pdf","PDF")</f>
        <v>PDF</v>
      </c>
      <c r="K11549" s="12" t="s">
        <v>21610</v>
      </c>
      <c r="L11549" s="20">
        <v>0.27041742286751358</v>
      </c>
    </row>
    <row r="11550" spans="1:12" x14ac:dyDescent="0.45">
      <c r="A11550" s="12" t="s">
        <v>21572</v>
      </c>
      <c r="B11550" s="12" t="s">
        <v>2933</v>
      </c>
      <c r="C11550" s="13" t="s">
        <v>2934</v>
      </c>
      <c r="D11550" s="13" t="s">
        <v>53</v>
      </c>
      <c r="E11550" s="12" t="s">
        <v>16</v>
      </c>
      <c r="F11550" s="14">
        <v>110000</v>
      </c>
      <c r="G11550" s="14">
        <v>73200</v>
      </c>
      <c r="H11550" s="13" t="s">
        <v>21611</v>
      </c>
      <c r="I11550" s="40" t="s">
        <v>18</v>
      </c>
      <c r="J11550" s="40" t="str">
        <f>HYPERLINK("https://stock.pstatic.net/stock-research/company/40/20250618_company_693108000.pdf","PDF")</f>
        <v>PDF</v>
      </c>
      <c r="K11550" s="12" t="s">
        <v>21612</v>
      </c>
      <c r="L11550" s="20">
        <v>0.50273224043715847</v>
      </c>
    </row>
    <row r="11551" spans="1:12" x14ac:dyDescent="0.45">
      <c r="A11551" s="12" t="s">
        <v>21572</v>
      </c>
      <c r="B11551" s="12" t="s">
        <v>177</v>
      </c>
      <c r="C11551" s="13" t="s">
        <v>178</v>
      </c>
      <c r="D11551" s="13" t="s">
        <v>53</v>
      </c>
      <c r="E11551" s="12" t="s">
        <v>16</v>
      </c>
      <c r="F11551" s="14">
        <v>20000</v>
      </c>
      <c r="G11551" s="14">
        <v>10120</v>
      </c>
      <c r="H11551" s="13" t="s">
        <v>21613</v>
      </c>
      <c r="I11551" s="40" t="s">
        <v>18</v>
      </c>
      <c r="J11551" s="40" t="str">
        <f>HYPERLINK("https://stock.pstatic.net/stock-research/company/1/20250618_company_825556000.pdf","PDF")</f>
        <v>PDF</v>
      </c>
      <c r="K11551" s="12" t="s">
        <v>21614</v>
      </c>
      <c r="L11551" s="20">
        <v>0.97628458498023718</v>
      </c>
    </row>
    <row r="11552" spans="1:12" x14ac:dyDescent="0.45">
      <c r="A11552" s="12" t="s">
        <v>21572</v>
      </c>
      <c r="B11552" s="12" t="s">
        <v>495</v>
      </c>
      <c r="C11552" s="13" t="s">
        <v>496</v>
      </c>
      <c r="D11552" s="13" t="s">
        <v>15</v>
      </c>
      <c r="E11552" s="12" t="s">
        <v>16</v>
      </c>
      <c r="F11552" s="14">
        <v>170000</v>
      </c>
      <c r="G11552" s="14">
        <v>132600</v>
      </c>
      <c r="H11552" s="13" t="s">
        <v>21615</v>
      </c>
      <c r="I11552" s="40" t="s">
        <v>18</v>
      </c>
      <c r="J11552" s="40" t="str">
        <f>HYPERLINK("https://stock.pstatic.net/stock-research/company/56/20250618_company_29478000.pdf","PDF")</f>
        <v>PDF</v>
      </c>
      <c r="K11552" s="12" t="s">
        <v>21616</v>
      </c>
      <c r="L11552" s="20">
        <v>0.28205128205128199</v>
      </c>
    </row>
    <row r="11553" spans="1:12" x14ac:dyDescent="0.45">
      <c r="A11553" s="12" t="s">
        <v>21572</v>
      </c>
      <c r="B11553" s="12" t="s">
        <v>768</v>
      </c>
      <c r="C11553" s="13" t="s">
        <v>769</v>
      </c>
      <c r="D11553" s="13" t="s">
        <v>15</v>
      </c>
      <c r="E11553" s="12" t="s">
        <v>16</v>
      </c>
      <c r="F11553" s="14">
        <v>310000</v>
      </c>
      <c r="G11553" s="14">
        <v>256000</v>
      </c>
      <c r="H11553" s="13" t="s">
        <v>21617</v>
      </c>
      <c r="I11553" s="40" t="s">
        <v>18</v>
      </c>
      <c r="J11553" s="40" t="str">
        <f>HYPERLINK("https://stock.pstatic.net/stock-research/company/29/20250618_company_117460000.pdf","PDF")</f>
        <v>PDF</v>
      </c>
      <c r="K11553" s="12" t="s">
        <v>21618</v>
      </c>
      <c r="L11553" s="20">
        <v>0.2109375</v>
      </c>
    </row>
    <row r="11554" spans="1:12" x14ac:dyDescent="0.45">
      <c r="A11554" s="12" t="s">
        <v>21572</v>
      </c>
      <c r="B11554" s="12" t="s">
        <v>231</v>
      </c>
      <c r="C11554" s="13" t="s">
        <v>232</v>
      </c>
      <c r="D11554" s="13" t="s">
        <v>15</v>
      </c>
      <c r="E11554" s="12" t="s">
        <v>50</v>
      </c>
      <c r="F11554" s="13"/>
      <c r="G11554" s="14">
        <v>24450</v>
      </c>
      <c r="H11554" s="13" t="s">
        <v>21619</v>
      </c>
      <c r="I11554" s="40" t="s">
        <v>18</v>
      </c>
      <c r="J11554" s="40" t="str">
        <f>HYPERLINK("https://stock.pstatic.net/stock-research/company/29/20250618_company_967331000.pdf","PDF")</f>
        <v>PDF</v>
      </c>
      <c r="K11554" s="12" t="s">
        <v>21620</v>
      </c>
    </row>
    <row r="11555" spans="1:12" x14ac:dyDescent="0.45">
      <c r="A11555" s="12" t="s">
        <v>21572</v>
      </c>
      <c r="B11555" s="12" t="s">
        <v>132</v>
      </c>
      <c r="C11555" s="13" t="s">
        <v>133</v>
      </c>
      <c r="D11555" s="13" t="s">
        <v>15</v>
      </c>
      <c r="E11555" s="12" t="s">
        <v>16</v>
      </c>
      <c r="F11555" s="14">
        <v>100000</v>
      </c>
      <c r="G11555" s="14">
        <v>69300</v>
      </c>
      <c r="H11555" s="13" t="s">
        <v>21621</v>
      </c>
      <c r="I11555" s="40" t="s">
        <v>18</v>
      </c>
      <c r="J11555" s="40" t="str">
        <f>HYPERLINK("https://stock.pstatic.net/stock-research/company/1/20250618_company_900869000.pdf","PDF")</f>
        <v>PDF</v>
      </c>
      <c r="K11555" s="12" t="s">
        <v>21622</v>
      </c>
      <c r="L11555" s="20">
        <v>0.44300144300144301</v>
      </c>
    </row>
    <row r="11556" spans="1:12" x14ac:dyDescent="0.45">
      <c r="A11556" s="12" t="s">
        <v>21572</v>
      </c>
      <c r="B11556" s="12" t="s">
        <v>170</v>
      </c>
      <c r="C11556" s="13" t="s">
        <v>171</v>
      </c>
      <c r="D11556" s="13" t="s">
        <v>15</v>
      </c>
      <c r="E11556" s="12" t="s">
        <v>16</v>
      </c>
      <c r="F11556" s="14">
        <v>100000</v>
      </c>
      <c r="G11556" s="14">
        <v>75900</v>
      </c>
      <c r="H11556" s="13" t="s">
        <v>21623</v>
      </c>
      <c r="I11556" s="40" t="s">
        <v>18</v>
      </c>
      <c r="J11556" s="40" t="str">
        <f>HYPERLINK("https://stock.pstatic.net/stock-research/company/29/20250618_company_412405000.pdf","PDF")</f>
        <v>PDF</v>
      </c>
      <c r="K11556" s="12" t="s">
        <v>21624</v>
      </c>
      <c r="L11556" s="20">
        <v>0.31752305665349151</v>
      </c>
    </row>
    <row r="11557" spans="1:12" x14ac:dyDescent="0.45">
      <c r="A11557" s="12" t="s">
        <v>21625</v>
      </c>
      <c r="B11557" s="12" t="s">
        <v>32</v>
      </c>
      <c r="C11557" s="13" t="s">
        <v>33</v>
      </c>
      <c r="D11557" s="13" t="s">
        <v>83</v>
      </c>
      <c r="E11557" s="12" t="s">
        <v>35</v>
      </c>
      <c r="F11557" s="14">
        <v>180000</v>
      </c>
      <c r="G11557" s="14">
        <v>126900</v>
      </c>
      <c r="H11557" s="13" t="s">
        <v>21626</v>
      </c>
      <c r="I11557" s="40" t="s">
        <v>18</v>
      </c>
      <c r="J11557" s="40" t="str">
        <f>HYPERLINK("https://stock.pstatic.net/stock-research/company/2/20250617_company_72165000.pdf","PDF")</f>
        <v>PDF</v>
      </c>
      <c r="K11557" s="12" t="s">
        <v>21627</v>
      </c>
      <c r="L11557" s="20">
        <v>0.41843971631205668</v>
      </c>
    </row>
    <row r="11558" spans="1:12" x14ac:dyDescent="0.45">
      <c r="A11558" s="12" t="s">
        <v>21625</v>
      </c>
      <c r="B11558" s="12" t="s">
        <v>8204</v>
      </c>
      <c r="C11558" s="13" t="s">
        <v>8205</v>
      </c>
      <c r="D11558" s="13" t="s">
        <v>57</v>
      </c>
      <c r="E11558" s="12" t="s">
        <v>35</v>
      </c>
      <c r="F11558" s="14">
        <v>90000</v>
      </c>
      <c r="G11558" s="14">
        <v>62800</v>
      </c>
      <c r="H11558" s="13" t="s">
        <v>21628</v>
      </c>
      <c r="I11558" s="40" t="s">
        <v>18</v>
      </c>
      <c r="J11558" s="40" t="str">
        <f>HYPERLINK("https://stock.pstatic.net/stock-research/company/16/20250617_company_985737000.pdf","PDF")</f>
        <v>PDF</v>
      </c>
      <c r="K11558" s="12" t="s">
        <v>21629</v>
      </c>
      <c r="L11558" s="20">
        <v>0.43312101910828033</v>
      </c>
    </row>
    <row r="11559" spans="1:12" x14ac:dyDescent="0.45">
      <c r="A11559" s="12" t="s">
        <v>21625</v>
      </c>
      <c r="B11559" s="12" t="s">
        <v>2089</v>
      </c>
      <c r="C11559" s="13" t="s">
        <v>2090</v>
      </c>
      <c r="D11559" s="13" t="s">
        <v>158</v>
      </c>
      <c r="E11559" s="12" t="s">
        <v>35</v>
      </c>
      <c r="F11559" s="14">
        <v>80000</v>
      </c>
      <c r="G11559" s="14">
        <v>63700</v>
      </c>
      <c r="H11559" s="13" t="s">
        <v>21630</v>
      </c>
      <c r="I11559" s="40" t="s">
        <v>18</v>
      </c>
      <c r="J11559" s="40" t="str">
        <f>HYPERLINK("https://stock.pstatic.net/stock-research/company/1/20250617_company_635490000.pdf","PDF")</f>
        <v>PDF</v>
      </c>
      <c r="K11559" s="12" t="s">
        <v>21631</v>
      </c>
      <c r="L11559" s="20">
        <v>0.25588697017268452</v>
      </c>
    </row>
    <row r="11560" spans="1:12" x14ac:dyDescent="0.45">
      <c r="A11560" s="12" t="s">
        <v>21625</v>
      </c>
      <c r="B11560" s="12" t="s">
        <v>1666</v>
      </c>
      <c r="C11560" s="13" t="s">
        <v>1667</v>
      </c>
      <c r="D11560" s="13" t="s">
        <v>92</v>
      </c>
      <c r="E11560" s="12" t="s">
        <v>35</v>
      </c>
      <c r="F11560" s="14">
        <v>70000</v>
      </c>
      <c r="G11560" s="14">
        <v>57000</v>
      </c>
      <c r="H11560" s="13" t="s">
        <v>21632</v>
      </c>
      <c r="I11560" s="40" t="s">
        <v>18</v>
      </c>
      <c r="J11560" s="40" t="str">
        <f>HYPERLINK("https://stock.pstatic.net/stock-research/company/63/20250617_company_852819000.pdf","PDF")</f>
        <v>PDF</v>
      </c>
      <c r="K11560" s="12" t="s">
        <v>21633</v>
      </c>
      <c r="L11560" s="20">
        <v>0.22807017543859651</v>
      </c>
    </row>
    <row r="11561" spans="1:12" x14ac:dyDescent="0.45">
      <c r="A11561" s="12" t="s">
        <v>21625</v>
      </c>
      <c r="B11561" s="12" t="s">
        <v>1356</v>
      </c>
      <c r="C11561" s="13" t="s">
        <v>1357</v>
      </c>
      <c r="D11561" s="13" t="s">
        <v>53</v>
      </c>
      <c r="E11561" s="12" t="s">
        <v>16</v>
      </c>
      <c r="F11561" s="14">
        <v>25000</v>
      </c>
      <c r="G11561" s="14">
        <v>19880</v>
      </c>
      <c r="H11561" s="13" t="s">
        <v>21634</v>
      </c>
      <c r="I11561" s="40" t="s">
        <v>18</v>
      </c>
      <c r="J11561" s="40" t="str">
        <f>HYPERLINK("https://stock.pstatic.net/stock-research/company/40/20250617_company_222838000.pdf","PDF")</f>
        <v>PDF</v>
      </c>
      <c r="K11561" s="12" t="s">
        <v>21635</v>
      </c>
      <c r="L11561" s="20">
        <v>0.25754527162977869</v>
      </c>
    </row>
    <row r="11562" spans="1:12" x14ac:dyDescent="0.45">
      <c r="A11562" s="12" t="s">
        <v>21625</v>
      </c>
      <c r="B11562" s="12" t="s">
        <v>16948</v>
      </c>
      <c r="C11562" s="13" t="s">
        <v>16949</v>
      </c>
      <c r="D11562" s="13" t="s">
        <v>179</v>
      </c>
      <c r="E11562" s="12" t="s">
        <v>16</v>
      </c>
      <c r="F11562" s="14">
        <v>23000</v>
      </c>
      <c r="G11562" s="14">
        <v>11200</v>
      </c>
      <c r="H11562" s="13" t="s">
        <v>21636</v>
      </c>
      <c r="I11562" s="40" t="s">
        <v>18</v>
      </c>
      <c r="J11562" s="40" t="str">
        <f>HYPERLINK("https://stock.pstatic.net/stock-research/company/31/20250617_company_979086000.pdf","PDF")</f>
        <v>PDF</v>
      </c>
      <c r="K11562" s="12" t="s">
        <v>21637</v>
      </c>
      <c r="L11562" s="20">
        <v>1.053571428571429</v>
      </c>
    </row>
    <row r="11563" spans="1:12" x14ac:dyDescent="0.45">
      <c r="A11563" s="12" t="s">
        <v>21625</v>
      </c>
      <c r="B11563" s="12" t="s">
        <v>1032</v>
      </c>
      <c r="C11563" s="13" t="s">
        <v>1033</v>
      </c>
      <c r="D11563" s="13" t="s">
        <v>92</v>
      </c>
      <c r="E11563" s="12" t="s">
        <v>50</v>
      </c>
      <c r="F11563" s="13"/>
      <c r="G11563" s="14">
        <v>16490</v>
      </c>
      <c r="H11563" s="13" t="s">
        <v>21638</v>
      </c>
      <c r="I11563" s="40" t="s">
        <v>18</v>
      </c>
      <c r="J11563" s="40" t="str">
        <f>HYPERLINK("https://stock.pstatic.net/stock-research/company/1/20250617_company_48354000.pdf","PDF")</f>
        <v>PDF</v>
      </c>
      <c r="K11563" s="12" t="s">
        <v>21639</v>
      </c>
    </row>
    <row r="11564" spans="1:12" x14ac:dyDescent="0.45">
      <c r="A11564" s="12" t="s">
        <v>21625</v>
      </c>
      <c r="B11564" s="12" t="s">
        <v>16913</v>
      </c>
      <c r="C11564" s="13" t="s">
        <v>16914</v>
      </c>
      <c r="D11564" s="13" t="s">
        <v>23</v>
      </c>
      <c r="E11564" s="12" t="s">
        <v>50</v>
      </c>
      <c r="F11564" s="13"/>
      <c r="G11564" s="14">
        <v>4600</v>
      </c>
      <c r="H11564" s="13" t="s">
        <v>21640</v>
      </c>
      <c r="I11564" s="40" t="s">
        <v>18</v>
      </c>
      <c r="J11564" s="40" t="str">
        <f>HYPERLINK("https://stock.pstatic.net/stock-research/company/21/20250617_company_578311000.pdf","PDF")</f>
        <v>PDF</v>
      </c>
      <c r="K11564" s="12" t="s">
        <v>21641</v>
      </c>
    </row>
    <row r="11565" spans="1:12" x14ac:dyDescent="0.45">
      <c r="A11565" s="12" t="s">
        <v>21625</v>
      </c>
      <c r="B11565" s="12" t="s">
        <v>186</v>
      </c>
      <c r="C11565" s="13" t="s">
        <v>187</v>
      </c>
      <c r="D11565" s="13" t="s">
        <v>23</v>
      </c>
      <c r="E11565" s="12" t="s">
        <v>16</v>
      </c>
      <c r="F11565" s="14">
        <v>9000</v>
      </c>
      <c r="G11565" s="14">
        <v>5970</v>
      </c>
      <c r="H11565" s="13" t="s">
        <v>21642</v>
      </c>
      <c r="I11565" s="40" t="s">
        <v>18</v>
      </c>
      <c r="J11565" s="40" t="str">
        <f>HYPERLINK("https://stock.pstatic.net/stock-research/company/21/20250617_company_728279000.pdf","PDF")</f>
        <v>PDF</v>
      </c>
      <c r="K11565" s="12" t="s">
        <v>21643</v>
      </c>
      <c r="L11565" s="20">
        <v>0.50753768844221103</v>
      </c>
    </row>
    <row r="11566" spans="1:12" x14ac:dyDescent="0.45">
      <c r="A11566" s="12" t="s">
        <v>21625</v>
      </c>
      <c r="B11566" s="12" t="s">
        <v>489</v>
      </c>
      <c r="C11566" s="13" t="s">
        <v>490</v>
      </c>
      <c r="D11566" s="13" t="s">
        <v>23</v>
      </c>
      <c r="E11566" s="12" t="s">
        <v>16</v>
      </c>
      <c r="F11566" s="14">
        <v>32000</v>
      </c>
      <c r="G11566" s="14">
        <v>23700</v>
      </c>
      <c r="H11566" s="13" t="s">
        <v>21644</v>
      </c>
      <c r="I11566" s="40" t="s">
        <v>18</v>
      </c>
      <c r="J11566" s="40" t="str">
        <f>HYPERLINK("https://stock.pstatic.net/stock-research/company/21/20250617_company_298338000.pdf","PDF")</f>
        <v>PDF</v>
      </c>
      <c r="K11566" s="12" t="s">
        <v>21645</v>
      </c>
      <c r="L11566" s="20">
        <v>0.35021097046413502</v>
      </c>
    </row>
    <row r="11567" spans="1:12" x14ac:dyDescent="0.45">
      <c r="A11567" s="12" t="s">
        <v>21625</v>
      </c>
      <c r="B11567" s="12" t="s">
        <v>4368</v>
      </c>
      <c r="C11567" s="13" t="s">
        <v>4369</v>
      </c>
      <c r="D11567" s="13" t="s">
        <v>124</v>
      </c>
      <c r="E11567" s="12" t="s">
        <v>50</v>
      </c>
      <c r="F11567" s="13"/>
      <c r="G11567" s="13"/>
      <c r="H11567" s="13" t="s">
        <v>21646</v>
      </c>
      <c r="I11567" s="40" t="s">
        <v>18</v>
      </c>
      <c r="J11567" s="40" t="str">
        <f>HYPERLINK("https://stock.pstatic.net/stock-research/company/74/20250617_company_715312000.pdf","PDF")</f>
        <v>PDF</v>
      </c>
      <c r="K11567" s="12" t="s">
        <v>21647</v>
      </c>
    </row>
    <row r="11568" spans="1:12" x14ac:dyDescent="0.45">
      <c r="A11568" s="12" t="s">
        <v>21625</v>
      </c>
      <c r="B11568" s="12" t="s">
        <v>1918</v>
      </c>
      <c r="C11568" s="13" t="s">
        <v>1919</v>
      </c>
      <c r="D11568" s="13" t="s">
        <v>53</v>
      </c>
      <c r="E11568" s="12" t="s">
        <v>50</v>
      </c>
      <c r="F11568" s="14">
        <v>6250</v>
      </c>
      <c r="G11568" s="14">
        <v>5480</v>
      </c>
      <c r="H11568" s="13" t="s">
        <v>21648</v>
      </c>
      <c r="I11568" s="40" t="s">
        <v>18</v>
      </c>
      <c r="J11568" s="40" t="str">
        <f>HYPERLINK("https://stock.pstatic.net/stock-research/company/1/20250617_company_526544000.pdf","PDF")</f>
        <v>PDF</v>
      </c>
      <c r="K11568" s="12" t="s">
        <v>21649</v>
      </c>
      <c r="L11568" s="20">
        <v>0.14051094890510951</v>
      </c>
    </row>
    <row r="11569" spans="1:12" x14ac:dyDescent="0.45">
      <c r="A11569" s="12" t="s">
        <v>21650</v>
      </c>
      <c r="B11569" s="12" t="s">
        <v>768</v>
      </c>
      <c r="C11569" s="13" t="s">
        <v>769</v>
      </c>
      <c r="D11569" s="13" t="s">
        <v>60</v>
      </c>
      <c r="E11569" s="12" t="s">
        <v>35</v>
      </c>
      <c r="F11569" s="14">
        <v>290000</v>
      </c>
      <c r="G11569" s="14">
        <v>239000</v>
      </c>
      <c r="H11569" s="13" t="s">
        <v>21651</v>
      </c>
      <c r="I11569" s="40" t="s">
        <v>18</v>
      </c>
      <c r="J11569" s="40" t="str">
        <f>HYPERLINK("https://stock.pstatic.net/stock-research/company/34/20250616_company_457387000.pdf","PDF")</f>
        <v>PDF</v>
      </c>
      <c r="K11569" s="12" t="s">
        <v>21652</v>
      </c>
      <c r="L11569" s="20">
        <v>0.21338912133891211</v>
      </c>
    </row>
    <row r="11570" spans="1:12" x14ac:dyDescent="0.45">
      <c r="A11570" s="12" t="s">
        <v>21650</v>
      </c>
      <c r="B11570" s="12" t="s">
        <v>2105</v>
      </c>
      <c r="C11570" s="13" t="s">
        <v>2106</v>
      </c>
      <c r="D11570" s="13" t="s">
        <v>65</v>
      </c>
      <c r="E11570" s="12" t="s">
        <v>35</v>
      </c>
      <c r="F11570" s="14">
        <v>86000</v>
      </c>
      <c r="G11570" s="14">
        <v>56100</v>
      </c>
      <c r="H11570" s="13" t="s">
        <v>21653</v>
      </c>
      <c r="I11570" s="40" t="s">
        <v>18</v>
      </c>
      <c r="J11570" s="40" t="str">
        <f>HYPERLINK("https://stock.pstatic.net/stock-research/company/57/20250616_company_6026000.pdf","PDF")</f>
        <v>PDF</v>
      </c>
      <c r="K11570" s="12" t="s">
        <v>21654</v>
      </c>
      <c r="L11570" s="20">
        <v>0.53297682709447414</v>
      </c>
    </row>
    <row r="11571" spans="1:12" x14ac:dyDescent="0.45">
      <c r="A11571" s="12" t="s">
        <v>21650</v>
      </c>
      <c r="B11571" s="12" t="s">
        <v>272</v>
      </c>
      <c r="C11571" s="13" t="s">
        <v>273</v>
      </c>
      <c r="D11571" s="13" t="s">
        <v>83</v>
      </c>
      <c r="E11571" s="12" t="s">
        <v>642</v>
      </c>
      <c r="F11571" s="14">
        <v>430000</v>
      </c>
      <c r="G11571" s="14">
        <v>433500</v>
      </c>
      <c r="H11571" s="13" t="s">
        <v>21655</v>
      </c>
      <c r="I11571" s="40" t="s">
        <v>18</v>
      </c>
      <c r="J11571" s="40" t="str">
        <f>HYPERLINK("https://stock.pstatic.net/stock-research/company/2/20250616_company_281526000.pdf","PDF")</f>
        <v>PDF</v>
      </c>
      <c r="K11571" s="12" t="s">
        <v>21656</v>
      </c>
      <c r="L11571" s="20">
        <v>-8.0738177623990767E-3</v>
      </c>
    </row>
    <row r="11572" spans="1:12" x14ac:dyDescent="0.45">
      <c r="A11572" s="12" t="s">
        <v>21650</v>
      </c>
      <c r="B11572" s="12" t="s">
        <v>11090</v>
      </c>
      <c r="C11572" s="13" t="s">
        <v>11091</v>
      </c>
      <c r="D11572" s="13" t="s">
        <v>158</v>
      </c>
      <c r="E11572" s="12" t="s">
        <v>50</v>
      </c>
      <c r="F11572" s="13"/>
      <c r="G11572" s="14">
        <v>21650</v>
      </c>
      <c r="H11572" s="13" t="s">
        <v>21657</v>
      </c>
      <c r="I11572" s="40" t="s">
        <v>18</v>
      </c>
      <c r="J11572" s="40" t="str">
        <f>HYPERLINK("https://stock.pstatic.net/stock-research/company/1/20250616_company_391197000.pdf","PDF")</f>
        <v>PDF</v>
      </c>
      <c r="K11572" s="12" t="s">
        <v>21658</v>
      </c>
    </row>
    <row r="11573" spans="1:12" x14ac:dyDescent="0.45">
      <c r="A11573" s="12" t="s">
        <v>21650</v>
      </c>
      <c r="B11573" s="12" t="s">
        <v>768</v>
      </c>
      <c r="C11573" s="13" t="s">
        <v>769</v>
      </c>
      <c r="D11573" s="13" t="s">
        <v>158</v>
      </c>
      <c r="E11573" s="12" t="s">
        <v>35</v>
      </c>
      <c r="F11573" s="14">
        <v>288000</v>
      </c>
      <c r="G11573" s="14">
        <v>242500</v>
      </c>
      <c r="H11573" s="13" t="s">
        <v>21659</v>
      </c>
      <c r="I11573" s="40" t="s">
        <v>18</v>
      </c>
      <c r="J11573" s="40" t="str">
        <f>HYPERLINK("https://stock.pstatic.net/stock-research/company/18/20250616_company_352421000.pdf","PDF")</f>
        <v>PDF</v>
      </c>
      <c r="K11573" s="12" t="s">
        <v>21660</v>
      </c>
      <c r="L11573" s="20">
        <v>0.18762886597938139</v>
      </c>
    </row>
    <row r="11574" spans="1:12" x14ac:dyDescent="0.45">
      <c r="A11574" s="12" t="s">
        <v>21650</v>
      </c>
      <c r="B11574" s="12" t="s">
        <v>1401</v>
      </c>
      <c r="C11574" s="13" t="s">
        <v>1402</v>
      </c>
      <c r="D11574" s="13" t="s">
        <v>158</v>
      </c>
      <c r="E11574" s="12" t="s">
        <v>50</v>
      </c>
      <c r="F11574" s="13"/>
      <c r="G11574" s="14">
        <v>11670</v>
      </c>
      <c r="H11574" s="13" t="s">
        <v>21661</v>
      </c>
      <c r="I11574" s="40" t="s">
        <v>18</v>
      </c>
      <c r="J11574" s="40" t="str">
        <f>HYPERLINK("https://stock.pstatic.net/stock-research/company/1/20250616_company_406088000.pdf","PDF")</f>
        <v>PDF</v>
      </c>
      <c r="K11574" s="12" t="s">
        <v>21662</v>
      </c>
    </row>
    <row r="11575" spans="1:12" x14ac:dyDescent="0.45">
      <c r="A11575" s="12" t="s">
        <v>21650</v>
      </c>
      <c r="B11575" s="12" t="s">
        <v>272</v>
      </c>
      <c r="C11575" s="13" t="s">
        <v>273</v>
      </c>
      <c r="D11575" s="13" t="s">
        <v>15</v>
      </c>
      <c r="E11575" s="12" t="s">
        <v>50</v>
      </c>
      <c r="F11575" s="13"/>
      <c r="G11575" s="13"/>
      <c r="H11575" s="13" t="s">
        <v>21663</v>
      </c>
      <c r="I11575" s="40" t="s">
        <v>18</v>
      </c>
      <c r="J11575" s="40" t="str">
        <f>HYPERLINK("https://stock.pstatic.net/stock-research/company/29/20250616_company_255988000.pdf","PDF")</f>
        <v>PDF</v>
      </c>
      <c r="K11575" s="12" t="s">
        <v>21664</v>
      </c>
    </row>
    <row r="11576" spans="1:12" x14ac:dyDescent="0.45">
      <c r="A11576" s="12" t="s">
        <v>21650</v>
      </c>
      <c r="B11576" s="12" t="s">
        <v>6328</v>
      </c>
      <c r="C11576" s="13" t="s">
        <v>6329</v>
      </c>
      <c r="D11576" s="13" t="s">
        <v>92</v>
      </c>
      <c r="E11576" s="12" t="s">
        <v>35</v>
      </c>
      <c r="F11576" s="14">
        <v>10000</v>
      </c>
      <c r="G11576" s="14">
        <v>5930</v>
      </c>
      <c r="H11576" s="13" t="s">
        <v>21665</v>
      </c>
      <c r="I11576" s="40" t="s">
        <v>18</v>
      </c>
      <c r="J11576" s="40" t="str">
        <f>HYPERLINK("https://stock.pstatic.net/stock-research/company/63/20250616_company_581426000.pdf","PDF")</f>
        <v>PDF</v>
      </c>
      <c r="K11576" s="12" t="s">
        <v>21666</v>
      </c>
      <c r="L11576" s="20">
        <v>0.68634064080944346</v>
      </c>
    </row>
    <row r="11577" spans="1:12" x14ac:dyDescent="0.45">
      <c r="A11577" s="12" t="s">
        <v>21650</v>
      </c>
      <c r="B11577" s="12" t="s">
        <v>10962</v>
      </c>
      <c r="C11577" s="13" t="s">
        <v>10963</v>
      </c>
      <c r="D11577" s="13" t="s">
        <v>15</v>
      </c>
      <c r="E11577" s="12" t="s">
        <v>50</v>
      </c>
      <c r="F11577" s="13"/>
      <c r="G11577" s="14">
        <v>40900</v>
      </c>
      <c r="H11577" s="13" t="s">
        <v>21667</v>
      </c>
      <c r="I11577" s="40" t="s">
        <v>18</v>
      </c>
      <c r="J11577" s="40" t="str">
        <f>HYPERLINK("https://stock.pstatic.net/stock-research/company/1/20250616_company_959616000.pdf","PDF")</f>
        <v>PDF</v>
      </c>
      <c r="K11577" s="12" t="s">
        <v>21668</v>
      </c>
    </row>
    <row r="11578" spans="1:12" x14ac:dyDescent="0.45">
      <c r="A11578" s="12" t="s">
        <v>21650</v>
      </c>
      <c r="B11578" s="12" t="s">
        <v>272</v>
      </c>
      <c r="C11578" s="13" t="s">
        <v>273</v>
      </c>
      <c r="D11578" s="13" t="s">
        <v>92</v>
      </c>
      <c r="E11578" s="12" t="s">
        <v>35</v>
      </c>
      <c r="F11578" s="14">
        <v>540000</v>
      </c>
      <c r="G11578" s="14">
        <v>433500</v>
      </c>
      <c r="H11578" s="13" t="s">
        <v>21669</v>
      </c>
      <c r="I11578" s="40" t="s">
        <v>18</v>
      </c>
      <c r="J11578" s="40" t="str">
        <f>HYPERLINK("https://stock.pstatic.net/stock-research/company/63/20250616_company_352069000.pdf","PDF")</f>
        <v>PDF</v>
      </c>
      <c r="K11578" s="12" t="s">
        <v>21670</v>
      </c>
      <c r="L11578" s="20">
        <v>0.24567474048442911</v>
      </c>
    </row>
    <row r="11579" spans="1:12" x14ac:dyDescent="0.45">
      <c r="A11579" s="12" t="s">
        <v>21650</v>
      </c>
      <c r="B11579" s="12" t="s">
        <v>816</v>
      </c>
      <c r="C11579" s="13" t="s">
        <v>817</v>
      </c>
      <c r="D11579" s="13" t="s">
        <v>34</v>
      </c>
      <c r="E11579" s="12" t="s">
        <v>50</v>
      </c>
      <c r="F11579" s="13"/>
      <c r="G11579" s="14">
        <v>30900</v>
      </c>
      <c r="H11579" s="13" t="s">
        <v>21671</v>
      </c>
      <c r="I11579" s="40" t="s">
        <v>18</v>
      </c>
      <c r="J11579" s="40" t="str">
        <f>HYPERLINK("https://stock.pstatic.net/stock-research/company/61/20250616_company_267572000.pdf","PDF")</f>
        <v>PDF</v>
      </c>
      <c r="K11579" s="12" t="s">
        <v>21672</v>
      </c>
    </row>
    <row r="11580" spans="1:12" x14ac:dyDescent="0.45">
      <c r="A11580" s="12" t="s">
        <v>21650</v>
      </c>
      <c r="B11580" s="12" t="s">
        <v>14366</v>
      </c>
      <c r="C11580" s="13" t="s">
        <v>14367</v>
      </c>
      <c r="D11580" s="13" t="s">
        <v>179</v>
      </c>
      <c r="E11580" s="12" t="s">
        <v>16</v>
      </c>
      <c r="F11580" s="14">
        <v>9500</v>
      </c>
      <c r="G11580" s="14">
        <v>4495</v>
      </c>
      <c r="H11580" s="13" t="s">
        <v>21673</v>
      </c>
      <c r="I11580" s="40" t="s">
        <v>18</v>
      </c>
      <c r="J11580" s="40" t="str">
        <f>HYPERLINK("https://stock.pstatic.net/stock-research/company/31/20250616_company_698180000.pdf","PDF")</f>
        <v>PDF</v>
      </c>
      <c r="K11580" s="12" t="s">
        <v>21674</v>
      </c>
      <c r="L11580" s="20">
        <v>1.1134593993325921</v>
      </c>
    </row>
    <row r="11581" spans="1:12" x14ac:dyDescent="0.45">
      <c r="A11581" s="12" t="s">
        <v>21650</v>
      </c>
      <c r="B11581" s="12" t="s">
        <v>1144</v>
      </c>
      <c r="C11581" s="13" t="s">
        <v>1145</v>
      </c>
      <c r="D11581" s="13" t="s">
        <v>34</v>
      </c>
      <c r="E11581" s="12" t="s">
        <v>50</v>
      </c>
      <c r="F11581" s="13"/>
      <c r="G11581" s="14">
        <v>104100</v>
      </c>
      <c r="H11581" s="13" t="s">
        <v>21675</v>
      </c>
      <c r="I11581" s="40" t="s">
        <v>18</v>
      </c>
      <c r="J11581" s="40" t="str">
        <f>HYPERLINK("https://stock.pstatic.net/stock-research/company/61/20250616_company_185449000.pdf","PDF")</f>
        <v>PDF</v>
      </c>
      <c r="K11581" s="12" t="s">
        <v>21676</v>
      </c>
    </row>
    <row r="11582" spans="1:12" x14ac:dyDescent="0.45">
      <c r="A11582" s="12" t="s">
        <v>21650</v>
      </c>
      <c r="B11582" s="12" t="s">
        <v>21677</v>
      </c>
      <c r="C11582" s="13" t="s">
        <v>21678</v>
      </c>
      <c r="D11582" s="13" t="s">
        <v>53</v>
      </c>
      <c r="E11582" s="12" t="s">
        <v>50</v>
      </c>
      <c r="F11582" s="13"/>
      <c r="G11582" s="14">
        <v>1580</v>
      </c>
      <c r="H11582" s="13" t="s">
        <v>21679</v>
      </c>
      <c r="I11582" s="40" t="s">
        <v>18</v>
      </c>
      <c r="J11582" s="40" t="str">
        <f>HYPERLINK("https://stock.pstatic.net/stock-research/company/40/20250616_company_997659000.pdf","PDF")</f>
        <v>PDF</v>
      </c>
      <c r="K11582" s="12" t="s">
        <v>21680</v>
      </c>
    </row>
    <row r="11583" spans="1:12" x14ac:dyDescent="0.45">
      <c r="A11583" s="12" t="s">
        <v>21650</v>
      </c>
      <c r="B11583" s="12" t="s">
        <v>272</v>
      </c>
      <c r="C11583" s="13" t="s">
        <v>273</v>
      </c>
      <c r="D11583" s="13" t="s">
        <v>44</v>
      </c>
      <c r="E11583" s="12" t="s">
        <v>35</v>
      </c>
      <c r="F11583" s="14">
        <v>550000</v>
      </c>
      <c r="G11583" s="14">
        <v>433500</v>
      </c>
      <c r="H11583" s="13" t="s">
        <v>21681</v>
      </c>
      <c r="I11583" s="40" t="s">
        <v>18</v>
      </c>
      <c r="J11583" s="40" t="str">
        <f>HYPERLINK("https://stock.pstatic.net/stock-research/company/39/20250616_company_979163000.pdf","PDF")</f>
        <v>PDF</v>
      </c>
      <c r="K11583" s="12" t="s">
        <v>21682</v>
      </c>
      <c r="L11583" s="20">
        <v>0.26874279123414069</v>
      </c>
    </row>
    <row r="11584" spans="1:12" x14ac:dyDescent="0.45">
      <c r="A11584" s="12" t="s">
        <v>21650</v>
      </c>
      <c r="B11584" s="12" t="s">
        <v>2978</v>
      </c>
      <c r="C11584" s="13" t="s">
        <v>2979</v>
      </c>
      <c r="D11584" s="13" t="s">
        <v>179</v>
      </c>
      <c r="E11584" s="12" t="s">
        <v>50</v>
      </c>
      <c r="F11584" s="13"/>
      <c r="G11584" s="14">
        <v>10860</v>
      </c>
      <c r="H11584" s="13" t="s">
        <v>21683</v>
      </c>
      <c r="I11584" s="40" t="s">
        <v>18</v>
      </c>
      <c r="J11584" s="40" t="str">
        <f>HYPERLINK("https://stock.pstatic.net/stock-research/company/31/20250616_company_780481000.pdf","PDF")</f>
        <v>PDF</v>
      </c>
      <c r="K11584" s="12" t="s">
        <v>21684</v>
      </c>
    </row>
    <row r="11585" spans="1:12" x14ac:dyDescent="0.45">
      <c r="A11585" s="12" t="s">
        <v>21650</v>
      </c>
      <c r="B11585" s="12" t="s">
        <v>344</v>
      </c>
      <c r="C11585" s="13" t="s">
        <v>345</v>
      </c>
      <c r="D11585" s="13" t="s">
        <v>179</v>
      </c>
      <c r="E11585" s="12" t="s">
        <v>16</v>
      </c>
      <c r="F11585" s="14">
        <v>10600</v>
      </c>
      <c r="G11585" s="14">
        <v>7920</v>
      </c>
      <c r="H11585" s="13" t="s">
        <v>21685</v>
      </c>
      <c r="I11585" s="40" t="s">
        <v>18</v>
      </c>
      <c r="J11585" s="40" t="str">
        <f>HYPERLINK("https://stock.pstatic.net/stock-research/company/31/20250616_company_229664000.pdf","PDF")</f>
        <v>PDF</v>
      </c>
      <c r="K11585" s="12" t="s">
        <v>21686</v>
      </c>
      <c r="L11585" s="20">
        <v>0.3383838383838384</v>
      </c>
    </row>
    <row r="11586" spans="1:12" x14ac:dyDescent="0.45">
      <c r="A11586" s="12" t="s">
        <v>21650</v>
      </c>
      <c r="B11586" s="12" t="s">
        <v>268</v>
      </c>
      <c r="C11586" s="13" t="s">
        <v>269</v>
      </c>
      <c r="D11586" s="13" t="s">
        <v>23</v>
      </c>
      <c r="E11586" s="12" t="s">
        <v>16</v>
      </c>
      <c r="F11586" s="14">
        <v>730000</v>
      </c>
      <c r="G11586" s="14">
        <v>385500</v>
      </c>
      <c r="H11586" s="13" t="s">
        <v>21687</v>
      </c>
      <c r="I11586" s="40" t="s">
        <v>18</v>
      </c>
      <c r="J11586" s="40" t="str">
        <f>HYPERLINK("https://stock.pstatic.net/stock-research/company/21/20250616_company_6825000.pdf","PDF")</f>
        <v>PDF</v>
      </c>
      <c r="K11586" s="12" t="s">
        <v>21688</v>
      </c>
      <c r="L11586" s="20">
        <v>0.89364461738002599</v>
      </c>
    </row>
    <row r="11587" spans="1:12" x14ac:dyDescent="0.45">
      <c r="A11587" s="12" t="s">
        <v>21650</v>
      </c>
      <c r="B11587" s="12" t="s">
        <v>426</v>
      </c>
      <c r="C11587" s="13" t="s">
        <v>427</v>
      </c>
      <c r="D11587" s="13" t="s">
        <v>179</v>
      </c>
      <c r="E11587" s="12" t="s">
        <v>16</v>
      </c>
      <c r="F11587" s="14">
        <v>18400</v>
      </c>
      <c r="G11587" s="14">
        <v>13590</v>
      </c>
      <c r="H11587" s="13" t="s">
        <v>21689</v>
      </c>
      <c r="I11587" s="40" t="s">
        <v>18</v>
      </c>
      <c r="J11587" s="40" t="str">
        <f>HYPERLINK("https://stock.pstatic.net/stock-research/company/31/20250616_company_642468000.pdf","PDF")</f>
        <v>PDF</v>
      </c>
      <c r="K11587" s="12" t="s">
        <v>21690</v>
      </c>
      <c r="L11587" s="20">
        <v>0.35393671817512878</v>
      </c>
    </row>
    <row r="11588" spans="1:12" x14ac:dyDescent="0.45">
      <c r="A11588" s="12" t="s">
        <v>21650</v>
      </c>
      <c r="B11588" s="12" t="s">
        <v>1019</v>
      </c>
      <c r="C11588" s="13" t="s">
        <v>1020</v>
      </c>
      <c r="D11588" s="13" t="s">
        <v>179</v>
      </c>
      <c r="E11588" s="12" t="s">
        <v>16</v>
      </c>
      <c r="F11588" s="14">
        <v>21000</v>
      </c>
      <c r="G11588" s="14">
        <v>13400</v>
      </c>
      <c r="H11588" s="13" t="s">
        <v>21691</v>
      </c>
      <c r="I11588" s="40" t="s">
        <v>18</v>
      </c>
      <c r="J11588" s="40" t="str">
        <f>HYPERLINK("https://stock.pstatic.net/stock-research/company/31/20250616_company_458419000.pdf","PDF")</f>
        <v>PDF</v>
      </c>
      <c r="K11588" s="12" t="s">
        <v>21692</v>
      </c>
      <c r="L11588" s="20">
        <v>0.56716417910447758</v>
      </c>
    </row>
    <row r="11589" spans="1:12" x14ac:dyDescent="0.45">
      <c r="A11589" s="12" t="s">
        <v>21650</v>
      </c>
      <c r="B11589" s="12" t="s">
        <v>8193</v>
      </c>
      <c r="C11589" s="13" t="s">
        <v>8194</v>
      </c>
      <c r="D11589" s="13" t="s">
        <v>124</v>
      </c>
      <c r="E11589" s="12" t="s">
        <v>50</v>
      </c>
      <c r="F11589" s="13"/>
      <c r="G11589" s="13"/>
      <c r="H11589" s="13" t="s">
        <v>21693</v>
      </c>
      <c r="I11589" s="40" t="s">
        <v>18</v>
      </c>
      <c r="J11589" s="40" t="str">
        <f>HYPERLINK("https://stock.pstatic.net/stock-research/company/74/20250616_company_119799000.pdf","PDF")</f>
        <v>PDF</v>
      </c>
      <c r="K11589" s="12" t="s">
        <v>21694</v>
      </c>
    </row>
    <row r="11590" spans="1:12" x14ac:dyDescent="0.45">
      <c r="A11590" s="12" t="s">
        <v>21695</v>
      </c>
      <c r="B11590" s="12" t="s">
        <v>768</v>
      </c>
      <c r="C11590" s="13" t="s">
        <v>769</v>
      </c>
      <c r="D11590" s="13" t="s">
        <v>158</v>
      </c>
      <c r="E11590" s="12" t="s">
        <v>35</v>
      </c>
      <c r="F11590" s="14">
        <v>288000</v>
      </c>
      <c r="G11590" s="14">
        <v>242500</v>
      </c>
      <c r="H11590" s="13" t="s">
        <v>21659</v>
      </c>
      <c r="I11590" s="40" t="s">
        <v>18</v>
      </c>
      <c r="J11590" s="40" t="str">
        <f>HYPERLINK("https://stock.pstatic.net/stock-research/company/18/20250613_company_965103000.pdf","PDF")</f>
        <v>PDF</v>
      </c>
      <c r="K11590" s="12" t="s">
        <v>21696</v>
      </c>
      <c r="L11590" s="20">
        <v>0.18762886597938139</v>
      </c>
    </row>
    <row r="11591" spans="1:12" x14ac:dyDescent="0.45">
      <c r="A11591" s="12" t="s">
        <v>21695</v>
      </c>
      <c r="B11591" s="12" t="s">
        <v>11090</v>
      </c>
      <c r="C11591" s="13" t="s">
        <v>11091</v>
      </c>
      <c r="D11591" s="13" t="s">
        <v>158</v>
      </c>
      <c r="E11591" s="12" t="s">
        <v>50</v>
      </c>
      <c r="F11591" s="13"/>
      <c r="G11591" s="14">
        <v>21650</v>
      </c>
      <c r="H11591" s="13" t="s">
        <v>21657</v>
      </c>
      <c r="I11591" s="40" t="s">
        <v>18</v>
      </c>
      <c r="J11591" s="40" t="str">
        <f>HYPERLINK("https://stock.pstatic.net/stock-research/company/18/20250613_company_837948000.pdf","PDF")</f>
        <v>PDF</v>
      </c>
      <c r="K11591" s="12" t="s">
        <v>21697</v>
      </c>
    </row>
    <row r="11592" spans="1:12" x14ac:dyDescent="0.45">
      <c r="A11592" s="12" t="s">
        <v>21695</v>
      </c>
      <c r="B11592" s="12" t="s">
        <v>1401</v>
      </c>
      <c r="C11592" s="13" t="s">
        <v>1402</v>
      </c>
      <c r="D11592" s="13" t="s">
        <v>158</v>
      </c>
      <c r="E11592" s="12" t="s">
        <v>50</v>
      </c>
      <c r="F11592" s="13"/>
      <c r="G11592" s="14">
        <v>11670</v>
      </c>
      <c r="H11592" s="13" t="s">
        <v>21661</v>
      </c>
      <c r="I11592" s="40" t="s">
        <v>18</v>
      </c>
      <c r="J11592" s="40" t="str">
        <f>HYPERLINK("https://stock.pstatic.net/stock-research/company/18/20250613_company_885306000.pdf","PDF")</f>
        <v>PDF</v>
      </c>
      <c r="K11592" s="12" t="s">
        <v>21698</v>
      </c>
    </row>
    <row r="11593" spans="1:12" x14ac:dyDescent="0.45">
      <c r="A11593" s="12" t="s">
        <v>21695</v>
      </c>
      <c r="B11593" s="12" t="s">
        <v>18100</v>
      </c>
      <c r="C11593" s="13" t="s">
        <v>18101</v>
      </c>
      <c r="D11593" s="13" t="s">
        <v>57</v>
      </c>
      <c r="E11593" s="12" t="s">
        <v>50</v>
      </c>
      <c r="F11593" s="13"/>
      <c r="G11593" s="14">
        <v>1401</v>
      </c>
      <c r="H11593" s="13" t="s">
        <v>21699</v>
      </c>
      <c r="I11593" s="40" t="s">
        <v>18</v>
      </c>
      <c r="J11593" s="40" t="str">
        <f>HYPERLINK("https://stock.pstatic.net/stock-research/company/16/20250613_company_752933000.pdf","PDF")</f>
        <v>PDF</v>
      </c>
      <c r="K11593" s="12" t="s">
        <v>21700</v>
      </c>
    </row>
    <row r="11594" spans="1:12" x14ac:dyDescent="0.45">
      <c r="A11594" s="12" t="s">
        <v>21695</v>
      </c>
      <c r="B11594" s="12" t="s">
        <v>13</v>
      </c>
      <c r="C11594" s="13" t="s">
        <v>14</v>
      </c>
      <c r="D11594" s="13" t="s">
        <v>57</v>
      </c>
      <c r="E11594" s="12" t="s">
        <v>35</v>
      </c>
      <c r="F11594" s="14">
        <v>79000</v>
      </c>
      <c r="G11594" s="14">
        <v>59500</v>
      </c>
      <c r="H11594" s="13" t="s">
        <v>21701</v>
      </c>
      <c r="I11594" s="40" t="s">
        <v>18</v>
      </c>
      <c r="J11594" s="40" t="str">
        <f>HYPERLINK("https://stock.pstatic.net/stock-research/company/16/20250613_company_806291000.pdf","PDF")</f>
        <v>PDF</v>
      </c>
      <c r="K11594" s="12" t="s">
        <v>21702</v>
      </c>
      <c r="L11594" s="20">
        <v>0.32773109243697479</v>
      </c>
    </row>
    <row r="11595" spans="1:12" x14ac:dyDescent="0.45">
      <c r="A11595" s="12" t="s">
        <v>21695</v>
      </c>
      <c r="B11595" s="12" t="s">
        <v>908</v>
      </c>
      <c r="C11595" s="13" t="s">
        <v>909</v>
      </c>
      <c r="D11595" s="13" t="s">
        <v>57</v>
      </c>
      <c r="E11595" s="12" t="s">
        <v>35</v>
      </c>
      <c r="F11595" s="14">
        <v>180000</v>
      </c>
      <c r="G11595" s="14">
        <v>138600</v>
      </c>
      <c r="H11595" s="13" t="s">
        <v>21703</v>
      </c>
      <c r="I11595" s="40" t="s">
        <v>18</v>
      </c>
      <c r="J11595" s="40" t="str">
        <f>HYPERLINK("https://stock.pstatic.net/stock-research/company/16/20250613_company_564627000.pdf","PDF")</f>
        <v>PDF</v>
      </c>
      <c r="K11595" s="12" t="s">
        <v>21704</v>
      </c>
      <c r="L11595" s="20">
        <v>0.29870129870129869</v>
      </c>
    </row>
    <row r="11596" spans="1:12" x14ac:dyDescent="0.45">
      <c r="A11596" s="12" t="s">
        <v>21695</v>
      </c>
      <c r="B11596" s="12" t="s">
        <v>768</v>
      </c>
      <c r="C11596" s="13" t="s">
        <v>769</v>
      </c>
      <c r="D11596" s="13" t="s">
        <v>65</v>
      </c>
      <c r="E11596" s="12" t="s">
        <v>35</v>
      </c>
      <c r="F11596" s="14">
        <v>300000</v>
      </c>
      <c r="G11596" s="14">
        <v>242500</v>
      </c>
      <c r="H11596" s="13" t="s">
        <v>21705</v>
      </c>
      <c r="I11596" s="40" t="s">
        <v>18</v>
      </c>
      <c r="J11596" s="40" t="str">
        <f>HYPERLINK("https://stock.pstatic.net/stock-research/company/57/20250613_company_34271000.pdf","PDF")</f>
        <v>PDF</v>
      </c>
      <c r="K11596" s="12" t="s">
        <v>21706</v>
      </c>
      <c r="L11596" s="20">
        <v>0.23711340206185569</v>
      </c>
    </row>
    <row r="11597" spans="1:12" x14ac:dyDescent="0.45">
      <c r="A11597" s="12" t="s">
        <v>21695</v>
      </c>
      <c r="B11597" s="12" t="s">
        <v>541</v>
      </c>
      <c r="C11597" s="13" t="s">
        <v>542</v>
      </c>
      <c r="D11597" s="13" t="s">
        <v>65</v>
      </c>
      <c r="E11597" s="12" t="s">
        <v>35</v>
      </c>
      <c r="F11597" s="14">
        <v>70000</v>
      </c>
      <c r="G11597" s="14">
        <v>54100</v>
      </c>
      <c r="H11597" s="13" t="s">
        <v>21707</v>
      </c>
      <c r="I11597" s="40" t="s">
        <v>18</v>
      </c>
      <c r="J11597" s="40" t="str">
        <f>HYPERLINK("https://stock.pstatic.net/stock-research/company/57/20250613_company_941536000.pdf","PDF")</f>
        <v>PDF</v>
      </c>
      <c r="K11597" s="12" t="s">
        <v>21708</v>
      </c>
      <c r="L11597" s="20">
        <v>0.29390018484288349</v>
      </c>
    </row>
    <row r="11598" spans="1:12" x14ac:dyDescent="0.45">
      <c r="A11598" s="12" t="s">
        <v>21695</v>
      </c>
      <c r="B11598" s="12" t="s">
        <v>740</v>
      </c>
      <c r="C11598" s="13" t="s">
        <v>741</v>
      </c>
      <c r="D11598" s="13" t="s">
        <v>65</v>
      </c>
      <c r="E11598" s="12" t="s">
        <v>35</v>
      </c>
      <c r="F11598" s="14">
        <v>186000</v>
      </c>
      <c r="G11598" s="14">
        <v>150000</v>
      </c>
      <c r="H11598" s="13" t="s">
        <v>21709</v>
      </c>
      <c r="I11598" s="40" t="s">
        <v>18</v>
      </c>
      <c r="J11598" s="40" t="str">
        <f>HYPERLINK("https://stock.pstatic.net/stock-research/company/57/20250613_company_278719000.pdf","PDF")</f>
        <v>PDF</v>
      </c>
      <c r="K11598" s="12" t="s">
        <v>21710</v>
      </c>
      <c r="L11598" s="20">
        <v>0.24</v>
      </c>
    </row>
    <row r="11599" spans="1:12" x14ac:dyDescent="0.45">
      <c r="A11599" s="12" t="s">
        <v>21695</v>
      </c>
      <c r="B11599" s="12" t="s">
        <v>1105</v>
      </c>
      <c r="C11599" s="13" t="s">
        <v>1106</v>
      </c>
      <c r="D11599" s="13" t="s">
        <v>83</v>
      </c>
      <c r="E11599" s="12" t="s">
        <v>50</v>
      </c>
      <c r="F11599" s="13"/>
      <c r="G11599" s="14">
        <v>16120</v>
      </c>
      <c r="H11599" s="13" t="s">
        <v>21711</v>
      </c>
      <c r="I11599" s="40" t="s">
        <v>18</v>
      </c>
      <c r="J11599" s="40" t="str">
        <f>HYPERLINK("https://stock.pstatic.net/stock-research/company/2/20250613_company_698063000.pdf","PDF")</f>
        <v>PDF</v>
      </c>
      <c r="K11599" s="12" t="s">
        <v>21712</v>
      </c>
    </row>
    <row r="11600" spans="1:12" x14ac:dyDescent="0.45">
      <c r="A11600" s="12" t="s">
        <v>21695</v>
      </c>
      <c r="B11600" s="12" t="s">
        <v>1252</v>
      </c>
      <c r="C11600" s="13" t="s">
        <v>1253</v>
      </c>
      <c r="D11600" s="13" t="s">
        <v>179</v>
      </c>
      <c r="E11600" s="12" t="s">
        <v>16</v>
      </c>
      <c r="F11600" s="14">
        <v>6500</v>
      </c>
      <c r="G11600" s="14">
        <v>5600</v>
      </c>
      <c r="H11600" s="13" t="s">
        <v>21713</v>
      </c>
      <c r="I11600" s="40" t="s">
        <v>18</v>
      </c>
      <c r="J11600" s="40" t="str">
        <f>HYPERLINK("https://stock.pstatic.net/stock-research/company/64/20250613_company_41115000.pdf","PDF")</f>
        <v>PDF</v>
      </c>
      <c r="K11600" s="12" t="s">
        <v>21714</v>
      </c>
      <c r="L11600" s="20">
        <v>0.1607142857142857</v>
      </c>
    </row>
    <row r="11601" spans="1:12" x14ac:dyDescent="0.45">
      <c r="A11601" s="12" t="s">
        <v>21695</v>
      </c>
      <c r="B11601" s="12" t="s">
        <v>102</v>
      </c>
      <c r="C11601" s="13" t="s">
        <v>103</v>
      </c>
      <c r="D11601" s="13" t="s">
        <v>179</v>
      </c>
      <c r="E11601" s="12" t="s">
        <v>16</v>
      </c>
      <c r="F11601" s="14">
        <v>20500</v>
      </c>
      <c r="G11601" s="14">
        <v>12570</v>
      </c>
      <c r="H11601" s="13" t="s">
        <v>21715</v>
      </c>
      <c r="I11601" s="40" t="s">
        <v>18</v>
      </c>
      <c r="J11601" s="40" t="str">
        <f>HYPERLINK("https://stock.pstatic.net/stock-research/company/64/20250613_company_702087000.pdf","PDF")</f>
        <v>PDF</v>
      </c>
      <c r="K11601" s="12" t="s">
        <v>21716</v>
      </c>
      <c r="L11601" s="20">
        <v>0.63086714399363564</v>
      </c>
    </row>
    <row r="11602" spans="1:12" x14ac:dyDescent="0.45">
      <c r="A11602" s="12" t="s">
        <v>21695</v>
      </c>
      <c r="B11602" s="12" t="s">
        <v>1120</v>
      </c>
      <c r="C11602" s="13" t="s">
        <v>1121</v>
      </c>
      <c r="D11602" s="13" t="s">
        <v>53</v>
      </c>
      <c r="E11602" s="12" t="s">
        <v>16</v>
      </c>
      <c r="F11602" s="14">
        <v>145000</v>
      </c>
      <c r="G11602" s="14">
        <v>112700</v>
      </c>
      <c r="H11602" s="13" t="s">
        <v>21717</v>
      </c>
      <c r="I11602" s="40" t="s">
        <v>18</v>
      </c>
      <c r="J11602" s="40" t="str">
        <f>HYPERLINK("https://stock.pstatic.net/stock-research/company/40/20250613_company_326649000.pdf","PDF")</f>
        <v>PDF</v>
      </c>
      <c r="K11602" s="12" t="s">
        <v>21718</v>
      </c>
      <c r="L11602" s="20">
        <v>0.28660159716060329</v>
      </c>
    </row>
    <row r="11603" spans="1:12" x14ac:dyDescent="0.45">
      <c r="A11603" s="12" t="s">
        <v>21695</v>
      </c>
      <c r="B11603" s="12" t="s">
        <v>11060</v>
      </c>
      <c r="C11603" s="13" t="s">
        <v>11061</v>
      </c>
      <c r="D11603" s="13" t="s">
        <v>53</v>
      </c>
      <c r="E11603" s="12" t="s">
        <v>50</v>
      </c>
      <c r="F11603" s="13"/>
      <c r="G11603" s="14">
        <v>7340</v>
      </c>
      <c r="H11603" s="13" t="s">
        <v>21719</v>
      </c>
      <c r="I11603" s="40" t="s">
        <v>18</v>
      </c>
      <c r="J11603" s="40" t="str">
        <f>HYPERLINK("https://stock.pstatic.net/stock-research/company/40/20250613_company_223754000.pdf","PDF")</f>
        <v>PDF</v>
      </c>
      <c r="K11603" s="12" t="s">
        <v>21720</v>
      </c>
    </row>
    <row r="11604" spans="1:12" x14ac:dyDescent="0.45">
      <c r="A11604" s="12" t="s">
        <v>21695</v>
      </c>
      <c r="B11604" s="12" t="s">
        <v>768</v>
      </c>
      <c r="C11604" s="13" t="s">
        <v>769</v>
      </c>
      <c r="D11604" s="13" t="s">
        <v>23</v>
      </c>
      <c r="E11604" s="12" t="s">
        <v>16</v>
      </c>
      <c r="F11604" s="14">
        <v>290000</v>
      </c>
      <c r="G11604" s="14">
        <v>242500</v>
      </c>
      <c r="H11604" s="13" t="s">
        <v>21721</v>
      </c>
      <c r="I11604" s="40" t="s">
        <v>18</v>
      </c>
      <c r="J11604" s="40" t="str">
        <f>HYPERLINK("https://stock.pstatic.net/stock-research/company/21/20250613_company_499201000.pdf","PDF")</f>
        <v>PDF</v>
      </c>
      <c r="K11604" s="12" t="s">
        <v>21722</v>
      </c>
      <c r="L11604" s="20">
        <v>0.19587628865979381</v>
      </c>
    </row>
    <row r="11605" spans="1:12" x14ac:dyDescent="0.45">
      <c r="A11605" s="12" t="s">
        <v>21695</v>
      </c>
      <c r="B11605" s="12" t="s">
        <v>12413</v>
      </c>
      <c r="C11605" s="13" t="s">
        <v>12414</v>
      </c>
      <c r="D11605" s="13" t="s">
        <v>44</v>
      </c>
      <c r="E11605" s="12" t="s">
        <v>50</v>
      </c>
      <c r="F11605" s="13"/>
      <c r="G11605" s="14">
        <v>3635</v>
      </c>
      <c r="H11605" s="13" t="s">
        <v>21723</v>
      </c>
      <c r="I11605" s="40" t="s">
        <v>18</v>
      </c>
      <c r="J11605" s="40" t="str">
        <f>HYPERLINK("https://stock.pstatic.net/stock-research/company/39/20250613_company_113658000.pdf","PDF")</f>
        <v>PDF</v>
      </c>
      <c r="K11605" s="12" t="s">
        <v>21724</v>
      </c>
    </row>
    <row r="11606" spans="1:12" x14ac:dyDescent="0.45">
      <c r="A11606" s="12" t="s">
        <v>21695</v>
      </c>
      <c r="B11606" s="12" t="s">
        <v>21725</v>
      </c>
      <c r="C11606" s="13" t="s">
        <v>21726</v>
      </c>
      <c r="D11606" s="13" t="s">
        <v>44</v>
      </c>
      <c r="E11606" s="12" t="s">
        <v>50</v>
      </c>
      <c r="F11606" s="13"/>
      <c r="G11606" s="14">
        <v>11170</v>
      </c>
      <c r="H11606" s="13" t="s">
        <v>21727</v>
      </c>
      <c r="I11606" s="40" t="s">
        <v>18</v>
      </c>
      <c r="J11606" s="40" t="str">
        <f>HYPERLINK("https://stock.pstatic.net/stock-research/company/39/20250613_company_676910000.pdf","PDF")</f>
        <v>PDF</v>
      </c>
      <c r="K11606" s="12" t="s">
        <v>21728</v>
      </c>
    </row>
    <row r="11607" spans="1:12" x14ac:dyDescent="0.45">
      <c r="A11607" s="12" t="s">
        <v>21695</v>
      </c>
      <c r="B11607" s="12" t="s">
        <v>11685</v>
      </c>
      <c r="C11607" s="13" t="s">
        <v>11686</v>
      </c>
      <c r="D11607" s="13" t="s">
        <v>44</v>
      </c>
      <c r="E11607" s="12" t="s">
        <v>50</v>
      </c>
      <c r="F11607" s="13"/>
      <c r="G11607" s="14">
        <v>3295</v>
      </c>
      <c r="H11607" s="13" t="s">
        <v>21729</v>
      </c>
      <c r="I11607" s="40" t="s">
        <v>18</v>
      </c>
      <c r="J11607" s="40" t="str">
        <f>HYPERLINK("https://stock.pstatic.net/stock-research/company/39/20250613_company_558203000.pdf","PDF")</f>
        <v>PDF</v>
      </c>
      <c r="K11607" s="12" t="s">
        <v>21730</v>
      </c>
    </row>
    <row r="11608" spans="1:12" x14ac:dyDescent="0.45">
      <c r="A11608" s="12" t="s">
        <v>21695</v>
      </c>
      <c r="B11608" s="12" t="s">
        <v>21731</v>
      </c>
      <c r="C11608" s="13" t="s">
        <v>21732</v>
      </c>
      <c r="D11608" s="13" t="s">
        <v>202</v>
      </c>
      <c r="E11608" s="12" t="s">
        <v>50</v>
      </c>
      <c r="F11608" s="13"/>
      <c r="G11608" s="13"/>
      <c r="H11608" s="13" t="s">
        <v>21733</v>
      </c>
      <c r="I11608" s="40" t="s">
        <v>18</v>
      </c>
      <c r="J11608" s="40" t="str">
        <f>HYPERLINK("https://stock.pstatic.net/stock-research/company/69/20250613_company_860496000.pdf","PDF")</f>
        <v>PDF</v>
      </c>
      <c r="K11608" s="12" t="s">
        <v>21734</v>
      </c>
    </row>
    <row r="11609" spans="1:12" x14ac:dyDescent="0.45">
      <c r="A11609" s="12" t="s">
        <v>21695</v>
      </c>
      <c r="B11609" s="12" t="s">
        <v>10997</v>
      </c>
      <c r="C11609" s="13" t="s">
        <v>10998</v>
      </c>
      <c r="D11609" s="13" t="s">
        <v>11154</v>
      </c>
      <c r="E11609" s="12" t="s">
        <v>50</v>
      </c>
      <c r="F11609" s="13"/>
      <c r="G11609" s="13"/>
      <c r="H11609" s="13" t="s">
        <v>21735</v>
      </c>
      <c r="I11609" s="40" t="s">
        <v>18</v>
      </c>
      <c r="J11609" s="40" t="str">
        <f>HYPERLINK("https://stock.pstatic.net/stock-research/company/79/20250613_company_535661000.pdf","PDF")</f>
        <v>PDF</v>
      </c>
      <c r="K11609" s="12" t="s">
        <v>21736</v>
      </c>
    </row>
    <row r="11610" spans="1:12" x14ac:dyDescent="0.45">
      <c r="A11610" s="12" t="s">
        <v>21695</v>
      </c>
      <c r="B11610" s="12" t="s">
        <v>21737</v>
      </c>
      <c r="C11610" s="13" t="s">
        <v>21738</v>
      </c>
      <c r="D11610" s="13" t="s">
        <v>11154</v>
      </c>
      <c r="E11610" s="12" t="s">
        <v>50</v>
      </c>
      <c r="F11610" s="13"/>
      <c r="G11610" s="13"/>
      <c r="H11610" s="13" t="s">
        <v>21739</v>
      </c>
      <c r="I11610" s="40" t="s">
        <v>18</v>
      </c>
      <c r="J11610" s="40" t="str">
        <f>HYPERLINK("https://stock.pstatic.net/stock-research/company/79/20250613_company_555449000.pdf","PDF")</f>
        <v>PDF</v>
      </c>
      <c r="K11610" s="12" t="s">
        <v>21740</v>
      </c>
    </row>
    <row r="11611" spans="1:12" x14ac:dyDescent="0.45">
      <c r="A11611" s="12" t="s">
        <v>21695</v>
      </c>
      <c r="B11611" s="12" t="s">
        <v>21741</v>
      </c>
      <c r="C11611" s="13" t="s">
        <v>21742</v>
      </c>
      <c r="D11611" s="13" t="s">
        <v>11154</v>
      </c>
      <c r="E11611" s="12" t="s">
        <v>50</v>
      </c>
      <c r="F11611" s="13"/>
      <c r="G11611" s="13"/>
      <c r="H11611" s="13" t="s">
        <v>21743</v>
      </c>
      <c r="I11611" s="40" t="s">
        <v>18</v>
      </c>
      <c r="J11611" s="40" t="str">
        <f>HYPERLINK("https://stock.pstatic.net/stock-research/company/79/20250613_company_889877000.pdf","PDF")</f>
        <v>PDF</v>
      </c>
      <c r="K11611" s="12" t="s">
        <v>21744</v>
      </c>
    </row>
    <row r="11612" spans="1:12" x14ac:dyDescent="0.45">
      <c r="A11612" s="12" t="s">
        <v>21695</v>
      </c>
      <c r="B11612" s="12" t="s">
        <v>21745</v>
      </c>
      <c r="C11612" s="13" t="s">
        <v>21746</v>
      </c>
      <c r="D11612" s="13" t="s">
        <v>202</v>
      </c>
      <c r="E11612" s="12" t="s">
        <v>50</v>
      </c>
      <c r="F11612" s="13"/>
      <c r="G11612" s="13"/>
      <c r="H11612" s="13" t="s">
        <v>21747</v>
      </c>
      <c r="I11612" s="40" t="s">
        <v>18</v>
      </c>
      <c r="J11612" s="40" t="str">
        <f>HYPERLINK("https://stock.pstatic.net/stock-research/company/69/20250613_company_192885000.pdf","PDF")</f>
        <v>PDF</v>
      </c>
      <c r="K11612" s="12" t="s">
        <v>21748</v>
      </c>
    </row>
    <row r="11613" spans="1:12" x14ac:dyDescent="0.45">
      <c r="A11613" s="12" t="s">
        <v>21695</v>
      </c>
      <c r="B11613" s="12" t="s">
        <v>21749</v>
      </c>
      <c r="C11613" s="13" t="s">
        <v>21750</v>
      </c>
      <c r="D11613" s="13" t="s">
        <v>202</v>
      </c>
      <c r="E11613" s="12" t="s">
        <v>50</v>
      </c>
      <c r="F11613" s="13"/>
      <c r="G11613" s="13"/>
      <c r="H11613" s="13" t="s">
        <v>21751</v>
      </c>
      <c r="I11613" s="40" t="s">
        <v>18</v>
      </c>
      <c r="J11613" s="40" t="str">
        <f>HYPERLINK("https://stock.pstatic.net/stock-research/company/69/20250613_company_958781000.pdf","PDF")</f>
        <v>PDF</v>
      </c>
      <c r="K11613" s="12" t="s">
        <v>21752</v>
      </c>
    </row>
    <row r="11614" spans="1:12" x14ac:dyDescent="0.45">
      <c r="A11614" s="12" t="s">
        <v>21695</v>
      </c>
      <c r="B11614" s="12" t="s">
        <v>21753</v>
      </c>
      <c r="C11614" s="13" t="s">
        <v>21754</v>
      </c>
      <c r="D11614" s="13" t="s">
        <v>11154</v>
      </c>
      <c r="E11614" s="12" t="s">
        <v>50</v>
      </c>
      <c r="F11614" s="13"/>
      <c r="G11614" s="13"/>
      <c r="H11614" s="13" t="s">
        <v>21755</v>
      </c>
      <c r="I11614" s="40" t="s">
        <v>18</v>
      </c>
      <c r="J11614" s="40" t="str">
        <f>HYPERLINK("https://stock.pstatic.net/stock-research/company/79/20250613_company_536374000.pdf","PDF")</f>
        <v>PDF</v>
      </c>
      <c r="K11614" s="12" t="s">
        <v>21756</v>
      </c>
    </row>
    <row r="11615" spans="1:12" x14ac:dyDescent="0.45">
      <c r="A11615" s="12" t="s">
        <v>21695</v>
      </c>
      <c r="B11615" s="12" t="s">
        <v>21757</v>
      </c>
      <c r="C11615" s="13" t="s">
        <v>21758</v>
      </c>
      <c r="D11615" s="13" t="s">
        <v>11154</v>
      </c>
      <c r="E11615" s="12" t="s">
        <v>50</v>
      </c>
      <c r="F11615" s="13"/>
      <c r="G11615" s="13"/>
      <c r="H11615" s="13" t="s">
        <v>21759</v>
      </c>
      <c r="I11615" s="40" t="s">
        <v>18</v>
      </c>
      <c r="J11615" s="40" t="str">
        <f>HYPERLINK("https://stock.pstatic.net/stock-research/company/1/20250613_company_473206000.pdf","PDF")</f>
        <v>PDF</v>
      </c>
      <c r="K11615" s="12" t="s">
        <v>21760</v>
      </c>
    </row>
    <row r="11616" spans="1:12" x14ac:dyDescent="0.45">
      <c r="A11616" s="12" t="s">
        <v>21761</v>
      </c>
      <c r="B11616" s="12" t="s">
        <v>1383</v>
      </c>
      <c r="C11616" s="13" t="s">
        <v>1384</v>
      </c>
      <c r="D11616" s="13" t="s">
        <v>83</v>
      </c>
      <c r="E11616" s="12" t="s">
        <v>35</v>
      </c>
      <c r="F11616" s="14">
        <v>37000</v>
      </c>
      <c r="G11616" s="14">
        <v>27700</v>
      </c>
      <c r="H11616" s="13" t="s">
        <v>21762</v>
      </c>
      <c r="I11616" s="40" t="s">
        <v>18</v>
      </c>
      <c r="J11616" s="40" t="str">
        <f>HYPERLINK("https://stock.pstatic.net/stock-research/company/2/20250612_company_540798000.pdf","PDF")</f>
        <v>PDF</v>
      </c>
      <c r="K11616" s="12" t="s">
        <v>21763</v>
      </c>
      <c r="L11616" s="20">
        <v>0.33574007220216612</v>
      </c>
    </row>
    <row r="11617" spans="1:12" x14ac:dyDescent="0.45">
      <c r="A11617" s="12" t="s">
        <v>21761</v>
      </c>
      <c r="B11617" s="12" t="s">
        <v>6519</v>
      </c>
      <c r="C11617" s="13" t="s">
        <v>6520</v>
      </c>
      <c r="D11617" s="13" t="s">
        <v>60</v>
      </c>
      <c r="E11617" s="12" t="s">
        <v>50</v>
      </c>
      <c r="F11617" s="13"/>
      <c r="G11617" s="14">
        <v>9660</v>
      </c>
      <c r="H11617" s="13" t="s">
        <v>21764</v>
      </c>
      <c r="I11617" s="40" t="s">
        <v>18</v>
      </c>
      <c r="J11617" s="40" t="str">
        <f>HYPERLINK("https://stock.pstatic.net/stock-research/company/2/20250612_company_363126000.pdf","PDF")</f>
        <v>PDF</v>
      </c>
      <c r="K11617" s="12" t="s">
        <v>21765</v>
      </c>
    </row>
    <row r="11618" spans="1:12" x14ac:dyDescent="0.45">
      <c r="A11618" s="12" t="s">
        <v>21761</v>
      </c>
      <c r="B11618" s="12" t="s">
        <v>21766</v>
      </c>
      <c r="C11618" s="13" t="s">
        <v>21767</v>
      </c>
      <c r="D11618" s="13" t="s">
        <v>65</v>
      </c>
      <c r="E11618" s="12" t="s">
        <v>50</v>
      </c>
      <c r="F11618" s="13"/>
      <c r="G11618" s="14">
        <v>12640</v>
      </c>
      <c r="H11618" s="13" t="s">
        <v>21768</v>
      </c>
      <c r="I11618" s="40" t="s">
        <v>18</v>
      </c>
      <c r="J11618" s="40" t="str">
        <f>HYPERLINK("https://stock.pstatic.net/stock-research/company/57/20250612_company_77187000.pdf","PDF")</f>
        <v>PDF</v>
      </c>
      <c r="K11618" s="12" t="s">
        <v>21769</v>
      </c>
    </row>
    <row r="11619" spans="1:12" x14ac:dyDescent="0.45">
      <c r="A11619" s="12" t="s">
        <v>21761</v>
      </c>
      <c r="B11619" s="12" t="s">
        <v>5787</v>
      </c>
      <c r="C11619" s="13" t="s">
        <v>5788</v>
      </c>
      <c r="D11619" s="13" t="s">
        <v>65</v>
      </c>
      <c r="E11619" s="12" t="s">
        <v>35</v>
      </c>
      <c r="F11619" s="13"/>
      <c r="G11619" s="14">
        <v>12730</v>
      </c>
      <c r="H11619" s="13" t="s">
        <v>21770</v>
      </c>
      <c r="I11619" s="40" t="s">
        <v>18</v>
      </c>
      <c r="J11619" s="40" t="str">
        <f>HYPERLINK("https://stock.pstatic.net/stock-research/company/57/20250612_company_946660000.pdf","PDF")</f>
        <v>PDF</v>
      </c>
      <c r="K11619" s="12" t="s">
        <v>21771</v>
      </c>
    </row>
    <row r="11620" spans="1:12" x14ac:dyDescent="0.45">
      <c r="A11620" s="12" t="s">
        <v>21761</v>
      </c>
      <c r="B11620" s="12" t="s">
        <v>1019</v>
      </c>
      <c r="C11620" s="13" t="s">
        <v>1020</v>
      </c>
      <c r="D11620" s="13" t="s">
        <v>57</v>
      </c>
      <c r="E11620" s="12" t="s">
        <v>35</v>
      </c>
      <c r="F11620" s="14">
        <v>18000</v>
      </c>
      <c r="G11620" s="14">
        <v>13020</v>
      </c>
      <c r="H11620" s="13" t="s">
        <v>21772</v>
      </c>
      <c r="I11620" s="40" t="s">
        <v>18</v>
      </c>
      <c r="J11620" s="40" t="str">
        <f>HYPERLINK("https://stock.pstatic.net/stock-research/company/16/20250612_company_589939000.pdf","PDF")</f>
        <v>PDF</v>
      </c>
      <c r="K11620" s="12" t="s">
        <v>21773</v>
      </c>
      <c r="L11620" s="20">
        <v>0.38248847926267282</v>
      </c>
    </row>
    <row r="11621" spans="1:12" x14ac:dyDescent="0.45">
      <c r="A11621" s="12" t="s">
        <v>21761</v>
      </c>
      <c r="B11621" s="12" t="s">
        <v>8183</v>
      </c>
      <c r="C11621" s="13" t="s">
        <v>8184</v>
      </c>
      <c r="D11621" s="13" t="s">
        <v>23</v>
      </c>
      <c r="E11621" s="12" t="s">
        <v>50</v>
      </c>
      <c r="F11621" s="14">
        <v>18900</v>
      </c>
      <c r="G11621" s="14">
        <v>17260</v>
      </c>
      <c r="H11621" s="13" t="s">
        <v>21774</v>
      </c>
      <c r="I11621" s="40" t="s">
        <v>18</v>
      </c>
      <c r="J11621" s="40" t="str">
        <f>HYPERLINK("https://stock.pstatic.net/stock-research/company/21/20250612_company_557257000.pdf","PDF")</f>
        <v>PDF</v>
      </c>
      <c r="K11621" s="12" t="s">
        <v>21775</v>
      </c>
      <c r="L11621" s="20">
        <v>9.5017381228273468E-2</v>
      </c>
    </row>
    <row r="11622" spans="1:12" x14ac:dyDescent="0.45">
      <c r="A11622" s="12" t="s">
        <v>21761</v>
      </c>
      <c r="B11622" s="12" t="s">
        <v>1057</v>
      </c>
      <c r="C11622" s="13" t="s">
        <v>1058</v>
      </c>
      <c r="D11622" s="13" t="s">
        <v>23</v>
      </c>
      <c r="E11622" s="12" t="s">
        <v>16</v>
      </c>
      <c r="F11622" s="14">
        <v>13000</v>
      </c>
      <c r="G11622" s="14">
        <v>10390</v>
      </c>
      <c r="H11622" s="13" t="s">
        <v>21776</v>
      </c>
      <c r="I11622" s="40" t="s">
        <v>18</v>
      </c>
      <c r="J11622" s="40" t="str">
        <f>HYPERLINK("https://stock.pstatic.net/stock-research/company/21/20250612_company_740578000.pdf","PDF")</f>
        <v>PDF</v>
      </c>
      <c r="K11622" s="12" t="s">
        <v>21777</v>
      </c>
      <c r="L11622" s="20">
        <v>0.25120307988450441</v>
      </c>
    </row>
    <row r="11623" spans="1:12" x14ac:dyDescent="0.45">
      <c r="A11623" s="12" t="s">
        <v>21761</v>
      </c>
      <c r="B11623" s="12" t="s">
        <v>1065</v>
      </c>
      <c r="C11623" s="13" t="s">
        <v>1066</v>
      </c>
      <c r="D11623" s="13" t="s">
        <v>44</v>
      </c>
      <c r="E11623" s="12" t="s">
        <v>35</v>
      </c>
      <c r="F11623" s="14">
        <v>130000</v>
      </c>
      <c r="G11623" s="14">
        <v>101900</v>
      </c>
      <c r="H11623" s="13" t="s">
        <v>21778</v>
      </c>
      <c r="I11623" s="40" t="s">
        <v>18</v>
      </c>
      <c r="J11623" s="40" t="str">
        <f>HYPERLINK("https://stock.pstatic.net/stock-research/company/39/20250612_company_542020000.pdf","PDF")</f>
        <v>PDF</v>
      </c>
      <c r="K11623" s="12" t="s">
        <v>21779</v>
      </c>
      <c r="L11623" s="20">
        <v>0.27576054955839058</v>
      </c>
    </row>
    <row r="11624" spans="1:12" x14ac:dyDescent="0.45">
      <c r="A11624" s="12" t="s">
        <v>21761</v>
      </c>
      <c r="B11624" s="12" t="s">
        <v>12641</v>
      </c>
      <c r="C11624" s="13" t="s">
        <v>12642</v>
      </c>
      <c r="D11624" s="13" t="s">
        <v>44</v>
      </c>
      <c r="E11624" s="12" t="s">
        <v>50</v>
      </c>
      <c r="F11624" s="13"/>
      <c r="G11624" s="14">
        <v>4300</v>
      </c>
      <c r="H11624" s="13" t="s">
        <v>21780</v>
      </c>
      <c r="I11624" s="40" t="s">
        <v>18</v>
      </c>
      <c r="J11624" s="40" t="str">
        <f>HYPERLINK("https://stock.pstatic.net/stock-research/company/1/20250612_company_530568000.pdf","PDF")</f>
        <v>PDF</v>
      </c>
      <c r="K11624" s="12" t="s">
        <v>21781</v>
      </c>
    </row>
    <row r="11625" spans="1:12" x14ac:dyDescent="0.45">
      <c r="A11625" s="12" t="s">
        <v>21761</v>
      </c>
      <c r="B11625" s="12" t="s">
        <v>3355</v>
      </c>
      <c r="C11625" s="13" t="s">
        <v>3356</v>
      </c>
      <c r="D11625" s="13" t="s">
        <v>124</v>
      </c>
      <c r="E11625" s="12" t="s">
        <v>50</v>
      </c>
      <c r="F11625" s="13"/>
      <c r="G11625" s="13"/>
      <c r="H11625" s="13" t="s">
        <v>21782</v>
      </c>
      <c r="I11625" s="40" t="s">
        <v>18</v>
      </c>
      <c r="J11625" s="40" t="str">
        <f>HYPERLINK("https://stock.pstatic.net/stock-research/company/1/20250612_company_335265000.pdf","PDF")</f>
        <v>PDF</v>
      </c>
      <c r="K11625" s="12" t="s">
        <v>21783</v>
      </c>
    </row>
    <row r="11626" spans="1:12" x14ac:dyDescent="0.45">
      <c r="A11626" s="12" t="s">
        <v>21761</v>
      </c>
      <c r="B11626" s="12" t="s">
        <v>1459</v>
      </c>
      <c r="C11626" s="13" t="s">
        <v>1460</v>
      </c>
      <c r="D11626" s="13" t="s">
        <v>124</v>
      </c>
      <c r="E11626" s="12" t="s">
        <v>50</v>
      </c>
      <c r="F11626" s="13"/>
      <c r="G11626" s="13"/>
      <c r="H11626" s="13" t="s">
        <v>21784</v>
      </c>
      <c r="I11626" s="40" t="s">
        <v>18</v>
      </c>
      <c r="J11626" s="40" t="str">
        <f>HYPERLINK("https://stock.pstatic.net/stock-research/company/74/20250612_company_711698000.pdf","PDF")</f>
        <v>PDF</v>
      </c>
      <c r="K11626" s="12" t="s">
        <v>21785</v>
      </c>
    </row>
    <row r="11627" spans="1:12" x14ac:dyDescent="0.45">
      <c r="A11627" s="12" t="s">
        <v>21761</v>
      </c>
      <c r="B11627" s="12" t="s">
        <v>10864</v>
      </c>
      <c r="C11627" s="13" t="s">
        <v>10865</v>
      </c>
      <c r="D11627" s="13" t="s">
        <v>53</v>
      </c>
      <c r="E11627" s="12" t="s">
        <v>50</v>
      </c>
      <c r="F11627" s="13"/>
      <c r="G11627" s="14">
        <v>914</v>
      </c>
      <c r="H11627" s="13" t="s">
        <v>21786</v>
      </c>
      <c r="I11627" s="40" t="s">
        <v>18</v>
      </c>
      <c r="J11627" s="40" t="str">
        <f>HYPERLINK("https://stock.pstatic.net/stock-research/company/40/20250612_company_24742000.pdf","PDF")</f>
        <v>PDF</v>
      </c>
      <c r="K11627" s="12" t="s">
        <v>21787</v>
      </c>
    </row>
    <row r="11628" spans="1:12" x14ac:dyDescent="0.45">
      <c r="A11628" s="12" t="s">
        <v>21788</v>
      </c>
      <c r="B11628" s="12" t="s">
        <v>537</v>
      </c>
      <c r="C11628" s="13" t="s">
        <v>538</v>
      </c>
      <c r="D11628" s="13" t="s">
        <v>83</v>
      </c>
      <c r="E11628" s="12" t="s">
        <v>35</v>
      </c>
      <c r="F11628" s="14">
        <v>17000</v>
      </c>
      <c r="G11628" s="14">
        <v>12980</v>
      </c>
      <c r="H11628" s="13" t="s">
        <v>21789</v>
      </c>
      <c r="I11628" s="40" t="s">
        <v>18</v>
      </c>
      <c r="J11628" s="40" t="str">
        <f>HYPERLINK("https://stock.pstatic.net/stock-research/company/2/20250611_company_843265000.pdf","PDF")</f>
        <v>PDF</v>
      </c>
      <c r="K11628" s="12" t="s">
        <v>21790</v>
      </c>
      <c r="L11628" s="20">
        <v>0.30970724191063181</v>
      </c>
    </row>
    <row r="11629" spans="1:12" x14ac:dyDescent="0.45">
      <c r="A11629" s="12" t="s">
        <v>21788</v>
      </c>
      <c r="B11629" s="12" t="s">
        <v>3284</v>
      </c>
      <c r="C11629" s="13" t="s">
        <v>3285</v>
      </c>
      <c r="D11629" s="13" t="s">
        <v>83</v>
      </c>
      <c r="E11629" s="12" t="s">
        <v>35</v>
      </c>
      <c r="F11629" s="14">
        <v>100000</v>
      </c>
      <c r="G11629" s="14">
        <v>78900</v>
      </c>
      <c r="H11629" s="13" t="s">
        <v>21791</v>
      </c>
      <c r="I11629" s="40" t="s">
        <v>18</v>
      </c>
      <c r="J11629" s="40" t="str">
        <f>HYPERLINK("https://stock.pstatic.net/stock-research/company/2/20250611_company_524871000.pdf","PDF")</f>
        <v>PDF</v>
      </c>
      <c r="K11629" s="12" t="s">
        <v>21792</v>
      </c>
      <c r="L11629" s="20">
        <v>0.26742712294043092</v>
      </c>
    </row>
    <row r="11630" spans="1:12" x14ac:dyDescent="0.45">
      <c r="A11630" s="12" t="s">
        <v>21788</v>
      </c>
      <c r="B11630" s="12" t="s">
        <v>1140</v>
      </c>
      <c r="C11630" s="13" t="s">
        <v>1141</v>
      </c>
      <c r="D11630" s="13" t="s">
        <v>83</v>
      </c>
      <c r="E11630" s="12" t="s">
        <v>35</v>
      </c>
      <c r="F11630" s="14">
        <v>40000</v>
      </c>
      <c r="G11630" s="14">
        <v>27450</v>
      </c>
      <c r="H11630" s="13" t="s">
        <v>21793</v>
      </c>
      <c r="I11630" s="40" t="s">
        <v>18</v>
      </c>
      <c r="J11630" s="40" t="str">
        <f>HYPERLINK("https://stock.pstatic.net/stock-research/company/2/20250611_company_56804000.pdf","PDF")</f>
        <v>PDF</v>
      </c>
      <c r="K11630" s="12" t="s">
        <v>21794</v>
      </c>
      <c r="L11630" s="20">
        <v>0.45719489981785072</v>
      </c>
    </row>
    <row r="11631" spans="1:12" x14ac:dyDescent="0.45">
      <c r="A11631" s="12" t="s">
        <v>21788</v>
      </c>
      <c r="B11631" s="12" t="s">
        <v>1678</v>
      </c>
      <c r="C11631" s="13" t="s">
        <v>1679</v>
      </c>
      <c r="D11631" s="13" t="s">
        <v>65</v>
      </c>
      <c r="E11631" s="12" t="s">
        <v>35</v>
      </c>
      <c r="F11631" s="14">
        <v>95000</v>
      </c>
      <c r="G11631" s="14">
        <v>77300</v>
      </c>
      <c r="H11631" s="13" t="s">
        <v>21795</v>
      </c>
      <c r="I11631" s="40" t="s">
        <v>18</v>
      </c>
      <c r="J11631" s="40" t="str">
        <f>HYPERLINK("https://stock.pstatic.net/stock-research/company/57/20250611_company_378071000.pdf","PDF")</f>
        <v>PDF</v>
      </c>
      <c r="K11631" s="12" t="s">
        <v>21796</v>
      </c>
      <c r="L11631" s="20">
        <v>0.22897800776196639</v>
      </c>
    </row>
    <row r="11632" spans="1:12" x14ac:dyDescent="0.45">
      <c r="A11632" s="12" t="s">
        <v>21788</v>
      </c>
      <c r="B11632" s="12" t="s">
        <v>1140</v>
      </c>
      <c r="C11632" s="13" t="s">
        <v>1141</v>
      </c>
      <c r="D11632" s="13" t="s">
        <v>57</v>
      </c>
      <c r="E11632" s="12" t="s">
        <v>35</v>
      </c>
      <c r="F11632" s="14">
        <v>33000</v>
      </c>
      <c r="G11632" s="14">
        <v>27450</v>
      </c>
      <c r="H11632" s="13" t="s">
        <v>21797</v>
      </c>
      <c r="I11632" s="40" t="s">
        <v>18</v>
      </c>
      <c r="J11632" s="40" t="str">
        <f>HYPERLINK("https://stock.pstatic.net/stock-research/company/16/20250611_company_767711000.pdf","PDF")</f>
        <v>PDF</v>
      </c>
      <c r="K11632" s="12" t="s">
        <v>21798</v>
      </c>
      <c r="L11632" s="20">
        <v>0.20218579234972681</v>
      </c>
    </row>
    <row r="11633" spans="1:12" x14ac:dyDescent="0.45">
      <c r="A11633" s="12" t="s">
        <v>21788</v>
      </c>
      <c r="B11633" s="12" t="s">
        <v>32</v>
      </c>
      <c r="C11633" s="13" t="s">
        <v>33</v>
      </c>
      <c r="D11633" s="13" t="s">
        <v>179</v>
      </c>
      <c r="E11633" s="12" t="s">
        <v>16</v>
      </c>
      <c r="F11633" s="14">
        <v>187000</v>
      </c>
      <c r="G11633" s="14">
        <v>129800</v>
      </c>
      <c r="H11633" s="13" t="s">
        <v>21799</v>
      </c>
      <c r="I11633" s="40" t="s">
        <v>18</v>
      </c>
      <c r="J11633" s="40" t="str">
        <f>HYPERLINK("https://m.stock.naver.com/research/company/83672","PDF")</f>
        <v>PDF</v>
      </c>
      <c r="K11633" s="12" t="s">
        <v>21800</v>
      </c>
      <c r="L11633" s="20">
        <v>0.44067796610169491</v>
      </c>
    </row>
    <row r="11634" spans="1:12" x14ac:dyDescent="0.45">
      <c r="A11634" s="12" t="s">
        <v>21788</v>
      </c>
      <c r="B11634" s="12" t="s">
        <v>15054</v>
      </c>
      <c r="C11634" s="13" t="s">
        <v>15055</v>
      </c>
      <c r="D11634" s="13" t="s">
        <v>53</v>
      </c>
      <c r="E11634" s="12" t="s">
        <v>50</v>
      </c>
      <c r="F11634" s="13"/>
      <c r="G11634" s="14">
        <v>2890</v>
      </c>
      <c r="H11634" s="13" t="s">
        <v>21801</v>
      </c>
      <c r="I11634" s="40" t="s">
        <v>18</v>
      </c>
      <c r="J11634" s="40" t="str">
        <f>HYPERLINK("https://stock.pstatic.net/stock-research/company/40/20250611_company_406462000.pdf","PDF")</f>
        <v>PDF</v>
      </c>
      <c r="K11634" s="12" t="s">
        <v>21802</v>
      </c>
    </row>
    <row r="11635" spans="1:12" x14ac:dyDescent="0.45">
      <c r="A11635" s="12" t="s">
        <v>21788</v>
      </c>
      <c r="B11635" s="12" t="s">
        <v>904</v>
      </c>
      <c r="C11635" s="13" t="s">
        <v>905</v>
      </c>
      <c r="D11635" s="13" t="s">
        <v>23</v>
      </c>
      <c r="E11635" s="12" t="s">
        <v>50</v>
      </c>
      <c r="F11635" s="13"/>
      <c r="G11635" s="14">
        <v>45600</v>
      </c>
      <c r="H11635" s="13" t="s">
        <v>21803</v>
      </c>
      <c r="I11635" s="40" t="s">
        <v>18</v>
      </c>
      <c r="J11635" s="40" t="str">
        <f>HYPERLINK("https://stock.pstatic.net/stock-research/company/21/20250611_company_46999000.pdf","PDF")</f>
        <v>PDF</v>
      </c>
      <c r="K11635" s="12" t="s">
        <v>21804</v>
      </c>
    </row>
    <row r="11636" spans="1:12" x14ac:dyDescent="0.45">
      <c r="A11636" s="12" t="s">
        <v>21788</v>
      </c>
      <c r="B11636" s="12" t="s">
        <v>3105</v>
      </c>
      <c r="C11636" s="13" t="s">
        <v>3106</v>
      </c>
      <c r="D11636" s="13" t="s">
        <v>34</v>
      </c>
      <c r="E11636" s="12" t="s">
        <v>35</v>
      </c>
      <c r="F11636" s="14">
        <v>360000</v>
      </c>
      <c r="G11636" s="14">
        <v>309000</v>
      </c>
      <c r="H11636" s="13" t="s">
        <v>21805</v>
      </c>
      <c r="I11636" s="40" t="s">
        <v>18</v>
      </c>
      <c r="J11636" s="40" t="str">
        <f>HYPERLINK("https://m.stock.naver.com/research/company/83669","PDF")</f>
        <v>PDF</v>
      </c>
      <c r="K11636" s="12" t="s">
        <v>21806</v>
      </c>
      <c r="L11636" s="20">
        <v>0.1650485436893204</v>
      </c>
    </row>
    <row r="11637" spans="1:12" x14ac:dyDescent="0.45">
      <c r="A11637" s="12" t="s">
        <v>21788</v>
      </c>
      <c r="B11637" s="12" t="s">
        <v>352</v>
      </c>
      <c r="C11637" s="13" t="s">
        <v>353</v>
      </c>
      <c r="D11637" s="13" t="s">
        <v>23</v>
      </c>
      <c r="E11637" s="12" t="s">
        <v>16</v>
      </c>
      <c r="F11637" s="14">
        <v>200000</v>
      </c>
      <c r="G11637" s="14">
        <v>168300</v>
      </c>
      <c r="H11637" s="13" t="s">
        <v>21807</v>
      </c>
      <c r="I11637" s="40" t="s">
        <v>18</v>
      </c>
      <c r="J11637" s="40" t="str">
        <f>HYPERLINK("https://m.stock.naver.com/research/company/83668","PDF")</f>
        <v>PDF</v>
      </c>
      <c r="K11637" s="12" t="s">
        <v>21808</v>
      </c>
      <c r="L11637" s="20">
        <v>0.1883541295306001</v>
      </c>
    </row>
    <row r="11638" spans="1:12" x14ac:dyDescent="0.45">
      <c r="A11638" s="12" t="s">
        <v>21788</v>
      </c>
      <c r="B11638" s="12" t="s">
        <v>1124</v>
      </c>
      <c r="C11638" s="13" t="s">
        <v>1125</v>
      </c>
      <c r="D11638" s="13" t="s">
        <v>44</v>
      </c>
      <c r="E11638" s="12" t="s">
        <v>35</v>
      </c>
      <c r="F11638" s="14">
        <v>190000</v>
      </c>
      <c r="G11638" s="14">
        <v>139700</v>
      </c>
      <c r="H11638" s="13" t="s">
        <v>21809</v>
      </c>
      <c r="I11638" s="40" t="s">
        <v>18</v>
      </c>
      <c r="J11638" s="40" t="str">
        <f>HYPERLINK("https://m.stock.naver.com/research/company/83667","PDF")</f>
        <v>PDF</v>
      </c>
      <c r="K11638" s="12" t="s">
        <v>21810</v>
      </c>
      <c r="L11638" s="20">
        <v>0.36005726556907658</v>
      </c>
    </row>
    <row r="11639" spans="1:12" x14ac:dyDescent="0.45">
      <c r="A11639" s="12" t="s">
        <v>21788</v>
      </c>
      <c r="B11639" s="12" t="s">
        <v>4864</v>
      </c>
      <c r="C11639" s="13" t="s">
        <v>4865</v>
      </c>
      <c r="D11639" s="13" t="s">
        <v>124</v>
      </c>
      <c r="E11639" s="12" t="s">
        <v>50</v>
      </c>
      <c r="F11639" s="13"/>
      <c r="G11639" s="13"/>
      <c r="H11639" s="13" t="s">
        <v>21811</v>
      </c>
      <c r="I11639" s="40" t="s">
        <v>18</v>
      </c>
      <c r="J11639" s="40" t="str">
        <f>HYPERLINK("https://stock.pstatic.net/stock-research/company/74/20250620_company_3909000.pdf","PDF")</f>
        <v>PDF</v>
      </c>
      <c r="K11639" s="12" t="s">
        <v>21812</v>
      </c>
    </row>
    <row r="11640" spans="1:12" x14ac:dyDescent="0.45">
      <c r="A11640" s="12" t="s">
        <v>21788</v>
      </c>
      <c r="B11640" s="12" t="s">
        <v>21813</v>
      </c>
      <c r="C11640" s="13" t="s">
        <v>21814</v>
      </c>
      <c r="D11640" s="13" t="s">
        <v>124</v>
      </c>
      <c r="E11640" s="12" t="s">
        <v>50</v>
      </c>
      <c r="F11640" s="13"/>
      <c r="G11640" s="13"/>
      <c r="H11640" s="13" t="s">
        <v>21815</v>
      </c>
      <c r="I11640" s="40" t="s">
        <v>18</v>
      </c>
      <c r="J11640" s="40" t="str">
        <f>HYPERLINK("https://stock.pstatic.net/stock-research/company/74/20250611_company_383155000.pdf","PDF")</f>
        <v>PDF</v>
      </c>
      <c r="K11640" s="12" t="s">
        <v>21816</v>
      </c>
    </row>
    <row r="11641" spans="1:12" x14ac:dyDescent="0.45">
      <c r="A11641" s="12" t="s">
        <v>21788</v>
      </c>
      <c r="B11641" s="12" t="s">
        <v>1686</v>
      </c>
      <c r="C11641" s="13" t="s">
        <v>1687</v>
      </c>
      <c r="D11641" s="13" t="s">
        <v>53</v>
      </c>
      <c r="E11641" s="12" t="s">
        <v>16</v>
      </c>
      <c r="F11641" s="14">
        <v>1450000</v>
      </c>
      <c r="G11641" s="14">
        <v>1157000</v>
      </c>
      <c r="H11641" s="13" t="s">
        <v>21817</v>
      </c>
      <c r="I11641" s="40" t="s">
        <v>18</v>
      </c>
      <c r="J11641" s="40" t="str">
        <f>HYPERLINK("https://stock.pstatic.net/stock-research/company/40/20250611_company_969422000.pdf","PDF")</f>
        <v>PDF</v>
      </c>
      <c r="K11641" s="12" t="s">
        <v>21818</v>
      </c>
      <c r="L11641" s="20">
        <v>0.25324114088159028</v>
      </c>
    </row>
    <row r="11642" spans="1:12" x14ac:dyDescent="0.45">
      <c r="A11642" s="12" t="s">
        <v>21788</v>
      </c>
      <c r="B11642" s="12" t="s">
        <v>118</v>
      </c>
      <c r="C11642" s="13" t="s">
        <v>119</v>
      </c>
      <c r="D11642" s="13" t="s">
        <v>53</v>
      </c>
      <c r="E11642" s="12" t="s">
        <v>16</v>
      </c>
      <c r="F11642" s="14">
        <v>104000</v>
      </c>
      <c r="G11642" s="14">
        <v>83100</v>
      </c>
      <c r="H11642" s="13" t="s">
        <v>21819</v>
      </c>
      <c r="I11642" s="40" t="s">
        <v>18</v>
      </c>
      <c r="J11642" s="40" t="str">
        <f>HYPERLINK("https://stock.pstatic.net/stock-research/company/40/20250611_company_666331000.pdf","PDF")</f>
        <v>PDF</v>
      </c>
      <c r="K11642" s="12" t="s">
        <v>21820</v>
      </c>
      <c r="L11642" s="20">
        <v>0.25150421179302052</v>
      </c>
    </row>
    <row r="11643" spans="1:12" x14ac:dyDescent="0.45">
      <c r="A11643" s="12" t="s">
        <v>21821</v>
      </c>
      <c r="B11643" s="12" t="s">
        <v>398</v>
      </c>
      <c r="C11643" s="13" t="s">
        <v>399</v>
      </c>
      <c r="D11643" s="13" t="s">
        <v>276</v>
      </c>
      <c r="E11643" s="12" t="s">
        <v>16</v>
      </c>
      <c r="F11643" s="14">
        <v>180000</v>
      </c>
      <c r="G11643" s="14">
        <v>117600</v>
      </c>
      <c r="H11643" s="13" t="s">
        <v>21822</v>
      </c>
      <c r="I11643" s="40" t="s">
        <v>18</v>
      </c>
      <c r="J11643" s="40" t="str">
        <f>HYPERLINK("https://stock.pstatic.net/stock-research/company/66/20250610_company_628798000.pdf","PDF")</f>
        <v>PDF</v>
      </c>
      <c r="K11643" s="12" t="s">
        <v>21823</v>
      </c>
      <c r="L11643" s="20">
        <v>0.53061224489795922</v>
      </c>
    </row>
    <row r="11644" spans="1:12" x14ac:dyDescent="0.45">
      <c r="A11644" s="12" t="s">
        <v>21821</v>
      </c>
      <c r="B11644" s="12" t="s">
        <v>2944</v>
      </c>
      <c r="C11644" s="13" t="s">
        <v>2945</v>
      </c>
      <c r="D11644" s="13" t="s">
        <v>65</v>
      </c>
      <c r="E11644" s="12" t="s">
        <v>35</v>
      </c>
      <c r="F11644" s="14">
        <v>14000</v>
      </c>
      <c r="G11644" s="14">
        <v>11250</v>
      </c>
      <c r="H11644" s="13" t="s">
        <v>21824</v>
      </c>
      <c r="I11644" s="40" t="s">
        <v>18</v>
      </c>
      <c r="J11644" s="40" t="str">
        <f>HYPERLINK("https://m.stock.naver.com/research/company/83661","PDF")</f>
        <v>PDF</v>
      </c>
      <c r="K11644" s="12" t="s">
        <v>21825</v>
      </c>
      <c r="L11644" s="20">
        <v>0.24444444444444441</v>
      </c>
    </row>
    <row r="11645" spans="1:12" x14ac:dyDescent="0.45">
      <c r="A11645" s="12" t="s">
        <v>21821</v>
      </c>
      <c r="B11645" s="12" t="s">
        <v>2960</v>
      </c>
      <c r="C11645" s="13" t="s">
        <v>2961</v>
      </c>
      <c r="D11645" s="13" t="s">
        <v>65</v>
      </c>
      <c r="E11645" s="12" t="s">
        <v>35</v>
      </c>
      <c r="F11645" s="14">
        <v>60000</v>
      </c>
      <c r="G11645" s="14">
        <v>50300</v>
      </c>
      <c r="H11645" s="13" t="s">
        <v>21826</v>
      </c>
      <c r="I11645" s="40" t="s">
        <v>18</v>
      </c>
      <c r="J11645" s="40" t="str">
        <f>HYPERLINK("https://m.stock.naver.com/research/company/83660","PDF")</f>
        <v>PDF</v>
      </c>
      <c r="K11645" s="12" t="s">
        <v>21827</v>
      </c>
      <c r="L11645" s="20">
        <v>0.19284294234592439</v>
      </c>
    </row>
    <row r="11646" spans="1:12" x14ac:dyDescent="0.45">
      <c r="A11646" s="12" t="s">
        <v>21821</v>
      </c>
      <c r="B11646" s="12" t="s">
        <v>3154</v>
      </c>
      <c r="C11646" s="13" t="s">
        <v>3155</v>
      </c>
      <c r="D11646" s="13" t="s">
        <v>65</v>
      </c>
      <c r="E11646" s="12" t="s">
        <v>50</v>
      </c>
      <c r="F11646" s="13"/>
      <c r="G11646" s="14">
        <v>4450</v>
      </c>
      <c r="H11646" s="13" t="s">
        <v>21828</v>
      </c>
      <c r="I11646" s="40" t="s">
        <v>18</v>
      </c>
      <c r="J11646" s="40" t="str">
        <f>HYPERLINK("https://stock.pstatic.net/stock-research/company/57/20250610_company_429745000.pdf","PDF")</f>
        <v>PDF</v>
      </c>
      <c r="K11646" s="12" t="s">
        <v>21829</v>
      </c>
    </row>
    <row r="11647" spans="1:12" x14ac:dyDescent="0.45">
      <c r="A11647" s="12" t="s">
        <v>21821</v>
      </c>
      <c r="B11647" s="12" t="s">
        <v>11600</v>
      </c>
      <c r="C11647" s="13" t="s">
        <v>11601</v>
      </c>
      <c r="D11647" s="13" t="s">
        <v>65</v>
      </c>
      <c r="E11647" s="12" t="s">
        <v>50</v>
      </c>
      <c r="F11647" s="13"/>
      <c r="G11647" s="14">
        <v>10920</v>
      </c>
      <c r="H11647" s="13" t="s">
        <v>21830</v>
      </c>
      <c r="I11647" s="40" t="s">
        <v>18</v>
      </c>
      <c r="J11647" s="40" t="str">
        <f>HYPERLINK("https://stock.pstatic.net/stock-research/company/57/20250610_company_206224000.pdf","PDF")</f>
        <v>PDF</v>
      </c>
      <c r="K11647" s="12" t="s">
        <v>21831</v>
      </c>
    </row>
    <row r="11648" spans="1:12" x14ac:dyDescent="0.45">
      <c r="A11648" s="12" t="s">
        <v>21821</v>
      </c>
      <c r="B11648" s="12" t="s">
        <v>780</v>
      </c>
      <c r="C11648" s="13" t="s">
        <v>781</v>
      </c>
      <c r="D11648" s="13" t="s">
        <v>65</v>
      </c>
      <c r="E11648" s="12" t="s">
        <v>35</v>
      </c>
      <c r="F11648" s="14">
        <v>15000</v>
      </c>
      <c r="G11648" s="14">
        <v>7090</v>
      </c>
      <c r="H11648" s="13" t="s">
        <v>21832</v>
      </c>
      <c r="I11648" s="40" t="s">
        <v>18</v>
      </c>
      <c r="J11648" s="40" t="str">
        <f>HYPERLINK("https://m.stock.naver.com/research/company/83657","PDF")</f>
        <v>PDF</v>
      </c>
      <c r="K11648" s="12" t="s">
        <v>21833</v>
      </c>
      <c r="L11648" s="20">
        <v>1.115655853314528</v>
      </c>
    </row>
    <row r="11649" spans="1:12" x14ac:dyDescent="0.45">
      <c r="A11649" s="12" t="s">
        <v>21821</v>
      </c>
      <c r="B11649" s="12" t="s">
        <v>1548</v>
      </c>
      <c r="C11649" s="13" t="s">
        <v>1549</v>
      </c>
      <c r="D11649" s="13" t="s">
        <v>57</v>
      </c>
      <c r="E11649" s="12" t="s">
        <v>35</v>
      </c>
      <c r="F11649" s="14">
        <v>1100000</v>
      </c>
      <c r="G11649" s="14">
        <v>880000</v>
      </c>
      <c r="H11649" s="13" t="s">
        <v>21834</v>
      </c>
      <c r="I11649" s="40" t="s">
        <v>18</v>
      </c>
      <c r="J11649" s="40" t="str">
        <f>HYPERLINK("https://m.stock.naver.com/research/company/83656","PDF")</f>
        <v>PDF</v>
      </c>
      <c r="K11649" s="12" t="s">
        <v>21835</v>
      </c>
      <c r="L11649" s="20">
        <v>0.25</v>
      </c>
    </row>
    <row r="11650" spans="1:12" x14ac:dyDescent="0.45">
      <c r="A11650" s="12" t="s">
        <v>21821</v>
      </c>
      <c r="B11650" s="12" t="s">
        <v>1344</v>
      </c>
      <c r="C11650" s="13" t="s">
        <v>1345</v>
      </c>
      <c r="D11650" s="13" t="s">
        <v>23</v>
      </c>
      <c r="E11650" s="12" t="s">
        <v>50</v>
      </c>
      <c r="F11650" s="13"/>
      <c r="G11650" s="14">
        <v>30950</v>
      </c>
      <c r="H11650" s="13" t="s">
        <v>21836</v>
      </c>
      <c r="I11650" s="40" t="s">
        <v>18</v>
      </c>
      <c r="J11650" s="40" t="str">
        <f>HYPERLINK("https://stock.pstatic.net/stock-research/company/21/20250610_company_40966000.pdf","PDF")</f>
        <v>PDF</v>
      </c>
      <c r="K11650" s="12" t="s">
        <v>21837</v>
      </c>
    </row>
    <row r="11651" spans="1:12" x14ac:dyDescent="0.45">
      <c r="A11651" s="12" t="s">
        <v>21821</v>
      </c>
      <c r="B11651" s="12" t="s">
        <v>243</v>
      </c>
      <c r="C11651" s="13" t="s">
        <v>244</v>
      </c>
      <c r="D11651" s="13" t="s">
        <v>23</v>
      </c>
      <c r="E11651" s="12" t="s">
        <v>50</v>
      </c>
      <c r="F11651" s="13"/>
      <c r="G11651" s="14">
        <v>46650</v>
      </c>
      <c r="H11651" s="13" t="s">
        <v>21838</v>
      </c>
      <c r="I11651" s="40" t="s">
        <v>18</v>
      </c>
      <c r="J11651" s="40" t="str">
        <f>HYPERLINK("https://m.stock.naver.com/research/company/83654","PDF")</f>
        <v>PDF</v>
      </c>
      <c r="K11651" s="12" t="s">
        <v>21839</v>
      </c>
    </row>
    <row r="11652" spans="1:12" x14ac:dyDescent="0.45">
      <c r="A11652" s="12" t="s">
        <v>21821</v>
      </c>
      <c r="B11652" s="12" t="s">
        <v>1459</v>
      </c>
      <c r="C11652" s="13" t="s">
        <v>1460</v>
      </c>
      <c r="D11652" s="13" t="s">
        <v>23</v>
      </c>
      <c r="E11652" s="12" t="s">
        <v>16</v>
      </c>
      <c r="F11652" s="14">
        <v>190000</v>
      </c>
      <c r="G11652" s="14">
        <v>147300</v>
      </c>
      <c r="H11652" s="13" t="s">
        <v>21840</v>
      </c>
      <c r="I11652" s="40" t="s">
        <v>18</v>
      </c>
      <c r="J11652" s="40" t="str">
        <f>HYPERLINK("https://m.stock.naver.com/research/company/83653","PDF")</f>
        <v>PDF</v>
      </c>
      <c r="K11652" s="12" t="s">
        <v>21841</v>
      </c>
      <c r="L11652" s="20">
        <v>0.28988458927359129</v>
      </c>
    </row>
    <row r="11653" spans="1:12" x14ac:dyDescent="0.45">
      <c r="A11653" s="12" t="s">
        <v>21821</v>
      </c>
      <c r="B11653" s="12" t="s">
        <v>398</v>
      </c>
      <c r="C11653" s="13" t="s">
        <v>399</v>
      </c>
      <c r="D11653" s="13" t="s">
        <v>44</v>
      </c>
      <c r="E11653" s="12" t="s">
        <v>50</v>
      </c>
      <c r="F11653" s="13"/>
      <c r="G11653" s="13"/>
      <c r="H11653" s="13" t="s">
        <v>21842</v>
      </c>
      <c r="I11653" s="40" t="s">
        <v>18</v>
      </c>
      <c r="J11653" s="40" t="str">
        <f>HYPERLINK("https://m.stock.naver.com/research/company/83652","PDF")</f>
        <v>PDF</v>
      </c>
      <c r="K11653" s="12" t="s">
        <v>21843</v>
      </c>
    </row>
    <row r="11654" spans="1:12" x14ac:dyDescent="0.45">
      <c r="A11654" s="12" t="s">
        <v>21821</v>
      </c>
      <c r="B11654" s="12" t="s">
        <v>577</v>
      </c>
      <c r="C11654" s="13" t="s">
        <v>578</v>
      </c>
      <c r="D11654" s="13" t="s">
        <v>44</v>
      </c>
      <c r="E11654" s="12" t="s">
        <v>35</v>
      </c>
      <c r="F11654" s="14">
        <v>375000</v>
      </c>
      <c r="G11654" s="14">
        <v>279500</v>
      </c>
      <c r="H11654" s="13" t="s">
        <v>21844</v>
      </c>
      <c r="I11654" s="40" t="s">
        <v>18</v>
      </c>
      <c r="J11654" s="40" t="str">
        <f>HYPERLINK("https://m.stock.naver.com/research/company/83651","PDF")</f>
        <v>PDF</v>
      </c>
      <c r="K11654" s="12" t="s">
        <v>21845</v>
      </c>
      <c r="L11654" s="20">
        <v>0.34168157423971379</v>
      </c>
    </row>
    <row r="11655" spans="1:12" x14ac:dyDescent="0.45">
      <c r="A11655" s="12" t="s">
        <v>21821</v>
      </c>
      <c r="B11655" s="12" t="s">
        <v>2831</v>
      </c>
      <c r="C11655" s="13" t="s">
        <v>2832</v>
      </c>
      <c r="D11655" s="13" t="s">
        <v>124</v>
      </c>
      <c r="E11655" s="12" t="s">
        <v>50</v>
      </c>
      <c r="F11655" s="13"/>
      <c r="G11655" s="13"/>
      <c r="H11655" s="13" t="s">
        <v>21846</v>
      </c>
      <c r="I11655" s="40" t="s">
        <v>18</v>
      </c>
      <c r="J11655" s="40" t="str">
        <f>HYPERLINK("https://m.stock.naver.com/research/company/83650","PDF")</f>
        <v>PDF</v>
      </c>
      <c r="K11655" s="12" t="s">
        <v>21847</v>
      </c>
    </row>
    <row r="11656" spans="1:12" x14ac:dyDescent="0.45">
      <c r="A11656" s="12" t="s">
        <v>21821</v>
      </c>
      <c r="B11656" s="12" t="s">
        <v>4609</v>
      </c>
      <c r="C11656" s="13" t="s">
        <v>4610</v>
      </c>
      <c r="D11656" s="13" t="s">
        <v>124</v>
      </c>
      <c r="E11656" s="12" t="s">
        <v>50</v>
      </c>
      <c r="F11656" s="13"/>
      <c r="G11656" s="13"/>
      <c r="H11656" s="13" t="s">
        <v>21848</v>
      </c>
      <c r="I11656" s="40" t="s">
        <v>18</v>
      </c>
      <c r="J11656" s="40" t="str">
        <f>HYPERLINK("https://m.stock.naver.com/research/company/83649","PDF")</f>
        <v>PDF</v>
      </c>
      <c r="K11656" s="12" t="s">
        <v>21849</v>
      </c>
    </row>
    <row r="11657" spans="1:12" x14ac:dyDescent="0.45">
      <c r="A11657" s="12" t="s">
        <v>21821</v>
      </c>
      <c r="B11657" s="12" t="s">
        <v>4888</v>
      </c>
      <c r="C11657" s="13" t="s">
        <v>4889</v>
      </c>
      <c r="D11657" s="13" t="s">
        <v>124</v>
      </c>
      <c r="E11657" s="12" t="s">
        <v>50</v>
      </c>
      <c r="F11657" s="13"/>
      <c r="G11657" s="13"/>
      <c r="H11657" s="13" t="s">
        <v>21850</v>
      </c>
      <c r="I11657" s="40" t="s">
        <v>18</v>
      </c>
      <c r="J11657" s="40" t="str">
        <f>HYPERLINK("https://m.stock.naver.com/research/company/83648","PDF")</f>
        <v>PDF</v>
      </c>
      <c r="K11657" s="12" t="s">
        <v>21851</v>
      </c>
    </row>
    <row r="11658" spans="1:12" x14ac:dyDescent="0.45">
      <c r="A11658" s="12" t="s">
        <v>21821</v>
      </c>
      <c r="B11658" s="12" t="s">
        <v>3230</v>
      </c>
      <c r="C11658" s="13" t="s">
        <v>3231</v>
      </c>
      <c r="D11658" s="13" t="s">
        <v>53</v>
      </c>
      <c r="E11658" s="12" t="s">
        <v>16</v>
      </c>
      <c r="F11658" s="14">
        <v>860000</v>
      </c>
      <c r="G11658" s="14">
        <v>666000</v>
      </c>
      <c r="H11658" s="13" t="s">
        <v>21852</v>
      </c>
      <c r="I11658" s="40" t="s">
        <v>18</v>
      </c>
      <c r="J11658" s="40" t="str">
        <f>HYPERLINK("https://m.stock.naver.com/research/company/83647","PDF")</f>
        <v>PDF</v>
      </c>
      <c r="K11658" s="12" t="s">
        <v>21853</v>
      </c>
      <c r="L11658" s="20">
        <v>0.29129129129129128</v>
      </c>
    </row>
    <row r="11659" spans="1:12" x14ac:dyDescent="0.45">
      <c r="A11659" s="12" t="s">
        <v>21821</v>
      </c>
      <c r="B11659" s="12" t="s">
        <v>42</v>
      </c>
      <c r="C11659" s="13" t="s">
        <v>43</v>
      </c>
      <c r="D11659" s="13" t="s">
        <v>15</v>
      </c>
      <c r="E11659" s="12" t="s">
        <v>16</v>
      </c>
      <c r="F11659" s="14">
        <v>310000</v>
      </c>
      <c r="G11659" s="14">
        <v>191200</v>
      </c>
      <c r="H11659" s="13" t="s">
        <v>21854</v>
      </c>
      <c r="I11659" s="40" t="s">
        <v>18</v>
      </c>
      <c r="J11659" s="40" t="str">
        <f>HYPERLINK("https://m.stock.naver.com/research/company/83646","PDF")</f>
        <v>PDF</v>
      </c>
      <c r="K11659" s="12" t="s">
        <v>21855</v>
      </c>
      <c r="L11659" s="20">
        <v>0.62133891213389125</v>
      </c>
    </row>
    <row r="11660" spans="1:12" x14ac:dyDescent="0.45">
      <c r="A11660" s="12" t="s">
        <v>21821</v>
      </c>
      <c r="B11660" s="12" t="s">
        <v>1666</v>
      </c>
      <c r="C11660" s="13" t="s">
        <v>1667</v>
      </c>
      <c r="D11660" s="13" t="s">
        <v>15</v>
      </c>
      <c r="E11660" s="12" t="s">
        <v>16</v>
      </c>
      <c r="F11660" s="14">
        <v>75000</v>
      </c>
      <c r="G11660" s="14">
        <v>55900</v>
      </c>
      <c r="H11660" s="13" t="s">
        <v>21856</v>
      </c>
      <c r="I11660" s="40" t="s">
        <v>18</v>
      </c>
      <c r="J11660" s="40" t="str">
        <f>HYPERLINK("https://m.stock.naver.com/research/company/83645","PDF")</f>
        <v>PDF</v>
      </c>
      <c r="K11660" s="12" t="s">
        <v>21857</v>
      </c>
      <c r="L11660" s="20">
        <v>0.34168157423971379</v>
      </c>
    </row>
    <row r="11661" spans="1:12" x14ac:dyDescent="0.45">
      <c r="A11661" s="12" t="s">
        <v>21821</v>
      </c>
      <c r="B11661" s="12" t="s">
        <v>2522</v>
      </c>
      <c r="C11661" s="13" t="s">
        <v>2523</v>
      </c>
      <c r="D11661" s="13" t="s">
        <v>15</v>
      </c>
      <c r="E11661" s="12" t="s">
        <v>16</v>
      </c>
      <c r="F11661" s="14">
        <v>500000</v>
      </c>
      <c r="G11661" s="14">
        <v>369500</v>
      </c>
      <c r="H11661" s="13" t="s">
        <v>21858</v>
      </c>
      <c r="I11661" s="40" t="s">
        <v>18</v>
      </c>
      <c r="J11661" s="40" t="str">
        <f>HYPERLINK("https://m.stock.naver.com/research/company/83644","PDF")</f>
        <v>PDF</v>
      </c>
      <c r="K11661" s="12" t="s">
        <v>21859</v>
      </c>
      <c r="L11661" s="20">
        <v>0.35317997293640052</v>
      </c>
    </row>
    <row r="11662" spans="1:12" x14ac:dyDescent="0.45">
      <c r="A11662" s="12" t="s">
        <v>21821</v>
      </c>
      <c r="B11662" s="12" t="s">
        <v>2105</v>
      </c>
      <c r="C11662" s="13" t="s">
        <v>2106</v>
      </c>
      <c r="D11662" s="13" t="s">
        <v>15</v>
      </c>
      <c r="E11662" s="12" t="s">
        <v>16</v>
      </c>
      <c r="F11662" s="14">
        <v>80000</v>
      </c>
      <c r="G11662" s="14">
        <v>50500</v>
      </c>
      <c r="H11662" s="13" t="s">
        <v>21860</v>
      </c>
      <c r="I11662" s="40" t="s">
        <v>18</v>
      </c>
      <c r="J11662" s="40" t="str">
        <f>HYPERLINK("https://m.stock.naver.com/research/company/83643","PDF")</f>
        <v>PDF</v>
      </c>
      <c r="K11662" s="12" t="s">
        <v>21861</v>
      </c>
      <c r="L11662" s="20">
        <v>0.58415841584158412</v>
      </c>
    </row>
    <row r="11663" spans="1:12" x14ac:dyDescent="0.45">
      <c r="A11663" s="12" t="s">
        <v>21821</v>
      </c>
      <c r="B11663" s="12" t="s">
        <v>1900</v>
      </c>
      <c r="C11663" s="13" t="s">
        <v>1901</v>
      </c>
      <c r="D11663" s="13" t="s">
        <v>15</v>
      </c>
      <c r="E11663" s="12" t="s">
        <v>16</v>
      </c>
      <c r="F11663" s="14">
        <v>38000</v>
      </c>
      <c r="G11663" s="14">
        <v>27550</v>
      </c>
      <c r="H11663" s="13" t="s">
        <v>21862</v>
      </c>
      <c r="I11663" s="40" t="s">
        <v>18</v>
      </c>
      <c r="J11663" s="40" t="str">
        <f>HYPERLINK("https://stock.pstatic.net/stock-research/company/29/20250610_company_282592000.pdf","PDF")</f>
        <v>PDF</v>
      </c>
      <c r="K11663" s="12" t="s">
        <v>21863</v>
      </c>
      <c r="L11663" s="20">
        <v>0.37931034482758619</v>
      </c>
    </row>
    <row r="11664" spans="1:12" x14ac:dyDescent="0.45">
      <c r="A11664" s="12" t="s">
        <v>21821</v>
      </c>
      <c r="B11664" s="12" t="s">
        <v>904</v>
      </c>
      <c r="C11664" s="13" t="s">
        <v>905</v>
      </c>
      <c r="D11664" s="13" t="s">
        <v>15</v>
      </c>
      <c r="E11664" s="12" t="s">
        <v>16</v>
      </c>
      <c r="F11664" s="14">
        <v>80000</v>
      </c>
      <c r="G11664" s="14">
        <v>44100</v>
      </c>
      <c r="H11664" s="13" t="s">
        <v>21864</v>
      </c>
      <c r="I11664" s="40" t="s">
        <v>18</v>
      </c>
      <c r="J11664" s="40" t="str">
        <f>HYPERLINK("https://stock.pstatic.net/stock-research/company/29/20250610_company_297014000.pdf","PDF")</f>
        <v>PDF</v>
      </c>
      <c r="K11664" s="12" t="s">
        <v>21865</v>
      </c>
      <c r="L11664" s="20">
        <v>0.81405895691609975</v>
      </c>
    </row>
    <row r="11665" spans="1:12" x14ac:dyDescent="0.45">
      <c r="A11665" s="12" t="s">
        <v>21866</v>
      </c>
      <c r="B11665" s="12" t="s">
        <v>3296</v>
      </c>
      <c r="C11665" s="13" t="s">
        <v>3297</v>
      </c>
      <c r="D11665" s="13" t="s">
        <v>276</v>
      </c>
      <c r="E11665" s="12" t="s">
        <v>16</v>
      </c>
      <c r="F11665" s="14">
        <v>61000</v>
      </c>
      <c r="G11665" s="14">
        <v>41000</v>
      </c>
      <c r="H11665" s="13" t="s">
        <v>21867</v>
      </c>
      <c r="I11665" s="40" t="s">
        <v>18</v>
      </c>
      <c r="J11665" s="40" t="str">
        <f>HYPERLINK("https://stock.pstatic.net/stock-research/company/66/20250609_company_584221000.pdf","PDF")</f>
        <v>PDF</v>
      </c>
      <c r="K11665" s="12" t="s">
        <v>21868</v>
      </c>
      <c r="L11665" s="20">
        <v>0.48780487804878048</v>
      </c>
    </row>
    <row r="11666" spans="1:12" x14ac:dyDescent="0.45">
      <c r="A11666" s="12" t="s">
        <v>21866</v>
      </c>
      <c r="B11666" s="12" t="s">
        <v>142</v>
      </c>
      <c r="C11666" s="13" t="s">
        <v>143</v>
      </c>
      <c r="D11666" s="13" t="s">
        <v>65</v>
      </c>
      <c r="E11666" s="12" t="s">
        <v>35</v>
      </c>
      <c r="F11666" s="14">
        <v>42000</v>
      </c>
      <c r="G11666" s="14">
        <v>35600</v>
      </c>
      <c r="H11666" s="13" t="s">
        <v>21869</v>
      </c>
      <c r="I11666" s="40" t="s">
        <v>18</v>
      </c>
      <c r="J11666" s="40" t="str">
        <f>HYPERLINK("https://stock.pstatic.net/stock-research/company/57/20250609_company_769249000.pdf","PDF")</f>
        <v>PDF</v>
      </c>
      <c r="K11666" s="12" t="s">
        <v>21870</v>
      </c>
      <c r="L11666" s="20">
        <v>0.1797752808988764</v>
      </c>
    </row>
    <row r="11667" spans="1:12" x14ac:dyDescent="0.45">
      <c r="A11667" s="12" t="s">
        <v>21866</v>
      </c>
      <c r="B11667" s="12" t="s">
        <v>894</v>
      </c>
      <c r="C11667" s="13" t="s">
        <v>26</v>
      </c>
      <c r="D11667" s="13" t="s">
        <v>65</v>
      </c>
      <c r="E11667" s="12" t="s">
        <v>35</v>
      </c>
      <c r="F11667" s="14">
        <v>57000</v>
      </c>
      <c r="G11667" s="14">
        <v>47150</v>
      </c>
      <c r="H11667" s="13" t="s">
        <v>21871</v>
      </c>
      <c r="I11667" s="40" t="s">
        <v>18</v>
      </c>
      <c r="J11667" s="40" t="str">
        <f>HYPERLINK("https://stock.pstatic.net/stock-research/company/1/20250609_company_359608000.pdf","PDF")</f>
        <v>PDF</v>
      </c>
      <c r="K11667" s="12" t="s">
        <v>21872</v>
      </c>
      <c r="L11667" s="20">
        <v>0.20890774125132561</v>
      </c>
    </row>
    <row r="11668" spans="1:12" x14ac:dyDescent="0.45">
      <c r="A11668" s="12" t="s">
        <v>21866</v>
      </c>
      <c r="B11668" s="12" t="s">
        <v>5654</v>
      </c>
      <c r="C11668" s="13" t="s">
        <v>5655</v>
      </c>
      <c r="D11668" s="13" t="s">
        <v>53</v>
      </c>
      <c r="E11668" s="12" t="s">
        <v>16</v>
      </c>
      <c r="F11668" s="14">
        <v>18000</v>
      </c>
      <c r="G11668" s="14">
        <v>11370</v>
      </c>
      <c r="H11668" s="13" t="s">
        <v>21873</v>
      </c>
      <c r="I11668" s="40" t="s">
        <v>18</v>
      </c>
      <c r="J11668" s="40" t="str">
        <f>HYPERLINK("https://stock.pstatic.net/stock-research/company/40/20250609_company_578459000.pdf","PDF")</f>
        <v>PDF</v>
      </c>
      <c r="K11668" s="12" t="s">
        <v>21874</v>
      </c>
      <c r="L11668" s="20">
        <v>0.58311345646437995</v>
      </c>
    </row>
    <row r="11669" spans="1:12" x14ac:dyDescent="0.45">
      <c r="A11669" s="12" t="s">
        <v>21866</v>
      </c>
      <c r="B11669" s="12" t="s">
        <v>4079</v>
      </c>
      <c r="C11669" s="13" t="s">
        <v>4080</v>
      </c>
      <c r="D11669" s="13" t="s">
        <v>92</v>
      </c>
      <c r="E11669" s="12" t="s">
        <v>50</v>
      </c>
      <c r="F11669" s="13"/>
      <c r="G11669" s="14">
        <v>22600</v>
      </c>
      <c r="H11669" s="13" t="s">
        <v>21875</v>
      </c>
      <c r="I11669" s="40" t="s">
        <v>18</v>
      </c>
      <c r="J11669" s="40" t="str">
        <f>HYPERLINK("https://stock.pstatic.net/stock-research/company/1/20250609_company_198072000.pdf","PDF")</f>
        <v>PDF</v>
      </c>
      <c r="K11669" s="12" t="s">
        <v>21876</v>
      </c>
    </row>
    <row r="11670" spans="1:12" x14ac:dyDescent="0.45">
      <c r="A11670" s="12" t="s">
        <v>21866</v>
      </c>
      <c r="B11670" s="12" t="s">
        <v>128</v>
      </c>
      <c r="C11670" s="13" t="s">
        <v>129</v>
      </c>
      <c r="D11670" s="13" t="s">
        <v>23</v>
      </c>
      <c r="E11670" s="12" t="s">
        <v>16</v>
      </c>
      <c r="F11670" s="14">
        <v>28000</v>
      </c>
      <c r="G11670" s="14">
        <v>22500</v>
      </c>
      <c r="H11670" s="13" t="s">
        <v>21877</v>
      </c>
      <c r="I11670" s="40" t="s">
        <v>18</v>
      </c>
      <c r="J11670" s="40" t="str">
        <f>HYPERLINK("https://stock.pstatic.net/stock-research/company/21/20250609_company_822504000.pdf","PDF")</f>
        <v>PDF</v>
      </c>
      <c r="K11670" s="12" t="s">
        <v>21878</v>
      </c>
      <c r="L11670" s="20">
        <v>0.24444444444444441</v>
      </c>
    </row>
    <row r="11671" spans="1:12" x14ac:dyDescent="0.45">
      <c r="A11671" s="12" t="s">
        <v>21866</v>
      </c>
      <c r="B11671" s="12" t="s">
        <v>2369</v>
      </c>
      <c r="C11671" s="13" t="s">
        <v>2370</v>
      </c>
      <c r="D11671" s="13" t="s">
        <v>34</v>
      </c>
      <c r="E11671" s="12" t="s">
        <v>35</v>
      </c>
      <c r="F11671" s="14">
        <v>235000</v>
      </c>
      <c r="G11671" s="14">
        <v>174300</v>
      </c>
      <c r="H11671" s="13" t="s">
        <v>21879</v>
      </c>
      <c r="I11671" s="40" t="s">
        <v>18</v>
      </c>
      <c r="J11671" s="40" t="str">
        <f>HYPERLINK("https://stock.pstatic.net/stock-research/company/61/20250609_company_330083000.pdf","PDF")</f>
        <v>PDF</v>
      </c>
      <c r="K11671" s="12" t="s">
        <v>21880</v>
      </c>
      <c r="L11671" s="20">
        <v>0.3482501434308663</v>
      </c>
    </row>
    <row r="11672" spans="1:12" x14ac:dyDescent="0.45">
      <c r="A11672" s="12" t="s">
        <v>21866</v>
      </c>
      <c r="B11672" s="12" t="s">
        <v>2378</v>
      </c>
      <c r="C11672" s="13" t="s">
        <v>2379</v>
      </c>
      <c r="D11672" s="13" t="s">
        <v>34</v>
      </c>
      <c r="E11672" s="12" t="s">
        <v>35</v>
      </c>
      <c r="F11672" s="14">
        <v>400000</v>
      </c>
      <c r="G11672" s="14">
        <v>291000</v>
      </c>
      <c r="H11672" s="13" t="s">
        <v>21881</v>
      </c>
      <c r="I11672" s="40" t="s">
        <v>18</v>
      </c>
      <c r="J11672" s="40" t="str">
        <f>HYPERLINK("https://stock.pstatic.net/stock-research/company/61/20250609_company_523658000.pdf","PDF")</f>
        <v>PDF</v>
      </c>
      <c r="K11672" s="12" t="s">
        <v>21882</v>
      </c>
      <c r="L11672" s="20">
        <v>0.37457044673539519</v>
      </c>
    </row>
    <row r="11673" spans="1:12" x14ac:dyDescent="0.45">
      <c r="A11673" s="12" t="s">
        <v>21866</v>
      </c>
      <c r="B11673" s="12" t="s">
        <v>11396</v>
      </c>
      <c r="C11673" s="13" t="s">
        <v>11397</v>
      </c>
      <c r="D11673" s="13" t="s">
        <v>34</v>
      </c>
      <c r="E11673" s="12" t="s">
        <v>50</v>
      </c>
      <c r="F11673" s="13"/>
      <c r="G11673" s="14">
        <v>6350</v>
      </c>
      <c r="H11673" s="13" t="s">
        <v>21883</v>
      </c>
      <c r="I11673" s="40" t="s">
        <v>18</v>
      </c>
      <c r="J11673" s="40" t="str">
        <f>HYPERLINK("https://stock.pstatic.net/stock-research/company/61/20250609_company_33699000.pdf","PDF")</f>
        <v>PDF</v>
      </c>
      <c r="K11673" s="12" t="s">
        <v>21884</v>
      </c>
    </row>
    <row r="11674" spans="1:12" x14ac:dyDescent="0.45">
      <c r="A11674" s="12" t="s">
        <v>21866</v>
      </c>
      <c r="B11674" s="12" t="s">
        <v>20196</v>
      </c>
      <c r="C11674" s="13" t="s">
        <v>20197</v>
      </c>
      <c r="D11674" s="13" t="s">
        <v>23</v>
      </c>
      <c r="E11674" s="12" t="s">
        <v>50</v>
      </c>
      <c r="F11674" s="13"/>
      <c r="G11674" s="14">
        <v>157300</v>
      </c>
      <c r="H11674" s="13" t="s">
        <v>21885</v>
      </c>
      <c r="I11674" s="40" t="s">
        <v>18</v>
      </c>
      <c r="J11674" s="40" t="str">
        <f>HYPERLINK("https://stock.pstatic.net/stock-research/company/21/20250609_company_616435000.pdf","PDF")</f>
        <v>PDF</v>
      </c>
      <c r="K11674" s="12" t="s">
        <v>21886</v>
      </c>
    </row>
    <row r="11675" spans="1:12" x14ac:dyDescent="0.45">
      <c r="A11675" s="12" t="s">
        <v>21866</v>
      </c>
      <c r="B11675" s="12" t="s">
        <v>17120</v>
      </c>
      <c r="C11675" s="13" t="s">
        <v>17121</v>
      </c>
      <c r="D11675" s="13" t="s">
        <v>23</v>
      </c>
      <c r="E11675" s="12" t="s">
        <v>50</v>
      </c>
      <c r="F11675" s="13"/>
      <c r="G11675" s="14">
        <v>4075</v>
      </c>
      <c r="H11675" s="13" t="s">
        <v>21887</v>
      </c>
      <c r="I11675" s="40" t="s">
        <v>18</v>
      </c>
      <c r="J11675" s="40" t="str">
        <f>HYPERLINK("https://stock.pstatic.net/stock-research/company/21/20250609_company_948672000.pdf","PDF")</f>
        <v>PDF</v>
      </c>
      <c r="K11675" s="12" t="s">
        <v>21888</v>
      </c>
    </row>
    <row r="11676" spans="1:12" x14ac:dyDescent="0.45">
      <c r="A11676" s="12" t="s">
        <v>21866</v>
      </c>
      <c r="B11676" s="12" t="s">
        <v>1202</v>
      </c>
      <c r="C11676" s="13" t="s">
        <v>1203</v>
      </c>
      <c r="D11676" s="13" t="s">
        <v>124</v>
      </c>
      <c r="E11676" s="12" t="s">
        <v>50</v>
      </c>
      <c r="F11676" s="13"/>
      <c r="G11676" s="13"/>
      <c r="H11676" s="13" t="s">
        <v>21889</v>
      </c>
      <c r="I11676" s="40" t="s">
        <v>18</v>
      </c>
      <c r="J11676" s="40" t="str">
        <f>HYPERLINK("https://stock.pstatic.net/stock-research/company/74/20250609_company_694543000.pdf","PDF")</f>
        <v>PDF</v>
      </c>
      <c r="K11676" s="12" t="s">
        <v>21890</v>
      </c>
    </row>
    <row r="11677" spans="1:12" x14ac:dyDescent="0.45">
      <c r="A11677" s="12" t="s">
        <v>21866</v>
      </c>
      <c r="B11677" s="12" t="s">
        <v>1266</v>
      </c>
      <c r="C11677" s="13" t="s">
        <v>1267</v>
      </c>
      <c r="D11677" s="13" t="s">
        <v>44</v>
      </c>
      <c r="E11677" s="12" t="s">
        <v>35</v>
      </c>
      <c r="F11677" s="14">
        <v>160000</v>
      </c>
      <c r="G11677" s="14">
        <v>120500</v>
      </c>
      <c r="H11677" s="13" t="s">
        <v>21891</v>
      </c>
      <c r="I11677" s="40" t="s">
        <v>18</v>
      </c>
      <c r="J11677" s="40" t="str">
        <f>HYPERLINK("https://stock.pstatic.net/stock-research/company/39/20250609_company_386180000.pdf","PDF")</f>
        <v>PDF</v>
      </c>
      <c r="K11677" s="12" t="s">
        <v>21892</v>
      </c>
      <c r="L11677" s="20">
        <v>0.32780082987551867</v>
      </c>
    </row>
    <row r="11678" spans="1:12" x14ac:dyDescent="0.45">
      <c r="A11678" s="12" t="s">
        <v>21893</v>
      </c>
      <c r="B11678" s="12" t="s">
        <v>7151</v>
      </c>
      <c r="C11678" s="13" t="s">
        <v>7152</v>
      </c>
      <c r="D11678" s="13" t="s">
        <v>276</v>
      </c>
      <c r="E11678" s="12" t="s">
        <v>16</v>
      </c>
      <c r="F11678" s="14">
        <v>33000</v>
      </c>
      <c r="G11678" s="14">
        <v>16840</v>
      </c>
      <c r="H11678" s="13" t="s">
        <v>21894</v>
      </c>
      <c r="I11678" s="40" t="s">
        <v>18</v>
      </c>
      <c r="J11678" s="40" t="str">
        <f>HYPERLINK("https://stock.pstatic.net/stock-research/company/66/20250605_company_739632000.pdf","PDF")</f>
        <v>PDF</v>
      </c>
      <c r="K11678" s="12" t="s">
        <v>21895</v>
      </c>
      <c r="L11678" s="20">
        <v>0.95961995249406173</v>
      </c>
    </row>
    <row r="11679" spans="1:12" x14ac:dyDescent="0.45">
      <c r="A11679" s="12" t="s">
        <v>21893</v>
      </c>
      <c r="B11679" s="12" t="s">
        <v>5658</v>
      </c>
      <c r="C11679" s="13" t="s">
        <v>5659</v>
      </c>
      <c r="D11679" s="13" t="s">
        <v>57</v>
      </c>
      <c r="E11679" s="12" t="s">
        <v>35</v>
      </c>
      <c r="F11679" s="14">
        <v>30000</v>
      </c>
      <c r="G11679" s="14">
        <v>20450</v>
      </c>
      <c r="H11679" s="13" t="s">
        <v>21896</v>
      </c>
      <c r="I11679" s="40" t="s">
        <v>18</v>
      </c>
      <c r="J11679" s="40" t="str">
        <f>HYPERLINK("https://stock.pstatic.net/stock-research/company/16/20250605_company_617999000.pdf","PDF")</f>
        <v>PDF</v>
      </c>
      <c r="K11679" s="12" t="s">
        <v>21897</v>
      </c>
      <c r="L11679" s="20">
        <v>0.4669926650366748</v>
      </c>
    </row>
    <row r="11680" spans="1:12" x14ac:dyDescent="0.45">
      <c r="A11680" s="12" t="s">
        <v>21893</v>
      </c>
      <c r="B11680" s="12" t="s">
        <v>1621</v>
      </c>
      <c r="C11680" s="13" t="s">
        <v>1622</v>
      </c>
      <c r="D11680" s="13" t="s">
        <v>92</v>
      </c>
      <c r="E11680" s="12" t="s">
        <v>50</v>
      </c>
      <c r="F11680" s="13"/>
      <c r="G11680" s="14">
        <v>8250</v>
      </c>
      <c r="H11680" s="13" t="s">
        <v>21898</v>
      </c>
      <c r="I11680" s="40" t="s">
        <v>18</v>
      </c>
      <c r="J11680" s="40" t="str">
        <f>HYPERLINK("https://stock.pstatic.net/stock-research/company/63/20250605_company_157777000.pdf","PDF")</f>
        <v>PDF</v>
      </c>
      <c r="K11680" s="12" t="s">
        <v>21899</v>
      </c>
    </row>
    <row r="11681" spans="1:12" x14ac:dyDescent="0.45">
      <c r="A11681" s="12" t="s">
        <v>21893</v>
      </c>
      <c r="B11681" s="12" t="s">
        <v>3391</v>
      </c>
      <c r="C11681" s="13" t="s">
        <v>3392</v>
      </c>
      <c r="D11681" s="13" t="s">
        <v>179</v>
      </c>
      <c r="E11681" s="12" t="s">
        <v>50</v>
      </c>
      <c r="F11681" s="13"/>
      <c r="G11681" s="14">
        <v>6740</v>
      </c>
      <c r="H11681" s="13" t="s">
        <v>21900</v>
      </c>
      <c r="I11681" s="40" t="s">
        <v>18</v>
      </c>
      <c r="J11681" s="40" t="str">
        <f>HYPERLINK("https://stock.pstatic.net/stock-research/company/31/20250605_company_194768000.pdf","PDF")</f>
        <v>PDF</v>
      </c>
      <c r="K11681" s="12" t="s">
        <v>21901</v>
      </c>
    </row>
    <row r="11682" spans="1:12" x14ac:dyDescent="0.45">
      <c r="A11682" s="12" t="s">
        <v>21893</v>
      </c>
      <c r="B11682" s="12" t="s">
        <v>21902</v>
      </c>
      <c r="C11682" s="13" t="s">
        <v>21903</v>
      </c>
      <c r="D11682" s="13" t="s">
        <v>44</v>
      </c>
      <c r="E11682" s="12" t="s">
        <v>50</v>
      </c>
      <c r="F11682" s="13"/>
      <c r="G11682" s="14">
        <v>20100</v>
      </c>
      <c r="H11682" s="13" t="s">
        <v>21904</v>
      </c>
      <c r="I11682" s="40" t="s">
        <v>18</v>
      </c>
      <c r="J11682" s="40" t="str">
        <f>HYPERLINK("https://stock.pstatic.net/stock-research/company/39/20250605_company_444209000.pdf","PDF")</f>
        <v>PDF</v>
      </c>
      <c r="K11682" s="12" t="s">
        <v>21905</v>
      </c>
    </row>
    <row r="11683" spans="1:12" x14ac:dyDescent="0.45">
      <c r="A11683" s="12" t="s">
        <v>21893</v>
      </c>
      <c r="B11683" s="12" t="s">
        <v>21511</v>
      </c>
      <c r="C11683" s="13" t="s">
        <v>21512</v>
      </c>
      <c r="D11683" s="13" t="s">
        <v>53</v>
      </c>
      <c r="E11683" s="12" t="s">
        <v>50</v>
      </c>
      <c r="F11683" s="13"/>
      <c r="G11683" s="14">
        <v>9480</v>
      </c>
      <c r="H11683" s="13" t="s">
        <v>16855</v>
      </c>
      <c r="I11683" s="40" t="s">
        <v>18</v>
      </c>
      <c r="J11683" s="40" t="str">
        <f>HYPERLINK("https://stock.pstatic.net/stock-research/company/40/20250605_company_69798000.pdf","PDF")</f>
        <v>PDF</v>
      </c>
      <c r="K11683" s="12" t="s">
        <v>21906</v>
      </c>
    </row>
    <row r="11684" spans="1:12" x14ac:dyDescent="0.45">
      <c r="A11684" s="12" t="s">
        <v>21907</v>
      </c>
      <c r="B11684" s="12" t="s">
        <v>268</v>
      </c>
      <c r="C11684" s="13" t="s">
        <v>269</v>
      </c>
      <c r="D11684" s="13" t="s">
        <v>65</v>
      </c>
      <c r="E11684" s="12" t="s">
        <v>35</v>
      </c>
      <c r="F11684" s="14">
        <v>440000</v>
      </c>
      <c r="G11684" s="14">
        <v>350000</v>
      </c>
      <c r="H11684" s="13" t="s">
        <v>21908</v>
      </c>
      <c r="I11684" s="40" t="s">
        <v>18</v>
      </c>
      <c r="J11684" s="40" t="str">
        <f>HYPERLINK("https://stock.pstatic.net/stock-research/company/57/20250604_company_4252000.pdf","PDF")</f>
        <v>PDF</v>
      </c>
      <c r="K11684" s="12" t="s">
        <v>21909</v>
      </c>
      <c r="L11684" s="20">
        <v>0.25714285714285712</v>
      </c>
    </row>
    <row r="11685" spans="1:12" x14ac:dyDescent="0.45">
      <c r="A11685" s="12" t="s">
        <v>21907</v>
      </c>
      <c r="B11685" s="12" t="s">
        <v>128</v>
      </c>
      <c r="C11685" s="13" t="s">
        <v>129</v>
      </c>
      <c r="D11685" s="13" t="s">
        <v>65</v>
      </c>
      <c r="E11685" s="12" t="s">
        <v>35</v>
      </c>
      <c r="F11685" s="14">
        <v>40000</v>
      </c>
      <c r="G11685" s="14">
        <v>20900</v>
      </c>
      <c r="H11685" s="13" t="s">
        <v>21910</v>
      </c>
      <c r="I11685" s="40" t="s">
        <v>18</v>
      </c>
      <c r="J11685" s="40" t="str">
        <f>HYPERLINK("https://stock.pstatic.net/stock-research/company/57/20250604_company_500448000.pdf","PDF")</f>
        <v>PDF</v>
      </c>
      <c r="K11685" s="12" t="s">
        <v>21911</v>
      </c>
      <c r="L11685" s="20">
        <v>0.9138755980861244</v>
      </c>
    </row>
    <row r="11686" spans="1:12" x14ac:dyDescent="0.45">
      <c r="A11686" s="12" t="s">
        <v>21907</v>
      </c>
      <c r="B11686" s="12" t="s">
        <v>10652</v>
      </c>
      <c r="C11686" s="13" t="s">
        <v>10653</v>
      </c>
      <c r="D11686" s="13" t="s">
        <v>57</v>
      </c>
      <c r="E11686" s="12" t="s">
        <v>35</v>
      </c>
      <c r="F11686" s="14">
        <v>10000</v>
      </c>
      <c r="G11686" s="14">
        <v>6220</v>
      </c>
      <c r="H11686" s="13" t="s">
        <v>21912</v>
      </c>
      <c r="I11686" s="40" t="s">
        <v>18</v>
      </c>
      <c r="J11686" s="40" t="str">
        <f>HYPERLINK("https://stock.pstatic.net/stock-research/company/16/20250604_company_448046000.pdf","PDF")</f>
        <v>PDF</v>
      </c>
      <c r="K11686" s="12" t="s">
        <v>21913</v>
      </c>
      <c r="L11686" s="20">
        <v>0.60771704180064312</v>
      </c>
    </row>
    <row r="11687" spans="1:12" x14ac:dyDescent="0.45">
      <c r="A11687" s="12" t="s">
        <v>21907</v>
      </c>
      <c r="B11687" s="12" t="s">
        <v>19984</v>
      </c>
      <c r="C11687" s="13" t="s">
        <v>19985</v>
      </c>
      <c r="D11687" s="13" t="s">
        <v>158</v>
      </c>
      <c r="E11687" s="12" t="s">
        <v>50</v>
      </c>
      <c r="F11687" s="13"/>
      <c r="G11687" s="14">
        <v>91200</v>
      </c>
      <c r="H11687" s="13" t="s">
        <v>21914</v>
      </c>
      <c r="I11687" s="40" t="s">
        <v>18</v>
      </c>
      <c r="J11687" s="40" t="str">
        <f>HYPERLINK("https://stock.pstatic.net/stock-research/company/1/20250604_company_738402000.pdf","PDF")</f>
        <v>PDF</v>
      </c>
      <c r="K11687" s="12" t="s">
        <v>21915</v>
      </c>
    </row>
    <row r="11688" spans="1:12" x14ac:dyDescent="0.45">
      <c r="A11688" s="12" t="s">
        <v>21907</v>
      </c>
      <c r="B11688" s="12" t="s">
        <v>1308</v>
      </c>
      <c r="C11688" s="13" t="s">
        <v>1309</v>
      </c>
      <c r="D11688" s="13" t="s">
        <v>158</v>
      </c>
      <c r="E11688" s="12" t="s">
        <v>35</v>
      </c>
      <c r="F11688" s="14">
        <v>490000</v>
      </c>
      <c r="G11688" s="14">
        <v>406000</v>
      </c>
      <c r="H11688" s="13" t="s">
        <v>21916</v>
      </c>
      <c r="I11688" s="40" t="s">
        <v>18</v>
      </c>
      <c r="J11688" s="40" t="str">
        <f>HYPERLINK("https://stock.pstatic.net/stock-research/company/1/20250604_company_17462000.pdf","PDF")</f>
        <v>PDF</v>
      </c>
      <c r="K11688" s="12" t="s">
        <v>21917</v>
      </c>
      <c r="L11688" s="20">
        <v>0.2068965517241379</v>
      </c>
    </row>
    <row r="11689" spans="1:12" x14ac:dyDescent="0.45">
      <c r="A11689" s="12" t="s">
        <v>21907</v>
      </c>
      <c r="B11689" s="12" t="s">
        <v>2425</v>
      </c>
      <c r="C11689" s="13" t="s">
        <v>2426</v>
      </c>
      <c r="D11689" s="13" t="s">
        <v>158</v>
      </c>
      <c r="E11689" s="12" t="s">
        <v>35</v>
      </c>
      <c r="F11689" s="14">
        <v>150000</v>
      </c>
      <c r="G11689" s="14">
        <v>120600</v>
      </c>
      <c r="H11689" s="13" t="s">
        <v>21918</v>
      </c>
      <c r="I11689" s="40" t="s">
        <v>18</v>
      </c>
      <c r="J11689" s="40" t="str">
        <f>HYPERLINK("https://stock.pstatic.net/stock-research/company/18/20250604_company_847909000.pdf","PDF")</f>
        <v>PDF</v>
      </c>
      <c r="K11689" s="12" t="s">
        <v>21919</v>
      </c>
      <c r="L11689" s="20">
        <v>0.24378109452736321</v>
      </c>
    </row>
    <row r="11690" spans="1:12" x14ac:dyDescent="0.45">
      <c r="A11690" s="12" t="s">
        <v>21907</v>
      </c>
      <c r="B11690" s="12" t="s">
        <v>1686</v>
      </c>
      <c r="C11690" s="13" t="s">
        <v>1687</v>
      </c>
      <c r="D11690" s="13" t="s">
        <v>158</v>
      </c>
      <c r="E11690" s="12" t="s">
        <v>35</v>
      </c>
      <c r="F11690" s="14">
        <v>1500000</v>
      </c>
      <c r="G11690" s="14">
        <v>1082000</v>
      </c>
      <c r="H11690" s="13" t="s">
        <v>21920</v>
      </c>
      <c r="I11690" s="40" t="s">
        <v>18</v>
      </c>
      <c r="J11690" s="40" t="str">
        <f>HYPERLINK("https://stock.pstatic.net/stock-research/company/18/20250604_company_515583000.pdf","PDF")</f>
        <v>PDF</v>
      </c>
      <c r="K11690" s="12" t="s">
        <v>21921</v>
      </c>
      <c r="L11690" s="20">
        <v>0.38632162661737518</v>
      </c>
    </row>
    <row r="11691" spans="1:12" x14ac:dyDescent="0.45">
      <c r="A11691" s="12" t="s">
        <v>21907</v>
      </c>
      <c r="B11691" s="12" t="s">
        <v>76</v>
      </c>
      <c r="C11691" s="13" t="s">
        <v>77</v>
      </c>
      <c r="D11691" s="13" t="s">
        <v>83</v>
      </c>
      <c r="E11691" s="12" t="s">
        <v>642</v>
      </c>
      <c r="F11691" s="14">
        <v>26000</v>
      </c>
      <c r="G11691" s="14">
        <v>22300</v>
      </c>
      <c r="H11691" s="13" t="s">
        <v>21922</v>
      </c>
      <c r="I11691" s="40" t="s">
        <v>18</v>
      </c>
      <c r="J11691" s="40" t="str">
        <f>HYPERLINK("https://stock.pstatic.net/stock-research/company/2/20250604_company_397126000.pdf","PDF")</f>
        <v>PDF</v>
      </c>
      <c r="K11691" s="12" t="s">
        <v>21923</v>
      </c>
      <c r="L11691" s="20">
        <v>0.1659192825112108</v>
      </c>
    </row>
    <row r="11692" spans="1:12" x14ac:dyDescent="0.45">
      <c r="A11692" s="12" t="s">
        <v>21907</v>
      </c>
      <c r="B11692" s="12" t="s">
        <v>724</v>
      </c>
      <c r="C11692" s="13" t="s">
        <v>725</v>
      </c>
      <c r="D11692" s="13" t="s">
        <v>83</v>
      </c>
      <c r="E11692" s="12" t="s">
        <v>35</v>
      </c>
      <c r="F11692" s="14">
        <v>90000</v>
      </c>
      <c r="G11692" s="14">
        <v>61200</v>
      </c>
      <c r="H11692" s="13" t="s">
        <v>21924</v>
      </c>
      <c r="I11692" s="40" t="s">
        <v>18</v>
      </c>
      <c r="J11692" s="40" t="str">
        <f>HYPERLINK("https://stock.pstatic.net/stock-research/company/2/20250604_company_725543000.pdf","PDF")</f>
        <v>PDF</v>
      </c>
      <c r="K11692" s="12" t="s">
        <v>21925</v>
      </c>
      <c r="L11692" s="20">
        <v>0.47058823529411759</v>
      </c>
    </row>
    <row r="11693" spans="1:12" x14ac:dyDescent="0.45">
      <c r="A11693" s="12" t="s">
        <v>21907</v>
      </c>
      <c r="B11693" s="12" t="s">
        <v>1459</v>
      </c>
      <c r="C11693" s="13" t="s">
        <v>1460</v>
      </c>
      <c r="D11693" s="13" t="s">
        <v>34</v>
      </c>
      <c r="E11693" s="12" t="s">
        <v>35</v>
      </c>
      <c r="F11693" s="14">
        <v>172000</v>
      </c>
      <c r="G11693" s="14">
        <v>145000</v>
      </c>
      <c r="H11693" s="13" t="s">
        <v>21926</v>
      </c>
      <c r="I11693" s="40" t="s">
        <v>18</v>
      </c>
      <c r="J11693" s="40" t="str">
        <f>HYPERLINK("https://stock.pstatic.net/stock-research/company/61/20250604_company_992270000.pdf","PDF")</f>
        <v>PDF</v>
      </c>
      <c r="K11693" s="12" t="s">
        <v>21927</v>
      </c>
      <c r="L11693" s="20">
        <v>0.18620689655172409</v>
      </c>
    </row>
    <row r="11694" spans="1:12" x14ac:dyDescent="0.45">
      <c r="A11694" s="12" t="s">
        <v>21907</v>
      </c>
      <c r="B11694" s="12" t="s">
        <v>90</v>
      </c>
      <c r="C11694" s="13" t="s">
        <v>91</v>
      </c>
      <c r="D11694" s="13" t="s">
        <v>92</v>
      </c>
      <c r="E11694" s="12" t="s">
        <v>35</v>
      </c>
      <c r="F11694" s="14">
        <v>33000</v>
      </c>
      <c r="G11694" s="14">
        <v>21500</v>
      </c>
      <c r="H11694" s="13" t="s">
        <v>21928</v>
      </c>
      <c r="I11694" s="40" t="s">
        <v>18</v>
      </c>
      <c r="J11694" s="40" t="str">
        <f>HYPERLINK("https://stock.pstatic.net/stock-research/company/63/20250604_company_433655000.pdf","PDF")</f>
        <v>PDF</v>
      </c>
      <c r="K11694" s="12" t="s">
        <v>21929</v>
      </c>
      <c r="L11694" s="20">
        <v>0.53488372093023251</v>
      </c>
    </row>
    <row r="11695" spans="1:12" x14ac:dyDescent="0.45">
      <c r="A11695" s="12" t="s">
        <v>21907</v>
      </c>
      <c r="B11695" s="12" t="s">
        <v>1162</v>
      </c>
      <c r="C11695" s="13" t="s">
        <v>1163</v>
      </c>
      <c r="D11695" s="13" t="s">
        <v>44</v>
      </c>
      <c r="E11695" s="12" t="s">
        <v>35</v>
      </c>
      <c r="F11695" s="14">
        <v>175000</v>
      </c>
      <c r="G11695" s="14">
        <v>135400</v>
      </c>
      <c r="H11695" s="13" t="s">
        <v>21930</v>
      </c>
      <c r="I11695" s="40" t="s">
        <v>18</v>
      </c>
      <c r="J11695" s="40" t="str">
        <f>HYPERLINK("https://stock.pstatic.net/stock-research/company/39/20250604_company_275407000.pdf","PDF")</f>
        <v>PDF</v>
      </c>
      <c r="K11695" s="12" t="s">
        <v>21931</v>
      </c>
      <c r="L11695" s="20">
        <v>0.29246676514032488</v>
      </c>
    </row>
    <row r="11696" spans="1:12" x14ac:dyDescent="0.45">
      <c r="A11696" s="12" t="s">
        <v>21907</v>
      </c>
      <c r="B11696" s="12" t="s">
        <v>10776</v>
      </c>
      <c r="C11696" s="13" t="s">
        <v>10777</v>
      </c>
      <c r="D11696" s="13" t="s">
        <v>23</v>
      </c>
      <c r="E11696" s="12" t="s">
        <v>16</v>
      </c>
      <c r="F11696" s="14">
        <v>41000</v>
      </c>
      <c r="G11696" s="14">
        <v>33200</v>
      </c>
      <c r="H11696" s="13" t="s">
        <v>21932</v>
      </c>
      <c r="I11696" s="40" t="s">
        <v>18</v>
      </c>
      <c r="J11696" s="40" t="str">
        <f>HYPERLINK("https://stock.pstatic.net/stock-research/company/21/20250604_company_121812000.pdf","PDF")</f>
        <v>PDF</v>
      </c>
      <c r="K11696" s="12" t="s">
        <v>21933</v>
      </c>
      <c r="L11696" s="20">
        <v>0.23493975903614461</v>
      </c>
    </row>
    <row r="11697" spans="1:12" x14ac:dyDescent="0.45">
      <c r="A11697" s="12" t="s">
        <v>21907</v>
      </c>
      <c r="B11697" s="12" t="s">
        <v>1682</v>
      </c>
      <c r="C11697" s="13" t="s">
        <v>4787</v>
      </c>
      <c r="D11697" s="13" t="s">
        <v>44</v>
      </c>
      <c r="E11697" s="12" t="s">
        <v>35</v>
      </c>
      <c r="F11697" s="14">
        <v>330000</v>
      </c>
      <c r="G11697" s="14">
        <v>166500</v>
      </c>
      <c r="H11697" s="13" t="s">
        <v>21934</v>
      </c>
      <c r="I11697" s="40" t="s">
        <v>18</v>
      </c>
      <c r="J11697" s="40" t="str">
        <f>HYPERLINK("https://stock.pstatic.net/stock-research/company/21/20250604_company_572020000.pdf","PDF")</f>
        <v>PDF</v>
      </c>
      <c r="K11697" s="12" t="s">
        <v>21935</v>
      </c>
      <c r="L11697" s="20">
        <v>0.98198198198198194</v>
      </c>
    </row>
    <row r="11698" spans="1:12" x14ac:dyDescent="0.45">
      <c r="A11698" s="12" t="s">
        <v>21907</v>
      </c>
      <c r="B11698" s="12" t="s">
        <v>268</v>
      </c>
      <c r="C11698" s="13" t="s">
        <v>269</v>
      </c>
      <c r="D11698" s="13" t="s">
        <v>23</v>
      </c>
      <c r="E11698" s="12" t="s">
        <v>16</v>
      </c>
      <c r="F11698" s="14">
        <v>730000</v>
      </c>
      <c r="G11698" s="14">
        <v>350000</v>
      </c>
      <c r="H11698" s="13" t="s">
        <v>21936</v>
      </c>
      <c r="I11698" s="40" t="s">
        <v>18</v>
      </c>
      <c r="J11698" s="40" t="str">
        <f>HYPERLINK("https://stock.pstatic.net/stock-research/company/21/20250604_company_440146000.pdf","PDF")</f>
        <v>PDF</v>
      </c>
      <c r="K11698" s="12" t="s">
        <v>21937</v>
      </c>
      <c r="L11698" s="20">
        <v>1.0857142857142861</v>
      </c>
    </row>
    <row r="11699" spans="1:12" x14ac:dyDescent="0.45">
      <c r="A11699" s="12" t="s">
        <v>21907</v>
      </c>
      <c r="B11699" s="12" t="s">
        <v>102</v>
      </c>
      <c r="C11699" s="13" t="s">
        <v>103</v>
      </c>
      <c r="D11699" s="13" t="s">
        <v>23</v>
      </c>
      <c r="E11699" s="12" t="s">
        <v>16</v>
      </c>
      <c r="F11699" s="14">
        <v>19000</v>
      </c>
      <c r="G11699" s="14">
        <v>11970</v>
      </c>
      <c r="H11699" s="13" t="s">
        <v>21938</v>
      </c>
      <c r="I11699" s="40" t="s">
        <v>18</v>
      </c>
      <c r="J11699" s="40" t="str">
        <f>HYPERLINK("https://stock.pstatic.net/stock-research/company/21/20250604_company_892230000.pdf","PDF")</f>
        <v>PDF</v>
      </c>
      <c r="K11699" s="12" t="s">
        <v>21939</v>
      </c>
      <c r="L11699" s="20">
        <v>0.58730158730158732</v>
      </c>
    </row>
    <row r="11700" spans="1:12" x14ac:dyDescent="0.45">
      <c r="A11700" s="12" t="s">
        <v>21907</v>
      </c>
      <c r="B11700" s="12" t="s">
        <v>264</v>
      </c>
      <c r="C11700" s="13" t="s">
        <v>265</v>
      </c>
      <c r="D11700" s="13" t="s">
        <v>44</v>
      </c>
      <c r="E11700" s="12" t="s">
        <v>35</v>
      </c>
      <c r="F11700" s="14">
        <v>200000</v>
      </c>
      <c r="G11700" s="14">
        <v>160700</v>
      </c>
      <c r="H11700" s="13" t="s">
        <v>21940</v>
      </c>
      <c r="I11700" s="40" t="s">
        <v>18</v>
      </c>
      <c r="J11700" s="40" t="str">
        <f>HYPERLINK("https://stock.pstatic.net/stock-research/company/38/20250604_company_718999000.pdf","PDF")</f>
        <v>PDF</v>
      </c>
      <c r="K11700" s="12" t="s">
        <v>21941</v>
      </c>
      <c r="L11700" s="20">
        <v>0.24455507156191661</v>
      </c>
    </row>
    <row r="11701" spans="1:12" x14ac:dyDescent="0.45">
      <c r="A11701" s="12" t="s">
        <v>21907</v>
      </c>
      <c r="B11701" s="12" t="s">
        <v>38</v>
      </c>
      <c r="C11701" s="13" t="s">
        <v>39</v>
      </c>
      <c r="D11701" s="13" t="s">
        <v>44</v>
      </c>
      <c r="E11701" s="12" t="s">
        <v>35</v>
      </c>
      <c r="F11701" s="14">
        <v>320000</v>
      </c>
      <c r="G11701" s="14">
        <v>257000</v>
      </c>
      <c r="H11701" s="13" t="s">
        <v>21942</v>
      </c>
      <c r="I11701" s="40" t="s">
        <v>18</v>
      </c>
      <c r="J11701" s="40" t="str">
        <f>HYPERLINK("https://stock.pstatic.net/stock-research/company/39/20250604_company_509485000.pdf","PDF")</f>
        <v>PDF</v>
      </c>
      <c r="K11701" s="12" t="s">
        <v>21943</v>
      </c>
      <c r="L11701" s="20">
        <v>0.24513618677042801</v>
      </c>
    </row>
    <row r="11702" spans="1:12" x14ac:dyDescent="0.45">
      <c r="A11702" s="12" t="s">
        <v>21907</v>
      </c>
      <c r="B11702" s="12" t="s">
        <v>894</v>
      </c>
      <c r="C11702" s="13" t="s">
        <v>26</v>
      </c>
      <c r="D11702" s="13" t="s">
        <v>44</v>
      </c>
      <c r="E11702" s="12" t="s">
        <v>35</v>
      </c>
      <c r="F11702" s="14">
        <v>50000</v>
      </c>
      <c r="G11702" s="14">
        <v>40600</v>
      </c>
      <c r="H11702" s="13" t="s">
        <v>21944</v>
      </c>
      <c r="I11702" s="40" t="s">
        <v>18</v>
      </c>
      <c r="J11702" s="40" t="str">
        <f>HYPERLINK("https://stock.pstatic.net/stock-research/company/39/20250604_company_831963000.pdf","PDF")</f>
        <v>PDF</v>
      </c>
      <c r="K11702" s="12" t="s">
        <v>21945</v>
      </c>
      <c r="L11702" s="20">
        <v>0.23152709359605911</v>
      </c>
    </row>
    <row r="11703" spans="1:12" x14ac:dyDescent="0.45">
      <c r="A11703" s="12" t="s">
        <v>21907</v>
      </c>
      <c r="B11703" s="12" t="s">
        <v>186</v>
      </c>
      <c r="C11703" s="13" t="s">
        <v>187</v>
      </c>
      <c r="D11703" s="13" t="s">
        <v>44</v>
      </c>
      <c r="E11703" s="12" t="s">
        <v>45</v>
      </c>
      <c r="F11703" s="14">
        <v>7000</v>
      </c>
      <c r="G11703" s="14">
        <v>5960</v>
      </c>
      <c r="H11703" s="13" t="s">
        <v>21946</v>
      </c>
      <c r="I11703" s="40" t="s">
        <v>18</v>
      </c>
      <c r="J11703" s="40" t="str">
        <f>HYPERLINK("https://stock.pstatic.net/stock-research/company/39/20250604_company_563233000.pdf","PDF")</f>
        <v>PDF</v>
      </c>
      <c r="K11703" s="12" t="s">
        <v>21947</v>
      </c>
      <c r="L11703" s="20">
        <v>0.17449664429530201</v>
      </c>
    </row>
    <row r="11704" spans="1:12" x14ac:dyDescent="0.45">
      <c r="A11704" s="12" t="s">
        <v>21948</v>
      </c>
      <c r="B11704" s="12" t="s">
        <v>12635</v>
      </c>
      <c r="C11704" s="13" t="s">
        <v>12636</v>
      </c>
      <c r="D11704" s="13" t="s">
        <v>83</v>
      </c>
      <c r="E11704" s="12" t="s">
        <v>35</v>
      </c>
      <c r="F11704" s="14">
        <v>260000</v>
      </c>
      <c r="G11704" s="14">
        <v>169100</v>
      </c>
      <c r="H11704" s="13" t="s">
        <v>21949</v>
      </c>
      <c r="I11704" s="40" t="s">
        <v>18</v>
      </c>
      <c r="J11704" s="40" t="str">
        <f>HYPERLINK("https://stock.pstatic.net/stock-research/company/2/20250602_company_871847000.pdf","PDF")</f>
        <v>PDF</v>
      </c>
      <c r="K11704" s="12" t="s">
        <v>21950</v>
      </c>
      <c r="L11704" s="20">
        <v>0.53755174452986398</v>
      </c>
    </row>
    <row r="11705" spans="1:12" x14ac:dyDescent="0.45">
      <c r="A11705" s="12" t="s">
        <v>21948</v>
      </c>
      <c r="B11705" s="12" t="s">
        <v>370</v>
      </c>
      <c r="C11705" s="13" t="s">
        <v>371</v>
      </c>
      <c r="D11705" s="13" t="s">
        <v>83</v>
      </c>
      <c r="E11705" s="12" t="s">
        <v>35</v>
      </c>
      <c r="F11705" s="14">
        <v>110000</v>
      </c>
      <c r="G11705" s="14">
        <v>81000</v>
      </c>
      <c r="H11705" s="13" t="s">
        <v>21951</v>
      </c>
      <c r="I11705" s="40" t="s">
        <v>18</v>
      </c>
      <c r="J11705" s="40" t="str">
        <f>HYPERLINK("https://stock.pstatic.net/stock-research/company/2/20250602_company_500022000.pdf","PDF")</f>
        <v>PDF</v>
      </c>
      <c r="K11705" s="12" t="s">
        <v>21952</v>
      </c>
      <c r="L11705" s="20">
        <v>0.35802469135802473</v>
      </c>
    </row>
    <row r="11706" spans="1:12" x14ac:dyDescent="0.45">
      <c r="A11706" s="12" t="s">
        <v>21948</v>
      </c>
      <c r="B11706" s="12" t="s">
        <v>1252</v>
      </c>
      <c r="C11706" s="13" t="s">
        <v>1253</v>
      </c>
      <c r="D11706" s="13" t="s">
        <v>179</v>
      </c>
      <c r="E11706" s="12" t="s">
        <v>50</v>
      </c>
      <c r="F11706" s="13"/>
      <c r="G11706" s="13"/>
      <c r="H11706" s="13" t="s">
        <v>21953</v>
      </c>
      <c r="I11706" s="40" t="s">
        <v>18</v>
      </c>
      <c r="J11706" s="40" t="str">
        <f>HYPERLINK("https://stock.pstatic.net/stock-research/company/64/20250602_company_428864000.pdf","PDF")</f>
        <v>PDF</v>
      </c>
      <c r="K11706" s="12" t="s">
        <v>21954</v>
      </c>
    </row>
    <row r="11707" spans="1:12" x14ac:dyDescent="0.45">
      <c r="A11707" s="12" t="s">
        <v>21948</v>
      </c>
      <c r="B11707" s="12" t="s">
        <v>661</v>
      </c>
      <c r="C11707" s="13" t="s">
        <v>662</v>
      </c>
      <c r="D11707" s="13" t="s">
        <v>276</v>
      </c>
      <c r="E11707" s="12" t="s">
        <v>16</v>
      </c>
      <c r="F11707" s="14">
        <v>34000</v>
      </c>
      <c r="G11707" s="14">
        <v>25950</v>
      </c>
      <c r="H11707" s="13" t="s">
        <v>21955</v>
      </c>
      <c r="I11707" s="40" t="s">
        <v>18</v>
      </c>
      <c r="J11707" s="40" t="str">
        <f>HYPERLINK("https://stock.pstatic.net/stock-research/company/66/20250602_company_552734000.pdf","PDF")</f>
        <v>PDF</v>
      </c>
      <c r="K11707" s="12" t="s">
        <v>21956</v>
      </c>
      <c r="L11707" s="20">
        <v>0.31021194605009628</v>
      </c>
    </row>
    <row r="11708" spans="1:12" x14ac:dyDescent="0.45">
      <c r="A11708" s="12" t="s">
        <v>21948</v>
      </c>
      <c r="B11708" s="12" t="s">
        <v>21566</v>
      </c>
      <c r="C11708" s="13" t="s">
        <v>21567</v>
      </c>
      <c r="D11708" s="13" t="s">
        <v>276</v>
      </c>
      <c r="E11708" s="12" t="s">
        <v>16</v>
      </c>
      <c r="F11708" s="14">
        <v>17000</v>
      </c>
      <c r="G11708" s="14">
        <v>15020</v>
      </c>
      <c r="H11708" s="13" t="s">
        <v>21957</v>
      </c>
      <c r="I11708" s="40" t="s">
        <v>18</v>
      </c>
      <c r="J11708" s="40" t="str">
        <f>HYPERLINK("https://stock.pstatic.net/stock-research/company/66/20250602_company_775053000.pdf","PDF")</f>
        <v>PDF</v>
      </c>
      <c r="K11708" s="12" t="s">
        <v>21958</v>
      </c>
      <c r="L11708" s="20">
        <v>0.13182423435419441</v>
      </c>
    </row>
    <row r="11709" spans="1:12" x14ac:dyDescent="0.45">
      <c r="A11709" s="12" t="s">
        <v>21948</v>
      </c>
      <c r="B11709" s="12" t="s">
        <v>366</v>
      </c>
      <c r="C11709" s="13" t="s">
        <v>367</v>
      </c>
      <c r="D11709" s="13" t="s">
        <v>65</v>
      </c>
      <c r="E11709" s="12" t="s">
        <v>35</v>
      </c>
      <c r="F11709" s="14">
        <v>20000</v>
      </c>
      <c r="G11709" s="14">
        <v>16110</v>
      </c>
      <c r="H11709" s="13" t="s">
        <v>21959</v>
      </c>
      <c r="I11709" s="40" t="s">
        <v>18</v>
      </c>
      <c r="J11709" s="40" t="str">
        <f>HYPERLINK("https://stock.pstatic.net/stock-research/company/57/20250602_company_260536000.pdf","PDF")</f>
        <v>PDF</v>
      </c>
      <c r="K11709" s="12" t="s">
        <v>21960</v>
      </c>
      <c r="L11709" s="20">
        <v>0.2414649286157666</v>
      </c>
    </row>
    <row r="11710" spans="1:12" x14ac:dyDescent="0.45">
      <c r="A11710" s="12" t="s">
        <v>21948</v>
      </c>
      <c r="B11710" s="12" t="s">
        <v>21961</v>
      </c>
      <c r="C11710" s="13" t="s">
        <v>21962</v>
      </c>
      <c r="D11710" s="13" t="s">
        <v>34</v>
      </c>
      <c r="E11710" s="12" t="s">
        <v>50</v>
      </c>
      <c r="F11710" s="13"/>
      <c r="G11710" s="14">
        <v>30000</v>
      </c>
      <c r="H11710" s="13" t="s">
        <v>21963</v>
      </c>
      <c r="I11710" s="40" t="s">
        <v>18</v>
      </c>
      <c r="J11710" s="40" t="str">
        <f>HYPERLINK("https://stock.pstatic.net/stock-research/company/1/20250602_company_76385000.pdf","PDF")</f>
        <v>PDF</v>
      </c>
      <c r="K11710" s="12" t="s">
        <v>21964</v>
      </c>
    </row>
    <row r="11711" spans="1:12" x14ac:dyDescent="0.45">
      <c r="A11711" s="12" t="s">
        <v>21948</v>
      </c>
      <c r="B11711" s="12" t="s">
        <v>10923</v>
      </c>
      <c r="C11711" s="13" t="s">
        <v>10924</v>
      </c>
      <c r="D11711" s="13" t="s">
        <v>158</v>
      </c>
      <c r="E11711" s="12" t="s">
        <v>50</v>
      </c>
      <c r="F11711" s="13"/>
      <c r="G11711" s="14">
        <v>13330</v>
      </c>
      <c r="H11711" s="13" t="s">
        <v>21965</v>
      </c>
      <c r="I11711" s="40" t="s">
        <v>18</v>
      </c>
      <c r="J11711" s="40" t="str">
        <f>HYPERLINK("https://stock.pstatic.net/stock-research/company/1/20250602_company_16862000.pdf","PDF")</f>
        <v>PDF</v>
      </c>
      <c r="K11711" s="12" t="s">
        <v>21966</v>
      </c>
    </row>
    <row r="11712" spans="1:12" x14ac:dyDescent="0.45">
      <c r="A11712" s="12" t="s">
        <v>21948</v>
      </c>
      <c r="B11712" s="12" t="s">
        <v>460</v>
      </c>
      <c r="C11712" s="13" t="s">
        <v>461</v>
      </c>
      <c r="D11712" s="13" t="s">
        <v>158</v>
      </c>
      <c r="E11712" s="12" t="s">
        <v>50</v>
      </c>
      <c r="F11712" s="13"/>
      <c r="G11712" s="14">
        <v>12600</v>
      </c>
      <c r="H11712" s="13" t="s">
        <v>21967</v>
      </c>
      <c r="I11712" s="40" t="s">
        <v>18</v>
      </c>
      <c r="J11712" s="40" t="str">
        <f>HYPERLINK("https://stock.pstatic.net/stock-research/company/18/20250602_company_699150000.pdf","PDF")</f>
        <v>PDF</v>
      </c>
      <c r="K11712" s="12" t="s">
        <v>21968</v>
      </c>
    </row>
    <row r="11713" spans="1:12" x14ac:dyDescent="0.45">
      <c r="A11713" s="12" t="s">
        <v>21948</v>
      </c>
      <c r="B11713" s="12" t="s">
        <v>3200</v>
      </c>
      <c r="C11713" s="13" t="s">
        <v>3201</v>
      </c>
      <c r="D11713" s="13" t="s">
        <v>158</v>
      </c>
      <c r="E11713" s="12" t="s">
        <v>50</v>
      </c>
      <c r="F11713" s="13"/>
      <c r="G11713" s="14">
        <v>23800</v>
      </c>
      <c r="H11713" s="13" t="s">
        <v>21969</v>
      </c>
      <c r="I11713" s="40" t="s">
        <v>18</v>
      </c>
      <c r="J11713" s="40" t="str">
        <f>HYPERLINK("https://stock.pstatic.net/stock-research/company/18/20250602_company_19931000.pdf","PDF")</f>
        <v>PDF</v>
      </c>
      <c r="K11713" s="12" t="s">
        <v>21970</v>
      </c>
    </row>
    <row r="11714" spans="1:12" x14ac:dyDescent="0.45">
      <c r="A11714" s="12" t="s">
        <v>21948</v>
      </c>
      <c r="B11714" s="12" t="s">
        <v>21971</v>
      </c>
      <c r="C11714" s="13" t="s">
        <v>21972</v>
      </c>
      <c r="D11714" s="13" t="s">
        <v>158</v>
      </c>
      <c r="E11714" s="12" t="s">
        <v>50</v>
      </c>
      <c r="F11714" s="13"/>
      <c r="G11714" s="14">
        <v>31150</v>
      </c>
      <c r="H11714" s="13" t="s">
        <v>21973</v>
      </c>
      <c r="I11714" s="40" t="s">
        <v>18</v>
      </c>
      <c r="J11714" s="40" t="str">
        <f>HYPERLINK("https://stock.pstatic.net/stock-research/company/1/20250602_company_228693000.pdf","PDF")</f>
        <v>PDF</v>
      </c>
      <c r="K11714" s="12" t="s">
        <v>21974</v>
      </c>
    </row>
    <row r="11715" spans="1:12" x14ac:dyDescent="0.45">
      <c r="A11715" s="12" t="s">
        <v>21948</v>
      </c>
      <c r="B11715" s="12" t="s">
        <v>698</v>
      </c>
      <c r="C11715" s="13" t="s">
        <v>699</v>
      </c>
      <c r="D11715" s="13" t="s">
        <v>34</v>
      </c>
      <c r="E11715" s="12" t="s">
        <v>35</v>
      </c>
      <c r="F11715" s="14">
        <v>200000</v>
      </c>
      <c r="G11715" s="14">
        <v>163700</v>
      </c>
      <c r="H11715" s="13" t="s">
        <v>21975</v>
      </c>
      <c r="I11715" s="40" t="s">
        <v>18</v>
      </c>
      <c r="J11715" s="40" t="str">
        <f>HYPERLINK("https://stock.pstatic.net/stock-research/company/61/20250602_company_228974000.pdf","PDF")</f>
        <v>PDF</v>
      </c>
      <c r="K11715" s="12" t="s">
        <v>21976</v>
      </c>
      <c r="L11715" s="20">
        <v>0.22174709835064141</v>
      </c>
    </row>
    <row r="11716" spans="1:12" x14ac:dyDescent="0.45">
      <c r="A11716" s="12" t="s">
        <v>21948</v>
      </c>
      <c r="B11716" s="12" t="s">
        <v>2089</v>
      </c>
      <c r="C11716" s="13" t="s">
        <v>2090</v>
      </c>
      <c r="D11716" s="13" t="s">
        <v>53</v>
      </c>
      <c r="E11716" s="12" t="s">
        <v>16</v>
      </c>
      <c r="F11716" s="14">
        <v>80000</v>
      </c>
      <c r="G11716" s="14">
        <v>54400</v>
      </c>
      <c r="H11716" s="13" t="s">
        <v>21977</v>
      </c>
      <c r="I11716" s="40" t="s">
        <v>18</v>
      </c>
      <c r="J11716" s="40" t="str">
        <f>HYPERLINK("https://stock.pstatic.net/stock-research/company/40/20250602_company_623763000.pdf","PDF")</f>
        <v>PDF</v>
      </c>
      <c r="K11716" s="12" t="s">
        <v>21978</v>
      </c>
      <c r="L11716" s="20">
        <v>0.47058823529411759</v>
      </c>
    </row>
    <row r="11717" spans="1:12" x14ac:dyDescent="0.45">
      <c r="A11717" s="12" t="s">
        <v>21948</v>
      </c>
      <c r="B11717" s="12" t="s">
        <v>868</v>
      </c>
      <c r="C11717" s="13" t="s">
        <v>869</v>
      </c>
      <c r="D11717" s="13" t="s">
        <v>34</v>
      </c>
      <c r="E11717" s="12" t="s">
        <v>35</v>
      </c>
      <c r="F11717" s="14">
        <v>50000</v>
      </c>
      <c r="G11717" s="14">
        <v>37250</v>
      </c>
      <c r="H11717" s="13" t="s">
        <v>21979</v>
      </c>
      <c r="I11717" s="40" t="s">
        <v>18</v>
      </c>
      <c r="J11717" s="40" t="str">
        <f>HYPERLINK("https://stock.pstatic.net/stock-research/company/61/20250602_company_538758000.pdf","PDF")</f>
        <v>PDF</v>
      </c>
      <c r="K11717" s="12" t="s">
        <v>21980</v>
      </c>
      <c r="L11717" s="20">
        <v>0.34228187919463088</v>
      </c>
    </row>
    <row r="11718" spans="1:12" x14ac:dyDescent="0.45">
      <c r="A11718" s="12" t="s">
        <v>21948</v>
      </c>
      <c r="B11718" s="12" t="s">
        <v>21981</v>
      </c>
      <c r="C11718" s="13" t="s">
        <v>21982</v>
      </c>
      <c r="D11718" s="13" t="s">
        <v>124</v>
      </c>
      <c r="E11718" s="12" t="s">
        <v>50</v>
      </c>
      <c r="F11718" s="13"/>
      <c r="G11718" s="13"/>
      <c r="H11718" s="13" t="s">
        <v>21983</v>
      </c>
      <c r="I11718" s="40" t="s">
        <v>18</v>
      </c>
      <c r="J11718" s="40" t="str">
        <f>HYPERLINK("https://stock.pstatic.net/stock-research/company/74/20250602_company_948196000.pdf","PDF")</f>
        <v>PDF</v>
      </c>
      <c r="K11718" s="12" t="s">
        <v>21984</v>
      </c>
    </row>
    <row r="11719" spans="1:12" x14ac:dyDescent="0.45">
      <c r="A11719" s="12" t="s">
        <v>21948</v>
      </c>
      <c r="B11719" s="12" t="s">
        <v>21985</v>
      </c>
      <c r="C11719" s="13" t="s">
        <v>21986</v>
      </c>
      <c r="D11719" s="13" t="s">
        <v>92</v>
      </c>
      <c r="E11719" s="12" t="s">
        <v>35</v>
      </c>
      <c r="F11719" s="14">
        <v>50000</v>
      </c>
      <c r="G11719" s="14">
        <v>31050</v>
      </c>
      <c r="H11719" s="13" t="s">
        <v>21987</v>
      </c>
      <c r="I11719" s="40" t="s">
        <v>18</v>
      </c>
      <c r="J11719" s="40" t="str">
        <f>HYPERLINK("https://stock.pstatic.net/stock-research/company/1/20250602_company_478779000.pdf","PDF")</f>
        <v>PDF</v>
      </c>
      <c r="K11719" s="12" t="s">
        <v>21988</v>
      </c>
      <c r="L11719" s="20">
        <v>0.61030595813204513</v>
      </c>
    </row>
    <row r="11720" spans="1:12" x14ac:dyDescent="0.45">
      <c r="A11720" s="12" t="s">
        <v>21989</v>
      </c>
      <c r="B11720" s="12" t="s">
        <v>11907</v>
      </c>
      <c r="C11720" s="13" t="s">
        <v>11908</v>
      </c>
      <c r="D11720" s="13" t="s">
        <v>65</v>
      </c>
      <c r="E11720" s="12" t="s">
        <v>50</v>
      </c>
      <c r="F11720" s="13"/>
      <c r="G11720" s="14">
        <v>9510</v>
      </c>
      <c r="H11720" s="13" t="s">
        <v>21990</v>
      </c>
      <c r="I11720" s="40" t="s">
        <v>18</v>
      </c>
      <c r="J11720" s="40" t="str">
        <f>HYPERLINK("https://stock.pstatic.net/stock-research/company/57/20250530_company_984951000.pdf","PDF")</f>
        <v>PDF</v>
      </c>
      <c r="K11720" s="12" t="s">
        <v>21991</v>
      </c>
    </row>
    <row r="11721" spans="1:12" x14ac:dyDescent="0.45">
      <c r="A11721" s="12" t="s">
        <v>21989</v>
      </c>
      <c r="B11721" s="12" t="s">
        <v>281</v>
      </c>
      <c r="C11721" s="13" t="s">
        <v>282</v>
      </c>
      <c r="D11721" s="13" t="s">
        <v>65</v>
      </c>
      <c r="E11721" s="12" t="s">
        <v>35</v>
      </c>
      <c r="F11721" s="14">
        <v>15000</v>
      </c>
      <c r="G11721" s="14">
        <v>8790</v>
      </c>
      <c r="H11721" s="13" t="s">
        <v>21992</v>
      </c>
      <c r="I11721" s="40" t="s">
        <v>18</v>
      </c>
      <c r="J11721" s="40" t="str">
        <f>HYPERLINK("https://stock.pstatic.net/stock-research/company/57/20250530_company_44930000.pdf","PDF")</f>
        <v>PDF</v>
      </c>
      <c r="K11721" s="12" t="s">
        <v>21993</v>
      </c>
      <c r="L11721" s="20">
        <v>0.70648464163822522</v>
      </c>
    </row>
    <row r="11722" spans="1:12" x14ac:dyDescent="0.45">
      <c r="A11722" s="12" t="s">
        <v>21989</v>
      </c>
      <c r="B11722" s="12" t="s">
        <v>1286</v>
      </c>
      <c r="C11722" s="13" t="s">
        <v>1287</v>
      </c>
      <c r="D11722" s="13" t="s">
        <v>57</v>
      </c>
      <c r="E11722" s="12" t="s">
        <v>35</v>
      </c>
      <c r="F11722" s="14">
        <v>43000</v>
      </c>
      <c r="G11722" s="14">
        <v>30550</v>
      </c>
      <c r="H11722" s="13" t="s">
        <v>21994</v>
      </c>
      <c r="I11722" s="40" t="s">
        <v>18</v>
      </c>
      <c r="J11722" s="40" t="str">
        <f>HYPERLINK("https://stock.pstatic.net/stock-research/company/16/20250530_company_800356000.pdf","PDF")</f>
        <v>PDF</v>
      </c>
      <c r="K11722" s="12" t="s">
        <v>21995</v>
      </c>
      <c r="L11722" s="20">
        <v>0.40752864157119478</v>
      </c>
    </row>
    <row r="11723" spans="1:12" x14ac:dyDescent="0.45">
      <c r="A11723" s="12" t="s">
        <v>21989</v>
      </c>
      <c r="B11723" s="12" t="s">
        <v>76</v>
      </c>
      <c r="C11723" s="13" t="s">
        <v>77</v>
      </c>
      <c r="D11723" s="13" t="s">
        <v>158</v>
      </c>
      <c r="E11723" s="12" t="s">
        <v>159</v>
      </c>
      <c r="F11723" s="14">
        <v>23000</v>
      </c>
      <c r="G11723" s="14">
        <v>21800</v>
      </c>
      <c r="H11723" s="13" t="s">
        <v>21996</v>
      </c>
      <c r="I11723" s="40" t="s">
        <v>18</v>
      </c>
      <c r="J11723" s="40" t="str">
        <f>HYPERLINK("https://stock.pstatic.net/stock-research/company/18/20250530_company_929073000.pdf","PDF")</f>
        <v>PDF</v>
      </c>
      <c r="K11723" s="12" t="s">
        <v>21997</v>
      </c>
      <c r="L11723" s="20">
        <v>5.5045871559633031E-2</v>
      </c>
    </row>
    <row r="11724" spans="1:12" x14ac:dyDescent="0.45">
      <c r="A11724" s="12" t="s">
        <v>21989</v>
      </c>
      <c r="B11724" s="12" t="s">
        <v>2795</v>
      </c>
      <c r="C11724" s="13" t="s">
        <v>2796</v>
      </c>
      <c r="D11724" s="13" t="s">
        <v>158</v>
      </c>
      <c r="E11724" s="12" t="s">
        <v>35</v>
      </c>
      <c r="F11724" s="14">
        <v>5000</v>
      </c>
      <c r="G11724" s="14">
        <v>3695</v>
      </c>
      <c r="H11724" s="13" t="s">
        <v>21998</v>
      </c>
      <c r="I11724" s="40" t="s">
        <v>18</v>
      </c>
      <c r="J11724" s="40" t="str">
        <f>HYPERLINK("https://stock.pstatic.net/stock-research/company/18/20250530_company_179560000.pdf","PDF")</f>
        <v>PDF</v>
      </c>
      <c r="K11724" s="12" t="s">
        <v>21999</v>
      </c>
      <c r="L11724" s="20">
        <v>0.35317997293640052</v>
      </c>
    </row>
    <row r="11725" spans="1:12" x14ac:dyDescent="0.45">
      <c r="A11725" s="12" t="s">
        <v>21989</v>
      </c>
      <c r="B11725" s="12" t="s">
        <v>784</v>
      </c>
      <c r="C11725" s="13" t="s">
        <v>785</v>
      </c>
      <c r="D11725" s="13" t="s">
        <v>158</v>
      </c>
      <c r="E11725" s="12" t="s">
        <v>35</v>
      </c>
      <c r="F11725" s="14">
        <v>12000</v>
      </c>
      <c r="G11725" s="14">
        <v>9450</v>
      </c>
      <c r="H11725" s="13" t="s">
        <v>22000</v>
      </c>
      <c r="I11725" s="40" t="s">
        <v>18</v>
      </c>
      <c r="J11725" s="40" t="str">
        <f>HYPERLINK("https://stock.pstatic.net/stock-research/company/18/20250530_company_704642000.pdf","PDF")</f>
        <v>PDF</v>
      </c>
      <c r="K11725" s="12" t="s">
        <v>22001</v>
      </c>
      <c r="L11725" s="20">
        <v>0.26984126984126983</v>
      </c>
    </row>
    <row r="11726" spans="1:12" x14ac:dyDescent="0.45">
      <c r="A11726" s="12" t="s">
        <v>21989</v>
      </c>
      <c r="B11726" s="12" t="s">
        <v>4642</v>
      </c>
      <c r="C11726" s="13" t="s">
        <v>4643</v>
      </c>
      <c r="D11726" s="13" t="s">
        <v>158</v>
      </c>
      <c r="E11726" s="12" t="s">
        <v>35</v>
      </c>
      <c r="F11726" s="14">
        <v>31000</v>
      </c>
      <c r="G11726" s="14">
        <v>22900</v>
      </c>
      <c r="H11726" s="13" t="s">
        <v>22002</v>
      </c>
      <c r="I11726" s="40" t="s">
        <v>18</v>
      </c>
      <c r="J11726" s="40" t="str">
        <f>HYPERLINK("https://stock.pstatic.net/stock-research/company/18/20250530_company_855241000.pdf","PDF")</f>
        <v>PDF</v>
      </c>
      <c r="K11726" s="12" t="s">
        <v>22003</v>
      </c>
      <c r="L11726" s="20">
        <v>0.35371179039301309</v>
      </c>
    </row>
    <row r="11727" spans="1:12" x14ac:dyDescent="0.45">
      <c r="A11727" s="12" t="s">
        <v>21989</v>
      </c>
      <c r="B11727" s="12" t="s">
        <v>2522</v>
      </c>
      <c r="C11727" s="13" t="s">
        <v>2523</v>
      </c>
      <c r="D11727" s="13" t="s">
        <v>158</v>
      </c>
      <c r="E11727" s="12" t="s">
        <v>35</v>
      </c>
      <c r="F11727" s="14">
        <v>450000</v>
      </c>
      <c r="G11727" s="14">
        <v>377500</v>
      </c>
      <c r="H11727" s="13" t="s">
        <v>22004</v>
      </c>
      <c r="I11727" s="40" t="s">
        <v>18</v>
      </c>
      <c r="J11727" s="40" t="str">
        <f>HYPERLINK("https://stock.pstatic.net/stock-research/company/18/20250530_company_521751000.pdf","PDF")</f>
        <v>PDF</v>
      </c>
      <c r="K11727" s="12" t="s">
        <v>22005</v>
      </c>
      <c r="L11727" s="20">
        <v>0.19205298013245031</v>
      </c>
    </row>
    <row r="11728" spans="1:12" x14ac:dyDescent="0.45">
      <c r="A11728" s="12" t="s">
        <v>21989</v>
      </c>
      <c r="B11728" s="12" t="s">
        <v>1682</v>
      </c>
      <c r="C11728" s="13" t="s">
        <v>4787</v>
      </c>
      <c r="D11728" s="13" t="s">
        <v>158</v>
      </c>
      <c r="E11728" s="12" t="s">
        <v>35</v>
      </c>
      <c r="F11728" s="14">
        <v>310000</v>
      </c>
      <c r="G11728" s="14">
        <v>158900</v>
      </c>
      <c r="H11728" s="13" t="s">
        <v>22006</v>
      </c>
      <c r="I11728" s="40" t="s">
        <v>18</v>
      </c>
      <c r="J11728" s="40" t="str">
        <f>HYPERLINK("https://stock.pstatic.net/stock-research/company/18/20250530_company_126132000.pdf","PDF")</f>
        <v>PDF</v>
      </c>
      <c r="K11728" s="12" t="s">
        <v>22007</v>
      </c>
      <c r="L11728" s="20">
        <v>0.95091252359974832</v>
      </c>
    </row>
    <row r="11729" spans="1:12" x14ac:dyDescent="0.45">
      <c r="A11729" s="12" t="s">
        <v>21989</v>
      </c>
      <c r="B11729" s="12" t="s">
        <v>42</v>
      </c>
      <c r="C11729" s="13" t="s">
        <v>43</v>
      </c>
      <c r="D11729" s="13" t="s">
        <v>158</v>
      </c>
      <c r="E11729" s="12" t="s">
        <v>35</v>
      </c>
      <c r="F11729" s="14">
        <v>290000</v>
      </c>
      <c r="G11729" s="14">
        <v>189300</v>
      </c>
      <c r="H11729" s="13" t="s">
        <v>22008</v>
      </c>
      <c r="I11729" s="40" t="s">
        <v>18</v>
      </c>
      <c r="J11729" s="40" t="str">
        <f>HYPERLINK("https://stock.pstatic.net/stock-research/company/18/20250530_company_46706000.pdf","PDF")</f>
        <v>PDF</v>
      </c>
      <c r="K11729" s="12" t="s">
        <v>22009</v>
      </c>
      <c r="L11729" s="20">
        <v>0.53195985208663499</v>
      </c>
    </row>
    <row r="11730" spans="1:12" x14ac:dyDescent="0.45">
      <c r="A11730" s="12" t="s">
        <v>21989</v>
      </c>
      <c r="B11730" s="12" t="s">
        <v>2425</v>
      </c>
      <c r="C11730" s="13" t="s">
        <v>2426</v>
      </c>
      <c r="D11730" s="13" t="s">
        <v>158</v>
      </c>
      <c r="E11730" s="12" t="s">
        <v>35</v>
      </c>
      <c r="F11730" s="14">
        <v>150000</v>
      </c>
      <c r="G11730" s="14">
        <v>121000</v>
      </c>
      <c r="H11730" s="13" t="s">
        <v>22010</v>
      </c>
      <c r="I11730" s="40" t="s">
        <v>18</v>
      </c>
      <c r="J11730" s="40" t="str">
        <f>HYPERLINK("https://stock.pstatic.net/stock-research/company/18/20250530_company_61370000.pdf","PDF")</f>
        <v>PDF</v>
      </c>
      <c r="K11730" s="12" t="s">
        <v>22011</v>
      </c>
      <c r="L11730" s="20">
        <v>0.23966942148760331</v>
      </c>
    </row>
    <row r="11731" spans="1:12" x14ac:dyDescent="0.45">
      <c r="A11731" s="12" t="s">
        <v>21989</v>
      </c>
      <c r="B11731" s="12" t="s">
        <v>6575</v>
      </c>
      <c r="C11731" s="13" t="s">
        <v>6576</v>
      </c>
      <c r="D11731" s="13" t="s">
        <v>158</v>
      </c>
      <c r="E11731" s="12" t="s">
        <v>50</v>
      </c>
      <c r="F11731" s="13"/>
      <c r="G11731" s="14">
        <v>1411</v>
      </c>
      <c r="H11731" s="13" t="s">
        <v>22012</v>
      </c>
      <c r="I11731" s="40" t="s">
        <v>18</v>
      </c>
      <c r="J11731" s="40" t="str">
        <f>HYPERLINK("https://stock.pstatic.net/stock-research/company/18/20250530_company_512084000.pdf","PDF")</f>
        <v>PDF</v>
      </c>
      <c r="K11731" s="12" t="s">
        <v>22013</v>
      </c>
    </row>
    <row r="11732" spans="1:12" x14ac:dyDescent="0.45">
      <c r="A11732" s="12" t="s">
        <v>21989</v>
      </c>
      <c r="B11732" s="12" t="s">
        <v>691</v>
      </c>
      <c r="C11732" s="13" t="s">
        <v>20</v>
      </c>
      <c r="D11732" s="13" t="s">
        <v>714</v>
      </c>
      <c r="E11732" s="12" t="s">
        <v>35</v>
      </c>
      <c r="F11732" s="14">
        <v>230000</v>
      </c>
      <c r="G11732" s="14">
        <v>158700</v>
      </c>
      <c r="H11732" s="13" t="s">
        <v>22014</v>
      </c>
      <c r="I11732" s="40" t="s">
        <v>18</v>
      </c>
      <c r="J11732" s="40" t="str">
        <f>HYPERLINK("https://stock.pstatic.net/stock-research/company/38/20250530_company_727371000.pdf","PDF")</f>
        <v>PDF</v>
      </c>
      <c r="K11732" s="12" t="s">
        <v>22015</v>
      </c>
      <c r="L11732" s="20">
        <v>0.44927536231884058</v>
      </c>
    </row>
    <row r="11733" spans="1:12" x14ac:dyDescent="0.45">
      <c r="A11733" s="12" t="s">
        <v>21989</v>
      </c>
      <c r="B11733" s="12" t="s">
        <v>22016</v>
      </c>
      <c r="C11733" s="13" t="s">
        <v>22017</v>
      </c>
      <c r="D11733" s="13" t="s">
        <v>23</v>
      </c>
      <c r="E11733" s="12" t="s">
        <v>16</v>
      </c>
      <c r="F11733" s="14">
        <v>4500</v>
      </c>
      <c r="G11733" s="14">
        <v>3260</v>
      </c>
      <c r="H11733" s="13" t="s">
        <v>22018</v>
      </c>
      <c r="I11733" s="40" t="s">
        <v>18</v>
      </c>
      <c r="J11733" s="40" t="str">
        <f>HYPERLINK("https://stock.pstatic.net/stock-research/company/21/20250530_company_312699000.pdf","PDF")</f>
        <v>PDF</v>
      </c>
      <c r="K11733" s="12" t="s">
        <v>22019</v>
      </c>
      <c r="L11733" s="20">
        <v>0.38036809815950923</v>
      </c>
    </row>
    <row r="11734" spans="1:12" x14ac:dyDescent="0.45">
      <c r="A11734" s="12" t="s">
        <v>21989</v>
      </c>
      <c r="B11734" s="12" t="s">
        <v>880</v>
      </c>
      <c r="C11734" s="13" t="s">
        <v>881</v>
      </c>
      <c r="D11734" s="13" t="s">
        <v>92</v>
      </c>
      <c r="E11734" s="12" t="s">
        <v>35</v>
      </c>
      <c r="F11734" s="14">
        <v>16000</v>
      </c>
      <c r="G11734" s="14">
        <v>14140</v>
      </c>
      <c r="H11734" s="13" t="s">
        <v>22020</v>
      </c>
      <c r="I11734" s="40" t="s">
        <v>18</v>
      </c>
      <c r="J11734" s="40" t="str">
        <f>HYPERLINK("https://stock.pstatic.net/stock-research/company/63/20250530_company_31246000.pdf","PDF")</f>
        <v>PDF</v>
      </c>
      <c r="K11734" s="12" t="s">
        <v>22021</v>
      </c>
      <c r="L11734" s="20">
        <v>0.1315417256011315</v>
      </c>
    </row>
    <row r="11735" spans="1:12" x14ac:dyDescent="0.45">
      <c r="A11735" s="12" t="s">
        <v>21989</v>
      </c>
      <c r="B11735" s="12" t="s">
        <v>426</v>
      </c>
      <c r="C11735" s="13" t="s">
        <v>427</v>
      </c>
      <c r="D11735" s="13" t="s">
        <v>92</v>
      </c>
      <c r="E11735" s="12" t="s">
        <v>35</v>
      </c>
      <c r="F11735" s="14">
        <v>16000</v>
      </c>
      <c r="G11735" s="14">
        <v>12640</v>
      </c>
      <c r="H11735" s="13" t="s">
        <v>22022</v>
      </c>
      <c r="I11735" s="40" t="s">
        <v>18</v>
      </c>
      <c r="J11735" s="40" t="str">
        <f>HYPERLINK("https://stock.pstatic.net/stock-research/company/1/20250530_company_194428000.pdf","PDF")</f>
        <v>PDF</v>
      </c>
      <c r="K11735" s="12" t="s">
        <v>22023</v>
      </c>
      <c r="L11735" s="20">
        <v>0.26582278481012661</v>
      </c>
    </row>
    <row r="11736" spans="1:12" x14ac:dyDescent="0.45">
      <c r="A11736" s="12" t="s">
        <v>21989</v>
      </c>
      <c r="B11736" s="12" t="s">
        <v>22024</v>
      </c>
      <c r="C11736" s="13" t="s">
        <v>22025</v>
      </c>
      <c r="D11736" s="13" t="s">
        <v>179</v>
      </c>
      <c r="E11736" s="12" t="s">
        <v>50</v>
      </c>
      <c r="F11736" s="13"/>
      <c r="G11736" s="14">
        <v>7000</v>
      </c>
      <c r="H11736" s="13" t="s">
        <v>22026</v>
      </c>
      <c r="I11736" s="40" t="s">
        <v>18</v>
      </c>
      <c r="J11736" s="40" t="str">
        <f>HYPERLINK("https://stock.pstatic.net/stock-research/company/31/20250530_company_350444000.pdf","PDF")</f>
        <v>PDF</v>
      </c>
      <c r="K11736" s="12" t="s">
        <v>22027</v>
      </c>
    </row>
    <row r="11737" spans="1:12" x14ac:dyDescent="0.45">
      <c r="A11737" s="12" t="s">
        <v>21989</v>
      </c>
      <c r="B11737" s="12" t="s">
        <v>2262</v>
      </c>
      <c r="C11737" s="13" t="s">
        <v>2263</v>
      </c>
      <c r="D11737" s="13" t="s">
        <v>83</v>
      </c>
      <c r="E11737" s="12" t="s">
        <v>35</v>
      </c>
      <c r="F11737" s="14">
        <v>17000</v>
      </c>
      <c r="G11737" s="14">
        <v>11310</v>
      </c>
      <c r="H11737" s="13" t="s">
        <v>22028</v>
      </c>
      <c r="I11737" s="40" t="s">
        <v>18</v>
      </c>
      <c r="J11737" s="40" t="str">
        <f>HYPERLINK("https://stock.pstatic.net/stock-research/company/2/20250530_company_519539000.pdf","PDF")</f>
        <v>PDF</v>
      </c>
      <c r="K11737" s="12" t="s">
        <v>22029</v>
      </c>
      <c r="L11737" s="20">
        <v>0.50309460654288241</v>
      </c>
    </row>
    <row r="11738" spans="1:12" x14ac:dyDescent="0.45">
      <c r="A11738" s="12" t="s">
        <v>21989</v>
      </c>
      <c r="B11738" s="12" t="s">
        <v>553</v>
      </c>
      <c r="C11738" s="13" t="s">
        <v>554</v>
      </c>
      <c r="D11738" s="13" t="s">
        <v>179</v>
      </c>
      <c r="E11738" s="12" t="s">
        <v>50</v>
      </c>
      <c r="F11738" s="13"/>
      <c r="G11738" s="14">
        <v>17570</v>
      </c>
      <c r="H11738" s="13" t="s">
        <v>22030</v>
      </c>
      <c r="I11738" s="40" t="s">
        <v>18</v>
      </c>
      <c r="J11738" s="40" t="str">
        <f>HYPERLINK("https://stock.pstatic.net/stock-research/company/31/20250530_company_850907000.pdf","PDF")</f>
        <v>PDF</v>
      </c>
      <c r="K11738" s="12" t="s">
        <v>22031</v>
      </c>
    </row>
    <row r="11739" spans="1:12" x14ac:dyDescent="0.45">
      <c r="A11739" s="12" t="s">
        <v>21989</v>
      </c>
      <c r="B11739" s="12" t="s">
        <v>17418</v>
      </c>
      <c r="C11739" s="13" t="s">
        <v>17419</v>
      </c>
      <c r="D11739" s="13" t="s">
        <v>124</v>
      </c>
      <c r="E11739" s="12" t="s">
        <v>50</v>
      </c>
      <c r="F11739" s="13"/>
      <c r="G11739" s="13"/>
      <c r="H11739" s="13" t="s">
        <v>22032</v>
      </c>
      <c r="I11739" s="40" t="s">
        <v>18</v>
      </c>
      <c r="J11739" s="40" t="str">
        <f>HYPERLINK("https://stock.pstatic.net/stock-research/company/74/20250530_company_651402000.pdf","PDF")</f>
        <v>PDF</v>
      </c>
      <c r="K11739" s="12" t="s">
        <v>22033</v>
      </c>
    </row>
    <row r="11740" spans="1:12" x14ac:dyDescent="0.45">
      <c r="A11740" s="12" t="s">
        <v>21989</v>
      </c>
      <c r="B11740" s="12" t="s">
        <v>3036</v>
      </c>
      <c r="C11740" s="13" t="s">
        <v>4380</v>
      </c>
      <c r="D11740" s="13" t="s">
        <v>179</v>
      </c>
      <c r="E11740" s="12" t="s">
        <v>50</v>
      </c>
      <c r="F11740" s="13"/>
      <c r="G11740" s="14">
        <v>23800</v>
      </c>
      <c r="H11740" s="13" t="s">
        <v>22034</v>
      </c>
      <c r="I11740" s="40" t="s">
        <v>18</v>
      </c>
      <c r="J11740" s="40" t="str">
        <f>HYPERLINK("https://stock.pstatic.net/stock-research/company/31/20250530_company_112126000.pdf","PDF")</f>
        <v>PDF</v>
      </c>
      <c r="K11740" s="12" t="s">
        <v>22035</v>
      </c>
    </row>
    <row r="11741" spans="1:12" x14ac:dyDescent="0.45">
      <c r="A11741" s="12" t="s">
        <v>21989</v>
      </c>
      <c r="B11741" s="12" t="s">
        <v>22036</v>
      </c>
      <c r="C11741" s="13" t="s">
        <v>22037</v>
      </c>
      <c r="D11741" s="13" t="s">
        <v>179</v>
      </c>
      <c r="E11741" s="12" t="s">
        <v>50</v>
      </c>
      <c r="F11741" s="13"/>
      <c r="G11741" s="14">
        <v>23350</v>
      </c>
      <c r="H11741" s="13" t="s">
        <v>22038</v>
      </c>
      <c r="I11741" s="40" t="s">
        <v>18</v>
      </c>
      <c r="J11741" s="40" t="str">
        <f>HYPERLINK("https://stock.pstatic.net/stock-research/company/31/20250530_company_380483000.pdf","PDF")</f>
        <v>PDF</v>
      </c>
      <c r="K11741" s="12" t="s">
        <v>22039</v>
      </c>
    </row>
    <row r="11742" spans="1:12" x14ac:dyDescent="0.45">
      <c r="A11742" s="12" t="s">
        <v>21989</v>
      </c>
      <c r="B11742" s="12" t="s">
        <v>5489</v>
      </c>
      <c r="C11742" s="13" t="s">
        <v>5490</v>
      </c>
      <c r="D11742" s="13" t="s">
        <v>179</v>
      </c>
      <c r="E11742" s="12" t="s">
        <v>50</v>
      </c>
      <c r="F11742" s="13"/>
      <c r="G11742" s="14">
        <v>9500</v>
      </c>
      <c r="H11742" s="13" t="s">
        <v>22040</v>
      </c>
      <c r="I11742" s="40" t="s">
        <v>18</v>
      </c>
      <c r="J11742" s="40" t="str">
        <f>HYPERLINK("https://stock.pstatic.net/stock-research/company/31/20250530_company_999310000.pdf","PDF")</f>
        <v>PDF</v>
      </c>
      <c r="K11742" s="12" t="s">
        <v>22041</v>
      </c>
    </row>
    <row r="11743" spans="1:12" x14ac:dyDescent="0.45">
      <c r="A11743" s="12" t="s">
        <v>21989</v>
      </c>
      <c r="B11743" s="12" t="s">
        <v>10350</v>
      </c>
      <c r="C11743" s="13" t="s">
        <v>10351</v>
      </c>
      <c r="D11743" s="13" t="s">
        <v>179</v>
      </c>
      <c r="E11743" s="12" t="s">
        <v>50</v>
      </c>
      <c r="F11743" s="13"/>
      <c r="G11743" s="14">
        <v>20450</v>
      </c>
      <c r="H11743" s="13" t="s">
        <v>22042</v>
      </c>
      <c r="I11743" s="40" t="s">
        <v>18</v>
      </c>
      <c r="J11743" s="40" t="str">
        <f>HYPERLINK("https://stock.pstatic.net/stock-research/company/31/20250530_company_141957000.pdf","PDF")</f>
        <v>PDF</v>
      </c>
      <c r="K11743" s="12" t="s">
        <v>22043</v>
      </c>
    </row>
    <row r="11744" spans="1:12" x14ac:dyDescent="0.45">
      <c r="A11744" s="12" t="s">
        <v>21989</v>
      </c>
      <c r="B11744" s="12" t="s">
        <v>22044</v>
      </c>
      <c r="C11744" s="13" t="s">
        <v>22045</v>
      </c>
      <c r="D11744" s="13" t="s">
        <v>179</v>
      </c>
      <c r="E11744" s="12" t="s">
        <v>50</v>
      </c>
      <c r="F11744" s="13"/>
      <c r="G11744" s="14">
        <v>23850</v>
      </c>
      <c r="H11744" s="13" t="s">
        <v>22046</v>
      </c>
      <c r="I11744" s="40" t="s">
        <v>18</v>
      </c>
      <c r="J11744" s="40" t="str">
        <f>HYPERLINK("https://stock.pstatic.net/stock-research/company/31/20250530_company_519017000.pdf","PDF")</f>
        <v>PDF</v>
      </c>
      <c r="K11744" s="12" t="s">
        <v>22047</v>
      </c>
    </row>
    <row r="11745" spans="1:12" x14ac:dyDescent="0.45">
      <c r="A11745" s="12" t="s">
        <v>21989</v>
      </c>
      <c r="B11745" s="12" t="s">
        <v>13866</v>
      </c>
      <c r="C11745" s="13" t="s">
        <v>13867</v>
      </c>
      <c r="D11745" s="13" t="s">
        <v>179</v>
      </c>
      <c r="E11745" s="12" t="s">
        <v>50</v>
      </c>
      <c r="F11745" s="13"/>
      <c r="G11745" s="14">
        <v>11480</v>
      </c>
      <c r="H11745" s="13" t="s">
        <v>22048</v>
      </c>
      <c r="I11745" s="40" t="s">
        <v>18</v>
      </c>
      <c r="J11745" s="40" t="str">
        <f>HYPERLINK("https://stock.pstatic.net/stock-research/company/31/20250530_company_528949000.pdf","PDF")</f>
        <v>PDF</v>
      </c>
      <c r="K11745" s="12" t="s">
        <v>22049</v>
      </c>
    </row>
    <row r="11746" spans="1:12" x14ac:dyDescent="0.45">
      <c r="A11746" s="12" t="s">
        <v>21989</v>
      </c>
      <c r="B11746" s="12" t="s">
        <v>10431</v>
      </c>
      <c r="C11746" s="13" t="s">
        <v>10432</v>
      </c>
      <c r="D11746" s="13" t="s">
        <v>179</v>
      </c>
      <c r="E11746" s="12" t="s">
        <v>50</v>
      </c>
      <c r="F11746" s="13"/>
      <c r="G11746" s="14">
        <v>23500</v>
      </c>
      <c r="H11746" s="13" t="s">
        <v>22050</v>
      </c>
      <c r="I11746" s="40" t="s">
        <v>18</v>
      </c>
      <c r="J11746" s="40" t="str">
        <f>HYPERLINK("https://stock.pstatic.net/stock-research/company/31/20250530_company_673067000.pdf","PDF")</f>
        <v>PDF</v>
      </c>
      <c r="K11746" s="12" t="s">
        <v>22051</v>
      </c>
    </row>
    <row r="11747" spans="1:12" x14ac:dyDescent="0.45">
      <c r="A11747" s="12" t="s">
        <v>21989</v>
      </c>
      <c r="B11747" s="12" t="s">
        <v>4125</v>
      </c>
      <c r="C11747" s="13" t="s">
        <v>4126</v>
      </c>
      <c r="D11747" s="13" t="s">
        <v>179</v>
      </c>
      <c r="E11747" s="12" t="s">
        <v>50</v>
      </c>
      <c r="F11747" s="13"/>
      <c r="G11747" s="14">
        <v>35750</v>
      </c>
      <c r="H11747" s="13" t="s">
        <v>22052</v>
      </c>
      <c r="I11747" s="40" t="s">
        <v>18</v>
      </c>
      <c r="J11747" s="40" t="str">
        <f>HYPERLINK("https://stock.pstatic.net/stock-research/company/31/20250530_company_88881000.pdf","PDF")</f>
        <v>PDF</v>
      </c>
      <c r="K11747" s="12" t="s">
        <v>22053</v>
      </c>
    </row>
    <row r="11748" spans="1:12" x14ac:dyDescent="0.45">
      <c r="A11748" s="12" t="s">
        <v>21989</v>
      </c>
      <c r="B11748" s="12" t="s">
        <v>4214</v>
      </c>
      <c r="C11748" s="13" t="s">
        <v>4215</v>
      </c>
      <c r="D11748" s="13" t="s">
        <v>179</v>
      </c>
      <c r="E11748" s="12" t="s">
        <v>50</v>
      </c>
      <c r="F11748" s="13"/>
      <c r="G11748" s="14">
        <v>17870</v>
      </c>
      <c r="H11748" s="13" t="s">
        <v>22054</v>
      </c>
      <c r="I11748" s="40" t="s">
        <v>18</v>
      </c>
      <c r="J11748" s="40" t="str">
        <f>HYPERLINK("https://stock.pstatic.net/stock-research/company/1/20250530_company_732013000.pdf","PDF")</f>
        <v>PDF</v>
      </c>
      <c r="K11748" s="12" t="s">
        <v>22055</v>
      </c>
    </row>
    <row r="11749" spans="1:12" x14ac:dyDescent="0.45">
      <c r="A11749" s="12" t="s">
        <v>21989</v>
      </c>
      <c r="B11749" s="12" t="s">
        <v>950</v>
      </c>
      <c r="C11749" s="13" t="s">
        <v>951</v>
      </c>
      <c r="D11749" s="13" t="s">
        <v>34</v>
      </c>
      <c r="E11749" s="12" t="s">
        <v>159</v>
      </c>
      <c r="F11749" s="14">
        <v>40000</v>
      </c>
      <c r="G11749" s="14">
        <v>35650</v>
      </c>
      <c r="H11749" s="13" t="s">
        <v>22056</v>
      </c>
      <c r="I11749" s="40" t="s">
        <v>18</v>
      </c>
      <c r="J11749" s="40" t="str">
        <f>HYPERLINK("https://stock.pstatic.net/stock-research/company/61/20250530_company_847855000.pdf","PDF")</f>
        <v>PDF</v>
      </c>
      <c r="K11749" s="12" t="s">
        <v>22057</v>
      </c>
      <c r="L11749" s="20">
        <v>0.1220196353436185</v>
      </c>
    </row>
    <row r="11750" spans="1:12" x14ac:dyDescent="0.45">
      <c r="A11750" s="12" t="s">
        <v>21989</v>
      </c>
      <c r="B11750" s="12" t="s">
        <v>22058</v>
      </c>
      <c r="C11750" s="13" t="s">
        <v>22059</v>
      </c>
      <c r="D11750" s="13" t="s">
        <v>179</v>
      </c>
      <c r="E11750" s="12" t="s">
        <v>50</v>
      </c>
      <c r="F11750" s="13"/>
      <c r="G11750" s="14">
        <v>71700</v>
      </c>
      <c r="H11750" s="13" t="s">
        <v>22060</v>
      </c>
      <c r="I11750" s="40" t="s">
        <v>18</v>
      </c>
      <c r="J11750" s="40" t="str">
        <f>HYPERLINK("https://stock.pstatic.net/stock-research/company/31/20250530_company_384716000.pdf","PDF")</f>
        <v>PDF</v>
      </c>
      <c r="K11750" s="12" t="s">
        <v>22061</v>
      </c>
    </row>
    <row r="11751" spans="1:12" x14ac:dyDescent="0.45">
      <c r="A11751" s="12" t="s">
        <v>21989</v>
      </c>
      <c r="B11751" s="12" t="s">
        <v>383</v>
      </c>
      <c r="C11751" s="13" t="s">
        <v>384</v>
      </c>
      <c r="D11751" s="13" t="s">
        <v>179</v>
      </c>
      <c r="E11751" s="12" t="s">
        <v>50</v>
      </c>
      <c r="F11751" s="13"/>
      <c r="G11751" s="14">
        <v>47850</v>
      </c>
      <c r="H11751" s="13" t="s">
        <v>22062</v>
      </c>
      <c r="I11751" s="40" t="s">
        <v>18</v>
      </c>
      <c r="J11751" s="40" t="str">
        <f>HYPERLINK("https://stock.pstatic.net/stock-research/company/31/20250530_company_35345000.pdf","PDF")</f>
        <v>PDF</v>
      </c>
      <c r="K11751" s="12" t="s">
        <v>22063</v>
      </c>
    </row>
    <row r="11752" spans="1:12" x14ac:dyDescent="0.45">
      <c r="A11752" s="12" t="s">
        <v>21989</v>
      </c>
      <c r="B11752" s="12" t="s">
        <v>1648</v>
      </c>
      <c r="C11752" s="13" t="s">
        <v>1649</v>
      </c>
      <c r="D11752" s="13" t="s">
        <v>53</v>
      </c>
      <c r="E11752" s="12" t="s">
        <v>16</v>
      </c>
      <c r="F11752" s="14">
        <v>170000</v>
      </c>
      <c r="G11752" s="14">
        <v>137400</v>
      </c>
      <c r="H11752" s="13" t="s">
        <v>22064</v>
      </c>
      <c r="I11752" s="40" t="s">
        <v>18</v>
      </c>
      <c r="J11752" s="40" t="str">
        <f>HYPERLINK("https://stock.pstatic.net/stock-research/company/40/20250530_company_284406000.pdf","PDF")</f>
        <v>PDF</v>
      </c>
      <c r="K11752" s="12" t="s">
        <v>22065</v>
      </c>
      <c r="L11752" s="20">
        <v>0.23726346433770021</v>
      </c>
    </row>
    <row r="11753" spans="1:12" x14ac:dyDescent="0.45">
      <c r="A11753" s="12" t="s">
        <v>21989</v>
      </c>
      <c r="B11753" s="12" t="s">
        <v>1237</v>
      </c>
      <c r="C11753" s="13" t="s">
        <v>1238</v>
      </c>
      <c r="D11753" s="13" t="s">
        <v>34</v>
      </c>
      <c r="E11753" s="12" t="s">
        <v>35</v>
      </c>
      <c r="F11753" s="14">
        <v>8000</v>
      </c>
      <c r="G11753" s="14">
        <v>6670</v>
      </c>
      <c r="H11753" s="13" t="s">
        <v>22066</v>
      </c>
      <c r="I11753" s="40" t="s">
        <v>18</v>
      </c>
      <c r="J11753" s="40" t="str">
        <f>HYPERLINK("https://stock.pstatic.net/stock-research/company/61/20250530_company_33958000.pdf","PDF")</f>
        <v>PDF</v>
      </c>
      <c r="K11753" s="12" t="s">
        <v>22067</v>
      </c>
      <c r="L11753" s="20">
        <v>0.19940029985007501</v>
      </c>
    </row>
    <row r="11754" spans="1:12" x14ac:dyDescent="0.45">
      <c r="A11754" s="12" t="s">
        <v>21989</v>
      </c>
      <c r="B11754" s="12" t="s">
        <v>22068</v>
      </c>
      <c r="C11754" s="13" t="s">
        <v>22069</v>
      </c>
      <c r="D11754" s="13" t="s">
        <v>179</v>
      </c>
      <c r="E11754" s="12" t="s">
        <v>50</v>
      </c>
      <c r="F11754" s="13"/>
      <c r="G11754" s="14">
        <v>270500</v>
      </c>
      <c r="H11754" s="13" t="s">
        <v>22070</v>
      </c>
      <c r="I11754" s="40" t="s">
        <v>18</v>
      </c>
      <c r="J11754" s="40" t="str">
        <f>HYPERLINK("https://stock.pstatic.net/stock-research/company/1/20250530_company_677543000.pdf","PDF")</f>
        <v>PDF</v>
      </c>
      <c r="K11754" s="12" t="s">
        <v>22071</v>
      </c>
    </row>
    <row r="11755" spans="1:12" x14ac:dyDescent="0.45">
      <c r="A11755" s="12" t="s">
        <v>21989</v>
      </c>
      <c r="B11755" s="12" t="s">
        <v>11753</v>
      </c>
      <c r="C11755" s="13" t="s">
        <v>11754</v>
      </c>
      <c r="D11755" s="13" t="s">
        <v>179</v>
      </c>
      <c r="E11755" s="12" t="s">
        <v>16</v>
      </c>
      <c r="F11755" s="14">
        <v>77000</v>
      </c>
      <c r="G11755" s="14">
        <v>55500</v>
      </c>
      <c r="H11755" s="13" t="s">
        <v>22072</v>
      </c>
      <c r="I11755" s="40" t="s">
        <v>18</v>
      </c>
      <c r="J11755" s="40" t="str">
        <f>HYPERLINK("https://stock.pstatic.net/stock-research/company/31/20250530_company_442084000.pdf","PDF")</f>
        <v>PDF</v>
      </c>
      <c r="K11755" s="12" t="s">
        <v>22073</v>
      </c>
      <c r="L11755" s="20">
        <v>0.38738738738738743</v>
      </c>
    </row>
    <row r="11756" spans="1:12" x14ac:dyDescent="0.45">
      <c r="A11756" s="12" t="s">
        <v>21989</v>
      </c>
      <c r="B11756" s="12" t="s">
        <v>691</v>
      </c>
      <c r="C11756" s="13" t="s">
        <v>20</v>
      </c>
      <c r="D11756" s="13" t="s">
        <v>23</v>
      </c>
      <c r="E11756" s="12" t="s">
        <v>16</v>
      </c>
      <c r="F11756" s="14">
        <v>230000</v>
      </c>
      <c r="G11756" s="14">
        <v>158700</v>
      </c>
      <c r="H11756" s="13" t="s">
        <v>22074</v>
      </c>
      <c r="I11756" s="40" t="s">
        <v>18</v>
      </c>
      <c r="J11756" s="40" t="str">
        <f>HYPERLINK("https://stock.pstatic.net/stock-research/company/21/20250530_company_30196000.pdf","PDF")</f>
        <v>PDF</v>
      </c>
      <c r="K11756" s="12" t="s">
        <v>22075</v>
      </c>
      <c r="L11756" s="20">
        <v>0.44927536231884058</v>
      </c>
    </row>
    <row r="11757" spans="1:12" x14ac:dyDescent="0.45">
      <c r="A11757" s="12" t="s">
        <v>21989</v>
      </c>
      <c r="B11757" s="12" t="s">
        <v>1023</v>
      </c>
      <c r="C11757" s="13" t="s">
        <v>15</v>
      </c>
      <c r="D11757" s="13" t="s">
        <v>44</v>
      </c>
      <c r="E11757" s="12" t="s">
        <v>35</v>
      </c>
      <c r="F11757" s="14">
        <v>20000</v>
      </c>
      <c r="G11757" s="14">
        <v>16560</v>
      </c>
      <c r="H11757" s="13" t="s">
        <v>22076</v>
      </c>
      <c r="I11757" s="40" t="s">
        <v>18</v>
      </c>
      <c r="J11757" s="40" t="str">
        <f>HYPERLINK("https://stock.pstatic.net/stock-research/company/39/20250530_company_434329000.pdf","PDF")</f>
        <v>PDF</v>
      </c>
      <c r="K11757" s="12" t="s">
        <v>22077</v>
      </c>
      <c r="L11757" s="20">
        <v>0.2077294685990338</v>
      </c>
    </row>
    <row r="11758" spans="1:12" x14ac:dyDescent="0.45">
      <c r="A11758" s="12" t="s">
        <v>21989</v>
      </c>
      <c r="B11758" s="12" t="s">
        <v>22078</v>
      </c>
      <c r="C11758" s="13" t="s">
        <v>22079</v>
      </c>
      <c r="D11758" s="13" t="s">
        <v>11154</v>
      </c>
      <c r="E11758" s="12" t="s">
        <v>50</v>
      </c>
      <c r="F11758" s="13"/>
      <c r="G11758" s="13"/>
      <c r="H11758" s="13" t="s">
        <v>22080</v>
      </c>
      <c r="I11758" s="40" t="s">
        <v>18</v>
      </c>
      <c r="J11758" s="40" t="str">
        <f>HYPERLINK("https://stock.pstatic.net/stock-research/company/79/20250530_company_480186000.pdf","PDF")</f>
        <v>PDF</v>
      </c>
      <c r="K11758" s="12" t="s">
        <v>22081</v>
      </c>
    </row>
    <row r="11759" spans="1:12" x14ac:dyDescent="0.45">
      <c r="A11759" s="12" t="s">
        <v>21989</v>
      </c>
      <c r="B11759" s="12" t="s">
        <v>22082</v>
      </c>
      <c r="C11759" s="13" t="s">
        <v>22083</v>
      </c>
      <c r="D11759" s="13" t="s">
        <v>202</v>
      </c>
      <c r="E11759" s="12" t="s">
        <v>50</v>
      </c>
      <c r="F11759" s="13"/>
      <c r="G11759" s="13"/>
      <c r="H11759" s="13" t="s">
        <v>22084</v>
      </c>
      <c r="I11759" s="40" t="s">
        <v>18</v>
      </c>
      <c r="J11759" s="40" t="str">
        <f>HYPERLINK("https://stock.pstatic.net/stock-research/company/69/20250530_company_17468000.pdf","PDF")</f>
        <v>PDF</v>
      </c>
      <c r="K11759" s="12" t="s">
        <v>22085</v>
      </c>
    </row>
    <row r="11760" spans="1:12" x14ac:dyDescent="0.45">
      <c r="A11760" s="12" t="s">
        <v>21989</v>
      </c>
      <c r="B11760" s="12" t="s">
        <v>22086</v>
      </c>
      <c r="C11760" s="13" t="s">
        <v>22087</v>
      </c>
      <c r="D11760" s="13" t="s">
        <v>207</v>
      </c>
      <c r="E11760" s="12" t="s">
        <v>50</v>
      </c>
      <c r="F11760" s="13"/>
      <c r="G11760" s="13"/>
      <c r="H11760" s="13" t="s">
        <v>22088</v>
      </c>
      <c r="I11760" s="40" t="s">
        <v>18</v>
      </c>
      <c r="J11760" s="40" t="str">
        <f>HYPERLINK("https://stock.pstatic.net/stock-research/company/75/20250530_company_160772000.pdf","PDF")</f>
        <v>PDF</v>
      </c>
      <c r="K11760" s="12" t="s">
        <v>22089</v>
      </c>
    </row>
    <row r="11761" spans="1:12" x14ac:dyDescent="0.45">
      <c r="A11761" s="12" t="s">
        <v>21989</v>
      </c>
      <c r="B11761" s="12" t="s">
        <v>22090</v>
      </c>
      <c r="C11761" s="13" t="s">
        <v>22091</v>
      </c>
      <c r="D11761" s="13" t="s">
        <v>202</v>
      </c>
      <c r="E11761" s="12" t="s">
        <v>50</v>
      </c>
      <c r="F11761" s="13"/>
      <c r="G11761" s="13"/>
      <c r="H11761" s="13" t="s">
        <v>22092</v>
      </c>
      <c r="I11761" s="40" t="s">
        <v>18</v>
      </c>
      <c r="J11761" s="40" t="str">
        <f>HYPERLINK("https://stock.pstatic.net/stock-research/company/69/20250530_company_218281000.pdf","PDF")</f>
        <v>PDF</v>
      </c>
      <c r="K11761" s="12" t="s">
        <v>22093</v>
      </c>
    </row>
    <row r="11762" spans="1:12" x14ac:dyDescent="0.45">
      <c r="A11762" s="12" t="s">
        <v>21989</v>
      </c>
      <c r="B11762" s="12" t="s">
        <v>22094</v>
      </c>
      <c r="C11762" s="13" t="s">
        <v>22095</v>
      </c>
      <c r="D11762" s="13" t="s">
        <v>11154</v>
      </c>
      <c r="E11762" s="12" t="s">
        <v>50</v>
      </c>
      <c r="F11762" s="13"/>
      <c r="G11762" s="13"/>
      <c r="H11762" s="13" t="s">
        <v>22096</v>
      </c>
      <c r="I11762" s="40" t="s">
        <v>18</v>
      </c>
      <c r="J11762" s="40" t="str">
        <f>HYPERLINK("https://stock.pstatic.net/stock-research/company/79/20250530_company_240531000.pdf","PDF")</f>
        <v>PDF</v>
      </c>
      <c r="K11762" s="12" t="s">
        <v>22097</v>
      </c>
    </row>
    <row r="11763" spans="1:12" x14ac:dyDescent="0.45">
      <c r="A11763" s="12" t="s">
        <v>21989</v>
      </c>
      <c r="B11763" s="12" t="s">
        <v>22098</v>
      </c>
      <c r="C11763" s="13" t="s">
        <v>22099</v>
      </c>
      <c r="D11763" s="13" t="s">
        <v>207</v>
      </c>
      <c r="E11763" s="12" t="s">
        <v>50</v>
      </c>
      <c r="F11763" s="13"/>
      <c r="G11763" s="13"/>
      <c r="H11763" s="13" t="s">
        <v>22100</v>
      </c>
      <c r="I11763" s="40" t="s">
        <v>18</v>
      </c>
      <c r="J11763" s="40" t="str">
        <f>HYPERLINK("https://stock.pstatic.net/stock-research/company/75/20250530_company_34610000.pdf","PDF")</f>
        <v>PDF</v>
      </c>
      <c r="K11763" s="12" t="s">
        <v>22101</v>
      </c>
    </row>
    <row r="11764" spans="1:12" x14ac:dyDescent="0.45">
      <c r="A11764" s="12" t="s">
        <v>21989</v>
      </c>
      <c r="B11764" s="12" t="s">
        <v>22102</v>
      </c>
      <c r="C11764" s="13" t="s">
        <v>22103</v>
      </c>
      <c r="D11764" s="13" t="s">
        <v>11154</v>
      </c>
      <c r="E11764" s="12" t="s">
        <v>50</v>
      </c>
      <c r="F11764" s="13"/>
      <c r="G11764" s="13"/>
      <c r="H11764" s="13" t="s">
        <v>22104</v>
      </c>
      <c r="I11764" s="40" t="s">
        <v>18</v>
      </c>
      <c r="J11764" s="40" t="str">
        <f>HYPERLINK("https://stock.pstatic.net/stock-research/company/79/20250530_company_340658000.pdf","PDF")</f>
        <v>PDF</v>
      </c>
      <c r="K11764" s="12" t="s">
        <v>22105</v>
      </c>
    </row>
    <row r="11765" spans="1:12" x14ac:dyDescent="0.45">
      <c r="A11765" s="12" t="s">
        <v>21989</v>
      </c>
      <c r="B11765" s="12" t="s">
        <v>1639</v>
      </c>
      <c r="C11765" s="13" t="s">
        <v>1640</v>
      </c>
      <c r="D11765" s="13" t="s">
        <v>207</v>
      </c>
      <c r="E11765" s="12" t="s">
        <v>50</v>
      </c>
      <c r="F11765" s="13"/>
      <c r="G11765" s="13"/>
      <c r="H11765" s="13" t="s">
        <v>22106</v>
      </c>
      <c r="I11765" s="40" t="s">
        <v>18</v>
      </c>
      <c r="J11765" s="40" t="str">
        <f>HYPERLINK("https://stock.pstatic.net/stock-research/company/75/20250530_company_477014000.pdf","PDF")</f>
        <v>PDF</v>
      </c>
      <c r="K11765" s="12" t="s">
        <v>22107</v>
      </c>
    </row>
    <row r="11766" spans="1:12" x14ac:dyDescent="0.45">
      <c r="A11766" s="12" t="s">
        <v>22108</v>
      </c>
      <c r="B11766" s="12" t="s">
        <v>418</v>
      </c>
      <c r="C11766" s="13" t="s">
        <v>419</v>
      </c>
      <c r="D11766" s="13" t="s">
        <v>15</v>
      </c>
      <c r="E11766" s="12" t="s">
        <v>16</v>
      </c>
      <c r="F11766" s="14">
        <v>20000</v>
      </c>
      <c r="G11766" s="14">
        <v>15370</v>
      </c>
      <c r="H11766" s="13" t="s">
        <v>22109</v>
      </c>
      <c r="I11766" s="40" t="s">
        <v>18</v>
      </c>
      <c r="J11766" s="40" t="str">
        <f>HYPERLINK("https://stock.pstatic.net/stock-research/company/29/20250529_company_526180000.pdf","PDF")</f>
        <v>PDF</v>
      </c>
      <c r="K11766" s="12" t="s">
        <v>22110</v>
      </c>
      <c r="L11766" s="20">
        <v>0.30123617436564742</v>
      </c>
    </row>
    <row r="11767" spans="1:12" x14ac:dyDescent="0.45">
      <c r="A11767" s="12" t="s">
        <v>22108</v>
      </c>
      <c r="B11767" s="12" t="s">
        <v>3164</v>
      </c>
      <c r="C11767" s="13" t="s">
        <v>3165</v>
      </c>
      <c r="D11767" s="13" t="s">
        <v>15</v>
      </c>
      <c r="E11767" s="12" t="s">
        <v>16</v>
      </c>
      <c r="F11767" s="14">
        <v>73000</v>
      </c>
      <c r="G11767" s="14">
        <v>60800</v>
      </c>
      <c r="H11767" s="13" t="s">
        <v>22111</v>
      </c>
      <c r="I11767" s="40" t="s">
        <v>18</v>
      </c>
      <c r="J11767" s="40" t="str">
        <f>HYPERLINK("https://stock.pstatic.net/stock-research/company/29/20250529_company_435326000.pdf","PDF")</f>
        <v>PDF</v>
      </c>
      <c r="K11767" s="12" t="s">
        <v>22112</v>
      </c>
      <c r="L11767" s="20">
        <v>0.20065789473684209</v>
      </c>
    </row>
    <row r="11768" spans="1:12" x14ac:dyDescent="0.45">
      <c r="A11768" s="12" t="s">
        <v>22108</v>
      </c>
      <c r="B11768" s="12" t="s">
        <v>2982</v>
      </c>
      <c r="C11768" s="13" t="s">
        <v>2983</v>
      </c>
      <c r="D11768" s="13" t="s">
        <v>15</v>
      </c>
      <c r="E11768" s="12" t="s">
        <v>16</v>
      </c>
      <c r="F11768" s="14">
        <v>61000</v>
      </c>
      <c r="G11768" s="14">
        <v>48450</v>
      </c>
      <c r="H11768" s="13" t="s">
        <v>22113</v>
      </c>
      <c r="I11768" s="40" t="s">
        <v>18</v>
      </c>
      <c r="J11768" s="40" t="str">
        <f>HYPERLINK("https://stock.pstatic.net/stock-research/company/29/20250529_company_355188000.pdf","PDF")</f>
        <v>PDF</v>
      </c>
      <c r="K11768" s="12" t="s">
        <v>22114</v>
      </c>
      <c r="L11768" s="20">
        <v>0.25902992776057793</v>
      </c>
    </row>
    <row r="11769" spans="1:12" x14ac:dyDescent="0.45">
      <c r="A11769" s="12" t="s">
        <v>22108</v>
      </c>
      <c r="B11769" s="12" t="s">
        <v>3204</v>
      </c>
      <c r="C11769" s="13" t="s">
        <v>3205</v>
      </c>
      <c r="D11769" s="13" t="s">
        <v>15</v>
      </c>
      <c r="E11769" s="12" t="s">
        <v>16</v>
      </c>
      <c r="F11769" s="14">
        <v>5600</v>
      </c>
      <c r="G11769" s="14">
        <v>4190</v>
      </c>
      <c r="H11769" s="13" t="s">
        <v>22115</v>
      </c>
      <c r="I11769" s="40" t="s">
        <v>18</v>
      </c>
      <c r="J11769" s="40" t="str">
        <f>HYPERLINK("https://stock.pstatic.net/stock-research/company/29/20250529_company_509680000.pdf","PDF")</f>
        <v>PDF</v>
      </c>
      <c r="K11769" s="12" t="s">
        <v>22116</v>
      </c>
      <c r="L11769" s="20">
        <v>0.33651551312649158</v>
      </c>
    </row>
    <row r="11770" spans="1:12" x14ac:dyDescent="0.45">
      <c r="A11770" s="12" t="s">
        <v>22108</v>
      </c>
      <c r="B11770" s="12" t="s">
        <v>495</v>
      </c>
      <c r="C11770" s="13" t="s">
        <v>496</v>
      </c>
      <c r="D11770" s="13" t="s">
        <v>853</v>
      </c>
      <c r="E11770" s="12" t="s">
        <v>35</v>
      </c>
      <c r="F11770" s="14">
        <v>118000</v>
      </c>
      <c r="G11770" s="14">
        <v>98400</v>
      </c>
      <c r="H11770" s="13" t="s">
        <v>22117</v>
      </c>
      <c r="I11770" s="40" t="s">
        <v>18</v>
      </c>
      <c r="J11770" s="40" t="str">
        <f>HYPERLINK("https://stock.pstatic.net/stock-research/company/17/20250529_company_324396000.pdf","PDF")</f>
        <v>PDF</v>
      </c>
      <c r="K11770" s="12" t="s">
        <v>22118</v>
      </c>
      <c r="L11770" s="20">
        <v>0.1991869918699187</v>
      </c>
    </row>
    <row r="11771" spans="1:12" x14ac:dyDescent="0.45">
      <c r="A11771" s="12" t="s">
        <v>22108</v>
      </c>
      <c r="B11771" s="12" t="s">
        <v>669</v>
      </c>
      <c r="C11771" s="13" t="s">
        <v>670</v>
      </c>
      <c r="D11771" s="13" t="s">
        <v>65</v>
      </c>
      <c r="E11771" s="12" t="s">
        <v>35</v>
      </c>
      <c r="F11771" s="14">
        <v>28000</v>
      </c>
      <c r="G11771" s="14">
        <v>19040</v>
      </c>
      <c r="H11771" s="13" t="s">
        <v>22119</v>
      </c>
      <c r="I11771" s="40" t="s">
        <v>18</v>
      </c>
      <c r="J11771" s="40" t="str">
        <f>HYPERLINK("https://stock.pstatic.net/stock-research/company/57/20250529_company_675205000.pdf","PDF")</f>
        <v>PDF</v>
      </c>
      <c r="K11771" s="12" t="s">
        <v>22120</v>
      </c>
      <c r="L11771" s="20">
        <v>0.47058823529411759</v>
      </c>
    </row>
    <row r="11772" spans="1:12" x14ac:dyDescent="0.45">
      <c r="A11772" s="12" t="s">
        <v>22108</v>
      </c>
      <c r="B11772" s="12" t="s">
        <v>1286</v>
      </c>
      <c r="C11772" s="13" t="s">
        <v>1287</v>
      </c>
      <c r="D11772" s="13" t="s">
        <v>57</v>
      </c>
      <c r="E11772" s="12" t="s">
        <v>35</v>
      </c>
      <c r="F11772" s="14">
        <v>43000</v>
      </c>
      <c r="G11772" s="14">
        <v>30550</v>
      </c>
      <c r="H11772" s="13" t="s">
        <v>22121</v>
      </c>
      <c r="I11772" s="40" t="s">
        <v>18</v>
      </c>
      <c r="J11772" s="40" t="str">
        <f>HYPERLINK("https://stock.pstatic.net/stock-research/company/16/20250529_company_793575000.pdf","PDF")</f>
        <v>PDF</v>
      </c>
      <c r="K11772" s="12" t="s">
        <v>22122</v>
      </c>
      <c r="L11772" s="20">
        <v>0.40752864157119478</v>
      </c>
    </row>
    <row r="11773" spans="1:12" x14ac:dyDescent="0.45">
      <c r="A11773" s="12" t="s">
        <v>22108</v>
      </c>
      <c r="B11773" s="12" t="s">
        <v>9323</v>
      </c>
      <c r="C11773" s="13" t="s">
        <v>9324</v>
      </c>
      <c r="D11773" s="13" t="s">
        <v>158</v>
      </c>
      <c r="E11773" s="12" t="s">
        <v>50</v>
      </c>
      <c r="F11773" s="13"/>
      <c r="G11773" s="14">
        <v>7160</v>
      </c>
      <c r="H11773" s="13" t="s">
        <v>22123</v>
      </c>
      <c r="I11773" s="40" t="s">
        <v>18</v>
      </c>
      <c r="J11773" s="40" t="str">
        <f>HYPERLINK("https://stock.pstatic.net/stock-research/company/18/20250529_company_391731000.pdf","PDF")</f>
        <v>PDF</v>
      </c>
      <c r="K11773" s="12" t="s">
        <v>22124</v>
      </c>
    </row>
    <row r="11774" spans="1:12" x14ac:dyDescent="0.45">
      <c r="A11774" s="12" t="s">
        <v>22108</v>
      </c>
      <c r="B11774" s="12" t="s">
        <v>422</v>
      </c>
      <c r="C11774" s="13" t="s">
        <v>423</v>
      </c>
      <c r="D11774" s="13" t="s">
        <v>158</v>
      </c>
      <c r="E11774" s="12" t="s">
        <v>35</v>
      </c>
      <c r="F11774" s="14">
        <v>30000</v>
      </c>
      <c r="G11774" s="14">
        <v>20350</v>
      </c>
      <c r="H11774" s="13" t="s">
        <v>22125</v>
      </c>
      <c r="I11774" s="40" t="s">
        <v>18</v>
      </c>
      <c r="J11774" s="40" t="str">
        <f>HYPERLINK("https://stock.pstatic.net/stock-research/company/18/20250529_company_159039000.pdf","PDF")</f>
        <v>PDF</v>
      </c>
      <c r="K11774" s="12" t="s">
        <v>22126</v>
      </c>
      <c r="L11774" s="20">
        <v>0.47420147420147418</v>
      </c>
    </row>
    <row r="11775" spans="1:12" x14ac:dyDescent="0.45">
      <c r="A11775" s="12" t="s">
        <v>22108</v>
      </c>
      <c r="B11775" s="12" t="s">
        <v>1202</v>
      </c>
      <c r="C11775" s="13" t="s">
        <v>1203</v>
      </c>
      <c r="D11775" s="13" t="s">
        <v>92</v>
      </c>
      <c r="E11775" s="12" t="s">
        <v>50</v>
      </c>
      <c r="F11775" s="13"/>
      <c r="G11775" s="14">
        <v>3670</v>
      </c>
      <c r="H11775" s="13" t="s">
        <v>22127</v>
      </c>
      <c r="I11775" s="40" t="s">
        <v>18</v>
      </c>
      <c r="J11775" s="40" t="str">
        <f>HYPERLINK("https://stock.pstatic.net/stock-research/company/63/20250529_company_518258000.pdf","PDF")</f>
        <v>PDF</v>
      </c>
      <c r="K11775" s="12" t="s">
        <v>22128</v>
      </c>
    </row>
    <row r="11776" spans="1:12" x14ac:dyDescent="0.45">
      <c r="A11776" s="12" t="s">
        <v>22108</v>
      </c>
      <c r="B11776" s="12" t="s">
        <v>1344</v>
      </c>
      <c r="C11776" s="13" t="s">
        <v>1345</v>
      </c>
      <c r="D11776" s="13" t="s">
        <v>53</v>
      </c>
      <c r="E11776" s="12" t="s">
        <v>16</v>
      </c>
      <c r="F11776" s="14">
        <v>38000</v>
      </c>
      <c r="G11776" s="14">
        <v>29050</v>
      </c>
      <c r="H11776" s="13" t="s">
        <v>22129</v>
      </c>
      <c r="I11776" s="40" t="s">
        <v>18</v>
      </c>
      <c r="J11776" s="40" t="str">
        <f>HYPERLINK("https://stock.pstatic.net/stock-research/company/40/20250529_company_474804000.pdf","PDF")</f>
        <v>PDF</v>
      </c>
      <c r="K11776" s="12" t="s">
        <v>22130</v>
      </c>
      <c r="L11776" s="20">
        <v>0.30808950086058517</v>
      </c>
    </row>
    <row r="11777" spans="1:12" x14ac:dyDescent="0.45">
      <c r="A11777" s="12" t="s">
        <v>22108</v>
      </c>
      <c r="B11777" s="12" t="s">
        <v>1237</v>
      </c>
      <c r="C11777" s="13" t="s">
        <v>1238</v>
      </c>
      <c r="D11777" s="13" t="s">
        <v>92</v>
      </c>
      <c r="E11777" s="12" t="s">
        <v>35</v>
      </c>
      <c r="F11777" s="14">
        <v>8000</v>
      </c>
      <c r="G11777" s="14">
        <v>6670</v>
      </c>
      <c r="H11777" s="13" t="s">
        <v>22131</v>
      </c>
      <c r="I11777" s="40" t="s">
        <v>18</v>
      </c>
      <c r="J11777" s="40" t="str">
        <f>HYPERLINK("https://stock.pstatic.net/stock-research/company/1/20250529_company_17299000.pdf","PDF")</f>
        <v>PDF</v>
      </c>
      <c r="K11777" s="12" t="s">
        <v>22132</v>
      </c>
      <c r="L11777" s="20">
        <v>0.19940029985007501</v>
      </c>
    </row>
    <row r="11778" spans="1:12" x14ac:dyDescent="0.45">
      <c r="A11778" s="12" t="s">
        <v>22108</v>
      </c>
      <c r="B11778" s="12" t="s">
        <v>10976</v>
      </c>
      <c r="C11778" s="13" t="s">
        <v>10977</v>
      </c>
      <c r="D11778" s="13" t="s">
        <v>53</v>
      </c>
      <c r="E11778" s="12" t="s">
        <v>16</v>
      </c>
      <c r="F11778" s="14">
        <v>78000</v>
      </c>
      <c r="G11778" s="14">
        <v>60200</v>
      </c>
      <c r="H11778" s="13" t="s">
        <v>22133</v>
      </c>
      <c r="I11778" s="40" t="s">
        <v>18</v>
      </c>
      <c r="J11778" s="40" t="str">
        <f>HYPERLINK("https://stock.pstatic.net/stock-research/company/40/20250529_company_992466000.pdf","PDF")</f>
        <v>PDF</v>
      </c>
      <c r="K11778" s="12" t="s">
        <v>22134</v>
      </c>
      <c r="L11778" s="20">
        <v>0.29568106312292358</v>
      </c>
    </row>
    <row r="11779" spans="1:12" x14ac:dyDescent="0.45">
      <c r="A11779" s="12" t="s">
        <v>22108</v>
      </c>
      <c r="B11779" s="12" t="s">
        <v>4446</v>
      </c>
      <c r="C11779" s="13" t="s">
        <v>4447</v>
      </c>
      <c r="D11779" s="13" t="s">
        <v>179</v>
      </c>
      <c r="E11779" s="12" t="s">
        <v>16</v>
      </c>
      <c r="F11779" s="14">
        <v>90000</v>
      </c>
      <c r="G11779" s="14">
        <v>58500</v>
      </c>
      <c r="H11779" s="13" t="s">
        <v>22135</v>
      </c>
      <c r="I11779" s="40" t="s">
        <v>18</v>
      </c>
      <c r="J11779" s="40" t="str">
        <f>HYPERLINK("https://stock.pstatic.net/stock-research/company/31/20250529_company_444705000.pdf","PDF")</f>
        <v>PDF</v>
      </c>
      <c r="K11779" s="12" t="s">
        <v>22136</v>
      </c>
      <c r="L11779" s="20">
        <v>0.53846153846153844</v>
      </c>
    </row>
    <row r="11780" spans="1:12" x14ac:dyDescent="0.45">
      <c r="A11780" s="12" t="s">
        <v>22108</v>
      </c>
      <c r="B11780" s="12" t="s">
        <v>11689</v>
      </c>
      <c r="C11780" s="13" t="s">
        <v>11690</v>
      </c>
      <c r="D11780" s="13" t="s">
        <v>44</v>
      </c>
      <c r="E11780" s="12" t="s">
        <v>35</v>
      </c>
      <c r="F11780" s="14">
        <v>34000</v>
      </c>
      <c r="G11780" s="14">
        <v>25500</v>
      </c>
      <c r="H11780" s="13" t="s">
        <v>22137</v>
      </c>
      <c r="I11780" s="40" t="s">
        <v>18</v>
      </c>
      <c r="J11780" s="40" t="str">
        <f>HYPERLINK("https://stock.pstatic.net/stock-research/company/39/20250529_company_183476000.pdf","PDF")</f>
        <v>PDF</v>
      </c>
      <c r="K11780" s="12" t="s">
        <v>22138</v>
      </c>
      <c r="L11780" s="20">
        <v>0.33333333333333331</v>
      </c>
    </row>
    <row r="11781" spans="1:12" x14ac:dyDescent="0.45">
      <c r="A11781" s="12" t="s">
        <v>22108</v>
      </c>
      <c r="B11781" s="12" t="s">
        <v>4613</v>
      </c>
      <c r="C11781" s="13" t="s">
        <v>4614</v>
      </c>
      <c r="D11781" s="13" t="s">
        <v>124</v>
      </c>
      <c r="E11781" s="12" t="s">
        <v>50</v>
      </c>
      <c r="F11781" s="13"/>
      <c r="G11781" s="13"/>
      <c r="H11781" s="13" t="s">
        <v>22139</v>
      </c>
      <c r="I11781" s="40" t="s">
        <v>18</v>
      </c>
      <c r="J11781" s="40" t="str">
        <f>HYPERLINK("https://stock.pstatic.net/stock-research/company/74/20250529_company_521073000.pdf","PDF")</f>
        <v>PDF</v>
      </c>
      <c r="K11781" s="12" t="s">
        <v>22140</v>
      </c>
    </row>
    <row r="11782" spans="1:12" x14ac:dyDescent="0.45">
      <c r="A11782" s="12" t="s">
        <v>22141</v>
      </c>
      <c r="B11782" s="12" t="s">
        <v>177</v>
      </c>
      <c r="C11782" s="13" t="s">
        <v>178</v>
      </c>
      <c r="D11782" s="13" t="s">
        <v>83</v>
      </c>
      <c r="E11782" s="12" t="s">
        <v>35</v>
      </c>
      <c r="F11782" s="14">
        <v>15000</v>
      </c>
      <c r="G11782" s="14">
        <v>9560</v>
      </c>
      <c r="H11782" s="13" t="s">
        <v>22142</v>
      </c>
      <c r="I11782" s="40" t="s">
        <v>18</v>
      </c>
      <c r="J11782" s="40" t="str">
        <f>HYPERLINK("https://stock.pstatic.net/stock-research/company/2/20250528_company_392176000.pdf","PDF")</f>
        <v>PDF</v>
      </c>
      <c r="K11782" s="12" t="s">
        <v>22143</v>
      </c>
      <c r="L11782" s="20">
        <v>0.56903765690376573</v>
      </c>
    </row>
    <row r="11783" spans="1:12" x14ac:dyDescent="0.45">
      <c r="A11783" s="12" t="s">
        <v>22141</v>
      </c>
      <c r="B11783" s="12" t="s">
        <v>110</v>
      </c>
      <c r="C11783" s="13" t="s">
        <v>111</v>
      </c>
      <c r="D11783" s="13" t="s">
        <v>83</v>
      </c>
      <c r="E11783" s="12" t="s">
        <v>35</v>
      </c>
      <c r="F11783" s="14">
        <v>28000</v>
      </c>
      <c r="G11783" s="14">
        <v>18660</v>
      </c>
      <c r="H11783" s="13" t="s">
        <v>22144</v>
      </c>
      <c r="I11783" s="40" t="s">
        <v>18</v>
      </c>
      <c r="J11783" s="40" t="str">
        <f>HYPERLINK("https://stock.pstatic.net/stock-research/company/2/20250528_company_77328000.pdf","PDF")</f>
        <v>PDF</v>
      </c>
      <c r="K11783" s="12" t="s">
        <v>22145</v>
      </c>
      <c r="L11783" s="20">
        <v>0.50053590568060025</v>
      </c>
    </row>
    <row r="11784" spans="1:12" x14ac:dyDescent="0.45">
      <c r="A11784" s="12" t="s">
        <v>22141</v>
      </c>
      <c r="B11784" s="12" t="s">
        <v>1047</v>
      </c>
      <c r="C11784" s="13" t="s">
        <v>1048</v>
      </c>
      <c r="D11784" s="13" t="s">
        <v>83</v>
      </c>
      <c r="E11784" s="12" t="s">
        <v>35</v>
      </c>
      <c r="F11784" s="14">
        <v>15000</v>
      </c>
      <c r="G11784" s="14">
        <v>10910</v>
      </c>
      <c r="H11784" s="13" t="s">
        <v>22146</v>
      </c>
      <c r="I11784" s="40" t="s">
        <v>18</v>
      </c>
      <c r="J11784" s="40" t="str">
        <f>HYPERLINK("https://stock.pstatic.net/stock-research/company/2/20250528_company_440733000.pdf","PDF")</f>
        <v>PDF</v>
      </c>
      <c r="K11784" s="12" t="s">
        <v>22147</v>
      </c>
      <c r="L11784" s="20">
        <v>0.37488542621448212</v>
      </c>
    </row>
    <row r="11785" spans="1:12" x14ac:dyDescent="0.45">
      <c r="A11785" s="12" t="s">
        <v>22141</v>
      </c>
      <c r="B11785" s="12" t="s">
        <v>370</v>
      </c>
      <c r="C11785" s="13" t="s">
        <v>371</v>
      </c>
      <c r="D11785" s="13" t="s">
        <v>65</v>
      </c>
      <c r="E11785" s="12" t="s">
        <v>35</v>
      </c>
      <c r="F11785" s="14">
        <v>110000</v>
      </c>
      <c r="G11785" s="14">
        <v>81000</v>
      </c>
      <c r="H11785" s="13" t="s">
        <v>22148</v>
      </c>
      <c r="I11785" s="40" t="s">
        <v>18</v>
      </c>
      <c r="J11785" s="40" t="str">
        <f>HYPERLINK("https://stock.pstatic.net/stock-research/company/57/20250528_company_371475000.pdf","PDF")</f>
        <v>PDF</v>
      </c>
      <c r="K11785" s="12" t="s">
        <v>22149</v>
      </c>
      <c r="L11785" s="20">
        <v>0.35802469135802473</v>
      </c>
    </row>
    <row r="11786" spans="1:12" x14ac:dyDescent="0.45">
      <c r="A11786" s="12" t="s">
        <v>22141</v>
      </c>
      <c r="B11786" s="12" t="s">
        <v>1648</v>
      </c>
      <c r="C11786" s="13" t="s">
        <v>1649</v>
      </c>
      <c r="D11786" s="13" t="s">
        <v>65</v>
      </c>
      <c r="E11786" s="12" t="s">
        <v>35</v>
      </c>
      <c r="F11786" s="14">
        <v>170000</v>
      </c>
      <c r="G11786" s="14">
        <v>129900</v>
      </c>
      <c r="H11786" s="13" t="s">
        <v>22150</v>
      </c>
      <c r="I11786" s="40" t="s">
        <v>18</v>
      </c>
      <c r="J11786" s="40" t="str">
        <f>HYPERLINK("https://stock.pstatic.net/stock-research/company/57/20250528_company_708549000.pdf","PDF")</f>
        <v>PDF</v>
      </c>
      <c r="K11786" s="12" t="s">
        <v>22151</v>
      </c>
      <c r="L11786" s="20">
        <v>0.30869899923017707</v>
      </c>
    </row>
    <row r="11787" spans="1:12" x14ac:dyDescent="0.45">
      <c r="A11787" s="12" t="s">
        <v>22141</v>
      </c>
      <c r="B11787" s="12" t="s">
        <v>4910</v>
      </c>
      <c r="C11787" s="13" t="s">
        <v>4911</v>
      </c>
      <c r="D11787" s="13" t="s">
        <v>65</v>
      </c>
      <c r="E11787" s="12" t="s">
        <v>50</v>
      </c>
      <c r="F11787" s="13"/>
      <c r="G11787" s="14">
        <v>4370</v>
      </c>
      <c r="H11787" s="13" t="s">
        <v>22152</v>
      </c>
      <c r="I11787" s="40" t="s">
        <v>18</v>
      </c>
      <c r="J11787" s="40" t="str">
        <f>HYPERLINK("https://stock.pstatic.net/stock-research/company/1/20250528_company_778605000.pdf","PDF")</f>
        <v>PDF</v>
      </c>
      <c r="K11787" s="12" t="s">
        <v>22153</v>
      </c>
    </row>
    <row r="11788" spans="1:12" x14ac:dyDescent="0.45">
      <c r="A11788" s="12" t="s">
        <v>22141</v>
      </c>
      <c r="B11788" s="12" t="s">
        <v>533</v>
      </c>
      <c r="C11788" s="13" t="s">
        <v>534</v>
      </c>
      <c r="D11788" s="13" t="s">
        <v>65</v>
      </c>
      <c r="E11788" s="12" t="s">
        <v>35</v>
      </c>
      <c r="F11788" s="14">
        <v>70000</v>
      </c>
      <c r="G11788" s="14">
        <v>51300</v>
      </c>
      <c r="H11788" s="13" t="s">
        <v>22154</v>
      </c>
      <c r="I11788" s="40" t="s">
        <v>18</v>
      </c>
      <c r="J11788" s="40" t="str">
        <f>HYPERLINK("https://stock.pstatic.net/stock-research/company/57/20250528_company_919130000.pdf","PDF")</f>
        <v>PDF</v>
      </c>
      <c r="K11788" s="12" t="s">
        <v>22155</v>
      </c>
      <c r="L11788" s="20">
        <v>0.36452241715399608</v>
      </c>
    </row>
    <row r="11789" spans="1:12" x14ac:dyDescent="0.45">
      <c r="A11789" s="12" t="s">
        <v>22141</v>
      </c>
      <c r="B11789" s="12" t="s">
        <v>541</v>
      </c>
      <c r="C11789" s="13" t="s">
        <v>542</v>
      </c>
      <c r="D11789" s="13" t="s">
        <v>65</v>
      </c>
      <c r="E11789" s="12" t="s">
        <v>35</v>
      </c>
      <c r="F11789" s="14">
        <v>70000</v>
      </c>
      <c r="G11789" s="14">
        <v>51800</v>
      </c>
      <c r="H11789" s="13" t="s">
        <v>22156</v>
      </c>
      <c r="I11789" s="40" t="s">
        <v>18</v>
      </c>
      <c r="J11789" s="40" t="str">
        <f>HYPERLINK("https://stock.pstatic.net/stock-research/company/57/20250528_company_561769000.pdf","PDF")</f>
        <v>PDF</v>
      </c>
      <c r="K11789" s="12" t="s">
        <v>22157</v>
      </c>
      <c r="L11789" s="20">
        <v>0.35135135135135143</v>
      </c>
    </row>
    <row r="11790" spans="1:12" x14ac:dyDescent="0.45">
      <c r="A11790" s="12" t="s">
        <v>22141</v>
      </c>
      <c r="B11790" s="12" t="s">
        <v>537</v>
      </c>
      <c r="C11790" s="13" t="s">
        <v>538</v>
      </c>
      <c r="D11790" s="13" t="s">
        <v>65</v>
      </c>
      <c r="E11790" s="12" t="s">
        <v>35</v>
      </c>
      <c r="F11790" s="14">
        <v>14000</v>
      </c>
      <c r="G11790" s="14">
        <v>12900</v>
      </c>
      <c r="H11790" s="13" t="s">
        <v>22158</v>
      </c>
      <c r="I11790" s="40" t="s">
        <v>18</v>
      </c>
      <c r="J11790" s="40" t="str">
        <f>HYPERLINK("https://stock.pstatic.net/stock-research/company/57/20250528_company_604665000.pdf","PDF")</f>
        <v>PDF</v>
      </c>
      <c r="K11790" s="12" t="s">
        <v>22159</v>
      </c>
      <c r="L11790" s="20">
        <v>8.5271317829457363E-2</v>
      </c>
    </row>
    <row r="11791" spans="1:12" x14ac:dyDescent="0.45">
      <c r="A11791" s="12" t="s">
        <v>22141</v>
      </c>
      <c r="B11791" s="12" t="s">
        <v>3087</v>
      </c>
      <c r="C11791" s="13" t="s">
        <v>3088</v>
      </c>
      <c r="D11791" s="13" t="s">
        <v>158</v>
      </c>
      <c r="E11791" s="12" t="s">
        <v>35</v>
      </c>
      <c r="F11791" s="14">
        <v>220000</v>
      </c>
      <c r="G11791" s="14">
        <v>174600</v>
      </c>
      <c r="H11791" s="13" t="s">
        <v>22160</v>
      </c>
      <c r="I11791" s="40" t="s">
        <v>18</v>
      </c>
      <c r="J11791" s="40" t="str">
        <f>HYPERLINK("https://stock.pstatic.net/stock-research/company/18/20250528_company_126882000.pdf","PDF")</f>
        <v>PDF</v>
      </c>
      <c r="K11791" s="12" t="s">
        <v>22161</v>
      </c>
      <c r="L11791" s="20">
        <v>0.26002290950744561</v>
      </c>
    </row>
    <row r="11792" spans="1:12" x14ac:dyDescent="0.45">
      <c r="A11792" s="12" t="s">
        <v>22141</v>
      </c>
      <c r="B11792" s="12" t="s">
        <v>13410</v>
      </c>
      <c r="C11792" s="13" t="s">
        <v>13411</v>
      </c>
      <c r="D11792" s="13" t="s">
        <v>158</v>
      </c>
      <c r="E11792" s="12" t="s">
        <v>35</v>
      </c>
      <c r="F11792" s="14">
        <v>229000</v>
      </c>
      <c r="G11792" s="14">
        <v>189300</v>
      </c>
      <c r="H11792" s="13" t="s">
        <v>22162</v>
      </c>
      <c r="I11792" s="40" t="s">
        <v>18</v>
      </c>
      <c r="J11792" s="40" t="str">
        <f>HYPERLINK("https://stock.pstatic.net/stock-research/company/18/20250528_company_627110000.pdf","PDF")</f>
        <v>PDF</v>
      </c>
      <c r="K11792" s="12" t="s">
        <v>22163</v>
      </c>
      <c r="L11792" s="20">
        <v>0.20972002113048069</v>
      </c>
    </row>
    <row r="11793" spans="1:12" x14ac:dyDescent="0.45">
      <c r="A11793" s="12" t="s">
        <v>22141</v>
      </c>
      <c r="B11793" s="12" t="s">
        <v>2435</v>
      </c>
      <c r="C11793" s="13" t="s">
        <v>2436</v>
      </c>
      <c r="D11793" s="13" t="s">
        <v>158</v>
      </c>
      <c r="E11793" s="12" t="s">
        <v>35</v>
      </c>
      <c r="F11793" s="14">
        <v>502000</v>
      </c>
      <c r="G11793" s="14">
        <v>412000</v>
      </c>
      <c r="H11793" s="13" t="s">
        <v>22164</v>
      </c>
      <c r="I11793" s="40" t="s">
        <v>18</v>
      </c>
      <c r="J11793" s="40" t="str">
        <f>HYPERLINK("https://stock.pstatic.net/stock-research/company/18/20250528_company_174670000.pdf","PDF")</f>
        <v>PDF</v>
      </c>
      <c r="K11793" s="12" t="s">
        <v>22165</v>
      </c>
      <c r="L11793" s="20">
        <v>0.21844660194174759</v>
      </c>
    </row>
    <row r="11794" spans="1:12" x14ac:dyDescent="0.45">
      <c r="A11794" s="12" t="s">
        <v>22141</v>
      </c>
      <c r="B11794" s="12" t="s">
        <v>744</v>
      </c>
      <c r="C11794" s="13" t="s">
        <v>745</v>
      </c>
      <c r="D11794" s="13" t="s">
        <v>158</v>
      </c>
      <c r="E11794" s="12" t="s">
        <v>35</v>
      </c>
      <c r="F11794" s="14">
        <v>22000</v>
      </c>
      <c r="G11794" s="14">
        <v>16350</v>
      </c>
      <c r="H11794" s="13" t="s">
        <v>22166</v>
      </c>
      <c r="I11794" s="40" t="s">
        <v>18</v>
      </c>
      <c r="J11794" s="40" t="str">
        <f>HYPERLINK("https://stock.pstatic.net/stock-research/company/1/20250528_company_17541000.pdf","PDF")</f>
        <v>PDF</v>
      </c>
      <c r="K11794" s="12" t="s">
        <v>22167</v>
      </c>
      <c r="L11794" s="20">
        <v>0.34556574923547401</v>
      </c>
    </row>
    <row r="11795" spans="1:12" x14ac:dyDescent="0.45">
      <c r="A11795" s="12" t="s">
        <v>22141</v>
      </c>
      <c r="B11795" s="12" t="s">
        <v>3284</v>
      </c>
      <c r="C11795" s="13" t="s">
        <v>3285</v>
      </c>
      <c r="D11795" s="13" t="s">
        <v>158</v>
      </c>
      <c r="E11795" s="12" t="s">
        <v>35</v>
      </c>
      <c r="F11795" s="14">
        <v>102000</v>
      </c>
      <c r="G11795" s="14">
        <v>78800</v>
      </c>
      <c r="H11795" s="13" t="s">
        <v>22168</v>
      </c>
      <c r="I11795" s="40" t="s">
        <v>18</v>
      </c>
      <c r="J11795" s="40" t="str">
        <f>HYPERLINK("https://stock.pstatic.net/stock-research/company/18/20250528_company_629154000.pdf","PDF")</f>
        <v>PDF</v>
      </c>
      <c r="K11795" s="12" t="s">
        <v>22169</v>
      </c>
      <c r="L11795" s="20">
        <v>0.29441624365482227</v>
      </c>
    </row>
    <row r="11796" spans="1:12" x14ac:dyDescent="0.45">
      <c r="A11796" s="12" t="s">
        <v>22141</v>
      </c>
      <c r="B11796" s="12" t="s">
        <v>1237</v>
      </c>
      <c r="C11796" s="13" t="s">
        <v>1238</v>
      </c>
      <c r="D11796" s="13" t="s">
        <v>15</v>
      </c>
      <c r="E11796" s="12" t="s">
        <v>385</v>
      </c>
      <c r="F11796" s="14">
        <v>7000</v>
      </c>
      <c r="G11796" s="14">
        <v>6630</v>
      </c>
      <c r="H11796" s="13" t="s">
        <v>22170</v>
      </c>
      <c r="I11796" s="40" t="s">
        <v>18</v>
      </c>
      <c r="J11796" s="40" t="str">
        <f>HYPERLINK("https://stock.pstatic.net/stock-research/company/29/20250528_company_171144000.pdf","PDF")</f>
        <v>PDF</v>
      </c>
      <c r="K11796" s="12" t="s">
        <v>22171</v>
      </c>
      <c r="L11796" s="20">
        <v>5.5806938159879339E-2</v>
      </c>
    </row>
    <row r="11797" spans="1:12" x14ac:dyDescent="0.45">
      <c r="A11797" s="12" t="s">
        <v>22141</v>
      </c>
      <c r="B11797" s="12" t="s">
        <v>2492</v>
      </c>
      <c r="C11797" s="13" t="s">
        <v>2493</v>
      </c>
      <c r="D11797" s="13" t="s">
        <v>158</v>
      </c>
      <c r="E11797" s="12" t="s">
        <v>35</v>
      </c>
      <c r="F11797" s="14">
        <v>420000</v>
      </c>
      <c r="G11797" s="14">
        <v>296000</v>
      </c>
      <c r="H11797" s="13" t="s">
        <v>22172</v>
      </c>
      <c r="I11797" s="40" t="s">
        <v>18</v>
      </c>
      <c r="J11797" s="40" t="str">
        <f>HYPERLINK("https://stock.pstatic.net/stock-research/company/1/20250528_company_854009000.pdf","PDF")</f>
        <v>PDF</v>
      </c>
      <c r="K11797" s="12" t="s">
        <v>22173</v>
      </c>
      <c r="L11797" s="20">
        <v>0.41891891891891891</v>
      </c>
    </row>
    <row r="11798" spans="1:12" x14ac:dyDescent="0.45">
      <c r="A11798" s="12" t="s">
        <v>22141</v>
      </c>
      <c r="B11798" s="12" t="s">
        <v>3530</v>
      </c>
      <c r="C11798" s="13" t="s">
        <v>3531</v>
      </c>
      <c r="D11798" s="13" t="s">
        <v>158</v>
      </c>
      <c r="E11798" s="12" t="s">
        <v>35</v>
      </c>
      <c r="F11798" s="14">
        <v>12000</v>
      </c>
      <c r="G11798" s="14">
        <v>8340</v>
      </c>
      <c r="H11798" s="13" t="s">
        <v>22174</v>
      </c>
      <c r="I11798" s="40" t="s">
        <v>18</v>
      </c>
      <c r="J11798" s="40" t="str">
        <f>HYPERLINK("https://stock.pstatic.net/stock-research/company/18/20250528_company_270931000.pdf","PDF")</f>
        <v>PDF</v>
      </c>
      <c r="K11798" s="12" t="s">
        <v>22175</v>
      </c>
      <c r="L11798" s="20">
        <v>0.43884892086330929</v>
      </c>
    </row>
    <row r="11799" spans="1:12" x14ac:dyDescent="0.45">
      <c r="A11799" s="12" t="s">
        <v>22141</v>
      </c>
      <c r="B11799" s="12" t="s">
        <v>3478</v>
      </c>
      <c r="C11799" s="13" t="s">
        <v>3479</v>
      </c>
      <c r="D11799" s="13" t="s">
        <v>158</v>
      </c>
      <c r="E11799" s="12" t="s">
        <v>35</v>
      </c>
      <c r="F11799" s="14">
        <v>41000</v>
      </c>
      <c r="G11799" s="14">
        <v>26200</v>
      </c>
      <c r="H11799" s="13" t="s">
        <v>22176</v>
      </c>
      <c r="I11799" s="40" t="s">
        <v>18</v>
      </c>
      <c r="J11799" s="40" t="str">
        <f>HYPERLINK("https://stock.pstatic.net/stock-research/company/1/20250528_company_200667000.pdf","PDF")</f>
        <v>PDF</v>
      </c>
      <c r="K11799" s="12" t="s">
        <v>22177</v>
      </c>
      <c r="L11799" s="20">
        <v>0.56488549618320616</v>
      </c>
    </row>
    <row r="11800" spans="1:12" x14ac:dyDescent="0.45">
      <c r="A11800" s="12" t="s">
        <v>22141</v>
      </c>
      <c r="B11800" s="12" t="s">
        <v>362</v>
      </c>
      <c r="C11800" s="13" t="s">
        <v>363</v>
      </c>
      <c r="D11800" s="13" t="s">
        <v>158</v>
      </c>
      <c r="E11800" s="12" t="s">
        <v>35</v>
      </c>
      <c r="F11800" s="14">
        <v>86000</v>
      </c>
      <c r="G11800" s="14">
        <v>67900</v>
      </c>
      <c r="H11800" s="13" t="s">
        <v>22178</v>
      </c>
      <c r="I11800" s="40" t="s">
        <v>18</v>
      </c>
      <c r="J11800" s="40" t="str">
        <f>HYPERLINK("https://stock.pstatic.net/stock-research/company/1/20250528_company_929656000.pdf","PDF")</f>
        <v>PDF</v>
      </c>
      <c r="K11800" s="12" t="s">
        <v>22179</v>
      </c>
      <c r="L11800" s="20">
        <v>0.26656848306332842</v>
      </c>
    </row>
    <row r="11801" spans="1:12" x14ac:dyDescent="0.45">
      <c r="A11801" s="12" t="s">
        <v>22141</v>
      </c>
      <c r="B11801" s="12" t="s">
        <v>1162</v>
      </c>
      <c r="C11801" s="13" t="s">
        <v>1163</v>
      </c>
      <c r="D11801" s="13" t="s">
        <v>158</v>
      </c>
      <c r="E11801" s="12" t="s">
        <v>35</v>
      </c>
      <c r="F11801" s="14">
        <v>157000</v>
      </c>
      <c r="G11801" s="14">
        <v>134000</v>
      </c>
      <c r="H11801" s="13" t="s">
        <v>22180</v>
      </c>
      <c r="I11801" s="40" t="s">
        <v>18</v>
      </c>
      <c r="J11801" s="40" t="str">
        <f>HYPERLINK("https://stock.pstatic.net/stock-research/company/18/20250528_company_548065000.pdf","PDF")</f>
        <v>PDF</v>
      </c>
      <c r="K11801" s="12" t="s">
        <v>22181</v>
      </c>
      <c r="L11801" s="20">
        <v>0.17164179104477609</v>
      </c>
    </row>
    <row r="11802" spans="1:12" x14ac:dyDescent="0.45">
      <c r="A11802" s="12" t="s">
        <v>22141</v>
      </c>
      <c r="B11802" s="12" t="s">
        <v>698</v>
      </c>
      <c r="C11802" s="13" t="s">
        <v>699</v>
      </c>
      <c r="D11802" s="13" t="s">
        <v>158</v>
      </c>
      <c r="E11802" s="12" t="s">
        <v>35</v>
      </c>
      <c r="F11802" s="14">
        <v>170000</v>
      </c>
      <c r="G11802" s="14">
        <v>140100</v>
      </c>
      <c r="H11802" s="13" t="s">
        <v>22182</v>
      </c>
      <c r="I11802" s="40" t="s">
        <v>18</v>
      </c>
      <c r="J11802" s="40" t="str">
        <f>HYPERLINK("https://stock.pstatic.net/stock-research/company/1/20250528_company_865123000.pdf","PDF")</f>
        <v>PDF</v>
      </c>
      <c r="K11802" s="12" t="s">
        <v>22183</v>
      </c>
      <c r="L11802" s="20">
        <v>0.21341898643825841</v>
      </c>
    </row>
    <row r="11803" spans="1:12" x14ac:dyDescent="0.45">
      <c r="A11803" s="12" t="s">
        <v>22141</v>
      </c>
      <c r="B11803" s="12" t="s">
        <v>899</v>
      </c>
      <c r="C11803" s="13" t="s">
        <v>900</v>
      </c>
      <c r="D11803" s="13" t="s">
        <v>23</v>
      </c>
      <c r="E11803" s="12" t="s">
        <v>50</v>
      </c>
      <c r="F11803" s="13"/>
      <c r="G11803" s="14">
        <v>28000</v>
      </c>
      <c r="H11803" s="13" t="s">
        <v>22184</v>
      </c>
      <c r="I11803" s="40" t="s">
        <v>18</v>
      </c>
      <c r="J11803" s="40" t="str">
        <f>HYPERLINK("https://stock.pstatic.net/stock-research/company/21/20250528_company_626456000.pdf","PDF")</f>
        <v>PDF</v>
      </c>
      <c r="K11803" s="12" t="s">
        <v>22185</v>
      </c>
    </row>
    <row r="11804" spans="1:12" x14ac:dyDescent="0.45">
      <c r="A11804" s="12" t="s">
        <v>22141</v>
      </c>
      <c r="B11804" s="12" t="s">
        <v>569</v>
      </c>
      <c r="C11804" s="13" t="s">
        <v>570</v>
      </c>
      <c r="D11804" s="13" t="s">
        <v>92</v>
      </c>
      <c r="E11804" s="12" t="s">
        <v>35</v>
      </c>
      <c r="F11804" s="14">
        <v>26000</v>
      </c>
      <c r="G11804" s="14">
        <v>17050</v>
      </c>
      <c r="H11804" s="13" t="s">
        <v>22186</v>
      </c>
      <c r="I11804" s="40" t="s">
        <v>18</v>
      </c>
      <c r="J11804" s="40" t="str">
        <f>HYPERLINK("https://stock.pstatic.net/stock-research/company/63/20250528_company_427673000.pdf","PDF")</f>
        <v>PDF</v>
      </c>
      <c r="K11804" s="12" t="s">
        <v>22187</v>
      </c>
      <c r="L11804" s="20">
        <v>0.52492668621700878</v>
      </c>
    </row>
    <row r="11805" spans="1:12" x14ac:dyDescent="0.45">
      <c r="A11805" s="12" t="s">
        <v>22141</v>
      </c>
      <c r="B11805" s="12" t="s">
        <v>22188</v>
      </c>
      <c r="C11805" s="13" t="s">
        <v>22189</v>
      </c>
      <c r="D11805" s="13" t="s">
        <v>179</v>
      </c>
      <c r="E11805" s="12" t="s">
        <v>50</v>
      </c>
      <c r="F11805" s="13"/>
      <c r="G11805" s="14">
        <v>6380</v>
      </c>
      <c r="H11805" s="13" t="s">
        <v>22190</v>
      </c>
      <c r="I11805" s="40" t="s">
        <v>18</v>
      </c>
      <c r="J11805" s="40" t="str">
        <f>HYPERLINK("https://stock.pstatic.net/stock-research/company/31/20250528_company_279132000.pdf","PDF")</f>
        <v>PDF</v>
      </c>
      <c r="K11805" s="12" t="s">
        <v>22191</v>
      </c>
    </row>
    <row r="11806" spans="1:12" x14ac:dyDescent="0.45">
      <c r="A11806" s="12" t="s">
        <v>22141</v>
      </c>
      <c r="B11806" s="12" t="s">
        <v>344</v>
      </c>
      <c r="C11806" s="13" t="s">
        <v>345</v>
      </c>
      <c r="D11806" s="13" t="s">
        <v>34</v>
      </c>
      <c r="E11806" s="12" t="s">
        <v>50</v>
      </c>
      <c r="F11806" s="13"/>
      <c r="G11806" s="14">
        <v>7660</v>
      </c>
      <c r="H11806" s="13" t="s">
        <v>22192</v>
      </c>
      <c r="I11806" s="40" t="s">
        <v>18</v>
      </c>
      <c r="J11806" s="40" t="str">
        <f>HYPERLINK("https://stock.pstatic.net/stock-research/company/61/20250528_company_971094000.pdf","PDF")</f>
        <v>PDF</v>
      </c>
      <c r="K11806" s="12" t="s">
        <v>22193</v>
      </c>
    </row>
    <row r="11807" spans="1:12" x14ac:dyDescent="0.45">
      <c r="A11807" s="12" t="s">
        <v>22141</v>
      </c>
      <c r="B11807" s="12" t="s">
        <v>22194</v>
      </c>
      <c r="C11807" s="13" t="s">
        <v>22195</v>
      </c>
      <c r="D11807" s="13" t="s">
        <v>124</v>
      </c>
      <c r="E11807" s="12" t="s">
        <v>50</v>
      </c>
      <c r="F11807" s="13"/>
      <c r="G11807" s="13"/>
      <c r="H11807" s="13" t="s">
        <v>22196</v>
      </c>
      <c r="I11807" s="40" t="s">
        <v>18</v>
      </c>
      <c r="J11807" s="40" t="str">
        <f>HYPERLINK("https://stock.pstatic.net/stock-research/company/74/20250528_company_815423000.pdf","PDF")</f>
        <v>PDF</v>
      </c>
      <c r="K11807" s="12" t="s">
        <v>22197</v>
      </c>
    </row>
    <row r="11808" spans="1:12" x14ac:dyDescent="0.45">
      <c r="A11808" s="12" t="s">
        <v>22141</v>
      </c>
      <c r="B11808" s="12" t="s">
        <v>114</v>
      </c>
      <c r="C11808" s="13" t="s">
        <v>115</v>
      </c>
      <c r="D11808" s="13" t="s">
        <v>124</v>
      </c>
      <c r="E11808" s="12" t="s">
        <v>50</v>
      </c>
      <c r="F11808" s="13"/>
      <c r="G11808" s="13"/>
      <c r="H11808" s="13" t="s">
        <v>22198</v>
      </c>
      <c r="I11808" s="40" t="s">
        <v>18</v>
      </c>
      <c r="J11808" s="40" t="str">
        <f>HYPERLINK("https://stock.pstatic.net/stock-research/company/74/20250604_company_796272000.pdf","PDF")</f>
        <v>PDF</v>
      </c>
      <c r="K11808" s="12" t="s">
        <v>22199</v>
      </c>
    </row>
    <row r="11809" spans="1:12" x14ac:dyDescent="0.45">
      <c r="A11809" s="12" t="s">
        <v>22141</v>
      </c>
      <c r="B11809" s="12" t="s">
        <v>4617</v>
      </c>
      <c r="C11809" s="13" t="s">
        <v>4618</v>
      </c>
      <c r="D11809" s="13" t="s">
        <v>124</v>
      </c>
      <c r="E11809" s="12" t="s">
        <v>50</v>
      </c>
      <c r="F11809" s="13"/>
      <c r="G11809" s="13"/>
      <c r="H11809" s="13" t="s">
        <v>22200</v>
      </c>
      <c r="I11809" s="40" t="s">
        <v>18</v>
      </c>
      <c r="J11809" s="40" t="str">
        <f>HYPERLINK("https://stock.pstatic.net/stock-research/company/74/20250528_company_337590000.pdf","PDF")</f>
        <v>PDF</v>
      </c>
      <c r="K11809" s="12" t="s">
        <v>22201</v>
      </c>
    </row>
    <row r="11810" spans="1:12" x14ac:dyDescent="0.45">
      <c r="A11810" s="12" t="s">
        <v>22202</v>
      </c>
      <c r="B11810" s="12" t="s">
        <v>2795</v>
      </c>
      <c r="C11810" s="13" t="s">
        <v>2796</v>
      </c>
      <c r="D11810" s="13" t="s">
        <v>276</v>
      </c>
      <c r="E11810" s="12" t="s">
        <v>35</v>
      </c>
      <c r="F11810" s="14">
        <v>5000</v>
      </c>
      <c r="G11810" s="14">
        <v>3660</v>
      </c>
      <c r="H11810" s="13" t="s">
        <v>22203</v>
      </c>
      <c r="I11810" s="40" t="s">
        <v>18</v>
      </c>
      <c r="J11810" s="40" t="str">
        <f>HYPERLINK("https://stock.pstatic.net/stock-research/company/66/20250527_company_495823000.pdf","PDF")</f>
        <v>PDF</v>
      </c>
      <c r="K11810" s="12" t="s">
        <v>22204</v>
      </c>
      <c r="L11810" s="20">
        <v>0.36612021857923499</v>
      </c>
    </row>
    <row r="11811" spans="1:12" x14ac:dyDescent="0.45">
      <c r="A11811" s="12" t="s">
        <v>22202</v>
      </c>
      <c r="B11811" s="12" t="s">
        <v>16349</v>
      </c>
      <c r="C11811" s="13" t="s">
        <v>16350</v>
      </c>
      <c r="D11811" s="13" t="s">
        <v>276</v>
      </c>
      <c r="E11811" s="12" t="s">
        <v>16</v>
      </c>
      <c r="F11811" s="14">
        <v>50000</v>
      </c>
      <c r="G11811" s="14">
        <v>33400</v>
      </c>
      <c r="H11811" s="13" t="s">
        <v>22205</v>
      </c>
      <c r="I11811" s="40" t="s">
        <v>18</v>
      </c>
      <c r="J11811" s="40" t="str">
        <f>HYPERLINK("https://stock.pstatic.net/stock-research/company/66/20250527_company_514769000.pdf","PDF")</f>
        <v>PDF</v>
      </c>
      <c r="K11811" s="12" t="s">
        <v>22206</v>
      </c>
      <c r="L11811" s="20">
        <v>0.49700598802395213</v>
      </c>
    </row>
    <row r="11812" spans="1:12" x14ac:dyDescent="0.45">
      <c r="A11812" s="12" t="s">
        <v>22202</v>
      </c>
      <c r="B11812" s="12" t="s">
        <v>22207</v>
      </c>
      <c r="C11812" s="13" t="s">
        <v>22208</v>
      </c>
      <c r="D11812" s="13" t="s">
        <v>60</v>
      </c>
      <c r="E11812" s="12" t="s">
        <v>35</v>
      </c>
      <c r="F11812" s="14">
        <v>14500</v>
      </c>
      <c r="G11812" s="14">
        <v>12720</v>
      </c>
      <c r="H11812" s="13" t="s">
        <v>7098</v>
      </c>
      <c r="I11812" s="40" t="s">
        <v>18</v>
      </c>
      <c r="J11812" s="40" t="str">
        <f>HYPERLINK("https://stock.pstatic.net/stock-research/company/34/20250527_company_13629000.pdf","PDF")</f>
        <v>PDF</v>
      </c>
      <c r="K11812" s="12" t="s">
        <v>22209</v>
      </c>
      <c r="L11812" s="20">
        <v>0.13993710691823899</v>
      </c>
    </row>
    <row r="11813" spans="1:12" x14ac:dyDescent="0.45">
      <c r="A11813" s="12" t="s">
        <v>22202</v>
      </c>
      <c r="B11813" s="12" t="s">
        <v>2089</v>
      </c>
      <c r="C11813" s="13" t="s">
        <v>2090</v>
      </c>
      <c r="D11813" s="13" t="s">
        <v>65</v>
      </c>
      <c r="E11813" s="12" t="s">
        <v>35</v>
      </c>
      <c r="F11813" s="14">
        <v>80000</v>
      </c>
      <c r="G11813" s="14">
        <v>53600</v>
      </c>
      <c r="H11813" s="13" t="s">
        <v>22210</v>
      </c>
      <c r="I11813" s="40" t="s">
        <v>18</v>
      </c>
      <c r="J11813" s="40" t="str">
        <f>HYPERLINK("https://stock.pstatic.net/stock-research/company/57/20250527_company_637597000.pdf","PDF")</f>
        <v>PDF</v>
      </c>
      <c r="K11813" s="12" t="s">
        <v>22211</v>
      </c>
      <c r="L11813" s="20">
        <v>0.4925373134328358</v>
      </c>
    </row>
    <row r="11814" spans="1:12" x14ac:dyDescent="0.45">
      <c r="A11814" s="12" t="s">
        <v>22202</v>
      </c>
      <c r="B11814" s="12" t="s">
        <v>760</v>
      </c>
      <c r="C11814" s="13" t="s">
        <v>761</v>
      </c>
      <c r="D11814" s="13" t="s">
        <v>65</v>
      </c>
      <c r="E11814" s="12" t="s">
        <v>35</v>
      </c>
      <c r="F11814" s="14">
        <v>170000</v>
      </c>
      <c r="G11814" s="14">
        <v>120500</v>
      </c>
      <c r="H11814" s="13" t="s">
        <v>22212</v>
      </c>
      <c r="I11814" s="40" t="s">
        <v>18</v>
      </c>
      <c r="J11814" s="40" t="str">
        <f>HYPERLINK("https://stock.pstatic.net/stock-research/company/57/20250527_company_625242000.pdf","PDF")</f>
        <v>PDF</v>
      </c>
      <c r="K11814" s="12" t="s">
        <v>22213</v>
      </c>
      <c r="L11814" s="20">
        <v>0.41078838174273857</v>
      </c>
    </row>
    <row r="11815" spans="1:12" x14ac:dyDescent="0.45">
      <c r="A11815" s="12" t="s">
        <v>22202</v>
      </c>
      <c r="B11815" s="12" t="s">
        <v>352</v>
      </c>
      <c r="C11815" s="13" t="s">
        <v>353</v>
      </c>
      <c r="D11815" s="13" t="s">
        <v>57</v>
      </c>
      <c r="E11815" s="12" t="s">
        <v>35</v>
      </c>
      <c r="F11815" s="14">
        <v>170000</v>
      </c>
      <c r="G11815" s="14">
        <v>136600</v>
      </c>
      <c r="H11815" s="13" t="s">
        <v>22214</v>
      </c>
      <c r="I11815" s="40" t="s">
        <v>18</v>
      </c>
      <c r="J11815" s="40" t="str">
        <f>HYPERLINK("https://stock.pstatic.net/stock-research/company/16/20250527_company_573968000.pdf","PDF")</f>
        <v>PDF</v>
      </c>
      <c r="K11815" s="12" t="s">
        <v>22215</v>
      </c>
      <c r="L11815" s="20">
        <v>0.24450951683748171</v>
      </c>
    </row>
    <row r="11816" spans="1:12" x14ac:dyDescent="0.45">
      <c r="A11816" s="12" t="s">
        <v>22202</v>
      </c>
      <c r="B11816" s="12" t="s">
        <v>22216</v>
      </c>
      <c r="C11816" s="13" t="s">
        <v>22217</v>
      </c>
      <c r="D11816" s="13" t="s">
        <v>57</v>
      </c>
      <c r="E11816" s="12" t="s">
        <v>50</v>
      </c>
      <c r="F11816" s="13"/>
      <c r="G11816" s="14">
        <v>3780</v>
      </c>
      <c r="H11816" s="13" t="s">
        <v>22218</v>
      </c>
      <c r="I11816" s="40" t="s">
        <v>18</v>
      </c>
      <c r="J11816" s="40" t="str">
        <f>HYPERLINK("https://stock.pstatic.net/stock-research/company/16/20250527_company_401462000.pdf","PDF")</f>
        <v>PDF</v>
      </c>
      <c r="K11816" s="12" t="s">
        <v>22219</v>
      </c>
    </row>
    <row r="11817" spans="1:12" x14ac:dyDescent="0.45">
      <c r="A11817" s="12" t="s">
        <v>22202</v>
      </c>
      <c r="B11817" s="12" t="s">
        <v>2758</v>
      </c>
      <c r="C11817" s="13" t="s">
        <v>2759</v>
      </c>
      <c r="D11817" s="13" t="s">
        <v>83</v>
      </c>
      <c r="E11817" s="12" t="s">
        <v>35</v>
      </c>
      <c r="F11817" s="14">
        <v>410000</v>
      </c>
      <c r="G11817" s="14">
        <v>233500</v>
      </c>
      <c r="H11817" s="13" t="s">
        <v>22220</v>
      </c>
      <c r="I11817" s="40" t="s">
        <v>18</v>
      </c>
      <c r="J11817" s="40" t="str">
        <f>HYPERLINK("https://stock.pstatic.net/stock-research/company/2/20250527_company_286169000.pdf","PDF")</f>
        <v>PDF</v>
      </c>
      <c r="K11817" s="12" t="s">
        <v>22221</v>
      </c>
      <c r="L11817" s="20">
        <v>0.75588865096359747</v>
      </c>
    </row>
    <row r="11818" spans="1:12" x14ac:dyDescent="0.45">
      <c r="A11818" s="12" t="s">
        <v>22202</v>
      </c>
      <c r="B11818" s="12" t="s">
        <v>3478</v>
      </c>
      <c r="C11818" s="13" t="s">
        <v>3479</v>
      </c>
      <c r="D11818" s="13" t="s">
        <v>83</v>
      </c>
      <c r="E11818" s="12" t="s">
        <v>35</v>
      </c>
      <c r="F11818" s="14">
        <v>36000</v>
      </c>
      <c r="G11818" s="14">
        <v>24100</v>
      </c>
      <c r="H11818" s="13" t="s">
        <v>22222</v>
      </c>
      <c r="I11818" s="40" t="s">
        <v>18</v>
      </c>
      <c r="J11818" s="40" t="str">
        <f>HYPERLINK("https://stock.pstatic.net/stock-research/company/2/20250527_company_583609000.pdf","PDF")</f>
        <v>PDF</v>
      </c>
      <c r="K11818" s="12" t="s">
        <v>22223</v>
      </c>
      <c r="L11818" s="20">
        <v>0.49377593360995847</v>
      </c>
    </row>
    <row r="11819" spans="1:12" x14ac:dyDescent="0.45">
      <c r="A11819" s="12" t="s">
        <v>22202</v>
      </c>
      <c r="B11819" s="12" t="s">
        <v>3079</v>
      </c>
      <c r="C11819" s="13" t="s">
        <v>3080</v>
      </c>
      <c r="D11819" s="13" t="s">
        <v>83</v>
      </c>
      <c r="E11819" s="12" t="s">
        <v>35</v>
      </c>
      <c r="F11819" s="14">
        <v>27000</v>
      </c>
      <c r="G11819" s="14">
        <v>19330</v>
      </c>
      <c r="H11819" s="13" t="s">
        <v>22224</v>
      </c>
      <c r="I11819" s="40" t="s">
        <v>18</v>
      </c>
      <c r="J11819" s="40" t="str">
        <f>HYPERLINK("https://stock.pstatic.net/stock-research/company/2/20250527_company_338861000.pdf","PDF")</f>
        <v>PDF</v>
      </c>
      <c r="K11819" s="12" t="s">
        <v>22225</v>
      </c>
      <c r="L11819" s="20">
        <v>0.396792550439731</v>
      </c>
    </row>
    <row r="11820" spans="1:12" x14ac:dyDescent="0.45">
      <c r="A11820" s="12" t="s">
        <v>22202</v>
      </c>
      <c r="B11820" s="12" t="s">
        <v>3087</v>
      </c>
      <c r="C11820" s="13" t="s">
        <v>3088</v>
      </c>
      <c r="D11820" s="13" t="s">
        <v>83</v>
      </c>
      <c r="E11820" s="12" t="s">
        <v>50</v>
      </c>
      <c r="F11820" s="13"/>
      <c r="G11820" s="14">
        <v>160300</v>
      </c>
      <c r="H11820" s="13" t="s">
        <v>22226</v>
      </c>
      <c r="I11820" s="40" t="s">
        <v>18</v>
      </c>
      <c r="J11820" s="40" t="str">
        <f>HYPERLINK("https://stock.pstatic.net/stock-research/company/2/20250527_company_297674000.pdf","PDF")</f>
        <v>PDF</v>
      </c>
      <c r="K11820" s="12" t="s">
        <v>22227</v>
      </c>
    </row>
    <row r="11821" spans="1:12" x14ac:dyDescent="0.45">
      <c r="A11821" s="12" t="s">
        <v>22202</v>
      </c>
      <c r="B11821" s="12" t="s">
        <v>21902</v>
      </c>
      <c r="C11821" s="13" t="s">
        <v>21903</v>
      </c>
      <c r="D11821" s="13" t="s">
        <v>179</v>
      </c>
      <c r="E11821" s="12" t="s">
        <v>50</v>
      </c>
      <c r="F11821" s="13"/>
      <c r="G11821" s="13"/>
      <c r="H11821" s="13" t="s">
        <v>22228</v>
      </c>
      <c r="I11821" s="40" t="s">
        <v>18</v>
      </c>
      <c r="J11821" s="40" t="str">
        <f>HYPERLINK("https://stock.pstatic.net/stock-research/company/31/20250527_company_252478000.pdf","PDF")</f>
        <v>PDF</v>
      </c>
      <c r="K11821" s="12" t="s">
        <v>22229</v>
      </c>
    </row>
    <row r="11822" spans="1:12" x14ac:dyDescent="0.45">
      <c r="A11822" s="12" t="s">
        <v>22202</v>
      </c>
      <c r="B11822" s="12" t="s">
        <v>268</v>
      </c>
      <c r="C11822" s="13" t="s">
        <v>269</v>
      </c>
      <c r="D11822" s="13" t="s">
        <v>23</v>
      </c>
      <c r="E11822" s="12" t="s">
        <v>16</v>
      </c>
      <c r="F11822" s="14">
        <v>730000</v>
      </c>
      <c r="G11822" s="14">
        <v>331500</v>
      </c>
      <c r="H11822" s="13" t="s">
        <v>22230</v>
      </c>
      <c r="I11822" s="40" t="s">
        <v>18</v>
      </c>
      <c r="J11822" s="40" t="str">
        <f>HYPERLINK("https://stock.pstatic.net/stock-research/company/21/20250527_company_827512000.pdf","PDF")</f>
        <v>PDF</v>
      </c>
      <c r="K11822" s="12" t="s">
        <v>22231</v>
      </c>
      <c r="L11822" s="20">
        <v>1.2021116138763199</v>
      </c>
    </row>
    <row r="11823" spans="1:12" x14ac:dyDescent="0.45">
      <c r="A11823" s="12" t="s">
        <v>22202</v>
      </c>
      <c r="B11823" s="12" t="s">
        <v>12513</v>
      </c>
      <c r="C11823" s="13" t="s">
        <v>12514</v>
      </c>
      <c r="D11823" s="13" t="s">
        <v>23</v>
      </c>
      <c r="E11823" s="12" t="s">
        <v>50</v>
      </c>
      <c r="F11823" s="13"/>
      <c r="G11823" s="14">
        <v>11340</v>
      </c>
      <c r="H11823" s="13" t="s">
        <v>22232</v>
      </c>
      <c r="I11823" s="40" t="s">
        <v>18</v>
      </c>
      <c r="J11823" s="40" t="str">
        <f>HYPERLINK("https://stock.pstatic.net/stock-research/company/21/20250527_company_162025000.pdf","PDF")</f>
        <v>PDF</v>
      </c>
      <c r="K11823" s="12" t="s">
        <v>22233</v>
      </c>
    </row>
    <row r="11824" spans="1:12" x14ac:dyDescent="0.45">
      <c r="A11824" s="12" t="s">
        <v>22202</v>
      </c>
      <c r="B11824" s="12" t="s">
        <v>800</v>
      </c>
      <c r="C11824" s="13" t="s">
        <v>801</v>
      </c>
      <c r="D11824" s="13" t="s">
        <v>92</v>
      </c>
      <c r="E11824" s="12" t="s">
        <v>35</v>
      </c>
      <c r="F11824" s="14">
        <v>44000</v>
      </c>
      <c r="G11824" s="14">
        <v>30750</v>
      </c>
      <c r="H11824" s="13" t="s">
        <v>22234</v>
      </c>
      <c r="I11824" s="40" t="s">
        <v>18</v>
      </c>
      <c r="J11824" s="40" t="str">
        <f>HYPERLINK("https://stock.pstatic.net/stock-research/company/63/20250527_company_432922000.pdf","PDF")</f>
        <v>PDF</v>
      </c>
      <c r="K11824" s="12" t="s">
        <v>22235</v>
      </c>
      <c r="L11824" s="20">
        <v>0.43089430894308939</v>
      </c>
    </row>
    <row r="11825" spans="1:12" x14ac:dyDescent="0.45">
      <c r="A11825" s="12" t="s">
        <v>22202</v>
      </c>
      <c r="B11825" s="12" t="s">
        <v>2372</v>
      </c>
      <c r="C11825" s="13" t="s">
        <v>2373</v>
      </c>
      <c r="D11825" s="13" t="s">
        <v>34</v>
      </c>
      <c r="E11825" s="12" t="s">
        <v>35</v>
      </c>
      <c r="F11825" s="14">
        <v>65000</v>
      </c>
      <c r="G11825" s="14">
        <v>45600</v>
      </c>
      <c r="H11825" s="13" t="s">
        <v>22236</v>
      </c>
      <c r="I11825" s="40" t="s">
        <v>18</v>
      </c>
      <c r="J11825" s="40" t="str">
        <f>HYPERLINK("https://stock.pstatic.net/stock-research/company/61/20250527_company_253153000.pdf","PDF")</f>
        <v>PDF</v>
      </c>
      <c r="K11825" s="12" t="s">
        <v>22237</v>
      </c>
      <c r="L11825" s="20">
        <v>0.42543859649122812</v>
      </c>
    </row>
    <row r="11826" spans="1:12" x14ac:dyDescent="0.45">
      <c r="A11826" s="12" t="s">
        <v>22202</v>
      </c>
      <c r="B11826" s="12" t="s">
        <v>22238</v>
      </c>
      <c r="C11826" s="13" t="s">
        <v>22239</v>
      </c>
      <c r="D11826" s="13" t="s">
        <v>23</v>
      </c>
      <c r="E11826" s="12" t="s">
        <v>50</v>
      </c>
      <c r="F11826" s="13"/>
      <c r="G11826" s="14">
        <v>1676</v>
      </c>
      <c r="H11826" s="13" t="s">
        <v>22240</v>
      </c>
      <c r="I11826" s="40" t="s">
        <v>18</v>
      </c>
      <c r="J11826" s="40" t="str">
        <f>HYPERLINK("https://stock.pstatic.net/stock-research/company/21/20250527_company_300512000.pdf","PDF")</f>
        <v>PDF</v>
      </c>
      <c r="K11826" s="12" t="s">
        <v>22241</v>
      </c>
    </row>
    <row r="11827" spans="1:12" x14ac:dyDescent="0.45">
      <c r="A11827" s="12" t="s">
        <v>22202</v>
      </c>
      <c r="B11827" s="12" t="s">
        <v>553</v>
      </c>
      <c r="C11827" s="13" t="s">
        <v>554</v>
      </c>
      <c r="D11827" s="13" t="s">
        <v>44</v>
      </c>
      <c r="E11827" s="12" t="s">
        <v>50</v>
      </c>
      <c r="F11827" s="13"/>
      <c r="G11827" s="14">
        <v>16200</v>
      </c>
      <c r="H11827" s="13" t="s">
        <v>22242</v>
      </c>
      <c r="I11827" s="40" t="s">
        <v>18</v>
      </c>
      <c r="J11827" s="40" t="str">
        <f>HYPERLINK("https://stock.pstatic.net/stock-research/company/39/20250527_company_100025000.pdf","PDF")</f>
        <v>PDF</v>
      </c>
      <c r="K11827" s="12" t="s">
        <v>22243</v>
      </c>
    </row>
    <row r="11828" spans="1:12" x14ac:dyDescent="0.45">
      <c r="A11828" s="12" t="s">
        <v>22202</v>
      </c>
      <c r="B11828" s="12" t="s">
        <v>10788</v>
      </c>
      <c r="C11828" s="13" t="s">
        <v>10789</v>
      </c>
      <c r="D11828" s="13" t="s">
        <v>44</v>
      </c>
      <c r="E11828" s="12" t="s">
        <v>50</v>
      </c>
      <c r="F11828" s="13"/>
      <c r="G11828" s="13"/>
      <c r="H11828" s="13" t="s">
        <v>22244</v>
      </c>
      <c r="I11828" s="40" t="s">
        <v>18</v>
      </c>
      <c r="J11828" s="40" t="str">
        <f>HYPERLINK("https://stock.pstatic.net/stock-research/company/1/20250527_company_122287000.pdf","PDF")</f>
        <v>PDF</v>
      </c>
      <c r="K11828" s="12" t="s">
        <v>22245</v>
      </c>
    </row>
    <row r="11829" spans="1:12" x14ac:dyDescent="0.45">
      <c r="A11829" s="12" t="s">
        <v>22202</v>
      </c>
      <c r="B11829" s="12" t="s">
        <v>21409</v>
      </c>
      <c r="C11829" s="13" t="s">
        <v>21410</v>
      </c>
      <c r="D11829" s="13" t="s">
        <v>124</v>
      </c>
      <c r="E11829" s="12" t="s">
        <v>50</v>
      </c>
      <c r="F11829" s="13"/>
      <c r="G11829" s="13"/>
      <c r="H11829" s="13" t="s">
        <v>22246</v>
      </c>
      <c r="I11829" s="40" t="s">
        <v>18</v>
      </c>
      <c r="J11829" s="40" t="str">
        <f>HYPERLINK("https://stock.pstatic.net/stock-research/company/1/20250527_company_284753000.pdf","PDF")</f>
        <v>PDF</v>
      </c>
      <c r="K11829" s="12" t="s">
        <v>22247</v>
      </c>
    </row>
    <row r="11830" spans="1:12" x14ac:dyDescent="0.45">
      <c r="A11830" s="12" t="s">
        <v>22248</v>
      </c>
      <c r="B11830" s="12" t="s">
        <v>102</v>
      </c>
      <c r="C11830" s="13" t="s">
        <v>103</v>
      </c>
      <c r="D11830" s="13" t="s">
        <v>276</v>
      </c>
      <c r="E11830" s="12" t="s">
        <v>16</v>
      </c>
      <c r="F11830" s="14">
        <v>17000</v>
      </c>
      <c r="G11830" s="14">
        <v>12200</v>
      </c>
      <c r="H11830" s="13" t="s">
        <v>22249</v>
      </c>
      <c r="I11830" s="40" t="s">
        <v>18</v>
      </c>
      <c r="J11830" s="40" t="str">
        <f>HYPERLINK("https://stock.pstatic.net/stock-research/company/66/20250526_company_23731000.pdf","PDF")</f>
        <v>PDF</v>
      </c>
      <c r="K11830" s="12" t="s">
        <v>22250</v>
      </c>
      <c r="L11830" s="20">
        <v>0.39344262295081972</v>
      </c>
    </row>
    <row r="11831" spans="1:12" x14ac:dyDescent="0.45">
      <c r="A11831" s="12" t="s">
        <v>22248</v>
      </c>
      <c r="B11831" s="12" t="s">
        <v>418</v>
      </c>
      <c r="C11831" s="13" t="s">
        <v>419</v>
      </c>
      <c r="D11831" s="13" t="s">
        <v>276</v>
      </c>
      <c r="E11831" s="12" t="s">
        <v>16</v>
      </c>
      <c r="F11831" s="14">
        <v>22000</v>
      </c>
      <c r="G11831" s="14">
        <v>15750</v>
      </c>
      <c r="H11831" s="13" t="s">
        <v>22251</v>
      </c>
      <c r="I11831" s="40" t="s">
        <v>18</v>
      </c>
      <c r="J11831" s="40" t="str">
        <f>HYPERLINK("https://stock.pstatic.net/stock-research/company/66/20250526_company_110566000.pdf","PDF")</f>
        <v>PDF</v>
      </c>
      <c r="K11831" s="12" t="s">
        <v>22252</v>
      </c>
      <c r="L11831" s="20">
        <v>0.3968253968253968</v>
      </c>
    </row>
    <row r="11832" spans="1:12" x14ac:dyDescent="0.45">
      <c r="A11832" s="12" t="s">
        <v>22248</v>
      </c>
      <c r="B11832" s="12" t="s">
        <v>1556</v>
      </c>
      <c r="C11832" s="13" t="s">
        <v>1557</v>
      </c>
      <c r="D11832" s="13" t="s">
        <v>276</v>
      </c>
      <c r="E11832" s="12" t="s">
        <v>16</v>
      </c>
      <c r="F11832" s="14">
        <v>26000</v>
      </c>
      <c r="G11832" s="14">
        <v>20200</v>
      </c>
      <c r="H11832" s="13" t="s">
        <v>22253</v>
      </c>
      <c r="I11832" s="40" t="s">
        <v>18</v>
      </c>
      <c r="J11832" s="40" t="str">
        <f>HYPERLINK("https://stock.pstatic.net/stock-research/company/66/20250526_company_444026000.pdf","PDF")</f>
        <v>PDF</v>
      </c>
      <c r="K11832" s="12" t="s">
        <v>22254</v>
      </c>
      <c r="L11832" s="20">
        <v>0.28712871287128711</v>
      </c>
    </row>
    <row r="11833" spans="1:12" x14ac:dyDescent="0.45">
      <c r="A11833" s="12" t="s">
        <v>22248</v>
      </c>
      <c r="B11833" s="12" t="s">
        <v>3296</v>
      </c>
      <c r="C11833" s="13" t="s">
        <v>3297</v>
      </c>
      <c r="D11833" s="13" t="s">
        <v>276</v>
      </c>
      <c r="E11833" s="12" t="s">
        <v>16</v>
      </c>
      <c r="F11833" s="14">
        <v>53000</v>
      </c>
      <c r="G11833" s="14">
        <v>42050</v>
      </c>
      <c r="H11833" s="13" t="s">
        <v>22255</v>
      </c>
      <c r="I11833" s="40" t="s">
        <v>18</v>
      </c>
      <c r="J11833" s="40" t="str">
        <f>HYPERLINK("https://stock.pstatic.net/stock-research/company/66/20250526_company_526841000.pdf","PDF")</f>
        <v>PDF</v>
      </c>
      <c r="K11833" s="12" t="s">
        <v>22256</v>
      </c>
      <c r="L11833" s="20">
        <v>0.26040428061831161</v>
      </c>
    </row>
    <row r="11834" spans="1:12" x14ac:dyDescent="0.45">
      <c r="A11834" s="12" t="s">
        <v>22248</v>
      </c>
      <c r="B11834" s="12" t="s">
        <v>760</v>
      </c>
      <c r="C11834" s="13" t="s">
        <v>761</v>
      </c>
      <c r="D11834" s="13" t="s">
        <v>65</v>
      </c>
      <c r="E11834" s="12" t="s">
        <v>35</v>
      </c>
      <c r="F11834" s="14">
        <v>170000</v>
      </c>
      <c r="G11834" s="14">
        <v>120500</v>
      </c>
      <c r="H11834" s="13" t="s">
        <v>22257</v>
      </c>
      <c r="I11834" s="40" t="s">
        <v>18</v>
      </c>
      <c r="J11834" s="40" t="str">
        <f>HYPERLINK("https://stock.pstatic.net/stock-research/company/57/20250526_company_965084000.pdf","PDF")</f>
        <v>PDF</v>
      </c>
      <c r="K11834" s="12" t="s">
        <v>22258</v>
      </c>
      <c r="L11834" s="20">
        <v>0.41078838174273857</v>
      </c>
    </row>
    <row r="11835" spans="1:12" x14ac:dyDescent="0.45">
      <c r="A11835" s="12" t="s">
        <v>22248</v>
      </c>
      <c r="B11835" s="12" t="s">
        <v>4446</v>
      </c>
      <c r="C11835" s="13" t="s">
        <v>4447</v>
      </c>
      <c r="D11835" s="13" t="s">
        <v>65</v>
      </c>
      <c r="E11835" s="12" t="s">
        <v>50</v>
      </c>
      <c r="F11835" s="13"/>
      <c r="G11835" s="14">
        <v>58600</v>
      </c>
      <c r="H11835" s="13" t="s">
        <v>22259</v>
      </c>
      <c r="I11835" s="40" t="s">
        <v>18</v>
      </c>
      <c r="J11835" s="40" t="str">
        <f>HYPERLINK("https://stock.pstatic.net/stock-research/company/57/20250526_company_257308000.pdf","PDF")</f>
        <v>PDF</v>
      </c>
      <c r="K11835" s="12" t="s">
        <v>22260</v>
      </c>
    </row>
    <row r="11836" spans="1:12" x14ac:dyDescent="0.45">
      <c r="A11836" s="12" t="s">
        <v>22248</v>
      </c>
      <c r="B11836" s="12" t="s">
        <v>2650</v>
      </c>
      <c r="C11836" s="13" t="s">
        <v>2651</v>
      </c>
      <c r="D11836" s="13" t="s">
        <v>83</v>
      </c>
      <c r="E11836" s="12" t="s">
        <v>35</v>
      </c>
      <c r="F11836" s="14">
        <v>30000</v>
      </c>
      <c r="G11836" s="14">
        <v>22700</v>
      </c>
      <c r="H11836" s="13" t="s">
        <v>22261</v>
      </c>
      <c r="I11836" s="40" t="s">
        <v>18</v>
      </c>
      <c r="J11836" s="40" t="str">
        <f>HYPERLINK("https://stock.pstatic.net/stock-research/company/2/20250526_company_948497000.pdf","PDF")</f>
        <v>PDF</v>
      </c>
      <c r="K11836" s="12" t="s">
        <v>22262</v>
      </c>
      <c r="L11836" s="20">
        <v>0.32158590308370039</v>
      </c>
    </row>
    <row r="11837" spans="1:12" x14ac:dyDescent="0.45">
      <c r="A11837" s="12" t="s">
        <v>22248</v>
      </c>
      <c r="B11837" s="12" t="s">
        <v>537</v>
      </c>
      <c r="C11837" s="13" t="s">
        <v>538</v>
      </c>
      <c r="D11837" s="13" t="s">
        <v>83</v>
      </c>
      <c r="E11837" s="12" t="s">
        <v>35</v>
      </c>
      <c r="F11837" s="14">
        <v>17000</v>
      </c>
      <c r="G11837" s="14">
        <v>12640</v>
      </c>
      <c r="H11837" s="13" t="s">
        <v>22263</v>
      </c>
      <c r="I11837" s="40" t="s">
        <v>18</v>
      </c>
      <c r="J11837" s="40" t="str">
        <f>HYPERLINK("https://stock.pstatic.net/stock-research/company/2/20250526_company_739674000.pdf","PDF")</f>
        <v>PDF</v>
      </c>
      <c r="K11837" s="12" t="s">
        <v>22264</v>
      </c>
      <c r="L11837" s="20">
        <v>0.3449367088607595</v>
      </c>
    </row>
    <row r="11838" spans="1:12" x14ac:dyDescent="0.45">
      <c r="A11838" s="12" t="s">
        <v>22248</v>
      </c>
      <c r="B11838" s="12" t="s">
        <v>438</v>
      </c>
      <c r="C11838" s="13" t="s">
        <v>439</v>
      </c>
      <c r="D11838" s="13" t="s">
        <v>57</v>
      </c>
      <c r="E11838" s="12" t="s">
        <v>35</v>
      </c>
      <c r="F11838" s="14">
        <v>76000</v>
      </c>
      <c r="G11838" s="14">
        <v>55500</v>
      </c>
      <c r="H11838" s="13" t="s">
        <v>22265</v>
      </c>
      <c r="I11838" s="40" t="s">
        <v>18</v>
      </c>
      <c r="J11838" s="40" t="str">
        <f>HYPERLINK("https://stock.pstatic.net/stock-research/company/16/20250526_company_875355000.pdf","PDF")</f>
        <v>PDF</v>
      </c>
      <c r="K11838" s="12" t="s">
        <v>22266</v>
      </c>
      <c r="L11838" s="20">
        <v>0.36936936936936943</v>
      </c>
    </row>
    <row r="11839" spans="1:12" x14ac:dyDescent="0.45">
      <c r="A11839" s="12" t="s">
        <v>22248</v>
      </c>
      <c r="B11839" s="12" t="s">
        <v>8911</v>
      </c>
      <c r="C11839" s="13" t="s">
        <v>8912</v>
      </c>
      <c r="D11839" s="13" t="s">
        <v>57</v>
      </c>
      <c r="E11839" s="12" t="s">
        <v>159</v>
      </c>
      <c r="F11839" s="14">
        <v>37000</v>
      </c>
      <c r="G11839" s="14">
        <v>43350</v>
      </c>
      <c r="H11839" s="13" t="s">
        <v>22267</v>
      </c>
      <c r="I11839" s="40" t="s">
        <v>18</v>
      </c>
      <c r="J11839" s="40" t="str">
        <f>HYPERLINK("https://stock.pstatic.net/stock-research/company/16/20250526_company_898807000.pdf","PDF")</f>
        <v>PDF</v>
      </c>
      <c r="K11839" s="12" t="s">
        <v>22268</v>
      </c>
      <c r="L11839" s="20">
        <v>-0.14648212226066901</v>
      </c>
    </row>
    <row r="11840" spans="1:12" x14ac:dyDescent="0.45">
      <c r="A11840" s="12" t="s">
        <v>22248</v>
      </c>
      <c r="B11840" s="12" t="s">
        <v>764</v>
      </c>
      <c r="C11840" s="13" t="s">
        <v>765</v>
      </c>
      <c r="D11840" s="13" t="s">
        <v>158</v>
      </c>
      <c r="E11840" s="12" t="s">
        <v>35</v>
      </c>
      <c r="F11840" s="14">
        <v>49000</v>
      </c>
      <c r="G11840" s="14">
        <v>39950</v>
      </c>
      <c r="H11840" s="13" t="s">
        <v>22269</v>
      </c>
      <c r="I11840" s="40" t="s">
        <v>18</v>
      </c>
      <c r="J11840" s="40" t="str">
        <f>HYPERLINK("https://stock.pstatic.net/stock-research/company/1/20250526_company_554962000.pdf","PDF")</f>
        <v>PDF</v>
      </c>
      <c r="K11840" s="12" t="s">
        <v>22270</v>
      </c>
      <c r="L11840" s="20">
        <v>0.22653316645807259</v>
      </c>
    </row>
    <row r="11841" spans="1:12" x14ac:dyDescent="0.45">
      <c r="A11841" s="12" t="s">
        <v>22248</v>
      </c>
      <c r="B11841" s="12" t="s">
        <v>2105</v>
      </c>
      <c r="C11841" s="13" t="s">
        <v>2106</v>
      </c>
      <c r="D11841" s="13" t="s">
        <v>15</v>
      </c>
      <c r="E11841" s="12" t="s">
        <v>16</v>
      </c>
      <c r="F11841" s="14">
        <v>98000</v>
      </c>
      <c r="G11841" s="14">
        <v>50300</v>
      </c>
      <c r="H11841" s="13" t="s">
        <v>22271</v>
      </c>
      <c r="I11841" s="40" t="s">
        <v>18</v>
      </c>
      <c r="J11841" s="40" t="str">
        <f>HYPERLINK("https://stock.pstatic.net/stock-research/company/29/20250526_company_738450000.pdf","PDF")</f>
        <v>PDF</v>
      </c>
      <c r="K11841" s="12" t="s">
        <v>22272</v>
      </c>
      <c r="L11841" s="20">
        <v>0.94831013916500995</v>
      </c>
    </row>
    <row r="11842" spans="1:12" x14ac:dyDescent="0.45">
      <c r="A11842" s="12" t="s">
        <v>22248</v>
      </c>
      <c r="B11842" s="12" t="s">
        <v>1401</v>
      </c>
      <c r="C11842" s="13" t="s">
        <v>1402</v>
      </c>
      <c r="D11842" s="13" t="s">
        <v>92</v>
      </c>
      <c r="E11842" s="12" t="s">
        <v>50</v>
      </c>
      <c r="F11842" s="13"/>
      <c r="G11842" s="14">
        <v>9130</v>
      </c>
      <c r="H11842" s="13" t="s">
        <v>22273</v>
      </c>
      <c r="I11842" s="40" t="s">
        <v>18</v>
      </c>
      <c r="J11842" s="40" t="str">
        <f>HYPERLINK("https://stock.pstatic.net/stock-research/company/1/20250526_company_931322000.pdf","PDF")</f>
        <v>PDF</v>
      </c>
      <c r="K11842" s="12" t="s">
        <v>22274</v>
      </c>
    </row>
    <row r="11843" spans="1:12" x14ac:dyDescent="0.45">
      <c r="A11843" s="12" t="s">
        <v>22248</v>
      </c>
      <c r="B11843" s="12" t="s">
        <v>5355</v>
      </c>
      <c r="C11843" s="13" t="s">
        <v>5356</v>
      </c>
      <c r="D11843" s="13" t="s">
        <v>23</v>
      </c>
      <c r="E11843" s="12" t="s">
        <v>50</v>
      </c>
      <c r="F11843" s="13"/>
      <c r="G11843" s="14">
        <v>46800</v>
      </c>
      <c r="H11843" s="13" t="s">
        <v>22275</v>
      </c>
      <c r="I11843" s="40" t="s">
        <v>18</v>
      </c>
      <c r="J11843" s="40" t="str">
        <f>HYPERLINK("https://stock.pstatic.net/stock-research/company/21/20250526_company_809754000.pdf","PDF")</f>
        <v>PDF</v>
      </c>
      <c r="K11843" s="12" t="s">
        <v>22276</v>
      </c>
    </row>
    <row r="11844" spans="1:12" x14ac:dyDescent="0.45">
      <c r="A11844" s="12" t="s">
        <v>22248</v>
      </c>
      <c r="B11844" s="12" t="s">
        <v>8911</v>
      </c>
      <c r="C11844" s="13" t="s">
        <v>8912</v>
      </c>
      <c r="D11844" s="13" t="s">
        <v>44</v>
      </c>
      <c r="E11844" s="12" t="s">
        <v>50</v>
      </c>
      <c r="F11844" s="13"/>
      <c r="G11844" s="13"/>
      <c r="H11844" s="13" t="s">
        <v>22277</v>
      </c>
      <c r="I11844" s="40" t="s">
        <v>18</v>
      </c>
      <c r="J11844" s="40" t="str">
        <f>HYPERLINK("https://stock.pstatic.net/stock-research/company/39/20250526_company_132513000.pdf","PDF")</f>
        <v>PDF</v>
      </c>
      <c r="K11844" s="12" t="s">
        <v>22278</v>
      </c>
    </row>
    <row r="11845" spans="1:12" x14ac:dyDescent="0.45">
      <c r="A11845" s="12" t="s">
        <v>22248</v>
      </c>
      <c r="B11845" s="12" t="s">
        <v>2933</v>
      </c>
      <c r="C11845" s="13" t="s">
        <v>2934</v>
      </c>
      <c r="D11845" s="13" t="s">
        <v>23</v>
      </c>
      <c r="E11845" s="12" t="s">
        <v>16</v>
      </c>
      <c r="F11845" s="14">
        <v>83000</v>
      </c>
      <c r="G11845" s="14">
        <v>66400</v>
      </c>
      <c r="H11845" s="13" t="s">
        <v>22279</v>
      </c>
      <c r="I11845" s="40" t="s">
        <v>18</v>
      </c>
      <c r="J11845" s="40" t="str">
        <f>HYPERLINK("https://stock.pstatic.net/stock-research/company/21/20250526_company_992772000.pdf","PDF")</f>
        <v>PDF</v>
      </c>
      <c r="K11845" s="12" t="s">
        <v>22280</v>
      </c>
      <c r="L11845" s="20">
        <v>0.25</v>
      </c>
    </row>
    <row r="11846" spans="1:12" x14ac:dyDescent="0.45">
      <c r="A11846" s="12" t="s">
        <v>22248</v>
      </c>
      <c r="B11846" s="12" t="s">
        <v>72</v>
      </c>
      <c r="C11846" s="13" t="s">
        <v>73</v>
      </c>
      <c r="D11846" s="13" t="s">
        <v>34</v>
      </c>
      <c r="E11846" s="12" t="s">
        <v>35</v>
      </c>
      <c r="F11846" s="14">
        <v>188000</v>
      </c>
      <c r="G11846" s="14">
        <v>142000</v>
      </c>
      <c r="H11846" s="13" t="s">
        <v>22281</v>
      </c>
      <c r="I11846" s="40" t="s">
        <v>18</v>
      </c>
      <c r="J11846" s="40" t="str">
        <f>HYPERLINK("https://stock.pstatic.net/stock-research/company/61/20250526_company_343508000.pdf","PDF")</f>
        <v>PDF</v>
      </c>
      <c r="K11846" s="12" t="s">
        <v>22282</v>
      </c>
      <c r="L11846" s="20">
        <v>0.323943661971831</v>
      </c>
    </row>
    <row r="11847" spans="1:12" x14ac:dyDescent="0.45">
      <c r="A11847" s="12" t="s">
        <v>22248</v>
      </c>
      <c r="B11847" s="12" t="s">
        <v>1069</v>
      </c>
      <c r="C11847" s="13" t="s">
        <v>1070</v>
      </c>
      <c r="D11847" s="13" t="s">
        <v>124</v>
      </c>
      <c r="E11847" s="12" t="s">
        <v>50</v>
      </c>
      <c r="F11847" s="13"/>
      <c r="G11847" s="13"/>
      <c r="H11847" s="13" t="s">
        <v>22283</v>
      </c>
      <c r="I11847" s="40" t="s">
        <v>18</v>
      </c>
      <c r="J11847" s="40" t="str">
        <f>HYPERLINK("https://stock.pstatic.net/stock-research/company/74/20250528_company_420007000.pdf","PDF")</f>
        <v>PDF</v>
      </c>
      <c r="K11847" s="12" t="s">
        <v>22284</v>
      </c>
    </row>
    <row r="11848" spans="1:12" x14ac:dyDescent="0.45">
      <c r="A11848" s="12" t="s">
        <v>22285</v>
      </c>
      <c r="B11848" s="12" t="s">
        <v>1081</v>
      </c>
      <c r="C11848" s="13" t="s">
        <v>1082</v>
      </c>
      <c r="D11848" s="13" t="s">
        <v>276</v>
      </c>
      <c r="E11848" s="12" t="s">
        <v>16</v>
      </c>
      <c r="F11848" s="14">
        <v>1300000</v>
      </c>
      <c r="G11848" s="14">
        <v>1080000</v>
      </c>
      <c r="H11848" s="13" t="s">
        <v>22286</v>
      </c>
      <c r="I11848" s="40" t="s">
        <v>18</v>
      </c>
      <c r="J11848" s="40" t="str">
        <f>HYPERLINK("https://stock.pstatic.net/stock-research/company/66/20250523_company_429926000.pdf","PDF")</f>
        <v>PDF</v>
      </c>
      <c r="K11848" s="12" t="s">
        <v>22287</v>
      </c>
      <c r="L11848" s="20">
        <v>0.20370370370370369</v>
      </c>
    </row>
    <row r="11849" spans="1:12" x14ac:dyDescent="0.45">
      <c r="A11849" s="12" t="s">
        <v>22285</v>
      </c>
      <c r="B11849" s="12" t="s">
        <v>1308</v>
      </c>
      <c r="C11849" s="13" t="s">
        <v>1309</v>
      </c>
      <c r="D11849" s="13" t="s">
        <v>276</v>
      </c>
      <c r="E11849" s="12" t="s">
        <v>16</v>
      </c>
      <c r="F11849" s="14">
        <v>540000</v>
      </c>
      <c r="G11849" s="14">
        <v>423000</v>
      </c>
      <c r="H11849" s="13" t="s">
        <v>22288</v>
      </c>
      <c r="I11849" s="40" t="s">
        <v>18</v>
      </c>
      <c r="J11849" s="40" t="str">
        <f>HYPERLINK("https://stock.pstatic.net/stock-research/company/66/20250523_company_831736000.pdf","PDF")</f>
        <v>PDF</v>
      </c>
      <c r="K11849" s="12" t="s">
        <v>22289</v>
      </c>
      <c r="L11849" s="20">
        <v>0.27659574468085107</v>
      </c>
    </row>
    <row r="11850" spans="1:12" x14ac:dyDescent="0.45">
      <c r="A11850" s="12" t="s">
        <v>22285</v>
      </c>
      <c r="B11850" s="12" t="s">
        <v>388</v>
      </c>
      <c r="C11850" s="13" t="s">
        <v>389</v>
      </c>
      <c r="D11850" s="13" t="s">
        <v>276</v>
      </c>
      <c r="E11850" s="12" t="s">
        <v>16</v>
      </c>
      <c r="F11850" s="14">
        <v>60000</v>
      </c>
      <c r="G11850" s="14">
        <v>49550</v>
      </c>
      <c r="H11850" s="13" t="s">
        <v>22290</v>
      </c>
      <c r="I11850" s="40" t="s">
        <v>18</v>
      </c>
      <c r="J11850" s="40" t="str">
        <f>HYPERLINK("https://stock.pstatic.net/stock-research/company/66/20250523_company_293631000.pdf","PDF")</f>
        <v>PDF</v>
      </c>
      <c r="K11850" s="12" t="s">
        <v>22291</v>
      </c>
      <c r="L11850" s="20">
        <v>0.21089808274470229</v>
      </c>
    </row>
    <row r="11851" spans="1:12" x14ac:dyDescent="0.45">
      <c r="A11851" s="12" t="s">
        <v>22285</v>
      </c>
      <c r="B11851" s="12" t="s">
        <v>1124</v>
      </c>
      <c r="C11851" s="13" t="s">
        <v>1125</v>
      </c>
      <c r="D11851" s="13" t="s">
        <v>276</v>
      </c>
      <c r="E11851" s="12" t="s">
        <v>16</v>
      </c>
      <c r="F11851" s="14">
        <v>160000</v>
      </c>
      <c r="G11851" s="14">
        <v>119200</v>
      </c>
      <c r="H11851" s="13" t="s">
        <v>22292</v>
      </c>
      <c r="I11851" s="40" t="s">
        <v>18</v>
      </c>
      <c r="J11851" s="40" t="str">
        <f>HYPERLINK("https://stock.pstatic.net/stock-research/company/66/20250523_company_848234000.pdf","PDF")</f>
        <v>PDF</v>
      </c>
      <c r="K11851" s="12" t="s">
        <v>22293</v>
      </c>
      <c r="L11851" s="20">
        <v>0.34228187919463088</v>
      </c>
    </row>
    <row r="11852" spans="1:12" x14ac:dyDescent="0.45">
      <c r="A11852" s="12" t="s">
        <v>22285</v>
      </c>
      <c r="B11852" s="12" t="s">
        <v>330</v>
      </c>
      <c r="C11852" s="13" t="s">
        <v>331</v>
      </c>
      <c r="D11852" s="13" t="s">
        <v>65</v>
      </c>
      <c r="E11852" s="12" t="s">
        <v>35</v>
      </c>
      <c r="F11852" s="14">
        <v>40000</v>
      </c>
      <c r="G11852" s="14">
        <v>33300</v>
      </c>
      <c r="H11852" s="13" t="s">
        <v>22294</v>
      </c>
      <c r="I11852" s="40" t="s">
        <v>18</v>
      </c>
      <c r="J11852" s="40" t="str">
        <f>HYPERLINK("https://stock.pstatic.net/stock-research/company/57/20250523_company_892812000.pdf","PDF")</f>
        <v>PDF</v>
      </c>
      <c r="K11852" s="12" t="s">
        <v>22295</v>
      </c>
      <c r="L11852" s="20">
        <v>0.20120120120120119</v>
      </c>
    </row>
    <row r="11853" spans="1:12" x14ac:dyDescent="0.45">
      <c r="A11853" s="12" t="s">
        <v>22285</v>
      </c>
      <c r="B11853" s="12" t="s">
        <v>375</v>
      </c>
      <c r="C11853" s="13" t="s">
        <v>376</v>
      </c>
      <c r="D11853" s="13" t="s">
        <v>65</v>
      </c>
      <c r="E11853" s="12" t="s">
        <v>35</v>
      </c>
      <c r="F11853" s="14">
        <v>36000</v>
      </c>
      <c r="G11853" s="14">
        <v>24350</v>
      </c>
      <c r="H11853" s="13" t="s">
        <v>22296</v>
      </c>
      <c r="I11853" s="40" t="s">
        <v>18</v>
      </c>
      <c r="J11853" s="40" t="str">
        <f>HYPERLINK("https://stock.pstatic.net/stock-research/company/57/20250523_company_976252000.pdf","PDF")</f>
        <v>PDF</v>
      </c>
      <c r="K11853" s="12" t="s">
        <v>22297</v>
      </c>
      <c r="L11853" s="20">
        <v>0.47843942505133469</v>
      </c>
    </row>
    <row r="11854" spans="1:12" x14ac:dyDescent="0.45">
      <c r="A11854" s="12" t="s">
        <v>22285</v>
      </c>
      <c r="B11854" s="12" t="s">
        <v>1081</v>
      </c>
      <c r="C11854" s="13" t="s">
        <v>1082</v>
      </c>
      <c r="D11854" s="13" t="s">
        <v>65</v>
      </c>
      <c r="E11854" s="12" t="s">
        <v>35</v>
      </c>
      <c r="F11854" s="14">
        <v>1310000</v>
      </c>
      <c r="G11854" s="14">
        <v>1080000</v>
      </c>
      <c r="H11854" s="13" t="s">
        <v>22298</v>
      </c>
      <c r="I11854" s="40" t="s">
        <v>18</v>
      </c>
      <c r="J11854" s="40" t="str">
        <f>HYPERLINK("https://stock.pstatic.net/stock-research/company/57/20250523_company_263641000.pdf","PDF")</f>
        <v>PDF</v>
      </c>
      <c r="K11854" s="12" t="s">
        <v>22299</v>
      </c>
      <c r="L11854" s="20">
        <v>0.21296296296296299</v>
      </c>
    </row>
    <row r="11855" spans="1:12" x14ac:dyDescent="0.45">
      <c r="A11855" s="12" t="s">
        <v>22285</v>
      </c>
      <c r="B11855" s="12" t="s">
        <v>1237</v>
      </c>
      <c r="C11855" s="13" t="s">
        <v>1238</v>
      </c>
      <c r="D11855" s="13" t="s">
        <v>57</v>
      </c>
      <c r="E11855" s="12" t="s">
        <v>159</v>
      </c>
      <c r="F11855" s="14">
        <v>7000</v>
      </c>
      <c r="G11855" s="14">
        <v>6830</v>
      </c>
      <c r="H11855" s="13" t="s">
        <v>22300</v>
      </c>
      <c r="I11855" s="40" t="s">
        <v>18</v>
      </c>
      <c r="J11855" s="40" t="str">
        <f>HYPERLINK("https://stock.pstatic.net/stock-research/company/16/20250523_company_858905000.pdf","PDF")</f>
        <v>PDF</v>
      </c>
      <c r="K11855" s="12" t="s">
        <v>22301</v>
      </c>
      <c r="L11855" s="20">
        <v>2.4890190336749631E-2</v>
      </c>
    </row>
    <row r="11856" spans="1:12" x14ac:dyDescent="0.45">
      <c r="A11856" s="12" t="s">
        <v>22285</v>
      </c>
      <c r="B11856" s="12" t="s">
        <v>5787</v>
      </c>
      <c r="C11856" s="13" t="s">
        <v>5788</v>
      </c>
      <c r="D11856" s="13" t="s">
        <v>158</v>
      </c>
      <c r="E11856" s="12" t="s">
        <v>35</v>
      </c>
      <c r="F11856" s="14">
        <v>21000</v>
      </c>
      <c r="G11856" s="14">
        <v>12670</v>
      </c>
      <c r="H11856" s="13" t="s">
        <v>22302</v>
      </c>
      <c r="I11856" s="40" t="s">
        <v>18</v>
      </c>
      <c r="J11856" s="40" t="str">
        <f>HYPERLINK("https://stock.pstatic.net/stock-research/company/1/20250523_company_299823000.pdf","PDF")</f>
        <v>PDF</v>
      </c>
      <c r="K11856" s="12" t="s">
        <v>22303</v>
      </c>
      <c r="L11856" s="20">
        <v>0.65745856353591159</v>
      </c>
    </row>
    <row r="11857" spans="1:12" x14ac:dyDescent="0.45">
      <c r="A11857" s="12" t="s">
        <v>22285</v>
      </c>
      <c r="B11857" s="12" t="s">
        <v>880</v>
      </c>
      <c r="C11857" s="13" t="s">
        <v>881</v>
      </c>
      <c r="D11857" s="13" t="s">
        <v>158</v>
      </c>
      <c r="E11857" s="12" t="s">
        <v>35</v>
      </c>
      <c r="F11857" s="14">
        <v>17000</v>
      </c>
      <c r="G11857" s="14">
        <v>13970</v>
      </c>
      <c r="H11857" s="13" t="s">
        <v>22304</v>
      </c>
      <c r="I11857" s="40" t="s">
        <v>18</v>
      </c>
      <c r="J11857" s="40" t="str">
        <f>HYPERLINK("https://stock.pstatic.net/stock-research/company/18/20250523_company_835838000.pdf","PDF")</f>
        <v>PDF</v>
      </c>
      <c r="K11857" s="12" t="s">
        <v>22305</v>
      </c>
      <c r="L11857" s="20">
        <v>0.21689334287759479</v>
      </c>
    </row>
    <row r="11858" spans="1:12" x14ac:dyDescent="0.45">
      <c r="A11858" s="12" t="s">
        <v>22285</v>
      </c>
      <c r="B11858" s="12" t="s">
        <v>426</v>
      </c>
      <c r="C11858" s="13" t="s">
        <v>427</v>
      </c>
      <c r="D11858" s="13" t="s">
        <v>158</v>
      </c>
      <c r="E11858" s="12" t="s">
        <v>35</v>
      </c>
      <c r="F11858" s="14">
        <v>16000</v>
      </c>
      <c r="G11858" s="14">
        <v>13550</v>
      </c>
      <c r="H11858" s="13" t="s">
        <v>22306</v>
      </c>
      <c r="I11858" s="40" t="s">
        <v>18</v>
      </c>
      <c r="J11858" s="40" t="str">
        <f>HYPERLINK("https://stock.pstatic.net/stock-research/company/1/20250523_company_138644000.pdf","PDF")</f>
        <v>PDF</v>
      </c>
      <c r="K11858" s="12" t="s">
        <v>22307</v>
      </c>
      <c r="L11858" s="20">
        <v>0.1808118081180812</v>
      </c>
    </row>
    <row r="11859" spans="1:12" x14ac:dyDescent="0.45">
      <c r="A11859" s="12" t="s">
        <v>22285</v>
      </c>
      <c r="B11859" s="12" t="s">
        <v>5787</v>
      </c>
      <c r="C11859" s="13" t="s">
        <v>5788</v>
      </c>
      <c r="D11859" s="13" t="s">
        <v>158</v>
      </c>
      <c r="E11859" s="12" t="s">
        <v>35</v>
      </c>
      <c r="F11859" s="14">
        <v>21000</v>
      </c>
      <c r="G11859" s="14">
        <v>12670</v>
      </c>
      <c r="H11859" s="13" t="s">
        <v>22302</v>
      </c>
      <c r="I11859" s="40" t="s">
        <v>18</v>
      </c>
      <c r="J11859" s="40" t="str">
        <f>HYPERLINK("https://stock.pstatic.net/stock-research/company/18/20250523_company_430915000.pdf","PDF")</f>
        <v>PDF</v>
      </c>
      <c r="K11859" s="12" t="s">
        <v>22308</v>
      </c>
      <c r="L11859" s="20">
        <v>0.65745856353591159</v>
      </c>
    </row>
    <row r="11860" spans="1:12" x14ac:dyDescent="0.45">
      <c r="A11860" s="12" t="s">
        <v>22285</v>
      </c>
      <c r="B11860" s="12" t="s">
        <v>1081</v>
      </c>
      <c r="C11860" s="13" t="s">
        <v>1082</v>
      </c>
      <c r="D11860" s="13" t="s">
        <v>83</v>
      </c>
      <c r="E11860" s="12" t="s">
        <v>35</v>
      </c>
      <c r="F11860" s="14">
        <v>1300000</v>
      </c>
      <c r="G11860" s="14">
        <v>1080000</v>
      </c>
      <c r="H11860" s="13" t="s">
        <v>22309</v>
      </c>
      <c r="I11860" s="40" t="s">
        <v>18</v>
      </c>
      <c r="J11860" s="40" t="str">
        <f>HYPERLINK("https://stock.pstatic.net/stock-research/company/2/20250523_company_283184000.pdf","PDF")</f>
        <v>PDF</v>
      </c>
      <c r="K11860" s="12" t="s">
        <v>22310</v>
      </c>
      <c r="L11860" s="20">
        <v>0.20370370370370369</v>
      </c>
    </row>
    <row r="11861" spans="1:12" x14ac:dyDescent="0.45">
      <c r="A11861" s="12" t="s">
        <v>22285</v>
      </c>
      <c r="B11861" s="12" t="s">
        <v>2435</v>
      </c>
      <c r="C11861" s="13" t="s">
        <v>2436</v>
      </c>
      <c r="D11861" s="13" t="s">
        <v>83</v>
      </c>
      <c r="E11861" s="12" t="s">
        <v>35</v>
      </c>
      <c r="F11861" s="14">
        <v>450000</v>
      </c>
      <c r="G11861" s="14">
        <v>394000</v>
      </c>
      <c r="H11861" s="13" t="s">
        <v>22311</v>
      </c>
      <c r="I11861" s="40" t="s">
        <v>18</v>
      </c>
      <c r="J11861" s="40" t="str">
        <f>HYPERLINK("https://stock.pstatic.net/stock-research/company/2/20250523_company_492334000.pdf","PDF")</f>
        <v>PDF</v>
      </c>
      <c r="K11861" s="12" t="s">
        <v>22312</v>
      </c>
      <c r="L11861" s="20">
        <v>0.14213197969543151</v>
      </c>
    </row>
    <row r="11862" spans="1:12" x14ac:dyDescent="0.45">
      <c r="A11862" s="12" t="s">
        <v>22285</v>
      </c>
      <c r="B11862" s="12" t="s">
        <v>1009</v>
      </c>
      <c r="C11862" s="13" t="s">
        <v>1010</v>
      </c>
      <c r="D11862" s="13" t="s">
        <v>15</v>
      </c>
      <c r="E11862" s="12" t="s">
        <v>16</v>
      </c>
      <c r="F11862" s="14">
        <v>170000</v>
      </c>
      <c r="G11862" s="14">
        <v>110600</v>
      </c>
      <c r="H11862" s="13" t="s">
        <v>22313</v>
      </c>
      <c r="I11862" s="40" t="s">
        <v>18</v>
      </c>
      <c r="J11862" s="40" t="str">
        <f>HYPERLINK("https://stock.pstatic.net/stock-research/company/29/20250523_company_875723000.pdf","PDF")</f>
        <v>PDF</v>
      </c>
      <c r="K11862" s="12" t="s">
        <v>22314</v>
      </c>
      <c r="L11862" s="20">
        <v>0.53707052441229652</v>
      </c>
    </row>
    <row r="11863" spans="1:12" x14ac:dyDescent="0.45">
      <c r="A11863" s="12" t="s">
        <v>22285</v>
      </c>
      <c r="B11863" s="12" t="s">
        <v>1081</v>
      </c>
      <c r="C11863" s="13" t="s">
        <v>1082</v>
      </c>
      <c r="D11863" s="13" t="s">
        <v>15</v>
      </c>
      <c r="E11863" s="12" t="s">
        <v>16</v>
      </c>
      <c r="F11863" s="14">
        <v>1350000</v>
      </c>
      <c r="G11863" s="14">
        <v>1080000</v>
      </c>
      <c r="H11863" s="13" t="s">
        <v>22315</v>
      </c>
      <c r="I11863" s="40" t="s">
        <v>18</v>
      </c>
      <c r="J11863" s="40" t="str">
        <f>HYPERLINK("https://stock.pstatic.net/stock-research/company/29/20250523_company_290907000.pdf","PDF")</f>
        <v>PDF</v>
      </c>
      <c r="K11863" s="12" t="s">
        <v>22316</v>
      </c>
      <c r="L11863" s="20">
        <v>0.25</v>
      </c>
    </row>
    <row r="11864" spans="1:12" x14ac:dyDescent="0.45">
      <c r="A11864" s="12" t="s">
        <v>22285</v>
      </c>
      <c r="B11864" s="12" t="s">
        <v>72</v>
      </c>
      <c r="C11864" s="13" t="s">
        <v>73</v>
      </c>
      <c r="D11864" s="13" t="s">
        <v>92</v>
      </c>
      <c r="E11864" s="12" t="s">
        <v>35</v>
      </c>
      <c r="F11864" s="14">
        <v>190000</v>
      </c>
      <c r="G11864" s="14">
        <v>138500</v>
      </c>
      <c r="H11864" s="13" t="s">
        <v>22317</v>
      </c>
      <c r="I11864" s="40" t="s">
        <v>18</v>
      </c>
      <c r="J11864" s="40" t="str">
        <f>HYPERLINK("https://stock.pstatic.net/stock-research/company/63/20250523_company_975276000.pdf","PDF")</f>
        <v>PDF</v>
      </c>
      <c r="K11864" s="12" t="s">
        <v>22318</v>
      </c>
      <c r="L11864" s="20">
        <v>0.37184115523465711</v>
      </c>
    </row>
    <row r="11865" spans="1:12" x14ac:dyDescent="0.45">
      <c r="A11865" s="12" t="s">
        <v>22285</v>
      </c>
      <c r="B11865" s="12" t="s">
        <v>2550</v>
      </c>
      <c r="C11865" s="13" t="s">
        <v>2551</v>
      </c>
      <c r="D11865" s="13" t="s">
        <v>92</v>
      </c>
      <c r="E11865" s="12" t="s">
        <v>35</v>
      </c>
      <c r="F11865" s="14">
        <v>21000</v>
      </c>
      <c r="G11865" s="14">
        <v>14750</v>
      </c>
      <c r="H11865" s="13" t="s">
        <v>22319</v>
      </c>
      <c r="I11865" s="40" t="s">
        <v>18</v>
      </c>
      <c r="J11865" s="40" t="str">
        <f>HYPERLINK("https://stock.pstatic.net/stock-research/company/1/20250523_company_157734000.pdf","PDF")</f>
        <v>PDF</v>
      </c>
      <c r="K11865" s="12" t="s">
        <v>22320</v>
      </c>
      <c r="L11865" s="20">
        <v>0.42372881355932202</v>
      </c>
    </row>
    <row r="11866" spans="1:12" x14ac:dyDescent="0.45">
      <c r="A11866" s="12" t="s">
        <v>22285</v>
      </c>
      <c r="B11866" s="12" t="s">
        <v>2492</v>
      </c>
      <c r="C11866" s="13" t="s">
        <v>2493</v>
      </c>
      <c r="D11866" s="13" t="s">
        <v>44</v>
      </c>
      <c r="E11866" s="12" t="s">
        <v>35</v>
      </c>
      <c r="F11866" s="14">
        <v>347000</v>
      </c>
      <c r="G11866" s="14">
        <v>288000</v>
      </c>
      <c r="H11866" s="13" t="s">
        <v>22321</v>
      </c>
      <c r="I11866" s="40" t="s">
        <v>18</v>
      </c>
      <c r="J11866" s="40" t="str">
        <f>HYPERLINK("https://stock.pstatic.net/stock-research/company/39/20250523_company_872495000.pdf","PDF")</f>
        <v>PDF</v>
      </c>
      <c r="K11866" s="12" t="s">
        <v>22322</v>
      </c>
      <c r="L11866" s="20">
        <v>0.2048611111111111</v>
      </c>
    </row>
    <row r="11867" spans="1:12" x14ac:dyDescent="0.45">
      <c r="A11867" s="12" t="s">
        <v>22285</v>
      </c>
      <c r="B11867" s="12" t="s">
        <v>884</v>
      </c>
      <c r="C11867" s="13" t="s">
        <v>885</v>
      </c>
      <c r="D11867" s="13" t="s">
        <v>53</v>
      </c>
      <c r="E11867" s="12" t="s">
        <v>16</v>
      </c>
      <c r="F11867" s="14">
        <v>3400</v>
      </c>
      <c r="G11867" s="14">
        <v>2385</v>
      </c>
      <c r="H11867" s="13" t="s">
        <v>22323</v>
      </c>
      <c r="I11867" s="40" t="s">
        <v>18</v>
      </c>
      <c r="J11867" s="40" t="str">
        <f>HYPERLINK("https://stock.pstatic.net/stock-research/company/40/20250523_company_941699000.pdf","PDF")</f>
        <v>PDF</v>
      </c>
      <c r="K11867" s="12" t="s">
        <v>22324</v>
      </c>
      <c r="L11867" s="20">
        <v>0.42557651991614248</v>
      </c>
    </row>
    <row r="11868" spans="1:12" x14ac:dyDescent="0.45">
      <c r="A11868" s="12" t="s">
        <v>22285</v>
      </c>
      <c r="B11868" s="12" t="s">
        <v>1081</v>
      </c>
      <c r="C11868" s="13" t="s">
        <v>1082</v>
      </c>
      <c r="D11868" s="13" t="s">
        <v>44</v>
      </c>
      <c r="E11868" s="12" t="s">
        <v>50</v>
      </c>
      <c r="F11868" s="13"/>
      <c r="G11868" s="13"/>
      <c r="H11868" s="13" t="s">
        <v>22325</v>
      </c>
      <c r="I11868" s="40" t="s">
        <v>18</v>
      </c>
      <c r="J11868" s="40" t="str">
        <f>HYPERLINK("https://stock.pstatic.net/stock-research/company/39/20250523_company_819183000.pdf","PDF")</f>
        <v>PDF</v>
      </c>
      <c r="K11868" s="12" t="s">
        <v>22326</v>
      </c>
    </row>
    <row r="11869" spans="1:12" x14ac:dyDescent="0.45">
      <c r="A11869" s="12" t="s">
        <v>22285</v>
      </c>
      <c r="B11869" s="12" t="s">
        <v>1241</v>
      </c>
      <c r="C11869" s="13" t="s">
        <v>1242</v>
      </c>
      <c r="D11869" s="13" t="s">
        <v>53</v>
      </c>
      <c r="E11869" s="12" t="s">
        <v>16</v>
      </c>
      <c r="F11869" s="14">
        <v>10500</v>
      </c>
      <c r="G11869" s="14">
        <v>8880</v>
      </c>
      <c r="H11869" s="13" t="s">
        <v>22327</v>
      </c>
      <c r="I11869" s="40" t="s">
        <v>18</v>
      </c>
      <c r="J11869" s="40" t="str">
        <f>HYPERLINK("https://stock.pstatic.net/stock-research/company/40/20250523_company_777195000.pdf","PDF")</f>
        <v>PDF</v>
      </c>
      <c r="K11869" s="12" t="s">
        <v>22328</v>
      </c>
      <c r="L11869" s="20">
        <v>0.1824324324324324</v>
      </c>
    </row>
    <row r="11870" spans="1:12" x14ac:dyDescent="0.45">
      <c r="A11870" s="12" t="s">
        <v>22285</v>
      </c>
      <c r="B11870" s="12" t="s">
        <v>4921</v>
      </c>
      <c r="C11870" s="13" t="s">
        <v>4922</v>
      </c>
      <c r="D11870" s="13" t="s">
        <v>53</v>
      </c>
      <c r="E11870" s="12" t="s">
        <v>16</v>
      </c>
      <c r="F11870" s="14">
        <v>21000</v>
      </c>
      <c r="G11870" s="14">
        <v>15840</v>
      </c>
      <c r="H11870" s="13" t="s">
        <v>22329</v>
      </c>
      <c r="I11870" s="40" t="s">
        <v>18</v>
      </c>
      <c r="J11870" s="40" t="str">
        <f>HYPERLINK("https://stock.pstatic.net/stock-research/company/40/20250523_company_165612000.pdf","PDF")</f>
        <v>PDF</v>
      </c>
      <c r="K11870" s="12" t="s">
        <v>22330</v>
      </c>
      <c r="L11870" s="20">
        <v>0.32575757575757569</v>
      </c>
    </row>
    <row r="11871" spans="1:12" x14ac:dyDescent="0.45">
      <c r="A11871" s="12" t="s">
        <v>22285</v>
      </c>
      <c r="B11871" s="12" t="s">
        <v>2522</v>
      </c>
      <c r="C11871" s="13" t="s">
        <v>2523</v>
      </c>
      <c r="D11871" s="13" t="s">
        <v>53</v>
      </c>
      <c r="E11871" s="12" t="s">
        <v>16</v>
      </c>
      <c r="F11871" s="14">
        <v>500000</v>
      </c>
      <c r="G11871" s="14">
        <v>380000</v>
      </c>
      <c r="H11871" s="13" t="s">
        <v>22331</v>
      </c>
      <c r="I11871" s="40" t="s">
        <v>18</v>
      </c>
      <c r="J11871" s="40" t="str">
        <f>HYPERLINK("https://stock.pstatic.net/stock-research/company/40/20250527_company_697940000.pdf","PDF")</f>
        <v>PDF</v>
      </c>
      <c r="K11871" s="12" t="s">
        <v>22332</v>
      </c>
      <c r="L11871" s="20">
        <v>0.31578947368421051</v>
      </c>
    </row>
    <row r="11872" spans="1:12" x14ac:dyDescent="0.45">
      <c r="A11872" s="12" t="s">
        <v>22285</v>
      </c>
      <c r="B11872" s="12" t="s">
        <v>22333</v>
      </c>
      <c r="C11872" s="13" t="s">
        <v>22334</v>
      </c>
      <c r="D11872" s="13" t="s">
        <v>53</v>
      </c>
      <c r="E11872" s="12" t="s">
        <v>50</v>
      </c>
      <c r="F11872" s="14">
        <v>59000</v>
      </c>
      <c r="G11872" s="14">
        <v>52900</v>
      </c>
      <c r="H11872" s="13" t="s">
        <v>22335</v>
      </c>
      <c r="I11872" s="40" t="s">
        <v>18</v>
      </c>
      <c r="J11872" s="40" t="str">
        <f>HYPERLINK("https://stock.pstatic.net/stock-research/company/40/20250523_company_136732000.pdf","PDF")</f>
        <v>PDF</v>
      </c>
      <c r="K11872" s="12" t="s">
        <v>22336</v>
      </c>
      <c r="L11872" s="20">
        <v>0.1153119092627599</v>
      </c>
    </row>
    <row r="11873" spans="1:12" x14ac:dyDescent="0.45">
      <c r="A11873" s="12" t="s">
        <v>22285</v>
      </c>
      <c r="B11873" s="12" t="s">
        <v>565</v>
      </c>
      <c r="C11873" s="13" t="s">
        <v>566</v>
      </c>
      <c r="D11873" s="13" t="s">
        <v>15</v>
      </c>
      <c r="E11873" s="12" t="s">
        <v>16</v>
      </c>
      <c r="F11873" s="14">
        <v>35000</v>
      </c>
      <c r="G11873" s="14">
        <v>24400</v>
      </c>
      <c r="H11873" s="13" t="s">
        <v>22337</v>
      </c>
      <c r="I11873" s="40" t="s">
        <v>18</v>
      </c>
      <c r="J11873" s="40" t="str">
        <f>HYPERLINK("https://stock.pstatic.net/stock-research/company/29/20250523_company_385635000.pdf","PDF")</f>
        <v>PDF</v>
      </c>
      <c r="K11873" s="12" t="s">
        <v>22338</v>
      </c>
      <c r="L11873" s="20">
        <v>0.4344262295081967</v>
      </c>
    </row>
    <row r="11874" spans="1:12" x14ac:dyDescent="0.45">
      <c r="A11874" s="12" t="s">
        <v>22285</v>
      </c>
      <c r="B11874" s="12" t="s">
        <v>605</v>
      </c>
      <c r="C11874" s="13" t="s">
        <v>606</v>
      </c>
      <c r="D11874" s="13" t="s">
        <v>53</v>
      </c>
      <c r="E11874" s="12" t="s">
        <v>16</v>
      </c>
      <c r="F11874" s="14">
        <v>40000</v>
      </c>
      <c r="G11874" s="14">
        <v>25250</v>
      </c>
      <c r="H11874" s="13" t="s">
        <v>22339</v>
      </c>
      <c r="I11874" s="40" t="s">
        <v>18</v>
      </c>
      <c r="J11874" s="40" t="str">
        <f>HYPERLINK("https://stock.pstatic.net/stock-research/company/40/20250523_company_661790000.pdf","PDF")</f>
        <v>PDF</v>
      </c>
      <c r="K11874" s="12" t="s">
        <v>22340</v>
      </c>
      <c r="L11874" s="20">
        <v>0.58415841584158412</v>
      </c>
    </row>
    <row r="11875" spans="1:12" x14ac:dyDescent="0.45">
      <c r="A11875" s="12" t="s">
        <v>22285</v>
      </c>
      <c r="B11875" s="12" t="s">
        <v>22341</v>
      </c>
      <c r="C11875" s="13" t="s">
        <v>22342</v>
      </c>
      <c r="D11875" s="13" t="s">
        <v>202</v>
      </c>
      <c r="E11875" s="12" t="s">
        <v>50</v>
      </c>
      <c r="F11875" s="13"/>
      <c r="G11875" s="13"/>
      <c r="H11875" s="13" t="s">
        <v>22343</v>
      </c>
      <c r="I11875" s="40" t="s">
        <v>18</v>
      </c>
      <c r="J11875" s="40" t="str">
        <f>HYPERLINK("https://stock.pstatic.net/stock-research/company/69/20250523_company_793683000.pdf","PDF")</f>
        <v>PDF</v>
      </c>
      <c r="K11875" s="12" t="s">
        <v>22344</v>
      </c>
    </row>
    <row r="11876" spans="1:12" x14ac:dyDescent="0.45">
      <c r="A11876" s="12" t="s">
        <v>22285</v>
      </c>
      <c r="B11876" s="12" t="s">
        <v>22345</v>
      </c>
      <c r="C11876" s="13" t="s">
        <v>22346</v>
      </c>
      <c r="D11876" s="13" t="s">
        <v>202</v>
      </c>
      <c r="E11876" s="12" t="s">
        <v>50</v>
      </c>
      <c r="F11876" s="13"/>
      <c r="G11876" s="13"/>
      <c r="H11876" s="13" t="s">
        <v>22347</v>
      </c>
      <c r="I11876" s="40" t="s">
        <v>18</v>
      </c>
      <c r="J11876" s="40" t="str">
        <f>HYPERLINK("https://stock.pstatic.net/stock-research/company/69/20250523_company_494184000.pdf","PDF")</f>
        <v>PDF</v>
      </c>
      <c r="K11876" s="12" t="s">
        <v>22348</v>
      </c>
    </row>
    <row r="11877" spans="1:12" x14ac:dyDescent="0.45">
      <c r="A11877" s="12" t="s">
        <v>22285</v>
      </c>
      <c r="B11877" s="12" t="s">
        <v>16377</v>
      </c>
      <c r="C11877" s="13" t="s">
        <v>16378</v>
      </c>
      <c r="D11877" s="13" t="s">
        <v>11154</v>
      </c>
      <c r="E11877" s="12" t="s">
        <v>50</v>
      </c>
      <c r="F11877" s="13"/>
      <c r="G11877" s="13"/>
      <c r="H11877" s="13" t="s">
        <v>22349</v>
      </c>
      <c r="I11877" s="40" t="s">
        <v>18</v>
      </c>
      <c r="J11877" s="40" t="str">
        <f>HYPERLINK("https://stock.pstatic.net/stock-research/company/79/20250523_company_653324000.pdf","PDF")</f>
        <v>PDF</v>
      </c>
      <c r="K11877" s="12" t="s">
        <v>22350</v>
      </c>
    </row>
    <row r="11878" spans="1:12" x14ac:dyDescent="0.45">
      <c r="A11878" s="12" t="s">
        <v>22285</v>
      </c>
      <c r="B11878" s="12" t="s">
        <v>22351</v>
      </c>
      <c r="C11878" s="13" t="s">
        <v>22352</v>
      </c>
      <c r="D11878" s="13" t="s">
        <v>11154</v>
      </c>
      <c r="E11878" s="12" t="s">
        <v>50</v>
      </c>
      <c r="F11878" s="13"/>
      <c r="G11878" s="13"/>
      <c r="H11878" s="13" t="s">
        <v>22353</v>
      </c>
      <c r="I11878" s="40" t="s">
        <v>18</v>
      </c>
      <c r="J11878" s="40" t="str">
        <f>HYPERLINK("https://stock.pstatic.net/stock-research/company/79/20250523_company_682918000.pdf","PDF")</f>
        <v>PDF</v>
      </c>
      <c r="K11878" s="12" t="s">
        <v>22354</v>
      </c>
    </row>
    <row r="11879" spans="1:12" x14ac:dyDescent="0.45">
      <c r="A11879" s="12" t="s">
        <v>22355</v>
      </c>
      <c r="B11879" s="12" t="s">
        <v>653</v>
      </c>
      <c r="C11879" s="13" t="s">
        <v>654</v>
      </c>
      <c r="D11879" s="13" t="s">
        <v>276</v>
      </c>
      <c r="E11879" s="12" t="s">
        <v>16</v>
      </c>
      <c r="F11879" s="14">
        <v>28500</v>
      </c>
      <c r="G11879" s="14">
        <v>21350</v>
      </c>
      <c r="H11879" s="13" t="s">
        <v>22356</v>
      </c>
      <c r="I11879" s="40" t="s">
        <v>18</v>
      </c>
      <c r="J11879" s="40" t="str">
        <f>HYPERLINK("https://stock.pstatic.net/stock-research/company/66/20250522_company_555504000.pdf","PDF")</f>
        <v>PDF</v>
      </c>
      <c r="K11879" s="12" t="s">
        <v>22357</v>
      </c>
      <c r="L11879" s="20">
        <v>0.33489461358313821</v>
      </c>
    </row>
    <row r="11880" spans="1:12" x14ac:dyDescent="0.45">
      <c r="A11880" s="12" t="s">
        <v>22355</v>
      </c>
      <c r="B11880" s="12" t="s">
        <v>2777</v>
      </c>
      <c r="C11880" s="13" t="s">
        <v>2778</v>
      </c>
      <c r="D11880" s="13" t="s">
        <v>83</v>
      </c>
      <c r="E11880" s="12" t="s">
        <v>35</v>
      </c>
      <c r="F11880" s="14">
        <v>200000</v>
      </c>
      <c r="G11880" s="14">
        <v>131700</v>
      </c>
      <c r="H11880" s="13" t="s">
        <v>22358</v>
      </c>
      <c r="I11880" s="40" t="s">
        <v>18</v>
      </c>
      <c r="J11880" s="40" t="str">
        <f>HYPERLINK("https://stock.pstatic.net/stock-research/company/2/20250522_company_659290000.pdf","PDF")</f>
        <v>PDF</v>
      </c>
      <c r="K11880" s="12" t="s">
        <v>22359</v>
      </c>
      <c r="L11880" s="20">
        <v>0.51860288534548216</v>
      </c>
    </row>
    <row r="11881" spans="1:12" x14ac:dyDescent="0.45">
      <c r="A11881" s="12" t="s">
        <v>22355</v>
      </c>
      <c r="B11881" s="12" t="s">
        <v>3749</v>
      </c>
      <c r="C11881" s="13" t="s">
        <v>3750</v>
      </c>
      <c r="D11881" s="13" t="s">
        <v>83</v>
      </c>
      <c r="E11881" s="12" t="s">
        <v>35</v>
      </c>
      <c r="F11881" s="14">
        <v>170000</v>
      </c>
      <c r="G11881" s="14">
        <v>109500</v>
      </c>
      <c r="H11881" s="13" t="s">
        <v>22360</v>
      </c>
      <c r="I11881" s="40" t="s">
        <v>18</v>
      </c>
      <c r="J11881" s="40" t="str">
        <f>HYPERLINK("https://stock.pstatic.net/stock-research/company/2/20250522_company_411366000.pdf","PDF")</f>
        <v>PDF</v>
      </c>
      <c r="K11881" s="12" t="s">
        <v>22361</v>
      </c>
      <c r="L11881" s="20">
        <v>0.55251141552511418</v>
      </c>
    </row>
    <row r="11882" spans="1:12" x14ac:dyDescent="0.45">
      <c r="A11882" s="12" t="s">
        <v>22355</v>
      </c>
      <c r="B11882" s="12" t="s">
        <v>402</v>
      </c>
      <c r="C11882" s="13" t="s">
        <v>403</v>
      </c>
      <c r="D11882" s="13" t="s">
        <v>65</v>
      </c>
      <c r="E11882" s="12" t="s">
        <v>35</v>
      </c>
      <c r="F11882" s="14">
        <v>86000</v>
      </c>
      <c r="G11882" s="14">
        <v>67900</v>
      </c>
      <c r="H11882" s="13" t="s">
        <v>22362</v>
      </c>
      <c r="I11882" s="40" t="s">
        <v>18</v>
      </c>
      <c r="J11882" s="40" t="str">
        <f>HYPERLINK("https://stock.pstatic.net/stock-research/company/57/20250522_company_892830000.pdf","PDF")</f>
        <v>PDF</v>
      </c>
      <c r="K11882" s="12" t="s">
        <v>22363</v>
      </c>
      <c r="L11882" s="20">
        <v>0.26656848306332842</v>
      </c>
    </row>
    <row r="11883" spans="1:12" x14ac:dyDescent="0.45">
      <c r="A11883" s="12" t="s">
        <v>22355</v>
      </c>
      <c r="B11883" s="12" t="s">
        <v>10486</v>
      </c>
      <c r="C11883" s="13" t="s">
        <v>10487</v>
      </c>
      <c r="D11883" s="13" t="s">
        <v>158</v>
      </c>
      <c r="E11883" s="12" t="s">
        <v>50</v>
      </c>
      <c r="F11883" s="13"/>
      <c r="G11883" s="14">
        <v>10160</v>
      </c>
      <c r="H11883" s="13" t="s">
        <v>22364</v>
      </c>
      <c r="I11883" s="40" t="s">
        <v>18</v>
      </c>
      <c r="J11883" s="40" t="str">
        <f>HYPERLINK("https://stock.pstatic.net/stock-research/company/18/20250522_company_501787000.pdf","PDF")</f>
        <v>PDF</v>
      </c>
      <c r="K11883" s="12" t="s">
        <v>22365</v>
      </c>
    </row>
    <row r="11884" spans="1:12" x14ac:dyDescent="0.45">
      <c r="A11884" s="12" t="s">
        <v>22355</v>
      </c>
      <c r="B11884" s="12" t="s">
        <v>1009</v>
      </c>
      <c r="C11884" s="13" t="s">
        <v>1010</v>
      </c>
      <c r="D11884" s="13" t="s">
        <v>158</v>
      </c>
      <c r="E11884" s="12" t="s">
        <v>35</v>
      </c>
      <c r="F11884" s="14">
        <v>150000</v>
      </c>
      <c r="G11884" s="14">
        <v>109300</v>
      </c>
      <c r="H11884" s="13" t="s">
        <v>22366</v>
      </c>
      <c r="I11884" s="40" t="s">
        <v>18</v>
      </c>
      <c r="J11884" s="40" t="str">
        <f>HYPERLINK("https://stock.pstatic.net/stock-research/company/18/20250522_company_116865000.pdf","PDF")</f>
        <v>PDF</v>
      </c>
      <c r="K11884" s="12" t="s">
        <v>22367</v>
      </c>
      <c r="L11884" s="20">
        <v>0.37236962488563591</v>
      </c>
    </row>
    <row r="11885" spans="1:12" x14ac:dyDescent="0.45">
      <c r="A11885" s="12" t="s">
        <v>22355</v>
      </c>
      <c r="B11885" s="12" t="s">
        <v>1328</v>
      </c>
      <c r="C11885" s="13" t="s">
        <v>1329</v>
      </c>
      <c r="D11885" s="13" t="s">
        <v>179</v>
      </c>
      <c r="E11885" s="12" t="s">
        <v>16</v>
      </c>
      <c r="F11885" s="14">
        <v>11000</v>
      </c>
      <c r="G11885" s="14">
        <v>9070</v>
      </c>
      <c r="H11885" s="13" t="s">
        <v>22368</v>
      </c>
      <c r="I11885" s="40" t="s">
        <v>18</v>
      </c>
      <c r="J11885" s="40" t="str">
        <f>HYPERLINK("https://stock.pstatic.net/stock-research/company/31/20250522_company_311027000.pdf","PDF")</f>
        <v>PDF</v>
      </c>
      <c r="K11885" s="12" t="s">
        <v>22369</v>
      </c>
      <c r="L11885" s="20">
        <v>0.21278941565600881</v>
      </c>
    </row>
    <row r="11886" spans="1:12" x14ac:dyDescent="0.45">
      <c r="A11886" s="12" t="s">
        <v>22355</v>
      </c>
      <c r="B11886" s="12" t="s">
        <v>1270</v>
      </c>
      <c r="C11886" s="13" t="s">
        <v>1271</v>
      </c>
      <c r="D11886" s="13" t="s">
        <v>179</v>
      </c>
      <c r="E11886" s="12" t="s">
        <v>16</v>
      </c>
      <c r="F11886" s="14">
        <v>65000</v>
      </c>
      <c r="G11886" s="14">
        <v>56100</v>
      </c>
      <c r="H11886" s="13" t="s">
        <v>22370</v>
      </c>
      <c r="I11886" s="40" t="s">
        <v>18</v>
      </c>
      <c r="J11886" s="40" t="str">
        <f>HYPERLINK("https://stock.pstatic.net/stock-research/company/31/20250522_company_871210000.pdf","PDF")</f>
        <v>PDF</v>
      </c>
      <c r="K11886" s="12" t="s">
        <v>22371</v>
      </c>
      <c r="L11886" s="20">
        <v>0.1586452762923351</v>
      </c>
    </row>
    <row r="11887" spans="1:12" x14ac:dyDescent="0.45">
      <c r="A11887" s="12" t="s">
        <v>22355</v>
      </c>
      <c r="B11887" s="12" t="s">
        <v>1278</v>
      </c>
      <c r="C11887" s="13" t="s">
        <v>1279</v>
      </c>
      <c r="D11887" s="13" t="s">
        <v>179</v>
      </c>
      <c r="E11887" s="12" t="s">
        <v>16</v>
      </c>
      <c r="F11887" s="14">
        <v>115000</v>
      </c>
      <c r="G11887" s="14">
        <v>97700</v>
      </c>
      <c r="H11887" s="13" t="s">
        <v>22372</v>
      </c>
      <c r="I11887" s="40" t="s">
        <v>18</v>
      </c>
      <c r="J11887" s="40" t="str">
        <f>HYPERLINK("https://stock.pstatic.net/stock-research/company/31/20250522_company_598657000.pdf","PDF")</f>
        <v>PDF</v>
      </c>
      <c r="K11887" s="12" t="s">
        <v>22373</v>
      </c>
      <c r="L11887" s="20">
        <v>0.17707267144319341</v>
      </c>
    </row>
    <row r="11888" spans="1:12" x14ac:dyDescent="0.45">
      <c r="A11888" s="12" t="s">
        <v>22355</v>
      </c>
      <c r="B11888" s="12" t="s">
        <v>1120</v>
      </c>
      <c r="C11888" s="13" t="s">
        <v>1121</v>
      </c>
      <c r="D11888" s="13" t="s">
        <v>92</v>
      </c>
      <c r="E11888" s="12" t="s">
        <v>35</v>
      </c>
      <c r="F11888" s="14">
        <v>140000</v>
      </c>
      <c r="G11888" s="14">
        <v>111700</v>
      </c>
      <c r="H11888" s="13" t="s">
        <v>22374</v>
      </c>
      <c r="I11888" s="40" t="s">
        <v>18</v>
      </c>
      <c r="J11888" s="40" t="str">
        <f>HYPERLINK("https://stock.pstatic.net/stock-research/company/63/20250522_company_970390000.pdf","PDF")</f>
        <v>PDF</v>
      </c>
      <c r="K11888" s="12" t="s">
        <v>22375</v>
      </c>
      <c r="L11888" s="20">
        <v>0.25335720680393908</v>
      </c>
    </row>
    <row r="11889" spans="1:12" x14ac:dyDescent="0.45">
      <c r="A11889" s="12" t="s">
        <v>22355</v>
      </c>
      <c r="B11889" s="12" t="s">
        <v>414</v>
      </c>
      <c r="C11889" s="13" t="s">
        <v>415</v>
      </c>
      <c r="D11889" s="13" t="s">
        <v>92</v>
      </c>
      <c r="E11889" s="12" t="s">
        <v>50</v>
      </c>
      <c r="F11889" s="13"/>
      <c r="G11889" s="14">
        <v>18610</v>
      </c>
      <c r="H11889" s="13" t="s">
        <v>22376</v>
      </c>
      <c r="I11889" s="40" t="s">
        <v>18</v>
      </c>
      <c r="J11889" s="40" t="str">
        <f>HYPERLINK("https://stock.pstatic.net/stock-research/company/63/20250522_company_718350000.pdf","PDF")</f>
        <v>PDF</v>
      </c>
      <c r="K11889" s="12" t="s">
        <v>22377</v>
      </c>
    </row>
    <row r="11890" spans="1:12" x14ac:dyDescent="0.45">
      <c r="A11890" s="12" t="s">
        <v>22355</v>
      </c>
      <c r="B11890" s="12" t="s">
        <v>1566</v>
      </c>
      <c r="C11890" s="13" t="s">
        <v>1567</v>
      </c>
      <c r="D11890" s="13" t="s">
        <v>92</v>
      </c>
      <c r="E11890" s="12" t="s">
        <v>50</v>
      </c>
      <c r="F11890" s="13"/>
      <c r="G11890" s="14">
        <v>2950</v>
      </c>
      <c r="H11890" s="13" t="s">
        <v>22378</v>
      </c>
      <c r="I11890" s="40" t="s">
        <v>18</v>
      </c>
      <c r="J11890" s="40" t="str">
        <f>HYPERLINK("https://stock.pstatic.net/stock-research/company/63/20250522_company_417180000.pdf","PDF")</f>
        <v>PDF</v>
      </c>
      <c r="K11890" s="12" t="s">
        <v>22379</v>
      </c>
    </row>
    <row r="11891" spans="1:12" x14ac:dyDescent="0.45">
      <c r="A11891" s="12" t="s">
        <v>22355</v>
      </c>
      <c r="B11891" s="12" t="s">
        <v>8204</v>
      </c>
      <c r="C11891" s="13" t="s">
        <v>8205</v>
      </c>
      <c r="D11891" s="13" t="s">
        <v>44</v>
      </c>
      <c r="E11891" s="12" t="s">
        <v>35</v>
      </c>
      <c r="F11891" s="14">
        <v>88000</v>
      </c>
      <c r="G11891" s="14">
        <v>56300</v>
      </c>
      <c r="H11891" s="13" t="s">
        <v>22380</v>
      </c>
      <c r="I11891" s="40" t="s">
        <v>18</v>
      </c>
      <c r="J11891" s="40" t="str">
        <f>HYPERLINK("https://stock.pstatic.net/stock-research/company/39/20250522_company_894269000.pdf","PDF")</f>
        <v>PDF</v>
      </c>
      <c r="K11891" s="12" t="s">
        <v>22381</v>
      </c>
      <c r="L11891" s="20">
        <v>0.56305506216696266</v>
      </c>
    </row>
    <row r="11892" spans="1:12" x14ac:dyDescent="0.45">
      <c r="A11892" s="12" t="s">
        <v>22355</v>
      </c>
      <c r="B11892" s="12" t="s">
        <v>16802</v>
      </c>
      <c r="C11892" s="13" t="s">
        <v>16803</v>
      </c>
      <c r="D11892" s="13" t="s">
        <v>23</v>
      </c>
      <c r="E11892" s="12" t="s">
        <v>16</v>
      </c>
      <c r="F11892" s="14">
        <v>9400</v>
      </c>
      <c r="G11892" s="14">
        <v>6480</v>
      </c>
      <c r="H11892" s="13" t="s">
        <v>22382</v>
      </c>
      <c r="I11892" s="40" t="s">
        <v>18</v>
      </c>
      <c r="J11892" s="40" t="str">
        <f>HYPERLINK("https://stock.pstatic.net/stock-research/company/21/20250522_company_406313000.pdf","PDF")</f>
        <v>PDF</v>
      </c>
      <c r="K11892" s="12" t="s">
        <v>22383</v>
      </c>
      <c r="L11892" s="20">
        <v>0.45061728395061729</v>
      </c>
    </row>
    <row r="11893" spans="1:12" x14ac:dyDescent="0.45">
      <c r="A11893" s="12" t="s">
        <v>22355</v>
      </c>
      <c r="B11893" s="12" t="s">
        <v>1694</v>
      </c>
      <c r="C11893" s="13" t="s">
        <v>1695</v>
      </c>
      <c r="D11893" s="13" t="s">
        <v>124</v>
      </c>
      <c r="E11893" s="12" t="s">
        <v>50</v>
      </c>
      <c r="F11893" s="13"/>
      <c r="G11893" s="13"/>
      <c r="H11893" s="13" t="s">
        <v>22384</v>
      </c>
      <c r="I11893" s="40" t="s">
        <v>18</v>
      </c>
      <c r="J11893" s="40" t="str">
        <f>HYPERLINK("https://stock.pstatic.net/stock-research/company/74/20250523_company_603886000.pdf","PDF")</f>
        <v>PDF</v>
      </c>
      <c r="K11893" s="12" t="s">
        <v>22385</v>
      </c>
    </row>
    <row r="11894" spans="1:12" x14ac:dyDescent="0.45">
      <c r="A11894" s="12" t="s">
        <v>22355</v>
      </c>
      <c r="B11894" s="12" t="s">
        <v>4882</v>
      </c>
      <c r="C11894" s="13" t="s">
        <v>4883</v>
      </c>
      <c r="D11894" s="13" t="s">
        <v>124</v>
      </c>
      <c r="E11894" s="12" t="s">
        <v>50</v>
      </c>
      <c r="F11894" s="13"/>
      <c r="G11894" s="13"/>
      <c r="H11894" s="13" t="s">
        <v>22386</v>
      </c>
      <c r="I11894" s="40" t="s">
        <v>18</v>
      </c>
      <c r="J11894" s="40" t="str">
        <f>HYPERLINK("https://stock.pstatic.net/stock-research/company/74/20250522_company_233239000.pdf","PDF")</f>
        <v>PDF</v>
      </c>
      <c r="K11894" s="12" t="s">
        <v>22387</v>
      </c>
    </row>
    <row r="11895" spans="1:12" x14ac:dyDescent="0.45">
      <c r="A11895" s="12" t="s">
        <v>22388</v>
      </c>
      <c r="B11895" s="12" t="s">
        <v>511</v>
      </c>
      <c r="C11895" s="13" t="s">
        <v>512</v>
      </c>
      <c r="D11895" s="13" t="s">
        <v>276</v>
      </c>
      <c r="E11895" s="12" t="s">
        <v>16</v>
      </c>
      <c r="F11895" s="14">
        <v>110000</v>
      </c>
      <c r="G11895" s="14">
        <v>93500</v>
      </c>
      <c r="H11895" s="13" t="s">
        <v>22389</v>
      </c>
      <c r="I11895" s="40" t="s">
        <v>18</v>
      </c>
      <c r="J11895" s="40" t="str">
        <f>HYPERLINK("https://stock.pstatic.net/stock-research/company/66/20250521_company_35134000.pdf","PDF")</f>
        <v>PDF</v>
      </c>
      <c r="K11895" s="12" t="s">
        <v>22390</v>
      </c>
      <c r="L11895" s="20">
        <v>0.1764705882352941</v>
      </c>
    </row>
    <row r="11896" spans="1:12" x14ac:dyDescent="0.45">
      <c r="A11896" s="12" t="s">
        <v>22388</v>
      </c>
      <c r="B11896" s="12" t="s">
        <v>330</v>
      </c>
      <c r="C11896" s="13" t="s">
        <v>331</v>
      </c>
      <c r="D11896" s="13" t="s">
        <v>65</v>
      </c>
      <c r="E11896" s="12" t="s">
        <v>35</v>
      </c>
      <c r="F11896" s="14">
        <v>50000</v>
      </c>
      <c r="G11896" s="14">
        <v>36400</v>
      </c>
      <c r="H11896" s="13" t="s">
        <v>22391</v>
      </c>
      <c r="I11896" s="40" t="s">
        <v>18</v>
      </c>
      <c r="J11896" s="40" t="str">
        <f>HYPERLINK("https://stock.pstatic.net/stock-research/company/1/20250521_company_655405000.pdf","PDF")</f>
        <v>PDF</v>
      </c>
      <c r="K11896" s="12" t="s">
        <v>22392</v>
      </c>
      <c r="L11896" s="20">
        <v>0.37362637362637358</v>
      </c>
    </row>
    <row r="11897" spans="1:12" x14ac:dyDescent="0.45">
      <c r="A11897" s="12" t="s">
        <v>22388</v>
      </c>
      <c r="B11897" s="12" t="s">
        <v>42</v>
      </c>
      <c r="C11897" s="13" t="s">
        <v>43</v>
      </c>
      <c r="D11897" s="13" t="s">
        <v>57</v>
      </c>
      <c r="E11897" s="12" t="s">
        <v>35</v>
      </c>
      <c r="F11897" s="14">
        <v>300000</v>
      </c>
      <c r="G11897" s="14">
        <v>185000</v>
      </c>
      <c r="H11897" s="13" t="s">
        <v>22393</v>
      </c>
      <c r="I11897" s="40" t="s">
        <v>18</v>
      </c>
      <c r="J11897" s="40" t="str">
        <f>HYPERLINK("https://stock.pstatic.net/stock-research/company/16/20250521_company_666528000.pdf","PDF")</f>
        <v>PDF</v>
      </c>
      <c r="K11897" s="12" t="s">
        <v>22394</v>
      </c>
      <c r="L11897" s="20">
        <v>0.6216216216216216</v>
      </c>
    </row>
    <row r="11898" spans="1:12" x14ac:dyDescent="0.45">
      <c r="A11898" s="12" t="s">
        <v>22388</v>
      </c>
      <c r="B11898" s="12" t="s">
        <v>1270</v>
      </c>
      <c r="C11898" s="13" t="s">
        <v>1271</v>
      </c>
      <c r="D11898" s="13" t="s">
        <v>158</v>
      </c>
      <c r="E11898" s="12" t="s">
        <v>35</v>
      </c>
      <c r="F11898" s="14">
        <v>69000</v>
      </c>
      <c r="G11898" s="14">
        <v>54000</v>
      </c>
      <c r="H11898" s="13" t="s">
        <v>22395</v>
      </c>
      <c r="I11898" s="40" t="s">
        <v>18</v>
      </c>
      <c r="J11898" s="40" t="str">
        <f>HYPERLINK("https://stock.pstatic.net/stock-research/company/18/20250521_company_333050000.pdf","PDF")</f>
        <v>PDF</v>
      </c>
      <c r="K11898" s="12" t="s">
        <v>22396</v>
      </c>
      <c r="L11898" s="20">
        <v>0.27777777777777779</v>
      </c>
    </row>
    <row r="11899" spans="1:12" x14ac:dyDescent="0.45">
      <c r="A11899" s="12" t="s">
        <v>22388</v>
      </c>
      <c r="B11899" s="12" t="s">
        <v>577</v>
      </c>
      <c r="C11899" s="13" t="s">
        <v>578</v>
      </c>
      <c r="D11899" s="13" t="s">
        <v>83</v>
      </c>
      <c r="E11899" s="12" t="s">
        <v>35</v>
      </c>
      <c r="F11899" s="14">
        <v>350000</v>
      </c>
      <c r="G11899" s="14">
        <v>249500</v>
      </c>
      <c r="H11899" s="13" t="s">
        <v>22397</v>
      </c>
      <c r="I11899" s="40" t="s">
        <v>18</v>
      </c>
      <c r="J11899" s="40" t="str">
        <f>HYPERLINK("https://stock.pstatic.net/stock-research/company/2/20250521_company_98040000.pdf","PDF")</f>
        <v>PDF</v>
      </c>
      <c r="K11899" s="12" t="s">
        <v>22398</v>
      </c>
      <c r="L11899" s="20">
        <v>0.4028056112224449</v>
      </c>
    </row>
    <row r="11900" spans="1:12" x14ac:dyDescent="0.45">
      <c r="A11900" s="12" t="s">
        <v>22388</v>
      </c>
      <c r="B11900" s="12" t="s">
        <v>334</v>
      </c>
      <c r="C11900" s="13" t="s">
        <v>335</v>
      </c>
      <c r="D11900" s="13" t="s">
        <v>83</v>
      </c>
      <c r="E11900" s="12" t="s">
        <v>35</v>
      </c>
      <c r="F11900" s="14">
        <v>280000</v>
      </c>
      <c r="G11900" s="14">
        <v>199400</v>
      </c>
      <c r="H11900" s="13" t="s">
        <v>22399</v>
      </c>
      <c r="I11900" s="40" t="s">
        <v>18</v>
      </c>
      <c r="J11900" s="40" t="str">
        <f>HYPERLINK("https://stock.pstatic.net/stock-research/company/2/20250521_company_372913000.pdf","PDF")</f>
        <v>PDF</v>
      </c>
      <c r="K11900" s="12" t="s">
        <v>22400</v>
      </c>
      <c r="L11900" s="20">
        <v>0.40421263791374118</v>
      </c>
    </row>
    <row r="11901" spans="1:12" x14ac:dyDescent="0.45">
      <c r="A11901" s="12" t="s">
        <v>22388</v>
      </c>
      <c r="B11901" s="12" t="s">
        <v>13</v>
      </c>
      <c r="C11901" s="13" t="s">
        <v>14</v>
      </c>
      <c r="D11901" s="13" t="s">
        <v>83</v>
      </c>
      <c r="E11901" s="12" t="s">
        <v>35</v>
      </c>
      <c r="F11901" s="14">
        <v>74000</v>
      </c>
      <c r="G11901" s="14">
        <v>55800</v>
      </c>
      <c r="H11901" s="13" t="s">
        <v>22401</v>
      </c>
      <c r="I11901" s="40" t="s">
        <v>18</v>
      </c>
      <c r="J11901" s="40" t="str">
        <f>HYPERLINK("https://stock.pstatic.net/stock-research/company/2/20250521_company_416588000.pdf","PDF")</f>
        <v>PDF</v>
      </c>
      <c r="K11901" s="12" t="s">
        <v>22402</v>
      </c>
      <c r="L11901" s="20">
        <v>0.32616487455197141</v>
      </c>
    </row>
    <row r="11902" spans="1:12" x14ac:dyDescent="0.45">
      <c r="A11902" s="12" t="s">
        <v>22388</v>
      </c>
      <c r="B11902" s="12" t="s">
        <v>1120</v>
      </c>
      <c r="C11902" s="13" t="s">
        <v>1121</v>
      </c>
      <c r="D11902" s="13" t="s">
        <v>23</v>
      </c>
      <c r="E11902" s="12" t="s">
        <v>16</v>
      </c>
      <c r="F11902" s="14">
        <v>140000</v>
      </c>
      <c r="G11902" s="14">
        <v>116900</v>
      </c>
      <c r="H11902" s="13" t="s">
        <v>16978</v>
      </c>
      <c r="I11902" s="40" t="s">
        <v>18</v>
      </c>
      <c r="J11902" s="40" t="str">
        <f>HYPERLINK("https://stock.pstatic.net/stock-research/company/21/20250521_company_401345000.pdf","PDF")</f>
        <v>PDF</v>
      </c>
      <c r="K11902" s="12" t="s">
        <v>22403</v>
      </c>
      <c r="L11902" s="20">
        <v>0.19760479041916171</v>
      </c>
    </row>
    <row r="11903" spans="1:12" x14ac:dyDescent="0.45">
      <c r="A11903" s="12" t="s">
        <v>22388</v>
      </c>
      <c r="B11903" s="12" t="s">
        <v>1258</v>
      </c>
      <c r="C11903" s="13" t="s">
        <v>1259</v>
      </c>
      <c r="D11903" s="13" t="s">
        <v>23</v>
      </c>
      <c r="E11903" s="12" t="s">
        <v>16</v>
      </c>
      <c r="F11903" s="14">
        <v>460000</v>
      </c>
      <c r="G11903" s="14">
        <v>374500</v>
      </c>
      <c r="H11903" s="13" t="s">
        <v>22404</v>
      </c>
      <c r="I11903" s="40" t="s">
        <v>18</v>
      </c>
      <c r="J11903" s="40" t="str">
        <f>HYPERLINK("https://stock.pstatic.net/stock-research/company/21/20250521_company_278290000.pdf","PDF")</f>
        <v>PDF</v>
      </c>
      <c r="K11903" s="12" t="s">
        <v>22405</v>
      </c>
      <c r="L11903" s="20">
        <v>0.22830440587449929</v>
      </c>
    </row>
    <row r="11904" spans="1:12" x14ac:dyDescent="0.45">
      <c r="A11904" s="12" t="s">
        <v>22388</v>
      </c>
      <c r="B11904" s="12" t="s">
        <v>5654</v>
      </c>
      <c r="C11904" s="13" t="s">
        <v>5655</v>
      </c>
      <c r="D11904" s="13" t="s">
        <v>53</v>
      </c>
      <c r="E11904" s="12" t="s">
        <v>16</v>
      </c>
      <c r="F11904" s="14">
        <v>14000</v>
      </c>
      <c r="G11904" s="14">
        <v>9260</v>
      </c>
      <c r="H11904" s="13" t="s">
        <v>22406</v>
      </c>
      <c r="I11904" s="40" t="s">
        <v>18</v>
      </c>
      <c r="J11904" s="40" t="str">
        <f>HYPERLINK("https://stock.pstatic.net/stock-research/company/40/20250521_company_632173000.pdf","PDF")</f>
        <v>PDF</v>
      </c>
      <c r="K11904" s="12" t="s">
        <v>22407</v>
      </c>
      <c r="L11904" s="20">
        <v>0.51187904967602593</v>
      </c>
    </row>
    <row r="11905" spans="1:12" x14ac:dyDescent="0.45">
      <c r="A11905" s="12" t="s">
        <v>22388</v>
      </c>
      <c r="B11905" s="12" t="s">
        <v>706</v>
      </c>
      <c r="C11905" s="13" t="s">
        <v>707</v>
      </c>
      <c r="D11905" s="13" t="s">
        <v>53</v>
      </c>
      <c r="E11905" s="12" t="s">
        <v>16</v>
      </c>
      <c r="F11905" s="14">
        <v>10000</v>
      </c>
      <c r="G11905" s="14">
        <v>7900</v>
      </c>
      <c r="H11905" s="13" t="s">
        <v>22408</v>
      </c>
      <c r="I11905" s="40" t="s">
        <v>18</v>
      </c>
      <c r="J11905" s="40" t="str">
        <f>HYPERLINK("https://stock.pstatic.net/stock-research/company/40/20250521_company_882583000.pdf","PDF")</f>
        <v>PDF</v>
      </c>
      <c r="K11905" s="12" t="s">
        <v>22409</v>
      </c>
      <c r="L11905" s="20">
        <v>0.26582278481012661</v>
      </c>
    </row>
    <row r="11906" spans="1:12" x14ac:dyDescent="0.45">
      <c r="A11906" s="12" t="s">
        <v>22388</v>
      </c>
      <c r="B11906" s="12" t="s">
        <v>1356</v>
      </c>
      <c r="C11906" s="13" t="s">
        <v>1357</v>
      </c>
      <c r="D11906" s="13" t="s">
        <v>53</v>
      </c>
      <c r="E11906" s="12" t="s">
        <v>16</v>
      </c>
      <c r="F11906" s="14">
        <v>25000</v>
      </c>
      <c r="G11906" s="14">
        <v>19260</v>
      </c>
      <c r="H11906" s="13" t="s">
        <v>22410</v>
      </c>
      <c r="I11906" s="40" t="s">
        <v>18</v>
      </c>
      <c r="J11906" s="40" t="str">
        <f>HYPERLINK("https://stock.pstatic.net/stock-research/company/40/20250521_company_324600000.pdf","PDF")</f>
        <v>PDF</v>
      </c>
      <c r="K11906" s="12" t="s">
        <v>22411</v>
      </c>
      <c r="L11906" s="20">
        <v>0.29802699896157842</v>
      </c>
    </row>
    <row r="11907" spans="1:12" x14ac:dyDescent="0.45">
      <c r="A11907" s="12" t="s">
        <v>22388</v>
      </c>
      <c r="B11907" s="12" t="s">
        <v>2621</v>
      </c>
      <c r="C11907" s="13" t="s">
        <v>2622</v>
      </c>
      <c r="D11907" s="13" t="s">
        <v>124</v>
      </c>
      <c r="E11907" s="12" t="s">
        <v>50</v>
      </c>
      <c r="F11907" s="13"/>
      <c r="G11907" s="13"/>
      <c r="H11907" s="13" t="s">
        <v>22412</v>
      </c>
      <c r="I11907" s="40" t="s">
        <v>18</v>
      </c>
      <c r="J11907" s="40" t="str">
        <f>HYPERLINK("https://stock.pstatic.net/stock-research/company/74/20250521_company_918402000.pdf","PDF")</f>
        <v>PDF</v>
      </c>
      <c r="K11907" s="12" t="s">
        <v>22413</v>
      </c>
    </row>
    <row r="11908" spans="1:12" x14ac:dyDescent="0.45">
      <c r="A11908" s="12" t="s">
        <v>22388</v>
      </c>
      <c r="B11908" s="12" t="s">
        <v>1176</v>
      </c>
      <c r="C11908" s="13" t="s">
        <v>1177</v>
      </c>
      <c r="D11908" s="13" t="s">
        <v>53</v>
      </c>
      <c r="E11908" s="12" t="s">
        <v>16</v>
      </c>
      <c r="F11908" s="14">
        <v>8500</v>
      </c>
      <c r="G11908" s="14">
        <v>6850</v>
      </c>
      <c r="H11908" s="13" t="s">
        <v>22414</v>
      </c>
      <c r="I11908" s="40" t="s">
        <v>18</v>
      </c>
      <c r="J11908" s="40" t="str">
        <f>HYPERLINK("https://stock.pstatic.net/stock-research/company/40/20250521_company_100986000.pdf","PDF")</f>
        <v>PDF</v>
      </c>
      <c r="K11908" s="12" t="s">
        <v>22415</v>
      </c>
      <c r="L11908" s="20">
        <v>0.24087591240875911</v>
      </c>
    </row>
    <row r="11909" spans="1:12" x14ac:dyDescent="0.45">
      <c r="A11909" s="12" t="s">
        <v>22388</v>
      </c>
      <c r="B11909" s="12" t="s">
        <v>2613</v>
      </c>
      <c r="C11909" s="13" t="s">
        <v>2614</v>
      </c>
      <c r="D11909" s="13" t="s">
        <v>15</v>
      </c>
      <c r="E11909" s="12" t="s">
        <v>16</v>
      </c>
      <c r="F11909" s="14">
        <v>480000</v>
      </c>
      <c r="G11909" s="14">
        <v>340500</v>
      </c>
      <c r="H11909" s="13" t="s">
        <v>22416</v>
      </c>
      <c r="I11909" s="40" t="s">
        <v>18</v>
      </c>
      <c r="J11909" s="40" t="str">
        <f>HYPERLINK("https://stock.pstatic.net/stock-research/company/29/20250521_company_586290000.pdf","PDF")</f>
        <v>PDF</v>
      </c>
      <c r="K11909" s="12" t="s">
        <v>22417</v>
      </c>
      <c r="L11909" s="20">
        <v>0.40969162995594721</v>
      </c>
    </row>
    <row r="11910" spans="1:12" x14ac:dyDescent="0.45">
      <c r="A11910" s="12" t="s">
        <v>22388</v>
      </c>
      <c r="B11910" s="12" t="s">
        <v>272</v>
      </c>
      <c r="C11910" s="13" t="s">
        <v>273</v>
      </c>
      <c r="D11910" s="13" t="s">
        <v>15</v>
      </c>
      <c r="E11910" s="12" t="s">
        <v>16</v>
      </c>
      <c r="F11910" s="14">
        <v>520000</v>
      </c>
      <c r="G11910" s="14">
        <v>422500</v>
      </c>
      <c r="H11910" s="13" t="s">
        <v>22418</v>
      </c>
      <c r="I11910" s="40" t="s">
        <v>18</v>
      </c>
      <c r="J11910" s="40" t="str">
        <f>HYPERLINK("https://stock.pstatic.net/stock-research/company/29/20250521_company_107921000.pdf","PDF")</f>
        <v>PDF</v>
      </c>
      <c r="K11910" s="12" t="s">
        <v>22419</v>
      </c>
      <c r="L11910" s="20">
        <v>0.23076923076923081</v>
      </c>
    </row>
    <row r="11911" spans="1:12" x14ac:dyDescent="0.45">
      <c r="A11911" s="12" t="s">
        <v>22388</v>
      </c>
      <c r="B11911" s="12" t="s">
        <v>1694</v>
      </c>
      <c r="C11911" s="13" t="s">
        <v>1695</v>
      </c>
      <c r="D11911" s="13" t="s">
        <v>15</v>
      </c>
      <c r="E11911" s="12" t="s">
        <v>16</v>
      </c>
      <c r="F11911" s="14">
        <v>83000</v>
      </c>
      <c r="G11911" s="14">
        <v>60000</v>
      </c>
      <c r="H11911" s="13" t="s">
        <v>22420</v>
      </c>
      <c r="I11911" s="40" t="s">
        <v>18</v>
      </c>
      <c r="J11911" s="40" t="str">
        <f>HYPERLINK("https://stock.pstatic.net/stock-research/company/1/20250521_company_614364000.pdf","PDF")</f>
        <v>PDF</v>
      </c>
      <c r="K11911" s="12" t="s">
        <v>22421</v>
      </c>
      <c r="L11911" s="20">
        <v>0.38333333333333341</v>
      </c>
    </row>
    <row r="11912" spans="1:12" x14ac:dyDescent="0.45">
      <c r="A11912" s="12" t="s">
        <v>22388</v>
      </c>
      <c r="B11912" s="12" t="s">
        <v>677</v>
      </c>
      <c r="C11912" s="13" t="s">
        <v>678</v>
      </c>
      <c r="D11912" s="13" t="s">
        <v>15</v>
      </c>
      <c r="E11912" s="12" t="s">
        <v>16</v>
      </c>
      <c r="F11912" s="14">
        <v>13000</v>
      </c>
      <c r="G11912" s="14">
        <v>10230</v>
      </c>
      <c r="H11912" s="13" t="s">
        <v>22422</v>
      </c>
      <c r="I11912" s="40" t="s">
        <v>18</v>
      </c>
      <c r="J11912" s="40" t="str">
        <f>HYPERLINK("https://stock.pstatic.net/stock-research/company/29/20250521_company_275822000.pdf","PDF")</f>
        <v>PDF</v>
      </c>
      <c r="K11912" s="12" t="s">
        <v>22423</v>
      </c>
      <c r="L11912" s="20">
        <v>0.27077223851417398</v>
      </c>
    </row>
    <row r="11913" spans="1:12" x14ac:dyDescent="0.45">
      <c r="A11913" s="12" t="s">
        <v>22424</v>
      </c>
      <c r="B11913" s="12" t="s">
        <v>2950</v>
      </c>
      <c r="C11913" s="13" t="s">
        <v>2951</v>
      </c>
      <c r="D11913" s="13" t="s">
        <v>83</v>
      </c>
      <c r="E11913" s="12" t="s">
        <v>35</v>
      </c>
      <c r="F11913" s="14">
        <v>38000</v>
      </c>
      <c r="G11913" s="14">
        <v>34600</v>
      </c>
      <c r="H11913" s="13" t="s">
        <v>22425</v>
      </c>
      <c r="I11913" s="40" t="s">
        <v>18</v>
      </c>
      <c r="J11913" s="40" t="str">
        <f>HYPERLINK("https://stock.pstatic.net/stock-research/company/2/20250520_company_707400000.pdf","PDF")</f>
        <v>PDF</v>
      </c>
      <c r="K11913" s="12" t="s">
        <v>22426</v>
      </c>
      <c r="L11913" s="20">
        <v>9.8265895953757232E-2</v>
      </c>
    </row>
    <row r="11914" spans="1:12" x14ac:dyDescent="0.45">
      <c r="A11914" s="12" t="s">
        <v>22424</v>
      </c>
      <c r="B11914" s="12" t="s">
        <v>1946</v>
      </c>
      <c r="C11914" s="13" t="s">
        <v>1947</v>
      </c>
      <c r="D11914" s="13" t="s">
        <v>15</v>
      </c>
      <c r="E11914" s="12" t="s">
        <v>16</v>
      </c>
      <c r="F11914" s="14">
        <v>23000</v>
      </c>
      <c r="G11914" s="14">
        <v>20450</v>
      </c>
      <c r="H11914" s="13" t="s">
        <v>22427</v>
      </c>
      <c r="I11914" s="40" t="s">
        <v>18</v>
      </c>
      <c r="J11914" s="40" t="str">
        <f>HYPERLINK("https://stock.pstatic.net/stock-research/company/29/20250520_company_668470000.pdf","PDF")</f>
        <v>PDF</v>
      </c>
      <c r="K11914" s="12" t="s">
        <v>22428</v>
      </c>
      <c r="L11914" s="20">
        <v>0.12469437652811741</v>
      </c>
    </row>
    <row r="11915" spans="1:12" x14ac:dyDescent="0.45">
      <c r="A11915" s="12" t="s">
        <v>22424</v>
      </c>
      <c r="B11915" s="12" t="s">
        <v>13568</v>
      </c>
      <c r="C11915" s="13" t="s">
        <v>13569</v>
      </c>
      <c r="D11915" s="13" t="s">
        <v>57</v>
      </c>
      <c r="E11915" s="12" t="s">
        <v>35</v>
      </c>
      <c r="F11915" s="14">
        <v>6700</v>
      </c>
      <c r="G11915" s="14">
        <v>5470</v>
      </c>
      <c r="H11915" s="13" t="s">
        <v>22429</v>
      </c>
      <c r="I11915" s="40" t="s">
        <v>18</v>
      </c>
      <c r="J11915" s="40" t="str">
        <f>HYPERLINK("https://stock.pstatic.net/stock-research/company/16/20250520_company_662646000.pdf","PDF")</f>
        <v>PDF</v>
      </c>
      <c r="K11915" s="12" t="s">
        <v>22430</v>
      </c>
      <c r="L11915" s="20">
        <v>0.2248628884826325</v>
      </c>
    </row>
    <row r="11916" spans="1:12" x14ac:dyDescent="0.45">
      <c r="A11916" s="12" t="s">
        <v>22424</v>
      </c>
      <c r="B11916" s="12" t="s">
        <v>3154</v>
      </c>
      <c r="C11916" s="13" t="s">
        <v>3155</v>
      </c>
      <c r="D11916" s="13" t="s">
        <v>57</v>
      </c>
      <c r="E11916" s="12" t="s">
        <v>35</v>
      </c>
      <c r="F11916" s="14">
        <v>7200</v>
      </c>
      <c r="G11916" s="14">
        <v>4810</v>
      </c>
      <c r="H11916" s="13" t="s">
        <v>22431</v>
      </c>
      <c r="I11916" s="40" t="s">
        <v>18</v>
      </c>
      <c r="J11916" s="40" t="str">
        <f>HYPERLINK("https://stock.pstatic.net/stock-research/company/16/20250520_company_67124000.pdf","PDF")</f>
        <v>PDF</v>
      </c>
      <c r="K11916" s="12" t="s">
        <v>22432</v>
      </c>
      <c r="L11916" s="20">
        <v>0.49688149688149691</v>
      </c>
    </row>
    <row r="11917" spans="1:12" x14ac:dyDescent="0.45">
      <c r="A11917" s="12" t="s">
        <v>22424</v>
      </c>
      <c r="B11917" s="12" t="s">
        <v>383</v>
      </c>
      <c r="C11917" s="13" t="s">
        <v>384</v>
      </c>
      <c r="D11917" s="13" t="s">
        <v>276</v>
      </c>
      <c r="E11917" s="12" t="s">
        <v>16</v>
      </c>
      <c r="F11917" s="14">
        <v>58000</v>
      </c>
      <c r="G11917" s="14">
        <v>48650</v>
      </c>
      <c r="H11917" s="13" t="s">
        <v>22433</v>
      </c>
      <c r="I11917" s="40" t="s">
        <v>18</v>
      </c>
      <c r="J11917" s="40" t="str">
        <f>HYPERLINK("https://stock.pstatic.net/stock-research/company/66/20250520_company_437205000.pdf","PDF")</f>
        <v>PDF</v>
      </c>
      <c r="K11917" s="12" t="s">
        <v>22434</v>
      </c>
      <c r="L11917" s="20">
        <v>0.19218910585817059</v>
      </c>
    </row>
    <row r="11918" spans="1:12" x14ac:dyDescent="0.45">
      <c r="A11918" s="12" t="s">
        <v>22424</v>
      </c>
      <c r="B11918" s="12" t="s">
        <v>6213</v>
      </c>
      <c r="C11918" s="13" t="s">
        <v>6214</v>
      </c>
      <c r="D11918" s="13" t="s">
        <v>276</v>
      </c>
      <c r="E11918" s="12" t="s">
        <v>16</v>
      </c>
      <c r="F11918" s="14">
        <v>17500</v>
      </c>
      <c r="G11918" s="14">
        <v>9490</v>
      </c>
      <c r="H11918" s="13" t="s">
        <v>22435</v>
      </c>
      <c r="I11918" s="40" t="s">
        <v>18</v>
      </c>
      <c r="J11918" s="40" t="str">
        <f>HYPERLINK("https://stock.pstatic.net/stock-research/company/66/20250520_company_935734000.pdf","PDF")</f>
        <v>PDF</v>
      </c>
      <c r="K11918" s="12" t="s">
        <v>22436</v>
      </c>
      <c r="L11918" s="20">
        <v>0.84404636459430982</v>
      </c>
    </row>
    <row r="11919" spans="1:12" x14ac:dyDescent="0.45">
      <c r="A11919" s="12" t="s">
        <v>22424</v>
      </c>
      <c r="B11919" s="12" t="s">
        <v>649</v>
      </c>
      <c r="C11919" s="13" t="s">
        <v>650</v>
      </c>
      <c r="D11919" s="13" t="s">
        <v>276</v>
      </c>
      <c r="E11919" s="12" t="s">
        <v>16</v>
      </c>
      <c r="F11919" s="14">
        <v>5200</v>
      </c>
      <c r="G11919" s="14">
        <v>4265</v>
      </c>
      <c r="H11919" s="13" t="s">
        <v>22437</v>
      </c>
      <c r="I11919" s="40" t="s">
        <v>18</v>
      </c>
      <c r="J11919" s="40" t="str">
        <f>HYPERLINK("https://stock.pstatic.net/stock-research/company/66/20250520_company_855495000.pdf","PDF")</f>
        <v>PDF</v>
      </c>
      <c r="K11919" s="12" t="s">
        <v>22438</v>
      </c>
      <c r="L11919" s="20">
        <v>0.21922626025791331</v>
      </c>
    </row>
    <row r="11920" spans="1:12" x14ac:dyDescent="0.45">
      <c r="A11920" s="12" t="s">
        <v>22424</v>
      </c>
      <c r="B11920" s="12" t="s">
        <v>22439</v>
      </c>
      <c r="C11920" s="13" t="s">
        <v>22440</v>
      </c>
      <c r="D11920" s="13" t="s">
        <v>276</v>
      </c>
      <c r="E11920" s="12" t="s">
        <v>16</v>
      </c>
      <c r="F11920" s="14">
        <v>2700</v>
      </c>
      <c r="G11920" s="14">
        <v>2325</v>
      </c>
      <c r="H11920" s="13" t="s">
        <v>22441</v>
      </c>
      <c r="I11920" s="40" t="s">
        <v>18</v>
      </c>
      <c r="J11920" s="40" t="str">
        <f>HYPERLINK("https://stock.pstatic.net/stock-research/company/66/20250520_company_691451000.pdf","PDF")</f>
        <v>PDF</v>
      </c>
      <c r="K11920" s="12" t="s">
        <v>22442</v>
      </c>
      <c r="L11920" s="20">
        <v>0.16129032258064521</v>
      </c>
    </row>
    <row r="11921" spans="1:12" x14ac:dyDescent="0.45">
      <c r="A11921" s="12" t="s">
        <v>22424</v>
      </c>
      <c r="B11921" s="12" t="s">
        <v>19984</v>
      </c>
      <c r="C11921" s="13" t="s">
        <v>19985</v>
      </c>
      <c r="D11921" s="13" t="s">
        <v>92</v>
      </c>
      <c r="E11921" s="12" t="s">
        <v>50</v>
      </c>
      <c r="F11921" s="13"/>
      <c r="G11921" s="14">
        <v>88600</v>
      </c>
      <c r="H11921" s="13" t="s">
        <v>22443</v>
      </c>
      <c r="I11921" s="40" t="s">
        <v>18</v>
      </c>
      <c r="J11921" s="40" t="str">
        <f>HYPERLINK("https://stock.pstatic.net/stock-research/company/63/20250520_company_488770000.pdf","PDF")</f>
        <v>PDF</v>
      </c>
      <c r="K11921" s="12" t="s">
        <v>22444</v>
      </c>
    </row>
    <row r="11922" spans="1:12" x14ac:dyDescent="0.45">
      <c r="A11922" s="12" t="s">
        <v>22424</v>
      </c>
      <c r="B11922" s="12" t="s">
        <v>981</v>
      </c>
      <c r="C11922" s="13" t="s">
        <v>982</v>
      </c>
      <c r="D11922" s="13" t="s">
        <v>92</v>
      </c>
      <c r="E11922" s="12" t="s">
        <v>50</v>
      </c>
      <c r="F11922" s="13"/>
      <c r="G11922" s="14">
        <v>20150</v>
      </c>
      <c r="H11922" s="13" t="s">
        <v>22445</v>
      </c>
      <c r="I11922" s="40" t="s">
        <v>18</v>
      </c>
      <c r="J11922" s="40" t="str">
        <f>HYPERLINK("https://stock.pstatic.net/stock-research/company/63/20250520_company_322853000.pdf","PDF")</f>
        <v>PDF</v>
      </c>
      <c r="K11922" s="12" t="s">
        <v>22446</v>
      </c>
    </row>
    <row r="11923" spans="1:12" x14ac:dyDescent="0.45">
      <c r="A11923" s="12" t="s">
        <v>22424</v>
      </c>
      <c r="B11923" s="12" t="s">
        <v>10956</v>
      </c>
      <c r="C11923" s="13" t="s">
        <v>10957</v>
      </c>
      <c r="D11923" s="13" t="s">
        <v>92</v>
      </c>
      <c r="E11923" s="12" t="s">
        <v>50</v>
      </c>
      <c r="F11923" s="13"/>
      <c r="G11923" s="14">
        <v>9090</v>
      </c>
      <c r="H11923" s="13" t="s">
        <v>22447</v>
      </c>
      <c r="I11923" s="40" t="s">
        <v>18</v>
      </c>
      <c r="J11923" s="40" t="str">
        <f>HYPERLINK("https://stock.pstatic.net/stock-research/company/63/20250520_company_710427000.pdf","PDF")</f>
        <v>PDF</v>
      </c>
      <c r="K11923" s="12" t="s">
        <v>22448</v>
      </c>
    </row>
    <row r="11924" spans="1:12" x14ac:dyDescent="0.45">
      <c r="A11924" s="12" t="s">
        <v>22424</v>
      </c>
      <c r="B11924" s="12" t="s">
        <v>255</v>
      </c>
      <c r="C11924" s="13" t="s">
        <v>256</v>
      </c>
      <c r="D11924" s="13" t="s">
        <v>44</v>
      </c>
      <c r="E11924" s="12" t="s">
        <v>35</v>
      </c>
      <c r="F11924" s="14">
        <v>23000</v>
      </c>
      <c r="G11924" s="14">
        <v>16950</v>
      </c>
      <c r="H11924" s="13" t="s">
        <v>11890</v>
      </c>
      <c r="I11924" s="40" t="s">
        <v>18</v>
      </c>
      <c r="J11924" s="40" t="str">
        <f>HYPERLINK("https://stock.pstatic.net/stock-research/company/39/20250520_company_195950000.pdf","PDF")</f>
        <v>PDF</v>
      </c>
      <c r="K11924" s="12" t="s">
        <v>22449</v>
      </c>
      <c r="L11924" s="20">
        <v>0.35693215339233042</v>
      </c>
    </row>
    <row r="11925" spans="1:12" x14ac:dyDescent="0.45">
      <c r="A11925" s="12" t="s">
        <v>22424</v>
      </c>
      <c r="B11925" s="12" t="s">
        <v>1562</v>
      </c>
      <c r="C11925" s="13" t="s">
        <v>1563</v>
      </c>
      <c r="D11925" s="13" t="s">
        <v>53</v>
      </c>
      <c r="E11925" s="12" t="s">
        <v>16</v>
      </c>
      <c r="F11925" s="14">
        <v>33000</v>
      </c>
      <c r="G11925" s="14">
        <v>22350</v>
      </c>
      <c r="H11925" s="13" t="s">
        <v>22450</v>
      </c>
      <c r="I11925" s="40" t="s">
        <v>18</v>
      </c>
      <c r="J11925" s="40" t="str">
        <f>HYPERLINK("https://stock.pstatic.net/stock-research/company/40/20250520_company_113528000.pdf","PDF")</f>
        <v>PDF</v>
      </c>
      <c r="K11925" s="12" t="s">
        <v>22451</v>
      </c>
      <c r="L11925" s="20">
        <v>0.47651006711409388</v>
      </c>
    </row>
    <row r="11926" spans="1:12" x14ac:dyDescent="0.45">
      <c r="A11926" s="12" t="s">
        <v>22424</v>
      </c>
      <c r="B11926" s="12" t="s">
        <v>8706</v>
      </c>
      <c r="C11926" s="13" t="s">
        <v>8707</v>
      </c>
      <c r="D11926" s="13" t="s">
        <v>53</v>
      </c>
      <c r="E11926" s="12" t="s">
        <v>16</v>
      </c>
      <c r="F11926" s="14">
        <v>76000</v>
      </c>
      <c r="G11926" s="14">
        <v>50300</v>
      </c>
      <c r="H11926" s="13" t="s">
        <v>22452</v>
      </c>
      <c r="I11926" s="40" t="s">
        <v>18</v>
      </c>
      <c r="J11926" s="40" t="str">
        <f>HYPERLINK("https://stock.pstatic.net/stock-research/company/40/20250520_company_22473000.pdf","PDF")</f>
        <v>PDF</v>
      </c>
      <c r="K11926" s="12" t="s">
        <v>22453</v>
      </c>
      <c r="L11926" s="20">
        <v>0.51093439363817095</v>
      </c>
    </row>
    <row r="11927" spans="1:12" x14ac:dyDescent="0.45">
      <c r="A11927" s="12" t="s">
        <v>22454</v>
      </c>
      <c r="B11927" s="12" t="s">
        <v>21</v>
      </c>
      <c r="C11927" s="13" t="s">
        <v>22</v>
      </c>
      <c r="D11927" s="13" t="s">
        <v>1271</v>
      </c>
      <c r="E11927" s="12" t="s">
        <v>35</v>
      </c>
      <c r="F11927" s="14">
        <v>26000</v>
      </c>
      <c r="G11927" s="14">
        <v>22150</v>
      </c>
      <c r="H11927" s="13" t="s">
        <v>22455</v>
      </c>
      <c r="I11927" s="40" t="s">
        <v>18</v>
      </c>
      <c r="J11927" s="40" t="str">
        <f>HYPERLINK("https://stock.pstatic.net/stock-research/company/78/20250519_company_184353000.pdf","PDF")</f>
        <v>PDF</v>
      </c>
      <c r="K11927" s="12" t="s">
        <v>22456</v>
      </c>
      <c r="L11927" s="20">
        <v>0.17381489841986461</v>
      </c>
    </row>
    <row r="11928" spans="1:12" x14ac:dyDescent="0.45">
      <c r="A11928" s="12" t="s">
        <v>22454</v>
      </c>
      <c r="B11928" s="12" t="s">
        <v>2262</v>
      </c>
      <c r="C11928" s="13" t="s">
        <v>2263</v>
      </c>
      <c r="D11928" s="13" t="s">
        <v>1271</v>
      </c>
      <c r="E11928" s="12" t="s">
        <v>35</v>
      </c>
      <c r="F11928" s="14">
        <v>11500</v>
      </c>
      <c r="G11928" s="14">
        <v>9640</v>
      </c>
      <c r="H11928" s="13" t="s">
        <v>22457</v>
      </c>
      <c r="I11928" s="40" t="s">
        <v>18</v>
      </c>
      <c r="J11928" s="40" t="str">
        <f>HYPERLINK("https://stock.pstatic.net/stock-research/company/78/20250519_company_184611000.pdf","PDF")</f>
        <v>PDF</v>
      </c>
      <c r="K11928" s="12" t="s">
        <v>22458</v>
      </c>
      <c r="L11928" s="20">
        <v>0.19294605809128629</v>
      </c>
    </row>
    <row r="11929" spans="1:12" x14ac:dyDescent="0.45">
      <c r="A11929" s="12" t="s">
        <v>22454</v>
      </c>
      <c r="B11929" s="12" t="s">
        <v>1849</v>
      </c>
      <c r="C11929" s="13" t="s">
        <v>1850</v>
      </c>
      <c r="D11929" s="13" t="s">
        <v>1271</v>
      </c>
      <c r="E11929" s="12" t="s">
        <v>35</v>
      </c>
      <c r="F11929" s="14">
        <v>25000</v>
      </c>
      <c r="G11929" s="14">
        <v>18240</v>
      </c>
      <c r="H11929" s="13" t="s">
        <v>22459</v>
      </c>
      <c r="I11929" s="40" t="s">
        <v>18</v>
      </c>
      <c r="J11929" s="40" t="str">
        <f>HYPERLINK("https://stock.pstatic.net/stock-research/company/78/20250519_company_833108000.pdf","PDF")</f>
        <v>PDF</v>
      </c>
      <c r="K11929" s="12" t="s">
        <v>22460</v>
      </c>
      <c r="L11929" s="20">
        <v>0.37061403508771928</v>
      </c>
    </row>
    <row r="11930" spans="1:12" x14ac:dyDescent="0.45">
      <c r="A11930" s="12" t="s">
        <v>22454</v>
      </c>
      <c r="B11930" s="12" t="s">
        <v>1682</v>
      </c>
      <c r="C11930" s="13" t="s">
        <v>4787</v>
      </c>
      <c r="D11930" s="13" t="s">
        <v>1271</v>
      </c>
      <c r="E11930" s="12" t="s">
        <v>35</v>
      </c>
      <c r="F11930" s="14">
        <v>200000</v>
      </c>
      <c r="G11930" s="14">
        <v>158500</v>
      </c>
      <c r="H11930" s="13" t="s">
        <v>22461</v>
      </c>
      <c r="I11930" s="40" t="s">
        <v>18</v>
      </c>
      <c r="J11930" s="40" t="str">
        <f>HYPERLINK("https://stock.pstatic.net/stock-research/company/78/20250519_company_60247000.pdf","PDF")</f>
        <v>PDF</v>
      </c>
      <c r="K11930" s="12" t="s">
        <v>22462</v>
      </c>
      <c r="L11930" s="20">
        <v>0.26182965299684541</v>
      </c>
    </row>
    <row r="11931" spans="1:12" x14ac:dyDescent="0.45">
      <c r="A11931" s="12" t="s">
        <v>22454</v>
      </c>
      <c r="B11931" s="12" t="s">
        <v>1350</v>
      </c>
      <c r="C11931" s="13" t="s">
        <v>1351</v>
      </c>
      <c r="D11931" s="13" t="s">
        <v>1271</v>
      </c>
      <c r="E11931" s="12" t="s">
        <v>35</v>
      </c>
      <c r="F11931" s="14">
        <v>56000</v>
      </c>
      <c r="G11931" s="14">
        <v>43600</v>
      </c>
      <c r="H11931" s="13" t="s">
        <v>22463</v>
      </c>
      <c r="I11931" s="40" t="s">
        <v>18</v>
      </c>
      <c r="J11931" s="40" t="str">
        <f>HYPERLINK("https://stock.pstatic.net/stock-research/company/78/20250519_company_380059000.pdf","PDF")</f>
        <v>PDF</v>
      </c>
      <c r="K11931" s="12" t="s">
        <v>22464</v>
      </c>
      <c r="L11931" s="20">
        <v>0.28440366972477071</v>
      </c>
    </row>
    <row r="11932" spans="1:12" x14ac:dyDescent="0.45">
      <c r="A11932" s="12" t="s">
        <v>22454</v>
      </c>
      <c r="B11932" s="12" t="s">
        <v>888</v>
      </c>
      <c r="C11932" s="13" t="s">
        <v>889</v>
      </c>
      <c r="D11932" s="13" t="s">
        <v>1271</v>
      </c>
      <c r="E11932" s="12" t="s">
        <v>35</v>
      </c>
      <c r="F11932" s="14">
        <v>68000</v>
      </c>
      <c r="G11932" s="14">
        <v>52800</v>
      </c>
      <c r="H11932" s="13" t="s">
        <v>22465</v>
      </c>
      <c r="I11932" s="40" t="s">
        <v>18</v>
      </c>
      <c r="J11932" s="40" t="str">
        <f>HYPERLINK("https://stock.pstatic.net/stock-research/company/78/20250519_company_217081000.pdf","PDF")</f>
        <v>PDF</v>
      </c>
      <c r="K11932" s="12" t="s">
        <v>22466</v>
      </c>
      <c r="L11932" s="20">
        <v>0.2878787878787879</v>
      </c>
    </row>
    <row r="11933" spans="1:12" x14ac:dyDescent="0.45">
      <c r="A11933" s="12" t="s">
        <v>22454</v>
      </c>
      <c r="B11933" s="12" t="s">
        <v>1415</v>
      </c>
      <c r="C11933" s="13" t="s">
        <v>1416</v>
      </c>
      <c r="D11933" s="13" t="s">
        <v>1271</v>
      </c>
      <c r="E11933" s="12" t="s">
        <v>35</v>
      </c>
      <c r="F11933" s="14">
        <v>4800</v>
      </c>
      <c r="G11933" s="14">
        <v>4140</v>
      </c>
      <c r="H11933" s="13" t="s">
        <v>22467</v>
      </c>
      <c r="I11933" s="40" t="s">
        <v>18</v>
      </c>
      <c r="J11933" s="40" t="str">
        <f>HYPERLINK("https://stock.pstatic.net/stock-research/company/78/20250519_company_987204000.pdf","PDF")</f>
        <v>PDF</v>
      </c>
      <c r="K11933" s="12" t="s">
        <v>22468</v>
      </c>
      <c r="L11933" s="20">
        <v>0.15942028985507251</v>
      </c>
    </row>
    <row r="11934" spans="1:12" x14ac:dyDescent="0.45">
      <c r="A11934" s="12" t="s">
        <v>22454</v>
      </c>
      <c r="B11934" s="12" t="s">
        <v>537</v>
      </c>
      <c r="C11934" s="13" t="s">
        <v>538</v>
      </c>
      <c r="D11934" s="13" t="s">
        <v>1271</v>
      </c>
      <c r="E11934" s="12" t="s">
        <v>35</v>
      </c>
      <c r="F11934" s="14">
        <v>15000</v>
      </c>
      <c r="G11934" s="14">
        <v>12490</v>
      </c>
      <c r="H11934" s="13" t="s">
        <v>22469</v>
      </c>
      <c r="I11934" s="40" t="s">
        <v>18</v>
      </c>
      <c r="J11934" s="40" t="str">
        <f>HYPERLINK("https://stock.pstatic.net/stock-research/company/78/20250519_company_259811000.pdf","PDF")</f>
        <v>PDF</v>
      </c>
      <c r="K11934" s="12" t="s">
        <v>22470</v>
      </c>
      <c r="L11934" s="20">
        <v>0.2009607686148919</v>
      </c>
    </row>
    <row r="11935" spans="1:12" x14ac:dyDescent="0.45">
      <c r="A11935" s="12" t="s">
        <v>22454</v>
      </c>
      <c r="B11935" s="12" t="s">
        <v>259</v>
      </c>
      <c r="C11935" s="13" t="s">
        <v>260</v>
      </c>
      <c r="D11935" s="13" t="s">
        <v>1271</v>
      </c>
      <c r="E11935" s="12" t="s">
        <v>35</v>
      </c>
      <c r="F11935" s="14">
        <v>87000</v>
      </c>
      <c r="G11935" s="14">
        <v>69100</v>
      </c>
      <c r="H11935" s="13" t="s">
        <v>22471</v>
      </c>
      <c r="I11935" s="40" t="s">
        <v>18</v>
      </c>
      <c r="J11935" s="40" t="str">
        <f>HYPERLINK("https://stock.pstatic.net/stock-research/company/78/20250519_company_178004000.pdf","PDF")</f>
        <v>PDF</v>
      </c>
      <c r="K11935" s="12" t="s">
        <v>22472</v>
      </c>
      <c r="L11935" s="20">
        <v>0.25904486251808972</v>
      </c>
    </row>
    <row r="11936" spans="1:12" x14ac:dyDescent="0.45">
      <c r="A11936" s="12" t="s">
        <v>22454</v>
      </c>
      <c r="B11936" s="12" t="s">
        <v>1678</v>
      </c>
      <c r="C11936" s="13" t="s">
        <v>1679</v>
      </c>
      <c r="D11936" s="13" t="s">
        <v>1271</v>
      </c>
      <c r="E11936" s="12" t="s">
        <v>35</v>
      </c>
      <c r="F11936" s="14">
        <v>72000</v>
      </c>
      <c r="G11936" s="14">
        <v>55800</v>
      </c>
      <c r="H11936" s="13" t="s">
        <v>22473</v>
      </c>
      <c r="I11936" s="40" t="s">
        <v>18</v>
      </c>
      <c r="J11936" s="40" t="str">
        <f>HYPERLINK("https://stock.pstatic.net/stock-research/company/78/20250519_company_743366000.pdf","PDF")</f>
        <v>PDF</v>
      </c>
      <c r="K11936" s="12" t="s">
        <v>22474</v>
      </c>
      <c r="L11936" s="20">
        <v>0.29032258064516131</v>
      </c>
    </row>
    <row r="11937" spans="1:12" x14ac:dyDescent="0.45">
      <c r="A11937" s="12" t="s">
        <v>22454</v>
      </c>
      <c r="B11937" s="12" t="s">
        <v>1946</v>
      </c>
      <c r="C11937" s="13" t="s">
        <v>1947</v>
      </c>
      <c r="D11937" s="13" t="s">
        <v>276</v>
      </c>
      <c r="E11937" s="12" t="s">
        <v>16</v>
      </c>
      <c r="F11937" s="14">
        <v>25000</v>
      </c>
      <c r="G11937" s="14">
        <v>19700</v>
      </c>
      <c r="H11937" s="13" t="s">
        <v>22475</v>
      </c>
      <c r="I11937" s="40" t="s">
        <v>18</v>
      </c>
      <c r="J11937" s="40" t="str">
        <f>HYPERLINK("https://stock.pstatic.net/stock-research/company/66/20250519_company_228885000.pdf","PDF")</f>
        <v>PDF</v>
      </c>
      <c r="K11937" s="12" t="s">
        <v>22476</v>
      </c>
      <c r="L11937" s="20">
        <v>0.26903553299492378</v>
      </c>
    </row>
    <row r="11938" spans="1:12" x14ac:dyDescent="0.45">
      <c r="A11938" s="12" t="s">
        <v>22454</v>
      </c>
      <c r="B11938" s="12" t="s">
        <v>1946</v>
      </c>
      <c r="C11938" s="13" t="s">
        <v>1947</v>
      </c>
      <c r="D11938" s="13" t="s">
        <v>65</v>
      </c>
      <c r="E11938" s="12" t="s">
        <v>35</v>
      </c>
      <c r="F11938" s="14">
        <v>25000</v>
      </c>
      <c r="G11938" s="14">
        <v>19700</v>
      </c>
      <c r="H11938" s="13" t="s">
        <v>22477</v>
      </c>
      <c r="I11938" s="40" t="s">
        <v>18</v>
      </c>
      <c r="J11938" s="40" t="str">
        <f>HYPERLINK("https://stock.pstatic.net/stock-research/company/57/20250519_company_35957000.pdf","PDF")</f>
        <v>PDF</v>
      </c>
      <c r="K11938" s="12" t="s">
        <v>22478</v>
      </c>
      <c r="L11938" s="20">
        <v>0.26903553299492378</v>
      </c>
    </row>
    <row r="11939" spans="1:12" x14ac:dyDescent="0.45">
      <c r="A11939" s="12" t="s">
        <v>22454</v>
      </c>
      <c r="B11939" s="12" t="s">
        <v>1162</v>
      </c>
      <c r="C11939" s="13" t="s">
        <v>1163</v>
      </c>
      <c r="D11939" s="13" t="s">
        <v>65</v>
      </c>
      <c r="E11939" s="12" t="s">
        <v>35</v>
      </c>
      <c r="F11939" s="14">
        <v>180000</v>
      </c>
      <c r="G11939" s="14">
        <v>124500</v>
      </c>
      <c r="H11939" s="13" t="s">
        <v>22479</v>
      </c>
      <c r="I11939" s="40" t="s">
        <v>18</v>
      </c>
      <c r="J11939" s="40" t="str">
        <f>HYPERLINK("https://stock.pstatic.net/stock-research/company/57/20250519_company_473763000.pdf","PDF")</f>
        <v>PDF</v>
      </c>
      <c r="K11939" s="12" t="s">
        <v>22480</v>
      </c>
      <c r="L11939" s="20">
        <v>0.44578313253012047</v>
      </c>
    </row>
    <row r="11940" spans="1:12" x14ac:dyDescent="0.45">
      <c r="A11940" s="12" t="s">
        <v>22454</v>
      </c>
      <c r="B11940" s="12" t="s">
        <v>4172</v>
      </c>
      <c r="C11940" s="13" t="s">
        <v>4173</v>
      </c>
      <c r="D11940" s="13" t="s">
        <v>65</v>
      </c>
      <c r="E11940" s="12" t="s">
        <v>50</v>
      </c>
      <c r="F11940" s="13"/>
      <c r="G11940" s="14">
        <v>8230</v>
      </c>
      <c r="H11940" s="13" t="s">
        <v>22481</v>
      </c>
      <c r="I11940" s="40" t="s">
        <v>18</v>
      </c>
      <c r="J11940" s="40" t="str">
        <f>HYPERLINK("https://stock.pstatic.net/stock-research/company/57/20250519_company_784896000.pdf","PDF")</f>
        <v>PDF</v>
      </c>
      <c r="K11940" s="12" t="s">
        <v>22482</v>
      </c>
    </row>
    <row r="11941" spans="1:12" x14ac:dyDescent="0.45">
      <c r="A11941" s="12" t="s">
        <v>22454</v>
      </c>
      <c r="B11941" s="12" t="s">
        <v>22483</v>
      </c>
      <c r="C11941" s="13" t="s">
        <v>22484</v>
      </c>
      <c r="D11941" s="13" t="s">
        <v>65</v>
      </c>
      <c r="E11941" s="12" t="s">
        <v>50</v>
      </c>
      <c r="F11941" s="13"/>
      <c r="G11941" s="14">
        <v>11260</v>
      </c>
      <c r="H11941" s="13" t="s">
        <v>22485</v>
      </c>
      <c r="I11941" s="40" t="s">
        <v>18</v>
      </c>
      <c r="J11941" s="40" t="str">
        <f>HYPERLINK("https://stock.pstatic.net/stock-research/company/57/20250519_company_911525000.pdf","PDF")</f>
        <v>PDF</v>
      </c>
      <c r="K11941" s="12" t="s">
        <v>22486</v>
      </c>
    </row>
    <row r="11942" spans="1:12" x14ac:dyDescent="0.45">
      <c r="A11942" s="12" t="s">
        <v>22454</v>
      </c>
      <c r="B11942" s="12" t="s">
        <v>22487</v>
      </c>
      <c r="C11942" s="13" t="s">
        <v>22488</v>
      </c>
      <c r="D11942" s="13" t="s">
        <v>65</v>
      </c>
      <c r="E11942" s="12" t="s">
        <v>50</v>
      </c>
      <c r="F11942" s="13"/>
      <c r="G11942" s="14">
        <v>8100</v>
      </c>
      <c r="H11942" s="13" t="s">
        <v>22489</v>
      </c>
      <c r="I11942" s="40" t="s">
        <v>18</v>
      </c>
      <c r="J11942" s="40" t="str">
        <f>HYPERLINK("https://stock.pstatic.net/stock-research/company/57/20250519_company_51081000.pdf","PDF")</f>
        <v>PDF</v>
      </c>
      <c r="K11942" s="12" t="s">
        <v>22490</v>
      </c>
    </row>
    <row r="11943" spans="1:12" x14ac:dyDescent="0.45">
      <c r="A11943" s="12" t="s">
        <v>22454</v>
      </c>
      <c r="B11943" s="12" t="s">
        <v>11448</v>
      </c>
      <c r="C11943" s="13" t="s">
        <v>11449</v>
      </c>
      <c r="D11943" s="13" t="s">
        <v>65</v>
      </c>
      <c r="E11943" s="12" t="s">
        <v>50</v>
      </c>
      <c r="F11943" s="13"/>
      <c r="G11943" s="14">
        <v>69500</v>
      </c>
      <c r="H11943" s="13" t="s">
        <v>22491</v>
      </c>
      <c r="I11943" s="40" t="s">
        <v>18</v>
      </c>
      <c r="J11943" s="40" t="str">
        <f>HYPERLINK("https://stock.pstatic.net/stock-research/company/57/20250519_company_812468000.pdf","PDF")</f>
        <v>PDF</v>
      </c>
      <c r="K11943" s="12" t="s">
        <v>22492</v>
      </c>
    </row>
    <row r="11944" spans="1:12" x14ac:dyDescent="0.45">
      <c r="A11944" s="12" t="s">
        <v>22454</v>
      </c>
      <c r="B11944" s="12" t="s">
        <v>1266</v>
      </c>
      <c r="C11944" s="13" t="s">
        <v>1267</v>
      </c>
      <c r="D11944" s="13" t="s">
        <v>57</v>
      </c>
      <c r="E11944" s="12" t="s">
        <v>35</v>
      </c>
      <c r="F11944" s="14">
        <v>106000</v>
      </c>
      <c r="G11944" s="14">
        <v>84300</v>
      </c>
      <c r="H11944" s="13" t="s">
        <v>22493</v>
      </c>
      <c r="I11944" s="40" t="s">
        <v>18</v>
      </c>
      <c r="J11944" s="40" t="str">
        <f>HYPERLINK("https://stock.pstatic.net/stock-research/company/16/20250519_company_757682000.pdf","PDF")</f>
        <v>PDF</v>
      </c>
      <c r="K11944" s="12" t="s">
        <v>22494</v>
      </c>
      <c r="L11944" s="20">
        <v>0.25741399762752082</v>
      </c>
    </row>
    <row r="11945" spans="1:12" x14ac:dyDescent="0.45">
      <c r="A11945" s="12" t="s">
        <v>22454</v>
      </c>
      <c r="B11945" s="12" t="s">
        <v>1328</v>
      </c>
      <c r="C11945" s="13" t="s">
        <v>1329</v>
      </c>
      <c r="D11945" s="13" t="s">
        <v>57</v>
      </c>
      <c r="E11945" s="12" t="s">
        <v>159</v>
      </c>
      <c r="F11945" s="14">
        <v>9200</v>
      </c>
      <c r="G11945" s="14">
        <v>8510</v>
      </c>
      <c r="H11945" s="13" t="s">
        <v>22495</v>
      </c>
      <c r="I11945" s="40" t="s">
        <v>18</v>
      </c>
      <c r="J11945" s="40" t="str">
        <f>HYPERLINK("https://stock.pstatic.net/stock-research/company/16/20250519_company_318121000.pdf","PDF")</f>
        <v>PDF</v>
      </c>
      <c r="K11945" s="12" t="s">
        <v>22496</v>
      </c>
      <c r="L11945" s="20">
        <v>8.1081081081081086E-2</v>
      </c>
    </row>
    <row r="11946" spans="1:12" x14ac:dyDescent="0.45">
      <c r="A11946" s="12" t="s">
        <v>22454</v>
      </c>
      <c r="B11946" s="12" t="s">
        <v>22497</v>
      </c>
      <c r="C11946" s="13" t="s">
        <v>22498</v>
      </c>
      <c r="D11946" s="13" t="s">
        <v>57</v>
      </c>
      <c r="E11946" s="12" t="s">
        <v>35</v>
      </c>
      <c r="F11946" s="14">
        <v>52000</v>
      </c>
      <c r="G11946" s="14">
        <v>33600</v>
      </c>
      <c r="H11946" s="13" t="s">
        <v>22499</v>
      </c>
      <c r="I11946" s="40" t="s">
        <v>18</v>
      </c>
      <c r="J11946" s="40" t="str">
        <f>HYPERLINK("https://stock.pstatic.net/stock-research/company/16/20250519_company_237441000.pdf","PDF")</f>
        <v>PDF</v>
      </c>
      <c r="K11946" s="12" t="s">
        <v>22500</v>
      </c>
      <c r="L11946" s="20">
        <v>0.54761904761904767</v>
      </c>
    </row>
    <row r="11947" spans="1:12" x14ac:dyDescent="0.45">
      <c r="A11947" s="12" t="s">
        <v>22454</v>
      </c>
      <c r="B11947" s="12" t="s">
        <v>764</v>
      </c>
      <c r="C11947" s="13" t="s">
        <v>765</v>
      </c>
      <c r="D11947" s="13" t="s">
        <v>158</v>
      </c>
      <c r="E11947" s="12" t="s">
        <v>35</v>
      </c>
      <c r="F11947" s="14">
        <v>49000</v>
      </c>
      <c r="G11947" s="14">
        <v>37950</v>
      </c>
      <c r="H11947" s="13" t="s">
        <v>22501</v>
      </c>
      <c r="I11947" s="40" t="s">
        <v>18</v>
      </c>
      <c r="J11947" s="40" t="str">
        <f>HYPERLINK("https://stock.pstatic.net/stock-research/company/18/20250519_company_250306000.pdf","PDF")</f>
        <v>PDF</v>
      </c>
      <c r="K11947" s="12" t="s">
        <v>22502</v>
      </c>
      <c r="L11947" s="20">
        <v>0.29117259552042157</v>
      </c>
    </row>
    <row r="11948" spans="1:12" x14ac:dyDescent="0.45">
      <c r="A11948" s="12" t="s">
        <v>22454</v>
      </c>
      <c r="B11948" s="12" t="s">
        <v>768</v>
      </c>
      <c r="C11948" s="13" t="s">
        <v>769</v>
      </c>
      <c r="D11948" s="13" t="s">
        <v>158</v>
      </c>
      <c r="E11948" s="12" t="s">
        <v>35</v>
      </c>
      <c r="F11948" s="14">
        <v>261000</v>
      </c>
      <c r="G11948" s="14">
        <v>210000</v>
      </c>
      <c r="H11948" s="13" t="s">
        <v>22503</v>
      </c>
      <c r="I11948" s="40" t="s">
        <v>18</v>
      </c>
      <c r="J11948" s="40" t="str">
        <f>HYPERLINK("https://stock.pstatic.net/stock-research/company/18/20250519_company_994662000.pdf","PDF")</f>
        <v>PDF</v>
      </c>
      <c r="K11948" s="12" t="s">
        <v>22504</v>
      </c>
      <c r="L11948" s="20">
        <v>0.24285714285714291</v>
      </c>
    </row>
    <row r="11949" spans="1:12" x14ac:dyDescent="0.45">
      <c r="A11949" s="12" t="s">
        <v>22454</v>
      </c>
      <c r="B11949" s="12" t="s">
        <v>495</v>
      </c>
      <c r="C11949" s="13" t="s">
        <v>496</v>
      </c>
      <c r="D11949" s="13" t="s">
        <v>158</v>
      </c>
      <c r="E11949" s="12" t="s">
        <v>35</v>
      </c>
      <c r="F11949" s="14">
        <v>150000</v>
      </c>
      <c r="G11949" s="14">
        <v>112600</v>
      </c>
      <c r="H11949" s="13" t="s">
        <v>22505</v>
      </c>
      <c r="I11949" s="40" t="s">
        <v>18</v>
      </c>
      <c r="J11949" s="40" t="str">
        <f>HYPERLINK("https://stock.pstatic.net/stock-research/company/1/20250519_company_674375000.pdf","PDF")</f>
        <v>PDF</v>
      </c>
      <c r="K11949" s="12" t="s">
        <v>22506</v>
      </c>
      <c r="L11949" s="20">
        <v>0.3321492007104796</v>
      </c>
    </row>
    <row r="11950" spans="1:12" x14ac:dyDescent="0.45">
      <c r="A11950" s="12" t="s">
        <v>22454</v>
      </c>
      <c r="B11950" s="12" t="s">
        <v>414</v>
      </c>
      <c r="C11950" s="13" t="s">
        <v>415</v>
      </c>
      <c r="D11950" s="13" t="s">
        <v>158</v>
      </c>
      <c r="E11950" s="12" t="s">
        <v>50</v>
      </c>
      <c r="F11950" s="13"/>
      <c r="G11950" s="14">
        <v>18460</v>
      </c>
      <c r="H11950" s="13" t="s">
        <v>22507</v>
      </c>
      <c r="I11950" s="40" t="s">
        <v>18</v>
      </c>
      <c r="J11950" s="40" t="str">
        <f>HYPERLINK("https://stock.pstatic.net/stock-research/company/18/20250519_company_466269000.pdf","PDF")</f>
        <v>PDF</v>
      </c>
      <c r="K11950" s="12" t="s">
        <v>22508</v>
      </c>
    </row>
    <row r="11951" spans="1:12" x14ac:dyDescent="0.45">
      <c r="A11951" s="12" t="s">
        <v>22454</v>
      </c>
      <c r="B11951" s="12" t="s">
        <v>5918</v>
      </c>
      <c r="C11951" s="13" t="s">
        <v>5919</v>
      </c>
      <c r="D11951" s="13" t="s">
        <v>158</v>
      </c>
      <c r="E11951" s="12" t="s">
        <v>50</v>
      </c>
      <c r="F11951" s="13"/>
      <c r="G11951" s="14">
        <v>31100</v>
      </c>
      <c r="H11951" s="13" t="s">
        <v>22509</v>
      </c>
      <c r="I11951" s="40" t="s">
        <v>18</v>
      </c>
      <c r="J11951" s="40" t="str">
        <f>HYPERLINK("https://stock.pstatic.net/stock-research/company/18/20250519_company_755387000.pdf","PDF")</f>
        <v>PDF</v>
      </c>
      <c r="K11951" s="12" t="s">
        <v>22510</v>
      </c>
    </row>
    <row r="11952" spans="1:12" x14ac:dyDescent="0.45">
      <c r="A11952" s="12" t="s">
        <v>22454</v>
      </c>
      <c r="B11952" s="12" t="s">
        <v>11090</v>
      </c>
      <c r="C11952" s="13" t="s">
        <v>11091</v>
      </c>
      <c r="D11952" s="13" t="s">
        <v>158</v>
      </c>
      <c r="E11952" s="12" t="s">
        <v>50</v>
      </c>
      <c r="F11952" s="13"/>
      <c r="G11952" s="14">
        <v>15950</v>
      </c>
      <c r="H11952" s="13" t="s">
        <v>22511</v>
      </c>
      <c r="I11952" s="40" t="s">
        <v>18</v>
      </c>
      <c r="J11952" s="40" t="str">
        <f>HYPERLINK("https://stock.pstatic.net/stock-research/company/18/20250519_company_770944000.pdf","PDF")</f>
        <v>PDF</v>
      </c>
      <c r="K11952" s="12" t="s">
        <v>22512</v>
      </c>
    </row>
    <row r="11953" spans="1:12" x14ac:dyDescent="0.45">
      <c r="A11953" s="12" t="s">
        <v>22454</v>
      </c>
      <c r="B11953" s="12" t="s">
        <v>1023</v>
      </c>
      <c r="C11953" s="13" t="s">
        <v>15</v>
      </c>
      <c r="D11953" s="13" t="s">
        <v>158</v>
      </c>
      <c r="E11953" s="12" t="s">
        <v>35</v>
      </c>
      <c r="F11953" s="14">
        <v>16000</v>
      </c>
      <c r="G11953" s="14">
        <v>13060</v>
      </c>
      <c r="H11953" s="13" t="s">
        <v>22513</v>
      </c>
      <c r="I11953" s="40" t="s">
        <v>18</v>
      </c>
      <c r="J11953" s="40" t="str">
        <f>HYPERLINK("https://stock.pstatic.net/stock-research/company/18/20250519_company_86387000.pdf","PDF")</f>
        <v>PDF</v>
      </c>
      <c r="K11953" s="12" t="s">
        <v>22514</v>
      </c>
      <c r="L11953" s="20">
        <v>0.22511485451761101</v>
      </c>
    </row>
    <row r="11954" spans="1:12" x14ac:dyDescent="0.45">
      <c r="A11954" s="12" t="s">
        <v>22454</v>
      </c>
      <c r="B11954" s="12" t="s">
        <v>1266</v>
      </c>
      <c r="C11954" s="13" t="s">
        <v>1267</v>
      </c>
      <c r="D11954" s="13" t="s">
        <v>83</v>
      </c>
      <c r="E11954" s="12" t="s">
        <v>35</v>
      </c>
      <c r="F11954" s="14">
        <v>125000</v>
      </c>
      <c r="G11954" s="14">
        <v>84300</v>
      </c>
      <c r="H11954" s="13" t="s">
        <v>22515</v>
      </c>
      <c r="I11954" s="40" t="s">
        <v>18</v>
      </c>
      <c r="J11954" s="40" t="str">
        <f>HYPERLINK("https://stock.pstatic.net/stock-research/company/2/20250519_company_524079000.pdf","PDF")</f>
        <v>PDF</v>
      </c>
      <c r="K11954" s="12" t="s">
        <v>22516</v>
      </c>
      <c r="L11954" s="20">
        <v>0.48279952550415178</v>
      </c>
    </row>
    <row r="11955" spans="1:12" x14ac:dyDescent="0.45">
      <c r="A11955" s="12" t="s">
        <v>22454</v>
      </c>
      <c r="B11955" s="12" t="s">
        <v>3154</v>
      </c>
      <c r="C11955" s="13" t="s">
        <v>3155</v>
      </c>
      <c r="D11955" s="13" t="s">
        <v>83</v>
      </c>
      <c r="E11955" s="12" t="s">
        <v>35</v>
      </c>
      <c r="F11955" s="14">
        <v>7400</v>
      </c>
      <c r="G11955" s="14">
        <v>4810</v>
      </c>
      <c r="H11955" s="13" t="s">
        <v>22517</v>
      </c>
      <c r="I11955" s="40" t="s">
        <v>18</v>
      </c>
      <c r="J11955" s="40" t="str">
        <f>HYPERLINK("https://stock.pstatic.net/stock-research/company/2/20250519_company_707095000.pdf","PDF")</f>
        <v>PDF</v>
      </c>
      <c r="K11955" s="12" t="s">
        <v>22518</v>
      </c>
      <c r="L11955" s="20">
        <v>0.53846153846153844</v>
      </c>
    </row>
    <row r="11956" spans="1:12" x14ac:dyDescent="0.45">
      <c r="A11956" s="12" t="s">
        <v>22454</v>
      </c>
      <c r="B11956" s="12" t="s">
        <v>1162</v>
      </c>
      <c r="C11956" s="13" t="s">
        <v>1163</v>
      </c>
      <c r="D11956" s="13" t="s">
        <v>83</v>
      </c>
      <c r="E11956" s="12" t="s">
        <v>35</v>
      </c>
      <c r="F11956" s="14">
        <v>150000</v>
      </c>
      <c r="G11956" s="14">
        <v>124500</v>
      </c>
      <c r="H11956" s="13" t="s">
        <v>22519</v>
      </c>
      <c r="I11956" s="40" t="s">
        <v>18</v>
      </c>
      <c r="J11956" s="40" t="str">
        <f>HYPERLINK("https://stock.pstatic.net/stock-research/company/2/20250519_company_545484000.pdf","PDF")</f>
        <v>PDF</v>
      </c>
      <c r="K11956" s="12" t="s">
        <v>22520</v>
      </c>
      <c r="L11956" s="20">
        <v>0.2048192771084337</v>
      </c>
    </row>
    <row r="11957" spans="1:12" x14ac:dyDescent="0.45">
      <c r="A11957" s="12" t="s">
        <v>22454</v>
      </c>
      <c r="B11957" s="12" t="s">
        <v>812</v>
      </c>
      <c r="C11957" s="13" t="s">
        <v>813</v>
      </c>
      <c r="D11957" s="13" t="s">
        <v>83</v>
      </c>
      <c r="E11957" s="12" t="s">
        <v>35</v>
      </c>
      <c r="F11957" s="14">
        <v>70000</v>
      </c>
      <c r="G11957" s="14">
        <v>53100</v>
      </c>
      <c r="H11957" s="13" t="s">
        <v>22521</v>
      </c>
      <c r="I11957" s="40" t="s">
        <v>18</v>
      </c>
      <c r="J11957" s="40" t="str">
        <f>HYPERLINK("https://stock.pstatic.net/stock-research/company/2/20250519_company_628924000.pdf","PDF")</f>
        <v>PDF</v>
      </c>
      <c r="K11957" s="12" t="s">
        <v>22522</v>
      </c>
      <c r="L11957" s="20">
        <v>0.31826741996233521</v>
      </c>
    </row>
    <row r="11958" spans="1:12" x14ac:dyDescent="0.45">
      <c r="A11958" s="12" t="s">
        <v>22454</v>
      </c>
      <c r="B11958" s="12" t="s">
        <v>1350</v>
      </c>
      <c r="C11958" s="13" t="s">
        <v>1351</v>
      </c>
      <c r="D11958" s="13" t="s">
        <v>15</v>
      </c>
      <c r="E11958" s="12" t="s">
        <v>16</v>
      </c>
      <c r="F11958" s="14">
        <v>67000</v>
      </c>
      <c r="G11958" s="14">
        <v>50000</v>
      </c>
      <c r="H11958" s="13" t="s">
        <v>22523</v>
      </c>
      <c r="I11958" s="40" t="s">
        <v>18</v>
      </c>
      <c r="J11958" s="40" t="str">
        <f>HYPERLINK("https://stock.pstatic.net/stock-research/company/29/20250519_company_667866000.pdf","PDF")</f>
        <v>PDF</v>
      </c>
      <c r="K11958" s="12" t="s">
        <v>22524</v>
      </c>
      <c r="L11958" s="20">
        <v>0.34</v>
      </c>
    </row>
    <row r="11959" spans="1:12" x14ac:dyDescent="0.45">
      <c r="A11959" s="12" t="s">
        <v>22454</v>
      </c>
      <c r="B11959" s="12" t="s">
        <v>22525</v>
      </c>
      <c r="C11959" s="13" t="s">
        <v>22526</v>
      </c>
      <c r="D11959" s="13" t="s">
        <v>15</v>
      </c>
      <c r="E11959" s="12" t="s">
        <v>16</v>
      </c>
      <c r="F11959" s="14">
        <v>30000</v>
      </c>
      <c r="G11959" s="14">
        <v>22700</v>
      </c>
      <c r="H11959" s="13" t="s">
        <v>22527</v>
      </c>
      <c r="I11959" s="40" t="s">
        <v>18</v>
      </c>
      <c r="J11959" s="40" t="str">
        <f>HYPERLINK("https://stock.pstatic.net/stock-research/company/29/20250519_company_70961000.pdf","PDF")</f>
        <v>PDF</v>
      </c>
      <c r="K11959" s="12" t="s">
        <v>22528</v>
      </c>
      <c r="L11959" s="20">
        <v>0.32158590308370039</v>
      </c>
    </row>
    <row r="11960" spans="1:12" x14ac:dyDescent="0.45">
      <c r="A11960" s="12" t="s">
        <v>22454</v>
      </c>
      <c r="B11960" s="12" t="s">
        <v>352</v>
      </c>
      <c r="C11960" s="13" t="s">
        <v>353</v>
      </c>
      <c r="D11960" s="13" t="s">
        <v>15</v>
      </c>
      <c r="E11960" s="12" t="s">
        <v>16</v>
      </c>
      <c r="F11960" s="14">
        <v>170000</v>
      </c>
      <c r="G11960" s="14">
        <v>113900</v>
      </c>
      <c r="H11960" s="13" t="s">
        <v>22529</v>
      </c>
      <c r="I11960" s="40" t="s">
        <v>18</v>
      </c>
      <c r="J11960" s="40" t="str">
        <f>HYPERLINK("https://stock.pstatic.net/stock-research/company/29/20250519_company_856054000.pdf","PDF")</f>
        <v>PDF</v>
      </c>
      <c r="K11960" s="12" t="s">
        <v>22530</v>
      </c>
      <c r="L11960" s="20">
        <v>0.4925373134328358</v>
      </c>
    </row>
    <row r="11961" spans="1:12" x14ac:dyDescent="0.45">
      <c r="A11961" s="12" t="s">
        <v>22454</v>
      </c>
      <c r="B11961" s="12" t="s">
        <v>1946</v>
      </c>
      <c r="C11961" s="13" t="s">
        <v>1947</v>
      </c>
      <c r="D11961" s="13" t="s">
        <v>92</v>
      </c>
      <c r="E11961" s="12" t="s">
        <v>35</v>
      </c>
      <c r="F11961" s="14">
        <v>27000</v>
      </c>
      <c r="G11961" s="14">
        <v>19700</v>
      </c>
      <c r="H11961" s="13" t="s">
        <v>22531</v>
      </c>
      <c r="I11961" s="40" t="s">
        <v>18</v>
      </c>
      <c r="J11961" s="40" t="str">
        <f>HYPERLINK("https://stock.pstatic.net/stock-research/company/63/20250519_company_542836000.pdf","PDF")</f>
        <v>PDF</v>
      </c>
      <c r="K11961" s="12" t="s">
        <v>22532</v>
      </c>
      <c r="L11961" s="20">
        <v>0.37055837563451782</v>
      </c>
    </row>
    <row r="11962" spans="1:12" x14ac:dyDescent="0.45">
      <c r="A11962" s="12" t="s">
        <v>22454</v>
      </c>
      <c r="B11962" s="12" t="s">
        <v>629</v>
      </c>
      <c r="C11962" s="13" t="s">
        <v>630</v>
      </c>
      <c r="D11962" s="13" t="s">
        <v>92</v>
      </c>
      <c r="E11962" s="12" t="s">
        <v>50</v>
      </c>
      <c r="F11962" s="13"/>
      <c r="G11962" s="14">
        <v>13530</v>
      </c>
      <c r="H11962" s="13" t="s">
        <v>22533</v>
      </c>
      <c r="I11962" s="40" t="s">
        <v>18</v>
      </c>
      <c r="J11962" s="40" t="str">
        <f>HYPERLINK("https://stock.pstatic.net/stock-research/company/63/20250519_company_659827000.pdf","PDF")</f>
        <v>PDF</v>
      </c>
      <c r="K11962" s="12" t="s">
        <v>22534</v>
      </c>
    </row>
    <row r="11963" spans="1:12" x14ac:dyDescent="0.45">
      <c r="A11963" s="12" t="s">
        <v>22454</v>
      </c>
      <c r="B11963" s="12" t="s">
        <v>1328</v>
      </c>
      <c r="C11963" s="13" t="s">
        <v>1329</v>
      </c>
      <c r="D11963" s="13" t="s">
        <v>179</v>
      </c>
      <c r="E11963" s="12" t="s">
        <v>16</v>
      </c>
      <c r="F11963" s="14">
        <v>11000</v>
      </c>
      <c r="G11963" s="14">
        <v>8510</v>
      </c>
      <c r="H11963" s="13" t="s">
        <v>22535</v>
      </c>
      <c r="I11963" s="40" t="s">
        <v>18</v>
      </c>
      <c r="J11963" s="40" t="str">
        <f>HYPERLINK("https://stock.pstatic.net/stock-research/company/31/20250519_company_614879000.pdf","PDF")</f>
        <v>PDF</v>
      </c>
      <c r="K11963" s="12" t="s">
        <v>22536</v>
      </c>
      <c r="L11963" s="20">
        <v>0.29259694477085779</v>
      </c>
    </row>
    <row r="11964" spans="1:12" x14ac:dyDescent="0.45">
      <c r="A11964" s="12" t="s">
        <v>22454</v>
      </c>
      <c r="B11964" s="12" t="s">
        <v>1503</v>
      </c>
      <c r="C11964" s="13" t="s">
        <v>1504</v>
      </c>
      <c r="D11964" s="13" t="s">
        <v>92</v>
      </c>
      <c r="E11964" s="12" t="s">
        <v>35</v>
      </c>
      <c r="F11964" s="14">
        <v>22000</v>
      </c>
      <c r="G11964" s="14">
        <v>15830</v>
      </c>
      <c r="H11964" s="13" t="s">
        <v>22537</v>
      </c>
      <c r="I11964" s="40" t="s">
        <v>18</v>
      </c>
      <c r="J11964" s="40" t="str">
        <f>HYPERLINK("https://stock.pstatic.net/stock-research/company/63/20250519_company_684991000.pdf","PDF")</f>
        <v>PDF</v>
      </c>
      <c r="K11964" s="12" t="s">
        <v>22538</v>
      </c>
      <c r="L11964" s="20">
        <v>0.3897662665824384</v>
      </c>
    </row>
    <row r="11965" spans="1:12" x14ac:dyDescent="0.45">
      <c r="A11965" s="12" t="s">
        <v>22454</v>
      </c>
      <c r="B11965" s="12" t="s">
        <v>1266</v>
      </c>
      <c r="C11965" s="13" t="s">
        <v>1267</v>
      </c>
      <c r="D11965" s="13" t="s">
        <v>44</v>
      </c>
      <c r="E11965" s="12" t="s">
        <v>35</v>
      </c>
      <c r="F11965" s="14">
        <v>140000</v>
      </c>
      <c r="G11965" s="14">
        <v>84300</v>
      </c>
      <c r="H11965" s="13" t="s">
        <v>22539</v>
      </c>
      <c r="I11965" s="40" t="s">
        <v>18</v>
      </c>
      <c r="J11965" s="40" t="str">
        <f>HYPERLINK("https://stock.pstatic.net/stock-research/company/39/20250519_company_521755000.pdf","PDF")</f>
        <v>PDF</v>
      </c>
      <c r="K11965" s="12" t="s">
        <v>22540</v>
      </c>
      <c r="L11965" s="20">
        <v>0.66073546856465004</v>
      </c>
    </row>
    <row r="11966" spans="1:12" x14ac:dyDescent="0.45">
      <c r="A11966" s="12" t="s">
        <v>22454</v>
      </c>
      <c r="B11966" s="12" t="s">
        <v>1389</v>
      </c>
      <c r="C11966" s="13" t="s">
        <v>1390</v>
      </c>
      <c r="D11966" s="13" t="s">
        <v>92</v>
      </c>
      <c r="E11966" s="12" t="s">
        <v>35</v>
      </c>
      <c r="F11966" s="14">
        <v>17000</v>
      </c>
      <c r="G11966" s="14">
        <v>12450</v>
      </c>
      <c r="H11966" s="13" t="s">
        <v>22541</v>
      </c>
      <c r="I11966" s="40" t="s">
        <v>18</v>
      </c>
      <c r="J11966" s="40" t="str">
        <f>HYPERLINK("https://stock.pstatic.net/stock-research/company/63/20250519_company_88535000.pdf","PDF")</f>
        <v>PDF</v>
      </c>
      <c r="K11966" s="12" t="s">
        <v>22542</v>
      </c>
      <c r="L11966" s="20">
        <v>0.36546184738955823</v>
      </c>
    </row>
    <row r="11967" spans="1:12" x14ac:dyDescent="0.45">
      <c r="A11967" s="12" t="s">
        <v>22454</v>
      </c>
      <c r="B11967" s="12" t="s">
        <v>2658</v>
      </c>
      <c r="C11967" s="13" t="s">
        <v>2659</v>
      </c>
      <c r="D11967" s="13" t="s">
        <v>179</v>
      </c>
      <c r="E11967" s="12" t="s">
        <v>16</v>
      </c>
      <c r="F11967" s="14">
        <v>140000</v>
      </c>
      <c r="G11967" s="14">
        <v>106200</v>
      </c>
      <c r="H11967" s="13" t="s">
        <v>22543</v>
      </c>
      <c r="I11967" s="40" t="s">
        <v>18</v>
      </c>
      <c r="J11967" s="40" t="str">
        <f>HYPERLINK("https://stock.pstatic.net/stock-research/company/31/20250519_company_731180000.pdf","PDF")</f>
        <v>PDF</v>
      </c>
      <c r="K11967" s="12" t="s">
        <v>22544</v>
      </c>
      <c r="L11967" s="20">
        <v>0.31826741996233521</v>
      </c>
    </row>
    <row r="11968" spans="1:12" x14ac:dyDescent="0.45">
      <c r="A11968" s="12" t="s">
        <v>22454</v>
      </c>
      <c r="B11968" s="12" t="s">
        <v>2032</v>
      </c>
      <c r="C11968" s="13" t="s">
        <v>2033</v>
      </c>
      <c r="D11968" s="13" t="s">
        <v>34</v>
      </c>
      <c r="E11968" s="12" t="s">
        <v>50</v>
      </c>
      <c r="F11968" s="13"/>
      <c r="G11968" s="14">
        <v>26950</v>
      </c>
      <c r="H11968" s="13" t="s">
        <v>22545</v>
      </c>
      <c r="I11968" s="40" t="s">
        <v>18</v>
      </c>
      <c r="J11968" s="40" t="str">
        <f>HYPERLINK("https://stock.pstatic.net/stock-research/company/61/20250519_company_454922000.pdf","PDF")</f>
        <v>PDF</v>
      </c>
      <c r="K11968" s="12" t="s">
        <v>22546</v>
      </c>
    </row>
    <row r="11969" spans="1:12" x14ac:dyDescent="0.45">
      <c r="A11969" s="12" t="s">
        <v>22454</v>
      </c>
      <c r="B11969" s="12" t="s">
        <v>2105</v>
      </c>
      <c r="C11969" s="13" t="s">
        <v>2106</v>
      </c>
      <c r="D11969" s="13" t="s">
        <v>15</v>
      </c>
      <c r="E11969" s="12" t="s">
        <v>16</v>
      </c>
      <c r="F11969" s="14">
        <v>98000</v>
      </c>
      <c r="G11969" s="14">
        <v>55900</v>
      </c>
      <c r="H11969" s="13" t="s">
        <v>22547</v>
      </c>
      <c r="I11969" s="40" t="s">
        <v>18</v>
      </c>
      <c r="J11969" s="40" t="str">
        <f>HYPERLINK("https://stock.pstatic.net/stock-research/company/29/20250519_company_559290000.pdf","PDF")</f>
        <v>PDF</v>
      </c>
      <c r="K11969" s="12" t="s">
        <v>22548</v>
      </c>
      <c r="L11969" s="20">
        <v>0.75313059033989271</v>
      </c>
    </row>
    <row r="11970" spans="1:12" x14ac:dyDescent="0.45">
      <c r="A11970" s="12" t="s">
        <v>22454</v>
      </c>
      <c r="B11970" s="12" t="s">
        <v>2217</v>
      </c>
      <c r="C11970" s="13" t="s">
        <v>2218</v>
      </c>
      <c r="D11970" s="13" t="s">
        <v>34</v>
      </c>
      <c r="E11970" s="12" t="s">
        <v>50</v>
      </c>
      <c r="F11970" s="13"/>
      <c r="G11970" s="14">
        <v>68500</v>
      </c>
      <c r="H11970" s="13" t="s">
        <v>22549</v>
      </c>
      <c r="I11970" s="40" t="s">
        <v>18</v>
      </c>
      <c r="J11970" s="40" t="str">
        <f>HYPERLINK("https://stock.pstatic.net/stock-research/company/61/20250519_company_784181000.pdf","PDF")</f>
        <v>PDF</v>
      </c>
      <c r="K11970" s="12" t="s">
        <v>22550</v>
      </c>
    </row>
    <row r="11971" spans="1:12" x14ac:dyDescent="0.45">
      <c r="A11971" s="12" t="s">
        <v>22454</v>
      </c>
      <c r="B11971" s="12" t="s">
        <v>1216</v>
      </c>
      <c r="C11971" s="13" t="s">
        <v>1217</v>
      </c>
      <c r="D11971" s="13" t="s">
        <v>53</v>
      </c>
      <c r="E11971" s="12" t="s">
        <v>16</v>
      </c>
      <c r="F11971" s="14">
        <v>40000</v>
      </c>
      <c r="G11971" s="14">
        <v>23350</v>
      </c>
      <c r="H11971" s="13" t="s">
        <v>22551</v>
      </c>
      <c r="I11971" s="40" t="s">
        <v>18</v>
      </c>
      <c r="J11971" s="40" t="str">
        <f>HYPERLINK("https://stock.pstatic.net/stock-research/company/40/20250519_company_640062000.pdf","PDF")</f>
        <v>PDF</v>
      </c>
      <c r="K11971" s="12" t="s">
        <v>22552</v>
      </c>
      <c r="L11971" s="20">
        <v>0.71306209850107072</v>
      </c>
    </row>
    <row r="11972" spans="1:12" x14ac:dyDescent="0.45">
      <c r="A11972" s="12" t="s">
        <v>22454</v>
      </c>
      <c r="B11972" s="12" t="s">
        <v>264</v>
      </c>
      <c r="C11972" s="13" t="s">
        <v>265</v>
      </c>
      <c r="D11972" s="13" t="s">
        <v>92</v>
      </c>
      <c r="E11972" s="12" t="s">
        <v>35</v>
      </c>
      <c r="F11972" s="14">
        <v>166000</v>
      </c>
      <c r="G11972" s="14">
        <v>151000</v>
      </c>
      <c r="H11972" s="13" t="s">
        <v>22553</v>
      </c>
      <c r="I11972" s="40" t="s">
        <v>18</v>
      </c>
      <c r="J11972" s="40" t="str">
        <f>HYPERLINK("https://stock.pstatic.net/stock-research/company/63/20250519_company_306628000.pdf","PDF")</f>
        <v>PDF</v>
      </c>
      <c r="K11972" s="12" t="s">
        <v>22554</v>
      </c>
      <c r="L11972" s="20">
        <v>9.9337748344370855E-2</v>
      </c>
    </row>
    <row r="11973" spans="1:12" x14ac:dyDescent="0.45">
      <c r="A11973" s="12" t="s">
        <v>22454</v>
      </c>
      <c r="B11973" s="12" t="s">
        <v>1734</v>
      </c>
      <c r="C11973" s="13" t="s">
        <v>1735</v>
      </c>
      <c r="D11973" s="13" t="s">
        <v>34</v>
      </c>
      <c r="E11973" s="12" t="s">
        <v>50</v>
      </c>
      <c r="F11973" s="13"/>
      <c r="G11973" s="14">
        <v>36700</v>
      </c>
      <c r="H11973" s="13" t="s">
        <v>22555</v>
      </c>
      <c r="I11973" s="40" t="s">
        <v>18</v>
      </c>
      <c r="J11973" s="40" t="str">
        <f>HYPERLINK("https://stock.pstatic.net/stock-research/company/61/20250519_company_152084000.pdf","PDF")</f>
        <v>PDF</v>
      </c>
      <c r="K11973" s="12" t="s">
        <v>22556</v>
      </c>
    </row>
    <row r="11974" spans="1:12" x14ac:dyDescent="0.45">
      <c r="A11974" s="12" t="s">
        <v>22454</v>
      </c>
      <c r="B11974" s="12" t="s">
        <v>1212</v>
      </c>
      <c r="C11974" s="13" t="s">
        <v>1213</v>
      </c>
      <c r="D11974" s="13" t="s">
        <v>92</v>
      </c>
      <c r="E11974" s="12" t="s">
        <v>35</v>
      </c>
      <c r="F11974" s="14">
        <v>90000</v>
      </c>
      <c r="G11974" s="14">
        <v>62500</v>
      </c>
      <c r="H11974" s="13" t="s">
        <v>22557</v>
      </c>
      <c r="I11974" s="40" t="s">
        <v>18</v>
      </c>
      <c r="J11974" s="40" t="str">
        <f>HYPERLINK("https://stock.pstatic.net/stock-research/company/63/20250519_company_122008000.pdf","PDF")</f>
        <v>PDF</v>
      </c>
      <c r="K11974" s="12" t="s">
        <v>22558</v>
      </c>
      <c r="L11974" s="20">
        <v>0.44</v>
      </c>
    </row>
    <row r="11975" spans="1:12" x14ac:dyDescent="0.45">
      <c r="A11975" s="12" t="s">
        <v>22454</v>
      </c>
      <c r="B11975" s="12" t="s">
        <v>352</v>
      </c>
      <c r="C11975" s="13" t="s">
        <v>353</v>
      </c>
      <c r="D11975" s="13" t="s">
        <v>44</v>
      </c>
      <c r="E11975" s="12" t="s">
        <v>35</v>
      </c>
      <c r="F11975" s="14">
        <v>148000</v>
      </c>
      <c r="G11975" s="14">
        <v>113900</v>
      </c>
      <c r="H11975" s="13" t="s">
        <v>22559</v>
      </c>
      <c r="I11975" s="40" t="s">
        <v>18</v>
      </c>
      <c r="J11975" s="40" t="str">
        <f>HYPERLINK("https://stock.pstatic.net/stock-research/company/39/20250519_company_861787000.pdf","PDF")</f>
        <v>PDF</v>
      </c>
      <c r="K11975" s="12" t="s">
        <v>22560</v>
      </c>
      <c r="L11975" s="20">
        <v>0.29938542581211591</v>
      </c>
    </row>
    <row r="11976" spans="1:12" x14ac:dyDescent="0.45">
      <c r="A11976" s="12" t="s">
        <v>22454</v>
      </c>
      <c r="B11976" s="12" t="s">
        <v>352</v>
      </c>
      <c r="C11976" s="13" t="s">
        <v>353</v>
      </c>
      <c r="D11976" s="13" t="s">
        <v>23</v>
      </c>
      <c r="E11976" s="12" t="s">
        <v>16</v>
      </c>
      <c r="F11976" s="14">
        <v>130000</v>
      </c>
      <c r="G11976" s="14">
        <v>113900</v>
      </c>
      <c r="H11976" s="13" t="s">
        <v>22561</v>
      </c>
      <c r="I11976" s="40" t="s">
        <v>18</v>
      </c>
      <c r="J11976" s="40" t="str">
        <f>HYPERLINK("https://stock.pstatic.net/stock-research/company/21/20250519_company_672546000.pdf","PDF")</f>
        <v>PDF</v>
      </c>
      <c r="K11976" s="12" t="s">
        <v>22562</v>
      </c>
      <c r="L11976" s="20">
        <v>0.14135206321334501</v>
      </c>
    </row>
    <row r="11977" spans="1:12" x14ac:dyDescent="0.45">
      <c r="A11977" s="12" t="s">
        <v>22454</v>
      </c>
      <c r="B11977" s="12" t="s">
        <v>698</v>
      </c>
      <c r="C11977" s="13" t="s">
        <v>699</v>
      </c>
      <c r="D11977" s="13" t="s">
        <v>179</v>
      </c>
      <c r="E11977" s="12" t="s">
        <v>16</v>
      </c>
      <c r="F11977" s="14">
        <v>190000</v>
      </c>
      <c r="G11977" s="14">
        <v>137100</v>
      </c>
      <c r="H11977" s="13" t="s">
        <v>22563</v>
      </c>
      <c r="I11977" s="40" t="s">
        <v>18</v>
      </c>
      <c r="J11977" s="40" t="str">
        <f>HYPERLINK("https://stock.pstatic.net/stock-research/company/31/20250519_company_794232000.pdf","PDF")</f>
        <v>PDF</v>
      </c>
      <c r="K11977" s="12" t="s">
        <v>22564</v>
      </c>
      <c r="L11977" s="20">
        <v>0.38584974471188921</v>
      </c>
    </row>
    <row r="11978" spans="1:12" x14ac:dyDescent="0.45">
      <c r="A11978" s="12" t="s">
        <v>22454</v>
      </c>
      <c r="B11978" s="12" t="s">
        <v>1374</v>
      </c>
      <c r="C11978" s="13" t="s">
        <v>1375</v>
      </c>
      <c r="D11978" s="13" t="s">
        <v>53</v>
      </c>
      <c r="E11978" s="12" t="s">
        <v>16</v>
      </c>
      <c r="F11978" s="14">
        <v>43000</v>
      </c>
      <c r="G11978" s="14">
        <v>33600</v>
      </c>
      <c r="H11978" s="13" t="s">
        <v>22565</v>
      </c>
      <c r="I11978" s="40" t="s">
        <v>18</v>
      </c>
      <c r="J11978" s="40" t="str">
        <f>HYPERLINK("https://stock.pstatic.net/stock-research/company/40/20250519_company_846873000.pdf","PDF")</f>
        <v>PDF</v>
      </c>
      <c r="K11978" s="12" t="s">
        <v>22566</v>
      </c>
      <c r="L11978" s="20">
        <v>0.27976190476190482</v>
      </c>
    </row>
    <row r="11979" spans="1:12" x14ac:dyDescent="0.45">
      <c r="A11979" s="12" t="s">
        <v>22454</v>
      </c>
      <c r="B11979" s="12" t="s">
        <v>1266</v>
      </c>
      <c r="C11979" s="13" t="s">
        <v>1267</v>
      </c>
      <c r="D11979" s="13" t="s">
        <v>179</v>
      </c>
      <c r="E11979" s="12" t="s">
        <v>16</v>
      </c>
      <c r="F11979" s="14">
        <v>114000</v>
      </c>
      <c r="G11979" s="14">
        <v>84300</v>
      </c>
      <c r="H11979" s="13" t="s">
        <v>22567</v>
      </c>
      <c r="I11979" s="40" t="s">
        <v>18</v>
      </c>
      <c r="J11979" s="40" t="str">
        <f>HYPERLINK("https://stock.pstatic.net/stock-research/company/31/20250519_company_599191000.pdf","PDF")</f>
        <v>PDF</v>
      </c>
      <c r="K11979" s="12" t="s">
        <v>22568</v>
      </c>
      <c r="L11979" s="20">
        <v>0.35231316725978651</v>
      </c>
    </row>
    <row r="11980" spans="1:12" x14ac:dyDescent="0.45">
      <c r="A11980" s="12" t="s">
        <v>22454</v>
      </c>
      <c r="B11980" s="12" t="s">
        <v>3602</v>
      </c>
      <c r="C11980" s="13" t="s">
        <v>3603</v>
      </c>
      <c r="D11980" s="13" t="s">
        <v>124</v>
      </c>
      <c r="E11980" s="12" t="s">
        <v>50</v>
      </c>
      <c r="F11980" s="13"/>
      <c r="G11980" s="13"/>
      <c r="H11980" s="13" t="s">
        <v>22569</v>
      </c>
      <c r="I11980" s="40" t="s">
        <v>18</v>
      </c>
      <c r="J11980" s="40" t="str">
        <f>HYPERLINK("https://stock.pstatic.net/stock-research/company/74/20250520_company_222658000.pdf","PDF")</f>
        <v>PDF</v>
      </c>
      <c r="K11980" s="12" t="s">
        <v>22570</v>
      </c>
    </row>
    <row r="11981" spans="1:12" x14ac:dyDescent="0.45">
      <c r="A11981" s="12" t="s">
        <v>22571</v>
      </c>
      <c r="B11981" s="12" t="s">
        <v>1467</v>
      </c>
      <c r="C11981" s="13" t="s">
        <v>1468</v>
      </c>
      <c r="D11981" s="13" t="s">
        <v>276</v>
      </c>
      <c r="E11981" s="12" t="s">
        <v>16</v>
      </c>
      <c r="F11981" s="14">
        <v>6500</v>
      </c>
      <c r="G11981" s="14">
        <v>5230</v>
      </c>
      <c r="H11981" s="13" t="s">
        <v>22572</v>
      </c>
      <c r="I11981" s="40" t="s">
        <v>18</v>
      </c>
      <c r="J11981" s="40" t="str">
        <f>HYPERLINK("https://stock.pstatic.net/stock-research/company/66/20250516_company_389622000.pdf","PDF")</f>
        <v>PDF</v>
      </c>
      <c r="K11981" s="12" t="s">
        <v>22573</v>
      </c>
      <c r="L11981" s="20">
        <v>0.24282982791586999</v>
      </c>
    </row>
    <row r="11982" spans="1:12" x14ac:dyDescent="0.45">
      <c r="A11982" s="12" t="s">
        <v>22571</v>
      </c>
      <c r="B11982" s="12" t="s">
        <v>22574</v>
      </c>
      <c r="C11982" s="13" t="s">
        <v>22575</v>
      </c>
      <c r="D11982" s="13" t="s">
        <v>276</v>
      </c>
      <c r="E11982" s="12" t="s">
        <v>16</v>
      </c>
      <c r="F11982" s="14">
        <v>23000</v>
      </c>
      <c r="G11982" s="14">
        <v>17220</v>
      </c>
      <c r="H11982" s="13" t="s">
        <v>22576</v>
      </c>
      <c r="I11982" s="40" t="s">
        <v>18</v>
      </c>
      <c r="J11982" s="40" t="str">
        <f>HYPERLINK("https://stock.pstatic.net/stock-research/company/66/20250516_company_988565000.pdf","PDF")</f>
        <v>PDF</v>
      </c>
      <c r="K11982" s="12" t="s">
        <v>22577</v>
      </c>
      <c r="L11982" s="20">
        <v>0.33565621370499421</v>
      </c>
    </row>
    <row r="11983" spans="1:12" x14ac:dyDescent="0.45">
      <c r="A11983" s="12" t="s">
        <v>22571</v>
      </c>
      <c r="B11983" s="12" t="s">
        <v>11689</v>
      </c>
      <c r="C11983" s="13" t="s">
        <v>11690</v>
      </c>
      <c r="D11983" s="13" t="s">
        <v>276</v>
      </c>
      <c r="E11983" s="12" t="s">
        <v>16</v>
      </c>
      <c r="F11983" s="14">
        <v>34000</v>
      </c>
      <c r="G11983" s="14">
        <v>27800</v>
      </c>
      <c r="H11983" s="13" t="s">
        <v>22578</v>
      </c>
      <c r="I11983" s="40" t="s">
        <v>18</v>
      </c>
      <c r="J11983" s="40" t="str">
        <f>HYPERLINK("https://stock.pstatic.net/stock-research/company/66/20250516_company_501320000.pdf","PDF")</f>
        <v>PDF</v>
      </c>
      <c r="K11983" s="12" t="s">
        <v>22579</v>
      </c>
      <c r="L11983" s="20">
        <v>0.22302158273381301</v>
      </c>
    </row>
    <row r="11984" spans="1:12" x14ac:dyDescent="0.45">
      <c r="A11984" s="12" t="s">
        <v>22571</v>
      </c>
      <c r="B11984" s="12" t="s">
        <v>3194</v>
      </c>
      <c r="C11984" s="13" t="s">
        <v>3195</v>
      </c>
      <c r="D11984" s="13" t="s">
        <v>60</v>
      </c>
      <c r="E11984" s="12" t="s">
        <v>35</v>
      </c>
      <c r="F11984" s="14">
        <v>14500</v>
      </c>
      <c r="G11984" s="14">
        <v>10760</v>
      </c>
      <c r="H11984" s="13" t="s">
        <v>22580</v>
      </c>
      <c r="I11984" s="40" t="s">
        <v>18</v>
      </c>
      <c r="J11984" s="40" t="str">
        <f>HYPERLINK("https://stock.pstatic.net/stock-research/company/34/20250516_company_200696000.pdf","PDF")</f>
        <v>PDF</v>
      </c>
      <c r="K11984" s="12" t="s">
        <v>22581</v>
      </c>
      <c r="L11984" s="20">
        <v>0.34758364312267659</v>
      </c>
    </row>
    <row r="11985" spans="1:12" x14ac:dyDescent="0.45">
      <c r="A11985" s="12" t="s">
        <v>22571</v>
      </c>
      <c r="B11985" s="12" t="s">
        <v>150</v>
      </c>
      <c r="C11985" s="13" t="s">
        <v>151</v>
      </c>
      <c r="D11985" s="13" t="s">
        <v>60</v>
      </c>
      <c r="E11985" s="12" t="s">
        <v>35</v>
      </c>
      <c r="F11985" s="14">
        <v>34000</v>
      </c>
      <c r="G11985" s="14">
        <v>24450</v>
      </c>
      <c r="H11985" s="13" t="s">
        <v>22582</v>
      </c>
      <c r="I11985" s="40" t="s">
        <v>18</v>
      </c>
      <c r="J11985" s="40" t="str">
        <f>HYPERLINK("https://stock.pstatic.net/stock-research/company/1/20250516_company_968452000.pdf","PDF")</f>
        <v>PDF</v>
      </c>
      <c r="K11985" s="12" t="s">
        <v>22583</v>
      </c>
      <c r="L11985" s="20">
        <v>0.39059304703476477</v>
      </c>
    </row>
    <row r="11986" spans="1:12" x14ac:dyDescent="0.45">
      <c r="A11986" s="12" t="s">
        <v>22571</v>
      </c>
      <c r="B11986" s="12" t="s">
        <v>1686</v>
      </c>
      <c r="C11986" s="13" t="s">
        <v>1687</v>
      </c>
      <c r="D11986" s="13" t="s">
        <v>60</v>
      </c>
      <c r="E11986" s="12" t="s">
        <v>35</v>
      </c>
      <c r="F11986" s="14">
        <v>1330000</v>
      </c>
      <c r="G11986" s="14">
        <v>991000</v>
      </c>
      <c r="H11986" s="13" t="s">
        <v>22584</v>
      </c>
      <c r="I11986" s="40" t="s">
        <v>18</v>
      </c>
      <c r="J11986" s="40" t="str">
        <f>HYPERLINK("https://stock.pstatic.net/stock-research/company/62/20250516_company_156520000.pdf","PDF")</f>
        <v>PDF</v>
      </c>
      <c r="K11986" s="12" t="s">
        <v>22585</v>
      </c>
      <c r="L11986" s="20">
        <v>0.3420787083753784</v>
      </c>
    </row>
    <row r="11987" spans="1:12" x14ac:dyDescent="0.45">
      <c r="A11987" s="12" t="s">
        <v>22571</v>
      </c>
      <c r="B11987" s="12" t="s">
        <v>1308</v>
      </c>
      <c r="C11987" s="13" t="s">
        <v>1309</v>
      </c>
      <c r="D11987" s="13" t="s">
        <v>60</v>
      </c>
      <c r="E11987" s="12" t="s">
        <v>35</v>
      </c>
      <c r="F11987" s="14">
        <v>460000</v>
      </c>
      <c r="G11987" s="13"/>
      <c r="H11987" s="13" t="s">
        <v>22586</v>
      </c>
      <c r="I11987" s="40" t="s">
        <v>18</v>
      </c>
      <c r="J11987" s="40" t="str">
        <f>HYPERLINK("https://stock.pstatic.net/stock-research/company/62/20250516_company_922879000.pdf","PDF")</f>
        <v>PDF</v>
      </c>
      <c r="K11987" s="12" t="s">
        <v>22587</v>
      </c>
    </row>
    <row r="11988" spans="1:12" x14ac:dyDescent="0.45">
      <c r="A11988" s="12" t="s">
        <v>22571</v>
      </c>
      <c r="B11988" s="12" t="s">
        <v>6131</v>
      </c>
      <c r="C11988" s="13" t="s">
        <v>6132</v>
      </c>
      <c r="D11988" s="13" t="s">
        <v>65</v>
      </c>
      <c r="E11988" s="12" t="s">
        <v>35</v>
      </c>
      <c r="F11988" s="14">
        <v>15000</v>
      </c>
      <c r="G11988" s="14">
        <v>10000</v>
      </c>
      <c r="H11988" s="13" t="s">
        <v>22588</v>
      </c>
      <c r="I11988" s="40" t="s">
        <v>18</v>
      </c>
      <c r="J11988" s="40" t="str">
        <f>HYPERLINK("https://stock.pstatic.net/stock-research/company/57/20250516_company_284681000.pdf","PDF")</f>
        <v>PDF</v>
      </c>
      <c r="K11988" s="12" t="s">
        <v>22589</v>
      </c>
      <c r="L11988" s="20">
        <v>0.5</v>
      </c>
    </row>
    <row r="11989" spans="1:12" x14ac:dyDescent="0.45">
      <c r="A11989" s="12" t="s">
        <v>22571</v>
      </c>
      <c r="B11989" s="12" t="s">
        <v>1686</v>
      </c>
      <c r="C11989" s="13" t="s">
        <v>1687</v>
      </c>
      <c r="D11989" s="13" t="s">
        <v>65</v>
      </c>
      <c r="E11989" s="12" t="s">
        <v>35</v>
      </c>
      <c r="F11989" s="14">
        <v>1350000</v>
      </c>
      <c r="G11989" s="14">
        <v>991000</v>
      </c>
      <c r="H11989" s="13" t="s">
        <v>22590</v>
      </c>
      <c r="I11989" s="40" t="s">
        <v>18</v>
      </c>
      <c r="J11989" s="40" t="str">
        <f>HYPERLINK("https://stock.pstatic.net/stock-research/company/57/20250516_company_42589000.pdf","PDF")</f>
        <v>PDF</v>
      </c>
      <c r="K11989" s="12" t="s">
        <v>22591</v>
      </c>
      <c r="L11989" s="20">
        <v>0.36226034308779009</v>
      </c>
    </row>
    <row r="11990" spans="1:12" x14ac:dyDescent="0.45">
      <c r="A11990" s="12" t="s">
        <v>22571</v>
      </c>
      <c r="B11990" s="12" t="s">
        <v>1308</v>
      </c>
      <c r="C11990" s="13" t="s">
        <v>1309</v>
      </c>
      <c r="D11990" s="13" t="s">
        <v>65</v>
      </c>
      <c r="E11990" s="12" t="s">
        <v>35</v>
      </c>
      <c r="F11990" s="14">
        <v>540000</v>
      </c>
      <c r="G11990" s="14">
        <v>415000</v>
      </c>
      <c r="H11990" s="13" t="s">
        <v>22592</v>
      </c>
      <c r="I11990" s="40" t="s">
        <v>18</v>
      </c>
      <c r="J11990" s="40" t="str">
        <f>HYPERLINK("https://stock.pstatic.net/stock-research/company/57/20250516_company_524468000.pdf","PDF")</f>
        <v>PDF</v>
      </c>
      <c r="K11990" s="12" t="s">
        <v>22593</v>
      </c>
      <c r="L11990" s="20">
        <v>0.30120481927710852</v>
      </c>
    </row>
    <row r="11991" spans="1:12" x14ac:dyDescent="0.45">
      <c r="A11991" s="12" t="s">
        <v>22571</v>
      </c>
      <c r="B11991" s="12" t="s">
        <v>12062</v>
      </c>
      <c r="C11991" s="13" t="s">
        <v>12063</v>
      </c>
      <c r="D11991" s="13" t="s">
        <v>65</v>
      </c>
      <c r="E11991" s="12" t="s">
        <v>50</v>
      </c>
      <c r="F11991" s="13"/>
      <c r="G11991" s="14">
        <v>9190</v>
      </c>
      <c r="H11991" s="13" t="s">
        <v>22594</v>
      </c>
      <c r="I11991" s="40" t="s">
        <v>18</v>
      </c>
      <c r="J11991" s="40" t="str">
        <f>HYPERLINK("https://stock.pstatic.net/stock-research/company/57/20250516_company_75115000.pdf","PDF")</f>
        <v>PDF</v>
      </c>
      <c r="K11991" s="12" t="s">
        <v>22595</v>
      </c>
    </row>
    <row r="11992" spans="1:12" x14ac:dyDescent="0.45">
      <c r="A11992" s="12" t="s">
        <v>22571</v>
      </c>
      <c r="B11992" s="12" t="s">
        <v>1300</v>
      </c>
      <c r="C11992" s="13" t="s">
        <v>1301</v>
      </c>
      <c r="D11992" s="13" t="s">
        <v>65</v>
      </c>
      <c r="E11992" s="12" t="s">
        <v>35</v>
      </c>
      <c r="F11992" s="14">
        <v>260000</v>
      </c>
      <c r="G11992" s="14">
        <v>168500</v>
      </c>
      <c r="H11992" s="13" t="s">
        <v>22596</v>
      </c>
      <c r="I11992" s="40" t="s">
        <v>18</v>
      </c>
      <c r="J11992" s="40" t="str">
        <f>HYPERLINK("https://stock.pstatic.net/stock-research/company/57/20250516_company_749054000.pdf","PDF")</f>
        <v>PDF</v>
      </c>
      <c r="K11992" s="12" t="s">
        <v>22597</v>
      </c>
      <c r="L11992" s="20">
        <v>0.54302670623145399</v>
      </c>
    </row>
    <row r="11993" spans="1:12" x14ac:dyDescent="0.45">
      <c r="A11993" s="12" t="s">
        <v>22571</v>
      </c>
      <c r="B11993" s="12" t="s">
        <v>16217</v>
      </c>
      <c r="C11993" s="13" t="s">
        <v>16218</v>
      </c>
      <c r="D11993" s="13" t="s">
        <v>65</v>
      </c>
      <c r="E11993" s="12" t="s">
        <v>35</v>
      </c>
      <c r="F11993" s="14">
        <v>11500</v>
      </c>
      <c r="G11993" s="14">
        <v>8550</v>
      </c>
      <c r="H11993" s="13" t="s">
        <v>22598</v>
      </c>
      <c r="I11993" s="40" t="s">
        <v>18</v>
      </c>
      <c r="J11993" s="40" t="str">
        <f>HYPERLINK("https://stock.pstatic.net/stock-research/company/1/20250516_company_41842000.pdf","PDF")</f>
        <v>PDF</v>
      </c>
      <c r="K11993" s="12" t="s">
        <v>22599</v>
      </c>
      <c r="L11993" s="20">
        <v>0.34502923976608191</v>
      </c>
    </row>
    <row r="11994" spans="1:12" x14ac:dyDescent="0.45">
      <c r="A11994" s="12" t="s">
        <v>22571</v>
      </c>
      <c r="B11994" s="12" t="s">
        <v>1286</v>
      </c>
      <c r="C11994" s="13" t="s">
        <v>1287</v>
      </c>
      <c r="D11994" s="13" t="s">
        <v>65</v>
      </c>
      <c r="E11994" s="12" t="s">
        <v>35</v>
      </c>
      <c r="F11994" s="14">
        <v>41000</v>
      </c>
      <c r="G11994" s="14">
        <v>33050</v>
      </c>
      <c r="H11994" s="13" t="s">
        <v>22600</v>
      </c>
      <c r="I11994" s="40" t="s">
        <v>18</v>
      </c>
      <c r="J11994" s="40" t="str">
        <f>HYPERLINK("https://stock.pstatic.net/stock-research/company/57/20250516_company_860846000.pdf","PDF")</f>
        <v>PDF</v>
      </c>
      <c r="K11994" s="12" t="s">
        <v>22601</v>
      </c>
      <c r="L11994" s="20">
        <v>0.24054462934947049</v>
      </c>
    </row>
    <row r="11995" spans="1:12" x14ac:dyDescent="0.45">
      <c r="A11995" s="12" t="s">
        <v>22571</v>
      </c>
      <c r="B11995" s="12" t="s">
        <v>1556</v>
      </c>
      <c r="C11995" s="13" t="s">
        <v>1557</v>
      </c>
      <c r="D11995" s="13" t="s">
        <v>65</v>
      </c>
      <c r="E11995" s="12" t="s">
        <v>35</v>
      </c>
      <c r="F11995" s="14">
        <v>24000</v>
      </c>
      <c r="G11995" s="14">
        <v>18050</v>
      </c>
      <c r="H11995" s="13" t="s">
        <v>22602</v>
      </c>
      <c r="I11995" s="40" t="s">
        <v>18</v>
      </c>
      <c r="J11995" s="40" t="str">
        <f>HYPERLINK("https://stock.pstatic.net/stock-research/company/57/20250516_company_259788000.pdf","PDF")</f>
        <v>PDF</v>
      </c>
      <c r="K11995" s="12" t="s">
        <v>22603</v>
      </c>
      <c r="L11995" s="20">
        <v>0.32963988919667592</v>
      </c>
    </row>
    <row r="11996" spans="1:12" x14ac:dyDescent="0.45">
      <c r="A11996" s="12" t="s">
        <v>22571</v>
      </c>
      <c r="B11996" s="12" t="s">
        <v>1286</v>
      </c>
      <c r="C11996" s="13" t="s">
        <v>1287</v>
      </c>
      <c r="D11996" s="13" t="s">
        <v>83</v>
      </c>
      <c r="E11996" s="12" t="s">
        <v>35</v>
      </c>
      <c r="F11996" s="14">
        <v>54000</v>
      </c>
      <c r="G11996" s="14">
        <v>33050</v>
      </c>
      <c r="H11996" s="13" t="s">
        <v>22604</v>
      </c>
      <c r="I11996" s="40" t="s">
        <v>18</v>
      </c>
      <c r="J11996" s="40" t="str">
        <f>HYPERLINK("https://stock.pstatic.net/stock-research/company/2/20250516_company_487683000.pdf","PDF")</f>
        <v>PDF</v>
      </c>
      <c r="K11996" s="12" t="s">
        <v>22605</v>
      </c>
      <c r="L11996" s="20">
        <v>0.63388804841149771</v>
      </c>
    </row>
    <row r="11997" spans="1:12" x14ac:dyDescent="0.45">
      <c r="A11997" s="12" t="s">
        <v>22571</v>
      </c>
      <c r="B11997" s="12" t="s">
        <v>4172</v>
      </c>
      <c r="C11997" s="13" t="s">
        <v>4173</v>
      </c>
      <c r="D11997" s="13" t="s">
        <v>83</v>
      </c>
      <c r="E11997" s="12" t="s">
        <v>35</v>
      </c>
      <c r="F11997" s="14">
        <v>12000</v>
      </c>
      <c r="G11997" s="14">
        <v>8500</v>
      </c>
      <c r="H11997" s="13" t="s">
        <v>22606</v>
      </c>
      <c r="I11997" s="40" t="s">
        <v>18</v>
      </c>
      <c r="J11997" s="40" t="str">
        <f>HYPERLINK("https://stock.pstatic.net/stock-research/company/2/20250516_company_959395000.pdf","PDF")</f>
        <v>PDF</v>
      </c>
      <c r="K11997" s="12" t="s">
        <v>22607</v>
      </c>
      <c r="L11997" s="20">
        <v>0.41176470588235292</v>
      </c>
    </row>
    <row r="11998" spans="1:12" x14ac:dyDescent="0.45">
      <c r="A11998" s="12" t="s">
        <v>22571</v>
      </c>
      <c r="B11998" s="12" t="s">
        <v>6873</v>
      </c>
      <c r="C11998" s="13" t="s">
        <v>6874</v>
      </c>
      <c r="D11998" s="13" t="s">
        <v>83</v>
      </c>
      <c r="E11998" s="12" t="s">
        <v>35</v>
      </c>
      <c r="F11998" s="14">
        <v>15000</v>
      </c>
      <c r="G11998" s="14">
        <v>11000</v>
      </c>
      <c r="H11998" s="13" t="s">
        <v>22608</v>
      </c>
      <c r="I11998" s="40" t="s">
        <v>18</v>
      </c>
      <c r="J11998" s="40" t="str">
        <f>HYPERLINK("https://stock.pstatic.net/stock-research/company/2/20250516_company_379506000.pdf","PDF")</f>
        <v>PDF</v>
      </c>
      <c r="K11998" s="12" t="s">
        <v>22609</v>
      </c>
      <c r="L11998" s="20">
        <v>0.36363636363636359</v>
      </c>
    </row>
    <row r="11999" spans="1:12" x14ac:dyDescent="0.45">
      <c r="A11999" s="12" t="s">
        <v>22571</v>
      </c>
      <c r="B11999" s="12" t="s">
        <v>177</v>
      </c>
      <c r="C11999" s="13" t="s">
        <v>178</v>
      </c>
      <c r="D11999" s="13" t="s">
        <v>83</v>
      </c>
      <c r="E11999" s="12" t="s">
        <v>35</v>
      </c>
      <c r="F11999" s="14">
        <v>15000</v>
      </c>
      <c r="G11999" s="14">
        <v>9700</v>
      </c>
      <c r="H11999" s="13" t="s">
        <v>22610</v>
      </c>
      <c r="I11999" s="40" t="s">
        <v>18</v>
      </c>
      <c r="J11999" s="40" t="str">
        <f>HYPERLINK("https://stock.pstatic.net/stock-research/company/2/20250516_company_70775000.pdf","PDF")</f>
        <v>PDF</v>
      </c>
      <c r="K11999" s="12" t="s">
        <v>22611</v>
      </c>
      <c r="L11999" s="20">
        <v>0.54639175257731953</v>
      </c>
    </row>
    <row r="12000" spans="1:12" x14ac:dyDescent="0.45">
      <c r="A12000" s="12" t="s">
        <v>22571</v>
      </c>
      <c r="B12000" s="12" t="s">
        <v>1445</v>
      </c>
      <c r="C12000" s="13" t="s">
        <v>1446</v>
      </c>
      <c r="D12000" s="13" t="s">
        <v>83</v>
      </c>
      <c r="E12000" s="12" t="s">
        <v>35</v>
      </c>
      <c r="F12000" s="14">
        <v>18000</v>
      </c>
      <c r="G12000" s="14">
        <v>13030</v>
      </c>
      <c r="H12000" s="13" t="s">
        <v>22612</v>
      </c>
      <c r="I12000" s="40" t="s">
        <v>18</v>
      </c>
      <c r="J12000" s="40" t="str">
        <f>HYPERLINK("https://stock.pstatic.net/stock-research/company/2/20250516_company_930227000.pdf","PDF")</f>
        <v>PDF</v>
      </c>
      <c r="K12000" s="12" t="s">
        <v>22613</v>
      </c>
      <c r="L12000" s="20">
        <v>0.38142747505755947</v>
      </c>
    </row>
    <row r="12001" spans="1:12" x14ac:dyDescent="0.45">
      <c r="A12001" s="12" t="s">
        <v>22571</v>
      </c>
      <c r="B12001" s="12" t="s">
        <v>836</v>
      </c>
      <c r="C12001" s="13" t="s">
        <v>837</v>
      </c>
      <c r="D12001" s="13" t="s">
        <v>83</v>
      </c>
      <c r="E12001" s="12" t="s">
        <v>35</v>
      </c>
      <c r="F12001" s="14">
        <v>110000</v>
      </c>
      <c r="G12001" s="14">
        <v>100800</v>
      </c>
      <c r="H12001" s="13" t="s">
        <v>22614</v>
      </c>
      <c r="I12001" s="40" t="s">
        <v>18</v>
      </c>
      <c r="J12001" s="40" t="str">
        <f>HYPERLINK("https://stock.pstatic.net/stock-research/company/2/20250516_company_371102000.pdf","PDF")</f>
        <v>PDF</v>
      </c>
      <c r="K12001" s="12" t="s">
        <v>22615</v>
      </c>
      <c r="L12001" s="20">
        <v>9.1269841269841265E-2</v>
      </c>
    </row>
    <row r="12002" spans="1:12" x14ac:dyDescent="0.45">
      <c r="A12002" s="12" t="s">
        <v>22571</v>
      </c>
      <c r="B12002" s="12" t="s">
        <v>812</v>
      </c>
      <c r="C12002" s="13" t="s">
        <v>813</v>
      </c>
      <c r="D12002" s="13" t="s">
        <v>57</v>
      </c>
      <c r="E12002" s="12" t="s">
        <v>35</v>
      </c>
      <c r="F12002" s="14">
        <v>70000</v>
      </c>
      <c r="G12002" s="14">
        <v>50600</v>
      </c>
      <c r="H12002" s="13" t="s">
        <v>22616</v>
      </c>
      <c r="I12002" s="40" t="s">
        <v>18</v>
      </c>
      <c r="J12002" s="40" t="str">
        <f>HYPERLINK("https://stock.pstatic.net/stock-research/company/16/20250516_company_411957000.pdf","PDF")</f>
        <v>PDF</v>
      </c>
      <c r="K12002" s="12" t="s">
        <v>22617</v>
      </c>
      <c r="L12002" s="20">
        <v>0.38339920948616601</v>
      </c>
    </row>
    <row r="12003" spans="1:12" x14ac:dyDescent="0.45">
      <c r="A12003" s="12" t="s">
        <v>22571</v>
      </c>
      <c r="B12003" s="12" t="s">
        <v>1308</v>
      </c>
      <c r="C12003" s="13" t="s">
        <v>1309</v>
      </c>
      <c r="D12003" s="13" t="s">
        <v>57</v>
      </c>
      <c r="E12003" s="12" t="s">
        <v>35</v>
      </c>
      <c r="F12003" s="14">
        <v>500000</v>
      </c>
      <c r="G12003" s="14">
        <v>415000</v>
      </c>
      <c r="H12003" s="13" t="s">
        <v>22618</v>
      </c>
      <c r="I12003" s="40" t="s">
        <v>18</v>
      </c>
      <c r="J12003" s="40" t="str">
        <f>HYPERLINK("https://stock.pstatic.net/stock-research/company/16/20250516_company_520657000.pdf","PDF")</f>
        <v>PDF</v>
      </c>
      <c r="K12003" s="12" t="s">
        <v>22619</v>
      </c>
      <c r="L12003" s="20">
        <v>0.2048192771084337</v>
      </c>
    </row>
    <row r="12004" spans="1:12" x14ac:dyDescent="0.45">
      <c r="A12004" s="12" t="s">
        <v>22571</v>
      </c>
      <c r="B12004" s="12" t="s">
        <v>1686</v>
      </c>
      <c r="C12004" s="13" t="s">
        <v>1687</v>
      </c>
      <c r="D12004" s="13" t="s">
        <v>57</v>
      </c>
      <c r="E12004" s="12" t="s">
        <v>35</v>
      </c>
      <c r="F12004" s="14">
        <v>1700000</v>
      </c>
      <c r="G12004" s="14">
        <v>991000</v>
      </c>
      <c r="H12004" s="13" t="s">
        <v>22620</v>
      </c>
      <c r="I12004" s="40" t="s">
        <v>18</v>
      </c>
      <c r="J12004" s="40" t="str">
        <f>HYPERLINK("https://stock.pstatic.net/stock-research/company/16/20250516_company_535677000.pdf","PDF")</f>
        <v>PDF</v>
      </c>
      <c r="K12004" s="12" t="s">
        <v>22621</v>
      </c>
      <c r="L12004" s="20">
        <v>0.71543895055499496</v>
      </c>
    </row>
    <row r="12005" spans="1:12" x14ac:dyDescent="0.45">
      <c r="A12005" s="12" t="s">
        <v>22571</v>
      </c>
      <c r="B12005" s="12" t="s">
        <v>824</v>
      </c>
      <c r="C12005" s="13" t="s">
        <v>825</v>
      </c>
      <c r="D12005" s="13" t="s">
        <v>57</v>
      </c>
      <c r="E12005" s="12" t="s">
        <v>35</v>
      </c>
      <c r="F12005" s="14">
        <v>61000</v>
      </c>
      <c r="G12005" s="14">
        <v>37850</v>
      </c>
      <c r="H12005" s="13" t="s">
        <v>22622</v>
      </c>
      <c r="I12005" s="40" t="s">
        <v>18</v>
      </c>
      <c r="J12005" s="40" t="str">
        <f>HYPERLINK("https://stock.pstatic.net/stock-research/company/16/20250516_company_558605000.pdf","PDF")</f>
        <v>PDF</v>
      </c>
      <c r="K12005" s="12" t="s">
        <v>22623</v>
      </c>
      <c r="L12005" s="20">
        <v>0.61162483487450459</v>
      </c>
    </row>
    <row r="12006" spans="1:12" x14ac:dyDescent="0.45">
      <c r="A12006" s="12" t="s">
        <v>22571</v>
      </c>
      <c r="B12006" s="12" t="s">
        <v>1252</v>
      </c>
      <c r="C12006" s="13" t="s">
        <v>1253</v>
      </c>
      <c r="D12006" s="13" t="s">
        <v>57</v>
      </c>
      <c r="E12006" s="12" t="s">
        <v>35</v>
      </c>
      <c r="F12006" s="14">
        <v>5600</v>
      </c>
      <c r="G12006" s="14">
        <v>4275</v>
      </c>
      <c r="H12006" s="13" t="s">
        <v>22624</v>
      </c>
      <c r="I12006" s="40" t="s">
        <v>18</v>
      </c>
      <c r="J12006" s="40" t="str">
        <f>HYPERLINK("https://stock.pstatic.net/stock-research/company/16/20250516_company_854939000.pdf","PDF")</f>
        <v>PDF</v>
      </c>
      <c r="K12006" s="12" t="s">
        <v>22625</v>
      </c>
      <c r="L12006" s="20">
        <v>0.30994152046783618</v>
      </c>
    </row>
    <row r="12007" spans="1:12" x14ac:dyDescent="0.45">
      <c r="A12007" s="12" t="s">
        <v>22571</v>
      </c>
      <c r="B12007" s="12" t="s">
        <v>1308</v>
      </c>
      <c r="C12007" s="13" t="s">
        <v>1309</v>
      </c>
      <c r="D12007" s="13" t="s">
        <v>158</v>
      </c>
      <c r="E12007" s="12" t="s">
        <v>35</v>
      </c>
      <c r="F12007" s="14">
        <v>490000</v>
      </c>
      <c r="G12007" s="14">
        <v>415000</v>
      </c>
      <c r="H12007" s="13" t="s">
        <v>22626</v>
      </c>
      <c r="I12007" s="40" t="s">
        <v>18</v>
      </c>
      <c r="J12007" s="40" t="str">
        <f>HYPERLINK("https://stock.pstatic.net/stock-research/company/18/20250516_company_48698000.pdf","PDF")</f>
        <v>PDF</v>
      </c>
      <c r="K12007" s="12" t="s">
        <v>22627</v>
      </c>
      <c r="L12007" s="20">
        <v>0.18072289156626509</v>
      </c>
    </row>
    <row r="12008" spans="1:12" x14ac:dyDescent="0.45">
      <c r="A12008" s="12" t="s">
        <v>22571</v>
      </c>
      <c r="B12008" s="12" t="s">
        <v>1686</v>
      </c>
      <c r="C12008" s="13" t="s">
        <v>1687</v>
      </c>
      <c r="D12008" s="13" t="s">
        <v>158</v>
      </c>
      <c r="E12008" s="12" t="s">
        <v>35</v>
      </c>
      <c r="F12008" s="14">
        <v>1310000</v>
      </c>
      <c r="G12008" s="14">
        <v>991000</v>
      </c>
      <c r="H12008" s="13" t="s">
        <v>22628</v>
      </c>
      <c r="I12008" s="40" t="s">
        <v>18</v>
      </c>
      <c r="J12008" s="40" t="str">
        <f>HYPERLINK("https://stock.pstatic.net/stock-research/company/18/20250516_company_458456000.pdf","PDF")</f>
        <v>PDF</v>
      </c>
      <c r="K12008" s="12" t="s">
        <v>22629</v>
      </c>
      <c r="L12008" s="20">
        <v>0.32189707366296672</v>
      </c>
    </row>
    <row r="12009" spans="1:12" x14ac:dyDescent="0.45">
      <c r="A12009" s="12" t="s">
        <v>22571</v>
      </c>
      <c r="B12009" s="12" t="s">
        <v>1278</v>
      </c>
      <c r="C12009" s="13" t="s">
        <v>1279</v>
      </c>
      <c r="D12009" s="13" t="s">
        <v>158</v>
      </c>
      <c r="E12009" s="12" t="s">
        <v>35</v>
      </c>
      <c r="F12009" s="14">
        <v>113000</v>
      </c>
      <c r="G12009" s="14">
        <v>93500</v>
      </c>
      <c r="H12009" s="13" t="s">
        <v>22630</v>
      </c>
      <c r="I12009" s="40" t="s">
        <v>18</v>
      </c>
      <c r="J12009" s="40" t="str">
        <f>HYPERLINK("https://stock.pstatic.net/stock-research/company/1/20250516_company_663278000.pdf","PDF")</f>
        <v>PDF</v>
      </c>
      <c r="K12009" s="12" t="s">
        <v>22631</v>
      </c>
      <c r="L12009" s="20">
        <v>0.20855614973262029</v>
      </c>
    </row>
    <row r="12010" spans="1:12" x14ac:dyDescent="0.45">
      <c r="A12010" s="12" t="s">
        <v>22571</v>
      </c>
      <c r="B12010" s="12" t="s">
        <v>824</v>
      </c>
      <c r="C12010" s="13" t="s">
        <v>825</v>
      </c>
      <c r="D12010" s="13" t="s">
        <v>15</v>
      </c>
      <c r="E12010" s="12" t="s">
        <v>16</v>
      </c>
      <c r="F12010" s="14">
        <v>47000</v>
      </c>
      <c r="G12010" s="14">
        <v>37850</v>
      </c>
      <c r="H12010" s="13" t="s">
        <v>22632</v>
      </c>
      <c r="I12010" s="40" t="s">
        <v>18</v>
      </c>
      <c r="J12010" s="40" t="str">
        <f>HYPERLINK("https://stock.pstatic.net/stock-research/company/29/20250516_company_573428000.pdf","PDF")</f>
        <v>PDF</v>
      </c>
      <c r="K12010" s="12" t="s">
        <v>22633</v>
      </c>
      <c r="L12010" s="20">
        <v>0.24174372523117571</v>
      </c>
    </row>
    <row r="12011" spans="1:12" x14ac:dyDescent="0.45">
      <c r="A12011" s="12" t="s">
        <v>22571</v>
      </c>
      <c r="B12011" s="12" t="s">
        <v>352</v>
      </c>
      <c r="C12011" s="13" t="s">
        <v>353</v>
      </c>
      <c r="D12011" s="13" t="s">
        <v>23</v>
      </c>
      <c r="E12011" s="12" t="s">
        <v>16</v>
      </c>
      <c r="F12011" s="14">
        <v>100000</v>
      </c>
      <c r="G12011" s="14">
        <v>111300</v>
      </c>
      <c r="H12011" s="13" t="s">
        <v>22634</v>
      </c>
      <c r="I12011" s="40" t="s">
        <v>18</v>
      </c>
      <c r="J12011" s="40" t="str">
        <f>HYPERLINK("https://stock.pstatic.net/stock-research/company/21/20250516_company_49769000.pdf","PDF")</f>
        <v>PDF</v>
      </c>
      <c r="K12011" s="12" t="s">
        <v>22635</v>
      </c>
      <c r="L12011" s="20">
        <v>-0.1015274034141959</v>
      </c>
    </row>
    <row r="12012" spans="1:12" x14ac:dyDescent="0.45">
      <c r="A12012" s="12" t="s">
        <v>22571</v>
      </c>
      <c r="B12012" s="12" t="s">
        <v>812</v>
      </c>
      <c r="C12012" s="13" t="s">
        <v>813</v>
      </c>
      <c r="D12012" s="13" t="s">
        <v>15</v>
      </c>
      <c r="E12012" s="12" t="s">
        <v>16</v>
      </c>
      <c r="F12012" s="14">
        <v>65000</v>
      </c>
      <c r="G12012" s="14">
        <v>50600</v>
      </c>
      <c r="H12012" s="13" t="s">
        <v>22636</v>
      </c>
      <c r="I12012" s="40" t="s">
        <v>18</v>
      </c>
      <c r="J12012" s="40" t="str">
        <f>HYPERLINK("https://stock.pstatic.net/stock-research/company/29/20250516_company_979758000.pdf","PDF")</f>
        <v>PDF</v>
      </c>
      <c r="K12012" s="12" t="s">
        <v>22637</v>
      </c>
      <c r="L12012" s="20">
        <v>0.28458498023715417</v>
      </c>
    </row>
    <row r="12013" spans="1:12" x14ac:dyDescent="0.45">
      <c r="A12013" s="12" t="s">
        <v>22571</v>
      </c>
      <c r="B12013" s="12" t="s">
        <v>1262</v>
      </c>
      <c r="C12013" s="13" t="s">
        <v>1263</v>
      </c>
      <c r="D12013" s="13" t="s">
        <v>179</v>
      </c>
      <c r="E12013" s="12" t="s">
        <v>16</v>
      </c>
      <c r="F12013" s="14">
        <v>3300</v>
      </c>
      <c r="G12013" s="14">
        <v>2640</v>
      </c>
      <c r="H12013" s="13" t="s">
        <v>22638</v>
      </c>
      <c r="I12013" s="40" t="s">
        <v>18</v>
      </c>
      <c r="J12013" s="40" t="str">
        <f>HYPERLINK("https://stock.pstatic.net/stock-research/company/31/20250516_company_146087000.pdf","PDF")</f>
        <v>PDF</v>
      </c>
      <c r="K12013" s="12" t="s">
        <v>22639</v>
      </c>
      <c r="L12013" s="20">
        <v>0.25</v>
      </c>
    </row>
    <row r="12014" spans="1:12" x14ac:dyDescent="0.45">
      <c r="A12014" s="12" t="s">
        <v>22571</v>
      </c>
      <c r="B12014" s="12" t="s">
        <v>868</v>
      </c>
      <c r="C12014" s="13" t="s">
        <v>869</v>
      </c>
      <c r="D12014" s="13" t="s">
        <v>179</v>
      </c>
      <c r="E12014" s="12" t="s">
        <v>16</v>
      </c>
      <c r="F12014" s="14">
        <v>43000</v>
      </c>
      <c r="G12014" s="14">
        <v>31950</v>
      </c>
      <c r="H12014" s="13" t="s">
        <v>22640</v>
      </c>
      <c r="I12014" s="40" t="s">
        <v>18</v>
      </c>
      <c r="J12014" s="40" t="str">
        <f>HYPERLINK("https://stock.pstatic.net/stock-research/company/31/20250516_company_410512000.pdf","PDF")</f>
        <v>PDF</v>
      </c>
      <c r="K12014" s="12" t="s">
        <v>22641</v>
      </c>
      <c r="L12014" s="20">
        <v>0.34585289514866979</v>
      </c>
    </row>
    <row r="12015" spans="1:12" x14ac:dyDescent="0.45">
      <c r="A12015" s="12" t="s">
        <v>22571</v>
      </c>
      <c r="B12015" s="12" t="s">
        <v>868</v>
      </c>
      <c r="C12015" s="13" t="s">
        <v>869</v>
      </c>
      <c r="D12015" s="13" t="s">
        <v>44</v>
      </c>
      <c r="E12015" s="12" t="s">
        <v>35</v>
      </c>
      <c r="F12015" s="14">
        <v>53000</v>
      </c>
      <c r="G12015" s="14">
        <v>31950</v>
      </c>
      <c r="H12015" s="13" t="s">
        <v>22642</v>
      </c>
      <c r="I12015" s="40" t="s">
        <v>18</v>
      </c>
      <c r="J12015" s="40" t="str">
        <f>HYPERLINK("https://stock.pstatic.net/stock-research/company/39/20250516_company_51080000.pdf","PDF")</f>
        <v>PDF</v>
      </c>
      <c r="K12015" s="12" t="s">
        <v>22643</v>
      </c>
      <c r="L12015" s="20">
        <v>0.65884194053208134</v>
      </c>
    </row>
    <row r="12016" spans="1:12" x14ac:dyDescent="0.45">
      <c r="A12016" s="12" t="s">
        <v>22571</v>
      </c>
      <c r="B12016" s="12" t="s">
        <v>824</v>
      </c>
      <c r="C12016" s="13" t="s">
        <v>825</v>
      </c>
      <c r="D12016" s="13" t="s">
        <v>179</v>
      </c>
      <c r="E12016" s="12" t="s">
        <v>16</v>
      </c>
      <c r="F12016" s="14">
        <v>47000</v>
      </c>
      <c r="G12016" s="14">
        <v>37850</v>
      </c>
      <c r="H12016" s="13" t="s">
        <v>22644</v>
      </c>
      <c r="I12016" s="40" t="s">
        <v>18</v>
      </c>
      <c r="J12016" s="40" t="str">
        <f>HYPERLINK("https://stock.pstatic.net/stock-research/company/31/20250516_company_259322000.pdf","PDF")</f>
        <v>PDF</v>
      </c>
      <c r="K12016" s="12" t="s">
        <v>22645</v>
      </c>
      <c r="L12016" s="20">
        <v>0.24174372523117571</v>
      </c>
    </row>
    <row r="12017" spans="1:12" x14ac:dyDescent="0.45">
      <c r="A12017" s="12" t="s">
        <v>22571</v>
      </c>
      <c r="B12017" s="12" t="s">
        <v>585</v>
      </c>
      <c r="C12017" s="13" t="s">
        <v>586</v>
      </c>
      <c r="D12017" s="13" t="s">
        <v>44</v>
      </c>
      <c r="E12017" s="12" t="s">
        <v>50</v>
      </c>
      <c r="F12017" s="13"/>
      <c r="G12017" s="14">
        <v>31900</v>
      </c>
      <c r="H12017" s="13" t="s">
        <v>22646</v>
      </c>
      <c r="I12017" s="40" t="s">
        <v>18</v>
      </c>
      <c r="J12017" s="40" t="str">
        <f>HYPERLINK("https://stock.pstatic.net/stock-research/company/39/20250516_company_728774000.pdf","PDF")</f>
        <v>PDF</v>
      </c>
      <c r="K12017" s="12" t="s">
        <v>22647</v>
      </c>
    </row>
    <row r="12018" spans="1:12" x14ac:dyDescent="0.45">
      <c r="A12018" s="12" t="s">
        <v>22571</v>
      </c>
      <c r="B12018" s="12" t="s">
        <v>1686</v>
      </c>
      <c r="C12018" s="13" t="s">
        <v>1687</v>
      </c>
      <c r="D12018" s="13" t="s">
        <v>44</v>
      </c>
      <c r="E12018" s="12" t="s">
        <v>35</v>
      </c>
      <c r="F12018" s="14">
        <v>1400000</v>
      </c>
      <c r="G12018" s="14">
        <v>991000</v>
      </c>
      <c r="H12018" s="13" t="s">
        <v>22648</v>
      </c>
      <c r="I12018" s="40" t="s">
        <v>18</v>
      </c>
      <c r="J12018" s="40" t="str">
        <f>HYPERLINK("https://stock.pstatic.net/stock-research/company/39/20250516_company_777695000.pdf","PDF")</f>
        <v>PDF</v>
      </c>
      <c r="K12018" s="12" t="s">
        <v>22649</v>
      </c>
      <c r="L12018" s="20">
        <v>0.4127144298688194</v>
      </c>
    </row>
    <row r="12019" spans="1:12" x14ac:dyDescent="0.45">
      <c r="A12019" s="12" t="s">
        <v>22571</v>
      </c>
      <c r="B12019" s="12" t="s">
        <v>1278</v>
      </c>
      <c r="C12019" s="13" t="s">
        <v>1279</v>
      </c>
      <c r="D12019" s="13" t="s">
        <v>44</v>
      </c>
      <c r="E12019" s="12" t="s">
        <v>35</v>
      </c>
      <c r="F12019" s="14">
        <v>113000</v>
      </c>
      <c r="G12019" s="14">
        <v>78100</v>
      </c>
      <c r="H12019" s="13" t="s">
        <v>22650</v>
      </c>
      <c r="I12019" s="40" t="s">
        <v>18</v>
      </c>
      <c r="J12019" s="40" t="str">
        <f>HYPERLINK("https://stock.pstatic.net/stock-research/company/39/20250516_company_941038000.pdf","PDF")</f>
        <v>PDF</v>
      </c>
      <c r="K12019" s="12" t="s">
        <v>22651</v>
      </c>
      <c r="L12019" s="20">
        <v>0.44686299615877079</v>
      </c>
    </row>
    <row r="12020" spans="1:12" x14ac:dyDescent="0.45">
      <c r="A12020" s="12" t="s">
        <v>22571</v>
      </c>
      <c r="B12020" s="12" t="s">
        <v>1270</v>
      </c>
      <c r="C12020" s="13" t="s">
        <v>1271</v>
      </c>
      <c r="D12020" s="13" t="s">
        <v>44</v>
      </c>
      <c r="E12020" s="12" t="s">
        <v>35</v>
      </c>
      <c r="F12020" s="14">
        <v>70000</v>
      </c>
      <c r="G12020" s="14">
        <v>53600</v>
      </c>
      <c r="H12020" s="13" t="s">
        <v>22652</v>
      </c>
      <c r="I12020" s="40" t="s">
        <v>18</v>
      </c>
      <c r="J12020" s="40" t="str">
        <f>HYPERLINK("https://stock.pstatic.net/stock-research/company/39/20250516_company_441672000.pdf","PDF")</f>
        <v>PDF</v>
      </c>
      <c r="K12020" s="12" t="s">
        <v>22653</v>
      </c>
      <c r="L12020" s="20">
        <v>0.30597014925373128</v>
      </c>
    </row>
    <row r="12021" spans="1:12" x14ac:dyDescent="0.45">
      <c r="A12021" s="12" t="s">
        <v>22571</v>
      </c>
      <c r="B12021" s="12" t="s">
        <v>812</v>
      </c>
      <c r="C12021" s="13" t="s">
        <v>813</v>
      </c>
      <c r="D12021" s="13" t="s">
        <v>179</v>
      </c>
      <c r="E12021" s="12" t="s">
        <v>16</v>
      </c>
      <c r="F12021" s="14">
        <v>62000</v>
      </c>
      <c r="G12021" s="14">
        <v>50600</v>
      </c>
      <c r="H12021" s="13" t="s">
        <v>17144</v>
      </c>
      <c r="I12021" s="40" t="s">
        <v>18</v>
      </c>
      <c r="J12021" s="40" t="str">
        <f>HYPERLINK("https://stock.pstatic.net/stock-research/company/31/20250516_company_173271000.pdf","PDF")</f>
        <v>PDF</v>
      </c>
      <c r="K12021" s="12" t="s">
        <v>22654</v>
      </c>
      <c r="L12021" s="20">
        <v>0.22529644268774701</v>
      </c>
    </row>
    <row r="12022" spans="1:12" x14ac:dyDescent="0.45">
      <c r="A12022" s="12" t="s">
        <v>22571</v>
      </c>
      <c r="B12022" s="12" t="s">
        <v>1686</v>
      </c>
      <c r="C12022" s="13" t="s">
        <v>1687</v>
      </c>
      <c r="D12022" s="13" t="s">
        <v>53</v>
      </c>
      <c r="E12022" s="12" t="s">
        <v>16</v>
      </c>
      <c r="F12022" s="14">
        <v>1450000</v>
      </c>
      <c r="G12022" s="14">
        <v>991000</v>
      </c>
      <c r="H12022" s="13" t="s">
        <v>22655</v>
      </c>
      <c r="I12022" s="40" t="s">
        <v>18</v>
      </c>
      <c r="J12022" s="40" t="str">
        <f>HYPERLINK("https://stock.pstatic.net/stock-research/company/40/20250516_company_213134000.pdf","PDF")</f>
        <v>PDF</v>
      </c>
      <c r="K12022" s="12" t="s">
        <v>22656</v>
      </c>
      <c r="L12022" s="20">
        <v>0.46316851664984859</v>
      </c>
    </row>
    <row r="12023" spans="1:12" x14ac:dyDescent="0.45">
      <c r="A12023" s="12" t="s">
        <v>22571</v>
      </c>
      <c r="B12023" s="12" t="s">
        <v>146</v>
      </c>
      <c r="C12023" s="13" t="s">
        <v>147</v>
      </c>
      <c r="D12023" s="13" t="s">
        <v>23</v>
      </c>
      <c r="E12023" s="12" t="s">
        <v>16</v>
      </c>
      <c r="F12023" s="14">
        <v>27000</v>
      </c>
      <c r="G12023" s="14">
        <v>19120</v>
      </c>
      <c r="H12023" s="13" t="s">
        <v>22657</v>
      </c>
      <c r="I12023" s="40" t="s">
        <v>18</v>
      </c>
      <c r="J12023" s="40" t="str">
        <f>HYPERLINK("https://stock.pstatic.net/stock-research/company/21/20250516_company_890401000.pdf","PDF")</f>
        <v>PDF</v>
      </c>
      <c r="K12023" s="12" t="s">
        <v>22658</v>
      </c>
      <c r="L12023" s="20">
        <v>0.41213389121338911</v>
      </c>
    </row>
    <row r="12024" spans="1:12" x14ac:dyDescent="0.45">
      <c r="A12024" s="12" t="s">
        <v>22571</v>
      </c>
      <c r="B12024" s="12" t="s">
        <v>6541</v>
      </c>
      <c r="C12024" s="13" t="s">
        <v>6542</v>
      </c>
      <c r="D12024" s="13" t="s">
        <v>23</v>
      </c>
      <c r="E12024" s="12" t="s">
        <v>16</v>
      </c>
      <c r="F12024" s="14">
        <v>53000</v>
      </c>
      <c r="G12024" s="14">
        <v>34350</v>
      </c>
      <c r="H12024" s="13" t="s">
        <v>22659</v>
      </c>
      <c r="I12024" s="40" t="s">
        <v>18</v>
      </c>
      <c r="J12024" s="40" t="str">
        <f>HYPERLINK("https://stock.pstatic.net/stock-research/company/21/20250516_company_430671000.pdf","PDF")</f>
        <v>PDF</v>
      </c>
      <c r="K12024" s="12" t="s">
        <v>22660</v>
      </c>
      <c r="L12024" s="20">
        <v>0.54294032023289662</v>
      </c>
    </row>
    <row r="12025" spans="1:12" x14ac:dyDescent="0.45">
      <c r="A12025" s="12" t="s">
        <v>22571</v>
      </c>
      <c r="B12025" s="12" t="s">
        <v>824</v>
      </c>
      <c r="C12025" s="13" t="s">
        <v>825</v>
      </c>
      <c r="D12025" s="13" t="s">
        <v>23</v>
      </c>
      <c r="E12025" s="12" t="s">
        <v>16</v>
      </c>
      <c r="F12025" s="14">
        <v>50000</v>
      </c>
      <c r="G12025" s="14">
        <v>37850</v>
      </c>
      <c r="H12025" s="13" t="s">
        <v>22661</v>
      </c>
      <c r="I12025" s="40" t="s">
        <v>18</v>
      </c>
      <c r="J12025" s="40" t="str">
        <f>HYPERLINK("https://stock.pstatic.net/stock-research/company/21/20250516_company_845241000.pdf","PDF")</f>
        <v>PDF</v>
      </c>
      <c r="K12025" s="12" t="s">
        <v>22662</v>
      </c>
      <c r="L12025" s="20">
        <v>0.32100396301188899</v>
      </c>
    </row>
    <row r="12026" spans="1:12" x14ac:dyDescent="0.45">
      <c r="A12026" s="12" t="s">
        <v>22571</v>
      </c>
      <c r="B12026" s="12" t="s">
        <v>868</v>
      </c>
      <c r="C12026" s="13" t="s">
        <v>869</v>
      </c>
      <c r="D12026" s="13" t="s">
        <v>53</v>
      </c>
      <c r="E12026" s="12" t="s">
        <v>16</v>
      </c>
      <c r="F12026" s="14">
        <v>50000</v>
      </c>
      <c r="G12026" s="14">
        <v>31950</v>
      </c>
      <c r="H12026" s="13" t="s">
        <v>22663</v>
      </c>
      <c r="I12026" s="40" t="s">
        <v>18</v>
      </c>
      <c r="J12026" s="40" t="str">
        <f>HYPERLINK("https://stock.pstatic.net/stock-research/company/40/20250516_company_866912000.pdf","PDF")</f>
        <v>PDF</v>
      </c>
      <c r="K12026" s="12" t="s">
        <v>22664</v>
      </c>
      <c r="L12026" s="20">
        <v>0.56494522691705795</v>
      </c>
    </row>
    <row r="12027" spans="1:12" x14ac:dyDescent="0.45">
      <c r="A12027" s="12" t="s">
        <v>22571</v>
      </c>
      <c r="B12027" s="12" t="s">
        <v>3972</v>
      </c>
      <c r="C12027" s="13" t="s">
        <v>3973</v>
      </c>
      <c r="D12027" s="13" t="s">
        <v>53</v>
      </c>
      <c r="E12027" s="12" t="s">
        <v>16</v>
      </c>
      <c r="F12027" s="14">
        <v>67000</v>
      </c>
      <c r="G12027" s="14">
        <v>37200</v>
      </c>
      <c r="H12027" s="13" t="s">
        <v>22665</v>
      </c>
      <c r="I12027" s="40" t="s">
        <v>18</v>
      </c>
      <c r="J12027" s="40" t="str">
        <f>HYPERLINK("https://stock.pstatic.net/stock-research/company/40/20250516_company_422679000.pdf","PDF")</f>
        <v>PDF</v>
      </c>
      <c r="K12027" s="12" t="s">
        <v>22666</v>
      </c>
      <c r="L12027" s="20">
        <v>0.80107526881720426</v>
      </c>
    </row>
    <row r="12028" spans="1:12" x14ac:dyDescent="0.45">
      <c r="A12028" s="12" t="s">
        <v>22571</v>
      </c>
      <c r="B12028" s="12" t="s">
        <v>418</v>
      </c>
      <c r="C12028" s="13" t="s">
        <v>419</v>
      </c>
      <c r="D12028" s="13" t="s">
        <v>34</v>
      </c>
      <c r="E12028" s="12" t="s">
        <v>35</v>
      </c>
      <c r="F12028" s="14">
        <v>23000</v>
      </c>
      <c r="G12028" s="14">
        <v>16460</v>
      </c>
      <c r="H12028" s="13" t="s">
        <v>22667</v>
      </c>
      <c r="I12028" s="40" t="s">
        <v>18</v>
      </c>
      <c r="J12028" s="40" t="str">
        <f>HYPERLINK("https://stock.pstatic.net/stock-research/company/61/20250516_company_360313000.pdf","PDF")</f>
        <v>PDF</v>
      </c>
      <c r="K12028" s="12" t="s">
        <v>22668</v>
      </c>
      <c r="L12028" s="20">
        <v>0.39732685297691372</v>
      </c>
    </row>
    <row r="12029" spans="1:12" x14ac:dyDescent="0.45">
      <c r="A12029" s="12" t="s">
        <v>22571</v>
      </c>
      <c r="B12029" s="12" t="s">
        <v>1308</v>
      </c>
      <c r="C12029" s="13" t="s">
        <v>1309</v>
      </c>
      <c r="D12029" s="13" t="s">
        <v>23</v>
      </c>
      <c r="E12029" s="12" t="s">
        <v>16</v>
      </c>
      <c r="F12029" s="14">
        <v>500000</v>
      </c>
      <c r="G12029" s="14">
        <v>415000</v>
      </c>
      <c r="H12029" s="13" t="s">
        <v>22669</v>
      </c>
      <c r="I12029" s="40" t="s">
        <v>18</v>
      </c>
      <c r="J12029" s="40" t="str">
        <f>HYPERLINK("https://stock.pstatic.net/stock-research/company/1/20250516_company_527040000.pdf","PDF")</f>
        <v>PDF</v>
      </c>
      <c r="K12029" s="12" t="s">
        <v>22670</v>
      </c>
      <c r="L12029" s="20">
        <v>0.2048192771084337</v>
      </c>
    </row>
    <row r="12030" spans="1:12" x14ac:dyDescent="0.45">
      <c r="A12030" s="12" t="s">
        <v>22571</v>
      </c>
      <c r="B12030" s="12" t="s">
        <v>694</v>
      </c>
      <c r="C12030" s="13" t="s">
        <v>695</v>
      </c>
      <c r="D12030" s="13" t="s">
        <v>34</v>
      </c>
      <c r="E12030" s="12" t="s">
        <v>35</v>
      </c>
      <c r="F12030" s="14">
        <v>12000</v>
      </c>
      <c r="G12030" s="14">
        <v>8350</v>
      </c>
      <c r="H12030" s="13" t="s">
        <v>22671</v>
      </c>
      <c r="I12030" s="40" t="s">
        <v>18</v>
      </c>
      <c r="J12030" s="40" t="str">
        <f>HYPERLINK("https://stock.pstatic.net/stock-research/company/61/20250516_company_108596000.pdf","PDF")</f>
        <v>PDF</v>
      </c>
      <c r="K12030" s="12" t="s">
        <v>22672</v>
      </c>
      <c r="L12030" s="20">
        <v>0.43712574850299402</v>
      </c>
    </row>
    <row r="12031" spans="1:12" x14ac:dyDescent="0.45">
      <c r="A12031" s="12" t="s">
        <v>22571</v>
      </c>
      <c r="B12031" s="12" t="s">
        <v>1136</v>
      </c>
      <c r="C12031" s="13" t="s">
        <v>1137</v>
      </c>
      <c r="D12031" s="13" t="s">
        <v>179</v>
      </c>
      <c r="E12031" s="12" t="s">
        <v>16</v>
      </c>
      <c r="F12031" s="14">
        <v>30000</v>
      </c>
      <c r="G12031" s="14">
        <v>21350</v>
      </c>
      <c r="H12031" s="13" t="s">
        <v>22673</v>
      </c>
      <c r="I12031" s="40" t="s">
        <v>18</v>
      </c>
      <c r="J12031" s="40" t="str">
        <f>HYPERLINK("https://stock.pstatic.net/stock-research/company/31/20250516_company_757449000.pdf","PDF")</f>
        <v>PDF</v>
      </c>
      <c r="K12031" s="12" t="s">
        <v>22674</v>
      </c>
      <c r="L12031" s="20">
        <v>0.40515222482435598</v>
      </c>
    </row>
    <row r="12032" spans="1:12" x14ac:dyDescent="0.45">
      <c r="A12032" s="12" t="s">
        <v>22571</v>
      </c>
      <c r="B12032" s="12" t="s">
        <v>752</v>
      </c>
      <c r="C12032" s="13" t="s">
        <v>753</v>
      </c>
      <c r="D12032" s="13" t="s">
        <v>23</v>
      </c>
      <c r="E12032" s="12" t="s">
        <v>16</v>
      </c>
      <c r="F12032" s="14">
        <v>81000</v>
      </c>
      <c r="G12032" s="14">
        <v>53000</v>
      </c>
      <c r="H12032" s="13" t="s">
        <v>22675</v>
      </c>
      <c r="I12032" s="40" t="s">
        <v>18</v>
      </c>
      <c r="J12032" s="40" t="str">
        <f>HYPERLINK("https://stock.pstatic.net/stock-research/company/21/20250516_company_584080000.pdf","PDF")</f>
        <v>PDF</v>
      </c>
      <c r="K12032" s="12" t="s">
        <v>22676</v>
      </c>
      <c r="L12032" s="20">
        <v>0.52830188679245282</v>
      </c>
    </row>
    <row r="12033" spans="1:12" x14ac:dyDescent="0.45">
      <c r="A12033" s="12" t="s">
        <v>22571</v>
      </c>
      <c r="B12033" s="12" t="s">
        <v>894</v>
      </c>
      <c r="C12033" s="13" t="s">
        <v>26</v>
      </c>
      <c r="D12033" s="13" t="s">
        <v>23</v>
      </c>
      <c r="E12033" s="12" t="s">
        <v>16</v>
      </c>
      <c r="F12033" s="14">
        <v>57000</v>
      </c>
      <c r="G12033" s="14">
        <v>39000</v>
      </c>
      <c r="H12033" s="13" t="s">
        <v>22677</v>
      </c>
      <c r="I12033" s="40" t="s">
        <v>18</v>
      </c>
      <c r="J12033" s="40" t="str">
        <f>HYPERLINK("https://stock.pstatic.net/stock-research/company/21/20250516_company_931808000.pdf","PDF")</f>
        <v>PDF</v>
      </c>
      <c r="K12033" s="12" t="s">
        <v>22678</v>
      </c>
      <c r="L12033" s="20">
        <v>0.46153846153846162</v>
      </c>
    </row>
    <row r="12034" spans="1:12" x14ac:dyDescent="0.45">
      <c r="A12034" s="12" t="s">
        <v>22571</v>
      </c>
      <c r="B12034" s="12" t="s">
        <v>1463</v>
      </c>
      <c r="C12034" s="13" t="s">
        <v>1464</v>
      </c>
      <c r="D12034" s="13" t="s">
        <v>23</v>
      </c>
      <c r="E12034" s="12" t="s">
        <v>16</v>
      </c>
      <c r="F12034" s="14">
        <v>57000</v>
      </c>
      <c r="G12034" s="14">
        <v>45150</v>
      </c>
      <c r="H12034" s="13" t="s">
        <v>22679</v>
      </c>
      <c r="I12034" s="40" t="s">
        <v>18</v>
      </c>
      <c r="J12034" s="40" t="str">
        <f>HYPERLINK("https://stock.pstatic.net/stock-research/company/21/20250516_company_869562000.pdf","PDF")</f>
        <v>PDF</v>
      </c>
      <c r="K12034" s="12" t="s">
        <v>22680</v>
      </c>
      <c r="L12034" s="20">
        <v>0.26245847176079729</v>
      </c>
    </row>
    <row r="12035" spans="1:12" x14ac:dyDescent="0.45">
      <c r="A12035" s="12" t="s">
        <v>22571</v>
      </c>
      <c r="B12035" s="12" t="s">
        <v>1383</v>
      </c>
      <c r="C12035" s="13" t="s">
        <v>1384</v>
      </c>
      <c r="D12035" s="13" t="s">
        <v>23</v>
      </c>
      <c r="E12035" s="12" t="s">
        <v>16</v>
      </c>
      <c r="F12035" s="14">
        <v>36000</v>
      </c>
      <c r="G12035" s="14">
        <v>26650</v>
      </c>
      <c r="H12035" s="13" t="s">
        <v>22681</v>
      </c>
      <c r="I12035" s="40" t="s">
        <v>18</v>
      </c>
      <c r="J12035" s="40" t="str">
        <f>HYPERLINK("https://stock.pstatic.net/stock-research/company/21/20250516_company_605156000.pdf","PDF")</f>
        <v>PDF</v>
      </c>
      <c r="K12035" s="12" t="s">
        <v>22682</v>
      </c>
      <c r="L12035" s="20">
        <v>0.35084427767354598</v>
      </c>
    </row>
    <row r="12036" spans="1:12" x14ac:dyDescent="0.45">
      <c r="A12036" s="12" t="s">
        <v>22571</v>
      </c>
      <c r="B12036" s="12" t="s">
        <v>507</v>
      </c>
      <c r="C12036" s="13" t="s">
        <v>508</v>
      </c>
      <c r="D12036" s="13" t="s">
        <v>23</v>
      </c>
      <c r="E12036" s="12" t="s">
        <v>16</v>
      </c>
      <c r="F12036" s="14">
        <v>12000</v>
      </c>
      <c r="G12036" s="14">
        <v>8200</v>
      </c>
      <c r="H12036" s="13" t="s">
        <v>22683</v>
      </c>
      <c r="I12036" s="40" t="s">
        <v>18</v>
      </c>
      <c r="J12036" s="40" t="str">
        <f>HYPERLINK("https://stock.pstatic.net/stock-research/company/21/20250516_company_395248000.pdf","PDF")</f>
        <v>PDF</v>
      </c>
      <c r="K12036" s="12" t="s">
        <v>22684</v>
      </c>
      <c r="L12036" s="20">
        <v>0.46341463414634149</v>
      </c>
    </row>
    <row r="12037" spans="1:12" x14ac:dyDescent="0.45">
      <c r="A12037" s="12" t="s">
        <v>22571</v>
      </c>
      <c r="B12037" s="12" t="s">
        <v>255</v>
      </c>
      <c r="C12037" s="13" t="s">
        <v>256</v>
      </c>
      <c r="D12037" s="13" t="s">
        <v>23</v>
      </c>
      <c r="E12037" s="12" t="s">
        <v>16</v>
      </c>
      <c r="F12037" s="14">
        <v>27000</v>
      </c>
      <c r="G12037" s="14">
        <v>17590</v>
      </c>
      <c r="H12037" s="13" t="s">
        <v>22685</v>
      </c>
      <c r="I12037" s="40" t="s">
        <v>18</v>
      </c>
      <c r="J12037" s="40" t="str">
        <f>HYPERLINK("https://stock.pstatic.net/stock-research/company/21/20250516_company_711297000.pdf","PDF")</f>
        <v>PDF</v>
      </c>
      <c r="K12037" s="12" t="s">
        <v>22686</v>
      </c>
      <c r="L12037" s="20">
        <v>0.53496304718590104</v>
      </c>
    </row>
    <row r="12038" spans="1:12" x14ac:dyDescent="0.45">
      <c r="A12038" s="12" t="s">
        <v>22571</v>
      </c>
      <c r="B12038" s="12" t="s">
        <v>1356</v>
      </c>
      <c r="C12038" s="13" t="s">
        <v>1357</v>
      </c>
      <c r="D12038" s="13" t="s">
        <v>23</v>
      </c>
      <c r="E12038" s="12" t="s">
        <v>16</v>
      </c>
      <c r="F12038" s="14">
        <v>27000</v>
      </c>
      <c r="G12038" s="14">
        <v>19290</v>
      </c>
      <c r="H12038" s="13" t="s">
        <v>22687</v>
      </c>
      <c r="I12038" s="40" t="s">
        <v>18</v>
      </c>
      <c r="J12038" s="40" t="str">
        <f>HYPERLINK("https://stock.pstatic.net/stock-research/company/21/20250516_company_591356000.pdf","PDF")</f>
        <v>PDF</v>
      </c>
      <c r="K12038" s="12" t="s">
        <v>22688</v>
      </c>
      <c r="L12038" s="20">
        <v>0.39968895800933119</v>
      </c>
    </row>
    <row r="12039" spans="1:12" x14ac:dyDescent="0.45">
      <c r="A12039" s="12" t="s">
        <v>22571</v>
      </c>
      <c r="B12039" s="12" t="s">
        <v>1686</v>
      </c>
      <c r="C12039" s="13" t="s">
        <v>1687</v>
      </c>
      <c r="D12039" s="13" t="s">
        <v>23</v>
      </c>
      <c r="E12039" s="12" t="s">
        <v>16</v>
      </c>
      <c r="F12039" s="14">
        <v>1250000</v>
      </c>
      <c r="G12039" s="14">
        <v>991000</v>
      </c>
      <c r="H12039" s="13" t="s">
        <v>22689</v>
      </c>
      <c r="I12039" s="40" t="s">
        <v>18</v>
      </c>
      <c r="J12039" s="40" t="str">
        <f>HYPERLINK("https://stock.pstatic.net/stock-research/company/21/20250516_company_40633000.pdf","PDF")</f>
        <v>PDF</v>
      </c>
      <c r="K12039" s="12" t="s">
        <v>22690</v>
      </c>
      <c r="L12039" s="20">
        <v>0.26135216952573159</v>
      </c>
    </row>
    <row r="12040" spans="1:12" x14ac:dyDescent="0.45">
      <c r="A12040" s="12" t="s">
        <v>22571</v>
      </c>
      <c r="B12040" s="12" t="s">
        <v>1252</v>
      </c>
      <c r="C12040" s="13" t="s">
        <v>1253</v>
      </c>
      <c r="D12040" s="13" t="s">
        <v>179</v>
      </c>
      <c r="E12040" s="12" t="s">
        <v>16</v>
      </c>
      <c r="F12040" s="14">
        <v>5100</v>
      </c>
      <c r="G12040" s="14">
        <v>4275</v>
      </c>
      <c r="H12040" s="13" t="s">
        <v>22691</v>
      </c>
      <c r="I12040" s="40" t="s">
        <v>18</v>
      </c>
      <c r="J12040" s="40" t="str">
        <f>HYPERLINK("https://stock.pstatic.net/stock-research/company/31/20250516_company_58937000.pdf","PDF")</f>
        <v>PDF</v>
      </c>
      <c r="K12040" s="12" t="s">
        <v>22692</v>
      </c>
      <c r="L12040" s="20">
        <v>0.19298245614035089</v>
      </c>
    </row>
    <row r="12041" spans="1:12" x14ac:dyDescent="0.45">
      <c r="A12041" s="12" t="s">
        <v>22571</v>
      </c>
      <c r="B12041" s="12" t="s">
        <v>10929</v>
      </c>
      <c r="C12041" s="13" t="s">
        <v>10930</v>
      </c>
      <c r="D12041" s="13" t="s">
        <v>179</v>
      </c>
      <c r="E12041" s="12" t="s">
        <v>16</v>
      </c>
      <c r="F12041" s="14">
        <v>7500</v>
      </c>
      <c r="G12041" s="14">
        <v>6000</v>
      </c>
      <c r="H12041" s="13" t="s">
        <v>22693</v>
      </c>
      <c r="I12041" s="40" t="s">
        <v>18</v>
      </c>
      <c r="J12041" s="40" t="str">
        <f>HYPERLINK("https://stock.pstatic.net/stock-research/company/31/20250516_company_792873000.pdf","PDF")</f>
        <v>PDF</v>
      </c>
      <c r="K12041" s="12" t="s">
        <v>22694</v>
      </c>
      <c r="L12041" s="20">
        <v>0.25</v>
      </c>
    </row>
    <row r="12042" spans="1:12" x14ac:dyDescent="0.45">
      <c r="A12042" s="12" t="s">
        <v>22571</v>
      </c>
      <c r="B12042" s="12" t="s">
        <v>8861</v>
      </c>
      <c r="C12042" s="13" t="s">
        <v>8862</v>
      </c>
      <c r="D12042" s="13" t="s">
        <v>53</v>
      </c>
      <c r="E12042" s="12" t="s">
        <v>16</v>
      </c>
      <c r="F12042" s="14">
        <v>33000</v>
      </c>
      <c r="G12042" s="14">
        <v>19370</v>
      </c>
      <c r="H12042" s="13" t="s">
        <v>22695</v>
      </c>
      <c r="I12042" s="40" t="s">
        <v>18</v>
      </c>
      <c r="J12042" s="40" t="str">
        <f>HYPERLINK("https://stock.pstatic.net/stock-research/company/40/20250516_company_279583000.pdf","PDF")</f>
        <v>PDF</v>
      </c>
      <c r="K12042" s="12" t="s">
        <v>22696</v>
      </c>
      <c r="L12042" s="20">
        <v>0.7036654620547238</v>
      </c>
    </row>
    <row r="12043" spans="1:12" x14ac:dyDescent="0.45">
      <c r="A12043" s="12" t="s">
        <v>22571</v>
      </c>
      <c r="B12043" s="12" t="s">
        <v>22697</v>
      </c>
      <c r="C12043" s="13" t="s">
        <v>22698</v>
      </c>
      <c r="D12043" s="13" t="s">
        <v>124</v>
      </c>
      <c r="E12043" s="12" t="s">
        <v>50</v>
      </c>
      <c r="F12043" s="13"/>
      <c r="G12043" s="13"/>
      <c r="H12043" s="13" t="s">
        <v>22699</v>
      </c>
      <c r="I12043" s="40" t="s">
        <v>18</v>
      </c>
      <c r="J12043" s="40" t="str">
        <f>HYPERLINK("https://stock.pstatic.net/stock-research/company/1/20250516_company_6452000.pdf","PDF")</f>
        <v>PDF</v>
      </c>
      <c r="K12043" s="12" t="s">
        <v>22700</v>
      </c>
    </row>
    <row r="12044" spans="1:12" x14ac:dyDescent="0.45">
      <c r="A12044" s="12" t="s">
        <v>22571</v>
      </c>
      <c r="B12044" s="12" t="s">
        <v>1449</v>
      </c>
      <c r="C12044" s="13" t="s">
        <v>1450</v>
      </c>
      <c r="D12044" s="13" t="s">
        <v>124</v>
      </c>
      <c r="E12044" s="12" t="s">
        <v>50</v>
      </c>
      <c r="F12044" s="13"/>
      <c r="G12044" s="13"/>
      <c r="H12044" s="13" t="s">
        <v>22701</v>
      </c>
      <c r="I12044" s="40" t="s">
        <v>18</v>
      </c>
      <c r="J12044" s="40" t="str">
        <f>HYPERLINK("https://m.stock.naver.com/research/company/83255","PDF")</f>
        <v>PDF</v>
      </c>
      <c r="K12044" s="12" t="s">
        <v>22702</v>
      </c>
    </row>
    <row r="12045" spans="1:12" x14ac:dyDescent="0.45">
      <c r="A12045" s="12" t="s">
        <v>22571</v>
      </c>
      <c r="B12045" s="12" t="s">
        <v>888</v>
      </c>
      <c r="C12045" s="13" t="s">
        <v>889</v>
      </c>
      <c r="D12045" s="13" t="s">
        <v>53</v>
      </c>
      <c r="E12045" s="12" t="s">
        <v>16</v>
      </c>
      <c r="F12045" s="14">
        <v>62000</v>
      </c>
      <c r="G12045" s="14">
        <v>52100</v>
      </c>
      <c r="H12045" s="13" t="s">
        <v>22703</v>
      </c>
      <c r="I12045" s="40" t="s">
        <v>18</v>
      </c>
      <c r="J12045" s="40" t="str">
        <f>HYPERLINK("https://stock.pstatic.net/stock-research/company/40/20250516_company_389575000.pdf","PDF")</f>
        <v>PDF</v>
      </c>
      <c r="K12045" s="12" t="s">
        <v>22704</v>
      </c>
      <c r="L12045" s="20">
        <v>0.19001919385796551</v>
      </c>
    </row>
    <row r="12046" spans="1:12" x14ac:dyDescent="0.45">
      <c r="A12046" s="12" t="s">
        <v>22571</v>
      </c>
      <c r="B12046" s="12" t="s">
        <v>585</v>
      </c>
      <c r="C12046" s="13" t="s">
        <v>586</v>
      </c>
      <c r="D12046" s="13" t="s">
        <v>53</v>
      </c>
      <c r="E12046" s="12" t="s">
        <v>16</v>
      </c>
      <c r="F12046" s="14">
        <v>37000</v>
      </c>
      <c r="G12046" s="14">
        <v>31900</v>
      </c>
      <c r="H12046" s="13" t="s">
        <v>22705</v>
      </c>
      <c r="I12046" s="40" t="s">
        <v>18</v>
      </c>
      <c r="J12046" s="40" t="str">
        <f>HYPERLINK("https://stock.pstatic.net/stock-research/company/40/20250516_company_544697000.pdf","PDF")</f>
        <v>PDF</v>
      </c>
      <c r="K12046" s="12" t="s">
        <v>22706</v>
      </c>
      <c r="L12046" s="20">
        <v>0.15987460815047019</v>
      </c>
    </row>
    <row r="12047" spans="1:12" x14ac:dyDescent="0.45">
      <c r="A12047" s="12" t="s">
        <v>22571</v>
      </c>
      <c r="B12047" s="12" t="s">
        <v>5705</v>
      </c>
      <c r="C12047" s="13" t="s">
        <v>5706</v>
      </c>
      <c r="D12047" s="13" t="s">
        <v>53</v>
      </c>
      <c r="E12047" s="12" t="s">
        <v>16</v>
      </c>
      <c r="F12047" s="14">
        <v>110000</v>
      </c>
      <c r="G12047" s="14">
        <v>91500</v>
      </c>
      <c r="H12047" s="13" t="s">
        <v>22707</v>
      </c>
      <c r="I12047" s="40" t="s">
        <v>18</v>
      </c>
      <c r="J12047" s="40" t="str">
        <f>HYPERLINK("https://stock.pstatic.net/stock-research/company/40/20250516_company_62429000.pdf","PDF")</f>
        <v>PDF</v>
      </c>
      <c r="K12047" s="12" t="s">
        <v>22708</v>
      </c>
      <c r="L12047" s="20">
        <v>0.20218579234972681</v>
      </c>
    </row>
    <row r="12048" spans="1:12" x14ac:dyDescent="0.45">
      <c r="A12048" s="12" t="s">
        <v>22571</v>
      </c>
      <c r="B12048" s="12" t="s">
        <v>1682</v>
      </c>
      <c r="C12048" s="13" t="s">
        <v>4787</v>
      </c>
      <c r="D12048" s="13" t="s">
        <v>53</v>
      </c>
      <c r="E12048" s="12" t="s">
        <v>16</v>
      </c>
      <c r="F12048" s="14">
        <v>235000</v>
      </c>
      <c r="G12048" s="14">
        <v>155500</v>
      </c>
      <c r="H12048" s="13" t="s">
        <v>22709</v>
      </c>
      <c r="I12048" s="40" t="s">
        <v>18</v>
      </c>
      <c r="J12048" s="40" t="str">
        <f>HYPERLINK("https://stock.pstatic.net/stock-research/company/40/20250516_company_726157000.pdf","PDF")</f>
        <v>PDF</v>
      </c>
      <c r="K12048" s="12" t="s">
        <v>22710</v>
      </c>
      <c r="L12048" s="20">
        <v>0.5112540192926045</v>
      </c>
    </row>
    <row r="12049" spans="1:12" x14ac:dyDescent="0.45">
      <c r="A12049" s="12" t="s">
        <v>22571</v>
      </c>
      <c r="B12049" s="12" t="s">
        <v>2312</v>
      </c>
      <c r="C12049" s="13" t="s">
        <v>2313</v>
      </c>
      <c r="D12049" s="13" t="s">
        <v>15</v>
      </c>
      <c r="E12049" s="12" t="s">
        <v>16</v>
      </c>
      <c r="F12049" s="14">
        <v>42000</v>
      </c>
      <c r="G12049" s="14">
        <v>31200</v>
      </c>
      <c r="H12049" s="13" t="s">
        <v>22711</v>
      </c>
      <c r="I12049" s="40" t="s">
        <v>18</v>
      </c>
      <c r="J12049" s="40" t="str">
        <f>HYPERLINK("https://m.stock.naver.com/research/company/83250","PDF")</f>
        <v>PDF</v>
      </c>
      <c r="K12049" s="12" t="s">
        <v>22712</v>
      </c>
      <c r="L12049" s="20">
        <v>0.34615384615384609</v>
      </c>
    </row>
    <row r="12050" spans="1:12" x14ac:dyDescent="0.45">
      <c r="A12050" s="12" t="s">
        <v>22571</v>
      </c>
      <c r="B12050" s="12" t="s">
        <v>2631</v>
      </c>
      <c r="C12050" s="13" t="s">
        <v>2632</v>
      </c>
      <c r="D12050" s="13" t="s">
        <v>15</v>
      </c>
      <c r="E12050" s="12" t="s">
        <v>16</v>
      </c>
      <c r="F12050" s="14">
        <v>25000</v>
      </c>
      <c r="G12050" s="14">
        <v>19700</v>
      </c>
      <c r="H12050" s="13" t="s">
        <v>22713</v>
      </c>
      <c r="I12050" s="40" t="s">
        <v>18</v>
      </c>
      <c r="J12050" s="40" t="str">
        <f>HYPERLINK("https://m.stock.naver.com/research/company/83249","PDF")</f>
        <v>PDF</v>
      </c>
      <c r="K12050" s="12" t="s">
        <v>22714</v>
      </c>
      <c r="L12050" s="20">
        <v>0.26903553299492378</v>
      </c>
    </row>
    <row r="12051" spans="1:12" x14ac:dyDescent="0.45">
      <c r="A12051" s="12" t="s">
        <v>22571</v>
      </c>
      <c r="B12051" s="12" t="s">
        <v>22715</v>
      </c>
      <c r="C12051" s="13" t="s">
        <v>22716</v>
      </c>
      <c r="D12051" s="13" t="s">
        <v>11154</v>
      </c>
      <c r="E12051" s="12" t="s">
        <v>50</v>
      </c>
      <c r="F12051" s="13"/>
      <c r="G12051" s="13"/>
      <c r="H12051" s="13" t="s">
        <v>22717</v>
      </c>
      <c r="I12051" s="40" t="s">
        <v>18</v>
      </c>
      <c r="J12051" s="40" t="str">
        <f>HYPERLINK("https://m.stock.naver.com/research/company/83248","PDF")</f>
        <v>PDF</v>
      </c>
      <c r="K12051" s="12" t="s">
        <v>22718</v>
      </c>
    </row>
    <row r="12052" spans="1:12" x14ac:dyDescent="0.45">
      <c r="A12052" s="12" t="s">
        <v>22571</v>
      </c>
      <c r="B12052" s="12" t="s">
        <v>1631</v>
      </c>
      <c r="C12052" s="13" t="s">
        <v>1632</v>
      </c>
      <c r="D12052" s="13" t="s">
        <v>202</v>
      </c>
      <c r="E12052" s="12" t="s">
        <v>50</v>
      </c>
      <c r="F12052" s="13"/>
      <c r="G12052" s="13"/>
      <c r="H12052" s="13" t="s">
        <v>22719</v>
      </c>
      <c r="I12052" s="40" t="s">
        <v>18</v>
      </c>
      <c r="J12052" s="40" t="str">
        <f>HYPERLINK("https://stock.pstatic.net/stock-research/company/69/20250516_company_522307000.pdf","PDF")</f>
        <v>PDF</v>
      </c>
      <c r="K12052" s="12" t="s">
        <v>22720</v>
      </c>
    </row>
    <row r="12053" spans="1:12" x14ac:dyDescent="0.45">
      <c r="A12053" s="12" t="s">
        <v>22571</v>
      </c>
      <c r="B12053" s="12" t="s">
        <v>6806</v>
      </c>
      <c r="C12053" s="13" t="s">
        <v>6807</v>
      </c>
      <c r="D12053" s="13" t="s">
        <v>11154</v>
      </c>
      <c r="E12053" s="12" t="s">
        <v>50</v>
      </c>
      <c r="F12053" s="13"/>
      <c r="G12053" s="13"/>
      <c r="H12053" s="13" t="s">
        <v>22721</v>
      </c>
      <c r="I12053" s="40" t="s">
        <v>18</v>
      </c>
      <c r="J12053" s="40" t="str">
        <f>HYPERLINK("https://stock.pstatic.net/stock-research/company/79/20250516_company_82896000.pdf","PDF")</f>
        <v>PDF</v>
      </c>
      <c r="K12053" s="12" t="s">
        <v>22722</v>
      </c>
    </row>
    <row r="12054" spans="1:12" x14ac:dyDescent="0.45">
      <c r="A12054" s="12" t="s">
        <v>22571</v>
      </c>
      <c r="B12054" s="12" t="s">
        <v>22723</v>
      </c>
      <c r="C12054" s="13" t="s">
        <v>22724</v>
      </c>
      <c r="D12054" s="13" t="s">
        <v>202</v>
      </c>
      <c r="E12054" s="12" t="s">
        <v>50</v>
      </c>
      <c r="F12054" s="13"/>
      <c r="G12054" s="13"/>
      <c r="H12054" s="13" t="s">
        <v>22725</v>
      </c>
      <c r="I12054" s="40" t="s">
        <v>18</v>
      </c>
      <c r="J12054" s="40" t="str">
        <f>HYPERLINK("https://m.stock.naver.com/research/company/83245","PDF")</f>
        <v>PDF</v>
      </c>
      <c r="K12054" s="12" t="s">
        <v>22726</v>
      </c>
    </row>
    <row r="12055" spans="1:12" x14ac:dyDescent="0.45">
      <c r="A12055" s="12" t="s">
        <v>22571</v>
      </c>
      <c r="B12055" s="12" t="s">
        <v>22727</v>
      </c>
      <c r="C12055" s="13" t="s">
        <v>22728</v>
      </c>
      <c r="D12055" s="13" t="s">
        <v>202</v>
      </c>
      <c r="E12055" s="12" t="s">
        <v>50</v>
      </c>
      <c r="F12055" s="13"/>
      <c r="G12055" s="13"/>
      <c r="H12055" s="13" t="s">
        <v>22729</v>
      </c>
      <c r="I12055" s="40" t="s">
        <v>18</v>
      </c>
      <c r="J12055" s="40" t="str">
        <f>HYPERLINK("https://stock.pstatic.net/stock-research/company/69/20250516_company_208161000.pdf","PDF")</f>
        <v>PDF</v>
      </c>
      <c r="K12055" s="12" t="s">
        <v>22730</v>
      </c>
    </row>
    <row r="12056" spans="1:12" x14ac:dyDescent="0.45">
      <c r="A12056" s="12" t="s">
        <v>22571</v>
      </c>
      <c r="B12056" s="12" t="s">
        <v>22731</v>
      </c>
      <c r="C12056" s="13" t="s">
        <v>22732</v>
      </c>
      <c r="D12056" s="13" t="s">
        <v>202</v>
      </c>
      <c r="E12056" s="12" t="s">
        <v>50</v>
      </c>
      <c r="F12056" s="13"/>
      <c r="G12056" s="13"/>
      <c r="H12056" s="13" t="s">
        <v>22733</v>
      </c>
      <c r="I12056" s="40" t="s">
        <v>18</v>
      </c>
      <c r="J12056" s="40" t="str">
        <f>HYPERLINK("https://m.stock.naver.com/research/company/83243","PDF")</f>
        <v>PDF</v>
      </c>
      <c r="K12056" s="12" t="s">
        <v>22734</v>
      </c>
    </row>
    <row r="12057" spans="1:12" x14ac:dyDescent="0.45">
      <c r="A12057" s="12" t="s">
        <v>22735</v>
      </c>
      <c r="B12057" s="12" t="s">
        <v>1246</v>
      </c>
      <c r="C12057" s="13" t="s">
        <v>1247</v>
      </c>
      <c r="D12057" s="13" t="s">
        <v>276</v>
      </c>
      <c r="E12057" s="12" t="s">
        <v>16</v>
      </c>
      <c r="F12057" s="14">
        <v>20000</v>
      </c>
      <c r="G12057" s="14">
        <v>14400</v>
      </c>
      <c r="H12057" s="13" t="s">
        <v>22736</v>
      </c>
      <c r="I12057" s="40" t="s">
        <v>18</v>
      </c>
      <c r="J12057" s="40" t="str">
        <f>HYPERLINK("https://m.stock.naver.com/research/company/83242","PDF")</f>
        <v>PDF</v>
      </c>
      <c r="K12057" s="12" t="s">
        <v>22737</v>
      </c>
      <c r="L12057" s="20">
        <v>0.3888888888888889</v>
      </c>
    </row>
    <row r="12058" spans="1:12" x14ac:dyDescent="0.45">
      <c r="A12058" s="12" t="s">
        <v>22735</v>
      </c>
      <c r="B12058" s="12" t="s">
        <v>1682</v>
      </c>
      <c r="C12058" s="13" t="s">
        <v>4787</v>
      </c>
      <c r="D12058" s="13" t="s">
        <v>60</v>
      </c>
      <c r="E12058" s="12" t="s">
        <v>50</v>
      </c>
      <c r="F12058" s="14">
        <v>200000</v>
      </c>
      <c r="G12058" s="14">
        <v>158500</v>
      </c>
      <c r="H12058" s="13" t="s">
        <v>22738</v>
      </c>
      <c r="I12058" s="40" t="s">
        <v>18</v>
      </c>
      <c r="J12058" s="40" t="str">
        <f>HYPERLINK("https://stock.pstatic.net/stock-research/company/34/20250515_company_795245000.pdf","PDF")</f>
        <v>PDF</v>
      </c>
      <c r="K12058" s="12" t="s">
        <v>22739</v>
      </c>
      <c r="L12058" s="20">
        <v>0.26182965299684541</v>
      </c>
    </row>
    <row r="12059" spans="1:12" x14ac:dyDescent="0.45">
      <c r="A12059" s="12" t="s">
        <v>22735</v>
      </c>
      <c r="B12059" s="12" t="s">
        <v>888</v>
      </c>
      <c r="C12059" s="13" t="s">
        <v>889</v>
      </c>
      <c r="D12059" s="13" t="s">
        <v>65</v>
      </c>
      <c r="E12059" s="12" t="s">
        <v>35</v>
      </c>
      <c r="F12059" s="14">
        <v>64000</v>
      </c>
      <c r="G12059" s="14">
        <v>52800</v>
      </c>
      <c r="H12059" s="13" t="s">
        <v>22740</v>
      </c>
      <c r="I12059" s="40" t="s">
        <v>18</v>
      </c>
      <c r="J12059" s="40" t="str">
        <f>HYPERLINK("https://m.stock.naver.com/research/company/83240","PDF")</f>
        <v>PDF</v>
      </c>
      <c r="K12059" s="12" t="s">
        <v>22741</v>
      </c>
      <c r="L12059" s="20">
        <v>0.2121212121212121</v>
      </c>
    </row>
    <row r="12060" spans="1:12" x14ac:dyDescent="0.45">
      <c r="A12060" s="12" t="s">
        <v>22735</v>
      </c>
      <c r="B12060" s="12" t="s">
        <v>1682</v>
      </c>
      <c r="C12060" s="13" t="s">
        <v>4787</v>
      </c>
      <c r="D12060" s="13" t="s">
        <v>65</v>
      </c>
      <c r="E12060" s="12" t="s">
        <v>35</v>
      </c>
      <c r="F12060" s="14">
        <v>230000</v>
      </c>
      <c r="G12060" s="14">
        <v>158500</v>
      </c>
      <c r="H12060" s="13" t="s">
        <v>22742</v>
      </c>
      <c r="I12060" s="40" t="s">
        <v>18</v>
      </c>
      <c r="J12060" s="40" t="str">
        <f>HYPERLINK("https://stock.pstatic.net/stock-research/company/57/20250515_company_629653000.pdf","PDF")</f>
        <v>PDF</v>
      </c>
      <c r="K12060" s="12" t="s">
        <v>22743</v>
      </c>
      <c r="L12060" s="20">
        <v>0.45110410094637232</v>
      </c>
    </row>
    <row r="12061" spans="1:12" x14ac:dyDescent="0.45">
      <c r="A12061" s="12" t="s">
        <v>22735</v>
      </c>
      <c r="B12061" s="12" t="s">
        <v>1540</v>
      </c>
      <c r="C12061" s="13" t="s">
        <v>1541</v>
      </c>
      <c r="D12061" s="13" t="s">
        <v>65</v>
      </c>
      <c r="E12061" s="12" t="s">
        <v>35</v>
      </c>
      <c r="F12061" s="14">
        <v>52000</v>
      </c>
      <c r="G12061" s="14">
        <v>43300</v>
      </c>
      <c r="H12061" s="13" t="s">
        <v>22744</v>
      </c>
      <c r="I12061" s="40" t="s">
        <v>18</v>
      </c>
      <c r="J12061" s="40" t="str">
        <f>HYPERLINK("https://m.stock.naver.com/research/company/83238","PDF")</f>
        <v>PDF</v>
      </c>
      <c r="K12061" s="12" t="s">
        <v>22745</v>
      </c>
      <c r="L12061" s="20">
        <v>0.20092378752886841</v>
      </c>
    </row>
    <row r="12062" spans="1:12" x14ac:dyDescent="0.45">
      <c r="A12062" s="12" t="s">
        <v>22735</v>
      </c>
      <c r="B12062" s="12" t="s">
        <v>669</v>
      </c>
      <c r="C12062" s="13" t="s">
        <v>670</v>
      </c>
      <c r="D12062" s="13" t="s">
        <v>65</v>
      </c>
      <c r="E12062" s="12" t="s">
        <v>35</v>
      </c>
      <c r="F12062" s="14">
        <v>28000</v>
      </c>
      <c r="G12062" s="14">
        <v>15440</v>
      </c>
      <c r="H12062" s="13" t="s">
        <v>22746</v>
      </c>
      <c r="I12062" s="40" t="s">
        <v>18</v>
      </c>
      <c r="J12062" s="40" t="str">
        <f>HYPERLINK("https://stock.pstatic.net/stock-research/company/57/20250515_company_332458000.pdf","PDF")</f>
        <v>PDF</v>
      </c>
      <c r="K12062" s="12" t="s">
        <v>22747</v>
      </c>
      <c r="L12062" s="20">
        <v>0.81347150259067358</v>
      </c>
    </row>
    <row r="12063" spans="1:12" x14ac:dyDescent="0.45">
      <c r="A12063" s="12" t="s">
        <v>22735</v>
      </c>
      <c r="B12063" s="12" t="s">
        <v>511</v>
      </c>
      <c r="C12063" s="13" t="s">
        <v>512</v>
      </c>
      <c r="D12063" s="13" t="s">
        <v>65</v>
      </c>
      <c r="E12063" s="12" t="s">
        <v>35</v>
      </c>
      <c r="F12063" s="14">
        <v>130000</v>
      </c>
      <c r="G12063" s="14">
        <v>87900</v>
      </c>
      <c r="H12063" s="13" t="s">
        <v>22748</v>
      </c>
      <c r="I12063" s="40" t="s">
        <v>18</v>
      </c>
      <c r="J12063" s="40" t="str">
        <f>HYPERLINK("https://stock.pstatic.net/stock-research/company/57/20250515_company_548190000.pdf","PDF")</f>
        <v>PDF</v>
      </c>
      <c r="K12063" s="12" t="s">
        <v>22749</v>
      </c>
      <c r="L12063" s="20">
        <v>0.47895335608646189</v>
      </c>
    </row>
    <row r="12064" spans="1:12" x14ac:dyDescent="0.45">
      <c r="A12064" s="12" t="s">
        <v>22735</v>
      </c>
      <c r="B12064" s="12" t="s">
        <v>330</v>
      </c>
      <c r="C12064" s="13" t="s">
        <v>331</v>
      </c>
      <c r="D12064" s="13" t="s">
        <v>65</v>
      </c>
      <c r="E12064" s="12" t="s">
        <v>35</v>
      </c>
      <c r="F12064" s="14">
        <v>50000</v>
      </c>
      <c r="G12064" s="14">
        <v>37350</v>
      </c>
      <c r="H12064" s="13" t="s">
        <v>22750</v>
      </c>
      <c r="I12064" s="40" t="s">
        <v>18</v>
      </c>
      <c r="J12064" s="40" t="str">
        <f>HYPERLINK("https://stock.pstatic.net/stock-research/company/57/20250515_company_492306000.pdf","PDF")</f>
        <v>PDF</v>
      </c>
      <c r="K12064" s="12" t="s">
        <v>22751</v>
      </c>
      <c r="L12064" s="20">
        <v>0.33868808567603748</v>
      </c>
    </row>
    <row r="12065" spans="1:12" x14ac:dyDescent="0.45">
      <c r="A12065" s="12" t="s">
        <v>22735</v>
      </c>
      <c r="B12065" s="12" t="s">
        <v>1019</v>
      </c>
      <c r="C12065" s="13" t="s">
        <v>1020</v>
      </c>
      <c r="D12065" s="13" t="s">
        <v>65</v>
      </c>
      <c r="E12065" s="12" t="s">
        <v>50</v>
      </c>
      <c r="F12065" s="13"/>
      <c r="G12065" s="14">
        <v>10750</v>
      </c>
      <c r="H12065" s="13" t="s">
        <v>22752</v>
      </c>
      <c r="I12065" s="40" t="s">
        <v>18</v>
      </c>
      <c r="J12065" s="40" t="str">
        <f>HYPERLINK("https://m.stock.naver.com/research/company/83234","PDF")</f>
        <v>PDF</v>
      </c>
      <c r="K12065" s="12" t="s">
        <v>22753</v>
      </c>
    </row>
    <row r="12066" spans="1:12" x14ac:dyDescent="0.45">
      <c r="A12066" s="12" t="s">
        <v>22735</v>
      </c>
      <c r="B12066" s="12" t="s">
        <v>661</v>
      </c>
      <c r="C12066" s="13" t="s">
        <v>662</v>
      </c>
      <c r="D12066" s="13" t="s">
        <v>65</v>
      </c>
      <c r="E12066" s="12" t="s">
        <v>35</v>
      </c>
      <c r="F12066" s="14">
        <v>34000</v>
      </c>
      <c r="G12066" s="14">
        <v>20650</v>
      </c>
      <c r="H12066" s="13" t="s">
        <v>22754</v>
      </c>
      <c r="I12066" s="40" t="s">
        <v>18</v>
      </c>
      <c r="J12066" s="40" t="str">
        <f>HYPERLINK("https://stock.pstatic.net/stock-research/company/57/20250515_company_400323000.pdf","PDF")</f>
        <v>PDF</v>
      </c>
      <c r="K12066" s="12" t="s">
        <v>22755</v>
      </c>
      <c r="L12066" s="20">
        <v>0.64648910411622273</v>
      </c>
    </row>
    <row r="12067" spans="1:12" x14ac:dyDescent="0.45">
      <c r="A12067" s="12" t="s">
        <v>22735</v>
      </c>
      <c r="B12067" s="12" t="s">
        <v>259</v>
      </c>
      <c r="C12067" s="13" t="s">
        <v>260</v>
      </c>
      <c r="D12067" s="13" t="s">
        <v>65</v>
      </c>
      <c r="E12067" s="12" t="s">
        <v>35</v>
      </c>
      <c r="F12067" s="14">
        <v>90000</v>
      </c>
      <c r="G12067" s="14">
        <v>69100</v>
      </c>
      <c r="H12067" s="13" t="s">
        <v>22756</v>
      </c>
      <c r="I12067" s="40" t="s">
        <v>18</v>
      </c>
      <c r="J12067" s="40" t="str">
        <f>HYPERLINK("https://m.stock.naver.com/research/company/83232","PDF")</f>
        <v>PDF</v>
      </c>
      <c r="K12067" s="12" t="s">
        <v>22757</v>
      </c>
      <c r="L12067" s="20">
        <v>0.3024602026049204</v>
      </c>
    </row>
    <row r="12068" spans="1:12" x14ac:dyDescent="0.45">
      <c r="A12068" s="12" t="s">
        <v>22735</v>
      </c>
      <c r="B12068" s="12" t="s">
        <v>76</v>
      </c>
      <c r="C12068" s="13" t="s">
        <v>77</v>
      </c>
      <c r="D12068" s="13" t="s">
        <v>65</v>
      </c>
      <c r="E12068" s="12" t="s">
        <v>1738</v>
      </c>
      <c r="F12068" s="14">
        <v>20000</v>
      </c>
      <c r="G12068" s="14">
        <v>20800</v>
      </c>
      <c r="H12068" s="13" t="s">
        <v>22758</v>
      </c>
      <c r="I12068" s="40" t="s">
        <v>18</v>
      </c>
      <c r="J12068" s="40" t="str">
        <f>HYPERLINK("https://stock.pstatic.net/stock-research/company/57/20250515_company_655439000.pdf","PDF")</f>
        <v>PDF</v>
      </c>
      <c r="K12068" s="12" t="s">
        <v>22759</v>
      </c>
      <c r="L12068" s="20">
        <v>-3.8461538461538457E-2</v>
      </c>
    </row>
    <row r="12069" spans="1:12" x14ac:dyDescent="0.45">
      <c r="A12069" s="12" t="s">
        <v>22735</v>
      </c>
      <c r="B12069" s="12" t="s">
        <v>19970</v>
      </c>
      <c r="C12069" s="13" t="s">
        <v>19971</v>
      </c>
      <c r="D12069" s="13" t="s">
        <v>57</v>
      </c>
      <c r="E12069" s="12" t="s">
        <v>159</v>
      </c>
      <c r="F12069" s="14">
        <v>21000</v>
      </c>
      <c r="G12069" s="14">
        <v>18860</v>
      </c>
      <c r="H12069" s="13" t="s">
        <v>22760</v>
      </c>
      <c r="I12069" s="40" t="s">
        <v>18</v>
      </c>
      <c r="J12069" s="40" t="str">
        <f>HYPERLINK("https://m.stock.naver.com/research/company/83230","PDF")</f>
        <v>PDF</v>
      </c>
      <c r="K12069" s="12" t="s">
        <v>22761</v>
      </c>
      <c r="L12069" s="20">
        <v>0.1134676564156946</v>
      </c>
    </row>
    <row r="12070" spans="1:12" x14ac:dyDescent="0.45">
      <c r="A12070" s="12" t="s">
        <v>22735</v>
      </c>
      <c r="B12070" s="12" t="s">
        <v>1274</v>
      </c>
      <c r="C12070" s="13" t="s">
        <v>1275</v>
      </c>
      <c r="D12070" s="13" t="s">
        <v>57</v>
      </c>
      <c r="E12070" s="12" t="s">
        <v>35</v>
      </c>
      <c r="F12070" s="14">
        <v>125000</v>
      </c>
      <c r="G12070" s="14">
        <v>92600</v>
      </c>
      <c r="H12070" s="13" t="s">
        <v>22762</v>
      </c>
      <c r="I12070" s="40" t="s">
        <v>18</v>
      </c>
      <c r="J12070" s="40" t="str">
        <f>HYPERLINK("https://m.stock.naver.com/research/company/83229","PDF")</f>
        <v>PDF</v>
      </c>
      <c r="K12070" s="12" t="s">
        <v>22763</v>
      </c>
      <c r="L12070" s="20">
        <v>0.34989200863930892</v>
      </c>
    </row>
    <row r="12071" spans="1:12" x14ac:dyDescent="0.45">
      <c r="A12071" s="12" t="s">
        <v>22735</v>
      </c>
      <c r="B12071" s="12" t="s">
        <v>21</v>
      </c>
      <c r="C12071" s="13" t="s">
        <v>22</v>
      </c>
      <c r="D12071" s="13" t="s">
        <v>57</v>
      </c>
      <c r="E12071" s="12" t="s">
        <v>35</v>
      </c>
      <c r="F12071" s="14">
        <v>34000</v>
      </c>
      <c r="G12071" s="14">
        <v>22150</v>
      </c>
      <c r="H12071" s="13" t="s">
        <v>22764</v>
      </c>
      <c r="I12071" s="40" t="s">
        <v>18</v>
      </c>
      <c r="J12071" s="40" t="str">
        <f>HYPERLINK("https://m.stock.naver.com/research/company/83228","PDF")</f>
        <v>PDF</v>
      </c>
      <c r="K12071" s="12" t="s">
        <v>22765</v>
      </c>
      <c r="L12071" s="20">
        <v>0.53498871331828446</v>
      </c>
    </row>
    <row r="12072" spans="1:12" x14ac:dyDescent="0.45">
      <c r="A12072" s="12" t="s">
        <v>22735</v>
      </c>
      <c r="B12072" s="12" t="s">
        <v>1258</v>
      </c>
      <c r="C12072" s="13" t="s">
        <v>1259</v>
      </c>
      <c r="D12072" s="13" t="s">
        <v>57</v>
      </c>
      <c r="E12072" s="12" t="s">
        <v>159</v>
      </c>
      <c r="F12072" s="14">
        <v>360000</v>
      </c>
      <c r="G12072" s="14">
        <v>378000</v>
      </c>
      <c r="H12072" s="13" t="s">
        <v>22766</v>
      </c>
      <c r="I12072" s="40" t="s">
        <v>18</v>
      </c>
      <c r="J12072" s="40" t="str">
        <f>HYPERLINK("https://m.stock.naver.com/research/company/83227","PDF")</f>
        <v>PDF</v>
      </c>
      <c r="K12072" s="12" t="s">
        <v>22767</v>
      </c>
      <c r="L12072" s="20">
        <v>-4.7619047619047623E-2</v>
      </c>
    </row>
    <row r="12073" spans="1:12" x14ac:dyDescent="0.45">
      <c r="A12073" s="12" t="s">
        <v>22735</v>
      </c>
      <c r="B12073" s="12" t="s">
        <v>1906</v>
      </c>
      <c r="C12073" s="13" t="s">
        <v>1907</v>
      </c>
      <c r="D12073" s="13" t="s">
        <v>57</v>
      </c>
      <c r="E12073" s="12" t="s">
        <v>35</v>
      </c>
      <c r="F12073" s="14">
        <v>44000</v>
      </c>
      <c r="G12073" s="14">
        <v>35550</v>
      </c>
      <c r="H12073" s="13" t="s">
        <v>22768</v>
      </c>
      <c r="I12073" s="40" t="s">
        <v>18</v>
      </c>
      <c r="J12073" s="40" t="str">
        <f>HYPERLINK("https://m.stock.naver.com/research/company/83226","PDF")</f>
        <v>PDF</v>
      </c>
      <c r="K12073" s="12" t="s">
        <v>22769</v>
      </c>
      <c r="L12073" s="20">
        <v>0.2376933895921238</v>
      </c>
    </row>
    <row r="12074" spans="1:12" x14ac:dyDescent="0.45">
      <c r="A12074" s="12" t="s">
        <v>22735</v>
      </c>
      <c r="B12074" s="12" t="s">
        <v>1682</v>
      </c>
      <c r="C12074" s="13" t="s">
        <v>4787</v>
      </c>
      <c r="D12074" s="13" t="s">
        <v>158</v>
      </c>
      <c r="E12074" s="12" t="s">
        <v>35</v>
      </c>
      <c r="F12074" s="14">
        <v>310000</v>
      </c>
      <c r="G12074" s="14">
        <v>158500</v>
      </c>
      <c r="H12074" s="13" t="s">
        <v>22770</v>
      </c>
      <c r="I12074" s="40" t="s">
        <v>18</v>
      </c>
      <c r="J12074" s="40" t="str">
        <f>HYPERLINK("https://m.stock.naver.com/research/company/83225","PDF")</f>
        <v>PDF</v>
      </c>
      <c r="K12074" s="12" t="s">
        <v>22771</v>
      </c>
      <c r="L12074" s="20">
        <v>0.95583596214511046</v>
      </c>
    </row>
    <row r="12075" spans="1:12" x14ac:dyDescent="0.45">
      <c r="A12075" s="12" t="s">
        <v>22735</v>
      </c>
      <c r="B12075" s="12" t="s">
        <v>495</v>
      </c>
      <c r="C12075" s="13" t="s">
        <v>496</v>
      </c>
      <c r="D12075" s="13" t="s">
        <v>158</v>
      </c>
      <c r="E12075" s="12" t="s">
        <v>35</v>
      </c>
      <c r="F12075" s="14">
        <v>150000</v>
      </c>
      <c r="G12075" s="14">
        <v>109400</v>
      </c>
      <c r="H12075" s="13" t="s">
        <v>22772</v>
      </c>
      <c r="I12075" s="40" t="s">
        <v>18</v>
      </c>
      <c r="J12075" s="40" t="str">
        <f>HYPERLINK("https://m.stock.naver.com/research/company/83224","PDF")</f>
        <v>PDF</v>
      </c>
      <c r="K12075" s="12" t="s">
        <v>22773</v>
      </c>
      <c r="L12075" s="20">
        <v>0.37111517367458868</v>
      </c>
    </row>
    <row r="12076" spans="1:12" x14ac:dyDescent="0.45">
      <c r="A12076" s="12" t="s">
        <v>22735</v>
      </c>
      <c r="B12076" s="12" t="s">
        <v>1344</v>
      </c>
      <c r="C12076" s="13" t="s">
        <v>1345</v>
      </c>
      <c r="D12076" s="13" t="s">
        <v>158</v>
      </c>
      <c r="E12076" s="12" t="s">
        <v>35</v>
      </c>
      <c r="F12076" s="14">
        <v>37000</v>
      </c>
      <c r="G12076" s="14">
        <v>28200</v>
      </c>
      <c r="H12076" s="13" t="s">
        <v>22774</v>
      </c>
      <c r="I12076" s="40" t="s">
        <v>18</v>
      </c>
      <c r="J12076" s="40" t="str">
        <f>HYPERLINK("https://m.stock.naver.com/research/company/83223","PDF")</f>
        <v>PDF</v>
      </c>
      <c r="K12076" s="12" t="s">
        <v>22775</v>
      </c>
      <c r="L12076" s="20">
        <v>0.31205673758865249</v>
      </c>
    </row>
    <row r="12077" spans="1:12" x14ac:dyDescent="0.45">
      <c r="A12077" s="12" t="s">
        <v>22735</v>
      </c>
      <c r="B12077" s="12" t="s">
        <v>2225</v>
      </c>
      <c r="C12077" s="13" t="s">
        <v>5282</v>
      </c>
      <c r="D12077" s="13" t="s">
        <v>83</v>
      </c>
      <c r="E12077" s="12" t="s">
        <v>35</v>
      </c>
      <c r="F12077" s="14">
        <v>440000</v>
      </c>
      <c r="G12077" s="14">
        <v>378000</v>
      </c>
      <c r="H12077" s="13" t="s">
        <v>22776</v>
      </c>
      <c r="I12077" s="40" t="s">
        <v>18</v>
      </c>
      <c r="J12077" s="40" t="str">
        <f>HYPERLINK("https://m.stock.naver.com/research/company/83222","PDF")</f>
        <v>PDF</v>
      </c>
      <c r="K12077" s="12" t="s">
        <v>22777</v>
      </c>
      <c r="L12077" s="20">
        <v>0.16402116402116401</v>
      </c>
    </row>
    <row r="12078" spans="1:12" x14ac:dyDescent="0.45">
      <c r="A12078" s="12" t="s">
        <v>22735</v>
      </c>
      <c r="B12078" s="12" t="s">
        <v>1061</v>
      </c>
      <c r="C12078" s="13" t="s">
        <v>1062</v>
      </c>
      <c r="D12078" s="13" t="s">
        <v>83</v>
      </c>
      <c r="E12078" s="12" t="s">
        <v>50</v>
      </c>
      <c r="F12078" s="13"/>
      <c r="G12078" s="14">
        <v>7350</v>
      </c>
      <c r="H12078" s="13" t="s">
        <v>22778</v>
      </c>
      <c r="I12078" s="40" t="s">
        <v>18</v>
      </c>
      <c r="J12078" s="40" t="str">
        <f>HYPERLINK("https://stock.pstatic.net/stock-research/company/2/20250515_company_707451000.pdf","PDF")</f>
        <v>PDF</v>
      </c>
      <c r="K12078" s="12" t="s">
        <v>22779</v>
      </c>
    </row>
    <row r="12079" spans="1:12" x14ac:dyDescent="0.45">
      <c r="A12079" s="12" t="s">
        <v>22735</v>
      </c>
      <c r="B12079" s="12" t="s">
        <v>1682</v>
      </c>
      <c r="C12079" s="13" t="s">
        <v>4787</v>
      </c>
      <c r="D12079" s="13" t="s">
        <v>83</v>
      </c>
      <c r="E12079" s="12" t="s">
        <v>642</v>
      </c>
      <c r="F12079" s="14">
        <v>180000</v>
      </c>
      <c r="G12079" s="14">
        <v>158500</v>
      </c>
      <c r="H12079" s="13" t="s">
        <v>22780</v>
      </c>
      <c r="I12079" s="40" t="s">
        <v>18</v>
      </c>
      <c r="J12079" s="40" t="str">
        <f>HYPERLINK("https://stock.pstatic.net/stock-research/company/2/20250515_company_634278000.pdf","PDF")</f>
        <v>PDF</v>
      </c>
      <c r="K12079" s="12" t="s">
        <v>22781</v>
      </c>
      <c r="L12079" s="20">
        <v>0.1356466876971609</v>
      </c>
    </row>
    <row r="12080" spans="1:12" x14ac:dyDescent="0.45">
      <c r="A12080" s="12" t="s">
        <v>22735</v>
      </c>
      <c r="B12080" s="12" t="s">
        <v>76</v>
      </c>
      <c r="C12080" s="13" t="s">
        <v>77</v>
      </c>
      <c r="D12080" s="13" t="s">
        <v>83</v>
      </c>
      <c r="E12080" s="12" t="s">
        <v>642</v>
      </c>
      <c r="F12080" s="14">
        <v>23000</v>
      </c>
      <c r="G12080" s="14">
        <v>20800</v>
      </c>
      <c r="H12080" s="13" t="s">
        <v>22782</v>
      </c>
      <c r="I12080" s="40" t="s">
        <v>18</v>
      </c>
      <c r="J12080" s="40" t="str">
        <f>HYPERLINK("https://stock.pstatic.net/stock-research/company/2/20250515_company_372095000.pdf","PDF")</f>
        <v>PDF</v>
      </c>
      <c r="K12080" s="12" t="s">
        <v>22783</v>
      </c>
      <c r="L12080" s="20">
        <v>0.1057692307692308</v>
      </c>
    </row>
    <row r="12081" spans="1:12" x14ac:dyDescent="0.45">
      <c r="A12081" s="12" t="s">
        <v>22735</v>
      </c>
      <c r="B12081" s="12" t="s">
        <v>1278</v>
      </c>
      <c r="C12081" s="13" t="s">
        <v>1279</v>
      </c>
      <c r="D12081" s="13" t="s">
        <v>83</v>
      </c>
      <c r="E12081" s="12" t="s">
        <v>35</v>
      </c>
      <c r="F12081" s="14">
        <v>120000</v>
      </c>
      <c r="G12081" s="14">
        <v>89000</v>
      </c>
      <c r="H12081" s="13" t="s">
        <v>22784</v>
      </c>
      <c r="I12081" s="40" t="s">
        <v>18</v>
      </c>
      <c r="J12081" s="40" t="str">
        <f>HYPERLINK("https://stock.pstatic.net/stock-research/company/2/20250515_company_116635000.pdf","PDF")</f>
        <v>PDF</v>
      </c>
      <c r="K12081" s="12" t="s">
        <v>22785</v>
      </c>
      <c r="L12081" s="20">
        <v>0.34831460674157311</v>
      </c>
    </row>
    <row r="12082" spans="1:12" x14ac:dyDescent="0.45">
      <c r="A12082" s="12" t="s">
        <v>22735</v>
      </c>
      <c r="B12082" s="12" t="s">
        <v>661</v>
      </c>
      <c r="C12082" s="13" t="s">
        <v>662</v>
      </c>
      <c r="D12082" s="13" t="s">
        <v>83</v>
      </c>
      <c r="E12082" s="12" t="s">
        <v>35</v>
      </c>
      <c r="F12082" s="14">
        <v>29000</v>
      </c>
      <c r="G12082" s="14">
        <v>20650</v>
      </c>
      <c r="H12082" s="13" t="s">
        <v>22786</v>
      </c>
      <c r="I12082" s="40" t="s">
        <v>18</v>
      </c>
      <c r="J12082" s="40" t="str">
        <f>HYPERLINK("https://stock.pstatic.net/stock-research/company/2/20250515_company_254425000.pdf","PDF")</f>
        <v>PDF</v>
      </c>
      <c r="K12082" s="12" t="s">
        <v>22787</v>
      </c>
      <c r="L12082" s="20">
        <v>0.40435835351089588</v>
      </c>
    </row>
    <row r="12083" spans="1:12" x14ac:dyDescent="0.45">
      <c r="A12083" s="12" t="s">
        <v>22735</v>
      </c>
      <c r="B12083" s="12" t="s">
        <v>856</v>
      </c>
      <c r="C12083" s="13" t="s">
        <v>857</v>
      </c>
      <c r="D12083" s="13" t="s">
        <v>83</v>
      </c>
      <c r="E12083" s="12" t="s">
        <v>35</v>
      </c>
      <c r="F12083" s="14">
        <v>175000</v>
      </c>
      <c r="G12083" s="14">
        <v>143100</v>
      </c>
      <c r="H12083" s="13" t="s">
        <v>22788</v>
      </c>
      <c r="I12083" s="40" t="s">
        <v>18</v>
      </c>
      <c r="J12083" s="40" t="str">
        <f>HYPERLINK("https://stock.pstatic.net/stock-research/company/2/20250515_company_710882000.pdf","PDF")</f>
        <v>PDF</v>
      </c>
      <c r="K12083" s="12" t="s">
        <v>22789</v>
      </c>
      <c r="L12083" s="20">
        <v>0.222921034241789</v>
      </c>
    </row>
    <row r="12084" spans="1:12" x14ac:dyDescent="0.45">
      <c r="A12084" s="12" t="s">
        <v>22735</v>
      </c>
      <c r="B12084" s="12" t="s">
        <v>1212</v>
      </c>
      <c r="C12084" s="13" t="s">
        <v>1213</v>
      </c>
      <c r="D12084" s="13" t="s">
        <v>23</v>
      </c>
      <c r="E12084" s="12" t="s">
        <v>50</v>
      </c>
      <c r="F12084" s="13"/>
      <c r="G12084" s="14">
        <v>50800</v>
      </c>
      <c r="H12084" s="13" t="s">
        <v>22790</v>
      </c>
      <c r="I12084" s="40" t="s">
        <v>18</v>
      </c>
      <c r="J12084" s="40" t="str">
        <f>HYPERLINK("https://stock.pstatic.net/stock-research/company/21/20250515_company_733967000.pdf","PDF")</f>
        <v>PDF</v>
      </c>
      <c r="K12084" s="12" t="s">
        <v>22791</v>
      </c>
    </row>
    <row r="12085" spans="1:12" x14ac:dyDescent="0.45">
      <c r="A12085" s="12" t="s">
        <v>22735</v>
      </c>
      <c r="B12085" s="12" t="s">
        <v>259</v>
      </c>
      <c r="C12085" s="13" t="s">
        <v>260</v>
      </c>
      <c r="D12085" s="13" t="s">
        <v>15</v>
      </c>
      <c r="E12085" s="12" t="s">
        <v>16</v>
      </c>
      <c r="F12085" s="14">
        <v>90000</v>
      </c>
      <c r="G12085" s="14">
        <v>69100</v>
      </c>
      <c r="H12085" s="13" t="s">
        <v>22792</v>
      </c>
      <c r="I12085" s="40" t="s">
        <v>18</v>
      </c>
      <c r="J12085" s="40" t="str">
        <f>HYPERLINK("https://stock.pstatic.net/stock-research/company/29/20250515_company_852278000.pdf","PDF")</f>
        <v>PDF</v>
      </c>
      <c r="K12085" s="12" t="s">
        <v>22793</v>
      </c>
      <c r="L12085" s="20">
        <v>0.3024602026049204</v>
      </c>
    </row>
    <row r="12086" spans="1:12" x14ac:dyDescent="0.45">
      <c r="A12086" s="12" t="s">
        <v>22735</v>
      </c>
      <c r="B12086" s="12" t="s">
        <v>1656</v>
      </c>
      <c r="C12086" s="13" t="s">
        <v>1657</v>
      </c>
      <c r="D12086" s="13" t="s">
        <v>15</v>
      </c>
      <c r="E12086" s="12" t="s">
        <v>16</v>
      </c>
      <c r="F12086" s="14">
        <v>200000</v>
      </c>
      <c r="G12086" s="14">
        <v>165000</v>
      </c>
      <c r="H12086" s="13" t="s">
        <v>22794</v>
      </c>
      <c r="I12086" s="40" t="s">
        <v>18</v>
      </c>
      <c r="J12086" s="40" t="str">
        <f>HYPERLINK("https://stock.pstatic.net/stock-research/company/29/20250515_company_995413000.pdf","PDF")</f>
        <v>PDF</v>
      </c>
      <c r="K12086" s="12" t="s">
        <v>22795</v>
      </c>
      <c r="L12086" s="20">
        <v>0.2121212121212121</v>
      </c>
    </row>
    <row r="12087" spans="1:12" x14ac:dyDescent="0.45">
      <c r="A12087" s="12" t="s">
        <v>22735</v>
      </c>
      <c r="B12087" s="12" t="s">
        <v>1047</v>
      </c>
      <c r="C12087" s="13" t="s">
        <v>1048</v>
      </c>
      <c r="D12087" s="13" t="s">
        <v>15</v>
      </c>
      <c r="E12087" s="12" t="s">
        <v>385</v>
      </c>
      <c r="F12087" s="14">
        <v>10000</v>
      </c>
      <c r="G12087" s="14">
        <v>10190</v>
      </c>
      <c r="H12087" s="13" t="s">
        <v>22796</v>
      </c>
      <c r="I12087" s="40" t="s">
        <v>18</v>
      </c>
      <c r="J12087" s="40" t="str">
        <f>HYPERLINK("https://stock.pstatic.net/stock-research/company/29/20250515_company_406771000.pdf","PDF")</f>
        <v>PDF</v>
      </c>
      <c r="K12087" s="12" t="s">
        <v>22797</v>
      </c>
      <c r="L12087" s="20">
        <v>-1.8645731108930329E-2</v>
      </c>
    </row>
    <row r="12088" spans="1:12" x14ac:dyDescent="0.45">
      <c r="A12088" s="12" t="s">
        <v>22735</v>
      </c>
      <c r="B12088" s="12" t="s">
        <v>1278</v>
      </c>
      <c r="C12088" s="13" t="s">
        <v>1279</v>
      </c>
      <c r="D12088" s="13" t="s">
        <v>179</v>
      </c>
      <c r="E12088" s="12" t="s">
        <v>16</v>
      </c>
      <c r="F12088" s="14">
        <v>115000</v>
      </c>
      <c r="G12088" s="14">
        <v>89000</v>
      </c>
      <c r="H12088" s="13" t="s">
        <v>22798</v>
      </c>
      <c r="I12088" s="40" t="s">
        <v>18</v>
      </c>
      <c r="J12088" s="40" t="str">
        <f>HYPERLINK("https://stock.pstatic.net/stock-research/company/31/20250515_company_509471000.pdf","PDF")</f>
        <v>PDF</v>
      </c>
      <c r="K12088" s="12" t="s">
        <v>22799</v>
      </c>
      <c r="L12088" s="20">
        <v>0.29213483146067409</v>
      </c>
    </row>
    <row r="12089" spans="1:12" x14ac:dyDescent="0.45">
      <c r="A12089" s="12" t="s">
        <v>22735</v>
      </c>
      <c r="B12089" s="12" t="s">
        <v>3395</v>
      </c>
      <c r="C12089" s="13" t="s">
        <v>3396</v>
      </c>
      <c r="D12089" s="13" t="s">
        <v>124</v>
      </c>
      <c r="E12089" s="12" t="s">
        <v>50</v>
      </c>
      <c r="F12089" s="13"/>
      <c r="G12089" s="13"/>
      <c r="H12089" s="13" t="s">
        <v>22800</v>
      </c>
      <c r="I12089" s="40" t="s">
        <v>18</v>
      </c>
      <c r="J12089" s="40" t="str">
        <f>HYPERLINK("https://stock.pstatic.net/stock-research/company/74/20250515_company_433082000.pdf","PDF")</f>
        <v>PDF</v>
      </c>
      <c r="K12089" s="12" t="s">
        <v>22801</v>
      </c>
    </row>
    <row r="12090" spans="1:12" x14ac:dyDescent="0.45">
      <c r="A12090" s="12" t="s">
        <v>22735</v>
      </c>
      <c r="B12090" s="12" t="s">
        <v>888</v>
      </c>
      <c r="C12090" s="13" t="s">
        <v>889</v>
      </c>
      <c r="D12090" s="13" t="s">
        <v>179</v>
      </c>
      <c r="E12090" s="12" t="s">
        <v>16</v>
      </c>
      <c r="F12090" s="14">
        <v>62000</v>
      </c>
      <c r="G12090" s="14">
        <v>52800</v>
      </c>
      <c r="H12090" s="13" t="s">
        <v>22802</v>
      </c>
      <c r="I12090" s="40" t="s">
        <v>18</v>
      </c>
      <c r="J12090" s="40" t="str">
        <f>HYPERLINK("https://stock.pstatic.net/stock-research/company/31/20250515_company_323075000.pdf","PDF")</f>
        <v>PDF</v>
      </c>
      <c r="K12090" s="12" t="s">
        <v>22803</v>
      </c>
      <c r="L12090" s="20">
        <v>0.17424242424242431</v>
      </c>
    </row>
    <row r="12091" spans="1:12" x14ac:dyDescent="0.45">
      <c r="A12091" s="12" t="s">
        <v>22735</v>
      </c>
      <c r="B12091" s="12" t="s">
        <v>894</v>
      </c>
      <c r="C12091" s="13" t="s">
        <v>26</v>
      </c>
      <c r="D12091" s="13" t="s">
        <v>179</v>
      </c>
      <c r="E12091" s="12" t="s">
        <v>16</v>
      </c>
      <c r="F12091" s="14">
        <v>56000</v>
      </c>
      <c r="G12091" s="14">
        <v>40400</v>
      </c>
      <c r="H12091" s="13" t="s">
        <v>22804</v>
      </c>
      <c r="I12091" s="40" t="s">
        <v>18</v>
      </c>
      <c r="J12091" s="40" t="str">
        <f>HYPERLINK("https://stock.pstatic.net/stock-research/company/31/20250515_company_453810000.pdf","PDF")</f>
        <v>PDF</v>
      </c>
      <c r="K12091" s="12" t="s">
        <v>22805</v>
      </c>
      <c r="L12091" s="20">
        <v>0.38613861386138609</v>
      </c>
    </row>
    <row r="12092" spans="1:12" x14ac:dyDescent="0.45">
      <c r="A12092" s="12" t="s">
        <v>22735</v>
      </c>
      <c r="B12092" s="12" t="s">
        <v>21</v>
      </c>
      <c r="C12092" s="13" t="s">
        <v>22</v>
      </c>
      <c r="D12092" s="13" t="s">
        <v>179</v>
      </c>
      <c r="E12092" s="12" t="s">
        <v>385</v>
      </c>
      <c r="F12092" s="14">
        <v>25000</v>
      </c>
      <c r="G12092" s="14">
        <v>22150</v>
      </c>
      <c r="H12092" s="13" t="s">
        <v>22806</v>
      </c>
      <c r="I12092" s="40" t="s">
        <v>18</v>
      </c>
      <c r="J12092" s="40" t="str">
        <f>HYPERLINK("https://stock.pstatic.net/stock-research/company/31/20250515_company_161025000.pdf","PDF")</f>
        <v>PDF</v>
      </c>
      <c r="K12092" s="12" t="s">
        <v>22807</v>
      </c>
      <c r="L12092" s="20">
        <v>0.12866817155756211</v>
      </c>
    </row>
    <row r="12093" spans="1:12" x14ac:dyDescent="0.45">
      <c r="A12093" s="12" t="s">
        <v>22735</v>
      </c>
      <c r="B12093" s="12" t="s">
        <v>76</v>
      </c>
      <c r="C12093" s="13" t="s">
        <v>77</v>
      </c>
      <c r="D12093" s="13" t="s">
        <v>15</v>
      </c>
      <c r="E12093" s="12" t="s">
        <v>16</v>
      </c>
      <c r="F12093" s="14">
        <v>29000</v>
      </c>
      <c r="G12093" s="14">
        <v>20800</v>
      </c>
      <c r="H12093" s="13" t="s">
        <v>22808</v>
      </c>
      <c r="I12093" s="40" t="s">
        <v>18</v>
      </c>
      <c r="J12093" s="40" t="str">
        <f>HYPERLINK("https://stock.pstatic.net/stock-research/company/29/20250515_company_865647000.pdf","PDF")</f>
        <v>PDF</v>
      </c>
      <c r="K12093" s="12" t="s">
        <v>22809</v>
      </c>
      <c r="L12093" s="20">
        <v>0.39423076923076922</v>
      </c>
    </row>
    <row r="12094" spans="1:12" x14ac:dyDescent="0.45">
      <c r="A12094" s="12" t="s">
        <v>22735</v>
      </c>
      <c r="B12094" s="12" t="s">
        <v>1274</v>
      </c>
      <c r="C12094" s="13" t="s">
        <v>1275</v>
      </c>
      <c r="D12094" s="13" t="s">
        <v>179</v>
      </c>
      <c r="E12094" s="12" t="s">
        <v>16</v>
      </c>
      <c r="F12094" s="14">
        <v>120000</v>
      </c>
      <c r="G12094" s="14">
        <v>92600</v>
      </c>
      <c r="H12094" s="13" t="s">
        <v>22810</v>
      </c>
      <c r="I12094" s="40" t="s">
        <v>18</v>
      </c>
      <c r="J12094" s="40" t="str">
        <f>HYPERLINK("https://stock.pstatic.net/stock-research/company/31/20250515_company_75583000.pdf","PDF")</f>
        <v>PDF</v>
      </c>
      <c r="K12094" s="12" t="s">
        <v>22811</v>
      </c>
      <c r="L12094" s="20">
        <v>0.29589632829373652</v>
      </c>
    </row>
    <row r="12095" spans="1:12" x14ac:dyDescent="0.45">
      <c r="A12095" s="12" t="s">
        <v>22735</v>
      </c>
      <c r="B12095" s="12" t="s">
        <v>1682</v>
      </c>
      <c r="C12095" s="13" t="s">
        <v>4787</v>
      </c>
      <c r="D12095" s="13" t="s">
        <v>179</v>
      </c>
      <c r="E12095" s="12" t="s">
        <v>16</v>
      </c>
      <c r="F12095" s="14">
        <v>230000</v>
      </c>
      <c r="G12095" s="14">
        <v>158500</v>
      </c>
      <c r="H12095" s="13" t="s">
        <v>22812</v>
      </c>
      <c r="I12095" s="40" t="s">
        <v>18</v>
      </c>
      <c r="J12095" s="40" t="str">
        <f>HYPERLINK("https://stock.pstatic.net/stock-research/company/31/20250515_company_368386000.pdf","PDF")</f>
        <v>PDF</v>
      </c>
      <c r="K12095" s="12" t="s">
        <v>22813</v>
      </c>
      <c r="L12095" s="20">
        <v>0.45110410094637232</v>
      </c>
    </row>
    <row r="12096" spans="1:12" x14ac:dyDescent="0.45">
      <c r="A12096" s="12" t="s">
        <v>22735</v>
      </c>
      <c r="B12096" s="12" t="s">
        <v>8465</v>
      </c>
      <c r="C12096" s="13" t="s">
        <v>8466</v>
      </c>
      <c r="D12096" s="13" t="s">
        <v>92</v>
      </c>
      <c r="E12096" s="12" t="s">
        <v>35</v>
      </c>
      <c r="F12096" s="14">
        <v>32000</v>
      </c>
      <c r="G12096" s="14">
        <v>24700</v>
      </c>
      <c r="H12096" s="13" t="s">
        <v>22814</v>
      </c>
      <c r="I12096" s="40" t="s">
        <v>18</v>
      </c>
      <c r="J12096" s="40" t="str">
        <f>HYPERLINK("https://stock.pstatic.net/stock-research/company/63/20250515_company_56059000.pdf","PDF")</f>
        <v>PDF</v>
      </c>
      <c r="K12096" s="12" t="s">
        <v>22815</v>
      </c>
      <c r="L12096" s="20">
        <v>0.29554655870445351</v>
      </c>
    </row>
    <row r="12097" spans="1:12" x14ac:dyDescent="0.45">
      <c r="A12097" s="12" t="s">
        <v>22735</v>
      </c>
      <c r="B12097" s="12" t="s">
        <v>1906</v>
      </c>
      <c r="C12097" s="13" t="s">
        <v>1907</v>
      </c>
      <c r="D12097" s="13" t="s">
        <v>179</v>
      </c>
      <c r="E12097" s="12" t="s">
        <v>16</v>
      </c>
      <c r="F12097" s="14">
        <v>45000</v>
      </c>
      <c r="G12097" s="14">
        <v>37100</v>
      </c>
      <c r="H12097" s="13" t="s">
        <v>22816</v>
      </c>
      <c r="I12097" s="40" t="s">
        <v>18</v>
      </c>
      <c r="J12097" s="40" t="str">
        <f>HYPERLINK("https://stock.pstatic.net/stock-research/company/31/20250515_company_349185000.pdf","PDF")</f>
        <v>PDF</v>
      </c>
      <c r="K12097" s="12" t="s">
        <v>22817</v>
      </c>
      <c r="L12097" s="20">
        <v>0.2129380053908356</v>
      </c>
    </row>
    <row r="12098" spans="1:12" x14ac:dyDescent="0.45">
      <c r="A12098" s="12" t="s">
        <v>22735</v>
      </c>
      <c r="B12098" s="12" t="s">
        <v>894</v>
      </c>
      <c r="C12098" s="13" t="s">
        <v>26</v>
      </c>
      <c r="D12098" s="13" t="s">
        <v>92</v>
      </c>
      <c r="E12098" s="12" t="s">
        <v>35</v>
      </c>
      <c r="F12098" s="14">
        <v>52000</v>
      </c>
      <c r="G12098" s="14">
        <v>39950</v>
      </c>
      <c r="H12098" s="13" t="s">
        <v>22818</v>
      </c>
      <c r="I12098" s="40" t="s">
        <v>18</v>
      </c>
      <c r="J12098" s="40" t="str">
        <f>HYPERLINK("https://stock.pstatic.net/stock-research/company/63/20250515_company_374950000.pdf","PDF")</f>
        <v>PDF</v>
      </c>
      <c r="K12098" s="12" t="s">
        <v>22819</v>
      </c>
      <c r="L12098" s="20">
        <v>0.30162703379224032</v>
      </c>
    </row>
    <row r="12099" spans="1:12" x14ac:dyDescent="0.45">
      <c r="A12099" s="12" t="s">
        <v>22735</v>
      </c>
      <c r="B12099" s="12" t="s">
        <v>1270</v>
      </c>
      <c r="C12099" s="13" t="s">
        <v>1271</v>
      </c>
      <c r="D12099" s="13" t="s">
        <v>179</v>
      </c>
      <c r="E12099" s="12" t="s">
        <v>50</v>
      </c>
      <c r="F12099" s="13"/>
      <c r="G12099" s="13"/>
      <c r="H12099" s="13" t="s">
        <v>22820</v>
      </c>
      <c r="I12099" s="40" t="s">
        <v>18</v>
      </c>
      <c r="J12099" s="40" t="str">
        <f>HYPERLINK("https://stock.pstatic.net/stock-research/company/31/20250515_company_982655000.pdf","PDF")</f>
        <v>PDF</v>
      </c>
      <c r="K12099" s="12" t="s">
        <v>22821</v>
      </c>
    </row>
    <row r="12100" spans="1:12" x14ac:dyDescent="0.45">
      <c r="A12100" s="12" t="s">
        <v>22735</v>
      </c>
      <c r="B12100" s="12" t="s">
        <v>1278</v>
      </c>
      <c r="C12100" s="13" t="s">
        <v>1279</v>
      </c>
      <c r="D12100" s="13" t="s">
        <v>15</v>
      </c>
      <c r="E12100" s="12" t="s">
        <v>16</v>
      </c>
      <c r="F12100" s="14">
        <v>120000</v>
      </c>
      <c r="G12100" s="14">
        <v>89000</v>
      </c>
      <c r="H12100" s="13" t="s">
        <v>22822</v>
      </c>
      <c r="I12100" s="40" t="s">
        <v>18</v>
      </c>
      <c r="J12100" s="40" t="str">
        <f>HYPERLINK("https://stock.pstatic.net/stock-research/company/29/20250515_company_442615000.pdf","PDF")</f>
        <v>PDF</v>
      </c>
      <c r="K12100" s="12" t="s">
        <v>22823</v>
      </c>
      <c r="L12100" s="20">
        <v>0.34831460674157311</v>
      </c>
    </row>
    <row r="12101" spans="1:12" x14ac:dyDescent="0.45">
      <c r="A12101" s="12" t="s">
        <v>22735</v>
      </c>
      <c r="B12101" s="12" t="s">
        <v>1258</v>
      </c>
      <c r="C12101" s="13" t="s">
        <v>1259</v>
      </c>
      <c r="D12101" s="13" t="s">
        <v>179</v>
      </c>
      <c r="E12101" s="12" t="s">
        <v>16</v>
      </c>
      <c r="F12101" s="14">
        <v>474000</v>
      </c>
      <c r="G12101" s="14">
        <v>378000</v>
      </c>
      <c r="H12101" s="13" t="s">
        <v>22824</v>
      </c>
      <c r="I12101" s="40" t="s">
        <v>18</v>
      </c>
      <c r="J12101" s="40" t="str">
        <f>HYPERLINK("https://stock.pstatic.net/stock-research/company/64/20250515_company_203927000.pdf","PDF")</f>
        <v>PDF</v>
      </c>
      <c r="K12101" s="12" t="s">
        <v>22825</v>
      </c>
      <c r="L12101" s="20">
        <v>0.25396825396825401</v>
      </c>
    </row>
    <row r="12102" spans="1:12" x14ac:dyDescent="0.45">
      <c r="A12102" s="12" t="s">
        <v>22735</v>
      </c>
      <c r="B12102" s="12" t="s">
        <v>1918</v>
      </c>
      <c r="C12102" s="13" t="s">
        <v>1919</v>
      </c>
      <c r="D12102" s="13" t="s">
        <v>92</v>
      </c>
      <c r="E12102" s="12" t="s">
        <v>35</v>
      </c>
      <c r="F12102" s="14">
        <v>8000</v>
      </c>
      <c r="G12102" s="14">
        <v>5280</v>
      </c>
      <c r="H12102" s="13" t="s">
        <v>22826</v>
      </c>
      <c r="I12102" s="40" t="s">
        <v>18</v>
      </c>
      <c r="J12102" s="40" t="str">
        <f>HYPERLINK("https://stock.pstatic.net/stock-research/company/1/20250515_company_69487000.pdf","PDF")</f>
        <v>PDF</v>
      </c>
      <c r="K12102" s="12" t="s">
        <v>22827</v>
      </c>
      <c r="L12102" s="20">
        <v>0.51515151515151514</v>
      </c>
    </row>
    <row r="12103" spans="1:12" x14ac:dyDescent="0.45">
      <c r="A12103" s="12" t="s">
        <v>22735</v>
      </c>
      <c r="B12103" s="12" t="s">
        <v>76</v>
      </c>
      <c r="C12103" s="13" t="s">
        <v>77</v>
      </c>
      <c r="D12103" s="13" t="s">
        <v>34</v>
      </c>
      <c r="E12103" s="12" t="s">
        <v>159</v>
      </c>
      <c r="F12103" s="14">
        <v>21000</v>
      </c>
      <c r="G12103" s="14">
        <v>20800</v>
      </c>
      <c r="H12103" s="13" t="s">
        <v>22828</v>
      </c>
      <c r="I12103" s="40" t="s">
        <v>18</v>
      </c>
      <c r="J12103" s="40" t="str">
        <f>HYPERLINK("https://stock.pstatic.net/stock-research/company/61/20250515_company_889297000.pdf","PDF")</f>
        <v>PDF</v>
      </c>
      <c r="K12103" s="12" t="s">
        <v>22829</v>
      </c>
      <c r="L12103" s="20">
        <v>9.6153846153846159E-3</v>
      </c>
    </row>
    <row r="12104" spans="1:12" x14ac:dyDescent="0.45">
      <c r="A12104" s="12" t="s">
        <v>22735</v>
      </c>
      <c r="B12104" s="12" t="s">
        <v>86</v>
      </c>
      <c r="C12104" s="13" t="s">
        <v>87</v>
      </c>
      <c r="D12104" s="13" t="s">
        <v>179</v>
      </c>
      <c r="E12104" s="12" t="s">
        <v>16</v>
      </c>
      <c r="F12104" s="14">
        <v>145000</v>
      </c>
      <c r="G12104" s="14">
        <v>116600</v>
      </c>
      <c r="H12104" s="13" t="s">
        <v>22830</v>
      </c>
      <c r="I12104" s="40" t="s">
        <v>18</v>
      </c>
      <c r="J12104" s="40" t="str">
        <f>HYPERLINK("https://stock.pstatic.net/stock-research/company/31/20250515_company_1167000.pdf","PDF")</f>
        <v>PDF</v>
      </c>
      <c r="K12104" s="12" t="s">
        <v>22831</v>
      </c>
      <c r="L12104" s="20">
        <v>0.24356775300171529</v>
      </c>
    </row>
    <row r="12105" spans="1:12" x14ac:dyDescent="0.45">
      <c r="A12105" s="12" t="s">
        <v>22735</v>
      </c>
      <c r="B12105" s="12" t="s">
        <v>1019</v>
      </c>
      <c r="C12105" s="13" t="s">
        <v>1020</v>
      </c>
      <c r="D12105" s="13" t="s">
        <v>92</v>
      </c>
      <c r="E12105" s="12" t="s">
        <v>35</v>
      </c>
      <c r="F12105" s="14">
        <v>15000</v>
      </c>
      <c r="G12105" s="14">
        <v>10750</v>
      </c>
      <c r="H12105" s="13" t="s">
        <v>22832</v>
      </c>
      <c r="I12105" s="40" t="s">
        <v>18</v>
      </c>
      <c r="J12105" s="40" t="str">
        <f>HYPERLINK("https://stock.pstatic.net/stock-research/company/63/20250515_company_938071000.pdf","PDF")</f>
        <v>PDF</v>
      </c>
      <c r="K12105" s="12" t="s">
        <v>22833</v>
      </c>
      <c r="L12105" s="20">
        <v>0.39534883720930231</v>
      </c>
    </row>
    <row r="12106" spans="1:12" x14ac:dyDescent="0.45">
      <c r="A12106" s="12" t="s">
        <v>22735</v>
      </c>
      <c r="B12106" s="12" t="s">
        <v>1540</v>
      </c>
      <c r="C12106" s="13" t="s">
        <v>1541</v>
      </c>
      <c r="D12106" s="13" t="s">
        <v>53</v>
      </c>
      <c r="E12106" s="12" t="s">
        <v>16</v>
      </c>
      <c r="F12106" s="14">
        <v>60000</v>
      </c>
      <c r="G12106" s="14">
        <v>43300</v>
      </c>
      <c r="H12106" s="13" t="s">
        <v>22834</v>
      </c>
      <c r="I12106" s="40" t="s">
        <v>18</v>
      </c>
      <c r="J12106" s="40" t="str">
        <f>HYPERLINK("https://stock.pstatic.net/stock-research/company/40/20250515_company_423348000.pdf","PDF")</f>
        <v>PDF</v>
      </c>
      <c r="K12106" s="12" t="s">
        <v>22835</v>
      </c>
      <c r="L12106" s="20">
        <v>0.38568129330254042</v>
      </c>
    </row>
    <row r="12107" spans="1:12" x14ac:dyDescent="0.45">
      <c r="A12107" s="12" t="s">
        <v>22735</v>
      </c>
      <c r="B12107" s="12" t="s">
        <v>330</v>
      </c>
      <c r="C12107" s="13" t="s">
        <v>331</v>
      </c>
      <c r="D12107" s="13" t="s">
        <v>15</v>
      </c>
      <c r="E12107" s="12" t="s">
        <v>16</v>
      </c>
      <c r="F12107" s="14">
        <v>51000</v>
      </c>
      <c r="G12107" s="14">
        <v>37350</v>
      </c>
      <c r="H12107" s="13" t="s">
        <v>22836</v>
      </c>
      <c r="I12107" s="40" t="s">
        <v>18</v>
      </c>
      <c r="J12107" s="40" t="str">
        <f>HYPERLINK("https://stock.pstatic.net/stock-research/company/29/20250515_company_469180000.pdf","PDF")</f>
        <v>PDF</v>
      </c>
      <c r="K12107" s="12" t="s">
        <v>22837</v>
      </c>
      <c r="L12107" s="20">
        <v>0.36546184738955823</v>
      </c>
    </row>
    <row r="12108" spans="1:12" x14ac:dyDescent="0.45">
      <c r="A12108" s="12" t="s">
        <v>22735</v>
      </c>
      <c r="B12108" s="12" t="s">
        <v>1799</v>
      </c>
      <c r="C12108" s="13" t="s">
        <v>1800</v>
      </c>
      <c r="D12108" s="13" t="s">
        <v>179</v>
      </c>
      <c r="E12108" s="12" t="s">
        <v>16</v>
      </c>
      <c r="F12108" s="14">
        <v>5600</v>
      </c>
      <c r="G12108" s="14">
        <v>3930</v>
      </c>
      <c r="H12108" s="13" t="s">
        <v>22838</v>
      </c>
      <c r="I12108" s="40" t="s">
        <v>18</v>
      </c>
      <c r="J12108" s="40" t="str">
        <f>HYPERLINK("https://stock.pstatic.net/stock-research/company/64/20250515_company_98739000.pdf","PDF")</f>
        <v>PDF</v>
      </c>
      <c r="K12108" s="12" t="s">
        <v>22839</v>
      </c>
      <c r="L12108" s="20">
        <v>0.42493638676844792</v>
      </c>
    </row>
    <row r="12109" spans="1:12" x14ac:dyDescent="0.45">
      <c r="A12109" s="12" t="s">
        <v>22735</v>
      </c>
      <c r="B12109" s="12" t="s">
        <v>259</v>
      </c>
      <c r="C12109" s="13" t="s">
        <v>260</v>
      </c>
      <c r="D12109" s="13" t="s">
        <v>92</v>
      </c>
      <c r="E12109" s="12" t="s">
        <v>35</v>
      </c>
      <c r="F12109" s="14">
        <v>88000</v>
      </c>
      <c r="G12109" s="14">
        <v>69100</v>
      </c>
      <c r="H12109" s="13" t="s">
        <v>22840</v>
      </c>
      <c r="I12109" s="40" t="s">
        <v>18</v>
      </c>
      <c r="J12109" s="40" t="str">
        <f>HYPERLINK("https://stock.pstatic.net/stock-research/company/63/20250515_company_154412000.pdf","PDF")</f>
        <v>PDF</v>
      </c>
      <c r="K12109" s="12" t="s">
        <v>22841</v>
      </c>
      <c r="L12109" s="20">
        <v>0.27351664254703328</v>
      </c>
    </row>
    <row r="12110" spans="1:12" x14ac:dyDescent="0.45">
      <c r="A12110" s="12" t="s">
        <v>22735</v>
      </c>
      <c r="B12110" s="12" t="s">
        <v>86</v>
      </c>
      <c r="C12110" s="13" t="s">
        <v>87</v>
      </c>
      <c r="D12110" s="13" t="s">
        <v>44</v>
      </c>
      <c r="E12110" s="12" t="s">
        <v>35</v>
      </c>
      <c r="F12110" s="14">
        <v>150000</v>
      </c>
      <c r="G12110" s="14">
        <v>116600</v>
      </c>
      <c r="H12110" s="13" t="s">
        <v>22842</v>
      </c>
      <c r="I12110" s="40" t="s">
        <v>18</v>
      </c>
      <c r="J12110" s="40" t="str">
        <f>HYPERLINK("https://stock.pstatic.net/stock-research/company/39/20250515_company_868114000.pdf","PDF")</f>
        <v>PDF</v>
      </c>
      <c r="K12110" s="12" t="s">
        <v>22843</v>
      </c>
      <c r="L12110" s="20">
        <v>0.28644939965694682</v>
      </c>
    </row>
    <row r="12111" spans="1:12" x14ac:dyDescent="0.45">
      <c r="A12111" s="12" t="s">
        <v>22735</v>
      </c>
      <c r="B12111" s="12" t="s">
        <v>259</v>
      </c>
      <c r="C12111" s="13" t="s">
        <v>260</v>
      </c>
      <c r="D12111" s="13" t="s">
        <v>34</v>
      </c>
      <c r="E12111" s="12" t="s">
        <v>35</v>
      </c>
      <c r="F12111" s="14">
        <v>94000</v>
      </c>
      <c r="G12111" s="14">
        <v>69100</v>
      </c>
      <c r="H12111" s="13" t="s">
        <v>22844</v>
      </c>
      <c r="I12111" s="40" t="s">
        <v>18</v>
      </c>
      <c r="J12111" s="40" t="str">
        <f>HYPERLINK("https://stock.pstatic.net/stock-research/company/61/20250515_company_933813000.pdf","PDF")</f>
        <v>PDF</v>
      </c>
      <c r="K12111" s="12" t="s">
        <v>22845</v>
      </c>
      <c r="L12111" s="20">
        <v>0.36034732272069459</v>
      </c>
    </row>
    <row r="12112" spans="1:12" x14ac:dyDescent="0.45">
      <c r="A12112" s="12" t="s">
        <v>22735</v>
      </c>
      <c r="B12112" s="12" t="s">
        <v>1128</v>
      </c>
      <c r="C12112" s="13" t="s">
        <v>1129</v>
      </c>
      <c r="D12112" s="13" t="s">
        <v>179</v>
      </c>
      <c r="E12112" s="12" t="s">
        <v>16</v>
      </c>
      <c r="F12112" s="14">
        <v>63000</v>
      </c>
      <c r="G12112" s="14">
        <v>43500</v>
      </c>
      <c r="H12112" s="13" t="s">
        <v>22846</v>
      </c>
      <c r="I12112" s="40" t="s">
        <v>18</v>
      </c>
      <c r="J12112" s="40" t="str">
        <f>HYPERLINK("https://stock.pstatic.net/stock-research/company/31/20250515_company_730407000.pdf","PDF")</f>
        <v>PDF</v>
      </c>
      <c r="K12112" s="12" t="s">
        <v>22847</v>
      </c>
      <c r="L12112" s="20">
        <v>0.44827586206896552</v>
      </c>
    </row>
    <row r="12113" spans="1:12" x14ac:dyDescent="0.45">
      <c r="A12113" s="12" t="s">
        <v>22735</v>
      </c>
      <c r="B12113" s="12" t="s">
        <v>1540</v>
      </c>
      <c r="C12113" s="13" t="s">
        <v>1541</v>
      </c>
      <c r="D12113" s="13" t="s">
        <v>23</v>
      </c>
      <c r="E12113" s="12" t="s">
        <v>16</v>
      </c>
      <c r="F12113" s="14">
        <v>56000</v>
      </c>
      <c r="G12113" s="14">
        <v>43300</v>
      </c>
      <c r="H12113" s="13" t="s">
        <v>22848</v>
      </c>
      <c r="I12113" s="40" t="s">
        <v>18</v>
      </c>
      <c r="J12113" s="40" t="str">
        <f>HYPERLINK("https://stock.pstatic.net/stock-research/company/21/20250515_company_581163000.pdf","PDF")</f>
        <v>PDF</v>
      </c>
      <c r="K12113" s="12" t="s">
        <v>22849</v>
      </c>
      <c r="L12113" s="20">
        <v>0.29330254041570442</v>
      </c>
    </row>
    <row r="12114" spans="1:12" x14ac:dyDescent="0.45">
      <c r="A12114" s="12" t="s">
        <v>22735</v>
      </c>
      <c r="B12114" s="12" t="s">
        <v>1270</v>
      </c>
      <c r="C12114" s="13" t="s">
        <v>1271</v>
      </c>
      <c r="D12114" s="13" t="s">
        <v>23</v>
      </c>
      <c r="E12114" s="12" t="s">
        <v>16</v>
      </c>
      <c r="F12114" s="14">
        <v>69000</v>
      </c>
      <c r="G12114" s="14">
        <v>55300</v>
      </c>
      <c r="H12114" s="13" t="s">
        <v>22850</v>
      </c>
      <c r="I12114" s="40" t="s">
        <v>18</v>
      </c>
      <c r="J12114" s="40" t="str">
        <f>HYPERLINK("https://stock.pstatic.net/stock-research/company/21/20250515_company_916779000.pdf","PDF")</f>
        <v>PDF</v>
      </c>
      <c r="K12114" s="12" t="s">
        <v>22851</v>
      </c>
      <c r="L12114" s="20">
        <v>0.24773960216998189</v>
      </c>
    </row>
    <row r="12115" spans="1:12" x14ac:dyDescent="0.45">
      <c r="A12115" s="12" t="s">
        <v>22735</v>
      </c>
      <c r="B12115" s="12" t="s">
        <v>21</v>
      </c>
      <c r="C12115" s="13" t="s">
        <v>22</v>
      </c>
      <c r="D12115" s="13" t="s">
        <v>23</v>
      </c>
      <c r="E12115" s="12" t="s">
        <v>16</v>
      </c>
      <c r="F12115" s="14">
        <v>30000</v>
      </c>
      <c r="G12115" s="14">
        <v>22150</v>
      </c>
      <c r="H12115" s="13" t="s">
        <v>22852</v>
      </c>
      <c r="I12115" s="40" t="s">
        <v>18</v>
      </c>
      <c r="J12115" s="40" t="str">
        <f>HYPERLINK("https://stock.pstatic.net/stock-research/company/21/20250515_company_748806000.pdf","PDF")</f>
        <v>PDF</v>
      </c>
      <c r="K12115" s="12" t="s">
        <v>22853</v>
      </c>
      <c r="L12115" s="20">
        <v>0.35440180586907449</v>
      </c>
    </row>
    <row r="12116" spans="1:12" x14ac:dyDescent="0.45">
      <c r="A12116" s="12" t="s">
        <v>22735</v>
      </c>
      <c r="B12116" s="12" t="s">
        <v>1906</v>
      </c>
      <c r="C12116" s="13" t="s">
        <v>1907</v>
      </c>
      <c r="D12116" s="13" t="s">
        <v>92</v>
      </c>
      <c r="E12116" s="12" t="s">
        <v>159</v>
      </c>
      <c r="F12116" s="14">
        <v>35000</v>
      </c>
      <c r="G12116" s="14">
        <v>37100</v>
      </c>
      <c r="H12116" s="13" t="s">
        <v>22854</v>
      </c>
      <c r="I12116" s="40" t="s">
        <v>18</v>
      </c>
      <c r="J12116" s="40" t="str">
        <f>HYPERLINK("https://stock.pstatic.net/stock-research/company/63/20250515_company_164922000.pdf","PDF")</f>
        <v>PDF</v>
      </c>
      <c r="K12116" s="12" t="s">
        <v>22855</v>
      </c>
      <c r="L12116" s="20">
        <v>-5.6603773584905662E-2</v>
      </c>
    </row>
    <row r="12117" spans="1:12" x14ac:dyDescent="0.45">
      <c r="A12117" s="12" t="s">
        <v>22735</v>
      </c>
      <c r="B12117" s="12" t="s">
        <v>1682</v>
      </c>
      <c r="C12117" s="13" t="s">
        <v>4787</v>
      </c>
      <c r="D12117" s="13" t="s">
        <v>92</v>
      </c>
      <c r="E12117" s="12" t="s">
        <v>35</v>
      </c>
      <c r="F12117" s="14">
        <v>190000</v>
      </c>
      <c r="G12117" s="14">
        <v>158500</v>
      </c>
      <c r="H12117" s="13" t="s">
        <v>22856</v>
      </c>
      <c r="I12117" s="40" t="s">
        <v>18</v>
      </c>
      <c r="J12117" s="40" t="str">
        <f>HYPERLINK("https://stock.pstatic.net/stock-research/company/63/20250515_company_436914000.pdf","PDF")</f>
        <v>PDF</v>
      </c>
      <c r="K12117" s="12" t="s">
        <v>22857</v>
      </c>
      <c r="L12117" s="20">
        <v>0.1987381703470032</v>
      </c>
    </row>
    <row r="12118" spans="1:12" x14ac:dyDescent="0.45">
      <c r="A12118" s="12" t="s">
        <v>22735</v>
      </c>
      <c r="B12118" s="12" t="s">
        <v>888</v>
      </c>
      <c r="C12118" s="13" t="s">
        <v>889</v>
      </c>
      <c r="D12118" s="13" t="s">
        <v>23</v>
      </c>
      <c r="E12118" s="12" t="s">
        <v>16</v>
      </c>
      <c r="F12118" s="14">
        <v>74000</v>
      </c>
      <c r="G12118" s="14">
        <v>52800</v>
      </c>
      <c r="H12118" s="13" t="s">
        <v>22858</v>
      </c>
      <c r="I12118" s="40" t="s">
        <v>18</v>
      </c>
      <c r="J12118" s="40" t="str">
        <f>HYPERLINK("https://stock.pstatic.net/stock-research/company/21/20250515_company_519010000.pdf","PDF")</f>
        <v>PDF</v>
      </c>
      <c r="K12118" s="12" t="s">
        <v>22859</v>
      </c>
      <c r="L12118" s="20">
        <v>0.40151515151515149</v>
      </c>
    </row>
    <row r="12119" spans="1:12" x14ac:dyDescent="0.45">
      <c r="A12119" s="12" t="s">
        <v>22735</v>
      </c>
      <c r="B12119" s="12" t="s">
        <v>1278</v>
      </c>
      <c r="C12119" s="13" t="s">
        <v>1279</v>
      </c>
      <c r="D12119" s="13" t="s">
        <v>23</v>
      </c>
      <c r="E12119" s="12" t="s">
        <v>16</v>
      </c>
      <c r="F12119" s="14">
        <v>115000</v>
      </c>
      <c r="G12119" s="14">
        <v>89000</v>
      </c>
      <c r="H12119" s="13" t="s">
        <v>22860</v>
      </c>
      <c r="I12119" s="40" t="s">
        <v>18</v>
      </c>
      <c r="J12119" s="40" t="str">
        <f>HYPERLINK("https://stock.pstatic.net/stock-research/company/21/20250515_company_95810000.pdf","PDF")</f>
        <v>PDF</v>
      </c>
      <c r="K12119" s="12" t="s">
        <v>22861</v>
      </c>
      <c r="L12119" s="20">
        <v>0.29213483146067409</v>
      </c>
    </row>
    <row r="12120" spans="1:12" x14ac:dyDescent="0.45">
      <c r="A12120" s="12" t="s">
        <v>22735</v>
      </c>
      <c r="B12120" s="12" t="s">
        <v>86</v>
      </c>
      <c r="C12120" s="13" t="s">
        <v>87</v>
      </c>
      <c r="D12120" s="13" t="s">
        <v>23</v>
      </c>
      <c r="E12120" s="12" t="s">
        <v>16</v>
      </c>
      <c r="F12120" s="14">
        <v>143000</v>
      </c>
      <c r="G12120" s="14">
        <v>116600</v>
      </c>
      <c r="H12120" s="13" t="s">
        <v>22862</v>
      </c>
      <c r="I12120" s="40" t="s">
        <v>18</v>
      </c>
      <c r="J12120" s="40" t="str">
        <f>HYPERLINK("https://stock.pstatic.net/stock-research/company/21/20250515_company_126986000.pdf","PDF")</f>
        <v>PDF</v>
      </c>
      <c r="K12120" s="12" t="s">
        <v>22863</v>
      </c>
      <c r="L12120" s="20">
        <v>0.22641509433962259</v>
      </c>
    </row>
    <row r="12121" spans="1:12" x14ac:dyDescent="0.45">
      <c r="A12121" s="12" t="s">
        <v>22735</v>
      </c>
      <c r="B12121" s="12" t="s">
        <v>649</v>
      </c>
      <c r="C12121" s="13" t="s">
        <v>650</v>
      </c>
      <c r="D12121" s="13" t="s">
        <v>23</v>
      </c>
      <c r="E12121" s="12" t="s">
        <v>16</v>
      </c>
      <c r="F12121" s="14">
        <v>5400</v>
      </c>
      <c r="G12121" s="14">
        <v>4380</v>
      </c>
      <c r="H12121" s="13" t="s">
        <v>22864</v>
      </c>
      <c r="I12121" s="40" t="s">
        <v>18</v>
      </c>
      <c r="J12121" s="40" t="str">
        <f>HYPERLINK("https://stock.pstatic.net/stock-research/company/21/20250515_company_364218000.pdf","PDF")</f>
        <v>PDF</v>
      </c>
      <c r="K12121" s="12" t="s">
        <v>22865</v>
      </c>
      <c r="L12121" s="20">
        <v>0.23287671232876711</v>
      </c>
    </row>
    <row r="12122" spans="1:12" x14ac:dyDescent="0.45">
      <c r="A12122" s="12" t="s">
        <v>22735</v>
      </c>
      <c r="B12122" s="12" t="s">
        <v>2032</v>
      </c>
      <c r="C12122" s="13" t="s">
        <v>2033</v>
      </c>
      <c r="D12122" s="13" t="s">
        <v>23</v>
      </c>
      <c r="E12122" s="12" t="s">
        <v>16</v>
      </c>
      <c r="F12122" s="14">
        <v>38500</v>
      </c>
      <c r="G12122" s="14">
        <v>26750</v>
      </c>
      <c r="H12122" s="13" t="s">
        <v>22866</v>
      </c>
      <c r="I12122" s="40" t="s">
        <v>18</v>
      </c>
      <c r="J12122" s="40" t="str">
        <f>HYPERLINK("https://stock.pstatic.net/stock-research/company/21/20250515_company_417482000.pdf","PDF")</f>
        <v>PDF</v>
      </c>
      <c r="K12122" s="12" t="s">
        <v>22867</v>
      </c>
      <c r="L12122" s="20">
        <v>0.43925233644859812</v>
      </c>
    </row>
    <row r="12123" spans="1:12" x14ac:dyDescent="0.45">
      <c r="A12123" s="12" t="s">
        <v>22735</v>
      </c>
      <c r="B12123" s="12" t="s">
        <v>1128</v>
      </c>
      <c r="C12123" s="13" t="s">
        <v>1129</v>
      </c>
      <c r="D12123" s="13" t="s">
        <v>44</v>
      </c>
      <c r="E12123" s="12" t="s">
        <v>35</v>
      </c>
      <c r="F12123" s="14">
        <v>58000</v>
      </c>
      <c r="G12123" s="14">
        <v>43500</v>
      </c>
      <c r="H12123" s="13" t="s">
        <v>22868</v>
      </c>
      <c r="I12123" s="40" t="s">
        <v>18</v>
      </c>
      <c r="J12123" s="40" t="str">
        <f>HYPERLINK("https://stock.pstatic.net/stock-research/company/1/20250515_company_24430000.pdf","PDF")</f>
        <v>PDF</v>
      </c>
      <c r="K12123" s="12" t="s">
        <v>22869</v>
      </c>
      <c r="L12123" s="20">
        <v>0.33333333333333331</v>
      </c>
    </row>
    <row r="12124" spans="1:12" x14ac:dyDescent="0.45">
      <c r="A12124" s="12" t="s">
        <v>22735</v>
      </c>
      <c r="B12124" s="12" t="s">
        <v>259</v>
      </c>
      <c r="C12124" s="13" t="s">
        <v>260</v>
      </c>
      <c r="D12124" s="13" t="s">
        <v>53</v>
      </c>
      <c r="E12124" s="12" t="s">
        <v>16</v>
      </c>
      <c r="F12124" s="14">
        <v>100000</v>
      </c>
      <c r="G12124" s="14">
        <v>69100</v>
      </c>
      <c r="H12124" s="13" t="s">
        <v>22870</v>
      </c>
      <c r="I12124" s="40" t="s">
        <v>18</v>
      </c>
      <c r="J12124" s="40" t="str">
        <f>HYPERLINK("https://stock.pstatic.net/stock-research/company/40/20250515_company_412310000.pdf","PDF")</f>
        <v>PDF</v>
      </c>
      <c r="K12124" s="12" t="s">
        <v>22871</v>
      </c>
      <c r="L12124" s="20">
        <v>0.447178002894356</v>
      </c>
    </row>
    <row r="12125" spans="1:12" x14ac:dyDescent="0.45">
      <c r="A12125" s="12" t="s">
        <v>22735</v>
      </c>
      <c r="B12125" s="12" t="s">
        <v>1477</v>
      </c>
      <c r="C12125" s="13" t="s">
        <v>1478</v>
      </c>
      <c r="D12125" s="13" t="s">
        <v>23</v>
      </c>
      <c r="E12125" s="12" t="s">
        <v>16</v>
      </c>
      <c r="F12125" s="14">
        <v>106000</v>
      </c>
      <c r="G12125" s="14">
        <v>74200</v>
      </c>
      <c r="H12125" s="13" t="s">
        <v>22872</v>
      </c>
      <c r="I12125" s="40" t="s">
        <v>18</v>
      </c>
      <c r="J12125" s="40" t="str">
        <f>HYPERLINK("https://stock.pstatic.net/stock-research/company/21/20250515_company_947494000.pdf","PDF")</f>
        <v>PDF</v>
      </c>
      <c r="K12125" s="12" t="s">
        <v>22873</v>
      </c>
      <c r="L12125" s="20">
        <v>0.42857142857142849</v>
      </c>
    </row>
    <row r="12126" spans="1:12" x14ac:dyDescent="0.45">
      <c r="A12126" s="12" t="s">
        <v>22735</v>
      </c>
      <c r="B12126" s="12" t="s">
        <v>1258</v>
      </c>
      <c r="C12126" s="13" t="s">
        <v>1259</v>
      </c>
      <c r="D12126" s="13" t="s">
        <v>23</v>
      </c>
      <c r="E12126" s="12" t="s">
        <v>16</v>
      </c>
      <c r="F12126" s="14">
        <v>460000</v>
      </c>
      <c r="G12126" s="14">
        <v>378000</v>
      </c>
      <c r="H12126" s="13" t="s">
        <v>22874</v>
      </c>
      <c r="I12126" s="40" t="s">
        <v>18</v>
      </c>
      <c r="J12126" s="40" t="str">
        <f>HYPERLINK("https://stock.pstatic.net/stock-research/company/21/20250515_company_812651000.pdf","PDF")</f>
        <v>PDF</v>
      </c>
      <c r="K12126" s="12" t="s">
        <v>22875</v>
      </c>
      <c r="L12126" s="20">
        <v>0.21693121693121689</v>
      </c>
    </row>
    <row r="12127" spans="1:12" x14ac:dyDescent="0.45">
      <c r="A12127" s="12" t="s">
        <v>22735</v>
      </c>
      <c r="B12127" s="12" t="s">
        <v>1274</v>
      </c>
      <c r="C12127" s="13" t="s">
        <v>1275</v>
      </c>
      <c r="D12127" s="13" t="s">
        <v>23</v>
      </c>
      <c r="E12127" s="12" t="s">
        <v>16</v>
      </c>
      <c r="F12127" s="14">
        <v>120000</v>
      </c>
      <c r="G12127" s="14">
        <v>92600</v>
      </c>
      <c r="H12127" s="13" t="s">
        <v>22876</v>
      </c>
      <c r="I12127" s="40" t="s">
        <v>18</v>
      </c>
      <c r="J12127" s="40" t="str">
        <f>HYPERLINK("https://stock.pstatic.net/stock-research/company/1/20250515_company_888745000.pdf","PDF")</f>
        <v>PDF</v>
      </c>
      <c r="K12127" s="12" t="s">
        <v>22877</v>
      </c>
      <c r="L12127" s="20">
        <v>0.29589632829373652</v>
      </c>
    </row>
    <row r="12128" spans="1:12" x14ac:dyDescent="0.45">
      <c r="A12128" s="12" t="s">
        <v>22735</v>
      </c>
      <c r="B12128" s="12" t="s">
        <v>22878</v>
      </c>
      <c r="C12128" s="13" t="s">
        <v>22879</v>
      </c>
      <c r="D12128" s="13" t="s">
        <v>44</v>
      </c>
      <c r="E12128" s="12" t="s">
        <v>35</v>
      </c>
      <c r="F12128" s="14">
        <v>28000</v>
      </c>
      <c r="G12128" s="14">
        <v>19330</v>
      </c>
      <c r="H12128" s="13" t="s">
        <v>22880</v>
      </c>
      <c r="I12128" s="40" t="s">
        <v>18</v>
      </c>
      <c r="J12128" s="40" t="str">
        <f>HYPERLINK("https://stock.pstatic.net/stock-research/company/39/20250515_company_555800000.pdf","PDF")</f>
        <v>PDF</v>
      </c>
      <c r="K12128" s="12" t="s">
        <v>22881</v>
      </c>
      <c r="L12128" s="20">
        <v>0.44852560786342471</v>
      </c>
    </row>
    <row r="12129" spans="1:12" x14ac:dyDescent="0.45">
      <c r="A12129" s="12" t="s">
        <v>22735</v>
      </c>
      <c r="B12129" s="12" t="s">
        <v>2631</v>
      </c>
      <c r="C12129" s="13" t="s">
        <v>2632</v>
      </c>
      <c r="D12129" s="13" t="s">
        <v>44</v>
      </c>
      <c r="E12129" s="12" t="s">
        <v>50</v>
      </c>
      <c r="F12129" s="13"/>
      <c r="G12129" s="14">
        <v>20950</v>
      </c>
      <c r="H12129" s="13" t="s">
        <v>22882</v>
      </c>
      <c r="I12129" s="40" t="s">
        <v>18</v>
      </c>
      <c r="J12129" s="40" t="str">
        <f>HYPERLINK("https://stock.pstatic.net/stock-research/company/39/20250515_company_452658000.pdf","PDF")</f>
        <v>PDF</v>
      </c>
      <c r="K12129" s="12" t="s">
        <v>22883</v>
      </c>
    </row>
    <row r="12130" spans="1:12" x14ac:dyDescent="0.45">
      <c r="A12130" s="12" t="s">
        <v>22735</v>
      </c>
      <c r="B12130" s="12" t="s">
        <v>21</v>
      </c>
      <c r="C12130" s="13" t="s">
        <v>22</v>
      </c>
      <c r="D12130" s="13" t="s">
        <v>44</v>
      </c>
      <c r="E12130" s="12" t="s">
        <v>35</v>
      </c>
      <c r="F12130" s="14">
        <v>26000</v>
      </c>
      <c r="G12130" s="14">
        <v>22100</v>
      </c>
      <c r="H12130" s="13" t="s">
        <v>22884</v>
      </c>
      <c r="I12130" s="40" t="s">
        <v>18</v>
      </c>
      <c r="J12130" s="40" t="str">
        <f>HYPERLINK("https://stock.pstatic.net/stock-research/company/39/20250515_company_475778000.pdf","PDF")</f>
        <v>PDF</v>
      </c>
      <c r="K12130" s="12" t="s">
        <v>22885</v>
      </c>
      <c r="L12130" s="20">
        <v>0.1764705882352941</v>
      </c>
    </row>
    <row r="12131" spans="1:12" x14ac:dyDescent="0.45">
      <c r="A12131" s="12" t="s">
        <v>22735</v>
      </c>
      <c r="B12131" s="12" t="s">
        <v>1258</v>
      </c>
      <c r="C12131" s="13" t="s">
        <v>1259</v>
      </c>
      <c r="D12131" s="13" t="s">
        <v>44</v>
      </c>
      <c r="E12131" s="12" t="s">
        <v>35</v>
      </c>
      <c r="F12131" s="14">
        <v>480000</v>
      </c>
      <c r="G12131" s="14">
        <v>378000</v>
      </c>
      <c r="H12131" s="13" t="s">
        <v>22886</v>
      </c>
      <c r="I12131" s="40" t="s">
        <v>18</v>
      </c>
      <c r="J12131" s="40" t="str">
        <f>HYPERLINK("https://stock.pstatic.net/stock-research/company/39/20250515_company_305118000.pdf","PDF")</f>
        <v>PDF</v>
      </c>
      <c r="K12131" s="12" t="s">
        <v>22887</v>
      </c>
      <c r="L12131" s="20">
        <v>0.26984126984126983</v>
      </c>
    </row>
    <row r="12132" spans="1:12" x14ac:dyDescent="0.45">
      <c r="A12132" s="12" t="s">
        <v>22735</v>
      </c>
      <c r="B12132" s="12" t="s">
        <v>1883</v>
      </c>
      <c r="C12132" s="13" t="s">
        <v>1884</v>
      </c>
      <c r="D12132" s="13" t="s">
        <v>15</v>
      </c>
      <c r="E12132" s="12" t="s">
        <v>16</v>
      </c>
      <c r="F12132" s="14">
        <v>27000</v>
      </c>
      <c r="G12132" s="14">
        <v>20500</v>
      </c>
      <c r="H12132" s="13" t="s">
        <v>22888</v>
      </c>
      <c r="I12132" s="40" t="s">
        <v>18</v>
      </c>
      <c r="J12132" s="40" t="str">
        <f>HYPERLINK("https://stock.pstatic.net/stock-research/company/29/20250515_company_315516000.pdf","PDF")</f>
        <v>PDF</v>
      </c>
      <c r="K12132" s="12" t="s">
        <v>22889</v>
      </c>
      <c r="L12132" s="20">
        <v>0.31707317073170732</v>
      </c>
    </row>
    <row r="12133" spans="1:12" x14ac:dyDescent="0.45">
      <c r="A12133" s="12" t="s">
        <v>22735</v>
      </c>
      <c r="B12133" s="12" t="s">
        <v>1621</v>
      </c>
      <c r="C12133" s="13" t="s">
        <v>1622</v>
      </c>
      <c r="D12133" s="13" t="s">
        <v>15</v>
      </c>
      <c r="E12133" s="12" t="s">
        <v>385</v>
      </c>
      <c r="F12133" s="14">
        <v>9300</v>
      </c>
      <c r="G12133" s="14">
        <v>8600</v>
      </c>
      <c r="H12133" s="13" t="s">
        <v>22890</v>
      </c>
      <c r="I12133" s="40" t="s">
        <v>18</v>
      </c>
      <c r="J12133" s="40" t="str">
        <f>HYPERLINK("https://stock.pstatic.net/stock-research/company/29/20250515_company_896158000.pdf","PDF")</f>
        <v>PDF</v>
      </c>
      <c r="K12133" s="12" t="s">
        <v>22891</v>
      </c>
      <c r="L12133" s="20">
        <v>8.1395348837209308E-2</v>
      </c>
    </row>
    <row r="12134" spans="1:12" x14ac:dyDescent="0.45">
      <c r="A12134" s="12" t="s">
        <v>22735</v>
      </c>
      <c r="B12134" s="12" t="s">
        <v>1900</v>
      </c>
      <c r="C12134" s="13" t="s">
        <v>1901</v>
      </c>
      <c r="D12134" s="13" t="s">
        <v>15</v>
      </c>
      <c r="E12134" s="12" t="s">
        <v>16</v>
      </c>
      <c r="F12134" s="14">
        <v>32000</v>
      </c>
      <c r="G12134" s="14">
        <v>26450</v>
      </c>
      <c r="H12134" s="13" t="s">
        <v>22892</v>
      </c>
      <c r="I12134" s="40" t="s">
        <v>18</v>
      </c>
      <c r="J12134" s="40" t="str">
        <f>HYPERLINK("https://stock.pstatic.net/stock-research/company/29/20250515_company_342302000.pdf","PDF")</f>
        <v>PDF</v>
      </c>
      <c r="K12134" s="12" t="s">
        <v>22893</v>
      </c>
      <c r="L12134" s="20">
        <v>0.2098298676748582</v>
      </c>
    </row>
    <row r="12135" spans="1:12" x14ac:dyDescent="0.45">
      <c r="A12135" s="12" t="s">
        <v>22735</v>
      </c>
      <c r="B12135" s="12" t="s">
        <v>22207</v>
      </c>
      <c r="C12135" s="13" t="s">
        <v>22208</v>
      </c>
      <c r="D12135" s="13" t="s">
        <v>15</v>
      </c>
      <c r="E12135" s="12" t="s">
        <v>16</v>
      </c>
      <c r="F12135" s="14">
        <v>16000</v>
      </c>
      <c r="G12135" s="14">
        <v>13100</v>
      </c>
      <c r="H12135" s="13" t="s">
        <v>22894</v>
      </c>
      <c r="I12135" s="40" t="s">
        <v>18</v>
      </c>
      <c r="J12135" s="40" t="str">
        <f>HYPERLINK("https://stock.pstatic.net/stock-research/company/29/20250515_company_558532000.pdf","PDF")</f>
        <v>PDF</v>
      </c>
      <c r="K12135" s="12" t="s">
        <v>22895</v>
      </c>
      <c r="L12135" s="20">
        <v>0.2213740458015267</v>
      </c>
    </row>
    <row r="12136" spans="1:12" x14ac:dyDescent="0.45">
      <c r="A12136" s="12" t="s">
        <v>22735</v>
      </c>
      <c r="B12136" s="12" t="s">
        <v>1682</v>
      </c>
      <c r="C12136" s="13" t="s">
        <v>4787</v>
      </c>
      <c r="D12136" s="13" t="s">
        <v>15</v>
      </c>
      <c r="E12136" s="12" t="s">
        <v>16</v>
      </c>
      <c r="F12136" s="14">
        <v>220000</v>
      </c>
      <c r="G12136" s="14">
        <v>150400</v>
      </c>
      <c r="H12136" s="13" t="s">
        <v>22896</v>
      </c>
      <c r="I12136" s="40" t="s">
        <v>18</v>
      </c>
      <c r="J12136" s="40" t="str">
        <f>HYPERLINK("https://stock.pstatic.net/stock-research/company/29/20250515_company_233295000.pdf","PDF")</f>
        <v>PDF</v>
      </c>
      <c r="K12136" s="12" t="s">
        <v>22897</v>
      </c>
      <c r="L12136" s="20">
        <v>0.46276595744680848</v>
      </c>
    </row>
    <row r="12137" spans="1:12" x14ac:dyDescent="0.45">
      <c r="A12137" s="12" t="s">
        <v>22898</v>
      </c>
      <c r="B12137" s="12" t="s">
        <v>2449</v>
      </c>
      <c r="C12137" s="13" t="s">
        <v>2450</v>
      </c>
      <c r="D12137" s="13" t="s">
        <v>276</v>
      </c>
      <c r="E12137" s="12" t="s">
        <v>16</v>
      </c>
      <c r="F12137" s="14">
        <v>6000</v>
      </c>
      <c r="G12137" s="14">
        <v>4260</v>
      </c>
      <c r="H12137" s="13" t="s">
        <v>22899</v>
      </c>
      <c r="I12137" s="40" t="s">
        <v>18</v>
      </c>
      <c r="J12137" s="40" t="str">
        <f>HYPERLINK("https://stock.pstatic.net/stock-research/company/66/20250514_company_643024000.pdf","PDF")</f>
        <v>PDF</v>
      </c>
      <c r="K12137" s="12" t="s">
        <v>22900</v>
      </c>
      <c r="L12137" s="20">
        <v>0.40845070422535212</v>
      </c>
    </row>
    <row r="12138" spans="1:12" x14ac:dyDescent="0.45">
      <c r="A12138" s="12" t="s">
        <v>22898</v>
      </c>
      <c r="B12138" s="12" t="s">
        <v>398</v>
      </c>
      <c r="C12138" s="13" t="s">
        <v>399</v>
      </c>
      <c r="D12138" s="13" t="s">
        <v>276</v>
      </c>
      <c r="E12138" s="12" t="s">
        <v>16</v>
      </c>
      <c r="F12138" s="14">
        <v>180000</v>
      </c>
      <c r="G12138" s="14">
        <v>120100</v>
      </c>
      <c r="H12138" s="13" t="s">
        <v>22901</v>
      </c>
      <c r="I12138" s="40" t="s">
        <v>18</v>
      </c>
      <c r="J12138" s="40" t="str">
        <f>HYPERLINK("https://stock.pstatic.net/stock-research/company/66/20250514_company_410823000.pdf","PDF")</f>
        <v>PDF</v>
      </c>
      <c r="K12138" s="12" t="s">
        <v>22902</v>
      </c>
      <c r="L12138" s="20">
        <v>0.49875104079933391</v>
      </c>
    </row>
    <row r="12139" spans="1:12" x14ac:dyDescent="0.45">
      <c r="A12139" s="12" t="s">
        <v>22898</v>
      </c>
      <c r="B12139" s="12" t="s">
        <v>645</v>
      </c>
      <c r="C12139" s="13" t="s">
        <v>646</v>
      </c>
      <c r="D12139" s="13" t="s">
        <v>276</v>
      </c>
      <c r="E12139" s="12" t="s">
        <v>16</v>
      </c>
      <c r="F12139" s="14">
        <v>22000</v>
      </c>
      <c r="G12139" s="14">
        <v>14120</v>
      </c>
      <c r="H12139" s="13" t="s">
        <v>22903</v>
      </c>
      <c r="I12139" s="40" t="s">
        <v>18</v>
      </c>
      <c r="J12139" s="40" t="str">
        <f>HYPERLINK("https://stock.pstatic.net/stock-research/company/66/20250514_company_879716000.pdf","PDF")</f>
        <v>PDF</v>
      </c>
      <c r="K12139" s="12" t="s">
        <v>22904</v>
      </c>
      <c r="L12139" s="20">
        <v>0.55807365439093481</v>
      </c>
    </row>
    <row r="12140" spans="1:12" x14ac:dyDescent="0.45">
      <c r="A12140" s="12" t="s">
        <v>22898</v>
      </c>
      <c r="B12140" s="12" t="s">
        <v>272</v>
      </c>
      <c r="C12140" s="13" t="s">
        <v>273</v>
      </c>
      <c r="D12140" s="13" t="s">
        <v>60</v>
      </c>
      <c r="E12140" s="12" t="s">
        <v>35</v>
      </c>
      <c r="F12140" s="14">
        <v>450000</v>
      </c>
      <c r="G12140" s="14">
        <v>398000</v>
      </c>
      <c r="H12140" s="13" t="s">
        <v>22905</v>
      </c>
      <c r="I12140" s="40" t="s">
        <v>18</v>
      </c>
      <c r="J12140" s="40" t="str">
        <f>HYPERLINK("https://stock.pstatic.net/stock-research/company/62/20250514_company_611354000.pdf","PDF")</f>
        <v>PDF</v>
      </c>
      <c r="K12140" s="12" t="s">
        <v>22906</v>
      </c>
      <c r="L12140" s="20">
        <v>0.1306532663316583</v>
      </c>
    </row>
    <row r="12141" spans="1:12" x14ac:dyDescent="0.45">
      <c r="A12141" s="12" t="s">
        <v>22898</v>
      </c>
      <c r="B12141" s="12" t="s">
        <v>1930</v>
      </c>
      <c r="C12141" s="13" t="s">
        <v>1931</v>
      </c>
      <c r="D12141" s="13" t="s">
        <v>60</v>
      </c>
      <c r="E12141" s="12" t="s">
        <v>35</v>
      </c>
      <c r="F12141" s="14">
        <v>410000</v>
      </c>
      <c r="G12141" s="13"/>
      <c r="H12141" s="13" t="s">
        <v>22907</v>
      </c>
      <c r="I12141" s="40" t="s">
        <v>18</v>
      </c>
      <c r="J12141" s="40" t="str">
        <f>HYPERLINK("https://stock.pstatic.net/stock-research/company/34/20250514_company_620874000.pdf","PDF")</f>
        <v>PDF</v>
      </c>
      <c r="K12141" s="12" t="s">
        <v>22908</v>
      </c>
    </row>
    <row r="12142" spans="1:12" x14ac:dyDescent="0.45">
      <c r="A12142" s="12" t="s">
        <v>22898</v>
      </c>
      <c r="B12142" s="12" t="s">
        <v>4864</v>
      </c>
      <c r="C12142" s="13" t="s">
        <v>4865</v>
      </c>
      <c r="D12142" s="13" t="s">
        <v>60</v>
      </c>
      <c r="E12142" s="12" t="s">
        <v>35</v>
      </c>
      <c r="F12142" s="14">
        <v>47000</v>
      </c>
      <c r="G12142" s="14">
        <v>39400</v>
      </c>
      <c r="H12142" s="13" t="s">
        <v>22909</v>
      </c>
      <c r="I12142" s="40" t="s">
        <v>18</v>
      </c>
      <c r="J12142" s="40" t="str">
        <f>HYPERLINK("https://stock.pstatic.net/stock-research/company/62/20250514_company_839450000.pdf","PDF")</f>
        <v>PDF</v>
      </c>
      <c r="K12142" s="12" t="s">
        <v>22910</v>
      </c>
      <c r="L12142" s="20">
        <v>0.19289340101522839</v>
      </c>
    </row>
    <row r="12143" spans="1:12" x14ac:dyDescent="0.45">
      <c r="A12143" s="12" t="s">
        <v>22898</v>
      </c>
      <c r="B12143" s="12" t="s">
        <v>768</v>
      </c>
      <c r="C12143" s="13" t="s">
        <v>769</v>
      </c>
      <c r="D12143" s="13" t="s">
        <v>60</v>
      </c>
      <c r="E12143" s="12" t="s">
        <v>35</v>
      </c>
      <c r="F12143" s="14">
        <v>220000</v>
      </c>
      <c r="G12143" s="14">
        <v>192500</v>
      </c>
      <c r="H12143" s="13" t="s">
        <v>22911</v>
      </c>
      <c r="I12143" s="40" t="s">
        <v>18</v>
      </c>
      <c r="J12143" s="40" t="str">
        <f>HYPERLINK("https://stock.pstatic.net/stock-research/company/34/20250514_company_686839000.pdf","PDF")</f>
        <v>PDF</v>
      </c>
      <c r="K12143" s="12" t="s">
        <v>22912</v>
      </c>
      <c r="L12143" s="20">
        <v>0.14285714285714279</v>
      </c>
    </row>
    <row r="12144" spans="1:12" x14ac:dyDescent="0.45">
      <c r="A12144" s="12" t="s">
        <v>22898</v>
      </c>
      <c r="B12144" s="12" t="s">
        <v>2040</v>
      </c>
      <c r="C12144" s="13" t="s">
        <v>2041</v>
      </c>
      <c r="D12144" s="13" t="s">
        <v>15</v>
      </c>
      <c r="E12144" s="12" t="s">
        <v>385</v>
      </c>
      <c r="F12144" s="14">
        <v>64000</v>
      </c>
      <c r="G12144" s="14">
        <v>63300</v>
      </c>
      <c r="H12144" s="13" t="s">
        <v>22913</v>
      </c>
      <c r="I12144" s="40" t="s">
        <v>18</v>
      </c>
      <c r="J12144" s="40" t="str">
        <f>HYPERLINK("https://stock.pstatic.net/stock-research/company/29/20250514_company_776428000.pdf","PDF")</f>
        <v>PDF</v>
      </c>
      <c r="K12144" s="12" t="s">
        <v>22914</v>
      </c>
      <c r="L12144" s="20">
        <v>1.1058451816745659E-2</v>
      </c>
    </row>
    <row r="12145" spans="1:12" x14ac:dyDescent="0.45">
      <c r="A12145" s="12" t="s">
        <v>22898</v>
      </c>
      <c r="B12145" s="12" t="s">
        <v>10848</v>
      </c>
      <c r="C12145" s="13" t="s">
        <v>10849</v>
      </c>
      <c r="D12145" s="13" t="s">
        <v>65</v>
      </c>
      <c r="E12145" s="12" t="s">
        <v>35</v>
      </c>
      <c r="F12145" s="14">
        <v>49000</v>
      </c>
      <c r="G12145" s="14">
        <v>39000</v>
      </c>
      <c r="H12145" s="13" t="s">
        <v>22915</v>
      </c>
      <c r="I12145" s="40" t="s">
        <v>18</v>
      </c>
      <c r="J12145" s="40" t="str">
        <f>HYPERLINK("https://stock.pstatic.net/stock-research/company/57/20250514_company_156051000.pdf","PDF")</f>
        <v>PDF</v>
      </c>
      <c r="K12145" s="12" t="s">
        <v>22916</v>
      </c>
      <c r="L12145" s="20">
        <v>0.25641025641025639</v>
      </c>
    </row>
    <row r="12146" spans="1:12" x14ac:dyDescent="0.45">
      <c r="A12146" s="12" t="s">
        <v>22898</v>
      </c>
      <c r="B12146" s="12" t="s">
        <v>768</v>
      </c>
      <c r="C12146" s="13" t="s">
        <v>769</v>
      </c>
      <c r="D12146" s="13" t="s">
        <v>65</v>
      </c>
      <c r="E12146" s="12" t="s">
        <v>35</v>
      </c>
      <c r="F12146" s="14">
        <v>240000</v>
      </c>
      <c r="G12146" s="14">
        <v>192500</v>
      </c>
      <c r="H12146" s="13" t="s">
        <v>22917</v>
      </c>
      <c r="I12146" s="40" t="s">
        <v>18</v>
      </c>
      <c r="J12146" s="40" t="str">
        <f>HYPERLINK("https://stock.pstatic.net/stock-research/company/57/20250514_company_346073000.pdf","PDF")</f>
        <v>PDF</v>
      </c>
      <c r="K12146" s="12" t="s">
        <v>22918</v>
      </c>
      <c r="L12146" s="20">
        <v>0.24675324675324681</v>
      </c>
    </row>
    <row r="12147" spans="1:12" x14ac:dyDescent="0.45">
      <c r="A12147" s="12" t="s">
        <v>22898</v>
      </c>
      <c r="B12147" s="12" t="s">
        <v>1140</v>
      </c>
      <c r="C12147" s="13" t="s">
        <v>1141</v>
      </c>
      <c r="D12147" s="13" t="s">
        <v>65</v>
      </c>
      <c r="E12147" s="12" t="s">
        <v>35</v>
      </c>
      <c r="F12147" s="14">
        <v>30000</v>
      </c>
      <c r="G12147" s="14">
        <v>25750</v>
      </c>
      <c r="H12147" s="13" t="s">
        <v>22919</v>
      </c>
      <c r="I12147" s="40" t="s">
        <v>18</v>
      </c>
      <c r="J12147" s="40" t="str">
        <f>HYPERLINK("https://stock.pstatic.net/stock-research/company/57/20250514_company_557567000.pdf","PDF")</f>
        <v>PDF</v>
      </c>
      <c r="K12147" s="12" t="s">
        <v>22920</v>
      </c>
      <c r="L12147" s="20">
        <v>0.1650485436893204</v>
      </c>
    </row>
    <row r="12148" spans="1:12" x14ac:dyDescent="0.45">
      <c r="A12148" s="12" t="s">
        <v>22898</v>
      </c>
      <c r="B12148" s="12" t="s">
        <v>1734</v>
      </c>
      <c r="C12148" s="13" t="s">
        <v>1735</v>
      </c>
      <c r="D12148" s="13" t="s">
        <v>65</v>
      </c>
      <c r="E12148" s="12" t="s">
        <v>35</v>
      </c>
      <c r="F12148" s="14">
        <v>55000</v>
      </c>
      <c r="G12148" s="14">
        <v>38050</v>
      </c>
      <c r="H12148" s="13" t="s">
        <v>22921</v>
      </c>
      <c r="I12148" s="40" t="s">
        <v>18</v>
      </c>
      <c r="J12148" s="40" t="str">
        <f>HYPERLINK("https://stock.pstatic.net/stock-research/company/57/20250514_company_14521000.pdf","PDF")</f>
        <v>PDF</v>
      </c>
      <c r="K12148" s="12" t="s">
        <v>22922</v>
      </c>
      <c r="L12148" s="20">
        <v>0.44546649145860712</v>
      </c>
    </row>
    <row r="12149" spans="1:12" x14ac:dyDescent="0.45">
      <c r="A12149" s="12" t="s">
        <v>22898</v>
      </c>
      <c r="B12149" s="12" t="s">
        <v>2217</v>
      </c>
      <c r="C12149" s="13" t="s">
        <v>2218</v>
      </c>
      <c r="D12149" s="13" t="s">
        <v>65</v>
      </c>
      <c r="E12149" s="12" t="s">
        <v>35</v>
      </c>
      <c r="F12149" s="14">
        <v>90000</v>
      </c>
      <c r="G12149" s="14">
        <v>57400</v>
      </c>
      <c r="H12149" s="13" t="s">
        <v>22923</v>
      </c>
      <c r="I12149" s="40" t="s">
        <v>18</v>
      </c>
      <c r="J12149" s="40" t="str">
        <f>HYPERLINK("https://stock.pstatic.net/stock-research/company/57/20250514_company_36523000.pdf","PDF")</f>
        <v>PDF</v>
      </c>
      <c r="K12149" s="12" t="s">
        <v>22924</v>
      </c>
      <c r="L12149" s="20">
        <v>0.56794425087108014</v>
      </c>
    </row>
    <row r="12150" spans="1:12" x14ac:dyDescent="0.45">
      <c r="A12150" s="12" t="s">
        <v>22898</v>
      </c>
      <c r="B12150" s="12" t="s">
        <v>1415</v>
      </c>
      <c r="C12150" s="13" t="s">
        <v>1416</v>
      </c>
      <c r="D12150" s="13" t="s">
        <v>65</v>
      </c>
      <c r="E12150" s="12" t="s">
        <v>35</v>
      </c>
      <c r="F12150" s="14">
        <v>7000</v>
      </c>
      <c r="G12150" s="14">
        <v>4140</v>
      </c>
      <c r="H12150" s="13" t="s">
        <v>22925</v>
      </c>
      <c r="I12150" s="40" t="s">
        <v>18</v>
      </c>
      <c r="J12150" s="40" t="str">
        <f>HYPERLINK("https://stock.pstatic.net/stock-research/company/57/20250514_company_366088000.pdf","PDF")</f>
        <v>PDF</v>
      </c>
      <c r="K12150" s="12" t="s">
        <v>22926</v>
      </c>
      <c r="L12150" s="20">
        <v>0.6908212560386473</v>
      </c>
    </row>
    <row r="12151" spans="1:12" x14ac:dyDescent="0.45">
      <c r="A12151" s="12" t="s">
        <v>22898</v>
      </c>
      <c r="B12151" s="12" t="s">
        <v>398</v>
      </c>
      <c r="C12151" s="13" t="s">
        <v>399</v>
      </c>
      <c r="D12151" s="13" t="s">
        <v>65</v>
      </c>
      <c r="E12151" s="12" t="s">
        <v>1738</v>
      </c>
      <c r="F12151" s="14">
        <v>124000</v>
      </c>
      <c r="G12151" s="14">
        <v>120100</v>
      </c>
      <c r="H12151" s="13" t="s">
        <v>22927</v>
      </c>
      <c r="I12151" s="40" t="s">
        <v>18</v>
      </c>
      <c r="J12151" s="40" t="str">
        <f>HYPERLINK("https://stock.pstatic.net/stock-research/company/57/20250514_company_182065000.pdf","PDF")</f>
        <v>PDF</v>
      </c>
      <c r="K12151" s="12" t="s">
        <v>22928</v>
      </c>
      <c r="L12151" s="20">
        <v>3.2472939217318898E-2</v>
      </c>
    </row>
    <row r="12152" spans="1:12" x14ac:dyDescent="0.45">
      <c r="A12152" s="12" t="s">
        <v>22898</v>
      </c>
      <c r="B12152" s="12" t="s">
        <v>1930</v>
      </c>
      <c r="C12152" s="13" t="s">
        <v>1931</v>
      </c>
      <c r="D12152" s="13" t="s">
        <v>65</v>
      </c>
      <c r="E12152" s="12" t="s">
        <v>35</v>
      </c>
      <c r="F12152" s="14">
        <v>380000</v>
      </c>
      <c r="G12152" s="14">
        <v>238500</v>
      </c>
      <c r="H12152" s="13" t="s">
        <v>22929</v>
      </c>
      <c r="I12152" s="40" t="s">
        <v>18</v>
      </c>
      <c r="J12152" s="40" t="str">
        <f>HYPERLINK("https://stock.pstatic.net/stock-research/company/57/20250514_company_479132000.pdf","PDF")</f>
        <v>PDF</v>
      </c>
      <c r="K12152" s="12" t="s">
        <v>22930</v>
      </c>
      <c r="L12152" s="20">
        <v>0.59329140461215935</v>
      </c>
    </row>
    <row r="12153" spans="1:12" x14ac:dyDescent="0.45">
      <c r="A12153" s="12" t="s">
        <v>22898</v>
      </c>
      <c r="B12153" s="12" t="s">
        <v>2040</v>
      </c>
      <c r="C12153" s="13" t="s">
        <v>2041</v>
      </c>
      <c r="D12153" s="13" t="s">
        <v>65</v>
      </c>
      <c r="E12153" s="12" t="s">
        <v>1738</v>
      </c>
      <c r="F12153" s="14">
        <v>75000</v>
      </c>
      <c r="G12153" s="14">
        <v>63300</v>
      </c>
      <c r="H12153" s="13" t="s">
        <v>22931</v>
      </c>
      <c r="I12153" s="40" t="s">
        <v>18</v>
      </c>
      <c r="J12153" s="40" t="str">
        <f>HYPERLINK("https://stock.pstatic.net/stock-research/company/1/20250514_company_254252000.pdf","PDF")</f>
        <v>PDF</v>
      </c>
      <c r="K12153" s="12" t="s">
        <v>22932</v>
      </c>
      <c r="L12153" s="20">
        <v>0.18483412322274881</v>
      </c>
    </row>
    <row r="12154" spans="1:12" x14ac:dyDescent="0.45">
      <c r="A12154" s="12" t="s">
        <v>22898</v>
      </c>
      <c r="B12154" s="12" t="s">
        <v>98</v>
      </c>
      <c r="C12154" s="13" t="s">
        <v>99</v>
      </c>
      <c r="D12154" s="13" t="s">
        <v>57</v>
      </c>
      <c r="E12154" s="12" t="s">
        <v>35</v>
      </c>
      <c r="F12154" s="14">
        <v>28000</v>
      </c>
      <c r="G12154" s="14">
        <v>20550</v>
      </c>
      <c r="H12154" s="13" t="s">
        <v>22933</v>
      </c>
      <c r="I12154" s="40" t="s">
        <v>18</v>
      </c>
      <c r="J12154" s="40" t="str">
        <f>HYPERLINK("https://stock.pstatic.net/stock-research/company/16/20250514_company_517808000.pdf","PDF")</f>
        <v>PDF</v>
      </c>
      <c r="K12154" s="12" t="s">
        <v>22934</v>
      </c>
      <c r="L12154" s="20">
        <v>0.36253041362530408</v>
      </c>
    </row>
    <row r="12155" spans="1:12" x14ac:dyDescent="0.45">
      <c r="A12155" s="12" t="s">
        <v>22898</v>
      </c>
      <c r="B12155" s="12" t="s">
        <v>398</v>
      </c>
      <c r="C12155" s="13" t="s">
        <v>399</v>
      </c>
      <c r="D12155" s="13" t="s">
        <v>57</v>
      </c>
      <c r="E12155" s="12" t="s">
        <v>35</v>
      </c>
      <c r="F12155" s="14">
        <v>160000</v>
      </c>
      <c r="G12155" s="14">
        <v>120100</v>
      </c>
      <c r="H12155" s="13" t="s">
        <v>22935</v>
      </c>
      <c r="I12155" s="40" t="s">
        <v>18</v>
      </c>
      <c r="J12155" s="40" t="str">
        <f>HYPERLINK("https://stock.pstatic.net/stock-research/company/16/20250514_company_676179000.pdf","PDF")</f>
        <v>PDF</v>
      </c>
      <c r="K12155" s="12" t="s">
        <v>22936</v>
      </c>
      <c r="L12155" s="20">
        <v>0.33222314737718572</v>
      </c>
    </row>
    <row r="12156" spans="1:12" x14ac:dyDescent="0.45">
      <c r="A12156" s="12" t="s">
        <v>22898</v>
      </c>
      <c r="B12156" s="12" t="s">
        <v>2040</v>
      </c>
      <c r="C12156" s="13" t="s">
        <v>2041</v>
      </c>
      <c r="D12156" s="13" t="s">
        <v>57</v>
      </c>
      <c r="E12156" s="12" t="s">
        <v>35</v>
      </c>
      <c r="F12156" s="14">
        <v>90000</v>
      </c>
      <c r="G12156" s="14">
        <v>63300</v>
      </c>
      <c r="H12156" s="13" t="s">
        <v>22937</v>
      </c>
      <c r="I12156" s="40" t="s">
        <v>18</v>
      </c>
      <c r="J12156" s="40" t="str">
        <f>HYPERLINK("https://stock.pstatic.net/stock-research/company/16/20250514_company_392045000.pdf","PDF")</f>
        <v>PDF</v>
      </c>
      <c r="K12156" s="12" t="s">
        <v>22938</v>
      </c>
      <c r="L12156" s="20">
        <v>0.4218009478672986</v>
      </c>
    </row>
    <row r="12157" spans="1:12" x14ac:dyDescent="0.45">
      <c r="A12157" s="12" t="s">
        <v>22898</v>
      </c>
      <c r="B12157" s="12" t="s">
        <v>1734</v>
      </c>
      <c r="C12157" s="13" t="s">
        <v>1735</v>
      </c>
      <c r="D12157" s="13" t="s">
        <v>57</v>
      </c>
      <c r="E12157" s="12" t="s">
        <v>35</v>
      </c>
      <c r="F12157" s="14">
        <v>57000</v>
      </c>
      <c r="G12157" s="14">
        <v>38050</v>
      </c>
      <c r="H12157" s="13" t="s">
        <v>22939</v>
      </c>
      <c r="I12157" s="40" t="s">
        <v>18</v>
      </c>
      <c r="J12157" s="40" t="str">
        <f>HYPERLINK("https://stock.pstatic.net/stock-research/company/16/20250514_company_114755000.pdf","PDF")</f>
        <v>PDF</v>
      </c>
      <c r="K12157" s="12" t="s">
        <v>22940</v>
      </c>
      <c r="L12157" s="20">
        <v>0.49802890932982918</v>
      </c>
    </row>
    <row r="12158" spans="1:12" x14ac:dyDescent="0.45">
      <c r="A12158" s="12" t="s">
        <v>22898</v>
      </c>
      <c r="B12158" s="12" t="s">
        <v>1047</v>
      </c>
      <c r="C12158" s="13" t="s">
        <v>1048</v>
      </c>
      <c r="D12158" s="13" t="s">
        <v>57</v>
      </c>
      <c r="E12158" s="12" t="s">
        <v>35</v>
      </c>
      <c r="F12158" s="14">
        <v>12000</v>
      </c>
      <c r="G12158" s="14">
        <v>10030</v>
      </c>
      <c r="H12158" s="13" t="s">
        <v>22941</v>
      </c>
      <c r="I12158" s="40" t="s">
        <v>18</v>
      </c>
      <c r="J12158" s="40" t="str">
        <f>HYPERLINK("https://stock.pstatic.net/stock-research/company/16/20250514_company_801406000.pdf","PDF")</f>
        <v>PDF</v>
      </c>
      <c r="K12158" s="12" t="s">
        <v>22942</v>
      </c>
      <c r="L12158" s="20">
        <v>0.19641076769690929</v>
      </c>
    </row>
    <row r="12159" spans="1:12" x14ac:dyDescent="0.45">
      <c r="A12159" s="12" t="s">
        <v>22898</v>
      </c>
      <c r="B12159" s="12" t="s">
        <v>1656</v>
      </c>
      <c r="C12159" s="13" t="s">
        <v>1657</v>
      </c>
      <c r="D12159" s="13" t="s">
        <v>57</v>
      </c>
      <c r="E12159" s="12" t="s">
        <v>35</v>
      </c>
      <c r="F12159" s="14">
        <v>220000</v>
      </c>
      <c r="G12159" s="14">
        <v>164000</v>
      </c>
      <c r="H12159" s="13" t="s">
        <v>22943</v>
      </c>
      <c r="I12159" s="40" t="s">
        <v>18</v>
      </c>
      <c r="J12159" s="40" t="str">
        <f>HYPERLINK("https://stock.pstatic.net/stock-research/company/16/20250514_company_294277000.pdf","PDF")</f>
        <v>PDF</v>
      </c>
      <c r="K12159" s="12" t="s">
        <v>22944</v>
      </c>
      <c r="L12159" s="20">
        <v>0.34146341463414642</v>
      </c>
    </row>
    <row r="12160" spans="1:12" x14ac:dyDescent="0.45">
      <c r="A12160" s="12" t="s">
        <v>22898</v>
      </c>
      <c r="B12160" s="12" t="s">
        <v>768</v>
      </c>
      <c r="C12160" s="13" t="s">
        <v>769</v>
      </c>
      <c r="D12160" s="13" t="s">
        <v>57</v>
      </c>
      <c r="E12160" s="12" t="s">
        <v>35</v>
      </c>
      <c r="F12160" s="14">
        <v>270000</v>
      </c>
      <c r="G12160" s="14">
        <v>192500</v>
      </c>
      <c r="H12160" s="13" t="s">
        <v>22945</v>
      </c>
      <c r="I12160" s="40" t="s">
        <v>18</v>
      </c>
      <c r="J12160" s="40" t="str">
        <f>HYPERLINK("https://stock.pstatic.net/stock-research/company/16/20250514_company_522608000.pdf","PDF")</f>
        <v>PDF</v>
      </c>
      <c r="K12160" s="12" t="s">
        <v>22946</v>
      </c>
      <c r="L12160" s="20">
        <v>0.40259740259740262</v>
      </c>
    </row>
    <row r="12161" spans="1:12" x14ac:dyDescent="0.45">
      <c r="A12161" s="12" t="s">
        <v>22898</v>
      </c>
      <c r="B12161" s="12" t="s">
        <v>1930</v>
      </c>
      <c r="C12161" s="13" t="s">
        <v>1931</v>
      </c>
      <c r="D12161" s="13" t="s">
        <v>57</v>
      </c>
      <c r="E12161" s="12" t="s">
        <v>35</v>
      </c>
      <c r="F12161" s="14">
        <v>310000</v>
      </c>
      <c r="G12161" s="14">
        <v>238500</v>
      </c>
      <c r="H12161" s="13" t="s">
        <v>22947</v>
      </c>
      <c r="I12161" s="40" t="s">
        <v>18</v>
      </c>
      <c r="J12161" s="40" t="str">
        <f>HYPERLINK("https://stock.pstatic.net/stock-research/company/1/20250514_company_554048000.pdf","PDF")</f>
        <v>PDF</v>
      </c>
      <c r="K12161" s="12" t="s">
        <v>22948</v>
      </c>
      <c r="L12161" s="20">
        <v>0.29979035639412999</v>
      </c>
    </row>
    <row r="12162" spans="1:12" x14ac:dyDescent="0.45">
      <c r="A12162" s="12" t="s">
        <v>22898</v>
      </c>
      <c r="B12162" s="12" t="s">
        <v>1930</v>
      </c>
      <c r="C12162" s="13" t="s">
        <v>1931</v>
      </c>
      <c r="D12162" s="13" t="s">
        <v>158</v>
      </c>
      <c r="E12162" s="12" t="s">
        <v>35</v>
      </c>
      <c r="F12162" s="14">
        <v>350000</v>
      </c>
      <c r="G12162" s="14">
        <v>238500</v>
      </c>
      <c r="H12162" s="13" t="s">
        <v>22949</v>
      </c>
      <c r="I12162" s="40" t="s">
        <v>18</v>
      </c>
      <c r="J12162" s="40" t="str">
        <f>HYPERLINK("https://stock.pstatic.net/stock-research/company/18/20250514_company_876820000.pdf","PDF")</f>
        <v>PDF</v>
      </c>
      <c r="K12162" s="12" t="s">
        <v>22950</v>
      </c>
      <c r="L12162" s="20">
        <v>0.46750524109014668</v>
      </c>
    </row>
    <row r="12163" spans="1:12" x14ac:dyDescent="0.45">
      <c r="A12163" s="12" t="s">
        <v>22898</v>
      </c>
      <c r="B12163" s="12" t="s">
        <v>2266</v>
      </c>
      <c r="C12163" s="13" t="s">
        <v>2267</v>
      </c>
      <c r="D12163" s="13" t="s">
        <v>83</v>
      </c>
      <c r="E12163" s="12" t="s">
        <v>35</v>
      </c>
      <c r="F12163" s="14">
        <v>100000</v>
      </c>
      <c r="G12163" s="14">
        <v>86100</v>
      </c>
      <c r="H12163" s="13" t="s">
        <v>22951</v>
      </c>
      <c r="I12163" s="40" t="s">
        <v>18</v>
      </c>
      <c r="J12163" s="40" t="str">
        <f>HYPERLINK("https://stock.pstatic.net/stock-research/company/2/20250514_company_301543000.pdf","PDF")</f>
        <v>PDF</v>
      </c>
      <c r="K12163" s="12" t="s">
        <v>22952</v>
      </c>
      <c r="L12163" s="20">
        <v>0.16144018583042971</v>
      </c>
    </row>
    <row r="12164" spans="1:12" x14ac:dyDescent="0.45">
      <c r="A12164" s="12" t="s">
        <v>22898</v>
      </c>
      <c r="B12164" s="12" t="s">
        <v>1548</v>
      </c>
      <c r="C12164" s="13" t="s">
        <v>1549</v>
      </c>
      <c r="D12164" s="13" t="s">
        <v>83</v>
      </c>
      <c r="E12164" s="12" t="s">
        <v>35</v>
      </c>
      <c r="F12164" s="14">
        <v>980000</v>
      </c>
      <c r="G12164" s="14">
        <v>804000</v>
      </c>
      <c r="H12164" s="13" t="s">
        <v>22953</v>
      </c>
      <c r="I12164" s="40" t="s">
        <v>18</v>
      </c>
      <c r="J12164" s="40" t="str">
        <f>HYPERLINK("https://stock.pstatic.net/stock-research/company/2/20250514_company_944377000.pdf","PDF")</f>
        <v>PDF</v>
      </c>
      <c r="K12164" s="12" t="s">
        <v>22954</v>
      </c>
      <c r="L12164" s="20">
        <v>0.2189054726368159</v>
      </c>
    </row>
    <row r="12165" spans="1:12" x14ac:dyDescent="0.45">
      <c r="A12165" s="12" t="s">
        <v>22898</v>
      </c>
      <c r="B12165" s="12" t="s">
        <v>1773</v>
      </c>
      <c r="C12165" s="13" t="s">
        <v>1774</v>
      </c>
      <c r="D12165" s="13" t="s">
        <v>83</v>
      </c>
      <c r="E12165" s="12" t="s">
        <v>35</v>
      </c>
      <c r="F12165" s="14">
        <v>110000</v>
      </c>
      <c r="G12165" s="14">
        <v>82900</v>
      </c>
      <c r="H12165" s="13" t="s">
        <v>22955</v>
      </c>
      <c r="I12165" s="40" t="s">
        <v>18</v>
      </c>
      <c r="J12165" s="40" t="str">
        <f>HYPERLINK("https://stock.pstatic.net/stock-research/company/2/20250514_company_297817000.pdf","PDF")</f>
        <v>PDF</v>
      </c>
      <c r="K12165" s="12" t="s">
        <v>22956</v>
      </c>
      <c r="L12165" s="20">
        <v>0.32689987937273818</v>
      </c>
    </row>
    <row r="12166" spans="1:12" x14ac:dyDescent="0.45">
      <c r="A12166" s="12" t="s">
        <v>22898</v>
      </c>
      <c r="B12166" s="12" t="s">
        <v>2837</v>
      </c>
      <c r="C12166" s="13" t="s">
        <v>2838</v>
      </c>
      <c r="D12166" s="13" t="s">
        <v>83</v>
      </c>
      <c r="E12166" s="12" t="s">
        <v>35</v>
      </c>
      <c r="F12166" s="14">
        <v>47000</v>
      </c>
      <c r="G12166" s="14">
        <v>43200</v>
      </c>
      <c r="H12166" s="13" t="s">
        <v>22957</v>
      </c>
      <c r="I12166" s="40" t="s">
        <v>18</v>
      </c>
      <c r="J12166" s="40" t="str">
        <f>HYPERLINK("https://stock.pstatic.net/stock-research/company/2/20250514_company_535362000.pdf","PDF")</f>
        <v>PDF</v>
      </c>
      <c r="K12166" s="12" t="s">
        <v>22958</v>
      </c>
      <c r="L12166" s="20">
        <v>8.7962962962962965E-2</v>
      </c>
    </row>
    <row r="12167" spans="1:12" x14ac:dyDescent="0.45">
      <c r="A12167" s="12" t="s">
        <v>22898</v>
      </c>
      <c r="B12167" s="12" t="s">
        <v>4864</v>
      </c>
      <c r="C12167" s="13" t="s">
        <v>4865</v>
      </c>
      <c r="D12167" s="13" t="s">
        <v>83</v>
      </c>
      <c r="E12167" s="12" t="s">
        <v>35</v>
      </c>
      <c r="F12167" s="14">
        <v>60000</v>
      </c>
      <c r="G12167" s="14">
        <v>39400</v>
      </c>
      <c r="H12167" s="13" t="s">
        <v>22959</v>
      </c>
      <c r="I12167" s="40" t="s">
        <v>18</v>
      </c>
      <c r="J12167" s="40" t="str">
        <f>HYPERLINK("https://stock.pstatic.net/stock-research/company/2/20250514_company_71374000.pdf","PDF")</f>
        <v>PDF</v>
      </c>
      <c r="K12167" s="12" t="s">
        <v>22960</v>
      </c>
      <c r="L12167" s="20">
        <v>0.52284263959390864</v>
      </c>
    </row>
    <row r="12168" spans="1:12" x14ac:dyDescent="0.45">
      <c r="A12168" s="12" t="s">
        <v>22898</v>
      </c>
      <c r="B12168" s="12" t="s">
        <v>1140</v>
      </c>
      <c r="C12168" s="13" t="s">
        <v>1141</v>
      </c>
      <c r="D12168" s="13" t="s">
        <v>83</v>
      </c>
      <c r="E12168" s="12" t="s">
        <v>35</v>
      </c>
      <c r="F12168" s="14">
        <v>35000</v>
      </c>
      <c r="G12168" s="14">
        <v>25750</v>
      </c>
      <c r="H12168" s="13" t="s">
        <v>22961</v>
      </c>
      <c r="I12168" s="40" t="s">
        <v>18</v>
      </c>
      <c r="J12168" s="40" t="str">
        <f>HYPERLINK("https://stock.pstatic.net/stock-research/company/2/20250514_company_711652000.pdf","PDF")</f>
        <v>PDF</v>
      </c>
      <c r="K12168" s="12" t="s">
        <v>22962</v>
      </c>
      <c r="L12168" s="20">
        <v>0.35922330097087379</v>
      </c>
    </row>
    <row r="12169" spans="1:12" x14ac:dyDescent="0.45">
      <c r="A12169" s="12" t="s">
        <v>22898</v>
      </c>
      <c r="B12169" s="12" t="s">
        <v>1930</v>
      </c>
      <c r="C12169" s="13" t="s">
        <v>1931</v>
      </c>
      <c r="D12169" s="13" t="s">
        <v>83</v>
      </c>
      <c r="E12169" s="12" t="s">
        <v>35</v>
      </c>
      <c r="F12169" s="14">
        <v>350000</v>
      </c>
      <c r="G12169" s="14">
        <v>238500</v>
      </c>
      <c r="H12169" s="13" t="s">
        <v>22963</v>
      </c>
      <c r="I12169" s="40" t="s">
        <v>18</v>
      </c>
      <c r="J12169" s="40" t="str">
        <f>HYPERLINK("https://stock.pstatic.net/stock-research/company/2/20250514_company_609627000.pdf","PDF")</f>
        <v>PDF</v>
      </c>
      <c r="K12169" s="12" t="s">
        <v>22964</v>
      </c>
      <c r="L12169" s="20">
        <v>0.46750524109014668</v>
      </c>
    </row>
    <row r="12170" spans="1:12" x14ac:dyDescent="0.45">
      <c r="A12170" s="12" t="s">
        <v>22898</v>
      </c>
      <c r="B12170" s="12" t="s">
        <v>768</v>
      </c>
      <c r="C12170" s="13" t="s">
        <v>769</v>
      </c>
      <c r="D12170" s="13" t="s">
        <v>83</v>
      </c>
      <c r="E12170" s="12" t="s">
        <v>35</v>
      </c>
      <c r="F12170" s="14">
        <v>230000</v>
      </c>
      <c r="G12170" s="14">
        <v>192500</v>
      </c>
      <c r="H12170" s="13" t="s">
        <v>22965</v>
      </c>
      <c r="I12170" s="40" t="s">
        <v>18</v>
      </c>
      <c r="J12170" s="40" t="str">
        <f>HYPERLINK("https://stock.pstatic.net/stock-research/company/2/20250514_company_309566000.pdf","PDF")</f>
        <v>PDF</v>
      </c>
      <c r="K12170" s="12" t="s">
        <v>22966</v>
      </c>
      <c r="L12170" s="20">
        <v>0.19480519480519479</v>
      </c>
    </row>
    <row r="12171" spans="1:12" x14ac:dyDescent="0.45">
      <c r="A12171" s="12" t="s">
        <v>22898</v>
      </c>
      <c r="B12171" s="12" t="s">
        <v>272</v>
      </c>
      <c r="C12171" s="13" t="s">
        <v>273</v>
      </c>
      <c r="D12171" s="13" t="s">
        <v>83</v>
      </c>
      <c r="E12171" s="12" t="s">
        <v>642</v>
      </c>
      <c r="F12171" s="14">
        <v>430000</v>
      </c>
      <c r="G12171" s="14">
        <v>398000</v>
      </c>
      <c r="H12171" s="13" t="s">
        <v>22967</v>
      </c>
      <c r="I12171" s="40" t="s">
        <v>18</v>
      </c>
      <c r="J12171" s="40" t="str">
        <f>HYPERLINK("https://stock.pstatic.net/stock-research/company/2/20250514_company_968174000.pdf","PDF")</f>
        <v>PDF</v>
      </c>
      <c r="K12171" s="12" t="s">
        <v>22968</v>
      </c>
      <c r="L12171" s="20">
        <v>8.0402010050251257E-2</v>
      </c>
    </row>
    <row r="12172" spans="1:12" x14ac:dyDescent="0.45">
      <c r="A12172" s="12" t="s">
        <v>22898</v>
      </c>
      <c r="B12172" s="12" t="s">
        <v>1656</v>
      </c>
      <c r="C12172" s="13" t="s">
        <v>1657</v>
      </c>
      <c r="D12172" s="13" t="s">
        <v>83</v>
      </c>
      <c r="E12172" s="12" t="s">
        <v>35</v>
      </c>
      <c r="F12172" s="14">
        <v>200000</v>
      </c>
      <c r="G12172" s="14">
        <v>164000</v>
      </c>
      <c r="H12172" s="13" t="s">
        <v>22969</v>
      </c>
      <c r="I12172" s="40" t="s">
        <v>18</v>
      </c>
      <c r="J12172" s="40" t="str">
        <f>HYPERLINK("https://stock.pstatic.net/stock-research/company/2/20250514_company_231951000.pdf","PDF")</f>
        <v>PDF</v>
      </c>
      <c r="K12172" s="12" t="s">
        <v>22970</v>
      </c>
      <c r="L12172" s="20">
        <v>0.21951219512195119</v>
      </c>
    </row>
    <row r="12173" spans="1:12" x14ac:dyDescent="0.45">
      <c r="A12173" s="12" t="s">
        <v>22898</v>
      </c>
      <c r="B12173" s="12" t="s">
        <v>1906</v>
      </c>
      <c r="C12173" s="13" t="s">
        <v>1907</v>
      </c>
      <c r="D12173" s="13" t="s">
        <v>15</v>
      </c>
      <c r="E12173" s="12" t="s">
        <v>385</v>
      </c>
      <c r="F12173" s="14">
        <v>35000</v>
      </c>
      <c r="G12173" s="14">
        <v>35550</v>
      </c>
      <c r="H12173" s="13" t="s">
        <v>22971</v>
      </c>
      <c r="I12173" s="40" t="s">
        <v>18</v>
      </c>
      <c r="J12173" s="40" t="str">
        <f>HYPERLINK("https://stock.pstatic.net/stock-research/company/29/20250514_company_362500000.pdf","PDF")</f>
        <v>PDF</v>
      </c>
      <c r="K12173" s="12" t="s">
        <v>22972</v>
      </c>
      <c r="L12173" s="20">
        <v>-1.547116736990155E-2</v>
      </c>
    </row>
    <row r="12174" spans="1:12" x14ac:dyDescent="0.45">
      <c r="A12174" s="12" t="s">
        <v>22898</v>
      </c>
      <c r="B12174" s="12" t="s">
        <v>768</v>
      </c>
      <c r="C12174" s="13" t="s">
        <v>769</v>
      </c>
      <c r="D12174" s="13" t="s">
        <v>15</v>
      </c>
      <c r="E12174" s="12" t="s">
        <v>16</v>
      </c>
      <c r="F12174" s="14">
        <v>250000</v>
      </c>
      <c r="G12174" s="14">
        <v>192500</v>
      </c>
      <c r="H12174" s="13" t="s">
        <v>22973</v>
      </c>
      <c r="I12174" s="40" t="s">
        <v>18</v>
      </c>
      <c r="J12174" s="40" t="str">
        <f>HYPERLINK("https://stock.pstatic.net/stock-research/company/29/20250514_company_667459000.pdf","PDF")</f>
        <v>PDF</v>
      </c>
      <c r="K12174" s="12" t="s">
        <v>22974</v>
      </c>
      <c r="L12174" s="20">
        <v>0.29870129870129869</v>
      </c>
    </row>
    <row r="12175" spans="1:12" x14ac:dyDescent="0.45">
      <c r="A12175" s="12" t="s">
        <v>22898</v>
      </c>
      <c r="B12175" s="12" t="s">
        <v>1930</v>
      </c>
      <c r="C12175" s="13" t="s">
        <v>1931</v>
      </c>
      <c r="D12175" s="13" t="s">
        <v>92</v>
      </c>
      <c r="E12175" s="12" t="s">
        <v>35</v>
      </c>
      <c r="F12175" s="14">
        <v>308000</v>
      </c>
      <c r="G12175" s="14">
        <v>238500</v>
      </c>
      <c r="H12175" s="13" t="s">
        <v>6587</v>
      </c>
      <c r="I12175" s="40" t="s">
        <v>18</v>
      </c>
      <c r="J12175" s="40" t="str">
        <f>HYPERLINK("https://stock.pstatic.net/stock-research/company/61/20250514_company_345783000.pdf","PDF")</f>
        <v>PDF</v>
      </c>
      <c r="K12175" s="12" t="s">
        <v>22975</v>
      </c>
      <c r="L12175" s="20">
        <v>0.29140461215932911</v>
      </c>
    </row>
    <row r="12176" spans="1:12" x14ac:dyDescent="0.45">
      <c r="A12176" s="12" t="s">
        <v>22898</v>
      </c>
      <c r="B12176" s="12" t="s">
        <v>4129</v>
      </c>
      <c r="C12176" s="13" t="s">
        <v>4130</v>
      </c>
      <c r="D12176" s="13" t="s">
        <v>92</v>
      </c>
      <c r="E12176" s="12" t="s">
        <v>35</v>
      </c>
      <c r="F12176" s="14">
        <v>31000</v>
      </c>
      <c r="G12176" s="14">
        <v>23450</v>
      </c>
      <c r="H12176" s="13" t="s">
        <v>22976</v>
      </c>
      <c r="I12176" s="40" t="s">
        <v>18</v>
      </c>
      <c r="J12176" s="40" t="str">
        <f>HYPERLINK("https://stock.pstatic.net/stock-research/company/63/20250514_company_656516000.pdf","PDF")</f>
        <v>PDF</v>
      </c>
      <c r="K12176" s="12" t="s">
        <v>22977</v>
      </c>
      <c r="L12176" s="20">
        <v>0.32196162046908322</v>
      </c>
    </row>
    <row r="12177" spans="1:12" x14ac:dyDescent="0.45">
      <c r="A12177" s="12" t="s">
        <v>22898</v>
      </c>
      <c r="B12177" s="12" t="s">
        <v>1140</v>
      </c>
      <c r="C12177" s="13" t="s">
        <v>1141</v>
      </c>
      <c r="D12177" s="13" t="s">
        <v>15</v>
      </c>
      <c r="E12177" s="12" t="s">
        <v>16</v>
      </c>
      <c r="F12177" s="14">
        <v>32000</v>
      </c>
      <c r="G12177" s="14">
        <v>25750</v>
      </c>
      <c r="H12177" s="13" t="s">
        <v>22978</v>
      </c>
      <c r="I12177" s="40" t="s">
        <v>18</v>
      </c>
      <c r="J12177" s="40" t="str">
        <f>HYPERLINK("https://stock.pstatic.net/stock-research/company/29/20250514_company_344734000.pdf","PDF")</f>
        <v>PDF</v>
      </c>
      <c r="K12177" s="12" t="s">
        <v>22979</v>
      </c>
      <c r="L12177" s="20">
        <v>0.24271844660194181</v>
      </c>
    </row>
    <row r="12178" spans="1:12" x14ac:dyDescent="0.45">
      <c r="A12178" s="12" t="s">
        <v>22898</v>
      </c>
      <c r="B12178" s="12" t="s">
        <v>2040</v>
      </c>
      <c r="C12178" s="13" t="s">
        <v>2041</v>
      </c>
      <c r="D12178" s="13" t="s">
        <v>92</v>
      </c>
      <c r="E12178" s="12" t="s">
        <v>35</v>
      </c>
      <c r="F12178" s="14">
        <v>75000</v>
      </c>
      <c r="G12178" s="14">
        <v>63300</v>
      </c>
      <c r="H12178" s="13" t="s">
        <v>22980</v>
      </c>
      <c r="I12178" s="40" t="s">
        <v>18</v>
      </c>
      <c r="J12178" s="40" t="str">
        <f>HYPERLINK("https://stock.pstatic.net/stock-research/company/63/20250514_company_205636000.pdf","PDF")</f>
        <v>PDF</v>
      </c>
      <c r="K12178" s="12" t="s">
        <v>22981</v>
      </c>
      <c r="L12178" s="20">
        <v>0.18483412322274881</v>
      </c>
    </row>
    <row r="12179" spans="1:12" x14ac:dyDescent="0.45">
      <c r="A12179" s="12" t="s">
        <v>22898</v>
      </c>
      <c r="B12179" s="12" t="s">
        <v>1773</v>
      </c>
      <c r="C12179" s="13" t="s">
        <v>1774</v>
      </c>
      <c r="D12179" s="13" t="s">
        <v>34</v>
      </c>
      <c r="E12179" s="12" t="s">
        <v>35</v>
      </c>
      <c r="F12179" s="14">
        <v>110000</v>
      </c>
      <c r="G12179" s="14">
        <v>82900</v>
      </c>
      <c r="H12179" s="13" t="s">
        <v>22982</v>
      </c>
      <c r="I12179" s="40" t="s">
        <v>18</v>
      </c>
      <c r="J12179" s="40" t="str">
        <f>HYPERLINK("https://stock.pstatic.net/stock-research/company/61/20250514_company_870220000.pdf","PDF")</f>
        <v>PDF</v>
      </c>
      <c r="K12179" s="12" t="s">
        <v>22983</v>
      </c>
      <c r="L12179" s="20">
        <v>0.32689987937273818</v>
      </c>
    </row>
    <row r="12180" spans="1:12" x14ac:dyDescent="0.45">
      <c r="A12180" s="12" t="s">
        <v>22898</v>
      </c>
      <c r="B12180" s="12" t="s">
        <v>2217</v>
      </c>
      <c r="C12180" s="13" t="s">
        <v>2218</v>
      </c>
      <c r="D12180" s="13" t="s">
        <v>92</v>
      </c>
      <c r="E12180" s="12" t="s">
        <v>6960</v>
      </c>
      <c r="F12180" s="14">
        <v>104000</v>
      </c>
      <c r="G12180" s="14">
        <v>57400</v>
      </c>
      <c r="H12180" s="13" t="s">
        <v>22984</v>
      </c>
      <c r="I12180" s="40" t="s">
        <v>18</v>
      </c>
      <c r="J12180" s="40" t="str">
        <f>HYPERLINK("https://stock.pstatic.net/stock-research/company/63/20250514_company_873880000.pdf","PDF")</f>
        <v>PDF</v>
      </c>
      <c r="K12180" s="12" t="s">
        <v>22985</v>
      </c>
      <c r="L12180" s="20">
        <v>0.81184668989547037</v>
      </c>
    </row>
    <row r="12181" spans="1:12" x14ac:dyDescent="0.45">
      <c r="A12181" s="12" t="s">
        <v>22898</v>
      </c>
      <c r="B12181" s="12" t="s">
        <v>22986</v>
      </c>
      <c r="C12181" s="13" t="s">
        <v>22987</v>
      </c>
      <c r="D12181" s="13" t="s">
        <v>179</v>
      </c>
      <c r="E12181" s="12" t="s">
        <v>16</v>
      </c>
      <c r="F12181" s="14">
        <v>13000</v>
      </c>
      <c r="G12181" s="14">
        <v>8330</v>
      </c>
      <c r="H12181" s="13" t="s">
        <v>22988</v>
      </c>
      <c r="I12181" s="40" t="s">
        <v>18</v>
      </c>
      <c r="J12181" s="40" t="str">
        <f>HYPERLINK("https://stock.pstatic.net/stock-research/company/31/20250514_company_579630000.pdf","PDF")</f>
        <v>PDF</v>
      </c>
      <c r="K12181" s="12" t="s">
        <v>22989</v>
      </c>
      <c r="L12181" s="20">
        <v>0.56062424969988001</v>
      </c>
    </row>
    <row r="12182" spans="1:12" x14ac:dyDescent="0.45">
      <c r="A12182" s="12" t="s">
        <v>22898</v>
      </c>
      <c r="B12182" s="12" t="s">
        <v>375</v>
      </c>
      <c r="C12182" s="13" t="s">
        <v>376</v>
      </c>
      <c r="D12182" s="13" t="s">
        <v>92</v>
      </c>
      <c r="E12182" s="12" t="s">
        <v>35</v>
      </c>
      <c r="F12182" s="14">
        <v>28000</v>
      </c>
      <c r="G12182" s="14">
        <v>24400</v>
      </c>
      <c r="H12182" s="13" t="s">
        <v>22990</v>
      </c>
      <c r="I12182" s="40" t="s">
        <v>18</v>
      </c>
      <c r="J12182" s="40" t="str">
        <f>HYPERLINK("https://stock.pstatic.net/stock-research/company/63/20250514_company_785320000.pdf","PDF")</f>
        <v>PDF</v>
      </c>
      <c r="K12182" s="12" t="s">
        <v>22991</v>
      </c>
      <c r="L12182" s="20">
        <v>0.1475409836065574</v>
      </c>
    </row>
    <row r="12183" spans="1:12" x14ac:dyDescent="0.45">
      <c r="A12183" s="12" t="s">
        <v>22898</v>
      </c>
      <c r="B12183" s="12" t="s">
        <v>1140</v>
      </c>
      <c r="C12183" s="13" t="s">
        <v>1141</v>
      </c>
      <c r="D12183" s="13" t="s">
        <v>92</v>
      </c>
      <c r="E12183" s="12" t="s">
        <v>35</v>
      </c>
      <c r="F12183" s="14">
        <v>32000</v>
      </c>
      <c r="G12183" s="14">
        <v>25750</v>
      </c>
      <c r="H12183" s="13" t="s">
        <v>22992</v>
      </c>
      <c r="I12183" s="40" t="s">
        <v>18</v>
      </c>
      <c r="J12183" s="40" t="str">
        <f>HYPERLINK("https://stock.pstatic.net/stock-research/company/1/20250514_company_771872000.pdf","PDF")</f>
        <v>PDF</v>
      </c>
      <c r="K12183" s="12" t="s">
        <v>22993</v>
      </c>
      <c r="L12183" s="20">
        <v>0.24271844660194181</v>
      </c>
    </row>
    <row r="12184" spans="1:12" x14ac:dyDescent="0.45">
      <c r="A12184" s="12" t="s">
        <v>22898</v>
      </c>
      <c r="B12184" s="12" t="s">
        <v>7516</v>
      </c>
      <c r="C12184" s="13" t="s">
        <v>7517</v>
      </c>
      <c r="D12184" s="13" t="s">
        <v>23</v>
      </c>
      <c r="E12184" s="12" t="s">
        <v>16</v>
      </c>
      <c r="F12184" s="14">
        <v>20000</v>
      </c>
      <c r="G12184" s="14">
        <v>14710</v>
      </c>
      <c r="H12184" s="13" t="s">
        <v>22994</v>
      </c>
      <c r="I12184" s="40" t="s">
        <v>18</v>
      </c>
      <c r="J12184" s="40" t="str">
        <f>HYPERLINK("https://stock.pstatic.net/stock-research/company/21/20250514_company_340272000.pdf","PDF")</f>
        <v>PDF</v>
      </c>
      <c r="K12184" s="12" t="s">
        <v>22995</v>
      </c>
      <c r="L12184" s="20">
        <v>0.35961930659415359</v>
      </c>
    </row>
    <row r="12185" spans="1:12" x14ac:dyDescent="0.45">
      <c r="A12185" s="12" t="s">
        <v>22898</v>
      </c>
      <c r="B12185" s="12" t="s">
        <v>1140</v>
      </c>
      <c r="C12185" s="13" t="s">
        <v>1141</v>
      </c>
      <c r="D12185" s="13" t="s">
        <v>23</v>
      </c>
      <c r="E12185" s="12" t="s">
        <v>16</v>
      </c>
      <c r="F12185" s="14">
        <v>32000</v>
      </c>
      <c r="G12185" s="14">
        <v>25750</v>
      </c>
      <c r="H12185" s="13" t="s">
        <v>22996</v>
      </c>
      <c r="I12185" s="40" t="s">
        <v>18</v>
      </c>
      <c r="J12185" s="40" t="str">
        <f>HYPERLINK("https://stock.pstatic.net/stock-research/company/21/20250514_company_272066000.pdf","PDF")</f>
        <v>PDF</v>
      </c>
      <c r="K12185" s="12" t="s">
        <v>22997</v>
      </c>
      <c r="L12185" s="20">
        <v>0.24271844660194181</v>
      </c>
    </row>
    <row r="12186" spans="1:12" x14ac:dyDescent="0.45">
      <c r="A12186" s="12" t="s">
        <v>22898</v>
      </c>
      <c r="B12186" s="12" t="s">
        <v>503</v>
      </c>
      <c r="C12186" s="13" t="s">
        <v>504</v>
      </c>
      <c r="D12186" s="13" t="s">
        <v>23</v>
      </c>
      <c r="E12186" s="12" t="s">
        <v>16</v>
      </c>
      <c r="F12186" s="14">
        <v>120000</v>
      </c>
      <c r="G12186" s="14">
        <v>77800</v>
      </c>
      <c r="H12186" s="13" t="s">
        <v>22998</v>
      </c>
      <c r="I12186" s="40" t="s">
        <v>18</v>
      </c>
      <c r="J12186" s="40" t="str">
        <f>HYPERLINK("https://stock.pstatic.net/stock-research/company/21/20250514_company_566626000.pdf","PDF")</f>
        <v>PDF</v>
      </c>
      <c r="K12186" s="12" t="s">
        <v>22999</v>
      </c>
      <c r="L12186" s="20">
        <v>0.54241645244215941</v>
      </c>
    </row>
    <row r="12187" spans="1:12" x14ac:dyDescent="0.45">
      <c r="A12187" s="12" t="s">
        <v>22898</v>
      </c>
      <c r="B12187" s="12" t="s">
        <v>1140</v>
      </c>
      <c r="C12187" s="13" t="s">
        <v>1141</v>
      </c>
      <c r="D12187" s="13" t="s">
        <v>179</v>
      </c>
      <c r="E12187" s="12" t="s">
        <v>16</v>
      </c>
      <c r="F12187" s="14">
        <v>30000</v>
      </c>
      <c r="G12187" s="14">
        <v>25750</v>
      </c>
      <c r="H12187" s="13" t="s">
        <v>23000</v>
      </c>
      <c r="I12187" s="40" t="s">
        <v>18</v>
      </c>
      <c r="J12187" s="40" t="str">
        <f>HYPERLINK("https://stock.pstatic.net/stock-research/company/31/20250514_company_168705000.pdf","PDF")</f>
        <v>PDF</v>
      </c>
      <c r="K12187" s="12" t="s">
        <v>23001</v>
      </c>
      <c r="L12187" s="20">
        <v>0.1650485436893204</v>
      </c>
    </row>
    <row r="12188" spans="1:12" x14ac:dyDescent="0.45">
      <c r="A12188" s="12" t="s">
        <v>22898</v>
      </c>
      <c r="B12188" s="12" t="s">
        <v>4567</v>
      </c>
      <c r="C12188" s="13" t="s">
        <v>4568</v>
      </c>
      <c r="D12188" s="13" t="s">
        <v>34</v>
      </c>
      <c r="E12188" s="12" t="s">
        <v>35</v>
      </c>
      <c r="F12188" s="14">
        <v>21000</v>
      </c>
      <c r="G12188" s="14">
        <v>15430</v>
      </c>
      <c r="H12188" s="13" t="s">
        <v>23002</v>
      </c>
      <c r="I12188" s="40" t="s">
        <v>18</v>
      </c>
      <c r="J12188" s="40" t="str">
        <f>HYPERLINK("https://stock.pstatic.net/stock-research/company/61/20250514_company_249042000.pdf","PDF")</f>
        <v>PDF</v>
      </c>
      <c r="K12188" s="12" t="s">
        <v>23003</v>
      </c>
      <c r="L12188" s="20">
        <v>0.36098509397278028</v>
      </c>
    </row>
    <row r="12189" spans="1:12" x14ac:dyDescent="0.45">
      <c r="A12189" s="12" t="s">
        <v>22898</v>
      </c>
      <c r="B12189" s="12" t="s">
        <v>1930</v>
      </c>
      <c r="C12189" s="13" t="s">
        <v>1931</v>
      </c>
      <c r="D12189" s="13" t="s">
        <v>34</v>
      </c>
      <c r="E12189" s="12" t="s">
        <v>35</v>
      </c>
      <c r="F12189" s="14">
        <v>380000</v>
      </c>
      <c r="G12189" s="14">
        <v>238500</v>
      </c>
      <c r="H12189" s="13" t="s">
        <v>23004</v>
      </c>
      <c r="I12189" s="40" t="s">
        <v>18</v>
      </c>
      <c r="J12189" s="40" t="str">
        <f>HYPERLINK("https://stock.pstatic.net/stock-research/company/61/20250514_company_818811000.pdf","PDF")</f>
        <v>PDF</v>
      </c>
      <c r="K12189" s="12" t="s">
        <v>23005</v>
      </c>
      <c r="L12189" s="20">
        <v>0.59329140461215935</v>
      </c>
    </row>
    <row r="12190" spans="1:12" x14ac:dyDescent="0.45">
      <c r="A12190" s="12" t="s">
        <v>22898</v>
      </c>
      <c r="B12190" s="12" t="s">
        <v>2040</v>
      </c>
      <c r="C12190" s="13" t="s">
        <v>2041</v>
      </c>
      <c r="D12190" s="13" t="s">
        <v>23</v>
      </c>
      <c r="E12190" s="12" t="s">
        <v>16</v>
      </c>
      <c r="F12190" s="14">
        <v>80000</v>
      </c>
      <c r="G12190" s="14">
        <v>63300</v>
      </c>
      <c r="H12190" s="13" t="s">
        <v>23006</v>
      </c>
      <c r="I12190" s="40" t="s">
        <v>18</v>
      </c>
      <c r="J12190" s="40" t="str">
        <f>HYPERLINK("https://stock.pstatic.net/stock-research/company/21/20250514_company_850354000.pdf","PDF")</f>
        <v>PDF</v>
      </c>
      <c r="K12190" s="12" t="s">
        <v>23007</v>
      </c>
      <c r="L12190" s="20">
        <v>0.26382306477093209</v>
      </c>
    </row>
    <row r="12191" spans="1:12" x14ac:dyDescent="0.45">
      <c r="A12191" s="12" t="s">
        <v>22898</v>
      </c>
      <c r="B12191" s="12" t="s">
        <v>1734</v>
      </c>
      <c r="C12191" s="13" t="s">
        <v>1735</v>
      </c>
      <c r="D12191" s="13" t="s">
        <v>23</v>
      </c>
      <c r="E12191" s="12" t="s">
        <v>16</v>
      </c>
      <c r="F12191" s="14">
        <v>50000</v>
      </c>
      <c r="G12191" s="14">
        <v>38050</v>
      </c>
      <c r="H12191" s="13" t="s">
        <v>23008</v>
      </c>
      <c r="I12191" s="40" t="s">
        <v>18</v>
      </c>
      <c r="J12191" s="40" t="str">
        <f>HYPERLINK("https://stock.pstatic.net/stock-research/company/21/20250514_company_721763000.pdf","PDF")</f>
        <v>PDF</v>
      </c>
      <c r="K12191" s="12" t="s">
        <v>23009</v>
      </c>
      <c r="L12191" s="20">
        <v>0.31406044678055189</v>
      </c>
    </row>
    <row r="12192" spans="1:12" x14ac:dyDescent="0.45">
      <c r="A12192" s="12" t="s">
        <v>22898</v>
      </c>
      <c r="B12192" s="12" t="s">
        <v>1047</v>
      </c>
      <c r="C12192" s="13" t="s">
        <v>1048</v>
      </c>
      <c r="D12192" s="13" t="s">
        <v>179</v>
      </c>
      <c r="E12192" s="12" t="s">
        <v>16</v>
      </c>
      <c r="F12192" s="14">
        <v>12000</v>
      </c>
      <c r="G12192" s="14">
        <v>10030</v>
      </c>
      <c r="H12192" s="13" t="s">
        <v>23010</v>
      </c>
      <c r="I12192" s="40" t="s">
        <v>18</v>
      </c>
      <c r="J12192" s="40" t="str">
        <f>HYPERLINK("https://stock.pstatic.net/stock-research/company/31/20250514_company_974350000.pdf","PDF")</f>
        <v>PDF</v>
      </c>
      <c r="K12192" s="12" t="s">
        <v>23011</v>
      </c>
      <c r="L12192" s="20">
        <v>0.19641076769690929</v>
      </c>
    </row>
    <row r="12193" spans="1:12" x14ac:dyDescent="0.45">
      <c r="A12193" s="12" t="s">
        <v>22898</v>
      </c>
      <c r="B12193" s="12" t="s">
        <v>1930</v>
      </c>
      <c r="C12193" s="13" t="s">
        <v>1931</v>
      </c>
      <c r="D12193" s="13" t="s">
        <v>23</v>
      </c>
      <c r="E12193" s="12" t="s">
        <v>16</v>
      </c>
      <c r="F12193" s="14">
        <v>340000</v>
      </c>
      <c r="G12193" s="14">
        <v>238500</v>
      </c>
      <c r="H12193" s="13" t="s">
        <v>23012</v>
      </c>
      <c r="I12193" s="40" t="s">
        <v>18</v>
      </c>
      <c r="J12193" s="40" t="str">
        <f>HYPERLINK("https://stock.pstatic.net/stock-research/company/21/20250514_company_28733000.pdf","PDF")</f>
        <v>PDF</v>
      </c>
      <c r="K12193" s="12" t="s">
        <v>23013</v>
      </c>
      <c r="L12193" s="20">
        <v>0.42557651991614248</v>
      </c>
    </row>
    <row r="12194" spans="1:12" x14ac:dyDescent="0.45">
      <c r="A12194" s="12" t="s">
        <v>22898</v>
      </c>
      <c r="B12194" s="12" t="s">
        <v>1656</v>
      </c>
      <c r="C12194" s="13" t="s">
        <v>1657</v>
      </c>
      <c r="D12194" s="13" t="s">
        <v>23</v>
      </c>
      <c r="E12194" s="12" t="s">
        <v>16</v>
      </c>
      <c r="F12194" s="14">
        <v>185000</v>
      </c>
      <c r="G12194" s="14">
        <v>164000</v>
      </c>
      <c r="H12194" s="13" t="s">
        <v>23014</v>
      </c>
      <c r="I12194" s="40" t="s">
        <v>18</v>
      </c>
      <c r="J12194" s="40" t="str">
        <f>HYPERLINK("https://stock.pstatic.net/stock-research/company/21/20250514_company_211802000.pdf","PDF")</f>
        <v>PDF</v>
      </c>
      <c r="K12194" s="12" t="s">
        <v>23015</v>
      </c>
      <c r="L12194" s="20">
        <v>0.12804878048780491</v>
      </c>
    </row>
    <row r="12195" spans="1:12" x14ac:dyDescent="0.45">
      <c r="A12195" s="12" t="s">
        <v>22898</v>
      </c>
      <c r="B12195" s="12" t="s">
        <v>768</v>
      </c>
      <c r="C12195" s="13" t="s">
        <v>769</v>
      </c>
      <c r="D12195" s="13" t="s">
        <v>23</v>
      </c>
      <c r="E12195" s="12" t="s">
        <v>16</v>
      </c>
      <c r="F12195" s="14">
        <v>230000</v>
      </c>
      <c r="G12195" s="14">
        <v>192500</v>
      </c>
      <c r="H12195" s="13" t="s">
        <v>23016</v>
      </c>
      <c r="I12195" s="40" t="s">
        <v>18</v>
      </c>
      <c r="J12195" s="40" t="str">
        <f>HYPERLINK("https://stock.pstatic.net/stock-research/company/21/20250514_company_279169000.pdf","PDF")</f>
        <v>PDF</v>
      </c>
      <c r="K12195" s="12" t="s">
        <v>23017</v>
      </c>
      <c r="L12195" s="20">
        <v>0.19480519480519479</v>
      </c>
    </row>
    <row r="12196" spans="1:12" x14ac:dyDescent="0.45">
      <c r="A12196" s="12" t="s">
        <v>22898</v>
      </c>
      <c r="B12196" s="12" t="s">
        <v>2378</v>
      </c>
      <c r="C12196" s="13" t="s">
        <v>2379</v>
      </c>
      <c r="D12196" s="13" t="s">
        <v>44</v>
      </c>
      <c r="E12196" s="12" t="s">
        <v>35</v>
      </c>
      <c r="F12196" s="14">
        <v>400000</v>
      </c>
      <c r="G12196" s="14">
        <v>312000</v>
      </c>
      <c r="H12196" s="13" t="s">
        <v>23018</v>
      </c>
      <c r="I12196" s="40" t="s">
        <v>18</v>
      </c>
      <c r="J12196" s="40" t="str">
        <f>HYPERLINK("https://stock.pstatic.net/stock-research/company/39/20250514_company_719319000.pdf","PDF")</f>
        <v>PDF</v>
      </c>
      <c r="K12196" s="12" t="s">
        <v>23019</v>
      </c>
      <c r="L12196" s="20">
        <v>0.28205128205128199</v>
      </c>
    </row>
    <row r="12197" spans="1:12" x14ac:dyDescent="0.45">
      <c r="A12197" s="12" t="s">
        <v>22898</v>
      </c>
      <c r="B12197" s="12" t="s">
        <v>2365</v>
      </c>
      <c r="C12197" s="13" t="s">
        <v>2366</v>
      </c>
      <c r="D12197" s="13" t="s">
        <v>44</v>
      </c>
      <c r="E12197" s="12" t="s">
        <v>35</v>
      </c>
      <c r="F12197" s="14">
        <v>110000</v>
      </c>
      <c r="G12197" s="14">
        <v>64500</v>
      </c>
      <c r="H12197" s="13" t="s">
        <v>23020</v>
      </c>
      <c r="I12197" s="40" t="s">
        <v>18</v>
      </c>
      <c r="J12197" s="40" t="str">
        <f>HYPERLINK("https://stock.pstatic.net/stock-research/company/39/20250514_company_76804000.pdf","PDF")</f>
        <v>PDF</v>
      </c>
      <c r="K12197" s="12" t="s">
        <v>23021</v>
      </c>
      <c r="L12197" s="20">
        <v>0.70542635658914732</v>
      </c>
    </row>
    <row r="12198" spans="1:12" x14ac:dyDescent="0.45">
      <c r="A12198" s="12" t="s">
        <v>22898</v>
      </c>
      <c r="B12198" s="12" t="s">
        <v>1930</v>
      </c>
      <c r="C12198" s="13" t="s">
        <v>1931</v>
      </c>
      <c r="D12198" s="13" t="s">
        <v>44</v>
      </c>
      <c r="E12198" s="12" t="s">
        <v>35</v>
      </c>
      <c r="F12198" s="14">
        <v>340000</v>
      </c>
      <c r="G12198" s="14">
        <v>238500</v>
      </c>
      <c r="H12198" s="13" t="s">
        <v>23022</v>
      </c>
      <c r="I12198" s="40" t="s">
        <v>18</v>
      </c>
      <c r="J12198" s="40" t="str">
        <f>HYPERLINK("https://stock.pstatic.net/stock-research/company/39/20250514_company_169972000.pdf","PDF")</f>
        <v>PDF</v>
      </c>
      <c r="K12198" s="12" t="s">
        <v>23023</v>
      </c>
      <c r="L12198" s="20">
        <v>0.42557651991614248</v>
      </c>
    </row>
    <row r="12199" spans="1:12" x14ac:dyDescent="0.45">
      <c r="A12199" s="12" t="s">
        <v>22898</v>
      </c>
      <c r="B12199" s="12" t="s">
        <v>272</v>
      </c>
      <c r="C12199" s="13" t="s">
        <v>273</v>
      </c>
      <c r="D12199" s="13" t="s">
        <v>44</v>
      </c>
      <c r="E12199" s="12" t="s">
        <v>35</v>
      </c>
      <c r="F12199" s="14">
        <v>490000</v>
      </c>
      <c r="G12199" s="14">
        <v>398000</v>
      </c>
      <c r="H12199" s="13" t="s">
        <v>23024</v>
      </c>
      <c r="I12199" s="40" t="s">
        <v>18</v>
      </c>
      <c r="J12199" s="40" t="str">
        <f>HYPERLINK("https://stock.pstatic.net/stock-research/company/39/20250514_company_436064000.pdf","PDF")</f>
        <v>PDF</v>
      </c>
      <c r="K12199" s="12" t="s">
        <v>23025</v>
      </c>
      <c r="L12199" s="20">
        <v>0.23115577889447239</v>
      </c>
    </row>
    <row r="12200" spans="1:12" x14ac:dyDescent="0.45">
      <c r="A12200" s="12" t="s">
        <v>22898</v>
      </c>
      <c r="B12200" s="12" t="s">
        <v>710</v>
      </c>
      <c r="C12200" s="13" t="s">
        <v>711</v>
      </c>
      <c r="D12200" s="13" t="s">
        <v>44</v>
      </c>
      <c r="E12200" s="12" t="s">
        <v>50</v>
      </c>
      <c r="F12200" s="13"/>
      <c r="G12200" s="14">
        <v>54400</v>
      </c>
      <c r="H12200" s="13" t="s">
        <v>23026</v>
      </c>
      <c r="I12200" s="40" t="s">
        <v>18</v>
      </c>
      <c r="J12200" s="40" t="str">
        <f>HYPERLINK("https://stock.pstatic.net/stock-research/company/39/20250514_company_151076000.pdf","PDF")</f>
        <v>PDF</v>
      </c>
      <c r="K12200" s="12" t="s">
        <v>23027</v>
      </c>
    </row>
    <row r="12201" spans="1:12" x14ac:dyDescent="0.45">
      <c r="A12201" s="12" t="s">
        <v>22898</v>
      </c>
      <c r="B12201" s="12" t="s">
        <v>12635</v>
      </c>
      <c r="C12201" s="13" t="s">
        <v>12636</v>
      </c>
      <c r="D12201" s="13" t="s">
        <v>44</v>
      </c>
      <c r="E12201" s="12" t="s">
        <v>35</v>
      </c>
      <c r="F12201" s="14">
        <v>200000</v>
      </c>
      <c r="G12201" s="14">
        <v>164000</v>
      </c>
      <c r="H12201" s="13" t="s">
        <v>23028</v>
      </c>
      <c r="I12201" s="40" t="s">
        <v>18</v>
      </c>
      <c r="J12201" s="40" t="str">
        <f>HYPERLINK("https://stock.pstatic.net/stock-research/company/39/20250514_company_847321000.pdf","PDF")</f>
        <v>PDF</v>
      </c>
      <c r="K12201" s="12" t="s">
        <v>23029</v>
      </c>
      <c r="L12201" s="20">
        <v>0.21951219512195119</v>
      </c>
    </row>
    <row r="12202" spans="1:12" x14ac:dyDescent="0.45">
      <c r="A12202" s="12" t="s">
        <v>22898</v>
      </c>
      <c r="B12202" s="12" t="s">
        <v>6110</v>
      </c>
      <c r="C12202" s="13" t="s">
        <v>6111</v>
      </c>
      <c r="D12202" s="13" t="s">
        <v>92</v>
      </c>
      <c r="E12202" s="12" t="s">
        <v>50</v>
      </c>
      <c r="F12202" s="13"/>
      <c r="G12202" s="14">
        <v>7880</v>
      </c>
      <c r="H12202" s="13" t="s">
        <v>23030</v>
      </c>
      <c r="I12202" s="40" t="s">
        <v>18</v>
      </c>
      <c r="J12202" s="40" t="str">
        <f>HYPERLINK("https://stock.pstatic.net/stock-research/company/1/20250514_company_990831000.pdf","PDF")</f>
        <v>PDF</v>
      </c>
      <c r="K12202" s="12" t="s">
        <v>23031</v>
      </c>
    </row>
    <row r="12203" spans="1:12" x14ac:dyDescent="0.45">
      <c r="A12203" s="12" t="s">
        <v>22898</v>
      </c>
      <c r="B12203" s="12" t="s">
        <v>1966</v>
      </c>
      <c r="C12203" s="13" t="s">
        <v>1967</v>
      </c>
      <c r="D12203" s="13" t="s">
        <v>92</v>
      </c>
      <c r="E12203" s="12" t="s">
        <v>35</v>
      </c>
      <c r="F12203" s="14">
        <v>9500</v>
      </c>
      <c r="G12203" s="14">
        <v>6770</v>
      </c>
      <c r="H12203" s="13" t="s">
        <v>23032</v>
      </c>
      <c r="I12203" s="40" t="s">
        <v>18</v>
      </c>
      <c r="J12203" s="40" t="str">
        <f>HYPERLINK("https://stock.pstatic.net/stock-research/company/63/20250514_company_248301000.pdf","PDF")</f>
        <v>PDF</v>
      </c>
      <c r="K12203" s="12" t="s">
        <v>23033</v>
      </c>
      <c r="L12203" s="20">
        <v>0.40324963072378139</v>
      </c>
    </row>
    <row r="12204" spans="1:12" x14ac:dyDescent="0.45">
      <c r="A12204" s="12" t="s">
        <v>22898</v>
      </c>
      <c r="B12204" s="12" t="s">
        <v>1883</v>
      </c>
      <c r="C12204" s="13" t="s">
        <v>1884</v>
      </c>
      <c r="D12204" s="13" t="s">
        <v>92</v>
      </c>
      <c r="E12204" s="12" t="s">
        <v>35</v>
      </c>
      <c r="F12204" s="14">
        <v>31000</v>
      </c>
      <c r="G12204" s="14">
        <v>20350</v>
      </c>
      <c r="H12204" s="13" t="s">
        <v>23034</v>
      </c>
      <c r="I12204" s="40" t="s">
        <v>18</v>
      </c>
      <c r="J12204" s="40" t="str">
        <f>HYPERLINK("https://stock.pstatic.net/stock-research/company/63/20250514_company_174610000.pdf","PDF")</f>
        <v>PDF</v>
      </c>
      <c r="K12204" s="12" t="s">
        <v>23035</v>
      </c>
      <c r="L12204" s="20">
        <v>0.5233415233415234</v>
      </c>
    </row>
    <row r="12205" spans="1:12" x14ac:dyDescent="0.45">
      <c r="A12205" s="12" t="s">
        <v>22898</v>
      </c>
      <c r="B12205" s="12" t="s">
        <v>7544</v>
      </c>
      <c r="C12205" s="13" t="s">
        <v>7545</v>
      </c>
      <c r="D12205" s="13" t="s">
        <v>53</v>
      </c>
      <c r="E12205" s="12" t="s">
        <v>16</v>
      </c>
      <c r="F12205" s="14">
        <v>50000</v>
      </c>
      <c r="G12205" s="14">
        <v>37100</v>
      </c>
      <c r="H12205" s="13" t="s">
        <v>23036</v>
      </c>
      <c r="I12205" s="40" t="s">
        <v>18</v>
      </c>
      <c r="J12205" s="40" t="str">
        <f>HYPERLINK("https://stock.pstatic.net/stock-research/company/40/20250514_company_637160000.pdf","PDF")</f>
        <v>PDF</v>
      </c>
      <c r="K12205" s="12" t="s">
        <v>23037</v>
      </c>
      <c r="L12205" s="20">
        <v>0.34770889487870621</v>
      </c>
    </row>
    <row r="12206" spans="1:12" x14ac:dyDescent="0.45">
      <c r="A12206" s="12" t="s">
        <v>22898</v>
      </c>
      <c r="B12206" s="12" t="s">
        <v>1930</v>
      </c>
      <c r="C12206" s="13" t="s">
        <v>1931</v>
      </c>
      <c r="D12206" s="13" t="s">
        <v>53</v>
      </c>
      <c r="E12206" s="12" t="s">
        <v>16</v>
      </c>
      <c r="F12206" s="14">
        <v>310000</v>
      </c>
      <c r="G12206" s="14">
        <v>238500</v>
      </c>
      <c r="H12206" s="13" t="s">
        <v>23038</v>
      </c>
      <c r="I12206" s="40" t="s">
        <v>18</v>
      </c>
      <c r="J12206" s="40" t="str">
        <f>HYPERLINK("https://stock.pstatic.net/stock-research/company/40/20250514_company_560099000.pdf","PDF")</f>
        <v>PDF</v>
      </c>
      <c r="K12206" s="12" t="s">
        <v>23039</v>
      </c>
      <c r="L12206" s="20">
        <v>0.29979035639412999</v>
      </c>
    </row>
    <row r="12207" spans="1:12" x14ac:dyDescent="0.45">
      <c r="A12207" s="12" t="s">
        <v>22898</v>
      </c>
      <c r="B12207" s="12" t="s">
        <v>1140</v>
      </c>
      <c r="C12207" s="13" t="s">
        <v>1141</v>
      </c>
      <c r="D12207" s="13" t="s">
        <v>53</v>
      </c>
      <c r="E12207" s="12" t="s">
        <v>16</v>
      </c>
      <c r="F12207" s="14">
        <v>32000</v>
      </c>
      <c r="G12207" s="14">
        <v>25750</v>
      </c>
      <c r="H12207" s="13" t="s">
        <v>23040</v>
      </c>
      <c r="I12207" s="40" t="s">
        <v>18</v>
      </c>
      <c r="J12207" s="40" t="str">
        <f>HYPERLINK("https://stock.pstatic.net/stock-research/company/40/20250514_company_638426000.pdf","PDF")</f>
        <v>PDF</v>
      </c>
      <c r="K12207" s="12" t="s">
        <v>23041</v>
      </c>
      <c r="L12207" s="20">
        <v>0.24271844660194181</v>
      </c>
    </row>
    <row r="12208" spans="1:12" x14ac:dyDescent="0.45">
      <c r="A12208" s="12" t="s">
        <v>22898</v>
      </c>
      <c r="B12208" s="12" t="s">
        <v>118</v>
      </c>
      <c r="C12208" s="13" t="s">
        <v>119</v>
      </c>
      <c r="D12208" s="13" t="s">
        <v>53</v>
      </c>
      <c r="E12208" s="12" t="s">
        <v>16</v>
      </c>
      <c r="F12208" s="14">
        <v>104000</v>
      </c>
      <c r="G12208" s="14">
        <v>84800</v>
      </c>
      <c r="H12208" s="13" t="s">
        <v>23042</v>
      </c>
      <c r="I12208" s="40" t="s">
        <v>18</v>
      </c>
      <c r="J12208" s="40" t="str">
        <f>HYPERLINK("https://stock.pstatic.net/stock-research/company/40/20250514_company_191991000.pdf","PDF")</f>
        <v>PDF</v>
      </c>
      <c r="K12208" s="12" t="s">
        <v>23043</v>
      </c>
      <c r="L12208" s="20">
        <v>0.22641509433962259</v>
      </c>
    </row>
    <row r="12209" spans="1:12" x14ac:dyDescent="0.45">
      <c r="A12209" s="12" t="s">
        <v>22898</v>
      </c>
      <c r="B12209" s="12" t="s">
        <v>1656</v>
      </c>
      <c r="C12209" s="13" t="s">
        <v>1657</v>
      </c>
      <c r="D12209" s="13" t="s">
        <v>53</v>
      </c>
      <c r="E12209" s="12" t="s">
        <v>16</v>
      </c>
      <c r="F12209" s="14">
        <v>180000</v>
      </c>
      <c r="G12209" s="14">
        <v>164000</v>
      </c>
      <c r="H12209" s="13" t="s">
        <v>23044</v>
      </c>
      <c r="I12209" s="40" t="s">
        <v>18</v>
      </c>
      <c r="J12209" s="40" t="str">
        <f>HYPERLINK("https://stock.pstatic.net/stock-research/company/40/20250514_company_218694000.pdf","PDF")</f>
        <v>PDF</v>
      </c>
      <c r="K12209" s="12" t="s">
        <v>23045</v>
      </c>
      <c r="L12209" s="20">
        <v>9.7560975609756101E-2</v>
      </c>
    </row>
    <row r="12210" spans="1:12" x14ac:dyDescent="0.45">
      <c r="A12210" s="12" t="s">
        <v>22898</v>
      </c>
      <c r="B12210" s="12" t="s">
        <v>1773</v>
      </c>
      <c r="C12210" s="13" t="s">
        <v>1774</v>
      </c>
      <c r="D12210" s="13" t="s">
        <v>15</v>
      </c>
      <c r="E12210" s="12" t="s">
        <v>16</v>
      </c>
      <c r="F12210" s="14">
        <v>120000</v>
      </c>
      <c r="G12210" s="14">
        <v>82900</v>
      </c>
      <c r="H12210" s="13" t="s">
        <v>23046</v>
      </c>
      <c r="I12210" s="40" t="s">
        <v>18</v>
      </c>
      <c r="J12210" s="40" t="str">
        <f>HYPERLINK("https://stock.pstatic.net/stock-research/company/29/20250514_company_182947000.pdf","PDF")</f>
        <v>PDF</v>
      </c>
      <c r="K12210" s="12" t="s">
        <v>23047</v>
      </c>
      <c r="L12210" s="20">
        <v>0.44752714113389619</v>
      </c>
    </row>
    <row r="12211" spans="1:12" x14ac:dyDescent="0.45">
      <c r="A12211" s="12" t="s">
        <v>22898</v>
      </c>
      <c r="B12211" s="12" t="s">
        <v>375</v>
      </c>
      <c r="C12211" s="13" t="s">
        <v>376</v>
      </c>
      <c r="D12211" s="13" t="s">
        <v>15</v>
      </c>
      <c r="E12211" s="12" t="s">
        <v>16</v>
      </c>
      <c r="F12211" s="14">
        <v>30000</v>
      </c>
      <c r="G12211" s="14">
        <v>24200</v>
      </c>
      <c r="H12211" s="13" t="s">
        <v>23048</v>
      </c>
      <c r="I12211" s="40" t="s">
        <v>18</v>
      </c>
      <c r="J12211" s="40" t="str">
        <f>HYPERLINK("https://stock.pstatic.net/stock-research/company/29/20250514_company_367294000.pdf","PDF")</f>
        <v>PDF</v>
      </c>
      <c r="K12211" s="12" t="s">
        <v>23049</v>
      </c>
      <c r="L12211" s="20">
        <v>0.23966942148760331</v>
      </c>
    </row>
    <row r="12212" spans="1:12" x14ac:dyDescent="0.45">
      <c r="A12212" s="12" t="s">
        <v>23050</v>
      </c>
      <c r="B12212" s="12" t="s">
        <v>1350</v>
      </c>
      <c r="C12212" s="13" t="s">
        <v>1351</v>
      </c>
      <c r="D12212" s="13" t="s">
        <v>276</v>
      </c>
      <c r="E12212" s="12" t="s">
        <v>16</v>
      </c>
      <c r="F12212" s="14">
        <v>55000</v>
      </c>
      <c r="G12212" s="14">
        <v>43600</v>
      </c>
      <c r="H12212" s="13" t="s">
        <v>23051</v>
      </c>
      <c r="I12212" s="40" t="s">
        <v>18</v>
      </c>
      <c r="J12212" s="40" t="str">
        <f>HYPERLINK("https://stock.pstatic.net/stock-research/company/66/20250513_company_534719000.pdf","PDF")</f>
        <v>PDF</v>
      </c>
      <c r="K12212" s="12" t="s">
        <v>23052</v>
      </c>
      <c r="L12212" s="20">
        <v>0.26146788990825692</v>
      </c>
    </row>
    <row r="12213" spans="1:12" x14ac:dyDescent="0.45">
      <c r="A12213" s="12" t="s">
        <v>23050</v>
      </c>
      <c r="B12213" s="12" t="s">
        <v>12635</v>
      </c>
      <c r="C12213" s="13" t="s">
        <v>12636</v>
      </c>
      <c r="D12213" s="13" t="s">
        <v>60</v>
      </c>
      <c r="E12213" s="12" t="s">
        <v>35</v>
      </c>
      <c r="F12213" s="14">
        <v>190000</v>
      </c>
      <c r="G12213" s="14">
        <v>160400</v>
      </c>
      <c r="H12213" s="13" t="s">
        <v>23053</v>
      </c>
      <c r="I12213" s="40" t="s">
        <v>18</v>
      </c>
      <c r="J12213" s="40" t="str">
        <f>HYPERLINK("https://stock.pstatic.net/stock-research/company/62/20250513_company_529841000.pdf","PDF")</f>
        <v>PDF</v>
      </c>
      <c r="K12213" s="12" t="s">
        <v>23054</v>
      </c>
      <c r="L12213" s="20">
        <v>0.18453865336658351</v>
      </c>
    </row>
    <row r="12214" spans="1:12" x14ac:dyDescent="0.45">
      <c r="A12214" s="12" t="s">
        <v>23050</v>
      </c>
      <c r="B12214" s="12" t="s">
        <v>2105</v>
      </c>
      <c r="C12214" s="13" t="s">
        <v>2106</v>
      </c>
      <c r="D12214" s="13" t="s">
        <v>60</v>
      </c>
      <c r="E12214" s="12" t="s">
        <v>35</v>
      </c>
      <c r="F12214" s="14">
        <v>80000</v>
      </c>
      <c r="G12214" s="14">
        <v>54600</v>
      </c>
      <c r="H12214" s="13" t="s">
        <v>23055</v>
      </c>
      <c r="I12214" s="40" t="s">
        <v>18</v>
      </c>
      <c r="J12214" s="40" t="str">
        <f>HYPERLINK("https://stock.pstatic.net/stock-research/company/57/20250513_company_397350000.pdf","PDF")</f>
        <v>PDF</v>
      </c>
      <c r="K12214" s="12" t="s">
        <v>23056</v>
      </c>
      <c r="L12214" s="20">
        <v>0.46520146520146521</v>
      </c>
    </row>
    <row r="12215" spans="1:12" x14ac:dyDescent="0.45">
      <c r="A12215" s="12" t="s">
        <v>23050</v>
      </c>
      <c r="B12215" s="12" t="s">
        <v>764</v>
      </c>
      <c r="C12215" s="13" t="s">
        <v>765</v>
      </c>
      <c r="D12215" s="13" t="s">
        <v>60</v>
      </c>
      <c r="E12215" s="12" t="s">
        <v>50</v>
      </c>
      <c r="F12215" s="13"/>
      <c r="G12215" s="14">
        <v>40600</v>
      </c>
      <c r="H12215" s="13" t="s">
        <v>23057</v>
      </c>
      <c r="I12215" s="40" t="s">
        <v>18</v>
      </c>
      <c r="J12215" s="40" t="str">
        <f>HYPERLINK("https://stock.pstatic.net/stock-research/company/62/20250513_company_756687000.pdf","PDF")</f>
        <v>PDF</v>
      </c>
      <c r="K12215" s="12" t="s">
        <v>23058</v>
      </c>
    </row>
    <row r="12216" spans="1:12" x14ac:dyDescent="0.45">
      <c r="A12216" s="12" t="s">
        <v>23050</v>
      </c>
      <c r="B12216" s="12" t="s">
        <v>7544</v>
      </c>
      <c r="C12216" s="13" t="s">
        <v>7545</v>
      </c>
      <c r="D12216" s="13" t="s">
        <v>60</v>
      </c>
      <c r="E12216" s="12" t="s">
        <v>35</v>
      </c>
      <c r="F12216" s="14">
        <v>46000</v>
      </c>
      <c r="G12216" s="14">
        <v>37850</v>
      </c>
      <c r="H12216" s="13" t="s">
        <v>23059</v>
      </c>
      <c r="I12216" s="40" t="s">
        <v>18</v>
      </c>
      <c r="J12216" s="40" t="str">
        <f>HYPERLINK("https://stock.pstatic.net/stock-research/company/62/20250513_company_498253000.pdf","PDF")</f>
        <v>PDF</v>
      </c>
      <c r="K12216" s="12" t="s">
        <v>23060</v>
      </c>
      <c r="L12216" s="20">
        <v>0.21532364597093789</v>
      </c>
    </row>
    <row r="12217" spans="1:12" x14ac:dyDescent="0.45">
      <c r="A12217" s="12" t="s">
        <v>23050</v>
      </c>
      <c r="B12217" s="12" t="s">
        <v>23061</v>
      </c>
      <c r="C12217" s="13" t="s">
        <v>23062</v>
      </c>
      <c r="D12217" s="13" t="s">
        <v>65</v>
      </c>
      <c r="E12217" s="12" t="s">
        <v>50</v>
      </c>
      <c r="F12217" s="13"/>
      <c r="G12217" s="14">
        <v>15710</v>
      </c>
      <c r="H12217" s="13" t="s">
        <v>23063</v>
      </c>
      <c r="I12217" s="40" t="s">
        <v>18</v>
      </c>
      <c r="J12217" s="40" t="str">
        <f>HYPERLINK("https://stock.pstatic.net/stock-research/company/57/20250513_company_27275000.pdf","PDF")</f>
        <v>PDF</v>
      </c>
      <c r="K12217" s="12" t="s">
        <v>23064</v>
      </c>
    </row>
    <row r="12218" spans="1:12" x14ac:dyDescent="0.45">
      <c r="A12218" s="12" t="s">
        <v>23050</v>
      </c>
      <c r="B12218" s="12" t="s">
        <v>541</v>
      </c>
      <c r="C12218" s="13" t="s">
        <v>542</v>
      </c>
      <c r="D12218" s="13" t="s">
        <v>65</v>
      </c>
      <c r="E12218" s="12" t="s">
        <v>35</v>
      </c>
      <c r="F12218" s="14">
        <v>70000</v>
      </c>
      <c r="G12218" s="14">
        <v>52200</v>
      </c>
      <c r="H12218" s="13" t="s">
        <v>23065</v>
      </c>
      <c r="I12218" s="40" t="s">
        <v>18</v>
      </c>
      <c r="J12218" s="40" t="str">
        <f>HYPERLINK("https://stock.pstatic.net/stock-research/company/57/20250513_company_106411000.pdf","PDF")</f>
        <v>PDF</v>
      </c>
      <c r="K12218" s="12" t="s">
        <v>23066</v>
      </c>
      <c r="L12218" s="20">
        <v>0.34099616858237553</v>
      </c>
    </row>
    <row r="12219" spans="1:12" x14ac:dyDescent="0.45">
      <c r="A12219" s="12" t="s">
        <v>23050</v>
      </c>
      <c r="B12219" s="12" t="s">
        <v>541</v>
      </c>
      <c r="C12219" s="13" t="s">
        <v>542</v>
      </c>
      <c r="D12219" s="13" t="s">
        <v>65</v>
      </c>
      <c r="E12219" s="12" t="s">
        <v>35</v>
      </c>
      <c r="F12219" s="14">
        <v>70000</v>
      </c>
      <c r="G12219" s="14">
        <v>52200</v>
      </c>
      <c r="H12219" s="13" t="s">
        <v>23067</v>
      </c>
      <c r="I12219" s="40" t="s">
        <v>18</v>
      </c>
      <c r="J12219" s="40" t="str">
        <f>HYPERLINK("https://stock.pstatic.net/stock-research/company/57/20250513_company_700297000.pdf","PDF")</f>
        <v>PDF</v>
      </c>
      <c r="K12219" s="12" t="s">
        <v>23068</v>
      </c>
      <c r="L12219" s="20">
        <v>0.34099616858237553</v>
      </c>
    </row>
    <row r="12220" spans="1:12" x14ac:dyDescent="0.45">
      <c r="A12220" s="12" t="s">
        <v>23050</v>
      </c>
      <c r="B12220" s="12" t="s">
        <v>118</v>
      </c>
      <c r="C12220" s="13" t="s">
        <v>119</v>
      </c>
      <c r="D12220" s="13" t="s">
        <v>65</v>
      </c>
      <c r="E12220" s="12" t="s">
        <v>35</v>
      </c>
      <c r="F12220" s="14">
        <v>100000</v>
      </c>
      <c r="G12220" s="14">
        <v>86600</v>
      </c>
      <c r="H12220" s="13" t="s">
        <v>23069</v>
      </c>
      <c r="I12220" s="40" t="s">
        <v>18</v>
      </c>
      <c r="J12220" s="40" t="str">
        <f>HYPERLINK("https://stock.pstatic.net/stock-research/company/57/20250513_company_678623000.pdf","PDF")</f>
        <v>PDF</v>
      </c>
      <c r="K12220" s="12" t="s">
        <v>23070</v>
      </c>
      <c r="L12220" s="20">
        <v>0.15473441108545041</v>
      </c>
    </row>
    <row r="12221" spans="1:12" x14ac:dyDescent="0.45">
      <c r="A12221" s="12" t="s">
        <v>23050</v>
      </c>
      <c r="B12221" s="12" t="s">
        <v>2191</v>
      </c>
      <c r="C12221" s="13" t="s">
        <v>2192</v>
      </c>
      <c r="D12221" s="13" t="s">
        <v>65</v>
      </c>
      <c r="E12221" s="12" t="s">
        <v>35</v>
      </c>
      <c r="F12221" s="14">
        <v>65000</v>
      </c>
      <c r="G12221" s="14">
        <v>43950</v>
      </c>
      <c r="H12221" s="13" t="s">
        <v>23071</v>
      </c>
      <c r="I12221" s="40" t="s">
        <v>18</v>
      </c>
      <c r="J12221" s="40" t="str">
        <f>HYPERLINK("https://stock.pstatic.net/stock-research/company/57/20250513_company_275146000.pdf","PDF")</f>
        <v>PDF</v>
      </c>
      <c r="K12221" s="12" t="s">
        <v>23072</v>
      </c>
      <c r="L12221" s="20">
        <v>0.47895335608646189</v>
      </c>
    </row>
    <row r="12222" spans="1:12" x14ac:dyDescent="0.45">
      <c r="A12222" s="12" t="s">
        <v>23050</v>
      </c>
      <c r="B12222" s="12" t="s">
        <v>764</v>
      </c>
      <c r="C12222" s="13" t="s">
        <v>765</v>
      </c>
      <c r="D12222" s="13" t="s">
        <v>65</v>
      </c>
      <c r="E12222" s="12" t="s">
        <v>35</v>
      </c>
      <c r="F12222" s="14">
        <v>50000</v>
      </c>
      <c r="G12222" s="14">
        <v>40600</v>
      </c>
      <c r="H12222" s="13" t="s">
        <v>23073</v>
      </c>
      <c r="I12222" s="40" t="s">
        <v>18</v>
      </c>
      <c r="J12222" s="40" t="str">
        <f>HYPERLINK("https://stock.pstatic.net/stock-research/company/57/20250513_company_65375000.pdf","PDF")</f>
        <v>PDF</v>
      </c>
      <c r="K12222" s="12" t="s">
        <v>23074</v>
      </c>
      <c r="L12222" s="20">
        <v>0.23152709359605911</v>
      </c>
    </row>
    <row r="12223" spans="1:12" x14ac:dyDescent="0.45">
      <c r="A12223" s="12" t="s">
        <v>23050</v>
      </c>
      <c r="B12223" s="12" t="s">
        <v>15209</v>
      </c>
      <c r="C12223" s="13" t="s">
        <v>15210</v>
      </c>
      <c r="D12223" s="13" t="s">
        <v>57</v>
      </c>
      <c r="E12223" s="12" t="s">
        <v>35</v>
      </c>
      <c r="F12223" s="14">
        <v>13000</v>
      </c>
      <c r="G12223" s="14">
        <v>10630</v>
      </c>
      <c r="H12223" s="13" t="s">
        <v>23075</v>
      </c>
      <c r="I12223" s="40" t="s">
        <v>18</v>
      </c>
      <c r="J12223" s="40" t="str">
        <f>HYPERLINK("https://stock.pstatic.net/stock-research/company/1/20250513_company_157024000.pdf","PDF")</f>
        <v>PDF</v>
      </c>
      <c r="K12223" s="12" t="s">
        <v>23076</v>
      </c>
      <c r="L12223" s="20">
        <v>0.22295390404515519</v>
      </c>
    </row>
    <row r="12224" spans="1:12" x14ac:dyDescent="0.45">
      <c r="A12224" s="12" t="s">
        <v>23050</v>
      </c>
      <c r="B12224" s="12" t="s">
        <v>2191</v>
      </c>
      <c r="C12224" s="13" t="s">
        <v>2192</v>
      </c>
      <c r="D12224" s="13" t="s">
        <v>57</v>
      </c>
      <c r="E12224" s="12" t="s">
        <v>35</v>
      </c>
      <c r="F12224" s="14">
        <v>80000</v>
      </c>
      <c r="G12224" s="14">
        <v>43950</v>
      </c>
      <c r="H12224" s="13" t="s">
        <v>23077</v>
      </c>
      <c r="I12224" s="40" t="s">
        <v>18</v>
      </c>
      <c r="J12224" s="40" t="str">
        <f>HYPERLINK("https://stock.pstatic.net/stock-research/company/16/20250513_company_236393000.pdf","PDF")</f>
        <v>PDF</v>
      </c>
      <c r="K12224" s="12" t="s">
        <v>23078</v>
      </c>
      <c r="L12224" s="20">
        <v>0.82025028441410697</v>
      </c>
    </row>
    <row r="12225" spans="1:12" x14ac:dyDescent="0.45">
      <c r="A12225" s="12" t="s">
        <v>23050</v>
      </c>
      <c r="B12225" s="12" t="s">
        <v>957</v>
      </c>
      <c r="C12225" s="13" t="s">
        <v>958</v>
      </c>
      <c r="D12225" s="13" t="s">
        <v>57</v>
      </c>
      <c r="E12225" s="12" t="s">
        <v>35</v>
      </c>
      <c r="F12225" s="14">
        <v>290000</v>
      </c>
      <c r="G12225" s="14">
        <v>225000</v>
      </c>
      <c r="H12225" s="13" t="s">
        <v>23079</v>
      </c>
      <c r="I12225" s="40" t="s">
        <v>18</v>
      </c>
      <c r="J12225" s="40" t="str">
        <f>HYPERLINK("https://stock.pstatic.net/stock-research/company/16/20250513_company_908167000.pdf","PDF")</f>
        <v>PDF</v>
      </c>
      <c r="K12225" s="12" t="s">
        <v>23080</v>
      </c>
      <c r="L12225" s="20">
        <v>0.28888888888888892</v>
      </c>
    </row>
    <row r="12226" spans="1:12" x14ac:dyDescent="0.45">
      <c r="A12226" s="12" t="s">
        <v>23050</v>
      </c>
      <c r="B12226" s="12" t="s">
        <v>118</v>
      </c>
      <c r="C12226" s="13" t="s">
        <v>119</v>
      </c>
      <c r="D12226" s="13" t="s">
        <v>57</v>
      </c>
      <c r="E12226" s="12" t="s">
        <v>35</v>
      </c>
      <c r="F12226" s="14">
        <v>120000</v>
      </c>
      <c r="G12226" s="14">
        <v>86600</v>
      </c>
      <c r="H12226" s="13" t="s">
        <v>23081</v>
      </c>
      <c r="I12226" s="40" t="s">
        <v>18</v>
      </c>
      <c r="J12226" s="40" t="str">
        <f>HYPERLINK("https://stock.pstatic.net/stock-research/company/1/20250513_company_240065000.pdf","PDF")</f>
        <v>PDF</v>
      </c>
      <c r="K12226" s="12" t="s">
        <v>23082</v>
      </c>
      <c r="L12226" s="20">
        <v>0.38568129330254042</v>
      </c>
    </row>
    <row r="12227" spans="1:12" x14ac:dyDescent="0.45">
      <c r="A12227" s="12" t="s">
        <v>23050</v>
      </c>
      <c r="B12227" s="12" t="s">
        <v>1032</v>
      </c>
      <c r="C12227" s="13" t="s">
        <v>1033</v>
      </c>
      <c r="D12227" s="13" t="s">
        <v>158</v>
      </c>
      <c r="E12227" s="12" t="s">
        <v>50</v>
      </c>
      <c r="F12227" s="13"/>
      <c r="G12227" s="14">
        <v>12990</v>
      </c>
      <c r="H12227" s="13" t="s">
        <v>23083</v>
      </c>
      <c r="I12227" s="40" t="s">
        <v>18</v>
      </c>
      <c r="J12227" s="40" t="str">
        <f>HYPERLINK("https://stock.pstatic.net/stock-research/company/18/20250513_company_760093000.pdf","PDF")</f>
        <v>PDF</v>
      </c>
      <c r="K12227" s="12" t="s">
        <v>23084</v>
      </c>
    </row>
    <row r="12228" spans="1:12" x14ac:dyDescent="0.45">
      <c r="A12228" s="12" t="s">
        <v>23050</v>
      </c>
      <c r="B12228" s="12" t="s">
        <v>2853</v>
      </c>
      <c r="C12228" s="13" t="s">
        <v>2854</v>
      </c>
      <c r="D12228" s="13" t="s">
        <v>158</v>
      </c>
      <c r="E12228" s="12" t="s">
        <v>35</v>
      </c>
      <c r="F12228" s="14">
        <v>25000</v>
      </c>
      <c r="G12228" s="14">
        <v>16070</v>
      </c>
      <c r="H12228" s="13" t="s">
        <v>23085</v>
      </c>
      <c r="I12228" s="40" t="s">
        <v>18</v>
      </c>
      <c r="J12228" s="40" t="str">
        <f>HYPERLINK("https://stock.pstatic.net/stock-research/company/18/20250513_company_732954000.pdf","PDF")</f>
        <v>PDF</v>
      </c>
      <c r="K12228" s="12" t="s">
        <v>23086</v>
      </c>
      <c r="L12228" s="20">
        <v>0.55569383945239581</v>
      </c>
    </row>
    <row r="12229" spans="1:12" x14ac:dyDescent="0.45">
      <c r="A12229" s="12" t="s">
        <v>23050</v>
      </c>
      <c r="B12229" s="12" t="s">
        <v>2662</v>
      </c>
      <c r="C12229" s="13" t="s">
        <v>2663</v>
      </c>
      <c r="D12229" s="13" t="s">
        <v>15</v>
      </c>
      <c r="E12229" s="12" t="s">
        <v>16</v>
      </c>
      <c r="F12229" s="14">
        <v>38500</v>
      </c>
      <c r="G12229" s="14">
        <v>29500</v>
      </c>
      <c r="H12229" s="13" t="s">
        <v>23087</v>
      </c>
      <c r="I12229" s="40" t="s">
        <v>18</v>
      </c>
      <c r="J12229" s="40" t="str">
        <f>HYPERLINK("https://stock.pstatic.net/stock-research/company/29/20250513_company_179255000.pdf","PDF")</f>
        <v>PDF</v>
      </c>
      <c r="K12229" s="12" t="s">
        <v>23088</v>
      </c>
      <c r="L12229" s="20">
        <v>0.30508474576271188</v>
      </c>
    </row>
    <row r="12230" spans="1:12" x14ac:dyDescent="0.45">
      <c r="A12230" s="12" t="s">
        <v>23050</v>
      </c>
      <c r="B12230" s="12" t="s">
        <v>23089</v>
      </c>
      <c r="C12230" s="13" t="s">
        <v>23090</v>
      </c>
      <c r="D12230" s="13" t="s">
        <v>83</v>
      </c>
      <c r="E12230" s="12" t="s">
        <v>35</v>
      </c>
      <c r="F12230" s="14">
        <v>50000</v>
      </c>
      <c r="G12230" s="14">
        <v>33450</v>
      </c>
      <c r="H12230" s="13" t="s">
        <v>23091</v>
      </c>
      <c r="I12230" s="40" t="s">
        <v>18</v>
      </c>
      <c r="J12230" s="40" t="str">
        <f>HYPERLINK("https://stock.pstatic.net/stock-research/company/2/20250513_company_366526000.pdf","PDF")</f>
        <v>PDF</v>
      </c>
      <c r="K12230" s="12" t="s">
        <v>23092</v>
      </c>
      <c r="L12230" s="20">
        <v>0.49476831091180867</v>
      </c>
    </row>
    <row r="12231" spans="1:12" x14ac:dyDescent="0.45">
      <c r="A12231" s="12" t="s">
        <v>23050</v>
      </c>
      <c r="B12231" s="12" t="s">
        <v>2105</v>
      </c>
      <c r="C12231" s="13" t="s">
        <v>2106</v>
      </c>
      <c r="D12231" s="13" t="s">
        <v>83</v>
      </c>
      <c r="E12231" s="12" t="s">
        <v>35</v>
      </c>
      <c r="F12231" s="14">
        <v>73000</v>
      </c>
      <c r="G12231" s="14">
        <v>54600</v>
      </c>
      <c r="H12231" s="13" t="s">
        <v>23093</v>
      </c>
      <c r="I12231" s="40" t="s">
        <v>18</v>
      </c>
      <c r="J12231" s="40" t="str">
        <f>HYPERLINK("https://stock.pstatic.net/stock-research/company/2/20250513_company_492643000.pdf","PDF")</f>
        <v>PDF</v>
      </c>
      <c r="K12231" s="12" t="s">
        <v>23094</v>
      </c>
      <c r="L12231" s="20">
        <v>0.33699633699633702</v>
      </c>
    </row>
    <row r="12232" spans="1:12" x14ac:dyDescent="0.45">
      <c r="A12232" s="12" t="s">
        <v>23050</v>
      </c>
      <c r="B12232" s="12" t="s">
        <v>541</v>
      </c>
      <c r="C12232" s="13" t="s">
        <v>542</v>
      </c>
      <c r="D12232" s="13" t="s">
        <v>83</v>
      </c>
      <c r="E12232" s="12" t="s">
        <v>35</v>
      </c>
      <c r="F12232" s="14">
        <v>67000</v>
      </c>
      <c r="G12232" s="14">
        <v>52200</v>
      </c>
      <c r="H12232" s="13" t="s">
        <v>23095</v>
      </c>
      <c r="I12232" s="40" t="s">
        <v>18</v>
      </c>
      <c r="J12232" s="40" t="str">
        <f>HYPERLINK("https://stock.pstatic.net/stock-research/company/2/20250513_company_848031000.pdf","PDF")</f>
        <v>PDF</v>
      </c>
      <c r="K12232" s="12" t="s">
        <v>23096</v>
      </c>
      <c r="L12232" s="20">
        <v>0.28352490421455939</v>
      </c>
    </row>
    <row r="12233" spans="1:12" x14ac:dyDescent="0.45">
      <c r="A12233" s="12" t="s">
        <v>23050</v>
      </c>
      <c r="B12233" s="12" t="s">
        <v>1694</v>
      </c>
      <c r="C12233" s="13" t="s">
        <v>1695</v>
      </c>
      <c r="D12233" s="13" t="s">
        <v>83</v>
      </c>
      <c r="E12233" s="12" t="s">
        <v>35</v>
      </c>
      <c r="F12233" s="14">
        <v>74000</v>
      </c>
      <c r="G12233" s="14">
        <v>64400</v>
      </c>
      <c r="H12233" s="13" t="s">
        <v>23097</v>
      </c>
      <c r="I12233" s="40" t="s">
        <v>18</v>
      </c>
      <c r="J12233" s="40" t="str">
        <f>HYPERLINK("https://stock.pstatic.net/stock-research/company/2/20250513_company_922024000.pdf","PDF")</f>
        <v>PDF</v>
      </c>
      <c r="K12233" s="12" t="s">
        <v>23098</v>
      </c>
      <c r="L12233" s="20">
        <v>0.14906832298136649</v>
      </c>
    </row>
    <row r="12234" spans="1:12" x14ac:dyDescent="0.45">
      <c r="A12234" s="12" t="s">
        <v>23050</v>
      </c>
      <c r="B12234" s="12" t="s">
        <v>4253</v>
      </c>
      <c r="C12234" s="13" t="s">
        <v>4254</v>
      </c>
      <c r="D12234" s="13" t="s">
        <v>83</v>
      </c>
      <c r="E12234" s="12" t="s">
        <v>35</v>
      </c>
      <c r="F12234" s="14">
        <v>150000</v>
      </c>
      <c r="G12234" s="14">
        <v>93000</v>
      </c>
      <c r="H12234" s="13" t="s">
        <v>23099</v>
      </c>
      <c r="I12234" s="40" t="s">
        <v>18</v>
      </c>
      <c r="J12234" s="40" t="str">
        <f>HYPERLINK("https://stock.pstatic.net/stock-research/company/2/20250513_company_957795000.pdf","PDF")</f>
        <v>PDF</v>
      </c>
      <c r="K12234" s="12" t="s">
        <v>23100</v>
      </c>
      <c r="L12234" s="20">
        <v>0.61290322580645162</v>
      </c>
    </row>
    <row r="12235" spans="1:12" x14ac:dyDescent="0.45">
      <c r="A12235" s="12" t="s">
        <v>23050</v>
      </c>
      <c r="B12235" s="12" t="s">
        <v>118</v>
      </c>
      <c r="C12235" s="13" t="s">
        <v>119</v>
      </c>
      <c r="D12235" s="13" t="s">
        <v>83</v>
      </c>
      <c r="E12235" s="12" t="s">
        <v>35</v>
      </c>
      <c r="F12235" s="14">
        <v>105000</v>
      </c>
      <c r="G12235" s="14">
        <v>86600</v>
      </c>
      <c r="H12235" s="13" t="s">
        <v>23101</v>
      </c>
      <c r="I12235" s="40" t="s">
        <v>18</v>
      </c>
      <c r="J12235" s="40" t="str">
        <f>HYPERLINK("https://stock.pstatic.net/stock-research/company/2/20250513_company_308420000.pdf","PDF")</f>
        <v>PDF</v>
      </c>
      <c r="K12235" s="12" t="s">
        <v>23102</v>
      </c>
      <c r="L12235" s="20">
        <v>0.21247113163972289</v>
      </c>
    </row>
    <row r="12236" spans="1:12" x14ac:dyDescent="0.45">
      <c r="A12236" s="12" t="s">
        <v>23050</v>
      </c>
      <c r="B12236" s="12" t="s">
        <v>2191</v>
      </c>
      <c r="C12236" s="13" t="s">
        <v>2192</v>
      </c>
      <c r="D12236" s="13" t="s">
        <v>15</v>
      </c>
      <c r="E12236" s="12" t="s">
        <v>16</v>
      </c>
      <c r="F12236" s="14">
        <v>70000</v>
      </c>
      <c r="G12236" s="14">
        <v>43950</v>
      </c>
      <c r="H12236" s="13" t="s">
        <v>23103</v>
      </c>
      <c r="I12236" s="40" t="s">
        <v>18</v>
      </c>
      <c r="J12236" s="40" t="str">
        <f>HYPERLINK("https://stock.pstatic.net/stock-research/company/29/20250513_company_821965000.pdf","PDF")</f>
        <v>PDF</v>
      </c>
      <c r="K12236" s="12" t="s">
        <v>23104</v>
      </c>
      <c r="L12236" s="20">
        <v>0.59271899886234358</v>
      </c>
    </row>
    <row r="12237" spans="1:12" x14ac:dyDescent="0.45">
      <c r="A12237" s="12" t="s">
        <v>23050</v>
      </c>
      <c r="B12237" s="12" t="s">
        <v>541</v>
      </c>
      <c r="C12237" s="13" t="s">
        <v>542</v>
      </c>
      <c r="D12237" s="13" t="s">
        <v>15</v>
      </c>
      <c r="E12237" s="12" t="s">
        <v>16</v>
      </c>
      <c r="F12237" s="14">
        <v>75000</v>
      </c>
      <c r="G12237" s="14">
        <v>52200</v>
      </c>
      <c r="H12237" s="13" t="s">
        <v>23105</v>
      </c>
      <c r="I12237" s="40" t="s">
        <v>18</v>
      </c>
      <c r="J12237" s="40" t="str">
        <f>HYPERLINK("https://stock.pstatic.net/stock-research/company/29/20250513_company_332908000.pdf","PDF")</f>
        <v>PDF</v>
      </c>
      <c r="K12237" s="12" t="s">
        <v>23106</v>
      </c>
      <c r="L12237" s="20">
        <v>0.43678160919540232</v>
      </c>
    </row>
    <row r="12238" spans="1:12" x14ac:dyDescent="0.45">
      <c r="A12238" s="12" t="s">
        <v>23050</v>
      </c>
      <c r="B12238" s="12" t="s">
        <v>1789</v>
      </c>
      <c r="C12238" s="13" t="s">
        <v>1790</v>
      </c>
      <c r="D12238" s="13" t="s">
        <v>179</v>
      </c>
      <c r="E12238" s="12" t="s">
        <v>16</v>
      </c>
      <c r="F12238" s="14">
        <v>29000</v>
      </c>
      <c r="G12238" s="14">
        <v>22200</v>
      </c>
      <c r="H12238" s="13" t="s">
        <v>23107</v>
      </c>
      <c r="I12238" s="40" t="s">
        <v>18</v>
      </c>
      <c r="J12238" s="40" t="str">
        <f>HYPERLINK("https://stock.pstatic.net/stock-research/company/31/20250513_company_505216000.pdf","PDF")</f>
        <v>PDF</v>
      </c>
      <c r="K12238" s="12" t="s">
        <v>23108</v>
      </c>
      <c r="L12238" s="20">
        <v>0.30630630630630629</v>
      </c>
    </row>
    <row r="12239" spans="1:12" x14ac:dyDescent="0.45">
      <c r="A12239" s="12" t="s">
        <v>23050</v>
      </c>
      <c r="B12239" s="12" t="s">
        <v>3138</v>
      </c>
      <c r="C12239" s="13" t="s">
        <v>3139</v>
      </c>
      <c r="D12239" s="13" t="s">
        <v>179</v>
      </c>
      <c r="E12239" s="12" t="s">
        <v>16</v>
      </c>
      <c r="F12239" s="14">
        <v>11000</v>
      </c>
      <c r="G12239" s="14">
        <v>8610</v>
      </c>
      <c r="H12239" s="13" t="s">
        <v>23109</v>
      </c>
      <c r="I12239" s="40" t="s">
        <v>18</v>
      </c>
      <c r="J12239" s="40" t="str">
        <f>HYPERLINK("https://stock.pstatic.net/stock-research/company/31/20250513_company_700272000.pdf","PDF")</f>
        <v>PDF</v>
      </c>
      <c r="K12239" s="12" t="s">
        <v>23110</v>
      </c>
      <c r="L12239" s="20">
        <v>0.2775842044134727</v>
      </c>
    </row>
    <row r="12240" spans="1:12" x14ac:dyDescent="0.45">
      <c r="A12240" s="12" t="s">
        <v>23050</v>
      </c>
      <c r="B12240" s="12" t="s">
        <v>2105</v>
      </c>
      <c r="C12240" s="13" t="s">
        <v>2106</v>
      </c>
      <c r="D12240" s="13" t="s">
        <v>15</v>
      </c>
      <c r="E12240" s="12" t="s">
        <v>16</v>
      </c>
      <c r="F12240" s="14">
        <v>98000</v>
      </c>
      <c r="G12240" s="14">
        <v>54600</v>
      </c>
      <c r="H12240" s="13" t="s">
        <v>23111</v>
      </c>
      <c r="I12240" s="40" t="s">
        <v>18</v>
      </c>
      <c r="J12240" s="40" t="str">
        <f>HYPERLINK("https://stock.pstatic.net/stock-research/company/29/20250513_company_715920000.pdf","PDF")</f>
        <v>PDF</v>
      </c>
      <c r="K12240" s="12" t="s">
        <v>23112</v>
      </c>
      <c r="L12240" s="20">
        <v>0.79487179487179482</v>
      </c>
    </row>
    <row r="12241" spans="1:12" x14ac:dyDescent="0.45">
      <c r="A12241" s="12" t="s">
        <v>23050</v>
      </c>
      <c r="B12241" s="12" t="s">
        <v>1602</v>
      </c>
      <c r="C12241" s="13" t="s">
        <v>1603</v>
      </c>
      <c r="D12241" s="13" t="s">
        <v>179</v>
      </c>
      <c r="E12241" s="12" t="s">
        <v>16</v>
      </c>
      <c r="F12241" s="14">
        <v>29500</v>
      </c>
      <c r="G12241" s="14">
        <v>22300</v>
      </c>
      <c r="H12241" s="13" t="s">
        <v>4788</v>
      </c>
      <c r="I12241" s="40" t="s">
        <v>18</v>
      </c>
      <c r="J12241" s="40" t="str">
        <f>HYPERLINK("https://stock.pstatic.net/stock-research/company/31/20250513_company_785310000.pdf","PDF")</f>
        <v>PDF</v>
      </c>
      <c r="K12241" s="12" t="s">
        <v>23113</v>
      </c>
      <c r="L12241" s="20">
        <v>0.32286995515695072</v>
      </c>
    </row>
    <row r="12242" spans="1:12" x14ac:dyDescent="0.45">
      <c r="A12242" s="12" t="s">
        <v>23050</v>
      </c>
      <c r="B12242" s="12" t="s">
        <v>1562</v>
      </c>
      <c r="C12242" s="13" t="s">
        <v>1563</v>
      </c>
      <c r="D12242" s="13" t="s">
        <v>92</v>
      </c>
      <c r="E12242" s="12" t="s">
        <v>35</v>
      </c>
      <c r="F12242" s="14">
        <v>33000</v>
      </c>
      <c r="G12242" s="14">
        <v>22400</v>
      </c>
      <c r="H12242" s="13" t="s">
        <v>23114</v>
      </c>
      <c r="I12242" s="40" t="s">
        <v>18</v>
      </c>
      <c r="J12242" s="40" t="str">
        <f>HYPERLINK("https://stock.pstatic.net/stock-research/company/63/20250513_company_946580000.pdf","PDF")</f>
        <v>PDF</v>
      </c>
      <c r="K12242" s="12" t="s">
        <v>23115</v>
      </c>
      <c r="L12242" s="20">
        <v>0.4732142857142857</v>
      </c>
    </row>
    <row r="12243" spans="1:12" x14ac:dyDescent="0.45">
      <c r="A12243" s="12" t="s">
        <v>23050</v>
      </c>
      <c r="B12243" s="12" t="s">
        <v>541</v>
      </c>
      <c r="C12243" s="13" t="s">
        <v>542</v>
      </c>
      <c r="D12243" s="13" t="s">
        <v>179</v>
      </c>
      <c r="E12243" s="12" t="s">
        <v>16</v>
      </c>
      <c r="F12243" s="14">
        <v>69000</v>
      </c>
      <c r="G12243" s="14">
        <v>52200</v>
      </c>
      <c r="H12243" s="13" t="s">
        <v>23116</v>
      </c>
      <c r="I12243" s="40" t="s">
        <v>18</v>
      </c>
      <c r="J12243" s="40" t="str">
        <f>HYPERLINK("https://stock.pstatic.net/stock-research/company/31/20250513_company_398217000.pdf","PDF")</f>
        <v>PDF</v>
      </c>
      <c r="K12243" s="12" t="s">
        <v>23117</v>
      </c>
      <c r="L12243" s="20">
        <v>0.32183908045977011</v>
      </c>
    </row>
    <row r="12244" spans="1:12" x14ac:dyDescent="0.45">
      <c r="A12244" s="12" t="s">
        <v>23050</v>
      </c>
      <c r="B12244" s="12" t="s">
        <v>541</v>
      </c>
      <c r="C12244" s="13" t="s">
        <v>542</v>
      </c>
      <c r="D12244" s="13" t="s">
        <v>23</v>
      </c>
      <c r="E12244" s="12" t="s">
        <v>50</v>
      </c>
      <c r="F12244" s="14">
        <v>57000</v>
      </c>
      <c r="G12244" s="14">
        <v>52200</v>
      </c>
      <c r="H12244" s="13" t="s">
        <v>23118</v>
      </c>
      <c r="I12244" s="40" t="s">
        <v>18</v>
      </c>
      <c r="J12244" s="40" t="str">
        <f>HYPERLINK("https://stock.pstatic.net/stock-research/company/21/20250513_company_976907000.pdf","PDF")</f>
        <v>PDF</v>
      </c>
      <c r="K12244" s="12" t="s">
        <v>23119</v>
      </c>
      <c r="L12244" s="20">
        <v>9.1954022988505746E-2</v>
      </c>
    </row>
    <row r="12245" spans="1:12" x14ac:dyDescent="0.45">
      <c r="A12245" s="12" t="s">
        <v>23050</v>
      </c>
      <c r="B12245" s="12" t="s">
        <v>541</v>
      </c>
      <c r="C12245" s="13" t="s">
        <v>542</v>
      </c>
      <c r="D12245" s="13" t="s">
        <v>92</v>
      </c>
      <c r="E12245" s="12" t="s">
        <v>35</v>
      </c>
      <c r="F12245" s="14">
        <v>60000</v>
      </c>
      <c r="G12245" s="14">
        <v>52200</v>
      </c>
      <c r="H12245" s="13" t="s">
        <v>23120</v>
      </c>
      <c r="I12245" s="40" t="s">
        <v>18</v>
      </c>
      <c r="J12245" s="40" t="str">
        <f>HYPERLINK("https://stock.pstatic.net/stock-research/company/63/20250513_company_159280000.pdf","PDF")</f>
        <v>PDF</v>
      </c>
      <c r="K12245" s="12" t="s">
        <v>23121</v>
      </c>
      <c r="L12245" s="20">
        <v>0.14942528735632191</v>
      </c>
    </row>
    <row r="12246" spans="1:12" x14ac:dyDescent="0.45">
      <c r="A12246" s="12" t="s">
        <v>23050</v>
      </c>
      <c r="B12246" s="12" t="s">
        <v>1912</v>
      </c>
      <c r="C12246" s="13" t="s">
        <v>7834</v>
      </c>
      <c r="D12246" s="13" t="s">
        <v>179</v>
      </c>
      <c r="E12246" s="12" t="s">
        <v>50</v>
      </c>
      <c r="F12246" s="13"/>
      <c r="G12246" s="14">
        <v>14500</v>
      </c>
      <c r="H12246" s="13" t="s">
        <v>23122</v>
      </c>
      <c r="I12246" s="40" t="s">
        <v>18</v>
      </c>
      <c r="J12246" s="40" t="str">
        <f>HYPERLINK("https://stock.pstatic.net/stock-research/company/31/20250513_company_649437000.pdf","PDF")</f>
        <v>PDF</v>
      </c>
      <c r="K12246" s="12" t="s">
        <v>23123</v>
      </c>
    </row>
    <row r="12247" spans="1:12" x14ac:dyDescent="0.45">
      <c r="A12247" s="12" t="s">
        <v>23050</v>
      </c>
      <c r="B12247" s="12" t="s">
        <v>118</v>
      </c>
      <c r="C12247" s="13" t="s">
        <v>119</v>
      </c>
      <c r="D12247" s="13" t="s">
        <v>23</v>
      </c>
      <c r="E12247" s="12" t="s">
        <v>16</v>
      </c>
      <c r="F12247" s="14">
        <v>110000</v>
      </c>
      <c r="G12247" s="14">
        <v>86600</v>
      </c>
      <c r="H12247" s="13" t="s">
        <v>23124</v>
      </c>
      <c r="I12247" s="40" t="s">
        <v>18</v>
      </c>
      <c r="J12247" s="40" t="str">
        <f>HYPERLINK("https://stock.pstatic.net/stock-research/company/21/20250513_company_327437000.pdf","PDF")</f>
        <v>PDF</v>
      </c>
      <c r="K12247" s="12" t="s">
        <v>23125</v>
      </c>
      <c r="L12247" s="20">
        <v>0.2702078521939954</v>
      </c>
    </row>
    <row r="12248" spans="1:12" x14ac:dyDescent="0.45">
      <c r="A12248" s="12" t="s">
        <v>23050</v>
      </c>
      <c r="B12248" s="12" t="s">
        <v>1562</v>
      </c>
      <c r="C12248" s="13" t="s">
        <v>1563</v>
      </c>
      <c r="D12248" s="13" t="s">
        <v>23</v>
      </c>
      <c r="E12248" s="12" t="s">
        <v>16</v>
      </c>
      <c r="F12248" s="14">
        <v>35000</v>
      </c>
      <c r="G12248" s="14">
        <v>22400</v>
      </c>
      <c r="H12248" s="13" t="s">
        <v>23126</v>
      </c>
      <c r="I12248" s="40" t="s">
        <v>18</v>
      </c>
      <c r="J12248" s="40" t="str">
        <f>HYPERLINK("https://stock.pstatic.net/stock-research/company/21/20250513_company_963241000.pdf","PDF")</f>
        <v>PDF</v>
      </c>
      <c r="K12248" s="12" t="s">
        <v>23127</v>
      </c>
      <c r="L12248" s="20">
        <v>0.5625</v>
      </c>
    </row>
    <row r="12249" spans="1:12" x14ac:dyDescent="0.45">
      <c r="A12249" s="12" t="s">
        <v>23050</v>
      </c>
      <c r="B12249" s="12" t="s">
        <v>118</v>
      </c>
      <c r="C12249" s="13" t="s">
        <v>119</v>
      </c>
      <c r="D12249" s="13" t="s">
        <v>44</v>
      </c>
      <c r="E12249" s="12" t="s">
        <v>35</v>
      </c>
      <c r="F12249" s="14">
        <v>130000</v>
      </c>
      <c r="G12249" s="14">
        <v>86600</v>
      </c>
      <c r="H12249" s="13" t="s">
        <v>23128</v>
      </c>
      <c r="I12249" s="40" t="s">
        <v>18</v>
      </c>
      <c r="J12249" s="40" t="str">
        <f>HYPERLINK("https://stock.pstatic.net/stock-research/company/39/20250513_company_579223000.pdf","PDF")</f>
        <v>PDF</v>
      </c>
      <c r="K12249" s="12" t="s">
        <v>23129</v>
      </c>
      <c r="L12249" s="20">
        <v>0.50115473441108549</v>
      </c>
    </row>
    <row r="12250" spans="1:12" x14ac:dyDescent="0.45">
      <c r="A12250" s="12" t="s">
        <v>23050</v>
      </c>
      <c r="B12250" s="12" t="s">
        <v>1602</v>
      </c>
      <c r="C12250" s="13" t="s">
        <v>1603</v>
      </c>
      <c r="D12250" s="13" t="s">
        <v>53</v>
      </c>
      <c r="E12250" s="12" t="s">
        <v>50</v>
      </c>
      <c r="F12250" s="14">
        <v>24000</v>
      </c>
      <c r="G12250" s="14">
        <v>22300</v>
      </c>
      <c r="H12250" s="13" t="s">
        <v>23130</v>
      </c>
      <c r="I12250" s="40" t="s">
        <v>18</v>
      </c>
      <c r="J12250" s="40" t="str">
        <f>HYPERLINK("https://stock.pstatic.net/stock-research/company/40/20250513_company_429008000.pdf","PDF")</f>
        <v>PDF</v>
      </c>
      <c r="K12250" s="12" t="s">
        <v>23131</v>
      </c>
      <c r="L12250" s="20">
        <v>7.623318385650224E-2</v>
      </c>
    </row>
    <row r="12251" spans="1:12" x14ac:dyDescent="0.45">
      <c r="A12251" s="12" t="s">
        <v>23050</v>
      </c>
      <c r="B12251" s="12" t="s">
        <v>9883</v>
      </c>
      <c r="C12251" s="13" t="s">
        <v>9884</v>
      </c>
      <c r="D12251" s="13" t="s">
        <v>44</v>
      </c>
      <c r="E12251" s="12" t="s">
        <v>35</v>
      </c>
      <c r="F12251" s="14">
        <v>11000</v>
      </c>
      <c r="G12251" s="14">
        <v>8980</v>
      </c>
      <c r="H12251" s="13" t="s">
        <v>23132</v>
      </c>
      <c r="I12251" s="40" t="s">
        <v>18</v>
      </c>
      <c r="J12251" s="40" t="str">
        <f>HYPERLINK("https://stock.pstatic.net/stock-research/company/39/20250513_company_425062000.pdf","PDF")</f>
        <v>PDF</v>
      </c>
      <c r="K12251" s="12" t="s">
        <v>23133</v>
      </c>
      <c r="L12251" s="20">
        <v>0.22494432071269491</v>
      </c>
    </row>
    <row r="12252" spans="1:12" x14ac:dyDescent="0.45">
      <c r="A12252" s="12" t="s">
        <v>23050</v>
      </c>
      <c r="B12252" s="12" t="s">
        <v>1694</v>
      </c>
      <c r="C12252" s="13" t="s">
        <v>1695</v>
      </c>
      <c r="D12252" s="13" t="s">
        <v>44</v>
      </c>
      <c r="E12252" s="12" t="s">
        <v>35</v>
      </c>
      <c r="F12252" s="14">
        <v>78000</v>
      </c>
      <c r="G12252" s="14">
        <v>64400</v>
      </c>
      <c r="H12252" s="13" t="s">
        <v>23134</v>
      </c>
      <c r="I12252" s="40" t="s">
        <v>18</v>
      </c>
      <c r="J12252" s="40" t="str">
        <f>HYPERLINK("https://stock.pstatic.net/stock-research/company/1/20250513_company_187554000.pdf","PDF")</f>
        <v>PDF</v>
      </c>
      <c r="K12252" s="12" t="s">
        <v>23135</v>
      </c>
      <c r="L12252" s="20">
        <v>0.21118012422360249</v>
      </c>
    </row>
    <row r="12253" spans="1:12" x14ac:dyDescent="0.45">
      <c r="A12253" s="12" t="s">
        <v>23050</v>
      </c>
      <c r="B12253" s="12" t="s">
        <v>2807</v>
      </c>
      <c r="C12253" s="13" t="s">
        <v>2808</v>
      </c>
      <c r="D12253" s="13" t="s">
        <v>124</v>
      </c>
      <c r="E12253" s="12" t="s">
        <v>50</v>
      </c>
      <c r="F12253" s="13"/>
      <c r="G12253" s="13"/>
      <c r="H12253" s="13" t="s">
        <v>23136</v>
      </c>
      <c r="I12253" s="40" t="s">
        <v>18</v>
      </c>
      <c r="J12253" s="40" t="str">
        <f>HYPERLINK("https://stock.pstatic.net/stock-research/company/74/20250513_company_453784000.pdf","PDF")</f>
        <v>PDF</v>
      </c>
      <c r="K12253" s="12" t="s">
        <v>23137</v>
      </c>
    </row>
    <row r="12254" spans="1:12" x14ac:dyDescent="0.45">
      <c r="A12254" s="12" t="s">
        <v>23050</v>
      </c>
      <c r="B12254" s="12" t="s">
        <v>4892</v>
      </c>
      <c r="C12254" s="13" t="s">
        <v>4893</v>
      </c>
      <c r="D12254" s="13" t="s">
        <v>124</v>
      </c>
      <c r="E12254" s="12" t="s">
        <v>50</v>
      </c>
      <c r="F12254" s="13"/>
      <c r="G12254" s="13"/>
      <c r="H12254" s="13" t="s">
        <v>23138</v>
      </c>
      <c r="I12254" s="40" t="s">
        <v>18</v>
      </c>
      <c r="J12254" s="40" t="str">
        <f>HYPERLINK("https://stock.pstatic.net/stock-research/company/1/20250513_company_195184000.pdf","PDF")</f>
        <v>PDF</v>
      </c>
      <c r="K12254" s="12" t="s">
        <v>23139</v>
      </c>
    </row>
    <row r="12255" spans="1:12" x14ac:dyDescent="0.45">
      <c r="A12255" s="12" t="s">
        <v>23050</v>
      </c>
      <c r="B12255" s="12" t="s">
        <v>541</v>
      </c>
      <c r="C12255" s="13" t="s">
        <v>542</v>
      </c>
      <c r="D12255" s="13" t="s">
        <v>53</v>
      </c>
      <c r="E12255" s="12" t="s">
        <v>16</v>
      </c>
      <c r="F12255" s="14">
        <v>70000</v>
      </c>
      <c r="G12255" s="14">
        <v>52200</v>
      </c>
      <c r="H12255" s="13" t="s">
        <v>23140</v>
      </c>
      <c r="I12255" s="40" t="s">
        <v>18</v>
      </c>
      <c r="J12255" s="40" t="str">
        <f>HYPERLINK("https://stock.pstatic.net/stock-research/company/40/20250513_company_659317000.pdf","PDF")</f>
        <v>PDF</v>
      </c>
      <c r="K12255" s="12" t="s">
        <v>23141</v>
      </c>
      <c r="L12255" s="20">
        <v>0.34099616858237553</v>
      </c>
    </row>
    <row r="12256" spans="1:12" x14ac:dyDescent="0.45">
      <c r="A12256" s="12" t="s">
        <v>23142</v>
      </c>
      <c r="B12256" s="12" t="s">
        <v>2187</v>
      </c>
      <c r="C12256" s="13" t="s">
        <v>2188</v>
      </c>
      <c r="D12256" s="13" t="s">
        <v>276</v>
      </c>
      <c r="E12256" s="12" t="s">
        <v>16</v>
      </c>
      <c r="F12256" s="14">
        <v>160000</v>
      </c>
      <c r="G12256" s="14">
        <v>114800</v>
      </c>
      <c r="H12256" s="13" t="s">
        <v>23143</v>
      </c>
      <c r="I12256" s="40" t="s">
        <v>18</v>
      </c>
      <c r="J12256" s="40" t="str">
        <f>HYPERLINK("https://stock.pstatic.net/stock-research/company/1/20250512_company_947482000.pdf","PDF")</f>
        <v>PDF</v>
      </c>
      <c r="K12256" s="12" t="s">
        <v>23144</v>
      </c>
      <c r="L12256" s="20">
        <v>0.39372822299651572</v>
      </c>
    </row>
    <row r="12257" spans="1:12" x14ac:dyDescent="0.45">
      <c r="A12257" s="12" t="s">
        <v>23142</v>
      </c>
      <c r="B12257" s="12" t="s">
        <v>42</v>
      </c>
      <c r="C12257" s="13" t="s">
        <v>43</v>
      </c>
      <c r="D12257" s="13" t="s">
        <v>276</v>
      </c>
      <c r="E12257" s="12" t="s">
        <v>16</v>
      </c>
      <c r="F12257" s="14">
        <v>270000</v>
      </c>
      <c r="G12257" s="14">
        <v>191000</v>
      </c>
      <c r="H12257" s="13" t="s">
        <v>23145</v>
      </c>
      <c r="I12257" s="40" t="s">
        <v>18</v>
      </c>
      <c r="J12257" s="40" t="str">
        <f>HYPERLINK("https://stock.pstatic.net/stock-research/company/66/20250512_company_647818000.pdf","PDF")</f>
        <v>PDF</v>
      </c>
      <c r="K12257" s="12" t="s">
        <v>23146</v>
      </c>
      <c r="L12257" s="20">
        <v>0.41361256544502623</v>
      </c>
    </row>
    <row r="12258" spans="1:12" x14ac:dyDescent="0.45">
      <c r="A12258" s="12" t="s">
        <v>23142</v>
      </c>
      <c r="B12258" s="12" t="s">
        <v>1602</v>
      </c>
      <c r="C12258" s="13" t="s">
        <v>1603</v>
      </c>
      <c r="D12258" s="13" t="s">
        <v>276</v>
      </c>
      <c r="E12258" s="12" t="s">
        <v>16</v>
      </c>
      <c r="F12258" s="14">
        <v>32000</v>
      </c>
      <c r="G12258" s="14">
        <v>22000</v>
      </c>
      <c r="H12258" s="13" t="s">
        <v>23147</v>
      </c>
      <c r="I12258" s="40" t="s">
        <v>18</v>
      </c>
      <c r="J12258" s="40" t="str">
        <f>HYPERLINK("https://stock.pstatic.net/stock-research/company/66/20250512_company_589235000.pdf","PDF")</f>
        <v>PDF</v>
      </c>
      <c r="K12258" s="12" t="s">
        <v>23148</v>
      </c>
      <c r="L12258" s="20">
        <v>0.45454545454545447</v>
      </c>
    </row>
    <row r="12259" spans="1:12" x14ac:dyDescent="0.45">
      <c r="A12259" s="12" t="s">
        <v>23142</v>
      </c>
      <c r="B12259" s="12" t="s">
        <v>732</v>
      </c>
      <c r="C12259" s="13" t="s">
        <v>733</v>
      </c>
      <c r="D12259" s="13" t="s">
        <v>276</v>
      </c>
      <c r="E12259" s="12" t="s">
        <v>16</v>
      </c>
      <c r="F12259" s="14">
        <v>150000</v>
      </c>
      <c r="G12259" s="14">
        <v>90400</v>
      </c>
      <c r="H12259" s="13" t="s">
        <v>23149</v>
      </c>
      <c r="I12259" s="40" t="s">
        <v>18</v>
      </c>
      <c r="J12259" s="40" t="str">
        <f>HYPERLINK("https://stock.pstatic.net/stock-research/company/66/20250512_company_223591000.pdf","PDF")</f>
        <v>PDF</v>
      </c>
      <c r="K12259" s="12" t="s">
        <v>23150</v>
      </c>
      <c r="L12259" s="20">
        <v>0.65929203539823011</v>
      </c>
    </row>
    <row r="12260" spans="1:12" x14ac:dyDescent="0.45">
      <c r="A12260" s="12" t="s">
        <v>23142</v>
      </c>
      <c r="B12260" s="12" t="s">
        <v>724</v>
      </c>
      <c r="C12260" s="13" t="s">
        <v>725</v>
      </c>
      <c r="D12260" s="13" t="s">
        <v>276</v>
      </c>
      <c r="E12260" s="12" t="s">
        <v>16</v>
      </c>
      <c r="F12260" s="14">
        <v>80000</v>
      </c>
      <c r="G12260" s="14">
        <v>64800</v>
      </c>
      <c r="H12260" s="13" t="s">
        <v>23151</v>
      </c>
      <c r="I12260" s="40" t="s">
        <v>18</v>
      </c>
      <c r="J12260" s="40" t="str">
        <f>HYPERLINK("https://stock.pstatic.net/stock-research/company/66/20250512_company_278889000.pdf","PDF")</f>
        <v>PDF</v>
      </c>
      <c r="K12260" s="12" t="s">
        <v>23152</v>
      </c>
      <c r="L12260" s="20">
        <v>0.23456790123456789</v>
      </c>
    </row>
    <row r="12261" spans="1:12" x14ac:dyDescent="0.45">
      <c r="A12261" s="12" t="s">
        <v>23142</v>
      </c>
      <c r="B12261" s="12" t="s">
        <v>691</v>
      </c>
      <c r="C12261" s="13" t="s">
        <v>20</v>
      </c>
      <c r="D12261" s="13" t="s">
        <v>276</v>
      </c>
      <c r="E12261" s="12" t="s">
        <v>16</v>
      </c>
      <c r="F12261" s="14">
        <v>220000</v>
      </c>
      <c r="G12261" s="14">
        <v>158000</v>
      </c>
      <c r="H12261" s="13" t="s">
        <v>23153</v>
      </c>
      <c r="I12261" s="40" t="s">
        <v>18</v>
      </c>
      <c r="J12261" s="40" t="str">
        <f>HYPERLINK("https://stock.pstatic.net/stock-research/company/66/20250512_company_610211000.pdf","PDF")</f>
        <v>PDF</v>
      </c>
      <c r="K12261" s="12" t="s">
        <v>23154</v>
      </c>
      <c r="L12261" s="20">
        <v>0.39240506329113922</v>
      </c>
    </row>
    <row r="12262" spans="1:12" x14ac:dyDescent="0.45">
      <c r="A12262" s="12" t="s">
        <v>23142</v>
      </c>
      <c r="B12262" s="12" t="s">
        <v>2187</v>
      </c>
      <c r="C12262" s="13" t="s">
        <v>2188</v>
      </c>
      <c r="D12262" s="13" t="s">
        <v>60</v>
      </c>
      <c r="E12262" s="12" t="s">
        <v>35</v>
      </c>
      <c r="F12262" s="14">
        <v>175000</v>
      </c>
      <c r="G12262" s="13"/>
      <c r="H12262" s="13" t="s">
        <v>23155</v>
      </c>
      <c r="I12262" s="40" t="s">
        <v>18</v>
      </c>
      <c r="J12262" s="40" t="str">
        <f>HYPERLINK("https://stock.pstatic.net/stock-research/company/62/20250512_company_369009000.pdf","PDF")</f>
        <v>PDF</v>
      </c>
      <c r="K12262" s="12" t="s">
        <v>23156</v>
      </c>
    </row>
    <row r="12263" spans="1:12" x14ac:dyDescent="0.45">
      <c r="A12263" s="12" t="s">
        <v>23142</v>
      </c>
      <c r="B12263" s="12" t="s">
        <v>756</v>
      </c>
      <c r="C12263" s="13" t="s">
        <v>757</v>
      </c>
      <c r="D12263" s="13" t="s">
        <v>60</v>
      </c>
      <c r="E12263" s="12" t="s">
        <v>35</v>
      </c>
      <c r="F12263" s="14">
        <v>110000</v>
      </c>
      <c r="G12263" s="14">
        <v>83600</v>
      </c>
      <c r="H12263" s="13" t="s">
        <v>23157</v>
      </c>
      <c r="I12263" s="40" t="s">
        <v>18</v>
      </c>
      <c r="J12263" s="40" t="str">
        <f>HYPERLINK("https://stock.pstatic.net/stock-research/company/62/20250512_company_818243000.pdf","PDF")</f>
        <v>PDF</v>
      </c>
      <c r="K12263" s="12" t="s">
        <v>23158</v>
      </c>
      <c r="L12263" s="20">
        <v>0.31578947368421051</v>
      </c>
    </row>
    <row r="12264" spans="1:12" x14ac:dyDescent="0.45">
      <c r="A12264" s="12" t="s">
        <v>23142</v>
      </c>
      <c r="B12264" s="12" t="s">
        <v>3194</v>
      </c>
      <c r="C12264" s="13" t="s">
        <v>3195</v>
      </c>
      <c r="D12264" s="13" t="s">
        <v>60</v>
      </c>
      <c r="E12264" s="12" t="s">
        <v>35</v>
      </c>
      <c r="F12264" s="14">
        <v>14500</v>
      </c>
      <c r="G12264" s="14">
        <v>10180</v>
      </c>
      <c r="H12264" s="13" t="s">
        <v>23159</v>
      </c>
      <c r="I12264" s="40" t="s">
        <v>18</v>
      </c>
      <c r="J12264" s="40" t="str">
        <f>HYPERLINK("https://stock.pstatic.net/stock-research/company/62/20250512_company_775897000.pdf","PDF")</f>
        <v>PDF</v>
      </c>
      <c r="K12264" s="12" t="s">
        <v>23160</v>
      </c>
      <c r="L12264" s="20">
        <v>0.42436149312377208</v>
      </c>
    </row>
    <row r="12265" spans="1:12" x14ac:dyDescent="0.45">
      <c r="A12265" s="12" t="s">
        <v>23142</v>
      </c>
      <c r="B12265" s="12" t="s">
        <v>42</v>
      </c>
      <c r="C12265" s="13" t="s">
        <v>43</v>
      </c>
      <c r="D12265" s="13" t="s">
        <v>60</v>
      </c>
      <c r="E12265" s="12" t="s">
        <v>35</v>
      </c>
      <c r="F12265" s="14">
        <v>285000</v>
      </c>
      <c r="G12265" s="14">
        <v>191000</v>
      </c>
      <c r="H12265" s="13" t="s">
        <v>23161</v>
      </c>
      <c r="I12265" s="40" t="s">
        <v>18</v>
      </c>
      <c r="J12265" s="40" t="str">
        <f>HYPERLINK("https://stock.pstatic.net/stock-research/company/57/20250512_company_809843000.pdf","PDF")</f>
        <v>PDF</v>
      </c>
      <c r="K12265" s="12" t="s">
        <v>23162</v>
      </c>
      <c r="L12265" s="20">
        <v>0.49214659685863882</v>
      </c>
    </row>
    <row r="12266" spans="1:12" x14ac:dyDescent="0.45">
      <c r="A12266" s="12" t="s">
        <v>23142</v>
      </c>
      <c r="B12266" s="12" t="s">
        <v>3708</v>
      </c>
      <c r="C12266" s="13" t="s">
        <v>3709</v>
      </c>
      <c r="D12266" s="13" t="s">
        <v>65</v>
      </c>
      <c r="E12266" s="12" t="s">
        <v>50</v>
      </c>
      <c r="F12266" s="13"/>
      <c r="G12266" s="14">
        <v>14500</v>
      </c>
      <c r="H12266" s="13" t="s">
        <v>23163</v>
      </c>
      <c r="I12266" s="40" t="s">
        <v>18</v>
      </c>
      <c r="J12266" s="40" t="str">
        <f>HYPERLINK("https://stock.pstatic.net/stock-research/company/57/20250512_company_5233000.pdf","PDF")</f>
        <v>PDF</v>
      </c>
      <c r="K12266" s="12" t="s">
        <v>23164</v>
      </c>
    </row>
    <row r="12267" spans="1:12" x14ac:dyDescent="0.45">
      <c r="A12267" s="12" t="s">
        <v>23142</v>
      </c>
      <c r="B12267" s="12" t="s">
        <v>8911</v>
      </c>
      <c r="C12267" s="13" t="s">
        <v>8912</v>
      </c>
      <c r="D12267" s="13" t="s">
        <v>65</v>
      </c>
      <c r="E12267" s="12" t="s">
        <v>35</v>
      </c>
      <c r="F12267" s="14">
        <v>45000</v>
      </c>
      <c r="G12267" s="14">
        <v>32000</v>
      </c>
      <c r="H12267" s="13" t="s">
        <v>23165</v>
      </c>
      <c r="I12267" s="40" t="s">
        <v>18</v>
      </c>
      <c r="J12267" s="40" t="str">
        <f>HYPERLINK("https://stock.pstatic.net/stock-research/company/57/20250512_company_329924000.pdf","PDF")</f>
        <v>PDF</v>
      </c>
      <c r="K12267" s="12" t="s">
        <v>23166</v>
      </c>
      <c r="L12267" s="20">
        <v>0.40625</v>
      </c>
    </row>
    <row r="12268" spans="1:12" x14ac:dyDescent="0.45">
      <c r="A12268" s="12" t="s">
        <v>23142</v>
      </c>
      <c r="B12268" s="12" t="s">
        <v>756</v>
      </c>
      <c r="C12268" s="13" t="s">
        <v>757</v>
      </c>
      <c r="D12268" s="13" t="s">
        <v>65</v>
      </c>
      <c r="E12268" s="12" t="s">
        <v>35</v>
      </c>
      <c r="F12268" s="14">
        <v>110000</v>
      </c>
      <c r="G12268" s="14">
        <v>83600</v>
      </c>
      <c r="H12268" s="13" t="s">
        <v>23167</v>
      </c>
      <c r="I12268" s="40" t="s">
        <v>18</v>
      </c>
      <c r="J12268" s="40" t="str">
        <f>HYPERLINK("https://stock.pstatic.net/stock-research/company/57/20250512_company_358700000.pdf","PDF")</f>
        <v>PDF</v>
      </c>
      <c r="K12268" s="12" t="s">
        <v>23168</v>
      </c>
      <c r="L12268" s="20">
        <v>0.31578947368421051</v>
      </c>
    </row>
    <row r="12269" spans="1:12" x14ac:dyDescent="0.45">
      <c r="A12269" s="12" t="s">
        <v>23142</v>
      </c>
      <c r="B12269" s="12" t="s">
        <v>362</v>
      </c>
      <c r="C12269" s="13" t="s">
        <v>363</v>
      </c>
      <c r="D12269" s="13" t="s">
        <v>65</v>
      </c>
      <c r="E12269" s="12" t="s">
        <v>35</v>
      </c>
      <c r="F12269" s="14">
        <v>95000</v>
      </c>
      <c r="G12269" s="14">
        <v>67700</v>
      </c>
      <c r="H12269" s="13" t="s">
        <v>23169</v>
      </c>
      <c r="I12269" s="40" t="s">
        <v>18</v>
      </c>
      <c r="J12269" s="40" t="str">
        <f>HYPERLINK("https://stock.pstatic.net/stock-research/company/57/20250512_company_630118000.pdf","PDF")</f>
        <v>PDF</v>
      </c>
      <c r="K12269" s="12" t="s">
        <v>23170</v>
      </c>
      <c r="L12269" s="20">
        <v>0.40324963072378139</v>
      </c>
    </row>
    <row r="12270" spans="1:12" x14ac:dyDescent="0.45">
      <c r="A12270" s="12" t="s">
        <v>23142</v>
      </c>
      <c r="B12270" s="12" t="s">
        <v>2199</v>
      </c>
      <c r="C12270" s="13" t="s">
        <v>2200</v>
      </c>
      <c r="D12270" s="13" t="s">
        <v>65</v>
      </c>
      <c r="E12270" s="12" t="s">
        <v>35</v>
      </c>
      <c r="F12270" s="14">
        <v>34000</v>
      </c>
      <c r="G12270" s="14">
        <v>30700</v>
      </c>
      <c r="H12270" s="13" t="s">
        <v>23171</v>
      </c>
      <c r="I12270" s="40" t="s">
        <v>18</v>
      </c>
      <c r="J12270" s="40" t="str">
        <f>HYPERLINK("https://stock.pstatic.net/stock-research/company/1/20250512_company_117850000.pdf","PDF")</f>
        <v>PDF</v>
      </c>
      <c r="K12270" s="12" t="s">
        <v>23172</v>
      </c>
      <c r="L12270" s="20">
        <v>0.10749185667752439</v>
      </c>
    </row>
    <row r="12271" spans="1:12" x14ac:dyDescent="0.45">
      <c r="A12271" s="12" t="s">
        <v>23142</v>
      </c>
      <c r="B12271" s="12" t="s">
        <v>42</v>
      </c>
      <c r="C12271" s="13" t="s">
        <v>43</v>
      </c>
      <c r="D12271" s="13" t="s">
        <v>65</v>
      </c>
      <c r="E12271" s="12" t="s">
        <v>35</v>
      </c>
      <c r="F12271" s="14">
        <v>270000</v>
      </c>
      <c r="G12271" s="14">
        <v>191000</v>
      </c>
      <c r="H12271" s="13" t="s">
        <v>23173</v>
      </c>
      <c r="I12271" s="40" t="s">
        <v>18</v>
      </c>
      <c r="J12271" s="40" t="str">
        <f>HYPERLINK("https://stock.pstatic.net/stock-research/company/57/20250512_company_256240000.pdf","PDF")</f>
        <v>PDF</v>
      </c>
      <c r="K12271" s="12" t="s">
        <v>23174</v>
      </c>
      <c r="L12271" s="20">
        <v>0.41361256544502623</v>
      </c>
    </row>
    <row r="12272" spans="1:12" x14ac:dyDescent="0.45">
      <c r="A12272" s="12" t="s">
        <v>23142</v>
      </c>
      <c r="B12272" s="12" t="s">
        <v>957</v>
      </c>
      <c r="C12272" s="13" t="s">
        <v>958</v>
      </c>
      <c r="D12272" s="13" t="s">
        <v>65</v>
      </c>
      <c r="E12272" s="12" t="s">
        <v>35</v>
      </c>
      <c r="F12272" s="14">
        <v>270000</v>
      </c>
      <c r="G12272" s="14">
        <v>232500</v>
      </c>
      <c r="H12272" s="13" t="s">
        <v>23175</v>
      </c>
      <c r="I12272" s="40" t="s">
        <v>18</v>
      </c>
      <c r="J12272" s="40" t="str">
        <f>HYPERLINK("https://stock.pstatic.net/stock-research/company/1/20250512_company_592444000.pdf","PDF")</f>
        <v>PDF</v>
      </c>
      <c r="K12272" s="12" t="s">
        <v>23176</v>
      </c>
      <c r="L12272" s="20">
        <v>0.16129032258064521</v>
      </c>
    </row>
    <row r="12273" spans="1:12" x14ac:dyDescent="0.45">
      <c r="A12273" s="12" t="s">
        <v>23142</v>
      </c>
      <c r="B12273" s="12" t="s">
        <v>1670</v>
      </c>
      <c r="C12273" s="13" t="s">
        <v>1671</v>
      </c>
      <c r="D12273" s="13" t="s">
        <v>65</v>
      </c>
      <c r="E12273" s="12" t="s">
        <v>35</v>
      </c>
      <c r="F12273" s="14">
        <v>150000</v>
      </c>
      <c r="G12273" s="14">
        <v>113800</v>
      </c>
      <c r="H12273" s="13" t="s">
        <v>23177</v>
      </c>
      <c r="I12273" s="40" t="s">
        <v>18</v>
      </c>
      <c r="J12273" s="40" t="str">
        <f>HYPERLINK("https://stock.pstatic.net/stock-research/company/57/20250512_company_659496000.pdf","PDF")</f>
        <v>PDF</v>
      </c>
      <c r="K12273" s="12" t="s">
        <v>23178</v>
      </c>
      <c r="L12273" s="20">
        <v>0.3181019332161687</v>
      </c>
    </row>
    <row r="12274" spans="1:12" x14ac:dyDescent="0.45">
      <c r="A12274" s="12" t="s">
        <v>23142</v>
      </c>
      <c r="B12274" s="12" t="s">
        <v>370</v>
      </c>
      <c r="C12274" s="13" t="s">
        <v>371</v>
      </c>
      <c r="D12274" s="13" t="s">
        <v>65</v>
      </c>
      <c r="E12274" s="12" t="s">
        <v>35</v>
      </c>
      <c r="F12274" s="14">
        <v>88000</v>
      </c>
      <c r="G12274" s="14">
        <v>74400</v>
      </c>
      <c r="H12274" s="13" t="s">
        <v>23179</v>
      </c>
      <c r="I12274" s="40" t="s">
        <v>18</v>
      </c>
      <c r="J12274" s="40" t="str">
        <f>HYPERLINK("https://stock.pstatic.net/stock-research/company/57/20250512_company_186830000.pdf","PDF")</f>
        <v>PDF</v>
      </c>
      <c r="K12274" s="12" t="s">
        <v>23180</v>
      </c>
      <c r="L12274" s="20">
        <v>0.18279569892473119</v>
      </c>
    </row>
    <row r="12275" spans="1:12" x14ac:dyDescent="0.45">
      <c r="A12275" s="12" t="s">
        <v>23142</v>
      </c>
      <c r="B12275" s="12" t="s">
        <v>2187</v>
      </c>
      <c r="C12275" s="13" t="s">
        <v>2188</v>
      </c>
      <c r="D12275" s="13" t="s">
        <v>65</v>
      </c>
      <c r="E12275" s="12" t="s">
        <v>35</v>
      </c>
      <c r="F12275" s="14">
        <v>200000</v>
      </c>
      <c r="G12275" s="14">
        <v>114800</v>
      </c>
      <c r="H12275" s="13" t="s">
        <v>23181</v>
      </c>
      <c r="I12275" s="40" t="s">
        <v>18</v>
      </c>
      <c r="J12275" s="40" t="str">
        <f>HYPERLINK("https://stock.pstatic.net/stock-research/company/57/20250512_company_464990000.pdf","PDF")</f>
        <v>PDF</v>
      </c>
      <c r="K12275" s="12" t="s">
        <v>23182</v>
      </c>
      <c r="L12275" s="20">
        <v>0.74216027874564461</v>
      </c>
    </row>
    <row r="12276" spans="1:12" x14ac:dyDescent="0.45">
      <c r="A12276" s="12" t="s">
        <v>23142</v>
      </c>
      <c r="B12276" s="12" t="s">
        <v>533</v>
      </c>
      <c r="C12276" s="13" t="s">
        <v>534</v>
      </c>
      <c r="D12276" s="13" t="s">
        <v>65</v>
      </c>
      <c r="E12276" s="12" t="s">
        <v>35</v>
      </c>
      <c r="F12276" s="14">
        <v>70000</v>
      </c>
      <c r="G12276" s="14">
        <v>51500</v>
      </c>
      <c r="H12276" s="13" t="s">
        <v>23183</v>
      </c>
      <c r="I12276" s="40" t="s">
        <v>18</v>
      </c>
      <c r="J12276" s="40" t="str">
        <f>HYPERLINK("https://stock.pstatic.net/stock-research/company/57/20250512_company_141431000.pdf","PDF")</f>
        <v>PDF</v>
      </c>
      <c r="K12276" s="12" t="s">
        <v>23184</v>
      </c>
      <c r="L12276" s="20">
        <v>0.35922330097087379</v>
      </c>
    </row>
    <row r="12277" spans="1:12" x14ac:dyDescent="0.45">
      <c r="A12277" s="12" t="s">
        <v>23142</v>
      </c>
      <c r="B12277" s="12" t="s">
        <v>1051</v>
      </c>
      <c r="C12277" s="13" t="s">
        <v>1052</v>
      </c>
      <c r="D12277" s="13" t="s">
        <v>65</v>
      </c>
      <c r="E12277" s="12" t="s">
        <v>35</v>
      </c>
      <c r="F12277" s="14">
        <v>50000</v>
      </c>
      <c r="G12277" s="14">
        <v>39050</v>
      </c>
      <c r="H12277" s="13" t="s">
        <v>23185</v>
      </c>
      <c r="I12277" s="40" t="s">
        <v>18</v>
      </c>
      <c r="J12277" s="40" t="str">
        <f>HYPERLINK("https://stock.pstatic.net/stock-research/company/57/20250512_company_185450000.pdf","PDF")</f>
        <v>PDF</v>
      </c>
      <c r="K12277" s="12" t="s">
        <v>23186</v>
      </c>
      <c r="L12277" s="20">
        <v>0.28040973111395651</v>
      </c>
    </row>
    <row r="12278" spans="1:12" x14ac:dyDescent="0.45">
      <c r="A12278" s="12" t="s">
        <v>23142</v>
      </c>
      <c r="B12278" s="12" t="s">
        <v>27</v>
      </c>
      <c r="C12278" s="13" t="s">
        <v>28</v>
      </c>
      <c r="D12278" s="13" t="s">
        <v>57</v>
      </c>
      <c r="E12278" s="12" t="s">
        <v>35</v>
      </c>
      <c r="F12278" s="14">
        <v>110000</v>
      </c>
      <c r="G12278" s="14">
        <v>72100</v>
      </c>
      <c r="H12278" s="13" t="s">
        <v>23187</v>
      </c>
      <c r="I12278" s="40" t="s">
        <v>18</v>
      </c>
      <c r="J12278" s="40" t="str">
        <f>HYPERLINK("https://stock.pstatic.net/stock-research/company/16/20250512_company_840892000.pdf","PDF")</f>
        <v>PDF</v>
      </c>
      <c r="K12278" s="12" t="s">
        <v>23188</v>
      </c>
      <c r="L12278" s="20">
        <v>0.52565880721220526</v>
      </c>
    </row>
    <row r="12279" spans="1:12" x14ac:dyDescent="0.45">
      <c r="A12279" s="12" t="s">
        <v>23142</v>
      </c>
      <c r="B12279" s="12" t="s">
        <v>1184</v>
      </c>
      <c r="C12279" s="13" t="s">
        <v>1185</v>
      </c>
      <c r="D12279" s="13" t="s">
        <v>57</v>
      </c>
      <c r="E12279" s="12" t="s">
        <v>159</v>
      </c>
      <c r="F12279" s="14">
        <v>15000</v>
      </c>
      <c r="G12279" s="14">
        <v>14050</v>
      </c>
      <c r="H12279" s="13" t="s">
        <v>23189</v>
      </c>
      <c r="I12279" s="40" t="s">
        <v>18</v>
      </c>
      <c r="J12279" s="40" t="str">
        <f>HYPERLINK("https://stock.pstatic.net/stock-research/company/16/20250512_company_312515000.pdf","PDF")</f>
        <v>PDF</v>
      </c>
      <c r="K12279" s="12" t="s">
        <v>23190</v>
      </c>
      <c r="L12279" s="20">
        <v>6.7615658362989328E-2</v>
      </c>
    </row>
    <row r="12280" spans="1:12" x14ac:dyDescent="0.45">
      <c r="A12280" s="12" t="s">
        <v>23142</v>
      </c>
      <c r="B12280" s="12" t="s">
        <v>132</v>
      </c>
      <c r="C12280" s="13" t="s">
        <v>133</v>
      </c>
      <c r="D12280" s="13" t="s">
        <v>57</v>
      </c>
      <c r="E12280" s="12" t="s">
        <v>35</v>
      </c>
      <c r="F12280" s="14">
        <v>87000</v>
      </c>
      <c r="G12280" s="14">
        <v>61300</v>
      </c>
      <c r="H12280" s="13" t="s">
        <v>23191</v>
      </c>
      <c r="I12280" s="40" t="s">
        <v>18</v>
      </c>
      <c r="J12280" s="40" t="str">
        <f>HYPERLINK("https://stock.pstatic.net/stock-research/company/16/20250512_company_455227000.pdf","PDF")</f>
        <v>PDF</v>
      </c>
      <c r="K12280" s="12" t="s">
        <v>23192</v>
      </c>
      <c r="L12280" s="20">
        <v>0.4192495921696574</v>
      </c>
    </row>
    <row r="12281" spans="1:12" x14ac:dyDescent="0.45">
      <c r="A12281" s="12" t="s">
        <v>23142</v>
      </c>
      <c r="B12281" s="12" t="s">
        <v>2231</v>
      </c>
      <c r="C12281" s="13" t="s">
        <v>2232</v>
      </c>
      <c r="D12281" s="13" t="s">
        <v>57</v>
      </c>
      <c r="E12281" s="12" t="s">
        <v>35</v>
      </c>
      <c r="F12281" s="14">
        <v>130000</v>
      </c>
      <c r="G12281" s="14">
        <v>89300</v>
      </c>
      <c r="H12281" s="13" t="s">
        <v>23193</v>
      </c>
      <c r="I12281" s="40" t="s">
        <v>18</v>
      </c>
      <c r="J12281" s="40" t="str">
        <f>HYPERLINK("https://stock.pstatic.net/stock-research/company/16/20250512_company_151266000.pdf","PDF")</f>
        <v>PDF</v>
      </c>
      <c r="K12281" s="12" t="s">
        <v>23194</v>
      </c>
      <c r="L12281" s="20">
        <v>0.45576707726763721</v>
      </c>
    </row>
    <row r="12282" spans="1:12" x14ac:dyDescent="0.45">
      <c r="A12282" s="12" t="s">
        <v>23142</v>
      </c>
      <c r="B12282" s="12" t="s">
        <v>8204</v>
      </c>
      <c r="C12282" s="13" t="s">
        <v>8205</v>
      </c>
      <c r="D12282" s="13" t="s">
        <v>57</v>
      </c>
      <c r="E12282" s="12" t="s">
        <v>35</v>
      </c>
      <c r="F12282" s="14">
        <v>90000</v>
      </c>
      <c r="G12282" s="14">
        <v>60800</v>
      </c>
      <c r="H12282" s="13" t="s">
        <v>23195</v>
      </c>
      <c r="I12282" s="40" t="s">
        <v>18</v>
      </c>
      <c r="J12282" s="40" t="str">
        <f>HYPERLINK("https://stock.pstatic.net/stock-research/company/16/20250512_company_579774000.pdf","PDF")</f>
        <v>PDF</v>
      </c>
      <c r="K12282" s="12" t="s">
        <v>23196</v>
      </c>
      <c r="L12282" s="20">
        <v>0.48026315789473678</v>
      </c>
    </row>
    <row r="12283" spans="1:12" x14ac:dyDescent="0.45">
      <c r="A12283" s="12" t="s">
        <v>23142</v>
      </c>
      <c r="B12283" s="12" t="s">
        <v>2187</v>
      </c>
      <c r="C12283" s="13" t="s">
        <v>2188</v>
      </c>
      <c r="D12283" s="13" t="s">
        <v>57</v>
      </c>
      <c r="E12283" s="12" t="s">
        <v>159</v>
      </c>
      <c r="F12283" s="14">
        <v>130000</v>
      </c>
      <c r="G12283" s="14">
        <v>114800</v>
      </c>
      <c r="H12283" s="13" t="s">
        <v>23197</v>
      </c>
      <c r="I12283" s="40" t="s">
        <v>18</v>
      </c>
      <c r="J12283" s="40" t="str">
        <f>HYPERLINK("https://stock.pstatic.net/stock-research/company/16/20250512_company_241897000.pdf","PDF")</f>
        <v>PDF</v>
      </c>
      <c r="K12283" s="12" t="s">
        <v>23198</v>
      </c>
      <c r="L12283" s="20">
        <v>0.13240418118466901</v>
      </c>
    </row>
    <row r="12284" spans="1:12" x14ac:dyDescent="0.45">
      <c r="A12284" s="12" t="s">
        <v>23142</v>
      </c>
      <c r="B12284" s="12" t="s">
        <v>756</v>
      </c>
      <c r="C12284" s="13" t="s">
        <v>757</v>
      </c>
      <c r="D12284" s="13" t="s">
        <v>57</v>
      </c>
      <c r="E12284" s="12" t="s">
        <v>35</v>
      </c>
      <c r="F12284" s="14">
        <v>110000</v>
      </c>
      <c r="G12284" s="14">
        <v>79600</v>
      </c>
      <c r="H12284" s="13" t="s">
        <v>23199</v>
      </c>
      <c r="I12284" s="40" t="s">
        <v>18</v>
      </c>
      <c r="J12284" s="40" t="str">
        <f>HYPERLINK("https://stock.pstatic.net/stock-research/company/16/20250512_company_634026000.pdf","PDF")</f>
        <v>PDF</v>
      </c>
      <c r="K12284" s="12" t="s">
        <v>23200</v>
      </c>
      <c r="L12284" s="20">
        <v>0.38190954773869351</v>
      </c>
    </row>
    <row r="12285" spans="1:12" x14ac:dyDescent="0.45">
      <c r="A12285" s="12" t="s">
        <v>23142</v>
      </c>
      <c r="B12285" s="12" t="s">
        <v>8911</v>
      </c>
      <c r="C12285" s="13" t="s">
        <v>8912</v>
      </c>
      <c r="D12285" s="13" t="s">
        <v>57</v>
      </c>
      <c r="E12285" s="12" t="s">
        <v>35</v>
      </c>
      <c r="F12285" s="14">
        <v>40000</v>
      </c>
      <c r="G12285" s="14">
        <v>32000</v>
      </c>
      <c r="H12285" s="13" t="s">
        <v>23201</v>
      </c>
      <c r="I12285" s="40" t="s">
        <v>18</v>
      </c>
      <c r="J12285" s="40" t="str">
        <f>HYPERLINK("https://stock.pstatic.net/stock-research/company/16/20250512_company_104411000.pdf","PDF")</f>
        <v>PDF</v>
      </c>
      <c r="K12285" s="12" t="s">
        <v>23202</v>
      </c>
      <c r="L12285" s="20">
        <v>0.25</v>
      </c>
    </row>
    <row r="12286" spans="1:12" x14ac:dyDescent="0.45">
      <c r="A12286" s="12" t="s">
        <v>23142</v>
      </c>
      <c r="B12286" s="12" t="s">
        <v>42</v>
      </c>
      <c r="C12286" s="13" t="s">
        <v>43</v>
      </c>
      <c r="D12286" s="13" t="s">
        <v>57</v>
      </c>
      <c r="E12286" s="12" t="s">
        <v>35</v>
      </c>
      <c r="F12286" s="14">
        <v>300000</v>
      </c>
      <c r="G12286" s="14">
        <v>188700</v>
      </c>
      <c r="H12286" s="13" t="s">
        <v>23203</v>
      </c>
      <c r="I12286" s="40" t="s">
        <v>18</v>
      </c>
      <c r="J12286" s="40" t="str">
        <f>HYPERLINK("https://stock.pstatic.net/stock-research/company/16/20250512_company_377969000.pdf","PDF")</f>
        <v>PDF</v>
      </c>
      <c r="K12286" s="12" t="s">
        <v>23204</v>
      </c>
      <c r="L12286" s="20">
        <v>0.58982511923688397</v>
      </c>
    </row>
    <row r="12287" spans="1:12" x14ac:dyDescent="0.45">
      <c r="A12287" s="12" t="s">
        <v>23142</v>
      </c>
      <c r="B12287" s="12" t="s">
        <v>42</v>
      </c>
      <c r="C12287" s="13" t="s">
        <v>43</v>
      </c>
      <c r="D12287" s="13" t="s">
        <v>158</v>
      </c>
      <c r="E12287" s="12" t="s">
        <v>35</v>
      </c>
      <c r="F12287" s="14">
        <v>290000</v>
      </c>
      <c r="G12287" s="14">
        <v>191000</v>
      </c>
      <c r="H12287" s="13" t="s">
        <v>23205</v>
      </c>
      <c r="I12287" s="40" t="s">
        <v>18</v>
      </c>
      <c r="J12287" s="40" t="str">
        <f>HYPERLINK("https://stock.pstatic.net/stock-research/company/18/20250512_company_394392000.pdf","PDF")</f>
        <v>PDF</v>
      </c>
      <c r="K12287" s="12" t="s">
        <v>23206</v>
      </c>
      <c r="L12287" s="20">
        <v>0.51832460732984298</v>
      </c>
    </row>
    <row r="12288" spans="1:12" x14ac:dyDescent="0.45">
      <c r="A12288" s="12" t="s">
        <v>23142</v>
      </c>
      <c r="B12288" s="12" t="s">
        <v>27</v>
      </c>
      <c r="C12288" s="13" t="s">
        <v>28</v>
      </c>
      <c r="D12288" s="13" t="s">
        <v>158</v>
      </c>
      <c r="E12288" s="12" t="s">
        <v>35</v>
      </c>
      <c r="F12288" s="14">
        <v>88000</v>
      </c>
      <c r="G12288" s="14">
        <v>72100</v>
      </c>
      <c r="H12288" s="13" t="s">
        <v>23207</v>
      </c>
      <c r="I12288" s="40" t="s">
        <v>18</v>
      </c>
      <c r="J12288" s="40" t="str">
        <f>HYPERLINK("https://stock.pstatic.net/stock-research/company/18/20250512_company_61134000.pdf","PDF")</f>
        <v>PDF</v>
      </c>
      <c r="K12288" s="12" t="s">
        <v>23208</v>
      </c>
      <c r="L12288" s="20">
        <v>0.2205270457697642</v>
      </c>
    </row>
    <row r="12289" spans="1:12" x14ac:dyDescent="0.45">
      <c r="A12289" s="12" t="s">
        <v>23142</v>
      </c>
      <c r="B12289" s="12" t="s">
        <v>756</v>
      </c>
      <c r="C12289" s="13" t="s">
        <v>757</v>
      </c>
      <c r="D12289" s="13" t="s">
        <v>158</v>
      </c>
      <c r="E12289" s="12" t="s">
        <v>35</v>
      </c>
      <c r="F12289" s="14">
        <v>107000</v>
      </c>
      <c r="G12289" s="14">
        <v>83600</v>
      </c>
      <c r="H12289" s="13" t="s">
        <v>23209</v>
      </c>
      <c r="I12289" s="40" t="s">
        <v>18</v>
      </c>
      <c r="J12289" s="40" t="str">
        <f>HYPERLINK("https://stock.pstatic.net/stock-research/company/18/20250512_company_479381000.pdf","PDF")</f>
        <v>PDF</v>
      </c>
      <c r="K12289" s="12" t="s">
        <v>23210</v>
      </c>
      <c r="L12289" s="20">
        <v>0.27990430622009571</v>
      </c>
    </row>
    <row r="12290" spans="1:12" x14ac:dyDescent="0.45">
      <c r="A12290" s="12" t="s">
        <v>23142</v>
      </c>
      <c r="B12290" s="12" t="s">
        <v>2187</v>
      </c>
      <c r="C12290" s="13" t="s">
        <v>2188</v>
      </c>
      <c r="D12290" s="13" t="s">
        <v>158</v>
      </c>
      <c r="E12290" s="12" t="s">
        <v>35</v>
      </c>
      <c r="F12290" s="14">
        <v>140000</v>
      </c>
      <c r="G12290" s="14">
        <v>114800</v>
      </c>
      <c r="H12290" s="13" t="s">
        <v>23211</v>
      </c>
      <c r="I12290" s="40" t="s">
        <v>18</v>
      </c>
      <c r="J12290" s="40" t="str">
        <f>HYPERLINK("https://stock.pstatic.net/stock-research/company/1/20250512_company_206040000.pdf","PDF")</f>
        <v>PDF</v>
      </c>
      <c r="K12290" s="12" t="s">
        <v>23212</v>
      </c>
      <c r="L12290" s="20">
        <v>0.21951219512195119</v>
      </c>
    </row>
    <row r="12291" spans="1:12" x14ac:dyDescent="0.45">
      <c r="A12291" s="12" t="s">
        <v>23142</v>
      </c>
      <c r="B12291" s="12" t="s">
        <v>691</v>
      </c>
      <c r="C12291" s="13" t="s">
        <v>20</v>
      </c>
      <c r="D12291" s="13" t="s">
        <v>158</v>
      </c>
      <c r="E12291" s="12" t="s">
        <v>35</v>
      </c>
      <c r="F12291" s="14">
        <v>220000</v>
      </c>
      <c r="G12291" s="14">
        <v>158000</v>
      </c>
      <c r="H12291" s="13" t="s">
        <v>23213</v>
      </c>
      <c r="I12291" s="40" t="s">
        <v>18</v>
      </c>
      <c r="J12291" s="40" t="str">
        <f>HYPERLINK("https://stock.pstatic.net/stock-research/company/1/20250512_company_603641000.pdf","PDF")</f>
        <v>PDF</v>
      </c>
      <c r="K12291" s="12" t="s">
        <v>23214</v>
      </c>
      <c r="L12291" s="20">
        <v>0.39240506329113922</v>
      </c>
    </row>
    <row r="12292" spans="1:12" x14ac:dyDescent="0.45">
      <c r="A12292" s="12" t="s">
        <v>23142</v>
      </c>
      <c r="B12292" s="12" t="s">
        <v>1023</v>
      </c>
      <c r="C12292" s="13" t="s">
        <v>15</v>
      </c>
      <c r="D12292" s="13" t="s">
        <v>83</v>
      </c>
      <c r="E12292" s="12" t="s">
        <v>35</v>
      </c>
      <c r="F12292" s="14">
        <v>15000</v>
      </c>
      <c r="G12292" s="14">
        <v>11880</v>
      </c>
      <c r="H12292" s="13" t="s">
        <v>23215</v>
      </c>
      <c r="I12292" s="40" t="s">
        <v>18</v>
      </c>
      <c r="J12292" s="40" t="str">
        <f>HYPERLINK("https://stock.pstatic.net/stock-research/company/2/20250512_company_989620000.pdf","PDF")</f>
        <v>PDF</v>
      </c>
      <c r="K12292" s="12" t="s">
        <v>23216</v>
      </c>
      <c r="L12292" s="20">
        <v>0.26262626262626271</v>
      </c>
    </row>
    <row r="12293" spans="1:12" x14ac:dyDescent="0.45">
      <c r="A12293" s="12" t="s">
        <v>23142</v>
      </c>
      <c r="B12293" s="12" t="s">
        <v>1849</v>
      </c>
      <c r="C12293" s="13" t="s">
        <v>1850</v>
      </c>
      <c r="D12293" s="13" t="s">
        <v>83</v>
      </c>
      <c r="E12293" s="12" t="s">
        <v>35</v>
      </c>
      <c r="F12293" s="14">
        <v>30500</v>
      </c>
      <c r="G12293" s="14">
        <v>18240</v>
      </c>
      <c r="H12293" s="13" t="s">
        <v>23217</v>
      </c>
      <c r="I12293" s="40" t="s">
        <v>18</v>
      </c>
      <c r="J12293" s="40" t="str">
        <f>HYPERLINK("https://stock.pstatic.net/stock-research/company/2/20250512_company_908061000.pdf","PDF")</f>
        <v>PDF</v>
      </c>
      <c r="K12293" s="12" t="s">
        <v>23218</v>
      </c>
      <c r="L12293" s="20">
        <v>0.67214912280701755</v>
      </c>
    </row>
    <row r="12294" spans="1:12" x14ac:dyDescent="0.45">
      <c r="A12294" s="12" t="s">
        <v>23142</v>
      </c>
      <c r="B12294" s="12" t="s">
        <v>1051</v>
      </c>
      <c r="C12294" s="13" t="s">
        <v>1052</v>
      </c>
      <c r="D12294" s="13" t="s">
        <v>83</v>
      </c>
      <c r="E12294" s="12" t="s">
        <v>35</v>
      </c>
      <c r="F12294" s="14">
        <v>55000</v>
      </c>
      <c r="G12294" s="14">
        <v>39050</v>
      </c>
      <c r="H12294" s="13" t="s">
        <v>23219</v>
      </c>
      <c r="I12294" s="40" t="s">
        <v>18</v>
      </c>
      <c r="J12294" s="40" t="str">
        <f>HYPERLINK("https://stock.pstatic.net/stock-research/company/2/20250512_company_795420000.pdf","PDF")</f>
        <v>PDF</v>
      </c>
      <c r="K12294" s="12" t="s">
        <v>23220</v>
      </c>
      <c r="L12294" s="20">
        <v>0.40845070422535212</v>
      </c>
    </row>
    <row r="12295" spans="1:12" x14ac:dyDescent="0.45">
      <c r="A12295" s="12" t="s">
        <v>23142</v>
      </c>
      <c r="B12295" s="12" t="s">
        <v>2414</v>
      </c>
      <c r="C12295" s="13" t="s">
        <v>2415</v>
      </c>
      <c r="D12295" s="13" t="s">
        <v>83</v>
      </c>
      <c r="E12295" s="12" t="s">
        <v>35</v>
      </c>
      <c r="F12295" s="14">
        <v>540000</v>
      </c>
      <c r="G12295" s="14">
        <v>345000</v>
      </c>
      <c r="H12295" s="13" t="s">
        <v>23221</v>
      </c>
      <c r="I12295" s="40" t="s">
        <v>18</v>
      </c>
      <c r="J12295" s="40" t="str">
        <f>HYPERLINK("https://stock.pstatic.net/stock-research/company/2/20250512_company_160888000.pdf","PDF")</f>
        <v>PDF</v>
      </c>
      <c r="K12295" s="12" t="s">
        <v>23222</v>
      </c>
      <c r="L12295" s="20">
        <v>0.56521739130434778</v>
      </c>
    </row>
    <row r="12296" spans="1:12" x14ac:dyDescent="0.45">
      <c r="A12296" s="12" t="s">
        <v>23142</v>
      </c>
      <c r="B12296" s="12" t="s">
        <v>533</v>
      </c>
      <c r="C12296" s="13" t="s">
        <v>534</v>
      </c>
      <c r="D12296" s="13" t="s">
        <v>83</v>
      </c>
      <c r="E12296" s="12" t="s">
        <v>35</v>
      </c>
      <c r="F12296" s="14">
        <v>67000</v>
      </c>
      <c r="G12296" s="14">
        <v>51500</v>
      </c>
      <c r="H12296" s="13" t="s">
        <v>23223</v>
      </c>
      <c r="I12296" s="40" t="s">
        <v>18</v>
      </c>
      <c r="J12296" s="40" t="str">
        <f>HYPERLINK("https://stock.pstatic.net/stock-research/company/1/20250512_company_498887000.pdf","PDF")</f>
        <v>PDF</v>
      </c>
      <c r="K12296" s="12" t="s">
        <v>23224</v>
      </c>
      <c r="L12296" s="20">
        <v>0.30097087378640769</v>
      </c>
    </row>
    <row r="12297" spans="1:12" x14ac:dyDescent="0.45">
      <c r="A12297" s="12" t="s">
        <v>23142</v>
      </c>
      <c r="B12297" s="12" t="s">
        <v>1678</v>
      </c>
      <c r="C12297" s="13" t="s">
        <v>1679</v>
      </c>
      <c r="D12297" s="13" t="s">
        <v>83</v>
      </c>
      <c r="E12297" s="12" t="s">
        <v>35</v>
      </c>
      <c r="F12297" s="14">
        <v>96000</v>
      </c>
      <c r="G12297" s="14">
        <v>55600</v>
      </c>
      <c r="H12297" s="13" t="s">
        <v>23225</v>
      </c>
      <c r="I12297" s="40" t="s">
        <v>18</v>
      </c>
      <c r="J12297" s="40" t="str">
        <f>HYPERLINK("https://stock.pstatic.net/stock-research/company/2/20250512_company_478222000.pdf","PDF")</f>
        <v>PDF</v>
      </c>
      <c r="K12297" s="12" t="s">
        <v>23226</v>
      </c>
      <c r="L12297" s="20">
        <v>0.72661870503597126</v>
      </c>
    </row>
    <row r="12298" spans="1:12" x14ac:dyDescent="0.45">
      <c r="A12298" s="12" t="s">
        <v>23142</v>
      </c>
      <c r="B12298" s="12" t="s">
        <v>2286</v>
      </c>
      <c r="C12298" s="13" t="s">
        <v>2287</v>
      </c>
      <c r="D12298" s="13" t="s">
        <v>83</v>
      </c>
      <c r="E12298" s="12" t="s">
        <v>35</v>
      </c>
      <c r="F12298" s="14">
        <v>8000</v>
      </c>
      <c r="G12298" s="14">
        <v>4920</v>
      </c>
      <c r="H12298" s="13" t="s">
        <v>23227</v>
      </c>
      <c r="I12298" s="40" t="s">
        <v>18</v>
      </c>
      <c r="J12298" s="40" t="str">
        <f>HYPERLINK("https://stock.pstatic.net/stock-research/company/2/20250512_company_412553000.pdf","PDF")</f>
        <v>PDF</v>
      </c>
      <c r="K12298" s="12" t="s">
        <v>23228</v>
      </c>
      <c r="L12298" s="20">
        <v>0.62601626016260159</v>
      </c>
    </row>
    <row r="12299" spans="1:12" x14ac:dyDescent="0.45">
      <c r="A12299" s="12" t="s">
        <v>23142</v>
      </c>
      <c r="B12299" s="12" t="s">
        <v>42</v>
      </c>
      <c r="C12299" s="13" t="s">
        <v>43</v>
      </c>
      <c r="D12299" s="13" t="s">
        <v>83</v>
      </c>
      <c r="E12299" s="12" t="s">
        <v>35</v>
      </c>
      <c r="F12299" s="14">
        <v>280000</v>
      </c>
      <c r="G12299" s="14">
        <v>191000</v>
      </c>
      <c r="H12299" s="13" t="s">
        <v>23229</v>
      </c>
      <c r="I12299" s="40" t="s">
        <v>18</v>
      </c>
      <c r="J12299" s="40" t="str">
        <f>HYPERLINK("https://stock.pstatic.net/stock-research/company/1/20250512_company_322468000.pdf","PDF")</f>
        <v>PDF</v>
      </c>
      <c r="K12299" s="12" t="s">
        <v>23230</v>
      </c>
      <c r="L12299" s="20">
        <v>0.46596858638743449</v>
      </c>
    </row>
    <row r="12300" spans="1:12" x14ac:dyDescent="0.45">
      <c r="A12300" s="12" t="s">
        <v>23142</v>
      </c>
      <c r="B12300" s="12" t="s">
        <v>756</v>
      </c>
      <c r="C12300" s="13" t="s">
        <v>757</v>
      </c>
      <c r="D12300" s="13" t="s">
        <v>83</v>
      </c>
      <c r="E12300" s="12" t="s">
        <v>35</v>
      </c>
      <c r="F12300" s="14">
        <v>100000</v>
      </c>
      <c r="G12300" s="14">
        <v>83600</v>
      </c>
      <c r="H12300" s="13" t="s">
        <v>23231</v>
      </c>
      <c r="I12300" s="40" t="s">
        <v>18</v>
      </c>
      <c r="J12300" s="40" t="str">
        <f>HYPERLINK("https://stock.pstatic.net/stock-research/company/2/20250512_company_292242000.pdf","PDF")</f>
        <v>PDF</v>
      </c>
      <c r="K12300" s="12" t="s">
        <v>23232</v>
      </c>
      <c r="L12300" s="20">
        <v>0.19617224880382769</v>
      </c>
    </row>
    <row r="12301" spans="1:12" x14ac:dyDescent="0.45">
      <c r="A12301" s="12" t="s">
        <v>23142</v>
      </c>
      <c r="B12301" s="12" t="s">
        <v>8911</v>
      </c>
      <c r="C12301" s="13" t="s">
        <v>8912</v>
      </c>
      <c r="D12301" s="13" t="s">
        <v>83</v>
      </c>
      <c r="E12301" s="12" t="s">
        <v>35</v>
      </c>
      <c r="F12301" s="14">
        <v>40000</v>
      </c>
      <c r="G12301" s="14">
        <v>32000</v>
      </c>
      <c r="H12301" s="13" t="s">
        <v>23233</v>
      </c>
      <c r="I12301" s="40" t="s">
        <v>18</v>
      </c>
      <c r="J12301" s="40" t="str">
        <f>HYPERLINK("https://stock.pstatic.net/stock-research/company/1/20250512_company_598001000.pdf","PDF")</f>
        <v>PDF</v>
      </c>
      <c r="K12301" s="12" t="s">
        <v>23234</v>
      </c>
      <c r="L12301" s="20">
        <v>0.25</v>
      </c>
    </row>
    <row r="12302" spans="1:12" x14ac:dyDescent="0.45">
      <c r="A12302" s="12" t="s">
        <v>23142</v>
      </c>
      <c r="B12302" s="12" t="s">
        <v>370</v>
      </c>
      <c r="C12302" s="13" t="s">
        <v>371</v>
      </c>
      <c r="D12302" s="13" t="s">
        <v>83</v>
      </c>
      <c r="E12302" s="12" t="s">
        <v>35</v>
      </c>
      <c r="F12302" s="14">
        <v>92000</v>
      </c>
      <c r="G12302" s="14">
        <v>74400</v>
      </c>
      <c r="H12302" s="13" t="s">
        <v>23235</v>
      </c>
      <c r="I12302" s="40" t="s">
        <v>18</v>
      </c>
      <c r="J12302" s="40" t="str">
        <f>HYPERLINK("https://stock.pstatic.net/stock-research/company/2/20250512_company_191241000.pdf","PDF")</f>
        <v>PDF</v>
      </c>
      <c r="K12302" s="12" t="s">
        <v>23236</v>
      </c>
      <c r="L12302" s="20">
        <v>0.23655913978494619</v>
      </c>
    </row>
    <row r="12303" spans="1:12" x14ac:dyDescent="0.45">
      <c r="A12303" s="12" t="s">
        <v>23142</v>
      </c>
      <c r="B12303" s="12" t="s">
        <v>27</v>
      </c>
      <c r="C12303" s="13" t="s">
        <v>28</v>
      </c>
      <c r="D12303" s="13" t="s">
        <v>83</v>
      </c>
      <c r="E12303" s="12" t="s">
        <v>35</v>
      </c>
      <c r="F12303" s="14">
        <v>90000</v>
      </c>
      <c r="G12303" s="14">
        <v>72100</v>
      </c>
      <c r="H12303" s="13" t="s">
        <v>23237</v>
      </c>
      <c r="I12303" s="40" t="s">
        <v>18</v>
      </c>
      <c r="J12303" s="40" t="str">
        <f>HYPERLINK("https://stock.pstatic.net/stock-research/company/2/20250512_company_590893000.pdf","PDF")</f>
        <v>PDF</v>
      </c>
      <c r="K12303" s="12" t="s">
        <v>23238</v>
      </c>
      <c r="L12303" s="20">
        <v>0.2482662968099861</v>
      </c>
    </row>
    <row r="12304" spans="1:12" x14ac:dyDescent="0.45">
      <c r="A12304" s="12" t="s">
        <v>23142</v>
      </c>
      <c r="B12304" s="12" t="s">
        <v>1184</v>
      </c>
      <c r="C12304" s="13" t="s">
        <v>1185</v>
      </c>
      <c r="D12304" s="13" t="s">
        <v>83</v>
      </c>
      <c r="E12304" s="12" t="s">
        <v>35</v>
      </c>
      <c r="F12304" s="14">
        <v>20000</v>
      </c>
      <c r="G12304" s="14">
        <v>14050</v>
      </c>
      <c r="H12304" s="13" t="s">
        <v>23239</v>
      </c>
      <c r="I12304" s="40" t="s">
        <v>18</v>
      </c>
      <c r="J12304" s="40" t="str">
        <f>HYPERLINK("https://stock.pstatic.net/stock-research/company/2/20250512_company_239994000.pdf","PDF")</f>
        <v>PDF</v>
      </c>
      <c r="K12304" s="12" t="s">
        <v>23240</v>
      </c>
      <c r="L12304" s="20">
        <v>0.42348754448398579</v>
      </c>
    </row>
    <row r="12305" spans="1:12" x14ac:dyDescent="0.45">
      <c r="A12305" s="12" t="s">
        <v>23142</v>
      </c>
      <c r="B12305" s="12" t="s">
        <v>132</v>
      </c>
      <c r="C12305" s="13" t="s">
        <v>133</v>
      </c>
      <c r="D12305" s="13" t="s">
        <v>83</v>
      </c>
      <c r="E12305" s="12" t="s">
        <v>35</v>
      </c>
      <c r="F12305" s="14">
        <v>82000</v>
      </c>
      <c r="G12305" s="14">
        <v>61300</v>
      </c>
      <c r="H12305" s="13" t="s">
        <v>23241</v>
      </c>
      <c r="I12305" s="40" t="s">
        <v>18</v>
      </c>
      <c r="J12305" s="40" t="str">
        <f>HYPERLINK("https://stock.pstatic.net/stock-research/company/2/20250512_company_663060000.pdf","PDF")</f>
        <v>PDF</v>
      </c>
      <c r="K12305" s="12" t="s">
        <v>23242</v>
      </c>
      <c r="L12305" s="20">
        <v>0.33768352365415988</v>
      </c>
    </row>
    <row r="12306" spans="1:12" x14ac:dyDescent="0.45">
      <c r="A12306" s="12" t="s">
        <v>23142</v>
      </c>
      <c r="B12306" s="12" t="s">
        <v>1184</v>
      </c>
      <c r="C12306" s="13" t="s">
        <v>1185</v>
      </c>
      <c r="D12306" s="13" t="s">
        <v>15</v>
      </c>
      <c r="E12306" s="12" t="s">
        <v>385</v>
      </c>
      <c r="F12306" s="14">
        <v>15000</v>
      </c>
      <c r="G12306" s="14">
        <v>14050</v>
      </c>
      <c r="H12306" s="13" t="s">
        <v>23243</v>
      </c>
      <c r="I12306" s="40" t="s">
        <v>18</v>
      </c>
      <c r="J12306" s="40" t="str">
        <f>HYPERLINK("https://stock.pstatic.net/stock-research/company/29/20250512_company_182300000.pdf","PDF")</f>
        <v>PDF</v>
      </c>
      <c r="K12306" s="12" t="s">
        <v>23244</v>
      </c>
      <c r="L12306" s="20">
        <v>6.7615658362989328E-2</v>
      </c>
    </row>
    <row r="12307" spans="1:12" x14ac:dyDescent="0.45">
      <c r="A12307" s="12" t="s">
        <v>23142</v>
      </c>
      <c r="B12307" s="12" t="s">
        <v>756</v>
      </c>
      <c r="C12307" s="13" t="s">
        <v>757</v>
      </c>
      <c r="D12307" s="13" t="s">
        <v>15</v>
      </c>
      <c r="E12307" s="12" t="s">
        <v>16</v>
      </c>
      <c r="F12307" s="14">
        <v>110000</v>
      </c>
      <c r="G12307" s="14">
        <v>83600</v>
      </c>
      <c r="H12307" s="13" t="s">
        <v>23245</v>
      </c>
      <c r="I12307" s="40" t="s">
        <v>18</v>
      </c>
      <c r="J12307" s="40" t="str">
        <f>HYPERLINK("https://stock.pstatic.net/stock-research/company/56/20250512_company_457816000.pdf","PDF")</f>
        <v>PDF</v>
      </c>
      <c r="K12307" s="12" t="s">
        <v>23246</v>
      </c>
      <c r="L12307" s="20">
        <v>0.31578947368421051</v>
      </c>
    </row>
    <row r="12308" spans="1:12" x14ac:dyDescent="0.45">
      <c r="A12308" s="12" t="s">
        <v>23142</v>
      </c>
      <c r="B12308" s="12" t="s">
        <v>756</v>
      </c>
      <c r="C12308" s="13" t="s">
        <v>757</v>
      </c>
      <c r="D12308" s="13" t="s">
        <v>92</v>
      </c>
      <c r="E12308" s="12" t="s">
        <v>35</v>
      </c>
      <c r="F12308" s="14">
        <v>115000</v>
      </c>
      <c r="G12308" s="14">
        <v>83600</v>
      </c>
      <c r="H12308" s="13" t="s">
        <v>23247</v>
      </c>
      <c r="I12308" s="40" t="s">
        <v>18</v>
      </c>
      <c r="J12308" s="40" t="str">
        <f>HYPERLINK("https://stock.pstatic.net/stock-research/company/63/20250512_company_477878000.pdf","PDF")</f>
        <v>PDF</v>
      </c>
      <c r="K12308" s="12" t="s">
        <v>23248</v>
      </c>
      <c r="L12308" s="20">
        <v>0.37559808612440188</v>
      </c>
    </row>
    <row r="12309" spans="1:12" x14ac:dyDescent="0.45">
      <c r="A12309" s="12" t="s">
        <v>23142</v>
      </c>
      <c r="B12309" s="12" t="s">
        <v>1652</v>
      </c>
      <c r="C12309" s="13" t="s">
        <v>1653</v>
      </c>
      <c r="D12309" s="13" t="s">
        <v>92</v>
      </c>
      <c r="E12309" s="12" t="s">
        <v>35</v>
      </c>
      <c r="F12309" s="14">
        <v>70000</v>
      </c>
      <c r="G12309" s="14">
        <v>42750</v>
      </c>
      <c r="H12309" s="13" t="s">
        <v>23249</v>
      </c>
      <c r="I12309" s="40" t="s">
        <v>18</v>
      </c>
      <c r="J12309" s="40" t="str">
        <f>HYPERLINK("https://stock.pstatic.net/stock-research/company/1/20250512_company_375450000.pdf","PDF")</f>
        <v>PDF</v>
      </c>
      <c r="K12309" s="12" t="s">
        <v>23250</v>
      </c>
      <c r="L12309" s="20">
        <v>0.63742690058479534</v>
      </c>
    </row>
    <row r="12310" spans="1:12" x14ac:dyDescent="0.45">
      <c r="A12310" s="12" t="s">
        <v>23142</v>
      </c>
      <c r="B12310" s="12" t="s">
        <v>533</v>
      </c>
      <c r="C12310" s="13" t="s">
        <v>534</v>
      </c>
      <c r="D12310" s="13" t="s">
        <v>15</v>
      </c>
      <c r="E12310" s="12" t="s">
        <v>16</v>
      </c>
      <c r="F12310" s="14">
        <v>65000</v>
      </c>
      <c r="G12310" s="14">
        <v>51500</v>
      </c>
      <c r="H12310" s="13" t="s">
        <v>23251</v>
      </c>
      <c r="I12310" s="40" t="s">
        <v>18</v>
      </c>
      <c r="J12310" s="40" t="str">
        <f>HYPERLINK("https://stock.pstatic.net/stock-research/company/29/20250512_company_91923000.pdf","PDF")</f>
        <v>PDF</v>
      </c>
      <c r="K12310" s="12" t="s">
        <v>23252</v>
      </c>
      <c r="L12310" s="20">
        <v>0.26213592233009708</v>
      </c>
    </row>
    <row r="12311" spans="1:12" x14ac:dyDescent="0.45">
      <c r="A12311" s="12" t="s">
        <v>23142</v>
      </c>
      <c r="B12311" s="12" t="s">
        <v>1602</v>
      </c>
      <c r="C12311" s="13" t="s">
        <v>1603</v>
      </c>
      <c r="D12311" s="13" t="s">
        <v>92</v>
      </c>
      <c r="E12311" s="12" t="s">
        <v>35</v>
      </c>
      <c r="F12311" s="14">
        <v>35000</v>
      </c>
      <c r="G12311" s="14">
        <v>22000</v>
      </c>
      <c r="H12311" s="13" t="s">
        <v>23253</v>
      </c>
      <c r="I12311" s="40" t="s">
        <v>18</v>
      </c>
      <c r="J12311" s="40" t="str">
        <f>HYPERLINK("https://stock.pstatic.net/stock-research/company/63/20250512_company_560424000.pdf","PDF")</f>
        <v>PDF</v>
      </c>
      <c r="K12311" s="12" t="s">
        <v>23254</v>
      </c>
      <c r="L12311" s="20">
        <v>0.59090909090909094</v>
      </c>
    </row>
    <row r="12312" spans="1:12" x14ac:dyDescent="0.45">
      <c r="A12312" s="12" t="s">
        <v>23142</v>
      </c>
      <c r="B12312" s="12" t="s">
        <v>8204</v>
      </c>
      <c r="C12312" s="13" t="s">
        <v>8205</v>
      </c>
      <c r="D12312" s="13" t="s">
        <v>15</v>
      </c>
      <c r="E12312" s="12" t="s">
        <v>16</v>
      </c>
      <c r="F12312" s="14">
        <v>84000</v>
      </c>
      <c r="G12312" s="14">
        <v>60800</v>
      </c>
      <c r="H12312" s="13" t="s">
        <v>23255</v>
      </c>
      <c r="I12312" s="40" t="s">
        <v>18</v>
      </c>
      <c r="J12312" s="40" t="str">
        <f>HYPERLINK("https://stock.pstatic.net/stock-research/company/29/20250512_company_736420000.pdf","PDF")</f>
        <v>PDF</v>
      </c>
      <c r="K12312" s="12" t="s">
        <v>23256</v>
      </c>
      <c r="L12312" s="20">
        <v>0.38157894736842107</v>
      </c>
    </row>
    <row r="12313" spans="1:12" x14ac:dyDescent="0.45">
      <c r="A12313" s="12" t="s">
        <v>23142</v>
      </c>
      <c r="B12313" s="12" t="s">
        <v>495</v>
      </c>
      <c r="C12313" s="13" t="s">
        <v>496</v>
      </c>
      <c r="D12313" s="13" t="s">
        <v>92</v>
      </c>
      <c r="E12313" s="12" t="s">
        <v>35</v>
      </c>
      <c r="F12313" s="14">
        <v>135000</v>
      </c>
      <c r="G12313" s="14">
        <v>102700</v>
      </c>
      <c r="H12313" s="13" t="s">
        <v>23257</v>
      </c>
      <c r="I12313" s="40" t="s">
        <v>18</v>
      </c>
      <c r="J12313" s="40" t="str">
        <f>HYPERLINK("https://stock.pstatic.net/stock-research/company/63/20250512_company_48447000.pdf","PDF")</f>
        <v>PDF</v>
      </c>
      <c r="K12313" s="12" t="s">
        <v>23258</v>
      </c>
      <c r="L12313" s="20">
        <v>0.31450827653359298</v>
      </c>
    </row>
    <row r="12314" spans="1:12" x14ac:dyDescent="0.45">
      <c r="A12314" s="12" t="s">
        <v>23142</v>
      </c>
      <c r="B12314" s="12" t="s">
        <v>691</v>
      </c>
      <c r="C12314" s="13" t="s">
        <v>20</v>
      </c>
      <c r="D12314" s="13" t="s">
        <v>15</v>
      </c>
      <c r="E12314" s="12" t="s">
        <v>16</v>
      </c>
      <c r="F12314" s="14">
        <v>220000</v>
      </c>
      <c r="G12314" s="14">
        <v>158000</v>
      </c>
      <c r="H12314" s="13" t="s">
        <v>23259</v>
      </c>
      <c r="I12314" s="40" t="s">
        <v>18</v>
      </c>
      <c r="J12314" s="40" t="str">
        <f>HYPERLINK("https://stock.pstatic.net/stock-research/company/1/20250512_company_93584000.pdf","PDF")</f>
        <v>PDF</v>
      </c>
      <c r="K12314" s="12" t="s">
        <v>23260</v>
      </c>
      <c r="L12314" s="20">
        <v>0.39240506329113922</v>
      </c>
    </row>
    <row r="12315" spans="1:12" x14ac:dyDescent="0.45">
      <c r="A12315" s="12" t="s">
        <v>23142</v>
      </c>
      <c r="B12315" s="12" t="s">
        <v>8204</v>
      </c>
      <c r="C12315" s="13" t="s">
        <v>8205</v>
      </c>
      <c r="D12315" s="13" t="s">
        <v>92</v>
      </c>
      <c r="E12315" s="12" t="s">
        <v>35</v>
      </c>
      <c r="F12315" s="14">
        <v>89000</v>
      </c>
      <c r="G12315" s="14">
        <v>60800</v>
      </c>
      <c r="H12315" s="13" t="s">
        <v>23261</v>
      </c>
      <c r="I12315" s="40" t="s">
        <v>18</v>
      </c>
      <c r="J12315" s="40" t="str">
        <f>HYPERLINK("https://stock.pstatic.net/stock-research/company/63/20250512_company_732199000.pdf","PDF")</f>
        <v>PDF</v>
      </c>
      <c r="K12315" s="12" t="s">
        <v>23262</v>
      </c>
      <c r="L12315" s="20">
        <v>0.46381578947368418</v>
      </c>
    </row>
    <row r="12316" spans="1:12" x14ac:dyDescent="0.45">
      <c r="A12316" s="12" t="s">
        <v>23142</v>
      </c>
      <c r="B12316" s="12" t="s">
        <v>370</v>
      </c>
      <c r="C12316" s="13" t="s">
        <v>371</v>
      </c>
      <c r="D12316" s="13" t="s">
        <v>23</v>
      </c>
      <c r="E12316" s="12" t="s">
        <v>16</v>
      </c>
      <c r="F12316" s="14">
        <v>86000</v>
      </c>
      <c r="G12316" s="14">
        <v>74400</v>
      </c>
      <c r="H12316" s="13" t="s">
        <v>23263</v>
      </c>
      <c r="I12316" s="40" t="s">
        <v>18</v>
      </c>
      <c r="J12316" s="40" t="str">
        <f>HYPERLINK("https://stock.pstatic.net/stock-research/company/1/20250512_company_690884000.pdf","PDF")</f>
        <v>PDF</v>
      </c>
      <c r="K12316" s="12" t="s">
        <v>23264</v>
      </c>
      <c r="L12316" s="20">
        <v>0.15591397849462371</v>
      </c>
    </row>
    <row r="12317" spans="1:12" x14ac:dyDescent="0.45">
      <c r="A12317" s="12" t="s">
        <v>23142</v>
      </c>
      <c r="B12317" s="12" t="s">
        <v>1652</v>
      </c>
      <c r="C12317" s="13" t="s">
        <v>1653</v>
      </c>
      <c r="D12317" s="13" t="s">
        <v>92</v>
      </c>
      <c r="E12317" s="12" t="s">
        <v>35</v>
      </c>
      <c r="F12317" s="14">
        <v>70000</v>
      </c>
      <c r="G12317" s="14">
        <v>42750</v>
      </c>
      <c r="H12317" s="13" t="s">
        <v>23249</v>
      </c>
      <c r="I12317" s="40" t="s">
        <v>18</v>
      </c>
      <c r="J12317" s="40" t="str">
        <f>HYPERLINK("https://stock.pstatic.net/stock-research/company/1/20250512_company_533380000.pdf","PDF")</f>
        <v>PDF</v>
      </c>
      <c r="K12317" s="12" t="s">
        <v>23265</v>
      </c>
      <c r="L12317" s="20">
        <v>0.63742690058479534</v>
      </c>
    </row>
    <row r="12318" spans="1:12" x14ac:dyDescent="0.45">
      <c r="A12318" s="12" t="s">
        <v>23142</v>
      </c>
      <c r="B12318" s="12" t="s">
        <v>370</v>
      </c>
      <c r="C12318" s="13" t="s">
        <v>371</v>
      </c>
      <c r="D12318" s="13" t="s">
        <v>53</v>
      </c>
      <c r="E12318" s="12" t="s">
        <v>16</v>
      </c>
      <c r="F12318" s="14">
        <v>88000</v>
      </c>
      <c r="G12318" s="14">
        <v>74400</v>
      </c>
      <c r="H12318" s="13" t="s">
        <v>23266</v>
      </c>
      <c r="I12318" s="40" t="s">
        <v>18</v>
      </c>
      <c r="J12318" s="40" t="str">
        <f>HYPERLINK("https://stock.pstatic.net/stock-research/company/40/20250512_company_303367000.pdf","PDF")</f>
        <v>PDF</v>
      </c>
      <c r="K12318" s="12" t="s">
        <v>23267</v>
      </c>
      <c r="L12318" s="20">
        <v>0.18279569892473119</v>
      </c>
    </row>
    <row r="12319" spans="1:12" x14ac:dyDescent="0.45">
      <c r="A12319" s="12" t="s">
        <v>23142</v>
      </c>
      <c r="B12319" s="12" t="s">
        <v>732</v>
      </c>
      <c r="C12319" s="13" t="s">
        <v>733</v>
      </c>
      <c r="D12319" s="13" t="s">
        <v>15</v>
      </c>
      <c r="E12319" s="12" t="s">
        <v>16</v>
      </c>
      <c r="F12319" s="14">
        <v>150000</v>
      </c>
      <c r="G12319" s="14">
        <v>90400</v>
      </c>
      <c r="H12319" s="13" t="s">
        <v>23268</v>
      </c>
      <c r="I12319" s="40" t="s">
        <v>18</v>
      </c>
      <c r="J12319" s="40" t="str">
        <f>HYPERLINK("https://stock.pstatic.net/stock-research/company/29/20250512_company_205250000.pdf","PDF")</f>
        <v>PDF</v>
      </c>
      <c r="K12319" s="12" t="s">
        <v>23269</v>
      </c>
      <c r="L12319" s="20">
        <v>0.65929203539823011</v>
      </c>
    </row>
    <row r="12320" spans="1:12" x14ac:dyDescent="0.45">
      <c r="A12320" s="12" t="s">
        <v>23142</v>
      </c>
      <c r="B12320" s="12" t="s">
        <v>2187</v>
      </c>
      <c r="C12320" s="13" t="s">
        <v>2188</v>
      </c>
      <c r="D12320" s="13" t="s">
        <v>53</v>
      </c>
      <c r="E12320" s="12" t="s">
        <v>16</v>
      </c>
      <c r="F12320" s="14">
        <v>135000</v>
      </c>
      <c r="G12320" s="14">
        <v>114800</v>
      </c>
      <c r="H12320" s="13" t="s">
        <v>23270</v>
      </c>
      <c r="I12320" s="40" t="s">
        <v>18</v>
      </c>
      <c r="J12320" s="40" t="str">
        <f>HYPERLINK("https://stock.pstatic.net/stock-research/company/40/20250512_company_780767000.pdf","PDF")</f>
        <v>PDF</v>
      </c>
      <c r="K12320" s="12" t="s">
        <v>23271</v>
      </c>
      <c r="L12320" s="20">
        <v>0.1759581881533101</v>
      </c>
    </row>
    <row r="12321" spans="1:12" x14ac:dyDescent="0.45">
      <c r="A12321" s="12" t="s">
        <v>23142</v>
      </c>
      <c r="B12321" s="12" t="s">
        <v>8204</v>
      </c>
      <c r="C12321" s="13" t="s">
        <v>8205</v>
      </c>
      <c r="D12321" s="13" t="s">
        <v>23</v>
      </c>
      <c r="E12321" s="12" t="s">
        <v>16</v>
      </c>
      <c r="F12321" s="14">
        <v>85000</v>
      </c>
      <c r="G12321" s="14">
        <v>61400</v>
      </c>
      <c r="H12321" s="13" t="s">
        <v>23272</v>
      </c>
      <c r="I12321" s="40" t="s">
        <v>18</v>
      </c>
      <c r="J12321" s="40" t="str">
        <f>HYPERLINK("https://stock.pstatic.net/stock-research/company/21/20250512_company_925354000.pdf","PDF")</f>
        <v>PDF</v>
      </c>
      <c r="K12321" s="12" t="s">
        <v>23273</v>
      </c>
      <c r="L12321" s="20">
        <v>0.38436482084690549</v>
      </c>
    </row>
    <row r="12322" spans="1:12" x14ac:dyDescent="0.45">
      <c r="A12322" s="12" t="s">
        <v>23142</v>
      </c>
      <c r="B12322" s="12" t="s">
        <v>691</v>
      </c>
      <c r="C12322" s="13" t="s">
        <v>20</v>
      </c>
      <c r="D12322" s="13" t="s">
        <v>92</v>
      </c>
      <c r="E12322" s="12" t="s">
        <v>35</v>
      </c>
      <c r="F12322" s="14">
        <v>220000</v>
      </c>
      <c r="G12322" s="14">
        <v>158000</v>
      </c>
      <c r="H12322" s="13" t="s">
        <v>23274</v>
      </c>
      <c r="I12322" s="40" t="s">
        <v>18</v>
      </c>
      <c r="J12322" s="40" t="str">
        <f>HYPERLINK("https://stock.pstatic.net/stock-research/company/63/20250512_company_262786000.pdf","PDF")</f>
        <v>PDF</v>
      </c>
      <c r="K12322" s="12" t="s">
        <v>23275</v>
      </c>
      <c r="L12322" s="20">
        <v>0.39240506329113922</v>
      </c>
    </row>
    <row r="12323" spans="1:12" x14ac:dyDescent="0.45">
      <c r="A12323" s="12" t="s">
        <v>23142</v>
      </c>
      <c r="B12323" s="12" t="s">
        <v>533</v>
      </c>
      <c r="C12323" s="13" t="s">
        <v>534</v>
      </c>
      <c r="D12323" s="13" t="s">
        <v>53</v>
      </c>
      <c r="E12323" s="12" t="s">
        <v>16</v>
      </c>
      <c r="F12323" s="14">
        <v>64000</v>
      </c>
      <c r="G12323" s="14">
        <v>51500</v>
      </c>
      <c r="H12323" s="13" t="s">
        <v>23276</v>
      </c>
      <c r="I12323" s="40" t="s">
        <v>18</v>
      </c>
      <c r="J12323" s="40" t="str">
        <f>HYPERLINK("https://stock.pstatic.net/stock-research/company/40/20250512_company_365980000.pdf","PDF")</f>
        <v>PDF</v>
      </c>
      <c r="K12323" s="12" t="s">
        <v>23277</v>
      </c>
      <c r="L12323" s="20">
        <v>0.24271844660194181</v>
      </c>
    </row>
    <row r="12324" spans="1:12" x14ac:dyDescent="0.45">
      <c r="A12324" s="12" t="s">
        <v>23142</v>
      </c>
      <c r="B12324" s="12" t="s">
        <v>1606</v>
      </c>
      <c r="C12324" s="13" t="s">
        <v>1607</v>
      </c>
      <c r="D12324" s="13" t="s">
        <v>15</v>
      </c>
      <c r="E12324" s="12" t="s">
        <v>16</v>
      </c>
      <c r="F12324" s="14">
        <v>115000</v>
      </c>
      <c r="G12324" s="14">
        <v>80400</v>
      </c>
      <c r="H12324" s="13" t="s">
        <v>23278</v>
      </c>
      <c r="I12324" s="40" t="s">
        <v>18</v>
      </c>
      <c r="J12324" s="40" t="str">
        <f>HYPERLINK("https://stock.pstatic.net/stock-research/company/29/20250512_company_226392000.pdf","PDF")</f>
        <v>PDF</v>
      </c>
      <c r="K12324" s="12" t="s">
        <v>23279</v>
      </c>
      <c r="L12324" s="20">
        <v>0.43034825870646759</v>
      </c>
    </row>
    <row r="12325" spans="1:12" x14ac:dyDescent="0.45">
      <c r="A12325" s="12" t="s">
        <v>23142</v>
      </c>
      <c r="B12325" s="12" t="s">
        <v>42</v>
      </c>
      <c r="C12325" s="13" t="s">
        <v>43</v>
      </c>
      <c r="D12325" s="13" t="s">
        <v>23</v>
      </c>
      <c r="E12325" s="12" t="s">
        <v>50</v>
      </c>
      <c r="F12325" s="14">
        <v>210000</v>
      </c>
      <c r="G12325" s="14">
        <v>191000</v>
      </c>
      <c r="H12325" s="13" t="s">
        <v>23280</v>
      </c>
      <c r="I12325" s="40" t="s">
        <v>18</v>
      </c>
      <c r="J12325" s="40" t="str">
        <f>HYPERLINK("https://stock.pstatic.net/stock-research/company/21/20250512_company_30836000.pdf","PDF")</f>
        <v>PDF</v>
      </c>
      <c r="K12325" s="12" t="s">
        <v>23281</v>
      </c>
      <c r="L12325" s="20">
        <v>9.947643979057591E-2</v>
      </c>
    </row>
    <row r="12326" spans="1:12" x14ac:dyDescent="0.45">
      <c r="A12326" s="12" t="s">
        <v>23142</v>
      </c>
      <c r="B12326" s="12" t="s">
        <v>370</v>
      </c>
      <c r="C12326" s="13" t="s">
        <v>371</v>
      </c>
      <c r="D12326" s="13" t="s">
        <v>92</v>
      </c>
      <c r="E12326" s="12" t="s">
        <v>35</v>
      </c>
      <c r="F12326" s="14">
        <v>91000</v>
      </c>
      <c r="G12326" s="14">
        <v>74400</v>
      </c>
      <c r="H12326" s="13" t="s">
        <v>23282</v>
      </c>
      <c r="I12326" s="40" t="s">
        <v>18</v>
      </c>
      <c r="J12326" s="40" t="str">
        <f>HYPERLINK("https://stock.pstatic.net/stock-research/company/63/20250512_company_929319000.pdf","PDF")</f>
        <v>PDF</v>
      </c>
      <c r="K12326" s="12" t="s">
        <v>23283</v>
      </c>
      <c r="L12326" s="20">
        <v>0.2231182795698925</v>
      </c>
    </row>
    <row r="12327" spans="1:12" x14ac:dyDescent="0.45">
      <c r="A12327" s="12" t="s">
        <v>23142</v>
      </c>
      <c r="B12327" s="12" t="s">
        <v>1849</v>
      </c>
      <c r="C12327" s="13" t="s">
        <v>1850</v>
      </c>
      <c r="D12327" s="13" t="s">
        <v>92</v>
      </c>
      <c r="E12327" s="12" t="s">
        <v>35</v>
      </c>
      <c r="F12327" s="14">
        <v>26000</v>
      </c>
      <c r="G12327" s="14">
        <v>18240</v>
      </c>
      <c r="H12327" s="13" t="s">
        <v>23284</v>
      </c>
      <c r="I12327" s="40" t="s">
        <v>18</v>
      </c>
      <c r="J12327" s="40" t="str">
        <f>HYPERLINK("https://stock.pstatic.net/stock-research/company/63/20250512_company_329407000.pdf","PDF")</f>
        <v>PDF</v>
      </c>
      <c r="K12327" s="12" t="s">
        <v>23285</v>
      </c>
      <c r="L12327" s="20">
        <v>0.42543859649122812</v>
      </c>
    </row>
    <row r="12328" spans="1:12" x14ac:dyDescent="0.45">
      <c r="A12328" s="12" t="s">
        <v>23142</v>
      </c>
      <c r="B12328" s="12" t="s">
        <v>42</v>
      </c>
      <c r="C12328" s="13" t="s">
        <v>43</v>
      </c>
      <c r="D12328" s="13" t="s">
        <v>179</v>
      </c>
      <c r="E12328" s="12" t="s">
        <v>16</v>
      </c>
      <c r="F12328" s="14">
        <v>300000</v>
      </c>
      <c r="G12328" s="14">
        <v>191000</v>
      </c>
      <c r="H12328" s="13" t="s">
        <v>23286</v>
      </c>
      <c r="I12328" s="40" t="s">
        <v>18</v>
      </c>
      <c r="J12328" s="40" t="str">
        <f>HYPERLINK("https://stock.pstatic.net/stock-research/company/31/20250512_company_442732000.pdf","PDF")</f>
        <v>PDF</v>
      </c>
      <c r="K12328" s="12" t="s">
        <v>23287</v>
      </c>
      <c r="L12328" s="20">
        <v>0.5706806282722513</v>
      </c>
    </row>
    <row r="12329" spans="1:12" x14ac:dyDescent="0.45">
      <c r="A12329" s="12" t="s">
        <v>23142</v>
      </c>
      <c r="B12329" s="12" t="s">
        <v>904</v>
      </c>
      <c r="C12329" s="13" t="s">
        <v>905</v>
      </c>
      <c r="D12329" s="13" t="s">
        <v>15</v>
      </c>
      <c r="E12329" s="12" t="s">
        <v>16</v>
      </c>
      <c r="F12329" s="14">
        <v>80000</v>
      </c>
      <c r="G12329" s="14">
        <v>50300</v>
      </c>
      <c r="H12329" s="13" t="s">
        <v>23288</v>
      </c>
      <c r="I12329" s="40" t="s">
        <v>18</v>
      </c>
      <c r="J12329" s="40" t="str">
        <f>HYPERLINK("https://stock.pstatic.net/stock-research/company/29/20250512_company_782558000.pdf","PDF")</f>
        <v>PDF</v>
      </c>
      <c r="K12329" s="12" t="s">
        <v>23289</v>
      </c>
      <c r="L12329" s="20">
        <v>0.59045725646123259</v>
      </c>
    </row>
    <row r="12330" spans="1:12" x14ac:dyDescent="0.45">
      <c r="A12330" s="12" t="s">
        <v>23142</v>
      </c>
      <c r="B12330" s="12" t="s">
        <v>533</v>
      </c>
      <c r="C12330" s="13" t="s">
        <v>534</v>
      </c>
      <c r="D12330" s="13" t="s">
        <v>92</v>
      </c>
      <c r="E12330" s="12" t="s">
        <v>35</v>
      </c>
      <c r="F12330" s="14">
        <v>62000</v>
      </c>
      <c r="G12330" s="14">
        <v>51500</v>
      </c>
      <c r="H12330" s="13" t="s">
        <v>23290</v>
      </c>
      <c r="I12330" s="40" t="s">
        <v>18</v>
      </c>
      <c r="J12330" s="40" t="str">
        <f>HYPERLINK("https://stock.pstatic.net/stock-research/company/63/20250512_company_611144000.pdf","PDF")</f>
        <v>PDF</v>
      </c>
      <c r="K12330" s="12" t="s">
        <v>23291</v>
      </c>
      <c r="L12330" s="20">
        <v>0.20388349514563109</v>
      </c>
    </row>
    <row r="12331" spans="1:12" x14ac:dyDescent="0.45">
      <c r="A12331" s="12" t="s">
        <v>23142</v>
      </c>
      <c r="B12331" s="12" t="s">
        <v>533</v>
      </c>
      <c r="C12331" s="13" t="s">
        <v>534</v>
      </c>
      <c r="D12331" s="13" t="s">
        <v>23</v>
      </c>
      <c r="E12331" s="12" t="s">
        <v>16</v>
      </c>
      <c r="F12331" s="14">
        <v>60000</v>
      </c>
      <c r="G12331" s="14">
        <v>51500</v>
      </c>
      <c r="H12331" s="13" t="s">
        <v>23292</v>
      </c>
      <c r="I12331" s="40" t="s">
        <v>18</v>
      </c>
      <c r="J12331" s="40" t="str">
        <f>HYPERLINK("https://stock.pstatic.net/stock-research/company/21/20250512_company_192501000.pdf","PDF")</f>
        <v>PDF</v>
      </c>
      <c r="K12331" s="12" t="s">
        <v>23293</v>
      </c>
      <c r="L12331" s="20">
        <v>0.1650485436893204</v>
      </c>
    </row>
    <row r="12332" spans="1:12" x14ac:dyDescent="0.45">
      <c r="A12332" s="12" t="s">
        <v>23142</v>
      </c>
      <c r="B12332" s="12" t="s">
        <v>42</v>
      </c>
      <c r="C12332" s="13" t="s">
        <v>43</v>
      </c>
      <c r="D12332" s="13" t="s">
        <v>92</v>
      </c>
      <c r="E12332" s="12" t="s">
        <v>35</v>
      </c>
      <c r="F12332" s="14">
        <v>280000</v>
      </c>
      <c r="G12332" s="14">
        <v>191000</v>
      </c>
      <c r="H12332" s="13" t="s">
        <v>23294</v>
      </c>
      <c r="I12332" s="40" t="s">
        <v>18</v>
      </c>
      <c r="J12332" s="40" t="str">
        <f>HYPERLINK("https://stock.pstatic.net/stock-research/company/63/20250512_company_829338000.pdf","PDF")</f>
        <v>PDF</v>
      </c>
      <c r="K12332" s="12" t="s">
        <v>23295</v>
      </c>
      <c r="L12332" s="20">
        <v>0.46596858638743449</v>
      </c>
    </row>
    <row r="12333" spans="1:12" x14ac:dyDescent="0.45">
      <c r="A12333" s="12" t="s">
        <v>23142</v>
      </c>
      <c r="B12333" s="12" t="s">
        <v>2231</v>
      </c>
      <c r="C12333" s="13" t="s">
        <v>2232</v>
      </c>
      <c r="D12333" s="13" t="s">
        <v>23</v>
      </c>
      <c r="E12333" s="12" t="s">
        <v>16</v>
      </c>
      <c r="F12333" s="14">
        <v>110000</v>
      </c>
      <c r="G12333" s="14">
        <v>89300</v>
      </c>
      <c r="H12333" s="13" t="s">
        <v>23296</v>
      </c>
      <c r="I12333" s="40" t="s">
        <v>18</v>
      </c>
      <c r="J12333" s="40" t="str">
        <f>HYPERLINK("https://stock.pstatic.net/stock-research/company/21/20250512_company_366014000.pdf","PDF")</f>
        <v>PDF</v>
      </c>
      <c r="K12333" s="12" t="s">
        <v>23297</v>
      </c>
      <c r="L12333" s="20">
        <v>0.2318029115341545</v>
      </c>
    </row>
    <row r="12334" spans="1:12" x14ac:dyDescent="0.45">
      <c r="A12334" s="12" t="s">
        <v>23142</v>
      </c>
      <c r="B12334" s="12" t="s">
        <v>27</v>
      </c>
      <c r="C12334" s="13" t="s">
        <v>28</v>
      </c>
      <c r="D12334" s="13" t="s">
        <v>23</v>
      </c>
      <c r="E12334" s="12" t="s">
        <v>16</v>
      </c>
      <c r="F12334" s="14">
        <v>85000</v>
      </c>
      <c r="G12334" s="14">
        <v>72100</v>
      </c>
      <c r="H12334" s="13" t="s">
        <v>23298</v>
      </c>
      <c r="I12334" s="40" t="s">
        <v>18</v>
      </c>
      <c r="J12334" s="40" t="str">
        <f>HYPERLINK("https://stock.pstatic.net/stock-research/company/21/20250512_company_73598000.pdf","PDF")</f>
        <v>PDF</v>
      </c>
      <c r="K12334" s="12" t="s">
        <v>23299</v>
      </c>
      <c r="L12334" s="20">
        <v>0.17891816920943129</v>
      </c>
    </row>
    <row r="12335" spans="1:12" x14ac:dyDescent="0.45">
      <c r="A12335" s="12" t="s">
        <v>23142</v>
      </c>
      <c r="B12335" s="12" t="s">
        <v>27</v>
      </c>
      <c r="C12335" s="13" t="s">
        <v>28</v>
      </c>
      <c r="D12335" s="13" t="s">
        <v>44</v>
      </c>
      <c r="E12335" s="12" t="s">
        <v>35</v>
      </c>
      <c r="F12335" s="14">
        <v>90000</v>
      </c>
      <c r="G12335" s="14">
        <v>72100</v>
      </c>
      <c r="H12335" s="13" t="s">
        <v>23300</v>
      </c>
      <c r="I12335" s="40" t="s">
        <v>18</v>
      </c>
      <c r="J12335" s="40" t="str">
        <f>HYPERLINK("https://stock.pstatic.net/stock-research/company/1/20250512_company_969608000.pdf","PDF")</f>
        <v>PDF</v>
      </c>
      <c r="K12335" s="12" t="s">
        <v>23301</v>
      </c>
      <c r="L12335" s="20">
        <v>0.2482662968099861</v>
      </c>
    </row>
    <row r="12336" spans="1:12" x14ac:dyDescent="0.45">
      <c r="A12336" s="12" t="s">
        <v>23142</v>
      </c>
      <c r="B12336" s="12" t="s">
        <v>1184</v>
      </c>
      <c r="C12336" s="13" t="s">
        <v>1185</v>
      </c>
      <c r="D12336" s="13" t="s">
        <v>23</v>
      </c>
      <c r="E12336" s="12" t="s">
        <v>16</v>
      </c>
      <c r="F12336" s="14">
        <v>17000</v>
      </c>
      <c r="G12336" s="14">
        <v>14050</v>
      </c>
      <c r="H12336" s="13" t="s">
        <v>23302</v>
      </c>
      <c r="I12336" s="40" t="s">
        <v>18</v>
      </c>
      <c r="J12336" s="40" t="str">
        <f>HYPERLINK("https://stock.pstatic.net/stock-research/company/21/20250512_company_655321000.pdf","PDF")</f>
        <v>PDF</v>
      </c>
      <c r="K12336" s="12" t="s">
        <v>23303</v>
      </c>
      <c r="L12336" s="20">
        <v>0.20996441281138789</v>
      </c>
    </row>
    <row r="12337" spans="1:12" x14ac:dyDescent="0.45">
      <c r="A12337" s="12" t="s">
        <v>23142</v>
      </c>
      <c r="B12337" s="12" t="s">
        <v>132</v>
      </c>
      <c r="C12337" s="13" t="s">
        <v>133</v>
      </c>
      <c r="D12337" s="13" t="s">
        <v>23</v>
      </c>
      <c r="E12337" s="12" t="s">
        <v>16</v>
      </c>
      <c r="F12337" s="14">
        <v>75000</v>
      </c>
      <c r="G12337" s="14">
        <v>61300</v>
      </c>
      <c r="H12337" s="13" t="s">
        <v>23304</v>
      </c>
      <c r="I12337" s="40" t="s">
        <v>18</v>
      </c>
      <c r="J12337" s="40" t="str">
        <f>HYPERLINK("https://stock.pstatic.net/stock-research/company/21/20250512_company_87617000.pdf","PDF")</f>
        <v>PDF</v>
      </c>
      <c r="K12337" s="12" t="s">
        <v>23305</v>
      </c>
      <c r="L12337" s="20">
        <v>0.22349102773246329</v>
      </c>
    </row>
    <row r="12338" spans="1:12" x14ac:dyDescent="0.45">
      <c r="A12338" s="12" t="s">
        <v>23142</v>
      </c>
      <c r="B12338" s="12" t="s">
        <v>370</v>
      </c>
      <c r="C12338" s="13" t="s">
        <v>371</v>
      </c>
      <c r="D12338" s="13" t="s">
        <v>34</v>
      </c>
      <c r="E12338" s="12" t="s">
        <v>35</v>
      </c>
      <c r="F12338" s="14">
        <v>88000</v>
      </c>
      <c r="G12338" s="14">
        <v>74400</v>
      </c>
      <c r="H12338" s="13" t="s">
        <v>23306</v>
      </c>
      <c r="I12338" s="40" t="s">
        <v>18</v>
      </c>
      <c r="J12338" s="40" t="str">
        <f>HYPERLINK("https://stock.pstatic.net/stock-research/company/61/20250512_company_36881000.pdf","PDF")</f>
        <v>PDF</v>
      </c>
      <c r="K12338" s="12" t="s">
        <v>23307</v>
      </c>
      <c r="L12338" s="20">
        <v>0.18279569892473119</v>
      </c>
    </row>
    <row r="12339" spans="1:12" x14ac:dyDescent="0.45">
      <c r="A12339" s="12" t="s">
        <v>23142</v>
      </c>
      <c r="B12339" s="12" t="s">
        <v>1670</v>
      </c>
      <c r="C12339" s="13" t="s">
        <v>1671</v>
      </c>
      <c r="D12339" s="13" t="s">
        <v>23</v>
      </c>
      <c r="E12339" s="12" t="s">
        <v>16</v>
      </c>
      <c r="F12339" s="14">
        <v>160000</v>
      </c>
      <c r="G12339" s="14">
        <v>113800</v>
      </c>
      <c r="H12339" s="13" t="s">
        <v>23308</v>
      </c>
      <c r="I12339" s="40" t="s">
        <v>18</v>
      </c>
      <c r="J12339" s="40" t="str">
        <f>HYPERLINK("https://stock.pstatic.net/stock-research/company/21/20250512_company_325438000.pdf","PDF")</f>
        <v>PDF</v>
      </c>
      <c r="K12339" s="12" t="s">
        <v>23309</v>
      </c>
      <c r="L12339" s="20">
        <v>0.40597539543057998</v>
      </c>
    </row>
    <row r="12340" spans="1:12" x14ac:dyDescent="0.45">
      <c r="A12340" s="12" t="s">
        <v>23142</v>
      </c>
      <c r="B12340" s="12" t="s">
        <v>2187</v>
      </c>
      <c r="C12340" s="13" t="s">
        <v>2188</v>
      </c>
      <c r="D12340" s="13" t="s">
        <v>23</v>
      </c>
      <c r="E12340" s="12" t="s">
        <v>16</v>
      </c>
      <c r="F12340" s="14">
        <v>140000</v>
      </c>
      <c r="G12340" s="14">
        <v>114800</v>
      </c>
      <c r="H12340" s="13" t="s">
        <v>23310</v>
      </c>
      <c r="I12340" s="40" t="s">
        <v>18</v>
      </c>
      <c r="J12340" s="40" t="str">
        <f>HYPERLINK("https://stock.pstatic.net/stock-research/company/21/20250512_company_774719000.pdf","PDF")</f>
        <v>PDF</v>
      </c>
      <c r="K12340" s="12" t="s">
        <v>23311</v>
      </c>
      <c r="L12340" s="20">
        <v>0.21951219512195119</v>
      </c>
    </row>
    <row r="12341" spans="1:12" x14ac:dyDescent="0.45">
      <c r="A12341" s="12" t="s">
        <v>23142</v>
      </c>
      <c r="B12341" s="12" t="s">
        <v>2631</v>
      </c>
      <c r="C12341" s="13" t="s">
        <v>2632</v>
      </c>
      <c r="D12341" s="13" t="s">
        <v>34</v>
      </c>
      <c r="E12341" s="12" t="s">
        <v>50</v>
      </c>
      <c r="F12341" s="13"/>
      <c r="G12341" s="14">
        <v>20700</v>
      </c>
      <c r="H12341" s="13" t="s">
        <v>23312</v>
      </c>
      <c r="I12341" s="40" t="s">
        <v>18</v>
      </c>
      <c r="J12341" s="40" t="str">
        <f>HYPERLINK("https://stock.pstatic.net/stock-research/company/61/20250512_company_660931000.pdf","PDF")</f>
        <v>PDF</v>
      </c>
      <c r="K12341" s="12" t="s">
        <v>23313</v>
      </c>
    </row>
    <row r="12342" spans="1:12" x14ac:dyDescent="0.45">
      <c r="A12342" s="12" t="s">
        <v>23142</v>
      </c>
      <c r="B12342" s="12" t="s">
        <v>545</v>
      </c>
      <c r="C12342" s="13" t="s">
        <v>546</v>
      </c>
      <c r="D12342" s="13" t="s">
        <v>44</v>
      </c>
      <c r="E12342" s="12" t="s">
        <v>35</v>
      </c>
      <c r="F12342" s="14">
        <v>250000</v>
      </c>
      <c r="G12342" s="14">
        <v>173800</v>
      </c>
      <c r="H12342" s="13" t="s">
        <v>23314</v>
      </c>
      <c r="I12342" s="40" t="s">
        <v>18</v>
      </c>
      <c r="J12342" s="40" t="str">
        <f>HYPERLINK("https://stock.pstatic.net/stock-research/company/39/20250512_company_838056000.pdf","PDF")</f>
        <v>PDF</v>
      </c>
      <c r="K12342" s="12" t="s">
        <v>23315</v>
      </c>
      <c r="L12342" s="20">
        <v>0.43843498273878018</v>
      </c>
    </row>
    <row r="12343" spans="1:12" x14ac:dyDescent="0.45">
      <c r="A12343" s="12" t="s">
        <v>23142</v>
      </c>
      <c r="B12343" s="12" t="s">
        <v>732</v>
      </c>
      <c r="C12343" s="13" t="s">
        <v>733</v>
      </c>
      <c r="D12343" s="13" t="s">
        <v>44</v>
      </c>
      <c r="E12343" s="12" t="s">
        <v>35</v>
      </c>
      <c r="F12343" s="14">
        <v>130000</v>
      </c>
      <c r="G12343" s="14">
        <v>90400</v>
      </c>
      <c r="H12343" s="13" t="s">
        <v>23316</v>
      </c>
      <c r="I12343" s="40" t="s">
        <v>18</v>
      </c>
      <c r="J12343" s="40" t="str">
        <f>HYPERLINK("https://stock.pstatic.net/stock-research/company/39/20250512_company_479771000.pdf","PDF")</f>
        <v>PDF</v>
      </c>
      <c r="K12343" s="12" t="s">
        <v>23317</v>
      </c>
      <c r="L12343" s="20">
        <v>0.43805309734513281</v>
      </c>
    </row>
    <row r="12344" spans="1:12" x14ac:dyDescent="0.45">
      <c r="A12344" s="12" t="s">
        <v>23142</v>
      </c>
      <c r="B12344" s="12" t="s">
        <v>1162</v>
      </c>
      <c r="C12344" s="13" t="s">
        <v>1163</v>
      </c>
      <c r="D12344" s="13" t="s">
        <v>34</v>
      </c>
      <c r="E12344" s="12" t="s">
        <v>35</v>
      </c>
      <c r="F12344" s="14">
        <v>160000</v>
      </c>
      <c r="G12344" s="14">
        <v>128400</v>
      </c>
      <c r="H12344" s="13" t="s">
        <v>23318</v>
      </c>
      <c r="I12344" s="40" t="s">
        <v>18</v>
      </c>
      <c r="J12344" s="40" t="str">
        <f>HYPERLINK("https://stock.pstatic.net/stock-research/company/1/20250512_company_210804000.pdf","PDF")</f>
        <v>PDF</v>
      </c>
      <c r="K12344" s="12" t="s">
        <v>23319</v>
      </c>
      <c r="L12344" s="20">
        <v>0.24610591900311529</v>
      </c>
    </row>
    <row r="12345" spans="1:12" x14ac:dyDescent="0.45">
      <c r="A12345" s="12" t="s">
        <v>23142</v>
      </c>
      <c r="B12345" s="12" t="s">
        <v>2576</v>
      </c>
      <c r="C12345" s="13" t="s">
        <v>2577</v>
      </c>
      <c r="D12345" s="13" t="s">
        <v>23</v>
      </c>
      <c r="E12345" s="12" t="s">
        <v>50</v>
      </c>
      <c r="F12345" s="14">
        <v>900000</v>
      </c>
      <c r="G12345" s="14">
        <v>848000</v>
      </c>
      <c r="H12345" s="13" t="s">
        <v>23320</v>
      </c>
      <c r="I12345" s="40" t="s">
        <v>18</v>
      </c>
      <c r="J12345" s="40" t="str">
        <f>HYPERLINK("https://stock.pstatic.net/stock-research/company/21/20250512_company_201441000.pdf","PDF")</f>
        <v>PDF</v>
      </c>
      <c r="K12345" s="12" t="s">
        <v>23321</v>
      </c>
      <c r="L12345" s="20">
        <v>6.1320754716981132E-2</v>
      </c>
    </row>
    <row r="12346" spans="1:12" x14ac:dyDescent="0.45">
      <c r="A12346" s="12" t="s">
        <v>23142</v>
      </c>
      <c r="B12346" s="12" t="s">
        <v>132</v>
      </c>
      <c r="C12346" s="13" t="s">
        <v>133</v>
      </c>
      <c r="D12346" s="13" t="s">
        <v>44</v>
      </c>
      <c r="E12346" s="12" t="s">
        <v>35</v>
      </c>
      <c r="F12346" s="14">
        <v>81000</v>
      </c>
      <c r="G12346" s="14">
        <v>61300</v>
      </c>
      <c r="H12346" s="13" t="s">
        <v>23322</v>
      </c>
      <c r="I12346" s="40" t="s">
        <v>18</v>
      </c>
      <c r="J12346" s="40" t="str">
        <f>HYPERLINK("https://stock.pstatic.net/stock-research/company/39/20250512_company_536197000.pdf","PDF")</f>
        <v>PDF</v>
      </c>
      <c r="K12346" s="12" t="s">
        <v>23323</v>
      </c>
      <c r="L12346" s="20">
        <v>0.32137030995106042</v>
      </c>
    </row>
    <row r="12347" spans="1:12" x14ac:dyDescent="0.45">
      <c r="A12347" s="12" t="s">
        <v>23142</v>
      </c>
      <c r="B12347" s="12" t="s">
        <v>3395</v>
      </c>
      <c r="C12347" s="13" t="s">
        <v>3396</v>
      </c>
      <c r="D12347" s="13" t="s">
        <v>34</v>
      </c>
      <c r="E12347" s="12" t="s">
        <v>35</v>
      </c>
      <c r="F12347" s="14">
        <v>23300</v>
      </c>
      <c r="G12347" s="14">
        <v>17390</v>
      </c>
      <c r="H12347" s="13" t="s">
        <v>23324</v>
      </c>
      <c r="I12347" s="40" t="s">
        <v>18</v>
      </c>
      <c r="J12347" s="40" t="str">
        <f>HYPERLINK("https://stock.pstatic.net/stock-research/company/61/20250512_company_685046000.pdf","PDF")</f>
        <v>PDF</v>
      </c>
      <c r="K12347" s="12" t="s">
        <v>23325</v>
      </c>
      <c r="L12347" s="20">
        <v>0.33985048878665902</v>
      </c>
    </row>
    <row r="12348" spans="1:12" x14ac:dyDescent="0.45">
      <c r="A12348" s="12" t="s">
        <v>23142</v>
      </c>
      <c r="B12348" s="12" t="s">
        <v>756</v>
      </c>
      <c r="C12348" s="13" t="s">
        <v>757</v>
      </c>
      <c r="D12348" s="13" t="s">
        <v>23</v>
      </c>
      <c r="E12348" s="12" t="s">
        <v>16</v>
      </c>
      <c r="F12348" s="14">
        <v>103000</v>
      </c>
      <c r="G12348" s="14">
        <v>83600</v>
      </c>
      <c r="H12348" s="13" t="s">
        <v>23326</v>
      </c>
      <c r="I12348" s="40" t="s">
        <v>18</v>
      </c>
      <c r="J12348" s="40" t="str">
        <f>HYPERLINK("https://stock.pstatic.net/stock-research/company/21/20250512_company_508869000.pdf","PDF")</f>
        <v>PDF</v>
      </c>
      <c r="K12348" s="12" t="s">
        <v>23327</v>
      </c>
      <c r="L12348" s="20">
        <v>0.2320574162679426</v>
      </c>
    </row>
    <row r="12349" spans="1:12" x14ac:dyDescent="0.45">
      <c r="A12349" s="12" t="s">
        <v>23142</v>
      </c>
      <c r="B12349" s="12" t="s">
        <v>2950</v>
      </c>
      <c r="C12349" s="13" t="s">
        <v>2951</v>
      </c>
      <c r="D12349" s="13" t="s">
        <v>34</v>
      </c>
      <c r="E12349" s="12" t="s">
        <v>50</v>
      </c>
      <c r="F12349" s="13"/>
      <c r="G12349" s="14">
        <v>27850</v>
      </c>
      <c r="H12349" s="13" t="s">
        <v>23328</v>
      </c>
      <c r="I12349" s="40" t="s">
        <v>18</v>
      </c>
      <c r="J12349" s="40" t="str">
        <f>HYPERLINK("https://stock.pstatic.net/stock-research/company/40/20250512_company_436066000.pdf","PDF")</f>
        <v>PDF</v>
      </c>
      <c r="K12349" s="12" t="s">
        <v>23329</v>
      </c>
    </row>
    <row r="12350" spans="1:12" x14ac:dyDescent="0.45">
      <c r="A12350" s="12" t="s">
        <v>23142</v>
      </c>
      <c r="B12350" s="12" t="s">
        <v>732</v>
      </c>
      <c r="C12350" s="13" t="s">
        <v>733</v>
      </c>
      <c r="D12350" s="13" t="s">
        <v>53</v>
      </c>
      <c r="E12350" s="12" t="s">
        <v>16</v>
      </c>
      <c r="F12350" s="14">
        <v>140000</v>
      </c>
      <c r="G12350" s="14">
        <v>90400</v>
      </c>
      <c r="H12350" s="13" t="s">
        <v>23330</v>
      </c>
      <c r="I12350" s="40" t="s">
        <v>18</v>
      </c>
      <c r="J12350" s="40" t="str">
        <f>HYPERLINK("https://stock.pstatic.net/stock-research/company/40/20250512_company_653614000.pdf","PDF")</f>
        <v>PDF</v>
      </c>
      <c r="K12350" s="12" t="s">
        <v>23331</v>
      </c>
      <c r="L12350" s="20">
        <v>0.54867256637168138</v>
      </c>
    </row>
    <row r="12351" spans="1:12" x14ac:dyDescent="0.45">
      <c r="A12351" s="12" t="s">
        <v>23142</v>
      </c>
      <c r="B12351" s="12" t="s">
        <v>533</v>
      </c>
      <c r="C12351" s="13" t="s">
        <v>534</v>
      </c>
      <c r="D12351" s="13" t="s">
        <v>179</v>
      </c>
      <c r="E12351" s="12" t="s">
        <v>16</v>
      </c>
      <c r="F12351" s="14">
        <v>63000</v>
      </c>
      <c r="G12351" s="14">
        <v>51500</v>
      </c>
      <c r="H12351" s="13" t="s">
        <v>23332</v>
      </c>
      <c r="I12351" s="40" t="s">
        <v>18</v>
      </c>
      <c r="J12351" s="40" t="str">
        <f>HYPERLINK("https://stock.pstatic.net/stock-research/company/31/20250512_company_836358000.pdf","PDF")</f>
        <v>PDF</v>
      </c>
      <c r="K12351" s="12" t="s">
        <v>23333</v>
      </c>
      <c r="L12351" s="20">
        <v>0.22330097087378639</v>
      </c>
    </row>
    <row r="12352" spans="1:12" x14ac:dyDescent="0.45">
      <c r="A12352" s="12" t="s">
        <v>23142</v>
      </c>
      <c r="B12352" s="12" t="s">
        <v>370</v>
      </c>
      <c r="C12352" s="13" t="s">
        <v>371</v>
      </c>
      <c r="D12352" s="13" t="s">
        <v>124</v>
      </c>
      <c r="E12352" s="12" t="s">
        <v>50</v>
      </c>
      <c r="F12352" s="13"/>
      <c r="G12352" s="13"/>
      <c r="H12352" s="13" t="s">
        <v>23334</v>
      </c>
      <c r="I12352" s="40" t="s">
        <v>18</v>
      </c>
      <c r="J12352" s="40" t="str">
        <f>HYPERLINK("https://stock.pstatic.net/stock-research/company/74/20250512_company_614517000.pdf","PDF")</f>
        <v>PDF</v>
      </c>
      <c r="K12352" s="12" t="s">
        <v>23335</v>
      </c>
    </row>
    <row r="12353" spans="1:12" x14ac:dyDescent="0.45">
      <c r="A12353" s="12" t="s">
        <v>23142</v>
      </c>
      <c r="B12353" s="12" t="s">
        <v>1184</v>
      </c>
      <c r="C12353" s="13" t="s">
        <v>1185</v>
      </c>
      <c r="D12353" s="13" t="s">
        <v>53</v>
      </c>
      <c r="E12353" s="12" t="s">
        <v>16</v>
      </c>
      <c r="F12353" s="14">
        <v>21000</v>
      </c>
      <c r="G12353" s="14">
        <v>14050</v>
      </c>
      <c r="H12353" s="13" t="s">
        <v>23336</v>
      </c>
      <c r="I12353" s="40" t="s">
        <v>18</v>
      </c>
      <c r="J12353" s="40" t="str">
        <f>HYPERLINK("https://stock.pstatic.net/stock-research/company/40/20250512_company_797339000.pdf","PDF")</f>
        <v>PDF</v>
      </c>
      <c r="K12353" s="12" t="s">
        <v>23337</v>
      </c>
      <c r="L12353" s="20">
        <v>0.49466192170818513</v>
      </c>
    </row>
    <row r="12354" spans="1:12" x14ac:dyDescent="0.45">
      <c r="A12354" s="12" t="s">
        <v>23142</v>
      </c>
      <c r="B12354" s="12" t="s">
        <v>1042</v>
      </c>
      <c r="C12354" s="13" t="s">
        <v>1043</v>
      </c>
      <c r="D12354" s="13" t="s">
        <v>53</v>
      </c>
      <c r="E12354" s="12" t="s">
        <v>16</v>
      </c>
      <c r="F12354" s="14">
        <v>48000</v>
      </c>
      <c r="G12354" s="14">
        <v>25350</v>
      </c>
      <c r="H12354" s="13" t="s">
        <v>23338</v>
      </c>
      <c r="I12354" s="40" t="s">
        <v>18</v>
      </c>
      <c r="J12354" s="40" t="str">
        <f>HYPERLINK("https://stock.pstatic.net/stock-research/company/40/20250512_company_411648000.pdf","PDF")</f>
        <v>PDF</v>
      </c>
      <c r="K12354" s="12" t="s">
        <v>23339</v>
      </c>
      <c r="L12354" s="20">
        <v>0.89349112426035504</v>
      </c>
    </row>
    <row r="12355" spans="1:12" x14ac:dyDescent="0.45">
      <c r="A12355" s="12" t="s">
        <v>23142</v>
      </c>
      <c r="B12355" s="12" t="s">
        <v>132</v>
      </c>
      <c r="C12355" s="13" t="s">
        <v>133</v>
      </c>
      <c r="D12355" s="13" t="s">
        <v>53</v>
      </c>
      <c r="E12355" s="12" t="s">
        <v>16</v>
      </c>
      <c r="F12355" s="14">
        <v>75000</v>
      </c>
      <c r="G12355" s="14">
        <v>61300</v>
      </c>
      <c r="H12355" s="13" t="s">
        <v>23340</v>
      </c>
      <c r="I12355" s="40" t="s">
        <v>18</v>
      </c>
      <c r="J12355" s="40" t="str">
        <f>HYPERLINK("https://stock.pstatic.net/stock-research/company/40/20250512_company_52164000.pdf","PDF")</f>
        <v>PDF</v>
      </c>
      <c r="K12355" s="12" t="s">
        <v>23341</v>
      </c>
      <c r="L12355" s="20">
        <v>0.22349102773246329</v>
      </c>
    </row>
    <row r="12356" spans="1:12" x14ac:dyDescent="0.45">
      <c r="A12356" s="12" t="s">
        <v>23142</v>
      </c>
      <c r="B12356" s="12" t="s">
        <v>42</v>
      </c>
      <c r="C12356" s="13" t="s">
        <v>43</v>
      </c>
      <c r="D12356" s="13" t="s">
        <v>53</v>
      </c>
      <c r="E12356" s="12" t="s">
        <v>16</v>
      </c>
      <c r="F12356" s="14">
        <v>300000</v>
      </c>
      <c r="G12356" s="14">
        <v>191000</v>
      </c>
      <c r="H12356" s="13" t="s">
        <v>23342</v>
      </c>
      <c r="I12356" s="40" t="s">
        <v>18</v>
      </c>
      <c r="J12356" s="40" t="str">
        <f>HYPERLINK("https://stock.pstatic.net/stock-research/company/40/20250512_company_631136000.pdf","PDF")</f>
        <v>PDF</v>
      </c>
      <c r="K12356" s="12" t="s">
        <v>23343</v>
      </c>
      <c r="L12356" s="20">
        <v>0.5706806282722513</v>
      </c>
    </row>
    <row r="12357" spans="1:12" x14ac:dyDescent="0.45">
      <c r="A12357" s="12" t="s">
        <v>23142</v>
      </c>
      <c r="B12357" s="12" t="s">
        <v>8204</v>
      </c>
      <c r="C12357" s="13" t="s">
        <v>8205</v>
      </c>
      <c r="D12357" s="13" t="s">
        <v>53</v>
      </c>
      <c r="E12357" s="12" t="s">
        <v>16</v>
      </c>
      <c r="F12357" s="14">
        <v>90000</v>
      </c>
      <c r="G12357" s="14">
        <v>60800</v>
      </c>
      <c r="H12357" s="13" t="s">
        <v>23344</v>
      </c>
      <c r="I12357" s="40" t="s">
        <v>18</v>
      </c>
      <c r="J12357" s="40" t="str">
        <f>HYPERLINK("https://stock.pstatic.net/stock-research/company/40/20250512_company_51703000.pdf","PDF")</f>
        <v>PDF</v>
      </c>
      <c r="K12357" s="12" t="s">
        <v>23345</v>
      </c>
      <c r="L12357" s="20">
        <v>0.48026315789473678</v>
      </c>
    </row>
    <row r="12358" spans="1:12" x14ac:dyDescent="0.45">
      <c r="A12358" s="12" t="s">
        <v>23142</v>
      </c>
      <c r="B12358" s="12" t="s">
        <v>1670</v>
      </c>
      <c r="C12358" s="13" t="s">
        <v>1671</v>
      </c>
      <c r="D12358" s="13" t="s">
        <v>15</v>
      </c>
      <c r="E12358" s="12" t="s">
        <v>50</v>
      </c>
      <c r="F12358" s="14">
        <v>127000</v>
      </c>
      <c r="G12358" s="14">
        <v>113800</v>
      </c>
      <c r="H12358" s="13" t="s">
        <v>23346</v>
      </c>
      <c r="I12358" s="40" t="s">
        <v>18</v>
      </c>
      <c r="J12358" s="40" t="str">
        <f>HYPERLINK("https://stock.pstatic.net/stock-research/company/29/20250512_company_859262000.pdf","PDF")</f>
        <v>PDF</v>
      </c>
      <c r="K12358" s="12" t="s">
        <v>23347</v>
      </c>
      <c r="L12358" s="20">
        <v>0.1159929701230228</v>
      </c>
    </row>
    <row r="12359" spans="1:12" x14ac:dyDescent="0.45">
      <c r="A12359" s="12" t="s">
        <v>23142</v>
      </c>
      <c r="B12359" s="12" t="s">
        <v>1670</v>
      </c>
      <c r="C12359" s="13" t="s">
        <v>1671</v>
      </c>
      <c r="D12359" s="13" t="s">
        <v>34</v>
      </c>
      <c r="E12359" s="12" t="s">
        <v>35</v>
      </c>
      <c r="F12359" s="14">
        <v>170000</v>
      </c>
      <c r="G12359" s="14">
        <v>113800</v>
      </c>
      <c r="H12359" s="13" t="s">
        <v>23348</v>
      </c>
      <c r="I12359" s="40" t="s">
        <v>18</v>
      </c>
      <c r="J12359" s="40" t="str">
        <f>HYPERLINK("https://stock.pstatic.net/stock-research/company/61/20250512_company_650155000.pdf","PDF")</f>
        <v>PDF</v>
      </c>
      <c r="K12359" s="12" t="s">
        <v>23349</v>
      </c>
      <c r="L12359" s="20">
        <v>0.4938488576449912</v>
      </c>
    </row>
    <row r="12360" spans="1:12" x14ac:dyDescent="0.45">
      <c r="A12360" s="12" t="s">
        <v>23142</v>
      </c>
      <c r="B12360" s="12" t="s">
        <v>724</v>
      </c>
      <c r="C12360" s="13" t="s">
        <v>725</v>
      </c>
      <c r="D12360" s="13" t="s">
        <v>15</v>
      </c>
      <c r="E12360" s="12" t="s">
        <v>16</v>
      </c>
      <c r="F12360" s="14">
        <v>85000</v>
      </c>
      <c r="G12360" s="14">
        <v>64800</v>
      </c>
      <c r="H12360" s="13" t="s">
        <v>23350</v>
      </c>
      <c r="I12360" s="40" t="s">
        <v>18</v>
      </c>
      <c r="J12360" s="40" t="str">
        <f>HYPERLINK("https://stock.pstatic.net/stock-research/company/29/20250512_company_260582000.pdf","PDF")</f>
        <v>PDF</v>
      </c>
      <c r="K12360" s="12" t="s">
        <v>23351</v>
      </c>
      <c r="L12360" s="20">
        <v>0.31172839506172839</v>
      </c>
    </row>
    <row r="12361" spans="1:12" x14ac:dyDescent="0.45">
      <c r="A12361" s="12" t="s">
        <v>23142</v>
      </c>
      <c r="B12361" s="12" t="s">
        <v>42</v>
      </c>
      <c r="C12361" s="13" t="s">
        <v>43</v>
      </c>
      <c r="D12361" s="13" t="s">
        <v>15</v>
      </c>
      <c r="E12361" s="12" t="s">
        <v>16</v>
      </c>
      <c r="F12361" s="14">
        <v>310000</v>
      </c>
      <c r="G12361" s="14">
        <v>188700</v>
      </c>
      <c r="H12361" s="13" t="s">
        <v>23352</v>
      </c>
      <c r="I12361" s="40" t="s">
        <v>18</v>
      </c>
      <c r="J12361" s="40" t="str">
        <f>HYPERLINK("https://stock.pstatic.net/stock-research/company/29/20250512_company_12733000.pdf","PDF")</f>
        <v>PDF</v>
      </c>
      <c r="K12361" s="12" t="s">
        <v>23353</v>
      </c>
      <c r="L12361" s="20">
        <v>0.64281928987811343</v>
      </c>
    </row>
    <row r="12362" spans="1:12" x14ac:dyDescent="0.45">
      <c r="A12362" s="12" t="s">
        <v>23354</v>
      </c>
      <c r="B12362" s="12" t="s">
        <v>495</v>
      </c>
      <c r="C12362" s="13" t="s">
        <v>496</v>
      </c>
      <c r="D12362" s="13" t="s">
        <v>276</v>
      </c>
      <c r="E12362" s="12" t="s">
        <v>16</v>
      </c>
      <c r="F12362" s="14">
        <v>125000</v>
      </c>
      <c r="G12362" s="14">
        <v>98400</v>
      </c>
      <c r="H12362" s="13" t="s">
        <v>23355</v>
      </c>
      <c r="I12362" s="40" t="s">
        <v>18</v>
      </c>
      <c r="J12362" s="40" t="str">
        <f>HYPERLINK("https://stock.pstatic.net/stock-research/company/66/20250509_company_414234000.pdf","PDF")</f>
        <v>PDF</v>
      </c>
      <c r="K12362" s="12" t="s">
        <v>23356</v>
      </c>
      <c r="L12362" s="20">
        <v>0.27032520325203252</v>
      </c>
    </row>
    <row r="12363" spans="1:12" x14ac:dyDescent="0.45">
      <c r="A12363" s="12" t="s">
        <v>23354</v>
      </c>
      <c r="B12363" s="12" t="s">
        <v>2225</v>
      </c>
      <c r="C12363" s="13" t="s">
        <v>5282</v>
      </c>
      <c r="D12363" s="13" t="s">
        <v>276</v>
      </c>
      <c r="E12363" s="12" t="s">
        <v>16</v>
      </c>
      <c r="F12363" s="14">
        <v>420000</v>
      </c>
      <c r="G12363" s="14">
        <v>372500</v>
      </c>
      <c r="H12363" s="13" t="s">
        <v>23357</v>
      </c>
      <c r="I12363" s="40" t="s">
        <v>18</v>
      </c>
      <c r="J12363" s="40" t="str">
        <f>HYPERLINK("https://stock.pstatic.net/stock-research/company/66/20250509_company_420136000.pdf","PDF")</f>
        <v>PDF</v>
      </c>
      <c r="K12363" s="12" t="s">
        <v>23358</v>
      </c>
      <c r="L12363" s="20">
        <v>0.12751677852348989</v>
      </c>
    </row>
    <row r="12364" spans="1:12" x14ac:dyDescent="0.45">
      <c r="A12364" s="12" t="s">
        <v>23354</v>
      </c>
      <c r="B12364" s="12" t="s">
        <v>1940</v>
      </c>
      <c r="C12364" s="13" t="s">
        <v>1941</v>
      </c>
      <c r="D12364" s="13" t="s">
        <v>276</v>
      </c>
      <c r="E12364" s="12" t="s">
        <v>16</v>
      </c>
      <c r="F12364" s="14">
        <v>16500</v>
      </c>
      <c r="G12364" s="14">
        <v>10610</v>
      </c>
      <c r="H12364" s="13" t="s">
        <v>23359</v>
      </c>
      <c r="I12364" s="40" t="s">
        <v>18</v>
      </c>
      <c r="J12364" s="40" t="str">
        <f>HYPERLINK("https://stock.pstatic.net/stock-research/company/66/20250509_company_783078000.pdf","PDF")</f>
        <v>PDF</v>
      </c>
      <c r="K12364" s="12" t="s">
        <v>23360</v>
      </c>
      <c r="L12364" s="20">
        <v>0.55513666352497648</v>
      </c>
    </row>
    <row r="12365" spans="1:12" x14ac:dyDescent="0.45">
      <c r="A12365" s="12" t="s">
        <v>23354</v>
      </c>
      <c r="B12365" s="12" t="s">
        <v>1652</v>
      </c>
      <c r="C12365" s="13" t="s">
        <v>1653</v>
      </c>
      <c r="D12365" s="13" t="s">
        <v>276</v>
      </c>
      <c r="E12365" s="12" t="s">
        <v>16</v>
      </c>
      <c r="F12365" s="14">
        <v>56000</v>
      </c>
      <c r="G12365" s="14">
        <v>42850</v>
      </c>
      <c r="H12365" s="13" t="s">
        <v>23361</v>
      </c>
      <c r="I12365" s="40" t="s">
        <v>18</v>
      </c>
      <c r="J12365" s="40" t="str">
        <f>HYPERLINK("https://stock.pstatic.net/stock-research/company/66/20250509_company_163993000.pdf","PDF")</f>
        <v>PDF</v>
      </c>
      <c r="K12365" s="12" t="s">
        <v>23362</v>
      </c>
      <c r="L12365" s="20">
        <v>0.30688448074679109</v>
      </c>
    </row>
    <row r="12366" spans="1:12" x14ac:dyDescent="0.45">
      <c r="A12366" s="12" t="s">
        <v>23354</v>
      </c>
      <c r="B12366" s="12" t="s">
        <v>1666</v>
      </c>
      <c r="C12366" s="13" t="s">
        <v>1667</v>
      </c>
      <c r="D12366" s="13" t="s">
        <v>276</v>
      </c>
      <c r="E12366" s="12" t="s">
        <v>16</v>
      </c>
      <c r="F12366" s="14">
        <v>64000</v>
      </c>
      <c r="G12366" s="14">
        <v>44950</v>
      </c>
      <c r="H12366" s="13" t="s">
        <v>23363</v>
      </c>
      <c r="I12366" s="40" t="s">
        <v>18</v>
      </c>
      <c r="J12366" s="40" t="str">
        <f>HYPERLINK("https://stock.pstatic.net/stock-research/company/1/20250509_company_72756000.pdf","PDF")</f>
        <v>PDF</v>
      </c>
      <c r="K12366" s="12" t="s">
        <v>23364</v>
      </c>
      <c r="L12366" s="20">
        <v>0.42380422691879871</v>
      </c>
    </row>
    <row r="12367" spans="1:12" x14ac:dyDescent="0.45">
      <c r="A12367" s="12" t="s">
        <v>23354</v>
      </c>
      <c r="B12367" s="12" t="s">
        <v>916</v>
      </c>
      <c r="C12367" s="13" t="s">
        <v>917</v>
      </c>
      <c r="D12367" s="13" t="s">
        <v>276</v>
      </c>
      <c r="E12367" s="12" t="s">
        <v>16</v>
      </c>
      <c r="F12367" s="14">
        <v>50000</v>
      </c>
      <c r="G12367" s="14">
        <v>37000</v>
      </c>
      <c r="H12367" s="13" t="s">
        <v>23365</v>
      </c>
      <c r="I12367" s="40" t="s">
        <v>18</v>
      </c>
      <c r="J12367" s="40" t="str">
        <f>HYPERLINK("https://stock.pstatic.net/stock-research/company/1/20250509_company_852217000.pdf","PDF")</f>
        <v>PDF</v>
      </c>
      <c r="K12367" s="12" t="s">
        <v>23366</v>
      </c>
      <c r="L12367" s="20">
        <v>0.35135135135135143</v>
      </c>
    </row>
    <row r="12368" spans="1:12" x14ac:dyDescent="0.45">
      <c r="A12368" s="12" t="s">
        <v>23354</v>
      </c>
      <c r="B12368" s="12" t="s">
        <v>156</v>
      </c>
      <c r="C12368" s="13" t="s">
        <v>157</v>
      </c>
      <c r="D12368" s="13" t="s">
        <v>276</v>
      </c>
      <c r="E12368" s="12" t="s">
        <v>385</v>
      </c>
      <c r="F12368" s="14">
        <v>3600</v>
      </c>
      <c r="G12368" s="14">
        <v>3520</v>
      </c>
      <c r="H12368" s="13" t="s">
        <v>23367</v>
      </c>
      <c r="I12368" s="40" t="s">
        <v>18</v>
      </c>
      <c r="J12368" s="40" t="str">
        <f>HYPERLINK("https://stock.pstatic.net/stock-research/company/66/20250509_company_71938000.pdf","PDF")</f>
        <v>PDF</v>
      </c>
      <c r="K12368" s="12" t="s">
        <v>23368</v>
      </c>
      <c r="L12368" s="20">
        <v>2.2727272727272731E-2</v>
      </c>
    </row>
    <row r="12369" spans="1:12" x14ac:dyDescent="0.45">
      <c r="A12369" s="12" t="s">
        <v>23354</v>
      </c>
      <c r="B12369" s="12" t="s">
        <v>489</v>
      </c>
      <c r="C12369" s="13" t="s">
        <v>490</v>
      </c>
      <c r="D12369" s="13" t="s">
        <v>276</v>
      </c>
      <c r="E12369" s="12" t="s">
        <v>16</v>
      </c>
      <c r="F12369" s="14">
        <v>23000</v>
      </c>
      <c r="G12369" s="14">
        <v>19700</v>
      </c>
      <c r="H12369" s="13" t="s">
        <v>23369</v>
      </c>
      <c r="I12369" s="40" t="s">
        <v>18</v>
      </c>
      <c r="J12369" s="40" t="str">
        <f>HYPERLINK("https://stock.pstatic.net/stock-research/company/66/20250509_company_221277000.pdf","PDF")</f>
        <v>PDF</v>
      </c>
      <c r="K12369" s="12" t="s">
        <v>23370</v>
      </c>
      <c r="L12369" s="20">
        <v>0.16751269035533001</v>
      </c>
    </row>
    <row r="12370" spans="1:12" x14ac:dyDescent="0.45">
      <c r="A12370" s="12" t="s">
        <v>23354</v>
      </c>
      <c r="B12370" s="12" t="s">
        <v>2613</v>
      </c>
      <c r="C12370" s="13" t="s">
        <v>2614</v>
      </c>
      <c r="D12370" s="13" t="s">
        <v>60</v>
      </c>
      <c r="E12370" s="12" t="s">
        <v>35</v>
      </c>
      <c r="F12370" s="14">
        <v>460000</v>
      </c>
      <c r="G12370" s="14">
        <v>367500</v>
      </c>
      <c r="H12370" s="13" t="s">
        <v>23371</v>
      </c>
      <c r="I12370" s="40" t="s">
        <v>18</v>
      </c>
      <c r="J12370" s="40" t="str">
        <f>HYPERLINK("https://stock.pstatic.net/stock-research/company/1/20250509_company_463188000.pdf","PDF")</f>
        <v>PDF</v>
      </c>
      <c r="K12370" s="12" t="s">
        <v>23372</v>
      </c>
      <c r="L12370" s="20">
        <v>0.25170068027210879</v>
      </c>
    </row>
    <row r="12371" spans="1:12" x14ac:dyDescent="0.45">
      <c r="A12371" s="12" t="s">
        <v>23354</v>
      </c>
      <c r="B12371" s="12" t="s">
        <v>1666</v>
      </c>
      <c r="C12371" s="13" t="s">
        <v>1667</v>
      </c>
      <c r="D12371" s="13" t="s">
        <v>60</v>
      </c>
      <c r="E12371" s="12" t="s">
        <v>35</v>
      </c>
      <c r="F12371" s="14">
        <v>60000</v>
      </c>
      <c r="G12371" s="14">
        <v>44950</v>
      </c>
      <c r="H12371" s="13" t="s">
        <v>23373</v>
      </c>
      <c r="I12371" s="40" t="s">
        <v>18</v>
      </c>
      <c r="J12371" s="40" t="str">
        <f>HYPERLINK("https://stock.pstatic.net/stock-research/company/1/20250509_company_770850000.pdf","PDF")</f>
        <v>PDF</v>
      </c>
      <c r="K12371" s="12" t="s">
        <v>23374</v>
      </c>
      <c r="L12371" s="20">
        <v>0.33481646273637372</v>
      </c>
    </row>
    <row r="12372" spans="1:12" x14ac:dyDescent="0.45">
      <c r="A12372" s="12" t="s">
        <v>23354</v>
      </c>
      <c r="B12372" s="12" t="s">
        <v>916</v>
      </c>
      <c r="C12372" s="13" t="s">
        <v>917</v>
      </c>
      <c r="D12372" s="13" t="s">
        <v>60</v>
      </c>
      <c r="E12372" s="12" t="s">
        <v>35</v>
      </c>
      <c r="F12372" s="14">
        <v>51000</v>
      </c>
      <c r="G12372" s="14">
        <v>37000</v>
      </c>
      <c r="H12372" s="13" t="s">
        <v>23375</v>
      </c>
      <c r="I12372" s="40" t="s">
        <v>18</v>
      </c>
      <c r="J12372" s="40" t="str">
        <f>HYPERLINK("https://stock.pstatic.net/stock-research/company/62/20250509_company_645544000.pdf","PDF")</f>
        <v>PDF</v>
      </c>
      <c r="K12372" s="12" t="s">
        <v>23376</v>
      </c>
      <c r="L12372" s="20">
        <v>0.3783783783783784</v>
      </c>
    </row>
    <row r="12373" spans="1:12" x14ac:dyDescent="0.45">
      <c r="A12373" s="12" t="s">
        <v>23354</v>
      </c>
      <c r="B12373" s="12" t="s">
        <v>495</v>
      </c>
      <c r="C12373" s="13" t="s">
        <v>496</v>
      </c>
      <c r="D12373" s="13" t="s">
        <v>60</v>
      </c>
      <c r="E12373" s="12" t="s">
        <v>35</v>
      </c>
      <c r="F12373" s="14">
        <v>130000</v>
      </c>
      <c r="G12373" s="14">
        <v>98400</v>
      </c>
      <c r="H12373" s="13" t="s">
        <v>23377</v>
      </c>
      <c r="I12373" s="40" t="s">
        <v>18</v>
      </c>
      <c r="J12373" s="40" t="str">
        <f>HYPERLINK("https://stock.pstatic.net/stock-research/company/62/20250509_company_548609000.pdf","PDF")</f>
        <v>PDF</v>
      </c>
      <c r="K12373" s="12" t="s">
        <v>23378</v>
      </c>
      <c r="L12373" s="20">
        <v>0.32113821138211379</v>
      </c>
    </row>
    <row r="12374" spans="1:12" x14ac:dyDescent="0.45">
      <c r="A12374" s="12" t="s">
        <v>23354</v>
      </c>
      <c r="B12374" s="12" t="s">
        <v>2425</v>
      </c>
      <c r="C12374" s="13" t="s">
        <v>2426</v>
      </c>
      <c r="D12374" s="13" t="s">
        <v>60</v>
      </c>
      <c r="E12374" s="12" t="s">
        <v>35</v>
      </c>
      <c r="F12374" s="14">
        <v>160000</v>
      </c>
      <c r="G12374" s="14">
        <v>117500</v>
      </c>
      <c r="H12374" s="13" t="s">
        <v>23379</v>
      </c>
      <c r="I12374" s="40" t="s">
        <v>18</v>
      </c>
      <c r="J12374" s="40" t="str">
        <f>HYPERLINK("https://stock.pstatic.net/stock-research/company/34/20250509_company_374488000.pdf","PDF")</f>
        <v>PDF</v>
      </c>
      <c r="K12374" s="12" t="s">
        <v>23380</v>
      </c>
      <c r="L12374" s="20">
        <v>0.36170212765957449</v>
      </c>
    </row>
    <row r="12375" spans="1:12" x14ac:dyDescent="0.45">
      <c r="A12375" s="12" t="s">
        <v>23354</v>
      </c>
      <c r="B12375" s="12" t="s">
        <v>2225</v>
      </c>
      <c r="C12375" s="13" t="s">
        <v>5282</v>
      </c>
      <c r="D12375" s="13" t="s">
        <v>60</v>
      </c>
      <c r="E12375" s="12" t="s">
        <v>35</v>
      </c>
      <c r="F12375" s="14">
        <v>450000</v>
      </c>
      <c r="G12375" s="14">
        <v>372500</v>
      </c>
      <c r="H12375" s="13" t="s">
        <v>23381</v>
      </c>
      <c r="I12375" s="40" t="s">
        <v>18</v>
      </c>
      <c r="J12375" s="40" t="str">
        <f>HYPERLINK("https://stock.pstatic.net/stock-research/company/62/20250509_company_359195000.pdf","PDF")</f>
        <v>PDF</v>
      </c>
      <c r="K12375" s="12" t="s">
        <v>23382</v>
      </c>
      <c r="L12375" s="20">
        <v>0.20805369127516779</v>
      </c>
    </row>
    <row r="12376" spans="1:12" x14ac:dyDescent="0.45">
      <c r="A12376" s="12" t="s">
        <v>23354</v>
      </c>
      <c r="B12376" s="12" t="s">
        <v>6914</v>
      </c>
      <c r="C12376" s="13" t="s">
        <v>6915</v>
      </c>
      <c r="D12376" s="13" t="s">
        <v>65</v>
      </c>
      <c r="E12376" s="12" t="s">
        <v>50</v>
      </c>
      <c r="F12376" s="13"/>
      <c r="G12376" s="14">
        <v>59800</v>
      </c>
      <c r="H12376" s="13" t="s">
        <v>23383</v>
      </c>
      <c r="I12376" s="40" t="s">
        <v>18</v>
      </c>
      <c r="J12376" s="40" t="str">
        <f>HYPERLINK("https://stock.pstatic.net/stock-research/company/57/20250509_company_148649000.pdf","PDF")</f>
        <v>PDF</v>
      </c>
      <c r="K12376" s="12" t="s">
        <v>23384</v>
      </c>
    </row>
    <row r="12377" spans="1:12" x14ac:dyDescent="0.45">
      <c r="A12377" s="12" t="s">
        <v>23354</v>
      </c>
      <c r="B12377" s="12" t="s">
        <v>2262</v>
      </c>
      <c r="C12377" s="13" t="s">
        <v>2263</v>
      </c>
      <c r="D12377" s="13" t="s">
        <v>65</v>
      </c>
      <c r="E12377" s="12" t="s">
        <v>35</v>
      </c>
      <c r="F12377" s="14">
        <v>16500</v>
      </c>
      <c r="G12377" s="14">
        <v>9760</v>
      </c>
      <c r="H12377" s="13" t="s">
        <v>23385</v>
      </c>
      <c r="I12377" s="40" t="s">
        <v>18</v>
      </c>
      <c r="J12377" s="40" t="str">
        <f>HYPERLINK("https://stock.pstatic.net/stock-research/company/57/20250509_company_443538000.pdf","PDF")</f>
        <v>PDF</v>
      </c>
      <c r="K12377" s="12" t="s">
        <v>23386</v>
      </c>
      <c r="L12377" s="20">
        <v>0.69057377049180324</v>
      </c>
    </row>
    <row r="12378" spans="1:12" x14ac:dyDescent="0.45">
      <c r="A12378" s="12" t="s">
        <v>23354</v>
      </c>
      <c r="B12378" s="12" t="s">
        <v>156</v>
      </c>
      <c r="C12378" s="13" t="s">
        <v>157</v>
      </c>
      <c r="D12378" s="13" t="s">
        <v>65</v>
      </c>
      <c r="E12378" s="12" t="s">
        <v>1738</v>
      </c>
      <c r="F12378" s="14">
        <v>4100</v>
      </c>
      <c r="G12378" s="14">
        <v>3395</v>
      </c>
      <c r="H12378" s="13" t="s">
        <v>23387</v>
      </c>
      <c r="I12378" s="40" t="s">
        <v>18</v>
      </c>
      <c r="J12378" s="40" t="str">
        <f>HYPERLINK("https://stock.pstatic.net/stock-research/company/57/20250509_company_483827000.pdf","PDF")</f>
        <v>PDF</v>
      </c>
      <c r="K12378" s="12" t="s">
        <v>23388</v>
      </c>
      <c r="L12378" s="20">
        <v>0.2076583210603829</v>
      </c>
    </row>
    <row r="12379" spans="1:12" x14ac:dyDescent="0.45">
      <c r="A12379" s="12" t="s">
        <v>23354</v>
      </c>
      <c r="B12379" s="12" t="s">
        <v>537</v>
      </c>
      <c r="C12379" s="13" t="s">
        <v>538</v>
      </c>
      <c r="D12379" s="13" t="s">
        <v>65</v>
      </c>
      <c r="E12379" s="12" t="s">
        <v>35</v>
      </c>
      <c r="F12379" s="14">
        <v>14000</v>
      </c>
      <c r="G12379" s="14">
        <v>12490</v>
      </c>
      <c r="H12379" s="13" t="s">
        <v>23389</v>
      </c>
      <c r="I12379" s="40" t="s">
        <v>18</v>
      </c>
      <c r="J12379" s="40" t="str">
        <f>HYPERLINK("https://stock.pstatic.net/stock-research/company/57/20250509_company_24530000.pdf","PDF")</f>
        <v>PDF</v>
      </c>
      <c r="K12379" s="12" t="s">
        <v>23390</v>
      </c>
      <c r="L12379" s="20">
        <v>0.12089671737389911</v>
      </c>
    </row>
    <row r="12380" spans="1:12" x14ac:dyDescent="0.45">
      <c r="A12380" s="12" t="s">
        <v>23354</v>
      </c>
      <c r="B12380" s="12" t="s">
        <v>537</v>
      </c>
      <c r="C12380" s="13" t="s">
        <v>538</v>
      </c>
      <c r="D12380" s="13" t="s">
        <v>65</v>
      </c>
      <c r="E12380" s="12" t="s">
        <v>35</v>
      </c>
      <c r="F12380" s="14">
        <v>14000</v>
      </c>
      <c r="G12380" s="14">
        <v>12490</v>
      </c>
      <c r="H12380" s="13" t="s">
        <v>23065</v>
      </c>
      <c r="I12380" s="40" t="s">
        <v>18</v>
      </c>
      <c r="J12380" s="40" t="str">
        <f>HYPERLINK("https://stock.pstatic.net/stock-research/company/57/20250509_company_100974000.pdf","PDF")</f>
        <v>PDF</v>
      </c>
      <c r="K12380" s="12" t="s">
        <v>23391</v>
      </c>
      <c r="L12380" s="20">
        <v>0.12089671737389911</v>
      </c>
    </row>
    <row r="12381" spans="1:12" x14ac:dyDescent="0.45">
      <c r="A12381" s="12" t="s">
        <v>23354</v>
      </c>
      <c r="B12381" s="12" t="s">
        <v>973</v>
      </c>
      <c r="C12381" s="13" t="s">
        <v>974</v>
      </c>
      <c r="D12381" s="13" t="s">
        <v>65</v>
      </c>
      <c r="E12381" s="12" t="s">
        <v>35</v>
      </c>
      <c r="F12381" s="14">
        <v>30000</v>
      </c>
      <c r="G12381" s="14">
        <v>19930</v>
      </c>
      <c r="H12381" s="13" t="s">
        <v>23392</v>
      </c>
      <c r="I12381" s="40" t="s">
        <v>18</v>
      </c>
      <c r="J12381" s="40" t="str">
        <f>HYPERLINK("https://stock.pstatic.net/stock-research/company/57/20250509_company_455926000.pdf","PDF")</f>
        <v>PDF</v>
      </c>
      <c r="K12381" s="12" t="s">
        <v>23393</v>
      </c>
      <c r="L12381" s="20">
        <v>0.5052684395383843</v>
      </c>
    </row>
    <row r="12382" spans="1:12" x14ac:dyDescent="0.45">
      <c r="A12382" s="12" t="s">
        <v>23354</v>
      </c>
      <c r="B12382" s="12" t="s">
        <v>495</v>
      </c>
      <c r="C12382" s="13" t="s">
        <v>496</v>
      </c>
      <c r="D12382" s="13" t="s">
        <v>65</v>
      </c>
      <c r="E12382" s="12" t="s">
        <v>35</v>
      </c>
      <c r="F12382" s="14">
        <v>120000</v>
      </c>
      <c r="G12382" s="14">
        <v>98400</v>
      </c>
      <c r="H12382" s="13" t="s">
        <v>23394</v>
      </c>
      <c r="I12382" s="40" t="s">
        <v>18</v>
      </c>
      <c r="J12382" s="40" t="str">
        <f>HYPERLINK("https://stock.pstatic.net/stock-research/company/57/20250509_company_775370000.pdf","PDF")</f>
        <v>PDF</v>
      </c>
      <c r="K12382" s="12" t="s">
        <v>23395</v>
      </c>
      <c r="L12382" s="20">
        <v>0.21951219512195119</v>
      </c>
    </row>
    <row r="12383" spans="1:12" x14ac:dyDescent="0.45">
      <c r="A12383" s="12" t="s">
        <v>23354</v>
      </c>
      <c r="B12383" s="12" t="s">
        <v>1741</v>
      </c>
      <c r="C12383" s="13" t="s">
        <v>1742</v>
      </c>
      <c r="D12383" s="13" t="s">
        <v>65</v>
      </c>
      <c r="E12383" s="12" t="s">
        <v>35</v>
      </c>
      <c r="F12383" s="14">
        <v>68000</v>
      </c>
      <c r="G12383" s="14">
        <v>51700</v>
      </c>
      <c r="H12383" s="13" t="s">
        <v>23396</v>
      </c>
      <c r="I12383" s="40" t="s">
        <v>18</v>
      </c>
      <c r="J12383" s="40" t="str">
        <f>HYPERLINK("https://stock.pstatic.net/stock-research/company/57/20250509_company_865983000.pdf","PDF")</f>
        <v>PDF</v>
      </c>
      <c r="K12383" s="12" t="s">
        <v>23397</v>
      </c>
      <c r="L12383" s="20">
        <v>0.31528046421663442</v>
      </c>
    </row>
    <row r="12384" spans="1:12" x14ac:dyDescent="0.45">
      <c r="A12384" s="12" t="s">
        <v>23354</v>
      </c>
      <c r="B12384" s="12" t="s">
        <v>1660</v>
      </c>
      <c r="C12384" s="13" t="s">
        <v>1661</v>
      </c>
      <c r="D12384" s="13" t="s">
        <v>65</v>
      </c>
      <c r="E12384" s="12" t="s">
        <v>35</v>
      </c>
      <c r="F12384" s="14">
        <v>59000</v>
      </c>
      <c r="G12384" s="14">
        <v>50800</v>
      </c>
      <c r="H12384" s="13" t="s">
        <v>23398</v>
      </c>
      <c r="I12384" s="40" t="s">
        <v>18</v>
      </c>
      <c r="J12384" s="40" t="str">
        <f>HYPERLINK("https://stock.pstatic.net/stock-research/company/57/20250509_company_665075000.pdf","PDF")</f>
        <v>PDF</v>
      </c>
      <c r="K12384" s="12" t="s">
        <v>23399</v>
      </c>
      <c r="L12384" s="20">
        <v>0.16141732283464569</v>
      </c>
    </row>
    <row r="12385" spans="1:12" x14ac:dyDescent="0.45">
      <c r="A12385" s="12" t="s">
        <v>23354</v>
      </c>
      <c r="B12385" s="12" t="s">
        <v>1678</v>
      </c>
      <c r="C12385" s="13" t="s">
        <v>1679</v>
      </c>
      <c r="D12385" s="13" t="s">
        <v>65</v>
      </c>
      <c r="E12385" s="12" t="s">
        <v>35</v>
      </c>
      <c r="F12385" s="14">
        <v>77000</v>
      </c>
      <c r="G12385" s="14">
        <v>55800</v>
      </c>
      <c r="H12385" s="13" t="s">
        <v>23400</v>
      </c>
      <c r="I12385" s="40" t="s">
        <v>18</v>
      </c>
      <c r="J12385" s="40" t="str">
        <f>HYPERLINK("https://stock.pstatic.net/stock-research/company/1/20250509_company_738834000.pdf","PDF")</f>
        <v>PDF</v>
      </c>
      <c r="K12385" s="12" t="s">
        <v>23401</v>
      </c>
      <c r="L12385" s="20">
        <v>0.37992831541218641</v>
      </c>
    </row>
    <row r="12386" spans="1:12" x14ac:dyDescent="0.45">
      <c r="A12386" s="12" t="s">
        <v>23354</v>
      </c>
      <c r="B12386" s="12" t="s">
        <v>1666</v>
      </c>
      <c r="C12386" s="13" t="s">
        <v>1667</v>
      </c>
      <c r="D12386" s="13" t="s">
        <v>65</v>
      </c>
      <c r="E12386" s="12" t="s">
        <v>35</v>
      </c>
      <c r="F12386" s="14">
        <v>52000</v>
      </c>
      <c r="G12386" s="14">
        <v>44950</v>
      </c>
      <c r="H12386" s="13" t="s">
        <v>23402</v>
      </c>
      <c r="I12386" s="40" t="s">
        <v>18</v>
      </c>
      <c r="J12386" s="40" t="str">
        <f>HYPERLINK("https://stock.pstatic.net/stock-research/company/1/20250509_company_206677000.pdf","PDF")</f>
        <v>PDF</v>
      </c>
      <c r="K12386" s="12" t="s">
        <v>23403</v>
      </c>
      <c r="L12386" s="20">
        <v>0.15684093437152391</v>
      </c>
    </row>
    <row r="12387" spans="1:12" x14ac:dyDescent="0.45">
      <c r="A12387" s="12" t="s">
        <v>23354</v>
      </c>
      <c r="B12387" s="12" t="s">
        <v>916</v>
      </c>
      <c r="C12387" s="13" t="s">
        <v>917</v>
      </c>
      <c r="D12387" s="13" t="s">
        <v>65</v>
      </c>
      <c r="E12387" s="12" t="s">
        <v>35</v>
      </c>
      <c r="F12387" s="14">
        <v>50000</v>
      </c>
      <c r="G12387" s="14">
        <v>37000</v>
      </c>
      <c r="H12387" s="13" t="s">
        <v>23404</v>
      </c>
      <c r="I12387" s="40" t="s">
        <v>18</v>
      </c>
      <c r="J12387" s="40" t="str">
        <f>HYPERLINK("https://stock.pstatic.net/stock-research/company/57/20250509_company_760355000.pdf","PDF")</f>
        <v>PDF</v>
      </c>
      <c r="K12387" s="12" t="s">
        <v>23405</v>
      </c>
      <c r="L12387" s="20">
        <v>0.35135135135135143</v>
      </c>
    </row>
    <row r="12388" spans="1:12" x14ac:dyDescent="0.45">
      <c r="A12388" s="12" t="s">
        <v>23354</v>
      </c>
      <c r="B12388" s="12" t="s">
        <v>784</v>
      </c>
      <c r="C12388" s="13" t="s">
        <v>785</v>
      </c>
      <c r="D12388" s="13" t="s">
        <v>65</v>
      </c>
      <c r="E12388" s="12" t="s">
        <v>35</v>
      </c>
      <c r="F12388" s="14">
        <v>12000</v>
      </c>
      <c r="G12388" s="14">
        <v>9400</v>
      </c>
      <c r="H12388" s="13" t="s">
        <v>23406</v>
      </c>
      <c r="I12388" s="40" t="s">
        <v>18</v>
      </c>
      <c r="J12388" s="40" t="str">
        <f>HYPERLINK("https://stock.pstatic.net/stock-research/company/57/20250509_company_776869000.pdf","PDF")</f>
        <v>PDF</v>
      </c>
      <c r="K12388" s="12" t="s">
        <v>23407</v>
      </c>
      <c r="L12388" s="20">
        <v>0.27659574468085107</v>
      </c>
    </row>
    <row r="12389" spans="1:12" x14ac:dyDescent="0.45">
      <c r="A12389" s="12" t="s">
        <v>23354</v>
      </c>
      <c r="B12389" s="12" t="s">
        <v>1144</v>
      </c>
      <c r="C12389" s="13" t="s">
        <v>1145</v>
      </c>
      <c r="D12389" s="13" t="s">
        <v>65</v>
      </c>
      <c r="E12389" s="12" t="s">
        <v>35</v>
      </c>
      <c r="F12389" s="14">
        <v>88000</v>
      </c>
      <c r="G12389" s="14">
        <v>62600</v>
      </c>
      <c r="H12389" s="13" t="s">
        <v>23408</v>
      </c>
      <c r="I12389" s="40" t="s">
        <v>18</v>
      </c>
      <c r="J12389" s="40" t="str">
        <f>HYPERLINK("https://stock.pstatic.net/stock-research/company/1/20250509_company_47559000.pdf","PDF")</f>
        <v>PDF</v>
      </c>
      <c r="K12389" s="12" t="s">
        <v>23409</v>
      </c>
      <c r="L12389" s="20">
        <v>0.40575079872204473</v>
      </c>
    </row>
    <row r="12390" spans="1:12" x14ac:dyDescent="0.45">
      <c r="A12390" s="12" t="s">
        <v>23354</v>
      </c>
      <c r="B12390" s="12" t="s">
        <v>1652</v>
      </c>
      <c r="C12390" s="13" t="s">
        <v>1653</v>
      </c>
      <c r="D12390" s="13" t="s">
        <v>65</v>
      </c>
      <c r="E12390" s="12" t="s">
        <v>35</v>
      </c>
      <c r="F12390" s="14">
        <v>68000</v>
      </c>
      <c r="G12390" s="14">
        <v>42850</v>
      </c>
      <c r="H12390" s="13" t="s">
        <v>23410</v>
      </c>
      <c r="I12390" s="40" t="s">
        <v>18</v>
      </c>
      <c r="J12390" s="40" t="str">
        <f>HYPERLINK("https://stock.pstatic.net/stock-research/company/57/20250509_company_763865000.pdf","PDF")</f>
        <v>PDF</v>
      </c>
      <c r="K12390" s="12" t="s">
        <v>23411</v>
      </c>
      <c r="L12390" s="20">
        <v>0.58693115519253214</v>
      </c>
    </row>
    <row r="12391" spans="1:12" x14ac:dyDescent="0.45">
      <c r="A12391" s="12" t="s">
        <v>23354</v>
      </c>
      <c r="B12391" s="12" t="s">
        <v>1678</v>
      </c>
      <c r="C12391" s="13" t="s">
        <v>1679</v>
      </c>
      <c r="D12391" s="13" t="s">
        <v>57</v>
      </c>
      <c r="E12391" s="12" t="s">
        <v>35</v>
      </c>
      <c r="F12391" s="14">
        <v>72000</v>
      </c>
      <c r="G12391" s="14">
        <v>55800</v>
      </c>
      <c r="H12391" s="13" t="s">
        <v>23412</v>
      </c>
      <c r="I12391" s="40" t="s">
        <v>18</v>
      </c>
      <c r="J12391" s="40" t="str">
        <f>HYPERLINK("https://stock.pstatic.net/stock-research/company/16/20250509_company_578331000.pdf","PDF")</f>
        <v>PDF</v>
      </c>
      <c r="K12391" s="12" t="s">
        <v>23413</v>
      </c>
      <c r="L12391" s="20">
        <v>0.29032258064516131</v>
      </c>
    </row>
    <row r="12392" spans="1:12" x14ac:dyDescent="0.45">
      <c r="A12392" s="12" t="s">
        <v>23354</v>
      </c>
      <c r="B12392" s="12" t="s">
        <v>2425</v>
      </c>
      <c r="C12392" s="13" t="s">
        <v>2426</v>
      </c>
      <c r="D12392" s="13" t="s">
        <v>57</v>
      </c>
      <c r="E12392" s="12" t="s">
        <v>35</v>
      </c>
      <c r="F12392" s="14">
        <v>150000</v>
      </c>
      <c r="G12392" s="14">
        <v>117500</v>
      </c>
      <c r="H12392" s="13" t="s">
        <v>23414</v>
      </c>
      <c r="I12392" s="40" t="s">
        <v>18</v>
      </c>
      <c r="J12392" s="40" t="str">
        <f>HYPERLINK("https://stock.pstatic.net/stock-research/company/16/20250509_company_244940000.pdf","PDF")</f>
        <v>PDF</v>
      </c>
      <c r="K12392" s="12" t="s">
        <v>23415</v>
      </c>
      <c r="L12392" s="20">
        <v>0.27659574468085107</v>
      </c>
    </row>
    <row r="12393" spans="1:12" x14ac:dyDescent="0.45">
      <c r="A12393" s="12" t="s">
        <v>23354</v>
      </c>
      <c r="B12393" s="12" t="s">
        <v>973</v>
      </c>
      <c r="C12393" s="13" t="s">
        <v>974</v>
      </c>
      <c r="D12393" s="13" t="s">
        <v>57</v>
      </c>
      <c r="E12393" s="12" t="s">
        <v>35</v>
      </c>
      <c r="F12393" s="14">
        <v>29000</v>
      </c>
      <c r="G12393" s="14">
        <v>19930</v>
      </c>
      <c r="H12393" s="13" t="s">
        <v>23416</v>
      </c>
      <c r="I12393" s="40" t="s">
        <v>18</v>
      </c>
      <c r="J12393" s="40" t="str">
        <f>HYPERLINK("https://stock.pstatic.net/stock-research/company/16/20250509_company_41769000.pdf","PDF")</f>
        <v>PDF</v>
      </c>
      <c r="K12393" s="12" t="s">
        <v>23417</v>
      </c>
      <c r="L12393" s="20">
        <v>0.45509282488710479</v>
      </c>
    </row>
    <row r="12394" spans="1:12" x14ac:dyDescent="0.45">
      <c r="A12394" s="12" t="s">
        <v>23354</v>
      </c>
      <c r="B12394" s="12" t="s">
        <v>495</v>
      </c>
      <c r="C12394" s="13" t="s">
        <v>496</v>
      </c>
      <c r="D12394" s="13" t="s">
        <v>57</v>
      </c>
      <c r="E12394" s="12" t="s">
        <v>35</v>
      </c>
      <c r="F12394" s="14">
        <v>130000</v>
      </c>
      <c r="G12394" s="14">
        <v>98400</v>
      </c>
      <c r="H12394" s="13" t="s">
        <v>23418</v>
      </c>
      <c r="I12394" s="40" t="s">
        <v>18</v>
      </c>
      <c r="J12394" s="40" t="str">
        <f>HYPERLINK("https://stock.pstatic.net/stock-research/company/16/20250509_company_533886000.pdf","PDF")</f>
        <v>PDF</v>
      </c>
      <c r="K12394" s="12" t="s">
        <v>23419</v>
      </c>
      <c r="L12394" s="20">
        <v>0.32113821138211379</v>
      </c>
    </row>
    <row r="12395" spans="1:12" x14ac:dyDescent="0.45">
      <c r="A12395" s="12" t="s">
        <v>23354</v>
      </c>
      <c r="B12395" s="12" t="s">
        <v>6914</v>
      </c>
      <c r="C12395" s="13" t="s">
        <v>6915</v>
      </c>
      <c r="D12395" s="13" t="s">
        <v>57</v>
      </c>
      <c r="E12395" s="12" t="s">
        <v>35</v>
      </c>
      <c r="F12395" s="14">
        <v>74000</v>
      </c>
      <c r="G12395" s="14">
        <v>59800</v>
      </c>
      <c r="H12395" s="13" t="s">
        <v>23420</v>
      </c>
      <c r="I12395" s="40" t="s">
        <v>18</v>
      </c>
      <c r="J12395" s="40" t="str">
        <f>HYPERLINK("https://stock.pstatic.net/stock-research/company/1/20250509_company_272496000.pdf","PDF")</f>
        <v>PDF</v>
      </c>
      <c r="K12395" s="12" t="s">
        <v>23421</v>
      </c>
      <c r="L12395" s="20">
        <v>0.23745819397993309</v>
      </c>
    </row>
    <row r="12396" spans="1:12" x14ac:dyDescent="0.45">
      <c r="A12396" s="12" t="s">
        <v>23354</v>
      </c>
      <c r="B12396" s="12" t="s">
        <v>2225</v>
      </c>
      <c r="C12396" s="13" t="s">
        <v>5282</v>
      </c>
      <c r="D12396" s="13" t="s">
        <v>57</v>
      </c>
      <c r="E12396" s="12" t="s">
        <v>35</v>
      </c>
      <c r="F12396" s="14">
        <v>460000</v>
      </c>
      <c r="G12396" s="14">
        <v>372500</v>
      </c>
      <c r="H12396" s="13" t="s">
        <v>23422</v>
      </c>
      <c r="I12396" s="40" t="s">
        <v>18</v>
      </c>
      <c r="J12396" s="40" t="str">
        <f>HYPERLINK("https://stock.pstatic.net/stock-research/company/16/20250509_company_407089000.pdf","PDF")</f>
        <v>PDF</v>
      </c>
      <c r="K12396" s="12" t="s">
        <v>23423</v>
      </c>
      <c r="L12396" s="20">
        <v>0.2348993288590604</v>
      </c>
    </row>
    <row r="12397" spans="1:12" x14ac:dyDescent="0.45">
      <c r="A12397" s="12" t="s">
        <v>23354</v>
      </c>
      <c r="B12397" s="12" t="s">
        <v>1097</v>
      </c>
      <c r="C12397" s="13" t="s">
        <v>1098</v>
      </c>
      <c r="D12397" s="13" t="s">
        <v>57</v>
      </c>
      <c r="E12397" s="12" t="s">
        <v>35</v>
      </c>
      <c r="F12397" s="14">
        <v>140000</v>
      </c>
      <c r="G12397" s="14">
        <v>112600</v>
      </c>
      <c r="H12397" s="13" t="s">
        <v>23424</v>
      </c>
      <c r="I12397" s="40" t="s">
        <v>18</v>
      </c>
      <c r="J12397" s="40" t="str">
        <f>HYPERLINK("https://stock.pstatic.net/stock-research/company/16/20250509_company_341686000.pdf","PDF")</f>
        <v>PDF</v>
      </c>
      <c r="K12397" s="12" t="s">
        <v>23425</v>
      </c>
      <c r="L12397" s="20">
        <v>0.2433392539964476</v>
      </c>
    </row>
    <row r="12398" spans="1:12" x14ac:dyDescent="0.45">
      <c r="A12398" s="12" t="s">
        <v>23354</v>
      </c>
      <c r="B12398" s="12" t="s">
        <v>916</v>
      </c>
      <c r="C12398" s="13" t="s">
        <v>917</v>
      </c>
      <c r="D12398" s="13" t="s">
        <v>57</v>
      </c>
      <c r="E12398" s="12" t="s">
        <v>35</v>
      </c>
      <c r="F12398" s="14">
        <v>52000</v>
      </c>
      <c r="G12398" s="14">
        <v>38350</v>
      </c>
      <c r="H12398" s="13" t="s">
        <v>23426</v>
      </c>
      <c r="I12398" s="40" t="s">
        <v>18</v>
      </c>
      <c r="J12398" s="40" t="str">
        <f>HYPERLINK("https://stock.pstatic.net/stock-research/company/16/20250509_company_131093000.pdf","PDF")</f>
        <v>PDF</v>
      </c>
      <c r="K12398" s="12" t="s">
        <v>23427</v>
      </c>
      <c r="L12398" s="20">
        <v>0.3559322033898305</v>
      </c>
    </row>
    <row r="12399" spans="1:12" x14ac:dyDescent="0.45">
      <c r="A12399" s="12" t="s">
        <v>23354</v>
      </c>
      <c r="B12399" s="12" t="s">
        <v>495</v>
      </c>
      <c r="C12399" s="13" t="s">
        <v>496</v>
      </c>
      <c r="D12399" s="13" t="s">
        <v>158</v>
      </c>
      <c r="E12399" s="12" t="s">
        <v>35</v>
      </c>
      <c r="F12399" s="14">
        <v>130000</v>
      </c>
      <c r="G12399" s="14">
        <v>98400</v>
      </c>
      <c r="H12399" s="13" t="s">
        <v>23428</v>
      </c>
      <c r="I12399" s="40" t="s">
        <v>18</v>
      </c>
      <c r="J12399" s="40" t="str">
        <f>HYPERLINK("https://stock.pstatic.net/stock-research/company/1/20250509_company_251856000.pdf","PDF")</f>
        <v>PDF</v>
      </c>
      <c r="K12399" s="12" t="s">
        <v>23429</v>
      </c>
      <c r="L12399" s="20">
        <v>0.32113821138211379</v>
      </c>
    </row>
    <row r="12400" spans="1:12" x14ac:dyDescent="0.45">
      <c r="A12400" s="12" t="s">
        <v>23354</v>
      </c>
      <c r="B12400" s="12" t="s">
        <v>3492</v>
      </c>
      <c r="C12400" s="13" t="s">
        <v>3493</v>
      </c>
      <c r="D12400" s="13" t="s">
        <v>158</v>
      </c>
      <c r="E12400" s="12" t="s">
        <v>159</v>
      </c>
      <c r="F12400" s="14">
        <v>16000</v>
      </c>
      <c r="G12400" s="14">
        <v>15130</v>
      </c>
      <c r="H12400" s="13" t="s">
        <v>23430</v>
      </c>
      <c r="I12400" s="40" t="s">
        <v>18</v>
      </c>
      <c r="J12400" s="40" t="str">
        <f>HYPERLINK("https://stock.pstatic.net/stock-research/company/18/20250509_company_145559000.pdf","PDF")</f>
        <v>PDF</v>
      </c>
      <c r="K12400" s="12" t="s">
        <v>23431</v>
      </c>
      <c r="L12400" s="20">
        <v>5.750165234633179E-2</v>
      </c>
    </row>
    <row r="12401" spans="1:12" x14ac:dyDescent="0.45">
      <c r="A12401" s="12" t="s">
        <v>23354</v>
      </c>
      <c r="B12401" s="12" t="s">
        <v>916</v>
      </c>
      <c r="C12401" s="13" t="s">
        <v>917</v>
      </c>
      <c r="D12401" s="13" t="s">
        <v>158</v>
      </c>
      <c r="E12401" s="12" t="s">
        <v>35</v>
      </c>
      <c r="F12401" s="14">
        <v>53000</v>
      </c>
      <c r="G12401" s="14">
        <v>37000</v>
      </c>
      <c r="H12401" s="13" t="s">
        <v>23432</v>
      </c>
      <c r="I12401" s="40" t="s">
        <v>18</v>
      </c>
      <c r="J12401" s="40" t="str">
        <f>HYPERLINK("https://stock.pstatic.net/stock-research/company/18/20250509_company_687484000.pdf","PDF")</f>
        <v>PDF</v>
      </c>
      <c r="K12401" s="12" t="s">
        <v>23433</v>
      </c>
      <c r="L12401" s="20">
        <v>0.43243243243243251</v>
      </c>
    </row>
    <row r="12402" spans="1:12" x14ac:dyDescent="0.45">
      <c r="A12402" s="12" t="s">
        <v>23354</v>
      </c>
      <c r="B12402" s="12" t="s">
        <v>2225</v>
      </c>
      <c r="C12402" s="13" t="s">
        <v>5282</v>
      </c>
      <c r="D12402" s="13" t="s">
        <v>15</v>
      </c>
      <c r="E12402" s="12" t="s">
        <v>16</v>
      </c>
      <c r="F12402" s="14">
        <v>450000</v>
      </c>
      <c r="G12402" s="14">
        <v>372500</v>
      </c>
      <c r="H12402" s="13" t="s">
        <v>23434</v>
      </c>
      <c r="I12402" s="40" t="s">
        <v>18</v>
      </c>
      <c r="J12402" s="40" t="str">
        <f>HYPERLINK("https://stock.pstatic.net/stock-research/company/29/20250509_company_169483000.pdf","PDF")</f>
        <v>PDF</v>
      </c>
      <c r="K12402" s="12" t="s">
        <v>23435</v>
      </c>
      <c r="L12402" s="20">
        <v>0.20805369127516779</v>
      </c>
    </row>
    <row r="12403" spans="1:12" x14ac:dyDescent="0.45">
      <c r="A12403" s="12" t="s">
        <v>23354</v>
      </c>
      <c r="B12403" s="12" t="s">
        <v>904</v>
      </c>
      <c r="C12403" s="13" t="s">
        <v>905</v>
      </c>
      <c r="D12403" s="13" t="s">
        <v>23</v>
      </c>
      <c r="E12403" s="12" t="s">
        <v>16</v>
      </c>
      <c r="F12403" s="13"/>
      <c r="G12403" s="14">
        <v>66600</v>
      </c>
      <c r="H12403" s="13" t="s">
        <v>23436</v>
      </c>
      <c r="I12403" s="40" t="s">
        <v>18</v>
      </c>
      <c r="J12403" s="40" t="str">
        <f>HYPERLINK("https://stock.pstatic.net/stock-research/company/21/20250509_company_383200000.pdf","PDF")</f>
        <v>PDF</v>
      </c>
      <c r="K12403" s="12" t="s">
        <v>23437</v>
      </c>
    </row>
    <row r="12404" spans="1:12" x14ac:dyDescent="0.45">
      <c r="A12404" s="12" t="s">
        <v>23354</v>
      </c>
      <c r="B12404" s="12" t="s">
        <v>784</v>
      </c>
      <c r="C12404" s="13" t="s">
        <v>785</v>
      </c>
      <c r="D12404" s="13" t="s">
        <v>15</v>
      </c>
      <c r="E12404" s="12" t="s">
        <v>16</v>
      </c>
      <c r="F12404" s="14">
        <v>13000</v>
      </c>
      <c r="G12404" s="14">
        <v>9400</v>
      </c>
      <c r="H12404" s="13" t="s">
        <v>23438</v>
      </c>
      <c r="I12404" s="40" t="s">
        <v>18</v>
      </c>
      <c r="J12404" s="40" t="str">
        <f>HYPERLINK("https://stock.pstatic.net/stock-research/company/29/20250509_company_709730000.pdf","PDF")</f>
        <v>PDF</v>
      </c>
      <c r="K12404" s="12" t="s">
        <v>23439</v>
      </c>
      <c r="L12404" s="20">
        <v>0.38297872340425532</v>
      </c>
    </row>
    <row r="12405" spans="1:12" x14ac:dyDescent="0.45">
      <c r="A12405" s="12" t="s">
        <v>23354</v>
      </c>
      <c r="B12405" s="12" t="s">
        <v>6914</v>
      </c>
      <c r="C12405" s="13" t="s">
        <v>6915</v>
      </c>
      <c r="D12405" s="13" t="s">
        <v>15</v>
      </c>
      <c r="E12405" s="12" t="s">
        <v>50</v>
      </c>
      <c r="F12405" s="13"/>
      <c r="G12405" s="14">
        <v>59800</v>
      </c>
      <c r="H12405" s="13" t="s">
        <v>18002</v>
      </c>
      <c r="I12405" s="40" t="s">
        <v>18</v>
      </c>
      <c r="J12405" s="40" t="str">
        <f>HYPERLINK("https://stock.pstatic.net/stock-research/company/29/20250509_company_759316000.pdf","PDF")</f>
        <v>PDF</v>
      </c>
      <c r="K12405" s="12" t="s">
        <v>23440</v>
      </c>
    </row>
    <row r="12406" spans="1:12" x14ac:dyDescent="0.45">
      <c r="A12406" s="12" t="s">
        <v>23354</v>
      </c>
      <c r="B12406" s="12" t="s">
        <v>495</v>
      </c>
      <c r="C12406" s="13" t="s">
        <v>496</v>
      </c>
      <c r="D12406" s="13" t="s">
        <v>15</v>
      </c>
      <c r="E12406" s="12" t="s">
        <v>16</v>
      </c>
      <c r="F12406" s="14">
        <v>125000</v>
      </c>
      <c r="G12406" s="14">
        <v>98400</v>
      </c>
      <c r="H12406" s="13" t="s">
        <v>23441</v>
      </c>
      <c r="I12406" s="40" t="s">
        <v>18</v>
      </c>
      <c r="J12406" s="40" t="str">
        <f>HYPERLINK("https://stock.pstatic.net/stock-research/company/29/20250509_company_386203000.pdf","PDF")</f>
        <v>PDF</v>
      </c>
      <c r="K12406" s="12" t="s">
        <v>23442</v>
      </c>
      <c r="L12406" s="20">
        <v>0.27032520325203252</v>
      </c>
    </row>
    <row r="12407" spans="1:12" x14ac:dyDescent="0.45">
      <c r="A12407" s="12" t="s">
        <v>23354</v>
      </c>
      <c r="B12407" s="12" t="s">
        <v>1660</v>
      </c>
      <c r="C12407" s="13" t="s">
        <v>1661</v>
      </c>
      <c r="D12407" s="13" t="s">
        <v>15</v>
      </c>
      <c r="E12407" s="12" t="s">
        <v>16</v>
      </c>
      <c r="F12407" s="14">
        <v>63000</v>
      </c>
      <c r="G12407" s="14">
        <v>50800</v>
      </c>
      <c r="H12407" s="13" t="s">
        <v>23443</v>
      </c>
      <c r="I12407" s="40" t="s">
        <v>18</v>
      </c>
      <c r="J12407" s="40" t="str">
        <f>HYPERLINK("https://stock.pstatic.net/stock-research/company/29/20250509_company_956372000.pdf","PDF")</f>
        <v>PDF</v>
      </c>
      <c r="K12407" s="12" t="s">
        <v>23444</v>
      </c>
      <c r="L12407" s="20">
        <v>0.24015748031496059</v>
      </c>
    </row>
    <row r="12408" spans="1:12" x14ac:dyDescent="0.45">
      <c r="A12408" s="12" t="s">
        <v>23354</v>
      </c>
      <c r="B12408" s="12" t="s">
        <v>1648</v>
      </c>
      <c r="C12408" s="13" t="s">
        <v>1649</v>
      </c>
      <c r="D12408" s="13" t="s">
        <v>83</v>
      </c>
      <c r="E12408" s="12" t="s">
        <v>35</v>
      </c>
      <c r="F12408" s="14">
        <v>150000</v>
      </c>
      <c r="G12408" s="14">
        <v>127500</v>
      </c>
      <c r="H12408" s="13" t="s">
        <v>23445</v>
      </c>
      <c r="I12408" s="40" t="s">
        <v>18</v>
      </c>
      <c r="J12408" s="40" t="str">
        <f>HYPERLINK("https://stock.pstatic.net/stock-research/company/2/20250509_company_935084000.pdf","PDF")</f>
        <v>PDF</v>
      </c>
      <c r="K12408" s="12" t="s">
        <v>23446</v>
      </c>
      <c r="L12408" s="20">
        <v>0.1764705882352941</v>
      </c>
    </row>
    <row r="12409" spans="1:12" x14ac:dyDescent="0.45">
      <c r="A12409" s="12" t="s">
        <v>23354</v>
      </c>
      <c r="B12409" s="12" t="s">
        <v>1097</v>
      </c>
      <c r="C12409" s="13" t="s">
        <v>1098</v>
      </c>
      <c r="D12409" s="13" t="s">
        <v>83</v>
      </c>
      <c r="E12409" s="12" t="s">
        <v>35</v>
      </c>
      <c r="F12409" s="14">
        <v>140000</v>
      </c>
      <c r="G12409" s="14">
        <v>112600</v>
      </c>
      <c r="H12409" s="13" t="s">
        <v>23447</v>
      </c>
      <c r="I12409" s="40" t="s">
        <v>18</v>
      </c>
      <c r="J12409" s="40" t="str">
        <f>HYPERLINK("https://stock.pstatic.net/stock-research/company/2/20250509_company_862692000.pdf","PDF")</f>
        <v>PDF</v>
      </c>
      <c r="K12409" s="12" t="s">
        <v>23448</v>
      </c>
      <c r="L12409" s="20">
        <v>0.2433392539964476</v>
      </c>
    </row>
    <row r="12410" spans="1:12" x14ac:dyDescent="0.45">
      <c r="A12410" s="12" t="s">
        <v>23354</v>
      </c>
      <c r="B12410" s="12" t="s">
        <v>110</v>
      </c>
      <c r="C12410" s="13" t="s">
        <v>111</v>
      </c>
      <c r="D12410" s="13" t="s">
        <v>83</v>
      </c>
      <c r="E12410" s="12" t="s">
        <v>35</v>
      </c>
      <c r="F12410" s="14">
        <v>28000</v>
      </c>
      <c r="G12410" s="14">
        <v>16160</v>
      </c>
      <c r="H12410" s="13" t="s">
        <v>23449</v>
      </c>
      <c r="I12410" s="40" t="s">
        <v>18</v>
      </c>
      <c r="J12410" s="40" t="str">
        <f>HYPERLINK("https://stock.pstatic.net/stock-research/company/2/20250509_company_754317000.pdf","PDF")</f>
        <v>PDF</v>
      </c>
      <c r="K12410" s="12" t="s">
        <v>23450</v>
      </c>
      <c r="L12410" s="20">
        <v>0.73267326732673266</v>
      </c>
    </row>
    <row r="12411" spans="1:12" x14ac:dyDescent="0.45">
      <c r="A12411" s="12" t="s">
        <v>23354</v>
      </c>
      <c r="B12411" s="12" t="s">
        <v>537</v>
      </c>
      <c r="C12411" s="13" t="s">
        <v>538</v>
      </c>
      <c r="D12411" s="13" t="s">
        <v>83</v>
      </c>
      <c r="E12411" s="12" t="s">
        <v>35</v>
      </c>
      <c r="F12411" s="14">
        <v>17000</v>
      </c>
      <c r="G12411" s="14">
        <v>12490</v>
      </c>
      <c r="H12411" s="13" t="s">
        <v>23451</v>
      </c>
      <c r="I12411" s="40" t="s">
        <v>18</v>
      </c>
      <c r="J12411" s="40" t="str">
        <f>HYPERLINK("https://stock.pstatic.net/stock-research/company/2/20250509_company_141390000.pdf","PDF")</f>
        <v>PDF</v>
      </c>
      <c r="K12411" s="12" t="s">
        <v>23452</v>
      </c>
      <c r="L12411" s="20">
        <v>0.36108887109687748</v>
      </c>
    </row>
    <row r="12412" spans="1:12" x14ac:dyDescent="0.45">
      <c r="A12412" s="12" t="s">
        <v>23354</v>
      </c>
      <c r="B12412" s="12" t="s">
        <v>156</v>
      </c>
      <c r="C12412" s="13" t="s">
        <v>157</v>
      </c>
      <c r="D12412" s="13" t="s">
        <v>83</v>
      </c>
      <c r="E12412" s="12" t="s">
        <v>642</v>
      </c>
      <c r="F12412" s="14">
        <v>3600</v>
      </c>
      <c r="G12412" s="14">
        <v>3395</v>
      </c>
      <c r="H12412" s="13" t="s">
        <v>23453</v>
      </c>
      <c r="I12412" s="40" t="s">
        <v>18</v>
      </c>
      <c r="J12412" s="40" t="str">
        <f>HYPERLINK("https://stock.pstatic.net/stock-research/company/2/20250509_company_911266000.pdf","PDF")</f>
        <v>PDF</v>
      </c>
      <c r="K12412" s="12" t="s">
        <v>23454</v>
      </c>
      <c r="L12412" s="20">
        <v>6.0382916053019153E-2</v>
      </c>
    </row>
    <row r="12413" spans="1:12" x14ac:dyDescent="0.45">
      <c r="A12413" s="12" t="s">
        <v>23354</v>
      </c>
      <c r="B12413" s="12" t="s">
        <v>916</v>
      </c>
      <c r="C12413" s="13" t="s">
        <v>917</v>
      </c>
      <c r="D12413" s="13" t="s">
        <v>83</v>
      </c>
      <c r="E12413" s="12" t="s">
        <v>35</v>
      </c>
      <c r="F12413" s="14">
        <v>50000</v>
      </c>
      <c r="G12413" s="14">
        <v>37000</v>
      </c>
      <c r="H12413" s="13" t="s">
        <v>23455</v>
      </c>
      <c r="I12413" s="40" t="s">
        <v>18</v>
      </c>
      <c r="J12413" s="40" t="str">
        <f>HYPERLINK("https://stock.pstatic.net/stock-research/company/2/20250509_company_631636000.pdf","PDF")</f>
        <v>PDF</v>
      </c>
      <c r="K12413" s="12" t="s">
        <v>23456</v>
      </c>
      <c r="L12413" s="20">
        <v>0.35135135135135143</v>
      </c>
    </row>
    <row r="12414" spans="1:12" x14ac:dyDescent="0.45">
      <c r="A12414" s="12" t="s">
        <v>23354</v>
      </c>
      <c r="B12414" s="12" t="s">
        <v>1666</v>
      </c>
      <c r="C12414" s="13" t="s">
        <v>1667</v>
      </c>
      <c r="D12414" s="13" t="s">
        <v>83</v>
      </c>
      <c r="E12414" s="12" t="s">
        <v>35</v>
      </c>
      <c r="F12414" s="14">
        <v>65000</v>
      </c>
      <c r="G12414" s="14">
        <v>44950</v>
      </c>
      <c r="H12414" s="13" t="s">
        <v>23457</v>
      </c>
      <c r="I12414" s="40" t="s">
        <v>18</v>
      </c>
      <c r="J12414" s="40" t="str">
        <f>HYPERLINK("https://stock.pstatic.net/stock-research/company/2/20250509_company_980695000.pdf","PDF")</f>
        <v>PDF</v>
      </c>
      <c r="K12414" s="12" t="s">
        <v>23458</v>
      </c>
      <c r="L12414" s="20">
        <v>0.44605116796440492</v>
      </c>
    </row>
    <row r="12415" spans="1:12" x14ac:dyDescent="0.45">
      <c r="A12415" s="12" t="s">
        <v>23354</v>
      </c>
      <c r="B12415" s="12" t="s">
        <v>1660</v>
      </c>
      <c r="C12415" s="13" t="s">
        <v>1661</v>
      </c>
      <c r="D12415" s="13" t="s">
        <v>83</v>
      </c>
      <c r="E12415" s="12" t="s">
        <v>35</v>
      </c>
      <c r="F12415" s="14">
        <v>64000</v>
      </c>
      <c r="G12415" s="14">
        <v>50800</v>
      </c>
      <c r="H12415" s="13" t="s">
        <v>23459</v>
      </c>
      <c r="I12415" s="40" t="s">
        <v>18</v>
      </c>
      <c r="J12415" s="40" t="str">
        <f>HYPERLINK("https://stock.pstatic.net/stock-research/company/2/20250509_company_523644000.pdf","PDF")</f>
        <v>PDF</v>
      </c>
      <c r="K12415" s="12" t="s">
        <v>23460</v>
      </c>
      <c r="L12415" s="20">
        <v>0.25984251968503941</v>
      </c>
    </row>
    <row r="12416" spans="1:12" x14ac:dyDescent="0.45">
      <c r="A12416" s="12" t="s">
        <v>23354</v>
      </c>
      <c r="B12416" s="12" t="s">
        <v>2262</v>
      </c>
      <c r="C12416" s="13" t="s">
        <v>2263</v>
      </c>
      <c r="D12416" s="13" t="s">
        <v>83</v>
      </c>
      <c r="E12416" s="12" t="s">
        <v>35</v>
      </c>
      <c r="F12416" s="14">
        <v>14000</v>
      </c>
      <c r="G12416" s="14">
        <v>9760</v>
      </c>
      <c r="H12416" s="13" t="s">
        <v>23461</v>
      </c>
      <c r="I12416" s="40" t="s">
        <v>18</v>
      </c>
      <c r="J12416" s="40" t="str">
        <f>HYPERLINK("https://stock.pstatic.net/stock-research/company/2/20250509_company_877824000.pdf","PDF")</f>
        <v>PDF</v>
      </c>
      <c r="K12416" s="12" t="s">
        <v>23462</v>
      </c>
      <c r="L12416" s="20">
        <v>0.4344262295081967</v>
      </c>
    </row>
    <row r="12417" spans="1:12" x14ac:dyDescent="0.45">
      <c r="A12417" s="12" t="s">
        <v>23354</v>
      </c>
      <c r="B12417" s="12" t="s">
        <v>2613</v>
      </c>
      <c r="C12417" s="13" t="s">
        <v>2614</v>
      </c>
      <c r="D12417" s="13" t="s">
        <v>83</v>
      </c>
      <c r="E12417" s="12" t="s">
        <v>35</v>
      </c>
      <c r="F12417" s="14">
        <v>470000</v>
      </c>
      <c r="G12417" s="14">
        <v>367500</v>
      </c>
      <c r="H12417" s="13" t="s">
        <v>23463</v>
      </c>
      <c r="I12417" s="40" t="s">
        <v>18</v>
      </c>
      <c r="J12417" s="40" t="str">
        <f>HYPERLINK("https://stock.pstatic.net/stock-research/company/2/20250509_company_329633000.pdf","PDF")</f>
        <v>PDF</v>
      </c>
      <c r="K12417" s="12" t="s">
        <v>23464</v>
      </c>
      <c r="L12417" s="20">
        <v>0.27891156462585032</v>
      </c>
    </row>
    <row r="12418" spans="1:12" x14ac:dyDescent="0.45">
      <c r="A12418" s="12" t="s">
        <v>23354</v>
      </c>
      <c r="B12418" s="12" t="s">
        <v>1741</v>
      </c>
      <c r="C12418" s="13" t="s">
        <v>1742</v>
      </c>
      <c r="D12418" s="13" t="s">
        <v>83</v>
      </c>
      <c r="E12418" s="12" t="s">
        <v>35</v>
      </c>
      <c r="F12418" s="14">
        <v>65000</v>
      </c>
      <c r="G12418" s="14">
        <v>51700</v>
      </c>
      <c r="H12418" s="13" t="s">
        <v>23465</v>
      </c>
      <c r="I12418" s="40" t="s">
        <v>18</v>
      </c>
      <c r="J12418" s="40" t="str">
        <f>HYPERLINK("https://stock.pstatic.net/stock-research/company/1/20250509_company_76654000.pdf","PDF")</f>
        <v>PDF</v>
      </c>
      <c r="K12418" s="12" t="s">
        <v>23466</v>
      </c>
      <c r="L12418" s="20">
        <v>0.2572533849129594</v>
      </c>
    </row>
    <row r="12419" spans="1:12" x14ac:dyDescent="0.45">
      <c r="A12419" s="12" t="s">
        <v>23354</v>
      </c>
      <c r="B12419" s="12" t="s">
        <v>2425</v>
      </c>
      <c r="C12419" s="13" t="s">
        <v>2426</v>
      </c>
      <c r="D12419" s="13" t="s">
        <v>83</v>
      </c>
      <c r="E12419" s="12" t="s">
        <v>35</v>
      </c>
      <c r="F12419" s="14">
        <v>140000</v>
      </c>
      <c r="G12419" s="14">
        <v>117500</v>
      </c>
      <c r="H12419" s="13" t="s">
        <v>23467</v>
      </c>
      <c r="I12419" s="40" t="s">
        <v>18</v>
      </c>
      <c r="J12419" s="40" t="str">
        <f>HYPERLINK("https://stock.pstatic.net/stock-research/company/2/20250509_company_951058000.pdf","PDF")</f>
        <v>PDF</v>
      </c>
      <c r="K12419" s="12" t="s">
        <v>23468</v>
      </c>
      <c r="L12419" s="20">
        <v>0.19148936170212769</v>
      </c>
    </row>
    <row r="12420" spans="1:12" x14ac:dyDescent="0.45">
      <c r="A12420" s="12" t="s">
        <v>23354</v>
      </c>
      <c r="B12420" s="12" t="s">
        <v>2658</v>
      </c>
      <c r="C12420" s="13" t="s">
        <v>2659</v>
      </c>
      <c r="D12420" s="13" t="s">
        <v>83</v>
      </c>
      <c r="E12420" s="12" t="s">
        <v>35</v>
      </c>
      <c r="F12420" s="14">
        <v>180000</v>
      </c>
      <c r="G12420" s="14">
        <v>109800</v>
      </c>
      <c r="H12420" s="13" t="s">
        <v>23469</v>
      </c>
      <c r="I12420" s="40" t="s">
        <v>18</v>
      </c>
      <c r="J12420" s="40" t="str">
        <f>HYPERLINK("https://stock.pstatic.net/stock-research/company/2/20250509_company_440185000.pdf","PDF")</f>
        <v>PDF</v>
      </c>
      <c r="K12420" s="12" t="s">
        <v>23470</v>
      </c>
      <c r="L12420" s="20">
        <v>0.63934426229508201</v>
      </c>
    </row>
    <row r="12421" spans="1:12" x14ac:dyDescent="0.45">
      <c r="A12421" s="12" t="s">
        <v>23354</v>
      </c>
      <c r="B12421" s="12" t="s">
        <v>1678</v>
      </c>
      <c r="C12421" s="13" t="s">
        <v>1679</v>
      </c>
      <c r="D12421" s="13" t="s">
        <v>15</v>
      </c>
      <c r="E12421" s="12" t="s">
        <v>16</v>
      </c>
      <c r="F12421" s="14">
        <v>75000</v>
      </c>
      <c r="G12421" s="14">
        <v>55800</v>
      </c>
      <c r="H12421" s="13" t="s">
        <v>23077</v>
      </c>
      <c r="I12421" s="40" t="s">
        <v>18</v>
      </c>
      <c r="J12421" s="40" t="str">
        <f>HYPERLINK("https://stock.pstatic.net/stock-research/company/29/20250509_company_41842000.pdf","PDF")</f>
        <v>PDF</v>
      </c>
      <c r="K12421" s="12" t="s">
        <v>23471</v>
      </c>
      <c r="L12421" s="20">
        <v>0.34408602150537643</v>
      </c>
    </row>
    <row r="12422" spans="1:12" x14ac:dyDescent="0.45">
      <c r="A12422" s="12" t="s">
        <v>23354</v>
      </c>
      <c r="B12422" s="12" t="s">
        <v>537</v>
      </c>
      <c r="C12422" s="13" t="s">
        <v>538</v>
      </c>
      <c r="D12422" s="13" t="s">
        <v>15</v>
      </c>
      <c r="E12422" s="12" t="s">
        <v>16</v>
      </c>
      <c r="F12422" s="14">
        <v>16000</v>
      </c>
      <c r="G12422" s="14">
        <v>12490</v>
      </c>
      <c r="H12422" s="13" t="s">
        <v>23472</v>
      </c>
      <c r="I12422" s="40" t="s">
        <v>18</v>
      </c>
      <c r="J12422" s="40" t="str">
        <f>HYPERLINK("https://stock.pstatic.net/stock-research/company/29/20250509_company_848415000.pdf","PDF")</f>
        <v>PDF</v>
      </c>
      <c r="K12422" s="12" t="s">
        <v>23473</v>
      </c>
      <c r="L12422" s="20">
        <v>0.28102481985588468</v>
      </c>
    </row>
    <row r="12423" spans="1:12" x14ac:dyDescent="0.45">
      <c r="A12423" s="12" t="s">
        <v>23354</v>
      </c>
      <c r="B12423" s="12" t="s">
        <v>1666</v>
      </c>
      <c r="C12423" s="13" t="s">
        <v>1667</v>
      </c>
      <c r="D12423" s="13" t="s">
        <v>92</v>
      </c>
      <c r="E12423" s="12" t="s">
        <v>35</v>
      </c>
      <c r="F12423" s="14">
        <v>60000</v>
      </c>
      <c r="G12423" s="14">
        <v>44950</v>
      </c>
      <c r="H12423" s="13" t="s">
        <v>23474</v>
      </c>
      <c r="I12423" s="40" t="s">
        <v>18</v>
      </c>
      <c r="J12423" s="40" t="str">
        <f>HYPERLINK("https://stock.pstatic.net/stock-research/company/63/20250509_company_139498000.pdf","PDF")</f>
        <v>PDF</v>
      </c>
      <c r="K12423" s="12" t="s">
        <v>23475</v>
      </c>
      <c r="L12423" s="20">
        <v>0.33481646273637372</v>
      </c>
    </row>
    <row r="12424" spans="1:12" x14ac:dyDescent="0.45">
      <c r="A12424" s="12" t="s">
        <v>23354</v>
      </c>
      <c r="B12424" s="12" t="s">
        <v>916</v>
      </c>
      <c r="C12424" s="13" t="s">
        <v>917</v>
      </c>
      <c r="D12424" s="13" t="s">
        <v>92</v>
      </c>
      <c r="E12424" s="12" t="s">
        <v>35</v>
      </c>
      <c r="F12424" s="14">
        <v>48000</v>
      </c>
      <c r="G12424" s="14">
        <v>37000</v>
      </c>
      <c r="H12424" s="13" t="s">
        <v>23476</v>
      </c>
      <c r="I12424" s="40" t="s">
        <v>18</v>
      </c>
      <c r="J12424" s="40" t="str">
        <f>HYPERLINK("https://stock.pstatic.net/stock-research/company/1/20250509_company_309378000.pdf","PDF")</f>
        <v>PDF</v>
      </c>
      <c r="K12424" s="12" t="s">
        <v>23477</v>
      </c>
      <c r="L12424" s="20">
        <v>0.29729729729729731</v>
      </c>
    </row>
    <row r="12425" spans="1:12" x14ac:dyDescent="0.45">
      <c r="A12425" s="12" t="s">
        <v>23354</v>
      </c>
      <c r="B12425" s="12" t="s">
        <v>2658</v>
      </c>
      <c r="C12425" s="13" t="s">
        <v>2659</v>
      </c>
      <c r="D12425" s="13" t="s">
        <v>15</v>
      </c>
      <c r="E12425" s="12" t="s">
        <v>16</v>
      </c>
      <c r="F12425" s="14">
        <v>160000</v>
      </c>
      <c r="G12425" s="14">
        <v>109800</v>
      </c>
      <c r="H12425" s="13" t="s">
        <v>23478</v>
      </c>
      <c r="I12425" s="40" t="s">
        <v>18</v>
      </c>
      <c r="J12425" s="40" t="str">
        <f>HYPERLINK("https://stock.pstatic.net/stock-research/company/29/20250509_company_575639000.pdf","PDF")</f>
        <v>PDF</v>
      </c>
      <c r="K12425" s="12" t="s">
        <v>23479</v>
      </c>
      <c r="L12425" s="20">
        <v>0.45719489981785072</v>
      </c>
    </row>
    <row r="12426" spans="1:12" x14ac:dyDescent="0.45">
      <c r="A12426" s="12" t="s">
        <v>23354</v>
      </c>
      <c r="B12426" s="12" t="s">
        <v>537</v>
      </c>
      <c r="C12426" s="13" t="s">
        <v>538</v>
      </c>
      <c r="D12426" s="13" t="s">
        <v>92</v>
      </c>
      <c r="E12426" s="12" t="s">
        <v>35</v>
      </c>
      <c r="F12426" s="14">
        <v>15000</v>
      </c>
      <c r="G12426" s="14">
        <v>12490</v>
      </c>
      <c r="H12426" s="13" t="s">
        <v>23480</v>
      </c>
      <c r="I12426" s="40" t="s">
        <v>18</v>
      </c>
      <c r="J12426" s="40" t="str">
        <f>HYPERLINK("https://stock.pstatic.net/stock-research/company/63/20250509_company_808408000.pdf","PDF")</f>
        <v>PDF</v>
      </c>
      <c r="K12426" s="12" t="s">
        <v>23481</v>
      </c>
      <c r="L12426" s="20">
        <v>0.2009607686148919</v>
      </c>
    </row>
    <row r="12427" spans="1:12" x14ac:dyDescent="0.45">
      <c r="A12427" s="12" t="s">
        <v>23354</v>
      </c>
      <c r="B12427" s="12" t="s">
        <v>2658</v>
      </c>
      <c r="C12427" s="13" t="s">
        <v>2659</v>
      </c>
      <c r="D12427" s="13" t="s">
        <v>92</v>
      </c>
      <c r="E12427" s="12" t="s">
        <v>35</v>
      </c>
      <c r="F12427" s="14">
        <v>220000</v>
      </c>
      <c r="G12427" s="14">
        <v>109800</v>
      </c>
      <c r="H12427" s="13" t="s">
        <v>23482</v>
      </c>
      <c r="I12427" s="40" t="s">
        <v>18</v>
      </c>
      <c r="J12427" s="40" t="str">
        <f>HYPERLINK("https://stock.pstatic.net/stock-research/company/63/20250509_company_224395000.pdf","PDF")</f>
        <v>PDF</v>
      </c>
      <c r="K12427" s="12" t="s">
        <v>23483</v>
      </c>
      <c r="L12427" s="20">
        <v>1.0036429872495449</v>
      </c>
    </row>
    <row r="12428" spans="1:12" x14ac:dyDescent="0.45">
      <c r="A12428" s="12" t="s">
        <v>23354</v>
      </c>
      <c r="B12428" s="12" t="s">
        <v>1652</v>
      </c>
      <c r="C12428" s="13" t="s">
        <v>1653</v>
      </c>
      <c r="D12428" s="13" t="s">
        <v>15</v>
      </c>
      <c r="E12428" s="12" t="s">
        <v>16</v>
      </c>
      <c r="F12428" s="14">
        <v>62000</v>
      </c>
      <c r="G12428" s="14">
        <v>42850</v>
      </c>
      <c r="H12428" s="13" t="s">
        <v>23484</v>
      </c>
      <c r="I12428" s="40" t="s">
        <v>18</v>
      </c>
      <c r="J12428" s="40" t="str">
        <f>HYPERLINK("https://stock.pstatic.net/stock-research/company/1/20250509_company_93495000.pdf","PDF")</f>
        <v>PDF</v>
      </c>
      <c r="K12428" s="12" t="s">
        <v>23485</v>
      </c>
      <c r="L12428" s="20">
        <v>0.44690781796966161</v>
      </c>
    </row>
    <row r="12429" spans="1:12" x14ac:dyDescent="0.45">
      <c r="A12429" s="12" t="s">
        <v>23354</v>
      </c>
      <c r="B12429" s="12" t="s">
        <v>916</v>
      </c>
      <c r="C12429" s="13" t="s">
        <v>917</v>
      </c>
      <c r="D12429" s="13" t="s">
        <v>179</v>
      </c>
      <c r="E12429" s="12" t="s">
        <v>16</v>
      </c>
      <c r="F12429" s="14">
        <v>53000</v>
      </c>
      <c r="G12429" s="14">
        <v>37000</v>
      </c>
      <c r="H12429" s="13" t="s">
        <v>23486</v>
      </c>
      <c r="I12429" s="40" t="s">
        <v>18</v>
      </c>
      <c r="J12429" s="40" t="str">
        <f>HYPERLINK("https://stock.pstatic.net/stock-research/company/31/20250509_company_961110000.pdf","PDF")</f>
        <v>PDF</v>
      </c>
      <c r="K12429" s="12" t="s">
        <v>23487</v>
      </c>
      <c r="L12429" s="20">
        <v>0.43243243243243251</v>
      </c>
    </row>
    <row r="12430" spans="1:12" x14ac:dyDescent="0.45">
      <c r="A12430" s="12" t="s">
        <v>23354</v>
      </c>
      <c r="B12430" s="12" t="s">
        <v>1666</v>
      </c>
      <c r="C12430" s="13" t="s">
        <v>1667</v>
      </c>
      <c r="D12430" s="13" t="s">
        <v>179</v>
      </c>
      <c r="E12430" s="12" t="s">
        <v>16</v>
      </c>
      <c r="F12430" s="14">
        <v>67000</v>
      </c>
      <c r="G12430" s="14">
        <v>44950</v>
      </c>
      <c r="H12430" s="13" t="s">
        <v>23488</v>
      </c>
      <c r="I12430" s="40" t="s">
        <v>18</v>
      </c>
      <c r="J12430" s="40" t="str">
        <f>HYPERLINK("https://stock.pstatic.net/stock-research/company/31/20250509_company_261273000.pdf","PDF")</f>
        <v>PDF</v>
      </c>
      <c r="K12430" s="12" t="s">
        <v>23489</v>
      </c>
      <c r="L12430" s="20">
        <v>0.49054505005561733</v>
      </c>
    </row>
    <row r="12431" spans="1:12" x14ac:dyDescent="0.45">
      <c r="A12431" s="12" t="s">
        <v>23354</v>
      </c>
      <c r="B12431" s="12" t="s">
        <v>1678</v>
      </c>
      <c r="C12431" s="13" t="s">
        <v>1679</v>
      </c>
      <c r="D12431" s="13" t="s">
        <v>92</v>
      </c>
      <c r="E12431" s="12" t="s">
        <v>35</v>
      </c>
      <c r="F12431" s="14">
        <v>70000</v>
      </c>
      <c r="G12431" s="14">
        <v>55800</v>
      </c>
      <c r="H12431" s="13" t="s">
        <v>23490</v>
      </c>
      <c r="I12431" s="40" t="s">
        <v>18</v>
      </c>
      <c r="J12431" s="40" t="str">
        <f>HYPERLINK("https://stock.pstatic.net/stock-research/company/63/20250509_company_275229000.pdf","PDF")</f>
        <v>PDF</v>
      </c>
      <c r="K12431" s="12" t="s">
        <v>23491</v>
      </c>
      <c r="L12431" s="20">
        <v>0.25448028673835132</v>
      </c>
    </row>
    <row r="12432" spans="1:12" x14ac:dyDescent="0.45">
      <c r="A12432" s="12" t="s">
        <v>23354</v>
      </c>
      <c r="B12432" s="12" t="s">
        <v>1023</v>
      </c>
      <c r="C12432" s="13" t="s">
        <v>15</v>
      </c>
      <c r="D12432" s="13" t="s">
        <v>179</v>
      </c>
      <c r="E12432" s="12" t="s">
        <v>16</v>
      </c>
      <c r="F12432" s="14">
        <v>14200</v>
      </c>
      <c r="G12432" s="14">
        <v>12170</v>
      </c>
      <c r="H12432" s="13" t="s">
        <v>23492</v>
      </c>
      <c r="I12432" s="40" t="s">
        <v>18</v>
      </c>
      <c r="J12432" s="40" t="str">
        <f>HYPERLINK("https://stock.pstatic.net/stock-research/company/31/20250509_company_679649000.pdf","PDF")</f>
        <v>PDF</v>
      </c>
      <c r="K12432" s="12" t="s">
        <v>23493</v>
      </c>
      <c r="L12432" s="20">
        <v>0.16680361544782249</v>
      </c>
    </row>
    <row r="12433" spans="1:12" x14ac:dyDescent="0.45">
      <c r="A12433" s="12" t="s">
        <v>23354</v>
      </c>
      <c r="B12433" s="12" t="s">
        <v>2262</v>
      </c>
      <c r="C12433" s="13" t="s">
        <v>2263</v>
      </c>
      <c r="D12433" s="13" t="s">
        <v>92</v>
      </c>
      <c r="E12433" s="12" t="s">
        <v>35</v>
      </c>
      <c r="F12433" s="14">
        <v>12000</v>
      </c>
      <c r="G12433" s="14">
        <v>9760</v>
      </c>
      <c r="H12433" s="13" t="s">
        <v>8508</v>
      </c>
      <c r="I12433" s="40" t="s">
        <v>18</v>
      </c>
      <c r="J12433" s="40" t="str">
        <f>HYPERLINK("https://stock.pstatic.net/stock-research/company/63/20250509_company_11123000.pdf","PDF")</f>
        <v>PDF</v>
      </c>
      <c r="K12433" s="12" t="s">
        <v>23494</v>
      </c>
      <c r="L12433" s="20">
        <v>0.22950819672131151</v>
      </c>
    </row>
    <row r="12434" spans="1:12" x14ac:dyDescent="0.45">
      <c r="A12434" s="12" t="s">
        <v>23354</v>
      </c>
      <c r="B12434" s="12" t="s">
        <v>2199</v>
      </c>
      <c r="C12434" s="13" t="s">
        <v>2200</v>
      </c>
      <c r="D12434" s="13" t="s">
        <v>23</v>
      </c>
      <c r="E12434" s="12" t="s">
        <v>16</v>
      </c>
      <c r="F12434" s="14">
        <v>43000</v>
      </c>
      <c r="G12434" s="14">
        <v>31000</v>
      </c>
      <c r="H12434" s="13" t="s">
        <v>23495</v>
      </c>
      <c r="I12434" s="40" t="s">
        <v>18</v>
      </c>
      <c r="J12434" s="40" t="str">
        <f>HYPERLINK("https://stock.pstatic.net/stock-research/company/21/20250509_company_160971000.pdf","PDF")</f>
        <v>PDF</v>
      </c>
      <c r="K12434" s="12" t="s">
        <v>23496</v>
      </c>
      <c r="L12434" s="20">
        <v>0.38709677419354838</v>
      </c>
    </row>
    <row r="12435" spans="1:12" x14ac:dyDescent="0.45">
      <c r="A12435" s="12" t="s">
        <v>23354</v>
      </c>
      <c r="B12435" s="12" t="s">
        <v>10796</v>
      </c>
      <c r="C12435" s="13" t="s">
        <v>10797</v>
      </c>
      <c r="D12435" s="13" t="s">
        <v>23</v>
      </c>
      <c r="E12435" s="12" t="s">
        <v>16</v>
      </c>
      <c r="F12435" s="14">
        <v>23000</v>
      </c>
      <c r="G12435" s="14">
        <v>15850</v>
      </c>
      <c r="H12435" s="13" t="s">
        <v>23497</v>
      </c>
      <c r="I12435" s="40" t="s">
        <v>18</v>
      </c>
      <c r="J12435" s="40" t="str">
        <f>HYPERLINK("https://stock.pstatic.net/stock-research/company/21/20250509_company_791685000.pdf","PDF")</f>
        <v>PDF</v>
      </c>
      <c r="K12435" s="12" t="s">
        <v>23498</v>
      </c>
      <c r="L12435" s="20">
        <v>0.45110410094637232</v>
      </c>
    </row>
    <row r="12436" spans="1:12" x14ac:dyDescent="0.45">
      <c r="A12436" s="12" t="s">
        <v>23354</v>
      </c>
      <c r="B12436" s="12" t="s">
        <v>1660</v>
      </c>
      <c r="C12436" s="13" t="s">
        <v>1661</v>
      </c>
      <c r="D12436" s="13" t="s">
        <v>92</v>
      </c>
      <c r="E12436" s="12" t="s">
        <v>35</v>
      </c>
      <c r="F12436" s="14">
        <v>60000</v>
      </c>
      <c r="G12436" s="14">
        <v>50800</v>
      </c>
      <c r="H12436" s="13" t="s">
        <v>23499</v>
      </c>
      <c r="I12436" s="40" t="s">
        <v>18</v>
      </c>
      <c r="J12436" s="40" t="str">
        <f>HYPERLINK("https://stock.pstatic.net/stock-research/company/63/20250509_company_485765000.pdf","PDF")</f>
        <v>PDF</v>
      </c>
      <c r="K12436" s="12" t="s">
        <v>23500</v>
      </c>
      <c r="L12436" s="20">
        <v>0.18110236220472439</v>
      </c>
    </row>
    <row r="12437" spans="1:12" x14ac:dyDescent="0.45">
      <c r="A12437" s="12" t="s">
        <v>23354</v>
      </c>
      <c r="B12437" s="12" t="s">
        <v>495</v>
      </c>
      <c r="C12437" s="13" t="s">
        <v>496</v>
      </c>
      <c r="D12437" s="13" t="s">
        <v>179</v>
      </c>
      <c r="E12437" s="12" t="s">
        <v>50</v>
      </c>
      <c r="F12437" s="13"/>
      <c r="G12437" s="14">
        <v>98400</v>
      </c>
      <c r="H12437" s="13" t="s">
        <v>23501</v>
      </c>
      <c r="I12437" s="40" t="s">
        <v>18</v>
      </c>
      <c r="J12437" s="40" t="str">
        <f>HYPERLINK("https://stock.pstatic.net/stock-research/company/1/20250509_company_504738000.pdf","PDF")</f>
        <v>PDF</v>
      </c>
      <c r="K12437" s="12" t="s">
        <v>23502</v>
      </c>
    </row>
    <row r="12438" spans="1:12" x14ac:dyDescent="0.45">
      <c r="A12438" s="12" t="s">
        <v>23354</v>
      </c>
      <c r="B12438" s="12" t="s">
        <v>724</v>
      </c>
      <c r="C12438" s="13" t="s">
        <v>725</v>
      </c>
      <c r="D12438" s="13" t="s">
        <v>44</v>
      </c>
      <c r="E12438" s="12" t="s">
        <v>642</v>
      </c>
      <c r="F12438" s="14">
        <v>70000</v>
      </c>
      <c r="G12438" s="14">
        <v>77100</v>
      </c>
      <c r="H12438" s="13" t="s">
        <v>23503</v>
      </c>
      <c r="I12438" s="40" t="s">
        <v>18</v>
      </c>
      <c r="J12438" s="40" t="str">
        <f>HYPERLINK("https://stock.pstatic.net/stock-research/company/39/20250509_company_641457000.pdf","PDF")</f>
        <v>PDF</v>
      </c>
      <c r="K12438" s="12" t="s">
        <v>23504</v>
      </c>
      <c r="L12438" s="20">
        <v>-9.2088197146562911E-2</v>
      </c>
    </row>
    <row r="12439" spans="1:12" x14ac:dyDescent="0.45">
      <c r="A12439" s="12" t="s">
        <v>23354</v>
      </c>
      <c r="B12439" s="12" t="s">
        <v>2613</v>
      </c>
      <c r="C12439" s="13" t="s">
        <v>2614</v>
      </c>
      <c r="D12439" s="13" t="s">
        <v>44</v>
      </c>
      <c r="E12439" s="12" t="s">
        <v>35</v>
      </c>
      <c r="F12439" s="14">
        <v>450000</v>
      </c>
      <c r="G12439" s="14">
        <v>367500</v>
      </c>
      <c r="H12439" s="13" t="s">
        <v>23505</v>
      </c>
      <c r="I12439" s="40" t="s">
        <v>18</v>
      </c>
      <c r="J12439" s="40" t="str">
        <f>HYPERLINK("https://stock.pstatic.net/stock-research/company/1/20250509_company_808245000.pdf","PDF")</f>
        <v>PDF</v>
      </c>
      <c r="K12439" s="12" t="s">
        <v>23506</v>
      </c>
      <c r="L12439" s="20">
        <v>0.22448979591836729</v>
      </c>
    </row>
    <row r="12440" spans="1:12" x14ac:dyDescent="0.45">
      <c r="A12440" s="12" t="s">
        <v>23354</v>
      </c>
      <c r="B12440" s="12" t="s">
        <v>2266</v>
      </c>
      <c r="C12440" s="13" t="s">
        <v>2267</v>
      </c>
      <c r="D12440" s="13" t="s">
        <v>44</v>
      </c>
      <c r="E12440" s="12" t="s">
        <v>35</v>
      </c>
      <c r="F12440" s="14">
        <v>115000</v>
      </c>
      <c r="G12440" s="14">
        <v>88300</v>
      </c>
      <c r="H12440" s="13" t="s">
        <v>23507</v>
      </c>
      <c r="I12440" s="40" t="s">
        <v>18</v>
      </c>
      <c r="J12440" s="40" t="str">
        <f>HYPERLINK("https://stock.pstatic.net/stock-research/company/39/20250509_company_196764000.pdf","PDF")</f>
        <v>PDF</v>
      </c>
      <c r="K12440" s="12" t="s">
        <v>23508</v>
      </c>
      <c r="L12440" s="20">
        <v>0.30237825594563988</v>
      </c>
    </row>
    <row r="12441" spans="1:12" x14ac:dyDescent="0.45">
      <c r="A12441" s="12" t="s">
        <v>23354</v>
      </c>
      <c r="B12441" s="12" t="s">
        <v>1666</v>
      </c>
      <c r="C12441" s="13" t="s">
        <v>1667</v>
      </c>
      <c r="D12441" s="13" t="s">
        <v>15</v>
      </c>
      <c r="E12441" s="12" t="s">
        <v>16</v>
      </c>
      <c r="F12441" s="14">
        <v>65000</v>
      </c>
      <c r="G12441" s="14">
        <v>44950</v>
      </c>
      <c r="H12441" s="13" t="s">
        <v>23509</v>
      </c>
      <c r="I12441" s="40" t="s">
        <v>18</v>
      </c>
      <c r="J12441" s="40" t="str">
        <f>HYPERLINK("https://stock.pstatic.net/stock-research/company/29/20250509_company_837146000.pdf","PDF")</f>
        <v>PDF</v>
      </c>
      <c r="K12441" s="12" t="s">
        <v>23510</v>
      </c>
      <c r="L12441" s="20">
        <v>0.44605116796440492</v>
      </c>
    </row>
    <row r="12442" spans="1:12" x14ac:dyDescent="0.45">
      <c r="A12442" s="12" t="s">
        <v>23354</v>
      </c>
      <c r="B12442" s="12" t="s">
        <v>2225</v>
      </c>
      <c r="C12442" s="13" t="s">
        <v>5282</v>
      </c>
      <c r="D12442" s="13" t="s">
        <v>44</v>
      </c>
      <c r="E12442" s="12" t="s">
        <v>35</v>
      </c>
      <c r="F12442" s="14">
        <v>450000</v>
      </c>
      <c r="G12442" s="14">
        <v>372500</v>
      </c>
      <c r="H12442" s="13" t="s">
        <v>23511</v>
      </c>
      <c r="I12442" s="40" t="s">
        <v>18</v>
      </c>
      <c r="J12442" s="40" t="str">
        <f>HYPERLINK("https://stock.pstatic.net/stock-research/company/39/20250509_company_949132000.pdf","PDF")</f>
        <v>PDF</v>
      </c>
      <c r="K12442" s="12" t="s">
        <v>23512</v>
      </c>
      <c r="L12442" s="20">
        <v>0.20805369127516779</v>
      </c>
    </row>
    <row r="12443" spans="1:12" x14ac:dyDescent="0.45">
      <c r="A12443" s="12" t="s">
        <v>23354</v>
      </c>
      <c r="B12443" s="12" t="s">
        <v>495</v>
      </c>
      <c r="C12443" s="13" t="s">
        <v>496</v>
      </c>
      <c r="D12443" s="13" t="s">
        <v>44</v>
      </c>
      <c r="E12443" s="12" t="s">
        <v>35</v>
      </c>
      <c r="F12443" s="14">
        <v>1200000</v>
      </c>
      <c r="G12443" s="14">
        <v>98400</v>
      </c>
      <c r="H12443" s="13" t="s">
        <v>23513</v>
      </c>
      <c r="I12443" s="40" t="s">
        <v>18</v>
      </c>
      <c r="J12443" s="40" t="str">
        <f>HYPERLINK("https://stock.pstatic.net/stock-research/company/39/20250509_company_50616000.pdf","PDF")</f>
        <v>PDF</v>
      </c>
      <c r="K12443" s="12" t="s">
        <v>23514</v>
      </c>
      <c r="L12443" s="20">
        <v>11.195121951219511</v>
      </c>
    </row>
    <row r="12444" spans="1:12" x14ac:dyDescent="0.45">
      <c r="A12444" s="12" t="s">
        <v>23354</v>
      </c>
      <c r="B12444" s="12" t="s">
        <v>1023</v>
      </c>
      <c r="C12444" s="13" t="s">
        <v>15</v>
      </c>
      <c r="D12444" s="13" t="s">
        <v>44</v>
      </c>
      <c r="E12444" s="12" t="s">
        <v>35</v>
      </c>
      <c r="F12444" s="14">
        <v>15000</v>
      </c>
      <c r="G12444" s="14">
        <v>12170</v>
      </c>
      <c r="H12444" s="13" t="s">
        <v>23515</v>
      </c>
      <c r="I12444" s="40" t="s">
        <v>18</v>
      </c>
      <c r="J12444" s="40" t="str">
        <f>HYPERLINK("https://stock.pstatic.net/stock-research/company/39/20250509_company_327174000.pdf","PDF")</f>
        <v>PDF</v>
      </c>
      <c r="K12444" s="12" t="s">
        <v>23516</v>
      </c>
      <c r="L12444" s="20">
        <v>0.23253903040262941</v>
      </c>
    </row>
    <row r="12445" spans="1:12" x14ac:dyDescent="0.45">
      <c r="A12445" s="12" t="s">
        <v>23354</v>
      </c>
      <c r="B12445" s="12" t="s">
        <v>1036</v>
      </c>
      <c r="C12445" s="13" t="s">
        <v>1037</v>
      </c>
      <c r="D12445" s="13" t="s">
        <v>44</v>
      </c>
      <c r="E12445" s="12" t="s">
        <v>45</v>
      </c>
      <c r="F12445" s="14">
        <v>16000</v>
      </c>
      <c r="G12445" s="14">
        <v>13860</v>
      </c>
      <c r="H12445" s="13" t="s">
        <v>23517</v>
      </c>
      <c r="I12445" s="40" t="s">
        <v>18</v>
      </c>
      <c r="J12445" s="40" t="str">
        <f>HYPERLINK("https://stock.pstatic.net/stock-research/company/39/20250509_company_879663000.pdf","PDF")</f>
        <v>PDF</v>
      </c>
      <c r="K12445" s="12" t="s">
        <v>23518</v>
      </c>
      <c r="L12445" s="20">
        <v>0.1544011544011544</v>
      </c>
    </row>
    <row r="12446" spans="1:12" x14ac:dyDescent="0.45">
      <c r="A12446" s="12" t="s">
        <v>23354</v>
      </c>
      <c r="B12446" s="12" t="s">
        <v>916</v>
      </c>
      <c r="C12446" s="13" t="s">
        <v>917</v>
      </c>
      <c r="D12446" s="13" t="s">
        <v>44</v>
      </c>
      <c r="E12446" s="12" t="s">
        <v>35</v>
      </c>
      <c r="F12446" s="14">
        <v>70000</v>
      </c>
      <c r="G12446" s="14">
        <v>37000</v>
      </c>
      <c r="H12446" s="13" t="s">
        <v>23519</v>
      </c>
      <c r="I12446" s="40" t="s">
        <v>18</v>
      </c>
      <c r="J12446" s="40" t="str">
        <f>HYPERLINK("https://stock.pstatic.net/stock-research/company/39/20250509_company_965889000.pdf","PDF")</f>
        <v>PDF</v>
      </c>
      <c r="K12446" s="12" t="s">
        <v>23520</v>
      </c>
      <c r="L12446" s="20">
        <v>0.89189189189189189</v>
      </c>
    </row>
    <row r="12447" spans="1:12" x14ac:dyDescent="0.45">
      <c r="A12447" s="12" t="s">
        <v>23354</v>
      </c>
      <c r="B12447" s="12" t="s">
        <v>537</v>
      </c>
      <c r="C12447" s="13" t="s">
        <v>538</v>
      </c>
      <c r="D12447" s="13" t="s">
        <v>53</v>
      </c>
      <c r="E12447" s="12" t="s">
        <v>16</v>
      </c>
      <c r="F12447" s="14">
        <v>15000</v>
      </c>
      <c r="G12447" s="14">
        <v>12490</v>
      </c>
      <c r="H12447" s="13" t="s">
        <v>23521</v>
      </c>
      <c r="I12447" s="40" t="s">
        <v>18</v>
      </c>
      <c r="J12447" s="40" t="str">
        <f>HYPERLINK("https://stock.pstatic.net/stock-research/company/40/20250509_company_21028000.pdf","PDF")</f>
        <v>PDF</v>
      </c>
      <c r="K12447" s="12" t="s">
        <v>23522</v>
      </c>
      <c r="L12447" s="20">
        <v>0.2009607686148919</v>
      </c>
    </row>
    <row r="12448" spans="1:12" x14ac:dyDescent="0.45">
      <c r="A12448" s="12" t="s">
        <v>23354</v>
      </c>
      <c r="B12448" s="12" t="s">
        <v>2425</v>
      </c>
      <c r="C12448" s="13" t="s">
        <v>2426</v>
      </c>
      <c r="D12448" s="13" t="s">
        <v>23</v>
      </c>
      <c r="E12448" s="12" t="s">
        <v>16</v>
      </c>
      <c r="F12448" s="14">
        <v>150000</v>
      </c>
      <c r="G12448" s="14">
        <v>117500</v>
      </c>
      <c r="H12448" s="13" t="s">
        <v>23523</v>
      </c>
      <c r="I12448" s="40" t="s">
        <v>18</v>
      </c>
      <c r="J12448" s="40" t="str">
        <f>HYPERLINK("https://stock.pstatic.net/stock-research/company/21/20250509_company_124843000.pdf","PDF")</f>
        <v>PDF</v>
      </c>
      <c r="K12448" s="12" t="s">
        <v>23524</v>
      </c>
      <c r="L12448" s="20">
        <v>0.27659574468085107</v>
      </c>
    </row>
    <row r="12449" spans="1:12" x14ac:dyDescent="0.45">
      <c r="A12449" s="12" t="s">
        <v>23354</v>
      </c>
      <c r="B12449" s="12" t="s">
        <v>2304</v>
      </c>
      <c r="C12449" s="13" t="s">
        <v>2305</v>
      </c>
      <c r="D12449" s="13" t="s">
        <v>92</v>
      </c>
      <c r="E12449" s="12" t="s">
        <v>35</v>
      </c>
      <c r="F12449" s="14">
        <v>21000</v>
      </c>
      <c r="G12449" s="14">
        <v>14030</v>
      </c>
      <c r="H12449" s="13" t="s">
        <v>23525</v>
      </c>
      <c r="I12449" s="40" t="s">
        <v>18</v>
      </c>
      <c r="J12449" s="40" t="str">
        <f>HYPERLINK("https://stock.pstatic.net/stock-research/company/63/20250509_company_949359000.pdf","PDF")</f>
        <v>PDF</v>
      </c>
      <c r="K12449" s="12" t="s">
        <v>23526</v>
      </c>
      <c r="L12449" s="20">
        <v>0.49679258731290088</v>
      </c>
    </row>
    <row r="12450" spans="1:12" x14ac:dyDescent="0.45">
      <c r="A12450" s="12" t="s">
        <v>23354</v>
      </c>
      <c r="B12450" s="12" t="s">
        <v>2425</v>
      </c>
      <c r="C12450" s="13" t="s">
        <v>2426</v>
      </c>
      <c r="D12450" s="13" t="s">
        <v>53</v>
      </c>
      <c r="E12450" s="12" t="s">
        <v>16</v>
      </c>
      <c r="F12450" s="14">
        <v>140000</v>
      </c>
      <c r="G12450" s="14">
        <v>117500</v>
      </c>
      <c r="H12450" s="13" t="s">
        <v>23527</v>
      </c>
      <c r="I12450" s="40" t="s">
        <v>18</v>
      </c>
      <c r="J12450" s="40" t="str">
        <f>HYPERLINK("https://stock.pstatic.net/stock-research/company/40/20250509_company_688195000.pdf","PDF")</f>
        <v>PDF</v>
      </c>
      <c r="K12450" s="12" t="s">
        <v>23528</v>
      </c>
      <c r="L12450" s="20">
        <v>0.19148936170212769</v>
      </c>
    </row>
    <row r="12451" spans="1:12" x14ac:dyDescent="0.45">
      <c r="A12451" s="12" t="s">
        <v>23354</v>
      </c>
      <c r="B12451" s="12" t="s">
        <v>1023</v>
      </c>
      <c r="C12451" s="13" t="s">
        <v>15</v>
      </c>
      <c r="D12451" s="13" t="s">
        <v>23</v>
      </c>
      <c r="E12451" s="12" t="s">
        <v>16</v>
      </c>
      <c r="F12451" s="14">
        <v>15000</v>
      </c>
      <c r="G12451" s="14">
        <v>12170</v>
      </c>
      <c r="H12451" s="13" t="s">
        <v>23529</v>
      </c>
      <c r="I12451" s="40" t="s">
        <v>18</v>
      </c>
      <c r="J12451" s="40" t="str">
        <f>HYPERLINK("https://stock.pstatic.net/stock-research/company/21/20250509_company_956865000.pdf","PDF")</f>
        <v>PDF</v>
      </c>
      <c r="K12451" s="12" t="s">
        <v>23530</v>
      </c>
      <c r="L12451" s="20">
        <v>0.23253903040262941</v>
      </c>
    </row>
    <row r="12452" spans="1:12" x14ac:dyDescent="0.45">
      <c r="A12452" s="12" t="s">
        <v>23354</v>
      </c>
      <c r="B12452" s="12" t="s">
        <v>7544</v>
      </c>
      <c r="C12452" s="13" t="s">
        <v>7545</v>
      </c>
      <c r="D12452" s="13" t="s">
        <v>23</v>
      </c>
      <c r="E12452" s="12" t="s">
        <v>16</v>
      </c>
      <c r="F12452" s="14">
        <v>50000</v>
      </c>
      <c r="G12452" s="14">
        <v>40250</v>
      </c>
      <c r="H12452" s="13" t="s">
        <v>23531</v>
      </c>
      <c r="I12452" s="40" t="s">
        <v>18</v>
      </c>
      <c r="J12452" s="40" t="str">
        <f>HYPERLINK("https://stock.pstatic.net/stock-research/company/21/20250509_company_65359000.pdf","PDF")</f>
        <v>PDF</v>
      </c>
      <c r="K12452" s="12" t="s">
        <v>23532</v>
      </c>
      <c r="L12452" s="20">
        <v>0.24223602484472051</v>
      </c>
    </row>
    <row r="12453" spans="1:12" x14ac:dyDescent="0.45">
      <c r="A12453" s="12" t="s">
        <v>23354</v>
      </c>
      <c r="B12453" s="12" t="s">
        <v>2199</v>
      </c>
      <c r="C12453" s="13" t="s">
        <v>2200</v>
      </c>
      <c r="D12453" s="13" t="s">
        <v>179</v>
      </c>
      <c r="E12453" s="12" t="s">
        <v>16</v>
      </c>
      <c r="F12453" s="14">
        <v>49000</v>
      </c>
      <c r="G12453" s="14">
        <v>31000</v>
      </c>
      <c r="H12453" s="13" t="s">
        <v>23533</v>
      </c>
      <c r="I12453" s="40" t="s">
        <v>18</v>
      </c>
      <c r="J12453" s="40" t="str">
        <f>HYPERLINK("https://stock.pstatic.net/stock-research/company/31/20250509_company_854449000.pdf","PDF")</f>
        <v>PDF</v>
      </c>
      <c r="K12453" s="12" t="s">
        <v>23534</v>
      </c>
      <c r="L12453" s="20">
        <v>0.58064516129032262</v>
      </c>
    </row>
    <row r="12454" spans="1:12" x14ac:dyDescent="0.45">
      <c r="A12454" s="12" t="s">
        <v>23354</v>
      </c>
      <c r="B12454" s="12" t="s">
        <v>2225</v>
      </c>
      <c r="C12454" s="13" t="s">
        <v>5282</v>
      </c>
      <c r="D12454" s="13" t="s">
        <v>34</v>
      </c>
      <c r="E12454" s="12" t="s">
        <v>35</v>
      </c>
      <c r="F12454" s="14">
        <v>444000</v>
      </c>
      <c r="G12454" s="14">
        <v>372500</v>
      </c>
      <c r="H12454" s="13" t="s">
        <v>23535</v>
      </c>
      <c r="I12454" s="40" t="s">
        <v>18</v>
      </c>
      <c r="J12454" s="40" t="str">
        <f>HYPERLINK("https://stock.pstatic.net/stock-research/company/61/20250509_company_421924000.pdf","PDF")</f>
        <v>PDF</v>
      </c>
      <c r="K12454" s="12" t="s">
        <v>23536</v>
      </c>
      <c r="L12454" s="20">
        <v>0.1919463087248322</v>
      </c>
    </row>
    <row r="12455" spans="1:12" x14ac:dyDescent="0.45">
      <c r="A12455" s="12" t="s">
        <v>23354</v>
      </c>
      <c r="B12455" s="12" t="s">
        <v>2425</v>
      </c>
      <c r="C12455" s="13" t="s">
        <v>2426</v>
      </c>
      <c r="D12455" s="13" t="s">
        <v>34</v>
      </c>
      <c r="E12455" s="12" t="s">
        <v>35</v>
      </c>
      <c r="F12455" s="14">
        <v>160000</v>
      </c>
      <c r="G12455" s="14">
        <v>117500</v>
      </c>
      <c r="H12455" s="13" t="s">
        <v>23537</v>
      </c>
      <c r="I12455" s="40" t="s">
        <v>18</v>
      </c>
      <c r="J12455" s="40" t="str">
        <f>HYPERLINK("https://stock.pstatic.net/stock-research/company/61/20250509_company_812874000.pdf","PDF")</f>
        <v>PDF</v>
      </c>
      <c r="K12455" s="12" t="s">
        <v>23538</v>
      </c>
      <c r="L12455" s="20">
        <v>0.36170212765957449</v>
      </c>
    </row>
    <row r="12456" spans="1:12" x14ac:dyDescent="0.45">
      <c r="A12456" s="12" t="s">
        <v>23354</v>
      </c>
      <c r="B12456" s="12" t="s">
        <v>2308</v>
      </c>
      <c r="C12456" s="13" t="s">
        <v>2309</v>
      </c>
      <c r="D12456" s="13" t="s">
        <v>92</v>
      </c>
      <c r="E12456" s="12" t="s">
        <v>35</v>
      </c>
      <c r="F12456" s="14">
        <v>17000</v>
      </c>
      <c r="G12456" s="14">
        <v>12250</v>
      </c>
      <c r="H12456" s="13" t="s">
        <v>23539</v>
      </c>
      <c r="I12456" s="40" t="s">
        <v>18</v>
      </c>
      <c r="J12456" s="40" t="str">
        <f>HYPERLINK("https://stock.pstatic.net/stock-research/company/63/20250509_company_222404000.pdf","PDF")</f>
        <v>PDF</v>
      </c>
      <c r="K12456" s="12" t="s">
        <v>23540</v>
      </c>
      <c r="L12456" s="20">
        <v>0.38775510204081631</v>
      </c>
    </row>
    <row r="12457" spans="1:12" x14ac:dyDescent="0.45">
      <c r="A12457" s="12" t="s">
        <v>23354</v>
      </c>
      <c r="B12457" s="12" t="s">
        <v>1666</v>
      </c>
      <c r="C12457" s="13" t="s">
        <v>1667</v>
      </c>
      <c r="D12457" s="13" t="s">
        <v>23</v>
      </c>
      <c r="E12457" s="12" t="s">
        <v>16</v>
      </c>
      <c r="F12457" s="14">
        <v>77000</v>
      </c>
      <c r="G12457" s="14">
        <v>44950</v>
      </c>
      <c r="H12457" s="13" t="s">
        <v>23541</v>
      </c>
      <c r="I12457" s="40" t="s">
        <v>18</v>
      </c>
      <c r="J12457" s="40" t="str">
        <f>HYPERLINK("https://m.stock.naver.com/research/company/82842","PDF")</f>
        <v>PDF</v>
      </c>
      <c r="K12457" s="12" t="s">
        <v>23542</v>
      </c>
      <c r="L12457" s="20">
        <v>0.7130144605116796</v>
      </c>
    </row>
    <row r="12458" spans="1:12" x14ac:dyDescent="0.45">
      <c r="A12458" s="12" t="s">
        <v>23354</v>
      </c>
      <c r="B12458" s="12" t="s">
        <v>537</v>
      </c>
      <c r="C12458" s="13" t="s">
        <v>538</v>
      </c>
      <c r="D12458" s="13" t="s">
        <v>23</v>
      </c>
      <c r="E12458" s="12" t="s">
        <v>16</v>
      </c>
      <c r="F12458" s="14">
        <v>14500</v>
      </c>
      <c r="G12458" s="14">
        <v>12490</v>
      </c>
      <c r="H12458" s="13" t="s">
        <v>23543</v>
      </c>
      <c r="I12458" s="40" t="s">
        <v>18</v>
      </c>
      <c r="J12458" s="40" t="str">
        <f>HYPERLINK("https://stock.pstatic.net/stock-research/company/21/20250509_company_840247000.pdf","PDF")</f>
        <v>PDF</v>
      </c>
      <c r="K12458" s="12" t="s">
        <v>23544</v>
      </c>
      <c r="L12458" s="20">
        <v>0.1609287429943955</v>
      </c>
    </row>
    <row r="12459" spans="1:12" x14ac:dyDescent="0.45">
      <c r="A12459" s="12" t="s">
        <v>23354</v>
      </c>
      <c r="B12459" s="12" t="s">
        <v>102</v>
      </c>
      <c r="C12459" s="13" t="s">
        <v>103</v>
      </c>
      <c r="D12459" s="13" t="s">
        <v>179</v>
      </c>
      <c r="E12459" s="12" t="s">
        <v>16</v>
      </c>
      <c r="F12459" s="14">
        <v>18500</v>
      </c>
      <c r="G12459" s="14">
        <v>12470</v>
      </c>
      <c r="H12459" s="13" t="s">
        <v>23545</v>
      </c>
      <c r="I12459" s="40" t="s">
        <v>18</v>
      </c>
      <c r="J12459" s="40" t="str">
        <f>HYPERLINK("https://stock.pstatic.net/stock-research/company/31/20250509_company_524061000.pdf","PDF")</f>
        <v>PDF</v>
      </c>
      <c r="K12459" s="12" t="s">
        <v>23546</v>
      </c>
      <c r="L12459" s="20">
        <v>0.48356054530874099</v>
      </c>
    </row>
    <row r="12460" spans="1:12" x14ac:dyDescent="0.45">
      <c r="A12460" s="12" t="s">
        <v>23354</v>
      </c>
      <c r="B12460" s="12" t="s">
        <v>468</v>
      </c>
      <c r="C12460" s="13" t="s">
        <v>469</v>
      </c>
      <c r="D12460" s="13" t="s">
        <v>92</v>
      </c>
      <c r="E12460" s="12" t="s">
        <v>35</v>
      </c>
      <c r="F12460" s="14">
        <v>23000</v>
      </c>
      <c r="G12460" s="14">
        <v>14570</v>
      </c>
      <c r="H12460" s="13" t="s">
        <v>23547</v>
      </c>
      <c r="I12460" s="40" t="s">
        <v>18</v>
      </c>
      <c r="J12460" s="40" t="str">
        <f>HYPERLINK("https://m.stock.naver.com/research/company/82839","PDF")</f>
        <v>PDF</v>
      </c>
      <c r="K12460" s="12" t="s">
        <v>23548</v>
      </c>
      <c r="L12460" s="20">
        <v>0.57858613589567609</v>
      </c>
    </row>
    <row r="12461" spans="1:12" x14ac:dyDescent="0.45">
      <c r="A12461" s="12" t="s">
        <v>23354</v>
      </c>
      <c r="B12461" s="12" t="s">
        <v>1097</v>
      </c>
      <c r="C12461" s="13" t="s">
        <v>1098</v>
      </c>
      <c r="D12461" s="13" t="s">
        <v>23</v>
      </c>
      <c r="E12461" s="12" t="s">
        <v>16</v>
      </c>
      <c r="F12461" s="14">
        <v>135000</v>
      </c>
      <c r="G12461" s="14">
        <v>112600</v>
      </c>
      <c r="H12461" s="13" t="s">
        <v>23549</v>
      </c>
      <c r="I12461" s="40" t="s">
        <v>18</v>
      </c>
      <c r="J12461" s="40" t="str">
        <f>HYPERLINK("https://m.stock.naver.com/research/company/82838","PDF")</f>
        <v>PDF</v>
      </c>
      <c r="K12461" s="12" t="s">
        <v>23550</v>
      </c>
      <c r="L12461" s="20">
        <v>0.19893428063943161</v>
      </c>
    </row>
    <row r="12462" spans="1:12" x14ac:dyDescent="0.45">
      <c r="A12462" s="12" t="s">
        <v>23354</v>
      </c>
      <c r="B12462" s="12" t="s">
        <v>495</v>
      </c>
      <c r="C12462" s="13" t="s">
        <v>496</v>
      </c>
      <c r="D12462" s="13" t="s">
        <v>23</v>
      </c>
      <c r="E12462" s="12" t="s">
        <v>16</v>
      </c>
      <c r="F12462" s="14">
        <v>117000</v>
      </c>
      <c r="G12462" s="14">
        <v>98400</v>
      </c>
      <c r="H12462" s="13" t="s">
        <v>23551</v>
      </c>
      <c r="I12462" s="40" t="s">
        <v>18</v>
      </c>
      <c r="J12462" s="40" t="str">
        <f>HYPERLINK("https://stock.pstatic.net/stock-research/company/21/20250509_company_275306000.pdf","PDF")</f>
        <v>PDF</v>
      </c>
      <c r="K12462" s="12" t="s">
        <v>23552</v>
      </c>
      <c r="L12462" s="20">
        <v>0.18902439024390241</v>
      </c>
    </row>
    <row r="12463" spans="1:12" x14ac:dyDescent="0.45">
      <c r="A12463" s="12" t="s">
        <v>23354</v>
      </c>
      <c r="B12463" s="12" t="s">
        <v>2225</v>
      </c>
      <c r="C12463" s="13" t="s">
        <v>5282</v>
      </c>
      <c r="D12463" s="13" t="s">
        <v>23</v>
      </c>
      <c r="E12463" s="12" t="s">
        <v>16</v>
      </c>
      <c r="F12463" s="14">
        <v>430000</v>
      </c>
      <c r="G12463" s="14">
        <v>372500</v>
      </c>
      <c r="H12463" s="13" t="s">
        <v>23553</v>
      </c>
      <c r="I12463" s="40" t="s">
        <v>18</v>
      </c>
      <c r="J12463" s="40" t="str">
        <f>HYPERLINK("https://stock.pstatic.net/stock-research/company/21/20250509_company_62600000.pdf","PDF")</f>
        <v>PDF</v>
      </c>
      <c r="K12463" s="12" t="s">
        <v>23554</v>
      </c>
      <c r="L12463" s="20">
        <v>0.15436241610738249</v>
      </c>
    </row>
    <row r="12464" spans="1:12" x14ac:dyDescent="0.45">
      <c r="A12464" s="12" t="s">
        <v>23354</v>
      </c>
      <c r="B12464" s="12" t="s">
        <v>362</v>
      </c>
      <c r="C12464" s="13" t="s">
        <v>363</v>
      </c>
      <c r="D12464" s="13" t="s">
        <v>179</v>
      </c>
      <c r="E12464" s="12" t="s">
        <v>16</v>
      </c>
      <c r="F12464" s="14">
        <v>80000</v>
      </c>
      <c r="G12464" s="14">
        <v>66900</v>
      </c>
      <c r="H12464" s="13" t="s">
        <v>23555</v>
      </c>
      <c r="I12464" s="40" t="s">
        <v>18</v>
      </c>
      <c r="J12464" s="40" t="str">
        <f>HYPERLINK("https://stock.pstatic.net/stock-research/company/31/20250509_company_943491000.pdf","PDF")</f>
        <v>PDF</v>
      </c>
      <c r="K12464" s="12" t="s">
        <v>23556</v>
      </c>
      <c r="L12464" s="20">
        <v>0.1958146487294469</v>
      </c>
    </row>
    <row r="12465" spans="1:12" x14ac:dyDescent="0.45">
      <c r="A12465" s="12" t="s">
        <v>23354</v>
      </c>
      <c r="B12465" s="12" t="s">
        <v>537</v>
      </c>
      <c r="C12465" s="13" t="s">
        <v>538</v>
      </c>
      <c r="D12465" s="13" t="s">
        <v>179</v>
      </c>
      <c r="E12465" s="12" t="s">
        <v>16</v>
      </c>
      <c r="F12465" s="14">
        <v>15000</v>
      </c>
      <c r="G12465" s="14">
        <v>12490</v>
      </c>
      <c r="H12465" s="13" t="s">
        <v>23557</v>
      </c>
      <c r="I12465" s="40" t="s">
        <v>18</v>
      </c>
      <c r="J12465" s="40" t="str">
        <f>HYPERLINK("https://stock.pstatic.net/stock-research/company/64/20250509_company_625830000.pdf","PDF")</f>
        <v>PDF</v>
      </c>
      <c r="K12465" s="12" t="s">
        <v>23558</v>
      </c>
      <c r="L12465" s="20">
        <v>0.2009607686148919</v>
      </c>
    </row>
    <row r="12466" spans="1:12" x14ac:dyDescent="0.45">
      <c r="A12466" s="12" t="s">
        <v>23354</v>
      </c>
      <c r="B12466" s="12" t="s">
        <v>16349</v>
      </c>
      <c r="C12466" s="13" t="s">
        <v>16350</v>
      </c>
      <c r="D12466" s="13" t="s">
        <v>53</v>
      </c>
      <c r="E12466" s="12" t="s">
        <v>16</v>
      </c>
      <c r="F12466" s="14">
        <v>58000</v>
      </c>
      <c r="G12466" s="14">
        <v>32050</v>
      </c>
      <c r="H12466" s="13" t="s">
        <v>23559</v>
      </c>
      <c r="I12466" s="40" t="s">
        <v>18</v>
      </c>
      <c r="J12466" s="40" t="str">
        <f>HYPERLINK("https://m.stock.naver.com/research/company/82833","PDF")</f>
        <v>PDF</v>
      </c>
      <c r="K12466" s="12" t="s">
        <v>23560</v>
      </c>
      <c r="L12466" s="20">
        <v>0.80967238689547583</v>
      </c>
    </row>
    <row r="12467" spans="1:12" x14ac:dyDescent="0.45">
      <c r="A12467" s="12" t="s">
        <v>23354</v>
      </c>
      <c r="B12467" s="12" t="s">
        <v>2740</v>
      </c>
      <c r="C12467" s="13" t="s">
        <v>2741</v>
      </c>
      <c r="D12467" s="13" t="s">
        <v>53</v>
      </c>
      <c r="E12467" s="12" t="s">
        <v>16</v>
      </c>
      <c r="F12467" s="14">
        <v>25000</v>
      </c>
      <c r="G12467" s="14">
        <v>15540</v>
      </c>
      <c r="H12467" s="13" t="s">
        <v>23561</v>
      </c>
      <c r="I12467" s="40" t="s">
        <v>18</v>
      </c>
      <c r="J12467" s="40" t="str">
        <f>HYPERLINK("https://m.stock.naver.com/research/company/82832","PDF")</f>
        <v>PDF</v>
      </c>
      <c r="K12467" s="12" t="s">
        <v>23562</v>
      </c>
      <c r="L12467" s="20">
        <v>0.60875160875160872</v>
      </c>
    </row>
    <row r="12468" spans="1:12" x14ac:dyDescent="0.45">
      <c r="A12468" s="12" t="s">
        <v>23354</v>
      </c>
      <c r="B12468" s="12" t="s">
        <v>1097</v>
      </c>
      <c r="C12468" s="13" t="s">
        <v>1098</v>
      </c>
      <c r="D12468" s="13" t="s">
        <v>53</v>
      </c>
      <c r="E12468" s="12" t="s">
        <v>16</v>
      </c>
      <c r="F12468" s="14">
        <v>145000</v>
      </c>
      <c r="G12468" s="14">
        <v>112600</v>
      </c>
      <c r="H12468" s="13" t="s">
        <v>23563</v>
      </c>
      <c r="I12468" s="40" t="s">
        <v>18</v>
      </c>
      <c r="J12468" s="40" t="str">
        <f>HYPERLINK("https://stock.pstatic.net/stock-research/company/40/20250509_company_790717000.pdf","PDF")</f>
        <v>PDF</v>
      </c>
      <c r="K12468" s="12" t="s">
        <v>23564</v>
      </c>
      <c r="L12468" s="20">
        <v>0.28774422735346361</v>
      </c>
    </row>
    <row r="12469" spans="1:12" x14ac:dyDescent="0.45">
      <c r="A12469" s="12" t="s">
        <v>23354</v>
      </c>
      <c r="B12469" s="12" t="s">
        <v>916</v>
      </c>
      <c r="C12469" s="13" t="s">
        <v>917</v>
      </c>
      <c r="D12469" s="13" t="s">
        <v>53</v>
      </c>
      <c r="E12469" s="12" t="s">
        <v>16</v>
      </c>
      <c r="F12469" s="14">
        <v>52000</v>
      </c>
      <c r="G12469" s="14">
        <v>38350</v>
      </c>
      <c r="H12469" s="13" t="s">
        <v>23565</v>
      </c>
      <c r="I12469" s="40" t="s">
        <v>18</v>
      </c>
      <c r="J12469" s="40" t="str">
        <f>HYPERLINK("https://stock.pstatic.net/stock-research/company/40/20250509_company_615452000.pdf","PDF")</f>
        <v>PDF</v>
      </c>
      <c r="K12469" s="12" t="s">
        <v>23566</v>
      </c>
      <c r="L12469" s="20">
        <v>0.3559322033898305</v>
      </c>
    </row>
    <row r="12470" spans="1:12" x14ac:dyDescent="0.45">
      <c r="A12470" s="12" t="s">
        <v>23354</v>
      </c>
      <c r="B12470" s="12" t="s">
        <v>1666</v>
      </c>
      <c r="C12470" s="13" t="s">
        <v>1667</v>
      </c>
      <c r="D12470" s="13" t="s">
        <v>53</v>
      </c>
      <c r="E12470" s="12" t="s">
        <v>16</v>
      </c>
      <c r="F12470" s="14">
        <v>65000</v>
      </c>
      <c r="G12470" s="14">
        <v>44950</v>
      </c>
      <c r="H12470" s="13" t="s">
        <v>23567</v>
      </c>
      <c r="I12470" s="40" t="s">
        <v>18</v>
      </c>
      <c r="J12470" s="40" t="str">
        <f>HYPERLINK("https://stock.pstatic.net/stock-research/company/40/20250509_company_177621000.pdf","PDF")</f>
        <v>PDF</v>
      </c>
      <c r="K12470" s="12" t="s">
        <v>23568</v>
      </c>
      <c r="L12470" s="20">
        <v>0.44605116796440492</v>
      </c>
    </row>
    <row r="12471" spans="1:12" x14ac:dyDescent="0.45">
      <c r="A12471" s="12" t="s">
        <v>23354</v>
      </c>
      <c r="B12471" s="12" t="s">
        <v>1652</v>
      </c>
      <c r="C12471" s="13" t="s">
        <v>1653</v>
      </c>
      <c r="D12471" s="13" t="s">
        <v>92</v>
      </c>
      <c r="E12471" s="12" t="s">
        <v>35</v>
      </c>
      <c r="F12471" s="14">
        <v>70000</v>
      </c>
      <c r="G12471" s="14">
        <v>42850</v>
      </c>
      <c r="H12471" s="13" t="s">
        <v>23569</v>
      </c>
      <c r="I12471" s="40" t="s">
        <v>18</v>
      </c>
      <c r="J12471" s="40" t="str">
        <f>HYPERLINK("https://stock.pstatic.net/stock-research/company/63/20250509_company_688499000.pdf","PDF")</f>
        <v>PDF</v>
      </c>
      <c r="K12471" s="12" t="s">
        <v>23570</v>
      </c>
      <c r="L12471" s="20">
        <v>0.63360560093348894</v>
      </c>
    </row>
    <row r="12472" spans="1:12" x14ac:dyDescent="0.45">
      <c r="A12472" s="12" t="s">
        <v>23354</v>
      </c>
      <c r="B12472" s="12" t="s">
        <v>1530</v>
      </c>
      <c r="C12472" s="13" t="s">
        <v>1531</v>
      </c>
      <c r="D12472" s="13" t="s">
        <v>15</v>
      </c>
      <c r="E12472" s="12" t="s">
        <v>16</v>
      </c>
      <c r="F12472" s="14">
        <v>31000</v>
      </c>
      <c r="G12472" s="14">
        <v>23100</v>
      </c>
      <c r="H12472" s="13" t="s">
        <v>23571</v>
      </c>
      <c r="I12472" s="40" t="s">
        <v>18</v>
      </c>
      <c r="J12472" s="40" t="str">
        <f>HYPERLINK("https://m.stock.naver.com/research/company/82827","PDF")</f>
        <v>PDF</v>
      </c>
      <c r="K12472" s="12" t="s">
        <v>23572</v>
      </c>
      <c r="L12472" s="20">
        <v>0.34199134199134201</v>
      </c>
    </row>
    <row r="12473" spans="1:12" x14ac:dyDescent="0.45">
      <c r="A12473" s="12" t="s">
        <v>23573</v>
      </c>
      <c r="B12473" s="12" t="s">
        <v>916</v>
      </c>
      <c r="C12473" s="13" t="s">
        <v>917</v>
      </c>
      <c r="D12473" s="13" t="s">
        <v>15</v>
      </c>
      <c r="E12473" s="12" t="s">
        <v>16</v>
      </c>
      <c r="F12473" s="14">
        <v>50000</v>
      </c>
      <c r="G12473" s="14">
        <v>38350</v>
      </c>
      <c r="H12473" s="13" t="s">
        <v>23574</v>
      </c>
      <c r="I12473" s="40" t="s">
        <v>18</v>
      </c>
      <c r="J12473" s="40" t="str">
        <f>HYPERLINK("https://stock.pstatic.net/stock-research/company/29/20250508_company_357456000.pdf","PDF")</f>
        <v>PDF</v>
      </c>
      <c r="K12473" s="12" t="s">
        <v>23575</v>
      </c>
      <c r="L12473" s="20">
        <v>0.30378096479791389</v>
      </c>
    </row>
    <row r="12474" spans="1:12" x14ac:dyDescent="0.45">
      <c r="A12474" s="12" t="s">
        <v>23573</v>
      </c>
      <c r="B12474" s="12" t="s">
        <v>2365</v>
      </c>
      <c r="C12474" s="13" t="s">
        <v>2366</v>
      </c>
      <c r="D12474" s="13" t="s">
        <v>15</v>
      </c>
      <c r="E12474" s="12" t="s">
        <v>16</v>
      </c>
      <c r="F12474" s="14">
        <v>90000</v>
      </c>
      <c r="G12474" s="14">
        <v>64400</v>
      </c>
      <c r="H12474" s="13" t="s">
        <v>23576</v>
      </c>
      <c r="I12474" s="40" t="s">
        <v>18</v>
      </c>
      <c r="J12474" s="40" t="str">
        <f>HYPERLINK("https://m.stock.naver.com/research/company/82825","PDF")</f>
        <v>PDF</v>
      </c>
      <c r="K12474" s="12" t="s">
        <v>23577</v>
      </c>
      <c r="L12474" s="20">
        <v>0.39751552795031048</v>
      </c>
    </row>
    <row r="12475" spans="1:12" x14ac:dyDescent="0.45">
      <c r="A12475" s="12" t="s">
        <v>23573</v>
      </c>
      <c r="B12475" s="12" t="s">
        <v>2781</v>
      </c>
      <c r="C12475" s="13" t="s">
        <v>2782</v>
      </c>
      <c r="D12475" s="13" t="s">
        <v>276</v>
      </c>
      <c r="E12475" s="12" t="s">
        <v>16</v>
      </c>
      <c r="F12475" s="14">
        <v>160000</v>
      </c>
      <c r="G12475" s="14">
        <v>106900</v>
      </c>
      <c r="H12475" s="13" t="s">
        <v>23578</v>
      </c>
      <c r="I12475" s="40" t="s">
        <v>18</v>
      </c>
      <c r="J12475" s="40" t="str">
        <f>HYPERLINK("https://stock.pstatic.net/stock-research/company/66/20250508_company_322751000.pdf","PDF")</f>
        <v>PDF</v>
      </c>
      <c r="K12475" s="12" t="s">
        <v>23579</v>
      </c>
      <c r="L12475" s="20">
        <v>0.49672591206735273</v>
      </c>
    </row>
    <row r="12476" spans="1:12" x14ac:dyDescent="0.45">
      <c r="A12476" s="12" t="s">
        <v>23573</v>
      </c>
      <c r="B12476" s="12" t="s">
        <v>2781</v>
      </c>
      <c r="C12476" s="13" t="s">
        <v>2782</v>
      </c>
      <c r="D12476" s="13" t="s">
        <v>60</v>
      </c>
      <c r="E12476" s="12" t="s">
        <v>35</v>
      </c>
      <c r="F12476" s="14">
        <v>155000</v>
      </c>
      <c r="G12476" s="14">
        <v>106900</v>
      </c>
      <c r="H12476" s="13" t="s">
        <v>23580</v>
      </c>
      <c r="I12476" s="40" t="s">
        <v>18</v>
      </c>
      <c r="J12476" s="40" t="str">
        <f>HYPERLINK("https://m.stock.naver.com/research/company/82823","PDF")</f>
        <v>PDF</v>
      </c>
      <c r="K12476" s="12" t="s">
        <v>23581</v>
      </c>
      <c r="L12476" s="20">
        <v>0.44995322731524789</v>
      </c>
    </row>
    <row r="12477" spans="1:12" x14ac:dyDescent="0.45">
      <c r="A12477" s="12" t="s">
        <v>23573</v>
      </c>
      <c r="B12477" s="12" t="s">
        <v>2662</v>
      </c>
      <c r="C12477" s="13" t="s">
        <v>2663</v>
      </c>
      <c r="D12477" s="13" t="s">
        <v>60</v>
      </c>
      <c r="E12477" s="12" t="s">
        <v>50</v>
      </c>
      <c r="F12477" s="14">
        <v>35000</v>
      </c>
      <c r="G12477" s="14">
        <v>31500</v>
      </c>
      <c r="H12477" s="13" t="s">
        <v>23582</v>
      </c>
      <c r="I12477" s="40" t="s">
        <v>18</v>
      </c>
      <c r="J12477" s="40" t="str">
        <f>HYPERLINK("https://m.stock.naver.com/research/company/82822","PDF")</f>
        <v>PDF</v>
      </c>
      <c r="K12477" s="12" t="s">
        <v>23583</v>
      </c>
      <c r="L12477" s="20">
        <v>0.1111111111111111</v>
      </c>
    </row>
    <row r="12478" spans="1:12" x14ac:dyDescent="0.45">
      <c r="A12478" s="12" t="s">
        <v>23573</v>
      </c>
      <c r="B12478" s="12" t="s">
        <v>1648</v>
      </c>
      <c r="C12478" s="13" t="s">
        <v>1649</v>
      </c>
      <c r="D12478" s="13" t="s">
        <v>65</v>
      </c>
      <c r="E12478" s="12" t="s">
        <v>35</v>
      </c>
      <c r="F12478" s="14">
        <v>150000</v>
      </c>
      <c r="G12478" s="14">
        <v>125500</v>
      </c>
      <c r="H12478" s="13" t="s">
        <v>23584</v>
      </c>
      <c r="I12478" s="40" t="s">
        <v>18</v>
      </c>
      <c r="J12478" s="40" t="str">
        <f>HYPERLINK("https://stock.pstatic.net/stock-research/company/57/20250508_company_472700000.pdf","PDF")</f>
        <v>PDF</v>
      </c>
      <c r="K12478" s="12" t="s">
        <v>23585</v>
      </c>
      <c r="L12478" s="20">
        <v>0.19521912350597609</v>
      </c>
    </row>
    <row r="12479" spans="1:12" x14ac:dyDescent="0.45">
      <c r="A12479" s="12" t="s">
        <v>23573</v>
      </c>
      <c r="B12479" s="12" t="s">
        <v>2650</v>
      </c>
      <c r="C12479" s="13" t="s">
        <v>2651</v>
      </c>
      <c r="D12479" s="13" t="s">
        <v>65</v>
      </c>
      <c r="E12479" s="12" t="s">
        <v>35</v>
      </c>
      <c r="F12479" s="14">
        <v>28000</v>
      </c>
      <c r="G12479" s="14">
        <v>23300</v>
      </c>
      <c r="H12479" s="13" t="s">
        <v>23586</v>
      </c>
      <c r="I12479" s="40" t="s">
        <v>18</v>
      </c>
      <c r="J12479" s="40" t="str">
        <f>HYPERLINK("https://stock.pstatic.net/stock-research/company/57/20250508_company_264384000.pdf","PDF")</f>
        <v>PDF</v>
      </c>
      <c r="K12479" s="12" t="s">
        <v>23587</v>
      </c>
      <c r="L12479" s="20">
        <v>0.20171673819742489</v>
      </c>
    </row>
    <row r="12480" spans="1:12" x14ac:dyDescent="0.45">
      <c r="A12480" s="12" t="s">
        <v>23573</v>
      </c>
      <c r="B12480" s="12" t="s">
        <v>1674</v>
      </c>
      <c r="C12480" s="13" t="s">
        <v>1675</v>
      </c>
      <c r="D12480" s="13" t="s">
        <v>65</v>
      </c>
      <c r="E12480" s="12" t="s">
        <v>35</v>
      </c>
      <c r="F12480" s="14">
        <v>350000</v>
      </c>
      <c r="G12480" s="14">
        <v>250000</v>
      </c>
      <c r="H12480" s="13" t="s">
        <v>23588</v>
      </c>
      <c r="I12480" s="40" t="s">
        <v>18</v>
      </c>
      <c r="J12480" s="40" t="str">
        <f>HYPERLINK("https://stock.pstatic.net/stock-research/company/57/20250508_company_995163000.pdf","PDF")</f>
        <v>PDF</v>
      </c>
      <c r="K12480" s="12" t="s">
        <v>23589</v>
      </c>
      <c r="L12480" s="20">
        <v>0.4</v>
      </c>
    </row>
    <row r="12481" spans="1:12" x14ac:dyDescent="0.45">
      <c r="A12481" s="12" t="s">
        <v>23573</v>
      </c>
      <c r="B12481" s="12" t="s">
        <v>1648</v>
      </c>
      <c r="C12481" s="13" t="s">
        <v>1649</v>
      </c>
      <c r="D12481" s="13" t="s">
        <v>57</v>
      </c>
      <c r="E12481" s="12" t="s">
        <v>35</v>
      </c>
      <c r="F12481" s="14">
        <v>160000</v>
      </c>
      <c r="G12481" s="14">
        <v>125500</v>
      </c>
      <c r="H12481" s="13" t="s">
        <v>23590</v>
      </c>
      <c r="I12481" s="40" t="s">
        <v>18</v>
      </c>
      <c r="J12481" s="40" t="str">
        <f>HYPERLINK("https://m.stock.naver.com/research/company/82818","PDF")</f>
        <v>PDF</v>
      </c>
      <c r="K12481" s="12" t="s">
        <v>23591</v>
      </c>
      <c r="L12481" s="20">
        <v>0.27490039840637448</v>
      </c>
    </row>
    <row r="12482" spans="1:12" x14ac:dyDescent="0.45">
      <c r="A12482" s="12" t="s">
        <v>23573</v>
      </c>
      <c r="B12482" s="12" t="s">
        <v>366</v>
      </c>
      <c r="C12482" s="13" t="s">
        <v>367</v>
      </c>
      <c r="D12482" s="13" t="s">
        <v>57</v>
      </c>
      <c r="E12482" s="12" t="s">
        <v>35</v>
      </c>
      <c r="F12482" s="14">
        <v>19000</v>
      </c>
      <c r="G12482" s="14">
        <v>15240</v>
      </c>
      <c r="H12482" s="13" t="s">
        <v>23592</v>
      </c>
      <c r="I12482" s="40" t="s">
        <v>18</v>
      </c>
      <c r="J12482" s="40" t="str">
        <f>HYPERLINK("https://m.stock.naver.com/research/company/82817","PDF")</f>
        <v>PDF</v>
      </c>
      <c r="K12482" s="12" t="s">
        <v>23593</v>
      </c>
      <c r="L12482" s="20">
        <v>0.2467191601049869</v>
      </c>
    </row>
    <row r="12483" spans="1:12" x14ac:dyDescent="0.45">
      <c r="A12483" s="12" t="s">
        <v>23573</v>
      </c>
      <c r="B12483" s="12" t="s">
        <v>8706</v>
      </c>
      <c r="C12483" s="13" t="s">
        <v>8707</v>
      </c>
      <c r="D12483" s="13" t="s">
        <v>57</v>
      </c>
      <c r="E12483" s="12" t="s">
        <v>35</v>
      </c>
      <c r="F12483" s="14">
        <v>66000</v>
      </c>
      <c r="G12483" s="14">
        <v>49750</v>
      </c>
      <c r="H12483" s="13" t="s">
        <v>23594</v>
      </c>
      <c r="I12483" s="40" t="s">
        <v>18</v>
      </c>
      <c r="J12483" s="40" t="str">
        <f>HYPERLINK("https://stock.pstatic.net/stock-research/company/16/20250508_company_444247000.pdf","PDF")</f>
        <v>PDF</v>
      </c>
      <c r="K12483" s="12" t="s">
        <v>23595</v>
      </c>
      <c r="L12483" s="20">
        <v>0.32663316582914581</v>
      </c>
    </row>
    <row r="12484" spans="1:12" x14ac:dyDescent="0.45">
      <c r="A12484" s="12" t="s">
        <v>23573</v>
      </c>
      <c r="B12484" s="12" t="s">
        <v>2781</v>
      </c>
      <c r="C12484" s="13" t="s">
        <v>2782</v>
      </c>
      <c r="D12484" s="13" t="s">
        <v>57</v>
      </c>
      <c r="E12484" s="12" t="s">
        <v>35</v>
      </c>
      <c r="F12484" s="14">
        <v>140000</v>
      </c>
      <c r="G12484" s="14">
        <v>106900</v>
      </c>
      <c r="H12484" s="13" t="s">
        <v>23596</v>
      </c>
      <c r="I12484" s="40" t="s">
        <v>18</v>
      </c>
      <c r="J12484" s="40" t="str">
        <f>HYPERLINK("https://stock.pstatic.net/stock-research/company/1/20250508_company_299290000.pdf","PDF")</f>
        <v>PDF</v>
      </c>
      <c r="K12484" s="12" t="s">
        <v>23597</v>
      </c>
      <c r="L12484" s="20">
        <v>0.30963517305893362</v>
      </c>
    </row>
    <row r="12485" spans="1:12" x14ac:dyDescent="0.45">
      <c r="A12485" s="12" t="s">
        <v>23573</v>
      </c>
      <c r="B12485" s="12" t="s">
        <v>2650</v>
      </c>
      <c r="C12485" s="13" t="s">
        <v>2651</v>
      </c>
      <c r="D12485" s="13" t="s">
        <v>57</v>
      </c>
      <c r="E12485" s="12" t="s">
        <v>159</v>
      </c>
      <c r="F12485" s="14">
        <v>23000</v>
      </c>
      <c r="G12485" s="14">
        <v>22100</v>
      </c>
      <c r="H12485" s="13" t="s">
        <v>23598</v>
      </c>
      <c r="I12485" s="40" t="s">
        <v>18</v>
      </c>
      <c r="J12485" s="40" t="str">
        <f>HYPERLINK("https://m.stock.naver.com/research/company/82814","PDF")</f>
        <v>PDF</v>
      </c>
      <c r="K12485" s="12" t="s">
        <v>23599</v>
      </c>
      <c r="L12485" s="20">
        <v>4.072398190045249E-2</v>
      </c>
    </row>
    <row r="12486" spans="1:12" x14ac:dyDescent="0.45">
      <c r="A12486" s="12" t="s">
        <v>23573</v>
      </c>
      <c r="B12486" s="12" t="s">
        <v>174</v>
      </c>
      <c r="C12486" s="13" t="s">
        <v>44</v>
      </c>
      <c r="D12486" s="13" t="s">
        <v>158</v>
      </c>
      <c r="E12486" s="12" t="s">
        <v>35</v>
      </c>
      <c r="F12486" s="14">
        <v>172000</v>
      </c>
      <c r="G12486" s="14">
        <v>140700</v>
      </c>
      <c r="H12486" s="13" t="s">
        <v>23600</v>
      </c>
      <c r="I12486" s="40" t="s">
        <v>18</v>
      </c>
      <c r="J12486" s="40" t="str">
        <f>HYPERLINK("https://m.stock.naver.com/research/company/82813","PDF")</f>
        <v>PDF</v>
      </c>
      <c r="K12486" s="12" t="s">
        <v>23601</v>
      </c>
      <c r="L12486" s="20">
        <v>0.22245913290689409</v>
      </c>
    </row>
    <row r="12487" spans="1:12" x14ac:dyDescent="0.45">
      <c r="A12487" s="12" t="s">
        <v>23573</v>
      </c>
      <c r="B12487" s="12" t="s">
        <v>1190</v>
      </c>
      <c r="C12487" s="13" t="s">
        <v>1191</v>
      </c>
      <c r="D12487" s="13" t="s">
        <v>83</v>
      </c>
      <c r="E12487" s="12" t="s">
        <v>35</v>
      </c>
      <c r="F12487" s="14">
        <v>64000</v>
      </c>
      <c r="G12487" s="14">
        <v>48750</v>
      </c>
      <c r="H12487" s="13" t="s">
        <v>23602</v>
      </c>
      <c r="I12487" s="40" t="s">
        <v>18</v>
      </c>
      <c r="J12487" s="40" t="str">
        <f>HYPERLINK("https://m.stock.naver.com/research/company/82812","PDF")</f>
        <v>PDF</v>
      </c>
      <c r="K12487" s="12" t="s">
        <v>23603</v>
      </c>
      <c r="L12487" s="20">
        <v>0.31282051282051282</v>
      </c>
    </row>
    <row r="12488" spans="1:12" x14ac:dyDescent="0.45">
      <c r="A12488" s="12" t="s">
        <v>23573</v>
      </c>
      <c r="B12488" s="12" t="s">
        <v>2650</v>
      </c>
      <c r="C12488" s="13" t="s">
        <v>2651</v>
      </c>
      <c r="D12488" s="13" t="s">
        <v>83</v>
      </c>
      <c r="E12488" s="12" t="s">
        <v>35</v>
      </c>
      <c r="F12488" s="14">
        <v>30000</v>
      </c>
      <c r="G12488" s="14">
        <v>23300</v>
      </c>
      <c r="H12488" s="13" t="s">
        <v>23604</v>
      </c>
      <c r="I12488" s="40" t="s">
        <v>18</v>
      </c>
      <c r="J12488" s="40" t="str">
        <f>HYPERLINK("https://m.stock.naver.com/research/company/82811","PDF")</f>
        <v>PDF</v>
      </c>
      <c r="K12488" s="12" t="s">
        <v>23605</v>
      </c>
      <c r="L12488" s="20">
        <v>0.28755364806866951</v>
      </c>
    </row>
    <row r="12489" spans="1:12" x14ac:dyDescent="0.45">
      <c r="A12489" s="12" t="s">
        <v>23573</v>
      </c>
      <c r="B12489" s="12" t="s">
        <v>1383</v>
      </c>
      <c r="C12489" s="13" t="s">
        <v>1384</v>
      </c>
      <c r="D12489" s="13" t="s">
        <v>83</v>
      </c>
      <c r="E12489" s="12" t="s">
        <v>35</v>
      </c>
      <c r="F12489" s="14">
        <v>37000</v>
      </c>
      <c r="G12489" s="14">
        <v>24750</v>
      </c>
      <c r="H12489" s="13" t="s">
        <v>23606</v>
      </c>
      <c r="I12489" s="40" t="s">
        <v>18</v>
      </c>
      <c r="J12489" s="40" t="str">
        <f>HYPERLINK("https://m.stock.naver.com/research/company/82810","PDF")</f>
        <v>PDF</v>
      </c>
      <c r="K12489" s="12" t="s">
        <v>23607</v>
      </c>
      <c r="L12489" s="20">
        <v>0.49494949494949497</v>
      </c>
    </row>
    <row r="12490" spans="1:12" x14ac:dyDescent="0.45">
      <c r="A12490" s="12" t="s">
        <v>23573</v>
      </c>
      <c r="B12490" s="12" t="s">
        <v>366</v>
      </c>
      <c r="C12490" s="13" t="s">
        <v>367</v>
      </c>
      <c r="D12490" s="13" t="s">
        <v>83</v>
      </c>
      <c r="E12490" s="12" t="s">
        <v>35</v>
      </c>
      <c r="F12490" s="14">
        <v>20000</v>
      </c>
      <c r="G12490" s="14">
        <v>15240</v>
      </c>
      <c r="H12490" s="13" t="s">
        <v>23608</v>
      </c>
      <c r="I12490" s="40" t="s">
        <v>18</v>
      </c>
      <c r="J12490" s="40" t="str">
        <f>HYPERLINK("https://m.stock.naver.com/research/company/82809","PDF")</f>
        <v>PDF</v>
      </c>
      <c r="K12490" s="12" t="s">
        <v>23609</v>
      </c>
      <c r="L12490" s="20">
        <v>0.31233595800524933</v>
      </c>
    </row>
    <row r="12491" spans="1:12" x14ac:dyDescent="0.45">
      <c r="A12491" s="12" t="s">
        <v>23573</v>
      </c>
      <c r="B12491" s="12" t="s">
        <v>3403</v>
      </c>
      <c r="C12491" s="13" t="s">
        <v>3404</v>
      </c>
      <c r="D12491" s="13" t="s">
        <v>83</v>
      </c>
      <c r="E12491" s="12" t="s">
        <v>35</v>
      </c>
      <c r="F12491" s="14">
        <v>40000</v>
      </c>
      <c r="G12491" s="14">
        <v>32750</v>
      </c>
      <c r="H12491" s="13" t="s">
        <v>23610</v>
      </c>
      <c r="I12491" s="40" t="s">
        <v>18</v>
      </c>
      <c r="J12491" s="40" t="str">
        <f>HYPERLINK("https://m.stock.naver.com/research/company/82808","PDF")</f>
        <v>PDF</v>
      </c>
      <c r="K12491" s="12" t="s">
        <v>23611</v>
      </c>
      <c r="L12491" s="20">
        <v>0.2213740458015267</v>
      </c>
    </row>
    <row r="12492" spans="1:12" x14ac:dyDescent="0.45">
      <c r="A12492" s="12" t="s">
        <v>23573</v>
      </c>
      <c r="B12492" s="12" t="s">
        <v>1036</v>
      </c>
      <c r="C12492" s="13" t="s">
        <v>1037</v>
      </c>
      <c r="D12492" s="13" t="s">
        <v>83</v>
      </c>
      <c r="E12492" s="12" t="s">
        <v>642</v>
      </c>
      <c r="F12492" s="14">
        <v>13000</v>
      </c>
      <c r="G12492" s="14">
        <v>14360</v>
      </c>
      <c r="H12492" s="13" t="s">
        <v>23612</v>
      </c>
      <c r="I12492" s="40" t="s">
        <v>18</v>
      </c>
      <c r="J12492" s="40" t="str">
        <f>HYPERLINK("https://m.stock.naver.com/research/company/82807","PDF")</f>
        <v>PDF</v>
      </c>
      <c r="K12492" s="12" t="s">
        <v>23613</v>
      </c>
      <c r="L12492" s="20">
        <v>-9.4707520891364902E-2</v>
      </c>
    </row>
    <row r="12493" spans="1:12" x14ac:dyDescent="0.45">
      <c r="A12493" s="12" t="s">
        <v>23573</v>
      </c>
      <c r="B12493" s="12" t="s">
        <v>2873</v>
      </c>
      <c r="C12493" s="13" t="s">
        <v>2874</v>
      </c>
      <c r="D12493" s="13" t="s">
        <v>83</v>
      </c>
      <c r="E12493" s="12" t="s">
        <v>35</v>
      </c>
      <c r="F12493" s="14">
        <v>75000</v>
      </c>
      <c r="G12493" s="14">
        <v>53800</v>
      </c>
      <c r="H12493" s="13" t="s">
        <v>23614</v>
      </c>
      <c r="I12493" s="40" t="s">
        <v>18</v>
      </c>
      <c r="J12493" s="40" t="str">
        <f>HYPERLINK("https://m.stock.naver.com/research/company/82806","PDF")</f>
        <v>PDF</v>
      </c>
      <c r="K12493" s="12" t="s">
        <v>23615</v>
      </c>
      <c r="L12493" s="20">
        <v>0.39405204460966542</v>
      </c>
    </row>
    <row r="12494" spans="1:12" x14ac:dyDescent="0.45">
      <c r="A12494" s="12" t="s">
        <v>23573</v>
      </c>
      <c r="B12494" s="12" t="s">
        <v>2781</v>
      </c>
      <c r="C12494" s="13" t="s">
        <v>2782</v>
      </c>
      <c r="D12494" s="13" t="s">
        <v>83</v>
      </c>
      <c r="E12494" s="12" t="s">
        <v>35</v>
      </c>
      <c r="F12494" s="14">
        <v>140000</v>
      </c>
      <c r="G12494" s="14">
        <v>106900</v>
      </c>
      <c r="H12494" s="13" t="s">
        <v>23616</v>
      </c>
      <c r="I12494" s="40" t="s">
        <v>18</v>
      </c>
      <c r="J12494" s="40" t="str">
        <f>HYPERLINK("https://stock.pstatic.net/stock-research/company/2/20250508_company_406024000.pdf","PDF")</f>
        <v>PDF</v>
      </c>
      <c r="K12494" s="12" t="s">
        <v>23617</v>
      </c>
      <c r="L12494" s="20">
        <v>0.30963517305893362</v>
      </c>
    </row>
    <row r="12495" spans="1:12" x14ac:dyDescent="0.45">
      <c r="A12495" s="12" t="s">
        <v>23573</v>
      </c>
      <c r="B12495" s="12" t="s">
        <v>13469</v>
      </c>
      <c r="C12495" s="13" t="s">
        <v>13470</v>
      </c>
      <c r="D12495" s="13" t="s">
        <v>83</v>
      </c>
      <c r="E12495" s="12" t="s">
        <v>642</v>
      </c>
      <c r="F12495" s="14">
        <v>43000</v>
      </c>
      <c r="G12495" s="14">
        <v>38800</v>
      </c>
      <c r="H12495" s="13" t="s">
        <v>23618</v>
      </c>
      <c r="I12495" s="40" t="s">
        <v>18</v>
      </c>
      <c r="J12495" s="40" t="str">
        <f>HYPERLINK("https://stock.pstatic.net/stock-research/company/2/20250508_company_947423000.pdf","PDF")</f>
        <v>PDF</v>
      </c>
      <c r="K12495" s="12" t="s">
        <v>23619</v>
      </c>
      <c r="L12495" s="20">
        <v>0.1082474226804124</v>
      </c>
    </row>
    <row r="12496" spans="1:12" x14ac:dyDescent="0.45">
      <c r="A12496" s="12" t="s">
        <v>23573</v>
      </c>
      <c r="B12496" s="12" t="s">
        <v>1648</v>
      </c>
      <c r="C12496" s="13" t="s">
        <v>1649</v>
      </c>
      <c r="D12496" s="13" t="s">
        <v>15</v>
      </c>
      <c r="E12496" s="12" t="s">
        <v>16</v>
      </c>
      <c r="F12496" s="14">
        <v>160000</v>
      </c>
      <c r="G12496" s="14">
        <v>125500</v>
      </c>
      <c r="H12496" s="13" t="s">
        <v>23620</v>
      </c>
      <c r="I12496" s="40" t="s">
        <v>18</v>
      </c>
      <c r="J12496" s="40" t="str">
        <f>HYPERLINK("https://stock.pstatic.net/stock-research/company/29/20250508_company_103262000.pdf","PDF")</f>
        <v>PDF</v>
      </c>
      <c r="K12496" s="12" t="s">
        <v>23621</v>
      </c>
      <c r="L12496" s="20">
        <v>0.27490039840637448</v>
      </c>
    </row>
    <row r="12497" spans="1:12" x14ac:dyDescent="0.45">
      <c r="A12497" s="12" t="s">
        <v>23573</v>
      </c>
      <c r="B12497" s="12" t="s">
        <v>3482</v>
      </c>
      <c r="C12497" s="13" t="s">
        <v>3483</v>
      </c>
      <c r="D12497" s="13" t="s">
        <v>179</v>
      </c>
      <c r="E12497" s="12" t="s">
        <v>16</v>
      </c>
      <c r="F12497" s="14">
        <v>81000</v>
      </c>
      <c r="G12497" s="14">
        <v>65300</v>
      </c>
      <c r="H12497" s="13" t="s">
        <v>23622</v>
      </c>
      <c r="I12497" s="40" t="s">
        <v>18</v>
      </c>
      <c r="J12497" s="40" t="str">
        <f>HYPERLINK("https://stock.pstatic.net/stock-research/company/31/20250508_company_381808000.pdf","PDF")</f>
        <v>PDF</v>
      </c>
      <c r="K12497" s="12" t="s">
        <v>23623</v>
      </c>
      <c r="L12497" s="20">
        <v>0.2404287901990812</v>
      </c>
    </row>
    <row r="12498" spans="1:12" x14ac:dyDescent="0.45">
      <c r="A12498" s="12" t="s">
        <v>23573</v>
      </c>
      <c r="B12498" s="12" t="s">
        <v>1383</v>
      </c>
      <c r="C12498" s="13" t="s">
        <v>1384</v>
      </c>
      <c r="D12498" s="13" t="s">
        <v>179</v>
      </c>
      <c r="E12498" s="12" t="s">
        <v>16</v>
      </c>
      <c r="F12498" s="14">
        <v>31000</v>
      </c>
      <c r="G12498" s="14">
        <v>24750</v>
      </c>
      <c r="H12498" s="13" t="s">
        <v>23624</v>
      </c>
      <c r="I12498" s="40" t="s">
        <v>18</v>
      </c>
      <c r="J12498" s="40" t="str">
        <f>HYPERLINK("https://stock.pstatic.net/stock-research/company/31/20250508_company_51460000.pdf","PDF")</f>
        <v>PDF</v>
      </c>
      <c r="K12498" s="12" t="s">
        <v>23625</v>
      </c>
      <c r="L12498" s="20">
        <v>0.25252525252525249</v>
      </c>
    </row>
    <row r="12499" spans="1:12" x14ac:dyDescent="0.45">
      <c r="A12499" s="12" t="s">
        <v>23573</v>
      </c>
      <c r="B12499" s="12" t="s">
        <v>1036</v>
      </c>
      <c r="C12499" s="13" t="s">
        <v>1037</v>
      </c>
      <c r="D12499" s="13" t="s">
        <v>92</v>
      </c>
      <c r="E12499" s="12" t="s">
        <v>159</v>
      </c>
      <c r="F12499" s="14">
        <v>13000</v>
      </c>
      <c r="G12499" s="14">
        <v>14360</v>
      </c>
      <c r="H12499" s="13" t="s">
        <v>23626</v>
      </c>
      <c r="I12499" s="40" t="s">
        <v>18</v>
      </c>
      <c r="J12499" s="40" t="str">
        <f>HYPERLINK("https://stock.pstatic.net/stock-research/company/1/20250508_company_734506000.pdf","PDF")</f>
        <v>PDF</v>
      </c>
      <c r="K12499" s="12" t="s">
        <v>23627</v>
      </c>
      <c r="L12499" s="20">
        <v>-9.4707520891364902E-2</v>
      </c>
    </row>
    <row r="12500" spans="1:12" x14ac:dyDescent="0.45">
      <c r="A12500" s="12" t="s">
        <v>23573</v>
      </c>
      <c r="B12500" s="12" t="s">
        <v>3373</v>
      </c>
      <c r="C12500" s="13" t="s">
        <v>3374</v>
      </c>
      <c r="D12500" s="13" t="s">
        <v>179</v>
      </c>
      <c r="E12500" s="12" t="s">
        <v>16</v>
      </c>
      <c r="F12500" s="14">
        <v>115000</v>
      </c>
      <c r="G12500" s="14">
        <v>93600</v>
      </c>
      <c r="H12500" s="13" t="s">
        <v>23628</v>
      </c>
      <c r="I12500" s="40" t="s">
        <v>18</v>
      </c>
      <c r="J12500" s="40" t="str">
        <f>HYPERLINK("https://stock.pstatic.net/stock-research/company/31/20250508_company_579430000.pdf","PDF")</f>
        <v>PDF</v>
      </c>
      <c r="K12500" s="12" t="s">
        <v>23629</v>
      </c>
      <c r="L12500" s="20">
        <v>0.2286324786324786</v>
      </c>
    </row>
    <row r="12501" spans="1:12" x14ac:dyDescent="0.45">
      <c r="A12501" s="12" t="s">
        <v>23573</v>
      </c>
      <c r="B12501" s="12" t="s">
        <v>1648</v>
      </c>
      <c r="C12501" s="13" t="s">
        <v>1649</v>
      </c>
      <c r="D12501" s="13" t="s">
        <v>53</v>
      </c>
      <c r="E12501" s="12" t="s">
        <v>16</v>
      </c>
      <c r="F12501" s="14">
        <v>150000</v>
      </c>
      <c r="G12501" s="14">
        <v>125500</v>
      </c>
      <c r="H12501" s="13" t="s">
        <v>23630</v>
      </c>
      <c r="I12501" s="40" t="s">
        <v>18</v>
      </c>
      <c r="J12501" s="40" t="str">
        <f>HYPERLINK("https://stock.pstatic.net/stock-research/company/40/20250508_company_179612000.pdf","PDF")</f>
        <v>PDF</v>
      </c>
      <c r="K12501" s="12" t="s">
        <v>23631</v>
      </c>
      <c r="L12501" s="20">
        <v>0.19521912350597609</v>
      </c>
    </row>
    <row r="12502" spans="1:12" x14ac:dyDescent="0.45">
      <c r="A12502" s="12" t="s">
        <v>23573</v>
      </c>
      <c r="B12502" s="12" t="s">
        <v>1648</v>
      </c>
      <c r="C12502" s="13" t="s">
        <v>1649</v>
      </c>
      <c r="D12502" s="13" t="s">
        <v>92</v>
      </c>
      <c r="E12502" s="12" t="s">
        <v>35</v>
      </c>
      <c r="F12502" s="14">
        <v>150000</v>
      </c>
      <c r="G12502" s="14">
        <v>125500</v>
      </c>
      <c r="H12502" s="13" t="s">
        <v>23632</v>
      </c>
      <c r="I12502" s="40" t="s">
        <v>18</v>
      </c>
      <c r="J12502" s="40" t="str">
        <f>HYPERLINK("https://stock.pstatic.net/stock-research/company/63/20250508_company_202932000.pdf","PDF")</f>
        <v>PDF</v>
      </c>
      <c r="K12502" s="12" t="s">
        <v>23633</v>
      </c>
      <c r="L12502" s="20">
        <v>0.19521912350597609</v>
      </c>
    </row>
    <row r="12503" spans="1:12" x14ac:dyDescent="0.45">
      <c r="A12503" s="12" t="s">
        <v>23573</v>
      </c>
      <c r="B12503" s="12" t="s">
        <v>2781</v>
      </c>
      <c r="C12503" s="13" t="s">
        <v>2782</v>
      </c>
      <c r="D12503" s="13" t="s">
        <v>23</v>
      </c>
      <c r="E12503" s="12" t="s">
        <v>16</v>
      </c>
      <c r="F12503" s="14">
        <v>140000</v>
      </c>
      <c r="G12503" s="14">
        <v>106900</v>
      </c>
      <c r="H12503" s="13" t="s">
        <v>23634</v>
      </c>
      <c r="I12503" s="40" t="s">
        <v>18</v>
      </c>
      <c r="J12503" s="40" t="str">
        <f>HYPERLINK("https://stock.pstatic.net/stock-research/company/21/20250508_company_352081000.pdf","PDF")</f>
        <v>PDF</v>
      </c>
      <c r="K12503" s="12" t="s">
        <v>23635</v>
      </c>
      <c r="L12503" s="20">
        <v>0.30963517305893362</v>
      </c>
    </row>
    <row r="12504" spans="1:12" x14ac:dyDescent="0.45">
      <c r="A12504" s="12" t="s">
        <v>23573</v>
      </c>
      <c r="B12504" s="12" t="s">
        <v>1648</v>
      </c>
      <c r="C12504" s="13" t="s">
        <v>1649</v>
      </c>
      <c r="D12504" s="13" t="s">
        <v>34</v>
      </c>
      <c r="E12504" s="12" t="s">
        <v>35</v>
      </c>
      <c r="F12504" s="14">
        <v>150000</v>
      </c>
      <c r="G12504" s="14">
        <v>125500</v>
      </c>
      <c r="H12504" s="13" t="s">
        <v>23636</v>
      </c>
      <c r="I12504" s="40" t="s">
        <v>18</v>
      </c>
      <c r="J12504" s="40" t="str">
        <f>HYPERLINK("https://stock.pstatic.net/stock-research/company/61/20250508_company_650119000.pdf","PDF")</f>
        <v>PDF</v>
      </c>
      <c r="K12504" s="12" t="s">
        <v>23637</v>
      </c>
      <c r="L12504" s="20">
        <v>0.19521912350597609</v>
      </c>
    </row>
    <row r="12505" spans="1:12" x14ac:dyDescent="0.45">
      <c r="A12505" s="12" t="s">
        <v>23573</v>
      </c>
      <c r="B12505" s="12" t="s">
        <v>2781</v>
      </c>
      <c r="C12505" s="13" t="s">
        <v>2782</v>
      </c>
      <c r="D12505" s="13" t="s">
        <v>34</v>
      </c>
      <c r="E12505" s="12" t="s">
        <v>35</v>
      </c>
      <c r="F12505" s="14">
        <v>150000</v>
      </c>
      <c r="G12505" s="14">
        <v>106900</v>
      </c>
      <c r="H12505" s="13" t="s">
        <v>23638</v>
      </c>
      <c r="I12505" s="40" t="s">
        <v>18</v>
      </c>
      <c r="J12505" s="40" t="str">
        <f>HYPERLINK("https://stock.pstatic.net/stock-research/company/61/20250508_company_781283000.pdf","PDF")</f>
        <v>PDF</v>
      </c>
      <c r="K12505" s="12" t="s">
        <v>23639</v>
      </c>
      <c r="L12505" s="20">
        <v>0.40318054256314312</v>
      </c>
    </row>
    <row r="12506" spans="1:12" x14ac:dyDescent="0.45">
      <c r="A12506" s="12" t="s">
        <v>23573</v>
      </c>
      <c r="B12506" s="12" t="s">
        <v>430</v>
      </c>
      <c r="C12506" s="13" t="s">
        <v>431</v>
      </c>
      <c r="D12506" s="13" t="s">
        <v>23</v>
      </c>
      <c r="E12506" s="12" t="s">
        <v>16</v>
      </c>
      <c r="F12506" s="14">
        <v>48000</v>
      </c>
      <c r="G12506" s="14">
        <v>26650</v>
      </c>
      <c r="H12506" s="13" t="s">
        <v>23640</v>
      </c>
      <c r="I12506" s="40" t="s">
        <v>18</v>
      </c>
      <c r="J12506" s="40" t="str">
        <f>HYPERLINK("https://stock.pstatic.net/stock-research/company/21/20250508_company_797170000.pdf","PDF")</f>
        <v>PDF</v>
      </c>
      <c r="K12506" s="12" t="s">
        <v>23641</v>
      </c>
      <c r="L12506" s="20">
        <v>0.80112570356472801</v>
      </c>
    </row>
    <row r="12507" spans="1:12" x14ac:dyDescent="0.45">
      <c r="A12507" s="12" t="s">
        <v>23573</v>
      </c>
      <c r="B12507" s="12" t="s">
        <v>23642</v>
      </c>
      <c r="C12507" s="13" t="s">
        <v>23643</v>
      </c>
      <c r="D12507" s="13" t="s">
        <v>44</v>
      </c>
      <c r="E12507" s="12" t="s">
        <v>50</v>
      </c>
      <c r="F12507" s="13"/>
      <c r="G12507" s="14">
        <v>13420</v>
      </c>
      <c r="H12507" s="13" t="s">
        <v>23644</v>
      </c>
      <c r="I12507" s="40" t="s">
        <v>18</v>
      </c>
      <c r="J12507" s="40" t="str">
        <f>HYPERLINK("https://stock.pstatic.net/stock-research/company/39/20250508_company_938738000.pdf","PDF")</f>
        <v>PDF</v>
      </c>
      <c r="K12507" s="12" t="s">
        <v>23645</v>
      </c>
    </row>
    <row r="12508" spans="1:12" x14ac:dyDescent="0.45">
      <c r="A12508" s="12" t="s">
        <v>23573</v>
      </c>
      <c r="B12508" s="12" t="s">
        <v>2662</v>
      </c>
      <c r="C12508" s="13" t="s">
        <v>2663</v>
      </c>
      <c r="D12508" s="13" t="s">
        <v>23</v>
      </c>
      <c r="E12508" s="12" t="s">
        <v>16</v>
      </c>
      <c r="F12508" s="14">
        <v>35000</v>
      </c>
      <c r="G12508" s="14">
        <v>31500</v>
      </c>
      <c r="H12508" s="13" t="s">
        <v>23646</v>
      </c>
      <c r="I12508" s="40" t="s">
        <v>18</v>
      </c>
      <c r="J12508" s="40" t="str">
        <f>HYPERLINK("https://stock.pstatic.net/stock-research/company/21/20250508_company_294442000.pdf","PDF")</f>
        <v>PDF</v>
      </c>
      <c r="K12508" s="12" t="s">
        <v>23647</v>
      </c>
      <c r="L12508" s="20">
        <v>0.1111111111111111</v>
      </c>
    </row>
    <row r="12509" spans="1:12" x14ac:dyDescent="0.45">
      <c r="A12509" s="12" t="s">
        <v>23573</v>
      </c>
      <c r="B12509" s="12" t="s">
        <v>1190</v>
      </c>
      <c r="C12509" s="13" t="s">
        <v>1191</v>
      </c>
      <c r="D12509" s="13" t="s">
        <v>179</v>
      </c>
      <c r="E12509" s="12" t="s">
        <v>16</v>
      </c>
      <c r="F12509" s="14">
        <v>59000</v>
      </c>
      <c r="G12509" s="14">
        <v>48750</v>
      </c>
      <c r="H12509" s="13" t="s">
        <v>23648</v>
      </c>
      <c r="I12509" s="40" t="s">
        <v>18</v>
      </c>
      <c r="J12509" s="40" t="str">
        <f>HYPERLINK("https://stock.pstatic.net/stock-research/company/31/20250508_company_393257000.pdf","PDF")</f>
        <v>PDF</v>
      </c>
      <c r="K12509" s="12" t="s">
        <v>23649</v>
      </c>
      <c r="L12509" s="20">
        <v>0.21025641025641029</v>
      </c>
    </row>
    <row r="12510" spans="1:12" x14ac:dyDescent="0.45">
      <c r="A12510" s="12" t="s">
        <v>23573</v>
      </c>
      <c r="B12510" s="12" t="s">
        <v>2650</v>
      </c>
      <c r="C12510" s="13" t="s">
        <v>2651</v>
      </c>
      <c r="D12510" s="13" t="s">
        <v>23</v>
      </c>
      <c r="E12510" s="12" t="s">
        <v>16</v>
      </c>
      <c r="F12510" s="14">
        <v>27000</v>
      </c>
      <c r="G12510" s="14">
        <v>23300</v>
      </c>
      <c r="H12510" s="13" t="s">
        <v>23650</v>
      </c>
      <c r="I12510" s="40" t="s">
        <v>18</v>
      </c>
      <c r="J12510" s="40" t="str">
        <f>HYPERLINK("https://stock.pstatic.net/stock-research/company/21/20250508_company_413519000.pdf","PDF")</f>
        <v>PDF</v>
      </c>
      <c r="K12510" s="12" t="s">
        <v>23651</v>
      </c>
      <c r="L12510" s="20">
        <v>0.15879828326180259</v>
      </c>
    </row>
    <row r="12511" spans="1:12" x14ac:dyDescent="0.45">
      <c r="A12511" s="12" t="s">
        <v>23573</v>
      </c>
      <c r="B12511" s="12" t="s">
        <v>23652</v>
      </c>
      <c r="C12511" s="13" t="s">
        <v>23653</v>
      </c>
      <c r="D12511" s="13" t="s">
        <v>179</v>
      </c>
      <c r="E12511" s="12" t="s">
        <v>16</v>
      </c>
      <c r="F12511" s="14">
        <v>31000</v>
      </c>
      <c r="G12511" s="14">
        <v>21400</v>
      </c>
      <c r="H12511" s="13" t="s">
        <v>23654</v>
      </c>
      <c r="I12511" s="40" t="s">
        <v>18</v>
      </c>
      <c r="J12511" s="40" t="str">
        <f>HYPERLINK("https://stock.pstatic.net/stock-research/company/31/20250508_company_544544000.pdf","PDF")</f>
        <v>PDF</v>
      </c>
      <c r="K12511" s="12" t="s">
        <v>23655</v>
      </c>
      <c r="L12511" s="20">
        <v>0.44859813084112149</v>
      </c>
    </row>
    <row r="12512" spans="1:12" x14ac:dyDescent="0.45">
      <c r="A12512" s="12" t="s">
        <v>23573</v>
      </c>
      <c r="B12512" s="12" t="s">
        <v>2781</v>
      </c>
      <c r="C12512" s="13" t="s">
        <v>2782</v>
      </c>
      <c r="D12512" s="13" t="s">
        <v>44</v>
      </c>
      <c r="E12512" s="12" t="s">
        <v>35</v>
      </c>
      <c r="F12512" s="14">
        <v>160000</v>
      </c>
      <c r="G12512" s="14">
        <v>106900</v>
      </c>
      <c r="H12512" s="13" t="s">
        <v>23656</v>
      </c>
      <c r="I12512" s="40" t="s">
        <v>18</v>
      </c>
      <c r="J12512" s="40" t="str">
        <f>HYPERLINK("https://stock.pstatic.net/stock-research/company/39/20250508_company_335571000.pdf","PDF")</f>
        <v>PDF</v>
      </c>
      <c r="K12512" s="12" t="s">
        <v>23657</v>
      </c>
      <c r="L12512" s="20">
        <v>0.49672591206735273</v>
      </c>
    </row>
    <row r="12513" spans="1:12" x14ac:dyDescent="0.45">
      <c r="A12513" s="12" t="s">
        <v>23573</v>
      </c>
      <c r="B12513" s="12" t="s">
        <v>23658</v>
      </c>
      <c r="C12513" s="13" t="s">
        <v>23659</v>
      </c>
      <c r="D12513" s="13" t="s">
        <v>124</v>
      </c>
      <c r="E12513" s="12" t="s">
        <v>50</v>
      </c>
      <c r="F12513" s="13"/>
      <c r="G12513" s="13"/>
      <c r="H12513" s="13" t="s">
        <v>23660</v>
      </c>
      <c r="I12513" s="40" t="s">
        <v>18</v>
      </c>
      <c r="J12513" s="40" t="str">
        <f>HYPERLINK("https://stock.pstatic.net/stock-research/company/74/20250508_company_117180000.pdf","PDF")</f>
        <v>PDF</v>
      </c>
      <c r="K12513" s="12" t="s">
        <v>23661</v>
      </c>
    </row>
    <row r="12514" spans="1:12" x14ac:dyDescent="0.45">
      <c r="A12514" s="12" t="s">
        <v>23573</v>
      </c>
      <c r="B12514" s="12" t="s">
        <v>4288</v>
      </c>
      <c r="C12514" s="13" t="s">
        <v>4289</v>
      </c>
      <c r="D12514" s="13" t="s">
        <v>124</v>
      </c>
      <c r="E12514" s="12" t="s">
        <v>50</v>
      </c>
      <c r="F12514" s="13"/>
      <c r="G12514" s="13"/>
      <c r="H12514" s="13" t="s">
        <v>23662</v>
      </c>
      <c r="I12514" s="40" t="s">
        <v>18</v>
      </c>
      <c r="J12514" s="40" t="str">
        <f>HYPERLINK("https://stock.pstatic.net/stock-research/company/74/20250509_company_269797000.pdf","PDF")</f>
        <v>PDF</v>
      </c>
      <c r="K12514" s="12" t="s">
        <v>23663</v>
      </c>
    </row>
    <row r="12515" spans="1:12" x14ac:dyDescent="0.45">
      <c r="A12515" s="12" t="s">
        <v>23573</v>
      </c>
      <c r="B12515" s="12" t="s">
        <v>2621</v>
      </c>
      <c r="C12515" s="13" t="s">
        <v>2622</v>
      </c>
      <c r="D12515" s="13" t="s">
        <v>53</v>
      </c>
      <c r="E12515" s="12" t="s">
        <v>16</v>
      </c>
      <c r="F12515" s="14">
        <v>9000</v>
      </c>
      <c r="G12515" s="14">
        <v>7530</v>
      </c>
      <c r="H12515" s="13" t="s">
        <v>23664</v>
      </c>
      <c r="I12515" s="40" t="s">
        <v>18</v>
      </c>
      <c r="J12515" s="40" t="str">
        <f>HYPERLINK("https://stock.pstatic.net/stock-research/company/1/20250508_company_522590000.pdf","PDF")</f>
        <v>PDF</v>
      </c>
      <c r="K12515" s="12" t="s">
        <v>23665</v>
      </c>
      <c r="L12515" s="20">
        <v>0.19521912350597609</v>
      </c>
    </row>
    <row r="12516" spans="1:12" x14ac:dyDescent="0.45">
      <c r="A12516" s="12" t="s">
        <v>23573</v>
      </c>
      <c r="B12516" s="12" t="s">
        <v>657</v>
      </c>
      <c r="C12516" s="13" t="s">
        <v>658</v>
      </c>
      <c r="D12516" s="13" t="s">
        <v>53</v>
      </c>
      <c r="E12516" s="12" t="s">
        <v>16</v>
      </c>
      <c r="F12516" s="14">
        <v>27000</v>
      </c>
      <c r="G12516" s="14">
        <v>18990</v>
      </c>
      <c r="H12516" s="13" t="s">
        <v>23666</v>
      </c>
      <c r="I12516" s="40" t="s">
        <v>18</v>
      </c>
      <c r="J12516" s="40" t="str">
        <f>HYPERLINK("https://stock.pstatic.net/stock-research/company/40/20250508_company_168398000.pdf","PDF")</f>
        <v>PDF</v>
      </c>
      <c r="K12516" s="12" t="s">
        <v>23667</v>
      </c>
      <c r="L12516" s="20">
        <v>0.4218009478672986</v>
      </c>
    </row>
    <row r="12517" spans="1:12" x14ac:dyDescent="0.45">
      <c r="A12517" s="12" t="s">
        <v>23573</v>
      </c>
      <c r="B12517" s="12" t="s">
        <v>2781</v>
      </c>
      <c r="C12517" s="13" t="s">
        <v>2782</v>
      </c>
      <c r="D12517" s="13" t="s">
        <v>53</v>
      </c>
      <c r="E12517" s="12" t="s">
        <v>16</v>
      </c>
      <c r="F12517" s="14">
        <v>130000</v>
      </c>
      <c r="G12517" s="14">
        <v>106900</v>
      </c>
      <c r="H12517" s="13" t="s">
        <v>23668</v>
      </c>
      <c r="I12517" s="40" t="s">
        <v>18</v>
      </c>
      <c r="J12517" s="40" t="str">
        <f>HYPERLINK("https://stock.pstatic.net/stock-research/company/40/20250508_company_635222000.pdf","PDF")</f>
        <v>PDF</v>
      </c>
      <c r="K12517" s="12" t="s">
        <v>23669</v>
      </c>
      <c r="L12517" s="20">
        <v>0.21608980355472401</v>
      </c>
    </row>
    <row r="12518" spans="1:12" x14ac:dyDescent="0.45">
      <c r="A12518" s="12" t="s">
        <v>23573</v>
      </c>
      <c r="B12518" s="12" t="s">
        <v>1036</v>
      </c>
      <c r="C12518" s="13" t="s">
        <v>1037</v>
      </c>
      <c r="D12518" s="13" t="s">
        <v>53</v>
      </c>
      <c r="E12518" s="12" t="s">
        <v>16</v>
      </c>
      <c r="F12518" s="14">
        <v>22000</v>
      </c>
      <c r="G12518" s="14">
        <v>14180</v>
      </c>
      <c r="H12518" s="13" t="s">
        <v>23670</v>
      </c>
      <c r="I12518" s="40" t="s">
        <v>18</v>
      </c>
      <c r="J12518" s="40" t="str">
        <f>HYPERLINK("https://stock.pstatic.net/stock-research/company/40/20250508_company_516818000.pdf","PDF")</f>
        <v>PDF</v>
      </c>
      <c r="K12518" s="12" t="s">
        <v>23671</v>
      </c>
      <c r="L12518" s="20">
        <v>0.5514809590973202</v>
      </c>
    </row>
    <row r="12519" spans="1:12" x14ac:dyDescent="0.45">
      <c r="A12519" s="12" t="s">
        <v>23672</v>
      </c>
      <c r="B12519" s="12" t="s">
        <v>1036</v>
      </c>
      <c r="C12519" s="13" t="s">
        <v>1037</v>
      </c>
      <c r="D12519" s="13" t="s">
        <v>15</v>
      </c>
      <c r="E12519" s="12" t="s">
        <v>16</v>
      </c>
      <c r="F12519" s="14">
        <v>17500</v>
      </c>
      <c r="G12519" s="14">
        <v>14180</v>
      </c>
      <c r="H12519" s="13" t="s">
        <v>23673</v>
      </c>
      <c r="I12519" s="40" t="s">
        <v>18</v>
      </c>
      <c r="J12519" s="40" t="str">
        <f>HYPERLINK("https://stock.pstatic.net/stock-research/company/29/20250507_company_90134000.pdf","PDF")</f>
        <v>PDF</v>
      </c>
      <c r="K12519" s="12" t="s">
        <v>23674</v>
      </c>
      <c r="L12519" s="20">
        <v>0.23413258110014101</v>
      </c>
    </row>
    <row r="12520" spans="1:12" x14ac:dyDescent="0.45">
      <c r="A12520" s="12" t="s">
        <v>23672</v>
      </c>
      <c r="B12520" s="12" t="s">
        <v>3284</v>
      </c>
      <c r="C12520" s="13" t="s">
        <v>3285</v>
      </c>
      <c r="D12520" s="13" t="s">
        <v>276</v>
      </c>
      <c r="E12520" s="12" t="s">
        <v>16</v>
      </c>
      <c r="F12520" s="14">
        <v>120000</v>
      </c>
      <c r="G12520" s="14">
        <v>78900</v>
      </c>
      <c r="H12520" s="13" t="s">
        <v>23675</v>
      </c>
      <c r="I12520" s="40" t="s">
        <v>18</v>
      </c>
      <c r="J12520" s="40" t="str">
        <f>HYPERLINK("https://stock.pstatic.net/stock-research/company/66/20250507_company_979820000.pdf","PDF")</f>
        <v>PDF</v>
      </c>
      <c r="K12520" s="12" t="s">
        <v>23676</v>
      </c>
      <c r="L12520" s="20">
        <v>0.52091254752851712</v>
      </c>
    </row>
    <row r="12521" spans="1:12" x14ac:dyDescent="0.45">
      <c r="A12521" s="12" t="s">
        <v>23672</v>
      </c>
      <c r="B12521" s="12" t="s">
        <v>1081</v>
      </c>
      <c r="C12521" s="13" t="s">
        <v>1082</v>
      </c>
      <c r="D12521" s="13" t="s">
        <v>276</v>
      </c>
      <c r="E12521" s="12" t="s">
        <v>16</v>
      </c>
      <c r="F12521" s="14">
        <v>1300000</v>
      </c>
      <c r="G12521" s="14">
        <v>1085000</v>
      </c>
      <c r="H12521" s="13" t="s">
        <v>23677</v>
      </c>
      <c r="I12521" s="40" t="s">
        <v>18</v>
      </c>
      <c r="J12521" s="40" t="str">
        <f>HYPERLINK("https://stock.pstatic.net/stock-research/company/2/20250507_company_783985000.pdf","PDF")</f>
        <v>PDF</v>
      </c>
      <c r="K12521" s="12" t="s">
        <v>23678</v>
      </c>
      <c r="L12521" s="20">
        <v>0.1981566820276498</v>
      </c>
    </row>
    <row r="12522" spans="1:12" x14ac:dyDescent="0.45">
      <c r="A12522" s="12" t="s">
        <v>23672</v>
      </c>
      <c r="B12522" s="12" t="s">
        <v>1057</v>
      </c>
      <c r="C12522" s="13" t="s">
        <v>1058</v>
      </c>
      <c r="D12522" s="13" t="s">
        <v>60</v>
      </c>
      <c r="E12522" s="12" t="s">
        <v>35</v>
      </c>
      <c r="F12522" s="14">
        <v>13000</v>
      </c>
      <c r="G12522" s="14">
        <v>8710</v>
      </c>
      <c r="H12522" s="13" t="s">
        <v>23679</v>
      </c>
      <c r="I12522" s="40" t="s">
        <v>18</v>
      </c>
      <c r="J12522" s="40" t="str">
        <f>HYPERLINK("https://stock.pstatic.net/stock-research/company/34/20250507_company_827505000.pdf","PDF")</f>
        <v>PDF</v>
      </c>
      <c r="K12522" s="12" t="s">
        <v>23680</v>
      </c>
      <c r="L12522" s="20">
        <v>0.4925373134328358</v>
      </c>
    </row>
    <row r="12523" spans="1:12" x14ac:dyDescent="0.45">
      <c r="A12523" s="12" t="s">
        <v>23672</v>
      </c>
      <c r="B12523" s="12" t="s">
        <v>3488</v>
      </c>
      <c r="C12523" s="13" t="s">
        <v>3489</v>
      </c>
      <c r="D12523" s="13" t="s">
        <v>60</v>
      </c>
      <c r="E12523" s="12" t="s">
        <v>35</v>
      </c>
      <c r="F12523" s="14">
        <v>22000</v>
      </c>
      <c r="G12523" s="14">
        <v>17720</v>
      </c>
      <c r="H12523" s="13" t="s">
        <v>23681</v>
      </c>
      <c r="I12523" s="40" t="s">
        <v>18</v>
      </c>
      <c r="J12523" s="40" t="str">
        <f>HYPERLINK("https://stock.pstatic.net/stock-research/company/62/20250507_company_693099000.pdf","PDF")</f>
        <v>PDF</v>
      </c>
      <c r="K12523" s="12" t="s">
        <v>23682</v>
      </c>
      <c r="L12523" s="20">
        <v>0.2415349887133183</v>
      </c>
    </row>
    <row r="12524" spans="1:12" x14ac:dyDescent="0.45">
      <c r="A12524" s="12" t="s">
        <v>23672</v>
      </c>
      <c r="B12524" s="12" t="s">
        <v>3488</v>
      </c>
      <c r="C12524" s="13" t="s">
        <v>3489</v>
      </c>
      <c r="D12524" s="13" t="s">
        <v>57</v>
      </c>
      <c r="E12524" s="12" t="s">
        <v>35</v>
      </c>
      <c r="F12524" s="14">
        <v>22000</v>
      </c>
      <c r="G12524" s="14">
        <v>17720</v>
      </c>
      <c r="H12524" s="13" t="s">
        <v>23683</v>
      </c>
      <c r="I12524" s="40" t="s">
        <v>18</v>
      </c>
      <c r="J12524" s="40" t="str">
        <f>HYPERLINK("https://stock.pstatic.net/stock-research/company/16/20250507_company_501562000.pdf","PDF")</f>
        <v>PDF</v>
      </c>
      <c r="K12524" s="12" t="s">
        <v>23684</v>
      </c>
      <c r="L12524" s="20">
        <v>0.2415349887133183</v>
      </c>
    </row>
    <row r="12525" spans="1:12" x14ac:dyDescent="0.45">
      <c r="A12525" s="12" t="s">
        <v>23672</v>
      </c>
      <c r="B12525" s="12" t="s">
        <v>3244</v>
      </c>
      <c r="C12525" s="13" t="s">
        <v>3245</v>
      </c>
      <c r="D12525" s="13" t="s">
        <v>158</v>
      </c>
      <c r="E12525" s="12" t="s">
        <v>35</v>
      </c>
      <c r="F12525" s="14">
        <v>56000</v>
      </c>
      <c r="G12525" s="14">
        <v>48300</v>
      </c>
      <c r="H12525" s="13" t="s">
        <v>23685</v>
      </c>
      <c r="I12525" s="40" t="s">
        <v>18</v>
      </c>
      <c r="J12525" s="40" t="str">
        <f>HYPERLINK("https://stock.pstatic.net/stock-research/company/18/20250507_company_382674000.pdf","PDF")</f>
        <v>PDF</v>
      </c>
      <c r="K12525" s="12" t="s">
        <v>23686</v>
      </c>
      <c r="L12525" s="20">
        <v>0.15942028985507251</v>
      </c>
    </row>
    <row r="12526" spans="1:12" x14ac:dyDescent="0.45">
      <c r="A12526" s="12" t="s">
        <v>23672</v>
      </c>
      <c r="B12526" s="12" t="s">
        <v>4668</v>
      </c>
      <c r="C12526" s="13" t="s">
        <v>4669</v>
      </c>
      <c r="D12526" s="13" t="s">
        <v>158</v>
      </c>
      <c r="E12526" s="12" t="s">
        <v>35</v>
      </c>
      <c r="F12526" s="14">
        <v>14000</v>
      </c>
      <c r="G12526" s="14">
        <v>11760</v>
      </c>
      <c r="H12526" s="13" t="s">
        <v>23687</v>
      </c>
      <c r="I12526" s="40" t="s">
        <v>18</v>
      </c>
      <c r="J12526" s="40" t="str">
        <f>HYPERLINK("https://stock.pstatic.net/stock-research/company/18/20250507_company_616934000.pdf","PDF")</f>
        <v>PDF</v>
      </c>
      <c r="K12526" s="12" t="s">
        <v>23688</v>
      </c>
      <c r="L12526" s="20">
        <v>0.19047619047619049</v>
      </c>
    </row>
    <row r="12527" spans="1:12" x14ac:dyDescent="0.45">
      <c r="A12527" s="12" t="s">
        <v>23672</v>
      </c>
      <c r="B12527" s="12" t="s">
        <v>450</v>
      </c>
      <c r="C12527" s="13" t="s">
        <v>451</v>
      </c>
      <c r="D12527" s="13" t="s">
        <v>158</v>
      </c>
      <c r="E12527" s="12" t="s">
        <v>159</v>
      </c>
      <c r="F12527" s="14">
        <v>320000</v>
      </c>
      <c r="G12527" s="14">
        <v>337500</v>
      </c>
      <c r="H12527" s="13" t="s">
        <v>23689</v>
      </c>
      <c r="I12527" s="40" t="s">
        <v>18</v>
      </c>
      <c r="J12527" s="40" t="str">
        <f>HYPERLINK("https://stock.pstatic.net/stock-research/company/18/20250507_company_142485000.pdf","PDF")</f>
        <v>PDF</v>
      </c>
      <c r="K12527" s="12" t="s">
        <v>23690</v>
      </c>
      <c r="L12527" s="20">
        <v>-5.185185185185185E-2</v>
      </c>
    </row>
    <row r="12528" spans="1:12" x14ac:dyDescent="0.45">
      <c r="A12528" s="12" t="s">
        <v>23672</v>
      </c>
      <c r="B12528" s="12" t="s">
        <v>434</v>
      </c>
      <c r="C12528" s="13" t="s">
        <v>435</v>
      </c>
      <c r="D12528" s="13" t="s">
        <v>158</v>
      </c>
      <c r="E12528" s="12" t="s">
        <v>35</v>
      </c>
      <c r="F12528" s="14">
        <v>178000</v>
      </c>
      <c r="G12528" s="14">
        <v>125600</v>
      </c>
      <c r="H12528" s="13" t="s">
        <v>23691</v>
      </c>
      <c r="I12528" s="40" t="s">
        <v>18</v>
      </c>
      <c r="J12528" s="40" t="str">
        <f>HYPERLINK("https://stock.pstatic.net/stock-research/company/18/20250507_company_125970000.pdf","PDF")</f>
        <v>PDF</v>
      </c>
      <c r="K12528" s="12" t="s">
        <v>23692</v>
      </c>
      <c r="L12528" s="20">
        <v>0.41719745222929938</v>
      </c>
    </row>
    <row r="12529" spans="1:12" x14ac:dyDescent="0.45">
      <c r="A12529" s="12" t="s">
        <v>23672</v>
      </c>
      <c r="B12529" s="12" t="s">
        <v>3451</v>
      </c>
      <c r="C12529" s="13" t="s">
        <v>3452</v>
      </c>
      <c r="D12529" s="13" t="s">
        <v>83</v>
      </c>
      <c r="E12529" s="12" t="s">
        <v>35</v>
      </c>
      <c r="F12529" s="14">
        <v>270000</v>
      </c>
      <c r="G12529" s="14">
        <v>177800</v>
      </c>
      <c r="H12529" s="13" t="s">
        <v>23693</v>
      </c>
      <c r="I12529" s="40" t="s">
        <v>18</v>
      </c>
      <c r="J12529" s="40" t="str">
        <f>HYPERLINK("https://stock.pstatic.net/stock-research/company/2/20250507_company_81930000.pdf","PDF")</f>
        <v>PDF</v>
      </c>
      <c r="K12529" s="12" t="s">
        <v>23694</v>
      </c>
      <c r="L12529" s="20">
        <v>0.51856017997750281</v>
      </c>
    </row>
    <row r="12530" spans="1:12" x14ac:dyDescent="0.45">
      <c r="A12530" s="12" t="s">
        <v>23672</v>
      </c>
      <c r="B12530" s="12" t="s">
        <v>2867</v>
      </c>
      <c r="C12530" s="13" t="s">
        <v>2868</v>
      </c>
      <c r="D12530" s="13" t="s">
        <v>83</v>
      </c>
      <c r="E12530" s="12" t="s">
        <v>35</v>
      </c>
      <c r="F12530" s="14">
        <v>10000</v>
      </c>
      <c r="G12530" s="14">
        <v>6880</v>
      </c>
      <c r="H12530" s="13" t="s">
        <v>23695</v>
      </c>
      <c r="I12530" s="40" t="s">
        <v>18</v>
      </c>
      <c r="J12530" s="40" t="str">
        <f>HYPERLINK("https://stock.pstatic.net/stock-research/company/2/20250507_company_398660000.pdf","PDF")</f>
        <v>PDF</v>
      </c>
      <c r="K12530" s="12" t="s">
        <v>23696</v>
      </c>
      <c r="L12530" s="20">
        <v>0.45348837209302317</v>
      </c>
    </row>
    <row r="12531" spans="1:12" x14ac:dyDescent="0.45">
      <c r="A12531" s="12" t="s">
        <v>23672</v>
      </c>
      <c r="B12531" s="12" t="s">
        <v>102</v>
      </c>
      <c r="C12531" s="13" t="s">
        <v>103</v>
      </c>
      <c r="D12531" s="13" t="s">
        <v>83</v>
      </c>
      <c r="E12531" s="12" t="s">
        <v>35</v>
      </c>
      <c r="F12531" s="14">
        <v>19000</v>
      </c>
      <c r="G12531" s="14">
        <v>12340</v>
      </c>
      <c r="H12531" s="13" t="s">
        <v>23697</v>
      </c>
      <c r="I12531" s="40" t="s">
        <v>18</v>
      </c>
      <c r="J12531" s="40" t="str">
        <f>HYPERLINK("https://stock.pstatic.net/stock-research/company/2/20250507_company_954784000.pdf","PDF")</f>
        <v>PDF</v>
      </c>
      <c r="K12531" s="12" t="s">
        <v>23698</v>
      </c>
      <c r="L12531" s="20">
        <v>0.53970826580226905</v>
      </c>
    </row>
    <row r="12532" spans="1:12" x14ac:dyDescent="0.45">
      <c r="A12532" s="12" t="s">
        <v>23672</v>
      </c>
      <c r="B12532" s="12" t="s">
        <v>259</v>
      </c>
      <c r="C12532" s="13" t="s">
        <v>260</v>
      </c>
      <c r="D12532" s="13" t="s">
        <v>83</v>
      </c>
      <c r="E12532" s="12" t="s">
        <v>35</v>
      </c>
      <c r="F12532" s="14">
        <v>85000</v>
      </c>
      <c r="G12532" s="14">
        <v>70800</v>
      </c>
      <c r="H12532" s="13" t="s">
        <v>23699</v>
      </c>
      <c r="I12532" s="40" t="s">
        <v>18</v>
      </c>
      <c r="J12532" s="40" t="str">
        <f>HYPERLINK("https://stock.pstatic.net/stock-research/company/2/20250507_company_656136000.pdf","PDF")</f>
        <v>PDF</v>
      </c>
      <c r="K12532" s="12" t="s">
        <v>23700</v>
      </c>
      <c r="L12532" s="20">
        <v>0.20056497175141241</v>
      </c>
    </row>
    <row r="12533" spans="1:12" x14ac:dyDescent="0.45">
      <c r="A12533" s="12" t="s">
        <v>23672</v>
      </c>
      <c r="B12533" s="12" t="s">
        <v>1009</v>
      </c>
      <c r="C12533" s="13" t="s">
        <v>1010</v>
      </c>
      <c r="D12533" s="13" t="s">
        <v>92</v>
      </c>
      <c r="E12533" s="12" t="s">
        <v>35</v>
      </c>
      <c r="F12533" s="14">
        <v>160000</v>
      </c>
      <c r="G12533" s="14">
        <v>108200</v>
      </c>
      <c r="H12533" s="13" t="s">
        <v>23701</v>
      </c>
      <c r="I12533" s="40" t="s">
        <v>18</v>
      </c>
      <c r="J12533" s="40" t="str">
        <f>HYPERLINK("https://stock.pstatic.net/stock-research/company/63/20250507_company_473306000.pdf","PDF")</f>
        <v>PDF</v>
      </c>
      <c r="K12533" s="12" t="s">
        <v>23702</v>
      </c>
      <c r="L12533" s="20">
        <v>0.47874306839186692</v>
      </c>
    </row>
    <row r="12534" spans="1:12" x14ac:dyDescent="0.45">
      <c r="A12534" s="12" t="s">
        <v>23672</v>
      </c>
      <c r="B12534" s="12" t="s">
        <v>13</v>
      </c>
      <c r="C12534" s="13" t="s">
        <v>14</v>
      </c>
      <c r="D12534" s="13" t="s">
        <v>15</v>
      </c>
      <c r="E12534" s="12" t="s">
        <v>16</v>
      </c>
      <c r="F12534" s="14">
        <v>80000</v>
      </c>
      <c r="G12534" s="14">
        <v>54300</v>
      </c>
      <c r="H12534" s="13" t="s">
        <v>23703</v>
      </c>
      <c r="I12534" s="40" t="s">
        <v>18</v>
      </c>
      <c r="J12534" s="40" t="str">
        <f>HYPERLINK("https://stock.pstatic.net/stock-research/company/29/20250507_company_805865000.pdf","PDF")</f>
        <v>PDF</v>
      </c>
      <c r="K12534" s="12" t="s">
        <v>23704</v>
      </c>
      <c r="L12534" s="20">
        <v>0.47329650092081033</v>
      </c>
    </row>
    <row r="12535" spans="1:12" x14ac:dyDescent="0.45">
      <c r="A12535" s="12" t="s">
        <v>23672</v>
      </c>
      <c r="B12535" s="12" t="s">
        <v>102</v>
      </c>
      <c r="C12535" s="13" t="s">
        <v>103</v>
      </c>
      <c r="D12535" s="13" t="s">
        <v>34</v>
      </c>
      <c r="E12535" s="12" t="s">
        <v>35</v>
      </c>
      <c r="F12535" s="14">
        <v>15000</v>
      </c>
      <c r="G12535" s="14">
        <v>12460</v>
      </c>
      <c r="H12535" s="13" t="s">
        <v>23705</v>
      </c>
      <c r="I12535" s="40" t="s">
        <v>18</v>
      </c>
      <c r="J12535" s="40" t="str">
        <f>HYPERLINK("https://stock.pstatic.net/stock-research/company/61/20250507_company_924770000.pdf","PDF")</f>
        <v>PDF</v>
      </c>
      <c r="K12535" s="12" t="s">
        <v>23706</v>
      </c>
      <c r="L12535" s="20">
        <v>0.2038523274478331</v>
      </c>
    </row>
    <row r="12536" spans="1:12" x14ac:dyDescent="0.45">
      <c r="A12536" s="12" t="s">
        <v>23672</v>
      </c>
      <c r="B12536" s="12" t="s">
        <v>8114</v>
      </c>
      <c r="C12536" s="13" t="s">
        <v>8115</v>
      </c>
      <c r="D12536" s="13" t="s">
        <v>34</v>
      </c>
      <c r="E12536" s="12" t="s">
        <v>35</v>
      </c>
      <c r="F12536" s="14">
        <v>32000</v>
      </c>
      <c r="G12536" s="14">
        <v>22950</v>
      </c>
      <c r="H12536" s="13" t="s">
        <v>23707</v>
      </c>
      <c r="I12536" s="40" t="s">
        <v>18</v>
      </c>
      <c r="J12536" s="40" t="str">
        <f>HYPERLINK("https://stock.pstatic.net/stock-research/company/61/20250507_company_455602000.pdf","PDF")</f>
        <v>PDF</v>
      </c>
      <c r="K12536" s="12" t="s">
        <v>23708</v>
      </c>
      <c r="L12536" s="20">
        <v>0.39433551198257077</v>
      </c>
    </row>
    <row r="12537" spans="1:12" x14ac:dyDescent="0.45">
      <c r="A12537" s="12" t="s">
        <v>23672</v>
      </c>
      <c r="B12537" s="12" t="s">
        <v>485</v>
      </c>
      <c r="C12537" s="13" t="s">
        <v>486</v>
      </c>
      <c r="D12537" s="13" t="s">
        <v>179</v>
      </c>
      <c r="E12537" s="12" t="s">
        <v>16</v>
      </c>
      <c r="F12537" s="14">
        <v>200000</v>
      </c>
      <c r="G12537" s="14">
        <v>125800</v>
      </c>
      <c r="H12537" s="13" t="s">
        <v>23709</v>
      </c>
      <c r="I12537" s="40" t="s">
        <v>18</v>
      </c>
      <c r="J12537" s="40" t="str">
        <f>HYPERLINK("https://stock.pstatic.net/stock-research/company/31/20250507_company_218711000.pdf","PDF")</f>
        <v>PDF</v>
      </c>
      <c r="K12537" s="12" t="s">
        <v>23710</v>
      </c>
      <c r="L12537" s="20">
        <v>0.58982511923688397</v>
      </c>
    </row>
    <row r="12538" spans="1:12" x14ac:dyDescent="0.45">
      <c r="A12538" s="12" t="s">
        <v>23672</v>
      </c>
      <c r="B12538" s="12" t="s">
        <v>6298</v>
      </c>
      <c r="C12538" s="13" t="s">
        <v>6299</v>
      </c>
      <c r="D12538" s="13" t="s">
        <v>92</v>
      </c>
      <c r="E12538" s="12" t="s">
        <v>50</v>
      </c>
      <c r="F12538" s="13"/>
      <c r="G12538" s="14">
        <v>13370</v>
      </c>
      <c r="H12538" s="13" t="s">
        <v>23711</v>
      </c>
      <c r="I12538" s="40" t="s">
        <v>18</v>
      </c>
      <c r="J12538" s="40" t="str">
        <f>HYPERLINK("https://stock.pstatic.net/stock-research/company/1/20250507_company_358668000.pdf","PDF")</f>
        <v>PDF</v>
      </c>
      <c r="K12538" s="12" t="s">
        <v>23712</v>
      </c>
    </row>
    <row r="12539" spans="1:12" x14ac:dyDescent="0.45">
      <c r="A12539" s="12" t="s">
        <v>23672</v>
      </c>
      <c r="B12539" s="12" t="s">
        <v>1507</v>
      </c>
      <c r="C12539" s="13" t="s">
        <v>1508</v>
      </c>
      <c r="D12539" s="13" t="s">
        <v>92</v>
      </c>
      <c r="E12539" s="12" t="s">
        <v>35</v>
      </c>
      <c r="F12539" s="14">
        <v>14000</v>
      </c>
      <c r="G12539" s="14">
        <v>8390</v>
      </c>
      <c r="H12539" s="13" t="s">
        <v>23713</v>
      </c>
      <c r="I12539" s="40" t="s">
        <v>18</v>
      </c>
      <c r="J12539" s="40" t="str">
        <f>HYPERLINK("https://stock.pstatic.net/stock-research/company/63/20250507_company_845102000.pdf","PDF")</f>
        <v>PDF</v>
      </c>
      <c r="K12539" s="12" t="s">
        <v>23714</v>
      </c>
      <c r="L12539" s="20">
        <v>0.6686531585220501</v>
      </c>
    </row>
    <row r="12540" spans="1:12" x14ac:dyDescent="0.45">
      <c r="A12540" s="12" t="s">
        <v>23672</v>
      </c>
      <c r="B12540" s="12" t="s">
        <v>2644</v>
      </c>
      <c r="C12540" s="13" t="s">
        <v>2645</v>
      </c>
      <c r="D12540" s="13" t="s">
        <v>92</v>
      </c>
      <c r="E12540" s="12" t="s">
        <v>35</v>
      </c>
      <c r="F12540" s="14">
        <v>30000</v>
      </c>
      <c r="G12540" s="14">
        <v>24450</v>
      </c>
      <c r="H12540" s="13" t="s">
        <v>23715</v>
      </c>
      <c r="I12540" s="40" t="s">
        <v>18</v>
      </c>
      <c r="J12540" s="40" t="str">
        <f>HYPERLINK("https://stock.pstatic.net/stock-research/company/1/20250507_company_507056000.pdf","PDF")</f>
        <v>PDF</v>
      </c>
      <c r="K12540" s="12" t="s">
        <v>23716</v>
      </c>
      <c r="L12540" s="20">
        <v>0.22699386503067481</v>
      </c>
    </row>
    <row r="12541" spans="1:12" x14ac:dyDescent="0.45">
      <c r="A12541" s="12" t="s">
        <v>23672</v>
      </c>
      <c r="B12541" s="12" t="s">
        <v>977</v>
      </c>
      <c r="C12541" s="13" t="s">
        <v>978</v>
      </c>
      <c r="D12541" s="13" t="s">
        <v>179</v>
      </c>
      <c r="E12541" s="12" t="s">
        <v>50</v>
      </c>
      <c r="F12541" s="13"/>
      <c r="G12541" s="14">
        <v>807</v>
      </c>
      <c r="H12541" s="13" t="s">
        <v>23717</v>
      </c>
      <c r="I12541" s="40" t="s">
        <v>18</v>
      </c>
      <c r="J12541" s="40" t="str">
        <f>HYPERLINK("https://stock.pstatic.net/stock-research/company/31/20250507_company_197488000.pdf","PDF")</f>
        <v>PDF</v>
      </c>
      <c r="K12541" s="12" t="s">
        <v>23718</v>
      </c>
    </row>
    <row r="12542" spans="1:12" x14ac:dyDescent="0.45">
      <c r="A12542" s="12" t="s">
        <v>23672</v>
      </c>
      <c r="B12542" s="12" t="s">
        <v>23719</v>
      </c>
      <c r="C12542" s="13" t="s">
        <v>23720</v>
      </c>
      <c r="D12542" s="13" t="s">
        <v>179</v>
      </c>
      <c r="E12542" s="12" t="s">
        <v>50</v>
      </c>
      <c r="F12542" s="13"/>
      <c r="G12542" s="14">
        <v>365</v>
      </c>
      <c r="H12542" s="13" t="s">
        <v>23721</v>
      </c>
      <c r="I12542" s="40" t="s">
        <v>18</v>
      </c>
      <c r="J12542" s="40" t="str">
        <f>HYPERLINK("https://stock.pstatic.net/stock-research/company/31/20250507_company_795724000.pdf","PDF")</f>
        <v>PDF</v>
      </c>
      <c r="K12542" s="12" t="s">
        <v>23722</v>
      </c>
    </row>
    <row r="12543" spans="1:12" x14ac:dyDescent="0.45">
      <c r="A12543" s="12" t="s">
        <v>23672</v>
      </c>
      <c r="B12543" s="12" t="s">
        <v>2170</v>
      </c>
      <c r="C12543" s="13" t="s">
        <v>2171</v>
      </c>
      <c r="D12543" s="13" t="s">
        <v>23</v>
      </c>
      <c r="E12543" s="12" t="s">
        <v>50</v>
      </c>
      <c r="F12543" s="13"/>
      <c r="G12543" s="14">
        <v>9400</v>
      </c>
      <c r="H12543" s="13" t="s">
        <v>23723</v>
      </c>
      <c r="I12543" s="40" t="s">
        <v>18</v>
      </c>
      <c r="J12543" s="40" t="str">
        <f>HYPERLINK("https://stock.pstatic.net/stock-research/company/21/20250507_company_441300000.pdf","PDF")</f>
        <v>PDF</v>
      </c>
      <c r="K12543" s="12" t="s">
        <v>23724</v>
      </c>
    </row>
    <row r="12544" spans="1:12" x14ac:dyDescent="0.45">
      <c r="A12544" s="12" t="s">
        <v>23672</v>
      </c>
      <c r="B12544" s="12" t="s">
        <v>5623</v>
      </c>
      <c r="C12544" s="13" t="s">
        <v>5624</v>
      </c>
      <c r="D12544" s="13" t="s">
        <v>44</v>
      </c>
      <c r="E12544" s="12" t="s">
        <v>35</v>
      </c>
      <c r="F12544" s="14">
        <v>11500</v>
      </c>
      <c r="G12544" s="14">
        <v>8090</v>
      </c>
      <c r="H12544" s="13" t="s">
        <v>23725</v>
      </c>
      <c r="I12544" s="40" t="s">
        <v>18</v>
      </c>
      <c r="J12544" s="40" t="str">
        <f>HYPERLINK("https://stock.pstatic.net/stock-research/company/39/20250507_company_885829000.pdf","PDF")</f>
        <v>PDF</v>
      </c>
      <c r="K12544" s="12" t="s">
        <v>23726</v>
      </c>
      <c r="L12544" s="20">
        <v>0.42150803461063041</v>
      </c>
    </row>
    <row r="12545" spans="1:12" x14ac:dyDescent="0.45">
      <c r="A12545" s="12" t="s">
        <v>23672</v>
      </c>
      <c r="B12545" s="12" t="s">
        <v>1682</v>
      </c>
      <c r="C12545" s="13" t="s">
        <v>4787</v>
      </c>
      <c r="D12545" s="13" t="s">
        <v>44</v>
      </c>
      <c r="E12545" s="12" t="s">
        <v>35</v>
      </c>
      <c r="F12545" s="14">
        <v>260000</v>
      </c>
      <c r="G12545" s="14">
        <v>145800</v>
      </c>
      <c r="H12545" s="13" t="s">
        <v>23727</v>
      </c>
      <c r="I12545" s="40" t="s">
        <v>18</v>
      </c>
      <c r="J12545" s="40" t="str">
        <f>HYPERLINK("https://stock.pstatic.net/stock-research/company/39/20250507_company_729744000.pdf","PDF")</f>
        <v>PDF</v>
      </c>
      <c r="K12545" s="12" t="s">
        <v>23728</v>
      </c>
      <c r="L12545" s="20">
        <v>0.78326474622770914</v>
      </c>
    </row>
    <row r="12546" spans="1:12" x14ac:dyDescent="0.45">
      <c r="A12546" s="12" t="s">
        <v>23672</v>
      </c>
      <c r="B12546" s="12" t="s">
        <v>485</v>
      </c>
      <c r="C12546" s="13" t="s">
        <v>486</v>
      </c>
      <c r="D12546" s="13" t="s">
        <v>15</v>
      </c>
      <c r="E12546" s="12" t="s">
        <v>16</v>
      </c>
      <c r="F12546" s="14">
        <v>200000</v>
      </c>
      <c r="G12546" s="14">
        <v>125800</v>
      </c>
      <c r="H12546" s="13" t="s">
        <v>23729</v>
      </c>
      <c r="I12546" s="40" t="s">
        <v>18</v>
      </c>
      <c r="J12546" s="40" t="str">
        <f>HYPERLINK("https://stock.pstatic.net/stock-research/company/29/20250507_company_879969000.pdf","PDF")</f>
        <v>PDF</v>
      </c>
      <c r="K12546" s="12" t="s">
        <v>23730</v>
      </c>
      <c r="L12546" s="20">
        <v>0.58982511923688397</v>
      </c>
    </row>
    <row r="12547" spans="1:12" x14ac:dyDescent="0.45">
      <c r="A12547" s="12" t="s">
        <v>23672</v>
      </c>
      <c r="B12547" s="12" t="s">
        <v>23731</v>
      </c>
      <c r="C12547" s="13" t="s">
        <v>23732</v>
      </c>
      <c r="D12547" s="13" t="s">
        <v>202</v>
      </c>
      <c r="E12547" s="12" t="s">
        <v>50</v>
      </c>
      <c r="F12547" s="13"/>
      <c r="G12547" s="13"/>
      <c r="H12547" s="13" t="s">
        <v>23733</v>
      </c>
      <c r="I12547" s="40" t="s">
        <v>18</v>
      </c>
      <c r="J12547" s="40" t="str">
        <f>HYPERLINK("https://stock.pstatic.net/stock-research/company/69/20250507_company_707798000.pdf","PDF")</f>
        <v>PDF</v>
      </c>
      <c r="K12547" s="12" t="s">
        <v>23734</v>
      </c>
    </row>
    <row r="12548" spans="1:12" x14ac:dyDescent="0.45">
      <c r="A12548" s="12" t="s">
        <v>23672</v>
      </c>
      <c r="B12548" s="12" t="s">
        <v>23735</v>
      </c>
      <c r="C12548" s="13" t="s">
        <v>23736</v>
      </c>
      <c r="D12548" s="13" t="s">
        <v>11154</v>
      </c>
      <c r="E12548" s="12" t="s">
        <v>50</v>
      </c>
      <c r="F12548" s="13"/>
      <c r="G12548" s="13"/>
      <c r="H12548" s="13" t="s">
        <v>23737</v>
      </c>
      <c r="I12548" s="40" t="s">
        <v>18</v>
      </c>
      <c r="J12548" s="40" t="str">
        <f>HYPERLINK("https://stock.pstatic.net/stock-research/company/1/20250507_company_563942000.pdf","PDF")</f>
        <v>PDF</v>
      </c>
      <c r="K12548" s="12" t="s">
        <v>23738</v>
      </c>
    </row>
    <row r="12549" spans="1:12" x14ac:dyDescent="0.45">
      <c r="A12549" s="12" t="s">
        <v>23672</v>
      </c>
      <c r="B12549" s="12" t="s">
        <v>23739</v>
      </c>
      <c r="C12549" s="13" t="s">
        <v>23740</v>
      </c>
      <c r="D12549" s="13" t="s">
        <v>11154</v>
      </c>
      <c r="E12549" s="12" t="s">
        <v>50</v>
      </c>
      <c r="F12549" s="13"/>
      <c r="G12549" s="13"/>
      <c r="H12549" s="13" t="s">
        <v>23741</v>
      </c>
      <c r="I12549" s="40" t="s">
        <v>18</v>
      </c>
      <c r="J12549" s="40" t="str">
        <f>HYPERLINK("https://stock.pstatic.net/stock-research/company/79/20250508_company_829961000.pdf","PDF")</f>
        <v>PDF</v>
      </c>
      <c r="K12549" s="12" t="s">
        <v>23742</v>
      </c>
    </row>
    <row r="12550" spans="1:12" x14ac:dyDescent="0.45">
      <c r="A12550" s="12" t="s">
        <v>23672</v>
      </c>
      <c r="B12550" s="12" t="s">
        <v>23743</v>
      </c>
      <c r="C12550" s="13" t="s">
        <v>23744</v>
      </c>
      <c r="D12550" s="13" t="s">
        <v>202</v>
      </c>
      <c r="E12550" s="12" t="s">
        <v>50</v>
      </c>
      <c r="F12550" s="13"/>
      <c r="G12550" s="13"/>
      <c r="H12550" s="13" t="s">
        <v>23745</v>
      </c>
      <c r="I12550" s="40" t="s">
        <v>18</v>
      </c>
      <c r="J12550" s="40" t="str">
        <f>HYPERLINK("https://stock.pstatic.net/stock-research/company/69/20250507_company_767821000.pdf","PDF")</f>
        <v>PDF</v>
      </c>
      <c r="K12550" s="12" t="s">
        <v>23746</v>
      </c>
    </row>
    <row r="12551" spans="1:12" x14ac:dyDescent="0.45">
      <c r="A12551" s="12" t="s">
        <v>23672</v>
      </c>
      <c r="B12551" s="12" t="s">
        <v>23747</v>
      </c>
      <c r="C12551" s="13" t="s">
        <v>23748</v>
      </c>
      <c r="D12551" s="13" t="s">
        <v>202</v>
      </c>
      <c r="E12551" s="12" t="s">
        <v>50</v>
      </c>
      <c r="F12551" s="13"/>
      <c r="G12551" s="13"/>
      <c r="H12551" s="13" t="s">
        <v>23749</v>
      </c>
      <c r="I12551" s="40" t="s">
        <v>18</v>
      </c>
      <c r="J12551" s="40" t="str">
        <f>HYPERLINK("https://stock.pstatic.net/stock-research/company/69/20250507_company_289233000.pdf","PDF")</f>
        <v>PDF</v>
      </c>
      <c r="K12551" s="12" t="s">
        <v>23750</v>
      </c>
    </row>
    <row r="12552" spans="1:12" x14ac:dyDescent="0.45">
      <c r="A12552" s="12" t="s">
        <v>23672</v>
      </c>
      <c r="B12552" s="12" t="s">
        <v>23751</v>
      </c>
      <c r="C12552" s="13" t="s">
        <v>23752</v>
      </c>
      <c r="D12552" s="13" t="s">
        <v>11154</v>
      </c>
      <c r="E12552" s="12" t="s">
        <v>50</v>
      </c>
      <c r="F12552" s="13"/>
      <c r="G12552" s="13"/>
      <c r="H12552" s="13" t="s">
        <v>23753</v>
      </c>
      <c r="I12552" s="40" t="s">
        <v>18</v>
      </c>
      <c r="J12552" s="40" t="str">
        <f>HYPERLINK("https://stock.pstatic.net/stock-research/company/1/20250507_company_853111000.pdf","PDF")</f>
        <v>PDF</v>
      </c>
      <c r="K12552" s="12" t="s">
        <v>23754</v>
      </c>
    </row>
    <row r="12553" spans="1:12" x14ac:dyDescent="0.45">
      <c r="A12553" s="12" t="s">
        <v>23755</v>
      </c>
      <c r="B12553" s="12" t="s">
        <v>2795</v>
      </c>
      <c r="C12553" s="13" t="s">
        <v>2796</v>
      </c>
      <c r="D12553" s="13" t="s">
        <v>15</v>
      </c>
      <c r="E12553" s="12" t="s">
        <v>16</v>
      </c>
      <c r="F12553" s="14">
        <v>5500</v>
      </c>
      <c r="G12553" s="14">
        <v>3315</v>
      </c>
      <c r="H12553" s="13" t="s">
        <v>23756</v>
      </c>
      <c r="I12553" s="40" t="s">
        <v>18</v>
      </c>
      <c r="J12553" s="40" t="str">
        <f>HYPERLINK("https://stock.pstatic.net/stock-research/company/29/20250502_company_440360000.pdf","PDF")</f>
        <v>PDF</v>
      </c>
      <c r="K12553" s="12" t="s">
        <v>23757</v>
      </c>
      <c r="L12553" s="20">
        <v>0.65912518853695323</v>
      </c>
    </row>
    <row r="12554" spans="1:12" x14ac:dyDescent="0.45">
      <c r="A12554" s="12" t="s">
        <v>23755</v>
      </c>
      <c r="B12554" s="12" t="s">
        <v>657</v>
      </c>
      <c r="C12554" s="13" t="s">
        <v>658</v>
      </c>
      <c r="D12554" s="13" t="s">
        <v>57</v>
      </c>
      <c r="E12554" s="12" t="s">
        <v>35</v>
      </c>
      <c r="F12554" s="14">
        <v>25000</v>
      </c>
      <c r="G12554" s="14">
        <v>18790</v>
      </c>
      <c r="H12554" s="13" t="s">
        <v>23758</v>
      </c>
      <c r="I12554" s="40" t="s">
        <v>18</v>
      </c>
      <c r="J12554" s="40" t="str">
        <f>HYPERLINK("https://stock.pstatic.net/stock-research/company/16/20250502_company_119862000.pdf","PDF")</f>
        <v>PDF</v>
      </c>
      <c r="K12554" s="12" t="s">
        <v>23759</v>
      </c>
      <c r="L12554" s="20">
        <v>0.33049494411921232</v>
      </c>
    </row>
    <row r="12555" spans="1:12" x14ac:dyDescent="0.45">
      <c r="A12555" s="12" t="s">
        <v>23755</v>
      </c>
      <c r="B12555" s="12" t="s">
        <v>2801</v>
      </c>
      <c r="C12555" s="13" t="s">
        <v>2802</v>
      </c>
      <c r="D12555" s="13" t="s">
        <v>65</v>
      </c>
      <c r="E12555" s="12" t="s">
        <v>35</v>
      </c>
      <c r="F12555" s="14">
        <v>33000</v>
      </c>
      <c r="G12555" s="14">
        <v>22800</v>
      </c>
      <c r="H12555" s="13" t="s">
        <v>23760</v>
      </c>
      <c r="I12555" s="40" t="s">
        <v>18</v>
      </c>
      <c r="J12555" s="40" t="str">
        <f>HYPERLINK("https://stock.pstatic.net/stock-research/company/57/20250502_company_616157000.pdf","PDF")</f>
        <v>PDF</v>
      </c>
      <c r="K12555" s="12" t="s">
        <v>23761</v>
      </c>
      <c r="L12555" s="20">
        <v>0.44736842105263158</v>
      </c>
    </row>
    <row r="12556" spans="1:12" x14ac:dyDescent="0.45">
      <c r="A12556" s="12" t="s">
        <v>23755</v>
      </c>
      <c r="B12556" s="12" t="s">
        <v>792</v>
      </c>
      <c r="C12556" s="13" t="s">
        <v>793</v>
      </c>
      <c r="D12556" s="13" t="s">
        <v>65</v>
      </c>
      <c r="E12556" s="12" t="s">
        <v>35</v>
      </c>
      <c r="F12556" s="14">
        <v>25000</v>
      </c>
      <c r="G12556" s="14">
        <v>15260</v>
      </c>
      <c r="H12556" s="13" t="s">
        <v>23762</v>
      </c>
      <c r="I12556" s="40" t="s">
        <v>18</v>
      </c>
      <c r="J12556" s="40" t="str">
        <f>HYPERLINK("https://stock.pstatic.net/stock-research/company/57/20250502_company_982189000.pdf","PDF")</f>
        <v>PDF</v>
      </c>
      <c r="K12556" s="12" t="s">
        <v>23763</v>
      </c>
      <c r="L12556" s="20">
        <v>0.63826998689384007</v>
      </c>
    </row>
    <row r="12557" spans="1:12" x14ac:dyDescent="0.45">
      <c r="A12557" s="12" t="s">
        <v>23755</v>
      </c>
      <c r="B12557" s="12" t="s">
        <v>2950</v>
      </c>
      <c r="C12557" s="13" t="s">
        <v>2951</v>
      </c>
      <c r="D12557" s="13" t="s">
        <v>65</v>
      </c>
      <c r="E12557" s="12" t="s">
        <v>35</v>
      </c>
      <c r="F12557" s="14">
        <v>34000</v>
      </c>
      <c r="G12557" s="14">
        <v>28950</v>
      </c>
      <c r="H12557" s="13" t="s">
        <v>23764</v>
      </c>
      <c r="I12557" s="40" t="s">
        <v>18</v>
      </c>
      <c r="J12557" s="40" t="str">
        <f>HYPERLINK("https://stock.pstatic.net/stock-research/company/57/20250502_company_560351000.pdf","PDF")</f>
        <v>PDF</v>
      </c>
      <c r="K12557" s="12" t="s">
        <v>23765</v>
      </c>
      <c r="L12557" s="20">
        <v>0.17443868739205531</v>
      </c>
    </row>
    <row r="12558" spans="1:12" x14ac:dyDescent="0.45">
      <c r="A12558" s="12" t="s">
        <v>23755</v>
      </c>
      <c r="B12558" s="12" t="s">
        <v>4668</v>
      </c>
      <c r="C12558" s="13" t="s">
        <v>4669</v>
      </c>
      <c r="D12558" s="13" t="s">
        <v>65</v>
      </c>
      <c r="E12558" s="12" t="s">
        <v>35</v>
      </c>
      <c r="F12558" s="14">
        <v>16000</v>
      </c>
      <c r="G12558" s="14">
        <v>11630</v>
      </c>
      <c r="H12558" s="13" t="s">
        <v>23766</v>
      </c>
      <c r="I12558" s="40" t="s">
        <v>18</v>
      </c>
      <c r="J12558" s="40" t="str">
        <f>HYPERLINK("https://stock.pstatic.net/stock-research/company/57/20250502_company_7440000.pdf","PDF")</f>
        <v>PDF</v>
      </c>
      <c r="K12558" s="12" t="s">
        <v>23767</v>
      </c>
      <c r="L12558" s="20">
        <v>0.37575236457437661</v>
      </c>
    </row>
    <row r="12559" spans="1:12" x14ac:dyDescent="0.45">
      <c r="A12559" s="12" t="s">
        <v>23755</v>
      </c>
      <c r="B12559" s="12" t="s">
        <v>3113</v>
      </c>
      <c r="C12559" s="13" t="s">
        <v>3114</v>
      </c>
      <c r="D12559" s="13" t="s">
        <v>65</v>
      </c>
      <c r="E12559" s="12" t="s">
        <v>35</v>
      </c>
      <c r="F12559" s="14">
        <v>40000</v>
      </c>
      <c r="G12559" s="14">
        <v>26550</v>
      </c>
      <c r="H12559" s="13" t="s">
        <v>23768</v>
      </c>
      <c r="I12559" s="40" t="s">
        <v>18</v>
      </c>
      <c r="J12559" s="40" t="str">
        <f>HYPERLINK("https://stock.pstatic.net/stock-research/company/57/20250502_company_171642000.pdf","PDF")</f>
        <v>PDF</v>
      </c>
      <c r="K12559" s="12" t="s">
        <v>23769</v>
      </c>
      <c r="L12559" s="20">
        <v>0.50659133709981163</v>
      </c>
    </row>
    <row r="12560" spans="1:12" x14ac:dyDescent="0.45">
      <c r="A12560" s="12" t="s">
        <v>23755</v>
      </c>
      <c r="B12560" s="12" t="s">
        <v>2795</v>
      </c>
      <c r="C12560" s="13" t="s">
        <v>2796</v>
      </c>
      <c r="D12560" s="13" t="s">
        <v>65</v>
      </c>
      <c r="E12560" s="12" t="s">
        <v>35</v>
      </c>
      <c r="F12560" s="14">
        <v>4800</v>
      </c>
      <c r="G12560" s="14">
        <v>3335</v>
      </c>
      <c r="H12560" s="13" t="s">
        <v>23770</v>
      </c>
      <c r="I12560" s="40" t="s">
        <v>18</v>
      </c>
      <c r="J12560" s="40" t="str">
        <f>HYPERLINK("https://stock.pstatic.net/stock-research/company/57/20250502_company_422062000.pdf","PDF")</f>
        <v>PDF</v>
      </c>
      <c r="K12560" s="12" t="s">
        <v>23771</v>
      </c>
      <c r="L12560" s="20">
        <v>0.43928035982008989</v>
      </c>
    </row>
    <row r="12561" spans="1:12" x14ac:dyDescent="0.45">
      <c r="A12561" s="12" t="s">
        <v>23755</v>
      </c>
      <c r="B12561" s="12" t="s">
        <v>1936</v>
      </c>
      <c r="C12561" s="13" t="s">
        <v>1937</v>
      </c>
      <c r="D12561" s="13" t="s">
        <v>65</v>
      </c>
      <c r="E12561" s="12" t="s">
        <v>35</v>
      </c>
      <c r="F12561" s="14">
        <v>8000</v>
      </c>
      <c r="G12561" s="14">
        <v>5410</v>
      </c>
      <c r="H12561" s="13" t="s">
        <v>23772</v>
      </c>
      <c r="I12561" s="40" t="s">
        <v>18</v>
      </c>
      <c r="J12561" s="40" t="str">
        <f>HYPERLINK("https://stock.pstatic.net/stock-research/company/57/20250502_company_476393000.pdf","PDF")</f>
        <v>PDF</v>
      </c>
      <c r="K12561" s="12" t="s">
        <v>23773</v>
      </c>
      <c r="L12561" s="20">
        <v>0.47874306839186692</v>
      </c>
    </row>
    <row r="12562" spans="1:12" x14ac:dyDescent="0.45">
      <c r="A12562" s="12" t="s">
        <v>23755</v>
      </c>
      <c r="B12562" s="12" t="s">
        <v>2378</v>
      </c>
      <c r="C12562" s="13" t="s">
        <v>2379</v>
      </c>
      <c r="D12562" s="13" t="s">
        <v>65</v>
      </c>
      <c r="E12562" s="12" t="s">
        <v>1738</v>
      </c>
      <c r="F12562" s="14">
        <v>336000</v>
      </c>
      <c r="G12562" s="14">
        <v>324500</v>
      </c>
      <c r="H12562" s="13" t="s">
        <v>23774</v>
      </c>
      <c r="I12562" s="40" t="s">
        <v>18</v>
      </c>
      <c r="J12562" s="40" t="str">
        <f>HYPERLINK("https://stock.pstatic.net/stock-research/company/57/20250502_company_900848000.pdf","PDF")</f>
        <v>PDF</v>
      </c>
      <c r="K12562" s="12" t="s">
        <v>23775</v>
      </c>
      <c r="L12562" s="20">
        <v>3.543913713405239E-2</v>
      </c>
    </row>
    <row r="12563" spans="1:12" x14ac:dyDescent="0.45">
      <c r="A12563" s="12" t="s">
        <v>23755</v>
      </c>
      <c r="B12563" s="12" t="s">
        <v>3014</v>
      </c>
      <c r="C12563" s="13" t="s">
        <v>3015</v>
      </c>
      <c r="D12563" s="13" t="s">
        <v>65</v>
      </c>
      <c r="E12563" s="12" t="s">
        <v>35</v>
      </c>
      <c r="F12563" s="14">
        <v>80000</v>
      </c>
      <c r="G12563" s="14">
        <v>59300</v>
      </c>
      <c r="H12563" s="13" t="s">
        <v>23776</v>
      </c>
      <c r="I12563" s="40" t="s">
        <v>18</v>
      </c>
      <c r="J12563" s="40" t="str">
        <f>HYPERLINK("https://stock.pstatic.net/stock-research/company/57/20250502_company_472260000.pdf","PDF")</f>
        <v>PDF</v>
      </c>
      <c r="K12563" s="12" t="s">
        <v>23777</v>
      </c>
      <c r="L12563" s="20">
        <v>0.34907251264755479</v>
      </c>
    </row>
    <row r="12564" spans="1:12" x14ac:dyDescent="0.45">
      <c r="A12564" s="12" t="s">
        <v>23755</v>
      </c>
      <c r="B12564" s="12" t="s">
        <v>1690</v>
      </c>
      <c r="C12564" s="13" t="s">
        <v>1691</v>
      </c>
      <c r="D12564" s="13" t="s">
        <v>65</v>
      </c>
      <c r="E12564" s="12" t="s">
        <v>1738</v>
      </c>
      <c r="F12564" s="14">
        <v>120000</v>
      </c>
      <c r="G12564" s="14">
        <v>94400</v>
      </c>
      <c r="H12564" s="13" t="s">
        <v>23778</v>
      </c>
      <c r="I12564" s="40" t="s">
        <v>18</v>
      </c>
      <c r="J12564" s="40" t="str">
        <f>HYPERLINK("https://stock.pstatic.net/stock-research/company/57/20250502_company_473584000.pdf","PDF")</f>
        <v>PDF</v>
      </c>
      <c r="K12564" s="12" t="s">
        <v>23779</v>
      </c>
      <c r="L12564" s="20">
        <v>0.2711864406779661</v>
      </c>
    </row>
    <row r="12565" spans="1:12" x14ac:dyDescent="0.45">
      <c r="A12565" s="12" t="s">
        <v>23755</v>
      </c>
      <c r="B12565" s="12" t="s">
        <v>2887</v>
      </c>
      <c r="C12565" s="13" t="s">
        <v>2888</v>
      </c>
      <c r="D12565" s="13" t="s">
        <v>65</v>
      </c>
      <c r="E12565" s="12" t="s">
        <v>1738</v>
      </c>
      <c r="F12565" s="14">
        <v>270000</v>
      </c>
      <c r="G12565" s="14">
        <v>209500</v>
      </c>
      <c r="H12565" s="13" t="s">
        <v>23780</v>
      </c>
      <c r="I12565" s="40" t="s">
        <v>18</v>
      </c>
      <c r="J12565" s="40" t="str">
        <f>HYPERLINK("https://stock.pstatic.net/stock-research/company/57/20250502_company_390456000.pdf","PDF")</f>
        <v>PDF</v>
      </c>
      <c r="K12565" s="12" t="s">
        <v>23781</v>
      </c>
      <c r="L12565" s="20">
        <v>0.28878281622911689</v>
      </c>
    </row>
    <row r="12566" spans="1:12" x14ac:dyDescent="0.45">
      <c r="A12566" s="12" t="s">
        <v>23755</v>
      </c>
      <c r="B12566" s="12" t="s">
        <v>434</v>
      </c>
      <c r="C12566" s="13" t="s">
        <v>435</v>
      </c>
      <c r="D12566" s="13" t="s">
        <v>65</v>
      </c>
      <c r="E12566" s="12" t="s">
        <v>35</v>
      </c>
      <c r="F12566" s="14">
        <v>200000</v>
      </c>
      <c r="G12566" s="14">
        <v>124400</v>
      </c>
      <c r="H12566" s="13" t="s">
        <v>23782</v>
      </c>
      <c r="I12566" s="40" t="s">
        <v>18</v>
      </c>
      <c r="J12566" s="40" t="str">
        <f>HYPERLINK("https://stock.pstatic.net/stock-research/company/57/20250502_company_131072000.pdf","PDF")</f>
        <v>PDF</v>
      </c>
      <c r="K12566" s="12" t="s">
        <v>23783</v>
      </c>
      <c r="L12566" s="20">
        <v>0.60771704180064312</v>
      </c>
    </row>
    <row r="12567" spans="1:12" x14ac:dyDescent="0.45">
      <c r="A12567" s="12" t="s">
        <v>23755</v>
      </c>
      <c r="B12567" s="12" t="s">
        <v>13</v>
      </c>
      <c r="C12567" s="13" t="s">
        <v>14</v>
      </c>
      <c r="D12567" s="13" t="s">
        <v>65</v>
      </c>
      <c r="E12567" s="12" t="s">
        <v>35</v>
      </c>
      <c r="F12567" s="14">
        <v>84000</v>
      </c>
      <c r="G12567" s="14">
        <v>55500</v>
      </c>
      <c r="H12567" s="13" t="s">
        <v>23784</v>
      </c>
      <c r="I12567" s="40" t="s">
        <v>18</v>
      </c>
      <c r="J12567" s="40" t="str">
        <f>HYPERLINK("https://stock.pstatic.net/stock-research/company/57/20250502_company_942509000.pdf","PDF")</f>
        <v>PDF</v>
      </c>
      <c r="K12567" s="12" t="s">
        <v>23785</v>
      </c>
      <c r="L12567" s="20">
        <v>0.51351351351351349</v>
      </c>
    </row>
    <row r="12568" spans="1:12" x14ac:dyDescent="0.45">
      <c r="A12568" s="12" t="s">
        <v>23755</v>
      </c>
      <c r="B12568" s="12" t="s">
        <v>2956</v>
      </c>
      <c r="C12568" s="13" t="s">
        <v>2957</v>
      </c>
      <c r="D12568" s="13" t="s">
        <v>65</v>
      </c>
      <c r="E12568" s="12" t="s">
        <v>35</v>
      </c>
      <c r="F12568" s="14">
        <v>24000</v>
      </c>
      <c r="G12568" s="14">
        <v>18250</v>
      </c>
      <c r="H12568" s="13" t="s">
        <v>23786</v>
      </c>
      <c r="I12568" s="40" t="s">
        <v>18</v>
      </c>
      <c r="J12568" s="40" t="str">
        <f>HYPERLINK("https://stock.pstatic.net/stock-research/company/57/20250502_company_783886000.pdf","PDF")</f>
        <v>PDF</v>
      </c>
      <c r="K12568" s="12" t="s">
        <v>23787</v>
      </c>
      <c r="L12568" s="20">
        <v>0.31506849315068491</v>
      </c>
    </row>
    <row r="12569" spans="1:12" x14ac:dyDescent="0.45">
      <c r="A12569" s="12" t="s">
        <v>23755</v>
      </c>
      <c r="B12569" s="12" t="s">
        <v>3548</v>
      </c>
      <c r="C12569" s="13" t="s">
        <v>3549</v>
      </c>
      <c r="D12569" s="13" t="s">
        <v>65</v>
      </c>
      <c r="E12569" s="12" t="s">
        <v>35</v>
      </c>
      <c r="F12569" s="14">
        <v>55000</v>
      </c>
      <c r="G12569" s="14">
        <v>42800</v>
      </c>
      <c r="H12569" s="13" t="s">
        <v>23788</v>
      </c>
      <c r="I12569" s="40" t="s">
        <v>18</v>
      </c>
      <c r="J12569" s="40" t="str">
        <f>HYPERLINK("https://stock.pstatic.net/stock-research/company/57/20250502_company_329291000.pdf","PDF")</f>
        <v>PDF</v>
      </c>
      <c r="K12569" s="12" t="s">
        <v>23789</v>
      </c>
      <c r="L12569" s="20">
        <v>0.28504672897196259</v>
      </c>
    </row>
    <row r="12570" spans="1:12" x14ac:dyDescent="0.45">
      <c r="A12570" s="12" t="s">
        <v>23755</v>
      </c>
      <c r="B12570" s="12" t="s">
        <v>3749</v>
      </c>
      <c r="C12570" s="13" t="s">
        <v>3750</v>
      </c>
      <c r="D12570" s="13" t="s">
        <v>65</v>
      </c>
      <c r="E12570" s="12" t="s">
        <v>35</v>
      </c>
      <c r="F12570" s="14">
        <v>164000</v>
      </c>
      <c r="G12570" s="14">
        <v>114000</v>
      </c>
      <c r="H12570" s="13" t="s">
        <v>23790</v>
      </c>
      <c r="I12570" s="40" t="s">
        <v>18</v>
      </c>
      <c r="J12570" s="40" t="str">
        <f>HYPERLINK("https://stock.pstatic.net/stock-research/company/57/20250502_company_291108000.pdf","PDF")</f>
        <v>PDF</v>
      </c>
      <c r="K12570" s="12" t="s">
        <v>23791</v>
      </c>
      <c r="L12570" s="20">
        <v>0.43859649122807021</v>
      </c>
    </row>
    <row r="12571" spans="1:12" x14ac:dyDescent="0.45">
      <c r="A12571" s="12" t="s">
        <v>23755</v>
      </c>
      <c r="B12571" s="12" t="s">
        <v>434</v>
      </c>
      <c r="C12571" s="13" t="s">
        <v>435</v>
      </c>
      <c r="D12571" s="13" t="s">
        <v>60</v>
      </c>
      <c r="E12571" s="12" t="s">
        <v>35</v>
      </c>
      <c r="F12571" s="14">
        <v>160000</v>
      </c>
      <c r="G12571" s="14">
        <v>124400</v>
      </c>
      <c r="H12571" s="13" t="s">
        <v>23792</v>
      </c>
      <c r="I12571" s="40" t="s">
        <v>18</v>
      </c>
      <c r="J12571" s="40" t="str">
        <f>HYPERLINK("https://stock.pstatic.net/stock-research/company/34/20250502_company_333169000.pdf","PDF")</f>
        <v>PDF</v>
      </c>
      <c r="K12571" s="12" t="s">
        <v>23793</v>
      </c>
      <c r="L12571" s="20">
        <v>0.2861736334405145</v>
      </c>
    </row>
    <row r="12572" spans="1:12" x14ac:dyDescent="0.45">
      <c r="A12572" s="12" t="s">
        <v>23755</v>
      </c>
      <c r="B12572" s="12" t="s">
        <v>1548</v>
      </c>
      <c r="C12572" s="13" t="s">
        <v>1549</v>
      </c>
      <c r="D12572" s="13" t="s">
        <v>60</v>
      </c>
      <c r="E12572" s="12" t="s">
        <v>35</v>
      </c>
      <c r="F12572" s="14">
        <v>1100000</v>
      </c>
      <c r="G12572" s="14">
        <v>797000</v>
      </c>
      <c r="H12572" s="13" t="s">
        <v>23794</v>
      </c>
      <c r="I12572" s="40" t="s">
        <v>18</v>
      </c>
      <c r="J12572" s="40" t="str">
        <f>HYPERLINK("https://stock.pstatic.net/stock-research/company/34/20250502_company_571978000.pdf","PDF")</f>
        <v>PDF</v>
      </c>
      <c r="K12572" s="12" t="s">
        <v>23795</v>
      </c>
      <c r="L12572" s="20">
        <v>0.38017565872020082</v>
      </c>
    </row>
    <row r="12573" spans="1:12" x14ac:dyDescent="0.45">
      <c r="A12573" s="12" t="s">
        <v>23755</v>
      </c>
      <c r="B12573" s="12" t="s">
        <v>3284</v>
      </c>
      <c r="C12573" s="13" t="s">
        <v>3285</v>
      </c>
      <c r="D12573" s="13" t="s">
        <v>60</v>
      </c>
      <c r="E12573" s="12" t="s">
        <v>35</v>
      </c>
      <c r="F12573" s="14">
        <v>98000</v>
      </c>
      <c r="G12573" s="14">
        <v>78500</v>
      </c>
      <c r="H12573" s="13" t="s">
        <v>23796</v>
      </c>
      <c r="I12573" s="40" t="s">
        <v>18</v>
      </c>
      <c r="J12573" s="40" t="str">
        <f>HYPERLINK("https://stock.pstatic.net/stock-research/company/34/20250502_company_890700000.pdf","PDF")</f>
        <v>PDF</v>
      </c>
      <c r="K12573" s="12" t="s">
        <v>23797</v>
      </c>
      <c r="L12573" s="20">
        <v>0.24840764331210191</v>
      </c>
    </row>
    <row r="12574" spans="1:12" x14ac:dyDescent="0.45">
      <c r="A12574" s="12" t="s">
        <v>23755</v>
      </c>
      <c r="B12574" s="12" t="s">
        <v>2266</v>
      </c>
      <c r="C12574" s="13" t="s">
        <v>2267</v>
      </c>
      <c r="D12574" s="13" t="s">
        <v>60</v>
      </c>
      <c r="E12574" s="12" t="s">
        <v>35</v>
      </c>
      <c r="F12574" s="14">
        <v>104000</v>
      </c>
      <c r="G12574" s="14">
        <v>82800</v>
      </c>
      <c r="H12574" s="13" t="s">
        <v>23798</v>
      </c>
      <c r="I12574" s="40" t="s">
        <v>18</v>
      </c>
      <c r="J12574" s="40" t="str">
        <f>HYPERLINK("https://stock.pstatic.net/stock-research/company/34/20250502_company_750686000.pdf","PDF")</f>
        <v>PDF</v>
      </c>
      <c r="K12574" s="12" t="s">
        <v>23799</v>
      </c>
      <c r="L12574" s="20">
        <v>0.2560386473429952</v>
      </c>
    </row>
    <row r="12575" spans="1:12" x14ac:dyDescent="0.45">
      <c r="A12575" s="12" t="s">
        <v>23755</v>
      </c>
      <c r="B12575" s="12" t="s">
        <v>1548</v>
      </c>
      <c r="C12575" s="13" t="s">
        <v>1549</v>
      </c>
      <c r="D12575" s="13" t="s">
        <v>276</v>
      </c>
      <c r="E12575" s="12" t="s">
        <v>16</v>
      </c>
      <c r="F12575" s="14">
        <v>950000</v>
      </c>
      <c r="G12575" s="14">
        <v>797000</v>
      </c>
      <c r="H12575" s="13" t="s">
        <v>23800</v>
      </c>
      <c r="I12575" s="40" t="s">
        <v>18</v>
      </c>
      <c r="J12575" s="40" t="str">
        <f>HYPERLINK("https://stock.pstatic.net/stock-research/company/66/20250502_company_435876000.pdf","PDF")</f>
        <v>PDF</v>
      </c>
      <c r="K12575" s="12" t="s">
        <v>23801</v>
      </c>
      <c r="L12575" s="20">
        <v>0.191969887076537</v>
      </c>
    </row>
    <row r="12576" spans="1:12" x14ac:dyDescent="0.45">
      <c r="A12576" s="12" t="s">
        <v>23755</v>
      </c>
      <c r="B12576" s="12" t="s">
        <v>72</v>
      </c>
      <c r="C12576" s="13" t="s">
        <v>73</v>
      </c>
      <c r="D12576" s="13" t="s">
        <v>276</v>
      </c>
      <c r="E12576" s="12" t="s">
        <v>16</v>
      </c>
      <c r="F12576" s="14">
        <v>190000</v>
      </c>
      <c r="G12576" s="14">
        <v>122400</v>
      </c>
      <c r="H12576" s="13" t="s">
        <v>23802</v>
      </c>
      <c r="I12576" s="40" t="s">
        <v>18</v>
      </c>
      <c r="J12576" s="40" t="str">
        <f>HYPERLINK("https://stock.pstatic.net/stock-research/company/66/20250502_company_889633000.pdf","PDF")</f>
        <v>PDF</v>
      </c>
      <c r="K12576" s="12" t="s">
        <v>23803</v>
      </c>
      <c r="L12576" s="20">
        <v>0.55228758169934644</v>
      </c>
    </row>
    <row r="12577" spans="1:12" x14ac:dyDescent="0.45">
      <c r="A12577" s="12" t="s">
        <v>23755</v>
      </c>
      <c r="B12577" s="12" t="s">
        <v>3548</v>
      </c>
      <c r="C12577" s="13" t="s">
        <v>3549</v>
      </c>
      <c r="D12577" s="13" t="s">
        <v>276</v>
      </c>
      <c r="E12577" s="12" t="s">
        <v>16</v>
      </c>
      <c r="F12577" s="14">
        <v>54000</v>
      </c>
      <c r="G12577" s="14">
        <v>42800</v>
      </c>
      <c r="H12577" s="13" t="s">
        <v>23804</v>
      </c>
      <c r="I12577" s="40" t="s">
        <v>18</v>
      </c>
      <c r="J12577" s="40" t="str">
        <f>HYPERLINK("https://stock.pstatic.net/stock-research/company/66/20250502_company_218843000.pdf","PDF")</f>
        <v>PDF</v>
      </c>
      <c r="K12577" s="12" t="s">
        <v>23805</v>
      </c>
      <c r="L12577" s="20">
        <v>0.26168224299065418</v>
      </c>
    </row>
    <row r="12578" spans="1:12" x14ac:dyDescent="0.45">
      <c r="A12578" s="12" t="s">
        <v>23755</v>
      </c>
      <c r="B12578" s="12" t="s">
        <v>2365</v>
      </c>
      <c r="C12578" s="13" t="s">
        <v>2366</v>
      </c>
      <c r="D12578" s="13" t="s">
        <v>276</v>
      </c>
      <c r="E12578" s="12" t="s">
        <v>16</v>
      </c>
      <c r="F12578" s="14">
        <v>120000</v>
      </c>
      <c r="G12578" s="14">
        <v>64800</v>
      </c>
      <c r="H12578" s="13" t="s">
        <v>23806</v>
      </c>
      <c r="I12578" s="40" t="s">
        <v>18</v>
      </c>
      <c r="J12578" s="40" t="str">
        <f>HYPERLINK("https://stock.pstatic.net/stock-research/company/66/20250502_company_653492000.pdf","PDF")</f>
        <v>PDF</v>
      </c>
      <c r="K12578" s="12" t="s">
        <v>23807</v>
      </c>
      <c r="L12578" s="20">
        <v>0.85185185185185186</v>
      </c>
    </row>
    <row r="12579" spans="1:12" x14ac:dyDescent="0.45">
      <c r="A12579" s="12" t="s">
        <v>23755</v>
      </c>
      <c r="B12579" s="12" t="s">
        <v>2378</v>
      </c>
      <c r="C12579" s="13" t="s">
        <v>2379</v>
      </c>
      <c r="D12579" s="13" t="s">
        <v>276</v>
      </c>
      <c r="E12579" s="12" t="s">
        <v>16</v>
      </c>
      <c r="F12579" s="14">
        <v>400000</v>
      </c>
      <c r="G12579" s="14">
        <v>324500</v>
      </c>
      <c r="H12579" s="13" t="s">
        <v>23077</v>
      </c>
      <c r="I12579" s="40" t="s">
        <v>18</v>
      </c>
      <c r="J12579" s="40" t="str">
        <f>HYPERLINK("https://stock.pstatic.net/stock-research/company/66/20250502_company_763031000.pdf","PDF")</f>
        <v>PDF</v>
      </c>
      <c r="K12579" s="12" t="s">
        <v>23808</v>
      </c>
      <c r="L12579" s="20">
        <v>0.2326656394453005</v>
      </c>
    </row>
    <row r="12580" spans="1:12" x14ac:dyDescent="0.45">
      <c r="A12580" s="12" t="s">
        <v>23755</v>
      </c>
      <c r="B12580" s="12" t="s">
        <v>2414</v>
      </c>
      <c r="C12580" s="13" t="s">
        <v>2415</v>
      </c>
      <c r="D12580" s="13" t="s">
        <v>276</v>
      </c>
      <c r="E12580" s="12" t="s">
        <v>16</v>
      </c>
      <c r="F12580" s="14">
        <v>500000</v>
      </c>
      <c r="G12580" s="14">
        <v>303500</v>
      </c>
      <c r="H12580" s="13" t="s">
        <v>23809</v>
      </c>
      <c r="I12580" s="40" t="s">
        <v>18</v>
      </c>
      <c r="J12580" s="40" t="str">
        <f>HYPERLINK("https://stock.pstatic.net/stock-research/company/66/20250502_company_608673000.pdf","PDF")</f>
        <v>PDF</v>
      </c>
      <c r="K12580" s="12" t="s">
        <v>23810</v>
      </c>
      <c r="L12580" s="20">
        <v>0.64744645799011535</v>
      </c>
    </row>
    <row r="12581" spans="1:12" x14ac:dyDescent="0.45">
      <c r="A12581" s="12" t="s">
        <v>23755</v>
      </c>
      <c r="B12581" s="12" t="s">
        <v>13</v>
      </c>
      <c r="C12581" s="13" t="s">
        <v>14</v>
      </c>
      <c r="D12581" s="13" t="s">
        <v>276</v>
      </c>
      <c r="E12581" s="12" t="s">
        <v>16</v>
      </c>
      <c r="F12581" s="14">
        <v>71000</v>
      </c>
      <c r="G12581" s="14">
        <v>55500</v>
      </c>
      <c r="H12581" s="13" t="s">
        <v>23811</v>
      </c>
      <c r="I12581" s="40" t="s">
        <v>18</v>
      </c>
      <c r="J12581" s="40" t="str">
        <f>HYPERLINK("https://stock.pstatic.net/stock-research/company/66/20250502_company_316214000.pdf","PDF")</f>
        <v>PDF</v>
      </c>
      <c r="K12581" s="12" t="s">
        <v>23812</v>
      </c>
      <c r="L12581" s="20">
        <v>0.27927927927927931</v>
      </c>
    </row>
    <row r="12582" spans="1:12" x14ac:dyDescent="0.45">
      <c r="A12582" s="12" t="s">
        <v>23755</v>
      </c>
      <c r="B12582" s="12" t="s">
        <v>2266</v>
      </c>
      <c r="C12582" s="13" t="s">
        <v>2267</v>
      </c>
      <c r="D12582" s="13" t="s">
        <v>57</v>
      </c>
      <c r="E12582" s="12" t="s">
        <v>35</v>
      </c>
      <c r="F12582" s="14">
        <v>96000</v>
      </c>
      <c r="G12582" s="14">
        <v>82800</v>
      </c>
      <c r="H12582" s="13" t="s">
        <v>23813</v>
      </c>
      <c r="I12582" s="40" t="s">
        <v>18</v>
      </c>
      <c r="J12582" s="40" t="str">
        <f>HYPERLINK("https://stock.pstatic.net/stock-research/company/16/20250502_company_437148000.pdf","PDF")</f>
        <v>PDF</v>
      </c>
      <c r="K12582" s="12" t="s">
        <v>23814</v>
      </c>
      <c r="L12582" s="20">
        <v>0.15942028985507251</v>
      </c>
    </row>
    <row r="12583" spans="1:12" x14ac:dyDescent="0.45">
      <c r="A12583" s="12" t="s">
        <v>23755</v>
      </c>
      <c r="B12583" s="12" t="s">
        <v>3548</v>
      </c>
      <c r="C12583" s="13" t="s">
        <v>3549</v>
      </c>
      <c r="D12583" s="13" t="s">
        <v>57</v>
      </c>
      <c r="E12583" s="12" t="s">
        <v>35</v>
      </c>
      <c r="F12583" s="14">
        <v>56000</v>
      </c>
      <c r="G12583" s="14">
        <v>42800</v>
      </c>
      <c r="H12583" s="13" t="s">
        <v>23815</v>
      </c>
      <c r="I12583" s="40" t="s">
        <v>18</v>
      </c>
      <c r="J12583" s="40" t="str">
        <f>HYPERLINK("https://stock.pstatic.net/stock-research/company/16/20250502_company_118603000.pdf","PDF")</f>
        <v>PDF</v>
      </c>
      <c r="K12583" s="12" t="s">
        <v>23816</v>
      </c>
      <c r="L12583" s="20">
        <v>0.30841121495327101</v>
      </c>
    </row>
    <row r="12584" spans="1:12" x14ac:dyDescent="0.45">
      <c r="A12584" s="12" t="s">
        <v>23755</v>
      </c>
      <c r="B12584" s="12" t="s">
        <v>1936</v>
      </c>
      <c r="C12584" s="13" t="s">
        <v>1937</v>
      </c>
      <c r="D12584" s="13" t="s">
        <v>57</v>
      </c>
      <c r="E12584" s="12" t="s">
        <v>35</v>
      </c>
      <c r="F12584" s="14">
        <v>9500</v>
      </c>
      <c r="G12584" s="14">
        <v>5410</v>
      </c>
      <c r="H12584" s="13" t="s">
        <v>23817</v>
      </c>
      <c r="I12584" s="40" t="s">
        <v>18</v>
      </c>
      <c r="J12584" s="40" t="str">
        <f>HYPERLINK("https://stock.pstatic.net/stock-research/company/16/20250502_company_246370000.pdf","PDF")</f>
        <v>PDF</v>
      </c>
      <c r="K12584" s="12" t="s">
        <v>23818</v>
      </c>
      <c r="L12584" s="20">
        <v>0.75600739371534198</v>
      </c>
    </row>
    <row r="12585" spans="1:12" x14ac:dyDescent="0.45">
      <c r="A12585" s="12" t="s">
        <v>23755</v>
      </c>
      <c r="B12585" s="12" t="s">
        <v>1690</v>
      </c>
      <c r="C12585" s="13" t="s">
        <v>1691</v>
      </c>
      <c r="D12585" s="13" t="s">
        <v>57</v>
      </c>
      <c r="E12585" s="12" t="s">
        <v>35</v>
      </c>
      <c r="F12585" s="14">
        <v>120000</v>
      </c>
      <c r="G12585" s="14">
        <v>94400</v>
      </c>
      <c r="H12585" s="13" t="s">
        <v>23819</v>
      </c>
      <c r="I12585" s="40" t="s">
        <v>18</v>
      </c>
      <c r="J12585" s="40" t="str">
        <f>HYPERLINK("https://stock.pstatic.net/stock-research/company/16/20250502_company_210726000.pdf","PDF")</f>
        <v>PDF</v>
      </c>
      <c r="K12585" s="12" t="s">
        <v>23820</v>
      </c>
      <c r="L12585" s="20">
        <v>0.2711864406779661</v>
      </c>
    </row>
    <row r="12586" spans="1:12" x14ac:dyDescent="0.45">
      <c r="A12586" s="12" t="s">
        <v>23755</v>
      </c>
      <c r="B12586" s="12" t="s">
        <v>2378</v>
      </c>
      <c r="C12586" s="13" t="s">
        <v>2379</v>
      </c>
      <c r="D12586" s="13" t="s">
        <v>57</v>
      </c>
      <c r="E12586" s="12" t="s">
        <v>35</v>
      </c>
      <c r="F12586" s="14">
        <v>430000</v>
      </c>
      <c r="G12586" s="14">
        <v>324500</v>
      </c>
      <c r="H12586" s="13" t="s">
        <v>23821</v>
      </c>
      <c r="I12586" s="40" t="s">
        <v>18</v>
      </c>
      <c r="J12586" s="40" t="str">
        <f>HYPERLINK("https://stock.pstatic.net/stock-research/company/16/20250502_company_412782000.pdf","PDF")</f>
        <v>PDF</v>
      </c>
      <c r="K12586" s="12" t="s">
        <v>23822</v>
      </c>
      <c r="L12586" s="20">
        <v>0.32511556240369799</v>
      </c>
    </row>
    <row r="12587" spans="1:12" x14ac:dyDescent="0.45">
      <c r="A12587" s="12" t="s">
        <v>23755</v>
      </c>
      <c r="B12587" s="12" t="s">
        <v>2887</v>
      </c>
      <c r="C12587" s="13" t="s">
        <v>2888</v>
      </c>
      <c r="D12587" s="13" t="s">
        <v>57</v>
      </c>
      <c r="E12587" s="12" t="s">
        <v>35</v>
      </c>
      <c r="F12587" s="14">
        <v>300000</v>
      </c>
      <c r="G12587" s="14">
        <v>216000</v>
      </c>
      <c r="H12587" s="13" t="s">
        <v>23823</v>
      </c>
      <c r="I12587" s="40" t="s">
        <v>18</v>
      </c>
      <c r="J12587" s="40" t="str">
        <f>HYPERLINK("https://stock.pstatic.net/stock-research/company/16/20250502_company_103651000.pdf","PDF")</f>
        <v>PDF</v>
      </c>
      <c r="K12587" s="12" t="s">
        <v>23824</v>
      </c>
      <c r="L12587" s="20">
        <v>0.3888888888888889</v>
      </c>
    </row>
    <row r="12588" spans="1:12" x14ac:dyDescent="0.45">
      <c r="A12588" s="12" t="s">
        <v>23755</v>
      </c>
      <c r="B12588" s="12" t="s">
        <v>2365</v>
      </c>
      <c r="C12588" s="13" t="s">
        <v>2366</v>
      </c>
      <c r="D12588" s="13" t="s">
        <v>57</v>
      </c>
      <c r="E12588" s="12" t="s">
        <v>35</v>
      </c>
      <c r="F12588" s="14">
        <v>90000</v>
      </c>
      <c r="G12588" s="14">
        <v>64800</v>
      </c>
      <c r="H12588" s="13" t="s">
        <v>23825</v>
      </c>
      <c r="I12588" s="40" t="s">
        <v>18</v>
      </c>
      <c r="J12588" s="40" t="str">
        <f>HYPERLINK("https://stock.pstatic.net/stock-research/company/16/20250502_company_236072000.pdf","PDF")</f>
        <v>PDF</v>
      </c>
      <c r="K12588" s="12" t="s">
        <v>23826</v>
      </c>
      <c r="L12588" s="20">
        <v>0.3888888888888889</v>
      </c>
    </row>
    <row r="12589" spans="1:12" x14ac:dyDescent="0.45">
      <c r="A12589" s="12" t="s">
        <v>23755</v>
      </c>
      <c r="B12589" s="12" t="s">
        <v>1548</v>
      </c>
      <c r="C12589" s="13" t="s">
        <v>1549</v>
      </c>
      <c r="D12589" s="13" t="s">
        <v>57</v>
      </c>
      <c r="E12589" s="12" t="s">
        <v>35</v>
      </c>
      <c r="F12589" s="14">
        <v>940000</v>
      </c>
      <c r="G12589" s="14">
        <v>797000</v>
      </c>
      <c r="H12589" s="13" t="s">
        <v>23827</v>
      </c>
      <c r="I12589" s="40" t="s">
        <v>18</v>
      </c>
      <c r="J12589" s="40" t="str">
        <f>HYPERLINK("https://stock.pstatic.net/stock-research/company/16/20250502_company_322018000.pdf","PDF")</f>
        <v>PDF</v>
      </c>
      <c r="K12589" s="12" t="s">
        <v>23828</v>
      </c>
      <c r="L12589" s="20">
        <v>0.1794228356336261</v>
      </c>
    </row>
    <row r="12590" spans="1:12" x14ac:dyDescent="0.45">
      <c r="A12590" s="12" t="s">
        <v>23755</v>
      </c>
      <c r="B12590" s="12" t="s">
        <v>1208</v>
      </c>
      <c r="C12590" s="13" t="s">
        <v>1209</v>
      </c>
      <c r="D12590" s="13" t="s">
        <v>57</v>
      </c>
      <c r="E12590" s="12" t="s">
        <v>35</v>
      </c>
      <c r="F12590" s="14">
        <v>88000</v>
      </c>
      <c r="G12590" s="14">
        <v>60200</v>
      </c>
      <c r="H12590" s="13" t="s">
        <v>23829</v>
      </c>
      <c r="I12590" s="40" t="s">
        <v>18</v>
      </c>
      <c r="J12590" s="40" t="str">
        <f>HYPERLINK("https://stock.pstatic.net/stock-research/company/16/20250502_company_700447000.pdf","PDF")</f>
        <v>PDF</v>
      </c>
      <c r="K12590" s="12" t="s">
        <v>23830</v>
      </c>
      <c r="L12590" s="20">
        <v>0.46179401993355479</v>
      </c>
    </row>
    <row r="12591" spans="1:12" x14ac:dyDescent="0.45">
      <c r="A12591" s="12" t="s">
        <v>23755</v>
      </c>
      <c r="B12591" s="12" t="s">
        <v>72</v>
      </c>
      <c r="C12591" s="13" t="s">
        <v>73</v>
      </c>
      <c r="D12591" s="13" t="s">
        <v>57</v>
      </c>
      <c r="E12591" s="12" t="s">
        <v>35</v>
      </c>
      <c r="F12591" s="14">
        <v>200000</v>
      </c>
      <c r="G12591" s="14">
        <v>122400</v>
      </c>
      <c r="H12591" s="13" t="s">
        <v>23831</v>
      </c>
      <c r="I12591" s="40" t="s">
        <v>18</v>
      </c>
      <c r="J12591" s="40" t="str">
        <f>HYPERLINK("https://stock.pstatic.net/stock-research/company/16/20250502_company_630002000.pdf","PDF")</f>
        <v>PDF</v>
      </c>
      <c r="K12591" s="12" t="s">
        <v>23832</v>
      </c>
      <c r="L12591" s="20">
        <v>0.63398692810457513</v>
      </c>
    </row>
    <row r="12592" spans="1:12" x14ac:dyDescent="0.45">
      <c r="A12592" s="12" t="s">
        <v>23755</v>
      </c>
      <c r="B12592" s="12" t="s">
        <v>13</v>
      </c>
      <c r="C12592" s="13" t="s">
        <v>14</v>
      </c>
      <c r="D12592" s="13" t="s">
        <v>57</v>
      </c>
      <c r="E12592" s="12" t="s">
        <v>35</v>
      </c>
      <c r="F12592" s="14">
        <v>73000</v>
      </c>
      <c r="G12592" s="14">
        <v>55500</v>
      </c>
      <c r="H12592" s="13" t="s">
        <v>23833</v>
      </c>
      <c r="I12592" s="40" t="s">
        <v>18</v>
      </c>
      <c r="J12592" s="40" t="str">
        <f>HYPERLINK("https://stock.pstatic.net/stock-research/company/16/20250502_company_44216000.pdf","PDF")</f>
        <v>PDF</v>
      </c>
      <c r="K12592" s="12" t="s">
        <v>23834</v>
      </c>
      <c r="L12592" s="20">
        <v>0.31531531531531531</v>
      </c>
    </row>
    <row r="12593" spans="1:12" x14ac:dyDescent="0.45">
      <c r="A12593" s="12" t="s">
        <v>23755</v>
      </c>
      <c r="B12593" s="12" t="s">
        <v>434</v>
      </c>
      <c r="C12593" s="13" t="s">
        <v>435</v>
      </c>
      <c r="D12593" s="13" t="s">
        <v>57</v>
      </c>
      <c r="E12593" s="12" t="s">
        <v>35</v>
      </c>
      <c r="F12593" s="14">
        <v>140000</v>
      </c>
      <c r="G12593" s="14">
        <v>124400</v>
      </c>
      <c r="H12593" s="13" t="s">
        <v>23835</v>
      </c>
      <c r="I12593" s="40" t="s">
        <v>18</v>
      </c>
      <c r="J12593" s="40" t="str">
        <f>HYPERLINK("https://stock.pstatic.net/stock-research/company/16/20250502_company_395757000.pdf","PDF")</f>
        <v>PDF</v>
      </c>
      <c r="K12593" s="12" t="s">
        <v>23836</v>
      </c>
      <c r="L12593" s="20">
        <v>0.12540192926045021</v>
      </c>
    </row>
    <row r="12594" spans="1:12" x14ac:dyDescent="0.45">
      <c r="A12594" s="12" t="s">
        <v>23755</v>
      </c>
      <c r="B12594" s="12" t="s">
        <v>170</v>
      </c>
      <c r="C12594" s="13" t="s">
        <v>171</v>
      </c>
      <c r="D12594" s="13" t="s">
        <v>57</v>
      </c>
      <c r="E12594" s="12" t="s">
        <v>35</v>
      </c>
      <c r="F12594" s="14">
        <v>100000</v>
      </c>
      <c r="G12594" s="14">
        <v>70700</v>
      </c>
      <c r="H12594" s="13" t="s">
        <v>23837</v>
      </c>
      <c r="I12594" s="40" t="s">
        <v>18</v>
      </c>
      <c r="J12594" s="40" t="str">
        <f>HYPERLINK("https://stock.pstatic.net/stock-research/company/16/20250502_company_62007000.pdf","PDF")</f>
        <v>PDF</v>
      </c>
      <c r="K12594" s="12" t="s">
        <v>23838</v>
      </c>
      <c r="L12594" s="20">
        <v>0.41442715700141441</v>
      </c>
    </row>
    <row r="12595" spans="1:12" x14ac:dyDescent="0.45">
      <c r="A12595" s="12" t="s">
        <v>23755</v>
      </c>
      <c r="B12595" s="12" t="s">
        <v>2956</v>
      </c>
      <c r="C12595" s="13" t="s">
        <v>2957</v>
      </c>
      <c r="D12595" s="13" t="s">
        <v>57</v>
      </c>
      <c r="E12595" s="12" t="s">
        <v>35</v>
      </c>
      <c r="F12595" s="14">
        <v>23000</v>
      </c>
      <c r="G12595" s="14">
        <v>17850</v>
      </c>
      <c r="H12595" s="13" t="s">
        <v>23839</v>
      </c>
      <c r="I12595" s="40" t="s">
        <v>18</v>
      </c>
      <c r="J12595" s="40" t="str">
        <f>HYPERLINK("https://stock.pstatic.net/stock-research/company/16/20250502_company_502099000.pdf","PDF")</f>
        <v>PDF</v>
      </c>
      <c r="K12595" s="12" t="s">
        <v>23840</v>
      </c>
      <c r="L12595" s="20">
        <v>0.28851540616246502</v>
      </c>
    </row>
    <row r="12596" spans="1:12" x14ac:dyDescent="0.45">
      <c r="A12596" s="12" t="s">
        <v>23755</v>
      </c>
      <c r="B12596" s="12" t="s">
        <v>2933</v>
      </c>
      <c r="C12596" s="13" t="s">
        <v>2934</v>
      </c>
      <c r="D12596" s="13" t="s">
        <v>158</v>
      </c>
      <c r="E12596" s="12" t="s">
        <v>35</v>
      </c>
      <c r="F12596" s="14">
        <v>87500</v>
      </c>
      <c r="G12596" s="14">
        <v>54500</v>
      </c>
      <c r="H12596" s="13" t="s">
        <v>23841</v>
      </c>
      <c r="I12596" s="40" t="s">
        <v>18</v>
      </c>
      <c r="J12596" s="40" t="str">
        <f>HYPERLINK("https://stock.pstatic.net/stock-research/company/18/20250502_company_210264000.pdf","PDF")</f>
        <v>PDF</v>
      </c>
      <c r="K12596" s="12" t="s">
        <v>23842</v>
      </c>
      <c r="L12596" s="20">
        <v>0.60550458715596334</v>
      </c>
    </row>
    <row r="12597" spans="1:12" x14ac:dyDescent="0.45">
      <c r="A12597" s="12" t="s">
        <v>23755</v>
      </c>
      <c r="B12597" s="12" t="s">
        <v>2982</v>
      </c>
      <c r="C12597" s="13" t="s">
        <v>2983</v>
      </c>
      <c r="D12597" s="13" t="s">
        <v>158</v>
      </c>
      <c r="E12597" s="12" t="s">
        <v>35</v>
      </c>
      <c r="F12597" s="14">
        <v>51000</v>
      </c>
      <c r="G12597" s="14">
        <v>43450</v>
      </c>
      <c r="H12597" s="13" t="s">
        <v>23843</v>
      </c>
      <c r="I12597" s="40" t="s">
        <v>18</v>
      </c>
      <c r="J12597" s="40" t="str">
        <f>HYPERLINK("https://stock.pstatic.net/stock-research/company/18/20250502_company_941776000.pdf","PDF")</f>
        <v>PDF</v>
      </c>
      <c r="K12597" s="12" t="s">
        <v>23844</v>
      </c>
      <c r="L12597" s="20">
        <v>0.17376294591484459</v>
      </c>
    </row>
    <row r="12598" spans="1:12" x14ac:dyDescent="0.45">
      <c r="A12598" s="12" t="s">
        <v>23755</v>
      </c>
      <c r="B12598" s="12" t="s">
        <v>72</v>
      </c>
      <c r="C12598" s="13" t="s">
        <v>73</v>
      </c>
      <c r="D12598" s="13" t="s">
        <v>158</v>
      </c>
      <c r="E12598" s="12" t="s">
        <v>35</v>
      </c>
      <c r="F12598" s="14">
        <v>180000</v>
      </c>
      <c r="G12598" s="14">
        <v>122400</v>
      </c>
      <c r="H12598" s="13" t="s">
        <v>23845</v>
      </c>
      <c r="I12598" s="40" t="s">
        <v>18</v>
      </c>
      <c r="J12598" s="40" t="str">
        <f>HYPERLINK("https://stock.pstatic.net/stock-research/company/18/20250502_company_554849000.pdf","PDF")</f>
        <v>PDF</v>
      </c>
      <c r="K12598" s="12" t="s">
        <v>23846</v>
      </c>
      <c r="L12598" s="20">
        <v>0.47058823529411759</v>
      </c>
    </row>
    <row r="12599" spans="1:12" x14ac:dyDescent="0.45">
      <c r="A12599" s="12" t="s">
        <v>23755</v>
      </c>
      <c r="B12599" s="12" t="s">
        <v>2956</v>
      </c>
      <c r="C12599" s="13" t="s">
        <v>2957</v>
      </c>
      <c r="D12599" s="13" t="s">
        <v>158</v>
      </c>
      <c r="E12599" s="12" t="s">
        <v>35</v>
      </c>
      <c r="F12599" s="14">
        <v>24500</v>
      </c>
      <c r="G12599" s="14">
        <v>18250</v>
      </c>
      <c r="H12599" s="13" t="s">
        <v>23847</v>
      </c>
      <c r="I12599" s="40" t="s">
        <v>18</v>
      </c>
      <c r="J12599" s="40" t="str">
        <f>HYPERLINK("https://stock.pstatic.net/stock-research/company/18/20250502_company_953292000.pdf","PDF")</f>
        <v>PDF</v>
      </c>
      <c r="K12599" s="12" t="s">
        <v>23848</v>
      </c>
      <c r="L12599" s="20">
        <v>0.34246575342465752</v>
      </c>
    </row>
    <row r="12600" spans="1:12" x14ac:dyDescent="0.45">
      <c r="A12600" s="12" t="s">
        <v>23755</v>
      </c>
      <c r="B12600" s="12" t="s">
        <v>2522</v>
      </c>
      <c r="C12600" s="13" t="s">
        <v>2523</v>
      </c>
      <c r="D12600" s="13" t="s">
        <v>158</v>
      </c>
      <c r="E12600" s="12" t="s">
        <v>35</v>
      </c>
      <c r="F12600" s="14">
        <v>450000</v>
      </c>
      <c r="G12600" s="14">
        <v>371500</v>
      </c>
      <c r="H12600" s="13" t="s">
        <v>23849</v>
      </c>
      <c r="I12600" s="40" t="s">
        <v>18</v>
      </c>
      <c r="J12600" s="40" t="str">
        <f>HYPERLINK("https://stock.pstatic.net/stock-research/company/18/20250502_company_90934000.pdf","PDF")</f>
        <v>PDF</v>
      </c>
      <c r="K12600" s="12" t="s">
        <v>23850</v>
      </c>
      <c r="L12600" s="20">
        <v>0.21130551816958279</v>
      </c>
    </row>
    <row r="12601" spans="1:12" x14ac:dyDescent="0.45">
      <c r="A12601" s="12" t="s">
        <v>23755</v>
      </c>
      <c r="B12601" s="12" t="s">
        <v>3365</v>
      </c>
      <c r="C12601" s="13" t="s">
        <v>3366</v>
      </c>
      <c r="D12601" s="13" t="s">
        <v>158</v>
      </c>
      <c r="E12601" s="12" t="s">
        <v>159</v>
      </c>
      <c r="F12601" s="14">
        <v>110000</v>
      </c>
      <c r="G12601" s="14">
        <v>102100</v>
      </c>
      <c r="H12601" s="13" t="s">
        <v>23851</v>
      </c>
      <c r="I12601" s="40" t="s">
        <v>18</v>
      </c>
      <c r="J12601" s="40" t="str">
        <f>HYPERLINK("https://stock.pstatic.net/stock-research/company/18/20250502_company_154347000.pdf","PDF")</f>
        <v>PDF</v>
      </c>
      <c r="K12601" s="12" t="s">
        <v>23852</v>
      </c>
      <c r="L12601" s="20">
        <v>7.737512242899118E-2</v>
      </c>
    </row>
    <row r="12602" spans="1:12" x14ac:dyDescent="0.45">
      <c r="A12602" s="12" t="s">
        <v>23755</v>
      </c>
      <c r="B12602" s="12" t="s">
        <v>3014</v>
      </c>
      <c r="C12602" s="13" t="s">
        <v>3015</v>
      </c>
      <c r="D12602" s="13" t="s">
        <v>158</v>
      </c>
      <c r="E12602" s="12" t="s">
        <v>35</v>
      </c>
      <c r="F12602" s="14">
        <v>74000</v>
      </c>
      <c r="G12602" s="14">
        <v>59300</v>
      </c>
      <c r="H12602" s="13" t="s">
        <v>23853</v>
      </c>
      <c r="I12602" s="40" t="s">
        <v>18</v>
      </c>
      <c r="J12602" s="40" t="str">
        <f>HYPERLINK("https://stock.pstatic.net/stock-research/company/18/20250502_company_355439000.pdf","PDF")</f>
        <v>PDF</v>
      </c>
      <c r="K12602" s="12" t="s">
        <v>23854</v>
      </c>
      <c r="L12602" s="20">
        <v>0.2478920741989882</v>
      </c>
    </row>
    <row r="12603" spans="1:12" x14ac:dyDescent="0.45">
      <c r="A12603" s="12" t="s">
        <v>23755</v>
      </c>
      <c r="B12603" s="12" t="s">
        <v>13</v>
      </c>
      <c r="C12603" s="13" t="s">
        <v>14</v>
      </c>
      <c r="D12603" s="13" t="s">
        <v>158</v>
      </c>
      <c r="E12603" s="12" t="s">
        <v>35</v>
      </c>
      <c r="F12603" s="14">
        <v>70000</v>
      </c>
      <c r="G12603" s="14">
        <v>55500</v>
      </c>
      <c r="H12603" s="13" t="s">
        <v>23855</v>
      </c>
      <c r="I12603" s="40" t="s">
        <v>18</v>
      </c>
      <c r="J12603" s="40" t="str">
        <f>HYPERLINK("https://stock.pstatic.net/stock-research/company/18/20250502_company_135742000.pdf","PDF")</f>
        <v>PDF</v>
      </c>
      <c r="K12603" s="12" t="s">
        <v>23856</v>
      </c>
      <c r="L12603" s="20">
        <v>0.26126126126126131</v>
      </c>
    </row>
    <row r="12604" spans="1:12" x14ac:dyDescent="0.45">
      <c r="A12604" s="12" t="s">
        <v>23755</v>
      </c>
      <c r="B12604" s="12" t="s">
        <v>1690</v>
      </c>
      <c r="C12604" s="13" t="s">
        <v>1691</v>
      </c>
      <c r="D12604" s="13" t="s">
        <v>15</v>
      </c>
      <c r="E12604" s="12" t="s">
        <v>16</v>
      </c>
      <c r="F12604" s="14">
        <v>116000</v>
      </c>
      <c r="G12604" s="14">
        <v>94400</v>
      </c>
      <c r="H12604" s="13" t="s">
        <v>23857</v>
      </c>
      <c r="I12604" s="40" t="s">
        <v>18</v>
      </c>
      <c r="J12604" s="40" t="str">
        <f>HYPERLINK("https://stock.pstatic.net/stock-research/company/29/20250502_company_550274000.pdf","PDF")</f>
        <v>PDF</v>
      </c>
      <c r="K12604" s="12" t="s">
        <v>23858</v>
      </c>
      <c r="L12604" s="20">
        <v>0.2288135593220339</v>
      </c>
    </row>
    <row r="12605" spans="1:12" x14ac:dyDescent="0.45">
      <c r="A12605" s="12" t="s">
        <v>23755</v>
      </c>
      <c r="B12605" s="12" t="s">
        <v>2933</v>
      </c>
      <c r="C12605" s="13" t="s">
        <v>2934</v>
      </c>
      <c r="D12605" s="13" t="s">
        <v>15</v>
      </c>
      <c r="E12605" s="12" t="s">
        <v>16</v>
      </c>
      <c r="F12605" s="14">
        <v>90000</v>
      </c>
      <c r="G12605" s="14">
        <v>54500</v>
      </c>
      <c r="H12605" s="13" t="s">
        <v>23859</v>
      </c>
      <c r="I12605" s="40" t="s">
        <v>18</v>
      </c>
      <c r="J12605" s="40" t="str">
        <f>HYPERLINK("https://stock.pstatic.net/stock-research/company/29/20250502_company_869631000.pdf","PDF")</f>
        <v>PDF</v>
      </c>
      <c r="K12605" s="12" t="s">
        <v>23860</v>
      </c>
      <c r="L12605" s="20">
        <v>0.65137614678899081</v>
      </c>
    </row>
    <row r="12606" spans="1:12" x14ac:dyDescent="0.45">
      <c r="A12606" s="12" t="s">
        <v>23755</v>
      </c>
      <c r="B12606" s="12" t="s">
        <v>2266</v>
      </c>
      <c r="C12606" s="13" t="s">
        <v>2267</v>
      </c>
      <c r="D12606" s="13" t="s">
        <v>15</v>
      </c>
      <c r="E12606" s="12" t="s">
        <v>16</v>
      </c>
      <c r="F12606" s="14">
        <v>100000</v>
      </c>
      <c r="G12606" s="14">
        <v>82800</v>
      </c>
      <c r="H12606" s="13" t="s">
        <v>23861</v>
      </c>
      <c r="I12606" s="40" t="s">
        <v>18</v>
      </c>
      <c r="J12606" s="40" t="str">
        <f>HYPERLINK("https://stock.pstatic.net/stock-research/company/29/20250502_company_237834000.pdf","PDF")</f>
        <v>PDF</v>
      </c>
      <c r="K12606" s="12" t="s">
        <v>23862</v>
      </c>
      <c r="L12606" s="20">
        <v>0.2077294685990338</v>
      </c>
    </row>
    <row r="12607" spans="1:12" x14ac:dyDescent="0.45">
      <c r="A12607" s="12" t="s">
        <v>23755</v>
      </c>
      <c r="B12607" s="12" t="s">
        <v>3113</v>
      </c>
      <c r="C12607" s="13" t="s">
        <v>3114</v>
      </c>
      <c r="D12607" s="13" t="s">
        <v>15</v>
      </c>
      <c r="E12607" s="12" t="s">
        <v>16</v>
      </c>
      <c r="F12607" s="14">
        <v>33000</v>
      </c>
      <c r="G12607" s="14">
        <v>26550</v>
      </c>
      <c r="H12607" s="13" t="s">
        <v>23863</v>
      </c>
      <c r="I12607" s="40" t="s">
        <v>18</v>
      </c>
      <c r="J12607" s="40" t="str">
        <f>HYPERLINK("https://stock.pstatic.net/stock-research/company/29/20250502_company_852102000.pdf","PDF")</f>
        <v>PDF</v>
      </c>
      <c r="K12607" s="12" t="s">
        <v>23864</v>
      </c>
      <c r="L12607" s="20">
        <v>0.24293785310734459</v>
      </c>
    </row>
    <row r="12608" spans="1:12" x14ac:dyDescent="0.45">
      <c r="A12608" s="12" t="s">
        <v>23755</v>
      </c>
      <c r="B12608" s="12" t="s">
        <v>2378</v>
      </c>
      <c r="C12608" s="13" t="s">
        <v>2379</v>
      </c>
      <c r="D12608" s="13" t="s">
        <v>15</v>
      </c>
      <c r="E12608" s="12" t="s">
        <v>16</v>
      </c>
      <c r="F12608" s="14">
        <v>440000</v>
      </c>
      <c r="G12608" s="14">
        <v>324500</v>
      </c>
      <c r="H12608" s="13" t="s">
        <v>23865</v>
      </c>
      <c r="I12608" s="40" t="s">
        <v>18</v>
      </c>
      <c r="J12608" s="40" t="str">
        <f>HYPERLINK("https://stock.pstatic.net/stock-research/company/29/20250502_company_746434000.pdf","PDF")</f>
        <v>PDF</v>
      </c>
      <c r="K12608" s="12" t="s">
        <v>23866</v>
      </c>
      <c r="L12608" s="20">
        <v>0.3559322033898305</v>
      </c>
    </row>
    <row r="12609" spans="1:12" x14ac:dyDescent="0.45">
      <c r="A12609" s="12" t="s">
        <v>23755</v>
      </c>
      <c r="B12609" s="12" t="s">
        <v>170</v>
      </c>
      <c r="C12609" s="13" t="s">
        <v>171</v>
      </c>
      <c r="D12609" s="13" t="s">
        <v>83</v>
      </c>
      <c r="E12609" s="12" t="s">
        <v>35</v>
      </c>
      <c r="F12609" s="14">
        <v>92000</v>
      </c>
      <c r="G12609" s="14">
        <v>70700</v>
      </c>
      <c r="H12609" s="13" t="s">
        <v>23867</v>
      </c>
      <c r="I12609" s="40" t="s">
        <v>18</v>
      </c>
      <c r="J12609" s="40" t="str">
        <f>HYPERLINK("https://stock.pstatic.net/stock-research/company/2/20250502_company_645361000.pdf","PDF")</f>
        <v>PDF</v>
      </c>
      <c r="K12609" s="12" t="s">
        <v>23868</v>
      </c>
      <c r="L12609" s="20">
        <v>0.30127298444130129</v>
      </c>
    </row>
    <row r="12610" spans="1:12" x14ac:dyDescent="0.45">
      <c r="A12610" s="12" t="s">
        <v>23755</v>
      </c>
      <c r="B12610" s="12" t="s">
        <v>174</v>
      </c>
      <c r="C12610" s="13" t="s">
        <v>44</v>
      </c>
      <c r="D12610" s="13" t="s">
        <v>83</v>
      </c>
      <c r="E12610" s="12" t="s">
        <v>35</v>
      </c>
      <c r="F12610" s="14">
        <v>180000</v>
      </c>
      <c r="G12610" s="14">
        <v>132400</v>
      </c>
      <c r="H12610" s="13" t="s">
        <v>23869</v>
      </c>
      <c r="I12610" s="40" t="s">
        <v>18</v>
      </c>
      <c r="J12610" s="40" t="str">
        <f>HYPERLINK("https://stock.pstatic.net/stock-research/company/2/20250502_company_549800000.pdf","PDF")</f>
        <v>PDF</v>
      </c>
      <c r="K12610" s="12" t="s">
        <v>23870</v>
      </c>
      <c r="L12610" s="20">
        <v>0.3595166163141994</v>
      </c>
    </row>
    <row r="12611" spans="1:12" x14ac:dyDescent="0.45">
      <c r="A12611" s="12" t="s">
        <v>23755</v>
      </c>
      <c r="B12611" s="12" t="s">
        <v>537</v>
      </c>
      <c r="C12611" s="13" t="s">
        <v>538</v>
      </c>
      <c r="D12611" s="13" t="s">
        <v>83</v>
      </c>
      <c r="E12611" s="12" t="s">
        <v>35</v>
      </c>
      <c r="F12611" s="14">
        <v>14000</v>
      </c>
      <c r="G12611" s="14">
        <v>12020</v>
      </c>
      <c r="H12611" s="13" t="s">
        <v>23871</v>
      </c>
      <c r="I12611" s="40" t="s">
        <v>18</v>
      </c>
      <c r="J12611" s="40" t="str">
        <f>HYPERLINK("https://stock.pstatic.net/stock-research/company/2/20250502_company_83838000.pdf","PDF")</f>
        <v>PDF</v>
      </c>
      <c r="K12611" s="12" t="s">
        <v>23872</v>
      </c>
      <c r="L12611" s="20">
        <v>0.16472545757071549</v>
      </c>
    </row>
    <row r="12612" spans="1:12" x14ac:dyDescent="0.45">
      <c r="A12612" s="12" t="s">
        <v>23755</v>
      </c>
      <c r="B12612" s="12" t="s">
        <v>162</v>
      </c>
      <c r="C12612" s="13" t="s">
        <v>163</v>
      </c>
      <c r="D12612" s="13" t="s">
        <v>83</v>
      </c>
      <c r="E12612" s="12" t="s">
        <v>50</v>
      </c>
      <c r="F12612" s="13"/>
      <c r="G12612" s="14">
        <v>16770</v>
      </c>
      <c r="H12612" s="13" t="s">
        <v>23873</v>
      </c>
      <c r="I12612" s="40" t="s">
        <v>18</v>
      </c>
      <c r="J12612" s="40" t="str">
        <f>HYPERLINK("https://stock.pstatic.net/stock-research/company/2/20250502_company_925490000.pdf","PDF")</f>
        <v>PDF</v>
      </c>
      <c r="K12612" s="12" t="s">
        <v>23874</v>
      </c>
    </row>
    <row r="12613" spans="1:12" x14ac:dyDescent="0.45">
      <c r="A12613" s="12" t="s">
        <v>23755</v>
      </c>
      <c r="B12613" s="12" t="s">
        <v>3548</v>
      </c>
      <c r="C12613" s="13" t="s">
        <v>3549</v>
      </c>
      <c r="D12613" s="13" t="s">
        <v>83</v>
      </c>
      <c r="E12613" s="12" t="s">
        <v>35</v>
      </c>
      <c r="F12613" s="14">
        <v>61000</v>
      </c>
      <c r="G12613" s="14">
        <v>42800</v>
      </c>
      <c r="H12613" s="13" t="s">
        <v>23875</v>
      </c>
      <c r="I12613" s="40" t="s">
        <v>18</v>
      </c>
      <c r="J12613" s="40" t="str">
        <f>HYPERLINK("https://stock.pstatic.net/stock-research/company/2/20250502_company_952507000.pdf","PDF")</f>
        <v>PDF</v>
      </c>
      <c r="K12613" s="12" t="s">
        <v>23876</v>
      </c>
      <c r="L12613" s="20">
        <v>0.42523364485981308</v>
      </c>
    </row>
    <row r="12614" spans="1:12" x14ac:dyDescent="0.45">
      <c r="A12614" s="12" t="s">
        <v>23755</v>
      </c>
      <c r="B12614" s="12" t="s">
        <v>3154</v>
      </c>
      <c r="C12614" s="13" t="s">
        <v>3155</v>
      </c>
      <c r="D12614" s="13" t="s">
        <v>83</v>
      </c>
      <c r="E12614" s="12" t="s">
        <v>35</v>
      </c>
      <c r="F12614" s="14">
        <v>7400</v>
      </c>
      <c r="G12614" s="14">
        <v>4820</v>
      </c>
      <c r="H12614" s="13" t="s">
        <v>23877</v>
      </c>
      <c r="I12614" s="40" t="s">
        <v>18</v>
      </c>
      <c r="J12614" s="40" t="str">
        <f>HYPERLINK("https://stock.pstatic.net/stock-research/company/2/20250502_company_443186000.pdf","PDF")</f>
        <v>PDF</v>
      </c>
      <c r="K12614" s="12" t="s">
        <v>23878</v>
      </c>
      <c r="L12614" s="20">
        <v>0.53526970954356845</v>
      </c>
    </row>
    <row r="12615" spans="1:12" x14ac:dyDescent="0.45">
      <c r="A12615" s="12" t="s">
        <v>23755</v>
      </c>
      <c r="B12615" s="12" t="s">
        <v>1936</v>
      </c>
      <c r="C12615" s="13" t="s">
        <v>1937</v>
      </c>
      <c r="D12615" s="13" t="s">
        <v>83</v>
      </c>
      <c r="E12615" s="12" t="s">
        <v>35</v>
      </c>
      <c r="F12615" s="14">
        <v>8800</v>
      </c>
      <c r="G12615" s="14">
        <v>5410</v>
      </c>
      <c r="H12615" s="13" t="s">
        <v>23879</v>
      </c>
      <c r="I12615" s="40" t="s">
        <v>18</v>
      </c>
      <c r="J12615" s="40" t="str">
        <f>HYPERLINK("https://stock.pstatic.net/stock-research/company/2/20250502_company_310939000.pdf","PDF")</f>
        <v>PDF</v>
      </c>
      <c r="K12615" s="12" t="s">
        <v>23880</v>
      </c>
      <c r="L12615" s="20">
        <v>0.62661737523105365</v>
      </c>
    </row>
    <row r="12616" spans="1:12" x14ac:dyDescent="0.45">
      <c r="A12616" s="12" t="s">
        <v>23755</v>
      </c>
      <c r="B12616" s="12" t="s">
        <v>434</v>
      </c>
      <c r="C12616" s="13" t="s">
        <v>435</v>
      </c>
      <c r="D12616" s="13" t="s">
        <v>83</v>
      </c>
      <c r="E12616" s="12" t="s">
        <v>35</v>
      </c>
      <c r="F12616" s="14">
        <v>160000</v>
      </c>
      <c r="G12616" s="14">
        <v>123100</v>
      </c>
      <c r="H12616" s="13" t="s">
        <v>23881</v>
      </c>
      <c r="I12616" s="40" t="s">
        <v>18</v>
      </c>
      <c r="J12616" s="40" t="str">
        <f>HYPERLINK("https://stock.pstatic.net/stock-research/company/2/20250502_company_943869000.pdf","PDF")</f>
        <v>PDF</v>
      </c>
      <c r="K12616" s="12" t="s">
        <v>23882</v>
      </c>
      <c r="L12616" s="20">
        <v>0.29975629569455731</v>
      </c>
    </row>
    <row r="12617" spans="1:12" x14ac:dyDescent="0.45">
      <c r="A12617" s="12" t="s">
        <v>23755</v>
      </c>
      <c r="B12617" s="12" t="s">
        <v>3749</v>
      </c>
      <c r="C12617" s="13" t="s">
        <v>3750</v>
      </c>
      <c r="D12617" s="13" t="s">
        <v>83</v>
      </c>
      <c r="E12617" s="12" t="s">
        <v>35</v>
      </c>
      <c r="F12617" s="14">
        <v>170000</v>
      </c>
      <c r="G12617" s="14">
        <v>114000</v>
      </c>
      <c r="H12617" s="13" t="s">
        <v>23883</v>
      </c>
      <c r="I12617" s="40" t="s">
        <v>18</v>
      </c>
      <c r="J12617" s="40" t="str">
        <f>HYPERLINK("https://stock.pstatic.net/stock-research/company/2/20250502_company_653774000.pdf","PDF")</f>
        <v>PDF</v>
      </c>
      <c r="K12617" s="12" t="s">
        <v>23884</v>
      </c>
      <c r="L12617" s="20">
        <v>0.49122807017543862</v>
      </c>
    </row>
    <row r="12618" spans="1:12" x14ac:dyDescent="0.45">
      <c r="A12618" s="12" t="s">
        <v>23755</v>
      </c>
      <c r="B12618" s="12" t="s">
        <v>2795</v>
      </c>
      <c r="C12618" s="13" t="s">
        <v>2796</v>
      </c>
      <c r="D12618" s="13" t="s">
        <v>83</v>
      </c>
      <c r="E12618" s="12" t="s">
        <v>35</v>
      </c>
      <c r="F12618" s="14">
        <v>5000</v>
      </c>
      <c r="G12618" s="14">
        <v>3335</v>
      </c>
      <c r="H12618" s="13" t="s">
        <v>23885</v>
      </c>
      <c r="I12618" s="40" t="s">
        <v>18</v>
      </c>
      <c r="J12618" s="40" t="str">
        <f>HYPERLINK("https://stock.pstatic.net/stock-research/company/2/20250502_company_622034000.pdf","PDF")</f>
        <v>PDF</v>
      </c>
      <c r="K12618" s="12" t="s">
        <v>23886</v>
      </c>
      <c r="L12618" s="20">
        <v>0.49925037481259371</v>
      </c>
    </row>
    <row r="12619" spans="1:12" x14ac:dyDescent="0.45">
      <c r="A12619" s="12" t="s">
        <v>23755</v>
      </c>
      <c r="B12619" s="12" t="s">
        <v>63</v>
      </c>
      <c r="C12619" s="13" t="s">
        <v>64</v>
      </c>
      <c r="D12619" s="13" t="s">
        <v>83</v>
      </c>
      <c r="E12619" s="12" t="s">
        <v>35</v>
      </c>
      <c r="F12619" s="14">
        <v>380000</v>
      </c>
      <c r="G12619" s="14">
        <v>269000</v>
      </c>
      <c r="H12619" s="13" t="s">
        <v>23887</v>
      </c>
      <c r="I12619" s="40" t="s">
        <v>18</v>
      </c>
      <c r="J12619" s="40" t="str">
        <f>HYPERLINK("https://stock.pstatic.net/stock-research/company/2/20250502_company_710818000.pdf","PDF")</f>
        <v>PDF</v>
      </c>
      <c r="K12619" s="12" t="s">
        <v>23888</v>
      </c>
      <c r="L12619" s="20">
        <v>0.41263940520446102</v>
      </c>
    </row>
    <row r="12620" spans="1:12" x14ac:dyDescent="0.45">
      <c r="A12620" s="12" t="s">
        <v>23755</v>
      </c>
      <c r="B12620" s="12" t="s">
        <v>2950</v>
      </c>
      <c r="C12620" s="13" t="s">
        <v>2951</v>
      </c>
      <c r="D12620" s="13" t="s">
        <v>83</v>
      </c>
      <c r="E12620" s="12" t="s">
        <v>35</v>
      </c>
      <c r="F12620" s="14">
        <v>38000</v>
      </c>
      <c r="G12620" s="14">
        <v>28950</v>
      </c>
      <c r="H12620" s="13" t="s">
        <v>23889</v>
      </c>
      <c r="I12620" s="40" t="s">
        <v>18</v>
      </c>
      <c r="J12620" s="40" t="str">
        <f>HYPERLINK("https://stock.pstatic.net/stock-research/company/2/20250502_company_925238000.pdf","PDF")</f>
        <v>PDF</v>
      </c>
      <c r="K12620" s="12" t="s">
        <v>23890</v>
      </c>
      <c r="L12620" s="20">
        <v>0.31260794473229708</v>
      </c>
    </row>
    <row r="12621" spans="1:12" x14ac:dyDescent="0.45">
      <c r="A12621" s="12" t="s">
        <v>23755</v>
      </c>
      <c r="B12621" s="12" t="s">
        <v>2887</v>
      </c>
      <c r="C12621" s="13" t="s">
        <v>2888</v>
      </c>
      <c r="D12621" s="13" t="s">
        <v>83</v>
      </c>
      <c r="E12621" s="12" t="s">
        <v>35</v>
      </c>
      <c r="F12621" s="14">
        <v>320000</v>
      </c>
      <c r="G12621" s="14">
        <v>216000</v>
      </c>
      <c r="H12621" s="13" t="s">
        <v>23891</v>
      </c>
      <c r="I12621" s="40" t="s">
        <v>18</v>
      </c>
      <c r="J12621" s="40" t="str">
        <f>HYPERLINK("https://stock.pstatic.net/stock-research/company/2/20250502_company_55415000.pdf","PDF")</f>
        <v>PDF</v>
      </c>
      <c r="K12621" s="12" t="s">
        <v>23892</v>
      </c>
      <c r="L12621" s="20">
        <v>0.48148148148148151</v>
      </c>
    </row>
    <row r="12622" spans="1:12" x14ac:dyDescent="0.45">
      <c r="A12622" s="12" t="s">
        <v>23755</v>
      </c>
      <c r="B12622" s="12" t="s">
        <v>3280</v>
      </c>
      <c r="C12622" s="13" t="s">
        <v>3281</v>
      </c>
      <c r="D12622" s="13" t="s">
        <v>83</v>
      </c>
      <c r="E12622" s="12" t="s">
        <v>35</v>
      </c>
      <c r="F12622" s="14">
        <v>55000</v>
      </c>
      <c r="G12622" s="14">
        <v>35450</v>
      </c>
      <c r="H12622" s="13" t="s">
        <v>23893</v>
      </c>
      <c r="I12622" s="40" t="s">
        <v>18</v>
      </c>
      <c r="J12622" s="40" t="str">
        <f>HYPERLINK("https://stock.pstatic.net/stock-research/company/2/20250502_company_390788000.pdf","PDF")</f>
        <v>PDF</v>
      </c>
      <c r="K12622" s="12" t="s">
        <v>23894</v>
      </c>
      <c r="L12622" s="20">
        <v>0.5514809590973202</v>
      </c>
    </row>
    <row r="12623" spans="1:12" x14ac:dyDescent="0.45">
      <c r="A12623" s="12" t="s">
        <v>23755</v>
      </c>
      <c r="B12623" s="12" t="s">
        <v>2410</v>
      </c>
      <c r="C12623" s="13" t="s">
        <v>2411</v>
      </c>
      <c r="D12623" s="13" t="s">
        <v>124</v>
      </c>
      <c r="E12623" s="12" t="s">
        <v>50</v>
      </c>
      <c r="F12623" s="13"/>
      <c r="G12623" s="14">
        <v>15380</v>
      </c>
      <c r="H12623" s="13" t="s">
        <v>23895</v>
      </c>
      <c r="I12623" s="40" t="s">
        <v>18</v>
      </c>
      <c r="J12623" s="40" t="str">
        <f>HYPERLINK("https://stock.pstatic.net/stock-research/company/74/20250502_company_758440000.pdf","PDF")</f>
        <v>PDF</v>
      </c>
      <c r="K12623" s="12" t="s">
        <v>23896</v>
      </c>
    </row>
    <row r="12624" spans="1:12" x14ac:dyDescent="0.45">
      <c r="A12624" s="12" t="s">
        <v>23755</v>
      </c>
      <c r="B12624" s="12" t="s">
        <v>3079</v>
      </c>
      <c r="C12624" s="13" t="s">
        <v>3080</v>
      </c>
      <c r="D12624" s="13" t="s">
        <v>92</v>
      </c>
      <c r="E12624" s="12" t="s">
        <v>35</v>
      </c>
      <c r="F12624" s="14">
        <v>27000</v>
      </c>
      <c r="G12624" s="14">
        <v>17860</v>
      </c>
      <c r="H12624" s="13" t="s">
        <v>23897</v>
      </c>
      <c r="I12624" s="40" t="s">
        <v>18</v>
      </c>
      <c r="J12624" s="40" t="str">
        <f>HYPERLINK("https://stock.pstatic.net/stock-research/company/63/20250502_company_272692000.pdf","PDF")</f>
        <v>PDF</v>
      </c>
      <c r="K12624" s="12" t="s">
        <v>23898</v>
      </c>
      <c r="L12624" s="20">
        <v>0.51175811870100785</v>
      </c>
    </row>
    <row r="12625" spans="1:12" x14ac:dyDescent="0.45">
      <c r="A12625" s="12" t="s">
        <v>23755</v>
      </c>
      <c r="B12625" s="12" t="s">
        <v>13</v>
      </c>
      <c r="C12625" s="13" t="s">
        <v>14</v>
      </c>
      <c r="D12625" s="13" t="s">
        <v>92</v>
      </c>
      <c r="E12625" s="12" t="s">
        <v>35</v>
      </c>
      <c r="F12625" s="14">
        <v>72000</v>
      </c>
      <c r="G12625" s="14">
        <v>55500</v>
      </c>
      <c r="H12625" s="13" t="s">
        <v>23899</v>
      </c>
      <c r="I12625" s="40" t="s">
        <v>18</v>
      </c>
      <c r="J12625" s="40" t="str">
        <f>HYPERLINK("https://stock.pstatic.net/stock-research/company/63/20250502_company_702748000.pdf","PDF")</f>
        <v>PDF</v>
      </c>
      <c r="K12625" s="12" t="s">
        <v>23900</v>
      </c>
      <c r="L12625" s="20">
        <v>0.29729729729729731</v>
      </c>
    </row>
    <row r="12626" spans="1:12" x14ac:dyDescent="0.45">
      <c r="A12626" s="12" t="s">
        <v>23755</v>
      </c>
      <c r="B12626" s="12" t="s">
        <v>2956</v>
      </c>
      <c r="C12626" s="13" t="s">
        <v>2957</v>
      </c>
      <c r="D12626" s="13" t="s">
        <v>15</v>
      </c>
      <c r="E12626" s="12" t="s">
        <v>16</v>
      </c>
      <c r="F12626" s="14">
        <v>22000</v>
      </c>
      <c r="G12626" s="14">
        <v>18250</v>
      </c>
      <c r="H12626" s="13" t="s">
        <v>23901</v>
      </c>
      <c r="I12626" s="40" t="s">
        <v>18</v>
      </c>
      <c r="J12626" s="40" t="str">
        <f>HYPERLINK("https://stock.pstatic.net/stock-research/company/29/20250502_company_554777000.pdf","PDF")</f>
        <v>PDF</v>
      </c>
      <c r="K12626" s="12" t="s">
        <v>23902</v>
      </c>
      <c r="L12626" s="20">
        <v>0.20547945205479451</v>
      </c>
    </row>
    <row r="12627" spans="1:12" x14ac:dyDescent="0.45">
      <c r="A12627" s="12" t="s">
        <v>23755</v>
      </c>
      <c r="B12627" s="12" t="s">
        <v>1548</v>
      </c>
      <c r="C12627" s="13" t="s">
        <v>1549</v>
      </c>
      <c r="D12627" s="13" t="s">
        <v>15</v>
      </c>
      <c r="E12627" s="12" t="s">
        <v>16</v>
      </c>
      <c r="F12627" s="14">
        <v>1200000</v>
      </c>
      <c r="G12627" s="14">
        <v>797000</v>
      </c>
      <c r="H12627" s="13" t="s">
        <v>23903</v>
      </c>
      <c r="I12627" s="40" t="s">
        <v>18</v>
      </c>
      <c r="J12627" s="40" t="str">
        <f>HYPERLINK("https://stock.pstatic.net/stock-research/company/29/20250502_company_699084000.pdf","PDF")</f>
        <v>PDF</v>
      </c>
      <c r="K12627" s="12" t="s">
        <v>23904</v>
      </c>
      <c r="L12627" s="20">
        <v>0.50564617314930993</v>
      </c>
    </row>
    <row r="12628" spans="1:12" x14ac:dyDescent="0.45">
      <c r="A12628" s="12" t="s">
        <v>23755</v>
      </c>
      <c r="B12628" s="12" t="s">
        <v>2887</v>
      </c>
      <c r="C12628" s="13" t="s">
        <v>2888</v>
      </c>
      <c r="D12628" s="13" t="s">
        <v>15</v>
      </c>
      <c r="E12628" s="12" t="s">
        <v>16</v>
      </c>
      <c r="F12628" s="14">
        <v>290000</v>
      </c>
      <c r="G12628" s="14">
        <v>216000</v>
      </c>
      <c r="H12628" s="13" t="s">
        <v>23905</v>
      </c>
      <c r="I12628" s="40" t="s">
        <v>18</v>
      </c>
      <c r="J12628" s="40" t="str">
        <f>HYPERLINK("https://stock.pstatic.net/stock-research/company/29/20250502_company_643338000.pdf","PDF")</f>
        <v>PDF</v>
      </c>
      <c r="K12628" s="12" t="s">
        <v>23906</v>
      </c>
      <c r="L12628" s="20">
        <v>0.34259259259259262</v>
      </c>
    </row>
    <row r="12629" spans="1:12" x14ac:dyDescent="0.45">
      <c r="A12629" s="12" t="s">
        <v>23755</v>
      </c>
      <c r="B12629" s="12" t="s">
        <v>174</v>
      </c>
      <c r="C12629" s="13" t="s">
        <v>44</v>
      </c>
      <c r="D12629" s="13" t="s">
        <v>15</v>
      </c>
      <c r="E12629" s="12" t="s">
        <v>16</v>
      </c>
      <c r="F12629" s="14">
        <v>170000</v>
      </c>
      <c r="G12629" s="14">
        <v>137000</v>
      </c>
      <c r="H12629" s="13" t="s">
        <v>23907</v>
      </c>
      <c r="I12629" s="40" t="s">
        <v>18</v>
      </c>
      <c r="J12629" s="40" t="str">
        <f>HYPERLINK("https://stock.pstatic.net/stock-research/company/29/20250502_company_475101000.pdf","PDF")</f>
        <v>PDF</v>
      </c>
      <c r="K12629" s="12" t="s">
        <v>23908</v>
      </c>
      <c r="L12629" s="20">
        <v>0.24087591240875911</v>
      </c>
    </row>
    <row r="12630" spans="1:12" x14ac:dyDescent="0.45">
      <c r="A12630" s="12" t="s">
        <v>23755</v>
      </c>
      <c r="B12630" s="12" t="s">
        <v>2365</v>
      </c>
      <c r="C12630" s="13" t="s">
        <v>2366</v>
      </c>
      <c r="D12630" s="13" t="s">
        <v>53</v>
      </c>
      <c r="E12630" s="12" t="s">
        <v>50</v>
      </c>
      <c r="F12630" s="14">
        <v>74000</v>
      </c>
      <c r="G12630" s="14">
        <v>64800</v>
      </c>
      <c r="H12630" s="13" t="s">
        <v>23909</v>
      </c>
      <c r="I12630" s="40" t="s">
        <v>18</v>
      </c>
      <c r="J12630" s="40" t="str">
        <f>HYPERLINK("https://stock.pstatic.net/stock-research/company/40/20250502_company_575029000.pdf","PDF")</f>
        <v>PDF</v>
      </c>
      <c r="K12630" s="12" t="s">
        <v>23910</v>
      </c>
      <c r="L12630" s="20">
        <v>0.1419753086419753</v>
      </c>
    </row>
    <row r="12631" spans="1:12" x14ac:dyDescent="0.45">
      <c r="A12631" s="12" t="s">
        <v>23755</v>
      </c>
      <c r="B12631" s="12" t="s">
        <v>434</v>
      </c>
      <c r="C12631" s="13" t="s">
        <v>435</v>
      </c>
      <c r="D12631" s="13" t="s">
        <v>92</v>
      </c>
      <c r="E12631" s="12" t="s">
        <v>35</v>
      </c>
      <c r="F12631" s="14">
        <v>200000</v>
      </c>
      <c r="G12631" s="14">
        <v>124400</v>
      </c>
      <c r="H12631" s="13" t="s">
        <v>23911</v>
      </c>
      <c r="I12631" s="40" t="s">
        <v>18</v>
      </c>
      <c r="J12631" s="40" t="str">
        <f>HYPERLINK("https://stock.pstatic.net/stock-research/company/63/20250502_company_14965000.pdf","PDF")</f>
        <v>PDF</v>
      </c>
      <c r="K12631" s="12" t="s">
        <v>23912</v>
      </c>
      <c r="L12631" s="20">
        <v>0.60771704180064312</v>
      </c>
    </row>
    <row r="12632" spans="1:12" x14ac:dyDescent="0.45">
      <c r="A12632" s="12" t="s">
        <v>23755</v>
      </c>
      <c r="B12632" s="12" t="s">
        <v>1530</v>
      </c>
      <c r="C12632" s="13" t="s">
        <v>1531</v>
      </c>
      <c r="D12632" s="13" t="s">
        <v>53</v>
      </c>
      <c r="E12632" s="12" t="s">
        <v>50</v>
      </c>
      <c r="F12632" s="14">
        <v>25000</v>
      </c>
      <c r="G12632" s="14">
        <v>22450</v>
      </c>
      <c r="H12632" s="13" t="s">
        <v>18710</v>
      </c>
      <c r="I12632" s="40" t="s">
        <v>18</v>
      </c>
      <c r="J12632" s="40" t="str">
        <f>HYPERLINK("https://stock.pstatic.net/stock-research/company/40/20250502_company_774719000.pdf","PDF")</f>
        <v>PDF</v>
      </c>
      <c r="K12632" s="12" t="s">
        <v>23913</v>
      </c>
      <c r="L12632" s="20">
        <v>0.1135857461024499</v>
      </c>
    </row>
    <row r="12633" spans="1:12" x14ac:dyDescent="0.45">
      <c r="A12633" s="12" t="s">
        <v>23755</v>
      </c>
      <c r="B12633" s="12" t="s">
        <v>3014</v>
      </c>
      <c r="C12633" s="13" t="s">
        <v>3015</v>
      </c>
      <c r="D12633" s="13" t="s">
        <v>92</v>
      </c>
      <c r="E12633" s="12" t="s">
        <v>35</v>
      </c>
      <c r="F12633" s="14">
        <v>75000</v>
      </c>
      <c r="G12633" s="14">
        <v>59300</v>
      </c>
      <c r="H12633" s="13" t="s">
        <v>23914</v>
      </c>
      <c r="I12633" s="40" t="s">
        <v>18</v>
      </c>
      <c r="J12633" s="40" t="str">
        <f>HYPERLINK("https://stock.pstatic.net/stock-research/company/63/20250502_company_874925000.pdf","PDF")</f>
        <v>PDF</v>
      </c>
      <c r="K12633" s="12" t="s">
        <v>23915</v>
      </c>
      <c r="L12633" s="20">
        <v>0.26475548060708259</v>
      </c>
    </row>
    <row r="12634" spans="1:12" x14ac:dyDescent="0.45">
      <c r="A12634" s="12" t="s">
        <v>23755</v>
      </c>
      <c r="B12634" s="12" t="s">
        <v>90</v>
      </c>
      <c r="C12634" s="13" t="s">
        <v>91</v>
      </c>
      <c r="D12634" s="13" t="s">
        <v>179</v>
      </c>
      <c r="E12634" s="12" t="s">
        <v>16</v>
      </c>
      <c r="F12634" s="14">
        <v>41000</v>
      </c>
      <c r="G12634" s="14">
        <v>20350</v>
      </c>
      <c r="H12634" s="13" t="s">
        <v>23916</v>
      </c>
      <c r="I12634" s="40" t="s">
        <v>18</v>
      </c>
      <c r="J12634" s="40" t="str">
        <f>HYPERLINK("https://stock.pstatic.net/stock-research/company/64/20250502_company_434509000.pdf","PDF")</f>
        <v>PDF</v>
      </c>
      <c r="K12634" s="12" t="s">
        <v>23917</v>
      </c>
      <c r="L12634" s="20">
        <v>1.014742014742015</v>
      </c>
    </row>
    <row r="12635" spans="1:12" x14ac:dyDescent="0.45">
      <c r="A12635" s="12" t="s">
        <v>23755</v>
      </c>
      <c r="B12635" s="12" t="s">
        <v>2378</v>
      </c>
      <c r="C12635" s="13" t="s">
        <v>2379</v>
      </c>
      <c r="D12635" s="13" t="s">
        <v>53</v>
      </c>
      <c r="E12635" s="12" t="s">
        <v>16</v>
      </c>
      <c r="F12635" s="14">
        <v>420000</v>
      </c>
      <c r="G12635" s="14">
        <v>324500</v>
      </c>
      <c r="H12635" s="13" t="s">
        <v>23918</v>
      </c>
      <c r="I12635" s="40" t="s">
        <v>18</v>
      </c>
      <c r="J12635" s="40" t="str">
        <f>HYPERLINK("https://stock.pstatic.net/stock-research/company/40/20250502_company_718626000.pdf","PDF")</f>
        <v>PDF</v>
      </c>
      <c r="K12635" s="12" t="s">
        <v>23919</v>
      </c>
      <c r="L12635" s="20">
        <v>0.29429892141756547</v>
      </c>
    </row>
    <row r="12636" spans="1:12" x14ac:dyDescent="0.45">
      <c r="A12636" s="12" t="s">
        <v>23755</v>
      </c>
      <c r="B12636" s="12" t="s">
        <v>792</v>
      </c>
      <c r="C12636" s="13" t="s">
        <v>793</v>
      </c>
      <c r="D12636" s="13" t="s">
        <v>92</v>
      </c>
      <c r="E12636" s="12" t="s">
        <v>35</v>
      </c>
      <c r="F12636" s="14">
        <v>22000</v>
      </c>
      <c r="G12636" s="14">
        <v>15260</v>
      </c>
      <c r="H12636" s="13" t="s">
        <v>23920</v>
      </c>
      <c r="I12636" s="40" t="s">
        <v>18</v>
      </c>
      <c r="J12636" s="40" t="str">
        <f>HYPERLINK("https://stock.pstatic.net/stock-research/company/63/20250502_company_3019000.pdf","PDF")</f>
        <v>PDF</v>
      </c>
      <c r="K12636" s="12" t="s">
        <v>23921</v>
      </c>
      <c r="L12636" s="20">
        <v>0.44167758846657929</v>
      </c>
    </row>
    <row r="12637" spans="1:12" x14ac:dyDescent="0.45">
      <c r="A12637" s="12" t="s">
        <v>23755</v>
      </c>
      <c r="B12637" s="12" t="s">
        <v>2365</v>
      </c>
      <c r="C12637" s="13" t="s">
        <v>2366</v>
      </c>
      <c r="D12637" s="13" t="s">
        <v>23</v>
      </c>
      <c r="E12637" s="12" t="s">
        <v>16</v>
      </c>
      <c r="F12637" s="14">
        <v>90000</v>
      </c>
      <c r="G12637" s="14">
        <v>64800</v>
      </c>
      <c r="H12637" s="13" t="s">
        <v>23006</v>
      </c>
      <c r="I12637" s="40" t="s">
        <v>18</v>
      </c>
      <c r="J12637" s="40" t="str">
        <f>HYPERLINK("https://stock.pstatic.net/stock-research/company/21/20250502_company_332356000.pdf","PDF")</f>
        <v>PDF</v>
      </c>
      <c r="K12637" s="12" t="s">
        <v>23922</v>
      </c>
      <c r="L12637" s="20">
        <v>0.3888888888888889</v>
      </c>
    </row>
    <row r="12638" spans="1:12" x14ac:dyDescent="0.45">
      <c r="A12638" s="12" t="s">
        <v>23755</v>
      </c>
      <c r="B12638" s="12" t="s">
        <v>5767</v>
      </c>
      <c r="C12638" s="13" t="s">
        <v>5768</v>
      </c>
      <c r="D12638" s="13" t="s">
        <v>23</v>
      </c>
      <c r="E12638" s="12" t="s">
        <v>16</v>
      </c>
      <c r="F12638" s="14">
        <v>35000</v>
      </c>
      <c r="G12638" s="14">
        <v>27600</v>
      </c>
      <c r="H12638" s="13" t="s">
        <v>23923</v>
      </c>
      <c r="I12638" s="40" t="s">
        <v>18</v>
      </c>
      <c r="J12638" s="40" t="str">
        <f>HYPERLINK("https://stock.pstatic.net/stock-research/company/21/20250502_company_791985000.pdf","PDF")</f>
        <v>PDF</v>
      </c>
      <c r="K12638" s="12" t="s">
        <v>23924</v>
      </c>
      <c r="L12638" s="20">
        <v>0.26811594202898548</v>
      </c>
    </row>
    <row r="12639" spans="1:12" x14ac:dyDescent="0.45">
      <c r="A12639" s="12" t="s">
        <v>23755</v>
      </c>
      <c r="B12639" s="12" t="s">
        <v>2978</v>
      </c>
      <c r="C12639" s="13" t="s">
        <v>2979</v>
      </c>
      <c r="D12639" s="13" t="s">
        <v>23</v>
      </c>
      <c r="E12639" s="12" t="s">
        <v>16</v>
      </c>
      <c r="F12639" s="14">
        <v>13300</v>
      </c>
      <c r="G12639" s="14">
        <v>7720</v>
      </c>
      <c r="H12639" s="13" t="s">
        <v>23925</v>
      </c>
      <c r="I12639" s="40" t="s">
        <v>18</v>
      </c>
      <c r="J12639" s="40" t="str">
        <f>HYPERLINK("https://stock.pstatic.net/stock-research/company/21/20250502_company_61060000.pdf","PDF")</f>
        <v>PDF</v>
      </c>
      <c r="K12639" s="12" t="s">
        <v>23926</v>
      </c>
      <c r="L12639" s="20">
        <v>0.72279792746113991</v>
      </c>
    </row>
    <row r="12640" spans="1:12" x14ac:dyDescent="0.45">
      <c r="A12640" s="12" t="s">
        <v>23755</v>
      </c>
      <c r="B12640" s="12" t="s">
        <v>174</v>
      </c>
      <c r="C12640" s="13" t="s">
        <v>44</v>
      </c>
      <c r="D12640" s="13" t="s">
        <v>179</v>
      </c>
      <c r="E12640" s="12" t="s">
        <v>16</v>
      </c>
      <c r="F12640" s="14">
        <v>157000</v>
      </c>
      <c r="G12640" s="14">
        <v>132400</v>
      </c>
      <c r="H12640" s="13" t="s">
        <v>23927</v>
      </c>
      <c r="I12640" s="40" t="s">
        <v>18</v>
      </c>
      <c r="J12640" s="40" t="str">
        <f>HYPERLINK("https://stock.pstatic.net/stock-research/company/64/20250502_company_577435000.pdf","PDF")</f>
        <v>PDF</v>
      </c>
      <c r="K12640" s="12" t="s">
        <v>23928</v>
      </c>
      <c r="L12640" s="20">
        <v>0.18580060422960731</v>
      </c>
    </row>
    <row r="12641" spans="1:12" x14ac:dyDescent="0.45">
      <c r="A12641" s="12" t="s">
        <v>23755</v>
      </c>
      <c r="B12641" s="12" t="s">
        <v>72</v>
      </c>
      <c r="C12641" s="13" t="s">
        <v>73</v>
      </c>
      <c r="D12641" s="13" t="s">
        <v>92</v>
      </c>
      <c r="E12641" s="12" t="s">
        <v>35</v>
      </c>
      <c r="F12641" s="14">
        <v>190000</v>
      </c>
      <c r="G12641" s="14">
        <v>122400</v>
      </c>
      <c r="H12641" s="13" t="s">
        <v>23929</v>
      </c>
      <c r="I12641" s="40" t="s">
        <v>18</v>
      </c>
      <c r="J12641" s="40" t="str">
        <f>HYPERLINK("https://stock.pstatic.net/stock-research/company/63/20250502_company_752365000.pdf","PDF")</f>
        <v>PDF</v>
      </c>
      <c r="K12641" s="12" t="s">
        <v>23930</v>
      </c>
      <c r="L12641" s="20">
        <v>0.55228758169934644</v>
      </c>
    </row>
    <row r="12642" spans="1:12" x14ac:dyDescent="0.45">
      <c r="A12642" s="12" t="s">
        <v>23755</v>
      </c>
      <c r="B12642" s="12" t="s">
        <v>3138</v>
      </c>
      <c r="C12642" s="13" t="s">
        <v>3139</v>
      </c>
      <c r="D12642" s="13" t="s">
        <v>92</v>
      </c>
      <c r="E12642" s="12" t="s">
        <v>35</v>
      </c>
      <c r="F12642" s="14">
        <v>16000</v>
      </c>
      <c r="G12642" s="14">
        <v>8540</v>
      </c>
      <c r="H12642" s="13" t="s">
        <v>23931</v>
      </c>
      <c r="I12642" s="40" t="s">
        <v>18</v>
      </c>
      <c r="J12642" s="40" t="str">
        <f>HYPERLINK("https://stock.pstatic.net/stock-research/company/63/20250502_company_920971000.pdf","PDF")</f>
        <v>PDF</v>
      </c>
      <c r="K12642" s="12" t="s">
        <v>23932</v>
      </c>
      <c r="L12642" s="20">
        <v>0.87353629976580793</v>
      </c>
    </row>
    <row r="12643" spans="1:12" x14ac:dyDescent="0.45">
      <c r="A12643" s="12" t="s">
        <v>23755</v>
      </c>
      <c r="B12643" s="12" t="s">
        <v>2887</v>
      </c>
      <c r="C12643" s="13" t="s">
        <v>2888</v>
      </c>
      <c r="D12643" s="13" t="s">
        <v>23</v>
      </c>
      <c r="E12643" s="12" t="s">
        <v>16</v>
      </c>
      <c r="F12643" s="14">
        <v>300000</v>
      </c>
      <c r="G12643" s="14">
        <v>216000</v>
      </c>
      <c r="H12643" s="13" t="s">
        <v>23933</v>
      </c>
      <c r="I12643" s="40" t="s">
        <v>18</v>
      </c>
      <c r="J12643" s="40" t="str">
        <f>HYPERLINK("https://stock.pstatic.net/stock-research/company/21/20250502_company_681887000.pdf","PDF")</f>
        <v>PDF</v>
      </c>
      <c r="K12643" s="12" t="s">
        <v>23934</v>
      </c>
      <c r="L12643" s="20">
        <v>0.3888888888888889</v>
      </c>
    </row>
    <row r="12644" spans="1:12" x14ac:dyDescent="0.45">
      <c r="A12644" s="12" t="s">
        <v>23755</v>
      </c>
      <c r="B12644" s="12" t="s">
        <v>2378</v>
      </c>
      <c r="C12644" s="13" t="s">
        <v>2379</v>
      </c>
      <c r="D12644" s="13" t="s">
        <v>23</v>
      </c>
      <c r="E12644" s="12" t="s">
        <v>16</v>
      </c>
      <c r="F12644" s="14">
        <v>410000</v>
      </c>
      <c r="G12644" s="14">
        <v>324500</v>
      </c>
      <c r="H12644" s="13" t="s">
        <v>23935</v>
      </c>
      <c r="I12644" s="40" t="s">
        <v>18</v>
      </c>
      <c r="J12644" s="40" t="str">
        <f>HYPERLINK("https://stock.pstatic.net/stock-research/company/21/20250502_company_759073000.pdf","PDF")</f>
        <v>PDF</v>
      </c>
      <c r="K12644" s="12" t="s">
        <v>23936</v>
      </c>
      <c r="L12644" s="20">
        <v>0.26348228043143301</v>
      </c>
    </row>
    <row r="12645" spans="1:12" x14ac:dyDescent="0.45">
      <c r="A12645" s="12" t="s">
        <v>23755</v>
      </c>
      <c r="B12645" s="12" t="s">
        <v>752</v>
      </c>
      <c r="C12645" s="13" t="s">
        <v>753</v>
      </c>
      <c r="D12645" s="13" t="s">
        <v>179</v>
      </c>
      <c r="E12645" s="12" t="s">
        <v>16</v>
      </c>
      <c r="F12645" s="14">
        <v>85000</v>
      </c>
      <c r="G12645" s="14">
        <v>49550</v>
      </c>
      <c r="H12645" s="13" t="s">
        <v>23937</v>
      </c>
      <c r="I12645" s="40" t="s">
        <v>18</v>
      </c>
      <c r="J12645" s="40" t="str">
        <f>HYPERLINK("https://stock.pstatic.net/stock-research/company/64/20250502_company_321662000.pdf","PDF")</f>
        <v>PDF</v>
      </c>
      <c r="K12645" s="12" t="s">
        <v>23938</v>
      </c>
      <c r="L12645" s="20">
        <v>0.71543895055499496</v>
      </c>
    </row>
    <row r="12646" spans="1:12" x14ac:dyDescent="0.45">
      <c r="A12646" s="12" t="s">
        <v>23755</v>
      </c>
      <c r="B12646" s="12" t="s">
        <v>3749</v>
      </c>
      <c r="C12646" s="13" t="s">
        <v>3750</v>
      </c>
      <c r="D12646" s="13" t="s">
        <v>34</v>
      </c>
      <c r="E12646" s="12" t="s">
        <v>35</v>
      </c>
      <c r="F12646" s="14">
        <v>160000</v>
      </c>
      <c r="G12646" s="14">
        <v>114000</v>
      </c>
      <c r="H12646" s="13" t="s">
        <v>23939</v>
      </c>
      <c r="I12646" s="40" t="s">
        <v>18</v>
      </c>
      <c r="J12646" s="40" t="str">
        <f>HYPERLINK("https://stock.pstatic.net/stock-research/company/61/20250502_company_970231000.pdf","PDF")</f>
        <v>PDF</v>
      </c>
      <c r="K12646" s="12" t="s">
        <v>23940</v>
      </c>
      <c r="L12646" s="20">
        <v>0.40350877192982448</v>
      </c>
    </row>
    <row r="12647" spans="1:12" x14ac:dyDescent="0.45">
      <c r="A12647" s="12" t="s">
        <v>23755</v>
      </c>
      <c r="B12647" s="12" t="s">
        <v>1548</v>
      </c>
      <c r="C12647" s="13" t="s">
        <v>1549</v>
      </c>
      <c r="D12647" s="13" t="s">
        <v>23</v>
      </c>
      <c r="E12647" s="12" t="s">
        <v>16</v>
      </c>
      <c r="F12647" s="14">
        <v>920000</v>
      </c>
      <c r="G12647" s="14">
        <v>797000</v>
      </c>
      <c r="H12647" s="13" t="s">
        <v>23941</v>
      </c>
      <c r="I12647" s="40" t="s">
        <v>18</v>
      </c>
      <c r="J12647" s="40" t="str">
        <f>HYPERLINK("https://stock.pstatic.net/stock-research/company/21/20250502_company_317587000.pdf","PDF")</f>
        <v>PDF</v>
      </c>
      <c r="K12647" s="12" t="s">
        <v>23942</v>
      </c>
      <c r="L12647" s="20">
        <v>0.15432873274780429</v>
      </c>
    </row>
    <row r="12648" spans="1:12" x14ac:dyDescent="0.45">
      <c r="A12648" s="12" t="s">
        <v>23755</v>
      </c>
      <c r="B12648" s="12" t="s">
        <v>2266</v>
      </c>
      <c r="C12648" s="13" t="s">
        <v>2267</v>
      </c>
      <c r="D12648" s="13" t="s">
        <v>23</v>
      </c>
      <c r="E12648" s="12" t="s">
        <v>16</v>
      </c>
      <c r="F12648" s="14">
        <v>92000</v>
      </c>
      <c r="G12648" s="14">
        <v>82800</v>
      </c>
      <c r="H12648" s="13" t="s">
        <v>23943</v>
      </c>
      <c r="I12648" s="40" t="s">
        <v>18</v>
      </c>
      <c r="J12648" s="40" t="str">
        <f>HYPERLINK("https://stock.pstatic.net/stock-research/company/21/20250502_company_389724000.pdf","PDF")</f>
        <v>PDF</v>
      </c>
      <c r="K12648" s="12" t="s">
        <v>23944</v>
      </c>
      <c r="L12648" s="20">
        <v>0.1111111111111111</v>
      </c>
    </row>
    <row r="12649" spans="1:12" x14ac:dyDescent="0.45">
      <c r="A12649" s="12" t="s">
        <v>23755</v>
      </c>
      <c r="B12649" s="12" t="s">
        <v>3395</v>
      </c>
      <c r="C12649" s="13" t="s">
        <v>3396</v>
      </c>
      <c r="D12649" s="13" t="s">
        <v>92</v>
      </c>
      <c r="E12649" s="12" t="s">
        <v>35</v>
      </c>
      <c r="F12649" s="14">
        <v>21000</v>
      </c>
      <c r="G12649" s="14">
        <v>13800</v>
      </c>
      <c r="H12649" s="13" t="s">
        <v>23945</v>
      </c>
      <c r="I12649" s="40" t="s">
        <v>18</v>
      </c>
      <c r="J12649" s="40" t="str">
        <f>HYPERLINK("https://stock.pstatic.net/stock-research/company/63/20250502_company_474755000.pdf","PDF")</f>
        <v>PDF</v>
      </c>
      <c r="K12649" s="12" t="s">
        <v>23946</v>
      </c>
      <c r="L12649" s="20">
        <v>0.52173913043478259</v>
      </c>
    </row>
    <row r="12650" spans="1:12" x14ac:dyDescent="0.45">
      <c r="A12650" s="12" t="s">
        <v>23755</v>
      </c>
      <c r="B12650" s="12" t="s">
        <v>489</v>
      </c>
      <c r="C12650" s="13" t="s">
        <v>490</v>
      </c>
      <c r="D12650" s="13" t="s">
        <v>92</v>
      </c>
      <c r="E12650" s="12" t="s">
        <v>35</v>
      </c>
      <c r="F12650" s="14">
        <v>31000</v>
      </c>
      <c r="G12650" s="14">
        <v>23100</v>
      </c>
      <c r="H12650" s="13" t="s">
        <v>23947</v>
      </c>
      <c r="I12650" s="40" t="s">
        <v>18</v>
      </c>
      <c r="J12650" s="40" t="str">
        <f>HYPERLINK("https://stock.pstatic.net/stock-research/company/63/20250502_company_22974000.pdf","PDF")</f>
        <v>PDF</v>
      </c>
      <c r="K12650" s="12" t="s">
        <v>23948</v>
      </c>
      <c r="L12650" s="20">
        <v>0.34199134199134201</v>
      </c>
    </row>
    <row r="12651" spans="1:12" x14ac:dyDescent="0.45">
      <c r="A12651" s="12" t="s">
        <v>23755</v>
      </c>
      <c r="B12651" s="12" t="s">
        <v>1530</v>
      </c>
      <c r="C12651" s="13" t="s">
        <v>1531</v>
      </c>
      <c r="D12651" s="13" t="s">
        <v>44</v>
      </c>
      <c r="E12651" s="12" t="s">
        <v>45</v>
      </c>
      <c r="F12651" s="14">
        <v>26000</v>
      </c>
      <c r="G12651" s="14">
        <v>22450</v>
      </c>
      <c r="H12651" s="13" t="s">
        <v>23949</v>
      </c>
      <c r="I12651" s="40" t="s">
        <v>18</v>
      </c>
      <c r="J12651" s="40" t="str">
        <f>HYPERLINK("https://stock.pstatic.net/stock-research/company/39/20250502_company_803706000.pdf","PDF")</f>
        <v>PDF</v>
      </c>
      <c r="K12651" s="12" t="s">
        <v>23950</v>
      </c>
      <c r="L12651" s="20">
        <v>0.15812917594654791</v>
      </c>
    </row>
    <row r="12652" spans="1:12" x14ac:dyDescent="0.45">
      <c r="A12652" s="12" t="s">
        <v>23755</v>
      </c>
      <c r="B12652" s="12" t="s">
        <v>434</v>
      </c>
      <c r="C12652" s="13" t="s">
        <v>435</v>
      </c>
      <c r="D12652" s="13" t="s">
        <v>23</v>
      </c>
      <c r="E12652" s="12" t="s">
        <v>16</v>
      </c>
      <c r="F12652" s="14">
        <v>185000</v>
      </c>
      <c r="G12652" s="14">
        <v>124400</v>
      </c>
      <c r="H12652" s="13" t="s">
        <v>23951</v>
      </c>
      <c r="I12652" s="40" t="s">
        <v>18</v>
      </c>
      <c r="J12652" s="40" t="str">
        <f>HYPERLINK("https://stock.pstatic.net/stock-research/company/21/20250502_company_509716000.pdf","PDF")</f>
        <v>PDF</v>
      </c>
      <c r="K12652" s="12" t="s">
        <v>23952</v>
      </c>
      <c r="L12652" s="20">
        <v>0.48713826366559487</v>
      </c>
    </row>
    <row r="12653" spans="1:12" x14ac:dyDescent="0.45">
      <c r="A12653" s="12" t="s">
        <v>23755</v>
      </c>
      <c r="B12653" s="12" t="s">
        <v>174</v>
      </c>
      <c r="C12653" s="13" t="s">
        <v>44</v>
      </c>
      <c r="D12653" s="13" t="s">
        <v>23</v>
      </c>
      <c r="E12653" s="12" t="s">
        <v>16</v>
      </c>
      <c r="F12653" s="14">
        <v>156000</v>
      </c>
      <c r="G12653" s="14">
        <v>137000</v>
      </c>
      <c r="H12653" s="13" t="s">
        <v>23561</v>
      </c>
      <c r="I12653" s="40" t="s">
        <v>18</v>
      </c>
      <c r="J12653" s="40" t="str">
        <f>HYPERLINK("https://stock.pstatic.net/stock-research/company/21/20250502_company_680345000.pdf","PDF")</f>
        <v>PDF</v>
      </c>
      <c r="K12653" s="12" t="s">
        <v>23953</v>
      </c>
      <c r="L12653" s="20">
        <v>0.13868613138686131</v>
      </c>
    </row>
    <row r="12654" spans="1:12" x14ac:dyDescent="0.45">
      <c r="A12654" s="12" t="s">
        <v>23755</v>
      </c>
      <c r="B12654" s="12" t="s">
        <v>1690</v>
      </c>
      <c r="C12654" s="13" t="s">
        <v>1691</v>
      </c>
      <c r="D12654" s="13" t="s">
        <v>23</v>
      </c>
      <c r="E12654" s="12" t="s">
        <v>16</v>
      </c>
      <c r="F12654" s="14">
        <v>120000</v>
      </c>
      <c r="G12654" s="14">
        <v>94400</v>
      </c>
      <c r="H12654" s="13" t="s">
        <v>23954</v>
      </c>
      <c r="I12654" s="40" t="s">
        <v>18</v>
      </c>
      <c r="J12654" s="40" t="str">
        <f>HYPERLINK("https://stock.pstatic.net/stock-research/company/21/20250502_company_203121000.pdf","PDF")</f>
        <v>PDF</v>
      </c>
      <c r="K12654" s="12" t="s">
        <v>23955</v>
      </c>
      <c r="L12654" s="20">
        <v>0.2711864406779661</v>
      </c>
    </row>
    <row r="12655" spans="1:12" x14ac:dyDescent="0.45">
      <c r="A12655" s="12" t="s">
        <v>23755</v>
      </c>
      <c r="B12655" s="12" t="s">
        <v>1548</v>
      </c>
      <c r="C12655" s="13" t="s">
        <v>1549</v>
      </c>
      <c r="D12655" s="13" t="s">
        <v>44</v>
      </c>
      <c r="E12655" s="12" t="s">
        <v>35</v>
      </c>
      <c r="F12655" s="14">
        <v>1000000</v>
      </c>
      <c r="G12655" s="14">
        <v>797000</v>
      </c>
      <c r="H12655" s="13" t="s">
        <v>23956</v>
      </c>
      <c r="I12655" s="40" t="s">
        <v>18</v>
      </c>
      <c r="J12655" s="40" t="str">
        <f>HYPERLINK("https://stock.pstatic.net/stock-research/company/39/20250502_company_746226000.pdf","PDF")</f>
        <v>PDF</v>
      </c>
      <c r="K12655" s="12" t="s">
        <v>23957</v>
      </c>
      <c r="L12655" s="20">
        <v>0.25470514429109159</v>
      </c>
    </row>
    <row r="12656" spans="1:12" x14ac:dyDescent="0.45">
      <c r="A12656" s="12" t="s">
        <v>23755</v>
      </c>
      <c r="B12656" s="12" t="s">
        <v>1530</v>
      </c>
      <c r="C12656" s="13" t="s">
        <v>1531</v>
      </c>
      <c r="D12656" s="13" t="s">
        <v>23</v>
      </c>
      <c r="E12656" s="12" t="s">
        <v>50</v>
      </c>
      <c r="F12656" s="14">
        <v>22000</v>
      </c>
      <c r="G12656" s="14">
        <v>22450</v>
      </c>
      <c r="H12656" s="13" t="s">
        <v>23958</v>
      </c>
      <c r="I12656" s="40" t="s">
        <v>18</v>
      </c>
      <c r="J12656" s="40" t="str">
        <f>HYPERLINK("https://stock.pstatic.net/stock-research/company/21/20250502_company_684782000.pdf","PDF")</f>
        <v>PDF</v>
      </c>
      <c r="K12656" s="12" t="s">
        <v>23959</v>
      </c>
      <c r="L12656" s="20">
        <v>-2.0044543429844099E-2</v>
      </c>
    </row>
    <row r="12657" spans="1:12" x14ac:dyDescent="0.45">
      <c r="A12657" s="12" t="s">
        <v>23755</v>
      </c>
      <c r="B12657" s="12" t="s">
        <v>434</v>
      </c>
      <c r="C12657" s="13" t="s">
        <v>435</v>
      </c>
      <c r="D12657" s="13" t="s">
        <v>44</v>
      </c>
      <c r="E12657" s="12" t="s">
        <v>35</v>
      </c>
      <c r="F12657" s="14">
        <v>170000</v>
      </c>
      <c r="G12657" s="14">
        <v>124400</v>
      </c>
      <c r="H12657" s="13" t="s">
        <v>23960</v>
      </c>
      <c r="I12657" s="40" t="s">
        <v>18</v>
      </c>
      <c r="J12657" s="40" t="str">
        <f>HYPERLINK("https://stock.pstatic.net/stock-research/company/39/20250502_company_646294000.pdf","PDF")</f>
        <v>PDF</v>
      </c>
      <c r="K12657" s="12" t="s">
        <v>23961</v>
      </c>
      <c r="L12657" s="20">
        <v>0.36655948553054662</v>
      </c>
    </row>
    <row r="12658" spans="1:12" x14ac:dyDescent="0.45">
      <c r="A12658" s="12" t="s">
        <v>23755</v>
      </c>
      <c r="B12658" s="12" t="s">
        <v>1548</v>
      </c>
      <c r="C12658" s="13" t="s">
        <v>1549</v>
      </c>
      <c r="D12658" s="13" t="s">
        <v>34</v>
      </c>
      <c r="E12658" s="12" t="s">
        <v>35</v>
      </c>
      <c r="F12658" s="14">
        <v>980000</v>
      </c>
      <c r="G12658" s="14">
        <v>797000</v>
      </c>
      <c r="H12658" s="13" t="s">
        <v>23962</v>
      </c>
      <c r="I12658" s="40" t="s">
        <v>18</v>
      </c>
      <c r="J12658" s="40" t="str">
        <f>HYPERLINK("https://stock.pstatic.net/stock-research/company/61/20250502_company_487271000.pdf","PDF")</f>
        <v>PDF</v>
      </c>
      <c r="K12658" s="12" t="s">
        <v>23963</v>
      </c>
      <c r="L12658" s="20">
        <v>0.22961104140526981</v>
      </c>
    </row>
    <row r="12659" spans="1:12" x14ac:dyDescent="0.45">
      <c r="A12659" s="12" t="s">
        <v>23755</v>
      </c>
      <c r="B12659" s="12" t="s">
        <v>1690</v>
      </c>
      <c r="C12659" s="13" t="s">
        <v>1691</v>
      </c>
      <c r="D12659" s="13" t="s">
        <v>34</v>
      </c>
      <c r="E12659" s="12" t="s">
        <v>35</v>
      </c>
      <c r="F12659" s="14">
        <v>130000</v>
      </c>
      <c r="G12659" s="14">
        <v>94400</v>
      </c>
      <c r="H12659" s="13" t="s">
        <v>23964</v>
      </c>
      <c r="I12659" s="40" t="s">
        <v>18</v>
      </c>
      <c r="J12659" s="40" t="str">
        <f>HYPERLINK("https://stock.pstatic.net/stock-research/company/61/20250502_company_972856000.pdf","PDF")</f>
        <v>PDF</v>
      </c>
      <c r="K12659" s="12" t="s">
        <v>23965</v>
      </c>
      <c r="L12659" s="20">
        <v>0.3771186440677966</v>
      </c>
    </row>
    <row r="12660" spans="1:12" x14ac:dyDescent="0.45">
      <c r="A12660" s="12" t="s">
        <v>23755</v>
      </c>
      <c r="B12660" s="12" t="s">
        <v>3113</v>
      </c>
      <c r="C12660" s="13" t="s">
        <v>3114</v>
      </c>
      <c r="D12660" s="13" t="s">
        <v>23</v>
      </c>
      <c r="E12660" s="12" t="s">
        <v>16</v>
      </c>
      <c r="F12660" s="14">
        <v>37000</v>
      </c>
      <c r="G12660" s="14">
        <v>26550</v>
      </c>
      <c r="H12660" s="13" t="s">
        <v>23966</v>
      </c>
      <c r="I12660" s="40" t="s">
        <v>18</v>
      </c>
      <c r="J12660" s="40" t="str">
        <f>HYPERLINK("https://stock.pstatic.net/stock-research/company/21/20250502_company_312599000.pdf","PDF")</f>
        <v>PDF</v>
      </c>
      <c r="K12660" s="12" t="s">
        <v>23967</v>
      </c>
      <c r="L12660" s="20">
        <v>0.3935969868173258</v>
      </c>
    </row>
    <row r="12661" spans="1:12" x14ac:dyDescent="0.45">
      <c r="A12661" s="12" t="s">
        <v>23755</v>
      </c>
      <c r="B12661" s="12" t="s">
        <v>2378</v>
      </c>
      <c r="C12661" s="13" t="s">
        <v>2379</v>
      </c>
      <c r="D12661" s="13" t="s">
        <v>34</v>
      </c>
      <c r="E12661" s="12" t="s">
        <v>35</v>
      </c>
      <c r="F12661" s="14">
        <v>450000</v>
      </c>
      <c r="G12661" s="14">
        <v>324500</v>
      </c>
      <c r="H12661" s="13" t="s">
        <v>23968</v>
      </c>
      <c r="I12661" s="40" t="s">
        <v>18</v>
      </c>
      <c r="J12661" s="40" t="str">
        <f>HYPERLINK("https://stock.pstatic.net/stock-research/company/61/20250502_company_664078000.pdf","PDF")</f>
        <v>PDF</v>
      </c>
      <c r="K12661" s="12" t="s">
        <v>23969</v>
      </c>
      <c r="L12661" s="20">
        <v>0.38674884437596302</v>
      </c>
    </row>
    <row r="12662" spans="1:12" x14ac:dyDescent="0.45">
      <c r="A12662" s="12" t="s">
        <v>23755</v>
      </c>
      <c r="B12662" s="12" t="s">
        <v>3548</v>
      </c>
      <c r="C12662" s="13" t="s">
        <v>3549</v>
      </c>
      <c r="D12662" s="13" t="s">
        <v>23</v>
      </c>
      <c r="E12662" s="12" t="s">
        <v>16</v>
      </c>
      <c r="F12662" s="14">
        <v>59000</v>
      </c>
      <c r="G12662" s="14">
        <v>42800</v>
      </c>
      <c r="H12662" s="13" t="s">
        <v>23970</v>
      </c>
      <c r="I12662" s="40" t="s">
        <v>18</v>
      </c>
      <c r="J12662" s="40" t="str">
        <f>HYPERLINK("https://stock.pstatic.net/stock-research/company/21/20250502_company_483347000.pdf","PDF")</f>
        <v>PDF</v>
      </c>
      <c r="K12662" s="12" t="s">
        <v>23971</v>
      </c>
      <c r="L12662" s="20">
        <v>0.37850467289719619</v>
      </c>
    </row>
    <row r="12663" spans="1:12" x14ac:dyDescent="0.45">
      <c r="A12663" s="12" t="s">
        <v>23755</v>
      </c>
      <c r="B12663" s="12" t="s">
        <v>2365</v>
      </c>
      <c r="C12663" s="13" t="s">
        <v>2366</v>
      </c>
      <c r="D12663" s="13" t="s">
        <v>34</v>
      </c>
      <c r="E12663" s="12" t="s">
        <v>35</v>
      </c>
      <c r="F12663" s="14">
        <v>100000</v>
      </c>
      <c r="G12663" s="14">
        <v>64800</v>
      </c>
      <c r="H12663" s="13" t="s">
        <v>23972</v>
      </c>
      <c r="I12663" s="40" t="s">
        <v>18</v>
      </c>
      <c r="J12663" s="40" t="str">
        <f>HYPERLINK("https://stock.pstatic.net/stock-research/company/61/20250502_company_261548000.pdf","PDF")</f>
        <v>PDF</v>
      </c>
      <c r="K12663" s="12" t="s">
        <v>23973</v>
      </c>
      <c r="L12663" s="20">
        <v>0.54320987654320985</v>
      </c>
    </row>
    <row r="12664" spans="1:12" x14ac:dyDescent="0.45">
      <c r="A12664" s="12" t="s">
        <v>23755</v>
      </c>
      <c r="B12664" s="12" t="s">
        <v>13</v>
      </c>
      <c r="C12664" s="13" t="s">
        <v>14</v>
      </c>
      <c r="D12664" s="13" t="s">
        <v>34</v>
      </c>
      <c r="E12664" s="12" t="s">
        <v>35</v>
      </c>
      <c r="F12664" s="14">
        <v>70000</v>
      </c>
      <c r="G12664" s="14">
        <v>55500</v>
      </c>
      <c r="H12664" s="13" t="s">
        <v>23974</v>
      </c>
      <c r="I12664" s="40" t="s">
        <v>18</v>
      </c>
      <c r="J12664" s="40" t="str">
        <f>HYPERLINK("https://stock.pstatic.net/stock-research/company/61/20250502_company_64300000.pdf","PDF")</f>
        <v>PDF</v>
      </c>
      <c r="K12664" s="12" t="s">
        <v>23975</v>
      </c>
      <c r="L12664" s="20">
        <v>0.26126126126126131</v>
      </c>
    </row>
    <row r="12665" spans="1:12" x14ac:dyDescent="0.45">
      <c r="A12665" s="12" t="s">
        <v>23755</v>
      </c>
      <c r="B12665" s="12" t="s">
        <v>3014</v>
      </c>
      <c r="C12665" s="13" t="s">
        <v>3015</v>
      </c>
      <c r="D12665" s="13" t="s">
        <v>34</v>
      </c>
      <c r="E12665" s="12" t="s">
        <v>35</v>
      </c>
      <c r="F12665" s="14">
        <v>77000</v>
      </c>
      <c r="G12665" s="14">
        <v>59300</v>
      </c>
      <c r="H12665" s="13" t="s">
        <v>23976</v>
      </c>
      <c r="I12665" s="40" t="s">
        <v>18</v>
      </c>
      <c r="J12665" s="40" t="str">
        <f>HYPERLINK("https://stock.pstatic.net/stock-research/company/61/20250502_company_404043000.pdf","PDF")</f>
        <v>PDF</v>
      </c>
      <c r="K12665" s="12" t="s">
        <v>23977</v>
      </c>
      <c r="L12665" s="20">
        <v>0.29848229342327148</v>
      </c>
    </row>
    <row r="12666" spans="1:12" x14ac:dyDescent="0.45">
      <c r="A12666" s="12" t="s">
        <v>23755</v>
      </c>
      <c r="B12666" s="12" t="s">
        <v>1936</v>
      </c>
      <c r="C12666" s="13" t="s">
        <v>1937</v>
      </c>
      <c r="D12666" s="13" t="s">
        <v>23</v>
      </c>
      <c r="E12666" s="12" t="s">
        <v>16</v>
      </c>
      <c r="F12666" s="14">
        <v>8000</v>
      </c>
      <c r="G12666" s="14">
        <v>5410</v>
      </c>
      <c r="H12666" s="13" t="s">
        <v>23978</v>
      </c>
      <c r="I12666" s="40" t="s">
        <v>18</v>
      </c>
      <c r="J12666" s="40" t="str">
        <f>HYPERLINK("https://stock.pstatic.net/stock-research/company/21/20250502_company_9419000.pdf","PDF")</f>
        <v>PDF</v>
      </c>
      <c r="K12666" s="12" t="s">
        <v>23979</v>
      </c>
      <c r="L12666" s="20">
        <v>0.47874306839186692</v>
      </c>
    </row>
    <row r="12667" spans="1:12" x14ac:dyDescent="0.45">
      <c r="A12667" s="12" t="s">
        <v>23755</v>
      </c>
      <c r="B12667" s="12" t="s">
        <v>13</v>
      </c>
      <c r="C12667" s="13" t="s">
        <v>14</v>
      </c>
      <c r="D12667" s="13" t="s">
        <v>23</v>
      </c>
      <c r="E12667" s="12" t="s">
        <v>16</v>
      </c>
      <c r="F12667" s="14">
        <v>77000</v>
      </c>
      <c r="G12667" s="14">
        <v>55500</v>
      </c>
      <c r="H12667" s="13" t="s">
        <v>23980</v>
      </c>
      <c r="I12667" s="40" t="s">
        <v>18</v>
      </c>
      <c r="J12667" s="40" t="str">
        <f>HYPERLINK("https://stock.pstatic.net/stock-research/company/21/20250502_company_250718000.pdf","PDF")</f>
        <v>PDF</v>
      </c>
      <c r="K12667" s="12" t="s">
        <v>23981</v>
      </c>
      <c r="L12667" s="20">
        <v>0.38738738738738743</v>
      </c>
    </row>
    <row r="12668" spans="1:12" x14ac:dyDescent="0.45">
      <c r="A12668" s="12" t="s">
        <v>23755</v>
      </c>
      <c r="B12668" s="12" t="s">
        <v>2950</v>
      </c>
      <c r="C12668" s="13" t="s">
        <v>2951</v>
      </c>
      <c r="D12668" s="13" t="s">
        <v>23</v>
      </c>
      <c r="E12668" s="12" t="s">
        <v>16</v>
      </c>
      <c r="F12668" s="14">
        <v>40000</v>
      </c>
      <c r="G12668" s="14">
        <v>28950</v>
      </c>
      <c r="H12668" s="13" t="s">
        <v>23982</v>
      </c>
      <c r="I12668" s="40" t="s">
        <v>18</v>
      </c>
      <c r="J12668" s="40" t="str">
        <f>HYPERLINK("https://stock.pstatic.net/stock-research/company/21/20250502_company_524923000.pdf","PDF")</f>
        <v>PDF</v>
      </c>
      <c r="K12668" s="12" t="s">
        <v>23983</v>
      </c>
      <c r="L12668" s="20">
        <v>0.38169257340241802</v>
      </c>
    </row>
    <row r="12669" spans="1:12" x14ac:dyDescent="0.45">
      <c r="A12669" s="12" t="s">
        <v>23755</v>
      </c>
      <c r="B12669" s="12" t="s">
        <v>792</v>
      </c>
      <c r="C12669" s="13" t="s">
        <v>793</v>
      </c>
      <c r="D12669" s="13" t="s">
        <v>23</v>
      </c>
      <c r="E12669" s="12" t="s">
        <v>16</v>
      </c>
      <c r="F12669" s="14">
        <v>23000</v>
      </c>
      <c r="G12669" s="14">
        <v>15260</v>
      </c>
      <c r="H12669" s="13" t="s">
        <v>23984</v>
      </c>
      <c r="I12669" s="40" t="s">
        <v>18</v>
      </c>
      <c r="J12669" s="40" t="str">
        <f>HYPERLINK("https://stock.pstatic.net/stock-research/company/21/20250502_company_257637000.pdf","PDF")</f>
        <v>PDF</v>
      </c>
      <c r="K12669" s="12" t="s">
        <v>23985</v>
      </c>
      <c r="L12669" s="20">
        <v>0.50720838794233292</v>
      </c>
    </row>
    <row r="12670" spans="1:12" x14ac:dyDescent="0.45">
      <c r="A12670" s="12" t="s">
        <v>23755</v>
      </c>
      <c r="B12670" s="12" t="s">
        <v>3014</v>
      </c>
      <c r="C12670" s="13" t="s">
        <v>3015</v>
      </c>
      <c r="D12670" s="13" t="s">
        <v>23</v>
      </c>
      <c r="E12670" s="12" t="s">
        <v>16</v>
      </c>
      <c r="F12670" s="14">
        <v>85000</v>
      </c>
      <c r="G12670" s="14">
        <v>59300</v>
      </c>
      <c r="H12670" s="13" t="s">
        <v>23986</v>
      </c>
      <c r="I12670" s="40" t="s">
        <v>18</v>
      </c>
      <c r="J12670" s="40" t="str">
        <f>HYPERLINK("https://stock.pstatic.net/stock-research/company/21/20250502_company_102552000.pdf","PDF")</f>
        <v>PDF</v>
      </c>
      <c r="K12670" s="12" t="s">
        <v>23987</v>
      </c>
      <c r="L12670" s="20">
        <v>0.43338954468802698</v>
      </c>
    </row>
    <row r="12671" spans="1:12" x14ac:dyDescent="0.45">
      <c r="A12671" s="12" t="s">
        <v>23755</v>
      </c>
      <c r="B12671" s="12" t="s">
        <v>13</v>
      </c>
      <c r="C12671" s="13" t="s">
        <v>14</v>
      </c>
      <c r="D12671" s="13" t="s">
        <v>53</v>
      </c>
      <c r="E12671" s="12" t="s">
        <v>16</v>
      </c>
      <c r="F12671" s="14">
        <v>75000</v>
      </c>
      <c r="G12671" s="14">
        <v>55500</v>
      </c>
      <c r="H12671" s="13" t="s">
        <v>23988</v>
      </c>
      <c r="I12671" s="40" t="s">
        <v>18</v>
      </c>
      <c r="J12671" s="40" t="str">
        <f>HYPERLINK("https://stock.pstatic.net/stock-research/company/40/20250502_company_722027000.pdf","PDF")</f>
        <v>PDF</v>
      </c>
      <c r="K12671" s="12" t="s">
        <v>23989</v>
      </c>
      <c r="L12671" s="20">
        <v>0.35135135135135143</v>
      </c>
    </row>
    <row r="12672" spans="1:12" x14ac:dyDescent="0.45">
      <c r="A12672" s="12" t="s">
        <v>23755</v>
      </c>
      <c r="B12672" s="12" t="s">
        <v>1666</v>
      </c>
      <c r="C12672" s="13" t="s">
        <v>1667</v>
      </c>
      <c r="D12672" s="13" t="s">
        <v>44</v>
      </c>
      <c r="E12672" s="12" t="s">
        <v>642</v>
      </c>
      <c r="F12672" s="14">
        <v>49000</v>
      </c>
      <c r="G12672" s="14">
        <v>44700</v>
      </c>
      <c r="H12672" s="13" t="s">
        <v>23990</v>
      </c>
      <c r="I12672" s="40" t="s">
        <v>18</v>
      </c>
      <c r="J12672" s="40" t="str">
        <f>HYPERLINK("https://stock.pstatic.net/stock-research/company/39/20250502_company_574858000.pdf","PDF")</f>
        <v>PDF</v>
      </c>
      <c r="K12672" s="12" t="s">
        <v>23991</v>
      </c>
      <c r="L12672" s="20">
        <v>9.6196868008948541E-2</v>
      </c>
    </row>
    <row r="12673" spans="1:12" x14ac:dyDescent="0.45">
      <c r="A12673" s="12" t="s">
        <v>23755</v>
      </c>
      <c r="B12673" s="12" t="s">
        <v>792</v>
      </c>
      <c r="C12673" s="13" t="s">
        <v>793</v>
      </c>
      <c r="D12673" s="13" t="s">
        <v>15</v>
      </c>
      <c r="E12673" s="12" t="s">
        <v>385</v>
      </c>
      <c r="F12673" s="14">
        <v>14000</v>
      </c>
      <c r="G12673" s="14">
        <v>15260</v>
      </c>
      <c r="H12673" s="13" t="s">
        <v>23992</v>
      </c>
      <c r="I12673" s="40" t="s">
        <v>18</v>
      </c>
      <c r="J12673" s="40" t="str">
        <f>HYPERLINK("https://stock.pstatic.net/stock-research/company/29/20250502_company_99154000.pdf","PDF")</f>
        <v>PDF</v>
      </c>
      <c r="K12673" s="12" t="s">
        <v>23993</v>
      </c>
      <c r="L12673" s="20">
        <v>-8.2568807339449546E-2</v>
      </c>
    </row>
    <row r="12674" spans="1:12" x14ac:dyDescent="0.45">
      <c r="A12674" s="12" t="s">
        <v>23755</v>
      </c>
      <c r="B12674" s="12" t="s">
        <v>434</v>
      </c>
      <c r="C12674" s="13" t="s">
        <v>435</v>
      </c>
      <c r="D12674" s="13" t="s">
        <v>15</v>
      </c>
      <c r="E12674" s="12" t="s">
        <v>16</v>
      </c>
      <c r="F12674" s="14">
        <v>160000</v>
      </c>
      <c r="G12674" s="14">
        <v>124400</v>
      </c>
      <c r="H12674" s="13" t="s">
        <v>23994</v>
      </c>
      <c r="I12674" s="40" t="s">
        <v>18</v>
      </c>
      <c r="J12674" s="40" t="str">
        <f>HYPERLINK("https://stock.pstatic.net/stock-research/company/29/20250502_company_246733000.pdf","PDF")</f>
        <v>PDF</v>
      </c>
      <c r="K12674" s="12" t="s">
        <v>23995</v>
      </c>
      <c r="L12674" s="20">
        <v>0.2861736334405145</v>
      </c>
    </row>
    <row r="12675" spans="1:12" x14ac:dyDescent="0.45">
      <c r="A12675" s="12" t="s">
        <v>23755</v>
      </c>
      <c r="B12675" s="12" t="s">
        <v>3749</v>
      </c>
      <c r="C12675" s="13" t="s">
        <v>3750</v>
      </c>
      <c r="D12675" s="13" t="s">
        <v>15</v>
      </c>
      <c r="E12675" s="12" t="s">
        <v>16</v>
      </c>
      <c r="F12675" s="14">
        <v>170000</v>
      </c>
      <c r="G12675" s="14">
        <v>114000</v>
      </c>
      <c r="H12675" s="13" t="s">
        <v>23996</v>
      </c>
      <c r="I12675" s="40" t="s">
        <v>18</v>
      </c>
      <c r="J12675" s="40" t="str">
        <f>HYPERLINK("https://stock.pstatic.net/stock-research/company/29/20250502_company_186637000.pdf","PDF")</f>
        <v>PDF</v>
      </c>
      <c r="K12675" s="12" t="s">
        <v>23997</v>
      </c>
      <c r="L12675" s="20">
        <v>0.49122807017543862</v>
      </c>
    </row>
    <row r="12676" spans="1:12" x14ac:dyDescent="0.45">
      <c r="A12676" s="12" t="s">
        <v>23755</v>
      </c>
      <c r="B12676" s="12" t="s">
        <v>13</v>
      </c>
      <c r="C12676" s="13" t="s">
        <v>14</v>
      </c>
      <c r="D12676" s="13" t="s">
        <v>44</v>
      </c>
      <c r="E12676" s="12" t="s">
        <v>35</v>
      </c>
      <c r="F12676" s="14">
        <v>80000</v>
      </c>
      <c r="G12676" s="14">
        <v>55500</v>
      </c>
      <c r="H12676" s="13" t="s">
        <v>23998</v>
      </c>
      <c r="I12676" s="40" t="s">
        <v>18</v>
      </c>
      <c r="J12676" s="40" t="str">
        <f>HYPERLINK("https://stock.pstatic.net/stock-research/company/39/20250502_company_71228000.pdf","PDF")</f>
        <v>PDF</v>
      </c>
      <c r="K12676" s="12" t="s">
        <v>23999</v>
      </c>
      <c r="L12676" s="20">
        <v>0.44144144144144137</v>
      </c>
    </row>
    <row r="12677" spans="1:12" x14ac:dyDescent="0.45">
      <c r="A12677" s="12" t="s">
        <v>23755</v>
      </c>
      <c r="B12677" s="12" t="s">
        <v>2956</v>
      </c>
      <c r="C12677" s="13" t="s">
        <v>2957</v>
      </c>
      <c r="D12677" s="13" t="s">
        <v>44</v>
      </c>
      <c r="E12677" s="12" t="s">
        <v>35</v>
      </c>
      <c r="F12677" s="14">
        <v>23000</v>
      </c>
      <c r="G12677" s="14">
        <v>18250</v>
      </c>
      <c r="H12677" s="13" t="s">
        <v>24000</v>
      </c>
      <c r="I12677" s="40" t="s">
        <v>18</v>
      </c>
      <c r="J12677" s="40" t="str">
        <f>HYPERLINK("https://stock.pstatic.net/stock-research/company/39/20250502_company_183688000.pdf","PDF")</f>
        <v>PDF</v>
      </c>
      <c r="K12677" s="12" t="s">
        <v>24001</v>
      </c>
      <c r="L12677" s="20">
        <v>0.26027397260273971</v>
      </c>
    </row>
    <row r="12678" spans="1:12" x14ac:dyDescent="0.45">
      <c r="A12678" s="12" t="s">
        <v>23755</v>
      </c>
      <c r="B12678" s="12" t="s">
        <v>950</v>
      </c>
      <c r="C12678" s="13" t="s">
        <v>951</v>
      </c>
      <c r="D12678" s="13" t="s">
        <v>92</v>
      </c>
      <c r="E12678" s="12" t="s">
        <v>35</v>
      </c>
      <c r="F12678" s="14">
        <v>70000</v>
      </c>
      <c r="G12678" s="14">
        <v>36200</v>
      </c>
      <c r="H12678" s="13" t="s">
        <v>24002</v>
      </c>
      <c r="I12678" s="40" t="s">
        <v>18</v>
      </c>
      <c r="J12678" s="40" t="str">
        <f>HYPERLINK("https://stock.pstatic.net/stock-research/company/63/20250502_company_922146000.pdf","PDF")</f>
        <v>PDF</v>
      </c>
      <c r="K12678" s="12" t="s">
        <v>24003</v>
      </c>
      <c r="L12678" s="20">
        <v>0.93370165745856348</v>
      </c>
    </row>
    <row r="12679" spans="1:12" x14ac:dyDescent="0.45">
      <c r="A12679" s="12" t="s">
        <v>23755</v>
      </c>
      <c r="B12679" s="12" t="s">
        <v>1487</v>
      </c>
      <c r="C12679" s="13" t="s">
        <v>1488</v>
      </c>
      <c r="D12679" s="13" t="s">
        <v>92</v>
      </c>
      <c r="E12679" s="12" t="s">
        <v>35</v>
      </c>
      <c r="F12679" s="14">
        <v>10000</v>
      </c>
      <c r="G12679" s="14">
        <v>4235</v>
      </c>
      <c r="H12679" s="13" t="s">
        <v>24004</v>
      </c>
      <c r="I12679" s="40" t="s">
        <v>18</v>
      </c>
      <c r="J12679" s="40" t="str">
        <f>HYPERLINK("https://stock.pstatic.net/stock-research/company/63/20250502_company_265266000.pdf","PDF")</f>
        <v>PDF</v>
      </c>
      <c r="K12679" s="12" t="s">
        <v>24005</v>
      </c>
      <c r="L12679" s="20">
        <v>1.361275088547816</v>
      </c>
    </row>
    <row r="12680" spans="1:12" x14ac:dyDescent="0.45">
      <c r="A12680" s="12" t="s">
        <v>23755</v>
      </c>
      <c r="B12680" s="12" t="s">
        <v>1499</v>
      </c>
      <c r="C12680" s="13" t="s">
        <v>1500</v>
      </c>
      <c r="D12680" s="13" t="s">
        <v>92</v>
      </c>
      <c r="E12680" s="12" t="s">
        <v>35</v>
      </c>
      <c r="F12680" s="14">
        <v>10000</v>
      </c>
      <c r="G12680" s="14">
        <v>4380</v>
      </c>
      <c r="H12680" s="13" t="s">
        <v>24006</v>
      </c>
      <c r="I12680" s="40" t="s">
        <v>18</v>
      </c>
      <c r="J12680" s="40" t="str">
        <f>HYPERLINK("https://stock.pstatic.net/stock-research/company/63/20250502_company_885953000.pdf","PDF")</f>
        <v>PDF</v>
      </c>
      <c r="K12680" s="12" t="s">
        <v>24007</v>
      </c>
      <c r="L12680" s="20">
        <v>1.2831050228310501</v>
      </c>
    </row>
    <row r="12681" spans="1:12" x14ac:dyDescent="0.45">
      <c r="A12681" s="12" t="s">
        <v>23755</v>
      </c>
      <c r="B12681" s="12" t="s">
        <v>24008</v>
      </c>
      <c r="C12681" s="13" t="s">
        <v>24009</v>
      </c>
      <c r="D12681" s="13" t="s">
        <v>92</v>
      </c>
      <c r="E12681" s="12" t="s">
        <v>35</v>
      </c>
      <c r="F12681" s="14">
        <v>11000</v>
      </c>
      <c r="G12681" s="14">
        <v>7140</v>
      </c>
      <c r="H12681" s="13" t="s">
        <v>24010</v>
      </c>
      <c r="I12681" s="40" t="s">
        <v>18</v>
      </c>
      <c r="J12681" s="40" t="str">
        <f>HYPERLINK("https://stock.pstatic.net/stock-research/company/63/20250502_company_925612000.pdf","PDF")</f>
        <v>PDF</v>
      </c>
      <c r="K12681" s="12" t="s">
        <v>24011</v>
      </c>
      <c r="L12681" s="20">
        <v>0.54061624649859941</v>
      </c>
    </row>
    <row r="12682" spans="1:12" x14ac:dyDescent="0.45">
      <c r="A12682" s="12" t="s">
        <v>23755</v>
      </c>
      <c r="B12682" s="12" t="s">
        <v>2933</v>
      </c>
      <c r="C12682" s="13" t="s">
        <v>2934</v>
      </c>
      <c r="D12682" s="13" t="s">
        <v>53</v>
      </c>
      <c r="E12682" s="12" t="s">
        <v>16</v>
      </c>
      <c r="F12682" s="14">
        <v>90000</v>
      </c>
      <c r="G12682" s="14">
        <v>54500</v>
      </c>
      <c r="H12682" s="13" t="s">
        <v>24012</v>
      </c>
      <c r="I12682" s="40" t="s">
        <v>18</v>
      </c>
      <c r="J12682" s="40" t="str">
        <f>HYPERLINK("https://stock.pstatic.net/stock-research/company/40/20250502_company_428725000.pdf","PDF")</f>
        <v>PDF</v>
      </c>
      <c r="K12682" s="12" t="s">
        <v>24013</v>
      </c>
      <c r="L12682" s="20">
        <v>0.65137614678899081</v>
      </c>
    </row>
    <row r="12683" spans="1:12" x14ac:dyDescent="0.45">
      <c r="A12683" s="12" t="s">
        <v>23755</v>
      </c>
      <c r="B12683" s="12" t="s">
        <v>1087</v>
      </c>
      <c r="C12683" s="13" t="s">
        <v>1088</v>
      </c>
      <c r="D12683" s="13" t="s">
        <v>15</v>
      </c>
      <c r="E12683" s="12" t="s">
        <v>16</v>
      </c>
      <c r="F12683" s="14">
        <v>110000</v>
      </c>
      <c r="G12683" s="14">
        <v>78200</v>
      </c>
      <c r="H12683" s="13" t="s">
        <v>24014</v>
      </c>
      <c r="I12683" s="40" t="s">
        <v>18</v>
      </c>
      <c r="J12683" s="40" t="str">
        <f>HYPERLINK("https://stock.pstatic.net/stock-research/company/29/20250502_company_178496000.pdf","PDF")</f>
        <v>PDF</v>
      </c>
      <c r="K12683" s="12" t="s">
        <v>24015</v>
      </c>
      <c r="L12683" s="20">
        <v>0.40664961636828639</v>
      </c>
    </row>
    <row r="12684" spans="1:12" x14ac:dyDescent="0.45">
      <c r="A12684" s="12" t="s">
        <v>23755</v>
      </c>
      <c r="B12684" s="12" t="s">
        <v>545</v>
      </c>
      <c r="C12684" s="13" t="s">
        <v>546</v>
      </c>
      <c r="D12684" s="13" t="s">
        <v>15</v>
      </c>
      <c r="E12684" s="12" t="s">
        <v>16</v>
      </c>
      <c r="F12684" s="14">
        <v>216000</v>
      </c>
      <c r="G12684" s="14">
        <v>175800</v>
      </c>
      <c r="H12684" s="13" t="s">
        <v>24016</v>
      </c>
      <c r="I12684" s="40" t="s">
        <v>18</v>
      </c>
      <c r="J12684" s="40" t="str">
        <f>HYPERLINK("https://stock.pstatic.net/stock-research/company/29/20250502_company_748731000.pdf","PDF")</f>
        <v>PDF</v>
      </c>
      <c r="K12684" s="12" t="s">
        <v>24017</v>
      </c>
      <c r="L12684" s="20">
        <v>0.2286689419795222</v>
      </c>
    </row>
    <row r="12685" spans="1:12" x14ac:dyDescent="0.45">
      <c r="A12685" s="12" t="s">
        <v>23755</v>
      </c>
      <c r="B12685" s="12" t="s">
        <v>1124</v>
      </c>
      <c r="C12685" s="13" t="s">
        <v>1125</v>
      </c>
      <c r="D12685" s="13" t="s">
        <v>15</v>
      </c>
      <c r="E12685" s="12" t="s">
        <v>16</v>
      </c>
      <c r="F12685" s="14">
        <v>162000</v>
      </c>
      <c r="G12685" s="14">
        <v>116900</v>
      </c>
      <c r="H12685" s="13" t="s">
        <v>24018</v>
      </c>
      <c r="I12685" s="40" t="s">
        <v>18</v>
      </c>
      <c r="J12685" s="40" t="str">
        <f>HYPERLINK("https://stock.pstatic.net/stock-research/company/29/20250502_company_827848000.pdf","PDF")</f>
        <v>PDF</v>
      </c>
      <c r="K12685" s="12" t="s">
        <v>24019</v>
      </c>
      <c r="L12685" s="20">
        <v>0.38579982891360137</v>
      </c>
    </row>
    <row r="12686" spans="1:12" x14ac:dyDescent="0.45">
      <c r="A12686" s="12" t="s">
        <v>23755</v>
      </c>
      <c r="B12686" s="12" t="s">
        <v>2837</v>
      </c>
      <c r="C12686" s="13" t="s">
        <v>2838</v>
      </c>
      <c r="D12686" s="13" t="s">
        <v>15</v>
      </c>
      <c r="E12686" s="12" t="s">
        <v>50</v>
      </c>
      <c r="F12686" s="14">
        <v>44000</v>
      </c>
      <c r="G12686" s="14">
        <v>39300</v>
      </c>
      <c r="H12686" s="13" t="s">
        <v>24020</v>
      </c>
      <c r="I12686" s="40" t="s">
        <v>18</v>
      </c>
      <c r="J12686" s="40" t="str">
        <f>HYPERLINK("https://stock.pstatic.net/stock-research/company/29/20250502_company_340161000.pdf","PDF")</f>
        <v>PDF</v>
      </c>
      <c r="K12686" s="12" t="s">
        <v>24021</v>
      </c>
      <c r="L12686" s="20">
        <v>0.1195928753180662</v>
      </c>
    </row>
    <row r="12687" spans="1:12" x14ac:dyDescent="0.45">
      <c r="A12687" s="12" t="s">
        <v>24022</v>
      </c>
      <c r="B12687" s="12" t="s">
        <v>2170</v>
      </c>
      <c r="C12687" s="13" t="s">
        <v>2171</v>
      </c>
      <c r="D12687" s="13" t="s">
        <v>15</v>
      </c>
      <c r="E12687" s="12" t="s">
        <v>16</v>
      </c>
      <c r="F12687" s="14">
        <v>19000</v>
      </c>
      <c r="G12687" s="14">
        <v>9150</v>
      </c>
      <c r="H12687" s="13" t="s">
        <v>24023</v>
      </c>
      <c r="I12687" s="40" t="s">
        <v>18</v>
      </c>
      <c r="J12687" s="40" t="str">
        <f>HYPERLINK("https://stock.pstatic.net/stock-research/company/29/20250430_company_158280000.pdf","PDF")</f>
        <v>PDF</v>
      </c>
      <c r="K12687" s="12" t="s">
        <v>24024</v>
      </c>
      <c r="L12687" s="20">
        <v>1.076502732240437</v>
      </c>
    </row>
    <row r="12688" spans="1:12" x14ac:dyDescent="0.45">
      <c r="A12688" s="12" t="s">
        <v>24022</v>
      </c>
      <c r="B12688" s="12" t="s">
        <v>2837</v>
      </c>
      <c r="C12688" s="13" t="s">
        <v>2838</v>
      </c>
      <c r="D12688" s="13" t="s">
        <v>276</v>
      </c>
      <c r="E12688" s="12" t="s">
        <v>16</v>
      </c>
      <c r="F12688" s="14">
        <v>48000</v>
      </c>
      <c r="G12688" s="14">
        <v>39300</v>
      </c>
      <c r="H12688" s="13" t="s">
        <v>24025</v>
      </c>
      <c r="I12688" s="40" t="s">
        <v>18</v>
      </c>
      <c r="J12688" s="40" t="str">
        <f>HYPERLINK("https://stock.pstatic.net/stock-research/company/66/20250430_company_205943000.pdf","PDF")</f>
        <v>PDF</v>
      </c>
      <c r="K12688" s="12" t="s">
        <v>24026</v>
      </c>
      <c r="L12688" s="20">
        <v>0.2213740458015267</v>
      </c>
    </row>
    <row r="12689" spans="1:12" x14ac:dyDescent="0.45">
      <c r="A12689" s="12" t="s">
        <v>24022</v>
      </c>
      <c r="B12689" s="12" t="s">
        <v>32</v>
      </c>
      <c r="C12689" s="13" t="s">
        <v>33</v>
      </c>
      <c r="D12689" s="13" t="s">
        <v>276</v>
      </c>
      <c r="E12689" s="12" t="s">
        <v>16</v>
      </c>
      <c r="F12689" s="14">
        <v>200000</v>
      </c>
      <c r="G12689" s="14">
        <v>121800</v>
      </c>
      <c r="H12689" s="13" t="s">
        <v>24027</v>
      </c>
      <c r="I12689" s="40" t="s">
        <v>18</v>
      </c>
      <c r="J12689" s="40" t="str">
        <f>HYPERLINK("https://stock.pstatic.net/stock-research/company/66/20250430_company_758595000.pdf","PDF")</f>
        <v>PDF</v>
      </c>
      <c r="K12689" s="12" t="s">
        <v>24028</v>
      </c>
      <c r="L12689" s="20">
        <v>0.64203612479474548</v>
      </c>
    </row>
    <row r="12690" spans="1:12" x14ac:dyDescent="0.45">
      <c r="A12690" s="12" t="s">
        <v>24022</v>
      </c>
      <c r="B12690" s="12" t="s">
        <v>2522</v>
      </c>
      <c r="C12690" s="13" t="s">
        <v>2523</v>
      </c>
      <c r="D12690" s="13" t="s">
        <v>276</v>
      </c>
      <c r="E12690" s="12" t="s">
        <v>16</v>
      </c>
      <c r="F12690" s="14">
        <v>560000</v>
      </c>
      <c r="G12690" s="14">
        <v>370000</v>
      </c>
      <c r="H12690" s="13" t="s">
        <v>24029</v>
      </c>
      <c r="I12690" s="40" t="s">
        <v>18</v>
      </c>
      <c r="J12690" s="40" t="str">
        <f>HYPERLINK("https://stock.pstatic.net/stock-research/company/66/20250430_company_135126000.pdf","PDF")</f>
        <v>PDF</v>
      </c>
      <c r="K12690" s="12" t="s">
        <v>24030</v>
      </c>
      <c r="L12690" s="20">
        <v>0.51351351351351349</v>
      </c>
    </row>
    <row r="12691" spans="1:12" x14ac:dyDescent="0.45">
      <c r="A12691" s="12" t="s">
        <v>24022</v>
      </c>
      <c r="B12691" s="12" t="s">
        <v>3101</v>
      </c>
      <c r="C12691" s="13" t="s">
        <v>3102</v>
      </c>
      <c r="D12691" s="13" t="s">
        <v>276</v>
      </c>
      <c r="E12691" s="12" t="s">
        <v>16</v>
      </c>
      <c r="F12691" s="14">
        <v>140000</v>
      </c>
      <c r="G12691" s="14">
        <v>102400</v>
      </c>
      <c r="H12691" s="13" t="s">
        <v>24031</v>
      </c>
      <c r="I12691" s="40" t="s">
        <v>18</v>
      </c>
      <c r="J12691" s="40" t="str">
        <f>HYPERLINK("https://stock.pstatic.net/stock-research/company/66/20250430_company_578110000.pdf","PDF")</f>
        <v>PDF</v>
      </c>
      <c r="K12691" s="12" t="s">
        <v>24032</v>
      </c>
      <c r="L12691" s="20">
        <v>0.3671875</v>
      </c>
    </row>
    <row r="12692" spans="1:12" x14ac:dyDescent="0.45">
      <c r="A12692" s="12" t="s">
        <v>24022</v>
      </c>
      <c r="B12692" s="12" t="s">
        <v>2522</v>
      </c>
      <c r="C12692" s="13" t="s">
        <v>2523</v>
      </c>
      <c r="D12692" s="13" t="s">
        <v>60</v>
      </c>
      <c r="E12692" s="12" t="s">
        <v>35</v>
      </c>
      <c r="F12692" s="14">
        <v>500000</v>
      </c>
      <c r="G12692" s="14">
        <v>370000</v>
      </c>
      <c r="H12692" s="13" t="s">
        <v>24033</v>
      </c>
      <c r="I12692" s="40" t="s">
        <v>18</v>
      </c>
      <c r="J12692" s="40" t="str">
        <f>HYPERLINK("https://stock.pstatic.net/stock-research/company/34/20250430_company_529183000.pdf","PDF")</f>
        <v>PDF</v>
      </c>
      <c r="K12692" s="12" t="s">
        <v>24034</v>
      </c>
      <c r="L12692" s="20">
        <v>0.35135135135135143</v>
      </c>
    </row>
    <row r="12693" spans="1:12" x14ac:dyDescent="0.45">
      <c r="A12693" s="12" t="s">
        <v>24022</v>
      </c>
      <c r="B12693" s="12" t="s">
        <v>2837</v>
      </c>
      <c r="C12693" s="13" t="s">
        <v>2838</v>
      </c>
      <c r="D12693" s="13" t="s">
        <v>60</v>
      </c>
      <c r="E12693" s="12" t="s">
        <v>35</v>
      </c>
      <c r="F12693" s="14">
        <v>44000</v>
      </c>
      <c r="G12693" s="14">
        <v>42300</v>
      </c>
      <c r="H12693" s="13" t="s">
        <v>24035</v>
      </c>
      <c r="I12693" s="40" t="s">
        <v>18</v>
      </c>
      <c r="J12693" s="40" t="str">
        <f>HYPERLINK("https://stock.pstatic.net/stock-research/company/62/20250430_company_540137000.pdf","PDF")</f>
        <v>PDF</v>
      </c>
      <c r="K12693" s="12" t="s">
        <v>24036</v>
      </c>
      <c r="L12693" s="20">
        <v>4.0189125295508277E-2</v>
      </c>
    </row>
    <row r="12694" spans="1:12" x14ac:dyDescent="0.45">
      <c r="A12694" s="12" t="s">
        <v>24022</v>
      </c>
      <c r="B12694" s="12" t="s">
        <v>170</v>
      </c>
      <c r="C12694" s="13" t="s">
        <v>171</v>
      </c>
      <c r="D12694" s="13" t="s">
        <v>65</v>
      </c>
      <c r="E12694" s="12" t="s">
        <v>35</v>
      </c>
      <c r="F12694" s="14">
        <v>95000</v>
      </c>
      <c r="G12694" s="14">
        <v>57600</v>
      </c>
      <c r="H12694" s="13" t="s">
        <v>24037</v>
      </c>
      <c r="I12694" s="40" t="s">
        <v>18</v>
      </c>
      <c r="J12694" s="40" t="str">
        <f>HYPERLINK("https://stock.pstatic.net/stock-research/company/57/20250430_company_781255000.pdf","PDF")</f>
        <v>PDF</v>
      </c>
      <c r="K12694" s="12" t="s">
        <v>24038</v>
      </c>
      <c r="L12694" s="20">
        <v>0.64930555555555558</v>
      </c>
    </row>
    <row r="12695" spans="1:12" x14ac:dyDescent="0.45">
      <c r="A12695" s="12" t="s">
        <v>24022</v>
      </c>
      <c r="B12695" s="12" t="s">
        <v>3451</v>
      </c>
      <c r="C12695" s="13" t="s">
        <v>3452</v>
      </c>
      <c r="D12695" s="13" t="s">
        <v>65</v>
      </c>
      <c r="E12695" s="12" t="s">
        <v>35</v>
      </c>
      <c r="F12695" s="14">
        <v>240000</v>
      </c>
      <c r="G12695" s="14">
        <v>181200</v>
      </c>
      <c r="H12695" s="13" t="s">
        <v>24039</v>
      </c>
      <c r="I12695" s="40" t="s">
        <v>18</v>
      </c>
      <c r="J12695" s="40" t="str">
        <f>HYPERLINK("https://stock.pstatic.net/stock-research/company/57/20250430_company_669055000.pdf","PDF")</f>
        <v>PDF</v>
      </c>
      <c r="K12695" s="12" t="s">
        <v>24040</v>
      </c>
      <c r="L12695" s="20">
        <v>0.32450331125827808</v>
      </c>
    </row>
    <row r="12696" spans="1:12" x14ac:dyDescent="0.45">
      <c r="A12696" s="12" t="s">
        <v>24022</v>
      </c>
      <c r="B12696" s="12" t="s">
        <v>3280</v>
      </c>
      <c r="C12696" s="13" t="s">
        <v>3281</v>
      </c>
      <c r="D12696" s="13" t="s">
        <v>65</v>
      </c>
      <c r="E12696" s="12" t="s">
        <v>35</v>
      </c>
      <c r="F12696" s="14">
        <v>50000</v>
      </c>
      <c r="G12696" s="14">
        <v>35450</v>
      </c>
      <c r="H12696" s="13" t="s">
        <v>24041</v>
      </c>
      <c r="I12696" s="40" t="s">
        <v>18</v>
      </c>
      <c r="J12696" s="40" t="str">
        <f>HYPERLINK("https://stock.pstatic.net/stock-research/company/57/20250430_company_871303000.pdf","PDF")</f>
        <v>PDF</v>
      </c>
      <c r="K12696" s="12" t="s">
        <v>24042</v>
      </c>
      <c r="L12696" s="20">
        <v>0.41043723554301831</v>
      </c>
    </row>
    <row r="12697" spans="1:12" x14ac:dyDescent="0.45">
      <c r="A12697" s="12" t="s">
        <v>24022</v>
      </c>
      <c r="B12697" s="12" t="s">
        <v>3105</v>
      </c>
      <c r="C12697" s="13" t="s">
        <v>3106</v>
      </c>
      <c r="D12697" s="13" t="s">
        <v>65</v>
      </c>
      <c r="E12697" s="12" t="s">
        <v>35</v>
      </c>
      <c r="F12697" s="14">
        <v>330000</v>
      </c>
      <c r="G12697" s="14">
        <v>253000</v>
      </c>
      <c r="H12697" s="13" t="s">
        <v>24043</v>
      </c>
      <c r="I12697" s="40" t="s">
        <v>18</v>
      </c>
      <c r="J12697" s="40" t="str">
        <f>HYPERLINK("https://stock.pstatic.net/stock-research/company/57/20250430_company_369602000.pdf","PDF")</f>
        <v>PDF</v>
      </c>
      <c r="K12697" s="12" t="s">
        <v>24044</v>
      </c>
      <c r="L12697" s="20">
        <v>0.30434782608695649</v>
      </c>
    </row>
    <row r="12698" spans="1:12" x14ac:dyDescent="0.45">
      <c r="A12698" s="12" t="s">
        <v>24022</v>
      </c>
      <c r="B12698" s="12" t="s">
        <v>3018</v>
      </c>
      <c r="C12698" s="13" t="s">
        <v>3019</v>
      </c>
      <c r="D12698" s="13" t="s">
        <v>65</v>
      </c>
      <c r="E12698" s="12" t="s">
        <v>35</v>
      </c>
      <c r="F12698" s="14">
        <v>22000</v>
      </c>
      <c r="G12698" s="14">
        <v>16120</v>
      </c>
      <c r="H12698" s="13" t="s">
        <v>24045</v>
      </c>
      <c r="I12698" s="40" t="s">
        <v>18</v>
      </c>
      <c r="J12698" s="40" t="str">
        <f>HYPERLINK("https://stock.pstatic.net/stock-research/company/57/20250430_company_131173000.pdf","PDF")</f>
        <v>PDF</v>
      </c>
      <c r="K12698" s="12" t="s">
        <v>24046</v>
      </c>
      <c r="L12698" s="20">
        <v>0.36476426799007439</v>
      </c>
    </row>
    <row r="12699" spans="1:12" x14ac:dyDescent="0.45">
      <c r="A12699" s="12" t="s">
        <v>24022</v>
      </c>
      <c r="B12699" s="12" t="s">
        <v>3154</v>
      </c>
      <c r="C12699" s="13" t="s">
        <v>3155</v>
      </c>
      <c r="D12699" s="13" t="s">
        <v>65</v>
      </c>
      <c r="E12699" s="12" t="s">
        <v>50</v>
      </c>
      <c r="F12699" s="13"/>
      <c r="G12699" s="14">
        <v>4815</v>
      </c>
      <c r="H12699" s="13" t="s">
        <v>24047</v>
      </c>
      <c r="I12699" s="40" t="s">
        <v>18</v>
      </c>
      <c r="J12699" s="40" t="str">
        <f>HYPERLINK("https://stock.pstatic.net/stock-research/company/57/20250430_company_758510000.pdf","PDF")</f>
        <v>PDF</v>
      </c>
      <c r="K12699" s="12" t="s">
        <v>24048</v>
      </c>
    </row>
    <row r="12700" spans="1:12" x14ac:dyDescent="0.45">
      <c r="A12700" s="12" t="s">
        <v>24022</v>
      </c>
      <c r="B12700" s="12" t="s">
        <v>3101</v>
      </c>
      <c r="C12700" s="13" t="s">
        <v>3102</v>
      </c>
      <c r="D12700" s="13" t="s">
        <v>65</v>
      </c>
      <c r="E12700" s="12" t="s">
        <v>1738</v>
      </c>
      <c r="F12700" s="14">
        <v>105000</v>
      </c>
      <c r="G12700" s="14">
        <v>102400</v>
      </c>
      <c r="H12700" s="13" t="s">
        <v>24049</v>
      </c>
      <c r="I12700" s="40" t="s">
        <v>18</v>
      </c>
      <c r="J12700" s="40" t="str">
        <f>HYPERLINK("https://stock.pstatic.net/stock-research/company/57/20250430_company_431858000.pdf","PDF")</f>
        <v>PDF</v>
      </c>
      <c r="K12700" s="12" t="s">
        <v>24050</v>
      </c>
      <c r="L12700" s="20">
        <v>2.5390625E-2</v>
      </c>
    </row>
    <row r="12701" spans="1:12" x14ac:dyDescent="0.45">
      <c r="A12701" s="12" t="s">
        <v>24022</v>
      </c>
      <c r="B12701" s="12" t="s">
        <v>3164</v>
      </c>
      <c r="C12701" s="13" t="s">
        <v>3165</v>
      </c>
      <c r="D12701" s="13" t="s">
        <v>65</v>
      </c>
      <c r="E12701" s="12" t="s">
        <v>35</v>
      </c>
      <c r="F12701" s="14">
        <v>51000</v>
      </c>
      <c r="G12701" s="14">
        <v>41150</v>
      </c>
      <c r="H12701" s="13" t="s">
        <v>24051</v>
      </c>
      <c r="I12701" s="40" t="s">
        <v>18</v>
      </c>
      <c r="J12701" s="40" t="str">
        <f>HYPERLINK("https://stock.pstatic.net/stock-research/company/57/20250430_company_34965000.pdf","PDF")</f>
        <v>PDF</v>
      </c>
      <c r="K12701" s="12" t="s">
        <v>24052</v>
      </c>
      <c r="L12701" s="20">
        <v>0.23936816524908869</v>
      </c>
    </row>
    <row r="12702" spans="1:12" x14ac:dyDescent="0.45">
      <c r="A12702" s="12" t="s">
        <v>24022</v>
      </c>
      <c r="B12702" s="12" t="s">
        <v>3204</v>
      </c>
      <c r="C12702" s="13" t="s">
        <v>3205</v>
      </c>
      <c r="D12702" s="13" t="s">
        <v>65</v>
      </c>
      <c r="E12702" s="12" t="s">
        <v>35</v>
      </c>
      <c r="F12702" s="14">
        <v>4500</v>
      </c>
      <c r="G12702" s="14">
        <v>3520</v>
      </c>
      <c r="H12702" s="13" t="s">
        <v>24053</v>
      </c>
      <c r="I12702" s="40" t="s">
        <v>18</v>
      </c>
      <c r="J12702" s="40" t="str">
        <f>HYPERLINK("https://stock.pstatic.net/stock-research/company/57/20250430_company_812068000.pdf","PDF")</f>
        <v>PDF</v>
      </c>
      <c r="K12702" s="12" t="s">
        <v>24054</v>
      </c>
      <c r="L12702" s="20">
        <v>0.27840909090909088</v>
      </c>
    </row>
    <row r="12703" spans="1:12" x14ac:dyDescent="0.45">
      <c r="A12703" s="12" t="s">
        <v>24022</v>
      </c>
      <c r="B12703" s="12" t="s">
        <v>2982</v>
      </c>
      <c r="C12703" s="13" t="s">
        <v>2983</v>
      </c>
      <c r="D12703" s="13" t="s">
        <v>65</v>
      </c>
      <c r="E12703" s="12" t="s">
        <v>35</v>
      </c>
      <c r="F12703" s="14">
        <v>50000</v>
      </c>
      <c r="G12703" s="14">
        <v>42450</v>
      </c>
      <c r="H12703" s="13" t="s">
        <v>24055</v>
      </c>
      <c r="I12703" s="40" t="s">
        <v>18</v>
      </c>
      <c r="J12703" s="40" t="str">
        <f>HYPERLINK("https://stock.pstatic.net/stock-research/company/57/20250430_company_764920000.pdf","PDF")</f>
        <v>PDF</v>
      </c>
      <c r="K12703" s="12" t="s">
        <v>24056</v>
      </c>
      <c r="L12703" s="20">
        <v>0.17785630153121321</v>
      </c>
    </row>
    <row r="12704" spans="1:12" x14ac:dyDescent="0.45">
      <c r="A12704" s="12" t="s">
        <v>24022</v>
      </c>
      <c r="B12704" s="12" t="s">
        <v>13</v>
      </c>
      <c r="C12704" s="13" t="s">
        <v>14</v>
      </c>
      <c r="D12704" s="13" t="s">
        <v>179</v>
      </c>
      <c r="E12704" s="12" t="s">
        <v>50</v>
      </c>
      <c r="F12704" s="13"/>
      <c r="G12704" s="13"/>
      <c r="H12704" s="13" t="s">
        <v>24057</v>
      </c>
      <c r="I12704" s="40" t="s">
        <v>18</v>
      </c>
      <c r="J12704" s="40" t="str">
        <f>HYPERLINK("https://stock.pstatic.net/stock-research/company/31/20250430_company_529494000.pdf","PDF")</f>
        <v>PDF</v>
      </c>
      <c r="K12704" s="12" t="s">
        <v>24058</v>
      </c>
    </row>
    <row r="12705" spans="1:12" x14ac:dyDescent="0.45">
      <c r="A12705" s="12" t="s">
        <v>24022</v>
      </c>
      <c r="B12705" s="12" t="s">
        <v>3079</v>
      </c>
      <c r="C12705" s="13" t="s">
        <v>3080</v>
      </c>
      <c r="D12705" s="13" t="s">
        <v>65</v>
      </c>
      <c r="E12705" s="12" t="s">
        <v>35</v>
      </c>
      <c r="F12705" s="14">
        <v>31000</v>
      </c>
      <c r="G12705" s="14">
        <v>17710</v>
      </c>
      <c r="H12705" s="13" t="s">
        <v>24059</v>
      </c>
      <c r="I12705" s="40" t="s">
        <v>18</v>
      </c>
      <c r="J12705" s="40" t="str">
        <f>HYPERLINK("https://stock.pstatic.net/stock-research/company/57/20250430_company_789828000.pdf","PDF")</f>
        <v>PDF</v>
      </c>
      <c r="K12705" s="12" t="s">
        <v>24060</v>
      </c>
      <c r="L12705" s="20">
        <v>0.75042348955392435</v>
      </c>
    </row>
    <row r="12706" spans="1:12" x14ac:dyDescent="0.45">
      <c r="A12706" s="12" t="s">
        <v>24022</v>
      </c>
      <c r="B12706" s="12" t="s">
        <v>32</v>
      </c>
      <c r="C12706" s="13" t="s">
        <v>33</v>
      </c>
      <c r="D12706" s="13" t="s">
        <v>65</v>
      </c>
      <c r="E12706" s="12" t="s">
        <v>35</v>
      </c>
      <c r="F12706" s="14">
        <v>200000</v>
      </c>
      <c r="G12706" s="14">
        <v>121800</v>
      </c>
      <c r="H12706" s="13" t="s">
        <v>24061</v>
      </c>
      <c r="I12706" s="40" t="s">
        <v>18</v>
      </c>
      <c r="J12706" s="40" t="str">
        <f>HYPERLINK("https://stock.pstatic.net/stock-research/company/1/20250430_company_200736000.pdf","PDF")</f>
        <v>PDF</v>
      </c>
      <c r="K12706" s="12" t="s">
        <v>24062</v>
      </c>
      <c r="L12706" s="20">
        <v>0.64203612479474548</v>
      </c>
    </row>
    <row r="12707" spans="1:12" x14ac:dyDescent="0.45">
      <c r="A12707" s="12" t="s">
        <v>24022</v>
      </c>
      <c r="B12707" s="12" t="s">
        <v>537</v>
      </c>
      <c r="C12707" s="13" t="s">
        <v>538</v>
      </c>
      <c r="D12707" s="13" t="s">
        <v>65</v>
      </c>
      <c r="E12707" s="12" t="s">
        <v>35</v>
      </c>
      <c r="F12707" s="14">
        <v>14000</v>
      </c>
      <c r="G12707" s="14">
        <v>11910</v>
      </c>
      <c r="H12707" s="13" t="s">
        <v>24063</v>
      </c>
      <c r="I12707" s="40" t="s">
        <v>18</v>
      </c>
      <c r="J12707" s="40" t="str">
        <f>HYPERLINK("https://stock.pstatic.net/stock-research/company/57/20250430_company_843833000.pdf","PDF")</f>
        <v>PDF</v>
      </c>
      <c r="K12707" s="12" t="s">
        <v>24064</v>
      </c>
      <c r="L12707" s="20">
        <v>0.17548278757346769</v>
      </c>
    </row>
    <row r="12708" spans="1:12" x14ac:dyDescent="0.45">
      <c r="A12708" s="12" t="s">
        <v>24022</v>
      </c>
      <c r="B12708" s="12" t="s">
        <v>533</v>
      </c>
      <c r="C12708" s="13" t="s">
        <v>534</v>
      </c>
      <c r="D12708" s="13" t="s">
        <v>65</v>
      </c>
      <c r="E12708" s="12" t="s">
        <v>35</v>
      </c>
      <c r="F12708" s="14">
        <v>70000</v>
      </c>
      <c r="G12708" s="14">
        <v>51100</v>
      </c>
      <c r="H12708" s="13" t="s">
        <v>24065</v>
      </c>
      <c r="I12708" s="40" t="s">
        <v>18</v>
      </c>
      <c r="J12708" s="40" t="str">
        <f>HYPERLINK("https://stock.pstatic.net/stock-research/company/57/20250430_company_403639000.pdf","PDF")</f>
        <v>PDF</v>
      </c>
      <c r="K12708" s="12" t="s">
        <v>24066</v>
      </c>
      <c r="L12708" s="20">
        <v>0.36986301369863012</v>
      </c>
    </row>
    <row r="12709" spans="1:12" x14ac:dyDescent="0.45">
      <c r="A12709" s="12" t="s">
        <v>24022</v>
      </c>
      <c r="B12709" s="12" t="s">
        <v>2522</v>
      </c>
      <c r="C12709" s="13" t="s">
        <v>2523</v>
      </c>
      <c r="D12709" s="13" t="s">
        <v>65</v>
      </c>
      <c r="E12709" s="12" t="s">
        <v>35</v>
      </c>
      <c r="F12709" s="14">
        <v>500000</v>
      </c>
      <c r="G12709" s="14">
        <v>370000</v>
      </c>
      <c r="H12709" s="13" t="s">
        <v>24067</v>
      </c>
      <c r="I12709" s="40" t="s">
        <v>18</v>
      </c>
      <c r="J12709" s="40" t="str">
        <f>HYPERLINK("https://stock.pstatic.net/stock-research/company/57/20250430_company_698966000.pdf","PDF")</f>
        <v>PDF</v>
      </c>
      <c r="K12709" s="12" t="s">
        <v>24068</v>
      </c>
      <c r="L12709" s="20">
        <v>0.35135135135135143</v>
      </c>
    </row>
    <row r="12710" spans="1:12" x14ac:dyDescent="0.45">
      <c r="A12710" s="12" t="s">
        <v>24022</v>
      </c>
      <c r="B12710" s="12" t="s">
        <v>2762</v>
      </c>
      <c r="C12710" s="13" t="s">
        <v>2763</v>
      </c>
      <c r="D12710" s="13" t="s">
        <v>65</v>
      </c>
      <c r="E12710" s="12" t="s">
        <v>35</v>
      </c>
      <c r="F12710" s="14">
        <v>150000</v>
      </c>
      <c r="G12710" s="14">
        <v>84800</v>
      </c>
      <c r="H12710" s="13" t="s">
        <v>24069</v>
      </c>
      <c r="I12710" s="40" t="s">
        <v>18</v>
      </c>
      <c r="J12710" s="40" t="str">
        <f>HYPERLINK("https://stock.pstatic.net/stock-research/company/57/20250430_company_485660000.pdf","PDF")</f>
        <v>PDF</v>
      </c>
      <c r="K12710" s="12" t="s">
        <v>24070</v>
      </c>
      <c r="L12710" s="20">
        <v>0.76886792452830188</v>
      </c>
    </row>
    <row r="12711" spans="1:12" x14ac:dyDescent="0.45">
      <c r="A12711" s="12" t="s">
        <v>24022</v>
      </c>
      <c r="B12711" s="12" t="s">
        <v>2522</v>
      </c>
      <c r="C12711" s="13" t="s">
        <v>2523</v>
      </c>
      <c r="D12711" s="13" t="s">
        <v>57</v>
      </c>
      <c r="E12711" s="12" t="s">
        <v>35</v>
      </c>
      <c r="F12711" s="14">
        <v>440000</v>
      </c>
      <c r="G12711" s="14">
        <v>370000</v>
      </c>
      <c r="H12711" s="13" t="s">
        <v>24071</v>
      </c>
      <c r="I12711" s="40" t="s">
        <v>18</v>
      </c>
      <c r="J12711" s="40" t="str">
        <f>HYPERLINK("https://stock.pstatic.net/stock-research/company/16/20250430_company_524929000.pdf","PDF")</f>
        <v>PDF</v>
      </c>
      <c r="K12711" s="12" t="s">
        <v>24072</v>
      </c>
      <c r="L12711" s="20">
        <v>0.1891891891891892</v>
      </c>
    </row>
    <row r="12712" spans="1:12" x14ac:dyDescent="0.45">
      <c r="A12712" s="12" t="s">
        <v>24022</v>
      </c>
      <c r="B12712" s="12" t="s">
        <v>2982</v>
      </c>
      <c r="C12712" s="13" t="s">
        <v>2983</v>
      </c>
      <c r="D12712" s="13" t="s">
        <v>57</v>
      </c>
      <c r="E12712" s="12" t="s">
        <v>35</v>
      </c>
      <c r="F12712" s="14">
        <v>50000</v>
      </c>
      <c r="G12712" s="14">
        <v>42450</v>
      </c>
      <c r="H12712" s="13" t="s">
        <v>24073</v>
      </c>
      <c r="I12712" s="40" t="s">
        <v>18</v>
      </c>
      <c r="J12712" s="40" t="str">
        <f>HYPERLINK("https://stock.pstatic.net/stock-research/company/16/20250430_company_52434000.pdf","PDF")</f>
        <v>PDF</v>
      </c>
      <c r="K12712" s="12" t="s">
        <v>24074</v>
      </c>
      <c r="L12712" s="20">
        <v>0.17785630153121321</v>
      </c>
    </row>
    <row r="12713" spans="1:12" x14ac:dyDescent="0.45">
      <c r="A12713" s="12" t="s">
        <v>24022</v>
      </c>
      <c r="B12713" s="12" t="s">
        <v>3164</v>
      </c>
      <c r="C12713" s="13" t="s">
        <v>3165</v>
      </c>
      <c r="D12713" s="13" t="s">
        <v>57</v>
      </c>
      <c r="E12713" s="12" t="s">
        <v>35</v>
      </c>
      <c r="F12713" s="14">
        <v>50000</v>
      </c>
      <c r="G12713" s="14">
        <v>41150</v>
      </c>
      <c r="H12713" s="13" t="s">
        <v>24075</v>
      </c>
      <c r="I12713" s="40" t="s">
        <v>18</v>
      </c>
      <c r="J12713" s="40" t="str">
        <f>HYPERLINK("https://stock.pstatic.net/stock-research/company/16/20250430_company_582795000.pdf","PDF")</f>
        <v>PDF</v>
      </c>
      <c r="K12713" s="12" t="s">
        <v>24076</v>
      </c>
      <c r="L12713" s="20">
        <v>0.21506682867557719</v>
      </c>
    </row>
    <row r="12714" spans="1:12" x14ac:dyDescent="0.45">
      <c r="A12714" s="12" t="s">
        <v>24022</v>
      </c>
      <c r="B12714" s="12" t="s">
        <v>3018</v>
      </c>
      <c r="C12714" s="13" t="s">
        <v>3019</v>
      </c>
      <c r="D12714" s="13" t="s">
        <v>57</v>
      </c>
      <c r="E12714" s="12" t="s">
        <v>35</v>
      </c>
      <c r="F12714" s="14">
        <v>22000</v>
      </c>
      <c r="G12714" s="14">
        <v>16120</v>
      </c>
      <c r="H12714" s="13" t="s">
        <v>24077</v>
      </c>
      <c r="I12714" s="40" t="s">
        <v>18</v>
      </c>
      <c r="J12714" s="40" t="str">
        <f>HYPERLINK("https://stock.pstatic.net/stock-research/company/16/20250430_company_117229000.pdf","PDF")</f>
        <v>PDF</v>
      </c>
      <c r="K12714" s="12" t="s">
        <v>24078</v>
      </c>
      <c r="L12714" s="20">
        <v>0.36476426799007439</v>
      </c>
    </row>
    <row r="12715" spans="1:12" x14ac:dyDescent="0.45">
      <c r="A12715" s="12" t="s">
        <v>24022</v>
      </c>
      <c r="B12715" s="12" t="s">
        <v>3105</v>
      </c>
      <c r="C12715" s="13" t="s">
        <v>3106</v>
      </c>
      <c r="D12715" s="13" t="s">
        <v>57</v>
      </c>
      <c r="E12715" s="12" t="s">
        <v>35</v>
      </c>
      <c r="F12715" s="14">
        <v>320000</v>
      </c>
      <c r="G12715" s="14">
        <v>253000</v>
      </c>
      <c r="H12715" s="13" t="s">
        <v>24079</v>
      </c>
      <c r="I12715" s="40" t="s">
        <v>18</v>
      </c>
      <c r="J12715" s="40" t="str">
        <f>HYPERLINK("https://stock.pstatic.net/stock-research/company/16/20250430_company_208505000.pdf","PDF")</f>
        <v>PDF</v>
      </c>
      <c r="K12715" s="12" t="s">
        <v>24080</v>
      </c>
      <c r="L12715" s="20">
        <v>0.2648221343873518</v>
      </c>
    </row>
    <row r="12716" spans="1:12" x14ac:dyDescent="0.45">
      <c r="A12716" s="12" t="s">
        <v>24022</v>
      </c>
      <c r="B12716" s="12" t="s">
        <v>2837</v>
      </c>
      <c r="C12716" s="13" t="s">
        <v>2838</v>
      </c>
      <c r="D12716" s="13" t="s">
        <v>57</v>
      </c>
      <c r="E12716" s="12" t="s">
        <v>35</v>
      </c>
      <c r="F12716" s="14">
        <v>46000</v>
      </c>
      <c r="G12716" s="14">
        <v>39300</v>
      </c>
      <c r="H12716" s="13" t="s">
        <v>24081</v>
      </c>
      <c r="I12716" s="40" t="s">
        <v>18</v>
      </c>
      <c r="J12716" s="40" t="str">
        <f>HYPERLINK("https://stock.pstatic.net/stock-research/company/1/20250430_company_65747000.pdf","PDF")</f>
        <v>PDF</v>
      </c>
      <c r="K12716" s="12" t="s">
        <v>24082</v>
      </c>
      <c r="L12716" s="20">
        <v>0.17048346055979641</v>
      </c>
    </row>
    <row r="12717" spans="1:12" x14ac:dyDescent="0.45">
      <c r="A12717" s="12" t="s">
        <v>24022</v>
      </c>
      <c r="B12717" s="12" t="s">
        <v>3101</v>
      </c>
      <c r="C12717" s="13" t="s">
        <v>3102</v>
      </c>
      <c r="D12717" s="13" t="s">
        <v>57</v>
      </c>
      <c r="E12717" s="12" t="s">
        <v>159</v>
      </c>
      <c r="F12717" s="14">
        <v>90000</v>
      </c>
      <c r="G12717" s="14">
        <v>102300</v>
      </c>
      <c r="H12717" s="13" t="s">
        <v>24083</v>
      </c>
      <c r="I12717" s="40" t="s">
        <v>18</v>
      </c>
      <c r="J12717" s="40" t="str">
        <f>HYPERLINK("https://stock.pstatic.net/stock-research/company/16/20250430_company_277933000.pdf","PDF")</f>
        <v>PDF</v>
      </c>
      <c r="K12717" s="12" t="s">
        <v>24084</v>
      </c>
      <c r="L12717" s="20">
        <v>-0.12023460410557189</v>
      </c>
    </row>
    <row r="12718" spans="1:12" x14ac:dyDescent="0.45">
      <c r="A12718" s="12" t="s">
        <v>24022</v>
      </c>
      <c r="B12718" s="12" t="s">
        <v>24085</v>
      </c>
      <c r="C12718" s="13" t="s">
        <v>24086</v>
      </c>
      <c r="D12718" s="13" t="s">
        <v>57</v>
      </c>
      <c r="E12718" s="12" t="s">
        <v>159</v>
      </c>
      <c r="F12718" s="14">
        <v>15000</v>
      </c>
      <c r="G12718" s="14">
        <v>14150</v>
      </c>
      <c r="H12718" s="13" t="s">
        <v>24087</v>
      </c>
      <c r="I12718" s="40" t="s">
        <v>18</v>
      </c>
      <c r="J12718" s="40" t="str">
        <f>HYPERLINK("https://stock.pstatic.net/stock-research/company/16/20250430_company_166583000.pdf","PDF")</f>
        <v>PDF</v>
      </c>
      <c r="K12718" s="12" t="s">
        <v>24088</v>
      </c>
      <c r="L12718" s="20">
        <v>6.0070671378091869E-2</v>
      </c>
    </row>
    <row r="12719" spans="1:12" x14ac:dyDescent="0.45">
      <c r="A12719" s="12" t="s">
        <v>24022</v>
      </c>
      <c r="B12719" s="12" t="s">
        <v>3204</v>
      </c>
      <c r="C12719" s="13" t="s">
        <v>3205</v>
      </c>
      <c r="D12719" s="13" t="s">
        <v>57</v>
      </c>
      <c r="E12719" s="12" t="s">
        <v>35</v>
      </c>
      <c r="F12719" s="14">
        <v>4700</v>
      </c>
      <c r="G12719" s="14">
        <v>3455</v>
      </c>
      <c r="H12719" s="13" t="s">
        <v>24089</v>
      </c>
      <c r="I12719" s="40" t="s">
        <v>18</v>
      </c>
      <c r="J12719" s="40" t="str">
        <f>HYPERLINK("https://stock.pstatic.net/stock-research/company/16/20250430_company_404723000.pdf","PDF")</f>
        <v>PDF</v>
      </c>
      <c r="K12719" s="12" t="s">
        <v>24090</v>
      </c>
      <c r="L12719" s="20">
        <v>0.36034732272069459</v>
      </c>
    </row>
    <row r="12720" spans="1:12" x14ac:dyDescent="0.45">
      <c r="A12720" s="12" t="s">
        <v>24022</v>
      </c>
      <c r="B12720" s="12" t="s">
        <v>3204</v>
      </c>
      <c r="C12720" s="13" t="s">
        <v>3205</v>
      </c>
      <c r="D12720" s="13" t="s">
        <v>158</v>
      </c>
      <c r="E12720" s="12" t="s">
        <v>35</v>
      </c>
      <c r="F12720" s="14">
        <v>4800</v>
      </c>
      <c r="G12720" s="14">
        <v>3520</v>
      </c>
      <c r="H12720" s="13" t="s">
        <v>24091</v>
      </c>
      <c r="I12720" s="40" t="s">
        <v>18</v>
      </c>
      <c r="J12720" s="40" t="str">
        <f>HYPERLINK("https://stock.pstatic.net/stock-research/company/18/20250430_company_938249000.pdf","PDF")</f>
        <v>PDF</v>
      </c>
      <c r="K12720" s="12" t="s">
        <v>24092</v>
      </c>
      <c r="L12720" s="20">
        <v>0.36363636363636359</v>
      </c>
    </row>
    <row r="12721" spans="1:12" x14ac:dyDescent="0.45">
      <c r="A12721" s="12" t="s">
        <v>24022</v>
      </c>
      <c r="B12721" s="12" t="s">
        <v>3101</v>
      </c>
      <c r="C12721" s="13" t="s">
        <v>3102</v>
      </c>
      <c r="D12721" s="13" t="s">
        <v>158</v>
      </c>
      <c r="E12721" s="12" t="s">
        <v>159</v>
      </c>
      <c r="F12721" s="14">
        <v>105000</v>
      </c>
      <c r="G12721" s="14">
        <v>102400</v>
      </c>
      <c r="H12721" s="13" t="s">
        <v>24093</v>
      </c>
      <c r="I12721" s="40" t="s">
        <v>18</v>
      </c>
      <c r="J12721" s="40" t="str">
        <f>HYPERLINK("https://stock.pstatic.net/stock-research/company/18/20250430_company_587451000.pdf","PDF")</f>
        <v>PDF</v>
      </c>
      <c r="K12721" s="12" t="s">
        <v>24094</v>
      </c>
      <c r="L12721" s="20">
        <v>2.5390625E-2</v>
      </c>
    </row>
    <row r="12722" spans="1:12" x14ac:dyDescent="0.45">
      <c r="A12722" s="12" t="s">
        <v>24022</v>
      </c>
      <c r="B12722" s="12" t="s">
        <v>3079</v>
      </c>
      <c r="C12722" s="13" t="s">
        <v>3080</v>
      </c>
      <c r="D12722" s="13" t="s">
        <v>158</v>
      </c>
      <c r="E12722" s="12" t="s">
        <v>35</v>
      </c>
      <c r="F12722" s="14">
        <v>24000</v>
      </c>
      <c r="G12722" s="14">
        <v>17710</v>
      </c>
      <c r="H12722" s="13" t="s">
        <v>24095</v>
      </c>
      <c r="I12722" s="40" t="s">
        <v>18</v>
      </c>
      <c r="J12722" s="40" t="str">
        <f>HYPERLINK("https://stock.pstatic.net/stock-research/company/18/20250430_company_121671000.pdf","PDF")</f>
        <v>PDF</v>
      </c>
      <c r="K12722" s="12" t="s">
        <v>24096</v>
      </c>
      <c r="L12722" s="20">
        <v>0.35516657255787693</v>
      </c>
    </row>
    <row r="12723" spans="1:12" x14ac:dyDescent="0.45">
      <c r="A12723" s="12" t="s">
        <v>24022</v>
      </c>
      <c r="B12723" s="12" t="s">
        <v>1087</v>
      </c>
      <c r="C12723" s="13" t="s">
        <v>1088</v>
      </c>
      <c r="D12723" s="13" t="s">
        <v>158</v>
      </c>
      <c r="E12723" s="12" t="s">
        <v>35</v>
      </c>
      <c r="F12723" s="14">
        <v>112000</v>
      </c>
      <c r="G12723" s="14">
        <v>78200</v>
      </c>
      <c r="H12723" s="13" t="s">
        <v>24097</v>
      </c>
      <c r="I12723" s="40" t="s">
        <v>18</v>
      </c>
      <c r="J12723" s="40" t="str">
        <f>HYPERLINK("https://stock.pstatic.net/stock-research/company/18/20250430_company_575683000.pdf","PDF")</f>
        <v>PDF</v>
      </c>
      <c r="K12723" s="12" t="s">
        <v>24098</v>
      </c>
      <c r="L12723" s="20">
        <v>0.43222506393861893</v>
      </c>
    </row>
    <row r="12724" spans="1:12" x14ac:dyDescent="0.45">
      <c r="A12724" s="12" t="s">
        <v>24022</v>
      </c>
      <c r="B12724" s="12" t="s">
        <v>3355</v>
      </c>
      <c r="C12724" s="13" t="s">
        <v>3356</v>
      </c>
      <c r="D12724" s="13" t="s">
        <v>158</v>
      </c>
      <c r="E12724" s="12" t="s">
        <v>35</v>
      </c>
      <c r="F12724" s="14">
        <v>63000</v>
      </c>
      <c r="G12724" s="14">
        <v>47850</v>
      </c>
      <c r="H12724" s="13" t="s">
        <v>24099</v>
      </c>
      <c r="I12724" s="40" t="s">
        <v>18</v>
      </c>
      <c r="J12724" s="40" t="str">
        <f>HYPERLINK("https://stock.pstatic.net/stock-research/company/18/20250430_company_464408000.pdf","PDF")</f>
        <v>PDF</v>
      </c>
      <c r="K12724" s="12" t="s">
        <v>24100</v>
      </c>
      <c r="L12724" s="20">
        <v>0.31661442006269591</v>
      </c>
    </row>
    <row r="12725" spans="1:12" x14ac:dyDescent="0.45">
      <c r="A12725" s="12" t="s">
        <v>24022</v>
      </c>
      <c r="B12725" s="12" t="s">
        <v>3101</v>
      </c>
      <c r="C12725" s="13" t="s">
        <v>3102</v>
      </c>
      <c r="D12725" s="13" t="s">
        <v>15</v>
      </c>
      <c r="E12725" s="12" t="s">
        <v>16</v>
      </c>
      <c r="F12725" s="14">
        <v>135000</v>
      </c>
      <c r="G12725" s="14">
        <v>102400</v>
      </c>
      <c r="H12725" s="13" t="s">
        <v>24101</v>
      </c>
      <c r="I12725" s="40" t="s">
        <v>18</v>
      </c>
      <c r="J12725" s="40" t="str">
        <f>HYPERLINK("https://stock.pstatic.net/stock-research/company/29/20250430_company_478858000.pdf","PDF")</f>
        <v>PDF</v>
      </c>
      <c r="K12725" s="12" t="s">
        <v>24102</v>
      </c>
      <c r="L12725" s="20">
        <v>0.318359375</v>
      </c>
    </row>
    <row r="12726" spans="1:12" x14ac:dyDescent="0.45">
      <c r="A12726" s="12" t="s">
        <v>24022</v>
      </c>
      <c r="B12726" s="12" t="s">
        <v>3164</v>
      </c>
      <c r="C12726" s="13" t="s">
        <v>3165</v>
      </c>
      <c r="D12726" s="13" t="s">
        <v>15</v>
      </c>
      <c r="E12726" s="12" t="s">
        <v>16</v>
      </c>
      <c r="F12726" s="14">
        <v>50000</v>
      </c>
      <c r="G12726" s="14">
        <v>41150</v>
      </c>
      <c r="H12726" s="13" t="s">
        <v>24103</v>
      </c>
      <c r="I12726" s="40" t="s">
        <v>18</v>
      </c>
      <c r="J12726" s="40" t="str">
        <f>HYPERLINK("https://stock.pstatic.net/stock-research/company/56/20250430_company_660993000.pdf","PDF")</f>
        <v>PDF</v>
      </c>
      <c r="K12726" s="12" t="s">
        <v>24104</v>
      </c>
      <c r="L12726" s="20">
        <v>0.21506682867557719</v>
      </c>
    </row>
    <row r="12727" spans="1:12" x14ac:dyDescent="0.45">
      <c r="A12727" s="12" t="s">
        <v>24022</v>
      </c>
      <c r="B12727" s="12" t="s">
        <v>2982</v>
      </c>
      <c r="C12727" s="13" t="s">
        <v>2983</v>
      </c>
      <c r="D12727" s="13" t="s">
        <v>15</v>
      </c>
      <c r="E12727" s="12" t="s">
        <v>16</v>
      </c>
      <c r="F12727" s="14">
        <v>53000</v>
      </c>
      <c r="G12727" s="14">
        <v>42450</v>
      </c>
      <c r="H12727" s="13" t="s">
        <v>24105</v>
      </c>
      <c r="I12727" s="40" t="s">
        <v>18</v>
      </c>
      <c r="J12727" s="40" t="str">
        <f>HYPERLINK("https://stock.pstatic.net/stock-research/company/29/20250430_company_643807000.pdf","PDF")</f>
        <v>PDF</v>
      </c>
      <c r="K12727" s="12" t="s">
        <v>24106</v>
      </c>
      <c r="L12727" s="20">
        <v>0.248527679623086</v>
      </c>
    </row>
    <row r="12728" spans="1:12" x14ac:dyDescent="0.45">
      <c r="A12728" s="12" t="s">
        <v>24022</v>
      </c>
      <c r="B12728" s="12" t="s">
        <v>3204</v>
      </c>
      <c r="C12728" s="13" t="s">
        <v>3205</v>
      </c>
      <c r="D12728" s="13" t="s">
        <v>15</v>
      </c>
      <c r="E12728" s="12" t="s">
        <v>16</v>
      </c>
      <c r="F12728" s="14">
        <v>4300</v>
      </c>
      <c r="G12728" s="14">
        <v>3520</v>
      </c>
      <c r="H12728" s="13" t="s">
        <v>24107</v>
      </c>
      <c r="I12728" s="40" t="s">
        <v>18</v>
      </c>
      <c r="J12728" s="40" t="str">
        <f>HYPERLINK("https://stock.pstatic.net/stock-research/company/29/20250430_company_189802000.pdf","PDF")</f>
        <v>PDF</v>
      </c>
      <c r="K12728" s="12" t="s">
        <v>24108</v>
      </c>
      <c r="L12728" s="20">
        <v>0.22159090909090909</v>
      </c>
    </row>
    <row r="12729" spans="1:12" x14ac:dyDescent="0.45">
      <c r="A12729" s="12" t="s">
        <v>24022</v>
      </c>
      <c r="B12729" s="12" t="s">
        <v>661</v>
      </c>
      <c r="C12729" s="13" t="s">
        <v>662</v>
      </c>
      <c r="D12729" s="13" t="s">
        <v>83</v>
      </c>
      <c r="E12729" s="12" t="s">
        <v>35</v>
      </c>
      <c r="F12729" s="14">
        <v>29000</v>
      </c>
      <c r="G12729" s="14">
        <v>19170</v>
      </c>
      <c r="H12729" s="13" t="s">
        <v>24109</v>
      </c>
      <c r="I12729" s="40" t="s">
        <v>18</v>
      </c>
      <c r="J12729" s="40" t="str">
        <f>HYPERLINK("https://stock.pstatic.net/stock-research/company/2/20250430_company_713470000.pdf","PDF")</f>
        <v>PDF</v>
      </c>
      <c r="K12729" s="12" t="s">
        <v>24110</v>
      </c>
      <c r="L12729" s="20">
        <v>0.51278038601982268</v>
      </c>
    </row>
    <row r="12730" spans="1:12" x14ac:dyDescent="0.45">
      <c r="A12730" s="12" t="s">
        <v>24022</v>
      </c>
      <c r="B12730" s="12" t="s">
        <v>4567</v>
      </c>
      <c r="C12730" s="13" t="s">
        <v>4568</v>
      </c>
      <c r="D12730" s="13" t="s">
        <v>83</v>
      </c>
      <c r="E12730" s="12" t="s">
        <v>35</v>
      </c>
      <c r="F12730" s="14">
        <v>20000</v>
      </c>
      <c r="G12730" s="14">
        <v>14700</v>
      </c>
      <c r="H12730" s="13" t="s">
        <v>24111</v>
      </c>
      <c r="I12730" s="40" t="s">
        <v>18</v>
      </c>
      <c r="J12730" s="40" t="str">
        <f>HYPERLINK("https://stock.pstatic.net/stock-research/company/2/20250430_company_503423000.pdf","PDF")</f>
        <v>PDF</v>
      </c>
      <c r="K12730" s="12" t="s">
        <v>24112</v>
      </c>
      <c r="L12730" s="20">
        <v>0.36054421768707479</v>
      </c>
    </row>
    <row r="12731" spans="1:12" x14ac:dyDescent="0.45">
      <c r="A12731" s="12" t="s">
        <v>24022</v>
      </c>
      <c r="B12731" s="12" t="s">
        <v>32</v>
      </c>
      <c r="C12731" s="13" t="s">
        <v>33</v>
      </c>
      <c r="D12731" s="13" t="s">
        <v>83</v>
      </c>
      <c r="E12731" s="12" t="s">
        <v>35</v>
      </c>
      <c r="F12731" s="14">
        <v>180000</v>
      </c>
      <c r="G12731" s="14">
        <v>121800</v>
      </c>
      <c r="H12731" s="13" t="s">
        <v>24113</v>
      </c>
      <c r="I12731" s="40" t="s">
        <v>18</v>
      </c>
      <c r="J12731" s="40" t="str">
        <f>HYPERLINK("https://stock.pstatic.net/stock-research/company/2/20250430_company_283514000.pdf","PDF")</f>
        <v>PDF</v>
      </c>
      <c r="K12731" s="12" t="s">
        <v>24114</v>
      </c>
      <c r="L12731" s="20">
        <v>0.47783251231527102</v>
      </c>
    </row>
    <row r="12732" spans="1:12" x14ac:dyDescent="0.45">
      <c r="A12732" s="12" t="s">
        <v>24022</v>
      </c>
      <c r="B12732" s="12" t="s">
        <v>2522</v>
      </c>
      <c r="C12732" s="13" t="s">
        <v>2523</v>
      </c>
      <c r="D12732" s="13" t="s">
        <v>83</v>
      </c>
      <c r="E12732" s="12" t="s">
        <v>35</v>
      </c>
      <c r="F12732" s="14">
        <v>540000</v>
      </c>
      <c r="G12732" s="14">
        <v>370000</v>
      </c>
      <c r="H12732" s="13" t="s">
        <v>24115</v>
      </c>
      <c r="I12732" s="40" t="s">
        <v>18</v>
      </c>
      <c r="J12732" s="40" t="str">
        <f>HYPERLINK("https://stock.pstatic.net/stock-research/company/2/20250430_company_592269000.pdf","PDF")</f>
        <v>PDF</v>
      </c>
      <c r="K12732" s="12" t="s">
        <v>24116</v>
      </c>
      <c r="L12732" s="20">
        <v>0.45945945945945948</v>
      </c>
    </row>
    <row r="12733" spans="1:12" x14ac:dyDescent="0.45">
      <c r="A12733" s="12" t="s">
        <v>24022</v>
      </c>
      <c r="B12733" s="12" t="s">
        <v>3105</v>
      </c>
      <c r="C12733" s="13" t="s">
        <v>3106</v>
      </c>
      <c r="D12733" s="13" t="s">
        <v>83</v>
      </c>
      <c r="E12733" s="12" t="s">
        <v>35</v>
      </c>
      <c r="F12733" s="14">
        <v>310000</v>
      </c>
      <c r="G12733" s="14">
        <v>253000</v>
      </c>
      <c r="H12733" s="13" t="s">
        <v>24117</v>
      </c>
      <c r="I12733" s="40" t="s">
        <v>18</v>
      </c>
      <c r="J12733" s="40" t="str">
        <f>HYPERLINK("https://stock.pstatic.net/stock-research/company/2/20250430_company_499225000.pdf","PDF")</f>
        <v>PDF</v>
      </c>
      <c r="K12733" s="12" t="s">
        <v>24118</v>
      </c>
      <c r="L12733" s="20">
        <v>0.22529644268774701</v>
      </c>
    </row>
    <row r="12734" spans="1:12" x14ac:dyDescent="0.45">
      <c r="A12734" s="12" t="s">
        <v>24022</v>
      </c>
      <c r="B12734" s="12" t="s">
        <v>3018</v>
      </c>
      <c r="C12734" s="13" t="s">
        <v>3019</v>
      </c>
      <c r="D12734" s="13" t="s">
        <v>83</v>
      </c>
      <c r="E12734" s="12" t="s">
        <v>35</v>
      </c>
      <c r="F12734" s="14">
        <v>21000</v>
      </c>
      <c r="G12734" s="14">
        <v>16120</v>
      </c>
      <c r="H12734" s="13" t="s">
        <v>24119</v>
      </c>
      <c r="I12734" s="40" t="s">
        <v>18</v>
      </c>
      <c r="J12734" s="40" t="str">
        <f>HYPERLINK("https://stock.pstatic.net/stock-research/company/2/20250430_company_478936000.pdf","PDF")</f>
        <v>PDF</v>
      </c>
      <c r="K12734" s="12" t="s">
        <v>24120</v>
      </c>
      <c r="L12734" s="20">
        <v>0.30272952853598017</v>
      </c>
    </row>
    <row r="12735" spans="1:12" x14ac:dyDescent="0.45">
      <c r="A12735" s="12" t="s">
        <v>24022</v>
      </c>
      <c r="B12735" s="12" t="s">
        <v>1087</v>
      </c>
      <c r="C12735" s="13" t="s">
        <v>1088</v>
      </c>
      <c r="D12735" s="13" t="s">
        <v>83</v>
      </c>
      <c r="E12735" s="12" t="s">
        <v>35</v>
      </c>
      <c r="F12735" s="14">
        <v>140000</v>
      </c>
      <c r="G12735" s="14">
        <v>78200</v>
      </c>
      <c r="H12735" s="13" t="s">
        <v>24121</v>
      </c>
      <c r="I12735" s="40" t="s">
        <v>18</v>
      </c>
      <c r="J12735" s="40" t="str">
        <f>HYPERLINK("https://stock.pstatic.net/stock-research/company/2/20250430_company_329543000.pdf","PDF")</f>
        <v>PDF</v>
      </c>
      <c r="K12735" s="12" t="s">
        <v>24122</v>
      </c>
      <c r="L12735" s="20">
        <v>0.79028132992327371</v>
      </c>
    </row>
    <row r="12736" spans="1:12" x14ac:dyDescent="0.45">
      <c r="A12736" s="12" t="s">
        <v>24022</v>
      </c>
      <c r="B12736" s="12" t="s">
        <v>170</v>
      </c>
      <c r="C12736" s="13" t="s">
        <v>171</v>
      </c>
      <c r="D12736" s="13" t="s">
        <v>15</v>
      </c>
      <c r="E12736" s="12" t="s">
        <v>16</v>
      </c>
      <c r="F12736" s="14">
        <v>100000</v>
      </c>
      <c r="G12736" s="14">
        <v>70700</v>
      </c>
      <c r="H12736" s="13" t="s">
        <v>24123</v>
      </c>
      <c r="I12736" s="40" t="s">
        <v>18</v>
      </c>
      <c r="J12736" s="40" t="str">
        <f>HYPERLINK("https://stock.pstatic.net/stock-research/company/1/20250430_company_660477000.pdf","PDF")</f>
        <v>PDF</v>
      </c>
      <c r="K12736" s="12" t="s">
        <v>24124</v>
      </c>
      <c r="L12736" s="20">
        <v>0.41442715700141441</v>
      </c>
    </row>
    <row r="12737" spans="1:12" x14ac:dyDescent="0.45">
      <c r="A12737" s="12" t="s">
        <v>24022</v>
      </c>
      <c r="B12737" s="12" t="s">
        <v>32</v>
      </c>
      <c r="C12737" s="13" t="s">
        <v>33</v>
      </c>
      <c r="D12737" s="13" t="s">
        <v>15</v>
      </c>
      <c r="E12737" s="12" t="s">
        <v>16</v>
      </c>
      <c r="F12737" s="14">
        <v>200000</v>
      </c>
      <c r="G12737" s="14">
        <v>121800</v>
      </c>
      <c r="H12737" s="13" t="s">
        <v>24125</v>
      </c>
      <c r="I12737" s="40" t="s">
        <v>18</v>
      </c>
      <c r="J12737" s="40" t="str">
        <f>HYPERLINK("https://stock.pstatic.net/stock-research/company/29/20250430_company_951821000.pdf","PDF")</f>
        <v>PDF</v>
      </c>
      <c r="K12737" s="12" t="s">
        <v>24126</v>
      </c>
      <c r="L12737" s="20">
        <v>0.64203612479474548</v>
      </c>
    </row>
    <row r="12738" spans="1:12" x14ac:dyDescent="0.45">
      <c r="A12738" s="12" t="s">
        <v>24022</v>
      </c>
      <c r="B12738" s="12" t="s">
        <v>3105</v>
      </c>
      <c r="C12738" s="13" t="s">
        <v>3106</v>
      </c>
      <c r="D12738" s="13" t="s">
        <v>15</v>
      </c>
      <c r="E12738" s="12" t="s">
        <v>16</v>
      </c>
      <c r="F12738" s="14">
        <v>310000</v>
      </c>
      <c r="G12738" s="14">
        <v>253000</v>
      </c>
      <c r="H12738" s="13" t="s">
        <v>24127</v>
      </c>
      <c r="I12738" s="40" t="s">
        <v>18</v>
      </c>
      <c r="J12738" s="40" t="str">
        <f>HYPERLINK("https://stock.pstatic.net/stock-research/company/29/20250430_company_391077000.pdf","PDF")</f>
        <v>PDF</v>
      </c>
      <c r="K12738" s="12" t="s">
        <v>24128</v>
      </c>
      <c r="L12738" s="20">
        <v>0.22529644268774701</v>
      </c>
    </row>
    <row r="12739" spans="1:12" x14ac:dyDescent="0.45">
      <c r="A12739" s="12" t="s">
        <v>24022</v>
      </c>
      <c r="B12739" s="12" t="s">
        <v>3018</v>
      </c>
      <c r="C12739" s="13" t="s">
        <v>3019</v>
      </c>
      <c r="D12739" s="13" t="s">
        <v>23</v>
      </c>
      <c r="E12739" s="12" t="s">
        <v>16</v>
      </c>
      <c r="F12739" s="14">
        <v>22000</v>
      </c>
      <c r="G12739" s="14">
        <v>16120</v>
      </c>
      <c r="H12739" s="13" t="s">
        <v>24129</v>
      </c>
      <c r="I12739" s="40" t="s">
        <v>18</v>
      </c>
      <c r="J12739" s="40" t="str">
        <f>HYPERLINK("https://stock.pstatic.net/stock-research/company/21/20250430_company_124931000.pdf","PDF")</f>
        <v>PDF</v>
      </c>
      <c r="K12739" s="12" t="s">
        <v>24130</v>
      </c>
      <c r="L12739" s="20">
        <v>0.36476426799007439</v>
      </c>
    </row>
    <row r="12740" spans="1:12" x14ac:dyDescent="0.45">
      <c r="A12740" s="12" t="s">
        <v>24022</v>
      </c>
      <c r="B12740" s="12" t="s">
        <v>2762</v>
      </c>
      <c r="C12740" s="13" t="s">
        <v>2763</v>
      </c>
      <c r="D12740" s="13" t="s">
        <v>15</v>
      </c>
      <c r="E12740" s="12" t="s">
        <v>5386</v>
      </c>
      <c r="F12740" s="14">
        <v>75000</v>
      </c>
      <c r="G12740" s="14">
        <v>84800</v>
      </c>
      <c r="H12740" s="13" t="s">
        <v>24131</v>
      </c>
      <c r="I12740" s="40" t="s">
        <v>18</v>
      </c>
      <c r="J12740" s="40" t="str">
        <f>HYPERLINK("https://stock.pstatic.net/stock-research/company/1/20250430_company_482972000.pdf","PDF")</f>
        <v>PDF</v>
      </c>
      <c r="K12740" s="12" t="s">
        <v>24132</v>
      </c>
      <c r="L12740" s="20">
        <v>-0.1155660377358491</v>
      </c>
    </row>
    <row r="12741" spans="1:12" x14ac:dyDescent="0.45">
      <c r="A12741" s="12" t="s">
        <v>24022</v>
      </c>
      <c r="B12741" s="12" t="s">
        <v>6347</v>
      </c>
      <c r="C12741" s="13" t="s">
        <v>6348</v>
      </c>
      <c r="D12741" s="13" t="s">
        <v>23</v>
      </c>
      <c r="E12741" s="12" t="s">
        <v>16</v>
      </c>
      <c r="F12741" s="14">
        <v>40000</v>
      </c>
      <c r="G12741" s="14">
        <v>32650</v>
      </c>
      <c r="H12741" s="13" t="s">
        <v>24133</v>
      </c>
      <c r="I12741" s="40" t="s">
        <v>18</v>
      </c>
      <c r="J12741" s="40" t="str">
        <f>HYPERLINK("https://stock.pstatic.net/stock-research/company/21/20250430_company_497591000.pdf","PDF")</f>
        <v>PDF</v>
      </c>
      <c r="K12741" s="12" t="s">
        <v>24134</v>
      </c>
      <c r="L12741" s="20">
        <v>0.22511485451761101</v>
      </c>
    </row>
    <row r="12742" spans="1:12" x14ac:dyDescent="0.45">
      <c r="A12742" s="12" t="s">
        <v>24022</v>
      </c>
      <c r="B12742" s="12" t="s">
        <v>8114</v>
      </c>
      <c r="C12742" s="13" t="s">
        <v>8115</v>
      </c>
      <c r="D12742" s="13" t="s">
        <v>23</v>
      </c>
      <c r="E12742" s="12" t="s">
        <v>16</v>
      </c>
      <c r="F12742" s="14">
        <v>33000</v>
      </c>
      <c r="G12742" s="14">
        <v>23600</v>
      </c>
      <c r="H12742" s="13" t="s">
        <v>24135</v>
      </c>
      <c r="I12742" s="40" t="s">
        <v>18</v>
      </c>
      <c r="J12742" s="40" t="str">
        <f>HYPERLINK("https://stock.pstatic.net/stock-research/company/21/20250430_company_282791000.pdf","PDF")</f>
        <v>PDF</v>
      </c>
      <c r="K12742" s="12" t="s">
        <v>24136</v>
      </c>
      <c r="L12742" s="20">
        <v>0.39830508474576271</v>
      </c>
    </row>
    <row r="12743" spans="1:12" x14ac:dyDescent="0.45">
      <c r="A12743" s="12" t="s">
        <v>24022</v>
      </c>
      <c r="B12743" s="12" t="s">
        <v>856</v>
      </c>
      <c r="C12743" s="13" t="s">
        <v>857</v>
      </c>
      <c r="D12743" s="13" t="s">
        <v>92</v>
      </c>
      <c r="E12743" s="12" t="s">
        <v>35</v>
      </c>
      <c r="F12743" s="14">
        <v>210000</v>
      </c>
      <c r="G12743" s="14">
        <v>136800</v>
      </c>
      <c r="H12743" s="13" t="s">
        <v>24137</v>
      </c>
      <c r="I12743" s="40" t="s">
        <v>18</v>
      </c>
      <c r="J12743" s="40" t="str">
        <f>HYPERLINK("https://stock.pstatic.net/stock-research/company/63/20250430_company_58675000.pdf","PDF")</f>
        <v>PDF</v>
      </c>
      <c r="K12743" s="12" t="s">
        <v>24138</v>
      </c>
      <c r="L12743" s="20">
        <v>0.53508771929824561</v>
      </c>
    </row>
    <row r="12744" spans="1:12" x14ac:dyDescent="0.45">
      <c r="A12744" s="12" t="s">
        <v>24022</v>
      </c>
      <c r="B12744" s="12" t="s">
        <v>784</v>
      </c>
      <c r="C12744" s="13" t="s">
        <v>785</v>
      </c>
      <c r="D12744" s="13" t="s">
        <v>92</v>
      </c>
      <c r="E12744" s="12" t="s">
        <v>35</v>
      </c>
      <c r="F12744" s="14">
        <v>14000</v>
      </c>
      <c r="G12744" s="14">
        <v>8880</v>
      </c>
      <c r="H12744" s="13" t="s">
        <v>24139</v>
      </c>
      <c r="I12744" s="40" t="s">
        <v>18</v>
      </c>
      <c r="J12744" s="40" t="str">
        <f>HYPERLINK("https://stock.pstatic.net/stock-research/company/63/20250430_company_719399000.pdf","PDF")</f>
        <v>PDF</v>
      </c>
      <c r="K12744" s="12" t="s">
        <v>24140</v>
      </c>
      <c r="L12744" s="20">
        <v>0.57657657657657657</v>
      </c>
    </row>
    <row r="12745" spans="1:12" x14ac:dyDescent="0.45">
      <c r="A12745" s="12" t="s">
        <v>24022</v>
      </c>
      <c r="B12745" s="12" t="s">
        <v>2982</v>
      </c>
      <c r="C12745" s="13" t="s">
        <v>2983</v>
      </c>
      <c r="D12745" s="13" t="s">
        <v>34</v>
      </c>
      <c r="E12745" s="12" t="s">
        <v>35</v>
      </c>
      <c r="F12745" s="14">
        <v>53000</v>
      </c>
      <c r="G12745" s="14">
        <v>42450</v>
      </c>
      <c r="H12745" s="13" t="s">
        <v>24141</v>
      </c>
      <c r="I12745" s="40" t="s">
        <v>18</v>
      </c>
      <c r="J12745" s="40" t="str">
        <f>HYPERLINK("https://stock.pstatic.net/stock-research/company/61/20250430_company_703331000.pdf","PDF")</f>
        <v>PDF</v>
      </c>
      <c r="K12745" s="12" t="s">
        <v>24142</v>
      </c>
      <c r="L12745" s="20">
        <v>0.248527679623086</v>
      </c>
    </row>
    <row r="12746" spans="1:12" x14ac:dyDescent="0.45">
      <c r="A12746" s="12" t="s">
        <v>24022</v>
      </c>
      <c r="B12746" s="12" t="s">
        <v>1374</v>
      </c>
      <c r="C12746" s="13" t="s">
        <v>1375</v>
      </c>
      <c r="D12746" s="13" t="s">
        <v>179</v>
      </c>
      <c r="E12746" s="12" t="s">
        <v>16</v>
      </c>
      <c r="F12746" s="14">
        <v>50000</v>
      </c>
      <c r="G12746" s="14">
        <v>40250</v>
      </c>
      <c r="H12746" s="13" t="s">
        <v>24143</v>
      </c>
      <c r="I12746" s="40" t="s">
        <v>18</v>
      </c>
      <c r="J12746" s="40" t="str">
        <f>HYPERLINK("https://stock.pstatic.net/stock-research/company/64/20250430_company_373006000.pdf","PDF")</f>
        <v>PDF</v>
      </c>
      <c r="K12746" s="12" t="s">
        <v>24144</v>
      </c>
      <c r="L12746" s="20">
        <v>0.24223602484472051</v>
      </c>
    </row>
    <row r="12747" spans="1:12" x14ac:dyDescent="0.45">
      <c r="A12747" s="12" t="s">
        <v>24022</v>
      </c>
      <c r="B12747" s="12" t="s">
        <v>3101</v>
      </c>
      <c r="C12747" s="13" t="s">
        <v>3102</v>
      </c>
      <c r="D12747" s="13" t="s">
        <v>92</v>
      </c>
      <c r="E12747" s="12" t="s">
        <v>35</v>
      </c>
      <c r="F12747" s="14">
        <v>180000</v>
      </c>
      <c r="G12747" s="14">
        <v>102400</v>
      </c>
      <c r="H12747" s="13" t="s">
        <v>24145</v>
      </c>
      <c r="I12747" s="40" t="s">
        <v>18</v>
      </c>
      <c r="J12747" s="40" t="str">
        <f>HYPERLINK("https://stock.pstatic.net/stock-research/company/63/20250430_company_127186000.pdf","PDF")</f>
        <v>PDF</v>
      </c>
      <c r="K12747" s="12" t="s">
        <v>24146</v>
      </c>
      <c r="L12747" s="20">
        <v>0.7578125</v>
      </c>
    </row>
    <row r="12748" spans="1:12" x14ac:dyDescent="0.45">
      <c r="A12748" s="12" t="s">
        <v>24022</v>
      </c>
      <c r="B12748" s="12" t="s">
        <v>3164</v>
      </c>
      <c r="C12748" s="13" t="s">
        <v>3165</v>
      </c>
      <c r="D12748" s="13" t="s">
        <v>34</v>
      </c>
      <c r="E12748" s="12" t="s">
        <v>35</v>
      </c>
      <c r="F12748" s="14">
        <v>52000</v>
      </c>
      <c r="G12748" s="14">
        <v>41150</v>
      </c>
      <c r="H12748" s="13" t="s">
        <v>24147</v>
      </c>
      <c r="I12748" s="40" t="s">
        <v>18</v>
      </c>
      <c r="J12748" s="40" t="str">
        <f>HYPERLINK("https://stock.pstatic.net/stock-research/company/61/20250430_company_481573000.pdf","PDF")</f>
        <v>PDF</v>
      </c>
      <c r="K12748" s="12" t="s">
        <v>24148</v>
      </c>
      <c r="L12748" s="20">
        <v>0.26366950182260018</v>
      </c>
    </row>
    <row r="12749" spans="1:12" x14ac:dyDescent="0.45">
      <c r="A12749" s="12" t="s">
        <v>24022</v>
      </c>
      <c r="B12749" s="12" t="s">
        <v>2837</v>
      </c>
      <c r="C12749" s="13" t="s">
        <v>2838</v>
      </c>
      <c r="D12749" s="13" t="s">
        <v>23</v>
      </c>
      <c r="E12749" s="12" t="s">
        <v>50</v>
      </c>
      <c r="F12749" s="14">
        <v>40000</v>
      </c>
      <c r="G12749" s="14">
        <v>39300</v>
      </c>
      <c r="H12749" s="13" t="s">
        <v>24149</v>
      </c>
      <c r="I12749" s="40" t="s">
        <v>18</v>
      </c>
      <c r="J12749" s="40" t="str">
        <f>HYPERLINK("https://stock.pstatic.net/stock-research/company/21/20250430_company_872092000.pdf","PDF")</f>
        <v>PDF</v>
      </c>
      <c r="K12749" s="12" t="s">
        <v>24150</v>
      </c>
      <c r="L12749" s="20">
        <v>1.7811704834605601E-2</v>
      </c>
    </row>
    <row r="12750" spans="1:12" x14ac:dyDescent="0.45">
      <c r="A12750" s="12" t="s">
        <v>24022</v>
      </c>
      <c r="B12750" s="12" t="s">
        <v>6347</v>
      </c>
      <c r="C12750" s="13" t="s">
        <v>6348</v>
      </c>
      <c r="D12750" s="13" t="s">
        <v>92</v>
      </c>
      <c r="E12750" s="12" t="s">
        <v>50</v>
      </c>
      <c r="F12750" s="13"/>
      <c r="G12750" s="14">
        <v>32050</v>
      </c>
      <c r="H12750" s="13" t="s">
        <v>24151</v>
      </c>
      <c r="I12750" s="40" t="s">
        <v>18</v>
      </c>
      <c r="J12750" s="40" t="str">
        <f>HYPERLINK("https://stock.pstatic.net/stock-research/company/63/20250430_company_914874000.pdf","PDF")</f>
        <v>PDF</v>
      </c>
      <c r="K12750" s="12" t="s">
        <v>24152</v>
      </c>
    </row>
    <row r="12751" spans="1:12" x14ac:dyDescent="0.45">
      <c r="A12751" s="12" t="s">
        <v>24022</v>
      </c>
      <c r="B12751" s="12" t="s">
        <v>2522</v>
      </c>
      <c r="C12751" s="13" t="s">
        <v>2523</v>
      </c>
      <c r="D12751" s="13" t="s">
        <v>179</v>
      </c>
      <c r="E12751" s="12" t="s">
        <v>35</v>
      </c>
      <c r="F12751" s="14">
        <v>500000</v>
      </c>
      <c r="G12751" s="14">
        <v>370000</v>
      </c>
      <c r="H12751" s="13" t="s">
        <v>24153</v>
      </c>
      <c r="I12751" s="40" t="s">
        <v>18</v>
      </c>
      <c r="J12751" s="40" t="str">
        <f>HYPERLINK("https://stock.pstatic.net/stock-research/company/31/20250430_company_274175000.pdf","PDF")</f>
        <v>PDF</v>
      </c>
      <c r="K12751" s="12" t="s">
        <v>24154</v>
      </c>
      <c r="L12751" s="20">
        <v>0.35135135135135143</v>
      </c>
    </row>
    <row r="12752" spans="1:12" x14ac:dyDescent="0.45">
      <c r="A12752" s="12" t="s">
        <v>24022</v>
      </c>
      <c r="B12752" s="12" t="s">
        <v>3105</v>
      </c>
      <c r="C12752" s="13" t="s">
        <v>3106</v>
      </c>
      <c r="D12752" s="13" t="s">
        <v>34</v>
      </c>
      <c r="E12752" s="12" t="s">
        <v>35</v>
      </c>
      <c r="F12752" s="14">
        <v>320000</v>
      </c>
      <c r="G12752" s="14">
        <v>253000</v>
      </c>
      <c r="H12752" s="13" t="s">
        <v>24155</v>
      </c>
      <c r="I12752" s="40" t="s">
        <v>18</v>
      </c>
      <c r="J12752" s="40" t="str">
        <f>HYPERLINK("https://stock.pstatic.net/stock-research/company/61/20250430_company_289688000.pdf","PDF")</f>
        <v>PDF</v>
      </c>
      <c r="K12752" s="12" t="s">
        <v>24156</v>
      </c>
      <c r="L12752" s="20">
        <v>0.2648221343873518</v>
      </c>
    </row>
    <row r="12753" spans="1:12" x14ac:dyDescent="0.45">
      <c r="A12753" s="12" t="s">
        <v>24022</v>
      </c>
      <c r="B12753" s="12" t="s">
        <v>3280</v>
      </c>
      <c r="C12753" s="13" t="s">
        <v>3281</v>
      </c>
      <c r="D12753" s="13" t="s">
        <v>34</v>
      </c>
      <c r="E12753" s="12" t="s">
        <v>35</v>
      </c>
      <c r="F12753" s="14">
        <v>55000</v>
      </c>
      <c r="G12753" s="14">
        <v>35450</v>
      </c>
      <c r="H12753" s="13" t="s">
        <v>24157</v>
      </c>
      <c r="I12753" s="40" t="s">
        <v>18</v>
      </c>
      <c r="J12753" s="40" t="str">
        <f>HYPERLINK("https://stock.pstatic.net/stock-research/company/61/20250430_company_931921000.pdf","PDF")</f>
        <v>PDF</v>
      </c>
      <c r="K12753" s="12" t="s">
        <v>24158</v>
      </c>
      <c r="L12753" s="20">
        <v>0.5514809590973202</v>
      </c>
    </row>
    <row r="12754" spans="1:12" x14ac:dyDescent="0.45">
      <c r="A12754" s="12" t="s">
        <v>24022</v>
      </c>
      <c r="B12754" s="12" t="s">
        <v>170</v>
      </c>
      <c r="C12754" s="13" t="s">
        <v>171</v>
      </c>
      <c r="D12754" s="13" t="s">
        <v>92</v>
      </c>
      <c r="E12754" s="12" t="s">
        <v>35</v>
      </c>
      <c r="F12754" s="14">
        <v>95000</v>
      </c>
      <c r="G12754" s="14">
        <v>70700</v>
      </c>
      <c r="H12754" s="13" t="s">
        <v>24159</v>
      </c>
      <c r="I12754" s="40" t="s">
        <v>18</v>
      </c>
      <c r="J12754" s="40" t="str">
        <f>HYPERLINK("https://stock.pstatic.net/stock-research/company/63/20250430_company_9048000.pdf","PDF")</f>
        <v>PDF</v>
      </c>
      <c r="K12754" s="12" t="s">
        <v>24160</v>
      </c>
      <c r="L12754" s="20">
        <v>0.34370579915134369</v>
      </c>
    </row>
    <row r="12755" spans="1:12" x14ac:dyDescent="0.45">
      <c r="A12755" s="12" t="s">
        <v>24022</v>
      </c>
      <c r="B12755" s="12" t="s">
        <v>32</v>
      </c>
      <c r="C12755" s="13" t="s">
        <v>33</v>
      </c>
      <c r="D12755" s="13" t="s">
        <v>179</v>
      </c>
      <c r="E12755" s="12" t="s">
        <v>16</v>
      </c>
      <c r="F12755" s="14">
        <v>187000</v>
      </c>
      <c r="G12755" s="14">
        <v>121800</v>
      </c>
      <c r="H12755" s="13" t="s">
        <v>24161</v>
      </c>
      <c r="I12755" s="40" t="s">
        <v>18</v>
      </c>
      <c r="J12755" s="40" t="str">
        <f>HYPERLINK("https://stock.pstatic.net/stock-research/company/31/20250430_company_776114000.pdf","PDF")</f>
        <v>PDF</v>
      </c>
      <c r="K12755" s="12" t="s">
        <v>24162</v>
      </c>
      <c r="L12755" s="20">
        <v>0.53530377668308704</v>
      </c>
    </row>
    <row r="12756" spans="1:12" x14ac:dyDescent="0.45">
      <c r="A12756" s="12" t="s">
        <v>24022</v>
      </c>
      <c r="B12756" s="12" t="s">
        <v>170</v>
      </c>
      <c r="C12756" s="13" t="s">
        <v>171</v>
      </c>
      <c r="D12756" s="13" t="s">
        <v>23</v>
      </c>
      <c r="E12756" s="12" t="s">
        <v>16</v>
      </c>
      <c r="F12756" s="14">
        <v>93000</v>
      </c>
      <c r="G12756" s="14">
        <v>70700</v>
      </c>
      <c r="H12756" s="13" t="s">
        <v>7634</v>
      </c>
      <c r="I12756" s="40" t="s">
        <v>18</v>
      </c>
      <c r="J12756" s="40" t="str">
        <f>HYPERLINK("https://stock.pstatic.net/stock-research/company/21/20250430_company_757913000.pdf","PDF")</f>
        <v>PDF</v>
      </c>
      <c r="K12756" s="12" t="s">
        <v>24163</v>
      </c>
      <c r="L12756" s="20">
        <v>0.31541725601131537</v>
      </c>
    </row>
    <row r="12757" spans="1:12" x14ac:dyDescent="0.45">
      <c r="A12757" s="12" t="s">
        <v>24022</v>
      </c>
      <c r="B12757" s="12" t="s">
        <v>17011</v>
      </c>
      <c r="C12757" s="13" t="s">
        <v>17012</v>
      </c>
      <c r="D12757" s="13" t="s">
        <v>23</v>
      </c>
      <c r="E12757" s="12" t="s">
        <v>16</v>
      </c>
      <c r="F12757" s="14">
        <v>30000</v>
      </c>
      <c r="G12757" s="14">
        <v>20700</v>
      </c>
      <c r="H12757" s="13" t="s">
        <v>24164</v>
      </c>
      <c r="I12757" s="40" t="s">
        <v>18</v>
      </c>
      <c r="J12757" s="40" t="str">
        <f>HYPERLINK("https://stock.pstatic.net/stock-research/company/21/20250430_company_433014000.pdf","PDF")</f>
        <v>PDF</v>
      </c>
      <c r="K12757" s="12" t="s">
        <v>24165</v>
      </c>
      <c r="L12757" s="20">
        <v>0.44927536231884058</v>
      </c>
    </row>
    <row r="12758" spans="1:12" x14ac:dyDescent="0.45">
      <c r="A12758" s="12" t="s">
        <v>24022</v>
      </c>
      <c r="B12758" s="12" t="s">
        <v>3105</v>
      </c>
      <c r="C12758" s="13" t="s">
        <v>3106</v>
      </c>
      <c r="D12758" s="13" t="s">
        <v>92</v>
      </c>
      <c r="E12758" s="12" t="s">
        <v>35</v>
      </c>
      <c r="F12758" s="14">
        <v>330000</v>
      </c>
      <c r="G12758" s="14">
        <v>253000</v>
      </c>
      <c r="H12758" s="13" t="s">
        <v>24166</v>
      </c>
      <c r="I12758" s="40" t="s">
        <v>18</v>
      </c>
      <c r="J12758" s="40" t="str">
        <f>HYPERLINK("https://stock.pstatic.net/stock-research/company/63/20250430_company_535824000.pdf","PDF")</f>
        <v>PDF</v>
      </c>
      <c r="K12758" s="12" t="s">
        <v>24167</v>
      </c>
      <c r="L12758" s="20">
        <v>0.30434782608695649</v>
      </c>
    </row>
    <row r="12759" spans="1:12" x14ac:dyDescent="0.45">
      <c r="A12759" s="12" t="s">
        <v>24022</v>
      </c>
      <c r="B12759" s="12" t="s">
        <v>370</v>
      </c>
      <c r="C12759" s="13" t="s">
        <v>371</v>
      </c>
      <c r="D12759" s="13" t="s">
        <v>23</v>
      </c>
      <c r="E12759" s="12" t="s">
        <v>16</v>
      </c>
      <c r="F12759" s="14">
        <v>82000</v>
      </c>
      <c r="G12759" s="14">
        <v>66900</v>
      </c>
      <c r="H12759" s="13" t="s">
        <v>24168</v>
      </c>
      <c r="I12759" s="40" t="s">
        <v>18</v>
      </c>
      <c r="J12759" s="40" t="str">
        <f>HYPERLINK("https://stock.pstatic.net/stock-research/company/21/20250430_company_42321000.pdf","PDF")</f>
        <v>PDF</v>
      </c>
      <c r="K12759" s="12" t="s">
        <v>24169</v>
      </c>
      <c r="L12759" s="20">
        <v>0.22571001494768311</v>
      </c>
    </row>
    <row r="12760" spans="1:12" x14ac:dyDescent="0.45">
      <c r="A12760" s="12" t="s">
        <v>24022</v>
      </c>
      <c r="B12760" s="12" t="s">
        <v>3101</v>
      </c>
      <c r="C12760" s="13" t="s">
        <v>3102</v>
      </c>
      <c r="D12760" s="13" t="s">
        <v>34</v>
      </c>
      <c r="E12760" s="12" t="s">
        <v>159</v>
      </c>
      <c r="F12760" s="14">
        <v>90000</v>
      </c>
      <c r="G12760" s="14">
        <v>102400</v>
      </c>
      <c r="H12760" s="13" t="s">
        <v>24170</v>
      </c>
      <c r="I12760" s="40" t="s">
        <v>18</v>
      </c>
      <c r="J12760" s="40" t="str">
        <f>HYPERLINK("https://stock.pstatic.net/stock-research/company/61/20250430_company_610420000.pdf","PDF")</f>
        <v>PDF</v>
      </c>
      <c r="K12760" s="12" t="s">
        <v>24171</v>
      </c>
      <c r="L12760" s="20">
        <v>-0.12109375</v>
      </c>
    </row>
    <row r="12761" spans="1:12" x14ac:dyDescent="0.45">
      <c r="A12761" s="12" t="s">
        <v>24022</v>
      </c>
      <c r="B12761" s="12" t="s">
        <v>32</v>
      </c>
      <c r="C12761" s="13" t="s">
        <v>33</v>
      </c>
      <c r="D12761" s="13" t="s">
        <v>34</v>
      </c>
      <c r="E12761" s="12" t="s">
        <v>35</v>
      </c>
      <c r="F12761" s="14">
        <v>180000</v>
      </c>
      <c r="G12761" s="14">
        <v>121800</v>
      </c>
      <c r="H12761" s="13" t="s">
        <v>24172</v>
      </c>
      <c r="I12761" s="40" t="s">
        <v>18</v>
      </c>
      <c r="J12761" s="40" t="str">
        <f>HYPERLINK("https://stock.pstatic.net/stock-research/company/61/20250430_company_465112000.pdf","PDF")</f>
        <v>PDF</v>
      </c>
      <c r="K12761" s="12" t="s">
        <v>24173</v>
      </c>
      <c r="L12761" s="20">
        <v>0.47783251231527102</v>
      </c>
    </row>
    <row r="12762" spans="1:12" x14ac:dyDescent="0.45">
      <c r="A12762" s="12" t="s">
        <v>24022</v>
      </c>
      <c r="B12762" s="12" t="s">
        <v>3079</v>
      </c>
      <c r="C12762" s="13" t="s">
        <v>3080</v>
      </c>
      <c r="D12762" s="13" t="s">
        <v>34</v>
      </c>
      <c r="E12762" s="12" t="s">
        <v>35</v>
      </c>
      <c r="F12762" s="14">
        <v>24000</v>
      </c>
      <c r="G12762" s="14">
        <v>17710</v>
      </c>
      <c r="H12762" s="13" t="s">
        <v>24174</v>
      </c>
      <c r="I12762" s="40" t="s">
        <v>18</v>
      </c>
      <c r="J12762" s="40" t="str">
        <f>HYPERLINK("https://stock.pstatic.net/stock-research/company/61/20250430_company_212983000.pdf","PDF")</f>
        <v>PDF</v>
      </c>
      <c r="K12762" s="12" t="s">
        <v>24175</v>
      </c>
      <c r="L12762" s="20">
        <v>0.35516657255787693</v>
      </c>
    </row>
    <row r="12763" spans="1:12" x14ac:dyDescent="0.45">
      <c r="A12763" s="12" t="s">
        <v>24022</v>
      </c>
      <c r="B12763" s="12" t="s">
        <v>2837</v>
      </c>
      <c r="C12763" s="13" t="s">
        <v>2838</v>
      </c>
      <c r="D12763" s="13" t="s">
        <v>34</v>
      </c>
      <c r="E12763" s="12" t="s">
        <v>35</v>
      </c>
      <c r="F12763" s="14">
        <v>48000</v>
      </c>
      <c r="G12763" s="14">
        <v>39300</v>
      </c>
      <c r="H12763" s="13" t="s">
        <v>24176</v>
      </c>
      <c r="I12763" s="40" t="s">
        <v>18</v>
      </c>
      <c r="J12763" s="40" t="str">
        <f>HYPERLINK("https://stock.pstatic.net/stock-research/company/61/20250430_company_131197000.pdf","PDF")</f>
        <v>PDF</v>
      </c>
      <c r="K12763" s="12" t="s">
        <v>24177</v>
      </c>
      <c r="L12763" s="20">
        <v>0.2213740458015267</v>
      </c>
    </row>
    <row r="12764" spans="1:12" x14ac:dyDescent="0.45">
      <c r="A12764" s="12" t="s">
        <v>24022</v>
      </c>
      <c r="B12764" s="12" t="s">
        <v>3018</v>
      </c>
      <c r="C12764" s="13" t="s">
        <v>3019</v>
      </c>
      <c r="D12764" s="13" t="s">
        <v>92</v>
      </c>
      <c r="E12764" s="12" t="s">
        <v>35</v>
      </c>
      <c r="F12764" s="14">
        <v>22000</v>
      </c>
      <c r="G12764" s="14">
        <v>16120</v>
      </c>
      <c r="H12764" s="13" t="s">
        <v>24178</v>
      </c>
      <c r="I12764" s="40" t="s">
        <v>18</v>
      </c>
      <c r="J12764" s="40" t="str">
        <f>HYPERLINK("https://stock.pstatic.net/stock-research/company/63/20250430_company_929215000.pdf","PDF")</f>
        <v>PDF</v>
      </c>
      <c r="K12764" s="12" t="s">
        <v>24179</v>
      </c>
      <c r="L12764" s="20">
        <v>0.36476426799007439</v>
      </c>
    </row>
    <row r="12765" spans="1:12" x14ac:dyDescent="0.45">
      <c r="A12765" s="12" t="s">
        <v>24022</v>
      </c>
      <c r="B12765" s="12" t="s">
        <v>2837</v>
      </c>
      <c r="C12765" s="13" t="s">
        <v>2838</v>
      </c>
      <c r="D12765" s="13" t="s">
        <v>44</v>
      </c>
      <c r="E12765" s="12" t="s">
        <v>45</v>
      </c>
      <c r="F12765" s="14">
        <v>46000</v>
      </c>
      <c r="G12765" s="14">
        <v>39300</v>
      </c>
      <c r="H12765" s="13" t="s">
        <v>24180</v>
      </c>
      <c r="I12765" s="40" t="s">
        <v>18</v>
      </c>
      <c r="J12765" s="40" t="str">
        <f>HYPERLINK("https://stock.pstatic.net/stock-research/company/39/20250430_company_383503000.pdf","PDF")</f>
        <v>PDF</v>
      </c>
      <c r="K12765" s="12" t="s">
        <v>24181</v>
      </c>
      <c r="L12765" s="20">
        <v>0.17048346055979641</v>
      </c>
    </row>
    <row r="12766" spans="1:12" x14ac:dyDescent="0.45">
      <c r="A12766" s="12" t="s">
        <v>24022</v>
      </c>
      <c r="B12766" s="12" t="s">
        <v>170</v>
      </c>
      <c r="C12766" s="13" t="s">
        <v>171</v>
      </c>
      <c r="D12766" s="13" t="s">
        <v>44</v>
      </c>
      <c r="E12766" s="12" t="s">
        <v>35</v>
      </c>
      <c r="F12766" s="14">
        <v>100000</v>
      </c>
      <c r="G12766" s="14">
        <v>70700</v>
      </c>
      <c r="H12766" s="13" t="s">
        <v>24182</v>
      </c>
      <c r="I12766" s="40" t="s">
        <v>18</v>
      </c>
      <c r="J12766" s="40" t="str">
        <f>HYPERLINK("https://stock.pstatic.net/stock-research/company/39/20250430_company_532090000.pdf","PDF")</f>
        <v>PDF</v>
      </c>
      <c r="K12766" s="12" t="s">
        <v>24183</v>
      </c>
      <c r="L12766" s="20">
        <v>0.41442715700141441</v>
      </c>
    </row>
    <row r="12767" spans="1:12" x14ac:dyDescent="0.45">
      <c r="A12767" s="12" t="s">
        <v>24022</v>
      </c>
      <c r="B12767" s="12" t="s">
        <v>3101</v>
      </c>
      <c r="C12767" s="13" t="s">
        <v>3102</v>
      </c>
      <c r="D12767" s="13" t="s">
        <v>23</v>
      </c>
      <c r="E12767" s="12" t="s">
        <v>16</v>
      </c>
      <c r="F12767" s="14">
        <v>120000</v>
      </c>
      <c r="G12767" s="14">
        <v>102400</v>
      </c>
      <c r="H12767" s="13" t="s">
        <v>24184</v>
      </c>
      <c r="I12767" s="40" t="s">
        <v>18</v>
      </c>
      <c r="J12767" s="40" t="str">
        <f>HYPERLINK("https://stock.pstatic.net/stock-research/company/21/20250430_company_715767000.pdf","PDF")</f>
        <v>PDF</v>
      </c>
      <c r="K12767" s="12" t="s">
        <v>24185</v>
      </c>
      <c r="L12767" s="20">
        <v>0.171875</v>
      </c>
    </row>
    <row r="12768" spans="1:12" x14ac:dyDescent="0.45">
      <c r="A12768" s="12" t="s">
        <v>24022</v>
      </c>
      <c r="B12768" s="12" t="s">
        <v>2522</v>
      </c>
      <c r="C12768" s="13" t="s">
        <v>2523</v>
      </c>
      <c r="D12768" s="13" t="s">
        <v>92</v>
      </c>
      <c r="E12768" s="12" t="s">
        <v>35</v>
      </c>
      <c r="F12768" s="14">
        <v>510000</v>
      </c>
      <c r="G12768" s="14">
        <v>370000</v>
      </c>
      <c r="H12768" s="13" t="s">
        <v>24186</v>
      </c>
      <c r="I12768" s="40" t="s">
        <v>18</v>
      </c>
      <c r="J12768" s="40" t="str">
        <f>HYPERLINK("https://stock.pstatic.net/stock-research/company/63/20250430_company_487980000.pdf","PDF")</f>
        <v>PDF</v>
      </c>
      <c r="K12768" s="12" t="s">
        <v>24187</v>
      </c>
      <c r="L12768" s="20">
        <v>0.3783783783783784</v>
      </c>
    </row>
    <row r="12769" spans="1:12" x14ac:dyDescent="0.45">
      <c r="A12769" s="12" t="s">
        <v>24022</v>
      </c>
      <c r="B12769" s="12" t="s">
        <v>3280</v>
      </c>
      <c r="C12769" s="13" t="s">
        <v>3281</v>
      </c>
      <c r="D12769" s="13" t="s">
        <v>23</v>
      </c>
      <c r="E12769" s="12" t="s">
        <v>16</v>
      </c>
      <c r="F12769" s="14">
        <v>50000</v>
      </c>
      <c r="G12769" s="14">
        <v>35450</v>
      </c>
      <c r="H12769" s="13" t="s">
        <v>24188</v>
      </c>
      <c r="I12769" s="40" t="s">
        <v>18</v>
      </c>
      <c r="J12769" s="40" t="str">
        <f>HYPERLINK("https://stock.pstatic.net/stock-research/company/21/20250430_company_932826000.pdf","PDF")</f>
        <v>PDF</v>
      </c>
      <c r="K12769" s="12" t="s">
        <v>24189</v>
      </c>
      <c r="L12769" s="20">
        <v>0.41043723554301831</v>
      </c>
    </row>
    <row r="12770" spans="1:12" x14ac:dyDescent="0.45">
      <c r="A12770" s="12" t="s">
        <v>24022</v>
      </c>
      <c r="B12770" s="12" t="s">
        <v>32</v>
      </c>
      <c r="C12770" s="13" t="s">
        <v>33</v>
      </c>
      <c r="D12770" s="13" t="s">
        <v>23</v>
      </c>
      <c r="E12770" s="12" t="s">
        <v>16</v>
      </c>
      <c r="F12770" s="14">
        <v>190000</v>
      </c>
      <c r="G12770" s="14">
        <v>121800</v>
      </c>
      <c r="H12770" s="13" t="s">
        <v>24190</v>
      </c>
      <c r="I12770" s="40" t="s">
        <v>18</v>
      </c>
      <c r="J12770" s="40" t="str">
        <f>HYPERLINK("https://stock.pstatic.net/stock-research/company/21/20250430_company_557689000.pdf","PDF")</f>
        <v>PDF</v>
      </c>
      <c r="K12770" s="12" t="s">
        <v>24191</v>
      </c>
      <c r="L12770" s="20">
        <v>0.55993431855500819</v>
      </c>
    </row>
    <row r="12771" spans="1:12" x14ac:dyDescent="0.45">
      <c r="A12771" s="12" t="s">
        <v>24022</v>
      </c>
      <c r="B12771" s="12" t="s">
        <v>3451</v>
      </c>
      <c r="C12771" s="13" t="s">
        <v>3452</v>
      </c>
      <c r="D12771" s="13" t="s">
        <v>23</v>
      </c>
      <c r="E12771" s="12" t="s">
        <v>16</v>
      </c>
      <c r="F12771" s="14">
        <v>240000</v>
      </c>
      <c r="G12771" s="14">
        <v>181200</v>
      </c>
      <c r="H12771" s="13" t="s">
        <v>24192</v>
      </c>
      <c r="I12771" s="40" t="s">
        <v>18</v>
      </c>
      <c r="J12771" s="40" t="str">
        <f>HYPERLINK("https://stock.pstatic.net/stock-research/company/21/20250430_company_726916000.pdf","PDF")</f>
        <v>PDF</v>
      </c>
      <c r="K12771" s="12" t="s">
        <v>24193</v>
      </c>
      <c r="L12771" s="20">
        <v>0.32450331125827808</v>
      </c>
    </row>
    <row r="12772" spans="1:12" x14ac:dyDescent="0.45">
      <c r="A12772" s="12" t="s">
        <v>24022</v>
      </c>
      <c r="B12772" s="12" t="s">
        <v>170</v>
      </c>
      <c r="C12772" s="13" t="s">
        <v>171</v>
      </c>
      <c r="D12772" s="13" t="s">
        <v>179</v>
      </c>
      <c r="E12772" s="12" t="s">
        <v>16</v>
      </c>
      <c r="F12772" s="14">
        <v>84000</v>
      </c>
      <c r="G12772" s="14">
        <v>70700</v>
      </c>
      <c r="H12772" s="13" t="s">
        <v>24194</v>
      </c>
      <c r="I12772" s="40" t="s">
        <v>18</v>
      </c>
      <c r="J12772" s="40" t="str">
        <f>HYPERLINK("https://stock.pstatic.net/stock-research/company/31/20250430_company_669961000.pdf","PDF")</f>
        <v>PDF</v>
      </c>
      <c r="K12772" s="12" t="s">
        <v>24195</v>
      </c>
      <c r="L12772" s="20">
        <v>0.18811881188118809</v>
      </c>
    </row>
    <row r="12773" spans="1:12" x14ac:dyDescent="0.45">
      <c r="A12773" s="12" t="s">
        <v>24022</v>
      </c>
      <c r="B12773" s="12" t="s">
        <v>2762</v>
      </c>
      <c r="C12773" s="13" t="s">
        <v>2763</v>
      </c>
      <c r="D12773" s="13" t="s">
        <v>23</v>
      </c>
      <c r="E12773" s="12" t="s">
        <v>16</v>
      </c>
      <c r="F12773" s="14">
        <v>170000</v>
      </c>
      <c r="G12773" s="14">
        <v>84800</v>
      </c>
      <c r="H12773" s="13" t="s">
        <v>24196</v>
      </c>
      <c r="I12773" s="40" t="s">
        <v>18</v>
      </c>
      <c r="J12773" s="40" t="str">
        <f>HYPERLINK("https://stock.pstatic.net/stock-research/company/21/20250430_company_512368000.pdf","PDF")</f>
        <v>PDF</v>
      </c>
      <c r="K12773" s="12" t="s">
        <v>24197</v>
      </c>
      <c r="L12773" s="20">
        <v>1.004716981132076</v>
      </c>
    </row>
    <row r="12774" spans="1:12" x14ac:dyDescent="0.45">
      <c r="A12774" s="12" t="s">
        <v>24022</v>
      </c>
      <c r="B12774" s="12" t="s">
        <v>63</v>
      </c>
      <c r="C12774" s="13" t="s">
        <v>64</v>
      </c>
      <c r="D12774" s="13" t="s">
        <v>53</v>
      </c>
      <c r="E12774" s="12" t="s">
        <v>16</v>
      </c>
      <c r="F12774" s="14">
        <v>340000</v>
      </c>
      <c r="G12774" s="14">
        <v>247000</v>
      </c>
      <c r="H12774" s="13" t="s">
        <v>24198</v>
      </c>
      <c r="I12774" s="40" t="s">
        <v>18</v>
      </c>
      <c r="J12774" s="40" t="str">
        <f>HYPERLINK("https://stock.pstatic.net/stock-research/company/40/20250430_company_383176000.pdf","PDF")</f>
        <v>PDF</v>
      </c>
      <c r="K12774" s="12" t="s">
        <v>24199</v>
      </c>
      <c r="L12774" s="20">
        <v>0.37651821862348178</v>
      </c>
    </row>
    <row r="12775" spans="1:12" x14ac:dyDescent="0.45">
      <c r="A12775" s="12" t="s">
        <v>24022</v>
      </c>
      <c r="B12775" s="12" t="s">
        <v>3154</v>
      </c>
      <c r="C12775" s="13" t="s">
        <v>3155</v>
      </c>
      <c r="D12775" s="13" t="s">
        <v>23</v>
      </c>
      <c r="E12775" s="12" t="s">
        <v>16</v>
      </c>
      <c r="F12775" s="14">
        <v>7000</v>
      </c>
      <c r="G12775" s="14">
        <v>4815</v>
      </c>
      <c r="H12775" s="13" t="s">
        <v>24200</v>
      </c>
      <c r="I12775" s="40" t="s">
        <v>18</v>
      </c>
      <c r="J12775" s="40" t="str">
        <f>HYPERLINK("https://stock.pstatic.net/stock-research/company/21/20250430_company_206680000.pdf","PDF")</f>
        <v>PDF</v>
      </c>
      <c r="K12775" s="12" t="s">
        <v>24201</v>
      </c>
      <c r="L12775" s="20">
        <v>0.45379023883696779</v>
      </c>
    </row>
    <row r="12776" spans="1:12" x14ac:dyDescent="0.45">
      <c r="A12776" s="12" t="s">
        <v>24022</v>
      </c>
      <c r="B12776" s="12" t="s">
        <v>2522</v>
      </c>
      <c r="C12776" s="13" t="s">
        <v>2523</v>
      </c>
      <c r="D12776" s="13" t="s">
        <v>23</v>
      </c>
      <c r="E12776" s="12" t="s">
        <v>385</v>
      </c>
      <c r="F12776" s="13"/>
      <c r="G12776" s="14">
        <v>370000</v>
      </c>
      <c r="H12776" s="13" t="s">
        <v>24202</v>
      </c>
      <c r="I12776" s="40" t="s">
        <v>18</v>
      </c>
      <c r="J12776" s="40" t="str">
        <f>HYPERLINK("https://stock.pstatic.net/stock-research/company/21/20250430_company_228727000.pdf","PDF")</f>
        <v>PDF</v>
      </c>
      <c r="K12776" s="12" t="s">
        <v>24203</v>
      </c>
    </row>
    <row r="12777" spans="1:12" x14ac:dyDescent="0.45">
      <c r="A12777" s="12" t="s">
        <v>24022</v>
      </c>
      <c r="B12777" s="12" t="s">
        <v>3079</v>
      </c>
      <c r="C12777" s="13" t="s">
        <v>3080</v>
      </c>
      <c r="D12777" s="13" t="s">
        <v>23</v>
      </c>
      <c r="E12777" s="12" t="s">
        <v>16</v>
      </c>
      <c r="F12777" s="14">
        <v>23000</v>
      </c>
      <c r="G12777" s="14">
        <v>17710</v>
      </c>
      <c r="H12777" s="13" t="s">
        <v>24204</v>
      </c>
      <c r="I12777" s="40" t="s">
        <v>18</v>
      </c>
      <c r="J12777" s="40" t="str">
        <f>HYPERLINK("https://stock.pstatic.net/stock-research/company/21/20250430_company_796744000.pdf","PDF")</f>
        <v>PDF</v>
      </c>
      <c r="K12777" s="12" t="s">
        <v>24205</v>
      </c>
      <c r="L12777" s="20">
        <v>0.29870129870129869</v>
      </c>
    </row>
    <row r="12778" spans="1:12" x14ac:dyDescent="0.45">
      <c r="A12778" s="12" t="s">
        <v>24022</v>
      </c>
      <c r="B12778" s="12" t="s">
        <v>3101</v>
      </c>
      <c r="C12778" s="13" t="s">
        <v>3102</v>
      </c>
      <c r="D12778" s="13" t="s">
        <v>53</v>
      </c>
      <c r="E12778" s="12" t="s">
        <v>385</v>
      </c>
      <c r="F12778" s="14">
        <v>100000</v>
      </c>
      <c r="G12778" s="14">
        <v>102400</v>
      </c>
      <c r="H12778" s="13" t="s">
        <v>24206</v>
      </c>
      <c r="I12778" s="40" t="s">
        <v>18</v>
      </c>
      <c r="J12778" s="40" t="str">
        <f>HYPERLINK("https://stock.pstatic.net/stock-research/company/40/20250430_company_212832000.pdf","PDF")</f>
        <v>PDF</v>
      </c>
      <c r="K12778" s="12" t="s">
        <v>24207</v>
      </c>
      <c r="L12778" s="20">
        <v>-2.34375E-2</v>
      </c>
    </row>
    <row r="12779" spans="1:12" x14ac:dyDescent="0.45">
      <c r="A12779" s="12" t="s">
        <v>24022</v>
      </c>
      <c r="B12779" s="12" t="s">
        <v>32</v>
      </c>
      <c r="C12779" s="13" t="s">
        <v>33</v>
      </c>
      <c r="D12779" s="13" t="s">
        <v>44</v>
      </c>
      <c r="E12779" s="12" t="s">
        <v>35</v>
      </c>
      <c r="F12779" s="14">
        <v>170000</v>
      </c>
      <c r="G12779" s="14">
        <v>121800</v>
      </c>
      <c r="H12779" s="13" t="s">
        <v>24208</v>
      </c>
      <c r="I12779" s="40" t="s">
        <v>18</v>
      </c>
      <c r="J12779" s="40" t="str">
        <f>HYPERLINK("https://stock.pstatic.net/stock-research/company/39/20250430_company_407704000.pdf","PDF")</f>
        <v>PDF</v>
      </c>
      <c r="K12779" s="12" t="s">
        <v>24209</v>
      </c>
      <c r="L12779" s="20">
        <v>0.39573070607553368</v>
      </c>
    </row>
    <row r="12780" spans="1:12" x14ac:dyDescent="0.45">
      <c r="A12780" s="12" t="s">
        <v>24022</v>
      </c>
      <c r="B12780" s="12" t="s">
        <v>3105</v>
      </c>
      <c r="C12780" s="13" t="s">
        <v>3106</v>
      </c>
      <c r="D12780" s="13" t="s">
        <v>53</v>
      </c>
      <c r="E12780" s="12" t="s">
        <v>16</v>
      </c>
      <c r="F12780" s="14">
        <v>320000</v>
      </c>
      <c r="G12780" s="14">
        <v>253000</v>
      </c>
      <c r="H12780" s="13" t="s">
        <v>24210</v>
      </c>
      <c r="I12780" s="40" t="s">
        <v>18</v>
      </c>
      <c r="J12780" s="40" t="str">
        <f>HYPERLINK("https://stock.pstatic.net/stock-research/company/40/20250430_company_750545000.pdf","PDF")</f>
        <v>PDF</v>
      </c>
      <c r="K12780" s="12" t="s">
        <v>24211</v>
      </c>
      <c r="L12780" s="20">
        <v>0.2648221343873518</v>
      </c>
    </row>
    <row r="12781" spans="1:12" x14ac:dyDescent="0.45">
      <c r="A12781" s="12" t="s">
        <v>24022</v>
      </c>
      <c r="B12781" s="12" t="s">
        <v>1087</v>
      </c>
      <c r="C12781" s="13" t="s">
        <v>1088</v>
      </c>
      <c r="D12781" s="13" t="s">
        <v>44</v>
      </c>
      <c r="E12781" s="12" t="s">
        <v>35</v>
      </c>
      <c r="F12781" s="14">
        <v>100000</v>
      </c>
      <c r="G12781" s="14">
        <v>78200</v>
      </c>
      <c r="H12781" s="13" t="s">
        <v>24212</v>
      </c>
      <c r="I12781" s="40" t="s">
        <v>18</v>
      </c>
      <c r="J12781" s="40" t="str">
        <f>HYPERLINK("https://stock.pstatic.net/stock-research/company/39/20250430_company_860265000.pdf","PDF")</f>
        <v>PDF</v>
      </c>
      <c r="K12781" s="12" t="s">
        <v>24213</v>
      </c>
      <c r="L12781" s="20">
        <v>0.27877237851662412</v>
      </c>
    </row>
    <row r="12782" spans="1:12" x14ac:dyDescent="0.45">
      <c r="A12782" s="12" t="s">
        <v>24022</v>
      </c>
      <c r="B12782" s="12" t="s">
        <v>3164</v>
      </c>
      <c r="C12782" s="13" t="s">
        <v>3165</v>
      </c>
      <c r="D12782" s="13" t="s">
        <v>44</v>
      </c>
      <c r="E12782" s="12" t="s">
        <v>35</v>
      </c>
      <c r="F12782" s="14">
        <v>52000</v>
      </c>
      <c r="G12782" s="14">
        <v>41150</v>
      </c>
      <c r="H12782" s="13" t="s">
        <v>24214</v>
      </c>
      <c r="I12782" s="40" t="s">
        <v>18</v>
      </c>
      <c r="J12782" s="40" t="str">
        <f>HYPERLINK("https://stock.pstatic.net/stock-research/company/39/20250430_company_882161000.pdf","PDF")</f>
        <v>PDF</v>
      </c>
      <c r="K12782" s="12" t="s">
        <v>24215</v>
      </c>
      <c r="L12782" s="20">
        <v>0.26366950182260018</v>
      </c>
    </row>
    <row r="12783" spans="1:12" x14ac:dyDescent="0.45">
      <c r="A12783" s="12" t="s">
        <v>24022</v>
      </c>
      <c r="B12783" s="12" t="s">
        <v>3204</v>
      </c>
      <c r="C12783" s="13" t="s">
        <v>3205</v>
      </c>
      <c r="D12783" s="13" t="s">
        <v>44</v>
      </c>
      <c r="E12783" s="12" t="s">
        <v>35</v>
      </c>
      <c r="F12783" s="14">
        <v>4600</v>
      </c>
      <c r="G12783" s="14">
        <v>3520</v>
      </c>
      <c r="H12783" s="13" t="s">
        <v>24216</v>
      </c>
      <c r="I12783" s="40" t="s">
        <v>18</v>
      </c>
      <c r="J12783" s="40" t="str">
        <f>HYPERLINK("https://stock.pstatic.net/stock-research/company/39/20250430_company_136842000.pdf","PDF")</f>
        <v>PDF</v>
      </c>
      <c r="K12783" s="12" t="s">
        <v>24217</v>
      </c>
      <c r="L12783" s="20">
        <v>0.30681818181818182</v>
      </c>
    </row>
    <row r="12784" spans="1:12" x14ac:dyDescent="0.45">
      <c r="A12784" s="12" t="s">
        <v>24022</v>
      </c>
      <c r="B12784" s="12" t="s">
        <v>3101</v>
      </c>
      <c r="C12784" s="13" t="s">
        <v>3102</v>
      </c>
      <c r="D12784" s="13" t="s">
        <v>44</v>
      </c>
      <c r="E12784" s="12" t="s">
        <v>45</v>
      </c>
      <c r="F12784" s="14">
        <v>120000</v>
      </c>
      <c r="G12784" s="14">
        <v>102400</v>
      </c>
      <c r="H12784" s="13" t="s">
        <v>24218</v>
      </c>
      <c r="I12784" s="40" t="s">
        <v>18</v>
      </c>
      <c r="J12784" s="40" t="str">
        <f>HYPERLINK("https://stock.pstatic.net/stock-research/company/39/20250430_company_833389000.pdf","PDF")</f>
        <v>PDF</v>
      </c>
      <c r="K12784" s="12" t="s">
        <v>24219</v>
      </c>
      <c r="L12784" s="20">
        <v>0.171875</v>
      </c>
    </row>
    <row r="12785" spans="1:12" x14ac:dyDescent="0.45">
      <c r="A12785" s="12" t="s">
        <v>24022</v>
      </c>
      <c r="B12785" s="12" t="s">
        <v>4631</v>
      </c>
      <c r="C12785" s="13" t="s">
        <v>4632</v>
      </c>
      <c r="D12785" s="13" t="s">
        <v>124</v>
      </c>
      <c r="E12785" s="12" t="s">
        <v>50</v>
      </c>
      <c r="F12785" s="13"/>
      <c r="G12785" s="13"/>
      <c r="H12785" s="13" t="s">
        <v>24220</v>
      </c>
      <c r="I12785" s="40" t="s">
        <v>18</v>
      </c>
      <c r="J12785" s="40" t="str">
        <f>HYPERLINK("https://stock.pstatic.net/stock-research/company/74/20250430_company_566472000.pdf","PDF")</f>
        <v>PDF</v>
      </c>
      <c r="K12785" s="12" t="s">
        <v>24221</v>
      </c>
    </row>
    <row r="12786" spans="1:12" x14ac:dyDescent="0.45">
      <c r="A12786" s="12" t="s">
        <v>24022</v>
      </c>
      <c r="B12786" s="12" t="s">
        <v>3164</v>
      </c>
      <c r="C12786" s="13" t="s">
        <v>3165</v>
      </c>
      <c r="D12786" s="13" t="s">
        <v>53</v>
      </c>
      <c r="E12786" s="12" t="s">
        <v>16</v>
      </c>
      <c r="F12786" s="14">
        <v>50000</v>
      </c>
      <c r="G12786" s="14">
        <v>41150</v>
      </c>
      <c r="H12786" s="13" t="s">
        <v>24222</v>
      </c>
      <c r="I12786" s="40" t="s">
        <v>18</v>
      </c>
      <c r="J12786" s="40" t="str">
        <f>HYPERLINK("https://stock.pstatic.net/stock-research/company/40/20250430_company_471919000.pdf","PDF")</f>
        <v>PDF</v>
      </c>
      <c r="K12786" s="12" t="s">
        <v>24223</v>
      </c>
      <c r="L12786" s="20">
        <v>0.21506682867557719</v>
      </c>
    </row>
    <row r="12787" spans="1:12" x14ac:dyDescent="0.45">
      <c r="A12787" s="12" t="s">
        <v>24022</v>
      </c>
      <c r="B12787" s="12" t="s">
        <v>2982</v>
      </c>
      <c r="C12787" s="13" t="s">
        <v>2983</v>
      </c>
      <c r="D12787" s="13" t="s">
        <v>53</v>
      </c>
      <c r="E12787" s="12" t="s">
        <v>16</v>
      </c>
      <c r="F12787" s="14">
        <v>53000</v>
      </c>
      <c r="G12787" s="14">
        <v>42450</v>
      </c>
      <c r="H12787" s="13" t="s">
        <v>24224</v>
      </c>
      <c r="I12787" s="40" t="s">
        <v>18</v>
      </c>
      <c r="J12787" s="40" t="str">
        <f>HYPERLINK("https://stock.pstatic.net/stock-research/company/40/20250430_company_110355000.pdf","PDF")</f>
        <v>PDF</v>
      </c>
      <c r="K12787" s="12" t="s">
        <v>24225</v>
      </c>
      <c r="L12787" s="20">
        <v>0.248527679623086</v>
      </c>
    </row>
    <row r="12788" spans="1:12" x14ac:dyDescent="0.45">
      <c r="A12788" s="12" t="s">
        <v>24022</v>
      </c>
      <c r="B12788" s="12" t="s">
        <v>3204</v>
      </c>
      <c r="C12788" s="13" t="s">
        <v>3205</v>
      </c>
      <c r="D12788" s="13" t="s">
        <v>53</v>
      </c>
      <c r="E12788" s="12" t="s">
        <v>16</v>
      </c>
      <c r="F12788" s="14">
        <v>4800</v>
      </c>
      <c r="G12788" s="14">
        <v>3520</v>
      </c>
      <c r="H12788" s="13" t="s">
        <v>24226</v>
      </c>
      <c r="I12788" s="40" t="s">
        <v>18</v>
      </c>
      <c r="J12788" s="40" t="str">
        <f>HYPERLINK("https://stock.pstatic.net/stock-research/company/40/20250430_company_256085000.pdf","PDF")</f>
        <v>PDF</v>
      </c>
      <c r="K12788" s="12" t="s">
        <v>24227</v>
      </c>
      <c r="L12788" s="20">
        <v>0.36363636363636359</v>
      </c>
    </row>
    <row r="12789" spans="1:12" x14ac:dyDescent="0.45">
      <c r="A12789" s="12" t="s">
        <v>24022</v>
      </c>
      <c r="B12789" s="12" t="s">
        <v>8861</v>
      </c>
      <c r="C12789" s="13" t="s">
        <v>8862</v>
      </c>
      <c r="D12789" s="13" t="s">
        <v>53</v>
      </c>
      <c r="E12789" s="12" t="s">
        <v>16</v>
      </c>
      <c r="F12789" s="14">
        <v>29000</v>
      </c>
      <c r="G12789" s="14">
        <v>19210</v>
      </c>
      <c r="H12789" s="13" t="s">
        <v>24228</v>
      </c>
      <c r="I12789" s="40" t="s">
        <v>18</v>
      </c>
      <c r="J12789" s="40" t="str">
        <f>HYPERLINK("https://stock.pstatic.net/stock-research/company/40/20250430_company_234478000.pdf","PDF")</f>
        <v>PDF</v>
      </c>
      <c r="K12789" s="12" t="s">
        <v>24229</v>
      </c>
      <c r="L12789" s="20">
        <v>0.50963040083289957</v>
      </c>
    </row>
    <row r="12790" spans="1:12" x14ac:dyDescent="0.45">
      <c r="A12790" s="12" t="s">
        <v>24022</v>
      </c>
      <c r="B12790" s="12" t="s">
        <v>32</v>
      </c>
      <c r="C12790" s="13" t="s">
        <v>33</v>
      </c>
      <c r="D12790" s="13" t="s">
        <v>53</v>
      </c>
      <c r="E12790" s="12" t="s">
        <v>16</v>
      </c>
      <c r="F12790" s="14">
        <v>170000</v>
      </c>
      <c r="G12790" s="14">
        <v>121800</v>
      </c>
      <c r="H12790" s="13" t="s">
        <v>24230</v>
      </c>
      <c r="I12790" s="40" t="s">
        <v>18</v>
      </c>
      <c r="J12790" s="40" t="str">
        <f>HYPERLINK("https://stock.pstatic.net/stock-research/company/40/20250430_company_643758000.pdf","PDF")</f>
        <v>PDF</v>
      </c>
      <c r="K12790" s="12" t="s">
        <v>24231</v>
      </c>
      <c r="L12790" s="20">
        <v>0.39573070607553368</v>
      </c>
    </row>
    <row r="12791" spans="1:12" x14ac:dyDescent="0.45">
      <c r="A12791" s="12" t="s">
        <v>24022</v>
      </c>
      <c r="B12791" s="12" t="s">
        <v>3399</v>
      </c>
      <c r="C12791" s="13" t="s">
        <v>3400</v>
      </c>
      <c r="D12791" s="13" t="s">
        <v>15</v>
      </c>
      <c r="E12791" s="12" t="s">
        <v>16</v>
      </c>
      <c r="F12791" s="14">
        <v>24000</v>
      </c>
      <c r="G12791" s="14">
        <v>16820</v>
      </c>
      <c r="H12791" s="13" t="s">
        <v>24232</v>
      </c>
      <c r="I12791" s="40" t="s">
        <v>18</v>
      </c>
      <c r="J12791" s="40" t="str">
        <f>HYPERLINK("https://stock.pstatic.net/stock-research/company/29/20250430_company_778068000.pdf","PDF")</f>
        <v>PDF</v>
      </c>
      <c r="K12791" s="12" t="s">
        <v>24233</v>
      </c>
      <c r="L12791" s="20">
        <v>0.42687277051129607</v>
      </c>
    </row>
    <row r="12792" spans="1:12" x14ac:dyDescent="0.45">
      <c r="A12792" s="12" t="s">
        <v>24022</v>
      </c>
      <c r="B12792" s="12" t="s">
        <v>132</v>
      </c>
      <c r="C12792" s="13" t="s">
        <v>133</v>
      </c>
      <c r="D12792" s="13" t="s">
        <v>53</v>
      </c>
      <c r="E12792" s="12" t="s">
        <v>16</v>
      </c>
      <c r="F12792" s="14">
        <v>75000</v>
      </c>
      <c r="G12792" s="14">
        <v>59700</v>
      </c>
      <c r="H12792" s="13" t="s">
        <v>24234</v>
      </c>
      <c r="I12792" s="40" t="s">
        <v>18</v>
      </c>
      <c r="J12792" s="40" t="str">
        <f>HYPERLINK("https://stock.pstatic.net/stock-research/company/1/20250430_company_756401000.pdf","PDF")</f>
        <v>PDF</v>
      </c>
      <c r="K12792" s="12" t="s">
        <v>24235</v>
      </c>
      <c r="L12792" s="20">
        <v>0.25628140703517588</v>
      </c>
    </row>
    <row r="12793" spans="1:12" x14ac:dyDescent="0.45">
      <c r="A12793" s="12" t="s">
        <v>24022</v>
      </c>
      <c r="B12793" s="12" t="s">
        <v>856</v>
      </c>
      <c r="C12793" s="13" t="s">
        <v>857</v>
      </c>
      <c r="D12793" s="13" t="s">
        <v>15</v>
      </c>
      <c r="E12793" s="12" t="s">
        <v>16</v>
      </c>
      <c r="F12793" s="14">
        <v>210000</v>
      </c>
      <c r="G12793" s="14">
        <v>130300</v>
      </c>
      <c r="H12793" s="13" t="s">
        <v>24236</v>
      </c>
      <c r="I12793" s="40" t="s">
        <v>18</v>
      </c>
      <c r="J12793" s="40" t="str">
        <f>HYPERLINK("https://stock.pstatic.net/stock-research/company/29/20250430_company_513887000.pdf","PDF")</f>
        <v>PDF</v>
      </c>
      <c r="K12793" s="12" t="s">
        <v>24237</v>
      </c>
      <c r="L12793" s="20">
        <v>0.61166538756715272</v>
      </c>
    </row>
    <row r="12794" spans="1:12" x14ac:dyDescent="0.45">
      <c r="A12794" s="12" t="s">
        <v>24022</v>
      </c>
      <c r="B12794" s="12" t="s">
        <v>3688</v>
      </c>
      <c r="C12794" s="13" t="s">
        <v>3689</v>
      </c>
      <c r="D12794" s="13" t="s">
        <v>1271</v>
      </c>
      <c r="E12794" s="12" t="s">
        <v>35</v>
      </c>
      <c r="F12794" s="14">
        <v>62000</v>
      </c>
      <c r="G12794" s="14">
        <v>48750</v>
      </c>
      <c r="H12794" s="13" t="s">
        <v>24238</v>
      </c>
      <c r="I12794" s="40" t="s">
        <v>18</v>
      </c>
      <c r="J12794" s="40" t="str">
        <f>HYPERLINK("https://stock.pstatic.net/stock-research/company/78/20250430_company_557410000.pdf","PDF")</f>
        <v>PDF</v>
      </c>
      <c r="K12794" s="12" t="s">
        <v>24239</v>
      </c>
      <c r="L12794" s="20">
        <v>0.27179487179487177</v>
      </c>
    </row>
    <row r="12795" spans="1:12" x14ac:dyDescent="0.45">
      <c r="A12795" s="12" t="s">
        <v>24022</v>
      </c>
      <c r="B12795" s="12" t="s">
        <v>370</v>
      </c>
      <c r="C12795" s="13" t="s">
        <v>371</v>
      </c>
      <c r="D12795" s="13" t="s">
        <v>1271</v>
      </c>
      <c r="E12795" s="12" t="s">
        <v>35</v>
      </c>
      <c r="F12795" s="14">
        <v>83000</v>
      </c>
      <c r="G12795" s="14">
        <v>63500</v>
      </c>
      <c r="H12795" s="13" t="s">
        <v>24240</v>
      </c>
      <c r="I12795" s="40" t="s">
        <v>18</v>
      </c>
      <c r="J12795" s="40" t="str">
        <f>HYPERLINK("https://stock.pstatic.net/stock-research/company/78/20250430_company_734491000.pdf","PDF")</f>
        <v>PDF</v>
      </c>
      <c r="K12795" s="12" t="s">
        <v>24241</v>
      </c>
      <c r="L12795" s="20">
        <v>0.30708661417322841</v>
      </c>
    </row>
    <row r="12796" spans="1:12" x14ac:dyDescent="0.45">
      <c r="A12796" s="12" t="s">
        <v>24022</v>
      </c>
      <c r="B12796" s="12" t="s">
        <v>3024</v>
      </c>
      <c r="C12796" s="13" t="s">
        <v>3025</v>
      </c>
      <c r="D12796" s="13" t="s">
        <v>1271</v>
      </c>
      <c r="E12796" s="12" t="s">
        <v>35</v>
      </c>
      <c r="F12796" s="14">
        <v>60000</v>
      </c>
      <c r="G12796" s="14">
        <v>49200</v>
      </c>
      <c r="H12796" s="13" t="s">
        <v>24242</v>
      </c>
      <c r="I12796" s="40" t="s">
        <v>18</v>
      </c>
      <c r="J12796" s="40" t="str">
        <f>HYPERLINK("https://stock.pstatic.net/stock-research/company/78/20250430_company_880817000.pdf","PDF")</f>
        <v>PDF</v>
      </c>
      <c r="K12796" s="12" t="s">
        <v>24243</v>
      </c>
      <c r="L12796" s="20">
        <v>0.21951219512195119</v>
      </c>
    </row>
    <row r="12797" spans="1:12" x14ac:dyDescent="0.45">
      <c r="A12797" s="12" t="s">
        <v>24022</v>
      </c>
      <c r="B12797" s="12" t="s">
        <v>3482</v>
      </c>
      <c r="C12797" s="13" t="s">
        <v>3483</v>
      </c>
      <c r="D12797" s="13" t="s">
        <v>1271</v>
      </c>
      <c r="E12797" s="12" t="s">
        <v>35</v>
      </c>
      <c r="F12797" s="14">
        <v>74000</v>
      </c>
      <c r="G12797" s="14">
        <v>60800</v>
      </c>
      <c r="H12797" s="13" t="s">
        <v>24244</v>
      </c>
      <c r="I12797" s="40" t="s">
        <v>18</v>
      </c>
      <c r="J12797" s="40" t="str">
        <f>HYPERLINK("https://stock.pstatic.net/stock-research/company/78/20250430_company_602092000.pdf","PDF")</f>
        <v>PDF</v>
      </c>
      <c r="K12797" s="12" t="s">
        <v>24245</v>
      </c>
      <c r="L12797" s="20">
        <v>0.21710526315789469</v>
      </c>
    </row>
    <row r="12798" spans="1:12" x14ac:dyDescent="0.45">
      <c r="A12798" s="12" t="s">
        <v>24022</v>
      </c>
      <c r="B12798" s="12" t="s">
        <v>2613</v>
      </c>
      <c r="C12798" s="13" t="s">
        <v>2614</v>
      </c>
      <c r="D12798" s="13" t="s">
        <v>1271</v>
      </c>
      <c r="E12798" s="12" t="s">
        <v>35</v>
      </c>
      <c r="F12798" s="14">
        <v>450000</v>
      </c>
      <c r="G12798" s="14">
        <v>352500</v>
      </c>
      <c r="H12798" s="13" t="s">
        <v>24246</v>
      </c>
      <c r="I12798" s="40" t="s">
        <v>18</v>
      </c>
      <c r="J12798" s="40" t="str">
        <f>HYPERLINK("https://stock.pstatic.net/stock-research/company/78/20250430_company_165439000.pdf","PDF")</f>
        <v>PDF</v>
      </c>
      <c r="K12798" s="12" t="s">
        <v>24247</v>
      </c>
      <c r="L12798" s="20">
        <v>0.27659574468085107</v>
      </c>
    </row>
    <row r="12799" spans="1:12" x14ac:dyDescent="0.45">
      <c r="A12799" s="12" t="s">
        <v>24022</v>
      </c>
      <c r="B12799" s="12" t="s">
        <v>2372</v>
      </c>
      <c r="C12799" s="13" t="s">
        <v>2373</v>
      </c>
      <c r="D12799" s="13" t="s">
        <v>15</v>
      </c>
      <c r="E12799" s="12" t="s">
        <v>16</v>
      </c>
      <c r="F12799" s="14">
        <v>75000</v>
      </c>
      <c r="G12799" s="14">
        <v>55600</v>
      </c>
      <c r="H12799" s="13" t="s">
        <v>24248</v>
      </c>
      <c r="I12799" s="40" t="s">
        <v>18</v>
      </c>
      <c r="J12799" s="40" t="str">
        <f>HYPERLINK("https://stock.pstatic.net/stock-research/company/29/20250430_company_77986000.pdf","PDF")</f>
        <v>PDF</v>
      </c>
      <c r="K12799" s="12" t="s">
        <v>24249</v>
      </c>
      <c r="L12799" s="20">
        <v>0.34892086330935251</v>
      </c>
    </row>
    <row r="12800" spans="1:12" x14ac:dyDescent="0.45">
      <c r="A12800" s="12" t="s">
        <v>24250</v>
      </c>
      <c r="B12800" s="12" t="s">
        <v>24251</v>
      </c>
      <c r="C12800" s="13" t="s">
        <v>24252</v>
      </c>
      <c r="D12800" s="13" t="s">
        <v>207</v>
      </c>
      <c r="E12800" s="12" t="s">
        <v>50</v>
      </c>
      <c r="F12800" s="13"/>
      <c r="G12800" s="13"/>
      <c r="H12800" s="13" t="s">
        <v>24253</v>
      </c>
      <c r="I12800" s="40" t="s">
        <v>18</v>
      </c>
      <c r="J12800" s="40" t="str">
        <f>HYPERLINK("https://stock.pstatic.net/stock-research/company/75/20250429_company_719366000.pdf","PDF")</f>
        <v>PDF</v>
      </c>
      <c r="K12800" s="12" t="s">
        <v>24254</v>
      </c>
    </row>
    <row r="12801" spans="1:12" x14ac:dyDescent="0.45">
      <c r="A12801" s="12" t="s">
        <v>24255</v>
      </c>
      <c r="B12801" s="12" t="s">
        <v>2777</v>
      </c>
      <c r="C12801" s="13" t="s">
        <v>2778</v>
      </c>
      <c r="D12801" s="13" t="s">
        <v>276</v>
      </c>
      <c r="E12801" s="12" t="s">
        <v>16</v>
      </c>
      <c r="F12801" s="14">
        <v>210000</v>
      </c>
      <c r="G12801" s="14">
        <v>117800</v>
      </c>
      <c r="H12801" s="13" t="s">
        <v>24256</v>
      </c>
      <c r="I12801" s="40" t="s">
        <v>18</v>
      </c>
      <c r="J12801" s="40" t="str">
        <f>HYPERLINK("https://stock.pstatic.net/stock-research/company/66/20250429_company_772113000.pdf","PDF")</f>
        <v>PDF</v>
      </c>
      <c r="K12801" s="12" t="s">
        <v>24257</v>
      </c>
      <c r="L12801" s="20">
        <v>0.78268251273344647</v>
      </c>
    </row>
    <row r="12802" spans="1:12" x14ac:dyDescent="0.45">
      <c r="A12802" s="12" t="s">
        <v>24255</v>
      </c>
      <c r="B12802" s="12" t="s">
        <v>7143</v>
      </c>
      <c r="C12802" s="13" t="s">
        <v>7144</v>
      </c>
      <c r="D12802" s="13" t="s">
        <v>276</v>
      </c>
      <c r="E12802" s="12" t="s">
        <v>16</v>
      </c>
      <c r="F12802" s="14">
        <v>36000</v>
      </c>
      <c r="G12802" s="14">
        <v>29000</v>
      </c>
      <c r="H12802" s="13" t="s">
        <v>24258</v>
      </c>
      <c r="I12802" s="40" t="s">
        <v>18</v>
      </c>
      <c r="J12802" s="40" t="str">
        <f>HYPERLINK("https://stock.pstatic.net/stock-research/company/66/20250429_company_175726000.pdf","PDF")</f>
        <v>PDF</v>
      </c>
      <c r="K12802" s="12" t="s">
        <v>24259</v>
      </c>
      <c r="L12802" s="20">
        <v>0.2413793103448276</v>
      </c>
    </row>
    <row r="12803" spans="1:12" x14ac:dyDescent="0.45">
      <c r="A12803" s="12" t="s">
        <v>24255</v>
      </c>
      <c r="B12803" s="12" t="s">
        <v>450</v>
      </c>
      <c r="C12803" s="13" t="s">
        <v>451</v>
      </c>
      <c r="D12803" s="13" t="s">
        <v>60</v>
      </c>
      <c r="E12803" s="12" t="s">
        <v>35</v>
      </c>
      <c r="F12803" s="14">
        <v>370000</v>
      </c>
      <c r="G12803" s="13"/>
      <c r="H12803" s="13" t="s">
        <v>24260</v>
      </c>
      <c r="I12803" s="40" t="s">
        <v>18</v>
      </c>
      <c r="J12803" s="40" t="str">
        <f>HYPERLINK("https://stock.pstatic.net/stock-research/company/62/20250429_company_176719000.pdf","PDF")</f>
        <v>PDF</v>
      </c>
      <c r="K12803" s="12" t="s">
        <v>24261</v>
      </c>
    </row>
    <row r="12804" spans="1:12" x14ac:dyDescent="0.45">
      <c r="A12804" s="12" t="s">
        <v>24255</v>
      </c>
      <c r="B12804" s="12" t="s">
        <v>114</v>
      </c>
      <c r="C12804" s="13" t="s">
        <v>115</v>
      </c>
      <c r="D12804" s="13" t="s">
        <v>60</v>
      </c>
      <c r="E12804" s="12" t="s">
        <v>35</v>
      </c>
      <c r="F12804" s="14">
        <v>11000</v>
      </c>
      <c r="G12804" s="14">
        <v>7840</v>
      </c>
      <c r="H12804" s="13" t="s">
        <v>24262</v>
      </c>
      <c r="I12804" s="40" t="s">
        <v>18</v>
      </c>
      <c r="J12804" s="40" t="str">
        <f>HYPERLINK("https://stock.pstatic.net/stock-research/company/62/20250429_company_956237000.pdf","PDF")</f>
        <v>PDF</v>
      </c>
      <c r="K12804" s="12" t="s">
        <v>24263</v>
      </c>
      <c r="L12804" s="20">
        <v>0.40306122448979592</v>
      </c>
    </row>
    <row r="12805" spans="1:12" x14ac:dyDescent="0.45">
      <c r="A12805" s="12" t="s">
        <v>24255</v>
      </c>
      <c r="B12805" s="12" t="s">
        <v>450</v>
      </c>
      <c r="C12805" s="13" t="s">
        <v>451</v>
      </c>
      <c r="D12805" s="13" t="s">
        <v>65</v>
      </c>
      <c r="E12805" s="12" t="s">
        <v>35</v>
      </c>
      <c r="F12805" s="14">
        <v>420000</v>
      </c>
      <c r="G12805" s="14">
        <v>319000</v>
      </c>
      <c r="H12805" s="13" t="s">
        <v>24264</v>
      </c>
      <c r="I12805" s="40" t="s">
        <v>18</v>
      </c>
      <c r="J12805" s="40" t="str">
        <f>HYPERLINK("https://stock.pstatic.net/stock-research/company/57/20250429_company_653455000.pdf","PDF")</f>
        <v>PDF</v>
      </c>
      <c r="K12805" s="12" t="s">
        <v>24265</v>
      </c>
      <c r="L12805" s="20">
        <v>0.31661442006269591</v>
      </c>
    </row>
    <row r="12806" spans="1:12" x14ac:dyDescent="0.45">
      <c r="A12806" s="12" t="s">
        <v>24255</v>
      </c>
      <c r="B12806" s="12" t="s">
        <v>3168</v>
      </c>
      <c r="C12806" s="13" t="s">
        <v>3169</v>
      </c>
      <c r="D12806" s="13" t="s">
        <v>65</v>
      </c>
      <c r="E12806" s="12" t="s">
        <v>35</v>
      </c>
      <c r="F12806" s="14">
        <v>13000</v>
      </c>
      <c r="G12806" s="14">
        <v>9650</v>
      </c>
      <c r="H12806" s="13" t="s">
        <v>24266</v>
      </c>
      <c r="I12806" s="40" t="s">
        <v>18</v>
      </c>
      <c r="J12806" s="40" t="str">
        <f>HYPERLINK("https://stock.pstatic.net/stock-research/company/57/20250429_company_738228000.pdf","PDF")</f>
        <v>PDF</v>
      </c>
      <c r="K12806" s="12" t="s">
        <v>24267</v>
      </c>
      <c r="L12806" s="20">
        <v>0.34715025906735753</v>
      </c>
    </row>
    <row r="12807" spans="1:12" x14ac:dyDescent="0.45">
      <c r="A12807" s="12" t="s">
        <v>24255</v>
      </c>
      <c r="B12807" s="12" t="s">
        <v>1415</v>
      </c>
      <c r="C12807" s="13" t="s">
        <v>1416</v>
      </c>
      <c r="D12807" s="13" t="s">
        <v>65</v>
      </c>
      <c r="E12807" s="12" t="s">
        <v>35</v>
      </c>
      <c r="F12807" s="14">
        <v>7000</v>
      </c>
      <c r="G12807" s="14">
        <v>4310</v>
      </c>
      <c r="H12807" s="13" t="s">
        <v>24268</v>
      </c>
      <c r="I12807" s="40" t="s">
        <v>18</v>
      </c>
      <c r="J12807" s="40" t="str">
        <f>HYPERLINK("https://stock.pstatic.net/stock-research/company/1/20250429_company_537581000.pdf","PDF")</f>
        <v>PDF</v>
      </c>
      <c r="K12807" s="12" t="s">
        <v>24269</v>
      </c>
      <c r="L12807" s="20">
        <v>0.62412993039443154</v>
      </c>
    </row>
    <row r="12808" spans="1:12" x14ac:dyDescent="0.45">
      <c r="A12808" s="12" t="s">
        <v>24255</v>
      </c>
      <c r="B12808" s="12" t="s">
        <v>957</v>
      </c>
      <c r="C12808" s="13" t="s">
        <v>958</v>
      </c>
      <c r="D12808" s="13" t="s">
        <v>65</v>
      </c>
      <c r="E12808" s="12" t="s">
        <v>35</v>
      </c>
      <c r="F12808" s="14">
        <v>270000</v>
      </c>
      <c r="G12808" s="14">
        <v>235000</v>
      </c>
      <c r="H12808" s="13" t="s">
        <v>24270</v>
      </c>
      <c r="I12808" s="40" t="s">
        <v>18</v>
      </c>
      <c r="J12808" s="40" t="str">
        <f>HYPERLINK("https://stock.pstatic.net/stock-research/company/57/20250429_company_768991000.pdf","PDF")</f>
        <v>PDF</v>
      </c>
      <c r="K12808" s="12" t="s">
        <v>24271</v>
      </c>
      <c r="L12808" s="20">
        <v>0.14893617021276601</v>
      </c>
    </row>
    <row r="12809" spans="1:12" x14ac:dyDescent="0.45">
      <c r="A12809" s="12" t="s">
        <v>24255</v>
      </c>
      <c r="B12809" s="12" t="s">
        <v>5767</v>
      </c>
      <c r="C12809" s="13" t="s">
        <v>5768</v>
      </c>
      <c r="D12809" s="13" t="s">
        <v>65</v>
      </c>
      <c r="E12809" s="12" t="s">
        <v>35</v>
      </c>
      <c r="F12809" s="14">
        <v>31000</v>
      </c>
      <c r="G12809" s="14">
        <v>27300</v>
      </c>
      <c r="H12809" s="13" t="s">
        <v>24272</v>
      </c>
      <c r="I12809" s="40" t="s">
        <v>18</v>
      </c>
      <c r="J12809" s="40" t="str">
        <f>HYPERLINK("https://stock.pstatic.net/stock-research/company/57/20250429_company_399630000.pdf","PDF")</f>
        <v>PDF</v>
      </c>
      <c r="K12809" s="12" t="s">
        <v>24273</v>
      </c>
      <c r="L12809" s="20">
        <v>0.13553113553113549</v>
      </c>
    </row>
    <row r="12810" spans="1:12" x14ac:dyDescent="0.45">
      <c r="A12810" s="12" t="s">
        <v>24255</v>
      </c>
      <c r="B12810" s="12" t="s">
        <v>2089</v>
      </c>
      <c r="C12810" s="13" t="s">
        <v>2090</v>
      </c>
      <c r="D12810" s="13" t="s">
        <v>65</v>
      </c>
      <c r="E12810" s="12" t="s">
        <v>35</v>
      </c>
      <c r="F12810" s="14">
        <v>80000</v>
      </c>
      <c r="G12810" s="14">
        <v>52100</v>
      </c>
      <c r="H12810" s="13" t="s">
        <v>24274</v>
      </c>
      <c r="I12810" s="40" t="s">
        <v>18</v>
      </c>
      <c r="J12810" s="40" t="str">
        <f>HYPERLINK("https://stock.pstatic.net/stock-research/company/57/20250429_company_971109000.pdf","PDF")</f>
        <v>PDF</v>
      </c>
      <c r="K12810" s="12" t="s">
        <v>24275</v>
      </c>
      <c r="L12810" s="20">
        <v>0.53550863723608444</v>
      </c>
    </row>
    <row r="12811" spans="1:12" x14ac:dyDescent="0.45">
      <c r="A12811" s="12" t="s">
        <v>24255</v>
      </c>
      <c r="B12811" s="12" t="s">
        <v>2777</v>
      </c>
      <c r="C12811" s="13" t="s">
        <v>2778</v>
      </c>
      <c r="D12811" s="13" t="s">
        <v>57</v>
      </c>
      <c r="E12811" s="12" t="s">
        <v>35</v>
      </c>
      <c r="F12811" s="14">
        <v>190000</v>
      </c>
      <c r="G12811" s="14">
        <v>117800</v>
      </c>
      <c r="H12811" s="13" t="s">
        <v>24276</v>
      </c>
      <c r="I12811" s="40" t="s">
        <v>18</v>
      </c>
      <c r="J12811" s="40" t="str">
        <f>HYPERLINK("https://stock.pstatic.net/stock-research/company/16/20250429_company_420704000.pdf","PDF")</f>
        <v>PDF</v>
      </c>
      <c r="K12811" s="12" t="s">
        <v>24277</v>
      </c>
      <c r="L12811" s="20">
        <v>0.61290322580645162</v>
      </c>
    </row>
    <row r="12812" spans="1:12" x14ac:dyDescent="0.45">
      <c r="A12812" s="12" t="s">
        <v>24255</v>
      </c>
      <c r="B12812" s="12" t="s">
        <v>2089</v>
      </c>
      <c r="C12812" s="13" t="s">
        <v>2090</v>
      </c>
      <c r="D12812" s="13" t="s">
        <v>57</v>
      </c>
      <c r="E12812" s="12" t="s">
        <v>35</v>
      </c>
      <c r="F12812" s="14">
        <v>70000</v>
      </c>
      <c r="G12812" s="14">
        <v>52100</v>
      </c>
      <c r="H12812" s="13" t="s">
        <v>24278</v>
      </c>
      <c r="I12812" s="40" t="s">
        <v>18</v>
      </c>
      <c r="J12812" s="40" t="str">
        <f>HYPERLINK("https://stock.pstatic.net/stock-research/company/1/20250429_company_338418000.pdf","PDF")</f>
        <v>PDF</v>
      </c>
      <c r="K12812" s="12" t="s">
        <v>24279</v>
      </c>
      <c r="L12812" s="20">
        <v>0.34357005758157388</v>
      </c>
    </row>
    <row r="12813" spans="1:12" x14ac:dyDescent="0.45">
      <c r="A12813" s="12" t="s">
        <v>24255</v>
      </c>
      <c r="B12813" s="12" t="s">
        <v>450</v>
      </c>
      <c r="C12813" s="13" t="s">
        <v>451</v>
      </c>
      <c r="D12813" s="13" t="s">
        <v>57</v>
      </c>
      <c r="E12813" s="12" t="s">
        <v>35</v>
      </c>
      <c r="F12813" s="14">
        <v>360000</v>
      </c>
      <c r="G12813" s="14">
        <v>319000</v>
      </c>
      <c r="H12813" s="13" t="s">
        <v>24280</v>
      </c>
      <c r="I12813" s="40" t="s">
        <v>18</v>
      </c>
      <c r="J12813" s="40" t="str">
        <f>HYPERLINK("https://stock.pstatic.net/stock-research/company/16/20250429_company_700761000.pdf","PDF")</f>
        <v>PDF</v>
      </c>
      <c r="K12813" s="12" t="s">
        <v>24281</v>
      </c>
      <c r="L12813" s="20">
        <v>0.12852664576802511</v>
      </c>
    </row>
    <row r="12814" spans="1:12" x14ac:dyDescent="0.45">
      <c r="A12814" s="12" t="s">
        <v>24255</v>
      </c>
      <c r="B12814" s="12" t="s">
        <v>3168</v>
      </c>
      <c r="C12814" s="13" t="s">
        <v>3169</v>
      </c>
      <c r="D12814" s="13" t="s">
        <v>57</v>
      </c>
      <c r="E12814" s="12" t="s">
        <v>35</v>
      </c>
      <c r="F12814" s="14">
        <v>12000</v>
      </c>
      <c r="G12814" s="14">
        <v>9650</v>
      </c>
      <c r="H12814" s="13" t="s">
        <v>24282</v>
      </c>
      <c r="I12814" s="40" t="s">
        <v>18</v>
      </c>
      <c r="J12814" s="40" t="str">
        <f>HYPERLINK("https://stock.pstatic.net/stock-research/company/16/20250429_company_50177000.pdf","PDF")</f>
        <v>PDF</v>
      </c>
      <c r="K12814" s="12" t="s">
        <v>24283</v>
      </c>
      <c r="L12814" s="20">
        <v>0.2435233160621762</v>
      </c>
    </row>
    <row r="12815" spans="1:12" x14ac:dyDescent="0.45">
      <c r="A12815" s="12" t="s">
        <v>24255</v>
      </c>
      <c r="B12815" s="12" t="s">
        <v>1552</v>
      </c>
      <c r="C12815" s="13" t="s">
        <v>9704</v>
      </c>
      <c r="D12815" s="13" t="s">
        <v>57</v>
      </c>
      <c r="E12815" s="12" t="s">
        <v>35</v>
      </c>
      <c r="F12815" s="14">
        <v>88000</v>
      </c>
      <c r="G12815" s="14">
        <v>67000</v>
      </c>
      <c r="H12815" s="13" t="s">
        <v>24284</v>
      </c>
      <c r="I12815" s="40" t="s">
        <v>18</v>
      </c>
      <c r="J12815" s="40" t="str">
        <f>HYPERLINK("https://stock.pstatic.net/stock-research/company/1/20250429_company_405980000.pdf","PDF")</f>
        <v>PDF</v>
      </c>
      <c r="K12815" s="12" t="s">
        <v>24285</v>
      </c>
      <c r="L12815" s="20">
        <v>0.31343283582089548</v>
      </c>
    </row>
    <row r="12816" spans="1:12" x14ac:dyDescent="0.45">
      <c r="A12816" s="12" t="s">
        <v>24255</v>
      </c>
      <c r="B12816" s="12" t="s">
        <v>3244</v>
      </c>
      <c r="C12816" s="13" t="s">
        <v>3245</v>
      </c>
      <c r="D12816" s="13" t="s">
        <v>57</v>
      </c>
      <c r="E12816" s="12" t="s">
        <v>35</v>
      </c>
      <c r="F12816" s="14">
        <v>64000</v>
      </c>
      <c r="G12816" s="14">
        <v>46050</v>
      </c>
      <c r="H12816" s="13" t="s">
        <v>24286</v>
      </c>
      <c r="I12816" s="40" t="s">
        <v>18</v>
      </c>
      <c r="J12816" s="40" t="str">
        <f>HYPERLINK("https://stock.pstatic.net/stock-research/company/1/20250429_company_635801000.pdf","PDF")</f>
        <v>PDF</v>
      </c>
      <c r="K12816" s="12" t="s">
        <v>24287</v>
      </c>
      <c r="L12816" s="20">
        <v>0.38979370249728562</v>
      </c>
    </row>
    <row r="12817" spans="1:12" x14ac:dyDescent="0.45">
      <c r="A12817" s="12" t="s">
        <v>24255</v>
      </c>
      <c r="B12817" s="12" t="s">
        <v>912</v>
      </c>
      <c r="C12817" s="13" t="s">
        <v>913</v>
      </c>
      <c r="D12817" s="13" t="s">
        <v>158</v>
      </c>
      <c r="E12817" s="12" t="s">
        <v>35</v>
      </c>
      <c r="F12817" s="14">
        <v>66000</v>
      </c>
      <c r="G12817" s="14">
        <v>54700</v>
      </c>
      <c r="H12817" s="13" t="s">
        <v>24288</v>
      </c>
      <c r="I12817" s="40" t="s">
        <v>18</v>
      </c>
      <c r="J12817" s="40" t="str">
        <f>HYPERLINK("https://stock.pstatic.net/stock-research/company/18/20250429_company_567127000.pdf","PDF")</f>
        <v>PDF</v>
      </c>
      <c r="K12817" s="12" t="s">
        <v>24289</v>
      </c>
      <c r="L12817" s="20">
        <v>0.20658135283363799</v>
      </c>
    </row>
    <row r="12818" spans="1:12" x14ac:dyDescent="0.45">
      <c r="A12818" s="12" t="s">
        <v>24255</v>
      </c>
      <c r="B12818" s="12" t="s">
        <v>1552</v>
      </c>
      <c r="C12818" s="13" t="s">
        <v>9704</v>
      </c>
      <c r="D12818" s="13" t="s">
        <v>158</v>
      </c>
      <c r="E12818" s="12" t="s">
        <v>35</v>
      </c>
      <c r="F12818" s="14">
        <v>90000</v>
      </c>
      <c r="G12818" s="14">
        <v>67000</v>
      </c>
      <c r="H12818" s="13" t="s">
        <v>24290</v>
      </c>
      <c r="I12818" s="40" t="s">
        <v>18</v>
      </c>
      <c r="J12818" s="40" t="str">
        <f>HYPERLINK("https://stock.pstatic.net/stock-research/company/1/20250429_company_707763000.pdf","PDF")</f>
        <v>PDF</v>
      </c>
      <c r="K12818" s="12" t="s">
        <v>24291</v>
      </c>
      <c r="L12818" s="20">
        <v>0.34328358208955218</v>
      </c>
    </row>
    <row r="12819" spans="1:12" x14ac:dyDescent="0.45">
      <c r="A12819" s="12" t="s">
        <v>24255</v>
      </c>
      <c r="B12819" s="12" t="s">
        <v>2933</v>
      </c>
      <c r="C12819" s="13" t="s">
        <v>2934</v>
      </c>
      <c r="D12819" s="13" t="s">
        <v>158</v>
      </c>
      <c r="E12819" s="12" t="s">
        <v>35</v>
      </c>
      <c r="F12819" s="14">
        <v>87500</v>
      </c>
      <c r="G12819" s="14">
        <v>49400</v>
      </c>
      <c r="H12819" s="13" t="s">
        <v>24292</v>
      </c>
      <c r="I12819" s="40" t="s">
        <v>18</v>
      </c>
      <c r="J12819" s="40" t="str">
        <f>HYPERLINK("https://stock.pstatic.net/stock-research/company/18/20250429_company_315919000.pdf","PDF")</f>
        <v>PDF</v>
      </c>
      <c r="K12819" s="12" t="s">
        <v>24293</v>
      </c>
      <c r="L12819" s="20">
        <v>0.77125506072874495</v>
      </c>
    </row>
    <row r="12820" spans="1:12" x14ac:dyDescent="0.45">
      <c r="A12820" s="12" t="s">
        <v>24255</v>
      </c>
      <c r="B12820" s="12" t="s">
        <v>81</v>
      </c>
      <c r="C12820" s="13" t="s">
        <v>82</v>
      </c>
      <c r="D12820" s="13" t="s">
        <v>158</v>
      </c>
      <c r="E12820" s="12" t="s">
        <v>35</v>
      </c>
      <c r="F12820" s="14">
        <v>19000</v>
      </c>
      <c r="G12820" s="14">
        <v>14380</v>
      </c>
      <c r="H12820" s="13" t="s">
        <v>24294</v>
      </c>
      <c r="I12820" s="40" t="s">
        <v>18</v>
      </c>
      <c r="J12820" s="40" t="str">
        <f>HYPERLINK("https://stock.pstatic.net/stock-research/company/1/20250429_company_652525000.pdf","PDF")</f>
        <v>PDF</v>
      </c>
      <c r="K12820" s="12" t="s">
        <v>24295</v>
      </c>
      <c r="L12820" s="20">
        <v>0.32127955493741311</v>
      </c>
    </row>
    <row r="12821" spans="1:12" x14ac:dyDescent="0.45">
      <c r="A12821" s="12" t="s">
        <v>24255</v>
      </c>
      <c r="B12821" s="12" t="s">
        <v>1065</v>
      </c>
      <c r="C12821" s="13" t="s">
        <v>1066</v>
      </c>
      <c r="D12821" s="13" t="s">
        <v>158</v>
      </c>
      <c r="E12821" s="12" t="s">
        <v>35</v>
      </c>
      <c r="F12821" s="14">
        <v>120000</v>
      </c>
      <c r="G12821" s="14">
        <v>86900</v>
      </c>
      <c r="H12821" s="13" t="s">
        <v>24296</v>
      </c>
      <c r="I12821" s="40" t="s">
        <v>18</v>
      </c>
      <c r="J12821" s="40" t="str">
        <f>HYPERLINK("https://stock.pstatic.net/stock-research/company/18/20250429_company_619256000.pdf","PDF")</f>
        <v>PDF</v>
      </c>
      <c r="K12821" s="12" t="s">
        <v>24297</v>
      </c>
      <c r="L12821" s="20">
        <v>0.38089758342922903</v>
      </c>
    </row>
    <row r="12822" spans="1:12" x14ac:dyDescent="0.45">
      <c r="A12822" s="12" t="s">
        <v>24255</v>
      </c>
      <c r="B12822" s="12" t="s">
        <v>3391</v>
      </c>
      <c r="C12822" s="13" t="s">
        <v>3392</v>
      </c>
      <c r="D12822" s="13" t="s">
        <v>158</v>
      </c>
      <c r="E12822" s="12" t="s">
        <v>50</v>
      </c>
      <c r="F12822" s="13"/>
      <c r="G12822" s="14">
        <v>6850</v>
      </c>
      <c r="H12822" s="13" t="s">
        <v>24298</v>
      </c>
      <c r="I12822" s="40" t="s">
        <v>18</v>
      </c>
      <c r="J12822" s="40" t="str">
        <f>HYPERLINK("https://stock.pstatic.net/stock-research/company/1/20250429_company_519276000.pdf","PDF")</f>
        <v>PDF</v>
      </c>
      <c r="K12822" s="12" t="s">
        <v>24299</v>
      </c>
    </row>
    <row r="12823" spans="1:12" x14ac:dyDescent="0.45">
      <c r="A12823" s="12" t="s">
        <v>24255</v>
      </c>
      <c r="B12823" s="12" t="s">
        <v>3296</v>
      </c>
      <c r="C12823" s="13" t="s">
        <v>3297</v>
      </c>
      <c r="D12823" s="13" t="s">
        <v>158</v>
      </c>
      <c r="E12823" s="12" t="s">
        <v>35</v>
      </c>
      <c r="F12823" s="14">
        <v>58000</v>
      </c>
      <c r="G12823" s="14">
        <v>41150</v>
      </c>
      <c r="H12823" s="13" t="s">
        <v>24300</v>
      </c>
      <c r="I12823" s="40" t="s">
        <v>18</v>
      </c>
      <c r="J12823" s="40" t="str">
        <f>HYPERLINK("https://stock.pstatic.net/stock-research/company/18/20250429_company_555047000.pdf","PDF")</f>
        <v>PDF</v>
      </c>
      <c r="K12823" s="12" t="s">
        <v>24301</v>
      </c>
      <c r="L12823" s="20">
        <v>0.40947752126366949</v>
      </c>
    </row>
    <row r="12824" spans="1:12" x14ac:dyDescent="0.45">
      <c r="A12824" s="12" t="s">
        <v>24255</v>
      </c>
      <c r="B12824" s="12" t="s">
        <v>2089</v>
      </c>
      <c r="C12824" s="13" t="s">
        <v>2090</v>
      </c>
      <c r="D12824" s="13" t="s">
        <v>83</v>
      </c>
      <c r="E12824" s="12" t="s">
        <v>35</v>
      </c>
      <c r="F12824" s="14">
        <v>77000</v>
      </c>
      <c r="G12824" s="14">
        <v>52400</v>
      </c>
      <c r="H12824" s="13" t="s">
        <v>24302</v>
      </c>
      <c r="I12824" s="40" t="s">
        <v>18</v>
      </c>
      <c r="J12824" s="40" t="str">
        <f>HYPERLINK("https://stock.pstatic.net/stock-research/company/2/20250429_company_619668000.pdf","PDF")</f>
        <v>PDF</v>
      </c>
      <c r="K12824" s="12" t="s">
        <v>24303</v>
      </c>
      <c r="L12824" s="20">
        <v>0.46946564885496178</v>
      </c>
    </row>
    <row r="12825" spans="1:12" x14ac:dyDescent="0.45">
      <c r="A12825" s="12" t="s">
        <v>24255</v>
      </c>
      <c r="B12825" s="12" t="s">
        <v>698</v>
      </c>
      <c r="C12825" s="13" t="s">
        <v>699</v>
      </c>
      <c r="D12825" s="13" t="s">
        <v>83</v>
      </c>
      <c r="E12825" s="12" t="s">
        <v>35</v>
      </c>
      <c r="F12825" s="14">
        <v>210000</v>
      </c>
      <c r="G12825" s="14">
        <v>131400</v>
      </c>
      <c r="H12825" s="13" t="s">
        <v>24304</v>
      </c>
      <c r="I12825" s="40" t="s">
        <v>18</v>
      </c>
      <c r="J12825" s="40" t="str">
        <f>HYPERLINK("https://stock.pstatic.net/stock-research/company/2/20250429_company_486334000.pdf","PDF")</f>
        <v>PDF</v>
      </c>
      <c r="K12825" s="12" t="s">
        <v>24305</v>
      </c>
      <c r="L12825" s="20">
        <v>0.59817351598173518</v>
      </c>
    </row>
    <row r="12826" spans="1:12" x14ac:dyDescent="0.45">
      <c r="A12826" s="12" t="s">
        <v>24255</v>
      </c>
      <c r="B12826" s="12" t="s">
        <v>81</v>
      </c>
      <c r="C12826" s="13" t="s">
        <v>82</v>
      </c>
      <c r="D12826" s="13" t="s">
        <v>83</v>
      </c>
      <c r="E12826" s="12" t="s">
        <v>35</v>
      </c>
      <c r="F12826" s="14">
        <v>18000</v>
      </c>
      <c r="G12826" s="14">
        <v>14380</v>
      </c>
      <c r="H12826" s="13" t="s">
        <v>24306</v>
      </c>
      <c r="I12826" s="40" t="s">
        <v>18</v>
      </c>
      <c r="J12826" s="40" t="str">
        <f>HYPERLINK("https://stock.pstatic.net/stock-research/company/2/20250429_company_618657000.pdf","PDF")</f>
        <v>PDF</v>
      </c>
      <c r="K12826" s="12" t="s">
        <v>24307</v>
      </c>
      <c r="L12826" s="20">
        <v>0.2517385257301808</v>
      </c>
    </row>
    <row r="12827" spans="1:12" x14ac:dyDescent="0.45">
      <c r="A12827" s="12" t="s">
        <v>24255</v>
      </c>
      <c r="B12827" s="12" t="s">
        <v>1660</v>
      </c>
      <c r="C12827" s="13" t="s">
        <v>1661</v>
      </c>
      <c r="D12827" s="13" t="s">
        <v>83</v>
      </c>
      <c r="E12827" s="12" t="s">
        <v>35</v>
      </c>
      <c r="F12827" s="14">
        <v>64000</v>
      </c>
      <c r="G12827" s="14">
        <v>45850</v>
      </c>
      <c r="H12827" s="13" t="s">
        <v>24308</v>
      </c>
      <c r="I12827" s="40" t="s">
        <v>18</v>
      </c>
      <c r="J12827" s="40" t="str">
        <f>HYPERLINK("https://stock.pstatic.net/stock-research/company/2/20250429_company_621998000.pdf","PDF")</f>
        <v>PDF</v>
      </c>
      <c r="K12827" s="12" t="s">
        <v>24309</v>
      </c>
      <c r="L12827" s="20">
        <v>0.39585605234460203</v>
      </c>
    </row>
    <row r="12828" spans="1:12" x14ac:dyDescent="0.45">
      <c r="A12828" s="12" t="s">
        <v>24255</v>
      </c>
      <c r="B12828" s="12" t="s">
        <v>1678</v>
      </c>
      <c r="C12828" s="13" t="s">
        <v>1679</v>
      </c>
      <c r="D12828" s="13" t="s">
        <v>83</v>
      </c>
      <c r="E12828" s="12" t="s">
        <v>35</v>
      </c>
      <c r="F12828" s="14">
        <v>110000</v>
      </c>
      <c r="G12828" s="14">
        <v>59200</v>
      </c>
      <c r="H12828" s="13" t="s">
        <v>24310</v>
      </c>
      <c r="I12828" s="40" t="s">
        <v>18</v>
      </c>
      <c r="J12828" s="40" t="str">
        <f>HYPERLINK("https://stock.pstatic.net/stock-research/company/2/20250429_company_898296000.pdf","PDF")</f>
        <v>PDF</v>
      </c>
      <c r="K12828" s="12" t="s">
        <v>24311</v>
      </c>
      <c r="L12828" s="20">
        <v>0.85810810810810811</v>
      </c>
    </row>
    <row r="12829" spans="1:12" x14ac:dyDescent="0.45">
      <c r="A12829" s="12" t="s">
        <v>24255</v>
      </c>
      <c r="B12829" s="12" t="s">
        <v>2777</v>
      </c>
      <c r="C12829" s="13" t="s">
        <v>2778</v>
      </c>
      <c r="D12829" s="13" t="s">
        <v>83</v>
      </c>
      <c r="E12829" s="12" t="s">
        <v>35</v>
      </c>
      <c r="F12829" s="14">
        <v>200000</v>
      </c>
      <c r="G12829" s="14">
        <v>117800</v>
      </c>
      <c r="H12829" s="13" t="s">
        <v>24312</v>
      </c>
      <c r="I12829" s="40" t="s">
        <v>18</v>
      </c>
      <c r="J12829" s="40" t="str">
        <f>HYPERLINK("https://stock.pstatic.net/stock-research/company/2/20250429_company_60689000.pdf","PDF")</f>
        <v>PDF</v>
      </c>
      <c r="K12829" s="12" t="s">
        <v>24313</v>
      </c>
      <c r="L12829" s="20">
        <v>0.6977928692699491</v>
      </c>
    </row>
    <row r="12830" spans="1:12" x14ac:dyDescent="0.45">
      <c r="A12830" s="12" t="s">
        <v>24255</v>
      </c>
      <c r="B12830" s="12" t="s">
        <v>5767</v>
      </c>
      <c r="C12830" s="13" t="s">
        <v>5768</v>
      </c>
      <c r="D12830" s="13" t="s">
        <v>83</v>
      </c>
      <c r="E12830" s="12" t="s">
        <v>35</v>
      </c>
      <c r="F12830" s="14">
        <v>33000</v>
      </c>
      <c r="G12830" s="14">
        <v>27300</v>
      </c>
      <c r="H12830" s="13" t="s">
        <v>24314</v>
      </c>
      <c r="I12830" s="40" t="s">
        <v>18</v>
      </c>
      <c r="J12830" s="40" t="str">
        <f>HYPERLINK("https://stock.pstatic.net/stock-research/company/2/20250429_company_941896000.pdf","PDF")</f>
        <v>PDF</v>
      </c>
      <c r="K12830" s="12" t="s">
        <v>24315</v>
      </c>
      <c r="L12830" s="20">
        <v>0.2087912087912088</v>
      </c>
    </row>
    <row r="12831" spans="1:12" x14ac:dyDescent="0.45">
      <c r="A12831" s="12" t="s">
        <v>24255</v>
      </c>
      <c r="B12831" s="12" t="s">
        <v>3284</v>
      </c>
      <c r="C12831" s="13" t="s">
        <v>3285</v>
      </c>
      <c r="D12831" s="13" t="s">
        <v>83</v>
      </c>
      <c r="E12831" s="12" t="s">
        <v>35</v>
      </c>
      <c r="F12831" s="14">
        <v>100000</v>
      </c>
      <c r="G12831" s="14">
        <v>89300</v>
      </c>
      <c r="H12831" s="13" t="s">
        <v>24316</v>
      </c>
      <c r="I12831" s="40" t="s">
        <v>18</v>
      </c>
      <c r="J12831" s="40" t="str">
        <f>HYPERLINK("https://stock.pstatic.net/stock-research/company/2/20250429_company_361267000.pdf","PDF")</f>
        <v>PDF</v>
      </c>
      <c r="K12831" s="12" t="s">
        <v>24317</v>
      </c>
      <c r="L12831" s="20">
        <v>0.1198208286674132</v>
      </c>
    </row>
    <row r="12832" spans="1:12" x14ac:dyDescent="0.45">
      <c r="A12832" s="12" t="s">
        <v>24255</v>
      </c>
      <c r="B12832" s="12" t="s">
        <v>450</v>
      </c>
      <c r="C12832" s="13" t="s">
        <v>451</v>
      </c>
      <c r="D12832" s="13" t="s">
        <v>83</v>
      </c>
      <c r="E12832" s="12" t="s">
        <v>642</v>
      </c>
      <c r="F12832" s="14">
        <v>340000</v>
      </c>
      <c r="G12832" s="14">
        <v>319000</v>
      </c>
      <c r="H12832" s="13" t="s">
        <v>24318</v>
      </c>
      <c r="I12832" s="40" t="s">
        <v>18</v>
      </c>
      <c r="J12832" s="40" t="str">
        <f>HYPERLINK("https://stock.pstatic.net/stock-research/company/2/20250429_company_833900000.pdf","PDF")</f>
        <v>PDF</v>
      </c>
      <c r="K12832" s="12" t="s">
        <v>24319</v>
      </c>
      <c r="L12832" s="20">
        <v>6.5830721003134793E-2</v>
      </c>
    </row>
    <row r="12833" spans="1:12" x14ac:dyDescent="0.45">
      <c r="A12833" s="12" t="s">
        <v>24255</v>
      </c>
      <c r="B12833" s="12" t="s">
        <v>661</v>
      </c>
      <c r="C12833" s="13" t="s">
        <v>662</v>
      </c>
      <c r="D12833" s="13" t="s">
        <v>83</v>
      </c>
      <c r="E12833" s="12" t="s">
        <v>35</v>
      </c>
      <c r="F12833" s="14">
        <v>29000</v>
      </c>
      <c r="G12833" s="14">
        <v>19170</v>
      </c>
      <c r="H12833" s="13" t="s">
        <v>24109</v>
      </c>
      <c r="I12833" s="40" t="s">
        <v>18</v>
      </c>
      <c r="J12833" s="40" t="str">
        <f>HYPERLINK("https://stock.pstatic.net/stock-research/company/2/20250429_company_444165000.pdf","PDF")</f>
        <v>PDF</v>
      </c>
      <c r="K12833" s="12" t="s">
        <v>24320</v>
      </c>
      <c r="L12833" s="20">
        <v>0.51278038601982268</v>
      </c>
    </row>
    <row r="12834" spans="1:12" x14ac:dyDescent="0.45">
      <c r="A12834" s="12" t="s">
        <v>24255</v>
      </c>
      <c r="B12834" s="12" t="s">
        <v>2262</v>
      </c>
      <c r="C12834" s="13" t="s">
        <v>2263</v>
      </c>
      <c r="D12834" s="13" t="s">
        <v>83</v>
      </c>
      <c r="E12834" s="12" t="s">
        <v>35</v>
      </c>
      <c r="F12834" s="14">
        <v>14000</v>
      </c>
      <c r="G12834" s="14">
        <v>8780</v>
      </c>
      <c r="H12834" s="13" t="s">
        <v>24321</v>
      </c>
      <c r="I12834" s="40" t="s">
        <v>18</v>
      </c>
      <c r="J12834" s="40" t="str">
        <f>HYPERLINK("https://stock.pstatic.net/stock-research/company/2/20250429_company_263692000.pdf","PDF")</f>
        <v>PDF</v>
      </c>
      <c r="K12834" s="12" t="s">
        <v>24322</v>
      </c>
      <c r="L12834" s="20">
        <v>0.59453302961275623</v>
      </c>
    </row>
    <row r="12835" spans="1:12" x14ac:dyDescent="0.45">
      <c r="A12835" s="12" t="s">
        <v>24255</v>
      </c>
      <c r="B12835" s="12" t="s">
        <v>450</v>
      </c>
      <c r="C12835" s="13" t="s">
        <v>451</v>
      </c>
      <c r="D12835" s="13" t="s">
        <v>15</v>
      </c>
      <c r="E12835" s="12" t="s">
        <v>16</v>
      </c>
      <c r="F12835" s="14">
        <v>400000</v>
      </c>
      <c r="G12835" s="14">
        <v>319000</v>
      </c>
      <c r="H12835" s="13" t="s">
        <v>24323</v>
      </c>
      <c r="I12835" s="40" t="s">
        <v>18</v>
      </c>
      <c r="J12835" s="40" t="str">
        <f>HYPERLINK("https://stock.pstatic.net/stock-research/company/1/20250429_company_136360000.pdf","PDF")</f>
        <v>PDF</v>
      </c>
      <c r="K12835" s="12" t="s">
        <v>24324</v>
      </c>
      <c r="L12835" s="20">
        <v>0.25391849529780558</v>
      </c>
    </row>
    <row r="12836" spans="1:12" x14ac:dyDescent="0.45">
      <c r="A12836" s="12" t="s">
        <v>24255</v>
      </c>
      <c r="B12836" s="12" t="s">
        <v>3296</v>
      </c>
      <c r="C12836" s="13" t="s">
        <v>3297</v>
      </c>
      <c r="D12836" s="13" t="s">
        <v>92</v>
      </c>
      <c r="E12836" s="12" t="s">
        <v>35</v>
      </c>
      <c r="F12836" s="14">
        <v>70000</v>
      </c>
      <c r="G12836" s="14">
        <v>41150</v>
      </c>
      <c r="H12836" s="13" t="s">
        <v>24325</v>
      </c>
      <c r="I12836" s="40" t="s">
        <v>18</v>
      </c>
      <c r="J12836" s="40" t="str">
        <f>HYPERLINK("https://stock.pstatic.net/stock-research/company/63/20250429_company_296022000.pdf","PDF")</f>
        <v>PDF</v>
      </c>
      <c r="K12836" s="12" t="s">
        <v>24326</v>
      </c>
      <c r="L12836" s="20">
        <v>0.70109356014580804</v>
      </c>
    </row>
    <row r="12837" spans="1:12" x14ac:dyDescent="0.45">
      <c r="A12837" s="12" t="s">
        <v>24255</v>
      </c>
      <c r="B12837" s="12" t="s">
        <v>912</v>
      </c>
      <c r="C12837" s="13" t="s">
        <v>913</v>
      </c>
      <c r="D12837" s="13" t="s">
        <v>15</v>
      </c>
      <c r="E12837" s="12" t="s">
        <v>16</v>
      </c>
      <c r="F12837" s="14">
        <v>70000</v>
      </c>
      <c r="G12837" s="14">
        <v>54700</v>
      </c>
      <c r="H12837" s="13" t="s">
        <v>24327</v>
      </c>
      <c r="I12837" s="40" t="s">
        <v>18</v>
      </c>
      <c r="J12837" s="40" t="str">
        <f>HYPERLINK("https://stock.pstatic.net/stock-research/company/29/20250429_company_932248000.pdf","PDF")</f>
        <v>PDF</v>
      </c>
      <c r="K12837" s="12" t="s">
        <v>24328</v>
      </c>
      <c r="L12837" s="20">
        <v>0.27970749542961609</v>
      </c>
    </row>
    <row r="12838" spans="1:12" x14ac:dyDescent="0.45">
      <c r="A12838" s="12" t="s">
        <v>24255</v>
      </c>
      <c r="B12838" s="12" t="s">
        <v>2369</v>
      </c>
      <c r="C12838" s="13" t="s">
        <v>2370</v>
      </c>
      <c r="D12838" s="13" t="s">
        <v>179</v>
      </c>
      <c r="E12838" s="12" t="s">
        <v>16</v>
      </c>
      <c r="F12838" s="14">
        <v>250000</v>
      </c>
      <c r="G12838" s="14">
        <v>184200</v>
      </c>
      <c r="H12838" s="13" t="s">
        <v>24329</v>
      </c>
      <c r="I12838" s="40" t="s">
        <v>18</v>
      </c>
      <c r="J12838" s="40" t="str">
        <f>HYPERLINK("https://stock.pstatic.net/stock-research/company/31/20250429_company_453508000.pdf","PDF")</f>
        <v>PDF</v>
      </c>
      <c r="K12838" s="12" t="s">
        <v>24330</v>
      </c>
      <c r="L12838" s="20">
        <v>0.35722041259500542</v>
      </c>
    </row>
    <row r="12839" spans="1:12" x14ac:dyDescent="0.45">
      <c r="A12839" s="12" t="s">
        <v>24255</v>
      </c>
      <c r="B12839" s="12" t="s">
        <v>438</v>
      </c>
      <c r="C12839" s="13" t="s">
        <v>439</v>
      </c>
      <c r="D12839" s="13" t="s">
        <v>179</v>
      </c>
      <c r="E12839" s="12" t="s">
        <v>50</v>
      </c>
      <c r="F12839" s="13"/>
      <c r="G12839" s="13"/>
      <c r="H12839" s="13" t="s">
        <v>24331</v>
      </c>
      <c r="I12839" s="40" t="s">
        <v>18</v>
      </c>
      <c r="J12839" s="40" t="str">
        <f>HYPERLINK("https://stock.pstatic.net/stock-research/company/31/20250429_company_23908000.pdf","PDF")</f>
        <v>PDF</v>
      </c>
      <c r="K12839" s="12" t="s">
        <v>24332</v>
      </c>
    </row>
    <row r="12840" spans="1:12" x14ac:dyDescent="0.45">
      <c r="A12840" s="12" t="s">
        <v>24255</v>
      </c>
      <c r="B12840" s="12" t="s">
        <v>81</v>
      </c>
      <c r="C12840" s="13" t="s">
        <v>82</v>
      </c>
      <c r="D12840" s="13" t="s">
        <v>15</v>
      </c>
      <c r="E12840" s="12" t="s">
        <v>16</v>
      </c>
      <c r="F12840" s="14">
        <v>18000</v>
      </c>
      <c r="G12840" s="14">
        <v>14380</v>
      </c>
      <c r="H12840" s="13" t="s">
        <v>24333</v>
      </c>
      <c r="I12840" s="40" t="s">
        <v>18</v>
      </c>
      <c r="J12840" s="40" t="str">
        <f>HYPERLINK("https://stock.pstatic.net/stock-research/company/29/20250429_company_592435000.pdf","PDF")</f>
        <v>PDF</v>
      </c>
      <c r="K12840" s="12" t="s">
        <v>24334</v>
      </c>
      <c r="L12840" s="20">
        <v>0.2517385257301808</v>
      </c>
    </row>
    <row r="12841" spans="1:12" x14ac:dyDescent="0.45">
      <c r="A12841" s="12" t="s">
        <v>24255</v>
      </c>
      <c r="B12841" s="12" t="s">
        <v>3168</v>
      </c>
      <c r="C12841" s="13" t="s">
        <v>3169</v>
      </c>
      <c r="D12841" s="13" t="s">
        <v>15</v>
      </c>
      <c r="E12841" s="12" t="s">
        <v>16</v>
      </c>
      <c r="F12841" s="14">
        <v>12500</v>
      </c>
      <c r="G12841" s="14">
        <v>9650</v>
      </c>
      <c r="H12841" s="13" t="s">
        <v>24335</v>
      </c>
      <c r="I12841" s="40" t="s">
        <v>18</v>
      </c>
      <c r="J12841" s="40" t="str">
        <f>HYPERLINK("https://stock.pstatic.net/stock-research/company/29/20250429_company_759842000.pdf","PDF")</f>
        <v>PDF</v>
      </c>
      <c r="K12841" s="12" t="s">
        <v>24336</v>
      </c>
      <c r="L12841" s="20">
        <v>0.29533678756476678</v>
      </c>
    </row>
    <row r="12842" spans="1:12" x14ac:dyDescent="0.45">
      <c r="A12842" s="12" t="s">
        <v>24255</v>
      </c>
      <c r="B12842" s="12" t="s">
        <v>1216</v>
      </c>
      <c r="C12842" s="13" t="s">
        <v>1217</v>
      </c>
      <c r="D12842" s="13" t="s">
        <v>179</v>
      </c>
      <c r="E12842" s="12" t="s">
        <v>16</v>
      </c>
      <c r="F12842" s="14">
        <v>34000</v>
      </c>
      <c r="G12842" s="14">
        <v>23200</v>
      </c>
      <c r="H12842" s="13" t="s">
        <v>24337</v>
      </c>
      <c r="I12842" s="40" t="s">
        <v>18</v>
      </c>
      <c r="J12842" s="40" t="str">
        <f>HYPERLINK("https://stock.pstatic.net/stock-research/company/31/20250429_company_17038000.pdf","PDF")</f>
        <v>PDF</v>
      </c>
      <c r="K12842" s="12" t="s">
        <v>24338</v>
      </c>
      <c r="L12842" s="20">
        <v>0.46551724137931028</v>
      </c>
    </row>
    <row r="12843" spans="1:12" x14ac:dyDescent="0.45">
      <c r="A12843" s="12" t="s">
        <v>24255</v>
      </c>
      <c r="B12843" s="12" t="s">
        <v>2089</v>
      </c>
      <c r="C12843" s="13" t="s">
        <v>2090</v>
      </c>
      <c r="D12843" s="13" t="s">
        <v>15</v>
      </c>
      <c r="E12843" s="12" t="s">
        <v>16</v>
      </c>
      <c r="F12843" s="14">
        <v>64000</v>
      </c>
      <c r="G12843" s="14">
        <v>52100</v>
      </c>
      <c r="H12843" s="13" t="s">
        <v>24339</v>
      </c>
      <c r="I12843" s="40" t="s">
        <v>18</v>
      </c>
      <c r="J12843" s="40" t="str">
        <f>HYPERLINK("https://stock.pstatic.net/stock-research/company/29/20250429_company_312753000.pdf","PDF")</f>
        <v>PDF</v>
      </c>
      <c r="K12843" s="12" t="s">
        <v>24340</v>
      </c>
      <c r="L12843" s="20">
        <v>0.2284069097888676</v>
      </c>
    </row>
    <row r="12844" spans="1:12" x14ac:dyDescent="0.45">
      <c r="A12844" s="12" t="s">
        <v>24255</v>
      </c>
      <c r="B12844" s="12" t="s">
        <v>450</v>
      </c>
      <c r="C12844" s="13" t="s">
        <v>451</v>
      </c>
      <c r="D12844" s="13" t="s">
        <v>23</v>
      </c>
      <c r="E12844" s="12" t="s">
        <v>50</v>
      </c>
      <c r="F12844" s="14">
        <v>320000</v>
      </c>
      <c r="G12844" s="14">
        <v>319000</v>
      </c>
      <c r="H12844" s="13" t="s">
        <v>24341</v>
      </c>
      <c r="I12844" s="40" t="s">
        <v>18</v>
      </c>
      <c r="J12844" s="40" t="str">
        <f>HYPERLINK("https://stock.pstatic.net/stock-research/company/21/20250429_company_67532000.pdf","PDF")</f>
        <v>PDF</v>
      </c>
      <c r="K12844" s="12" t="s">
        <v>24342</v>
      </c>
      <c r="L12844" s="20">
        <v>3.134796238244514E-3</v>
      </c>
    </row>
    <row r="12845" spans="1:12" x14ac:dyDescent="0.45">
      <c r="A12845" s="12" t="s">
        <v>24255</v>
      </c>
      <c r="B12845" s="12" t="s">
        <v>81</v>
      </c>
      <c r="C12845" s="13" t="s">
        <v>82</v>
      </c>
      <c r="D12845" s="13" t="s">
        <v>179</v>
      </c>
      <c r="E12845" s="12" t="s">
        <v>16</v>
      </c>
      <c r="F12845" s="14">
        <v>18000</v>
      </c>
      <c r="G12845" s="14">
        <v>14380</v>
      </c>
      <c r="H12845" s="13" t="s">
        <v>24343</v>
      </c>
      <c r="I12845" s="40" t="s">
        <v>18</v>
      </c>
      <c r="J12845" s="40" t="str">
        <f>HYPERLINK("https://stock.pstatic.net/stock-research/company/31/20250429_company_315238000.pdf","PDF")</f>
        <v>PDF</v>
      </c>
      <c r="K12845" s="12" t="s">
        <v>24344</v>
      </c>
      <c r="L12845" s="20">
        <v>0.2517385257301808</v>
      </c>
    </row>
    <row r="12846" spans="1:12" x14ac:dyDescent="0.45">
      <c r="A12846" s="12" t="s">
        <v>24255</v>
      </c>
      <c r="B12846" s="12" t="s">
        <v>2777</v>
      </c>
      <c r="C12846" s="13" t="s">
        <v>2778</v>
      </c>
      <c r="D12846" s="13" t="s">
        <v>23</v>
      </c>
      <c r="E12846" s="12" t="s">
        <v>16</v>
      </c>
      <c r="F12846" s="14">
        <v>180000</v>
      </c>
      <c r="G12846" s="14">
        <v>117800</v>
      </c>
      <c r="H12846" s="13" t="s">
        <v>24345</v>
      </c>
      <c r="I12846" s="40" t="s">
        <v>18</v>
      </c>
      <c r="J12846" s="40" t="str">
        <f>HYPERLINK("https://stock.pstatic.net/stock-research/company/21/20250429_company_566922000.pdf","PDF")</f>
        <v>PDF</v>
      </c>
      <c r="K12846" s="12" t="s">
        <v>24346</v>
      </c>
      <c r="L12846" s="20">
        <v>0.52801358234295415</v>
      </c>
    </row>
    <row r="12847" spans="1:12" x14ac:dyDescent="0.45">
      <c r="A12847" s="12" t="s">
        <v>24255</v>
      </c>
      <c r="B12847" s="12" t="s">
        <v>912</v>
      </c>
      <c r="C12847" s="13" t="s">
        <v>913</v>
      </c>
      <c r="D12847" s="13" t="s">
        <v>23</v>
      </c>
      <c r="E12847" s="12" t="s">
        <v>16</v>
      </c>
      <c r="F12847" s="14">
        <v>78000</v>
      </c>
      <c r="G12847" s="14">
        <v>54700</v>
      </c>
      <c r="H12847" s="13" t="s">
        <v>13740</v>
      </c>
      <c r="I12847" s="40" t="s">
        <v>18</v>
      </c>
      <c r="J12847" s="40" t="str">
        <f>HYPERLINK("https://stock.pstatic.net/stock-research/company/21/20250429_company_142930000.pdf","PDF")</f>
        <v>PDF</v>
      </c>
      <c r="K12847" s="12" t="s">
        <v>24347</v>
      </c>
      <c r="L12847" s="20">
        <v>0.42595978062157219</v>
      </c>
    </row>
    <row r="12848" spans="1:12" x14ac:dyDescent="0.45">
      <c r="A12848" s="12" t="s">
        <v>24255</v>
      </c>
      <c r="B12848" s="12" t="s">
        <v>3168</v>
      </c>
      <c r="C12848" s="13" t="s">
        <v>3169</v>
      </c>
      <c r="D12848" s="13" t="s">
        <v>179</v>
      </c>
      <c r="E12848" s="12" t="s">
        <v>16</v>
      </c>
      <c r="F12848" s="14">
        <v>12300</v>
      </c>
      <c r="G12848" s="14">
        <v>9650</v>
      </c>
      <c r="H12848" s="13" t="s">
        <v>24348</v>
      </c>
      <c r="I12848" s="40" t="s">
        <v>18</v>
      </c>
      <c r="J12848" s="40" t="str">
        <f>HYPERLINK("https://stock.pstatic.net/stock-research/company/31/20250429_company_626690000.pdf","PDF")</f>
        <v>PDF</v>
      </c>
      <c r="K12848" s="12" t="s">
        <v>24349</v>
      </c>
      <c r="L12848" s="20">
        <v>0.27461139896373049</v>
      </c>
    </row>
    <row r="12849" spans="1:12" x14ac:dyDescent="0.45">
      <c r="A12849" s="12" t="s">
        <v>24255</v>
      </c>
      <c r="B12849" s="12" t="s">
        <v>585</v>
      </c>
      <c r="C12849" s="13" t="s">
        <v>586</v>
      </c>
      <c r="D12849" s="13" t="s">
        <v>53</v>
      </c>
      <c r="E12849" s="12" t="s">
        <v>16</v>
      </c>
      <c r="F12849" s="14">
        <v>30000</v>
      </c>
      <c r="G12849" s="14">
        <v>25600</v>
      </c>
      <c r="H12849" s="13" t="s">
        <v>24350</v>
      </c>
      <c r="I12849" s="40" t="s">
        <v>18</v>
      </c>
      <c r="J12849" s="40" t="str">
        <f>HYPERLINK("https://stock.pstatic.net/stock-research/company/40/20250429_company_455972000.pdf","PDF")</f>
        <v>PDF</v>
      </c>
      <c r="K12849" s="12" t="s">
        <v>24351</v>
      </c>
      <c r="L12849" s="20">
        <v>0.171875</v>
      </c>
    </row>
    <row r="12850" spans="1:12" x14ac:dyDescent="0.45">
      <c r="A12850" s="12" t="s">
        <v>24255</v>
      </c>
      <c r="B12850" s="12" t="s">
        <v>2089</v>
      </c>
      <c r="C12850" s="13" t="s">
        <v>2090</v>
      </c>
      <c r="D12850" s="13" t="s">
        <v>23</v>
      </c>
      <c r="E12850" s="12" t="s">
        <v>16</v>
      </c>
      <c r="F12850" s="14">
        <v>70000</v>
      </c>
      <c r="G12850" s="14">
        <v>52100</v>
      </c>
      <c r="H12850" s="13" t="s">
        <v>24352</v>
      </c>
      <c r="I12850" s="40" t="s">
        <v>18</v>
      </c>
      <c r="J12850" s="40" t="str">
        <f>HYPERLINK("https://stock.pstatic.net/stock-research/company/21/20250429_company_577392000.pdf","PDF")</f>
        <v>PDF</v>
      </c>
      <c r="K12850" s="12" t="s">
        <v>24353</v>
      </c>
      <c r="L12850" s="20">
        <v>0.34357005758157388</v>
      </c>
    </row>
    <row r="12851" spans="1:12" x14ac:dyDescent="0.45">
      <c r="A12851" s="12" t="s">
        <v>24255</v>
      </c>
      <c r="B12851" s="12" t="s">
        <v>3284</v>
      </c>
      <c r="C12851" s="13" t="s">
        <v>3285</v>
      </c>
      <c r="D12851" s="13" t="s">
        <v>34</v>
      </c>
      <c r="E12851" s="12" t="s">
        <v>159</v>
      </c>
      <c r="F12851" s="14">
        <v>91000</v>
      </c>
      <c r="G12851" s="14">
        <v>89300</v>
      </c>
      <c r="H12851" s="13" t="s">
        <v>24354</v>
      </c>
      <c r="I12851" s="40" t="s">
        <v>18</v>
      </c>
      <c r="J12851" s="40" t="str">
        <f>HYPERLINK("https://stock.pstatic.net/stock-research/company/61/20250429_company_414815000.pdf","PDF")</f>
        <v>PDF</v>
      </c>
      <c r="K12851" s="12" t="s">
        <v>24355</v>
      </c>
      <c r="L12851" s="20">
        <v>1.9036954087346021E-2</v>
      </c>
    </row>
    <row r="12852" spans="1:12" x14ac:dyDescent="0.45">
      <c r="A12852" s="12" t="s">
        <v>24255</v>
      </c>
      <c r="B12852" s="12" t="s">
        <v>5503</v>
      </c>
      <c r="C12852" s="13" t="s">
        <v>5504</v>
      </c>
      <c r="D12852" s="13" t="s">
        <v>92</v>
      </c>
      <c r="E12852" s="12" t="s">
        <v>35</v>
      </c>
      <c r="F12852" s="14">
        <v>10000</v>
      </c>
      <c r="G12852" s="14">
        <v>5240</v>
      </c>
      <c r="H12852" s="13" t="s">
        <v>24356</v>
      </c>
      <c r="I12852" s="40" t="s">
        <v>18</v>
      </c>
      <c r="J12852" s="40" t="str">
        <f>HYPERLINK("https://m.stock.naver.com/research/company/82446","PDF")</f>
        <v>PDF</v>
      </c>
      <c r="K12852" s="12" t="s">
        <v>24357</v>
      </c>
      <c r="L12852" s="20">
        <v>0.90839694656488545</v>
      </c>
    </row>
    <row r="12853" spans="1:12" x14ac:dyDescent="0.45">
      <c r="A12853" s="12" t="s">
        <v>24255</v>
      </c>
      <c r="B12853" s="12" t="s">
        <v>3230</v>
      </c>
      <c r="C12853" s="13" t="s">
        <v>3231</v>
      </c>
      <c r="D12853" s="13" t="s">
        <v>15</v>
      </c>
      <c r="E12853" s="12" t="s">
        <v>16</v>
      </c>
      <c r="F12853" s="14">
        <v>600000</v>
      </c>
      <c r="G12853" s="14">
        <v>484500</v>
      </c>
      <c r="H12853" s="13" t="s">
        <v>24358</v>
      </c>
      <c r="I12853" s="40" t="s">
        <v>18</v>
      </c>
      <c r="J12853" s="40" t="str">
        <f>HYPERLINK("https://stock.pstatic.net/stock-research/company/29/20250429_company_434755000.pdf","PDF")</f>
        <v>PDF</v>
      </c>
      <c r="K12853" s="12" t="s">
        <v>24359</v>
      </c>
      <c r="L12853" s="20">
        <v>0.238390092879257</v>
      </c>
    </row>
    <row r="12854" spans="1:12" x14ac:dyDescent="0.45">
      <c r="A12854" s="12" t="s">
        <v>24255</v>
      </c>
      <c r="B12854" s="12" t="s">
        <v>442</v>
      </c>
      <c r="C12854" s="13" t="s">
        <v>443</v>
      </c>
      <c r="D12854" s="13" t="s">
        <v>92</v>
      </c>
      <c r="E12854" s="12" t="s">
        <v>35</v>
      </c>
      <c r="F12854" s="14">
        <v>24000</v>
      </c>
      <c r="G12854" s="14">
        <v>17000</v>
      </c>
      <c r="H12854" s="13" t="s">
        <v>24360</v>
      </c>
      <c r="I12854" s="40" t="s">
        <v>18</v>
      </c>
      <c r="J12854" s="40" t="str">
        <f>HYPERLINK("https://stock.pstatic.net/stock-research/company/1/20250429_company_988566000.pdf","PDF")</f>
        <v>PDF</v>
      </c>
      <c r="K12854" s="12" t="s">
        <v>24361</v>
      </c>
      <c r="L12854" s="20">
        <v>0.41176470588235292</v>
      </c>
    </row>
    <row r="12855" spans="1:12" x14ac:dyDescent="0.45">
      <c r="A12855" s="12" t="s">
        <v>24255</v>
      </c>
      <c r="B12855" s="12" t="s">
        <v>3284</v>
      </c>
      <c r="C12855" s="13" t="s">
        <v>3285</v>
      </c>
      <c r="D12855" s="13" t="s">
        <v>23</v>
      </c>
      <c r="E12855" s="12" t="s">
        <v>16</v>
      </c>
      <c r="F12855" s="14">
        <v>90000</v>
      </c>
      <c r="G12855" s="14">
        <v>89300</v>
      </c>
      <c r="H12855" s="13" t="s">
        <v>24362</v>
      </c>
      <c r="I12855" s="40" t="s">
        <v>18</v>
      </c>
      <c r="J12855" s="40" t="str">
        <f>HYPERLINK("https://stock.pstatic.net/stock-research/company/21/20250429_company_11634000.pdf","PDF")</f>
        <v>PDF</v>
      </c>
      <c r="K12855" s="12" t="s">
        <v>24363</v>
      </c>
      <c r="L12855" s="20">
        <v>7.8387458006718928E-3</v>
      </c>
    </row>
    <row r="12856" spans="1:12" x14ac:dyDescent="0.45">
      <c r="A12856" s="12" t="s">
        <v>24255</v>
      </c>
      <c r="B12856" s="12" t="s">
        <v>541</v>
      </c>
      <c r="C12856" s="13" t="s">
        <v>542</v>
      </c>
      <c r="D12856" s="13" t="s">
        <v>23</v>
      </c>
      <c r="E12856" s="12" t="s">
        <v>16</v>
      </c>
      <c r="F12856" s="14">
        <v>67000</v>
      </c>
      <c r="G12856" s="14">
        <v>53900</v>
      </c>
      <c r="H12856" s="13" t="s">
        <v>24364</v>
      </c>
      <c r="I12856" s="40" t="s">
        <v>18</v>
      </c>
      <c r="J12856" s="40" t="str">
        <f>HYPERLINK("https://stock.pstatic.net/stock-research/company/21/20250429_company_744839000.pdf","PDF")</f>
        <v>PDF</v>
      </c>
      <c r="K12856" s="12" t="s">
        <v>24365</v>
      </c>
      <c r="L12856" s="20">
        <v>0.2430426716141002</v>
      </c>
    </row>
    <row r="12857" spans="1:12" x14ac:dyDescent="0.45">
      <c r="A12857" s="12" t="s">
        <v>24255</v>
      </c>
      <c r="B12857" s="12" t="s">
        <v>450</v>
      </c>
      <c r="C12857" s="13" t="s">
        <v>451</v>
      </c>
      <c r="D12857" s="13" t="s">
        <v>92</v>
      </c>
      <c r="E12857" s="12" t="s">
        <v>35</v>
      </c>
      <c r="F12857" s="14">
        <v>420000</v>
      </c>
      <c r="G12857" s="14">
        <v>319000</v>
      </c>
      <c r="H12857" s="13" t="s">
        <v>24366</v>
      </c>
      <c r="I12857" s="40" t="s">
        <v>18</v>
      </c>
      <c r="J12857" s="40" t="str">
        <f>HYPERLINK("https://stock.pstatic.net/stock-research/company/63/20250429_company_585606000.pdf","PDF")</f>
        <v>PDF</v>
      </c>
      <c r="K12857" s="12" t="s">
        <v>24367</v>
      </c>
      <c r="L12857" s="20">
        <v>0.31661442006269591</v>
      </c>
    </row>
    <row r="12858" spans="1:12" x14ac:dyDescent="0.45">
      <c r="A12858" s="12" t="s">
        <v>24255</v>
      </c>
      <c r="B12858" s="12" t="s">
        <v>10408</v>
      </c>
      <c r="C12858" s="13" t="s">
        <v>10409</v>
      </c>
      <c r="D12858" s="13" t="s">
        <v>92</v>
      </c>
      <c r="E12858" s="12" t="s">
        <v>35</v>
      </c>
      <c r="F12858" s="14">
        <v>47000</v>
      </c>
      <c r="G12858" s="14">
        <v>34900</v>
      </c>
      <c r="H12858" s="13" t="s">
        <v>24368</v>
      </c>
      <c r="I12858" s="40" t="s">
        <v>18</v>
      </c>
      <c r="J12858" s="40" t="str">
        <f>HYPERLINK("https://stock.pstatic.net/stock-research/company/63/20250429_company_620050000.pdf","PDF")</f>
        <v>PDF</v>
      </c>
      <c r="K12858" s="12" t="s">
        <v>24369</v>
      </c>
      <c r="L12858" s="20">
        <v>0.34670487106017189</v>
      </c>
    </row>
    <row r="12859" spans="1:12" x14ac:dyDescent="0.45">
      <c r="A12859" s="12" t="s">
        <v>24255</v>
      </c>
      <c r="B12859" s="12" t="s">
        <v>3168</v>
      </c>
      <c r="C12859" s="13" t="s">
        <v>3169</v>
      </c>
      <c r="D12859" s="13" t="s">
        <v>44</v>
      </c>
      <c r="E12859" s="12" t="s">
        <v>35</v>
      </c>
      <c r="F12859" s="14">
        <v>14000</v>
      </c>
      <c r="G12859" s="14">
        <v>9650</v>
      </c>
      <c r="H12859" s="13" t="s">
        <v>24370</v>
      </c>
      <c r="I12859" s="40" t="s">
        <v>18</v>
      </c>
      <c r="J12859" s="40" t="str">
        <f>HYPERLINK("https://m.stock.naver.com/research/company/82439","PDF")</f>
        <v>PDF</v>
      </c>
      <c r="K12859" s="12" t="s">
        <v>24371</v>
      </c>
      <c r="L12859" s="20">
        <v>0.45077720207253891</v>
      </c>
    </row>
    <row r="12860" spans="1:12" x14ac:dyDescent="0.45">
      <c r="A12860" s="12" t="s">
        <v>24255</v>
      </c>
      <c r="B12860" s="12" t="s">
        <v>450</v>
      </c>
      <c r="C12860" s="13" t="s">
        <v>451</v>
      </c>
      <c r="D12860" s="13" t="s">
        <v>44</v>
      </c>
      <c r="E12860" s="12" t="s">
        <v>35</v>
      </c>
      <c r="F12860" s="14">
        <v>450000</v>
      </c>
      <c r="G12860" s="14">
        <v>319000</v>
      </c>
      <c r="H12860" s="13" t="s">
        <v>24372</v>
      </c>
      <c r="I12860" s="40" t="s">
        <v>18</v>
      </c>
      <c r="J12860" s="40" t="str">
        <f>HYPERLINK("https://stock.pstatic.net/stock-research/company/39/20250429_company_500174000.pdf","PDF")</f>
        <v>PDF</v>
      </c>
      <c r="K12860" s="12" t="s">
        <v>24373</v>
      </c>
      <c r="L12860" s="20">
        <v>0.41065830721003133</v>
      </c>
    </row>
    <row r="12861" spans="1:12" x14ac:dyDescent="0.45">
      <c r="A12861" s="12" t="s">
        <v>24255</v>
      </c>
      <c r="B12861" s="12" t="s">
        <v>3168</v>
      </c>
      <c r="C12861" s="13" t="s">
        <v>3169</v>
      </c>
      <c r="D12861" s="13" t="s">
        <v>23</v>
      </c>
      <c r="E12861" s="12" t="s">
        <v>16</v>
      </c>
      <c r="F12861" s="14">
        <v>11500</v>
      </c>
      <c r="G12861" s="14">
        <v>9650</v>
      </c>
      <c r="H12861" s="13" t="s">
        <v>24374</v>
      </c>
      <c r="I12861" s="40" t="s">
        <v>18</v>
      </c>
      <c r="J12861" s="40" t="str">
        <f>HYPERLINK("https://stock.pstatic.net/stock-research/company/21/20250429_company_600146000.pdf","PDF")</f>
        <v>PDF</v>
      </c>
      <c r="K12861" s="12" t="s">
        <v>24375</v>
      </c>
      <c r="L12861" s="20">
        <v>0.19170984455958551</v>
      </c>
    </row>
    <row r="12862" spans="1:12" x14ac:dyDescent="0.45">
      <c r="A12862" s="12" t="s">
        <v>24255</v>
      </c>
      <c r="B12862" s="12" t="s">
        <v>10923</v>
      </c>
      <c r="C12862" s="13" t="s">
        <v>10924</v>
      </c>
      <c r="D12862" s="13" t="s">
        <v>44</v>
      </c>
      <c r="E12862" s="12" t="s">
        <v>50</v>
      </c>
      <c r="F12862" s="13"/>
      <c r="G12862" s="14">
        <v>15190</v>
      </c>
      <c r="H12862" s="13" t="s">
        <v>24376</v>
      </c>
      <c r="I12862" s="40" t="s">
        <v>18</v>
      </c>
      <c r="J12862" s="40" t="str">
        <f>HYPERLINK("https://stock.pstatic.net/stock-research/company/39/20250429_company_263531000.pdf","PDF")</f>
        <v>PDF</v>
      </c>
      <c r="K12862" s="12" t="s">
        <v>24377</v>
      </c>
    </row>
    <row r="12863" spans="1:12" x14ac:dyDescent="0.45">
      <c r="A12863" s="12" t="s">
        <v>24255</v>
      </c>
      <c r="B12863" s="12" t="s">
        <v>81</v>
      </c>
      <c r="C12863" s="13" t="s">
        <v>82</v>
      </c>
      <c r="D12863" s="13" t="s">
        <v>44</v>
      </c>
      <c r="E12863" s="12" t="s">
        <v>35</v>
      </c>
      <c r="F12863" s="14">
        <v>19000</v>
      </c>
      <c r="G12863" s="14">
        <v>14380</v>
      </c>
      <c r="H12863" s="13" t="s">
        <v>24378</v>
      </c>
      <c r="I12863" s="40" t="s">
        <v>18</v>
      </c>
      <c r="J12863" s="40" t="str">
        <f>HYPERLINK("https://stock.pstatic.net/stock-research/company/39/20250429_company_956964000.pdf","PDF")</f>
        <v>PDF</v>
      </c>
      <c r="K12863" s="12" t="s">
        <v>24379</v>
      </c>
      <c r="L12863" s="20">
        <v>0.32127955493741311</v>
      </c>
    </row>
    <row r="12864" spans="1:12" x14ac:dyDescent="0.45">
      <c r="A12864" s="12" t="s">
        <v>24255</v>
      </c>
      <c r="B12864" s="12" t="s">
        <v>24380</v>
      </c>
      <c r="C12864" s="13" t="s">
        <v>714</v>
      </c>
      <c r="D12864" s="13" t="s">
        <v>124</v>
      </c>
      <c r="E12864" s="12" t="s">
        <v>50</v>
      </c>
      <c r="F12864" s="13"/>
      <c r="G12864" s="13"/>
      <c r="H12864" s="13" t="s">
        <v>24381</v>
      </c>
      <c r="I12864" s="40" t="s">
        <v>18</v>
      </c>
      <c r="J12864" s="40" t="str">
        <f>HYPERLINK("https://m.stock.naver.com/research/company/82434","PDF")</f>
        <v>PDF</v>
      </c>
      <c r="K12864" s="12" t="s">
        <v>24382</v>
      </c>
    </row>
    <row r="12865" spans="1:12" x14ac:dyDescent="0.45">
      <c r="A12865" s="12" t="s">
        <v>24255</v>
      </c>
      <c r="B12865" s="12" t="s">
        <v>24383</v>
      </c>
      <c r="C12865" s="13" t="s">
        <v>24384</v>
      </c>
      <c r="D12865" s="13" t="s">
        <v>124</v>
      </c>
      <c r="E12865" s="12" t="s">
        <v>50</v>
      </c>
      <c r="F12865" s="13"/>
      <c r="G12865" s="13"/>
      <c r="H12865" s="13" t="s">
        <v>24385</v>
      </c>
      <c r="I12865" s="40" t="s">
        <v>18</v>
      </c>
      <c r="J12865" s="40" t="str">
        <f>HYPERLINK("https://stock.pstatic.net/stock-research/company/74/20250429_company_470664000.pdf","PDF")</f>
        <v>PDF</v>
      </c>
      <c r="K12865" s="12" t="s">
        <v>24386</v>
      </c>
    </row>
    <row r="12866" spans="1:12" x14ac:dyDescent="0.45">
      <c r="A12866" s="12" t="s">
        <v>24255</v>
      </c>
      <c r="B12866" s="12" t="s">
        <v>5011</v>
      </c>
      <c r="C12866" s="13" t="s">
        <v>5012</v>
      </c>
      <c r="D12866" s="13" t="s">
        <v>124</v>
      </c>
      <c r="E12866" s="12" t="s">
        <v>50</v>
      </c>
      <c r="F12866" s="13"/>
      <c r="G12866" s="13"/>
      <c r="H12866" s="13" t="s">
        <v>24387</v>
      </c>
      <c r="I12866" s="40" t="s">
        <v>18</v>
      </c>
      <c r="J12866" s="40" t="str">
        <f>HYPERLINK("https://m.stock.naver.com/research/company/82432","PDF")</f>
        <v>PDF</v>
      </c>
      <c r="K12866" s="12" t="s">
        <v>24388</v>
      </c>
    </row>
    <row r="12867" spans="1:12" x14ac:dyDescent="0.45">
      <c r="A12867" s="12" t="s">
        <v>24255</v>
      </c>
      <c r="B12867" s="12" t="s">
        <v>128</v>
      </c>
      <c r="C12867" s="13" t="s">
        <v>129</v>
      </c>
      <c r="D12867" s="13" t="s">
        <v>124</v>
      </c>
      <c r="E12867" s="12" t="s">
        <v>50</v>
      </c>
      <c r="F12867" s="13"/>
      <c r="G12867" s="13"/>
      <c r="H12867" s="13" t="s">
        <v>24389</v>
      </c>
      <c r="I12867" s="40" t="s">
        <v>18</v>
      </c>
      <c r="J12867" s="40" t="str">
        <f>HYPERLINK("https://stock.pstatic.net/stock-research/company/74/20250429_company_705880000.pdf","PDF")</f>
        <v>PDF</v>
      </c>
      <c r="K12867" s="12" t="s">
        <v>24390</v>
      </c>
    </row>
    <row r="12868" spans="1:12" x14ac:dyDescent="0.45">
      <c r="A12868" s="12" t="s">
        <v>24391</v>
      </c>
      <c r="B12868" s="12" t="s">
        <v>3831</v>
      </c>
      <c r="C12868" s="13" t="s">
        <v>3832</v>
      </c>
      <c r="D12868" s="13" t="s">
        <v>276</v>
      </c>
      <c r="E12868" s="12" t="s">
        <v>16</v>
      </c>
      <c r="F12868" s="14">
        <v>54000</v>
      </c>
      <c r="G12868" s="14">
        <v>37050</v>
      </c>
      <c r="H12868" s="13" t="s">
        <v>24392</v>
      </c>
      <c r="I12868" s="40" t="s">
        <v>18</v>
      </c>
      <c r="J12868" s="40" t="str">
        <f>HYPERLINK("https://stock.pstatic.net/stock-research/company/66/20250428_company_841826000.pdf","PDF")</f>
        <v>PDF</v>
      </c>
      <c r="K12868" s="12" t="s">
        <v>24393</v>
      </c>
      <c r="L12868" s="20">
        <v>0.45748987854251011</v>
      </c>
    </row>
    <row r="12869" spans="1:12" x14ac:dyDescent="0.45">
      <c r="A12869" s="12" t="s">
        <v>24391</v>
      </c>
      <c r="B12869" s="12" t="s">
        <v>2369</v>
      </c>
      <c r="C12869" s="13" t="s">
        <v>2370</v>
      </c>
      <c r="D12869" s="13" t="s">
        <v>276</v>
      </c>
      <c r="E12869" s="12" t="s">
        <v>16</v>
      </c>
      <c r="F12869" s="14">
        <v>250000</v>
      </c>
      <c r="G12869" s="14">
        <v>185100</v>
      </c>
      <c r="H12869" s="13" t="s">
        <v>24394</v>
      </c>
      <c r="I12869" s="40" t="s">
        <v>18</v>
      </c>
      <c r="J12869" s="40" t="str">
        <f>HYPERLINK("https://stock.pstatic.net/stock-research/company/66/20250428_company_427614000.pdf","PDF")</f>
        <v>PDF</v>
      </c>
      <c r="K12869" s="12" t="s">
        <v>24395</v>
      </c>
      <c r="L12869" s="20">
        <v>0.35062128579146412</v>
      </c>
    </row>
    <row r="12870" spans="1:12" x14ac:dyDescent="0.45">
      <c r="A12870" s="12" t="s">
        <v>24391</v>
      </c>
      <c r="B12870" s="12" t="s">
        <v>577</v>
      </c>
      <c r="C12870" s="13" t="s">
        <v>578</v>
      </c>
      <c r="D12870" s="13" t="s">
        <v>276</v>
      </c>
      <c r="E12870" s="12" t="s">
        <v>16</v>
      </c>
      <c r="F12870" s="14">
        <v>360000</v>
      </c>
      <c r="G12870" s="14">
        <v>250000</v>
      </c>
      <c r="H12870" s="13" t="s">
        <v>24396</v>
      </c>
      <c r="I12870" s="40" t="s">
        <v>18</v>
      </c>
      <c r="J12870" s="40" t="str">
        <f>HYPERLINK("https://m.stock.naver.com/research/company/82428","PDF")</f>
        <v>PDF</v>
      </c>
      <c r="K12870" s="12" t="s">
        <v>24397</v>
      </c>
      <c r="L12870" s="20">
        <v>0.44</v>
      </c>
    </row>
    <row r="12871" spans="1:12" x14ac:dyDescent="0.45">
      <c r="A12871" s="12" t="s">
        <v>24391</v>
      </c>
      <c r="B12871" s="12" t="s">
        <v>1765</v>
      </c>
      <c r="C12871" s="13" t="s">
        <v>1766</v>
      </c>
      <c r="D12871" s="13" t="s">
        <v>276</v>
      </c>
      <c r="E12871" s="12" t="s">
        <v>16</v>
      </c>
      <c r="F12871" s="14">
        <v>120000</v>
      </c>
      <c r="G12871" s="14">
        <v>88200</v>
      </c>
      <c r="H12871" s="13" t="s">
        <v>24398</v>
      </c>
      <c r="I12871" s="40" t="s">
        <v>18</v>
      </c>
      <c r="J12871" s="40" t="str">
        <f>HYPERLINK("https://stock.pstatic.net/stock-research/company/66/20250428_company_690284000.pdf","PDF")</f>
        <v>PDF</v>
      </c>
      <c r="K12871" s="12" t="s">
        <v>24399</v>
      </c>
      <c r="L12871" s="20">
        <v>0.36054421768707479</v>
      </c>
    </row>
    <row r="12872" spans="1:12" x14ac:dyDescent="0.45">
      <c r="A12872" s="12" t="s">
        <v>24391</v>
      </c>
      <c r="B12872" s="12" t="s">
        <v>398</v>
      </c>
      <c r="C12872" s="13" t="s">
        <v>399</v>
      </c>
      <c r="D12872" s="13" t="s">
        <v>276</v>
      </c>
      <c r="E12872" s="12" t="s">
        <v>16</v>
      </c>
      <c r="F12872" s="14">
        <v>180000</v>
      </c>
      <c r="G12872" s="14">
        <v>128800</v>
      </c>
      <c r="H12872" s="13" t="s">
        <v>24400</v>
      </c>
      <c r="I12872" s="40" t="s">
        <v>18</v>
      </c>
      <c r="J12872" s="40" t="str">
        <f>HYPERLINK("https://stock.pstatic.net/stock-research/company/66/20250428_company_722089000.pdf","PDF")</f>
        <v>PDF</v>
      </c>
      <c r="K12872" s="12" t="s">
        <v>24401</v>
      </c>
      <c r="L12872" s="20">
        <v>0.39751552795031048</v>
      </c>
    </row>
    <row r="12873" spans="1:12" x14ac:dyDescent="0.45">
      <c r="A12873" s="12" t="s">
        <v>24391</v>
      </c>
      <c r="B12873" s="12" t="s">
        <v>398</v>
      </c>
      <c r="C12873" s="13" t="s">
        <v>399</v>
      </c>
      <c r="D12873" s="13" t="s">
        <v>15</v>
      </c>
      <c r="E12873" s="12" t="s">
        <v>16</v>
      </c>
      <c r="F12873" s="14">
        <v>170000</v>
      </c>
      <c r="G12873" s="14">
        <v>128800</v>
      </c>
      <c r="H12873" s="13" t="s">
        <v>24402</v>
      </c>
      <c r="I12873" s="40" t="s">
        <v>18</v>
      </c>
      <c r="J12873" s="40" t="str">
        <f>HYPERLINK("https://stock.pstatic.net/stock-research/company/29/20250428_company_500417000.pdf","PDF")</f>
        <v>PDF</v>
      </c>
      <c r="K12873" s="12" t="s">
        <v>24403</v>
      </c>
      <c r="L12873" s="20">
        <v>0.31987577639751552</v>
      </c>
    </row>
    <row r="12874" spans="1:12" x14ac:dyDescent="0.45">
      <c r="A12874" s="12" t="s">
        <v>24391</v>
      </c>
      <c r="B12874" s="12" t="s">
        <v>3530</v>
      </c>
      <c r="C12874" s="13" t="s">
        <v>3531</v>
      </c>
      <c r="D12874" s="13" t="s">
        <v>65</v>
      </c>
      <c r="E12874" s="12" t="s">
        <v>35</v>
      </c>
      <c r="F12874" s="14">
        <v>15000</v>
      </c>
      <c r="G12874" s="14">
        <v>9280</v>
      </c>
      <c r="H12874" s="13" t="s">
        <v>24404</v>
      </c>
      <c r="I12874" s="40" t="s">
        <v>18</v>
      </c>
      <c r="J12874" s="40" t="str">
        <f>HYPERLINK("https://stock.pstatic.net/stock-research/company/57/20250428_company_137615000.pdf","PDF")</f>
        <v>PDF</v>
      </c>
      <c r="K12874" s="12" t="s">
        <v>24405</v>
      </c>
      <c r="L12874" s="20">
        <v>0.61637931034482762</v>
      </c>
    </row>
    <row r="12875" spans="1:12" x14ac:dyDescent="0.45">
      <c r="A12875" s="12" t="s">
        <v>24391</v>
      </c>
      <c r="B12875" s="12" t="s">
        <v>2369</v>
      </c>
      <c r="C12875" s="13" t="s">
        <v>2370</v>
      </c>
      <c r="D12875" s="13" t="s">
        <v>65</v>
      </c>
      <c r="E12875" s="12" t="s">
        <v>1738</v>
      </c>
      <c r="F12875" s="14">
        <v>210000</v>
      </c>
      <c r="G12875" s="14">
        <v>185100</v>
      </c>
      <c r="H12875" s="13" t="s">
        <v>24406</v>
      </c>
      <c r="I12875" s="40" t="s">
        <v>18</v>
      </c>
      <c r="J12875" s="40" t="str">
        <f>HYPERLINK("https://stock.pstatic.net/stock-research/company/57/20250428_company_694211000.pdf","PDF")</f>
        <v>PDF</v>
      </c>
      <c r="K12875" s="12" t="s">
        <v>24407</v>
      </c>
      <c r="L12875" s="20">
        <v>0.13452188006482979</v>
      </c>
    </row>
    <row r="12876" spans="1:12" x14ac:dyDescent="0.45">
      <c r="A12876" s="12" t="s">
        <v>24391</v>
      </c>
      <c r="B12876" s="12" t="s">
        <v>3688</v>
      </c>
      <c r="C12876" s="13" t="s">
        <v>3689</v>
      </c>
      <c r="D12876" s="13" t="s">
        <v>65</v>
      </c>
      <c r="E12876" s="12" t="s">
        <v>35</v>
      </c>
      <c r="F12876" s="14">
        <v>72000</v>
      </c>
      <c r="G12876" s="14">
        <v>49750</v>
      </c>
      <c r="H12876" s="13" t="s">
        <v>24408</v>
      </c>
      <c r="I12876" s="40" t="s">
        <v>18</v>
      </c>
      <c r="J12876" s="40" t="str">
        <f>HYPERLINK("https://stock.pstatic.net/stock-research/company/57/20250428_company_546131000.pdf","PDF")</f>
        <v>PDF</v>
      </c>
      <c r="K12876" s="12" t="s">
        <v>24409</v>
      </c>
      <c r="L12876" s="20">
        <v>0.44723618090452261</v>
      </c>
    </row>
    <row r="12877" spans="1:12" x14ac:dyDescent="0.45">
      <c r="A12877" s="12" t="s">
        <v>24391</v>
      </c>
      <c r="B12877" s="12" t="s">
        <v>142</v>
      </c>
      <c r="C12877" s="13" t="s">
        <v>143</v>
      </c>
      <c r="D12877" s="13" t="s">
        <v>65</v>
      </c>
      <c r="E12877" s="12" t="s">
        <v>35</v>
      </c>
      <c r="F12877" s="14">
        <v>31000</v>
      </c>
      <c r="G12877" s="14">
        <v>23150</v>
      </c>
      <c r="H12877" s="13" t="s">
        <v>24410</v>
      </c>
      <c r="I12877" s="40" t="s">
        <v>18</v>
      </c>
      <c r="J12877" s="40" t="str">
        <f>HYPERLINK("https://stock.pstatic.net/stock-research/company/57/20250428_company_82597000.pdf","PDF")</f>
        <v>PDF</v>
      </c>
      <c r="K12877" s="12" t="s">
        <v>24411</v>
      </c>
      <c r="L12877" s="20">
        <v>0.33909287257019438</v>
      </c>
    </row>
    <row r="12878" spans="1:12" x14ac:dyDescent="0.45">
      <c r="A12878" s="12" t="s">
        <v>24391</v>
      </c>
      <c r="B12878" s="12" t="s">
        <v>3488</v>
      </c>
      <c r="C12878" s="13" t="s">
        <v>3489</v>
      </c>
      <c r="D12878" s="13" t="s">
        <v>65</v>
      </c>
      <c r="E12878" s="12" t="s">
        <v>35</v>
      </c>
      <c r="F12878" s="14">
        <v>20500</v>
      </c>
      <c r="G12878" s="14">
        <v>17160</v>
      </c>
      <c r="H12878" s="13" t="s">
        <v>24412</v>
      </c>
      <c r="I12878" s="40" t="s">
        <v>18</v>
      </c>
      <c r="J12878" s="40" t="str">
        <f>HYPERLINK("https://stock.pstatic.net/stock-research/company/57/20250428_company_670264000.pdf","PDF")</f>
        <v>PDF</v>
      </c>
      <c r="K12878" s="12" t="s">
        <v>24413</v>
      </c>
      <c r="L12878" s="20">
        <v>0.1946386946386946</v>
      </c>
    </row>
    <row r="12879" spans="1:12" x14ac:dyDescent="0.45">
      <c r="A12879" s="12" t="s">
        <v>24391</v>
      </c>
      <c r="B12879" s="12" t="s">
        <v>3482</v>
      </c>
      <c r="C12879" s="13" t="s">
        <v>3483</v>
      </c>
      <c r="D12879" s="13" t="s">
        <v>65</v>
      </c>
      <c r="E12879" s="12" t="s">
        <v>35</v>
      </c>
      <c r="F12879" s="14">
        <v>82000</v>
      </c>
      <c r="G12879" s="14">
        <v>61200</v>
      </c>
      <c r="H12879" s="13" t="s">
        <v>24414</v>
      </c>
      <c r="I12879" s="40" t="s">
        <v>18</v>
      </c>
      <c r="J12879" s="40" t="str">
        <f>HYPERLINK("https://stock.pstatic.net/stock-research/company/57/20250428_company_817243000.pdf","PDF")</f>
        <v>PDF</v>
      </c>
      <c r="K12879" s="12" t="s">
        <v>24415</v>
      </c>
      <c r="L12879" s="20">
        <v>0.33986928104575159</v>
      </c>
    </row>
    <row r="12880" spans="1:12" x14ac:dyDescent="0.45">
      <c r="A12880" s="12" t="s">
        <v>24391</v>
      </c>
      <c r="B12880" s="12" t="s">
        <v>14332</v>
      </c>
      <c r="C12880" s="13" t="s">
        <v>14333</v>
      </c>
      <c r="D12880" s="13" t="s">
        <v>65</v>
      </c>
      <c r="E12880" s="12" t="s">
        <v>35</v>
      </c>
      <c r="F12880" s="14">
        <v>49000</v>
      </c>
      <c r="G12880" s="14">
        <v>41250</v>
      </c>
      <c r="H12880" s="13" t="s">
        <v>24416</v>
      </c>
      <c r="I12880" s="40" t="s">
        <v>18</v>
      </c>
      <c r="J12880" s="40" t="str">
        <f>HYPERLINK("https://stock.pstatic.net/stock-research/company/57/20250428_company_788420000.pdf","PDF")</f>
        <v>PDF</v>
      </c>
      <c r="K12880" s="12" t="s">
        <v>24417</v>
      </c>
      <c r="L12880" s="20">
        <v>0.1878787878787879</v>
      </c>
    </row>
    <row r="12881" spans="1:12" x14ac:dyDescent="0.45">
      <c r="A12881" s="12" t="s">
        <v>24391</v>
      </c>
      <c r="B12881" s="12" t="s">
        <v>2944</v>
      </c>
      <c r="C12881" s="13" t="s">
        <v>2945</v>
      </c>
      <c r="D12881" s="13" t="s">
        <v>65</v>
      </c>
      <c r="E12881" s="12" t="s">
        <v>35</v>
      </c>
      <c r="F12881" s="14">
        <v>14000</v>
      </c>
      <c r="G12881" s="14">
        <v>10570</v>
      </c>
      <c r="H12881" s="13" t="s">
        <v>24418</v>
      </c>
      <c r="I12881" s="40" t="s">
        <v>18</v>
      </c>
      <c r="J12881" s="40" t="str">
        <f>HYPERLINK("https://stock.pstatic.net/stock-research/company/57/20250428_company_567047000.pdf","PDF")</f>
        <v>PDF</v>
      </c>
      <c r="K12881" s="12" t="s">
        <v>24419</v>
      </c>
      <c r="L12881" s="20">
        <v>0.32450331125827808</v>
      </c>
    </row>
    <row r="12882" spans="1:12" x14ac:dyDescent="0.45">
      <c r="A12882" s="12" t="s">
        <v>24391</v>
      </c>
      <c r="B12882" s="12" t="s">
        <v>3349</v>
      </c>
      <c r="C12882" s="13" t="s">
        <v>7707</v>
      </c>
      <c r="D12882" s="13" t="s">
        <v>65</v>
      </c>
      <c r="E12882" s="12" t="s">
        <v>35</v>
      </c>
      <c r="F12882" s="14">
        <v>33000</v>
      </c>
      <c r="G12882" s="14">
        <v>23600</v>
      </c>
      <c r="H12882" s="13" t="s">
        <v>24420</v>
      </c>
      <c r="I12882" s="40" t="s">
        <v>18</v>
      </c>
      <c r="J12882" s="40" t="str">
        <f>HYPERLINK("https://stock.pstatic.net/stock-research/company/57/20250428_company_712087000.pdf","PDF")</f>
        <v>PDF</v>
      </c>
      <c r="K12882" s="12" t="s">
        <v>24421</v>
      </c>
      <c r="L12882" s="20">
        <v>0.39830508474576271</v>
      </c>
    </row>
    <row r="12883" spans="1:12" x14ac:dyDescent="0.45">
      <c r="A12883" s="12" t="s">
        <v>24391</v>
      </c>
      <c r="B12883" s="12" t="s">
        <v>1556</v>
      </c>
      <c r="C12883" s="13" t="s">
        <v>1557</v>
      </c>
      <c r="D12883" s="13" t="s">
        <v>65</v>
      </c>
      <c r="E12883" s="12" t="s">
        <v>35</v>
      </c>
      <c r="F12883" s="14">
        <v>24000</v>
      </c>
      <c r="G12883" s="14">
        <v>17850</v>
      </c>
      <c r="H12883" s="13" t="s">
        <v>24422</v>
      </c>
      <c r="I12883" s="40" t="s">
        <v>18</v>
      </c>
      <c r="J12883" s="40" t="str">
        <f>HYPERLINK("https://m.stock.naver.com/research/company/82415","PDF")</f>
        <v>PDF</v>
      </c>
      <c r="K12883" s="12" t="s">
        <v>24423</v>
      </c>
      <c r="L12883" s="20">
        <v>0.34453781512605042</v>
      </c>
    </row>
    <row r="12884" spans="1:12" x14ac:dyDescent="0.45">
      <c r="A12884" s="12" t="s">
        <v>24391</v>
      </c>
      <c r="B12884" s="12" t="s">
        <v>3230</v>
      </c>
      <c r="C12884" s="13" t="s">
        <v>3231</v>
      </c>
      <c r="D12884" s="13" t="s">
        <v>65</v>
      </c>
      <c r="E12884" s="12" t="s">
        <v>35</v>
      </c>
      <c r="F12884" s="14">
        <v>600000</v>
      </c>
      <c r="G12884" s="14">
        <v>459500</v>
      </c>
      <c r="H12884" s="13" t="s">
        <v>24424</v>
      </c>
      <c r="I12884" s="40" t="s">
        <v>18</v>
      </c>
      <c r="J12884" s="40" t="str">
        <f>HYPERLINK("https://stock.pstatic.net/stock-research/company/57/20250428_company_487719000.pdf","PDF")</f>
        <v>PDF</v>
      </c>
      <c r="K12884" s="12" t="s">
        <v>24425</v>
      </c>
      <c r="L12884" s="20">
        <v>0.30576713819368878</v>
      </c>
    </row>
    <row r="12885" spans="1:12" x14ac:dyDescent="0.45">
      <c r="A12885" s="12" t="s">
        <v>24391</v>
      </c>
      <c r="B12885" s="12" t="s">
        <v>577</v>
      </c>
      <c r="C12885" s="13" t="s">
        <v>578</v>
      </c>
      <c r="D12885" s="13" t="s">
        <v>65</v>
      </c>
      <c r="E12885" s="12" t="s">
        <v>35</v>
      </c>
      <c r="F12885" s="14">
        <v>310000</v>
      </c>
      <c r="G12885" s="14">
        <v>250000</v>
      </c>
      <c r="H12885" s="13" t="s">
        <v>24426</v>
      </c>
      <c r="I12885" s="40" t="s">
        <v>18</v>
      </c>
      <c r="J12885" s="40" t="str">
        <f>HYPERLINK("https://m.stock.naver.com/research/company/82413","PDF")</f>
        <v>PDF</v>
      </c>
      <c r="K12885" s="12" t="s">
        <v>24427</v>
      </c>
      <c r="L12885" s="20">
        <v>0.24</v>
      </c>
    </row>
    <row r="12886" spans="1:12" x14ac:dyDescent="0.45">
      <c r="A12886" s="12" t="s">
        <v>24391</v>
      </c>
      <c r="B12886" s="12" t="s">
        <v>1765</v>
      </c>
      <c r="C12886" s="13" t="s">
        <v>1766</v>
      </c>
      <c r="D12886" s="13" t="s">
        <v>65</v>
      </c>
      <c r="E12886" s="12" t="s">
        <v>35</v>
      </c>
      <c r="F12886" s="14">
        <v>125000</v>
      </c>
      <c r="G12886" s="14">
        <v>88200</v>
      </c>
      <c r="H12886" s="13" t="s">
        <v>24428</v>
      </c>
      <c r="I12886" s="40" t="s">
        <v>18</v>
      </c>
      <c r="J12886" s="40" t="str">
        <f>HYPERLINK("https://stock.pstatic.net/stock-research/company/57/20250428_company_601733000.pdf","PDF")</f>
        <v>PDF</v>
      </c>
      <c r="K12886" s="12" t="s">
        <v>24429</v>
      </c>
      <c r="L12886" s="20">
        <v>0.41723356009070289</v>
      </c>
    </row>
    <row r="12887" spans="1:12" x14ac:dyDescent="0.45">
      <c r="A12887" s="12" t="s">
        <v>24391</v>
      </c>
      <c r="B12887" s="12" t="s">
        <v>3536</v>
      </c>
      <c r="C12887" s="13" t="s">
        <v>3537</v>
      </c>
      <c r="D12887" s="13" t="s">
        <v>65</v>
      </c>
      <c r="E12887" s="12" t="s">
        <v>35</v>
      </c>
      <c r="F12887" s="14">
        <v>320000</v>
      </c>
      <c r="G12887" s="14">
        <v>213500</v>
      </c>
      <c r="H12887" s="13" t="s">
        <v>24430</v>
      </c>
      <c r="I12887" s="40" t="s">
        <v>18</v>
      </c>
      <c r="J12887" s="40" t="str">
        <f>HYPERLINK("https://stock.pstatic.net/stock-research/company/57/20250428_company_597110000.pdf","PDF")</f>
        <v>PDF</v>
      </c>
      <c r="K12887" s="12" t="s">
        <v>24431</v>
      </c>
      <c r="L12887" s="20">
        <v>0.49882903981264642</v>
      </c>
    </row>
    <row r="12888" spans="1:12" x14ac:dyDescent="0.45">
      <c r="A12888" s="12" t="s">
        <v>24391</v>
      </c>
      <c r="B12888" s="12" t="s">
        <v>3831</v>
      </c>
      <c r="C12888" s="13" t="s">
        <v>3832</v>
      </c>
      <c r="D12888" s="13" t="s">
        <v>65</v>
      </c>
      <c r="E12888" s="12" t="s">
        <v>35</v>
      </c>
      <c r="F12888" s="14">
        <v>50000</v>
      </c>
      <c r="G12888" s="14">
        <v>37050</v>
      </c>
      <c r="H12888" s="13" t="s">
        <v>24432</v>
      </c>
      <c r="I12888" s="40" t="s">
        <v>18</v>
      </c>
      <c r="J12888" s="40" t="str">
        <f>HYPERLINK("https://m.stock.naver.com/research/company/82410","PDF")</f>
        <v>PDF</v>
      </c>
      <c r="K12888" s="12" t="s">
        <v>24433</v>
      </c>
      <c r="L12888" s="20">
        <v>0.34952766531713902</v>
      </c>
    </row>
    <row r="12889" spans="1:12" x14ac:dyDescent="0.45">
      <c r="A12889" s="12" t="s">
        <v>24391</v>
      </c>
      <c r="B12889" s="12" t="s">
        <v>1930</v>
      </c>
      <c r="C12889" s="13" t="s">
        <v>1931</v>
      </c>
      <c r="D12889" s="13" t="s">
        <v>57</v>
      </c>
      <c r="E12889" s="12" t="s">
        <v>35</v>
      </c>
      <c r="F12889" s="14">
        <v>370000</v>
      </c>
      <c r="G12889" s="14">
        <v>243500</v>
      </c>
      <c r="H12889" s="13" t="s">
        <v>24434</v>
      </c>
      <c r="I12889" s="40" t="s">
        <v>18</v>
      </c>
      <c r="J12889" s="40" t="str">
        <f>HYPERLINK("https://stock.pstatic.net/stock-research/company/16/20250428_company_986493000.pdf","PDF")</f>
        <v>PDF</v>
      </c>
      <c r="K12889" s="12" t="s">
        <v>24435</v>
      </c>
      <c r="L12889" s="20">
        <v>0.51950718685831621</v>
      </c>
    </row>
    <row r="12890" spans="1:12" x14ac:dyDescent="0.45">
      <c r="A12890" s="12" t="s">
        <v>24391</v>
      </c>
      <c r="B12890" s="12" t="s">
        <v>1765</v>
      </c>
      <c r="C12890" s="13" t="s">
        <v>1766</v>
      </c>
      <c r="D12890" s="13" t="s">
        <v>57</v>
      </c>
      <c r="E12890" s="12" t="s">
        <v>35</v>
      </c>
      <c r="F12890" s="14">
        <v>140000</v>
      </c>
      <c r="G12890" s="14">
        <v>88200</v>
      </c>
      <c r="H12890" s="13" t="s">
        <v>24436</v>
      </c>
      <c r="I12890" s="40" t="s">
        <v>18</v>
      </c>
      <c r="J12890" s="40" t="str">
        <f>HYPERLINK("https://stock.pstatic.net/stock-research/company/16/20250428_company_222509000.pdf","PDF")</f>
        <v>PDF</v>
      </c>
      <c r="K12890" s="12" t="s">
        <v>24437</v>
      </c>
      <c r="L12890" s="20">
        <v>0.58730158730158732</v>
      </c>
    </row>
    <row r="12891" spans="1:12" x14ac:dyDescent="0.45">
      <c r="A12891" s="12" t="s">
        <v>24391</v>
      </c>
      <c r="B12891" s="12" t="s">
        <v>577</v>
      </c>
      <c r="C12891" s="13" t="s">
        <v>578</v>
      </c>
      <c r="D12891" s="13" t="s">
        <v>57</v>
      </c>
      <c r="E12891" s="12" t="s">
        <v>35</v>
      </c>
      <c r="F12891" s="14">
        <v>330000</v>
      </c>
      <c r="G12891" s="14">
        <v>250000</v>
      </c>
      <c r="H12891" s="13" t="s">
        <v>24438</v>
      </c>
      <c r="I12891" s="40" t="s">
        <v>18</v>
      </c>
      <c r="J12891" s="40" t="str">
        <f>HYPERLINK("https://m.stock.naver.com/research/company/82407","PDF")</f>
        <v>PDF</v>
      </c>
      <c r="K12891" s="12" t="s">
        <v>24439</v>
      </c>
      <c r="L12891" s="20">
        <v>0.32</v>
      </c>
    </row>
    <row r="12892" spans="1:12" x14ac:dyDescent="0.45">
      <c r="A12892" s="12" t="s">
        <v>24391</v>
      </c>
      <c r="B12892" s="12" t="s">
        <v>3831</v>
      </c>
      <c r="C12892" s="13" t="s">
        <v>3832</v>
      </c>
      <c r="D12892" s="13" t="s">
        <v>57</v>
      </c>
      <c r="E12892" s="12" t="s">
        <v>35</v>
      </c>
      <c r="F12892" s="14">
        <v>58000</v>
      </c>
      <c r="G12892" s="14">
        <v>37050</v>
      </c>
      <c r="H12892" s="13" t="s">
        <v>24440</v>
      </c>
      <c r="I12892" s="40" t="s">
        <v>18</v>
      </c>
      <c r="J12892" s="40" t="str">
        <f>HYPERLINK("https://m.stock.naver.com/research/company/82406","PDF")</f>
        <v>PDF</v>
      </c>
      <c r="K12892" s="12" t="s">
        <v>24441</v>
      </c>
      <c r="L12892" s="20">
        <v>0.56545209176788125</v>
      </c>
    </row>
    <row r="12893" spans="1:12" x14ac:dyDescent="0.45">
      <c r="A12893" s="12" t="s">
        <v>24391</v>
      </c>
      <c r="B12893" s="12" t="s">
        <v>3349</v>
      </c>
      <c r="C12893" s="13" t="s">
        <v>7707</v>
      </c>
      <c r="D12893" s="13" t="s">
        <v>57</v>
      </c>
      <c r="E12893" s="12" t="s">
        <v>35</v>
      </c>
      <c r="F12893" s="14">
        <v>30000</v>
      </c>
      <c r="G12893" s="14">
        <v>23750</v>
      </c>
      <c r="H12893" s="13" t="s">
        <v>24442</v>
      </c>
      <c r="I12893" s="40" t="s">
        <v>18</v>
      </c>
      <c r="J12893" s="40" t="str">
        <f>HYPERLINK("https://m.stock.naver.com/research/company/82405","PDF")</f>
        <v>PDF</v>
      </c>
      <c r="K12893" s="12" t="s">
        <v>24443</v>
      </c>
      <c r="L12893" s="20">
        <v>0.26315789473684209</v>
      </c>
    </row>
    <row r="12894" spans="1:12" x14ac:dyDescent="0.45">
      <c r="A12894" s="12" t="s">
        <v>24391</v>
      </c>
      <c r="B12894" s="12" t="s">
        <v>2369</v>
      </c>
      <c r="C12894" s="13" t="s">
        <v>2370</v>
      </c>
      <c r="D12894" s="13" t="s">
        <v>57</v>
      </c>
      <c r="E12894" s="12" t="s">
        <v>35</v>
      </c>
      <c r="F12894" s="14">
        <v>270000</v>
      </c>
      <c r="G12894" s="14">
        <v>185100</v>
      </c>
      <c r="H12894" s="13" t="s">
        <v>24444</v>
      </c>
      <c r="I12894" s="40" t="s">
        <v>18</v>
      </c>
      <c r="J12894" s="40" t="str">
        <f>HYPERLINK("https://m.stock.naver.com/research/company/82404","PDF")</f>
        <v>PDF</v>
      </c>
      <c r="K12894" s="12" t="s">
        <v>24445</v>
      </c>
      <c r="L12894" s="20">
        <v>0.45867098865478118</v>
      </c>
    </row>
    <row r="12895" spans="1:12" x14ac:dyDescent="0.45">
      <c r="A12895" s="12" t="s">
        <v>24391</v>
      </c>
      <c r="B12895" s="12" t="s">
        <v>3584</v>
      </c>
      <c r="C12895" s="13" t="s">
        <v>3585</v>
      </c>
      <c r="D12895" s="13" t="s">
        <v>57</v>
      </c>
      <c r="E12895" s="12" t="s">
        <v>35</v>
      </c>
      <c r="F12895" s="14">
        <v>26000</v>
      </c>
      <c r="G12895" s="14">
        <v>18130</v>
      </c>
      <c r="H12895" s="13" t="s">
        <v>24446</v>
      </c>
      <c r="I12895" s="40" t="s">
        <v>18</v>
      </c>
      <c r="J12895" s="40" t="str">
        <f>HYPERLINK("https://m.stock.naver.com/research/company/82403","PDF")</f>
        <v>PDF</v>
      </c>
      <c r="K12895" s="12" t="s">
        <v>24447</v>
      </c>
      <c r="L12895" s="20">
        <v>0.43408714837286272</v>
      </c>
    </row>
    <row r="12896" spans="1:12" x14ac:dyDescent="0.45">
      <c r="A12896" s="12" t="s">
        <v>24391</v>
      </c>
      <c r="B12896" s="12" t="s">
        <v>3688</v>
      </c>
      <c r="C12896" s="13" t="s">
        <v>3689</v>
      </c>
      <c r="D12896" s="13" t="s">
        <v>57</v>
      </c>
      <c r="E12896" s="12" t="s">
        <v>35</v>
      </c>
      <c r="F12896" s="14">
        <v>70000</v>
      </c>
      <c r="G12896" s="14">
        <v>49750</v>
      </c>
      <c r="H12896" s="13" t="s">
        <v>24448</v>
      </c>
      <c r="I12896" s="40" t="s">
        <v>18</v>
      </c>
      <c r="J12896" s="40" t="str">
        <f>HYPERLINK("https://m.stock.naver.com/research/company/82402","PDF")</f>
        <v>PDF</v>
      </c>
      <c r="K12896" s="12" t="s">
        <v>24449</v>
      </c>
      <c r="L12896" s="20">
        <v>0.40703517587939703</v>
      </c>
    </row>
    <row r="12897" spans="1:12" x14ac:dyDescent="0.45">
      <c r="A12897" s="12" t="s">
        <v>24391</v>
      </c>
      <c r="B12897" s="12" t="s">
        <v>3488</v>
      </c>
      <c r="C12897" s="13" t="s">
        <v>3489</v>
      </c>
      <c r="D12897" s="13" t="s">
        <v>57</v>
      </c>
      <c r="E12897" s="12" t="s">
        <v>35</v>
      </c>
      <c r="F12897" s="14">
        <v>22000</v>
      </c>
      <c r="G12897" s="14">
        <v>17300</v>
      </c>
      <c r="H12897" s="13" t="s">
        <v>24450</v>
      </c>
      <c r="I12897" s="40" t="s">
        <v>18</v>
      </c>
      <c r="J12897" s="40" t="str">
        <f>HYPERLINK("https://m.stock.naver.com/research/company/82401","PDF")</f>
        <v>PDF</v>
      </c>
      <c r="K12897" s="12" t="s">
        <v>24451</v>
      </c>
      <c r="L12897" s="20">
        <v>0.27167630057803471</v>
      </c>
    </row>
    <row r="12898" spans="1:12" x14ac:dyDescent="0.45">
      <c r="A12898" s="12" t="s">
        <v>24391</v>
      </c>
      <c r="B12898" s="12" t="s">
        <v>2960</v>
      </c>
      <c r="C12898" s="13" t="s">
        <v>2961</v>
      </c>
      <c r="D12898" s="13" t="s">
        <v>57</v>
      </c>
      <c r="E12898" s="12" t="s">
        <v>159</v>
      </c>
      <c r="F12898" s="14">
        <v>41000</v>
      </c>
      <c r="G12898" s="14">
        <v>39100</v>
      </c>
      <c r="H12898" s="13" t="s">
        <v>24452</v>
      </c>
      <c r="I12898" s="40" t="s">
        <v>18</v>
      </c>
      <c r="J12898" s="40" t="str">
        <f>HYPERLINK("https://m.stock.naver.com/research/company/82400","PDF")</f>
        <v>PDF</v>
      </c>
      <c r="K12898" s="12" t="s">
        <v>24453</v>
      </c>
      <c r="L12898" s="20">
        <v>4.859335038363171E-2</v>
      </c>
    </row>
    <row r="12899" spans="1:12" x14ac:dyDescent="0.45">
      <c r="A12899" s="12" t="s">
        <v>24391</v>
      </c>
      <c r="B12899" s="12" t="s">
        <v>973</v>
      </c>
      <c r="C12899" s="13" t="s">
        <v>974</v>
      </c>
      <c r="D12899" s="13" t="s">
        <v>57</v>
      </c>
      <c r="E12899" s="12" t="s">
        <v>35</v>
      </c>
      <c r="F12899" s="14">
        <v>34000</v>
      </c>
      <c r="G12899" s="14">
        <v>20850</v>
      </c>
      <c r="H12899" s="13" t="s">
        <v>24454</v>
      </c>
      <c r="I12899" s="40" t="s">
        <v>18</v>
      </c>
      <c r="J12899" s="40" t="str">
        <f>HYPERLINK("https://m.stock.naver.com/research/company/82399","PDF")</f>
        <v>PDF</v>
      </c>
      <c r="K12899" s="12" t="s">
        <v>24455</v>
      </c>
      <c r="L12899" s="20">
        <v>0.6306954436450839</v>
      </c>
    </row>
    <row r="12900" spans="1:12" x14ac:dyDescent="0.45">
      <c r="A12900" s="12" t="s">
        <v>24391</v>
      </c>
      <c r="B12900" s="12" t="s">
        <v>3349</v>
      </c>
      <c r="C12900" s="13" t="s">
        <v>7707</v>
      </c>
      <c r="D12900" s="13" t="s">
        <v>158</v>
      </c>
      <c r="E12900" s="12" t="s">
        <v>35</v>
      </c>
      <c r="F12900" s="14">
        <v>29500</v>
      </c>
      <c r="G12900" s="14">
        <v>23600</v>
      </c>
      <c r="H12900" s="13" t="s">
        <v>24456</v>
      </c>
      <c r="I12900" s="40" t="s">
        <v>18</v>
      </c>
      <c r="J12900" s="40" t="str">
        <f>HYPERLINK("https://m.stock.naver.com/research/company/82398","PDF")</f>
        <v>PDF</v>
      </c>
      <c r="K12900" s="12" t="s">
        <v>24457</v>
      </c>
      <c r="L12900" s="20">
        <v>0.25</v>
      </c>
    </row>
    <row r="12901" spans="1:12" x14ac:dyDescent="0.45">
      <c r="A12901" s="12" t="s">
        <v>24391</v>
      </c>
      <c r="B12901" s="12" t="s">
        <v>4253</v>
      </c>
      <c r="C12901" s="13" t="s">
        <v>4254</v>
      </c>
      <c r="D12901" s="13" t="s">
        <v>158</v>
      </c>
      <c r="E12901" s="12" t="s">
        <v>35</v>
      </c>
      <c r="F12901" s="14">
        <v>240000</v>
      </c>
      <c r="G12901" s="14">
        <v>110600</v>
      </c>
      <c r="H12901" s="13" t="s">
        <v>24458</v>
      </c>
      <c r="I12901" s="40" t="s">
        <v>18</v>
      </c>
      <c r="J12901" s="40" t="str">
        <f>HYPERLINK("https://m.stock.naver.com/research/company/82397","PDF")</f>
        <v>PDF</v>
      </c>
      <c r="K12901" s="12" t="s">
        <v>24459</v>
      </c>
      <c r="L12901" s="20">
        <v>1.16998191681736</v>
      </c>
    </row>
    <row r="12902" spans="1:12" x14ac:dyDescent="0.45">
      <c r="A12902" s="12" t="s">
        <v>24391</v>
      </c>
      <c r="B12902" s="12" t="s">
        <v>13983</v>
      </c>
      <c r="C12902" s="13" t="s">
        <v>13984</v>
      </c>
      <c r="D12902" s="13" t="s">
        <v>158</v>
      </c>
      <c r="E12902" s="12" t="s">
        <v>35</v>
      </c>
      <c r="F12902" s="14">
        <v>9700</v>
      </c>
      <c r="G12902" s="14">
        <v>8160</v>
      </c>
      <c r="H12902" s="13" t="s">
        <v>24460</v>
      </c>
      <c r="I12902" s="40" t="s">
        <v>18</v>
      </c>
      <c r="J12902" s="40" t="str">
        <f>HYPERLINK("https://m.stock.naver.com/research/company/82396","PDF")</f>
        <v>PDF</v>
      </c>
      <c r="K12902" s="12" t="s">
        <v>24461</v>
      </c>
      <c r="L12902" s="20">
        <v>0.1887254901960784</v>
      </c>
    </row>
    <row r="12903" spans="1:12" x14ac:dyDescent="0.45">
      <c r="A12903" s="12" t="s">
        <v>24391</v>
      </c>
      <c r="B12903" s="12" t="s">
        <v>764</v>
      </c>
      <c r="C12903" s="13" t="s">
        <v>765</v>
      </c>
      <c r="D12903" s="13" t="s">
        <v>158</v>
      </c>
      <c r="E12903" s="12" t="s">
        <v>35</v>
      </c>
      <c r="F12903" s="14">
        <v>49000</v>
      </c>
      <c r="G12903" s="14">
        <v>34750</v>
      </c>
      <c r="H12903" s="13" t="s">
        <v>24462</v>
      </c>
      <c r="I12903" s="40" t="s">
        <v>18</v>
      </c>
      <c r="J12903" s="40" t="str">
        <f>HYPERLINK("https://stock.pstatic.net/stock-research/company/1/20250428_company_171927000.pdf","PDF")</f>
        <v>PDF</v>
      </c>
      <c r="K12903" s="12" t="s">
        <v>24463</v>
      </c>
      <c r="L12903" s="20">
        <v>0.41007194244604322</v>
      </c>
    </row>
    <row r="12904" spans="1:12" x14ac:dyDescent="0.45">
      <c r="A12904" s="12" t="s">
        <v>24391</v>
      </c>
      <c r="B12904" s="12" t="s">
        <v>2369</v>
      </c>
      <c r="C12904" s="13" t="s">
        <v>2370</v>
      </c>
      <c r="D12904" s="13" t="s">
        <v>15</v>
      </c>
      <c r="E12904" s="12" t="s">
        <v>16</v>
      </c>
      <c r="F12904" s="14">
        <v>280000</v>
      </c>
      <c r="G12904" s="14">
        <v>185100</v>
      </c>
      <c r="H12904" s="13" t="s">
        <v>24464</v>
      </c>
      <c r="I12904" s="40" t="s">
        <v>18</v>
      </c>
      <c r="J12904" s="40" t="str">
        <f>HYPERLINK("https://stock.pstatic.net/stock-research/company/30/20250428_company_461681000.pdf","PDF")</f>
        <v>PDF</v>
      </c>
      <c r="K12904" s="12" t="s">
        <v>24465</v>
      </c>
      <c r="L12904" s="20">
        <v>0.51269584008643976</v>
      </c>
    </row>
    <row r="12905" spans="1:12" x14ac:dyDescent="0.45">
      <c r="A12905" s="12" t="s">
        <v>24391</v>
      </c>
      <c r="B12905" s="12" t="s">
        <v>9369</v>
      </c>
      <c r="C12905" s="13" t="s">
        <v>9370</v>
      </c>
      <c r="D12905" s="13" t="s">
        <v>15</v>
      </c>
      <c r="E12905" s="12" t="s">
        <v>50</v>
      </c>
      <c r="F12905" s="14">
        <v>35000</v>
      </c>
      <c r="G12905" s="14">
        <v>29400</v>
      </c>
      <c r="H12905" s="13" t="s">
        <v>24466</v>
      </c>
      <c r="I12905" s="40" t="s">
        <v>18</v>
      </c>
      <c r="J12905" s="40" t="str">
        <f>HYPERLINK("https://stock.pstatic.net/stock-research/company/29/20250428_company_880741000.pdf","PDF")</f>
        <v>PDF</v>
      </c>
      <c r="K12905" s="12" t="s">
        <v>24467</v>
      </c>
      <c r="L12905" s="20">
        <v>0.19047619047619049</v>
      </c>
    </row>
    <row r="12906" spans="1:12" x14ac:dyDescent="0.45">
      <c r="A12906" s="12" t="s">
        <v>24391</v>
      </c>
      <c r="B12906" s="12" t="s">
        <v>13410</v>
      </c>
      <c r="C12906" s="13" t="s">
        <v>13411</v>
      </c>
      <c r="D12906" s="13" t="s">
        <v>15</v>
      </c>
      <c r="E12906" s="12" t="s">
        <v>16</v>
      </c>
      <c r="F12906" s="14">
        <v>220000</v>
      </c>
      <c r="G12906" s="14">
        <v>163500</v>
      </c>
      <c r="H12906" s="13" t="s">
        <v>24468</v>
      </c>
      <c r="I12906" s="40" t="s">
        <v>18</v>
      </c>
      <c r="J12906" s="40" t="str">
        <f>HYPERLINK("https://stock.pstatic.net/stock-research/company/29/20250428_company_866105000.pdf","PDF")</f>
        <v>PDF</v>
      </c>
      <c r="K12906" s="12" t="s">
        <v>24469</v>
      </c>
      <c r="L12906" s="20">
        <v>0.34556574923547401</v>
      </c>
    </row>
    <row r="12907" spans="1:12" x14ac:dyDescent="0.45">
      <c r="A12907" s="12" t="s">
        <v>24391</v>
      </c>
      <c r="B12907" s="12" t="s">
        <v>2960</v>
      </c>
      <c r="C12907" s="13" t="s">
        <v>2961</v>
      </c>
      <c r="D12907" s="13" t="s">
        <v>15</v>
      </c>
      <c r="E12907" s="12" t="s">
        <v>385</v>
      </c>
      <c r="F12907" s="14">
        <v>40000</v>
      </c>
      <c r="G12907" s="14">
        <v>39100</v>
      </c>
      <c r="H12907" s="13" t="s">
        <v>24470</v>
      </c>
      <c r="I12907" s="40" t="s">
        <v>18</v>
      </c>
      <c r="J12907" s="40" t="str">
        <f>HYPERLINK("https://stock.pstatic.net/stock-research/company/29/20250428_company_443540000.pdf","PDF")</f>
        <v>PDF</v>
      </c>
      <c r="K12907" s="12" t="s">
        <v>24471</v>
      </c>
      <c r="L12907" s="20">
        <v>2.301790281329923E-2</v>
      </c>
    </row>
    <row r="12908" spans="1:12" x14ac:dyDescent="0.45">
      <c r="A12908" s="12" t="s">
        <v>24391</v>
      </c>
      <c r="B12908" s="12" t="s">
        <v>2492</v>
      </c>
      <c r="C12908" s="13" t="s">
        <v>2493</v>
      </c>
      <c r="D12908" s="13" t="s">
        <v>15</v>
      </c>
      <c r="E12908" s="12" t="s">
        <v>16</v>
      </c>
      <c r="F12908" s="14">
        <v>380000</v>
      </c>
      <c r="G12908" s="14">
        <v>265500</v>
      </c>
      <c r="H12908" s="13" t="s">
        <v>24472</v>
      </c>
      <c r="I12908" s="40" t="s">
        <v>18</v>
      </c>
      <c r="J12908" s="40" t="str">
        <f>HYPERLINK("https://stock.pstatic.net/stock-research/company/29/20250428_company_90088000.pdf","PDF")</f>
        <v>PDF</v>
      </c>
      <c r="K12908" s="12" t="s">
        <v>24473</v>
      </c>
      <c r="L12908" s="20">
        <v>0.4312617702448211</v>
      </c>
    </row>
    <row r="12909" spans="1:12" x14ac:dyDescent="0.45">
      <c r="A12909" s="12" t="s">
        <v>24391</v>
      </c>
      <c r="B12909" s="12" t="s">
        <v>3373</v>
      </c>
      <c r="C12909" s="13" t="s">
        <v>3374</v>
      </c>
      <c r="D12909" s="13" t="s">
        <v>83</v>
      </c>
      <c r="E12909" s="12" t="s">
        <v>35</v>
      </c>
      <c r="F12909" s="14">
        <v>112000</v>
      </c>
      <c r="G12909" s="14">
        <v>84600</v>
      </c>
      <c r="H12909" s="13" t="s">
        <v>24474</v>
      </c>
      <c r="I12909" s="40" t="s">
        <v>18</v>
      </c>
      <c r="J12909" s="40" t="str">
        <f>HYPERLINK("https://stock.pstatic.net/stock-research/company/2/20250428_company_776950000.pdf","PDF")</f>
        <v>PDF</v>
      </c>
      <c r="K12909" s="12" t="s">
        <v>24475</v>
      </c>
      <c r="L12909" s="20">
        <v>0.32387706855791959</v>
      </c>
    </row>
    <row r="12910" spans="1:12" x14ac:dyDescent="0.45">
      <c r="A12910" s="12" t="s">
        <v>24391</v>
      </c>
      <c r="B12910" s="12" t="s">
        <v>330</v>
      </c>
      <c r="C12910" s="13" t="s">
        <v>331</v>
      </c>
      <c r="D12910" s="13" t="s">
        <v>83</v>
      </c>
      <c r="E12910" s="12" t="s">
        <v>35</v>
      </c>
      <c r="F12910" s="14">
        <v>37000</v>
      </c>
      <c r="G12910" s="14">
        <v>27100</v>
      </c>
      <c r="H12910" s="13" t="s">
        <v>24476</v>
      </c>
      <c r="I12910" s="40" t="s">
        <v>18</v>
      </c>
      <c r="J12910" s="40" t="str">
        <f>HYPERLINK("https://stock.pstatic.net/stock-research/company/2/20250428_company_668146000.pdf","PDF")</f>
        <v>PDF</v>
      </c>
      <c r="K12910" s="12" t="s">
        <v>24477</v>
      </c>
      <c r="L12910" s="20">
        <v>0.36531365313653141</v>
      </c>
    </row>
    <row r="12911" spans="1:12" x14ac:dyDescent="0.45">
      <c r="A12911" s="12" t="s">
        <v>24391</v>
      </c>
      <c r="B12911" s="12" t="s">
        <v>2435</v>
      </c>
      <c r="C12911" s="13" t="s">
        <v>2436</v>
      </c>
      <c r="D12911" s="13" t="s">
        <v>83</v>
      </c>
      <c r="E12911" s="12" t="s">
        <v>35</v>
      </c>
      <c r="F12911" s="14">
        <v>450000</v>
      </c>
      <c r="G12911" s="14">
        <v>376000</v>
      </c>
      <c r="H12911" s="13" t="s">
        <v>24478</v>
      </c>
      <c r="I12911" s="40" t="s">
        <v>18</v>
      </c>
      <c r="J12911" s="40" t="str">
        <f>HYPERLINK("https://stock.pstatic.net/stock-research/company/2/20250428_company_75674000.pdf","PDF")</f>
        <v>PDF</v>
      </c>
      <c r="K12911" s="12" t="s">
        <v>24479</v>
      </c>
      <c r="L12911" s="20">
        <v>0.19680851063829791</v>
      </c>
    </row>
    <row r="12912" spans="1:12" x14ac:dyDescent="0.45">
      <c r="A12912" s="12" t="s">
        <v>24391</v>
      </c>
      <c r="B12912" s="12" t="s">
        <v>13410</v>
      </c>
      <c r="C12912" s="13" t="s">
        <v>13411</v>
      </c>
      <c r="D12912" s="13" t="s">
        <v>83</v>
      </c>
      <c r="E12912" s="12" t="s">
        <v>35</v>
      </c>
      <c r="F12912" s="14">
        <v>190000</v>
      </c>
      <c r="G12912" s="14">
        <v>158500</v>
      </c>
      <c r="H12912" s="13" t="s">
        <v>24480</v>
      </c>
      <c r="I12912" s="40" t="s">
        <v>18</v>
      </c>
      <c r="J12912" s="40" t="str">
        <f>HYPERLINK("https://stock.pstatic.net/stock-research/company/2/20250428_company_696137000.pdf","PDF")</f>
        <v>PDF</v>
      </c>
      <c r="K12912" s="12" t="s">
        <v>24481</v>
      </c>
      <c r="L12912" s="20">
        <v>0.1987381703470032</v>
      </c>
    </row>
    <row r="12913" spans="1:12" x14ac:dyDescent="0.45">
      <c r="A12913" s="12" t="s">
        <v>24391</v>
      </c>
      <c r="B12913" s="12" t="s">
        <v>1781</v>
      </c>
      <c r="C12913" s="13" t="s">
        <v>1782</v>
      </c>
      <c r="D12913" s="13" t="s">
        <v>83</v>
      </c>
      <c r="E12913" s="12" t="s">
        <v>35</v>
      </c>
      <c r="F12913" s="14">
        <v>120000</v>
      </c>
      <c r="G12913" s="14">
        <v>70300</v>
      </c>
      <c r="H12913" s="13" t="s">
        <v>24482</v>
      </c>
      <c r="I12913" s="40" t="s">
        <v>18</v>
      </c>
      <c r="J12913" s="40" t="str">
        <f>HYPERLINK("https://stock.pstatic.net/stock-research/company/2/20250428_company_644677000.pdf","PDF")</f>
        <v>PDF</v>
      </c>
      <c r="K12913" s="12" t="s">
        <v>24483</v>
      </c>
      <c r="L12913" s="20">
        <v>0.7069701280227596</v>
      </c>
    </row>
    <row r="12914" spans="1:12" x14ac:dyDescent="0.45">
      <c r="A12914" s="12" t="s">
        <v>24391</v>
      </c>
      <c r="B12914" s="12" t="s">
        <v>744</v>
      </c>
      <c r="C12914" s="13" t="s">
        <v>745</v>
      </c>
      <c r="D12914" s="13" t="s">
        <v>83</v>
      </c>
      <c r="E12914" s="12" t="s">
        <v>35</v>
      </c>
      <c r="F12914" s="14">
        <v>17000</v>
      </c>
      <c r="G12914" s="14">
        <v>14590</v>
      </c>
      <c r="H12914" s="13" t="s">
        <v>24484</v>
      </c>
      <c r="I12914" s="40" t="s">
        <v>18</v>
      </c>
      <c r="J12914" s="40" t="str">
        <f>HYPERLINK("https://stock.pstatic.net/stock-research/company/2/20250428_company_241083000.pdf","PDF")</f>
        <v>PDF</v>
      </c>
      <c r="K12914" s="12" t="s">
        <v>24485</v>
      </c>
      <c r="L12914" s="20">
        <v>0.16518163125428381</v>
      </c>
    </row>
    <row r="12915" spans="1:12" x14ac:dyDescent="0.45">
      <c r="A12915" s="12" t="s">
        <v>24391</v>
      </c>
      <c r="B12915" s="12" t="s">
        <v>3584</v>
      </c>
      <c r="C12915" s="13" t="s">
        <v>3585</v>
      </c>
      <c r="D12915" s="13" t="s">
        <v>83</v>
      </c>
      <c r="E12915" s="12" t="s">
        <v>35</v>
      </c>
      <c r="F12915" s="14">
        <v>27000</v>
      </c>
      <c r="G12915" s="14">
        <v>18130</v>
      </c>
      <c r="H12915" s="13" t="s">
        <v>24486</v>
      </c>
      <c r="I12915" s="40" t="s">
        <v>18</v>
      </c>
      <c r="J12915" s="40" t="str">
        <f>HYPERLINK("https://stock.pstatic.net/stock-research/company/2/20250428_company_859701000.pdf","PDF")</f>
        <v>PDF</v>
      </c>
      <c r="K12915" s="12" t="s">
        <v>24487</v>
      </c>
      <c r="L12915" s="20">
        <v>0.48924434638720349</v>
      </c>
    </row>
    <row r="12916" spans="1:12" x14ac:dyDescent="0.45">
      <c r="A12916" s="12" t="s">
        <v>24391</v>
      </c>
      <c r="B12916" s="12" t="s">
        <v>3831</v>
      </c>
      <c r="C12916" s="13" t="s">
        <v>3832</v>
      </c>
      <c r="D12916" s="13" t="s">
        <v>83</v>
      </c>
      <c r="E12916" s="12" t="s">
        <v>35</v>
      </c>
      <c r="F12916" s="14">
        <v>56000</v>
      </c>
      <c r="G12916" s="14">
        <v>37050</v>
      </c>
      <c r="H12916" s="13" t="s">
        <v>24488</v>
      </c>
      <c r="I12916" s="40" t="s">
        <v>18</v>
      </c>
      <c r="J12916" s="40" t="str">
        <f>HYPERLINK("https://stock.pstatic.net/stock-research/company/2/20250428_company_985615000.pdf","PDF")</f>
        <v>PDF</v>
      </c>
      <c r="K12916" s="12" t="s">
        <v>24489</v>
      </c>
      <c r="L12916" s="20">
        <v>0.51147098515519573</v>
      </c>
    </row>
    <row r="12917" spans="1:12" x14ac:dyDescent="0.45">
      <c r="A12917" s="12" t="s">
        <v>24391</v>
      </c>
      <c r="B12917" s="12" t="s">
        <v>1765</v>
      </c>
      <c r="C12917" s="13" t="s">
        <v>1766</v>
      </c>
      <c r="D12917" s="13" t="s">
        <v>83</v>
      </c>
      <c r="E12917" s="12" t="s">
        <v>35</v>
      </c>
      <c r="F12917" s="14">
        <v>135000</v>
      </c>
      <c r="G12917" s="14">
        <v>88200</v>
      </c>
      <c r="H12917" s="13" t="s">
        <v>24490</v>
      </c>
      <c r="I12917" s="40" t="s">
        <v>18</v>
      </c>
      <c r="J12917" s="40" t="str">
        <f>HYPERLINK("https://stock.pstatic.net/stock-research/company/2/20250428_company_373307000.pdf","PDF")</f>
        <v>PDF</v>
      </c>
      <c r="K12917" s="12" t="s">
        <v>24491</v>
      </c>
      <c r="L12917" s="20">
        <v>0.53061224489795922</v>
      </c>
    </row>
    <row r="12918" spans="1:12" x14ac:dyDescent="0.45">
      <c r="A12918" s="12" t="s">
        <v>24391</v>
      </c>
      <c r="B12918" s="12" t="s">
        <v>577</v>
      </c>
      <c r="C12918" s="13" t="s">
        <v>578</v>
      </c>
      <c r="D12918" s="13" t="s">
        <v>83</v>
      </c>
      <c r="E12918" s="12" t="s">
        <v>35</v>
      </c>
      <c r="F12918" s="14">
        <v>350000</v>
      </c>
      <c r="G12918" s="14">
        <v>250000</v>
      </c>
      <c r="H12918" s="13" t="s">
        <v>24492</v>
      </c>
      <c r="I12918" s="40" t="s">
        <v>18</v>
      </c>
      <c r="J12918" s="40" t="str">
        <f>HYPERLINK("https://stock.pstatic.net/stock-research/company/2/20250428_company_576137000.pdf","PDF")</f>
        <v>PDF</v>
      </c>
      <c r="K12918" s="12" t="s">
        <v>24493</v>
      </c>
      <c r="L12918" s="20">
        <v>0.4</v>
      </c>
    </row>
    <row r="12919" spans="1:12" x14ac:dyDescent="0.45">
      <c r="A12919" s="12" t="s">
        <v>24391</v>
      </c>
      <c r="B12919" s="12" t="s">
        <v>3349</v>
      </c>
      <c r="C12919" s="13" t="s">
        <v>7707</v>
      </c>
      <c r="D12919" s="13" t="s">
        <v>83</v>
      </c>
      <c r="E12919" s="12" t="s">
        <v>35</v>
      </c>
      <c r="F12919" s="14">
        <v>35000</v>
      </c>
      <c r="G12919" s="14">
        <v>23600</v>
      </c>
      <c r="H12919" s="13" t="s">
        <v>24494</v>
      </c>
      <c r="I12919" s="40" t="s">
        <v>18</v>
      </c>
      <c r="J12919" s="40" t="str">
        <f>HYPERLINK("https://stock.pstatic.net/stock-research/company/2/20250428_company_257814000.pdf","PDF")</f>
        <v>PDF</v>
      </c>
      <c r="K12919" s="12" t="s">
        <v>24495</v>
      </c>
      <c r="L12919" s="20">
        <v>0.48305084745762711</v>
      </c>
    </row>
    <row r="12920" spans="1:12" x14ac:dyDescent="0.45">
      <c r="A12920" s="12" t="s">
        <v>24391</v>
      </c>
      <c r="B12920" s="12" t="s">
        <v>2960</v>
      </c>
      <c r="C12920" s="13" t="s">
        <v>2961</v>
      </c>
      <c r="D12920" s="13" t="s">
        <v>83</v>
      </c>
      <c r="E12920" s="12" t="s">
        <v>35</v>
      </c>
      <c r="F12920" s="14">
        <v>50000</v>
      </c>
      <c r="G12920" s="14">
        <v>39100</v>
      </c>
      <c r="H12920" s="13" t="s">
        <v>24496</v>
      </c>
      <c r="I12920" s="40" t="s">
        <v>18</v>
      </c>
      <c r="J12920" s="40" t="str">
        <f>HYPERLINK("https://stock.pstatic.net/stock-research/company/2/20250428_company_499820000.pdf","PDF")</f>
        <v>PDF</v>
      </c>
      <c r="K12920" s="12" t="s">
        <v>24497</v>
      </c>
      <c r="L12920" s="20">
        <v>0.27877237851662412</v>
      </c>
    </row>
    <row r="12921" spans="1:12" x14ac:dyDescent="0.45">
      <c r="A12921" s="12" t="s">
        <v>24391</v>
      </c>
      <c r="B12921" s="12" t="s">
        <v>3230</v>
      </c>
      <c r="C12921" s="13" t="s">
        <v>3231</v>
      </c>
      <c r="D12921" s="13" t="s">
        <v>83</v>
      </c>
      <c r="E12921" s="12" t="s">
        <v>35</v>
      </c>
      <c r="F12921" s="14">
        <v>650000</v>
      </c>
      <c r="G12921" s="14">
        <v>459500</v>
      </c>
      <c r="H12921" s="13" t="s">
        <v>24498</v>
      </c>
      <c r="I12921" s="40" t="s">
        <v>18</v>
      </c>
      <c r="J12921" s="40" t="str">
        <f>HYPERLINK("https://stock.pstatic.net/stock-research/company/2/20250428_company_635716000.pdf","PDF")</f>
        <v>PDF</v>
      </c>
      <c r="K12921" s="12" t="s">
        <v>24499</v>
      </c>
      <c r="L12921" s="20">
        <v>0.41458106637649622</v>
      </c>
    </row>
    <row r="12922" spans="1:12" x14ac:dyDescent="0.45">
      <c r="A12922" s="12" t="s">
        <v>24391</v>
      </c>
      <c r="B12922" s="12" t="s">
        <v>744</v>
      </c>
      <c r="C12922" s="13" t="s">
        <v>745</v>
      </c>
      <c r="D12922" s="13" t="s">
        <v>15</v>
      </c>
      <c r="E12922" s="12" t="s">
        <v>16</v>
      </c>
      <c r="F12922" s="14">
        <v>18700</v>
      </c>
      <c r="G12922" s="14">
        <v>14720</v>
      </c>
      <c r="H12922" s="13" t="s">
        <v>24500</v>
      </c>
      <c r="I12922" s="40" t="s">
        <v>18</v>
      </c>
      <c r="J12922" s="40" t="str">
        <f>HYPERLINK("https://stock.pstatic.net/stock-research/company/29/20250428_company_488957000.pdf","PDF")</f>
        <v>PDF</v>
      </c>
      <c r="K12922" s="12" t="s">
        <v>24501</v>
      </c>
      <c r="L12922" s="20">
        <v>0.2703804347826087</v>
      </c>
    </row>
    <row r="12923" spans="1:12" x14ac:dyDescent="0.45">
      <c r="A12923" s="12" t="s">
        <v>24391</v>
      </c>
      <c r="B12923" s="12" t="s">
        <v>577</v>
      </c>
      <c r="C12923" s="13" t="s">
        <v>578</v>
      </c>
      <c r="D12923" s="13" t="s">
        <v>15</v>
      </c>
      <c r="E12923" s="12" t="s">
        <v>16</v>
      </c>
      <c r="F12923" s="14">
        <v>350000</v>
      </c>
      <c r="G12923" s="14">
        <v>250000</v>
      </c>
      <c r="H12923" s="13" t="s">
        <v>24502</v>
      </c>
      <c r="I12923" s="40" t="s">
        <v>18</v>
      </c>
      <c r="J12923" s="40" t="str">
        <f>HYPERLINK("https://stock.pstatic.net/stock-research/company/29/20250428_company_291312000.pdf","PDF")</f>
        <v>PDF</v>
      </c>
      <c r="K12923" s="12" t="s">
        <v>24503</v>
      </c>
      <c r="L12923" s="20">
        <v>0.4</v>
      </c>
    </row>
    <row r="12924" spans="1:12" x14ac:dyDescent="0.45">
      <c r="A12924" s="12" t="s">
        <v>24391</v>
      </c>
      <c r="B12924" s="12" t="s">
        <v>2960</v>
      </c>
      <c r="C12924" s="13" t="s">
        <v>2961</v>
      </c>
      <c r="D12924" s="13" t="s">
        <v>92</v>
      </c>
      <c r="E12924" s="12" t="s">
        <v>35</v>
      </c>
      <c r="F12924" s="14">
        <v>45000</v>
      </c>
      <c r="G12924" s="14">
        <v>39100</v>
      </c>
      <c r="H12924" s="13" t="s">
        <v>24504</v>
      </c>
      <c r="I12924" s="40" t="s">
        <v>18</v>
      </c>
      <c r="J12924" s="40" t="str">
        <f>HYPERLINK("https://stock.pstatic.net/stock-research/company/63/20250428_company_226244000.pdf","PDF")</f>
        <v>PDF</v>
      </c>
      <c r="K12924" s="12" t="s">
        <v>24505</v>
      </c>
      <c r="L12924" s="20">
        <v>0.1508951406649616</v>
      </c>
    </row>
    <row r="12925" spans="1:12" x14ac:dyDescent="0.45">
      <c r="A12925" s="12" t="s">
        <v>24391</v>
      </c>
      <c r="B12925" s="12" t="s">
        <v>3492</v>
      </c>
      <c r="C12925" s="13" t="s">
        <v>3493</v>
      </c>
      <c r="D12925" s="13" t="s">
        <v>15</v>
      </c>
      <c r="E12925" s="12" t="s">
        <v>385</v>
      </c>
      <c r="F12925" s="14">
        <v>14000</v>
      </c>
      <c r="G12925" s="14">
        <v>14970</v>
      </c>
      <c r="H12925" s="13" t="s">
        <v>24506</v>
      </c>
      <c r="I12925" s="40" t="s">
        <v>18</v>
      </c>
      <c r="J12925" s="40" t="str">
        <f>HYPERLINK("https://stock.pstatic.net/stock-research/company/29/20250428_company_644325000.pdf","PDF")</f>
        <v>PDF</v>
      </c>
      <c r="K12925" s="12" t="s">
        <v>24507</v>
      </c>
      <c r="L12925" s="20">
        <v>-6.4796259185036745E-2</v>
      </c>
    </row>
    <row r="12926" spans="1:12" x14ac:dyDescent="0.45">
      <c r="A12926" s="12" t="s">
        <v>24391</v>
      </c>
      <c r="B12926" s="12" t="s">
        <v>3482</v>
      </c>
      <c r="C12926" s="13" t="s">
        <v>3483</v>
      </c>
      <c r="D12926" s="13" t="s">
        <v>15</v>
      </c>
      <c r="E12926" s="12" t="s">
        <v>16</v>
      </c>
      <c r="F12926" s="14">
        <v>80000</v>
      </c>
      <c r="G12926" s="14">
        <v>61200</v>
      </c>
      <c r="H12926" s="13" t="s">
        <v>24508</v>
      </c>
      <c r="I12926" s="40" t="s">
        <v>18</v>
      </c>
      <c r="J12926" s="40" t="str">
        <f>HYPERLINK("https://stock.pstatic.net/stock-research/company/29/20250428_company_212657000.pdf","PDF")</f>
        <v>PDF</v>
      </c>
      <c r="K12926" s="12" t="s">
        <v>24509</v>
      </c>
      <c r="L12926" s="20">
        <v>0.30718954248366009</v>
      </c>
    </row>
    <row r="12927" spans="1:12" x14ac:dyDescent="0.45">
      <c r="A12927" s="12" t="s">
        <v>24391</v>
      </c>
      <c r="B12927" s="12" t="s">
        <v>1019</v>
      </c>
      <c r="C12927" s="13" t="s">
        <v>1020</v>
      </c>
      <c r="D12927" s="13" t="s">
        <v>92</v>
      </c>
      <c r="E12927" s="12" t="s">
        <v>35</v>
      </c>
      <c r="F12927" s="14">
        <v>15000</v>
      </c>
      <c r="G12927" s="14">
        <v>9610</v>
      </c>
      <c r="H12927" s="13" t="s">
        <v>24510</v>
      </c>
      <c r="I12927" s="40" t="s">
        <v>18</v>
      </c>
      <c r="J12927" s="40" t="str">
        <f>HYPERLINK("https://stock.pstatic.net/stock-research/company/63/20250428_company_625220000.pdf","PDF")</f>
        <v>PDF</v>
      </c>
      <c r="K12927" s="12" t="s">
        <v>24511</v>
      </c>
      <c r="L12927" s="20">
        <v>0.56087408949011441</v>
      </c>
    </row>
    <row r="12928" spans="1:12" x14ac:dyDescent="0.45">
      <c r="A12928" s="12" t="s">
        <v>24391</v>
      </c>
      <c r="B12928" s="12" t="s">
        <v>3688</v>
      </c>
      <c r="C12928" s="13" t="s">
        <v>3689</v>
      </c>
      <c r="D12928" s="13" t="s">
        <v>15</v>
      </c>
      <c r="E12928" s="12" t="s">
        <v>16</v>
      </c>
      <c r="F12928" s="14">
        <v>76000</v>
      </c>
      <c r="G12928" s="14">
        <v>49750</v>
      </c>
      <c r="H12928" s="13" t="s">
        <v>24512</v>
      </c>
      <c r="I12928" s="40" t="s">
        <v>18</v>
      </c>
      <c r="J12928" s="40" t="str">
        <f>HYPERLINK("https://stock.pstatic.net/stock-research/company/29/20250428_company_146967000.pdf","PDF")</f>
        <v>PDF</v>
      </c>
      <c r="K12928" s="12" t="s">
        <v>24513</v>
      </c>
      <c r="L12928" s="20">
        <v>0.52763819095477382</v>
      </c>
    </row>
    <row r="12929" spans="1:12" x14ac:dyDescent="0.45">
      <c r="A12929" s="12" t="s">
        <v>24391</v>
      </c>
      <c r="B12929" s="12" t="s">
        <v>3230</v>
      </c>
      <c r="C12929" s="13" t="s">
        <v>3231</v>
      </c>
      <c r="D12929" s="13" t="s">
        <v>179</v>
      </c>
      <c r="E12929" s="12" t="s">
        <v>16</v>
      </c>
      <c r="F12929" s="14">
        <v>550000</v>
      </c>
      <c r="G12929" s="14">
        <v>459500</v>
      </c>
      <c r="H12929" s="13" t="s">
        <v>24514</v>
      </c>
      <c r="I12929" s="40" t="s">
        <v>18</v>
      </c>
      <c r="J12929" s="40" t="str">
        <f>HYPERLINK("https://stock.pstatic.net/stock-research/company/64/20250428_company_948315000.pdf","PDF")</f>
        <v>PDF</v>
      </c>
      <c r="K12929" s="12" t="s">
        <v>24515</v>
      </c>
      <c r="L12929" s="20">
        <v>0.1969532100108814</v>
      </c>
    </row>
    <row r="12930" spans="1:12" x14ac:dyDescent="0.45">
      <c r="A12930" s="12" t="s">
        <v>24391</v>
      </c>
      <c r="B12930" s="12" t="s">
        <v>3584</v>
      </c>
      <c r="C12930" s="13" t="s">
        <v>3585</v>
      </c>
      <c r="D12930" s="13" t="s">
        <v>92</v>
      </c>
      <c r="E12930" s="12" t="s">
        <v>35</v>
      </c>
      <c r="F12930" s="14">
        <v>24000</v>
      </c>
      <c r="G12930" s="14">
        <v>18130</v>
      </c>
      <c r="H12930" s="13" t="s">
        <v>24516</v>
      </c>
      <c r="I12930" s="40" t="s">
        <v>18</v>
      </c>
      <c r="J12930" s="40" t="str">
        <f>HYPERLINK("https://stock.pstatic.net/stock-research/company/63/20250428_company_339755000.pdf","PDF")</f>
        <v>PDF</v>
      </c>
      <c r="K12930" s="12" t="s">
        <v>24517</v>
      </c>
      <c r="L12930" s="20">
        <v>0.3237727523441809</v>
      </c>
    </row>
    <row r="12931" spans="1:12" x14ac:dyDescent="0.45">
      <c r="A12931" s="12" t="s">
        <v>24391</v>
      </c>
      <c r="B12931" s="12" t="s">
        <v>2883</v>
      </c>
      <c r="C12931" s="13" t="s">
        <v>2884</v>
      </c>
      <c r="D12931" s="13" t="s">
        <v>92</v>
      </c>
      <c r="E12931" s="12" t="s">
        <v>35</v>
      </c>
      <c r="F12931" s="14">
        <v>79000</v>
      </c>
      <c r="G12931" s="14">
        <v>66000</v>
      </c>
      <c r="H12931" s="13" t="s">
        <v>24518</v>
      </c>
      <c r="I12931" s="40" t="s">
        <v>18</v>
      </c>
      <c r="J12931" s="40" t="str">
        <f>HYPERLINK("https://stock.pstatic.net/stock-research/company/63/20250428_company_940328000.pdf","PDF")</f>
        <v>PDF</v>
      </c>
      <c r="K12931" s="12" t="s">
        <v>24519</v>
      </c>
      <c r="L12931" s="20">
        <v>0.19696969696969699</v>
      </c>
    </row>
    <row r="12932" spans="1:12" x14ac:dyDescent="0.45">
      <c r="A12932" s="12" t="s">
        <v>24391</v>
      </c>
      <c r="B12932" s="12" t="s">
        <v>2435</v>
      </c>
      <c r="C12932" s="13" t="s">
        <v>2436</v>
      </c>
      <c r="D12932" s="13" t="s">
        <v>15</v>
      </c>
      <c r="E12932" s="12" t="s">
        <v>16</v>
      </c>
      <c r="F12932" s="14">
        <v>610000</v>
      </c>
      <c r="G12932" s="14">
        <v>403000</v>
      </c>
      <c r="H12932" s="13" t="s">
        <v>24520</v>
      </c>
      <c r="I12932" s="40" t="s">
        <v>18</v>
      </c>
      <c r="J12932" s="40" t="str">
        <f>HYPERLINK("https://stock.pstatic.net/stock-research/company/56/20250428_company_504704000.pdf","PDF")</f>
        <v>PDF</v>
      </c>
      <c r="K12932" s="12" t="s">
        <v>24521</v>
      </c>
      <c r="L12932" s="20">
        <v>0.51364764267990071</v>
      </c>
    </row>
    <row r="12933" spans="1:12" x14ac:dyDescent="0.45">
      <c r="A12933" s="12" t="s">
        <v>24391</v>
      </c>
      <c r="B12933" s="12" t="s">
        <v>577</v>
      </c>
      <c r="C12933" s="13" t="s">
        <v>578</v>
      </c>
      <c r="D12933" s="13" t="s">
        <v>23</v>
      </c>
      <c r="E12933" s="12" t="s">
        <v>16</v>
      </c>
      <c r="F12933" s="14">
        <v>340000</v>
      </c>
      <c r="G12933" s="14">
        <v>250000</v>
      </c>
      <c r="H12933" s="13" t="s">
        <v>24522</v>
      </c>
      <c r="I12933" s="40" t="s">
        <v>18</v>
      </c>
      <c r="J12933" s="40" t="str">
        <f>HYPERLINK("https://stock.pstatic.net/stock-research/company/21/20250428_company_749661000.pdf","PDF")</f>
        <v>PDF</v>
      </c>
      <c r="K12933" s="12" t="s">
        <v>24523</v>
      </c>
      <c r="L12933" s="20">
        <v>0.36</v>
      </c>
    </row>
    <row r="12934" spans="1:12" x14ac:dyDescent="0.45">
      <c r="A12934" s="12" t="s">
        <v>24391</v>
      </c>
      <c r="B12934" s="12" t="s">
        <v>2883</v>
      </c>
      <c r="C12934" s="13" t="s">
        <v>2884</v>
      </c>
      <c r="D12934" s="13" t="s">
        <v>23</v>
      </c>
      <c r="E12934" s="12" t="s">
        <v>16</v>
      </c>
      <c r="F12934" s="14">
        <v>92500</v>
      </c>
      <c r="G12934" s="14">
        <v>66000</v>
      </c>
      <c r="H12934" s="13" t="s">
        <v>24524</v>
      </c>
      <c r="I12934" s="40" t="s">
        <v>18</v>
      </c>
      <c r="J12934" s="40" t="str">
        <f>HYPERLINK("https://stock.pstatic.net/stock-research/company/21/20250428_company_885239000.pdf","PDF")</f>
        <v>PDF</v>
      </c>
      <c r="K12934" s="12" t="s">
        <v>24525</v>
      </c>
      <c r="L12934" s="20">
        <v>0.40151515151515149</v>
      </c>
    </row>
    <row r="12935" spans="1:12" x14ac:dyDescent="0.45">
      <c r="A12935" s="12" t="s">
        <v>24391</v>
      </c>
      <c r="B12935" s="12" t="s">
        <v>24526</v>
      </c>
      <c r="C12935" s="13" t="s">
        <v>24527</v>
      </c>
      <c r="D12935" s="13" t="s">
        <v>207</v>
      </c>
      <c r="E12935" s="12" t="s">
        <v>50</v>
      </c>
      <c r="F12935" s="13"/>
      <c r="G12935" s="13"/>
      <c r="H12935" s="13" t="s">
        <v>24528</v>
      </c>
      <c r="I12935" s="40" t="s">
        <v>18</v>
      </c>
      <c r="J12935" s="40" t="str">
        <f>HYPERLINK("https://stock.pstatic.net/stock-research/company/75/20250428_company_516701000.pdf","PDF")</f>
        <v>PDF</v>
      </c>
      <c r="K12935" s="12" t="s">
        <v>24529</v>
      </c>
    </row>
    <row r="12936" spans="1:12" x14ac:dyDescent="0.45">
      <c r="A12936" s="12" t="s">
        <v>24391</v>
      </c>
      <c r="B12936" s="12" t="s">
        <v>366</v>
      </c>
      <c r="C12936" s="13" t="s">
        <v>367</v>
      </c>
      <c r="D12936" s="13" t="s">
        <v>23</v>
      </c>
      <c r="E12936" s="12" t="s">
        <v>50</v>
      </c>
      <c r="F12936" s="14">
        <v>16000</v>
      </c>
      <c r="G12936" s="14">
        <v>15500</v>
      </c>
      <c r="H12936" s="13" t="s">
        <v>24530</v>
      </c>
      <c r="I12936" s="40" t="s">
        <v>18</v>
      </c>
      <c r="J12936" s="40" t="str">
        <f>HYPERLINK("https://stock.pstatic.net/stock-research/company/21/20250428_company_794923000.pdf","PDF")</f>
        <v>PDF</v>
      </c>
      <c r="K12936" s="12" t="s">
        <v>24531</v>
      </c>
      <c r="L12936" s="20">
        <v>3.2258064516129031E-2</v>
      </c>
    </row>
    <row r="12937" spans="1:12" x14ac:dyDescent="0.45">
      <c r="A12937" s="12" t="s">
        <v>24391</v>
      </c>
      <c r="B12937" s="12" t="s">
        <v>7544</v>
      </c>
      <c r="C12937" s="13" t="s">
        <v>7545</v>
      </c>
      <c r="D12937" s="13" t="s">
        <v>23</v>
      </c>
      <c r="E12937" s="12" t="s">
        <v>16</v>
      </c>
      <c r="F12937" s="14">
        <v>48000</v>
      </c>
      <c r="G12937" s="14">
        <v>39000</v>
      </c>
      <c r="H12937" s="13" t="s">
        <v>24532</v>
      </c>
      <c r="I12937" s="40" t="s">
        <v>18</v>
      </c>
      <c r="J12937" s="40" t="str">
        <f>HYPERLINK("https://stock.pstatic.net/stock-research/company/21/20250428_company_31686000.pdf","PDF")</f>
        <v>PDF</v>
      </c>
      <c r="K12937" s="12" t="s">
        <v>24533</v>
      </c>
      <c r="L12937" s="20">
        <v>0.23076923076923081</v>
      </c>
    </row>
    <row r="12938" spans="1:12" x14ac:dyDescent="0.45">
      <c r="A12938" s="12" t="s">
        <v>24391</v>
      </c>
      <c r="B12938" s="12" t="s">
        <v>3349</v>
      </c>
      <c r="C12938" s="13" t="s">
        <v>7707</v>
      </c>
      <c r="D12938" s="13" t="s">
        <v>34</v>
      </c>
      <c r="E12938" s="12" t="s">
        <v>35</v>
      </c>
      <c r="F12938" s="14">
        <v>29000</v>
      </c>
      <c r="G12938" s="14">
        <v>23600</v>
      </c>
      <c r="H12938" s="13" t="s">
        <v>24534</v>
      </c>
      <c r="I12938" s="40" t="s">
        <v>18</v>
      </c>
      <c r="J12938" s="40" t="str">
        <f>HYPERLINK("https://stock.pstatic.net/stock-research/company/61/20250428_company_1925000.pdf","PDF")</f>
        <v>PDF</v>
      </c>
      <c r="K12938" s="12" t="s">
        <v>24535</v>
      </c>
      <c r="L12938" s="20">
        <v>0.2288135593220339</v>
      </c>
    </row>
    <row r="12939" spans="1:12" x14ac:dyDescent="0.45">
      <c r="A12939" s="12" t="s">
        <v>24391</v>
      </c>
      <c r="B12939" s="12" t="s">
        <v>1765</v>
      </c>
      <c r="C12939" s="13" t="s">
        <v>1766</v>
      </c>
      <c r="D12939" s="13" t="s">
        <v>23</v>
      </c>
      <c r="E12939" s="12" t="s">
        <v>16</v>
      </c>
      <c r="F12939" s="14">
        <v>115000</v>
      </c>
      <c r="G12939" s="14">
        <v>88200</v>
      </c>
      <c r="H12939" s="13" t="s">
        <v>24536</v>
      </c>
      <c r="I12939" s="40" t="s">
        <v>18</v>
      </c>
      <c r="J12939" s="40" t="str">
        <f>HYPERLINK("https://stock.pstatic.net/stock-research/company/21/20250428_company_341365000.pdf","PDF")</f>
        <v>PDF</v>
      </c>
      <c r="K12939" s="12" t="s">
        <v>24537</v>
      </c>
      <c r="L12939" s="20">
        <v>0.30385487528344668</v>
      </c>
    </row>
    <row r="12940" spans="1:12" x14ac:dyDescent="0.45">
      <c r="A12940" s="12" t="s">
        <v>24391</v>
      </c>
      <c r="B12940" s="12" t="s">
        <v>10976</v>
      </c>
      <c r="C12940" s="13" t="s">
        <v>10977</v>
      </c>
      <c r="D12940" s="13" t="s">
        <v>23</v>
      </c>
      <c r="E12940" s="12" t="s">
        <v>16</v>
      </c>
      <c r="F12940" s="14">
        <v>74000</v>
      </c>
      <c r="G12940" s="14">
        <v>53100</v>
      </c>
      <c r="H12940" s="13" t="s">
        <v>24538</v>
      </c>
      <c r="I12940" s="40" t="s">
        <v>18</v>
      </c>
      <c r="J12940" s="40" t="str">
        <f>HYPERLINK("https://stock.pstatic.net/stock-research/company/21/20250428_company_218031000.pdf","PDF")</f>
        <v>PDF</v>
      </c>
      <c r="K12940" s="12" t="s">
        <v>24539</v>
      </c>
      <c r="L12940" s="20">
        <v>0.3935969868173258</v>
      </c>
    </row>
    <row r="12941" spans="1:12" x14ac:dyDescent="0.45">
      <c r="A12941" s="12" t="s">
        <v>24391</v>
      </c>
      <c r="B12941" s="12" t="s">
        <v>3482</v>
      </c>
      <c r="C12941" s="13" t="s">
        <v>3483</v>
      </c>
      <c r="D12941" s="13" t="s">
        <v>23</v>
      </c>
      <c r="E12941" s="12" t="s">
        <v>16</v>
      </c>
      <c r="F12941" s="14">
        <v>80000</v>
      </c>
      <c r="G12941" s="14">
        <v>61200</v>
      </c>
      <c r="H12941" s="13" t="s">
        <v>24540</v>
      </c>
      <c r="I12941" s="40" t="s">
        <v>18</v>
      </c>
      <c r="J12941" s="40" t="str">
        <f>HYPERLINK("https://stock.pstatic.net/stock-research/company/21/20250428_company_532687000.pdf","PDF")</f>
        <v>PDF</v>
      </c>
      <c r="K12941" s="12" t="s">
        <v>24541</v>
      </c>
      <c r="L12941" s="20">
        <v>0.30718954248366009</v>
      </c>
    </row>
    <row r="12942" spans="1:12" x14ac:dyDescent="0.45">
      <c r="A12942" s="12" t="s">
        <v>24391</v>
      </c>
      <c r="B12942" s="12" t="s">
        <v>3831</v>
      </c>
      <c r="C12942" s="13" t="s">
        <v>3832</v>
      </c>
      <c r="D12942" s="13" t="s">
        <v>92</v>
      </c>
      <c r="E12942" s="12" t="s">
        <v>35</v>
      </c>
      <c r="F12942" s="14">
        <v>51000</v>
      </c>
      <c r="G12942" s="14">
        <v>37050</v>
      </c>
      <c r="H12942" s="13" t="s">
        <v>24542</v>
      </c>
      <c r="I12942" s="40" t="s">
        <v>18</v>
      </c>
      <c r="J12942" s="40" t="str">
        <f>HYPERLINK("https://stock.pstatic.net/stock-research/company/63/20250428_company_197946000.pdf","PDF")</f>
        <v>PDF</v>
      </c>
      <c r="K12942" s="12" t="s">
        <v>24543</v>
      </c>
      <c r="L12942" s="20">
        <v>0.37651821862348178</v>
      </c>
    </row>
    <row r="12943" spans="1:12" x14ac:dyDescent="0.45">
      <c r="A12943" s="12" t="s">
        <v>24391</v>
      </c>
      <c r="B12943" s="12" t="s">
        <v>577</v>
      </c>
      <c r="C12943" s="13" t="s">
        <v>578</v>
      </c>
      <c r="D12943" s="13" t="s">
        <v>92</v>
      </c>
      <c r="E12943" s="12" t="s">
        <v>35</v>
      </c>
      <c r="F12943" s="14">
        <v>325000</v>
      </c>
      <c r="G12943" s="14">
        <v>250000</v>
      </c>
      <c r="H12943" s="13" t="s">
        <v>24544</v>
      </c>
      <c r="I12943" s="40" t="s">
        <v>18</v>
      </c>
      <c r="J12943" s="40" t="str">
        <f>HYPERLINK("https://stock.pstatic.net/stock-research/company/63/20250428_company_185644000.pdf","PDF")</f>
        <v>PDF</v>
      </c>
      <c r="K12943" s="12" t="s">
        <v>24545</v>
      </c>
      <c r="L12943" s="20">
        <v>0.3</v>
      </c>
    </row>
    <row r="12944" spans="1:12" x14ac:dyDescent="0.45">
      <c r="A12944" s="12" t="s">
        <v>24391</v>
      </c>
      <c r="B12944" s="12" t="s">
        <v>3230</v>
      </c>
      <c r="C12944" s="13" t="s">
        <v>3231</v>
      </c>
      <c r="D12944" s="13" t="s">
        <v>23</v>
      </c>
      <c r="E12944" s="12" t="s">
        <v>16</v>
      </c>
      <c r="F12944" s="14">
        <v>620000</v>
      </c>
      <c r="G12944" s="14">
        <v>459500</v>
      </c>
      <c r="H12944" s="13" t="s">
        <v>24546</v>
      </c>
      <c r="I12944" s="40" t="s">
        <v>18</v>
      </c>
      <c r="J12944" s="40" t="str">
        <f>HYPERLINK("https://stock.pstatic.net/stock-research/company/21/20250428_company_679988000.pdf","PDF")</f>
        <v>PDF</v>
      </c>
      <c r="K12944" s="12" t="s">
        <v>24547</v>
      </c>
      <c r="L12944" s="20">
        <v>0.34929270946681168</v>
      </c>
    </row>
    <row r="12945" spans="1:12" x14ac:dyDescent="0.45">
      <c r="A12945" s="12" t="s">
        <v>24391</v>
      </c>
      <c r="B12945" s="12" t="s">
        <v>2944</v>
      </c>
      <c r="C12945" s="13" t="s">
        <v>2945</v>
      </c>
      <c r="D12945" s="13" t="s">
        <v>23</v>
      </c>
      <c r="E12945" s="12" t="s">
        <v>16</v>
      </c>
      <c r="F12945" s="14">
        <v>13000</v>
      </c>
      <c r="G12945" s="14">
        <v>10570</v>
      </c>
      <c r="H12945" s="13" t="s">
        <v>24548</v>
      </c>
      <c r="I12945" s="40" t="s">
        <v>18</v>
      </c>
      <c r="J12945" s="40" t="str">
        <f>HYPERLINK("https://stock.pstatic.net/stock-research/company/21/20250428_company_398560000.pdf","PDF")</f>
        <v>PDF</v>
      </c>
      <c r="K12945" s="12" t="s">
        <v>24549</v>
      </c>
      <c r="L12945" s="20">
        <v>0.22989593188268681</v>
      </c>
    </row>
    <row r="12946" spans="1:12" x14ac:dyDescent="0.45">
      <c r="A12946" s="12" t="s">
        <v>24391</v>
      </c>
      <c r="B12946" s="12" t="s">
        <v>3831</v>
      </c>
      <c r="C12946" s="13" t="s">
        <v>3832</v>
      </c>
      <c r="D12946" s="13" t="s">
        <v>15</v>
      </c>
      <c r="E12946" s="12" t="s">
        <v>16</v>
      </c>
      <c r="F12946" s="14">
        <v>52000</v>
      </c>
      <c r="G12946" s="14">
        <v>37050</v>
      </c>
      <c r="H12946" s="13" t="s">
        <v>24550</v>
      </c>
      <c r="I12946" s="40" t="s">
        <v>18</v>
      </c>
      <c r="J12946" s="40" t="str">
        <f>HYPERLINK("https://stock.pstatic.net/stock-research/company/29/20250428_company_4582000.pdf","PDF")</f>
        <v>PDF</v>
      </c>
      <c r="K12946" s="12" t="s">
        <v>24551</v>
      </c>
      <c r="L12946" s="20">
        <v>0.40350877192982448</v>
      </c>
    </row>
    <row r="12947" spans="1:12" x14ac:dyDescent="0.45">
      <c r="A12947" s="12" t="s">
        <v>24391</v>
      </c>
      <c r="B12947" s="12" t="s">
        <v>3488</v>
      </c>
      <c r="C12947" s="13" t="s">
        <v>3489</v>
      </c>
      <c r="D12947" s="13" t="s">
        <v>23</v>
      </c>
      <c r="E12947" s="12" t="s">
        <v>16</v>
      </c>
      <c r="F12947" s="14">
        <v>21000</v>
      </c>
      <c r="G12947" s="14">
        <v>17300</v>
      </c>
      <c r="H12947" s="13" t="s">
        <v>14421</v>
      </c>
      <c r="I12947" s="40" t="s">
        <v>18</v>
      </c>
      <c r="J12947" s="40" t="str">
        <f>HYPERLINK("https://stock.pstatic.net/stock-research/company/21/20250428_company_491051000.pdf","PDF")</f>
        <v>PDF</v>
      </c>
      <c r="K12947" s="12" t="s">
        <v>24552</v>
      </c>
      <c r="L12947" s="20">
        <v>0.2138728323699422</v>
      </c>
    </row>
    <row r="12948" spans="1:12" x14ac:dyDescent="0.45">
      <c r="A12948" s="12" t="s">
        <v>24391</v>
      </c>
      <c r="B12948" s="12" t="s">
        <v>1765</v>
      </c>
      <c r="C12948" s="13" t="s">
        <v>1766</v>
      </c>
      <c r="D12948" s="13" t="s">
        <v>92</v>
      </c>
      <c r="E12948" s="12" t="s">
        <v>35</v>
      </c>
      <c r="F12948" s="14">
        <v>120000</v>
      </c>
      <c r="G12948" s="14">
        <v>88200</v>
      </c>
      <c r="H12948" s="13" t="s">
        <v>24553</v>
      </c>
      <c r="I12948" s="40" t="s">
        <v>18</v>
      </c>
      <c r="J12948" s="40" t="str">
        <f>HYPERLINK("https://stock.pstatic.net/stock-research/company/63/20250428_company_196106000.pdf","PDF")</f>
        <v>PDF</v>
      </c>
      <c r="K12948" s="12" t="s">
        <v>24554</v>
      </c>
      <c r="L12948" s="20">
        <v>0.36054421768707479</v>
      </c>
    </row>
    <row r="12949" spans="1:12" x14ac:dyDescent="0.45">
      <c r="A12949" s="12" t="s">
        <v>24391</v>
      </c>
      <c r="B12949" s="12" t="s">
        <v>2369</v>
      </c>
      <c r="C12949" s="13" t="s">
        <v>2370</v>
      </c>
      <c r="D12949" s="13" t="s">
        <v>23</v>
      </c>
      <c r="E12949" s="12" t="s">
        <v>16</v>
      </c>
      <c r="F12949" s="14">
        <v>250000</v>
      </c>
      <c r="G12949" s="14">
        <v>185100</v>
      </c>
      <c r="H12949" s="13" t="s">
        <v>24555</v>
      </c>
      <c r="I12949" s="40" t="s">
        <v>18</v>
      </c>
      <c r="J12949" s="40" t="str">
        <f>HYPERLINK("https://stock.pstatic.net/stock-research/company/21/20250428_company_809221000.pdf","PDF")</f>
        <v>PDF</v>
      </c>
      <c r="K12949" s="12" t="s">
        <v>24556</v>
      </c>
      <c r="L12949" s="20">
        <v>0.35062128579146412</v>
      </c>
    </row>
    <row r="12950" spans="1:12" x14ac:dyDescent="0.45">
      <c r="A12950" s="12" t="s">
        <v>24391</v>
      </c>
      <c r="B12950" s="12" t="s">
        <v>2369</v>
      </c>
      <c r="C12950" s="13" t="s">
        <v>2370</v>
      </c>
      <c r="D12950" s="13" t="s">
        <v>44</v>
      </c>
      <c r="E12950" s="12" t="s">
        <v>35</v>
      </c>
      <c r="F12950" s="14">
        <v>260000</v>
      </c>
      <c r="G12950" s="14">
        <v>185100</v>
      </c>
      <c r="H12950" s="13" t="s">
        <v>24557</v>
      </c>
      <c r="I12950" s="40" t="s">
        <v>18</v>
      </c>
      <c r="J12950" s="40" t="str">
        <f>HYPERLINK("https://stock.pstatic.net/stock-research/company/39/20250428_company_697466000.pdf","PDF")</f>
        <v>PDF</v>
      </c>
      <c r="K12950" s="12" t="s">
        <v>24558</v>
      </c>
      <c r="L12950" s="20">
        <v>0.40464613722312259</v>
      </c>
    </row>
    <row r="12951" spans="1:12" x14ac:dyDescent="0.45">
      <c r="A12951" s="12" t="s">
        <v>24391</v>
      </c>
      <c r="B12951" s="12" t="s">
        <v>1081</v>
      </c>
      <c r="C12951" s="13" t="s">
        <v>1082</v>
      </c>
      <c r="D12951" s="13" t="s">
        <v>179</v>
      </c>
      <c r="E12951" s="12" t="s">
        <v>16</v>
      </c>
      <c r="F12951" s="14">
        <v>1300000</v>
      </c>
      <c r="G12951" s="14">
        <v>1035000</v>
      </c>
      <c r="H12951" s="13" t="s">
        <v>24559</v>
      </c>
      <c r="I12951" s="40" t="s">
        <v>18</v>
      </c>
      <c r="J12951" s="40" t="str">
        <f>HYPERLINK("https://stock.pstatic.net/stock-research/company/31/20250428_company_873039000.pdf","PDF")</f>
        <v>PDF</v>
      </c>
      <c r="K12951" s="12" t="s">
        <v>24560</v>
      </c>
      <c r="L12951" s="20">
        <v>0.2560386473429952</v>
      </c>
    </row>
    <row r="12952" spans="1:12" x14ac:dyDescent="0.45">
      <c r="A12952" s="12" t="s">
        <v>24391</v>
      </c>
      <c r="B12952" s="12" t="s">
        <v>577</v>
      </c>
      <c r="C12952" s="13" t="s">
        <v>578</v>
      </c>
      <c r="D12952" s="13" t="s">
        <v>179</v>
      </c>
      <c r="E12952" s="12" t="s">
        <v>16</v>
      </c>
      <c r="F12952" s="14">
        <v>310000</v>
      </c>
      <c r="G12952" s="14">
        <v>250000</v>
      </c>
      <c r="H12952" s="13" t="s">
        <v>24561</v>
      </c>
      <c r="I12952" s="40" t="s">
        <v>18</v>
      </c>
      <c r="J12952" s="40" t="str">
        <f>HYPERLINK("https://stock.pstatic.net/stock-research/company/31/20250428_company_650082000.pdf","PDF")</f>
        <v>PDF</v>
      </c>
      <c r="K12952" s="12" t="s">
        <v>24562</v>
      </c>
      <c r="L12952" s="20">
        <v>0.24</v>
      </c>
    </row>
    <row r="12953" spans="1:12" x14ac:dyDescent="0.45">
      <c r="A12953" s="12" t="s">
        <v>24391</v>
      </c>
      <c r="B12953" s="12" t="s">
        <v>2960</v>
      </c>
      <c r="C12953" s="13" t="s">
        <v>2961</v>
      </c>
      <c r="D12953" s="13" t="s">
        <v>23</v>
      </c>
      <c r="E12953" s="12" t="s">
        <v>50</v>
      </c>
      <c r="F12953" s="14">
        <v>41000</v>
      </c>
      <c r="G12953" s="14">
        <v>39100</v>
      </c>
      <c r="H12953" s="13" t="s">
        <v>24563</v>
      </c>
      <c r="I12953" s="40" t="s">
        <v>18</v>
      </c>
      <c r="J12953" s="40" t="str">
        <f>HYPERLINK("https://stock.pstatic.net/stock-research/company/21/20250428_company_477440000.pdf","PDF")</f>
        <v>PDF</v>
      </c>
      <c r="K12953" s="12" t="s">
        <v>24564</v>
      </c>
      <c r="L12953" s="20">
        <v>4.859335038363171E-2</v>
      </c>
    </row>
    <row r="12954" spans="1:12" x14ac:dyDescent="0.45">
      <c r="A12954" s="12" t="s">
        <v>24391</v>
      </c>
      <c r="B12954" s="12" t="s">
        <v>1734</v>
      </c>
      <c r="C12954" s="13" t="s">
        <v>1735</v>
      </c>
      <c r="D12954" s="13" t="s">
        <v>23</v>
      </c>
      <c r="E12954" s="12" t="s">
        <v>16</v>
      </c>
      <c r="F12954" s="14">
        <v>50000</v>
      </c>
      <c r="G12954" s="14">
        <v>37800</v>
      </c>
      <c r="H12954" s="13" t="s">
        <v>24565</v>
      </c>
      <c r="I12954" s="40" t="s">
        <v>18</v>
      </c>
      <c r="J12954" s="40" t="str">
        <f>HYPERLINK("https://stock.pstatic.net/stock-research/company/21/20250428_company_502864000.pdf","PDF")</f>
        <v>PDF</v>
      </c>
      <c r="K12954" s="12" t="s">
        <v>24566</v>
      </c>
      <c r="L12954" s="20">
        <v>0.32275132275132268</v>
      </c>
    </row>
    <row r="12955" spans="1:12" x14ac:dyDescent="0.45">
      <c r="A12955" s="12" t="s">
        <v>24391</v>
      </c>
      <c r="B12955" s="12" t="s">
        <v>1765</v>
      </c>
      <c r="C12955" s="13" t="s">
        <v>1766</v>
      </c>
      <c r="D12955" s="13" t="s">
        <v>53</v>
      </c>
      <c r="E12955" s="12" t="s">
        <v>16</v>
      </c>
      <c r="F12955" s="14">
        <v>140000</v>
      </c>
      <c r="G12955" s="14">
        <v>88200</v>
      </c>
      <c r="H12955" s="13" t="s">
        <v>24567</v>
      </c>
      <c r="I12955" s="40" t="s">
        <v>18</v>
      </c>
      <c r="J12955" s="40" t="str">
        <f>HYPERLINK("https://stock.pstatic.net/stock-research/company/40/20250428_company_67500000.pdf","PDF")</f>
        <v>PDF</v>
      </c>
      <c r="K12955" s="12" t="s">
        <v>24568</v>
      </c>
      <c r="L12955" s="20">
        <v>0.58730158730158732</v>
      </c>
    </row>
    <row r="12956" spans="1:12" x14ac:dyDescent="0.45">
      <c r="A12956" s="12" t="s">
        <v>24391</v>
      </c>
      <c r="B12956" s="12" t="s">
        <v>3536</v>
      </c>
      <c r="C12956" s="13" t="s">
        <v>3537</v>
      </c>
      <c r="D12956" s="13" t="s">
        <v>23</v>
      </c>
      <c r="E12956" s="12" t="s">
        <v>16</v>
      </c>
      <c r="F12956" s="14">
        <v>310000</v>
      </c>
      <c r="G12956" s="14">
        <v>213500</v>
      </c>
      <c r="H12956" s="13" t="s">
        <v>24569</v>
      </c>
      <c r="I12956" s="40" t="s">
        <v>18</v>
      </c>
      <c r="J12956" s="40" t="str">
        <f>HYPERLINK("https://stock.pstatic.net/stock-research/company/21/20250428_company_612066000.pdf","PDF")</f>
        <v>PDF</v>
      </c>
      <c r="K12956" s="12" t="s">
        <v>24570</v>
      </c>
      <c r="L12956" s="20">
        <v>0.45199063231850117</v>
      </c>
    </row>
    <row r="12957" spans="1:12" x14ac:dyDescent="0.45">
      <c r="A12957" s="12" t="s">
        <v>24391</v>
      </c>
      <c r="B12957" s="12" t="s">
        <v>3831</v>
      </c>
      <c r="C12957" s="13" t="s">
        <v>3832</v>
      </c>
      <c r="D12957" s="13" t="s">
        <v>23</v>
      </c>
      <c r="E12957" s="12" t="s">
        <v>16</v>
      </c>
      <c r="F12957" s="14">
        <v>51000</v>
      </c>
      <c r="G12957" s="14">
        <v>37050</v>
      </c>
      <c r="H12957" s="13" t="s">
        <v>24571</v>
      </c>
      <c r="I12957" s="40" t="s">
        <v>18</v>
      </c>
      <c r="J12957" s="40" t="str">
        <f>HYPERLINK("https://stock.pstatic.net/stock-research/company/21/20250428_company_390409000.pdf","PDF")</f>
        <v>PDF</v>
      </c>
      <c r="K12957" s="12" t="s">
        <v>24572</v>
      </c>
      <c r="L12957" s="20">
        <v>0.37651821862348178</v>
      </c>
    </row>
    <row r="12958" spans="1:12" x14ac:dyDescent="0.45">
      <c r="A12958" s="12" t="s">
        <v>24391</v>
      </c>
      <c r="B12958" s="12" t="s">
        <v>1765</v>
      </c>
      <c r="C12958" s="13" t="s">
        <v>1766</v>
      </c>
      <c r="D12958" s="13" t="s">
        <v>179</v>
      </c>
      <c r="E12958" s="12" t="s">
        <v>16</v>
      </c>
      <c r="F12958" s="14">
        <v>125000</v>
      </c>
      <c r="G12958" s="14">
        <v>88200</v>
      </c>
      <c r="H12958" s="13" t="s">
        <v>24573</v>
      </c>
      <c r="I12958" s="40" t="s">
        <v>18</v>
      </c>
      <c r="J12958" s="40" t="str">
        <f>HYPERLINK("https://stock.pstatic.net/stock-research/company/31/20250428_company_317362000.pdf","PDF")</f>
        <v>PDF</v>
      </c>
      <c r="K12958" s="12" t="s">
        <v>24574</v>
      </c>
      <c r="L12958" s="20">
        <v>0.41723356009070289</v>
      </c>
    </row>
    <row r="12959" spans="1:12" x14ac:dyDescent="0.45">
      <c r="A12959" s="12" t="s">
        <v>24391</v>
      </c>
      <c r="B12959" s="12" t="s">
        <v>2369</v>
      </c>
      <c r="C12959" s="13" t="s">
        <v>2370</v>
      </c>
      <c r="D12959" s="13" t="s">
        <v>53</v>
      </c>
      <c r="E12959" s="12" t="s">
        <v>16</v>
      </c>
      <c r="F12959" s="14">
        <v>300000</v>
      </c>
      <c r="G12959" s="14">
        <v>185100</v>
      </c>
      <c r="H12959" s="13" t="s">
        <v>24575</v>
      </c>
      <c r="I12959" s="40" t="s">
        <v>18</v>
      </c>
      <c r="J12959" s="40" t="str">
        <f>HYPERLINK("https://stock.pstatic.net/stock-research/company/40/20250428_company_666100000.pdf","PDF")</f>
        <v>PDF</v>
      </c>
      <c r="K12959" s="12" t="s">
        <v>24576</v>
      </c>
      <c r="L12959" s="20">
        <v>0.62074554294975692</v>
      </c>
    </row>
    <row r="12960" spans="1:12" x14ac:dyDescent="0.45">
      <c r="A12960" s="12" t="s">
        <v>24391</v>
      </c>
      <c r="B12960" s="12" t="s">
        <v>3478</v>
      </c>
      <c r="C12960" s="13" t="s">
        <v>3479</v>
      </c>
      <c r="D12960" s="13" t="s">
        <v>23</v>
      </c>
      <c r="E12960" s="12" t="s">
        <v>16</v>
      </c>
      <c r="F12960" s="14">
        <v>30000</v>
      </c>
      <c r="G12960" s="14">
        <v>24050</v>
      </c>
      <c r="H12960" s="13" t="s">
        <v>1841</v>
      </c>
      <c r="I12960" s="40" t="s">
        <v>18</v>
      </c>
      <c r="J12960" s="40" t="str">
        <f>HYPERLINK("https://stock.pstatic.net/stock-research/company/21/20250428_company_357149000.pdf","PDF")</f>
        <v>PDF</v>
      </c>
      <c r="K12960" s="12" t="s">
        <v>24577</v>
      </c>
      <c r="L12960" s="20">
        <v>0.24740124740124739</v>
      </c>
    </row>
    <row r="12961" spans="1:12" x14ac:dyDescent="0.45">
      <c r="A12961" s="12" t="s">
        <v>24391</v>
      </c>
      <c r="B12961" s="12" t="s">
        <v>3492</v>
      </c>
      <c r="C12961" s="13" t="s">
        <v>3493</v>
      </c>
      <c r="D12961" s="13" t="s">
        <v>23</v>
      </c>
      <c r="E12961" s="12" t="s">
        <v>16</v>
      </c>
      <c r="F12961" s="14">
        <v>18000</v>
      </c>
      <c r="G12961" s="14">
        <v>14970</v>
      </c>
      <c r="H12961" s="13" t="s">
        <v>24578</v>
      </c>
      <c r="I12961" s="40" t="s">
        <v>18</v>
      </c>
      <c r="J12961" s="40" t="str">
        <f>HYPERLINK("https://stock.pstatic.net/stock-research/company/21/20250428_company_117562000.pdf","PDF")</f>
        <v>PDF</v>
      </c>
      <c r="K12961" s="12" t="s">
        <v>24579</v>
      </c>
      <c r="L12961" s="20">
        <v>0.20240480961923851</v>
      </c>
    </row>
    <row r="12962" spans="1:12" x14ac:dyDescent="0.45">
      <c r="A12962" s="12" t="s">
        <v>24391</v>
      </c>
      <c r="B12962" s="12" t="s">
        <v>334</v>
      </c>
      <c r="C12962" s="13" t="s">
        <v>335</v>
      </c>
      <c r="D12962" s="13" t="s">
        <v>44</v>
      </c>
      <c r="E12962" s="12" t="s">
        <v>35</v>
      </c>
      <c r="F12962" s="14">
        <v>260000</v>
      </c>
      <c r="G12962" s="14">
        <v>184400</v>
      </c>
      <c r="H12962" s="13" t="s">
        <v>24580</v>
      </c>
      <c r="I12962" s="40" t="s">
        <v>18</v>
      </c>
      <c r="J12962" s="40" t="str">
        <f>HYPERLINK("https://stock.pstatic.net/stock-research/company/39/20250428_company_834993000.pdf","PDF")</f>
        <v>PDF</v>
      </c>
      <c r="K12962" s="12" t="s">
        <v>24581</v>
      </c>
      <c r="L12962" s="20">
        <v>0.40997830802603041</v>
      </c>
    </row>
    <row r="12963" spans="1:12" x14ac:dyDescent="0.45">
      <c r="A12963" s="12" t="s">
        <v>24391</v>
      </c>
      <c r="B12963" s="12" t="s">
        <v>4927</v>
      </c>
      <c r="C12963" s="13" t="s">
        <v>4928</v>
      </c>
      <c r="D12963" s="13" t="s">
        <v>34</v>
      </c>
      <c r="E12963" s="12" t="s">
        <v>50</v>
      </c>
      <c r="F12963" s="13"/>
      <c r="G12963" s="14">
        <v>94800</v>
      </c>
      <c r="H12963" s="13" t="s">
        <v>24582</v>
      </c>
      <c r="I12963" s="40" t="s">
        <v>18</v>
      </c>
      <c r="J12963" s="40" t="str">
        <f>HYPERLINK("https://stock.pstatic.net/stock-research/company/61/20250428_company_810316000.pdf","PDF")</f>
        <v>PDF</v>
      </c>
      <c r="K12963" s="12" t="s">
        <v>24583</v>
      </c>
    </row>
    <row r="12964" spans="1:12" x14ac:dyDescent="0.45">
      <c r="A12964" s="12" t="s">
        <v>24391</v>
      </c>
      <c r="B12964" s="12" t="s">
        <v>698</v>
      </c>
      <c r="C12964" s="13" t="s">
        <v>699</v>
      </c>
      <c r="D12964" s="13" t="s">
        <v>34</v>
      </c>
      <c r="E12964" s="12" t="s">
        <v>35</v>
      </c>
      <c r="F12964" s="14">
        <v>200000</v>
      </c>
      <c r="G12964" s="14">
        <v>131700</v>
      </c>
      <c r="H12964" s="13" t="s">
        <v>24584</v>
      </c>
      <c r="I12964" s="40" t="s">
        <v>18</v>
      </c>
      <c r="J12964" s="40" t="str">
        <f>HYPERLINK("https://stock.pstatic.net/stock-research/company/61/20250428_company_943841000.pdf","PDF")</f>
        <v>PDF</v>
      </c>
      <c r="K12964" s="12" t="s">
        <v>24585</v>
      </c>
      <c r="L12964" s="20">
        <v>0.51860288534548216</v>
      </c>
    </row>
    <row r="12965" spans="1:12" x14ac:dyDescent="0.45">
      <c r="A12965" s="12" t="s">
        <v>24391</v>
      </c>
      <c r="B12965" s="12" t="s">
        <v>2944</v>
      </c>
      <c r="C12965" s="13" t="s">
        <v>2945</v>
      </c>
      <c r="D12965" s="13" t="s">
        <v>44</v>
      </c>
      <c r="E12965" s="12" t="s">
        <v>35</v>
      </c>
      <c r="F12965" s="14">
        <v>15000</v>
      </c>
      <c r="G12965" s="14">
        <v>10570</v>
      </c>
      <c r="H12965" s="13" t="s">
        <v>24586</v>
      </c>
      <c r="I12965" s="40" t="s">
        <v>18</v>
      </c>
      <c r="J12965" s="40" t="str">
        <f>HYPERLINK("https://stock.pstatic.net/stock-research/company/1/20250428_company_631455000.pdf","PDF")</f>
        <v>PDF</v>
      </c>
      <c r="K12965" s="12" t="s">
        <v>24587</v>
      </c>
      <c r="L12965" s="20">
        <v>0.41911069063386952</v>
      </c>
    </row>
    <row r="12966" spans="1:12" x14ac:dyDescent="0.45">
      <c r="A12966" s="12" t="s">
        <v>24391</v>
      </c>
      <c r="B12966" s="12" t="s">
        <v>3492</v>
      </c>
      <c r="C12966" s="13" t="s">
        <v>3493</v>
      </c>
      <c r="D12966" s="13" t="s">
        <v>44</v>
      </c>
      <c r="E12966" s="12" t="s">
        <v>35</v>
      </c>
      <c r="F12966" s="14">
        <v>20000</v>
      </c>
      <c r="G12966" s="14">
        <v>14970</v>
      </c>
      <c r="H12966" s="13" t="s">
        <v>24588</v>
      </c>
      <c r="I12966" s="40" t="s">
        <v>18</v>
      </c>
      <c r="J12966" s="40" t="str">
        <f>HYPERLINK("https://stock.pstatic.net/stock-research/company/39/20250428_company_24173000.pdf","PDF")</f>
        <v>PDF</v>
      </c>
      <c r="K12966" s="12" t="s">
        <v>24589</v>
      </c>
      <c r="L12966" s="20">
        <v>0.33600534402137611</v>
      </c>
    </row>
    <row r="12967" spans="1:12" x14ac:dyDescent="0.45">
      <c r="A12967" s="12" t="s">
        <v>24391</v>
      </c>
      <c r="B12967" s="12" t="s">
        <v>3488</v>
      </c>
      <c r="C12967" s="13" t="s">
        <v>3489</v>
      </c>
      <c r="D12967" s="13" t="s">
        <v>44</v>
      </c>
      <c r="E12967" s="12" t="s">
        <v>35</v>
      </c>
      <c r="F12967" s="14">
        <v>22000</v>
      </c>
      <c r="G12967" s="14">
        <v>17300</v>
      </c>
      <c r="H12967" s="13" t="s">
        <v>24590</v>
      </c>
      <c r="I12967" s="40" t="s">
        <v>18</v>
      </c>
      <c r="J12967" s="40" t="str">
        <f>HYPERLINK("https://stock.pstatic.net/stock-research/company/39/20250428_company_217454000.pdf","PDF")</f>
        <v>PDF</v>
      </c>
      <c r="K12967" s="12" t="s">
        <v>24591</v>
      </c>
      <c r="L12967" s="20">
        <v>0.27167630057803471</v>
      </c>
    </row>
    <row r="12968" spans="1:12" x14ac:dyDescent="0.45">
      <c r="A12968" s="12" t="s">
        <v>24391</v>
      </c>
      <c r="B12968" s="12" t="s">
        <v>106</v>
      </c>
      <c r="C12968" s="13" t="s">
        <v>107</v>
      </c>
      <c r="D12968" s="13" t="s">
        <v>34</v>
      </c>
      <c r="E12968" s="12" t="s">
        <v>50</v>
      </c>
      <c r="F12968" s="13"/>
      <c r="G12968" s="14">
        <v>39900</v>
      </c>
      <c r="H12968" s="13" t="s">
        <v>24592</v>
      </c>
      <c r="I12968" s="40" t="s">
        <v>18</v>
      </c>
      <c r="J12968" s="40" t="str">
        <f>HYPERLINK("https://stock.pstatic.net/stock-research/company/61/20250428_company_361834000.pdf","PDF")</f>
        <v>PDF</v>
      </c>
      <c r="K12968" s="12" t="s">
        <v>24593</v>
      </c>
    </row>
    <row r="12969" spans="1:12" x14ac:dyDescent="0.45">
      <c r="A12969" s="12" t="s">
        <v>24391</v>
      </c>
      <c r="B12969" s="12" t="s">
        <v>3688</v>
      </c>
      <c r="C12969" s="13" t="s">
        <v>3689</v>
      </c>
      <c r="D12969" s="13" t="s">
        <v>179</v>
      </c>
      <c r="E12969" s="12" t="s">
        <v>16</v>
      </c>
      <c r="F12969" s="14">
        <v>73000</v>
      </c>
      <c r="G12969" s="14">
        <v>49750</v>
      </c>
      <c r="H12969" s="13" t="s">
        <v>24594</v>
      </c>
      <c r="I12969" s="40" t="s">
        <v>18</v>
      </c>
      <c r="J12969" s="40" t="str">
        <f>HYPERLINK("https://stock.pstatic.net/stock-research/company/31/20250428_company_151332000.pdf","PDF")</f>
        <v>PDF</v>
      </c>
      <c r="K12969" s="12" t="s">
        <v>24595</v>
      </c>
      <c r="L12969" s="20">
        <v>0.46733668341708551</v>
      </c>
    </row>
    <row r="12970" spans="1:12" x14ac:dyDescent="0.45">
      <c r="A12970" s="12" t="s">
        <v>24391</v>
      </c>
      <c r="B12970" s="12" t="s">
        <v>2369</v>
      </c>
      <c r="C12970" s="13" t="s">
        <v>2370</v>
      </c>
      <c r="D12970" s="13" t="s">
        <v>34</v>
      </c>
      <c r="E12970" s="12" t="s">
        <v>35</v>
      </c>
      <c r="F12970" s="14">
        <v>270000</v>
      </c>
      <c r="G12970" s="14">
        <v>185100</v>
      </c>
      <c r="H12970" s="13" t="s">
        <v>24596</v>
      </c>
      <c r="I12970" s="40" t="s">
        <v>18</v>
      </c>
      <c r="J12970" s="40" t="str">
        <f>HYPERLINK("https://stock.pstatic.net/stock-research/company/1/20250428_company_910989000.pdf","PDF")</f>
        <v>PDF</v>
      </c>
      <c r="K12970" s="12" t="s">
        <v>24597</v>
      </c>
      <c r="L12970" s="20">
        <v>0.45867098865478118</v>
      </c>
    </row>
    <row r="12971" spans="1:12" x14ac:dyDescent="0.45">
      <c r="A12971" s="12" t="s">
        <v>24391</v>
      </c>
      <c r="B12971" s="12" t="s">
        <v>14332</v>
      </c>
      <c r="C12971" s="13" t="s">
        <v>14333</v>
      </c>
      <c r="D12971" s="13" t="s">
        <v>179</v>
      </c>
      <c r="E12971" s="12" t="s">
        <v>16</v>
      </c>
      <c r="F12971" s="14">
        <v>48000</v>
      </c>
      <c r="G12971" s="14">
        <v>41550</v>
      </c>
      <c r="H12971" s="13" t="s">
        <v>24598</v>
      </c>
      <c r="I12971" s="40" t="s">
        <v>18</v>
      </c>
      <c r="J12971" s="40" t="str">
        <f>HYPERLINK("https://stock.pstatic.net/stock-research/company/31/20250428_company_817823000.pdf","PDF")</f>
        <v>PDF</v>
      </c>
      <c r="K12971" s="12" t="s">
        <v>24599</v>
      </c>
      <c r="L12971" s="20">
        <v>0.1552346570397112</v>
      </c>
    </row>
    <row r="12972" spans="1:12" x14ac:dyDescent="0.45">
      <c r="A12972" s="12" t="s">
        <v>24391</v>
      </c>
      <c r="B12972" s="12" t="s">
        <v>3488</v>
      </c>
      <c r="C12972" s="13" t="s">
        <v>3489</v>
      </c>
      <c r="D12972" s="13" t="s">
        <v>179</v>
      </c>
      <c r="E12972" s="12" t="s">
        <v>16</v>
      </c>
      <c r="F12972" s="14">
        <v>20000</v>
      </c>
      <c r="G12972" s="14">
        <v>17300</v>
      </c>
      <c r="H12972" s="13" t="s">
        <v>24600</v>
      </c>
      <c r="I12972" s="40" t="s">
        <v>18</v>
      </c>
      <c r="J12972" s="40" t="str">
        <f>HYPERLINK("https://stock.pstatic.net/stock-research/company/31/20250428_company_8691000.pdf","PDF")</f>
        <v>PDF</v>
      </c>
      <c r="K12972" s="12" t="s">
        <v>24601</v>
      </c>
      <c r="L12972" s="20">
        <v>0.15606936416184969</v>
      </c>
    </row>
    <row r="12973" spans="1:12" x14ac:dyDescent="0.45">
      <c r="A12973" s="12" t="s">
        <v>24391</v>
      </c>
      <c r="B12973" s="12" t="s">
        <v>3482</v>
      </c>
      <c r="C12973" s="13" t="s">
        <v>3483</v>
      </c>
      <c r="D12973" s="13" t="s">
        <v>44</v>
      </c>
      <c r="E12973" s="12" t="s">
        <v>35</v>
      </c>
      <c r="F12973" s="14">
        <v>86000</v>
      </c>
      <c r="G12973" s="14">
        <v>61200</v>
      </c>
      <c r="H12973" s="13" t="s">
        <v>24602</v>
      </c>
      <c r="I12973" s="40" t="s">
        <v>18</v>
      </c>
      <c r="J12973" s="40" t="str">
        <f>HYPERLINK("https://stock.pstatic.net/stock-research/company/39/20250428_company_200888000.pdf","PDF")</f>
        <v>PDF</v>
      </c>
      <c r="K12973" s="12" t="s">
        <v>24603</v>
      </c>
      <c r="L12973" s="20">
        <v>0.40522875816993459</v>
      </c>
    </row>
    <row r="12974" spans="1:12" x14ac:dyDescent="0.45">
      <c r="A12974" s="12" t="s">
        <v>24391</v>
      </c>
      <c r="B12974" s="12" t="s">
        <v>3688</v>
      </c>
      <c r="C12974" s="13" t="s">
        <v>3689</v>
      </c>
      <c r="D12974" s="13" t="s">
        <v>44</v>
      </c>
      <c r="E12974" s="12" t="s">
        <v>35</v>
      </c>
      <c r="F12974" s="14">
        <v>76000</v>
      </c>
      <c r="G12974" s="14">
        <v>49750</v>
      </c>
      <c r="H12974" s="13" t="s">
        <v>24604</v>
      </c>
      <c r="I12974" s="40" t="s">
        <v>18</v>
      </c>
      <c r="J12974" s="40" t="str">
        <f>HYPERLINK("https://stock.pstatic.net/stock-research/company/39/20250428_company_648076000.pdf","PDF")</f>
        <v>PDF</v>
      </c>
      <c r="K12974" s="12" t="s">
        <v>24605</v>
      </c>
      <c r="L12974" s="20">
        <v>0.52763819095477382</v>
      </c>
    </row>
    <row r="12975" spans="1:12" x14ac:dyDescent="0.45">
      <c r="A12975" s="12" t="s">
        <v>24391</v>
      </c>
      <c r="B12975" s="12" t="s">
        <v>3373</v>
      </c>
      <c r="C12975" s="13" t="s">
        <v>3374</v>
      </c>
      <c r="D12975" s="13" t="s">
        <v>44</v>
      </c>
      <c r="E12975" s="12" t="s">
        <v>35</v>
      </c>
      <c r="F12975" s="14">
        <v>126000</v>
      </c>
      <c r="G12975" s="14">
        <v>86900</v>
      </c>
      <c r="H12975" s="13" t="s">
        <v>24606</v>
      </c>
      <c r="I12975" s="40" t="s">
        <v>18</v>
      </c>
      <c r="J12975" s="40" t="str">
        <f>HYPERLINK("https://stock.pstatic.net/stock-research/company/39/20250428_company_427930000.pdf","PDF")</f>
        <v>PDF</v>
      </c>
      <c r="K12975" s="12" t="s">
        <v>24607</v>
      </c>
      <c r="L12975" s="20">
        <v>0.44994246260069037</v>
      </c>
    </row>
    <row r="12976" spans="1:12" x14ac:dyDescent="0.45">
      <c r="A12976" s="12" t="s">
        <v>24391</v>
      </c>
      <c r="B12976" s="12" t="s">
        <v>3369</v>
      </c>
      <c r="C12976" s="13" t="s">
        <v>3370</v>
      </c>
      <c r="D12976" s="13" t="s">
        <v>44</v>
      </c>
      <c r="E12976" s="12" t="s">
        <v>35</v>
      </c>
      <c r="F12976" s="14">
        <v>25000</v>
      </c>
      <c r="G12976" s="14">
        <v>17070</v>
      </c>
      <c r="H12976" s="13" t="s">
        <v>24608</v>
      </c>
      <c r="I12976" s="40" t="s">
        <v>18</v>
      </c>
      <c r="J12976" s="40" t="str">
        <f>HYPERLINK("https://stock.pstatic.net/stock-research/company/39/20250428_company_135086000.pdf","PDF")</f>
        <v>PDF</v>
      </c>
      <c r="K12976" s="12" t="s">
        <v>24609</v>
      </c>
      <c r="L12976" s="20">
        <v>0.46455770357352077</v>
      </c>
    </row>
    <row r="12977" spans="1:12" x14ac:dyDescent="0.45">
      <c r="A12977" s="12" t="s">
        <v>24391</v>
      </c>
      <c r="B12977" s="12" t="s">
        <v>3482</v>
      </c>
      <c r="C12977" s="13" t="s">
        <v>3483</v>
      </c>
      <c r="D12977" s="13" t="s">
        <v>179</v>
      </c>
      <c r="E12977" s="12" t="s">
        <v>16</v>
      </c>
      <c r="F12977" s="14">
        <v>81000</v>
      </c>
      <c r="G12977" s="14">
        <v>61200</v>
      </c>
      <c r="H12977" s="13" t="s">
        <v>24610</v>
      </c>
      <c r="I12977" s="40" t="s">
        <v>18</v>
      </c>
      <c r="J12977" s="40" t="str">
        <f>HYPERLINK("https://stock.pstatic.net/stock-research/company/31/20250428_company_523786000.pdf","PDF")</f>
        <v>PDF</v>
      </c>
      <c r="K12977" s="12" t="s">
        <v>24611</v>
      </c>
      <c r="L12977" s="20">
        <v>0.3235294117647059</v>
      </c>
    </row>
    <row r="12978" spans="1:12" x14ac:dyDescent="0.45">
      <c r="A12978" s="12" t="s">
        <v>24391</v>
      </c>
      <c r="B12978" s="12" t="s">
        <v>2944</v>
      </c>
      <c r="C12978" s="13" t="s">
        <v>2945</v>
      </c>
      <c r="D12978" s="13" t="s">
        <v>179</v>
      </c>
      <c r="E12978" s="12" t="s">
        <v>16</v>
      </c>
      <c r="F12978" s="14">
        <v>12500</v>
      </c>
      <c r="G12978" s="14">
        <v>10570</v>
      </c>
      <c r="H12978" s="13" t="s">
        <v>24612</v>
      </c>
      <c r="I12978" s="40" t="s">
        <v>18</v>
      </c>
      <c r="J12978" s="40" t="str">
        <f>HYPERLINK("https://stock.pstatic.net/stock-research/company/31/20250428_company_812441000.pdf","PDF")</f>
        <v>PDF</v>
      </c>
      <c r="K12978" s="12" t="s">
        <v>24613</v>
      </c>
      <c r="L12978" s="20">
        <v>0.1825922421948912</v>
      </c>
    </row>
    <row r="12979" spans="1:12" x14ac:dyDescent="0.45">
      <c r="A12979" s="12" t="s">
        <v>24391</v>
      </c>
      <c r="B12979" s="12" t="s">
        <v>3492</v>
      </c>
      <c r="C12979" s="13" t="s">
        <v>3493</v>
      </c>
      <c r="D12979" s="13" t="s">
        <v>179</v>
      </c>
      <c r="E12979" s="12" t="s">
        <v>385</v>
      </c>
      <c r="F12979" s="14">
        <v>17000</v>
      </c>
      <c r="G12979" s="14">
        <v>14850</v>
      </c>
      <c r="H12979" s="13" t="s">
        <v>24614</v>
      </c>
      <c r="I12979" s="40" t="s">
        <v>18</v>
      </c>
      <c r="J12979" s="40" t="str">
        <f>HYPERLINK("https://stock.pstatic.net/stock-research/company/1/20250428_company_853951000.pdf","PDF")</f>
        <v>PDF</v>
      </c>
      <c r="K12979" s="12" t="s">
        <v>24615</v>
      </c>
      <c r="L12979" s="20">
        <v>0.14478114478114479</v>
      </c>
    </row>
    <row r="12980" spans="1:12" x14ac:dyDescent="0.45">
      <c r="A12980" s="12" t="s">
        <v>24391</v>
      </c>
      <c r="B12980" s="12" t="s">
        <v>259</v>
      </c>
      <c r="C12980" s="13" t="s">
        <v>260</v>
      </c>
      <c r="D12980" s="13" t="s">
        <v>124</v>
      </c>
      <c r="E12980" s="12" t="s">
        <v>50</v>
      </c>
      <c r="F12980" s="13"/>
      <c r="G12980" s="13"/>
      <c r="H12980" s="13" t="s">
        <v>24616</v>
      </c>
      <c r="I12980" s="40" t="s">
        <v>18</v>
      </c>
      <c r="J12980" s="40" t="str">
        <f>HYPERLINK("https://stock.pstatic.net/stock-research/company/74/20250428_company_919253000.pdf","PDF")</f>
        <v>PDF</v>
      </c>
      <c r="K12980" s="12" t="s">
        <v>24617</v>
      </c>
    </row>
    <row r="12981" spans="1:12" x14ac:dyDescent="0.45">
      <c r="A12981" s="12" t="s">
        <v>24391</v>
      </c>
      <c r="B12981" s="12" t="s">
        <v>3349</v>
      </c>
      <c r="C12981" s="13" t="s">
        <v>7707</v>
      </c>
      <c r="D12981" s="13" t="s">
        <v>53</v>
      </c>
      <c r="E12981" s="12" t="s">
        <v>16</v>
      </c>
      <c r="F12981" s="14">
        <v>28500</v>
      </c>
      <c r="G12981" s="14">
        <v>23600</v>
      </c>
      <c r="H12981" s="13" t="s">
        <v>24618</v>
      </c>
      <c r="I12981" s="40" t="s">
        <v>18</v>
      </c>
      <c r="J12981" s="40" t="str">
        <f>HYPERLINK("https://stock.pstatic.net/stock-research/company/40/20250428_company_186781000.pdf","PDF")</f>
        <v>PDF</v>
      </c>
      <c r="K12981" s="12" t="s">
        <v>24619</v>
      </c>
      <c r="L12981" s="20">
        <v>0.2076271186440678</v>
      </c>
    </row>
    <row r="12982" spans="1:12" x14ac:dyDescent="0.45">
      <c r="A12982" s="12" t="s">
        <v>24250</v>
      </c>
      <c r="B12982" s="12" t="s">
        <v>1648</v>
      </c>
      <c r="C12982" s="13" t="s">
        <v>1649</v>
      </c>
      <c r="D12982" s="13" t="s">
        <v>158</v>
      </c>
      <c r="E12982" s="12" t="s">
        <v>35</v>
      </c>
      <c r="F12982" s="14">
        <v>140000</v>
      </c>
      <c r="G12982" s="14">
        <v>112200</v>
      </c>
      <c r="H12982" s="13" t="s">
        <v>24620</v>
      </c>
      <c r="I12982" s="40" t="s">
        <v>18</v>
      </c>
      <c r="J12982" s="40" t="str">
        <f>HYPERLINK("https://stock.pstatic.net/stock-research/company/18/20250425_company_699520000.pdf","PDF")</f>
        <v>PDF</v>
      </c>
      <c r="K12982" s="12" t="s">
        <v>24621</v>
      </c>
      <c r="L12982" s="20">
        <v>0.2477718360071301</v>
      </c>
    </row>
    <row r="12983" spans="1:12" x14ac:dyDescent="0.45">
      <c r="A12983" s="12" t="s">
        <v>24250</v>
      </c>
      <c r="B12983" s="12" t="s">
        <v>398</v>
      </c>
      <c r="C12983" s="13" t="s">
        <v>399</v>
      </c>
      <c r="D12983" s="13" t="s">
        <v>158</v>
      </c>
      <c r="E12983" s="12" t="s">
        <v>159</v>
      </c>
      <c r="F12983" s="14">
        <v>142000</v>
      </c>
      <c r="G12983" s="14">
        <v>130200</v>
      </c>
      <c r="H12983" s="13" t="s">
        <v>24622</v>
      </c>
      <c r="I12983" s="40" t="s">
        <v>18</v>
      </c>
      <c r="J12983" s="40" t="str">
        <f>HYPERLINK("https://stock.pstatic.net/stock-research/company/18/20250425_company_905307000.pdf","PDF")</f>
        <v>PDF</v>
      </c>
      <c r="K12983" s="12" t="s">
        <v>24623</v>
      </c>
      <c r="L12983" s="20">
        <v>9.0629800307219663E-2</v>
      </c>
    </row>
    <row r="12984" spans="1:12" x14ac:dyDescent="0.45">
      <c r="A12984" s="12" t="s">
        <v>24250</v>
      </c>
      <c r="B12984" s="12" t="s">
        <v>330</v>
      </c>
      <c r="C12984" s="13" t="s">
        <v>331</v>
      </c>
      <c r="D12984" s="13" t="s">
        <v>158</v>
      </c>
      <c r="E12984" s="12" t="s">
        <v>159</v>
      </c>
      <c r="F12984" s="14">
        <v>26000</v>
      </c>
      <c r="G12984" s="14">
        <v>27100</v>
      </c>
      <c r="H12984" s="13" t="s">
        <v>24624</v>
      </c>
      <c r="I12984" s="40" t="s">
        <v>18</v>
      </c>
      <c r="J12984" s="40" t="str">
        <f>HYPERLINK("https://stock.pstatic.net/stock-research/company/18/20250425_company_516397000.pdf","PDF")</f>
        <v>PDF</v>
      </c>
      <c r="K12984" s="12" t="s">
        <v>24625</v>
      </c>
      <c r="L12984" s="20">
        <v>-4.0590405904059039E-2</v>
      </c>
    </row>
    <row r="12985" spans="1:12" x14ac:dyDescent="0.45">
      <c r="A12985" s="12" t="s">
        <v>24250</v>
      </c>
      <c r="B12985" s="12" t="s">
        <v>95</v>
      </c>
      <c r="C12985" s="13" t="s">
        <v>31</v>
      </c>
      <c r="D12985" s="13" t="s">
        <v>158</v>
      </c>
      <c r="E12985" s="12" t="s">
        <v>35</v>
      </c>
      <c r="F12985" s="14">
        <v>29500</v>
      </c>
      <c r="G12985" s="14">
        <v>19140</v>
      </c>
      <c r="H12985" s="13" t="s">
        <v>24626</v>
      </c>
      <c r="I12985" s="40" t="s">
        <v>18</v>
      </c>
      <c r="J12985" s="40" t="str">
        <f>HYPERLINK("https://stock.pstatic.net/stock-research/company/18/20250425_company_175039000.pdf","PDF")</f>
        <v>PDF</v>
      </c>
      <c r="K12985" s="12" t="s">
        <v>24627</v>
      </c>
      <c r="L12985" s="20">
        <v>0.54127481713688608</v>
      </c>
    </row>
    <row r="12986" spans="1:12" x14ac:dyDescent="0.45">
      <c r="A12986" s="12" t="s">
        <v>24250</v>
      </c>
      <c r="B12986" s="12" t="s">
        <v>3478</v>
      </c>
      <c r="C12986" s="13" t="s">
        <v>3479</v>
      </c>
      <c r="D12986" s="13" t="s">
        <v>158</v>
      </c>
      <c r="E12986" s="12" t="s">
        <v>35</v>
      </c>
      <c r="F12986" s="14">
        <v>41000</v>
      </c>
      <c r="G12986" s="14">
        <v>24250</v>
      </c>
      <c r="H12986" s="13" t="s">
        <v>24628</v>
      </c>
      <c r="I12986" s="40" t="s">
        <v>18</v>
      </c>
      <c r="J12986" s="40" t="str">
        <f>HYPERLINK("https://stock.pstatic.net/stock-research/company/18/20250425_company_129668000.pdf","PDF")</f>
        <v>PDF</v>
      </c>
      <c r="K12986" s="12" t="s">
        <v>24629</v>
      </c>
      <c r="L12986" s="20">
        <v>0.69072164948453607</v>
      </c>
    </row>
    <row r="12987" spans="1:12" x14ac:dyDescent="0.45">
      <c r="A12987" s="12" t="s">
        <v>24250</v>
      </c>
      <c r="B12987" s="12" t="s">
        <v>334</v>
      </c>
      <c r="C12987" s="13" t="s">
        <v>335</v>
      </c>
      <c r="D12987" s="13" t="s">
        <v>158</v>
      </c>
      <c r="E12987" s="12" t="s">
        <v>35</v>
      </c>
      <c r="F12987" s="14">
        <v>260000</v>
      </c>
      <c r="G12987" s="14">
        <v>178300</v>
      </c>
      <c r="H12987" s="13" t="s">
        <v>24630</v>
      </c>
      <c r="I12987" s="40" t="s">
        <v>18</v>
      </c>
      <c r="J12987" s="40" t="str">
        <f>HYPERLINK("https://stock.pstatic.net/stock-research/company/18/20250425_company_832924000.pdf","PDF")</f>
        <v>PDF</v>
      </c>
      <c r="K12987" s="12" t="s">
        <v>24631</v>
      </c>
      <c r="L12987" s="20">
        <v>0.45821648906337631</v>
      </c>
    </row>
    <row r="12988" spans="1:12" x14ac:dyDescent="0.45">
      <c r="A12988" s="12" t="s">
        <v>24250</v>
      </c>
      <c r="B12988" s="12" t="s">
        <v>2758</v>
      </c>
      <c r="C12988" s="13" t="s">
        <v>2759</v>
      </c>
      <c r="D12988" s="13" t="s">
        <v>158</v>
      </c>
      <c r="E12988" s="12" t="s">
        <v>35</v>
      </c>
      <c r="F12988" s="14">
        <v>440000</v>
      </c>
      <c r="G12988" s="14">
        <v>257000</v>
      </c>
      <c r="H12988" s="13" t="s">
        <v>24632</v>
      </c>
      <c r="I12988" s="40" t="s">
        <v>18</v>
      </c>
      <c r="J12988" s="40" t="str">
        <f>HYPERLINK("https://stock.pstatic.net/stock-research/company/18/20250425_company_190189000.pdf","PDF")</f>
        <v>PDF</v>
      </c>
      <c r="K12988" s="12" t="s">
        <v>24633</v>
      </c>
      <c r="L12988" s="20">
        <v>0.71206225680933855</v>
      </c>
    </row>
    <row r="12989" spans="1:12" x14ac:dyDescent="0.45">
      <c r="A12989" s="12" t="s">
        <v>24250</v>
      </c>
      <c r="B12989" s="12" t="s">
        <v>519</v>
      </c>
      <c r="C12989" s="13" t="s">
        <v>520</v>
      </c>
      <c r="D12989" s="13" t="s">
        <v>57</v>
      </c>
      <c r="E12989" s="12" t="s">
        <v>35</v>
      </c>
      <c r="F12989" s="14">
        <v>310000</v>
      </c>
      <c r="G12989" s="14">
        <v>188900</v>
      </c>
      <c r="H12989" s="13" t="s">
        <v>24634</v>
      </c>
      <c r="I12989" s="40" t="s">
        <v>18</v>
      </c>
      <c r="J12989" s="40" t="str">
        <f>HYPERLINK("https://stock.pstatic.net/stock-research/company/16/20250425_company_786778000.pdf","PDF")</f>
        <v>PDF</v>
      </c>
      <c r="K12989" s="12" t="s">
        <v>24635</v>
      </c>
      <c r="L12989" s="20">
        <v>0.64107993647432504</v>
      </c>
    </row>
    <row r="12990" spans="1:12" x14ac:dyDescent="0.45">
      <c r="A12990" s="12" t="s">
        <v>24250</v>
      </c>
      <c r="B12990" s="12" t="s">
        <v>330</v>
      </c>
      <c r="C12990" s="13" t="s">
        <v>331</v>
      </c>
      <c r="D12990" s="13" t="s">
        <v>57</v>
      </c>
      <c r="E12990" s="12" t="s">
        <v>35</v>
      </c>
      <c r="F12990" s="14">
        <v>32000</v>
      </c>
      <c r="G12990" s="14">
        <v>27100</v>
      </c>
      <c r="H12990" s="13" t="s">
        <v>24636</v>
      </c>
      <c r="I12990" s="40" t="s">
        <v>18</v>
      </c>
      <c r="J12990" s="40" t="str">
        <f>HYPERLINK("https://stock.pstatic.net/stock-research/company/16/20250425_company_963469000.pdf","PDF")</f>
        <v>PDF</v>
      </c>
      <c r="K12990" s="12" t="s">
        <v>24637</v>
      </c>
      <c r="L12990" s="20">
        <v>0.1808118081180812</v>
      </c>
    </row>
    <row r="12991" spans="1:12" x14ac:dyDescent="0.45">
      <c r="A12991" s="12" t="s">
        <v>24250</v>
      </c>
      <c r="B12991" s="12" t="s">
        <v>398</v>
      </c>
      <c r="C12991" s="13" t="s">
        <v>399</v>
      </c>
      <c r="D12991" s="13" t="s">
        <v>57</v>
      </c>
      <c r="E12991" s="12" t="s">
        <v>35</v>
      </c>
      <c r="F12991" s="14">
        <v>160000</v>
      </c>
      <c r="G12991" s="14">
        <v>130200</v>
      </c>
      <c r="H12991" s="13" t="s">
        <v>24638</v>
      </c>
      <c r="I12991" s="40" t="s">
        <v>18</v>
      </c>
      <c r="J12991" s="40" t="str">
        <f>HYPERLINK("https://stock.pstatic.net/stock-research/company/16/20250425_company_601841000.pdf","PDF")</f>
        <v>PDF</v>
      </c>
      <c r="K12991" s="12" t="s">
        <v>24639</v>
      </c>
      <c r="L12991" s="20">
        <v>0.22887864823348689</v>
      </c>
    </row>
    <row r="12992" spans="1:12" x14ac:dyDescent="0.45">
      <c r="A12992" s="12" t="s">
        <v>24250</v>
      </c>
      <c r="B12992" s="12" t="s">
        <v>3369</v>
      </c>
      <c r="C12992" s="13" t="s">
        <v>3370</v>
      </c>
      <c r="D12992" s="13" t="s">
        <v>57</v>
      </c>
      <c r="E12992" s="12" t="s">
        <v>35</v>
      </c>
      <c r="F12992" s="14">
        <v>22000</v>
      </c>
      <c r="G12992" s="14">
        <v>17830</v>
      </c>
      <c r="H12992" s="13" t="s">
        <v>24640</v>
      </c>
      <c r="I12992" s="40" t="s">
        <v>18</v>
      </c>
      <c r="J12992" s="40" t="str">
        <f>HYPERLINK("https://stock.pstatic.net/stock-research/company/16/20250425_company_332143000.pdf","PDF")</f>
        <v>PDF</v>
      </c>
      <c r="K12992" s="12" t="s">
        <v>24641</v>
      </c>
      <c r="L12992" s="20">
        <v>0.23387549074593381</v>
      </c>
    </row>
    <row r="12993" spans="1:12" x14ac:dyDescent="0.45">
      <c r="A12993" s="12" t="s">
        <v>24250</v>
      </c>
      <c r="B12993" s="12" t="s">
        <v>908</v>
      </c>
      <c r="C12993" s="13" t="s">
        <v>909</v>
      </c>
      <c r="D12993" s="13" t="s">
        <v>57</v>
      </c>
      <c r="E12993" s="12" t="s">
        <v>35</v>
      </c>
      <c r="F12993" s="14">
        <v>180000</v>
      </c>
      <c r="G12993" s="14">
        <v>124300</v>
      </c>
      <c r="H12993" s="13" t="s">
        <v>24642</v>
      </c>
      <c r="I12993" s="40" t="s">
        <v>18</v>
      </c>
      <c r="J12993" s="40" t="str">
        <f>HYPERLINK("https://stock.pstatic.net/stock-research/company/16/20250425_company_714278000.pdf","PDF")</f>
        <v>PDF</v>
      </c>
      <c r="K12993" s="12" t="s">
        <v>24643</v>
      </c>
      <c r="L12993" s="20">
        <v>0.4481094127111826</v>
      </c>
    </row>
    <row r="12994" spans="1:12" x14ac:dyDescent="0.45">
      <c r="A12994" s="12" t="s">
        <v>24250</v>
      </c>
      <c r="B12994" s="12" t="s">
        <v>3373</v>
      </c>
      <c r="C12994" s="13" t="s">
        <v>3374</v>
      </c>
      <c r="D12994" s="13" t="s">
        <v>57</v>
      </c>
      <c r="E12994" s="12" t="s">
        <v>35</v>
      </c>
      <c r="F12994" s="14">
        <v>115000</v>
      </c>
      <c r="G12994" s="14">
        <v>84600</v>
      </c>
      <c r="H12994" s="13" t="s">
        <v>24644</v>
      </c>
      <c r="I12994" s="40" t="s">
        <v>18</v>
      </c>
      <c r="J12994" s="40" t="str">
        <f>HYPERLINK("https://stock.pstatic.net/stock-research/company/16/20250425_company_486086000.pdf","PDF")</f>
        <v>PDF</v>
      </c>
      <c r="K12994" s="12" t="s">
        <v>24645</v>
      </c>
      <c r="L12994" s="20">
        <v>0.35933806146572111</v>
      </c>
    </row>
    <row r="12995" spans="1:12" x14ac:dyDescent="0.45">
      <c r="A12995" s="12" t="s">
        <v>24250</v>
      </c>
      <c r="B12995" s="12" t="s">
        <v>13983</v>
      </c>
      <c r="C12995" s="13" t="s">
        <v>13984</v>
      </c>
      <c r="D12995" s="13" t="s">
        <v>57</v>
      </c>
      <c r="E12995" s="12" t="s">
        <v>35</v>
      </c>
      <c r="F12995" s="14">
        <v>10200</v>
      </c>
      <c r="G12995" s="14">
        <v>8180</v>
      </c>
      <c r="H12995" s="13" t="s">
        <v>24646</v>
      </c>
      <c r="I12995" s="40" t="s">
        <v>18</v>
      </c>
      <c r="J12995" s="40" t="str">
        <f>HYPERLINK("https://stock.pstatic.net/stock-research/company/16/20250425_company_869393000.pdf","PDF")</f>
        <v>PDF</v>
      </c>
      <c r="K12995" s="12" t="s">
        <v>24647</v>
      </c>
      <c r="L12995" s="20">
        <v>0.24694376528117359</v>
      </c>
    </row>
    <row r="12996" spans="1:12" x14ac:dyDescent="0.45">
      <c r="A12996" s="12" t="s">
        <v>24250</v>
      </c>
      <c r="B12996" s="12" t="s">
        <v>334</v>
      </c>
      <c r="C12996" s="13" t="s">
        <v>335</v>
      </c>
      <c r="D12996" s="13" t="s">
        <v>57</v>
      </c>
      <c r="E12996" s="12" t="s">
        <v>35</v>
      </c>
      <c r="F12996" s="14">
        <v>290000</v>
      </c>
      <c r="G12996" s="14">
        <v>178300</v>
      </c>
      <c r="H12996" s="13" t="s">
        <v>24648</v>
      </c>
      <c r="I12996" s="40" t="s">
        <v>18</v>
      </c>
      <c r="J12996" s="40" t="str">
        <f>HYPERLINK("https://stock.pstatic.net/stock-research/company/16/20250425_company_37067000.pdf","PDF")</f>
        <v>PDF</v>
      </c>
      <c r="K12996" s="12" t="s">
        <v>24649</v>
      </c>
      <c r="L12996" s="20">
        <v>0.62647223780145822</v>
      </c>
    </row>
    <row r="12997" spans="1:12" x14ac:dyDescent="0.45">
      <c r="A12997" s="12" t="s">
        <v>24250</v>
      </c>
      <c r="B12997" s="12" t="s">
        <v>95</v>
      </c>
      <c r="C12997" s="13" t="s">
        <v>31</v>
      </c>
      <c r="D12997" s="13" t="s">
        <v>57</v>
      </c>
      <c r="E12997" s="12" t="s">
        <v>35</v>
      </c>
      <c r="F12997" s="14">
        <v>26000</v>
      </c>
      <c r="G12997" s="14">
        <v>19140</v>
      </c>
      <c r="H12997" s="13" t="s">
        <v>24650</v>
      </c>
      <c r="I12997" s="40" t="s">
        <v>18</v>
      </c>
      <c r="J12997" s="40" t="str">
        <f>HYPERLINK("https://stock.pstatic.net/stock-research/company/16/20250425_company_468808000.pdf","PDF")</f>
        <v>PDF</v>
      </c>
      <c r="K12997" s="12" t="s">
        <v>24651</v>
      </c>
      <c r="L12997" s="20">
        <v>0.35841170323928939</v>
      </c>
    </row>
    <row r="12998" spans="1:12" x14ac:dyDescent="0.45">
      <c r="A12998" s="12" t="s">
        <v>24250</v>
      </c>
      <c r="B12998" s="12" t="s">
        <v>13410</v>
      </c>
      <c r="C12998" s="13" t="s">
        <v>13411</v>
      </c>
      <c r="D12998" s="13" t="s">
        <v>276</v>
      </c>
      <c r="E12998" s="12" t="s">
        <v>16</v>
      </c>
      <c r="F12998" s="14">
        <v>200000</v>
      </c>
      <c r="G12998" s="14">
        <v>158500</v>
      </c>
      <c r="H12998" s="13" t="s">
        <v>24652</v>
      </c>
      <c r="I12998" s="40" t="s">
        <v>18</v>
      </c>
      <c r="J12998" s="40" t="str">
        <f>HYPERLINK("https://stock.pstatic.net/stock-research/company/66/20250425_company_193661000.pdf","PDF")</f>
        <v>PDF</v>
      </c>
      <c r="K12998" s="12" t="s">
        <v>24653</v>
      </c>
      <c r="L12998" s="20">
        <v>0.26182965299684541</v>
      </c>
    </row>
    <row r="12999" spans="1:12" x14ac:dyDescent="0.45">
      <c r="A12999" s="12" t="s">
        <v>24250</v>
      </c>
      <c r="B12999" s="12" t="s">
        <v>1781</v>
      </c>
      <c r="C12999" s="13" t="s">
        <v>1782</v>
      </c>
      <c r="D12999" s="13" t="s">
        <v>276</v>
      </c>
      <c r="E12999" s="12" t="s">
        <v>16</v>
      </c>
      <c r="F12999" s="14">
        <v>100000</v>
      </c>
      <c r="G12999" s="14">
        <v>70300</v>
      </c>
      <c r="H12999" s="13" t="s">
        <v>24654</v>
      </c>
      <c r="I12999" s="40" t="s">
        <v>18</v>
      </c>
      <c r="J12999" s="40" t="str">
        <f>HYPERLINK("https://stock.pstatic.net/stock-research/company/66/20250425_company_605413000.pdf","PDF")</f>
        <v>PDF</v>
      </c>
      <c r="K12999" s="12" t="s">
        <v>24655</v>
      </c>
      <c r="L12999" s="20">
        <v>0.42247510668563298</v>
      </c>
    </row>
    <row r="13000" spans="1:12" x14ac:dyDescent="0.45">
      <c r="A13000" s="12" t="s">
        <v>24250</v>
      </c>
      <c r="B13000" s="12" t="s">
        <v>744</v>
      </c>
      <c r="C13000" s="13" t="s">
        <v>745</v>
      </c>
      <c r="D13000" s="13" t="s">
        <v>276</v>
      </c>
      <c r="E13000" s="12" t="s">
        <v>16</v>
      </c>
      <c r="F13000" s="14">
        <v>20000</v>
      </c>
      <c r="G13000" s="14">
        <v>14590</v>
      </c>
      <c r="H13000" s="13" t="s">
        <v>24656</v>
      </c>
      <c r="I13000" s="40" t="s">
        <v>18</v>
      </c>
      <c r="J13000" s="40" t="str">
        <f>HYPERLINK("https://stock.pstatic.net/stock-research/company/66/20250425_company_761625000.pdf","PDF")</f>
        <v>PDF</v>
      </c>
      <c r="K13000" s="12" t="s">
        <v>24657</v>
      </c>
      <c r="L13000" s="20">
        <v>0.37080191912268679</v>
      </c>
    </row>
    <row r="13001" spans="1:12" x14ac:dyDescent="0.45">
      <c r="A13001" s="12" t="s">
        <v>24250</v>
      </c>
      <c r="B13001" s="12" t="s">
        <v>519</v>
      </c>
      <c r="C13001" s="13" t="s">
        <v>520</v>
      </c>
      <c r="D13001" s="13" t="s">
        <v>276</v>
      </c>
      <c r="E13001" s="12" t="s">
        <v>16</v>
      </c>
      <c r="F13001" s="14">
        <v>270000</v>
      </c>
      <c r="G13001" s="14">
        <v>188900</v>
      </c>
      <c r="H13001" s="13" t="s">
        <v>24658</v>
      </c>
      <c r="I13001" s="40" t="s">
        <v>18</v>
      </c>
      <c r="J13001" s="40" t="str">
        <f>HYPERLINK("https://stock.pstatic.net/stock-research/company/66/20250425_company_110611000.pdf","PDF")</f>
        <v>PDF</v>
      </c>
      <c r="K13001" s="12" t="s">
        <v>24659</v>
      </c>
      <c r="L13001" s="20">
        <v>0.4293276866066702</v>
      </c>
    </row>
    <row r="13002" spans="1:12" x14ac:dyDescent="0.45">
      <c r="A13002" s="12" t="s">
        <v>24250</v>
      </c>
      <c r="B13002" s="12" t="s">
        <v>334</v>
      </c>
      <c r="C13002" s="13" t="s">
        <v>335</v>
      </c>
      <c r="D13002" s="13" t="s">
        <v>276</v>
      </c>
      <c r="E13002" s="12" t="s">
        <v>16</v>
      </c>
      <c r="F13002" s="14">
        <v>290000</v>
      </c>
      <c r="G13002" s="14">
        <v>178300</v>
      </c>
      <c r="H13002" s="13" t="s">
        <v>24660</v>
      </c>
      <c r="I13002" s="40" t="s">
        <v>18</v>
      </c>
      <c r="J13002" s="40" t="str">
        <f>HYPERLINK("https://stock.pstatic.net/stock-research/company/66/20250425_company_323818000.pdf","PDF")</f>
        <v>PDF</v>
      </c>
      <c r="K13002" s="12" t="s">
        <v>24661</v>
      </c>
      <c r="L13002" s="20">
        <v>0.62647223780145822</v>
      </c>
    </row>
    <row r="13003" spans="1:12" x14ac:dyDescent="0.45">
      <c r="A13003" s="12" t="s">
        <v>24250</v>
      </c>
      <c r="B13003" s="12" t="s">
        <v>1036</v>
      </c>
      <c r="C13003" s="13" t="s">
        <v>1037</v>
      </c>
      <c r="D13003" s="13" t="s">
        <v>60</v>
      </c>
      <c r="E13003" s="12" t="s">
        <v>50</v>
      </c>
      <c r="F13003" s="14">
        <v>16000</v>
      </c>
      <c r="G13003" s="14">
        <v>14170</v>
      </c>
      <c r="H13003" s="13" t="s">
        <v>24662</v>
      </c>
      <c r="I13003" s="40" t="s">
        <v>18</v>
      </c>
      <c r="J13003" s="40" t="str">
        <f>HYPERLINK("https://stock.pstatic.net/stock-research/company/34/20250425_company_638330000.pdf","PDF")</f>
        <v>PDF</v>
      </c>
      <c r="K13003" s="12" t="s">
        <v>24663</v>
      </c>
      <c r="L13003" s="20">
        <v>0.12914608327452359</v>
      </c>
    </row>
    <row r="13004" spans="1:12" x14ac:dyDescent="0.45">
      <c r="A13004" s="12" t="s">
        <v>24250</v>
      </c>
      <c r="B13004" s="12" t="s">
        <v>1660</v>
      </c>
      <c r="C13004" s="13" t="s">
        <v>1661</v>
      </c>
      <c r="D13004" s="13" t="s">
        <v>15</v>
      </c>
      <c r="E13004" s="12" t="s">
        <v>16</v>
      </c>
      <c r="F13004" s="14">
        <v>59000</v>
      </c>
      <c r="G13004" s="14">
        <v>43800</v>
      </c>
      <c r="H13004" s="13" t="s">
        <v>24664</v>
      </c>
      <c r="I13004" s="40" t="s">
        <v>18</v>
      </c>
      <c r="J13004" s="40" t="str">
        <f>HYPERLINK("https://stock.pstatic.net/stock-research/company/29/20250425_company_903920000.pdf","PDF")</f>
        <v>PDF</v>
      </c>
      <c r="K13004" s="12" t="s">
        <v>24665</v>
      </c>
      <c r="L13004" s="20">
        <v>0.34703196347031962</v>
      </c>
    </row>
    <row r="13005" spans="1:12" x14ac:dyDescent="0.45">
      <c r="A13005" s="12" t="s">
        <v>24250</v>
      </c>
      <c r="B13005" s="12" t="s">
        <v>1678</v>
      </c>
      <c r="C13005" s="13" t="s">
        <v>1679</v>
      </c>
      <c r="D13005" s="13" t="s">
        <v>15</v>
      </c>
      <c r="E13005" s="12" t="s">
        <v>16</v>
      </c>
      <c r="F13005" s="14">
        <v>80000</v>
      </c>
      <c r="G13005" s="14">
        <v>58700</v>
      </c>
      <c r="H13005" s="13" t="s">
        <v>24666</v>
      </c>
      <c r="I13005" s="40" t="s">
        <v>18</v>
      </c>
      <c r="J13005" s="40" t="str">
        <f>HYPERLINK("https://stock.pstatic.net/stock-research/company/29/20250425_company_179260000.pdf","PDF")</f>
        <v>PDF</v>
      </c>
      <c r="K13005" s="12" t="s">
        <v>24667</v>
      </c>
      <c r="L13005" s="20">
        <v>0.36286201022146508</v>
      </c>
    </row>
    <row r="13006" spans="1:12" x14ac:dyDescent="0.45">
      <c r="A13006" s="12" t="s">
        <v>24250</v>
      </c>
      <c r="B13006" s="12" t="s">
        <v>3024</v>
      </c>
      <c r="C13006" s="13" t="s">
        <v>3025</v>
      </c>
      <c r="D13006" s="13" t="s">
        <v>65</v>
      </c>
      <c r="E13006" s="12" t="s">
        <v>35</v>
      </c>
      <c r="F13006" s="14">
        <v>66000</v>
      </c>
      <c r="G13006" s="14">
        <v>49200</v>
      </c>
      <c r="H13006" s="13" t="s">
        <v>24668</v>
      </c>
      <c r="I13006" s="40" t="s">
        <v>18</v>
      </c>
      <c r="J13006" s="40" t="str">
        <f>HYPERLINK("https://stock.pstatic.net/stock-research/company/57/20250425_company_489765000.pdf","PDF")</f>
        <v>PDF</v>
      </c>
      <c r="K13006" s="12" t="s">
        <v>24669</v>
      </c>
      <c r="L13006" s="20">
        <v>0.34146341463414642</v>
      </c>
    </row>
    <row r="13007" spans="1:12" x14ac:dyDescent="0.45">
      <c r="A13007" s="12" t="s">
        <v>24250</v>
      </c>
      <c r="B13007" s="12" t="s">
        <v>330</v>
      </c>
      <c r="C13007" s="13" t="s">
        <v>331</v>
      </c>
      <c r="D13007" s="13" t="s">
        <v>65</v>
      </c>
      <c r="E13007" s="12" t="s">
        <v>35</v>
      </c>
      <c r="F13007" s="14">
        <v>34000</v>
      </c>
      <c r="G13007" s="14">
        <v>27100</v>
      </c>
      <c r="H13007" s="13" t="s">
        <v>24670</v>
      </c>
      <c r="I13007" s="40" t="s">
        <v>18</v>
      </c>
      <c r="J13007" s="40" t="str">
        <f>HYPERLINK("https://stock.pstatic.net/stock-research/company/57/20250425_company_212722000.pdf","PDF")</f>
        <v>PDF</v>
      </c>
      <c r="K13007" s="12" t="s">
        <v>24671</v>
      </c>
      <c r="L13007" s="20">
        <v>0.25461254612546119</v>
      </c>
    </row>
    <row r="13008" spans="1:12" x14ac:dyDescent="0.45">
      <c r="A13008" s="12" t="s">
        <v>24250</v>
      </c>
      <c r="B13008" s="12" t="s">
        <v>1781</v>
      </c>
      <c r="C13008" s="13" t="s">
        <v>1782</v>
      </c>
      <c r="D13008" s="13" t="s">
        <v>65</v>
      </c>
      <c r="E13008" s="12" t="s">
        <v>35</v>
      </c>
      <c r="F13008" s="14">
        <v>110000</v>
      </c>
      <c r="G13008" s="14">
        <v>70300</v>
      </c>
      <c r="H13008" s="13" t="s">
        <v>24672</v>
      </c>
      <c r="I13008" s="40" t="s">
        <v>18</v>
      </c>
      <c r="J13008" s="40" t="str">
        <f>HYPERLINK("https://stock.pstatic.net/stock-research/company/57/20250425_company_236213000.pdf","PDF")</f>
        <v>PDF</v>
      </c>
      <c r="K13008" s="12" t="s">
        <v>24673</v>
      </c>
      <c r="L13008" s="20">
        <v>0.56472261735419627</v>
      </c>
    </row>
    <row r="13009" spans="1:12" x14ac:dyDescent="0.45">
      <c r="A13009" s="12" t="s">
        <v>24250</v>
      </c>
      <c r="B13009" s="12" t="s">
        <v>2199</v>
      </c>
      <c r="C13009" s="13" t="s">
        <v>2200</v>
      </c>
      <c r="D13009" s="13" t="s">
        <v>65</v>
      </c>
      <c r="E13009" s="12" t="s">
        <v>35</v>
      </c>
      <c r="F13009" s="14">
        <v>34000</v>
      </c>
      <c r="G13009" s="14">
        <v>28250</v>
      </c>
      <c r="H13009" s="13" t="s">
        <v>24674</v>
      </c>
      <c r="I13009" s="40" t="s">
        <v>18</v>
      </c>
      <c r="J13009" s="40" t="str">
        <f>HYPERLINK("https://stock.pstatic.net/stock-research/company/57/20250425_company_419627000.pdf","PDF")</f>
        <v>PDF</v>
      </c>
      <c r="K13009" s="12" t="s">
        <v>24675</v>
      </c>
      <c r="L13009" s="20">
        <v>0.2035398230088496</v>
      </c>
    </row>
    <row r="13010" spans="1:12" x14ac:dyDescent="0.45">
      <c r="A13010" s="12" t="s">
        <v>24250</v>
      </c>
      <c r="B13010" s="12" t="s">
        <v>398</v>
      </c>
      <c r="C13010" s="13" t="s">
        <v>399</v>
      </c>
      <c r="D13010" s="13" t="s">
        <v>65</v>
      </c>
      <c r="E13010" s="12" t="s">
        <v>1738</v>
      </c>
      <c r="F13010" s="14">
        <v>147000</v>
      </c>
      <c r="G13010" s="14">
        <v>130200</v>
      </c>
      <c r="H13010" s="13" t="s">
        <v>24676</v>
      </c>
      <c r="I13010" s="40" t="s">
        <v>18</v>
      </c>
      <c r="J13010" s="40" t="str">
        <f>HYPERLINK("https://stock.pstatic.net/stock-research/company/57/20250425_company_81564000.pdf","PDF")</f>
        <v>PDF</v>
      </c>
      <c r="K13010" s="12" t="s">
        <v>24677</v>
      </c>
      <c r="L13010" s="20">
        <v>0.1290322580645161</v>
      </c>
    </row>
    <row r="13011" spans="1:12" x14ac:dyDescent="0.45">
      <c r="A13011" s="12" t="s">
        <v>24250</v>
      </c>
      <c r="B13011" s="12" t="s">
        <v>334</v>
      </c>
      <c r="C13011" s="13" t="s">
        <v>335</v>
      </c>
      <c r="D13011" s="13" t="s">
        <v>65</v>
      </c>
      <c r="E13011" s="12" t="s">
        <v>35</v>
      </c>
      <c r="F13011" s="14">
        <v>290000</v>
      </c>
      <c r="G13011" s="14">
        <v>178300</v>
      </c>
      <c r="H13011" s="13" t="s">
        <v>24678</v>
      </c>
      <c r="I13011" s="40" t="s">
        <v>18</v>
      </c>
      <c r="J13011" s="40" t="str">
        <f>HYPERLINK("https://stock.pstatic.net/stock-research/company/57/20250425_company_20580000.pdf","PDF")</f>
        <v>PDF</v>
      </c>
      <c r="K13011" s="12" t="s">
        <v>24679</v>
      </c>
      <c r="L13011" s="20">
        <v>0.62647223780145822</v>
      </c>
    </row>
    <row r="13012" spans="1:12" x14ac:dyDescent="0.45">
      <c r="A13012" s="12" t="s">
        <v>24250</v>
      </c>
      <c r="B13012" s="12" t="s">
        <v>95</v>
      </c>
      <c r="C13012" s="13" t="s">
        <v>31</v>
      </c>
      <c r="D13012" s="13" t="s">
        <v>65</v>
      </c>
      <c r="E13012" s="12" t="s">
        <v>35</v>
      </c>
      <c r="F13012" s="14">
        <v>27000</v>
      </c>
      <c r="G13012" s="14">
        <v>19140</v>
      </c>
      <c r="H13012" s="13" t="s">
        <v>24680</v>
      </c>
      <c r="I13012" s="40" t="s">
        <v>18</v>
      </c>
      <c r="J13012" s="40" t="str">
        <f>HYPERLINK("https://stock.pstatic.net/stock-research/company/57/20250425_company_723400000.pdf","PDF")</f>
        <v>PDF</v>
      </c>
      <c r="K13012" s="12" t="s">
        <v>24681</v>
      </c>
      <c r="L13012" s="20">
        <v>0.41065830721003133</v>
      </c>
    </row>
    <row r="13013" spans="1:12" x14ac:dyDescent="0.45">
      <c r="A13013" s="12" t="s">
        <v>24250</v>
      </c>
      <c r="B13013" s="12" t="s">
        <v>3369</v>
      </c>
      <c r="C13013" s="13" t="s">
        <v>3370</v>
      </c>
      <c r="D13013" s="13" t="s">
        <v>65</v>
      </c>
      <c r="E13013" s="12" t="s">
        <v>35</v>
      </c>
      <c r="F13013" s="14">
        <v>22500</v>
      </c>
      <c r="G13013" s="14">
        <v>17830</v>
      </c>
      <c r="H13013" s="13" t="s">
        <v>24682</v>
      </c>
      <c r="I13013" s="40" t="s">
        <v>18</v>
      </c>
      <c r="J13013" s="40" t="str">
        <f>HYPERLINK("https://stock.pstatic.net/stock-research/company/57/20250425_company_296182000.pdf","PDF")</f>
        <v>PDF</v>
      </c>
      <c r="K13013" s="12" t="s">
        <v>24683</v>
      </c>
      <c r="L13013" s="20">
        <v>0.26191811553561412</v>
      </c>
    </row>
    <row r="13014" spans="1:12" x14ac:dyDescent="0.45">
      <c r="A13014" s="12" t="s">
        <v>24250</v>
      </c>
      <c r="B13014" s="12" t="s">
        <v>4206</v>
      </c>
      <c r="C13014" s="13" t="s">
        <v>4207</v>
      </c>
      <c r="D13014" s="13" t="s">
        <v>65</v>
      </c>
      <c r="E13014" s="12" t="s">
        <v>50</v>
      </c>
      <c r="F13014" s="13"/>
      <c r="G13014" s="14">
        <v>23800</v>
      </c>
      <c r="H13014" s="13" t="s">
        <v>24684</v>
      </c>
      <c r="I13014" s="40" t="s">
        <v>18</v>
      </c>
      <c r="J13014" s="40" t="str">
        <f>HYPERLINK("https://stock.pstatic.net/stock-research/company/57/20250425_company_294168000.pdf","PDF")</f>
        <v>PDF</v>
      </c>
      <c r="K13014" s="12" t="s">
        <v>24685</v>
      </c>
    </row>
    <row r="13015" spans="1:12" x14ac:dyDescent="0.45">
      <c r="A13015" s="12" t="s">
        <v>24250</v>
      </c>
      <c r="B13015" s="12" t="s">
        <v>3308</v>
      </c>
      <c r="C13015" s="13" t="s">
        <v>3309</v>
      </c>
      <c r="D13015" s="13" t="s">
        <v>65</v>
      </c>
      <c r="E13015" s="12" t="s">
        <v>50</v>
      </c>
      <c r="F13015" s="13"/>
      <c r="G13015" s="14">
        <v>3260</v>
      </c>
      <c r="H13015" s="13" t="s">
        <v>24686</v>
      </c>
      <c r="I13015" s="40" t="s">
        <v>18</v>
      </c>
      <c r="J13015" s="40" t="str">
        <f>HYPERLINK("https://stock.pstatic.net/stock-research/company/57/20250425_company_864919000.pdf","PDF")</f>
        <v>PDF</v>
      </c>
      <c r="K13015" s="12" t="s">
        <v>24687</v>
      </c>
    </row>
    <row r="13016" spans="1:12" x14ac:dyDescent="0.45">
      <c r="A13016" s="12" t="s">
        <v>24250</v>
      </c>
      <c r="B13016" s="12" t="s">
        <v>519</v>
      </c>
      <c r="C13016" s="13" t="s">
        <v>520</v>
      </c>
      <c r="D13016" s="13" t="s">
        <v>65</v>
      </c>
      <c r="E13016" s="12" t="s">
        <v>35</v>
      </c>
      <c r="F13016" s="14">
        <v>250000</v>
      </c>
      <c r="G13016" s="14">
        <v>188900</v>
      </c>
      <c r="H13016" s="13" t="s">
        <v>24688</v>
      </c>
      <c r="I13016" s="40" t="s">
        <v>18</v>
      </c>
      <c r="J13016" s="40" t="str">
        <f>HYPERLINK("https://stock.pstatic.net/stock-research/company/57/20250425_company_112120000.pdf","PDF")</f>
        <v>PDF</v>
      </c>
      <c r="K13016" s="12" t="s">
        <v>24689</v>
      </c>
      <c r="L13016" s="20">
        <v>0.32345156167284278</v>
      </c>
    </row>
    <row r="13017" spans="1:12" x14ac:dyDescent="0.45">
      <c r="A13017" s="12" t="s">
        <v>24250</v>
      </c>
      <c r="B13017" s="12" t="s">
        <v>2758</v>
      </c>
      <c r="C13017" s="13" t="s">
        <v>2759</v>
      </c>
      <c r="D13017" s="13" t="s">
        <v>65</v>
      </c>
      <c r="E13017" s="12" t="s">
        <v>35</v>
      </c>
      <c r="F13017" s="14">
        <v>740000</v>
      </c>
      <c r="G13017" s="14">
        <v>257000</v>
      </c>
      <c r="H13017" s="13" t="s">
        <v>24690</v>
      </c>
      <c r="I13017" s="40" t="s">
        <v>18</v>
      </c>
      <c r="J13017" s="40" t="str">
        <f>HYPERLINK("https://stock.pstatic.net/stock-research/company/57/20250425_company_859942000.pdf","PDF")</f>
        <v>PDF</v>
      </c>
      <c r="K13017" s="12" t="s">
        <v>24691</v>
      </c>
      <c r="L13017" s="20">
        <v>1.879377431906615</v>
      </c>
    </row>
    <row r="13018" spans="1:12" x14ac:dyDescent="0.45">
      <c r="A13018" s="12" t="s">
        <v>24250</v>
      </c>
      <c r="B13018" s="12" t="s">
        <v>3478</v>
      </c>
      <c r="C13018" s="13" t="s">
        <v>3479</v>
      </c>
      <c r="D13018" s="13" t="s">
        <v>65</v>
      </c>
      <c r="E13018" s="12" t="s">
        <v>35</v>
      </c>
      <c r="F13018" s="14">
        <v>43000</v>
      </c>
      <c r="G13018" s="14">
        <v>24250</v>
      </c>
      <c r="H13018" s="13" t="s">
        <v>24692</v>
      </c>
      <c r="I13018" s="40" t="s">
        <v>18</v>
      </c>
      <c r="J13018" s="40" t="str">
        <f>HYPERLINK("https://stock.pstatic.net/stock-research/company/57/20250425_company_840103000.pdf","PDF")</f>
        <v>PDF</v>
      </c>
      <c r="K13018" s="12" t="s">
        <v>24693</v>
      </c>
      <c r="L13018" s="20">
        <v>0.77319587628865982</v>
      </c>
    </row>
    <row r="13019" spans="1:12" x14ac:dyDescent="0.45">
      <c r="A13019" s="12" t="s">
        <v>24250</v>
      </c>
      <c r="B13019" s="12" t="s">
        <v>3373</v>
      </c>
      <c r="C13019" s="13" t="s">
        <v>3374</v>
      </c>
      <c r="D13019" s="13" t="s">
        <v>65</v>
      </c>
      <c r="E13019" s="12" t="s">
        <v>35</v>
      </c>
      <c r="F13019" s="14">
        <v>115000</v>
      </c>
      <c r="G13019" s="14">
        <v>84600</v>
      </c>
      <c r="H13019" s="13" t="s">
        <v>8769</v>
      </c>
      <c r="I13019" s="40" t="s">
        <v>18</v>
      </c>
      <c r="J13019" s="40" t="str">
        <f>HYPERLINK("https://stock.pstatic.net/stock-research/company/57/20250425_company_233464000.pdf","PDF")</f>
        <v>PDF</v>
      </c>
      <c r="K13019" s="12" t="s">
        <v>24694</v>
      </c>
      <c r="L13019" s="20">
        <v>0.35933806146572111</v>
      </c>
    </row>
    <row r="13020" spans="1:12" x14ac:dyDescent="0.45">
      <c r="A13020" s="12" t="s">
        <v>24250</v>
      </c>
      <c r="B13020" s="12" t="s">
        <v>1781</v>
      </c>
      <c r="C13020" s="13" t="s">
        <v>1782</v>
      </c>
      <c r="D13020" s="13" t="s">
        <v>15</v>
      </c>
      <c r="E13020" s="12" t="s">
        <v>16</v>
      </c>
      <c r="F13020" s="14">
        <v>120000</v>
      </c>
      <c r="G13020" s="14">
        <v>70300</v>
      </c>
      <c r="H13020" s="13" t="s">
        <v>24695</v>
      </c>
      <c r="I13020" s="40" t="s">
        <v>18</v>
      </c>
      <c r="J13020" s="40" t="str">
        <f>HYPERLINK("https://stock.pstatic.net/stock-research/company/29/20250425_company_446931000.pdf","PDF")</f>
        <v>PDF</v>
      </c>
      <c r="K13020" s="12" t="s">
        <v>24696</v>
      </c>
      <c r="L13020" s="20">
        <v>0.7069701280227596</v>
      </c>
    </row>
    <row r="13021" spans="1:12" x14ac:dyDescent="0.45">
      <c r="A13021" s="12" t="s">
        <v>24250</v>
      </c>
      <c r="B13021" s="12" t="s">
        <v>3478</v>
      </c>
      <c r="C13021" s="13" t="s">
        <v>3479</v>
      </c>
      <c r="D13021" s="13" t="s">
        <v>15</v>
      </c>
      <c r="E13021" s="12" t="s">
        <v>16</v>
      </c>
      <c r="F13021" s="14">
        <v>36000</v>
      </c>
      <c r="G13021" s="14">
        <v>24250</v>
      </c>
      <c r="H13021" s="13" t="s">
        <v>24697</v>
      </c>
      <c r="I13021" s="40" t="s">
        <v>18</v>
      </c>
      <c r="J13021" s="40" t="str">
        <f>HYPERLINK("https://stock.pstatic.net/stock-research/company/29/20250425_company_156296000.pdf","PDF")</f>
        <v>PDF</v>
      </c>
      <c r="K13021" s="12" t="s">
        <v>24698</v>
      </c>
      <c r="L13021" s="20">
        <v>0.4845360824742268</v>
      </c>
    </row>
    <row r="13022" spans="1:12" x14ac:dyDescent="0.45">
      <c r="A13022" s="12" t="s">
        <v>24250</v>
      </c>
      <c r="B13022" s="12" t="s">
        <v>2758</v>
      </c>
      <c r="C13022" s="13" t="s">
        <v>2759</v>
      </c>
      <c r="D13022" s="13" t="s">
        <v>15</v>
      </c>
      <c r="E13022" s="12" t="s">
        <v>16</v>
      </c>
      <c r="F13022" s="14">
        <v>430000</v>
      </c>
      <c r="G13022" s="14">
        <v>257000</v>
      </c>
      <c r="H13022" s="13" t="s">
        <v>24699</v>
      </c>
      <c r="I13022" s="40" t="s">
        <v>18</v>
      </c>
      <c r="J13022" s="40" t="str">
        <f>HYPERLINK("https://stock.pstatic.net/stock-research/company/29/20250425_company_71455000.pdf","PDF")</f>
        <v>PDF</v>
      </c>
      <c r="K13022" s="12" t="s">
        <v>24700</v>
      </c>
      <c r="L13022" s="20">
        <v>0.6731517509727627</v>
      </c>
    </row>
    <row r="13023" spans="1:12" x14ac:dyDescent="0.45">
      <c r="A13023" s="12" t="s">
        <v>24250</v>
      </c>
      <c r="B13023" s="12" t="s">
        <v>95</v>
      </c>
      <c r="C13023" s="13" t="s">
        <v>31</v>
      </c>
      <c r="D13023" s="13" t="s">
        <v>15</v>
      </c>
      <c r="E13023" s="12" t="s">
        <v>16</v>
      </c>
      <c r="F13023" s="14">
        <v>26000</v>
      </c>
      <c r="G13023" s="14">
        <v>19140</v>
      </c>
      <c r="H13023" s="13" t="s">
        <v>24701</v>
      </c>
      <c r="I13023" s="40" t="s">
        <v>18</v>
      </c>
      <c r="J13023" s="40" t="str">
        <f>HYPERLINK("https://stock.pstatic.net/stock-research/company/29/20250425_company_246905000.pdf","PDF")</f>
        <v>PDF</v>
      </c>
      <c r="K13023" s="12" t="s">
        <v>24702</v>
      </c>
      <c r="L13023" s="20">
        <v>0.35841170323928939</v>
      </c>
    </row>
    <row r="13024" spans="1:12" x14ac:dyDescent="0.45">
      <c r="A13024" s="12" t="s">
        <v>24250</v>
      </c>
      <c r="B13024" s="12" t="s">
        <v>334</v>
      </c>
      <c r="C13024" s="13" t="s">
        <v>335</v>
      </c>
      <c r="D13024" s="13" t="s">
        <v>15</v>
      </c>
      <c r="E13024" s="12" t="s">
        <v>16</v>
      </c>
      <c r="F13024" s="14">
        <v>244000</v>
      </c>
      <c r="G13024" s="14">
        <v>178300</v>
      </c>
      <c r="H13024" s="13" t="s">
        <v>24703</v>
      </c>
      <c r="I13024" s="40" t="s">
        <v>18</v>
      </c>
      <c r="J13024" s="40" t="str">
        <f>HYPERLINK("https://stock.pstatic.net/stock-research/company/29/20250425_company_590018000.pdf","PDF")</f>
        <v>PDF</v>
      </c>
      <c r="K13024" s="12" t="s">
        <v>24704</v>
      </c>
      <c r="L13024" s="20">
        <v>0.36848008973639929</v>
      </c>
    </row>
    <row r="13025" spans="1:12" x14ac:dyDescent="0.45">
      <c r="A13025" s="12" t="s">
        <v>24250</v>
      </c>
      <c r="B13025" s="12" t="s">
        <v>3024</v>
      </c>
      <c r="C13025" s="13" t="s">
        <v>3025</v>
      </c>
      <c r="D13025" s="13" t="s">
        <v>92</v>
      </c>
      <c r="E13025" s="12" t="s">
        <v>35</v>
      </c>
      <c r="F13025" s="14">
        <v>69000</v>
      </c>
      <c r="G13025" s="14">
        <v>49200</v>
      </c>
      <c r="H13025" s="13" t="s">
        <v>24705</v>
      </c>
      <c r="I13025" s="40" t="s">
        <v>18</v>
      </c>
      <c r="J13025" s="40" t="str">
        <f>HYPERLINK("https://stock.pstatic.net/stock-research/company/63/20250425_company_123539000.pdf","PDF")</f>
        <v>PDF</v>
      </c>
      <c r="K13025" s="12" t="s">
        <v>24706</v>
      </c>
      <c r="L13025" s="20">
        <v>0.40243902439024393</v>
      </c>
    </row>
    <row r="13026" spans="1:12" x14ac:dyDescent="0.45">
      <c r="A13026" s="12" t="s">
        <v>24250</v>
      </c>
      <c r="B13026" s="12" t="s">
        <v>908</v>
      </c>
      <c r="C13026" s="13" t="s">
        <v>909</v>
      </c>
      <c r="D13026" s="13" t="s">
        <v>15</v>
      </c>
      <c r="E13026" s="12" t="s">
        <v>16</v>
      </c>
      <c r="F13026" s="14">
        <v>179000</v>
      </c>
      <c r="G13026" s="14">
        <v>124300</v>
      </c>
      <c r="H13026" s="13" t="s">
        <v>24707</v>
      </c>
      <c r="I13026" s="40" t="s">
        <v>18</v>
      </c>
      <c r="J13026" s="40" t="str">
        <f>HYPERLINK("https://stock.pstatic.net/stock-research/company/29/20250425_company_153670000.pdf","PDF")</f>
        <v>PDF</v>
      </c>
      <c r="K13026" s="12" t="s">
        <v>24708</v>
      </c>
      <c r="L13026" s="20">
        <v>0.44006436041834268</v>
      </c>
    </row>
    <row r="13027" spans="1:12" x14ac:dyDescent="0.45">
      <c r="A13027" s="12" t="s">
        <v>24250</v>
      </c>
      <c r="B13027" s="12" t="s">
        <v>334</v>
      </c>
      <c r="C13027" s="13" t="s">
        <v>335</v>
      </c>
      <c r="D13027" s="13" t="s">
        <v>92</v>
      </c>
      <c r="E13027" s="12" t="s">
        <v>35</v>
      </c>
      <c r="F13027" s="14">
        <v>260000</v>
      </c>
      <c r="G13027" s="14">
        <v>178300</v>
      </c>
      <c r="H13027" s="13" t="s">
        <v>24709</v>
      </c>
      <c r="I13027" s="40" t="s">
        <v>18</v>
      </c>
      <c r="J13027" s="40" t="str">
        <f>HYPERLINK("https://stock.pstatic.net/stock-research/company/63/20250425_company_446490000.pdf","PDF")</f>
        <v>PDF</v>
      </c>
      <c r="K13027" s="12" t="s">
        <v>24710</v>
      </c>
      <c r="L13027" s="20">
        <v>0.45821648906337631</v>
      </c>
    </row>
    <row r="13028" spans="1:12" x14ac:dyDescent="0.45">
      <c r="A13028" s="12" t="s">
        <v>24250</v>
      </c>
      <c r="B13028" s="12" t="s">
        <v>519</v>
      </c>
      <c r="C13028" s="13" t="s">
        <v>520</v>
      </c>
      <c r="D13028" s="13" t="s">
        <v>15</v>
      </c>
      <c r="E13028" s="12" t="s">
        <v>16</v>
      </c>
      <c r="F13028" s="14">
        <v>320000</v>
      </c>
      <c r="G13028" s="14">
        <v>188900</v>
      </c>
      <c r="H13028" s="13" t="s">
        <v>24711</v>
      </c>
      <c r="I13028" s="40" t="s">
        <v>18</v>
      </c>
      <c r="J13028" s="40" t="str">
        <f>HYPERLINK("https://stock.pstatic.net/stock-research/company/29/20250425_company_551633000.pdf","PDF")</f>
        <v>PDF</v>
      </c>
      <c r="K13028" s="12" t="s">
        <v>24712</v>
      </c>
      <c r="L13028" s="20">
        <v>0.69401799894123872</v>
      </c>
    </row>
    <row r="13029" spans="1:12" x14ac:dyDescent="0.45">
      <c r="A13029" s="12" t="s">
        <v>24250</v>
      </c>
      <c r="B13029" s="12" t="s">
        <v>6178</v>
      </c>
      <c r="C13029" s="13" t="s">
        <v>6179</v>
      </c>
      <c r="D13029" s="13" t="s">
        <v>15</v>
      </c>
      <c r="E13029" s="12" t="s">
        <v>50</v>
      </c>
      <c r="F13029" s="13"/>
      <c r="G13029" s="14">
        <v>53700</v>
      </c>
      <c r="H13029" s="13" t="s">
        <v>24713</v>
      </c>
      <c r="I13029" s="40" t="s">
        <v>18</v>
      </c>
      <c r="J13029" s="40" t="str">
        <f>HYPERLINK("https://stock.pstatic.net/stock-research/company/29/20250425_company_326096000.pdf","PDF")</f>
        <v>PDF</v>
      </c>
      <c r="K13029" s="12" t="s">
        <v>24714</v>
      </c>
    </row>
    <row r="13030" spans="1:12" x14ac:dyDescent="0.45">
      <c r="A13030" s="12" t="s">
        <v>24250</v>
      </c>
      <c r="B13030" s="12" t="s">
        <v>519</v>
      </c>
      <c r="C13030" s="13" t="s">
        <v>520</v>
      </c>
      <c r="D13030" s="13" t="s">
        <v>83</v>
      </c>
      <c r="E13030" s="12" t="s">
        <v>35</v>
      </c>
      <c r="F13030" s="14">
        <v>280000</v>
      </c>
      <c r="G13030" s="14">
        <v>188900</v>
      </c>
      <c r="H13030" s="13" t="s">
        <v>24715</v>
      </c>
      <c r="I13030" s="40" t="s">
        <v>18</v>
      </c>
      <c r="J13030" s="40" t="str">
        <f>HYPERLINK("https://stock.pstatic.net/stock-research/company/2/20250425_company_210645000.pdf","PDF")</f>
        <v>PDF</v>
      </c>
      <c r="K13030" s="12" t="s">
        <v>24716</v>
      </c>
      <c r="L13030" s="20">
        <v>0.48226574907358388</v>
      </c>
    </row>
    <row r="13031" spans="1:12" x14ac:dyDescent="0.45">
      <c r="A13031" s="12" t="s">
        <v>24250</v>
      </c>
      <c r="B13031" s="12" t="s">
        <v>3373</v>
      </c>
      <c r="C13031" s="13" t="s">
        <v>3374</v>
      </c>
      <c r="D13031" s="13" t="s">
        <v>83</v>
      </c>
      <c r="E13031" s="12" t="s">
        <v>35</v>
      </c>
      <c r="F13031" s="14">
        <v>112000</v>
      </c>
      <c r="G13031" s="14">
        <v>84600</v>
      </c>
      <c r="H13031" s="13" t="s">
        <v>24474</v>
      </c>
      <c r="I13031" s="40" t="s">
        <v>18</v>
      </c>
      <c r="J13031" s="40" t="str">
        <f>HYPERLINK("https://stock.pstatic.net/stock-research/company/2/20250425_company_297423000.pdf","PDF")</f>
        <v>PDF</v>
      </c>
      <c r="K13031" s="12" t="s">
        <v>24717</v>
      </c>
      <c r="L13031" s="20">
        <v>0.32387706855791959</v>
      </c>
    </row>
    <row r="13032" spans="1:12" x14ac:dyDescent="0.45">
      <c r="A13032" s="12" t="s">
        <v>24250</v>
      </c>
      <c r="B13032" s="12" t="s">
        <v>330</v>
      </c>
      <c r="C13032" s="13" t="s">
        <v>331</v>
      </c>
      <c r="D13032" s="13" t="s">
        <v>83</v>
      </c>
      <c r="E13032" s="12" t="s">
        <v>35</v>
      </c>
      <c r="F13032" s="14">
        <v>37000</v>
      </c>
      <c r="G13032" s="14">
        <v>27100</v>
      </c>
      <c r="H13032" s="13" t="s">
        <v>24476</v>
      </c>
      <c r="I13032" s="40" t="s">
        <v>18</v>
      </c>
      <c r="J13032" s="40" t="str">
        <f>HYPERLINK("https://stock.pstatic.net/stock-research/company/2/20250425_company_521333000.pdf","PDF")</f>
        <v>PDF</v>
      </c>
      <c r="K13032" s="12" t="s">
        <v>24718</v>
      </c>
      <c r="L13032" s="20">
        <v>0.36531365313653141</v>
      </c>
    </row>
    <row r="13033" spans="1:12" x14ac:dyDescent="0.45">
      <c r="A13033" s="12" t="s">
        <v>24250</v>
      </c>
      <c r="B13033" s="12" t="s">
        <v>2435</v>
      </c>
      <c r="C13033" s="13" t="s">
        <v>2436</v>
      </c>
      <c r="D13033" s="13" t="s">
        <v>83</v>
      </c>
      <c r="E13033" s="12" t="s">
        <v>35</v>
      </c>
      <c r="F13033" s="14">
        <v>450000</v>
      </c>
      <c r="G13033" s="14">
        <v>376000</v>
      </c>
      <c r="H13033" s="13" t="s">
        <v>24478</v>
      </c>
      <c r="I13033" s="40" t="s">
        <v>18</v>
      </c>
      <c r="J13033" s="40" t="str">
        <f>HYPERLINK("https://stock.pstatic.net/stock-research/company/2/20250425_company_119004000.pdf","PDF")</f>
        <v>PDF</v>
      </c>
      <c r="K13033" s="12" t="s">
        <v>24719</v>
      </c>
      <c r="L13033" s="20">
        <v>0.19680851063829791</v>
      </c>
    </row>
    <row r="13034" spans="1:12" x14ac:dyDescent="0.45">
      <c r="A13034" s="12" t="s">
        <v>24250</v>
      </c>
      <c r="B13034" s="12" t="s">
        <v>13410</v>
      </c>
      <c r="C13034" s="13" t="s">
        <v>13411</v>
      </c>
      <c r="D13034" s="13" t="s">
        <v>83</v>
      </c>
      <c r="E13034" s="12" t="s">
        <v>35</v>
      </c>
      <c r="F13034" s="14">
        <v>190000</v>
      </c>
      <c r="G13034" s="14">
        <v>158500</v>
      </c>
      <c r="H13034" s="13" t="s">
        <v>24480</v>
      </c>
      <c r="I13034" s="40" t="s">
        <v>18</v>
      </c>
      <c r="J13034" s="40" t="str">
        <f>HYPERLINK("https://stock.pstatic.net/stock-research/company/2/20250425_company_121763000.pdf","PDF")</f>
        <v>PDF</v>
      </c>
      <c r="K13034" s="12" t="s">
        <v>24720</v>
      </c>
      <c r="L13034" s="20">
        <v>0.1987381703470032</v>
      </c>
    </row>
    <row r="13035" spans="1:12" x14ac:dyDescent="0.45">
      <c r="A13035" s="12" t="s">
        <v>24250</v>
      </c>
      <c r="B13035" s="12" t="s">
        <v>1781</v>
      </c>
      <c r="C13035" s="13" t="s">
        <v>1782</v>
      </c>
      <c r="D13035" s="13" t="s">
        <v>83</v>
      </c>
      <c r="E13035" s="12" t="s">
        <v>35</v>
      </c>
      <c r="F13035" s="14">
        <v>120000</v>
      </c>
      <c r="G13035" s="14">
        <v>70300</v>
      </c>
      <c r="H13035" s="13" t="s">
        <v>24721</v>
      </c>
      <c r="I13035" s="40" t="s">
        <v>18</v>
      </c>
      <c r="J13035" s="40" t="str">
        <f>HYPERLINK("https://stock.pstatic.net/stock-research/company/2/20250425_company_364809000.pdf","PDF")</f>
        <v>PDF</v>
      </c>
      <c r="K13035" s="12" t="s">
        <v>24722</v>
      </c>
      <c r="L13035" s="20">
        <v>0.7069701280227596</v>
      </c>
    </row>
    <row r="13036" spans="1:12" x14ac:dyDescent="0.45">
      <c r="A13036" s="12" t="s">
        <v>24250</v>
      </c>
      <c r="B13036" s="12" t="s">
        <v>744</v>
      </c>
      <c r="C13036" s="13" t="s">
        <v>745</v>
      </c>
      <c r="D13036" s="13" t="s">
        <v>83</v>
      </c>
      <c r="E13036" s="12" t="s">
        <v>35</v>
      </c>
      <c r="F13036" s="14">
        <v>17000</v>
      </c>
      <c r="G13036" s="14">
        <v>14590</v>
      </c>
      <c r="H13036" s="13" t="s">
        <v>24484</v>
      </c>
      <c r="I13036" s="40" t="s">
        <v>18</v>
      </c>
      <c r="J13036" s="40" t="str">
        <f>HYPERLINK("https://stock.pstatic.net/stock-research/company/2/20250425_company_141919000.pdf","PDF")</f>
        <v>PDF</v>
      </c>
      <c r="K13036" s="12" t="s">
        <v>24723</v>
      </c>
      <c r="L13036" s="20">
        <v>0.16518163125428381</v>
      </c>
    </row>
    <row r="13037" spans="1:12" x14ac:dyDescent="0.45">
      <c r="A13037" s="12" t="s">
        <v>24250</v>
      </c>
      <c r="B13037" s="12" t="s">
        <v>744</v>
      </c>
      <c r="C13037" s="13" t="s">
        <v>745</v>
      </c>
      <c r="D13037" s="13" t="s">
        <v>92</v>
      </c>
      <c r="E13037" s="12" t="s">
        <v>35</v>
      </c>
      <c r="F13037" s="14">
        <v>18000</v>
      </c>
      <c r="G13037" s="14">
        <v>14590</v>
      </c>
      <c r="H13037" s="13" t="s">
        <v>24724</v>
      </c>
      <c r="I13037" s="40" t="s">
        <v>18</v>
      </c>
      <c r="J13037" s="40" t="str">
        <f>HYPERLINK("https://stock.pstatic.net/stock-research/company/63/20250425_company_788927000.pdf","PDF")</f>
        <v>PDF</v>
      </c>
      <c r="K13037" s="12" t="s">
        <v>24725</v>
      </c>
      <c r="L13037" s="20">
        <v>0.23372172721041809</v>
      </c>
    </row>
    <row r="13038" spans="1:12" x14ac:dyDescent="0.45">
      <c r="A13038" s="12" t="s">
        <v>24250</v>
      </c>
      <c r="B13038" s="12" t="s">
        <v>768</v>
      </c>
      <c r="C13038" s="13" t="s">
        <v>769</v>
      </c>
      <c r="D13038" s="13" t="s">
        <v>92</v>
      </c>
      <c r="E13038" s="12" t="s">
        <v>35</v>
      </c>
      <c r="F13038" s="14">
        <v>240000</v>
      </c>
      <c r="G13038" s="14">
        <v>169600</v>
      </c>
      <c r="H13038" s="13" t="s">
        <v>24726</v>
      </c>
      <c r="I13038" s="40" t="s">
        <v>18</v>
      </c>
      <c r="J13038" s="40" t="str">
        <f>HYPERLINK("https://stock.pstatic.net/stock-research/company/63/20250425_company_984618000.pdf","PDF")</f>
        <v>PDF</v>
      </c>
      <c r="K13038" s="12" t="s">
        <v>24727</v>
      </c>
      <c r="L13038" s="20">
        <v>0.41509433962264147</v>
      </c>
    </row>
    <row r="13039" spans="1:12" x14ac:dyDescent="0.45">
      <c r="A13039" s="12" t="s">
        <v>24250</v>
      </c>
      <c r="B13039" s="12" t="s">
        <v>330</v>
      </c>
      <c r="C13039" s="13" t="s">
        <v>331</v>
      </c>
      <c r="D13039" s="13" t="s">
        <v>15</v>
      </c>
      <c r="E13039" s="12" t="s">
        <v>16</v>
      </c>
      <c r="F13039" s="14">
        <v>38000</v>
      </c>
      <c r="G13039" s="14">
        <v>27100</v>
      </c>
      <c r="H13039" s="13" t="s">
        <v>24728</v>
      </c>
      <c r="I13039" s="40" t="s">
        <v>18</v>
      </c>
      <c r="J13039" s="40" t="str">
        <f>HYPERLINK("https://stock.pstatic.net/stock-research/company/29/20250425_company_411719000.pdf","PDF")</f>
        <v>PDF</v>
      </c>
      <c r="K13039" s="12" t="s">
        <v>24729</v>
      </c>
      <c r="L13039" s="20">
        <v>0.40221402214022139</v>
      </c>
    </row>
    <row r="13040" spans="1:12" x14ac:dyDescent="0.45">
      <c r="A13040" s="12" t="s">
        <v>24250</v>
      </c>
      <c r="B13040" s="12" t="s">
        <v>756</v>
      </c>
      <c r="C13040" s="13" t="s">
        <v>757</v>
      </c>
      <c r="D13040" s="13" t="s">
        <v>92</v>
      </c>
      <c r="E13040" s="12" t="s">
        <v>35</v>
      </c>
      <c r="F13040" s="14">
        <v>96000</v>
      </c>
      <c r="G13040" s="14">
        <v>75500</v>
      </c>
      <c r="H13040" s="13" t="s">
        <v>24730</v>
      </c>
      <c r="I13040" s="40" t="s">
        <v>18</v>
      </c>
      <c r="J13040" s="40" t="str">
        <f>HYPERLINK("https://stock.pstatic.net/stock-research/company/63/20250425_company_79180000.pdf","PDF")</f>
        <v>PDF</v>
      </c>
      <c r="K13040" s="12" t="s">
        <v>24731</v>
      </c>
      <c r="L13040" s="20">
        <v>0.27152317880794702</v>
      </c>
    </row>
    <row r="13041" spans="1:12" x14ac:dyDescent="0.45">
      <c r="A13041" s="12" t="s">
        <v>24250</v>
      </c>
      <c r="B13041" s="12" t="s">
        <v>3373</v>
      </c>
      <c r="C13041" s="13" t="s">
        <v>3374</v>
      </c>
      <c r="D13041" s="13" t="s">
        <v>15</v>
      </c>
      <c r="E13041" s="12" t="s">
        <v>16</v>
      </c>
      <c r="F13041" s="14">
        <v>120000</v>
      </c>
      <c r="G13041" s="14">
        <v>84600</v>
      </c>
      <c r="H13041" s="13" t="s">
        <v>24732</v>
      </c>
      <c r="I13041" s="40" t="s">
        <v>18</v>
      </c>
      <c r="J13041" s="40" t="str">
        <f>HYPERLINK("https://stock.pstatic.net/stock-research/company/29/20250425_company_583153000.pdf","PDF")</f>
        <v>PDF</v>
      </c>
      <c r="K13041" s="12" t="s">
        <v>24733</v>
      </c>
      <c r="L13041" s="20">
        <v>0.41843971631205668</v>
      </c>
    </row>
    <row r="13042" spans="1:12" x14ac:dyDescent="0.45">
      <c r="A13042" s="12" t="s">
        <v>24250</v>
      </c>
      <c r="B13042" s="12" t="s">
        <v>2435</v>
      </c>
      <c r="C13042" s="13" t="s">
        <v>2436</v>
      </c>
      <c r="D13042" s="13" t="s">
        <v>92</v>
      </c>
      <c r="E13042" s="12" t="s">
        <v>35</v>
      </c>
      <c r="F13042" s="14">
        <v>450000</v>
      </c>
      <c r="G13042" s="14">
        <v>376000</v>
      </c>
      <c r="H13042" s="13" t="s">
        <v>24734</v>
      </c>
      <c r="I13042" s="40" t="s">
        <v>18</v>
      </c>
      <c r="J13042" s="40" t="str">
        <f>HYPERLINK("https://stock.pstatic.net/stock-research/company/63/20250425_company_195161000.pdf","PDF")</f>
        <v>PDF</v>
      </c>
      <c r="K13042" s="12" t="s">
        <v>24735</v>
      </c>
      <c r="L13042" s="20">
        <v>0.19680851063829791</v>
      </c>
    </row>
    <row r="13043" spans="1:12" x14ac:dyDescent="0.45">
      <c r="A13043" s="12" t="s">
        <v>24250</v>
      </c>
      <c r="B13043" s="12" t="s">
        <v>330</v>
      </c>
      <c r="C13043" s="13" t="s">
        <v>331</v>
      </c>
      <c r="D13043" s="13" t="s">
        <v>92</v>
      </c>
      <c r="E13043" s="12" t="s">
        <v>35</v>
      </c>
      <c r="F13043" s="14">
        <v>33000</v>
      </c>
      <c r="G13043" s="14">
        <v>21450</v>
      </c>
      <c r="H13043" s="13" t="s">
        <v>24736</v>
      </c>
      <c r="I13043" s="40" t="s">
        <v>18</v>
      </c>
      <c r="J13043" s="40" t="str">
        <f>HYPERLINK("https://stock.pstatic.net/stock-research/company/63/20250425_company_873006000.pdf","PDF")</f>
        <v>PDF</v>
      </c>
      <c r="K13043" s="12" t="s">
        <v>24737</v>
      </c>
      <c r="L13043" s="20">
        <v>0.53846153846153844</v>
      </c>
    </row>
    <row r="13044" spans="1:12" x14ac:dyDescent="0.45">
      <c r="A13044" s="12" t="s">
        <v>24250</v>
      </c>
      <c r="B13044" s="12" t="s">
        <v>1781</v>
      </c>
      <c r="C13044" s="13" t="s">
        <v>1782</v>
      </c>
      <c r="D13044" s="13" t="s">
        <v>53</v>
      </c>
      <c r="E13044" s="12" t="s">
        <v>16</v>
      </c>
      <c r="F13044" s="14">
        <v>120000</v>
      </c>
      <c r="G13044" s="14">
        <v>70300</v>
      </c>
      <c r="H13044" s="13" t="s">
        <v>24738</v>
      </c>
      <c r="I13044" s="40" t="s">
        <v>18</v>
      </c>
      <c r="J13044" s="40" t="str">
        <f>HYPERLINK("https://stock.pstatic.net/stock-research/company/40/20250425_company_98602000.pdf","PDF")</f>
        <v>PDF</v>
      </c>
      <c r="K13044" s="12" t="s">
        <v>24739</v>
      </c>
      <c r="L13044" s="20">
        <v>0.7069701280227596</v>
      </c>
    </row>
    <row r="13045" spans="1:12" x14ac:dyDescent="0.45">
      <c r="A13045" s="12" t="s">
        <v>24250</v>
      </c>
      <c r="B13045" s="12" t="s">
        <v>736</v>
      </c>
      <c r="C13045" s="13" t="s">
        <v>737</v>
      </c>
      <c r="D13045" s="13" t="s">
        <v>92</v>
      </c>
      <c r="E13045" s="12" t="s">
        <v>35</v>
      </c>
      <c r="F13045" s="14">
        <v>117000</v>
      </c>
      <c r="G13045" s="14">
        <v>71500</v>
      </c>
      <c r="H13045" s="13" t="s">
        <v>24740</v>
      </c>
      <c r="I13045" s="40" t="s">
        <v>18</v>
      </c>
      <c r="J13045" s="40" t="str">
        <f>HYPERLINK("https://stock.pstatic.net/stock-research/company/63/20250425_company_161305000.pdf","PDF")</f>
        <v>PDF</v>
      </c>
      <c r="K13045" s="12" t="s">
        <v>24741</v>
      </c>
      <c r="L13045" s="20">
        <v>0.63636363636363635</v>
      </c>
    </row>
    <row r="13046" spans="1:12" x14ac:dyDescent="0.45">
      <c r="A13046" s="12" t="s">
        <v>24250</v>
      </c>
      <c r="B13046" s="12" t="s">
        <v>744</v>
      </c>
      <c r="C13046" s="13" t="s">
        <v>745</v>
      </c>
      <c r="D13046" s="13" t="s">
        <v>53</v>
      </c>
      <c r="E13046" s="12" t="s">
        <v>16</v>
      </c>
      <c r="F13046" s="14">
        <v>18000</v>
      </c>
      <c r="G13046" s="14">
        <v>14590</v>
      </c>
      <c r="H13046" s="13" t="s">
        <v>24742</v>
      </c>
      <c r="I13046" s="40" t="s">
        <v>18</v>
      </c>
      <c r="J13046" s="40" t="str">
        <f>HYPERLINK("https://stock.pstatic.net/stock-research/company/40/20250425_company_85946000.pdf","PDF")</f>
        <v>PDF</v>
      </c>
      <c r="K13046" s="12" t="s">
        <v>24743</v>
      </c>
      <c r="L13046" s="20">
        <v>0.23372172721041809</v>
      </c>
    </row>
    <row r="13047" spans="1:12" x14ac:dyDescent="0.45">
      <c r="A13047" s="12" t="s">
        <v>24250</v>
      </c>
      <c r="B13047" s="12" t="s">
        <v>736</v>
      </c>
      <c r="C13047" s="13" t="s">
        <v>737</v>
      </c>
      <c r="D13047" s="13" t="s">
        <v>15</v>
      </c>
      <c r="E13047" s="12" t="s">
        <v>16</v>
      </c>
      <c r="F13047" s="14">
        <v>93000</v>
      </c>
      <c r="G13047" s="14">
        <v>71500</v>
      </c>
      <c r="H13047" s="13" t="s">
        <v>24744</v>
      </c>
      <c r="I13047" s="40" t="s">
        <v>18</v>
      </c>
      <c r="J13047" s="40" t="str">
        <f>HYPERLINK("https://stock.pstatic.net/stock-research/company/29/20250425_company_575018000.pdf","PDF")</f>
        <v>PDF</v>
      </c>
      <c r="K13047" s="12" t="s">
        <v>24745</v>
      </c>
      <c r="L13047" s="20">
        <v>0.30069930069930068</v>
      </c>
    </row>
    <row r="13048" spans="1:12" x14ac:dyDescent="0.45">
      <c r="A13048" s="12" t="s">
        <v>24250</v>
      </c>
      <c r="B13048" s="12" t="s">
        <v>1781</v>
      </c>
      <c r="C13048" s="13" t="s">
        <v>1782</v>
      </c>
      <c r="D13048" s="13" t="s">
        <v>179</v>
      </c>
      <c r="E13048" s="12" t="s">
        <v>16</v>
      </c>
      <c r="F13048" s="14">
        <v>100000</v>
      </c>
      <c r="G13048" s="14">
        <v>70300</v>
      </c>
      <c r="H13048" s="13" t="s">
        <v>24746</v>
      </c>
      <c r="I13048" s="40" t="s">
        <v>18</v>
      </c>
      <c r="J13048" s="40" t="str">
        <f>HYPERLINK("https://stock.pstatic.net/stock-research/company/64/20250425_company_576821000.pdf","PDF")</f>
        <v>PDF</v>
      </c>
      <c r="K13048" s="12" t="s">
        <v>24747</v>
      </c>
      <c r="L13048" s="20">
        <v>0.42247510668563298</v>
      </c>
    </row>
    <row r="13049" spans="1:12" x14ac:dyDescent="0.45">
      <c r="A13049" s="12" t="s">
        <v>24250</v>
      </c>
      <c r="B13049" s="12" t="s">
        <v>3478</v>
      </c>
      <c r="C13049" s="13" t="s">
        <v>3479</v>
      </c>
      <c r="D13049" s="13" t="s">
        <v>92</v>
      </c>
      <c r="E13049" s="12" t="s">
        <v>35</v>
      </c>
      <c r="F13049" s="14">
        <v>30000</v>
      </c>
      <c r="G13049" s="14">
        <v>24250</v>
      </c>
      <c r="H13049" s="13" t="s">
        <v>24748</v>
      </c>
      <c r="I13049" s="40" t="s">
        <v>18</v>
      </c>
      <c r="J13049" s="40" t="str">
        <f>HYPERLINK("https://stock.pstatic.net/stock-research/company/63/20250425_company_49288000.pdf","PDF")</f>
        <v>PDF</v>
      </c>
      <c r="K13049" s="12" t="s">
        <v>24749</v>
      </c>
      <c r="L13049" s="20">
        <v>0.23711340206185569</v>
      </c>
    </row>
    <row r="13050" spans="1:12" x14ac:dyDescent="0.45">
      <c r="A13050" s="12" t="s">
        <v>24250</v>
      </c>
      <c r="B13050" s="12" t="s">
        <v>519</v>
      </c>
      <c r="C13050" s="13" t="s">
        <v>520</v>
      </c>
      <c r="D13050" s="13" t="s">
        <v>53</v>
      </c>
      <c r="E13050" s="12" t="s">
        <v>16</v>
      </c>
      <c r="F13050" s="14">
        <v>330000</v>
      </c>
      <c r="G13050" s="14">
        <v>188900</v>
      </c>
      <c r="H13050" s="13" t="s">
        <v>24750</v>
      </c>
      <c r="I13050" s="40" t="s">
        <v>18</v>
      </c>
      <c r="J13050" s="40" t="str">
        <f>HYPERLINK("https://stock.pstatic.net/stock-research/company/40/20250425_company_181452000.pdf","PDF")</f>
        <v>PDF</v>
      </c>
      <c r="K13050" s="12" t="s">
        <v>24751</v>
      </c>
      <c r="L13050" s="20">
        <v>0.74695606140815252</v>
      </c>
    </row>
    <row r="13051" spans="1:12" x14ac:dyDescent="0.45">
      <c r="A13051" s="12" t="s">
        <v>24250</v>
      </c>
      <c r="B13051" s="12" t="s">
        <v>2758</v>
      </c>
      <c r="C13051" s="13" t="s">
        <v>2759</v>
      </c>
      <c r="D13051" s="13" t="s">
        <v>92</v>
      </c>
      <c r="E13051" s="12" t="s">
        <v>35</v>
      </c>
      <c r="F13051" s="14">
        <v>390000</v>
      </c>
      <c r="G13051" s="14">
        <v>257000</v>
      </c>
      <c r="H13051" s="13" t="s">
        <v>24752</v>
      </c>
      <c r="I13051" s="40" t="s">
        <v>18</v>
      </c>
      <c r="J13051" s="40" t="str">
        <f>HYPERLINK("https://stock.pstatic.net/stock-research/company/63/20250425_company_925852000.pdf","PDF")</f>
        <v>PDF</v>
      </c>
      <c r="K13051" s="12" t="s">
        <v>24753</v>
      </c>
      <c r="L13051" s="20">
        <v>0.51750972762645919</v>
      </c>
    </row>
    <row r="13052" spans="1:12" x14ac:dyDescent="0.45">
      <c r="A13052" s="12" t="s">
        <v>24250</v>
      </c>
      <c r="B13052" s="12" t="s">
        <v>13410</v>
      </c>
      <c r="C13052" s="13" t="s">
        <v>13411</v>
      </c>
      <c r="D13052" s="13" t="s">
        <v>34</v>
      </c>
      <c r="E13052" s="12" t="s">
        <v>35</v>
      </c>
      <c r="F13052" s="14">
        <v>224000</v>
      </c>
      <c r="G13052" s="14">
        <v>158500</v>
      </c>
      <c r="H13052" s="13" t="s">
        <v>24754</v>
      </c>
      <c r="I13052" s="40" t="s">
        <v>18</v>
      </c>
      <c r="J13052" s="40" t="str">
        <f>HYPERLINK("https://stock.pstatic.net/stock-research/company/61/20250425_company_958871000.pdf","PDF")</f>
        <v>PDF</v>
      </c>
      <c r="K13052" s="12" t="s">
        <v>24755</v>
      </c>
      <c r="L13052" s="20">
        <v>0.41324921135646692</v>
      </c>
    </row>
    <row r="13053" spans="1:12" x14ac:dyDescent="0.45">
      <c r="A13053" s="12" t="s">
        <v>24250</v>
      </c>
      <c r="B13053" s="12" t="s">
        <v>95</v>
      </c>
      <c r="C13053" s="13" t="s">
        <v>31</v>
      </c>
      <c r="D13053" s="13" t="s">
        <v>34</v>
      </c>
      <c r="E13053" s="12" t="s">
        <v>35</v>
      </c>
      <c r="F13053" s="14">
        <v>27000</v>
      </c>
      <c r="G13053" s="14">
        <v>19140</v>
      </c>
      <c r="H13053" s="13" t="s">
        <v>24756</v>
      </c>
      <c r="I13053" s="40" t="s">
        <v>18</v>
      </c>
      <c r="J13053" s="40" t="str">
        <f>HYPERLINK("https://stock.pstatic.net/stock-research/company/61/20250425_company_131555000.pdf","PDF")</f>
        <v>PDF</v>
      </c>
      <c r="K13053" s="12" t="s">
        <v>24757</v>
      </c>
      <c r="L13053" s="20">
        <v>0.41065830721003133</v>
      </c>
    </row>
    <row r="13054" spans="1:12" x14ac:dyDescent="0.45">
      <c r="A13054" s="12" t="s">
        <v>24250</v>
      </c>
      <c r="B13054" s="12" t="s">
        <v>2435</v>
      </c>
      <c r="C13054" s="13" t="s">
        <v>2436</v>
      </c>
      <c r="D13054" s="13" t="s">
        <v>34</v>
      </c>
      <c r="E13054" s="12" t="s">
        <v>35</v>
      </c>
      <c r="F13054" s="14">
        <v>518000</v>
      </c>
      <c r="G13054" s="14">
        <v>376000</v>
      </c>
      <c r="H13054" s="13" t="s">
        <v>24758</v>
      </c>
      <c r="I13054" s="40" t="s">
        <v>18</v>
      </c>
      <c r="J13054" s="40" t="str">
        <f>HYPERLINK("https://stock.pstatic.net/stock-research/company/61/20250425_company_455002000.pdf","PDF")</f>
        <v>PDF</v>
      </c>
      <c r="K13054" s="12" t="s">
        <v>24759</v>
      </c>
      <c r="L13054" s="20">
        <v>0.37765957446808512</v>
      </c>
    </row>
    <row r="13055" spans="1:12" x14ac:dyDescent="0.45">
      <c r="A13055" s="12" t="s">
        <v>24250</v>
      </c>
      <c r="B13055" s="12" t="s">
        <v>2758</v>
      </c>
      <c r="C13055" s="13" t="s">
        <v>2759</v>
      </c>
      <c r="D13055" s="13" t="s">
        <v>34</v>
      </c>
      <c r="E13055" s="12" t="s">
        <v>35</v>
      </c>
      <c r="F13055" s="14">
        <v>360000</v>
      </c>
      <c r="G13055" s="14">
        <v>257000</v>
      </c>
      <c r="H13055" s="13" t="s">
        <v>24760</v>
      </c>
      <c r="I13055" s="40" t="s">
        <v>18</v>
      </c>
      <c r="J13055" s="40" t="str">
        <f>HYPERLINK("https://stock.pstatic.net/stock-research/company/61/20250425_company_339308000.pdf","PDF")</f>
        <v>PDF</v>
      </c>
      <c r="K13055" s="12" t="s">
        <v>24761</v>
      </c>
      <c r="L13055" s="20">
        <v>0.40077821011673148</v>
      </c>
    </row>
    <row r="13056" spans="1:12" x14ac:dyDescent="0.45">
      <c r="A13056" s="12" t="s">
        <v>24250</v>
      </c>
      <c r="B13056" s="12" t="s">
        <v>398</v>
      </c>
      <c r="C13056" s="13" t="s">
        <v>399</v>
      </c>
      <c r="D13056" s="13" t="s">
        <v>53</v>
      </c>
      <c r="E13056" s="12" t="s">
        <v>16</v>
      </c>
      <c r="F13056" s="14">
        <v>160000</v>
      </c>
      <c r="G13056" s="14">
        <v>130200</v>
      </c>
      <c r="H13056" s="13" t="s">
        <v>24762</v>
      </c>
      <c r="I13056" s="40" t="s">
        <v>18</v>
      </c>
      <c r="J13056" s="40" t="str">
        <f>HYPERLINK("https://stock.pstatic.net/stock-research/company/40/20250425_company_300481000.pdf","PDF")</f>
        <v>PDF</v>
      </c>
      <c r="K13056" s="12" t="s">
        <v>24763</v>
      </c>
      <c r="L13056" s="20">
        <v>0.22887864823348689</v>
      </c>
    </row>
    <row r="13057" spans="1:12" x14ac:dyDescent="0.45">
      <c r="A13057" s="12" t="s">
        <v>24250</v>
      </c>
      <c r="B13057" s="12" t="s">
        <v>3478</v>
      </c>
      <c r="C13057" s="13" t="s">
        <v>3479</v>
      </c>
      <c r="D13057" s="13" t="s">
        <v>34</v>
      </c>
      <c r="E13057" s="12" t="s">
        <v>35</v>
      </c>
      <c r="F13057" s="14">
        <v>28000</v>
      </c>
      <c r="G13057" s="14">
        <v>24250</v>
      </c>
      <c r="H13057" s="13" t="s">
        <v>24764</v>
      </c>
      <c r="I13057" s="40" t="s">
        <v>18</v>
      </c>
      <c r="J13057" s="40" t="str">
        <f>HYPERLINK("https://stock.pstatic.net/stock-research/company/61/20250425_company_1378000.pdf","PDF")</f>
        <v>PDF</v>
      </c>
      <c r="K13057" s="12" t="s">
        <v>24765</v>
      </c>
      <c r="L13057" s="20">
        <v>0.15463917525773199</v>
      </c>
    </row>
    <row r="13058" spans="1:12" x14ac:dyDescent="0.45">
      <c r="A13058" s="12" t="s">
        <v>24250</v>
      </c>
      <c r="B13058" s="12" t="s">
        <v>13410</v>
      </c>
      <c r="C13058" s="13" t="s">
        <v>13411</v>
      </c>
      <c r="D13058" s="13" t="s">
        <v>179</v>
      </c>
      <c r="E13058" s="12" t="s">
        <v>16</v>
      </c>
      <c r="F13058" s="14">
        <v>230000</v>
      </c>
      <c r="G13058" s="14">
        <v>158500</v>
      </c>
      <c r="H13058" s="13" t="s">
        <v>24766</v>
      </c>
      <c r="I13058" s="40" t="s">
        <v>18</v>
      </c>
      <c r="J13058" s="40" t="str">
        <f>HYPERLINK("https://stock.pstatic.net/stock-research/company/64/20250425_company_899714000.pdf","PDF")</f>
        <v>PDF</v>
      </c>
      <c r="K13058" s="12" t="s">
        <v>24767</v>
      </c>
      <c r="L13058" s="20">
        <v>0.45110410094637232</v>
      </c>
    </row>
    <row r="13059" spans="1:12" x14ac:dyDescent="0.45">
      <c r="A13059" s="12" t="s">
        <v>24250</v>
      </c>
      <c r="B13059" s="12" t="s">
        <v>334</v>
      </c>
      <c r="C13059" s="13" t="s">
        <v>335</v>
      </c>
      <c r="D13059" s="13" t="s">
        <v>23</v>
      </c>
      <c r="E13059" s="12" t="s">
        <v>16</v>
      </c>
      <c r="F13059" s="14">
        <v>320000</v>
      </c>
      <c r="G13059" s="14">
        <v>178300</v>
      </c>
      <c r="H13059" s="13" t="s">
        <v>24768</v>
      </c>
      <c r="I13059" s="40" t="s">
        <v>18</v>
      </c>
      <c r="J13059" s="40" t="str">
        <f>HYPERLINK("https://stock.pstatic.net/stock-research/company/21/20250425_company_672739000.pdf","PDF")</f>
        <v>PDF</v>
      </c>
      <c r="K13059" s="12" t="s">
        <v>24769</v>
      </c>
      <c r="L13059" s="20">
        <v>0.79472798653954013</v>
      </c>
    </row>
    <row r="13060" spans="1:12" x14ac:dyDescent="0.45">
      <c r="A13060" s="12" t="s">
        <v>24250</v>
      </c>
      <c r="B13060" s="12" t="s">
        <v>3369</v>
      </c>
      <c r="C13060" s="13" t="s">
        <v>3370</v>
      </c>
      <c r="D13060" s="13" t="s">
        <v>23</v>
      </c>
      <c r="E13060" s="12" t="s">
        <v>16</v>
      </c>
      <c r="F13060" s="14">
        <v>22000</v>
      </c>
      <c r="G13060" s="14">
        <v>17830</v>
      </c>
      <c r="H13060" s="13" t="s">
        <v>24770</v>
      </c>
      <c r="I13060" s="40" t="s">
        <v>18</v>
      </c>
      <c r="J13060" s="40" t="str">
        <f>HYPERLINK("https://stock.pstatic.net/stock-research/company/21/20250425_company_397129000.pdf","PDF")</f>
        <v>PDF</v>
      </c>
      <c r="K13060" s="12" t="s">
        <v>24771</v>
      </c>
      <c r="L13060" s="20">
        <v>0.23387549074593381</v>
      </c>
    </row>
    <row r="13061" spans="1:12" x14ac:dyDescent="0.45">
      <c r="A13061" s="12" t="s">
        <v>24250</v>
      </c>
      <c r="B13061" s="12" t="s">
        <v>3024</v>
      </c>
      <c r="C13061" s="13" t="s">
        <v>3025</v>
      </c>
      <c r="D13061" s="13" t="s">
        <v>23</v>
      </c>
      <c r="E13061" s="12" t="s">
        <v>16</v>
      </c>
      <c r="F13061" s="14">
        <v>57000</v>
      </c>
      <c r="G13061" s="14">
        <v>49200</v>
      </c>
      <c r="H13061" s="13" t="s">
        <v>24772</v>
      </c>
      <c r="I13061" s="40" t="s">
        <v>18</v>
      </c>
      <c r="J13061" s="40" t="str">
        <f>HYPERLINK("https://stock.pstatic.net/stock-research/company/21/20250425_company_98101000.pdf","PDF")</f>
        <v>PDF</v>
      </c>
      <c r="K13061" s="12" t="s">
        <v>24773</v>
      </c>
      <c r="L13061" s="20">
        <v>0.15853658536585369</v>
      </c>
    </row>
    <row r="13062" spans="1:12" x14ac:dyDescent="0.45">
      <c r="A13062" s="12" t="s">
        <v>24250</v>
      </c>
      <c r="B13062" s="12" t="s">
        <v>519</v>
      </c>
      <c r="C13062" s="13" t="s">
        <v>520</v>
      </c>
      <c r="D13062" s="13" t="s">
        <v>23</v>
      </c>
      <c r="E13062" s="12" t="s">
        <v>16</v>
      </c>
      <c r="F13062" s="14">
        <v>250000</v>
      </c>
      <c r="G13062" s="14">
        <v>188900</v>
      </c>
      <c r="H13062" s="13" t="s">
        <v>24774</v>
      </c>
      <c r="I13062" s="40" t="s">
        <v>18</v>
      </c>
      <c r="J13062" s="40" t="str">
        <f>HYPERLINK("https://stock.pstatic.net/stock-research/company/21/20250425_company_930209000.pdf","PDF")</f>
        <v>PDF</v>
      </c>
      <c r="K13062" s="12" t="s">
        <v>24775</v>
      </c>
      <c r="L13062" s="20">
        <v>0.32345156167284278</v>
      </c>
    </row>
    <row r="13063" spans="1:12" x14ac:dyDescent="0.45">
      <c r="A13063" s="12" t="s">
        <v>24250</v>
      </c>
      <c r="B13063" s="12" t="s">
        <v>1781</v>
      </c>
      <c r="C13063" s="13" t="s">
        <v>1782</v>
      </c>
      <c r="D13063" s="13" t="s">
        <v>23</v>
      </c>
      <c r="E13063" s="12" t="s">
        <v>16</v>
      </c>
      <c r="F13063" s="14">
        <v>100000</v>
      </c>
      <c r="G13063" s="14">
        <v>70300</v>
      </c>
      <c r="H13063" s="13" t="s">
        <v>24776</v>
      </c>
      <c r="I13063" s="40" t="s">
        <v>18</v>
      </c>
      <c r="J13063" s="40" t="str">
        <f>HYPERLINK("https://stock.pstatic.net/stock-research/company/21/20250425_company_861822000.pdf","PDF")</f>
        <v>PDF</v>
      </c>
      <c r="K13063" s="12" t="s">
        <v>24777</v>
      </c>
      <c r="L13063" s="20">
        <v>0.42247510668563298</v>
      </c>
    </row>
    <row r="13064" spans="1:12" x14ac:dyDescent="0.45">
      <c r="A13064" s="12" t="s">
        <v>24250</v>
      </c>
      <c r="B13064" s="12" t="s">
        <v>3373</v>
      </c>
      <c r="C13064" s="13" t="s">
        <v>3374</v>
      </c>
      <c r="D13064" s="13" t="s">
        <v>23</v>
      </c>
      <c r="E13064" s="12" t="s">
        <v>16</v>
      </c>
      <c r="F13064" s="14">
        <v>105000</v>
      </c>
      <c r="G13064" s="14">
        <v>84600</v>
      </c>
      <c r="H13064" s="13" t="s">
        <v>24778</v>
      </c>
      <c r="I13064" s="40" t="s">
        <v>18</v>
      </c>
      <c r="J13064" s="40" t="str">
        <f>HYPERLINK("https://stock.pstatic.net/stock-research/company/21/20250425_company_517275000.pdf","PDF")</f>
        <v>PDF</v>
      </c>
      <c r="K13064" s="12" t="s">
        <v>24779</v>
      </c>
      <c r="L13064" s="20">
        <v>0.2411347517730496</v>
      </c>
    </row>
    <row r="13065" spans="1:12" x14ac:dyDescent="0.45">
      <c r="A13065" s="12" t="s">
        <v>24250</v>
      </c>
      <c r="B13065" s="12" t="s">
        <v>2758</v>
      </c>
      <c r="C13065" s="13" t="s">
        <v>2759</v>
      </c>
      <c r="D13065" s="13" t="s">
        <v>23</v>
      </c>
      <c r="E13065" s="12" t="s">
        <v>16</v>
      </c>
      <c r="F13065" s="14">
        <v>330000</v>
      </c>
      <c r="G13065" s="14">
        <v>257000</v>
      </c>
      <c r="H13065" s="13" t="s">
        <v>24780</v>
      </c>
      <c r="I13065" s="40" t="s">
        <v>18</v>
      </c>
      <c r="J13065" s="40" t="str">
        <f>HYPERLINK("https://stock.pstatic.net/stock-research/company/21/20250425_company_299461000.pdf","PDF")</f>
        <v>PDF</v>
      </c>
      <c r="K13065" s="12" t="s">
        <v>24781</v>
      </c>
      <c r="L13065" s="20">
        <v>0.28404669260700388</v>
      </c>
    </row>
    <row r="13066" spans="1:12" x14ac:dyDescent="0.45">
      <c r="A13066" s="12" t="s">
        <v>24250</v>
      </c>
      <c r="B13066" s="12" t="s">
        <v>2435</v>
      </c>
      <c r="C13066" s="13" t="s">
        <v>2436</v>
      </c>
      <c r="D13066" s="13" t="s">
        <v>179</v>
      </c>
      <c r="E13066" s="12" t="s">
        <v>16</v>
      </c>
      <c r="F13066" s="14">
        <v>480000</v>
      </c>
      <c r="G13066" s="14">
        <v>376000</v>
      </c>
      <c r="H13066" s="13" t="s">
        <v>24782</v>
      </c>
      <c r="I13066" s="40" t="s">
        <v>18</v>
      </c>
      <c r="J13066" s="40" t="str">
        <f>HYPERLINK("https://stock.pstatic.net/stock-research/company/64/20250425_company_888168000.pdf","PDF")</f>
        <v>PDF</v>
      </c>
      <c r="K13066" s="12" t="s">
        <v>24783</v>
      </c>
      <c r="L13066" s="20">
        <v>0.27659574468085107</v>
      </c>
    </row>
    <row r="13067" spans="1:12" x14ac:dyDescent="0.45">
      <c r="A13067" s="12" t="s">
        <v>24250</v>
      </c>
      <c r="B13067" s="12" t="s">
        <v>1906</v>
      </c>
      <c r="C13067" s="13" t="s">
        <v>1907</v>
      </c>
      <c r="D13067" s="13" t="s">
        <v>23</v>
      </c>
      <c r="E13067" s="12" t="s">
        <v>16</v>
      </c>
      <c r="F13067" s="14">
        <v>45000</v>
      </c>
      <c r="G13067" s="14">
        <v>33250</v>
      </c>
      <c r="H13067" s="13" t="s">
        <v>24784</v>
      </c>
      <c r="I13067" s="40" t="s">
        <v>18</v>
      </c>
      <c r="J13067" s="40" t="str">
        <f>HYPERLINK("https://stock.pstatic.net/stock-research/company/21/20250425_company_824549000.pdf","PDF")</f>
        <v>PDF</v>
      </c>
      <c r="K13067" s="12" t="s">
        <v>24785</v>
      </c>
      <c r="L13067" s="20">
        <v>0.35338345864661652</v>
      </c>
    </row>
    <row r="13068" spans="1:12" x14ac:dyDescent="0.45">
      <c r="A13068" s="12" t="s">
        <v>24250</v>
      </c>
      <c r="B13068" s="12" t="s">
        <v>888</v>
      </c>
      <c r="C13068" s="13" t="s">
        <v>889</v>
      </c>
      <c r="D13068" s="13" t="s">
        <v>23</v>
      </c>
      <c r="E13068" s="12" t="s">
        <v>16</v>
      </c>
      <c r="F13068" s="14">
        <v>74000</v>
      </c>
      <c r="G13068" s="14">
        <v>55300</v>
      </c>
      <c r="H13068" s="13" t="s">
        <v>24786</v>
      </c>
      <c r="I13068" s="40" t="s">
        <v>18</v>
      </c>
      <c r="J13068" s="40" t="str">
        <f>HYPERLINK("https://stock.pstatic.net/stock-research/company/21/20250425_company_4436000.pdf","PDF")</f>
        <v>PDF</v>
      </c>
      <c r="K13068" s="12" t="s">
        <v>24787</v>
      </c>
      <c r="L13068" s="20">
        <v>0.33815551537070532</v>
      </c>
    </row>
    <row r="13069" spans="1:12" x14ac:dyDescent="0.45">
      <c r="A13069" s="12" t="s">
        <v>24250</v>
      </c>
      <c r="B13069" s="12" t="s">
        <v>519</v>
      </c>
      <c r="C13069" s="13" t="s">
        <v>520</v>
      </c>
      <c r="D13069" s="13" t="s">
        <v>92</v>
      </c>
      <c r="E13069" s="12" t="s">
        <v>35</v>
      </c>
      <c r="F13069" s="14">
        <v>280000</v>
      </c>
      <c r="G13069" s="14">
        <v>188900</v>
      </c>
      <c r="H13069" s="13" t="s">
        <v>24788</v>
      </c>
      <c r="I13069" s="40" t="s">
        <v>18</v>
      </c>
      <c r="J13069" s="40" t="str">
        <f>HYPERLINK("https://stock.pstatic.net/stock-research/company/63/20250425_company_157509000.pdf","PDF")</f>
        <v>PDF</v>
      </c>
      <c r="K13069" s="12" t="s">
        <v>24789</v>
      </c>
      <c r="L13069" s="20">
        <v>0.48226574907358388</v>
      </c>
    </row>
    <row r="13070" spans="1:12" x14ac:dyDescent="0.45">
      <c r="A13070" s="12" t="s">
        <v>24250</v>
      </c>
      <c r="B13070" s="12" t="s">
        <v>744</v>
      </c>
      <c r="C13070" s="13" t="s">
        <v>745</v>
      </c>
      <c r="D13070" s="13" t="s">
        <v>179</v>
      </c>
      <c r="E13070" s="12" t="s">
        <v>16</v>
      </c>
      <c r="F13070" s="14">
        <v>21000</v>
      </c>
      <c r="G13070" s="14">
        <v>14590</v>
      </c>
      <c r="H13070" s="13" t="s">
        <v>24790</v>
      </c>
      <c r="I13070" s="40" t="s">
        <v>18</v>
      </c>
      <c r="J13070" s="40" t="str">
        <f>HYPERLINK("https://stock.pstatic.net/stock-research/company/64/20250425_company_195496000.pdf","PDF")</f>
        <v>PDF</v>
      </c>
      <c r="K13070" s="12" t="s">
        <v>24791</v>
      </c>
      <c r="L13070" s="20">
        <v>0.43934201507882109</v>
      </c>
    </row>
    <row r="13071" spans="1:12" x14ac:dyDescent="0.45">
      <c r="A13071" s="12" t="s">
        <v>24250</v>
      </c>
      <c r="B13071" s="12" t="s">
        <v>1781</v>
      </c>
      <c r="C13071" s="13" t="s">
        <v>1782</v>
      </c>
      <c r="D13071" s="13" t="s">
        <v>34</v>
      </c>
      <c r="E13071" s="12" t="s">
        <v>35</v>
      </c>
      <c r="F13071" s="14">
        <v>100000</v>
      </c>
      <c r="G13071" s="14">
        <v>70300</v>
      </c>
      <c r="H13071" s="13" t="s">
        <v>24792</v>
      </c>
      <c r="I13071" s="40" t="s">
        <v>18</v>
      </c>
      <c r="J13071" s="40" t="str">
        <f>HYPERLINK("https://stock.pstatic.net/stock-research/company/61/20250425_company_979043000.pdf","PDF")</f>
        <v>PDF</v>
      </c>
      <c r="K13071" s="12" t="s">
        <v>24793</v>
      </c>
      <c r="L13071" s="20">
        <v>0.42247510668563298</v>
      </c>
    </row>
    <row r="13072" spans="1:12" x14ac:dyDescent="0.45">
      <c r="A13072" s="12" t="s">
        <v>24250</v>
      </c>
      <c r="B13072" s="12" t="s">
        <v>3813</v>
      </c>
      <c r="C13072" s="13" t="s">
        <v>3814</v>
      </c>
      <c r="D13072" s="13" t="s">
        <v>34</v>
      </c>
      <c r="E13072" s="12" t="s">
        <v>35</v>
      </c>
      <c r="F13072" s="14">
        <v>12000</v>
      </c>
      <c r="G13072" s="14">
        <v>8410</v>
      </c>
      <c r="H13072" s="13" t="s">
        <v>24794</v>
      </c>
      <c r="I13072" s="40" t="s">
        <v>18</v>
      </c>
      <c r="J13072" s="40" t="str">
        <f>HYPERLINK("https://stock.pstatic.net/stock-research/company/61/20250425_company_360327000.pdf","PDF")</f>
        <v>PDF</v>
      </c>
      <c r="K13072" s="12" t="s">
        <v>24795</v>
      </c>
      <c r="L13072" s="20">
        <v>0.42687277051129607</v>
      </c>
    </row>
    <row r="13073" spans="1:12" x14ac:dyDescent="0.45">
      <c r="A13073" s="12" t="s">
        <v>24250</v>
      </c>
      <c r="B13073" s="12" t="s">
        <v>334</v>
      </c>
      <c r="C13073" s="13" t="s">
        <v>335</v>
      </c>
      <c r="D13073" s="13" t="s">
        <v>34</v>
      </c>
      <c r="E13073" s="12" t="s">
        <v>159</v>
      </c>
      <c r="F13073" s="14">
        <v>200000</v>
      </c>
      <c r="G13073" s="14">
        <v>178300</v>
      </c>
      <c r="H13073" s="13" t="s">
        <v>24796</v>
      </c>
      <c r="I13073" s="40" t="s">
        <v>18</v>
      </c>
      <c r="J13073" s="40" t="str">
        <f>HYPERLINK("https://stock.pstatic.net/stock-research/company/61/20250425_company_201338000.pdf","PDF")</f>
        <v>PDF</v>
      </c>
      <c r="K13073" s="12" t="s">
        <v>24797</v>
      </c>
      <c r="L13073" s="20">
        <v>0.1217049915872126</v>
      </c>
    </row>
    <row r="13074" spans="1:12" x14ac:dyDescent="0.45">
      <c r="A13074" s="12" t="s">
        <v>24250</v>
      </c>
      <c r="B13074" s="12" t="s">
        <v>330</v>
      </c>
      <c r="C13074" s="13" t="s">
        <v>331</v>
      </c>
      <c r="D13074" s="13" t="s">
        <v>34</v>
      </c>
      <c r="E13074" s="12" t="s">
        <v>35</v>
      </c>
      <c r="F13074" s="14">
        <v>38000</v>
      </c>
      <c r="G13074" s="14">
        <v>27100</v>
      </c>
      <c r="H13074" s="13" t="s">
        <v>24798</v>
      </c>
      <c r="I13074" s="40" t="s">
        <v>18</v>
      </c>
      <c r="J13074" s="40" t="str">
        <f>HYPERLINK("https://stock.pstatic.net/stock-research/company/61/20250425_company_994788000.pdf","PDF")</f>
        <v>PDF</v>
      </c>
      <c r="K13074" s="12" t="s">
        <v>24799</v>
      </c>
      <c r="L13074" s="20">
        <v>0.40221402214022139</v>
      </c>
    </row>
    <row r="13075" spans="1:12" x14ac:dyDescent="0.45">
      <c r="A13075" s="12" t="s">
        <v>24250</v>
      </c>
      <c r="B13075" s="12" t="s">
        <v>1666</v>
      </c>
      <c r="C13075" s="13" t="s">
        <v>1667</v>
      </c>
      <c r="D13075" s="13" t="s">
        <v>23</v>
      </c>
      <c r="E13075" s="12" t="s">
        <v>16</v>
      </c>
      <c r="F13075" s="14">
        <v>75000</v>
      </c>
      <c r="G13075" s="14">
        <v>43600</v>
      </c>
      <c r="H13075" s="13" t="s">
        <v>24800</v>
      </c>
      <c r="I13075" s="40" t="s">
        <v>18</v>
      </c>
      <c r="J13075" s="40" t="str">
        <f>HYPERLINK("https://stock.pstatic.net/stock-research/company/21/20250425_company_858916000.pdf","PDF")</f>
        <v>PDF</v>
      </c>
      <c r="K13075" s="12" t="s">
        <v>24801</v>
      </c>
      <c r="L13075" s="20">
        <v>0.72018348623853212</v>
      </c>
    </row>
    <row r="13076" spans="1:12" x14ac:dyDescent="0.45">
      <c r="A13076" s="12" t="s">
        <v>24250</v>
      </c>
      <c r="B13076" s="12" t="s">
        <v>519</v>
      </c>
      <c r="C13076" s="13" t="s">
        <v>520</v>
      </c>
      <c r="D13076" s="13" t="s">
        <v>179</v>
      </c>
      <c r="E13076" s="12" t="s">
        <v>16</v>
      </c>
      <c r="F13076" s="14">
        <v>270000</v>
      </c>
      <c r="G13076" s="14">
        <v>188900</v>
      </c>
      <c r="H13076" s="13" t="s">
        <v>24802</v>
      </c>
      <c r="I13076" s="40" t="s">
        <v>18</v>
      </c>
      <c r="J13076" s="40" t="str">
        <f>HYPERLINK("https://stock.pstatic.net/stock-research/company/64/20250425_company_303726000.pdf","PDF")</f>
        <v>PDF</v>
      </c>
      <c r="K13076" s="12" t="s">
        <v>24803</v>
      </c>
      <c r="L13076" s="20">
        <v>0.4293276866066702</v>
      </c>
    </row>
    <row r="13077" spans="1:12" x14ac:dyDescent="0.45">
      <c r="A13077" s="12" t="s">
        <v>24250</v>
      </c>
      <c r="B13077" s="12" t="s">
        <v>3087</v>
      </c>
      <c r="C13077" s="13" t="s">
        <v>3088</v>
      </c>
      <c r="D13077" s="13" t="s">
        <v>179</v>
      </c>
      <c r="E13077" s="12" t="s">
        <v>16</v>
      </c>
      <c r="F13077" s="14">
        <v>200000</v>
      </c>
      <c r="G13077" s="14">
        <v>157200</v>
      </c>
      <c r="H13077" s="13" t="s">
        <v>24804</v>
      </c>
      <c r="I13077" s="40" t="s">
        <v>18</v>
      </c>
      <c r="J13077" s="40" t="str">
        <f>HYPERLINK("https://stock.pstatic.net/stock-research/company/64/20250425_company_781137000.pdf","PDF")</f>
        <v>PDF</v>
      </c>
      <c r="K13077" s="12" t="s">
        <v>24805</v>
      </c>
      <c r="L13077" s="20">
        <v>0.27226463104325699</v>
      </c>
    </row>
    <row r="13078" spans="1:12" x14ac:dyDescent="0.45">
      <c r="A13078" s="12" t="s">
        <v>24250</v>
      </c>
      <c r="B13078" s="12" t="s">
        <v>3813</v>
      </c>
      <c r="C13078" s="13" t="s">
        <v>3814</v>
      </c>
      <c r="D13078" s="13" t="s">
        <v>44</v>
      </c>
      <c r="E13078" s="12" t="s">
        <v>35</v>
      </c>
      <c r="F13078" s="14">
        <v>13000</v>
      </c>
      <c r="G13078" s="14">
        <v>8410</v>
      </c>
      <c r="H13078" s="13" t="s">
        <v>24806</v>
      </c>
      <c r="I13078" s="40" t="s">
        <v>18</v>
      </c>
      <c r="J13078" s="40" t="str">
        <f>HYPERLINK("https://stock.pstatic.net/stock-research/company/39/20250425_company_552245000.pdf","PDF")</f>
        <v>PDF</v>
      </c>
      <c r="K13078" s="12" t="s">
        <v>24807</v>
      </c>
      <c r="L13078" s="20">
        <v>0.54577883472057076</v>
      </c>
    </row>
    <row r="13079" spans="1:12" x14ac:dyDescent="0.45">
      <c r="A13079" s="12" t="s">
        <v>24250</v>
      </c>
      <c r="B13079" s="12" t="s">
        <v>908</v>
      </c>
      <c r="C13079" s="13" t="s">
        <v>909</v>
      </c>
      <c r="D13079" s="13" t="s">
        <v>23</v>
      </c>
      <c r="E13079" s="12" t="s">
        <v>16</v>
      </c>
      <c r="F13079" s="14">
        <v>170000</v>
      </c>
      <c r="G13079" s="14">
        <v>124300</v>
      </c>
      <c r="H13079" s="13" t="s">
        <v>24808</v>
      </c>
      <c r="I13079" s="40" t="s">
        <v>18</v>
      </c>
      <c r="J13079" s="40" t="str">
        <f>HYPERLINK("https://stock.pstatic.net/stock-research/company/21/20250425_company_74064000.pdf","PDF")</f>
        <v>PDF</v>
      </c>
      <c r="K13079" s="12" t="s">
        <v>24809</v>
      </c>
      <c r="L13079" s="20">
        <v>0.3676588897827836</v>
      </c>
    </row>
    <row r="13080" spans="1:12" x14ac:dyDescent="0.45">
      <c r="A13080" s="12" t="s">
        <v>24250</v>
      </c>
      <c r="B13080" s="12" t="s">
        <v>908</v>
      </c>
      <c r="C13080" s="13" t="s">
        <v>909</v>
      </c>
      <c r="D13080" s="13" t="s">
        <v>179</v>
      </c>
      <c r="E13080" s="12" t="s">
        <v>16</v>
      </c>
      <c r="F13080" s="14">
        <v>170000</v>
      </c>
      <c r="G13080" s="14">
        <v>124300</v>
      </c>
      <c r="H13080" s="13" t="s">
        <v>24810</v>
      </c>
      <c r="I13080" s="40" t="s">
        <v>18</v>
      </c>
      <c r="J13080" s="40" t="str">
        <f>HYPERLINK("https://stock.pstatic.net/stock-research/company/64/20250425_company_905407000.pdf","PDF")</f>
        <v>PDF</v>
      </c>
      <c r="K13080" s="12" t="s">
        <v>24811</v>
      </c>
      <c r="L13080" s="20">
        <v>0.3676588897827836</v>
      </c>
    </row>
    <row r="13081" spans="1:12" x14ac:dyDescent="0.45">
      <c r="A13081" s="12" t="s">
        <v>24250</v>
      </c>
      <c r="B13081" s="12" t="s">
        <v>398</v>
      </c>
      <c r="C13081" s="13" t="s">
        <v>399</v>
      </c>
      <c r="D13081" s="13" t="s">
        <v>23</v>
      </c>
      <c r="E13081" s="12" t="s">
        <v>16</v>
      </c>
      <c r="F13081" s="14">
        <v>160000</v>
      </c>
      <c r="G13081" s="14">
        <v>130200</v>
      </c>
      <c r="H13081" s="13" t="s">
        <v>3270</v>
      </c>
      <c r="I13081" s="40" t="s">
        <v>18</v>
      </c>
      <c r="J13081" s="40" t="str">
        <f>HYPERLINK("https://stock.pstatic.net/stock-research/company/21/20250425_company_681034000.pdf","PDF")</f>
        <v>PDF</v>
      </c>
      <c r="K13081" s="12" t="s">
        <v>24812</v>
      </c>
      <c r="L13081" s="20">
        <v>0.22887864823348689</v>
      </c>
    </row>
    <row r="13082" spans="1:12" x14ac:dyDescent="0.45">
      <c r="A13082" s="12" t="s">
        <v>24250</v>
      </c>
      <c r="B13082" s="12" t="s">
        <v>330</v>
      </c>
      <c r="C13082" s="13" t="s">
        <v>331</v>
      </c>
      <c r="D13082" s="13" t="s">
        <v>23</v>
      </c>
      <c r="E13082" s="12" t="s">
        <v>16</v>
      </c>
      <c r="F13082" s="14">
        <v>32000</v>
      </c>
      <c r="G13082" s="14">
        <v>27100</v>
      </c>
      <c r="H13082" s="13" t="s">
        <v>24813</v>
      </c>
      <c r="I13082" s="40" t="s">
        <v>18</v>
      </c>
      <c r="J13082" s="40" t="str">
        <f>HYPERLINK("https://stock.pstatic.net/stock-research/company/21/20250425_company_961222000.pdf","PDF")</f>
        <v>PDF</v>
      </c>
      <c r="K13082" s="12" t="s">
        <v>24814</v>
      </c>
      <c r="L13082" s="20">
        <v>0.1808118081180812</v>
      </c>
    </row>
    <row r="13083" spans="1:12" x14ac:dyDescent="0.45">
      <c r="A13083" s="12" t="s">
        <v>24250</v>
      </c>
      <c r="B13083" s="12" t="s">
        <v>398</v>
      </c>
      <c r="C13083" s="13" t="s">
        <v>399</v>
      </c>
      <c r="D13083" s="13" t="s">
        <v>44</v>
      </c>
      <c r="E13083" s="12" t="s">
        <v>35</v>
      </c>
      <c r="F13083" s="14">
        <v>170000</v>
      </c>
      <c r="G13083" s="14">
        <v>130200</v>
      </c>
      <c r="H13083" s="13" t="s">
        <v>24815</v>
      </c>
      <c r="I13083" s="40" t="s">
        <v>18</v>
      </c>
      <c r="J13083" s="40" t="str">
        <f>HYPERLINK("https://stock.pstatic.net/stock-research/company/39/20250425_company_649485000.pdf","PDF")</f>
        <v>PDF</v>
      </c>
      <c r="K13083" s="12" t="s">
        <v>24816</v>
      </c>
      <c r="L13083" s="20">
        <v>0.30568356374807992</v>
      </c>
    </row>
    <row r="13084" spans="1:12" x14ac:dyDescent="0.45">
      <c r="A13084" s="12" t="s">
        <v>24250</v>
      </c>
      <c r="B13084" s="12" t="s">
        <v>3813</v>
      </c>
      <c r="C13084" s="13" t="s">
        <v>3814</v>
      </c>
      <c r="D13084" s="13" t="s">
        <v>23</v>
      </c>
      <c r="E13084" s="12" t="s">
        <v>16</v>
      </c>
      <c r="F13084" s="14">
        <v>11000</v>
      </c>
      <c r="G13084" s="14">
        <v>8410</v>
      </c>
      <c r="H13084" s="13" t="s">
        <v>24817</v>
      </c>
      <c r="I13084" s="40" t="s">
        <v>18</v>
      </c>
      <c r="J13084" s="40" t="str">
        <f>HYPERLINK("https://stock.pstatic.net/stock-research/company/21/20250425_company_920951000.pdf","PDF")</f>
        <v>PDF</v>
      </c>
      <c r="K13084" s="12" t="s">
        <v>24818</v>
      </c>
      <c r="L13084" s="20">
        <v>0.30796670630202139</v>
      </c>
    </row>
    <row r="13085" spans="1:12" x14ac:dyDescent="0.45">
      <c r="A13085" s="12" t="s">
        <v>24250</v>
      </c>
      <c r="B13085" s="12" t="s">
        <v>3369</v>
      </c>
      <c r="C13085" s="13" t="s">
        <v>3370</v>
      </c>
      <c r="D13085" s="13" t="s">
        <v>179</v>
      </c>
      <c r="E13085" s="12" t="s">
        <v>16</v>
      </c>
      <c r="F13085" s="14">
        <v>23000</v>
      </c>
      <c r="G13085" s="14">
        <v>17830</v>
      </c>
      <c r="H13085" s="13" t="s">
        <v>24819</v>
      </c>
      <c r="I13085" s="40" t="s">
        <v>18</v>
      </c>
      <c r="J13085" s="40" t="str">
        <f>HYPERLINK("https://stock.pstatic.net/stock-research/company/64/20250425_company_670493000.pdf","PDF")</f>
        <v>PDF</v>
      </c>
      <c r="K13085" s="12" t="s">
        <v>24820</v>
      </c>
      <c r="L13085" s="20">
        <v>0.28996074032529451</v>
      </c>
    </row>
    <row r="13086" spans="1:12" x14ac:dyDescent="0.45">
      <c r="A13086" s="12" t="s">
        <v>24250</v>
      </c>
      <c r="B13086" s="12" t="s">
        <v>95</v>
      </c>
      <c r="C13086" s="13" t="s">
        <v>31</v>
      </c>
      <c r="D13086" s="13" t="s">
        <v>44</v>
      </c>
      <c r="E13086" s="12" t="s">
        <v>35</v>
      </c>
      <c r="F13086" s="14">
        <v>30000</v>
      </c>
      <c r="G13086" s="14">
        <v>19140</v>
      </c>
      <c r="H13086" s="13" t="s">
        <v>24821</v>
      </c>
      <c r="I13086" s="40" t="s">
        <v>18</v>
      </c>
      <c r="J13086" s="40" t="str">
        <f>HYPERLINK("https://stock.pstatic.net/stock-research/company/39/20250425_company_131619000.pdf","PDF")</f>
        <v>PDF</v>
      </c>
      <c r="K13086" s="12" t="s">
        <v>24822</v>
      </c>
      <c r="L13086" s="20">
        <v>0.56739811912225702</v>
      </c>
    </row>
    <row r="13087" spans="1:12" x14ac:dyDescent="0.45">
      <c r="A13087" s="12" t="s">
        <v>24250</v>
      </c>
      <c r="B13087" s="12" t="s">
        <v>3373</v>
      </c>
      <c r="C13087" s="13" t="s">
        <v>3374</v>
      </c>
      <c r="D13087" s="13" t="s">
        <v>179</v>
      </c>
      <c r="E13087" s="12" t="s">
        <v>16</v>
      </c>
      <c r="F13087" s="14">
        <v>115000</v>
      </c>
      <c r="G13087" s="14">
        <v>84600</v>
      </c>
      <c r="H13087" s="13" t="s">
        <v>24823</v>
      </c>
      <c r="I13087" s="40" t="s">
        <v>18</v>
      </c>
      <c r="J13087" s="40" t="str">
        <f>HYPERLINK("https://stock.pstatic.net/stock-research/company/64/20250425_company_264845000.pdf","PDF")</f>
        <v>PDF</v>
      </c>
      <c r="K13087" s="12" t="s">
        <v>24824</v>
      </c>
      <c r="L13087" s="20">
        <v>0.35933806146572111</v>
      </c>
    </row>
    <row r="13088" spans="1:12" x14ac:dyDescent="0.45">
      <c r="A13088" s="12" t="s">
        <v>24250</v>
      </c>
      <c r="B13088" s="12" t="s">
        <v>1781</v>
      </c>
      <c r="C13088" s="13" t="s">
        <v>1782</v>
      </c>
      <c r="D13088" s="13" t="s">
        <v>44</v>
      </c>
      <c r="E13088" s="12" t="s">
        <v>35</v>
      </c>
      <c r="F13088" s="14">
        <v>110000</v>
      </c>
      <c r="G13088" s="14">
        <v>70300</v>
      </c>
      <c r="H13088" s="13" t="s">
        <v>24825</v>
      </c>
      <c r="I13088" s="40" t="s">
        <v>18</v>
      </c>
      <c r="J13088" s="40" t="str">
        <f>HYPERLINK("https://stock.pstatic.net/stock-research/company/39/20250425_company_302133000.pdf","PDF")</f>
        <v>PDF</v>
      </c>
      <c r="K13088" s="12" t="s">
        <v>24826</v>
      </c>
      <c r="L13088" s="20">
        <v>0.56472261735419627</v>
      </c>
    </row>
    <row r="13089" spans="1:12" x14ac:dyDescent="0.45">
      <c r="A13089" s="12" t="s">
        <v>24250</v>
      </c>
      <c r="B13089" s="12" t="s">
        <v>3813</v>
      </c>
      <c r="C13089" s="13" t="s">
        <v>3814</v>
      </c>
      <c r="D13089" s="13" t="s">
        <v>179</v>
      </c>
      <c r="E13089" s="12" t="s">
        <v>16</v>
      </c>
      <c r="F13089" s="14">
        <v>14000</v>
      </c>
      <c r="G13089" s="14">
        <v>8410</v>
      </c>
      <c r="H13089" s="13" t="s">
        <v>24827</v>
      </c>
      <c r="I13089" s="40" t="s">
        <v>18</v>
      </c>
      <c r="J13089" s="40" t="str">
        <f>HYPERLINK("https://stock.pstatic.net/stock-research/company/64/20250425_company_193342000.pdf","PDF")</f>
        <v>PDF</v>
      </c>
      <c r="K13089" s="12" t="s">
        <v>24828</v>
      </c>
      <c r="L13089" s="20">
        <v>0.66468489892984539</v>
      </c>
    </row>
    <row r="13090" spans="1:12" x14ac:dyDescent="0.45">
      <c r="A13090" s="12" t="s">
        <v>24250</v>
      </c>
      <c r="B13090" s="12" t="s">
        <v>2056</v>
      </c>
      <c r="C13090" s="13" t="s">
        <v>2057</v>
      </c>
      <c r="D13090" s="13" t="s">
        <v>124</v>
      </c>
      <c r="E13090" s="12" t="s">
        <v>50</v>
      </c>
      <c r="F13090" s="13"/>
      <c r="G13090" s="14">
        <v>4770</v>
      </c>
      <c r="H13090" s="13" t="s">
        <v>24829</v>
      </c>
      <c r="I13090" s="40" t="s">
        <v>18</v>
      </c>
      <c r="J13090" s="40" t="str">
        <f>HYPERLINK("https://stock.pstatic.net/stock-research/company/74/20250425_company_804884000.pdf","PDF")</f>
        <v>PDF</v>
      </c>
      <c r="K13090" s="12" t="s">
        <v>24830</v>
      </c>
    </row>
    <row r="13091" spans="1:12" x14ac:dyDescent="0.45">
      <c r="A13091" s="12" t="s">
        <v>24250</v>
      </c>
      <c r="B13091" s="12" t="s">
        <v>519</v>
      </c>
      <c r="C13091" s="13" t="s">
        <v>520</v>
      </c>
      <c r="D13091" s="13" t="s">
        <v>44</v>
      </c>
      <c r="E13091" s="12" t="s">
        <v>45</v>
      </c>
      <c r="F13091" s="14">
        <v>220000</v>
      </c>
      <c r="G13091" s="14">
        <v>188900</v>
      </c>
      <c r="H13091" s="13" t="s">
        <v>24831</v>
      </c>
      <c r="I13091" s="40" t="s">
        <v>18</v>
      </c>
      <c r="J13091" s="40" t="str">
        <f>HYPERLINK("https://stock.pstatic.net/stock-research/company/39/20250425_company_935005000.pdf","PDF")</f>
        <v>PDF</v>
      </c>
      <c r="K13091" s="12" t="s">
        <v>24832</v>
      </c>
      <c r="L13091" s="20">
        <v>0.16463737427210159</v>
      </c>
    </row>
    <row r="13092" spans="1:12" x14ac:dyDescent="0.45">
      <c r="A13092" s="12" t="s">
        <v>24250</v>
      </c>
      <c r="B13092" s="12" t="s">
        <v>3024</v>
      </c>
      <c r="C13092" s="13" t="s">
        <v>3025</v>
      </c>
      <c r="D13092" s="13" t="s">
        <v>15</v>
      </c>
      <c r="E13092" s="12" t="s">
        <v>16</v>
      </c>
      <c r="F13092" s="14">
        <v>59000</v>
      </c>
      <c r="G13092" s="14">
        <v>49200</v>
      </c>
      <c r="H13092" s="13" t="s">
        <v>24833</v>
      </c>
      <c r="I13092" s="40" t="s">
        <v>18</v>
      </c>
      <c r="J13092" s="40" t="str">
        <f>HYPERLINK("https://stock.pstatic.net/stock-research/company/29/20250425_company_373480000.pdf","PDF")</f>
        <v>PDF</v>
      </c>
      <c r="K13092" s="12" t="s">
        <v>24834</v>
      </c>
      <c r="L13092" s="20">
        <v>0.1991869918699187</v>
      </c>
    </row>
    <row r="13093" spans="1:12" x14ac:dyDescent="0.45">
      <c r="A13093" s="12" t="s">
        <v>24250</v>
      </c>
      <c r="B13093" s="12" t="s">
        <v>334</v>
      </c>
      <c r="C13093" s="13" t="s">
        <v>335</v>
      </c>
      <c r="D13093" s="13" t="s">
        <v>53</v>
      </c>
      <c r="E13093" s="12" t="s">
        <v>16</v>
      </c>
      <c r="F13093" s="14">
        <v>300000</v>
      </c>
      <c r="G13093" s="14">
        <v>178300</v>
      </c>
      <c r="H13093" s="13" t="s">
        <v>24835</v>
      </c>
      <c r="I13093" s="40" t="s">
        <v>18</v>
      </c>
      <c r="J13093" s="40" t="str">
        <f>HYPERLINK("https://stock.pstatic.net/stock-research/company/40/20250425_company_357141000.pdf","PDF")</f>
        <v>PDF</v>
      </c>
      <c r="K13093" s="12" t="s">
        <v>24836</v>
      </c>
      <c r="L13093" s="20">
        <v>0.68255748738081889</v>
      </c>
    </row>
    <row r="13094" spans="1:12" x14ac:dyDescent="0.45">
      <c r="A13094" s="12" t="s">
        <v>24250</v>
      </c>
      <c r="B13094" s="12" t="s">
        <v>24837</v>
      </c>
      <c r="C13094" s="13" t="s">
        <v>24838</v>
      </c>
      <c r="D13094" s="13" t="s">
        <v>202</v>
      </c>
      <c r="E13094" s="12" t="s">
        <v>50</v>
      </c>
      <c r="F13094" s="13"/>
      <c r="G13094" s="14">
        <v>5920</v>
      </c>
      <c r="H13094" s="13" t="s">
        <v>24839</v>
      </c>
      <c r="I13094" s="40" t="s">
        <v>18</v>
      </c>
      <c r="J13094" s="40" t="str">
        <f>HYPERLINK("https://stock.pstatic.net/stock-research/company/69/20250425_company_757050000.pdf","PDF")</f>
        <v>PDF</v>
      </c>
      <c r="K13094" s="12" t="s">
        <v>24840</v>
      </c>
    </row>
    <row r="13095" spans="1:12" x14ac:dyDescent="0.45">
      <c r="A13095" s="12" t="s">
        <v>24250</v>
      </c>
      <c r="B13095" s="12" t="s">
        <v>24841</v>
      </c>
      <c r="C13095" s="13" t="s">
        <v>24842</v>
      </c>
      <c r="D13095" s="13" t="s">
        <v>11154</v>
      </c>
      <c r="E13095" s="12" t="s">
        <v>50</v>
      </c>
      <c r="F13095" s="13"/>
      <c r="G13095" s="14">
        <v>2250</v>
      </c>
      <c r="H13095" s="13" t="s">
        <v>24843</v>
      </c>
      <c r="I13095" s="40" t="s">
        <v>18</v>
      </c>
      <c r="J13095" s="40" t="str">
        <f>HYPERLINK("https://stock.pstatic.net/stock-research/company/79/20250425_company_44576000.pdf","PDF")</f>
        <v>PDF</v>
      </c>
      <c r="K13095" s="12" t="s">
        <v>24844</v>
      </c>
    </row>
    <row r="13096" spans="1:12" x14ac:dyDescent="0.45">
      <c r="A13096" s="12" t="s">
        <v>24250</v>
      </c>
      <c r="B13096" s="12" t="s">
        <v>24845</v>
      </c>
      <c r="C13096" s="13" t="s">
        <v>24846</v>
      </c>
      <c r="D13096" s="13" t="s">
        <v>11154</v>
      </c>
      <c r="E13096" s="12" t="s">
        <v>50</v>
      </c>
      <c r="F13096" s="13"/>
      <c r="G13096" s="14">
        <v>1719</v>
      </c>
      <c r="H13096" s="13" t="s">
        <v>24847</v>
      </c>
      <c r="I13096" s="40" t="s">
        <v>18</v>
      </c>
      <c r="J13096" s="40" t="str">
        <f>HYPERLINK("https://stock.pstatic.net/stock-research/company/79/20250425_company_921581000.pdf","PDF")</f>
        <v>PDF</v>
      </c>
      <c r="K13096" s="12" t="s">
        <v>24848</v>
      </c>
    </row>
    <row r="13097" spans="1:12" x14ac:dyDescent="0.45">
      <c r="A13097" s="12" t="s">
        <v>24250</v>
      </c>
      <c r="B13097" s="12" t="s">
        <v>95</v>
      </c>
      <c r="C13097" s="13" t="s">
        <v>31</v>
      </c>
      <c r="D13097" s="13" t="s">
        <v>53</v>
      </c>
      <c r="E13097" s="12" t="s">
        <v>16</v>
      </c>
      <c r="F13097" s="14">
        <v>30000</v>
      </c>
      <c r="G13097" s="14">
        <v>19140</v>
      </c>
      <c r="H13097" s="13" t="s">
        <v>24849</v>
      </c>
      <c r="I13097" s="40" t="s">
        <v>18</v>
      </c>
      <c r="J13097" s="40" t="str">
        <f>HYPERLINK("https://stock.pstatic.net/stock-research/company/40/20250425_company_46008000.pdf","PDF")</f>
        <v>PDF</v>
      </c>
      <c r="K13097" s="12" t="s">
        <v>24850</v>
      </c>
      <c r="L13097" s="20">
        <v>0.56739811912225702</v>
      </c>
    </row>
    <row r="13098" spans="1:12" x14ac:dyDescent="0.45">
      <c r="A13098" s="12" t="s">
        <v>24250</v>
      </c>
      <c r="B13098" s="12" t="s">
        <v>740</v>
      </c>
      <c r="C13098" s="13" t="s">
        <v>741</v>
      </c>
      <c r="D13098" s="13" t="s">
        <v>15</v>
      </c>
      <c r="E13098" s="12" t="s">
        <v>16</v>
      </c>
      <c r="F13098" s="14">
        <v>210000</v>
      </c>
      <c r="G13098" s="14">
        <v>145500</v>
      </c>
      <c r="H13098" s="13" t="s">
        <v>24851</v>
      </c>
      <c r="I13098" s="40" t="s">
        <v>18</v>
      </c>
      <c r="J13098" s="40" t="str">
        <f>HYPERLINK("https://stock.pstatic.net/stock-research/company/29/20250425_company_927903000.pdf","PDF")</f>
        <v>PDF</v>
      </c>
      <c r="K13098" s="12" t="s">
        <v>24852</v>
      </c>
      <c r="L13098" s="20">
        <v>0.44329896907216487</v>
      </c>
    </row>
    <row r="13099" spans="1:12" x14ac:dyDescent="0.45">
      <c r="A13099" s="12" t="s">
        <v>24853</v>
      </c>
      <c r="B13099" s="12" t="s">
        <v>334</v>
      </c>
      <c r="C13099" s="13" t="s">
        <v>335</v>
      </c>
      <c r="D13099" s="13" t="s">
        <v>179</v>
      </c>
      <c r="E13099" s="12" t="s">
        <v>50</v>
      </c>
      <c r="F13099" s="13"/>
      <c r="G13099" s="13"/>
      <c r="H13099" s="13" t="s">
        <v>24854</v>
      </c>
      <c r="I13099" s="40" t="s">
        <v>18</v>
      </c>
      <c r="J13099" s="40" t="str">
        <f>HYPERLINK("https://stock.pstatic.net/stock-research/company/31/20250424_company_676789000.pdf","PDF")</f>
        <v>PDF</v>
      </c>
      <c r="K13099" s="12" t="s">
        <v>24855</v>
      </c>
    </row>
    <row r="13100" spans="1:12" x14ac:dyDescent="0.45">
      <c r="A13100" s="12" t="s">
        <v>24853</v>
      </c>
      <c r="B13100" s="12" t="s">
        <v>740</v>
      </c>
      <c r="C13100" s="13" t="s">
        <v>741</v>
      </c>
      <c r="D13100" s="13" t="s">
        <v>276</v>
      </c>
      <c r="E13100" s="12" t="s">
        <v>16</v>
      </c>
      <c r="F13100" s="14">
        <v>210000</v>
      </c>
      <c r="G13100" s="14">
        <v>145500</v>
      </c>
      <c r="H13100" s="13" t="s">
        <v>24856</v>
      </c>
      <c r="I13100" s="40" t="s">
        <v>18</v>
      </c>
      <c r="J13100" s="40" t="str">
        <f>HYPERLINK("https://stock.pstatic.net/stock-research/company/66/20250424_company_295382000.pdf","PDF")</f>
        <v>PDF</v>
      </c>
      <c r="K13100" s="12" t="s">
        <v>24857</v>
      </c>
      <c r="L13100" s="20">
        <v>0.44329896907216487</v>
      </c>
    </row>
    <row r="13101" spans="1:12" x14ac:dyDescent="0.45">
      <c r="A13101" s="12" t="s">
        <v>24853</v>
      </c>
      <c r="B13101" s="12" t="s">
        <v>1081</v>
      </c>
      <c r="C13101" s="13" t="s">
        <v>1082</v>
      </c>
      <c r="D13101" s="13" t="s">
        <v>276</v>
      </c>
      <c r="E13101" s="12" t="s">
        <v>16</v>
      </c>
      <c r="F13101" s="14">
        <v>1300000</v>
      </c>
      <c r="G13101" s="14">
        <v>1066000</v>
      </c>
      <c r="H13101" s="13" t="s">
        <v>24858</v>
      </c>
      <c r="I13101" s="40" t="s">
        <v>18</v>
      </c>
      <c r="J13101" s="40" t="str">
        <f>HYPERLINK("https://stock.pstatic.net/stock-research/company/66/20250424_company_152620000.pdf","PDF")</f>
        <v>PDF</v>
      </c>
      <c r="K13101" s="12" t="s">
        <v>24859</v>
      </c>
      <c r="L13101" s="20">
        <v>0.21951219512195119</v>
      </c>
    </row>
    <row r="13102" spans="1:12" x14ac:dyDescent="0.45">
      <c r="A13102" s="12" t="s">
        <v>24853</v>
      </c>
      <c r="B13102" s="12" t="s">
        <v>2837</v>
      </c>
      <c r="C13102" s="13" t="s">
        <v>2838</v>
      </c>
      <c r="D13102" s="13" t="s">
        <v>276</v>
      </c>
      <c r="E13102" s="12" t="s">
        <v>16</v>
      </c>
      <c r="F13102" s="14">
        <v>48000</v>
      </c>
      <c r="G13102" s="14">
        <v>38800</v>
      </c>
      <c r="H13102" s="13" t="s">
        <v>24860</v>
      </c>
      <c r="I13102" s="40" t="s">
        <v>18</v>
      </c>
      <c r="J13102" s="40" t="str">
        <f>HYPERLINK("https://stock.pstatic.net/stock-research/company/66/20250424_company_176064000.pdf","PDF")</f>
        <v>PDF</v>
      </c>
      <c r="K13102" s="12" t="s">
        <v>24861</v>
      </c>
      <c r="L13102" s="20">
        <v>0.23711340206185569</v>
      </c>
    </row>
    <row r="13103" spans="1:12" x14ac:dyDescent="0.45">
      <c r="A13103" s="12" t="s">
        <v>24853</v>
      </c>
      <c r="B13103" s="12" t="s">
        <v>740</v>
      </c>
      <c r="C13103" s="13" t="s">
        <v>741</v>
      </c>
      <c r="D13103" s="13" t="s">
        <v>65</v>
      </c>
      <c r="E13103" s="12" t="s">
        <v>35</v>
      </c>
      <c r="F13103" s="14">
        <v>225000</v>
      </c>
      <c r="G13103" s="14">
        <v>145500</v>
      </c>
      <c r="H13103" s="13" t="s">
        <v>24862</v>
      </c>
      <c r="I13103" s="40" t="s">
        <v>18</v>
      </c>
      <c r="J13103" s="40" t="str">
        <f>HYPERLINK("https://stock.pstatic.net/stock-research/company/57/20250424_company_347288000.pdf","PDF")</f>
        <v>PDF</v>
      </c>
      <c r="K13103" s="12" t="s">
        <v>24863</v>
      </c>
      <c r="L13103" s="20">
        <v>0.54639175257731953</v>
      </c>
    </row>
    <row r="13104" spans="1:12" x14ac:dyDescent="0.45">
      <c r="A13104" s="12" t="s">
        <v>24853</v>
      </c>
      <c r="B13104" s="12" t="s">
        <v>1734</v>
      </c>
      <c r="C13104" s="13" t="s">
        <v>1735</v>
      </c>
      <c r="D13104" s="13" t="s">
        <v>65</v>
      </c>
      <c r="E13104" s="12" t="s">
        <v>35</v>
      </c>
      <c r="F13104" s="14">
        <v>55000</v>
      </c>
      <c r="G13104" s="14">
        <v>38750</v>
      </c>
      <c r="H13104" s="13" t="s">
        <v>24864</v>
      </c>
      <c r="I13104" s="40" t="s">
        <v>18</v>
      </c>
      <c r="J13104" s="40" t="str">
        <f>HYPERLINK("https://stock.pstatic.net/stock-research/company/57/20250424_company_721558000.pdf","PDF")</f>
        <v>PDF</v>
      </c>
      <c r="K13104" s="12" t="s">
        <v>24865</v>
      </c>
      <c r="L13104" s="20">
        <v>0.41935483870967738</v>
      </c>
    </row>
    <row r="13105" spans="1:12" x14ac:dyDescent="0.45">
      <c r="A13105" s="12" t="s">
        <v>24853</v>
      </c>
      <c r="B13105" s="12" t="s">
        <v>511</v>
      </c>
      <c r="C13105" s="13" t="s">
        <v>512</v>
      </c>
      <c r="D13105" s="13" t="s">
        <v>65</v>
      </c>
      <c r="E13105" s="12" t="s">
        <v>35</v>
      </c>
      <c r="F13105" s="14">
        <v>120000</v>
      </c>
      <c r="G13105" s="14">
        <v>86800</v>
      </c>
      <c r="H13105" s="13" t="s">
        <v>24866</v>
      </c>
      <c r="I13105" s="40" t="s">
        <v>18</v>
      </c>
      <c r="J13105" s="40" t="str">
        <f>HYPERLINK("https://stock.pstatic.net/stock-research/company/57/20250424_company_889360000.pdf","PDF")</f>
        <v>PDF</v>
      </c>
      <c r="K13105" s="12" t="s">
        <v>24867</v>
      </c>
      <c r="L13105" s="20">
        <v>0.38248847926267282</v>
      </c>
    </row>
    <row r="13106" spans="1:12" x14ac:dyDescent="0.45">
      <c r="A13106" s="12" t="s">
        <v>24853</v>
      </c>
      <c r="B13106" s="12" t="s">
        <v>1350</v>
      </c>
      <c r="C13106" s="13" t="s">
        <v>1351</v>
      </c>
      <c r="D13106" s="13" t="s">
        <v>57</v>
      </c>
      <c r="E13106" s="12" t="s">
        <v>35</v>
      </c>
      <c r="F13106" s="14">
        <v>55000</v>
      </c>
      <c r="G13106" s="14">
        <v>41900</v>
      </c>
      <c r="H13106" s="13" t="s">
        <v>24868</v>
      </c>
      <c r="I13106" s="40" t="s">
        <v>18</v>
      </c>
      <c r="J13106" s="40" t="str">
        <f>HYPERLINK("https://stock.pstatic.net/stock-research/company/16/20250424_company_877161000.pdf","PDF")</f>
        <v>PDF</v>
      </c>
      <c r="K13106" s="12" t="s">
        <v>24869</v>
      </c>
      <c r="L13106" s="20">
        <v>0.31264916467780429</v>
      </c>
    </row>
    <row r="13107" spans="1:12" x14ac:dyDescent="0.45">
      <c r="A13107" s="12" t="s">
        <v>24853</v>
      </c>
      <c r="B13107" s="12" t="s">
        <v>11429</v>
      </c>
      <c r="C13107" s="13" t="s">
        <v>11430</v>
      </c>
      <c r="D13107" s="13" t="s">
        <v>158</v>
      </c>
      <c r="E13107" s="12" t="s">
        <v>35</v>
      </c>
      <c r="F13107" s="14">
        <v>97000</v>
      </c>
      <c r="G13107" s="14">
        <v>70100</v>
      </c>
      <c r="H13107" s="13" t="s">
        <v>24870</v>
      </c>
      <c r="I13107" s="40" t="s">
        <v>18</v>
      </c>
      <c r="J13107" s="40" t="str">
        <f>HYPERLINK("https://stock.pstatic.net/stock-research/company/18/20250424_company_856912000.pdf","PDF")</f>
        <v>PDF</v>
      </c>
      <c r="K13107" s="12" t="s">
        <v>24871</v>
      </c>
      <c r="L13107" s="20">
        <v>0.38373751783166898</v>
      </c>
    </row>
    <row r="13108" spans="1:12" x14ac:dyDescent="0.45">
      <c r="A13108" s="12" t="s">
        <v>24853</v>
      </c>
      <c r="B13108" s="12" t="s">
        <v>17505</v>
      </c>
      <c r="C13108" s="13" t="s">
        <v>17506</v>
      </c>
      <c r="D13108" s="13" t="s">
        <v>158</v>
      </c>
      <c r="E13108" s="12" t="s">
        <v>50</v>
      </c>
      <c r="F13108" s="13"/>
      <c r="G13108" s="14">
        <v>16330</v>
      </c>
      <c r="H13108" s="13" t="s">
        <v>24872</v>
      </c>
      <c r="I13108" s="40" t="s">
        <v>18</v>
      </c>
      <c r="J13108" s="40" t="str">
        <f>HYPERLINK("https://stock.pstatic.net/stock-research/company/18/20250424_company_917144000.pdf","PDF")</f>
        <v>PDF</v>
      </c>
      <c r="K13108" s="12" t="s">
        <v>24873</v>
      </c>
    </row>
    <row r="13109" spans="1:12" x14ac:dyDescent="0.45">
      <c r="A13109" s="12" t="s">
        <v>24853</v>
      </c>
      <c r="B13109" s="12" t="s">
        <v>1081</v>
      </c>
      <c r="C13109" s="13" t="s">
        <v>1082</v>
      </c>
      <c r="D13109" s="13" t="s">
        <v>158</v>
      </c>
      <c r="E13109" s="12" t="s">
        <v>35</v>
      </c>
      <c r="F13109" s="14">
        <v>1300000</v>
      </c>
      <c r="G13109" s="14">
        <v>1066000</v>
      </c>
      <c r="H13109" s="13" t="s">
        <v>24874</v>
      </c>
      <c r="I13109" s="40" t="s">
        <v>18</v>
      </c>
      <c r="J13109" s="40" t="str">
        <f>HYPERLINK("https://stock.pstatic.net/stock-research/company/1/20250424_company_944772000.pdf","PDF")</f>
        <v>PDF</v>
      </c>
      <c r="K13109" s="12" t="s">
        <v>24875</v>
      </c>
      <c r="L13109" s="20">
        <v>0.21951219512195119</v>
      </c>
    </row>
    <row r="13110" spans="1:12" x14ac:dyDescent="0.45">
      <c r="A13110" s="12" t="s">
        <v>24853</v>
      </c>
      <c r="B13110" s="12" t="s">
        <v>1081</v>
      </c>
      <c r="C13110" s="13" t="s">
        <v>1082</v>
      </c>
      <c r="D13110" s="13" t="s">
        <v>83</v>
      </c>
      <c r="E13110" s="12" t="s">
        <v>35</v>
      </c>
      <c r="F13110" s="14">
        <v>1300000</v>
      </c>
      <c r="G13110" s="14">
        <v>1066000</v>
      </c>
      <c r="H13110" s="13" t="s">
        <v>24876</v>
      </c>
      <c r="I13110" s="40" t="s">
        <v>18</v>
      </c>
      <c r="J13110" s="40" t="str">
        <f>HYPERLINK("https://stock.pstatic.net/stock-research/company/2/20250424_company_225578000.pdf","PDF")</f>
        <v>PDF</v>
      </c>
      <c r="K13110" s="12" t="s">
        <v>24877</v>
      </c>
      <c r="L13110" s="20">
        <v>0.21951219512195119</v>
      </c>
    </row>
    <row r="13111" spans="1:12" x14ac:dyDescent="0.45">
      <c r="A13111" s="12" t="s">
        <v>24853</v>
      </c>
      <c r="B13111" s="12" t="s">
        <v>740</v>
      </c>
      <c r="C13111" s="13" t="s">
        <v>741</v>
      </c>
      <c r="D13111" s="13" t="s">
        <v>83</v>
      </c>
      <c r="E13111" s="12" t="s">
        <v>35</v>
      </c>
      <c r="F13111" s="14">
        <v>260000</v>
      </c>
      <c r="G13111" s="14">
        <v>145500</v>
      </c>
      <c r="H13111" s="13" t="s">
        <v>24878</v>
      </c>
      <c r="I13111" s="40" t="s">
        <v>18</v>
      </c>
      <c r="J13111" s="40" t="str">
        <f>HYPERLINK("https://stock.pstatic.net/stock-research/company/2/20250424_company_746242000.pdf","PDF")</f>
        <v>PDF</v>
      </c>
      <c r="K13111" s="12" t="s">
        <v>24879</v>
      </c>
      <c r="L13111" s="20">
        <v>0.78694158075601373</v>
      </c>
    </row>
    <row r="13112" spans="1:12" x14ac:dyDescent="0.45">
      <c r="A13112" s="12" t="s">
        <v>24853</v>
      </c>
      <c r="B13112" s="12" t="s">
        <v>511</v>
      </c>
      <c r="C13112" s="13" t="s">
        <v>512</v>
      </c>
      <c r="D13112" s="13" t="s">
        <v>83</v>
      </c>
      <c r="E13112" s="12" t="s">
        <v>35</v>
      </c>
      <c r="F13112" s="14">
        <v>92000</v>
      </c>
      <c r="G13112" s="14">
        <v>80800</v>
      </c>
      <c r="H13112" s="13" t="s">
        <v>24880</v>
      </c>
      <c r="I13112" s="40" t="s">
        <v>18</v>
      </c>
      <c r="J13112" s="40" t="str">
        <f>HYPERLINK("https://stock.pstatic.net/stock-research/company/2/20250424_company_663951000.pdf","PDF")</f>
        <v>PDF</v>
      </c>
      <c r="K13112" s="12" t="s">
        <v>24881</v>
      </c>
      <c r="L13112" s="20">
        <v>0.1386138613861386</v>
      </c>
    </row>
    <row r="13113" spans="1:12" x14ac:dyDescent="0.45">
      <c r="A13113" s="12" t="s">
        <v>24853</v>
      </c>
      <c r="B13113" s="12" t="s">
        <v>1081</v>
      </c>
      <c r="C13113" s="13" t="s">
        <v>1082</v>
      </c>
      <c r="D13113" s="13" t="s">
        <v>15</v>
      </c>
      <c r="E13113" s="12" t="s">
        <v>16</v>
      </c>
      <c r="F13113" s="14">
        <v>1350000</v>
      </c>
      <c r="G13113" s="14">
        <v>1066000</v>
      </c>
      <c r="H13113" s="13" t="s">
        <v>24882</v>
      </c>
      <c r="I13113" s="40" t="s">
        <v>18</v>
      </c>
      <c r="J13113" s="40" t="str">
        <f>HYPERLINK("https://stock.pstatic.net/stock-research/company/29/20250424_company_320088000.pdf","PDF")</f>
        <v>PDF</v>
      </c>
      <c r="K13113" s="12" t="s">
        <v>24883</v>
      </c>
      <c r="L13113" s="20">
        <v>0.26641651031894942</v>
      </c>
    </row>
    <row r="13114" spans="1:12" x14ac:dyDescent="0.45">
      <c r="A13114" s="12" t="s">
        <v>24853</v>
      </c>
      <c r="B13114" s="12" t="s">
        <v>1686</v>
      </c>
      <c r="C13114" s="13" t="s">
        <v>1687</v>
      </c>
      <c r="D13114" s="13" t="s">
        <v>92</v>
      </c>
      <c r="E13114" s="12" t="s">
        <v>35</v>
      </c>
      <c r="F13114" s="14">
        <v>1100000</v>
      </c>
      <c r="G13114" s="14">
        <v>926000</v>
      </c>
      <c r="H13114" s="13" t="s">
        <v>24884</v>
      </c>
      <c r="I13114" s="40" t="s">
        <v>18</v>
      </c>
      <c r="J13114" s="40" t="str">
        <f>HYPERLINK("https://stock.pstatic.net/stock-research/company/63/20250424_company_919233000.pdf","PDF")</f>
        <v>PDF</v>
      </c>
      <c r="K13114" s="12" t="s">
        <v>24885</v>
      </c>
      <c r="L13114" s="20">
        <v>0.18790496760259179</v>
      </c>
    </row>
    <row r="13115" spans="1:12" x14ac:dyDescent="0.45">
      <c r="A13115" s="12" t="s">
        <v>24853</v>
      </c>
      <c r="B13115" s="12" t="s">
        <v>1648</v>
      </c>
      <c r="C13115" s="13" t="s">
        <v>1649</v>
      </c>
      <c r="D13115" s="13" t="s">
        <v>53</v>
      </c>
      <c r="E13115" s="12" t="s">
        <v>16</v>
      </c>
      <c r="F13115" s="14">
        <v>130000</v>
      </c>
      <c r="G13115" s="14">
        <v>112500</v>
      </c>
      <c r="H13115" s="13" t="s">
        <v>24886</v>
      </c>
      <c r="I13115" s="40" t="s">
        <v>18</v>
      </c>
      <c r="J13115" s="40" t="str">
        <f>HYPERLINK("https://stock.pstatic.net/stock-research/company/40/20250424_company_360726000.pdf","PDF")</f>
        <v>PDF</v>
      </c>
      <c r="K13115" s="12" t="s">
        <v>24887</v>
      </c>
      <c r="L13115" s="20">
        <v>0.15555555555555561</v>
      </c>
    </row>
    <row r="13116" spans="1:12" x14ac:dyDescent="0.45">
      <c r="A13116" s="12" t="s">
        <v>24853</v>
      </c>
      <c r="B13116" s="12" t="s">
        <v>740</v>
      </c>
      <c r="C13116" s="13" t="s">
        <v>741</v>
      </c>
      <c r="D13116" s="13" t="s">
        <v>179</v>
      </c>
      <c r="E13116" s="12" t="s">
        <v>16</v>
      </c>
      <c r="F13116" s="14">
        <v>190000</v>
      </c>
      <c r="G13116" s="14">
        <v>145500</v>
      </c>
      <c r="H13116" s="13" t="s">
        <v>24888</v>
      </c>
      <c r="I13116" s="40" t="s">
        <v>18</v>
      </c>
      <c r="J13116" s="40" t="str">
        <f>HYPERLINK("https://stock.pstatic.net/stock-research/company/31/20250424_company_26353000.pdf","PDF")</f>
        <v>PDF</v>
      </c>
      <c r="K13116" s="12" t="s">
        <v>24889</v>
      </c>
      <c r="L13116" s="20">
        <v>0.30584192439862551</v>
      </c>
    </row>
    <row r="13117" spans="1:12" x14ac:dyDescent="0.45">
      <c r="A13117" s="12" t="s">
        <v>24853</v>
      </c>
      <c r="B13117" s="12" t="s">
        <v>3036</v>
      </c>
      <c r="C13117" s="13" t="s">
        <v>4380</v>
      </c>
      <c r="D13117" s="13" t="s">
        <v>179</v>
      </c>
      <c r="E13117" s="12" t="s">
        <v>50</v>
      </c>
      <c r="F13117" s="13"/>
      <c r="G13117" s="14">
        <v>26600</v>
      </c>
      <c r="H13117" s="13" t="s">
        <v>24890</v>
      </c>
      <c r="I13117" s="40" t="s">
        <v>18</v>
      </c>
      <c r="J13117" s="40" t="str">
        <f>HYPERLINK("https://stock.pstatic.net/stock-research/company/31/20250424_company_307982000.pdf","PDF")</f>
        <v>PDF</v>
      </c>
      <c r="K13117" s="12" t="s">
        <v>24891</v>
      </c>
    </row>
    <row r="13118" spans="1:12" x14ac:dyDescent="0.45">
      <c r="A13118" s="12" t="s">
        <v>24853</v>
      </c>
      <c r="B13118" s="12" t="s">
        <v>1081</v>
      </c>
      <c r="C13118" s="13" t="s">
        <v>1082</v>
      </c>
      <c r="D13118" s="13" t="s">
        <v>179</v>
      </c>
      <c r="E13118" s="12" t="s">
        <v>16</v>
      </c>
      <c r="F13118" s="14">
        <v>1300000</v>
      </c>
      <c r="G13118" s="14">
        <v>1066000</v>
      </c>
      <c r="H13118" s="13" t="s">
        <v>24892</v>
      </c>
      <c r="I13118" s="40" t="s">
        <v>18</v>
      </c>
      <c r="J13118" s="40" t="str">
        <f>HYPERLINK("https://stock.pstatic.net/stock-research/company/31/20250424_company_546491000.pdf","PDF")</f>
        <v>PDF</v>
      </c>
      <c r="K13118" s="12" t="s">
        <v>24893</v>
      </c>
      <c r="L13118" s="20">
        <v>0.21951219512195119</v>
      </c>
    </row>
    <row r="13119" spans="1:12" x14ac:dyDescent="0.45">
      <c r="A13119" s="12" t="s">
        <v>24853</v>
      </c>
      <c r="B13119" s="12" t="s">
        <v>511</v>
      </c>
      <c r="C13119" s="13" t="s">
        <v>512</v>
      </c>
      <c r="D13119" s="13" t="s">
        <v>23</v>
      </c>
      <c r="E13119" s="12" t="s">
        <v>16</v>
      </c>
      <c r="F13119" s="14">
        <v>120000</v>
      </c>
      <c r="G13119" s="14">
        <v>86800</v>
      </c>
      <c r="H13119" s="13" t="s">
        <v>24894</v>
      </c>
      <c r="I13119" s="40" t="s">
        <v>18</v>
      </c>
      <c r="J13119" s="40" t="str">
        <f>HYPERLINK("https://stock.pstatic.net/stock-research/company/21/20250424_company_659918000.pdf","PDF")</f>
        <v>PDF</v>
      </c>
      <c r="K13119" s="12" t="s">
        <v>24895</v>
      </c>
      <c r="L13119" s="20">
        <v>0.38248847926267282</v>
      </c>
    </row>
    <row r="13120" spans="1:12" x14ac:dyDescent="0.45">
      <c r="A13120" s="12" t="s">
        <v>24853</v>
      </c>
      <c r="B13120" s="12" t="s">
        <v>2105</v>
      </c>
      <c r="C13120" s="13" t="s">
        <v>2106</v>
      </c>
      <c r="D13120" s="13" t="s">
        <v>23</v>
      </c>
      <c r="E13120" s="12" t="s">
        <v>16</v>
      </c>
      <c r="F13120" s="14">
        <v>66000</v>
      </c>
      <c r="G13120" s="14">
        <v>53100</v>
      </c>
      <c r="H13120" s="13" t="s">
        <v>24896</v>
      </c>
      <c r="I13120" s="40" t="s">
        <v>18</v>
      </c>
      <c r="J13120" s="40" t="str">
        <f>HYPERLINK("https://stock.pstatic.net/stock-research/company/21/20250424_company_248002000.pdf","PDF")</f>
        <v>PDF</v>
      </c>
      <c r="K13120" s="12" t="s">
        <v>24897</v>
      </c>
      <c r="L13120" s="20">
        <v>0.24293785310734459</v>
      </c>
    </row>
    <row r="13121" spans="1:12" x14ac:dyDescent="0.45">
      <c r="A13121" s="12" t="s">
        <v>24853</v>
      </c>
      <c r="B13121" s="12" t="s">
        <v>1081</v>
      </c>
      <c r="C13121" s="13" t="s">
        <v>1082</v>
      </c>
      <c r="D13121" s="13" t="s">
        <v>92</v>
      </c>
      <c r="E13121" s="12" t="s">
        <v>35</v>
      </c>
      <c r="F13121" s="14">
        <v>1300000</v>
      </c>
      <c r="G13121" s="14">
        <v>1066000</v>
      </c>
      <c r="H13121" s="13" t="s">
        <v>24898</v>
      </c>
      <c r="I13121" s="40" t="s">
        <v>18</v>
      </c>
      <c r="J13121" s="40" t="str">
        <f>HYPERLINK("https://stock.pstatic.net/stock-research/company/63/20250424_company_666819000.pdf","PDF")</f>
        <v>PDF</v>
      </c>
      <c r="K13121" s="12" t="s">
        <v>24899</v>
      </c>
      <c r="L13121" s="20">
        <v>0.21951219512195119</v>
      </c>
    </row>
    <row r="13122" spans="1:12" x14ac:dyDescent="0.45">
      <c r="A13122" s="12" t="s">
        <v>24853</v>
      </c>
      <c r="B13122" s="12" t="s">
        <v>1081</v>
      </c>
      <c r="C13122" s="13" t="s">
        <v>1082</v>
      </c>
      <c r="D13122" s="13" t="s">
        <v>53</v>
      </c>
      <c r="E13122" s="12" t="s">
        <v>16</v>
      </c>
      <c r="F13122" s="14">
        <v>1300000</v>
      </c>
      <c r="G13122" s="14">
        <v>1066000</v>
      </c>
      <c r="H13122" s="13" t="s">
        <v>24900</v>
      </c>
      <c r="I13122" s="40" t="s">
        <v>18</v>
      </c>
      <c r="J13122" s="40" t="str">
        <f>HYPERLINK("https://stock.pstatic.net/stock-research/company/40/20250424_company_790463000.pdf","PDF")</f>
        <v>PDF</v>
      </c>
      <c r="K13122" s="12" t="s">
        <v>24901</v>
      </c>
      <c r="L13122" s="20">
        <v>0.21951219512195119</v>
      </c>
    </row>
    <row r="13123" spans="1:12" x14ac:dyDescent="0.45">
      <c r="A13123" s="12" t="s">
        <v>24853</v>
      </c>
      <c r="B13123" s="12" t="s">
        <v>740</v>
      </c>
      <c r="C13123" s="13" t="s">
        <v>741</v>
      </c>
      <c r="D13123" s="13" t="s">
        <v>23</v>
      </c>
      <c r="E13123" s="12" t="s">
        <v>16</v>
      </c>
      <c r="F13123" s="14">
        <v>210000</v>
      </c>
      <c r="G13123" s="14">
        <v>145500</v>
      </c>
      <c r="H13123" s="13" t="s">
        <v>24902</v>
      </c>
      <c r="I13123" s="40" t="s">
        <v>18</v>
      </c>
      <c r="J13123" s="40" t="str">
        <f>HYPERLINK("https://stock.pstatic.net/stock-research/company/21/20250424_company_73108000.pdf","PDF")</f>
        <v>PDF</v>
      </c>
      <c r="K13123" s="12" t="s">
        <v>24903</v>
      </c>
      <c r="L13123" s="20">
        <v>0.44329896907216487</v>
      </c>
    </row>
    <row r="13124" spans="1:12" x14ac:dyDescent="0.45">
      <c r="A13124" s="12" t="s">
        <v>24853</v>
      </c>
      <c r="B13124" s="12" t="s">
        <v>2522</v>
      </c>
      <c r="C13124" s="13" t="s">
        <v>2523</v>
      </c>
      <c r="D13124" s="13" t="s">
        <v>23</v>
      </c>
      <c r="E13124" s="12" t="s">
        <v>385</v>
      </c>
      <c r="F13124" s="13"/>
      <c r="G13124" s="14">
        <v>373500</v>
      </c>
      <c r="H13124" s="13" t="s">
        <v>24904</v>
      </c>
      <c r="I13124" s="40" t="s">
        <v>18</v>
      </c>
      <c r="J13124" s="40" t="str">
        <f>HYPERLINK("https://stock.pstatic.net/stock-research/company/21/20250424_company_801506000.pdf","PDF")</f>
        <v>PDF</v>
      </c>
      <c r="K13124" s="12" t="s">
        <v>24905</v>
      </c>
    </row>
    <row r="13125" spans="1:12" x14ac:dyDescent="0.45">
      <c r="A13125" s="12" t="s">
        <v>24853</v>
      </c>
      <c r="B13125" s="12" t="s">
        <v>375</v>
      </c>
      <c r="C13125" s="13" t="s">
        <v>376</v>
      </c>
      <c r="D13125" s="13" t="s">
        <v>23</v>
      </c>
      <c r="E13125" s="12" t="s">
        <v>16</v>
      </c>
      <c r="F13125" s="14">
        <v>28000</v>
      </c>
      <c r="G13125" s="14">
        <v>23200</v>
      </c>
      <c r="H13125" s="13" t="s">
        <v>24906</v>
      </c>
      <c r="I13125" s="40" t="s">
        <v>18</v>
      </c>
      <c r="J13125" s="40" t="str">
        <f>HYPERLINK("https://stock.pstatic.net/stock-research/company/21/20250424_company_77941000.pdf","PDF")</f>
        <v>PDF</v>
      </c>
      <c r="K13125" s="12" t="s">
        <v>24907</v>
      </c>
      <c r="L13125" s="20">
        <v>0.2068965517241379</v>
      </c>
    </row>
    <row r="13126" spans="1:12" x14ac:dyDescent="0.45">
      <c r="A13126" s="12" t="s">
        <v>24853</v>
      </c>
      <c r="B13126" s="12" t="s">
        <v>740</v>
      </c>
      <c r="C13126" s="13" t="s">
        <v>741</v>
      </c>
      <c r="D13126" s="13" t="s">
        <v>44</v>
      </c>
      <c r="E13126" s="12" t="s">
        <v>45</v>
      </c>
      <c r="F13126" s="14">
        <v>170000</v>
      </c>
      <c r="G13126" s="14">
        <v>145500</v>
      </c>
      <c r="H13126" s="13" t="s">
        <v>24908</v>
      </c>
      <c r="I13126" s="40" t="s">
        <v>18</v>
      </c>
      <c r="J13126" s="40" t="str">
        <f>HYPERLINK("https://stock.pstatic.net/stock-research/company/39/20250424_company_504127000.pdf","PDF")</f>
        <v>PDF</v>
      </c>
      <c r="K13126" s="12" t="s">
        <v>24909</v>
      </c>
      <c r="L13126" s="20">
        <v>0.1683848797250859</v>
      </c>
    </row>
    <row r="13127" spans="1:12" x14ac:dyDescent="0.45">
      <c r="A13127" s="12" t="s">
        <v>24853</v>
      </c>
      <c r="B13127" s="12" t="s">
        <v>468</v>
      </c>
      <c r="C13127" s="13" t="s">
        <v>469</v>
      </c>
      <c r="D13127" s="13" t="s">
        <v>23</v>
      </c>
      <c r="E13127" s="12" t="s">
        <v>16</v>
      </c>
      <c r="F13127" s="14">
        <v>21000</v>
      </c>
      <c r="G13127" s="14">
        <v>13960</v>
      </c>
      <c r="H13127" s="13" t="s">
        <v>24910</v>
      </c>
      <c r="I13127" s="40" t="s">
        <v>18</v>
      </c>
      <c r="J13127" s="40" t="str">
        <f>HYPERLINK("https://stock.pstatic.net/stock-research/company/21/20250424_company_322885000.pdf","PDF")</f>
        <v>PDF</v>
      </c>
      <c r="K13127" s="12" t="s">
        <v>24911</v>
      </c>
      <c r="L13127" s="20">
        <v>0.50429799426934097</v>
      </c>
    </row>
    <row r="13128" spans="1:12" x14ac:dyDescent="0.45">
      <c r="A13128" s="12" t="s">
        <v>24853</v>
      </c>
      <c r="B13128" s="12" t="s">
        <v>1081</v>
      </c>
      <c r="C13128" s="13" t="s">
        <v>1082</v>
      </c>
      <c r="D13128" s="13" t="s">
        <v>23</v>
      </c>
      <c r="E13128" s="12" t="s">
        <v>16</v>
      </c>
      <c r="F13128" s="14">
        <v>1350000</v>
      </c>
      <c r="G13128" s="14">
        <v>1066000</v>
      </c>
      <c r="H13128" s="13" t="s">
        <v>24912</v>
      </c>
      <c r="I13128" s="40" t="s">
        <v>18</v>
      </c>
      <c r="J13128" s="40" t="str">
        <f>HYPERLINK("https://stock.pstatic.net/stock-research/company/21/20250424_company_125624000.pdf","PDF")</f>
        <v>PDF</v>
      </c>
      <c r="K13128" s="12" t="s">
        <v>24913</v>
      </c>
      <c r="L13128" s="20">
        <v>0.26641651031894942</v>
      </c>
    </row>
    <row r="13129" spans="1:12" x14ac:dyDescent="0.45">
      <c r="A13129" s="12" t="s">
        <v>24853</v>
      </c>
      <c r="B13129" s="12" t="s">
        <v>42</v>
      </c>
      <c r="C13129" s="13" t="s">
        <v>43</v>
      </c>
      <c r="D13129" s="13" t="s">
        <v>23</v>
      </c>
      <c r="E13129" s="12" t="s">
        <v>50</v>
      </c>
      <c r="F13129" s="14">
        <v>210000</v>
      </c>
      <c r="G13129" s="14">
        <v>192900</v>
      </c>
      <c r="H13129" s="13" t="s">
        <v>24914</v>
      </c>
      <c r="I13129" s="40" t="s">
        <v>18</v>
      </c>
      <c r="J13129" s="40" t="str">
        <f>HYPERLINK("https://stock.pstatic.net/stock-research/company/1/20250424_company_416926000.pdf","PDF")</f>
        <v>PDF</v>
      </c>
      <c r="K13129" s="12" t="s">
        <v>24915</v>
      </c>
      <c r="L13129" s="20">
        <v>8.8646967340590979E-2</v>
      </c>
    </row>
    <row r="13130" spans="1:12" x14ac:dyDescent="0.45">
      <c r="A13130" s="12" t="s">
        <v>24853</v>
      </c>
      <c r="B13130" s="12" t="s">
        <v>740</v>
      </c>
      <c r="C13130" s="13" t="s">
        <v>741</v>
      </c>
      <c r="D13130" s="13" t="s">
        <v>34</v>
      </c>
      <c r="E13130" s="12" t="s">
        <v>35</v>
      </c>
      <c r="F13130" s="14">
        <v>225000</v>
      </c>
      <c r="G13130" s="14">
        <v>145500</v>
      </c>
      <c r="H13130" s="13" t="s">
        <v>24916</v>
      </c>
      <c r="I13130" s="40" t="s">
        <v>18</v>
      </c>
      <c r="J13130" s="40" t="str">
        <f>HYPERLINK("https://stock.pstatic.net/stock-research/company/61/20250424_company_959039000.pdf","PDF")</f>
        <v>PDF</v>
      </c>
      <c r="K13130" s="12" t="s">
        <v>24917</v>
      </c>
      <c r="L13130" s="20">
        <v>0.54639175257731953</v>
      </c>
    </row>
    <row r="13131" spans="1:12" x14ac:dyDescent="0.45">
      <c r="A13131" s="12" t="s">
        <v>24853</v>
      </c>
      <c r="B13131" s="12" t="s">
        <v>1081</v>
      </c>
      <c r="C13131" s="13" t="s">
        <v>1082</v>
      </c>
      <c r="D13131" s="13" t="s">
        <v>44</v>
      </c>
      <c r="E13131" s="12" t="s">
        <v>35</v>
      </c>
      <c r="F13131" s="14">
        <v>1300000</v>
      </c>
      <c r="G13131" s="14">
        <v>1066000</v>
      </c>
      <c r="H13131" s="13" t="s">
        <v>24918</v>
      </c>
      <c r="I13131" s="40" t="s">
        <v>18</v>
      </c>
      <c r="J13131" s="40" t="str">
        <f>HYPERLINK("https://stock.pstatic.net/stock-research/company/39/20250424_company_578273000.pdf","PDF")</f>
        <v>PDF</v>
      </c>
      <c r="K13131" s="12" t="s">
        <v>24919</v>
      </c>
      <c r="L13131" s="20">
        <v>0.21951219512195119</v>
      </c>
    </row>
    <row r="13132" spans="1:12" x14ac:dyDescent="0.45">
      <c r="A13132" s="12" t="s">
        <v>24853</v>
      </c>
      <c r="B13132" s="12" t="s">
        <v>1936</v>
      </c>
      <c r="C13132" s="13" t="s">
        <v>1937</v>
      </c>
      <c r="D13132" s="13" t="s">
        <v>44</v>
      </c>
      <c r="E13132" s="12" t="s">
        <v>642</v>
      </c>
      <c r="F13132" s="14">
        <v>5700</v>
      </c>
      <c r="G13132" s="14">
        <v>5270</v>
      </c>
      <c r="H13132" s="13" t="s">
        <v>24920</v>
      </c>
      <c r="I13132" s="40" t="s">
        <v>18</v>
      </c>
      <c r="J13132" s="40" t="str">
        <f>HYPERLINK("https://stock.pstatic.net/stock-research/company/39/20250424_company_735472000.pdf","PDF")</f>
        <v>PDF</v>
      </c>
      <c r="K13132" s="12" t="s">
        <v>24921</v>
      </c>
      <c r="L13132" s="20">
        <v>8.1593927893738136E-2</v>
      </c>
    </row>
    <row r="13133" spans="1:12" x14ac:dyDescent="0.45">
      <c r="A13133" s="12" t="s">
        <v>24853</v>
      </c>
      <c r="B13133" s="12" t="s">
        <v>740</v>
      </c>
      <c r="C13133" s="13" t="s">
        <v>741</v>
      </c>
      <c r="D13133" s="13" t="s">
        <v>53</v>
      </c>
      <c r="E13133" s="12" t="s">
        <v>16</v>
      </c>
      <c r="F13133" s="14">
        <v>260000</v>
      </c>
      <c r="G13133" s="14">
        <v>145500</v>
      </c>
      <c r="H13133" s="13" t="s">
        <v>24922</v>
      </c>
      <c r="I13133" s="40" t="s">
        <v>18</v>
      </c>
      <c r="J13133" s="40" t="str">
        <f>HYPERLINK("https://stock.pstatic.net/stock-research/company/40/20250424_company_222732000.pdf","PDF")</f>
        <v>PDF</v>
      </c>
      <c r="K13133" s="12" t="s">
        <v>24923</v>
      </c>
      <c r="L13133" s="20">
        <v>0.78694158075601373</v>
      </c>
    </row>
    <row r="13134" spans="1:12" x14ac:dyDescent="0.45">
      <c r="A13134" s="12" t="s">
        <v>24853</v>
      </c>
      <c r="B13134" s="12" t="s">
        <v>8114</v>
      </c>
      <c r="C13134" s="13" t="s">
        <v>8115</v>
      </c>
      <c r="D13134" s="13" t="s">
        <v>53</v>
      </c>
      <c r="E13134" s="12" t="s">
        <v>16</v>
      </c>
      <c r="F13134" s="14">
        <v>35000</v>
      </c>
      <c r="G13134" s="14">
        <v>22750</v>
      </c>
      <c r="H13134" s="13" t="s">
        <v>24924</v>
      </c>
      <c r="I13134" s="40" t="s">
        <v>18</v>
      </c>
      <c r="J13134" s="40" t="str">
        <f>HYPERLINK("https://stock.pstatic.net/stock-research/company/40/20250424_company_568887000.pdf","PDF")</f>
        <v>PDF</v>
      </c>
      <c r="K13134" s="12" t="s">
        <v>24925</v>
      </c>
      <c r="L13134" s="20">
        <v>0.53846153846153844</v>
      </c>
    </row>
    <row r="13135" spans="1:12" x14ac:dyDescent="0.45">
      <c r="A13135" s="12" t="s">
        <v>24853</v>
      </c>
      <c r="B13135" s="12" t="s">
        <v>593</v>
      </c>
      <c r="C13135" s="13" t="s">
        <v>594</v>
      </c>
      <c r="D13135" s="13" t="s">
        <v>124</v>
      </c>
      <c r="E13135" s="12" t="s">
        <v>50</v>
      </c>
      <c r="F13135" s="13"/>
      <c r="G13135" s="13"/>
      <c r="H13135" s="13" t="s">
        <v>24926</v>
      </c>
      <c r="I13135" s="40" t="s">
        <v>18</v>
      </c>
      <c r="J13135" s="40" t="str">
        <f>HYPERLINK("https://stock.pstatic.net/stock-research/company/74/20250424_company_622457000.pdf","PDF")</f>
        <v>PDF</v>
      </c>
      <c r="K13135" s="12" t="s">
        <v>24927</v>
      </c>
    </row>
    <row r="13136" spans="1:12" x14ac:dyDescent="0.45">
      <c r="A13136" s="12" t="s">
        <v>24853</v>
      </c>
      <c r="B13136" s="12" t="s">
        <v>5705</v>
      </c>
      <c r="C13136" s="13" t="s">
        <v>5706</v>
      </c>
      <c r="D13136" s="13" t="s">
        <v>53</v>
      </c>
      <c r="E13136" s="12" t="s">
        <v>16</v>
      </c>
      <c r="F13136" s="14">
        <v>120000</v>
      </c>
      <c r="G13136" s="14">
        <v>94500</v>
      </c>
      <c r="H13136" s="13" t="s">
        <v>24928</v>
      </c>
      <c r="I13136" s="40" t="s">
        <v>18</v>
      </c>
      <c r="J13136" s="40" t="str">
        <f>HYPERLINK("https://stock.pstatic.net/stock-research/company/40/20250424_company_997898000.pdf","PDF")</f>
        <v>PDF</v>
      </c>
      <c r="K13136" s="12" t="s">
        <v>24929</v>
      </c>
      <c r="L13136" s="20">
        <v>0.26984126984126983</v>
      </c>
    </row>
    <row r="13137" spans="1:12" x14ac:dyDescent="0.45">
      <c r="A13137" s="12" t="s">
        <v>24853</v>
      </c>
      <c r="B13137" s="12" t="s">
        <v>511</v>
      </c>
      <c r="C13137" s="13" t="s">
        <v>512</v>
      </c>
      <c r="D13137" s="13" t="s">
        <v>34</v>
      </c>
      <c r="E13137" s="12" t="s">
        <v>35</v>
      </c>
      <c r="F13137" s="14">
        <v>126000</v>
      </c>
      <c r="G13137" s="14">
        <v>86800</v>
      </c>
      <c r="H13137" s="13" t="s">
        <v>24930</v>
      </c>
      <c r="I13137" s="40" t="s">
        <v>18</v>
      </c>
      <c r="J13137" s="40" t="str">
        <f>HYPERLINK("https://stock.pstatic.net/stock-research/company/61/20250424_company_676782000.pdf","PDF")</f>
        <v>PDF</v>
      </c>
      <c r="K13137" s="12" t="s">
        <v>24931</v>
      </c>
      <c r="L13137" s="20">
        <v>0.45161290322580638</v>
      </c>
    </row>
    <row r="13138" spans="1:12" x14ac:dyDescent="0.45">
      <c r="A13138" s="12" t="s">
        <v>24932</v>
      </c>
      <c r="B13138" s="12" t="s">
        <v>72</v>
      </c>
      <c r="C13138" s="13" t="s">
        <v>73</v>
      </c>
      <c r="D13138" s="13" t="s">
        <v>15</v>
      </c>
      <c r="E13138" s="12" t="s">
        <v>16</v>
      </c>
      <c r="F13138" s="14">
        <v>180000</v>
      </c>
      <c r="G13138" s="14">
        <v>115800</v>
      </c>
      <c r="H13138" s="13" t="s">
        <v>24933</v>
      </c>
      <c r="I13138" s="40" t="s">
        <v>18</v>
      </c>
      <c r="J13138" s="40" t="str">
        <f>HYPERLINK("https://stock.pstatic.net/stock-research/company/56/20250423_company_171168000.pdf","PDF")</f>
        <v>PDF</v>
      </c>
      <c r="K13138" s="12" t="s">
        <v>24934</v>
      </c>
      <c r="L13138" s="20">
        <v>0.55440414507772018</v>
      </c>
    </row>
    <row r="13139" spans="1:12" x14ac:dyDescent="0.45">
      <c r="A13139" s="12" t="s">
        <v>24932</v>
      </c>
      <c r="B13139" s="12" t="s">
        <v>24935</v>
      </c>
      <c r="C13139" s="13" t="s">
        <v>24936</v>
      </c>
      <c r="D13139" s="13" t="s">
        <v>276</v>
      </c>
      <c r="E13139" s="12" t="s">
        <v>50</v>
      </c>
      <c r="F13139" s="13"/>
      <c r="G13139" s="14">
        <v>28900</v>
      </c>
      <c r="H13139" s="13" t="s">
        <v>24937</v>
      </c>
      <c r="I13139" s="40" t="s">
        <v>18</v>
      </c>
      <c r="J13139" s="40" t="str">
        <f>HYPERLINK("https://stock.pstatic.net/stock-research/company/66/20250423_company_343694000.pdf","PDF")</f>
        <v>PDF</v>
      </c>
      <c r="K13139" s="12" t="s">
        <v>24938</v>
      </c>
    </row>
    <row r="13140" spans="1:12" x14ac:dyDescent="0.45">
      <c r="A13140" s="12" t="s">
        <v>24932</v>
      </c>
      <c r="B13140" s="12" t="s">
        <v>3887</v>
      </c>
      <c r="C13140" s="13" t="s">
        <v>3888</v>
      </c>
      <c r="D13140" s="13" t="s">
        <v>65</v>
      </c>
      <c r="E13140" s="12" t="s">
        <v>35</v>
      </c>
      <c r="F13140" s="14">
        <v>38000</v>
      </c>
      <c r="G13140" s="14">
        <v>22800</v>
      </c>
      <c r="H13140" s="13" t="s">
        <v>24939</v>
      </c>
      <c r="I13140" s="40" t="s">
        <v>18</v>
      </c>
      <c r="J13140" s="40" t="str">
        <f>HYPERLINK("https://stock.pstatic.net/stock-research/company/57/20250423_company_596043000.pdf","PDF")</f>
        <v>PDF</v>
      </c>
      <c r="K13140" s="12" t="s">
        <v>24940</v>
      </c>
      <c r="L13140" s="20">
        <v>0.66666666666666663</v>
      </c>
    </row>
    <row r="13141" spans="1:12" x14ac:dyDescent="0.45">
      <c r="A13141" s="12" t="s">
        <v>24932</v>
      </c>
      <c r="B13141" s="12" t="s">
        <v>3182</v>
      </c>
      <c r="C13141" s="13" t="s">
        <v>3183</v>
      </c>
      <c r="D13141" s="13" t="s">
        <v>65</v>
      </c>
      <c r="E13141" s="12" t="s">
        <v>35</v>
      </c>
      <c r="F13141" s="14">
        <v>500000</v>
      </c>
      <c r="G13141" s="14">
        <v>301000</v>
      </c>
      <c r="H13141" s="13" t="s">
        <v>24941</v>
      </c>
      <c r="I13141" s="40" t="s">
        <v>18</v>
      </c>
      <c r="J13141" s="40" t="str">
        <f>HYPERLINK("https://stock.pstatic.net/stock-research/company/57/20250423_company_598432000.pdf","PDF")</f>
        <v>PDF</v>
      </c>
      <c r="K13141" s="12" t="s">
        <v>24942</v>
      </c>
      <c r="L13141" s="20">
        <v>0.66112956810631229</v>
      </c>
    </row>
    <row r="13142" spans="1:12" x14ac:dyDescent="0.45">
      <c r="A13142" s="12" t="s">
        <v>24932</v>
      </c>
      <c r="B13142" s="12" t="s">
        <v>414</v>
      </c>
      <c r="C13142" s="13" t="s">
        <v>415</v>
      </c>
      <c r="D13142" s="13" t="s">
        <v>158</v>
      </c>
      <c r="E13142" s="12" t="s">
        <v>50</v>
      </c>
      <c r="F13142" s="13"/>
      <c r="G13142" s="14">
        <v>16190</v>
      </c>
      <c r="H13142" s="13" t="s">
        <v>24943</v>
      </c>
      <c r="I13142" s="40" t="s">
        <v>18</v>
      </c>
      <c r="J13142" s="40" t="str">
        <f>HYPERLINK("https://stock.pstatic.net/stock-research/company/18/20250423_company_410660000.pdf","PDF")</f>
        <v>PDF</v>
      </c>
      <c r="K13142" s="12" t="s">
        <v>24944</v>
      </c>
    </row>
    <row r="13143" spans="1:12" x14ac:dyDescent="0.45">
      <c r="A13143" s="12" t="s">
        <v>24932</v>
      </c>
      <c r="B13143" s="12" t="s">
        <v>102</v>
      </c>
      <c r="C13143" s="13" t="s">
        <v>103</v>
      </c>
      <c r="D13143" s="13" t="s">
        <v>83</v>
      </c>
      <c r="E13143" s="12" t="s">
        <v>35</v>
      </c>
      <c r="F13143" s="14">
        <v>20000</v>
      </c>
      <c r="G13143" s="14">
        <v>12290</v>
      </c>
      <c r="H13143" s="13" t="s">
        <v>24945</v>
      </c>
      <c r="I13143" s="40" t="s">
        <v>18</v>
      </c>
      <c r="J13143" s="40" t="str">
        <f>HYPERLINK("https://stock.pstatic.net/stock-research/company/2/20250423_company_497541000.pdf","PDF")</f>
        <v>PDF</v>
      </c>
      <c r="K13143" s="12" t="s">
        <v>24946</v>
      </c>
      <c r="L13143" s="20">
        <v>0.62733930024410089</v>
      </c>
    </row>
    <row r="13144" spans="1:12" x14ac:dyDescent="0.45">
      <c r="A13144" s="12" t="s">
        <v>24932</v>
      </c>
      <c r="B13144" s="12" t="s">
        <v>4567</v>
      </c>
      <c r="C13144" s="13" t="s">
        <v>4568</v>
      </c>
      <c r="D13144" s="13" t="s">
        <v>83</v>
      </c>
      <c r="E13144" s="12" t="s">
        <v>35</v>
      </c>
      <c r="F13144" s="14">
        <v>20000</v>
      </c>
      <c r="G13144" s="14">
        <v>14270</v>
      </c>
      <c r="H13144" s="13" t="s">
        <v>24947</v>
      </c>
      <c r="I13144" s="40" t="s">
        <v>18</v>
      </c>
      <c r="J13144" s="40" t="str">
        <f>HYPERLINK("https://stock.pstatic.net/stock-research/company/2/20250423_company_402877000.pdf","PDF")</f>
        <v>PDF</v>
      </c>
      <c r="K13144" s="12" t="s">
        <v>24948</v>
      </c>
      <c r="L13144" s="20">
        <v>0.40154169586545202</v>
      </c>
    </row>
    <row r="13145" spans="1:12" x14ac:dyDescent="0.45">
      <c r="A13145" s="12" t="s">
        <v>24932</v>
      </c>
      <c r="B13145" s="12" t="s">
        <v>1162</v>
      </c>
      <c r="C13145" s="13" t="s">
        <v>1163</v>
      </c>
      <c r="D13145" s="13" t="s">
        <v>83</v>
      </c>
      <c r="E13145" s="12" t="s">
        <v>35</v>
      </c>
      <c r="F13145" s="14">
        <v>150000</v>
      </c>
      <c r="G13145" s="14">
        <v>113500</v>
      </c>
      <c r="H13145" s="13" t="s">
        <v>24949</v>
      </c>
      <c r="I13145" s="40" t="s">
        <v>18</v>
      </c>
      <c r="J13145" s="40" t="str">
        <f>HYPERLINK("https://stock.pstatic.net/stock-research/company/2/20250423_company_407328000.pdf","PDF")</f>
        <v>PDF</v>
      </c>
      <c r="K13145" s="12" t="s">
        <v>24950</v>
      </c>
      <c r="L13145" s="20">
        <v>0.32158590308370039</v>
      </c>
    </row>
    <row r="13146" spans="1:12" x14ac:dyDescent="0.45">
      <c r="A13146" s="12" t="s">
        <v>24932</v>
      </c>
      <c r="B13146" s="12" t="s">
        <v>3182</v>
      </c>
      <c r="C13146" s="13" t="s">
        <v>3183</v>
      </c>
      <c r="D13146" s="13" t="s">
        <v>83</v>
      </c>
      <c r="E13146" s="12" t="s">
        <v>35</v>
      </c>
      <c r="F13146" s="14">
        <v>400000</v>
      </c>
      <c r="G13146" s="14">
        <v>301000</v>
      </c>
      <c r="H13146" s="13" t="s">
        <v>24951</v>
      </c>
      <c r="I13146" s="40" t="s">
        <v>18</v>
      </c>
      <c r="J13146" s="40" t="str">
        <f>HYPERLINK("https://stock.pstatic.net/stock-research/company/2/20250423_company_780259000.pdf","PDF")</f>
        <v>PDF</v>
      </c>
      <c r="K13146" s="12" t="s">
        <v>24952</v>
      </c>
      <c r="L13146" s="20">
        <v>0.32890365448504982</v>
      </c>
    </row>
    <row r="13147" spans="1:12" x14ac:dyDescent="0.45">
      <c r="A13147" s="12" t="s">
        <v>24932</v>
      </c>
      <c r="B13147" s="12" t="s">
        <v>3182</v>
      </c>
      <c r="C13147" s="13" t="s">
        <v>3183</v>
      </c>
      <c r="D13147" s="13" t="s">
        <v>15</v>
      </c>
      <c r="E13147" s="12" t="s">
        <v>16</v>
      </c>
      <c r="F13147" s="14">
        <v>450000</v>
      </c>
      <c r="G13147" s="14">
        <v>301000</v>
      </c>
      <c r="H13147" s="13" t="s">
        <v>24953</v>
      </c>
      <c r="I13147" s="40" t="s">
        <v>18</v>
      </c>
      <c r="J13147" s="40" t="str">
        <f>HYPERLINK("https://stock.pstatic.net/stock-research/company/29/20250423_company_548272000.pdf","PDF")</f>
        <v>PDF</v>
      </c>
      <c r="K13147" s="12" t="s">
        <v>24954</v>
      </c>
      <c r="L13147" s="20">
        <v>0.49501661129568109</v>
      </c>
    </row>
    <row r="13148" spans="1:12" x14ac:dyDescent="0.45">
      <c r="A13148" s="12" t="s">
        <v>24932</v>
      </c>
      <c r="B13148" s="12" t="s">
        <v>1773</v>
      </c>
      <c r="C13148" s="13" t="s">
        <v>1774</v>
      </c>
      <c r="D13148" s="13" t="s">
        <v>34</v>
      </c>
      <c r="E13148" s="12" t="s">
        <v>35</v>
      </c>
      <c r="F13148" s="14">
        <v>120000</v>
      </c>
      <c r="G13148" s="14">
        <v>83400</v>
      </c>
      <c r="H13148" s="13" t="s">
        <v>24955</v>
      </c>
      <c r="I13148" s="40" t="s">
        <v>18</v>
      </c>
      <c r="J13148" s="40" t="str">
        <f>HYPERLINK("https://stock.pstatic.net/stock-research/company/61/20250423_company_121290000.pdf","PDF")</f>
        <v>PDF</v>
      </c>
      <c r="K13148" s="12" t="s">
        <v>24956</v>
      </c>
      <c r="L13148" s="20">
        <v>0.43884892086330929</v>
      </c>
    </row>
    <row r="13149" spans="1:12" x14ac:dyDescent="0.45">
      <c r="A13149" s="12" t="s">
        <v>24932</v>
      </c>
      <c r="B13149" s="12" t="s">
        <v>3182</v>
      </c>
      <c r="C13149" s="13" t="s">
        <v>3183</v>
      </c>
      <c r="D13149" s="13" t="s">
        <v>179</v>
      </c>
      <c r="E13149" s="12" t="s">
        <v>16</v>
      </c>
      <c r="F13149" s="14">
        <v>350000</v>
      </c>
      <c r="G13149" s="14">
        <v>301000</v>
      </c>
      <c r="H13149" s="13" t="s">
        <v>24957</v>
      </c>
      <c r="I13149" s="40" t="s">
        <v>18</v>
      </c>
      <c r="J13149" s="40" t="str">
        <f>HYPERLINK("https://stock.pstatic.net/stock-research/company/31/20250423_company_397453000.pdf","PDF")</f>
        <v>PDF</v>
      </c>
      <c r="K13149" s="12" t="s">
        <v>24958</v>
      </c>
      <c r="L13149" s="20">
        <v>0.16279069767441859</v>
      </c>
    </row>
    <row r="13150" spans="1:12" x14ac:dyDescent="0.45">
      <c r="A13150" s="12" t="s">
        <v>24932</v>
      </c>
      <c r="B13150" s="12" t="s">
        <v>3813</v>
      </c>
      <c r="C13150" s="13" t="s">
        <v>3814</v>
      </c>
      <c r="D13150" s="13" t="s">
        <v>179</v>
      </c>
      <c r="E13150" s="12" t="s">
        <v>16</v>
      </c>
      <c r="F13150" s="14">
        <v>14000</v>
      </c>
      <c r="G13150" s="14">
        <v>8160</v>
      </c>
      <c r="H13150" s="13" t="s">
        <v>24959</v>
      </c>
      <c r="I13150" s="40" t="s">
        <v>18</v>
      </c>
      <c r="J13150" s="40" t="str">
        <f>HYPERLINK("https://stock.pstatic.net/stock-research/company/31/20250423_company_986513000.pdf","PDF")</f>
        <v>PDF</v>
      </c>
      <c r="K13150" s="12" t="s">
        <v>24960</v>
      </c>
      <c r="L13150" s="20">
        <v>0.71568627450980393</v>
      </c>
    </row>
    <row r="13151" spans="1:12" x14ac:dyDescent="0.45">
      <c r="A13151" s="12" t="s">
        <v>24932</v>
      </c>
      <c r="B13151" s="12" t="s">
        <v>1682</v>
      </c>
      <c r="C13151" s="13" t="s">
        <v>4787</v>
      </c>
      <c r="D13151" s="13" t="s">
        <v>179</v>
      </c>
      <c r="E13151" s="12" t="s">
        <v>50</v>
      </c>
      <c r="F13151" s="13"/>
      <c r="G13151" s="13"/>
      <c r="H13151" s="13" t="s">
        <v>24961</v>
      </c>
      <c r="I13151" s="40" t="s">
        <v>18</v>
      </c>
      <c r="J13151" s="40" t="str">
        <f>HYPERLINK("https://stock.pstatic.net/stock-research/company/31/20250423_company_645903000.pdf","PDF")</f>
        <v>PDF</v>
      </c>
      <c r="K13151" s="12" t="s">
        <v>24962</v>
      </c>
    </row>
    <row r="13152" spans="1:12" x14ac:dyDescent="0.45">
      <c r="A13152" s="12" t="s">
        <v>24932</v>
      </c>
      <c r="B13152" s="12" t="s">
        <v>2777</v>
      </c>
      <c r="C13152" s="13" t="s">
        <v>2778</v>
      </c>
      <c r="D13152" s="13" t="s">
        <v>44</v>
      </c>
      <c r="E13152" s="12" t="s">
        <v>45</v>
      </c>
      <c r="F13152" s="14">
        <v>135000</v>
      </c>
      <c r="G13152" s="14">
        <v>117800</v>
      </c>
      <c r="H13152" s="13" t="s">
        <v>24963</v>
      </c>
      <c r="I13152" s="40" t="s">
        <v>18</v>
      </c>
      <c r="J13152" s="40" t="str">
        <f>HYPERLINK("https://stock.pstatic.net/stock-research/company/39/20250423_company_832085000.pdf","PDF")</f>
        <v>PDF</v>
      </c>
      <c r="K13152" s="12" t="s">
        <v>24964</v>
      </c>
      <c r="L13152" s="20">
        <v>0.14601018675721561</v>
      </c>
    </row>
    <row r="13153" spans="1:12" x14ac:dyDescent="0.45">
      <c r="A13153" s="12" t="s">
        <v>24932</v>
      </c>
      <c r="B13153" s="12" t="s">
        <v>3403</v>
      </c>
      <c r="C13153" s="13" t="s">
        <v>3404</v>
      </c>
      <c r="D13153" s="13" t="s">
        <v>44</v>
      </c>
      <c r="E13153" s="12" t="s">
        <v>45</v>
      </c>
      <c r="F13153" s="14">
        <v>34000</v>
      </c>
      <c r="G13153" s="14">
        <v>30600</v>
      </c>
      <c r="H13153" s="13" t="s">
        <v>24965</v>
      </c>
      <c r="I13153" s="40" t="s">
        <v>18</v>
      </c>
      <c r="J13153" s="40" t="str">
        <f>HYPERLINK("https://stock.pstatic.net/stock-research/company/39/20250423_company_429167000.pdf","PDF")</f>
        <v>PDF</v>
      </c>
      <c r="K13153" s="12" t="s">
        <v>24966</v>
      </c>
      <c r="L13153" s="20">
        <v>0.1111111111111111</v>
      </c>
    </row>
    <row r="13154" spans="1:12" x14ac:dyDescent="0.45">
      <c r="A13154" s="12" t="s">
        <v>24932</v>
      </c>
      <c r="B13154" s="12" t="s">
        <v>3182</v>
      </c>
      <c r="C13154" s="13" t="s">
        <v>3183</v>
      </c>
      <c r="D13154" s="13" t="s">
        <v>44</v>
      </c>
      <c r="E13154" s="12" t="s">
        <v>35</v>
      </c>
      <c r="F13154" s="14">
        <v>400000</v>
      </c>
      <c r="G13154" s="14">
        <v>301000</v>
      </c>
      <c r="H13154" s="13" t="s">
        <v>24967</v>
      </c>
      <c r="I13154" s="40" t="s">
        <v>18</v>
      </c>
      <c r="J13154" s="40" t="str">
        <f>HYPERLINK("https://stock.pstatic.net/stock-research/company/39/20250423_company_907457000.pdf","PDF")</f>
        <v>PDF</v>
      </c>
      <c r="K13154" s="12" t="s">
        <v>24968</v>
      </c>
      <c r="L13154" s="20">
        <v>0.32890365448504982</v>
      </c>
    </row>
    <row r="13155" spans="1:12" x14ac:dyDescent="0.45">
      <c r="A13155" s="12" t="s">
        <v>24932</v>
      </c>
      <c r="B13155" s="12" t="s">
        <v>1540</v>
      </c>
      <c r="C13155" s="13" t="s">
        <v>1541</v>
      </c>
      <c r="D13155" s="13" t="s">
        <v>23</v>
      </c>
      <c r="E13155" s="12" t="s">
        <v>16</v>
      </c>
      <c r="F13155" s="14">
        <v>57000</v>
      </c>
      <c r="G13155" s="14">
        <v>41800</v>
      </c>
      <c r="H13155" s="13" t="s">
        <v>24969</v>
      </c>
      <c r="I13155" s="40" t="s">
        <v>18</v>
      </c>
      <c r="J13155" s="40" t="str">
        <f>HYPERLINK("https://stock.pstatic.net/stock-research/company/21/20250423_company_72785000.pdf","PDF")</f>
        <v>PDF</v>
      </c>
      <c r="K13155" s="12" t="s">
        <v>24970</v>
      </c>
      <c r="L13155" s="20">
        <v>0.36363636363636359</v>
      </c>
    </row>
    <row r="13156" spans="1:12" x14ac:dyDescent="0.45">
      <c r="A13156" s="12" t="s">
        <v>24932</v>
      </c>
      <c r="B13156" s="12" t="s">
        <v>22574</v>
      </c>
      <c r="C13156" s="13" t="s">
        <v>22575</v>
      </c>
      <c r="D13156" s="13" t="s">
        <v>44</v>
      </c>
      <c r="E13156" s="12" t="s">
        <v>50</v>
      </c>
      <c r="F13156" s="13"/>
      <c r="G13156" s="14">
        <v>16120</v>
      </c>
      <c r="H13156" s="13" t="s">
        <v>24971</v>
      </c>
      <c r="I13156" s="40" t="s">
        <v>18</v>
      </c>
      <c r="J13156" s="40" t="str">
        <f>HYPERLINK("https://stock.pstatic.net/stock-research/company/39/20250423_company_903906000.pdf","PDF")</f>
        <v>PDF</v>
      </c>
      <c r="K13156" s="12" t="s">
        <v>24972</v>
      </c>
    </row>
    <row r="13157" spans="1:12" x14ac:dyDescent="0.45">
      <c r="A13157" s="12" t="s">
        <v>24932</v>
      </c>
      <c r="B13157" s="12" t="s">
        <v>3182</v>
      </c>
      <c r="C13157" s="13" t="s">
        <v>3183</v>
      </c>
      <c r="D13157" s="13" t="s">
        <v>53</v>
      </c>
      <c r="E13157" s="12" t="s">
        <v>16</v>
      </c>
      <c r="F13157" s="14">
        <v>460000</v>
      </c>
      <c r="G13157" s="14">
        <v>301000</v>
      </c>
      <c r="H13157" s="13" t="s">
        <v>24973</v>
      </c>
      <c r="I13157" s="40" t="s">
        <v>18</v>
      </c>
      <c r="J13157" s="40" t="str">
        <f>HYPERLINK("https://stock.pstatic.net/stock-research/company/40/20250423_company_902430000.pdf","PDF")</f>
        <v>PDF</v>
      </c>
      <c r="K13157" s="12" t="s">
        <v>24974</v>
      </c>
      <c r="L13157" s="20">
        <v>0.52823920265780733</v>
      </c>
    </row>
    <row r="13158" spans="1:12" x14ac:dyDescent="0.45">
      <c r="A13158" s="12" t="s">
        <v>24932</v>
      </c>
      <c r="B13158" s="12" t="s">
        <v>3182</v>
      </c>
      <c r="C13158" s="13" t="s">
        <v>3183</v>
      </c>
      <c r="D13158" s="13" t="s">
        <v>23</v>
      </c>
      <c r="E13158" s="12" t="s">
        <v>16</v>
      </c>
      <c r="F13158" s="14">
        <v>420000</v>
      </c>
      <c r="G13158" s="14">
        <v>301000</v>
      </c>
      <c r="H13158" s="13" t="s">
        <v>24975</v>
      </c>
      <c r="I13158" s="40" t="s">
        <v>18</v>
      </c>
      <c r="J13158" s="40" t="str">
        <f>HYPERLINK("https://stock.pstatic.net/stock-research/company/21/20250423_company_89605000.pdf","PDF")</f>
        <v>PDF</v>
      </c>
      <c r="K13158" s="12" t="s">
        <v>24976</v>
      </c>
      <c r="L13158" s="20">
        <v>0.39534883720930231</v>
      </c>
    </row>
    <row r="13159" spans="1:12" x14ac:dyDescent="0.45">
      <c r="A13159" s="12" t="s">
        <v>24932</v>
      </c>
      <c r="B13159" s="12" t="s">
        <v>1635</v>
      </c>
      <c r="C13159" s="13" t="s">
        <v>1636</v>
      </c>
      <c r="D13159" s="13" t="s">
        <v>124</v>
      </c>
      <c r="E13159" s="12" t="s">
        <v>50</v>
      </c>
      <c r="F13159" s="13"/>
      <c r="G13159" s="13"/>
      <c r="H13159" s="13" t="s">
        <v>24977</v>
      </c>
      <c r="I13159" s="40" t="s">
        <v>18</v>
      </c>
      <c r="J13159" s="40" t="str">
        <f>HYPERLINK("https://stock.pstatic.net/stock-research/company/74/20250423_company_163057000.pdf","PDF")</f>
        <v>PDF</v>
      </c>
      <c r="K13159" s="12" t="s">
        <v>24978</v>
      </c>
    </row>
    <row r="13160" spans="1:12" x14ac:dyDescent="0.45">
      <c r="A13160" s="12" t="s">
        <v>24932</v>
      </c>
      <c r="B13160" s="12" t="s">
        <v>5015</v>
      </c>
      <c r="C13160" s="13" t="s">
        <v>5016</v>
      </c>
      <c r="D13160" s="13" t="s">
        <v>124</v>
      </c>
      <c r="E13160" s="12" t="s">
        <v>50</v>
      </c>
      <c r="F13160" s="13"/>
      <c r="G13160" s="13"/>
      <c r="H13160" s="13" t="s">
        <v>24979</v>
      </c>
      <c r="I13160" s="40" t="s">
        <v>18</v>
      </c>
      <c r="J13160" s="40" t="str">
        <f>HYPERLINK("https://stock.pstatic.net/stock-research/company/74/20250423_company_303770000.pdf","PDF")</f>
        <v>PDF</v>
      </c>
      <c r="K13160" s="12" t="s">
        <v>24980</v>
      </c>
    </row>
    <row r="13161" spans="1:12" x14ac:dyDescent="0.45">
      <c r="A13161" s="12" t="s">
        <v>24981</v>
      </c>
      <c r="B13161" s="12" t="s">
        <v>4021</v>
      </c>
      <c r="C13161" s="13" t="s">
        <v>4022</v>
      </c>
      <c r="D13161" s="13" t="s">
        <v>276</v>
      </c>
      <c r="E13161" s="12" t="s">
        <v>16</v>
      </c>
      <c r="F13161" s="14">
        <v>270000</v>
      </c>
      <c r="G13161" s="14">
        <v>176600</v>
      </c>
      <c r="H13161" s="13" t="s">
        <v>24982</v>
      </c>
      <c r="I13161" s="40" t="s">
        <v>18</v>
      </c>
      <c r="J13161" s="40" t="str">
        <f>HYPERLINK("https://stock.pstatic.net/stock-research/company/66/20250422_company_26190000.pdf","PDF")</f>
        <v>PDF</v>
      </c>
      <c r="K13161" s="12" t="s">
        <v>24983</v>
      </c>
      <c r="L13161" s="20">
        <v>0.52887882219705551</v>
      </c>
    </row>
    <row r="13162" spans="1:12" x14ac:dyDescent="0.45">
      <c r="A13162" s="12" t="s">
        <v>24981</v>
      </c>
      <c r="B13162" s="12" t="s">
        <v>11329</v>
      </c>
      <c r="C13162" s="13" t="s">
        <v>11330</v>
      </c>
      <c r="D13162" s="13" t="s">
        <v>276</v>
      </c>
      <c r="E13162" s="12" t="s">
        <v>16</v>
      </c>
      <c r="F13162" s="14">
        <v>12000</v>
      </c>
      <c r="G13162" s="14">
        <v>9860</v>
      </c>
      <c r="H13162" s="13" t="s">
        <v>24984</v>
      </c>
      <c r="I13162" s="40" t="s">
        <v>18</v>
      </c>
      <c r="J13162" s="40" t="str">
        <f>HYPERLINK("https://stock.pstatic.net/stock-research/company/66/20250422_company_459989000.pdf","PDF")</f>
        <v>PDF</v>
      </c>
      <c r="K13162" s="12" t="s">
        <v>24985</v>
      </c>
      <c r="L13162" s="20">
        <v>0.21703853955375249</v>
      </c>
    </row>
    <row r="13163" spans="1:12" x14ac:dyDescent="0.45">
      <c r="A13163" s="12" t="s">
        <v>24981</v>
      </c>
      <c r="B13163" s="12" t="s">
        <v>2105</v>
      </c>
      <c r="C13163" s="13" t="s">
        <v>2106</v>
      </c>
      <c r="D13163" s="13" t="s">
        <v>60</v>
      </c>
      <c r="E13163" s="12" t="s">
        <v>35</v>
      </c>
      <c r="F13163" s="14">
        <v>80000</v>
      </c>
      <c r="G13163" s="14">
        <v>54400</v>
      </c>
      <c r="H13163" s="13" t="s">
        <v>24986</v>
      </c>
      <c r="I13163" s="40" t="s">
        <v>18</v>
      </c>
      <c r="J13163" s="40" t="str">
        <f>HYPERLINK("https://stock.pstatic.net/stock-research/company/34/20250422_company_384332000.pdf","PDF")</f>
        <v>PDF</v>
      </c>
      <c r="K13163" s="12" t="s">
        <v>24987</v>
      </c>
      <c r="L13163" s="20">
        <v>0.47058823529411759</v>
      </c>
    </row>
    <row r="13164" spans="1:12" x14ac:dyDescent="0.45">
      <c r="A13164" s="12" t="s">
        <v>24981</v>
      </c>
      <c r="B13164" s="12" t="s">
        <v>375</v>
      </c>
      <c r="C13164" s="13" t="s">
        <v>376</v>
      </c>
      <c r="D13164" s="13" t="s">
        <v>60</v>
      </c>
      <c r="E13164" s="12" t="s">
        <v>35</v>
      </c>
      <c r="F13164" s="14">
        <v>28000</v>
      </c>
      <c r="G13164" s="14">
        <v>22900</v>
      </c>
      <c r="H13164" s="13" t="s">
        <v>24988</v>
      </c>
      <c r="I13164" s="40" t="s">
        <v>18</v>
      </c>
      <c r="J13164" s="40" t="str">
        <f>HYPERLINK("https://stock.pstatic.net/stock-research/company/62/20250422_company_221073000.pdf","PDF")</f>
        <v>PDF</v>
      </c>
      <c r="K13164" s="12" t="s">
        <v>24989</v>
      </c>
      <c r="L13164" s="20">
        <v>0.22270742358078599</v>
      </c>
    </row>
    <row r="13165" spans="1:12" x14ac:dyDescent="0.45">
      <c r="A13165" s="12" t="s">
        <v>24981</v>
      </c>
      <c r="B13165" s="12" t="s">
        <v>4021</v>
      </c>
      <c r="C13165" s="13" t="s">
        <v>4022</v>
      </c>
      <c r="D13165" s="13" t="s">
        <v>65</v>
      </c>
      <c r="E13165" s="12" t="s">
        <v>35</v>
      </c>
      <c r="F13165" s="14">
        <v>260000</v>
      </c>
      <c r="G13165" s="14">
        <v>176600</v>
      </c>
      <c r="H13165" s="13" t="s">
        <v>24990</v>
      </c>
      <c r="I13165" s="40" t="s">
        <v>18</v>
      </c>
      <c r="J13165" s="40" t="str">
        <f>HYPERLINK("https://stock.pstatic.net/stock-research/company/57/20250422_company_250788000.pdf","PDF")</f>
        <v>PDF</v>
      </c>
      <c r="K13165" s="12" t="s">
        <v>24991</v>
      </c>
      <c r="L13165" s="20">
        <v>0.47225368063420159</v>
      </c>
    </row>
    <row r="13166" spans="1:12" x14ac:dyDescent="0.45">
      <c r="A13166" s="12" t="s">
        <v>24981</v>
      </c>
      <c r="B13166" s="12" t="s">
        <v>4021</v>
      </c>
      <c r="C13166" s="13" t="s">
        <v>4022</v>
      </c>
      <c r="D13166" s="13" t="s">
        <v>15</v>
      </c>
      <c r="E13166" s="12" t="s">
        <v>16</v>
      </c>
      <c r="F13166" s="14">
        <v>250000</v>
      </c>
      <c r="G13166" s="14">
        <v>176000</v>
      </c>
      <c r="H13166" s="13" t="s">
        <v>24992</v>
      </c>
      <c r="I13166" s="40" t="s">
        <v>18</v>
      </c>
      <c r="J13166" s="40" t="str">
        <f>HYPERLINK("https://stock.pstatic.net/stock-research/company/29/20250422_company_530558000.pdf","PDF")</f>
        <v>PDF</v>
      </c>
      <c r="K13166" s="12" t="s">
        <v>24993</v>
      </c>
      <c r="L13166" s="20">
        <v>0.42045454545454553</v>
      </c>
    </row>
    <row r="13167" spans="1:12" x14ac:dyDescent="0.45">
      <c r="A13167" s="12" t="s">
        <v>24981</v>
      </c>
      <c r="B13167" s="12" t="s">
        <v>1051</v>
      </c>
      <c r="C13167" s="13" t="s">
        <v>1052</v>
      </c>
      <c r="D13167" s="13" t="s">
        <v>57</v>
      </c>
      <c r="E13167" s="12" t="s">
        <v>35</v>
      </c>
      <c r="F13167" s="14">
        <v>57000</v>
      </c>
      <c r="G13167" s="14">
        <v>38850</v>
      </c>
      <c r="H13167" s="13" t="s">
        <v>24994</v>
      </c>
      <c r="I13167" s="40" t="s">
        <v>18</v>
      </c>
      <c r="J13167" s="40" t="str">
        <f>HYPERLINK("https://stock.pstatic.net/stock-research/company/1/20250422_company_584732000.pdf","PDF")</f>
        <v>PDF</v>
      </c>
      <c r="K13167" s="12" t="s">
        <v>24995</v>
      </c>
      <c r="L13167" s="20">
        <v>0.46718146718146719</v>
      </c>
    </row>
    <row r="13168" spans="1:12" x14ac:dyDescent="0.45">
      <c r="A13168" s="12" t="s">
        <v>24981</v>
      </c>
      <c r="B13168" s="12" t="s">
        <v>1936</v>
      </c>
      <c r="C13168" s="13" t="s">
        <v>1937</v>
      </c>
      <c r="D13168" s="13" t="s">
        <v>57</v>
      </c>
      <c r="E13168" s="12" t="s">
        <v>35</v>
      </c>
      <c r="F13168" s="14">
        <v>9500</v>
      </c>
      <c r="G13168" s="14">
        <v>5180</v>
      </c>
      <c r="H13168" s="13" t="s">
        <v>24996</v>
      </c>
      <c r="I13168" s="40" t="s">
        <v>18</v>
      </c>
      <c r="J13168" s="40" t="str">
        <f>HYPERLINK("https://stock.pstatic.net/stock-research/company/16/20250422_company_633838000.pdf","PDF")</f>
        <v>PDF</v>
      </c>
      <c r="K13168" s="12" t="s">
        <v>24997</v>
      </c>
      <c r="L13168" s="20">
        <v>0.83397683397683398</v>
      </c>
    </row>
    <row r="13169" spans="1:12" x14ac:dyDescent="0.45">
      <c r="A13169" s="12" t="s">
        <v>24981</v>
      </c>
      <c r="B13169" s="12" t="s">
        <v>3154</v>
      </c>
      <c r="C13169" s="13" t="s">
        <v>3155</v>
      </c>
      <c r="D13169" s="13" t="s">
        <v>57</v>
      </c>
      <c r="E13169" s="12" t="s">
        <v>35</v>
      </c>
      <c r="F13169" s="14">
        <v>7900</v>
      </c>
      <c r="G13169" s="14">
        <v>4520</v>
      </c>
      <c r="H13169" s="13" t="s">
        <v>24998</v>
      </c>
      <c r="I13169" s="40" t="s">
        <v>18</v>
      </c>
      <c r="J13169" s="40" t="str">
        <f>HYPERLINK("https://stock.pstatic.net/stock-research/company/16/20250422_company_689039000.pdf","PDF")</f>
        <v>PDF</v>
      </c>
      <c r="K13169" s="12" t="s">
        <v>24999</v>
      </c>
      <c r="L13169" s="20">
        <v>0.74778761061946908</v>
      </c>
    </row>
    <row r="13170" spans="1:12" x14ac:dyDescent="0.45">
      <c r="A13170" s="12" t="s">
        <v>24981</v>
      </c>
      <c r="B13170" s="12" t="s">
        <v>691</v>
      </c>
      <c r="C13170" s="13" t="s">
        <v>20</v>
      </c>
      <c r="D13170" s="13" t="s">
        <v>83</v>
      </c>
      <c r="E13170" s="12" t="s">
        <v>35</v>
      </c>
      <c r="F13170" s="14">
        <v>240000</v>
      </c>
      <c r="G13170" s="14">
        <v>157400</v>
      </c>
      <c r="H13170" s="13" t="s">
        <v>25000</v>
      </c>
      <c r="I13170" s="40" t="s">
        <v>18</v>
      </c>
      <c r="J13170" s="40" t="str">
        <f>HYPERLINK("https://stock.pstatic.net/stock-research/company/2/20250422_company_578425000.pdf","PDF")</f>
        <v>PDF</v>
      </c>
      <c r="K13170" s="12" t="s">
        <v>25001</v>
      </c>
      <c r="L13170" s="20">
        <v>0.52477763659466325</v>
      </c>
    </row>
    <row r="13171" spans="1:12" x14ac:dyDescent="0.45">
      <c r="A13171" s="12" t="s">
        <v>24981</v>
      </c>
      <c r="B13171" s="12" t="s">
        <v>1686</v>
      </c>
      <c r="C13171" s="13" t="s">
        <v>1687</v>
      </c>
      <c r="D13171" s="13" t="s">
        <v>83</v>
      </c>
      <c r="E13171" s="12" t="s">
        <v>35</v>
      </c>
      <c r="F13171" s="14">
        <v>1200000</v>
      </c>
      <c r="G13171" s="14">
        <v>957000</v>
      </c>
      <c r="H13171" s="13" t="s">
        <v>25002</v>
      </c>
      <c r="I13171" s="40" t="s">
        <v>18</v>
      </c>
      <c r="J13171" s="40" t="str">
        <f>HYPERLINK("https://stock.pstatic.net/stock-research/company/2/20250422_company_493262000.pdf","PDF")</f>
        <v>PDF</v>
      </c>
      <c r="K13171" s="12" t="s">
        <v>25003</v>
      </c>
      <c r="L13171" s="20">
        <v>0.25391849529780558</v>
      </c>
    </row>
    <row r="13172" spans="1:12" x14ac:dyDescent="0.45">
      <c r="A13172" s="12" t="s">
        <v>24981</v>
      </c>
      <c r="B13172" s="12" t="s">
        <v>4021</v>
      </c>
      <c r="C13172" s="13" t="s">
        <v>4022</v>
      </c>
      <c r="D13172" s="13" t="s">
        <v>83</v>
      </c>
      <c r="E13172" s="12" t="s">
        <v>35</v>
      </c>
      <c r="F13172" s="14">
        <v>250000</v>
      </c>
      <c r="G13172" s="14">
        <v>176600</v>
      </c>
      <c r="H13172" s="13" t="s">
        <v>25004</v>
      </c>
      <c r="I13172" s="40" t="s">
        <v>18</v>
      </c>
      <c r="J13172" s="40" t="str">
        <f>HYPERLINK("https://stock.pstatic.net/stock-research/company/2/20250422_company_752252000.pdf","PDF")</f>
        <v>PDF</v>
      </c>
      <c r="K13172" s="12" t="s">
        <v>25005</v>
      </c>
      <c r="L13172" s="20">
        <v>0.41562853907134772</v>
      </c>
    </row>
    <row r="13173" spans="1:12" x14ac:dyDescent="0.45">
      <c r="A13173" s="12" t="s">
        <v>24981</v>
      </c>
      <c r="B13173" s="12" t="s">
        <v>11689</v>
      </c>
      <c r="C13173" s="13" t="s">
        <v>11690</v>
      </c>
      <c r="D13173" s="13" t="s">
        <v>83</v>
      </c>
      <c r="E13173" s="12" t="s">
        <v>50</v>
      </c>
      <c r="F13173" s="13"/>
      <c r="G13173" s="14">
        <v>22950</v>
      </c>
      <c r="H13173" s="13" t="s">
        <v>25006</v>
      </c>
      <c r="I13173" s="40" t="s">
        <v>18</v>
      </c>
      <c r="J13173" s="40" t="str">
        <f>HYPERLINK("https://stock.pstatic.net/stock-research/company/2/20250422_company_872582000.pdf","PDF")</f>
        <v>PDF</v>
      </c>
      <c r="K13173" s="12" t="s">
        <v>25007</v>
      </c>
    </row>
    <row r="13174" spans="1:12" x14ac:dyDescent="0.45">
      <c r="A13174" s="12" t="s">
        <v>24981</v>
      </c>
      <c r="B13174" s="12" t="s">
        <v>884</v>
      </c>
      <c r="C13174" s="13" t="s">
        <v>885</v>
      </c>
      <c r="D13174" s="13" t="s">
        <v>57</v>
      </c>
      <c r="E13174" s="12" t="s">
        <v>35</v>
      </c>
      <c r="F13174" s="14">
        <v>3800</v>
      </c>
      <c r="G13174" s="14">
        <v>2465</v>
      </c>
      <c r="H13174" s="13" t="s">
        <v>25008</v>
      </c>
      <c r="I13174" s="40" t="s">
        <v>18</v>
      </c>
      <c r="J13174" s="40" t="str">
        <f>HYPERLINK("https://stock.pstatic.net/stock-research/company/16/20250422_company_406095000.pdf","PDF")</f>
        <v>PDF</v>
      </c>
      <c r="K13174" s="12" t="s">
        <v>25009</v>
      </c>
      <c r="L13174" s="20">
        <v>0.54158215010141986</v>
      </c>
    </row>
    <row r="13175" spans="1:12" x14ac:dyDescent="0.45">
      <c r="A13175" s="12" t="s">
        <v>24981</v>
      </c>
      <c r="B13175" s="12" t="s">
        <v>21</v>
      </c>
      <c r="C13175" s="13" t="s">
        <v>22</v>
      </c>
      <c r="D13175" s="13" t="s">
        <v>179</v>
      </c>
      <c r="E13175" s="12" t="s">
        <v>16</v>
      </c>
      <c r="F13175" s="14">
        <v>25000</v>
      </c>
      <c r="G13175" s="14">
        <v>21050</v>
      </c>
      <c r="H13175" s="13" t="s">
        <v>25010</v>
      </c>
      <c r="I13175" s="40" t="s">
        <v>18</v>
      </c>
      <c r="J13175" s="40" t="str">
        <f>HYPERLINK("https://stock.pstatic.net/stock-research/company/31/20250422_company_886649000.pdf","PDF")</f>
        <v>PDF</v>
      </c>
      <c r="K13175" s="12" t="s">
        <v>25011</v>
      </c>
      <c r="L13175" s="20">
        <v>0.18764845605700711</v>
      </c>
    </row>
    <row r="13176" spans="1:12" x14ac:dyDescent="0.45">
      <c r="A13176" s="12" t="s">
        <v>24981</v>
      </c>
      <c r="B13176" s="12" t="s">
        <v>352</v>
      </c>
      <c r="C13176" s="13" t="s">
        <v>353</v>
      </c>
      <c r="D13176" s="13" t="s">
        <v>853</v>
      </c>
      <c r="E13176" s="12" t="s">
        <v>35</v>
      </c>
      <c r="F13176" s="14">
        <v>140000</v>
      </c>
      <c r="G13176" s="14">
        <v>114900</v>
      </c>
      <c r="H13176" s="13" t="s">
        <v>25012</v>
      </c>
      <c r="I13176" s="40" t="s">
        <v>18</v>
      </c>
      <c r="J13176" s="40" t="str">
        <f>HYPERLINK("https://stock.pstatic.net/stock-research/company/17/20250422_company_280407000.pdf","PDF")</f>
        <v>PDF</v>
      </c>
      <c r="K13176" s="12" t="s">
        <v>25013</v>
      </c>
      <c r="L13176" s="20">
        <v>0.21845082680591821</v>
      </c>
    </row>
    <row r="13177" spans="1:12" x14ac:dyDescent="0.45">
      <c r="A13177" s="12" t="s">
        <v>24981</v>
      </c>
      <c r="B13177" s="12" t="s">
        <v>1274</v>
      </c>
      <c r="C13177" s="13" t="s">
        <v>1275</v>
      </c>
      <c r="D13177" s="13" t="s">
        <v>179</v>
      </c>
      <c r="E13177" s="12" t="s">
        <v>16</v>
      </c>
      <c r="F13177" s="14">
        <v>120000</v>
      </c>
      <c r="G13177" s="14">
        <v>85900</v>
      </c>
      <c r="H13177" s="13" t="s">
        <v>25014</v>
      </c>
      <c r="I13177" s="40" t="s">
        <v>18</v>
      </c>
      <c r="J13177" s="40" t="str">
        <f>HYPERLINK("https://stock.pstatic.net/stock-research/company/31/20250422_company_172828000.pdf","PDF")</f>
        <v>PDF</v>
      </c>
      <c r="K13177" s="12" t="s">
        <v>25015</v>
      </c>
      <c r="L13177" s="20">
        <v>0.39697322467986029</v>
      </c>
    </row>
    <row r="13178" spans="1:12" x14ac:dyDescent="0.45">
      <c r="A13178" s="12" t="s">
        <v>24981</v>
      </c>
      <c r="B13178" s="12" t="s">
        <v>3123</v>
      </c>
      <c r="C13178" s="13" t="s">
        <v>3124</v>
      </c>
      <c r="D13178" s="13" t="s">
        <v>34</v>
      </c>
      <c r="E13178" s="12" t="s">
        <v>35</v>
      </c>
      <c r="F13178" s="14">
        <v>35000</v>
      </c>
      <c r="G13178" s="14">
        <v>24400</v>
      </c>
      <c r="H13178" s="13" t="s">
        <v>25016</v>
      </c>
      <c r="I13178" s="40" t="s">
        <v>18</v>
      </c>
      <c r="J13178" s="40" t="str">
        <f>HYPERLINK("https://stock.pstatic.net/stock-research/company/61/20250422_company_795799000.pdf","PDF")</f>
        <v>PDF</v>
      </c>
      <c r="K13178" s="12" t="s">
        <v>25017</v>
      </c>
      <c r="L13178" s="20">
        <v>0.4344262295081967</v>
      </c>
    </row>
    <row r="13179" spans="1:12" x14ac:dyDescent="0.45">
      <c r="A13179" s="12" t="s">
        <v>24981</v>
      </c>
      <c r="B13179" s="12" t="s">
        <v>4021</v>
      </c>
      <c r="C13179" s="13" t="s">
        <v>4022</v>
      </c>
      <c r="D13179" s="13" t="s">
        <v>44</v>
      </c>
      <c r="E13179" s="12" t="s">
        <v>35</v>
      </c>
      <c r="F13179" s="14">
        <v>250000</v>
      </c>
      <c r="G13179" s="14">
        <v>176600</v>
      </c>
      <c r="H13179" s="13" t="s">
        <v>25018</v>
      </c>
      <c r="I13179" s="40" t="s">
        <v>18</v>
      </c>
      <c r="J13179" s="40" t="str">
        <f>HYPERLINK("https://stock.pstatic.net/stock-research/company/39/20250422_company_343529000.pdf","PDF")</f>
        <v>PDF</v>
      </c>
      <c r="K13179" s="12" t="s">
        <v>25019</v>
      </c>
      <c r="L13179" s="20">
        <v>0.41562853907134772</v>
      </c>
    </row>
    <row r="13180" spans="1:12" x14ac:dyDescent="0.45">
      <c r="A13180" s="12" t="s">
        <v>24981</v>
      </c>
      <c r="B13180" s="12" t="s">
        <v>4021</v>
      </c>
      <c r="C13180" s="13" t="s">
        <v>4022</v>
      </c>
      <c r="D13180" s="13" t="s">
        <v>179</v>
      </c>
      <c r="E13180" s="12" t="s">
        <v>16</v>
      </c>
      <c r="F13180" s="14">
        <v>220000</v>
      </c>
      <c r="G13180" s="14">
        <v>176600</v>
      </c>
      <c r="H13180" s="13" t="s">
        <v>25020</v>
      </c>
      <c r="I13180" s="40" t="s">
        <v>18</v>
      </c>
      <c r="J13180" s="40" t="str">
        <f>HYPERLINK("https://stock.pstatic.net/stock-research/company/31/20250422_company_707743000.pdf","PDF")</f>
        <v>PDF</v>
      </c>
      <c r="K13180" s="12" t="s">
        <v>25021</v>
      </c>
      <c r="L13180" s="20">
        <v>0.24575311438278599</v>
      </c>
    </row>
    <row r="13181" spans="1:12" x14ac:dyDescent="0.45">
      <c r="A13181" s="12" t="s">
        <v>24981</v>
      </c>
      <c r="B13181" s="12" t="s">
        <v>585</v>
      </c>
      <c r="C13181" s="13" t="s">
        <v>586</v>
      </c>
      <c r="D13181" s="13" t="s">
        <v>23</v>
      </c>
      <c r="E13181" s="12" t="s">
        <v>16</v>
      </c>
      <c r="F13181" s="14">
        <v>27000</v>
      </c>
      <c r="G13181" s="14">
        <v>21450</v>
      </c>
      <c r="H13181" s="13" t="s">
        <v>25022</v>
      </c>
      <c r="I13181" s="40" t="s">
        <v>18</v>
      </c>
      <c r="J13181" s="40" t="str">
        <f>HYPERLINK("https://stock.pstatic.net/stock-research/company/21/20250422_company_418812000.pdf","PDF")</f>
        <v>PDF</v>
      </c>
      <c r="K13181" s="12" t="s">
        <v>25023</v>
      </c>
      <c r="L13181" s="20">
        <v>0.25874125874125881</v>
      </c>
    </row>
    <row r="13182" spans="1:12" x14ac:dyDescent="0.45">
      <c r="A13182" s="12" t="s">
        <v>24981</v>
      </c>
      <c r="B13182" s="12" t="s">
        <v>4021</v>
      </c>
      <c r="C13182" s="13" t="s">
        <v>4022</v>
      </c>
      <c r="D13182" s="13" t="s">
        <v>23</v>
      </c>
      <c r="E13182" s="12" t="s">
        <v>16</v>
      </c>
      <c r="F13182" s="14">
        <v>260000</v>
      </c>
      <c r="G13182" s="14">
        <v>176600</v>
      </c>
      <c r="H13182" s="13" t="s">
        <v>25024</v>
      </c>
      <c r="I13182" s="40" t="s">
        <v>18</v>
      </c>
      <c r="J13182" s="40" t="str">
        <f>HYPERLINK("https://stock.pstatic.net/stock-research/company/21/20250422_company_378723000.pdf","PDF")</f>
        <v>PDF</v>
      </c>
      <c r="K13182" s="12" t="s">
        <v>25025</v>
      </c>
      <c r="L13182" s="20">
        <v>0.47225368063420159</v>
      </c>
    </row>
    <row r="13183" spans="1:12" x14ac:dyDescent="0.45">
      <c r="A13183" s="12" t="s">
        <v>24981</v>
      </c>
      <c r="B13183" s="12" t="s">
        <v>438</v>
      </c>
      <c r="C13183" s="13" t="s">
        <v>439</v>
      </c>
      <c r="D13183" s="13" t="s">
        <v>179</v>
      </c>
      <c r="E13183" s="12" t="s">
        <v>16</v>
      </c>
      <c r="F13183" s="14">
        <v>90000</v>
      </c>
      <c r="G13183" s="14">
        <v>61300</v>
      </c>
      <c r="H13183" s="13" t="s">
        <v>25026</v>
      </c>
      <c r="I13183" s="40" t="s">
        <v>18</v>
      </c>
      <c r="J13183" s="40" t="str">
        <f>HYPERLINK("https://stock.pstatic.net/stock-research/company/31/20250422_company_962336000.pdf","PDF")</f>
        <v>PDF</v>
      </c>
      <c r="K13183" s="12" t="s">
        <v>25027</v>
      </c>
      <c r="L13183" s="20">
        <v>0.46818923327895601</v>
      </c>
    </row>
    <row r="13184" spans="1:12" x14ac:dyDescent="0.45">
      <c r="A13184" s="12" t="s">
        <v>24981</v>
      </c>
      <c r="B13184" s="12" t="s">
        <v>3123</v>
      </c>
      <c r="C13184" s="13" t="s">
        <v>3124</v>
      </c>
      <c r="D13184" s="13" t="s">
        <v>179</v>
      </c>
      <c r="E13184" s="12" t="s">
        <v>16</v>
      </c>
      <c r="F13184" s="14">
        <v>32000</v>
      </c>
      <c r="G13184" s="14">
        <v>24400</v>
      </c>
      <c r="H13184" s="13" t="s">
        <v>25028</v>
      </c>
      <c r="I13184" s="40" t="s">
        <v>18</v>
      </c>
      <c r="J13184" s="40" t="str">
        <f>HYPERLINK("https://stock.pstatic.net/stock-research/company/31/20250422_company_893820000.pdf","PDF")</f>
        <v>PDF</v>
      </c>
      <c r="K13184" s="12" t="s">
        <v>25029</v>
      </c>
      <c r="L13184" s="20">
        <v>0.31147540983606559</v>
      </c>
    </row>
    <row r="13185" spans="1:12" x14ac:dyDescent="0.45">
      <c r="A13185" s="12" t="s">
        <v>24981</v>
      </c>
      <c r="B13185" s="12" t="s">
        <v>1437</v>
      </c>
      <c r="C13185" s="13" t="s">
        <v>1438</v>
      </c>
      <c r="D13185" s="13" t="s">
        <v>124</v>
      </c>
      <c r="E13185" s="12" t="s">
        <v>50</v>
      </c>
      <c r="F13185" s="13"/>
      <c r="G13185" s="13"/>
      <c r="H13185" s="13" t="s">
        <v>25030</v>
      </c>
      <c r="I13185" s="40" t="s">
        <v>18</v>
      </c>
      <c r="J13185" s="40" t="str">
        <f>HYPERLINK("https://stock.pstatic.net/stock-research/company/1/20250422_company_522845000.pdf","PDF")</f>
        <v>PDF</v>
      </c>
      <c r="K13185" s="12" t="s">
        <v>25031</v>
      </c>
    </row>
    <row r="13186" spans="1:12" x14ac:dyDescent="0.45">
      <c r="A13186" s="12" t="s">
        <v>25032</v>
      </c>
      <c r="B13186" s="12" t="s">
        <v>8204</v>
      </c>
      <c r="C13186" s="13" t="s">
        <v>8205</v>
      </c>
      <c r="D13186" s="13" t="s">
        <v>15</v>
      </c>
      <c r="E13186" s="12" t="s">
        <v>50</v>
      </c>
      <c r="F13186" s="13"/>
      <c r="G13186" s="13"/>
      <c r="H13186" s="13" t="s">
        <v>25033</v>
      </c>
      <c r="I13186" s="40" t="s">
        <v>18</v>
      </c>
      <c r="J13186" s="40" t="str">
        <f>HYPERLINK("https://stock.pstatic.net/stock-research/company/29/20250421_company_671412000.pdf","PDF")</f>
        <v>PDF</v>
      </c>
      <c r="K13186" s="12" t="s">
        <v>25034</v>
      </c>
    </row>
    <row r="13187" spans="1:12" x14ac:dyDescent="0.45">
      <c r="A13187" s="12" t="s">
        <v>25032</v>
      </c>
      <c r="B13187" s="12" t="s">
        <v>42</v>
      </c>
      <c r="C13187" s="13" t="s">
        <v>43</v>
      </c>
      <c r="D13187" s="13" t="s">
        <v>65</v>
      </c>
      <c r="E13187" s="12" t="s">
        <v>35</v>
      </c>
      <c r="F13187" s="14">
        <v>270000</v>
      </c>
      <c r="G13187" s="14">
        <v>187500</v>
      </c>
      <c r="H13187" s="13" t="s">
        <v>25035</v>
      </c>
      <c r="I13187" s="40" t="s">
        <v>18</v>
      </c>
      <c r="J13187" s="40" t="str">
        <f>HYPERLINK("https://stock.pstatic.net/stock-research/company/57/20250421_company_992540000.pdf","PDF")</f>
        <v>PDF</v>
      </c>
      <c r="K13187" s="12" t="s">
        <v>25036</v>
      </c>
      <c r="L13187" s="20">
        <v>0.44</v>
      </c>
    </row>
    <row r="13188" spans="1:12" x14ac:dyDescent="0.45">
      <c r="A13188" s="12" t="s">
        <v>25032</v>
      </c>
      <c r="B13188" s="12" t="s">
        <v>8204</v>
      </c>
      <c r="C13188" s="13" t="s">
        <v>8205</v>
      </c>
      <c r="D13188" s="13" t="s">
        <v>57</v>
      </c>
      <c r="E13188" s="12" t="s">
        <v>35</v>
      </c>
      <c r="F13188" s="14">
        <v>100000</v>
      </c>
      <c r="G13188" s="14">
        <v>62900</v>
      </c>
      <c r="H13188" s="13" t="s">
        <v>25037</v>
      </c>
      <c r="I13188" s="40" t="s">
        <v>18</v>
      </c>
      <c r="J13188" s="40" t="str">
        <f>HYPERLINK("https://stock.pstatic.net/stock-research/company/1/20250421_company_588225000.pdf","PDF")</f>
        <v>PDF</v>
      </c>
      <c r="K13188" s="12" t="s">
        <v>25038</v>
      </c>
      <c r="L13188" s="20">
        <v>0.58982511923688397</v>
      </c>
    </row>
    <row r="13189" spans="1:12" x14ac:dyDescent="0.45">
      <c r="A13189" s="12" t="s">
        <v>25032</v>
      </c>
      <c r="B13189" s="12" t="s">
        <v>42</v>
      </c>
      <c r="C13189" s="13" t="s">
        <v>43</v>
      </c>
      <c r="D13189" s="13" t="s">
        <v>57</v>
      </c>
      <c r="E13189" s="12" t="s">
        <v>35</v>
      </c>
      <c r="F13189" s="14">
        <v>300000</v>
      </c>
      <c r="G13189" s="14">
        <v>187500</v>
      </c>
      <c r="H13189" s="13" t="s">
        <v>25039</v>
      </c>
      <c r="I13189" s="40" t="s">
        <v>18</v>
      </c>
      <c r="J13189" s="40" t="str">
        <f>HYPERLINK("https://stock.pstatic.net/stock-research/company/16/20250421_company_910095000.pdf","PDF")</f>
        <v>PDF</v>
      </c>
      <c r="K13189" s="12" t="s">
        <v>25040</v>
      </c>
      <c r="L13189" s="20">
        <v>0.6</v>
      </c>
    </row>
    <row r="13190" spans="1:12" x14ac:dyDescent="0.45">
      <c r="A13190" s="12" t="s">
        <v>25032</v>
      </c>
      <c r="B13190" s="12" t="s">
        <v>42</v>
      </c>
      <c r="C13190" s="13" t="s">
        <v>43</v>
      </c>
      <c r="D13190" s="13" t="s">
        <v>83</v>
      </c>
      <c r="E13190" s="12" t="s">
        <v>35</v>
      </c>
      <c r="F13190" s="14">
        <v>280000</v>
      </c>
      <c r="G13190" s="14">
        <v>187500</v>
      </c>
      <c r="H13190" s="13" t="s">
        <v>25041</v>
      </c>
      <c r="I13190" s="40" t="s">
        <v>18</v>
      </c>
      <c r="J13190" s="40" t="str">
        <f>HYPERLINK("https://stock.pstatic.net/stock-research/company/2/20250421_company_282444000.pdf","PDF")</f>
        <v>PDF</v>
      </c>
      <c r="K13190" s="12" t="s">
        <v>25042</v>
      </c>
      <c r="L13190" s="20">
        <v>0.49333333333333329</v>
      </c>
    </row>
    <row r="13191" spans="1:12" x14ac:dyDescent="0.45">
      <c r="A13191" s="12" t="s">
        <v>25032</v>
      </c>
      <c r="B13191" s="12" t="s">
        <v>76</v>
      </c>
      <c r="C13191" s="13" t="s">
        <v>77</v>
      </c>
      <c r="D13191" s="13" t="s">
        <v>83</v>
      </c>
      <c r="E13191" s="12" t="s">
        <v>642</v>
      </c>
      <c r="F13191" s="14">
        <v>22000</v>
      </c>
      <c r="G13191" s="14">
        <v>19350</v>
      </c>
      <c r="H13191" s="13" t="s">
        <v>25043</v>
      </c>
      <c r="I13191" s="40" t="s">
        <v>18</v>
      </c>
      <c r="J13191" s="40" t="str">
        <f>HYPERLINK("https://stock.pstatic.net/stock-research/company/2/20250421_company_817477000.pdf","PDF")</f>
        <v>PDF</v>
      </c>
      <c r="K13191" s="12" t="s">
        <v>25044</v>
      </c>
      <c r="L13191" s="20">
        <v>0.13695090439276489</v>
      </c>
    </row>
    <row r="13192" spans="1:12" x14ac:dyDescent="0.45">
      <c r="A13192" s="12" t="s">
        <v>25032</v>
      </c>
      <c r="B13192" s="12" t="s">
        <v>426</v>
      </c>
      <c r="C13192" s="13" t="s">
        <v>427</v>
      </c>
      <c r="D13192" s="13" t="s">
        <v>83</v>
      </c>
      <c r="E13192" s="12" t="s">
        <v>35</v>
      </c>
      <c r="F13192" s="14">
        <v>14000</v>
      </c>
      <c r="G13192" s="14">
        <v>12140</v>
      </c>
      <c r="H13192" s="13" t="s">
        <v>25045</v>
      </c>
      <c r="I13192" s="40" t="s">
        <v>18</v>
      </c>
      <c r="J13192" s="40" t="str">
        <f>HYPERLINK("https://stock.pstatic.net/stock-research/company/2/20250421_company_758150000.pdf","PDF")</f>
        <v>PDF</v>
      </c>
      <c r="K13192" s="12" t="s">
        <v>25046</v>
      </c>
      <c r="L13192" s="20">
        <v>0.15321252059308069</v>
      </c>
    </row>
    <row r="13193" spans="1:12" x14ac:dyDescent="0.45">
      <c r="A13193" s="12" t="s">
        <v>25032</v>
      </c>
      <c r="B13193" s="12" t="s">
        <v>880</v>
      </c>
      <c r="C13193" s="13" t="s">
        <v>881</v>
      </c>
      <c r="D13193" s="13" t="s">
        <v>83</v>
      </c>
      <c r="E13193" s="12" t="s">
        <v>35</v>
      </c>
      <c r="F13193" s="14">
        <v>14000</v>
      </c>
      <c r="G13193" s="14">
        <v>11880</v>
      </c>
      <c r="H13193" s="13" t="s">
        <v>25047</v>
      </c>
      <c r="I13193" s="40" t="s">
        <v>18</v>
      </c>
      <c r="J13193" s="40" t="str">
        <f>HYPERLINK("https://stock.pstatic.net/stock-research/company/2/20250421_company_448595000.pdf","PDF")</f>
        <v>PDF</v>
      </c>
      <c r="K13193" s="12" t="s">
        <v>25048</v>
      </c>
      <c r="L13193" s="20">
        <v>0.17845117845117839</v>
      </c>
    </row>
    <row r="13194" spans="1:12" x14ac:dyDescent="0.45">
      <c r="A13194" s="12" t="s">
        <v>25032</v>
      </c>
      <c r="B13194" s="12" t="s">
        <v>1648</v>
      </c>
      <c r="C13194" s="13" t="s">
        <v>1649</v>
      </c>
      <c r="D13194" s="13" t="s">
        <v>92</v>
      </c>
      <c r="E13194" s="12" t="s">
        <v>35</v>
      </c>
      <c r="F13194" s="14">
        <v>140000</v>
      </c>
      <c r="G13194" s="14">
        <v>116300</v>
      </c>
      <c r="H13194" s="13" t="s">
        <v>25049</v>
      </c>
      <c r="I13194" s="40" t="s">
        <v>18</v>
      </c>
      <c r="J13194" s="40" t="str">
        <f>HYPERLINK("https://stock.pstatic.net/stock-research/company/63/20250421_company_355785000.pdf","PDF")</f>
        <v>PDF</v>
      </c>
      <c r="K13194" s="12" t="s">
        <v>25050</v>
      </c>
      <c r="L13194" s="20">
        <v>0.20378331900257951</v>
      </c>
    </row>
    <row r="13195" spans="1:12" x14ac:dyDescent="0.45">
      <c r="A13195" s="12" t="s">
        <v>25032</v>
      </c>
      <c r="B13195" s="12" t="s">
        <v>2187</v>
      </c>
      <c r="C13195" s="13" t="s">
        <v>2188</v>
      </c>
      <c r="D13195" s="13" t="s">
        <v>92</v>
      </c>
      <c r="E13195" s="12" t="s">
        <v>35</v>
      </c>
      <c r="F13195" s="14">
        <v>136000</v>
      </c>
      <c r="G13195" s="14">
        <v>119600</v>
      </c>
      <c r="H13195" s="13" t="s">
        <v>25051</v>
      </c>
      <c r="I13195" s="40" t="s">
        <v>18</v>
      </c>
      <c r="J13195" s="40" t="str">
        <f>HYPERLINK("https://stock.pstatic.net/stock-research/company/63/20250421_company_34740000.pdf","PDF")</f>
        <v>PDF</v>
      </c>
      <c r="K13195" s="12" t="s">
        <v>25052</v>
      </c>
      <c r="L13195" s="20">
        <v>0.13712374581939801</v>
      </c>
    </row>
    <row r="13196" spans="1:12" x14ac:dyDescent="0.45">
      <c r="A13196" s="12" t="s">
        <v>25032</v>
      </c>
      <c r="B13196" s="12" t="s">
        <v>370</v>
      </c>
      <c r="C13196" s="13" t="s">
        <v>371</v>
      </c>
      <c r="D13196" s="13" t="s">
        <v>92</v>
      </c>
      <c r="E13196" s="12" t="s">
        <v>35</v>
      </c>
      <c r="F13196" s="14">
        <v>83000</v>
      </c>
      <c r="G13196" s="14">
        <v>66800</v>
      </c>
      <c r="H13196" s="13" t="s">
        <v>25053</v>
      </c>
      <c r="I13196" s="40" t="s">
        <v>18</v>
      </c>
      <c r="J13196" s="40" t="str">
        <f>HYPERLINK("https://stock.pstatic.net/stock-research/company/63/20250421_company_628315000.pdf","PDF")</f>
        <v>PDF</v>
      </c>
      <c r="K13196" s="12" t="s">
        <v>25054</v>
      </c>
      <c r="L13196" s="20">
        <v>0.24251497005988021</v>
      </c>
    </row>
    <row r="13197" spans="1:12" x14ac:dyDescent="0.45">
      <c r="A13197" s="12" t="s">
        <v>25032</v>
      </c>
      <c r="B13197" s="12" t="s">
        <v>585</v>
      </c>
      <c r="C13197" s="13" t="s">
        <v>586</v>
      </c>
      <c r="D13197" s="13" t="s">
        <v>34</v>
      </c>
      <c r="E13197" s="12" t="s">
        <v>50</v>
      </c>
      <c r="F13197" s="13"/>
      <c r="G13197" s="14">
        <v>21250</v>
      </c>
      <c r="H13197" s="13" t="s">
        <v>25055</v>
      </c>
      <c r="I13197" s="40" t="s">
        <v>18</v>
      </c>
      <c r="J13197" s="40" t="str">
        <f>HYPERLINK("https://stock.pstatic.net/stock-research/company/61/20250421_company_956000.pdf","PDF")</f>
        <v>PDF</v>
      </c>
      <c r="K13197" s="12" t="s">
        <v>25056</v>
      </c>
    </row>
    <row r="13198" spans="1:12" x14ac:dyDescent="0.45">
      <c r="A13198" s="12" t="s">
        <v>25032</v>
      </c>
      <c r="B13198" s="12" t="s">
        <v>259</v>
      </c>
      <c r="C13198" s="13" t="s">
        <v>260</v>
      </c>
      <c r="D13198" s="13" t="s">
        <v>92</v>
      </c>
      <c r="E13198" s="12" t="s">
        <v>35</v>
      </c>
      <c r="F13198" s="14">
        <v>88000</v>
      </c>
      <c r="G13198" s="14">
        <v>63300</v>
      </c>
      <c r="H13198" s="13" t="s">
        <v>25057</v>
      </c>
      <c r="I13198" s="40" t="s">
        <v>18</v>
      </c>
      <c r="J13198" s="40" t="str">
        <f>HYPERLINK("https://stock.pstatic.net/stock-research/company/63/20250421_company_6061000.pdf","PDF")</f>
        <v>PDF</v>
      </c>
      <c r="K13198" s="12" t="s">
        <v>25058</v>
      </c>
      <c r="L13198" s="20">
        <v>0.39020537124802529</v>
      </c>
    </row>
    <row r="13199" spans="1:12" x14ac:dyDescent="0.45">
      <c r="A13199" s="12" t="s">
        <v>25032</v>
      </c>
      <c r="B13199" s="12" t="s">
        <v>3105</v>
      </c>
      <c r="C13199" s="13" t="s">
        <v>3106</v>
      </c>
      <c r="D13199" s="13" t="s">
        <v>92</v>
      </c>
      <c r="E13199" s="12" t="s">
        <v>35</v>
      </c>
      <c r="F13199" s="14">
        <v>300000</v>
      </c>
      <c r="G13199" s="14">
        <v>230500</v>
      </c>
      <c r="H13199" s="13" t="s">
        <v>12779</v>
      </c>
      <c r="I13199" s="40" t="s">
        <v>18</v>
      </c>
      <c r="J13199" s="40" t="str">
        <f>HYPERLINK("https://stock.pstatic.net/stock-research/company/63/20250421_company_808012000.pdf","PDF")</f>
        <v>PDF</v>
      </c>
      <c r="K13199" s="12" t="s">
        <v>25059</v>
      </c>
      <c r="L13199" s="20">
        <v>0.30151843817787422</v>
      </c>
    </row>
    <row r="13200" spans="1:12" x14ac:dyDescent="0.45">
      <c r="A13200" s="12" t="s">
        <v>25032</v>
      </c>
      <c r="B13200" s="12" t="s">
        <v>1144</v>
      </c>
      <c r="C13200" s="13" t="s">
        <v>1145</v>
      </c>
      <c r="D13200" s="13" t="s">
        <v>34</v>
      </c>
      <c r="E13200" s="12" t="s">
        <v>50</v>
      </c>
      <c r="F13200" s="13"/>
      <c r="G13200" s="14">
        <v>62500</v>
      </c>
      <c r="H13200" s="13" t="s">
        <v>25060</v>
      </c>
      <c r="I13200" s="40" t="s">
        <v>18</v>
      </c>
      <c r="J13200" s="40" t="str">
        <f>HYPERLINK("https://stock.pstatic.net/stock-research/company/61/20250421_company_26591000.pdf","PDF")</f>
        <v>PDF</v>
      </c>
      <c r="K13200" s="12" t="s">
        <v>25061</v>
      </c>
    </row>
    <row r="13201" spans="1:12" x14ac:dyDescent="0.45">
      <c r="A13201" s="12" t="s">
        <v>25032</v>
      </c>
      <c r="B13201" s="12" t="s">
        <v>5658</v>
      </c>
      <c r="C13201" s="13" t="s">
        <v>5659</v>
      </c>
      <c r="D13201" s="13" t="s">
        <v>34</v>
      </c>
      <c r="E13201" s="12" t="s">
        <v>50</v>
      </c>
      <c r="F13201" s="13"/>
      <c r="G13201" s="14">
        <v>18190</v>
      </c>
      <c r="H13201" s="13" t="s">
        <v>25062</v>
      </c>
      <c r="I13201" s="40" t="s">
        <v>18</v>
      </c>
      <c r="J13201" s="40" t="str">
        <f>HYPERLINK("https://stock.pstatic.net/stock-research/company/61/20250421_company_383124000.pdf","PDF")</f>
        <v>PDF</v>
      </c>
      <c r="K13201" s="12" t="s">
        <v>25063</v>
      </c>
    </row>
    <row r="13202" spans="1:12" x14ac:dyDescent="0.45">
      <c r="A13202" s="12" t="s">
        <v>25032</v>
      </c>
      <c r="B13202" s="12" t="s">
        <v>10796</v>
      </c>
      <c r="C13202" s="13" t="s">
        <v>10797</v>
      </c>
      <c r="D13202" s="13" t="s">
        <v>179</v>
      </c>
      <c r="E13202" s="12" t="s">
        <v>16</v>
      </c>
      <c r="F13202" s="14">
        <v>28000</v>
      </c>
      <c r="G13202" s="14">
        <v>15500</v>
      </c>
      <c r="H13202" s="13" t="s">
        <v>25064</v>
      </c>
      <c r="I13202" s="40" t="s">
        <v>18</v>
      </c>
      <c r="J13202" s="40" t="str">
        <f>HYPERLINK("https://stock.pstatic.net/stock-research/company/31/20250421_company_966919000.pdf","PDF")</f>
        <v>PDF</v>
      </c>
      <c r="K13202" s="12" t="s">
        <v>25065</v>
      </c>
      <c r="L13202" s="20">
        <v>0.80645161290322576</v>
      </c>
    </row>
    <row r="13203" spans="1:12" x14ac:dyDescent="0.45">
      <c r="A13203" s="12" t="s">
        <v>25032</v>
      </c>
      <c r="B13203" s="12" t="s">
        <v>8183</v>
      </c>
      <c r="C13203" s="13" t="s">
        <v>8184</v>
      </c>
      <c r="D13203" s="13" t="s">
        <v>23</v>
      </c>
      <c r="E13203" s="12" t="s">
        <v>50</v>
      </c>
      <c r="F13203" s="14">
        <v>16000</v>
      </c>
      <c r="G13203" s="14">
        <v>14660</v>
      </c>
      <c r="H13203" s="13" t="s">
        <v>25066</v>
      </c>
      <c r="I13203" s="40" t="s">
        <v>18</v>
      </c>
      <c r="J13203" s="40" t="str">
        <f>HYPERLINK("https://stock.pstatic.net/stock-research/company/21/20250421_company_101378000.pdf","PDF")</f>
        <v>PDF</v>
      </c>
      <c r="K13203" s="12" t="s">
        <v>25067</v>
      </c>
      <c r="L13203" s="20">
        <v>9.1405184174624829E-2</v>
      </c>
    </row>
    <row r="13204" spans="1:12" x14ac:dyDescent="0.45">
      <c r="A13204" s="12" t="s">
        <v>25032</v>
      </c>
      <c r="B13204" s="12" t="s">
        <v>1140</v>
      </c>
      <c r="C13204" s="13" t="s">
        <v>1141</v>
      </c>
      <c r="D13204" s="13" t="s">
        <v>23</v>
      </c>
      <c r="E13204" s="12" t="s">
        <v>16</v>
      </c>
      <c r="F13204" s="14">
        <v>32000</v>
      </c>
      <c r="G13204" s="14">
        <v>24300</v>
      </c>
      <c r="H13204" s="13" t="s">
        <v>25068</v>
      </c>
      <c r="I13204" s="40" t="s">
        <v>18</v>
      </c>
      <c r="J13204" s="40" t="str">
        <f>HYPERLINK("https://stock.pstatic.net/stock-research/company/21/20250421_company_837268000.pdf","PDF")</f>
        <v>PDF</v>
      </c>
      <c r="K13204" s="12" t="s">
        <v>25069</v>
      </c>
      <c r="L13204" s="20">
        <v>0.3168724279835391</v>
      </c>
    </row>
    <row r="13205" spans="1:12" x14ac:dyDescent="0.45">
      <c r="A13205" s="12" t="s">
        <v>25032</v>
      </c>
      <c r="B13205" s="12" t="s">
        <v>7297</v>
      </c>
      <c r="C13205" s="13" t="s">
        <v>7298</v>
      </c>
      <c r="D13205" s="13" t="s">
        <v>44</v>
      </c>
      <c r="E13205" s="12" t="s">
        <v>50</v>
      </c>
      <c r="F13205" s="13"/>
      <c r="G13205" s="14">
        <v>11190</v>
      </c>
      <c r="H13205" s="13" t="s">
        <v>25070</v>
      </c>
      <c r="I13205" s="40" t="s">
        <v>18</v>
      </c>
      <c r="J13205" s="40" t="str">
        <f>HYPERLINK("https://stock.pstatic.net/stock-research/company/39/20250421_company_444713000.pdf","PDF")</f>
        <v>PDF</v>
      </c>
      <c r="K13205" s="12" t="s">
        <v>25071</v>
      </c>
    </row>
    <row r="13206" spans="1:12" x14ac:dyDescent="0.45">
      <c r="A13206" s="12" t="s">
        <v>25032</v>
      </c>
      <c r="B13206" s="12" t="s">
        <v>1686</v>
      </c>
      <c r="C13206" s="13" t="s">
        <v>1687</v>
      </c>
      <c r="D13206" s="13" t="s">
        <v>23</v>
      </c>
      <c r="E13206" s="12" t="s">
        <v>16</v>
      </c>
      <c r="F13206" s="14">
        <v>1100000</v>
      </c>
      <c r="G13206" s="14">
        <v>961000</v>
      </c>
      <c r="H13206" s="13" t="s">
        <v>25072</v>
      </c>
      <c r="I13206" s="40" t="s">
        <v>18</v>
      </c>
      <c r="J13206" s="40" t="str">
        <f>HYPERLINK("https://stock.pstatic.net/stock-research/company/21/20250421_company_164649000.pdf","PDF")</f>
        <v>PDF</v>
      </c>
      <c r="K13206" s="12" t="s">
        <v>25073</v>
      </c>
      <c r="L13206" s="20">
        <v>0.14464099895941729</v>
      </c>
    </row>
    <row r="13207" spans="1:12" x14ac:dyDescent="0.45">
      <c r="A13207" s="12" t="s">
        <v>25032</v>
      </c>
      <c r="B13207" s="12" t="s">
        <v>1530</v>
      </c>
      <c r="C13207" s="13" t="s">
        <v>1531</v>
      </c>
      <c r="D13207" s="13" t="s">
        <v>44</v>
      </c>
      <c r="E13207" s="12" t="s">
        <v>45</v>
      </c>
      <c r="F13207" s="14">
        <v>26000</v>
      </c>
      <c r="G13207" s="14">
        <v>22250</v>
      </c>
      <c r="H13207" s="13" t="s">
        <v>25074</v>
      </c>
      <c r="I13207" s="40" t="s">
        <v>18</v>
      </c>
      <c r="J13207" s="40" t="str">
        <f>HYPERLINK("https://stock.pstatic.net/stock-research/company/39/20250421_company_660325000.pdf","PDF")</f>
        <v>PDF</v>
      </c>
      <c r="K13207" s="12" t="s">
        <v>25075</v>
      </c>
      <c r="L13207" s="20">
        <v>0.1685393258426966</v>
      </c>
    </row>
    <row r="13208" spans="1:12" x14ac:dyDescent="0.45">
      <c r="A13208" s="12" t="s">
        <v>25032</v>
      </c>
      <c r="B13208" s="12" t="s">
        <v>375</v>
      </c>
      <c r="C13208" s="13" t="s">
        <v>376</v>
      </c>
      <c r="D13208" s="13" t="s">
        <v>44</v>
      </c>
      <c r="E13208" s="12" t="s">
        <v>35</v>
      </c>
      <c r="F13208" s="14">
        <v>30000</v>
      </c>
      <c r="G13208" s="14">
        <v>23250</v>
      </c>
      <c r="H13208" s="13" t="s">
        <v>25076</v>
      </c>
      <c r="I13208" s="40" t="s">
        <v>18</v>
      </c>
      <c r="J13208" s="40" t="str">
        <f>HYPERLINK("https://stock.pstatic.net/stock-research/company/39/20250421_company_49406000.pdf","PDF")</f>
        <v>PDF</v>
      </c>
      <c r="K13208" s="12" t="s">
        <v>25077</v>
      </c>
      <c r="L13208" s="20">
        <v>0.29032258064516131</v>
      </c>
    </row>
    <row r="13209" spans="1:12" x14ac:dyDescent="0.45">
      <c r="A13209" s="12" t="s">
        <v>25032</v>
      </c>
      <c r="B13209" s="12" t="s">
        <v>42</v>
      </c>
      <c r="C13209" s="13" t="s">
        <v>43</v>
      </c>
      <c r="D13209" s="13" t="s">
        <v>78</v>
      </c>
      <c r="E13209" s="12" t="s">
        <v>50</v>
      </c>
      <c r="F13209" s="13"/>
      <c r="G13209" s="13"/>
      <c r="H13209" s="13" t="s">
        <v>25078</v>
      </c>
      <c r="I13209" s="40" t="s">
        <v>18</v>
      </c>
      <c r="J13209" s="40" t="str">
        <f>HYPERLINK("https://m.stock.naver.com/research/company/82089","PDF")</f>
        <v>PDF</v>
      </c>
      <c r="K13209" s="12" t="s">
        <v>25079</v>
      </c>
    </row>
    <row r="13210" spans="1:12" x14ac:dyDescent="0.45">
      <c r="A13210" s="12" t="s">
        <v>25032</v>
      </c>
      <c r="B13210" s="12" t="s">
        <v>14860</v>
      </c>
      <c r="C13210" s="13" t="s">
        <v>14861</v>
      </c>
      <c r="D13210" s="13" t="s">
        <v>53</v>
      </c>
      <c r="E13210" s="12" t="s">
        <v>16</v>
      </c>
      <c r="F13210" s="14">
        <v>21000</v>
      </c>
      <c r="G13210" s="14">
        <v>16590</v>
      </c>
      <c r="H13210" s="13" t="s">
        <v>25080</v>
      </c>
      <c r="I13210" s="40" t="s">
        <v>18</v>
      </c>
      <c r="J13210" s="40" t="str">
        <f>HYPERLINK("https://stock.pstatic.net/stock-research/company/40/20250421_company_382688000.pdf","PDF")</f>
        <v>PDF</v>
      </c>
      <c r="K13210" s="12" t="s">
        <v>25081</v>
      </c>
      <c r="L13210" s="20">
        <v>0.26582278481012661</v>
      </c>
    </row>
    <row r="13211" spans="1:12" x14ac:dyDescent="0.45">
      <c r="A13211" s="12" t="s">
        <v>25082</v>
      </c>
      <c r="B13211" s="12" t="s">
        <v>2795</v>
      </c>
      <c r="C13211" s="13" t="s">
        <v>2796</v>
      </c>
      <c r="D13211" s="13" t="s">
        <v>65</v>
      </c>
      <c r="E13211" s="12" t="s">
        <v>35</v>
      </c>
      <c r="F13211" s="14">
        <v>4800</v>
      </c>
      <c r="G13211" s="14">
        <v>3280</v>
      </c>
      <c r="H13211" s="13" t="s">
        <v>25083</v>
      </c>
      <c r="I13211" s="40" t="s">
        <v>18</v>
      </c>
      <c r="J13211" s="40" t="str">
        <f>HYPERLINK("https://stock.pstatic.net/stock-research/company/57/20250418_company_745884000.pdf","PDF")</f>
        <v>PDF</v>
      </c>
      <c r="K13211" s="12" t="s">
        <v>25084</v>
      </c>
      <c r="L13211" s="20">
        <v>0.46341463414634149</v>
      </c>
    </row>
    <row r="13212" spans="1:12" x14ac:dyDescent="0.45">
      <c r="A13212" s="12" t="s">
        <v>25082</v>
      </c>
      <c r="B13212" s="12" t="s">
        <v>9323</v>
      </c>
      <c r="C13212" s="13" t="s">
        <v>9324</v>
      </c>
      <c r="D13212" s="13" t="s">
        <v>158</v>
      </c>
      <c r="E13212" s="12" t="s">
        <v>50</v>
      </c>
      <c r="F13212" s="13"/>
      <c r="G13212" s="14">
        <v>7070</v>
      </c>
      <c r="H13212" s="13" t="s">
        <v>25085</v>
      </c>
      <c r="I13212" s="40" t="s">
        <v>18</v>
      </c>
      <c r="J13212" s="40" t="str">
        <f>HYPERLINK("https://stock.pstatic.net/stock-research/company/18/20250418_company_637934000.pdf","PDF")</f>
        <v>PDF</v>
      </c>
      <c r="K13212" s="12" t="s">
        <v>25086</v>
      </c>
    </row>
    <row r="13213" spans="1:12" x14ac:dyDescent="0.45">
      <c r="A13213" s="12" t="s">
        <v>25082</v>
      </c>
      <c r="B13213" s="12" t="s">
        <v>2550</v>
      </c>
      <c r="C13213" s="13" t="s">
        <v>25087</v>
      </c>
      <c r="D13213" s="13" t="s">
        <v>158</v>
      </c>
      <c r="E13213" s="12" t="s">
        <v>50</v>
      </c>
      <c r="F13213" s="13"/>
      <c r="G13213" s="14">
        <v>14530</v>
      </c>
      <c r="H13213" s="13" t="s">
        <v>25088</v>
      </c>
      <c r="I13213" s="40" t="s">
        <v>18</v>
      </c>
      <c r="J13213" s="40" t="str">
        <f>HYPERLINK("https://stock.pstatic.net/stock-research/company/18/20250418_company_295893000.pdf","PDF")</f>
        <v>PDF</v>
      </c>
      <c r="K13213" s="12" t="s">
        <v>25089</v>
      </c>
    </row>
    <row r="13214" spans="1:12" x14ac:dyDescent="0.45">
      <c r="A13214" s="12" t="s">
        <v>25082</v>
      </c>
      <c r="B13214" s="12" t="s">
        <v>1670</v>
      </c>
      <c r="C13214" s="13" t="s">
        <v>1671</v>
      </c>
      <c r="D13214" s="13" t="s">
        <v>158</v>
      </c>
      <c r="E13214" s="12" t="s">
        <v>35</v>
      </c>
      <c r="F13214" s="14">
        <v>180000</v>
      </c>
      <c r="G13214" s="14">
        <v>113200</v>
      </c>
      <c r="H13214" s="13" t="s">
        <v>25090</v>
      </c>
      <c r="I13214" s="40" t="s">
        <v>18</v>
      </c>
      <c r="J13214" s="40" t="str">
        <f>HYPERLINK("https://stock.pstatic.net/stock-research/company/1/20250418_company_373787000.pdf","PDF")</f>
        <v>PDF</v>
      </c>
      <c r="K13214" s="12" t="s">
        <v>25091</v>
      </c>
      <c r="L13214" s="20">
        <v>0.59010600706713778</v>
      </c>
    </row>
    <row r="13215" spans="1:12" x14ac:dyDescent="0.45">
      <c r="A13215" s="12" t="s">
        <v>25082</v>
      </c>
      <c r="B13215" s="12" t="s">
        <v>4668</v>
      </c>
      <c r="C13215" s="13" t="s">
        <v>4669</v>
      </c>
      <c r="D13215" s="13" t="s">
        <v>158</v>
      </c>
      <c r="E13215" s="12" t="s">
        <v>35</v>
      </c>
      <c r="F13215" s="14">
        <v>14000</v>
      </c>
      <c r="G13215" s="14">
        <v>11470</v>
      </c>
      <c r="H13215" s="13" t="s">
        <v>25092</v>
      </c>
      <c r="I13215" s="40" t="s">
        <v>18</v>
      </c>
      <c r="J13215" s="40" t="str">
        <f>HYPERLINK("https://stock.pstatic.net/stock-research/company/18/20250418_company_383744000.pdf","PDF")</f>
        <v>PDF</v>
      </c>
      <c r="K13215" s="12" t="s">
        <v>25093</v>
      </c>
      <c r="L13215" s="20">
        <v>0.22057541412380119</v>
      </c>
    </row>
    <row r="13216" spans="1:12" x14ac:dyDescent="0.45">
      <c r="A13216" s="12" t="s">
        <v>25082</v>
      </c>
      <c r="B13216" s="12" t="s">
        <v>2097</v>
      </c>
      <c r="C13216" s="13" t="s">
        <v>2098</v>
      </c>
      <c r="D13216" s="13" t="s">
        <v>92</v>
      </c>
      <c r="E13216" s="12" t="s">
        <v>35</v>
      </c>
      <c r="F13216" s="14">
        <v>54000</v>
      </c>
      <c r="G13216" s="14">
        <v>40800</v>
      </c>
      <c r="H13216" s="13" t="s">
        <v>25094</v>
      </c>
      <c r="I13216" s="40" t="s">
        <v>18</v>
      </c>
      <c r="J13216" s="40" t="str">
        <f>HYPERLINK("https://stock.pstatic.net/stock-research/company/63/20250418_company_568832000.pdf","PDF")</f>
        <v>PDF</v>
      </c>
      <c r="K13216" s="12" t="s">
        <v>25095</v>
      </c>
      <c r="L13216" s="20">
        <v>0.3235294117647059</v>
      </c>
    </row>
    <row r="13217" spans="1:12" x14ac:dyDescent="0.45">
      <c r="A13217" s="12" t="s">
        <v>25082</v>
      </c>
      <c r="B13217" s="12" t="s">
        <v>912</v>
      </c>
      <c r="C13217" s="13" t="s">
        <v>913</v>
      </c>
      <c r="D13217" s="13" t="s">
        <v>15</v>
      </c>
      <c r="E13217" s="12" t="s">
        <v>16</v>
      </c>
      <c r="F13217" s="14">
        <v>68000</v>
      </c>
      <c r="G13217" s="14">
        <v>50900</v>
      </c>
      <c r="H13217" s="13" t="s">
        <v>25096</v>
      </c>
      <c r="I13217" s="40" t="s">
        <v>18</v>
      </c>
      <c r="J13217" s="40" t="str">
        <f>HYPERLINK("https://stock.pstatic.net/stock-research/company/29/20250418_company_947006000.pdf","PDF")</f>
        <v>PDF</v>
      </c>
      <c r="K13217" s="12" t="s">
        <v>25097</v>
      </c>
      <c r="L13217" s="20">
        <v>0.33595284872298631</v>
      </c>
    </row>
    <row r="13218" spans="1:12" x14ac:dyDescent="0.45">
      <c r="A13218" s="12" t="s">
        <v>25082</v>
      </c>
      <c r="B13218" s="12" t="s">
        <v>740</v>
      </c>
      <c r="C13218" s="13" t="s">
        <v>741</v>
      </c>
      <c r="D13218" s="13" t="s">
        <v>83</v>
      </c>
      <c r="E13218" s="12" t="s">
        <v>35</v>
      </c>
      <c r="F13218" s="14">
        <v>260000</v>
      </c>
      <c r="G13218" s="14">
        <v>137800</v>
      </c>
      <c r="H13218" s="13" t="s">
        <v>25098</v>
      </c>
      <c r="I13218" s="40" t="s">
        <v>18</v>
      </c>
      <c r="J13218" s="40" t="str">
        <f>HYPERLINK("https://stock.pstatic.net/stock-research/company/2/20250418_company_713978000.pdf","PDF")</f>
        <v>PDF</v>
      </c>
      <c r="K13218" s="12" t="s">
        <v>25099</v>
      </c>
      <c r="L13218" s="20">
        <v>0.8867924528301887</v>
      </c>
    </row>
    <row r="13219" spans="1:12" x14ac:dyDescent="0.45">
      <c r="A13219" s="12" t="s">
        <v>25082</v>
      </c>
      <c r="B13219" s="12" t="s">
        <v>1128</v>
      </c>
      <c r="C13219" s="13" t="s">
        <v>1129</v>
      </c>
      <c r="D13219" s="13" t="s">
        <v>179</v>
      </c>
      <c r="E13219" s="12" t="s">
        <v>16</v>
      </c>
      <c r="F13219" s="14">
        <v>59000</v>
      </c>
      <c r="G13219" s="14">
        <v>32900</v>
      </c>
      <c r="H13219" s="13" t="s">
        <v>25100</v>
      </c>
      <c r="I13219" s="40" t="s">
        <v>18</v>
      </c>
      <c r="J13219" s="40" t="str">
        <f>HYPERLINK("https://stock.pstatic.net/stock-research/company/31/20250418_company_94042000.pdf","PDF")</f>
        <v>PDF</v>
      </c>
      <c r="K13219" s="12" t="s">
        <v>25101</v>
      </c>
      <c r="L13219" s="20">
        <v>0.79331306990881456</v>
      </c>
    </row>
    <row r="13220" spans="1:12" x14ac:dyDescent="0.45">
      <c r="A13220" s="12" t="s">
        <v>25082</v>
      </c>
      <c r="B13220" s="12" t="s">
        <v>2662</v>
      </c>
      <c r="C13220" s="13" t="s">
        <v>2663</v>
      </c>
      <c r="D13220" s="13" t="s">
        <v>23</v>
      </c>
      <c r="E13220" s="12" t="s">
        <v>16</v>
      </c>
      <c r="F13220" s="14">
        <v>34000</v>
      </c>
      <c r="G13220" s="14">
        <v>29750</v>
      </c>
      <c r="H13220" s="13" t="s">
        <v>25102</v>
      </c>
      <c r="I13220" s="40" t="s">
        <v>18</v>
      </c>
      <c r="J13220" s="40" t="str">
        <f>HYPERLINK("https://stock.pstatic.net/stock-research/company/21/20250418_company_836705000.pdf","PDF")</f>
        <v>PDF</v>
      </c>
      <c r="K13220" s="12" t="s">
        <v>25103</v>
      </c>
      <c r="L13220" s="20">
        <v>0.14285714285714279</v>
      </c>
    </row>
    <row r="13221" spans="1:12" x14ac:dyDescent="0.45">
      <c r="A13221" s="12" t="s">
        <v>25082</v>
      </c>
      <c r="B13221" s="12" t="s">
        <v>1308</v>
      </c>
      <c r="C13221" s="13" t="s">
        <v>1309</v>
      </c>
      <c r="D13221" s="13" t="s">
        <v>92</v>
      </c>
      <c r="E13221" s="12" t="s">
        <v>35</v>
      </c>
      <c r="F13221" s="14">
        <v>497000</v>
      </c>
      <c r="G13221" s="14">
        <v>410000</v>
      </c>
      <c r="H13221" s="13" t="s">
        <v>25104</v>
      </c>
      <c r="I13221" s="40" t="s">
        <v>18</v>
      </c>
      <c r="J13221" s="40" t="str">
        <f>HYPERLINK("https://stock.pstatic.net/stock-research/company/63/20250418_company_185647000.pdf","PDF")</f>
        <v>PDF</v>
      </c>
      <c r="K13221" s="12" t="s">
        <v>25105</v>
      </c>
      <c r="L13221" s="20">
        <v>0.21219512195121951</v>
      </c>
    </row>
    <row r="13222" spans="1:12" x14ac:dyDescent="0.45">
      <c r="A13222" s="12" t="s">
        <v>25082</v>
      </c>
      <c r="B13222" s="12" t="s">
        <v>3813</v>
      </c>
      <c r="C13222" s="13" t="s">
        <v>3814</v>
      </c>
      <c r="D13222" s="13" t="s">
        <v>23</v>
      </c>
      <c r="E13222" s="12" t="s">
        <v>16</v>
      </c>
      <c r="F13222" s="14">
        <v>11000</v>
      </c>
      <c r="G13222" s="14">
        <v>8060</v>
      </c>
      <c r="H13222" s="13" t="s">
        <v>25106</v>
      </c>
      <c r="I13222" s="40" t="s">
        <v>18</v>
      </c>
      <c r="J13222" s="40" t="str">
        <f>HYPERLINK("https://stock.pstatic.net/stock-research/company/21/20250418_company_970746000.pdf","PDF")</f>
        <v>PDF</v>
      </c>
      <c r="K13222" s="12" t="s">
        <v>25107</v>
      </c>
      <c r="L13222" s="20">
        <v>0.36476426799007439</v>
      </c>
    </row>
    <row r="13223" spans="1:12" x14ac:dyDescent="0.45">
      <c r="A13223" s="12" t="s">
        <v>25082</v>
      </c>
      <c r="B13223" s="12" t="s">
        <v>268</v>
      </c>
      <c r="C13223" s="13" t="s">
        <v>269</v>
      </c>
      <c r="D13223" s="13" t="s">
        <v>23</v>
      </c>
      <c r="E13223" s="12" t="s">
        <v>16</v>
      </c>
      <c r="F13223" s="14">
        <v>730000</v>
      </c>
      <c r="G13223" s="14">
        <v>376000</v>
      </c>
      <c r="H13223" s="13" t="s">
        <v>25108</v>
      </c>
      <c r="I13223" s="40" t="s">
        <v>18</v>
      </c>
      <c r="J13223" s="40" t="str">
        <f>HYPERLINK("https://stock.pstatic.net/stock-research/company/21/20250418_company_994866000.pdf","PDF")</f>
        <v>PDF</v>
      </c>
      <c r="K13223" s="12" t="s">
        <v>25109</v>
      </c>
      <c r="L13223" s="20">
        <v>0.94148936170212771</v>
      </c>
    </row>
    <row r="13224" spans="1:12" x14ac:dyDescent="0.45">
      <c r="A13224" s="12" t="s">
        <v>25082</v>
      </c>
      <c r="B13224" s="12" t="s">
        <v>1184</v>
      </c>
      <c r="C13224" s="13" t="s">
        <v>1185</v>
      </c>
      <c r="D13224" s="13" t="s">
        <v>53</v>
      </c>
      <c r="E13224" s="12" t="s">
        <v>16</v>
      </c>
      <c r="F13224" s="14">
        <v>21000</v>
      </c>
      <c r="G13224" s="14">
        <v>14210</v>
      </c>
      <c r="H13224" s="13" t="s">
        <v>25110</v>
      </c>
      <c r="I13224" s="40" t="s">
        <v>18</v>
      </c>
      <c r="J13224" s="40" t="str">
        <f>HYPERLINK("https://stock.pstatic.net/stock-research/company/40/20250418_company_182031000.pdf","PDF")</f>
        <v>PDF</v>
      </c>
      <c r="K13224" s="12" t="s">
        <v>25111</v>
      </c>
      <c r="L13224" s="20">
        <v>0.47783251231527102</v>
      </c>
    </row>
    <row r="13225" spans="1:12" x14ac:dyDescent="0.45">
      <c r="A13225" s="12" t="s">
        <v>25082</v>
      </c>
      <c r="B13225" s="12" t="s">
        <v>25112</v>
      </c>
      <c r="C13225" s="13" t="s">
        <v>25113</v>
      </c>
      <c r="D13225" s="13" t="s">
        <v>202</v>
      </c>
      <c r="E13225" s="12" t="s">
        <v>50</v>
      </c>
      <c r="F13225" s="13"/>
      <c r="G13225" s="13"/>
      <c r="H13225" s="13" t="s">
        <v>25114</v>
      </c>
      <c r="I13225" s="40" t="s">
        <v>18</v>
      </c>
      <c r="J13225" s="40" t="str">
        <f>HYPERLINK("https://stock.pstatic.net/stock-research/company/69/20250418_company_62211000.pdf","PDF")</f>
        <v>PDF</v>
      </c>
      <c r="K13225" s="12" t="s">
        <v>25115</v>
      </c>
    </row>
    <row r="13226" spans="1:12" x14ac:dyDescent="0.45">
      <c r="A13226" s="12" t="s">
        <v>25082</v>
      </c>
      <c r="B13226" s="12" t="s">
        <v>5427</v>
      </c>
      <c r="C13226" s="13" t="s">
        <v>5428</v>
      </c>
      <c r="D13226" s="13" t="s">
        <v>202</v>
      </c>
      <c r="E13226" s="12" t="s">
        <v>50</v>
      </c>
      <c r="F13226" s="13"/>
      <c r="G13226" s="13"/>
      <c r="H13226" s="13" t="s">
        <v>25116</v>
      </c>
      <c r="I13226" s="40" t="s">
        <v>18</v>
      </c>
      <c r="J13226" s="40" t="str">
        <f>HYPERLINK("https://stock.pstatic.net/stock-research/company/69/20250418_company_118394000.pdf","PDF")</f>
        <v>PDF</v>
      </c>
      <c r="K13226" s="12" t="s">
        <v>25117</v>
      </c>
    </row>
    <row r="13227" spans="1:12" x14ac:dyDescent="0.45">
      <c r="A13227" s="12" t="s">
        <v>25082</v>
      </c>
      <c r="B13227" s="12" t="s">
        <v>11815</v>
      </c>
      <c r="C13227" s="13" t="s">
        <v>11816</v>
      </c>
      <c r="D13227" s="13" t="s">
        <v>11154</v>
      </c>
      <c r="E13227" s="12" t="s">
        <v>50</v>
      </c>
      <c r="F13227" s="13"/>
      <c r="G13227" s="13"/>
      <c r="H13227" s="13" t="s">
        <v>25118</v>
      </c>
      <c r="I13227" s="40" t="s">
        <v>18</v>
      </c>
      <c r="J13227" s="40" t="str">
        <f>HYPERLINK("https://stock.pstatic.net/stock-research/company/79/20250418_company_386728000.pdf","PDF")</f>
        <v>PDF</v>
      </c>
      <c r="K13227" s="12" t="s">
        <v>25119</v>
      </c>
    </row>
    <row r="13228" spans="1:12" x14ac:dyDescent="0.45">
      <c r="A13228" s="12" t="s">
        <v>25120</v>
      </c>
      <c r="B13228" s="12" t="s">
        <v>32</v>
      </c>
      <c r="C13228" s="13" t="s">
        <v>33</v>
      </c>
      <c r="D13228" s="13" t="s">
        <v>15</v>
      </c>
      <c r="E13228" s="12" t="s">
        <v>16</v>
      </c>
      <c r="F13228" s="14">
        <v>200000</v>
      </c>
      <c r="G13228" s="14">
        <v>120600</v>
      </c>
      <c r="H13228" s="13" t="s">
        <v>25121</v>
      </c>
      <c r="I13228" s="40" t="s">
        <v>18</v>
      </c>
      <c r="J13228" s="40" t="str">
        <f>HYPERLINK("https://stock.pstatic.net/stock-research/company/29/20250417_company_175526000.pdf","PDF")</f>
        <v>PDF</v>
      </c>
      <c r="K13228" s="12" t="s">
        <v>25122</v>
      </c>
      <c r="L13228" s="20">
        <v>0.65837479270315091</v>
      </c>
    </row>
    <row r="13229" spans="1:12" x14ac:dyDescent="0.45">
      <c r="A13229" s="12" t="s">
        <v>25120</v>
      </c>
      <c r="B13229" s="12" t="s">
        <v>2105</v>
      </c>
      <c r="C13229" s="13" t="s">
        <v>2106</v>
      </c>
      <c r="D13229" s="13" t="s">
        <v>158</v>
      </c>
      <c r="E13229" s="12" t="s">
        <v>35</v>
      </c>
      <c r="F13229" s="14">
        <v>90000</v>
      </c>
      <c r="G13229" s="14">
        <v>49250</v>
      </c>
      <c r="H13229" s="13" t="s">
        <v>25123</v>
      </c>
      <c r="I13229" s="40" t="s">
        <v>18</v>
      </c>
      <c r="J13229" s="40" t="str">
        <f>HYPERLINK("https://stock.pstatic.net/stock-research/company/18/20250417_company_267284000.pdf","PDF")</f>
        <v>PDF</v>
      </c>
      <c r="K13229" s="12" t="s">
        <v>25124</v>
      </c>
      <c r="L13229" s="20">
        <v>0.82741116751269039</v>
      </c>
    </row>
    <row r="13230" spans="1:12" x14ac:dyDescent="0.45">
      <c r="A13230" s="12" t="s">
        <v>25120</v>
      </c>
      <c r="B13230" s="12" t="s">
        <v>2522</v>
      </c>
      <c r="C13230" s="13" t="s">
        <v>2523</v>
      </c>
      <c r="D13230" s="13" t="s">
        <v>158</v>
      </c>
      <c r="E13230" s="12" t="s">
        <v>35</v>
      </c>
      <c r="F13230" s="14">
        <v>450000</v>
      </c>
      <c r="G13230" s="14">
        <v>377000</v>
      </c>
      <c r="H13230" s="13" t="s">
        <v>25125</v>
      </c>
      <c r="I13230" s="40" t="s">
        <v>18</v>
      </c>
      <c r="J13230" s="40" t="str">
        <f>HYPERLINK("https://stock.pstatic.net/stock-research/company/18/20250417_company_975426000.pdf","PDF")</f>
        <v>PDF</v>
      </c>
      <c r="K13230" s="12" t="s">
        <v>25126</v>
      </c>
      <c r="L13230" s="20">
        <v>0.19363395225464189</v>
      </c>
    </row>
    <row r="13231" spans="1:12" x14ac:dyDescent="0.45">
      <c r="A13231" s="12" t="s">
        <v>25120</v>
      </c>
      <c r="B13231" s="12" t="s">
        <v>3014</v>
      </c>
      <c r="C13231" s="13" t="s">
        <v>3015</v>
      </c>
      <c r="D13231" s="13" t="s">
        <v>158</v>
      </c>
      <c r="E13231" s="12" t="s">
        <v>35</v>
      </c>
      <c r="F13231" s="14">
        <v>74000</v>
      </c>
      <c r="G13231" s="14">
        <v>54800</v>
      </c>
      <c r="H13231" s="13" t="s">
        <v>25127</v>
      </c>
      <c r="I13231" s="40" t="s">
        <v>18</v>
      </c>
      <c r="J13231" s="40" t="str">
        <f>HYPERLINK("https://stock.pstatic.net/stock-research/company/18/20250417_company_991437000.pdf","PDF")</f>
        <v>PDF</v>
      </c>
      <c r="K13231" s="12" t="s">
        <v>25128</v>
      </c>
      <c r="L13231" s="20">
        <v>0.35036496350364971</v>
      </c>
    </row>
    <row r="13232" spans="1:12" x14ac:dyDescent="0.45">
      <c r="A13232" s="12" t="s">
        <v>25120</v>
      </c>
      <c r="B13232" s="12" t="s">
        <v>1666</v>
      </c>
      <c r="C13232" s="13" t="s">
        <v>1667</v>
      </c>
      <c r="D13232" s="13" t="s">
        <v>57</v>
      </c>
      <c r="E13232" s="12" t="s">
        <v>159</v>
      </c>
      <c r="F13232" s="14">
        <v>49000</v>
      </c>
      <c r="G13232" s="14">
        <v>41350</v>
      </c>
      <c r="H13232" s="13" t="s">
        <v>25129</v>
      </c>
      <c r="I13232" s="40" t="s">
        <v>18</v>
      </c>
      <c r="J13232" s="40" t="str">
        <f>HYPERLINK("https://stock.pstatic.net/stock-research/company/16/20250417_company_788794000.pdf","PDF")</f>
        <v>PDF</v>
      </c>
      <c r="K13232" s="12" t="s">
        <v>25130</v>
      </c>
      <c r="L13232" s="20">
        <v>0.18500604594921399</v>
      </c>
    </row>
    <row r="13233" spans="1:12" x14ac:dyDescent="0.45">
      <c r="A13233" s="12" t="s">
        <v>25120</v>
      </c>
      <c r="B13233" s="12" t="s">
        <v>1906</v>
      </c>
      <c r="C13233" s="13" t="s">
        <v>1907</v>
      </c>
      <c r="D13233" s="13" t="s">
        <v>57</v>
      </c>
      <c r="E13233" s="12" t="s">
        <v>35</v>
      </c>
      <c r="F13233" s="14">
        <v>44000</v>
      </c>
      <c r="G13233" s="14">
        <v>31950</v>
      </c>
      <c r="H13233" s="13" t="s">
        <v>25131</v>
      </c>
      <c r="I13233" s="40" t="s">
        <v>18</v>
      </c>
      <c r="J13233" s="40" t="str">
        <f>HYPERLINK("https://stock.pstatic.net/stock-research/company/16/20250417_company_132539000.pdf","PDF")</f>
        <v>PDF</v>
      </c>
      <c r="K13233" s="12" t="s">
        <v>25132</v>
      </c>
      <c r="L13233" s="20">
        <v>0.37715179968701101</v>
      </c>
    </row>
    <row r="13234" spans="1:12" x14ac:dyDescent="0.45">
      <c r="A13234" s="12" t="s">
        <v>25120</v>
      </c>
      <c r="B13234" s="12" t="s">
        <v>888</v>
      </c>
      <c r="C13234" s="13" t="s">
        <v>889</v>
      </c>
      <c r="D13234" s="13" t="s">
        <v>60</v>
      </c>
      <c r="E13234" s="12" t="s">
        <v>35</v>
      </c>
      <c r="F13234" s="14">
        <v>70000</v>
      </c>
      <c r="G13234" s="14">
        <v>53100</v>
      </c>
      <c r="H13234" s="13" t="s">
        <v>25133</v>
      </c>
      <c r="I13234" s="40" t="s">
        <v>18</v>
      </c>
      <c r="J13234" s="40" t="str">
        <f>HYPERLINK("https://stock.pstatic.net/stock-research/company/34/20250417_company_599535000.pdf","PDF")</f>
        <v>PDF</v>
      </c>
      <c r="K13234" s="12" t="s">
        <v>25134</v>
      </c>
      <c r="L13234" s="20">
        <v>0.31826741996233521</v>
      </c>
    </row>
    <row r="13235" spans="1:12" x14ac:dyDescent="0.45">
      <c r="A13235" s="12" t="s">
        <v>25120</v>
      </c>
      <c r="B13235" s="12" t="s">
        <v>1666</v>
      </c>
      <c r="C13235" s="13" t="s">
        <v>1667</v>
      </c>
      <c r="D13235" s="13" t="s">
        <v>60</v>
      </c>
      <c r="E13235" s="12" t="s">
        <v>35</v>
      </c>
      <c r="F13235" s="14">
        <v>60000</v>
      </c>
      <c r="G13235" s="14">
        <v>41350</v>
      </c>
      <c r="H13235" s="13" t="s">
        <v>1791</v>
      </c>
      <c r="I13235" s="40" t="s">
        <v>18</v>
      </c>
      <c r="J13235" s="40" t="str">
        <f>HYPERLINK("https://stock.pstatic.net/stock-research/company/34/20250417_company_197853000.pdf","PDF")</f>
        <v>PDF</v>
      </c>
      <c r="K13235" s="12" t="s">
        <v>25135</v>
      </c>
      <c r="L13235" s="20">
        <v>0.45102781136638448</v>
      </c>
    </row>
    <row r="13236" spans="1:12" x14ac:dyDescent="0.45">
      <c r="A13236" s="12" t="s">
        <v>25120</v>
      </c>
      <c r="B13236" s="12" t="s">
        <v>2613</v>
      </c>
      <c r="C13236" s="13" t="s">
        <v>2614</v>
      </c>
      <c r="D13236" s="13" t="s">
        <v>15</v>
      </c>
      <c r="E13236" s="12" t="s">
        <v>16</v>
      </c>
      <c r="F13236" s="14">
        <v>410000</v>
      </c>
      <c r="G13236" s="14">
        <v>332000</v>
      </c>
      <c r="H13236" s="13" t="s">
        <v>25136</v>
      </c>
      <c r="I13236" s="40" t="s">
        <v>18</v>
      </c>
      <c r="J13236" s="40" t="str">
        <f>HYPERLINK("https://stock.pstatic.net/stock-research/company/29/20250417_company_759907000.pdf","PDF")</f>
        <v>PDF</v>
      </c>
      <c r="K13236" s="12" t="s">
        <v>25137</v>
      </c>
      <c r="L13236" s="20">
        <v>0.23493975903614461</v>
      </c>
    </row>
    <row r="13237" spans="1:12" x14ac:dyDescent="0.45">
      <c r="A13237" s="12" t="s">
        <v>25120</v>
      </c>
      <c r="B13237" s="12" t="s">
        <v>485</v>
      </c>
      <c r="C13237" s="13" t="s">
        <v>486</v>
      </c>
      <c r="D13237" s="13" t="s">
        <v>15</v>
      </c>
      <c r="E13237" s="12" t="s">
        <v>16</v>
      </c>
      <c r="F13237" s="14">
        <v>200000</v>
      </c>
      <c r="G13237" s="14">
        <v>117500</v>
      </c>
      <c r="H13237" s="13" t="s">
        <v>25138</v>
      </c>
      <c r="I13237" s="40" t="s">
        <v>18</v>
      </c>
      <c r="J13237" s="40" t="str">
        <f>HYPERLINK("https://stock.pstatic.net/stock-research/company/29/20250417_company_649515000.pdf","PDF")</f>
        <v>PDF</v>
      </c>
      <c r="K13237" s="12" t="s">
        <v>25139</v>
      </c>
      <c r="L13237" s="20">
        <v>0.7021276595744681</v>
      </c>
    </row>
    <row r="13238" spans="1:12" x14ac:dyDescent="0.45">
      <c r="A13238" s="12" t="s">
        <v>25120</v>
      </c>
      <c r="B13238" s="12" t="s">
        <v>11689</v>
      </c>
      <c r="C13238" s="13" t="s">
        <v>11690</v>
      </c>
      <c r="D13238" s="13" t="s">
        <v>83</v>
      </c>
      <c r="E13238" s="12" t="s">
        <v>50</v>
      </c>
      <c r="F13238" s="13"/>
      <c r="G13238" s="14">
        <v>22950</v>
      </c>
      <c r="H13238" s="13" t="s">
        <v>25140</v>
      </c>
      <c r="I13238" s="40" t="s">
        <v>18</v>
      </c>
      <c r="J13238" s="40" t="str">
        <f>HYPERLINK("https://stock.pstatic.net/stock-research/company/2/20250417_company_910131000.pdf","PDF")</f>
        <v>PDF</v>
      </c>
      <c r="K13238" s="12" t="s">
        <v>25141</v>
      </c>
    </row>
    <row r="13239" spans="1:12" x14ac:dyDescent="0.45">
      <c r="A13239" s="12" t="s">
        <v>25120</v>
      </c>
      <c r="B13239" s="12" t="s">
        <v>5623</v>
      </c>
      <c r="C13239" s="13" t="s">
        <v>5624</v>
      </c>
      <c r="D13239" s="13" t="s">
        <v>23</v>
      </c>
      <c r="E13239" s="12" t="s">
        <v>50</v>
      </c>
      <c r="F13239" s="13"/>
      <c r="G13239" s="14">
        <v>5790</v>
      </c>
      <c r="H13239" s="13" t="s">
        <v>25142</v>
      </c>
      <c r="I13239" s="40" t="s">
        <v>18</v>
      </c>
      <c r="J13239" s="40" t="str">
        <f>HYPERLINK("https://stock.pstatic.net/stock-research/company/21/20250417_company_731494000.pdf","PDF")</f>
        <v>PDF</v>
      </c>
      <c r="K13239" s="12" t="s">
        <v>25143</v>
      </c>
    </row>
    <row r="13240" spans="1:12" x14ac:dyDescent="0.45">
      <c r="A13240" s="12" t="s">
        <v>25120</v>
      </c>
      <c r="B13240" s="12" t="s">
        <v>352</v>
      </c>
      <c r="C13240" s="13" t="s">
        <v>353</v>
      </c>
      <c r="D13240" s="13" t="s">
        <v>34</v>
      </c>
      <c r="E13240" s="12" t="s">
        <v>35</v>
      </c>
      <c r="F13240" s="14">
        <v>154000</v>
      </c>
      <c r="G13240" s="14">
        <v>105600</v>
      </c>
      <c r="H13240" s="13" t="s">
        <v>25144</v>
      </c>
      <c r="I13240" s="40" t="s">
        <v>18</v>
      </c>
      <c r="J13240" s="40" t="str">
        <f>HYPERLINK("https://stock.pstatic.net/stock-research/company/61/20250417_company_838745000.pdf","PDF")</f>
        <v>PDF</v>
      </c>
      <c r="K13240" s="12" t="s">
        <v>25145</v>
      </c>
      <c r="L13240" s="20">
        <v>0.45833333333333331</v>
      </c>
    </row>
    <row r="13241" spans="1:12" x14ac:dyDescent="0.45">
      <c r="A13241" s="12" t="s">
        <v>25120</v>
      </c>
      <c r="B13241" s="12" t="s">
        <v>90</v>
      </c>
      <c r="C13241" s="13" t="s">
        <v>91</v>
      </c>
      <c r="D13241" s="13" t="s">
        <v>179</v>
      </c>
      <c r="E13241" s="12" t="s">
        <v>50</v>
      </c>
      <c r="F13241" s="13"/>
      <c r="G13241" s="13"/>
      <c r="H13241" s="13" t="s">
        <v>25146</v>
      </c>
      <c r="I13241" s="40" t="s">
        <v>18</v>
      </c>
      <c r="J13241" s="40" t="str">
        <f>HYPERLINK("https://stock.pstatic.net/stock-research/company/64/20250417_company_979357000.pdf","PDF")</f>
        <v>PDF</v>
      </c>
      <c r="K13241" s="12" t="s">
        <v>25147</v>
      </c>
    </row>
    <row r="13242" spans="1:12" x14ac:dyDescent="0.45">
      <c r="A13242" s="12" t="s">
        <v>25120</v>
      </c>
      <c r="B13242" s="12" t="s">
        <v>1036</v>
      </c>
      <c r="C13242" s="13" t="s">
        <v>1037</v>
      </c>
      <c r="D13242" s="13" t="s">
        <v>44</v>
      </c>
      <c r="E13242" s="12" t="s">
        <v>45</v>
      </c>
      <c r="F13242" s="14">
        <v>15000</v>
      </c>
      <c r="G13242" s="14">
        <v>13120</v>
      </c>
      <c r="H13242" s="13" t="s">
        <v>25148</v>
      </c>
      <c r="I13242" s="40" t="s">
        <v>18</v>
      </c>
      <c r="J13242" s="40" t="str">
        <f>HYPERLINK("https://stock.pstatic.net/stock-research/company/39/20250417_company_257084000.pdf","PDF")</f>
        <v>PDF</v>
      </c>
      <c r="K13242" s="12" t="s">
        <v>25149</v>
      </c>
      <c r="L13242" s="20">
        <v>0.14329268292682931</v>
      </c>
    </row>
    <row r="13243" spans="1:12" x14ac:dyDescent="0.45">
      <c r="A13243" s="12" t="s">
        <v>25120</v>
      </c>
      <c r="B13243" s="12" t="s">
        <v>916</v>
      </c>
      <c r="C13243" s="13" t="s">
        <v>917</v>
      </c>
      <c r="D13243" s="13" t="s">
        <v>44</v>
      </c>
      <c r="E13243" s="12" t="s">
        <v>35</v>
      </c>
      <c r="F13243" s="14">
        <v>70000</v>
      </c>
      <c r="G13243" s="14">
        <v>37750</v>
      </c>
      <c r="H13243" s="13" t="s">
        <v>25150</v>
      </c>
      <c r="I13243" s="40" t="s">
        <v>18</v>
      </c>
      <c r="J13243" s="40" t="str">
        <f>HYPERLINK("https://stock.pstatic.net/stock-research/company/39/20250417_company_193047000.pdf","PDF")</f>
        <v>PDF</v>
      </c>
      <c r="K13243" s="12" t="s">
        <v>25151</v>
      </c>
      <c r="L13243" s="20">
        <v>0.85430463576158944</v>
      </c>
    </row>
    <row r="13244" spans="1:12" x14ac:dyDescent="0.45">
      <c r="A13244" s="12" t="s">
        <v>25120</v>
      </c>
      <c r="B13244" s="12" t="s">
        <v>485</v>
      </c>
      <c r="C13244" s="13" t="s">
        <v>486</v>
      </c>
      <c r="D13244" s="13" t="s">
        <v>44</v>
      </c>
      <c r="E13244" s="12" t="s">
        <v>35</v>
      </c>
      <c r="F13244" s="14">
        <v>160000</v>
      </c>
      <c r="G13244" s="14">
        <v>117500</v>
      </c>
      <c r="H13244" s="13" t="s">
        <v>25152</v>
      </c>
      <c r="I13244" s="40" t="s">
        <v>18</v>
      </c>
      <c r="J13244" s="40" t="str">
        <f>HYPERLINK("https://stock.pstatic.net/stock-research/company/39/20250417_company_777779000.pdf","PDF")</f>
        <v>PDF</v>
      </c>
      <c r="K13244" s="12" t="s">
        <v>25153</v>
      </c>
      <c r="L13244" s="20">
        <v>0.36170212765957449</v>
      </c>
    </row>
    <row r="13245" spans="1:12" x14ac:dyDescent="0.45">
      <c r="A13245" s="12" t="s">
        <v>25120</v>
      </c>
      <c r="B13245" s="12" t="s">
        <v>2024</v>
      </c>
      <c r="C13245" s="13" t="s">
        <v>2025</v>
      </c>
      <c r="D13245" s="13" t="s">
        <v>15</v>
      </c>
      <c r="E13245" s="12" t="s">
        <v>50</v>
      </c>
      <c r="F13245" s="14">
        <v>45000</v>
      </c>
      <c r="G13245" s="14">
        <v>39050</v>
      </c>
      <c r="H13245" s="13" t="s">
        <v>25154</v>
      </c>
      <c r="I13245" s="40" t="s">
        <v>18</v>
      </c>
      <c r="J13245" s="40" t="str">
        <f>HYPERLINK("https://stock.pstatic.net/stock-research/company/29/20250417_company_269208000.pdf","PDF")</f>
        <v>PDF</v>
      </c>
      <c r="K13245" s="12" t="s">
        <v>25155</v>
      </c>
      <c r="L13245" s="20">
        <v>0.15236875800256081</v>
      </c>
    </row>
    <row r="13246" spans="1:12" x14ac:dyDescent="0.45">
      <c r="A13246" s="12" t="s">
        <v>25156</v>
      </c>
      <c r="B13246" s="12" t="s">
        <v>1773</v>
      </c>
      <c r="C13246" s="13" t="s">
        <v>1774</v>
      </c>
      <c r="D13246" s="13" t="s">
        <v>276</v>
      </c>
      <c r="E13246" s="12" t="s">
        <v>16</v>
      </c>
      <c r="F13246" s="14">
        <v>130000</v>
      </c>
      <c r="G13246" s="14">
        <v>82600</v>
      </c>
      <c r="H13246" s="13" t="s">
        <v>25157</v>
      </c>
      <c r="I13246" s="40" t="s">
        <v>18</v>
      </c>
      <c r="J13246" s="40" t="str">
        <f>HYPERLINK("https://stock.pstatic.net/stock-research/company/66/20250416_company_392432000.pdf","PDF")</f>
        <v>PDF</v>
      </c>
      <c r="K13246" s="12" t="s">
        <v>25158</v>
      </c>
      <c r="L13246" s="20">
        <v>0.57384987893462469</v>
      </c>
    </row>
    <row r="13247" spans="1:12" x14ac:dyDescent="0.45">
      <c r="A13247" s="12" t="s">
        <v>25156</v>
      </c>
      <c r="B13247" s="12" t="s">
        <v>2435</v>
      </c>
      <c r="C13247" s="13" t="s">
        <v>2436</v>
      </c>
      <c r="D13247" s="13" t="s">
        <v>60</v>
      </c>
      <c r="E13247" s="12" t="s">
        <v>35</v>
      </c>
      <c r="F13247" s="14">
        <v>450000</v>
      </c>
      <c r="G13247" s="14">
        <v>353500</v>
      </c>
      <c r="H13247" s="13" t="s">
        <v>25159</v>
      </c>
      <c r="I13247" s="40" t="s">
        <v>18</v>
      </c>
      <c r="J13247" s="40" t="str">
        <f>HYPERLINK("https://stock.pstatic.net/stock-research/company/62/20250416_company_197926000.pdf","PDF")</f>
        <v>PDF</v>
      </c>
      <c r="K13247" s="12" t="s">
        <v>25160</v>
      </c>
      <c r="L13247" s="20">
        <v>0.27298444130127297</v>
      </c>
    </row>
    <row r="13248" spans="1:12" x14ac:dyDescent="0.45">
      <c r="A13248" s="12" t="s">
        <v>25156</v>
      </c>
      <c r="B13248" s="12" t="s">
        <v>1120</v>
      </c>
      <c r="C13248" s="13" t="s">
        <v>1121</v>
      </c>
      <c r="D13248" s="13" t="s">
        <v>60</v>
      </c>
      <c r="E13248" s="12" t="s">
        <v>35</v>
      </c>
      <c r="F13248" s="14">
        <v>145000</v>
      </c>
      <c r="G13248" s="13"/>
      <c r="H13248" s="13" t="s">
        <v>25161</v>
      </c>
      <c r="I13248" s="40" t="s">
        <v>18</v>
      </c>
      <c r="J13248" s="40" t="str">
        <f>HYPERLINK("https://stock.pstatic.net/stock-research/company/1/20250416_company_786771000.pdf","PDF")</f>
        <v>PDF</v>
      </c>
      <c r="K13248" s="12" t="s">
        <v>25162</v>
      </c>
    </row>
    <row r="13249" spans="1:12" x14ac:dyDescent="0.45">
      <c r="A13249" s="12" t="s">
        <v>25156</v>
      </c>
      <c r="B13249" s="12" t="s">
        <v>1300</v>
      </c>
      <c r="C13249" s="13" t="s">
        <v>1301</v>
      </c>
      <c r="D13249" s="13" t="s">
        <v>65</v>
      </c>
      <c r="E13249" s="12" t="s">
        <v>35</v>
      </c>
      <c r="F13249" s="14">
        <v>260000</v>
      </c>
      <c r="G13249" s="14">
        <v>194900</v>
      </c>
      <c r="H13249" s="13" t="s">
        <v>25163</v>
      </c>
      <c r="I13249" s="40" t="s">
        <v>18</v>
      </c>
      <c r="J13249" s="40" t="str">
        <f>HYPERLINK("https://stock.pstatic.net/stock-research/company/57/20250416_company_658618000.pdf","PDF")</f>
        <v>PDF</v>
      </c>
      <c r="K13249" s="12" t="s">
        <v>25164</v>
      </c>
      <c r="L13249" s="20">
        <v>0.33401744484350948</v>
      </c>
    </row>
    <row r="13250" spans="1:12" x14ac:dyDescent="0.45">
      <c r="A13250" s="12" t="s">
        <v>25156</v>
      </c>
      <c r="B13250" s="12" t="s">
        <v>281</v>
      </c>
      <c r="C13250" s="13" t="s">
        <v>282</v>
      </c>
      <c r="D13250" s="13" t="s">
        <v>65</v>
      </c>
      <c r="E13250" s="12" t="s">
        <v>35</v>
      </c>
      <c r="F13250" s="14">
        <v>15000</v>
      </c>
      <c r="G13250" s="14">
        <v>7840</v>
      </c>
      <c r="H13250" s="13" t="s">
        <v>25165</v>
      </c>
      <c r="I13250" s="40" t="s">
        <v>18</v>
      </c>
      <c r="J13250" s="40" t="str">
        <f>HYPERLINK("https://stock.pstatic.net/stock-research/company/57/20250416_company_645063000.pdf","PDF")</f>
        <v>PDF</v>
      </c>
      <c r="K13250" s="12" t="s">
        <v>25166</v>
      </c>
      <c r="L13250" s="20">
        <v>0.91326530612244894</v>
      </c>
    </row>
    <row r="13251" spans="1:12" x14ac:dyDescent="0.45">
      <c r="A13251" s="12" t="s">
        <v>25156</v>
      </c>
      <c r="B13251" s="12" t="s">
        <v>128</v>
      </c>
      <c r="C13251" s="13" t="s">
        <v>129</v>
      </c>
      <c r="D13251" s="13" t="s">
        <v>65</v>
      </c>
      <c r="E13251" s="12" t="s">
        <v>35</v>
      </c>
      <c r="F13251" s="14">
        <v>25000</v>
      </c>
      <c r="G13251" s="14">
        <v>14000</v>
      </c>
      <c r="H13251" s="13" t="s">
        <v>25167</v>
      </c>
      <c r="I13251" s="40" t="s">
        <v>18</v>
      </c>
      <c r="J13251" s="40" t="str">
        <f>HYPERLINK("https://stock.pstatic.net/stock-research/company/57/20250416_company_263044000.pdf","PDF")</f>
        <v>PDF</v>
      </c>
      <c r="K13251" s="12" t="s">
        <v>25168</v>
      </c>
      <c r="L13251" s="20">
        <v>0.7857142857142857</v>
      </c>
    </row>
    <row r="13252" spans="1:12" x14ac:dyDescent="0.45">
      <c r="A13252" s="12" t="s">
        <v>25156</v>
      </c>
      <c r="B13252" s="12" t="s">
        <v>533</v>
      </c>
      <c r="C13252" s="13" t="s">
        <v>534</v>
      </c>
      <c r="D13252" s="13" t="s">
        <v>65</v>
      </c>
      <c r="E13252" s="12" t="s">
        <v>35</v>
      </c>
      <c r="F13252" s="14">
        <v>70000</v>
      </c>
      <c r="G13252" s="14">
        <v>47650</v>
      </c>
      <c r="H13252" s="13" t="s">
        <v>25169</v>
      </c>
      <c r="I13252" s="40" t="s">
        <v>18</v>
      </c>
      <c r="J13252" s="40" t="str">
        <f>HYPERLINK("https://stock.pstatic.net/stock-research/company/57/20250416_company_39164000.pdf","PDF")</f>
        <v>PDF</v>
      </c>
      <c r="K13252" s="12" t="s">
        <v>25170</v>
      </c>
      <c r="L13252" s="20">
        <v>0.46904512067156351</v>
      </c>
    </row>
    <row r="13253" spans="1:12" x14ac:dyDescent="0.45">
      <c r="A13253" s="12" t="s">
        <v>25156</v>
      </c>
      <c r="B13253" s="12" t="s">
        <v>2837</v>
      </c>
      <c r="C13253" s="13" t="s">
        <v>2838</v>
      </c>
      <c r="D13253" s="13" t="s">
        <v>57</v>
      </c>
      <c r="E13253" s="12" t="s">
        <v>35</v>
      </c>
      <c r="F13253" s="14">
        <v>46000</v>
      </c>
      <c r="G13253" s="14">
        <v>38850</v>
      </c>
      <c r="H13253" s="13" t="s">
        <v>25171</v>
      </c>
      <c r="I13253" s="40" t="s">
        <v>18</v>
      </c>
      <c r="J13253" s="40" t="str">
        <f>HYPERLINK("https://stock.pstatic.net/stock-research/company/16/20250416_company_189169000.pdf","PDF")</f>
        <v>PDF</v>
      </c>
      <c r="K13253" s="12" t="s">
        <v>25172</v>
      </c>
      <c r="L13253" s="20">
        <v>0.18404118404118411</v>
      </c>
    </row>
    <row r="13254" spans="1:12" x14ac:dyDescent="0.45">
      <c r="A13254" s="12" t="s">
        <v>25156</v>
      </c>
      <c r="B13254" s="12" t="s">
        <v>3548</v>
      </c>
      <c r="C13254" s="13" t="s">
        <v>3549</v>
      </c>
      <c r="D13254" s="13" t="s">
        <v>57</v>
      </c>
      <c r="E13254" s="12" t="s">
        <v>35</v>
      </c>
      <c r="F13254" s="14">
        <v>56000</v>
      </c>
      <c r="G13254" s="14">
        <v>42350</v>
      </c>
      <c r="H13254" s="13" t="s">
        <v>25173</v>
      </c>
      <c r="I13254" s="40" t="s">
        <v>18</v>
      </c>
      <c r="J13254" s="40" t="str">
        <f>HYPERLINK("https://stock.pstatic.net/stock-research/company/16/20250416_company_680912000.pdf","PDF")</f>
        <v>PDF</v>
      </c>
      <c r="K13254" s="12" t="s">
        <v>25174</v>
      </c>
      <c r="L13254" s="20">
        <v>0.32231404958677679</v>
      </c>
    </row>
    <row r="13255" spans="1:12" x14ac:dyDescent="0.45">
      <c r="A13255" s="12" t="s">
        <v>25156</v>
      </c>
      <c r="B13255" s="12" t="s">
        <v>1120</v>
      </c>
      <c r="C13255" s="13" t="s">
        <v>1121</v>
      </c>
      <c r="D13255" s="13" t="s">
        <v>158</v>
      </c>
      <c r="E13255" s="12" t="s">
        <v>35</v>
      </c>
      <c r="F13255" s="14">
        <v>149000</v>
      </c>
      <c r="G13255" s="14">
        <v>116700</v>
      </c>
      <c r="H13255" s="13" t="s">
        <v>25175</v>
      </c>
      <c r="I13255" s="40" t="s">
        <v>18</v>
      </c>
      <c r="J13255" s="40" t="str">
        <f>HYPERLINK("https://stock.pstatic.net/stock-research/company/18/20250416_company_391204000.pdf","PDF")</f>
        <v>PDF</v>
      </c>
      <c r="K13255" s="12" t="s">
        <v>25176</v>
      </c>
      <c r="L13255" s="20">
        <v>0.27677806341045408</v>
      </c>
    </row>
    <row r="13256" spans="1:12" x14ac:dyDescent="0.45">
      <c r="A13256" s="12" t="s">
        <v>25156</v>
      </c>
      <c r="B13256" s="12" t="s">
        <v>2308</v>
      </c>
      <c r="C13256" s="13" t="s">
        <v>2309</v>
      </c>
      <c r="D13256" s="13" t="s">
        <v>158</v>
      </c>
      <c r="E13256" s="12" t="s">
        <v>50</v>
      </c>
      <c r="F13256" s="13"/>
      <c r="G13256" s="14">
        <v>11960</v>
      </c>
      <c r="H13256" s="13" t="s">
        <v>25177</v>
      </c>
      <c r="I13256" s="40" t="s">
        <v>18</v>
      </c>
      <c r="J13256" s="40" t="str">
        <f>HYPERLINK("https://stock.pstatic.net/stock-research/company/18/20250416_company_107063000.pdf","PDF")</f>
        <v>PDF</v>
      </c>
      <c r="K13256" s="12" t="s">
        <v>25178</v>
      </c>
    </row>
    <row r="13257" spans="1:12" x14ac:dyDescent="0.45">
      <c r="A13257" s="12" t="s">
        <v>25156</v>
      </c>
      <c r="B13257" s="12" t="s">
        <v>768</v>
      </c>
      <c r="C13257" s="13" t="s">
        <v>769</v>
      </c>
      <c r="D13257" s="13" t="s">
        <v>15</v>
      </c>
      <c r="E13257" s="12" t="s">
        <v>16</v>
      </c>
      <c r="F13257" s="14">
        <v>200000</v>
      </c>
      <c r="G13257" s="14">
        <v>165700</v>
      </c>
      <c r="H13257" s="13" t="s">
        <v>25179</v>
      </c>
      <c r="I13257" s="40" t="s">
        <v>18</v>
      </c>
      <c r="J13257" s="40" t="str">
        <f>HYPERLINK("https://stock.pstatic.net/stock-research/company/29/20250416_company_372593000.pdf","PDF")</f>
        <v>PDF</v>
      </c>
      <c r="K13257" s="12" t="s">
        <v>25180</v>
      </c>
      <c r="L13257" s="20">
        <v>0.20700060350030169</v>
      </c>
    </row>
    <row r="13258" spans="1:12" x14ac:dyDescent="0.45">
      <c r="A13258" s="12" t="s">
        <v>25156</v>
      </c>
      <c r="B13258" s="12" t="s">
        <v>2266</v>
      </c>
      <c r="C13258" s="13" t="s">
        <v>2267</v>
      </c>
      <c r="D13258" s="13" t="s">
        <v>44</v>
      </c>
      <c r="E13258" s="12" t="s">
        <v>35</v>
      </c>
      <c r="F13258" s="14">
        <v>96000</v>
      </c>
      <c r="G13258" s="14">
        <v>77800</v>
      </c>
      <c r="H13258" s="13" t="s">
        <v>25181</v>
      </c>
      <c r="I13258" s="40" t="s">
        <v>18</v>
      </c>
      <c r="J13258" s="40" t="str">
        <f>HYPERLINK("https://stock.pstatic.net/stock-research/company/39/20250416_company_792297000.pdf","PDF")</f>
        <v>PDF</v>
      </c>
      <c r="K13258" s="12" t="s">
        <v>25182</v>
      </c>
      <c r="L13258" s="20">
        <v>0.23393316195372749</v>
      </c>
    </row>
    <row r="13259" spans="1:12" x14ac:dyDescent="0.45">
      <c r="A13259" s="12" t="s">
        <v>25156</v>
      </c>
      <c r="B13259" s="12" t="s">
        <v>1849</v>
      </c>
      <c r="C13259" s="13" t="s">
        <v>1850</v>
      </c>
      <c r="D13259" s="13" t="s">
        <v>83</v>
      </c>
      <c r="E13259" s="12" t="s">
        <v>35</v>
      </c>
      <c r="F13259" s="14">
        <v>30500</v>
      </c>
      <c r="G13259" s="14">
        <v>17290</v>
      </c>
      <c r="H13259" s="13" t="s">
        <v>25183</v>
      </c>
      <c r="I13259" s="40" t="s">
        <v>18</v>
      </c>
      <c r="J13259" s="40" t="str">
        <f>HYPERLINK("https://stock.pstatic.net/stock-research/company/2/20250416_company_376177000.pdf","PDF")</f>
        <v>PDF</v>
      </c>
      <c r="K13259" s="12" t="s">
        <v>25184</v>
      </c>
      <c r="L13259" s="20">
        <v>0.76402544823597451</v>
      </c>
    </row>
    <row r="13260" spans="1:12" x14ac:dyDescent="0.45">
      <c r="A13260" s="12" t="s">
        <v>25156</v>
      </c>
      <c r="B13260" s="12" t="s">
        <v>537</v>
      </c>
      <c r="C13260" s="13" t="s">
        <v>538</v>
      </c>
      <c r="D13260" s="13" t="s">
        <v>83</v>
      </c>
      <c r="E13260" s="12" t="s">
        <v>35</v>
      </c>
      <c r="F13260" s="14">
        <v>14000</v>
      </c>
      <c r="G13260" s="14">
        <v>10770</v>
      </c>
      <c r="H13260" s="13" t="s">
        <v>25185</v>
      </c>
      <c r="I13260" s="40" t="s">
        <v>18</v>
      </c>
      <c r="J13260" s="40" t="str">
        <f>HYPERLINK("https://stock.pstatic.net/stock-research/company/2/20250416_company_886919000.pdf","PDF")</f>
        <v>PDF</v>
      </c>
      <c r="K13260" s="12" t="s">
        <v>25186</v>
      </c>
      <c r="L13260" s="20">
        <v>0.29990714948932218</v>
      </c>
    </row>
    <row r="13261" spans="1:12" x14ac:dyDescent="0.45">
      <c r="A13261" s="12" t="s">
        <v>25156</v>
      </c>
      <c r="B13261" s="12" t="s">
        <v>1097</v>
      </c>
      <c r="C13261" s="13" t="s">
        <v>1098</v>
      </c>
      <c r="D13261" s="13" t="s">
        <v>83</v>
      </c>
      <c r="E13261" s="12" t="s">
        <v>35</v>
      </c>
      <c r="F13261" s="14">
        <v>140000</v>
      </c>
      <c r="G13261" s="14">
        <v>105900</v>
      </c>
      <c r="H13261" s="13" t="s">
        <v>25187</v>
      </c>
      <c r="I13261" s="40" t="s">
        <v>18</v>
      </c>
      <c r="J13261" s="40" t="str">
        <f>HYPERLINK("https://stock.pstatic.net/stock-research/company/2/20250416_company_32364000.pdf","PDF")</f>
        <v>PDF</v>
      </c>
      <c r="K13261" s="12" t="s">
        <v>25188</v>
      </c>
      <c r="L13261" s="20">
        <v>0.32200188857412648</v>
      </c>
    </row>
    <row r="13262" spans="1:12" x14ac:dyDescent="0.45">
      <c r="A13262" s="12" t="s">
        <v>25156</v>
      </c>
      <c r="B13262" s="12" t="s">
        <v>1140</v>
      </c>
      <c r="C13262" s="13" t="s">
        <v>1141</v>
      </c>
      <c r="D13262" s="13" t="s">
        <v>83</v>
      </c>
      <c r="E13262" s="12" t="s">
        <v>35</v>
      </c>
      <c r="F13262" s="14">
        <v>33000</v>
      </c>
      <c r="G13262" s="14">
        <v>23550</v>
      </c>
      <c r="H13262" s="13" t="s">
        <v>25189</v>
      </c>
      <c r="I13262" s="40" t="s">
        <v>18</v>
      </c>
      <c r="J13262" s="40" t="str">
        <f>HYPERLINK("https://stock.pstatic.net/stock-research/company/2/20250416_company_515291000.pdf","PDF")</f>
        <v>PDF</v>
      </c>
      <c r="K13262" s="12" t="s">
        <v>25190</v>
      </c>
      <c r="L13262" s="20">
        <v>0.40127388535031849</v>
      </c>
    </row>
    <row r="13263" spans="1:12" x14ac:dyDescent="0.45">
      <c r="A13263" s="12" t="s">
        <v>25156</v>
      </c>
      <c r="B13263" s="12" t="s">
        <v>63</v>
      </c>
      <c r="C13263" s="13" t="s">
        <v>64</v>
      </c>
      <c r="D13263" s="13" t="s">
        <v>83</v>
      </c>
      <c r="E13263" s="12" t="s">
        <v>35</v>
      </c>
      <c r="F13263" s="14">
        <v>380000</v>
      </c>
      <c r="G13263" s="14">
        <v>238000</v>
      </c>
      <c r="H13263" s="13" t="s">
        <v>25191</v>
      </c>
      <c r="I13263" s="40" t="s">
        <v>18</v>
      </c>
      <c r="J13263" s="40" t="str">
        <f>HYPERLINK("https://stock.pstatic.net/stock-research/company/2/20250416_company_647991000.pdf","PDF")</f>
        <v>PDF</v>
      </c>
      <c r="K13263" s="12" t="s">
        <v>25192</v>
      </c>
      <c r="L13263" s="20">
        <v>0.59663865546218486</v>
      </c>
    </row>
    <row r="13264" spans="1:12" x14ac:dyDescent="0.45">
      <c r="A13264" s="12" t="s">
        <v>25156</v>
      </c>
      <c r="B13264" s="12" t="s">
        <v>1120</v>
      </c>
      <c r="C13264" s="13" t="s">
        <v>1121</v>
      </c>
      <c r="D13264" s="13" t="s">
        <v>92</v>
      </c>
      <c r="E13264" s="12" t="s">
        <v>35</v>
      </c>
      <c r="F13264" s="14">
        <v>147000</v>
      </c>
      <c r="G13264" s="14">
        <v>116700</v>
      </c>
      <c r="H13264" s="13" t="s">
        <v>25193</v>
      </c>
      <c r="I13264" s="40" t="s">
        <v>18</v>
      </c>
      <c r="J13264" s="40" t="str">
        <f>HYPERLINK("https://stock.pstatic.net/stock-research/company/63/20250416_company_284121000.pdf","PDF")</f>
        <v>PDF</v>
      </c>
      <c r="K13264" s="12" t="s">
        <v>25194</v>
      </c>
      <c r="L13264" s="20">
        <v>0.25964010282776351</v>
      </c>
    </row>
    <row r="13265" spans="1:12" x14ac:dyDescent="0.45">
      <c r="A13265" s="12" t="s">
        <v>25156</v>
      </c>
      <c r="B13265" s="12" t="s">
        <v>507</v>
      </c>
      <c r="C13265" s="13" t="s">
        <v>508</v>
      </c>
      <c r="D13265" s="13" t="s">
        <v>23</v>
      </c>
      <c r="E13265" s="12" t="s">
        <v>16</v>
      </c>
      <c r="F13265" s="14">
        <v>12000</v>
      </c>
      <c r="G13265" s="14">
        <v>7880</v>
      </c>
      <c r="H13265" s="13" t="s">
        <v>25195</v>
      </c>
      <c r="I13265" s="40" t="s">
        <v>18</v>
      </c>
      <c r="J13265" s="40" t="str">
        <f>HYPERLINK("https://stock.pstatic.net/stock-research/company/21/20250416_company_559865000.pdf","PDF")</f>
        <v>PDF</v>
      </c>
      <c r="K13265" s="12" t="s">
        <v>25196</v>
      </c>
      <c r="L13265" s="20">
        <v>0.52284263959390864</v>
      </c>
    </row>
    <row r="13266" spans="1:12" x14ac:dyDescent="0.45">
      <c r="A13266" s="12" t="s">
        <v>25156</v>
      </c>
      <c r="B13266" s="12" t="s">
        <v>1660</v>
      </c>
      <c r="C13266" s="13" t="s">
        <v>1661</v>
      </c>
      <c r="D13266" s="13" t="s">
        <v>92</v>
      </c>
      <c r="E13266" s="12" t="s">
        <v>35</v>
      </c>
      <c r="F13266" s="14">
        <v>52000</v>
      </c>
      <c r="G13266" s="14">
        <v>45100</v>
      </c>
      <c r="H13266" s="13" t="s">
        <v>25197</v>
      </c>
      <c r="I13266" s="40" t="s">
        <v>18</v>
      </c>
      <c r="J13266" s="40" t="str">
        <f>HYPERLINK("https://stock.pstatic.net/stock-research/company/63/20250416_company_509782000.pdf","PDF")</f>
        <v>PDF</v>
      </c>
      <c r="K13266" s="12" t="s">
        <v>25198</v>
      </c>
      <c r="L13266" s="20">
        <v>0.1529933481152993</v>
      </c>
    </row>
    <row r="13267" spans="1:12" x14ac:dyDescent="0.45">
      <c r="A13267" s="12" t="s">
        <v>25156</v>
      </c>
      <c r="B13267" s="12" t="s">
        <v>1678</v>
      </c>
      <c r="C13267" s="13" t="s">
        <v>1679</v>
      </c>
      <c r="D13267" s="13" t="s">
        <v>92</v>
      </c>
      <c r="E13267" s="12" t="s">
        <v>35</v>
      </c>
      <c r="F13267" s="14">
        <v>75000</v>
      </c>
      <c r="G13267" s="14">
        <v>56600</v>
      </c>
      <c r="H13267" s="13" t="s">
        <v>25199</v>
      </c>
      <c r="I13267" s="40" t="s">
        <v>18</v>
      </c>
      <c r="J13267" s="40" t="str">
        <f>HYPERLINK("https://stock.pstatic.net/stock-research/company/63/20250416_company_949153000.pdf","PDF")</f>
        <v>PDF</v>
      </c>
      <c r="K13267" s="12" t="s">
        <v>25200</v>
      </c>
      <c r="L13267" s="20">
        <v>0.32508833922261482</v>
      </c>
    </row>
    <row r="13268" spans="1:12" x14ac:dyDescent="0.45">
      <c r="A13268" s="12" t="s">
        <v>25156</v>
      </c>
      <c r="B13268" s="12" t="s">
        <v>1120</v>
      </c>
      <c r="C13268" s="13" t="s">
        <v>1121</v>
      </c>
      <c r="D13268" s="13" t="s">
        <v>34</v>
      </c>
      <c r="E13268" s="12" t="s">
        <v>35</v>
      </c>
      <c r="F13268" s="14">
        <v>170000</v>
      </c>
      <c r="G13268" s="14">
        <v>116700</v>
      </c>
      <c r="H13268" s="13" t="s">
        <v>25201</v>
      </c>
      <c r="I13268" s="40" t="s">
        <v>18</v>
      </c>
      <c r="J13268" s="40" t="str">
        <f>HYPERLINK("https://m.stock.naver.com/research/company/82030","PDF")</f>
        <v>PDF</v>
      </c>
      <c r="K13268" s="12" t="s">
        <v>25202</v>
      </c>
      <c r="L13268" s="20">
        <v>0.45672664952870612</v>
      </c>
    </row>
    <row r="13269" spans="1:12" x14ac:dyDescent="0.45">
      <c r="A13269" s="12" t="s">
        <v>25156</v>
      </c>
      <c r="B13269" s="12" t="s">
        <v>1666</v>
      </c>
      <c r="C13269" s="13" t="s">
        <v>1667</v>
      </c>
      <c r="D13269" s="13" t="s">
        <v>179</v>
      </c>
      <c r="E13269" s="12" t="s">
        <v>16</v>
      </c>
      <c r="F13269" s="14">
        <v>67000</v>
      </c>
      <c r="G13269" s="14">
        <v>41700</v>
      </c>
      <c r="H13269" s="13" t="s">
        <v>25203</v>
      </c>
      <c r="I13269" s="40" t="s">
        <v>18</v>
      </c>
      <c r="J13269" s="40" t="str">
        <f>HYPERLINK("https://m.stock.naver.com/research/company/82029","PDF")</f>
        <v>PDF</v>
      </c>
      <c r="K13269" s="12" t="s">
        <v>25204</v>
      </c>
      <c r="L13269" s="20">
        <v>0.60671462829736211</v>
      </c>
    </row>
    <row r="13270" spans="1:12" x14ac:dyDescent="0.45">
      <c r="A13270" s="12" t="s">
        <v>25156</v>
      </c>
      <c r="B13270" s="12" t="s">
        <v>3284</v>
      </c>
      <c r="C13270" s="13" t="s">
        <v>3285</v>
      </c>
      <c r="D13270" s="13" t="s">
        <v>179</v>
      </c>
      <c r="E13270" s="12" t="s">
        <v>16</v>
      </c>
      <c r="F13270" s="14">
        <v>97000</v>
      </c>
      <c r="G13270" s="14">
        <v>79400</v>
      </c>
      <c r="H13270" s="13" t="s">
        <v>25205</v>
      </c>
      <c r="I13270" s="40" t="s">
        <v>18</v>
      </c>
      <c r="J13270" s="40" t="str">
        <f>HYPERLINK("https://stock.pstatic.net/stock-research/company/31/20250416_company_16163000.pdf","PDF")</f>
        <v>PDF</v>
      </c>
      <c r="K13270" s="12" t="s">
        <v>25206</v>
      </c>
      <c r="L13270" s="20">
        <v>0.22166246851385391</v>
      </c>
    </row>
    <row r="13271" spans="1:12" x14ac:dyDescent="0.45">
      <c r="A13271" s="12" t="s">
        <v>25156</v>
      </c>
      <c r="B13271" s="12" t="s">
        <v>1930</v>
      </c>
      <c r="C13271" s="13" t="s">
        <v>1931</v>
      </c>
      <c r="D13271" s="13" t="s">
        <v>23</v>
      </c>
      <c r="E13271" s="12" t="s">
        <v>16</v>
      </c>
      <c r="F13271" s="14">
        <v>370000</v>
      </c>
      <c r="G13271" s="14">
        <v>237500</v>
      </c>
      <c r="H13271" s="13" t="s">
        <v>25207</v>
      </c>
      <c r="I13271" s="40" t="s">
        <v>18</v>
      </c>
      <c r="J13271" s="40" t="str">
        <f>HYPERLINK("https://stock.pstatic.net/stock-research/company/21/20250416_company_5364000.pdf","PDF")</f>
        <v>PDF</v>
      </c>
      <c r="K13271" s="12" t="s">
        <v>25208</v>
      </c>
      <c r="L13271" s="20">
        <v>0.55789473684210522</v>
      </c>
    </row>
    <row r="13272" spans="1:12" x14ac:dyDescent="0.45">
      <c r="A13272" s="12" t="s">
        <v>25156</v>
      </c>
      <c r="B13272" s="12" t="s">
        <v>1328</v>
      </c>
      <c r="C13272" s="13" t="s">
        <v>1329</v>
      </c>
      <c r="D13272" s="13" t="s">
        <v>179</v>
      </c>
      <c r="E13272" s="12" t="s">
        <v>16</v>
      </c>
      <c r="F13272" s="14">
        <v>10000</v>
      </c>
      <c r="G13272" s="14">
        <v>7670</v>
      </c>
      <c r="H13272" s="13" t="s">
        <v>25209</v>
      </c>
      <c r="I13272" s="40" t="s">
        <v>18</v>
      </c>
      <c r="J13272" s="40" t="str">
        <f>HYPERLINK("https://stock.pstatic.net/stock-research/company/31/20250416_company_62886000.pdf","PDF")</f>
        <v>PDF</v>
      </c>
      <c r="K13272" s="12" t="s">
        <v>25210</v>
      </c>
      <c r="L13272" s="20">
        <v>0.30378096479791389</v>
      </c>
    </row>
    <row r="13273" spans="1:12" x14ac:dyDescent="0.45">
      <c r="A13273" s="12" t="s">
        <v>25156</v>
      </c>
      <c r="B13273" s="12" t="s">
        <v>1918</v>
      </c>
      <c r="C13273" s="13" t="s">
        <v>1919</v>
      </c>
      <c r="D13273" s="13" t="s">
        <v>53</v>
      </c>
      <c r="E13273" s="12" t="s">
        <v>50</v>
      </c>
      <c r="F13273" s="14">
        <v>6250</v>
      </c>
      <c r="G13273" s="14">
        <v>6020</v>
      </c>
      <c r="H13273" s="13" t="s">
        <v>25211</v>
      </c>
      <c r="I13273" s="40" t="s">
        <v>18</v>
      </c>
      <c r="J13273" s="40" t="str">
        <f>HYPERLINK("https://stock.pstatic.net/stock-research/company/40/20250416_company_374198000.pdf","PDF")</f>
        <v>PDF</v>
      </c>
      <c r="K13273" s="12" t="s">
        <v>25212</v>
      </c>
      <c r="L13273" s="20">
        <v>3.8205980066445183E-2</v>
      </c>
    </row>
    <row r="13274" spans="1:12" x14ac:dyDescent="0.45">
      <c r="A13274" s="12" t="s">
        <v>25213</v>
      </c>
      <c r="B13274" s="12" t="s">
        <v>736</v>
      </c>
      <c r="C13274" s="13" t="s">
        <v>737</v>
      </c>
      <c r="D13274" s="13" t="s">
        <v>15</v>
      </c>
      <c r="E13274" s="12" t="s">
        <v>16</v>
      </c>
      <c r="F13274" s="14">
        <v>93000</v>
      </c>
      <c r="G13274" s="14">
        <v>61200</v>
      </c>
      <c r="H13274" s="13" t="s">
        <v>25214</v>
      </c>
      <c r="I13274" s="40" t="s">
        <v>18</v>
      </c>
      <c r="J13274" s="40" t="str">
        <f>HYPERLINK("https://stock.pstatic.net/stock-research/company/29/20250415_company_908464000.pdf","PDF")</f>
        <v>PDF</v>
      </c>
      <c r="K13274" s="12" t="s">
        <v>25215</v>
      </c>
      <c r="L13274" s="20">
        <v>0.51960784313725494</v>
      </c>
    </row>
    <row r="13275" spans="1:12" x14ac:dyDescent="0.45">
      <c r="A13275" s="12" t="s">
        <v>25213</v>
      </c>
      <c r="B13275" s="12" t="s">
        <v>330</v>
      </c>
      <c r="C13275" s="13" t="s">
        <v>331</v>
      </c>
      <c r="D13275" s="13" t="s">
        <v>15</v>
      </c>
      <c r="E13275" s="12" t="s">
        <v>16</v>
      </c>
      <c r="F13275" s="14">
        <v>29000</v>
      </c>
      <c r="G13275" s="14">
        <v>20150</v>
      </c>
      <c r="H13275" s="13" t="s">
        <v>25216</v>
      </c>
      <c r="I13275" s="40" t="s">
        <v>18</v>
      </c>
      <c r="J13275" s="40" t="str">
        <f>HYPERLINK("https://stock.pstatic.net/stock-research/company/16/20250415_company_410716000.pdf","PDF")</f>
        <v>PDF</v>
      </c>
      <c r="K13275" s="12" t="s">
        <v>25217</v>
      </c>
      <c r="L13275" s="20">
        <v>0.43920595533498757</v>
      </c>
    </row>
    <row r="13276" spans="1:12" x14ac:dyDescent="0.45">
      <c r="A13276" s="12" t="s">
        <v>25213</v>
      </c>
      <c r="B13276" s="12" t="s">
        <v>334</v>
      </c>
      <c r="C13276" s="13" t="s">
        <v>335</v>
      </c>
      <c r="D13276" s="13" t="s">
        <v>276</v>
      </c>
      <c r="E13276" s="12" t="s">
        <v>16</v>
      </c>
      <c r="F13276" s="14">
        <v>290000</v>
      </c>
      <c r="G13276" s="14">
        <v>180200</v>
      </c>
      <c r="H13276" s="13" t="s">
        <v>25218</v>
      </c>
      <c r="I13276" s="40" t="s">
        <v>18</v>
      </c>
      <c r="J13276" s="40" t="str">
        <f>HYPERLINK("https://stock.pstatic.net/stock-research/company/66/20250415_company_123434000.pdf","PDF")</f>
        <v>PDF</v>
      </c>
      <c r="K13276" s="12" t="s">
        <v>25219</v>
      </c>
      <c r="L13276" s="20">
        <v>0.60932297447280803</v>
      </c>
    </row>
    <row r="13277" spans="1:12" x14ac:dyDescent="0.45">
      <c r="A13277" s="12" t="s">
        <v>25213</v>
      </c>
      <c r="B13277" s="12" t="s">
        <v>25220</v>
      </c>
      <c r="C13277" s="13" t="s">
        <v>25221</v>
      </c>
      <c r="D13277" s="13" t="s">
        <v>60</v>
      </c>
      <c r="E13277" s="12" t="s">
        <v>50</v>
      </c>
      <c r="F13277" s="13"/>
      <c r="G13277" s="13"/>
      <c r="H13277" s="13" t="s">
        <v>25222</v>
      </c>
      <c r="I13277" s="40" t="s">
        <v>18</v>
      </c>
      <c r="J13277" s="40" t="str">
        <f>HYPERLINK("https://stock.pstatic.net/stock-research/company/34/20250415_company_1459000.pdf","PDF")</f>
        <v>PDF</v>
      </c>
      <c r="K13277" s="12" t="s">
        <v>25223</v>
      </c>
    </row>
    <row r="13278" spans="1:12" x14ac:dyDescent="0.45">
      <c r="A13278" s="12" t="s">
        <v>25213</v>
      </c>
      <c r="B13278" s="12" t="s">
        <v>768</v>
      </c>
      <c r="C13278" s="13" t="s">
        <v>769</v>
      </c>
      <c r="D13278" s="13" t="s">
        <v>65</v>
      </c>
      <c r="E13278" s="12" t="s">
        <v>35</v>
      </c>
      <c r="F13278" s="14">
        <v>220000</v>
      </c>
      <c r="G13278" s="14">
        <v>164600</v>
      </c>
      <c r="H13278" s="13" t="s">
        <v>20724</v>
      </c>
      <c r="I13278" s="40" t="s">
        <v>18</v>
      </c>
      <c r="J13278" s="40" t="str">
        <f>HYPERLINK("https://stock.pstatic.net/stock-research/company/57/20250415_company_525714000.pdf","PDF")</f>
        <v>PDF</v>
      </c>
      <c r="K13278" s="12" t="s">
        <v>25224</v>
      </c>
      <c r="L13278" s="20">
        <v>0.33657351154313492</v>
      </c>
    </row>
    <row r="13279" spans="1:12" x14ac:dyDescent="0.45">
      <c r="A13279" s="12" t="s">
        <v>25213</v>
      </c>
      <c r="B13279" s="12" t="s">
        <v>1140</v>
      </c>
      <c r="C13279" s="13" t="s">
        <v>1141</v>
      </c>
      <c r="D13279" s="13" t="s">
        <v>65</v>
      </c>
      <c r="E13279" s="12" t="s">
        <v>35</v>
      </c>
      <c r="F13279" s="14">
        <v>30000</v>
      </c>
      <c r="G13279" s="14">
        <v>23550</v>
      </c>
      <c r="H13279" s="13" t="s">
        <v>25225</v>
      </c>
      <c r="I13279" s="40" t="s">
        <v>18</v>
      </c>
      <c r="J13279" s="40" t="str">
        <f>HYPERLINK("https://m.stock.naver.com/research/company/82019","PDF")</f>
        <v>PDF</v>
      </c>
      <c r="K13279" s="12" t="s">
        <v>25226</v>
      </c>
      <c r="L13279" s="20">
        <v>0.27388535031847128</v>
      </c>
    </row>
    <row r="13280" spans="1:12" x14ac:dyDescent="0.45">
      <c r="A13280" s="12" t="s">
        <v>25213</v>
      </c>
      <c r="B13280" s="12" t="s">
        <v>2425</v>
      </c>
      <c r="C13280" s="13" t="s">
        <v>2426</v>
      </c>
      <c r="D13280" s="13" t="s">
        <v>65</v>
      </c>
      <c r="E13280" s="12" t="s">
        <v>35</v>
      </c>
      <c r="F13280" s="14">
        <v>140000</v>
      </c>
      <c r="G13280" s="14">
        <v>106600</v>
      </c>
      <c r="H13280" s="13" t="s">
        <v>25227</v>
      </c>
      <c r="I13280" s="40" t="s">
        <v>18</v>
      </c>
      <c r="J13280" s="40" t="str">
        <f>HYPERLINK("https://stock.pstatic.net/stock-research/company/57/20250415_company_720332000.pdf","PDF")</f>
        <v>PDF</v>
      </c>
      <c r="K13280" s="12" t="s">
        <v>25228</v>
      </c>
      <c r="L13280" s="20">
        <v>0.31332082551594748</v>
      </c>
    </row>
    <row r="13281" spans="1:12" x14ac:dyDescent="0.45">
      <c r="A13281" s="12" t="s">
        <v>25213</v>
      </c>
      <c r="B13281" s="12" t="s">
        <v>577</v>
      </c>
      <c r="C13281" s="13" t="s">
        <v>578</v>
      </c>
      <c r="D13281" s="13" t="s">
        <v>57</v>
      </c>
      <c r="E13281" s="12" t="s">
        <v>35</v>
      </c>
      <c r="F13281" s="14">
        <v>330000</v>
      </c>
      <c r="G13281" s="14">
        <v>235000</v>
      </c>
      <c r="H13281" s="13" t="s">
        <v>25229</v>
      </c>
      <c r="I13281" s="40" t="s">
        <v>18</v>
      </c>
      <c r="J13281" s="40" t="str">
        <f>HYPERLINK("https://m.stock.naver.com/research/company/82017","PDF")</f>
        <v>PDF</v>
      </c>
      <c r="K13281" s="12" t="s">
        <v>25230</v>
      </c>
      <c r="L13281" s="20">
        <v>0.40425531914893609</v>
      </c>
    </row>
    <row r="13282" spans="1:12" x14ac:dyDescent="0.45">
      <c r="A13282" s="12" t="s">
        <v>25213</v>
      </c>
      <c r="B13282" s="12" t="s">
        <v>5395</v>
      </c>
      <c r="C13282" s="13" t="s">
        <v>5396</v>
      </c>
      <c r="D13282" s="13" t="s">
        <v>57</v>
      </c>
      <c r="E13282" s="12" t="s">
        <v>50</v>
      </c>
      <c r="F13282" s="13"/>
      <c r="G13282" s="14">
        <v>36000</v>
      </c>
      <c r="H13282" s="13" t="s">
        <v>25231</v>
      </c>
      <c r="I13282" s="40" t="s">
        <v>18</v>
      </c>
      <c r="J13282" s="40" t="str">
        <f>HYPERLINK("https://m.stock.naver.com/research/company/82016","PDF")</f>
        <v>PDF</v>
      </c>
      <c r="K13282" s="12" t="s">
        <v>25232</v>
      </c>
    </row>
    <row r="13283" spans="1:12" x14ac:dyDescent="0.45">
      <c r="A13283" s="12" t="s">
        <v>25213</v>
      </c>
      <c r="B13283" s="12" t="s">
        <v>3831</v>
      </c>
      <c r="C13283" s="13" t="s">
        <v>3832</v>
      </c>
      <c r="D13283" s="13" t="s">
        <v>57</v>
      </c>
      <c r="E13283" s="12" t="s">
        <v>35</v>
      </c>
      <c r="F13283" s="14">
        <v>58000</v>
      </c>
      <c r="G13283" s="14">
        <v>35300</v>
      </c>
      <c r="H13283" s="13" t="s">
        <v>25233</v>
      </c>
      <c r="I13283" s="40" t="s">
        <v>18</v>
      </c>
      <c r="J13283" s="40" t="str">
        <f>HYPERLINK("https://stock.pstatic.net/stock-research/company/1/20250415_company_45009000.pdf","PDF")</f>
        <v>PDF</v>
      </c>
      <c r="K13283" s="12" t="s">
        <v>25234</v>
      </c>
      <c r="L13283" s="20">
        <v>0.64305949008498586</v>
      </c>
    </row>
    <row r="13284" spans="1:12" x14ac:dyDescent="0.45">
      <c r="A13284" s="12" t="s">
        <v>25213</v>
      </c>
      <c r="B13284" s="12" t="s">
        <v>95</v>
      </c>
      <c r="C13284" s="13" t="s">
        <v>31</v>
      </c>
      <c r="D13284" s="13" t="s">
        <v>158</v>
      </c>
      <c r="E13284" s="12" t="s">
        <v>35</v>
      </c>
      <c r="F13284" s="14">
        <v>29500</v>
      </c>
      <c r="G13284" s="14">
        <v>19140</v>
      </c>
      <c r="H13284" s="13" t="s">
        <v>25235</v>
      </c>
      <c r="I13284" s="40" t="s">
        <v>18</v>
      </c>
      <c r="J13284" s="40" t="str">
        <f>HYPERLINK("https://stock.pstatic.net/stock-research/company/18/20250415_company_739061000.pdf","PDF")</f>
        <v>PDF</v>
      </c>
      <c r="K13284" s="12" t="s">
        <v>25236</v>
      </c>
      <c r="L13284" s="20">
        <v>0.54127481713688608</v>
      </c>
    </row>
    <row r="13285" spans="1:12" x14ac:dyDescent="0.45">
      <c r="A13285" s="12" t="s">
        <v>25213</v>
      </c>
      <c r="B13285" s="12" t="s">
        <v>72</v>
      </c>
      <c r="C13285" s="13" t="s">
        <v>73</v>
      </c>
      <c r="D13285" s="13" t="s">
        <v>158</v>
      </c>
      <c r="E13285" s="12" t="s">
        <v>35</v>
      </c>
      <c r="F13285" s="14">
        <v>180000</v>
      </c>
      <c r="G13285" s="14">
        <v>113700</v>
      </c>
      <c r="H13285" s="13" t="s">
        <v>25237</v>
      </c>
      <c r="I13285" s="40" t="s">
        <v>18</v>
      </c>
      <c r="J13285" s="40" t="str">
        <f>HYPERLINK("https://stock.pstatic.net/stock-research/company/1/20250415_company_538935000.pdf","PDF")</f>
        <v>PDF</v>
      </c>
      <c r="K13285" s="12" t="s">
        <v>25238</v>
      </c>
      <c r="L13285" s="20">
        <v>0.58311345646437995</v>
      </c>
    </row>
    <row r="13286" spans="1:12" x14ac:dyDescent="0.45">
      <c r="A13286" s="12" t="s">
        <v>25213</v>
      </c>
      <c r="B13286" s="12" t="s">
        <v>3204</v>
      </c>
      <c r="C13286" s="13" t="s">
        <v>3205</v>
      </c>
      <c r="D13286" s="13" t="s">
        <v>158</v>
      </c>
      <c r="E13286" s="12" t="s">
        <v>35</v>
      </c>
      <c r="F13286" s="14">
        <v>4300</v>
      </c>
      <c r="G13286" s="14">
        <v>3195</v>
      </c>
      <c r="H13286" s="13" t="s">
        <v>25239</v>
      </c>
      <c r="I13286" s="40" t="s">
        <v>18</v>
      </c>
      <c r="J13286" s="40" t="str">
        <f>HYPERLINK("https://stock.pstatic.net/stock-research/company/18/20250415_company_669482000.pdf","PDF")</f>
        <v>PDF</v>
      </c>
      <c r="K13286" s="12" t="s">
        <v>25240</v>
      </c>
      <c r="L13286" s="20">
        <v>0.34585289514866979</v>
      </c>
    </row>
    <row r="13287" spans="1:12" x14ac:dyDescent="0.45">
      <c r="A13287" s="12" t="s">
        <v>25213</v>
      </c>
      <c r="B13287" s="12" t="s">
        <v>2956</v>
      </c>
      <c r="C13287" s="13" t="s">
        <v>2957</v>
      </c>
      <c r="D13287" s="13" t="s">
        <v>158</v>
      </c>
      <c r="E13287" s="12" t="s">
        <v>35</v>
      </c>
      <c r="F13287" s="14">
        <v>24500</v>
      </c>
      <c r="G13287" s="14">
        <v>16350</v>
      </c>
      <c r="H13287" s="13" t="s">
        <v>25241</v>
      </c>
      <c r="I13287" s="40" t="s">
        <v>18</v>
      </c>
      <c r="J13287" s="40" t="str">
        <f>HYPERLINK("https://stock.pstatic.net/stock-research/company/18/20250415_company_31926000.pdf","PDF")</f>
        <v>PDF</v>
      </c>
      <c r="K13287" s="12" t="s">
        <v>25242</v>
      </c>
      <c r="L13287" s="20">
        <v>0.49847094801223241</v>
      </c>
    </row>
    <row r="13288" spans="1:12" x14ac:dyDescent="0.45">
      <c r="A13288" s="12" t="s">
        <v>25213</v>
      </c>
      <c r="B13288" s="12" t="s">
        <v>3349</v>
      </c>
      <c r="C13288" s="13" t="s">
        <v>7707</v>
      </c>
      <c r="D13288" s="13" t="s">
        <v>158</v>
      </c>
      <c r="E13288" s="12" t="s">
        <v>35</v>
      </c>
      <c r="F13288" s="14">
        <v>25000</v>
      </c>
      <c r="G13288" s="14">
        <v>21500</v>
      </c>
      <c r="H13288" s="13" t="s">
        <v>25243</v>
      </c>
      <c r="I13288" s="40" t="s">
        <v>18</v>
      </c>
      <c r="J13288" s="40" t="str">
        <f>HYPERLINK("https://stock.pstatic.net/stock-research/company/18/20250415_company_564275000.pdf","PDF")</f>
        <v>PDF</v>
      </c>
      <c r="K13288" s="12" t="s">
        <v>25244</v>
      </c>
      <c r="L13288" s="20">
        <v>0.16279069767441859</v>
      </c>
    </row>
    <row r="13289" spans="1:12" x14ac:dyDescent="0.45">
      <c r="A13289" s="12" t="s">
        <v>25213</v>
      </c>
      <c r="B13289" s="12" t="s">
        <v>2982</v>
      </c>
      <c r="C13289" s="13" t="s">
        <v>2983</v>
      </c>
      <c r="D13289" s="13" t="s">
        <v>158</v>
      </c>
      <c r="E13289" s="12" t="s">
        <v>35</v>
      </c>
      <c r="F13289" s="14">
        <v>51000</v>
      </c>
      <c r="G13289" s="14">
        <v>40150</v>
      </c>
      <c r="H13289" s="13" t="s">
        <v>25245</v>
      </c>
      <c r="I13289" s="40" t="s">
        <v>18</v>
      </c>
      <c r="J13289" s="40" t="str">
        <f>HYPERLINK("https://stock.pstatic.net/stock-research/company/1/20250415_company_679224000.pdf","PDF")</f>
        <v>PDF</v>
      </c>
      <c r="K13289" s="12" t="s">
        <v>25246</v>
      </c>
      <c r="L13289" s="20">
        <v>0.27023661270236621</v>
      </c>
    </row>
    <row r="13290" spans="1:12" x14ac:dyDescent="0.45">
      <c r="A13290" s="12" t="s">
        <v>25213</v>
      </c>
      <c r="B13290" s="12" t="s">
        <v>3164</v>
      </c>
      <c r="C13290" s="13" t="s">
        <v>3165</v>
      </c>
      <c r="D13290" s="13" t="s">
        <v>158</v>
      </c>
      <c r="E13290" s="12" t="s">
        <v>35</v>
      </c>
      <c r="F13290" s="14">
        <v>47000</v>
      </c>
      <c r="G13290" s="14">
        <v>38600</v>
      </c>
      <c r="H13290" s="13" t="s">
        <v>25247</v>
      </c>
      <c r="I13290" s="40" t="s">
        <v>18</v>
      </c>
      <c r="J13290" s="40" t="str">
        <f>HYPERLINK("https://stock.pstatic.net/stock-research/company/1/20250415_company_111314000.pdf","PDF")</f>
        <v>PDF</v>
      </c>
      <c r="K13290" s="12" t="s">
        <v>25248</v>
      </c>
      <c r="L13290" s="20">
        <v>0.2176165803108808</v>
      </c>
    </row>
    <row r="13291" spans="1:12" x14ac:dyDescent="0.45">
      <c r="A13291" s="12" t="s">
        <v>25213</v>
      </c>
      <c r="B13291" s="12" t="s">
        <v>764</v>
      </c>
      <c r="C13291" s="13" t="s">
        <v>765</v>
      </c>
      <c r="D13291" s="13" t="s">
        <v>158</v>
      </c>
      <c r="E13291" s="12" t="s">
        <v>35</v>
      </c>
      <c r="F13291" s="14">
        <v>42000</v>
      </c>
      <c r="G13291" s="14">
        <v>32100</v>
      </c>
      <c r="H13291" s="13" t="s">
        <v>25249</v>
      </c>
      <c r="I13291" s="40" t="s">
        <v>18</v>
      </c>
      <c r="J13291" s="40" t="str">
        <f>HYPERLINK("https://stock.pstatic.net/stock-research/company/18/20250415_company_866412000.pdf","PDF")</f>
        <v>PDF</v>
      </c>
      <c r="K13291" s="12" t="s">
        <v>25250</v>
      </c>
      <c r="L13291" s="20">
        <v>0.30841121495327101</v>
      </c>
    </row>
    <row r="13292" spans="1:12" x14ac:dyDescent="0.45">
      <c r="A13292" s="12" t="s">
        <v>25213</v>
      </c>
      <c r="B13292" s="12" t="s">
        <v>5705</v>
      </c>
      <c r="C13292" s="13" t="s">
        <v>5706</v>
      </c>
      <c r="D13292" s="13" t="s">
        <v>158</v>
      </c>
      <c r="E13292" s="12" t="s">
        <v>35</v>
      </c>
      <c r="F13292" s="14">
        <v>125000</v>
      </c>
      <c r="G13292" s="14">
        <v>90000</v>
      </c>
      <c r="H13292" s="13" t="s">
        <v>25251</v>
      </c>
      <c r="I13292" s="40" t="s">
        <v>18</v>
      </c>
      <c r="J13292" s="40" t="str">
        <f>HYPERLINK("https://stock.pstatic.net/stock-research/company/18/20250415_company_458419000.pdf","PDF")</f>
        <v>PDF</v>
      </c>
      <c r="K13292" s="12" t="s">
        <v>25252</v>
      </c>
      <c r="L13292" s="20">
        <v>0.3888888888888889</v>
      </c>
    </row>
    <row r="13293" spans="1:12" x14ac:dyDescent="0.45">
      <c r="A13293" s="12" t="s">
        <v>25213</v>
      </c>
      <c r="B13293" s="12" t="s">
        <v>5787</v>
      </c>
      <c r="C13293" s="13" t="s">
        <v>5788</v>
      </c>
      <c r="D13293" s="13" t="s">
        <v>158</v>
      </c>
      <c r="E13293" s="12" t="s">
        <v>35</v>
      </c>
      <c r="F13293" s="14">
        <v>21000</v>
      </c>
      <c r="G13293" s="14">
        <v>14170</v>
      </c>
      <c r="H13293" s="13" t="s">
        <v>25253</v>
      </c>
      <c r="I13293" s="40" t="s">
        <v>18</v>
      </c>
      <c r="J13293" s="40" t="str">
        <f>HYPERLINK("https://stock.pstatic.net/stock-research/company/1/20250415_company_223218000.pdf","PDF")</f>
        <v>PDF</v>
      </c>
      <c r="K13293" s="12" t="s">
        <v>25254</v>
      </c>
      <c r="L13293" s="20">
        <v>0.48200423429781231</v>
      </c>
    </row>
    <row r="13294" spans="1:12" x14ac:dyDescent="0.45">
      <c r="A13294" s="12" t="s">
        <v>25213</v>
      </c>
      <c r="B13294" s="12" t="s">
        <v>1930</v>
      </c>
      <c r="C13294" s="13" t="s">
        <v>1931</v>
      </c>
      <c r="D13294" s="13" t="s">
        <v>158</v>
      </c>
      <c r="E13294" s="12" t="s">
        <v>35</v>
      </c>
      <c r="F13294" s="14">
        <v>370000</v>
      </c>
      <c r="G13294" s="14">
        <v>232000</v>
      </c>
      <c r="H13294" s="13" t="s">
        <v>25255</v>
      </c>
      <c r="I13294" s="40" t="s">
        <v>18</v>
      </c>
      <c r="J13294" s="40" t="str">
        <f>HYPERLINK("https://stock.pstatic.net/stock-research/company/18/20250415_company_997686000.pdf","PDF")</f>
        <v>PDF</v>
      </c>
      <c r="K13294" s="12" t="s">
        <v>25256</v>
      </c>
      <c r="L13294" s="20">
        <v>0.59482758620689657</v>
      </c>
    </row>
    <row r="13295" spans="1:12" x14ac:dyDescent="0.45">
      <c r="A13295" s="12" t="s">
        <v>25213</v>
      </c>
      <c r="B13295" s="12" t="s">
        <v>2187</v>
      </c>
      <c r="C13295" s="13" t="s">
        <v>2188</v>
      </c>
      <c r="D13295" s="13" t="s">
        <v>158</v>
      </c>
      <c r="E13295" s="12" t="s">
        <v>35</v>
      </c>
      <c r="F13295" s="14">
        <v>150000</v>
      </c>
      <c r="G13295" s="14">
        <v>113900</v>
      </c>
      <c r="H13295" s="13" t="s">
        <v>25257</v>
      </c>
      <c r="I13295" s="40" t="s">
        <v>18</v>
      </c>
      <c r="J13295" s="40" t="str">
        <f>HYPERLINK("https://stock.pstatic.net/stock-research/company/1/20250415_company_207442000.pdf","PDF")</f>
        <v>PDF</v>
      </c>
      <c r="K13295" s="12" t="s">
        <v>25258</v>
      </c>
      <c r="L13295" s="20">
        <v>0.31694468832309042</v>
      </c>
    </row>
    <row r="13296" spans="1:12" x14ac:dyDescent="0.45">
      <c r="A13296" s="12" t="s">
        <v>25213</v>
      </c>
      <c r="B13296" s="12" t="s">
        <v>1120</v>
      </c>
      <c r="C13296" s="13" t="s">
        <v>1121</v>
      </c>
      <c r="D13296" s="13" t="s">
        <v>158</v>
      </c>
      <c r="E13296" s="12" t="s">
        <v>35</v>
      </c>
      <c r="F13296" s="14">
        <v>149000</v>
      </c>
      <c r="G13296" s="14">
        <v>115200</v>
      </c>
      <c r="H13296" s="13" t="s">
        <v>25259</v>
      </c>
      <c r="I13296" s="40" t="s">
        <v>18</v>
      </c>
      <c r="J13296" s="40" t="str">
        <f>HYPERLINK("https://stock.pstatic.net/stock-research/company/18/20250415_company_571390000.pdf","PDF")</f>
        <v>PDF</v>
      </c>
      <c r="K13296" s="12" t="s">
        <v>25260</v>
      </c>
      <c r="L13296" s="20">
        <v>0.29340277777777779</v>
      </c>
    </row>
    <row r="13297" spans="1:12" x14ac:dyDescent="0.45">
      <c r="A13297" s="12" t="s">
        <v>25213</v>
      </c>
      <c r="B13297" s="12" t="s">
        <v>1308</v>
      </c>
      <c r="C13297" s="13" t="s">
        <v>1309</v>
      </c>
      <c r="D13297" s="13" t="s">
        <v>158</v>
      </c>
      <c r="E13297" s="12" t="s">
        <v>35</v>
      </c>
      <c r="F13297" s="14">
        <v>490000</v>
      </c>
      <c r="G13297" s="14">
        <v>388500</v>
      </c>
      <c r="H13297" s="13" t="s">
        <v>25261</v>
      </c>
      <c r="I13297" s="40" t="s">
        <v>18</v>
      </c>
      <c r="J13297" s="40" t="str">
        <f>HYPERLINK("https://stock.pstatic.net/stock-research/company/1/20250415_company_887714000.pdf","PDF")</f>
        <v>PDF</v>
      </c>
      <c r="K13297" s="12" t="s">
        <v>25262</v>
      </c>
      <c r="L13297" s="20">
        <v>0.26126126126126131</v>
      </c>
    </row>
    <row r="13298" spans="1:12" x14ac:dyDescent="0.45">
      <c r="A13298" s="12" t="s">
        <v>25213</v>
      </c>
      <c r="B13298" s="12" t="s">
        <v>1686</v>
      </c>
      <c r="C13298" s="13" t="s">
        <v>1687</v>
      </c>
      <c r="D13298" s="13" t="s">
        <v>158</v>
      </c>
      <c r="E13298" s="12" t="s">
        <v>35</v>
      </c>
      <c r="F13298" s="14">
        <v>1100000</v>
      </c>
      <c r="G13298" s="14">
        <v>920000</v>
      </c>
      <c r="H13298" s="13" t="s">
        <v>25263</v>
      </c>
      <c r="I13298" s="40" t="s">
        <v>18</v>
      </c>
      <c r="J13298" s="40" t="str">
        <f>HYPERLINK("https://stock.pstatic.net/stock-research/company/1/20250415_company_304687000.pdf","PDF")</f>
        <v>PDF</v>
      </c>
      <c r="K13298" s="12" t="s">
        <v>25264</v>
      </c>
      <c r="L13298" s="20">
        <v>0.19565217391304349</v>
      </c>
    </row>
    <row r="13299" spans="1:12" x14ac:dyDescent="0.45">
      <c r="A13299" s="12" t="s">
        <v>25213</v>
      </c>
      <c r="B13299" s="12" t="s">
        <v>691</v>
      </c>
      <c r="C13299" s="13" t="s">
        <v>20</v>
      </c>
      <c r="D13299" s="13" t="s">
        <v>179</v>
      </c>
      <c r="E13299" s="12" t="s">
        <v>16</v>
      </c>
      <c r="F13299" s="14">
        <v>230000</v>
      </c>
      <c r="G13299" s="14">
        <v>163500</v>
      </c>
      <c r="H13299" s="13" t="s">
        <v>25265</v>
      </c>
      <c r="I13299" s="40" t="s">
        <v>18</v>
      </c>
      <c r="J13299" s="40" t="str">
        <f>HYPERLINK("https://stock.pstatic.net/stock-research/company/31/20250415_company_875884000.pdf","PDF")</f>
        <v>PDF</v>
      </c>
      <c r="K13299" s="12" t="s">
        <v>25266</v>
      </c>
      <c r="L13299" s="20">
        <v>0.40672782874617741</v>
      </c>
    </row>
    <row r="13300" spans="1:12" x14ac:dyDescent="0.45">
      <c r="A13300" s="12" t="s">
        <v>25213</v>
      </c>
      <c r="B13300" s="12" t="s">
        <v>3548</v>
      </c>
      <c r="C13300" s="13" t="s">
        <v>3549</v>
      </c>
      <c r="D13300" s="13" t="s">
        <v>23</v>
      </c>
      <c r="E13300" s="12" t="s">
        <v>16</v>
      </c>
      <c r="F13300" s="14">
        <v>55000</v>
      </c>
      <c r="G13300" s="14">
        <v>41000</v>
      </c>
      <c r="H13300" s="13" t="s">
        <v>25267</v>
      </c>
      <c r="I13300" s="40" t="s">
        <v>18</v>
      </c>
      <c r="J13300" s="40" t="str">
        <f>HYPERLINK("https://m.stock.naver.com/research/company/81998","PDF")</f>
        <v>PDF</v>
      </c>
      <c r="K13300" s="12" t="s">
        <v>25268</v>
      </c>
      <c r="L13300" s="20">
        <v>0.34146341463414642</v>
      </c>
    </row>
    <row r="13301" spans="1:12" x14ac:dyDescent="0.45">
      <c r="A13301" s="12" t="s">
        <v>25213</v>
      </c>
      <c r="B13301" s="12" t="s">
        <v>10923</v>
      </c>
      <c r="C13301" s="13" t="s">
        <v>10924</v>
      </c>
      <c r="D13301" s="13" t="s">
        <v>92</v>
      </c>
      <c r="E13301" s="12" t="s">
        <v>50</v>
      </c>
      <c r="F13301" s="13"/>
      <c r="G13301" s="14">
        <v>13150</v>
      </c>
      <c r="H13301" s="13" t="s">
        <v>25269</v>
      </c>
      <c r="I13301" s="40" t="s">
        <v>18</v>
      </c>
      <c r="J13301" s="40" t="str">
        <f>HYPERLINK("https://m.stock.naver.com/research/company/81996","PDF")</f>
        <v>PDF</v>
      </c>
      <c r="K13301" s="12" t="s">
        <v>25270</v>
      </c>
    </row>
    <row r="13302" spans="1:12" x14ac:dyDescent="0.45">
      <c r="A13302" s="12" t="s">
        <v>25213</v>
      </c>
      <c r="B13302" s="12" t="s">
        <v>916</v>
      </c>
      <c r="C13302" s="13" t="s">
        <v>917</v>
      </c>
      <c r="D13302" s="13" t="s">
        <v>179</v>
      </c>
      <c r="E13302" s="12" t="s">
        <v>16</v>
      </c>
      <c r="F13302" s="14">
        <v>53000</v>
      </c>
      <c r="G13302" s="14">
        <v>39000</v>
      </c>
      <c r="H13302" s="13" t="s">
        <v>25271</v>
      </c>
      <c r="I13302" s="40" t="s">
        <v>18</v>
      </c>
      <c r="J13302" s="40" t="str">
        <f>HYPERLINK("https://stock.pstatic.net/stock-research/company/31/20250415_company_510055000.pdf","PDF")</f>
        <v>PDF</v>
      </c>
      <c r="K13302" s="12" t="s">
        <v>25272</v>
      </c>
      <c r="L13302" s="20">
        <v>0.35897435897435898</v>
      </c>
    </row>
    <row r="13303" spans="1:12" x14ac:dyDescent="0.45">
      <c r="A13303" s="12" t="s">
        <v>25213</v>
      </c>
      <c r="B13303" s="12" t="s">
        <v>1477</v>
      </c>
      <c r="C13303" s="13" t="s">
        <v>1478</v>
      </c>
      <c r="D13303" s="13" t="s">
        <v>23</v>
      </c>
      <c r="E13303" s="12" t="s">
        <v>16</v>
      </c>
      <c r="F13303" s="14">
        <v>106000</v>
      </c>
      <c r="G13303" s="14">
        <v>73000</v>
      </c>
      <c r="H13303" s="13" t="s">
        <v>25273</v>
      </c>
      <c r="I13303" s="40" t="s">
        <v>18</v>
      </c>
      <c r="J13303" s="40" t="str">
        <f>HYPERLINK("https://stock.pstatic.net/stock-research/company/21/20250415_company_83709000.pdf","PDF")</f>
        <v>PDF</v>
      </c>
      <c r="K13303" s="12" t="s">
        <v>25274</v>
      </c>
      <c r="L13303" s="20">
        <v>0.45205479452054792</v>
      </c>
    </row>
    <row r="13304" spans="1:12" x14ac:dyDescent="0.45">
      <c r="A13304" s="12" t="s">
        <v>25213</v>
      </c>
      <c r="B13304" s="12" t="s">
        <v>3154</v>
      </c>
      <c r="C13304" s="13" t="s">
        <v>3155</v>
      </c>
      <c r="D13304" s="13" t="s">
        <v>23</v>
      </c>
      <c r="E13304" s="12" t="s">
        <v>16</v>
      </c>
      <c r="F13304" s="14">
        <v>7000</v>
      </c>
      <c r="G13304" s="14">
        <v>4305</v>
      </c>
      <c r="H13304" s="13" t="s">
        <v>25275</v>
      </c>
      <c r="I13304" s="40" t="s">
        <v>18</v>
      </c>
      <c r="J13304" s="40" t="str">
        <f>HYPERLINK("https://m.stock.naver.com/research/company/81993","PDF")</f>
        <v>PDF</v>
      </c>
      <c r="K13304" s="12" t="s">
        <v>25276</v>
      </c>
      <c r="L13304" s="20">
        <v>0.62601626016260159</v>
      </c>
    </row>
    <row r="13305" spans="1:12" x14ac:dyDescent="0.45">
      <c r="A13305" s="12" t="s">
        <v>25213</v>
      </c>
      <c r="B13305" s="12" t="s">
        <v>1036</v>
      </c>
      <c r="C13305" s="13" t="s">
        <v>1037</v>
      </c>
      <c r="D13305" s="13" t="s">
        <v>92</v>
      </c>
      <c r="E13305" s="12" t="s">
        <v>159</v>
      </c>
      <c r="F13305" s="14">
        <v>13000</v>
      </c>
      <c r="G13305" s="14">
        <v>13300</v>
      </c>
      <c r="H13305" s="13" t="s">
        <v>25277</v>
      </c>
      <c r="I13305" s="40" t="s">
        <v>18</v>
      </c>
      <c r="J13305" s="40" t="str">
        <f>HYPERLINK("https://m.stock.naver.com/research/company/81992","PDF")</f>
        <v>PDF</v>
      </c>
      <c r="K13305" s="12" t="s">
        <v>25278</v>
      </c>
      <c r="L13305" s="20">
        <v>-2.2556390977443611E-2</v>
      </c>
    </row>
    <row r="13306" spans="1:12" x14ac:dyDescent="0.45">
      <c r="A13306" s="12" t="s">
        <v>25213</v>
      </c>
      <c r="B13306" s="12" t="s">
        <v>1936</v>
      </c>
      <c r="C13306" s="13" t="s">
        <v>1937</v>
      </c>
      <c r="D13306" s="13" t="s">
        <v>23</v>
      </c>
      <c r="E13306" s="12" t="s">
        <v>16</v>
      </c>
      <c r="F13306" s="14">
        <v>7800</v>
      </c>
      <c r="G13306" s="14">
        <v>5100</v>
      </c>
      <c r="H13306" s="13" t="s">
        <v>25279</v>
      </c>
      <c r="I13306" s="40" t="s">
        <v>18</v>
      </c>
      <c r="J13306" s="40" t="str">
        <f>HYPERLINK("https://m.stock.naver.com/research/company/81991","PDF")</f>
        <v>PDF</v>
      </c>
      <c r="K13306" s="12" t="s">
        <v>25280</v>
      </c>
      <c r="L13306" s="20">
        <v>0.52941176470588236</v>
      </c>
    </row>
    <row r="13307" spans="1:12" x14ac:dyDescent="0.45">
      <c r="A13307" s="12" t="s">
        <v>25213</v>
      </c>
      <c r="B13307" s="12" t="s">
        <v>752</v>
      </c>
      <c r="C13307" s="13" t="s">
        <v>753</v>
      </c>
      <c r="D13307" s="13" t="s">
        <v>34</v>
      </c>
      <c r="E13307" s="12" t="s">
        <v>35</v>
      </c>
      <c r="F13307" s="14">
        <v>64000</v>
      </c>
      <c r="G13307" s="14">
        <v>48900</v>
      </c>
      <c r="H13307" s="13" t="s">
        <v>25281</v>
      </c>
      <c r="I13307" s="40" t="s">
        <v>18</v>
      </c>
      <c r="J13307" s="40" t="str">
        <f>HYPERLINK("https://m.stock.naver.com/research/company/81990","PDF")</f>
        <v>PDF</v>
      </c>
      <c r="K13307" s="12" t="s">
        <v>25282</v>
      </c>
      <c r="L13307" s="20">
        <v>0.30879345603271979</v>
      </c>
    </row>
    <row r="13308" spans="1:12" x14ac:dyDescent="0.45">
      <c r="A13308" s="12" t="s">
        <v>25213</v>
      </c>
      <c r="B13308" s="12" t="s">
        <v>10531</v>
      </c>
      <c r="C13308" s="13" t="s">
        <v>10532</v>
      </c>
      <c r="D13308" s="13" t="s">
        <v>23</v>
      </c>
      <c r="E13308" s="12" t="s">
        <v>50</v>
      </c>
      <c r="F13308" s="14">
        <v>14000</v>
      </c>
      <c r="G13308" s="14">
        <v>13010</v>
      </c>
      <c r="H13308" s="13" t="s">
        <v>25283</v>
      </c>
      <c r="I13308" s="40" t="s">
        <v>18</v>
      </c>
      <c r="J13308" s="40" t="str">
        <f>HYPERLINK("https://m.stock.naver.com/research/company/81989","PDF")</f>
        <v>PDF</v>
      </c>
      <c r="K13308" s="12" t="s">
        <v>25284</v>
      </c>
      <c r="L13308" s="20">
        <v>7.6095311299000767E-2</v>
      </c>
    </row>
    <row r="13309" spans="1:12" x14ac:dyDescent="0.45">
      <c r="A13309" s="12" t="s">
        <v>25213</v>
      </c>
      <c r="B13309" s="12" t="s">
        <v>2369</v>
      </c>
      <c r="C13309" s="13" t="s">
        <v>2370</v>
      </c>
      <c r="D13309" s="13" t="s">
        <v>23</v>
      </c>
      <c r="E13309" s="12" t="s">
        <v>16</v>
      </c>
      <c r="F13309" s="14">
        <v>260000</v>
      </c>
      <c r="G13309" s="14">
        <v>178400</v>
      </c>
      <c r="H13309" s="13" t="s">
        <v>25285</v>
      </c>
      <c r="I13309" s="40" t="s">
        <v>18</v>
      </c>
      <c r="J13309" s="40" t="str">
        <f>HYPERLINK("https://m.stock.naver.com/research/company/81988","PDF")</f>
        <v>PDF</v>
      </c>
      <c r="K13309" s="12" t="s">
        <v>25286</v>
      </c>
      <c r="L13309" s="20">
        <v>0.45739910313901339</v>
      </c>
    </row>
    <row r="13310" spans="1:12" x14ac:dyDescent="0.45">
      <c r="A13310" s="12" t="s">
        <v>25213</v>
      </c>
      <c r="B13310" s="12" t="s">
        <v>744</v>
      </c>
      <c r="C13310" s="13" t="s">
        <v>745</v>
      </c>
      <c r="D13310" s="13" t="s">
        <v>179</v>
      </c>
      <c r="E13310" s="12" t="s">
        <v>16</v>
      </c>
      <c r="F13310" s="14">
        <v>19000</v>
      </c>
      <c r="G13310" s="14">
        <v>14450</v>
      </c>
      <c r="H13310" s="13" t="s">
        <v>25287</v>
      </c>
      <c r="I13310" s="40" t="s">
        <v>18</v>
      </c>
      <c r="J13310" s="40" t="str">
        <f>HYPERLINK("https://m.stock.naver.com/research/company/81987","PDF")</f>
        <v>PDF</v>
      </c>
      <c r="K13310" s="12" t="s">
        <v>25288</v>
      </c>
      <c r="L13310" s="20">
        <v>0.31487889273356401</v>
      </c>
    </row>
    <row r="13311" spans="1:12" x14ac:dyDescent="0.45">
      <c r="A13311" s="12" t="s">
        <v>25213</v>
      </c>
      <c r="B13311" s="12" t="s">
        <v>2758</v>
      </c>
      <c r="C13311" s="13" t="s">
        <v>2759</v>
      </c>
      <c r="D13311" s="13" t="s">
        <v>92</v>
      </c>
      <c r="E13311" s="12" t="s">
        <v>35</v>
      </c>
      <c r="F13311" s="14">
        <v>390000</v>
      </c>
      <c r="G13311" s="14">
        <v>254500</v>
      </c>
      <c r="H13311" s="13" t="s">
        <v>25289</v>
      </c>
      <c r="I13311" s="40" t="s">
        <v>18</v>
      </c>
      <c r="J13311" s="40" t="str">
        <f>HYPERLINK("https://m.stock.naver.com/research/company/81986","PDF")</f>
        <v>PDF</v>
      </c>
      <c r="K13311" s="12" t="s">
        <v>25290</v>
      </c>
      <c r="L13311" s="20">
        <v>0.53241650294695486</v>
      </c>
    </row>
    <row r="13312" spans="1:12" x14ac:dyDescent="0.45">
      <c r="A13312" s="12" t="s">
        <v>25213</v>
      </c>
      <c r="B13312" s="12" t="s">
        <v>744</v>
      </c>
      <c r="C13312" s="13" t="s">
        <v>745</v>
      </c>
      <c r="D13312" s="13" t="s">
        <v>53</v>
      </c>
      <c r="E13312" s="12" t="s">
        <v>16</v>
      </c>
      <c r="F13312" s="14">
        <v>18000</v>
      </c>
      <c r="G13312" s="14">
        <v>14450</v>
      </c>
      <c r="H13312" s="13" t="s">
        <v>25291</v>
      </c>
      <c r="I13312" s="40" t="s">
        <v>18</v>
      </c>
      <c r="J13312" s="40" t="str">
        <f>HYPERLINK("https://m.stock.naver.com/research/company/81985","PDF")</f>
        <v>PDF</v>
      </c>
      <c r="K13312" s="12" t="s">
        <v>25292</v>
      </c>
      <c r="L13312" s="20">
        <v>0.24567474048442911</v>
      </c>
    </row>
    <row r="13313" spans="1:12" x14ac:dyDescent="0.45">
      <c r="A13313" s="12" t="s">
        <v>25213</v>
      </c>
      <c r="B13313" s="12" t="s">
        <v>3138</v>
      </c>
      <c r="C13313" s="13" t="s">
        <v>3139</v>
      </c>
      <c r="D13313" s="13" t="s">
        <v>53</v>
      </c>
      <c r="E13313" s="12" t="s">
        <v>16</v>
      </c>
      <c r="F13313" s="14">
        <v>11000</v>
      </c>
      <c r="G13313" s="14">
        <v>7650</v>
      </c>
      <c r="H13313" s="13" t="s">
        <v>25293</v>
      </c>
      <c r="I13313" s="40" t="s">
        <v>18</v>
      </c>
      <c r="J13313" s="40" t="str">
        <f>HYPERLINK("https://m.stock.naver.com/research/company/81984","PDF")</f>
        <v>PDF</v>
      </c>
      <c r="K13313" s="12" t="s">
        <v>25294</v>
      </c>
      <c r="L13313" s="20">
        <v>0.43790849673202609</v>
      </c>
    </row>
    <row r="13314" spans="1:12" x14ac:dyDescent="0.45">
      <c r="A13314" s="12" t="s">
        <v>25213</v>
      </c>
      <c r="B13314" s="12" t="s">
        <v>691</v>
      </c>
      <c r="C13314" s="13" t="s">
        <v>20</v>
      </c>
      <c r="D13314" s="13" t="s">
        <v>44</v>
      </c>
      <c r="E13314" s="12" t="s">
        <v>35</v>
      </c>
      <c r="F13314" s="14">
        <v>230000</v>
      </c>
      <c r="G13314" s="14">
        <v>163500</v>
      </c>
      <c r="H13314" s="13" t="s">
        <v>25295</v>
      </c>
      <c r="I13314" s="40" t="s">
        <v>18</v>
      </c>
      <c r="J13314" s="40" t="str">
        <f>HYPERLINK("https://m.stock.naver.com/research/company/81983","PDF")</f>
        <v>PDF</v>
      </c>
      <c r="K13314" s="12" t="s">
        <v>25296</v>
      </c>
      <c r="L13314" s="20">
        <v>0.40672782874617741</v>
      </c>
    </row>
    <row r="13315" spans="1:12" x14ac:dyDescent="0.45">
      <c r="A13315" s="12" t="s">
        <v>25213</v>
      </c>
      <c r="B13315" s="12" t="s">
        <v>856</v>
      </c>
      <c r="C13315" s="13" t="s">
        <v>857</v>
      </c>
      <c r="D13315" s="13" t="s">
        <v>44</v>
      </c>
      <c r="E13315" s="12" t="s">
        <v>35</v>
      </c>
      <c r="F13315" s="14">
        <v>200000</v>
      </c>
      <c r="G13315" s="14">
        <v>132300</v>
      </c>
      <c r="H13315" s="13" t="s">
        <v>25297</v>
      </c>
      <c r="I13315" s="40" t="s">
        <v>18</v>
      </c>
      <c r="J13315" s="40" t="str">
        <f>HYPERLINK("https://m.stock.naver.com/research/company/81982","PDF")</f>
        <v>PDF</v>
      </c>
      <c r="K13315" s="12" t="s">
        <v>25298</v>
      </c>
      <c r="L13315" s="20">
        <v>0.51171579743008311</v>
      </c>
    </row>
    <row r="13316" spans="1:12" x14ac:dyDescent="0.45">
      <c r="A13316" s="12" t="s">
        <v>25213</v>
      </c>
      <c r="B13316" s="12" t="s">
        <v>3296</v>
      </c>
      <c r="C13316" s="13" t="s">
        <v>3297</v>
      </c>
      <c r="D13316" s="13" t="s">
        <v>44</v>
      </c>
      <c r="E13316" s="12" t="s">
        <v>35</v>
      </c>
      <c r="F13316" s="14">
        <v>52000</v>
      </c>
      <c r="G13316" s="14">
        <v>37000</v>
      </c>
      <c r="H13316" s="13" t="s">
        <v>25299</v>
      </c>
      <c r="I13316" s="40" t="s">
        <v>18</v>
      </c>
      <c r="J13316" s="40" t="str">
        <f>HYPERLINK("https://m.stock.naver.com/research/company/81981","PDF")</f>
        <v>PDF</v>
      </c>
      <c r="K13316" s="12" t="s">
        <v>25300</v>
      </c>
      <c r="L13316" s="20">
        <v>0.40540540540540537</v>
      </c>
    </row>
    <row r="13317" spans="1:12" x14ac:dyDescent="0.45">
      <c r="A13317" s="12" t="s">
        <v>25213</v>
      </c>
      <c r="B13317" s="12" t="s">
        <v>768</v>
      </c>
      <c r="C13317" s="13" t="s">
        <v>769</v>
      </c>
      <c r="D13317" s="13" t="s">
        <v>44</v>
      </c>
      <c r="E13317" s="12" t="s">
        <v>35</v>
      </c>
      <c r="F13317" s="14">
        <v>220000</v>
      </c>
      <c r="G13317" s="14">
        <v>164600</v>
      </c>
      <c r="H13317" s="13" t="s">
        <v>25301</v>
      </c>
      <c r="I13317" s="40" t="s">
        <v>18</v>
      </c>
      <c r="J13317" s="40" t="str">
        <f>HYPERLINK("https://stock.pstatic.net/stock-research/company/39/20250415_company_204337000.pdf","PDF")</f>
        <v>PDF</v>
      </c>
      <c r="K13317" s="12" t="s">
        <v>25302</v>
      </c>
      <c r="L13317" s="20">
        <v>0.33657351154313492</v>
      </c>
    </row>
    <row r="13318" spans="1:12" x14ac:dyDescent="0.45">
      <c r="A13318" s="12" t="s">
        <v>25213</v>
      </c>
      <c r="B13318" s="12" t="s">
        <v>756</v>
      </c>
      <c r="C13318" s="13" t="s">
        <v>757</v>
      </c>
      <c r="D13318" s="13" t="s">
        <v>44</v>
      </c>
      <c r="E13318" s="12" t="s">
        <v>35</v>
      </c>
      <c r="F13318" s="14">
        <v>90000</v>
      </c>
      <c r="G13318" s="14">
        <v>73000</v>
      </c>
      <c r="H13318" s="13" t="s">
        <v>25303</v>
      </c>
      <c r="I13318" s="40" t="s">
        <v>18</v>
      </c>
      <c r="J13318" s="40" t="str">
        <f>HYPERLINK("https://stock.pstatic.net/stock-research/company/39/20250415_company_861482000.pdf","PDF")</f>
        <v>PDF</v>
      </c>
      <c r="K13318" s="12" t="s">
        <v>25304</v>
      </c>
      <c r="L13318" s="20">
        <v>0.23287671232876711</v>
      </c>
    </row>
    <row r="13319" spans="1:12" x14ac:dyDescent="0.45">
      <c r="A13319" s="12" t="s">
        <v>25213</v>
      </c>
      <c r="B13319" s="12" t="s">
        <v>1241</v>
      </c>
      <c r="C13319" s="13" t="s">
        <v>1242</v>
      </c>
      <c r="D13319" s="13" t="s">
        <v>124</v>
      </c>
      <c r="E13319" s="12" t="s">
        <v>50</v>
      </c>
      <c r="F13319" s="13"/>
      <c r="G13319" s="13"/>
      <c r="H13319" s="13" t="s">
        <v>25305</v>
      </c>
      <c r="I13319" s="40" t="s">
        <v>18</v>
      </c>
      <c r="J13319" s="40" t="str">
        <f>HYPERLINK("https://stock.pstatic.net/stock-research/company/1/20250415_company_228135000.pdf","PDF")</f>
        <v>PDF</v>
      </c>
      <c r="K13319" s="12" t="s">
        <v>25306</v>
      </c>
    </row>
    <row r="13320" spans="1:12" x14ac:dyDescent="0.45">
      <c r="A13320" s="12" t="s">
        <v>25213</v>
      </c>
      <c r="B13320" s="12" t="s">
        <v>1871</v>
      </c>
      <c r="C13320" s="13" t="s">
        <v>1872</v>
      </c>
      <c r="D13320" s="13" t="s">
        <v>124</v>
      </c>
      <c r="E13320" s="12" t="s">
        <v>50</v>
      </c>
      <c r="F13320" s="13"/>
      <c r="G13320" s="13"/>
      <c r="H13320" s="13" t="s">
        <v>25307</v>
      </c>
      <c r="I13320" s="40" t="s">
        <v>18</v>
      </c>
      <c r="J13320" s="40" t="str">
        <f>HYPERLINK("https://stock.pstatic.net/stock-research/company/74/20250415_company_290101000.pdf","PDF")</f>
        <v>PDF</v>
      </c>
      <c r="K13320" s="12" t="s">
        <v>25308</v>
      </c>
    </row>
    <row r="13321" spans="1:12" x14ac:dyDescent="0.45">
      <c r="A13321" s="12" t="s">
        <v>25309</v>
      </c>
      <c r="B13321" s="12" t="s">
        <v>430</v>
      </c>
      <c r="C13321" s="13" t="s">
        <v>431</v>
      </c>
      <c r="D13321" s="13" t="s">
        <v>276</v>
      </c>
      <c r="E13321" s="12" t="s">
        <v>16</v>
      </c>
      <c r="F13321" s="14">
        <v>40000</v>
      </c>
      <c r="G13321" s="14">
        <v>27400</v>
      </c>
      <c r="H13321" s="13" t="s">
        <v>25310</v>
      </c>
      <c r="I13321" s="40" t="s">
        <v>18</v>
      </c>
      <c r="J13321" s="40" t="str">
        <f>HYPERLINK("https://stock.pstatic.net/stock-research/company/66/20250414_company_720417000.pdf","PDF")</f>
        <v>PDF</v>
      </c>
      <c r="K13321" s="12" t="s">
        <v>25311</v>
      </c>
      <c r="L13321" s="20">
        <v>0.45985401459854008</v>
      </c>
    </row>
    <row r="13322" spans="1:12" x14ac:dyDescent="0.45">
      <c r="A13322" s="12" t="s">
        <v>25309</v>
      </c>
      <c r="B13322" s="12" t="s">
        <v>11429</v>
      </c>
      <c r="C13322" s="13" t="s">
        <v>25312</v>
      </c>
      <c r="D13322" s="13" t="s">
        <v>276</v>
      </c>
      <c r="E13322" s="12" t="s">
        <v>16</v>
      </c>
      <c r="F13322" s="14">
        <v>94000</v>
      </c>
      <c r="G13322" s="14">
        <v>62800</v>
      </c>
      <c r="H13322" s="13" t="s">
        <v>25313</v>
      </c>
      <c r="I13322" s="40" t="s">
        <v>18</v>
      </c>
      <c r="J13322" s="40" t="str">
        <f>HYPERLINK("https://stock.pstatic.net/stock-research/company/66/20250414_company_800156000.pdf","PDF")</f>
        <v>PDF</v>
      </c>
      <c r="K13322" s="12" t="s">
        <v>25314</v>
      </c>
      <c r="L13322" s="20">
        <v>0.49681528662420382</v>
      </c>
    </row>
    <row r="13323" spans="1:12" x14ac:dyDescent="0.45">
      <c r="A13323" s="12" t="s">
        <v>25309</v>
      </c>
      <c r="B13323" s="12" t="s">
        <v>3284</v>
      </c>
      <c r="C13323" s="13" t="s">
        <v>3285</v>
      </c>
      <c r="D13323" s="13" t="s">
        <v>60</v>
      </c>
      <c r="E13323" s="12" t="s">
        <v>35</v>
      </c>
      <c r="F13323" s="14">
        <v>91000</v>
      </c>
      <c r="G13323" s="14">
        <v>77600</v>
      </c>
      <c r="H13323" s="13" t="s">
        <v>25315</v>
      </c>
      <c r="I13323" s="40" t="s">
        <v>18</v>
      </c>
      <c r="J13323" s="40" t="str">
        <f>HYPERLINK("https://stock.pstatic.net/stock-research/company/1/20250414_company_857893000.pdf","PDF")</f>
        <v>PDF</v>
      </c>
      <c r="K13323" s="12" t="s">
        <v>25316</v>
      </c>
      <c r="L13323" s="20">
        <v>0.17268041237113399</v>
      </c>
    </row>
    <row r="13324" spans="1:12" x14ac:dyDescent="0.45">
      <c r="A13324" s="12" t="s">
        <v>25309</v>
      </c>
      <c r="B13324" s="12" t="s">
        <v>2522</v>
      </c>
      <c r="C13324" s="13" t="s">
        <v>2523</v>
      </c>
      <c r="D13324" s="13" t="s">
        <v>60</v>
      </c>
      <c r="E13324" s="12" t="s">
        <v>35</v>
      </c>
      <c r="F13324" s="14">
        <v>500000</v>
      </c>
      <c r="G13324" s="14">
        <v>377000</v>
      </c>
      <c r="H13324" s="13" t="s">
        <v>25317</v>
      </c>
      <c r="I13324" s="40" t="s">
        <v>18</v>
      </c>
      <c r="J13324" s="40" t="str">
        <f>HYPERLINK("https://stock.pstatic.net/stock-research/company/34/20250414_company_857920000.pdf","PDF")</f>
        <v>PDF</v>
      </c>
      <c r="K13324" s="12" t="s">
        <v>25318</v>
      </c>
      <c r="L13324" s="20">
        <v>0.32625994694960209</v>
      </c>
    </row>
    <row r="13325" spans="1:12" x14ac:dyDescent="0.45">
      <c r="A13325" s="12" t="s">
        <v>25309</v>
      </c>
      <c r="B13325" s="12" t="s">
        <v>1548</v>
      </c>
      <c r="C13325" s="13" t="s">
        <v>1549</v>
      </c>
      <c r="D13325" s="13" t="s">
        <v>60</v>
      </c>
      <c r="E13325" s="12" t="s">
        <v>35</v>
      </c>
      <c r="F13325" s="14">
        <v>1000000</v>
      </c>
      <c r="G13325" s="14">
        <v>779000</v>
      </c>
      <c r="H13325" s="13" t="s">
        <v>25319</v>
      </c>
      <c r="I13325" s="40" t="s">
        <v>18</v>
      </c>
      <c r="J13325" s="40" t="str">
        <f>HYPERLINK("https://stock.pstatic.net/stock-research/company/62/20250414_company_749017000.pdf","PDF")</f>
        <v>PDF</v>
      </c>
      <c r="K13325" s="12" t="s">
        <v>25320</v>
      </c>
      <c r="L13325" s="20">
        <v>0.28369704749679081</v>
      </c>
    </row>
    <row r="13326" spans="1:12" x14ac:dyDescent="0.45">
      <c r="A13326" s="12" t="s">
        <v>25309</v>
      </c>
      <c r="B13326" s="12" t="s">
        <v>4642</v>
      </c>
      <c r="C13326" s="13" t="s">
        <v>4643</v>
      </c>
      <c r="D13326" s="13" t="s">
        <v>65</v>
      </c>
      <c r="E13326" s="12" t="s">
        <v>35</v>
      </c>
      <c r="F13326" s="14">
        <v>30000</v>
      </c>
      <c r="G13326" s="14">
        <v>21000</v>
      </c>
      <c r="H13326" s="13" t="s">
        <v>25321</v>
      </c>
      <c r="I13326" s="40" t="s">
        <v>18</v>
      </c>
      <c r="J13326" s="40" t="str">
        <f>HYPERLINK("https://stock.pstatic.net/stock-research/company/57/20250414_company_631740000.pdf","PDF")</f>
        <v>PDF</v>
      </c>
      <c r="K13326" s="12" t="s">
        <v>25322</v>
      </c>
      <c r="L13326" s="20">
        <v>0.42857142857142849</v>
      </c>
    </row>
    <row r="13327" spans="1:12" x14ac:dyDescent="0.45">
      <c r="A13327" s="12" t="s">
        <v>25309</v>
      </c>
      <c r="B13327" s="12" t="s">
        <v>3079</v>
      </c>
      <c r="C13327" s="13" t="s">
        <v>3080</v>
      </c>
      <c r="D13327" s="13" t="s">
        <v>65</v>
      </c>
      <c r="E13327" s="12" t="s">
        <v>35</v>
      </c>
      <c r="F13327" s="14">
        <v>31000</v>
      </c>
      <c r="G13327" s="14">
        <v>15710</v>
      </c>
      <c r="H13327" s="13" t="s">
        <v>25323</v>
      </c>
      <c r="I13327" s="40" t="s">
        <v>18</v>
      </c>
      <c r="J13327" s="40" t="str">
        <f>HYPERLINK("https://stock.pstatic.net/stock-research/company/57/20250414_company_17019000.pdf","PDF")</f>
        <v>PDF</v>
      </c>
      <c r="K13327" s="12" t="s">
        <v>25324</v>
      </c>
      <c r="L13327" s="20">
        <v>0.97326543602800764</v>
      </c>
    </row>
    <row r="13328" spans="1:12" x14ac:dyDescent="0.45">
      <c r="A13328" s="12" t="s">
        <v>25309</v>
      </c>
      <c r="B13328" s="12" t="s">
        <v>3530</v>
      </c>
      <c r="C13328" s="13" t="s">
        <v>3531</v>
      </c>
      <c r="D13328" s="13" t="s">
        <v>65</v>
      </c>
      <c r="E13328" s="12" t="s">
        <v>35</v>
      </c>
      <c r="F13328" s="14">
        <v>15000</v>
      </c>
      <c r="G13328" s="14">
        <v>8440</v>
      </c>
      <c r="H13328" s="13" t="s">
        <v>20930</v>
      </c>
      <c r="I13328" s="40" t="s">
        <v>18</v>
      </c>
      <c r="J13328" s="40" t="str">
        <f>HYPERLINK("https://stock.pstatic.net/stock-research/company/57/20250414_company_552506000.pdf","PDF")</f>
        <v>PDF</v>
      </c>
      <c r="K13328" s="12" t="s">
        <v>25325</v>
      </c>
      <c r="L13328" s="20">
        <v>0.77725118483412325</v>
      </c>
    </row>
    <row r="13329" spans="1:12" x14ac:dyDescent="0.45">
      <c r="A13329" s="12" t="s">
        <v>25309</v>
      </c>
      <c r="B13329" s="12" t="s">
        <v>3024</v>
      </c>
      <c r="C13329" s="13" t="s">
        <v>3025</v>
      </c>
      <c r="D13329" s="13" t="s">
        <v>65</v>
      </c>
      <c r="E13329" s="12" t="s">
        <v>35</v>
      </c>
      <c r="F13329" s="14">
        <v>66000</v>
      </c>
      <c r="G13329" s="14">
        <v>52500</v>
      </c>
      <c r="H13329" s="13" t="s">
        <v>25326</v>
      </c>
      <c r="I13329" s="40" t="s">
        <v>18</v>
      </c>
      <c r="J13329" s="40" t="str">
        <f>HYPERLINK("https://stock.pstatic.net/stock-research/company/1/20250414_company_988944000.pdf","PDF")</f>
        <v>PDF</v>
      </c>
      <c r="K13329" s="12" t="s">
        <v>25327</v>
      </c>
      <c r="L13329" s="20">
        <v>0.25714285714285712</v>
      </c>
    </row>
    <row r="13330" spans="1:12" x14ac:dyDescent="0.45">
      <c r="A13330" s="12" t="s">
        <v>25309</v>
      </c>
      <c r="B13330" s="12" t="s">
        <v>3230</v>
      </c>
      <c r="C13330" s="13" t="s">
        <v>3231</v>
      </c>
      <c r="D13330" s="13" t="s">
        <v>65</v>
      </c>
      <c r="E13330" s="12" t="s">
        <v>35</v>
      </c>
      <c r="F13330" s="14">
        <v>600000</v>
      </c>
      <c r="G13330" s="14">
        <v>436000</v>
      </c>
      <c r="H13330" s="13" t="s">
        <v>25328</v>
      </c>
      <c r="I13330" s="40" t="s">
        <v>18</v>
      </c>
      <c r="J13330" s="40" t="str">
        <f>HYPERLINK("https://stock.pstatic.net/stock-research/company/58/20250414_company_866129000.pdf","PDF")</f>
        <v>PDF</v>
      </c>
      <c r="K13330" s="12" t="s">
        <v>25329</v>
      </c>
      <c r="L13330" s="20">
        <v>0.37614678899082571</v>
      </c>
    </row>
    <row r="13331" spans="1:12" x14ac:dyDescent="0.45">
      <c r="A13331" s="12" t="s">
        <v>25309</v>
      </c>
      <c r="B13331" s="12" t="s">
        <v>511</v>
      </c>
      <c r="C13331" s="13" t="s">
        <v>512</v>
      </c>
      <c r="D13331" s="13" t="s">
        <v>65</v>
      </c>
      <c r="E13331" s="12" t="s">
        <v>35</v>
      </c>
      <c r="F13331" s="14">
        <v>120000</v>
      </c>
      <c r="G13331" s="14">
        <v>77300</v>
      </c>
      <c r="H13331" s="13" t="s">
        <v>25330</v>
      </c>
      <c r="I13331" s="40" t="s">
        <v>18</v>
      </c>
      <c r="J13331" s="40" t="str">
        <f>HYPERLINK("https://stock.pstatic.net/stock-research/company/57/20250414_company_745175000.pdf","PDF")</f>
        <v>PDF</v>
      </c>
      <c r="K13331" s="12" t="s">
        <v>25331</v>
      </c>
      <c r="L13331" s="20">
        <v>0.55239327296248386</v>
      </c>
    </row>
    <row r="13332" spans="1:12" x14ac:dyDescent="0.45">
      <c r="A13332" s="12" t="s">
        <v>25309</v>
      </c>
      <c r="B13332" s="12" t="s">
        <v>756</v>
      </c>
      <c r="C13332" s="13" t="s">
        <v>757</v>
      </c>
      <c r="D13332" s="13" t="s">
        <v>65</v>
      </c>
      <c r="E13332" s="12" t="s">
        <v>35</v>
      </c>
      <c r="F13332" s="14">
        <v>98000</v>
      </c>
      <c r="G13332" s="14">
        <v>70900</v>
      </c>
      <c r="H13332" s="13" t="s">
        <v>25332</v>
      </c>
      <c r="I13332" s="40" t="s">
        <v>18</v>
      </c>
      <c r="J13332" s="40" t="str">
        <f>HYPERLINK("https://stock.pstatic.net/stock-research/company/57/20250414_company_174768000.pdf","PDF")</f>
        <v>PDF</v>
      </c>
      <c r="K13332" s="12" t="s">
        <v>25333</v>
      </c>
      <c r="L13332" s="20">
        <v>0.38222849083215799</v>
      </c>
    </row>
    <row r="13333" spans="1:12" x14ac:dyDescent="0.45">
      <c r="A13333" s="12" t="s">
        <v>25309</v>
      </c>
      <c r="B13333" s="12" t="s">
        <v>4021</v>
      </c>
      <c r="C13333" s="13" t="s">
        <v>4022</v>
      </c>
      <c r="D13333" s="13" t="s">
        <v>65</v>
      </c>
      <c r="E13333" s="12" t="s">
        <v>35</v>
      </c>
      <c r="F13333" s="14">
        <v>260000</v>
      </c>
      <c r="G13333" s="14">
        <v>168300</v>
      </c>
      <c r="H13333" s="13" t="s">
        <v>25334</v>
      </c>
      <c r="I13333" s="40" t="s">
        <v>18</v>
      </c>
      <c r="J13333" s="40" t="str">
        <f>HYPERLINK("https://stock.pstatic.net/stock-research/company/57/20250414_company_578270000.pdf","PDF")</f>
        <v>PDF</v>
      </c>
      <c r="K13333" s="12" t="s">
        <v>25335</v>
      </c>
      <c r="L13333" s="20">
        <v>0.54486036838978014</v>
      </c>
    </row>
    <row r="13334" spans="1:12" x14ac:dyDescent="0.45">
      <c r="A13334" s="12" t="s">
        <v>25309</v>
      </c>
      <c r="B13334" s="12" t="s">
        <v>76</v>
      </c>
      <c r="C13334" s="13" t="s">
        <v>77</v>
      </c>
      <c r="D13334" s="13" t="s">
        <v>65</v>
      </c>
      <c r="E13334" s="12" t="s">
        <v>1738</v>
      </c>
      <c r="F13334" s="14">
        <v>18000</v>
      </c>
      <c r="G13334" s="14">
        <v>19110</v>
      </c>
      <c r="H13334" s="13" t="s">
        <v>25336</v>
      </c>
      <c r="I13334" s="40" t="s">
        <v>18</v>
      </c>
      <c r="J13334" s="40" t="str">
        <f>HYPERLINK("https://stock.pstatic.net/stock-research/company/1/20250414_company_23869000.pdf","PDF")</f>
        <v>PDF</v>
      </c>
      <c r="K13334" s="12" t="s">
        <v>25337</v>
      </c>
      <c r="L13334" s="20">
        <v>-5.8084772370486662E-2</v>
      </c>
    </row>
    <row r="13335" spans="1:12" x14ac:dyDescent="0.45">
      <c r="A13335" s="12" t="s">
        <v>25309</v>
      </c>
      <c r="B13335" s="12" t="s">
        <v>1789</v>
      </c>
      <c r="C13335" s="13" t="s">
        <v>1790</v>
      </c>
      <c r="D13335" s="13" t="s">
        <v>57</v>
      </c>
      <c r="E13335" s="12" t="s">
        <v>35</v>
      </c>
      <c r="F13335" s="14">
        <v>29000</v>
      </c>
      <c r="G13335" s="14">
        <v>18900</v>
      </c>
      <c r="H13335" s="13" t="s">
        <v>25338</v>
      </c>
      <c r="I13335" s="40" t="s">
        <v>18</v>
      </c>
      <c r="J13335" s="40" t="str">
        <f>HYPERLINK("https://stock.pstatic.net/stock-research/company/16/20250414_company_160547000.pdf","PDF")</f>
        <v>PDF</v>
      </c>
      <c r="K13335" s="12" t="s">
        <v>25339</v>
      </c>
      <c r="L13335" s="20">
        <v>0.53439153439153442</v>
      </c>
    </row>
    <row r="13336" spans="1:12" x14ac:dyDescent="0.45">
      <c r="A13336" s="12" t="s">
        <v>25309</v>
      </c>
      <c r="B13336" s="12" t="s">
        <v>370</v>
      </c>
      <c r="C13336" s="13" t="s">
        <v>371</v>
      </c>
      <c r="D13336" s="13" t="s">
        <v>57</v>
      </c>
      <c r="E13336" s="12" t="s">
        <v>35</v>
      </c>
      <c r="F13336" s="14">
        <v>70000</v>
      </c>
      <c r="G13336" s="14">
        <v>58000</v>
      </c>
      <c r="H13336" s="13" t="s">
        <v>25340</v>
      </c>
      <c r="I13336" s="40" t="s">
        <v>18</v>
      </c>
      <c r="J13336" s="40" t="str">
        <f>HYPERLINK("https://stock.pstatic.net/stock-research/company/16/20250414_company_308130000.pdf","PDF")</f>
        <v>PDF</v>
      </c>
      <c r="K13336" s="12" t="s">
        <v>25341</v>
      </c>
      <c r="L13336" s="20">
        <v>0.2068965517241379</v>
      </c>
    </row>
    <row r="13337" spans="1:12" x14ac:dyDescent="0.45">
      <c r="A13337" s="12" t="s">
        <v>25309</v>
      </c>
      <c r="B13337" s="12" t="s">
        <v>2231</v>
      </c>
      <c r="C13337" s="13" t="s">
        <v>2232</v>
      </c>
      <c r="D13337" s="13" t="s">
        <v>57</v>
      </c>
      <c r="E13337" s="12" t="s">
        <v>35</v>
      </c>
      <c r="F13337" s="14">
        <v>110000</v>
      </c>
      <c r="G13337" s="14">
        <v>70500</v>
      </c>
      <c r="H13337" s="13" t="s">
        <v>25342</v>
      </c>
      <c r="I13337" s="40" t="s">
        <v>18</v>
      </c>
      <c r="J13337" s="40" t="str">
        <f>HYPERLINK("https://stock.pstatic.net/stock-research/company/1/20250414_company_735601000.pdf","PDF")</f>
        <v>PDF</v>
      </c>
      <c r="K13337" s="12" t="s">
        <v>25343</v>
      </c>
      <c r="L13337" s="20">
        <v>0.56028368794326244</v>
      </c>
    </row>
    <row r="13338" spans="1:12" x14ac:dyDescent="0.45">
      <c r="A13338" s="12" t="s">
        <v>25309</v>
      </c>
      <c r="B13338" s="12" t="s">
        <v>888</v>
      </c>
      <c r="C13338" s="13" t="s">
        <v>889</v>
      </c>
      <c r="D13338" s="13" t="s">
        <v>57</v>
      </c>
      <c r="E13338" s="12" t="s">
        <v>35</v>
      </c>
      <c r="F13338" s="14">
        <v>65000</v>
      </c>
      <c r="G13338" s="14">
        <v>51400</v>
      </c>
      <c r="H13338" s="13" t="s">
        <v>25344</v>
      </c>
      <c r="I13338" s="40" t="s">
        <v>18</v>
      </c>
      <c r="J13338" s="40" t="str">
        <f>HYPERLINK("https://stock.pstatic.net/stock-research/company/16/20250414_company_976546000.pdf","PDF")</f>
        <v>PDF</v>
      </c>
      <c r="K13338" s="12" t="s">
        <v>25345</v>
      </c>
      <c r="L13338" s="20">
        <v>0.26459143968871601</v>
      </c>
    </row>
    <row r="13339" spans="1:12" x14ac:dyDescent="0.45">
      <c r="A13339" s="12" t="s">
        <v>25309</v>
      </c>
      <c r="B13339" s="12" t="s">
        <v>6914</v>
      </c>
      <c r="C13339" s="13" t="s">
        <v>6915</v>
      </c>
      <c r="D13339" s="13" t="s">
        <v>158</v>
      </c>
      <c r="E13339" s="12" t="s">
        <v>50</v>
      </c>
      <c r="F13339" s="13"/>
      <c r="G13339" s="14">
        <v>53800</v>
      </c>
      <c r="H13339" s="13" t="s">
        <v>25346</v>
      </c>
      <c r="I13339" s="40" t="s">
        <v>18</v>
      </c>
      <c r="J13339" s="40" t="str">
        <f>HYPERLINK("https://stock.pstatic.net/stock-research/company/18/20250414_company_347142000.pdf","PDF")</f>
        <v>PDF</v>
      </c>
      <c r="K13339" s="12" t="s">
        <v>25347</v>
      </c>
    </row>
    <row r="13340" spans="1:12" x14ac:dyDescent="0.45">
      <c r="A13340" s="12" t="s">
        <v>25309</v>
      </c>
      <c r="B13340" s="12" t="s">
        <v>756</v>
      </c>
      <c r="C13340" s="13" t="s">
        <v>757</v>
      </c>
      <c r="D13340" s="13" t="s">
        <v>158</v>
      </c>
      <c r="E13340" s="12" t="s">
        <v>35</v>
      </c>
      <c r="F13340" s="14">
        <v>90000</v>
      </c>
      <c r="G13340" s="14">
        <v>70900</v>
      </c>
      <c r="H13340" s="13" t="s">
        <v>25348</v>
      </c>
      <c r="I13340" s="40" t="s">
        <v>18</v>
      </c>
      <c r="J13340" s="40" t="str">
        <f>HYPERLINK("https://stock.pstatic.net/stock-research/company/18/20250414_company_514257000.pdf","PDF")</f>
        <v>PDF</v>
      </c>
      <c r="K13340" s="12" t="s">
        <v>25349</v>
      </c>
      <c r="L13340" s="20">
        <v>0.26939351198871653</v>
      </c>
    </row>
    <row r="13341" spans="1:12" x14ac:dyDescent="0.45">
      <c r="A13341" s="12" t="s">
        <v>25309</v>
      </c>
      <c r="B13341" s="12" t="s">
        <v>768</v>
      </c>
      <c r="C13341" s="13" t="s">
        <v>769</v>
      </c>
      <c r="D13341" s="13" t="s">
        <v>158</v>
      </c>
      <c r="E13341" s="12" t="s">
        <v>35</v>
      </c>
      <c r="F13341" s="14">
        <v>220000</v>
      </c>
      <c r="G13341" s="14">
        <v>165000</v>
      </c>
      <c r="H13341" s="13" t="s">
        <v>25350</v>
      </c>
      <c r="I13341" s="40" t="s">
        <v>18</v>
      </c>
      <c r="J13341" s="40" t="str">
        <f>HYPERLINK("https://stock.pstatic.net/stock-research/company/18/20250414_company_711120000.pdf","PDF")</f>
        <v>PDF</v>
      </c>
      <c r="K13341" s="12" t="s">
        <v>25351</v>
      </c>
      <c r="L13341" s="20">
        <v>0.33333333333333331</v>
      </c>
    </row>
    <row r="13342" spans="1:12" x14ac:dyDescent="0.45">
      <c r="A13342" s="12" t="s">
        <v>25309</v>
      </c>
      <c r="B13342" s="12" t="s">
        <v>537</v>
      </c>
      <c r="C13342" s="13" t="s">
        <v>538</v>
      </c>
      <c r="D13342" s="13" t="s">
        <v>158</v>
      </c>
      <c r="E13342" s="12" t="s">
        <v>35</v>
      </c>
      <c r="F13342" s="14">
        <v>13000</v>
      </c>
      <c r="G13342" s="14">
        <v>10730</v>
      </c>
      <c r="H13342" s="13" t="s">
        <v>25352</v>
      </c>
      <c r="I13342" s="40" t="s">
        <v>18</v>
      </c>
      <c r="J13342" s="40" t="str">
        <f>HYPERLINK("https://stock.pstatic.net/stock-research/company/18/20250414_company_295788000.pdf","PDF")</f>
        <v>PDF</v>
      </c>
      <c r="K13342" s="12" t="s">
        <v>25353</v>
      </c>
      <c r="L13342" s="20">
        <v>0.21155638397017709</v>
      </c>
    </row>
    <row r="13343" spans="1:12" x14ac:dyDescent="0.45">
      <c r="A13343" s="12" t="s">
        <v>25309</v>
      </c>
      <c r="B13343" s="12" t="s">
        <v>533</v>
      </c>
      <c r="C13343" s="13" t="s">
        <v>534</v>
      </c>
      <c r="D13343" s="13" t="s">
        <v>158</v>
      </c>
      <c r="E13343" s="12" t="s">
        <v>35</v>
      </c>
      <c r="F13343" s="14">
        <v>58500</v>
      </c>
      <c r="G13343" s="14">
        <v>47350</v>
      </c>
      <c r="H13343" s="13" t="s">
        <v>25354</v>
      </c>
      <c r="I13343" s="40" t="s">
        <v>18</v>
      </c>
      <c r="J13343" s="40" t="str">
        <f>HYPERLINK("https://stock.pstatic.net/stock-research/company/1/20250414_company_169743000.pdf","PDF")</f>
        <v>PDF</v>
      </c>
      <c r="K13343" s="12" t="s">
        <v>25355</v>
      </c>
      <c r="L13343" s="20">
        <v>0.235480464625132</v>
      </c>
    </row>
    <row r="13344" spans="1:12" x14ac:dyDescent="0.45">
      <c r="A13344" s="12" t="s">
        <v>25309</v>
      </c>
      <c r="B13344" s="12" t="s">
        <v>541</v>
      </c>
      <c r="C13344" s="13" t="s">
        <v>542</v>
      </c>
      <c r="D13344" s="13" t="s">
        <v>158</v>
      </c>
      <c r="E13344" s="12" t="s">
        <v>35</v>
      </c>
      <c r="F13344" s="14">
        <v>71000</v>
      </c>
      <c r="G13344" s="14">
        <v>56500</v>
      </c>
      <c r="H13344" s="13" t="s">
        <v>25356</v>
      </c>
      <c r="I13344" s="40" t="s">
        <v>18</v>
      </c>
      <c r="J13344" s="40" t="str">
        <f>HYPERLINK("https://stock.pstatic.net/stock-research/company/18/20250414_company_986334000.pdf","PDF")</f>
        <v>PDF</v>
      </c>
      <c r="K13344" s="12" t="s">
        <v>25357</v>
      </c>
      <c r="L13344" s="20">
        <v>0.25663716814159288</v>
      </c>
    </row>
    <row r="13345" spans="1:12" x14ac:dyDescent="0.45">
      <c r="A13345" s="12" t="s">
        <v>25309</v>
      </c>
      <c r="B13345" s="12" t="s">
        <v>63</v>
      </c>
      <c r="C13345" s="13" t="s">
        <v>64</v>
      </c>
      <c r="D13345" s="13" t="s">
        <v>158</v>
      </c>
      <c r="E13345" s="12" t="s">
        <v>35</v>
      </c>
      <c r="F13345" s="14">
        <v>360000</v>
      </c>
      <c r="G13345" s="14">
        <v>243000</v>
      </c>
      <c r="H13345" s="13" t="s">
        <v>25358</v>
      </c>
      <c r="I13345" s="40" t="s">
        <v>18</v>
      </c>
      <c r="J13345" s="40" t="str">
        <f>HYPERLINK("https://stock.pstatic.net/stock-research/company/18/20250414_company_527043000.pdf","PDF")</f>
        <v>PDF</v>
      </c>
      <c r="K13345" s="12" t="s">
        <v>25359</v>
      </c>
      <c r="L13345" s="20">
        <v>0.48148148148148151</v>
      </c>
    </row>
    <row r="13346" spans="1:12" x14ac:dyDescent="0.45">
      <c r="A13346" s="12" t="s">
        <v>25309</v>
      </c>
      <c r="B13346" s="12" t="s">
        <v>3296</v>
      </c>
      <c r="C13346" s="13" t="s">
        <v>3297</v>
      </c>
      <c r="D13346" s="13" t="s">
        <v>158</v>
      </c>
      <c r="E13346" s="12" t="s">
        <v>35</v>
      </c>
      <c r="F13346" s="14">
        <v>58000</v>
      </c>
      <c r="G13346" s="14">
        <v>35150</v>
      </c>
      <c r="H13346" s="13" t="s">
        <v>25360</v>
      </c>
      <c r="I13346" s="40" t="s">
        <v>18</v>
      </c>
      <c r="J13346" s="40" t="str">
        <f>HYPERLINK("https://stock.pstatic.net/stock-research/company/18/20250414_company_224082000.pdf","PDF")</f>
        <v>PDF</v>
      </c>
      <c r="K13346" s="12" t="s">
        <v>25361</v>
      </c>
      <c r="L13346" s="20">
        <v>0.65007112375533427</v>
      </c>
    </row>
    <row r="13347" spans="1:12" x14ac:dyDescent="0.45">
      <c r="A13347" s="12" t="s">
        <v>25309</v>
      </c>
      <c r="B13347" s="12" t="s">
        <v>537</v>
      </c>
      <c r="C13347" s="13" t="s">
        <v>538</v>
      </c>
      <c r="D13347" s="13" t="s">
        <v>15</v>
      </c>
      <c r="E13347" s="12" t="s">
        <v>16</v>
      </c>
      <c r="F13347" s="14">
        <v>13900</v>
      </c>
      <c r="G13347" s="14">
        <v>10730</v>
      </c>
      <c r="H13347" s="13" t="s">
        <v>25362</v>
      </c>
      <c r="I13347" s="40" t="s">
        <v>18</v>
      </c>
      <c r="J13347" s="40" t="str">
        <f>HYPERLINK("https://stock.pstatic.net/stock-research/company/29/20250414_company_756613000.pdf","PDF")</f>
        <v>PDF</v>
      </c>
      <c r="K13347" s="12" t="s">
        <v>25363</v>
      </c>
      <c r="L13347" s="20">
        <v>0.29543336439888163</v>
      </c>
    </row>
    <row r="13348" spans="1:12" x14ac:dyDescent="0.45">
      <c r="A13348" s="12" t="s">
        <v>25309</v>
      </c>
      <c r="B13348" s="12" t="s">
        <v>541</v>
      </c>
      <c r="C13348" s="13" t="s">
        <v>542</v>
      </c>
      <c r="D13348" s="13" t="s">
        <v>15</v>
      </c>
      <c r="E13348" s="12" t="s">
        <v>16</v>
      </c>
      <c r="F13348" s="14">
        <v>77000</v>
      </c>
      <c r="G13348" s="14">
        <v>56500</v>
      </c>
      <c r="H13348" s="13" t="s">
        <v>25364</v>
      </c>
      <c r="I13348" s="40" t="s">
        <v>18</v>
      </c>
      <c r="J13348" s="40" t="str">
        <f>HYPERLINK("https://stock.pstatic.net/stock-research/company/29/20250414_company_824062000.pdf","PDF")</f>
        <v>PDF</v>
      </c>
      <c r="K13348" s="12" t="s">
        <v>25365</v>
      </c>
      <c r="L13348" s="20">
        <v>0.36283185840707971</v>
      </c>
    </row>
    <row r="13349" spans="1:12" x14ac:dyDescent="0.45">
      <c r="A13349" s="12" t="s">
        <v>25309</v>
      </c>
      <c r="B13349" s="12" t="s">
        <v>533</v>
      </c>
      <c r="C13349" s="13" t="s">
        <v>534</v>
      </c>
      <c r="D13349" s="13" t="s">
        <v>15</v>
      </c>
      <c r="E13349" s="12" t="s">
        <v>16</v>
      </c>
      <c r="F13349" s="14">
        <v>60000</v>
      </c>
      <c r="G13349" s="14">
        <v>47350</v>
      </c>
      <c r="H13349" s="13" t="s">
        <v>25366</v>
      </c>
      <c r="I13349" s="40" t="s">
        <v>18</v>
      </c>
      <c r="J13349" s="40" t="str">
        <f>HYPERLINK("https://stock.pstatic.net/stock-research/company/29/20250414_company_443778000.pdf","PDF")</f>
        <v>PDF</v>
      </c>
      <c r="K13349" s="12" t="s">
        <v>25367</v>
      </c>
      <c r="L13349" s="20">
        <v>0.26715945089757132</v>
      </c>
    </row>
    <row r="13350" spans="1:12" x14ac:dyDescent="0.45">
      <c r="A13350" s="12" t="s">
        <v>25309</v>
      </c>
      <c r="B13350" s="12" t="s">
        <v>2658</v>
      </c>
      <c r="C13350" s="13" t="s">
        <v>2659</v>
      </c>
      <c r="D13350" s="13" t="s">
        <v>92</v>
      </c>
      <c r="E13350" s="12" t="s">
        <v>35</v>
      </c>
      <c r="F13350" s="14">
        <v>220000</v>
      </c>
      <c r="G13350" s="14">
        <v>109700</v>
      </c>
      <c r="H13350" s="13" t="s">
        <v>25368</v>
      </c>
      <c r="I13350" s="40" t="s">
        <v>18</v>
      </c>
      <c r="J13350" s="40" t="str">
        <f>HYPERLINK("https://stock.pstatic.net/stock-research/company/63/20250414_company_441376000.pdf","PDF")</f>
        <v>PDF</v>
      </c>
      <c r="K13350" s="12" t="s">
        <v>25369</v>
      </c>
      <c r="L13350" s="20">
        <v>1.005469462169553</v>
      </c>
    </row>
    <row r="13351" spans="1:12" x14ac:dyDescent="0.45">
      <c r="A13351" s="12" t="s">
        <v>25309</v>
      </c>
      <c r="B13351" s="12" t="s">
        <v>4642</v>
      </c>
      <c r="C13351" s="13" t="s">
        <v>4643</v>
      </c>
      <c r="D13351" s="13" t="s">
        <v>15</v>
      </c>
      <c r="E13351" s="12" t="s">
        <v>16</v>
      </c>
      <c r="F13351" s="14">
        <v>30000</v>
      </c>
      <c r="G13351" s="14">
        <v>21000</v>
      </c>
      <c r="H13351" s="13" t="s">
        <v>25370</v>
      </c>
      <c r="I13351" s="40" t="s">
        <v>18</v>
      </c>
      <c r="J13351" s="40" t="str">
        <f>HYPERLINK("https://stock.pstatic.net/stock-research/company/29/20250414_company_849566000.pdf","PDF")</f>
        <v>PDF</v>
      </c>
      <c r="K13351" s="12" t="s">
        <v>25371</v>
      </c>
      <c r="L13351" s="20">
        <v>0.42857142857142849</v>
      </c>
    </row>
    <row r="13352" spans="1:12" x14ac:dyDescent="0.45">
      <c r="A13352" s="12" t="s">
        <v>25309</v>
      </c>
      <c r="B13352" s="12" t="s">
        <v>1120</v>
      </c>
      <c r="C13352" s="13" t="s">
        <v>1121</v>
      </c>
      <c r="D13352" s="13" t="s">
        <v>83</v>
      </c>
      <c r="E13352" s="12" t="s">
        <v>35</v>
      </c>
      <c r="F13352" s="14">
        <v>140000</v>
      </c>
      <c r="G13352" s="14">
        <v>114700</v>
      </c>
      <c r="H13352" s="13" t="s">
        <v>4575</v>
      </c>
      <c r="I13352" s="40" t="s">
        <v>18</v>
      </c>
      <c r="J13352" s="40" t="str">
        <f>HYPERLINK("https://stock.pstatic.net/stock-research/company/2/20250414_company_833969000.pdf","PDF")</f>
        <v>PDF</v>
      </c>
      <c r="K13352" s="12" t="s">
        <v>25372</v>
      </c>
      <c r="L13352" s="20">
        <v>0.22057541412380119</v>
      </c>
    </row>
    <row r="13353" spans="1:12" x14ac:dyDescent="0.45">
      <c r="A13353" s="12" t="s">
        <v>25309</v>
      </c>
      <c r="B13353" s="12" t="s">
        <v>3451</v>
      </c>
      <c r="C13353" s="13" t="s">
        <v>3452</v>
      </c>
      <c r="D13353" s="13" t="s">
        <v>83</v>
      </c>
      <c r="E13353" s="12" t="s">
        <v>35</v>
      </c>
      <c r="F13353" s="14">
        <v>270000</v>
      </c>
      <c r="G13353" s="14">
        <v>170200</v>
      </c>
      <c r="H13353" s="13" t="s">
        <v>25373</v>
      </c>
      <c r="I13353" s="40" t="s">
        <v>18</v>
      </c>
      <c r="J13353" s="40" t="str">
        <f>HYPERLINK("https://stock.pstatic.net/stock-research/company/2/20250414_company_706902000.pdf","PDF")</f>
        <v>PDF</v>
      </c>
      <c r="K13353" s="12" t="s">
        <v>25374</v>
      </c>
      <c r="L13353" s="20">
        <v>0.58636897767332552</v>
      </c>
    </row>
    <row r="13354" spans="1:12" x14ac:dyDescent="0.45">
      <c r="A13354" s="12" t="s">
        <v>25309</v>
      </c>
      <c r="B13354" s="12" t="s">
        <v>3349</v>
      </c>
      <c r="C13354" s="13" t="s">
        <v>7707</v>
      </c>
      <c r="D13354" s="13" t="s">
        <v>83</v>
      </c>
      <c r="E13354" s="12" t="s">
        <v>35</v>
      </c>
      <c r="F13354" s="14">
        <v>35000</v>
      </c>
      <c r="G13354" s="14">
        <v>21450</v>
      </c>
      <c r="H13354" s="13" t="s">
        <v>25375</v>
      </c>
      <c r="I13354" s="40" t="s">
        <v>18</v>
      </c>
      <c r="J13354" s="40" t="str">
        <f>HYPERLINK("https://stock.pstatic.net/stock-research/company/2/20250414_company_959511000.pdf","PDF")</f>
        <v>PDF</v>
      </c>
      <c r="K13354" s="12" t="s">
        <v>25376</v>
      </c>
      <c r="L13354" s="20">
        <v>0.63170163170163174</v>
      </c>
    </row>
    <row r="13355" spans="1:12" x14ac:dyDescent="0.45">
      <c r="A13355" s="12" t="s">
        <v>25309</v>
      </c>
      <c r="B13355" s="12" t="s">
        <v>1278</v>
      </c>
      <c r="C13355" s="13" t="s">
        <v>1279</v>
      </c>
      <c r="D13355" s="13" t="s">
        <v>83</v>
      </c>
      <c r="E13355" s="12" t="s">
        <v>35</v>
      </c>
      <c r="F13355" s="14">
        <v>100000</v>
      </c>
      <c r="G13355" s="14">
        <v>68100</v>
      </c>
      <c r="H13355" s="13" t="s">
        <v>25377</v>
      </c>
      <c r="I13355" s="40" t="s">
        <v>18</v>
      </c>
      <c r="J13355" s="40" t="str">
        <f>HYPERLINK("https://stock.pstatic.net/stock-research/company/2/20250414_company_373380000.pdf","PDF")</f>
        <v>PDF</v>
      </c>
      <c r="K13355" s="12" t="s">
        <v>25378</v>
      </c>
      <c r="L13355" s="20">
        <v>0.46842878120411158</v>
      </c>
    </row>
    <row r="13356" spans="1:12" x14ac:dyDescent="0.45">
      <c r="A13356" s="12" t="s">
        <v>25309</v>
      </c>
      <c r="B13356" s="12" t="s">
        <v>533</v>
      </c>
      <c r="C13356" s="13" t="s">
        <v>534</v>
      </c>
      <c r="D13356" s="13" t="s">
        <v>83</v>
      </c>
      <c r="E13356" s="12" t="s">
        <v>35</v>
      </c>
      <c r="F13356" s="14">
        <v>67000</v>
      </c>
      <c r="G13356" s="14">
        <v>47350</v>
      </c>
      <c r="H13356" s="13" t="s">
        <v>25379</v>
      </c>
      <c r="I13356" s="40" t="s">
        <v>18</v>
      </c>
      <c r="J13356" s="40" t="str">
        <f>HYPERLINK("https://stock.pstatic.net/stock-research/company/2/20250414_company_730722000.pdf","PDF")</f>
        <v>PDF</v>
      </c>
      <c r="K13356" s="12" t="s">
        <v>25380</v>
      </c>
      <c r="L13356" s="20">
        <v>0.41499472016895461</v>
      </c>
    </row>
    <row r="13357" spans="1:12" x14ac:dyDescent="0.45">
      <c r="A13357" s="12" t="s">
        <v>25309</v>
      </c>
      <c r="B13357" s="12" t="s">
        <v>541</v>
      </c>
      <c r="C13357" s="13" t="s">
        <v>542</v>
      </c>
      <c r="D13357" s="13" t="s">
        <v>83</v>
      </c>
      <c r="E13357" s="12" t="s">
        <v>35</v>
      </c>
      <c r="F13357" s="14">
        <v>77000</v>
      </c>
      <c r="G13357" s="14">
        <v>56500</v>
      </c>
      <c r="H13357" s="13" t="s">
        <v>25381</v>
      </c>
      <c r="I13357" s="40" t="s">
        <v>18</v>
      </c>
      <c r="J13357" s="40" t="str">
        <f>HYPERLINK("https://stock.pstatic.net/stock-research/company/2/20250414_company_667355000.pdf","PDF")</f>
        <v>PDF</v>
      </c>
      <c r="K13357" s="12" t="s">
        <v>25382</v>
      </c>
      <c r="L13357" s="20">
        <v>0.36283185840707971</v>
      </c>
    </row>
    <row r="13358" spans="1:12" x14ac:dyDescent="0.45">
      <c r="A13358" s="12" t="s">
        <v>25309</v>
      </c>
      <c r="B13358" s="12" t="s">
        <v>42</v>
      </c>
      <c r="C13358" s="13" t="s">
        <v>43</v>
      </c>
      <c r="D13358" s="13" t="s">
        <v>83</v>
      </c>
      <c r="E13358" s="12" t="s">
        <v>35</v>
      </c>
      <c r="F13358" s="14">
        <v>280000</v>
      </c>
      <c r="G13358" s="14">
        <v>183000</v>
      </c>
      <c r="H13358" s="13" t="s">
        <v>25383</v>
      </c>
      <c r="I13358" s="40" t="s">
        <v>18</v>
      </c>
      <c r="J13358" s="40" t="str">
        <f>HYPERLINK("https://stock.pstatic.net/stock-research/company/2/20250414_company_106855000.pdf","PDF")</f>
        <v>PDF</v>
      </c>
      <c r="K13358" s="12" t="s">
        <v>25384</v>
      </c>
      <c r="L13358" s="20">
        <v>0.5300546448087432</v>
      </c>
    </row>
    <row r="13359" spans="1:12" x14ac:dyDescent="0.45">
      <c r="A13359" s="12" t="s">
        <v>25309</v>
      </c>
      <c r="B13359" s="12" t="s">
        <v>916</v>
      </c>
      <c r="C13359" s="13" t="s">
        <v>917</v>
      </c>
      <c r="D13359" s="13" t="s">
        <v>83</v>
      </c>
      <c r="E13359" s="12" t="s">
        <v>35</v>
      </c>
      <c r="F13359" s="14">
        <v>50000</v>
      </c>
      <c r="G13359" s="14">
        <v>39000</v>
      </c>
      <c r="H13359" s="13" t="s">
        <v>25385</v>
      </c>
      <c r="I13359" s="40" t="s">
        <v>18</v>
      </c>
      <c r="J13359" s="40" t="str">
        <f>HYPERLINK("https://stock.pstatic.net/stock-research/company/2/20250414_company_801686000.pdf","PDF")</f>
        <v>PDF</v>
      </c>
      <c r="K13359" s="12" t="s">
        <v>25386</v>
      </c>
      <c r="L13359" s="20">
        <v>0.28205128205128199</v>
      </c>
    </row>
    <row r="13360" spans="1:12" x14ac:dyDescent="0.45">
      <c r="A13360" s="12" t="s">
        <v>25309</v>
      </c>
      <c r="B13360" s="12" t="s">
        <v>2781</v>
      </c>
      <c r="C13360" s="13" t="s">
        <v>2782</v>
      </c>
      <c r="D13360" s="13" t="s">
        <v>83</v>
      </c>
      <c r="E13360" s="12" t="s">
        <v>35</v>
      </c>
      <c r="F13360" s="14">
        <v>150000</v>
      </c>
      <c r="G13360" s="14">
        <v>104200</v>
      </c>
      <c r="H13360" s="13" t="s">
        <v>25387</v>
      </c>
      <c r="I13360" s="40" t="s">
        <v>18</v>
      </c>
      <c r="J13360" s="40" t="str">
        <f>HYPERLINK("https://stock.pstatic.net/stock-research/company/2/20250414_company_4870000.pdf","PDF")</f>
        <v>PDF</v>
      </c>
      <c r="K13360" s="12" t="s">
        <v>25388</v>
      </c>
      <c r="L13360" s="20">
        <v>0.43953934740882922</v>
      </c>
    </row>
    <row r="13361" spans="1:12" x14ac:dyDescent="0.45">
      <c r="A13361" s="12" t="s">
        <v>25309</v>
      </c>
      <c r="B13361" s="12" t="s">
        <v>170</v>
      </c>
      <c r="C13361" s="13" t="s">
        <v>171</v>
      </c>
      <c r="D13361" s="13" t="s">
        <v>92</v>
      </c>
      <c r="E13361" s="12" t="s">
        <v>35</v>
      </c>
      <c r="F13361" s="14">
        <v>90000</v>
      </c>
      <c r="G13361" s="14">
        <v>59400</v>
      </c>
      <c r="H13361" s="13" t="s">
        <v>25389</v>
      </c>
      <c r="I13361" s="40" t="s">
        <v>18</v>
      </c>
      <c r="J13361" s="40" t="str">
        <f>HYPERLINK("https://stock.pstatic.net/stock-research/company/63/20250414_company_693023000.pdf","PDF")</f>
        <v>PDF</v>
      </c>
      <c r="K13361" s="12" t="s">
        <v>25390</v>
      </c>
      <c r="L13361" s="20">
        <v>0.51515151515151514</v>
      </c>
    </row>
    <row r="13362" spans="1:12" x14ac:dyDescent="0.45">
      <c r="A13362" s="12" t="s">
        <v>25309</v>
      </c>
      <c r="B13362" s="12" t="s">
        <v>4642</v>
      </c>
      <c r="C13362" s="13" t="s">
        <v>4643</v>
      </c>
      <c r="D13362" s="13" t="s">
        <v>34</v>
      </c>
      <c r="E13362" s="12" t="s">
        <v>35</v>
      </c>
      <c r="F13362" s="14">
        <v>29000</v>
      </c>
      <c r="G13362" s="14">
        <v>21000</v>
      </c>
      <c r="H13362" s="13" t="s">
        <v>25391</v>
      </c>
      <c r="I13362" s="40" t="s">
        <v>18</v>
      </c>
      <c r="J13362" s="40" t="str">
        <f>HYPERLINK("https://stock.pstatic.net/stock-research/company/61/20250414_company_762726000.pdf","PDF")</f>
        <v>PDF</v>
      </c>
      <c r="K13362" s="12" t="s">
        <v>25392</v>
      </c>
      <c r="L13362" s="20">
        <v>0.38095238095238088</v>
      </c>
    </row>
    <row r="13363" spans="1:12" x14ac:dyDescent="0.45">
      <c r="A13363" s="12" t="s">
        <v>25309</v>
      </c>
      <c r="B13363" s="12" t="s">
        <v>4864</v>
      </c>
      <c r="C13363" s="13" t="s">
        <v>4865</v>
      </c>
      <c r="D13363" s="13" t="s">
        <v>44</v>
      </c>
      <c r="E13363" s="12" t="s">
        <v>45</v>
      </c>
      <c r="F13363" s="14">
        <v>46000</v>
      </c>
      <c r="G13363" s="14">
        <v>38800</v>
      </c>
      <c r="H13363" s="13" t="s">
        <v>25393</v>
      </c>
      <c r="I13363" s="40" t="s">
        <v>18</v>
      </c>
      <c r="J13363" s="40" t="str">
        <f>HYPERLINK("https://stock.pstatic.net/stock-research/company/39/20250414_company_879824000.pdf","PDF")</f>
        <v>PDF</v>
      </c>
      <c r="K13363" s="12" t="s">
        <v>25394</v>
      </c>
      <c r="L13363" s="20">
        <v>0.18556701030927841</v>
      </c>
    </row>
    <row r="13364" spans="1:12" x14ac:dyDescent="0.45">
      <c r="A13364" s="12" t="s">
        <v>25309</v>
      </c>
      <c r="B13364" s="12" t="s">
        <v>1690</v>
      </c>
      <c r="C13364" s="13" t="s">
        <v>1691</v>
      </c>
      <c r="D13364" s="13" t="s">
        <v>23</v>
      </c>
      <c r="E13364" s="12" t="s">
        <v>16</v>
      </c>
      <c r="F13364" s="14">
        <v>130000</v>
      </c>
      <c r="G13364" s="14">
        <v>97300</v>
      </c>
      <c r="H13364" s="13" t="s">
        <v>25395</v>
      </c>
      <c r="I13364" s="40" t="s">
        <v>18</v>
      </c>
      <c r="J13364" s="40" t="str">
        <f>HYPERLINK("https://stock.pstatic.net/stock-research/company/1/20250414_company_407790000.pdf","PDF")</f>
        <v>PDF</v>
      </c>
      <c r="K13364" s="12" t="s">
        <v>25396</v>
      </c>
      <c r="L13364" s="20">
        <v>0.33607399794450149</v>
      </c>
    </row>
    <row r="13365" spans="1:12" x14ac:dyDescent="0.45">
      <c r="A13365" s="12" t="s">
        <v>25309</v>
      </c>
      <c r="B13365" s="12" t="s">
        <v>9826</v>
      </c>
      <c r="C13365" s="13" t="s">
        <v>9827</v>
      </c>
      <c r="D13365" s="13" t="s">
        <v>53</v>
      </c>
      <c r="E13365" s="12" t="s">
        <v>16</v>
      </c>
      <c r="F13365" s="14">
        <v>27000</v>
      </c>
      <c r="G13365" s="14">
        <v>10010</v>
      </c>
      <c r="H13365" s="13" t="s">
        <v>16855</v>
      </c>
      <c r="I13365" s="40" t="s">
        <v>18</v>
      </c>
      <c r="J13365" s="40" t="str">
        <f>HYPERLINK("https://stock.pstatic.net/stock-research/company/40/20250414_company_869231000.pdf","PDF")</f>
        <v>PDF</v>
      </c>
      <c r="K13365" s="12" t="s">
        <v>25397</v>
      </c>
      <c r="L13365" s="20">
        <v>1.697302697302697</v>
      </c>
    </row>
    <row r="13366" spans="1:12" x14ac:dyDescent="0.45">
      <c r="A13366" s="12" t="s">
        <v>25309</v>
      </c>
      <c r="B13366" s="12" t="s">
        <v>2425</v>
      </c>
      <c r="C13366" s="13" t="s">
        <v>2426</v>
      </c>
      <c r="D13366" s="13" t="s">
        <v>23</v>
      </c>
      <c r="E13366" s="12" t="s">
        <v>16</v>
      </c>
      <c r="F13366" s="14">
        <v>135000</v>
      </c>
      <c r="G13366" s="14">
        <v>105600</v>
      </c>
      <c r="H13366" s="13" t="s">
        <v>25398</v>
      </c>
      <c r="I13366" s="40" t="s">
        <v>18</v>
      </c>
      <c r="J13366" s="40" t="str">
        <f>HYPERLINK("https://stock.pstatic.net/stock-research/company/21/20250414_company_505243000.pdf","PDF")</f>
        <v>PDF</v>
      </c>
      <c r="K13366" s="12" t="s">
        <v>25399</v>
      </c>
      <c r="L13366" s="20">
        <v>0.27840909090909088</v>
      </c>
    </row>
    <row r="13367" spans="1:12" x14ac:dyDescent="0.45">
      <c r="A13367" s="12" t="s">
        <v>25309</v>
      </c>
      <c r="B13367" s="12" t="s">
        <v>6022</v>
      </c>
      <c r="C13367" s="13" t="s">
        <v>6023</v>
      </c>
      <c r="D13367" s="13" t="s">
        <v>34</v>
      </c>
      <c r="E13367" s="12" t="s">
        <v>50</v>
      </c>
      <c r="F13367" s="13"/>
      <c r="G13367" s="14">
        <v>15800</v>
      </c>
      <c r="H13367" s="13" t="s">
        <v>25400</v>
      </c>
      <c r="I13367" s="40" t="s">
        <v>18</v>
      </c>
      <c r="J13367" s="40" t="str">
        <f>HYPERLINK("https://stock.pstatic.net/stock-research/company/61/20250414_company_383744000.pdf","PDF")</f>
        <v>PDF</v>
      </c>
      <c r="K13367" s="12" t="s">
        <v>25401</v>
      </c>
    </row>
    <row r="13368" spans="1:12" x14ac:dyDescent="0.45">
      <c r="A13368" s="12" t="s">
        <v>25309</v>
      </c>
      <c r="B13368" s="12" t="s">
        <v>768</v>
      </c>
      <c r="C13368" s="13" t="s">
        <v>769</v>
      </c>
      <c r="D13368" s="13" t="s">
        <v>23</v>
      </c>
      <c r="E13368" s="12" t="s">
        <v>16</v>
      </c>
      <c r="F13368" s="14">
        <v>190000</v>
      </c>
      <c r="G13368" s="14">
        <v>165000</v>
      </c>
      <c r="H13368" s="13" t="s">
        <v>25402</v>
      </c>
      <c r="I13368" s="40" t="s">
        <v>18</v>
      </c>
      <c r="J13368" s="40" t="str">
        <f>HYPERLINK("https://stock.pstatic.net/stock-research/company/21/20250414_company_867128000.pdf","PDF")</f>
        <v>PDF</v>
      </c>
      <c r="K13368" s="12" t="s">
        <v>25403</v>
      </c>
      <c r="L13368" s="20">
        <v>0.15151515151515149</v>
      </c>
    </row>
    <row r="13369" spans="1:12" x14ac:dyDescent="0.45">
      <c r="A13369" s="12" t="s">
        <v>25309</v>
      </c>
      <c r="B13369" s="12" t="s">
        <v>828</v>
      </c>
      <c r="C13369" s="13" t="s">
        <v>829</v>
      </c>
      <c r="D13369" s="13" t="s">
        <v>34</v>
      </c>
      <c r="E13369" s="12" t="s">
        <v>50</v>
      </c>
      <c r="F13369" s="13"/>
      <c r="G13369" s="14">
        <v>31550</v>
      </c>
      <c r="H13369" s="13" t="s">
        <v>25404</v>
      </c>
      <c r="I13369" s="40" t="s">
        <v>18</v>
      </c>
      <c r="J13369" s="40" t="str">
        <f>HYPERLINK("https://stock.pstatic.net/stock-research/company/61/20250414_company_624287000.pdf","PDF")</f>
        <v>PDF</v>
      </c>
      <c r="K13369" s="12" t="s">
        <v>25405</v>
      </c>
    </row>
    <row r="13370" spans="1:12" x14ac:dyDescent="0.45">
      <c r="A13370" s="12" t="s">
        <v>25309</v>
      </c>
      <c r="B13370" s="12" t="s">
        <v>5355</v>
      </c>
      <c r="C13370" s="13" t="s">
        <v>5356</v>
      </c>
      <c r="D13370" s="13" t="s">
        <v>34</v>
      </c>
      <c r="E13370" s="12" t="s">
        <v>50</v>
      </c>
      <c r="F13370" s="13"/>
      <c r="G13370" s="14">
        <v>33800</v>
      </c>
      <c r="H13370" s="13" t="s">
        <v>25406</v>
      </c>
      <c r="I13370" s="40" t="s">
        <v>18</v>
      </c>
      <c r="J13370" s="40" t="str">
        <f>HYPERLINK("https://stock.pstatic.net/stock-research/company/61/20250414_company_739496000.pdf","PDF")</f>
        <v>PDF</v>
      </c>
      <c r="K13370" s="12" t="s">
        <v>25407</v>
      </c>
    </row>
    <row r="13371" spans="1:12" x14ac:dyDescent="0.45">
      <c r="A13371" s="12" t="s">
        <v>25309</v>
      </c>
      <c r="B13371" s="12" t="s">
        <v>3831</v>
      </c>
      <c r="C13371" s="13" t="s">
        <v>3832</v>
      </c>
      <c r="D13371" s="13" t="s">
        <v>23</v>
      </c>
      <c r="E13371" s="12" t="s">
        <v>16</v>
      </c>
      <c r="F13371" s="14">
        <v>51000</v>
      </c>
      <c r="G13371" s="14">
        <v>34900</v>
      </c>
      <c r="H13371" s="13" t="s">
        <v>25408</v>
      </c>
      <c r="I13371" s="40" t="s">
        <v>18</v>
      </c>
      <c r="J13371" s="40" t="str">
        <f>HYPERLINK("https://stock.pstatic.net/stock-research/company/21/20250414_company_484374000.pdf","PDF")</f>
        <v>PDF</v>
      </c>
      <c r="K13371" s="12" t="s">
        <v>25409</v>
      </c>
      <c r="L13371" s="20">
        <v>0.46131805157593131</v>
      </c>
    </row>
    <row r="13372" spans="1:12" x14ac:dyDescent="0.45">
      <c r="A13372" s="12" t="s">
        <v>25309</v>
      </c>
      <c r="B13372" s="12" t="s">
        <v>1124</v>
      </c>
      <c r="C13372" s="13" t="s">
        <v>1125</v>
      </c>
      <c r="D13372" s="13" t="s">
        <v>44</v>
      </c>
      <c r="E13372" s="12" t="s">
        <v>35</v>
      </c>
      <c r="F13372" s="14">
        <v>170000</v>
      </c>
      <c r="G13372" s="14">
        <v>108800</v>
      </c>
      <c r="H13372" s="13" t="s">
        <v>25410</v>
      </c>
      <c r="I13372" s="40" t="s">
        <v>18</v>
      </c>
      <c r="J13372" s="40" t="str">
        <f>HYPERLINK("https://stock.pstatic.net/stock-research/company/39/20250414_company_535068000.pdf","PDF")</f>
        <v>PDF</v>
      </c>
      <c r="K13372" s="12" t="s">
        <v>25411</v>
      </c>
      <c r="L13372" s="20">
        <v>0.5625</v>
      </c>
    </row>
    <row r="13373" spans="1:12" x14ac:dyDescent="0.45">
      <c r="A13373" s="12" t="s">
        <v>25309</v>
      </c>
      <c r="B13373" s="12" t="s">
        <v>2199</v>
      </c>
      <c r="C13373" s="13" t="s">
        <v>2200</v>
      </c>
      <c r="D13373" s="13" t="s">
        <v>44</v>
      </c>
      <c r="E13373" s="12" t="s">
        <v>35</v>
      </c>
      <c r="F13373" s="14">
        <v>34000</v>
      </c>
      <c r="G13373" s="14">
        <v>26950</v>
      </c>
      <c r="H13373" s="13" t="s">
        <v>25412</v>
      </c>
      <c r="I13373" s="40" t="s">
        <v>18</v>
      </c>
      <c r="J13373" s="40" t="str">
        <f>HYPERLINK("https://stock.pstatic.net/stock-research/company/39/20250414_company_688657000.pdf","PDF")</f>
        <v>PDF</v>
      </c>
      <c r="K13373" s="12" t="s">
        <v>25413</v>
      </c>
      <c r="L13373" s="20">
        <v>0.26159554730983298</v>
      </c>
    </row>
    <row r="13374" spans="1:12" x14ac:dyDescent="0.45">
      <c r="A13374" s="12" t="s">
        <v>25309</v>
      </c>
      <c r="B13374" s="12" t="s">
        <v>4301</v>
      </c>
      <c r="C13374" s="13" t="s">
        <v>25414</v>
      </c>
      <c r="D13374" s="13" t="s">
        <v>124</v>
      </c>
      <c r="E13374" s="12" t="s">
        <v>50</v>
      </c>
      <c r="F13374" s="13"/>
      <c r="G13374" s="13"/>
      <c r="H13374" s="13" t="s">
        <v>25415</v>
      </c>
      <c r="I13374" s="40" t="s">
        <v>18</v>
      </c>
      <c r="J13374" s="40" t="str">
        <f>HYPERLINK("https://stock.pstatic.net/stock-research/company/74/20250414_company_389100000.pdf","PDF")</f>
        <v>PDF</v>
      </c>
      <c r="K13374" s="12" t="s">
        <v>25416</v>
      </c>
    </row>
    <row r="13375" spans="1:12" x14ac:dyDescent="0.45">
      <c r="A13375" s="12" t="s">
        <v>25309</v>
      </c>
      <c r="B13375" s="12" t="s">
        <v>268</v>
      </c>
      <c r="C13375" s="13" t="s">
        <v>269</v>
      </c>
      <c r="D13375" s="13" t="s">
        <v>124</v>
      </c>
      <c r="E13375" s="12" t="s">
        <v>50</v>
      </c>
      <c r="F13375" s="13"/>
      <c r="G13375" s="13"/>
      <c r="H13375" s="13" t="s">
        <v>25417</v>
      </c>
      <c r="I13375" s="40" t="s">
        <v>18</v>
      </c>
      <c r="J13375" s="40" t="str">
        <f>HYPERLINK("https://stock.pstatic.net/stock-research/company/74/20250414_company_727773000.pdf","PDF")</f>
        <v>PDF</v>
      </c>
      <c r="K13375" s="12" t="s">
        <v>25418</v>
      </c>
    </row>
    <row r="13376" spans="1:12" x14ac:dyDescent="0.45">
      <c r="A13376" s="12" t="s">
        <v>25309</v>
      </c>
      <c r="B13376" s="12" t="s">
        <v>8911</v>
      </c>
      <c r="C13376" s="13" t="s">
        <v>8912</v>
      </c>
      <c r="D13376" s="13" t="s">
        <v>124</v>
      </c>
      <c r="E13376" s="12" t="s">
        <v>50</v>
      </c>
      <c r="F13376" s="13"/>
      <c r="G13376" s="13"/>
      <c r="H13376" s="13" t="s">
        <v>25419</v>
      </c>
      <c r="I13376" s="40" t="s">
        <v>18</v>
      </c>
      <c r="J13376" s="40" t="str">
        <f>HYPERLINK("https://stock.pstatic.net/stock-research/company/1/20250414_company_578853000.pdf","PDF")</f>
        <v>PDF</v>
      </c>
      <c r="K13376" s="12" t="s">
        <v>25420</v>
      </c>
    </row>
    <row r="13377" spans="1:12" x14ac:dyDescent="0.45">
      <c r="A13377" s="12" t="s">
        <v>25309</v>
      </c>
      <c r="B13377" s="12" t="s">
        <v>3204</v>
      </c>
      <c r="C13377" s="13" t="s">
        <v>3205</v>
      </c>
      <c r="D13377" s="13" t="s">
        <v>15</v>
      </c>
      <c r="E13377" s="12" t="s">
        <v>16</v>
      </c>
      <c r="F13377" s="14">
        <v>4300</v>
      </c>
      <c r="G13377" s="14">
        <v>3150</v>
      </c>
      <c r="H13377" s="13" t="s">
        <v>25421</v>
      </c>
      <c r="I13377" s="40" t="s">
        <v>18</v>
      </c>
      <c r="J13377" s="40" t="str">
        <f>HYPERLINK("https://stock.pstatic.net/stock-research/company/1/20250414_company_264057000.pdf","PDF")</f>
        <v>PDF</v>
      </c>
      <c r="K13377" s="12" t="s">
        <v>25422</v>
      </c>
      <c r="L13377" s="20">
        <v>0.36507936507936511</v>
      </c>
    </row>
    <row r="13378" spans="1:12" x14ac:dyDescent="0.45">
      <c r="A13378" s="12" t="s">
        <v>25309</v>
      </c>
      <c r="B13378" s="12" t="s">
        <v>2956</v>
      </c>
      <c r="C13378" s="13" t="s">
        <v>2957</v>
      </c>
      <c r="D13378" s="13" t="s">
        <v>15</v>
      </c>
      <c r="E13378" s="12" t="s">
        <v>16</v>
      </c>
      <c r="F13378" s="14">
        <v>22000</v>
      </c>
      <c r="G13378" s="14">
        <v>16160</v>
      </c>
      <c r="H13378" s="13" t="s">
        <v>25423</v>
      </c>
      <c r="I13378" s="40" t="s">
        <v>18</v>
      </c>
      <c r="J13378" s="40" t="str">
        <f>HYPERLINK("https://stock.pstatic.net/stock-research/company/29/20250414_company_753940000.pdf","PDF")</f>
        <v>PDF</v>
      </c>
      <c r="K13378" s="12" t="s">
        <v>25424</v>
      </c>
      <c r="L13378" s="20">
        <v>0.36138613861386137</v>
      </c>
    </row>
    <row r="13379" spans="1:12" x14ac:dyDescent="0.45">
      <c r="A13379" s="12" t="s">
        <v>25309</v>
      </c>
      <c r="B13379" s="12" t="s">
        <v>95</v>
      </c>
      <c r="C13379" s="13" t="s">
        <v>31</v>
      </c>
      <c r="D13379" s="13" t="s">
        <v>15</v>
      </c>
      <c r="E13379" s="12" t="s">
        <v>16</v>
      </c>
      <c r="F13379" s="14">
        <v>26000</v>
      </c>
      <c r="G13379" s="14">
        <v>19290</v>
      </c>
      <c r="H13379" s="13" t="s">
        <v>25425</v>
      </c>
      <c r="I13379" s="40" t="s">
        <v>18</v>
      </c>
      <c r="J13379" s="40" t="str">
        <f>HYPERLINK("https://stock.pstatic.net/stock-research/company/29/20250414_company_428992000.pdf","PDF")</f>
        <v>PDF</v>
      </c>
      <c r="K13379" s="12" t="s">
        <v>25426</v>
      </c>
      <c r="L13379" s="20">
        <v>0.34784862623120788</v>
      </c>
    </row>
    <row r="13380" spans="1:12" x14ac:dyDescent="0.45">
      <c r="A13380" s="12" t="s">
        <v>25309</v>
      </c>
      <c r="B13380" s="12" t="s">
        <v>2982</v>
      </c>
      <c r="C13380" s="13" t="s">
        <v>2983</v>
      </c>
      <c r="D13380" s="13" t="s">
        <v>15</v>
      </c>
      <c r="E13380" s="12" t="s">
        <v>16</v>
      </c>
      <c r="F13380" s="14">
        <v>49000</v>
      </c>
      <c r="G13380" s="14">
        <v>39500</v>
      </c>
      <c r="H13380" s="13" t="s">
        <v>25427</v>
      </c>
      <c r="I13380" s="40" t="s">
        <v>18</v>
      </c>
      <c r="J13380" s="40" t="str">
        <f>HYPERLINK("https://stock.pstatic.net/stock-research/company/29/20250414_company_185507000.pdf","PDF")</f>
        <v>PDF</v>
      </c>
      <c r="K13380" s="12" t="s">
        <v>25428</v>
      </c>
      <c r="L13380" s="20">
        <v>0.24050632911392411</v>
      </c>
    </row>
    <row r="13381" spans="1:12" x14ac:dyDescent="0.45">
      <c r="A13381" s="12" t="s">
        <v>25309</v>
      </c>
      <c r="B13381" s="12" t="s">
        <v>3164</v>
      </c>
      <c r="C13381" s="13" t="s">
        <v>3165</v>
      </c>
      <c r="D13381" s="13" t="s">
        <v>15</v>
      </c>
      <c r="E13381" s="12" t="s">
        <v>16</v>
      </c>
      <c r="F13381" s="14">
        <v>50000</v>
      </c>
      <c r="G13381" s="14">
        <v>37800</v>
      </c>
      <c r="H13381" s="13" t="s">
        <v>25429</v>
      </c>
      <c r="I13381" s="40" t="s">
        <v>18</v>
      </c>
      <c r="J13381" s="40" t="str">
        <f>HYPERLINK("https://stock.pstatic.net/stock-research/company/29/20250414_company_880191000.pdf","PDF")</f>
        <v>PDF</v>
      </c>
      <c r="K13381" s="12" t="s">
        <v>25430</v>
      </c>
      <c r="L13381" s="20">
        <v>0.32275132275132268</v>
      </c>
    </row>
    <row r="13382" spans="1:12" x14ac:dyDescent="0.45">
      <c r="A13382" s="12" t="s">
        <v>25431</v>
      </c>
      <c r="B13382" s="12" t="s">
        <v>1548</v>
      </c>
      <c r="C13382" s="13" t="s">
        <v>1549</v>
      </c>
      <c r="D13382" s="13" t="s">
        <v>15</v>
      </c>
      <c r="E13382" s="12" t="s">
        <v>16</v>
      </c>
      <c r="F13382" s="14">
        <v>940000</v>
      </c>
      <c r="G13382" s="14">
        <v>740000</v>
      </c>
      <c r="H13382" s="13" t="s">
        <v>25432</v>
      </c>
      <c r="I13382" s="40" t="s">
        <v>18</v>
      </c>
      <c r="J13382" s="40" t="str">
        <f>HYPERLINK("https://stock.pstatic.net/stock-research/company/29/20250411_company_884919000.pdf","PDF")</f>
        <v>PDF</v>
      </c>
      <c r="K13382" s="12" t="s">
        <v>25433</v>
      </c>
      <c r="L13382" s="20">
        <v>0.27027027027027029</v>
      </c>
    </row>
    <row r="13383" spans="1:12" x14ac:dyDescent="0.45">
      <c r="A13383" s="12" t="s">
        <v>25431</v>
      </c>
      <c r="B13383" s="12" t="s">
        <v>1120</v>
      </c>
      <c r="C13383" s="13" t="s">
        <v>1121</v>
      </c>
      <c r="D13383" s="13" t="s">
        <v>60</v>
      </c>
      <c r="E13383" s="12" t="s">
        <v>50</v>
      </c>
      <c r="F13383" s="13"/>
      <c r="G13383" s="13"/>
      <c r="H13383" s="13" t="s">
        <v>4575</v>
      </c>
      <c r="I13383" s="40" t="s">
        <v>18</v>
      </c>
      <c r="J13383" s="40" t="str">
        <f>HYPERLINK("https://stock.pstatic.net/stock-research/company/62/20250411_company_733341000.pdf","PDF")</f>
        <v>PDF</v>
      </c>
      <c r="K13383" s="12" t="s">
        <v>25434</v>
      </c>
    </row>
    <row r="13384" spans="1:12" x14ac:dyDescent="0.45">
      <c r="A13384" s="12" t="s">
        <v>25431</v>
      </c>
      <c r="B13384" s="12" t="s">
        <v>4021</v>
      </c>
      <c r="C13384" s="13" t="s">
        <v>4022</v>
      </c>
      <c r="D13384" s="13" t="s">
        <v>65</v>
      </c>
      <c r="E13384" s="12" t="s">
        <v>35</v>
      </c>
      <c r="F13384" s="14">
        <v>260000</v>
      </c>
      <c r="G13384" s="14">
        <v>168300</v>
      </c>
      <c r="H13384" s="13" t="s">
        <v>25334</v>
      </c>
      <c r="I13384" s="40" t="s">
        <v>18</v>
      </c>
      <c r="J13384" s="40" t="str">
        <f>HYPERLINK("https://stock.pstatic.net/stock-research/company/57/20250411_company_420051000.pdf","PDF")</f>
        <v>PDF</v>
      </c>
      <c r="K13384" s="12" t="s">
        <v>25435</v>
      </c>
      <c r="L13384" s="20">
        <v>0.54486036838978014</v>
      </c>
    </row>
    <row r="13385" spans="1:12" x14ac:dyDescent="0.45">
      <c r="A13385" s="12" t="s">
        <v>25431</v>
      </c>
      <c r="B13385" s="12" t="s">
        <v>76</v>
      </c>
      <c r="C13385" s="13" t="s">
        <v>77</v>
      </c>
      <c r="D13385" s="13" t="s">
        <v>65</v>
      </c>
      <c r="E13385" s="12" t="s">
        <v>1738</v>
      </c>
      <c r="F13385" s="14">
        <v>18000</v>
      </c>
      <c r="G13385" s="14">
        <v>19110</v>
      </c>
      <c r="H13385" s="13" t="s">
        <v>25336</v>
      </c>
      <c r="I13385" s="40" t="s">
        <v>18</v>
      </c>
      <c r="J13385" s="40" t="str">
        <f>HYPERLINK("https://stock.pstatic.net/stock-research/company/57/20250411_company_485947000.pdf","PDF")</f>
        <v>PDF</v>
      </c>
      <c r="K13385" s="12" t="s">
        <v>25436</v>
      </c>
      <c r="L13385" s="20">
        <v>-5.8084772370486662E-2</v>
      </c>
    </row>
    <row r="13386" spans="1:12" x14ac:dyDescent="0.45">
      <c r="A13386" s="12" t="s">
        <v>25431</v>
      </c>
      <c r="B13386" s="12" t="s">
        <v>1648</v>
      </c>
      <c r="C13386" s="13" t="s">
        <v>1649</v>
      </c>
      <c r="D13386" s="13" t="s">
        <v>57</v>
      </c>
      <c r="E13386" s="12" t="s">
        <v>35</v>
      </c>
      <c r="F13386" s="14">
        <v>130000</v>
      </c>
      <c r="G13386" s="14">
        <v>107700</v>
      </c>
      <c r="H13386" s="13" t="s">
        <v>25437</v>
      </c>
      <c r="I13386" s="40" t="s">
        <v>18</v>
      </c>
      <c r="J13386" s="40" t="str">
        <f>HYPERLINK("https://stock.pstatic.net/stock-research/company/16/20250411_company_167506000.pdf","PDF")</f>
        <v>PDF</v>
      </c>
      <c r="K13386" s="12" t="s">
        <v>25438</v>
      </c>
      <c r="L13386" s="20">
        <v>0.20705663881151351</v>
      </c>
    </row>
    <row r="13387" spans="1:12" x14ac:dyDescent="0.45">
      <c r="A13387" s="12" t="s">
        <v>25431</v>
      </c>
      <c r="B13387" s="12" t="s">
        <v>1773</v>
      </c>
      <c r="C13387" s="13" t="s">
        <v>1774</v>
      </c>
      <c r="D13387" s="13" t="s">
        <v>83</v>
      </c>
      <c r="E13387" s="12" t="s">
        <v>35</v>
      </c>
      <c r="F13387" s="14">
        <v>110000</v>
      </c>
      <c r="G13387" s="14">
        <v>81300</v>
      </c>
      <c r="H13387" s="13" t="s">
        <v>25439</v>
      </c>
      <c r="I13387" s="40" t="s">
        <v>18</v>
      </c>
      <c r="J13387" s="40" t="str">
        <f>HYPERLINK("https://stock.pstatic.net/stock-research/company/1/20250411_company_380181000.pdf","PDF")</f>
        <v>PDF</v>
      </c>
      <c r="K13387" s="12" t="s">
        <v>25440</v>
      </c>
      <c r="L13387" s="20">
        <v>0.35301353013530129</v>
      </c>
    </row>
    <row r="13388" spans="1:12" x14ac:dyDescent="0.45">
      <c r="A13388" s="12" t="s">
        <v>25431</v>
      </c>
      <c r="B13388" s="12" t="s">
        <v>1678</v>
      </c>
      <c r="C13388" s="13" t="s">
        <v>1679</v>
      </c>
      <c r="D13388" s="13" t="s">
        <v>83</v>
      </c>
      <c r="E13388" s="12" t="s">
        <v>35</v>
      </c>
      <c r="F13388" s="14">
        <v>110000</v>
      </c>
      <c r="G13388" s="14">
        <v>56700</v>
      </c>
      <c r="H13388" s="13" t="s">
        <v>25441</v>
      </c>
      <c r="I13388" s="40" t="s">
        <v>18</v>
      </c>
      <c r="J13388" s="40" t="str">
        <f>HYPERLINK("https://stock.pstatic.net/stock-research/company/2/20250411_company_798338000.pdf","PDF")</f>
        <v>PDF</v>
      </c>
      <c r="K13388" s="12" t="s">
        <v>25442</v>
      </c>
      <c r="L13388" s="20">
        <v>0.94003527336860671</v>
      </c>
    </row>
    <row r="13389" spans="1:12" x14ac:dyDescent="0.45">
      <c r="A13389" s="12" t="s">
        <v>25431</v>
      </c>
      <c r="B13389" s="12" t="s">
        <v>177</v>
      </c>
      <c r="C13389" s="13" t="s">
        <v>178</v>
      </c>
      <c r="D13389" s="13" t="s">
        <v>83</v>
      </c>
      <c r="E13389" s="12" t="s">
        <v>35</v>
      </c>
      <c r="F13389" s="14">
        <v>15000</v>
      </c>
      <c r="G13389" s="14">
        <v>8410</v>
      </c>
      <c r="H13389" s="13" t="s">
        <v>25443</v>
      </c>
      <c r="I13389" s="40" t="s">
        <v>18</v>
      </c>
      <c r="J13389" s="40" t="str">
        <f>HYPERLINK("https://stock.pstatic.net/stock-research/company/2/20250411_company_717381000.pdf","PDF")</f>
        <v>PDF</v>
      </c>
      <c r="K13389" s="12" t="s">
        <v>25444</v>
      </c>
      <c r="L13389" s="20">
        <v>0.78359096313912013</v>
      </c>
    </row>
    <row r="13390" spans="1:12" x14ac:dyDescent="0.45">
      <c r="A13390" s="12" t="s">
        <v>25431</v>
      </c>
      <c r="B13390" s="12" t="s">
        <v>1660</v>
      </c>
      <c r="C13390" s="13" t="s">
        <v>1661</v>
      </c>
      <c r="D13390" s="13" t="s">
        <v>83</v>
      </c>
      <c r="E13390" s="12" t="s">
        <v>35</v>
      </c>
      <c r="F13390" s="14">
        <v>64000</v>
      </c>
      <c r="G13390" s="14">
        <v>45500</v>
      </c>
      <c r="H13390" s="13" t="s">
        <v>25445</v>
      </c>
      <c r="I13390" s="40" t="s">
        <v>18</v>
      </c>
      <c r="J13390" s="40" t="str">
        <f>HYPERLINK("https://stock.pstatic.net/stock-research/company/2/20250411_company_945977000.pdf","PDF")</f>
        <v>PDF</v>
      </c>
      <c r="K13390" s="12" t="s">
        <v>25446</v>
      </c>
      <c r="L13390" s="20">
        <v>0.40659340659340659</v>
      </c>
    </row>
    <row r="13391" spans="1:12" x14ac:dyDescent="0.45">
      <c r="A13391" s="12" t="s">
        <v>25431</v>
      </c>
      <c r="B13391" s="12" t="s">
        <v>10929</v>
      </c>
      <c r="C13391" s="13" t="s">
        <v>10930</v>
      </c>
      <c r="D13391" s="13" t="s">
        <v>179</v>
      </c>
      <c r="E13391" s="12" t="s">
        <v>16</v>
      </c>
      <c r="F13391" s="14">
        <v>7500</v>
      </c>
      <c r="G13391" s="14">
        <v>4015</v>
      </c>
      <c r="H13391" s="13" t="s">
        <v>25447</v>
      </c>
      <c r="I13391" s="40" t="s">
        <v>18</v>
      </c>
      <c r="J13391" s="40" t="str">
        <f>HYPERLINK("https://stock.pstatic.net/stock-research/company/31/20250411_company_391129000.pdf","PDF")</f>
        <v>PDF</v>
      </c>
      <c r="K13391" s="12" t="s">
        <v>25448</v>
      </c>
      <c r="L13391" s="20">
        <v>0.86799501867995021</v>
      </c>
    </row>
    <row r="13392" spans="1:12" x14ac:dyDescent="0.45">
      <c r="A13392" s="12" t="s">
        <v>25431</v>
      </c>
      <c r="B13392" s="12" t="s">
        <v>1097</v>
      </c>
      <c r="C13392" s="13" t="s">
        <v>1098</v>
      </c>
      <c r="D13392" s="13" t="s">
        <v>92</v>
      </c>
      <c r="E13392" s="12" t="s">
        <v>35</v>
      </c>
      <c r="F13392" s="14">
        <v>150000</v>
      </c>
      <c r="G13392" s="14">
        <v>107400</v>
      </c>
      <c r="H13392" s="13" t="s">
        <v>25449</v>
      </c>
      <c r="I13392" s="40" t="s">
        <v>18</v>
      </c>
      <c r="J13392" s="40" t="str">
        <f>HYPERLINK("https://stock.pstatic.net/stock-research/company/63/20250411_company_34966000.pdf","PDF")</f>
        <v>PDF</v>
      </c>
      <c r="K13392" s="12" t="s">
        <v>25450</v>
      </c>
      <c r="L13392" s="20">
        <v>0.39664804469273751</v>
      </c>
    </row>
    <row r="13393" spans="1:12" x14ac:dyDescent="0.45">
      <c r="A13393" s="12" t="s">
        <v>25431</v>
      </c>
      <c r="B13393" s="12" t="s">
        <v>3296</v>
      </c>
      <c r="C13393" s="13" t="s">
        <v>3297</v>
      </c>
      <c r="D13393" s="13" t="s">
        <v>179</v>
      </c>
      <c r="E13393" s="12" t="s">
        <v>16</v>
      </c>
      <c r="F13393" s="14">
        <v>65000</v>
      </c>
      <c r="G13393" s="14">
        <v>34000</v>
      </c>
      <c r="H13393" s="13" t="s">
        <v>25451</v>
      </c>
      <c r="I13393" s="40" t="s">
        <v>18</v>
      </c>
      <c r="J13393" s="40" t="str">
        <f>HYPERLINK("https://stock.pstatic.net/stock-research/company/31/20250411_company_797390000.pdf","PDF")</f>
        <v>PDF</v>
      </c>
      <c r="K13393" s="12" t="s">
        <v>25452</v>
      </c>
      <c r="L13393" s="20">
        <v>0.91176470588235292</v>
      </c>
    </row>
    <row r="13394" spans="1:12" x14ac:dyDescent="0.45">
      <c r="A13394" s="12" t="s">
        <v>25431</v>
      </c>
      <c r="B13394" s="12" t="s">
        <v>2435</v>
      </c>
      <c r="C13394" s="13" t="s">
        <v>2436</v>
      </c>
      <c r="D13394" s="13" t="s">
        <v>179</v>
      </c>
      <c r="E13394" s="12" t="s">
        <v>16</v>
      </c>
      <c r="F13394" s="14">
        <v>385000</v>
      </c>
      <c r="G13394" s="14">
        <v>324000</v>
      </c>
      <c r="H13394" s="13" t="s">
        <v>25453</v>
      </c>
      <c r="I13394" s="40" t="s">
        <v>18</v>
      </c>
      <c r="J13394" s="40" t="str">
        <f>HYPERLINK("https://stock.pstatic.net/stock-research/company/31/20250411_company_792781000.pdf","PDF")</f>
        <v>PDF</v>
      </c>
      <c r="K13394" s="12" t="s">
        <v>25454</v>
      </c>
      <c r="L13394" s="20">
        <v>0.18827160493827161</v>
      </c>
    </row>
    <row r="13395" spans="1:12" x14ac:dyDescent="0.45">
      <c r="A13395" s="12" t="s">
        <v>25431</v>
      </c>
      <c r="B13395" s="12" t="s">
        <v>1120</v>
      </c>
      <c r="C13395" s="13" t="s">
        <v>1121</v>
      </c>
      <c r="D13395" s="13" t="s">
        <v>23</v>
      </c>
      <c r="E13395" s="12" t="s">
        <v>16</v>
      </c>
      <c r="F13395" s="14">
        <v>140000</v>
      </c>
      <c r="G13395" s="14">
        <v>114700</v>
      </c>
      <c r="H13395" s="13" t="s">
        <v>4575</v>
      </c>
      <c r="I13395" s="40" t="s">
        <v>18</v>
      </c>
      <c r="J13395" s="40" t="str">
        <f>HYPERLINK("https://stock.pstatic.net/stock-research/company/21/20250411_company_57688000.pdf","PDF")</f>
        <v>PDF</v>
      </c>
      <c r="K13395" s="12" t="s">
        <v>25455</v>
      </c>
      <c r="L13395" s="20">
        <v>0.22057541412380119</v>
      </c>
    </row>
    <row r="13396" spans="1:12" x14ac:dyDescent="0.45">
      <c r="A13396" s="12" t="s">
        <v>25431</v>
      </c>
      <c r="B13396" s="12" t="s">
        <v>756</v>
      </c>
      <c r="C13396" s="13" t="s">
        <v>757</v>
      </c>
      <c r="D13396" s="13" t="s">
        <v>23</v>
      </c>
      <c r="E13396" s="12" t="s">
        <v>16</v>
      </c>
      <c r="F13396" s="14">
        <v>80000</v>
      </c>
      <c r="G13396" s="14">
        <v>67200</v>
      </c>
      <c r="H13396" s="13" t="s">
        <v>25456</v>
      </c>
      <c r="I13396" s="40" t="s">
        <v>18</v>
      </c>
      <c r="J13396" s="40" t="str">
        <f>HYPERLINK("https://stock.pstatic.net/stock-research/company/21/20250411_company_584479000.pdf","PDF")</f>
        <v>PDF</v>
      </c>
      <c r="K13396" s="12" t="s">
        <v>25457</v>
      </c>
      <c r="L13396" s="20">
        <v>0.19047619047619049</v>
      </c>
    </row>
    <row r="13397" spans="1:12" x14ac:dyDescent="0.45">
      <c r="A13397" s="12" t="s">
        <v>25431</v>
      </c>
      <c r="B13397" s="12" t="s">
        <v>450</v>
      </c>
      <c r="C13397" s="13" t="s">
        <v>451</v>
      </c>
      <c r="D13397" s="13" t="s">
        <v>23</v>
      </c>
      <c r="E13397" s="12" t="s">
        <v>50</v>
      </c>
      <c r="F13397" s="14">
        <v>320000</v>
      </c>
      <c r="G13397" s="14">
        <v>309500</v>
      </c>
      <c r="H13397" s="13" t="s">
        <v>25458</v>
      </c>
      <c r="I13397" s="40" t="s">
        <v>18</v>
      </c>
      <c r="J13397" s="40" t="str">
        <f>HYPERLINK("https://stock.pstatic.net/stock-research/company/21/20250411_company_83022000.pdf","PDF")</f>
        <v>PDF</v>
      </c>
      <c r="K13397" s="12" t="s">
        <v>25459</v>
      </c>
      <c r="L13397" s="20">
        <v>3.3925686591276247E-2</v>
      </c>
    </row>
    <row r="13398" spans="1:12" x14ac:dyDescent="0.45">
      <c r="A13398" s="12" t="s">
        <v>25431</v>
      </c>
      <c r="B13398" s="12" t="s">
        <v>519</v>
      </c>
      <c r="C13398" s="13" t="s">
        <v>520</v>
      </c>
      <c r="D13398" s="13" t="s">
        <v>23</v>
      </c>
      <c r="E13398" s="12" t="s">
        <v>16</v>
      </c>
      <c r="F13398" s="14">
        <v>270000</v>
      </c>
      <c r="G13398" s="14">
        <v>187000</v>
      </c>
      <c r="H13398" s="13" t="s">
        <v>25460</v>
      </c>
      <c r="I13398" s="40" t="s">
        <v>18</v>
      </c>
      <c r="J13398" s="40" t="str">
        <f>HYPERLINK("https://stock.pstatic.net/stock-research/company/21/20250411_company_795063000.pdf","PDF")</f>
        <v>PDF</v>
      </c>
      <c r="K13398" s="12" t="s">
        <v>25461</v>
      </c>
      <c r="L13398" s="20">
        <v>0.44385026737967909</v>
      </c>
    </row>
    <row r="13399" spans="1:12" x14ac:dyDescent="0.45">
      <c r="A13399" s="12" t="s">
        <v>25431</v>
      </c>
      <c r="B13399" s="12" t="s">
        <v>1765</v>
      </c>
      <c r="C13399" s="13" t="s">
        <v>1766</v>
      </c>
      <c r="D13399" s="13" t="s">
        <v>23</v>
      </c>
      <c r="E13399" s="12" t="s">
        <v>16</v>
      </c>
      <c r="F13399" s="14">
        <v>120000</v>
      </c>
      <c r="G13399" s="14">
        <v>88200</v>
      </c>
      <c r="H13399" s="13" t="s">
        <v>25462</v>
      </c>
      <c r="I13399" s="40" t="s">
        <v>18</v>
      </c>
      <c r="J13399" s="40" t="str">
        <f>HYPERLINK("https://stock.pstatic.net/stock-research/company/21/20250411_company_565500000.pdf","PDF")</f>
        <v>PDF</v>
      </c>
      <c r="K13399" s="12" t="s">
        <v>25463</v>
      </c>
      <c r="L13399" s="20">
        <v>0.36054421768707479</v>
      </c>
    </row>
    <row r="13400" spans="1:12" x14ac:dyDescent="0.45">
      <c r="A13400" s="12" t="s">
        <v>25431</v>
      </c>
      <c r="B13400" s="12" t="s">
        <v>13410</v>
      </c>
      <c r="C13400" s="13" t="s">
        <v>13411</v>
      </c>
      <c r="D13400" s="13" t="s">
        <v>179</v>
      </c>
      <c r="E13400" s="12" t="s">
        <v>16</v>
      </c>
      <c r="F13400" s="14">
        <v>200000</v>
      </c>
      <c r="G13400" s="14">
        <v>123200</v>
      </c>
      <c r="H13400" s="13" t="s">
        <v>25464</v>
      </c>
      <c r="I13400" s="40" t="s">
        <v>18</v>
      </c>
      <c r="J13400" s="40" t="str">
        <f>HYPERLINK("https://stock.pstatic.net/stock-research/company/31/20250411_company_613837000.pdf","PDF")</f>
        <v>PDF</v>
      </c>
      <c r="K13400" s="12" t="s">
        <v>25465</v>
      </c>
      <c r="L13400" s="20">
        <v>0.62337662337662336</v>
      </c>
    </row>
    <row r="13401" spans="1:12" x14ac:dyDescent="0.45">
      <c r="A13401" s="12" t="s">
        <v>25431</v>
      </c>
      <c r="B13401" s="12" t="s">
        <v>2492</v>
      </c>
      <c r="C13401" s="13" t="s">
        <v>2493</v>
      </c>
      <c r="D13401" s="13" t="s">
        <v>179</v>
      </c>
      <c r="E13401" s="12" t="s">
        <v>16</v>
      </c>
      <c r="F13401" s="14">
        <v>290000</v>
      </c>
      <c r="G13401" s="14">
        <v>213000</v>
      </c>
      <c r="H13401" s="13" t="s">
        <v>25466</v>
      </c>
      <c r="I13401" s="40" t="s">
        <v>18</v>
      </c>
      <c r="J13401" s="40" t="str">
        <f>HYPERLINK("https://stock.pstatic.net/stock-research/company/31/20250411_company_842774000.pdf","PDF")</f>
        <v>PDF</v>
      </c>
      <c r="K13401" s="12" t="s">
        <v>25467</v>
      </c>
      <c r="L13401" s="20">
        <v>0.36150234741784038</v>
      </c>
    </row>
    <row r="13402" spans="1:12" x14ac:dyDescent="0.45">
      <c r="A13402" s="12" t="s">
        <v>25431</v>
      </c>
      <c r="B13402" s="12" t="s">
        <v>6178</v>
      </c>
      <c r="C13402" s="13" t="s">
        <v>6179</v>
      </c>
      <c r="D13402" s="13" t="s">
        <v>124</v>
      </c>
      <c r="E13402" s="12" t="s">
        <v>50</v>
      </c>
      <c r="F13402" s="13"/>
      <c r="G13402" s="13"/>
      <c r="H13402" s="13" t="s">
        <v>25468</v>
      </c>
      <c r="I13402" s="40" t="s">
        <v>18</v>
      </c>
      <c r="J13402" s="40" t="str">
        <f>HYPERLINK("https://stock.pstatic.net/stock-research/company/74/20250411_company_814226000.pdf","PDF")</f>
        <v>PDF</v>
      </c>
      <c r="K13402" s="12" t="s">
        <v>25469</v>
      </c>
    </row>
    <row r="13403" spans="1:12" x14ac:dyDescent="0.45">
      <c r="A13403" s="12" t="s">
        <v>25431</v>
      </c>
      <c r="B13403" s="12" t="s">
        <v>118</v>
      </c>
      <c r="C13403" s="13" t="s">
        <v>119</v>
      </c>
      <c r="D13403" s="13" t="s">
        <v>53</v>
      </c>
      <c r="E13403" s="12" t="s">
        <v>16</v>
      </c>
      <c r="F13403" s="14">
        <v>104000</v>
      </c>
      <c r="G13403" s="14">
        <v>84300</v>
      </c>
      <c r="H13403" s="13" t="s">
        <v>25470</v>
      </c>
      <c r="I13403" s="40" t="s">
        <v>18</v>
      </c>
      <c r="J13403" s="40" t="str">
        <f>HYPERLINK("https://stock.pstatic.net/stock-research/company/40/20250411_company_708342000.pdf","PDF")</f>
        <v>PDF</v>
      </c>
      <c r="K13403" s="12" t="s">
        <v>25471</v>
      </c>
      <c r="L13403" s="20">
        <v>0.2336892052194543</v>
      </c>
    </row>
    <row r="13404" spans="1:12" x14ac:dyDescent="0.45">
      <c r="A13404" s="12" t="s">
        <v>25431</v>
      </c>
      <c r="B13404" s="12" t="s">
        <v>25472</v>
      </c>
      <c r="C13404" s="13" t="s">
        <v>25473</v>
      </c>
      <c r="D13404" s="13" t="s">
        <v>202</v>
      </c>
      <c r="E13404" s="12" t="s">
        <v>50</v>
      </c>
      <c r="F13404" s="13"/>
      <c r="G13404" s="13"/>
      <c r="H13404" s="13" t="s">
        <v>25474</v>
      </c>
      <c r="I13404" s="40" t="s">
        <v>18</v>
      </c>
      <c r="J13404" s="40" t="str">
        <f>HYPERLINK("https://stock.pstatic.net/stock-research/company/69/20250411_company_246918000.pdf","PDF")</f>
        <v>PDF</v>
      </c>
      <c r="K13404" s="12" t="s">
        <v>25475</v>
      </c>
    </row>
    <row r="13405" spans="1:12" x14ac:dyDescent="0.45">
      <c r="A13405" s="12" t="s">
        <v>25431</v>
      </c>
      <c r="B13405" s="12" t="s">
        <v>25476</v>
      </c>
      <c r="C13405" s="13" t="s">
        <v>25477</v>
      </c>
      <c r="D13405" s="13" t="s">
        <v>202</v>
      </c>
      <c r="E13405" s="12" t="s">
        <v>50</v>
      </c>
      <c r="F13405" s="13"/>
      <c r="G13405" s="13"/>
      <c r="H13405" s="13" t="s">
        <v>25478</v>
      </c>
      <c r="I13405" s="40" t="s">
        <v>18</v>
      </c>
      <c r="J13405" s="40" t="str">
        <f>HYPERLINK("https://stock.pstatic.net/stock-research/company/69/20250411_company_912654000.pdf","PDF")</f>
        <v>PDF</v>
      </c>
      <c r="K13405" s="12" t="s">
        <v>25479</v>
      </c>
    </row>
    <row r="13406" spans="1:12" x14ac:dyDescent="0.45">
      <c r="A13406" s="12" t="s">
        <v>25431</v>
      </c>
      <c r="B13406" s="12" t="s">
        <v>326</v>
      </c>
      <c r="C13406" s="13" t="s">
        <v>327</v>
      </c>
      <c r="D13406" s="13" t="s">
        <v>202</v>
      </c>
      <c r="E13406" s="12" t="s">
        <v>50</v>
      </c>
      <c r="F13406" s="13"/>
      <c r="G13406" s="13"/>
      <c r="H13406" s="13" t="s">
        <v>25480</v>
      </c>
      <c r="I13406" s="40" t="s">
        <v>18</v>
      </c>
      <c r="J13406" s="40" t="str">
        <f>HYPERLINK("https://stock.pstatic.net/stock-research/company/69/20250411_company_751070000.pdf","PDF")</f>
        <v>PDF</v>
      </c>
      <c r="K13406" s="12" t="s">
        <v>25481</v>
      </c>
    </row>
    <row r="13407" spans="1:12" x14ac:dyDescent="0.45">
      <c r="A13407" s="12" t="s">
        <v>25431</v>
      </c>
      <c r="B13407" s="12" t="s">
        <v>25482</v>
      </c>
      <c r="C13407" s="13" t="s">
        <v>25483</v>
      </c>
      <c r="D13407" s="13" t="s">
        <v>11154</v>
      </c>
      <c r="E13407" s="12" t="s">
        <v>50</v>
      </c>
      <c r="F13407" s="13"/>
      <c r="G13407" s="13"/>
      <c r="H13407" s="13" t="s">
        <v>25484</v>
      </c>
      <c r="I13407" s="40" t="s">
        <v>18</v>
      </c>
      <c r="J13407" s="40" t="str">
        <f>HYPERLINK("https://stock.pstatic.net/stock-research/company/79/20250411_company_980977000.pdf","PDF")</f>
        <v>PDF</v>
      </c>
      <c r="K13407" s="12" t="s">
        <v>25485</v>
      </c>
    </row>
    <row r="13408" spans="1:12" x14ac:dyDescent="0.45">
      <c r="A13408" s="12" t="s">
        <v>25431</v>
      </c>
      <c r="B13408" s="12" t="s">
        <v>3105</v>
      </c>
      <c r="C13408" s="13" t="s">
        <v>3106</v>
      </c>
      <c r="D13408" s="13" t="s">
        <v>1271</v>
      </c>
      <c r="E13408" s="12" t="s">
        <v>35</v>
      </c>
      <c r="F13408" s="14">
        <v>300000</v>
      </c>
      <c r="G13408" s="14">
        <v>230500</v>
      </c>
      <c r="H13408" s="13" t="s">
        <v>25486</v>
      </c>
      <c r="I13408" s="40" t="s">
        <v>18</v>
      </c>
      <c r="J13408" s="40" t="str">
        <f>HYPERLINK("https://stock.pstatic.net/stock-research/company/1/20250411_company_282419000.pdf","PDF")</f>
        <v>PDF</v>
      </c>
      <c r="K13408" s="12" t="s">
        <v>25487</v>
      </c>
      <c r="L13408" s="20">
        <v>0.30151843817787422</v>
      </c>
    </row>
    <row r="13409" spans="1:12" x14ac:dyDescent="0.45">
      <c r="A13409" s="12" t="s">
        <v>25431</v>
      </c>
      <c r="B13409" s="12" t="s">
        <v>1660</v>
      </c>
      <c r="C13409" s="13" t="s">
        <v>1661</v>
      </c>
      <c r="D13409" s="13" t="s">
        <v>1271</v>
      </c>
      <c r="E13409" s="12" t="s">
        <v>35</v>
      </c>
      <c r="F13409" s="14">
        <v>61000</v>
      </c>
      <c r="G13409" s="14">
        <v>49250</v>
      </c>
      <c r="H13409" s="13" t="s">
        <v>25488</v>
      </c>
      <c r="I13409" s="40" t="s">
        <v>18</v>
      </c>
      <c r="J13409" s="40" t="str">
        <f>HYPERLINK("https://stock.pstatic.net/stock-research/company/1/20250411_company_67562000.pdf","PDF")</f>
        <v>PDF</v>
      </c>
      <c r="K13409" s="12" t="s">
        <v>25489</v>
      </c>
      <c r="L13409" s="20">
        <v>0.23857868020304571</v>
      </c>
    </row>
    <row r="13410" spans="1:12" x14ac:dyDescent="0.45">
      <c r="A13410" s="12" t="s">
        <v>25431</v>
      </c>
      <c r="B13410" s="12" t="s">
        <v>2089</v>
      </c>
      <c r="C13410" s="13" t="s">
        <v>2090</v>
      </c>
      <c r="D13410" s="13" t="s">
        <v>1271</v>
      </c>
      <c r="E13410" s="12" t="s">
        <v>35</v>
      </c>
      <c r="F13410" s="14">
        <v>70000</v>
      </c>
      <c r="G13410" s="14">
        <v>56000</v>
      </c>
      <c r="H13410" s="13" t="s">
        <v>25490</v>
      </c>
      <c r="I13410" s="40" t="s">
        <v>18</v>
      </c>
      <c r="J13410" s="40" t="str">
        <f>HYPERLINK("https://stock.pstatic.net/stock-research/company/78/20250411_company_476256000.pdf","PDF")</f>
        <v>PDF</v>
      </c>
      <c r="K13410" s="12" t="s">
        <v>25491</v>
      </c>
      <c r="L13410" s="20">
        <v>0.25</v>
      </c>
    </row>
    <row r="13411" spans="1:12" x14ac:dyDescent="0.45">
      <c r="A13411" s="12" t="s">
        <v>25431</v>
      </c>
      <c r="B13411" s="12" t="s">
        <v>1690</v>
      </c>
      <c r="C13411" s="13" t="s">
        <v>1691</v>
      </c>
      <c r="D13411" s="13" t="s">
        <v>1271</v>
      </c>
      <c r="E13411" s="12" t="s">
        <v>35</v>
      </c>
      <c r="F13411" s="14">
        <v>135000</v>
      </c>
      <c r="G13411" s="14">
        <v>106200</v>
      </c>
      <c r="H13411" s="13" t="s">
        <v>25492</v>
      </c>
      <c r="I13411" s="40" t="s">
        <v>18</v>
      </c>
      <c r="J13411" s="40" t="str">
        <f>HYPERLINK("https://stock.pstatic.net/stock-research/company/78/20250411_company_91346000.pdf","PDF")</f>
        <v>PDF</v>
      </c>
      <c r="K13411" s="12" t="s">
        <v>25493</v>
      </c>
      <c r="L13411" s="20">
        <v>0.2711864406779661</v>
      </c>
    </row>
    <row r="13412" spans="1:12" x14ac:dyDescent="0.45">
      <c r="A13412" s="12" t="s">
        <v>25431</v>
      </c>
      <c r="B13412" s="12" t="s">
        <v>1781</v>
      </c>
      <c r="C13412" s="13" t="s">
        <v>1782</v>
      </c>
      <c r="D13412" s="13" t="s">
        <v>1271</v>
      </c>
      <c r="E13412" s="12" t="s">
        <v>35</v>
      </c>
      <c r="F13412" s="14">
        <v>95000</v>
      </c>
      <c r="G13412" s="14">
        <v>68100</v>
      </c>
      <c r="H13412" s="13" t="s">
        <v>25494</v>
      </c>
      <c r="I13412" s="40" t="s">
        <v>18</v>
      </c>
      <c r="J13412" s="40" t="str">
        <f>HYPERLINK("https://stock.pstatic.net/stock-research/company/78/20250411_company_352098000.pdf","PDF")</f>
        <v>PDF</v>
      </c>
      <c r="K13412" s="12" t="s">
        <v>25495</v>
      </c>
      <c r="L13412" s="20">
        <v>0.39500734214390598</v>
      </c>
    </row>
    <row r="13413" spans="1:12" x14ac:dyDescent="0.45">
      <c r="A13413" s="12" t="s">
        <v>25496</v>
      </c>
      <c r="B13413" s="12" t="s">
        <v>2795</v>
      </c>
      <c r="C13413" s="13" t="s">
        <v>2796</v>
      </c>
      <c r="D13413" s="13" t="s">
        <v>34</v>
      </c>
      <c r="E13413" s="12" t="s">
        <v>35</v>
      </c>
      <c r="F13413" s="14">
        <v>5800</v>
      </c>
      <c r="G13413" s="14">
        <v>3350</v>
      </c>
      <c r="H13413" s="13" t="s">
        <v>25497</v>
      </c>
      <c r="I13413" s="40" t="s">
        <v>18</v>
      </c>
      <c r="J13413" s="40" t="str">
        <f>HYPERLINK("https://stock.pstatic.net/stock-research/company/61/20250410_company_576085000.pdf","PDF")</f>
        <v>PDF</v>
      </c>
      <c r="K13413" s="12" t="s">
        <v>25498</v>
      </c>
      <c r="L13413" s="20">
        <v>0.73134328358208955</v>
      </c>
    </row>
    <row r="13414" spans="1:12" x14ac:dyDescent="0.45">
      <c r="A13414" s="12" t="s">
        <v>25496</v>
      </c>
      <c r="B13414" s="12" t="s">
        <v>76</v>
      </c>
      <c r="C13414" s="13" t="s">
        <v>77</v>
      </c>
      <c r="D13414" s="13" t="s">
        <v>34</v>
      </c>
      <c r="E13414" s="12" t="s">
        <v>159</v>
      </c>
      <c r="F13414" s="14">
        <v>21000</v>
      </c>
      <c r="G13414" s="14">
        <v>19600</v>
      </c>
      <c r="H13414" s="13" t="s">
        <v>25499</v>
      </c>
      <c r="I13414" s="40" t="s">
        <v>18</v>
      </c>
      <c r="J13414" s="40" t="str">
        <f>HYPERLINK("https://stock.pstatic.net/stock-research/company/61/20250410_company_881922000.pdf","PDF")</f>
        <v>PDF</v>
      </c>
      <c r="K13414" s="12" t="s">
        <v>25500</v>
      </c>
      <c r="L13414" s="20">
        <v>7.1428571428571425E-2</v>
      </c>
    </row>
    <row r="13415" spans="1:12" x14ac:dyDescent="0.45">
      <c r="A13415" s="12" t="s">
        <v>25496</v>
      </c>
      <c r="B13415" s="12" t="s">
        <v>1530</v>
      </c>
      <c r="C13415" s="13" t="s">
        <v>1531</v>
      </c>
      <c r="D13415" s="13" t="s">
        <v>15</v>
      </c>
      <c r="E13415" s="12" t="s">
        <v>16</v>
      </c>
      <c r="F13415" s="14">
        <v>35000</v>
      </c>
      <c r="G13415" s="14">
        <v>19400</v>
      </c>
      <c r="H13415" s="13" t="s">
        <v>25501</v>
      </c>
      <c r="I13415" s="40" t="s">
        <v>18</v>
      </c>
      <c r="J13415" s="40" t="str">
        <f>HYPERLINK("https://stock.pstatic.net/stock-research/company/29/20250410_company_350223000.pdf","PDF")</f>
        <v>PDF</v>
      </c>
      <c r="K13415" s="12" t="s">
        <v>25502</v>
      </c>
      <c r="L13415" s="20">
        <v>0.80412371134020622</v>
      </c>
    </row>
    <row r="13416" spans="1:12" x14ac:dyDescent="0.45">
      <c r="A13416" s="12" t="s">
        <v>25496</v>
      </c>
      <c r="B13416" s="12" t="s">
        <v>2369</v>
      </c>
      <c r="C13416" s="13" t="s">
        <v>2370</v>
      </c>
      <c r="D13416" s="13" t="s">
        <v>15</v>
      </c>
      <c r="E13416" s="12" t="s">
        <v>16</v>
      </c>
      <c r="F13416" s="14">
        <v>280000</v>
      </c>
      <c r="G13416" s="14">
        <v>171700</v>
      </c>
      <c r="H13416" s="13" t="s">
        <v>25503</v>
      </c>
      <c r="I13416" s="40" t="s">
        <v>18</v>
      </c>
      <c r="J13416" s="40" t="str">
        <f>HYPERLINK("https://stock.pstatic.net/stock-research/company/29/20250410_company_623484000.pdf","PDF")</f>
        <v>PDF</v>
      </c>
      <c r="K13416" s="12" t="s">
        <v>25504</v>
      </c>
      <c r="L13416" s="20">
        <v>0.63075131042516019</v>
      </c>
    </row>
    <row r="13417" spans="1:12" x14ac:dyDescent="0.45">
      <c r="A13417" s="12" t="s">
        <v>25496</v>
      </c>
      <c r="B13417" s="12" t="s">
        <v>1162</v>
      </c>
      <c r="C13417" s="13" t="s">
        <v>1163</v>
      </c>
      <c r="D13417" s="13" t="s">
        <v>179</v>
      </c>
      <c r="E13417" s="12" t="s">
        <v>16</v>
      </c>
      <c r="F13417" s="14">
        <v>150000</v>
      </c>
      <c r="G13417" s="14">
        <v>116900</v>
      </c>
      <c r="H13417" s="13" t="s">
        <v>25505</v>
      </c>
      <c r="I13417" s="40" t="s">
        <v>18</v>
      </c>
      <c r="J13417" s="40" t="str">
        <f>HYPERLINK("https://stock.pstatic.net/stock-research/company/31/20250410_company_608767000.pdf","PDF")</f>
        <v>PDF</v>
      </c>
      <c r="K13417" s="12" t="s">
        <v>25506</v>
      </c>
      <c r="L13417" s="20">
        <v>0.28314798973481609</v>
      </c>
    </row>
    <row r="13418" spans="1:12" x14ac:dyDescent="0.45">
      <c r="A13418" s="12" t="s">
        <v>25496</v>
      </c>
      <c r="B13418" s="12" t="s">
        <v>1190</v>
      </c>
      <c r="C13418" s="13" t="s">
        <v>1191</v>
      </c>
      <c r="D13418" s="13" t="s">
        <v>179</v>
      </c>
      <c r="E13418" s="12" t="s">
        <v>16</v>
      </c>
      <c r="F13418" s="14">
        <v>54000</v>
      </c>
      <c r="G13418" s="14">
        <v>39650</v>
      </c>
      <c r="H13418" s="13" t="s">
        <v>25507</v>
      </c>
      <c r="I13418" s="40" t="s">
        <v>18</v>
      </c>
      <c r="J13418" s="40" t="str">
        <f>HYPERLINK("https://stock.pstatic.net/stock-research/company/31/20250410_company_693038000.pdf","PDF")</f>
        <v>PDF</v>
      </c>
      <c r="K13418" s="12" t="s">
        <v>25508</v>
      </c>
      <c r="L13418" s="20">
        <v>0.36191677175283732</v>
      </c>
    </row>
    <row r="13419" spans="1:12" x14ac:dyDescent="0.45">
      <c r="A13419" s="12" t="s">
        <v>25496</v>
      </c>
      <c r="B13419" s="12" t="s">
        <v>362</v>
      </c>
      <c r="C13419" s="13" t="s">
        <v>363</v>
      </c>
      <c r="D13419" s="13" t="s">
        <v>179</v>
      </c>
      <c r="E13419" s="12" t="s">
        <v>16</v>
      </c>
      <c r="F13419" s="14">
        <v>80000</v>
      </c>
      <c r="G13419" s="14">
        <v>58500</v>
      </c>
      <c r="H13419" s="13" t="s">
        <v>25509</v>
      </c>
      <c r="I13419" s="40" t="s">
        <v>18</v>
      </c>
      <c r="J13419" s="40" t="str">
        <f>HYPERLINK("https://stock.pstatic.net/stock-research/company/31/20250410_company_915059000.pdf","PDF")</f>
        <v>PDF</v>
      </c>
      <c r="K13419" s="12" t="s">
        <v>25510</v>
      </c>
      <c r="L13419" s="20">
        <v>0.36752136752136749</v>
      </c>
    </row>
    <row r="13420" spans="1:12" x14ac:dyDescent="0.45">
      <c r="A13420" s="12" t="s">
        <v>25496</v>
      </c>
      <c r="B13420" s="12" t="s">
        <v>836</v>
      </c>
      <c r="C13420" s="13" t="s">
        <v>837</v>
      </c>
      <c r="D13420" s="13" t="s">
        <v>179</v>
      </c>
      <c r="E13420" s="12" t="s">
        <v>16</v>
      </c>
      <c r="F13420" s="14">
        <v>110000</v>
      </c>
      <c r="G13420" s="14">
        <v>75200</v>
      </c>
      <c r="H13420" s="13" t="s">
        <v>25511</v>
      </c>
      <c r="I13420" s="40" t="s">
        <v>18</v>
      </c>
      <c r="J13420" s="40" t="str">
        <f>HYPERLINK("https://stock.pstatic.net/stock-research/company/31/20250410_company_76717000.pdf","PDF")</f>
        <v>PDF</v>
      </c>
      <c r="K13420" s="12" t="s">
        <v>25512</v>
      </c>
      <c r="L13420" s="20">
        <v>0.46276595744680848</v>
      </c>
    </row>
    <row r="13421" spans="1:12" x14ac:dyDescent="0.45">
      <c r="A13421" s="12" t="s">
        <v>25496</v>
      </c>
      <c r="B13421" s="12" t="s">
        <v>1765</v>
      </c>
      <c r="C13421" s="13" t="s">
        <v>1766</v>
      </c>
      <c r="D13421" s="13" t="s">
        <v>276</v>
      </c>
      <c r="E13421" s="12" t="s">
        <v>16</v>
      </c>
      <c r="F13421" s="14">
        <v>150000</v>
      </c>
      <c r="G13421" s="14">
        <v>83800</v>
      </c>
      <c r="H13421" s="13" t="s">
        <v>25513</v>
      </c>
      <c r="I13421" s="40" t="s">
        <v>18</v>
      </c>
      <c r="J13421" s="40" t="str">
        <f>HYPERLINK("https://stock.pstatic.net/stock-research/company/66/20250410_company_546234000.pdf","PDF")</f>
        <v>PDF</v>
      </c>
      <c r="K13421" s="12" t="s">
        <v>25514</v>
      </c>
      <c r="L13421" s="20">
        <v>0.78997613365155128</v>
      </c>
    </row>
    <row r="13422" spans="1:12" x14ac:dyDescent="0.45">
      <c r="A13422" s="12" t="s">
        <v>25496</v>
      </c>
      <c r="B13422" s="12" t="s">
        <v>1765</v>
      </c>
      <c r="C13422" s="13" t="s">
        <v>1766</v>
      </c>
      <c r="D13422" s="13" t="s">
        <v>65</v>
      </c>
      <c r="E13422" s="12" t="s">
        <v>35</v>
      </c>
      <c r="F13422" s="14">
        <v>140000</v>
      </c>
      <c r="G13422" s="14">
        <v>83800</v>
      </c>
      <c r="H13422" s="13" t="s">
        <v>15969</v>
      </c>
      <c r="I13422" s="40" t="s">
        <v>18</v>
      </c>
      <c r="J13422" s="40" t="str">
        <f>HYPERLINK("https://stock.pstatic.net/stock-research/company/57/20250410_company_498480000.pdf","PDF")</f>
        <v>PDF</v>
      </c>
      <c r="K13422" s="12" t="s">
        <v>25515</v>
      </c>
      <c r="L13422" s="20">
        <v>0.6706443914081146</v>
      </c>
    </row>
    <row r="13423" spans="1:12" x14ac:dyDescent="0.45">
      <c r="A13423" s="12" t="s">
        <v>25496</v>
      </c>
      <c r="B13423" s="12" t="s">
        <v>334</v>
      </c>
      <c r="C13423" s="13" t="s">
        <v>335</v>
      </c>
      <c r="D13423" s="13" t="s">
        <v>65</v>
      </c>
      <c r="E13423" s="12" t="s">
        <v>35</v>
      </c>
      <c r="F13423" s="14">
        <v>290000</v>
      </c>
      <c r="G13423" s="14">
        <v>165000</v>
      </c>
      <c r="H13423" s="13" t="s">
        <v>25516</v>
      </c>
      <c r="I13423" s="40" t="s">
        <v>18</v>
      </c>
      <c r="J13423" s="40" t="str">
        <f>HYPERLINK("https://stock.pstatic.net/stock-research/company/57/20250410_company_483916000.pdf","PDF")</f>
        <v>PDF</v>
      </c>
      <c r="K13423" s="12" t="s">
        <v>25517</v>
      </c>
      <c r="L13423" s="20">
        <v>0.75757575757575757</v>
      </c>
    </row>
    <row r="13424" spans="1:12" x14ac:dyDescent="0.45">
      <c r="A13424" s="12" t="s">
        <v>25496</v>
      </c>
      <c r="B13424" s="12" t="s">
        <v>3482</v>
      </c>
      <c r="C13424" s="13" t="s">
        <v>3483</v>
      </c>
      <c r="D13424" s="13" t="s">
        <v>65</v>
      </c>
      <c r="E13424" s="12" t="s">
        <v>35</v>
      </c>
      <c r="F13424" s="14">
        <v>82000</v>
      </c>
      <c r="G13424" s="14">
        <v>52200</v>
      </c>
      <c r="H13424" s="13" t="s">
        <v>25518</v>
      </c>
      <c r="I13424" s="40" t="s">
        <v>18</v>
      </c>
      <c r="J13424" s="40" t="str">
        <f>HYPERLINK("https://stock.pstatic.net/stock-research/company/57/20250410_company_29344000.pdf","PDF")</f>
        <v>PDF</v>
      </c>
      <c r="K13424" s="12" t="s">
        <v>25519</v>
      </c>
      <c r="L13424" s="20">
        <v>0.57088122605363989</v>
      </c>
    </row>
    <row r="13425" spans="1:12" x14ac:dyDescent="0.45">
      <c r="A13425" s="12" t="s">
        <v>25496</v>
      </c>
      <c r="B13425" s="12" t="s">
        <v>3014</v>
      </c>
      <c r="C13425" s="13" t="s">
        <v>3015</v>
      </c>
      <c r="D13425" s="13" t="s">
        <v>65</v>
      </c>
      <c r="E13425" s="12" t="s">
        <v>35</v>
      </c>
      <c r="F13425" s="14">
        <v>80000</v>
      </c>
      <c r="G13425" s="14">
        <v>50200</v>
      </c>
      <c r="H13425" s="13" t="s">
        <v>25520</v>
      </c>
      <c r="I13425" s="40" t="s">
        <v>18</v>
      </c>
      <c r="J13425" s="40" t="str">
        <f>HYPERLINK("https://stock.pstatic.net/stock-research/company/57/20250410_company_853078000.pdf","PDF")</f>
        <v>PDF</v>
      </c>
      <c r="K13425" s="12" t="s">
        <v>25521</v>
      </c>
      <c r="L13425" s="20">
        <v>0.59362549800796816</v>
      </c>
    </row>
    <row r="13426" spans="1:12" x14ac:dyDescent="0.45">
      <c r="A13426" s="12" t="s">
        <v>25496</v>
      </c>
      <c r="B13426" s="12" t="s">
        <v>824</v>
      </c>
      <c r="C13426" s="13" t="s">
        <v>25522</v>
      </c>
      <c r="D13426" s="13" t="s">
        <v>65</v>
      </c>
      <c r="E13426" s="12" t="s">
        <v>35</v>
      </c>
      <c r="F13426" s="14">
        <v>45000</v>
      </c>
      <c r="G13426" s="14">
        <v>34450</v>
      </c>
      <c r="H13426" s="13" t="s">
        <v>25523</v>
      </c>
      <c r="I13426" s="40" t="s">
        <v>18</v>
      </c>
      <c r="J13426" s="40" t="str">
        <f>HYPERLINK("https://stock.pstatic.net/stock-research/company/57/20250410_company_601977000.pdf","PDF")</f>
        <v>PDF</v>
      </c>
      <c r="K13426" s="12" t="s">
        <v>25524</v>
      </c>
      <c r="L13426" s="20">
        <v>0.30624092888243831</v>
      </c>
    </row>
    <row r="13427" spans="1:12" x14ac:dyDescent="0.45">
      <c r="A13427" s="12" t="s">
        <v>25496</v>
      </c>
      <c r="B13427" s="12" t="s">
        <v>2960</v>
      </c>
      <c r="C13427" s="13" t="s">
        <v>2961</v>
      </c>
      <c r="D13427" s="13" t="s">
        <v>65</v>
      </c>
      <c r="E13427" s="12" t="s">
        <v>35</v>
      </c>
      <c r="F13427" s="14">
        <v>45000</v>
      </c>
      <c r="G13427" s="14">
        <v>36200</v>
      </c>
      <c r="H13427" s="13" t="s">
        <v>25525</v>
      </c>
      <c r="I13427" s="40" t="s">
        <v>18</v>
      </c>
      <c r="J13427" s="40" t="str">
        <f>HYPERLINK("https://stock.pstatic.net/stock-research/company/57/20250410_company_729070000.pdf","PDF")</f>
        <v>PDF</v>
      </c>
      <c r="K13427" s="12" t="s">
        <v>25526</v>
      </c>
      <c r="L13427" s="20">
        <v>0.24309392265193369</v>
      </c>
    </row>
    <row r="13428" spans="1:12" x14ac:dyDescent="0.45">
      <c r="A13428" s="12" t="s">
        <v>25496</v>
      </c>
      <c r="B13428" s="12" t="s">
        <v>1656</v>
      </c>
      <c r="C13428" s="13" t="s">
        <v>1657</v>
      </c>
      <c r="D13428" s="13" t="s">
        <v>65</v>
      </c>
      <c r="E13428" s="12" t="s">
        <v>35</v>
      </c>
      <c r="F13428" s="14">
        <v>190000</v>
      </c>
      <c r="G13428" s="14">
        <v>139200</v>
      </c>
      <c r="H13428" s="13" t="s">
        <v>25527</v>
      </c>
      <c r="I13428" s="40" t="s">
        <v>18</v>
      </c>
      <c r="J13428" s="40" t="str">
        <f>HYPERLINK("https://stock.pstatic.net/stock-research/company/57/20250410_company_600345000.pdf","PDF")</f>
        <v>PDF</v>
      </c>
      <c r="K13428" s="12" t="s">
        <v>25528</v>
      </c>
      <c r="L13428" s="20">
        <v>0.36494252873563221</v>
      </c>
    </row>
    <row r="13429" spans="1:12" x14ac:dyDescent="0.45">
      <c r="A13429" s="12" t="s">
        <v>25496</v>
      </c>
      <c r="B13429" s="12" t="s">
        <v>1765</v>
      </c>
      <c r="C13429" s="13" t="s">
        <v>1766</v>
      </c>
      <c r="D13429" s="13" t="s">
        <v>83</v>
      </c>
      <c r="E13429" s="12" t="s">
        <v>35</v>
      </c>
      <c r="F13429" s="14">
        <v>135000</v>
      </c>
      <c r="G13429" s="14">
        <v>83800</v>
      </c>
      <c r="H13429" s="13" t="s">
        <v>25529</v>
      </c>
      <c r="I13429" s="40" t="s">
        <v>18</v>
      </c>
      <c r="J13429" s="40" t="str">
        <f>HYPERLINK("https://stock.pstatic.net/stock-research/company/2/20250410_company_745953000.pdf","PDF")</f>
        <v>PDF</v>
      </c>
      <c r="K13429" s="12" t="s">
        <v>25530</v>
      </c>
      <c r="L13429" s="20">
        <v>0.61097852028639621</v>
      </c>
    </row>
    <row r="13430" spans="1:12" x14ac:dyDescent="0.45">
      <c r="A13430" s="12" t="s">
        <v>25496</v>
      </c>
      <c r="B13430" s="12" t="s">
        <v>4864</v>
      </c>
      <c r="C13430" s="13" t="s">
        <v>4865</v>
      </c>
      <c r="D13430" s="13" t="s">
        <v>83</v>
      </c>
      <c r="E13430" s="12" t="s">
        <v>35</v>
      </c>
      <c r="F13430" s="14">
        <v>60000</v>
      </c>
      <c r="G13430" s="14">
        <v>36050</v>
      </c>
      <c r="H13430" s="13" t="s">
        <v>25531</v>
      </c>
      <c r="I13430" s="40" t="s">
        <v>18</v>
      </c>
      <c r="J13430" s="40" t="str">
        <f>HYPERLINK("https://stock.pstatic.net/stock-research/company/2/20250410_company_871220000.pdf","PDF")</f>
        <v>PDF</v>
      </c>
      <c r="K13430" s="12" t="s">
        <v>25532</v>
      </c>
      <c r="L13430" s="20">
        <v>0.66435506241331488</v>
      </c>
    </row>
    <row r="13431" spans="1:12" x14ac:dyDescent="0.45">
      <c r="A13431" s="12" t="s">
        <v>25496</v>
      </c>
      <c r="B13431" s="12" t="s">
        <v>1765</v>
      </c>
      <c r="C13431" s="13" t="s">
        <v>1766</v>
      </c>
      <c r="D13431" s="13" t="s">
        <v>57</v>
      </c>
      <c r="E13431" s="12" t="s">
        <v>35</v>
      </c>
      <c r="F13431" s="14">
        <v>140000</v>
      </c>
      <c r="G13431" s="14">
        <v>83800</v>
      </c>
      <c r="H13431" s="13" t="s">
        <v>25533</v>
      </c>
      <c r="I13431" s="40" t="s">
        <v>18</v>
      </c>
      <c r="J13431" s="40" t="str">
        <f>HYPERLINK("https://stock.pstatic.net/stock-research/company/16/20250410_company_356861000.pdf","PDF")</f>
        <v>PDF</v>
      </c>
      <c r="K13431" s="12" t="s">
        <v>25534</v>
      </c>
      <c r="L13431" s="20">
        <v>0.6706443914081146</v>
      </c>
    </row>
    <row r="13432" spans="1:12" x14ac:dyDescent="0.45">
      <c r="A13432" s="12" t="s">
        <v>25496</v>
      </c>
      <c r="B13432" s="12" t="s">
        <v>3105</v>
      </c>
      <c r="C13432" s="13" t="s">
        <v>3106</v>
      </c>
      <c r="D13432" s="13" t="s">
        <v>57</v>
      </c>
      <c r="E13432" s="12" t="s">
        <v>35</v>
      </c>
      <c r="F13432" s="14">
        <v>320000</v>
      </c>
      <c r="G13432" s="14">
        <v>215000</v>
      </c>
      <c r="H13432" s="13" t="s">
        <v>25535</v>
      </c>
      <c r="I13432" s="40" t="s">
        <v>18</v>
      </c>
      <c r="J13432" s="40" t="str">
        <f>HYPERLINK("https://stock.pstatic.net/stock-research/company/16/20250410_company_799944000.pdf","PDF")</f>
        <v>PDF</v>
      </c>
      <c r="K13432" s="12" t="s">
        <v>25536</v>
      </c>
      <c r="L13432" s="20">
        <v>0.48837209302325579</v>
      </c>
    </row>
    <row r="13433" spans="1:12" x14ac:dyDescent="0.45">
      <c r="A13433" s="12" t="s">
        <v>25496</v>
      </c>
      <c r="B13433" s="12" t="s">
        <v>3349</v>
      </c>
      <c r="C13433" s="13" t="s">
        <v>7707</v>
      </c>
      <c r="D13433" s="13" t="s">
        <v>57</v>
      </c>
      <c r="E13433" s="12" t="s">
        <v>35</v>
      </c>
      <c r="F13433" s="14">
        <v>30000</v>
      </c>
      <c r="G13433" s="14">
        <v>20850</v>
      </c>
      <c r="H13433" s="13" t="s">
        <v>25537</v>
      </c>
      <c r="I13433" s="40" t="s">
        <v>18</v>
      </c>
      <c r="J13433" s="40" t="str">
        <f>HYPERLINK("https://stock.pstatic.net/stock-research/company/16/20250410_company_694445000.pdf","PDF")</f>
        <v>PDF</v>
      </c>
      <c r="K13433" s="12" t="s">
        <v>25538</v>
      </c>
      <c r="L13433" s="20">
        <v>0.43884892086330929</v>
      </c>
    </row>
    <row r="13434" spans="1:12" x14ac:dyDescent="0.45">
      <c r="A13434" s="12" t="s">
        <v>25496</v>
      </c>
      <c r="B13434" s="12" t="s">
        <v>5658</v>
      </c>
      <c r="C13434" s="13" t="s">
        <v>5659</v>
      </c>
      <c r="D13434" s="13" t="s">
        <v>57</v>
      </c>
      <c r="E13434" s="12" t="s">
        <v>35</v>
      </c>
      <c r="F13434" s="14">
        <v>27000</v>
      </c>
      <c r="G13434" s="14">
        <v>14850</v>
      </c>
      <c r="H13434" s="13" t="s">
        <v>25539</v>
      </c>
      <c r="I13434" s="40" t="s">
        <v>18</v>
      </c>
      <c r="J13434" s="40" t="str">
        <f>HYPERLINK("https://stock.pstatic.net/stock-research/company/16/20250410_company_856648000.pdf","PDF")</f>
        <v>PDF</v>
      </c>
      <c r="K13434" s="12" t="s">
        <v>25540</v>
      </c>
      <c r="L13434" s="20">
        <v>0.81818181818181823</v>
      </c>
    </row>
    <row r="13435" spans="1:12" x14ac:dyDescent="0.45">
      <c r="A13435" s="12" t="s">
        <v>25496</v>
      </c>
      <c r="B13435" s="12" t="s">
        <v>1036</v>
      </c>
      <c r="C13435" s="13" t="s">
        <v>1037</v>
      </c>
      <c r="D13435" s="13" t="s">
        <v>57</v>
      </c>
      <c r="E13435" s="12" t="s">
        <v>159</v>
      </c>
      <c r="F13435" s="14">
        <v>16000</v>
      </c>
      <c r="G13435" s="14">
        <v>13420</v>
      </c>
      <c r="H13435" s="13" t="s">
        <v>25541</v>
      </c>
      <c r="I13435" s="40" t="s">
        <v>18</v>
      </c>
      <c r="J13435" s="40" t="str">
        <f>HYPERLINK("https://stock.pstatic.net/stock-research/company/1/20250410_company_8752000.pdf","PDF")</f>
        <v>PDF</v>
      </c>
      <c r="K13435" s="12" t="s">
        <v>25542</v>
      </c>
      <c r="L13435" s="20">
        <v>0.1922503725782414</v>
      </c>
    </row>
    <row r="13436" spans="1:12" x14ac:dyDescent="0.45">
      <c r="A13436" s="12" t="s">
        <v>25496</v>
      </c>
      <c r="B13436" s="12" t="s">
        <v>4291</v>
      </c>
      <c r="C13436" s="13" t="s">
        <v>4292</v>
      </c>
      <c r="D13436" s="13" t="s">
        <v>179</v>
      </c>
      <c r="E13436" s="12" t="s">
        <v>16</v>
      </c>
      <c r="F13436" s="14">
        <v>8000</v>
      </c>
      <c r="G13436" s="14">
        <v>5620</v>
      </c>
      <c r="H13436" s="13" t="s">
        <v>25543</v>
      </c>
      <c r="I13436" s="40" t="s">
        <v>18</v>
      </c>
      <c r="J13436" s="40" t="str">
        <f>HYPERLINK("https://stock.pstatic.net/stock-research/company/31/20250410_company_530358000.pdf","PDF")</f>
        <v>PDF</v>
      </c>
      <c r="K13436" s="12" t="s">
        <v>25544</v>
      </c>
      <c r="L13436" s="20">
        <v>0.42348754448398579</v>
      </c>
    </row>
    <row r="13437" spans="1:12" x14ac:dyDescent="0.45">
      <c r="A13437" s="12" t="s">
        <v>25496</v>
      </c>
      <c r="B13437" s="12" t="s">
        <v>2346</v>
      </c>
      <c r="C13437" s="13" t="s">
        <v>2347</v>
      </c>
      <c r="D13437" s="13" t="s">
        <v>179</v>
      </c>
      <c r="E13437" s="12" t="s">
        <v>16</v>
      </c>
      <c r="F13437" s="14">
        <v>33000</v>
      </c>
      <c r="G13437" s="14">
        <v>21550</v>
      </c>
      <c r="H13437" s="13" t="s">
        <v>25545</v>
      </c>
      <c r="I13437" s="40" t="s">
        <v>18</v>
      </c>
      <c r="J13437" s="40" t="str">
        <f>HYPERLINK("https://stock.pstatic.net/stock-research/company/31/20250410_company_570892000.pdf","PDF")</f>
        <v>PDF</v>
      </c>
      <c r="K13437" s="12" t="s">
        <v>25546</v>
      </c>
      <c r="L13437" s="20">
        <v>0.53132250580046403</v>
      </c>
    </row>
    <row r="13438" spans="1:12" x14ac:dyDescent="0.45">
      <c r="A13438" s="12" t="s">
        <v>25496</v>
      </c>
      <c r="B13438" s="12" t="s">
        <v>3150</v>
      </c>
      <c r="C13438" s="13" t="s">
        <v>3151</v>
      </c>
      <c r="D13438" s="13" t="s">
        <v>92</v>
      </c>
      <c r="E13438" s="12" t="s">
        <v>35</v>
      </c>
      <c r="F13438" s="14">
        <v>80000</v>
      </c>
      <c r="G13438" s="14">
        <v>52600</v>
      </c>
      <c r="H13438" s="13" t="s">
        <v>25547</v>
      </c>
      <c r="I13438" s="40" t="s">
        <v>18</v>
      </c>
      <c r="J13438" s="40" t="str">
        <f>HYPERLINK("https://stock.pstatic.net/stock-research/company/63/20250410_company_921020000.pdf","PDF")</f>
        <v>PDF</v>
      </c>
      <c r="K13438" s="12" t="s">
        <v>25548</v>
      </c>
      <c r="L13438" s="20">
        <v>0.52091254752851712</v>
      </c>
    </row>
    <row r="13439" spans="1:12" x14ac:dyDescent="0.45">
      <c r="A13439" s="12" t="s">
        <v>25496</v>
      </c>
      <c r="B13439" s="12" t="s">
        <v>545</v>
      </c>
      <c r="C13439" s="13" t="s">
        <v>546</v>
      </c>
      <c r="D13439" s="13" t="s">
        <v>179</v>
      </c>
      <c r="E13439" s="12" t="s">
        <v>16</v>
      </c>
      <c r="F13439" s="14">
        <v>240000</v>
      </c>
      <c r="G13439" s="14">
        <v>167000</v>
      </c>
      <c r="H13439" s="13" t="s">
        <v>25549</v>
      </c>
      <c r="I13439" s="40" t="s">
        <v>18</v>
      </c>
      <c r="J13439" s="40" t="str">
        <f>HYPERLINK("https://stock.pstatic.net/stock-research/company/31/20250410_company_633168000.pdf","PDF")</f>
        <v>PDF</v>
      </c>
      <c r="K13439" s="12" t="s">
        <v>25550</v>
      </c>
      <c r="L13439" s="20">
        <v>0.43712574850299402</v>
      </c>
    </row>
    <row r="13440" spans="1:12" x14ac:dyDescent="0.45">
      <c r="A13440" s="12" t="s">
        <v>25496</v>
      </c>
      <c r="B13440" s="12" t="s">
        <v>42</v>
      </c>
      <c r="C13440" s="13" t="s">
        <v>43</v>
      </c>
      <c r="D13440" s="13" t="s">
        <v>179</v>
      </c>
      <c r="E13440" s="12" t="s">
        <v>16</v>
      </c>
      <c r="F13440" s="14">
        <v>300000</v>
      </c>
      <c r="G13440" s="14">
        <v>176900</v>
      </c>
      <c r="H13440" s="13" t="s">
        <v>25551</v>
      </c>
      <c r="I13440" s="40" t="s">
        <v>18</v>
      </c>
      <c r="J13440" s="40" t="str">
        <f>HYPERLINK("https://stock.pstatic.net/stock-research/company/31/20250410_company_188267000.pdf","PDF")</f>
        <v>PDF</v>
      </c>
      <c r="K13440" s="12" t="s">
        <v>25552</v>
      </c>
      <c r="L13440" s="20">
        <v>0.69587337478801581</v>
      </c>
    </row>
    <row r="13441" spans="1:12" x14ac:dyDescent="0.45">
      <c r="A13441" s="12" t="s">
        <v>25496</v>
      </c>
      <c r="B13441" s="12" t="s">
        <v>3150</v>
      </c>
      <c r="C13441" s="13" t="s">
        <v>3151</v>
      </c>
      <c r="D13441" s="13" t="s">
        <v>158</v>
      </c>
      <c r="E13441" s="12" t="s">
        <v>35</v>
      </c>
      <c r="F13441" s="14">
        <v>80000</v>
      </c>
      <c r="G13441" s="14">
        <v>52600</v>
      </c>
      <c r="H13441" s="13" t="s">
        <v>25553</v>
      </c>
      <c r="I13441" s="40" t="s">
        <v>18</v>
      </c>
      <c r="J13441" s="40" t="str">
        <f>HYPERLINK("https://stock.pstatic.net/stock-research/company/18/20250410_company_400138000.pdf","PDF")</f>
        <v>PDF</v>
      </c>
      <c r="K13441" s="12" t="s">
        <v>25554</v>
      </c>
      <c r="L13441" s="20">
        <v>0.52091254752851712</v>
      </c>
    </row>
    <row r="13442" spans="1:12" x14ac:dyDescent="0.45">
      <c r="A13442" s="12" t="s">
        <v>25496</v>
      </c>
      <c r="B13442" s="12" t="s">
        <v>2089</v>
      </c>
      <c r="C13442" s="13" t="s">
        <v>2090</v>
      </c>
      <c r="D13442" s="13" t="s">
        <v>23</v>
      </c>
      <c r="E13442" s="12" t="s">
        <v>16</v>
      </c>
      <c r="F13442" s="14">
        <v>73000</v>
      </c>
      <c r="G13442" s="14">
        <v>50400</v>
      </c>
      <c r="H13442" s="13" t="s">
        <v>25555</v>
      </c>
      <c r="I13442" s="40" t="s">
        <v>18</v>
      </c>
      <c r="J13442" s="40" t="str">
        <f>HYPERLINK("https://stock.pstatic.net/stock-research/company/21/20250410_company_467322000.pdf","PDF")</f>
        <v>PDF</v>
      </c>
      <c r="K13442" s="12" t="s">
        <v>25556</v>
      </c>
      <c r="L13442" s="20">
        <v>0.44841269841269837</v>
      </c>
    </row>
    <row r="13443" spans="1:12" x14ac:dyDescent="0.45">
      <c r="A13443" s="12" t="s">
        <v>25496</v>
      </c>
      <c r="B13443" s="12" t="s">
        <v>3150</v>
      </c>
      <c r="C13443" s="13" t="s">
        <v>3151</v>
      </c>
      <c r="D13443" s="13" t="s">
        <v>44</v>
      </c>
      <c r="E13443" s="12" t="s">
        <v>50</v>
      </c>
      <c r="F13443" s="13"/>
      <c r="G13443" s="14">
        <v>52600</v>
      </c>
      <c r="H13443" s="13" t="s">
        <v>25557</v>
      </c>
      <c r="I13443" s="40" t="s">
        <v>18</v>
      </c>
      <c r="J13443" s="40" t="str">
        <f>HYPERLINK("https://stock.pstatic.net/stock-research/company/39/20250410_company_657881000.pdf","PDF")</f>
        <v>PDF</v>
      </c>
      <c r="K13443" s="12" t="s">
        <v>25558</v>
      </c>
    </row>
    <row r="13444" spans="1:12" x14ac:dyDescent="0.45">
      <c r="A13444" s="12" t="s">
        <v>25496</v>
      </c>
      <c r="B13444" s="12" t="s">
        <v>450</v>
      </c>
      <c r="C13444" s="13" t="s">
        <v>451</v>
      </c>
      <c r="D13444" s="13" t="s">
        <v>92</v>
      </c>
      <c r="E13444" s="12" t="s">
        <v>35</v>
      </c>
      <c r="F13444" s="14">
        <v>420000</v>
      </c>
      <c r="G13444" s="14">
        <v>290000</v>
      </c>
      <c r="H13444" s="13" t="s">
        <v>25559</v>
      </c>
      <c r="I13444" s="40" t="s">
        <v>18</v>
      </c>
      <c r="J13444" s="40" t="str">
        <f>HYPERLINK("https://stock.pstatic.net/stock-research/company/63/20250410_company_831904000.pdf","PDF")</f>
        <v>PDF</v>
      </c>
      <c r="K13444" s="12" t="s">
        <v>25560</v>
      </c>
      <c r="L13444" s="20">
        <v>0.44827586206896552</v>
      </c>
    </row>
    <row r="13445" spans="1:12" x14ac:dyDescent="0.45">
      <c r="A13445" s="12" t="s">
        <v>25496</v>
      </c>
      <c r="B13445" s="12" t="s">
        <v>6579</v>
      </c>
      <c r="C13445" s="13" t="s">
        <v>6580</v>
      </c>
      <c r="D13445" s="13" t="s">
        <v>124</v>
      </c>
      <c r="E13445" s="12" t="s">
        <v>50</v>
      </c>
      <c r="F13445" s="13"/>
      <c r="G13445" s="13"/>
      <c r="H13445" s="13" t="s">
        <v>25561</v>
      </c>
      <c r="I13445" s="40" t="s">
        <v>18</v>
      </c>
      <c r="J13445" s="40" t="str">
        <f>HYPERLINK("https://stock.pstatic.net/stock-research/company/1/20250410_company_719696000.pdf","PDF")</f>
        <v>PDF</v>
      </c>
      <c r="K13445" s="12" t="s">
        <v>25562</v>
      </c>
    </row>
    <row r="13446" spans="1:12" x14ac:dyDescent="0.45">
      <c r="A13446" s="12" t="s">
        <v>25496</v>
      </c>
      <c r="B13446" s="12" t="s">
        <v>1556</v>
      </c>
      <c r="C13446" s="13" t="s">
        <v>1557</v>
      </c>
      <c r="D13446" s="13" t="s">
        <v>124</v>
      </c>
      <c r="E13446" s="12" t="s">
        <v>50</v>
      </c>
      <c r="F13446" s="13"/>
      <c r="G13446" s="13"/>
      <c r="H13446" s="13" t="s">
        <v>25563</v>
      </c>
      <c r="I13446" s="40" t="s">
        <v>18</v>
      </c>
      <c r="J13446" s="40" t="str">
        <f>HYPERLINK("https://stock.pstatic.net/stock-research/company/74/20250410_company_303291000.pdf","PDF")</f>
        <v>PDF</v>
      </c>
      <c r="K13446" s="12" t="s">
        <v>25564</v>
      </c>
    </row>
    <row r="13447" spans="1:12" x14ac:dyDescent="0.45">
      <c r="A13447" s="12" t="s">
        <v>25496</v>
      </c>
      <c r="B13447" s="12" t="s">
        <v>8204</v>
      </c>
      <c r="C13447" s="13" t="s">
        <v>8205</v>
      </c>
      <c r="D13447" s="13" t="s">
        <v>15</v>
      </c>
      <c r="E13447" s="12" t="s">
        <v>16</v>
      </c>
      <c r="F13447" s="14">
        <v>84000</v>
      </c>
      <c r="G13447" s="14">
        <v>52400</v>
      </c>
      <c r="H13447" s="13" t="s">
        <v>25565</v>
      </c>
      <c r="I13447" s="40" t="s">
        <v>18</v>
      </c>
      <c r="J13447" s="40" t="str">
        <f>HYPERLINK("https://stock.pstatic.net/stock-research/company/29/20250410_company_708142000.pdf","PDF")</f>
        <v>PDF</v>
      </c>
      <c r="K13447" s="12" t="s">
        <v>25566</v>
      </c>
      <c r="L13447" s="20">
        <v>0.60305343511450382</v>
      </c>
    </row>
    <row r="13448" spans="1:12" x14ac:dyDescent="0.45">
      <c r="A13448" s="12" t="s">
        <v>25567</v>
      </c>
      <c r="B13448" s="12" t="s">
        <v>2933</v>
      </c>
      <c r="C13448" s="13" t="s">
        <v>2934</v>
      </c>
      <c r="D13448" s="13" t="s">
        <v>276</v>
      </c>
      <c r="E13448" s="12" t="s">
        <v>16</v>
      </c>
      <c r="F13448" s="14">
        <v>58000</v>
      </c>
      <c r="G13448" s="14">
        <v>45950</v>
      </c>
      <c r="H13448" s="13" t="s">
        <v>25568</v>
      </c>
      <c r="I13448" s="40" t="s">
        <v>18</v>
      </c>
      <c r="J13448" s="40" t="str">
        <f>HYPERLINK("https://stock.pstatic.net/stock-research/company/66/20250409_company_566735000.pdf","PDF")</f>
        <v>PDF</v>
      </c>
      <c r="K13448" s="12" t="s">
        <v>25569</v>
      </c>
      <c r="L13448" s="20">
        <v>0.26224156692056583</v>
      </c>
    </row>
    <row r="13449" spans="1:12" x14ac:dyDescent="0.45">
      <c r="A13449" s="12" t="s">
        <v>25567</v>
      </c>
      <c r="B13449" s="12" t="s">
        <v>13410</v>
      </c>
      <c r="C13449" s="13" t="s">
        <v>13411</v>
      </c>
      <c r="D13449" s="13" t="s">
        <v>60</v>
      </c>
      <c r="E13449" s="12" t="s">
        <v>35</v>
      </c>
      <c r="F13449" s="14">
        <v>200000</v>
      </c>
      <c r="G13449" s="14">
        <v>118200</v>
      </c>
      <c r="H13449" s="13" t="s">
        <v>25570</v>
      </c>
      <c r="I13449" s="40" t="s">
        <v>18</v>
      </c>
      <c r="J13449" s="40" t="str">
        <f>HYPERLINK("https://stock.pstatic.net/stock-research/company/62/20250409_company_398520000.pdf","PDF")</f>
        <v>PDF</v>
      </c>
      <c r="K13449" s="12" t="s">
        <v>25571</v>
      </c>
      <c r="L13449" s="20">
        <v>0.69204737732656518</v>
      </c>
    </row>
    <row r="13450" spans="1:12" x14ac:dyDescent="0.45">
      <c r="A13450" s="12" t="s">
        <v>25567</v>
      </c>
      <c r="B13450" s="12" t="s">
        <v>495</v>
      </c>
      <c r="C13450" s="13" t="s">
        <v>496</v>
      </c>
      <c r="D13450" s="13" t="s">
        <v>65</v>
      </c>
      <c r="E13450" s="12" t="s">
        <v>35</v>
      </c>
      <c r="F13450" s="14">
        <v>90000</v>
      </c>
      <c r="G13450" s="14">
        <v>62400</v>
      </c>
      <c r="H13450" s="13" t="s">
        <v>25572</v>
      </c>
      <c r="I13450" s="40" t="s">
        <v>18</v>
      </c>
      <c r="J13450" s="40" t="str">
        <f>HYPERLINK("https://stock.pstatic.net/stock-research/company/57/20250409_company_893297000.pdf","PDF")</f>
        <v>PDF</v>
      </c>
      <c r="K13450" s="12" t="s">
        <v>25573</v>
      </c>
      <c r="L13450" s="20">
        <v>0.44230769230769229</v>
      </c>
    </row>
    <row r="13451" spans="1:12" x14ac:dyDescent="0.45">
      <c r="A13451" s="12" t="s">
        <v>25567</v>
      </c>
      <c r="B13451" s="12" t="s">
        <v>1660</v>
      </c>
      <c r="C13451" s="13" t="s">
        <v>1661</v>
      </c>
      <c r="D13451" s="13" t="s">
        <v>65</v>
      </c>
      <c r="E13451" s="12" t="s">
        <v>35</v>
      </c>
      <c r="F13451" s="14">
        <v>52000</v>
      </c>
      <c r="G13451" s="14">
        <v>46000</v>
      </c>
      <c r="H13451" s="13" t="s">
        <v>25574</v>
      </c>
      <c r="I13451" s="40" t="s">
        <v>18</v>
      </c>
      <c r="J13451" s="40" t="str">
        <f>HYPERLINK("https://stock.pstatic.net/stock-research/company/57/20250409_company_300526000.pdf","PDF")</f>
        <v>PDF</v>
      </c>
      <c r="K13451" s="12" t="s">
        <v>25575</v>
      </c>
      <c r="L13451" s="20">
        <v>0.13043478260869559</v>
      </c>
    </row>
    <row r="13452" spans="1:12" x14ac:dyDescent="0.45">
      <c r="A13452" s="12" t="s">
        <v>25567</v>
      </c>
      <c r="B13452" s="12" t="s">
        <v>13</v>
      </c>
      <c r="C13452" s="13" t="s">
        <v>14</v>
      </c>
      <c r="D13452" s="13" t="s">
        <v>65</v>
      </c>
      <c r="E13452" s="12" t="s">
        <v>35</v>
      </c>
      <c r="F13452" s="14">
        <v>84000</v>
      </c>
      <c r="G13452" s="14">
        <v>53500</v>
      </c>
      <c r="H13452" s="13" t="s">
        <v>25576</v>
      </c>
      <c r="I13452" s="40" t="s">
        <v>18</v>
      </c>
      <c r="J13452" s="40" t="str">
        <f>HYPERLINK("https://stock.pstatic.net/stock-research/company/57/20250409_company_692196000.pdf","PDF")</f>
        <v>PDF</v>
      </c>
      <c r="K13452" s="12" t="s">
        <v>25577</v>
      </c>
      <c r="L13452" s="20">
        <v>0.57009345794392519</v>
      </c>
    </row>
    <row r="13453" spans="1:12" x14ac:dyDescent="0.45">
      <c r="A13453" s="12" t="s">
        <v>25567</v>
      </c>
      <c r="B13453" s="12" t="s">
        <v>3113</v>
      </c>
      <c r="C13453" s="13" t="s">
        <v>3114</v>
      </c>
      <c r="D13453" s="13" t="s">
        <v>65</v>
      </c>
      <c r="E13453" s="12" t="s">
        <v>35</v>
      </c>
      <c r="F13453" s="14">
        <v>40000</v>
      </c>
      <c r="G13453" s="14">
        <v>23900</v>
      </c>
      <c r="H13453" s="13" t="s">
        <v>25578</v>
      </c>
      <c r="I13453" s="40" t="s">
        <v>18</v>
      </c>
      <c r="J13453" s="40" t="str">
        <f>HYPERLINK("https://stock.pstatic.net/stock-research/company/57/20250409_company_167652000.pdf","PDF")</f>
        <v>PDF</v>
      </c>
      <c r="K13453" s="12" t="s">
        <v>25579</v>
      </c>
      <c r="L13453" s="20">
        <v>0.67364016736401677</v>
      </c>
    </row>
    <row r="13454" spans="1:12" x14ac:dyDescent="0.45">
      <c r="A13454" s="12" t="s">
        <v>25567</v>
      </c>
      <c r="B13454" s="12" t="s">
        <v>3373</v>
      </c>
      <c r="C13454" s="13" t="s">
        <v>3374</v>
      </c>
      <c r="D13454" s="13" t="s">
        <v>65</v>
      </c>
      <c r="E13454" s="12" t="s">
        <v>35</v>
      </c>
      <c r="F13454" s="14">
        <v>115000</v>
      </c>
      <c r="G13454" s="14">
        <v>70500</v>
      </c>
      <c r="H13454" s="13" t="s">
        <v>25580</v>
      </c>
      <c r="I13454" s="40" t="s">
        <v>18</v>
      </c>
      <c r="J13454" s="40" t="str">
        <f>HYPERLINK("https://stock.pstatic.net/stock-research/company/57/20250409_company_962580000.pdf","PDF")</f>
        <v>PDF</v>
      </c>
      <c r="K13454" s="12" t="s">
        <v>25581</v>
      </c>
      <c r="L13454" s="20">
        <v>0.63120567375886527</v>
      </c>
    </row>
    <row r="13455" spans="1:12" x14ac:dyDescent="0.45">
      <c r="A13455" s="12" t="s">
        <v>25567</v>
      </c>
      <c r="B13455" s="12" t="s">
        <v>3164</v>
      </c>
      <c r="C13455" s="13" t="s">
        <v>3165</v>
      </c>
      <c r="D13455" s="13" t="s">
        <v>65</v>
      </c>
      <c r="E13455" s="12" t="s">
        <v>35</v>
      </c>
      <c r="F13455" s="14">
        <v>51000</v>
      </c>
      <c r="G13455" s="14">
        <v>36200</v>
      </c>
      <c r="H13455" s="13" t="s">
        <v>25582</v>
      </c>
      <c r="I13455" s="40" t="s">
        <v>18</v>
      </c>
      <c r="J13455" s="40" t="str">
        <f>HYPERLINK("https://stock.pstatic.net/stock-research/company/57/20250409_company_774564000.pdf","PDF")</f>
        <v>PDF</v>
      </c>
      <c r="K13455" s="12" t="s">
        <v>25583</v>
      </c>
      <c r="L13455" s="20">
        <v>0.40883977900552487</v>
      </c>
    </row>
    <row r="13456" spans="1:12" x14ac:dyDescent="0.45">
      <c r="A13456" s="12" t="s">
        <v>25567</v>
      </c>
      <c r="B13456" s="12" t="s">
        <v>2378</v>
      </c>
      <c r="C13456" s="13" t="s">
        <v>2379</v>
      </c>
      <c r="D13456" s="13" t="s">
        <v>15</v>
      </c>
      <c r="E13456" s="12" t="s">
        <v>16</v>
      </c>
      <c r="F13456" s="14">
        <v>480000</v>
      </c>
      <c r="G13456" s="14">
        <v>318000</v>
      </c>
      <c r="H13456" s="13" t="s">
        <v>25584</v>
      </c>
      <c r="I13456" s="40" t="s">
        <v>18</v>
      </c>
      <c r="J13456" s="40" t="str">
        <f>HYPERLINK("https://stock.pstatic.net/stock-research/company/29/20250409_company_187196000.pdf","PDF")</f>
        <v>PDF</v>
      </c>
      <c r="K13456" s="12" t="s">
        <v>25585</v>
      </c>
      <c r="L13456" s="20">
        <v>0.50943396226415094</v>
      </c>
    </row>
    <row r="13457" spans="1:12" x14ac:dyDescent="0.45">
      <c r="A13457" s="12" t="s">
        <v>25567</v>
      </c>
      <c r="B13457" s="12" t="s">
        <v>1548</v>
      </c>
      <c r="C13457" s="13" t="s">
        <v>1549</v>
      </c>
      <c r="D13457" s="13" t="s">
        <v>57</v>
      </c>
      <c r="E13457" s="12" t="s">
        <v>35</v>
      </c>
      <c r="F13457" s="14">
        <v>940000</v>
      </c>
      <c r="G13457" s="14">
        <v>698000</v>
      </c>
      <c r="H13457" s="13" t="s">
        <v>25586</v>
      </c>
      <c r="I13457" s="40" t="s">
        <v>18</v>
      </c>
      <c r="J13457" s="40" t="str">
        <f>HYPERLINK("https://stock.pstatic.net/stock-research/company/16/20250409_company_242461000.pdf","PDF")</f>
        <v>PDF</v>
      </c>
      <c r="K13457" s="12" t="s">
        <v>25587</v>
      </c>
      <c r="L13457" s="20">
        <v>0.34670487106017189</v>
      </c>
    </row>
    <row r="13458" spans="1:12" x14ac:dyDescent="0.45">
      <c r="A13458" s="12" t="s">
        <v>25567</v>
      </c>
      <c r="B13458" s="12" t="s">
        <v>13</v>
      </c>
      <c r="C13458" s="13" t="s">
        <v>14</v>
      </c>
      <c r="D13458" s="13" t="s">
        <v>57</v>
      </c>
      <c r="E13458" s="12" t="s">
        <v>35</v>
      </c>
      <c r="F13458" s="14">
        <v>73000</v>
      </c>
      <c r="G13458" s="14">
        <v>53500</v>
      </c>
      <c r="H13458" s="13" t="s">
        <v>25588</v>
      </c>
      <c r="I13458" s="40" t="s">
        <v>18</v>
      </c>
      <c r="J13458" s="40" t="str">
        <f>HYPERLINK("https://stock.pstatic.net/stock-research/company/16/20250409_company_711942000.pdf","PDF")</f>
        <v>PDF</v>
      </c>
      <c r="K13458" s="12" t="s">
        <v>25589</v>
      </c>
      <c r="L13458" s="20">
        <v>0.3644859813084112</v>
      </c>
    </row>
    <row r="13459" spans="1:12" x14ac:dyDescent="0.45">
      <c r="A13459" s="12" t="s">
        <v>25567</v>
      </c>
      <c r="B13459" s="12" t="s">
        <v>1773</v>
      </c>
      <c r="C13459" s="13" t="s">
        <v>1774</v>
      </c>
      <c r="D13459" s="13" t="s">
        <v>15</v>
      </c>
      <c r="E13459" s="12" t="s">
        <v>16</v>
      </c>
      <c r="F13459" s="14">
        <v>130000</v>
      </c>
      <c r="G13459" s="14">
        <v>80000</v>
      </c>
      <c r="H13459" s="13" t="s">
        <v>25590</v>
      </c>
      <c r="I13459" s="40" t="s">
        <v>18</v>
      </c>
      <c r="J13459" s="40" t="str">
        <f>HYPERLINK("https://stock.pstatic.net/stock-research/company/29/20250409_company_177584000.pdf","PDF")</f>
        <v>PDF</v>
      </c>
      <c r="K13459" s="12" t="s">
        <v>25591</v>
      </c>
      <c r="L13459" s="20">
        <v>0.625</v>
      </c>
    </row>
    <row r="13460" spans="1:12" x14ac:dyDescent="0.45">
      <c r="A13460" s="12" t="s">
        <v>25567</v>
      </c>
      <c r="B13460" s="12" t="s">
        <v>13</v>
      </c>
      <c r="C13460" s="13" t="s">
        <v>14</v>
      </c>
      <c r="D13460" s="13" t="s">
        <v>34</v>
      </c>
      <c r="E13460" s="12" t="s">
        <v>35</v>
      </c>
      <c r="F13460" s="14">
        <v>70000</v>
      </c>
      <c r="G13460" s="14">
        <v>53500</v>
      </c>
      <c r="H13460" s="13" t="s">
        <v>25592</v>
      </c>
      <c r="I13460" s="40" t="s">
        <v>18</v>
      </c>
      <c r="J13460" s="40" t="str">
        <f>HYPERLINK("https://stock.pstatic.net/stock-research/company/61/20250409_company_729314000.pdf","PDF")</f>
        <v>PDF</v>
      </c>
      <c r="K13460" s="12" t="s">
        <v>25593</v>
      </c>
      <c r="L13460" s="20">
        <v>0.30841121495327101</v>
      </c>
    </row>
    <row r="13461" spans="1:12" x14ac:dyDescent="0.45">
      <c r="A13461" s="12" t="s">
        <v>25567</v>
      </c>
      <c r="B13461" s="12" t="s">
        <v>13</v>
      </c>
      <c r="C13461" s="13" t="s">
        <v>14</v>
      </c>
      <c r="D13461" s="13" t="s">
        <v>53</v>
      </c>
      <c r="E13461" s="12" t="s">
        <v>16</v>
      </c>
      <c r="F13461" s="14">
        <v>75000</v>
      </c>
      <c r="G13461" s="14">
        <v>53500</v>
      </c>
      <c r="H13461" s="13" t="s">
        <v>25594</v>
      </c>
      <c r="I13461" s="40" t="s">
        <v>18</v>
      </c>
      <c r="J13461" s="40" t="str">
        <f>HYPERLINK("https://stock.pstatic.net/stock-research/company/40/20250409_company_128186000.pdf","PDF")</f>
        <v>PDF</v>
      </c>
      <c r="K13461" s="12" t="s">
        <v>25595</v>
      </c>
      <c r="L13461" s="20">
        <v>0.40186915887850472</v>
      </c>
    </row>
    <row r="13462" spans="1:12" x14ac:dyDescent="0.45">
      <c r="A13462" s="12" t="s">
        <v>25567</v>
      </c>
      <c r="B13462" s="12" t="s">
        <v>264</v>
      </c>
      <c r="C13462" s="13" t="s">
        <v>265</v>
      </c>
      <c r="D13462" s="13" t="s">
        <v>83</v>
      </c>
      <c r="E13462" s="12" t="s">
        <v>35</v>
      </c>
      <c r="F13462" s="14">
        <v>132000</v>
      </c>
      <c r="G13462" s="14">
        <v>98900</v>
      </c>
      <c r="H13462" s="13" t="s">
        <v>25596</v>
      </c>
      <c r="I13462" s="40" t="s">
        <v>18</v>
      </c>
      <c r="J13462" s="40" t="str">
        <f>HYPERLINK("https://stock.pstatic.net/stock-research/company/2/20250409_company_759427000.pdf","PDF")</f>
        <v>PDF</v>
      </c>
      <c r="K13462" s="12" t="s">
        <v>25597</v>
      </c>
      <c r="L13462" s="20">
        <v>0.33468149646107181</v>
      </c>
    </row>
    <row r="13463" spans="1:12" x14ac:dyDescent="0.45">
      <c r="A13463" s="12" t="s">
        <v>25567</v>
      </c>
      <c r="B13463" s="12" t="s">
        <v>3230</v>
      </c>
      <c r="C13463" s="13" t="s">
        <v>3231</v>
      </c>
      <c r="D13463" s="13" t="s">
        <v>83</v>
      </c>
      <c r="E13463" s="12" t="s">
        <v>35</v>
      </c>
      <c r="F13463" s="14">
        <v>540000</v>
      </c>
      <c r="G13463" s="14">
        <v>393500</v>
      </c>
      <c r="H13463" s="13" t="s">
        <v>25598</v>
      </c>
      <c r="I13463" s="40" t="s">
        <v>18</v>
      </c>
      <c r="J13463" s="40" t="str">
        <f>HYPERLINK("https://stock.pstatic.net/stock-research/company/2/20250409_company_692663000.pdf","PDF")</f>
        <v>PDF</v>
      </c>
      <c r="K13463" s="12" t="s">
        <v>25599</v>
      </c>
      <c r="L13463" s="20">
        <v>0.37229987293519701</v>
      </c>
    </row>
    <row r="13464" spans="1:12" x14ac:dyDescent="0.45">
      <c r="A13464" s="12" t="s">
        <v>25567</v>
      </c>
      <c r="B13464" s="12" t="s">
        <v>3182</v>
      </c>
      <c r="C13464" s="13" t="s">
        <v>3183</v>
      </c>
      <c r="D13464" s="13" t="s">
        <v>83</v>
      </c>
      <c r="E13464" s="12" t="s">
        <v>35</v>
      </c>
      <c r="F13464" s="14">
        <v>375000</v>
      </c>
      <c r="G13464" s="14">
        <v>265000</v>
      </c>
      <c r="H13464" s="13" t="s">
        <v>25600</v>
      </c>
      <c r="I13464" s="40" t="s">
        <v>18</v>
      </c>
      <c r="J13464" s="40" t="str">
        <f>HYPERLINK("https://stock.pstatic.net/stock-research/company/2/20250409_company_45886000.pdf","PDF")</f>
        <v>PDF</v>
      </c>
      <c r="K13464" s="12" t="s">
        <v>25601</v>
      </c>
      <c r="L13464" s="20">
        <v>0.41509433962264147</v>
      </c>
    </row>
    <row r="13465" spans="1:12" x14ac:dyDescent="0.45">
      <c r="A13465" s="12" t="s">
        <v>25567</v>
      </c>
      <c r="B13465" s="12" t="s">
        <v>25602</v>
      </c>
      <c r="C13465" s="13" t="s">
        <v>25603</v>
      </c>
      <c r="D13465" s="13" t="s">
        <v>83</v>
      </c>
      <c r="E13465" s="12" t="s">
        <v>50</v>
      </c>
      <c r="F13465" s="13"/>
      <c r="G13465" s="14">
        <v>35100</v>
      </c>
      <c r="H13465" s="13" t="s">
        <v>25604</v>
      </c>
      <c r="I13465" s="40" t="s">
        <v>18</v>
      </c>
      <c r="J13465" s="40" t="str">
        <f>HYPERLINK("https://stock.pstatic.net/stock-research/company/2/20250409_company_94500000.pdf","PDF")</f>
        <v>PDF</v>
      </c>
      <c r="K13465" s="12" t="s">
        <v>25605</v>
      </c>
    </row>
    <row r="13466" spans="1:12" x14ac:dyDescent="0.45">
      <c r="A13466" s="12" t="s">
        <v>25567</v>
      </c>
      <c r="B13466" s="12" t="s">
        <v>4021</v>
      </c>
      <c r="C13466" s="13" t="s">
        <v>4022</v>
      </c>
      <c r="D13466" s="13" t="s">
        <v>83</v>
      </c>
      <c r="E13466" s="12" t="s">
        <v>35</v>
      </c>
      <c r="F13466" s="14">
        <v>230000</v>
      </c>
      <c r="G13466" s="14">
        <v>152900</v>
      </c>
      <c r="H13466" s="13" t="s">
        <v>25606</v>
      </c>
      <c r="I13466" s="40" t="s">
        <v>18</v>
      </c>
      <c r="J13466" s="40" t="str">
        <f>HYPERLINK("https://stock.pstatic.net/stock-research/company/2/20250409_company_76824000.pdf","PDF")</f>
        <v>PDF</v>
      </c>
      <c r="K13466" s="12" t="s">
        <v>25607</v>
      </c>
      <c r="L13466" s="20">
        <v>0.50425114453891429</v>
      </c>
    </row>
    <row r="13467" spans="1:12" x14ac:dyDescent="0.45">
      <c r="A13467" s="12" t="s">
        <v>25567</v>
      </c>
      <c r="B13467" s="12" t="s">
        <v>1656</v>
      </c>
      <c r="C13467" s="13" t="s">
        <v>1657</v>
      </c>
      <c r="D13467" s="13" t="s">
        <v>23</v>
      </c>
      <c r="E13467" s="12" t="s">
        <v>16</v>
      </c>
      <c r="F13467" s="14">
        <v>170000</v>
      </c>
      <c r="G13467" s="14">
        <v>149800</v>
      </c>
      <c r="H13467" s="13" t="s">
        <v>25608</v>
      </c>
      <c r="I13467" s="40" t="s">
        <v>18</v>
      </c>
      <c r="J13467" s="40" t="str">
        <f>HYPERLINK("https://stock.pstatic.net/stock-research/company/21/20250409_company_146664000.pdf","PDF")</f>
        <v>PDF</v>
      </c>
      <c r="K13467" s="12" t="s">
        <v>25609</v>
      </c>
      <c r="L13467" s="20">
        <v>0.13484646194926569</v>
      </c>
    </row>
    <row r="13468" spans="1:12" x14ac:dyDescent="0.45">
      <c r="A13468" s="12" t="s">
        <v>25567</v>
      </c>
      <c r="B13468" s="12" t="s">
        <v>27</v>
      </c>
      <c r="C13468" s="13" t="s">
        <v>28</v>
      </c>
      <c r="D13468" s="13" t="s">
        <v>23</v>
      </c>
      <c r="E13468" s="12" t="s">
        <v>16</v>
      </c>
      <c r="F13468" s="14">
        <v>77000</v>
      </c>
      <c r="G13468" s="14">
        <v>63000</v>
      </c>
      <c r="H13468" s="13" t="s">
        <v>15272</v>
      </c>
      <c r="I13468" s="40" t="s">
        <v>18</v>
      </c>
      <c r="J13468" s="40" t="str">
        <f>HYPERLINK("https://stock.pstatic.net/stock-research/company/1/20250409_company_377061000.pdf","PDF")</f>
        <v>PDF</v>
      </c>
      <c r="K13468" s="12" t="s">
        <v>25610</v>
      </c>
      <c r="L13468" s="20">
        <v>0.22222222222222221</v>
      </c>
    </row>
    <row r="13469" spans="1:12" x14ac:dyDescent="0.45">
      <c r="A13469" s="12" t="s">
        <v>25567</v>
      </c>
      <c r="B13469" s="12" t="s">
        <v>1548</v>
      </c>
      <c r="C13469" s="13" t="s">
        <v>1549</v>
      </c>
      <c r="D13469" s="13" t="s">
        <v>23</v>
      </c>
      <c r="E13469" s="12" t="s">
        <v>16</v>
      </c>
      <c r="F13469" s="14">
        <v>800000</v>
      </c>
      <c r="G13469" s="14">
        <v>698000</v>
      </c>
      <c r="H13469" s="13" t="s">
        <v>25611</v>
      </c>
      <c r="I13469" s="40" t="s">
        <v>18</v>
      </c>
      <c r="J13469" s="40" t="str">
        <f>HYPERLINK("https://stock.pstatic.net/stock-research/company/21/20250409_company_499743000.pdf","PDF")</f>
        <v>PDF</v>
      </c>
      <c r="K13469" s="12" t="s">
        <v>25612</v>
      </c>
      <c r="L13469" s="20">
        <v>0.14613180515759311</v>
      </c>
    </row>
    <row r="13470" spans="1:12" x14ac:dyDescent="0.45">
      <c r="A13470" s="12" t="s">
        <v>25567</v>
      </c>
      <c r="B13470" s="12" t="s">
        <v>15000</v>
      </c>
      <c r="C13470" s="13" t="s">
        <v>15001</v>
      </c>
      <c r="D13470" s="13" t="s">
        <v>23</v>
      </c>
      <c r="E13470" s="12" t="s">
        <v>50</v>
      </c>
      <c r="F13470" s="13"/>
      <c r="G13470" s="14">
        <v>20350</v>
      </c>
      <c r="H13470" s="13" t="s">
        <v>25613</v>
      </c>
      <c r="I13470" s="40" t="s">
        <v>18</v>
      </c>
      <c r="J13470" s="40" t="str">
        <f>HYPERLINK("https://stock.pstatic.net/stock-research/company/1/20250409_company_29256000.pdf","PDF")</f>
        <v>PDF</v>
      </c>
      <c r="K13470" s="12" t="s">
        <v>25614</v>
      </c>
    </row>
    <row r="13471" spans="1:12" x14ac:dyDescent="0.45">
      <c r="A13471" s="12" t="s">
        <v>25567</v>
      </c>
      <c r="B13471" s="12" t="s">
        <v>1548</v>
      </c>
      <c r="C13471" s="13" t="s">
        <v>1549</v>
      </c>
      <c r="D13471" s="13" t="s">
        <v>44</v>
      </c>
      <c r="E13471" s="12" t="s">
        <v>35</v>
      </c>
      <c r="F13471" s="14">
        <v>860000</v>
      </c>
      <c r="G13471" s="14">
        <v>698000</v>
      </c>
      <c r="H13471" s="13" t="s">
        <v>25615</v>
      </c>
      <c r="I13471" s="40" t="s">
        <v>18</v>
      </c>
      <c r="J13471" s="40" t="str">
        <f>HYPERLINK("https://stock.pstatic.net/stock-research/company/39/20250409_company_211088000.pdf","PDF")</f>
        <v>PDF</v>
      </c>
      <c r="K13471" s="12" t="s">
        <v>25616</v>
      </c>
      <c r="L13471" s="20">
        <v>0.23209169054441259</v>
      </c>
    </row>
    <row r="13472" spans="1:12" x14ac:dyDescent="0.45">
      <c r="A13472" s="12" t="s">
        <v>25567</v>
      </c>
      <c r="B13472" s="12" t="s">
        <v>3105</v>
      </c>
      <c r="C13472" s="13" t="s">
        <v>3106</v>
      </c>
      <c r="D13472" s="13" t="s">
        <v>53</v>
      </c>
      <c r="E13472" s="12" t="s">
        <v>35</v>
      </c>
      <c r="F13472" s="14">
        <v>320000</v>
      </c>
      <c r="G13472" s="14">
        <v>230500</v>
      </c>
      <c r="H13472" s="13" t="s">
        <v>25617</v>
      </c>
      <c r="I13472" s="40" t="s">
        <v>18</v>
      </c>
      <c r="J13472" s="40" t="str">
        <f>HYPERLINK("https://stock.pstatic.net/stock-research/company/18/20250409_company_550755000.pdf","PDF")</f>
        <v>PDF</v>
      </c>
      <c r="K13472" s="12" t="s">
        <v>25618</v>
      </c>
      <c r="L13472" s="20">
        <v>0.38828633405639912</v>
      </c>
    </row>
    <row r="13473" spans="1:12" x14ac:dyDescent="0.45">
      <c r="A13473" s="12" t="s">
        <v>25567</v>
      </c>
      <c r="B13473" s="12" t="s">
        <v>6110</v>
      </c>
      <c r="C13473" s="13" t="s">
        <v>6111</v>
      </c>
      <c r="D13473" s="13" t="s">
        <v>92</v>
      </c>
      <c r="E13473" s="12" t="s">
        <v>50</v>
      </c>
      <c r="F13473" s="13"/>
      <c r="G13473" s="14">
        <v>6230</v>
      </c>
      <c r="H13473" s="13" t="s">
        <v>25619</v>
      </c>
      <c r="I13473" s="40" t="s">
        <v>18</v>
      </c>
      <c r="J13473" s="40" t="str">
        <f>HYPERLINK("https://stock.pstatic.net/stock-research/company/63/20250409_company_757019000.pdf","PDF")</f>
        <v>PDF</v>
      </c>
      <c r="K13473" s="12" t="s">
        <v>25620</v>
      </c>
    </row>
    <row r="13474" spans="1:12" x14ac:dyDescent="0.45">
      <c r="A13474" s="12" t="s">
        <v>25567</v>
      </c>
      <c r="B13474" s="12" t="s">
        <v>13</v>
      </c>
      <c r="C13474" s="13" t="s">
        <v>14</v>
      </c>
      <c r="D13474" s="13" t="s">
        <v>158</v>
      </c>
      <c r="E13474" s="12" t="s">
        <v>35</v>
      </c>
      <c r="F13474" s="14">
        <v>70000</v>
      </c>
      <c r="G13474" s="14">
        <v>53500</v>
      </c>
      <c r="H13474" s="13" t="s">
        <v>25621</v>
      </c>
      <c r="I13474" s="40" t="s">
        <v>18</v>
      </c>
      <c r="J13474" s="40" t="str">
        <f>HYPERLINK("https://stock.pstatic.net/stock-research/company/1/20250409_company_178417000.pdf","PDF")</f>
        <v>PDF</v>
      </c>
      <c r="K13474" s="12" t="s">
        <v>25622</v>
      </c>
      <c r="L13474" s="20">
        <v>0.30841121495327101</v>
      </c>
    </row>
    <row r="13475" spans="1:12" x14ac:dyDescent="0.45">
      <c r="A13475" s="12" t="s">
        <v>25567</v>
      </c>
      <c r="B13475" s="12" t="s">
        <v>3105</v>
      </c>
      <c r="C13475" s="13" t="s">
        <v>3106</v>
      </c>
      <c r="D13475" s="13" t="s">
        <v>158</v>
      </c>
      <c r="E13475" s="12" t="s">
        <v>35</v>
      </c>
      <c r="F13475" s="14">
        <v>300000</v>
      </c>
      <c r="G13475" s="14">
        <v>230500</v>
      </c>
      <c r="H13475" s="13" t="s">
        <v>25623</v>
      </c>
      <c r="I13475" s="40" t="s">
        <v>18</v>
      </c>
      <c r="J13475" s="40" t="str">
        <f>HYPERLINK("https://stock.pstatic.net/stock-research/company/1/20250409_company_276547000.pdf","PDF")</f>
        <v>PDF</v>
      </c>
      <c r="K13475" s="12" t="s">
        <v>25624</v>
      </c>
      <c r="L13475" s="20">
        <v>0.30151843817787422</v>
      </c>
    </row>
    <row r="13476" spans="1:12" x14ac:dyDescent="0.45">
      <c r="A13476" s="12" t="s">
        <v>25567</v>
      </c>
      <c r="B13476" s="12" t="s">
        <v>533</v>
      </c>
      <c r="C13476" s="13" t="s">
        <v>534</v>
      </c>
      <c r="D13476" s="13" t="s">
        <v>158</v>
      </c>
      <c r="E13476" s="12" t="s">
        <v>35</v>
      </c>
      <c r="F13476" s="14">
        <v>58500</v>
      </c>
      <c r="G13476" s="14">
        <v>47450</v>
      </c>
      <c r="H13476" s="13" t="s">
        <v>25354</v>
      </c>
      <c r="I13476" s="40" t="s">
        <v>18</v>
      </c>
      <c r="J13476" s="40" t="str">
        <f>HYPERLINK("https://stock.pstatic.net/stock-research/company/18/20250409_company_524679000.pdf","PDF")</f>
        <v>PDF</v>
      </c>
      <c r="K13476" s="12" t="s">
        <v>25625</v>
      </c>
      <c r="L13476" s="20">
        <v>0.23287671232876711</v>
      </c>
    </row>
    <row r="13477" spans="1:12" x14ac:dyDescent="0.45">
      <c r="A13477" s="12" t="s">
        <v>25567</v>
      </c>
      <c r="B13477" s="12" t="s">
        <v>577</v>
      </c>
      <c r="C13477" s="13" t="s">
        <v>578</v>
      </c>
      <c r="D13477" s="13" t="s">
        <v>44</v>
      </c>
      <c r="E13477" s="12" t="s">
        <v>35</v>
      </c>
      <c r="F13477" s="14">
        <v>375000</v>
      </c>
      <c r="G13477" s="14">
        <v>236500</v>
      </c>
      <c r="H13477" s="13" t="s">
        <v>25626</v>
      </c>
      <c r="I13477" s="40" t="s">
        <v>18</v>
      </c>
      <c r="J13477" s="40" t="str">
        <f>HYPERLINK("https://stock.pstatic.net/stock-research/company/39/20250409_company_441873000.pdf","PDF")</f>
        <v>PDF</v>
      </c>
      <c r="K13477" s="12" t="s">
        <v>25627</v>
      </c>
      <c r="L13477" s="20">
        <v>0.58562367864693443</v>
      </c>
    </row>
    <row r="13478" spans="1:12" x14ac:dyDescent="0.45">
      <c r="A13478" s="12" t="s">
        <v>25567</v>
      </c>
      <c r="B13478" s="12" t="s">
        <v>2621</v>
      </c>
      <c r="C13478" s="13" t="s">
        <v>2622</v>
      </c>
      <c r="D13478" s="13" t="s">
        <v>53</v>
      </c>
      <c r="E13478" s="12" t="s">
        <v>16</v>
      </c>
      <c r="F13478" s="14">
        <v>9000</v>
      </c>
      <c r="G13478" s="14">
        <v>6940</v>
      </c>
      <c r="H13478" s="13" t="s">
        <v>25628</v>
      </c>
      <c r="I13478" s="40" t="s">
        <v>18</v>
      </c>
      <c r="J13478" s="40" t="str">
        <f>HYPERLINK("https://stock.pstatic.net/stock-research/company/40/20250409_company_683197000.pdf","PDF")</f>
        <v>PDF</v>
      </c>
      <c r="K13478" s="12" t="s">
        <v>25629</v>
      </c>
      <c r="L13478" s="20">
        <v>0.29682997118155618</v>
      </c>
    </row>
    <row r="13479" spans="1:12" x14ac:dyDescent="0.45">
      <c r="A13479" s="12" t="s">
        <v>25567</v>
      </c>
      <c r="B13479" s="12" t="s">
        <v>63</v>
      </c>
      <c r="C13479" s="13" t="s">
        <v>64</v>
      </c>
      <c r="D13479" s="13" t="s">
        <v>44</v>
      </c>
      <c r="E13479" s="12" t="s">
        <v>35</v>
      </c>
      <c r="F13479" s="14">
        <v>330000</v>
      </c>
      <c r="G13479" s="14">
        <v>231000</v>
      </c>
      <c r="H13479" s="13" t="s">
        <v>25630</v>
      </c>
      <c r="I13479" s="40" t="s">
        <v>18</v>
      </c>
      <c r="J13479" s="40" t="str">
        <f>HYPERLINK("https://stock.pstatic.net/stock-research/company/39/20250409_company_144017000.pdf","PDF")</f>
        <v>PDF</v>
      </c>
      <c r="K13479" s="12" t="s">
        <v>25631</v>
      </c>
      <c r="L13479" s="20">
        <v>0.42857142857142849</v>
      </c>
    </row>
    <row r="13480" spans="1:12" x14ac:dyDescent="0.45">
      <c r="A13480" s="12" t="s">
        <v>25632</v>
      </c>
      <c r="B13480" s="12" t="s">
        <v>732</v>
      </c>
      <c r="C13480" s="13" t="s">
        <v>733</v>
      </c>
      <c r="D13480" s="13" t="s">
        <v>276</v>
      </c>
      <c r="E13480" s="12" t="s">
        <v>16</v>
      </c>
      <c r="F13480" s="14">
        <v>150000</v>
      </c>
      <c r="G13480" s="14">
        <v>95900</v>
      </c>
      <c r="H13480" s="13" t="s">
        <v>25633</v>
      </c>
      <c r="I13480" s="40" t="s">
        <v>18</v>
      </c>
      <c r="J13480" s="40" t="str">
        <f>HYPERLINK("https://stock.pstatic.net/stock-research/company/66/20250408_company_67332000.pdf","PDF")</f>
        <v>PDF</v>
      </c>
      <c r="K13480" s="12" t="s">
        <v>25634</v>
      </c>
      <c r="L13480" s="20">
        <v>0.56412930135557871</v>
      </c>
    </row>
    <row r="13481" spans="1:12" x14ac:dyDescent="0.45">
      <c r="A13481" s="12" t="s">
        <v>25632</v>
      </c>
      <c r="B13481" s="12" t="s">
        <v>1781</v>
      </c>
      <c r="C13481" s="13" t="s">
        <v>1782</v>
      </c>
      <c r="D13481" s="13" t="s">
        <v>65</v>
      </c>
      <c r="E13481" s="12" t="s">
        <v>35</v>
      </c>
      <c r="F13481" s="14">
        <v>110000</v>
      </c>
      <c r="G13481" s="14">
        <v>68100</v>
      </c>
      <c r="H13481" s="13" t="s">
        <v>25635</v>
      </c>
      <c r="I13481" s="40" t="s">
        <v>18</v>
      </c>
      <c r="J13481" s="40" t="str">
        <f>HYPERLINK("https://stock.pstatic.net/stock-research/company/57/20250408_company_407270000.pdf","PDF")</f>
        <v>PDF</v>
      </c>
      <c r="K13481" s="12" t="s">
        <v>25636</v>
      </c>
      <c r="L13481" s="20">
        <v>0.61527165932452277</v>
      </c>
    </row>
    <row r="13482" spans="1:12" x14ac:dyDescent="0.45">
      <c r="A13482" s="12" t="s">
        <v>25632</v>
      </c>
      <c r="B13482" s="12" t="s">
        <v>533</v>
      </c>
      <c r="C13482" s="13" t="s">
        <v>534</v>
      </c>
      <c r="D13482" s="13" t="s">
        <v>65</v>
      </c>
      <c r="E13482" s="12" t="s">
        <v>35</v>
      </c>
      <c r="F13482" s="14">
        <v>70000</v>
      </c>
      <c r="G13482" s="14">
        <v>48350</v>
      </c>
      <c r="H13482" s="13" t="s">
        <v>25637</v>
      </c>
      <c r="I13482" s="40" t="s">
        <v>18</v>
      </c>
      <c r="J13482" s="40" t="str">
        <f>HYPERLINK("https://stock.pstatic.net/stock-research/company/57/20250408_company_882222000.pdf","PDF")</f>
        <v>PDF</v>
      </c>
      <c r="K13482" s="12" t="s">
        <v>25638</v>
      </c>
      <c r="L13482" s="20">
        <v>0.44777662874870727</v>
      </c>
    </row>
    <row r="13483" spans="1:12" x14ac:dyDescent="0.45">
      <c r="A13483" s="12" t="s">
        <v>25632</v>
      </c>
      <c r="B13483" s="12" t="s">
        <v>537</v>
      </c>
      <c r="C13483" s="13" t="s">
        <v>538</v>
      </c>
      <c r="D13483" s="13" t="s">
        <v>65</v>
      </c>
      <c r="E13483" s="12" t="s">
        <v>35</v>
      </c>
      <c r="F13483" s="14">
        <v>14000</v>
      </c>
      <c r="G13483" s="14">
        <v>10400</v>
      </c>
      <c r="H13483" s="13" t="s">
        <v>25639</v>
      </c>
      <c r="I13483" s="40" t="s">
        <v>18</v>
      </c>
      <c r="J13483" s="40" t="str">
        <f>HYPERLINK("https://stock.pstatic.net/stock-research/company/57/20250408_company_713779000.pdf","PDF")</f>
        <v>PDF</v>
      </c>
      <c r="K13483" s="12" t="s">
        <v>25640</v>
      </c>
      <c r="L13483" s="20">
        <v>0.34615384615384609</v>
      </c>
    </row>
    <row r="13484" spans="1:12" x14ac:dyDescent="0.45">
      <c r="A13484" s="12" t="s">
        <v>25632</v>
      </c>
      <c r="B13484" s="12" t="s">
        <v>541</v>
      </c>
      <c r="C13484" s="13" t="s">
        <v>542</v>
      </c>
      <c r="D13484" s="13" t="s">
        <v>65</v>
      </c>
      <c r="E13484" s="12" t="s">
        <v>35</v>
      </c>
      <c r="F13484" s="14">
        <v>70000</v>
      </c>
      <c r="G13484" s="14">
        <v>55900</v>
      </c>
      <c r="H13484" s="13" t="s">
        <v>25641</v>
      </c>
      <c r="I13484" s="40" t="s">
        <v>18</v>
      </c>
      <c r="J13484" s="40" t="str">
        <f>HYPERLINK("https://stock.pstatic.net/stock-research/company/57/20250408_company_945811000.pdf","PDF")</f>
        <v>PDF</v>
      </c>
      <c r="K13484" s="12" t="s">
        <v>25642</v>
      </c>
      <c r="L13484" s="20">
        <v>0.25223613595706618</v>
      </c>
    </row>
    <row r="13485" spans="1:12" x14ac:dyDescent="0.45">
      <c r="A13485" s="12" t="s">
        <v>25632</v>
      </c>
      <c r="B13485" s="12" t="s">
        <v>888</v>
      </c>
      <c r="C13485" s="13" t="s">
        <v>889</v>
      </c>
      <c r="D13485" s="13" t="s">
        <v>65</v>
      </c>
      <c r="E13485" s="12" t="s">
        <v>35</v>
      </c>
      <c r="F13485" s="14">
        <v>64000</v>
      </c>
      <c r="G13485" s="14">
        <v>51100</v>
      </c>
      <c r="H13485" s="13" t="s">
        <v>25643</v>
      </c>
      <c r="I13485" s="40" t="s">
        <v>18</v>
      </c>
      <c r="J13485" s="40" t="str">
        <f>HYPERLINK("https://stock.pstatic.net/stock-research/company/57/20250408_company_438781000.pdf","PDF")</f>
        <v>PDF</v>
      </c>
      <c r="K13485" s="12" t="s">
        <v>25644</v>
      </c>
      <c r="L13485" s="20">
        <v>0.25244618395303331</v>
      </c>
    </row>
    <row r="13486" spans="1:12" x14ac:dyDescent="0.45">
      <c r="A13486" s="12" t="s">
        <v>25632</v>
      </c>
      <c r="B13486" s="12" t="s">
        <v>3164</v>
      </c>
      <c r="C13486" s="13" t="s">
        <v>3165</v>
      </c>
      <c r="D13486" s="13" t="s">
        <v>57</v>
      </c>
      <c r="E13486" s="12" t="s">
        <v>35</v>
      </c>
      <c r="F13486" s="14">
        <v>50000</v>
      </c>
      <c r="G13486" s="14">
        <v>34550</v>
      </c>
      <c r="H13486" s="13" t="s">
        <v>25645</v>
      </c>
      <c r="I13486" s="40" t="s">
        <v>18</v>
      </c>
      <c r="J13486" s="40" t="str">
        <f>HYPERLINK("https://stock.pstatic.net/stock-research/company/16/20250408_company_93024000.pdf","PDF")</f>
        <v>PDF</v>
      </c>
      <c r="K13486" s="12" t="s">
        <v>25646</v>
      </c>
      <c r="L13486" s="20">
        <v>0.447178002894356</v>
      </c>
    </row>
    <row r="13487" spans="1:12" x14ac:dyDescent="0.45">
      <c r="A13487" s="12" t="s">
        <v>25632</v>
      </c>
      <c r="B13487" s="12" t="s">
        <v>3584</v>
      </c>
      <c r="C13487" s="13" t="s">
        <v>3585</v>
      </c>
      <c r="D13487" s="13" t="s">
        <v>57</v>
      </c>
      <c r="E13487" s="12" t="s">
        <v>35</v>
      </c>
      <c r="F13487" s="14">
        <v>26000</v>
      </c>
      <c r="G13487" s="14">
        <v>17490</v>
      </c>
      <c r="H13487" s="13" t="s">
        <v>25647</v>
      </c>
      <c r="I13487" s="40" t="s">
        <v>18</v>
      </c>
      <c r="J13487" s="40" t="str">
        <f>HYPERLINK("https://stock.pstatic.net/stock-research/company/12/20250408_company_465206000.pdf","PDF")</f>
        <v>PDF</v>
      </c>
      <c r="K13487" s="12" t="s">
        <v>25648</v>
      </c>
      <c r="L13487" s="20">
        <v>0.4865637507146941</v>
      </c>
    </row>
    <row r="13488" spans="1:12" x14ac:dyDescent="0.45">
      <c r="A13488" s="12" t="s">
        <v>25632</v>
      </c>
      <c r="B13488" s="12" t="s">
        <v>6347</v>
      </c>
      <c r="C13488" s="13" t="s">
        <v>6348</v>
      </c>
      <c r="D13488" s="13" t="s">
        <v>158</v>
      </c>
      <c r="E13488" s="12" t="s">
        <v>50</v>
      </c>
      <c r="F13488" s="13"/>
      <c r="G13488" s="14">
        <v>26900</v>
      </c>
      <c r="H13488" s="13" t="s">
        <v>25649</v>
      </c>
      <c r="I13488" s="40" t="s">
        <v>18</v>
      </c>
      <c r="J13488" s="40" t="str">
        <f>HYPERLINK("https://stock.pstatic.net/stock-research/company/18/20250408_company_804096000.pdf","PDF")</f>
        <v>PDF</v>
      </c>
      <c r="K13488" s="12" t="s">
        <v>25650</v>
      </c>
    </row>
    <row r="13489" spans="1:12" x14ac:dyDescent="0.45">
      <c r="A13489" s="12" t="s">
        <v>25632</v>
      </c>
      <c r="B13489" s="12" t="s">
        <v>2815</v>
      </c>
      <c r="C13489" s="13" t="s">
        <v>2816</v>
      </c>
      <c r="D13489" s="13" t="s">
        <v>158</v>
      </c>
      <c r="E13489" s="12" t="s">
        <v>50</v>
      </c>
      <c r="F13489" s="13"/>
      <c r="G13489" s="14">
        <v>8960</v>
      </c>
      <c r="H13489" s="13" t="s">
        <v>25651</v>
      </c>
      <c r="I13489" s="40" t="s">
        <v>18</v>
      </c>
      <c r="J13489" s="40" t="str">
        <f>HYPERLINK("https://stock.pstatic.net/stock-research/company/18/20250408_company_400653000.pdf","PDF")</f>
        <v>PDF</v>
      </c>
      <c r="K13489" s="12" t="s">
        <v>25652</v>
      </c>
    </row>
    <row r="13490" spans="1:12" x14ac:dyDescent="0.45">
      <c r="A13490" s="12" t="s">
        <v>25632</v>
      </c>
      <c r="B13490" s="12" t="s">
        <v>2887</v>
      </c>
      <c r="C13490" s="13" t="s">
        <v>2888</v>
      </c>
      <c r="D13490" s="13" t="s">
        <v>158</v>
      </c>
      <c r="E13490" s="12" t="s">
        <v>35</v>
      </c>
      <c r="F13490" s="14">
        <v>530000</v>
      </c>
      <c r="G13490" s="14">
        <v>213500</v>
      </c>
      <c r="H13490" s="13" t="s">
        <v>25653</v>
      </c>
      <c r="I13490" s="40" t="s">
        <v>18</v>
      </c>
      <c r="J13490" s="40" t="str">
        <f>HYPERLINK("https://stock.pstatic.net/stock-research/company/1/20250408_company_580772000.pdf","PDF")</f>
        <v>PDF</v>
      </c>
      <c r="K13490" s="12" t="s">
        <v>25654</v>
      </c>
      <c r="L13490" s="20">
        <v>1.4824355971896961</v>
      </c>
    </row>
    <row r="13491" spans="1:12" x14ac:dyDescent="0.45">
      <c r="A13491" s="12" t="s">
        <v>25632</v>
      </c>
      <c r="B13491" s="12" t="s">
        <v>23089</v>
      </c>
      <c r="C13491" s="13" t="s">
        <v>23090</v>
      </c>
      <c r="D13491" s="13" t="s">
        <v>83</v>
      </c>
      <c r="E13491" s="12" t="s">
        <v>35</v>
      </c>
      <c r="F13491" s="14">
        <v>50000</v>
      </c>
      <c r="G13491" s="14">
        <v>31500</v>
      </c>
      <c r="H13491" s="13" t="s">
        <v>25655</v>
      </c>
      <c r="I13491" s="40" t="s">
        <v>18</v>
      </c>
      <c r="J13491" s="40" t="str">
        <f>HYPERLINK("https://stock.pstatic.net/stock-research/company/2/20250408_company_925505000.pdf","PDF")</f>
        <v>PDF</v>
      </c>
      <c r="K13491" s="12" t="s">
        <v>25656</v>
      </c>
      <c r="L13491" s="20">
        <v>0.58730158730158732</v>
      </c>
    </row>
    <row r="13492" spans="1:12" x14ac:dyDescent="0.45">
      <c r="A13492" s="12" t="s">
        <v>25632</v>
      </c>
      <c r="B13492" s="12" t="s">
        <v>2795</v>
      </c>
      <c r="C13492" s="13" t="s">
        <v>2796</v>
      </c>
      <c r="D13492" s="13" t="s">
        <v>83</v>
      </c>
      <c r="E13492" s="12" t="s">
        <v>35</v>
      </c>
      <c r="F13492" s="14">
        <v>5000</v>
      </c>
      <c r="G13492" s="14">
        <v>3350</v>
      </c>
      <c r="H13492" s="13" t="s">
        <v>25657</v>
      </c>
      <c r="I13492" s="40" t="s">
        <v>18</v>
      </c>
      <c r="J13492" s="40" t="str">
        <f>HYPERLINK("https://stock.pstatic.net/stock-research/company/2/20250408_company_704980000.pdf","PDF")</f>
        <v>PDF</v>
      </c>
      <c r="K13492" s="12" t="s">
        <v>25658</v>
      </c>
      <c r="L13492" s="20">
        <v>0.4925373134328358</v>
      </c>
    </row>
    <row r="13493" spans="1:12" x14ac:dyDescent="0.45">
      <c r="A13493" s="12" t="s">
        <v>25632</v>
      </c>
      <c r="B13493" s="12" t="s">
        <v>1781</v>
      </c>
      <c r="C13493" s="13" t="s">
        <v>1782</v>
      </c>
      <c r="D13493" s="13" t="s">
        <v>83</v>
      </c>
      <c r="E13493" s="12" t="s">
        <v>35</v>
      </c>
      <c r="F13493" s="14">
        <v>120000</v>
      </c>
      <c r="G13493" s="14">
        <v>68100</v>
      </c>
      <c r="H13493" s="13" t="s">
        <v>25659</v>
      </c>
      <c r="I13493" s="40" t="s">
        <v>18</v>
      </c>
      <c r="J13493" s="40" t="str">
        <f>HYPERLINK("https://stock.pstatic.net/stock-research/company/2/20250408_company_486203000.pdf","PDF")</f>
        <v>PDF</v>
      </c>
      <c r="K13493" s="12" t="s">
        <v>25660</v>
      </c>
      <c r="L13493" s="20">
        <v>0.76211453744493396</v>
      </c>
    </row>
    <row r="13494" spans="1:12" x14ac:dyDescent="0.45">
      <c r="A13494" s="12" t="s">
        <v>25632</v>
      </c>
      <c r="B13494" s="12" t="s">
        <v>1097</v>
      </c>
      <c r="C13494" s="13" t="s">
        <v>1098</v>
      </c>
      <c r="D13494" s="13" t="s">
        <v>15</v>
      </c>
      <c r="E13494" s="12" t="s">
        <v>16</v>
      </c>
      <c r="F13494" s="14">
        <v>140000</v>
      </c>
      <c r="G13494" s="14">
        <v>108000</v>
      </c>
      <c r="H13494" s="13" t="s">
        <v>25661</v>
      </c>
      <c r="I13494" s="40" t="s">
        <v>18</v>
      </c>
      <c r="J13494" s="40" t="str">
        <f>HYPERLINK("https://stock.pstatic.net/stock-research/company/56/20250408_company_325033000.pdf","PDF")</f>
        <v>PDF</v>
      </c>
      <c r="K13494" s="12" t="s">
        <v>25662</v>
      </c>
      <c r="L13494" s="20">
        <v>0.29629629629629628</v>
      </c>
    </row>
    <row r="13495" spans="1:12" x14ac:dyDescent="0.45">
      <c r="A13495" s="12" t="s">
        <v>25632</v>
      </c>
      <c r="B13495" s="12" t="s">
        <v>2378</v>
      </c>
      <c r="C13495" s="13" t="s">
        <v>2379</v>
      </c>
      <c r="D13495" s="13" t="s">
        <v>92</v>
      </c>
      <c r="E13495" s="12" t="s">
        <v>35</v>
      </c>
      <c r="F13495" s="14">
        <v>430000</v>
      </c>
      <c r="G13495" s="14">
        <v>323000</v>
      </c>
      <c r="H13495" s="13" t="s">
        <v>25663</v>
      </c>
      <c r="I13495" s="40" t="s">
        <v>18</v>
      </c>
      <c r="J13495" s="40" t="str">
        <f>HYPERLINK("https://stock.pstatic.net/stock-research/company/63/20250408_company_134908000.pdf","PDF")</f>
        <v>PDF</v>
      </c>
      <c r="K13495" s="12" t="s">
        <v>25664</v>
      </c>
      <c r="L13495" s="20">
        <v>0.33126934984520118</v>
      </c>
    </row>
    <row r="13496" spans="1:12" x14ac:dyDescent="0.45">
      <c r="A13496" s="12" t="s">
        <v>25632</v>
      </c>
      <c r="B13496" s="12" t="s">
        <v>495</v>
      </c>
      <c r="C13496" s="13" t="s">
        <v>496</v>
      </c>
      <c r="D13496" s="13" t="s">
        <v>179</v>
      </c>
      <c r="E13496" s="12" t="s">
        <v>50</v>
      </c>
      <c r="F13496" s="13"/>
      <c r="G13496" s="14">
        <v>63000</v>
      </c>
      <c r="H13496" s="13" t="s">
        <v>25665</v>
      </c>
      <c r="I13496" s="40" t="s">
        <v>18</v>
      </c>
      <c r="J13496" s="40" t="str">
        <f>HYPERLINK("https://stock.pstatic.net/stock-research/company/31/20250408_company_310303000.pdf","PDF")</f>
        <v>PDF</v>
      </c>
      <c r="K13496" s="12" t="s">
        <v>25666</v>
      </c>
    </row>
    <row r="13497" spans="1:12" x14ac:dyDescent="0.45">
      <c r="A13497" s="12" t="s">
        <v>25632</v>
      </c>
      <c r="B13497" s="12" t="s">
        <v>3708</v>
      </c>
      <c r="C13497" s="13" t="s">
        <v>3709</v>
      </c>
      <c r="D13497" s="13" t="s">
        <v>179</v>
      </c>
      <c r="E13497" s="12" t="s">
        <v>50</v>
      </c>
      <c r="F13497" s="13"/>
      <c r="G13497" s="14">
        <v>12780</v>
      </c>
      <c r="H13497" s="13" t="s">
        <v>25667</v>
      </c>
      <c r="I13497" s="40" t="s">
        <v>18</v>
      </c>
      <c r="J13497" s="40" t="str">
        <f>HYPERLINK("https://stock.pstatic.net/stock-research/company/31/20250408_company_777201000.pdf","PDF")</f>
        <v>PDF</v>
      </c>
      <c r="K13497" s="12" t="s">
        <v>25668</v>
      </c>
    </row>
    <row r="13498" spans="1:12" x14ac:dyDescent="0.45">
      <c r="A13498" s="12" t="s">
        <v>25632</v>
      </c>
      <c r="B13498" s="12" t="s">
        <v>1781</v>
      </c>
      <c r="C13498" s="13" t="s">
        <v>1782</v>
      </c>
      <c r="D13498" s="13" t="s">
        <v>34</v>
      </c>
      <c r="E13498" s="12" t="s">
        <v>35</v>
      </c>
      <c r="F13498" s="14">
        <v>110000</v>
      </c>
      <c r="G13498" s="14">
        <v>68100</v>
      </c>
      <c r="H13498" s="13" t="s">
        <v>25669</v>
      </c>
      <c r="I13498" s="40" t="s">
        <v>18</v>
      </c>
      <c r="J13498" s="40" t="str">
        <f>HYPERLINK("https://stock.pstatic.net/stock-research/company/61/20250408_company_987009000.pdf","PDF")</f>
        <v>PDF</v>
      </c>
      <c r="K13498" s="12" t="s">
        <v>25670</v>
      </c>
      <c r="L13498" s="20">
        <v>0.61527165932452277</v>
      </c>
    </row>
    <row r="13499" spans="1:12" x14ac:dyDescent="0.45">
      <c r="A13499" s="12" t="s">
        <v>25632</v>
      </c>
      <c r="B13499" s="12" t="s">
        <v>2378</v>
      </c>
      <c r="C13499" s="13" t="s">
        <v>2379</v>
      </c>
      <c r="D13499" s="13" t="s">
        <v>34</v>
      </c>
      <c r="E13499" s="12" t="s">
        <v>35</v>
      </c>
      <c r="F13499" s="14">
        <v>450000</v>
      </c>
      <c r="G13499" s="14">
        <v>323000</v>
      </c>
      <c r="H13499" s="13" t="s">
        <v>25671</v>
      </c>
      <c r="I13499" s="40" t="s">
        <v>18</v>
      </c>
      <c r="J13499" s="40" t="str">
        <f>HYPERLINK("https://stock.pstatic.net/stock-research/company/61/20250408_company_429812000.pdf","PDF")</f>
        <v>PDF</v>
      </c>
      <c r="K13499" s="12" t="s">
        <v>25672</v>
      </c>
      <c r="L13499" s="20">
        <v>0.39318885448916407</v>
      </c>
    </row>
    <row r="13500" spans="1:12" x14ac:dyDescent="0.45">
      <c r="A13500" s="12" t="s">
        <v>25632</v>
      </c>
      <c r="B13500" s="12" t="s">
        <v>3014</v>
      </c>
      <c r="C13500" s="13" t="s">
        <v>3015</v>
      </c>
      <c r="D13500" s="13" t="s">
        <v>23</v>
      </c>
      <c r="E13500" s="12" t="s">
        <v>16</v>
      </c>
      <c r="F13500" s="14">
        <v>74000</v>
      </c>
      <c r="G13500" s="14">
        <v>52400</v>
      </c>
      <c r="H13500" s="13" t="s">
        <v>25673</v>
      </c>
      <c r="I13500" s="40" t="s">
        <v>18</v>
      </c>
      <c r="J13500" s="40" t="str">
        <f>HYPERLINK("https://stock.pstatic.net/stock-research/company/21/20250408_company_376094000.pdf","PDF")</f>
        <v>PDF</v>
      </c>
      <c r="K13500" s="12" t="s">
        <v>25674</v>
      </c>
      <c r="L13500" s="20">
        <v>0.41221374045801529</v>
      </c>
    </row>
    <row r="13501" spans="1:12" x14ac:dyDescent="0.45">
      <c r="A13501" s="12" t="s">
        <v>25632</v>
      </c>
      <c r="B13501" s="12" t="s">
        <v>3150</v>
      </c>
      <c r="C13501" s="13" t="s">
        <v>3151</v>
      </c>
      <c r="D13501" s="13" t="s">
        <v>23</v>
      </c>
      <c r="E13501" s="12" t="s">
        <v>50</v>
      </c>
      <c r="F13501" s="13"/>
      <c r="G13501" s="14">
        <v>44250</v>
      </c>
      <c r="H13501" s="13" t="s">
        <v>25675</v>
      </c>
      <c r="I13501" s="40" t="s">
        <v>18</v>
      </c>
      <c r="J13501" s="40" t="str">
        <f>HYPERLINK("https://stock.pstatic.net/stock-research/company/21/20250408_company_548802000.pdf","PDF")</f>
        <v>PDF</v>
      </c>
      <c r="K13501" s="12" t="s">
        <v>25676</v>
      </c>
    </row>
    <row r="13502" spans="1:12" x14ac:dyDescent="0.45">
      <c r="A13502" s="12" t="s">
        <v>25632</v>
      </c>
      <c r="B13502" s="12" t="s">
        <v>1781</v>
      </c>
      <c r="C13502" s="13" t="s">
        <v>1782</v>
      </c>
      <c r="D13502" s="13" t="s">
        <v>23</v>
      </c>
      <c r="E13502" s="12" t="s">
        <v>16</v>
      </c>
      <c r="F13502" s="14">
        <v>100000</v>
      </c>
      <c r="G13502" s="14">
        <v>68100</v>
      </c>
      <c r="H13502" s="13" t="s">
        <v>25677</v>
      </c>
      <c r="I13502" s="40" t="s">
        <v>18</v>
      </c>
      <c r="J13502" s="40" t="str">
        <f>HYPERLINK("https://stock.pstatic.net/stock-research/company/21/20250408_company_53529000.pdf","PDF")</f>
        <v>PDF</v>
      </c>
      <c r="K13502" s="12" t="s">
        <v>25678</v>
      </c>
      <c r="L13502" s="20">
        <v>0.46842878120411158</v>
      </c>
    </row>
    <row r="13503" spans="1:12" x14ac:dyDescent="0.45">
      <c r="A13503" s="12" t="s">
        <v>25632</v>
      </c>
      <c r="B13503" s="12" t="s">
        <v>519</v>
      </c>
      <c r="C13503" s="13" t="s">
        <v>520</v>
      </c>
      <c r="D13503" s="13" t="s">
        <v>179</v>
      </c>
      <c r="E13503" s="12" t="s">
        <v>16</v>
      </c>
      <c r="F13503" s="14">
        <v>270000</v>
      </c>
      <c r="G13503" s="14">
        <v>179100</v>
      </c>
      <c r="H13503" s="13" t="s">
        <v>25679</v>
      </c>
      <c r="I13503" s="40" t="s">
        <v>18</v>
      </c>
      <c r="J13503" s="40" t="str">
        <f>HYPERLINK("https://stock.pstatic.net/stock-research/company/31/20250408_company_438790000.pdf","PDF")</f>
        <v>PDF</v>
      </c>
      <c r="K13503" s="12" t="s">
        <v>25680</v>
      </c>
      <c r="L13503" s="20">
        <v>0.50753768844221103</v>
      </c>
    </row>
    <row r="13504" spans="1:12" x14ac:dyDescent="0.45">
      <c r="A13504" s="12" t="s">
        <v>25632</v>
      </c>
      <c r="B13504" s="12" t="s">
        <v>1765</v>
      </c>
      <c r="C13504" s="13" t="s">
        <v>1766</v>
      </c>
      <c r="D13504" s="13" t="s">
        <v>179</v>
      </c>
      <c r="E13504" s="12" t="s">
        <v>16</v>
      </c>
      <c r="F13504" s="14">
        <v>125000</v>
      </c>
      <c r="G13504" s="14">
        <v>84600</v>
      </c>
      <c r="H13504" s="13" t="s">
        <v>25681</v>
      </c>
      <c r="I13504" s="40" t="s">
        <v>18</v>
      </c>
      <c r="J13504" s="40" t="str">
        <f>HYPERLINK("https://stock.pstatic.net/stock-research/company/31/20250408_company_835575000.pdf","PDF")</f>
        <v>PDF</v>
      </c>
      <c r="K13504" s="12" t="s">
        <v>25682</v>
      </c>
      <c r="L13504" s="20">
        <v>0.47754137115839251</v>
      </c>
    </row>
    <row r="13505" spans="1:12" x14ac:dyDescent="0.45">
      <c r="A13505" s="12" t="s">
        <v>25632</v>
      </c>
      <c r="B13505" s="12" t="s">
        <v>2378</v>
      </c>
      <c r="C13505" s="13" t="s">
        <v>2379</v>
      </c>
      <c r="D13505" s="13" t="s">
        <v>44</v>
      </c>
      <c r="E13505" s="12" t="s">
        <v>50</v>
      </c>
      <c r="F13505" s="13"/>
      <c r="G13505" s="13"/>
      <c r="H13505" s="13" t="s">
        <v>25683</v>
      </c>
      <c r="I13505" s="40" t="s">
        <v>18</v>
      </c>
      <c r="J13505" s="40" t="str">
        <f>HYPERLINK("https://stock.pstatic.net/stock-research/company/39/20250408_company_277937000.pdf","PDF")</f>
        <v>PDF</v>
      </c>
      <c r="K13505" s="12" t="s">
        <v>25684</v>
      </c>
    </row>
    <row r="13506" spans="1:12" x14ac:dyDescent="0.45">
      <c r="A13506" s="12" t="s">
        <v>25632</v>
      </c>
      <c r="B13506" s="12" t="s">
        <v>334</v>
      </c>
      <c r="C13506" s="13" t="s">
        <v>335</v>
      </c>
      <c r="D13506" s="13" t="s">
        <v>44</v>
      </c>
      <c r="E13506" s="12" t="s">
        <v>35</v>
      </c>
      <c r="F13506" s="14">
        <v>260000</v>
      </c>
      <c r="G13506" s="14">
        <v>164800</v>
      </c>
      <c r="H13506" s="13" t="s">
        <v>25685</v>
      </c>
      <c r="I13506" s="40" t="s">
        <v>18</v>
      </c>
      <c r="J13506" s="40" t="str">
        <f>HYPERLINK("https://stock.pstatic.net/stock-research/company/39/20250408_company_256676000.pdf","PDF")</f>
        <v>PDF</v>
      </c>
      <c r="K13506" s="12" t="s">
        <v>25686</v>
      </c>
      <c r="L13506" s="20">
        <v>0.57766990291262132</v>
      </c>
    </row>
    <row r="13507" spans="1:12" x14ac:dyDescent="0.45">
      <c r="A13507" s="12" t="s">
        <v>25632</v>
      </c>
      <c r="B13507" s="12" t="s">
        <v>3831</v>
      </c>
      <c r="C13507" s="13" t="s">
        <v>3832</v>
      </c>
      <c r="D13507" s="13" t="s">
        <v>44</v>
      </c>
      <c r="E13507" s="12" t="s">
        <v>35</v>
      </c>
      <c r="F13507" s="14">
        <v>50000</v>
      </c>
      <c r="G13507" s="14">
        <v>34300</v>
      </c>
      <c r="H13507" s="13" t="s">
        <v>25687</v>
      </c>
      <c r="I13507" s="40" t="s">
        <v>18</v>
      </c>
      <c r="J13507" s="40" t="str">
        <f>HYPERLINK("https://stock.pstatic.net/stock-research/company/39/20250408_company_628276000.pdf","PDF")</f>
        <v>PDF</v>
      </c>
      <c r="K13507" s="12" t="s">
        <v>25688</v>
      </c>
      <c r="L13507" s="20">
        <v>0.45772594752186591</v>
      </c>
    </row>
    <row r="13508" spans="1:12" x14ac:dyDescent="0.45">
      <c r="A13508" s="12" t="s">
        <v>25632</v>
      </c>
      <c r="B13508" s="12" t="s">
        <v>1781</v>
      </c>
      <c r="C13508" s="13" t="s">
        <v>1782</v>
      </c>
      <c r="D13508" s="13" t="s">
        <v>44</v>
      </c>
      <c r="E13508" s="12" t="s">
        <v>35</v>
      </c>
      <c r="F13508" s="14">
        <v>110000</v>
      </c>
      <c r="G13508" s="14">
        <v>68100</v>
      </c>
      <c r="H13508" s="13" t="s">
        <v>25689</v>
      </c>
      <c r="I13508" s="40" t="s">
        <v>18</v>
      </c>
      <c r="J13508" s="40" t="str">
        <f>HYPERLINK("https://stock.pstatic.net/stock-research/company/39/20250408_company_600546000.pdf","PDF")</f>
        <v>PDF</v>
      </c>
      <c r="K13508" s="12" t="s">
        <v>25690</v>
      </c>
      <c r="L13508" s="20">
        <v>0.61527165932452277</v>
      </c>
    </row>
    <row r="13509" spans="1:12" x14ac:dyDescent="0.45">
      <c r="A13509" s="12" t="s">
        <v>25632</v>
      </c>
      <c r="B13509" s="12" t="s">
        <v>25691</v>
      </c>
      <c r="C13509" s="13" t="s">
        <v>25692</v>
      </c>
      <c r="D13509" s="13" t="s">
        <v>44</v>
      </c>
      <c r="E13509" s="12" t="s">
        <v>50</v>
      </c>
      <c r="F13509" s="13"/>
      <c r="G13509" s="13"/>
      <c r="H13509" s="13" t="s">
        <v>25693</v>
      </c>
      <c r="I13509" s="40" t="s">
        <v>18</v>
      </c>
      <c r="J13509" s="40" t="str">
        <f>HYPERLINK("https://stock.pstatic.net/stock-research/company/39/20250408_company_897692000.pdf","PDF")</f>
        <v>PDF</v>
      </c>
      <c r="K13509" s="12" t="s">
        <v>25694</v>
      </c>
    </row>
    <row r="13510" spans="1:12" x14ac:dyDescent="0.45">
      <c r="A13510" s="12" t="s">
        <v>25632</v>
      </c>
      <c r="B13510" s="12" t="s">
        <v>2425</v>
      </c>
      <c r="C13510" s="13" t="s">
        <v>2426</v>
      </c>
      <c r="D13510" s="13" t="s">
        <v>53</v>
      </c>
      <c r="E13510" s="12" t="s">
        <v>16</v>
      </c>
      <c r="F13510" s="14">
        <v>130000</v>
      </c>
      <c r="G13510" s="14">
        <v>100500</v>
      </c>
      <c r="H13510" s="13" t="s">
        <v>25695</v>
      </c>
      <c r="I13510" s="40" t="s">
        <v>18</v>
      </c>
      <c r="J13510" s="40" t="str">
        <f>HYPERLINK("https://stock.pstatic.net/stock-research/company/40/20250408_company_378944000.pdf","PDF")</f>
        <v>PDF</v>
      </c>
      <c r="K13510" s="12" t="s">
        <v>25696</v>
      </c>
      <c r="L13510" s="20">
        <v>0.29353233830845771</v>
      </c>
    </row>
    <row r="13511" spans="1:12" x14ac:dyDescent="0.45">
      <c r="A13511" s="12" t="s">
        <v>25632</v>
      </c>
      <c r="B13511" s="12" t="s">
        <v>908</v>
      </c>
      <c r="C13511" s="13" t="s">
        <v>909</v>
      </c>
      <c r="D13511" s="13" t="s">
        <v>15</v>
      </c>
      <c r="E13511" s="12" t="s">
        <v>16</v>
      </c>
      <c r="F13511" s="14">
        <v>179000</v>
      </c>
      <c r="G13511" s="14">
        <v>117200</v>
      </c>
      <c r="H13511" s="13" t="s">
        <v>25697</v>
      </c>
      <c r="I13511" s="40" t="s">
        <v>18</v>
      </c>
      <c r="J13511" s="40" t="str">
        <f>HYPERLINK("https://stock.pstatic.net/stock-research/company/29/20250408_company_223753000.pdf","PDF")</f>
        <v>PDF</v>
      </c>
      <c r="K13511" s="12" t="s">
        <v>25698</v>
      </c>
      <c r="L13511" s="20">
        <v>0.52730375426621157</v>
      </c>
    </row>
    <row r="13512" spans="1:12" x14ac:dyDescent="0.45">
      <c r="A13512" s="12" t="s">
        <v>25699</v>
      </c>
      <c r="B13512" s="12" t="s">
        <v>330</v>
      </c>
      <c r="C13512" s="13" t="s">
        <v>331</v>
      </c>
      <c r="D13512" s="13" t="s">
        <v>276</v>
      </c>
      <c r="E13512" s="12" t="s">
        <v>16</v>
      </c>
      <c r="F13512" s="14">
        <v>25000</v>
      </c>
      <c r="G13512" s="14">
        <v>21000</v>
      </c>
      <c r="H13512" s="13" t="s">
        <v>25700</v>
      </c>
      <c r="I13512" s="40" t="s">
        <v>18</v>
      </c>
      <c r="J13512" s="40" t="str">
        <f>HYPERLINK("https://stock.pstatic.net/stock-research/company/66/20250407_company_237914000.pdf","PDF")</f>
        <v>PDF</v>
      </c>
      <c r="K13512" s="12" t="s">
        <v>25701</v>
      </c>
      <c r="L13512" s="20">
        <v>0.19047619047619049</v>
      </c>
    </row>
    <row r="13513" spans="1:12" x14ac:dyDescent="0.45">
      <c r="A13513" s="12" t="s">
        <v>25699</v>
      </c>
      <c r="B13513" s="12" t="s">
        <v>434</v>
      </c>
      <c r="C13513" s="13" t="s">
        <v>435</v>
      </c>
      <c r="D13513" s="13" t="s">
        <v>83</v>
      </c>
      <c r="E13513" s="12" t="s">
        <v>35</v>
      </c>
      <c r="F13513" s="14">
        <v>160000</v>
      </c>
      <c r="G13513" s="14">
        <v>110300</v>
      </c>
      <c r="H13513" s="13" t="s">
        <v>25702</v>
      </c>
      <c r="I13513" s="40" t="s">
        <v>18</v>
      </c>
      <c r="J13513" s="40" t="str">
        <f>HYPERLINK("https://stock.pstatic.net/stock-research/company/2/20250407_company_638223000.pdf","PDF")</f>
        <v>PDF</v>
      </c>
      <c r="K13513" s="12" t="s">
        <v>25703</v>
      </c>
      <c r="L13513" s="20">
        <v>0.45058930190389851</v>
      </c>
    </row>
    <row r="13514" spans="1:12" x14ac:dyDescent="0.45">
      <c r="A13514" s="12" t="s">
        <v>25699</v>
      </c>
      <c r="B13514" s="12" t="s">
        <v>768</v>
      </c>
      <c r="C13514" s="13" t="s">
        <v>769</v>
      </c>
      <c r="D13514" s="13" t="s">
        <v>83</v>
      </c>
      <c r="E13514" s="12" t="s">
        <v>35</v>
      </c>
      <c r="F13514" s="14">
        <v>210000</v>
      </c>
      <c r="G13514" s="14">
        <v>170400</v>
      </c>
      <c r="H13514" s="13" t="s">
        <v>25704</v>
      </c>
      <c r="I13514" s="40" t="s">
        <v>18</v>
      </c>
      <c r="J13514" s="40" t="str">
        <f>HYPERLINK("https://stock.pstatic.net/stock-research/company/2/20250407_company_523936000.pdf","PDF")</f>
        <v>PDF</v>
      </c>
      <c r="K13514" s="12" t="s">
        <v>25705</v>
      </c>
      <c r="L13514" s="20">
        <v>0.23239436619718309</v>
      </c>
    </row>
    <row r="13515" spans="1:12" x14ac:dyDescent="0.45">
      <c r="A13515" s="12" t="s">
        <v>25699</v>
      </c>
      <c r="B13515" s="12" t="s">
        <v>764</v>
      </c>
      <c r="C13515" s="13" t="s">
        <v>765</v>
      </c>
      <c r="D13515" s="13" t="s">
        <v>65</v>
      </c>
      <c r="E13515" s="12" t="s">
        <v>35</v>
      </c>
      <c r="F13515" s="14">
        <v>40000</v>
      </c>
      <c r="G13515" s="14">
        <v>28300</v>
      </c>
      <c r="H13515" s="13" t="s">
        <v>25706</v>
      </c>
      <c r="I13515" s="40" t="s">
        <v>18</v>
      </c>
      <c r="J13515" s="40" t="str">
        <f>HYPERLINK("https://stock.pstatic.net/stock-research/company/57/20250407_company_115837000.pdf","PDF")</f>
        <v>PDF</v>
      </c>
      <c r="K13515" s="12" t="s">
        <v>25707</v>
      </c>
      <c r="L13515" s="20">
        <v>0.41342756183745583</v>
      </c>
    </row>
    <row r="13516" spans="1:12" x14ac:dyDescent="0.45">
      <c r="A13516" s="12" t="s">
        <v>25699</v>
      </c>
      <c r="B13516" s="12" t="s">
        <v>2758</v>
      </c>
      <c r="C13516" s="13" t="s">
        <v>2759</v>
      </c>
      <c r="D13516" s="13" t="s">
        <v>65</v>
      </c>
      <c r="E13516" s="12" t="s">
        <v>35</v>
      </c>
      <c r="F13516" s="14">
        <v>740000</v>
      </c>
      <c r="G13516" s="14">
        <v>273000</v>
      </c>
      <c r="H13516" s="13" t="s">
        <v>25708</v>
      </c>
      <c r="I13516" s="40" t="s">
        <v>18</v>
      </c>
      <c r="J13516" s="40" t="str">
        <f>HYPERLINK("https://stock.pstatic.net/stock-research/company/1/20250407_company_738973000.pdf","PDF")</f>
        <v>PDF</v>
      </c>
      <c r="K13516" s="12" t="s">
        <v>25709</v>
      </c>
      <c r="L13516" s="20">
        <v>1.710622710622711</v>
      </c>
    </row>
    <row r="13517" spans="1:12" x14ac:dyDescent="0.45">
      <c r="A13517" s="12" t="s">
        <v>25699</v>
      </c>
      <c r="B13517" s="12" t="s">
        <v>3478</v>
      </c>
      <c r="C13517" s="13" t="s">
        <v>3479</v>
      </c>
      <c r="D13517" s="13" t="s">
        <v>65</v>
      </c>
      <c r="E13517" s="12" t="s">
        <v>35</v>
      </c>
      <c r="F13517" s="14">
        <v>43000</v>
      </c>
      <c r="G13517" s="14">
        <v>24150</v>
      </c>
      <c r="H13517" s="13" t="s">
        <v>25710</v>
      </c>
      <c r="I13517" s="40" t="s">
        <v>18</v>
      </c>
      <c r="J13517" s="40" t="str">
        <f>HYPERLINK("https://stock.pstatic.net/stock-research/company/57/20250407_company_117587000.pdf","PDF")</f>
        <v>PDF</v>
      </c>
      <c r="K13517" s="12" t="s">
        <v>25711</v>
      </c>
      <c r="L13517" s="20">
        <v>0.78053830227743271</v>
      </c>
    </row>
    <row r="13518" spans="1:12" x14ac:dyDescent="0.45">
      <c r="A13518" s="12" t="s">
        <v>25699</v>
      </c>
      <c r="B13518" s="12" t="s">
        <v>2650</v>
      </c>
      <c r="C13518" s="13" t="s">
        <v>2651</v>
      </c>
      <c r="D13518" s="13" t="s">
        <v>65</v>
      </c>
      <c r="E13518" s="12" t="s">
        <v>35</v>
      </c>
      <c r="F13518" s="14">
        <v>28000</v>
      </c>
      <c r="G13518" s="14">
        <v>21900</v>
      </c>
      <c r="H13518" s="13" t="s">
        <v>25712</v>
      </c>
      <c r="I13518" s="40" t="s">
        <v>18</v>
      </c>
      <c r="J13518" s="40" t="str">
        <f>HYPERLINK("https://stock.pstatic.net/stock-research/company/57/20250407_company_414314000.pdf","PDF")</f>
        <v>PDF</v>
      </c>
      <c r="K13518" s="12" t="s">
        <v>25713</v>
      </c>
      <c r="L13518" s="20">
        <v>0.27853881278538811</v>
      </c>
    </row>
    <row r="13519" spans="1:12" x14ac:dyDescent="0.45">
      <c r="A13519" s="12" t="s">
        <v>25699</v>
      </c>
      <c r="B13519" s="12" t="s">
        <v>2105</v>
      </c>
      <c r="C13519" s="13" t="s">
        <v>2106</v>
      </c>
      <c r="D13519" s="13" t="s">
        <v>65</v>
      </c>
      <c r="E13519" s="12" t="s">
        <v>35</v>
      </c>
      <c r="F13519" s="14">
        <v>95000</v>
      </c>
      <c r="G13519" s="14">
        <v>49600</v>
      </c>
      <c r="H13519" s="13" t="s">
        <v>25714</v>
      </c>
      <c r="I13519" s="40" t="s">
        <v>18</v>
      </c>
      <c r="J13519" s="40" t="str">
        <f>HYPERLINK("https://stock.pstatic.net/stock-research/company/1/20250407_company_834307000.pdf","PDF")</f>
        <v>PDF</v>
      </c>
      <c r="K13519" s="12" t="s">
        <v>25715</v>
      </c>
      <c r="L13519" s="20">
        <v>0.91532258064516125</v>
      </c>
    </row>
    <row r="13520" spans="1:12" x14ac:dyDescent="0.45">
      <c r="A13520" s="12" t="s">
        <v>25699</v>
      </c>
      <c r="B13520" s="12" t="s">
        <v>259</v>
      </c>
      <c r="C13520" s="13" t="s">
        <v>260</v>
      </c>
      <c r="D13520" s="13" t="s">
        <v>57</v>
      </c>
      <c r="E13520" s="12" t="s">
        <v>35</v>
      </c>
      <c r="F13520" s="14">
        <v>80000</v>
      </c>
      <c r="G13520" s="14">
        <v>63300</v>
      </c>
      <c r="H13520" s="13" t="s">
        <v>25716</v>
      </c>
      <c r="I13520" s="40" t="s">
        <v>18</v>
      </c>
      <c r="J13520" s="40" t="str">
        <f>HYPERLINK("https://stock.pstatic.net/stock-research/company/16/20250407_company_33351000.pdf","PDF")</f>
        <v>PDF</v>
      </c>
      <c r="K13520" s="12" t="s">
        <v>25717</v>
      </c>
      <c r="L13520" s="20">
        <v>0.26382306477093209</v>
      </c>
    </row>
    <row r="13521" spans="1:12" x14ac:dyDescent="0.45">
      <c r="A13521" s="12" t="s">
        <v>25699</v>
      </c>
      <c r="B13521" s="12" t="s">
        <v>20477</v>
      </c>
      <c r="C13521" s="13" t="s">
        <v>20478</v>
      </c>
      <c r="D13521" s="13" t="s">
        <v>158</v>
      </c>
      <c r="E13521" s="12" t="s">
        <v>50</v>
      </c>
      <c r="F13521" s="13"/>
      <c r="G13521" s="14">
        <v>4075</v>
      </c>
      <c r="H13521" s="13" t="s">
        <v>25718</v>
      </c>
      <c r="I13521" s="40" t="s">
        <v>18</v>
      </c>
      <c r="J13521" s="40" t="str">
        <f>HYPERLINK("https://stock.pstatic.net/stock-research/company/18/20250407_company_631584000.pdf","PDF")</f>
        <v>PDF</v>
      </c>
      <c r="K13521" s="12" t="s">
        <v>25719</v>
      </c>
    </row>
    <row r="13522" spans="1:12" x14ac:dyDescent="0.45">
      <c r="A13522" s="12" t="s">
        <v>25699</v>
      </c>
      <c r="B13522" s="12" t="s">
        <v>5912</v>
      </c>
      <c r="C13522" s="13" t="s">
        <v>5913</v>
      </c>
      <c r="D13522" s="13" t="s">
        <v>179</v>
      </c>
      <c r="E13522" s="12" t="s">
        <v>50</v>
      </c>
      <c r="F13522" s="13"/>
      <c r="G13522" s="14">
        <v>26300</v>
      </c>
      <c r="H13522" s="13" t="s">
        <v>25720</v>
      </c>
      <c r="I13522" s="40" t="s">
        <v>18</v>
      </c>
      <c r="J13522" s="40" t="str">
        <f>HYPERLINK("https://stock.pstatic.net/stock-research/company/31/20250407_company_71068000.pdf","PDF")</f>
        <v>PDF</v>
      </c>
      <c r="K13522" s="12" t="s">
        <v>25721</v>
      </c>
    </row>
    <row r="13523" spans="1:12" x14ac:dyDescent="0.45">
      <c r="A13523" s="12" t="s">
        <v>25699</v>
      </c>
      <c r="B13523" s="12" t="s">
        <v>3831</v>
      </c>
      <c r="C13523" s="13" t="s">
        <v>3832</v>
      </c>
      <c r="D13523" s="13" t="s">
        <v>92</v>
      </c>
      <c r="E13523" s="12" t="s">
        <v>35</v>
      </c>
      <c r="F13523" s="14">
        <v>51000</v>
      </c>
      <c r="G13523" s="14">
        <v>36850</v>
      </c>
      <c r="H13523" s="13" t="s">
        <v>25722</v>
      </c>
      <c r="I13523" s="40" t="s">
        <v>18</v>
      </c>
      <c r="J13523" s="40" t="str">
        <f>HYPERLINK("https://stock.pstatic.net/stock-research/company/1/20250407_company_499982000.pdf","PDF")</f>
        <v>PDF</v>
      </c>
      <c r="K13523" s="12" t="s">
        <v>25723</v>
      </c>
      <c r="L13523" s="20">
        <v>0.38398914518317501</v>
      </c>
    </row>
    <row r="13524" spans="1:12" x14ac:dyDescent="0.45">
      <c r="A13524" s="12" t="s">
        <v>25699</v>
      </c>
      <c r="B13524" s="12" t="s">
        <v>5705</v>
      </c>
      <c r="C13524" s="13" t="s">
        <v>5706</v>
      </c>
      <c r="D13524" s="13" t="s">
        <v>179</v>
      </c>
      <c r="E13524" s="12" t="s">
        <v>50</v>
      </c>
      <c r="F13524" s="13"/>
      <c r="G13524" s="14">
        <v>98700</v>
      </c>
      <c r="H13524" s="13" t="s">
        <v>25724</v>
      </c>
      <c r="I13524" s="40" t="s">
        <v>18</v>
      </c>
      <c r="J13524" s="40" t="str">
        <f>HYPERLINK("https://stock.pstatic.net/stock-research/company/31/20250407_company_549330000.pdf","PDF")</f>
        <v>PDF</v>
      </c>
      <c r="K13524" s="12" t="s">
        <v>25725</v>
      </c>
    </row>
    <row r="13525" spans="1:12" x14ac:dyDescent="0.45">
      <c r="A13525" s="12" t="s">
        <v>25699</v>
      </c>
      <c r="B13525" s="12" t="s">
        <v>1656</v>
      </c>
      <c r="C13525" s="13" t="s">
        <v>1657</v>
      </c>
      <c r="D13525" s="13" t="s">
        <v>92</v>
      </c>
      <c r="E13525" s="12" t="s">
        <v>35</v>
      </c>
      <c r="F13525" s="14">
        <v>190000</v>
      </c>
      <c r="G13525" s="14">
        <v>152500</v>
      </c>
      <c r="H13525" s="13" t="s">
        <v>25726</v>
      </c>
      <c r="I13525" s="40" t="s">
        <v>18</v>
      </c>
      <c r="J13525" s="40" t="str">
        <f>HYPERLINK("https://stock.pstatic.net/stock-research/company/63/20250407_company_255671000.pdf","PDF")</f>
        <v>PDF</v>
      </c>
      <c r="K13525" s="12" t="s">
        <v>25727</v>
      </c>
      <c r="L13525" s="20">
        <v>0.24590163934426229</v>
      </c>
    </row>
    <row r="13526" spans="1:12" x14ac:dyDescent="0.45">
      <c r="A13526" s="12" t="s">
        <v>25699</v>
      </c>
      <c r="B13526" s="12" t="s">
        <v>577</v>
      </c>
      <c r="C13526" s="13" t="s">
        <v>578</v>
      </c>
      <c r="D13526" s="13" t="s">
        <v>92</v>
      </c>
      <c r="E13526" s="12" t="s">
        <v>35</v>
      </c>
      <c r="F13526" s="14">
        <v>325000</v>
      </c>
      <c r="G13526" s="14">
        <v>259000</v>
      </c>
      <c r="H13526" s="13" t="s">
        <v>25728</v>
      </c>
      <c r="I13526" s="40" t="s">
        <v>18</v>
      </c>
      <c r="J13526" s="40" t="str">
        <f>HYPERLINK("https://stock.pstatic.net/stock-research/company/63/20250407_company_389316000.pdf","PDF")</f>
        <v>PDF</v>
      </c>
      <c r="K13526" s="12" t="s">
        <v>25729</v>
      </c>
      <c r="L13526" s="20">
        <v>0.25482625482625482</v>
      </c>
    </row>
    <row r="13527" spans="1:12" x14ac:dyDescent="0.45">
      <c r="A13527" s="12" t="s">
        <v>25699</v>
      </c>
      <c r="B13527" s="12" t="s">
        <v>3548</v>
      </c>
      <c r="C13527" s="13" t="s">
        <v>3549</v>
      </c>
      <c r="D13527" s="13" t="s">
        <v>92</v>
      </c>
      <c r="E13527" s="12" t="s">
        <v>35</v>
      </c>
      <c r="F13527" s="14">
        <v>57500</v>
      </c>
      <c r="G13527" s="14">
        <v>42800</v>
      </c>
      <c r="H13527" s="13" t="s">
        <v>25730</v>
      </c>
      <c r="I13527" s="40" t="s">
        <v>18</v>
      </c>
      <c r="J13527" s="40" t="str">
        <f>HYPERLINK("https://stock.pstatic.net/stock-research/company/1/20250407_company_206775000.pdf","PDF")</f>
        <v>PDF</v>
      </c>
      <c r="K13527" s="12" t="s">
        <v>25731</v>
      </c>
      <c r="L13527" s="20">
        <v>0.34345794392523371</v>
      </c>
    </row>
    <row r="13528" spans="1:12" x14ac:dyDescent="0.45">
      <c r="A13528" s="12" t="s">
        <v>25699</v>
      </c>
      <c r="B13528" s="12" t="s">
        <v>2978</v>
      </c>
      <c r="C13528" s="13" t="s">
        <v>2979</v>
      </c>
      <c r="D13528" s="13" t="s">
        <v>23</v>
      </c>
      <c r="E13528" s="12" t="s">
        <v>16</v>
      </c>
      <c r="F13528" s="14">
        <v>12500</v>
      </c>
      <c r="G13528" s="14">
        <v>7600</v>
      </c>
      <c r="H13528" s="13" t="s">
        <v>25732</v>
      </c>
      <c r="I13528" s="40" t="s">
        <v>18</v>
      </c>
      <c r="J13528" s="40" t="str">
        <f>HYPERLINK("https://stock.pstatic.net/stock-research/company/21/20250407_company_127287000.pdf","PDF")</f>
        <v>PDF</v>
      </c>
      <c r="K13528" s="12" t="s">
        <v>25733</v>
      </c>
      <c r="L13528" s="20">
        <v>0.64473684210526316</v>
      </c>
    </row>
    <row r="13529" spans="1:12" x14ac:dyDescent="0.45">
      <c r="A13529" s="12" t="s">
        <v>25699</v>
      </c>
      <c r="B13529" s="12" t="s">
        <v>63</v>
      </c>
      <c r="C13529" s="13" t="s">
        <v>64</v>
      </c>
      <c r="D13529" s="13" t="s">
        <v>179</v>
      </c>
      <c r="E13529" s="12" t="s">
        <v>16</v>
      </c>
      <c r="F13529" s="14">
        <v>370000</v>
      </c>
      <c r="G13529" s="14">
        <v>229000</v>
      </c>
      <c r="H13529" s="13" t="s">
        <v>25734</v>
      </c>
      <c r="I13529" s="40" t="s">
        <v>18</v>
      </c>
      <c r="J13529" s="40" t="str">
        <f>HYPERLINK("https://stock.pstatic.net/stock-research/company/31/20250407_company_506574000.pdf","PDF")</f>
        <v>PDF</v>
      </c>
      <c r="K13529" s="12" t="s">
        <v>25735</v>
      </c>
      <c r="L13529" s="20">
        <v>0.61572052401746724</v>
      </c>
    </row>
    <row r="13530" spans="1:12" x14ac:dyDescent="0.45">
      <c r="A13530" s="12" t="s">
        <v>25699</v>
      </c>
      <c r="B13530" s="12" t="s">
        <v>10868</v>
      </c>
      <c r="C13530" s="13" t="s">
        <v>10869</v>
      </c>
      <c r="D13530" s="13" t="s">
        <v>34</v>
      </c>
      <c r="E13530" s="12" t="s">
        <v>50</v>
      </c>
      <c r="F13530" s="13"/>
      <c r="G13530" s="14">
        <v>79500</v>
      </c>
      <c r="H13530" s="13" t="s">
        <v>25736</v>
      </c>
      <c r="I13530" s="40" t="s">
        <v>18</v>
      </c>
      <c r="J13530" s="40" t="str">
        <f>HYPERLINK("https://stock.pstatic.net/stock-research/company/61/20250407_company_486994000.pdf","PDF")</f>
        <v>PDF</v>
      </c>
      <c r="K13530" s="12" t="s">
        <v>25737</v>
      </c>
    </row>
    <row r="13531" spans="1:12" x14ac:dyDescent="0.45">
      <c r="A13531" s="12" t="s">
        <v>25699</v>
      </c>
      <c r="B13531" s="12" t="s">
        <v>2819</v>
      </c>
      <c r="C13531" s="13" t="s">
        <v>2820</v>
      </c>
      <c r="D13531" s="13" t="s">
        <v>34</v>
      </c>
      <c r="E13531" s="12" t="s">
        <v>50</v>
      </c>
      <c r="F13531" s="13"/>
      <c r="G13531" s="14">
        <v>18430</v>
      </c>
      <c r="H13531" s="13" t="s">
        <v>25738</v>
      </c>
      <c r="I13531" s="40" t="s">
        <v>18</v>
      </c>
      <c r="J13531" s="40" t="str">
        <f>HYPERLINK("https://stock.pstatic.net/stock-research/company/1/20250407_company_47739000.pdf","PDF")</f>
        <v>PDF</v>
      </c>
      <c r="K13531" s="12" t="s">
        <v>25739</v>
      </c>
    </row>
    <row r="13532" spans="1:12" x14ac:dyDescent="0.45">
      <c r="A13532" s="12" t="s">
        <v>25699</v>
      </c>
      <c r="B13532" s="12" t="s">
        <v>1666</v>
      </c>
      <c r="C13532" s="13" t="s">
        <v>1667</v>
      </c>
      <c r="D13532" s="13" t="s">
        <v>92</v>
      </c>
      <c r="E13532" s="12" t="s">
        <v>159</v>
      </c>
      <c r="F13532" s="14">
        <v>46000</v>
      </c>
      <c r="G13532" s="14">
        <v>41650</v>
      </c>
      <c r="H13532" s="13" t="s">
        <v>25740</v>
      </c>
      <c r="I13532" s="40" t="s">
        <v>18</v>
      </c>
      <c r="J13532" s="40" t="str">
        <f>HYPERLINK("https://stock.pstatic.net/stock-research/company/63/20250407_company_436898000.pdf","PDF")</f>
        <v>PDF</v>
      </c>
      <c r="K13532" s="12" t="s">
        <v>25741</v>
      </c>
      <c r="L13532" s="20">
        <v>0.1044417767106843</v>
      </c>
    </row>
    <row r="13533" spans="1:12" x14ac:dyDescent="0.45">
      <c r="A13533" s="12" t="s">
        <v>25699</v>
      </c>
      <c r="B13533" s="12" t="s">
        <v>2950</v>
      </c>
      <c r="C13533" s="13" t="s">
        <v>2951</v>
      </c>
      <c r="D13533" s="13" t="s">
        <v>23</v>
      </c>
      <c r="E13533" s="12" t="s">
        <v>16</v>
      </c>
      <c r="F13533" s="14">
        <v>40000</v>
      </c>
      <c r="G13533" s="14">
        <v>23050</v>
      </c>
      <c r="H13533" s="13" t="s">
        <v>25742</v>
      </c>
      <c r="I13533" s="40" t="s">
        <v>18</v>
      </c>
      <c r="J13533" s="40" t="str">
        <f>HYPERLINK("https://stock.pstatic.net/stock-research/company/21/20250407_company_981294000.pdf","PDF")</f>
        <v>PDF</v>
      </c>
      <c r="K13533" s="12" t="s">
        <v>25743</v>
      </c>
      <c r="L13533" s="20">
        <v>0.73535791757049895</v>
      </c>
    </row>
    <row r="13534" spans="1:12" x14ac:dyDescent="0.45">
      <c r="A13534" s="12" t="s">
        <v>25699</v>
      </c>
      <c r="B13534" s="12" t="s">
        <v>11387</v>
      </c>
      <c r="C13534" s="13" t="s">
        <v>11388</v>
      </c>
      <c r="D13534" s="13" t="s">
        <v>23</v>
      </c>
      <c r="E13534" s="12" t="s">
        <v>50</v>
      </c>
      <c r="F13534" s="14">
        <v>8700</v>
      </c>
      <c r="G13534" s="14">
        <v>8000</v>
      </c>
      <c r="H13534" s="13" t="s">
        <v>25744</v>
      </c>
      <c r="I13534" s="40" t="s">
        <v>18</v>
      </c>
      <c r="J13534" s="40" t="str">
        <f>HYPERLINK("https://stock.pstatic.net/stock-research/company/21/20250407_company_379758000.pdf","PDF")</f>
        <v>PDF</v>
      </c>
      <c r="K13534" s="12" t="s">
        <v>25745</v>
      </c>
      <c r="L13534" s="20">
        <v>8.7499999999999994E-2</v>
      </c>
    </row>
    <row r="13535" spans="1:12" x14ac:dyDescent="0.45">
      <c r="A13535" s="12" t="s">
        <v>25699</v>
      </c>
      <c r="B13535" s="12" t="s">
        <v>1136</v>
      </c>
      <c r="C13535" s="13" t="s">
        <v>1137</v>
      </c>
      <c r="D13535" s="13" t="s">
        <v>179</v>
      </c>
      <c r="E13535" s="12" t="s">
        <v>16</v>
      </c>
      <c r="F13535" s="14">
        <v>24000</v>
      </c>
      <c r="G13535" s="14">
        <v>16830</v>
      </c>
      <c r="H13535" s="13" t="s">
        <v>25746</v>
      </c>
      <c r="I13535" s="40" t="s">
        <v>18</v>
      </c>
      <c r="J13535" s="40" t="str">
        <f>HYPERLINK("https://stock.pstatic.net/stock-research/company/31/20250407_company_551708000.pdf","PDF")</f>
        <v>PDF</v>
      </c>
      <c r="K13535" s="12" t="s">
        <v>25747</v>
      </c>
      <c r="L13535" s="20">
        <v>0.42602495543672009</v>
      </c>
    </row>
    <row r="13536" spans="1:12" x14ac:dyDescent="0.45">
      <c r="A13536" s="12" t="s">
        <v>25699</v>
      </c>
      <c r="B13536" s="12" t="s">
        <v>388</v>
      </c>
      <c r="C13536" s="13" t="s">
        <v>389</v>
      </c>
      <c r="D13536" s="13" t="s">
        <v>23</v>
      </c>
      <c r="E13536" s="12" t="s">
        <v>50</v>
      </c>
      <c r="F13536" s="13"/>
      <c r="G13536" s="14">
        <v>39600</v>
      </c>
      <c r="H13536" s="13" t="s">
        <v>25748</v>
      </c>
      <c r="I13536" s="40" t="s">
        <v>18</v>
      </c>
      <c r="J13536" s="40" t="str">
        <f>HYPERLINK("https://stock.pstatic.net/stock-research/company/21/20250407_company_332112000.pdf","PDF")</f>
        <v>PDF</v>
      </c>
      <c r="K13536" s="12" t="s">
        <v>25749</v>
      </c>
    </row>
    <row r="13537" spans="1:12" x14ac:dyDescent="0.45">
      <c r="A13537" s="12" t="s">
        <v>25699</v>
      </c>
      <c r="B13537" s="12" t="s">
        <v>146</v>
      </c>
      <c r="C13537" s="13" t="s">
        <v>147</v>
      </c>
      <c r="D13537" s="13" t="s">
        <v>124</v>
      </c>
      <c r="E13537" s="12" t="s">
        <v>50</v>
      </c>
      <c r="F13537" s="13"/>
      <c r="G13537" s="13"/>
      <c r="H13537" s="13" t="s">
        <v>25750</v>
      </c>
      <c r="I13537" s="40" t="s">
        <v>18</v>
      </c>
      <c r="J13537" s="40" t="str">
        <f>HYPERLINK("https://stock.pstatic.net/stock-research/company/1/20250407_company_357724000.pdf","PDF")</f>
        <v>PDF</v>
      </c>
      <c r="K13537" s="12" t="s">
        <v>25751</v>
      </c>
    </row>
    <row r="13538" spans="1:12" x14ac:dyDescent="0.45">
      <c r="A13538" s="12" t="s">
        <v>25699</v>
      </c>
      <c r="B13538" s="12" t="s">
        <v>2762</v>
      </c>
      <c r="C13538" s="13" t="s">
        <v>2763</v>
      </c>
      <c r="D13538" s="13" t="s">
        <v>124</v>
      </c>
      <c r="E13538" s="12" t="s">
        <v>50</v>
      </c>
      <c r="F13538" s="13"/>
      <c r="G13538" s="13"/>
      <c r="H13538" s="13" t="s">
        <v>25752</v>
      </c>
      <c r="I13538" s="40" t="s">
        <v>18</v>
      </c>
      <c r="J13538" s="40" t="str">
        <f>HYPERLINK("https://stock.pstatic.net/stock-research/company/74/20250407_company_23262000.pdf","PDF")</f>
        <v>PDF</v>
      </c>
      <c r="K13538" s="12" t="s">
        <v>25753</v>
      </c>
    </row>
    <row r="13539" spans="1:12" x14ac:dyDescent="0.45">
      <c r="A13539" s="12" t="s">
        <v>25754</v>
      </c>
      <c r="B13539" s="12" t="s">
        <v>259</v>
      </c>
      <c r="C13539" s="13" t="s">
        <v>260</v>
      </c>
      <c r="D13539" s="13" t="s">
        <v>158</v>
      </c>
      <c r="E13539" s="12" t="s">
        <v>35</v>
      </c>
      <c r="F13539" s="14">
        <v>85000</v>
      </c>
      <c r="G13539" s="14">
        <v>61200</v>
      </c>
      <c r="H13539" s="13" t="s">
        <v>25755</v>
      </c>
      <c r="I13539" s="40" t="s">
        <v>18</v>
      </c>
      <c r="J13539" s="40" t="str">
        <f>HYPERLINK("https://stock.pstatic.net/stock-research/company/18/20250404_company_24618000.pdf","PDF")</f>
        <v>PDF</v>
      </c>
      <c r="K13539" s="12" t="s">
        <v>25756</v>
      </c>
      <c r="L13539" s="20">
        <v>0.3888888888888889</v>
      </c>
    </row>
    <row r="13540" spans="1:12" x14ac:dyDescent="0.45">
      <c r="A13540" s="12" t="s">
        <v>25754</v>
      </c>
      <c r="B13540" s="12" t="s">
        <v>2956</v>
      </c>
      <c r="C13540" s="13" t="s">
        <v>2957</v>
      </c>
      <c r="D13540" s="13" t="s">
        <v>57</v>
      </c>
      <c r="E13540" s="12" t="s">
        <v>35</v>
      </c>
      <c r="F13540" s="14">
        <v>23000</v>
      </c>
      <c r="G13540" s="14">
        <v>16650</v>
      </c>
      <c r="H13540" s="13" t="s">
        <v>25757</v>
      </c>
      <c r="I13540" s="40" t="s">
        <v>18</v>
      </c>
      <c r="J13540" s="40" t="str">
        <f>HYPERLINK("https://stock.pstatic.net/stock-research/company/16/20250404_company_351938000.pdf","PDF")</f>
        <v>PDF</v>
      </c>
      <c r="K13540" s="12" t="s">
        <v>25758</v>
      </c>
      <c r="L13540" s="20">
        <v>0.38138138138138139</v>
      </c>
    </row>
    <row r="13541" spans="1:12" x14ac:dyDescent="0.45">
      <c r="A13541" s="12" t="s">
        <v>25754</v>
      </c>
      <c r="B13541" s="12" t="s">
        <v>25220</v>
      </c>
      <c r="C13541" s="13" t="s">
        <v>25221</v>
      </c>
      <c r="D13541" s="13" t="s">
        <v>57</v>
      </c>
      <c r="E13541" s="12" t="s">
        <v>50</v>
      </c>
      <c r="F13541" s="13"/>
      <c r="G13541" s="14">
        <v>32050</v>
      </c>
      <c r="H13541" s="13" t="s">
        <v>25759</v>
      </c>
      <c r="I13541" s="40" t="s">
        <v>18</v>
      </c>
      <c r="J13541" s="40" t="str">
        <f>HYPERLINK("https://stock.pstatic.net/stock-research/company/16/20250404_company_107401000.pdf","PDF")</f>
        <v>PDF</v>
      </c>
      <c r="K13541" s="12" t="s">
        <v>25760</v>
      </c>
    </row>
    <row r="13542" spans="1:12" x14ac:dyDescent="0.45">
      <c r="A13542" s="12" t="s">
        <v>25754</v>
      </c>
      <c r="B13542" s="12" t="s">
        <v>13</v>
      </c>
      <c r="C13542" s="13" t="s">
        <v>14</v>
      </c>
      <c r="D13542" s="13" t="s">
        <v>65</v>
      </c>
      <c r="E13542" s="12" t="s">
        <v>35</v>
      </c>
      <c r="F13542" s="14">
        <v>84000</v>
      </c>
      <c r="G13542" s="14">
        <v>57600</v>
      </c>
      <c r="H13542" s="13" t="s">
        <v>25761</v>
      </c>
      <c r="I13542" s="40" t="s">
        <v>18</v>
      </c>
      <c r="J13542" s="40" t="str">
        <f>HYPERLINK("https://stock.pstatic.net/stock-research/company/57/20250404_company_233337000.pdf","PDF")</f>
        <v>PDF</v>
      </c>
      <c r="K13542" s="12" t="s">
        <v>25762</v>
      </c>
      <c r="L13542" s="20">
        <v>0.45833333333333331</v>
      </c>
    </row>
    <row r="13543" spans="1:12" x14ac:dyDescent="0.45">
      <c r="A13543" s="12" t="s">
        <v>25754</v>
      </c>
      <c r="B13543" s="12" t="s">
        <v>334</v>
      </c>
      <c r="C13543" s="13" t="s">
        <v>335</v>
      </c>
      <c r="D13543" s="13" t="s">
        <v>179</v>
      </c>
      <c r="E13543" s="12" t="s">
        <v>16</v>
      </c>
      <c r="F13543" s="14">
        <v>300000</v>
      </c>
      <c r="G13543" s="14">
        <v>194600</v>
      </c>
      <c r="H13543" s="13" t="s">
        <v>25763</v>
      </c>
      <c r="I13543" s="40" t="s">
        <v>18</v>
      </c>
      <c r="J13543" s="40" t="str">
        <f>HYPERLINK("https://stock.pstatic.net/stock-research/company/64/20250404_company_598010000.pdf","PDF")</f>
        <v>PDF</v>
      </c>
      <c r="K13543" s="12" t="s">
        <v>25764</v>
      </c>
      <c r="L13543" s="20">
        <v>0.54162384378211714</v>
      </c>
    </row>
    <row r="13544" spans="1:12" x14ac:dyDescent="0.45">
      <c r="A13544" s="12" t="s">
        <v>25754</v>
      </c>
      <c r="B13544" s="12" t="s">
        <v>330</v>
      </c>
      <c r="C13544" s="13" t="s">
        <v>331</v>
      </c>
      <c r="D13544" s="13" t="s">
        <v>83</v>
      </c>
      <c r="E13544" s="12" t="s">
        <v>35</v>
      </c>
      <c r="F13544" s="14">
        <v>37000</v>
      </c>
      <c r="G13544" s="14">
        <v>19570</v>
      </c>
      <c r="H13544" s="13" t="s">
        <v>25765</v>
      </c>
      <c r="I13544" s="40" t="s">
        <v>18</v>
      </c>
      <c r="J13544" s="40" t="str">
        <f>HYPERLINK("https://stock.pstatic.net/stock-research/company/2/20250404_company_709347000.pdf","PDF")</f>
        <v>PDF</v>
      </c>
      <c r="K13544" s="12" t="s">
        <v>25766</v>
      </c>
      <c r="L13544" s="20">
        <v>0.89064895247828313</v>
      </c>
    </row>
    <row r="13545" spans="1:12" x14ac:dyDescent="0.45">
      <c r="A13545" s="12" t="s">
        <v>25754</v>
      </c>
      <c r="B13545" s="12" t="s">
        <v>1081</v>
      </c>
      <c r="C13545" s="13" t="s">
        <v>1082</v>
      </c>
      <c r="D13545" s="13" t="s">
        <v>83</v>
      </c>
      <c r="E13545" s="12" t="s">
        <v>35</v>
      </c>
      <c r="F13545" s="14">
        <v>1300000</v>
      </c>
      <c r="G13545" s="14">
        <v>1050000</v>
      </c>
      <c r="H13545" s="13" t="s">
        <v>25767</v>
      </c>
      <c r="I13545" s="40" t="s">
        <v>18</v>
      </c>
      <c r="J13545" s="40" t="str">
        <f>HYPERLINK("https://stock.pstatic.net/stock-research/company/2/20250404_company_620723000.pdf","PDF")</f>
        <v>PDF</v>
      </c>
      <c r="K13545" s="12" t="s">
        <v>25768</v>
      </c>
      <c r="L13545" s="20">
        <v>0.23809523809523811</v>
      </c>
    </row>
    <row r="13546" spans="1:12" x14ac:dyDescent="0.45">
      <c r="A13546" s="12" t="s">
        <v>25754</v>
      </c>
      <c r="B13546" s="12" t="s">
        <v>756</v>
      </c>
      <c r="C13546" s="13" t="s">
        <v>757</v>
      </c>
      <c r="D13546" s="13" t="s">
        <v>15</v>
      </c>
      <c r="E13546" s="12" t="s">
        <v>16</v>
      </c>
      <c r="F13546" s="14">
        <v>92000</v>
      </c>
      <c r="G13546" s="14">
        <v>67600</v>
      </c>
      <c r="H13546" s="13" t="s">
        <v>25769</v>
      </c>
      <c r="I13546" s="40" t="s">
        <v>18</v>
      </c>
      <c r="J13546" s="40" t="str">
        <f>HYPERLINK("https://stock.pstatic.net/stock-research/company/29/20250404_company_199945000.pdf","PDF")</f>
        <v>PDF</v>
      </c>
      <c r="K13546" s="12" t="s">
        <v>25770</v>
      </c>
      <c r="L13546" s="20">
        <v>0.36094674556213019</v>
      </c>
    </row>
    <row r="13547" spans="1:12" x14ac:dyDescent="0.45">
      <c r="A13547" s="12" t="s">
        <v>25754</v>
      </c>
      <c r="B13547" s="12" t="s">
        <v>1081</v>
      </c>
      <c r="C13547" s="13" t="s">
        <v>1082</v>
      </c>
      <c r="D13547" s="13" t="s">
        <v>179</v>
      </c>
      <c r="E13547" s="12" t="s">
        <v>16</v>
      </c>
      <c r="F13547" s="14">
        <v>1300000</v>
      </c>
      <c r="G13547" s="14">
        <v>1113000</v>
      </c>
      <c r="H13547" s="13" t="s">
        <v>25771</v>
      </c>
      <c r="I13547" s="40" t="s">
        <v>18</v>
      </c>
      <c r="J13547" s="40" t="str">
        <f>HYPERLINK("https://stock.pstatic.net/stock-research/company/64/20250404_company_828996000.pdf","PDF")</f>
        <v>PDF</v>
      </c>
      <c r="K13547" s="12" t="s">
        <v>25772</v>
      </c>
      <c r="L13547" s="20">
        <v>0.16801437556154539</v>
      </c>
    </row>
    <row r="13548" spans="1:12" x14ac:dyDescent="0.45">
      <c r="A13548" s="12" t="s">
        <v>25754</v>
      </c>
      <c r="B13548" s="12" t="s">
        <v>1087</v>
      </c>
      <c r="C13548" s="13" t="s">
        <v>1088</v>
      </c>
      <c r="D13548" s="13" t="s">
        <v>92</v>
      </c>
      <c r="E13548" s="12" t="s">
        <v>35</v>
      </c>
      <c r="F13548" s="14">
        <v>130000</v>
      </c>
      <c r="G13548" s="14">
        <v>74400</v>
      </c>
      <c r="H13548" s="13" t="s">
        <v>25773</v>
      </c>
      <c r="I13548" s="40" t="s">
        <v>18</v>
      </c>
      <c r="J13548" s="40" t="str">
        <f>HYPERLINK("https://stock.pstatic.net/stock-research/company/63/20250404_company_277479000.pdf","PDF")</f>
        <v>PDF</v>
      </c>
      <c r="K13548" s="12" t="s">
        <v>25774</v>
      </c>
      <c r="L13548" s="20">
        <v>0.74731182795698925</v>
      </c>
    </row>
    <row r="13549" spans="1:12" x14ac:dyDescent="0.45">
      <c r="A13549" s="12" t="s">
        <v>25754</v>
      </c>
      <c r="B13549" s="12" t="s">
        <v>32</v>
      </c>
      <c r="C13549" s="13" t="s">
        <v>33</v>
      </c>
      <c r="D13549" s="13" t="s">
        <v>44</v>
      </c>
      <c r="E13549" s="12" t="s">
        <v>50</v>
      </c>
      <c r="F13549" s="13"/>
      <c r="G13549" s="14">
        <v>120500</v>
      </c>
      <c r="H13549" s="13" t="s">
        <v>25775</v>
      </c>
      <c r="I13549" s="40" t="s">
        <v>18</v>
      </c>
      <c r="J13549" s="40" t="str">
        <f>HYPERLINK("https://stock.pstatic.net/stock-research/company/39/20250404_company_889317000.pdf","PDF")</f>
        <v>PDF</v>
      </c>
      <c r="K13549" s="12" t="s">
        <v>25776</v>
      </c>
    </row>
    <row r="13550" spans="1:12" x14ac:dyDescent="0.45">
      <c r="A13550" s="12" t="s">
        <v>25754</v>
      </c>
      <c r="B13550" s="12" t="s">
        <v>856</v>
      </c>
      <c r="C13550" s="13" t="s">
        <v>857</v>
      </c>
      <c r="D13550" s="13" t="s">
        <v>179</v>
      </c>
      <c r="E13550" s="12" t="s">
        <v>16</v>
      </c>
      <c r="F13550" s="14">
        <v>210000</v>
      </c>
      <c r="G13550" s="14">
        <v>118900</v>
      </c>
      <c r="H13550" s="13" t="s">
        <v>25777</v>
      </c>
      <c r="I13550" s="40" t="s">
        <v>18</v>
      </c>
      <c r="J13550" s="40" t="str">
        <f>HYPERLINK("https://stock.pstatic.net/stock-research/company/64/20250404_company_482541000.pdf","PDF")</f>
        <v>PDF</v>
      </c>
      <c r="K13550" s="12" t="s">
        <v>25778</v>
      </c>
      <c r="L13550" s="20">
        <v>0.76619007569386044</v>
      </c>
    </row>
    <row r="13551" spans="1:12" x14ac:dyDescent="0.45">
      <c r="A13551" s="12" t="s">
        <v>25754</v>
      </c>
      <c r="B13551" s="12" t="s">
        <v>370</v>
      </c>
      <c r="C13551" s="13" t="s">
        <v>371</v>
      </c>
      <c r="D13551" s="13" t="s">
        <v>53</v>
      </c>
      <c r="E13551" s="12" t="s">
        <v>16</v>
      </c>
      <c r="F13551" s="14">
        <v>80000</v>
      </c>
      <c r="G13551" s="14">
        <v>61200</v>
      </c>
      <c r="H13551" s="13" t="s">
        <v>25779</v>
      </c>
      <c r="I13551" s="40" t="s">
        <v>18</v>
      </c>
      <c r="J13551" s="40" t="str">
        <f>HYPERLINK("https://stock.pstatic.net/stock-research/company/40/20250404_company_27855000.pdf","PDF")</f>
        <v>PDF</v>
      </c>
      <c r="K13551" s="12" t="s">
        <v>25780</v>
      </c>
      <c r="L13551" s="20">
        <v>0.30718954248366009</v>
      </c>
    </row>
    <row r="13552" spans="1:12" x14ac:dyDescent="0.45">
      <c r="A13552" s="12" t="s">
        <v>25754</v>
      </c>
      <c r="B13552" s="12" t="s">
        <v>860</v>
      </c>
      <c r="C13552" s="13" t="s">
        <v>861</v>
      </c>
      <c r="D13552" s="13" t="s">
        <v>23</v>
      </c>
      <c r="E13552" s="12" t="s">
        <v>16</v>
      </c>
      <c r="F13552" s="14">
        <v>40000</v>
      </c>
      <c r="G13552" s="14">
        <v>23050</v>
      </c>
      <c r="H13552" s="13" t="s">
        <v>25781</v>
      </c>
      <c r="I13552" s="40" t="s">
        <v>18</v>
      </c>
      <c r="J13552" s="40" t="str">
        <f>HYPERLINK("https://stock.pstatic.net/stock-research/company/21/20250404_company_843737000.pdf","PDF")</f>
        <v>PDF</v>
      </c>
      <c r="K13552" s="12" t="s">
        <v>25782</v>
      </c>
      <c r="L13552" s="20">
        <v>0.73535791757049895</v>
      </c>
    </row>
    <row r="13553" spans="1:12" x14ac:dyDescent="0.45">
      <c r="A13553" s="12" t="s">
        <v>25783</v>
      </c>
      <c r="B13553" s="12" t="s">
        <v>1081</v>
      </c>
      <c r="C13553" s="13" t="s">
        <v>1082</v>
      </c>
      <c r="D13553" s="13" t="s">
        <v>44</v>
      </c>
      <c r="E13553" s="12" t="s">
        <v>35</v>
      </c>
      <c r="F13553" s="14">
        <v>1300000</v>
      </c>
      <c r="G13553" s="14">
        <v>1050000</v>
      </c>
      <c r="H13553" s="13" t="s">
        <v>25784</v>
      </c>
      <c r="I13553" s="40" t="s">
        <v>18</v>
      </c>
      <c r="J13553" s="40" t="str">
        <f>HYPERLINK("https://stock.pstatic.net/stock-research/company/39/20250403_company_328960000.pdf","PDF")</f>
        <v>PDF</v>
      </c>
      <c r="K13553" s="12" t="s">
        <v>25785</v>
      </c>
      <c r="L13553" s="20">
        <v>0.23809523809523811</v>
      </c>
    </row>
    <row r="13554" spans="1:12" x14ac:dyDescent="0.45">
      <c r="A13554" s="12" t="s">
        <v>25783</v>
      </c>
      <c r="B13554" s="12" t="s">
        <v>1081</v>
      </c>
      <c r="C13554" s="13" t="s">
        <v>1082</v>
      </c>
      <c r="D13554" s="13" t="s">
        <v>276</v>
      </c>
      <c r="E13554" s="12" t="s">
        <v>16</v>
      </c>
      <c r="F13554" s="14">
        <v>1300000</v>
      </c>
      <c r="G13554" s="14">
        <v>1050000</v>
      </c>
      <c r="H13554" s="13" t="s">
        <v>25786</v>
      </c>
      <c r="I13554" s="40" t="s">
        <v>18</v>
      </c>
      <c r="J13554" s="40" t="str">
        <f>HYPERLINK("https://stock.pstatic.net/stock-research/company/66/20250403_company_769058000.pdf","PDF")</f>
        <v>PDF</v>
      </c>
      <c r="K13554" s="12" t="s">
        <v>25787</v>
      </c>
      <c r="L13554" s="20">
        <v>0.23809523809523811</v>
      </c>
    </row>
    <row r="13555" spans="1:12" x14ac:dyDescent="0.45">
      <c r="A13555" s="12" t="s">
        <v>25783</v>
      </c>
      <c r="B13555" s="12" t="s">
        <v>2097</v>
      </c>
      <c r="C13555" s="13" t="s">
        <v>2098</v>
      </c>
      <c r="D13555" s="13" t="s">
        <v>276</v>
      </c>
      <c r="E13555" s="12" t="s">
        <v>16</v>
      </c>
      <c r="F13555" s="14">
        <v>51000</v>
      </c>
      <c r="G13555" s="14">
        <v>43500</v>
      </c>
      <c r="H13555" s="13" t="s">
        <v>25788</v>
      </c>
      <c r="I13555" s="40" t="s">
        <v>18</v>
      </c>
      <c r="J13555" s="40" t="str">
        <f>HYPERLINK("https://stock.pstatic.net/stock-research/company/66/20250403_company_208315000.pdf","PDF")</f>
        <v>PDF</v>
      </c>
      <c r="K13555" s="12" t="s">
        <v>25789</v>
      </c>
      <c r="L13555" s="20">
        <v>0.17241379310344829</v>
      </c>
    </row>
    <row r="13556" spans="1:12" x14ac:dyDescent="0.45">
      <c r="A13556" s="12" t="s">
        <v>25783</v>
      </c>
      <c r="B13556" s="12" t="s">
        <v>12635</v>
      </c>
      <c r="C13556" s="13" t="s">
        <v>12636</v>
      </c>
      <c r="D13556" s="13" t="s">
        <v>60</v>
      </c>
      <c r="E13556" s="12" t="s">
        <v>35</v>
      </c>
      <c r="F13556" s="14">
        <v>190000</v>
      </c>
      <c r="G13556" s="14">
        <v>140900</v>
      </c>
      <c r="H13556" s="13" t="s">
        <v>25790</v>
      </c>
      <c r="I13556" s="40" t="s">
        <v>18</v>
      </c>
      <c r="J13556" s="40" t="str">
        <f>HYPERLINK("https://stock.pstatic.net/stock-research/company/62/20250403_company_3209000.pdf","PDF")</f>
        <v>PDF</v>
      </c>
      <c r="K13556" s="12" t="s">
        <v>25791</v>
      </c>
      <c r="L13556" s="20">
        <v>0.34847409510290989</v>
      </c>
    </row>
    <row r="13557" spans="1:12" x14ac:dyDescent="0.45">
      <c r="A13557" s="12" t="s">
        <v>25783</v>
      </c>
      <c r="B13557" s="12" t="s">
        <v>2266</v>
      </c>
      <c r="C13557" s="13" t="s">
        <v>2267</v>
      </c>
      <c r="D13557" s="13" t="s">
        <v>57</v>
      </c>
      <c r="E13557" s="12" t="s">
        <v>35</v>
      </c>
      <c r="F13557" s="14">
        <v>96000</v>
      </c>
      <c r="G13557" s="14">
        <v>75400</v>
      </c>
      <c r="H13557" s="13" t="s">
        <v>25792</v>
      </c>
      <c r="I13557" s="40" t="s">
        <v>18</v>
      </c>
      <c r="J13557" s="40" t="str">
        <f>HYPERLINK("https://stock.pstatic.net/stock-research/company/16/20250403_company_364825000.pdf","PDF")</f>
        <v>PDF</v>
      </c>
      <c r="K13557" s="12" t="s">
        <v>25793</v>
      </c>
      <c r="L13557" s="20">
        <v>0.27320954907161799</v>
      </c>
    </row>
    <row r="13558" spans="1:12" x14ac:dyDescent="0.45">
      <c r="A13558" s="12" t="s">
        <v>25783</v>
      </c>
      <c r="B13558" s="12" t="s">
        <v>495</v>
      </c>
      <c r="C13558" s="13" t="s">
        <v>496</v>
      </c>
      <c r="D13558" s="13" t="s">
        <v>15</v>
      </c>
      <c r="E13558" s="12" t="s">
        <v>16</v>
      </c>
      <c r="F13558" s="14">
        <v>85000</v>
      </c>
      <c r="G13558" s="14">
        <v>64400</v>
      </c>
      <c r="H13558" s="13" t="s">
        <v>25794</v>
      </c>
      <c r="I13558" s="40" t="s">
        <v>18</v>
      </c>
      <c r="J13558" s="40" t="str">
        <f>HYPERLINK("https://stock.pstatic.net/stock-research/company/29/20250403_company_270802000.pdf","PDF")</f>
        <v>PDF</v>
      </c>
      <c r="K13558" s="12" t="s">
        <v>25795</v>
      </c>
      <c r="L13558" s="20">
        <v>0.31987577639751552</v>
      </c>
    </row>
    <row r="13559" spans="1:12" x14ac:dyDescent="0.45">
      <c r="A13559" s="12" t="s">
        <v>25783</v>
      </c>
      <c r="B13559" s="12" t="s">
        <v>8465</v>
      </c>
      <c r="C13559" s="13" t="s">
        <v>8466</v>
      </c>
      <c r="D13559" s="13" t="s">
        <v>83</v>
      </c>
      <c r="E13559" s="12" t="s">
        <v>50</v>
      </c>
      <c r="F13559" s="13"/>
      <c r="G13559" s="14">
        <v>22000</v>
      </c>
      <c r="H13559" s="13" t="s">
        <v>25796</v>
      </c>
      <c r="I13559" s="40" t="s">
        <v>18</v>
      </c>
      <c r="J13559" s="40" t="str">
        <f>HYPERLINK("https://stock.pstatic.net/stock-research/company/2/20250403_company_954614000.pdf","PDF")</f>
        <v>PDF</v>
      </c>
      <c r="K13559" s="12" t="s">
        <v>25797</v>
      </c>
    </row>
    <row r="13560" spans="1:12" x14ac:dyDescent="0.45">
      <c r="A13560" s="12" t="s">
        <v>25783</v>
      </c>
      <c r="B13560" s="12" t="s">
        <v>177</v>
      </c>
      <c r="C13560" s="13" t="s">
        <v>178</v>
      </c>
      <c r="D13560" s="13" t="s">
        <v>83</v>
      </c>
      <c r="E13560" s="12" t="s">
        <v>35</v>
      </c>
      <c r="F13560" s="14">
        <v>15000</v>
      </c>
      <c r="G13560" s="14">
        <v>8710</v>
      </c>
      <c r="H13560" s="13" t="s">
        <v>25798</v>
      </c>
      <c r="I13560" s="40" t="s">
        <v>18</v>
      </c>
      <c r="J13560" s="40" t="str">
        <f>HYPERLINK("https://stock.pstatic.net/stock-research/company/2/20250403_company_715087000.pdf","PDF")</f>
        <v>PDF</v>
      </c>
      <c r="K13560" s="12" t="s">
        <v>25799</v>
      </c>
      <c r="L13560" s="20">
        <v>0.72215843857634898</v>
      </c>
    </row>
    <row r="13561" spans="1:12" x14ac:dyDescent="0.45">
      <c r="A13561" s="12" t="s">
        <v>25783</v>
      </c>
      <c r="B13561" s="12" t="s">
        <v>13</v>
      </c>
      <c r="C13561" s="13" t="s">
        <v>14</v>
      </c>
      <c r="D13561" s="13" t="s">
        <v>179</v>
      </c>
      <c r="E13561" s="12" t="s">
        <v>16</v>
      </c>
      <c r="F13561" s="14">
        <v>77000</v>
      </c>
      <c r="G13561" s="14">
        <v>58800</v>
      </c>
      <c r="H13561" s="13" t="s">
        <v>25800</v>
      </c>
      <c r="I13561" s="40" t="s">
        <v>18</v>
      </c>
      <c r="J13561" s="40" t="str">
        <f>HYPERLINK("https://stock.pstatic.net/stock-research/company/31/20250403_company_277023000.pdf","PDF")</f>
        <v>PDF</v>
      </c>
      <c r="K13561" s="12" t="s">
        <v>25801</v>
      </c>
      <c r="L13561" s="20">
        <v>0.30952380952380948</v>
      </c>
    </row>
    <row r="13562" spans="1:12" x14ac:dyDescent="0.45">
      <c r="A13562" s="12" t="s">
        <v>25783</v>
      </c>
      <c r="B13562" s="12" t="s">
        <v>792</v>
      </c>
      <c r="C13562" s="13" t="s">
        <v>793</v>
      </c>
      <c r="D13562" s="13" t="s">
        <v>23</v>
      </c>
      <c r="E13562" s="12" t="s">
        <v>16</v>
      </c>
      <c r="F13562" s="14">
        <v>23000</v>
      </c>
      <c r="G13562" s="14">
        <v>13430</v>
      </c>
      <c r="H13562" s="13" t="s">
        <v>25802</v>
      </c>
      <c r="I13562" s="40" t="s">
        <v>18</v>
      </c>
      <c r="J13562" s="40" t="str">
        <f>HYPERLINK("https://stock.pstatic.net/stock-research/company/21/20250403_company_749294000.pdf","PDF")</f>
        <v>PDF</v>
      </c>
      <c r="K13562" s="12" t="s">
        <v>25803</v>
      </c>
      <c r="L13562" s="20">
        <v>0.71258376768428888</v>
      </c>
    </row>
    <row r="13563" spans="1:12" x14ac:dyDescent="0.45">
      <c r="A13563" s="12" t="s">
        <v>25783</v>
      </c>
      <c r="B13563" s="12" t="s">
        <v>2887</v>
      </c>
      <c r="C13563" s="13" t="s">
        <v>2888</v>
      </c>
      <c r="D13563" s="13" t="s">
        <v>23</v>
      </c>
      <c r="E13563" s="12" t="s">
        <v>16</v>
      </c>
      <c r="F13563" s="14">
        <v>350000</v>
      </c>
      <c r="G13563" s="14">
        <v>232500</v>
      </c>
      <c r="H13563" s="13" t="s">
        <v>2130</v>
      </c>
      <c r="I13563" s="40" t="s">
        <v>18</v>
      </c>
      <c r="J13563" s="40" t="str">
        <f>HYPERLINK("https://stock.pstatic.net/stock-research/company/21/20250403_company_197788000.pdf","PDF")</f>
        <v>PDF</v>
      </c>
      <c r="K13563" s="12" t="s">
        <v>25804</v>
      </c>
      <c r="L13563" s="20">
        <v>0.5053763440860215</v>
      </c>
    </row>
    <row r="13564" spans="1:12" x14ac:dyDescent="0.45">
      <c r="A13564" s="12" t="s">
        <v>25783</v>
      </c>
      <c r="B13564" s="12" t="s">
        <v>1081</v>
      </c>
      <c r="C13564" s="13" t="s">
        <v>1082</v>
      </c>
      <c r="D13564" s="13" t="s">
        <v>158</v>
      </c>
      <c r="E13564" s="12" t="s">
        <v>35</v>
      </c>
      <c r="F13564" s="14">
        <v>1300000</v>
      </c>
      <c r="G13564" s="14">
        <v>1050000</v>
      </c>
      <c r="H13564" s="13" t="s">
        <v>25805</v>
      </c>
      <c r="I13564" s="40" t="s">
        <v>18</v>
      </c>
      <c r="J13564" s="40" t="str">
        <f>HYPERLINK("https://stock.pstatic.net/stock-research/company/18/20250403_company_347192000.pdf","PDF")</f>
        <v>PDF</v>
      </c>
      <c r="K13564" s="12" t="s">
        <v>25806</v>
      </c>
      <c r="L13564" s="20">
        <v>0.23809523809523811</v>
      </c>
    </row>
    <row r="13565" spans="1:12" x14ac:dyDescent="0.45">
      <c r="A13565" s="12" t="s">
        <v>25783</v>
      </c>
      <c r="B13565" s="12" t="s">
        <v>912</v>
      </c>
      <c r="C13565" s="13" t="s">
        <v>913</v>
      </c>
      <c r="D13565" s="13" t="s">
        <v>158</v>
      </c>
      <c r="E13565" s="12" t="s">
        <v>35</v>
      </c>
      <c r="F13565" s="14">
        <v>66000</v>
      </c>
      <c r="G13565" s="14">
        <v>48300</v>
      </c>
      <c r="H13565" s="13" t="s">
        <v>25807</v>
      </c>
      <c r="I13565" s="40" t="s">
        <v>18</v>
      </c>
      <c r="J13565" s="40" t="str">
        <f>HYPERLINK("https://stock.pstatic.net/stock-research/company/18/20250403_company_178183000.pdf","PDF")</f>
        <v>PDF</v>
      </c>
      <c r="K13565" s="12" t="s">
        <v>25808</v>
      </c>
      <c r="L13565" s="20">
        <v>0.36645962732919263</v>
      </c>
    </row>
    <row r="13566" spans="1:12" x14ac:dyDescent="0.45">
      <c r="A13566" s="12" t="s">
        <v>25783</v>
      </c>
      <c r="B13566" s="12" t="s">
        <v>334</v>
      </c>
      <c r="C13566" s="13" t="s">
        <v>335</v>
      </c>
      <c r="D13566" s="13" t="s">
        <v>23</v>
      </c>
      <c r="E13566" s="12" t="s">
        <v>16</v>
      </c>
      <c r="F13566" s="14">
        <v>320000</v>
      </c>
      <c r="G13566" s="14">
        <v>197900</v>
      </c>
      <c r="H13566" s="13" t="s">
        <v>25809</v>
      </c>
      <c r="I13566" s="40" t="s">
        <v>18</v>
      </c>
      <c r="J13566" s="40" t="str">
        <f>HYPERLINK("https://stock.pstatic.net/stock-research/company/21/20250403_company_348020000.pdf","PDF")</f>
        <v>PDF</v>
      </c>
      <c r="K13566" s="12" t="s">
        <v>25810</v>
      </c>
      <c r="L13566" s="20">
        <v>0.61697827185447196</v>
      </c>
    </row>
    <row r="13567" spans="1:12" x14ac:dyDescent="0.45">
      <c r="A13567" s="12" t="s">
        <v>25783</v>
      </c>
      <c r="B13567" s="12" t="s">
        <v>1009</v>
      </c>
      <c r="C13567" s="13" t="s">
        <v>1010</v>
      </c>
      <c r="D13567" s="13" t="s">
        <v>124</v>
      </c>
      <c r="E13567" s="12" t="s">
        <v>50</v>
      </c>
      <c r="F13567" s="13"/>
      <c r="G13567" s="13"/>
      <c r="H13567" s="13" t="s">
        <v>25811</v>
      </c>
      <c r="I13567" s="40" t="s">
        <v>18</v>
      </c>
      <c r="J13567" s="40" t="str">
        <f>HYPERLINK("https://stock.pstatic.net/stock-research/company/1/20250403_company_108014000.pdf","PDF")</f>
        <v>PDF</v>
      </c>
      <c r="K13567" s="12" t="s">
        <v>25812</v>
      </c>
    </row>
    <row r="13568" spans="1:12" x14ac:dyDescent="0.45">
      <c r="A13568" s="12" t="s">
        <v>25813</v>
      </c>
      <c r="B13568" s="12" t="s">
        <v>4764</v>
      </c>
      <c r="C13568" s="13" t="s">
        <v>4765</v>
      </c>
      <c r="D13568" s="13" t="s">
        <v>158</v>
      </c>
      <c r="E13568" s="12" t="s">
        <v>50</v>
      </c>
      <c r="F13568" s="13"/>
      <c r="G13568" s="14">
        <v>8390</v>
      </c>
      <c r="H13568" s="13" t="s">
        <v>25814</v>
      </c>
      <c r="I13568" s="40" t="s">
        <v>18</v>
      </c>
      <c r="J13568" s="40" t="str">
        <f>HYPERLINK("https://stock.pstatic.net/stock-research/company/18/20250402_company_906064000.pdf","PDF")</f>
        <v>PDF</v>
      </c>
      <c r="K13568" s="12" t="s">
        <v>25815</v>
      </c>
    </row>
    <row r="13569" spans="1:12" x14ac:dyDescent="0.45">
      <c r="A13569" s="12" t="s">
        <v>25813</v>
      </c>
      <c r="B13569" s="12" t="s">
        <v>1656</v>
      </c>
      <c r="C13569" s="13" t="s">
        <v>1657</v>
      </c>
      <c r="D13569" s="13" t="s">
        <v>158</v>
      </c>
      <c r="E13569" s="12" t="s">
        <v>35</v>
      </c>
      <c r="F13569" s="14">
        <v>170000</v>
      </c>
      <c r="G13569" s="14">
        <v>136300</v>
      </c>
      <c r="H13569" s="13" t="s">
        <v>25816</v>
      </c>
      <c r="I13569" s="40" t="s">
        <v>18</v>
      </c>
      <c r="J13569" s="40" t="str">
        <f>HYPERLINK("https://stock.pstatic.net/stock-research/company/18/20250402_company_828025000.pdf","PDF")</f>
        <v>PDF</v>
      </c>
      <c r="K13569" s="12" t="s">
        <v>25817</v>
      </c>
      <c r="L13569" s="20">
        <v>0.24724871606749821</v>
      </c>
    </row>
    <row r="13570" spans="1:12" x14ac:dyDescent="0.45">
      <c r="A13570" s="12" t="s">
        <v>25813</v>
      </c>
      <c r="B13570" s="12" t="s">
        <v>132</v>
      </c>
      <c r="C13570" s="13" t="s">
        <v>133</v>
      </c>
      <c r="D13570" s="13" t="s">
        <v>158</v>
      </c>
      <c r="E13570" s="12" t="s">
        <v>35</v>
      </c>
      <c r="F13570" s="14">
        <v>84000</v>
      </c>
      <c r="G13570" s="14">
        <v>59300</v>
      </c>
      <c r="H13570" s="13" t="s">
        <v>25818</v>
      </c>
      <c r="I13570" s="40" t="s">
        <v>18</v>
      </c>
      <c r="J13570" s="40" t="str">
        <f>HYPERLINK("https://stock.pstatic.net/stock-research/company/18/20250402_company_438010000.pdf","PDF")</f>
        <v>PDF</v>
      </c>
      <c r="K13570" s="12" t="s">
        <v>25819</v>
      </c>
      <c r="L13570" s="20">
        <v>0.41652613827993262</v>
      </c>
    </row>
    <row r="13571" spans="1:12" x14ac:dyDescent="0.45">
      <c r="A13571" s="12" t="s">
        <v>25813</v>
      </c>
      <c r="B13571" s="12" t="s">
        <v>2982</v>
      </c>
      <c r="C13571" s="13" t="s">
        <v>2983</v>
      </c>
      <c r="D13571" s="13" t="s">
        <v>57</v>
      </c>
      <c r="E13571" s="12" t="s">
        <v>35</v>
      </c>
      <c r="F13571" s="14">
        <v>50000</v>
      </c>
      <c r="G13571" s="14">
        <v>41350</v>
      </c>
      <c r="H13571" s="13" t="s">
        <v>25820</v>
      </c>
      <c r="I13571" s="40" t="s">
        <v>18</v>
      </c>
      <c r="J13571" s="40" t="str">
        <f>HYPERLINK("https://stock.pstatic.net/stock-research/company/16/20250402_company_163762000.pdf","PDF")</f>
        <v>PDF</v>
      </c>
      <c r="K13571" s="12" t="s">
        <v>25821</v>
      </c>
      <c r="L13571" s="20">
        <v>0.20918984280532041</v>
      </c>
    </row>
    <row r="13572" spans="1:12" x14ac:dyDescent="0.45">
      <c r="A13572" s="12" t="s">
        <v>25813</v>
      </c>
      <c r="B13572" s="12" t="s">
        <v>1686</v>
      </c>
      <c r="C13572" s="13" t="s">
        <v>1687</v>
      </c>
      <c r="D13572" s="13" t="s">
        <v>57</v>
      </c>
      <c r="E13572" s="12" t="s">
        <v>35</v>
      </c>
      <c r="F13572" s="14">
        <v>1200000</v>
      </c>
      <c r="G13572" s="14">
        <v>847000</v>
      </c>
      <c r="H13572" s="13" t="s">
        <v>25822</v>
      </c>
      <c r="I13572" s="40" t="s">
        <v>18</v>
      </c>
      <c r="J13572" s="40" t="str">
        <f>HYPERLINK("https://stock.pstatic.net/stock-research/company/16/20250402_company_68296000.pdf","PDF")</f>
        <v>PDF</v>
      </c>
      <c r="K13572" s="12" t="s">
        <v>25823</v>
      </c>
      <c r="L13572" s="20">
        <v>0.4167650531286895</v>
      </c>
    </row>
    <row r="13573" spans="1:12" x14ac:dyDescent="0.45">
      <c r="A13573" s="12" t="s">
        <v>25813</v>
      </c>
      <c r="B13573" s="12" t="s">
        <v>3150</v>
      </c>
      <c r="C13573" s="13" t="s">
        <v>3151</v>
      </c>
      <c r="D13573" s="13" t="s">
        <v>276</v>
      </c>
      <c r="E13573" s="12" t="s">
        <v>50</v>
      </c>
      <c r="F13573" s="13"/>
      <c r="G13573" s="14">
        <v>36800</v>
      </c>
      <c r="H13573" s="13" t="s">
        <v>25824</v>
      </c>
      <c r="I13573" s="40" t="s">
        <v>18</v>
      </c>
      <c r="J13573" s="40" t="str">
        <f>HYPERLINK("https://stock.pstatic.net/stock-research/company/66/20250402_company_101941000.pdf","PDF")</f>
        <v>PDF</v>
      </c>
      <c r="K13573" s="12" t="s">
        <v>25825</v>
      </c>
    </row>
    <row r="13574" spans="1:12" x14ac:dyDescent="0.45">
      <c r="A13574" s="12" t="s">
        <v>25813</v>
      </c>
      <c r="B13574" s="12" t="s">
        <v>2762</v>
      </c>
      <c r="C13574" s="13" t="s">
        <v>2763</v>
      </c>
      <c r="D13574" s="13" t="s">
        <v>65</v>
      </c>
      <c r="E13574" s="12" t="s">
        <v>35</v>
      </c>
      <c r="F13574" s="14">
        <v>150000</v>
      </c>
      <c r="G13574" s="14">
        <v>86700</v>
      </c>
      <c r="H13574" s="13" t="s">
        <v>25826</v>
      </c>
      <c r="I13574" s="40" t="s">
        <v>18</v>
      </c>
      <c r="J13574" s="40" t="str">
        <f>HYPERLINK("https://stock.pstatic.net/stock-research/company/57/20250402_company_544858000.pdf","PDF")</f>
        <v>PDF</v>
      </c>
      <c r="K13574" s="12" t="s">
        <v>25827</v>
      </c>
      <c r="L13574" s="20">
        <v>0.73010380622837368</v>
      </c>
    </row>
    <row r="13575" spans="1:12" x14ac:dyDescent="0.45">
      <c r="A13575" s="12" t="s">
        <v>25813</v>
      </c>
      <c r="B13575" s="12" t="s">
        <v>434</v>
      </c>
      <c r="C13575" s="13" t="s">
        <v>435</v>
      </c>
      <c r="D13575" s="13" t="s">
        <v>65</v>
      </c>
      <c r="E13575" s="12" t="s">
        <v>35</v>
      </c>
      <c r="F13575" s="14">
        <v>190000</v>
      </c>
      <c r="G13575" s="14">
        <v>105900</v>
      </c>
      <c r="H13575" s="13" t="s">
        <v>25828</v>
      </c>
      <c r="I13575" s="40" t="s">
        <v>18</v>
      </c>
      <c r="J13575" s="40" t="str">
        <f>HYPERLINK("https://stock.pstatic.net/stock-research/company/57/20250402_company_182373000.pdf","PDF")</f>
        <v>PDF</v>
      </c>
      <c r="K13575" s="12" t="s">
        <v>25829</v>
      </c>
      <c r="L13575" s="20">
        <v>0.79414542020774315</v>
      </c>
    </row>
    <row r="13576" spans="1:12" x14ac:dyDescent="0.45">
      <c r="A13576" s="12" t="s">
        <v>25813</v>
      </c>
      <c r="B13576" s="12" t="s">
        <v>2758</v>
      </c>
      <c r="C13576" s="13" t="s">
        <v>2759</v>
      </c>
      <c r="D13576" s="13" t="s">
        <v>15</v>
      </c>
      <c r="E13576" s="12" t="s">
        <v>16</v>
      </c>
      <c r="F13576" s="14">
        <v>430000</v>
      </c>
      <c r="G13576" s="14">
        <v>279500</v>
      </c>
      <c r="H13576" s="13" t="s">
        <v>25830</v>
      </c>
      <c r="I13576" s="40" t="s">
        <v>18</v>
      </c>
      <c r="J13576" s="40" t="str">
        <f>HYPERLINK("https://stock.pstatic.net/stock-research/company/29/20250402_company_661615000.pdf","PDF")</f>
        <v>PDF</v>
      </c>
      <c r="K13576" s="12" t="s">
        <v>25831</v>
      </c>
      <c r="L13576" s="20">
        <v>0.53846153846153844</v>
      </c>
    </row>
    <row r="13577" spans="1:12" x14ac:dyDescent="0.45">
      <c r="A13577" s="12" t="s">
        <v>25813</v>
      </c>
      <c r="B13577" s="12" t="s">
        <v>3478</v>
      </c>
      <c r="C13577" s="13" t="s">
        <v>3479</v>
      </c>
      <c r="D13577" s="13" t="s">
        <v>15</v>
      </c>
      <c r="E13577" s="12" t="s">
        <v>16</v>
      </c>
      <c r="F13577" s="14">
        <v>36000</v>
      </c>
      <c r="G13577" s="14">
        <v>24600</v>
      </c>
      <c r="H13577" s="13" t="s">
        <v>25832</v>
      </c>
      <c r="I13577" s="40" t="s">
        <v>18</v>
      </c>
      <c r="J13577" s="40" t="str">
        <f>HYPERLINK("https://stock.pstatic.net/stock-research/company/29/20250402_company_885998000.pdf","PDF")</f>
        <v>PDF</v>
      </c>
      <c r="K13577" s="12" t="s">
        <v>25833</v>
      </c>
      <c r="L13577" s="20">
        <v>0.46341463414634149</v>
      </c>
    </row>
    <row r="13578" spans="1:12" x14ac:dyDescent="0.45">
      <c r="A13578" s="12" t="s">
        <v>25813</v>
      </c>
      <c r="B13578" s="12" t="s">
        <v>511</v>
      </c>
      <c r="C13578" s="13" t="s">
        <v>512</v>
      </c>
      <c r="D13578" s="13" t="s">
        <v>83</v>
      </c>
      <c r="E13578" s="12" t="s">
        <v>16</v>
      </c>
      <c r="F13578" s="14">
        <v>92000</v>
      </c>
      <c r="G13578" s="14">
        <v>71100</v>
      </c>
      <c r="H13578" s="13" t="s">
        <v>25834</v>
      </c>
      <c r="I13578" s="40" t="s">
        <v>18</v>
      </c>
      <c r="J13578" s="40" t="str">
        <f>HYPERLINK("https://stock.pstatic.net/stock-research/company/2/20250402_company_341551000.pdf","PDF")</f>
        <v>PDF</v>
      </c>
      <c r="K13578" s="12" t="s">
        <v>25835</v>
      </c>
      <c r="L13578" s="20">
        <v>0.2939521800281294</v>
      </c>
    </row>
    <row r="13579" spans="1:12" x14ac:dyDescent="0.45">
      <c r="A13579" s="12" t="s">
        <v>25813</v>
      </c>
      <c r="B13579" s="12" t="s">
        <v>132</v>
      </c>
      <c r="C13579" s="13" t="s">
        <v>133</v>
      </c>
      <c r="D13579" s="13" t="s">
        <v>83</v>
      </c>
      <c r="E13579" s="12" t="s">
        <v>35</v>
      </c>
      <c r="F13579" s="14">
        <v>70000</v>
      </c>
      <c r="G13579" s="14">
        <v>59300</v>
      </c>
      <c r="H13579" s="13" t="s">
        <v>25836</v>
      </c>
      <c r="I13579" s="40" t="s">
        <v>18</v>
      </c>
      <c r="J13579" s="40" t="str">
        <f>HYPERLINK("https://stock.pstatic.net/stock-research/company/2/20250402_company_949535000.pdf","PDF")</f>
        <v>PDF</v>
      </c>
      <c r="K13579" s="12" t="s">
        <v>25837</v>
      </c>
      <c r="L13579" s="20">
        <v>0.18043844856661051</v>
      </c>
    </row>
    <row r="13580" spans="1:12" x14ac:dyDescent="0.45">
      <c r="A13580" s="12" t="s">
        <v>25813</v>
      </c>
      <c r="B13580" s="12" t="s">
        <v>1019</v>
      </c>
      <c r="C13580" s="13" t="s">
        <v>1020</v>
      </c>
      <c r="D13580" s="13" t="s">
        <v>83</v>
      </c>
      <c r="E13580" s="12" t="s">
        <v>35</v>
      </c>
      <c r="F13580" s="14">
        <v>14000</v>
      </c>
      <c r="G13580" s="14">
        <v>8220</v>
      </c>
      <c r="H13580" s="13" t="s">
        <v>25838</v>
      </c>
      <c r="I13580" s="40" t="s">
        <v>18</v>
      </c>
      <c r="J13580" s="40" t="str">
        <f>HYPERLINK("https://stock.pstatic.net/stock-research/company/2/20250402_company_513774000.pdf","PDF")</f>
        <v>PDF</v>
      </c>
      <c r="K13580" s="12" t="s">
        <v>25839</v>
      </c>
      <c r="L13580" s="20">
        <v>0.7031630170316302</v>
      </c>
    </row>
    <row r="13581" spans="1:12" x14ac:dyDescent="0.45">
      <c r="A13581" s="12" t="s">
        <v>25813</v>
      </c>
      <c r="B13581" s="12" t="s">
        <v>132</v>
      </c>
      <c r="C13581" s="13" t="s">
        <v>133</v>
      </c>
      <c r="D13581" s="13" t="s">
        <v>15</v>
      </c>
      <c r="E13581" s="12" t="s">
        <v>16</v>
      </c>
      <c r="F13581" s="14">
        <v>85000</v>
      </c>
      <c r="G13581" s="14">
        <v>59300</v>
      </c>
      <c r="H13581" s="13" t="s">
        <v>25840</v>
      </c>
      <c r="I13581" s="40" t="s">
        <v>18</v>
      </c>
      <c r="J13581" s="40" t="str">
        <f>HYPERLINK("https://stock.pstatic.net/stock-research/company/29/20250402_company_118795000.pdf","PDF")</f>
        <v>PDF</v>
      </c>
      <c r="K13581" s="12" t="s">
        <v>25841</v>
      </c>
      <c r="L13581" s="20">
        <v>0.43338954468802698</v>
      </c>
    </row>
    <row r="13582" spans="1:12" x14ac:dyDescent="0.45">
      <c r="A13582" s="12" t="s">
        <v>25813</v>
      </c>
      <c r="B13582" s="12" t="s">
        <v>694</v>
      </c>
      <c r="C13582" s="13" t="s">
        <v>695</v>
      </c>
      <c r="D13582" s="13" t="s">
        <v>34</v>
      </c>
      <c r="E13582" s="12" t="s">
        <v>35</v>
      </c>
      <c r="F13582" s="14">
        <v>11000</v>
      </c>
      <c r="G13582" s="14">
        <v>7570</v>
      </c>
      <c r="H13582" s="13" t="s">
        <v>25842</v>
      </c>
      <c r="I13582" s="40" t="s">
        <v>18</v>
      </c>
      <c r="J13582" s="40" t="str">
        <f>HYPERLINK("https://stock.pstatic.net/stock-research/company/61/20250402_company_566325000.pdf","PDF")</f>
        <v>PDF</v>
      </c>
      <c r="K13582" s="12" t="s">
        <v>25843</v>
      </c>
      <c r="L13582" s="20">
        <v>0.45310435931307802</v>
      </c>
    </row>
    <row r="13583" spans="1:12" x14ac:dyDescent="0.45">
      <c r="A13583" s="12" t="s">
        <v>25813</v>
      </c>
      <c r="B13583" s="12" t="s">
        <v>3113</v>
      </c>
      <c r="C13583" s="13" t="s">
        <v>3114</v>
      </c>
      <c r="D13583" s="13" t="s">
        <v>15</v>
      </c>
      <c r="E13583" s="12" t="s">
        <v>16</v>
      </c>
      <c r="F13583" s="14">
        <v>33000</v>
      </c>
      <c r="G13583" s="14">
        <v>25100</v>
      </c>
      <c r="H13583" s="13" t="s">
        <v>25844</v>
      </c>
      <c r="I13583" s="40" t="s">
        <v>18</v>
      </c>
      <c r="J13583" s="40" t="str">
        <f>HYPERLINK("https://stock.pstatic.net/stock-research/company/29/20250402_company_588965000.pdf","PDF")</f>
        <v>PDF</v>
      </c>
      <c r="K13583" s="12" t="s">
        <v>25845</v>
      </c>
      <c r="L13583" s="20">
        <v>0.3147410358565737</v>
      </c>
    </row>
    <row r="13584" spans="1:12" x14ac:dyDescent="0.45">
      <c r="A13584" s="12" t="s">
        <v>25813</v>
      </c>
      <c r="B13584" s="12" t="s">
        <v>3101</v>
      </c>
      <c r="C13584" s="13" t="s">
        <v>3102</v>
      </c>
      <c r="D13584" s="13" t="s">
        <v>34</v>
      </c>
      <c r="E13584" s="12" t="s">
        <v>159</v>
      </c>
      <c r="F13584" s="14">
        <v>90000</v>
      </c>
      <c r="G13584" s="14">
        <v>95700</v>
      </c>
      <c r="H13584" s="13" t="s">
        <v>25846</v>
      </c>
      <c r="I13584" s="40" t="s">
        <v>18</v>
      </c>
      <c r="J13584" s="40" t="str">
        <f>HYPERLINK("https://stock.pstatic.net/stock-research/company/61/20250402_company_366869000.pdf","PDF")</f>
        <v>PDF</v>
      </c>
      <c r="K13584" s="12" t="s">
        <v>25847</v>
      </c>
      <c r="L13584" s="20">
        <v>-5.9561128526645767E-2</v>
      </c>
    </row>
    <row r="13585" spans="1:12" x14ac:dyDescent="0.45">
      <c r="A13585" s="12" t="s">
        <v>25813</v>
      </c>
      <c r="B13585" s="12" t="s">
        <v>32</v>
      </c>
      <c r="C13585" s="13" t="s">
        <v>33</v>
      </c>
      <c r="D13585" s="13" t="s">
        <v>34</v>
      </c>
      <c r="E13585" s="12" t="s">
        <v>35</v>
      </c>
      <c r="F13585" s="14">
        <v>180000</v>
      </c>
      <c r="G13585" s="14">
        <v>128700</v>
      </c>
      <c r="H13585" s="13" t="s">
        <v>25848</v>
      </c>
      <c r="I13585" s="40" t="s">
        <v>18</v>
      </c>
      <c r="J13585" s="40" t="str">
        <f>HYPERLINK("https://stock.pstatic.net/stock-research/company/61/20250402_company_144832000.pdf","PDF")</f>
        <v>PDF</v>
      </c>
      <c r="K13585" s="12" t="s">
        <v>25849</v>
      </c>
      <c r="L13585" s="20">
        <v>0.39860139860139859</v>
      </c>
    </row>
    <row r="13586" spans="1:12" x14ac:dyDescent="0.45">
      <c r="A13586" s="12" t="s">
        <v>25813</v>
      </c>
      <c r="B13586" s="12" t="s">
        <v>2369</v>
      </c>
      <c r="C13586" s="13" t="s">
        <v>2370</v>
      </c>
      <c r="D13586" s="13" t="s">
        <v>34</v>
      </c>
      <c r="E13586" s="12" t="s">
        <v>35</v>
      </c>
      <c r="F13586" s="14">
        <v>300000</v>
      </c>
      <c r="G13586" s="14">
        <v>19300</v>
      </c>
      <c r="H13586" s="13" t="s">
        <v>25850</v>
      </c>
      <c r="I13586" s="40" t="s">
        <v>18</v>
      </c>
      <c r="J13586" s="40" t="str">
        <f>HYPERLINK("https://stock.pstatic.net/stock-research/company/61/20250402_company_763131000.pdf","PDF")</f>
        <v>PDF</v>
      </c>
      <c r="K13586" s="12" t="s">
        <v>25851</v>
      </c>
      <c r="L13586" s="20">
        <v>14.5440414507772</v>
      </c>
    </row>
    <row r="13587" spans="1:12" x14ac:dyDescent="0.45">
      <c r="A13587" s="12" t="s">
        <v>25813</v>
      </c>
      <c r="B13587" s="12" t="s">
        <v>2378</v>
      </c>
      <c r="C13587" s="13" t="s">
        <v>2379</v>
      </c>
      <c r="D13587" s="13" t="s">
        <v>34</v>
      </c>
      <c r="E13587" s="12" t="s">
        <v>35</v>
      </c>
      <c r="F13587" s="14">
        <v>450000</v>
      </c>
      <c r="G13587" s="14">
        <v>328000</v>
      </c>
      <c r="H13587" s="13" t="s">
        <v>25852</v>
      </c>
      <c r="I13587" s="40" t="s">
        <v>18</v>
      </c>
      <c r="J13587" s="40" t="str">
        <f>HYPERLINK("https://stock.pstatic.net/stock-research/company/61/20250402_company_756464000.pdf","PDF")</f>
        <v>PDF</v>
      </c>
      <c r="K13587" s="12" t="s">
        <v>25853</v>
      </c>
      <c r="L13587" s="20">
        <v>0.37195121951219512</v>
      </c>
    </row>
    <row r="13588" spans="1:12" x14ac:dyDescent="0.45">
      <c r="A13588" s="12" t="s">
        <v>25813</v>
      </c>
      <c r="B13588" s="12" t="s">
        <v>2365</v>
      </c>
      <c r="C13588" s="13" t="s">
        <v>2366</v>
      </c>
      <c r="D13588" s="13" t="s">
        <v>34</v>
      </c>
      <c r="E13588" s="12" t="s">
        <v>35</v>
      </c>
      <c r="F13588" s="14">
        <v>100000</v>
      </c>
      <c r="G13588" s="14">
        <v>59200</v>
      </c>
      <c r="H13588" s="13" t="s">
        <v>25854</v>
      </c>
      <c r="I13588" s="40" t="s">
        <v>18</v>
      </c>
      <c r="J13588" s="40" t="str">
        <f>HYPERLINK("https://stock.pstatic.net/stock-research/company/61/20250402_company_683250000.pdf","PDF")</f>
        <v>PDF</v>
      </c>
      <c r="K13588" s="12" t="s">
        <v>25855</v>
      </c>
      <c r="L13588" s="20">
        <v>0.68918918918918914</v>
      </c>
    </row>
    <row r="13589" spans="1:12" x14ac:dyDescent="0.45">
      <c r="A13589" s="12" t="s">
        <v>25813</v>
      </c>
      <c r="B13589" s="12" t="s">
        <v>9826</v>
      </c>
      <c r="C13589" s="13" t="s">
        <v>9827</v>
      </c>
      <c r="D13589" s="13" t="s">
        <v>53</v>
      </c>
      <c r="E13589" s="12" t="s">
        <v>16</v>
      </c>
      <c r="F13589" s="14">
        <v>27000</v>
      </c>
      <c r="G13589" s="14">
        <v>8950</v>
      </c>
      <c r="H13589" s="13" t="s">
        <v>25856</v>
      </c>
      <c r="I13589" s="40" t="s">
        <v>18</v>
      </c>
      <c r="J13589" s="40" t="str">
        <f>HYPERLINK("https://stock.pstatic.net/stock-research/company/40/20250402_company_494525000.pdf","PDF")</f>
        <v>PDF</v>
      </c>
      <c r="K13589" s="12" t="s">
        <v>25857</v>
      </c>
      <c r="L13589" s="20">
        <v>2.016759776536313</v>
      </c>
    </row>
    <row r="13590" spans="1:12" x14ac:dyDescent="0.45">
      <c r="A13590" s="12" t="s">
        <v>25813</v>
      </c>
      <c r="B13590" s="12" t="s">
        <v>3150</v>
      </c>
      <c r="C13590" s="13" t="s">
        <v>3151</v>
      </c>
      <c r="D13590" s="13" t="s">
        <v>23</v>
      </c>
      <c r="E13590" s="12" t="s">
        <v>50</v>
      </c>
      <c r="F13590" s="13"/>
      <c r="G13590" s="14">
        <v>36800</v>
      </c>
      <c r="H13590" s="13" t="s">
        <v>25858</v>
      </c>
      <c r="I13590" s="40" t="s">
        <v>18</v>
      </c>
      <c r="J13590" s="40" t="str">
        <f>HYPERLINK("https://stock.pstatic.net/stock-research/company/21/20250402_company_110474000.pdf","PDF")</f>
        <v>PDF</v>
      </c>
      <c r="K13590" s="12" t="s">
        <v>25859</v>
      </c>
    </row>
    <row r="13591" spans="1:12" x14ac:dyDescent="0.45">
      <c r="A13591" s="12" t="s">
        <v>25813</v>
      </c>
      <c r="B13591" s="12" t="s">
        <v>132</v>
      </c>
      <c r="C13591" s="13" t="s">
        <v>133</v>
      </c>
      <c r="D13591" s="13" t="s">
        <v>92</v>
      </c>
      <c r="E13591" s="12" t="s">
        <v>35</v>
      </c>
      <c r="F13591" s="14">
        <v>75000</v>
      </c>
      <c r="G13591" s="14">
        <v>59300</v>
      </c>
      <c r="H13591" s="13" t="s">
        <v>25860</v>
      </c>
      <c r="I13591" s="40" t="s">
        <v>18</v>
      </c>
      <c r="J13591" s="40" t="str">
        <f>HYPERLINK("https://stock.pstatic.net/stock-research/company/63/20250402_company_367848000.pdf","PDF")</f>
        <v>PDF</v>
      </c>
      <c r="K13591" s="12" t="s">
        <v>25861</v>
      </c>
      <c r="L13591" s="20">
        <v>0.26475548060708259</v>
      </c>
    </row>
    <row r="13592" spans="1:12" x14ac:dyDescent="0.45">
      <c r="A13592" s="12" t="s">
        <v>25813</v>
      </c>
      <c r="B13592" s="12" t="s">
        <v>375</v>
      </c>
      <c r="C13592" s="13" t="s">
        <v>376</v>
      </c>
      <c r="D13592" s="13" t="s">
        <v>92</v>
      </c>
      <c r="E13592" s="12" t="s">
        <v>35</v>
      </c>
      <c r="F13592" s="14">
        <v>28000</v>
      </c>
      <c r="G13592" s="14">
        <v>22500</v>
      </c>
      <c r="H13592" s="13" t="s">
        <v>25862</v>
      </c>
      <c r="I13592" s="40" t="s">
        <v>18</v>
      </c>
      <c r="J13592" s="40" t="str">
        <f>HYPERLINK("https://stock.pstatic.net/stock-research/company/63/20250402_company_441372000.pdf","PDF")</f>
        <v>PDF</v>
      </c>
      <c r="K13592" s="12" t="s">
        <v>25863</v>
      </c>
      <c r="L13592" s="20">
        <v>0.24444444444444441</v>
      </c>
    </row>
    <row r="13593" spans="1:12" x14ac:dyDescent="0.45">
      <c r="A13593" s="12" t="s">
        <v>25813</v>
      </c>
      <c r="B13593" s="12" t="s">
        <v>3373</v>
      </c>
      <c r="C13593" s="13" t="s">
        <v>3374</v>
      </c>
      <c r="D13593" s="13" t="s">
        <v>44</v>
      </c>
      <c r="E13593" s="12" t="s">
        <v>35</v>
      </c>
      <c r="F13593" s="14">
        <v>126000</v>
      </c>
      <c r="G13593" s="14">
        <v>79600</v>
      </c>
      <c r="H13593" s="13" t="s">
        <v>25864</v>
      </c>
      <c r="I13593" s="40" t="s">
        <v>18</v>
      </c>
      <c r="J13593" s="40" t="str">
        <f>HYPERLINK("https://stock.pstatic.net/stock-research/company/39/20250402_company_231091000.pdf","PDF")</f>
        <v>PDF</v>
      </c>
      <c r="K13593" s="12" t="s">
        <v>25865</v>
      </c>
      <c r="L13593" s="20">
        <v>0.58291457286432158</v>
      </c>
    </row>
    <row r="13594" spans="1:12" x14ac:dyDescent="0.45">
      <c r="A13594" s="12" t="s">
        <v>25813</v>
      </c>
      <c r="B13594" s="12" t="s">
        <v>3478</v>
      </c>
      <c r="C13594" s="13" t="s">
        <v>3479</v>
      </c>
      <c r="D13594" s="13" t="s">
        <v>23</v>
      </c>
      <c r="E13594" s="12" t="s">
        <v>16</v>
      </c>
      <c r="F13594" s="14">
        <v>30000</v>
      </c>
      <c r="G13594" s="14">
        <v>24600</v>
      </c>
      <c r="H13594" s="13" t="s">
        <v>25866</v>
      </c>
      <c r="I13594" s="40" t="s">
        <v>18</v>
      </c>
      <c r="J13594" s="40" t="str">
        <f>HYPERLINK("https://stock.pstatic.net/stock-research/company/21/20250402_company_303356000.pdf","PDF")</f>
        <v>PDF</v>
      </c>
      <c r="K13594" s="12" t="s">
        <v>25867</v>
      </c>
      <c r="L13594" s="20">
        <v>0.21951219512195119</v>
      </c>
    </row>
    <row r="13595" spans="1:12" x14ac:dyDescent="0.45">
      <c r="A13595" s="12" t="s">
        <v>25813</v>
      </c>
      <c r="B13595" s="12" t="s">
        <v>132</v>
      </c>
      <c r="C13595" s="13" t="s">
        <v>133</v>
      </c>
      <c r="D13595" s="13" t="s">
        <v>23</v>
      </c>
      <c r="E13595" s="12" t="s">
        <v>16</v>
      </c>
      <c r="F13595" s="14">
        <v>71000</v>
      </c>
      <c r="G13595" s="14">
        <v>59300</v>
      </c>
      <c r="H13595" s="13" t="s">
        <v>25868</v>
      </c>
      <c r="I13595" s="40" t="s">
        <v>18</v>
      </c>
      <c r="J13595" s="40" t="str">
        <f>HYPERLINK("https://stock.pstatic.net/stock-research/company/21/20250402_company_522202000.pdf","PDF")</f>
        <v>PDF</v>
      </c>
      <c r="K13595" s="12" t="s">
        <v>25869</v>
      </c>
      <c r="L13595" s="20">
        <v>0.1973018549747049</v>
      </c>
    </row>
    <row r="13596" spans="1:12" x14ac:dyDescent="0.45">
      <c r="A13596" s="12" t="s">
        <v>25813</v>
      </c>
      <c r="B13596" s="12" t="s">
        <v>13</v>
      </c>
      <c r="C13596" s="13" t="s">
        <v>14</v>
      </c>
      <c r="D13596" s="13" t="s">
        <v>23</v>
      </c>
      <c r="E13596" s="12" t="s">
        <v>16</v>
      </c>
      <c r="F13596" s="14">
        <v>77000</v>
      </c>
      <c r="G13596" s="14">
        <v>58800</v>
      </c>
      <c r="H13596" s="13" t="s">
        <v>25870</v>
      </c>
      <c r="I13596" s="40" t="s">
        <v>18</v>
      </c>
      <c r="J13596" s="40" t="str">
        <f>HYPERLINK("https://stock.pstatic.net/stock-research/company/21/20250402_company_848481000.pdf","PDF")</f>
        <v>PDF</v>
      </c>
      <c r="K13596" s="12" t="s">
        <v>25871</v>
      </c>
      <c r="L13596" s="20">
        <v>0.30952380952380948</v>
      </c>
    </row>
    <row r="13597" spans="1:12" x14ac:dyDescent="0.45">
      <c r="A13597" s="12" t="s">
        <v>25813</v>
      </c>
      <c r="B13597" s="12" t="s">
        <v>118</v>
      </c>
      <c r="C13597" s="13" t="s">
        <v>119</v>
      </c>
      <c r="D13597" s="13" t="s">
        <v>23</v>
      </c>
      <c r="E13597" s="12" t="s">
        <v>16</v>
      </c>
      <c r="F13597" s="14">
        <v>100000</v>
      </c>
      <c r="G13597" s="14">
        <v>80200</v>
      </c>
      <c r="H13597" s="13" t="s">
        <v>25872</v>
      </c>
      <c r="I13597" s="40" t="s">
        <v>18</v>
      </c>
      <c r="J13597" s="40" t="str">
        <f>HYPERLINK("https://stock.pstatic.net/stock-research/company/21/20250402_company_831099000.pdf","PDF")</f>
        <v>PDF</v>
      </c>
      <c r="K13597" s="12" t="s">
        <v>25873</v>
      </c>
      <c r="L13597" s="20">
        <v>0.24688279301745639</v>
      </c>
    </row>
    <row r="13598" spans="1:12" x14ac:dyDescent="0.45">
      <c r="A13598" s="12" t="s">
        <v>25813</v>
      </c>
      <c r="B13598" s="12" t="s">
        <v>132</v>
      </c>
      <c r="C13598" s="13" t="s">
        <v>133</v>
      </c>
      <c r="D13598" s="13" t="s">
        <v>44</v>
      </c>
      <c r="E13598" s="12" t="s">
        <v>35</v>
      </c>
      <c r="F13598" s="14">
        <v>75000</v>
      </c>
      <c r="G13598" s="14">
        <v>59300</v>
      </c>
      <c r="H13598" s="13" t="s">
        <v>25874</v>
      </c>
      <c r="I13598" s="40" t="s">
        <v>18</v>
      </c>
      <c r="J13598" s="40" t="str">
        <f>HYPERLINK("https://stock.pstatic.net/stock-research/company/39/20250402_company_316173000.pdf","PDF")</f>
        <v>PDF</v>
      </c>
      <c r="K13598" s="12" t="s">
        <v>25875</v>
      </c>
      <c r="L13598" s="20">
        <v>0.26475548060708259</v>
      </c>
    </row>
    <row r="13599" spans="1:12" x14ac:dyDescent="0.45">
      <c r="A13599" s="12" t="s">
        <v>25813</v>
      </c>
      <c r="B13599" s="12" t="s">
        <v>434</v>
      </c>
      <c r="C13599" s="13" t="s">
        <v>435</v>
      </c>
      <c r="D13599" s="13" t="s">
        <v>44</v>
      </c>
      <c r="E13599" s="12" t="s">
        <v>35</v>
      </c>
      <c r="F13599" s="14">
        <v>170000</v>
      </c>
      <c r="G13599" s="14">
        <v>105900</v>
      </c>
      <c r="H13599" s="13" t="s">
        <v>25876</v>
      </c>
      <c r="I13599" s="40" t="s">
        <v>18</v>
      </c>
      <c r="J13599" s="40" t="str">
        <f>HYPERLINK("https://stock.pstatic.net/stock-research/company/39/20250402_company_909575000.pdf","PDF")</f>
        <v>PDF</v>
      </c>
      <c r="K13599" s="12" t="s">
        <v>25877</v>
      </c>
      <c r="L13599" s="20">
        <v>0.60528800755429646</v>
      </c>
    </row>
    <row r="13600" spans="1:12" x14ac:dyDescent="0.45">
      <c r="A13600" s="12" t="s">
        <v>25813</v>
      </c>
      <c r="B13600" s="12" t="s">
        <v>495</v>
      </c>
      <c r="C13600" s="13" t="s">
        <v>496</v>
      </c>
      <c r="D13600" s="13" t="s">
        <v>44</v>
      </c>
      <c r="E13600" s="12" t="s">
        <v>35</v>
      </c>
      <c r="F13600" s="14">
        <v>86000</v>
      </c>
      <c r="G13600" s="14">
        <v>70700</v>
      </c>
      <c r="H13600" s="13" t="s">
        <v>25878</v>
      </c>
      <c r="I13600" s="40" t="s">
        <v>18</v>
      </c>
      <c r="J13600" s="40" t="str">
        <f>HYPERLINK("https://stock.pstatic.net/stock-research/company/39/20250402_company_827446000.pdf","PDF")</f>
        <v>PDF</v>
      </c>
      <c r="K13600" s="12" t="s">
        <v>25879</v>
      </c>
      <c r="L13600" s="20">
        <v>0.21640735502121641</v>
      </c>
    </row>
    <row r="13601" spans="1:12" x14ac:dyDescent="0.45">
      <c r="A13601" s="12" t="s">
        <v>25813</v>
      </c>
      <c r="B13601" s="12" t="s">
        <v>2740</v>
      </c>
      <c r="C13601" s="13" t="s">
        <v>2741</v>
      </c>
      <c r="D13601" s="13" t="s">
        <v>53</v>
      </c>
      <c r="E13601" s="12" t="s">
        <v>16</v>
      </c>
      <c r="F13601" s="14">
        <v>25000</v>
      </c>
      <c r="G13601" s="14">
        <v>14670</v>
      </c>
      <c r="H13601" s="13" t="s">
        <v>25880</v>
      </c>
      <c r="I13601" s="40" t="s">
        <v>18</v>
      </c>
      <c r="J13601" s="40" t="str">
        <f>HYPERLINK("https://stock.pstatic.net/stock-research/company/40/20250402_company_941829000.pdf","PDF")</f>
        <v>PDF</v>
      </c>
      <c r="K13601" s="12" t="s">
        <v>25881</v>
      </c>
      <c r="L13601" s="20">
        <v>0.70415814587593728</v>
      </c>
    </row>
    <row r="13602" spans="1:12" x14ac:dyDescent="0.45">
      <c r="A13602" s="12" t="s">
        <v>25882</v>
      </c>
      <c r="B13602" s="12" t="s">
        <v>1140</v>
      </c>
      <c r="C13602" s="13" t="s">
        <v>1141</v>
      </c>
      <c r="D13602" s="13" t="s">
        <v>853</v>
      </c>
      <c r="E13602" s="12" t="s">
        <v>35</v>
      </c>
      <c r="F13602" s="14">
        <v>30000</v>
      </c>
      <c r="G13602" s="14">
        <v>21350</v>
      </c>
      <c r="H13602" s="13" t="s">
        <v>25883</v>
      </c>
      <c r="I13602" s="40" t="s">
        <v>18</v>
      </c>
      <c r="J13602" s="40" t="str">
        <f>HYPERLINK("https://stock.pstatic.net/stock-research/company/17/20250401_company_816546000.pdf","PDF")</f>
        <v>PDF</v>
      </c>
      <c r="K13602" s="12" t="s">
        <v>25884</v>
      </c>
      <c r="L13602" s="20">
        <v>0.40515222482435598</v>
      </c>
    </row>
    <row r="13603" spans="1:12" x14ac:dyDescent="0.45">
      <c r="A13603" s="12" t="s">
        <v>25882</v>
      </c>
      <c r="B13603" s="12" t="s">
        <v>2522</v>
      </c>
      <c r="C13603" s="13" t="s">
        <v>2523</v>
      </c>
      <c r="D13603" s="13" t="s">
        <v>65</v>
      </c>
      <c r="E13603" s="12" t="s">
        <v>35</v>
      </c>
      <c r="F13603" s="14">
        <v>500000</v>
      </c>
      <c r="G13603" s="14">
        <v>334500</v>
      </c>
      <c r="H13603" s="13" t="s">
        <v>25885</v>
      </c>
      <c r="I13603" s="40" t="s">
        <v>18</v>
      </c>
      <c r="J13603" s="40" t="str">
        <f>HYPERLINK("https://stock.pstatic.net/stock-research/company/57/20250401_company_622360000.pdf","PDF")</f>
        <v>PDF</v>
      </c>
      <c r="K13603" s="12" t="s">
        <v>25886</v>
      </c>
      <c r="L13603" s="20">
        <v>0.49476831091180867</v>
      </c>
    </row>
    <row r="13604" spans="1:12" x14ac:dyDescent="0.45">
      <c r="A13604" s="12" t="s">
        <v>25882</v>
      </c>
      <c r="B13604" s="12" t="s">
        <v>22333</v>
      </c>
      <c r="C13604" s="13" t="s">
        <v>22334</v>
      </c>
      <c r="D13604" s="13" t="s">
        <v>65</v>
      </c>
      <c r="E13604" s="12" t="s">
        <v>35</v>
      </c>
      <c r="F13604" s="14">
        <v>80000</v>
      </c>
      <c r="G13604" s="14">
        <v>59800</v>
      </c>
      <c r="H13604" s="13" t="s">
        <v>25887</v>
      </c>
      <c r="I13604" s="40" t="s">
        <v>18</v>
      </c>
      <c r="J13604" s="40" t="str">
        <f>HYPERLINK("https://stock.pstatic.net/stock-research/company/57/20250401_company_419454000.pdf","PDF")</f>
        <v>PDF</v>
      </c>
      <c r="K13604" s="12" t="s">
        <v>25888</v>
      </c>
      <c r="L13604" s="20">
        <v>0.33779264214046822</v>
      </c>
    </row>
    <row r="13605" spans="1:12" x14ac:dyDescent="0.45">
      <c r="A13605" s="12" t="s">
        <v>25882</v>
      </c>
      <c r="B13605" s="12" t="s">
        <v>22333</v>
      </c>
      <c r="C13605" s="13" t="s">
        <v>22334</v>
      </c>
      <c r="D13605" s="13" t="s">
        <v>57</v>
      </c>
      <c r="E13605" s="12" t="s">
        <v>50</v>
      </c>
      <c r="F13605" s="13"/>
      <c r="G13605" s="14">
        <v>59800</v>
      </c>
      <c r="H13605" s="13" t="s">
        <v>25889</v>
      </c>
      <c r="I13605" s="40" t="s">
        <v>18</v>
      </c>
      <c r="J13605" s="40" t="str">
        <f>HYPERLINK("https://stock.pstatic.net/stock-research/company/16/20250401_company_67569000.pdf","PDF")</f>
        <v>PDF</v>
      </c>
      <c r="K13605" s="12" t="s">
        <v>25890</v>
      </c>
    </row>
    <row r="13606" spans="1:12" x14ac:dyDescent="0.45">
      <c r="A13606" s="12" t="s">
        <v>25882</v>
      </c>
      <c r="B13606" s="12" t="s">
        <v>2522</v>
      </c>
      <c r="C13606" s="13" t="s">
        <v>2523</v>
      </c>
      <c r="D13606" s="13" t="s">
        <v>57</v>
      </c>
      <c r="E13606" s="12" t="s">
        <v>35</v>
      </c>
      <c r="F13606" s="14">
        <v>440000</v>
      </c>
      <c r="G13606" s="14">
        <v>334500</v>
      </c>
      <c r="H13606" s="13" t="s">
        <v>25891</v>
      </c>
      <c r="I13606" s="40" t="s">
        <v>18</v>
      </c>
      <c r="J13606" s="40" t="str">
        <f>HYPERLINK("https://stock.pstatic.net/stock-research/company/16/20250401_company_206120000.pdf","PDF")</f>
        <v>PDF</v>
      </c>
      <c r="K13606" s="12" t="s">
        <v>25892</v>
      </c>
      <c r="L13606" s="20">
        <v>0.31539611360239161</v>
      </c>
    </row>
    <row r="13607" spans="1:12" x14ac:dyDescent="0.45">
      <c r="A13607" s="12" t="s">
        <v>25882</v>
      </c>
      <c r="B13607" s="12" t="s">
        <v>1190</v>
      </c>
      <c r="C13607" s="13" t="s">
        <v>1191</v>
      </c>
      <c r="D13607" s="13" t="s">
        <v>83</v>
      </c>
      <c r="E13607" s="12" t="s">
        <v>35</v>
      </c>
      <c r="F13607" s="14">
        <v>60000</v>
      </c>
      <c r="G13607" s="14">
        <v>40950</v>
      </c>
      <c r="H13607" s="13" t="s">
        <v>25893</v>
      </c>
      <c r="I13607" s="40" t="s">
        <v>18</v>
      </c>
      <c r="J13607" s="40" t="str">
        <f>HYPERLINK("https://stock.pstatic.net/stock-research/company/2/20250401_company_788491000.pdf","PDF")</f>
        <v>PDF</v>
      </c>
      <c r="K13607" s="12" t="s">
        <v>25894</v>
      </c>
      <c r="L13607" s="20">
        <v>0.46520146520146521</v>
      </c>
    </row>
    <row r="13608" spans="1:12" x14ac:dyDescent="0.45">
      <c r="A13608" s="12" t="s">
        <v>25882</v>
      </c>
      <c r="B13608" s="12" t="s">
        <v>3749</v>
      </c>
      <c r="C13608" s="13" t="s">
        <v>3750</v>
      </c>
      <c r="D13608" s="13" t="s">
        <v>83</v>
      </c>
      <c r="E13608" s="12" t="s">
        <v>35</v>
      </c>
      <c r="F13608" s="14">
        <v>170000</v>
      </c>
      <c r="G13608" s="14">
        <v>114800</v>
      </c>
      <c r="H13608" s="13" t="s">
        <v>25895</v>
      </c>
      <c r="I13608" s="40" t="s">
        <v>18</v>
      </c>
      <c r="J13608" s="40" t="str">
        <f>HYPERLINK("https://stock.pstatic.net/stock-research/company/2/20250401_company_928634000.pdf","PDF")</f>
        <v>PDF</v>
      </c>
      <c r="K13608" s="12" t="s">
        <v>25896</v>
      </c>
      <c r="L13608" s="20">
        <v>0.4808362369337979</v>
      </c>
    </row>
    <row r="13609" spans="1:12" x14ac:dyDescent="0.45">
      <c r="A13609" s="12" t="s">
        <v>25882</v>
      </c>
      <c r="B13609" s="12" t="s">
        <v>724</v>
      </c>
      <c r="C13609" s="13" t="s">
        <v>725</v>
      </c>
      <c r="D13609" s="13" t="s">
        <v>15</v>
      </c>
      <c r="E13609" s="12" t="s">
        <v>50</v>
      </c>
      <c r="F13609" s="13"/>
      <c r="G13609" s="13"/>
      <c r="H13609" s="13" t="s">
        <v>25897</v>
      </c>
      <c r="I13609" s="40" t="s">
        <v>18</v>
      </c>
      <c r="J13609" s="40" t="str">
        <f>HYPERLINK("https://stock.pstatic.net/stock-research/company/29/20250401_company_665340000.pdf","PDF")</f>
        <v>PDF</v>
      </c>
      <c r="K13609" s="12" t="s">
        <v>25898</v>
      </c>
    </row>
    <row r="13610" spans="1:12" x14ac:dyDescent="0.45">
      <c r="A13610" s="12" t="s">
        <v>25882</v>
      </c>
      <c r="B13610" s="12" t="s">
        <v>1548</v>
      </c>
      <c r="C13610" s="13" t="s">
        <v>1549</v>
      </c>
      <c r="D13610" s="13" t="s">
        <v>23</v>
      </c>
      <c r="E13610" s="12" t="s">
        <v>16</v>
      </c>
      <c r="F13610" s="14">
        <v>600000</v>
      </c>
      <c r="G13610" s="14">
        <v>627000</v>
      </c>
      <c r="H13610" s="13" t="s">
        <v>25899</v>
      </c>
      <c r="I13610" s="40" t="s">
        <v>18</v>
      </c>
      <c r="J13610" s="40" t="str">
        <f>HYPERLINK("https://stock.pstatic.net/stock-research/company/21/20250401_company_681433000.pdf","PDF")</f>
        <v>PDF</v>
      </c>
      <c r="K13610" s="12" t="s">
        <v>25900</v>
      </c>
      <c r="L13610" s="20">
        <v>-4.3062200956937802E-2</v>
      </c>
    </row>
    <row r="13611" spans="1:12" x14ac:dyDescent="0.45">
      <c r="A13611" s="12" t="s">
        <v>25882</v>
      </c>
      <c r="B13611" s="12" t="s">
        <v>4642</v>
      </c>
      <c r="C13611" s="13" t="s">
        <v>4643</v>
      </c>
      <c r="D13611" s="13" t="s">
        <v>34</v>
      </c>
      <c r="E13611" s="12" t="s">
        <v>35</v>
      </c>
      <c r="F13611" s="14">
        <v>31000</v>
      </c>
      <c r="G13611" s="14">
        <v>21300</v>
      </c>
      <c r="H13611" s="13" t="s">
        <v>25901</v>
      </c>
      <c r="I13611" s="40" t="s">
        <v>18</v>
      </c>
      <c r="J13611" s="40" t="str">
        <f>HYPERLINK("https://stock.pstatic.net/stock-research/company/61/20250401_company_627003000.pdf","PDF")</f>
        <v>PDF</v>
      </c>
      <c r="K13611" s="12" t="s">
        <v>25902</v>
      </c>
      <c r="L13611" s="20">
        <v>0.45539906103286393</v>
      </c>
    </row>
    <row r="13612" spans="1:12" x14ac:dyDescent="0.45">
      <c r="A13612" s="12" t="s">
        <v>25882</v>
      </c>
      <c r="B13612" s="12" t="s">
        <v>5489</v>
      </c>
      <c r="C13612" s="13" t="s">
        <v>5490</v>
      </c>
      <c r="D13612" s="13" t="s">
        <v>179</v>
      </c>
      <c r="E13612" s="12" t="s">
        <v>50</v>
      </c>
      <c r="F13612" s="13"/>
      <c r="G13612" s="14">
        <v>7870</v>
      </c>
      <c r="H13612" s="13" t="s">
        <v>25903</v>
      </c>
      <c r="I13612" s="40" t="s">
        <v>18</v>
      </c>
      <c r="J13612" s="40" t="str">
        <f>HYPERLINK("https://stock.pstatic.net/stock-research/company/31/20250401_company_980539000.pdf","PDF")</f>
        <v>PDF</v>
      </c>
      <c r="K13612" s="12" t="s">
        <v>25904</v>
      </c>
    </row>
    <row r="13613" spans="1:12" x14ac:dyDescent="0.45">
      <c r="A13613" s="12" t="s">
        <v>25882</v>
      </c>
      <c r="B13613" s="12" t="s">
        <v>132</v>
      </c>
      <c r="C13613" s="13" t="s">
        <v>133</v>
      </c>
      <c r="D13613" s="13" t="s">
        <v>179</v>
      </c>
      <c r="E13613" s="12" t="s">
        <v>50</v>
      </c>
      <c r="F13613" s="13"/>
      <c r="G13613" s="14">
        <v>59400</v>
      </c>
      <c r="H13613" s="13" t="s">
        <v>25905</v>
      </c>
      <c r="I13613" s="40" t="s">
        <v>18</v>
      </c>
      <c r="J13613" s="40" t="str">
        <f>HYPERLINK("https://stock.pstatic.net/stock-research/company/31/20250401_company_168067000.pdf","PDF")</f>
        <v>PDF</v>
      </c>
      <c r="K13613" s="12" t="s">
        <v>25906</v>
      </c>
    </row>
    <row r="13614" spans="1:12" x14ac:dyDescent="0.45">
      <c r="A13614" s="12" t="s">
        <v>25882</v>
      </c>
      <c r="B13614" s="12" t="s">
        <v>2758</v>
      </c>
      <c r="C13614" s="13" t="s">
        <v>2759</v>
      </c>
      <c r="D13614" s="13" t="s">
        <v>23</v>
      </c>
      <c r="E13614" s="12" t="s">
        <v>16</v>
      </c>
      <c r="F13614" s="14">
        <v>330000</v>
      </c>
      <c r="G13614" s="14">
        <v>278500</v>
      </c>
      <c r="H13614" s="13" t="s">
        <v>25907</v>
      </c>
      <c r="I13614" s="40" t="s">
        <v>18</v>
      </c>
      <c r="J13614" s="40" t="str">
        <f>HYPERLINK("https://stock.pstatic.net/stock-research/company/21/20250401_company_339754000.pdf","PDF")</f>
        <v>PDF</v>
      </c>
      <c r="K13614" s="12" t="s">
        <v>25908</v>
      </c>
      <c r="L13614" s="20">
        <v>0.18491921005386</v>
      </c>
    </row>
    <row r="13615" spans="1:12" x14ac:dyDescent="0.45">
      <c r="A13615" s="12" t="s">
        <v>25882</v>
      </c>
      <c r="B13615" s="12" t="s">
        <v>3168</v>
      </c>
      <c r="C13615" s="13" t="s">
        <v>25909</v>
      </c>
      <c r="D13615" s="13" t="s">
        <v>23</v>
      </c>
      <c r="E13615" s="12" t="s">
        <v>16</v>
      </c>
      <c r="F13615" s="14">
        <v>11500</v>
      </c>
      <c r="G13615" s="14">
        <v>8980</v>
      </c>
      <c r="H13615" s="13" t="s">
        <v>25910</v>
      </c>
      <c r="I13615" s="40" t="s">
        <v>18</v>
      </c>
      <c r="J13615" s="40" t="str">
        <f>HYPERLINK("https://stock.pstatic.net/stock-research/company/21/20250401_company_239841000.pdf","PDF")</f>
        <v>PDF</v>
      </c>
      <c r="K13615" s="12" t="s">
        <v>25911</v>
      </c>
      <c r="L13615" s="20">
        <v>0.28062360801781738</v>
      </c>
    </row>
    <row r="13616" spans="1:12" x14ac:dyDescent="0.45">
      <c r="A13616" s="12" t="s">
        <v>25882</v>
      </c>
      <c r="B13616" s="12" t="s">
        <v>1190</v>
      </c>
      <c r="C13616" s="13" t="s">
        <v>1191</v>
      </c>
      <c r="D13616" s="13" t="s">
        <v>179</v>
      </c>
      <c r="E13616" s="12" t="s">
        <v>16</v>
      </c>
      <c r="F13616" s="14">
        <v>54000</v>
      </c>
      <c r="G13616" s="14">
        <v>40950</v>
      </c>
      <c r="H13616" s="13" t="s">
        <v>25912</v>
      </c>
      <c r="I13616" s="40" t="s">
        <v>18</v>
      </c>
      <c r="J13616" s="40" t="str">
        <f>HYPERLINK("https://stock.pstatic.net/stock-research/company/31/20250401_company_683005000.pdf","PDF")</f>
        <v>PDF</v>
      </c>
      <c r="K13616" s="12" t="s">
        <v>25913</v>
      </c>
      <c r="L13616" s="20">
        <v>0.31868131868131871</v>
      </c>
    </row>
    <row r="13617" spans="1:12" x14ac:dyDescent="0.45">
      <c r="A13617" s="12" t="s">
        <v>25882</v>
      </c>
      <c r="B13617" s="12" t="s">
        <v>2378</v>
      </c>
      <c r="C13617" s="13" t="s">
        <v>2379</v>
      </c>
      <c r="D13617" s="13" t="s">
        <v>53</v>
      </c>
      <c r="E13617" s="12" t="s">
        <v>16</v>
      </c>
      <c r="F13617" s="14">
        <v>500000</v>
      </c>
      <c r="G13617" s="14">
        <v>334500</v>
      </c>
      <c r="H13617" s="13" t="s">
        <v>25914</v>
      </c>
      <c r="I13617" s="40" t="s">
        <v>18</v>
      </c>
      <c r="J13617" s="40" t="str">
        <f>HYPERLINK("https://stock.pstatic.net/stock-research/company/40/20250401_company_890410000.pdf","PDF")</f>
        <v>PDF</v>
      </c>
      <c r="K13617" s="12" t="s">
        <v>25915</v>
      </c>
      <c r="L13617" s="20">
        <v>0.49476831091180867</v>
      </c>
    </row>
    <row r="13618" spans="1:12" x14ac:dyDescent="0.45">
      <c r="A13618" s="12" t="s">
        <v>25882</v>
      </c>
      <c r="B13618" s="12" t="s">
        <v>1032</v>
      </c>
      <c r="C13618" s="13" t="s">
        <v>25916</v>
      </c>
      <c r="D13618" s="13" t="s">
        <v>124</v>
      </c>
      <c r="E13618" s="12" t="s">
        <v>50</v>
      </c>
      <c r="F13618" s="13"/>
      <c r="G13618" s="13"/>
      <c r="H13618" s="13" t="s">
        <v>25917</v>
      </c>
      <c r="I13618" s="40" t="s">
        <v>18</v>
      </c>
      <c r="J13618" s="40" t="str">
        <f>HYPERLINK("https://stock.pstatic.net/stock-research/company/74/20250521_company_976946000.pdf","PDF")</f>
        <v>PDF</v>
      </c>
      <c r="K13618" s="12" t="s">
        <v>25918</v>
      </c>
    </row>
    <row r="13619" spans="1:12" x14ac:dyDescent="0.45">
      <c r="A13619" s="12" t="s">
        <v>25882</v>
      </c>
      <c r="B13619" s="12" t="s">
        <v>25919</v>
      </c>
      <c r="C13619" s="13" t="s">
        <v>25920</v>
      </c>
      <c r="D13619" s="13" t="s">
        <v>124</v>
      </c>
      <c r="E13619" s="12" t="s">
        <v>50</v>
      </c>
      <c r="F13619" s="13"/>
      <c r="G13619" s="13"/>
      <c r="H13619" s="13" t="s">
        <v>25921</v>
      </c>
      <c r="I13619" s="40" t="s">
        <v>18</v>
      </c>
      <c r="J13619" s="40" t="str">
        <f>HYPERLINK("https://stock.pstatic.net/stock-research/company/74/20250401_company_761753000.pdf","PDF")</f>
        <v>PDF</v>
      </c>
      <c r="K13619" s="12" t="s">
        <v>25922</v>
      </c>
    </row>
    <row r="13620" spans="1:12" x14ac:dyDescent="0.45">
      <c r="A13620" s="12" t="s">
        <v>25882</v>
      </c>
      <c r="B13620" s="12" t="s">
        <v>1686</v>
      </c>
      <c r="C13620" s="13" t="s">
        <v>1687</v>
      </c>
      <c r="D13620" s="13" t="s">
        <v>53</v>
      </c>
      <c r="E13620" s="12" t="s">
        <v>16</v>
      </c>
      <c r="F13620" s="14">
        <v>1080000</v>
      </c>
      <c r="G13620" s="14">
        <v>860000</v>
      </c>
      <c r="H13620" s="13" t="s">
        <v>25923</v>
      </c>
      <c r="I13620" s="40" t="s">
        <v>18</v>
      </c>
      <c r="J13620" s="40" t="str">
        <f>HYPERLINK("https://stock.pstatic.net/stock-research/company/40/20250401_company_627162000.pdf","PDF")</f>
        <v>PDF</v>
      </c>
      <c r="K13620" s="12" t="s">
        <v>25924</v>
      </c>
      <c r="L13620" s="20">
        <v>0.2558139534883721</v>
      </c>
    </row>
    <row r="13621" spans="1:12" x14ac:dyDescent="0.45">
      <c r="A13621" s="12" t="s">
        <v>25882</v>
      </c>
      <c r="B13621" s="12" t="s">
        <v>4301</v>
      </c>
      <c r="C13621" s="13" t="s">
        <v>25414</v>
      </c>
      <c r="D13621" s="13" t="s">
        <v>23</v>
      </c>
      <c r="E13621" s="12" t="s">
        <v>16</v>
      </c>
      <c r="F13621" s="14">
        <v>2500</v>
      </c>
      <c r="G13621" s="14">
        <v>1868</v>
      </c>
      <c r="H13621" s="13" t="s">
        <v>25925</v>
      </c>
      <c r="I13621" s="40" t="s">
        <v>18</v>
      </c>
      <c r="J13621" s="40" t="str">
        <f>HYPERLINK("https://stock.pstatic.net/stock-research/company/21/20250401_company_31168000.pdf","PDF")</f>
        <v>PDF</v>
      </c>
      <c r="K13621" s="12" t="s">
        <v>25926</v>
      </c>
      <c r="L13621" s="20">
        <v>0.33832976445396151</v>
      </c>
    </row>
    <row r="13622" spans="1:12" x14ac:dyDescent="0.45">
      <c r="A13622" s="12" t="s">
        <v>25882</v>
      </c>
      <c r="B13622" s="12" t="s">
        <v>950</v>
      </c>
      <c r="C13622" s="13" t="s">
        <v>951</v>
      </c>
      <c r="D13622" s="13" t="s">
        <v>15</v>
      </c>
      <c r="E13622" s="12" t="s">
        <v>16</v>
      </c>
      <c r="F13622" s="14">
        <v>46000</v>
      </c>
      <c r="G13622" s="14">
        <v>34100</v>
      </c>
      <c r="H13622" s="13" t="s">
        <v>25927</v>
      </c>
      <c r="I13622" s="40" t="s">
        <v>18</v>
      </c>
      <c r="J13622" s="40" t="str">
        <f>HYPERLINK("https://stock.pstatic.net/stock-research/company/1/20250401_company_330956000.pdf","PDF")</f>
        <v>PDF</v>
      </c>
      <c r="K13622" s="12" t="s">
        <v>25928</v>
      </c>
      <c r="L13622" s="20">
        <v>0.34897360703812319</v>
      </c>
    </row>
    <row r="13623" spans="1:12" x14ac:dyDescent="0.45">
      <c r="A13623" s="12" t="s">
        <v>25929</v>
      </c>
      <c r="B13623" s="12" t="s">
        <v>1789</v>
      </c>
      <c r="C13623" s="13" t="s">
        <v>1790</v>
      </c>
      <c r="D13623" s="13" t="s">
        <v>276</v>
      </c>
      <c r="E13623" s="12" t="s">
        <v>16</v>
      </c>
      <c r="F13623" s="14">
        <v>28000</v>
      </c>
      <c r="G13623" s="14">
        <v>21700</v>
      </c>
      <c r="H13623" s="13" t="s">
        <v>25930</v>
      </c>
      <c r="I13623" s="40" t="s">
        <v>18</v>
      </c>
      <c r="J13623" s="40" t="str">
        <f>HYPERLINK("https://stock.pstatic.net/stock-research/company/66/20250331_company_191018000.pdf","PDF")</f>
        <v>PDF</v>
      </c>
      <c r="K13623" s="12" t="s">
        <v>25931</v>
      </c>
      <c r="L13623" s="20">
        <v>0.29032258064516131</v>
      </c>
    </row>
    <row r="13624" spans="1:12" x14ac:dyDescent="0.45">
      <c r="A13624" s="12" t="s">
        <v>25929</v>
      </c>
      <c r="B13624" s="12" t="s">
        <v>2522</v>
      </c>
      <c r="C13624" s="13" t="s">
        <v>2523</v>
      </c>
      <c r="D13624" s="13" t="s">
        <v>276</v>
      </c>
      <c r="E13624" s="12" t="s">
        <v>16</v>
      </c>
      <c r="F13624" s="14">
        <v>560000</v>
      </c>
      <c r="G13624" s="14">
        <v>359000</v>
      </c>
      <c r="H13624" s="13" t="s">
        <v>25932</v>
      </c>
      <c r="I13624" s="40" t="s">
        <v>18</v>
      </c>
      <c r="J13624" s="40" t="str">
        <f>HYPERLINK("https://stock.pstatic.net/stock-research/company/66/20250331_company_721668000.pdf","PDF")</f>
        <v>PDF</v>
      </c>
      <c r="K13624" s="12" t="s">
        <v>25933</v>
      </c>
      <c r="L13624" s="20">
        <v>0.55988857938718661</v>
      </c>
    </row>
    <row r="13625" spans="1:12" x14ac:dyDescent="0.45">
      <c r="A13625" s="12" t="s">
        <v>25929</v>
      </c>
      <c r="B13625" s="12" t="s">
        <v>973</v>
      </c>
      <c r="C13625" s="13" t="s">
        <v>974</v>
      </c>
      <c r="D13625" s="13" t="s">
        <v>65</v>
      </c>
      <c r="E13625" s="12" t="s">
        <v>35</v>
      </c>
      <c r="F13625" s="14">
        <v>35000</v>
      </c>
      <c r="G13625" s="14">
        <v>19260</v>
      </c>
      <c r="H13625" s="13" t="s">
        <v>25934</v>
      </c>
      <c r="I13625" s="40" t="s">
        <v>18</v>
      </c>
      <c r="J13625" s="40" t="str">
        <f>HYPERLINK("https://stock.pstatic.net/stock-research/company/1/20250331_company_398693000.pdf","PDF")</f>
        <v>PDF</v>
      </c>
      <c r="K13625" s="12" t="s">
        <v>25935</v>
      </c>
      <c r="L13625" s="20">
        <v>0.81723779854620981</v>
      </c>
    </row>
    <row r="13626" spans="1:12" x14ac:dyDescent="0.45">
      <c r="A13626" s="12" t="s">
        <v>25929</v>
      </c>
      <c r="B13626" s="12" t="s">
        <v>784</v>
      </c>
      <c r="C13626" s="13" t="s">
        <v>785</v>
      </c>
      <c r="D13626" s="13" t="s">
        <v>65</v>
      </c>
      <c r="E13626" s="12" t="s">
        <v>35</v>
      </c>
      <c r="F13626" s="14">
        <v>12000</v>
      </c>
      <c r="G13626" s="14">
        <v>9430</v>
      </c>
      <c r="H13626" s="13" t="s">
        <v>25936</v>
      </c>
      <c r="I13626" s="40" t="s">
        <v>18</v>
      </c>
      <c r="J13626" s="40" t="str">
        <f>HYPERLINK("https://stock.pstatic.net/stock-research/company/57/20250331_company_952113000.pdf","PDF")</f>
        <v>PDF</v>
      </c>
      <c r="K13626" s="12" t="s">
        <v>25937</v>
      </c>
      <c r="L13626" s="20">
        <v>0.27253446447507951</v>
      </c>
    </row>
    <row r="13627" spans="1:12" x14ac:dyDescent="0.45">
      <c r="A13627" s="12" t="s">
        <v>25929</v>
      </c>
      <c r="B13627" s="12" t="s">
        <v>908</v>
      </c>
      <c r="C13627" s="13" t="s">
        <v>909</v>
      </c>
      <c r="D13627" s="13" t="s">
        <v>65</v>
      </c>
      <c r="E13627" s="12" t="s">
        <v>35</v>
      </c>
      <c r="F13627" s="14">
        <v>190000</v>
      </c>
      <c r="G13627" s="14">
        <v>118600</v>
      </c>
      <c r="H13627" s="13" t="s">
        <v>25938</v>
      </c>
      <c r="I13627" s="40" t="s">
        <v>18</v>
      </c>
      <c r="J13627" s="40" t="str">
        <f>HYPERLINK("https://stock.pstatic.net/stock-research/company/1/20250331_company_968991000.pdf","PDF")</f>
        <v>PDF</v>
      </c>
      <c r="K13627" s="12" t="s">
        <v>25939</v>
      </c>
      <c r="L13627" s="20">
        <v>0.60202360876897132</v>
      </c>
    </row>
    <row r="13628" spans="1:12" x14ac:dyDescent="0.45">
      <c r="A13628" s="12" t="s">
        <v>25929</v>
      </c>
      <c r="B13628" s="12" t="s">
        <v>3164</v>
      </c>
      <c r="C13628" s="13" t="s">
        <v>3165</v>
      </c>
      <c r="D13628" s="13" t="s">
        <v>57</v>
      </c>
      <c r="E13628" s="12" t="s">
        <v>35</v>
      </c>
      <c r="F13628" s="14">
        <v>50000</v>
      </c>
      <c r="G13628" s="14">
        <v>34700</v>
      </c>
      <c r="H13628" s="13" t="s">
        <v>25940</v>
      </c>
      <c r="I13628" s="40" t="s">
        <v>18</v>
      </c>
      <c r="J13628" s="40" t="str">
        <f>HYPERLINK("https://stock.pstatic.net/stock-research/company/16/20250331_company_564738000.pdf","PDF")</f>
        <v>PDF</v>
      </c>
      <c r="K13628" s="12" t="s">
        <v>25941</v>
      </c>
      <c r="L13628" s="20">
        <v>0.44092219020172913</v>
      </c>
    </row>
    <row r="13629" spans="1:12" x14ac:dyDescent="0.45">
      <c r="A13629" s="12" t="s">
        <v>25929</v>
      </c>
      <c r="B13629" s="12" t="s">
        <v>132</v>
      </c>
      <c r="C13629" s="13" t="s">
        <v>133</v>
      </c>
      <c r="D13629" s="13" t="s">
        <v>158</v>
      </c>
      <c r="E13629" s="12" t="s">
        <v>35</v>
      </c>
      <c r="F13629" s="14">
        <v>75000</v>
      </c>
      <c r="G13629" s="14">
        <v>59600</v>
      </c>
      <c r="H13629" s="13" t="s">
        <v>25942</v>
      </c>
      <c r="I13629" s="40" t="s">
        <v>18</v>
      </c>
      <c r="J13629" s="40" t="str">
        <f>HYPERLINK("https://stock.pstatic.net/stock-research/company/18/20250331_company_954544000.pdf","PDF")</f>
        <v>PDF</v>
      </c>
      <c r="K13629" s="12" t="s">
        <v>25943</v>
      </c>
      <c r="L13629" s="20">
        <v>0.25838926174496651</v>
      </c>
    </row>
    <row r="13630" spans="1:12" x14ac:dyDescent="0.45">
      <c r="A13630" s="12" t="s">
        <v>25929</v>
      </c>
      <c r="B13630" s="12" t="s">
        <v>2522</v>
      </c>
      <c r="C13630" s="13" t="s">
        <v>2523</v>
      </c>
      <c r="D13630" s="13" t="s">
        <v>83</v>
      </c>
      <c r="E13630" s="12" t="s">
        <v>35</v>
      </c>
      <c r="F13630" s="14">
        <v>480000</v>
      </c>
      <c r="G13630" s="14">
        <v>359000</v>
      </c>
      <c r="H13630" s="13" t="s">
        <v>25944</v>
      </c>
      <c r="I13630" s="40" t="s">
        <v>18</v>
      </c>
      <c r="J13630" s="40" t="str">
        <f>HYPERLINK("https://stock.pstatic.net/stock-research/company/2/20250331_company_132722000.pdf","PDF")</f>
        <v>PDF</v>
      </c>
      <c r="K13630" s="12" t="s">
        <v>25945</v>
      </c>
      <c r="L13630" s="20">
        <v>0.3370473537604457</v>
      </c>
    </row>
    <row r="13631" spans="1:12" x14ac:dyDescent="0.45">
      <c r="A13631" s="12" t="s">
        <v>25929</v>
      </c>
      <c r="B13631" s="12" t="s">
        <v>434</v>
      </c>
      <c r="C13631" s="13" t="s">
        <v>435</v>
      </c>
      <c r="D13631" s="13" t="s">
        <v>15</v>
      </c>
      <c r="E13631" s="12" t="s">
        <v>16</v>
      </c>
      <c r="F13631" s="14">
        <v>160000</v>
      </c>
      <c r="G13631" s="14">
        <v>104500</v>
      </c>
      <c r="H13631" s="13" t="s">
        <v>25946</v>
      </c>
      <c r="I13631" s="40" t="s">
        <v>18</v>
      </c>
      <c r="J13631" s="40" t="str">
        <f>HYPERLINK("https://stock.pstatic.net/stock-research/company/29/20250331_company_139405000.pdf","PDF")</f>
        <v>PDF</v>
      </c>
      <c r="K13631" s="12" t="s">
        <v>25947</v>
      </c>
      <c r="L13631" s="20">
        <v>0.53110047846889952</v>
      </c>
    </row>
    <row r="13632" spans="1:12" x14ac:dyDescent="0.45">
      <c r="A13632" s="12" t="s">
        <v>25929</v>
      </c>
      <c r="B13632" s="12" t="s">
        <v>25948</v>
      </c>
      <c r="C13632" s="13" t="s">
        <v>25949</v>
      </c>
      <c r="D13632" s="13" t="s">
        <v>92</v>
      </c>
      <c r="E13632" s="12" t="s">
        <v>35</v>
      </c>
      <c r="F13632" s="14">
        <v>7000</v>
      </c>
      <c r="G13632" s="14">
        <v>4620</v>
      </c>
      <c r="H13632" s="13" t="s">
        <v>25950</v>
      </c>
      <c r="I13632" s="40" t="s">
        <v>18</v>
      </c>
      <c r="J13632" s="40" t="str">
        <f>HYPERLINK("https://stock.pstatic.net/stock-research/company/63/20250331_company_715856000.pdf","PDF")</f>
        <v>PDF</v>
      </c>
      <c r="K13632" s="12" t="s">
        <v>25951</v>
      </c>
      <c r="L13632" s="20">
        <v>0.51515151515151514</v>
      </c>
    </row>
    <row r="13633" spans="1:12" x14ac:dyDescent="0.45">
      <c r="A13633" s="12" t="s">
        <v>25929</v>
      </c>
      <c r="B13633" s="12" t="s">
        <v>3164</v>
      </c>
      <c r="C13633" s="13" t="s">
        <v>3165</v>
      </c>
      <c r="D13633" s="13" t="s">
        <v>34</v>
      </c>
      <c r="E13633" s="12" t="s">
        <v>35</v>
      </c>
      <c r="F13633" s="14">
        <v>42000</v>
      </c>
      <c r="G13633" s="14">
        <v>34700</v>
      </c>
      <c r="H13633" s="13" t="s">
        <v>25952</v>
      </c>
      <c r="I13633" s="40" t="s">
        <v>18</v>
      </c>
      <c r="J13633" s="40" t="str">
        <f>HYPERLINK("https://stock.pstatic.net/stock-research/company/61/20250331_company_682561000.pdf","PDF")</f>
        <v>PDF</v>
      </c>
      <c r="K13633" s="12" t="s">
        <v>25953</v>
      </c>
      <c r="L13633" s="20">
        <v>0.21037463976945239</v>
      </c>
    </row>
    <row r="13634" spans="1:12" x14ac:dyDescent="0.45">
      <c r="A13634" s="12" t="s">
        <v>25929</v>
      </c>
      <c r="B13634" s="12" t="s">
        <v>6545</v>
      </c>
      <c r="C13634" s="13" t="s">
        <v>6546</v>
      </c>
      <c r="D13634" s="13" t="s">
        <v>92</v>
      </c>
      <c r="E13634" s="12" t="s">
        <v>35</v>
      </c>
      <c r="F13634" s="14">
        <v>15000</v>
      </c>
      <c r="G13634" s="14">
        <v>9430</v>
      </c>
      <c r="H13634" s="13" t="s">
        <v>25954</v>
      </c>
      <c r="I13634" s="40" t="s">
        <v>18</v>
      </c>
      <c r="J13634" s="40" t="str">
        <f>HYPERLINK("https://stock.pstatic.net/stock-research/company/1/20250331_company_763973000.pdf","PDF")</f>
        <v>PDF</v>
      </c>
      <c r="K13634" s="12" t="s">
        <v>25955</v>
      </c>
      <c r="L13634" s="20">
        <v>0.59066808059384945</v>
      </c>
    </row>
    <row r="13635" spans="1:12" x14ac:dyDescent="0.45">
      <c r="A13635" s="12" t="s">
        <v>25929</v>
      </c>
      <c r="B13635" s="12" t="s">
        <v>268</v>
      </c>
      <c r="C13635" s="13" t="s">
        <v>269</v>
      </c>
      <c r="D13635" s="13" t="s">
        <v>23</v>
      </c>
      <c r="E13635" s="12" t="s">
        <v>16</v>
      </c>
      <c r="F13635" s="14">
        <v>730000</v>
      </c>
      <c r="G13635" s="14">
        <v>352500</v>
      </c>
      <c r="H13635" s="13" t="s">
        <v>25956</v>
      </c>
      <c r="I13635" s="40" t="s">
        <v>18</v>
      </c>
      <c r="J13635" s="40" t="str">
        <f>HYPERLINK("https://stock.pstatic.net/stock-research/company/21/20250331_company_86977000.pdf","PDF")</f>
        <v>PDF</v>
      </c>
      <c r="K13635" s="12" t="s">
        <v>25957</v>
      </c>
      <c r="L13635" s="20">
        <v>1.0709219858156029</v>
      </c>
    </row>
    <row r="13636" spans="1:12" x14ac:dyDescent="0.45">
      <c r="A13636" s="12" t="s">
        <v>25929</v>
      </c>
      <c r="B13636" s="12" t="s">
        <v>2378</v>
      </c>
      <c r="C13636" s="13" t="s">
        <v>2379</v>
      </c>
      <c r="D13636" s="13" t="s">
        <v>23</v>
      </c>
      <c r="E13636" s="12" t="s">
        <v>16</v>
      </c>
      <c r="F13636" s="14">
        <v>430000</v>
      </c>
      <c r="G13636" s="14">
        <v>356000</v>
      </c>
      <c r="H13636" s="13" t="s">
        <v>25958</v>
      </c>
      <c r="I13636" s="40" t="s">
        <v>18</v>
      </c>
      <c r="J13636" s="40" t="str">
        <f>HYPERLINK("https://stock.pstatic.net/stock-research/company/1/20250331_company_351405000.pdf","PDF")</f>
        <v>PDF</v>
      </c>
      <c r="K13636" s="12" t="s">
        <v>25959</v>
      </c>
      <c r="L13636" s="20">
        <v>0.20786516853932591</v>
      </c>
    </row>
    <row r="13637" spans="1:12" x14ac:dyDescent="0.45">
      <c r="A13637" s="12" t="s">
        <v>25929</v>
      </c>
      <c r="B13637" s="12" t="s">
        <v>3079</v>
      </c>
      <c r="C13637" s="13" t="s">
        <v>3080</v>
      </c>
      <c r="D13637" s="13" t="s">
        <v>23</v>
      </c>
      <c r="E13637" s="12" t="s">
        <v>16</v>
      </c>
      <c r="F13637" s="14">
        <v>23000</v>
      </c>
      <c r="G13637" s="14">
        <v>18030</v>
      </c>
      <c r="H13637" s="13" t="s">
        <v>25960</v>
      </c>
      <c r="I13637" s="40" t="s">
        <v>18</v>
      </c>
      <c r="J13637" s="40" t="str">
        <f>HYPERLINK("https://stock.pstatic.net/stock-research/company/21/20250331_company_192186000.pdf","PDF")</f>
        <v>PDF</v>
      </c>
      <c r="K13637" s="12" t="s">
        <v>25961</v>
      </c>
      <c r="L13637" s="20">
        <v>0.27565169162506931</v>
      </c>
    </row>
    <row r="13638" spans="1:12" x14ac:dyDescent="0.45">
      <c r="A13638" s="12" t="s">
        <v>25929</v>
      </c>
      <c r="B13638" s="12" t="s">
        <v>3164</v>
      </c>
      <c r="C13638" s="13" t="s">
        <v>3165</v>
      </c>
      <c r="D13638" s="13" t="s">
        <v>44</v>
      </c>
      <c r="E13638" s="12" t="s">
        <v>35</v>
      </c>
      <c r="F13638" s="14">
        <v>52000</v>
      </c>
      <c r="G13638" s="14">
        <v>34700</v>
      </c>
      <c r="H13638" s="13" t="s">
        <v>25962</v>
      </c>
      <c r="I13638" s="40" t="s">
        <v>18</v>
      </c>
      <c r="J13638" s="40" t="str">
        <f>HYPERLINK("https://stock.pstatic.net/stock-research/company/39/20250331_company_78926000.pdf","PDF")</f>
        <v>PDF</v>
      </c>
      <c r="K13638" s="12" t="s">
        <v>25963</v>
      </c>
      <c r="L13638" s="20">
        <v>0.49855907780979819</v>
      </c>
    </row>
    <row r="13639" spans="1:12" x14ac:dyDescent="0.45">
      <c r="A13639" s="12" t="s">
        <v>25929</v>
      </c>
      <c r="B13639" s="12" t="s">
        <v>1734</v>
      </c>
      <c r="C13639" s="13" t="s">
        <v>1735</v>
      </c>
      <c r="D13639" s="13" t="s">
        <v>34</v>
      </c>
      <c r="E13639" s="12" t="s">
        <v>50</v>
      </c>
      <c r="F13639" s="13"/>
      <c r="G13639" s="14">
        <v>35250</v>
      </c>
      <c r="H13639" s="13" t="s">
        <v>25964</v>
      </c>
      <c r="I13639" s="40" t="s">
        <v>18</v>
      </c>
      <c r="J13639" s="40" t="str">
        <f>HYPERLINK("https://stock.pstatic.net/stock-research/company/61/20250331_company_291549000.pdf","PDF")</f>
        <v>PDF</v>
      </c>
      <c r="K13639" s="12" t="s">
        <v>25965</v>
      </c>
    </row>
    <row r="13640" spans="1:12" x14ac:dyDescent="0.45">
      <c r="A13640" s="12" t="s">
        <v>25929</v>
      </c>
      <c r="B13640" s="12" t="s">
        <v>352</v>
      </c>
      <c r="C13640" s="13" t="s">
        <v>353</v>
      </c>
      <c r="D13640" s="13" t="s">
        <v>34</v>
      </c>
      <c r="E13640" s="12" t="s">
        <v>50</v>
      </c>
      <c r="F13640" s="13"/>
      <c r="G13640" s="14">
        <v>101700</v>
      </c>
      <c r="H13640" s="13" t="s">
        <v>25966</v>
      </c>
      <c r="I13640" s="40" t="s">
        <v>18</v>
      </c>
      <c r="J13640" s="40" t="str">
        <f>HYPERLINK("https://stock.pstatic.net/stock-research/company/61/20250331_company_16425000.pdf","PDF")</f>
        <v>PDF</v>
      </c>
      <c r="K13640" s="12" t="s">
        <v>25967</v>
      </c>
    </row>
    <row r="13641" spans="1:12" x14ac:dyDescent="0.45">
      <c r="A13641" s="12" t="s">
        <v>25929</v>
      </c>
      <c r="B13641" s="12" t="s">
        <v>442</v>
      </c>
      <c r="C13641" s="13" t="s">
        <v>443</v>
      </c>
      <c r="D13641" s="13" t="s">
        <v>124</v>
      </c>
      <c r="E13641" s="12" t="s">
        <v>50</v>
      </c>
      <c r="F13641" s="13"/>
      <c r="G13641" s="13"/>
      <c r="H13641" s="13" t="s">
        <v>25968</v>
      </c>
      <c r="I13641" s="40" t="s">
        <v>18</v>
      </c>
      <c r="J13641" s="40" t="str">
        <f>HYPERLINK("https://stock.pstatic.net/stock-research/company/74/20250331_company_566926000.pdf","PDF")</f>
        <v>PDF</v>
      </c>
      <c r="K13641" s="12" t="s">
        <v>25969</v>
      </c>
    </row>
    <row r="13642" spans="1:12" x14ac:dyDescent="0.45">
      <c r="A13642" s="12" t="s">
        <v>25929</v>
      </c>
      <c r="B13642" s="12" t="s">
        <v>1051</v>
      </c>
      <c r="C13642" s="13" t="s">
        <v>1052</v>
      </c>
      <c r="D13642" s="13" t="s">
        <v>1271</v>
      </c>
      <c r="E13642" s="12" t="s">
        <v>35</v>
      </c>
      <c r="F13642" s="14">
        <v>54000</v>
      </c>
      <c r="G13642" s="14">
        <v>42650</v>
      </c>
      <c r="H13642" s="13" t="s">
        <v>25970</v>
      </c>
      <c r="I13642" s="40" t="s">
        <v>18</v>
      </c>
      <c r="J13642" s="40" t="str">
        <f>HYPERLINK("https://stock.pstatic.net/stock-research/company/78/20250331_company_250719000.pdf","PDF")</f>
        <v>PDF</v>
      </c>
      <c r="K13642" s="12" t="s">
        <v>25971</v>
      </c>
      <c r="L13642" s="20">
        <v>0.26611957796014069</v>
      </c>
    </row>
    <row r="13643" spans="1:12" x14ac:dyDescent="0.45">
      <c r="A13643" s="12" t="s">
        <v>25929</v>
      </c>
      <c r="B13643" s="12" t="s">
        <v>1849</v>
      </c>
      <c r="C13643" s="13" t="s">
        <v>1850</v>
      </c>
      <c r="D13643" s="13" t="s">
        <v>1271</v>
      </c>
      <c r="E13643" s="12" t="s">
        <v>35</v>
      </c>
      <c r="F13643" s="14">
        <v>25000</v>
      </c>
      <c r="G13643" s="14">
        <v>17890</v>
      </c>
      <c r="H13643" s="13" t="s">
        <v>25972</v>
      </c>
      <c r="I13643" s="40" t="s">
        <v>18</v>
      </c>
      <c r="J13643" s="40" t="str">
        <f>HYPERLINK("https://stock.pstatic.net/stock-research/company/78/20250331_company_655707000.pdf","PDF")</f>
        <v>PDF</v>
      </c>
      <c r="K13643" s="12" t="s">
        <v>25973</v>
      </c>
      <c r="L13643" s="20">
        <v>0.39742873113471211</v>
      </c>
    </row>
    <row r="13644" spans="1:12" x14ac:dyDescent="0.45">
      <c r="A13644" s="12" t="s">
        <v>25929</v>
      </c>
      <c r="B13644" s="12" t="s">
        <v>2631</v>
      </c>
      <c r="C13644" s="13" t="s">
        <v>2632</v>
      </c>
      <c r="D13644" s="13" t="s">
        <v>1271</v>
      </c>
      <c r="E13644" s="12" t="s">
        <v>35</v>
      </c>
      <c r="F13644" s="14">
        <v>20000</v>
      </c>
      <c r="G13644" s="14">
        <v>17050</v>
      </c>
      <c r="H13644" s="13" t="s">
        <v>25974</v>
      </c>
      <c r="I13644" s="40" t="s">
        <v>18</v>
      </c>
      <c r="J13644" s="40" t="str">
        <f>HYPERLINK("https://stock.pstatic.net/stock-research/company/78/20250331_company_619481000.pdf","PDF")</f>
        <v>PDF</v>
      </c>
      <c r="K13644" s="12" t="s">
        <v>25975</v>
      </c>
      <c r="L13644" s="20">
        <v>0.17302052785923749</v>
      </c>
    </row>
    <row r="13645" spans="1:12" x14ac:dyDescent="0.45">
      <c r="A13645" s="12" t="s">
        <v>25929</v>
      </c>
      <c r="B13645" s="12" t="s">
        <v>485</v>
      </c>
      <c r="C13645" s="13" t="s">
        <v>486</v>
      </c>
      <c r="D13645" s="13" t="s">
        <v>1271</v>
      </c>
      <c r="E13645" s="12" t="s">
        <v>35</v>
      </c>
      <c r="F13645" s="14">
        <v>190000</v>
      </c>
      <c r="G13645" s="14">
        <v>132000</v>
      </c>
      <c r="H13645" s="13" t="s">
        <v>25976</v>
      </c>
      <c r="I13645" s="40" t="s">
        <v>18</v>
      </c>
      <c r="J13645" s="40" t="str">
        <f>HYPERLINK("https://stock.pstatic.net/stock-research/company/78/20250331_company_366433000.pdf","PDF")</f>
        <v>PDF</v>
      </c>
      <c r="K13645" s="12" t="s">
        <v>25977</v>
      </c>
      <c r="L13645" s="20">
        <v>0.43939393939393939</v>
      </c>
    </row>
    <row r="13646" spans="1:12" x14ac:dyDescent="0.45">
      <c r="A13646" s="12" t="s">
        <v>25929</v>
      </c>
      <c r="B13646" s="12" t="s">
        <v>5767</v>
      </c>
      <c r="C13646" s="13" t="s">
        <v>5768</v>
      </c>
      <c r="D13646" s="13" t="s">
        <v>1271</v>
      </c>
      <c r="E13646" s="12" t="s">
        <v>35</v>
      </c>
      <c r="F13646" s="14">
        <v>35000</v>
      </c>
      <c r="G13646" s="14">
        <v>26700</v>
      </c>
      <c r="H13646" s="13" t="s">
        <v>25978</v>
      </c>
      <c r="I13646" s="40" t="s">
        <v>18</v>
      </c>
      <c r="J13646" s="40" t="str">
        <f>HYPERLINK("https://stock.pstatic.net/stock-research/company/78/20250331_company_847333000.pdf","PDF")</f>
        <v>PDF</v>
      </c>
      <c r="K13646" s="12" t="s">
        <v>25979</v>
      </c>
      <c r="L13646" s="20">
        <v>0.31086142322097382</v>
      </c>
    </row>
    <row r="13647" spans="1:12" x14ac:dyDescent="0.45">
      <c r="A13647" s="12" t="s">
        <v>25929</v>
      </c>
      <c r="B13647" s="12" t="s">
        <v>2758</v>
      </c>
      <c r="C13647" s="13" t="s">
        <v>2759</v>
      </c>
      <c r="D13647" s="13" t="s">
        <v>1271</v>
      </c>
      <c r="E13647" s="12" t="s">
        <v>35</v>
      </c>
      <c r="F13647" s="14">
        <v>400000</v>
      </c>
      <c r="G13647" s="14">
        <v>300500</v>
      </c>
      <c r="H13647" s="13" t="s">
        <v>25980</v>
      </c>
      <c r="I13647" s="40" t="s">
        <v>18</v>
      </c>
      <c r="J13647" s="40" t="str">
        <f>HYPERLINK("https://stock.pstatic.net/stock-research/company/78/20250331_company_76805000.pdf","PDF")</f>
        <v>PDF</v>
      </c>
      <c r="K13647" s="12" t="s">
        <v>25981</v>
      </c>
      <c r="L13647" s="20">
        <v>0.33111480865224618</v>
      </c>
    </row>
    <row r="13648" spans="1:12" x14ac:dyDescent="0.45">
      <c r="A13648" s="12" t="s">
        <v>25982</v>
      </c>
      <c r="B13648" s="12" t="s">
        <v>237</v>
      </c>
      <c r="C13648" s="13" t="s">
        <v>238</v>
      </c>
      <c r="D13648" s="13" t="s">
        <v>83</v>
      </c>
      <c r="E13648" s="12" t="s">
        <v>35</v>
      </c>
      <c r="F13648" s="14">
        <v>59000</v>
      </c>
      <c r="G13648" s="14">
        <v>31650</v>
      </c>
      <c r="H13648" s="13" t="s">
        <v>25983</v>
      </c>
      <c r="I13648" s="40" t="s">
        <v>18</v>
      </c>
      <c r="J13648" s="40" t="str">
        <f>HYPERLINK("https://stock.pstatic.net/stock-research/company/2/20250328_company_751823000.pdf","PDF")</f>
        <v>PDF</v>
      </c>
      <c r="K13648" s="12" t="s">
        <v>25984</v>
      </c>
      <c r="L13648" s="20">
        <v>0.86413902053712477</v>
      </c>
    </row>
    <row r="13649" spans="1:12" x14ac:dyDescent="0.45">
      <c r="A13649" s="12" t="s">
        <v>25982</v>
      </c>
      <c r="B13649" s="12" t="s">
        <v>2040</v>
      </c>
      <c r="C13649" s="13" t="s">
        <v>2041</v>
      </c>
      <c r="D13649" s="13" t="s">
        <v>83</v>
      </c>
      <c r="E13649" s="12" t="s">
        <v>35</v>
      </c>
      <c r="F13649" s="14">
        <v>90000</v>
      </c>
      <c r="G13649" s="14">
        <v>68100</v>
      </c>
      <c r="H13649" s="13" t="s">
        <v>25985</v>
      </c>
      <c r="I13649" s="40" t="s">
        <v>18</v>
      </c>
      <c r="J13649" s="40" t="str">
        <f>HYPERLINK("https://stock.pstatic.net/stock-research/company/2/20250328_company_92069000.pdf","PDF")</f>
        <v>PDF</v>
      </c>
      <c r="K13649" s="12" t="s">
        <v>25986</v>
      </c>
      <c r="L13649" s="20">
        <v>0.32158590308370039</v>
      </c>
    </row>
    <row r="13650" spans="1:12" x14ac:dyDescent="0.45">
      <c r="A13650" s="12" t="s">
        <v>25982</v>
      </c>
      <c r="B13650" s="12" t="s">
        <v>836</v>
      </c>
      <c r="C13650" s="13" t="s">
        <v>837</v>
      </c>
      <c r="D13650" s="13" t="s">
        <v>83</v>
      </c>
      <c r="E13650" s="12" t="s">
        <v>35</v>
      </c>
      <c r="F13650" s="14">
        <v>110000</v>
      </c>
      <c r="G13650" s="14">
        <v>97900</v>
      </c>
      <c r="H13650" s="13" t="s">
        <v>25987</v>
      </c>
      <c r="I13650" s="40" t="s">
        <v>18</v>
      </c>
      <c r="J13650" s="40" t="str">
        <f>HYPERLINK("https://stock.pstatic.net/stock-research/company/2/20250328_company_776213000.pdf","PDF")</f>
        <v>PDF</v>
      </c>
      <c r="K13650" s="12" t="s">
        <v>25988</v>
      </c>
      <c r="L13650" s="20">
        <v>0.1235955056179775</v>
      </c>
    </row>
    <row r="13651" spans="1:12" x14ac:dyDescent="0.45">
      <c r="A13651" s="12" t="s">
        <v>25982</v>
      </c>
      <c r="B13651" s="12" t="s">
        <v>2414</v>
      </c>
      <c r="C13651" s="13" t="s">
        <v>2415</v>
      </c>
      <c r="D13651" s="13" t="s">
        <v>83</v>
      </c>
      <c r="E13651" s="12" t="s">
        <v>35</v>
      </c>
      <c r="F13651" s="14">
        <v>420000</v>
      </c>
      <c r="G13651" s="14">
        <v>323500</v>
      </c>
      <c r="H13651" s="13" t="s">
        <v>25989</v>
      </c>
      <c r="I13651" s="40" t="s">
        <v>18</v>
      </c>
      <c r="J13651" s="40" t="str">
        <f>HYPERLINK("https://stock.pstatic.net/stock-research/company/2/20250328_company_667608000.pdf","PDF")</f>
        <v>PDF</v>
      </c>
      <c r="K13651" s="12" t="s">
        <v>25990</v>
      </c>
      <c r="L13651" s="20">
        <v>0.29829984544049459</v>
      </c>
    </row>
    <row r="13652" spans="1:12" x14ac:dyDescent="0.45">
      <c r="A13652" s="12" t="s">
        <v>25982</v>
      </c>
      <c r="B13652" s="12" t="s">
        <v>13</v>
      </c>
      <c r="C13652" s="13" t="s">
        <v>14</v>
      </c>
      <c r="D13652" s="13" t="s">
        <v>276</v>
      </c>
      <c r="E13652" s="12" t="s">
        <v>16</v>
      </c>
      <c r="F13652" s="14">
        <v>76000</v>
      </c>
      <c r="G13652" s="14">
        <v>61800</v>
      </c>
      <c r="H13652" s="13" t="s">
        <v>25991</v>
      </c>
      <c r="I13652" s="40" t="s">
        <v>18</v>
      </c>
      <c r="J13652" s="40" t="str">
        <f>HYPERLINK("https://stock.pstatic.net/stock-research/company/66/20250328_company_610674000.pdf","PDF")</f>
        <v>PDF</v>
      </c>
      <c r="K13652" s="12" t="s">
        <v>25992</v>
      </c>
      <c r="L13652" s="20">
        <v>0.22977346278317151</v>
      </c>
    </row>
    <row r="13653" spans="1:12" x14ac:dyDescent="0.45">
      <c r="A13653" s="12" t="s">
        <v>25982</v>
      </c>
      <c r="B13653" s="12" t="s">
        <v>2378</v>
      </c>
      <c r="C13653" s="13" t="s">
        <v>2379</v>
      </c>
      <c r="D13653" s="13" t="s">
        <v>57</v>
      </c>
      <c r="E13653" s="12" t="s">
        <v>35</v>
      </c>
      <c r="F13653" s="14">
        <v>500000</v>
      </c>
      <c r="G13653" s="14">
        <v>356500</v>
      </c>
      <c r="H13653" s="13" t="s">
        <v>25993</v>
      </c>
      <c r="I13653" s="40" t="s">
        <v>18</v>
      </c>
      <c r="J13653" s="40" t="str">
        <f>HYPERLINK("https://stock.pstatic.net/stock-research/company/16/20250328_company_780457000.pdf","PDF")</f>
        <v>PDF</v>
      </c>
      <c r="K13653" s="12" t="s">
        <v>25994</v>
      </c>
      <c r="L13653" s="20">
        <v>0.40252454417952321</v>
      </c>
    </row>
    <row r="13654" spans="1:12" x14ac:dyDescent="0.45">
      <c r="A13654" s="12" t="s">
        <v>25982</v>
      </c>
      <c r="B13654" s="12" t="s">
        <v>10868</v>
      </c>
      <c r="C13654" s="13" t="s">
        <v>10869</v>
      </c>
      <c r="D13654" s="13" t="s">
        <v>23</v>
      </c>
      <c r="E13654" s="12" t="s">
        <v>50</v>
      </c>
      <c r="F13654" s="13"/>
      <c r="G13654" s="14">
        <v>75400</v>
      </c>
      <c r="H13654" s="13" t="s">
        <v>25995</v>
      </c>
      <c r="I13654" s="40" t="s">
        <v>18</v>
      </c>
      <c r="J13654" s="40" t="str">
        <f>HYPERLINK("https://stock.pstatic.net/stock-research/company/21/20250328_company_910242000.pdf","PDF")</f>
        <v>PDF</v>
      </c>
      <c r="K13654" s="12" t="s">
        <v>25996</v>
      </c>
    </row>
    <row r="13655" spans="1:12" x14ac:dyDescent="0.45">
      <c r="A13655" s="12" t="s">
        <v>25982</v>
      </c>
      <c r="B13655" s="12" t="s">
        <v>3182</v>
      </c>
      <c r="C13655" s="13" t="s">
        <v>3183</v>
      </c>
      <c r="D13655" s="13" t="s">
        <v>23</v>
      </c>
      <c r="E13655" s="12" t="s">
        <v>16</v>
      </c>
      <c r="F13655" s="14">
        <v>480000</v>
      </c>
      <c r="G13655" s="14">
        <v>304000</v>
      </c>
      <c r="H13655" s="13" t="s">
        <v>25997</v>
      </c>
      <c r="I13655" s="40" t="s">
        <v>18</v>
      </c>
      <c r="J13655" s="40" t="str">
        <f>HYPERLINK("https://stock.pstatic.net/stock-research/company/21/20250328_company_934447000.pdf","PDF")</f>
        <v>PDF</v>
      </c>
      <c r="K13655" s="12" t="s">
        <v>25998</v>
      </c>
      <c r="L13655" s="20">
        <v>0.57894736842105265</v>
      </c>
    </row>
    <row r="13656" spans="1:12" x14ac:dyDescent="0.45">
      <c r="A13656" s="12" t="s">
        <v>25982</v>
      </c>
      <c r="B13656" s="12" t="s">
        <v>1042</v>
      </c>
      <c r="C13656" s="13" t="s">
        <v>1043</v>
      </c>
      <c r="D13656" s="13" t="s">
        <v>44</v>
      </c>
      <c r="E13656" s="12" t="s">
        <v>35</v>
      </c>
      <c r="F13656" s="14">
        <v>32000</v>
      </c>
      <c r="G13656" s="14">
        <v>22900</v>
      </c>
      <c r="H13656" s="13" t="s">
        <v>25999</v>
      </c>
      <c r="I13656" s="40" t="s">
        <v>18</v>
      </c>
      <c r="J13656" s="40" t="str">
        <f>HYPERLINK("https://stock.pstatic.net/stock-research/company/39/20250328_company_405676000.pdf","PDF")</f>
        <v>PDF</v>
      </c>
      <c r="K13656" s="12" t="s">
        <v>26000</v>
      </c>
      <c r="L13656" s="20">
        <v>0.39737991266375539</v>
      </c>
    </row>
    <row r="13657" spans="1:12" x14ac:dyDescent="0.45">
      <c r="A13657" s="12" t="s">
        <v>25982</v>
      </c>
      <c r="B13657" s="12" t="s">
        <v>1036</v>
      </c>
      <c r="C13657" s="13" t="s">
        <v>1037</v>
      </c>
      <c r="D13657" s="13" t="s">
        <v>124</v>
      </c>
      <c r="E13657" s="12" t="s">
        <v>50</v>
      </c>
      <c r="F13657" s="13"/>
      <c r="G13657" s="13"/>
      <c r="H13657" s="13" t="s">
        <v>26001</v>
      </c>
      <c r="I13657" s="40" t="s">
        <v>18</v>
      </c>
      <c r="J13657" s="40" t="str">
        <f>HYPERLINK("https://stock.pstatic.net/stock-research/company/74/20250328_company_610661000.pdf","PDF")</f>
        <v>PDF</v>
      </c>
      <c r="K13657" s="12" t="s">
        <v>26002</v>
      </c>
    </row>
    <row r="13658" spans="1:12" x14ac:dyDescent="0.45">
      <c r="A13658" s="12" t="s">
        <v>26003</v>
      </c>
      <c r="B13658" s="12" t="s">
        <v>26004</v>
      </c>
      <c r="C13658" s="13" t="s">
        <v>26005</v>
      </c>
      <c r="D13658" s="13" t="s">
        <v>202</v>
      </c>
      <c r="E13658" s="12" t="s">
        <v>50</v>
      </c>
      <c r="F13658" s="13"/>
      <c r="G13658" s="13"/>
      <c r="H13658" s="13" t="s">
        <v>26006</v>
      </c>
      <c r="I13658" s="40" t="s">
        <v>18</v>
      </c>
      <c r="J13658" s="40" t="str">
        <f>HYPERLINK("https://stock.pstatic.net/stock-research/company/69/20250327_company_888949000.pdf","PDF")</f>
        <v>PDF</v>
      </c>
      <c r="K13658" s="12" t="s">
        <v>26007</v>
      </c>
    </row>
    <row r="13659" spans="1:12" x14ac:dyDescent="0.45">
      <c r="A13659" s="12" t="s">
        <v>26003</v>
      </c>
      <c r="B13659" s="12" t="s">
        <v>10987</v>
      </c>
      <c r="C13659" s="13" t="s">
        <v>26008</v>
      </c>
      <c r="D13659" s="13" t="s">
        <v>11154</v>
      </c>
      <c r="E13659" s="12" t="s">
        <v>50</v>
      </c>
      <c r="F13659" s="13"/>
      <c r="G13659" s="13"/>
      <c r="H13659" s="13" t="s">
        <v>26009</v>
      </c>
      <c r="I13659" s="40" t="s">
        <v>18</v>
      </c>
      <c r="J13659" s="40" t="str">
        <f>HYPERLINK("https://stock.pstatic.net/stock-research/company/79/20250328_company_246964000.pdf","PDF")</f>
        <v>PDF</v>
      </c>
      <c r="K13659" s="12" t="s">
        <v>26010</v>
      </c>
    </row>
    <row r="13660" spans="1:12" x14ac:dyDescent="0.45">
      <c r="A13660" s="12" t="s">
        <v>26003</v>
      </c>
      <c r="B13660" s="12" t="s">
        <v>26011</v>
      </c>
      <c r="C13660" s="13" t="s">
        <v>26012</v>
      </c>
      <c r="D13660" s="13" t="s">
        <v>26013</v>
      </c>
      <c r="E13660" s="12" t="s">
        <v>50</v>
      </c>
      <c r="F13660" s="13"/>
      <c r="G13660" s="13"/>
      <c r="H13660" s="13" t="s">
        <v>26014</v>
      </c>
      <c r="I13660" s="40" t="s">
        <v>18</v>
      </c>
      <c r="J13660" s="40" t="str">
        <f>HYPERLINK("https://stock.pstatic.net/stock-research/company/73/20250327_company_31500000.pdf","PDF")</f>
        <v>PDF</v>
      </c>
      <c r="K13660" s="12" t="s">
        <v>26015</v>
      </c>
    </row>
    <row r="13661" spans="1:12" x14ac:dyDescent="0.45">
      <c r="A13661" s="12" t="s">
        <v>26003</v>
      </c>
      <c r="B13661" s="12" t="s">
        <v>537</v>
      </c>
      <c r="C13661" s="13" t="s">
        <v>538</v>
      </c>
      <c r="D13661" s="13" t="s">
        <v>83</v>
      </c>
      <c r="E13661" s="12" t="s">
        <v>35</v>
      </c>
      <c r="F13661" s="14">
        <v>14000</v>
      </c>
      <c r="G13661" s="14">
        <v>10760</v>
      </c>
      <c r="H13661" s="13" t="s">
        <v>26016</v>
      </c>
      <c r="I13661" s="40" t="s">
        <v>18</v>
      </c>
      <c r="J13661" s="40" t="str">
        <f>HYPERLINK("https://stock.pstatic.net/stock-research/company/2/20250327_company_555476000.pdf","PDF")</f>
        <v>PDF</v>
      </c>
      <c r="K13661" s="12" t="s">
        <v>26017</v>
      </c>
      <c r="L13661" s="20">
        <v>0.30111524163568781</v>
      </c>
    </row>
    <row r="13662" spans="1:12" x14ac:dyDescent="0.45">
      <c r="A13662" s="12" t="s">
        <v>26003</v>
      </c>
      <c r="B13662" s="12" t="s">
        <v>2837</v>
      </c>
      <c r="C13662" s="13" t="s">
        <v>2838</v>
      </c>
      <c r="D13662" s="13" t="s">
        <v>83</v>
      </c>
      <c r="E13662" s="12" t="s">
        <v>35</v>
      </c>
      <c r="F13662" s="14">
        <v>42000</v>
      </c>
      <c r="G13662" s="14">
        <v>36850</v>
      </c>
      <c r="H13662" s="13" t="s">
        <v>26018</v>
      </c>
      <c r="I13662" s="40" t="s">
        <v>18</v>
      </c>
      <c r="J13662" s="40" t="str">
        <f>HYPERLINK("https://m.stock.naver.com/research/company/81628","PDF")</f>
        <v>PDF</v>
      </c>
      <c r="K13662" s="12" t="s">
        <v>26019</v>
      </c>
      <c r="L13662" s="20">
        <v>0.13975576662143829</v>
      </c>
    </row>
    <row r="13663" spans="1:12" x14ac:dyDescent="0.45">
      <c r="A13663" s="12" t="s">
        <v>26003</v>
      </c>
      <c r="B13663" s="12" t="s">
        <v>352</v>
      </c>
      <c r="C13663" s="13" t="s">
        <v>353</v>
      </c>
      <c r="D13663" s="13" t="s">
        <v>83</v>
      </c>
      <c r="E13663" s="12" t="s">
        <v>35</v>
      </c>
      <c r="F13663" s="14">
        <v>150000</v>
      </c>
      <c r="G13663" s="14">
        <v>115700</v>
      </c>
      <c r="H13663" s="13" t="s">
        <v>26020</v>
      </c>
      <c r="I13663" s="40" t="s">
        <v>18</v>
      </c>
      <c r="J13663" s="40" t="str">
        <f>HYPERLINK("https://m.stock.naver.com/research/company/81627","PDF")</f>
        <v>PDF</v>
      </c>
      <c r="K13663" s="12" t="s">
        <v>26021</v>
      </c>
      <c r="L13663" s="20">
        <v>0.29645635263612791</v>
      </c>
    </row>
    <row r="13664" spans="1:12" x14ac:dyDescent="0.45">
      <c r="A13664" s="12" t="s">
        <v>26003</v>
      </c>
      <c r="B13664" s="12" t="s">
        <v>2225</v>
      </c>
      <c r="C13664" s="13" t="s">
        <v>5282</v>
      </c>
      <c r="D13664" s="13" t="s">
        <v>83</v>
      </c>
      <c r="E13664" s="12" t="s">
        <v>35</v>
      </c>
      <c r="F13664" s="14">
        <v>350000</v>
      </c>
      <c r="G13664" s="14">
        <v>268000</v>
      </c>
      <c r="H13664" s="13" t="s">
        <v>26022</v>
      </c>
      <c r="I13664" s="40" t="s">
        <v>18</v>
      </c>
      <c r="J13664" s="40" t="str">
        <f>HYPERLINK("https://stock.pstatic.net/stock-research/company/2/20250327_company_140145000.pdf","PDF")</f>
        <v>PDF</v>
      </c>
      <c r="K13664" s="12" t="s">
        <v>26023</v>
      </c>
      <c r="L13664" s="20">
        <v>0.30597014925373128</v>
      </c>
    </row>
    <row r="13665" spans="1:12" x14ac:dyDescent="0.45">
      <c r="A13665" s="12" t="s">
        <v>26003</v>
      </c>
      <c r="B13665" s="12" t="s">
        <v>1548</v>
      </c>
      <c r="C13665" s="13" t="s">
        <v>1549</v>
      </c>
      <c r="D13665" s="13" t="s">
        <v>83</v>
      </c>
      <c r="E13665" s="12" t="s">
        <v>35</v>
      </c>
      <c r="F13665" s="14">
        <v>760000</v>
      </c>
      <c r="G13665" s="14">
        <v>675000</v>
      </c>
      <c r="H13665" s="13" t="s">
        <v>26024</v>
      </c>
      <c r="I13665" s="40" t="s">
        <v>18</v>
      </c>
      <c r="J13665" s="40" t="str">
        <f>HYPERLINK("https://stock.pstatic.net/stock-research/company/2/20250327_company_18915000.pdf","PDF")</f>
        <v>PDF</v>
      </c>
      <c r="K13665" s="12" t="s">
        <v>26025</v>
      </c>
      <c r="L13665" s="20">
        <v>0.12592592592592591</v>
      </c>
    </row>
    <row r="13666" spans="1:12" x14ac:dyDescent="0.45">
      <c r="A13666" s="12" t="s">
        <v>26003</v>
      </c>
      <c r="B13666" s="12" t="s">
        <v>2266</v>
      </c>
      <c r="C13666" s="13" t="s">
        <v>2267</v>
      </c>
      <c r="D13666" s="13" t="s">
        <v>83</v>
      </c>
      <c r="E13666" s="12" t="s">
        <v>35</v>
      </c>
      <c r="F13666" s="14">
        <v>100000</v>
      </c>
      <c r="G13666" s="14">
        <v>83900</v>
      </c>
      <c r="H13666" s="13" t="s">
        <v>26026</v>
      </c>
      <c r="I13666" s="40" t="s">
        <v>18</v>
      </c>
      <c r="J13666" s="40" t="str">
        <f>HYPERLINK("https://stock.pstatic.net/stock-research/company/2/20250327_company_258964000.pdf","PDF")</f>
        <v>PDF</v>
      </c>
      <c r="K13666" s="12" t="s">
        <v>26027</v>
      </c>
      <c r="L13666" s="20">
        <v>0.19189511323003569</v>
      </c>
    </row>
    <row r="13667" spans="1:12" x14ac:dyDescent="0.45">
      <c r="A13667" s="12" t="s">
        <v>26003</v>
      </c>
      <c r="B13667" s="12" t="s">
        <v>13410</v>
      </c>
      <c r="C13667" s="13" t="s">
        <v>13411</v>
      </c>
      <c r="D13667" s="13" t="s">
        <v>83</v>
      </c>
      <c r="E13667" s="12" t="s">
        <v>35</v>
      </c>
      <c r="F13667" s="14">
        <v>130000</v>
      </c>
      <c r="G13667" s="14">
        <v>103200</v>
      </c>
      <c r="H13667" s="13" t="s">
        <v>26028</v>
      </c>
      <c r="I13667" s="40" t="s">
        <v>18</v>
      </c>
      <c r="J13667" s="40" t="str">
        <f>HYPERLINK("https://stock.pstatic.net/stock-research/company/2/20250327_company_228386000.pdf","PDF")</f>
        <v>PDF</v>
      </c>
      <c r="K13667" s="12" t="s">
        <v>26029</v>
      </c>
      <c r="L13667" s="20">
        <v>0.25968992248062017</v>
      </c>
    </row>
    <row r="13668" spans="1:12" x14ac:dyDescent="0.45">
      <c r="A13668" s="12" t="s">
        <v>26003</v>
      </c>
      <c r="B13668" s="12" t="s">
        <v>744</v>
      </c>
      <c r="C13668" s="13" t="s">
        <v>745</v>
      </c>
      <c r="D13668" s="13" t="s">
        <v>83</v>
      </c>
      <c r="E13668" s="12" t="s">
        <v>35</v>
      </c>
      <c r="F13668" s="14">
        <v>17000</v>
      </c>
      <c r="G13668" s="14">
        <v>14000</v>
      </c>
      <c r="H13668" s="13" t="s">
        <v>26030</v>
      </c>
      <c r="I13668" s="40" t="s">
        <v>18</v>
      </c>
      <c r="J13668" s="40" t="str">
        <f>HYPERLINK("https://stock.pstatic.net/stock-research/company/2/20250327_company_782069000.pdf","PDF")</f>
        <v>PDF</v>
      </c>
      <c r="K13668" s="12" t="s">
        <v>26031</v>
      </c>
      <c r="L13668" s="20">
        <v>0.2142857142857143</v>
      </c>
    </row>
    <row r="13669" spans="1:12" x14ac:dyDescent="0.45">
      <c r="A13669" s="12" t="s">
        <v>26003</v>
      </c>
      <c r="B13669" s="12" t="s">
        <v>3284</v>
      </c>
      <c r="C13669" s="13" t="s">
        <v>3285</v>
      </c>
      <c r="D13669" s="13" t="s">
        <v>83</v>
      </c>
      <c r="E13669" s="12" t="s">
        <v>35</v>
      </c>
      <c r="F13669" s="14">
        <v>90000</v>
      </c>
      <c r="G13669" s="14">
        <v>68500</v>
      </c>
      <c r="H13669" s="13" t="s">
        <v>26032</v>
      </c>
      <c r="I13669" s="40" t="s">
        <v>18</v>
      </c>
      <c r="J13669" s="40" t="str">
        <f>HYPERLINK("https://m.stock.naver.com/research/company/81621","PDF")</f>
        <v>PDF</v>
      </c>
      <c r="K13669" s="12" t="s">
        <v>26033</v>
      </c>
      <c r="L13669" s="20">
        <v>0.31386861313868608</v>
      </c>
    </row>
    <row r="13670" spans="1:12" x14ac:dyDescent="0.45">
      <c r="A13670" s="12" t="s">
        <v>26003</v>
      </c>
      <c r="B13670" s="12" t="s">
        <v>2435</v>
      </c>
      <c r="C13670" s="13" t="s">
        <v>2436</v>
      </c>
      <c r="D13670" s="13" t="s">
        <v>83</v>
      </c>
      <c r="E13670" s="12" t="s">
        <v>35</v>
      </c>
      <c r="F13670" s="14">
        <v>360000</v>
      </c>
      <c r="G13670" s="14">
        <v>287000</v>
      </c>
      <c r="H13670" s="13" t="s">
        <v>26034</v>
      </c>
      <c r="I13670" s="40" t="s">
        <v>18</v>
      </c>
      <c r="J13670" s="40" t="str">
        <f>HYPERLINK("https://m.stock.naver.com/research/company/81620","PDF")</f>
        <v>PDF</v>
      </c>
      <c r="K13670" s="12" t="s">
        <v>26035</v>
      </c>
      <c r="L13670" s="20">
        <v>0.25435540069686408</v>
      </c>
    </row>
    <row r="13671" spans="1:12" x14ac:dyDescent="0.45">
      <c r="A13671" s="12" t="s">
        <v>26003</v>
      </c>
      <c r="B13671" s="12" t="s">
        <v>3284</v>
      </c>
      <c r="C13671" s="13" t="s">
        <v>3285</v>
      </c>
      <c r="D13671" s="13" t="s">
        <v>276</v>
      </c>
      <c r="E13671" s="12" t="s">
        <v>35</v>
      </c>
      <c r="F13671" s="14">
        <v>100000</v>
      </c>
      <c r="G13671" s="14">
        <v>70400</v>
      </c>
      <c r="H13671" s="13" t="s">
        <v>26036</v>
      </c>
      <c r="I13671" s="40" t="s">
        <v>18</v>
      </c>
      <c r="J13671" s="40" t="str">
        <f>HYPERLINK("https://stock.pstatic.net/stock-research/company/66/20250327_company_284605000.pdf","PDF")</f>
        <v>PDF</v>
      </c>
      <c r="K13671" s="12" t="s">
        <v>26037</v>
      </c>
      <c r="L13671" s="20">
        <v>0.42045454545454553</v>
      </c>
    </row>
    <row r="13672" spans="1:12" x14ac:dyDescent="0.45">
      <c r="A13672" s="12" t="s">
        <v>26003</v>
      </c>
      <c r="B13672" s="12" t="s">
        <v>3749</v>
      </c>
      <c r="C13672" s="13" t="s">
        <v>3750</v>
      </c>
      <c r="D13672" s="13" t="s">
        <v>65</v>
      </c>
      <c r="E13672" s="12" t="s">
        <v>35</v>
      </c>
      <c r="F13672" s="14">
        <v>164000</v>
      </c>
      <c r="G13672" s="14">
        <v>128000</v>
      </c>
      <c r="H13672" s="13" t="s">
        <v>23268</v>
      </c>
      <c r="I13672" s="40" t="s">
        <v>18</v>
      </c>
      <c r="J13672" s="40" t="str">
        <f>HYPERLINK("https://stock.pstatic.net/stock-research/company/57/20250327_company_107723000.pdf","PDF")</f>
        <v>PDF</v>
      </c>
      <c r="K13672" s="12" t="s">
        <v>26038</v>
      </c>
      <c r="L13672" s="20">
        <v>0.28125</v>
      </c>
    </row>
    <row r="13673" spans="1:12" x14ac:dyDescent="0.45">
      <c r="A13673" s="12" t="s">
        <v>26003</v>
      </c>
      <c r="B13673" s="12" t="s">
        <v>541</v>
      </c>
      <c r="C13673" s="13" t="s">
        <v>542</v>
      </c>
      <c r="D13673" s="13" t="s">
        <v>65</v>
      </c>
      <c r="E13673" s="12" t="s">
        <v>35</v>
      </c>
      <c r="F13673" s="14">
        <v>70000</v>
      </c>
      <c r="G13673" s="14">
        <v>55800</v>
      </c>
      <c r="H13673" s="13" t="s">
        <v>26039</v>
      </c>
      <c r="I13673" s="40" t="s">
        <v>18</v>
      </c>
      <c r="J13673" s="40" t="str">
        <f>HYPERLINK("https://m.stock.naver.com/research/company/81617","PDF")</f>
        <v>PDF</v>
      </c>
      <c r="K13673" s="12" t="s">
        <v>26040</v>
      </c>
      <c r="L13673" s="20">
        <v>0.25448028673835132</v>
      </c>
    </row>
    <row r="13674" spans="1:12" x14ac:dyDescent="0.45">
      <c r="A13674" s="12" t="s">
        <v>26003</v>
      </c>
      <c r="B13674" s="12" t="s">
        <v>537</v>
      </c>
      <c r="C13674" s="13" t="s">
        <v>538</v>
      </c>
      <c r="D13674" s="13" t="s">
        <v>65</v>
      </c>
      <c r="E13674" s="12" t="s">
        <v>35</v>
      </c>
      <c r="F13674" s="14">
        <v>14000</v>
      </c>
      <c r="G13674" s="14">
        <v>10760</v>
      </c>
      <c r="H13674" s="13" t="s">
        <v>26041</v>
      </c>
      <c r="I13674" s="40" t="s">
        <v>18</v>
      </c>
      <c r="J13674" s="40" t="str">
        <f>HYPERLINK("https://stock.pstatic.net/stock-research/company/57/20250327_company_607533000.pdf","PDF")</f>
        <v>PDF</v>
      </c>
      <c r="K13674" s="12" t="s">
        <v>26042</v>
      </c>
      <c r="L13674" s="20">
        <v>0.30111524163568781</v>
      </c>
    </row>
    <row r="13675" spans="1:12" x14ac:dyDescent="0.45">
      <c r="A13675" s="12" t="s">
        <v>26003</v>
      </c>
      <c r="B13675" s="12" t="s">
        <v>533</v>
      </c>
      <c r="C13675" s="13" t="s">
        <v>534</v>
      </c>
      <c r="D13675" s="13" t="s">
        <v>65</v>
      </c>
      <c r="E13675" s="12" t="s">
        <v>35</v>
      </c>
      <c r="F13675" s="14">
        <v>70000</v>
      </c>
      <c r="G13675" s="14">
        <v>49800</v>
      </c>
      <c r="H13675" s="13" t="s">
        <v>26043</v>
      </c>
      <c r="I13675" s="40" t="s">
        <v>18</v>
      </c>
      <c r="J13675" s="40" t="str">
        <f>HYPERLINK("https://stock.pstatic.net/stock-research/company/57/20250327_company_839321000.pdf","PDF")</f>
        <v>PDF</v>
      </c>
      <c r="K13675" s="12" t="s">
        <v>26044</v>
      </c>
      <c r="L13675" s="20">
        <v>0.40562248995983929</v>
      </c>
    </row>
    <row r="13676" spans="1:12" x14ac:dyDescent="0.45">
      <c r="A13676" s="12" t="s">
        <v>26003</v>
      </c>
      <c r="B13676" s="12" t="s">
        <v>6914</v>
      </c>
      <c r="C13676" s="13" t="s">
        <v>6915</v>
      </c>
      <c r="D13676" s="13" t="s">
        <v>57</v>
      </c>
      <c r="E13676" s="12" t="s">
        <v>35</v>
      </c>
      <c r="F13676" s="14">
        <v>60000</v>
      </c>
      <c r="G13676" s="14">
        <v>47550</v>
      </c>
      <c r="H13676" s="13" t="s">
        <v>26045</v>
      </c>
      <c r="I13676" s="40" t="s">
        <v>18</v>
      </c>
      <c r="J13676" s="40" t="str">
        <f>HYPERLINK("https://stock.pstatic.net/stock-research/company/16/20250327_company_390597000.pdf","PDF")</f>
        <v>PDF</v>
      </c>
      <c r="K13676" s="12" t="s">
        <v>26046</v>
      </c>
      <c r="L13676" s="20">
        <v>0.26182965299684541</v>
      </c>
    </row>
    <row r="13677" spans="1:12" x14ac:dyDescent="0.45">
      <c r="A13677" s="12" t="s">
        <v>26003</v>
      </c>
      <c r="B13677" s="12" t="s">
        <v>519</v>
      </c>
      <c r="C13677" s="13" t="s">
        <v>520</v>
      </c>
      <c r="D13677" s="13" t="s">
        <v>57</v>
      </c>
      <c r="E13677" s="12" t="s">
        <v>35</v>
      </c>
      <c r="F13677" s="14">
        <v>310000</v>
      </c>
      <c r="G13677" s="14">
        <v>222000</v>
      </c>
      <c r="H13677" s="13" t="s">
        <v>26047</v>
      </c>
      <c r="I13677" s="40" t="s">
        <v>18</v>
      </c>
      <c r="J13677" s="40" t="str">
        <f>HYPERLINK("https://stock.pstatic.net/stock-research/company/16/20250327_company_885853000.pdf","PDF")</f>
        <v>PDF</v>
      </c>
      <c r="K13677" s="12" t="s">
        <v>26048</v>
      </c>
      <c r="L13677" s="20">
        <v>0.3963963963963964</v>
      </c>
    </row>
    <row r="13678" spans="1:12" x14ac:dyDescent="0.45">
      <c r="A13678" s="12" t="s">
        <v>26003</v>
      </c>
      <c r="B13678" s="12" t="s">
        <v>1765</v>
      </c>
      <c r="C13678" s="13" t="s">
        <v>1766</v>
      </c>
      <c r="D13678" s="13" t="s">
        <v>57</v>
      </c>
      <c r="E13678" s="12" t="s">
        <v>35</v>
      </c>
      <c r="F13678" s="14">
        <v>140000</v>
      </c>
      <c r="G13678" s="14">
        <v>101400</v>
      </c>
      <c r="H13678" s="13" t="s">
        <v>26049</v>
      </c>
      <c r="I13678" s="40" t="s">
        <v>18</v>
      </c>
      <c r="J13678" s="40" t="str">
        <f>HYPERLINK("https://stock.pstatic.net/stock-research/company/16/20250327_company_633469000.pdf","PDF")</f>
        <v>PDF</v>
      </c>
      <c r="K13678" s="12" t="s">
        <v>26050</v>
      </c>
      <c r="L13678" s="20">
        <v>0.38067061143984221</v>
      </c>
    </row>
    <row r="13679" spans="1:12" x14ac:dyDescent="0.45">
      <c r="A13679" s="12" t="s">
        <v>26003</v>
      </c>
      <c r="B13679" s="12" t="s">
        <v>495</v>
      </c>
      <c r="C13679" s="13" t="s">
        <v>496</v>
      </c>
      <c r="D13679" s="13" t="s">
        <v>158</v>
      </c>
      <c r="E13679" s="12" t="s">
        <v>35</v>
      </c>
      <c r="F13679" s="14">
        <v>90000</v>
      </c>
      <c r="G13679" s="14">
        <v>69800</v>
      </c>
      <c r="H13679" s="13" t="s">
        <v>26051</v>
      </c>
      <c r="I13679" s="40" t="s">
        <v>18</v>
      </c>
      <c r="J13679" s="40" t="str">
        <f>HYPERLINK("https://stock.pstatic.net/stock-research/company/18/20250327_company_267043000.pdf","PDF")</f>
        <v>PDF</v>
      </c>
      <c r="K13679" s="12" t="s">
        <v>26052</v>
      </c>
      <c r="L13679" s="20">
        <v>0.28939828080229218</v>
      </c>
    </row>
    <row r="13680" spans="1:12" x14ac:dyDescent="0.45">
      <c r="A13680" s="12" t="s">
        <v>26003</v>
      </c>
      <c r="B13680" s="12" t="s">
        <v>15657</v>
      </c>
      <c r="C13680" s="13" t="s">
        <v>15658</v>
      </c>
      <c r="D13680" s="13" t="s">
        <v>23</v>
      </c>
      <c r="E13680" s="12" t="s">
        <v>16</v>
      </c>
      <c r="F13680" s="14">
        <v>16000</v>
      </c>
      <c r="G13680" s="14">
        <v>13110</v>
      </c>
      <c r="H13680" s="13" t="s">
        <v>26053</v>
      </c>
      <c r="I13680" s="40" t="s">
        <v>18</v>
      </c>
      <c r="J13680" s="40" t="str">
        <f>HYPERLINK("https://stock.pstatic.net/stock-research/company/21/20250327_company_529393000.pdf","PDF")</f>
        <v>PDF</v>
      </c>
      <c r="K13680" s="12" t="s">
        <v>26054</v>
      </c>
      <c r="L13680" s="20">
        <v>0.2204424103737605</v>
      </c>
    </row>
    <row r="13681" spans="1:12" x14ac:dyDescent="0.45">
      <c r="A13681" s="12" t="s">
        <v>26003</v>
      </c>
      <c r="B13681" s="12" t="s">
        <v>740</v>
      </c>
      <c r="C13681" s="13" t="s">
        <v>741</v>
      </c>
      <c r="D13681" s="13" t="s">
        <v>23</v>
      </c>
      <c r="E13681" s="12" t="s">
        <v>16</v>
      </c>
      <c r="F13681" s="14">
        <v>220000</v>
      </c>
      <c r="G13681" s="14">
        <v>174800</v>
      </c>
      <c r="H13681" s="13" t="s">
        <v>26055</v>
      </c>
      <c r="I13681" s="40" t="s">
        <v>18</v>
      </c>
      <c r="J13681" s="40" t="str">
        <f>HYPERLINK("https://stock.pstatic.net/stock-research/company/21/20250327_company_249316000.pdf","PDF")</f>
        <v>PDF</v>
      </c>
      <c r="K13681" s="12" t="s">
        <v>26056</v>
      </c>
      <c r="L13681" s="20">
        <v>0.2585812356979405</v>
      </c>
    </row>
    <row r="13682" spans="1:12" x14ac:dyDescent="0.45">
      <c r="A13682" s="12" t="s">
        <v>26003</v>
      </c>
      <c r="B13682" s="12" t="s">
        <v>1781</v>
      </c>
      <c r="C13682" s="13" t="s">
        <v>1782</v>
      </c>
      <c r="D13682" s="13" t="s">
        <v>23</v>
      </c>
      <c r="E13682" s="12" t="s">
        <v>16</v>
      </c>
      <c r="F13682" s="14">
        <v>120000</v>
      </c>
      <c r="G13682" s="14">
        <v>84800</v>
      </c>
      <c r="H13682" s="13" t="s">
        <v>26057</v>
      </c>
      <c r="I13682" s="40" t="s">
        <v>18</v>
      </c>
      <c r="J13682" s="40" t="str">
        <f>HYPERLINK("https://stock.pstatic.net/stock-research/company/21/20250327_company_179717000.pdf","PDF")</f>
        <v>PDF</v>
      </c>
      <c r="K13682" s="12" t="s">
        <v>26058</v>
      </c>
      <c r="L13682" s="20">
        <v>0.41509433962264147</v>
      </c>
    </row>
    <row r="13683" spans="1:12" x14ac:dyDescent="0.45">
      <c r="A13683" s="12" t="s">
        <v>26003</v>
      </c>
      <c r="B13683" s="12" t="s">
        <v>6347</v>
      </c>
      <c r="C13683" s="13" t="s">
        <v>6348</v>
      </c>
      <c r="D13683" s="13" t="s">
        <v>44</v>
      </c>
      <c r="E13683" s="12" t="s">
        <v>50</v>
      </c>
      <c r="F13683" s="13"/>
      <c r="G13683" s="14">
        <v>27700</v>
      </c>
      <c r="H13683" s="13" t="s">
        <v>26059</v>
      </c>
      <c r="I13683" s="40" t="s">
        <v>18</v>
      </c>
      <c r="J13683" s="40" t="str">
        <f>HYPERLINK("https://stock.pstatic.net/stock-research/company/39/20250327_company_739224000.pdf","PDF")</f>
        <v>PDF</v>
      </c>
      <c r="K13683" s="12" t="s">
        <v>26060</v>
      </c>
    </row>
    <row r="13684" spans="1:12" x14ac:dyDescent="0.45">
      <c r="A13684" s="12" t="s">
        <v>26061</v>
      </c>
      <c r="B13684" s="12" t="s">
        <v>577</v>
      </c>
      <c r="C13684" s="13" t="s">
        <v>578</v>
      </c>
      <c r="D13684" s="13" t="s">
        <v>276</v>
      </c>
      <c r="E13684" s="12" t="s">
        <v>16</v>
      </c>
      <c r="F13684" s="14">
        <v>360000</v>
      </c>
      <c r="G13684" s="14">
        <v>281500</v>
      </c>
      <c r="H13684" s="13" t="s">
        <v>26062</v>
      </c>
      <c r="I13684" s="40" t="s">
        <v>18</v>
      </c>
      <c r="J13684" s="40" t="str">
        <f>HYPERLINK("https://stock.pstatic.net/stock-research/company/66/20250326_company_757059000.pdf","PDF")</f>
        <v>PDF</v>
      </c>
      <c r="K13684" s="12" t="s">
        <v>26063</v>
      </c>
      <c r="L13684" s="20">
        <v>0.27886323268206042</v>
      </c>
    </row>
    <row r="13685" spans="1:12" x14ac:dyDescent="0.45">
      <c r="A13685" s="12" t="s">
        <v>26061</v>
      </c>
      <c r="B13685" s="12" t="s">
        <v>3478</v>
      </c>
      <c r="C13685" s="13" t="s">
        <v>3479</v>
      </c>
      <c r="D13685" s="13" t="s">
        <v>65</v>
      </c>
      <c r="E13685" s="12" t="s">
        <v>35</v>
      </c>
      <c r="F13685" s="14">
        <v>43000</v>
      </c>
      <c r="G13685" s="14">
        <v>27450</v>
      </c>
      <c r="H13685" s="13" t="s">
        <v>26064</v>
      </c>
      <c r="I13685" s="40" t="s">
        <v>18</v>
      </c>
      <c r="J13685" s="40" t="str">
        <f>HYPERLINK("https://stock.pstatic.net/stock-research/company/57/20250326_company_576709000.pdf","PDF")</f>
        <v>PDF</v>
      </c>
      <c r="K13685" s="12" t="s">
        <v>26065</v>
      </c>
      <c r="L13685" s="20">
        <v>0.56648451730418947</v>
      </c>
    </row>
    <row r="13686" spans="1:12" x14ac:dyDescent="0.45">
      <c r="A13686" s="12" t="s">
        <v>26061</v>
      </c>
      <c r="B13686" s="12" t="s">
        <v>150</v>
      </c>
      <c r="C13686" s="13" t="s">
        <v>151</v>
      </c>
      <c r="D13686" s="13" t="s">
        <v>65</v>
      </c>
      <c r="E13686" s="12" t="s">
        <v>35</v>
      </c>
      <c r="F13686" s="14">
        <v>35000</v>
      </c>
      <c r="G13686" s="14">
        <v>24350</v>
      </c>
      <c r="H13686" s="13" t="s">
        <v>26066</v>
      </c>
      <c r="I13686" s="40" t="s">
        <v>18</v>
      </c>
      <c r="J13686" s="40" t="str">
        <f>HYPERLINK("https://stock.pstatic.net/stock-research/company/57/20250326_company_548398000.pdf","PDF")</f>
        <v>PDF</v>
      </c>
      <c r="K13686" s="12" t="s">
        <v>26067</v>
      </c>
      <c r="L13686" s="20">
        <v>0.43737166324435323</v>
      </c>
    </row>
    <row r="13687" spans="1:12" x14ac:dyDescent="0.45">
      <c r="A13687" s="12" t="s">
        <v>26061</v>
      </c>
      <c r="B13687" s="12" t="s">
        <v>3280</v>
      </c>
      <c r="C13687" s="13" t="s">
        <v>3281</v>
      </c>
      <c r="D13687" s="13" t="s">
        <v>83</v>
      </c>
      <c r="E13687" s="12" t="s">
        <v>35</v>
      </c>
      <c r="F13687" s="14">
        <v>55000</v>
      </c>
      <c r="G13687" s="14">
        <v>41000</v>
      </c>
      <c r="H13687" s="13" t="s">
        <v>26068</v>
      </c>
      <c r="I13687" s="40" t="s">
        <v>18</v>
      </c>
      <c r="J13687" s="40" t="str">
        <f>HYPERLINK("https://stock.pstatic.net/stock-research/company/2/20250326_company_733325000.pdf","PDF")</f>
        <v>PDF</v>
      </c>
      <c r="K13687" s="12" t="s">
        <v>26069</v>
      </c>
      <c r="L13687" s="20">
        <v>0.34146341463414642</v>
      </c>
    </row>
    <row r="13688" spans="1:12" x14ac:dyDescent="0.45">
      <c r="A13688" s="12" t="s">
        <v>26061</v>
      </c>
      <c r="B13688" s="12" t="s">
        <v>495</v>
      </c>
      <c r="C13688" s="13" t="s">
        <v>496</v>
      </c>
      <c r="D13688" s="13" t="s">
        <v>57</v>
      </c>
      <c r="E13688" s="12" t="s">
        <v>35</v>
      </c>
      <c r="F13688" s="14">
        <v>90000</v>
      </c>
      <c r="G13688" s="14">
        <v>68800</v>
      </c>
      <c r="H13688" s="13" t="s">
        <v>26070</v>
      </c>
      <c r="I13688" s="40" t="s">
        <v>18</v>
      </c>
      <c r="J13688" s="40" t="str">
        <f>HYPERLINK("https://m.stock.naver.com/research/company/81602","PDF")</f>
        <v>PDF</v>
      </c>
      <c r="K13688" s="12" t="s">
        <v>26071</v>
      </c>
      <c r="L13688" s="20">
        <v>0.30813953488372092</v>
      </c>
    </row>
    <row r="13689" spans="1:12" x14ac:dyDescent="0.45">
      <c r="A13689" s="12" t="s">
        <v>26061</v>
      </c>
      <c r="B13689" s="12" t="s">
        <v>3478</v>
      </c>
      <c r="C13689" s="13" t="s">
        <v>3479</v>
      </c>
      <c r="D13689" s="13" t="s">
        <v>158</v>
      </c>
      <c r="E13689" s="12" t="s">
        <v>35</v>
      </c>
      <c r="F13689" s="14">
        <v>41000</v>
      </c>
      <c r="G13689" s="14">
        <v>27450</v>
      </c>
      <c r="H13689" s="13" t="s">
        <v>26072</v>
      </c>
      <c r="I13689" s="40" t="s">
        <v>18</v>
      </c>
      <c r="J13689" s="40" t="str">
        <f>HYPERLINK("https://stock.pstatic.net/stock-research/company/1/20250326_company_461203000.pdf","PDF")</f>
        <v>PDF</v>
      </c>
      <c r="K13689" s="12" t="s">
        <v>26073</v>
      </c>
      <c r="L13689" s="20">
        <v>0.49362477231329688</v>
      </c>
    </row>
    <row r="13690" spans="1:12" x14ac:dyDescent="0.45">
      <c r="A13690" s="12" t="s">
        <v>26061</v>
      </c>
      <c r="B13690" s="12" t="s">
        <v>2758</v>
      </c>
      <c r="C13690" s="13" t="s">
        <v>2759</v>
      </c>
      <c r="D13690" s="13" t="s">
        <v>158</v>
      </c>
      <c r="E13690" s="12" t="s">
        <v>35</v>
      </c>
      <c r="F13690" s="14">
        <v>440000</v>
      </c>
      <c r="G13690" s="14">
        <v>307500</v>
      </c>
      <c r="H13690" s="13" t="s">
        <v>26074</v>
      </c>
      <c r="I13690" s="40" t="s">
        <v>18</v>
      </c>
      <c r="J13690" s="40" t="str">
        <f>HYPERLINK("https://stock.pstatic.net/stock-research/company/18/20250326_company_971016000.pdf","PDF")</f>
        <v>PDF</v>
      </c>
      <c r="K13690" s="12" t="s">
        <v>26075</v>
      </c>
      <c r="L13690" s="20">
        <v>0.43089430894308939</v>
      </c>
    </row>
    <row r="13691" spans="1:12" x14ac:dyDescent="0.45">
      <c r="A13691" s="12" t="s">
        <v>26061</v>
      </c>
      <c r="B13691" s="12" t="s">
        <v>10648</v>
      </c>
      <c r="C13691" s="13" t="s">
        <v>10649</v>
      </c>
      <c r="D13691" s="13" t="s">
        <v>158</v>
      </c>
      <c r="E13691" s="12" t="s">
        <v>50</v>
      </c>
      <c r="F13691" s="13"/>
      <c r="G13691" s="14">
        <v>2515</v>
      </c>
      <c r="H13691" s="13" t="s">
        <v>26076</v>
      </c>
      <c r="I13691" s="40" t="s">
        <v>18</v>
      </c>
      <c r="J13691" s="40" t="str">
        <f>HYPERLINK("https://stock.pstatic.net/stock-research/company/18/20250326_company_505563000.pdf","PDF")</f>
        <v>PDF</v>
      </c>
      <c r="K13691" s="12" t="s">
        <v>26077</v>
      </c>
    </row>
    <row r="13692" spans="1:12" x14ac:dyDescent="0.45">
      <c r="A13692" s="12" t="s">
        <v>26061</v>
      </c>
      <c r="B13692" s="12" t="s">
        <v>649</v>
      </c>
      <c r="C13692" s="13" t="s">
        <v>650</v>
      </c>
      <c r="D13692" s="13" t="s">
        <v>23</v>
      </c>
      <c r="E13692" s="12" t="s">
        <v>16</v>
      </c>
      <c r="F13692" s="14">
        <v>5400</v>
      </c>
      <c r="G13692" s="14">
        <v>3760</v>
      </c>
      <c r="H13692" s="13" t="s">
        <v>26078</v>
      </c>
      <c r="I13692" s="40" t="s">
        <v>18</v>
      </c>
      <c r="J13692" s="40" t="str">
        <f>HYPERLINK("https://stock.pstatic.net/stock-research/company/21/20250326_company_58522000.pdf","PDF")</f>
        <v>PDF</v>
      </c>
      <c r="K13692" s="12" t="s">
        <v>26079</v>
      </c>
      <c r="L13692" s="20">
        <v>0.43617021276595752</v>
      </c>
    </row>
    <row r="13693" spans="1:12" x14ac:dyDescent="0.45">
      <c r="A13693" s="12" t="s">
        <v>26061</v>
      </c>
      <c r="B13693" s="12" t="s">
        <v>3478</v>
      </c>
      <c r="C13693" s="13" t="s">
        <v>3479</v>
      </c>
      <c r="D13693" s="13" t="s">
        <v>92</v>
      </c>
      <c r="E13693" s="12" t="s">
        <v>159</v>
      </c>
      <c r="F13693" s="14">
        <v>30000</v>
      </c>
      <c r="G13693" s="14">
        <v>27450</v>
      </c>
      <c r="H13693" s="13" t="s">
        <v>26080</v>
      </c>
      <c r="I13693" s="40" t="s">
        <v>18</v>
      </c>
      <c r="J13693" s="40" t="str">
        <f>HYPERLINK("https://stock.pstatic.net/stock-research/company/63/20250326_company_446058000.pdf","PDF")</f>
        <v>PDF</v>
      </c>
      <c r="K13693" s="12" t="s">
        <v>26081</v>
      </c>
      <c r="L13693" s="20">
        <v>9.2896174863387984E-2</v>
      </c>
    </row>
    <row r="13694" spans="1:12" x14ac:dyDescent="0.45">
      <c r="A13694" s="12" t="s">
        <v>26061</v>
      </c>
      <c r="B13694" s="12" t="s">
        <v>22878</v>
      </c>
      <c r="C13694" s="13" t="s">
        <v>22879</v>
      </c>
      <c r="D13694" s="13" t="s">
        <v>23</v>
      </c>
      <c r="E13694" s="12" t="s">
        <v>50</v>
      </c>
      <c r="F13694" s="13"/>
      <c r="G13694" s="14">
        <v>22100</v>
      </c>
      <c r="H13694" s="13" t="s">
        <v>26082</v>
      </c>
      <c r="I13694" s="40" t="s">
        <v>18</v>
      </c>
      <c r="J13694" s="40" t="str">
        <f>HYPERLINK("https://m.stock.naver.com/research/company/81596","PDF")</f>
        <v>PDF</v>
      </c>
      <c r="K13694" s="12" t="s">
        <v>26083</v>
      </c>
    </row>
    <row r="13695" spans="1:12" x14ac:dyDescent="0.45">
      <c r="A13695" s="12" t="s">
        <v>26061</v>
      </c>
      <c r="B13695" s="12" t="s">
        <v>561</v>
      </c>
      <c r="C13695" s="13" t="s">
        <v>562</v>
      </c>
      <c r="D13695" s="13" t="s">
        <v>179</v>
      </c>
      <c r="E13695" s="12" t="s">
        <v>50</v>
      </c>
      <c r="F13695" s="13"/>
      <c r="G13695" s="14">
        <v>9760</v>
      </c>
      <c r="H13695" s="13" t="s">
        <v>26084</v>
      </c>
      <c r="I13695" s="40" t="s">
        <v>18</v>
      </c>
      <c r="J13695" s="40" t="str">
        <f>HYPERLINK("https://stock.pstatic.net/stock-research/company/31/20250326_company_123314000.pdf","PDF")</f>
        <v>PDF</v>
      </c>
      <c r="K13695" s="12" t="s">
        <v>26085</v>
      </c>
    </row>
    <row r="13696" spans="1:12" x14ac:dyDescent="0.45">
      <c r="A13696" s="12" t="s">
        <v>26061</v>
      </c>
      <c r="B13696" s="12" t="s">
        <v>1407</v>
      </c>
      <c r="C13696" s="13" t="s">
        <v>1408</v>
      </c>
      <c r="D13696" s="13" t="s">
        <v>92</v>
      </c>
      <c r="E13696" s="12" t="s">
        <v>35</v>
      </c>
      <c r="F13696" s="14">
        <v>61000</v>
      </c>
      <c r="G13696" s="14">
        <v>36700</v>
      </c>
      <c r="H13696" s="13" t="s">
        <v>26086</v>
      </c>
      <c r="I13696" s="40" t="s">
        <v>18</v>
      </c>
      <c r="J13696" s="40" t="str">
        <f>HYPERLINK("https://stock.pstatic.net/stock-research/company/63/20250326_company_792470000.pdf","PDF")</f>
        <v>PDF</v>
      </c>
      <c r="K13696" s="12" t="s">
        <v>26087</v>
      </c>
      <c r="L13696" s="20">
        <v>0.66212534059945505</v>
      </c>
    </row>
    <row r="13697" spans="1:12" x14ac:dyDescent="0.45">
      <c r="A13697" s="12" t="s">
        <v>26061</v>
      </c>
      <c r="B13697" s="12" t="s">
        <v>4372</v>
      </c>
      <c r="C13697" s="13" t="s">
        <v>4373</v>
      </c>
      <c r="D13697" s="13" t="s">
        <v>44</v>
      </c>
      <c r="E13697" s="12" t="s">
        <v>50</v>
      </c>
      <c r="F13697" s="13"/>
      <c r="G13697" s="14">
        <v>11650</v>
      </c>
      <c r="H13697" s="13" t="s">
        <v>26088</v>
      </c>
      <c r="I13697" s="40" t="s">
        <v>18</v>
      </c>
      <c r="J13697" s="40" t="str">
        <f>HYPERLINK("https://stock.pstatic.net/stock-research/company/39/20250326_company_764953000.pdf","PDF")</f>
        <v>PDF</v>
      </c>
      <c r="K13697" s="12" t="s">
        <v>26089</v>
      </c>
    </row>
    <row r="13698" spans="1:12" x14ac:dyDescent="0.45">
      <c r="A13698" s="12" t="s">
        <v>26061</v>
      </c>
      <c r="B13698" s="12" t="s">
        <v>16623</v>
      </c>
      <c r="C13698" s="13" t="s">
        <v>16624</v>
      </c>
      <c r="D13698" s="13" t="s">
        <v>124</v>
      </c>
      <c r="E13698" s="12" t="s">
        <v>50</v>
      </c>
      <c r="F13698" s="13"/>
      <c r="G13698" s="13"/>
      <c r="H13698" s="13" t="s">
        <v>26090</v>
      </c>
      <c r="I13698" s="40" t="s">
        <v>18</v>
      </c>
      <c r="J13698" s="40" t="str">
        <f>HYPERLINK("https://m.stock.naver.com/research/company/81592","PDF")</f>
        <v>PDF</v>
      </c>
      <c r="K13698" s="12" t="s">
        <v>26091</v>
      </c>
    </row>
    <row r="13699" spans="1:12" x14ac:dyDescent="0.45">
      <c r="A13699" s="12" t="s">
        <v>26061</v>
      </c>
      <c r="B13699" s="12" t="s">
        <v>2032</v>
      </c>
      <c r="C13699" s="13" t="s">
        <v>2033</v>
      </c>
      <c r="D13699" s="13" t="s">
        <v>124</v>
      </c>
      <c r="E13699" s="12" t="s">
        <v>50</v>
      </c>
      <c r="F13699" s="13"/>
      <c r="G13699" s="13"/>
      <c r="H13699" s="13" t="s">
        <v>26092</v>
      </c>
      <c r="I13699" s="40" t="s">
        <v>18</v>
      </c>
      <c r="J13699" s="40" t="str">
        <f>HYPERLINK("https://m.stock.naver.com/research/company/81591","PDF")</f>
        <v>PDF</v>
      </c>
      <c r="K13699" s="12" t="s">
        <v>26093</v>
      </c>
    </row>
    <row r="13700" spans="1:12" x14ac:dyDescent="0.45">
      <c r="A13700" s="12" t="s">
        <v>26061</v>
      </c>
      <c r="B13700" s="12" t="s">
        <v>177</v>
      </c>
      <c r="C13700" s="13" t="s">
        <v>178</v>
      </c>
      <c r="D13700" s="13" t="s">
        <v>53</v>
      </c>
      <c r="E13700" s="12" t="s">
        <v>16</v>
      </c>
      <c r="F13700" s="14">
        <v>20000</v>
      </c>
      <c r="G13700" s="14">
        <v>9000</v>
      </c>
      <c r="H13700" s="13" t="s">
        <v>26094</v>
      </c>
      <c r="I13700" s="40" t="s">
        <v>18</v>
      </c>
      <c r="J13700" s="40" t="str">
        <f>HYPERLINK("https://stock.pstatic.net/stock-research/company/40/20250326_company_233638000.pdf","PDF")</f>
        <v>PDF</v>
      </c>
      <c r="K13700" s="12" t="s">
        <v>26095</v>
      </c>
      <c r="L13700" s="20">
        <v>1.2222222222222221</v>
      </c>
    </row>
    <row r="13701" spans="1:12" x14ac:dyDescent="0.45">
      <c r="A13701" s="12" t="s">
        <v>26061</v>
      </c>
      <c r="B13701" s="12" t="s">
        <v>1356</v>
      </c>
      <c r="C13701" s="13" t="s">
        <v>1357</v>
      </c>
      <c r="D13701" s="13" t="s">
        <v>53</v>
      </c>
      <c r="E13701" s="12" t="s">
        <v>16</v>
      </c>
      <c r="F13701" s="14">
        <v>25000</v>
      </c>
      <c r="G13701" s="14">
        <v>19770</v>
      </c>
      <c r="H13701" s="13" t="s">
        <v>13021</v>
      </c>
      <c r="I13701" s="40" t="s">
        <v>18</v>
      </c>
      <c r="J13701" s="40" t="str">
        <f>HYPERLINK("https://stock.pstatic.net/stock-research/company/40/20250326_company_618885000.pdf","PDF")</f>
        <v>PDF</v>
      </c>
      <c r="K13701" s="12" t="s">
        <v>26096</v>
      </c>
      <c r="L13701" s="20">
        <v>0.26454223571067281</v>
      </c>
    </row>
    <row r="13702" spans="1:12" x14ac:dyDescent="0.45">
      <c r="A13702" s="12" t="s">
        <v>26097</v>
      </c>
      <c r="B13702" s="12" t="s">
        <v>1437</v>
      </c>
      <c r="C13702" s="13" t="s">
        <v>1438</v>
      </c>
      <c r="D13702" s="13" t="s">
        <v>276</v>
      </c>
      <c r="E13702" s="12" t="s">
        <v>16</v>
      </c>
      <c r="F13702" s="14">
        <v>81000</v>
      </c>
      <c r="G13702" s="14">
        <v>63000</v>
      </c>
      <c r="H13702" s="13" t="s">
        <v>26098</v>
      </c>
      <c r="I13702" s="40" t="s">
        <v>18</v>
      </c>
      <c r="J13702" s="40" t="str">
        <f>HYPERLINK("https://stock.pstatic.net/stock-research/company/66/20250325_company_649936000.pdf","PDF")</f>
        <v>PDF</v>
      </c>
      <c r="K13702" s="12" t="s">
        <v>26099</v>
      </c>
      <c r="L13702" s="20">
        <v>0.2857142857142857</v>
      </c>
    </row>
    <row r="13703" spans="1:12" x14ac:dyDescent="0.45">
      <c r="A13703" s="12" t="s">
        <v>26097</v>
      </c>
      <c r="B13703" s="12" t="s">
        <v>1621</v>
      </c>
      <c r="C13703" s="13" t="s">
        <v>1622</v>
      </c>
      <c r="D13703" s="13" t="s">
        <v>276</v>
      </c>
      <c r="E13703" s="12" t="s">
        <v>50</v>
      </c>
      <c r="F13703" s="13"/>
      <c r="G13703" s="14">
        <v>8240</v>
      </c>
      <c r="H13703" s="13" t="s">
        <v>26100</v>
      </c>
      <c r="I13703" s="40" t="s">
        <v>18</v>
      </c>
      <c r="J13703" s="40" t="str">
        <f>HYPERLINK("https://stock.pstatic.net/stock-research/company/66/20250325_company_910926000.pdf","PDF")</f>
        <v>PDF</v>
      </c>
      <c r="K13703" s="12" t="s">
        <v>26101</v>
      </c>
    </row>
    <row r="13704" spans="1:12" x14ac:dyDescent="0.45">
      <c r="A13704" s="12" t="s">
        <v>26097</v>
      </c>
      <c r="B13704" s="12" t="s">
        <v>1556</v>
      </c>
      <c r="C13704" s="13" t="s">
        <v>1557</v>
      </c>
      <c r="D13704" s="13" t="s">
        <v>276</v>
      </c>
      <c r="E13704" s="12" t="s">
        <v>16</v>
      </c>
      <c r="F13704" s="14">
        <v>24000</v>
      </c>
      <c r="G13704" s="14">
        <v>14160</v>
      </c>
      <c r="H13704" s="13" t="s">
        <v>26102</v>
      </c>
      <c r="I13704" s="40" t="s">
        <v>18</v>
      </c>
      <c r="J13704" s="40" t="str">
        <f>HYPERLINK("https://stock.pstatic.net/stock-research/company/66/20250325_company_612658000.pdf","PDF")</f>
        <v>PDF</v>
      </c>
      <c r="K13704" s="12" t="s">
        <v>26103</v>
      </c>
      <c r="L13704" s="20">
        <v>0.69491525423728817</v>
      </c>
    </row>
    <row r="13705" spans="1:12" x14ac:dyDescent="0.45">
      <c r="A13705" s="12" t="s">
        <v>26097</v>
      </c>
      <c r="B13705" s="12" t="s">
        <v>18978</v>
      </c>
      <c r="C13705" s="13" t="s">
        <v>18979</v>
      </c>
      <c r="D13705" s="13" t="s">
        <v>276</v>
      </c>
      <c r="E13705" s="12" t="s">
        <v>16</v>
      </c>
      <c r="F13705" s="14">
        <v>8500</v>
      </c>
      <c r="G13705" s="14">
        <v>6420</v>
      </c>
      <c r="H13705" s="13" t="s">
        <v>26104</v>
      </c>
      <c r="I13705" s="40" t="s">
        <v>18</v>
      </c>
      <c r="J13705" s="40" t="str">
        <f>HYPERLINK("https://stock.pstatic.net/stock-research/company/66/20250325_company_864124000.pdf","PDF")</f>
        <v>PDF</v>
      </c>
      <c r="K13705" s="12" t="s">
        <v>26105</v>
      </c>
      <c r="L13705" s="20">
        <v>0.32398753894080989</v>
      </c>
    </row>
    <row r="13706" spans="1:12" x14ac:dyDescent="0.45">
      <c r="A13706" s="12" t="s">
        <v>26097</v>
      </c>
      <c r="B13706" s="12" t="s">
        <v>1940</v>
      </c>
      <c r="C13706" s="13" t="s">
        <v>1941</v>
      </c>
      <c r="D13706" s="13" t="s">
        <v>276</v>
      </c>
      <c r="E13706" s="12" t="s">
        <v>16</v>
      </c>
      <c r="F13706" s="14">
        <v>16500</v>
      </c>
      <c r="G13706" s="14">
        <v>11570</v>
      </c>
      <c r="H13706" s="13" t="s">
        <v>26106</v>
      </c>
      <c r="I13706" s="40" t="s">
        <v>18</v>
      </c>
      <c r="J13706" s="40" t="str">
        <f>HYPERLINK("https://stock.pstatic.net/stock-research/company/66/20250325_company_994459000.pdf","PDF")</f>
        <v>PDF</v>
      </c>
      <c r="K13706" s="12" t="s">
        <v>26107</v>
      </c>
      <c r="L13706" s="20">
        <v>0.42610198789974069</v>
      </c>
    </row>
    <row r="13707" spans="1:12" x14ac:dyDescent="0.45">
      <c r="A13707" s="12" t="s">
        <v>26097</v>
      </c>
      <c r="B13707" s="12" t="s">
        <v>1467</v>
      </c>
      <c r="C13707" s="13" t="s">
        <v>1468</v>
      </c>
      <c r="D13707" s="13" t="s">
        <v>276</v>
      </c>
      <c r="E13707" s="12" t="s">
        <v>16</v>
      </c>
      <c r="F13707" s="14">
        <v>6500</v>
      </c>
      <c r="G13707" s="14">
        <v>4900</v>
      </c>
      <c r="H13707" s="13" t="s">
        <v>26108</v>
      </c>
      <c r="I13707" s="40" t="s">
        <v>18</v>
      </c>
      <c r="J13707" s="40" t="str">
        <f>HYPERLINK("https://stock.pstatic.net/stock-research/company/66/20250325_company_205344000.pdf","PDF")</f>
        <v>PDF</v>
      </c>
      <c r="K13707" s="12" t="s">
        <v>26109</v>
      </c>
      <c r="L13707" s="20">
        <v>0.32653061224489788</v>
      </c>
    </row>
    <row r="13708" spans="1:12" x14ac:dyDescent="0.45">
      <c r="A13708" s="12" t="s">
        <v>26097</v>
      </c>
      <c r="B13708" s="12" t="s">
        <v>12184</v>
      </c>
      <c r="C13708" s="13" t="s">
        <v>12185</v>
      </c>
      <c r="D13708" s="13" t="s">
        <v>65</v>
      </c>
      <c r="E13708" s="12" t="s">
        <v>50</v>
      </c>
      <c r="F13708" s="13"/>
      <c r="G13708" s="14">
        <v>10560</v>
      </c>
      <c r="H13708" s="13" t="s">
        <v>26110</v>
      </c>
      <c r="I13708" s="40" t="s">
        <v>18</v>
      </c>
      <c r="J13708" s="40" t="str">
        <f>HYPERLINK("https://stock.pstatic.net/stock-research/company/16/20250325_company_125337000.pdf","PDF")</f>
        <v>PDF</v>
      </c>
      <c r="K13708" s="12" t="s">
        <v>26111</v>
      </c>
    </row>
    <row r="13709" spans="1:12" x14ac:dyDescent="0.45">
      <c r="A13709" s="12" t="s">
        <v>26097</v>
      </c>
      <c r="B13709" s="12" t="s">
        <v>4864</v>
      </c>
      <c r="C13709" s="13" t="s">
        <v>4865</v>
      </c>
      <c r="D13709" s="13" t="s">
        <v>57</v>
      </c>
      <c r="E13709" s="12" t="s">
        <v>35</v>
      </c>
      <c r="F13709" s="14">
        <v>60000</v>
      </c>
      <c r="G13709" s="14">
        <v>42200</v>
      </c>
      <c r="H13709" s="13" t="s">
        <v>26112</v>
      </c>
      <c r="I13709" s="40" t="s">
        <v>18</v>
      </c>
      <c r="J13709" s="40" t="str">
        <f>HYPERLINK("https://m.stock.naver.com/research/company/81581","PDF")</f>
        <v>PDF</v>
      </c>
      <c r="K13709" s="12" t="s">
        <v>26113</v>
      </c>
      <c r="L13709" s="20">
        <v>0.4218009478672986</v>
      </c>
    </row>
    <row r="13710" spans="1:12" x14ac:dyDescent="0.45">
      <c r="A13710" s="12" t="s">
        <v>26097</v>
      </c>
      <c r="B13710" s="12" t="s">
        <v>26114</v>
      </c>
      <c r="C13710" s="13" t="s">
        <v>26115</v>
      </c>
      <c r="D13710" s="13" t="s">
        <v>15</v>
      </c>
      <c r="E13710" s="12" t="s">
        <v>50</v>
      </c>
      <c r="F13710" s="14">
        <v>50000</v>
      </c>
      <c r="G13710" s="14">
        <v>43150</v>
      </c>
      <c r="H13710" s="13" t="s">
        <v>26116</v>
      </c>
      <c r="I13710" s="40" t="s">
        <v>18</v>
      </c>
      <c r="J13710" s="40" t="str">
        <f>HYPERLINK("https://stock.pstatic.net/stock-research/company/29/20250325_company_399647000.pdf","PDF")</f>
        <v>PDF</v>
      </c>
      <c r="K13710" s="12" t="s">
        <v>26117</v>
      </c>
      <c r="L13710" s="20">
        <v>0.15874855156431061</v>
      </c>
    </row>
    <row r="13711" spans="1:12" x14ac:dyDescent="0.45">
      <c r="A13711" s="12" t="s">
        <v>26097</v>
      </c>
      <c r="B13711" s="12" t="s">
        <v>2199</v>
      </c>
      <c r="C13711" s="13" t="s">
        <v>2200</v>
      </c>
      <c r="D13711" s="13" t="s">
        <v>179</v>
      </c>
      <c r="E13711" s="12" t="s">
        <v>16</v>
      </c>
      <c r="F13711" s="14">
        <v>49000</v>
      </c>
      <c r="G13711" s="14">
        <v>29350</v>
      </c>
      <c r="H13711" s="13" t="s">
        <v>26118</v>
      </c>
      <c r="I13711" s="40" t="s">
        <v>18</v>
      </c>
      <c r="J13711" s="40" t="str">
        <f>HYPERLINK("https://m.stock.naver.com/research/company/81579","PDF")</f>
        <v>PDF</v>
      </c>
      <c r="K13711" s="12" t="s">
        <v>26119</v>
      </c>
      <c r="L13711" s="20">
        <v>0.66950596252129468</v>
      </c>
    </row>
    <row r="13712" spans="1:12" x14ac:dyDescent="0.45">
      <c r="A13712" s="12" t="s">
        <v>26097</v>
      </c>
      <c r="B13712" s="12" t="s">
        <v>1666</v>
      </c>
      <c r="C13712" s="13" t="s">
        <v>1667</v>
      </c>
      <c r="D13712" s="13" t="s">
        <v>23</v>
      </c>
      <c r="E13712" s="12" t="s">
        <v>16</v>
      </c>
      <c r="F13712" s="14">
        <v>83000</v>
      </c>
      <c r="G13712" s="14">
        <v>40050</v>
      </c>
      <c r="H13712" s="13" t="s">
        <v>26120</v>
      </c>
      <c r="I13712" s="40" t="s">
        <v>18</v>
      </c>
      <c r="J13712" s="40" t="str">
        <f>HYPERLINK("https://m.stock.naver.com/research/company/81578","PDF")</f>
        <v>PDF</v>
      </c>
      <c r="K13712" s="12" t="s">
        <v>26121</v>
      </c>
      <c r="L13712" s="20">
        <v>1.072409488139825</v>
      </c>
    </row>
    <row r="13713" spans="1:12" x14ac:dyDescent="0.45">
      <c r="A13713" s="12" t="s">
        <v>26097</v>
      </c>
      <c r="B13713" s="12" t="s">
        <v>1065</v>
      </c>
      <c r="C13713" s="13" t="s">
        <v>1066</v>
      </c>
      <c r="D13713" s="13" t="s">
        <v>53</v>
      </c>
      <c r="E13713" s="12" t="s">
        <v>16</v>
      </c>
      <c r="F13713" s="14">
        <v>120000</v>
      </c>
      <c r="G13713" s="14">
        <v>89100</v>
      </c>
      <c r="H13713" s="13" t="s">
        <v>26122</v>
      </c>
      <c r="I13713" s="40" t="s">
        <v>18</v>
      </c>
      <c r="J13713" s="40" t="str">
        <f>HYPERLINK("https://m.stock.naver.com/research/company/81577","PDF")</f>
        <v>PDF</v>
      </c>
      <c r="K13713" s="12" t="s">
        <v>26123</v>
      </c>
      <c r="L13713" s="20">
        <v>0.34680134680134678</v>
      </c>
    </row>
    <row r="13714" spans="1:12" x14ac:dyDescent="0.45">
      <c r="A13714" s="12" t="s">
        <v>26097</v>
      </c>
      <c r="B13714" s="12" t="s">
        <v>888</v>
      </c>
      <c r="C13714" s="13" t="s">
        <v>889</v>
      </c>
      <c r="D13714" s="13" t="s">
        <v>23</v>
      </c>
      <c r="E13714" s="12" t="s">
        <v>16</v>
      </c>
      <c r="F13714" s="14">
        <v>74000</v>
      </c>
      <c r="G13714" s="14">
        <v>50700</v>
      </c>
      <c r="H13714" s="13" t="s">
        <v>26124</v>
      </c>
      <c r="I13714" s="40" t="s">
        <v>18</v>
      </c>
      <c r="J13714" s="40" t="str">
        <f>HYPERLINK("https://m.stock.naver.com/research/company/81576","PDF")</f>
        <v>PDF</v>
      </c>
      <c r="K13714" s="12" t="s">
        <v>26125</v>
      </c>
      <c r="L13714" s="20">
        <v>0.45956607495069041</v>
      </c>
    </row>
    <row r="13715" spans="1:12" x14ac:dyDescent="0.45">
      <c r="A13715" s="12" t="s">
        <v>26097</v>
      </c>
      <c r="B13715" s="12" t="s">
        <v>22058</v>
      </c>
      <c r="C13715" s="13" t="s">
        <v>22059</v>
      </c>
      <c r="D13715" s="13" t="s">
        <v>179</v>
      </c>
      <c r="E13715" s="12" t="s">
        <v>50</v>
      </c>
      <c r="F13715" s="13"/>
      <c r="G13715" s="14">
        <v>64600</v>
      </c>
      <c r="H13715" s="13" t="s">
        <v>26126</v>
      </c>
      <c r="I13715" s="40" t="s">
        <v>18</v>
      </c>
      <c r="J13715" s="40" t="str">
        <f>HYPERLINK("https://m.stock.naver.com/research/company/81575","PDF")</f>
        <v>PDF</v>
      </c>
      <c r="K13715" s="12" t="s">
        <v>26127</v>
      </c>
    </row>
    <row r="13716" spans="1:12" x14ac:dyDescent="0.45">
      <c r="A13716" s="12" t="s">
        <v>26097</v>
      </c>
      <c r="B13716" s="12" t="s">
        <v>1389</v>
      </c>
      <c r="C13716" s="13" t="s">
        <v>1390</v>
      </c>
      <c r="D13716" s="13" t="s">
        <v>92</v>
      </c>
      <c r="E13716" s="12" t="s">
        <v>35</v>
      </c>
      <c r="F13716" s="14">
        <v>22000</v>
      </c>
      <c r="G13716" s="14">
        <v>14130</v>
      </c>
      <c r="H13716" s="13" t="s">
        <v>26128</v>
      </c>
      <c r="I13716" s="40" t="s">
        <v>18</v>
      </c>
      <c r="J13716" s="40" t="str">
        <f>HYPERLINK("https://m.stock.naver.com/research/company/81574","PDF")</f>
        <v>PDF</v>
      </c>
      <c r="K13716" s="12" t="s">
        <v>26129</v>
      </c>
      <c r="L13716" s="20">
        <v>0.55697098372257603</v>
      </c>
    </row>
    <row r="13717" spans="1:12" x14ac:dyDescent="0.45">
      <c r="A13717" s="12" t="s">
        <v>26097</v>
      </c>
      <c r="B13717" s="12" t="s">
        <v>2488</v>
      </c>
      <c r="C13717" s="13" t="s">
        <v>2489</v>
      </c>
      <c r="D13717" s="13" t="s">
        <v>179</v>
      </c>
      <c r="E13717" s="12" t="s">
        <v>16</v>
      </c>
      <c r="F13717" s="14">
        <v>43000</v>
      </c>
      <c r="G13717" s="14">
        <v>27850</v>
      </c>
      <c r="H13717" s="13" t="s">
        <v>26130</v>
      </c>
      <c r="I13717" s="40" t="s">
        <v>18</v>
      </c>
      <c r="J13717" s="40" t="str">
        <f>HYPERLINK("https://m.stock.naver.com/research/company/81573","PDF")</f>
        <v>PDF</v>
      </c>
      <c r="K13717" s="12" t="s">
        <v>26131</v>
      </c>
      <c r="L13717" s="20">
        <v>0.54398563734290839</v>
      </c>
    </row>
    <row r="13718" spans="1:12" x14ac:dyDescent="0.45">
      <c r="A13718" s="12" t="s">
        <v>26097</v>
      </c>
      <c r="B13718" s="12" t="s">
        <v>434</v>
      </c>
      <c r="C13718" s="13" t="s">
        <v>435</v>
      </c>
      <c r="D13718" s="13" t="s">
        <v>23</v>
      </c>
      <c r="E13718" s="12" t="s">
        <v>16</v>
      </c>
      <c r="F13718" s="14">
        <v>163000</v>
      </c>
      <c r="G13718" s="14">
        <v>108700</v>
      </c>
      <c r="H13718" s="13" t="s">
        <v>26132</v>
      </c>
      <c r="I13718" s="40" t="s">
        <v>18</v>
      </c>
      <c r="J13718" s="40" t="str">
        <f>HYPERLINK("https://m.stock.naver.com/research/company/81572","PDF")</f>
        <v>PDF</v>
      </c>
      <c r="K13718" s="12" t="s">
        <v>26133</v>
      </c>
      <c r="L13718" s="20">
        <v>0.49954001839926399</v>
      </c>
    </row>
    <row r="13719" spans="1:12" x14ac:dyDescent="0.45">
      <c r="A13719" s="12" t="s">
        <v>26097</v>
      </c>
      <c r="B13719" s="12" t="s">
        <v>3123</v>
      </c>
      <c r="C13719" s="13" t="s">
        <v>3124</v>
      </c>
      <c r="D13719" s="13" t="s">
        <v>179</v>
      </c>
      <c r="E13719" s="12" t="s">
        <v>16</v>
      </c>
      <c r="F13719" s="14">
        <v>32000</v>
      </c>
      <c r="G13719" s="14">
        <v>23600</v>
      </c>
      <c r="H13719" s="13" t="s">
        <v>26134</v>
      </c>
      <c r="I13719" s="40" t="s">
        <v>18</v>
      </c>
      <c r="J13719" s="40" t="str">
        <f>HYPERLINK("https://m.stock.naver.com/research/company/81571","PDF")</f>
        <v>PDF</v>
      </c>
      <c r="K13719" s="12" t="s">
        <v>26135</v>
      </c>
      <c r="L13719" s="20">
        <v>0.3559322033898305</v>
      </c>
    </row>
    <row r="13720" spans="1:12" x14ac:dyDescent="0.45">
      <c r="A13720" s="12" t="s">
        <v>26097</v>
      </c>
      <c r="B13720" s="12" t="s">
        <v>3087</v>
      </c>
      <c r="C13720" s="13" t="s">
        <v>3088</v>
      </c>
      <c r="D13720" s="13" t="s">
        <v>179</v>
      </c>
      <c r="E13720" s="12" t="s">
        <v>16</v>
      </c>
      <c r="F13720" s="14">
        <v>192000</v>
      </c>
      <c r="G13720" s="14">
        <v>140700</v>
      </c>
      <c r="H13720" s="13" t="s">
        <v>26136</v>
      </c>
      <c r="I13720" s="40" t="s">
        <v>18</v>
      </c>
      <c r="J13720" s="40" t="str">
        <f>HYPERLINK("https://m.stock.naver.com/research/company/81570","PDF")</f>
        <v>PDF</v>
      </c>
      <c r="K13720" s="12" t="s">
        <v>26137</v>
      </c>
      <c r="L13720" s="20">
        <v>0.3646055437100213</v>
      </c>
    </row>
    <row r="13721" spans="1:12" x14ac:dyDescent="0.45">
      <c r="A13721" s="12" t="s">
        <v>26097</v>
      </c>
      <c r="B13721" s="12" t="s">
        <v>1407</v>
      </c>
      <c r="C13721" s="13" t="s">
        <v>1408</v>
      </c>
      <c r="D13721" s="13" t="s">
        <v>124</v>
      </c>
      <c r="E13721" s="12" t="s">
        <v>50</v>
      </c>
      <c r="F13721" s="13"/>
      <c r="G13721" s="13"/>
      <c r="H13721" s="13" t="s">
        <v>26138</v>
      </c>
      <c r="I13721" s="40" t="s">
        <v>18</v>
      </c>
      <c r="J13721" s="40" t="str">
        <f>HYPERLINK("https://stock.pstatic.net/stock-research/company/1/20250325_company_10019000.pdf","PDF")</f>
        <v>PDF</v>
      </c>
      <c r="K13721" s="12" t="s">
        <v>26139</v>
      </c>
    </row>
    <row r="13722" spans="1:12" x14ac:dyDescent="0.45">
      <c r="A13722" s="12" t="s">
        <v>26097</v>
      </c>
      <c r="B13722" s="12" t="s">
        <v>22333</v>
      </c>
      <c r="C13722" s="13" t="s">
        <v>22334</v>
      </c>
      <c r="D13722" s="13" t="s">
        <v>53</v>
      </c>
      <c r="E13722" s="12" t="s">
        <v>16</v>
      </c>
      <c r="F13722" s="14">
        <v>74000</v>
      </c>
      <c r="G13722" s="14">
        <v>57500</v>
      </c>
      <c r="H13722" s="13" t="s">
        <v>26140</v>
      </c>
      <c r="I13722" s="40" t="s">
        <v>18</v>
      </c>
      <c r="J13722" s="40" t="str">
        <f>HYPERLINK("https://stock.pstatic.net/stock-research/company/40/20250325_company_891360000.pdf","PDF")</f>
        <v>PDF</v>
      </c>
      <c r="K13722" s="12" t="s">
        <v>26141</v>
      </c>
      <c r="L13722" s="20">
        <v>0.28695652173913039</v>
      </c>
    </row>
    <row r="13723" spans="1:12" x14ac:dyDescent="0.45">
      <c r="A13723" s="12" t="s">
        <v>26142</v>
      </c>
      <c r="B13723" s="12" t="s">
        <v>146</v>
      </c>
      <c r="C13723" s="13" t="s">
        <v>147</v>
      </c>
      <c r="D13723" s="13" t="s">
        <v>276</v>
      </c>
      <c r="E13723" s="12" t="s">
        <v>16</v>
      </c>
      <c r="F13723" s="14">
        <v>29000</v>
      </c>
      <c r="G13723" s="14">
        <v>21350</v>
      </c>
      <c r="H13723" s="13" t="s">
        <v>26143</v>
      </c>
      <c r="I13723" s="40" t="s">
        <v>18</v>
      </c>
      <c r="J13723" s="40" t="str">
        <f>HYPERLINK("https://stock.pstatic.net/stock-research/company/1/20250324_company_282202000.pdf","PDF")</f>
        <v>PDF</v>
      </c>
      <c r="K13723" s="12" t="s">
        <v>26144</v>
      </c>
      <c r="L13723" s="20">
        <v>0.35831381733021078</v>
      </c>
    </row>
    <row r="13724" spans="1:12" x14ac:dyDescent="0.45">
      <c r="A13724" s="12" t="s">
        <v>26142</v>
      </c>
      <c r="B13724" s="12" t="s">
        <v>4642</v>
      </c>
      <c r="C13724" s="13" t="s">
        <v>4643</v>
      </c>
      <c r="D13724" s="13" t="s">
        <v>65</v>
      </c>
      <c r="E13724" s="12" t="s">
        <v>35</v>
      </c>
      <c r="F13724" s="14">
        <v>33000</v>
      </c>
      <c r="G13724" s="14">
        <v>22400</v>
      </c>
      <c r="H13724" s="13" t="s">
        <v>26145</v>
      </c>
      <c r="I13724" s="40" t="s">
        <v>18</v>
      </c>
      <c r="J13724" s="40" t="str">
        <f>HYPERLINK("https://stock.pstatic.net/stock-research/company/57/20250324_company_693823000.pdf","PDF")</f>
        <v>PDF</v>
      </c>
      <c r="K13724" s="12" t="s">
        <v>26146</v>
      </c>
      <c r="L13724" s="20">
        <v>0.4732142857142857</v>
      </c>
    </row>
    <row r="13725" spans="1:12" x14ac:dyDescent="0.45">
      <c r="A13725" s="12" t="s">
        <v>26142</v>
      </c>
      <c r="B13725" s="12" t="s">
        <v>1930</v>
      </c>
      <c r="C13725" s="13" t="s">
        <v>1931</v>
      </c>
      <c r="D13725" s="13" t="s">
        <v>65</v>
      </c>
      <c r="E13725" s="12" t="s">
        <v>35</v>
      </c>
      <c r="F13725" s="14">
        <v>420000</v>
      </c>
      <c r="G13725" s="14">
        <v>268500</v>
      </c>
      <c r="H13725" s="13" t="s">
        <v>26147</v>
      </c>
      <c r="I13725" s="40" t="s">
        <v>18</v>
      </c>
      <c r="J13725" s="40" t="str">
        <f>HYPERLINK("https://stock.pstatic.net/stock-research/company/57/20250324_company_331909000.pdf","PDF")</f>
        <v>PDF</v>
      </c>
      <c r="K13725" s="12" t="s">
        <v>26148</v>
      </c>
      <c r="L13725" s="20">
        <v>0.56424581005586594</v>
      </c>
    </row>
    <row r="13726" spans="1:12" x14ac:dyDescent="0.45">
      <c r="A13726" s="12" t="s">
        <v>26142</v>
      </c>
      <c r="B13726" s="12" t="s">
        <v>824</v>
      </c>
      <c r="C13726" s="13" t="s">
        <v>25522</v>
      </c>
      <c r="D13726" s="13" t="s">
        <v>57</v>
      </c>
      <c r="E13726" s="12" t="s">
        <v>35</v>
      </c>
      <c r="F13726" s="14">
        <v>63000</v>
      </c>
      <c r="G13726" s="14">
        <v>39400</v>
      </c>
      <c r="H13726" s="13" t="s">
        <v>26149</v>
      </c>
      <c r="I13726" s="40" t="s">
        <v>18</v>
      </c>
      <c r="J13726" s="40" t="str">
        <f>HYPERLINK("https://stock.pstatic.net/stock-research/company/16/20250324_company_873754000.pdf","PDF")</f>
        <v>PDF</v>
      </c>
      <c r="K13726" s="12" t="s">
        <v>26150</v>
      </c>
      <c r="L13726" s="20">
        <v>0.59898477157360408</v>
      </c>
    </row>
    <row r="13727" spans="1:12" x14ac:dyDescent="0.45">
      <c r="A13727" s="12" t="s">
        <v>26142</v>
      </c>
      <c r="B13727" s="12" t="s">
        <v>352</v>
      </c>
      <c r="C13727" s="13" t="s">
        <v>353</v>
      </c>
      <c r="D13727" s="13" t="s">
        <v>57</v>
      </c>
      <c r="E13727" s="12" t="s">
        <v>35</v>
      </c>
      <c r="F13727" s="14">
        <v>135000</v>
      </c>
      <c r="G13727" s="14">
        <v>111500</v>
      </c>
      <c r="H13727" s="13" t="s">
        <v>26151</v>
      </c>
      <c r="I13727" s="40" t="s">
        <v>18</v>
      </c>
      <c r="J13727" s="40" t="str">
        <f>HYPERLINK("https://stock.pstatic.net/stock-research/company/16/20250324_company_559881000.pdf","PDF")</f>
        <v>PDF</v>
      </c>
      <c r="K13727" s="12" t="s">
        <v>26152</v>
      </c>
      <c r="L13727" s="20">
        <v>0.21076233183856499</v>
      </c>
    </row>
    <row r="13728" spans="1:12" x14ac:dyDescent="0.45">
      <c r="A13728" s="12" t="s">
        <v>26142</v>
      </c>
      <c r="B13728" s="12" t="s">
        <v>1208</v>
      </c>
      <c r="C13728" s="13" t="s">
        <v>1209</v>
      </c>
      <c r="D13728" s="13" t="s">
        <v>57</v>
      </c>
      <c r="E13728" s="12" t="s">
        <v>35</v>
      </c>
      <c r="F13728" s="14">
        <v>81000</v>
      </c>
      <c r="G13728" s="14">
        <v>53700</v>
      </c>
      <c r="H13728" s="13" t="s">
        <v>26153</v>
      </c>
      <c r="I13728" s="40" t="s">
        <v>18</v>
      </c>
      <c r="J13728" s="40" t="str">
        <f>HYPERLINK("https://stock.pstatic.net/stock-research/company/16/20250324_company_579063000.pdf","PDF")</f>
        <v>PDF</v>
      </c>
      <c r="K13728" s="12" t="s">
        <v>26154</v>
      </c>
      <c r="L13728" s="20">
        <v>0.50837988826815639</v>
      </c>
    </row>
    <row r="13729" spans="1:12" x14ac:dyDescent="0.45">
      <c r="A13729" s="12" t="s">
        <v>26142</v>
      </c>
      <c r="B13729" s="12" t="s">
        <v>370</v>
      </c>
      <c r="C13729" s="13" t="s">
        <v>371</v>
      </c>
      <c r="D13729" s="13" t="s">
        <v>83</v>
      </c>
      <c r="E13729" s="12" t="s">
        <v>35</v>
      </c>
      <c r="F13729" s="14">
        <v>80000</v>
      </c>
      <c r="G13729" s="14">
        <v>61500</v>
      </c>
      <c r="H13729" s="13" t="s">
        <v>26155</v>
      </c>
      <c r="I13729" s="40" t="s">
        <v>18</v>
      </c>
      <c r="J13729" s="40" t="str">
        <f>HYPERLINK("https://stock.pstatic.net/stock-research/company/2/20250324_company_476855000.pdf","PDF")</f>
        <v>PDF</v>
      </c>
      <c r="K13729" s="12" t="s">
        <v>26156</v>
      </c>
      <c r="L13729" s="20">
        <v>0.30081300813008133</v>
      </c>
    </row>
    <row r="13730" spans="1:12" x14ac:dyDescent="0.45">
      <c r="A13730" s="12" t="s">
        <v>26142</v>
      </c>
      <c r="B13730" s="12" t="s">
        <v>824</v>
      </c>
      <c r="C13730" s="13" t="s">
        <v>25522</v>
      </c>
      <c r="D13730" s="13" t="s">
        <v>83</v>
      </c>
      <c r="E13730" s="12" t="s">
        <v>35</v>
      </c>
      <c r="F13730" s="14">
        <v>52000</v>
      </c>
      <c r="G13730" s="14">
        <v>39400</v>
      </c>
      <c r="H13730" s="13" t="s">
        <v>26157</v>
      </c>
      <c r="I13730" s="40" t="s">
        <v>18</v>
      </c>
      <c r="J13730" s="40" t="str">
        <f>HYPERLINK("https://stock.pstatic.net/stock-research/company/2/20250324_company_507814000.pdf","PDF")</f>
        <v>PDF</v>
      </c>
      <c r="K13730" s="12" t="s">
        <v>26158</v>
      </c>
      <c r="L13730" s="20">
        <v>0.31979695431472083</v>
      </c>
    </row>
    <row r="13731" spans="1:12" x14ac:dyDescent="0.45">
      <c r="A13731" s="12" t="s">
        <v>26142</v>
      </c>
      <c r="B13731" s="12" t="s">
        <v>1328</v>
      </c>
      <c r="C13731" s="13" t="s">
        <v>1329</v>
      </c>
      <c r="D13731" s="13" t="s">
        <v>15</v>
      </c>
      <c r="E13731" s="12" t="s">
        <v>16</v>
      </c>
      <c r="F13731" s="14">
        <v>10000</v>
      </c>
      <c r="G13731" s="14">
        <v>8110</v>
      </c>
      <c r="H13731" s="13" t="s">
        <v>26159</v>
      </c>
      <c r="I13731" s="40" t="s">
        <v>18</v>
      </c>
      <c r="J13731" s="40" t="str">
        <f>HYPERLINK("https://stock.pstatic.net/stock-research/company/29/20250324_company_459525000.pdf","PDF")</f>
        <v>PDF</v>
      </c>
      <c r="K13731" s="12" t="s">
        <v>26160</v>
      </c>
      <c r="L13731" s="20">
        <v>0.23304562268803949</v>
      </c>
    </row>
    <row r="13732" spans="1:12" x14ac:dyDescent="0.45">
      <c r="A13732" s="12" t="s">
        <v>26142</v>
      </c>
      <c r="B13732" s="12" t="s">
        <v>824</v>
      </c>
      <c r="C13732" s="13" t="s">
        <v>25522</v>
      </c>
      <c r="D13732" s="13" t="s">
        <v>92</v>
      </c>
      <c r="E13732" s="12" t="s">
        <v>35</v>
      </c>
      <c r="F13732" s="14">
        <v>58000</v>
      </c>
      <c r="G13732" s="14">
        <v>39400</v>
      </c>
      <c r="H13732" s="13" t="s">
        <v>26161</v>
      </c>
      <c r="I13732" s="40" t="s">
        <v>18</v>
      </c>
      <c r="J13732" s="40" t="str">
        <f>HYPERLINK("https://stock.pstatic.net/stock-research/company/63/20250324_company_621616000.pdf","PDF")</f>
        <v>PDF</v>
      </c>
      <c r="K13732" s="12" t="s">
        <v>26162</v>
      </c>
      <c r="L13732" s="20">
        <v>0.4720812182741117</v>
      </c>
    </row>
    <row r="13733" spans="1:12" x14ac:dyDescent="0.45">
      <c r="A13733" s="12" t="s">
        <v>26142</v>
      </c>
      <c r="B13733" s="12" t="s">
        <v>1202</v>
      </c>
      <c r="C13733" s="13" t="s">
        <v>1203</v>
      </c>
      <c r="D13733" s="13" t="s">
        <v>92</v>
      </c>
      <c r="E13733" s="12" t="s">
        <v>50</v>
      </c>
      <c r="F13733" s="13"/>
      <c r="G13733" s="14">
        <v>3540</v>
      </c>
      <c r="H13733" s="13" t="s">
        <v>26163</v>
      </c>
      <c r="I13733" s="40" t="s">
        <v>18</v>
      </c>
      <c r="J13733" s="40" t="str">
        <f>HYPERLINK("https://stock.pstatic.net/stock-research/company/63/20250324_company_330184000.pdf","PDF")</f>
        <v>PDF</v>
      </c>
      <c r="K13733" s="12" t="s">
        <v>26164</v>
      </c>
    </row>
    <row r="13734" spans="1:12" x14ac:dyDescent="0.45">
      <c r="A13734" s="12" t="s">
        <v>26142</v>
      </c>
      <c r="B13734" s="12" t="s">
        <v>4617</v>
      </c>
      <c r="C13734" s="13" t="s">
        <v>4618</v>
      </c>
      <c r="D13734" s="13" t="s">
        <v>23</v>
      </c>
      <c r="E13734" s="12" t="s">
        <v>16</v>
      </c>
      <c r="F13734" s="14">
        <v>26000</v>
      </c>
      <c r="G13734" s="14">
        <v>18560</v>
      </c>
      <c r="H13734" s="13" t="s">
        <v>26165</v>
      </c>
      <c r="I13734" s="40" t="s">
        <v>18</v>
      </c>
      <c r="J13734" s="40" t="str">
        <f>HYPERLINK("https://stock.pstatic.net/stock-research/company/21/20250324_company_68728000.pdf","PDF")</f>
        <v>PDF</v>
      </c>
      <c r="K13734" s="12" t="s">
        <v>26166</v>
      </c>
      <c r="L13734" s="20">
        <v>0.40086206896551718</v>
      </c>
    </row>
    <row r="13735" spans="1:12" x14ac:dyDescent="0.45">
      <c r="A13735" s="12" t="s">
        <v>26142</v>
      </c>
      <c r="B13735" s="12" t="s">
        <v>824</v>
      </c>
      <c r="C13735" s="13" t="s">
        <v>25522</v>
      </c>
      <c r="D13735" s="13" t="s">
        <v>44</v>
      </c>
      <c r="E13735" s="12" t="s">
        <v>35</v>
      </c>
      <c r="F13735" s="14">
        <v>50000</v>
      </c>
      <c r="G13735" s="14">
        <v>39400</v>
      </c>
      <c r="H13735" s="13" t="s">
        <v>26167</v>
      </c>
      <c r="I13735" s="40" t="s">
        <v>18</v>
      </c>
      <c r="J13735" s="40" t="str">
        <f>HYPERLINK("https://stock.pstatic.net/stock-research/company/39/20250324_company_354258000.pdf","PDF")</f>
        <v>PDF</v>
      </c>
      <c r="K13735" s="12" t="s">
        <v>26168</v>
      </c>
      <c r="L13735" s="20">
        <v>0.26903553299492378</v>
      </c>
    </row>
    <row r="13736" spans="1:12" x14ac:dyDescent="0.45">
      <c r="A13736" s="12" t="s">
        <v>26142</v>
      </c>
      <c r="B13736" s="12" t="s">
        <v>5896</v>
      </c>
      <c r="C13736" s="13" t="s">
        <v>5897</v>
      </c>
      <c r="D13736" s="13" t="s">
        <v>34</v>
      </c>
      <c r="E13736" s="12" t="s">
        <v>50</v>
      </c>
      <c r="F13736" s="13"/>
      <c r="G13736" s="14">
        <v>12250</v>
      </c>
      <c r="H13736" s="13" t="s">
        <v>26169</v>
      </c>
      <c r="I13736" s="40" t="s">
        <v>18</v>
      </c>
      <c r="J13736" s="40" t="str">
        <f>HYPERLINK("https://stock.pstatic.net/stock-research/company/61/20250324_company_439464000.pdf","PDF")</f>
        <v>PDF</v>
      </c>
      <c r="K13736" s="12" t="s">
        <v>26170</v>
      </c>
    </row>
    <row r="13737" spans="1:12" x14ac:dyDescent="0.45">
      <c r="A13737" s="12" t="s">
        <v>26142</v>
      </c>
      <c r="B13737" s="12" t="s">
        <v>1670</v>
      </c>
      <c r="C13737" s="13" t="s">
        <v>26171</v>
      </c>
      <c r="D13737" s="13" t="s">
        <v>23</v>
      </c>
      <c r="E13737" s="12" t="s">
        <v>16</v>
      </c>
      <c r="F13737" s="14">
        <v>170000</v>
      </c>
      <c r="G13737" s="14">
        <v>115700</v>
      </c>
      <c r="H13737" s="13" t="s">
        <v>26172</v>
      </c>
      <c r="I13737" s="40" t="s">
        <v>18</v>
      </c>
      <c r="J13737" s="40" t="str">
        <f>HYPERLINK("https://stock.pstatic.net/stock-research/company/21/20250324_company_991211000.pdf","PDF")</f>
        <v>PDF</v>
      </c>
      <c r="K13737" s="12" t="s">
        <v>26173</v>
      </c>
      <c r="L13737" s="20">
        <v>0.46931719965427832</v>
      </c>
    </row>
    <row r="13738" spans="1:12" x14ac:dyDescent="0.45">
      <c r="A13738" s="12" t="s">
        <v>26142</v>
      </c>
      <c r="B13738" s="12" t="s">
        <v>824</v>
      </c>
      <c r="C13738" s="13" t="s">
        <v>25522</v>
      </c>
      <c r="D13738" s="13" t="s">
        <v>179</v>
      </c>
      <c r="E13738" s="12" t="s">
        <v>16</v>
      </c>
      <c r="F13738" s="14">
        <v>47000</v>
      </c>
      <c r="G13738" s="14">
        <v>39400</v>
      </c>
      <c r="H13738" s="13" t="s">
        <v>26174</v>
      </c>
      <c r="I13738" s="40" t="s">
        <v>18</v>
      </c>
      <c r="J13738" s="40" t="str">
        <f>HYPERLINK("https://stock.pstatic.net/stock-research/company/31/20250324_company_847610000.pdf","PDF")</f>
        <v>PDF</v>
      </c>
      <c r="K13738" s="12" t="s">
        <v>26175</v>
      </c>
      <c r="L13738" s="20">
        <v>0.19289340101522839</v>
      </c>
    </row>
    <row r="13739" spans="1:12" x14ac:dyDescent="0.45">
      <c r="A13739" s="12" t="s">
        <v>26142</v>
      </c>
      <c r="B13739" s="12" t="s">
        <v>1097</v>
      </c>
      <c r="C13739" s="13" t="s">
        <v>1098</v>
      </c>
      <c r="D13739" s="13" t="s">
        <v>53</v>
      </c>
      <c r="E13739" s="12" t="s">
        <v>16</v>
      </c>
      <c r="F13739" s="14">
        <v>160000</v>
      </c>
      <c r="G13739" s="14">
        <v>112800</v>
      </c>
      <c r="H13739" s="13" t="s">
        <v>26176</v>
      </c>
      <c r="I13739" s="40" t="s">
        <v>18</v>
      </c>
      <c r="J13739" s="40" t="str">
        <f>HYPERLINK("https://stock.pstatic.net/stock-research/company/40/20250324_company_760236000.pdf","PDF")</f>
        <v>PDF</v>
      </c>
      <c r="K13739" s="12" t="s">
        <v>26177</v>
      </c>
      <c r="L13739" s="20">
        <v>0.41843971631205668</v>
      </c>
    </row>
    <row r="13740" spans="1:12" x14ac:dyDescent="0.45">
      <c r="A13740" s="12" t="s">
        <v>26142</v>
      </c>
      <c r="B13740" s="12" t="s">
        <v>3355</v>
      </c>
      <c r="C13740" s="13" t="s">
        <v>3356</v>
      </c>
      <c r="D13740" s="13" t="s">
        <v>92</v>
      </c>
      <c r="E13740" s="12" t="s">
        <v>35</v>
      </c>
      <c r="F13740" s="14">
        <v>90000</v>
      </c>
      <c r="G13740" s="14">
        <v>46250</v>
      </c>
      <c r="H13740" s="13" t="s">
        <v>26178</v>
      </c>
      <c r="I13740" s="40" t="s">
        <v>18</v>
      </c>
      <c r="J13740" s="40" t="str">
        <f>HYPERLINK("https://stock.pstatic.net/stock-research/company/63/20250324_company_484553000.pdf","PDF")</f>
        <v>PDF</v>
      </c>
      <c r="K13740" s="12" t="s">
        <v>26179</v>
      </c>
      <c r="L13740" s="20">
        <v>0.94594594594594594</v>
      </c>
    </row>
    <row r="13741" spans="1:12" x14ac:dyDescent="0.45">
      <c r="A13741" s="12" t="s">
        <v>26142</v>
      </c>
      <c r="B13741" s="12" t="s">
        <v>2658</v>
      </c>
      <c r="C13741" s="13" t="s">
        <v>2659</v>
      </c>
      <c r="D13741" s="13" t="s">
        <v>83</v>
      </c>
      <c r="E13741" s="12" t="s">
        <v>35</v>
      </c>
      <c r="F13741" s="14">
        <v>180000</v>
      </c>
      <c r="G13741" s="14">
        <v>131100</v>
      </c>
      <c r="H13741" s="13" t="s">
        <v>26180</v>
      </c>
      <c r="I13741" s="40" t="s">
        <v>18</v>
      </c>
      <c r="J13741" s="40" t="str">
        <f>HYPERLINK("https://stock.pstatic.net/stock-research/company/2/20250324_company_951018000.pdf","PDF")</f>
        <v>PDF</v>
      </c>
      <c r="K13741" s="12" t="s">
        <v>26181</v>
      </c>
      <c r="L13741" s="20">
        <v>0.37299771167048063</v>
      </c>
    </row>
    <row r="13742" spans="1:12" x14ac:dyDescent="0.45">
      <c r="A13742" s="12" t="s">
        <v>26182</v>
      </c>
      <c r="B13742" s="12" t="s">
        <v>2522</v>
      </c>
      <c r="C13742" s="13" t="s">
        <v>2523</v>
      </c>
      <c r="D13742" s="13" t="s">
        <v>1271</v>
      </c>
      <c r="E13742" s="12" t="s">
        <v>35</v>
      </c>
      <c r="F13742" s="14">
        <v>470000</v>
      </c>
      <c r="G13742" s="14">
        <v>348000</v>
      </c>
      <c r="H13742" s="13" t="s">
        <v>26183</v>
      </c>
      <c r="I13742" s="40" t="s">
        <v>18</v>
      </c>
      <c r="J13742" s="40" t="str">
        <f>HYPERLINK("https://stock.pstatic.net/stock-research/company/7/20250321_company_541199000.pdf","PDF")</f>
        <v>PDF</v>
      </c>
      <c r="K13742" s="12" t="s">
        <v>26184</v>
      </c>
      <c r="L13742" s="20">
        <v>0.35057471264367818</v>
      </c>
    </row>
    <row r="13743" spans="1:12" x14ac:dyDescent="0.45">
      <c r="A13743" s="12" t="s">
        <v>26182</v>
      </c>
      <c r="B13743" s="12" t="s">
        <v>724</v>
      </c>
      <c r="C13743" s="13" t="s">
        <v>725</v>
      </c>
      <c r="D13743" s="13" t="s">
        <v>1271</v>
      </c>
      <c r="E13743" s="12" t="s">
        <v>35</v>
      </c>
      <c r="F13743" s="14">
        <v>90000</v>
      </c>
      <c r="G13743" s="14">
        <v>62500</v>
      </c>
      <c r="H13743" s="13" t="s">
        <v>26185</v>
      </c>
      <c r="I13743" s="40" t="s">
        <v>18</v>
      </c>
      <c r="J13743" s="40" t="str">
        <f>HYPERLINK("https://stock.pstatic.net/stock-research/company/7/20250321_company_777711000.pdf","PDF")</f>
        <v>PDF</v>
      </c>
      <c r="K13743" s="12" t="s">
        <v>26186</v>
      </c>
      <c r="L13743" s="20">
        <v>0.44</v>
      </c>
    </row>
    <row r="13744" spans="1:12" x14ac:dyDescent="0.45">
      <c r="A13744" s="12" t="s">
        <v>26182</v>
      </c>
      <c r="B13744" s="12" t="s">
        <v>1765</v>
      </c>
      <c r="C13744" s="13" t="s">
        <v>1766</v>
      </c>
      <c r="D13744" s="13" t="s">
        <v>1271</v>
      </c>
      <c r="E13744" s="12" t="s">
        <v>35</v>
      </c>
      <c r="F13744" s="14">
        <v>140000</v>
      </c>
      <c r="G13744" s="14">
        <v>99500</v>
      </c>
      <c r="H13744" s="13" t="s">
        <v>26187</v>
      </c>
      <c r="I13744" s="40" t="s">
        <v>18</v>
      </c>
      <c r="J13744" s="40" t="str">
        <f>HYPERLINK("https://stock.pstatic.net/stock-research/company/7/20250321_company_907383000.pdf","PDF")</f>
        <v>PDF</v>
      </c>
      <c r="K13744" s="12" t="s">
        <v>26188</v>
      </c>
      <c r="L13744" s="20">
        <v>0.40703517587939703</v>
      </c>
    </row>
    <row r="13745" spans="1:12" x14ac:dyDescent="0.45">
      <c r="A13745" s="12" t="s">
        <v>26182</v>
      </c>
      <c r="B13745" s="12" t="s">
        <v>259</v>
      </c>
      <c r="C13745" s="13" t="s">
        <v>260</v>
      </c>
      <c r="D13745" s="13" t="s">
        <v>1271</v>
      </c>
      <c r="E13745" s="12" t="s">
        <v>35</v>
      </c>
      <c r="F13745" s="14">
        <v>87000</v>
      </c>
      <c r="G13745" s="14">
        <v>69700</v>
      </c>
      <c r="H13745" s="13" t="s">
        <v>26189</v>
      </c>
      <c r="I13745" s="40" t="s">
        <v>18</v>
      </c>
      <c r="J13745" s="40" t="str">
        <f>HYPERLINK("https://stock.pstatic.net/stock-research/company/7/20250321_company_52105000.pdf","PDF")</f>
        <v>PDF</v>
      </c>
      <c r="K13745" s="12" t="s">
        <v>26190</v>
      </c>
      <c r="L13745" s="20">
        <v>0.24820659971305589</v>
      </c>
    </row>
    <row r="13746" spans="1:12" x14ac:dyDescent="0.45">
      <c r="A13746" s="12" t="s">
        <v>26182</v>
      </c>
      <c r="B13746" s="12" t="s">
        <v>430</v>
      </c>
      <c r="C13746" s="13" t="s">
        <v>431</v>
      </c>
      <c r="D13746" s="13" t="s">
        <v>158</v>
      </c>
      <c r="E13746" s="12" t="s">
        <v>35</v>
      </c>
      <c r="F13746" s="14">
        <v>42000</v>
      </c>
      <c r="G13746" s="14">
        <v>29400</v>
      </c>
      <c r="H13746" s="13" t="s">
        <v>26191</v>
      </c>
      <c r="I13746" s="40" t="s">
        <v>18</v>
      </c>
      <c r="J13746" s="40" t="str">
        <f>HYPERLINK("https://stock.pstatic.net/stock-research/company/18/20250321_company_919704000.pdf","PDF")</f>
        <v>PDF</v>
      </c>
      <c r="K13746" s="12" t="s">
        <v>26192</v>
      </c>
      <c r="L13746" s="20">
        <v>0.42857142857142849</v>
      </c>
    </row>
    <row r="13747" spans="1:12" x14ac:dyDescent="0.45">
      <c r="A13747" s="12" t="s">
        <v>26182</v>
      </c>
      <c r="B13747" s="12" t="s">
        <v>6737</v>
      </c>
      <c r="C13747" s="13" t="s">
        <v>6738</v>
      </c>
      <c r="D13747" s="13" t="s">
        <v>57</v>
      </c>
      <c r="E13747" s="12" t="s">
        <v>35</v>
      </c>
      <c r="F13747" s="14">
        <v>1600</v>
      </c>
      <c r="G13747" s="14">
        <v>1002</v>
      </c>
      <c r="H13747" s="13" t="s">
        <v>26193</v>
      </c>
      <c r="I13747" s="40" t="s">
        <v>18</v>
      </c>
      <c r="J13747" s="40" t="str">
        <f>HYPERLINK("https://stock.pstatic.net/stock-research/company/16/20250321_company_137630000.pdf","PDF")</f>
        <v>PDF</v>
      </c>
      <c r="K13747" s="12" t="s">
        <v>26194</v>
      </c>
      <c r="L13747" s="20">
        <v>0.59680638722554891</v>
      </c>
    </row>
    <row r="13748" spans="1:12" x14ac:dyDescent="0.45">
      <c r="A13748" s="12" t="s">
        <v>26182</v>
      </c>
      <c r="B13748" s="12" t="s">
        <v>1548</v>
      </c>
      <c r="C13748" s="13" t="s">
        <v>1549</v>
      </c>
      <c r="D13748" s="13" t="s">
        <v>276</v>
      </c>
      <c r="E13748" s="12" t="s">
        <v>385</v>
      </c>
      <c r="F13748" s="14">
        <v>750000</v>
      </c>
      <c r="G13748" s="14">
        <v>722000</v>
      </c>
      <c r="H13748" s="13" t="s">
        <v>26195</v>
      </c>
      <c r="I13748" s="40" t="s">
        <v>18</v>
      </c>
      <c r="J13748" s="40" t="str">
        <f>HYPERLINK("https://stock.pstatic.net/stock-research/company/66/20250321_company_119866000.pdf","PDF")</f>
        <v>PDF</v>
      </c>
      <c r="K13748" s="12" t="s">
        <v>26196</v>
      </c>
      <c r="L13748" s="20">
        <v>3.8781163434903038E-2</v>
      </c>
    </row>
    <row r="13749" spans="1:12" x14ac:dyDescent="0.45">
      <c r="A13749" s="12" t="s">
        <v>26182</v>
      </c>
      <c r="B13749" s="12" t="s">
        <v>2933</v>
      </c>
      <c r="C13749" s="13" t="s">
        <v>2934</v>
      </c>
      <c r="D13749" s="13" t="s">
        <v>15</v>
      </c>
      <c r="E13749" s="12" t="s">
        <v>16</v>
      </c>
      <c r="F13749" s="14">
        <v>90000</v>
      </c>
      <c r="G13749" s="14">
        <v>62000</v>
      </c>
      <c r="H13749" s="13" t="s">
        <v>26197</v>
      </c>
      <c r="I13749" s="40" t="s">
        <v>18</v>
      </c>
      <c r="J13749" s="40" t="str">
        <f>HYPERLINK("https://stock.pstatic.net/stock-research/company/29/20250321_company_270499000.pdf","PDF")</f>
        <v>PDF</v>
      </c>
      <c r="K13749" s="12" t="s">
        <v>26198</v>
      </c>
      <c r="L13749" s="20">
        <v>0.45161290322580638</v>
      </c>
    </row>
    <row r="13750" spans="1:12" x14ac:dyDescent="0.45">
      <c r="A13750" s="12" t="s">
        <v>26182</v>
      </c>
      <c r="B13750" s="12" t="s">
        <v>1548</v>
      </c>
      <c r="C13750" s="13" t="s">
        <v>1549</v>
      </c>
      <c r="D13750" s="13" t="s">
        <v>23</v>
      </c>
      <c r="E13750" s="12" t="s">
        <v>16</v>
      </c>
      <c r="F13750" s="14">
        <v>600000</v>
      </c>
      <c r="G13750" s="14">
        <v>722000</v>
      </c>
      <c r="H13750" s="13" t="s">
        <v>26199</v>
      </c>
      <c r="I13750" s="40" t="s">
        <v>18</v>
      </c>
      <c r="J13750" s="40" t="str">
        <f>HYPERLINK("https://stock.pstatic.net/stock-research/company/21/20250321_company_665293000.pdf","PDF")</f>
        <v>PDF</v>
      </c>
      <c r="K13750" s="12" t="s">
        <v>26200</v>
      </c>
      <c r="L13750" s="20">
        <v>-0.16897506925207759</v>
      </c>
    </row>
    <row r="13751" spans="1:12" x14ac:dyDescent="0.45">
      <c r="A13751" s="12" t="s">
        <v>26182</v>
      </c>
      <c r="B13751" s="12" t="s">
        <v>1548</v>
      </c>
      <c r="C13751" s="13" t="s">
        <v>1549</v>
      </c>
      <c r="D13751" s="13" t="s">
        <v>44</v>
      </c>
      <c r="E13751" s="12" t="s">
        <v>50</v>
      </c>
      <c r="F13751" s="13"/>
      <c r="G13751" s="14">
        <v>722000</v>
      </c>
      <c r="H13751" s="13" t="s">
        <v>26201</v>
      </c>
      <c r="I13751" s="40" t="s">
        <v>18</v>
      </c>
      <c r="J13751" s="40" t="str">
        <f>HYPERLINK("https://stock.pstatic.net/stock-research/company/39/20250321_company_370390000.pdf","PDF")</f>
        <v>PDF</v>
      </c>
      <c r="K13751" s="12" t="s">
        <v>26202</v>
      </c>
    </row>
    <row r="13752" spans="1:12" x14ac:dyDescent="0.45">
      <c r="A13752" s="12" t="s">
        <v>26182</v>
      </c>
      <c r="B13752" s="12" t="s">
        <v>2243</v>
      </c>
      <c r="C13752" s="13" t="s">
        <v>2244</v>
      </c>
      <c r="D13752" s="13" t="s">
        <v>23</v>
      </c>
      <c r="E13752" s="12" t="s">
        <v>16</v>
      </c>
      <c r="F13752" s="14">
        <v>9600</v>
      </c>
      <c r="G13752" s="14">
        <v>7250</v>
      </c>
      <c r="H13752" s="13" t="s">
        <v>26203</v>
      </c>
      <c r="I13752" s="40" t="s">
        <v>18</v>
      </c>
      <c r="J13752" s="40" t="str">
        <f>HYPERLINK("https://stock.pstatic.net/stock-research/company/21/20250321_company_883257000.pdf","PDF")</f>
        <v>PDF</v>
      </c>
      <c r="K13752" s="12" t="s">
        <v>26204</v>
      </c>
      <c r="L13752" s="20">
        <v>0.32413793103448268</v>
      </c>
    </row>
    <row r="13753" spans="1:12" x14ac:dyDescent="0.45">
      <c r="A13753" s="12" t="s">
        <v>26182</v>
      </c>
      <c r="B13753" s="12" t="s">
        <v>581</v>
      </c>
      <c r="C13753" s="13" t="s">
        <v>582</v>
      </c>
      <c r="D13753" s="13" t="s">
        <v>44</v>
      </c>
      <c r="E13753" s="12" t="s">
        <v>50</v>
      </c>
      <c r="F13753" s="13"/>
      <c r="G13753" s="14">
        <v>15000</v>
      </c>
      <c r="H13753" s="13" t="s">
        <v>26205</v>
      </c>
      <c r="I13753" s="40" t="s">
        <v>18</v>
      </c>
      <c r="J13753" s="40" t="str">
        <f>HYPERLINK("https://stock.pstatic.net/stock-research/company/39/20250321_company_949690000.pdf","PDF")</f>
        <v>PDF</v>
      </c>
      <c r="K13753" s="12" t="s">
        <v>26206</v>
      </c>
    </row>
    <row r="13754" spans="1:12" x14ac:dyDescent="0.45">
      <c r="A13754" s="12" t="s">
        <v>26182</v>
      </c>
      <c r="B13754" s="12" t="s">
        <v>3978</v>
      </c>
      <c r="C13754" s="13" t="s">
        <v>3979</v>
      </c>
      <c r="D13754" s="13" t="s">
        <v>23</v>
      </c>
      <c r="E13754" s="12" t="s">
        <v>16</v>
      </c>
      <c r="F13754" s="14">
        <v>35000</v>
      </c>
      <c r="G13754" s="14">
        <v>22150</v>
      </c>
      <c r="H13754" s="13" t="s">
        <v>26207</v>
      </c>
      <c r="I13754" s="40" t="s">
        <v>18</v>
      </c>
      <c r="J13754" s="40" t="str">
        <f>HYPERLINK("https://stock.pstatic.net/stock-research/company/21/20250321_company_323866000.pdf","PDF")</f>
        <v>PDF</v>
      </c>
      <c r="K13754" s="12" t="s">
        <v>26208</v>
      </c>
      <c r="L13754" s="20">
        <v>0.58013544018058694</v>
      </c>
    </row>
    <row r="13755" spans="1:12" x14ac:dyDescent="0.45">
      <c r="A13755" s="12" t="s">
        <v>26182</v>
      </c>
      <c r="B13755" s="12" t="s">
        <v>38</v>
      </c>
      <c r="C13755" s="13" t="s">
        <v>39</v>
      </c>
      <c r="D13755" s="13" t="s">
        <v>124</v>
      </c>
      <c r="E13755" s="12" t="s">
        <v>50</v>
      </c>
      <c r="F13755" s="13"/>
      <c r="G13755" s="14">
        <v>202000</v>
      </c>
      <c r="H13755" s="13" t="s">
        <v>26209</v>
      </c>
      <c r="I13755" s="40" t="s">
        <v>18</v>
      </c>
      <c r="J13755" s="40" t="str">
        <f>HYPERLINK("https://stock.pstatic.net/stock-research/company/74/20250321_company_650870000.pdf","PDF")</f>
        <v>PDF</v>
      </c>
      <c r="K13755" s="12" t="s">
        <v>26210</v>
      </c>
    </row>
    <row r="13756" spans="1:12" x14ac:dyDescent="0.45">
      <c r="A13756" s="12" t="s">
        <v>26182</v>
      </c>
      <c r="B13756" s="12" t="s">
        <v>26211</v>
      </c>
      <c r="C13756" s="13" t="s">
        <v>26212</v>
      </c>
      <c r="D13756" s="13" t="s">
        <v>124</v>
      </c>
      <c r="E13756" s="12" t="s">
        <v>50</v>
      </c>
      <c r="F13756" s="13"/>
      <c r="G13756" s="14">
        <v>12260</v>
      </c>
      <c r="H13756" s="13" t="s">
        <v>26213</v>
      </c>
      <c r="I13756" s="40" t="s">
        <v>18</v>
      </c>
      <c r="J13756" s="40" t="str">
        <f>HYPERLINK("https://stock.pstatic.net/stock-research/company/74/20250321_company_750550000.pdf","PDF")</f>
        <v>PDF</v>
      </c>
      <c r="K13756" s="12" t="s">
        <v>26214</v>
      </c>
    </row>
    <row r="13757" spans="1:12" x14ac:dyDescent="0.45">
      <c r="A13757" s="12" t="s">
        <v>26182</v>
      </c>
      <c r="B13757" s="12" t="s">
        <v>4742</v>
      </c>
      <c r="C13757" s="13" t="s">
        <v>4743</v>
      </c>
      <c r="D13757" s="13" t="s">
        <v>124</v>
      </c>
      <c r="E13757" s="12" t="s">
        <v>50</v>
      </c>
      <c r="F13757" s="13"/>
      <c r="G13757" s="14">
        <v>29650</v>
      </c>
      <c r="H13757" s="13" t="s">
        <v>26215</v>
      </c>
      <c r="I13757" s="40" t="s">
        <v>18</v>
      </c>
      <c r="J13757" s="40" t="str">
        <f>HYPERLINK("https://stock.pstatic.net/stock-research/company/74/20250321_company_436543000.pdf","PDF")</f>
        <v>PDF</v>
      </c>
      <c r="K13757" s="12" t="s">
        <v>26216</v>
      </c>
    </row>
    <row r="13758" spans="1:12" x14ac:dyDescent="0.45">
      <c r="A13758" s="12" t="s">
        <v>26217</v>
      </c>
      <c r="B13758" s="12" t="s">
        <v>1356</v>
      </c>
      <c r="C13758" s="13" t="s">
        <v>1357</v>
      </c>
      <c r="D13758" s="13" t="s">
        <v>276</v>
      </c>
      <c r="E13758" s="12" t="s">
        <v>16</v>
      </c>
      <c r="F13758" s="14">
        <v>28000</v>
      </c>
      <c r="G13758" s="14">
        <v>19430</v>
      </c>
      <c r="H13758" s="13" t="s">
        <v>26218</v>
      </c>
      <c r="I13758" s="40" t="s">
        <v>18</v>
      </c>
      <c r="J13758" s="40" t="str">
        <f>HYPERLINK("https://stock.pstatic.net/stock-research/company/66/20250320_company_600225000.pdf","PDF")</f>
        <v>PDF</v>
      </c>
      <c r="K13758" s="12" t="s">
        <v>26219</v>
      </c>
      <c r="L13758" s="20">
        <v>0.44107050952135868</v>
      </c>
    </row>
    <row r="13759" spans="1:12" x14ac:dyDescent="0.45">
      <c r="A13759" s="12" t="s">
        <v>26217</v>
      </c>
      <c r="B13759" s="12" t="s">
        <v>698</v>
      </c>
      <c r="C13759" s="13" t="s">
        <v>699</v>
      </c>
      <c r="D13759" s="13" t="s">
        <v>65</v>
      </c>
      <c r="E13759" s="12" t="s">
        <v>35</v>
      </c>
      <c r="F13759" s="14">
        <v>200000</v>
      </c>
      <c r="G13759" s="14">
        <v>138400</v>
      </c>
      <c r="H13759" s="13" t="s">
        <v>26220</v>
      </c>
      <c r="I13759" s="40" t="s">
        <v>18</v>
      </c>
      <c r="J13759" s="40" t="str">
        <f>HYPERLINK("https://stock.pstatic.net/stock-research/company/57/20250320_company_546102000.pdf","PDF")</f>
        <v>PDF</v>
      </c>
      <c r="K13759" s="12" t="s">
        <v>26221</v>
      </c>
      <c r="L13759" s="20">
        <v>0.44508670520231208</v>
      </c>
    </row>
    <row r="13760" spans="1:12" x14ac:dyDescent="0.45">
      <c r="A13760" s="12" t="s">
        <v>26217</v>
      </c>
      <c r="B13760" s="12" t="s">
        <v>1162</v>
      </c>
      <c r="C13760" s="13" t="s">
        <v>1163</v>
      </c>
      <c r="D13760" s="13" t="s">
        <v>65</v>
      </c>
      <c r="E13760" s="12" t="s">
        <v>35</v>
      </c>
      <c r="F13760" s="14">
        <v>180000</v>
      </c>
      <c r="G13760" s="14">
        <v>127300</v>
      </c>
      <c r="H13760" s="13" t="s">
        <v>26222</v>
      </c>
      <c r="I13760" s="40" t="s">
        <v>18</v>
      </c>
      <c r="J13760" s="40" t="str">
        <f>HYPERLINK("https://stock.pstatic.net/stock-research/company/57/20250320_company_913501000.pdf","PDF")</f>
        <v>PDF</v>
      </c>
      <c r="K13760" s="12" t="s">
        <v>26223</v>
      </c>
      <c r="L13760" s="20">
        <v>0.41398271798900238</v>
      </c>
    </row>
    <row r="13761" spans="1:12" x14ac:dyDescent="0.45">
      <c r="A13761" s="12" t="s">
        <v>26217</v>
      </c>
      <c r="B13761" s="12" t="s">
        <v>430</v>
      </c>
      <c r="C13761" s="13" t="s">
        <v>431</v>
      </c>
      <c r="D13761" s="13" t="s">
        <v>15</v>
      </c>
      <c r="E13761" s="12" t="s">
        <v>16</v>
      </c>
      <c r="F13761" s="14">
        <v>44000</v>
      </c>
      <c r="G13761" s="14">
        <v>35100</v>
      </c>
      <c r="H13761" s="13" t="s">
        <v>26224</v>
      </c>
      <c r="I13761" s="40" t="s">
        <v>18</v>
      </c>
      <c r="J13761" s="40" t="str">
        <f>HYPERLINK("https://stock.pstatic.net/stock-research/company/29/20250320_company_35012000.pdf","PDF")</f>
        <v>PDF</v>
      </c>
      <c r="K13761" s="12" t="s">
        <v>26225</v>
      </c>
      <c r="L13761" s="20">
        <v>0.25356125356125359</v>
      </c>
    </row>
    <row r="13762" spans="1:12" x14ac:dyDescent="0.45">
      <c r="A13762" s="12" t="s">
        <v>26217</v>
      </c>
      <c r="B13762" s="12" t="s">
        <v>12513</v>
      </c>
      <c r="C13762" s="13" t="s">
        <v>12514</v>
      </c>
      <c r="D13762" s="13" t="s">
        <v>23</v>
      </c>
      <c r="E13762" s="12" t="s">
        <v>50</v>
      </c>
      <c r="F13762" s="13"/>
      <c r="G13762" s="14">
        <v>10780</v>
      </c>
      <c r="H13762" s="13" t="s">
        <v>26226</v>
      </c>
      <c r="I13762" s="40" t="s">
        <v>18</v>
      </c>
      <c r="J13762" s="40" t="str">
        <f>HYPERLINK("https://stock.pstatic.net/stock-research/company/21/20250320_company_798363000.pdf","PDF")</f>
        <v>PDF</v>
      </c>
      <c r="K13762" s="12" t="s">
        <v>26227</v>
      </c>
    </row>
    <row r="13763" spans="1:12" x14ac:dyDescent="0.45">
      <c r="A13763" s="12" t="s">
        <v>26217</v>
      </c>
      <c r="B13763" s="12" t="s">
        <v>5355</v>
      </c>
      <c r="C13763" s="13" t="s">
        <v>5356</v>
      </c>
      <c r="D13763" s="13" t="s">
        <v>83</v>
      </c>
      <c r="E13763" s="12" t="s">
        <v>50</v>
      </c>
      <c r="F13763" s="13"/>
      <c r="G13763" s="14">
        <v>33250</v>
      </c>
      <c r="H13763" s="13" t="s">
        <v>26228</v>
      </c>
      <c r="I13763" s="40" t="s">
        <v>18</v>
      </c>
      <c r="J13763" s="40" t="str">
        <f>HYPERLINK("https://stock.pstatic.net/stock-research/company/2/20250320_company_604438000.pdf","PDF")</f>
        <v>PDF</v>
      </c>
      <c r="K13763" s="12" t="s">
        <v>26229</v>
      </c>
    </row>
    <row r="13764" spans="1:12" x14ac:dyDescent="0.45">
      <c r="A13764" s="12" t="s">
        <v>26217</v>
      </c>
      <c r="B13764" s="12" t="s">
        <v>533</v>
      </c>
      <c r="C13764" s="13" t="s">
        <v>534</v>
      </c>
      <c r="D13764" s="13" t="s">
        <v>83</v>
      </c>
      <c r="E13764" s="12" t="s">
        <v>35</v>
      </c>
      <c r="F13764" s="14">
        <v>67000</v>
      </c>
      <c r="G13764" s="14">
        <v>50700</v>
      </c>
      <c r="H13764" s="13" t="s">
        <v>26230</v>
      </c>
      <c r="I13764" s="40" t="s">
        <v>18</v>
      </c>
      <c r="J13764" s="40" t="str">
        <f>HYPERLINK("https://stock.pstatic.net/stock-research/company/1/20250320_company_596597000.pdf","PDF")</f>
        <v>PDF</v>
      </c>
      <c r="K13764" s="12" t="s">
        <v>26231</v>
      </c>
      <c r="L13764" s="20">
        <v>0.32149901380670609</v>
      </c>
    </row>
    <row r="13765" spans="1:12" x14ac:dyDescent="0.45">
      <c r="A13765" s="12" t="s">
        <v>26217</v>
      </c>
      <c r="B13765" s="12" t="s">
        <v>95</v>
      </c>
      <c r="C13765" s="13" t="s">
        <v>31</v>
      </c>
      <c r="D13765" s="13" t="s">
        <v>53</v>
      </c>
      <c r="E13765" s="12" t="s">
        <v>16</v>
      </c>
      <c r="F13765" s="14">
        <v>30000</v>
      </c>
      <c r="G13765" s="14">
        <v>20050</v>
      </c>
      <c r="H13765" s="13" t="s">
        <v>26232</v>
      </c>
      <c r="I13765" s="40" t="s">
        <v>18</v>
      </c>
      <c r="J13765" s="40" t="str">
        <f>HYPERLINK("https://stock.pstatic.net/stock-research/company/40/20250320_company_515378000.pdf","PDF")</f>
        <v>PDF</v>
      </c>
      <c r="K13765" s="12" t="s">
        <v>26233</v>
      </c>
      <c r="L13765" s="20">
        <v>0.49625935162094759</v>
      </c>
    </row>
    <row r="13766" spans="1:12" x14ac:dyDescent="0.45">
      <c r="A13766" s="12" t="s">
        <v>26217</v>
      </c>
      <c r="B13766" s="12" t="s">
        <v>26234</v>
      </c>
      <c r="C13766" s="13" t="s">
        <v>26235</v>
      </c>
      <c r="D13766" s="13" t="s">
        <v>179</v>
      </c>
      <c r="E13766" s="12" t="s">
        <v>16</v>
      </c>
      <c r="F13766" s="14">
        <v>13000</v>
      </c>
      <c r="G13766" s="14">
        <v>8800</v>
      </c>
      <c r="H13766" s="13" t="s">
        <v>26236</v>
      </c>
      <c r="I13766" s="40" t="s">
        <v>18</v>
      </c>
      <c r="J13766" s="40" t="str">
        <f>HYPERLINK("https://stock.pstatic.net/stock-research/company/31/20250320_company_969340000.pdf","PDF")</f>
        <v>PDF</v>
      </c>
      <c r="K13766" s="12" t="s">
        <v>26237</v>
      </c>
      <c r="L13766" s="20">
        <v>0.47727272727272729</v>
      </c>
    </row>
    <row r="13767" spans="1:12" x14ac:dyDescent="0.45">
      <c r="A13767" s="12" t="s">
        <v>26217</v>
      </c>
      <c r="B13767" s="12" t="s">
        <v>585</v>
      </c>
      <c r="C13767" s="13" t="s">
        <v>586</v>
      </c>
      <c r="D13767" s="13" t="s">
        <v>23</v>
      </c>
      <c r="E13767" s="12" t="s">
        <v>16</v>
      </c>
      <c r="F13767" s="14">
        <v>27000</v>
      </c>
      <c r="G13767" s="14">
        <v>19440</v>
      </c>
      <c r="H13767" s="13" t="s">
        <v>26238</v>
      </c>
      <c r="I13767" s="40" t="s">
        <v>18</v>
      </c>
      <c r="J13767" s="40" t="str">
        <f>HYPERLINK("https://stock.pstatic.net/stock-research/company/21/20250320_company_13077000.pdf","PDF")</f>
        <v>PDF</v>
      </c>
      <c r="K13767" s="12" t="s">
        <v>26239</v>
      </c>
      <c r="L13767" s="20">
        <v>0.3888888888888889</v>
      </c>
    </row>
    <row r="13768" spans="1:12" x14ac:dyDescent="0.45">
      <c r="A13768" s="12" t="s">
        <v>26217</v>
      </c>
      <c r="B13768" s="12" t="s">
        <v>1162</v>
      </c>
      <c r="C13768" s="13" t="s">
        <v>1163</v>
      </c>
      <c r="D13768" s="13" t="s">
        <v>179</v>
      </c>
      <c r="E13768" s="12" t="s">
        <v>16</v>
      </c>
      <c r="F13768" s="14">
        <v>150000</v>
      </c>
      <c r="G13768" s="14">
        <v>127300</v>
      </c>
      <c r="H13768" s="13" t="s">
        <v>26240</v>
      </c>
      <c r="I13768" s="40" t="s">
        <v>18</v>
      </c>
      <c r="J13768" s="40" t="str">
        <f>HYPERLINK("https://stock.pstatic.net/stock-research/company/31/20250320_company_278102000.pdf","PDF")</f>
        <v>PDF</v>
      </c>
      <c r="K13768" s="12" t="s">
        <v>26241</v>
      </c>
      <c r="L13768" s="20">
        <v>0.17831893165750201</v>
      </c>
    </row>
    <row r="13769" spans="1:12" x14ac:dyDescent="0.45">
      <c r="A13769" s="12" t="s">
        <v>26217</v>
      </c>
      <c r="B13769" s="12" t="s">
        <v>1042</v>
      </c>
      <c r="C13769" s="13" t="s">
        <v>1043</v>
      </c>
      <c r="D13769" s="13" t="s">
        <v>53</v>
      </c>
      <c r="E13769" s="12" t="s">
        <v>16</v>
      </c>
      <c r="F13769" s="14">
        <v>48000</v>
      </c>
      <c r="G13769" s="14">
        <v>20650</v>
      </c>
      <c r="H13769" s="13" t="s">
        <v>26242</v>
      </c>
      <c r="I13769" s="40" t="s">
        <v>18</v>
      </c>
      <c r="J13769" s="40" t="str">
        <f>HYPERLINK("https://stock.pstatic.net/stock-research/company/40/20250320_company_258123000.pdf","PDF")</f>
        <v>PDF</v>
      </c>
      <c r="K13769" s="12" t="s">
        <v>26243</v>
      </c>
      <c r="L13769" s="20">
        <v>1.3244552058111381</v>
      </c>
    </row>
    <row r="13770" spans="1:12" x14ac:dyDescent="0.45">
      <c r="A13770" s="12" t="s">
        <v>26217</v>
      </c>
      <c r="B13770" s="12" t="s">
        <v>2369</v>
      </c>
      <c r="C13770" s="13" t="s">
        <v>2370</v>
      </c>
      <c r="D13770" s="13" t="s">
        <v>15</v>
      </c>
      <c r="E13770" s="12" t="s">
        <v>16</v>
      </c>
      <c r="F13770" s="14">
        <v>280000</v>
      </c>
      <c r="G13770" s="14">
        <v>190800</v>
      </c>
      <c r="H13770" s="13" t="s">
        <v>26244</v>
      </c>
      <c r="I13770" s="40" t="s">
        <v>18</v>
      </c>
      <c r="J13770" s="40" t="str">
        <f>HYPERLINK("https://stock.pstatic.net/stock-research/company/1/20250320_company_975147000.pdf","PDF")</f>
        <v>PDF</v>
      </c>
      <c r="K13770" s="12" t="s">
        <v>26245</v>
      </c>
      <c r="L13770" s="20">
        <v>0.46750524109014668</v>
      </c>
    </row>
    <row r="13771" spans="1:12" x14ac:dyDescent="0.45">
      <c r="A13771" s="12" t="s">
        <v>26246</v>
      </c>
      <c r="B13771" s="12" t="s">
        <v>4021</v>
      </c>
      <c r="C13771" s="13" t="s">
        <v>4022</v>
      </c>
      <c r="D13771" s="13" t="s">
        <v>276</v>
      </c>
      <c r="E13771" s="12" t="s">
        <v>16</v>
      </c>
      <c r="F13771" s="14">
        <v>270000</v>
      </c>
      <c r="G13771" s="14">
        <v>209000</v>
      </c>
      <c r="H13771" s="13" t="s">
        <v>26247</v>
      </c>
      <c r="I13771" s="40" t="s">
        <v>18</v>
      </c>
      <c r="J13771" s="40" t="str">
        <f>HYPERLINK("https://stock.pstatic.net/stock-research/company/66/20250319_company_899500000.pdf","PDF")</f>
        <v>PDF</v>
      </c>
      <c r="K13771" s="12" t="s">
        <v>26248</v>
      </c>
      <c r="L13771" s="20">
        <v>0.291866028708134</v>
      </c>
    </row>
    <row r="13772" spans="1:12" x14ac:dyDescent="0.45">
      <c r="A13772" s="12" t="s">
        <v>26246</v>
      </c>
      <c r="B13772" s="12" t="s">
        <v>1120</v>
      </c>
      <c r="C13772" s="13" t="s">
        <v>1121</v>
      </c>
      <c r="D13772" s="13" t="s">
        <v>60</v>
      </c>
      <c r="E13772" s="12" t="s">
        <v>35</v>
      </c>
      <c r="F13772" s="14">
        <v>145000</v>
      </c>
      <c r="G13772" s="14">
        <v>112800</v>
      </c>
      <c r="H13772" s="13" t="s">
        <v>26249</v>
      </c>
      <c r="I13772" s="40" t="s">
        <v>18</v>
      </c>
      <c r="J13772" s="40" t="str">
        <f>HYPERLINK("https://stock.pstatic.net/stock-research/company/62/20250319_company_986497000.pdf","PDF")</f>
        <v>PDF</v>
      </c>
      <c r="K13772" s="12" t="s">
        <v>26250</v>
      </c>
      <c r="L13772" s="20">
        <v>0.28546099290780141</v>
      </c>
    </row>
    <row r="13773" spans="1:12" x14ac:dyDescent="0.45">
      <c r="A13773" s="12" t="s">
        <v>26246</v>
      </c>
      <c r="B13773" s="12" t="s">
        <v>2522</v>
      </c>
      <c r="C13773" s="13" t="s">
        <v>2523</v>
      </c>
      <c r="D13773" s="13" t="s">
        <v>65</v>
      </c>
      <c r="E13773" s="12" t="s">
        <v>35</v>
      </c>
      <c r="F13773" s="14">
        <v>500000</v>
      </c>
      <c r="G13773" s="14">
        <v>351000</v>
      </c>
      <c r="H13773" s="13" t="s">
        <v>26251</v>
      </c>
      <c r="I13773" s="40" t="s">
        <v>18</v>
      </c>
      <c r="J13773" s="40" t="str">
        <f>HYPERLINK("https://stock.pstatic.net/stock-research/company/57/20250319_company_133819000.pdf","PDF")</f>
        <v>PDF</v>
      </c>
      <c r="K13773" s="12" t="s">
        <v>26252</v>
      </c>
      <c r="L13773" s="20">
        <v>0.42450142450142447</v>
      </c>
    </row>
    <row r="13774" spans="1:12" x14ac:dyDescent="0.45">
      <c r="A13774" s="12" t="s">
        <v>26246</v>
      </c>
      <c r="B13774" s="12" t="s">
        <v>402</v>
      </c>
      <c r="C13774" s="13" t="s">
        <v>403</v>
      </c>
      <c r="D13774" s="13" t="s">
        <v>65</v>
      </c>
      <c r="E13774" s="12" t="s">
        <v>35</v>
      </c>
      <c r="F13774" s="14">
        <v>86000</v>
      </c>
      <c r="G13774" s="14">
        <v>61100</v>
      </c>
      <c r="H13774" s="13" t="s">
        <v>26253</v>
      </c>
      <c r="I13774" s="40" t="s">
        <v>18</v>
      </c>
      <c r="J13774" s="40" t="str">
        <f>HYPERLINK("https://stock.pstatic.net/stock-research/company/57/20250319_company_175496000.pdf","PDF")</f>
        <v>PDF</v>
      </c>
      <c r="K13774" s="12" t="s">
        <v>26254</v>
      </c>
      <c r="L13774" s="20">
        <v>0.40752864157119478</v>
      </c>
    </row>
    <row r="13775" spans="1:12" x14ac:dyDescent="0.45">
      <c r="A13775" s="12" t="s">
        <v>26246</v>
      </c>
      <c r="B13775" s="12" t="s">
        <v>780</v>
      </c>
      <c r="C13775" s="13" t="s">
        <v>781</v>
      </c>
      <c r="D13775" s="13" t="s">
        <v>65</v>
      </c>
      <c r="E13775" s="12" t="s">
        <v>35</v>
      </c>
      <c r="F13775" s="14">
        <v>15000</v>
      </c>
      <c r="G13775" s="14">
        <v>7230</v>
      </c>
      <c r="H13775" s="13" t="s">
        <v>26255</v>
      </c>
      <c r="I13775" s="40" t="s">
        <v>18</v>
      </c>
      <c r="J13775" s="40" t="str">
        <f>HYPERLINK("https://stock.pstatic.net/stock-research/company/57/20250319_company_242354000.pdf","PDF")</f>
        <v>PDF</v>
      </c>
      <c r="K13775" s="12" t="s">
        <v>26256</v>
      </c>
      <c r="L13775" s="20">
        <v>1.0746887966804981</v>
      </c>
    </row>
    <row r="13776" spans="1:12" x14ac:dyDescent="0.45">
      <c r="A13776" s="12" t="s">
        <v>26246</v>
      </c>
      <c r="B13776" s="12" t="s">
        <v>1120</v>
      </c>
      <c r="C13776" s="13" t="s">
        <v>1121</v>
      </c>
      <c r="D13776" s="13" t="s">
        <v>57</v>
      </c>
      <c r="E13776" s="12" t="s">
        <v>35</v>
      </c>
      <c r="F13776" s="14">
        <v>140000</v>
      </c>
      <c r="G13776" s="14">
        <v>112800</v>
      </c>
      <c r="H13776" s="13" t="s">
        <v>26257</v>
      </c>
      <c r="I13776" s="40" t="s">
        <v>18</v>
      </c>
      <c r="J13776" s="40" t="str">
        <f>HYPERLINK("https://stock.pstatic.net/stock-research/company/16/20250319_company_212300000.pdf","PDF")</f>
        <v>PDF</v>
      </c>
      <c r="K13776" s="12" t="s">
        <v>26258</v>
      </c>
      <c r="L13776" s="20">
        <v>0.2411347517730496</v>
      </c>
    </row>
    <row r="13777" spans="1:12" x14ac:dyDescent="0.45">
      <c r="A13777" s="12" t="s">
        <v>26246</v>
      </c>
      <c r="B13777" s="12" t="s">
        <v>2089</v>
      </c>
      <c r="C13777" s="13" t="s">
        <v>2090</v>
      </c>
      <c r="D13777" s="13" t="s">
        <v>83</v>
      </c>
      <c r="E13777" s="12" t="s">
        <v>35</v>
      </c>
      <c r="F13777" s="14">
        <v>82000</v>
      </c>
      <c r="G13777" s="14">
        <v>58500</v>
      </c>
      <c r="H13777" s="13" t="s">
        <v>26259</v>
      </c>
      <c r="I13777" s="40" t="s">
        <v>18</v>
      </c>
      <c r="J13777" s="40" t="str">
        <f>HYPERLINK("https://stock.pstatic.net/stock-research/company/2/20250319_company_885498000.pdf","PDF")</f>
        <v>PDF</v>
      </c>
      <c r="K13777" s="12" t="s">
        <v>26260</v>
      </c>
      <c r="L13777" s="20">
        <v>0.40170940170940173</v>
      </c>
    </row>
    <row r="13778" spans="1:12" x14ac:dyDescent="0.45">
      <c r="A13778" s="12" t="s">
        <v>26246</v>
      </c>
      <c r="B13778" s="12" t="s">
        <v>42</v>
      </c>
      <c r="C13778" s="13" t="s">
        <v>43</v>
      </c>
      <c r="D13778" s="13" t="s">
        <v>83</v>
      </c>
      <c r="E13778" s="12" t="s">
        <v>35</v>
      </c>
      <c r="F13778" s="14">
        <v>280000</v>
      </c>
      <c r="G13778" s="14">
        <v>209000</v>
      </c>
      <c r="H13778" s="13" t="s">
        <v>26261</v>
      </c>
      <c r="I13778" s="40" t="s">
        <v>18</v>
      </c>
      <c r="J13778" s="40" t="str">
        <f>HYPERLINK("https://stock.pstatic.net/stock-research/company/2/20250319_company_131930000.pdf","PDF")</f>
        <v>PDF</v>
      </c>
      <c r="K13778" s="12" t="s">
        <v>26262</v>
      </c>
      <c r="L13778" s="20">
        <v>0.33971291866028708</v>
      </c>
    </row>
    <row r="13779" spans="1:12" x14ac:dyDescent="0.45">
      <c r="A13779" s="12" t="s">
        <v>26246</v>
      </c>
      <c r="B13779" s="12" t="s">
        <v>916</v>
      </c>
      <c r="C13779" s="13" t="s">
        <v>917</v>
      </c>
      <c r="D13779" s="13" t="s">
        <v>83</v>
      </c>
      <c r="E13779" s="12" t="s">
        <v>35</v>
      </c>
      <c r="F13779" s="14">
        <v>50000</v>
      </c>
      <c r="G13779" s="14">
        <v>44000</v>
      </c>
      <c r="H13779" s="13" t="s">
        <v>26263</v>
      </c>
      <c r="I13779" s="40" t="s">
        <v>18</v>
      </c>
      <c r="J13779" s="40" t="str">
        <f>HYPERLINK("https://stock.pstatic.net/stock-research/company/2/20250319_company_726510000.pdf","PDF")</f>
        <v>PDF</v>
      </c>
      <c r="K13779" s="12" t="s">
        <v>26264</v>
      </c>
      <c r="L13779" s="20">
        <v>0.13636363636363641</v>
      </c>
    </row>
    <row r="13780" spans="1:12" x14ac:dyDescent="0.45">
      <c r="A13780" s="12" t="s">
        <v>26246</v>
      </c>
      <c r="B13780" s="12" t="s">
        <v>3584</v>
      </c>
      <c r="C13780" s="13" t="s">
        <v>3585</v>
      </c>
      <c r="D13780" s="13" t="s">
        <v>83</v>
      </c>
      <c r="E13780" s="12" t="s">
        <v>35</v>
      </c>
      <c r="F13780" s="14">
        <v>27000</v>
      </c>
      <c r="G13780" s="14">
        <v>17850</v>
      </c>
      <c r="H13780" s="13" t="s">
        <v>26265</v>
      </c>
      <c r="I13780" s="40" t="s">
        <v>18</v>
      </c>
      <c r="J13780" s="40" t="str">
        <f>HYPERLINK("https://stock.pstatic.net/stock-research/company/2/20250319_company_750418000.pdf","PDF")</f>
        <v>PDF</v>
      </c>
      <c r="K13780" s="12" t="s">
        <v>26266</v>
      </c>
      <c r="L13780" s="20">
        <v>0.51260504201680668</v>
      </c>
    </row>
    <row r="13781" spans="1:12" x14ac:dyDescent="0.45">
      <c r="A13781" s="12" t="s">
        <v>26246</v>
      </c>
      <c r="B13781" s="12" t="s">
        <v>1286</v>
      </c>
      <c r="C13781" s="13" t="s">
        <v>1287</v>
      </c>
      <c r="D13781" s="13" t="s">
        <v>83</v>
      </c>
      <c r="E13781" s="12" t="s">
        <v>35</v>
      </c>
      <c r="F13781" s="14">
        <v>54000</v>
      </c>
      <c r="G13781" s="14">
        <v>35400</v>
      </c>
      <c r="H13781" s="13" t="s">
        <v>26267</v>
      </c>
      <c r="I13781" s="40" t="s">
        <v>18</v>
      </c>
      <c r="J13781" s="40" t="str">
        <f>HYPERLINK("https://stock.pstatic.net/stock-research/company/2/20250319_company_896736000.pdf","PDF")</f>
        <v>PDF</v>
      </c>
      <c r="K13781" s="12" t="s">
        <v>26268</v>
      </c>
      <c r="L13781" s="20">
        <v>0.52542372881355937</v>
      </c>
    </row>
    <row r="13782" spans="1:12" x14ac:dyDescent="0.45">
      <c r="A13782" s="12" t="s">
        <v>26246</v>
      </c>
      <c r="B13782" s="12" t="s">
        <v>4172</v>
      </c>
      <c r="C13782" s="13" t="s">
        <v>4173</v>
      </c>
      <c r="D13782" s="13" t="s">
        <v>83</v>
      </c>
      <c r="E13782" s="12" t="s">
        <v>35</v>
      </c>
      <c r="F13782" s="14">
        <v>13000</v>
      </c>
      <c r="G13782" s="14">
        <v>9000</v>
      </c>
      <c r="H13782" s="13" t="s">
        <v>26269</v>
      </c>
      <c r="I13782" s="40" t="s">
        <v>18</v>
      </c>
      <c r="J13782" s="40" t="str">
        <f>HYPERLINK("https://stock.pstatic.net/stock-research/company/2/20250319_company_631575000.pdf","PDF")</f>
        <v>PDF</v>
      </c>
      <c r="K13782" s="12" t="s">
        <v>26270</v>
      </c>
      <c r="L13782" s="20">
        <v>0.44444444444444442</v>
      </c>
    </row>
    <row r="13783" spans="1:12" x14ac:dyDescent="0.45">
      <c r="A13783" s="12" t="s">
        <v>26246</v>
      </c>
      <c r="B13783" s="12" t="s">
        <v>3548</v>
      </c>
      <c r="C13783" s="13" t="s">
        <v>3549</v>
      </c>
      <c r="D13783" s="13" t="s">
        <v>83</v>
      </c>
      <c r="E13783" s="12" t="s">
        <v>35</v>
      </c>
      <c r="F13783" s="14">
        <v>61000</v>
      </c>
      <c r="G13783" s="14">
        <v>47000</v>
      </c>
      <c r="H13783" s="13" t="s">
        <v>26271</v>
      </c>
      <c r="I13783" s="40" t="s">
        <v>18</v>
      </c>
      <c r="J13783" s="40" t="str">
        <f>HYPERLINK("https://stock.pstatic.net/stock-research/company/2/20250319_company_810084000.pdf","PDF")</f>
        <v>PDF</v>
      </c>
      <c r="K13783" s="12" t="s">
        <v>26272</v>
      </c>
      <c r="L13783" s="20">
        <v>0.2978723404255319</v>
      </c>
    </row>
    <row r="13784" spans="1:12" x14ac:dyDescent="0.45">
      <c r="A13784" s="12" t="s">
        <v>26246</v>
      </c>
      <c r="B13784" s="12" t="s">
        <v>1120</v>
      </c>
      <c r="C13784" s="13" t="s">
        <v>1121</v>
      </c>
      <c r="D13784" s="13" t="s">
        <v>83</v>
      </c>
      <c r="E13784" s="12" t="s">
        <v>35</v>
      </c>
      <c r="F13784" s="14">
        <v>140000</v>
      </c>
      <c r="G13784" s="14">
        <v>112800</v>
      </c>
      <c r="H13784" s="13" t="s">
        <v>26273</v>
      </c>
      <c r="I13784" s="40" t="s">
        <v>18</v>
      </c>
      <c r="J13784" s="40" t="str">
        <f>HYPERLINK("https://stock.pstatic.net/stock-research/company/2/20250319_company_83220000.pdf","PDF")</f>
        <v>PDF</v>
      </c>
      <c r="K13784" s="12" t="s">
        <v>26274</v>
      </c>
      <c r="L13784" s="20">
        <v>0.2411347517730496</v>
      </c>
    </row>
    <row r="13785" spans="1:12" x14ac:dyDescent="0.45">
      <c r="A13785" s="12" t="s">
        <v>26246</v>
      </c>
      <c r="B13785" s="12" t="s">
        <v>2887</v>
      </c>
      <c r="C13785" s="13" t="s">
        <v>2888</v>
      </c>
      <c r="D13785" s="13" t="s">
        <v>53</v>
      </c>
      <c r="E13785" s="12" t="s">
        <v>16</v>
      </c>
      <c r="F13785" s="14">
        <v>320000</v>
      </c>
      <c r="G13785" s="14">
        <v>231500</v>
      </c>
      <c r="H13785" s="13" t="s">
        <v>26275</v>
      </c>
      <c r="I13785" s="40" t="s">
        <v>18</v>
      </c>
      <c r="J13785" s="40" t="str">
        <f>HYPERLINK("https://stock.pstatic.net/stock-research/company/40/20250319_company_36501000.pdf","PDF")</f>
        <v>PDF</v>
      </c>
      <c r="K13785" s="12" t="s">
        <v>26276</v>
      </c>
      <c r="L13785" s="20">
        <v>0.38228941684665219</v>
      </c>
    </row>
    <row r="13786" spans="1:12" x14ac:dyDescent="0.45">
      <c r="A13786" s="12" t="s">
        <v>26246</v>
      </c>
      <c r="B13786" s="12" t="s">
        <v>24935</v>
      </c>
      <c r="C13786" s="13" t="s">
        <v>24936</v>
      </c>
      <c r="D13786" s="13" t="s">
        <v>179</v>
      </c>
      <c r="E13786" s="12" t="s">
        <v>50</v>
      </c>
      <c r="F13786" s="13"/>
      <c r="G13786" s="14">
        <v>20750</v>
      </c>
      <c r="H13786" s="13" t="s">
        <v>26277</v>
      </c>
      <c r="I13786" s="40" t="s">
        <v>18</v>
      </c>
      <c r="J13786" s="40" t="str">
        <f>HYPERLINK("https://stock.pstatic.net/stock-research/company/31/20250319_company_872565000.pdf","PDF")</f>
        <v>PDF</v>
      </c>
      <c r="K13786" s="12" t="s">
        <v>26278</v>
      </c>
    </row>
    <row r="13787" spans="1:12" x14ac:dyDescent="0.45">
      <c r="A13787" s="12" t="s">
        <v>26246</v>
      </c>
      <c r="B13787" s="12" t="s">
        <v>2187</v>
      </c>
      <c r="C13787" s="13" t="s">
        <v>2188</v>
      </c>
      <c r="D13787" s="13" t="s">
        <v>23</v>
      </c>
      <c r="E13787" s="12" t="s">
        <v>16</v>
      </c>
      <c r="F13787" s="14">
        <v>150000</v>
      </c>
      <c r="G13787" s="14">
        <v>118400</v>
      </c>
      <c r="H13787" s="13" t="s">
        <v>6250</v>
      </c>
      <c r="I13787" s="40" t="s">
        <v>18</v>
      </c>
      <c r="J13787" s="40" t="str">
        <f>HYPERLINK("https://stock.pstatic.net/stock-research/company/21/20250319_company_333390000.pdf","PDF")</f>
        <v>PDF</v>
      </c>
      <c r="K13787" s="12" t="s">
        <v>26279</v>
      </c>
      <c r="L13787" s="20">
        <v>0.26689189189189189</v>
      </c>
    </row>
    <row r="13788" spans="1:12" x14ac:dyDescent="0.45">
      <c r="A13788" s="12" t="s">
        <v>26246</v>
      </c>
      <c r="B13788" s="12" t="s">
        <v>1120</v>
      </c>
      <c r="C13788" s="13" t="s">
        <v>1121</v>
      </c>
      <c r="D13788" s="13" t="s">
        <v>92</v>
      </c>
      <c r="E13788" s="12" t="s">
        <v>35</v>
      </c>
      <c r="F13788" s="14">
        <v>147000</v>
      </c>
      <c r="G13788" s="14">
        <v>112800</v>
      </c>
      <c r="H13788" s="13" t="s">
        <v>26280</v>
      </c>
      <c r="I13788" s="40" t="s">
        <v>18</v>
      </c>
      <c r="J13788" s="40" t="str">
        <f>HYPERLINK("https://stock.pstatic.net/stock-research/company/1/20250319_company_913231000.pdf","PDF")</f>
        <v>PDF</v>
      </c>
      <c r="K13788" s="12" t="s">
        <v>26281</v>
      </c>
      <c r="L13788" s="20">
        <v>0.30319148936170209</v>
      </c>
    </row>
    <row r="13789" spans="1:12" x14ac:dyDescent="0.45">
      <c r="A13789" s="12" t="s">
        <v>26246</v>
      </c>
      <c r="B13789" s="12" t="s">
        <v>677</v>
      </c>
      <c r="C13789" s="13" t="s">
        <v>678</v>
      </c>
      <c r="D13789" s="13" t="s">
        <v>179</v>
      </c>
      <c r="E13789" s="12" t="s">
        <v>16</v>
      </c>
      <c r="F13789" s="14">
        <v>15000</v>
      </c>
      <c r="G13789" s="14">
        <v>12120</v>
      </c>
      <c r="H13789" s="13" t="s">
        <v>26282</v>
      </c>
      <c r="I13789" s="40" t="s">
        <v>18</v>
      </c>
      <c r="J13789" s="40" t="str">
        <f>HYPERLINK("https://stock.pstatic.net/stock-research/company/31/20250319_company_443112000.pdf","PDF")</f>
        <v>PDF</v>
      </c>
      <c r="K13789" s="12" t="s">
        <v>26283</v>
      </c>
      <c r="L13789" s="20">
        <v>0.23762376237623761</v>
      </c>
    </row>
    <row r="13790" spans="1:12" x14ac:dyDescent="0.45">
      <c r="A13790" s="12" t="s">
        <v>26246</v>
      </c>
      <c r="B13790" s="12" t="s">
        <v>507</v>
      </c>
      <c r="C13790" s="13" t="s">
        <v>508</v>
      </c>
      <c r="D13790" s="13" t="s">
        <v>179</v>
      </c>
      <c r="E13790" s="12" t="s">
        <v>16</v>
      </c>
      <c r="F13790" s="14">
        <v>15000</v>
      </c>
      <c r="G13790" s="14">
        <v>8750</v>
      </c>
      <c r="H13790" s="13" t="s">
        <v>26284</v>
      </c>
      <c r="I13790" s="40" t="s">
        <v>18</v>
      </c>
      <c r="J13790" s="40" t="str">
        <f>HYPERLINK("https://stock.pstatic.net/stock-research/company/31/20250319_company_202156000.pdf","PDF")</f>
        <v>PDF</v>
      </c>
      <c r="K13790" s="12" t="s">
        <v>26285</v>
      </c>
      <c r="L13790" s="20">
        <v>0.7142857142857143</v>
      </c>
    </row>
    <row r="13791" spans="1:12" x14ac:dyDescent="0.45">
      <c r="A13791" s="12" t="s">
        <v>26246</v>
      </c>
      <c r="B13791" s="12" t="s">
        <v>812</v>
      </c>
      <c r="C13791" s="13" t="s">
        <v>813</v>
      </c>
      <c r="D13791" s="13" t="s">
        <v>179</v>
      </c>
      <c r="E13791" s="12" t="s">
        <v>16</v>
      </c>
      <c r="F13791" s="14">
        <v>62000</v>
      </c>
      <c r="G13791" s="14">
        <v>49850</v>
      </c>
      <c r="H13791" s="13" t="s">
        <v>26286</v>
      </c>
      <c r="I13791" s="40" t="s">
        <v>18</v>
      </c>
      <c r="J13791" s="40" t="str">
        <f>HYPERLINK("https://stock.pstatic.net/stock-research/company/31/20250319_company_893706000.pdf","PDF")</f>
        <v>PDF</v>
      </c>
      <c r="K13791" s="12" t="s">
        <v>26287</v>
      </c>
      <c r="L13791" s="20">
        <v>0.24373119358074219</v>
      </c>
    </row>
    <row r="13792" spans="1:12" x14ac:dyDescent="0.45">
      <c r="A13792" s="12" t="s">
        <v>26246</v>
      </c>
      <c r="B13792" s="12" t="s">
        <v>698</v>
      </c>
      <c r="C13792" s="13" t="s">
        <v>699</v>
      </c>
      <c r="D13792" s="13" t="s">
        <v>179</v>
      </c>
      <c r="E13792" s="12" t="s">
        <v>16</v>
      </c>
      <c r="F13792" s="14">
        <v>220000</v>
      </c>
      <c r="G13792" s="14">
        <v>137400</v>
      </c>
      <c r="H13792" s="13" t="s">
        <v>26288</v>
      </c>
      <c r="I13792" s="40" t="s">
        <v>18</v>
      </c>
      <c r="J13792" s="40" t="str">
        <f>HYPERLINK("https://stock.pstatic.net/stock-research/company/31/20250319_company_609102000.pdf","PDF")</f>
        <v>PDF</v>
      </c>
      <c r="K13792" s="12" t="s">
        <v>26289</v>
      </c>
      <c r="L13792" s="20">
        <v>0.60116448326055316</v>
      </c>
    </row>
    <row r="13793" spans="1:12" x14ac:dyDescent="0.45">
      <c r="A13793" s="12" t="s">
        <v>26246</v>
      </c>
      <c r="B13793" s="12" t="s">
        <v>4021</v>
      </c>
      <c r="C13793" s="13" t="s">
        <v>4022</v>
      </c>
      <c r="D13793" s="13" t="s">
        <v>23</v>
      </c>
      <c r="E13793" s="12" t="s">
        <v>16</v>
      </c>
      <c r="F13793" s="14">
        <v>290000</v>
      </c>
      <c r="G13793" s="14">
        <v>209000</v>
      </c>
      <c r="H13793" s="13" t="s">
        <v>26290</v>
      </c>
      <c r="I13793" s="40" t="s">
        <v>18</v>
      </c>
      <c r="J13793" s="40" t="str">
        <f>HYPERLINK("https://stock.pstatic.net/stock-research/company/21/20250319_company_414671000.pdf","PDF")</f>
        <v>PDF</v>
      </c>
      <c r="K13793" s="12" t="s">
        <v>26291</v>
      </c>
      <c r="L13793" s="20">
        <v>0.38755980861244022</v>
      </c>
    </row>
    <row r="13794" spans="1:12" x14ac:dyDescent="0.45">
      <c r="A13794" s="12" t="s">
        <v>26246</v>
      </c>
      <c r="B13794" s="12" t="s">
        <v>1120</v>
      </c>
      <c r="C13794" s="13" t="s">
        <v>1121</v>
      </c>
      <c r="D13794" s="13" t="s">
        <v>23</v>
      </c>
      <c r="E13794" s="12" t="s">
        <v>16</v>
      </c>
      <c r="F13794" s="14">
        <v>140000</v>
      </c>
      <c r="G13794" s="14">
        <v>112800</v>
      </c>
      <c r="H13794" s="13" t="s">
        <v>1231</v>
      </c>
      <c r="I13794" s="40" t="s">
        <v>18</v>
      </c>
      <c r="J13794" s="40" t="str">
        <f>HYPERLINK("https://stock.pstatic.net/stock-research/company/21/20250319_company_985540000.pdf","PDF")</f>
        <v>PDF</v>
      </c>
      <c r="K13794" s="12" t="s">
        <v>26292</v>
      </c>
      <c r="L13794" s="20">
        <v>0.2411347517730496</v>
      </c>
    </row>
    <row r="13795" spans="1:12" x14ac:dyDescent="0.45">
      <c r="A13795" s="12" t="s">
        <v>26246</v>
      </c>
      <c r="B13795" s="12" t="s">
        <v>1120</v>
      </c>
      <c r="C13795" s="13" t="s">
        <v>1121</v>
      </c>
      <c r="D13795" s="13" t="s">
        <v>34</v>
      </c>
      <c r="E13795" s="12" t="s">
        <v>35</v>
      </c>
      <c r="F13795" s="14">
        <v>160000</v>
      </c>
      <c r="G13795" s="14">
        <v>106800</v>
      </c>
      <c r="H13795" s="13" t="s">
        <v>26293</v>
      </c>
      <c r="I13795" s="40" t="s">
        <v>18</v>
      </c>
      <c r="J13795" s="40" t="str">
        <f>HYPERLINK("https://stock.pstatic.net/stock-research/company/61/20250319_company_253525000.pdf","PDF")</f>
        <v>PDF</v>
      </c>
      <c r="K13795" s="12" t="s">
        <v>26294</v>
      </c>
      <c r="L13795" s="20">
        <v>0.49812734082396998</v>
      </c>
    </row>
    <row r="13796" spans="1:12" x14ac:dyDescent="0.45">
      <c r="A13796" s="12" t="s">
        <v>26246</v>
      </c>
      <c r="B13796" s="12" t="s">
        <v>780</v>
      </c>
      <c r="C13796" s="13" t="s">
        <v>781</v>
      </c>
      <c r="D13796" s="13" t="s">
        <v>92</v>
      </c>
      <c r="E13796" s="12" t="s">
        <v>50</v>
      </c>
      <c r="F13796" s="13"/>
      <c r="G13796" s="14">
        <v>7230</v>
      </c>
      <c r="H13796" s="13" t="s">
        <v>26295</v>
      </c>
      <c r="I13796" s="40" t="s">
        <v>18</v>
      </c>
      <c r="J13796" s="40" t="str">
        <f>HYPERLINK("https://stock.pstatic.net/stock-research/company/63/20250319_company_638912000.pdf","PDF")</f>
        <v>PDF</v>
      </c>
      <c r="K13796" s="12" t="s">
        <v>26296</v>
      </c>
    </row>
    <row r="13797" spans="1:12" x14ac:dyDescent="0.45">
      <c r="A13797" s="12" t="s">
        <v>26246</v>
      </c>
      <c r="B13797" s="12" t="s">
        <v>1120</v>
      </c>
      <c r="C13797" s="13" t="s">
        <v>1121</v>
      </c>
      <c r="D13797" s="13" t="s">
        <v>44</v>
      </c>
      <c r="E13797" s="12" t="s">
        <v>35</v>
      </c>
      <c r="F13797" s="14">
        <v>150000</v>
      </c>
      <c r="G13797" s="14">
        <v>112800</v>
      </c>
      <c r="H13797" s="13" t="s">
        <v>26297</v>
      </c>
      <c r="I13797" s="40" t="s">
        <v>18</v>
      </c>
      <c r="J13797" s="40" t="str">
        <f>HYPERLINK("https://stock.pstatic.net/stock-research/company/38/20250319_company_534575000.pdf","PDF")</f>
        <v>PDF</v>
      </c>
      <c r="K13797" s="12" t="s">
        <v>26298</v>
      </c>
      <c r="L13797" s="20">
        <v>0.32978723404255322</v>
      </c>
    </row>
    <row r="13798" spans="1:12" x14ac:dyDescent="0.45">
      <c r="A13798" s="12" t="s">
        <v>26299</v>
      </c>
      <c r="B13798" s="12" t="s">
        <v>4668</v>
      </c>
      <c r="C13798" s="13" t="s">
        <v>4669</v>
      </c>
      <c r="D13798" s="13" t="s">
        <v>65</v>
      </c>
      <c r="E13798" s="12" t="s">
        <v>35</v>
      </c>
      <c r="F13798" s="14">
        <v>16000</v>
      </c>
      <c r="G13798" s="14">
        <v>12750</v>
      </c>
      <c r="H13798" s="13" t="s">
        <v>26300</v>
      </c>
      <c r="I13798" s="40" t="s">
        <v>18</v>
      </c>
      <c r="J13798" s="40" t="str">
        <f>HYPERLINK("https://stock.pstatic.net/stock-research/company/57/20250318_company_975932000.pdf","PDF")</f>
        <v>PDF</v>
      </c>
      <c r="K13798" s="12" t="s">
        <v>26301</v>
      </c>
      <c r="L13798" s="20">
        <v>0.25490196078431371</v>
      </c>
    </row>
    <row r="13799" spans="1:12" x14ac:dyDescent="0.45">
      <c r="A13799" s="12" t="s">
        <v>26299</v>
      </c>
      <c r="B13799" s="12" t="s">
        <v>19970</v>
      </c>
      <c r="C13799" s="13" t="s">
        <v>19971</v>
      </c>
      <c r="D13799" s="13" t="s">
        <v>65</v>
      </c>
      <c r="E13799" s="12" t="s">
        <v>35</v>
      </c>
      <c r="F13799" s="14">
        <v>26000</v>
      </c>
      <c r="G13799" s="14">
        <v>21350</v>
      </c>
      <c r="H13799" s="13" t="s">
        <v>26302</v>
      </c>
      <c r="I13799" s="40" t="s">
        <v>18</v>
      </c>
      <c r="J13799" s="40" t="str">
        <f>HYPERLINK("https://stock.pstatic.net/stock-research/company/57/20250318_company_972853000.pdf","PDF")</f>
        <v>PDF</v>
      </c>
      <c r="K13799" s="12" t="s">
        <v>26303</v>
      </c>
      <c r="L13799" s="20">
        <v>0.2177985948477752</v>
      </c>
    </row>
    <row r="13800" spans="1:12" x14ac:dyDescent="0.45">
      <c r="A13800" s="12" t="s">
        <v>26299</v>
      </c>
      <c r="B13800" s="12" t="s">
        <v>259</v>
      </c>
      <c r="C13800" s="13" t="s">
        <v>260</v>
      </c>
      <c r="D13800" s="13" t="s">
        <v>65</v>
      </c>
      <c r="E13800" s="12" t="s">
        <v>35</v>
      </c>
      <c r="F13800" s="14">
        <v>90000</v>
      </c>
      <c r="G13800" s="14">
        <v>69700</v>
      </c>
      <c r="H13800" s="13" t="s">
        <v>26304</v>
      </c>
      <c r="I13800" s="40" t="s">
        <v>18</v>
      </c>
      <c r="J13800" s="40" t="str">
        <f>HYPERLINK("https://stock.pstatic.net/stock-research/company/57/20250318_company_235598000.pdf","PDF")</f>
        <v>PDF</v>
      </c>
      <c r="K13800" s="12" t="s">
        <v>26305</v>
      </c>
      <c r="L13800" s="20">
        <v>0.29124820659971312</v>
      </c>
    </row>
    <row r="13801" spans="1:12" x14ac:dyDescent="0.45">
      <c r="A13801" s="12" t="s">
        <v>26299</v>
      </c>
      <c r="B13801" s="12" t="s">
        <v>259</v>
      </c>
      <c r="C13801" s="13" t="s">
        <v>260</v>
      </c>
      <c r="D13801" s="13" t="s">
        <v>57</v>
      </c>
      <c r="E13801" s="12" t="s">
        <v>35</v>
      </c>
      <c r="F13801" s="14">
        <v>80000</v>
      </c>
      <c r="G13801" s="14">
        <v>69700</v>
      </c>
      <c r="H13801" s="13" t="s">
        <v>26306</v>
      </c>
      <c r="I13801" s="40" t="s">
        <v>18</v>
      </c>
      <c r="J13801" s="40" t="str">
        <f>HYPERLINK("https://stock.pstatic.net/stock-research/company/16/20250318_company_714349000.pdf","PDF")</f>
        <v>PDF</v>
      </c>
      <c r="K13801" s="12" t="s">
        <v>26307</v>
      </c>
      <c r="L13801" s="20">
        <v>0.1477761836441894</v>
      </c>
    </row>
    <row r="13802" spans="1:12" x14ac:dyDescent="0.45">
      <c r="A13802" s="12" t="s">
        <v>26299</v>
      </c>
      <c r="B13802" s="12" t="s">
        <v>4927</v>
      </c>
      <c r="C13802" s="13" t="s">
        <v>4928</v>
      </c>
      <c r="D13802" s="13" t="s">
        <v>57</v>
      </c>
      <c r="E13802" s="12" t="s">
        <v>50</v>
      </c>
      <c r="F13802" s="13"/>
      <c r="G13802" s="14">
        <v>86100</v>
      </c>
      <c r="H13802" s="13" t="s">
        <v>26308</v>
      </c>
      <c r="I13802" s="40" t="s">
        <v>18</v>
      </c>
      <c r="J13802" s="40" t="str">
        <f>HYPERLINK("https://stock.pstatic.net/stock-research/company/16/20250318_company_618994000.pdf","PDF")</f>
        <v>PDF</v>
      </c>
      <c r="K13802" s="12" t="s">
        <v>26309</v>
      </c>
    </row>
    <row r="13803" spans="1:12" x14ac:dyDescent="0.45">
      <c r="A13803" s="12" t="s">
        <v>26299</v>
      </c>
      <c r="B13803" s="12" t="s">
        <v>259</v>
      </c>
      <c r="C13803" s="13" t="s">
        <v>260</v>
      </c>
      <c r="D13803" s="13" t="s">
        <v>158</v>
      </c>
      <c r="E13803" s="12" t="s">
        <v>35</v>
      </c>
      <c r="F13803" s="14">
        <v>85000</v>
      </c>
      <c r="G13803" s="14">
        <v>69700</v>
      </c>
      <c r="H13803" s="13" t="s">
        <v>26310</v>
      </c>
      <c r="I13803" s="40" t="s">
        <v>18</v>
      </c>
      <c r="J13803" s="40" t="str">
        <f>HYPERLINK("https://stock.pstatic.net/stock-research/company/18/20250318_company_870264000.pdf","PDF")</f>
        <v>PDF</v>
      </c>
      <c r="K13803" s="12" t="s">
        <v>26311</v>
      </c>
      <c r="L13803" s="20">
        <v>0.21951219512195119</v>
      </c>
    </row>
    <row r="13804" spans="1:12" x14ac:dyDescent="0.45">
      <c r="A13804" s="12" t="s">
        <v>26299</v>
      </c>
      <c r="B13804" s="12" t="s">
        <v>5048</v>
      </c>
      <c r="C13804" s="13" t="s">
        <v>5049</v>
      </c>
      <c r="D13804" s="13" t="s">
        <v>124</v>
      </c>
      <c r="E13804" s="12" t="s">
        <v>50</v>
      </c>
      <c r="F13804" s="13"/>
      <c r="G13804" s="13"/>
      <c r="H13804" s="13" t="s">
        <v>26312</v>
      </c>
      <c r="I13804" s="40" t="s">
        <v>18</v>
      </c>
      <c r="J13804" s="40" t="str">
        <f>HYPERLINK("https://stock.pstatic.net/stock-research/company/74/20250318_company_865647000.pdf","PDF")</f>
        <v>PDF</v>
      </c>
      <c r="K13804" s="12" t="s">
        <v>26313</v>
      </c>
    </row>
    <row r="13805" spans="1:12" x14ac:dyDescent="0.45">
      <c r="A13805" s="12" t="s">
        <v>26299</v>
      </c>
      <c r="B13805" s="12" t="s">
        <v>5040</v>
      </c>
      <c r="C13805" s="13" t="s">
        <v>26314</v>
      </c>
      <c r="D13805" s="13" t="s">
        <v>124</v>
      </c>
      <c r="E13805" s="12" t="s">
        <v>50</v>
      </c>
      <c r="F13805" s="13"/>
      <c r="G13805" s="14">
        <v>6590</v>
      </c>
      <c r="H13805" s="13" t="s">
        <v>26315</v>
      </c>
      <c r="I13805" s="40" t="s">
        <v>18</v>
      </c>
      <c r="J13805" s="40" t="str">
        <f>HYPERLINK("https://stock.pstatic.net/stock-research/company/74/20250318_company_646062000.pdf","PDF")</f>
        <v>PDF</v>
      </c>
      <c r="K13805" s="12" t="s">
        <v>26316</v>
      </c>
    </row>
    <row r="13806" spans="1:12" x14ac:dyDescent="0.45">
      <c r="A13806" s="12" t="s">
        <v>26299</v>
      </c>
      <c r="B13806" s="12" t="s">
        <v>259</v>
      </c>
      <c r="C13806" s="13" t="s">
        <v>260</v>
      </c>
      <c r="D13806" s="13" t="s">
        <v>15</v>
      </c>
      <c r="E13806" s="12" t="s">
        <v>16</v>
      </c>
      <c r="F13806" s="14">
        <v>90000</v>
      </c>
      <c r="G13806" s="14">
        <v>69700</v>
      </c>
      <c r="H13806" s="13" t="s">
        <v>26317</v>
      </c>
      <c r="I13806" s="40" t="s">
        <v>18</v>
      </c>
      <c r="J13806" s="40" t="str">
        <f>HYPERLINK("https://stock.pstatic.net/stock-research/company/29/20250318_company_5522000.pdf","PDF")</f>
        <v>PDF</v>
      </c>
      <c r="K13806" s="12" t="s">
        <v>26318</v>
      </c>
      <c r="L13806" s="20">
        <v>0.29124820659971312</v>
      </c>
    </row>
    <row r="13807" spans="1:12" x14ac:dyDescent="0.45">
      <c r="A13807" s="12" t="s">
        <v>26299</v>
      </c>
      <c r="B13807" s="12" t="s">
        <v>259</v>
      </c>
      <c r="C13807" s="13" t="s">
        <v>260</v>
      </c>
      <c r="D13807" s="13" t="s">
        <v>83</v>
      </c>
      <c r="E13807" s="12" t="s">
        <v>35</v>
      </c>
      <c r="F13807" s="14">
        <v>85000</v>
      </c>
      <c r="G13807" s="14">
        <v>69700</v>
      </c>
      <c r="H13807" s="13" t="s">
        <v>26319</v>
      </c>
      <c r="I13807" s="40" t="s">
        <v>18</v>
      </c>
      <c r="J13807" s="40" t="str">
        <f>HYPERLINK("https://stock.pstatic.net/stock-research/company/2/20250318_company_286323000.pdf","PDF")</f>
        <v>PDF</v>
      </c>
      <c r="K13807" s="12" t="s">
        <v>26320</v>
      </c>
      <c r="L13807" s="20">
        <v>0.21951219512195119</v>
      </c>
    </row>
    <row r="13808" spans="1:12" x14ac:dyDescent="0.45">
      <c r="A13808" s="12" t="s">
        <v>26299</v>
      </c>
      <c r="B13808" s="12" t="s">
        <v>259</v>
      </c>
      <c r="C13808" s="13" t="s">
        <v>260</v>
      </c>
      <c r="D13808" s="13" t="s">
        <v>92</v>
      </c>
      <c r="E13808" s="12" t="s">
        <v>35</v>
      </c>
      <c r="F13808" s="14">
        <v>77000</v>
      </c>
      <c r="G13808" s="14">
        <v>69700</v>
      </c>
      <c r="H13808" s="13" t="s">
        <v>26321</v>
      </c>
      <c r="I13808" s="40" t="s">
        <v>18</v>
      </c>
      <c r="J13808" s="40" t="str">
        <f>HYPERLINK("https://stock.pstatic.net/stock-research/company/1/20250318_company_957958000.pdf","PDF")</f>
        <v>PDF</v>
      </c>
      <c r="K13808" s="12" t="s">
        <v>26322</v>
      </c>
      <c r="L13808" s="20">
        <v>0.1047345767575323</v>
      </c>
    </row>
    <row r="13809" spans="1:12" x14ac:dyDescent="0.45">
      <c r="A13809" s="12" t="s">
        <v>26299</v>
      </c>
      <c r="B13809" s="12" t="s">
        <v>4450</v>
      </c>
      <c r="C13809" s="13" t="s">
        <v>4451</v>
      </c>
      <c r="D13809" s="13" t="s">
        <v>179</v>
      </c>
      <c r="E13809" s="12" t="s">
        <v>50</v>
      </c>
      <c r="F13809" s="13"/>
      <c r="G13809" s="14">
        <v>9680</v>
      </c>
      <c r="H13809" s="13" t="s">
        <v>26323</v>
      </c>
      <c r="I13809" s="40" t="s">
        <v>18</v>
      </c>
      <c r="J13809" s="40" t="str">
        <f>HYPERLINK("https://stock.pstatic.net/stock-research/company/31/20250318_company_97492000.pdf","PDF")</f>
        <v>PDF</v>
      </c>
      <c r="K13809" s="12" t="s">
        <v>26324</v>
      </c>
    </row>
    <row r="13810" spans="1:12" x14ac:dyDescent="0.45">
      <c r="A13810" s="12" t="s">
        <v>26299</v>
      </c>
      <c r="B13810" s="12" t="s">
        <v>268</v>
      </c>
      <c r="C13810" s="13" t="s">
        <v>269</v>
      </c>
      <c r="D13810" s="13" t="s">
        <v>23</v>
      </c>
      <c r="E13810" s="12" t="s">
        <v>16</v>
      </c>
      <c r="F13810" s="14">
        <v>730000</v>
      </c>
      <c r="G13810" s="14">
        <v>439500</v>
      </c>
      <c r="H13810" s="13" t="s">
        <v>26325</v>
      </c>
      <c r="I13810" s="40" t="s">
        <v>18</v>
      </c>
      <c r="J13810" s="40" t="str">
        <f>HYPERLINK("https://stock.pstatic.net/stock-research/company/21/20250318_company_718199000.pdf","PDF")</f>
        <v>PDF</v>
      </c>
      <c r="K13810" s="12" t="s">
        <v>26326</v>
      </c>
      <c r="L13810" s="20">
        <v>0.66097838452787261</v>
      </c>
    </row>
    <row r="13811" spans="1:12" x14ac:dyDescent="0.45">
      <c r="A13811" s="12" t="s">
        <v>26299</v>
      </c>
      <c r="B13811" s="12" t="s">
        <v>916</v>
      </c>
      <c r="C13811" s="13" t="s">
        <v>917</v>
      </c>
      <c r="D13811" s="13" t="s">
        <v>179</v>
      </c>
      <c r="E13811" s="12" t="s">
        <v>16</v>
      </c>
      <c r="F13811" s="14">
        <v>53000</v>
      </c>
      <c r="G13811" s="14">
        <v>43500</v>
      </c>
      <c r="H13811" s="13" t="s">
        <v>26327</v>
      </c>
      <c r="I13811" s="40" t="s">
        <v>18</v>
      </c>
      <c r="J13811" s="40" t="str">
        <f>HYPERLINK("https://stock.pstatic.net/stock-research/company/1/20250318_company_17105000.pdf","PDF")</f>
        <v>PDF</v>
      </c>
      <c r="K13811" s="12" t="s">
        <v>26328</v>
      </c>
      <c r="L13811" s="20">
        <v>0.21839080459770119</v>
      </c>
    </row>
    <row r="13812" spans="1:12" x14ac:dyDescent="0.45">
      <c r="A13812" s="12" t="s">
        <v>26299</v>
      </c>
      <c r="B13812" s="12" t="s">
        <v>42</v>
      </c>
      <c r="C13812" s="13" t="s">
        <v>43</v>
      </c>
      <c r="D13812" s="13" t="s">
        <v>179</v>
      </c>
      <c r="E13812" s="12" t="s">
        <v>16</v>
      </c>
      <c r="F13812" s="14">
        <v>300000</v>
      </c>
      <c r="G13812" s="14">
        <v>211000</v>
      </c>
      <c r="H13812" s="13" t="s">
        <v>26329</v>
      </c>
      <c r="I13812" s="40" t="s">
        <v>18</v>
      </c>
      <c r="J13812" s="40" t="str">
        <f>HYPERLINK("https://stock.pstatic.net/stock-research/company/31/20250318_company_568779000.pdf","PDF")</f>
        <v>PDF</v>
      </c>
      <c r="K13812" s="12" t="s">
        <v>26330</v>
      </c>
      <c r="L13812" s="20">
        <v>0.4218009478672986</v>
      </c>
    </row>
    <row r="13813" spans="1:12" x14ac:dyDescent="0.45">
      <c r="A13813" s="12" t="s">
        <v>26299</v>
      </c>
      <c r="B13813" s="12" t="s">
        <v>1036</v>
      </c>
      <c r="C13813" s="13" t="s">
        <v>1037</v>
      </c>
      <c r="D13813" s="13" t="s">
        <v>53</v>
      </c>
      <c r="E13813" s="12" t="s">
        <v>16</v>
      </c>
      <c r="F13813" s="14">
        <v>22000</v>
      </c>
      <c r="G13813" s="14">
        <v>15550</v>
      </c>
      <c r="H13813" s="13" t="s">
        <v>26331</v>
      </c>
      <c r="I13813" s="40" t="s">
        <v>18</v>
      </c>
      <c r="J13813" s="40" t="str">
        <f>HYPERLINK("https://stock.pstatic.net/stock-research/company/40/20250318_company_272213000.pdf","PDF")</f>
        <v>PDF</v>
      </c>
      <c r="K13813" s="12" t="s">
        <v>26332</v>
      </c>
      <c r="L13813" s="20">
        <v>0.41479099678456588</v>
      </c>
    </row>
    <row r="13814" spans="1:12" x14ac:dyDescent="0.45">
      <c r="A13814" s="12" t="s">
        <v>26299</v>
      </c>
      <c r="B13814" s="12" t="s">
        <v>8204</v>
      </c>
      <c r="C13814" s="13" t="s">
        <v>8205</v>
      </c>
      <c r="D13814" s="13" t="s">
        <v>15</v>
      </c>
      <c r="E13814" s="12" t="s">
        <v>16</v>
      </c>
      <c r="F13814" s="14">
        <v>84000</v>
      </c>
      <c r="G13814" s="14">
        <v>58200</v>
      </c>
      <c r="H13814" s="13" t="s">
        <v>26333</v>
      </c>
      <c r="I13814" s="40" t="s">
        <v>18</v>
      </c>
      <c r="J13814" s="40" t="str">
        <f>HYPERLINK("https://stock.pstatic.net/stock-research/company/29/20250318_company_673636000.pdf","PDF")</f>
        <v>PDF</v>
      </c>
      <c r="K13814" s="12" t="s">
        <v>26334</v>
      </c>
      <c r="L13814" s="20">
        <v>0.44329896907216487</v>
      </c>
    </row>
    <row r="13815" spans="1:12" x14ac:dyDescent="0.45">
      <c r="A13815" s="12" t="s">
        <v>26335</v>
      </c>
      <c r="B13815" s="12" t="s">
        <v>1162</v>
      </c>
      <c r="C13815" s="13" t="s">
        <v>1163</v>
      </c>
      <c r="D13815" s="13" t="s">
        <v>276</v>
      </c>
      <c r="E13815" s="12" t="s">
        <v>16</v>
      </c>
      <c r="F13815" s="14">
        <v>180000</v>
      </c>
      <c r="G13815" s="14">
        <v>127800</v>
      </c>
      <c r="H13815" s="13" t="s">
        <v>26336</v>
      </c>
      <c r="I13815" s="40" t="s">
        <v>18</v>
      </c>
      <c r="J13815" s="40" t="str">
        <f>HYPERLINK("https://stock.pstatic.net/stock-research/company/1/20250317_company_916801000.pdf","PDF")</f>
        <v>PDF</v>
      </c>
      <c r="K13815" s="12" t="s">
        <v>26337</v>
      </c>
      <c r="L13815" s="20">
        <v>0.40845070422535212</v>
      </c>
    </row>
    <row r="13816" spans="1:12" x14ac:dyDescent="0.45">
      <c r="A13816" s="12" t="s">
        <v>26335</v>
      </c>
      <c r="B13816" s="12" t="s">
        <v>6914</v>
      </c>
      <c r="C13816" s="13" t="s">
        <v>6915</v>
      </c>
      <c r="D13816" s="13" t="s">
        <v>60</v>
      </c>
      <c r="E13816" s="12" t="s">
        <v>50</v>
      </c>
      <c r="F13816" s="13"/>
      <c r="G13816" s="14">
        <v>47450</v>
      </c>
      <c r="H13816" s="13" t="s">
        <v>26338</v>
      </c>
      <c r="I13816" s="40" t="s">
        <v>18</v>
      </c>
      <c r="J13816" s="40" t="str">
        <f>HYPERLINK("https://stock.pstatic.net/stock-research/company/62/20250317_company_624829000.pdf","PDF")</f>
        <v>PDF</v>
      </c>
      <c r="K13816" s="12" t="s">
        <v>26339</v>
      </c>
    </row>
    <row r="13817" spans="1:12" x14ac:dyDescent="0.45">
      <c r="A13817" s="12" t="s">
        <v>26335</v>
      </c>
      <c r="B13817" s="12" t="s">
        <v>6914</v>
      </c>
      <c r="C13817" s="13" t="s">
        <v>6915</v>
      </c>
      <c r="D13817" s="13" t="s">
        <v>65</v>
      </c>
      <c r="E13817" s="12" t="s">
        <v>50</v>
      </c>
      <c r="F13817" s="13"/>
      <c r="G13817" s="14">
        <v>23850</v>
      </c>
      <c r="H13817" s="13" t="s">
        <v>26340</v>
      </c>
      <c r="I13817" s="40" t="s">
        <v>18</v>
      </c>
      <c r="J13817" s="40" t="str">
        <f>HYPERLINK("https://stock.pstatic.net/stock-research/company/1/20250317_company_785151000.pdf","PDF")</f>
        <v>PDF</v>
      </c>
      <c r="K13817" s="12" t="s">
        <v>26341</v>
      </c>
    </row>
    <row r="13818" spans="1:12" x14ac:dyDescent="0.45">
      <c r="A13818" s="12" t="s">
        <v>26335</v>
      </c>
      <c r="B13818" s="12" t="s">
        <v>3708</v>
      </c>
      <c r="C13818" s="13" t="s">
        <v>3709</v>
      </c>
      <c r="D13818" s="13" t="s">
        <v>65</v>
      </c>
      <c r="E13818" s="12" t="s">
        <v>50</v>
      </c>
      <c r="F13818" s="13"/>
      <c r="G13818" s="14">
        <v>11790</v>
      </c>
      <c r="H13818" s="13" t="s">
        <v>26342</v>
      </c>
      <c r="I13818" s="40" t="s">
        <v>18</v>
      </c>
      <c r="J13818" s="40" t="str">
        <f>HYPERLINK("https://stock.pstatic.net/stock-research/company/1/20250317_company_175559000.pdf","PDF")</f>
        <v>PDF</v>
      </c>
      <c r="K13818" s="12" t="s">
        <v>26343</v>
      </c>
    </row>
    <row r="13819" spans="1:12" x14ac:dyDescent="0.45">
      <c r="A13819" s="12" t="s">
        <v>26335</v>
      </c>
      <c r="B13819" s="12" t="s">
        <v>1765</v>
      </c>
      <c r="C13819" s="13" t="s">
        <v>1766</v>
      </c>
      <c r="D13819" s="13" t="s">
        <v>65</v>
      </c>
      <c r="E13819" s="12" t="s">
        <v>35</v>
      </c>
      <c r="F13819" s="14">
        <v>140000</v>
      </c>
      <c r="G13819" s="14">
        <v>99500</v>
      </c>
      <c r="H13819" s="13" t="s">
        <v>26344</v>
      </c>
      <c r="I13819" s="40" t="s">
        <v>18</v>
      </c>
      <c r="J13819" s="40" t="str">
        <f>HYPERLINK("https://stock.pstatic.net/stock-research/company/57/20250317_company_974452000.pdf","PDF")</f>
        <v>PDF</v>
      </c>
      <c r="K13819" s="12" t="s">
        <v>26345</v>
      </c>
      <c r="L13819" s="20">
        <v>0.40703517587939703</v>
      </c>
    </row>
    <row r="13820" spans="1:12" x14ac:dyDescent="0.45">
      <c r="A13820" s="12" t="s">
        <v>26335</v>
      </c>
      <c r="B13820" s="12" t="s">
        <v>4206</v>
      </c>
      <c r="C13820" s="13" t="s">
        <v>4207</v>
      </c>
      <c r="D13820" s="13" t="s">
        <v>65</v>
      </c>
      <c r="E13820" s="12" t="s">
        <v>50</v>
      </c>
      <c r="F13820" s="13"/>
      <c r="G13820" s="14">
        <v>20600</v>
      </c>
      <c r="H13820" s="13" t="s">
        <v>26346</v>
      </c>
      <c r="I13820" s="40" t="s">
        <v>18</v>
      </c>
      <c r="J13820" s="40" t="str">
        <f>HYPERLINK("https://stock.pstatic.net/stock-research/company/57/20250317_company_458113000.pdf","PDF")</f>
        <v>PDF</v>
      </c>
      <c r="K13820" s="12" t="s">
        <v>26347</v>
      </c>
    </row>
    <row r="13821" spans="1:12" x14ac:dyDescent="0.45">
      <c r="A13821" s="12" t="s">
        <v>26335</v>
      </c>
      <c r="B13821" s="12" t="s">
        <v>450</v>
      </c>
      <c r="C13821" s="13" t="s">
        <v>451</v>
      </c>
      <c r="D13821" s="13" t="s">
        <v>57</v>
      </c>
      <c r="E13821" s="12" t="s">
        <v>35</v>
      </c>
      <c r="F13821" s="14">
        <v>360000</v>
      </c>
      <c r="G13821" s="14">
        <v>327000</v>
      </c>
      <c r="H13821" s="13" t="s">
        <v>26348</v>
      </c>
      <c r="I13821" s="40" t="s">
        <v>18</v>
      </c>
      <c r="J13821" s="40" t="str">
        <f>HYPERLINK("https://stock.pstatic.net/stock-research/company/16/20250317_company_774972000.pdf","PDF")</f>
        <v>PDF</v>
      </c>
      <c r="K13821" s="12" t="s">
        <v>26349</v>
      </c>
      <c r="L13821" s="20">
        <v>0.1009174311926606</v>
      </c>
    </row>
    <row r="13822" spans="1:12" x14ac:dyDescent="0.45">
      <c r="A13822" s="12" t="s">
        <v>26335</v>
      </c>
      <c r="B13822" s="12" t="s">
        <v>2105</v>
      </c>
      <c r="C13822" s="13" t="s">
        <v>2106</v>
      </c>
      <c r="D13822" s="13" t="s">
        <v>15</v>
      </c>
      <c r="E13822" s="12" t="s">
        <v>16</v>
      </c>
      <c r="F13822" s="14">
        <v>98000</v>
      </c>
      <c r="G13822" s="14">
        <v>56900</v>
      </c>
      <c r="H13822" s="13" t="s">
        <v>26350</v>
      </c>
      <c r="I13822" s="40" t="s">
        <v>18</v>
      </c>
      <c r="J13822" s="40" t="str">
        <f>HYPERLINK("https://stock.pstatic.net/stock-research/company/1/20250317_company_345620000.pdf","PDF")</f>
        <v>PDF</v>
      </c>
      <c r="K13822" s="12" t="s">
        <v>26351</v>
      </c>
      <c r="L13822" s="20">
        <v>0.72231985940246046</v>
      </c>
    </row>
    <row r="13823" spans="1:12" x14ac:dyDescent="0.45">
      <c r="A13823" s="12" t="s">
        <v>26335</v>
      </c>
      <c r="B13823" s="12" t="s">
        <v>3150</v>
      </c>
      <c r="C13823" s="13" t="s">
        <v>3151</v>
      </c>
      <c r="D13823" s="13" t="s">
        <v>92</v>
      </c>
      <c r="E13823" s="12" t="s">
        <v>35</v>
      </c>
      <c r="F13823" s="14">
        <v>50000</v>
      </c>
      <c r="G13823" s="14">
        <v>37650</v>
      </c>
      <c r="H13823" s="13" t="s">
        <v>26352</v>
      </c>
      <c r="I13823" s="40" t="s">
        <v>18</v>
      </c>
      <c r="J13823" s="40" t="str">
        <f>HYPERLINK("https://stock.pstatic.net/stock-research/company/63/20250317_company_965782000.pdf","PDF")</f>
        <v>PDF</v>
      </c>
      <c r="K13823" s="12" t="s">
        <v>26353</v>
      </c>
      <c r="L13823" s="20">
        <v>0.32802124833997343</v>
      </c>
    </row>
    <row r="13824" spans="1:12" x14ac:dyDescent="0.45">
      <c r="A13824" s="12" t="s">
        <v>26335</v>
      </c>
      <c r="B13824" s="12" t="s">
        <v>1765</v>
      </c>
      <c r="C13824" s="13" t="s">
        <v>1766</v>
      </c>
      <c r="D13824" s="13" t="s">
        <v>83</v>
      </c>
      <c r="E13824" s="12" t="s">
        <v>35</v>
      </c>
      <c r="F13824" s="14">
        <v>150000</v>
      </c>
      <c r="G13824" s="14">
        <v>99500</v>
      </c>
      <c r="H13824" s="13" t="s">
        <v>26354</v>
      </c>
      <c r="I13824" s="40" t="s">
        <v>18</v>
      </c>
      <c r="J13824" s="40" t="str">
        <f>HYPERLINK("https://stock.pstatic.net/stock-research/company/1/20250317_company_137897000.pdf","PDF")</f>
        <v>PDF</v>
      </c>
      <c r="K13824" s="12" t="s">
        <v>26355</v>
      </c>
      <c r="L13824" s="20">
        <v>0.50753768844221103</v>
      </c>
    </row>
    <row r="13825" spans="1:12" x14ac:dyDescent="0.45">
      <c r="A13825" s="12" t="s">
        <v>26335</v>
      </c>
      <c r="B13825" s="12" t="s">
        <v>2777</v>
      </c>
      <c r="C13825" s="13" t="s">
        <v>2778</v>
      </c>
      <c r="D13825" s="13" t="s">
        <v>83</v>
      </c>
      <c r="E13825" s="12" t="s">
        <v>35</v>
      </c>
      <c r="F13825" s="14">
        <v>210000</v>
      </c>
      <c r="G13825" s="14">
        <v>136700</v>
      </c>
      <c r="H13825" s="13" t="s">
        <v>26356</v>
      </c>
      <c r="I13825" s="40" t="s">
        <v>18</v>
      </c>
      <c r="J13825" s="40" t="str">
        <f>HYPERLINK("https://stock.pstatic.net/stock-research/company/2/20250317_company_214205000.pdf","PDF")</f>
        <v>PDF</v>
      </c>
      <c r="K13825" s="12" t="s">
        <v>26357</v>
      </c>
      <c r="L13825" s="20">
        <v>0.53621068032187269</v>
      </c>
    </row>
    <row r="13826" spans="1:12" x14ac:dyDescent="0.45">
      <c r="A13826" s="12" t="s">
        <v>26335</v>
      </c>
      <c r="B13826" s="12" t="s">
        <v>5503</v>
      </c>
      <c r="C13826" s="13" t="s">
        <v>5504</v>
      </c>
      <c r="D13826" s="13" t="s">
        <v>92</v>
      </c>
      <c r="E13826" s="12" t="s">
        <v>35</v>
      </c>
      <c r="F13826" s="14">
        <v>10000</v>
      </c>
      <c r="G13826" s="14">
        <v>4800</v>
      </c>
      <c r="H13826" s="13" t="s">
        <v>26358</v>
      </c>
      <c r="I13826" s="40" t="s">
        <v>18</v>
      </c>
      <c r="J13826" s="40" t="str">
        <f>HYPERLINK("https://stock.pstatic.net/stock-research/company/63/20250317_company_569889000.pdf","PDF")</f>
        <v>PDF</v>
      </c>
      <c r="K13826" s="12" t="s">
        <v>26359</v>
      </c>
      <c r="L13826" s="20">
        <v>1.083333333333333</v>
      </c>
    </row>
    <row r="13827" spans="1:12" x14ac:dyDescent="0.45">
      <c r="A13827" s="12" t="s">
        <v>26335</v>
      </c>
      <c r="B13827" s="12" t="s">
        <v>685</v>
      </c>
      <c r="C13827" s="13" t="s">
        <v>686</v>
      </c>
      <c r="D13827" s="13" t="s">
        <v>92</v>
      </c>
      <c r="E13827" s="12" t="s">
        <v>50</v>
      </c>
      <c r="F13827" s="13"/>
      <c r="G13827" s="14">
        <v>19660</v>
      </c>
      <c r="H13827" s="13" t="s">
        <v>26360</v>
      </c>
      <c r="I13827" s="40" t="s">
        <v>18</v>
      </c>
      <c r="J13827" s="40" t="str">
        <f>HYPERLINK("https://stock.pstatic.net/stock-research/company/63/20250317_company_334698000.pdf","PDF")</f>
        <v>PDF</v>
      </c>
      <c r="K13827" s="12" t="s">
        <v>26361</v>
      </c>
    </row>
    <row r="13828" spans="1:12" x14ac:dyDescent="0.45">
      <c r="A13828" s="12" t="s">
        <v>26335</v>
      </c>
      <c r="B13828" s="12" t="s">
        <v>1503</v>
      </c>
      <c r="C13828" s="13" t="s">
        <v>1504</v>
      </c>
      <c r="D13828" s="13" t="s">
        <v>92</v>
      </c>
      <c r="E13828" s="12" t="s">
        <v>35</v>
      </c>
      <c r="F13828" s="14">
        <v>13000</v>
      </c>
      <c r="G13828" s="14">
        <v>9990</v>
      </c>
      <c r="H13828" s="13" t="s">
        <v>26362</v>
      </c>
      <c r="I13828" s="40" t="s">
        <v>18</v>
      </c>
      <c r="J13828" s="40" t="str">
        <f>HYPERLINK("https://stock.pstatic.net/stock-research/company/63/20250317_company_299070000.pdf","PDF")</f>
        <v>PDF</v>
      </c>
      <c r="K13828" s="12" t="s">
        <v>26363</v>
      </c>
      <c r="L13828" s="20">
        <v>0.30130130130130128</v>
      </c>
    </row>
    <row r="13829" spans="1:12" x14ac:dyDescent="0.45">
      <c r="A13829" s="12" t="s">
        <v>26335</v>
      </c>
      <c r="B13829" s="12" t="s">
        <v>174</v>
      </c>
      <c r="C13829" s="13" t="s">
        <v>44</v>
      </c>
      <c r="D13829" s="13" t="s">
        <v>179</v>
      </c>
      <c r="E13829" s="12" t="s">
        <v>16</v>
      </c>
      <c r="F13829" s="14">
        <v>157000</v>
      </c>
      <c r="G13829" s="14">
        <v>120700</v>
      </c>
      <c r="H13829" s="13" t="s">
        <v>26364</v>
      </c>
      <c r="I13829" s="40" t="s">
        <v>18</v>
      </c>
      <c r="J13829" s="40" t="str">
        <f>HYPERLINK("https://stock.pstatic.net/stock-research/company/31/20250317_company_312758000.pdf","PDF")</f>
        <v>PDF</v>
      </c>
      <c r="K13829" s="12" t="s">
        <v>26365</v>
      </c>
      <c r="L13829" s="20">
        <v>0.30074565037282519</v>
      </c>
    </row>
    <row r="13830" spans="1:12" x14ac:dyDescent="0.45">
      <c r="A13830" s="12" t="s">
        <v>26335</v>
      </c>
      <c r="B13830" s="12" t="s">
        <v>1023</v>
      </c>
      <c r="C13830" s="13" t="s">
        <v>15</v>
      </c>
      <c r="D13830" s="13" t="s">
        <v>179</v>
      </c>
      <c r="E13830" s="12" t="s">
        <v>16</v>
      </c>
      <c r="F13830" s="14">
        <v>11000</v>
      </c>
      <c r="G13830" s="14">
        <v>9550</v>
      </c>
      <c r="H13830" s="13" t="s">
        <v>26366</v>
      </c>
      <c r="I13830" s="40" t="s">
        <v>18</v>
      </c>
      <c r="J13830" s="40" t="str">
        <f>HYPERLINK("https://stock.pstatic.net/stock-research/company/31/20250317_company_86498000.pdf","PDF")</f>
        <v>PDF</v>
      </c>
      <c r="K13830" s="12" t="s">
        <v>26367</v>
      </c>
      <c r="L13830" s="20">
        <v>0.15183246073298429</v>
      </c>
    </row>
    <row r="13831" spans="1:12" x14ac:dyDescent="0.45">
      <c r="A13831" s="12" t="s">
        <v>26335</v>
      </c>
      <c r="B13831" s="12" t="s">
        <v>2369</v>
      </c>
      <c r="C13831" s="13" t="s">
        <v>2370</v>
      </c>
      <c r="D13831" s="13" t="s">
        <v>23</v>
      </c>
      <c r="E13831" s="12" t="s">
        <v>16</v>
      </c>
      <c r="F13831" s="14">
        <v>340000</v>
      </c>
      <c r="G13831" s="14">
        <v>191400</v>
      </c>
      <c r="H13831" s="13" t="s">
        <v>26368</v>
      </c>
      <c r="I13831" s="40" t="s">
        <v>18</v>
      </c>
      <c r="J13831" s="40" t="str">
        <f>HYPERLINK("https://stock.pstatic.net/stock-research/company/21/20250317_company_961637000.pdf","PDF")</f>
        <v>PDF</v>
      </c>
      <c r="K13831" s="12" t="s">
        <v>26369</v>
      </c>
      <c r="L13831" s="20">
        <v>0.77638453500522464</v>
      </c>
    </row>
    <row r="13832" spans="1:12" x14ac:dyDescent="0.45">
      <c r="A13832" s="12" t="s">
        <v>26335</v>
      </c>
      <c r="B13832" s="12" t="s">
        <v>17011</v>
      </c>
      <c r="C13832" s="13" t="s">
        <v>17012</v>
      </c>
      <c r="D13832" s="13" t="s">
        <v>23</v>
      </c>
      <c r="E13832" s="12" t="s">
        <v>16</v>
      </c>
      <c r="F13832" s="14">
        <v>29000</v>
      </c>
      <c r="G13832" s="14">
        <v>20900</v>
      </c>
      <c r="H13832" s="13" t="s">
        <v>26370</v>
      </c>
      <c r="I13832" s="40" t="s">
        <v>18</v>
      </c>
      <c r="J13832" s="40" t="str">
        <f>HYPERLINK("https://stock.pstatic.net/stock-research/company/21/20250317_company_798752000.pdf","PDF")</f>
        <v>PDF</v>
      </c>
      <c r="K13832" s="12" t="s">
        <v>26371</v>
      </c>
      <c r="L13832" s="20">
        <v>0.38755980861244022</v>
      </c>
    </row>
    <row r="13833" spans="1:12" x14ac:dyDescent="0.45">
      <c r="A13833" s="12" t="s">
        <v>26335</v>
      </c>
      <c r="B13833" s="12" t="s">
        <v>72</v>
      </c>
      <c r="C13833" s="13" t="s">
        <v>73</v>
      </c>
      <c r="D13833" s="13" t="s">
        <v>34</v>
      </c>
      <c r="E13833" s="12" t="s">
        <v>35</v>
      </c>
      <c r="F13833" s="14">
        <v>188000</v>
      </c>
      <c r="G13833" s="14">
        <v>119600</v>
      </c>
      <c r="H13833" s="13" t="s">
        <v>26372</v>
      </c>
      <c r="I13833" s="40" t="s">
        <v>18</v>
      </c>
      <c r="J13833" s="40" t="str">
        <f>HYPERLINK("https://stock.pstatic.net/stock-research/company/21/20250317_company_952756000.pdf","PDF")</f>
        <v>PDF</v>
      </c>
      <c r="K13833" s="12" t="s">
        <v>26373</v>
      </c>
      <c r="L13833" s="20">
        <v>0.57190635451505012</v>
      </c>
    </row>
    <row r="13834" spans="1:12" x14ac:dyDescent="0.45">
      <c r="A13834" s="12" t="s">
        <v>26335</v>
      </c>
      <c r="B13834" s="12" t="s">
        <v>352</v>
      </c>
      <c r="C13834" s="13" t="s">
        <v>353</v>
      </c>
      <c r="D13834" s="13" t="s">
        <v>15</v>
      </c>
      <c r="E13834" s="12" t="s">
        <v>16</v>
      </c>
      <c r="F13834" s="14">
        <v>140000</v>
      </c>
      <c r="G13834" s="14">
        <v>104000</v>
      </c>
      <c r="H13834" s="13" t="s">
        <v>26374</v>
      </c>
      <c r="I13834" s="40" t="s">
        <v>18</v>
      </c>
      <c r="J13834" s="40" t="str">
        <f>HYPERLINK("https://stock.pstatic.net/stock-research/company/29/20250317_company_768510000.pdf","PDF")</f>
        <v>PDF</v>
      </c>
      <c r="K13834" s="12" t="s">
        <v>26375</v>
      </c>
      <c r="L13834" s="20">
        <v>0.34615384615384609</v>
      </c>
    </row>
    <row r="13835" spans="1:12" x14ac:dyDescent="0.45">
      <c r="A13835" s="12" t="s">
        <v>26376</v>
      </c>
      <c r="B13835" s="12" t="s">
        <v>5767</v>
      </c>
      <c r="C13835" s="13" t="s">
        <v>5768</v>
      </c>
      <c r="D13835" s="13" t="s">
        <v>65</v>
      </c>
      <c r="E13835" s="12" t="s">
        <v>35</v>
      </c>
      <c r="F13835" s="14">
        <v>31000</v>
      </c>
      <c r="G13835" s="14">
        <v>25000</v>
      </c>
      <c r="H13835" s="13" t="s">
        <v>26377</v>
      </c>
      <c r="I13835" s="40" t="s">
        <v>18</v>
      </c>
      <c r="J13835" s="40" t="str">
        <f>HYPERLINK("https://stock.pstatic.net/stock-research/company/57/20250314_company_569536000.pdf","PDF")</f>
        <v>PDF</v>
      </c>
      <c r="K13835" s="12" t="s">
        <v>26378</v>
      </c>
      <c r="L13835" s="20">
        <v>0.24</v>
      </c>
    </row>
    <row r="13836" spans="1:12" x14ac:dyDescent="0.45">
      <c r="A13836" s="12" t="s">
        <v>26376</v>
      </c>
      <c r="B13836" s="12" t="s">
        <v>1912</v>
      </c>
      <c r="C13836" s="13" t="s">
        <v>7834</v>
      </c>
      <c r="D13836" s="13" t="s">
        <v>158</v>
      </c>
      <c r="E13836" s="12" t="s">
        <v>50</v>
      </c>
      <c r="F13836" s="13"/>
      <c r="G13836" s="14">
        <v>13890</v>
      </c>
      <c r="H13836" s="13" t="s">
        <v>26379</v>
      </c>
      <c r="I13836" s="40" t="s">
        <v>18</v>
      </c>
      <c r="J13836" s="40" t="str">
        <f>HYPERLINK("https://stock.pstatic.net/stock-research/company/1/20250314_company_969107000.pdf","PDF")</f>
        <v>PDF</v>
      </c>
      <c r="K13836" s="12" t="s">
        <v>26380</v>
      </c>
    </row>
    <row r="13837" spans="1:12" x14ac:dyDescent="0.45">
      <c r="A13837" s="12" t="s">
        <v>26376</v>
      </c>
      <c r="B13837" s="12" t="s">
        <v>7297</v>
      </c>
      <c r="C13837" s="13" t="s">
        <v>7298</v>
      </c>
      <c r="D13837" s="13" t="s">
        <v>179</v>
      </c>
      <c r="E13837" s="12" t="s">
        <v>50</v>
      </c>
      <c r="F13837" s="13"/>
      <c r="G13837" s="14">
        <v>10680</v>
      </c>
      <c r="H13837" s="13" t="s">
        <v>26381</v>
      </c>
      <c r="I13837" s="40" t="s">
        <v>18</v>
      </c>
      <c r="J13837" s="40" t="str">
        <f>HYPERLINK("https://stock.pstatic.net/stock-research/company/31/20250314_company_249966000.pdf","PDF")</f>
        <v>PDF</v>
      </c>
      <c r="K13837" s="12" t="s">
        <v>26382</v>
      </c>
    </row>
    <row r="13838" spans="1:12" x14ac:dyDescent="0.45">
      <c r="A13838" s="12" t="s">
        <v>26376</v>
      </c>
      <c r="B13838" s="12" t="s">
        <v>15000</v>
      </c>
      <c r="C13838" s="13" t="s">
        <v>15001</v>
      </c>
      <c r="D13838" s="13" t="s">
        <v>23</v>
      </c>
      <c r="E13838" s="12" t="s">
        <v>50</v>
      </c>
      <c r="F13838" s="13"/>
      <c r="G13838" s="14">
        <v>22700</v>
      </c>
      <c r="H13838" s="13" t="s">
        <v>26383</v>
      </c>
      <c r="I13838" s="40" t="s">
        <v>18</v>
      </c>
      <c r="J13838" s="40" t="str">
        <f>HYPERLINK("https://stock.pstatic.net/stock-research/company/21/20250314_company_766785000.pdf","PDF")</f>
        <v>PDF</v>
      </c>
      <c r="K13838" s="12" t="s">
        <v>26384</v>
      </c>
    </row>
    <row r="13839" spans="1:12" x14ac:dyDescent="0.45">
      <c r="A13839" s="12" t="s">
        <v>26376</v>
      </c>
      <c r="B13839" s="12" t="s">
        <v>456</v>
      </c>
      <c r="C13839" s="13" t="s">
        <v>457</v>
      </c>
      <c r="D13839" s="13" t="s">
        <v>23</v>
      </c>
      <c r="E13839" s="12" t="s">
        <v>50</v>
      </c>
      <c r="F13839" s="13"/>
      <c r="G13839" s="14">
        <v>5740</v>
      </c>
      <c r="H13839" s="13" t="s">
        <v>26385</v>
      </c>
      <c r="I13839" s="40" t="s">
        <v>18</v>
      </c>
      <c r="J13839" s="40" t="str">
        <f>HYPERLINK("https://stock.pstatic.net/stock-research/company/1/20250314_company_342054000.pdf","PDF")</f>
        <v>PDF</v>
      </c>
      <c r="K13839" s="12" t="s">
        <v>26386</v>
      </c>
    </row>
    <row r="13840" spans="1:12" x14ac:dyDescent="0.45">
      <c r="A13840" s="12" t="s">
        <v>26376</v>
      </c>
      <c r="B13840" s="12" t="s">
        <v>1918</v>
      </c>
      <c r="C13840" s="13" t="s">
        <v>1919</v>
      </c>
      <c r="D13840" s="13" t="s">
        <v>44</v>
      </c>
      <c r="E13840" s="12" t="s">
        <v>50</v>
      </c>
      <c r="F13840" s="13"/>
      <c r="G13840" s="14">
        <v>5650</v>
      </c>
      <c r="H13840" s="13" t="s">
        <v>26387</v>
      </c>
      <c r="I13840" s="40" t="s">
        <v>18</v>
      </c>
      <c r="J13840" s="40" t="str">
        <f>HYPERLINK("https://stock.pstatic.net/stock-research/company/39/20250314_company_951186000.pdf","PDF")</f>
        <v>PDF</v>
      </c>
      <c r="K13840" s="12" t="s">
        <v>26388</v>
      </c>
    </row>
    <row r="13841" spans="1:12" x14ac:dyDescent="0.45">
      <c r="A13841" s="12" t="s">
        <v>26376</v>
      </c>
      <c r="B13841" s="12" t="s">
        <v>2613</v>
      </c>
      <c r="C13841" s="13" t="s">
        <v>2614</v>
      </c>
      <c r="D13841" s="13" t="s">
        <v>124</v>
      </c>
      <c r="E13841" s="12" t="s">
        <v>50</v>
      </c>
      <c r="F13841" s="13"/>
      <c r="G13841" s="13"/>
      <c r="H13841" s="13" t="s">
        <v>26389</v>
      </c>
      <c r="I13841" s="40" t="s">
        <v>18</v>
      </c>
      <c r="J13841" s="40" t="str">
        <f>HYPERLINK("https://stock.pstatic.net/stock-research/company/74/20250314_company_965191000.pdf","PDF")</f>
        <v>PDF</v>
      </c>
      <c r="K13841" s="12" t="s">
        <v>26390</v>
      </c>
    </row>
    <row r="13842" spans="1:12" x14ac:dyDescent="0.45">
      <c r="A13842" s="12" t="s">
        <v>26391</v>
      </c>
      <c r="B13842" s="12" t="s">
        <v>1308</v>
      </c>
      <c r="C13842" s="13" t="s">
        <v>1309</v>
      </c>
      <c r="D13842" s="13" t="s">
        <v>276</v>
      </c>
      <c r="E13842" s="12" t="s">
        <v>16</v>
      </c>
      <c r="F13842" s="14">
        <v>540000</v>
      </c>
      <c r="G13842" s="14">
        <v>391000</v>
      </c>
      <c r="H13842" s="13" t="s">
        <v>26392</v>
      </c>
      <c r="I13842" s="40" t="s">
        <v>18</v>
      </c>
      <c r="J13842" s="40" t="str">
        <f>HYPERLINK("https://stock.pstatic.net/stock-research/company/66/20250313_company_362186000.pdf","PDF")</f>
        <v>PDF</v>
      </c>
      <c r="K13842" s="12" t="s">
        <v>26393</v>
      </c>
      <c r="L13842" s="20">
        <v>0.38107416879795403</v>
      </c>
    </row>
    <row r="13843" spans="1:12" x14ac:dyDescent="0.45">
      <c r="A13843" s="12" t="s">
        <v>26391</v>
      </c>
      <c r="B13843" s="12" t="s">
        <v>1308</v>
      </c>
      <c r="C13843" s="13" t="s">
        <v>1309</v>
      </c>
      <c r="D13843" s="13" t="s">
        <v>60</v>
      </c>
      <c r="E13843" s="12" t="s">
        <v>35</v>
      </c>
      <c r="F13843" s="14">
        <v>460000</v>
      </c>
      <c r="G13843" s="14">
        <v>391000</v>
      </c>
      <c r="H13843" s="13" t="s">
        <v>26394</v>
      </c>
      <c r="I13843" s="40" t="s">
        <v>18</v>
      </c>
      <c r="J13843" s="40" t="str">
        <f>HYPERLINK("https://stock.pstatic.net/stock-research/company/62/20250313_company_198528000.pdf","PDF")</f>
        <v>PDF</v>
      </c>
      <c r="K13843" s="12" t="s">
        <v>26395</v>
      </c>
      <c r="L13843" s="20">
        <v>0.1764705882352941</v>
      </c>
    </row>
    <row r="13844" spans="1:12" x14ac:dyDescent="0.45">
      <c r="A13844" s="12" t="s">
        <v>26391</v>
      </c>
      <c r="B13844" s="12" t="s">
        <v>3369</v>
      </c>
      <c r="C13844" s="13" t="s">
        <v>3370</v>
      </c>
      <c r="D13844" s="13" t="s">
        <v>65</v>
      </c>
      <c r="E13844" s="12" t="s">
        <v>35</v>
      </c>
      <c r="F13844" s="14">
        <v>22500</v>
      </c>
      <c r="G13844" s="14">
        <v>16710</v>
      </c>
      <c r="H13844" s="13" t="s">
        <v>26396</v>
      </c>
      <c r="I13844" s="40" t="s">
        <v>18</v>
      </c>
      <c r="J13844" s="40" t="str">
        <f>HYPERLINK("https://stock.pstatic.net/stock-research/company/57/20250313_company_173838000.pdf","PDF")</f>
        <v>PDF</v>
      </c>
      <c r="K13844" s="12" t="s">
        <v>26397</v>
      </c>
      <c r="L13844" s="20">
        <v>0.34649910233393177</v>
      </c>
    </row>
    <row r="13845" spans="1:12" x14ac:dyDescent="0.45">
      <c r="A13845" s="12" t="s">
        <v>26391</v>
      </c>
      <c r="B13845" s="12" t="s">
        <v>800</v>
      </c>
      <c r="C13845" s="13" t="s">
        <v>801</v>
      </c>
      <c r="D13845" s="13" t="s">
        <v>57</v>
      </c>
      <c r="E13845" s="12" t="s">
        <v>159</v>
      </c>
      <c r="F13845" s="14">
        <v>34000</v>
      </c>
      <c r="G13845" s="14">
        <v>35600</v>
      </c>
      <c r="H13845" s="13" t="s">
        <v>26398</v>
      </c>
      <c r="I13845" s="40" t="s">
        <v>18</v>
      </c>
      <c r="J13845" s="40" t="str">
        <f>HYPERLINK("https://stock.pstatic.net/stock-research/company/16/20250313_company_850411000.pdf","PDF")</f>
        <v>PDF</v>
      </c>
      <c r="K13845" s="12" t="s">
        <v>26399</v>
      </c>
      <c r="L13845" s="20">
        <v>-4.49438202247191E-2</v>
      </c>
    </row>
    <row r="13846" spans="1:12" x14ac:dyDescent="0.45">
      <c r="A13846" s="12" t="s">
        <v>26391</v>
      </c>
      <c r="B13846" s="12" t="s">
        <v>1308</v>
      </c>
      <c r="C13846" s="13" t="s">
        <v>1309</v>
      </c>
      <c r="D13846" s="13" t="s">
        <v>158</v>
      </c>
      <c r="E13846" s="12" t="s">
        <v>35</v>
      </c>
      <c r="F13846" s="14">
        <v>490000</v>
      </c>
      <c r="G13846" s="14">
        <v>391000</v>
      </c>
      <c r="H13846" s="13" t="s">
        <v>26400</v>
      </c>
      <c r="I13846" s="40" t="s">
        <v>18</v>
      </c>
      <c r="J13846" s="40" t="str">
        <f>HYPERLINK("https://stock.pstatic.net/stock-research/company/18/20250313_company_30719000.pdf","PDF")</f>
        <v>PDF</v>
      </c>
      <c r="K13846" s="12" t="s">
        <v>26401</v>
      </c>
      <c r="L13846" s="20">
        <v>0.25319693094629159</v>
      </c>
    </row>
    <row r="13847" spans="1:12" x14ac:dyDescent="0.45">
      <c r="A13847" s="12" t="s">
        <v>26391</v>
      </c>
      <c r="B13847" s="12" t="s">
        <v>10321</v>
      </c>
      <c r="C13847" s="13" t="s">
        <v>10322</v>
      </c>
      <c r="D13847" s="13" t="s">
        <v>158</v>
      </c>
      <c r="E13847" s="12" t="s">
        <v>50</v>
      </c>
      <c r="F13847" s="13"/>
      <c r="G13847" s="14">
        <v>5290</v>
      </c>
      <c r="H13847" s="13" t="s">
        <v>26402</v>
      </c>
      <c r="I13847" s="40" t="s">
        <v>18</v>
      </c>
      <c r="J13847" s="40" t="str">
        <f>HYPERLINK("https://stock.pstatic.net/stock-research/company/18/20250313_company_892414000.pdf","PDF")</f>
        <v>PDF</v>
      </c>
      <c r="K13847" s="12" t="s">
        <v>26403</v>
      </c>
    </row>
    <row r="13848" spans="1:12" x14ac:dyDescent="0.45">
      <c r="A13848" s="12" t="s">
        <v>26391</v>
      </c>
      <c r="B13848" s="12" t="s">
        <v>2849</v>
      </c>
      <c r="C13848" s="13" t="s">
        <v>2850</v>
      </c>
      <c r="D13848" s="13" t="s">
        <v>158</v>
      </c>
      <c r="E13848" s="12" t="s">
        <v>50</v>
      </c>
      <c r="F13848" s="13"/>
      <c r="G13848" s="14">
        <v>5810</v>
      </c>
      <c r="H13848" s="13" t="s">
        <v>26404</v>
      </c>
      <c r="I13848" s="40" t="s">
        <v>18</v>
      </c>
      <c r="J13848" s="40" t="str">
        <f>HYPERLINK("https://stock.pstatic.net/stock-research/company/18/20250313_company_202816000.pdf","PDF")</f>
        <v>PDF</v>
      </c>
      <c r="K13848" s="12" t="s">
        <v>26405</v>
      </c>
    </row>
    <row r="13849" spans="1:12" x14ac:dyDescent="0.45">
      <c r="A13849" s="12" t="s">
        <v>26391</v>
      </c>
      <c r="B13849" s="12" t="s">
        <v>4129</v>
      </c>
      <c r="C13849" s="13" t="s">
        <v>4130</v>
      </c>
      <c r="D13849" s="13" t="s">
        <v>92</v>
      </c>
      <c r="E13849" s="12" t="s">
        <v>35</v>
      </c>
      <c r="F13849" s="14">
        <v>33000</v>
      </c>
      <c r="G13849" s="14">
        <v>22550</v>
      </c>
      <c r="H13849" s="13" t="s">
        <v>26406</v>
      </c>
      <c r="I13849" s="40" t="s">
        <v>18</v>
      </c>
      <c r="J13849" s="40" t="str">
        <f>HYPERLINK("https://stock.pstatic.net/stock-research/company/63/20250313_company_856815000.pdf","PDF")</f>
        <v>PDF</v>
      </c>
      <c r="K13849" s="12" t="s">
        <v>26407</v>
      </c>
      <c r="L13849" s="20">
        <v>0.46341463414634149</v>
      </c>
    </row>
    <row r="13850" spans="1:12" x14ac:dyDescent="0.45">
      <c r="A13850" s="12" t="s">
        <v>26391</v>
      </c>
      <c r="B13850" s="12" t="s">
        <v>894</v>
      </c>
      <c r="C13850" s="13" t="s">
        <v>26</v>
      </c>
      <c r="D13850" s="13" t="s">
        <v>92</v>
      </c>
      <c r="E13850" s="12" t="s">
        <v>35</v>
      </c>
      <c r="F13850" s="14">
        <v>260000</v>
      </c>
      <c r="G13850" s="14">
        <v>211500</v>
      </c>
      <c r="H13850" s="13" t="s">
        <v>26408</v>
      </c>
      <c r="I13850" s="40" t="s">
        <v>18</v>
      </c>
      <c r="J13850" s="40" t="str">
        <f>HYPERLINK("https://stock.pstatic.net/stock-research/company/63/20250313_company_492454000.pdf","PDF")</f>
        <v>PDF</v>
      </c>
      <c r="K13850" s="12" t="s">
        <v>26409</v>
      </c>
      <c r="L13850" s="20">
        <v>0.2293144208037825</v>
      </c>
    </row>
    <row r="13851" spans="1:12" x14ac:dyDescent="0.45">
      <c r="A13851" s="12" t="s">
        <v>26391</v>
      </c>
      <c r="B13851" s="12" t="s">
        <v>1308</v>
      </c>
      <c r="C13851" s="13" t="s">
        <v>1309</v>
      </c>
      <c r="D13851" s="13" t="s">
        <v>92</v>
      </c>
      <c r="E13851" s="12" t="s">
        <v>35</v>
      </c>
      <c r="F13851" s="14">
        <v>497000</v>
      </c>
      <c r="G13851" s="14">
        <v>391000</v>
      </c>
      <c r="H13851" s="13" t="s">
        <v>26410</v>
      </c>
      <c r="I13851" s="40" t="s">
        <v>18</v>
      </c>
      <c r="J13851" s="40" t="str">
        <f>HYPERLINK("https://stock.pstatic.net/stock-research/company/63/20250313_company_829838000.pdf","PDF")</f>
        <v>PDF</v>
      </c>
      <c r="K13851" s="12" t="s">
        <v>26411</v>
      </c>
      <c r="L13851" s="20">
        <v>0.2710997442455243</v>
      </c>
    </row>
    <row r="13852" spans="1:12" x14ac:dyDescent="0.45">
      <c r="A13852" s="12" t="s">
        <v>26391</v>
      </c>
      <c r="B13852" s="12" t="s">
        <v>888</v>
      </c>
      <c r="C13852" s="13" t="s">
        <v>889</v>
      </c>
      <c r="D13852" s="13" t="s">
        <v>92</v>
      </c>
      <c r="E13852" s="12" t="s">
        <v>35</v>
      </c>
      <c r="F13852" s="14">
        <v>69000</v>
      </c>
      <c r="G13852" s="14">
        <v>47600</v>
      </c>
      <c r="H13852" s="13" t="s">
        <v>26412</v>
      </c>
      <c r="I13852" s="40" t="s">
        <v>18</v>
      </c>
      <c r="J13852" s="40" t="str">
        <f>HYPERLINK("https://stock.pstatic.net/stock-research/company/1/20250313_company_475584000.pdf","PDF")</f>
        <v>PDF</v>
      </c>
      <c r="K13852" s="12" t="s">
        <v>26413</v>
      </c>
      <c r="L13852" s="20">
        <v>0.44957983193277312</v>
      </c>
    </row>
    <row r="13853" spans="1:12" x14ac:dyDescent="0.45">
      <c r="A13853" s="12" t="s">
        <v>26391</v>
      </c>
      <c r="B13853" s="12" t="s">
        <v>348</v>
      </c>
      <c r="C13853" s="13" t="s">
        <v>349</v>
      </c>
      <c r="D13853" s="13" t="s">
        <v>92</v>
      </c>
      <c r="E13853" s="12" t="s">
        <v>50</v>
      </c>
      <c r="F13853" s="13"/>
      <c r="G13853" s="14">
        <v>22150</v>
      </c>
      <c r="H13853" s="13" t="s">
        <v>26414</v>
      </c>
      <c r="I13853" s="40" t="s">
        <v>18</v>
      </c>
      <c r="J13853" s="40" t="str">
        <f>HYPERLINK("https://stock.pstatic.net/stock-research/company/63/20250313_company_628054000.pdf","PDF")</f>
        <v>PDF</v>
      </c>
      <c r="K13853" s="12" t="s">
        <v>26415</v>
      </c>
    </row>
    <row r="13854" spans="1:12" x14ac:dyDescent="0.45">
      <c r="A13854" s="12" t="s">
        <v>26391</v>
      </c>
      <c r="B13854" s="12" t="s">
        <v>1212</v>
      </c>
      <c r="C13854" s="13" t="s">
        <v>1213</v>
      </c>
      <c r="D13854" s="13" t="s">
        <v>23</v>
      </c>
      <c r="E13854" s="12" t="s">
        <v>50</v>
      </c>
      <c r="F13854" s="13"/>
      <c r="G13854" s="14">
        <v>29200</v>
      </c>
      <c r="H13854" s="13" t="s">
        <v>6250</v>
      </c>
      <c r="I13854" s="40" t="s">
        <v>18</v>
      </c>
      <c r="J13854" s="40" t="str">
        <f>HYPERLINK("https://stock.pstatic.net/stock-research/company/21/20250313_company_491591000.pdf","PDF")</f>
        <v>PDF</v>
      </c>
      <c r="K13854" s="12" t="s">
        <v>26416</v>
      </c>
    </row>
    <row r="13855" spans="1:12" x14ac:dyDescent="0.45">
      <c r="A13855" s="12" t="s">
        <v>26391</v>
      </c>
      <c r="B13855" s="12" t="s">
        <v>1308</v>
      </c>
      <c r="C13855" s="13" t="s">
        <v>1309</v>
      </c>
      <c r="D13855" s="13" t="s">
        <v>23</v>
      </c>
      <c r="E13855" s="12" t="s">
        <v>16</v>
      </c>
      <c r="F13855" s="14">
        <v>500000</v>
      </c>
      <c r="G13855" s="14">
        <v>391000</v>
      </c>
      <c r="H13855" s="13" t="s">
        <v>26417</v>
      </c>
      <c r="I13855" s="40" t="s">
        <v>18</v>
      </c>
      <c r="J13855" s="40" t="str">
        <f>HYPERLINK("https://stock.pstatic.net/stock-research/company/21/20250313_company_350273000.pdf","PDF")</f>
        <v>PDF</v>
      </c>
      <c r="K13855" s="12" t="s">
        <v>26418</v>
      </c>
      <c r="L13855" s="20">
        <v>0.27877237851662412</v>
      </c>
    </row>
    <row r="13856" spans="1:12" x14ac:dyDescent="0.45">
      <c r="A13856" s="12" t="s">
        <v>26391</v>
      </c>
      <c r="B13856" s="12" t="s">
        <v>8114</v>
      </c>
      <c r="C13856" s="13" t="s">
        <v>8115</v>
      </c>
      <c r="D13856" s="13" t="s">
        <v>124</v>
      </c>
      <c r="E13856" s="12" t="s">
        <v>50</v>
      </c>
      <c r="F13856" s="13"/>
      <c r="G13856" s="13"/>
      <c r="H13856" s="13" t="s">
        <v>26419</v>
      </c>
      <c r="I13856" s="40" t="s">
        <v>18</v>
      </c>
      <c r="J13856" s="40" t="str">
        <f>HYPERLINK("https://stock.pstatic.net/stock-research/company/1/20250313_company_812430000.pdf","PDF")</f>
        <v>PDF</v>
      </c>
      <c r="K13856" s="12" t="s">
        <v>26420</v>
      </c>
    </row>
    <row r="13857" spans="1:12" x14ac:dyDescent="0.45">
      <c r="A13857" s="12" t="s">
        <v>26391</v>
      </c>
      <c r="B13857" s="12" t="s">
        <v>26421</v>
      </c>
      <c r="C13857" s="13" t="s">
        <v>26422</v>
      </c>
      <c r="D13857" s="13" t="s">
        <v>124</v>
      </c>
      <c r="E13857" s="12" t="s">
        <v>50</v>
      </c>
      <c r="F13857" s="13"/>
      <c r="G13857" s="13"/>
      <c r="H13857" s="13" t="s">
        <v>26423</v>
      </c>
      <c r="I13857" s="40" t="s">
        <v>18</v>
      </c>
      <c r="J13857" s="40" t="str">
        <f>HYPERLINK("https://stock.pstatic.net/stock-research/company/74/20250313_company_93931000.pdf","PDF")</f>
        <v>PDF</v>
      </c>
      <c r="K13857" s="12" t="s">
        <v>26424</v>
      </c>
    </row>
    <row r="13858" spans="1:12" x14ac:dyDescent="0.45">
      <c r="A13858" s="12" t="s">
        <v>26391</v>
      </c>
      <c r="B13858" s="12" t="s">
        <v>2933</v>
      </c>
      <c r="C13858" s="13" t="s">
        <v>2934</v>
      </c>
      <c r="D13858" s="13" t="s">
        <v>53</v>
      </c>
      <c r="E13858" s="12" t="s">
        <v>16</v>
      </c>
      <c r="F13858" s="14">
        <v>90000</v>
      </c>
      <c r="G13858" s="14">
        <v>60700</v>
      </c>
      <c r="H13858" s="13" t="s">
        <v>26425</v>
      </c>
      <c r="I13858" s="40" t="s">
        <v>18</v>
      </c>
      <c r="J13858" s="40" t="str">
        <f>HYPERLINK("https://stock.pstatic.net/stock-research/company/40/20250313_company_195766000.pdf","PDF")</f>
        <v>PDF</v>
      </c>
      <c r="K13858" s="12" t="s">
        <v>26426</v>
      </c>
      <c r="L13858" s="20">
        <v>0.48270181219110381</v>
      </c>
    </row>
    <row r="13859" spans="1:12" x14ac:dyDescent="0.45">
      <c r="A13859" s="12" t="s">
        <v>26391</v>
      </c>
      <c r="B13859" s="12" t="s">
        <v>2378</v>
      </c>
      <c r="C13859" s="13" t="s">
        <v>2379</v>
      </c>
      <c r="D13859" s="13" t="s">
        <v>15</v>
      </c>
      <c r="E13859" s="12" t="s">
        <v>16</v>
      </c>
      <c r="F13859" s="14">
        <v>480000</v>
      </c>
      <c r="G13859" s="14">
        <v>341000</v>
      </c>
      <c r="H13859" s="13" t="s">
        <v>26427</v>
      </c>
      <c r="I13859" s="40" t="s">
        <v>18</v>
      </c>
      <c r="J13859" s="40" t="str">
        <f>HYPERLINK("https://stock.pstatic.net/stock-research/company/1/20250313_company_892615000.pdf","PDF")</f>
        <v>PDF</v>
      </c>
      <c r="K13859" s="12" t="s">
        <v>26428</v>
      </c>
      <c r="L13859" s="20">
        <v>0.40762463343108513</v>
      </c>
    </row>
    <row r="13860" spans="1:12" x14ac:dyDescent="0.45">
      <c r="A13860" s="12" t="s">
        <v>26429</v>
      </c>
      <c r="B13860" s="12" t="s">
        <v>334</v>
      </c>
      <c r="C13860" s="13" t="s">
        <v>335</v>
      </c>
      <c r="D13860" s="13" t="s">
        <v>57</v>
      </c>
      <c r="E13860" s="12" t="s">
        <v>35</v>
      </c>
      <c r="F13860" s="14">
        <v>290000</v>
      </c>
      <c r="G13860" s="14">
        <v>187800</v>
      </c>
      <c r="H13860" s="13" t="s">
        <v>26430</v>
      </c>
      <c r="I13860" s="40" t="s">
        <v>18</v>
      </c>
      <c r="J13860" s="40" t="str">
        <f>HYPERLINK("https://stock.pstatic.net/stock-research/company/16/20250312_company_718296000.pdf","PDF")</f>
        <v>PDF</v>
      </c>
      <c r="K13860" s="12" t="s">
        <v>26431</v>
      </c>
      <c r="L13860" s="20">
        <v>0.54419595314164004</v>
      </c>
    </row>
    <row r="13861" spans="1:12" x14ac:dyDescent="0.45">
      <c r="A13861" s="12" t="s">
        <v>26429</v>
      </c>
      <c r="B13861" s="12" t="s">
        <v>26432</v>
      </c>
      <c r="C13861" s="13" t="s">
        <v>26433</v>
      </c>
      <c r="D13861" s="13" t="s">
        <v>65</v>
      </c>
      <c r="E13861" s="12" t="s">
        <v>50</v>
      </c>
      <c r="F13861" s="13"/>
      <c r="G13861" s="14">
        <v>265000</v>
      </c>
      <c r="H13861" s="13" t="s">
        <v>26434</v>
      </c>
      <c r="I13861" s="40" t="s">
        <v>18</v>
      </c>
      <c r="J13861" s="40" t="str">
        <f>HYPERLINK("https://stock.pstatic.net/stock-research/company/57/20250312_company_102109000.pdf","PDF")</f>
        <v>PDF</v>
      </c>
      <c r="K13861" s="12" t="s">
        <v>26435</v>
      </c>
    </row>
    <row r="13862" spans="1:12" x14ac:dyDescent="0.45">
      <c r="A13862" s="12" t="s">
        <v>26429</v>
      </c>
      <c r="B13862" s="12" t="s">
        <v>1666</v>
      </c>
      <c r="C13862" s="13" t="s">
        <v>1667</v>
      </c>
      <c r="D13862" s="13" t="s">
        <v>65</v>
      </c>
      <c r="E13862" s="12" t="s">
        <v>35</v>
      </c>
      <c r="F13862" s="14">
        <v>52000</v>
      </c>
      <c r="G13862" s="14">
        <v>40100</v>
      </c>
      <c r="H13862" s="13" t="s">
        <v>26436</v>
      </c>
      <c r="I13862" s="40" t="s">
        <v>18</v>
      </c>
      <c r="J13862" s="40" t="str">
        <f>HYPERLINK("https://stock.pstatic.net/stock-research/company/57/20250312_company_227701000.pdf","PDF")</f>
        <v>PDF</v>
      </c>
      <c r="K13862" s="12" t="s">
        <v>26437</v>
      </c>
      <c r="L13862" s="20">
        <v>0.29675810473815462</v>
      </c>
    </row>
    <row r="13863" spans="1:12" x14ac:dyDescent="0.45">
      <c r="A13863" s="12" t="s">
        <v>26429</v>
      </c>
      <c r="B13863" s="12" t="s">
        <v>533</v>
      </c>
      <c r="C13863" s="13" t="s">
        <v>534</v>
      </c>
      <c r="D13863" s="13" t="s">
        <v>65</v>
      </c>
      <c r="E13863" s="12" t="s">
        <v>35</v>
      </c>
      <c r="F13863" s="14">
        <v>70000</v>
      </c>
      <c r="G13863" s="14">
        <v>47550</v>
      </c>
      <c r="H13863" s="13" t="s">
        <v>26438</v>
      </c>
      <c r="I13863" s="40" t="s">
        <v>18</v>
      </c>
      <c r="J13863" s="40" t="str">
        <f>HYPERLINK("https://stock.pstatic.net/stock-research/company/57/20250312_company_466096000.pdf","PDF")</f>
        <v>PDF</v>
      </c>
      <c r="K13863" s="12" t="s">
        <v>26439</v>
      </c>
      <c r="L13863" s="20">
        <v>0.47213459516298628</v>
      </c>
    </row>
    <row r="13864" spans="1:12" x14ac:dyDescent="0.45">
      <c r="A13864" s="12" t="s">
        <v>26429</v>
      </c>
      <c r="B13864" s="12" t="s">
        <v>1132</v>
      </c>
      <c r="C13864" s="13" t="s">
        <v>1133</v>
      </c>
      <c r="D13864" s="13" t="s">
        <v>65</v>
      </c>
      <c r="E13864" s="12" t="s">
        <v>35</v>
      </c>
      <c r="F13864" s="14">
        <v>35000</v>
      </c>
      <c r="G13864" s="14">
        <v>23050</v>
      </c>
      <c r="H13864" s="13" t="s">
        <v>26440</v>
      </c>
      <c r="I13864" s="40" t="s">
        <v>18</v>
      </c>
      <c r="J13864" s="40" t="str">
        <f>HYPERLINK("https://stock.pstatic.net/stock-research/company/57/20250312_company_546547000.pdf","PDF")</f>
        <v>PDF</v>
      </c>
      <c r="K13864" s="12" t="s">
        <v>26441</v>
      </c>
      <c r="L13864" s="20">
        <v>0.51843817787418656</v>
      </c>
    </row>
    <row r="13865" spans="1:12" x14ac:dyDescent="0.45">
      <c r="A13865" s="12" t="s">
        <v>26429</v>
      </c>
      <c r="B13865" s="12" t="s">
        <v>894</v>
      </c>
      <c r="C13865" s="13" t="s">
        <v>26</v>
      </c>
      <c r="D13865" s="13" t="s">
        <v>65</v>
      </c>
      <c r="E13865" s="12" t="s">
        <v>35</v>
      </c>
      <c r="F13865" s="14">
        <v>260000</v>
      </c>
      <c r="G13865" s="14">
        <v>192600</v>
      </c>
      <c r="H13865" s="13" t="s">
        <v>26442</v>
      </c>
      <c r="I13865" s="40" t="s">
        <v>18</v>
      </c>
      <c r="J13865" s="40" t="str">
        <f>HYPERLINK("https://stock.pstatic.net/stock-research/company/57/20250312_company_537044000.pdf","PDF")</f>
        <v>PDF</v>
      </c>
      <c r="K13865" s="12" t="s">
        <v>26443</v>
      </c>
      <c r="L13865" s="20">
        <v>0.34994807892004148</v>
      </c>
    </row>
    <row r="13866" spans="1:12" x14ac:dyDescent="0.45">
      <c r="A13866" s="12" t="s">
        <v>26429</v>
      </c>
      <c r="B13866" s="12" t="s">
        <v>894</v>
      </c>
      <c r="C13866" s="13" t="s">
        <v>26</v>
      </c>
      <c r="D13866" s="13" t="s">
        <v>179</v>
      </c>
      <c r="E13866" s="12" t="s">
        <v>16</v>
      </c>
      <c r="F13866" s="14">
        <v>280000</v>
      </c>
      <c r="G13866" s="14">
        <v>192600</v>
      </c>
      <c r="H13866" s="13" t="s">
        <v>26444</v>
      </c>
      <c r="I13866" s="40" t="s">
        <v>18</v>
      </c>
      <c r="J13866" s="40" t="str">
        <f>HYPERLINK("https://stock.pstatic.net/stock-research/company/64/20250312_company_789293000.pdf","PDF")</f>
        <v>PDF</v>
      </c>
      <c r="K13866" s="12" t="s">
        <v>26445</v>
      </c>
      <c r="L13866" s="20">
        <v>0.45379023883696779</v>
      </c>
    </row>
    <row r="13867" spans="1:12" x14ac:dyDescent="0.45">
      <c r="A13867" s="12" t="s">
        <v>26429</v>
      </c>
      <c r="B13867" s="12" t="s">
        <v>1781</v>
      </c>
      <c r="C13867" s="13" t="s">
        <v>1782</v>
      </c>
      <c r="D13867" s="13" t="s">
        <v>83</v>
      </c>
      <c r="E13867" s="12" t="s">
        <v>35</v>
      </c>
      <c r="F13867" s="14">
        <v>130000</v>
      </c>
      <c r="G13867" s="14">
        <v>81800</v>
      </c>
      <c r="H13867" s="13" t="s">
        <v>26446</v>
      </c>
      <c r="I13867" s="40" t="s">
        <v>18</v>
      </c>
      <c r="J13867" s="40" t="str">
        <f>HYPERLINK("https://stock.pstatic.net/stock-research/company/2/20250312_company_72754000.pdf","PDF")</f>
        <v>PDF</v>
      </c>
      <c r="K13867" s="12" t="s">
        <v>26447</v>
      </c>
      <c r="L13867" s="20">
        <v>0.58924205378973105</v>
      </c>
    </row>
    <row r="13868" spans="1:12" x14ac:dyDescent="0.45">
      <c r="A13868" s="12" t="s">
        <v>26429</v>
      </c>
      <c r="B13868" s="12" t="s">
        <v>170</v>
      </c>
      <c r="C13868" s="13" t="s">
        <v>171</v>
      </c>
      <c r="D13868" s="13" t="s">
        <v>23</v>
      </c>
      <c r="E13868" s="12" t="s">
        <v>16</v>
      </c>
      <c r="F13868" s="14">
        <v>93000</v>
      </c>
      <c r="G13868" s="14">
        <v>71000</v>
      </c>
      <c r="H13868" s="13" t="s">
        <v>26448</v>
      </c>
      <c r="I13868" s="40" t="s">
        <v>18</v>
      </c>
      <c r="J13868" s="40" t="str">
        <f>HYPERLINK("https://stock.pstatic.net/stock-research/company/21/20250312_company_442733000.pdf","PDF")</f>
        <v>PDF</v>
      </c>
      <c r="K13868" s="12" t="s">
        <v>26449</v>
      </c>
      <c r="L13868" s="20">
        <v>0.30985915492957739</v>
      </c>
    </row>
    <row r="13869" spans="1:12" x14ac:dyDescent="0.45">
      <c r="A13869" s="12" t="s">
        <v>26429</v>
      </c>
      <c r="B13869" s="12" t="s">
        <v>4882</v>
      </c>
      <c r="C13869" s="13" t="s">
        <v>4883</v>
      </c>
      <c r="D13869" s="13" t="s">
        <v>53</v>
      </c>
      <c r="E13869" s="12" t="s">
        <v>50</v>
      </c>
      <c r="F13869" s="13"/>
      <c r="G13869" s="14">
        <v>28000</v>
      </c>
      <c r="H13869" s="13" t="s">
        <v>26450</v>
      </c>
      <c r="I13869" s="40" t="s">
        <v>18</v>
      </c>
      <c r="J13869" s="40" t="str">
        <f>HYPERLINK("https://stock.pstatic.net/stock-research/company/40/20250312_company_389433000.pdf","PDF")</f>
        <v>PDF</v>
      </c>
      <c r="K13869" s="12" t="s">
        <v>26451</v>
      </c>
    </row>
    <row r="13870" spans="1:12" x14ac:dyDescent="0.45">
      <c r="A13870" s="12" t="s">
        <v>26429</v>
      </c>
      <c r="B13870" s="12" t="s">
        <v>1781</v>
      </c>
      <c r="C13870" s="13" t="s">
        <v>1782</v>
      </c>
      <c r="D13870" s="13" t="s">
        <v>44</v>
      </c>
      <c r="E13870" s="12" t="s">
        <v>35</v>
      </c>
      <c r="F13870" s="14">
        <v>120000</v>
      </c>
      <c r="G13870" s="14">
        <v>81800</v>
      </c>
      <c r="H13870" s="13" t="s">
        <v>26452</v>
      </c>
      <c r="I13870" s="40" t="s">
        <v>18</v>
      </c>
      <c r="J13870" s="40" t="str">
        <f>HYPERLINK("https://stock.pstatic.net/stock-research/company/39/20250312_company_433722000.pdf","PDF")</f>
        <v>PDF</v>
      </c>
      <c r="K13870" s="12" t="s">
        <v>26453</v>
      </c>
      <c r="L13870" s="20">
        <v>0.4669926650366748</v>
      </c>
    </row>
    <row r="13871" spans="1:12" x14ac:dyDescent="0.45">
      <c r="A13871" s="12" t="s">
        <v>26429</v>
      </c>
      <c r="B13871" s="12" t="s">
        <v>26454</v>
      </c>
      <c r="C13871" s="13" t="s">
        <v>26455</v>
      </c>
      <c r="D13871" s="13" t="s">
        <v>124</v>
      </c>
      <c r="E13871" s="12" t="s">
        <v>50</v>
      </c>
      <c r="F13871" s="13"/>
      <c r="G13871" s="14">
        <v>2105</v>
      </c>
      <c r="H13871" s="13" t="s">
        <v>26456</v>
      </c>
      <c r="I13871" s="40" t="s">
        <v>18</v>
      </c>
      <c r="J13871" s="40" t="str">
        <f>HYPERLINK("https://stock.pstatic.net/stock-research/company/74/20250312_company_624138000.pdf","PDF")</f>
        <v>PDF</v>
      </c>
      <c r="K13871" s="12" t="s">
        <v>26457</v>
      </c>
    </row>
    <row r="13872" spans="1:12" x14ac:dyDescent="0.45">
      <c r="A13872" s="12" t="s">
        <v>26429</v>
      </c>
      <c r="B13872" s="12" t="s">
        <v>21511</v>
      </c>
      <c r="C13872" s="13" t="s">
        <v>21512</v>
      </c>
      <c r="D13872" s="13" t="s">
        <v>53</v>
      </c>
      <c r="E13872" s="12" t="s">
        <v>50</v>
      </c>
      <c r="F13872" s="13"/>
      <c r="G13872" s="14">
        <v>10070</v>
      </c>
      <c r="H13872" s="13" t="s">
        <v>26458</v>
      </c>
      <c r="I13872" s="40" t="s">
        <v>18</v>
      </c>
      <c r="J13872" s="40" t="str">
        <f>HYPERLINK("https://stock.pstatic.net/stock-research/company/40/20250312_company_556711000.pdf","PDF")</f>
        <v>PDF</v>
      </c>
      <c r="K13872" s="12" t="s">
        <v>26459</v>
      </c>
    </row>
    <row r="13873" spans="1:12" x14ac:dyDescent="0.45">
      <c r="A13873" s="12" t="s">
        <v>26460</v>
      </c>
      <c r="B13873" s="12" t="s">
        <v>4125</v>
      </c>
      <c r="C13873" s="13" t="s">
        <v>4126</v>
      </c>
      <c r="D13873" s="13" t="s">
        <v>65</v>
      </c>
      <c r="E13873" s="12" t="s">
        <v>50</v>
      </c>
      <c r="F13873" s="13"/>
      <c r="G13873" s="14">
        <v>30700</v>
      </c>
      <c r="H13873" s="13" t="s">
        <v>26461</v>
      </c>
      <c r="I13873" s="40" t="s">
        <v>18</v>
      </c>
      <c r="J13873" s="40" t="str">
        <f>HYPERLINK("https://stock.pstatic.net/stock-research/company/57/20250311_company_111262000.pdf","PDF")</f>
        <v>PDF</v>
      </c>
      <c r="K13873" s="12" t="s">
        <v>26462</v>
      </c>
    </row>
    <row r="13874" spans="1:12" x14ac:dyDescent="0.45">
      <c r="A13874" s="12" t="s">
        <v>26460</v>
      </c>
      <c r="B13874" s="12" t="s">
        <v>42</v>
      </c>
      <c r="C13874" s="13" t="s">
        <v>43</v>
      </c>
      <c r="D13874" s="13" t="s">
        <v>57</v>
      </c>
      <c r="E13874" s="12" t="s">
        <v>35</v>
      </c>
      <c r="F13874" s="14">
        <v>300000</v>
      </c>
      <c r="G13874" s="14">
        <v>215000</v>
      </c>
      <c r="H13874" s="13" t="s">
        <v>26463</v>
      </c>
      <c r="I13874" s="40" t="s">
        <v>18</v>
      </c>
      <c r="J13874" s="40" t="str">
        <f>HYPERLINK("https://stock.pstatic.net/stock-research/company/16/20250311_company_394455000.pdf","PDF")</f>
        <v>PDF</v>
      </c>
      <c r="K13874" s="12" t="s">
        <v>26464</v>
      </c>
      <c r="L13874" s="20">
        <v>0.39534883720930231</v>
      </c>
    </row>
    <row r="13875" spans="1:12" x14ac:dyDescent="0.45">
      <c r="A13875" s="12" t="s">
        <v>26460</v>
      </c>
      <c r="B13875" s="12" t="s">
        <v>1407</v>
      </c>
      <c r="C13875" s="13" t="s">
        <v>1408</v>
      </c>
      <c r="D13875" s="13" t="s">
        <v>57</v>
      </c>
      <c r="E13875" s="12" t="s">
        <v>35</v>
      </c>
      <c r="F13875" s="14">
        <v>68000</v>
      </c>
      <c r="G13875" s="14">
        <v>40950</v>
      </c>
      <c r="H13875" s="13" t="s">
        <v>26465</v>
      </c>
      <c r="I13875" s="40" t="s">
        <v>18</v>
      </c>
      <c r="J13875" s="40" t="str">
        <f>HYPERLINK("https://stock.pstatic.net/stock-research/company/16/20250311_company_75735000.pdf","PDF")</f>
        <v>PDF</v>
      </c>
      <c r="K13875" s="12" t="s">
        <v>26466</v>
      </c>
      <c r="L13875" s="20">
        <v>0.66056166056166055</v>
      </c>
    </row>
    <row r="13876" spans="1:12" x14ac:dyDescent="0.45">
      <c r="A13876" s="12" t="s">
        <v>26460</v>
      </c>
      <c r="B13876" s="12" t="s">
        <v>26467</v>
      </c>
      <c r="C13876" s="13" t="s">
        <v>26468</v>
      </c>
      <c r="D13876" s="13" t="s">
        <v>158</v>
      </c>
      <c r="E13876" s="12" t="s">
        <v>50</v>
      </c>
      <c r="F13876" s="13"/>
      <c r="G13876" s="14">
        <v>1044</v>
      </c>
      <c r="H13876" s="13" t="s">
        <v>26469</v>
      </c>
      <c r="I13876" s="40" t="s">
        <v>18</v>
      </c>
      <c r="J13876" s="40" t="str">
        <f>HYPERLINK("https://stock.pstatic.net/stock-research/company/18/20250311_company_314322000.pdf","PDF")</f>
        <v>PDF</v>
      </c>
      <c r="K13876" s="12" t="s">
        <v>26470</v>
      </c>
    </row>
    <row r="13877" spans="1:12" x14ac:dyDescent="0.45">
      <c r="A13877" s="12" t="s">
        <v>26460</v>
      </c>
      <c r="B13877" s="12" t="s">
        <v>1918</v>
      </c>
      <c r="C13877" s="13" t="s">
        <v>1919</v>
      </c>
      <c r="D13877" s="13" t="s">
        <v>158</v>
      </c>
      <c r="E13877" s="12" t="s">
        <v>50</v>
      </c>
      <c r="F13877" s="13"/>
      <c r="G13877" s="14">
        <v>5810</v>
      </c>
      <c r="H13877" s="13" t="s">
        <v>26471</v>
      </c>
      <c r="I13877" s="40" t="s">
        <v>18</v>
      </c>
      <c r="J13877" s="40" t="str">
        <f>HYPERLINK("https://stock.pstatic.net/stock-research/company/1/20250311_company_219724000.pdf","PDF")</f>
        <v>PDF</v>
      </c>
      <c r="K13877" s="12" t="s">
        <v>26472</v>
      </c>
    </row>
    <row r="13878" spans="1:12" x14ac:dyDescent="0.45">
      <c r="A13878" s="12" t="s">
        <v>26460</v>
      </c>
      <c r="B13878" s="12" t="s">
        <v>19984</v>
      </c>
      <c r="C13878" s="13" t="s">
        <v>19985</v>
      </c>
      <c r="D13878" s="13" t="s">
        <v>158</v>
      </c>
      <c r="E13878" s="12" t="s">
        <v>50</v>
      </c>
      <c r="F13878" s="13"/>
      <c r="G13878" s="14">
        <v>70200</v>
      </c>
      <c r="H13878" s="13" t="s">
        <v>26473</v>
      </c>
      <c r="I13878" s="40" t="s">
        <v>18</v>
      </c>
      <c r="J13878" s="40" t="str">
        <f>HYPERLINK("https://stock.pstatic.net/stock-research/company/1/20250311_company_546445000.pdf","PDF")</f>
        <v>PDF</v>
      </c>
      <c r="K13878" s="12" t="s">
        <v>26474</v>
      </c>
    </row>
    <row r="13879" spans="1:12" x14ac:dyDescent="0.45">
      <c r="A13879" s="12" t="s">
        <v>26460</v>
      </c>
      <c r="B13879" s="12" t="s">
        <v>5705</v>
      </c>
      <c r="C13879" s="13" t="s">
        <v>5706</v>
      </c>
      <c r="D13879" s="13" t="s">
        <v>158</v>
      </c>
      <c r="E13879" s="12" t="s">
        <v>35</v>
      </c>
      <c r="F13879" s="14">
        <v>125000</v>
      </c>
      <c r="G13879" s="14">
        <v>91100</v>
      </c>
      <c r="H13879" s="13" t="s">
        <v>26475</v>
      </c>
      <c r="I13879" s="40" t="s">
        <v>18</v>
      </c>
      <c r="J13879" s="40" t="str">
        <f>HYPERLINK("https://stock.pstatic.net/stock-research/company/18/20250311_company_964057000.pdf","PDF")</f>
        <v>PDF</v>
      </c>
      <c r="K13879" s="12" t="s">
        <v>26476</v>
      </c>
      <c r="L13879" s="20">
        <v>0.37211855104281011</v>
      </c>
    </row>
    <row r="13880" spans="1:12" x14ac:dyDescent="0.45">
      <c r="A13880" s="12" t="s">
        <v>26460</v>
      </c>
      <c r="B13880" s="12" t="s">
        <v>5787</v>
      </c>
      <c r="C13880" s="13" t="s">
        <v>5788</v>
      </c>
      <c r="D13880" s="13" t="s">
        <v>158</v>
      </c>
      <c r="E13880" s="12" t="s">
        <v>35</v>
      </c>
      <c r="F13880" s="14">
        <v>21000</v>
      </c>
      <c r="G13880" s="14">
        <v>17230</v>
      </c>
      <c r="H13880" s="13" t="s">
        <v>7962</v>
      </c>
      <c r="I13880" s="40" t="s">
        <v>18</v>
      </c>
      <c r="J13880" s="40" t="str">
        <f>HYPERLINK("https://stock.pstatic.net/stock-research/company/1/20250311_company_121890000.pdf","PDF")</f>
        <v>PDF</v>
      </c>
      <c r="K13880" s="12" t="s">
        <v>26477</v>
      </c>
      <c r="L13880" s="20">
        <v>0.2188044109112014</v>
      </c>
    </row>
    <row r="13881" spans="1:12" x14ac:dyDescent="0.45">
      <c r="A13881" s="12" t="s">
        <v>26460</v>
      </c>
      <c r="B13881" s="12" t="s">
        <v>1930</v>
      </c>
      <c r="C13881" s="13" t="s">
        <v>1931</v>
      </c>
      <c r="D13881" s="13" t="s">
        <v>158</v>
      </c>
      <c r="E13881" s="12" t="s">
        <v>35</v>
      </c>
      <c r="F13881" s="14">
        <v>370000</v>
      </c>
      <c r="G13881" s="14">
        <v>259000</v>
      </c>
      <c r="H13881" s="13" t="s">
        <v>26478</v>
      </c>
      <c r="I13881" s="40" t="s">
        <v>18</v>
      </c>
      <c r="J13881" s="40" t="str">
        <f>HYPERLINK("https://stock.pstatic.net/stock-research/company/18/20250311_company_371697000.pdf","PDF")</f>
        <v>PDF</v>
      </c>
      <c r="K13881" s="12" t="s">
        <v>26479</v>
      </c>
      <c r="L13881" s="20">
        <v>0.42857142857142849</v>
      </c>
    </row>
    <row r="13882" spans="1:12" x14ac:dyDescent="0.45">
      <c r="A13882" s="12" t="s">
        <v>26460</v>
      </c>
      <c r="B13882" s="12" t="s">
        <v>2187</v>
      </c>
      <c r="C13882" s="13" t="s">
        <v>2188</v>
      </c>
      <c r="D13882" s="13" t="s">
        <v>158</v>
      </c>
      <c r="E13882" s="12" t="s">
        <v>35</v>
      </c>
      <c r="F13882" s="14">
        <v>150000</v>
      </c>
      <c r="G13882" s="14">
        <v>118100</v>
      </c>
      <c r="H13882" s="13" t="s">
        <v>26480</v>
      </c>
      <c r="I13882" s="40" t="s">
        <v>18</v>
      </c>
      <c r="J13882" s="40" t="str">
        <f>HYPERLINK("https://stock.pstatic.net/stock-research/company/18/20250311_company_3509000.pdf","PDF")</f>
        <v>PDF</v>
      </c>
      <c r="K13882" s="12" t="s">
        <v>26481</v>
      </c>
      <c r="L13882" s="20">
        <v>0.2701100762066046</v>
      </c>
    </row>
    <row r="13883" spans="1:12" x14ac:dyDescent="0.45">
      <c r="A13883" s="12" t="s">
        <v>26460</v>
      </c>
      <c r="B13883" s="12" t="s">
        <v>1120</v>
      </c>
      <c r="C13883" s="13" t="s">
        <v>1121</v>
      </c>
      <c r="D13883" s="13" t="s">
        <v>158</v>
      </c>
      <c r="E13883" s="12" t="s">
        <v>35</v>
      </c>
      <c r="F13883" s="14">
        <v>149000</v>
      </c>
      <c r="G13883" s="14">
        <v>107600</v>
      </c>
      <c r="H13883" s="13" t="s">
        <v>26482</v>
      </c>
      <c r="I13883" s="40" t="s">
        <v>18</v>
      </c>
      <c r="J13883" s="40" t="str">
        <f>HYPERLINK("https://stock.pstatic.net/stock-research/company/18/20250311_company_351855000.pdf","PDF")</f>
        <v>PDF</v>
      </c>
      <c r="K13883" s="12" t="s">
        <v>26483</v>
      </c>
      <c r="L13883" s="20">
        <v>0.38475836431226768</v>
      </c>
    </row>
    <row r="13884" spans="1:12" x14ac:dyDescent="0.45">
      <c r="A13884" s="12" t="s">
        <v>26460</v>
      </c>
      <c r="B13884" s="12" t="s">
        <v>1308</v>
      </c>
      <c r="C13884" s="13" t="s">
        <v>1309</v>
      </c>
      <c r="D13884" s="13" t="s">
        <v>158</v>
      </c>
      <c r="E13884" s="12" t="s">
        <v>35</v>
      </c>
      <c r="F13884" s="14">
        <v>490000</v>
      </c>
      <c r="G13884" s="14">
        <v>386500</v>
      </c>
      <c r="H13884" s="13" t="s">
        <v>26484</v>
      </c>
      <c r="I13884" s="40" t="s">
        <v>18</v>
      </c>
      <c r="J13884" s="40" t="str">
        <f>HYPERLINK("https://stock.pstatic.net/stock-research/company/18/20250311_company_974925000.pdf","PDF")</f>
        <v>PDF</v>
      </c>
      <c r="K13884" s="12" t="s">
        <v>26485</v>
      </c>
      <c r="L13884" s="20">
        <v>0.26778783958602848</v>
      </c>
    </row>
    <row r="13885" spans="1:12" x14ac:dyDescent="0.45">
      <c r="A13885" s="12" t="s">
        <v>26460</v>
      </c>
      <c r="B13885" s="12" t="s">
        <v>1686</v>
      </c>
      <c r="C13885" s="13" t="s">
        <v>1687</v>
      </c>
      <c r="D13885" s="13" t="s">
        <v>158</v>
      </c>
      <c r="E13885" s="12" t="s">
        <v>35</v>
      </c>
      <c r="F13885" s="14">
        <v>1100000</v>
      </c>
      <c r="G13885" s="14">
        <v>897000</v>
      </c>
      <c r="H13885" s="13" t="s">
        <v>26486</v>
      </c>
      <c r="I13885" s="40" t="s">
        <v>18</v>
      </c>
      <c r="J13885" s="40" t="str">
        <f>HYPERLINK("https://stock.pstatic.net/stock-research/company/18/20250311_company_791910000.pdf","PDF")</f>
        <v>PDF</v>
      </c>
      <c r="K13885" s="12" t="s">
        <v>26487</v>
      </c>
      <c r="L13885" s="20">
        <v>0.2263099219620959</v>
      </c>
    </row>
    <row r="13886" spans="1:12" x14ac:dyDescent="0.45">
      <c r="A13886" s="12" t="s">
        <v>26460</v>
      </c>
      <c r="B13886" s="12" t="s">
        <v>1190</v>
      </c>
      <c r="C13886" s="13" t="s">
        <v>1191</v>
      </c>
      <c r="D13886" s="13" t="s">
        <v>83</v>
      </c>
      <c r="E13886" s="12" t="s">
        <v>35</v>
      </c>
      <c r="F13886" s="14">
        <v>60000</v>
      </c>
      <c r="G13886" s="14">
        <v>47650</v>
      </c>
      <c r="H13886" s="13" t="s">
        <v>26488</v>
      </c>
      <c r="I13886" s="40" t="s">
        <v>18</v>
      </c>
      <c r="J13886" s="40" t="str">
        <f>HYPERLINK("https://stock.pstatic.net/stock-research/company/2/20250311_company_100016000.pdf","PDF")</f>
        <v>PDF</v>
      </c>
      <c r="K13886" s="12" t="s">
        <v>26489</v>
      </c>
      <c r="L13886" s="20">
        <v>0.25918153200419719</v>
      </c>
    </row>
    <row r="13887" spans="1:12" x14ac:dyDescent="0.45">
      <c r="A13887" s="12" t="s">
        <v>26460</v>
      </c>
      <c r="B13887" s="12" t="s">
        <v>32</v>
      </c>
      <c r="C13887" s="13" t="s">
        <v>33</v>
      </c>
      <c r="D13887" s="13" t="s">
        <v>83</v>
      </c>
      <c r="E13887" s="12" t="s">
        <v>35</v>
      </c>
      <c r="F13887" s="14">
        <v>180000</v>
      </c>
      <c r="G13887" s="14">
        <v>132900</v>
      </c>
      <c r="H13887" s="13" t="s">
        <v>26490</v>
      </c>
      <c r="I13887" s="40" t="s">
        <v>18</v>
      </c>
      <c r="J13887" s="40" t="str">
        <f>HYPERLINK("https://stock.pstatic.net/stock-research/company/2/20250311_company_325714000.pdf","PDF")</f>
        <v>PDF</v>
      </c>
      <c r="K13887" s="12" t="s">
        <v>26491</v>
      </c>
      <c r="L13887" s="20">
        <v>0.35440180586907449</v>
      </c>
    </row>
    <row r="13888" spans="1:12" x14ac:dyDescent="0.45">
      <c r="A13888" s="12" t="s">
        <v>26460</v>
      </c>
      <c r="B13888" s="12" t="s">
        <v>3383</v>
      </c>
      <c r="C13888" s="13" t="s">
        <v>3384</v>
      </c>
      <c r="D13888" s="13" t="s">
        <v>23</v>
      </c>
      <c r="E13888" s="12" t="s">
        <v>16</v>
      </c>
      <c r="F13888" s="14">
        <v>40000</v>
      </c>
      <c r="G13888" s="14">
        <v>29150</v>
      </c>
      <c r="H13888" s="13" t="s">
        <v>26492</v>
      </c>
      <c r="I13888" s="40" t="s">
        <v>18</v>
      </c>
      <c r="J13888" s="40" t="str">
        <f>HYPERLINK("https://stock.pstatic.net/stock-research/company/21/20250311_company_61736000.pdf","PDF")</f>
        <v>PDF</v>
      </c>
      <c r="K13888" s="12" t="s">
        <v>26493</v>
      </c>
      <c r="L13888" s="20">
        <v>0.37221269296740989</v>
      </c>
    </row>
    <row r="13889" spans="1:12" x14ac:dyDescent="0.45">
      <c r="A13889" s="12" t="s">
        <v>26460</v>
      </c>
      <c r="B13889" s="12" t="s">
        <v>8861</v>
      </c>
      <c r="C13889" s="13" t="s">
        <v>8862</v>
      </c>
      <c r="D13889" s="13" t="s">
        <v>53</v>
      </c>
      <c r="E13889" s="12" t="s">
        <v>16</v>
      </c>
      <c r="F13889" s="14">
        <v>29000</v>
      </c>
      <c r="G13889" s="14">
        <v>19090</v>
      </c>
      <c r="H13889" s="13" t="s">
        <v>26494</v>
      </c>
      <c r="I13889" s="40" t="s">
        <v>18</v>
      </c>
      <c r="J13889" s="40" t="str">
        <f>HYPERLINK("https://stock.pstatic.net/stock-research/company/40/20250311_company_839387000.pdf","PDF")</f>
        <v>PDF</v>
      </c>
      <c r="K13889" s="12" t="s">
        <v>26495</v>
      </c>
      <c r="L13889" s="20">
        <v>0.51911995809324252</v>
      </c>
    </row>
    <row r="13890" spans="1:12" x14ac:dyDescent="0.45">
      <c r="A13890" s="12" t="s">
        <v>26460</v>
      </c>
      <c r="B13890" s="12" t="s">
        <v>26496</v>
      </c>
      <c r="C13890" s="13" t="s">
        <v>26497</v>
      </c>
      <c r="D13890" s="13" t="s">
        <v>44</v>
      </c>
      <c r="E13890" s="12" t="s">
        <v>50</v>
      </c>
      <c r="F13890" s="13"/>
      <c r="G13890" s="13"/>
      <c r="H13890" s="13" t="s">
        <v>26498</v>
      </c>
      <c r="I13890" s="40" t="s">
        <v>18</v>
      </c>
      <c r="J13890" s="40" t="str">
        <f>HYPERLINK("https://stock.pstatic.net/stock-research/company/39/20250311_company_692301000.pdf","PDF")</f>
        <v>PDF</v>
      </c>
      <c r="K13890" s="12" t="s">
        <v>26499</v>
      </c>
    </row>
    <row r="13891" spans="1:12" x14ac:dyDescent="0.45">
      <c r="A13891" s="12" t="s">
        <v>26460</v>
      </c>
      <c r="B13891" s="12" t="s">
        <v>5044</v>
      </c>
      <c r="C13891" s="13" t="s">
        <v>5045</v>
      </c>
      <c r="D13891" s="13" t="s">
        <v>124</v>
      </c>
      <c r="E13891" s="12" t="s">
        <v>50</v>
      </c>
      <c r="F13891" s="13"/>
      <c r="G13891" s="13"/>
      <c r="H13891" s="13" t="s">
        <v>26500</v>
      </c>
      <c r="I13891" s="40" t="s">
        <v>18</v>
      </c>
      <c r="J13891" s="40" t="str">
        <f>HYPERLINK("https://stock.pstatic.net/stock-research/company/74/20250311_company_205190000.pdf","PDF")</f>
        <v>PDF</v>
      </c>
      <c r="K13891" s="12" t="s">
        <v>26501</v>
      </c>
    </row>
    <row r="13892" spans="1:12" x14ac:dyDescent="0.45">
      <c r="A13892" s="12" t="s">
        <v>26460</v>
      </c>
      <c r="B13892" s="12" t="s">
        <v>26502</v>
      </c>
      <c r="C13892" s="13" t="s">
        <v>26503</v>
      </c>
      <c r="D13892" s="13" t="s">
        <v>124</v>
      </c>
      <c r="E13892" s="12" t="s">
        <v>50</v>
      </c>
      <c r="F13892" s="13"/>
      <c r="G13892" s="13"/>
      <c r="H13892" s="13" t="s">
        <v>26504</v>
      </c>
      <c r="I13892" s="40" t="s">
        <v>18</v>
      </c>
      <c r="J13892" s="40" t="str">
        <f>HYPERLINK("https://stock.pstatic.net/stock-research/company/74/20250311_company_925180000.pdf","PDF")</f>
        <v>PDF</v>
      </c>
      <c r="K13892" s="12" t="s">
        <v>26505</v>
      </c>
    </row>
    <row r="13893" spans="1:12" x14ac:dyDescent="0.45">
      <c r="A13893" s="12" t="s">
        <v>26506</v>
      </c>
      <c r="B13893" s="12" t="s">
        <v>11329</v>
      </c>
      <c r="C13893" s="13" t="s">
        <v>11330</v>
      </c>
      <c r="D13893" s="13" t="s">
        <v>276</v>
      </c>
      <c r="E13893" s="12" t="s">
        <v>16</v>
      </c>
      <c r="F13893" s="14">
        <v>12000</v>
      </c>
      <c r="G13893" s="14">
        <v>10200</v>
      </c>
      <c r="H13893" s="13" t="s">
        <v>26507</v>
      </c>
      <c r="I13893" s="40" t="s">
        <v>18</v>
      </c>
      <c r="J13893" s="40" t="str">
        <f>HYPERLINK("https://stock.pstatic.net/stock-research/company/66/20250310_company_249369000.pdf","PDF")</f>
        <v>PDF</v>
      </c>
      <c r="K13893" s="12" t="s">
        <v>26508</v>
      </c>
      <c r="L13893" s="20">
        <v>0.1764705882352941</v>
      </c>
    </row>
    <row r="13894" spans="1:12" x14ac:dyDescent="0.45">
      <c r="A13894" s="12" t="s">
        <v>26506</v>
      </c>
      <c r="B13894" s="12" t="s">
        <v>16217</v>
      </c>
      <c r="C13894" s="13" t="s">
        <v>16218</v>
      </c>
      <c r="D13894" s="13" t="s">
        <v>65</v>
      </c>
      <c r="E13894" s="12" t="s">
        <v>35</v>
      </c>
      <c r="F13894" s="14">
        <v>13000</v>
      </c>
      <c r="G13894" s="14">
        <v>9360</v>
      </c>
      <c r="H13894" s="13" t="s">
        <v>26509</v>
      </c>
      <c r="I13894" s="40" t="s">
        <v>18</v>
      </c>
      <c r="J13894" s="40" t="str">
        <f>HYPERLINK("https://stock.pstatic.net/stock-research/company/57/20250310_company_43111000.pdf","PDF")</f>
        <v>PDF</v>
      </c>
      <c r="K13894" s="12" t="s">
        <v>26510</v>
      </c>
      <c r="L13894" s="20">
        <v>0.3888888888888889</v>
      </c>
    </row>
    <row r="13895" spans="1:12" x14ac:dyDescent="0.45">
      <c r="A13895" s="12" t="s">
        <v>26506</v>
      </c>
      <c r="B13895" s="12" t="s">
        <v>174</v>
      </c>
      <c r="C13895" s="13" t="s">
        <v>44</v>
      </c>
      <c r="D13895" s="13" t="s">
        <v>15</v>
      </c>
      <c r="E13895" s="12" t="s">
        <v>16</v>
      </c>
      <c r="F13895" s="14">
        <v>160000</v>
      </c>
      <c r="G13895" s="14">
        <v>116100</v>
      </c>
      <c r="H13895" s="13" t="s">
        <v>26511</v>
      </c>
      <c r="I13895" s="40" t="s">
        <v>18</v>
      </c>
      <c r="J13895" s="40" t="str">
        <f>HYPERLINK("https://stock.pstatic.net/stock-research/company/29/20250310_company_565331000.pdf","PDF")</f>
        <v>PDF</v>
      </c>
      <c r="K13895" s="12" t="s">
        <v>26512</v>
      </c>
      <c r="L13895" s="20">
        <v>0.37812230835486649</v>
      </c>
    </row>
    <row r="13896" spans="1:12" x14ac:dyDescent="0.45">
      <c r="A13896" s="12" t="s">
        <v>26506</v>
      </c>
      <c r="B13896" s="12" t="s">
        <v>1383</v>
      </c>
      <c r="C13896" s="13" t="s">
        <v>1384</v>
      </c>
      <c r="D13896" s="13" t="s">
        <v>83</v>
      </c>
      <c r="E13896" s="12" t="s">
        <v>35</v>
      </c>
      <c r="F13896" s="14">
        <v>34000</v>
      </c>
      <c r="G13896" s="14">
        <v>23400</v>
      </c>
      <c r="H13896" s="13" t="s">
        <v>26513</v>
      </c>
      <c r="I13896" s="40" t="s">
        <v>18</v>
      </c>
      <c r="J13896" s="40" t="str">
        <f>HYPERLINK("https://stock.pstatic.net/stock-research/company/1/20250310_company_961655000.pdf","PDF")</f>
        <v>PDF</v>
      </c>
      <c r="K13896" s="12" t="s">
        <v>26514</v>
      </c>
      <c r="L13896" s="20">
        <v>0.45299145299145299</v>
      </c>
    </row>
    <row r="13897" spans="1:12" x14ac:dyDescent="0.45">
      <c r="A13897" s="12" t="s">
        <v>26506</v>
      </c>
      <c r="B13897" s="12" t="s">
        <v>81</v>
      </c>
      <c r="C13897" s="13" t="s">
        <v>82</v>
      </c>
      <c r="D13897" s="13" t="s">
        <v>15</v>
      </c>
      <c r="E13897" s="12" t="s">
        <v>16</v>
      </c>
      <c r="F13897" s="14">
        <v>18000</v>
      </c>
      <c r="G13897" s="14">
        <v>14850</v>
      </c>
      <c r="H13897" s="13" t="s">
        <v>26515</v>
      </c>
      <c r="I13897" s="40" t="s">
        <v>18</v>
      </c>
      <c r="J13897" s="40" t="str">
        <f>HYPERLINK("https://stock.pstatic.net/stock-research/company/29/20250310_company_448544000.pdf","PDF")</f>
        <v>PDF</v>
      </c>
      <c r="K13897" s="12" t="s">
        <v>26516</v>
      </c>
      <c r="L13897" s="20">
        <v>0.2121212121212121</v>
      </c>
    </row>
    <row r="13898" spans="1:12" x14ac:dyDescent="0.45">
      <c r="A13898" s="12" t="s">
        <v>26506</v>
      </c>
      <c r="B13898" s="12" t="s">
        <v>2978</v>
      </c>
      <c r="C13898" s="13" t="s">
        <v>2979</v>
      </c>
      <c r="D13898" s="13" t="s">
        <v>23</v>
      </c>
      <c r="E13898" s="12" t="s">
        <v>16</v>
      </c>
      <c r="F13898" s="14">
        <v>25000</v>
      </c>
      <c r="G13898" s="14">
        <v>15360</v>
      </c>
      <c r="H13898" s="13" t="s">
        <v>26517</v>
      </c>
      <c r="I13898" s="40" t="s">
        <v>18</v>
      </c>
      <c r="J13898" s="40" t="str">
        <f>HYPERLINK("https://stock.pstatic.net/stock-research/company/21/20250310_company_938121000.pdf","PDF")</f>
        <v>PDF</v>
      </c>
      <c r="K13898" s="12" t="s">
        <v>26518</v>
      </c>
      <c r="L13898" s="20">
        <v>0.62760416666666663</v>
      </c>
    </row>
    <row r="13899" spans="1:12" x14ac:dyDescent="0.45">
      <c r="A13899" s="12" t="s">
        <v>26506</v>
      </c>
      <c r="B13899" s="12" t="s">
        <v>557</v>
      </c>
      <c r="C13899" s="13" t="s">
        <v>558</v>
      </c>
      <c r="D13899" s="13" t="s">
        <v>34</v>
      </c>
      <c r="E13899" s="12" t="s">
        <v>35</v>
      </c>
      <c r="F13899" s="14">
        <v>140000</v>
      </c>
      <c r="G13899" s="14">
        <v>98100</v>
      </c>
      <c r="H13899" s="13" t="s">
        <v>26519</v>
      </c>
      <c r="I13899" s="40" t="s">
        <v>18</v>
      </c>
      <c r="J13899" s="40" t="str">
        <f>HYPERLINK("https://stock.pstatic.net/stock-research/company/61/20250310_company_442972000.pdf","PDF")</f>
        <v>PDF</v>
      </c>
      <c r="K13899" s="12" t="s">
        <v>26520</v>
      </c>
      <c r="L13899" s="20">
        <v>0.42711518858307851</v>
      </c>
    </row>
    <row r="13900" spans="1:12" x14ac:dyDescent="0.45">
      <c r="A13900" s="12" t="s">
        <v>26506</v>
      </c>
      <c r="B13900" s="12" t="s">
        <v>394</v>
      </c>
      <c r="C13900" s="13" t="s">
        <v>395</v>
      </c>
      <c r="D13900" s="13" t="s">
        <v>34</v>
      </c>
      <c r="E13900" s="12" t="s">
        <v>50</v>
      </c>
      <c r="F13900" s="13"/>
      <c r="G13900" s="14">
        <v>36600</v>
      </c>
      <c r="H13900" s="13" t="s">
        <v>26521</v>
      </c>
      <c r="I13900" s="40" t="s">
        <v>18</v>
      </c>
      <c r="J13900" s="40" t="str">
        <f>HYPERLINK("https://stock.pstatic.net/stock-research/company/61/20250310_company_722740000.pdf","PDF")</f>
        <v>PDF</v>
      </c>
      <c r="K13900" s="12" t="s">
        <v>26522</v>
      </c>
    </row>
    <row r="13901" spans="1:12" x14ac:dyDescent="0.45">
      <c r="A13901" s="12" t="s">
        <v>26506</v>
      </c>
      <c r="B13901" s="12" t="s">
        <v>2024</v>
      </c>
      <c r="C13901" s="13" t="s">
        <v>2025</v>
      </c>
      <c r="D13901" s="13" t="s">
        <v>34</v>
      </c>
      <c r="E13901" s="12" t="s">
        <v>35</v>
      </c>
      <c r="F13901" s="14">
        <v>67000</v>
      </c>
      <c r="G13901" s="14">
        <v>45150</v>
      </c>
      <c r="H13901" s="13" t="s">
        <v>26523</v>
      </c>
      <c r="I13901" s="40" t="s">
        <v>18</v>
      </c>
      <c r="J13901" s="40" t="str">
        <f>HYPERLINK("https://stock.pstatic.net/stock-research/company/61/20250310_company_110889000.pdf","PDF")</f>
        <v>PDF</v>
      </c>
      <c r="K13901" s="12" t="s">
        <v>26524</v>
      </c>
      <c r="L13901" s="20">
        <v>0.4839424141749723</v>
      </c>
    </row>
    <row r="13902" spans="1:12" x14ac:dyDescent="0.45">
      <c r="A13902" s="12" t="s">
        <v>26506</v>
      </c>
      <c r="B13902" s="12" t="s">
        <v>2831</v>
      </c>
      <c r="C13902" s="13" t="s">
        <v>2832</v>
      </c>
      <c r="D13902" s="13" t="s">
        <v>23</v>
      </c>
      <c r="E13902" s="12" t="s">
        <v>50</v>
      </c>
      <c r="F13902" s="13"/>
      <c r="G13902" s="14">
        <v>23800</v>
      </c>
      <c r="H13902" s="13" t="s">
        <v>26525</v>
      </c>
      <c r="I13902" s="40" t="s">
        <v>18</v>
      </c>
      <c r="J13902" s="40" t="str">
        <f>HYPERLINK("https://stock.pstatic.net/stock-research/company/21/20250310_company_656330000.pdf","PDF")</f>
        <v>PDF</v>
      </c>
      <c r="K13902" s="12" t="s">
        <v>26526</v>
      </c>
    </row>
    <row r="13903" spans="1:12" x14ac:dyDescent="0.45">
      <c r="A13903" s="12" t="s">
        <v>26506</v>
      </c>
      <c r="B13903" s="12" t="s">
        <v>842</v>
      </c>
      <c r="C13903" s="13" t="s">
        <v>843</v>
      </c>
      <c r="D13903" s="13" t="s">
        <v>53</v>
      </c>
      <c r="E13903" s="12" t="s">
        <v>16</v>
      </c>
      <c r="F13903" s="14">
        <v>30000</v>
      </c>
      <c r="G13903" s="14">
        <v>24500</v>
      </c>
      <c r="H13903" s="13" t="s">
        <v>26527</v>
      </c>
      <c r="I13903" s="40" t="s">
        <v>18</v>
      </c>
      <c r="J13903" s="40" t="str">
        <f>HYPERLINK("https://stock.pstatic.net/stock-research/company/40/20250310_company_589019000.pdf","PDF")</f>
        <v>PDF</v>
      </c>
      <c r="K13903" s="12" t="s">
        <v>26528</v>
      </c>
      <c r="L13903" s="20">
        <v>0.22448979591836729</v>
      </c>
    </row>
    <row r="13904" spans="1:12" x14ac:dyDescent="0.45">
      <c r="A13904" s="12" t="s">
        <v>26529</v>
      </c>
      <c r="B13904" s="12" t="s">
        <v>146</v>
      </c>
      <c r="C13904" s="13" t="s">
        <v>147</v>
      </c>
      <c r="D13904" s="13" t="s">
        <v>60</v>
      </c>
      <c r="E13904" s="12" t="s">
        <v>35</v>
      </c>
      <c r="F13904" s="14">
        <v>25000</v>
      </c>
      <c r="G13904" s="14">
        <v>17110</v>
      </c>
      <c r="H13904" s="13" t="s">
        <v>26530</v>
      </c>
      <c r="I13904" s="40" t="s">
        <v>18</v>
      </c>
      <c r="J13904" s="40" t="str">
        <f>HYPERLINK("https://stock.pstatic.net/stock-research/company/34/20250307_company_259243000.pdf","PDF")</f>
        <v>PDF</v>
      </c>
      <c r="K13904" s="12" t="s">
        <v>26531</v>
      </c>
      <c r="L13904" s="20">
        <v>0.46113383985973122</v>
      </c>
    </row>
    <row r="13905" spans="1:12" x14ac:dyDescent="0.45">
      <c r="A13905" s="12" t="s">
        <v>26529</v>
      </c>
      <c r="B13905" s="12" t="s">
        <v>1308</v>
      </c>
      <c r="C13905" s="13" t="s">
        <v>1309</v>
      </c>
      <c r="D13905" s="13" t="s">
        <v>65</v>
      </c>
      <c r="E13905" s="12" t="s">
        <v>35</v>
      </c>
      <c r="F13905" s="14">
        <v>540000</v>
      </c>
      <c r="G13905" s="14">
        <v>389500</v>
      </c>
      <c r="H13905" s="13" t="s">
        <v>26532</v>
      </c>
      <c r="I13905" s="40" t="s">
        <v>18</v>
      </c>
      <c r="J13905" s="40" t="str">
        <f>HYPERLINK("https://stock.pstatic.net/stock-research/company/16/20250307_company_72479000.pdf","PDF")</f>
        <v>PDF</v>
      </c>
      <c r="K13905" s="12" t="s">
        <v>26533</v>
      </c>
      <c r="L13905" s="20">
        <v>0.38639281129653402</v>
      </c>
    </row>
    <row r="13906" spans="1:12" x14ac:dyDescent="0.45">
      <c r="A13906" s="12" t="s">
        <v>26529</v>
      </c>
      <c r="B13906" s="12" t="s">
        <v>1308</v>
      </c>
      <c r="C13906" s="13" t="s">
        <v>1309</v>
      </c>
      <c r="D13906" s="13" t="s">
        <v>57</v>
      </c>
      <c r="E13906" s="12" t="s">
        <v>35</v>
      </c>
      <c r="F13906" s="14">
        <v>500000</v>
      </c>
      <c r="G13906" s="14">
        <v>389500</v>
      </c>
      <c r="H13906" s="13" t="s">
        <v>26534</v>
      </c>
      <c r="I13906" s="40" t="s">
        <v>18</v>
      </c>
      <c r="J13906" s="40" t="str">
        <f>HYPERLINK("https://stock.pstatic.net/stock-research/company/16/20250307_company_824326000.pdf","PDF")</f>
        <v>PDF</v>
      </c>
      <c r="K13906" s="12" t="s">
        <v>26535</v>
      </c>
      <c r="L13906" s="20">
        <v>0.28369704749679081</v>
      </c>
    </row>
    <row r="13907" spans="1:12" x14ac:dyDescent="0.45">
      <c r="A13907" s="12" t="s">
        <v>26529</v>
      </c>
      <c r="B13907" s="12" t="s">
        <v>118</v>
      </c>
      <c r="C13907" s="13" t="s">
        <v>119</v>
      </c>
      <c r="D13907" s="13" t="s">
        <v>57</v>
      </c>
      <c r="E13907" s="12" t="s">
        <v>35</v>
      </c>
      <c r="F13907" s="14">
        <v>120000</v>
      </c>
      <c r="G13907" s="14">
        <v>80300</v>
      </c>
      <c r="H13907" s="13" t="s">
        <v>26536</v>
      </c>
      <c r="I13907" s="40" t="s">
        <v>18</v>
      </c>
      <c r="J13907" s="40" t="str">
        <f>HYPERLINK("https://stock.pstatic.net/stock-research/company/16/20250307_company_389413000.pdf","PDF")</f>
        <v>PDF</v>
      </c>
      <c r="K13907" s="12" t="s">
        <v>26537</v>
      </c>
      <c r="L13907" s="20">
        <v>0.49439601494396013</v>
      </c>
    </row>
    <row r="13908" spans="1:12" x14ac:dyDescent="0.45">
      <c r="A13908" s="12" t="s">
        <v>26529</v>
      </c>
      <c r="B13908" s="12" t="s">
        <v>916</v>
      </c>
      <c r="C13908" s="13" t="s">
        <v>917</v>
      </c>
      <c r="D13908" s="13" t="s">
        <v>158</v>
      </c>
      <c r="E13908" s="12" t="s">
        <v>35</v>
      </c>
      <c r="F13908" s="14">
        <v>53000</v>
      </c>
      <c r="G13908" s="14">
        <v>45100</v>
      </c>
      <c r="H13908" s="13" t="s">
        <v>26538</v>
      </c>
      <c r="I13908" s="40" t="s">
        <v>18</v>
      </c>
      <c r="J13908" s="40" t="str">
        <f>HYPERLINK("https://stock.pstatic.net/stock-research/company/18/20250307_company_507144000.pdf","PDF")</f>
        <v>PDF</v>
      </c>
      <c r="K13908" s="12" t="s">
        <v>26539</v>
      </c>
      <c r="L13908" s="20">
        <v>0.17516629711751661</v>
      </c>
    </row>
    <row r="13909" spans="1:12" x14ac:dyDescent="0.45">
      <c r="A13909" s="12" t="s">
        <v>26529</v>
      </c>
      <c r="B13909" s="12" t="s">
        <v>42</v>
      </c>
      <c r="C13909" s="13" t="s">
        <v>43</v>
      </c>
      <c r="D13909" s="13" t="s">
        <v>158</v>
      </c>
      <c r="E13909" s="12" t="s">
        <v>35</v>
      </c>
      <c r="F13909" s="14">
        <v>290000</v>
      </c>
      <c r="G13909" s="14">
        <v>219000</v>
      </c>
      <c r="H13909" s="13" t="s">
        <v>26540</v>
      </c>
      <c r="I13909" s="40" t="s">
        <v>18</v>
      </c>
      <c r="J13909" s="40" t="str">
        <f>HYPERLINK("https://stock.pstatic.net/stock-research/company/1/20250307_company_920828000.pdf","PDF")</f>
        <v>PDF</v>
      </c>
      <c r="K13909" s="12" t="s">
        <v>26541</v>
      </c>
      <c r="L13909" s="20">
        <v>0.32420091324200911</v>
      </c>
    </row>
    <row r="13910" spans="1:12" x14ac:dyDescent="0.45">
      <c r="A13910" s="12" t="s">
        <v>26529</v>
      </c>
      <c r="B13910" s="12" t="s">
        <v>21902</v>
      </c>
      <c r="C13910" s="13" t="s">
        <v>21903</v>
      </c>
      <c r="D13910" s="13" t="s">
        <v>179</v>
      </c>
      <c r="E13910" s="12" t="s">
        <v>16</v>
      </c>
      <c r="F13910" s="14">
        <v>25000</v>
      </c>
      <c r="G13910" s="14">
        <v>16150</v>
      </c>
      <c r="H13910" s="13" t="s">
        <v>26542</v>
      </c>
      <c r="I13910" s="40" t="s">
        <v>18</v>
      </c>
      <c r="J13910" s="40" t="str">
        <f>HYPERLINK("https://stock.pstatic.net/stock-research/company/31/20250307_company_894687000.pdf","PDF")</f>
        <v>PDF</v>
      </c>
      <c r="K13910" s="12" t="s">
        <v>26543</v>
      </c>
      <c r="L13910" s="20">
        <v>0.54798761609907121</v>
      </c>
    </row>
    <row r="13911" spans="1:12" x14ac:dyDescent="0.45">
      <c r="A13911" s="12" t="s">
        <v>26529</v>
      </c>
      <c r="B13911" s="12" t="s">
        <v>3403</v>
      </c>
      <c r="C13911" s="13" t="s">
        <v>3404</v>
      </c>
      <c r="D13911" s="13" t="s">
        <v>179</v>
      </c>
      <c r="E13911" s="12" t="s">
        <v>16</v>
      </c>
      <c r="F13911" s="14">
        <v>44000</v>
      </c>
      <c r="G13911" s="14">
        <v>36000</v>
      </c>
      <c r="H13911" s="13" t="s">
        <v>26544</v>
      </c>
      <c r="I13911" s="40" t="s">
        <v>18</v>
      </c>
      <c r="J13911" s="40" t="str">
        <f>HYPERLINK("https://stock.pstatic.net/stock-research/company/31/20250307_company_85793000.pdf","PDF")</f>
        <v>PDF</v>
      </c>
      <c r="K13911" s="12" t="s">
        <v>26545</v>
      </c>
      <c r="L13911" s="20">
        <v>0.22222222222222221</v>
      </c>
    </row>
    <row r="13912" spans="1:12" x14ac:dyDescent="0.45">
      <c r="A13912" s="12" t="s">
        <v>26529</v>
      </c>
      <c r="B13912" s="12" t="s">
        <v>495</v>
      </c>
      <c r="C13912" s="13" t="s">
        <v>496</v>
      </c>
      <c r="D13912" s="13" t="s">
        <v>179</v>
      </c>
      <c r="E13912" s="12" t="s">
        <v>50</v>
      </c>
      <c r="F13912" s="13"/>
      <c r="G13912" s="14">
        <v>64700</v>
      </c>
      <c r="H13912" s="13" t="s">
        <v>26546</v>
      </c>
      <c r="I13912" s="40" t="s">
        <v>18</v>
      </c>
      <c r="J13912" s="40" t="str">
        <f>HYPERLINK("https://stock.pstatic.net/stock-research/company/31/20250307_company_591029000.pdf","PDF")</f>
        <v>PDF</v>
      </c>
      <c r="K13912" s="12" t="s">
        <v>26547</v>
      </c>
    </row>
    <row r="13913" spans="1:12" x14ac:dyDescent="0.45">
      <c r="A13913" s="12" t="s">
        <v>26529</v>
      </c>
      <c r="B13913" s="12" t="s">
        <v>26548</v>
      </c>
      <c r="C13913" s="13" t="s">
        <v>26549</v>
      </c>
      <c r="D13913" s="13" t="s">
        <v>179</v>
      </c>
      <c r="E13913" s="12" t="s">
        <v>50</v>
      </c>
      <c r="F13913" s="13"/>
      <c r="G13913" s="14">
        <v>5700</v>
      </c>
      <c r="H13913" s="13" t="s">
        <v>26550</v>
      </c>
      <c r="I13913" s="40" t="s">
        <v>18</v>
      </c>
      <c r="J13913" s="40" t="str">
        <f>HYPERLINK("https://stock.pstatic.net/stock-research/company/31/20250307_company_905216000.pdf","PDF")</f>
        <v>PDF</v>
      </c>
      <c r="K13913" s="12" t="s">
        <v>26551</v>
      </c>
    </row>
    <row r="13914" spans="1:12" x14ac:dyDescent="0.45">
      <c r="A13914" s="12" t="s">
        <v>26529</v>
      </c>
      <c r="B13914" s="12" t="s">
        <v>860</v>
      </c>
      <c r="C13914" s="13" t="s">
        <v>861</v>
      </c>
      <c r="D13914" s="13" t="s">
        <v>23</v>
      </c>
      <c r="E13914" s="12" t="s">
        <v>16</v>
      </c>
      <c r="F13914" s="14">
        <v>40000</v>
      </c>
      <c r="G13914" s="14">
        <v>24350</v>
      </c>
      <c r="H13914" s="13" t="s">
        <v>26552</v>
      </c>
      <c r="I13914" s="40" t="s">
        <v>18</v>
      </c>
      <c r="J13914" s="40" t="str">
        <f>HYPERLINK("https://stock.pstatic.net/stock-research/company/21/20250307_company_416963000.pdf","PDF")</f>
        <v>PDF</v>
      </c>
      <c r="K13914" s="12" t="s">
        <v>26553</v>
      </c>
      <c r="L13914" s="20">
        <v>0.64271047227926081</v>
      </c>
    </row>
    <row r="13915" spans="1:12" x14ac:dyDescent="0.45">
      <c r="A13915" s="12" t="s">
        <v>26529</v>
      </c>
      <c r="B13915" s="12" t="s">
        <v>2911</v>
      </c>
      <c r="C13915" s="13" t="s">
        <v>2912</v>
      </c>
      <c r="D13915" s="13" t="s">
        <v>44</v>
      </c>
      <c r="E13915" s="12" t="s">
        <v>35</v>
      </c>
      <c r="F13915" s="14">
        <v>34000</v>
      </c>
      <c r="G13915" s="14">
        <v>18300</v>
      </c>
      <c r="H13915" s="13" t="s">
        <v>26554</v>
      </c>
      <c r="I13915" s="40" t="s">
        <v>18</v>
      </c>
      <c r="J13915" s="40" t="str">
        <f>HYPERLINK("https://stock.pstatic.net/stock-research/company/39/20250307_company_920095000.pdf","PDF")</f>
        <v>PDF</v>
      </c>
      <c r="K13915" s="12" t="s">
        <v>26555</v>
      </c>
      <c r="L13915" s="20">
        <v>0.85792349726775952</v>
      </c>
    </row>
    <row r="13916" spans="1:12" x14ac:dyDescent="0.45">
      <c r="A13916" s="12" t="s">
        <v>26529</v>
      </c>
      <c r="B13916" s="12" t="s">
        <v>16499</v>
      </c>
      <c r="C13916" s="13" t="s">
        <v>16500</v>
      </c>
      <c r="D13916" s="13" t="s">
        <v>44</v>
      </c>
      <c r="E13916" s="12" t="s">
        <v>50</v>
      </c>
      <c r="F13916" s="13"/>
      <c r="G13916" s="14">
        <v>10010</v>
      </c>
      <c r="H13916" s="13" t="s">
        <v>26556</v>
      </c>
      <c r="I13916" s="40" t="s">
        <v>18</v>
      </c>
      <c r="J13916" s="40" t="str">
        <f>HYPERLINK("https://stock.pstatic.net/stock-research/company/39/20250307_company_207105000.pdf","PDF")</f>
        <v>PDF</v>
      </c>
      <c r="K13916" s="12" t="s">
        <v>26557</v>
      </c>
    </row>
    <row r="13917" spans="1:12" x14ac:dyDescent="0.45">
      <c r="A13917" s="12" t="s">
        <v>26529</v>
      </c>
      <c r="B13917" s="12" t="s">
        <v>118</v>
      </c>
      <c r="C13917" s="13" t="s">
        <v>119</v>
      </c>
      <c r="D13917" s="13" t="s">
        <v>44</v>
      </c>
      <c r="E13917" s="12" t="s">
        <v>35</v>
      </c>
      <c r="F13917" s="14">
        <v>130000</v>
      </c>
      <c r="G13917" s="14">
        <v>83200</v>
      </c>
      <c r="H13917" s="13" t="s">
        <v>26558</v>
      </c>
      <c r="I13917" s="40" t="s">
        <v>18</v>
      </c>
      <c r="J13917" s="40" t="str">
        <f>HYPERLINK("https://stock.pstatic.net/stock-research/company/39/20250307_company_244457000.pdf","PDF")</f>
        <v>PDF</v>
      </c>
      <c r="K13917" s="12" t="s">
        <v>26559</v>
      </c>
      <c r="L13917" s="20">
        <v>0.5625</v>
      </c>
    </row>
    <row r="13918" spans="1:12" x14ac:dyDescent="0.45">
      <c r="A13918" s="12" t="s">
        <v>26529</v>
      </c>
      <c r="B13918" s="12" t="s">
        <v>1308</v>
      </c>
      <c r="C13918" s="13" t="s">
        <v>1309</v>
      </c>
      <c r="D13918" s="13" t="s">
        <v>53</v>
      </c>
      <c r="E13918" s="12" t="s">
        <v>16</v>
      </c>
      <c r="F13918" s="14">
        <v>500000</v>
      </c>
      <c r="G13918" s="14">
        <v>389500</v>
      </c>
      <c r="H13918" s="13" t="s">
        <v>26560</v>
      </c>
      <c r="I13918" s="40" t="s">
        <v>18</v>
      </c>
      <c r="J13918" s="40" t="str">
        <f>HYPERLINK("https://stock.pstatic.net/stock-research/company/40/20250307_company_479102000.pdf","PDF")</f>
        <v>PDF</v>
      </c>
      <c r="K13918" s="12" t="s">
        <v>26561</v>
      </c>
      <c r="L13918" s="20">
        <v>0.28369704749679081</v>
      </c>
    </row>
    <row r="13919" spans="1:12" x14ac:dyDescent="0.45">
      <c r="A13919" s="12" t="s">
        <v>26529</v>
      </c>
      <c r="B13919" s="12" t="s">
        <v>3399</v>
      </c>
      <c r="C13919" s="13" t="s">
        <v>3400</v>
      </c>
      <c r="D13919" s="13" t="s">
        <v>15</v>
      </c>
      <c r="E13919" s="12" t="s">
        <v>16</v>
      </c>
      <c r="F13919" s="14">
        <v>24000</v>
      </c>
      <c r="G13919" s="14">
        <v>16320</v>
      </c>
      <c r="H13919" s="13" t="s">
        <v>26562</v>
      </c>
      <c r="I13919" s="40" t="s">
        <v>18</v>
      </c>
      <c r="J13919" s="40" t="str">
        <f>HYPERLINK("https://stock.pstatic.net/stock-research/company/29/20250307_company_17814000.pdf","PDF")</f>
        <v>PDF</v>
      </c>
      <c r="K13919" s="12" t="s">
        <v>26563</v>
      </c>
      <c r="L13919" s="20">
        <v>0.47058823529411759</v>
      </c>
    </row>
    <row r="13920" spans="1:12" x14ac:dyDescent="0.45">
      <c r="A13920" s="12" t="s">
        <v>26564</v>
      </c>
      <c r="B13920" s="12" t="s">
        <v>2883</v>
      </c>
      <c r="C13920" s="13" t="s">
        <v>2884</v>
      </c>
      <c r="D13920" s="13" t="s">
        <v>158</v>
      </c>
      <c r="E13920" s="12" t="s">
        <v>50</v>
      </c>
      <c r="F13920" s="13"/>
      <c r="G13920" s="14">
        <v>59300</v>
      </c>
      <c r="H13920" s="13" t="s">
        <v>26565</v>
      </c>
      <c r="I13920" s="40" t="s">
        <v>18</v>
      </c>
      <c r="J13920" s="40" t="str">
        <f>HYPERLINK("https://stock.pstatic.net/stock-research/company/18/20250306_company_98426000.pdf","PDF")</f>
        <v>PDF</v>
      </c>
      <c r="K13920" s="12" t="s">
        <v>26566</v>
      </c>
    </row>
    <row r="13921" spans="1:12" x14ac:dyDescent="0.45">
      <c r="A13921" s="12" t="s">
        <v>26564</v>
      </c>
      <c r="B13921" s="12" t="s">
        <v>609</v>
      </c>
      <c r="C13921" s="13" t="s">
        <v>610</v>
      </c>
      <c r="D13921" s="13" t="s">
        <v>158</v>
      </c>
      <c r="E13921" s="12" t="s">
        <v>35</v>
      </c>
      <c r="F13921" s="14">
        <v>56700</v>
      </c>
      <c r="G13921" s="14">
        <v>38400</v>
      </c>
      <c r="H13921" s="13" t="s">
        <v>26567</v>
      </c>
      <c r="I13921" s="40" t="s">
        <v>18</v>
      </c>
      <c r="J13921" s="40" t="str">
        <f>HYPERLINK("https://stock.pstatic.net/stock-research/company/18/20250306_company_249036000.pdf","PDF")</f>
        <v>PDF</v>
      </c>
      <c r="K13921" s="12" t="s">
        <v>26568</v>
      </c>
      <c r="L13921" s="20">
        <v>0.4765625</v>
      </c>
    </row>
    <row r="13922" spans="1:12" x14ac:dyDescent="0.45">
      <c r="A13922" s="12" t="s">
        <v>26564</v>
      </c>
      <c r="B13922" s="12" t="s">
        <v>507</v>
      </c>
      <c r="C13922" s="13" t="s">
        <v>508</v>
      </c>
      <c r="D13922" s="13" t="s">
        <v>276</v>
      </c>
      <c r="E13922" s="12" t="s">
        <v>16</v>
      </c>
      <c r="F13922" s="14">
        <v>14000</v>
      </c>
      <c r="G13922" s="14">
        <v>9730</v>
      </c>
      <c r="H13922" s="13" t="s">
        <v>26569</v>
      </c>
      <c r="I13922" s="40" t="s">
        <v>18</v>
      </c>
      <c r="J13922" s="40" t="str">
        <f>HYPERLINK("https://stock.pstatic.net/stock-research/company/66/20250306_company_352741000.pdf","PDF")</f>
        <v>PDF</v>
      </c>
      <c r="K13922" s="12" t="s">
        <v>26570</v>
      </c>
      <c r="L13922" s="20">
        <v>0.43884892086330929</v>
      </c>
    </row>
    <row r="13923" spans="1:12" x14ac:dyDescent="0.45">
      <c r="A13923" s="12" t="s">
        <v>26564</v>
      </c>
      <c r="B13923" s="12" t="s">
        <v>21511</v>
      </c>
      <c r="C13923" s="13" t="s">
        <v>21512</v>
      </c>
      <c r="D13923" s="13" t="s">
        <v>276</v>
      </c>
      <c r="E13923" s="12" t="s">
        <v>50</v>
      </c>
      <c r="F13923" s="13"/>
      <c r="G13923" s="14">
        <v>10820</v>
      </c>
      <c r="H13923" s="13" t="s">
        <v>26571</v>
      </c>
      <c r="I13923" s="40" t="s">
        <v>18</v>
      </c>
      <c r="J13923" s="40" t="str">
        <f>HYPERLINK("https://stock.pstatic.net/stock-research/company/66/20250306_company_459164000.pdf","PDF")</f>
        <v>PDF</v>
      </c>
      <c r="K13923" s="12" t="s">
        <v>26572</v>
      </c>
    </row>
    <row r="13924" spans="1:12" x14ac:dyDescent="0.45">
      <c r="A13924" s="12" t="s">
        <v>26564</v>
      </c>
      <c r="B13924" s="12" t="s">
        <v>2522</v>
      </c>
      <c r="C13924" s="13" t="s">
        <v>2523</v>
      </c>
      <c r="D13924" s="13" t="s">
        <v>15</v>
      </c>
      <c r="E13924" s="12" t="s">
        <v>16</v>
      </c>
      <c r="F13924" s="14">
        <v>500000</v>
      </c>
      <c r="G13924" s="14">
        <v>334000</v>
      </c>
      <c r="H13924" s="13" t="s">
        <v>26573</v>
      </c>
      <c r="I13924" s="40" t="s">
        <v>18</v>
      </c>
      <c r="J13924" s="40" t="str">
        <f>HYPERLINK("https://stock.pstatic.net/stock-research/company/29/20250306_company_244111000.pdf","PDF")</f>
        <v>PDF</v>
      </c>
      <c r="K13924" s="12" t="s">
        <v>26574</v>
      </c>
      <c r="L13924" s="20">
        <v>0.49700598802395213</v>
      </c>
    </row>
    <row r="13925" spans="1:12" x14ac:dyDescent="0.45">
      <c r="A13925" s="12" t="s">
        <v>26564</v>
      </c>
      <c r="B13925" s="12" t="s">
        <v>22207</v>
      </c>
      <c r="C13925" s="13" t="s">
        <v>22208</v>
      </c>
      <c r="D13925" s="13" t="s">
        <v>15</v>
      </c>
      <c r="E13925" s="12" t="s">
        <v>16</v>
      </c>
      <c r="F13925" s="14">
        <v>20000</v>
      </c>
      <c r="G13925" s="14">
        <v>13350</v>
      </c>
      <c r="H13925" s="13" t="s">
        <v>26575</v>
      </c>
      <c r="I13925" s="40" t="s">
        <v>18</v>
      </c>
      <c r="J13925" s="40" t="str">
        <f>HYPERLINK("https://stock.pstatic.net/stock-research/company/29/20250306_company_422969000.pdf","PDF")</f>
        <v>PDF</v>
      </c>
      <c r="K13925" s="12" t="s">
        <v>26576</v>
      </c>
      <c r="L13925" s="20">
        <v>0.49812734082396998</v>
      </c>
    </row>
    <row r="13926" spans="1:12" x14ac:dyDescent="0.45">
      <c r="A13926" s="12" t="s">
        <v>26564</v>
      </c>
      <c r="B13926" s="12" t="s">
        <v>2105</v>
      </c>
      <c r="C13926" s="13" t="s">
        <v>2106</v>
      </c>
      <c r="D13926" s="13" t="s">
        <v>15</v>
      </c>
      <c r="E13926" s="12" t="s">
        <v>16</v>
      </c>
      <c r="F13926" s="14">
        <v>95000</v>
      </c>
      <c r="G13926" s="14">
        <v>59800</v>
      </c>
      <c r="H13926" s="13" t="s">
        <v>26577</v>
      </c>
      <c r="I13926" s="40" t="s">
        <v>18</v>
      </c>
      <c r="J13926" s="40" t="str">
        <f>HYPERLINK("https://stock.pstatic.net/stock-research/company/29/20250306_company_678454000.pdf","PDF")</f>
        <v>PDF</v>
      </c>
      <c r="K13926" s="12" t="s">
        <v>26578</v>
      </c>
      <c r="L13926" s="20">
        <v>0.58862876254180607</v>
      </c>
    </row>
    <row r="13927" spans="1:12" x14ac:dyDescent="0.45">
      <c r="A13927" s="12" t="s">
        <v>26564</v>
      </c>
      <c r="B13927" s="12" t="s">
        <v>904</v>
      </c>
      <c r="C13927" s="13" t="s">
        <v>905</v>
      </c>
      <c r="D13927" s="13" t="s">
        <v>15</v>
      </c>
      <c r="E13927" s="12" t="s">
        <v>16</v>
      </c>
      <c r="F13927" s="14">
        <v>78000</v>
      </c>
      <c r="G13927" s="14">
        <v>62500</v>
      </c>
      <c r="H13927" s="13" t="s">
        <v>26579</v>
      </c>
      <c r="I13927" s="40" t="s">
        <v>18</v>
      </c>
      <c r="J13927" s="40" t="str">
        <f>HYPERLINK("https://stock.pstatic.net/stock-research/company/29/20250306_company_694010000.pdf","PDF")</f>
        <v>PDF</v>
      </c>
      <c r="K13927" s="12" t="s">
        <v>26580</v>
      </c>
      <c r="L13927" s="20">
        <v>0.248</v>
      </c>
    </row>
    <row r="13928" spans="1:12" x14ac:dyDescent="0.45">
      <c r="A13928" s="12" t="s">
        <v>26564</v>
      </c>
      <c r="B13928" s="12" t="s">
        <v>2762</v>
      </c>
      <c r="C13928" s="13" t="s">
        <v>2763</v>
      </c>
      <c r="D13928" s="13" t="s">
        <v>15</v>
      </c>
      <c r="E13928" s="12" t="s">
        <v>5386</v>
      </c>
      <c r="F13928" s="14">
        <v>82000</v>
      </c>
      <c r="G13928" s="14">
        <v>96600</v>
      </c>
      <c r="H13928" s="13" t="s">
        <v>26581</v>
      </c>
      <c r="I13928" s="40" t="s">
        <v>18</v>
      </c>
      <c r="J13928" s="40" t="str">
        <f>HYPERLINK("https://stock.pstatic.net/stock-research/company/29/20250306_company_223879000.pdf","PDF")</f>
        <v>PDF</v>
      </c>
      <c r="K13928" s="12" t="s">
        <v>26582</v>
      </c>
      <c r="L13928" s="20">
        <v>-0.15113871635610759</v>
      </c>
    </row>
    <row r="13929" spans="1:12" x14ac:dyDescent="0.45">
      <c r="A13929" s="12" t="s">
        <v>26564</v>
      </c>
      <c r="B13929" s="12" t="s">
        <v>42</v>
      </c>
      <c r="C13929" s="13" t="s">
        <v>43</v>
      </c>
      <c r="D13929" s="13" t="s">
        <v>15</v>
      </c>
      <c r="E13929" s="12" t="s">
        <v>16</v>
      </c>
      <c r="F13929" s="14">
        <v>310000</v>
      </c>
      <c r="G13929" s="14">
        <v>205500</v>
      </c>
      <c r="H13929" s="13" t="s">
        <v>26583</v>
      </c>
      <c r="I13929" s="40" t="s">
        <v>18</v>
      </c>
      <c r="J13929" s="40" t="str">
        <f>HYPERLINK("https://stock.pstatic.net/stock-research/company/29/20250306_company_442682000.pdf","PDF")</f>
        <v>PDF</v>
      </c>
      <c r="K13929" s="12" t="s">
        <v>26584</v>
      </c>
      <c r="L13929" s="20">
        <v>0.5085158150851582</v>
      </c>
    </row>
    <row r="13930" spans="1:12" x14ac:dyDescent="0.45">
      <c r="A13930" s="12" t="s">
        <v>26564</v>
      </c>
      <c r="B13930" s="12" t="s">
        <v>916</v>
      </c>
      <c r="C13930" s="13" t="s">
        <v>917</v>
      </c>
      <c r="D13930" s="13" t="s">
        <v>15</v>
      </c>
      <c r="E13930" s="12" t="s">
        <v>16</v>
      </c>
      <c r="F13930" s="14">
        <v>54000</v>
      </c>
      <c r="G13930" s="14">
        <v>41900</v>
      </c>
      <c r="H13930" s="13" t="s">
        <v>26585</v>
      </c>
      <c r="I13930" s="40" t="s">
        <v>18</v>
      </c>
      <c r="J13930" s="40" t="str">
        <f>HYPERLINK("https://stock.pstatic.net/stock-research/company/29/20250306_company_232284000.pdf","PDF")</f>
        <v>PDF</v>
      </c>
      <c r="K13930" s="12" t="s">
        <v>26586</v>
      </c>
      <c r="L13930" s="20">
        <v>0.28878281622911689</v>
      </c>
    </row>
    <row r="13931" spans="1:12" x14ac:dyDescent="0.45">
      <c r="A13931" s="12" t="s">
        <v>26564</v>
      </c>
      <c r="B13931" s="12" t="s">
        <v>724</v>
      </c>
      <c r="C13931" s="13" t="s">
        <v>725</v>
      </c>
      <c r="D13931" s="13" t="s">
        <v>15</v>
      </c>
      <c r="E13931" s="12" t="s">
        <v>16</v>
      </c>
      <c r="F13931" s="14">
        <v>95000</v>
      </c>
      <c r="G13931" s="14">
        <v>65500</v>
      </c>
      <c r="H13931" s="13" t="s">
        <v>26587</v>
      </c>
      <c r="I13931" s="40" t="s">
        <v>18</v>
      </c>
      <c r="J13931" s="40" t="str">
        <f>HYPERLINK("https://stock.pstatic.net/stock-research/company/29/20250306_company_565586000.pdf","PDF")</f>
        <v>PDF</v>
      </c>
      <c r="K13931" s="12" t="s">
        <v>26588</v>
      </c>
      <c r="L13931" s="20">
        <v>0.45038167938931289</v>
      </c>
    </row>
    <row r="13932" spans="1:12" x14ac:dyDescent="0.45">
      <c r="A13932" s="12" t="s">
        <v>26564</v>
      </c>
      <c r="B13932" s="12" t="s">
        <v>740</v>
      </c>
      <c r="C13932" s="13" t="s">
        <v>741</v>
      </c>
      <c r="D13932" s="13" t="s">
        <v>83</v>
      </c>
      <c r="E13932" s="12" t="s">
        <v>35</v>
      </c>
      <c r="F13932" s="14">
        <v>260000</v>
      </c>
      <c r="G13932" s="14">
        <v>162000</v>
      </c>
      <c r="H13932" s="13" t="s">
        <v>26589</v>
      </c>
      <c r="I13932" s="40" t="s">
        <v>18</v>
      </c>
      <c r="J13932" s="40" t="str">
        <f>HYPERLINK("https://stock.pstatic.net/stock-research/company/2/20250306_company_695000000.pdf","PDF")</f>
        <v>PDF</v>
      </c>
      <c r="K13932" s="12" t="s">
        <v>26590</v>
      </c>
      <c r="L13932" s="20">
        <v>0.60493827160493829</v>
      </c>
    </row>
    <row r="13933" spans="1:12" x14ac:dyDescent="0.45">
      <c r="A13933" s="12" t="s">
        <v>26564</v>
      </c>
      <c r="B13933" s="12" t="s">
        <v>42</v>
      </c>
      <c r="C13933" s="13" t="s">
        <v>43</v>
      </c>
      <c r="D13933" s="13" t="s">
        <v>83</v>
      </c>
      <c r="E13933" s="12" t="s">
        <v>35</v>
      </c>
      <c r="F13933" s="14">
        <v>280000</v>
      </c>
      <c r="G13933" s="14">
        <v>207500</v>
      </c>
      <c r="H13933" s="13" t="s">
        <v>26591</v>
      </c>
      <c r="I13933" s="40" t="s">
        <v>18</v>
      </c>
      <c r="J13933" s="40" t="str">
        <f>HYPERLINK("https://stock.pstatic.net/stock-research/company/2/20250306_company_230345000.pdf","PDF")</f>
        <v>PDF</v>
      </c>
      <c r="K13933" s="12" t="s">
        <v>26592</v>
      </c>
      <c r="L13933" s="20">
        <v>0.3493975903614458</v>
      </c>
    </row>
    <row r="13934" spans="1:12" x14ac:dyDescent="0.45">
      <c r="A13934" s="12" t="s">
        <v>26564</v>
      </c>
      <c r="B13934" s="12" t="s">
        <v>468</v>
      </c>
      <c r="C13934" s="13" t="s">
        <v>469</v>
      </c>
      <c r="D13934" s="13" t="s">
        <v>23</v>
      </c>
      <c r="E13934" s="12" t="s">
        <v>16</v>
      </c>
      <c r="F13934" s="14">
        <v>26000</v>
      </c>
      <c r="G13934" s="14">
        <v>14500</v>
      </c>
      <c r="H13934" s="13" t="s">
        <v>26593</v>
      </c>
      <c r="I13934" s="40" t="s">
        <v>18</v>
      </c>
      <c r="J13934" s="40" t="str">
        <f>HYPERLINK("https://stock.pstatic.net/stock-research/company/21/20250306_company_153946000.pdf","PDF")</f>
        <v>PDF</v>
      </c>
      <c r="K13934" s="12" t="s">
        <v>26594</v>
      </c>
      <c r="L13934" s="20">
        <v>0.7931034482758621</v>
      </c>
    </row>
    <row r="13935" spans="1:12" x14ac:dyDescent="0.45">
      <c r="A13935" s="12" t="s">
        <v>26564</v>
      </c>
      <c r="B13935" s="12" t="s">
        <v>10976</v>
      </c>
      <c r="C13935" s="13" t="s">
        <v>10977</v>
      </c>
      <c r="D13935" s="13" t="s">
        <v>23</v>
      </c>
      <c r="E13935" s="12" t="s">
        <v>16</v>
      </c>
      <c r="F13935" s="14">
        <v>75000</v>
      </c>
      <c r="G13935" s="14">
        <v>61300</v>
      </c>
      <c r="H13935" s="13" t="s">
        <v>26595</v>
      </c>
      <c r="I13935" s="40" t="s">
        <v>18</v>
      </c>
      <c r="J13935" s="40" t="str">
        <f>HYPERLINK("https://stock.pstatic.net/stock-research/company/21/20250306_company_259985000.pdf","PDF")</f>
        <v>PDF</v>
      </c>
      <c r="K13935" s="12" t="s">
        <v>26596</v>
      </c>
      <c r="L13935" s="20">
        <v>0.22349102773246329</v>
      </c>
    </row>
    <row r="13936" spans="1:12" x14ac:dyDescent="0.45">
      <c r="A13936" s="12" t="s">
        <v>26564</v>
      </c>
      <c r="B13936" s="12" t="s">
        <v>468</v>
      </c>
      <c r="C13936" s="13" t="s">
        <v>469</v>
      </c>
      <c r="D13936" s="13" t="s">
        <v>92</v>
      </c>
      <c r="E13936" s="12" t="s">
        <v>35</v>
      </c>
      <c r="F13936" s="14">
        <v>23000</v>
      </c>
      <c r="G13936" s="14">
        <v>14500</v>
      </c>
      <c r="H13936" s="13" t="s">
        <v>26597</v>
      </c>
      <c r="I13936" s="40" t="s">
        <v>18</v>
      </c>
      <c r="J13936" s="40" t="str">
        <f>HYPERLINK("https://stock.pstatic.net/stock-research/company/63/20250306_company_267771000.pdf","PDF")</f>
        <v>PDF</v>
      </c>
      <c r="K13936" s="12" t="s">
        <v>26598</v>
      </c>
      <c r="L13936" s="20">
        <v>0.58620689655172409</v>
      </c>
    </row>
    <row r="13937" spans="1:12" x14ac:dyDescent="0.45">
      <c r="A13937" s="12" t="s">
        <v>26564</v>
      </c>
      <c r="B13937" s="12" t="s">
        <v>418</v>
      </c>
      <c r="C13937" s="13" t="s">
        <v>419</v>
      </c>
      <c r="D13937" s="13" t="s">
        <v>53</v>
      </c>
      <c r="E13937" s="12" t="s">
        <v>16</v>
      </c>
      <c r="F13937" s="14">
        <v>27000</v>
      </c>
      <c r="G13937" s="14">
        <v>17740</v>
      </c>
      <c r="H13937" s="13" t="s">
        <v>26599</v>
      </c>
      <c r="I13937" s="40" t="s">
        <v>18</v>
      </c>
      <c r="J13937" s="40" t="str">
        <f>HYPERLINK("https://stock.pstatic.net/stock-research/company/40/20250306_company_621984000.pdf","PDF")</f>
        <v>PDF</v>
      </c>
      <c r="K13937" s="12" t="s">
        <v>26600</v>
      </c>
      <c r="L13937" s="20">
        <v>0.5219842164599775</v>
      </c>
    </row>
    <row r="13938" spans="1:12" x14ac:dyDescent="0.45">
      <c r="A13938" s="12" t="s">
        <v>26564</v>
      </c>
      <c r="B13938" s="12" t="s">
        <v>23747</v>
      </c>
      <c r="C13938" s="13" t="s">
        <v>23748</v>
      </c>
      <c r="D13938" s="13" t="s">
        <v>44</v>
      </c>
      <c r="E13938" s="12" t="s">
        <v>50</v>
      </c>
      <c r="F13938" s="13"/>
      <c r="G13938" s="14">
        <v>20450</v>
      </c>
      <c r="H13938" s="13" t="s">
        <v>26601</v>
      </c>
      <c r="I13938" s="40" t="s">
        <v>18</v>
      </c>
      <c r="J13938" s="40" t="str">
        <f>HYPERLINK("https://stock.pstatic.net/stock-research/company/39/20250306_company_519623000.pdf","PDF")</f>
        <v>PDF</v>
      </c>
      <c r="K13938" s="12" t="s">
        <v>26602</v>
      </c>
    </row>
    <row r="13939" spans="1:12" x14ac:dyDescent="0.45">
      <c r="A13939" s="12" t="s">
        <v>26564</v>
      </c>
      <c r="B13939" s="12" t="s">
        <v>430</v>
      </c>
      <c r="C13939" s="13" t="s">
        <v>431</v>
      </c>
      <c r="D13939" s="13" t="s">
        <v>34</v>
      </c>
      <c r="E13939" s="12" t="s">
        <v>35</v>
      </c>
      <c r="F13939" s="14">
        <v>49000</v>
      </c>
      <c r="G13939" s="14">
        <v>37200</v>
      </c>
      <c r="H13939" s="13" t="s">
        <v>26603</v>
      </c>
      <c r="I13939" s="40" t="s">
        <v>18</v>
      </c>
      <c r="J13939" s="40" t="str">
        <f>HYPERLINK("https://stock.pstatic.net/stock-research/company/61/20250306_company_687910000.pdf","PDF")</f>
        <v>PDF</v>
      </c>
      <c r="K13939" s="12" t="s">
        <v>26604</v>
      </c>
      <c r="L13939" s="20">
        <v>0.31720430107526881</v>
      </c>
    </row>
    <row r="13940" spans="1:12" x14ac:dyDescent="0.45">
      <c r="A13940" s="12" t="s">
        <v>26564</v>
      </c>
      <c r="B13940" s="12" t="s">
        <v>724</v>
      </c>
      <c r="C13940" s="13" t="s">
        <v>725</v>
      </c>
      <c r="D13940" s="13" t="s">
        <v>44</v>
      </c>
      <c r="E13940" s="12" t="s">
        <v>35</v>
      </c>
      <c r="F13940" s="14">
        <v>80000</v>
      </c>
      <c r="G13940" s="14">
        <v>65500</v>
      </c>
      <c r="H13940" s="13" t="s">
        <v>26605</v>
      </c>
      <c r="I13940" s="40" t="s">
        <v>18</v>
      </c>
      <c r="J13940" s="40" t="str">
        <f>HYPERLINK("https://stock.pstatic.net/stock-research/company/39/20250306_company_802472000.pdf","PDF")</f>
        <v>PDF</v>
      </c>
      <c r="K13940" s="12" t="s">
        <v>26606</v>
      </c>
      <c r="L13940" s="20">
        <v>0.2213740458015267</v>
      </c>
    </row>
    <row r="13941" spans="1:12" x14ac:dyDescent="0.45">
      <c r="A13941" s="12" t="s">
        <v>26564</v>
      </c>
      <c r="B13941" s="12" t="s">
        <v>8387</v>
      </c>
      <c r="C13941" s="13" t="s">
        <v>8388</v>
      </c>
      <c r="D13941" s="13" t="s">
        <v>124</v>
      </c>
      <c r="E13941" s="12" t="s">
        <v>50</v>
      </c>
      <c r="F13941" s="13"/>
      <c r="G13941" s="14">
        <v>16880</v>
      </c>
      <c r="H13941" s="13" t="s">
        <v>26607</v>
      </c>
      <c r="I13941" s="40" t="s">
        <v>18</v>
      </c>
      <c r="J13941" s="40" t="str">
        <f>HYPERLINK("https://stock.pstatic.net/stock-research/company/74/20250306_company_370616000.pdf","PDF")</f>
        <v>PDF</v>
      </c>
      <c r="K13941" s="12" t="s">
        <v>26608</v>
      </c>
    </row>
    <row r="13942" spans="1:12" x14ac:dyDescent="0.45">
      <c r="A13942" s="12" t="s">
        <v>26564</v>
      </c>
      <c r="B13942" s="12" t="s">
        <v>26609</v>
      </c>
      <c r="C13942" s="13" t="s">
        <v>26610</v>
      </c>
      <c r="D13942" s="13" t="s">
        <v>124</v>
      </c>
      <c r="E13942" s="12" t="s">
        <v>50</v>
      </c>
      <c r="F13942" s="13"/>
      <c r="G13942" s="14">
        <v>2720</v>
      </c>
      <c r="H13942" s="13" t="s">
        <v>26611</v>
      </c>
      <c r="I13942" s="40" t="s">
        <v>18</v>
      </c>
      <c r="J13942" s="40" t="str">
        <f>HYPERLINK("https://stock.pstatic.net/stock-research/company/74/20250306_company_100847000.pdf","PDF")</f>
        <v>PDF</v>
      </c>
      <c r="K13942" s="12" t="s">
        <v>26612</v>
      </c>
    </row>
    <row r="13943" spans="1:12" x14ac:dyDescent="0.45">
      <c r="A13943" s="12" t="s">
        <v>26613</v>
      </c>
      <c r="B13943" s="12" t="s">
        <v>5705</v>
      </c>
      <c r="C13943" s="13" t="s">
        <v>5706</v>
      </c>
      <c r="D13943" s="13" t="s">
        <v>276</v>
      </c>
      <c r="E13943" s="12" t="s">
        <v>16</v>
      </c>
      <c r="F13943" s="14">
        <v>130000</v>
      </c>
      <c r="G13943" s="14">
        <v>97100</v>
      </c>
      <c r="H13943" s="13" t="s">
        <v>26614</v>
      </c>
      <c r="I13943" s="40" t="s">
        <v>18</v>
      </c>
      <c r="J13943" s="40" t="str">
        <f>HYPERLINK("https://stock.pstatic.net/stock-research/company/66/20250305_company_228748000.pdf","PDF")</f>
        <v>PDF</v>
      </c>
      <c r="K13943" s="12" t="s">
        <v>26615</v>
      </c>
      <c r="L13943" s="20">
        <v>0.33882595262615861</v>
      </c>
    </row>
    <row r="13944" spans="1:12" x14ac:dyDescent="0.45">
      <c r="A13944" s="12" t="s">
        <v>26613</v>
      </c>
      <c r="B13944" s="12" t="s">
        <v>764</v>
      </c>
      <c r="C13944" s="13" t="s">
        <v>765</v>
      </c>
      <c r="D13944" s="13" t="s">
        <v>60</v>
      </c>
      <c r="E13944" s="12" t="s">
        <v>50</v>
      </c>
      <c r="F13944" s="13"/>
      <c r="G13944" s="14">
        <v>25750</v>
      </c>
      <c r="H13944" s="13" t="s">
        <v>26616</v>
      </c>
      <c r="I13944" s="40" t="s">
        <v>18</v>
      </c>
      <c r="J13944" s="40" t="str">
        <f>HYPERLINK("https://stock.pstatic.net/stock-research/company/34/20250305_company_502321000.pdf","PDF")</f>
        <v>PDF</v>
      </c>
      <c r="K13944" s="12" t="s">
        <v>26617</v>
      </c>
    </row>
    <row r="13945" spans="1:12" x14ac:dyDescent="0.45">
      <c r="A13945" s="12" t="s">
        <v>26613</v>
      </c>
      <c r="B13945" s="12" t="s">
        <v>10652</v>
      </c>
      <c r="C13945" s="13" t="s">
        <v>10653</v>
      </c>
      <c r="D13945" s="13" t="s">
        <v>57</v>
      </c>
      <c r="E13945" s="12" t="s">
        <v>35</v>
      </c>
      <c r="F13945" s="14">
        <v>11000</v>
      </c>
      <c r="G13945" s="14">
        <v>7840</v>
      </c>
      <c r="H13945" s="13" t="s">
        <v>26618</v>
      </c>
      <c r="I13945" s="40" t="s">
        <v>18</v>
      </c>
      <c r="J13945" s="40" t="str">
        <f>HYPERLINK("https://stock.pstatic.net/stock-research/company/16/20250305_company_186761000.pdf","PDF")</f>
        <v>PDF</v>
      </c>
      <c r="K13945" s="12" t="s">
        <v>26619</v>
      </c>
      <c r="L13945" s="20">
        <v>0.40306122448979592</v>
      </c>
    </row>
    <row r="13946" spans="1:12" x14ac:dyDescent="0.45">
      <c r="A13946" s="12" t="s">
        <v>26613</v>
      </c>
      <c r="B13946" s="12" t="s">
        <v>2040</v>
      </c>
      <c r="C13946" s="13" t="s">
        <v>2041</v>
      </c>
      <c r="D13946" s="13" t="s">
        <v>158</v>
      </c>
      <c r="E13946" s="12" t="s">
        <v>35</v>
      </c>
      <c r="F13946" s="14">
        <v>200000</v>
      </c>
      <c r="G13946" s="14">
        <v>61000</v>
      </c>
      <c r="H13946" s="13" t="s">
        <v>26620</v>
      </c>
      <c r="I13946" s="40" t="s">
        <v>18</v>
      </c>
      <c r="J13946" s="40" t="str">
        <f>HYPERLINK("https://stock.pstatic.net/stock-research/company/18/20250305_company_347422000.pdf","PDF")</f>
        <v>PDF</v>
      </c>
      <c r="K13946" s="12" t="s">
        <v>26621</v>
      </c>
      <c r="L13946" s="20">
        <v>2.278688524590164</v>
      </c>
    </row>
    <row r="13947" spans="1:12" x14ac:dyDescent="0.45">
      <c r="A13947" s="12" t="s">
        <v>26613</v>
      </c>
      <c r="B13947" s="12" t="s">
        <v>1734</v>
      </c>
      <c r="C13947" s="13" t="s">
        <v>1735</v>
      </c>
      <c r="D13947" s="13" t="s">
        <v>853</v>
      </c>
      <c r="E13947" s="12" t="s">
        <v>35</v>
      </c>
      <c r="F13947" s="14">
        <v>50000</v>
      </c>
      <c r="G13947" s="14">
        <v>36300</v>
      </c>
      <c r="H13947" s="13" t="s">
        <v>26622</v>
      </c>
      <c r="I13947" s="40" t="s">
        <v>18</v>
      </c>
      <c r="J13947" s="40" t="str">
        <f>HYPERLINK("https://stock.pstatic.net/stock-research/company/17/20250305_company_765998000.pdf","PDF")</f>
        <v>PDF</v>
      </c>
      <c r="K13947" s="12" t="s">
        <v>26623</v>
      </c>
      <c r="L13947" s="20">
        <v>0.37741046831955921</v>
      </c>
    </row>
    <row r="13948" spans="1:12" x14ac:dyDescent="0.45">
      <c r="A13948" s="12" t="s">
        <v>26613</v>
      </c>
      <c r="B13948" s="12" t="s">
        <v>1652</v>
      </c>
      <c r="C13948" s="13" t="s">
        <v>1653</v>
      </c>
      <c r="D13948" s="13" t="s">
        <v>15</v>
      </c>
      <c r="E13948" s="12" t="s">
        <v>50</v>
      </c>
      <c r="F13948" s="13"/>
      <c r="G13948" s="13"/>
      <c r="H13948" s="13" t="s">
        <v>26624</v>
      </c>
      <c r="I13948" s="40" t="s">
        <v>18</v>
      </c>
      <c r="J13948" s="40" t="str">
        <f>HYPERLINK("https://stock.pstatic.net/stock-research/company/29/20250305_company_826669000.pdf","PDF")</f>
        <v>PDF</v>
      </c>
      <c r="K13948" s="12" t="s">
        <v>26625</v>
      </c>
    </row>
    <row r="13949" spans="1:12" x14ac:dyDescent="0.45">
      <c r="A13949" s="12" t="s">
        <v>26613</v>
      </c>
      <c r="B13949" s="12" t="s">
        <v>1350</v>
      </c>
      <c r="C13949" s="13" t="s">
        <v>1351</v>
      </c>
      <c r="D13949" s="13" t="s">
        <v>15</v>
      </c>
      <c r="E13949" s="12" t="s">
        <v>16</v>
      </c>
      <c r="F13949" s="14">
        <v>52000</v>
      </c>
      <c r="G13949" s="14">
        <v>42600</v>
      </c>
      <c r="H13949" s="13" t="s">
        <v>26626</v>
      </c>
      <c r="I13949" s="40" t="s">
        <v>18</v>
      </c>
      <c r="J13949" s="40" t="str">
        <f>HYPERLINK("https://stock.pstatic.net/stock-research/company/29/20250305_company_23987000.pdf","PDF")</f>
        <v>PDF</v>
      </c>
      <c r="K13949" s="12" t="s">
        <v>26627</v>
      </c>
      <c r="L13949" s="20">
        <v>0.22065727699530521</v>
      </c>
    </row>
    <row r="13950" spans="1:12" x14ac:dyDescent="0.45">
      <c r="A13950" s="12" t="s">
        <v>26613</v>
      </c>
      <c r="B13950" s="12" t="s">
        <v>812</v>
      </c>
      <c r="C13950" s="13" t="s">
        <v>813</v>
      </c>
      <c r="D13950" s="13" t="s">
        <v>83</v>
      </c>
      <c r="E13950" s="12" t="s">
        <v>35</v>
      </c>
      <c r="F13950" s="14">
        <v>60000</v>
      </c>
      <c r="G13950" s="14">
        <v>47650</v>
      </c>
      <c r="H13950" s="13" t="s">
        <v>26628</v>
      </c>
      <c r="I13950" s="40" t="s">
        <v>18</v>
      </c>
      <c r="J13950" s="40" t="str">
        <f>HYPERLINK("https://stock.pstatic.net/stock-research/company/2/20250305_company_889516000.pdf","PDF")</f>
        <v>PDF</v>
      </c>
      <c r="K13950" s="12" t="s">
        <v>26629</v>
      </c>
      <c r="L13950" s="20">
        <v>0.25918153200419719</v>
      </c>
    </row>
    <row r="13951" spans="1:12" x14ac:dyDescent="0.45">
      <c r="A13951" s="12" t="s">
        <v>26613</v>
      </c>
      <c r="B13951" s="12" t="s">
        <v>585</v>
      </c>
      <c r="C13951" s="13" t="s">
        <v>586</v>
      </c>
      <c r="D13951" s="13" t="s">
        <v>83</v>
      </c>
      <c r="E13951" s="12" t="s">
        <v>50</v>
      </c>
      <c r="F13951" s="13"/>
      <c r="G13951" s="14">
        <v>20300</v>
      </c>
      <c r="H13951" s="13" t="s">
        <v>26630</v>
      </c>
      <c r="I13951" s="40" t="s">
        <v>18</v>
      </c>
      <c r="J13951" s="40" t="str">
        <f>HYPERLINK("https://stock.pstatic.net/stock-research/company/2/20250305_company_89521000.pdf","PDF")</f>
        <v>PDF</v>
      </c>
      <c r="K13951" s="12" t="s">
        <v>26631</v>
      </c>
    </row>
    <row r="13952" spans="1:12" x14ac:dyDescent="0.45">
      <c r="A13952" s="12" t="s">
        <v>26613</v>
      </c>
      <c r="B13952" s="12" t="s">
        <v>1467</v>
      </c>
      <c r="C13952" s="13" t="s">
        <v>1468</v>
      </c>
      <c r="D13952" s="13" t="s">
        <v>92</v>
      </c>
      <c r="E13952" s="12" t="s">
        <v>50</v>
      </c>
      <c r="F13952" s="13"/>
      <c r="G13952" s="14">
        <v>4365</v>
      </c>
      <c r="H13952" s="13" t="s">
        <v>26632</v>
      </c>
      <c r="I13952" s="40" t="s">
        <v>18</v>
      </c>
      <c r="J13952" s="40" t="str">
        <f>HYPERLINK("https://stock.pstatic.net/stock-research/company/63/20250305_company_534589000.pdf","PDF")</f>
        <v>PDF</v>
      </c>
      <c r="K13952" s="12" t="s">
        <v>26633</v>
      </c>
    </row>
    <row r="13953" spans="1:12" x14ac:dyDescent="0.45">
      <c r="A13953" s="12" t="s">
        <v>26613</v>
      </c>
      <c r="B13953" s="12" t="s">
        <v>5705</v>
      </c>
      <c r="C13953" s="13" t="s">
        <v>5706</v>
      </c>
      <c r="D13953" s="13" t="s">
        <v>53</v>
      </c>
      <c r="E13953" s="12" t="s">
        <v>16</v>
      </c>
      <c r="F13953" s="14">
        <v>120000</v>
      </c>
      <c r="G13953" s="14">
        <v>97100</v>
      </c>
      <c r="H13953" s="13" t="s">
        <v>26634</v>
      </c>
      <c r="I13953" s="40" t="s">
        <v>18</v>
      </c>
      <c r="J13953" s="40" t="str">
        <f>HYPERLINK("https://stock.pstatic.net/stock-research/company/40/20250305_company_461882000.pdf","PDF")</f>
        <v>PDF</v>
      </c>
      <c r="K13953" s="12" t="s">
        <v>26635</v>
      </c>
      <c r="L13953" s="20">
        <v>0.23583934088568489</v>
      </c>
    </row>
    <row r="13954" spans="1:12" x14ac:dyDescent="0.45">
      <c r="A13954" s="12" t="s">
        <v>26613</v>
      </c>
      <c r="B13954" s="12" t="s">
        <v>2308</v>
      </c>
      <c r="C13954" s="13" t="s">
        <v>2309</v>
      </c>
      <c r="D13954" s="13" t="s">
        <v>92</v>
      </c>
      <c r="E13954" s="12" t="s">
        <v>35</v>
      </c>
      <c r="F13954" s="14">
        <v>17000</v>
      </c>
      <c r="G13954" s="14">
        <v>11820</v>
      </c>
      <c r="H13954" s="13" t="s">
        <v>26636</v>
      </c>
      <c r="I13954" s="40" t="s">
        <v>18</v>
      </c>
      <c r="J13954" s="40" t="str">
        <f>HYPERLINK("https://stock.pstatic.net/stock-research/company/63/20250305_company_443216000.pdf","PDF")</f>
        <v>PDF</v>
      </c>
      <c r="K13954" s="12" t="s">
        <v>26637</v>
      </c>
      <c r="L13954" s="20">
        <v>0.43824027072758043</v>
      </c>
    </row>
    <row r="13955" spans="1:12" x14ac:dyDescent="0.45">
      <c r="A13955" s="12" t="s">
        <v>26613</v>
      </c>
      <c r="B13955" s="12" t="s">
        <v>2883</v>
      </c>
      <c r="C13955" s="13" t="s">
        <v>2884</v>
      </c>
      <c r="D13955" s="13" t="s">
        <v>92</v>
      </c>
      <c r="E13955" s="12" t="s">
        <v>35</v>
      </c>
      <c r="F13955" s="14">
        <v>84000</v>
      </c>
      <c r="G13955" s="14">
        <v>58400</v>
      </c>
      <c r="H13955" s="13" t="s">
        <v>26638</v>
      </c>
      <c r="I13955" s="40" t="s">
        <v>18</v>
      </c>
      <c r="J13955" s="40" t="str">
        <f>HYPERLINK("https://stock.pstatic.net/stock-research/company/63/20250305_company_332856000.pdf","PDF")</f>
        <v>PDF</v>
      </c>
      <c r="K13955" s="12" t="s">
        <v>26639</v>
      </c>
      <c r="L13955" s="20">
        <v>0.43835616438356162</v>
      </c>
    </row>
    <row r="13956" spans="1:12" x14ac:dyDescent="0.45">
      <c r="A13956" s="12" t="s">
        <v>26613</v>
      </c>
      <c r="B13956" s="12" t="s">
        <v>489</v>
      </c>
      <c r="C13956" s="13" t="s">
        <v>490</v>
      </c>
      <c r="D13956" s="13" t="s">
        <v>34</v>
      </c>
      <c r="E13956" s="12" t="s">
        <v>35</v>
      </c>
      <c r="F13956" s="14">
        <v>36500</v>
      </c>
      <c r="G13956" s="14">
        <v>29550</v>
      </c>
      <c r="H13956" s="13" t="s">
        <v>26640</v>
      </c>
      <c r="I13956" s="40" t="s">
        <v>18</v>
      </c>
      <c r="J13956" s="40" t="str">
        <f>HYPERLINK("https://stock.pstatic.net/stock-research/company/61/20250305_company_471460000.pdf","PDF")</f>
        <v>PDF</v>
      </c>
      <c r="K13956" s="12" t="s">
        <v>26641</v>
      </c>
      <c r="L13956" s="20">
        <v>0.23519458544839261</v>
      </c>
    </row>
    <row r="13957" spans="1:12" x14ac:dyDescent="0.45">
      <c r="A13957" s="12" t="s">
        <v>26613</v>
      </c>
      <c r="B13957" s="12" t="s">
        <v>255</v>
      </c>
      <c r="C13957" s="13" t="s">
        <v>256</v>
      </c>
      <c r="D13957" s="13" t="s">
        <v>124</v>
      </c>
      <c r="E13957" s="12" t="s">
        <v>50</v>
      </c>
      <c r="F13957" s="13"/>
      <c r="G13957" s="13"/>
      <c r="H13957" s="13" t="s">
        <v>26642</v>
      </c>
      <c r="I13957" s="40" t="s">
        <v>18</v>
      </c>
      <c r="J13957" s="40" t="str">
        <f>HYPERLINK("https://stock.pstatic.net/stock-research/company/74/20250305_company_318963000.pdf","PDF")</f>
        <v>PDF</v>
      </c>
      <c r="K13957" s="12" t="s">
        <v>26643</v>
      </c>
    </row>
    <row r="13958" spans="1:12" x14ac:dyDescent="0.45">
      <c r="A13958" s="12" t="s">
        <v>26644</v>
      </c>
      <c r="B13958" s="12" t="s">
        <v>1940</v>
      </c>
      <c r="C13958" s="13" t="s">
        <v>1941</v>
      </c>
      <c r="D13958" s="13" t="s">
        <v>276</v>
      </c>
      <c r="E13958" s="12" t="s">
        <v>16</v>
      </c>
      <c r="F13958" s="14">
        <v>15000</v>
      </c>
      <c r="G13958" s="14">
        <v>10100</v>
      </c>
      <c r="H13958" s="13" t="s">
        <v>26645</v>
      </c>
      <c r="I13958" s="40" t="s">
        <v>18</v>
      </c>
      <c r="J13958" s="40" t="str">
        <f>HYPERLINK("https://stock.pstatic.net/stock-research/company/66/20250304_company_458846000.pdf","PDF")</f>
        <v>PDF</v>
      </c>
      <c r="K13958" s="12" t="s">
        <v>26646</v>
      </c>
      <c r="L13958" s="20">
        <v>0.48514851485148508</v>
      </c>
    </row>
    <row r="13959" spans="1:12" x14ac:dyDescent="0.45">
      <c r="A13959" s="12" t="s">
        <v>26644</v>
      </c>
      <c r="B13959" s="12" t="s">
        <v>1467</v>
      </c>
      <c r="C13959" s="13" t="s">
        <v>1468</v>
      </c>
      <c r="D13959" s="13" t="s">
        <v>276</v>
      </c>
      <c r="E13959" s="12" t="s">
        <v>16</v>
      </c>
      <c r="F13959" s="14">
        <v>6500</v>
      </c>
      <c r="G13959" s="14">
        <v>4370</v>
      </c>
      <c r="H13959" s="13" t="s">
        <v>26647</v>
      </c>
      <c r="I13959" s="40" t="s">
        <v>18</v>
      </c>
      <c r="J13959" s="40" t="str">
        <f>HYPERLINK("https://stock.pstatic.net/stock-research/company/66/20250304_company_858947000.pdf","PDF")</f>
        <v>PDF</v>
      </c>
      <c r="K13959" s="12" t="s">
        <v>26648</v>
      </c>
      <c r="L13959" s="20">
        <v>0.48741418764302058</v>
      </c>
    </row>
    <row r="13960" spans="1:12" x14ac:dyDescent="0.45">
      <c r="A13960" s="12" t="s">
        <v>26644</v>
      </c>
      <c r="B13960" s="12" t="s">
        <v>1140</v>
      </c>
      <c r="C13960" s="13" t="s">
        <v>1141</v>
      </c>
      <c r="D13960" s="13" t="s">
        <v>65</v>
      </c>
      <c r="E13960" s="12" t="s">
        <v>35</v>
      </c>
      <c r="F13960" s="14">
        <v>30000</v>
      </c>
      <c r="G13960" s="14">
        <v>21350</v>
      </c>
      <c r="H13960" s="13" t="s">
        <v>26649</v>
      </c>
      <c r="I13960" s="40" t="s">
        <v>18</v>
      </c>
      <c r="J13960" s="40" t="str">
        <f>HYPERLINK("https://stock.pstatic.net/stock-research/company/57/20250304_company_174314000.pdf","PDF")</f>
        <v>PDF</v>
      </c>
      <c r="K13960" s="12" t="s">
        <v>26650</v>
      </c>
      <c r="L13960" s="20">
        <v>0.40515222482435598</v>
      </c>
    </row>
    <row r="13961" spans="1:12" x14ac:dyDescent="0.45">
      <c r="A13961" s="12" t="s">
        <v>26644</v>
      </c>
      <c r="B13961" s="12" t="s">
        <v>26651</v>
      </c>
      <c r="C13961" s="13" t="s">
        <v>26652</v>
      </c>
      <c r="D13961" s="13" t="s">
        <v>65</v>
      </c>
      <c r="E13961" s="12" t="s">
        <v>50</v>
      </c>
      <c r="F13961" s="13"/>
      <c r="G13961" s="14">
        <v>4895</v>
      </c>
      <c r="H13961" s="13" t="s">
        <v>26653</v>
      </c>
      <c r="I13961" s="40" t="s">
        <v>18</v>
      </c>
      <c r="J13961" s="40" t="str">
        <f>HYPERLINK("https://stock.pstatic.net/stock-research/company/57/20250304_company_39009000.pdf","PDF")</f>
        <v>PDF</v>
      </c>
      <c r="K13961" s="12" t="s">
        <v>26654</v>
      </c>
    </row>
    <row r="13962" spans="1:12" x14ac:dyDescent="0.45">
      <c r="A13962" s="12" t="s">
        <v>26644</v>
      </c>
      <c r="B13962" s="12" t="s">
        <v>1140</v>
      </c>
      <c r="C13962" s="13" t="s">
        <v>1141</v>
      </c>
      <c r="D13962" s="13" t="s">
        <v>57</v>
      </c>
      <c r="E13962" s="12" t="s">
        <v>35</v>
      </c>
      <c r="F13962" s="14">
        <v>33000</v>
      </c>
      <c r="G13962" s="14">
        <v>21350</v>
      </c>
      <c r="H13962" s="13" t="s">
        <v>26655</v>
      </c>
      <c r="I13962" s="40" t="s">
        <v>18</v>
      </c>
      <c r="J13962" s="40" t="str">
        <f>HYPERLINK("https://stock.pstatic.net/stock-research/company/16/20250304_company_806969000.pdf","PDF")</f>
        <v>PDF</v>
      </c>
      <c r="K13962" s="12" t="s">
        <v>26656</v>
      </c>
      <c r="L13962" s="20">
        <v>0.54566744730679162</v>
      </c>
    </row>
    <row r="13963" spans="1:12" x14ac:dyDescent="0.45">
      <c r="A13963" s="12" t="s">
        <v>26644</v>
      </c>
      <c r="B13963" s="12" t="s">
        <v>495</v>
      </c>
      <c r="C13963" s="13" t="s">
        <v>496</v>
      </c>
      <c r="D13963" s="13" t="s">
        <v>158</v>
      </c>
      <c r="E13963" s="12" t="s">
        <v>35</v>
      </c>
      <c r="F13963" s="14">
        <v>77000</v>
      </c>
      <c r="G13963" s="14">
        <v>58800</v>
      </c>
      <c r="H13963" s="13" t="s">
        <v>26657</v>
      </c>
      <c r="I13963" s="40" t="s">
        <v>18</v>
      </c>
      <c r="J13963" s="40" t="str">
        <f>HYPERLINK("https://stock.pstatic.net/stock-research/company/18/20250304_company_727257000.pdf","PDF")</f>
        <v>PDF</v>
      </c>
      <c r="K13963" s="12" t="s">
        <v>26658</v>
      </c>
      <c r="L13963" s="20">
        <v>0.30952380952380948</v>
      </c>
    </row>
    <row r="13964" spans="1:12" x14ac:dyDescent="0.45">
      <c r="A13964" s="12" t="s">
        <v>26644</v>
      </c>
      <c r="B13964" s="12" t="s">
        <v>768</v>
      </c>
      <c r="C13964" s="13" t="s">
        <v>769</v>
      </c>
      <c r="D13964" s="13" t="s">
        <v>158</v>
      </c>
      <c r="E13964" s="12" t="s">
        <v>35</v>
      </c>
      <c r="F13964" s="14">
        <v>220000</v>
      </c>
      <c r="G13964" s="14">
        <v>171300</v>
      </c>
      <c r="H13964" s="13" t="s">
        <v>26659</v>
      </c>
      <c r="I13964" s="40" t="s">
        <v>18</v>
      </c>
      <c r="J13964" s="40" t="str">
        <f>HYPERLINK("https://stock.pstatic.net/stock-research/company/18/20250304_company_818000000.pdf","PDF")</f>
        <v>PDF</v>
      </c>
      <c r="K13964" s="12" t="s">
        <v>26660</v>
      </c>
      <c r="L13964" s="20">
        <v>0.28429655575014601</v>
      </c>
    </row>
    <row r="13965" spans="1:12" x14ac:dyDescent="0.45">
      <c r="A13965" s="12" t="s">
        <v>26644</v>
      </c>
      <c r="B13965" s="12" t="s">
        <v>4253</v>
      </c>
      <c r="C13965" s="13" t="s">
        <v>4254</v>
      </c>
      <c r="D13965" s="13" t="s">
        <v>158</v>
      </c>
      <c r="E13965" s="12" t="s">
        <v>35</v>
      </c>
      <c r="F13965" s="14">
        <v>240000</v>
      </c>
      <c r="G13965" s="14">
        <v>111700</v>
      </c>
      <c r="H13965" s="13" t="s">
        <v>26661</v>
      </c>
      <c r="I13965" s="40" t="s">
        <v>18</v>
      </c>
      <c r="J13965" s="40" t="str">
        <f>HYPERLINK("https://stock.pstatic.net/stock-research/company/1/20250304_company_655711000.pdf","PDF")</f>
        <v>PDF</v>
      </c>
      <c r="K13965" s="12" t="s">
        <v>26662</v>
      </c>
      <c r="L13965" s="20">
        <v>1.148612354521038</v>
      </c>
    </row>
    <row r="13966" spans="1:12" x14ac:dyDescent="0.45">
      <c r="A13966" s="12" t="s">
        <v>26644</v>
      </c>
      <c r="B13966" s="12" t="s">
        <v>13</v>
      </c>
      <c r="C13966" s="13" t="s">
        <v>14</v>
      </c>
      <c r="D13966" s="13" t="s">
        <v>714</v>
      </c>
      <c r="E13966" s="12" t="s">
        <v>35</v>
      </c>
      <c r="F13966" s="14">
        <v>71000</v>
      </c>
      <c r="G13966" s="14">
        <v>56600</v>
      </c>
      <c r="H13966" s="13" t="s">
        <v>26663</v>
      </c>
      <c r="I13966" s="40" t="s">
        <v>18</v>
      </c>
      <c r="J13966" s="40" t="str">
        <f>HYPERLINK("https://stock.pstatic.net/stock-research/company/38/20250304_company_218972000.pdf","PDF")</f>
        <v>PDF</v>
      </c>
      <c r="K13966" s="12" t="s">
        <v>26664</v>
      </c>
      <c r="L13966" s="20">
        <v>0.25441696113074203</v>
      </c>
    </row>
    <row r="13967" spans="1:12" x14ac:dyDescent="0.45">
      <c r="A13967" s="12" t="s">
        <v>26644</v>
      </c>
      <c r="B13967" s="12" t="s">
        <v>1140</v>
      </c>
      <c r="C13967" s="13" t="s">
        <v>1141</v>
      </c>
      <c r="D13967" s="13" t="s">
        <v>15</v>
      </c>
      <c r="E13967" s="12" t="s">
        <v>16</v>
      </c>
      <c r="F13967" s="14">
        <v>27000</v>
      </c>
      <c r="G13967" s="14">
        <v>21350</v>
      </c>
      <c r="H13967" s="13" t="s">
        <v>26665</v>
      </c>
      <c r="I13967" s="40" t="s">
        <v>18</v>
      </c>
      <c r="J13967" s="40" t="str">
        <f>HYPERLINK("https://stock.pstatic.net/stock-research/company/29/20250304_company_102470000.pdf","PDF")</f>
        <v>PDF</v>
      </c>
      <c r="K13967" s="12" t="s">
        <v>26666</v>
      </c>
      <c r="L13967" s="20">
        <v>0.26463700234192039</v>
      </c>
    </row>
    <row r="13968" spans="1:12" x14ac:dyDescent="0.45">
      <c r="A13968" s="12" t="s">
        <v>26644</v>
      </c>
      <c r="B13968" s="12" t="s">
        <v>237</v>
      </c>
      <c r="C13968" s="13" t="s">
        <v>238</v>
      </c>
      <c r="D13968" s="13" t="s">
        <v>83</v>
      </c>
      <c r="E13968" s="12" t="s">
        <v>35</v>
      </c>
      <c r="F13968" s="14">
        <v>59000</v>
      </c>
      <c r="G13968" s="14">
        <v>29700</v>
      </c>
      <c r="H13968" s="13" t="s">
        <v>26667</v>
      </c>
      <c r="I13968" s="40" t="s">
        <v>18</v>
      </c>
      <c r="J13968" s="40" t="str">
        <f>HYPERLINK("https://stock.pstatic.net/stock-research/company/2/20250304_company_139364000.pdf","PDF")</f>
        <v>PDF</v>
      </c>
      <c r="K13968" s="12" t="s">
        <v>26668</v>
      </c>
      <c r="L13968" s="20">
        <v>0.98653198653198648</v>
      </c>
    </row>
    <row r="13969" spans="1:12" x14ac:dyDescent="0.45">
      <c r="A13969" s="12" t="s">
        <v>26644</v>
      </c>
      <c r="B13969" s="12" t="s">
        <v>1162</v>
      </c>
      <c r="C13969" s="13" t="s">
        <v>1163</v>
      </c>
      <c r="D13969" s="13" t="s">
        <v>83</v>
      </c>
      <c r="E13969" s="12" t="s">
        <v>35</v>
      </c>
      <c r="F13969" s="14">
        <v>145000</v>
      </c>
      <c r="G13969" s="14">
        <v>102900</v>
      </c>
      <c r="H13969" s="13" t="s">
        <v>26669</v>
      </c>
      <c r="I13969" s="40" t="s">
        <v>18</v>
      </c>
      <c r="J13969" s="40" t="str">
        <f>HYPERLINK("https://stock.pstatic.net/stock-research/company/2/20250304_company_31038000.pdf","PDF")</f>
        <v>PDF</v>
      </c>
      <c r="K13969" s="12" t="s">
        <v>26670</v>
      </c>
      <c r="L13969" s="20">
        <v>0.40913508260447029</v>
      </c>
    </row>
    <row r="13970" spans="1:12" x14ac:dyDescent="0.45">
      <c r="A13970" s="12" t="s">
        <v>26644</v>
      </c>
      <c r="B13970" s="12" t="s">
        <v>3014</v>
      </c>
      <c r="C13970" s="13" t="s">
        <v>3015</v>
      </c>
      <c r="D13970" s="13" t="s">
        <v>83</v>
      </c>
      <c r="E13970" s="12" t="s">
        <v>35</v>
      </c>
      <c r="F13970" s="14">
        <v>88000</v>
      </c>
      <c r="G13970" s="14">
        <v>54900</v>
      </c>
      <c r="H13970" s="13" t="s">
        <v>26671</v>
      </c>
      <c r="I13970" s="40" t="s">
        <v>18</v>
      </c>
      <c r="J13970" s="40" t="str">
        <f>HYPERLINK("https://stock.pstatic.net/stock-research/company/2/20250304_company_369315000.pdf","PDF")</f>
        <v>PDF</v>
      </c>
      <c r="K13970" s="12" t="s">
        <v>26672</v>
      </c>
      <c r="L13970" s="20">
        <v>0.60291438979963574</v>
      </c>
    </row>
    <row r="13971" spans="1:12" x14ac:dyDescent="0.45">
      <c r="A13971" s="12" t="s">
        <v>26644</v>
      </c>
      <c r="B13971" s="12" t="s">
        <v>1140</v>
      </c>
      <c r="C13971" s="13" t="s">
        <v>1141</v>
      </c>
      <c r="D13971" s="13" t="s">
        <v>83</v>
      </c>
      <c r="E13971" s="12" t="s">
        <v>35</v>
      </c>
      <c r="F13971" s="14">
        <v>33000</v>
      </c>
      <c r="G13971" s="14">
        <v>21350</v>
      </c>
      <c r="H13971" s="13" t="s">
        <v>26673</v>
      </c>
      <c r="I13971" s="40" t="s">
        <v>18</v>
      </c>
      <c r="J13971" s="40" t="str">
        <f>HYPERLINK("https://stock.pstatic.net/stock-research/company/2/20250304_company_113362000.pdf","PDF")</f>
        <v>PDF</v>
      </c>
      <c r="K13971" s="12" t="s">
        <v>26674</v>
      </c>
      <c r="L13971" s="20">
        <v>0.54566744730679162</v>
      </c>
    </row>
    <row r="13972" spans="1:12" x14ac:dyDescent="0.45">
      <c r="A13972" s="12" t="s">
        <v>26644</v>
      </c>
      <c r="B13972" s="12" t="s">
        <v>645</v>
      </c>
      <c r="C13972" s="13" t="s">
        <v>646</v>
      </c>
      <c r="D13972" s="13" t="s">
        <v>179</v>
      </c>
      <c r="E13972" s="12" t="s">
        <v>16</v>
      </c>
      <c r="F13972" s="14">
        <v>25000</v>
      </c>
      <c r="G13972" s="14">
        <v>14830</v>
      </c>
      <c r="H13972" s="13" t="s">
        <v>26675</v>
      </c>
      <c r="I13972" s="40" t="s">
        <v>18</v>
      </c>
      <c r="J13972" s="40" t="str">
        <f>HYPERLINK("https://stock.pstatic.net/stock-research/company/1/20250304_company_811615000.pdf","PDF")</f>
        <v>PDF</v>
      </c>
      <c r="K13972" s="12" t="s">
        <v>26676</v>
      </c>
      <c r="L13972" s="20">
        <v>0.68577208361429531</v>
      </c>
    </row>
    <row r="13973" spans="1:12" x14ac:dyDescent="0.45">
      <c r="A13973" s="12" t="s">
        <v>26644</v>
      </c>
      <c r="B13973" s="12" t="s">
        <v>617</v>
      </c>
      <c r="C13973" s="13" t="s">
        <v>618</v>
      </c>
      <c r="D13973" s="13" t="s">
        <v>179</v>
      </c>
      <c r="E13973" s="12" t="s">
        <v>16</v>
      </c>
      <c r="F13973" s="14">
        <v>23500</v>
      </c>
      <c r="G13973" s="14">
        <v>13090</v>
      </c>
      <c r="H13973" s="13" t="s">
        <v>26677</v>
      </c>
      <c r="I13973" s="40" t="s">
        <v>18</v>
      </c>
      <c r="J13973" s="40" t="str">
        <f>HYPERLINK("https://stock.pstatic.net/stock-research/company/31/20250304_company_237390000.pdf","PDF")</f>
        <v>PDF</v>
      </c>
      <c r="K13973" s="12" t="s">
        <v>26678</v>
      </c>
      <c r="L13973" s="20">
        <v>0.79526355996944231</v>
      </c>
    </row>
    <row r="13974" spans="1:12" x14ac:dyDescent="0.45">
      <c r="A13974" s="12" t="s">
        <v>26644</v>
      </c>
      <c r="B13974" s="12" t="s">
        <v>5359</v>
      </c>
      <c r="C13974" s="13" t="s">
        <v>5360</v>
      </c>
      <c r="D13974" s="13" t="s">
        <v>23</v>
      </c>
      <c r="E13974" s="12" t="s">
        <v>50</v>
      </c>
      <c r="F13974" s="13"/>
      <c r="G13974" s="14">
        <v>16120</v>
      </c>
      <c r="H13974" s="13" t="s">
        <v>26679</v>
      </c>
      <c r="I13974" s="40" t="s">
        <v>18</v>
      </c>
      <c r="J13974" s="40" t="str">
        <f>HYPERLINK("https://stock.pstatic.net/stock-research/company/21/20250304_company_547103000.pdf","PDF")</f>
        <v>PDF</v>
      </c>
      <c r="K13974" s="12" t="s">
        <v>26680</v>
      </c>
    </row>
    <row r="13975" spans="1:12" x14ac:dyDescent="0.45">
      <c r="A13975" s="12" t="s">
        <v>26644</v>
      </c>
      <c r="B13975" s="12" t="s">
        <v>1946</v>
      </c>
      <c r="C13975" s="13" t="s">
        <v>1947</v>
      </c>
      <c r="D13975" s="13" t="s">
        <v>92</v>
      </c>
      <c r="E13975" s="12" t="s">
        <v>35</v>
      </c>
      <c r="F13975" s="14">
        <v>30000</v>
      </c>
      <c r="G13975" s="14">
        <v>15400</v>
      </c>
      <c r="H13975" s="13" t="s">
        <v>26681</v>
      </c>
      <c r="I13975" s="40" t="s">
        <v>18</v>
      </c>
      <c r="J13975" s="40" t="str">
        <f>HYPERLINK("https://stock.pstatic.net/stock-research/company/63/20250304_company_822822000.pdf","PDF")</f>
        <v>PDF</v>
      </c>
      <c r="K13975" s="12" t="s">
        <v>26682</v>
      </c>
      <c r="L13975" s="20">
        <v>0.94805194805194803</v>
      </c>
    </row>
    <row r="13976" spans="1:12" x14ac:dyDescent="0.45">
      <c r="A13976" s="12" t="s">
        <v>26644</v>
      </c>
      <c r="B13976" s="12" t="s">
        <v>13</v>
      </c>
      <c r="C13976" s="13" t="s">
        <v>14</v>
      </c>
      <c r="D13976" s="13" t="s">
        <v>34</v>
      </c>
      <c r="E13976" s="12" t="s">
        <v>35</v>
      </c>
      <c r="F13976" s="14">
        <v>68000</v>
      </c>
      <c r="G13976" s="14">
        <v>54500</v>
      </c>
      <c r="H13976" s="13" t="s">
        <v>26683</v>
      </c>
      <c r="I13976" s="40" t="s">
        <v>18</v>
      </c>
      <c r="J13976" s="40" t="str">
        <f>HYPERLINK("https://stock.pstatic.net/stock-research/company/61/20250304_company_503841000.pdf","PDF")</f>
        <v>PDF</v>
      </c>
      <c r="K13976" s="12" t="s">
        <v>26684</v>
      </c>
      <c r="L13976" s="20">
        <v>0.24770642201834861</v>
      </c>
    </row>
    <row r="13977" spans="1:12" x14ac:dyDescent="0.45">
      <c r="A13977" s="12" t="s">
        <v>26644</v>
      </c>
      <c r="B13977" s="12" t="s">
        <v>334</v>
      </c>
      <c r="C13977" s="13" t="s">
        <v>335</v>
      </c>
      <c r="D13977" s="13" t="s">
        <v>34</v>
      </c>
      <c r="E13977" s="12" t="s">
        <v>159</v>
      </c>
      <c r="F13977" s="14">
        <v>200000</v>
      </c>
      <c r="G13977" s="14">
        <v>190200</v>
      </c>
      <c r="H13977" s="13" t="s">
        <v>26685</v>
      </c>
      <c r="I13977" s="40" t="s">
        <v>18</v>
      </c>
      <c r="J13977" s="40" t="str">
        <f>HYPERLINK("https://stock.pstatic.net/stock-research/company/61/20250304_company_300864000.pdf","PDF")</f>
        <v>PDF</v>
      </c>
      <c r="K13977" s="12" t="s">
        <v>26686</v>
      </c>
      <c r="L13977" s="20">
        <v>5.152471083070452E-2</v>
      </c>
    </row>
    <row r="13978" spans="1:12" x14ac:dyDescent="0.45">
      <c r="A13978" s="12" t="s">
        <v>26644</v>
      </c>
      <c r="B13978" s="12" t="s">
        <v>1140</v>
      </c>
      <c r="C13978" s="13" t="s">
        <v>1141</v>
      </c>
      <c r="D13978" s="13" t="s">
        <v>92</v>
      </c>
      <c r="E13978" s="12" t="s">
        <v>35</v>
      </c>
      <c r="F13978" s="14">
        <v>28000</v>
      </c>
      <c r="G13978" s="14">
        <v>21350</v>
      </c>
      <c r="H13978" s="13" t="s">
        <v>26687</v>
      </c>
      <c r="I13978" s="40" t="s">
        <v>18</v>
      </c>
      <c r="J13978" s="40" t="str">
        <f>HYPERLINK("https://stock.pstatic.net/stock-research/company/63/20250304_company_74896000.pdf","PDF")</f>
        <v>PDF</v>
      </c>
      <c r="K13978" s="12" t="s">
        <v>26688</v>
      </c>
      <c r="L13978" s="20">
        <v>0.31147540983606559</v>
      </c>
    </row>
    <row r="13979" spans="1:12" x14ac:dyDescent="0.45">
      <c r="A13979" s="12" t="s">
        <v>26644</v>
      </c>
      <c r="B13979" s="12" t="s">
        <v>255</v>
      </c>
      <c r="C13979" s="13" t="s">
        <v>256</v>
      </c>
      <c r="D13979" s="13" t="s">
        <v>23</v>
      </c>
      <c r="E13979" s="12" t="s">
        <v>16</v>
      </c>
      <c r="F13979" s="14">
        <v>29000</v>
      </c>
      <c r="G13979" s="14">
        <v>18410</v>
      </c>
      <c r="H13979" s="13" t="s">
        <v>26689</v>
      </c>
      <c r="I13979" s="40" t="s">
        <v>18</v>
      </c>
      <c r="J13979" s="40" t="str">
        <f>HYPERLINK("https://stock.pstatic.net/stock-research/company/21/20250304_company_35224000.pdf","PDF")</f>
        <v>PDF</v>
      </c>
      <c r="K13979" s="12" t="s">
        <v>26690</v>
      </c>
      <c r="L13979" s="20">
        <v>0.57523085279739272</v>
      </c>
    </row>
    <row r="13980" spans="1:12" x14ac:dyDescent="0.45">
      <c r="A13980" s="12" t="s">
        <v>26644</v>
      </c>
      <c r="B13980" s="12" t="s">
        <v>1140</v>
      </c>
      <c r="C13980" s="13" t="s">
        <v>1141</v>
      </c>
      <c r="D13980" s="13" t="s">
        <v>23</v>
      </c>
      <c r="E13980" s="12" t="s">
        <v>16</v>
      </c>
      <c r="F13980" s="14">
        <v>30000</v>
      </c>
      <c r="G13980" s="14">
        <v>21350</v>
      </c>
      <c r="H13980" s="13" t="s">
        <v>26691</v>
      </c>
      <c r="I13980" s="40" t="s">
        <v>18</v>
      </c>
      <c r="J13980" s="40" t="str">
        <f>HYPERLINK("https://stock.pstatic.net/stock-research/company/21/20250304_company_846285000.pdf","PDF")</f>
        <v>PDF</v>
      </c>
      <c r="K13980" s="12" t="s">
        <v>26692</v>
      </c>
      <c r="L13980" s="20">
        <v>0.40515222482435598</v>
      </c>
    </row>
    <row r="13981" spans="1:12" x14ac:dyDescent="0.45">
      <c r="A13981" s="12" t="s">
        <v>26644</v>
      </c>
      <c r="B13981" s="12" t="s">
        <v>842</v>
      </c>
      <c r="C13981" s="13" t="s">
        <v>843</v>
      </c>
      <c r="D13981" s="13" t="s">
        <v>23</v>
      </c>
      <c r="E13981" s="12" t="s">
        <v>16</v>
      </c>
      <c r="F13981" s="14">
        <v>28000</v>
      </c>
      <c r="G13981" s="14">
        <v>23800</v>
      </c>
      <c r="H13981" s="13" t="s">
        <v>26693</v>
      </c>
      <c r="I13981" s="40" t="s">
        <v>18</v>
      </c>
      <c r="J13981" s="40" t="str">
        <f>HYPERLINK("https://stock.pstatic.net/stock-research/company/21/20250304_company_388506000.pdf","PDF")</f>
        <v>PDF</v>
      </c>
      <c r="K13981" s="12" t="s">
        <v>26694</v>
      </c>
      <c r="L13981" s="20">
        <v>0.1764705882352941</v>
      </c>
    </row>
    <row r="13982" spans="1:12" x14ac:dyDescent="0.45">
      <c r="A13982" s="12" t="s">
        <v>26644</v>
      </c>
      <c r="B13982" s="12" t="s">
        <v>1274</v>
      </c>
      <c r="C13982" s="13" t="s">
        <v>1275</v>
      </c>
      <c r="D13982" s="13" t="s">
        <v>23</v>
      </c>
      <c r="E13982" s="12" t="s">
        <v>16</v>
      </c>
      <c r="F13982" s="14">
        <v>130000</v>
      </c>
      <c r="G13982" s="14">
        <v>91400</v>
      </c>
      <c r="H13982" s="13" t="s">
        <v>26695</v>
      </c>
      <c r="I13982" s="40" t="s">
        <v>18</v>
      </c>
      <c r="J13982" s="40" t="str">
        <f>HYPERLINK("https://stock.pstatic.net/stock-research/company/21/20250304_company_761338000.pdf","PDF")</f>
        <v>PDF</v>
      </c>
      <c r="K13982" s="12" t="s">
        <v>26696</v>
      </c>
      <c r="L13982" s="20">
        <v>0.42231947483588622</v>
      </c>
    </row>
    <row r="13983" spans="1:12" x14ac:dyDescent="0.45">
      <c r="A13983" s="12" t="s">
        <v>26644</v>
      </c>
      <c r="B13983" s="12" t="s">
        <v>1477</v>
      </c>
      <c r="C13983" s="13" t="s">
        <v>1478</v>
      </c>
      <c r="D13983" s="13" t="s">
        <v>124</v>
      </c>
      <c r="E13983" s="12" t="s">
        <v>50</v>
      </c>
      <c r="F13983" s="13"/>
      <c r="G13983" s="13"/>
      <c r="H13983" s="13" t="s">
        <v>26697</v>
      </c>
      <c r="I13983" s="40" t="s">
        <v>18</v>
      </c>
      <c r="J13983" s="40" t="str">
        <f>HYPERLINK("https://stock.pstatic.net/stock-research/company/74/20250304_company_805372000.pdf","PDF")</f>
        <v>PDF</v>
      </c>
      <c r="K13983" s="12" t="s">
        <v>26698</v>
      </c>
    </row>
    <row r="13984" spans="1:12" x14ac:dyDescent="0.45">
      <c r="A13984" s="12" t="s">
        <v>26644</v>
      </c>
      <c r="B13984" s="12" t="s">
        <v>2867</v>
      </c>
      <c r="C13984" s="13" t="s">
        <v>2868</v>
      </c>
      <c r="D13984" s="13" t="s">
        <v>34</v>
      </c>
      <c r="E13984" s="12" t="s">
        <v>35</v>
      </c>
      <c r="F13984" s="14">
        <v>9500</v>
      </c>
      <c r="G13984" s="14">
        <v>7240</v>
      </c>
      <c r="H13984" s="13" t="s">
        <v>26699</v>
      </c>
      <c r="I13984" s="40" t="s">
        <v>18</v>
      </c>
      <c r="J13984" s="40" t="str">
        <f>HYPERLINK("https://stock.pstatic.net/stock-research/company/61/20250304_company_155044000.pdf","PDF")</f>
        <v>PDF</v>
      </c>
      <c r="K13984" s="12" t="s">
        <v>26700</v>
      </c>
      <c r="L13984" s="20">
        <v>0.31215469613259672</v>
      </c>
    </row>
    <row r="13985" spans="1:12" x14ac:dyDescent="0.45">
      <c r="A13985" s="12" t="s">
        <v>26644</v>
      </c>
      <c r="B13985" s="12" t="s">
        <v>694</v>
      </c>
      <c r="C13985" s="13" t="s">
        <v>695</v>
      </c>
      <c r="D13985" s="13" t="s">
        <v>34</v>
      </c>
      <c r="E13985" s="12" t="s">
        <v>35</v>
      </c>
      <c r="F13985" s="14">
        <v>7500</v>
      </c>
      <c r="G13985" s="14">
        <v>6290</v>
      </c>
      <c r="H13985" s="13" t="s">
        <v>26701</v>
      </c>
      <c r="I13985" s="40" t="s">
        <v>18</v>
      </c>
      <c r="J13985" s="40" t="str">
        <f>HYPERLINK("https://stock.pstatic.net/stock-research/company/61/20250304_company_407604000.pdf","PDF")</f>
        <v>PDF</v>
      </c>
      <c r="K13985" s="12" t="s">
        <v>26702</v>
      </c>
      <c r="L13985" s="20">
        <v>0.19236883942766289</v>
      </c>
    </row>
    <row r="13986" spans="1:12" x14ac:dyDescent="0.45">
      <c r="A13986" s="12" t="s">
        <v>26703</v>
      </c>
      <c r="B13986" s="12" t="s">
        <v>1300</v>
      </c>
      <c r="C13986" s="13" t="s">
        <v>1301</v>
      </c>
      <c r="D13986" s="13" t="s">
        <v>92</v>
      </c>
      <c r="E13986" s="12" t="s">
        <v>35</v>
      </c>
      <c r="F13986" s="14">
        <v>210000</v>
      </c>
      <c r="G13986" s="14">
        <v>160300</v>
      </c>
      <c r="H13986" s="13" t="s">
        <v>26704</v>
      </c>
      <c r="I13986" s="40" t="s">
        <v>18</v>
      </c>
      <c r="J13986" s="40" t="str">
        <f>HYPERLINK("https://stock.pstatic.net/stock-research/company/1/20250228_company_105640000.pdf","PDF")</f>
        <v>PDF</v>
      </c>
      <c r="K13986" s="12" t="s">
        <v>26705</v>
      </c>
      <c r="L13986" s="20">
        <v>0.31004366812227069</v>
      </c>
    </row>
    <row r="13987" spans="1:12" x14ac:dyDescent="0.45">
      <c r="A13987" s="12" t="s">
        <v>26703</v>
      </c>
      <c r="B13987" s="12" t="s">
        <v>888</v>
      </c>
      <c r="C13987" s="13" t="s">
        <v>889</v>
      </c>
      <c r="D13987" s="13" t="s">
        <v>23</v>
      </c>
      <c r="E13987" s="12" t="s">
        <v>16</v>
      </c>
      <c r="F13987" s="14">
        <v>70000</v>
      </c>
      <c r="G13987" s="14">
        <v>49400</v>
      </c>
      <c r="H13987" s="13" t="s">
        <v>26706</v>
      </c>
      <c r="I13987" s="40" t="s">
        <v>18</v>
      </c>
      <c r="J13987" s="40" t="str">
        <f>HYPERLINK("https://stock.pstatic.net/stock-research/company/21/20250228_company_767478000.pdf","PDF")</f>
        <v>PDF</v>
      </c>
      <c r="K13987" s="12" t="s">
        <v>26707</v>
      </c>
      <c r="L13987" s="20">
        <v>0.41700404858299589</v>
      </c>
    </row>
    <row r="13988" spans="1:12" x14ac:dyDescent="0.45">
      <c r="A13988" s="12" t="s">
        <v>26703</v>
      </c>
      <c r="B13988" s="12" t="s">
        <v>691</v>
      </c>
      <c r="C13988" s="13" t="s">
        <v>20</v>
      </c>
      <c r="D13988" s="13" t="s">
        <v>44</v>
      </c>
      <c r="E13988" s="12" t="s">
        <v>35</v>
      </c>
      <c r="F13988" s="14">
        <v>240000</v>
      </c>
      <c r="G13988" s="14">
        <v>182700</v>
      </c>
      <c r="H13988" s="13" t="s">
        <v>26708</v>
      </c>
      <c r="I13988" s="40" t="s">
        <v>18</v>
      </c>
      <c r="J13988" s="40" t="str">
        <f>HYPERLINK("https://stock.pstatic.net/stock-research/company/1/20250228_company_525388000.pdf","PDF")</f>
        <v>PDF</v>
      </c>
      <c r="K13988" s="12" t="s">
        <v>26709</v>
      </c>
      <c r="L13988" s="20">
        <v>0.31362889983579639</v>
      </c>
    </row>
    <row r="13989" spans="1:12" x14ac:dyDescent="0.45">
      <c r="A13989" s="12" t="s">
        <v>26703</v>
      </c>
      <c r="B13989" s="12" t="s">
        <v>1556</v>
      </c>
      <c r="C13989" s="13" t="s">
        <v>1557</v>
      </c>
      <c r="D13989" s="13" t="s">
        <v>44</v>
      </c>
      <c r="E13989" s="12" t="s">
        <v>50</v>
      </c>
      <c r="F13989" s="13"/>
      <c r="G13989" s="14">
        <v>15680</v>
      </c>
      <c r="H13989" s="13" t="s">
        <v>26710</v>
      </c>
      <c r="I13989" s="40" t="s">
        <v>18</v>
      </c>
      <c r="J13989" s="40" t="str">
        <f>HYPERLINK("https://stock.pstatic.net/stock-research/company/39/20250228_company_634776000.pdf","PDF")</f>
        <v>PDF</v>
      </c>
      <c r="K13989" s="12" t="s">
        <v>26711</v>
      </c>
    </row>
    <row r="13990" spans="1:12" x14ac:dyDescent="0.45">
      <c r="A13990" s="12" t="s">
        <v>26703</v>
      </c>
      <c r="B13990" s="12" t="s">
        <v>272</v>
      </c>
      <c r="C13990" s="13" t="s">
        <v>273</v>
      </c>
      <c r="D13990" s="13" t="s">
        <v>124</v>
      </c>
      <c r="E13990" s="12" t="s">
        <v>50</v>
      </c>
      <c r="F13990" s="13"/>
      <c r="G13990" s="13"/>
      <c r="H13990" s="13" t="s">
        <v>26712</v>
      </c>
      <c r="I13990" s="40" t="s">
        <v>18</v>
      </c>
      <c r="J13990" s="40" t="str">
        <f>HYPERLINK("https://stock.pstatic.net/stock-research/company/74/20250304_company_729025000.pdf","PDF")</f>
        <v>PDF</v>
      </c>
      <c r="K13990" s="12" t="s">
        <v>26713</v>
      </c>
    </row>
    <row r="13991" spans="1:12" x14ac:dyDescent="0.45">
      <c r="A13991" s="12" t="s">
        <v>26703</v>
      </c>
      <c r="B13991" s="12" t="s">
        <v>3365</v>
      </c>
      <c r="C13991" s="13" t="s">
        <v>3366</v>
      </c>
      <c r="D13991" s="13" t="s">
        <v>15</v>
      </c>
      <c r="E13991" s="12" t="s">
        <v>50</v>
      </c>
      <c r="F13991" s="14">
        <v>157000</v>
      </c>
      <c r="G13991" s="14">
        <v>138900</v>
      </c>
      <c r="H13991" s="13" t="s">
        <v>26714</v>
      </c>
      <c r="I13991" s="40" t="s">
        <v>18</v>
      </c>
      <c r="J13991" s="40" t="str">
        <f>HYPERLINK("https://stock.pstatic.net/stock-research/company/29/20250228_company_791878000.pdf","PDF")</f>
        <v>PDF</v>
      </c>
      <c r="K13991" s="12" t="s">
        <v>26715</v>
      </c>
      <c r="L13991" s="20">
        <v>0.13030957523398129</v>
      </c>
    </row>
    <row r="13992" spans="1:12" x14ac:dyDescent="0.45">
      <c r="A13992" s="12" t="s">
        <v>26716</v>
      </c>
      <c r="B13992" s="12" t="s">
        <v>2312</v>
      </c>
      <c r="C13992" s="13" t="s">
        <v>2313</v>
      </c>
      <c r="D13992" s="13" t="s">
        <v>15</v>
      </c>
      <c r="E13992" s="12" t="s">
        <v>16</v>
      </c>
      <c r="F13992" s="14">
        <v>38000</v>
      </c>
      <c r="G13992" s="14">
        <v>24650</v>
      </c>
      <c r="H13992" s="13" t="s">
        <v>26717</v>
      </c>
      <c r="I13992" s="40" t="s">
        <v>18</v>
      </c>
      <c r="J13992" s="40" t="str">
        <f>HYPERLINK("https://stock.pstatic.net/stock-research/company/29/20250227_company_255891000.pdf","PDF")</f>
        <v>PDF</v>
      </c>
      <c r="K13992" s="12" t="s">
        <v>26718</v>
      </c>
      <c r="L13992" s="20">
        <v>0.54158215010141986</v>
      </c>
    </row>
    <row r="13993" spans="1:12" x14ac:dyDescent="0.45">
      <c r="A13993" s="12" t="s">
        <v>26716</v>
      </c>
      <c r="B13993" s="12" t="s">
        <v>10848</v>
      </c>
      <c r="C13993" s="13" t="s">
        <v>10849</v>
      </c>
      <c r="D13993" s="13" t="s">
        <v>65</v>
      </c>
      <c r="E13993" s="12" t="s">
        <v>35</v>
      </c>
      <c r="F13993" s="14">
        <v>45000</v>
      </c>
      <c r="G13993" s="14">
        <v>34500</v>
      </c>
      <c r="H13993" s="13" t="s">
        <v>26719</v>
      </c>
      <c r="I13993" s="40" t="s">
        <v>18</v>
      </c>
      <c r="J13993" s="40" t="str">
        <f>HYPERLINK("https://stock.pstatic.net/stock-research/company/57/20250227_company_301207000.pdf","PDF")</f>
        <v>PDF</v>
      </c>
      <c r="K13993" s="12" t="s">
        <v>26720</v>
      </c>
      <c r="L13993" s="20">
        <v>0.30434782608695649</v>
      </c>
    </row>
    <row r="13994" spans="1:12" x14ac:dyDescent="0.45">
      <c r="A13994" s="12" t="s">
        <v>26716</v>
      </c>
      <c r="B13994" s="12" t="s">
        <v>2346</v>
      </c>
      <c r="C13994" s="13" t="s">
        <v>2347</v>
      </c>
      <c r="D13994" s="13" t="s">
        <v>65</v>
      </c>
      <c r="E13994" s="12" t="s">
        <v>35</v>
      </c>
      <c r="F13994" s="14">
        <v>40000</v>
      </c>
      <c r="G13994" s="14">
        <v>26350</v>
      </c>
      <c r="H13994" s="13" t="s">
        <v>26721</v>
      </c>
      <c r="I13994" s="40" t="s">
        <v>18</v>
      </c>
      <c r="J13994" s="40" t="str">
        <f>HYPERLINK("https://stock.pstatic.net/stock-research/company/57/20250227_company_402965000.pdf","PDF")</f>
        <v>PDF</v>
      </c>
      <c r="K13994" s="12" t="s">
        <v>26722</v>
      </c>
      <c r="L13994" s="20">
        <v>0.51802656546489567</v>
      </c>
    </row>
    <row r="13995" spans="1:12" x14ac:dyDescent="0.45">
      <c r="A13995" s="12" t="s">
        <v>26716</v>
      </c>
      <c r="B13995" s="12" t="s">
        <v>842</v>
      </c>
      <c r="C13995" s="13" t="s">
        <v>843</v>
      </c>
      <c r="D13995" s="13" t="s">
        <v>65</v>
      </c>
      <c r="E13995" s="12" t="s">
        <v>50</v>
      </c>
      <c r="F13995" s="13"/>
      <c r="G13995" s="14">
        <v>22850</v>
      </c>
      <c r="H13995" s="13" t="s">
        <v>26723</v>
      </c>
      <c r="I13995" s="40" t="s">
        <v>18</v>
      </c>
      <c r="J13995" s="40" t="str">
        <f>HYPERLINK("https://stock.pstatic.net/stock-research/company/57/20250227_company_604423000.pdf","PDF")</f>
        <v>PDF</v>
      </c>
      <c r="K13995" s="12" t="s">
        <v>26724</v>
      </c>
    </row>
    <row r="13996" spans="1:12" x14ac:dyDescent="0.45">
      <c r="A13996" s="12" t="s">
        <v>26716</v>
      </c>
      <c r="B13996" s="12" t="s">
        <v>764</v>
      </c>
      <c r="C13996" s="13" t="s">
        <v>765</v>
      </c>
      <c r="D13996" s="13" t="s">
        <v>65</v>
      </c>
      <c r="E13996" s="12" t="s">
        <v>35</v>
      </c>
      <c r="F13996" s="14">
        <v>40000</v>
      </c>
      <c r="G13996" s="14">
        <v>26700</v>
      </c>
      <c r="H13996" s="13" t="s">
        <v>26725</v>
      </c>
      <c r="I13996" s="40" t="s">
        <v>18</v>
      </c>
      <c r="J13996" s="40" t="str">
        <f>HYPERLINK("https://stock.pstatic.net/stock-research/company/57/20250227_company_778824000.pdf","PDF")</f>
        <v>PDF</v>
      </c>
      <c r="K13996" s="12" t="s">
        <v>26726</v>
      </c>
      <c r="L13996" s="20">
        <v>0.49812734082396998</v>
      </c>
    </row>
    <row r="13997" spans="1:12" x14ac:dyDescent="0.45">
      <c r="A13997" s="12" t="s">
        <v>26716</v>
      </c>
      <c r="B13997" s="12" t="s">
        <v>541</v>
      </c>
      <c r="C13997" s="13" t="s">
        <v>542</v>
      </c>
      <c r="D13997" s="13" t="s">
        <v>65</v>
      </c>
      <c r="E13997" s="12" t="s">
        <v>35</v>
      </c>
      <c r="F13997" s="14">
        <v>70000</v>
      </c>
      <c r="G13997" s="14">
        <v>58200</v>
      </c>
      <c r="H13997" s="13" t="s">
        <v>26727</v>
      </c>
      <c r="I13997" s="40" t="s">
        <v>18</v>
      </c>
      <c r="J13997" s="40" t="str">
        <f>HYPERLINK("https://stock.pstatic.net/stock-research/company/57/20250227_company_780190000.pdf","PDF")</f>
        <v>PDF</v>
      </c>
      <c r="K13997" s="12" t="s">
        <v>26728</v>
      </c>
      <c r="L13997" s="20">
        <v>0.20274914089347079</v>
      </c>
    </row>
    <row r="13998" spans="1:12" x14ac:dyDescent="0.45">
      <c r="A13998" s="12" t="s">
        <v>26716</v>
      </c>
      <c r="B13998" s="12" t="s">
        <v>537</v>
      </c>
      <c r="C13998" s="13" t="s">
        <v>538</v>
      </c>
      <c r="D13998" s="13" t="s">
        <v>65</v>
      </c>
      <c r="E13998" s="12" t="s">
        <v>35</v>
      </c>
      <c r="F13998" s="14">
        <v>14000</v>
      </c>
      <c r="G13998" s="14">
        <v>10640</v>
      </c>
      <c r="H13998" s="13" t="s">
        <v>26729</v>
      </c>
      <c r="I13998" s="40" t="s">
        <v>18</v>
      </c>
      <c r="J13998" s="40" t="str">
        <f>HYPERLINK("https://stock.pstatic.net/stock-research/company/57/20250227_company_253821000.pdf","PDF")</f>
        <v>PDF</v>
      </c>
      <c r="K13998" s="12" t="s">
        <v>26730</v>
      </c>
      <c r="L13998" s="20">
        <v>0.31578947368421051</v>
      </c>
    </row>
    <row r="13999" spans="1:12" x14ac:dyDescent="0.45">
      <c r="A13999" s="12" t="s">
        <v>26716</v>
      </c>
      <c r="B13999" s="12" t="s">
        <v>533</v>
      </c>
      <c r="C13999" s="13" t="s">
        <v>534</v>
      </c>
      <c r="D13999" s="13" t="s">
        <v>65</v>
      </c>
      <c r="E13999" s="12" t="s">
        <v>35</v>
      </c>
      <c r="F13999" s="14">
        <v>70000</v>
      </c>
      <c r="G13999" s="14">
        <v>47800</v>
      </c>
      <c r="H13999" s="13" t="s">
        <v>26731</v>
      </c>
      <c r="I13999" s="40" t="s">
        <v>18</v>
      </c>
      <c r="J13999" s="40" t="str">
        <f>HYPERLINK("https://stock.pstatic.net/stock-research/company/57/20250227_company_754868000.pdf","PDF")</f>
        <v>PDF</v>
      </c>
      <c r="K13999" s="12" t="s">
        <v>26732</v>
      </c>
      <c r="L13999" s="20">
        <v>0.46443514644351458</v>
      </c>
    </row>
    <row r="14000" spans="1:12" x14ac:dyDescent="0.45">
      <c r="A14000" s="12" t="s">
        <v>26716</v>
      </c>
      <c r="B14000" s="12" t="s">
        <v>1449</v>
      </c>
      <c r="C14000" s="13" t="s">
        <v>1450</v>
      </c>
      <c r="D14000" s="13" t="s">
        <v>57</v>
      </c>
      <c r="E14000" s="12" t="s">
        <v>35</v>
      </c>
      <c r="F14000" s="14">
        <v>38000</v>
      </c>
      <c r="G14000" s="14">
        <v>29300</v>
      </c>
      <c r="H14000" s="13" t="s">
        <v>26733</v>
      </c>
      <c r="I14000" s="40" t="s">
        <v>18</v>
      </c>
      <c r="J14000" s="40" t="str">
        <f>HYPERLINK("https://stock.pstatic.net/stock-research/company/16/20250227_company_125386000.pdf","PDF")</f>
        <v>PDF</v>
      </c>
      <c r="K14000" s="12" t="s">
        <v>26734</v>
      </c>
      <c r="L14000" s="20">
        <v>0.29692832764505123</v>
      </c>
    </row>
    <row r="14001" spans="1:12" x14ac:dyDescent="0.45">
      <c r="A14001" s="12" t="s">
        <v>26716</v>
      </c>
      <c r="B14001" s="12" t="s">
        <v>1190</v>
      </c>
      <c r="C14001" s="13" t="s">
        <v>1191</v>
      </c>
      <c r="D14001" s="13" t="s">
        <v>158</v>
      </c>
      <c r="E14001" s="12" t="s">
        <v>35</v>
      </c>
      <c r="F14001" s="14">
        <v>63000</v>
      </c>
      <c r="G14001" s="14">
        <v>42550</v>
      </c>
      <c r="H14001" s="13" t="s">
        <v>26735</v>
      </c>
      <c r="I14001" s="40" t="s">
        <v>18</v>
      </c>
      <c r="J14001" s="40" t="str">
        <f>HYPERLINK("https://stock.pstatic.net/stock-research/company/18/20250227_company_409406000.pdf","PDF")</f>
        <v>PDF</v>
      </c>
      <c r="K14001" s="12" t="s">
        <v>26736</v>
      </c>
      <c r="L14001" s="20">
        <v>0.48061104582843711</v>
      </c>
    </row>
    <row r="14002" spans="1:12" x14ac:dyDescent="0.45">
      <c r="A14002" s="12" t="s">
        <v>26716</v>
      </c>
      <c r="B14002" s="12" t="s">
        <v>2308</v>
      </c>
      <c r="C14002" s="13" t="s">
        <v>2309</v>
      </c>
      <c r="D14002" s="13" t="s">
        <v>158</v>
      </c>
      <c r="E14002" s="12" t="s">
        <v>50</v>
      </c>
      <c r="F14002" s="13"/>
      <c r="G14002" s="14">
        <v>11960</v>
      </c>
      <c r="H14002" s="13" t="s">
        <v>26737</v>
      </c>
      <c r="I14002" s="40" t="s">
        <v>18</v>
      </c>
      <c r="J14002" s="40" t="str">
        <f>HYPERLINK("https://stock.pstatic.net/stock-research/company/18/20250227_company_694811000.pdf","PDF")</f>
        <v>PDF</v>
      </c>
      <c r="K14002" s="12" t="s">
        <v>26738</v>
      </c>
    </row>
    <row r="14003" spans="1:12" x14ac:dyDescent="0.45">
      <c r="A14003" s="12" t="s">
        <v>26716</v>
      </c>
      <c r="B14003" s="12" t="s">
        <v>6347</v>
      </c>
      <c r="C14003" s="13" t="s">
        <v>6348</v>
      </c>
      <c r="D14003" s="13" t="s">
        <v>158</v>
      </c>
      <c r="E14003" s="12" t="s">
        <v>50</v>
      </c>
      <c r="F14003" s="13"/>
      <c r="G14003" s="14">
        <v>27400</v>
      </c>
      <c r="H14003" s="13" t="s">
        <v>26739</v>
      </c>
      <c r="I14003" s="40" t="s">
        <v>18</v>
      </c>
      <c r="J14003" s="40" t="str">
        <f>HYPERLINK("https://stock.pstatic.net/stock-research/company/18/20250227_company_428158000.pdf","PDF")</f>
        <v>PDF</v>
      </c>
      <c r="K14003" s="12" t="s">
        <v>26740</v>
      </c>
    </row>
    <row r="14004" spans="1:12" x14ac:dyDescent="0.45">
      <c r="A14004" s="12" t="s">
        <v>26716</v>
      </c>
      <c r="B14004" s="12" t="s">
        <v>2815</v>
      </c>
      <c r="C14004" s="13" t="s">
        <v>2816</v>
      </c>
      <c r="D14004" s="13" t="s">
        <v>158</v>
      </c>
      <c r="E14004" s="12" t="s">
        <v>50</v>
      </c>
      <c r="F14004" s="13"/>
      <c r="G14004" s="14">
        <v>11520</v>
      </c>
      <c r="H14004" s="13" t="s">
        <v>26741</v>
      </c>
      <c r="I14004" s="40" t="s">
        <v>18</v>
      </c>
      <c r="J14004" s="40" t="str">
        <f>HYPERLINK("https://stock.pstatic.net/stock-research/company/1/20250227_company_369560000.pdf","PDF")</f>
        <v>PDF</v>
      </c>
      <c r="K14004" s="12" t="s">
        <v>26742</v>
      </c>
    </row>
    <row r="14005" spans="1:12" x14ac:dyDescent="0.45">
      <c r="A14005" s="12" t="s">
        <v>26716</v>
      </c>
      <c r="B14005" s="12" t="s">
        <v>691</v>
      </c>
      <c r="C14005" s="13" t="s">
        <v>20</v>
      </c>
      <c r="D14005" s="13" t="s">
        <v>34</v>
      </c>
      <c r="E14005" s="12" t="s">
        <v>35</v>
      </c>
      <c r="F14005" s="14">
        <v>250000</v>
      </c>
      <c r="G14005" s="14">
        <v>189300</v>
      </c>
      <c r="H14005" s="13" t="s">
        <v>26743</v>
      </c>
      <c r="I14005" s="40" t="s">
        <v>18</v>
      </c>
      <c r="J14005" s="40" t="str">
        <f>HYPERLINK("https://stock.pstatic.net/stock-research/company/61/20250227_company_150672000.pdf","PDF")</f>
        <v>PDF</v>
      </c>
      <c r="K14005" s="12" t="s">
        <v>26744</v>
      </c>
      <c r="L14005" s="20">
        <v>0.32065504490227148</v>
      </c>
    </row>
    <row r="14006" spans="1:12" x14ac:dyDescent="0.45">
      <c r="A14006" s="12" t="s">
        <v>26716</v>
      </c>
      <c r="B14006" s="12" t="s">
        <v>625</v>
      </c>
      <c r="C14006" s="13" t="s">
        <v>626</v>
      </c>
      <c r="D14006" s="13" t="s">
        <v>23</v>
      </c>
      <c r="E14006" s="12" t="s">
        <v>50</v>
      </c>
      <c r="F14006" s="13"/>
      <c r="G14006" s="14">
        <v>10020</v>
      </c>
      <c r="H14006" s="13" t="s">
        <v>26745</v>
      </c>
      <c r="I14006" s="40" t="s">
        <v>18</v>
      </c>
      <c r="J14006" s="40" t="str">
        <f>HYPERLINK("https://stock.pstatic.net/stock-research/company/21/20250227_company_756019000.pdf","PDF")</f>
        <v>PDF</v>
      </c>
      <c r="K14006" s="12" t="s">
        <v>26746</v>
      </c>
    </row>
    <row r="14007" spans="1:12" x14ac:dyDescent="0.45">
      <c r="A14007" s="12" t="s">
        <v>26716</v>
      </c>
      <c r="B14007" s="12" t="s">
        <v>691</v>
      </c>
      <c r="C14007" s="13" t="s">
        <v>20</v>
      </c>
      <c r="D14007" s="13" t="s">
        <v>83</v>
      </c>
      <c r="E14007" s="12" t="s">
        <v>35</v>
      </c>
      <c r="F14007" s="14">
        <v>240000</v>
      </c>
      <c r="G14007" s="14">
        <v>174100</v>
      </c>
      <c r="H14007" s="13" t="s">
        <v>26747</v>
      </c>
      <c r="I14007" s="40" t="s">
        <v>18</v>
      </c>
      <c r="J14007" s="40" t="str">
        <f>HYPERLINK("https://stock.pstatic.net/stock-research/company/2/20250227_company_128497000.pdf","PDF")</f>
        <v>PDF</v>
      </c>
      <c r="K14007" s="12" t="s">
        <v>26748</v>
      </c>
      <c r="L14007" s="20">
        <v>0.3785180930499713</v>
      </c>
    </row>
    <row r="14008" spans="1:12" x14ac:dyDescent="0.45">
      <c r="A14008" s="12" t="s">
        <v>26716</v>
      </c>
      <c r="B14008" s="12" t="s">
        <v>3105</v>
      </c>
      <c r="C14008" s="13" t="s">
        <v>3106</v>
      </c>
      <c r="D14008" s="13" t="s">
        <v>83</v>
      </c>
      <c r="E14008" s="12" t="s">
        <v>35</v>
      </c>
      <c r="F14008" s="14">
        <v>310000</v>
      </c>
      <c r="G14008" s="14">
        <v>251000</v>
      </c>
      <c r="H14008" s="13" t="s">
        <v>26749</v>
      </c>
      <c r="I14008" s="40" t="s">
        <v>18</v>
      </c>
      <c r="J14008" s="40" t="str">
        <f>HYPERLINK("https://stock.pstatic.net/stock-research/company/2/20250227_company_801906000.pdf","PDF")</f>
        <v>PDF</v>
      </c>
      <c r="K14008" s="12" t="s">
        <v>26750</v>
      </c>
      <c r="L14008" s="20">
        <v>0.23505976095617531</v>
      </c>
    </row>
    <row r="14009" spans="1:12" x14ac:dyDescent="0.45">
      <c r="A14009" s="12" t="s">
        <v>26716</v>
      </c>
      <c r="B14009" s="12" t="s">
        <v>756</v>
      </c>
      <c r="C14009" s="13" t="s">
        <v>757</v>
      </c>
      <c r="D14009" s="13" t="s">
        <v>83</v>
      </c>
      <c r="E14009" s="12" t="s">
        <v>35</v>
      </c>
      <c r="F14009" s="14">
        <v>80000</v>
      </c>
      <c r="G14009" s="14">
        <v>58000</v>
      </c>
      <c r="H14009" s="13" t="s">
        <v>26751</v>
      </c>
      <c r="I14009" s="40" t="s">
        <v>18</v>
      </c>
      <c r="J14009" s="40" t="str">
        <f>HYPERLINK("https://stock.pstatic.net/stock-research/company/2/20250227_company_120200000.pdf","PDF")</f>
        <v>PDF</v>
      </c>
      <c r="K14009" s="12" t="s">
        <v>26752</v>
      </c>
      <c r="L14009" s="20">
        <v>0.37931034482758619</v>
      </c>
    </row>
    <row r="14010" spans="1:12" x14ac:dyDescent="0.45">
      <c r="A14010" s="12" t="s">
        <v>26716</v>
      </c>
      <c r="B14010" s="12" t="s">
        <v>2346</v>
      </c>
      <c r="C14010" s="13" t="s">
        <v>2347</v>
      </c>
      <c r="D14010" s="13" t="s">
        <v>92</v>
      </c>
      <c r="E14010" s="12" t="s">
        <v>35</v>
      </c>
      <c r="F14010" s="14">
        <v>39000</v>
      </c>
      <c r="G14010" s="14">
        <v>26350</v>
      </c>
      <c r="H14010" s="13" t="s">
        <v>26753</v>
      </c>
      <c r="I14010" s="40" t="s">
        <v>18</v>
      </c>
      <c r="J14010" s="40" t="str">
        <f>HYPERLINK("https://stock.pstatic.net/stock-research/company/63/20250227_company_953703000.pdf","PDF")</f>
        <v>PDF</v>
      </c>
      <c r="K14010" s="12" t="s">
        <v>26754</v>
      </c>
      <c r="L14010" s="20">
        <v>0.48007590132827332</v>
      </c>
    </row>
    <row r="14011" spans="1:12" x14ac:dyDescent="0.45">
      <c r="A14011" s="12" t="s">
        <v>26716</v>
      </c>
      <c r="B14011" s="12" t="s">
        <v>740</v>
      </c>
      <c r="C14011" s="13" t="s">
        <v>741</v>
      </c>
      <c r="D14011" s="13" t="s">
        <v>34</v>
      </c>
      <c r="E14011" s="12" t="s">
        <v>35</v>
      </c>
      <c r="F14011" s="14">
        <v>225000</v>
      </c>
      <c r="G14011" s="14">
        <v>161600</v>
      </c>
      <c r="H14011" s="13" t="s">
        <v>26755</v>
      </c>
      <c r="I14011" s="40" t="s">
        <v>18</v>
      </c>
      <c r="J14011" s="40" t="str">
        <f>HYPERLINK("https://stock.pstatic.net/stock-research/company/61/20250227_company_877271000.pdf","PDF")</f>
        <v>PDF</v>
      </c>
      <c r="K14011" s="12" t="s">
        <v>26756</v>
      </c>
      <c r="L14011" s="20">
        <v>0.39232673267326729</v>
      </c>
    </row>
    <row r="14012" spans="1:12" x14ac:dyDescent="0.45">
      <c r="A14012" s="12" t="s">
        <v>26716</v>
      </c>
      <c r="B14012" s="12" t="s">
        <v>609</v>
      </c>
      <c r="C14012" s="13" t="s">
        <v>610</v>
      </c>
      <c r="D14012" s="13" t="s">
        <v>23</v>
      </c>
      <c r="E14012" s="12" t="s">
        <v>16</v>
      </c>
      <c r="F14012" s="14">
        <v>54000</v>
      </c>
      <c r="G14012" s="14">
        <v>39550</v>
      </c>
      <c r="H14012" s="13" t="s">
        <v>26757</v>
      </c>
      <c r="I14012" s="40" t="s">
        <v>18</v>
      </c>
      <c r="J14012" s="40" t="str">
        <f>HYPERLINK("https://stock.pstatic.net/stock-research/company/21/20250227_company_702662000.pdf","PDF")</f>
        <v>PDF</v>
      </c>
      <c r="K14012" s="12" t="s">
        <v>26758</v>
      </c>
      <c r="L14012" s="20">
        <v>0.36536030341340081</v>
      </c>
    </row>
    <row r="14013" spans="1:12" x14ac:dyDescent="0.45">
      <c r="A14013" s="12" t="s">
        <v>26716</v>
      </c>
      <c r="B14013" s="12" t="s">
        <v>16802</v>
      </c>
      <c r="C14013" s="13" t="s">
        <v>16803</v>
      </c>
      <c r="D14013" s="13" t="s">
        <v>23</v>
      </c>
      <c r="E14013" s="12" t="s">
        <v>16</v>
      </c>
      <c r="F14013" s="14">
        <v>9400</v>
      </c>
      <c r="G14013" s="14">
        <v>5970</v>
      </c>
      <c r="H14013" s="13" t="s">
        <v>26759</v>
      </c>
      <c r="I14013" s="40" t="s">
        <v>18</v>
      </c>
      <c r="J14013" s="40" t="str">
        <f>HYPERLINK("https://stock.pstatic.net/stock-research/company/21/20250227_company_947897000.pdf","PDF")</f>
        <v>PDF</v>
      </c>
      <c r="K14013" s="12" t="s">
        <v>26760</v>
      </c>
      <c r="L14013" s="20">
        <v>0.57453936348408707</v>
      </c>
    </row>
    <row r="14014" spans="1:12" x14ac:dyDescent="0.45">
      <c r="A14014" s="12" t="s">
        <v>26716</v>
      </c>
      <c r="B14014" s="12" t="s">
        <v>430</v>
      </c>
      <c r="C14014" s="13" t="s">
        <v>431</v>
      </c>
      <c r="D14014" s="13" t="s">
        <v>15</v>
      </c>
      <c r="E14014" s="12" t="s">
        <v>16</v>
      </c>
      <c r="F14014" s="14">
        <v>54000</v>
      </c>
      <c r="G14014" s="14">
        <v>37650</v>
      </c>
      <c r="H14014" s="13" t="s">
        <v>26761</v>
      </c>
      <c r="I14014" s="40" t="s">
        <v>18</v>
      </c>
      <c r="J14014" s="40" t="str">
        <f>HYPERLINK("https://stock.pstatic.net/stock-research/company/29/20250227_company_93404000.pdf","PDF")</f>
        <v>PDF</v>
      </c>
      <c r="K14014" s="12" t="s">
        <v>26762</v>
      </c>
      <c r="L14014" s="20">
        <v>0.43426294820717132</v>
      </c>
    </row>
    <row r="14015" spans="1:12" x14ac:dyDescent="0.45">
      <c r="A14015" s="12" t="s">
        <v>26716</v>
      </c>
      <c r="B14015" s="12" t="s">
        <v>22333</v>
      </c>
      <c r="C14015" s="13" t="s">
        <v>22334</v>
      </c>
      <c r="D14015" s="13" t="s">
        <v>53</v>
      </c>
      <c r="E14015" s="12" t="s">
        <v>16</v>
      </c>
      <c r="F14015" s="14">
        <v>74000</v>
      </c>
      <c r="G14015" s="14">
        <v>51300</v>
      </c>
      <c r="H14015" s="13" t="s">
        <v>26763</v>
      </c>
      <c r="I14015" s="40" t="s">
        <v>18</v>
      </c>
      <c r="J14015" s="40" t="str">
        <f>HYPERLINK("https://stock.pstatic.net/stock-research/company/40/20250227_company_75602000.pdf","PDF")</f>
        <v>PDF</v>
      </c>
      <c r="K14015" s="12" t="s">
        <v>26764</v>
      </c>
      <c r="L14015" s="20">
        <v>0.442495126705653</v>
      </c>
    </row>
    <row r="14016" spans="1:12" x14ac:dyDescent="0.45">
      <c r="A14016" s="12" t="s">
        <v>26765</v>
      </c>
      <c r="B14016" s="12" t="s">
        <v>691</v>
      </c>
      <c r="C14016" s="13" t="s">
        <v>20</v>
      </c>
      <c r="D14016" s="13" t="s">
        <v>276</v>
      </c>
      <c r="E14016" s="12" t="s">
        <v>16</v>
      </c>
      <c r="F14016" s="14">
        <v>240000</v>
      </c>
      <c r="G14016" s="14">
        <v>174100</v>
      </c>
      <c r="H14016" s="13" t="s">
        <v>26766</v>
      </c>
      <c r="I14016" s="40" t="s">
        <v>18</v>
      </c>
      <c r="J14016" s="40" t="str">
        <f>HYPERLINK("https://stock.pstatic.net/stock-research/company/66/20250226_company_702899000.pdf","PDF")</f>
        <v>PDF</v>
      </c>
      <c r="K14016" s="12" t="s">
        <v>26767</v>
      </c>
      <c r="L14016" s="20">
        <v>0.3785180930499713</v>
      </c>
    </row>
    <row r="14017" spans="1:12" x14ac:dyDescent="0.45">
      <c r="A14017" s="12" t="s">
        <v>26765</v>
      </c>
      <c r="B14017" s="12" t="s">
        <v>2414</v>
      </c>
      <c r="C14017" s="13" t="s">
        <v>2415</v>
      </c>
      <c r="D14017" s="13" t="s">
        <v>276</v>
      </c>
      <c r="E14017" s="12" t="s">
        <v>16</v>
      </c>
      <c r="F14017" s="14">
        <v>450000</v>
      </c>
      <c r="G14017" s="14">
        <v>363000</v>
      </c>
      <c r="H14017" s="13" t="s">
        <v>26768</v>
      </c>
      <c r="I14017" s="40" t="s">
        <v>18</v>
      </c>
      <c r="J14017" s="40" t="str">
        <f>HYPERLINK("https://stock.pstatic.net/stock-research/company/66/20250226_company_773743000.pdf","PDF")</f>
        <v>PDF</v>
      </c>
      <c r="K14017" s="12" t="s">
        <v>26769</v>
      </c>
      <c r="L14017" s="20">
        <v>0.23966942148760331</v>
      </c>
    </row>
    <row r="14018" spans="1:12" x14ac:dyDescent="0.45">
      <c r="A14018" s="12" t="s">
        <v>26765</v>
      </c>
      <c r="B14018" s="12" t="s">
        <v>1120</v>
      </c>
      <c r="C14018" s="13" t="s">
        <v>1121</v>
      </c>
      <c r="D14018" s="13" t="s">
        <v>276</v>
      </c>
      <c r="E14018" s="12" t="s">
        <v>16</v>
      </c>
      <c r="F14018" s="14">
        <v>150000</v>
      </c>
      <c r="G14018" s="14">
        <v>106800</v>
      </c>
      <c r="H14018" s="13" t="s">
        <v>26770</v>
      </c>
      <c r="I14018" s="40" t="s">
        <v>18</v>
      </c>
      <c r="J14018" s="40" t="str">
        <f>HYPERLINK("https://stock.pstatic.net/stock-research/company/66/20250226_company_96239000.pdf","PDF")</f>
        <v>PDF</v>
      </c>
      <c r="K14018" s="12" t="s">
        <v>26771</v>
      </c>
      <c r="L14018" s="20">
        <v>0.4044943820224719</v>
      </c>
    </row>
    <row r="14019" spans="1:12" x14ac:dyDescent="0.45">
      <c r="A14019" s="12" t="s">
        <v>26765</v>
      </c>
      <c r="B14019" s="12" t="s">
        <v>1120</v>
      </c>
      <c r="C14019" s="13" t="s">
        <v>1121</v>
      </c>
      <c r="D14019" s="13" t="s">
        <v>60</v>
      </c>
      <c r="E14019" s="12" t="s">
        <v>35</v>
      </c>
      <c r="F14019" s="14">
        <v>130000</v>
      </c>
      <c r="G14019" s="13"/>
      <c r="H14019" s="13" t="s">
        <v>26772</v>
      </c>
      <c r="I14019" s="40" t="s">
        <v>18</v>
      </c>
      <c r="J14019" s="40" t="str">
        <f>HYPERLINK("https://stock.pstatic.net/stock-research/company/62/20250226_company_291071000.pdf","PDF")</f>
        <v>PDF</v>
      </c>
      <c r="K14019" s="12" t="s">
        <v>26773</v>
      </c>
    </row>
    <row r="14020" spans="1:12" x14ac:dyDescent="0.45">
      <c r="A14020" s="12" t="s">
        <v>26765</v>
      </c>
      <c r="B14020" s="12" t="s">
        <v>756</v>
      </c>
      <c r="C14020" s="13" t="s">
        <v>757</v>
      </c>
      <c r="D14020" s="13" t="s">
        <v>60</v>
      </c>
      <c r="E14020" s="12" t="s">
        <v>35</v>
      </c>
      <c r="F14020" s="14">
        <v>110000</v>
      </c>
      <c r="G14020" s="14">
        <v>58000</v>
      </c>
      <c r="H14020" s="13" t="s">
        <v>26774</v>
      </c>
      <c r="I14020" s="40" t="s">
        <v>18</v>
      </c>
      <c r="J14020" s="40" t="str">
        <f>HYPERLINK("https://stock.pstatic.net/stock-research/company/1/20250226_company_747438000.pdf","PDF")</f>
        <v>PDF</v>
      </c>
      <c r="K14020" s="12" t="s">
        <v>26775</v>
      </c>
      <c r="L14020" s="20">
        <v>0.89655172413793105</v>
      </c>
    </row>
    <row r="14021" spans="1:12" x14ac:dyDescent="0.45">
      <c r="A14021" s="12" t="s">
        <v>26765</v>
      </c>
      <c r="B14021" s="12" t="s">
        <v>756</v>
      </c>
      <c r="C14021" s="13" t="s">
        <v>757</v>
      </c>
      <c r="D14021" s="13" t="s">
        <v>65</v>
      </c>
      <c r="E14021" s="12" t="s">
        <v>35</v>
      </c>
      <c r="F14021" s="14">
        <v>98000</v>
      </c>
      <c r="G14021" s="14">
        <v>58000</v>
      </c>
      <c r="H14021" s="13" t="s">
        <v>26776</v>
      </c>
      <c r="I14021" s="40" t="s">
        <v>18</v>
      </c>
      <c r="J14021" s="40" t="str">
        <f>HYPERLINK("https://stock.pstatic.net/stock-research/company/57/20250226_company_839543000.pdf","PDF")</f>
        <v>PDF</v>
      </c>
      <c r="K14021" s="12" t="s">
        <v>26777</v>
      </c>
      <c r="L14021" s="20">
        <v>0.68965517241379315</v>
      </c>
    </row>
    <row r="14022" spans="1:12" x14ac:dyDescent="0.45">
      <c r="A14022" s="12" t="s">
        <v>26765</v>
      </c>
      <c r="B14022" s="12" t="s">
        <v>3105</v>
      </c>
      <c r="C14022" s="13" t="s">
        <v>3106</v>
      </c>
      <c r="D14022" s="13" t="s">
        <v>65</v>
      </c>
      <c r="E14022" s="12" t="s">
        <v>35</v>
      </c>
      <c r="F14022" s="14">
        <v>310000</v>
      </c>
      <c r="G14022" s="14">
        <v>251000</v>
      </c>
      <c r="H14022" s="13" t="s">
        <v>26778</v>
      </c>
      <c r="I14022" s="40" t="s">
        <v>18</v>
      </c>
      <c r="J14022" s="40" t="str">
        <f>HYPERLINK("https://stock.pstatic.net/stock-research/company/57/20250226_company_502932000.pdf","PDF")</f>
        <v>PDF</v>
      </c>
      <c r="K14022" s="12" t="s">
        <v>26779</v>
      </c>
      <c r="L14022" s="20">
        <v>0.23505976095617531</v>
      </c>
    </row>
    <row r="14023" spans="1:12" x14ac:dyDescent="0.45">
      <c r="A14023" s="12" t="s">
        <v>26765</v>
      </c>
      <c r="B14023" s="12" t="s">
        <v>3105</v>
      </c>
      <c r="C14023" s="13" t="s">
        <v>3106</v>
      </c>
      <c r="D14023" s="13" t="s">
        <v>57</v>
      </c>
      <c r="E14023" s="12" t="s">
        <v>35</v>
      </c>
      <c r="F14023" s="14">
        <v>320000</v>
      </c>
      <c r="G14023" s="14">
        <v>251000</v>
      </c>
      <c r="H14023" s="13" t="s">
        <v>26780</v>
      </c>
      <c r="I14023" s="40" t="s">
        <v>18</v>
      </c>
      <c r="J14023" s="40" t="str">
        <f>HYPERLINK("https://stock.pstatic.net/stock-research/company/16/20250226_company_675306000.pdf","PDF")</f>
        <v>PDF</v>
      </c>
      <c r="K14023" s="12" t="s">
        <v>26781</v>
      </c>
      <c r="L14023" s="20">
        <v>0.27490039840637448</v>
      </c>
    </row>
    <row r="14024" spans="1:12" x14ac:dyDescent="0.45">
      <c r="A14024" s="12" t="s">
        <v>26765</v>
      </c>
      <c r="B14024" s="12" t="s">
        <v>3105</v>
      </c>
      <c r="C14024" s="13" t="s">
        <v>3106</v>
      </c>
      <c r="D14024" s="13" t="s">
        <v>158</v>
      </c>
      <c r="E14024" s="12" t="s">
        <v>35</v>
      </c>
      <c r="F14024" s="14">
        <v>300000</v>
      </c>
      <c r="G14024" s="14">
        <v>251000</v>
      </c>
      <c r="H14024" s="13" t="s">
        <v>26782</v>
      </c>
      <c r="I14024" s="40" t="s">
        <v>18</v>
      </c>
      <c r="J14024" s="40" t="str">
        <f>HYPERLINK("https://stock.pstatic.net/stock-research/company/1/20250226_company_728472000.pdf","PDF")</f>
        <v>PDF</v>
      </c>
      <c r="K14024" s="12" t="s">
        <v>26783</v>
      </c>
      <c r="L14024" s="20">
        <v>0.19521912350597609</v>
      </c>
    </row>
    <row r="14025" spans="1:12" x14ac:dyDescent="0.45">
      <c r="A14025" s="12" t="s">
        <v>26765</v>
      </c>
      <c r="B14025" s="12" t="s">
        <v>2105</v>
      </c>
      <c r="C14025" s="13" t="s">
        <v>2106</v>
      </c>
      <c r="D14025" s="13" t="s">
        <v>158</v>
      </c>
      <c r="E14025" s="12" t="s">
        <v>35</v>
      </c>
      <c r="F14025" s="14">
        <v>90000</v>
      </c>
      <c r="G14025" s="14">
        <v>61100</v>
      </c>
      <c r="H14025" s="13" t="s">
        <v>26784</v>
      </c>
      <c r="I14025" s="40" t="s">
        <v>18</v>
      </c>
      <c r="J14025" s="40" t="str">
        <f>HYPERLINK("https://stock.pstatic.net/stock-research/company/18/20250226_company_552869000.pdf","PDF")</f>
        <v>PDF</v>
      </c>
      <c r="K14025" s="12" t="s">
        <v>26785</v>
      </c>
      <c r="L14025" s="20">
        <v>0.47299509001636658</v>
      </c>
    </row>
    <row r="14026" spans="1:12" x14ac:dyDescent="0.45">
      <c r="A14026" s="12" t="s">
        <v>26765</v>
      </c>
      <c r="B14026" s="12" t="s">
        <v>691</v>
      </c>
      <c r="C14026" s="13" t="s">
        <v>20</v>
      </c>
      <c r="D14026" s="13" t="s">
        <v>158</v>
      </c>
      <c r="E14026" s="12" t="s">
        <v>35</v>
      </c>
      <c r="F14026" s="14">
        <v>240000</v>
      </c>
      <c r="G14026" s="14">
        <v>174100</v>
      </c>
      <c r="H14026" s="13" t="s">
        <v>26786</v>
      </c>
      <c r="I14026" s="40" t="s">
        <v>18</v>
      </c>
      <c r="J14026" s="40" t="str">
        <f>HYPERLINK("https://stock.pstatic.net/stock-research/company/1/20250226_company_713558000.pdf","PDF")</f>
        <v>PDF</v>
      </c>
      <c r="K14026" s="12" t="s">
        <v>26787</v>
      </c>
      <c r="L14026" s="20">
        <v>0.3785180930499713</v>
      </c>
    </row>
    <row r="14027" spans="1:12" x14ac:dyDescent="0.45">
      <c r="A14027" s="12" t="s">
        <v>26765</v>
      </c>
      <c r="B14027" s="12" t="s">
        <v>3164</v>
      </c>
      <c r="C14027" s="13" t="s">
        <v>3165</v>
      </c>
      <c r="D14027" s="13" t="s">
        <v>34</v>
      </c>
      <c r="E14027" s="12" t="s">
        <v>35</v>
      </c>
      <c r="F14027" s="14">
        <v>42000</v>
      </c>
      <c r="G14027" s="14">
        <v>35300</v>
      </c>
      <c r="H14027" s="13" t="s">
        <v>26788</v>
      </c>
      <c r="I14027" s="40" t="s">
        <v>18</v>
      </c>
      <c r="J14027" s="40" t="str">
        <f>HYPERLINK("https://stock.pstatic.net/stock-research/company/61/20250226_company_176701000.pdf","PDF")</f>
        <v>PDF</v>
      </c>
      <c r="K14027" s="12" t="s">
        <v>26789</v>
      </c>
      <c r="L14027" s="20">
        <v>0.1898016997167139</v>
      </c>
    </row>
    <row r="14028" spans="1:12" x14ac:dyDescent="0.45">
      <c r="A14028" s="12" t="s">
        <v>26765</v>
      </c>
      <c r="B14028" s="12" t="s">
        <v>1120</v>
      </c>
      <c r="C14028" s="13" t="s">
        <v>1121</v>
      </c>
      <c r="D14028" s="13" t="s">
        <v>34</v>
      </c>
      <c r="E14028" s="12" t="s">
        <v>35</v>
      </c>
      <c r="F14028" s="14">
        <v>160000</v>
      </c>
      <c r="G14028" s="14">
        <v>106800</v>
      </c>
      <c r="H14028" s="13" t="s">
        <v>26790</v>
      </c>
      <c r="I14028" s="40" t="s">
        <v>18</v>
      </c>
      <c r="J14028" s="40" t="str">
        <f>HYPERLINK("https://stock.pstatic.net/stock-research/company/61/20250226_company_477655000.pdf","PDF")</f>
        <v>PDF</v>
      </c>
      <c r="K14028" s="12" t="s">
        <v>26791</v>
      </c>
      <c r="L14028" s="20">
        <v>0.49812734082396998</v>
      </c>
    </row>
    <row r="14029" spans="1:12" x14ac:dyDescent="0.45">
      <c r="A14029" s="12" t="s">
        <v>26765</v>
      </c>
      <c r="B14029" s="12" t="s">
        <v>3105</v>
      </c>
      <c r="C14029" s="13" t="s">
        <v>3106</v>
      </c>
      <c r="D14029" s="13" t="s">
        <v>15</v>
      </c>
      <c r="E14029" s="12" t="s">
        <v>16</v>
      </c>
      <c r="F14029" s="14">
        <v>310000</v>
      </c>
      <c r="G14029" s="14">
        <v>251000</v>
      </c>
      <c r="H14029" s="13" t="s">
        <v>26792</v>
      </c>
      <c r="I14029" s="40" t="s">
        <v>18</v>
      </c>
      <c r="J14029" s="40" t="str">
        <f>HYPERLINK("https://stock.pstatic.net/stock-research/company/29/20250226_company_241908000.pdf","PDF")</f>
        <v>PDF</v>
      </c>
      <c r="K14029" s="12" t="s">
        <v>26793</v>
      </c>
      <c r="L14029" s="20">
        <v>0.23505976095617531</v>
      </c>
    </row>
    <row r="14030" spans="1:12" x14ac:dyDescent="0.45">
      <c r="A14030" s="12" t="s">
        <v>26765</v>
      </c>
      <c r="B14030" s="12" t="s">
        <v>904</v>
      </c>
      <c r="C14030" s="13" t="s">
        <v>905</v>
      </c>
      <c r="D14030" s="13" t="s">
        <v>23</v>
      </c>
      <c r="E14030" s="12" t="s">
        <v>50</v>
      </c>
      <c r="F14030" s="13"/>
      <c r="G14030" s="14">
        <v>53800</v>
      </c>
      <c r="H14030" s="13" t="s">
        <v>26794</v>
      </c>
      <c r="I14030" s="40" t="s">
        <v>18</v>
      </c>
      <c r="J14030" s="40" t="str">
        <f>HYPERLINK("https://stock.pstatic.net/stock-research/company/21/20250226_company_985784000.pdf","PDF")</f>
        <v>PDF</v>
      </c>
      <c r="K14030" s="12" t="s">
        <v>26795</v>
      </c>
    </row>
    <row r="14031" spans="1:12" x14ac:dyDescent="0.45">
      <c r="A14031" s="12" t="s">
        <v>26765</v>
      </c>
      <c r="B14031" s="12" t="s">
        <v>756</v>
      </c>
      <c r="C14031" s="13" t="s">
        <v>757</v>
      </c>
      <c r="D14031" s="13" t="s">
        <v>92</v>
      </c>
      <c r="E14031" s="12" t="s">
        <v>35</v>
      </c>
      <c r="F14031" s="14">
        <v>96000</v>
      </c>
      <c r="G14031" s="14">
        <v>58000</v>
      </c>
      <c r="H14031" s="13" t="s">
        <v>26796</v>
      </c>
      <c r="I14031" s="40" t="s">
        <v>18</v>
      </c>
      <c r="J14031" s="40" t="str">
        <f>HYPERLINK("https://stock.pstatic.net/stock-research/company/63/20250226_company_822927000.pdf","PDF")</f>
        <v>PDF</v>
      </c>
      <c r="K14031" s="12" t="s">
        <v>26797</v>
      </c>
      <c r="L14031" s="20">
        <v>0.65517241379310343</v>
      </c>
    </row>
    <row r="14032" spans="1:12" x14ac:dyDescent="0.45">
      <c r="A14032" s="12" t="s">
        <v>26765</v>
      </c>
      <c r="B14032" s="12" t="s">
        <v>1120</v>
      </c>
      <c r="C14032" s="13" t="s">
        <v>1121</v>
      </c>
      <c r="D14032" s="13" t="s">
        <v>53</v>
      </c>
      <c r="E14032" s="12" t="s">
        <v>16</v>
      </c>
      <c r="F14032" s="14">
        <v>145000</v>
      </c>
      <c r="G14032" s="14">
        <v>106800</v>
      </c>
      <c r="H14032" s="13" t="s">
        <v>26798</v>
      </c>
      <c r="I14032" s="40" t="s">
        <v>18</v>
      </c>
      <c r="J14032" s="40" t="str">
        <f>HYPERLINK("https://stock.pstatic.net/stock-research/company/40/20250226_company_756620000.pdf","PDF")</f>
        <v>PDF</v>
      </c>
      <c r="K14032" s="12" t="s">
        <v>26799</v>
      </c>
      <c r="L14032" s="20">
        <v>0.35767790262172278</v>
      </c>
    </row>
    <row r="14033" spans="1:12" x14ac:dyDescent="0.45">
      <c r="A14033" s="12" t="s">
        <v>26765</v>
      </c>
      <c r="B14033" s="12" t="s">
        <v>691</v>
      </c>
      <c r="C14033" s="13" t="s">
        <v>20</v>
      </c>
      <c r="D14033" s="13" t="s">
        <v>92</v>
      </c>
      <c r="E14033" s="12" t="s">
        <v>35</v>
      </c>
      <c r="F14033" s="14">
        <v>250000</v>
      </c>
      <c r="G14033" s="14">
        <v>174100</v>
      </c>
      <c r="H14033" s="13" t="s">
        <v>26800</v>
      </c>
      <c r="I14033" s="40" t="s">
        <v>18</v>
      </c>
      <c r="J14033" s="40" t="str">
        <f>HYPERLINK("https://stock.pstatic.net/stock-research/company/63/20250226_company_660658000.pdf","PDF")</f>
        <v>PDF</v>
      </c>
      <c r="K14033" s="12" t="s">
        <v>26801</v>
      </c>
      <c r="L14033" s="20">
        <v>0.43595634692705337</v>
      </c>
    </row>
    <row r="14034" spans="1:12" x14ac:dyDescent="0.45">
      <c r="A14034" s="12" t="s">
        <v>26765</v>
      </c>
      <c r="B14034" s="12" t="s">
        <v>10796</v>
      </c>
      <c r="C14034" s="13" t="s">
        <v>10797</v>
      </c>
      <c r="D14034" s="13" t="s">
        <v>23</v>
      </c>
      <c r="E14034" s="12" t="s">
        <v>16</v>
      </c>
      <c r="F14034" s="14">
        <v>28000</v>
      </c>
      <c r="G14034" s="14">
        <v>18320</v>
      </c>
      <c r="H14034" s="13" t="s">
        <v>26802</v>
      </c>
      <c r="I14034" s="40" t="s">
        <v>18</v>
      </c>
      <c r="J14034" s="40" t="str">
        <f>HYPERLINK("https://stock.pstatic.net/stock-research/company/21/20250226_company_619789000.pdf","PDF")</f>
        <v>PDF</v>
      </c>
      <c r="K14034" s="12" t="s">
        <v>26803</v>
      </c>
      <c r="L14034" s="20">
        <v>0.52838427947598254</v>
      </c>
    </row>
    <row r="14035" spans="1:12" x14ac:dyDescent="0.45">
      <c r="A14035" s="12" t="s">
        <v>26765</v>
      </c>
      <c r="B14035" s="12" t="s">
        <v>691</v>
      </c>
      <c r="C14035" s="13" t="s">
        <v>20</v>
      </c>
      <c r="D14035" s="13" t="s">
        <v>179</v>
      </c>
      <c r="E14035" s="12" t="s">
        <v>16</v>
      </c>
      <c r="F14035" s="14">
        <v>230000</v>
      </c>
      <c r="G14035" s="14">
        <v>174100</v>
      </c>
      <c r="H14035" s="13" t="s">
        <v>26804</v>
      </c>
      <c r="I14035" s="40" t="s">
        <v>18</v>
      </c>
      <c r="J14035" s="40" t="str">
        <f>HYPERLINK("https://stock.pstatic.net/stock-research/company/31/20250226_company_635400000.pdf","PDF")</f>
        <v>PDF</v>
      </c>
      <c r="K14035" s="12" t="s">
        <v>26805</v>
      </c>
      <c r="L14035" s="20">
        <v>0.32107983917288913</v>
      </c>
    </row>
    <row r="14036" spans="1:12" x14ac:dyDescent="0.45">
      <c r="A14036" s="12" t="s">
        <v>26765</v>
      </c>
      <c r="B14036" s="12" t="s">
        <v>6347</v>
      </c>
      <c r="C14036" s="13" t="s">
        <v>6348</v>
      </c>
      <c r="D14036" s="13" t="s">
        <v>23</v>
      </c>
      <c r="E14036" s="12" t="s">
        <v>16</v>
      </c>
      <c r="F14036" s="14">
        <v>36000</v>
      </c>
      <c r="G14036" s="14">
        <v>26300</v>
      </c>
      <c r="H14036" s="13" t="s">
        <v>26806</v>
      </c>
      <c r="I14036" s="40" t="s">
        <v>18</v>
      </c>
      <c r="J14036" s="40" t="str">
        <f>HYPERLINK("https://stock.pstatic.net/stock-research/company/21/20250226_company_55013000.pdf","PDF")</f>
        <v>PDF</v>
      </c>
      <c r="K14036" s="12" t="s">
        <v>26807</v>
      </c>
      <c r="L14036" s="20">
        <v>0.36882129277566539</v>
      </c>
    </row>
    <row r="14037" spans="1:12" x14ac:dyDescent="0.45">
      <c r="A14037" s="12" t="s">
        <v>26765</v>
      </c>
      <c r="B14037" s="12" t="s">
        <v>985</v>
      </c>
      <c r="C14037" s="13" t="s">
        <v>986</v>
      </c>
      <c r="D14037" s="13" t="s">
        <v>92</v>
      </c>
      <c r="E14037" s="12" t="s">
        <v>35</v>
      </c>
      <c r="F14037" s="14">
        <v>6000</v>
      </c>
      <c r="G14037" s="14">
        <v>4015</v>
      </c>
      <c r="H14037" s="13" t="s">
        <v>26808</v>
      </c>
      <c r="I14037" s="40" t="s">
        <v>18</v>
      </c>
      <c r="J14037" s="40" t="str">
        <f>HYPERLINK("https://stock.pstatic.net/stock-research/company/1/20250226_company_738918000.pdf","PDF")</f>
        <v>PDF</v>
      </c>
      <c r="K14037" s="12" t="s">
        <v>26809</v>
      </c>
      <c r="L14037" s="20">
        <v>0.49439601494396013</v>
      </c>
    </row>
    <row r="14038" spans="1:12" x14ac:dyDescent="0.45">
      <c r="A14038" s="12" t="s">
        <v>26765</v>
      </c>
      <c r="B14038" s="12" t="s">
        <v>1912</v>
      </c>
      <c r="C14038" s="13" t="s">
        <v>7834</v>
      </c>
      <c r="D14038" s="13" t="s">
        <v>179</v>
      </c>
      <c r="E14038" s="12" t="s">
        <v>50</v>
      </c>
      <c r="F14038" s="13"/>
      <c r="G14038" s="14">
        <v>13800</v>
      </c>
      <c r="H14038" s="13" t="s">
        <v>26810</v>
      </c>
      <c r="I14038" s="40" t="s">
        <v>18</v>
      </c>
      <c r="J14038" s="40" t="str">
        <f>HYPERLINK("https://stock.pstatic.net/stock-research/company/31/20250226_company_801527000.pdf","PDF")</f>
        <v>PDF</v>
      </c>
      <c r="K14038" s="12" t="s">
        <v>26811</v>
      </c>
    </row>
    <row r="14039" spans="1:12" x14ac:dyDescent="0.45">
      <c r="A14039" s="12" t="s">
        <v>26765</v>
      </c>
      <c r="B14039" s="12" t="s">
        <v>2170</v>
      </c>
      <c r="C14039" s="13" t="s">
        <v>2171</v>
      </c>
      <c r="D14039" s="13" t="s">
        <v>53</v>
      </c>
      <c r="E14039" s="12" t="s">
        <v>16</v>
      </c>
      <c r="F14039" s="14">
        <v>20000</v>
      </c>
      <c r="G14039" s="14">
        <v>11170</v>
      </c>
      <c r="H14039" s="13" t="s">
        <v>26812</v>
      </c>
      <c r="I14039" s="40" t="s">
        <v>18</v>
      </c>
      <c r="J14039" s="40" t="str">
        <f>HYPERLINK("https://stock.pstatic.net/stock-research/company/40/20250226_company_479752000.pdf","PDF")</f>
        <v>PDF</v>
      </c>
      <c r="K14039" s="12" t="s">
        <v>26813</v>
      </c>
      <c r="L14039" s="20">
        <v>0.79051029543419871</v>
      </c>
    </row>
    <row r="14040" spans="1:12" x14ac:dyDescent="0.45">
      <c r="A14040" s="12" t="s">
        <v>26765</v>
      </c>
      <c r="B14040" s="12" t="s">
        <v>98</v>
      </c>
      <c r="C14040" s="13" t="s">
        <v>99</v>
      </c>
      <c r="D14040" s="13" t="s">
        <v>44</v>
      </c>
      <c r="E14040" s="12" t="s">
        <v>45</v>
      </c>
      <c r="F14040" s="14">
        <v>24000</v>
      </c>
      <c r="G14040" s="14">
        <v>20500</v>
      </c>
      <c r="H14040" s="13" t="s">
        <v>26814</v>
      </c>
      <c r="I14040" s="40" t="s">
        <v>18</v>
      </c>
      <c r="J14040" s="40" t="str">
        <f>HYPERLINK("https://stock.pstatic.net/stock-research/company/39/20250226_company_293340000.pdf","PDF")</f>
        <v>PDF</v>
      </c>
      <c r="K14040" s="12" t="s">
        <v>26815</v>
      </c>
      <c r="L14040" s="20">
        <v>0.17073170731707321</v>
      </c>
    </row>
    <row r="14041" spans="1:12" x14ac:dyDescent="0.45">
      <c r="A14041" s="12" t="s">
        <v>26765</v>
      </c>
      <c r="B14041" s="12" t="s">
        <v>3105</v>
      </c>
      <c r="C14041" s="13" t="s">
        <v>3106</v>
      </c>
      <c r="D14041" s="13" t="s">
        <v>53</v>
      </c>
      <c r="E14041" s="12" t="s">
        <v>16</v>
      </c>
      <c r="F14041" s="14">
        <v>320000</v>
      </c>
      <c r="G14041" s="14">
        <v>251000</v>
      </c>
      <c r="H14041" s="13" t="s">
        <v>26816</v>
      </c>
      <c r="I14041" s="40" t="s">
        <v>18</v>
      </c>
      <c r="J14041" s="40" t="str">
        <f>HYPERLINK("https://stock.pstatic.net/stock-research/company/40/20250226_company_741184000.pdf","PDF")</f>
        <v>PDF</v>
      </c>
      <c r="K14041" s="12" t="s">
        <v>26817</v>
      </c>
      <c r="L14041" s="20">
        <v>0.27490039840637448</v>
      </c>
    </row>
    <row r="14042" spans="1:12" x14ac:dyDescent="0.45">
      <c r="A14042" s="12" t="s">
        <v>26765</v>
      </c>
      <c r="B14042" s="12" t="s">
        <v>3105</v>
      </c>
      <c r="C14042" s="13" t="s">
        <v>3106</v>
      </c>
      <c r="D14042" s="13" t="s">
        <v>92</v>
      </c>
      <c r="E14042" s="12" t="s">
        <v>35</v>
      </c>
      <c r="F14042" s="14">
        <v>300000</v>
      </c>
      <c r="G14042" s="14">
        <v>251000</v>
      </c>
      <c r="H14042" s="13" t="s">
        <v>26818</v>
      </c>
      <c r="I14042" s="40" t="s">
        <v>18</v>
      </c>
      <c r="J14042" s="40" t="str">
        <f>HYPERLINK("https://stock.pstatic.net/stock-research/company/63/20250226_company_865778000.pdf","PDF")</f>
        <v>PDF</v>
      </c>
      <c r="K14042" s="12" t="s">
        <v>26819</v>
      </c>
      <c r="L14042" s="20">
        <v>0.19521912350597609</v>
      </c>
    </row>
    <row r="14043" spans="1:12" x14ac:dyDescent="0.45">
      <c r="A14043" s="12" t="s">
        <v>26765</v>
      </c>
      <c r="B14043" s="12" t="s">
        <v>836</v>
      </c>
      <c r="C14043" s="13" t="s">
        <v>837</v>
      </c>
      <c r="D14043" s="13" t="s">
        <v>179</v>
      </c>
      <c r="E14043" s="12" t="s">
        <v>16</v>
      </c>
      <c r="F14043" s="14">
        <v>125000</v>
      </c>
      <c r="G14043" s="14">
        <v>94800</v>
      </c>
      <c r="H14043" s="13" t="s">
        <v>26820</v>
      </c>
      <c r="I14043" s="40" t="s">
        <v>18</v>
      </c>
      <c r="J14043" s="40" t="str">
        <f>HYPERLINK("https://stock.pstatic.net/stock-research/company/31/20250226_company_594639000.pdf","PDF")</f>
        <v>PDF</v>
      </c>
      <c r="K14043" s="12" t="s">
        <v>26821</v>
      </c>
      <c r="L14043" s="20">
        <v>0.31856540084388191</v>
      </c>
    </row>
    <row r="14044" spans="1:12" x14ac:dyDescent="0.45">
      <c r="A14044" s="12" t="s">
        <v>26765</v>
      </c>
      <c r="B14044" s="12" t="s">
        <v>1120</v>
      </c>
      <c r="C14044" s="13" t="s">
        <v>1121</v>
      </c>
      <c r="D14044" s="13" t="s">
        <v>92</v>
      </c>
      <c r="E14044" s="12" t="s">
        <v>35</v>
      </c>
      <c r="F14044" s="14">
        <v>147000</v>
      </c>
      <c r="G14044" s="14">
        <v>106800</v>
      </c>
      <c r="H14044" s="13" t="s">
        <v>26822</v>
      </c>
      <c r="I14044" s="40" t="s">
        <v>18</v>
      </c>
      <c r="J14044" s="40" t="str">
        <f>HYPERLINK("https://stock.pstatic.net/stock-research/company/1/20250226_company_468632000.pdf","PDF")</f>
        <v>PDF</v>
      </c>
      <c r="K14044" s="12" t="s">
        <v>26823</v>
      </c>
      <c r="L14044" s="20">
        <v>0.37640449438202239</v>
      </c>
    </row>
    <row r="14045" spans="1:12" x14ac:dyDescent="0.45">
      <c r="A14045" s="12" t="s">
        <v>26824</v>
      </c>
      <c r="B14045" s="12" t="s">
        <v>76</v>
      </c>
      <c r="C14045" s="13" t="s">
        <v>77</v>
      </c>
      <c r="D14045" s="13" t="s">
        <v>15</v>
      </c>
      <c r="E14045" s="12" t="s">
        <v>16</v>
      </c>
      <c r="F14045" s="14">
        <v>25000</v>
      </c>
      <c r="G14045" s="14">
        <v>20000</v>
      </c>
      <c r="H14045" s="13" t="s">
        <v>26825</v>
      </c>
      <c r="I14045" s="40" t="s">
        <v>18</v>
      </c>
      <c r="J14045" s="40" t="str">
        <f>HYPERLINK("https://stock.pstatic.net/stock-research/company/29/20250225_company_63550000.pdf","PDF")</f>
        <v>PDF</v>
      </c>
      <c r="K14045" s="12" t="s">
        <v>26826</v>
      </c>
      <c r="L14045" s="20">
        <v>0.25</v>
      </c>
    </row>
    <row r="14046" spans="1:12" x14ac:dyDescent="0.45">
      <c r="A14046" s="12" t="s">
        <v>26824</v>
      </c>
      <c r="B14046" s="12" t="s">
        <v>768</v>
      </c>
      <c r="C14046" s="13" t="s">
        <v>769</v>
      </c>
      <c r="D14046" s="13" t="s">
        <v>15</v>
      </c>
      <c r="E14046" s="12" t="s">
        <v>16</v>
      </c>
      <c r="F14046" s="14">
        <v>200000</v>
      </c>
      <c r="G14046" s="14">
        <v>153700</v>
      </c>
      <c r="H14046" s="13" t="s">
        <v>26827</v>
      </c>
      <c r="I14046" s="40" t="s">
        <v>18</v>
      </c>
      <c r="J14046" s="40" t="str">
        <f>HYPERLINK("https://stock.pstatic.net/stock-research/company/29/20250225_company_369242000.pdf","PDF")</f>
        <v>PDF</v>
      </c>
      <c r="K14046" s="12" t="s">
        <v>26828</v>
      </c>
      <c r="L14046" s="20">
        <v>0.30123617436564742</v>
      </c>
    </row>
    <row r="14047" spans="1:12" x14ac:dyDescent="0.45">
      <c r="A14047" s="12" t="s">
        <v>26824</v>
      </c>
      <c r="B14047" s="12" t="s">
        <v>2449</v>
      </c>
      <c r="C14047" s="13" t="s">
        <v>2450</v>
      </c>
      <c r="D14047" s="13" t="s">
        <v>276</v>
      </c>
      <c r="E14047" s="12" t="s">
        <v>16</v>
      </c>
      <c r="F14047" s="14">
        <v>6000</v>
      </c>
      <c r="G14047" s="14">
        <v>3360</v>
      </c>
      <c r="H14047" s="13" t="s">
        <v>26829</v>
      </c>
      <c r="I14047" s="40" t="s">
        <v>18</v>
      </c>
      <c r="J14047" s="40" t="str">
        <f>HYPERLINK("https://stock.pstatic.net/stock-research/company/66/20250225_company_37610000.pdf","PDF")</f>
        <v>PDF</v>
      </c>
      <c r="K14047" s="12" t="s">
        <v>26830</v>
      </c>
      <c r="L14047" s="20">
        <v>0.7857142857142857</v>
      </c>
    </row>
    <row r="14048" spans="1:12" x14ac:dyDescent="0.45">
      <c r="A14048" s="12" t="s">
        <v>26824</v>
      </c>
      <c r="B14048" s="12" t="s">
        <v>768</v>
      </c>
      <c r="C14048" s="13" t="s">
        <v>769</v>
      </c>
      <c r="D14048" s="13" t="s">
        <v>60</v>
      </c>
      <c r="E14048" s="12" t="s">
        <v>35</v>
      </c>
      <c r="F14048" s="14">
        <v>220000</v>
      </c>
      <c r="G14048" s="14">
        <v>153700</v>
      </c>
      <c r="H14048" s="13" t="s">
        <v>26831</v>
      </c>
      <c r="I14048" s="40" t="s">
        <v>18</v>
      </c>
      <c r="J14048" s="40" t="str">
        <f>HYPERLINK("https://stock.pstatic.net/stock-research/company/34/20250225_company_221760000.pdf","PDF")</f>
        <v>PDF</v>
      </c>
      <c r="K14048" s="12" t="s">
        <v>26832</v>
      </c>
      <c r="L14048" s="20">
        <v>0.43135979180221212</v>
      </c>
    </row>
    <row r="14049" spans="1:12" x14ac:dyDescent="0.45">
      <c r="A14049" s="12" t="s">
        <v>26824</v>
      </c>
      <c r="B14049" s="12" t="s">
        <v>768</v>
      </c>
      <c r="C14049" s="13" t="s">
        <v>769</v>
      </c>
      <c r="D14049" s="13" t="s">
        <v>65</v>
      </c>
      <c r="E14049" s="12" t="s">
        <v>35</v>
      </c>
      <c r="F14049" s="14">
        <v>220000</v>
      </c>
      <c r="G14049" s="14">
        <v>153700</v>
      </c>
      <c r="H14049" s="13" t="s">
        <v>26833</v>
      </c>
      <c r="I14049" s="40" t="s">
        <v>18</v>
      </c>
      <c r="J14049" s="40" t="str">
        <f>HYPERLINK("https://stock.pstatic.net/stock-research/company/57/20250225_company_717765000.pdf","PDF")</f>
        <v>PDF</v>
      </c>
      <c r="K14049" s="12" t="s">
        <v>26834</v>
      </c>
      <c r="L14049" s="20">
        <v>0.43135979180221212</v>
      </c>
    </row>
    <row r="14050" spans="1:12" x14ac:dyDescent="0.45">
      <c r="A14050" s="12" t="s">
        <v>26824</v>
      </c>
      <c r="B14050" s="12" t="s">
        <v>2801</v>
      </c>
      <c r="C14050" s="13" t="s">
        <v>2802</v>
      </c>
      <c r="D14050" s="13" t="s">
        <v>65</v>
      </c>
      <c r="E14050" s="12" t="s">
        <v>35</v>
      </c>
      <c r="F14050" s="14">
        <v>33000</v>
      </c>
      <c r="G14050" s="14">
        <v>23550</v>
      </c>
      <c r="H14050" s="13" t="s">
        <v>26835</v>
      </c>
      <c r="I14050" s="40" t="s">
        <v>18</v>
      </c>
      <c r="J14050" s="40" t="str">
        <f>HYPERLINK("https://stock.pstatic.net/stock-research/company/57/20250225_company_279815000.pdf","PDF")</f>
        <v>PDF</v>
      </c>
      <c r="K14050" s="12" t="s">
        <v>26836</v>
      </c>
      <c r="L14050" s="20">
        <v>0.40127388535031849</v>
      </c>
    </row>
    <row r="14051" spans="1:12" x14ac:dyDescent="0.45">
      <c r="A14051" s="12" t="s">
        <v>26824</v>
      </c>
      <c r="B14051" s="12" t="s">
        <v>511</v>
      </c>
      <c r="C14051" s="13" t="s">
        <v>512</v>
      </c>
      <c r="D14051" s="13" t="s">
        <v>65</v>
      </c>
      <c r="E14051" s="12" t="s">
        <v>35</v>
      </c>
      <c r="F14051" s="14">
        <v>110000</v>
      </c>
      <c r="G14051" s="14">
        <v>80800</v>
      </c>
      <c r="H14051" s="13" t="s">
        <v>26837</v>
      </c>
      <c r="I14051" s="40" t="s">
        <v>18</v>
      </c>
      <c r="J14051" s="40" t="str">
        <f>HYPERLINK("https://stock.pstatic.net/stock-research/company/57/20250225_company_173818000.pdf","PDF")</f>
        <v>PDF</v>
      </c>
      <c r="K14051" s="12" t="s">
        <v>26838</v>
      </c>
      <c r="L14051" s="20">
        <v>0.36138613861386137</v>
      </c>
    </row>
    <row r="14052" spans="1:12" x14ac:dyDescent="0.45">
      <c r="A14052" s="12" t="s">
        <v>26824</v>
      </c>
      <c r="B14052" s="12" t="s">
        <v>677</v>
      </c>
      <c r="C14052" s="13" t="s">
        <v>678</v>
      </c>
      <c r="D14052" s="13" t="s">
        <v>65</v>
      </c>
      <c r="E14052" s="12" t="s">
        <v>35</v>
      </c>
      <c r="F14052" s="14">
        <v>17000</v>
      </c>
      <c r="G14052" s="14">
        <v>12760</v>
      </c>
      <c r="H14052" s="13" t="s">
        <v>26839</v>
      </c>
      <c r="I14052" s="40" t="s">
        <v>18</v>
      </c>
      <c r="J14052" s="40" t="str">
        <f>HYPERLINK("https://stock.pstatic.net/stock-research/company/57/20250225_company_202274000.pdf","PDF")</f>
        <v>PDF</v>
      </c>
      <c r="K14052" s="12" t="s">
        <v>26840</v>
      </c>
      <c r="L14052" s="20">
        <v>0.33228840125391851</v>
      </c>
    </row>
    <row r="14053" spans="1:12" x14ac:dyDescent="0.45">
      <c r="A14053" s="12" t="s">
        <v>26824</v>
      </c>
      <c r="B14053" s="12" t="s">
        <v>768</v>
      </c>
      <c r="C14053" s="13" t="s">
        <v>769</v>
      </c>
      <c r="D14053" s="13" t="s">
        <v>92</v>
      </c>
      <c r="E14053" s="12" t="s">
        <v>35</v>
      </c>
      <c r="F14053" s="14">
        <v>240000</v>
      </c>
      <c r="G14053" s="14">
        <v>153700</v>
      </c>
      <c r="H14053" s="13" t="s">
        <v>26841</v>
      </c>
      <c r="I14053" s="40" t="s">
        <v>18</v>
      </c>
      <c r="J14053" s="40" t="str">
        <f>HYPERLINK("https://stock.pstatic.net/stock-research/company/63/20250225_company_991796000.pdf","PDF")</f>
        <v>PDF</v>
      </c>
      <c r="K14053" s="12" t="s">
        <v>26842</v>
      </c>
      <c r="L14053" s="20">
        <v>0.56148340923877682</v>
      </c>
    </row>
    <row r="14054" spans="1:12" x14ac:dyDescent="0.45">
      <c r="A14054" s="12" t="s">
        <v>26824</v>
      </c>
      <c r="B14054" s="12" t="s">
        <v>10796</v>
      </c>
      <c r="C14054" s="13" t="s">
        <v>10797</v>
      </c>
      <c r="D14054" s="13" t="s">
        <v>179</v>
      </c>
      <c r="E14054" s="12" t="s">
        <v>16</v>
      </c>
      <c r="F14054" s="14">
        <v>28000</v>
      </c>
      <c r="G14054" s="14">
        <v>18750</v>
      </c>
      <c r="H14054" s="13" t="s">
        <v>26843</v>
      </c>
      <c r="I14054" s="40" t="s">
        <v>18</v>
      </c>
      <c r="J14054" s="40" t="str">
        <f>HYPERLINK("https://stock.pstatic.net/stock-research/company/31/20250225_company_349261000.pdf","PDF")</f>
        <v>PDF</v>
      </c>
      <c r="K14054" s="12" t="s">
        <v>26844</v>
      </c>
      <c r="L14054" s="20">
        <v>0.49333333333333329</v>
      </c>
    </row>
    <row r="14055" spans="1:12" x14ac:dyDescent="0.45">
      <c r="A14055" s="12" t="s">
        <v>26824</v>
      </c>
      <c r="B14055" s="12" t="s">
        <v>21</v>
      </c>
      <c r="C14055" s="13" t="s">
        <v>22</v>
      </c>
      <c r="D14055" s="13" t="s">
        <v>83</v>
      </c>
      <c r="E14055" s="12" t="s">
        <v>35</v>
      </c>
      <c r="F14055" s="14">
        <v>35000</v>
      </c>
      <c r="G14055" s="14">
        <v>24000</v>
      </c>
      <c r="H14055" s="13" t="s">
        <v>26845</v>
      </c>
      <c r="I14055" s="40" t="s">
        <v>18</v>
      </c>
      <c r="J14055" s="40" t="str">
        <f>HYPERLINK("https://stock.pstatic.net/stock-research/company/2/20250225_company_26011000.pdf","PDF")</f>
        <v>PDF</v>
      </c>
      <c r="K14055" s="12" t="s">
        <v>26846</v>
      </c>
      <c r="L14055" s="20">
        <v>0.45833333333333331</v>
      </c>
    </row>
    <row r="14056" spans="1:12" x14ac:dyDescent="0.45">
      <c r="A14056" s="12" t="s">
        <v>26824</v>
      </c>
      <c r="B14056" s="12" t="s">
        <v>464</v>
      </c>
      <c r="C14056" s="13" t="s">
        <v>465</v>
      </c>
      <c r="D14056" s="13" t="s">
        <v>83</v>
      </c>
      <c r="E14056" s="12" t="s">
        <v>35</v>
      </c>
      <c r="F14056" s="14">
        <v>13000</v>
      </c>
      <c r="G14056" s="14">
        <v>10420</v>
      </c>
      <c r="H14056" s="13" t="s">
        <v>26847</v>
      </c>
      <c r="I14056" s="40" t="s">
        <v>18</v>
      </c>
      <c r="J14056" s="40" t="str">
        <f>HYPERLINK("https://stock.pstatic.net/stock-research/company/1/20250225_company_98755000.pdf","PDF")</f>
        <v>PDF</v>
      </c>
      <c r="K14056" s="12" t="s">
        <v>26848</v>
      </c>
      <c r="L14056" s="20">
        <v>0.24760076775431861</v>
      </c>
    </row>
    <row r="14057" spans="1:12" x14ac:dyDescent="0.45">
      <c r="A14057" s="12" t="s">
        <v>26824</v>
      </c>
      <c r="B14057" s="12" t="s">
        <v>768</v>
      </c>
      <c r="C14057" s="13" t="s">
        <v>769</v>
      </c>
      <c r="D14057" s="13" t="s">
        <v>83</v>
      </c>
      <c r="E14057" s="12" t="s">
        <v>35</v>
      </c>
      <c r="F14057" s="14">
        <v>210000</v>
      </c>
      <c r="G14057" s="14">
        <v>153700</v>
      </c>
      <c r="H14057" s="13" t="s">
        <v>26849</v>
      </c>
      <c r="I14057" s="40" t="s">
        <v>18</v>
      </c>
      <c r="J14057" s="40" t="str">
        <f>HYPERLINK("https://stock.pstatic.net/stock-research/company/2/20250225_company_82681000.pdf","PDF")</f>
        <v>PDF</v>
      </c>
      <c r="K14057" s="12" t="s">
        <v>26850</v>
      </c>
      <c r="L14057" s="20">
        <v>0.36629798308392969</v>
      </c>
    </row>
    <row r="14058" spans="1:12" x14ac:dyDescent="0.45">
      <c r="A14058" s="12" t="s">
        <v>26824</v>
      </c>
      <c r="B14058" s="12" t="s">
        <v>1562</v>
      </c>
      <c r="C14058" s="13" t="s">
        <v>1563</v>
      </c>
      <c r="D14058" s="13" t="s">
        <v>92</v>
      </c>
      <c r="E14058" s="12" t="s">
        <v>35</v>
      </c>
      <c r="F14058" s="14">
        <v>33000</v>
      </c>
      <c r="G14058" s="14">
        <v>22100</v>
      </c>
      <c r="H14058" s="13" t="s">
        <v>26851</v>
      </c>
      <c r="I14058" s="40" t="s">
        <v>18</v>
      </c>
      <c r="J14058" s="40" t="str">
        <f>HYPERLINK("https://stock.pstatic.net/stock-research/company/63/20250225_company_844107000.pdf","PDF")</f>
        <v>PDF</v>
      </c>
      <c r="K14058" s="12" t="s">
        <v>26852</v>
      </c>
      <c r="L14058" s="20">
        <v>0.49321266968325789</v>
      </c>
    </row>
    <row r="14059" spans="1:12" x14ac:dyDescent="0.45">
      <c r="A14059" s="12" t="s">
        <v>26824</v>
      </c>
      <c r="B14059" s="12" t="s">
        <v>10976</v>
      </c>
      <c r="C14059" s="13" t="s">
        <v>10977</v>
      </c>
      <c r="D14059" s="13" t="s">
        <v>34</v>
      </c>
      <c r="E14059" s="12" t="s">
        <v>35</v>
      </c>
      <c r="F14059" s="14">
        <v>81000</v>
      </c>
      <c r="G14059" s="14">
        <v>65000</v>
      </c>
      <c r="H14059" s="13" t="s">
        <v>26853</v>
      </c>
      <c r="I14059" s="40" t="s">
        <v>18</v>
      </c>
      <c r="J14059" s="40" t="str">
        <f>HYPERLINK("https://stock.pstatic.net/stock-research/company/61/20250225_company_103669000.pdf","PDF")</f>
        <v>PDF</v>
      </c>
      <c r="K14059" s="12" t="s">
        <v>26854</v>
      </c>
      <c r="L14059" s="20">
        <v>0.2461538461538462</v>
      </c>
    </row>
    <row r="14060" spans="1:12" x14ac:dyDescent="0.45">
      <c r="A14060" s="12" t="s">
        <v>26824</v>
      </c>
      <c r="B14060" s="12" t="s">
        <v>1463</v>
      </c>
      <c r="C14060" s="13" t="s">
        <v>1464</v>
      </c>
      <c r="D14060" s="13" t="s">
        <v>23</v>
      </c>
      <c r="E14060" s="12" t="s">
        <v>16</v>
      </c>
      <c r="F14060" s="14">
        <v>65000</v>
      </c>
      <c r="G14060" s="14">
        <v>47450</v>
      </c>
      <c r="H14060" s="13" t="s">
        <v>26855</v>
      </c>
      <c r="I14060" s="40" t="s">
        <v>18</v>
      </c>
      <c r="J14060" s="40" t="str">
        <f>HYPERLINK("https://stock.pstatic.net/stock-research/company/21/20250225_company_365396000.pdf","PDF")</f>
        <v>PDF</v>
      </c>
      <c r="K14060" s="12" t="s">
        <v>26856</v>
      </c>
      <c r="L14060" s="20">
        <v>0.36986301369863012</v>
      </c>
    </row>
    <row r="14061" spans="1:12" x14ac:dyDescent="0.45">
      <c r="A14061" s="12" t="s">
        <v>26824</v>
      </c>
      <c r="B14061" s="12" t="s">
        <v>768</v>
      </c>
      <c r="C14061" s="13" t="s">
        <v>769</v>
      </c>
      <c r="D14061" s="13" t="s">
        <v>23</v>
      </c>
      <c r="E14061" s="12" t="s">
        <v>16</v>
      </c>
      <c r="F14061" s="14">
        <v>190000</v>
      </c>
      <c r="G14061" s="14">
        <v>153700</v>
      </c>
      <c r="H14061" s="13" t="s">
        <v>26857</v>
      </c>
      <c r="I14061" s="40" t="s">
        <v>18</v>
      </c>
      <c r="J14061" s="40" t="str">
        <f>HYPERLINK("https://stock.pstatic.net/stock-research/company/21/20250225_company_43392000.pdf","PDF")</f>
        <v>PDF</v>
      </c>
      <c r="K14061" s="12" t="s">
        <v>26858</v>
      </c>
      <c r="L14061" s="20">
        <v>0.23617436564736499</v>
      </c>
    </row>
    <row r="14062" spans="1:12" x14ac:dyDescent="0.45">
      <c r="A14062" s="12" t="s">
        <v>26824</v>
      </c>
      <c r="B14062" s="12" t="s">
        <v>669</v>
      </c>
      <c r="C14062" s="13" t="s">
        <v>670</v>
      </c>
      <c r="D14062" s="13" t="s">
        <v>124</v>
      </c>
      <c r="E14062" s="12" t="s">
        <v>50</v>
      </c>
      <c r="F14062" s="13"/>
      <c r="G14062" s="13"/>
      <c r="H14062" s="13" t="s">
        <v>26859</v>
      </c>
      <c r="I14062" s="40" t="s">
        <v>18</v>
      </c>
      <c r="J14062" s="40" t="str">
        <f>HYPERLINK("https://stock.pstatic.net/stock-research/company/74/20250304_company_876397000.pdf","PDF")</f>
        <v>PDF</v>
      </c>
      <c r="K14062" s="12" t="s">
        <v>26860</v>
      </c>
    </row>
    <row r="14063" spans="1:12" x14ac:dyDescent="0.45">
      <c r="A14063" s="12" t="s">
        <v>26824</v>
      </c>
      <c r="B14063" s="12" t="s">
        <v>1799</v>
      </c>
      <c r="C14063" s="13" t="s">
        <v>1800</v>
      </c>
      <c r="D14063" s="13" t="s">
        <v>124</v>
      </c>
      <c r="E14063" s="12" t="s">
        <v>50</v>
      </c>
      <c r="F14063" s="13"/>
      <c r="G14063" s="13"/>
      <c r="H14063" s="13" t="s">
        <v>26861</v>
      </c>
      <c r="I14063" s="40" t="s">
        <v>18</v>
      </c>
      <c r="J14063" s="40" t="str">
        <f>HYPERLINK("https://stock.pstatic.net/stock-research/company/74/20250225_company_206631000.pdf","PDF")</f>
        <v>PDF</v>
      </c>
      <c r="K14063" s="12" t="s">
        <v>26862</v>
      </c>
    </row>
    <row r="14064" spans="1:12" x14ac:dyDescent="0.45">
      <c r="A14064" s="12" t="s">
        <v>26824</v>
      </c>
      <c r="B14064" s="12" t="s">
        <v>322</v>
      </c>
      <c r="C14064" s="13" t="s">
        <v>323</v>
      </c>
      <c r="D14064" s="13" t="s">
        <v>53</v>
      </c>
      <c r="E14064" s="12" t="s">
        <v>50</v>
      </c>
      <c r="F14064" s="13"/>
      <c r="G14064" s="14">
        <v>23700</v>
      </c>
      <c r="H14064" s="13" t="s">
        <v>26863</v>
      </c>
      <c r="I14064" s="40" t="s">
        <v>18</v>
      </c>
      <c r="J14064" s="40" t="str">
        <f>HYPERLINK("https://stock.pstatic.net/stock-research/company/40/20250225_company_283439000.pdf","PDF")</f>
        <v>PDF</v>
      </c>
      <c r="K14064" s="12" t="s">
        <v>26864</v>
      </c>
    </row>
    <row r="14065" spans="1:12" x14ac:dyDescent="0.45">
      <c r="A14065" s="12" t="s">
        <v>26824</v>
      </c>
      <c r="B14065" s="12" t="s">
        <v>1216</v>
      </c>
      <c r="C14065" s="13" t="s">
        <v>1217</v>
      </c>
      <c r="D14065" s="13" t="s">
        <v>53</v>
      </c>
      <c r="E14065" s="12" t="s">
        <v>16</v>
      </c>
      <c r="F14065" s="14">
        <v>40000</v>
      </c>
      <c r="G14065" s="14">
        <v>28650</v>
      </c>
      <c r="H14065" s="13" t="s">
        <v>26865</v>
      </c>
      <c r="I14065" s="40" t="s">
        <v>18</v>
      </c>
      <c r="J14065" s="40" t="str">
        <f>HYPERLINK("https://stock.pstatic.net/stock-research/company/40/20250225_company_180269000.pdf","PDF")</f>
        <v>PDF</v>
      </c>
      <c r="K14065" s="12" t="s">
        <v>26866</v>
      </c>
      <c r="L14065" s="20">
        <v>0.39616055846422338</v>
      </c>
    </row>
    <row r="14066" spans="1:12" x14ac:dyDescent="0.45">
      <c r="A14066" s="12" t="s">
        <v>26867</v>
      </c>
      <c r="B14066" s="12" t="s">
        <v>1734</v>
      </c>
      <c r="C14066" s="13" t="s">
        <v>1735</v>
      </c>
      <c r="D14066" s="13" t="s">
        <v>15</v>
      </c>
      <c r="E14066" s="12" t="s">
        <v>385</v>
      </c>
      <c r="F14066" s="14">
        <v>38000</v>
      </c>
      <c r="G14066" s="14">
        <v>34650</v>
      </c>
      <c r="H14066" s="13" t="s">
        <v>26868</v>
      </c>
      <c r="I14066" s="40" t="s">
        <v>18</v>
      </c>
      <c r="J14066" s="40" t="str">
        <f>HYPERLINK("https://stock.pstatic.net/stock-research/company/1/20250224_company_493617000.pdf","PDF")</f>
        <v>PDF</v>
      </c>
      <c r="K14066" s="12" t="s">
        <v>26869</v>
      </c>
      <c r="L14066" s="20">
        <v>9.6681096681096687E-2</v>
      </c>
    </row>
    <row r="14067" spans="1:12" x14ac:dyDescent="0.45">
      <c r="A14067" s="12" t="s">
        <v>26867</v>
      </c>
      <c r="B14067" s="12" t="s">
        <v>4125</v>
      </c>
      <c r="C14067" s="13" t="s">
        <v>4126</v>
      </c>
      <c r="D14067" s="13" t="s">
        <v>276</v>
      </c>
      <c r="E14067" s="12" t="s">
        <v>50</v>
      </c>
      <c r="F14067" s="13"/>
      <c r="G14067" s="14">
        <v>33350</v>
      </c>
      <c r="H14067" s="13" t="s">
        <v>26870</v>
      </c>
      <c r="I14067" s="40" t="s">
        <v>18</v>
      </c>
      <c r="J14067" s="40" t="str">
        <f>HYPERLINK("https://stock.pstatic.net/stock-research/company/66/20250224_company_518009000.pdf","PDF")</f>
        <v>PDF</v>
      </c>
      <c r="K14067" s="12" t="s">
        <v>26871</v>
      </c>
    </row>
    <row r="14068" spans="1:12" x14ac:dyDescent="0.45">
      <c r="A14068" s="12" t="s">
        <v>26867</v>
      </c>
      <c r="B14068" s="12" t="s">
        <v>1940</v>
      </c>
      <c r="C14068" s="13" t="s">
        <v>1941</v>
      </c>
      <c r="D14068" s="13" t="s">
        <v>276</v>
      </c>
      <c r="E14068" s="12" t="s">
        <v>16</v>
      </c>
      <c r="F14068" s="14">
        <v>15000</v>
      </c>
      <c r="G14068" s="14">
        <v>11300</v>
      </c>
      <c r="H14068" s="13" t="s">
        <v>26872</v>
      </c>
      <c r="I14068" s="40" t="s">
        <v>18</v>
      </c>
      <c r="J14068" s="40" t="str">
        <f>HYPERLINK("https://stock.pstatic.net/stock-research/company/66/20250224_company_40851000.pdf","PDF")</f>
        <v>PDF</v>
      </c>
      <c r="K14068" s="12" t="s">
        <v>26873</v>
      </c>
      <c r="L14068" s="20">
        <v>0.32743362831858408</v>
      </c>
    </row>
    <row r="14069" spans="1:12" x14ac:dyDescent="0.45">
      <c r="A14069" s="12" t="s">
        <v>26867</v>
      </c>
      <c r="B14069" s="12" t="s">
        <v>1652</v>
      </c>
      <c r="C14069" s="13" t="s">
        <v>1653</v>
      </c>
      <c r="D14069" s="13" t="s">
        <v>276</v>
      </c>
      <c r="E14069" s="12" t="s">
        <v>16</v>
      </c>
      <c r="F14069" s="14">
        <v>56000</v>
      </c>
      <c r="G14069" s="14">
        <v>43150</v>
      </c>
      <c r="H14069" s="13" t="s">
        <v>26874</v>
      </c>
      <c r="I14069" s="40" t="s">
        <v>18</v>
      </c>
      <c r="J14069" s="40" t="str">
        <f>HYPERLINK("https://stock.pstatic.net/stock-research/company/66/20250224_company_806166000.pdf","PDF")</f>
        <v>PDF</v>
      </c>
      <c r="K14069" s="12" t="s">
        <v>26875</v>
      </c>
      <c r="L14069" s="20">
        <v>0.29779837775202778</v>
      </c>
    </row>
    <row r="14070" spans="1:12" x14ac:dyDescent="0.45">
      <c r="A14070" s="12" t="s">
        <v>26867</v>
      </c>
      <c r="B14070" s="12" t="s">
        <v>375</v>
      </c>
      <c r="C14070" s="13" t="s">
        <v>376</v>
      </c>
      <c r="D14070" s="13" t="s">
        <v>60</v>
      </c>
      <c r="E14070" s="12" t="s">
        <v>35</v>
      </c>
      <c r="F14070" s="14">
        <v>28000</v>
      </c>
      <c r="G14070" s="14">
        <v>20600</v>
      </c>
      <c r="H14070" s="13" t="s">
        <v>26876</v>
      </c>
      <c r="I14070" s="40" t="s">
        <v>18</v>
      </c>
      <c r="J14070" s="40" t="str">
        <f>HYPERLINK("https://stock.pstatic.net/stock-research/company/62/20250224_company_266483000.pdf","PDF")</f>
        <v>PDF</v>
      </c>
      <c r="K14070" s="12" t="s">
        <v>26877</v>
      </c>
      <c r="L14070" s="20">
        <v>0.35922330097087379</v>
      </c>
    </row>
    <row r="14071" spans="1:12" x14ac:dyDescent="0.45">
      <c r="A14071" s="12" t="s">
        <v>26867</v>
      </c>
      <c r="B14071" s="12" t="s">
        <v>2191</v>
      </c>
      <c r="C14071" s="13" t="s">
        <v>2192</v>
      </c>
      <c r="D14071" s="13" t="s">
        <v>60</v>
      </c>
      <c r="E14071" s="12" t="s">
        <v>35</v>
      </c>
      <c r="F14071" s="14">
        <v>80000</v>
      </c>
      <c r="G14071" s="14">
        <v>47300</v>
      </c>
      <c r="H14071" s="13" t="s">
        <v>26878</v>
      </c>
      <c r="I14071" s="40" t="s">
        <v>18</v>
      </c>
      <c r="J14071" s="40" t="str">
        <f>HYPERLINK("https://stock.pstatic.net/stock-research/company/62/20250224_company_659796000.pdf","PDF")</f>
        <v>PDF</v>
      </c>
      <c r="K14071" s="12" t="s">
        <v>26879</v>
      </c>
      <c r="L14071" s="20">
        <v>0.69133192389006337</v>
      </c>
    </row>
    <row r="14072" spans="1:12" x14ac:dyDescent="0.45">
      <c r="A14072" s="12" t="s">
        <v>26867</v>
      </c>
      <c r="B14072" s="12" t="s">
        <v>19970</v>
      </c>
      <c r="C14072" s="13" t="s">
        <v>19971</v>
      </c>
      <c r="D14072" s="13" t="s">
        <v>65</v>
      </c>
      <c r="E14072" s="12" t="s">
        <v>35</v>
      </c>
      <c r="F14072" s="14">
        <v>26000</v>
      </c>
      <c r="G14072" s="14">
        <v>19600</v>
      </c>
      <c r="H14072" s="13" t="s">
        <v>23071</v>
      </c>
      <c r="I14072" s="40" t="s">
        <v>18</v>
      </c>
      <c r="J14072" s="40" t="str">
        <f>HYPERLINK("https://stock.pstatic.net/stock-research/company/57/20250224_company_196127000.pdf","PDF")</f>
        <v>PDF</v>
      </c>
      <c r="K14072" s="12" t="s">
        <v>26880</v>
      </c>
      <c r="L14072" s="20">
        <v>0.32653061224489788</v>
      </c>
    </row>
    <row r="14073" spans="1:12" x14ac:dyDescent="0.45">
      <c r="A14073" s="12" t="s">
        <v>26867</v>
      </c>
      <c r="B14073" s="12" t="s">
        <v>2191</v>
      </c>
      <c r="C14073" s="13" t="s">
        <v>2192</v>
      </c>
      <c r="D14073" s="13" t="s">
        <v>65</v>
      </c>
      <c r="E14073" s="12" t="s">
        <v>35</v>
      </c>
      <c r="F14073" s="14">
        <v>77000</v>
      </c>
      <c r="G14073" s="14">
        <v>47300</v>
      </c>
      <c r="H14073" s="13" t="s">
        <v>23071</v>
      </c>
      <c r="I14073" s="40" t="s">
        <v>18</v>
      </c>
      <c r="J14073" s="40" t="str">
        <f>HYPERLINK("https://stock.pstatic.net/stock-research/company/1/20250224_company_136632000.pdf","PDF")</f>
        <v>PDF</v>
      </c>
      <c r="K14073" s="12" t="s">
        <v>26881</v>
      </c>
      <c r="L14073" s="20">
        <v>0.62790697674418605</v>
      </c>
    </row>
    <row r="14074" spans="1:12" x14ac:dyDescent="0.45">
      <c r="A14074" s="12" t="s">
        <v>26867</v>
      </c>
      <c r="B14074" s="12" t="s">
        <v>2205</v>
      </c>
      <c r="C14074" s="13" t="s">
        <v>2206</v>
      </c>
      <c r="D14074" s="13" t="s">
        <v>65</v>
      </c>
      <c r="E14074" s="12" t="s">
        <v>35</v>
      </c>
      <c r="F14074" s="14">
        <v>39000</v>
      </c>
      <c r="G14074" s="14">
        <v>34850</v>
      </c>
      <c r="H14074" s="13" t="s">
        <v>26882</v>
      </c>
      <c r="I14074" s="40" t="s">
        <v>18</v>
      </c>
      <c r="J14074" s="40" t="str">
        <f>HYPERLINK("https://stock.pstatic.net/stock-research/company/57/20250224_company_179670000.pdf","PDF")</f>
        <v>PDF</v>
      </c>
      <c r="K14074" s="12" t="s">
        <v>26883</v>
      </c>
      <c r="L14074" s="20">
        <v>0.1190817790530846</v>
      </c>
    </row>
    <row r="14075" spans="1:12" x14ac:dyDescent="0.45">
      <c r="A14075" s="12" t="s">
        <v>26867</v>
      </c>
      <c r="B14075" s="12" t="s">
        <v>1734</v>
      </c>
      <c r="C14075" s="13" t="s">
        <v>1735</v>
      </c>
      <c r="D14075" s="13" t="s">
        <v>65</v>
      </c>
      <c r="E14075" s="12" t="s">
        <v>35</v>
      </c>
      <c r="F14075" s="14">
        <v>55000</v>
      </c>
      <c r="G14075" s="14">
        <v>34650</v>
      </c>
      <c r="H14075" s="13" t="s">
        <v>26884</v>
      </c>
      <c r="I14075" s="40" t="s">
        <v>18</v>
      </c>
      <c r="J14075" s="40" t="str">
        <f>HYPERLINK("https://stock.pstatic.net/stock-research/company/1/20250224_company_617112000.pdf","PDF")</f>
        <v>PDF</v>
      </c>
      <c r="K14075" s="12" t="s">
        <v>26885</v>
      </c>
      <c r="L14075" s="20">
        <v>0.58730158730158732</v>
      </c>
    </row>
    <row r="14076" spans="1:12" x14ac:dyDescent="0.45">
      <c r="A14076" s="12" t="s">
        <v>26867</v>
      </c>
      <c r="B14076" s="12" t="s">
        <v>394</v>
      </c>
      <c r="C14076" s="13" t="s">
        <v>395</v>
      </c>
      <c r="D14076" s="13" t="s">
        <v>65</v>
      </c>
      <c r="E14076" s="12" t="s">
        <v>35</v>
      </c>
      <c r="F14076" s="14">
        <v>45000</v>
      </c>
      <c r="G14076" s="14">
        <v>35800</v>
      </c>
      <c r="H14076" s="13" t="s">
        <v>26886</v>
      </c>
      <c r="I14076" s="40" t="s">
        <v>18</v>
      </c>
      <c r="J14076" s="40" t="str">
        <f>HYPERLINK("https://stock.pstatic.net/stock-research/company/57/20250224_company_90341000.pdf","PDF")</f>
        <v>PDF</v>
      </c>
      <c r="K14076" s="12" t="s">
        <v>26887</v>
      </c>
      <c r="L14076" s="20">
        <v>0.25698324022346369</v>
      </c>
    </row>
    <row r="14077" spans="1:12" x14ac:dyDescent="0.45">
      <c r="A14077" s="12" t="s">
        <v>26867</v>
      </c>
      <c r="B14077" s="12" t="s">
        <v>1734</v>
      </c>
      <c r="C14077" s="13" t="s">
        <v>1735</v>
      </c>
      <c r="D14077" s="13" t="s">
        <v>57</v>
      </c>
      <c r="E14077" s="12" t="s">
        <v>35</v>
      </c>
      <c r="F14077" s="14">
        <v>57000</v>
      </c>
      <c r="G14077" s="14">
        <v>34650</v>
      </c>
      <c r="H14077" s="13" t="s">
        <v>26888</v>
      </c>
      <c r="I14077" s="40" t="s">
        <v>18</v>
      </c>
      <c r="J14077" s="40" t="str">
        <f>HYPERLINK("https://stock.pstatic.net/stock-research/company/16/20250224_company_64346000.pdf","PDF")</f>
        <v>PDF</v>
      </c>
      <c r="K14077" s="12" t="s">
        <v>26889</v>
      </c>
      <c r="L14077" s="20">
        <v>0.64502164502164505</v>
      </c>
    </row>
    <row r="14078" spans="1:12" x14ac:dyDescent="0.45">
      <c r="A14078" s="12" t="s">
        <v>26867</v>
      </c>
      <c r="B14078" s="12" t="s">
        <v>1274</v>
      </c>
      <c r="C14078" s="13" t="s">
        <v>1275</v>
      </c>
      <c r="D14078" s="13" t="s">
        <v>57</v>
      </c>
      <c r="E14078" s="12" t="s">
        <v>35</v>
      </c>
      <c r="F14078" s="14">
        <v>129000</v>
      </c>
      <c r="G14078" s="14">
        <v>98900</v>
      </c>
      <c r="H14078" s="13" t="s">
        <v>26890</v>
      </c>
      <c r="I14078" s="40" t="s">
        <v>18</v>
      </c>
      <c r="J14078" s="40" t="str">
        <f>HYPERLINK("https://stock.pstatic.net/stock-research/company/16/20250224_company_410963000.pdf","PDF")</f>
        <v>PDF</v>
      </c>
      <c r="K14078" s="12" t="s">
        <v>26891</v>
      </c>
      <c r="L14078" s="20">
        <v>0.30434782608695649</v>
      </c>
    </row>
    <row r="14079" spans="1:12" x14ac:dyDescent="0.45">
      <c r="A14079" s="12" t="s">
        <v>26867</v>
      </c>
      <c r="B14079" s="12" t="s">
        <v>2191</v>
      </c>
      <c r="C14079" s="13" t="s">
        <v>2192</v>
      </c>
      <c r="D14079" s="13" t="s">
        <v>158</v>
      </c>
      <c r="E14079" s="12" t="s">
        <v>35</v>
      </c>
      <c r="F14079" s="14">
        <v>65000</v>
      </c>
      <c r="G14079" s="14">
        <v>47300</v>
      </c>
      <c r="H14079" s="13" t="s">
        <v>26892</v>
      </c>
      <c r="I14079" s="40" t="s">
        <v>18</v>
      </c>
      <c r="J14079" s="40" t="str">
        <f>HYPERLINK("https://stock.pstatic.net/stock-research/company/1/20250224_company_437705000.pdf","PDF")</f>
        <v>PDF</v>
      </c>
      <c r="K14079" s="12" t="s">
        <v>26893</v>
      </c>
      <c r="L14079" s="20">
        <v>0.37420718816067661</v>
      </c>
    </row>
    <row r="14080" spans="1:12" x14ac:dyDescent="0.45">
      <c r="A14080" s="12" t="s">
        <v>26867</v>
      </c>
      <c r="B14080" s="12" t="s">
        <v>2658</v>
      </c>
      <c r="C14080" s="13" t="s">
        <v>2659</v>
      </c>
      <c r="D14080" s="13" t="s">
        <v>15</v>
      </c>
      <c r="E14080" s="12" t="s">
        <v>16</v>
      </c>
      <c r="F14080" s="14">
        <v>165000</v>
      </c>
      <c r="G14080" s="14">
        <v>122400</v>
      </c>
      <c r="H14080" s="13" t="s">
        <v>26894</v>
      </c>
      <c r="I14080" s="40" t="s">
        <v>18</v>
      </c>
      <c r="J14080" s="40" t="str">
        <f>HYPERLINK("https://stock.pstatic.net/stock-research/company/29/20250224_company_21141000.pdf","PDF")</f>
        <v>PDF</v>
      </c>
      <c r="K14080" s="12" t="s">
        <v>26895</v>
      </c>
      <c r="L14080" s="20">
        <v>0.34803921568627449</v>
      </c>
    </row>
    <row r="14081" spans="1:12" x14ac:dyDescent="0.45">
      <c r="A14081" s="12" t="s">
        <v>26867</v>
      </c>
      <c r="B14081" s="12" t="s">
        <v>21</v>
      </c>
      <c r="C14081" s="13" t="s">
        <v>22</v>
      </c>
      <c r="D14081" s="13" t="s">
        <v>15</v>
      </c>
      <c r="E14081" s="12" t="s">
        <v>385</v>
      </c>
      <c r="F14081" s="14">
        <v>25000</v>
      </c>
      <c r="G14081" s="14">
        <v>24000</v>
      </c>
      <c r="H14081" s="13" t="s">
        <v>26896</v>
      </c>
      <c r="I14081" s="40" t="s">
        <v>18</v>
      </c>
      <c r="J14081" s="40" t="str">
        <f>HYPERLINK("https://stock.pstatic.net/stock-research/company/29/20250224_company_78594000.pdf","PDF")</f>
        <v>PDF</v>
      </c>
      <c r="K14081" s="12" t="s">
        <v>26897</v>
      </c>
      <c r="L14081" s="20">
        <v>4.1666666666666657E-2</v>
      </c>
    </row>
    <row r="14082" spans="1:12" x14ac:dyDescent="0.45">
      <c r="A14082" s="12" t="s">
        <v>26867</v>
      </c>
      <c r="B14082" s="12" t="s">
        <v>1274</v>
      </c>
      <c r="C14082" s="13" t="s">
        <v>1275</v>
      </c>
      <c r="D14082" s="13" t="s">
        <v>15</v>
      </c>
      <c r="E14082" s="12" t="s">
        <v>16</v>
      </c>
      <c r="F14082" s="14">
        <v>130000</v>
      </c>
      <c r="G14082" s="14">
        <v>98900</v>
      </c>
      <c r="H14082" s="13" t="s">
        <v>26898</v>
      </c>
      <c r="I14082" s="40" t="s">
        <v>18</v>
      </c>
      <c r="J14082" s="40" t="str">
        <f>HYPERLINK("https://stock.pstatic.net/stock-research/company/29/20250224_company_374560000.pdf","PDF")</f>
        <v>PDF</v>
      </c>
      <c r="K14082" s="12" t="s">
        <v>26899</v>
      </c>
      <c r="L14082" s="20">
        <v>0.31445904954499487</v>
      </c>
    </row>
    <row r="14083" spans="1:12" x14ac:dyDescent="0.45">
      <c r="A14083" s="12" t="s">
        <v>26867</v>
      </c>
      <c r="B14083" s="12" t="s">
        <v>1734</v>
      </c>
      <c r="C14083" s="13" t="s">
        <v>1735</v>
      </c>
      <c r="D14083" s="13" t="s">
        <v>92</v>
      </c>
      <c r="E14083" s="12" t="s">
        <v>35</v>
      </c>
      <c r="F14083" s="14">
        <v>59000</v>
      </c>
      <c r="G14083" s="14">
        <v>34650</v>
      </c>
      <c r="H14083" s="13" t="s">
        <v>26900</v>
      </c>
      <c r="I14083" s="40" t="s">
        <v>18</v>
      </c>
      <c r="J14083" s="40" t="str">
        <f>HYPERLINK("https://stock.pstatic.net/stock-research/company/63/20250224_company_89020000.pdf","PDF")</f>
        <v>PDF</v>
      </c>
      <c r="K14083" s="12" t="s">
        <v>26901</v>
      </c>
      <c r="L14083" s="20">
        <v>0.70274170274170278</v>
      </c>
    </row>
    <row r="14084" spans="1:12" x14ac:dyDescent="0.45">
      <c r="A14084" s="12" t="s">
        <v>26867</v>
      </c>
      <c r="B14084" s="12" t="s">
        <v>916</v>
      </c>
      <c r="C14084" s="13" t="s">
        <v>917</v>
      </c>
      <c r="D14084" s="13" t="s">
        <v>44</v>
      </c>
      <c r="E14084" s="12" t="s">
        <v>35</v>
      </c>
      <c r="F14084" s="14">
        <v>59000</v>
      </c>
      <c r="G14084" s="14">
        <v>39900</v>
      </c>
      <c r="H14084" s="13" t="s">
        <v>26902</v>
      </c>
      <c r="I14084" s="40" t="s">
        <v>18</v>
      </c>
      <c r="J14084" s="40" t="str">
        <f>HYPERLINK("https://stock.pstatic.net/stock-research/company/39/20250224_company_730081000.pdf","PDF")</f>
        <v>PDF</v>
      </c>
      <c r="K14084" s="12" t="s">
        <v>26903</v>
      </c>
      <c r="L14084" s="20">
        <v>0.47869674185463662</v>
      </c>
    </row>
    <row r="14085" spans="1:12" x14ac:dyDescent="0.45">
      <c r="A14085" s="12" t="s">
        <v>26867</v>
      </c>
      <c r="B14085" s="12" t="s">
        <v>1198</v>
      </c>
      <c r="C14085" s="13" t="s">
        <v>1199</v>
      </c>
      <c r="D14085" s="13" t="s">
        <v>92</v>
      </c>
      <c r="E14085" s="12" t="s">
        <v>50</v>
      </c>
      <c r="F14085" s="13"/>
      <c r="G14085" s="14">
        <v>19200</v>
      </c>
      <c r="H14085" s="13" t="s">
        <v>26904</v>
      </c>
      <c r="I14085" s="40" t="s">
        <v>18</v>
      </c>
      <c r="J14085" s="40" t="str">
        <f>HYPERLINK("https://stock.pstatic.net/stock-research/company/1/20250224_company_691471000.pdf","PDF")</f>
        <v>PDF</v>
      </c>
      <c r="K14085" s="12" t="s">
        <v>26905</v>
      </c>
    </row>
    <row r="14086" spans="1:12" x14ac:dyDescent="0.45">
      <c r="A14086" s="12" t="s">
        <v>26867</v>
      </c>
      <c r="B14086" s="12" t="s">
        <v>1491</v>
      </c>
      <c r="C14086" s="13" t="s">
        <v>1492</v>
      </c>
      <c r="D14086" s="13" t="s">
        <v>92</v>
      </c>
      <c r="E14086" s="12" t="s">
        <v>35</v>
      </c>
      <c r="F14086" s="14">
        <v>30000</v>
      </c>
      <c r="G14086" s="14">
        <v>16140</v>
      </c>
      <c r="H14086" s="13" t="s">
        <v>26906</v>
      </c>
      <c r="I14086" s="40" t="s">
        <v>18</v>
      </c>
      <c r="J14086" s="40" t="str">
        <f>HYPERLINK("https://stock.pstatic.net/stock-research/company/1/20250224_company_571342000.pdf","PDF")</f>
        <v>PDF</v>
      </c>
      <c r="K14086" s="12" t="s">
        <v>26907</v>
      </c>
      <c r="L14086" s="20">
        <v>0.85873605947955389</v>
      </c>
    </row>
    <row r="14087" spans="1:12" x14ac:dyDescent="0.45">
      <c r="A14087" s="12" t="s">
        <v>26867</v>
      </c>
      <c r="B14087" s="12" t="s">
        <v>1734</v>
      </c>
      <c r="C14087" s="13" t="s">
        <v>1735</v>
      </c>
      <c r="D14087" s="13" t="s">
        <v>23</v>
      </c>
      <c r="E14087" s="12" t="s">
        <v>16</v>
      </c>
      <c r="F14087" s="14">
        <v>50000</v>
      </c>
      <c r="G14087" s="14">
        <v>34650</v>
      </c>
      <c r="H14087" s="13" t="s">
        <v>26908</v>
      </c>
      <c r="I14087" s="40" t="s">
        <v>18</v>
      </c>
      <c r="J14087" s="40" t="str">
        <f>HYPERLINK("https://stock.pstatic.net/stock-research/company/21/20250224_company_875507000.pdf","PDF")</f>
        <v>PDF</v>
      </c>
      <c r="K14087" s="12" t="s">
        <v>26909</v>
      </c>
      <c r="L14087" s="20">
        <v>0.44300144300144301</v>
      </c>
    </row>
    <row r="14088" spans="1:12" x14ac:dyDescent="0.45">
      <c r="A14088" s="12" t="s">
        <v>26867</v>
      </c>
      <c r="B14088" s="12" t="s">
        <v>1274</v>
      </c>
      <c r="C14088" s="13" t="s">
        <v>1275</v>
      </c>
      <c r="D14088" s="13" t="s">
        <v>179</v>
      </c>
      <c r="E14088" s="12" t="s">
        <v>16</v>
      </c>
      <c r="F14088" s="14">
        <v>137000</v>
      </c>
      <c r="G14088" s="14">
        <v>98900</v>
      </c>
      <c r="H14088" s="13" t="s">
        <v>26910</v>
      </c>
      <c r="I14088" s="40" t="s">
        <v>18</v>
      </c>
      <c r="J14088" s="40" t="str">
        <f>HYPERLINK("https://stock.pstatic.net/stock-research/company/31/20250224_company_694286000.pdf","PDF")</f>
        <v>PDF</v>
      </c>
      <c r="K14088" s="12" t="s">
        <v>26911</v>
      </c>
      <c r="L14088" s="20">
        <v>0.38523761375126392</v>
      </c>
    </row>
    <row r="14089" spans="1:12" x14ac:dyDescent="0.45">
      <c r="A14089" s="12" t="s">
        <v>26867</v>
      </c>
      <c r="B14089" s="12" t="s">
        <v>21</v>
      </c>
      <c r="C14089" s="13" t="s">
        <v>22</v>
      </c>
      <c r="D14089" s="13" t="s">
        <v>179</v>
      </c>
      <c r="E14089" s="12" t="s">
        <v>16</v>
      </c>
      <c r="F14089" s="14">
        <v>32000</v>
      </c>
      <c r="G14089" s="14">
        <v>24000</v>
      </c>
      <c r="H14089" s="13" t="s">
        <v>26912</v>
      </c>
      <c r="I14089" s="40" t="s">
        <v>18</v>
      </c>
      <c r="J14089" s="40" t="str">
        <f>HYPERLINK("https://stock.pstatic.net/stock-research/company/31/20250224_company_866398000.pdf","PDF")</f>
        <v>PDF</v>
      </c>
      <c r="K14089" s="12" t="s">
        <v>26913</v>
      </c>
      <c r="L14089" s="20">
        <v>0.33333333333333331</v>
      </c>
    </row>
    <row r="14090" spans="1:12" x14ac:dyDescent="0.45">
      <c r="A14090" s="12" t="s">
        <v>26867</v>
      </c>
      <c r="B14090" s="12" t="s">
        <v>2205</v>
      </c>
      <c r="C14090" s="13" t="s">
        <v>2206</v>
      </c>
      <c r="D14090" s="13" t="s">
        <v>23</v>
      </c>
      <c r="E14090" s="12" t="s">
        <v>16</v>
      </c>
      <c r="F14090" s="14">
        <v>45000</v>
      </c>
      <c r="G14090" s="14">
        <v>34850</v>
      </c>
      <c r="H14090" s="13" t="s">
        <v>26914</v>
      </c>
      <c r="I14090" s="40" t="s">
        <v>18</v>
      </c>
      <c r="J14090" s="40" t="str">
        <f>HYPERLINK("https://stock.pstatic.net/stock-research/company/1/20250224_company_758779000.pdf","PDF")</f>
        <v>PDF</v>
      </c>
      <c r="K14090" s="12" t="s">
        <v>26915</v>
      </c>
      <c r="L14090" s="20">
        <v>0.29124820659971312</v>
      </c>
    </row>
    <row r="14091" spans="1:12" x14ac:dyDescent="0.45">
      <c r="A14091" s="12" t="s">
        <v>26867</v>
      </c>
      <c r="B14091" s="12" t="s">
        <v>1274</v>
      </c>
      <c r="C14091" s="13" t="s">
        <v>1275</v>
      </c>
      <c r="D14091" s="13" t="s">
        <v>23</v>
      </c>
      <c r="E14091" s="12" t="s">
        <v>16</v>
      </c>
      <c r="F14091" s="14">
        <v>130000</v>
      </c>
      <c r="G14091" s="14">
        <v>98900</v>
      </c>
      <c r="H14091" s="13" t="s">
        <v>26916</v>
      </c>
      <c r="I14091" s="40" t="s">
        <v>18</v>
      </c>
      <c r="J14091" s="40" t="str">
        <f>HYPERLINK("https://stock.pstatic.net/stock-research/company/21/20250224_company_456645000.pdf","PDF")</f>
        <v>PDF</v>
      </c>
      <c r="K14091" s="12" t="s">
        <v>26917</v>
      </c>
      <c r="L14091" s="20">
        <v>0.31445904954499487</v>
      </c>
    </row>
    <row r="14092" spans="1:12" x14ac:dyDescent="0.45">
      <c r="A14092" s="12" t="s">
        <v>26867</v>
      </c>
      <c r="B14092" s="12" t="s">
        <v>5758</v>
      </c>
      <c r="C14092" s="13" t="s">
        <v>5759</v>
      </c>
      <c r="D14092" s="13" t="s">
        <v>44</v>
      </c>
      <c r="E14092" s="12" t="s">
        <v>50</v>
      </c>
      <c r="F14092" s="13"/>
      <c r="G14092" s="14">
        <v>9150</v>
      </c>
      <c r="H14092" s="13" t="s">
        <v>26918</v>
      </c>
      <c r="I14092" s="40" t="s">
        <v>18</v>
      </c>
      <c r="J14092" s="40" t="str">
        <f>HYPERLINK("https://stock.pstatic.net/stock-research/company/39/20250224_company_526937000.pdf","PDF")</f>
        <v>PDF</v>
      </c>
      <c r="K14092" s="12" t="s">
        <v>26919</v>
      </c>
    </row>
    <row r="14093" spans="1:12" x14ac:dyDescent="0.45">
      <c r="A14093" s="12" t="s">
        <v>26867</v>
      </c>
      <c r="B14093" s="12" t="s">
        <v>6812</v>
      </c>
      <c r="C14093" s="13" t="s">
        <v>6813</v>
      </c>
      <c r="D14093" s="13" t="s">
        <v>34</v>
      </c>
      <c r="E14093" s="12" t="s">
        <v>35</v>
      </c>
      <c r="F14093" s="14">
        <v>40000</v>
      </c>
      <c r="G14093" s="14">
        <v>30200</v>
      </c>
      <c r="H14093" s="13" t="s">
        <v>26920</v>
      </c>
      <c r="I14093" s="40" t="s">
        <v>18</v>
      </c>
      <c r="J14093" s="40" t="str">
        <f>HYPERLINK("https://stock.pstatic.net/stock-research/company/61/20250224_company_539028000.pdf","PDF")</f>
        <v>PDF</v>
      </c>
      <c r="K14093" s="12" t="s">
        <v>26921</v>
      </c>
      <c r="L14093" s="20">
        <v>0.32450331125827808</v>
      </c>
    </row>
    <row r="14094" spans="1:12" x14ac:dyDescent="0.45">
      <c r="A14094" s="12" t="s">
        <v>26867</v>
      </c>
      <c r="B14094" s="12" t="s">
        <v>21</v>
      </c>
      <c r="C14094" s="13" t="s">
        <v>22</v>
      </c>
      <c r="D14094" s="13" t="s">
        <v>23</v>
      </c>
      <c r="E14094" s="12" t="s">
        <v>16</v>
      </c>
      <c r="F14094" s="14">
        <v>32000</v>
      </c>
      <c r="G14094" s="14">
        <v>24000</v>
      </c>
      <c r="H14094" s="13" t="s">
        <v>26922</v>
      </c>
      <c r="I14094" s="40" t="s">
        <v>18</v>
      </c>
      <c r="J14094" s="40" t="str">
        <f>HYPERLINK("https://stock.pstatic.net/stock-research/company/21/20250224_company_16042000.pdf","PDF")</f>
        <v>PDF</v>
      </c>
      <c r="K14094" s="12" t="s">
        <v>26923</v>
      </c>
      <c r="L14094" s="20">
        <v>0.33333333333333331</v>
      </c>
    </row>
    <row r="14095" spans="1:12" x14ac:dyDescent="0.45">
      <c r="A14095" s="12" t="s">
        <v>26867</v>
      </c>
      <c r="B14095" s="12" t="s">
        <v>6967</v>
      </c>
      <c r="C14095" s="13" t="s">
        <v>6968</v>
      </c>
      <c r="D14095" s="13" t="s">
        <v>34</v>
      </c>
      <c r="E14095" s="12" t="s">
        <v>35</v>
      </c>
      <c r="F14095" s="14">
        <v>27000</v>
      </c>
      <c r="G14095" s="14">
        <v>19650</v>
      </c>
      <c r="H14095" s="13" t="s">
        <v>26924</v>
      </c>
      <c r="I14095" s="40" t="s">
        <v>18</v>
      </c>
      <c r="J14095" s="40" t="str">
        <f>HYPERLINK("https://m.stock.naver.com/research/company/81194","PDF")</f>
        <v>PDF</v>
      </c>
      <c r="K14095" s="12" t="s">
        <v>26925</v>
      </c>
      <c r="L14095" s="20">
        <v>0.37404580152671763</v>
      </c>
    </row>
    <row r="14096" spans="1:12" x14ac:dyDescent="0.45">
      <c r="A14096" s="12" t="s">
        <v>26867</v>
      </c>
      <c r="B14096" s="12" t="s">
        <v>1734</v>
      </c>
      <c r="C14096" s="13" t="s">
        <v>1735</v>
      </c>
      <c r="D14096" s="13" t="s">
        <v>83</v>
      </c>
      <c r="E14096" s="12" t="s">
        <v>35</v>
      </c>
      <c r="F14096" s="14">
        <v>50000</v>
      </c>
      <c r="G14096" s="14">
        <v>34650</v>
      </c>
      <c r="H14096" s="13" t="s">
        <v>26926</v>
      </c>
      <c r="I14096" s="40" t="s">
        <v>18</v>
      </c>
      <c r="J14096" s="40" t="str">
        <f>HYPERLINK("https://m.stock.naver.com/research/company/81193","PDF")</f>
        <v>PDF</v>
      </c>
      <c r="K14096" s="12" t="s">
        <v>26927</v>
      </c>
      <c r="L14096" s="20">
        <v>0.44300144300144301</v>
      </c>
    </row>
    <row r="14097" spans="1:12" x14ac:dyDescent="0.45">
      <c r="A14097" s="12" t="s">
        <v>26867</v>
      </c>
      <c r="B14097" s="12" t="s">
        <v>1252</v>
      </c>
      <c r="C14097" s="13" t="s">
        <v>1253</v>
      </c>
      <c r="D14097" s="13" t="s">
        <v>23</v>
      </c>
      <c r="E14097" s="12" t="s">
        <v>16</v>
      </c>
      <c r="F14097" s="14">
        <v>5000</v>
      </c>
      <c r="G14097" s="14">
        <v>4115</v>
      </c>
      <c r="H14097" s="13" t="s">
        <v>23561</v>
      </c>
      <c r="I14097" s="40" t="s">
        <v>18</v>
      </c>
      <c r="J14097" s="40" t="str">
        <f>HYPERLINK("https://stock.pstatic.net/stock-research/company/21/20250224_company_545926000.pdf","PDF")</f>
        <v>PDF</v>
      </c>
      <c r="K14097" s="12" t="s">
        <v>26928</v>
      </c>
      <c r="L14097" s="20">
        <v>0.21506682867557719</v>
      </c>
    </row>
    <row r="14098" spans="1:12" x14ac:dyDescent="0.45">
      <c r="A14098" s="12" t="s">
        <v>26867</v>
      </c>
      <c r="B14098" s="12" t="s">
        <v>2231</v>
      </c>
      <c r="C14098" s="13" t="s">
        <v>2232</v>
      </c>
      <c r="D14098" s="13" t="s">
        <v>23</v>
      </c>
      <c r="E14098" s="12" t="s">
        <v>16</v>
      </c>
      <c r="F14098" s="14">
        <v>100000</v>
      </c>
      <c r="G14098" s="14">
        <v>82700</v>
      </c>
      <c r="H14098" s="13" t="s">
        <v>26929</v>
      </c>
      <c r="I14098" s="40" t="s">
        <v>18</v>
      </c>
      <c r="J14098" s="40" t="str">
        <f>HYPERLINK("https://stock.pstatic.net/stock-research/company/21/20250224_company_619662000.pdf","PDF")</f>
        <v>PDF</v>
      </c>
      <c r="K14098" s="12" t="s">
        <v>26930</v>
      </c>
      <c r="L14098" s="20">
        <v>0.20918984280532041</v>
      </c>
    </row>
    <row r="14099" spans="1:12" x14ac:dyDescent="0.45">
      <c r="A14099" s="12" t="s">
        <v>26867</v>
      </c>
      <c r="B14099" s="12" t="s">
        <v>2631</v>
      </c>
      <c r="C14099" s="13" t="s">
        <v>2632</v>
      </c>
      <c r="D14099" s="13" t="s">
        <v>34</v>
      </c>
      <c r="E14099" s="12" t="s">
        <v>50</v>
      </c>
      <c r="F14099" s="13"/>
      <c r="G14099" s="14">
        <v>17000</v>
      </c>
      <c r="H14099" s="13" t="s">
        <v>26931</v>
      </c>
      <c r="I14099" s="40" t="s">
        <v>18</v>
      </c>
      <c r="J14099" s="40" t="str">
        <f>HYPERLINK("https://stock.pstatic.net/stock-research/company/61/20250224_company_658983000.pdf","PDF")</f>
        <v>PDF</v>
      </c>
      <c r="K14099" s="12" t="s">
        <v>26932</v>
      </c>
    </row>
    <row r="14100" spans="1:12" x14ac:dyDescent="0.45">
      <c r="A14100" s="12" t="s">
        <v>26867</v>
      </c>
      <c r="B14100" s="12" t="s">
        <v>21</v>
      </c>
      <c r="C14100" s="13" t="s">
        <v>22</v>
      </c>
      <c r="D14100" s="13" t="s">
        <v>44</v>
      </c>
      <c r="E14100" s="12" t="s">
        <v>35</v>
      </c>
      <c r="F14100" s="14">
        <v>28000</v>
      </c>
      <c r="G14100" s="14">
        <v>24000</v>
      </c>
      <c r="H14100" s="13" t="s">
        <v>26933</v>
      </c>
      <c r="I14100" s="40" t="s">
        <v>18</v>
      </c>
      <c r="J14100" s="40" t="str">
        <f>HYPERLINK("https://m.stock.naver.com/research/company/81189","PDF")</f>
        <v>PDF</v>
      </c>
      <c r="K14100" s="12" t="s">
        <v>26934</v>
      </c>
      <c r="L14100" s="20">
        <v>0.16666666666666671</v>
      </c>
    </row>
    <row r="14101" spans="1:12" x14ac:dyDescent="0.45">
      <c r="A14101" s="12" t="s">
        <v>26867</v>
      </c>
      <c r="B14101" s="12" t="s">
        <v>10923</v>
      </c>
      <c r="C14101" s="13" t="s">
        <v>10924</v>
      </c>
      <c r="D14101" s="13" t="s">
        <v>44</v>
      </c>
      <c r="E14101" s="12" t="s">
        <v>50</v>
      </c>
      <c r="F14101" s="13"/>
      <c r="G14101" s="14">
        <v>8700</v>
      </c>
      <c r="H14101" s="13" t="s">
        <v>26935</v>
      </c>
      <c r="I14101" s="40" t="s">
        <v>18</v>
      </c>
      <c r="J14101" s="40" t="str">
        <f>HYPERLINK("https://stock.pstatic.net/stock-research/company/39/20250224_company_878378000.pdf","PDF")</f>
        <v>PDF</v>
      </c>
      <c r="K14101" s="12" t="s">
        <v>26936</v>
      </c>
    </row>
    <row r="14102" spans="1:12" x14ac:dyDescent="0.45">
      <c r="A14102" s="12" t="s">
        <v>26867</v>
      </c>
      <c r="B14102" s="12" t="s">
        <v>1274</v>
      </c>
      <c r="C14102" s="13" t="s">
        <v>1275</v>
      </c>
      <c r="D14102" s="13" t="s">
        <v>44</v>
      </c>
      <c r="E14102" s="12" t="s">
        <v>35</v>
      </c>
      <c r="F14102" s="14">
        <v>140000</v>
      </c>
      <c r="G14102" s="14">
        <v>98900</v>
      </c>
      <c r="H14102" s="13" t="s">
        <v>26937</v>
      </c>
      <c r="I14102" s="40" t="s">
        <v>18</v>
      </c>
      <c r="J14102" s="40" t="str">
        <f>HYPERLINK("https://stock.pstatic.net/stock-research/company/1/20250224_company_365344000.pdf","PDF")</f>
        <v>PDF</v>
      </c>
      <c r="K14102" s="12" t="s">
        <v>26938</v>
      </c>
      <c r="L14102" s="20">
        <v>0.41557128412537919</v>
      </c>
    </row>
    <row r="14103" spans="1:12" x14ac:dyDescent="0.45">
      <c r="A14103" s="12" t="s">
        <v>26867</v>
      </c>
      <c r="B14103" s="12" t="s">
        <v>1252</v>
      </c>
      <c r="C14103" s="13" t="s">
        <v>1253</v>
      </c>
      <c r="D14103" s="13" t="s">
        <v>44</v>
      </c>
      <c r="E14103" s="12" t="s">
        <v>45</v>
      </c>
      <c r="F14103" s="14">
        <v>4800</v>
      </c>
      <c r="G14103" s="14">
        <v>4110</v>
      </c>
      <c r="H14103" s="13" t="s">
        <v>26939</v>
      </c>
      <c r="I14103" s="40" t="s">
        <v>18</v>
      </c>
      <c r="J14103" s="40" t="str">
        <f>HYPERLINK("https://stock.pstatic.net/stock-research/company/39/20250224_company_344306000.pdf","PDF")</f>
        <v>PDF</v>
      </c>
      <c r="K14103" s="12" t="s">
        <v>26940</v>
      </c>
      <c r="L14103" s="20">
        <v>0.16788321167883211</v>
      </c>
    </row>
    <row r="14104" spans="1:12" x14ac:dyDescent="0.45">
      <c r="A14104" s="12" t="s">
        <v>26867</v>
      </c>
      <c r="B14104" s="12" t="s">
        <v>720</v>
      </c>
      <c r="C14104" s="13" t="s">
        <v>721</v>
      </c>
      <c r="D14104" s="13" t="s">
        <v>44</v>
      </c>
      <c r="E14104" s="12" t="s">
        <v>35</v>
      </c>
      <c r="F14104" s="14">
        <v>18000</v>
      </c>
      <c r="G14104" s="14">
        <v>14460</v>
      </c>
      <c r="H14104" s="13" t="s">
        <v>26941</v>
      </c>
      <c r="I14104" s="40" t="s">
        <v>18</v>
      </c>
      <c r="J14104" s="40" t="str">
        <f>HYPERLINK("https://m.stock.naver.com/research/company/81185","PDF")</f>
        <v>PDF</v>
      </c>
      <c r="K14104" s="12" t="s">
        <v>26942</v>
      </c>
      <c r="L14104" s="20">
        <v>0.24481327800829869</v>
      </c>
    </row>
    <row r="14105" spans="1:12" x14ac:dyDescent="0.45">
      <c r="A14105" s="12" t="s">
        <v>26867</v>
      </c>
      <c r="B14105" s="12" t="s">
        <v>118</v>
      </c>
      <c r="C14105" s="13" t="s">
        <v>119</v>
      </c>
      <c r="D14105" s="13" t="s">
        <v>53</v>
      </c>
      <c r="E14105" s="12" t="s">
        <v>16</v>
      </c>
      <c r="F14105" s="14">
        <v>95000</v>
      </c>
      <c r="G14105" s="14">
        <v>78100</v>
      </c>
      <c r="H14105" s="13" t="s">
        <v>26943</v>
      </c>
      <c r="I14105" s="40" t="s">
        <v>18</v>
      </c>
      <c r="J14105" s="40" t="str">
        <f>HYPERLINK("https://stock.pstatic.net/stock-research/company/40/20250224_company_6216000.pdf","PDF")</f>
        <v>PDF</v>
      </c>
      <c r="K14105" s="12" t="s">
        <v>26944</v>
      </c>
      <c r="L14105" s="20">
        <v>0.21638924455825859</v>
      </c>
    </row>
    <row r="14106" spans="1:12" x14ac:dyDescent="0.45">
      <c r="A14106" s="12" t="s">
        <v>26867</v>
      </c>
      <c r="B14106" s="12" t="s">
        <v>10531</v>
      </c>
      <c r="C14106" s="13" t="s">
        <v>10532</v>
      </c>
      <c r="D14106" s="13" t="s">
        <v>15</v>
      </c>
      <c r="E14106" s="12" t="s">
        <v>385</v>
      </c>
      <c r="F14106" s="14">
        <v>17000</v>
      </c>
      <c r="G14106" s="14">
        <v>16280</v>
      </c>
      <c r="H14106" s="13" t="s">
        <v>26945</v>
      </c>
      <c r="I14106" s="40" t="s">
        <v>18</v>
      </c>
      <c r="J14106" s="40" t="str">
        <f>HYPERLINK("https://stock.pstatic.net/stock-research/company/29/20250224_company_954674000.pdf","PDF")</f>
        <v>PDF</v>
      </c>
      <c r="K14106" s="12" t="s">
        <v>26946</v>
      </c>
      <c r="L14106" s="20">
        <v>4.4226044226044217E-2</v>
      </c>
    </row>
    <row r="14107" spans="1:12" x14ac:dyDescent="0.45">
      <c r="A14107" s="12" t="s">
        <v>26947</v>
      </c>
      <c r="B14107" s="12" t="s">
        <v>1266</v>
      </c>
      <c r="C14107" s="13" t="s">
        <v>1267</v>
      </c>
      <c r="D14107" s="13" t="s">
        <v>83</v>
      </c>
      <c r="E14107" s="12" t="s">
        <v>35</v>
      </c>
      <c r="F14107" s="14">
        <v>125000</v>
      </c>
      <c r="G14107" s="14">
        <v>95500</v>
      </c>
      <c r="H14107" s="13" t="s">
        <v>26948</v>
      </c>
      <c r="I14107" s="40" t="s">
        <v>18</v>
      </c>
      <c r="J14107" s="40" t="str">
        <f>HYPERLINK("https://m.stock.naver.com/research/company/81182","PDF")</f>
        <v>PDF</v>
      </c>
      <c r="K14107" s="12" t="s">
        <v>26949</v>
      </c>
      <c r="L14107" s="20">
        <v>0.30890052356020942</v>
      </c>
    </row>
    <row r="14108" spans="1:12" x14ac:dyDescent="0.45">
      <c r="A14108" s="12" t="s">
        <v>26947</v>
      </c>
      <c r="B14108" s="12" t="s">
        <v>356</v>
      </c>
      <c r="C14108" s="13" t="s">
        <v>357</v>
      </c>
      <c r="D14108" s="13" t="s">
        <v>83</v>
      </c>
      <c r="E14108" s="12" t="s">
        <v>35</v>
      </c>
      <c r="F14108" s="14">
        <v>25000</v>
      </c>
      <c r="G14108" s="14">
        <v>21850</v>
      </c>
      <c r="H14108" s="13" t="s">
        <v>26950</v>
      </c>
      <c r="I14108" s="40" t="s">
        <v>18</v>
      </c>
      <c r="J14108" s="40" t="str">
        <f>HYPERLINK("https://stock.pstatic.net/stock-research/company/2/20250221_company_551825000.pdf","PDF")</f>
        <v>PDF</v>
      </c>
      <c r="K14108" s="12" t="s">
        <v>26951</v>
      </c>
      <c r="L14108" s="20">
        <v>0.14416475972540049</v>
      </c>
    </row>
    <row r="14109" spans="1:12" x14ac:dyDescent="0.45">
      <c r="A14109" s="12" t="s">
        <v>26947</v>
      </c>
      <c r="B14109" s="12" t="s">
        <v>1660</v>
      </c>
      <c r="C14109" s="13" t="s">
        <v>1661</v>
      </c>
      <c r="D14109" s="13" t="s">
        <v>83</v>
      </c>
      <c r="E14109" s="12" t="s">
        <v>35</v>
      </c>
      <c r="F14109" s="14">
        <v>64000</v>
      </c>
      <c r="G14109" s="14">
        <v>49400</v>
      </c>
      <c r="H14109" s="13" t="s">
        <v>26952</v>
      </c>
      <c r="I14109" s="40" t="s">
        <v>18</v>
      </c>
      <c r="J14109" s="40" t="str">
        <f>HYPERLINK("https://m.stock.naver.com/research/company/81180","PDF")</f>
        <v>PDF</v>
      </c>
      <c r="K14109" s="12" t="s">
        <v>26953</v>
      </c>
      <c r="L14109" s="20">
        <v>0.29554655870445351</v>
      </c>
    </row>
    <row r="14110" spans="1:12" x14ac:dyDescent="0.45">
      <c r="A14110" s="12" t="s">
        <v>26947</v>
      </c>
      <c r="B14110" s="12" t="s">
        <v>23652</v>
      </c>
      <c r="C14110" s="13" t="s">
        <v>23653</v>
      </c>
      <c r="D14110" s="13" t="s">
        <v>65</v>
      </c>
      <c r="E14110" s="12" t="s">
        <v>50</v>
      </c>
      <c r="F14110" s="13"/>
      <c r="G14110" s="14">
        <v>25000</v>
      </c>
      <c r="H14110" s="13" t="s">
        <v>26954</v>
      </c>
      <c r="I14110" s="40" t="s">
        <v>18</v>
      </c>
      <c r="J14110" s="40" t="str">
        <f>HYPERLINK("https://m.stock.naver.com/research/company/81179","PDF")</f>
        <v>PDF</v>
      </c>
      <c r="K14110" s="12" t="s">
        <v>26955</v>
      </c>
    </row>
    <row r="14111" spans="1:12" x14ac:dyDescent="0.45">
      <c r="A14111" s="12" t="s">
        <v>26947</v>
      </c>
      <c r="B14111" s="12" t="s">
        <v>1120</v>
      </c>
      <c r="C14111" s="13" t="s">
        <v>1121</v>
      </c>
      <c r="D14111" s="13" t="s">
        <v>57</v>
      </c>
      <c r="E14111" s="12" t="s">
        <v>35</v>
      </c>
      <c r="F14111" s="14">
        <v>140000</v>
      </c>
      <c r="G14111" s="14">
        <v>110100</v>
      </c>
      <c r="H14111" s="13" t="s">
        <v>26956</v>
      </c>
      <c r="I14111" s="40" t="s">
        <v>18</v>
      </c>
      <c r="J14111" s="40" t="str">
        <f>HYPERLINK("https://stock.pstatic.net/stock-research/company/16/20250221_company_126747000.pdf","PDF")</f>
        <v>PDF</v>
      </c>
      <c r="K14111" s="12" t="s">
        <v>26957</v>
      </c>
      <c r="L14111" s="20">
        <v>0.27157129881925518</v>
      </c>
    </row>
    <row r="14112" spans="1:12" x14ac:dyDescent="0.45">
      <c r="A14112" s="12" t="s">
        <v>26947</v>
      </c>
      <c r="B14112" s="12" t="s">
        <v>1266</v>
      </c>
      <c r="C14112" s="13" t="s">
        <v>1267</v>
      </c>
      <c r="D14112" s="13" t="s">
        <v>15</v>
      </c>
      <c r="E14112" s="12" t="s">
        <v>385</v>
      </c>
      <c r="F14112" s="14">
        <v>105000</v>
      </c>
      <c r="G14112" s="14">
        <v>95500</v>
      </c>
      <c r="H14112" s="13" t="s">
        <v>26958</v>
      </c>
      <c r="I14112" s="40" t="s">
        <v>18</v>
      </c>
      <c r="J14112" s="40" t="str">
        <f>HYPERLINK("https://stock.pstatic.net/stock-research/company/56/20250221_company_752999000.pdf","PDF")</f>
        <v>PDF</v>
      </c>
      <c r="K14112" s="12" t="s">
        <v>26959</v>
      </c>
      <c r="L14112" s="20">
        <v>9.947643979057591E-2</v>
      </c>
    </row>
    <row r="14113" spans="1:12" x14ac:dyDescent="0.45">
      <c r="A14113" s="12" t="s">
        <v>26947</v>
      </c>
      <c r="B14113" s="12" t="s">
        <v>1266</v>
      </c>
      <c r="C14113" s="13" t="s">
        <v>1267</v>
      </c>
      <c r="D14113" s="13" t="s">
        <v>57</v>
      </c>
      <c r="E14113" s="12" t="s">
        <v>159</v>
      </c>
      <c r="F14113" s="14">
        <v>110000</v>
      </c>
      <c r="G14113" s="14">
        <v>95500</v>
      </c>
      <c r="H14113" s="13" t="s">
        <v>26960</v>
      </c>
      <c r="I14113" s="40" t="s">
        <v>18</v>
      </c>
      <c r="J14113" s="40" t="str">
        <f>HYPERLINK("https://stock.pstatic.net/stock-research/company/16/20250221_company_309697000.pdf","PDF")</f>
        <v>PDF</v>
      </c>
      <c r="K14113" s="12" t="s">
        <v>26961</v>
      </c>
      <c r="L14113" s="20">
        <v>0.15183246073298429</v>
      </c>
    </row>
    <row r="14114" spans="1:12" x14ac:dyDescent="0.45">
      <c r="A14114" s="12" t="s">
        <v>26947</v>
      </c>
      <c r="B14114" s="12" t="s">
        <v>1262</v>
      </c>
      <c r="C14114" s="13" t="s">
        <v>1263</v>
      </c>
      <c r="D14114" s="13" t="s">
        <v>57</v>
      </c>
      <c r="E14114" s="12" t="s">
        <v>35</v>
      </c>
      <c r="F14114" s="14">
        <v>3600</v>
      </c>
      <c r="G14114" s="14">
        <v>2715</v>
      </c>
      <c r="H14114" s="13" t="s">
        <v>26962</v>
      </c>
      <c r="I14114" s="40" t="s">
        <v>18</v>
      </c>
      <c r="J14114" s="40" t="str">
        <f>HYPERLINK("https://stock.pstatic.net/stock-research/company/16/20250221_company_41984000.pdf","PDF")</f>
        <v>PDF</v>
      </c>
      <c r="K14114" s="12" t="s">
        <v>26963</v>
      </c>
      <c r="L14114" s="20">
        <v>0.32596685082872928</v>
      </c>
    </row>
    <row r="14115" spans="1:12" x14ac:dyDescent="0.45">
      <c r="A14115" s="12" t="s">
        <v>26947</v>
      </c>
      <c r="B14115" s="12" t="s">
        <v>3478</v>
      </c>
      <c r="C14115" s="13" t="s">
        <v>3479</v>
      </c>
      <c r="D14115" s="13" t="s">
        <v>158</v>
      </c>
      <c r="E14115" s="12" t="s">
        <v>35</v>
      </c>
      <c r="F14115" s="14">
        <v>35000</v>
      </c>
      <c r="G14115" s="14">
        <v>25550</v>
      </c>
      <c r="H14115" s="13" t="s">
        <v>26964</v>
      </c>
      <c r="I14115" s="40" t="s">
        <v>18</v>
      </c>
      <c r="J14115" s="40" t="str">
        <f>HYPERLINK("https://stock.pstatic.net/stock-research/company/1/20250221_company_600286000.pdf","PDF")</f>
        <v>PDF</v>
      </c>
      <c r="K14115" s="12" t="s">
        <v>26965</v>
      </c>
      <c r="L14115" s="20">
        <v>0.36986301369863012</v>
      </c>
    </row>
    <row r="14116" spans="1:12" x14ac:dyDescent="0.45">
      <c r="A14116" s="12" t="s">
        <v>26947</v>
      </c>
      <c r="B14116" s="12" t="s">
        <v>565</v>
      </c>
      <c r="C14116" s="13" t="s">
        <v>566</v>
      </c>
      <c r="D14116" s="13" t="s">
        <v>15</v>
      </c>
      <c r="E14116" s="12" t="s">
        <v>16</v>
      </c>
      <c r="F14116" s="14">
        <v>35000</v>
      </c>
      <c r="G14116" s="14">
        <v>25550</v>
      </c>
      <c r="H14116" s="13" t="s">
        <v>26966</v>
      </c>
      <c r="I14116" s="40" t="s">
        <v>18</v>
      </c>
      <c r="J14116" s="40" t="str">
        <f>HYPERLINK("https://m.stock.naver.com/research/company/81173","PDF")</f>
        <v>PDF</v>
      </c>
      <c r="K14116" s="12" t="s">
        <v>26967</v>
      </c>
      <c r="L14116" s="20">
        <v>0.36986301369863012</v>
      </c>
    </row>
    <row r="14117" spans="1:12" x14ac:dyDescent="0.45">
      <c r="A14117" s="12" t="s">
        <v>26947</v>
      </c>
      <c r="B14117" s="12" t="s">
        <v>27</v>
      </c>
      <c r="C14117" s="13" t="s">
        <v>28</v>
      </c>
      <c r="D14117" s="13" t="s">
        <v>92</v>
      </c>
      <c r="E14117" s="12" t="s">
        <v>35</v>
      </c>
      <c r="F14117" s="14">
        <v>85000</v>
      </c>
      <c r="G14117" s="14">
        <v>64000</v>
      </c>
      <c r="H14117" s="13" t="s">
        <v>26968</v>
      </c>
      <c r="I14117" s="40" t="s">
        <v>18</v>
      </c>
      <c r="J14117" s="40" t="str">
        <f>HYPERLINK("https://m.stock.naver.com/research/company/81172","PDF")</f>
        <v>PDF</v>
      </c>
      <c r="K14117" s="12" t="s">
        <v>26969</v>
      </c>
      <c r="L14117" s="20">
        <v>0.328125</v>
      </c>
    </row>
    <row r="14118" spans="1:12" x14ac:dyDescent="0.45">
      <c r="A14118" s="12" t="s">
        <v>26947</v>
      </c>
      <c r="B14118" s="12" t="s">
        <v>1266</v>
      </c>
      <c r="C14118" s="13" t="s">
        <v>1267</v>
      </c>
      <c r="D14118" s="13" t="s">
        <v>23</v>
      </c>
      <c r="E14118" s="12" t="s">
        <v>16</v>
      </c>
      <c r="F14118" s="14">
        <v>110000</v>
      </c>
      <c r="G14118" s="14">
        <v>95500</v>
      </c>
      <c r="H14118" s="13" t="s">
        <v>26970</v>
      </c>
      <c r="I14118" s="40" t="s">
        <v>18</v>
      </c>
      <c r="J14118" s="40" t="str">
        <f>HYPERLINK("https://m.stock.naver.com/research/company/81171","PDF")</f>
        <v>PDF</v>
      </c>
      <c r="K14118" s="12" t="s">
        <v>26971</v>
      </c>
      <c r="L14118" s="20">
        <v>0.15183246073298429</v>
      </c>
    </row>
    <row r="14119" spans="1:12" x14ac:dyDescent="0.45">
      <c r="A14119" s="12" t="s">
        <v>26947</v>
      </c>
      <c r="B14119" s="12" t="s">
        <v>1065</v>
      </c>
      <c r="C14119" s="13" t="s">
        <v>1066</v>
      </c>
      <c r="D14119" s="13" t="s">
        <v>23</v>
      </c>
      <c r="E14119" s="12" t="s">
        <v>16</v>
      </c>
      <c r="F14119" s="14">
        <v>130000</v>
      </c>
      <c r="G14119" s="14">
        <v>87000</v>
      </c>
      <c r="H14119" s="13" t="s">
        <v>26972</v>
      </c>
      <c r="I14119" s="40" t="s">
        <v>18</v>
      </c>
      <c r="J14119" s="40" t="str">
        <f>HYPERLINK("https://stock.pstatic.net/stock-research/company/21/20250221_company_513347000.pdf","PDF")</f>
        <v>PDF</v>
      </c>
      <c r="K14119" s="12" t="s">
        <v>26973</v>
      </c>
      <c r="L14119" s="20">
        <v>0.4942528735632184</v>
      </c>
    </row>
    <row r="14120" spans="1:12" x14ac:dyDescent="0.45">
      <c r="A14120" s="12" t="s">
        <v>26947</v>
      </c>
      <c r="B14120" s="12" t="s">
        <v>545</v>
      </c>
      <c r="C14120" s="13" t="s">
        <v>546</v>
      </c>
      <c r="D14120" s="13" t="s">
        <v>23</v>
      </c>
      <c r="E14120" s="12" t="s">
        <v>16</v>
      </c>
      <c r="F14120" s="14">
        <v>260000</v>
      </c>
      <c r="G14120" s="14">
        <v>198100</v>
      </c>
      <c r="H14120" s="13" t="s">
        <v>26974</v>
      </c>
      <c r="I14120" s="40" t="s">
        <v>18</v>
      </c>
      <c r="J14120" s="40" t="str">
        <f>HYPERLINK("https://m.stock.naver.com/research/company/81169","PDF")</f>
        <v>PDF</v>
      </c>
      <c r="K14120" s="12" t="s">
        <v>26975</v>
      </c>
      <c r="L14120" s="20">
        <v>0.31246845027763748</v>
      </c>
    </row>
    <row r="14121" spans="1:12" x14ac:dyDescent="0.45">
      <c r="A14121" s="12" t="s">
        <v>26947</v>
      </c>
      <c r="B14121" s="12" t="s">
        <v>1266</v>
      </c>
      <c r="C14121" s="13" t="s">
        <v>1267</v>
      </c>
      <c r="D14121" s="13" t="s">
        <v>179</v>
      </c>
      <c r="E14121" s="12" t="s">
        <v>16</v>
      </c>
      <c r="F14121" s="14">
        <v>114000</v>
      </c>
      <c r="G14121" s="14">
        <v>95500</v>
      </c>
      <c r="H14121" s="13" t="s">
        <v>26976</v>
      </c>
      <c r="I14121" s="40" t="s">
        <v>18</v>
      </c>
      <c r="J14121" s="40" t="str">
        <f>HYPERLINK("https://stock.pstatic.net/stock-research/company/31/20250221_company_902763000.pdf","PDF")</f>
        <v>PDF</v>
      </c>
      <c r="K14121" s="12" t="s">
        <v>26977</v>
      </c>
      <c r="L14121" s="20">
        <v>0.193717277486911</v>
      </c>
    </row>
    <row r="14122" spans="1:12" x14ac:dyDescent="0.45">
      <c r="A14122" s="12" t="s">
        <v>26947</v>
      </c>
      <c r="B14122" s="12" t="s">
        <v>1262</v>
      </c>
      <c r="C14122" s="13" t="s">
        <v>1263</v>
      </c>
      <c r="D14122" s="13" t="s">
        <v>44</v>
      </c>
      <c r="E14122" s="12" t="s">
        <v>45</v>
      </c>
      <c r="F14122" s="14">
        <v>3200</v>
      </c>
      <c r="G14122" s="14">
        <v>2715</v>
      </c>
      <c r="H14122" s="13" t="s">
        <v>26978</v>
      </c>
      <c r="I14122" s="40" t="s">
        <v>18</v>
      </c>
      <c r="J14122" s="40" t="str">
        <f>HYPERLINK("https://m.stock.naver.com/research/company/81167","PDF")</f>
        <v>PDF</v>
      </c>
      <c r="K14122" s="12" t="s">
        <v>26979</v>
      </c>
      <c r="L14122" s="20">
        <v>0.17863720073664821</v>
      </c>
    </row>
    <row r="14123" spans="1:12" x14ac:dyDescent="0.45">
      <c r="A14123" s="12" t="s">
        <v>26947</v>
      </c>
      <c r="B14123" s="12" t="s">
        <v>1266</v>
      </c>
      <c r="C14123" s="13" t="s">
        <v>1267</v>
      </c>
      <c r="D14123" s="13" t="s">
        <v>44</v>
      </c>
      <c r="E14123" s="12" t="s">
        <v>35</v>
      </c>
      <c r="F14123" s="14">
        <v>140000</v>
      </c>
      <c r="G14123" s="14">
        <v>95500</v>
      </c>
      <c r="H14123" s="13" t="s">
        <v>26980</v>
      </c>
      <c r="I14123" s="40" t="s">
        <v>18</v>
      </c>
      <c r="J14123" s="40" t="str">
        <f>HYPERLINK("https://stock.pstatic.net/stock-research/company/39/20250221_company_645865000.pdf","PDF")</f>
        <v>PDF</v>
      </c>
      <c r="K14123" s="12" t="s">
        <v>26981</v>
      </c>
      <c r="L14123" s="20">
        <v>0.46596858638743449</v>
      </c>
    </row>
    <row r="14124" spans="1:12" x14ac:dyDescent="0.45">
      <c r="A14124" s="12" t="s">
        <v>26947</v>
      </c>
      <c r="B14124" s="12" t="s">
        <v>1262</v>
      </c>
      <c r="C14124" s="13" t="s">
        <v>1263</v>
      </c>
      <c r="D14124" s="13" t="s">
        <v>179</v>
      </c>
      <c r="E14124" s="12" t="s">
        <v>16</v>
      </c>
      <c r="F14124" s="14">
        <v>3500</v>
      </c>
      <c r="G14124" s="14">
        <v>2715</v>
      </c>
      <c r="H14124" s="13" t="s">
        <v>26982</v>
      </c>
      <c r="I14124" s="40" t="s">
        <v>18</v>
      </c>
      <c r="J14124" s="40" t="str">
        <f>HYPERLINK("https://stock.pstatic.net/stock-research/company/31/20250221_company_907978000.pdf","PDF")</f>
        <v>PDF</v>
      </c>
      <c r="K14124" s="12" t="s">
        <v>26983</v>
      </c>
      <c r="L14124" s="20">
        <v>0.28913443830570901</v>
      </c>
    </row>
    <row r="14125" spans="1:12" x14ac:dyDescent="0.45">
      <c r="A14125" s="12" t="s">
        <v>26947</v>
      </c>
      <c r="B14125" s="12" t="s">
        <v>1220</v>
      </c>
      <c r="C14125" s="13" t="s">
        <v>1221</v>
      </c>
      <c r="D14125" s="13" t="s">
        <v>23</v>
      </c>
      <c r="E14125" s="12" t="s">
        <v>16</v>
      </c>
      <c r="F14125" s="14">
        <v>36000</v>
      </c>
      <c r="G14125" s="14">
        <v>24950</v>
      </c>
      <c r="H14125" s="13" t="s">
        <v>26984</v>
      </c>
      <c r="I14125" s="40" t="s">
        <v>18</v>
      </c>
      <c r="J14125" s="40" t="str">
        <f>HYPERLINK("https://m.stock.naver.com/research/company/81164","PDF")</f>
        <v>PDF</v>
      </c>
      <c r="K14125" s="12" t="s">
        <v>26985</v>
      </c>
      <c r="L14125" s="20">
        <v>0.44288577154308623</v>
      </c>
    </row>
    <row r="14126" spans="1:12" x14ac:dyDescent="0.45">
      <c r="A14126" s="12" t="s">
        <v>26947</v>
      </c>
      <c r="B14126" s="12" t="s">
        <v>1526</v>
      </c>
      <c r="C14126" s="13" t="s">
        <v>1527</v>
      </c>
      <c r="D14126" s="13" t="s">
        <v>124</v>
      </c>
      <c r="E14126" s="12" t="s">
        <v>50</v>
      </c>
      <c r="F14126" s="13"/>
      <c r="G14126" s="13"/>
      <c r="H14126" s="13" t="s">
        <v>26986</v>
      </c>
      <c r="I14126" s="40" t="s">
        <v>18</v>
      </c>
      <c r="J14126" s="40" t="str">
        <f>HYPERLINK("https://m.stock.naver.com/research/company/81163","PDF")</f>
        <v>PDF</v>
      </c>
      <c r="K14126" s="12" t="s">
        <v>26987</v>
      </c>
    </row>
    <row r="14127" spans="1:12" x14ac:dyDescent="0.45">
      <c r="A14127" s="12" t="s">
        <v>26947</v>
      </c>
      <c r="B14127" s="12" t="s">
        <v>916</v>
      </c>
      <c r="C14127" s="13" t="s">
        <v>917</v>
      </c>
      <c r="D14127" s="13" t="s">
        <v>53</v>
      </c>
      <c r="E14127" s="12" t="s">
        <v>16</v>
      </c>
      <c r="F14127" s="14">
        <v>59000</v>
      </c>
      <c r="G14127" s="14">
        <v>39750</v>
      </c>
      <c r="H14127" s="13" t="s">
        <v>26988</v>
      </c>
      <c r="I14127" s="40" t="s">
        <v>18</v>
      </c>
      <c r="J14127" s="40" t="str">
        <f>HYPERLINK("https://m.stock.naver.com/research/company/81162","PDF")</f>
        <v>PDF</v>
      </c>
      <c r="K14127" s="12" t="s">
        <v>26989</v>
      </c>
      <c r="L14127" s="20">
        <v>0.48427672955974838</v>
      </c>
    </row>
    <row r="14128" spans="1:12" x14ac:dyDescent="0.45">
      <c r="A14128" s="12" t="s">
        <v>26947</v>
      </c>
      <c r="B14128" s="12" t="s">
        <v>7287</v>
      </c>
      <c r="C14128" s="13" t="s">
        <v>7288</v>
      </c>
      <c r="D14128" s="13" t="s">
        <v>15</v>
      </c>
      <c r="E14128" s="12" t="s">
        <v>50</v>
      </c>
      <c r="F14128" s="13"/>
      <c r="G14128" s="14">
        <v>93000</v>
      </c>
      <c r="H14128" s="13" t="s">
        <v>26990</v>
      </c>
      <c r="I14128" s="40" t="s">
        <v>18</v>
      </c>
      <c r="J14128" s="40" t="str">
        <f>HYPERLINK("https://m.stock.naver.com/research/company/81161","PDF")</f>
        <v>PDF</v>
      </c>
      <c r="K14128" s="12" t="s">
        <v>26991</v>
      </c>
    </row>
    <row r="14129" spans="1:12" x14ac:dyDescent="0.45">
      <c r="A14129" s="12" t="s">
        <v>26992</v>
      </c>
      <c r="B14129" s="12" t="s">
        <v>2414</v>
      </c>
      <c r="C14129" s="13" t="s">
        <v>2415</v>
      </c>
      <c r="D14129" s="13" t="s">
        <v>276</v>
      </c>
      <c r="E14129" s="12" t="s">
        <v>16</v>
      </c>
      <c r="F14129" s="14">
        <v>450000</v>
      </c>
      <c r="G14129" s="14">
        <v>357000</v>
      </c>
      <c r="H14129" s="13" t="s">
        <v>26993</v>
      </c>
      <c r="I14129" s="40" t="s">
        <v>18</v>
      </c>
      <c r="J14129" s="40" t="str">
        <f>HYPERLINK("https://m.stock.naver.com/research/company/81160","PDF")</f>
        <v>PDF</v>
      </c>
      <c r="K14129" s="12" t="s">
        <v>26994</v>
      </c>
      <c r="L14129" s="20">
        <v>0.26050420168067229</v>
      </c>
    </row>
    <row r="14130" spans="1:12" x14ac:dyDescent="0.45">
      <c r="A14130" s="12" t="s">
        <v>26992</v>
      </c>
      <c r="B14130" s="12" t="s">
        <v>8387</v>
      </c>
      <c r="C14130" s="13" t="s">
        <v>8388</v>
      </c>
      <c r="D14130" s="13" t="s">
        <v>57</v>
      </c>
      <c r="E14130" s="12" t="s">
        <v>35</v>
      </c>
      <c r="F14130" s="14">
        <v>24000</v>
      </c>
      <c r="G14130" s="14">
        <v>17600</v>
      </c>
      <c r="H14130" s="13" t="s">
        <v>26995</v>
      </c>
      <c r="I14130" s="40" t="s">
        <v>18</v>
      </c>
      <c r="J14130" s="40" t="str">
        <f>HYPERLINK("https://m.stock.naver.com/research/company/81159","PDF")</f>
        <v>PDF</v>
      </c>
      <c r="K14130" s="12" t="s">
        <v>26996</v>
      </c>
      <c r="L14130" s="20">
        <v>0.36363636363636359</v>
      </c>
    </row>
    <row r="14131" spans="1:12" x14ac:dyDescent="0.45">
      <c r="A14131" s="12" t="s">
        <v>26992</v>
      </c>
      <c r="B14131" s="12" t="s">
        <v>957</v>
      </c>
      <c r="C14131" s="13" t="s">
        <v>958</v>
      </c>
      <c r="D14131" s="13" t="s">
        <v>34</v>
      </c>
      <c r="E14131" s="12" t="s">
        <v>35</v>
      </c>
      <c r="F14131" s="14">
        <v>300000</v>
      </c>
      <c r="G14131" s="14">
        <v>238000</v>
      </c>
      <c r="H14131" s="13" t="s">
        <v>26997</v>
      </c>
      <c r="I14131" s="40" t="s">
        <v>18</v>
      </c>
      <c r="J14131" s="40" t="str">
        <f>HYPERLINK("https://m.stock.naver.com/research/company/81158","PDF")</f>
        <v>PDF</v>
      </c>
      <c r="K14131" s="12" t="s">
        <v>26998</v>
      </c>
      <c r="L14131" s="20">
        <v>0.26050420168067229</v>
      </c>
    </row>
    <row r="14132" spans="1:12" x14ac:dyDescent="0.45">
      <c r="A14132" s="12" t="s">
        <v>26992</v>
      </c>
      <c r="B14132" s="12" t="s">
        <v>86</v>
      </c>
      <c r="C14132" s="13" t="s">
        <v>87</v>
      </c>
      <c r="D14132" s="13" t="s">
        <v>15</v>
      </c>
      <c r="E14132" s="12" t="s">
        <v>50</v>
      </c>
      <c r="F14132" s="14">
        <v>136000</v>
      </c>
      <c r="G14132" s="14">
        <v>119400</v>
      </c>
      <c r="H14132" s="13" t="s">
        <v>26999</v>
      </c>
      <c r="I14132" s="40" t="s">
        <v>18</v>
      </c>
      <c r="J14132" s="40" t="str">
        <f>HYPERLINK("https://m.stock.naver.com/research/company/81157","PDF")</f>
        <v>PDF</v>
      </c>
      <c r="K14132" s="12" t="s">
        <v>27000</v>
      </c>
      <c r="L14132" s="20">
        <v>0.13902847571189281</v>
      </c>
    </row>
    <row r="14133" spans="1:12" x14ac:dyDescent="0.45">
      <c r="A14133" s="12" t="s">
        <v>26992</v>
      </c>
      <c r="B14133" s="12" t="s">
        <v>5912</v>
      </c>
      <c r="C14133" s="13" t="s">
        <v>5913</v>
      </c>
      <c r="D14133" s="13" t="s">
        <v>179</v>
      </c>
      <c r="E14133" s="12" t="s">
        <v>50</v>
      </c>
      <c r="F14133" s="13"/>
      <c r="G14133" s="14">
        <v>22600</v>
      </c>
      <c r="H14133" s="13" t="s">
        <v>27001</v>
      </c>
      <c r="I14133" s="40" t="s">
        <v>18</v>
      </c>
      <c r="J14133" s="40" t="str">
        <f>HYPERLINK("https://stock.pstatic.net/stock-research/company/31/20250220_company_268542000.pdf","PDF")</f>
        <v>PDF</v>
      </c>
      <c r="K14133" s="12" t="s">
        <v>27002</v>
      </c>
    </row>
    <row r="14134" spans="1:12" x14ac:dyDescent="0.45">
      <c r="A14134" s="12" t="s">
        <v>26992</v>
      </c>
      <c r="B14134" s="12" t="s">
        <v>2040</v>
      </c>
      <c r="C14134" s="13" t="s">
        <v>2041</v>
      </c>
      <c r="D14134" s="13" t="s">
        <v>34</v>
      </c>
      <c r="E14134" s="12" t="s">
        <v>35</v>
      </c>
      <c r="F14134" s="14">
        <v>100000</v>
      </c>
      <c r="G14134" s="14">
        <v>68900</v>
      </c>
      <c r="H14134" s="13" t="s">
        <v>27003</v>
      </c>
      <c r="I14134" s="40" t="s">
        <v>18</v>
      </c>
      <c r="J14134" s="40" t="str">
        <f>HYPERLINK("https://stock.pstatic.net/stock-research/company/1/20250220_company_465860000.pdf","PDF")</f>
        <v>PDF</v>
      </c>
      <c r="K14134" s="12" t="s">
        <v>27004</v>
      </c>
      <c r="L14134" s="20">
        <v>0.4513788098693759</v>
      </c>
    </row>
    <row r="14135" spans="1:12" x14ac:dyDescent="0.45">
      <c r="A14135" s="12" t="s">
        <v>26992</v>
      </c>
      <c r="B14135" s="12" t="s">
        <v>1212</v>
      </c>
      <c r="C14135" s="13" t="s">
        <v>1213</v>
      </c>
      <c r="D14135" s="13" t="s">
        <v>179</v>
      </c>
      <c r="E14135" s="12" t="s">
        <v>50</v>
      </c>
      <c r="F14135" s="13"/>
      <c r="G14135" s="14">
        <v>22800</v>
      </c>
      <c r="H14135" s="13" t="s">
        <v>27005</v>
      </c>
      <c r="I14135" s="40" t="s">
        <v>18</v>
      </c>
      <c r="J14135" s="40" t="str">
        <f>HYPERLINK("https://stock.pstatic.net/stock-research/company/31/20250220_company_399851000.pdf","PDF")</f>
        <v>PDF</v>
      </c>
      <c r="K14135" s="12" t="s">
        <v>27006</v>
      </c>
    </row>
    <row r="14136" spans="1:12" x14ac:dyDescent="0.45">
      <c r="A14136" s="12" t="s">
        <v>26992</v>
      </c>
      <c r="B14136" s="12" t="s">
        <v>1350</v>
      </c>
      <c r="C14136" s="13" t="s">
        <v>1351</v>
      </c>
      <c r="D14136" s="13" t="s">
        <v>179</v>
      </c>
      <c r="E14136" s="12" t="s">
        <v>50</v>
      </c>
      <c r="F14136" s="13"/>
      <c r="G14136" s="14">
        <v>43750</v>
      </c>
      <c r="H14136" s="13" t="s">
        <v>27007</v>
      </c>
      <c r="I14136" s="40" t="s">
        <v>18</v>
      </c>
      <c r="J14136" s="40" t="str">
        <f>HYPERLINK("https://stock.pstatic.net/stock-research/company/31/20250220_company_201167000.pdf","PDF")</f>
        <v>PDF</v>
      </c>
      <c r="K14136" s="12" t="s">
        <v>27008</v>
      </c>
    </row>
    <row r="14137" spans="1:12" x14ac:dyDescent="0.45">
      <c r="A14137" s="12" t="s">
        <v>26992</v>
      </c>
      <c r="B14137" s="12" t="s">
        <v>3423</v>
      </c>
      <c r="C14137" s="13" t="s">
        <v>3424</v>
      </c>
      <c r="D14137" s="13" t="s">
        <v>83</v>
      </c>
      <c r="E14137" s="12" t="s">
        <v>50</v>
      </c>
      <c r="F14137" s="13"/>
      <c r="G14137" s="14">
        <v>43600</v>
      </c>
      <c r="H14137" s="13" t="s">
        <v>27009</v>
      </c>
      <c r="I14137" s="40" t="s">
        <v>18</v>
      </c>
      <c r="J14137" s="40" t="str">
        <f>HYPERLINK("https://stock.pstatic.net/stock-research/company/2/20250220_company_35653000.pdf","PDF")</f>
        <v>PDF</v>
      </c>
      <c r="K14137" s="12" t="s">
        <v>27010</v>
      </c>
    </row>
    <row r="14138" spans="1:12" x14ac:dyDescent="0.45">
      <c r="A14138" s="12" t="s">
        <v>26992</v>
      </c>
      <c r="B14138" s="12" t="s">
        <v>23747</v>
      </c>
      <c r="C14138" s="13" t="s">
        <v>23748</v>
      </c>
      <c r="D14138" s="13" t="s">
        <v>83</v>
      </c>
      <c r="E14138" s="12" t="s">
        <v>50</v>
      </c>
      <c r="F14138" s="13"/>
      <c r="G14138" s="14">
        <v>24900</v>
      </c>
      <c r="H14138" s="13" t="s">
        <v>27011</v>
      </c>
      <c r="I14138" s="40" t="s">
        <v>18</v>
      </c>
      <c r="J14138" s="40" t="str">
        <f>HYPERLINK("https://stock.pstatic.net/stock-research/company/2/20250220_company_278127000.pdf","PDF")</f>
        <v>PDF</v>
      </c>
      <c r="K14138" s="12" t="s">
        <v>27012</v>
      </c>
    </row>
    <row r="14139" spans="1:12" x14ac:dyDescent="0.45">
      <c r="A14139" s="12" t="s">
        <v>26992</v>
      </c>
      <c r="B14139" s="12" t="s">
        <v>2414</v>
      </c>
      <c r="C14139" s="13" t="s">
        <v>2415</v>
      </c>
      <c r="D14139" s="13" t="s">
        <v>83</v>
      </c>
      <c r="E14139" s="12" t="s">
        <v>35</v>
      </c>
      <c r="F14139" s="14">
        <v>420000</v>
      </c>
      <c r="G14139" s="14">
        <v>357000</v>
      </c>
      <c r="H14139" s="13" t="s">
        <v>27013</v>
      </c>
      <c r="I14139" s="40" t="s">
        <v>18</v>
      </c>
      <c r="J14139" s="40" t="str">
        <f>HYPERLINK("https://stock.pstatic.net/stock-research/company/2/20250220_company_838688000.pdf","PDF")</f>
        <v>PDF</v>
      </c>
      <c r="K14139" s="12" t="s">
        <v>27014</v>
      </c>
      <c r="L14139" s="20">
        <v>0.1764705882352941</v>
      </c>
    </row>
    <row r="14140" spans="1:12" x14ac:dyDescent="0.45">
      <c r="A14140" s="12" t="s">
        <v>26992</v>
      </c>
      <c r="B14140" s="12" t="s">
        <v>86</v>
      </c>
      <c r="C14140" s="13" t="s">
        <v>87</v>
      </c>
      <c r="D14140" s="13" t="s">
        <v>83</v>
      </c>
      <c r="E14140" s="12" t="s">
        <v>35</v>
      </c>
      <c r="F14140" s="14">
        <v>140000</v>
      </c>
      <c r="G14140" s="14">
        <v>119400</v>
      </c>
      <c r="H14140" s="13" t="s">
        <v>27015</v>
      </c>
      <c r="I14140" s="40" t="s">
        <v>18</v>
      </c>
      <c r="J14140" s="40" t="str">
        <f>HYPERLINK("https://stock.pstatic.net/stock-research/company/2/20250220_company_961512000.pdf","PDF")</f>
        <v>PDF</v>
      </c>
      <c r="K14140" s="12" t="s">
        <v>27016</v>
      </c>
      <c r="L14140" s="20">
        <v>0.1725293132328308</v>
      </c>
    </row>
    <row r="14141" spans="1:12" x14ac:dyDescent="0.45">
      <c r="A14141" s="12" t="s">
        <v>26992</v>
      </c>
      <c r="B14141" s="12" t="s">
        <v>16913</v>
      </c>
      <c r="C14141" s="13" t="s">
        <v>16914</v>
      </c>
      <c r="D14141" s="13" t="s">
        <v>23</v>
      </c>
      <c r="E14141" s="12" t="s">
        <v>50</v>
      </c>
      <c r="F14141" s="13"/>
      <c r="G14141" s="14">
        <v>3045</v>
      </c>
      <c r="H14141" s="13" t="s">
        <v>27017</v>
      </c>
      <c r="I14141" s="40" t="s">
        <v>18</v>
      </c>
      <c r="J14141" s="40" t="str">
        <f>HYPERLINK("https://stock.pstatic.net/stock-research/company/21/20250220_company_918987000.pdf","PDF")</f>
        <v>PDF</v>
      </c>
      <c r="K14141" s="12" t="s">
        <v>27018</v>
      </c>
    </row>
    <row r="14142" spans="1:12" x14ac:dyDescent="0.45">
      <c r="A14142" s="12" t="s">
        <v>26992</v>
      </c>
      <c r="B14142" s="12" t="s">
        <v>1690</v>
      </c>
      <c r="C14142" s="13" t="s">
        <v>1691</v>
      </c>
      <c r="D14142" s="13" t="s">
        <v>34</v>
      </c>
      <c r="E14142" s="12" t="s">
        <v>35</v>
      </c>
      <c r="F14142" s="14">
        <v>170000</v>
      </c>
      <c r="G14142" s="14">
        <v>130000</v>
      </c>
      <c r="H14142" s="13" t="s">
        <v>27019</v>
      </c>
      <c r="I14142" s="40" t="s">
        <v>18</v>
      </c>
      <c r="J14142" s="40" t="str">
        <f>HYPERLINK("https://stock.pstatic.net/stock-research/company/61/20250220_company_960539000.pdf","PDF")</f>
        <v>PDF</v>
      </c>
      <c r="K14142" s="12" t="s">
        <v>27020</v>
      </c>
      <c r="L14142" s="20">
        <v>0.30769230769230771</v>
      </c>
    </row>
    <row r="14143" spans="1:12" x14ac:dyDescent="0.45">
      <c r="A14143" s="12" t="s">
        <v>26992</v>
      </c>
      <c r="B14143" s="12" t="s">
        <v>1087</v>
      </c>
      <c r="C14143" s="13" t="s">
        <v>1088</v>
      </c>
      <c r="D14143" s="13" t="s">
        <v>34</v>
      </c>
      <c r="E14143" s="12" t="s">
        <v>35</v>
      </c>
      <c r="F14143" s="14">
        <v>120000</v>
      </c>
      <c r="G14143" s="14">
        <v>82400</v>
      </c>
      <c r="H14143" s="13" t="s">
        <v>27021</v>
      </c>
      <c r="I14143" s="40" t="s">
        <v>18</v>
      </c>
      <c r="J14143" s="40" t="str">
        <f>HYPERLINK("https://stock.pstatic.net/stock-research/company/61/20250220_company_833440000.pdf","PDF")</f>
        <v>PDF</v>
      </c>
      <c r="K14143" s="12" t="s">
        <v>27022</v>
      </c>
      <c r="L14143" s="20">
        <v>0.4563106796116505</v>
      </c>
    </row>
    <row r="14144" spans="1:12" x14ac:dyDescent="0.45">
      <c r="A14144" s="12" t="s">
        <v>26992</v>
      </c>
      <c r="B14144" s="12" t="s">
        <v>86</v>
      </c>
      <c r="C14144" s="13" t="s">
        <v>87</v>
      </c>
      <c r="D14144" s="13" t="s">
        <v>44</v>
      </c>
      <c r="E14144" s="12" t="s">
        <v>35</v>
      </c>
      <c r="F14144" s="14">
        <v>150000</v>
      </c>
      <c r="G14144" s="14">
        <v>119400</v>
      </c>
      <c r="H14144" s="13" t="s">
        <v>27023</v>
      </c>
      <c r="I14144" s="40" t="s">
        <v>18</v>
      </c>
      <c r="J14144" s="40" t="str">
        <f>HYPERLINK("https://stock.pstatic.net/stock-research/company/39/20250220_company_258649000.pdf","PDF")</f>
        <v>PDF</v>
      </c>
      <c r="K14144" s="12" t="s">
        <v>27024</v>
      </c>
      <c r="L14144" s="20">
        <v>0.25628140703517588</v>
      </c>
    </row>
    <row r="14145" spans="1:12" x14ac:dyDescent="0.45">
      <c r="A14145" s="12" t="s">
        <v>26992</v>
      </c>
      <c r="B14145" s="12" t="s">
        <v>3079</v>
      </c>
      <c r="C14145" s="13" t="s">
        <v>3080</v>
      </c>
      <c r="D14145" s="13" t="s">
        <v>23</v>
      </c>
      <c r="E14145" s="12" t="s">
        <v>16</v>
      </c>
      <c r="F14145" s="14">
        <v>24000</v>
      </c>
      <c r="G14145" s="14">
        <v>19350</v>
      </c>
      <c r="H14145" s="13" t="s">
        <v>27025</v>
      </c>
      <c r="I14145" s="40" t="s">
        <v>18</v>
      </c>
      <c r="J14145" s="40" t="str">
        <f>HYPERLINK("https://stock.pstatic.net/stock-research/company/21/20250220_company_250993000.pdf","PDF")</f>
        <v>PDF</v>
      </c>
      <c r="K14145" s="12" t="s">
        <v>27026</v>
      </c>
      <c r="L14145" s="20">
        <v>0.24031007751937991</v>
      </c>
    </row>
    <row r="14146" spans="1:12" x14ac:dyDescent="0.45">
      <c r="A14146" s="12" t="s">
        <v>26992</v>
      </c>
      <c r="B14146" s="12" t="s">
        <v>86</v>
      </c>
      <c r="C14146" s="13" t="s">
        <v>87</v>
      </c>
      <c r="D14146" s="13" t="s">
        <v>23</v>
      </c>
      <c r="E14146" s="12" t="s">
        <v>16</v>
      </c>
      <c r="F14146" s="14">
        <v>143000</v>
      </c>
      <c r="G14146" s="14">
        <v>119400</v>
      </c>
      <c r="H14146" s="13" t="s">
        <v>27027</v>
      </c>
      <c r="I14146" s="40" t="s">
        <v>18</v>
      </c>
      <c r="J14146" s="40" t="str">
        <f>HYPERLINK("https://stock.pstatic.net/stock-research/company/21/20250220_company_357189000.pdf","PDF")</f>
        <v>PDF</v>
      </c>
      <c r="K14146" s="12" t="s">
        <v>27028</v>
      </c>
      <c r="L14146" s="20">
        <v>0.19765494137353429</v>
      </c>
    </row>
    <row r="14147" spans="1:12" x14ac:dyDescent="0.45">
      <c r="A14147" s="12" t="s">
        <v>26992</v>
      </c>
      <c r="B14147" s="12" t="s">
        <v>414</v>
      </c>
      <c r="C14147" s="13" t="s">
        <v>415</v>
      </c>
      <c r="D14147" s="13" t="s">
        <v>92</v>
      </c>
      <c r="E14147" s="12" t="s">
        <v>50</v>
      </c>
      <c r="F14147" s="13"/>
      <c r="G14147" s="14">
        <v>11670</v>
      </c>
      <c r="H14147" s="13" t="s">
        <v>27029</v>
      </c>
      <c r="I14147" s="40" t="s">
        <v>18</v>
      </c>
      <c r="J14147" s="40" t="str">
        <f>HYPERLINK("https://stock.pstatic.net/stock-research/company/63/20250220_company_773969000.pdf","PDF")</f>
        <v>PDF</v>
      </c>
      <c r="K14147" s="12" t="s">
        <v>27030</v>
      </c>
    </row>
    <row r="14148" spans="1:12" x14ac:dyDescent="0.45">
      <c r="A14148" s="12" t="s">
        <v>26992</v>
      </c>
      <c r="B14148" s="12" t="s">
        <v>86</v>
      </c>
      <c r="C14148" s="13" t="s">
        <v>87</v>
      </c>
      <c r="D14148" s="13" t="s">
        <v>179</v>
      </c>
      <c r="E14148" s="12" t="s">
        <v>16</v>
      </c>
      <c r="F14148" s="14">
        <v>145000</v>
      </c>
      <c r="G14148" s="14">
        <v>119400</v>
      </c>
      <c r="H14148" s="13" t="s">
        <v>27031</v>
      </c>
      <c r="I14148" s="40" t="s">
        <v>18</v>
      </c>
      <c r="J14148" s="40" t="str">
        <f>HYPERLINK("https://stock.pstatic.net/stock-research/company/31/20250220_company_189745000.pdf","PDF")</f>
        <v>PDF</v>
      </c>
      <c r="K14148" s="12" t="s">
        <v>27032</v>
      </c>
      <c r="L14148" s="20">
        <v>0.21440536013400341</v>
      </c>
    </row>
    <row r="14149" spans="1:12" x14ac:dyDescent="0.45">
      <c r="A14149" s="12" t="s">
        <v>26992</v>
      </c>
      <c r="B14149" s="12" t="s">
        <v>394</v>
      </c>
      <c r="C14149" s="13" t="s">
        <v>395</v>
      </c>
      <c r="D14149" s="13" t="s">
        <v>124</v>
      </c>
      <c r="E14149" s="12" t="s">
        <v>50</v>
      </c>
      <c r="F14149" s="13"/>
      <c r="G14149" s="13"/>
      <c r="H14149" s="13" t="s">
        <v>27033</v>
      </c>
      <c r="I14149" s="40" t="s">
        <v>18</v>
      </c>
      <c r="J14149" s="40" t="str">
        <f>HYPERLINK("https://stock.pstatic.net/stock-research/company/74/20250220_company_137125000.pdf","PDF")</f>
        <v>PDF</v>
      </c>
      <c r="K14149" s="12" t="s">
        <v>27034</v>
      </c>
    </row>
    <row r="14150" spans="1:12" x14ac:dyDescent="0.45">
      <c r="A14150" s="12" t="s">
        <v>26992</v>
      </c>
      <c r="B14150" s="12" t="s">
        <v>1120</v>
      </c>
      <c r="C14150" s="13" t="s">
        <v>1121</v>
      </c>
      <c r="D14150" s="13" t="s">
        <v>53</v>
      </c>
      <c r="E14150" s="12" t="s">
        <v>16</v>
      </c>
      <c r="F14150" s="14">
        <v>145000</v>
      </c>
      <c r="G14150" s="14">
        <v>106900</v>
      </c>
      <c r="H14150" s="13" t="s">
        <v>27035</v>
      </c>
      <c r="I14150" s="40" t="s">
        <v>18</v>
      </c>
      <c r="J14150" s="40" t="str">
        <f>HYPERLINK("https://stock.pstatic.net/stock-research/company/40/20250220_company_476711000.pdf","PDF")</f>
        <v>PDF</v>
      </c>
      <c r="K14150" s="12" t="s">
        <v>27036</v>
      </c>
      <c r="L14150" s="20">
        <v>0.35640785781103829</v>
      </c>
    </row>
    <row r="14151" spans="1:12" x14ac:dyDescent="0.45">
      <c r="A14151" s="12" t="s">
        <v>27037</v>
      </c>
      <c r="B14151" s="12" t="s">
        <v>4846</v>
      </c>
      <c r="C14151" s="13" t="s">
        <v>4847</v>
      </c>
      <c r="D14151" s="13" t="s">
        <v>60</v>
      </c>
      <c r="E14151" s="12" t="s">
        <v>50</v>
      </c>
      <c r="F14151" s="13"/>
      <c r="G14151" s="14">
        <v>19060</v>
      </c>
      <c r="H14151" s="13" t="s">
        <v>27038</v>
      </c>
      <c r="I14151" s="40" t="s">
        <v>18</v>
      </c>
      <c r="J14151" s="40" t="str">
        <f>HYPERLINK("https://stock.pstatic.net/stock-research/company/34/20250219_company_300405000.pdf","PDF")</f>
        <v>PDF</v>
      </c>
      <c r="K14151" s="12" t="s">
        <v>27039</v>
      </c>
    </row>
    <row r="14152" spans="1:12" x14ac:dyDescent="0.45">
      <c r="A14152" s="12" t="s">
        <v>27037</v>
      </c>
      <c r="B14152" s="12" t="s">
        <v>1686</v>
      </c>
      <c r="C14152" s="13" t="s">
        <v>1687</v>
      </c>
      <c r="D14152" s="13" t="s">
        <v>57</v>
      </c>
      <c r="E14152" s="12" t="s">
        <v>35</v>
      </c>
      <c r="F14152" s="14">
        <v>1200000</v>
      </c>
      <c r="G14152" s="14">
        <v>874000</v>
      </c>
      <c r="H14152" s="13" t="s">
        <v>27040</v>
      </c>
      <c r="I14152" s="40" t="s">
        <v>18</v>
      </c>
      <c r="J14152" s="40" t="str">
        <f>HYPERLINK("https://stock.pstatic.net/stock-research/company/16/20250219_company_880833000.pdf","PDF")</f>
        <v>PDF</v>
      </c>
      <c r="K14152" s="12" t="s">
        <v>27041</v>
      </c>
      <c r="L14152" s="20">
        <v>0.37299771167048063</v>
      </c>
    </row>
    <row r="14153" spans="1:12" x14ac:dyDescent="0.45">
      <c r="A14153" s="12" t="s">
        <v>27037</v>
      </c>
      <c r="B14153" s="12" t="s">
        <v>150</v>
      </c>
      <c r="C14153" s="13" t="s">
        <v>151</v>
      </c>
      <c r="D14153" s="13" t="s">
        <v>57</v>
      </c>
      <c r="E14153" s="12" t="s">
        <v>50</v>
      </c>
      <c r="F14153" s="13"/>
      <c r="G14153" s="14">
        <v>21050</v>
      </c>
      <c r="H14153" s="13" t="s">
        <v>27042</v>
      </c>
      <c r="I14153" s="40" t="s">
        <v>18</v>
      </c>
      <c r="J14153" s="40" t="str">
        <f>HYPERLINK("https://stock.pstatic.net/stock-research/company/16/20250219_company_561759000.pdf","PDF")</f>
        <v>PDF</v>
      </c>
      <c r="K14153" s="12" t="s">
        <v>27043</v>
      </c>
    </row>
    <row r="14154" spans="1:12" x14ac:dyDescent="0.45">
      <c r="A14154" s="12" t="s">
        <v>27037</v>
      </c>
      <c r="B14154" s="12" t="s">
        <v>5918</v>
      </c>
      <c r="C14154" s="13" t="s">
        <v>5919</v>
      </c>
      <c r="D14154" s="13" t="s">
        <v>158</v>
      </c>
      <c r="E14154" s="12" t="s">
        <v>50</v>
      </c>
      <c r="F14154" s="13"/>
      <c r="G14154" s="14">
        <v>47550</v>
      </c>
      <c r="H14154" s="13" t="s">
        <v>27044</v>
      </c>
      <c r="I14154" s="40" t="s">
        <v>18</v>
      </c>
      <c r="J14154" s="40" t="str">
        <f>HYPERLINK("https://stock.pstatic.net/stock-research/company/1/20250219_company_73516000.pdf","PDF")</f>
        <v>PDF</v>
      </c>
      <c r="K14154" s="12" t="s">
        <v>27045</v>
      </c>
    </row>
    <row r="14155" spans="1:12" x14ac:dyDescent="0.45">
      <c r="A14155" s="12" t="s">
        <v>27037</v>
      </c>
      <c r="B14155" s="12" t="s">
        <v>2849</v>
      </c>
      <c r="C14155" s="13" t="s">
        <v>2850</v>
      </c>
      <c r="D14155" s="13" t="s">
        <v>158</v>
      </c>
      <c r="E14155" s="12" t="s">
        <v>50</v>
      </c>
      <c r="F14155" s="13"/>
      <c r="G14155" s="14">
        <v>5820</v>
      </c>
      <c r="H14155" s="13" t="s">
        <v>27046</v>
      </c>
      <c r="I14155" s="40" t="s">
        <v>18</v>
      </c>
      <c r="J14155" s="40" t="str">
        <f>HYPERLINK("https://stock.pstatic.net/stock-research/company/18/20250219_company_524274000.pdf","PDF")</f>
        <v>PDF</v>
      </c>
      <c r="K14155" s="12" t="s">
        <v>27047</v>
      </c>
    </row>
    <row r="14156" spans="1:12" x14ac:dyDescent="0.45">
      <c r="A14156" s="12" t="s">
        <v>27037</v>
      </c>
      <c r="B14156" s="12" t="s">
        <v>2815</v>
      </c>
      <c r="C14156" s="13" t="s">
        <v>2816</v>
      </c>
      <c r="D14156" s="13" t="s">
        <v>23</v>
      </c>
      <c r="E14156" s="12" t="s">
        <v>50</v>
      </c>
      <c r="F14156" s="13"/>
      <c r="G14156" s="14">
        <v>12420</v>
      </c>
      <c r="H14156" s="13" t="s">
        <v>27048</v>
      </c>
      <c r="I14156" s="40" t="s">
        <v>18</v>
      </c>
      <c r="J14156" s="40" t="str">
        <f>HYPERLINK("https://stock.pstatic.net/stock-research/company/21/20250219_company_879560000.pdf","PDF")</f>
        <v>PDF</v>
      </c>
      <c r="K14156" s="12" t="s">
        <v>27049</v>
      </c>
    </row>
    <row r="14157" spans="1:12" x14ac:dyDescent="0.45">
      <c r="A14157" s="12" t="s">
        <v>27037</v>
      </c>
      <c r="B14157" s="12" t="s">
        <v>3548</v>
      </c>
      <c r="C14157" s="13" t="s">
        <v>3549</v>
      </c>
      <c r="D14157" s="13" t="s">
        <v>83</v>
      </c>
      <c r="E14157" s="12" t="s">
        <v>35</v>
      </c>
      <c r="F14157" s="14">
        <v>61000</v>
      </c>
      <c r="G14157" s="14">
        <v>42700</v>
      </c>
      <c r="H14157" s="13" t="s">
        <v>27050</v>
      </c>
      <c r="I14157" s="40" t="s">
        <v>18</v>
      </c>
      <c r="J14157" s="40" t="str">
        <f>HYPERLINK("https://stock.pstatic.net/stock-research/company/2/20250219_company_457081000.pdf","PDF")</f>
        <v>PDF</v>
      </c>
      <c r="K14157" s="12" t="s">
        <v>27051</v>
      </c>
      <c r="L14157" s="20">
        <v>0.42857142857142849</v>
      </c>
    </row>
    <row r="14158" spans="1:12" x14ac:dyDescent="0.45">
      <c r="A14158" s="12" t="s">
        <v>27037</v>
      </c>
      <c r="B14158" s="12" t="s">
        <v>4172</v>
      </c>
      <c r="C14158" s="13" t="s">
        <v>4173</v>
      </c>
      <c r="D14158" s="13" t="s">
        <v>83</v>
      </c>
      <c r="E14158" s="12" t="s">
        <v>35</v>
      </c>
      <c r="F14158" s="14">
        <v>17000</v>
      </c>
      <c r="G14158" s="14">
        <v>9580</v>
      </c>
      <c r="H14158" s="13" t="s">
        <v>27052</v>
      </c>
      <c r="I14158" s="40" t="s">
        <v>18</v>
      </c>
      <c r="J14158" s="40" t="str">
        <f>HYPERLINK("https://stock.pstatic.net/stock-research/company/2/20250219_company_649451000.pdf","PDF")</f>
        <v>PDF</v>
      </c>
      <c r="K14158" s="12" t="s">
        <v>27053</v>
      </c>
      <c r="L14158" s="20">
        <v>0.77453027139874742</v>
      </c>
    </row>
    <row r="14159" spans="1:12" x14ac:dyDescent="0.45">
      <c r="A14159" s="12" t="s">
        <v>27037</v>
      </c>
      <c r="B14159" s="12" t="s">
        <v>1883</v>
      </c>
      <c r="C14159" s="13" t="s">
        <v>1884</v>
      </c>
      <c r="D14159" s="13" t="s">
        <v>83</v>
      </c>
      <c r="E14159" s="12" t="s">
        <v>35</v>
      </c>
      <c r="F14159" s="14">
        <v>32000</v>
      </c>
      <c r="G14159" s="14">
        <v>20200</v>
      </c>
      <c r="H14159" s="13" t="s">
        <v>27054</v>
      </c>
      <c r="I14159" s="40" t="s">
        <v>18</v>
      </c>
      <c r="J14159" s="40" t="str">
        <f>HYPERLINK("https://stock.pstatic.net/stock-research/company/2/20250219_company_512115000.pdf","PDF")</f>
        <v>PDF</v>
      </c>
      <c r="K14159" s="12" t="s">
        <v>27055</v>
      </c>
      <c r="L14159" s="20">
        <v>0.58415841584158412</v>
      </c>
    </row>
    <row r="14160" spans="1:12" x14ac:dyDescent="0.45">
      <c r="A14160" s="12" t="s">
        <v>27037</v>
      </c>
      <c r="B14160" s="12" t="s">
        <v>6298</v>
      </c>
      <c r="C14160" s="13" t="s">
        <v>6299</v>
      </c>
      <c r="D14160" s="13" t="s">
        <v>92</v>
      </c>
      <c r="E14160" s="12" t="s">
        <v>50</v>
      </c>
      <c r="F14160" s="13"/>
      <c r="G14160" s="14">
        <v>17170</v>
      </c>
      <c r="H14160" s="13" t="s">
        <v>27056</v>
      </c>
      <c r="I14160" s="40" t="s">
        <v>18</v>
      </c>
      <c r="J14160" s="40" t="str">
        <f>HYPERLINK("https://stock.pstatic.net/stock-research/company/63/20250219_company_995592000.pdf","PDF")</f>
        <v>PDF</v>
      </c>
      <c r="K14160" s="12" t="s">
        <v>27057</v>
      </c>
    </row>
    <row r="14161" spans="1:12" x14ac:dyDescent="0.45">
      <c r="A14161" s="12" t="s">
        <v>27037</v>
      </c>
      <c r="B14161" s="12" t="s">
        <v>981</v>
      </c>
      <c r="C14161" s="13" t="s">
        <v>982</v>
      </c>
      <c r="D14161" s="13" t="s">
        <v>92</v>
      </c>
      <c r="E14161" s="12" t="s">
        <v>50</v>
      </c>
      <c r="F14161" s="13"/>
      <c r="G14161" s="14">
        <v>18980</v>
      </c>
      <c r="H14161" s="13" t="s">
        <v>27058</v>
      </c>
      <c r="I14161" s="40" t="s">
        <v>18</v>
      </c>
      <c r="J14161" s="40" t="str">
        <f>HYPERLINK("https://stock.pstatic.net/stock-research/company/63/20250219_company_255843000.pdf","PDF")</f>
        <v>PDF</v>
      </c>
      <c r="K14161" s="12" t="s">
        <v>27059</v>
      </c>
    </row>
    <row r="14162" spans="1:12" x14ac:dyDescent="0.45">
      <c r="A14162" s="12" t="s">
        <v>27037</v>
      </c>
      <c r="B14162" s="12" t="s">
        <v>418</v>
      </c>
      <c r="C14162" s="13" t="s">
        <v>419</v>
      </c>
      <c r="D14162" s="13" t="s">
        <v>34</v>
      </c>
      <c r="E14162" s="12" t="s">
        <v>35</v>
      </c>
      <c r="F14162" s="14">
        <v>26000</v>
      </c>
      <c r="G14162" s="14">
        <v>17610</v>
      </c>
      <c r="H14162" s="13" t="s">
        <v>27060</v>
      </c>
      <c r="I14162" s="40" t="s">
        <v>18</v>
      </c>
      <c r="J14162" s="40" t="str">
        <f>HYPERLINK("https://stock.pstatic.net/stock-research/company/61/20250219_company_927489000.pdf","PDF")</f>
        <v>PDF</v>
      </c>
      <c r="K14162" s="12" t="s">
        <v>27061</v>
      </c>
      <c r="L14162" s="20">
        <v>0.47643384440658709</v>
      </c>
    </row>
    <row r="14163" spans="1:12" x14ac:dyDescent="0.45">
      <c r="A14163" s="12" t="s">
        <v>27037</v>
      </c>
      <c r="B14163" s="12" t="s">
        <v>27062</v>
      </c>
      <c r="C14163" s="13" t="s">
        <v>27063</v>
      </c>
      <c r="D14163" s="13" t="s">
        <v>23</v>
      </c>
      <c r="E14163" s="12" t="s">
        <v>50</v>
      </c>
      <c r="F14163" s="14">
        <v>1760</v>
      </c>
      <c r="G14163" s="14">
        <v>1565</v>
      </c>
      <c r="H14163" s="13" t="s">
        <v>27064</v>
      </c>
      <c r="I14163" s="40" t="s">
        <v>18</v>
      </c>
      <c r="J14163" s="40" t="str">
        <f>HYPERLINK("https://stock.pstatic.net/stock-research/company/21/20250219_company_705228000.pdf","PDF")</f>
        <v>PDF</v>
      </c>
      <c r="K14163" s="12" t="s">
        <v>27065</v>
      </c>
      <c r="L14163" s="20">
        <v>0.12460063897763581</v>
      </c>
    </row>
    <row r="14164" spans="1:12" x14ac:dyDescent="0.45">
      <c r="A14164" s="12" t="s">
        <v>27037</v>
      </c>
      <c r="B14164" s="12" t="s">
        <v>2225</v>
      </c>
      <c r="C14164" s="13" t="s">
        <v>5282</v>
      </c>
      <c r="D14164" s="13" t="s">
        <v>44</v>
      </c>
      <c r="E14164" s="12" t="s">
        <v>35</v>
      </c>
      <c r="F14164" s="14">
        <v>380000</v>
      </c>
      <c r="G14164" s="14">
        <v>306000</v>
      </c>
      <c r="H14164" s="13" t="s">
        <v>27066</v>
      </c>
      <c r="I14164" s="40" t="s">
        <v>18</v>
      </c>
      <c r="J14164" s="40" t="str">
        <f>HYPERLINK("https://stock.pstatic.net/stock-research/company/39/20250219_company_683417000.pdf","PDF")</f>
        <v>PDF</v>
      </c>
      <c r="K14164" s="12" t="s">
        <v>27067</v>
      </c>
      <c r="L14164" s="20">
        <v>0.2418300653594771</v>
      </c>
    </row>
    <row r="14165" spans="1:12" x14ac:dyDescent="0.45">
      <c r="A14165" s="12" t="s">
        <v>27037</v>
      </c>
      <c r="B14165" s="12" t="s">
        <v>519</v>
      </c>
      <c r="C14165" s="13" t="s">
        <v>520</v>
      </c>
      <c r="D14165" s="13" t="s">
        <v>44</v>
      </c>
      <c r="E14165" s="12" t="s">
        <v>50</v>
      </c>
      <c r="F14165" s="13"/>
      <c r="G14165" s="13"/>
      <c r="H14165" s="13" t="s">
        <v>27068</v>
      </c>
      <c r="I14165" s="40" t="s">
        <v>18</v>
      </c>
      <c r="J14165" s="40" t="str">
        <f>HYPERLINK("https://stock.pstatic.net/stock-research/company/39/20250219_company_93125000.pdf","PDF")</f>
        <v>PDF</v>
      </c>
      <c r="K14165" s="12" t="s">
        <v>27069</v>
      </c>
    </row>
    <row r="14166" spans="1:12" x14ac:dyDescent="0.45">
      <c r="A14166" s="12" t="s">
        <v>27037</v>
      </c>
      <c r="B14166" s="12" t="s">
        <v>21457</v>
      </c>
      <c r="C14166" s="13" t="s">
        <v>21458</v>
      </c>
      <c r="D14166" s="13" t="s">
        <v>179</v>
      </c>
      <c r="E14166" s="12" t="s">
        <v>50</v>
      </c>
      <c r="F14166" s="13"/>
      <c r="G14166" s="14">
        <v>13400</v>
      </c>
      <c r="H14166" s="13" t="s">
        <v>27070</v>
      </c>
      <c r="I14166" s="40" t="s">
        <v>18</v>
      </c>
      <c r="J14166" s="40" t="str">
        <f>HYPERLINK("https://stock.pstatic.net/stock-research/company/31/20250219_company_649378000.pdf","PDF")</f>
        <v>PDF</v>
      </c>
      <c r="K14166" s="12" t="s">
        <v>27071</v>
      </c>
    </row>
    <row r="14167" spans="1:12" x14ac:dyDescent="0.45">
      <c r="A14167" s="12" t="s">
        <v>27037</v>
      </c>
      <c r="B14167" s="12" t="s">
        <v>5873</v>
      </c>
      <c r="C14167" s="13" t="s">
        <v>5874</v>
      </c>
      <c r="D14167" s="13" t="s">
        <v>124</v>
      </c>
      <c r="E14167" s="12" t="s">
        <v>50</v>
      </c>
      <c r="F14167" s="13"/>
      <c r="G14167" s="13"/>
      <c r="H14167" s="13" t="s">
        <v>27072</v>
      </c>
      <c r="I14167" s="40" t="s">
        <v>18</v>
      </c>
      <c r="J14167" s="40" t="str">
        <f>HYPERLINK("https://stock.pstatic.net/stock-research/company/74/20250219_company_902250000.pdf","PDF")</f>
        <v>PDF</v>
      </c>
      <c r="K14167" s="12" t="s">
        <v>27073</v>
      </c>
    </row>
    <row r="14168" spans="1:12" x14ac:dyDescent="0.45">
      <c r="A14168" s="12" t="s">
        <v>27037</v>
      </c>
      <c r="B14168" s="12" t="s">
        <v>1652</v>
      </c>
      <c r="C14168" s="13" t="s">
        <v>1653</v>
      </c>
      <c r="D14168" s="13" t="s">
        <v>44</v>
      </c>
      <c r="E14168" s="12" t="s">
        <v>35</v>
      </c>
      <c r="F14168" s="14">
        <v>64000</v>
      </c>
      <c r="G14168" s="14">
        <v>41500</v>
      </c>
      <c r="H14168" s="13" t="s">
        <v>27074</v>
      </c>
      <c r="I14168" s="40" t="s">
        <v>18</v>
      </c>
      <c r="J14168" s="40" t="str">
        <f>HYPERLINK("https://stock.pstatic.net/stock-research/company/39/20250219_company_796304000.pdf","PDF")</f>
        <v>PDF</v>
      </c>
      <c r="K14168" s="12" t="s">
        <v>27075</v>
      </c>
      <c r="L14168" s="20">
        <v>0.54216867469879515</v>
      </c>
    </row>
    <row r="14169" spans="1:12" x14ac:dyDescent="0.45">
      <c r="A14169" s="12" t="s">
        <v>27037</v>
      </c>
      <c r="B14169" s="12" t="s">
        <v>1883</v>
      </c>
      <c r="C14169" s="13" t="s">
        <v>1884</v>
      </c>
      <c r="D14169" s="13" t="s">
        <v>15</v>
      </c>
      <c r="E14169" s="12" t="s">
        <v>16</v>
      </c>
      <c r="F14169" s="14">
        <v>27000</v>
      </c>
      <c r="G14169" s="14">
        <v>19930</v>
      </c>
      <c r="H14169" s="13" t="s">
        <v>27076</v>
      </c>
      <c r="I14169" s="40" t="s">
        <v>18</v>
      </c>
      <c r="J14169" s="40" t="str">
        <f>HYPERLINK("https://stock.pstatic.net/stock-research/company/29/20250219_company_125312000.pdf","PDF")</f>
        <v>PDF</v>
      </c>
      <c r="K14169" s="12" t="s">
        <v>27077</v>
      </c>
      <c r="L14169" s="20">
        <v>0.35474159558454588</v>
      </c>
    </row>
    <row r="14170" spans="1:12" x14ac:dyDescent="0.45">
      <c r="A14170" s="12" t="s">
        <v>27078</v>
      </c>
      <c r="B14170" s="12" t="s">
        <v>1042</v>
      </c>
      <c r="C14170" s="13" t="s">
        <v>1043</v>
      </c>
      <c r="D14170" s="13" t="s">
        <v>276</v>
      </c>
      <c r="E14170" s="12" t="s">
        <v>16</v>
      </c>
      <c r="F14170" s="14">
        <v>30000</v>
      </c>
      <c r="G14170" s="14">
        <v>21700</v>
      </c>
      <c r="H14170" s="13" t="s">
        <v>27079</v>
      </c>
      <c r="I14170" s="40" t="s">
        <v>18</v>
      </c>
      <c r="J14170" s="40" t="str">
        <f>HYPERLINK("https://stock.pstatic.net/stock-research/company/66/20250218_company_401919000.pdf","PDF")</f>
        <v>PDF</v>
      </c>
      <c r="K14170" s="12" t="s">
        <v>27080</v>
      </c>
      <c r="L14170" s="20">
        <v>0.38248847926267282</v>
      </c>
    </row>
    <row r="14171" spans="1:12" x14ac:dyDescent="0.45">
      <c r="A14171" s="12" t="s">
        <v>27078</v>
      </c>
      <c r="B14171" s="12" t="s">
        <v>541</v>
      </c>
      <c r="C14171" s="13" t="s">
        <v>542</v>
      </c>
      <c r="D14171" s="13" t="s">
        <v>65</v>
      </c>
      <c r="E14171" s="12" t="s">
        <v>35</v>
      </c>
      <c r="F14171" s="14">
        <v>70000</v>
      </c>
      <c r="G14171" s="14">
        <v>56300</v>
      </c>
      <c r="H14171" s="13" t="s">
        <v>27081</v>
      </c>
      <c r="I14171" s="40" t="s">
        <v>18</v>
      </c>
      <c r="J14171" s="40" t="str">
        <f>HYPERLINK("https://stock.pstatic.net/stock-research/company/1/20250218_company_136571000.pdf","PDF")</f>
        <v>PDF</v>
      </c>
      <c r="K14171" s="12" t="s">
        <v>27082</v>
      </c>
      <c r="L14171" s="20">
        <v>0.2433392539964476</v>
      </c>
    </row>
    <row r="14172" spans="1:12" x14ac:dyDescent="0.45">
      <c r="A14172" s="12" t="s">
        <v>27078</v>
      </c>
      <c r="B14172" s="12" t="s">
        <v>780</v>
      </c>
      <c r="C14172" s="13" t="s">
        <v>781</v>
      </c>
      <c r="D14172" s="13" t="s">
        <v>65</v>
      </c>
      <c r="E14172" s="12" t="s">
        <v>35</v>
      </c>
      <c r="F14172" s="14">
        <v>15000</v>
      </c>
      <c r="G14172" s="14">
        <v>7770</v>
      </c>
      <c r="H14172" s="13" t="s">
        <v>27083</v>
      </c>
      <c r="I14172" s="40" t="s">
        <v>18</v>
      </c>
      <c r="J14172" s="40" t="str">
        <f>HYPERLINK("https://stock.pstatic.net/stock-research/company/57/20250218_company_925360000.pdf","PDF")</f>
        <v>PDF</v>
      </c>
      <c r="K14172" s="12" t="s">
        <v>27084</v>
      </c>
      <c r="L14172" s="20">
        <v>0.93050193050193053</v>
      </c>
    </row>
    <row r="14173" spans="1:12" x14ac:dyDescent="0.45">
      <c r="A14173" s="12" t="s">
        <v>27078</v>
      </c>
      <c r="B14173" s="12" t="s">
        <v>102</v>
      </c>
      <c r="C14173" s="13" t="s">
        <v>103</v>
      </c>
      <c r="D14173" s="13" t="s">
        <v>65</v>
      </c>
      <c r="E14173" s="12" t="s">
        <v>35</v>
      </c>
      <c r="F14173" s="14">
        <v>27000</v>
      </c>
      <c r="G14173" s="14">
        <v>16580</v>
      </c>
      <c r="H14173" s="13" t="s">
        <v>17182</v>
      </c>
      <c r="I14173" s="40" t="s">
        <v>18</v>
      </c>
      <c r="J14173" s="40" t="str">
        <f>HYPERLINK("https://stock.pstatic.net/stock-research/company/57/20250218_company_827989000.pdf","PDF")</f>
        <v>PDF</v>
      </c>
      <c r="K14173" s="12" t="s">
        <v>27085</v>
      </c>
      <c r="L14173" s="20">
        <v>0.62846803377563332</v>
      </c>
    </row>
    <row r="14174" spans="1:12" x14ac:dyDescent="0.45">
      <c r="A14174" s="12" t="s">
        <v>27078</v>
      </c>
      <c r="B14174" s="12" t="s">
        <v>95</v>
      </c>
      <c r="C14174" s="13" t="s">
        <v>31</v>
      </c>
      <c r="D14174" s="13" t="s">
        <v>15</v>
      </c>
      <c r="E14174" s="12" t="s">
        <v>16</v>
      </c>
      <c r="F14174" s="14">
        <v>26000</v>
      </c>
      <c r="G14174" s="14">
        <v>18730</v>
      </c>
      <c r="H14174" s="13" t="s">
        <v>27086</v>
      </c>
      <c r="I14174" s="40" t="s">
        <v>18</v>
      </c>
      <c r="J14174" s="40" t="str">
        <f>HYPERLINK("https://stock.pstatic.net/stock-research/company/29/20250218_company_137594000.pdf","PDF")</f>
        <v>PDF</v>
      </c>
      <c r="K14174" s="12" t="s">
        <v>27087</v>
      </c>
      <c r="L14174" s="20">
        <v>0.38814735718099308</v>
      </c>
    </row>
    <row r="14175" spans="1:12" x14ac:dyDescent="0.45">
      <c r="A14175" s="12" t="s">
        <v>27078</v>
      </c>
      <c r="B14175" s="12" t="s">
        <v>2982</v>
      </c>
      <c r="C14175" s="13" t="s">
        <v>2983</v>
      </c>
      <c r="D14175" s="13" t="s">
        <v>15</v>
      </c>
      <c r="E14175" s="12" t="s">
        <v>16</v>
      </c>
      <c r="F14175" s="14">
        <v>49000</v>
      </c>
      <c r="G14175" s="14">
        <v>37450</v>
      </c>
      <c r="H14175" s="13" t="s">
        <v>27088</v>
      </c>
      <c r="I14175" s="40" t="s">
        <v>18</v>
      </c>
      <c r="J14175" s="40" t="str">
        <f>HYPERLINK("https://stock.pstatic.net/stock-research/company/29/20250218_company_548310000.pdf","PDF")</f>
        <v>PDF</v>
      </c>
      <c r="K14175" s="12" t="s">
        <v>27089</v>
      </c>
      <c r="L14175" s="20">
        <v>0.30841121495327101</v>
      </c>
    </row>
    <row r="14176" spans="1:12" x14ac:dyDescent="0.45">
      <c r="A14176" s="12" t="s">
        <v>27078</v>
      </c>
      <c r="B14176" s="12" t="s">
        <v>2187</v>
      </c>
      <c r="C14176" s="13" t="s">
        <v>2188</v>
      </c>
      <c r="D14176" s="13" t="s">
        <v>57</v>
      </c>
      <c r="E14176" s="12" t="s">
        <v>35</v>
      </c>
      <c r="F14176" s="14">
        <v>150000</v>
      </c>
      <c r="G14176" s="14">
        <v>108300</v>
      </c>
      <c r="H14176" s="13" t="s">
        <v>27090</v>
      </c>
      <c r="I14176" s="40" t="s">
        <v>18</v>
      </c>
      <c r="J14176" s="40" t="str">
        <f>HYPERLINK("https://stock.pstatic.net/stock-research/company/16/20250218_company_200421000.pdf","PDF")</f>
        <v>PDF</v>
      </c>
      <c r="K14176" s="12" t="s">
        <v>27091</v>
      </c>
      <c r="L14176" s="20">
        <v>0.38504155124653738</v>
      </c>
    </row>
    <row r="14177" spans="1:12" x14ac:dyDescent="0.45">
      <c r="A14177" s="12" t="s">
        <v>27078</v>
      </c>
      <c r="B14177" s="12" t="s">
        <v>2205</v>
      </c>
      <c r="C14177" s="13" t="s">
        <v>2206</v>
      </c>
      <c r="D14177" s="13" t="s">
        <v>158</v>
      </c>
      <c r="E14177" s="12" t="s">
        <v>35</v>
      </c>
      <c r="F14177" s="14">
        <v>70000</v>
      </c>
      <c r="G14177" s="14">
        <v>30650</v>
      </c>
      <c r="H14177" s="13" t="s">
        <v>27092</v>
      </c>
      <c r="I14177" s="40" t="s">
        <v>18</v>
      </c>
      <c r="J14177" s="40" t="str">
        <f>HYPERLINK("https://stock.pstatic.net/stock-research/company/18/20250218_company_795843000.pdf","PDF")</f>
        <v>PDF</v>
      </c>
      <c r="K14177" s="12" t="s">
        <v>27093</v>
      </c>
      <c r="L14177" s="20">
        <v>1.283849918433932</v>
      </c>
    </row>
    <row r="14178" spans="1:12" x14ac:dyDescent="0.45">
      <c r="A14178" s="12" t="s">
        <v>27078</v>
      </c>
      <c r="B14178" s="12" t="s">
        <v>3164</v>
      </c>
      <c r="C14178" s="13" t="s">
        <v>3165</v>
      </c>
      <c r="D14178" s="13" t="s">
        <v>15</v>
      </c>
      <c r="E14178" s="12" t="s">
        <v>16</v>
      </c>
      <c r="F14178" s="14">
        <v>46000</v>
      </c>
      <c r="G14178" s="14">
        <v>34200</v>
      </c>
      <c r="H14178" s="13" t="s">
        <v>27094</v>
      </c>
      <c r="I14178" s="40" t="s">
        <v>18</v>
      </c>
      <c r="J14178" s="40" t="str">
        <f>HYPERLINK("https://stock.pstatic.net/stock-research/company/29/20250218_company_574263000.pdf","PDF")</f>
        <v>PDF</v>
      </c>
      <c r="K14178" s="12" t="s">
        <v>27095</v>
      </c>
      <c r="L14178" s="20">
        <v>0.34502923976608191</v>
      </c>
    </row>
    <row r="14179" spans="1:12" x14ac:dyDescent="0.45">
      <c r="A14179" s="12" t="s">
        <v>27078</v>
      </c>
      <c r="B14179" s="12" t="s">
        <v>102</v>
      </c>
      <c r="C14179" s="13" t="s">
        <v>103</v>
      </c>
      <c r="D14179" s="13" t="s">
        <v>83</v>
      </c>
      <c r="E14179" s="12" t="s">
        <v>35</v>
      </c>
      <c r="F14179" s="14">
        <v>23000</v>
      </c>
      <c r="G14179" s="14">
        <v>16580</v>
      </c>
      <c r="H14179" s="13" t="s">
        <v>27096</v>
      </c>
      <c r="I14179" s="40" t="s">
        <v>18</v>
      </c>
      <c r="J14179" s="40" t="str">
        <f>HYPERLINK("https://stock.pstatic.net/stock-research/company/2/20250218_company_407525000.pdf","PDF")</f>
        <v>PDF</v>
      </c>
      <c r="K14179" s="12" t="s">
        <v>27097</v>
      </c>
      <c r="L14179" s="20">
        <v>0.38721351025331718</v>
      </c>
    </row>
    <row r="14180" spans="1:12" x14ac:dyDescent="0.45">
      <c r="A14180" s="12" t="s">
        <v>27078</v>
      </c>
      <c r="B14180" s="12" t="s">
        <v>2225</v>
      </c>
      <c r="C14180" s="13" t="s">
        <v>5282</v>
      </c>
      <c r="D14180" s="13" t="s">
        <v>83</v>
      </c>
      <c r="E14180" s="12" t="s">
        <v>35</v>
      </c>
      <c r="F14180" s="14">
        <v>330000</v>
      </c>
      <c r="G14180" s="14">
        <v>280500</v>
      </c>
      <c r="H14180" s="13" t="s">
        <v>27098</v>
      </c>
      <c r="I14180" s="40" t="s">
        <v>18</v>
      </c>
      <c r="J14180" s="40" t="str">
        <f>HYPERLINK("https://stock.pstatic.net/stock-research/company/2/20250218_company_800810000.pdf","PDF")</f>
        <v>PDF</v>
      </c>
      <c r="K14180" s="12" t="s">
        <v>27099</v>
      </c>
      <c r="L14180" s="20">
        <v>0.1764705882352941</v>
      </c>
    </row>
    <row r="14181" spans="1:12" x14ac:dyDescent="0.45">
      <c r="A14181" s="12" t="s">
        <v>27078</v>
      </c>
      <c r="B14181" s="12" t="s">
        <v>2950</v>
      </c>
      <c r="C14181" s="13" t="s">
        <v>2951</v>
      </c>
      <c r="D14181" s="13" t="s">
        <v>83</v>
      </c>
      <c r="E14181" s="12" t="s">
        <v>35</v>
      </c>
      <c r="F14181" s="14">
        <v>35000</v>
      </c>
      <c r="G14181" s="14">
        <v>28200</v>
      </c>
      <c r="H14181" s="13" t="s">
        <v>27100</v>
      </c>
      <c r="I14181" s="40" t="s">
        <v>18</v>
      </c>
      <c r="J14181" s="40" t="str">
        <f>HYPERLINK("https://stock.pstatic.net/stock-research/company/2/20250218_company_815493000.pdf","PDF")</f>
        <v>PDF</v>
      </c>
      <c r="K14181" s="12" t="s">
        <v>27101</v>
      </c>
      <c r="L14181" s="20">
        <v>0.2411347517730496</v>
      </c>
    </row>
    <row r="14182" spans="1:12" x14ac:dyDescent="0.45">
      <c r="A14182" s="12" t="s">
        <v>27078</v>
      </c>
      <c r="B14182" s="12" t="s">
        <v>1652</v>
      </c>
      <c r="C14182" s="13" t="s">
        <v>1653</v>
      </c>
      <c r="D14182" s="13" t="s">
        <v>92</v>
      </c>
      <c r="E14182" s="12" t="s">
        <v>35</v>
      </c>
      <c r="F14182" s="14">
        <v>80000</v>
      </c>
      <c r="G14182" s="14">
        <v>40850</v>
      </c>
      <c r="H14182" s="13" t="s">
        <v>27102</v>
      </c>
      <c r="I14182" s="40" t="s">
        <v>18</v>
      </c>
      <c r="J14182" s="40" t="str">
        <f>HYPERLINK("https://stock.pstatic.net/stock-research/company/63/20250218_company_383207000.pdf","PDF")</f>
        <v>PDF</v>
      </c>
      <c r="K14182" s="12" t="s">
        <v>27103</v>
      </c>
      <c r="L14182" s="20">
        <v>0.95838433292533665</v>
      </c>
    </row>
    <row r="14183" spans="1:12" x14ac:dyDescent="0.45">
      <c r="A14183" s="12" t="s">
        <v>27078</v>
      </c>
      <c r="B14183" s="12" t="s">
        <v>1883</v>
      </c>
      <c r="C14183" s="13" t="s">
        <v>1884</v>
      </c>
      <c r="D14183" s="13" t="s">
        <v>92</v>
      </c>
      <c r="E14183" s="12" t="s">
        <v>35</v>
      </c>
      <c r="F14183" s="14">
        <v>31000</v>
      </c>
      <c r="G14183" s="14">
        <v>20200</v>
      </c>
      <c r="H14183" s="13" t="s">
        <v>27104</v>
      </c>
      <c r="I14183" s="40" t="s">
        <v>18</v>
      </c>
      <c r="J14183" s="40" t="str">
        <f>HYPERLINK("https://stock.pstatic.net/stock-research/company/63/20250218_company_117953000.pdf","PDF")</f>
        <v>PDF</v>
      </c>
      <c r="K14183" s="12" t="s">
        <v>27105</v>
      </c>
      <c r="L14183" s="20">
        <v>0.53465346534653468</v>
      </c>
    </row>
    <row r="14184" spans="1:12" x14ac:dyDescent="0.45">
      <c r="A14184" s="12" t="s">
        <v>27078</v>
      </c>
      <c r="B14184" s="12" t="s">
        <v>3688</v>
      </c>
      <c r="C14184" s="13" t="s">
        <v>3689</v>
      </c>
      <c r="D14184" s="13" t="s">
        <v>179</v>
      </c>
      <c r="E14184" s="12" t="s">
        <v>16</v>
      </c>
      <c r="F14184" s="14">
        <v>73000</v>
      </c>
      <c r="G14184" s="14">
        <v>48450</v>
      </c>
      <c r="H14184" s="13" t="s">
        <v>27106</v>
      </c>
      <c r="I14184" s="40" t="s">
        <v>18</v>
      </c>
      <c r="J14184" s="40" t="str">
        <f>HYPERLINK("https://stock.pstatic.net/stock-research/company/31/20250218_company_201162000.pdf","PDF")</f>
        <v>PDF</v>
      </c>
      <c r="K14184" s="12" t="s">
        <v>27107</v>
      </c>
      <c r="L14184" s="20">
        <v>0.50670794633642935</v>
      </c>
    </row>
    <row r="14185" spans="1:12" x14ac:dyDescent="0.45">
      <c r="A14185" s="12" t="s">
        <v>27078</v>
      </c>
      <c r="B14185" s="12" t="s">
        <v>2950</v>
      </c>
      <c r="C14185" s="13" t="s">
        <v>2951</v>
      </c>
      <c r="D14185" s="13" t="s">
        <v>23</v>
      </c>
      <c r="E14185" s="12" t="s">
        <v>16</v>
      </c>
      <c r="F14185" s="14">
        <v>40000</v>
      </c>
      <c r="G14185" s="14">
        <v>28200</v>
      </c>
      <c r="H14185" s="13" t="s">
        <v>27108</v>
      </c>
      <c r="I14185" s="40" t="s">
        <v>18</v>
      </c>
      <c r="J14185" s="40" t="str">
        <f>HYPERLINK("https://stock.pstatic.net/stock-research/company/21/20250218_company_872582000.pdf","PDF")</f>
        <v>PDF</v>
      </c>
      <c r="K14185" s="12" t="s">
        <v>27109</v>
      </c>
      <c r="L14185" s="20">
        <v>0.41843971631205668</v>
      </c>
    </row>
    <row r="14186" spans="1:12" x14ac:dyDescent="0.45">
      <c r="A14186" s="12" t="s">
        <v>27078</v>
      </c>
      <c r="B14186" s="12" t="s">
        <v>255</v>
      </c>
      <c r="C14186" s="13" t="s">
        <v>256</v>
      </c>
      <c r="D14186" s="13" t="s">
        <v>23</v>
      </c>
      <c r="E14186" s="12" t="s">
        <v>16</v>
      </c>
      <c r="F14186" s="14">
        <v>29000</v>
      </c>
      <c r="G14186" s="14">
        <v>20900</v>
      </c>
      <c r="H14186" s="13" t="s">
        <v>27110</v>
      </c>
      <c r="I14186" s="40" t="s">
        <v>18</v>
      </c>
      <c r="J14186" s="40" t="str">
        <f>HYPERLINK("https://stock.pstatic.net/stock-research/company/21/20250218_company_728068000.pdf","PDF")</f>
        <v>PDF</v>
      </c>
      <c r="K14186" s="12" t="s">
        <v>27111</v>
      </c>
      <c r="L14186" s="20">
        <v>0.38755980861244022</v>
      </c>
    </row>
    <row r="14187" spans="1:12" x14ac:dyDescent="0.45">
      <c r="A14187" s="12" t="s">
        <v>27078</v>
      </c>
      <c r="B14187" s="12" t="s">
        <v>102</v>
      </c>
      <c r="C14187" s="13" t="s">
        <v>103</v>
      </c>
      <c r="D14187" s="13" t="s">
        <v>23</v>
      </c>
      <c r="E14187" s="12" t="s">
        <v>16</v>
      </c>
      <c r="F14187" s="14">
        <v>26000</v>
      </c>
      <c r="G14187" s="14">
        <v>16580</v>
      </c>
      <c r="H14187" s="13" t="s">
        <v>27112</v>
      </c>
      <c r="I14187" s="40" t="s">
        <v>18</v>
      </c>
      <c r="J14187" s="40" t="str">
        <f>HYPERLINK("https://stock.pstatic.net/stock-research/company/21/20250218_company_834683000.pdf","PDF")</f>
        <v>PDF</v>
      </c>
      <c r="K14187" s="12" t="s">
        <v>27113</v>
      </c>
      <c r="L14187" s="20">
        <v>0.56815440289505426</v>
      </c>
    </row>
    <row r="14188" spans="1:12" x14ac:dyDescent="0.45">
      <c r="A14188" s="12" t="s">
        <v>27078</v>
      </c>
      <c r="B14188" s="12" t="s">
        <v>6632</v>
      </c>
      <c r="C14188" s="13" t="s">
        <v>6633</v>
      </c>
      <c r="D14188" s="13" t="s">
        <v>23</v>
      </c>
      <c r="E14188" s="12" t="s">
        <v>16</v>
      </c>
      <c r="F14188" s="14">
        <v>17000</v>
      </c>
      <c r="G14188" s="14">
        <v>14100</v>
      </c>
      <c r="H14188" s="13" t="s">
        <v>27114</v>
      </c>
      <c r="I14188" s="40" t="s">
        <v>18</v>
      </c>
      <c r="J14188" s="40" t="str">
        <f>HYPERLINK("https://stock.pstatic.net/stock-research/company/21/20250218_company_8796000.pdf","PDF")</f>
        <v>PDF</v>
      </c>
      <c r="K14188" s="12" t="s">
        <v>27115</v>
      </c>
      <c r="L14188" s="20">
        <v>0.20567375886524819</v>
      </c>
    </row>
    <row r="14189" spans="1:12" x14ac:dyDescent="0.45">
      <c r="A14189" s="12" t="s">
        <v>27078</v>
      </c>
      <c r="B14189" s="12" t="s">
        <v>21902</v>
      </c>
      <c r="C14189" s="13" t="s">
        <v>21903</v>
      </c>
      <c r="D14189" s="13" t="s">
        <v>179</v>
      </c>
      <c r="E14189" s="12" t="s">
        <v>16</v>
      </c>
      <c r="F14189" s="14">
        <v>25000</v>
      </c>
      <c r="G14189" s="14">
        <v>18230</v>
      </c>
      <c r="H14189" s="13" t="s">
        <v>27116</v>
      </c>
      <c r="I14189" s="40" t="s">
        <v>18</v>
      </c>
      <c r="J14189" s="40" t="str">
        <f>HYPERLINK("https://stock.pstatic.net/stock-research/company/1/20250218_company_224269000.pdf","PDF")</f>
        <v>PDF</v>
      </c>
      <c r="K14189" s="12" t="s">
        <v>27117</v>
      </c>
      <c r="L14189" s="20">
        <v>0.37136588041689522</v>
      </c>
    </row>
    <row r="14190" spans="1:12" x14ac:dyDescent="0.45">
      <c r="A14190" s="12" t="s">
        <v>27078</v>
      </c>
      <c r="B14190" s="12" t="s">
        <v>1789</v>
      </c>
      <c r="C14190" s="13" t="s">
        <v>1790</v>
      </c>
      <c r="D14190" s="13" t="s">
        <v>44</v>
      </c>
      <c r="E14190" s="12" t="s">
        <v>35</v>
      </c>
      <c r="F14190" s="14">
        <v>29000</v>
      </c>
      <c r="G14190" s="14">
        <v>22100</v>
      </c>
      <c r="H14190" s="13" t="s">
        <v>27118</v>
      </c>
      <c r="I14190" s="40" t="s">
        <v>18</v>
      </c>
      <c r="J14190" s="40" t="str">
        <f>HYPERLINK("https://stock.pstatic.net/stock-research/company/39/20250218_company_499016000.pdf","PDF")</f>
        <v>PDF</v>
      </c>
      <c r="K14190" s="12" t="s">
        <v>27119</v>
      </c>
      <c r="L14190" s="20">
        <v>0.31221719457013569</v>
      </c>
    </row>
    <row r="14191" spans="1:12" x14ac:dyDescent="0.45">
      <c r="A14191" s="12" t="s">
        <v>27078</v>
      </c>
      <c r="B14191" s="12" t="s">
        <v>3369</v>
      </c>
      <c r="C14191" s="13" t="s">
        <v>3370</v>
      </c>
      <c r="D14191" s="13" t="s">
        <v>44</v>
      </c>
      <c r="E14191" s="12" t="s">
        <v>35</v>
      </c>
      <c r="F14191" s="14">
        <v>25000</v>
      </c>
      <c r="G14191" s="14">
        <v>18220</v>
      </c>
      <c r="H14191" s="13" t="s">
        <v>27120</v>
      </c>
      <c r="I14191" s="40" t="s">
        <v>18</v>
      </c>
      <c r="J14191" s="40" t="str">
        <f>HYPERLINK("https://stock.pstatic.net/stock-research/company/39/20250218_company_423239000.pdf","PDF")</f>
        <v>PDF</v>
      </c>
      <c r="K14191" s="12" t="s">
        <v>27121</v>
      </c>
      <c r="L14191" s="20">
        <v>0.37211855104281011</v>
      </c>
    </row>
    <row r="14192" spans="1:12" x14ac:dyDescent="0.45">
      <c r="A14192" s="12" t="s">
        <v>27078</v>
      </c>
      <c r="B14192" s="12" t="s">
        <v>2811</v>
      </c>
      <c r="C14192" s="13" t="s">
        <v>2812</v>
      </c>
      <c r="D14192" s="13" t="s">
        <v>124</v>
      </c>
      <c r="E14192" s="12" t="s">
        <v>50</v>
      </c>
      <c r="F14192" s="13"/>
      <c r="G14192" s="13"/>
      <c r="H14192" s="13" t="s">
        <v>27122</v>
      </c>
      <c r="I14192" s="40" t="s">
        <v>18</v>
      </c>
      <c r="J14192" s="40" t="str">
        <f>HYPERLINK("https://stock.pstatic.net/stock-research/company/74/20250218_company_371519000.pdf","PDF")</f>
        <v>PDF</v>
      </c>
      <c r="K14192" s="12" t="s">
        <v>27123</v>
      </c>
    </row>
    <row r="14193" spans="1:12" x14ac:dyDescent="0.45">
      <c r="A14193" s="12" t="s">
        <v>27078</v>
      </c>
      <c r="B14193" s="12" t="s">
        <v>6334</v>
      </c>
      <c r="C14193" s="13" t="s">
        <v>6335</v>
      </c>
      <c r="D14193" s="13" t="s">
        <v>124</v>
      </c>
      <c r="E14193" s="12" t="s">
        <v>50</v>
      </c>
      <c r="F14193" s="13"/>
      <c r="G14193" s="13"/>
      <c r="H14193" s="13" t="s">
        <v>27124</v>
      </c>
      <c r="I14193" s="40" t="s">
        <v>18</v>
      </c>
      <c r="J14193" s="40" t="str">
        <f>HYPERLINK("https://stock.pstatic.net/stock-research/company/1/20250218_company_363197000.pdf","PDF")</f>
        <v>PDF</v>
      </c>
      <c r="K14193" s="12" t="s">
        <v>27125</v>
      </c>
    </row>
    <row r="14194" spans="1:12" x14ac:dyDescent="0.45">
      <c r="A14194" s="12" t="s">
        <v>27078</v>
      </c>
      <c r="B14194" s="12" t="s">
        <v>1652</v>
      </c>
      <c r="C14194" s="13" t="s">
        <v>1653</v>
      </c>
      <c r="D14194" s="13" t="s">
        <v>15</v>
      </c>
      <c r="E14194" s="12" t="s">
        <v>16</v>
      </c>
      <c r="F14194" s="14">
        <v>62000</v>
      </c>
      <c r="G14194" s="14">
        <v>40850</v>
      </c>
      <c r="H14194" s="13" t="s">
        <v>27126</v>
      </c>
      <c r="I14194" s="40" t="s">
        <v>18</v>
      </c>
      <c r="J14194" s="40" t="str">
        <f>HYPERLINK("https://stock.pstatic.net/stock-research/company/29/20250218_company_202030000.pdf","PDF")</f>
        <v>PDF</v>
      </c>
      <c r="K14194" s="12" t="s">
        <v>27127</v>
      </c>
      <c r="L14194" s="20">
        <v>0.51774785801713585</v>
      </c>
    </row>
    <row r="14195" spans="1:12" x14ac:dyDescent="0.45">
      <c r="A14195" s="12" t="s">
        <v>27078</v>
      </c>
      <c r="B14195" s="12" t="s">
        <v>1176</v>
      </c>
      <c r="C14195" s="13" t="s">
        <v>1177</v>
      </c>
      <c r="D14195" s="13" t="s">
        <v>53</v>
      </c>
      <c r="E14195" s="12" t="s">
        <v>16</v>
      </c>
      <c r="F14195" s="14">
        <v>7000</v>
      </c>
      <c r="G14195" s="14">
        <v>5090</v>
      </c>
      <c r="H14195" s="13" t="s">
        <v>27128</v>
      </c>
      <c r="I14195" s="40" t="s">
        <v>18</v>
      </c>
      <c r="J14195" s="40" t="str">
        <f>HYPERLINK("https://stock.pstatic.net/stock-research/company/40/20250218_company_284936000.pdf","PDF")</f>
        <v>PDF</v>
      </c>
      <c r="K14195" s="12" t="s">
        <v>27129</v>
      </c>
      <c r="L14195" s="20">
        <v>0.37524557956777999</v>
      </c>
    </row>
    <row r="14196" spans="1:12" x14ac:dyDescent="0.45">
      <c r="A14196" s="12" t="s">
        <v>27078</v>
      </c>
      <c r="B14196" s="12" t="s">
        <v>2435</v>
      </c>
      <c r="C14196" s="13" t="s">
        <v>2436</v>
      </c>
      <c r="D14196" s="13" t="s">
        <v>15</v>
      </c>
      <c r="E14196" s="12" t="s">
        <v>16</v>
      </c>
      <c r="F14196" s="14">
        <v>470000</v>
      </c>
      <c r="G14196" s="14">
        <v>334500</v>
      </c>
      <c r="H14196" s="13" t="s">
        <v>27130</v>
      </c>
      <c r="I14196" s="40" t="s">
        <v>18</v>
      </c>
      <c r="J14196" s="40" t="str">
        <f>HYPERLINK("https://stock.pstatic.net/stock-research/company/29/20250218_company_632351000.pdf","PDF")</f>
        <v>PDF</v>
      </c>
      <c r="K14196" s="12" t="s">
        <v>27131</v>
      </c>
      <c r="L14196" s="20">
        <v>0.40508221225710023</v>
      </c>
    </row>
    <row r="14197" spans="1:12" x14ac:dyDescent="0.45">
      <c r="A14197" s="12" t="s">
        <v>27132</v>
      </c>
      <c r="B14197" s="12" t="s">
        <v>1918</v>
      </c>
      <c r="C14197" s="13" t="s">
        <v>1919</v>
      </c>
      <c r="D14197" s="13" t="s">
        <v>276</v>
      </c>
      <c r="E14197" s="12" t="s">
        <v>16</v>
      </c>
      <c r="F14197" s="14">
        <v>8000</v>
      </c>
      <c r="G14197" s="14">
        <v>5420</v>
      </c>
      <c r="H14197" s="13" t="s">
        <v>27133</v>
      </c>
      <c r="I14197" s="40" t="s">
        <v>18</v>
      </c>
      <c r="J14197" s="40" t="str">
        <f>HYPERLINK("https://stock.pstatic.net/stock-research/company/66/20250217_company_863904000.pdf","PDF")</f>
        <v>PDF</v>
      </c>
      <c r="K14197" s="12" t="s">
        <v>27134</v>
      </c>
      <c r="L14197" s="20">
        <v>0.47601476014760152</v>
      </c>
    </row>
    <row r="14198" spans="1:12" x14ac:dyDescent="0.45">
      <c r="A14198" s="12" t="s">
        <v>27132</v>
      </c>
      <c r="B14198" s="12" t="s">
        <v>5787</v>
      </c>
      <c r="C14198" s="13" t="s">
        <v>5788</v>
      </c>
      <c r="D14198" s="13" t="s">
        <v>276</v>
      </c>
      <c r="E14198" s="12" t="s">
        <v>16</v>
      </c>
      <c r="F14198" s="14">
        <v>17000</v>
      </c>
      <c r="G14198" s="14">
        <v>12870</v>
      </c>
      <c r="H14198" s="13" t="s">
        <v>27135</v>
      </c>
      <c r="I14198" s="40" t="s">
        <v>18</v>
      </c>
      <c r="J14198" s="40" t="str">
        <f>HYPERLINK("https://stock.pstatic.net/stock-research/company/66/20250217_company_248710000.pdf","PDF")</f>
        <v>PDF</v>
      </c>
      <c r="K14198" s="12" t="s">
        <v>27136</v>
      </c>
      <c r="L14198" s="20">
        <v>0.3209013209013209</v>
      </c>
    </row>
    <row r="14199" spans="1:12" x14ac:dyDescent="0.45">
      <c r="A14199" s="12" t="s">
        <v>27132</v>
      </c>
      <c r="B14199" s="12" t="s">
        <v>5912</v>
      </c>
      <c r="C14199" s="13" t="s">
        <v>5913</v>
      </c>
      <c r="D14199" s="13" t="s">
        <v>276</v>
      </c>
      <c r="E14199" s="12" t="s">
        <v>50</v>
      </c>
      <c r="F14199" s="13"/>
      <c r="G14199" s="14">
        <v>20550</v>
      </c>
      <c r="H14199" s="13" t="s">
        <v>27137</v>
      </c>
      <c r="I14199" s="40" t="s">
        <v>18</v>
      </c>
      <c r="J14199" s="40" t="str">
        <f>HYPERLINK("https://stock.pstatic.net/stock-research/company/66/20250217_company_574163000.pdf","PDF")</f>
        <v>PDF</v>
      </c>
      <c r="K14199" s="12" t="s">
        <v>27138</v>
      </c>
    </row>
    <row r="14200" spans="1:12" x14ac:dyDescent="0.45">
      <c r="A14200" s="12" t="s">
        <v>27132</v>
      </c>
      <c r="B14200" s="12" t="s">
        <v>98</v>
      </c>
      <c r="C14200" s="13" t="s">
        <v>99</v>
      </c>
      <c r="D14200" s="13" t="s">
        <v>60</v>
      </c>
      <c r="E14200" s="12" t="s">
        <v>35</v>
      </c>
      <c r="F14200" s="14">
        <v>25000</v>
      </c>
      <c r="G14200" s="14">
        <v>18420</v>
      </c>
      <c r="H14200" s="13" t="s">
        <v>27139</v>
      </c>
      <c r="I14200" s="40" t="s">
        <v>18</v>
      </c>
      <c r="J14200" s="40" t="str">
        <f>HYPERLINK("https://stock.pstatic.net/stock-research/company/34/20250217_company_993122000.pdf","PDF")</f>
        <v>PDF</v>
      </c>
      <c r="K14200" s="12" t="s">
        <v>27140</v>
      </c>
      <c r="L14200" s="20">
        <v>0.35722041259500542</v>
      </c>
    </row>
    <row r="14201" spans="1:12" x14ac:dyDescent="0.45">
      <c r="A14201" s="12" t="s">
        <v>27132</v>
      </c>
      <c r="B14201" s="12" t="s">
        <v>3244</v>
      </c>
      <c r="C14201" s="13" t="s">
        <v>3245</v>
      </c>
      <c r="D14201" s="13" t="s">
        <v>60</v>
      </c>
      <c r="E14201" s="12" t="s">
        <v>35</v>
      </c>
      <c r="F14201" s="14">
        <v>64000</v>
      </c>
      <c r="G14201" s="14">
        <v>50000</v>
      </c>
      <c r="H14201" s="13" t="s">
        <v>27141</v>
      </c>
      <c r="I14201" s="40" t="s">
        <v>18</v>
      </c>
      <c r="J14201" s="40" t="str">
        <f>HYPERLINK("https://stock.pstatic.net/stock-research/company/34/20250217_company_982444000.pdf","PDF")</f>
        <v>PDF</v>
      </c>
      <c r="K14201" s="12" t="s">
        <v>27142</v>
      </c>
      <c r="L14201" s="20">
        <v>0.28000000000000003</v>
      </c>
    </row>
    <row r="14202" spans="1:12" x14ac:dyDescent="0.45">
      <c r="A14202" s="12" t="s">
        <v>27132</v>
      </c>
      <c r="B14202" s="12" t="s">
        <v>8911</v>
      </c>
      <c r="C14202" s="13" t="s">
        <v>8912</v>
      </c>
      <c r="D14202" s="13" t="s">
        <v>65</v>
      </c>
      <c r="E14202" s="12" t="s">
        <v>35</v>
      </c>
      <c r="F14202" s="14">
        <v>50000</v>
      </c>
      <c r="G14202" s="14">
        <v>37100</v>
      </c>
      <c r="H14202" s="13" t="s">
        <v>27143</v>
      </c>
      <c r="I14202" s="40" t="s">
        <v>18</v>
      </c>
      <c r="J14202" s="40" t="str">
        <f>HYPERLINK("https://stock.pstatic.net/stock-research/company/57/20250217_company_158793000.pdf","PDF")</f>
        <v>PDF</v>
      </c>
      <c r="K14202" s="12" t="s">
        <v>27144</v>
      </c>
      <c r="L14202" s="20">
        <v>0.34770889487870621</v>
      </c>
    </row>
    <row r="14203" spans="1:12" x14ac:dyDescent="0.45">
      <c r="A14203" s="12" t="s">
        <v>27132</v>
      </c>
      <c r="B14203" s="12" t="s">
        <v>2781</v>
      </c>
      <c r="C14203" s="13" t="s">
        <v>2782</v>
      </c>
      <c r="D14203" s="13" t="s">
        <v>57</v>
      </c>
      <c r="E14203" s="12" t="s">
        <v>35</v>
      </c>
      <c r="F14203" s="14">
        <v>140000</v>
      </c>
      <c r="G14203" s="14">
        <v>106000</v>
      </c>
      <c r="H14203" s="13" t="s">
        <v>27145</v>
      </c>
      <c r="I14203" s="40" t="s">
        <v>18</v>
      </c>
      <c r="J14203" s="40" t="str">
        <f>HYPERLINK("https://stock.pstatic.net/stock-research/company/16/20250217_company_512874000.pdf","PDF")</f>
        <v>PDF</v>
      </c>
      <c r="K14203" s="12" t="s">
        <v>27146</v>
      </c>
      <c r="L14203" s="20">
        <v>0.32075471698113212</v>
      </c>
    </row>
    <row r="14204" spans="1:12" x14ac:dyDescent="0.45">
      <c r="A14204" s="12" t="s">
        <v>27132</v>
      </c>
      <c r="B14204" s="12" t="s">
        <v>2225</v>
      </c>
      <c r="C14204" s="13" t="s">
        <v>5282</v>
      </c>
      <c r="D14204" s="13" t="s">
        <v>57</v>
      </c>
      <c r="E14204" s="12" t="s">
        <v>35</v>
      </c>
      <c r="F14204" s="14">
        <v>350000</v>
      </c>
      <c r="G14204" s="14">
        <v>284000</v>
      </c>
      <c r="H14204" s="13" t="s">
        <v>27147</v>
      </c>
      <c r="I14204" s="40" t="s">
        <v>18</v>
      </c>
      <c r="J14204" s="40" t="str">
        <f>HYPERLINK("https://stock.pstatic.net/stock-research/company/16/20250217_company_767518000.pdf","PDF")</f>
        <v>PDF</v>
      </c>
      <c r="K14204" s="12" t="s">
        <v>27148</v>
      </c>
      <c r="L14204" s="20">
        <v>0.23239436619718309</v>
      </c>
    </row>
    <row r="14205" spans="1:12" x14ac:dyDescent="0.45">
      <c r="A14205" s="12" t="s">
        <v>27132</v>
      </c>
      <c r="B14205" s="12" t="s">
        <v>2231</v>
      </c>
      <c r="C14205" s="13" t="s">
        <v>2232</v>
      </c>
      <c r="D14205" s="13" t="s">
        <v>57</v>
      </c>
      <c r="E14205" s="12" t="s">
        <v>35</v>
      </c>
      <c r="F14205" s="14">
        <v>110000</v>
      </c>
      <c r="G14205" s="14">
        <v>81800</v>
      </c>
      <c r="H14205" s="13" t="s">
        <v>27149</v>
      </c>
      <c r="I14205" s="40" t="s">
        <v>18</v>
      </c>
      <c r="J14205" s="40" t="str">
        <f>HYPERLINK("https://stock.pstatic.net/stock-research/company/16/20250217_company_32714000.pdf","PDF")</f>
        <v>PDF</v>
      </c>
      <c r="K14205" s="12" t="s">
        <v>27150</v>
      </c>
      <c r="L14205" s="20">
        <v>0.34474327628361862</v>
      </c>
    </row>
    <row r="14206" spans="1:12" x14ac:dyDescent="0.45">
      <c r="A14206" s="12" t="s">
        <v>27132</v>
      </c>
      <c r="B14206" s="12" t="s">
        <v>1190</v>
      </c>
      <c r="C14206" s="13" t="s">
        <v>1191</v>
      </c>
      <c r="D14206" s="13" t="s">
        <v>57</v>
      </c>
      <c r="E14206" s="12" t="s">
        <v>35</v>
      </c>
      <c r="F14206" s="14">
        <v>50000</v>
      </c>
      <c r="G14206" s="14">
        <v>42150</v>
      </c>
      <c r="H14206" s="13" t="s">
        <v>27151</v>
      </c>
      <c r="I14206" s="40" t="s">
        <v>18</v>
      </c>
      <c r="J14206" s="40" t="str">
        <f>HYPERLINK("https://stock.pstatic.net/stock-research/company/16/20250217_company_992737000.pdf","PDF")</f>
        <v>PDF</v>
      </c>
      <c r="K14206" s="12" t="s">
        <v>27152</v>
      </c>
      <c r="L14206" s="20">
        <v>0.18623962040332151</v>
      </c>
    </row>
    <row r="14207" spans="1:12" x14ac:dyDescent="0.45">
      <c r="A14207" s="12" t="s">
        <v>27132</v>
      </c>
      <c r="B14207" s="12" t="s">
        <v>2982</v>
      </c>
      <c r="C14207" s="13" t="s">
        <v>2983</v>
      </c>
      <c r="D14207" s="13" t="s">
        <v>158</v>
      </c>
      <c r="E14207" s="12" t="s">
        <v>35</v>
      </c>
      <c r="F14207" s="14">
        <v>51000</v>
      </c>
      <c r="G14207" s="14">
        <v>38050</v>
      </c>
      <c r="H14207" s="13" t="s">
        <v>27153</v>
      </c>
      <c r="I14207" s="40" t="s">
        <v>18</v>
      </c>
      <c r="J14207" s="40" t="str">
        <f>HYPERLINK("https://stock.pstatic.net/stock-research/company/18/20250217_company_481887000.pdf","PDF")</f>
        <v>PDF</v>
      </c>
      <c r="K14207" s="12" t="s">
        <v>27154</v>
      </c>
      <c r="L14207" s="20">
        <v>0.34034165571616293</v>
      </c>
    </row>
    <row r="14208" spans="1:12" x14ac:dyDescent="0.45">
      <c r="A14208" s="12" t="s">
        <v>27132</v>
      </c>
      <c r="B14208" s="12" t="s">
        <v>2225</v>
      </c>
      <c r="C14208" s="13" t="s">
        <v>5282</v>
      </c>
      <c r="D14208" s="13" t="s">
        <v>92</v>
      </c>
      <c r="E14208" s="12" t="s">
        <v>35</v>
      </c>
      <c r="F14208" s="14">
        <v>340000</v>
      </c>
      <c r="G14208" s="14">
        <v>284000</v>
      </c>
      <c r="H14208" s="13" t="s">
        <v>27155</v>
      </c>
      <c r="I14208" s="40" t="s">
        <v>18</v>
      </c>
      <c r="J14208" s="40" t="str">
        <f>HYPERLINK("https://stock.pstatic.net/stock-research/company/63/20250217_company_738875000.pdf","PDF")</f>
        <v>PDF</v>
      </c>
      <c r="K14208" s="12" t="s">
        <v>27156</v>
      </c>
      <c r="L14208" s="20">
        <v>0.19718309859154931</v>
      </c>
    </row>
    <row r="14209" spans="1:12" x14ac:dyDescent="0.45">
      <c r="A14209" s="12" t="s">
        <v>27132</v>
      </c>
      <c r="B14209" s="12" t="s">
        <v>2262</v>
      </c>
      <c r="C14209" s="13" t="s">
        <v>2263</v>
      </c>
      <c r="D14209" s="13" t="s">
        <v>92</v>
      </c>
      <c r="E14209" s="12" t="s">
        <v>35</v>
      </c>
      <c r="F14209" s="14">
        <v>12000</v>
      </c>
      <c r="G14209" s="14">
        <v>8250</v>
      </c>
      <c r="H14209" s="13" t="s">
        <v>27157</v>
      </c>
      <c r="I14209" s="40" t="s">
        <v>18</v>
      </c>
      <c r="J14209" s="40" t="str">
        <f>HYPERLINK("https://stock.pstatic.net/stock-research/company/1/20250217_company_504429000.pdf","PDF")</f>
        <v>PDF</v>
      </c>
      <c r="K14209" s="12" t="s">
        <v>27158</v>
      </c>
      <c r="L14209" s="20">
        <v>0.45454545454545447</v>
      </c>
    </row>
    <row r="14210" spans="1:12" x14ac:dyDescent="0.45">
      <c r="A14210" s="12" t="s">
        <v>27132</v>
      </c>
      <c r="B14210" s="12" t="s">
        <v>507</v>
      </c>
      <c r="C14210" s="13" t="s">
        <v>508</v>
      </c>
      <c r="D14210" s="13" t="s">
        <v>179</v>
      </c>
      <c r="E14210" s="12" t="s">
        <v>16</v>
      </c>
      <c r="F14210" s="14">
        <v>15000</v>
      </c>
      <c r="G14210" s="14">
        <v>11200</v>
      </c>
      <c r="H14210" s="13" t="s">
        <v>27159</v>
      </c>
      <c r="I14210" s="40" t="s">
        <v>18</v>
      </c>
      <c r="J14210" s="40" t="str">
        <f>HYPERLINK("https://stock.pstatic.net/stock-research/company/31/20250217_company_667990000.pdf","PDF")</f>
        <v>PDF</v>
      </c>
      <c r="K14210" s="12" t="s">
        <v>27160</v>
      </c>
      <c r="L14210" s="20">
        <v>0.3392857142857143</v>
      </c>
    </row>
    <row r="14211" spans="1:12" x14ac:dyDescent="0.45">
      <c r="A14211" s="12" t="s">
        <v>27132</v>
      </c>
      <c r="B14211" s="12" t="s">
        <v>1328</v>
      </c>
      <c r="C14211" s="13" t="s">
        <v>1329</v>
      </c>
      <c r="D14211" s="13" t="s">
        <v>179</v>
      </c>
      <c r="E14211" s="12" t="s">
        <v>16</v>
      </c>
      <c r="F14211" s="14">
        <v>10000</v>
      </c>
      <c r="G14211" s="14">
        <v>8120</v>
      </c>
      <c r="H14211" s="13" t="s">
        <v>27161</v>
      </c>
      <c r="I14211" s="40" t="s">
        <v>18</v>
      </c>
      <c r="J14211" s="40" t="str">
        <f>HYPERLINK("https://stock.pstatic.net/stock-research/company/31/20250217_company_85165000.pdf","PDF")</f>
        <v>PDF</v>
      </c>
      <c r="K14211" s="12" t="s">
        <v>27162</v>
      </c>
      <c r="L14211" s="20">
        <v>0.23152709359605911</v>
      </c>
    </row>
    <row r="14212" spans="1:12" x14ac:dyDescent="0.45">
      <c r="A14212" s="12" t="s">
        <v>27132</v>
      </c>
      <c r="B14212" s="12" t="s">
        <v>507</v>
      </c>
      <c r="C14212" s="13" t="s">
        <v>508</v>
      </c>
      <c r="D14212" s="13" t="s">
        <v>83</v>
      </c>
      <c r="E14212" s="12" t="s">
        <v>35</v>
      </c>
      <c r="F14212" s="14">
        <v>16000</v>
      </c>
      <c r="G14212" s="14">
        <v>11200</v>
      </c>
      <c r="H14212" s="13" t="s">
        <v>27163</v>
      </c>
      <c r="I14212" s="40" t="s">
        <v>18</v>
      </c>
      <c r="J14212" s="40" t="str">
        <f>HYPERLINK("https://stock.pstatic.net/stock-research/company/2/20250217_company_681132000.pdf","PDF")</f>
        <v>PDF</v>
      </c>
      <c r="K14212" s="12" t="s">
        <v>27164</v>
      </c>
      <c r="L14212" s="20">
        <v>0.42857142857142849</v>
      </c>
    </row>
    <row r="14213" spans="1:12" x14ac:dyDescent="0.45">
      <c r="A14213" s="12" t="s">
        <v>27132</v>
      </c>
      <c r="B14213" s="12" t="s">
        <v>1445</v>
      </c>
      <c r="C14213" s="13" t="s">
        <v>1446</v>
      </c>
      <c r="D14213" s="13" t="s">
        <v>83</v>
      </c>
      <c r="E14213" s="12" t="s">
        <v>35</v>
      </c>
      <c r="F14213" s="14">
        <v>22000</v>
      </c>
      <c r="G14213" s="14">
        <v>15380</v>
      </c>
      <c r="H14213" s="13" t="s">
        <v>27165</v>
      </c>
      <c r="I14213" s="40" t="s">
        <v>18</v>
      </c>
      <c r="J14213" s="40" t="str">
        <f>HYPERLINK("https://stock.pstatic.net/stock-research/company/2/20250217_company_503312000.pdf","PDF")</f>
        <v>PDF</v>
      </c>
      <c r="K14213" s="12" t="s">
        <v>27166</v>
      </c>
      <c r="L14213" s="20">
        <v>0.4304291287386216</v>
      </c>
    </row>
    <row r="14214" spans="1:12" x14ac:dyDescent="0.45">
      <c r="A14214" s="12" t="s">
        <v>27132</v>
      </c>
      <c r="B14214" s="12" t="s">
        <v>8911</v>
      </c>
      <c r="C14214" s="13" t="s">
        <v>8912</v>
      </c>
      <c r="D14214" s="13" t="s">
        <v>83</v>
      </c>
      <c r="E14214" s="12" t="s">
        <v>35</v>
      </c>
      <c r="F14214" s="14">
        <v>43000</v>
      </c>
      <c r="G14214" s="14">
        <v>37100</v>
      </c>
      <c r="H14214" s="13" t="s">
        <v>27167</v>
      </c>
      <c r="I14214" s="40" t="s">
        <v>18</v>
      </c>
      <c r="J14214" s="40" t="str">
        <f>HYPERLINK("https://stock.pstatic.net/stock-research/company/2/20250217_company_314039000.pdf","PDF")</f>
        <v>PDF</v>
      </c>
      <c r="K14214" s="12" t="s">
        <v>27168</v>
      </c>
      <c r="L14214" s="20">
        <v>0.1590296495956873</v>
      </c>
    </row>
    <row r="14215" spans="1:12" x14ac:dyDescent="0.45">
      <c r="A14215" s="12" t="s">
        <v>27132</v>
      </c>
      <c r="B14215" s="12" t="s">
        <v>1694</v>
      </c>
      <c r="C14215" s="13" t="s">
        <v>1695</v>
      </c>
      <c r="D14215" s="13" t="s">
        <v>92</v>
      </c>
      <c r="E14215" s="12" t="s">
        <v>35</v>
      </c>
      <c r="F14215" s="14">
        <v>72000</v>
      </c>
      <c r="G14215" s="14">
        <v>51600</v>
      </c>
      <c r="H14215" s="13" t="s">
        <v>27169</v>
      </c>
      <c r="I14215" s="40" t="s">
        <v>18</v>
      </c>
      <c r="J14215" s="40" t="str">
        <f>HYPERLINK("https://stock.pstatic.net/stock-research/company/63/20250217_company_351174000.pdf","PDF")</f>
        <v>PDF</v>
      </c>
      <c r="K14215" s="12" t="s">
        <v>27170</v>
      </c>
      <c r="L14215" s="20">
        <v>0.39534883720930231</v>
      </c>
    </row>
    <row r="14216" spans="1:12" x14ac:dyDescent="0.45">
      <c r="A14216" s="12" t="s">
        <v>27132</v>
      </c>
      <c r="B14216" s="12" t="s">
        <v>495</v>
      </c>
      <c r="C14216" s="13" t="s">
        <v>496</v>
      </c>
      <c r="D14216" s="13" t="s">
        <v>92</v>
      </c>
      <c r="E14216" s="12" t="s">
        <v>35</v>
      </c>
      <c r="F14216" s="14">
        <v>69000</v>
      </c>
      <c r="G14216" s="14">
        <v>53800</v>
      </c>
      <c r="H14216" s="13" t="s">
        <v>27171</v>
      </c>
      <c r="I14216" s="40" t="s">
        <v>18</v>
      </c>
      <c r="J14216" s="40" t="str">
        <f>HYPERLINK("https://stock.pstatic.net/stock-research/company/63/20250217_company_437262000.pdf","PDF")</f>
        <v>PDF</v>
      </c>
      <c r="K14216" s="12" t="s">
        <v>27172</v>
      </c>
      <c r="L14216" s="20">
        <v>0.28252788104089221</v>
      </c>
    </row>
    <row r="14217" spans="1:12" x14ac:dyDescent="0.45">
      <c r="A14217" s="12" t="s">
        <v>27132</v>
      </c>
      <c r="B14217" s="12" t="s">
        <v>1906</v>
      </c>
      <c r="C14217" s="13" t="s">
        <v>1907</v>
      </c>
      <c r="D14217" s="13" t="s">
        <v>44</v>
      </c>
      <c r="E14217" s="12" t="s">
        <v>35</v>
      </c>
      <c r="F14217" s="14">
        <v>46000</v>
      </c>
      <c r="G14217" s="14">
        <v>32800</v>
      </c>
      <c r="H14217" s="13" t="s">
        <v>27173</v>
      </c>
      <c r="I14217" s="40" t="s">
        <v>18</v>
      </c>
      <c r="J14217" s="40" t="str">
        <f>HYPERLINK("https://stock.pstatic.net/stock-research/company/39/20250217_company_505422000.pdf","PDF")</f>
        <v>PDF</v>
      </c>
      <c r="K14217" s="12" t="s">
        <v>27174</v>
      </c>
      <c r="L14217" s="20">
        <v>0.40243902439024393</v>
      </c>
    </row>
    <row r="14218" spans="1:12" x14ac:dyDescent="0.45">
      <c r="A14218" s="12" t="s">
        <v>27132</v>
      </c>
      <c r="B14218" s="12" t="s">
        <v>1009</v>
      </c>
      <c r="C14218" s="13" t="s">
        <v>1010</v>
      </c>
      <c r="D14218" s="13" t="s">
        <v>92</v>
      </c>
      <c r="E14218" s="12" t="s">
        <v>35</v>
      </c>
      <c r="F14218" s="14">
        <v>160000</v>
      </c>
      <c r="G14218" s="14">
        <v>118300</v>
      </c>
      <c r="H14218" s="13" t="s">
        <v>27175</v>
      </c>
      <c r="I14218" s="40" t="s">
        <v>18</v>
      </c>
      <c r="J14218" s="40" t="str">
        <f>HYPERLINK("https://stock.pstatic.net/stock-research/company/63/20250217_company_876460000.pdf","PDF")</f>
        <v>PDF</v>
      </c>
      <c r="K14218" s="12" t="s">
        <v>27176</v>
      </c>
      <c r="L14218" s="20">
        <v>0.35249366018596789</v>
      </c>
    </row>
    <row r="14219" spans="1:12" x14ac:dyDescent="0.45">
      <c r="A14219" s="12" t="s">
        <v>27132</v>
      </c>
      <c r="B14219" s="12" t="s">
        <v>1270</v>
      </c>
      <c r="C14219" s="13" t="s">
        <v>1271</v>
      </c>
      <c r="D14219" s="13" t="s">
        <v>179</v>
      </c>
      <c r="E14219" s="12" t="s">
        <v>16</v>
      </c>
      <c r="F14219" s="14">
        <v>62000</v>
      </c>
      <c r="G14219" s="14">
        <v>48250</v>
      </c>
      <c r="H14219" s="13" t="s">
        <v>27177</v>
      </c>
      <c r="I14219" s="40" t="s">
        <v>18</v>
      </c>
      <c r="J14219" s="40" t="str">
        <f>HYPERLINK("https://stock.pstatic.net/stock-research/company/64/20250217_company_160038000.pdf","PDF")</f>
        <v>PDF</v>
      </c>
      <c r="K14219" s="12" t="s">
        <v>27178</v>
      </c>
      <c r="L14219" s="20">
        <v>0.28497409326424872</v>
      </c>
    </row>
    <row r="14220" spans="1:12" x14ac:dyDescent="0.45">
      <c r="A14220" s="12" t="s">
        <v>27132</v>
      </c>
      <c r="B14220" s="12" t="s">
        <v>8911</v>
      </c>
      <c r="C14220" s="13" t="s">
        <v>8912</v>
      </c>
      <c r="D14220" s="13" t="s">
        <v>44</v>
      </c>
      <c r="E14220" s="12" t="s">
        <v>45</v>
      </c>
      <c r="F14220" s="14">
        <v>41000</v>
      </c>
      <c r="G14220" s="14">
        <v>37100</v>
      </c>
      <c r="H14220" s="13" t="s">
        <v>27179</v>
      </c>
      <c r="I14220" s="40" t="s">
        <v>18</v>
      </c>
      <c r="J14220" s="40" t="str">
        <f>HYPERLINK("https://stock.pstatic.net/stock-research/company/39/20250217_company_134426000.pdf","PDF")</f>
        <v>PDF</v>
      </c>
      <c r="K14220" s="12" t="s">
        <v>27180</v>
      </c>
      <c r="L14220" s="20">
        <v>0.1051212938005391</v>
      </c>
    </row>
    <row r="14221" spans="1:12" x14ac:dyDescent="0.45">
      <c r="A14221" s="12" t="s">
        <v>27132</v>
      </c>
      <c r="B14221" s="12" t="s">
        <v>27062</v>
      </c>
      <c r="C14221" s="13" t="s">
        <v>27063</v>
      </c>
      <c r="D14221" s="13" t="s">
        <v>92</v>
      </c>
      <c r="E14221" s="12" t="s">
        <v>35</v>
      </c>
      <c r="F14221" s="14">
        <v>2400</v>
      </c>
      <c r="G14221" s="14">
        <v>1555</v>
      </c>
      <c r="H14221" s="13" t="s">
        <v>27181</v>
      </c>
      <c r="I14221" s="40" t="s">
        <v>18</v>
      </c>
      <c r="J14221" s="40" t="str">
        <f>HYPERLINK("https://stock.pstatic.net/stock-research/company/63/20250217_company_35724000.pdf","PDF")</f>
        <v>PDF</v>
      </c>
      <c r="K14221" s="12" t="s">
        <v>27182</v>
      </c>
      <c r="L14221" s="20">
        <v>0.54340836012861737</v>
      </c>
    </row>
    <row r="14222" spans="1:12" x14ac:dyDescent="0.45">
      <c r="A14222" s="12" t="s">
        <v>27132</v>
      </c>
      <c r="B14222" s="12" t="s">
        <v>1278</v>
      </c>
      <c r="C14222" s="13" t="s">
        <v>1279</v>
      </c>
      <c r="D14222" s="13" t="s">
        <v>15</v>
      </c>
      <c r="E14222" s="12" t="s">
        <v>16</v>
      </c>
      <c r="F14222" s="14">
        <v>110000</v>
      </c>
      <c r="G14222" s="14">
        <v>80100</v>
      </c>
      <c r="H14222" s="13" t="s">
        <v>27183</v>
      </c>
      <c r="I14222" s="40" t="s">
        <v>18</v>
      </c>
      <c r="J14222" s="40" t="str">
        <f>HYPERLINK("https://stock.pstatic.net/stock-research/company/29/20250217_company_483359000.pdf","PDF")</f>
        <v>PDF</v>
      </c>
      <c r="K14222" s="12" t="s">
        <v>27184</v>
      </c>
      <c r="L14222" s="20">
        <v>0.37328339575530589</v>
      </c>
    </row>
    <row r="14223" spans="1:12" x14ac:dyDescent="0.45">
      <c r="A14223" s="12" t="s">
        <v>27132</v>
      </c>
      <c r="B14223" s="12" t="s">
        <v>1270</v>
      </c>
      <c r="C14223" s="13" t="s">
        <v>1271</v>
      </c>
      <c r="D14223" s="13" t="s">
        <v>15</v>
      </c>
      <c r="E14223" s="12" t="s">
        <v>16</v>
      </c>
      <c r="F14223" s="14">
        <v>60000</v>
      </c>
      <c r="G14223" s="14">
        <v>48250</v>
      </c>
      <c r="H14223" s="13" t="s">
        <v>27185</v>
      </c>
      <c r="I14223" s="40" t="s">
        <v>18</v>
      </c>
      <c r="J14223" s="40" t="str">
        <f>HYPERLINK("https://stock.pstatic.net/stock-research/company/29/20250217_company_996064000.pdf","PDF")</f>
        <v>PDF</v>
      </c>
      <c r="K14223" s="12" t="s">
        <v>27186</v>
      </c>
      <c r="L14223" s="20">
        <v>0.2435233160621762</v>
      </c>
    </row>
    <row r="14224" spans="1:12" x14ac:dyDescent="0.45">
      <c r="A14224" s="12" t="s">
        <v>27132</v>
      </c>
      <c r="B14224" s="12" t="s">
        <v>507</v>
      </c>
      <c r="C14224" s="13" t="s">
        <v>508</v>
      </c>
      <c r="D14224" s="13" t="s">
        <v>23</v>
      </c>
      <c r="E14224" s="12" t="s">
        <v>16</v>
      </c>
      <c r="F14224" s="14">
        <v>16000</v>
      </c>
      <c r="G14224" s="14">
        <v>11200</v>
      </c>
      <c r="H14224" s="13" t="s">
        <v>27187</v>
      </c>
      <c r="I14224" s="40" t="s">
        <v>18</v>
      </c>
      <c r="J14224" s="40" t="str">
        <f>HYPERLINK("https://stock.pstatic.net/stock-research/company/21/20250217_company_824710000.pdf","PDF")</f>
        <v>PDF</v>
      </c>
      <c r="K14224" s="12" t="s">
        <v>27188</v>
      </c>
      <c r="L14224" s="20">
        <v>0.42857142857142849</v>
      </c>
    </row>
    <row r="14225" spans="1:12" x14ac:dyDescent="0.45">
      <c r="A14225" s="12" t="s">
        <v>27132</v>
      </c>
      <c r="B14225" s="12" t="s">
        <v>2225</v>
      </c>
      <c r="C14225" s="13" t="s">
        <v>5282</v>
      </c>
      <c r="D14225" s="13" t="s">
        <v>23</v>
      </c>
      <c r="E14225" s="12" t="s">
        <v>16</v>
      </c>
      <c r="F14225" s="14">
        <v>320000</v>
      </c>
      <c r="G14225" s="14">
        <v>284000</v>
      </c>
      <c r="H14225" s="13" t="s">
        <v>27189</v>
      </c>
      <c r="I14225" s="40" t="s">
        <v>18</v>
      </c>
      <c r="J14225" s="40" t="str">
        <f>HYPERLINK("https://stock.pstatic.net/stock-research/company/1/20250217_company_907884000.pdf","PDF")</f>
        <v>PDF</v>
      </c>
      <c r="K14225" s="12" t="s">
        <v>27190</v>
      </c>
      <c r="L14225" s="20">
        <v>0.12676056338028169</v>
      </c>
    </row>
    <row r="14226" spans="1:12" x14ac:dyDescent="0.45">
      <c r="A14226" s="12" t="s">
        <v>27132</v>
      </c>
      <c r="B14226" s="12" t="s">
        <v>617</v>
      </c>
      <c r="C14226" s="13" t="s">
        <v>618</v>
      </c>
      <c r="D14226" s="13" t="s">
        <v>34</v>
      </c>
      <c r="E14226" s="12" t="s">
        <v>50</v>
      </c>
      <c r="F14226" s="13"/>
      <c r="G14226" s="14">
        <v>14120</v>
      </c>
      <c r="H14226" s="13" t="s">
        <v>27191</v>
      </c>
      <c r="I14226" s="40" t="s">
        <v>18</v>
      </c>
      <c r="J14226" s="40" t="str">
        <f>HYPERLINK("https://stock.pstatic.net/stock-research/company/61/20250217_company_821624000.pdf","PDF")</f>
        <v>PDF</v>
      </c>
      <c r="K14226" s="12" t="s">
        <v>27192</v>
      </c>
    </row>
    <row r="14227" spans="1:12" x14ac:dyDescent="0.45">
      <c r="A14227" s="12" t="s">
        <v>27132</v>
      </c>
      <c r="B14227" s="12" t="s">
        <v>1415</v>
      </c>
      <c r="C14227" s="13" t="s">
        <v>1416</v>
      </c>
      <c r="D14227" s="13" t="s">
        <v>34</v>
      </c>
      <c r="E14227" s="12" t="s">
        <v>35</v>
      </c>
      <c r="F14227" s="14">
        <v>6500</v>
      </c>
      <c r="G14227" s="14">
        <v>4435</v>
      </c>
      <c r="H14227" s="13" t="s">
        <v>27193</v>
      </c>
      <c r="I14227" s="40" t="s">
        <v>18</v>
      </c>
      <c r="J14227" s="40" t="str">
        <f>HYPERLINK("https://stock.pstatic.net/stock-research/company/61/20250217_company_65300000.pdf","PDF")</f>
        <v>PDF</v>
      </c>
      <c r="K14227" s="12" t="s">
        <v>27194</v>
      </c>
      <c r="L14227" s="20">
        <v>0.46561443066516339</v>
      </c>
    </row>
    <row r="14228" spans="1:12" x14ac:dyDescent="0.45">
      <c r="A14228" s="12" t="s">
        <v>27132</v>
      </c>
      <c r="B14228" s="12" t="s">
        <v>98</v>
      </c>
      <c r="C14228" s="13" t="s">
        <v>99</v>
      </c>
      <c r="D14228" s="13" t="s">
        <v>23</v>
      </c>
      <c r="E14228" s="12" t="s">
        <v>16</v>
      </c>
      <c r="F14228" s="14">
        <v>22000</v>
      </c>
      <c r="G14228" s="14">
        <v>18420</v>
      </c>
      <c r="H14228" s="13" t="s">
        <v>27195</v>
      </c>
      <c r="I14228" s="40" t="s">
        <v>18</v>
      </c>
      <c r="J14228" s="40" t="str">
        <f>HYPERLINK("https://stock.pstatic.net/stock-research/company/21/20250217_company_885128000.pdf","PDF")</f>
        <v>PDF</v>
      </c>
      <c r="K14228" s="12" t="s">
        <v>27196</v>
      </c>
      <c r="L14228" s="20">
        <v>0.19435396308360481</v>
      </c>
    </row>
    <row r="14229" spans="1:12" x14ac:dyDescent="0.45">
      <c r="A14229" s="12" t="s">
        <v>27132</v>
      </c>
      <c r="B14229" s="12" t="s">
        <v>1270</v>
      </c>
      <c r="C14229" s="13" t="s">
        <v>1271</v>
      </c>
      <c r="D14229" s="13" t="s">
        <v>23</v>
      </c>
      <c r="E14229" s="12" t="s">
        <v>16</v>
      </c>
      <c r="F14229" s="14">
        <v>58000</v>
      </c>
      <c r="G14229" s="14">
        <v>48250</v>
      </c>
      <c r="H14229" s="13" t="s">
        <v>27197</v>
      </c>
      <c r="I14229" s="40" t="s">
        <v>18</v>
      </c>
      <c r="J14229" s="40" t="str">
        <f>HYPERLINK("https://stock.pstatic.net/stock-research/company/21/20250217_company_987159000.pdf","PDF")</f>
        <v>PDF</v>
      </c>
      <c r="K14229" s="12" t="s">
        <v>27198</v>
      </c>
      <c r="L14229" s="20">
        <v>0.2020725388601036</v>
      </c>
    </row>
    <row r="14230" spans="1:12" x14ac:dyDescent="0.45">
      <c r="A14230" s="12" t="s">
        <v>27132</v>
      </c>
      <c r="B14230" s="12" t="s">
        <v>1966</v>
      </c>
      <c r="C14230" s="13" t="s">
        <v>1967</v>
      </c>
      <c r="D14230" s="13" t="s">
        <v>92</v>
      </c>
      <c r="E14230" s="12" t="s">
        <v>35</v>
      </c>
      <c r="F14230" s="14">
        <v>9500</v>
      </c>
      <c r="G14230" s="14">
        <v>6830</v>
      </c>
      <c r="H14230" s="13" t="s">
        <v>27199</v>
      </c>
      <c r="I14230" s="40" t="s">
        <v>18</v>
      </c>
      <c r="J14230" s="40" t="str">
        <f>HYPERLINK("https://stock.pstatic.net/stock-research/company/63/20250217_company_92575000.pdf","PDF")</f>
        <v>PDF</v>
      </c>
      <c r="K14230" s="12" t="s">
        <v>27200</v>
      </c>
      <c r="L14230" s="20">
        <v>0.39092240117130311</v>
      </c>
    </row>
    <row r="14231" spans="1:12" x14ac:dyDescent="0.45">
      <c r="A14231" s="12" t="s">
        <v>27132</v>
      </c>
      <c r="B14231" s="12" t="s">
        <v>2199</v>
      </c>
      <c r="C14231" s="13" t="s">
        <v>2200</v>
      </c>
      <c r="D14231" s="13" t="s">
        <v>179</v>
      </c>
      <c r="E14231" s="12" t="s">
        <v>16</v>
      </c>
      <c r="F14231" s="14">
        <v>49000</v>
      </c>
      <c r="G14231" s="14">
        <v>28050</v>
      </c>
      <c r="H14231" s="13" t="s">
        <v>27201</v>
      </c>
      <c r="I14231" s="40" t="s">
        <v>18</v>
      </c>
      <c r="J14231" s="40" t="str">
        <f>HYPERLINK("https://stock.pstatic.net/stock-research/company/31/20250217_company_647356000.pdf","PDF")</f>
        <v>PDF</v>
      </c>
      <c r="K14231" s="12" t="s">
        <v>27202</v>
      </c>
      <c r="L14231" s="20">
        <v>0.74688057040998213</v>
      </c>
    </row>
    <row r="14232" spans="1:12" x14ac:dyDescent="0.45">
      <c r="A14232" s="12" t="s">
        <v>27132</v>
      </c>
      <c r="B14232" s="12" t="s">
        <v>2231</v>
      </c>
      <c r="C14232" s="13" t="s">
        <v>2232</v>
      </c>
      <c r="D14232" s="13" t="s">
        <v>23</v>
      </c>
      <c r="E14232" s="12" t="s">
        <v>16</v>
      </c>
      <c r="F14232" s="14">
        <v>100000</v>
      </c>
      <c r="G14232" s="14">
        <v>81800</v>
      </c>
      <c r="H14232" s="13" t="s">
        <v>27203</v>
      </c>
      <c r="I14232" s="40" t="s">
        <v>18</v>
      </c>
      <c r="J14232" s="40" t="str">
        <f>HYPERLINK("https://stock.pstatic.net/stock-research/company/21/20250217_company_254677000.pdf","PDF")</f>
        <v>PDF</v>
      </c>
      <c r="K14232" s="12" t="s">
        <v>27204</v>
      </c>
      <c r="L14232" s="20">
        <v>0.22249388753056229</v>
      </c>
    </row>
    <row r="14233" spans="1:12" x14ac:dyDescent="0.45">
      <c r="A14233" s="12" t="s">
        <v>27132</v>
      </c>
      <c r="B14233" s="12" t="s">
        <v>114</v>
      </c>
      <c r="C14233" s="13" t="s">
        <v>115</v>
      </c>
      <c r="D14233" s="13" t="s">
        <v>23</v>
      </c>
      <c r="E14233" s="12" t="s">
        <v>16</v>
      </c>
      <c r="F14233" s="14">
        <v>11500</v>
      </c>
      <c r="G14233" s="14">
        <v>7700</v>
      </c>
      <c r="H14233" s="13" t="s">
        <v>27205</v>
      </c>
      <c r="I14233" s="40" t="s">
        <v>18</v>
      </c>
      <c r="J14233" s="40" t="str">
        <f>HYPERLINK("https://stock.pstatic.net/stock-research/company/21/20250217_company_907174000.pdf","PDF")</f>
        <v>PDF</v>
      </c>
      <c r="K14233" s="12" t="s">
        <v>27206</v>
      </c>
      <c r="L14233" s="20">
        <v>0.4935064935064935</v>
      </c>
    </row>
    <row r="14234" spans="1:12" x14ac:dyDescent="0.45">
      <c r="A14234" s="12" t="s">
        <v>27132</v>
      </c>
      <c r="B14234" s="12" t="s">
        <v>4864</v>
      </c>
      <c r="C14234" s="13" t="s">
        <v>4865</v>
      </c>
      <c r="D14234" s="13" t="s">
        <v>23</v>
      </c>
      <c r="E14234" s="12" t="s">
        <v>385</v>
      </c>
      <c r="F14234" s="13"/>
      <c r="G14234" s="14">
        <v>46600</v>
      </c>
      <c r="H14234" s="13" t="s">
        <v>27207</v>
      </c>
      <c r="I14234" s="40" t="s">
        <v>18</v>
      </c>
      <c r="J14234" s="40" t="str">
        <f>HYPERLINK("https://stock.pstatic.net/stock-research/company/21/20250217_company_110669000.pdf","PDF")</f>
        <v>PDF</v>
      </c>
      <c r="K14234" s="12" t="s">
        <v>27208</v>
      </c>
    </row>
    <row r="14235" spans="1:12" x14ac:dyDescent="0.45">
      <c r="A14235" s="12" t="s">
        <v>27132</v>
      </c>
      <c r="B14235" s="12" t="s">
        <v>1900</v>
      </c>
      <c r="C14235" s="13" t="s">
        <v>1901</v>
      </c>
      <c r="D14235" s="13" t="s">
        <v>23</v>
      </c>
      <c r="E14235" s="12" t="s">
        <v>385</v>
      </c>
      <c r="F14235" s="13"/>
      <c r="G14235" s="14">
        <v>42250</v>
      </c>
      <c r="H14235" s="13" t="s">
        <v>27209</v>
      </c>
      <c r="I14235" s="40" t="s">
        <v>18</v>
      </c>
      <c r="J14235" s="40" t="str">
        <f>HYPERLINK("https://stock.pstatic.net/stock-research/company/21/20250217_company_150961000.pdf","PDF")</f>
        <v>PDF</v>
      </c>
      <c r="K14235" s="12" t="s">
        <v>27210</v>
      </c>
    </row>
    <row r="14236" spans="1:12" x14ac:dyDescent="0.45">
      <c r="A14236" s="12" t="s">
        <v>27132</v>
      </c>
      <c r="B14236" s="12" t="s">
        <v>114</v>
      </c>
      <c r="C14236" s="13" t="s">
        <v>115</v>
      </c>
      <c r="D14236" s="13" t="s">
        <v>44</v>
      </c>
      <c r="E14236" s="12" t="s">
        <v>35</v>
      </c>
      <c r="F14236" s="14">
        <v>13000</v>
      </c>
      <c r="G14236" s="14">
        <v>7700</v>
      </c>
      <c r="H14236" s="13" t="s">
        <v>27211</v>
      </c>
      <c r="I14236" s="40" t="s">
        <v>18</v>
      </c>
      <c r="J14236" s="40" t="str">
        <f>HYPERLINK("https://stock.pstatic.net/stock-research/company/39/20250217_company_708990000.pdf","PDF")</f>
        <v>PDF</v>
      </c>
      <c r="K14236" s="12" t="s">
        <v>27212</v>
      </c>
      <c r="L14236" s="20">
        <v>0.68831168831168832</v>
      </c>
    </row>
    <row r="14237" spans="1:12" x14ac:dyDescent="0.45">
      <c r="A14237" s="12" t="s">
        <v>27132</v>
      </c>
      <c r="B14237" s="12" t="s">
        <v>98</v>
      </c>
      <c r="C14237" s="13" t="s">
        <v>99</v>
      </c>
      <c r="D14237" s="13" t="s">
        <v>44</v>
      </c>
      <c r="E14237" s="12" t="s">
        <v>45</v>
      </c>
      <c r="F14237" s="14">
        <v>22000</v>
      </c>
      <c r="G14237" s="14">
        <v>18420</v>
      </c>
      <c r="H14237" s="13" t="s">
        <v>27213</v>
      </c>
      <c r="I14237" s="40" t="s">
        <v>18</v>
      </c>
      <c r="J14237" s="40" t="str">
        <f>HYPERLINK("https://stock.pstatic.net/stock-research/company/39/20250217_company_817327000.pdf","PDF")</f>
        <v>PDF</v>
      </c>
      <c r="K14237" s="12" t="s">
        <v>27214</v>
      </c>
      <c r="L14237" s="20">
        <v>0.19435396308360481</v>
      </c>
    </row>
    <row r="14238" spans="1:12" x14ac:dyDescent="0.45">
      <c r="A14238" s="12" t="s">
        <v>27132</v>
      </c>
      <c r="B14238" s="12" t="s">
        <v>1602</v>
      </c>
      <c r="C14238" s="13" t="s">
        <v>1603</v>
      </c>
      <c r="D14238" s="13" t="s">
        <v>44</v>
      </c>
      <c r="E14238" s="12" t="s">
        <v>50</v>
      </c>
      <c r="F14238" s="13"/>
      <c r="G14238" s="13"/>
      <c r="H14238" s="13" t="s">
        <v>27215</v>
      </c>
      <c r="I14238" s="40" t="s">
        <v>18</v>
      </c>
      <c r="J14238" s="40" t="str">
        <f>HYPERLINK("https://stock.pstatic.net/stock-research/company/39/20250217_company_228575000.pdf","PDF")</f>
        <v>PDF</v>
      </c>
      <c r="K14238" s="12" t="s">
        <v>27216</v>
      </c>
    </row>
    <row r="14239" spans="1:12" x14ac:dyDescent="0.45">
      <c r="A14239" s="12" t="s">
        <v>27132</v>
      </c>
      <c r="B14239" s="12" t="s">
        <v>1270</v>
      </c>
      <c r="C14239" s="13" t="s">
        <v>1271</v>
      </c>
      <c r="D14239" s="13" t="s">
        <v>44</v>
      </c>
      <c r="E14239" s="12" t="s">
        <v>35</v>
      </c>
      <c r="F14239" s="14">
        <v>60000</v>
      </c>
      <c r="G14239" s="14">
        <v>48250</v>
      </c>
      <c r="H14239" s="13" t="s">
        <v>27217</v>
      </c>
      <c r="I14239" s="40" t="s">
        <v>18</v>
      </c>
      <c r="J14239" s="40" t="str">
        <f>HYPERLINK("https://stock.pstatic.net/stock-research/company/39/20250217_company_683354000.pdf","PDF")</f>
        <v>PDF</v>
      </c>
      <c r="K14239" s="12" t="s">
        <v>27218</v>
      </c>
      <c r="L14239" s="20">
        <v>0.2435233160621762</v>
      </c>
    </row>
    <row r="14240" spans="1:12" x14ac:dyDescent="0.45">
      <c r="A14240" s="12" t="s">
        <v>27132</v>
      </c>
      <c r="B14240" s="12" t="s">
        <v>110</v>
      </c>
      <c r="C14240" s="13" t="s">
        <v>111</v>
      </c>
      <c r="D14240" s="13" t="s">
        <v>44</v>
      </c>
      <c r="E14240" s="12" t="s">
        <v>35</v>
      </c>
      <c r="F14240" s="14">
        <v>23000</v>
      </c>
      <c r="G14240" s="14">
        <v>15450</v>
      </c>
      <c r="H14240" s="13" t="s">
        <v>27219</v>
      </c>
      <c r="I14240" s="40" t="s">
        <v>18</v>
      </c>
      <c r="J14240" s="40" t="str">
        <f>HYPERLINK("https://stock.pstatic.net/stock-research/company/39/20250217_company_626533000.pdf","PDF")</f>
        <v>PDF</v>
      </c>
      <c r="K14240" s="12" t="s">
        <v>27220</v>
      </c>
      <c r="L14240" s="20">
        <v>0.48867313915857608</v>
      </c>
    </row>
    <row r="14241" spans="1:12" x14ac:dyDescent="0.45">
      <c r="A14241" s="12" t="s">
        <v>27132</v>
      </c>
      <c r="B14241" s="12" t="s">
        <v>1540</v>
      </c>
      <c r="C14241" s="13" t="s">
        <v>1541</v>
      </c>
      <c r="D14241" s="13" t="s">
        <v>15</v>
      </c>
      <c r="E14241" s="12" t="s">
        <v>16</v>
      </c>
      <c r="F14241" s="14">
        <v>55000</v>
      </c>
      <c r="G14241" s="14">
        <v>44050</v>
      </c>
      <c r="H14241" s="13" t="s">
        <v>27221</v>
      </c>
      <c r="I14241" s="40" t="s">
        <v>18</v>
      </c>
      <c r="J14241" s="40" t="str">
        <f>HYPERLINK("https://stock.pstatic.net/stock-research/company/29/20250217_company_577277000.pdf","PDF")</f>
        <v>PDF</v>
      </c>
      <c r="K14241" s="12" t="s">
        <v>27222</v>
      </c>
      <c r="L14241" s="20">
        <v>0.24858115777525541</v>
      </c>
    </row>
    <row r="14242" spans="1:12" x14ac:dyDescent="0.45">
      <c r="A14242" s="12" t="s">
        <v>27223</v>
      </c>
      <c r="B14242" s="12" t="s">
        <v>4291</v>
      </c>
      <c r="C14242" s="13" t="s">
        <v>4292</v>
      </c>
      <c r="D14242" s="13" t="s">
        <v>158</v>
      </c>
      <c r="E14242" s="12" t="s">
        <v>50</v>
      </c>
      <c r="F14242" s="13"/>
      <c r="G14242" s="14">
        <v>6790</v>
      </c>
      <c r="H14242" s="13" t="s">
        <v>27224</v>
      </c>
      <c r="I14242" s="40" t="s">
        <v>18</v>
      </c>
      <c r="J14242" s="40" t="str">
        <f>HYPERLINK("https://stock.pstatic.net/stock-research/company/18/20250214_company_866399000.pdf","PDF")</f>
        <v>PDF</v>
      </c>
      <c r="K14242" s="12" t="s">
        <v>27225</v>
      </c>
    </row>
    <row r="14243" spans="1:12" x14ac:dyDescent="0.45">
      <c r="A14243" s="12" t="s">
        <v>27223</v>
      </c>
      <c r="B14243" s="12" t="s">
        <v>348</v>
      </c>
      <c r="C14243" s="13" t="s">
        <v>349</v>
      </c>
      <c r="D14243" s="13" t="s">
        <v>158</v>
      </c>
      <c r="E14243" s="12" t="s">
        <v>50</v>
      </c>
      <c r="F14243" s="13"/>
      <c r="G14243" s="14">
        <v>23550</v>
      </c>
      <c r="H14243" s="13" t="s">
        <v>27226</v>
      </c>
      <c r="I14243" s="40" t="s">
        <v>18</v>
      </c>
      <c r="J14243" s="40" t="str">
        <f>HYPERLINK("https://stock.pstatic.net/stock-research/company/18/20250214_company_242342000.pdf","PDF")</f>
        <v>PDF</v>
      </c>
      <c r="K14243" s="12" t="s">
        <v>27227</v>
      </c>
    </row>
    <row r="14244" spans="1:12" x14ac:dyDescent="0.45">
      <c r="A14244" s="12" t="s">
        <v>27223</v>
      </c>
      <c r="B14244" s="12" t="s">
        <v>916</v>
      </c>
      <c r="C14244" s="13" t="s">
        <v>917</v>
      </c>
      <c r="D14244" s="13" t="s">
        <v>158</v>
      </c>
      <c r="E14244" s="12" t="s">
        <v>35</v>
      </c>
      <c r="F14244" s="14">
        <v>53000</v>
      </c>
      <c r="G14244" s="14">
        <v>40200</v>
      </c>
      <c r="H14244" s="13" t="s">
        <v>27228</v>
      </c>
      <c r="I14244" s="40" t="s">
        <v>18</v>
      </c>
      <c r="J14244" s="40" t="str">
        <f>HYPERLINK("https://stock.pstatic.net/stock-research/company/18/20250214_company_561127000.pdf","PDF")</f>
        <v>PDF</v>
      </c>
      <c r="K14244" s="12" t="s">
        <v>27229</v>
      </c>
      <c r="L14244" s="20">
        <v>0.31840796019900502</v>
      </c>
    </row>
    <row r="14245" spans="1:12" x14ac:dyDescent="0.45">
      <c r="A14245" s="12" t="s">
        <v>27223</v>
      </c>
      <c r="B14245" s="12" t="s">
        <v>1548</v>
      </c>
      <c r="C14245" s="13" t="s">
        <v>1549</v>
      </c>
      <c r="D14245" s="13" t="s">
        <v>158</v>
      </c>
      <c r="E14245" s="12" t="s">
        <v>35</v>
      </c>
      <c r="F14245" s="14">
        <v>620000</v>
      </c>
      <c r="G14245" s="14">
        <v>516000</v>
      </c>
      <c r="H14245" s="13" t="s">
        <v>27230</v>
      </c>
      <c r="I14245" s="40" t="s">
        <v>18</v>
      </c>
      <c r="J14245" s="40" t="str">
        <f>HYPERLINK("https://stock.pstatic.net/stock-research/company/18/20250214_company_573941000.pdf","PDF")</f>
        <v>PDF</v>
      </c>
      <c r="K14245" s="12" t="s">
        <v>27231</v>
      </c>
      <c r="L14245" s="20">
        <v>0.20155038759689919</v>
      </c>
    </row>
    <row r="14246" spans="1:12" x14ac:dyDescent="0.45">
      <c r="A14246" s="12" t="s">
        <v>27223</v>
      </c>
      <c r="B14246" s="12" t="s">
        <v>916</v>
      </c>
      <c r="C14246" s="13" t="s">
        <v>917</v>
      </c>
      <c r="D14246" s="13" t="s">
        <v>57</v>
      </c>
      <c r="E14246" s="12" t="s">
        <v>35</v>
      </c>
      <c r="F14246" s="14">
        <v>52000</v>
      </c>
      <c r="G14246" s="14">
        <v>40200</v>
      </c>
      <c r="H14246" s="13" t="s">
        <v>27232</v>
      </c>
      <c r="I14246" s="40" t="s">
        <v>18</v>
      </c>
      <c r="J14246" s="40" t="str">
        <f>HYPERLINK("https://stock.pstatic.net/stock-research/company/16/20250214_company_13232000.pdf","PDF")</f>
        <v>PDF</v>
      </c>
      <c r="K14246" s="12" t="s">
        <v>27233</v>
      </c>
      <c r="L14246" s="20">
        <v>0.29353233830845771</v>
      </c>
    </row>
    <row r="14247" spans="1:12" x14ac:dyDescent="0.45">
      <c r="A14247" s="12" t="s">
        <v>27223</v>
      </c>
      <c r="B14247" s="12" t="s">
        <v>156</v>
      </c>
      <c r="C14247" s="13" t="s">
        <v>157</v>
      </c>
      <c r="D14247" s="13" t="s">
        <v>57</v>
      </c>
      <c r="E14247" s="12" t="s">
        <v>159</v>
      </c>
      <c r="F14247" s="14">
        <v>4800</v>
      </c>
      <c r="G14247" s="14">
        <v>4360</v>
      </c>
      <c r="H14247" s="13" t="s">
        <v>27234</v>
      </c>
      <c r="I14247" s="40" t="s">
        <v>18</v>
      </c>
      <c r="J14247" s="40" t="str">
        <f>HYPERLINK("https://stock.pstatic.net/stock-research/company/16/20250214_company_553359000.pdf","PDF")</f>
        <v>PDF</v>
      </c>
      <c r="K14247" s="12" t="s">
        <v>27235</v>
      </c>
      <c r="L14247" s="20">
        <v>0.1009174311926606</v>
      </c>
    </row>
    <row r="14248" spans="1:12" x14ac:dyDescent="0.45">
      <c r="A14248" s="12" t="s">
        <v>27223</v>
      </c>
      <c r="B14248" s="12" t="s">
        <v>1552</v>
      </c>
      <c r="C14248" s="13" t="s">
        <v>9704</v>
      </c>
      <c r="D14248" s="13" t="s">
        <v>276</v>
      </c>
      <c r="E14248" s="12" t="s">
        <v>5386</v>
      </c>
      <c r="F14248" s="14">
        <v>74000</v>
      </c>
      <c r="G14248" s="14">
        <v>82800</v>
      </c>
      <c r="H14248" s="13" t="s">
        <v>27236</v>
      </c>
      <c r="I14248" s="40" t="s">
        <v>18</v>
      </c>
      <c r="J14248" s="40" t="str">
        <f>HYPERLINK("https://stock.pstatic.net/stock-research/company/66/20250214_company_687749000.pdf","PDF")</f>
        <v>PDF</v>
      </c>
      <c r="K14248" s="12" t="s">
        <v>27237</v>
      </c>
      <c r="L14248" s="20">
        <v>-0.106280193236715</v>
      </c>
    </row>
    <row r="14249" spans="1:12" x14ac:dyDescent="0.45">
      <c r="A14249" s="12" t="s">
        <v>27223</v>
      </c>
      <c r="B14249" s="12" t="s">
        <v>916</v>
      </c>
      <c r="C14249" s="13" t="s">
        <v>917</v>
      </c>
      <c r="D14249" s="13" t="s">
        <v>60</v>
      </c>
      <c r="E14249" s="12" t="s">
        <v>35</v>
      </c>
      <c r="F14249" s="14">
        <v>51000</v>
      </c>
      <c r="G14249" s="14">
        <v>40200</v>
      </c>
      <c r="H14249" s="13" t="s">
        <v>27238</v>
      </c>
      <c r="I14249" s="40" t="s">
        <v>18</v>
      </c>
      <c r="J14249" s="40" t="str">
        <f>HYPERLINK("https://stock.pstatic.net/stock-research/company/34/20250214_company_454019000.pdf","PDF")</f>
        <v>PDF</v>
      </c>
      <c r="K14249" s="12" t="s">
        <v>27239</v>
      </c>
      <c r="L14249" s="20">
        <v>0.26865671641791039</v>
      </c>
    </row>
    <row r="14250" spans="1:12" x14ac:dyDescent="0.45">
      <c r="A14250" s="12" t="s">
        <v>27223</v>
      </c>
      <c r="B14250" s="12" t="s">
        <v>1666</v>
      </c>
      <c r="C14250" s="13" t="s">
        <v>1667</v>
      </c>
      <c r="D14250" s="13" t="s">
        <v>60</v>
      </c>
      <c r="E14250" s="12" t="s">
        <v>35</v>
      </c>
      <c r="F14250" s="14">
        <v>60000</v>
      </c>
      <c r="G14250" s="14">
        <v>46750</v>
      </c>
      <c r="H14250" s="13" t="s">
        <v>27240</v>
      </c>
      <c r="I14250" s="40" t="s">
        <v>18</v>
      </c>
      <c r="J14250" s="40" t="str">
        <f>HYPERLINK("https://stock.pstatic.net/stock-research/company/34/20250214_company_155763000.pdf","PDF")</f>
        <v>PDF</v>
      </c>
      <c r="K14250" s="12" t="s">
        <v>27241</v>
      </c>
      <c r="L14250" s="20">
        <v>0.28342245989304821</v>
      </c>
    </row>
    <row r="14251" spans="1:12" x14ac:dyDescent="0.45">
      <c r="A14251" s="12" t="s">
        <v>27223</v>
      </c>
      <c r="B14251" s="12" t="s">
        <v>118</v>
      </c>
      <c r="C14251" s="13" t="s">
        <v>119</v>
      </c>
      <c r="D14251" s="13" t="s">
        <v>65</v>
      </c>
      <c r="E14251" s="12" t="s">
        <v>35</v>
      </c>
      <c r="F14251" s="14">
        <v>84000</v>
      </c>
      <c r="G14251" s="14">
        <v>69600</v>
      </c>
      <c r="H14251" s="13" t="s">
        <v>27242</v>
      </c>
      <c r="I14251" s="40" t="s">
        <v>18</v>
      </c>
      <c r="J14251" s="40" t="str">
        <f>HYPERLINK("https://stock.pstatic.net/stock-research/company/57/20250214_company_433574000.pdf","PDF")</f>
        <v>PDF</v>
      </c>
      <c r="K14251" s="12" t="s">
        <v>27243</v>
      </c>
      <c r="L14251" s="20">
        <v>0.2068965517241379</v>
      </c>
    </row>
    <row r="14252" spans="1:12" x14ac:dyDescent="0.45">
      <c r="A14252" s="12" t="s">
        <v>27223</v>
      </c>
      <c r="B14252" s="12" t="s">
        <v>156</v>
      </c>
      <c r="C14252" s="13" t="s">
        <v>157</v>
      </c>
      <c r="D14252" s="13" t="s">
        <v>65</v>
      </c>
      <c r="E14252" s="12" t="s">
        <v>1738</v>
      </c>
      <c r="F14252" s="14">
        <v>4600</v>
      </c>
      <c r="G14252" s="14">
        <v>4360</v>
      </c>
      <c r="H14252" s="13" t="s">
        <v>27244</v>
      </c>
      <c r="I14252" s="40" t="s">
        <v>18</v>
      </c>
      <c r="J14252" s="40" t="str">
        <f>HYPERLINK("https://stock.pstatic.net/stock-research/company/57/20250214_company_534922000.pdf","PDF")</f>
        <v>PDF</v>
      </c>
      <c r="K14252" s="12" t="s">
        <v>27245</v>
      </c>
      <c r="L14252" s="20">
        <v>5.5045871559633031E-2</v>
      </c>
    </row>
    <row r="14253" spans="1:12" x14ac:dyDescent="0.45">
      <c r="A14253" s="12" t="s">
        <v>27223</v>
      </c>
      <c r="B14253" s="12" t="s">
        <v>2217</v>
      </c>
      <c r="C14253" s="13" t="s">
        <v>2218</v>
      </c>
      <c r="D14253" s="13" t="s">
        <v>65</v>
      </c>
      <c r="E14253" s="12" t="s">
        <v>35</v>
      </c>
      <c r="F14253" s="14">
        <v>60000</v>
      </c>
      <c r="G14253" s="14">
        <v>42200</v>
      </c>
      <c r="H14253" s="13" t="s">
        <v>27246</v>
      </c>
      <c r="I14253" s="40" t="s">
        <v>18</v>
      </c>
      <c r="J14253" s="40" t="str">
        <f>HYPERLINK("https://stock.pstatic.net/stock-research/company/57/20250214_company_263275000.pdf","PDF")</f>
        <v>PDF</v>
      </c>
      <c r="K14253" s="12" t="s">
        <v>27247</v>
      </c>
      <c r="L14253" s="20">
        <v>0.4218009478672986</v>
      </c>
    </row>
    <row r="14254" spans="1:12" x14ac:dyDescent="0.45">
      <c r="A14254" s="12" t="s">
        <v>27223</v>
      </c>
      <c r="B14254" s="12" t="s">
        <v>2262</v>
      </c>
      <c r="C14254" s="13" t="s">
        <v>2263</v>
      </c>
      <c r="D14254" s="13" t="s">
        <v>65</v>
      </c>
      <c r="E14254" s="12" t="s">
        <v>35</v>
      </c>
      <c r="F14254" s="14">
        <v>16500</v>
      </c>
      <c r="G14254" s="14">
        <v>8050</v>
      </c>
      <c r="H14254" s="13" t="s">
        <v>27248</v>
      </c>
      <c r="I14254" s="40" t="s">
        <v>18</v>
      </c>
      <c r="J14254" s="40" t="str">
        <f>HYPERLINK("https://stock.pstatic.net/stock-research/company/57/20250214_company_553931000.pdf","PDF")</f>
        <v>PDF</v>
      </c>
      <c r="K14254" s="12" t="s">
        <v>27249</v>
      </c>
      <c r="L14254" s="20">
        <v>1.0496894409937889</v>
      </c>
    </row>
    <row r="14255" spans="1:12" x14ac:dyDescent="0.45">
      <c r="A14255" s="12" t="s">
        <v>27223</v>
      </c>
      <c r="B14255" s="12" t="s">
        <v>916</v>
      </c>
      <c r="C14255" s="13" t="s">
        <v>917</v>
      </c>
      <c r="D14255" s="13" t="s">
        <v>65</v>
      </c>
      <c r="E14255" s="12" t="s">
        <v>35</v>
      </c>
      <c r="F14255" s="14">
        <v>50000</v>
      </c>
      <c r="G14255" s="14">
        <v>40200</v>
      </c>
      <c r="H14255" s="13" t="s">
        <v>27250</v>
      </c>
      <c r="I14255" s="40" t="s">
        <v>18</v>
      </c>
      <c r="J14255" s="40" t="str">
        <f>HYPERLINK("https://stock.pstatic.net/stock-research/company/57/20250214_company_910736000.pdf","PDF")</f>
        <v>PDF</v>
      </c>
      <c r="K14255" s="12" t="s">
        <v>27251</v>
      </c>
      <c r="L14255" s="20">
        <v>0.24378109452736321</v>
      </c>
    </row>
    <row r="14256" spans="1:12" x14ac:dyDescent="0.45">
      <c r="A14256" s="12" t="s">
        <v>27223</v>
      </c>
      <c r="B14256" s="12" t="s">
        <v>2105</v>
      </c>
      <c r="C14256" s="13" t="s">
        <v>2106</v>
      </c>
      <c r="D14256" s="13" t="s">
        <v>65</v>
      </c>
      <c r="E14256" s="12" t="s">
        <v>35</v>
      </c>
      <c r="F14256" s="14">
        <v>95000</v>
      </c>
      <c r="G14256" s="14">
        <v>64300</v>
      </c>
      <c r="H14256" s="13" t="s">
        <v>27252</v>
      </c>
      <c r="I14256" s="40" t="s">
        <v>18</v>
      </c>
      <c r="J14256" s="40" t="str">
        <f>HYPERLINK("https://stock.pstatic.net/stock-research/company/57/20250214_company_237111000.pdf","PDF")</f>
        <v>PDF</v>
      </c>
      <c r="K14256" s="12" t="s">
        <v>27253</v>
      </c>
      <c r="L14256" s="20">
        <v>0.47744945567651631</v>
      </c>
    </row>
    <row r="14257" spans="1:12" x14ac:dyDescent="0.45">
      <c r="A14257" s="12" t="s">
        <v>27223</v>
      </c>
      <c r="B14257" s="12" t="s">
        <v>9369</v>
      </c>
      <c r="C14257" s="13" t="s">
        <v>9370</v>
      </c>
      <c r="D14257" s="13" t="s">
        <v>65</v>
      </c>
      <c r="E14257" s="12" t="s">
        <v>35</v>
      </c>
      <c r="F14257" s="14">
        <v>40000</v>
      </c>
      <c r="G14257" s="14">
        <v>30650</v>
      </c>
      <c r="H14257" s="13" t="s">
        <v>27254</v>
      </c>
      <c r="I14257" s="40" t="s">
        <v>18</v>
      </c>
      <c r="J14257" s="40" t="str">
        <f>HYPERLINK("https://stock.pstatic.net/stock-research/company/57/20250214_company_959777000.pdf","PDF")</f>
        <v>PDF</v>
      </c>
      <c r="K14257" s="12" t="s">
        <v>27255</v>
      </c>
      <c r="L14257" s="20">
        <v>0.30505709624796079</v>
      </c>
    </row>
    <row r="14258" spans="1:12" x14ac:dyDescent="0.45">
      <c r="A14258" s="12" t="s">
        <v>27223</v>
      </c>
      <c r="B14258" s="12" t="s">
        <v>533</v>
      </c>
      <c r="C14258" s="13" t="s">
        <v>534</v>
      </c>
      <c r="D14258" s="13" t="s">
        <v>65</v>
      </c>
      <c r="E14258" s="12" t="s">
        <v>35</v>
      </c>
      <c r="F14258" s="14">
        <v>60000</v>
      </c>
      <c r="G14258" s="14">
        <v>45200</v>
      </c>
      <c r="H14258" s="13" t="s">
        <v>27256</v>
      </c>
      <c r="I14258" s="40" t="s">
        <v>18</v>
      </c>
      <c r="J14258" s="40" t="str">
        <f>HYPERLINK("https://stock.pstatic.net/stock-research/company/57/20250214_company_868985000.pdf","PDF")</f>
        <v>PDF</v>
      </c>
      <c r="K14258" s="12" t="s">
        <v>27257</v>
      </c>
      <c r="L14258" s="20">
        <v>0.32743362831858408</v>
      </c>
    </row>
    <row r="14259" spans="1:12" x14ac:dyDescent="0.45">
      <c r="A14259" s="12" t="s">
        <v>27223</v>
      </c>
      <c r="B14259" s="12" t="s">
        <v>533</v>
      </c>
      <c r="C14259" s="13" t="s">
        <v>534</v>
      </c>
      <c r="D14259" s="13" t="s">
        <v>65</v>
      </c>
      <c r="E14259" s="12" t="s">
        <v>35</v>
      </c>
      <c r="F14259" s="14">
        <v>60000</v>
      </c>
      <c r="G14259" s="14">
        <v>45200</v>
      </c>
      <c r="H14259" s="13" t="s">
        <v>27258</v>
      </c>
      <c r="I14259" s="40" t="s">
        <v>18</v>
      </c>
      <c r="J14259" s="40" t="str">
        <f>HYPERLINK("https://stock.pstatic.net/stock-research/company/57/20250214_company_648205000.pdf","PDF")</f>
        <v>PDF</v>
      </c>
      <c r="K14259" s="12" t="s">
        <v>27259</v>
      </c>
      <c r="L14259" s="20">
        <v>0.32743362831858408</v>
      </c>
    </row>
    <row r="14260" spans="1:12" x14ac:dyDescent="0.45">
      <c r="A14260" s="12" t="s">
        <v>27223</v>
      </c>
      <c r="B14260" s="12" t="s">
        <v>1694</v>
      </c>
      <c r="C14260" s="13" t="s">
        <v>1695</v>
      </c>
      <c r="D14260" s="13" t="s">
        <v>15</v>
      </c>
      <c r="E14260" s="12" t="s">
        <v>16</v>
      </c>
      <c r="F14260" s="14">
        <v>74000</v>
      </c>
      <c r="G14260" s="14">
        <v>50500</v>
      </c>
      <c r="H14260" s="13" t="s">
        <v>27260</v>
      </c>
      <c r="I14260" s="40" t="s">
        <v>18</v>
      </c>
      <c r="J14260" s="40" t="str">
        <f>HYPERLINK("https://stock.pstatic.net/stock-research/company/29/20250214_company_5418000.pdf","PDF")</f>
        <v>PDF</v>
      </c>
      <c r="K14260" s="12" t="s">
        <v>27261</v>
      </c>
      <c r="L14260" s="20">
        <v>0.46534653465346543</v>
      </c>
    </row>
    <row r="14261" spans="1:12" x14ac:dyDescent="0.45">
      <c r="A14261" s="12" t="s">
        <v>27223</v>
      </c>
      <c r="B14261" s="12" t="s">
        <v>156</v>
      </c>
      <c r="C14261" s="13" t="s">
        <v>157</v>
      </c>
      <c r="D14261" s="13" t="s">
        <v>83</v>
      </c>
      <c r="E14261" s="12" t="s">
        <v>642</v>
      </c>
      <c r="F14261" s="14">
        <v>3800</v>
      </c>
      <c r="G14261" s="14">
        <v>4360</v>
      </c>
      <c r="H14261" s="13" t="s">
        <v>27262</v>
      </c>
      <c r="I14261" s="40" t="s">
        <v>18</v>
      </c>
      <c r="J14261" s="40" t="str">
        <f>HYPERLINK("https://stock.pstatic.net/stock-research/company/2/20250214_company_830569000.pdf","PDF")</f>
        <v>PDF</v>
      </c>
      <c r="K14261" s="12" t="s">
        <v>27263</v>
      </c>
      <c r="L14261" s="20">
        <v>-0.1284403669724771</v>
      </c>
    </row>
    <row r="14262" spans="1:12" x14ac:dyDescent="0.45">
      <c r="A14262" s="12" t="s">
        <v>27223</v>
      </c>
      <c r="B14262" s="12" t="s">
        <v>577</v>
      </c>
      <c r="C14262" s="13" t="s">
        <v>578</v>
      </c>
      <c r="D14262" s="13" t="s">
        <v>83</v>
      </c>
      <c r="E14262" s="12" t="s">
        <v>35</v>
      </c>
      <c r="F14262" s="14">
        <v>350000</v>
      </c>
      <c r="G14262" s="14">
        <v>243000</v>
      </c>
      <c r="H14262" s="13" t="s">
        <v>27264</v>
      </c>
      <c r="I14262" s="40" t="s">
        <v>18</v>
      </c>
      <c r="J14262" s="40" t="str">
        <f>HYPERLINK("https://stock.pstatic.net/stock-research/company/2/20250214_company_68632000.pdf","PDF")</f>
        <v>PDF</v>
      </c>
      <c r="K14262" s="12" t="s">
        <v>27265</v>
      </c>
      <c r="L14262" s="20">
        <v>0.44032921810699588</v>
      </c>
    </row>
    <row r="14263" spans="1:12" x14ac:dyDescent="0.45">
      <c r="A14263" s="12" t="s">
        <v>27223</v>
      </c>
      <c r="B14263" s="12" t="s">
        <v>2262</v>
      </c>
      <c r="C14263" s="13" t="s">
        <v>2263</v>
      </c>
      <c r="D14263" s="13" t="s">
        <v>83</v>
      </c>
      <c r="E14263" s="12" t="s">
        <v>35</v>
      </c>
      <c r="F14263" s="14">
        <v>14000</v>
      </c>
      <c r="G14263" s="14">
        <v>8050</v>
      </c>
      <c r="H14263" s="13" t="s">
        <v>27266</v>
      </c>
      <c r="I14263" s="40" t="s">
        <v>18</v>
      </c>
      <c r="J14263" s="40" t="str">
        <f>HYPERLINK("https://stock.pstatic.net/stock-research/company/2/20250214_company_533542000.pdf","PDF")</f>
        <v>PDF</v>
      </c>
      <c r="K14263" s="12" t="s">
        <v>27267</v>
      </c>
      <c r="L14263" s="20">
        <v>0.73913043478260865</v>
      </c>
    </row>
    <row r="14264" spans="1:12" x14ac:dyDescent="0.45">
      <c r="A14264" s="12" t="s">
        <v>27223</v>
      </c>
      <c r="B14264" s="12" t="s">
        <v>533</v>
      </c>
      <c r="C14264" s="13" t="s">
        <v>534</v>
      </c>
      <c r="D14264" s="13" t="s">
        <v>83</v>
      </c>
      <c r="E14264" s="12" t="s">
        <v>35</v>
      </c>
      <c r="F14264" s="14">
        <v>53000</v>
      </c>
      <c r="G14264" s="14">
        <v>45200</v>
      </c>
      <c r="H14264" s="13" t="s">
        <v>27268</v>
      </c>
      <c r="I14264" s="40" t="s">
        <v>18</v>
      </c>
      <c r="J14264" s="40" t="str">
        <f>HYPERLINK("https://stock.pstatic.net/stock-research/company/2/20250214_company_369735000.pdf","PDF")</f>
        <v>PDF</v>
      </c>
      <c r="K14264" s="12" t="s">
        <v>27269</v>
      </c>
      <c r="L14264" s="20">
        <v>0.17256637168141589</v>
      </c>
    </row>
    <row r="14265" spans="1:12" x14ac:dyDescent="0.45">
      <c r="A14265" s="12" t="s">
        <v>27223</v>
      </c>
      <c r="B14265" s="12" t="s">
        <v>4864</v>
      </c>
      <c r="C14265" s="13" t="s">
        <v>4865</v>
      </c>
      <c r="D14265" s="13" t="s">
        <v>83</v>
      </c>
      <c r="E14265" s="12" t="s">
        <v>35</v>
      </c>
      <c r="F14265" s="14">
        <v>60000</v>
      </c>
      <c r="G14265" s="14">
        <v>49050</v>
      </c>
      <c r="H14265" s="13" t="s">
        <v>27270</v>
      </c>
      <c r="I14265" s="40" t="s">
        <v>18</v>
      </c>
      <c r="J14265" s="40" t="str">
        <f>HYPERLINK("https://stock.pstatic.net/stock-research/company/2/20250214_company_392594000.pdf","PDF")</f>
        <v>PDF</v>
      </c>
      <c r="K14265" s="12" t="s">
        <v>27271</v>
      </c>
      <c r="L14265" s="20">
        <v>0.22324159021406731</v>
      </c>
    </row>
    <row r="14266" spans="1:12" x14ac:dyDescent="0.45">
      <c r="A14266" s="12" t="s">
        <v>27223</v>
      </c>
      <c r="B14266" s="12" t="s">
        <v>916</v>
      </c>
      <c r="C14266" s="13" t="s">
        <v>917</v>
      </c>
      <c r="D14266" s="13" t="s">
        <v>83</v>
      </c>
      <c r="E14266" s="12" t="s">
        <v>35</v>
      </c>
      <c r="F14266" s="14">
        <v>48000</v>
      </c>
      <c r="G14266" s="14">
        <v>40200</v>
      </c>
      <c r="H14266" s="13" t="s">
        <v>27272</v>
      </c>
      <c r="I14266" s="40" t="s">
        <v>18</v>
      </c>
      <c r="J14266" s="40" t="str">
        <f>HYPERLINK("https://stock.pstatic.net/stock-research/company/2/20250214_company_746261000.pdf","PDF")</f>
        <v>PDF</v>
      </c>
      <c r="K14266" s="12" t="s">
        <v>27273</v>
      </c>
      <c r="L14266" s="20">
        <v>0.19402985074626869</v>
      </c>
    </row>
    <row r="14267" spans="1:12" x14ac:dyDescent="0.45">
      <c r="A14267" s="12" t="s">
        <v>27223</v>
      </c>
      <c r="B14267" s="12" t="s">
        <v>6873</v>
      </c>
      <c r="C14267" s="13" t="s">
        <v>6874</v>
      </c>
      <c r="D14267" s="13" t="s">
        <v>83</v>
      </c>
      <c r="E14267" s="12" t="s">
        <v>35</v>
      </c>
      <c r="F14267" s="14">
        <v>16800</v>
      </c>
      <c r="G14267" s="14">
        <v>10490</v>
      </c>
      <c r="H14267" s="13" t="s">
        <v>27274</v>
      </c>
      <c r="I14267" s="40" t="s">
        <v>18</v>
      </c>
      <c r="J14267" s="40" t="str">
        <f>HYPERLINK("https://stock.pstatic.net/stock-research/company/2/20250214_company_350483000.pdf","PDF")</f>
        <v>PDF</v>
      </c>
      <c r="K14267" s="12" t="s">
        <v>27275</v>
      </c>
      <c r="L14267" s="20">
        <v>0.6015252621544328</v>
      </c>
    </row>
    <row r="14268" spans="1:12" x14ac:dyDescent="0.45">
      <c r="A14268" s="12" t="s">
        <v>27223</v>
      </c>
      <c r="B14268" s="12" t="s">
        <v>2658</v>
      </c>
      <c r="C14268" s="13" t="s">
        <v>2659</v>
      </c>
      <c r="D14268" s="13" t="s">
        <v>83</v>
      </c>
      <c r="E14268" s="12" t="s">
        <v>35</v>
      </c>
      <c r="F14268" s="14">
        <v>180000</v>
      </c>
      <c r="G14268" s="14">
        <v>127200</v>
      </c>
      <c r="H14268" s="13" t="s">
        <v>27276</v>
      </c>
      <c r="I14268" s="40" t="s">
        <v>18</v>
      </c>
      <c r="J14268" s="40" t="str">
        <f>HYPERLINK("https://stock.pstatic.net/stock-research/company/2/20250214_company_409852000.pdf","PDF")</f>
        <v>PDF</v>
      </c>
      <c r="K14268" s="12" t="s">
        <v>27277</v>
      </c>
      <c r="L14268" s="20">
        <v>0.41509433962264147</v>
      </c>
    </row>
    <row r="14269" spans="1:12" x14ac:dyDescent="0.45">
      <c r="A14269" s="12" t="s">
        <v>27223</v>
      </c>
      <c r="B14269" s="12" t="s">
        <v>533</v>
      </c>
      <c r="C14269" s="13" t="s">
        <v>534</v>
      </c>
      <c r="D14269" s="13" t="s">
        <v>15</v>
      </c>
      <c r="E14269" s="12" t="s">
        <v>16</v>
      </c>
      <c r="F14269" s="14">
        <v>60000</v>
      </c>
      <c r="G14269" s="14">
        <v>45200</v>
      </c>
      <c r="H14269" s="13" t="s">
        <v>27278</v>
      </c>
      <c r="I14269" s="40" t="s">
        <v>18</v>
      </c>
      <c r="J14269" s="40" t="str">
        <f>HYPERLINK("https://stock.pstatic.net/stock-research/company/29/20250214_company_190448000.pdf","PDF")</f>
        <v>PDF</v>
      </c>
      <c r="K14269" s="12" t="s">
        <v>27279</v>
      </c>
      <c r="L14269" s="20">
        <v>0.32743362831858408</v>
      </c>
    </row>
    <row r="14270" spans="1:12" x14ac:dyDescent="0.45">
      <c r="A14270" s="12" t="s">
        <v>27223</v>
      </c>
      <c r="B14270" s="12" t="s">
        <v>533</v>
      </c>
      <c r="C14270" s="13" t="s">
        <v>534</v>
      </c>
      <c r="D14270" s="13" t="s">
        <v>23</v>
      </c>
      <c r="E14270" s="12" t="s">
        <v>16</v>
      </c>
      <c r="F14270" s="14">
        <v>60000</v>
      </c>
      <c r="G14270" s="14">
        <v>45200</v>
      </c>
      <c r="H14270" s="13" t="s">
        <v>27280</v>
      </c>
      <c r="I14270" s="40" t="s">
        <v>18</v>
      </c>
      <c r="J14270" s="40" t="str">
        <f>HYPERLINK("https://stock.pstatic.net/stock-research/company/21/20250214_company_809347000.pdf","PDF")</f>
        <v>PDF</v>
      </c>
      <c r="K14270" s="12" t="s">
        <v>27281</v>
      </c>
      <c r="L14270" s="20">
        <v>0.32743362831858408</v>
      </c>
    </row>
    <row r="14271" spans="1:12" x14ac:dyDescent="0.45">
      <c r="A14271" s="12" t="s">
        <v>27223</v>
      </c>
      <c r="B14271" s="12" t="s">
        <v>1666</v>
      </c>
      <c r="C14271" s="13" t="s">
        <v>1667</v>
      </c>
      <c r="D14271" s="13" t="s">
        <v>15</v>
      </c>
      <c r="E14271" s="12" t="s">
        <v>16</v>
      </c>
      <c r="F14271" s="14">
        <v>63000</v>
      </c>
      <c r="G14271" s="14">
        <v>46750</v>
      </c>
      <c r="H14271" s="13" t="s">
        <v>27282</v>
      </c>
      <c r="I14271" s="40" t="s">
        <v>18</v>
      </c>
      <c r="J14271" s="40" t="str">
        <f>HYPERLINK("https://stock.pstatic.net/stock-research/company/29/20250214_company_638166000.pdf","PDF")</f>
        <v>PDF</v>
      </c>
      <c r="K14271" s="12" t="s">
        <v>27283</v>
      </c>
      <c r="L14271" s="20">
        <v>0.34759358288770048</v>
      </c>
    </row>
    <row r="14272" spans="1:12" x14ac:dyDescent="0.45">
      <c r="A14272" s="12" t="s">
        <v>27223</v>
      </c>
      <c r="B14272" s="12" t="s">
        <v>533</v>
      </c>
      <c r="C14272" s="13" t="s">
        <v>534</v>
      </c>
      <c r="D14272" s="13" t="s">
        <v>92</v>
      </c>
      <c r="E14272" s="12" t="s">
        <v>35</v>
      </c>
      <c r="F14272" s="14">
        <v>62000</v>
      </c>
      <c r="G14272" s="14">
        <v>45200</v>
      </c>
      <c r="H14272" s="13" t="s">
        <v>27284</v>
      </c>
      <c r="I14272" s="40" t="s">
        <v>18</v>
      </c>
      <c r="J14272" s="40" t="str">
        <f>HYPERLINK("https://stock.pstatic.net/stock-research/company/63/20250214_company_664145000.pdf","PDF")</f>
        <v>PDF</v>
      </c>
      <c r="K14272" s="12" t="s">
        <v>27285</v>
      </c>
      <c r="L14272" s="20">
        <v>0.37168141592920362</v>
      </c>
    </row>
    <row r="14273" spans="1:12" x14ac:dyDescent="0.45">
      <c r="A14273" s="12" t="s">
        <v>27223</v>
      </c>
      <c r="B14273" s="12" t="s">
        <v>6347</v>
      </c>
      <c r="C14273" s="13" t="s">
        <v>6348</v>
      </c>
      <c r="D14273" s="13" t="s">
        <v>92</v>
      </c>
      <c r="E14273" s="12" t="s">
        <v>50</v>
      </c>
      <c r="F14273" s="13"/>
      <c r="G14273" s="14">
        <v>25800</v>
      </c>
      <c r="H14273" s="13" t="s">
        <v>27286</v>
      </c>
      <c r="I14273" s="40" t="s">
        <v>18</v>
      </c>
      <c r="J14273" s="40" t="str">
        <f>HYPERLINK("https://stock.pstatic.net/stock-research/company/63/20250214_company_885395000.pdf","PDF")</f>
        <v>PDF</v>
      </c>
      <c r="K14273" s="12" t="s">
        <v>27287</v>
      </c>
    </row>
    <row r="14274" spans="1:12" x14ac:dyDescent="0.45">
      <c r="A14274" s="12" t="s">
        <v>27223</v>
      </c>
      <c r="B14274" s="12" t="s">
        <v>156</v>
      </c>
      <c r="C14274" s="13" t="s">
        <v>157</v>
      </c>
      <c r="D14274" s="13" t="s">
        <v>23</v>
      </c>
      <c r="E14274" s="12" t="s">
        <v>16</v>
      </c>
      <c r="F14274" s="14">
        <v>4900</v>
      </c>
      <c r="G14274" s="14">
        <v>4360</v>
      </c>
      <c r="H14274" s="13" t="s">
        <v>27288</v>
      </c>
      <c r="I14274" s="40" t="s">
        <v>18</v>
      </c>
      <c r="J14274" s="40" t="str">
        <f>HYPERLINK("https://stock.pstatic.net/stock-research/company/21/20250214_company_602009000.pdf","PDF")</f>
        <v>PDF</v>
      </c>
      <c r="K14274" s="12" t="s">
        <v>27289</v>
      </c>
      <c r="L14274" s="20">
        <v>0.1238532110091743</v>
      </c>
    </row>
    <row r="14275" spans="1:12" x14ac:dyDescent="0.45">
      <c r="A14275" s="12" t="s">
        <v>27223</v>
      </c>
      <c r="B14275" s="12" t="s">
        <v>1278</v>
      </c>
      <c r="C14275" s="13" t="s">
        <v>1279</v>
      </c>
      <c r="D14275" s="13" t="s">
        <v>23</v>
      </c>
      <c r="E14275" s="12" t="s">
        <v>16</v>
      </c>
      <c r="F14275" s="14">
        <v>100000</v>
      </c>
      <c r="G14275" s="14">
        <v>78100</v>
      </c>
      <c r="H14275" s="13" t="s">
        <v>27290</v>
      </c>
      <c r="I14275" s="40" t="s">
        <v>18</v>
      </c>
      <c r="J14275" s="40" t="str">
        <f>HYPERLINK("https://stock.pstatic.net/stock-research/company/21/20250214_company_211330000.pdf","PDF")</f>
        <v>PDF</v>
      </c>
      <c r="K14275" s="12" t="s">
        <v>27291</v>
      </c>
      <c r="L14275" s="20">
        <v>0.28040973111395651</v>
      </c>
    </row>
    <row r="14276" spans="1:12" x14ac:dyDescent="0.45">
      <c r="A14276" s="12" t="s">
        <v>27223</v>
      </c>
      <c r="B14276" s="12" t="s">
        <v>916</v>
      </c>
      <c r="C14276" s="13" t="s">
        <v>917</v>
      </c>
      <c r="D14276" s="13" t="s">
        <v>44</v>
      </c>
      <c r="E14276" s="12" t="s">
        <v>35</v>
      </c>
      <c r="F14276" s="14">
        <v>57000</v>
      </c>
      <c r="G14276" s="14">
        <v>40200</v>
      </c>
      <c r="H14276" s="13" t="s">
        <v>27292</v>
      </c>
      <c r="I14276" s="40" t="s">
        <v>18</v>
      </c>
      <c r="J14276" s="40" t="str">
        <f>HYPERLINK("https://stock.pstatic.net/stock-research/company/39/20250214_company_217370000.pdf","PDF")</f>
        <v>PDF</v>
      </c>
      <c r="K14276" s="12" t="s">
        <v>27293</v>
      </c>
      <c r="L14276" s="20">
        <v>0.41791044776119401</v>
      </c>
    </row>
    <row r="14277" spans="1:12" x14ac:dyDescent="0.45">
      <c r="A14277" s="12" t="s">
        <v>27223</v>
      </c>
      <c r="B14277" s="12" t="s">
        <v>1666</v>
      </c>
      <c r="C14277" s="13" t="s">
        <v>1667</v>
      </c>
      <c r="D14277" s="13" t="s">
        <v>179</v>
      </c>
      <c r="E14277" s="12" t="s">
        <v>50</v>
      </c>
      <c r="F14277" s="13"/>
      <c r="G14277" s="14">
        <v>46750</v>
      </c>
      <c r="H14277" s="13" t="s">
        <v>27294</v>
      </c>
      <c r="I14277" s="40" t="s">
        <v>18</v>
      </c>
      <c r="J14277" s="40" t="str">
        <f>HYPERLINK("https://stock.pstatic.net/stock-research/company/64/20250214_company_566753000.pdf","PDF")</f>
        <v>PDF</v>
      </c>
      <c r="K14277" s="12" t="s">
        <v>27295</v>
      </c>
    </row>
    <row r="14278" spans="1:12" x14ac:dyDescent="0.45">
      <c r="A14278" s="12" t="s">
        <v>27223</v>
      </c>
      <c r="B14278" s="12" t="s">
        <v>916</v>
      </c>
      <c r="C14278" s="13" t="s">
        <v>917</v>
      </c>
      <c r="D14278" s="13" t="s">
        <v>92</v>
      </c>
      <c r="E14278" s="12" t="s">
        <v>35</v>
      </c>
      <c r="F14278" s="14">
        <v>48000</v>
      </c>
      <c r="G14278" s="14">
        <v>40200</v>
      </c>
      <c r="H14278" s="13" t="s">
        <v>27296</v>
      </c>
      <c r="I14278" s="40" t="s">
        <v>18</v>
      </c>
      <c r="J14278" s="40" t="str">
        <f>HYPERLINK("https://stock.pstatic.net/stock-research/company/63/20250214_company_57915000.pdf","PDF")</f>
        <v>PDF</v>
      </c>
      <c r="K14278" s="12" t="s">
        <v>27297</v>
      </c>
      <c r="L14278" s="20">
        <v>0.19402985074626869</v>
      </c>
    </row>
    <row r="14279" spans="1:12" x14ac:dyDescent="0.45">
      <c r="A14279" s="12" t="s">
        <v>27223</v>
      </c>
      <c r="B14279" s="12" t="s">
        <v>2304</v>
      </c>
      <c r="C14279" s="13" t="s">
        <v>2305</v>
      </c>
      <c r="D14279" s="13" t="s">
        <v>92</v>
      </c>
      <c r="E14279" s="12" t="s">
        <v>35</v>
      </c>
      <c r="F14279" s="14">
        <v>21000</v>
      </c>
      <c r="G14279" s="14">
        <v>16670</v>
      </c>
      <c r="H14279" s="13" t="s">
        <v>27298</v>
      </c>
      <c r="I14279" s="40" t="s">
        <v>18</v>
      </c>
      <c r="J14279" s="40" t="str">
        <f>HYPERLINK("https://stock.pstatic.net/stock-research/company/63/20250214_company_341087000.pdf","PDF")</f>
        <v>PDF</v>
      </c>
      <c r="K14279" s="12" t="s">
        <v>27299</v>
      </c>
      <c r="L14279" s="20">
        <v>0.25974805038992199</v>
      </c>
    </row>
    <row r="14280" spans="1:12" x14ac:dyDescent="0.45">
      <c r="A14280" s="12" t="s">
        <v>27223</v>
      </c>
      <c r="B14280" s="12" t="s">
        <v>1278</v>
      </c>
      <c r="C14280" s="13" t="s">
        <v>1279</v>
      </c>
      <c r="D14280" s="13" t="s">
        <v>179</v>
      </c>
      <c r="E14280" s="12" t="s">
        <v>16</v>
      </c>
      <c r="F14280" s="14">
        <v>100000</v>
      </c>
      <c r="G14280" s="14">
        <v>78100</v>
      </c>
      <c r="H14280" s="13" t="s">
        <v>27300</v>
      </c>
      <c r="I14280" s="40" t="s">
        <v>18</v>
      </c>
      <c r="J14280" s="40" t="str">
        <f>HYPERLINK("https://stock.pstatic.net/stock-research/company/64/20250214_company_445482000.pdf","PDF")</f>
        <v>PDF</v>
      </c>
      <c r="K14280" s="12" t="s">
        <v>27301</v>
      </c>
      <c r="L14280" s="20">
        <v>0.28040973111395651</v>
      </c>
    </row>
    <row r="14281" spans="1:12" x14ac:dyDescent="0.45">
      <c r="A14281" s="12" t="s">
        <v>27223</v>
      </c>
      <c r="B14281" s="12" t="s">
        <v>1278</v>
      </c>
      <c r="C14281" s="13" t="s">
        <v>1279</v>
      </c>
      <c r="D14281" s="13" t="s">
        <v>44</v>
      </c>
      <c r="E14281" s="12" t="s">
        <v>35</v>
      </c>
      <c r="F14281" s="14">
        <v>100000</v>
      </c>
      <c r="G14281" s="14">
        <v>78100</v>
      </c>
      <c r="H14281" s="13" t="s">
        <v>27302</v>
      </c>
      <c r="I14281" s="40" t="s">
        <v>18</v>
      </c>
      <c r="J14281" s="40" t="str">
        <f>HYPERLINK("https://stock.pstatic.net/stock-research/company/39/20250214_company_568138000.pdf","PDF")</f>
        <v>PDF</v>
      </c>
      <c r="K14281" s="12" t="s">
        <v>27303</v>
      </c>
      <c r="L14281" s="20">
        <v>0.28040973111395651</v>
      </c>
    </row>
    <row r="14282" spans="1:12" x14ac:dyDescent="0.45">
      <c r="A14282" s="12" t="s">
        <v>27223</v>
      </c>
      <c r="B14282" s="12" t="s">
        <v>1666</v>
      </c>
      <c r="C14282" s="13" t="s">
        <v>1667</v>
      </c>
      <c r="D14282" s="13" t="s">
        <v>23</v>
      </c>
      <c r="E14282" s="12" t="s">
        <v>16</v>
      </c>
      <c r="F14282" s="14">
        <v>90000</v>
      </c>
      <c r="G14282" s="14">
        <v>46750</v>
      </c>
      <c r="H14282" s="13" t="s">
        <v>27304</v>
      </c>
      <c r="I14282" s="40" t="s">
        <v>18</v>
      </c>
      <c r="J14282" s="40" t="str">
        <f>HYPERLINK("https://stock.pstatic.net/stock-research/company/21/20250214_company_405395000.pdf","PDF")</f>
        <v>PDF</v>
      </c>
      <c r="K14282" s="12" t="s">
        <v>27305</v>
      </c>
      <c r="L14282" s="20">
        <v>0.92513368983957223</v>
      </c>
    </row>
    <row r="14283" spans="1:12" x14ac:dyDescent="0.45">
      <c r="A14283" s="12" t="s">
        <v>27223</v>
      </c>
      <c r="B14283" s="12" t="s">
        <v>916</v>
      </c>
      <c r="C14283" s="13" t="s">
        <v>917</v>
      </c>
      <c r="D14283" s="13" t="s">
        <v>179</v>
      </c>
      <c r="E14283" s="12" t="s">
        <v>16</v>
      </c>
      <c r="F14283" s="14">
        <v>53000</v>
      </c>
      <c r="G14283" s="14">
        <v>40200</v>
      </c>
      <c r="H14283" s="13" t="s">
        <v>27306</v>
      </c>
      <c r="I14283" s="40" t="s">
        <v>18</v>
      </c>
      <c r="J14283" s="40" t="str">
        <f>HYPERLINK("https://stock.pstatic.net/stock-research/company/64/20250214_company_549947000.pdf","PDF")</f>
        <v>PDF</v>
      </c>
      <c r="K14283" s="12" t="s">
        <v>27307</v>
      </c>
      <c r="L14283" s="20">
        <v>0.31840796019900502</v>
      </c>
    </row>
    <row r="14284" spans="1:12" x14ac:dyDescent="0.45">
      <c r="A14284" s="12" t="s">
        <v>27223</v>
      </c>
      <c r="B14284" s="12" t="s">
        <v>1036</v>
      </c>
      <c r="C14284" s="13" t="s">
        <v>1037</v>
      </c>
      <c r="D14284" s="13" t="s">
        <v>44</v>
      </c>
      <c r="E14284" s="12" t="s">
        <v>45</v>
      </c>
      <c r="F14284" s="14">
        <v>18000</v>
      </c>
      <c r="G14284" s="14">
        <v>16340</v>
      </c>
      <c r="H14284" s="13" t="s">
        <v>27308</v>
      </c>
      <c r="I14284" s="40" t="s">
        <v>18</v>
      </c>
      <c r="J14284" s="40" t="str">
        <f>HYPERLINK("https://stock.pstatic.net/stock-research/company/39/20250214_company_635542000.pdf","PDF")</f>
        <v>PDF</v>
      </c>
      <c r="K14284" s="12" t="s">
        <v>27309</v>
      </c>
      <c r="L14284" s="20">
        <v>0.1015911872705018</v>
      </c>
    </row>
    <row r="14285" spans="1:12" x14ac:dyDescent="0.45">
      <c r="A14285" s="12" t="s">
        <v>27223</v>
      </c>
      <c r="B14285" s="12" t="s">
        <v>1694</v>
      </c>
      <c r="C14285" s="13" t="s">
        <v>1695</v>
      </c>
      <c r="D14285" s="13" t="s">
        <v>44</v>
      </c>
      <c r="E14285" s="12" t="s">
        <v>35</v>
      </c>
      <c r="F14285" s="14">
        <v>67000</v>
      </c>
      <c r="G14285" s="14">
        <v>50500</v>
      </c>
      <c r="H14285" s="13" t="s">
        <v>27310</v>
      </c>
      <c r="I14285" s="40" t="s">
        <v>18</v>
      </c>
      <c r="J14285" s="40" t="str">
        <f>HYPERLINK("https://stock.pstatic.net/stock-research/company/39/20250214_company_437993000.pdf","PDF")</f>
        <v>PDF</v>
      </c>
      <c r="K14285" s="12" t="s">
        <v>27311</v>
      </c>
      <c r="L14285" s="20">
        <v>0.32673267326732669</v>
      </c>
    </row>
    <row r="14286" spans="1:12" x14ac:dyDescent="0.45">
      <c r="A14286" s="12" t="s">
        <v>27223</v>
      </c>
      <c r="B14286" s="12" t="s">
        <v>2613</v>
      </c>
      <c r="C14286" s="13" t="s">
        <v>2614</v>
      </c>
      <c r="D14286" s="13" t="s">
        <v>44</v>
      </c>
      <c r="E14286" s="12" t="s">
        <v>35</v>
      </c>
      <c r="F14286" s="14">
        <v>350000</v>
      </c>
      <c r="G14286" s="14">
        <v>259000</v>
      </c>
      <c r="H14286" s="13" t="s">
        <v>27312</v>
      </c>
      <c r="I14286" s="40" t="s">
        <v>18</v>
      </c>
      <c r="J14286" s="40" t="str">
        <f>HYPERLINK("https://stock.pstatic.net/stock-research/company/39/20250214_company_481119000.pdf","PDF")</f>
        <v>PDF</v>
      </c>
      <c r="K14286" s="12" t="s">
        <v>27313</v>
      </c>
      <c r="L14286" s="20">
        <v>0.35135135135135143</v>
      </c>
    </row>
    <row r="14287" spans="1:12" x14ac:dyDescent="0.45">
      <c r="A14287" s="12" t="s">
        <v>27223</v>
      </c>
      <c r="B14287" s="12" t="s">
        <v>533</v>
      </c>
      <c r="C14287" s="13" t="s">
        <v>534</v>
      </c>
      <c r="D14287" s="13" t="s">
        <v>179</v>
      </c>
      <c r="E14287" s="12" t="s">
        <v>16</v>
      </c>
      <c r="F14287" s="14">
        <v>58000</v>
      </c>
      <c r="G14287" s="14">
        <v>45200</v>
      </c>
      <c r="H14287" s="13" t="s">
        <v>27314</v>
      </c>
      <c r="I14287" s="40" t="s">
        <v>18</v>
      </c>
      <c r="J14287" s="40" t="str">
        <f>HYPERLINK("https://stock.pstatic.net/stock-research/company/64/20250214_company_234619000.pdf","PDF")</f>
        <v>PDF</v>
      </c>
      <c r="K14287" s="12" t="s">
        <v>27315</v>
      </c>
      <c r="L14287" s="20">
        <v>0.2831858407079646</v>
      </c>
    </row>
    <row r="14288" spans="1:12" x14ac:dyDescent="0.45">
      <c r="A14288" s="12" t="s">
        <v>27223</v>
      </c>
      <c r="B14288" s="12" t="s">
        <v>3296</v>
      </c>
      <c r="C14288" s="13" t="s">
        <v>3297</v>
      </c>
      <c r="D14288" s="13" t="s">
        <v>124</v>
      </c>
      <c r="E14288" s="12" t="s">
        <v>50</v>
      </c>
      <c r="F14288" s="13"/>
      <c r="G14288" s="14">
        <v>35500</v>
      </c>
      <c r="H14288" s="13" t="s">
        <v>27316</v>
      </c>
      <c r="I14288" s="40" t="s">
        <v>18</v>
      </c>
      <c r="J14288" s="40" t="str">
        <f>HYPERLINK("https://stock.pstatic.net/stock-research/company/74/20250214_company_203575000.pdf","PDF")</f>
        <v>PDF</v>
      </c>
      <c r="K14288" s="12" t="s">
        <v>27317</v>
      </c>
    </row>
    <row r="14289" spans="1:12" x14ac:dyDescent="0.45">
      <c r="A14289" s="12" t="s">
        <v>27223</v>
      </c>
      <c r="B14289" s="12" t="s">
        <v>2849</v>
      </c>
      <c r="C14289" s="13" t="s">
        <v>2850</v>
      </c>
      <c r="D14289" s="13" t="s">
        <v>124</v>
      </c>
      <c r="E14289" s="12" t="s">
        <v>50</v>
      </c>
      <c r="F14289" s="13"/>
      <c r="G14289" s="14">
        <v>6100</v>
      </c>
      <c r="H14289" s="13" t="s">
        <v>27318</v>
      </c>
      <c r="I14289" s="40" t="s">
        <v>18</v>
      </c>
      <c r="J14289" s="40" t="str">
        <f>HYPERLINK("https://stock.pstatic.net/stock-research/company/74/20250214_company_236604000.pdf","PDF")</f>
        <v>PDF</v>
      </c>
      <c r="K14289" s="12" t="s">
        <v>27319</v>
      </c>
    </row>
    <row r="14290" spans="1:12" x14ac:dyDescent="0.45">
      <c r="A14290" s="12" t="s">
        <v>27223</v>
      </c>
      <c r="B14290" s="12" t="s">
        <v>868</v>
      </c>
      <c r="C14290" s="13" t="s">
        <v>869</v>
      </c>
      <c r="D14290" s="13" t="s">
        <v>124</v>
      </c>
      <c r="E14290" s="12" t="s">
        <v>50</v>
      </c>
      <c r="F14290" s="13"/>
      <c r="G14290" s="14">
        <v>33850</v>
      </c>
      <c r="H14290" s="13" t="s">
        <v>27320</v>
      </c>
      <c r="I14290" s="40" t="s">
        <v>18</v>
      </c>
      <c r="J14290" s="40" t="str">
        <f>HYPERLINK("https://stock.pstatic.net/stock-research/company/74/20250214_company_828383000.pdf","PDF")</f>
        <v>PDF</v>
      </c>
      <c r="K14290" s="12" t="s">
        <v>27321</v>
      </c>
    </row>
    <row r="14291" spans="1:12" x14ac:dyDescent="0.45">
      <c r="A14291" s="12" t="s">
        <v>27223</v>
      </c>
      <c r="B14291" s="12" t="s">
        <v>1144</v>
      </c>
      <c r="C14291" s="13" t="s">
        <v>1145</v>
      </c>
      <c r="D14291" s="13" t="s">
        <v>53</v>
      </c>
      <c r="E14291" s="12" t="s">
        <v>16</v>
      </c>
      <c r="F14291" s="14">
        <v>94000</v>
      </c>
      <c r="G14291" s="14">
        <v>69800</v>
      </c>
      <c r="H14291" s="13" t="s">
        <v>27322</v>
      </c>
      <c r="I14291" s="40" t="s">
        <v>18</v>
      </c>
      <c r="J14291" s="40" t="str">
        <f>HYPERLINK("https://stock.pstatic.net/stock-research/company/40/20250214_company_652006000.pdf","PDF")</f>
        <v>PDF</v>
      </c>
      <c r="K14291" s="12" t="s">
        <v>27323</v>
      </c>
      <c r="L14291" s="20">
        <v>0.34670487106017189</v>
      </c>
    </row>
    <row r="14292" spans="1:12" x14ac:dyDescent="0.45">
      <c r="A14292" s="12" t="s">
        <v>27223</v>
      </c>
      <c r="B14292" s="12" t="s">
        <v>1128</v>
      </c>
      <c r="C14292" s="13" t="s">
        <v>1129</v>
      </c>
      <c r="D14292" s="13" t="s">
        <v>78</v>
      </c>
      <c r="E14292" s="12" t="s">
        <v>50</v>
      </c>
      <c r="F14292" s="13"/>
      <c r="G14292" s="13"/>
      <c r="H14292" s="13" t="s">
        <v>27324</v>
      </c>
      <c r="I14292" s="40" t="s">
        <v>18</v>
      </c>
      <c r="J14292" s="40" t="str">
        <f>HYPERLINK("https://m.stock.naver.com/research/company/80996","PDF")</f>
        <v>PDF</v>
      </c>
      <c r="K14292" s="12" t="s">
        <v>27325</v>
      </c>
    </row>
    <row r="14293" spans="1:12" x14ac:dyDescent="0.45">
      <c r="A14293" s="12" t="s">
        <v>27223</v>
      </c>
      <c r="B14293" s="12" t="s">
        <v>4440</v>
      </c>
      <c r="C14293" s="13" t="s">
        <v>4441</v>
      </c>
      <c r="D14293" s="13" t="s">
        <v>23</v>
      </c>
      <c r="E14293" s="12" t="s">
        <v>16</v>
      </c>
      <c r="F14293" s="14">
        <v>10500</v>
      </c>
      <c r="G14293" s="14">
        <v>8200</v>
      </c>
      <c r="H14293" s="13" t="s">
        <v>27326</v>
      </c>
      <c r="I14293" s="40" t="s">
        <v>18</v>
      </c>
      <c r="J14293" s="40" t="str">
        <f>HYPERLINK("https://stock.pstatic.net/stock-research/company/21/20250214_company_789526000.pdf","PDF")</f>
        <v>PDF</v>
      </c>
      <c r="K14293" s="12" t="s">
        <v>27327</v>
      </c>
      <c r="L14293" s="20">
        <v>0.28048780487804881</v>
      </c>
    </row>
    <row r="14294" spans="1:12" x14ac:dyDescent="0.45">
      <c r="A14294" s="12" t="s">
        <v>27223</v>
      </c>
      <c r="B14294" s="12" t="s">
        <v>916</v>
      </c>
      <c r="C14294" s="13" t="s">
        <v>917</v>
      </c>
      <c r="D14294" s="13" t="s">
        <v>15</v>
      </c>
      <c r="E14294" s="12" t="s">
        <v>16</v>
      </c>
      <c r="F14294" s="14">
        <v>51000</v>
      </c>
      <c r="G14294" s="14">
        <v>42000</v>
      </c>
      <c r="H14294" s="13" t="s">
        <v>27328</v>
      </c>
      <c r="I14294" s="40" t="s">
        <v>18</v>
      </c>
      <c r="J14294" s="40" t="str">
        <f>HYPERLINK("https://stock.pstatic.net/stock-research/company/29/20250214_company_782944000.pdf","PDF")</f>
        <v>PDF</v>
      </c>
      <c r="K14294" s="12" t="s">
        <v>27329</v>
      </c>
      <c r="L14294" s="20">
        <v>0.2142857142857143</v>
      </c>
    </row>
    <row r="14295" spans="1:12" x14ac:dyDescent="0.45">
      <c r="A14295" s="12" t="s">
        <v>27330</v>
      </c>
      <c r="B14295" s="12" t="s">
        <v>1678</v>
      </c>
      <c r="C14295" s="13" t="s">
        <v>1679</v>
      </c>
      <c r="D14295" s="13" t="s">
        <v>276</v>
      </c>
      <c r="E14295" s="12" t="s">
        <v>16</v>
      </c>
      <c r="F14295" s="14">
        <v>110000</v>
      </c>
      <c r="G14295" s="14">
        <v>58500</v>
      </c>
      <c r="H14295" s="13" t="s">
        <v>27331</v>
      </c>
      <c r="I14295" s="40" t="s">
        <v>18</v>
      </c>
      <c r="J14295" s="40" t="str">
        <f>HYPERLINK("https://stock.pstatic.net/stock-research/company/66/20250213_company_194335000.pdf","PDF")</f>
        <v>PDF</v>
      </c>
      <c r="K14295" s="12" t="s">
        <v>27332</v>
      </c>
      <c r="L14295" s="20">
        <v>0.88034188034188032</v>
      </c>
    </row>
    <row r="14296" spans="1:12" x14ac:dyDescent="0.45">
      <c r="A14296" s="12" t="s">
        <v>27330</v>
      </c>
      <c r="B14296" s="12" t="s">
        <v>1682</v>
      </c>
      <c r="C14296" s="13" t="s">
        <v>4787</v>
      </c>
      <c r="D14296" s="13" t="s">
        <v>60</v>
      </c>
      <c r="E14296" s="12" t="s">
        <v>50</v>
      </c>
      <c r="F14296" s="14">
        <v>200000</v>
      </c>
      <c r="G14296" s="14">
        <v>174100</v>
      </c>
      <c r="H14296" s="13" t="s">
        <v>27333</v>
      </c>
      <c r="I14296" s="40" t="s">
        <v>18</v>
      </c>
      <c r="J14296" s="40" t="str">
        <f>HYPERLINK("https://stock.pstatic.net/stock-research/company/34/20250213_company_844845000.pdf","PDF")</f>
        <v>PDF</v>
      </c>
      <c r="K14296" s="12" t="s">
        <v>27334</v>
      </c>
      <c r="L14296" s="20">
        <v>0.1487650775416427</v>
      </c>
    </row>
    <row r="14297" spans="1:12" x14ac:dyDescent="0.45">
      <c r="A14297" s="12" t="s">
        <v>27330</v>
      </c>
      <c r="B14297" s="12" t="s">
        <v>2762</v>
      </c>
      <c r="C14297" s="13" t="s">
        <v>2763</v>
      </c>
      <c r="D14297" s="13" t="s">
        <v>60</v>
      </c>
      <c r="E14297" s="12" t="s">
        <v>35</v>
      </c>
      <c r="F14297" s="14">
        <v>145000</v>
      </c>
      <c r="G14297" s="14">
        <v>123500</v>
      </c>
      <c r="H14297" s="13" t="s">
        <v>27335</v>
      </c>
      <c r="I14297" s="40" t="s">
        <v>18</v>
      </c>
      <c r="J14297" s="40" t="str">
        <f>HYPERLINK("https://stock.pstatic.net/stock-research/company/62/20250213_company_743763000.pdf","PDF")</f>
        <v>PDF</v>
      </c>
      <c r="K14297" s="12" t="s">
        <v>27336</v>
      </c>
      <c r="L14297" s="20">
        <v>0.17408906882591091</v>
      </c>
    </row>
    <row r="14298" spans="1:12" x14ac:dyDescent="0.45">
      <c r="A14298" s="12" t="s">
        <v>27330</v>
      </c>
      <c r="B14298" s="12" t="s">
        <v>1308</v>
      </c>
      <c r="C14298" s="13" t="s">
        <v>1309</v>
      </c>
      <c r="D14298" s="13" t="s">
        <v>60</v>
      </c>
      <c r="E14298" s="12" t="s">
        <v>35</v>
      </c>
      <c r="F14298" s="14">
        <v>460000</v>
      </c>
      <c r="G14298" s="13"/>
      <c r="H14298" s="13" t="s">
        <v>27337</v>
      </c>
      <c r="I14298" s="40" t="s">
        <v>18</v>
      </c>
      <c r="J14298" s="40" t="str">
        <f>HYPERLINK("https://stock.pstatic.net/stock-research/company/62/20250213_company_336774000.pdf","PDF")</f>
        <v>PDF</v>
      </c>
      <c r="K14298" s="12" t="s">
        <v>27338</v>
      </c>
    </row>
    <row r="14299" spans="1:12" x14ac:dyDescent="0.45">
      <c r="A14299" s="12" t="s">
        <v>27330</v>
      </c>
      <c r="B14299" s="12" t="s">
        <v>2187</v>
      </c>
      <c r="C14299" s="13" t="s">
        <v>2188</v>
      </c>
      <c r="D14299" s="13" t="s">
        <v>60</v>
      </c>
      <c r="E14299" s="12" t="s">
        <v>35</v>
      </c>
      <c r="F14299" s="14">
        <v>175000</v>
      </c>
      <c r="G14299" s="14">
        <v>107500</v>
      </c>
      <c r="H14299" s="13" t="s">
        <v>27339</v>
      </c>
      <c r="I14299" s="40" t="s">
        <v>18</v>
      </c>
      <c r="J14299" s="40" t="str">
        <f>HYPERLINK("https://stock.pstatic.net/stock-research/company/34/20250213_company_707478000.pdf","PDF")</f>
        <v>PDF</v>
      </c>
      <c r="K14299" s="12" t="s">
        <v>27340</v>
      </c>
      <c r="L14299" s="20">
        <v>0.62790697674418605</v>
      </c>
    </row>
    <row r="14300" spans="1:12" x14ac:dyDescent="0.45">
      <c r="A14300" s="12" t="s">
        <v>27330</v>
      </c>
      <c r="B14300" s="12" t="s">
        <v>2199</v>
      </c>
      <c r="C14300" s="13" t="s">
        <v>2200</v>
      </c>
      <c r="D14300" s="13" t="s">
        <v>65</v>
      </c>
      <c r="E14300" s="12" t="s">
        <v>35</v>
      </c>
      <c r="F14300" s="14">
        <v>34000</v>
      </c>
      <c r="G14300" s="14">
        <v>28250</v>
      </c>
      <c r="H14300" s="13" t="s">
        <v>27341</v>
      </c>
      <c r="I14300" s="40" t="s">
        <v>18</v>
      </c>
      <c r="J14300" s="40" t="str">
        <f>HYPERLINK("https://stock.pstatic.net/stock-research/company/57/20250213_company_570777000.pdf","PDF")</f>
        <v>PDF</v>
      </c>
      <c r="K14300" s="12" t="s">
        <v>27342</v>
      </c>
      <c r="L14300" s="20">
        <v>0.2035398230088496</v>
      </c>
    </row>
    <row r="14301" spans="1:12" x14ac:dyDescent="0.45">
      <c r="A14301" s="12" t="s">
        <v>27330</v>
      </c>
      <c r="B14301" s="12" t="s">
        <v>1660</v>
      </c>
      <c r="C14301" s="13" t="s">
        <v>1661</v>
      </c>
      <c r="D14301" s="13" t="s">
        <v>65</v>
      </c>
      <c r="E14301" s="12" t="s">
        <v>35</v>
      </c>
      <c r="F14301" s="14">
        <v>52000</v>
      </c>
      <c r="G14301" s="14">
        <v>42100</v>
      </c>
      <c r="H14301" s="13" t="s">
        <v>27343</v>
      </c>
      <c r="I14301" s="40" t="s">
        <v>18</v>
      </c>
      <c r="J14301" s="40" t="str">
        <f>HYPERLINK("https://stock.pstatic.net/stock-research/company/57/20250213_company_598501000.pdf","PDF")</f>
        <v>PDF</v>
      </c>
      <c r="K14301" s="12" t="s">
        <v>27344</v>
      </c>
      <c r="L14301" s="20">
        <v>0.23515439429928739</v>
      </c>
    </row>
    <row r="14302" spans="1:12" x14ac:dyDescent="0.45">
      <c r="A14302" s="12" t="s">
        <v>27330</v>
      </c>
      <c r="B14302" s="12" t="s">
        <v>1678</v>
      </c>
      <c r="C14302" s="13" t="s">
        <v>1679</v>
      </c>
      <c r="D14302" s="13" t="s">
        <v>65</v>
      </c>
      <c r="E14302" s="12" t="s">
        <v>35</v>
      </c>
      <c r="F14302" s="14">
        <v>85000</v>
      </c>
      <c r="G14302" s="14">
        <v>58500</v>
      </c>
      <c r="H14302" s="13" t="s">
        <v>27345</v>
      </c>
      <c r="I14302" s="40" t="s">
        <v>18</v>
      </c>
      <c r="J14302" s="40" t="str">
        <f>HYPERLINK("https://stock.pstatic.net/stock-research/company/57/20250213_company_158423000.pdf","PDF")</f>
        <v>PDF</v>
      </c>
      <c r="K14302" s="12" t="s">
        <v>27346</v>
      </c>
      <c r="L14302" s="20">
        <v>0.45299145299145299</v>
      </c>
    </row>
    <row r="14303" spans="1:12" x14ac:dyDescent="0.45">
      <c r="A14303" s="12" t="s">
        <v>27330</v>
      </c>
      <c r="B14303" s="12" t="s">
        <v>1308</v>
      </c>
      <c r="C14303" s="13" t="s">
        <v>1309</v>
      </c>
      <c r="D14303" s="13" t="s">
        <v>65</v>
      </c>
      <c r="E14303" s="12" t="s">
        <v>35</v>
      </c>
      <c r="F14303" s="14">
        <v>540000</v>
      </c>
      <c r="G14303" s="14">
        <v>349000</v>
      </c>
      <c r="H14303" s="13" t="s">
        <v>27347</v>
      </c>
      <c r="I14303" s="40" t="s">
        <v>18</v>
      </c>
      <c r="J14303" s="40" t="str">
        <f>HYPERLINK("https://stock.pstatic.net/stock-research/company/57/20250213_company_683475000.pdf","PDF")</f>
        <v>PDF</v>
      </c>
      <c r="K14303" s="12" t="s">
        <v>27348</v>
      </c>
      <c r="L14303" s="20">
        <v>0.54727793696275073</v>
      </c>
    </row>
    <row r="14304" spans="1:12" x14ac:dyDescent="0.45">
      <c r="A14304" s="12" t="s">
        <v>27330</v>
      </c>
      <c r="B14304" s="12" t="s">
        <v>541</v>
      </c>
      <c r="C14304" s="13" t="s">
        <v>542</v>
      </c>
      <c r="D14304" s="13" t="s">
        <v>65</v>
      </c>
      <c r="E14304" s="12" t="s">
        <v>35</v>
      </c>
      <c r="F14304" s="14">
        <v>70000</v>
      </c>
      <c r="G14304" s="14">
        <v>56000</v>
      </c>
      <c r="H14304" s="13" t="s">
        <v>27349</v>
      </c>
      <c r="I14304" s="40" t="s">
        <v>18</v>
      </c>
      <c r="J14304" s="40" t="str">
        <f>HYPERLINK("https://stock.pstatic.net/stock-research/company/57/20250213_company_124507000.pdf","PDF")</f>
        <v>PDF</v>
      </c>
      <c r="K14304" s="12" t="s">
        <v>27350</v>
      </c>
      <c r="L14304" s="20">
        <v>0.25</v>
      </c>
    </row>
    <row r="14305" spans="1:12" x14ac:dyDescent="0.45">
      <c r="A14305" s="12" t="s">
        <v>27330</v>
      </c>
      <c r="B14305" s="12" t="s">
        <v>541</v>
      </c>
      <c r="C14305" s="13" t="s">
        <v>542</v>
      </c>
      <c r="D14305" s="13" t="s">
        <v>65</v>
      </c>
      <c r="E14305" s="12" t="s">
        <v>35</v>
      </c>
      <c r="F14305" s="14">
        <v>70000</v>
      </c>
      <c r="G14305" s="14">
        <v>56000</v>
      </c>
      <c r="H14305" s="13" t="s">
        <v>27256</v>
      </c>
      <c r="I14305" s="40" t="s">
        <v>18</v>
      </c>
      <c r="J14305" s="40" t="str">
        <f>HYPERLINK("https://stock.pstatic.net/stock-research/company/57/20250213_company_48603000.pdf","PDF")</f>
        <v>PDF</v>
      </c>
      <c r="K14305" s="12" t="s">
        <v>27351</v>
      </c>
      <c r="L14305" s="20">
        <v>0.25</v>
      </c>
    </row>
    <row r="14306" spans="1:12" x14ac:dyDescent="0.45">
      <c r="A14306" s="12" t="s">
        <v>27330</v>
      </c>
      <c r="B14306" s="12" t="s">
        <v>1682</v>
      </c>
      <c r="C14306" s="13" t="s">
        <v>4787</v>
      </c>
      <c r="D14306" s="13" t="s">
        <v>65</v>
      </c>
      <c r="E14306" s="12" t="s">
        <v>35</v>
      </c>
      <c r="F14306" s="14">
        <v>230000</v>
      </c>
      <c r="G14306" s="14">
        <v>174100</v>
      </c>
      <c r="H14306" s="13" t="s">
        <v>27352</v>
      </c>
      <c r="I14306" s="40" t="s">
        <v>18</v>
      </c>
      <c r="J14306" s="40" t="str">
        <f>HYPERLINK("https://stock.pstatic.net/stock-research/company/1/20250213_company_967334000.pdf","PDF")</f>
        <v>PDF</v>
      </c>
      <c r="K14306" s="12" t="s">
        <v>27353</v>
      </c>
      <c r="L14306" s="20">
        <v>0.32107983917288913</v>
      </c>
    </row>
    <row r="14307" spans="1:12" x14ac:dyDescent="0.45">
      <c r="A14307" s="12" t="s">
        <v>27330</v>
      </c>
      <c r="B14307" s="12" t="s">
        <v>375</v>
      </c>
      <c r="C14307" s="13" t="s">
        <v>376</v>
      </c>
      <c r="D14307" s="13" t="s">
        <v>65</v>
      </c>
      <c r="E14307" s="12" t="s">
        <v>35</v>
      </c>
      <c r="F14307" s="14">
        <v>28000</v>
      </c>
      <c r="G14307" s="14">
        <v>19070</v>
      </c>
      <c r="H14307" s="13" t="s">
        <v>27354</v>
      </c>
      <c r="I14307" s="40" t="s">
        <v>18</v>
      </c>
      <c r="J14307" s="40" t="str">
        <f>HYPERLINK("https://stock.pstatic.net/stock-research/company/57/20250213_company_880138000.pdf","PDF")</f>
        <v>PDF</v>
      </c>
      <c r="K14307" s="12" t="s">
        <v>27355</v>
      </c>
      <c r="L14307" s="20">
        <v>0.46827477713686422</v>
      </c>
    </row>
    <row r="14308" spans="1:12" x14ac:dyDescent="0.45">
      <c r="A14308" s="12" t="s">
        <v>27330</v>
      </c>
      <c r="B14308" s="12" t="s">
        <v>2762</v>
      </c>
      <c r="C14308" s="13" t="s">
        <v>2763</v>
      </c>
      <c r="D14308" s="13" t="s">
        <v>65</v>
      </c>
      <c r="E14308" s="12" t="s">
        <v>35</v>
      </c>
      <c r="F14308" s="14">
        <v>150000</v>
      </c>
      <c r="G14308" s="14">
        <v>123500</v>
      </c>
      <c r="H14308" s="13" t="s">
        <v>27356</v>
      </c>
      <c r="I14308" s="40" t="s">
        <v>18</v>
      </c>
      <c r="J14308" s="40" t="str">
        <f>HYPERLINK("https://stock.pstatic.net/stock-research/company/57/20250213_company_143929000.pdf","PDF")</f>
        <v>PDF</v>
      </c>
      <c r="K14308" s="12" t="s">
        <v>27357</v>
      </c>
      <c r="L14308" s="20">
        <v>0.2145748987854251</v>
      </c>
    </row>
    <row r="14309" spans="1:12" x14ac:dyDescent="0.45">
      <c r="A14309" s="12" t="s">
        <v>27330</v>
      </c>
      <c r="B14309" s="12" t="s">
        <v>6914</v>
      </c>
      <c r="C14309" s="13" t="s">
        <v>6915</v>
      </c>
      <c r="D14309" s="13" t="s">
        <v>65</v>
      </c>
      <c r="E14309" s="12" t="s">
        <v>50</v>
      </c>
      <c r="F14309" s="13"/>
      <c r="G14309" s="14">
        <v>45100</v>
      </c>
      <c r="H14309" s="13" t="s">
        <v>27358</v>
      </c>
      <c r="I14309" s="40" t="s">
        <v>18</v>
      </c>
      <c r="J14309" s="40" t="str">
        <f>HYPERLINK("https://stock.pstatic.net/stock-research/company/57/20250213_company_136567000.pdf","PDF")</f>
        <v>PDF</v>
      </c>
      <c r="K14309" s="12" t="s">
        <v>27359</v>
      </c>
    </row>
    <row r="14310" spans="1:12" x14ac:dyDescent="0.45">
      <c r="A14310" s="12" t="s">
        <v>27330</v>
      </c>
      <c r="B14310" s="12" t="s">
        <v>255</v>
      </c>
      <c r="C14310" s="13" t="s">
        <v>256</v>
      </c>
      <c r="D14310" s="13" t="s">
        <v>57</v>
      </c>
      <c r="E14310" s="12" t="s">
        <v>35</v>
      </c>
      <c r="F14310" s="14">
        <v>33000</v>
      </c>
      <c r="G14310" s="14">
        <v>20550</v>
      </c>
      <c r="H14310" s="13" t="s">
        <v>27360</v>
      </c>
      <c r="I14310" s="40" t="s">
        <v>18</v>
      </c>
      <c r="J14310" s="40" t="str">
        <f>HYPERLINK("https://stock.pstatic.net/stock-research/company/16/20250213_company_185139000.pdf","PDF")</f>
        <v>PDF</v>
      </c>
      <c r="K14310" s="12" t="s">
        <v>27361</v>
      </c>
      <c r="L14310" s="20">
        <v>0.6058394160583942</v>
      </c>
    </row>
    <row r="14311" spans="1:12" x14ac:dyDescent="0.45">
      <c r="A14311" s="12" t="s">
        <v>27330</v>
      </c>
      <c r="B14311" s="12" t="s">
        <v>1258</v>
      </c>
      <c r="C14311" s="13" t="s">
        <v>1259</v>
      </c>
      <c r="D14311" s="13" t="s">
        <v>57</v>
      </c>
      <c r="E14311" s="12" t="s">
        <v>159</v>
      </c>
      <c r="F14311" s="14">
        <v>360000</v>
      </c>
      <c r="G14311" s="14">
        <v>367500</v>
      </c>
      <c r="H14311" s="13" t="s">
        <v>27362</v>
      </c>
      <c r="I14311" s="40" t="s">
        <v>18</v>
      </c>
      <c r="J14311" s="40" t="str">
        <f>HYPERLINK("https://stock.pstatic.net/stock-research/company/16/20250213_company_271348000.pdf","PDF")</f>
        <v>PDF</v>
      </c>
      <c r="K14311" s="12" t="s">
        <v>27363</v>
      </c>
      <c r="L14311" s="20">
        <v>-2.0408163265306121E-2</v>
      </c>
    </row>
    <row r="14312" spans="1:12" x14ac:dyDescent="0.45">
      <c r="A14312" s="12" t="s">
        <v>27330</v>
      </c>
      <c r="B14312" s="12" t="s">
        <v>11116</v>
      </c>
      <c r="C14312" s="13" t="s">
        <v>11117</v>
      </c>
      <c r="D14312" s="13" t="s">
        <v>158</v>
      </c>
      <c r="E14312" s="12" t="s">
        <v>50</v>
      </c>
      <c r="F14312" s="13"/>
      <c r="G14312" s="14">
        <v>8590</v>
      </c>
      <c r="H14312" s="13" t="s">
        <v>27364</v>
      </c>
      <c r="I14312" s="40" t="s">
        <v>18</v>
      </c>
      <c r="J14312" s="40" t="str">
        <f>HYPERLINK("https://stock.pstatic.net/stock-research/company/1/20250213_company_869160000.pdf","PDF")</f>
        <v>PDF</v>
      </c>
      <c r="K14312" s="12" t="s">
        <v>27365</v>
      </c>
    </row>
    <row r="14313" spans="1:12" x14ac:dyDescent="0.45">
      <c r="A14313" s="12" t="s">
        <v>27330</v>
      </c>
      <c r="B14313" s="12" t="s">
        <v>2762</v>
      </c>
      <c r="C14313" s="13" t="s">
        <v>2763</v>
      </c>
      <c r="D14313" s="13" t="s">
        <v>158</v>
      </c>
      <c r="E14313" s="12" t="s">
        <v>35</v>
      </c>
      <c r="F14313" s="14">
        <v>165000</v>
      </c>
      <c r="G14313" s="14">
        <v>123500</v>
      </c>
      <c r="H14313" s="13" t="s">
        <v>27366</v>
      </c>
      <c r="I14313" s="40" t="s">
        <v>18</v>
      </c>
      <c r="J14313" s="40" t="str">
        <f>HYPERLINK("https://stock.pstatic.net/stock-research/company/1/20250213_company_170448000.pdf","PDF")</f>
        <v>PDF</v>
      </c>
      <c r="K14313" s="12" t="s">
        <v>27367</v>
      </c>
      <c r="L14313" s="20">
        <v>0.33603238866396762</v>
      </c>
    </row>
    <row r="14314" spans="1:12" x14ac:dyDescent="0.45">
      <c r="A14314" s="12" t="s">
        <v>27330</v>
      </c>
      <c r="B14314" s="12" t="s">
        <v>2658</v>
      </c>
      <c r="C14314" s="13" t="s">
        <v>2659</v>
      </c>
      <c r="D14314" s="13" t="s">
        <v>853</v>
      </c>
      <c r="E14314" s="12" t="s">
        <v>35</v>
      </c>
      <c r="F14314" s="14">
        <v>220000</v>
      </c>
      <c r="G14314" s="14">
        <v>127200</v>
      </c>
      <c r="H14314" s="13" t="s">
        <v>27368</v>
      </c>
      <c r="I14314" s="40" t="s">
        <v>18</v>
      </c>
      <c r="J14314" s="40" t="str">
        <f>HYPERLINK("https://stock.pstatic.net/stock-research/company/17/20250213_company_79005000.pdf","PDF")</f>
        <v>PDF</v>
      </c>
      <c r="K14314" s="12" t="s">
        <v>27369</v>
      </c>
      <c r="L14314" s="20">
        <v>0.72955974842767291</v>
      </c>
    </row>
    <row r="14315" spans="1:12" x14ac:dyDescent="0.45">
      <c r="A14315" s="12" t="s">
        <v>27330</v>
      </c>
      <c r="B14315" s="12" t="s">
        <v>740</v>
      </c>
      <c r="C14315" s="13" t="s">
        <v>741</v>
      </c>
      <c r="D14315" s="13" t="s">
        <v>15</v>
      </c>
      <c r="E14315" s="12" t="s">
        <v>16</v>
      </c>
      <c r="F14315" s="14">
        <v>230000</v>
      </c>
      <c r="G14315" s="14">
        <v>164800</v>
      </c>
      <c r="H14315" s="13" t="s">
        <v>27370</v>
      </c>
      <c r="I14315" s="40" t="s">
        <v>18</v>
      </c>
      <c r="J14315" s="40" t="str">
        <f>HYPERLINK("https://stock.pstatic.net/stock-research/company/29/20250213_company_473844000.pdf","PDF")</f>
        <v>PDF</v>
      </c>
      <c r="K14315" s="12" t="s">
        <v>27371</v>
      </c>
      <c r="L14315" s="20">
        <v>0.39563106796116498</v>
      </c>
    </row>
    <row r="14316" spans="1:12" x14ac:dyDescent="0.45">
      <c r="A14316" s="12" t="s">
        <v>27330</v>
      </c>
      <c r="B14316" s="12" t="s">
        <v>2762</v>
      </c>
      <c r="C14316" s="13" t="s">
        <v>2763</v>
      </c>
      <c r="D14316" s="13" t="s">
        <v>15</v>
      </c>
      <c r="E14316" s="12" t="s">
        <v>50</v>
      </c>
      <c r="F14316" s="14">
        <v>140000</v>
      </c>
      <c r="G14316" s="14">
        <v>123500</v>
      </c>
      <c r="H14316" s="13" t="s">
        <v>27372</v>
      </c>
      <c r="I14316" s="40" t="s">
        <v>18</v>
      </c>
      <c r="J14316" s="40" t="str">
        <f>HYPERLINK("https://stock.pstatic.net/stock-research/company/29/20250213_company_760107000.pdf","PDF")</f>
        <v>PDF</v>
      </c>
      <c r="K14316" s="12" t="s">
        <v>27373</v>
      </c>
      <c r="L14316" s="20">
        <v>0.1336032388663968</v>
      </c>
    </row>
    <row r="14317" spans="1:12" x14ac:dyDescent="0.45">
      <c r="A14317" s="12" t="s">
        <v>27330</v>
      </c>
      <c r="B14317" s="12" t="s">
        <v>1678</v>
      </c>
      <c r="C14317" s="13" t="s">
        <v>1679</v>
      </c>
      <c r="D14317" s="13" t="s">
        <v>15</v>
      </c>
      <c r="E14317" s="12" t="s">
        <v>16</v>
      </c>
      <c r="F14317" s="14">
        <v>80000</v>
      </c>
      <c r="G14317" s="14">
        <v>58500</v>
      </c>
      <c r="H14317" s="13" t="s">
        <v>27374</v>
      </c>
      <c r="I14317" s="40" t="s">
        <v>18</v>
      </c>
      <c r="J14317" s="40" t="str">
        <f>HYPERLINK("https://stock.pstatic.net/stock-research/company/56/20250213_company_99609000.pdf","PDF")</f>
        <v>PDF</v>
      </c>
      <c r="K14317" s="12" t="s">
        <v>27375</v>
      </c>
      <c r="L14317" s="20">
        <v>0.36752136752136749</v>
      </c>
    </row>
    <row r="14318" spans="1:12" x14ac:dyDescent="0.45">
      <c r="A14318" s="12" t="s">
        <v>27330</v>
      </c>
      <c r="B14318" s="12" t="s">
        <v>541</v>
      </c>
      <c r="C14318" s="13" t="s">
        <v>542</v>
      </c>
      <c r="D14318" s="13" t="s">
        <v>15</v>
      </c>
      <c r="E14318" s="12" t="s">
        <v>16</v>
      </c>
      <c r="F14318" s="14">
        <v>70000</v>
      </c>
      <c r="G14318" s="14">
        <v>56000</v>
      </c>
      <c r="H14318" s="13" t="s">
        <v>27376</v>
      </c>
      <c r="I14318" s="40" t="s">
        <v>18</v>
      </c>
      <c r="J14318" s="40" t="str">
        <f>HYPERLINK("https://stock.pstatic.net/stock-research/company/29/20250213_company_627650000.pdf","PDF")</f>
        <v>PDF</v>
      </c>
      <c r="K14318" s="12" t="s">
        <v>27377</v>
      </c>
      <c r="L14318" s="20">
        <v>0.25</v>
      </c>
    </row>
    <row r="14319" spans="1:12" x14ac:dyDescent="0.45">
      <c r="A14319" s="12" t="s">
        <v>27330</v>
      </c>
      <c r="B14319" s="12" t="s">
        <v>2187</v>
      </c>
      <c r="C14319" s="13" t="s">
        <v>2188</v>
      </c>
      <c r="D14319" s="13" t="s">
        <v>92</v>
      </c>
      <c r="E14319" s="12" t="s">
        <v>35</v>
      </c>
      <c r="F14319" s="14">
        <v>136000</v>
      </c>
      <c r="G14319" s="14">
        <v>107500</v>
      </c>
      <c r="H14319" s="13" t="s">
        <v>27378</v>
      </c>
      <c r="I14319" s="40" t="s">
        <v>18</v>
      </c>
      <c r="J14319" s="40" t="str">
        <f>HYPERLINK("https://stock.pstatic.net/stock-research/company/63/20250213_company_120884000.pdf","PDF")</f>
        <v>PDF</v>
      </c>
      <c r="K14319" s="12" t="s">
        <v>27379</v>
      </c>
      <c r="L14319" s="20">
        <v>0.26511627906976742</v>
      </c>
    </row>
    <row r="14320" spans="1:12" x14ac:dyDescent="0.45">
      <c r="A14320" s="12" t="s">
        <v>27330</v>
      </c>
      <c r="B14320" s="12" t="s">
        <v>1660</v>
      </c>
      <c r="C14320" s="13" t="s">
        <v>1661</v>
      </c>
      <c r="D14320" s="13" t="s">
        <v>15</v>
      </c>
      <c r="E14320" s="12" t="s">
        <v>16</v>
      </c>
      <c r="F14320" s="14">
        <v>59000</v>
      </c>
      <c r="G14320" s="14">
        <v>42100</v>
      </c>
      <c r="H14320" s="13" t="s">
        <v>27380</v>
      </c>
      <c r="I14320" s="40" t="s">
        <v>18</v>
      </c>
      <c r="J14320" s="40" t="str">
        <f>HYPERLINK("https://stock.pstatic.net/stock-research/company/29/20250213_company_598283000.pdf","PDF")</f>
        <v>PDF</v>
      </c>
      <c r="K14320" s="12" t="s">
        <v>27381</v>
      </c>
      <c r="L14320" s="20">
        <v>0.40142517814726841</v>
      </c>
    </row>
    <row r="14321" spans="1:12" x14ac:dyDescent="0.45">
      <c r="A14321" s="12" t="s">
        <v>27330</v>
      </c>
      <c r="B14321" s="12" t="s">
        <v>1900</v>
      </c>
      <c r="C14321" s="13" t="s">
        <v>1901</v>
      </c>
      <c r="D14321" s="13" t="s">
        <v>15</v>
      </c>
      <c r="E14321" s="12" t="s">
        <v>16</v>
      </c>
      <c r="F14321" s="14">
        <v>53000</v>
      </c>
      <c r="G14321" s="14">
        <v>41200</v>
      </c>
      <c r="H14321" s="13" t="s">
        <v>27382</v>
      </c>
      <c r="I14321" s="40" t="s">
        <v>18</v>
      </c>
      <c r="J14321" s="40" t="str">
        <f>HYPERLINK("https://stock.pstatic.net/stock-research/company/1/20250213_company_982839000.pdf","PDF")</f>
        <v>PDF</v>
      </c>
      <c r="K14321" s="12" t="s">
        <v>27383</v>
      </c>
      <c r="L14321" s="20">
        <v>0.28640776699029119</v>
      </c>
    </row>
    <row r="14322" spans="1:12" x14ac:dyDescent="0.45">
      <c r="A14322" s="12" t="s">
        <v>27330</v>
      </c>
      <c r="B14322" s="12" t="s">
        <v>2658</v>
      </c>
      <c r="C14322" s="13" t="s">
        <v>2659</v>
      </c>
      <c r="D14322" s="13" t="s">
        <v>92</v>
      </c>
      <c r="E14322" s="12" t="s">
        <v>35</v>
      </c>
      <c r="F14322" s="14">
        <v>220000</v>
      </c>
      <c r="G14322" s="14">
        <v>127200</v>
      </c>
      <c r="H14322" s="13" t="s">
        <v>27384</v>
      </c>
      <c r="I14322" s="40" t="s">
        <v>18</v>
      </c>
      <c r="J14322" s="40" t="str">
        <f>HYPERLINK("https://stock.pstatic.net/stock-research/company/63/20250213_company_42310000.pdf","PDF")</f>
        <v>PDF</v>
      </c>
      <c r="K14322" s="12" t="s">
        <v>27385</v>
      </c>
      <c r="L14322" s="20">
        <v>0.72955974842767291</v>
      </c>
    </row>
    <row r="14323" spans="1:12" x14ac:dyDescent="0.45">
      <c r="A14323" s="12" t="s">
        <v>27330</v>
      </c>
      <c r="B14323" s="12" t="s">
        <v>1258</v>
      </c>
      <c r="C14323" s="13" t="s">
        <v>1259</v>
      </c>
      <c r="D14323" s="13" t="s">
        <v>15</v>
      </c>
      <c r="E14323" s="12" t="s">
        <v>16</v>
      </c>
      <c r="F14323" s="14">
        <v>460000</v>
      </c>
      <c r="G14323" s="14">
        <v>373500</v>
      </c>
      <c r="H14323" s="13" t="s">
        <v>27386</v>
      </c>
      <c r="I14323" s="40" t="s">
        <v>18</v>
      </c>
      <c r="J14323" s="40" t="str">
        <f>HYPERLINK("https://stock.pstatic.net/stock-research/company/29/20250213_company_601226000.pdf","PDF")</f>
        <v>PDF</v>
      </c>
      <c r="K14323" s="12" t="s">
        <v>27387</v>
      </c>
      <c r="L14323" s="20">
        <v>0.23159303882195451</v>
      </c>
    </row>
    <row r="14324" spans="1:12" x14ac:dyDescent="0.45">
      <c r="A14324" s="12" t="s">
        <v>27330</v>
      </c>
      <c r="B14324" s="12" t="s">
        <v>1682</v>
      </c>
      <c r="C14324" s="13" t="s">
        <v>4787</v>
      </c>
      <c r="D14324" s="13" t="s">
        <v>179</v>
      </c>
      <c r="E14324" s="12" t="s">
        <v>16</v>
      </c>
      <c r="F14324" s="14">
        <v>230000</v>
      </c>
      <c r="G14324" s="14">
        <v>174100</v>
      </c>
      <c r="H14324" s="13" t="s">
        <v>27388</v>
      </c>
      <c r="I14324" s="40" t="s">
        <v>18</v>
      </c>
      <c r="J14324" s="40" t="str">
        <f>HYPERLINK("https://stock.pstatic.net/stock-research/company/1/20250213_company_286911000.pdf","PDF")</f>
        <v>PDF</v>
      </c>
      <c r="K14324" s="12" t="s">
        <v>27389</v>
      </c>
      <c r="L14324" s="20">
        <v>0.32107983917288913</v>
      </c>
    </row>
    <row r="14325" spans="1:12" x14ac:dyDescent="0.45">
      <c r="A14325" s="12" t="s">
        <v>27330</v>
      </c>
      <c r="B14325" s="12" t="s">
        <v>4129</v>
      </c>
      <c r="C14325" s="13" t="s">
        <v>4130</v>
      </c>
      <c r="D14325" s="13" t="s">
        <v>92</v>
      </c>
      <c r="E14325" s="12" t="s">
        <v>35</v>
      </c>
      <c r="F14325" s="14">
        <v>33000</v>
      </c>
      <c r="G14325" s="14">
        <v>21900</v>
      </c>
      <c r="H14325" s="13" t="s">
        <v>27390</v>
      </c>
      <c r="I14325" s="40" t="s">
        <v>18</v>
      </c>
      <c r="J14325" s="40" t="str">
        <f>HYPERLINK("https://stock.pstatic.net/stock-research/company/63/20250213_company_884178000.pdf","PDF")</f>
        <v>PDF</v>
      </c>
      <c r="K14325" s="12" t="s">
        <v>27391</v>
      </c>
      <c r="L14325" s="20">
        <v>0.50684931506849318</v>
      </c>
    </row>
    <row r="14326" spans="1:12" x14ac:dyDescent="0.45">
      <c r="A14326" s="12" t="s">
        <v>27330</v>
      </c>
      <c r="B14326" s="12" t="s">
        <v>1678</v>
      </c>
      <c r="C14326" s="13" t="s">
        <v>1679</v>
      </c>
      <c r="D14326" s="13" t="s">
        <v>92</v>
      </c>
      <c r="E14326" s="12" t="s">
        <v>35</v>
      </c>
      <c r="F14326" s="14">
        <v>80000</v>
      </c>
      <c r="G14326" s="14">
        <v>58500</v>
      </c>
      <c r="H14326" s="13" t="s">
        <v>27392</v>
      </c>
      <c r="I14326" s="40" t="s">
        <v>18</v>
      </c>
      <c r="J14326" s="40" t="str">
        <f>HYPERLINK("https://stock.pstatic.net/stock-research/company/63/20250213_company_61955000.pdf","PDF")</f>
        <v>PDF</v>
      </c>
      <c r="K14326" s="12" t="s">
        <v>27393</v>
      </c>
      <c r="L14326" s="20">
        <v>0.36752136752136749</v>
      </c>
    </row>
    <row r="14327" spans="1:12" x14ac:dyDescent="0.45">
      <c r="A14327" s="12" t="s">
        <v>27330</v>
      </c>
      <c r="B14327" s="12" t="s">
        <v>1128</v>
      </c>
      <c r="C14327" s="13" t="s">
        <v>1129</v>
      </c>
      <c r="D14327" s="13" t="s">
        <v>179</v>
      </c>
      <c r="E14327" s="12" t="s">
        <v>16</v>
      </c>
      <c r="F14327" s="14">
        <v>55500</v>
      </c>
      <c r="G14327" s="14">
        <v>40700</v>
      </c>
      <c r="H14327" s="13" t="s">
        <v>27394</v>
      </c>
      <c r="I14327" s="40" t="s">
        <v>18</v>
      </c>
      <c r="J14327" s="40" t="str">
        <f>HYPERLINK("https://stock.pstatic.net/stock-research/company/31/20250213_company_211010000.pdf","PDF")</f>
        <v>PDF</v>
      </c>
      <c r="K14327" s="12" t="s">
        <v>27395</v>
      </c>
      <c r="L14327" s="20">
        <v>0.36363636363636359</v>
      </c>
    </row>
    <row r="14328" spans="1:12" x14ac:dyDescent="0.45">
      <c r="A14328" s="12" t="s">
        <v>27330</v>
      </c>
      <c r="B14328" s="12" t="s">
        <v>1128</v>
      </c>
      <c r="C14328" s="13" t="s">
        <v>1129</v>
      </c>
      <c r="D14328" s="13" t="s">
        <v>44</v>
      </c>
      <c r="E14328" s="12" t="s">
        <v>35</v>
      </c>
      <c r="F14328" s="14">
        <v>52000</v>
      </c>
      <c r="G14328" s="14">
        <v>40700</v>
      </c>
      <c r="H14328" s="13" t="s">
        <v>27396</v>
      </c>
      <c r="I14328" s="40" t="s">
        <v>18</v>
      </c>
      <c r="J14328" s="40" t="str">
        <f>HYPERLINK("https://stock.pstatic.net/stock-research/company/39/20250213_company_126852000.pdf","PDF")</f>
        <v>PDF</v>
      </c>
      <c r="K14328" s="12" t="s">
        <v>27397</v>
      </c>
      <c r="L14328" s="20">
        <v>0.27764127764127772</v>
      </c>
    </row>
    <row r="14329" spans="1:12" x14ac:dyDescent="0.45">
      <c r="A14329" s="12" t="s">
        <v>27330</v>
      </c>
      <c r="B14329" s="12" t="s">
        <v>868</v>
      </c>
      <c r="C14329" s="13" t="s">
        <v>869</v>
      </c>
      <c r="D14329" s="13" t="s">
        <v>34</v>
      </c>
      <c r="E14329" s="12" t="s">
        <v>35</v>
      </c>
      <c r="F14329" s="14">
        <v>50000</v>
      </c>
      <c r="G14329" s="14">
        <v>33850</v>
      </c>
      <c r="H14329" s="13" t="s">
        <v>27398</v>
      </c>
      <c r="I14329" s="40" t="s">
        <v>18</v>
      </c>
      <c r="J14329" s="40" t="str">
        <f>HYPERLINK("https://stock.pstatic.net/stock-research/company/61/20250213_company_583160000.pdf","PDF")</f>
        <v>PDF</v>
      </c>
      <c r="K14329" s="12" t="s">
        <v>27399</v>
      </c>
      <c r="L14329" s="20">
        <v>0.47710487444608568</v>
      </c>
    </row>
    <row r="14330" spans="1:12" x14ac:dyDescent="0.45">
      <c r="A14330" s="12" t="s">
        <v>27330</v>
      </c>
      <c r="B14330" s="12" t="s">
        <v>541</v>
      </c>
      <c r="C14330" s="13" t="s">
        <v>542</v>
      </c>
      <c r="D14330" s="13" t="s">
        <v>23</v>
      </c>
      <c r="E14330" s="12" t="s">
        <v>16</v>
      </c>
      <c r="F14330" s="14">
        <v>67000</v>
      </c>
      <c r="G14330" s="14">
        <v>56000</v>
      </c>
      <c r="H14330" s="13" t="s">
        <v>27400</v>
      </c>
      <c r="I14330" s="40" t="s">
        <v>18</v>
      </c>
      <c r="J14330" s="40" t="str">
        <f>HYPERLINK("https://stock.pstatic.net/stock-research/company/21/20250213_company_617097000.pdf","PDF")</f>
        <v>PDF</v>
      </c>
      <c r="K14330" s="12" t="s">
        <v>27401</v>
      </c>
      <c r="L14330" s="20">
        <v>0.1964285714285714</v>
      </c>
    </row>
    <row r="14331" spans="1:12" x14ac:dyDescent="0.45">
      <c r="A14331" s="12" t="s">
        <v>27330</v>
      </c>
      <c r="B14331" s="12" t="s">
        <v>2187</v>
      </c>
      <c r="C14331" s="13" t="s">
        <v>2188</v>
      </c>
      <c r="D14331" s="13" t="s">
        <v>53</v>
      </c>
      <c r="E14331" s="12" t="s">
        <v>16</v>
      </c>
      <c r="F14331" s="14">
        <v>140000</v>
      </c>
      <c r="G14331" s="14">
        <v>107500</v>
      </c>
      <c r="H14331" s="13" t="s">
        <v>27402</v>
      </c>
      <c r="I14331" s="40" t="s">
        <v>18</v>
      </c>
      <c r="J14331" s="40" t="str">
        <f>HYPERLINK("https://stock.pstatic.net/stock-research/company/40/20250213_company_145988000.pdf","PDF")</f>
        <v>PDF</v>
      </c>
      <c r="K14331" s="12" t="s">
        <v>27403</v>
      </c>
      <c r="L14331" s="20">
        <v>0.30232558139534882</v>
      </c>
    </row>
    <row r="14332" spans="1:12" x14ac:dyDescent="0.45">
      <c r="A14332" s="12" t="s">
        <v>27330</v>
      </c>
      <c r="B14332" s="12" t="s">
        <v>2658</v>
      </c>
      <c r="C14332" s="13" t="s">
        <v>2659</v>
      </c>
      <c r="D14332" s="13" t="s">
        <v>34</v>
      </c>
      <c r="E14332" s="12" t="s">
        <v>35</v>
      </c>
      <c r="F14332" s="14">
        <v>150000</v>
      </c>
      <c r="G14332" s="14">
        <v>127200</v>
      </c>
      <c r="H14332" s="13" t="s">
        <v>27404</v>
      </c>
      <c r="I14332" s="40" t="s">
        <v>18</v>
      </c>
      <c r="J14332" s="40" t="str">
        <f>HYPERLINK("https://stock.pstatic.net/stock-research/company/61/20250213_company_112561000.pdf","PDF")</f>
        <v>PDF</v>
      </c>
      <c r="K14332" s="12" t="s">
        <v>27405</v>
      </c>
      <c r="L14332" s="20">
        <v>0.17924528301886791</v>
      </c>
    </row>
    <row r="14333" spans="1:12" x14ac:dyDescent="0.45">
      <c r="A14333" s="12" t="s">
        <v>27330</v>
      </c>
      <c r="B14333" s="12" t="s">
        <v>3079</v>
      </c>
      <c r="C14333" s="13" t="s">
        <v>3080</v>
      </c>
      <c r="D14333" s="13" t="s">
        <v>34</v>
      </c>
      <c r="E14333" s="12" t="s">
        <v>35</v>
      </c>
      <c r="F14333" s="14">
        <v>24000</v>
      </c>
      <c r="G14333" s="14">
        <v>18350</v>
      </c>
      <c r="H14333" s="13" t="s">
        <v>27406</v>
      </c>
      <c r="I14333" s="40" t="s">
        <v>18</v>
      </c>
      <c r="J14333" s="40" t="str">
        <f>HYPERLINK("https://stock.pstatic.net/stock-research/company/61/20250213_company_156578000.pdf","PDF")</f>
        <v>PDF</v>
      </c>
      <c r="K14333" s="12" t="s">
        <v>27407</v>
      </c>
      <c r="L14333" s="20">
        <v>0.30790190735694822</v>
      </c>
    </row>
    <row r="14334" spans="1:12" x14ac:dyDescent="0.45">
      <c r="A14334" s="12" t="s">
        <v>27330</v>
      </c>
      <c r="B14334" s="12" t="s">
        <v>1918</v>
      </c>
      <c r="C14334" s="13" t="s">
        <v>1919</v>
      </c>
      <c r="D14334" s="13" t="s">
        <v>92</v>
      </c>
      <c r="E14334" s="12" t="s">
        <v>35</v>
      </c>
      <c r="F14334" s="14">
        <v>8000</v>
      </c>
      <c r="G14334" s="14">
        <v>5360</v>
      </c>
      <c r="H14334" s="13" t="s">
        <v>27408</v>
      </c>
      <c r="I14334" s="40" t="s">
        <v>18</v>
      </c>
      <c r="J14334" s="40" t="str">
        <f>HYPERLINK("https://stock.pstatic.net/stock-research/company/63/20250213_company_302618000.pdf","PDF")</f>
        <v>PDF</v>
      </c>
      <c r="K14334" s="12" t="s">
        <v>27409</v>
      </c>
      <c r="L14334" s="20">
        <v>0.4925373134328358</v>
      </c>
    </row>
    <row r="14335" spans="1:12" x14ac:dyDescent="0.45">
      <c r="A14335" s="12" t="s">
        <v>27330</v>
      </c>
      <c r="B14335" s="12" t="s">
        <v>1258</v>
      </c>
      <c r="C14335" s="13" t="s">
        <v>1259</v>
      </c>
      <c r="D14335" s="13" t="s">
        <v>44</v>
      </c>
      <c r="E14335" s="12" t="s">
        <v>35</v>
      </c>
      <c r="F14335" s="14">
        <v>480000</v>
      </c>
      <c r="G14335" s="14">
        <v>373500</v>
      </c>
      <c r="H14335" s="13" t="s">
        <v>27410</v>
      </c>
      <c r="I14335" s="40" t="s">
        <v>18</v>
      </c>
      <c r="J14335" s="40" t="str">
        <f>HYPERLINK("https://stock.pstatic.net/stock-research/company/39/20250213_company_795226000.pdf","PDF")</f>
        <v>PDF</v>
      </c>
      <c r="K14335" s="12" t="s">
        <v>27411</v>
      </c>
      <c r="L14335" s="20">
        <v>0.28514056224899598</v>
      </c>
    </row>
    <row r="14336" spans="1:12" x14ac:dyDescent="0.45">
      <c r="A14336" s="12" t="s">
        <v>27330</v>
      </c>
      <c r="B14336" s="12" t="s">
        <v>2762</v>
      </c>
      <c r="C14336" s="13" t="s">
        <v>2763</v>
      </c>
      <c r="D14336" s="13" t="s">
        <v>92</v>
      </c>
      <c r="E14336" s="12" t="s">
        <v>35</v>
      </c>
      <c r="F14336" s="14">
        <v>150000</v>
      </c>
      <c r="G14336" s="14">
        <v>123500</v>
      </c>
      <c r="H14336" s="13" t="s">
        <v>27412</v>
      </c>
      <c r="I14336" s="40" t="s">
        <v>18</v>
      </c>
      <c r="J14336" s="40" t="str">
        <f>HYPERLINK("https://stock.pstatic.net/stock-research/company/21/20250213_company_907146000.pdf","PDF")</f>
        <v>PDF</v>
      </c>
      <c r="K14336" s="12" t="s">
        <v>27413</v>
      </c>
      <c r="L14336" s="20">
        <v>0.2145748987854251</v>
      </c>
    </row>
    <row r="14337" spans="1:12" x14ac:dyDescent="0.45">
      <c r="A14337" s="12" t="s">
        <v>27330</v>
      </c>
      <c r="B14337" s="12" t="s">
        <v>1682</v>
      </c>
      <c r="C14337" s="13" t="s">
        <v>4787</v>
      </c>
      <c r="D14337" s="13" t="s">
        <v>23</v>
      </c>
      <c r="E14337" s="12" t="s">
        <v>385</v>
      </c>
      <c r="F14337" s="13"/>
      <c r="G14337" s="14">
        <v>174100</v>
      </c>
      <c r="H14337" s="13" t="s">
        <v>27414</v>
      </c>
      <c r="I14337" s="40" t="s">
        <v>18</v>
      </c>
      <c r="J14337" s="40" t="str">
        <f>HYPERLINK("https://stock.pstatic.net/stock-research/company/21/20250213_company_629321000.pdf","PDF")</f>
        <v>PDF</v>
      </c>
      <c r="K14337" s="12" t="s">
        <v>27415</v>
      </c>
    </row>
    <row r="14338" spans="1:12" x14ac:dyDescent="0.45">
      <c r="A14338" s="12" t="s">
        <v>27330</v>
      </c>
      <c r="B14338" s="12" t="s">
        <v>541</v>
      </c>
      <c r="C14338" s="13" t="s">
        <v>542</v>
      </c>
      <c r="D14338" s="13" t="s">
        <v>92</v>
      </c>
      <c r="E14338" s="12" t="s">
        <v>35</v>
      </c>
      <c r="F14338" s="14">
        <v>65000</v>
      </c>
      <c r="G14338" s="14">
        <v>56000</v>
      </c>
      <c r="H14338" s="13" t="s">
        <v>27416</v>
      </c>
      <c r="I14338" s="40" t="s">
        <v>18</v>
      </c>
      <c r="J14338" s="40" t="str">
        <f>HYPERLINK("https://stock.pstatic.net/stock-research/company/63/20250213_company_304242000.pdf","PDF")</f>
        <v>PDF</v>
      </c>
      <c r="K14338" s="12" t="s">
        <v>27417</v>
      </c>
      <c r="L14338" s="20">
        <v>0.1607142857142857</v>
      </c>
    </row>
    <row r="14339" spans="1:12" x14ac:dyDescent="0.45">
      <c r="A14339" s="12" t="s">
        <v>27330</v>
      </c>
      <c r="B14339" s="12" t="s">
        <v>7516</v>
      </c>
      <c r="C14339" s="13" t="s">
        <v>7517</v>
      </c>
      <c r="D14339" s="13" t="s">
        <v>23</v>
      </c>
      <c r="E14339" s="12" t="s">
        <v>16</v>
      </c>
      <c r="F14339" s="14">
        <v>24000</v>
      </c>
      <c r="G14339" s="14">
        <v>14950</v>
      </c>
      <c r="H14339" s="13" t="s">
        <v>27418</v>
      </c>
      <c r="I14339" s="40" t="s">
        <v>18</v>
      </c>
      <c r="J14339" s="40" t="str">
        <f>HYPERLINK("https://stock.pstatic.net/stock-research/company/21/20250213_company_830795000.pdf","PDF")</f>
        <v>PDF</v>
      </c>
      <c r="K14339" s="12" t="s">
        <v>27419</v>
      </c>
      <c r="L14339" s="20">
        <v>0.60535117056856191</v>
      </c>
    </row>
    <row r="14340" spans="1:12" x14ac:dyDescent="0.45">
      <c r="A14340" s="12" t="s">
        <v>27330</v>
      </c>
      <c r="B14340" s="12" t="s">
        <v>2522</v>
      </c>
      <c r="C14340" s="13" t="s">
        <v>2523</v>
      </c>
      <c r="D14340" s="13" t="s">
        <v>44</v>
      </c>
      <c r="E14340" s="12" t="s">
        <v>45</v>
      </c>
      <c r="F14340" s="14">
        <v>370000</v>
      </c>
      <c r="G14340" s="14">
        <v>322500</v>
      </c>
      <c r="H14340" s="13" t="s">
        <v>27420</v>
      </c>
      <c r="I14340" s="40" t="s">
        <v>18</v>
      </c>
      <c r="J14340" s="40" t="str">
        <f>HYPERLINK("https://stock.pstatic.net/stock-research/company/39/20250213_company_739407000.pdf","PDF")</f>
        <v>PDF</v>
      </c>
      <c r="K14340" s="12" t="s">
        <v>27421</v>
      </c>
      <c r="L14340" s="20">
        <v>0.1472868217054264</v>
      </c>
    </row>
    <row r="14341" spans="1:12" x14ac:dyDescent="0.45">
      <c r="A14341" s="12" t="s">
        <v>27330</v>
      </c>
      <c r="B14341" s="12" t="s">
        <v>1682</v>
      </c>
      <c r="C14341" s="13" t="s">
        <v>4787</v>
      </c>
      <c r="D14341" s="13" t="s">
        <v>92</v>
      </c>
      <c r="E14341" s="12" t="s">
        <v>159</v>
      </c>
      <c r="F14341" s="14">
        <v>190000</v>
      </c>
      <c r="G14341" s="14">
        <v>174100</v>
      </c>
      <c r="H14341" s="13" t="s">
        <v>27422</v>
      </c>
      <c r="I14341" s="40" t="s">
        <v>18</v>
      </c>
      <c r="J14341" s="40" t="str">
        <f>HYPERLINK("https://stock.pstatic.net/stock-research/company/1/20250213_company_795442000.pdf","PDF")</f>
        <v>PDF</v>
      </c>
      <c r="K14341" s="12" t="s">
        <v>27423</v>
      </c>
      <c r="L14341" s="20">
        <v>9.1326823664560602E-2</v>
      </c>
    </row>
    <row r="14342" spans="1:12" x14ac:dyDescent="0.45">
      <c r="A14342" s="12" t="s">
        <v>27330</v>
      </c>
      <c r="B14342" s="12" t="s">
        <v>888</v>
      </c>
      <c r="C14342" s="13" t="s">
        <v>889</v>
      </c>
      <c r="D14342" s="13" t="s">
        <v>92</v>
      </c>
      <c r="E14342" s="12" t="s">
        <v>35</v>
      </c>
      <c r="F14342" s="14">
        <v>67000</v>
      </c>
      <c r="G14342" s="14">
        <v>49150</v>
      </c>
      <c r="H14342" s="13" t="s">
        <v>27424</v>
      </c>
      <c r="I14342" s="40" t="s">
        <v>18</v>
      </c>
      <c r="J14342" s="40" t="str">
        <f>HYPERLINK("https://stock.pstatic.net/stock-research/company/63/20250213_company_261538000.pdf","PDF")</f>
        <v>PDF</v>
      </c>
      <c r="K14342" s="12" t="s">
        <v>27425</v>
      </c>
      <c r="L14342" s="20">
        <v>0.36317395727365209</v>
      </c>
    </row>
    <row r="14343" spans="1:12" x14ac:dyDescent="0.45">
      <c r="A14343" s="12" t="s">
        <v>27330</v>
      </c>
      <c r="B14343" s="12" t="s">
        <v>888</v>
      </c>
      <c r="C14343" s="13" t="s">
        <v>889</v>
      </c>
      <c r="D14343" s="13" t="s">
        <v>23</v>
      </c>
      <c r="E14343" s="12" t="s">
        <v>16</v>
      </c>
      <c r="F14343" s="14">
        <v>69000</v>
      </c>
      <c r="G14343" s="14">
        <v>49150</v>
      </c>
      <c r="H14343" s="13" t="s">
        <v>27426</v>
      </c>
      <c r="I14343" s="40" t="s">
        <v>18</v>
      </c>
      <c r="J14343" s="40" t="str">
        <f>HYPERLINK("https://stock.pstatic.net/stock-research/company/21/20250213_company_107627000.pdf","PDF")</f>
        <v>PDF</v>
      </c>
      <c r="K14343" s="12" t="s">
        <v>27427</v>
      </c>
      <c r="L14343" s="20">
        <v>0.40386571719226849</v>
      </c>
    </row>
    <row r="14344" spans="1:12" x14ac:dyDescent="0.45">
      <c r="A14344" s="12" t="s">
        <v>27330</v>
      </c>
      <c r="B14344" s="12" t="s">
        <v>2762</v>
      </c>
      <c r="C14344" s="13" t="s">
        <v>2763</v>
      </c>
      <c r="D14344" s="13" t="s">
        <v>23</v>
      </c>
      <c r="E14344" s="12" t="s">
        <v>16</v>
      </c>
      <c r="F14344" s="14">
        <v>170000</v>
      </c>
      <c r="G14344" s="14">
        <v>123500</v>
      </c>
      <c r="H14344" s="13" t="s">
        <v>27428</v>
      </c>
      <c r="I14344" s="40" t="s">
        <v>18</v>
      </c>
      <c r="J14344" s="40" t="str">
        <f>HYPERLINK("https://stock.pstatic.net/stock-research/company/1/20250213_company_851199000.pdf","PDF")</f>
        <v>PDF</v>
      </c>
      <c r="K14344" s="12" t="s">
        <v>27429</v>
      </c>
      <c r="L14344" s="20">
        <v>0.37651821862348178</v>
      </c>
    </row>
    <row r="14345" spans="1:12" x14ac:dyDescent="0.45">
      <c r="A14345" s="12" t="s">
        <v>27330</v>
      </c>
      <c r="B14345" s="12" t="s">
        <v>375</v>
      </c>
      <c r="C14345" s="13" t="s">
        <v>376</v>
      </c>
      <c r="D14345" s="13" t="s">
        <v>23</v>
      </c>
      <c r="E14345" s="12" t="s">
        <v>50</v>
      </c>
      <c r="F14345" s="14">
        <v>20000</v>
      </c>
      <c r="G14345" s="14">
        <v>19070</v>
      </c>
      <c r="H14345" s="13" t="s">
        <v>27430</v>
      </c>
      <c r="I14345" s="40" t="s">
        <v>18</v>
      </c>
      <c r="J14345" s="40" t="str">
        <f>HYPERLINK("https://stock.pstatic.net/stock-research/company/21/20250213_company_62266000.pdf","PDF")</f>
        <v>PDF</v>
      </c>
      <c r="K14345" s="12" t="s">
        <v>27431</v>
      </c>
      <c r="L14345" s="20">
        <v>4.8767697954902989E-2</v>
      </c>
    </row>
    <row r="14346" spans="1:12" x14ac:dyDescent="0.45">
      <c r="A14346" s="12" t="s">
        <v>27330</v>
      </c>
      <c r="B14346" s="12" t="s">
        <v>868</v>
      </c>
      <c r="C14346" s="13" t="s">
        <v>869</v>
      </c>
      <c r="D14346" s="13" t="s">
        <v>23</v>
      </c>
      <c r="E14346" s="12" t="s">
        <v>16</v>
      </c>
      <c r="F14346" s="14">
        <v>46000</v>
      </c>
      <c r="G14346" s="14">
        <v>33850</v>
      </c>
      <c r="H14346" s="13" t="s">
        <v>27432</v>
      </c>
      <c r="I14346" s="40" t="s">
        <v>18</v>
      </c>
      <c r="J14346" s="40" t="str">
        <f>HYPERLINK("https://stock.pstatic.net/stock-research/company/21/20250213_company_995921000.pdf","PDF")</f>
        <v>PDF</v>
      </c>
      <c r="K14346" s="12" t="s">
        <v>27433</v>
      </c>
      <c r="L14346" s="20">
        <v>0.35893648449039878</v>
      </c>
    </row>
    <row r="14347" spans="1:12" x14ac:dyDescent="0.45">
      <c r="A14347" s="12" t="s">
        <v>27330</v>
      </c>
      <c r="B14347" s="12" t="s">
        <v>2032</v>
      </c>
      <c r="C14347" s="13" t="s">
        <v>2033</v>
      </c>
      <c r="D14347" s="13" t="s">
        <v>23</v>
      </c>
      <c r="E14347" s="12" t="s">
        <v>16</v>
      </c>
      <c r="F14347" s="14">
        <v>35000</v>
      </c>
      <c r="G14347" s="14">
        <v>25000</v>
      </c>
      <c r="H14347" s="13" t="s">
        <v>27434</v>
      </c>
      <c r="I14347" s="40" t="s">
        <v>18</v>
      </c>
      <c r="J14347" s="40" t="str">
        <f>HYPERLINK("https://stock.pstatic.net/stock-research/company/21/20250213_company_124218000.pdf","PDF")</f>
        <v>PDF</v>
      </c>
      <c r="K14347" s="12" t="s">
        <v>27435</v>
      </c>
      <c r="L14347" s="20">
        <v>0.4</v>
      </c>
    </row>
    <row r="14348" spans="1:12" x14ac:dyDescent="0.45">
      <c r="A14348" s="12" t="s">
        <v>27330</v>
      </c>
      <c r="B14348" s="12" t="s">
        <v>1383</v>
      </c>
      <c r="C14348" s="13" t="s">
        <v>1384</v>
      </c>
      <c r="D14348" s="13" t="s">
        <v>23</v>
      </c>
      <c r="E14348" s="12" t="s">
        <v>16</v>
      </c>
      <c r="F14348" s="14">
        <v>31000</v>
      </c>
      <c r="G14348" s="14">
        <v>23700</v>
      </c>
      <c r="H14348" s="13" t="s">
        <v>13740</v>
      </c>
      <c r="I14348" s="40" t="s">
        <v>18</v>
      </c>
      <c r="J14348" s="40" t="str">
        <f>HYPERLINK("https://stock.pstatic.net/stock-research/company/21/20250213_company_328754000.pdf","PDF")</f>
        <v>PDF</v>
      </c>
      <c r="K14348" s="12" t="s">
        <v>27436</v>
      </c>
      <c r="L14348" s="20">
        <v>0.30801687763713081</v>
      </c>
    </row>
    <row r="14349" spans="1:12" x14ac:dyDescent="0.45">
      <c r="A14349" s="12" t="s">
        <v>27330</v>
      </c>
      <c r="B14349" s="12" t="s">
        <v>4021</v>
      </c>
      <c r="C14349" s="13" t="s">
        <v>4022</v>
      </c>
      <c r="D14349" s="13" t="s">
        <v>23</v>
      </c>
      <c r="E14349" s="12" t="s">
        <v>16</v>
      </c>
      <c r="F14349" s="14">
        <v>290000</v>
      </c>
      <c r="G14349" s="14">
        <v>238500</v>
      </c>
      <c r="H14349" s="13" t="s">
        <v>27437</v>
      </c>
      <c r="I14349" s="40" t="s">
        <v>18</v>
      </c>
      <c r="J14349" s="40" t="str">
        <f>HYPERLINK("https://stock.pstatic.net/stock-research/company/21/20250213_company_668511000.pdf","PDF")</f>
        <v>PDF</v>
      </c>
      <c r="K14349" s="12" t="s">
        <v>27438</v>
      </c>
      <c r="L14349" s="20">
        <v>0.21593291404612161</v>
      </c>
    </row>
    <row r="14350" spans="1:12" x14ac:dyDescent="0.45">
      <c r="A14350" s="12" t="s">
        <v>27330</v>
      </c>
      <c r="B14350" s="12" t="s">
        <v>1258</v>
      </c>
      <c r="C14350" s="13" t="s">
        <v>1259</v>
      </c>
      <c r="D14350" s="13" t="s">
        <v>23</v>
      </c>
      <c r="E14350" s="12" t="s">
        <v>16</v>
      </c>
      <c r="F14350" s="14">
        <v>460000</v>
      </c>
      <c r="G14350" s="14">
        <v>373500</v>
      </c>
      <c r="H14350" s="13" t="s">
        <v>27439</v>
      </c>
      <c r="I14350" s="40" t="s">
        <v>18</v>
      </c>
      <c r="J14350" s="40" t="str">
        <f>HYPERLINK("https://stock.pstatic.net/stock-research/company/1/20250213_company_233121000.pdf","PDF")</f>
        <v>PDF</v>
      </c>
      <c r="K14350" s="12" t="s">
        <v>27440</v>
      </c>
      <c r="L14350" s="20">
        <v>0.23159303882195451</v>
      </c>
    </row>
    <row r="14351" spans="1:12" x14ac:dyDescent="0.45">
      <c r="A14351" s="12" t="s">
        <v>27330</v>
      </c>
      <c r="B14351" s="12" t="s">
        <v>264</v>
      </c>
      <c r="C14351" s="13" t="s">
        <v>265</v>
      </c>
      <c r="D14351" s="13" t="s">
        <v>92</v>
      </c>
      <c r="E14351" s="12" t="s">
        <v>35</v>
      </c>
      <c r="F14351" s="14">
        <v>166000</v>
      </c>
      <c r="G14351" s="14">
        <v>123200</v>
      </c>
      <c r="H14351" s="13" t="s">
        <v>27441</v>
      </c>
      <c r="I14351" s="40" t="s">
        <v>18</v>
      </c>
      <c r="J14351" s="40" t="str">
        <f>HYPERLINK("https://stock.pstatic.net/stock-research/company/63/20250213_company_638527000.pdf","PDF")</f>
        <v>PDF</v>
      </c>
      <c r="K14351" s="12" t="s">
        <v>27442</v>
      </c>
      <c r="L14351" s="20">
        <v>0.34740259740259738</v>
      </c>
    </row>
    <row r="14352" spans="1:12" x14ac:dyDescent="0.45">
      <c r="A14352" s="12" t="s">
        <v>27330</v>
      </c>
      <c r="B14352" s="12" t="s">
        <v>2187</v>
      </c>
      <c r="C14352" s="13" t="s">
        <v>2188</v>
      </c>
      <c r="D14352" s="13" t="s">
        <v>44</v>
      </c>
      <c r="E14352" s="12" t="s">
        <v>35</v>
      </c>
      <c r="F14352" s="14">
        <v>153000</v>
      </c>
      <c r="G14352" s="14">
        <v>107500</v>
      </c>
      <c r="H14352" s="13" t="s">
        <v>27443</v>
      </c>
      <c r="I14352" s="40" t="s">
        <v>18</v>
      </c>
      <c r="J14352" s="40" t="str">
        <f>HYPERLINK("https://stock.pstatic.net/stock-research/company/39/20250213_company_190420000.pdf","PDF")</f>
        <v>PDF</v>
      </c>
      <c r="K14352" s="12" t="s">
        <v>27444</v>
      </c>
      <c r="L14352" s="20">
        <v>0.42325581395348838</v>
      </c>
    </row>
    <row r="14353" spans="1:12" x14ac:dyDescent="0.45">
      <c r="A14353" s="12" t="s">
        <v>27330</v>
      </c>
      <c r="B14353" s="12" t="s">
        <v>541</v>
      </c>
      <c r="C14353" s="13" t="s">
        <v>542</v>
      </c>
      <c r="D14353" s="13" t="s">
        <v>179</v>
      </c>
      <c r="E14353" s="12" t="s">
        <v>16</v>
      </c>
      <c r="F14353" s="14">
        <v>69000</v>
      </c>
      <c r="G14353" s="14">
        <v>56000</v>
      </c>
      <c r="H14353" s="13" t="s">
        <v>27445</v>
      </c>
      <c r="I14353" s="40" t="s">
        <v>18</v>
      </c>
      <c r="J14353" s="40" t="str">
        <f>HYPERLINK("https://stock.pstatic.net/stock-research/company/31/20250213_company_581521000.pdf","PDF")</f>
        <v>PDF</v>
      </c>
      <c r="K14353" s="12" t="s">
        <v>27446</v>
      </c>
      <c r="L14353" s="20">
        <v>0.23214285714285721</v>
      </c>
    </row>
    <row r="14354" spans="1:12" x14ac:dyDescent="0.45">
      <c r="A14354" s="12" t="s">
        <v>27330</v>
      </c>
      <c r="B14354" s="12" t="s">
        <v>868</v>
      </c>
      <c r="C14354" s="13" t="s">
        <v>869</v>
      </c>
      <c r="D14354" s="13" t="s">
        <v>44</v>
      </c>
      <c r="E14354" s="12" t="s">
        <v>35</v>
      </c>
      <c r="F14354" s="14">
        <v>53000</v>
      </c>
      <c r="G14354" s="14">
        <v>33850</v>
      </c>
      <c r="H14354" s="13" t="s">
        <v>27447</v>
      </c>
      <c r="I14354" s="40" t="s">
        <v>18</v>
      </c>
      <c r="J14354" s="40" t="str">
        <f>HYPERLINK("https://stock.pstatic.net/stock-research/company/39/20250213_company_493043000.pdf","PDF")</f>
        <v>PDF</v>
      </c>
      <c r="K14354" s="12" t="s">
        <v>27448</v>
      </c>
      <c r="L14354" s="20">
        <v>0.56573116691285086</v>
      </c>
    </row>
    <row r="14355" spans="1:12" x14ac:dyDescent="0.45">
      <c r="A14355" s="12" t="s">
        <v>27330</v>
      </c>
      <c r="B14355" s="12" t="s">
        <v>2658</v>
      </c>
      <c r="C14355" s="13" t="s">
        <v>2659</v>
      </c>
      <c r="D14355" s="13" t="s">
        <v>44</v>
      </c>
      <c r="E14355" s="12" t="s">
        <v>35</v>
      </c>
      <c r="F14355" s="14">
        <v>170000</v>
      </c>
      <c r="G14355" s="14">
        <v>127200</v>
      </c>
      <c r="H14355" s="13" t="s">
        <v>27449</v>
      </c>
      <c r="I14355" s="40" t="s">
        <v>18</v>
      </c>
      <c r="J14355" s="40" t="str">
        <f>HYPERLINK("https://stock.pstatic.net/stock-research/company/39/20250213_company_827959000.pdf","PDF")</f>
        <v>PDF</v>
      </c>
      <c r="K14355" s="12" t="s">
        <v>27450</v>
      </c>
      <c r="L14355" s="20">
        <v>0.33647798742138357</v>
      </c>
    </row>
    <row r="14356" spans="1:12" x14ac:dyDescent="0.45">
      <c r="A14356" s="12" t="s">
        <v>27330</v>
      </c>
      <c r="B14356" s="12" t="s">
        <v>868</v>
      </c>
      <c r="C14356" s="13" t="s">
        <v>869</v>
      </c>
      <c r="D14356" s="13" t="s">
        <v>179</v>
      </c>
      <c r="E14356" s="12" t="s">
        <v>16</v>
      </c>
      <c r="F14356" s="14">
        <v>43000</v>
      </c>
      <c r="G14356" s="14">
        <v>33850</v>
      </c>
      <c r="H14356" s="13" t="s">
        <v>27451</v>
      </c>
      <c r="I14356" s="40" t="s">
        <v>18</v>
      </c>
      <c r="J14356" s="40" t="str">
        <f>HYPERLINK("https://stock.pstatic.net/stock-research/company/31/20250213_company_34059000.pdf","PDF")</f>
        <v>PDF</v>
      </c>
      <c r="K14356" s="12" t="s">
        <v>27452</v>
      </c>
      <c r="L14356" s="20">
        <v>0.27031019202363371</v>
      </c>
    </row>
    <row r="14357" spans="1:12" x14ac:dyDescent="0.45">
      <c r="A14357" s="12" t="s">
        <v>27330</v>
      </c>
      <c r="B14357" s="12" t="s">
        <v>710</v>
      </c>
      <c r="C14357" s="13" t="s">
        <v>711</v>
      </c>
      <c r="D14357" s="13" t="s">
        <v>44</v>
      </c>
      <c r="E14357" s="12" t="s">
        <v>50</v>
      </c>
      <c r="F14357" s="13"/>
      <c r="G14357" s="14">
        <v>71000</v>
      </c>
      <c r="H14357" s="13" t="s">
        <v>27453</v>
      </c>
      <c r="I14357" s="40" t="s">
        <v>18</v>
      </c>
      <c r="J14357" s="40" t="str">
        <f>HYPERLINK("https://stock.pstatic.net/stock-research/company/39/20250213_company_481546000.pdf","PDF")</f>
        <v>PDF</v>
      </c>
      <c r="K14357" s="12" t="s">
        <v>27454</v>
      </c>
    </row>
    <row r="14358" spans="1:12" x14ac:dyDescent="0.45">
      <c r="A14358" s="12" t="s">
        <v>27330</v>
      </c>
      <c r="B14358" s="12" t="s">
        <v>264</v>
      </c>
      <c r="C14358" s="13" t="s">
        <v>265</v>
      </c>
      <c r="D14358" s="13" t="s">
        <v>179</v>
      </c>
      <c r="E14358" s="12" t="s">
        <v>16</v>
      </c>
      <c r="F14358" s="14">
        <v>150000</v>
      </c>
      <c r="G14358" s="14">
        <v>123200</v>
      </c>
      <c r="H14358" s="13" t="s">
        <v>27455</v>
      </c>
      <c r="I14358" s="40" t="s">
        <v>18</v>
      </c>
      <c r="J14358" s="40" t="str">
        <f>HYPERLINK("https://stock.pstatic.net/stock-research/company/31/20250213_company_754048000.pdf","PDF")</f>
        <v>PDF</v>
      </c>
      <c r="K14358" s="12" t="s">
        <v>27456</v>
      </c>
      <c r="L14358" s="20">
        <v>0.21753246753246749</v>
      </c>
    </row>
    <row r="14359" spans="1:12" x14ac:dyDescent="0.45">
      <c r="A14359" s="12" t="s">
        <v>27330</v>
      </c>
      <c r="B14359" s="12" t="s">
        <v>1190</v>
      </c>
      <c r="C14359" s="13" t="s">
        <v>1191</v>
      </c>
      <c r="D14359" s="13" t="s">
        <v>179</v>
      </c>
      <c r="E14359" s="12" t="s">
        <v>16</v>
      </c>
      <c r="F14359" s="14">
        <v>44000</v>
      </c>
      <c r="G14359" s="14">
        <v>37700</v>
      </c>
      <c r="H14359" s="13" t="s">
        <v>27457</v>
      </c>
      <c r="I14359" s="40" t="s">
        <v>18</v>
      </c>
      <c r="J14359" s="40" t="str">
        <f>HYPERLINK("https://stock.pstatic.net/stock-research/company/31/20250213_company_52786000.pdf","PDF")</f>
        <v>PDF</v>
      </c>
      <c r="K14359" s="12" t="s">
        <v>27458</v>
      </c>
      <c r="L14359" s="20">
        <v>0.16710875331564989</v>
      </c>
    </row>
    <row r="14360" spans="1:12" x14ac:dyDescent="0.45">
      <c r="A14360" s="12" t="s">
        <v>27330</v>
      </c>
      <c r="B14360" s="12" t="s">
        <v>1918</v>
      </c>
      <c r="C14360" s="13" t="s">
        <v>1919</v>
      </c>
      <c r="D14360" s="13" t="s">
        <v>53</v>
      </c>
      <c r="E14360" s="12" t="s">
        <v>16</v>
      </c>
      <c r="F14360" s="14">
        <v>6250</v>
      </c>
      <c r="G14360" s="14">
        <v>5360</v>
      </c>
      <c r="H14360" s="13" t="s">
        <v>27459</v>
      </c>
      <c r="I14360" s="40" t="s">
        <v>18</v>
      </c>
      <c r="J14360" s="40" t="str">
        <f>HYPERLINK("https://stock.pstatic.net/stock-research/company/1/20250213_company_136141000.pdf","PDF")</f>
        <v>PDF</v>
      </c>
      <c r="K14360" s="12" t="s">
        <v>27460</v>
      </c>
      <c r="L14360" s="20">
        <v>0.16604477611940299</v>
      </c>
    </row>
    <row r="14361" spans="1:12" x14ac:dyDescent="0.45">
      <c r="A14361" s="12" t="s">
        <v>27330</v>
      </c>
      <c r="B14361" s="12" t="s">
        <v>2644</v>
      </c>
      <c r="C14361" s="13" t="s">
        <v>2645</v>
      </c>
      <c r="D14361" s="13" t="s">
        <v>15</v>
      </c>
      <c r="E14361" s="12" t="s">
        <v>16</v>
      </c>
      <c r="F14361" s="14">
        <v>30000</v>
      </c>
      <c r="G14361" s="14">
        <v>21600</v>
      </c>
      <c r="H14361" s="13" t="s">
        <v>27461</v>
      </c>
      <c r="I14361" s="40" t="s">
        <v>18</v>
      </c>
      <c r="J14361" s="40" t="str">
        <f>HYPERLINK("https://stock.pstatic.net/stock-research/company/29/20250213_company_461755000.pdf","PDF")</f>
        <v>PDF</v>
      </c>
      <c r="K14361" s="12" t="s">
        <v>27462</v>
      </c>
      <c r="L14361" s="20">
        <v>0.3888888888888889</v>
      </c>
    </row>
    <row r="14362" spans="1:12" x14ac:dyDescent="0.45">
      <c r="A14362" s="12" t="s">
        <v>27330</v>
      </c>
      <c r="B14362" s="12" t="s">
        <v>375</v>
      </c>
      <c r="C14362" s="13" t="s">
        <v>376</v>
      </c>
      <c r="D14362" s="13" t="s">
        <v>15</v>
      </c>
      <c r="E14362" s="12" t="s">
        <v>16</v>
      </c>
      <c r="F14362" s="14">
        <v>25000</v>
      </c>
      <c r="G14362" s="14">
        <v>19050</v>
      </c>
      <c r="H14362" s="13" t="s">
        <v>27463</v>
      </c>
      <c r="I14362" s="40" t="s">
        <v>18</v>
      </c>
      <c r="J14362" s="40" t="str">
        <f>HYPERLINK("https://stock.pstatic.net/stock-research/company/1/20250213_company_199673000.pdf","PDF")</f>
        <v>PDF</v>
      </c>
      <c r="K14362" s="12" t="s">
        <v>27464</v>
      </c>
      <c r="L14362" s="20">
        <v>0.31233595800524933</v>
      </c>
    </row>
    <row r="14363" spans="1:12" x14ac:dyDescent="0.45">
      <c r="A14363" s="12" t="s">
        <v>27330</v>
      </c>
      <c r="B14363" s="12" t="s">
        <v>2199</v>
      </c>
      <c r="C14363" s="13" t="s">
        <v>2200</v>
      </c>
      <c r="D14363" s="13" t="s">
        <v>23</v>
      </c>
      <c r="E14363" s="12" t="s">
        <v>16</v>
      </c>
      <c r="F14363" s="14">
        <v>43000</v>
      </c>
      <c r="G14363" s="14">
        <v>28150</v>
      </c>
      <c r="H14363" s="13" t="s">
        <v>27465</v>
      </c>
      <c r="I14363" s="40" t="s">
        <v>18</v>
      </c>
      <c r="J14363" s="40" t="str">
        <f>HYPERLINK("https://stock.pstatic.net/stock-research/company/21/20250213_company_49762000.pdf","PDF")</f>
        <v>PDF</v>
      </c>
      <c r="K14363" s="12" t="s">
        <v>27466</v>
      </c>
      <c r="L14363" s="20">
        <v>0.52753108348134992</v>
      </c>
    </row>
    <row r="14364" spans="1:12" x14ac:dyDescent="0.45">
      <c r="A14364" s="12" t="s">
        <v>27330</v>
      </c>
      <c r="B14364" s="12" t="s">
        <v>1682</v>
      </c>
      <c r="C14364" s="13" t="s">
        <v>4787</v>
      </c>
      <c r="D14364" s="13" t="s">
        <v>15</v>
      </c>
      <c r="E14364" s="12" t="s">
        <v>50</v>
      </c>
      <c r="F14364" s="14">
        <v>210000</v>
      </c>
      <c r="G14364" s="14">
        <v>180400</v>
      </c>
      <c r="H14364" s="13" t="s">
        <v>27467</v>
      </c>
      <c r="I14364" s="40" t="s">
        <v>18</v>
      </c>
      <c r="J14364" s="40" t="str">
        <f>HYPERLINK("https://stock.pstatic.net/stock-research/company/29/20250213_company_190233000.pdf","PDF")</f>
        <v>PDF</v>
      </c>
      <c r="K14364" s="12" t="s">
        <v>27468</v>
      </c>
      <c r="L14364" s="20">
        <v>0.16407982261640799</v>
      </c>
    </row>
    <row r="14365" spans="1:12" x14ac:dyDescent="0.45">
      <c r="A14365" s="12" t="s">
        <v>27469</v>
      </c>
      <c r="B14365" s="12" t="s">
        <v>1120</v>
      </c>
      <c r="C14365" s="13" t="s">
        <v>1121</v>
      </c>
      <c r="D14365" s="13" t="s">
        <v>276</v>
      </c>
      <c r="E14365" s="12" t="s">
        <v>16</v>
      </c>
      <c r="F14365" s="14">
        <v>150000</v>
      </c>
      <c r="G14365" s="14">
        <v>104900</v>
      </c>
      <c r="H14365" s="13" t="s">
        <v>27470</v>
      </c>
      <c r="I14365" s="40" t="s">
        <v>18</v>
      </c>
      <c r="J14365" s="40" t="str">
        <f>HYPERLINK("https://stock.pstatic.net/stock-research/company/66/20250212_company_325961000.pdf","PDF")</f>
        <v>PDF</v>
      </c>
      <c r="K14365" s="12" t="s">
        <v>27471</v>
      </c>
      <c r="L14365" s="20">
        <v>0.42993326978074359</v>
      </c>
    </row>
    <row r="14366" spans="1:12" x14ac:dyDescent="0.45">
      <c r="A14366" s="12" t="s">
        <v>27469</v>
      </c>
      <c r="B14366" s="12" t="s">
        <v>3101</v>
      </c>
      <c r="C14366" s="13" t="s">
        <v>3102</v>
      </c>
      <c r="D14366" s="13" t="s">
        <v>276</v>
      </c>
      <c r="E14366" s="12" t="s">
        <v>385</v>
      </c>
      <c r="F14366" s="14">
        <v>120000</v>
      </c>
      <c r="G14366" s="14">
        <v>120700</v>
      </c>
      <c r="H14366" s="13" t="s">
        <v>27472</v>
      </c>
      <c r="I14366" s="40" t="s">
        <v>18</v>
      </c>
      <c r="J14366" s="40" t="str">
        <f>HYPERLINK("https://stock.pstatic.net/stock-research/company/66/20250212_company_601255000.pdf","PDF")</f>
        <v>PDF</v>
      </c>
      <c r="K14366" s="12" t="s">
        <v>27473</v>
      </c>
      <c r="L14366" s="20">
        <v>-5.7995028997514502E-3</v>
      </c>
    </row>
    <row r="14367" spans="1:12" x14ac:dyDescent="0.45">
      <c r="A14367" s="12" t="s">
        <v>27469</v>
      </c>
      <c r="B14367" s="12" t="s">
        <v>1930</v>
      </c>
      <c r="C14367" s="13" t="s">
        <v>1931</v>
      </c>
      <c r="D14367" s="13" t="s">
        <v>60</v>
      </c>
      <c r="E14367" s="12" t="s">
        <v>35</v>
      </c>
      <c r="F14367" s="14">
        <v>410000</v>
      </c>
      <c r="G14367" s="14">
        <v>240000</v>
      </c>
      <c r="H14367" s="13" t="s">
        <v>27474</v>
      </c>
      <c r="I14367" s="40" t="s">
        <v>18</v>
      </c>
      <c r="J14367" s="40" t="str">
        <f>HYPERLINK("https://stock.pstatic.net/stock-research/company/62/20250212_company_563595000.pdf","PDF")</f>
        <v>PDF</v>
      </c>
      <c r="K14367" s="12" t="s">
        <v>27475</v>
      </c>
      <c r="L14367" s="20">
        <v>0.70833333333333337</v>
      </c>
    </row>
    <row r="14368" spans="1:12" x14ac:dyDescent="0.45">
      <c r="A14368" s="12" t="s">
        <v>27469</v>
      </c>
      <c r="B14368" s="12" t="s">
        <v>1120</v>
      </c>
      <c r="C14368" s="13" t="s">
        <v>1121</v>
      </c>
      <c r="D14368" s="13" t="s">
        <v>60</v>
      </c>
      <c r="E14368" s="12" t="s">
        <v>35</v>
      </c>
      <c r="F14368" s="14">
        <v>130000</v>
      </c>
      <c r="G14368" s="14">
        <v>104900</v>
      </c>
      <c r="H14368" s="13" t="s">
        <v>27476</v>
      </c>
      <c r="I14368" s="40" t="s">
        <v>18</v>
      </c>
      <c r="J14368" s="40" t="str">
        <f>HYPERLINK("https://stock.pstatic.net/stock-research/company/62/20250212_company_449067000.pdf","PDF")</f>
        <v>PDF</v>
      </c>
      <c r="K14368" s="12" t="s">
        <v>27477</v>
      </c>
      <c r="L14368" s="20">
        <v>0.23927550047664439</v>
      </c>
    </row>
    <row r="14369" spans="1:12" x14ac:dyDescent="0.45">
      <c r="A14369" s="12" t="s">
        <v>27469</v>
      </c>
      <c r="B14369" s="12" t="s">
        <v>2522</v>
      </c>
      <c r="C14369" s="13" t="s">
        <v>2523</v>
      </c>
      <c r="D14369" s="13" t="s">
        <v>60</v>
      </c>
      <c r="E14369" s="12" t="s">
        <v>35</v>
      </c>
      <c r="F14369" s="14">
        <v>500000</v>
      </c>
      <c r="G14369" s="14">
        <v>375000</v>
      </c>
      <c r="H14369" s="13" t="s">
        <v>27478</v>
      </c>
      <c r="I14369" s="40" t="s">
        <v>18</v>
      </c>
      <c r="J14369" s="40" t="str">
        <f>HYPERLINK("https://stock.pstatic.net/stock-research/company/1/20250212_company_181296000.pdf","PDF")</f>
        <v>PDF</v>
      </c>
      <c r="K14369" s="12" t="s">
        <v>27479</v>
      </c>
      <c r="L14369" s="20">
        <v>0.33333333333333331</v>
      </c>
    </row>
    <row r="14370" spans="1:12" x14ac:dyDescent="0.45">
      <c r="A14370" s="12" t="s">
        <v>27469</v>
      </c>
      <c r="B14370" s="12" t="s">
        <v>1906</v>
      </c>
      <c r="C14370" s="13" t="s">
        <v>1907</v>
      </c>
      <c r="D14370" s="13" t="s">
        <v>60</v>
      </c>
      <c r="E14370" s="12" t="s">
        <v>35</v>
      </c>
      <c r="F14370" s="14">
        <v>44000</v>
      </c>
      <c r="G14370" s="14">
        <v>32500</v>
      </c>
      <c r="H14370" s="13" t="s">
        <v>27480</v>
      </c>
      <c r="I14370" s="40" t="s">
        <v>18</v>
      </c>
      <c r="J14370" s="40" t="str">
        <f>HYPERLINK("https://stock.pstatic.net/stock-research/company/62/20250212_company_143963000.pdf","PDF")</f>
        <v>PDF</v>
      </c>
      <c r="K14370" s="12" t="s">
        <v>27481</v>
      </c>
      <c r="L14370" s="20">
        <v>0.35384615384615392</v>
      </c>
    </row>
    <row r="14371" spans="1:12" x14ac:dyDescent="0.45">
      <c r="A14371" s="12" t="s">
        <v>27469</v>
      </c>
      <c r="B14371" s="12" t="s">
        <v>1548</v>
      </c>
      <c r="C14371" s="13" t="s">
        <v>1549</v>
      </c>
      <c r="D14371" s="13" t="s">
        <v>60</v>
      </c>
      <c r="E14371" s="12" t="s">
        <v>35</v>
      </c>
      <c r="F14371" s="14">
        <v>760000</v>
      </c>
      <c r="G14371" s="14">
        <v>498000</v>
      </c>
      <c r="H14371" s="13" t="s">
        <v>27482</v>
      </c>
      <c r="I14371" s="40" t="s">
        <v>18</v>
      </c>
      <c r="J14371" s="40" t="str">
        <f>HYPERLINK("https://stock.pstatic.net/stock-research/company/62/20250212_company_676737000.pdf","PDF")</f>
        <v>PDF</v>
      </c>
      <c r="K14371" s="12" t="s">
        <v>27483</v>
      </c>
      <c r="L14371" s="20">
        <v>0.52610441767068272</v>
      </c>
    </row>
    <row r="14372" spans="1:12" x14ac:dyDescent="0.45">
      <c r="A14372" s="12" t="s">
        <v>27469</v>
      </c>
      <c r="B14372" s="12" t="s">
        <v>3101</v>
      </c>
      <c r="C14372" s="13" t="s">
        <v>3102</v>
      </c>
      <c r="D14372" s="13" t="s">
        <v>60</v>
      </c>
      <c r="E14372" s="12" t="s">
        <v>35</v>
      </c>
      <c r="F14372" s="14">
        <v>160000</v>
      </c>
      <c r="G14372" s="14">
        <v>120700</v>
      </c>
      <c r="H14372" s="13" t="s">
        <v>27484</v>
      </c>
      <c r="I14372" s="40" t="s">
        <v>18</v>
      </c>
      <c r="J14372" s="40" t="str">
        <f>HYPERLINK("https://stock.pstatic.net/stock-research/company/1/20250212_company_768197000.pdf","PDF")</f>
        <v>PDF</v>
      </c>
      <c r="K14372" s="12" t="s">
        <v>27485</v>
      </c>
      <c r="L14372" s="20">
        <v>0.3256006628003314</v>
      </c>
    </row>
    <row r="14373" spans="1:12" x14ac:dyDescent="0.45">
      <c r="A14373" s="12" t="s">
        <v>27469</v>
      </c>
      <c r="B14373" s="12" t="s">
        <v>2795</v>
      </c>
      <c r="C14373" s="13" t="s">
        <v>2796</v>
      </c>
      <c r="D14373" s="13" t="s">
        <v>65</v>
      </c>
      <c r="E14373" s="12" t="s">
        <v>35</v>
      </c>
      <c r="F14373" s="14">
        <v>4800</v>
      </c>
      <c r="G14373" s="14">
        <v>3400</v>
      </c>
      <c r="H14373" s="13" t="s">
        <v>27486</v>
      </c>
      <c r="I14373" s="40" t="s">
        <v>18</v>
      </c>
      <c r="J14373" s="40" t="str">
        <f>HYPERLINK("https://stock.pstatic.net/stock-research/company/57/20250212_company_129827000.pdf","PDF")</f>
        <v>PDF</v>
      </c>
      <c r="K14373" s="12" t="s">
        <v>27487</v>
      </c>
      <c r="L14373" s="20">
        <v>0.41176470588235292</v>
      </c>
    </row>
    <row r="14374" spans="1:12" x14ac:dyDescent="0.45">
      <c r="A14374" s="12" t="s">
        <v>27469</v>
      </c>
      <c r="B14374" s="12" t="s">
        <v>2522</v>
      </c>
      <c r="C14374" s="13" t="s">
        <v>2523</v>
      </c>
      <c r="D14374" s="13" t="s">
        <v>65</v>
      </c>
      <c r="E14374" s="12" t="s">
        <v>35</v>
      </c>
      <c r="F14374" s="14">
        <v>490000</v>
      </c>
      <c r="G14374" s="14">
        <v>375000</v>
      </c>
      <c r="H14374" s="13" t="s">
        <v>27488</v>
      </c>
      <c r="I14374" s="40" t="s">
        <v>18</v>
      </c>
      <c r="J14374" s="40" t="str">
        <f>HYPERLINK("https://stock.pstatic.net/stock-research/company/57/20250212_company_312894000.pdf","PDF")</f>
        <v>PDF</v>
      </c>
      <c r="K14374" s="12" t="s">
        <v>27489</v>
      </c>
      <c r="L14374" s="20">
        <v>0.30666666666666659</v>
      </c>
    </row>
    <row r="14375" spans="1:12" x14ac:dyDescent="0.45">
      <c r="A14375" s="12" t="s">
        <v>27469</v>
      </c>
      <c r="B14375" s="12" t="s">
        <v>1144</v>
      </c>
      <c r="C14375" s="13" t="s">
        <v>1145</v>
      </c>
      <c r="D14375" s="13" t="s">
        <v>65</v>
      </c>
      <c r="E14375" s="12" t="s">
        <v>35</v>
      </c>
      <c r="F14375" s="14">
        <v>88000</v>
      </c>
      <c r="G14375" s="14">
        <v>69400</v>
      </c>
      <c r="H14375" s="13" t="s">
        <v>27490</v>
      </c>
      <c r="I14375" s="40" t="s">
        <v>18</v>
      </c>
      <c r="J14375" s="40" t="str">
        <f>HYPERLINK("https://stock.pstatic.net/stock-research/company/1/20250212_company_275800000.pdf","PDF")</f>
        <v>PDF</v>
      </c>
      <c r="K14375" s="12" t="s">
        <v>27491</v>
      </c>
      <c r="L14375" s="20">
        <v>0.2680115273775216</v>
      </c>
    </row>
    <row r="14376" spans="1:12" x14ac:dyDescent="0.45">
      <c r="A14376" s="12" t="s">
        <v>27469</v>
      </c>
      <c r="B14376" s="12" t="s">
        <v>1540</v>
      </c>
      <c r="C14376" s="13" t="s">
        <v>1541</v>
      </c>
      <c r="D14376" s="13" t="s">
        <v>65</v>
      </c>
      <c r="E14376" s="12" t="s">
        <v>35</v>
      </c>
      <c r="F14376" s="14">
        <v>52000</v>
      </c>
      <c r="G14376" s="14">
        <v>45100</v>
      </c>
      <c r="H14376" s="13" t="s">
        <v>27492</v>
      </c>
      <c r="I14376" s="40" t="s">
        <v>18</v>
      </c>
      <c r="J14376" s="40" t="str">
        <f>HYPERLINK("https://stock.pstatic.net/stock-research/company/1/20250212_company_324850000.pdf","PDF")</f>
        <v>PDF</v>
      </c>
      <c r="K14376" s="12" t="s">
        <v>27493</v>
      </c>
      <c r="L14376" s="20">
        <v>0.1529933481152993</v>
      </c>
    </row>
    <row r="14377" spans="1:12" x14ac:dyDescent="0.45">
      <c r="A14377" s="12" t="s">
        <v>27469</v>
      </c>
      <c r="B14377" s="12" t="s">
        <v>1415</v>
      </c>
      <c r="C14377" s="13" t="s">
        <v>1416</v>
      </c>
      <c r="D14377" s="13" t="s">
        <v>65</v>
      </c>
      <c r="E14377" s="12" t="s">
        <v>35</v>
      </c>
      <c r="F14377" s="14">
        <v>7000</v>
      </c>
      <c r="G14377" s="14">
        <v>4195</v>
      </c>
      <c r="H14377" s="13" t="s">
        <v>27494</v>
      </c>
      <c r="I14377" s="40" t="s">
        <v>18</v>
      </c>
      <c r="J14377" s="40" t="str">
        <f>HYPERLINK("https://stock.pstatic.net/stock-research/company/57/20250212_company_581198000.pdf","PDF")</f>
        <v>PDF</v>
      </c>
      <c r="K14377" s="12" t="s">
        <v>27495</v>
      </c>
      <c r="L14377" s="20">
        <v>0.6686531585220501</v>
      </c>
    </row>
    <row r="14378" spans="1:12" x14ac:dyDescent="0.45">
      <c r="A14378" s="12" t="s">
        <v>27469</v>
      </c>
      <c r="B14378" s="12" t="s">
        <v>1548</v>
      </c>
      <c r="C14378" s="13" t="s">
        <v>1549</v>
      </c>
      <c r="D14378" s="13" t="s">
        <v>65</v>
      </c>
      <c r="E14378" s="12" t="s">
        <v>35</v>
      </c>
      <c r="F14378" s="14">
        <v>625000</v>
      </c>
      <c r="G14378" s="14">
        <v>498000</v>
      </c>
      <c r="H14378" s="13" t="s">
        <v>27496</v>
      </c>
      <c r="I14378" s="40" t="s">
        <v>18</v>
      </c>
      <c r="J14378" s="40" t="str">
        <f>HYPERLINK("https://stock.pstatic.net/stock-research/company/57/20250212_company_63014000.pdf","PDF")</f>
        <v>PDF</v>
      </c>
      <c r="K14378" s="12" t="s">
        <v>27497</v>
      </c>
      <c r="L14378" s="20">
        <v>0.25502008032128509</v>
      </c>
    </row>
    <row r="14379" spans="1:12" x14ac:dyDescent="0.45">
      <c r="A14379" s="12" t="s">
        <v>27469</v>
      </c>
      <c r="B14379" s="12" t="s">
        <v>1741</v>
      </c>
      <c r="C14379" s="13" t="s">
        <v>1742</v>
      </c>
      <c r="D14379" s="13" t="s">
        <v>65</v>
      </c>
      <c r="E14379" s="12" t="s">
        <v>35</v>
      </c>
      <c r="F14379" s="14">
        <v>72000</v>
      </c>
      <c r="G14379" s="14">
        <v>58500</v>
      </c>
      <c r="H14379" s="13" t="s">
        <v>27498</v>
      </c>
      <c r="I14379" s="40" t="s">
        <v>18</v>
      </c>
      <c r="J14379" s="40" t="str">
        <f>HYPERLINK("https://stock.pstatic.net/stock-research/company/57/20250212_company_192767000.pdf","PDF")</f>
        <v>PDF</v>
      </c>
      <c r="K14379" s="12" t="s">
        <v>27499</v>
      </c>
      <c r="L14379" s="20">
        <v>0.23076923076923081</v>
      </c>
    </row>
    <row r="14380" spans="1:12" x14ac:dyDescent="0.45">
      <c r="A14380" s="12" t="s">
        <v>27469</v>
      </c>
      <c r="B14380" s="12" t="s">
        <v>3101</v>
      </c>
      <c r="C14380" s="13" t="s">
        <v>3102</v>
      </c>
      <c r="D14380" s="13" t="s">
        <v>65</v>
      </c>
      <c r="E14380" s="12" t="s">
        <v>1738</v>
      </c>
      <c r="F14380" s="14">
        <v>120000</v>
      </c>
      <c r="G14380" s="14">
        <v>120700</v>
      </c>
      <c r="H14380" s="13" t="s">
        <v>27500</v>
      </c>
      <c r="I14380" s="40" t="s">
        <v>18</v>
      </c>
      <c r="J14380" s="40" t="str">
        <f>HYPERLINK("https://stock.pstatic.net/stock-research/company/57/20250212_company_428388000.pdf","PDF")</f>
        <v>PDF</v>
      </c>
      <c r="K14380" s="12" t="s">
        <v>27501</v>
      </c>
      <c r="L14380" s="20">
        <v>-5.7995028997514502E-3</v>
      </c>
    </row>
    <row r="14381" spans="1:12" x14ac:dyDescent="0.45">
      <c r="A14381" s="12" t="s">
        <v>27469</v>
      </c>
      <c r="B14381" s="12" t="s">
        <v>3014</v>
      </c>
      <c r="C14381" s="13" t="s">
        <v>3015</v>
      </c>
      <c r="D14381" s="13" t="s">
        <v>65</v>
      </c>
      <c r="E14381" s="12" t="s">
        <v>35</v>
      </c>
      <c r="F14381" s="14">
        <v>80000</v>
      </c>
      <c r="G14381" s="14">
        <v>54900</v>
      </c>
      <c r="H14381" s="13" t="s">
        <v>27502</v>
      </c>
      <c r="I14381" s="40" t="s">
        <v>18</v>
      </c>
      <c r="J14381" s="40" t="str">
        <f>HYPERLINK("https://stock.pstatic.net/stock-research/company/57/20250212_company_528098000.pdf","PDF")</f>
        <v>PDF</v>
      </c>
      <c r="K14381" s="12" t="s">
        <v>27503</v>
      </c>
      <c r="L14381" s="20">
        <v>0.45719489981785072</v>
      </c>
    </row>
    <row r="14382" spans="1:12" x14ac:dyDescent="0.45">
      <c r="A14382" s="12" t="s">
        <v>27469</v>
      </c>
      <c r="B14382" s="12" t="s">
        <v>1930</v>
      </c>
      <c r="C14382" s="13" t="s">
        <v>1931</v>
      </c>
      <c r="D14382" s="13" t="s">
        <v>65</v>
      </c>
      <c r="E14382" s="12" t="s">
        <v>35</v>
      </c>
      <c r="F14382" s="14">
        <v>420000</v>
      </c>
      <c r="G14382" s="14">
        <v>240000</v>
      </c>
      <c r="H14382" s="13" t="s">
        <v>27504</v>
      </c>
      <c r="I14382" s="40" t="s">
        <v>18</v>
      </c>
      <c r="J14382" s="40" t="str">
        <f>HYPERLINK("https://stock.pstatic.net/stock-research/company/57/20250212_company_83841000.pdf","PDF")</f>
        <v>PDF</v>
      </c>
      <c r="K14382" s="12" t="s">
        <v>27505</v>
      </c>
      <c r="L14382" s="20">
        <v>0.75</v>
      </c>
    </row>
    <row r="14383" spans="1:12" x14ac:dyDescent="0.45">
      <c r="A14383" s="12" t="s">
        <v>27469</v>
      </c>
      <c r="B14383" s="12" t="s">
        <v>76</v>
      </c>
      <c r="C14383" s="13" t="s">
        <v>77</v>
      </c>
      <c r="D14383" s="13" t="s">
        <v>65</v>
      </c>
      <c r="E14383" s="12" t="s">
        <v>1738</v>
      </c>
      <c r="F14383" s="14">
        <v>18000</v>
      </c>
      <c r="G14383" s="14">
        <v>18410</v>
      </c>
      <c r="H14383" s="13" t="s">
        <v>27506</v>
      </c>
      <c r="I14383" s="40" t="s">
        <v>18</v>
      </c>
      <c r="J14383" s="40" t="str">
        <f>HYPERLINK("https://stock.pstatic.net/stock-research/company/57/20250212_company_472976000.pdf","PDF")</f>
        <v>PDF</v>
      </c>
      <c r="K14383" s="12" t="s">
        <v>27507</v>
      </c>
      <c r="L14383" s="20">
        <v>-2.2270505160238999E-2</v>
      </c>
    </row>
    <row r="14384" spans="1:12" x14ac:dyDescent="0.45">
      <c r="A14384" s="12" t="s">
        <v>27469</v>
      </c>
      <c r="B14384" s="12" t="s">
        <v>3079</v>
      </c>
      <c r="C14384" s="13" t="s">
        <v>3080</v>
      </c>
      <c r="D14384" s="13" t="s">
        <v>65</v>
      </c>
      <c r="E14384" s="12" t="s">
        <v>35</v>
      </c>
      <c r="F14384" s="14">
        <v>31000</v>
      </c>
      <c r="G14384" s="14">
        <v>17980</v>
      </c>
      <c r="H14384" s="13" t="s">
        <v>27508</v>
      </c>
      <c r="I14384" s="40" t="s">
        <v>18</v>
      </c>
      <c r="J14384" s="40" t="str">
        <f>HYPERLINK("https://stock.pstatic.net/stock-research/company/57/20250212_company_510976000.pdf","PDF")</f>
        <v>PDF</v>
      </c>
      <c r="K14384" s="12" t="s">
        <v>27509</v>
      </c>
      <c r="L14384" s="20">
        <v>0.72413793103448276</v>
      </c>
    </row>
    <row r="14385" spans="1:12" x14ac:dyDescent="0.45">
      <c r="A14385" s="12" t="s">
        <v>27469</v>
      </c>
      <c r="B14385" s="12" t="s">
        <v>2522</v>
      </c>
      <c r="C14385" s="13" t="s">
        <v>2523</v>
      </c>
      <c r="D14385" s="13" t="s">
        <v>57</v>
      </c>
      <c r="E14385" s="12" t="s">
        <v>35</v>
      </c>
      <c r="F14385" s="14">
        <v>440000</v>
      </c>
      <c r="G14385" s="14">
        <v>375000</v>
      </c>
      <c r="H14385" s="13" t="s">
        <v>27510</v>
      </c>
      <c r="I14385" s="40" t="s">
        <v>18</v>
      </c>
      <c r="J14385" s="40" t="str">
        <f>HYPERLINK("https://stock.pstatic.net/stock-research/company/16/20250212_company_332414000.pdf","PDF")</f>
        <v>PDF</v>
      </c>
      <c r="K14385" s="12" t="s">
        <v>27511</v>
      </c>
      <c r="L14385" s="20">
        <v>0.17333333333333331</v>
      </c>
    </row>
    <row r="14386" spans="1:12" x14ac:dyDescent="0.45">
      <c r="A14386" s="12" t="s">
        <v>27469</v>
      </c>
      <c r="B14386" s="12" t="s">
        <v>3101</v>
      </c>
      <c r="C14386" s="13" t="s">
        <v>3102</v>
      </c>
      <c r="D14386" s="13" t="s">
        <v>57</v>
      </c>
      <c r="E14386" s="12" t="s">
        <v>159</v>
      </c>
      <c r="F14386" s="14">
        <v>110000</v>
      </c>
      <c r="G14386" s="14">
        <v>120700</v>
      </c>
      <c r="H14386" s="13" t="s">
        <v>27512</v>
      </c>
      <c r="I14386" s="40" t="s">
        <v>18</v>
      </c>
      <c r="J14386" s="40" t="str">
        <f>HYPERLINK("https://stock.pstatic.net/stock-research/company/16/20250212_company_829050000.pdf","PDF")</f>
        <v>PDF</v>
      </c>
      <c r="K14386" s="12" t="s">
        <v>27513</v>
      </c>
      <c r="L14386" s="20">
        <v>-8.8649544324772164E-2</v>
      </c>
    </row>
    <row r="14387" spans="1:12" x14ac:dyDescent="0.45">
      <c r="A14387" s="12" t="s">
        <v>27469</v>
      </c>
      <c r="B14387" s="12" t="s">
        <v>118</v>
      </c>
      <c r="C14387" s="13" t="s">
        <v>119</v>
      </c>
      <c r="D14387" s="13" t="s">
        <v>57</v>
      </c>
      <c r="E14387" s="12" t="s">
        <v>35</v>
      </c>
      <c r="F14387" s="14">
        <v>100000</v>
      </c>
      <c r="G14387" s="14">
        <v>67300</v>
      </c>
      <c r="H14387" s="13" t="s">
        <v>27514</v>
      </c>
      <c r="I14387" s="40" t="s">
        <v>18</v>
      </c>
      <c r="J14387" s="40" t="str">
        <f>HYPERLINK("https://stock.pstatic.net/stock-research/company/16/20250212_company_922438000.pdf","PDF")</f>
        <v>PDF</v>
      </c>
      <c r="K14387" s="12" t="s">
        <v>27515</v>
      </c>
      <c r="L14387" s="20">
        <v>0.48588410104011892</v>
      </c>
    </row>
    <row r="14388" spans="1:12" x14ac:dyDescent="0.45">
      <c r="A14388" s="12" t="s">
        <v>27469</v>
      </c>
      <c r="B14388" s="12" t="s">
        <v>1097</v>
      </c>
      <c r="C14388" s="13" t="s">
        <v>1098</v>
      </c>
      <c r="D14388" s="13" t="s">
        <v>57</v>
      </c>
      <c r="E14388" s="12" t="s">
        <v>35</v>
      </c>
      <c r="F14388" s="14">
        <v>170000</v>
      </c>
      <c r="G14388" s="14">
        <v>101400</v>
      </c>
      <c r="H14388" s="13" t="s">
        <v>27516</v>
      </c>
      <c r="I14388" s="40" t="s">
        <v>18</v>
      </c>
      <c r="J14388" s="40" t="str">
        <f>HYPERLINK("https://stock.pstatic.net/stock-research/company/16/20250212_company_550567000.pdf","PDF")</f>
        <v>PDF</v>
      </c>
      <c r="K14388" s="12" t="s">
        <v>27517</v>
      </c>
      <c r="L14388" s="20">
        <v>0.6765285996055227</v>
      </c>
    </row>
    <row r="14389" spans="1:12" x14ac:dyDescent="0.45">
      <c r="A14389" s="12" t="s">
        <v>27469</v>
      </c>
      <c r="B14389" s="12" t="s">
        <v>132</v>
      </c>
      <c r="C14389" s="13" t="s">
        <v>133</v>
      </c>
      <c r="D14389" s="13" t="s">
        <v>57</v>
      </c>
      <c r="E14389" s="12" t="s">
        <v>35</v>
      </c>
      <c r="F14389" s="14">
        <v>80000</v>
      </c>
      <c r="G14389" s="14">
        <v>51300</v>
      </c>
      <c r="H14389" s="13" t="s">
        <v>27518</v>
      </c>
      <c r="I14389" s="40" t="s">
        <v>18</v>
      </c>
      <c r="J14389" s="40" t="str">
        <f>HYPERLINK("https://stock.pstatic.net/stock-research/company/16/20250212_company_785176000.pdf","PDF")</f>
        <v>PDF</v>
      </c>
      <c r="K14389" s="12" t="s">
        <v>27519</v>
      </c>
      <c r="L14389" s="20">
        <v>0.55945419103313843</v>
      </c>
    </row>
    <row r="14390" spans="1:12" x14ac:dyDescent="0.45">
      <c r="A14390" s="12" t="s">
        <v>27469</v>
      </c>
      <c r="B14390" s="12" t="s">
        <v>1548</v>
      </c>
      <c r="C14390" s="13" t="s">
        <v>1549</v>
      </c>
      <c r="D14390" s="13" t="s">
        <v>57</v>
      </c>
      <c r="E14390" s="12" t="s">
        <v>35</v>
      </c>
      <c r="F14390" s="14">
        <v>650000</v>
      </c>
      <c r="G14390" s="14">
        <v>498000</v>
      </c>
      <c r="H14390" s="13" t="s">
        <v>27520</v>
      </c>
      <c r="I14390" s="40" t="s">
        <v>18</v>
      </c>
      <c r="J14390" s="40" t="str">
        <f>HYPERLINK("https://stock.pstatic.net/stock-research/company/16/20250212_company_489751000.pdf","PDF")</f>
        <v>PDF</v>
      </c>
      <c r="K14390" s="12" t="s">
        <v>27521</v>
      </c>
      <c r="L14390" s="20">
        <v>0.30522088353413662</v>
      </c>
    </row>
    <row r="14391" spans="1:12" x14ac:dyDescent="0.45">
      <c r="A14391" s="12" t="s">
        <v>27469</v>
      </c>
      <c r="B14391" s="12" t="s">
        <v>1930</v>
      </c>
      <c r="C14391" s="13" t="s">
        <v>1931</v>
      </c>
      <c r="D14391" s="13" t="s">
        <v>57</v>
      </c>
      <c r="E14391" s="12" t="s">
        <v>35</v>
      </c>
      <c r="F14391" s="14">
        <v>370000</v>
      </c>
      <c r="G14391" s="14">
        <v>250000</v>
      </c>
      <c r="H14391" s="13" t="s">
        <v>27522</v>
      </c>
      <c r="I14391" s="40" t="s">
        <v>18</v>
      </c>
      <c r="J14391" s="40" t="str">
        <f>HYPERLINK("https://stock.pstatic.net/stock-research/company/16/20250212_company_797486000.pdf","PDF")</f>
        <v>PDF</v>
      </c>
      <c r="K14391" s="12" t="s">
        <v>27523</v>
      </c>
      <c r="L14391" s="20">
        <v>0.48</v>
      </c>
    </row>
    <row r="14392" spans="1:12" x14ac:dyDescent="0.45">
      <c r="A14392" s="12" t="s">
        <v>27469</v>
      </c>
      <c r="B14392" s="12" t="s">
        <v>27524</v>
      </c>
      <c r="C14392" s="13" t="s">
        <v>27525</v>
      </c>
      <c r="D14392" s="13" t="s">
        <v>158</v>
      </c>
      <c r="E14392" s="12" t="s">
        <v>35</v>
      </c>
      <c r="F14392" s="14">
        <v>40000</v>
      </c>
      <c r="G14392" s="14">
        <v>18020</v>
      </c>
      <c r="H14392" s="13" t="s">
        <v>27526</v>
      </c>
      <c r="I14392" s="40" t="s">
        <v>18</v>
      </c>
      <c r="J14392" s="40" t="str">
        <f>HYPERLINK("https://stock.pstatic.net/stock-research/company/18/20250212_company_382030000.pdf","PDF")</f>
        <v>PDF</v>
      </c>
      <c r="K14392" s="12" t="s">
        <v>27527</v>
      </c>
      <c r="L14392" s="20">
        <v>1.219755826859046</v>
      </c>
    </row>
    <row r="14393" spans="1:12" x14ac:dyDescent="0.45">
      <c r="A14393" s="12" t="s">
        <v>27469</v>
      </c>
      <c r="B14393" s="12" t="s">
        <v>2522</v>
      </c>
      <c r="C14393" s="13" t="s">
        <v>2523</v>
      </c>
      <c r="D14393" s="13" t="s">
        <v>158</v>
      </c>
      <c r="E14393" s="12" t="s">
        <v>35</v>
      </c>
      <c r="F14393" s="14">
        <v>450000</v>
      </c>
      <c r="G14393" s="14">
        <v>375000</v>
      </c>
      <c r="H14393" s="13" t="s">
        <v>27528</v>
      </c>
      <c r="I14393" s="40" t="s">
        <v>18</v>
      </c>
      <c r="J14393" s="40" t="str">
        <f>HYPERLINK("https://stock.pstatic.net/stock-research/company/1/20250212_company_134634000.pdf","PDF")</f>
        <v>PDF</v>
      </c>
      <c r="K14393" s="12" t="s">
        <v>27529</v>
      </c>
      <c r="L14393" s="20">
        <v>0.2</v>
      </c>
    </row>
    <row r="14394" spans="1:12" x14ac:dyDescent="0.45">
      <c r="A14394" s="12" t="s">
        <v>27469</v>
      </c>
      <c r="B14394" s="12" t="s">
        <v>76</v>
      </c>
      <c r="C14394" s="13" t="s">
        <v>77</v>
      </c>
      <c r="D14394" s="13" t="s">
        <v>15</v>
      </c>
      <c r="E14394" s="12" t="s">
        <v>50</v>
      </c>
      <c r="F14394" s="14">
        <v>22000</v>
      </c>
      <c r="G14394" s="14">
        <v>18410</v>
      </c>
      <c r="H14394" s="13" t="s">
        <v>27530</v>
      </c>
      <c r="I14394" s="40" t="s">
        <v>18</v>
      </c>
      <c r="J14394" s="40" t="str">
        <f>HYPERLINK("https://stock.pstatic.net/stock-research/company/29/20250212_company_226027000.pdf","PDF")</f>
        <v>PDF</v>
      </c>
      <c r="K14394" s="12" t="s">
        <v>27531</v>
      </c>
      <c r="L14394" s="20">
        <v>0.19500271591526341</v>
      </c>
    </row>
    <row r="14395" spans="1:12" x14ac:dyDescent="0.45">
      <c r="A14395" s="12" t="s">
        <v>27469</v>
      </c>
      <c r="B14395" s="12" t="s">
        <v>1036</v>
      </c>
      <c r="C14395" s="13" t="s">
        <v>1037</v>
      </c>
      <c r="D14395" s="13" t="s">
        <v>179</v>
      </c>
      <c r="E14395" s="12" t="s">
        <v>385</v>
      </c>
      <c r="F14395" s="14">
        <v>18000</v>
      </c>
      <c r="G14395" s="14">
        <v>16280</v>
      </c>
      <c r="H14395" s="13" t="s">
        <v>27532</v>
      </c>
      <c r="I14395" s="40" t="s">
        <v>18</v>
      </c>
      <c r="J14395" s="40" t="str">
        <f>HYPERLINK("https://stock.pstatic.net/stock-research/company/31/20250212_company_173158000.pdf","PDF")</f>
        <v>PDF</v>
      </c>
      <c r="K14395" s="12" t="s">
        <v>27533</v>
      </c>
      <c r="L14395" s="20">
        <v>0.10565110565110571</v>
      </c>
    </row>
    <row r="14396" spans="1:12" x14ac:dyDescent="0.45">
      <c r="A14396" s="12" t="s">
        <v>27469</v>
      </c>
      <c r="B14396" s="12" t="s">
        <v>1918</v>
      </c>
      <c r="C14396" s="13" t="s">
        <v>1919</v>
      </c>
      <c r="D14396" s="13" t="s">
        <v>179</v>
      </c>
      <c r="E14396" s="12" t="s">
        <v>50</v>
      </c>
      <c r="F14396" s="13"/>
      <c r="G14396" s="14">
        <v>5230</v>
      </c>
      <c r="H14396" s="13" t="s">
        <v>27534</v>
      </c>
      <c r="I14396" s="40" t="s">
        <v>18</v>
      </c>
      <c r="J14396" s="40" t="str">
        <f>HYPERLINK("https://stock.pstatic.net/stock-research/company/31/20250212_company_309000000.pdf","PDF")</f>
        <v>PDF</v>
      </c>
      <c r="K14396" s="12" t="s">
        <v>27535</v>
      </c>
    </row>
    <row r="14397" spans="1:12" x14ac:dyDescent="0.45">
      <c r="A14397" s="12" t="s">
        <v>27469</v>
      </c>
      <c r="B14397" s="12" t="s">
        <v>344</v>
      </c>
      <c r="C14397" s="13" t="s">
        <v>345</v>
      </c>
      <c r="D14397" s="13" t="s">
        <v>179</v>
      </c>
      <c r="E14397" s="12" t="s">
        <v>16</v>
      </c>
      <c r="F14397" s="14">
        <v>7500</v>
      </c>
      <c r="G14397" s="14">
        <v>5460</v>
      </c>
      <c r="H14397" s="13" t="s">
        <v>27536</v>
      </c>
      <c r="I14397" s="40" t="s">
        <v>18</v>
      </c>
      <c r="J14397" s="40" t="str">
        <f>HYPERLINK("https://stock.pstatic.net/stock-research/company/31/20250212_company_690142000.pdf","PDF")</f>
        <v>PDF</v>
      </c>
      <c r="K14397" s="12" t="s">
        <v>27537</v>
      </c>
      <c r="L14397" s="20">
        <v>0.37362637362637358</v>
      </c>
    </row>
    <row r="14398" spans="1:12" x14ac:dyDescent="0.45">
      <c r="A14398" s="12" t="s">
        <v>27469</v>
      </c>
      <c r="B14398" s="12" t="s">
        <v>1097</v>
      </c>
      <c r="C14398" s="13" t="s">
        <v>1098</v>
      </c>
      <c r="D14398" s="13" t="s">
        <v>92</v>
      </c>
      <c r="E14398" s="12" t="s">
        <v>35</v>
      </c>
      <c r="F14398" s="14">
        <v>150000</v>
      </c>
      <c r="G14398" s="14">
        <v>101400</v>
      </c>
      <c r="H14398" s="13" t="s">
        <v>27538</v>
      </c>
      <c r="I14398" s="40" t="s">
        <v>18</v>
      </c>
      <c r="J14398" s="40" t="str">
        <f>HYPERLINK("https://stock.pstatic.net/stock-research/company/63/20250212_company_258365000.pdf","PDF")</f>
        <v>PDF</v>
      </c>
      <c r="K14398" s="12" t="s">
        <v>27539</v>
      </c>
      <c r="L14398" s="20">
        <v>0.47928994082840243</v>
      </c>
    </row>
    <row r="14399" spans="1:12" x14ac:dyDescent="0.45">
      <c r="A14399" s="12" t="s">
        <v>27469</v>
      </c>
      <c r="B14399" s="12" t="s">
        <v>1930</v>
      </c>
      <c r="C14399" s="13" t="s">
        <v>1931</v>
      </c>
      <c r="D14399" s="13" t="s">
        <v>92</v>
      </c>
      <c r="E14399" s="12" t="s">
        <v>35</v>
      </c>
      <c r="F14399" s="14">
        <v>320000</v>
      </c>
      <c r="G14399" s="14">
        <v>240000</v>
      </c>
      <c r="H14399" s="13" t="s">
        <v>13170</v>
      </c>
      <c r="I14399" s="40" t="s">
        <v>18</v>
      </c>
      <c r="J14399" s="40" t="str">
        <f>HYPERLINK("https://stock.pstatic.net/stock-research/company/63/20250212_company_734230000.pdf","PDF")</f>
        <v>PDF</v>
      </c>
      <c r="K14399" s="12" t="s">
        <v>27540</v>
      </c>
      <c r="L14399" s="20">
        <v>0.33333333333333331</v>
      </c>
    </row>
    <row r="14400" spans="1:12" x14ac:dyDescent="0.45">
      <c r="A14400" s="12" t="s">
        <v>27469</v>
      </c>
      <c r="B14400" s="12" t="s">
        <v>1120</v>
      </c>
      <c r="C14400" s="13" t="s">
        <v>1121</v>
      </c>
      <c r="D14400" s="13" t="s">
        <v>92</v>
      </c>
      <c r="E14400" s="12" t="s">
        <v>35</v>
      </c>
      <c r="F14400" s="14">
        <v>147000</v>
      </c>
      <c r="G14400" s="14">
        <v>104900</v>
      </c>
      <c r="H14400" s="13" t="s">
        <v>27541</v>
      </c>
      <c r="I14400" s="40" t="s">
        <v>18</v>
      </c>
      <c r="J14400" s="40" t="str">
        <f>HYPERLINK("https://stock.pstatic.net/stock-research/company/63/20250212_company_14324000.pdf","PDF")</f>
        <v>PDF</v>
      </c>
      <c r="K14400" s="12" t="s">
        <v>27542</v>
      </c>
      <c r="L14400" s="20">
        <v>0.40133460438512869</v>
      </c>
    </row>
    <row r="14401" spans="1:12" x14ac:dyDescent="0.45">
      <c r="A14401" s="12" t="s">
        <v>27469</v>
      </c>
      <c r="B14401" s="12" t="s">
        <v>3296</v>
      </c>
      <c r="C14401" s="13" t="s">
        <v>3297</v>
      </c>
      <c r="D14401" s="13" t="s">
        <v>92</v>
      </c>
      <c r="E14401" s="12" t="s">
        <v>35</v>
      </c>
      <c r="F14401" s="14">
        <v>70000</v>
      </c>
      <c r="G14401" s="14">
        <v>36750</v>
      </c>
      <c r="H14401" s="13" t="s">
        <v>27543</v>
      </c>
      <c r="I14401" s="40" t="s">
        <v>18</v>
      </c>
      <c r="J14401" s="40" t="str">
        <f>HYPERLINK("https://stock.pstatic.net/stock-research/company/63/20250212_company_233496000.pdf","PDF")</f>
        <v>PDF</v>
      </c>
      <c r="K14401" s="12" t="s">
        <v>27544</v>
      </c>
      <c r="L14401" s="20">
        <v>0.90476190476190477</v>
      </c>
    </row>
    <row r="14402" spans="1:12" x14ac:dyDescent="0.45">
      <c r="A14402" s="12" t="s">
        <v>27469</v>
      </c>
      <c r="B14402" s="12" t="s">
        <v>1548</v>
      </c>
      <c r="C14402" s="13" t="s">
        <v>1549</v>
      </c>
      <c r="D14402" s="13" t="s">
        <v>92</v>
      </c>
      <c r="E14402" s="12" t="s">
        <v>35</v>
      </c>
      <c r="F14402" s="14">
        <v>600000</v>
      </c>
      <c r="G14402" s="14">
        <v>498000</v>
      </c>
      <c r="H14402" s="13" t="s">
        <v>27545</v>
      </c>
      <c r="I14402" s="40" t="s">
        <v>18</v>
      </c>
      <c r="J14402" s="40" t="str">
        <f>HYPERLINK("https://stock.pstatic.net/stock-research/company/63/20250212_company_122095000.pdf","PDF")</f>
        <v>PDF</v>
      </c>
      <c r="K14402" s="12" t="s">
        <v>27546</v>
      </c>
      <c r="L14402" s="20">
        <v>0.2048192771084337</v>
      </c>
    </row>
    <row r="14403" spans="1:12" x14ac:dyDescent="0.45">
      <c r="A14403" s="12" t="s">
        <v>27469</v>
      </c>
      <c r="B14403" s="12" t="s">
        <v>1686</v>
      </c>
      <c r="C14403" s="13" t="s">
        <v>1687</v>
      </c>
      <c r="D14403" s="13" t="s">
        <v>179</v>
      </c>
      <c r="E14403" s="12" t="s">
        <v>50</v>
      </c>
      <c r="F14403" s="13"/>
      <c r="G14403" s="14">
        <v>815000</v>
      </c>
      <c r="H14403" s="13" t="s">
        <v>27547</v>
      </c>
      <c r="I14403" s="40" t="s">
        <v>18</v>
      </c>
      <c r="J14403" s="40" t="str">
        <f>HYPERLINK("https://stock.pstatic.net/stock-research/company/31/20250212_company_627628000.pdf","PDF")</f>
        <v>PDF</v>
      </c>
      <c r="K14403" s="12" t="s">
        <v>27548</v>
      </c>
    </row>
    <row r="14404" spans="1:12" x14ac:dyDescent="0.45">
      <c r="A14404" s="12" t="s">
        <v>27469</v>
      </c>
      <c r="B14404" s="12" t="s">
        <v>14366</v>
      </c>
      <c r="C14404" s="13" t="s">
        <v>14367</v>
      </c>
      <c r="D14404" s="13" t="s">
        <v>179</v>
      </c>
      <c r="E14404" s="12" t="s">
        <v>16</v>
      </c>
      <c r="F14404" s="14">
        <v>9500</v>
      </c>
      <c r="G14404" s="14">
        <v>4580</v>
      </c>
      <c r="H14404" s="13" t="s">
        <v>27549</v>
      </c>
      <c r="I14404" s="40" t="s">
        <v>18</v>
      </c>
      <c r="J14404" s="40" t="str">
        <f>HYPERLINK("https://stock.pstatic.net/stock-research/company/31/20250212_company_726432000.pdf","PDF")</f>
        <v>PDF</v>
      </c>
      <c r="K14404" s="12" t="s">
        <v>27550</v>
      </c>
      <c r="L14404" s="20">
        <v>1.0742358078602621</v>
      </c>
    </row>
    <row r="14405" spans="1:12" x14ac:dyDescent="0.45">
      <c r="A14405" s="12" t="s">
        <v>27469</v>
      </c>
      <c r="B14405" s="12" t="s">
        <v>1773</v>
      </c>
      <c r="C14405" s="13" t="s">
        <v>1774</v>
      </c>
      <c r="D14405" s="13" t="s">
        <v>83</v>
      </c>
      <c r="E14405" s="12" t="s">
        <v>35</v>
      </c>
      <c r="F14405" s="14">
        <v>130000</v>
      </c>
      <c r="G14405" s="14">
        <v>88900</v>
      </c>
      <c r="H14405" s="13" t="s">
        <v>27551</v>
      </c>
      <c r="I14405" s="40" t="s">
        <v>18</v>
      </c>
      <c r="J14405" s="40" t="str">
        <f>HYPERLINK("https://stock.pstatic.net/stock-research/company/2/20250212_company_116265000.pdf","PDF")</f>
        <v>PDF</v>
      </c>
      <c r="K14405" s="12" t="s">
        <v>27552</v>
      </c>
      <c r="L14405" s="20">
        <v>0.46231721034870638</v>
      </c>
    </row>
    <row r="14406" spans="1:12" x14ac:dyDescent="0.45">
      <c r="A14406" s="12" t="s">
        <v>27469</v>
      </c>
      <c r="B14406" s="12" t="s">
        <v>76</v>
      </c>
      <c r="C14406" s="13" t="s">
        <v>77</v>
      </c>
      <c r="D14406" s="13" t="s">
        <v>83</v>
      </c>
      <c r="E14406" s="12" t="s">
        <v>642</v>
      </c>
      <c r="F14406" s="14">
        <v>22000</v>
      </c>
      <c r="G14406" s="14">
        <v>18410</v>
      </c>
      <c r="H14406" s="13" t="s">
        <v>27553</v>
      </c>
      <c r="I14406" s="40" t="s">
        <v>18</v>
      </c>
      <c r="J14406" s="40" t="str">
        <f>HYPERLINK("https://stock.pstatic.net/stock-research/company/2/20250212_company_522564000.pdf","PDF")</f>
        <v>PDF</v>
      </c>
      <c r="K14406" s="12" t="s">
        <v>27554</v>
      </c>
      <c r="L14406" s="20">
        <v>0.19500271591526341</v>
      </c>
    </row>
    <row r="14407" spans="1:12" x14ac:dyDescent="0.45">
      <c r="A14407" s="12" t="s">
        <v>27469</v>
      </c>
      <c r="B14407" s="12" t="s">
        <v>2795</v>
      </c>
      <c r="C14407" s="13" t="s">
        <v>2796</v>
      </c>
      <c r="D14407" s="13" t="s">
        <v>83</v>
      </c>
      <c r="E14407" s="12" t="s">
        <v>35</v>
      </c>
      <c r="F14407" s="14">
        <v>5000</v>
      </c>
      <c r="G14407" s="14">
        <v>3400</v>
      </c>
      <c r="H14407" s="13" t="s">
        <v>27555</v>
      </c>
      <c r="I14407" s="40" t="s">
        <v>18</v>
      </c>
      <c r="J14407" s="40" t="str">
        <f>HYPERLINK("https://stock.pstatic.net/stock-research/company/2/20250212_company_6212000.pdf","PDF")</f>
        <v>PDF</v>
      </c>
      <c r="K14407" s="12" t="s">
        <v>27556</v>
      </c>
      <c r="L14407" s="20">
        <v>0.47058823529411759</v>
      </c>
    </row>
    <row r="14408" spans="1:12" x14ac:dyDescent="0.45">
      <c r="A14408" s="12" t="s">
        <v>27469</v>
      </c>
      <c r="B14408" s="12" t="s">
        <v>1906</v>
      </c>
      <c r="C14408" s="13" t="s">
        <v>1907</v>
      </c>
      <c r="D14408" s="13" t="s">
        <v>83</v>
      </c>
      <c r="E14408" s="12" t="s">
        <v>35</v>
      </c>
      <c r="F14408" s="14">
        <v>53000</v>
      </c>
      <c r="G14408" s="14">
        <v>32500</v>
      </c>
      <c r="H14408" s="13" t="s">
        <v>27557</v>
      </c>
      <c r="I14408" s="40" t="s">
        <v>18</v>
      </c>
      <c r="J14408" s="40" t="str">
        <f>HYPERLINK("https://stock.pstatic.net/stock-research/company/2/20250212_company_394309000.pdf","PDF")</f>
        <v>PDF</v>
      </c>
      <c r="K14408" s="12" t="s">
        <v>27558</v>
      </c>
      <c r="L14408" s="20">
        <v>0.63076923076923075</v>
      </c>
    </row>
    <row r="14409" spans="1:12" x14ac:dyDescent="0.45">
      <c r="A14409" s="12" t="s">
        <v>27469</v>
      </c>
      <c r="B14409" s="12" t="s">
        <v>2522</v>
      </c>
      <c r="C14409" s="13" t="s">
        <v>2523</v>
      </c>
      <c r="D14409" s="13" t="s">
        <v>83</v>
      </c>
      <c r="E14409" s="12" t="s">
        <v>35</v>
      </c>
      <c r="F14409" s="14">
        <v>480000</v>
      </c>
      <c r="G14409" s="14">
        <v>375000</v>
      </c>
      <c r="H14409" s="13" t="s">
        <v>27559</v>
      </c>
      <c r="I14409" s="40" t="s">
        <v>18</v>
      </c>
      <c r="J14409" s="40" t="str">
        <f>HYPERLINK("https://stock.pstatic.net/stock-research/company/2/20250212_company_775007000.pdf","PDF")</f>
        <v>PDF</v>
      </c>
      <c r="K14409" s="12" t="s">
        <v>27560</v>
      </c>
      <c r="L14409" s="20">
        <v>0.28000000000000003</v>
      </c>
    </row>
    <row r="14410" spans="1:12" x14ac:dyDescent="0.45">
      <c r="A14410" s="12" t="s">
        <v>27469</v>
      </c>
      <c r="B14410" s="12" t="s">
        <v>1548</v>
      </c>
      <c r="C14410" s="13" t="s">
        <v>1549</v>
      </c>
      <c r="D14410" s="13" t="s">
        <v>83</v>
      </c>
      <c r="E14410" s="12" t="s">
        <v>35</v>
      </c>
      <c r="F14410" s="14">
        <v>580000</v>
      </c>
      <c r="G14410" s="14">
        <v>498000</v>
      </c>
      <c r="H14410" s="13" t="s">
        <v>27561</v>
      </c>
      <c r="I14410" s="40" t="s">
        <v>18</v>
      </c>
      <c r="J14410" s="40" t="str">
        <f>HYPERLINK("https://stock.pstatic.net/stock-research/company/2/20250212_company_590255000.pdf","PDF")</f>
        <v>PDF</v>
      </c>
      <c r="K14410" s="12" t="s">
        <v>27562</v>
      </c>
      <c r="L14410" s="20">
        <v>0.1646586345381526</v>
      </c>
    </row>
    <row r="14411" spans="1:12" x14ac:dyDescent="0.45">
      <c r="A14411" s="12" t="s">
        <v>27469</v>
      </c>
      <c r="B14411" s="12" t="s">
        <v>1930</v>
      </c>
      <c r="C14411" s="13" t="s">
        <v>1931</v>
      </c>
      <c r="D14411" s="13" t="s">
        <v>83</v>
      </c>
      <c r="E14411" s="12" t="s">
        <v>35</v>
      </c>
      <c r="F14411" s="14">
        <v>350000</v>
      </c>
      <c r="G14411" s="14">
        <v>240000</v>
      </c>
      <c r="H14411" s="13" t="s">
        <v>27563</v>
      </c>
      <c r="I14411" s="40" t="s">
        <v>18</v>
      </c>
      <c r="J14411" s="40" t="str">
        <f>HYPERLINK("https://stock.pstatic.net/stock-research/company/2/20250212_company_954704000.pdf","PDF")</f>
        <v>PDF</v>
      </c>
      <c r="K14411" s="12" t="s">
        <v>27564</v>
      </c>
      <c r="L14411" s="20">
        <v>0.45833333333333331</v>
      </c>
    </row>
    <row r="14412" spans="1:12" x14ac:dyDescent="0.45">
      <c r="A14412" s="12" t="s">
        <v>27469</v>
      </c>
      <c r="B14412" s="12" t="s">
        <v>1540</v>
      </c>
      <c r="C14412" s="13" t="s">
        <v>1541</v>
      </c>
      <c r="D14412" s="13" t="s">
        <v>83</v>
      </c>
      <c r="E14412" s="12" t="s">
        <v>35</v>
      </c>
      <c r="F14412" s="14">
        <v>57000</v>
      </c>
      <c r="G14412" s="14">
        <v>45100</v>
      </c>
      <c r="H14412" s="13" t="s">
        <v>27565</v>
      </c>
      <c r="I14412" s="40" t="s">
        <v>18</v>
      </c>
      <c r="J14412" s="40" t="str">
        <f>HYPERLINK("https://stock.pstatic.net/stock-research/company/2/20250212_company_435105000.pdf","PDF")</f>
        <v>PDF</v>
      </c>
      <c r="K14412" s="12" t="s">
        <v>27566</v>
      </c>
      <c r="L14412" s="20">
        <v>0.26385809312638581</v>
      </c>
    </row>
    <row r="14413" spans="1:12" x14ac:dyDescent="0.45">
      <c r="A14413" s="12" t="s">
        <v>27469</v>
      </c>
      <c r="B14413" s="12" t="s">
        <v>132</v>
      </c>
      <c r="C14413" s="13" t="s">
        <v>133</v>
      </c>
      <c r="D14413" s="13" t="s">
        <v>83</v>
      </c>
      <c r="E14413" s="12" t="s">
        <v>35</v>
      </c>
      <c r="F14413" s="14">
        <v>60000</v>
      </c>
      <c r="G14413" s="14">
        <v>51300</v>
      </c>
      <c r="H14413" s="13" t="s">
        <v>27567</v>
      </c>
      <c r="I14413" s="40" t="s">
        <v>18</v>
      </c>
      <c r="J14413" s="40" t="str">
        <f>HYPERLINK("https://stock.pstatic.net/stock-research/company/2/20250212_company_5211000.pdf","PDF")</f>
        <v>PDF</v>
      </c>
      <c r="K14413" s="12" t="s">
        <v>27568</v>
      </c>
      <c r="L14413" s="20">
        <v>0.16959064327485379</v>
      </c>
    </row>
    <row r="14414" spans="1:12" x14ac:dyDescent="0.45">
      <c r="A14414" s="12" t="s">
        <v>27469</v>
      </c>
      <c r="B14414" s="12" t="s">
        <v>3014</v>
      </c>
      <c r="C14414" s="13" t="s">
        <v>3015</v>
      </c>
      <c r="D14414" s="13" t="s">
        <v>92</v>
      </c>
      <c r="E14414" s="12" t="s">
        <v>35</v>
      </c>
      <c r="F14414" s="14">
        <v>75000</v>
      </c>
      <c r="G14414" s="14">
        <v>54900</v>
      </c>
      <c r="H14414" s="13" t="s">
        <v>27569</v>
      </c>
      <c r="I14414" s="40" t="s">
        <v>18</v>
      </c>
      <c r="J14414" s="40" t="str">
        <f>HYPERLINK("https://stock.pstatic.net/stock-research/company/63/20250212_company_915163000.pdf","PDF")</f>
        <v>PDF</v>
      </c>
      <c r="K14414" s="12" t="s">
        <v>27570</v>
      </c>
      <c r="L14414" s="20">
        <v>0.36612021857923499</v>
      </c>
    </row>
    <row r="14415" spans="1:12" x14ac:dyDescent="0.45">
      <c r="A14415" s="12" t="s">
        <v>27469</v>
      </c>
      <c r="B14415" s="12" t="s">
        <v>2978</v>
      </c>
      <c r="C14415" s="13" t="s">
        <v>2979</v>
      </c>
      <c r="D14415" s="13" t="s">
        <v>179</v>
      </c>
      <c r="E14415" s="12" t="s">
        <v>50</v>
      </c>
      <c r="F14415" s="13"/>
      <c r="G14415" s="14">
        <v>14380</v>
      </c>
      <c r="H14415" s="13" t="s">
        <v>27571</v>
      </c>
      <c r="I14415" s="40" t="s">
        <v>18</v>
      </c>
      <c r="J14415" s="40" t="str">
        <f>HYPERLINK("https://stock.pstatic.net/stock-research/company/64/20250212_company_283492000.pdf","PDF")</f>
        <v>PDF</v>
      </c>
      <c r="K14415" s="12" t="s">
        <v>27572</v>
      </c>
    </row>
    <row r="14416" spans="1:12" x14ac:dyDescent="0.45">
      <c r="A14416" s="12" t="s">
        <v>27469</v>
      </c>
      <c r="B14416" s="12" t="s">
        <v>1773</v>
      </c>
      <c r="C14416" s="13" t="s">
        <v>1774</v>
      </c>
      <c r="D14416" s="13" t="s">
        <v>34</v>
      </c>
      <c r="E14416" s="12" t="s">
        <v>35</v>
      </c>
      <c r="F14416" s="14">
        <v>120000</v>
      </c>
      <c r="G14416" s="14">
        <v>88900</v>
      </c>
      <c r="H14416" s="13" t="s">
        <v>27573</v>
      </c>
      <c r="I14416" s="40" t="s">
        <v>18</v>
      </c>
      <c r="J14416" s="40" t="str">
        <f>HYPERLINK("https://stock.pstatic.net/stock-research/company/61/20250212_company_597324000.pdf","PDF")</f>
        <v>PDF</v>
      </c>
      <c r="K14416" s="12" t="s">
        <v>27574</v>
      </c>
      <c r="L14416" s="20">
        <v>0.34983127109111362</v>
      </c>
    </row>
    <row r="14417" spans="1:12" x14ac:dyDescent="0.45">
      <c r="A14417" s="12" t="s">
        <v>27469</v>
      </c>
      <c r="B14417" s="12" t="s">
        <v>1930</v>
      </c>
      <c r="C14417" s="13" t="s">
        <v>1931</v>
      </c>
      <c r="D14417" s="13" t="s">
        <v>53</v>
      </c>
      <c r="E14417" s="12" t="s">
        <v>16</v>
      </c>
      <c r="F14417" s="14">
        <v>360000</v>
      </c>
      <c r="G14417" s="14">
        <v>240000</v>
      </c>
      <c r="H14417" s="13" t="s">
        <v>27575</v>
      </c>
      <c r="I14417" s="40" t="s">
        <v>18</v>
      </c>
      <c r="J14417" s="40" t="str">
        <f>HYPERLINK("https://stock.pstatic.net/stock-research/company/40/20250212_company_334501000.pdf","PDF")</f>
        <v>PDF</v>
      </c>
      <c r="K14417" s="12" t="s">
        <v>27576</v>
      </c>
      <c r="L14417" s="20">
        <v>0.5</v>
      </c>
    </row>
    <row r="14418" spans="1:12" x14ac:dyDescent="0.45">
      <c r="A14418" s="12" t="s">
        <v>27469</v>
      </c>
      <c r="B14418" s="12" t="s">
        <v>1906</v>
      </c>
      <c r="C14418" s="13" t="s">
        <v>1907</v>
      </c>
      <c r="D14418" s="13" t="s">
        <v>92</v>
      </c>
      <c r="E14418" s="12" t="s">
        <v>159</v>
      </c>
      <c r="F14418" s="14">
        <v>33000</v>
      </c>
      <c r="G14418" s="14">
        <v>32500</v>
      </c>
      <c r="H14418" s="13" t="s">
        <v>27577</v>
      </c>
      <c r="I14418" s="40" t="s">
        <v>18</v>
      </c>
      <c r="J14418" s="40" t="str">
        <f>HYPERLINK("https://stock.pstatic.net/stock-research/company/63/20250212_company_966893000.pdf","PDF")</f>
        <v>PDF</v>
      </c>
      <c r="K14418" s="12" t="s">
        <v>27578</v>
      </c>
      <c r="L14418" s="20">
        <v>1.5384615384615391E-2</v>
      </c>
    </row>
    <row r="14419" spans="1:12" x14ac:dyDescent="0.45">
      <c r="A14419" s="12" t="s">
        <v>27469</v>
      </c>
      <c r="B14419" s="12" t="s">
        <v>2522</v>
      </c>
      <c r="C14419" s="13" t="s">
        <v>2523</v>
      </c>
      <c r="D14419" s="13" t="s">
        <v>92</v>
      </c>
      <c r="E14419" s="12" t="s">
        <v>35</v>
      </c>
      <c r="F14419" s="14">
        <v>430000</v>
      </c>
      <c r="G14419" s="14">
        <v>375000</v>
      </c>
      <c r="H14419" s="13" t="s">
        <v>27579</v>
      </c>
      <c r="I14419" s="40" t="s">
        <v>18</v>
      </c>
      <c r="J14419" s="40" t="str">
        <f>HYPERLINK("https://stock.pstatic.net/stock-research/company/63/20250212_company_204496000.pdf","PDF")</f>
        <v>PDF</v>
      </c>
      <c r="K14419" s="12" t="s">
        <v>27580</v>
      </c>
      <c r="L14419" s="20">
        <v>0.1466666666666667</v>
      </c>
    </row>
    <row r="14420" spans="1:12" x14ac:dyDescent="0.45">
      <c r="A14420" s="12" t="s">
        <v>27469</v>
      </c>
      <c r="B14420" s="12" t="s">
        <v>1019</v>
      </c>
      <c r="C14420" s="13" t="s">
        <v>1020</v>
      </c>
      <c r="D14420" s="13" t="s">
        <v>179</v>
      </c>
      <c r="E14420" s="12" t="s">
        <v>16</v>
      </c>
      <c r="F14420" s="14">
        <v>16000</v>
      </c>
      <c r="G14420" s="14">
        <v>7900</v>
      </c>
      <c r="H14420" s="13" t="s">
        <v>27581</v>
      </c>
      <c r="I14420" s="40" t="s">
        <v>18</v>
      </c>
      <c r="J14420" s="40" t="str">
        <f>HYPERLINK("https://stock.pstatic.net/stock-research/company/31/20250212_company_222743000.pdf","PDF")</f>
        <v>PDF</v>
      </c>
      <c r="K14420" s="12" t="s">
        <v>27582</v>
      </c>
      <c r="L14420" s="20">
        <v>1.025316455696202</v>
      </c>
    </row>
    <row r="14421" spans="1:12" x14ac:dyDescent="0.45">
      <c r="A14421" s="12" t="s">
        <v>27469</v>
      </c>
      <c r="B14421" s="12" t="s">
        <v>22333</v>
      </c>
      <c r="C14421" s="13" t="s">
        <v>22334</v>
      </c>
      <c r="D14421" s="13" t="s">
        <v>53</v>
      </c>
      <c r="E14421" s="12" t="s">
        <v>16</v>
      </c>
      <c r="F14421" s="14">
        <v>74000</v>
      </c>
      <c r="G14421" s="14">
        <v>47900</v>
      </c>
      <c r="H14421" s="13" t="s">
        <v>27583</v>
      </c>
      <c r="I14421" s="40" t="s">
        <v>18</v>
      </c>
      <c r="J14421" s="40" t="str">
        <f>HYPERLINK("https://stock.pstatic.net/stock-research/company/1/20250212_company_848414000.pdf","PDF")</f>
        <v>PDF</v>
      </c>
      <c r="K14421" s="12" t="s">
        <v>27584</v>
      </c>
      <c r="L14421" s="20">
        <v>0.54488517745302711</v>
      </c>
    </row>
    <row r="14422" spans="1:12" x14ac:dyDescent="0.45">
      <c r="A14422" s="12" t="s">
        <v>27469</v>
      </c>
      <c r="B14422" s="12" t="s">
        <v>27585</v>
      </c>
      <c r="C14422" s="13" t="s">
        <v>27586</v>
      </c>
      <c r="D14422" s="13" t="s">
        <v>179</v>
      </c>
      <c r="E14422" s="12" t="s">
        <v>50</v>
      </c>
      <c r="F14422" s="13"/>
      <c r="G14422" s="14">
        <v>4670</v>
      </c>
      <c r="H14422" s="13" t="s">
        <v>27587</v>
      </c>
      <c r="I14422" s="40" t="s">
        <v>18</v>
      </c>
      <c r="J14422" s="40" t="str">
        <f>HYPERLINK("https://stock.pstatic.net/stock-research/company/31/20250212_company_621571000.pdf","PDF")</f>
        <v>PDF</v>
      </c>
      <c r="K14422" s="12" t="s">
        <v>27588</v>
      </c>
    </row>
    <row r="14423" spans="1:12" x14ac:dyDescent="0.45">
      <c r="A14423" s="12" t="s">
        <v>27469</v>
      </c>
      <c r="B14423" s="12" t="s">
        <v>118</v>
      </c>
      <c r="C14423" s="13" t="s">
        <v>119</v>
      </c>
      <c r="D14423" s="13" t="s">
        <v>23</v>
      </c>
      <c r="E14423" s="12" t="s">
        <v>50</v>
      </c>
      <c r="F14423" s="14">
        <v>67000</v>
      </c>
      <c r="G14423" s="14">
        <v>67300</v>
      </c>
      <c r="H14423" s="13" t="s">
        <v>27589</v>
      </c>
      <c r="I14423" s="40" t="s">
        <v>18</v>
      </c>
      <c r="J14423" s="40" t="str">
        <f>HYPERLINK("https://stock.pstatic.net/stock-research/company/21/20250212_company_161118000.pdf","PDF")</f>
        <v>PDF</v>
      </c>
      <c r="K14423" s="12" t="s">
        <v>27590</v>
      </c>
      <c r="L14423" s="20">
        <v>-4.4576523031203564E-3</v>
      </c>
    </row>
    <row r="14424" spans="1:12" x14ac:dyDescent="0.45">
      <c r="A14424" s="12" t="s">
        <v>27469</v>
      </c>
      <c r="B14424" s="12" t="s">
        <v>1097</v>
      </c>
      <c r="C14424" s="13" t="s">
        <v>1098</v>
      </c>
      <c r="D14424" s="13" t="s">
        <v>23</v>
      </c>
      <c r="E14424" s="12" t="s">
        <v>16</v>
      </c>
      <c r="F14424" s="14">
        <v>150000</v>
      </c>
      <c r="G14424" s="14">
        <v>101400</v>
      </c>
      <c r="H14424" s="13" t="s">
        <v>27591</v>
      </c>
      <c r="I14424" s="40" t="s">
        <v>18</v>
      </c>
      <c r="J14424" s="40" t="str">
        <f>HYPERLINK("https://stock.pstatic.net/stock-research/company/21/20250212_company_831795000.pdf","PDF")</f>
        <v>PDF</v>
      </c>
      <c r="K14424" s="12" t="s">
        <v>27592</v>
      </c>
      <c r="L14424" s="20">
        <v>0.47928994082840243</v>
      </c>
    </row>
    <row r="14425" spans="1:12" x14ac:dyDescent="0.45">
      <c r="A14425" s="12" t="s">
        <v>27469</v>
      </c>
      <c r="B14425" s="12" t="s">
        <v>1069</v>
      </c>
      <c r="C14425" s="13" t="s">
        <v>1070</v>
      </c>
      <c r="D14425" s="13" t="s">
        <v>23</v>
      </c>
      <c r="E14425" s="12" t="s">
        <v>16</v>
      </c>
      <c r="F14425" s="14">
        <v>39000</v>
      </c>
      <c r="G14425" s="14">
        <v>35250</v>
      </c>
      <c r="H14425" s="13" t="s">
        <v>27593</v>
      </c>
      <c r="I14425" s="40" t="s">
        <v>18</v>
      </c>
      <c r="J14425" s="40" t="str">
        <f>HYPERLINK("https://stock.pstatic.net/stock-research/company/21/20250212_company_374790000.pdf","PDF")</f>
        <v>PDF</v>
      </c>
      <c r="K14425" s="12" t="s">
        <v>27594</v>
      </c>
      <c r="L14425" s="20">
        <v>0.1063829787234043</v>
      </c>
    </row>
    <row r="14426" spans="1:12" x14ac:dyDescent="0.45">
      <c r="A14426" s="12" t="s">
        <v>27469</v>
      </c>
      <c r="B14426" s="12" t="s">
        <v>3101</v>
      </c>
      <c r="C14426" s="13" t="s">
        <v>3102</v>
      </c>
      <c r="D14426" s="13" t="s">
        <v>53</v>
      </c>
      <c r="E14426" s="12" t="s">
        <v>385</v>
      </c>
      <c r="F14426" s="14">
        <v>115000</v>
      </c>
      <c r="G14426" s="14">
        <v>120700</v>
      </c>
      <c r="H14426" s="13" t="s">
        <v>27595</v>
      </c>
      <c r="I14426" s="40" t="s">
        <v>18</v>
      </c>
      <c r="J14426" s="40" t="str">
        <f>HYPERLINK("https://stock.pstatic.net/stock-research/company/1/20250212_company_97753000.pdf","PDF")</f>
        <v>PDF</v>
      </c>
      <c r="K14426" s="12" t="s">
        <v>27596</v>
      </c>
      <c r="L14426" s="20">
        <v>-4.7224523612261808E-2</v>
      </c>
    </row>
    <row r="14427" spans="1:12" x14ac:dyDescent="0.45">
      <c r="A14427" s="12" t="s">
        <v>27469</v>
      </c>
      <c r="B14427" s="12" t="s">
        <v>1930</v>
      </c>
      <c r="C14427" s="13" t="s">
        <v>1931</v>
      </c>
      <c r="D14427" s="13" t="s">
        <v>23</v>
      </c>
      <c r="E14427" s="12" t="s">
        <v>16</v>
      </c>
      <c r="F14427" s="14">
        <v>370000</v>
      </c>
      <c r="G14427" s="14">
        <v>240000</v>
      </c>
      <c r="H14427" s="13" t="s">
        <v>27597</v>
      </c>
      <c r="I14427" s="40" t="s">
        <v>18</v>
      </c>
      <c r="J14427" s="40" t="str">
        <f>HYPERLINK("https://stock.pstatic.net/stock-research/company/21/20250212_company_788866000.pdf","PDF")</f>
        <v>PDF</v>
      </c>
      <c r="K14427" s="12" t="s">
        <v>27598</v>
      </c>
      <c r="L14427" s="20">
        <v>0.54166666666666663</v>
      </c>
    </row>
    <row r="14428" spans="1:12" x14ac:dyDescent="0.45">
      <c r="A14428" s="12" t="s">
        <v>27469</v>
      </c>
      <c r="B14428" s="12" t="s">
        <v>5373</v>
      </c>
      <c r="C14428" s="13" t="s">
        <v>5374</v>
      </c>
      <c r="D14428" s="13" t="s">
        <v>179</v>
      </c>
      <c r="E14428" s="12" t="s">
        <v>16</v>
      </c>
      <c r="F14428" s="14">
        <v>14000</v>
      </c>
      <c r="G14428" s="14">
        <v>9640</v>
      </c>
      <c r="H14428" s="13" t="s">
        <v>27599</v>
      </c>
      <c r="I14428" s="40" t="s">
        <v>18</v>
      </c>
      <c r="J14428" s="40" t="str">
        <f>HYPERLINK("https://stock.pstatic.net/stock-research/company/31/20250212_company_107775000.pdf","PDF")</f>
        <v>PDF</v>
      </c>
      <c r="K14428" s="12" t="s">
        <v>27600</v>
      </c>
      <c r="L14428" s="20">
        <v>0.45228215767634861</v>
      </c>
    </row>
    <row r="14429" spans="1:12" x14ac:dyDescent="0.45">
      <c r="A14429" s="12" t="s">
        <v>27469</v>
      </c>
      <c r="B14429" s="12" t="s">
        <v>3101</v>
      </c>
      <c r="C14429" s="13" t="s">
        <v>3102</v>
      </c>
      <c r="D14429" s="13" t="s">
        <v>23</v>
      </c>
      <c r="E14429" s="12" t="s">
        <v>16</v>
      </c>
      <c r="F14429" s="14">
        <v>150000</v>
      </c>
      <c r="G14429" s="14">
        <v>120700</v>
      </c>
      <c r="H14429" s="13" t="s">
        <v>2130</v>
      </c>
      <c r="I14429" s="40" t="s">
        <v>18</v>
      </c>
      <c r="J14429" s="40" t="str">
        <f>HYPERLINK("https://stock.pstatic.net/stock-research/company/21/20250212_company_314085000.pdf","PDF")</f>
        <v>PDF</v>
      </c>
      <c r="K14429" s="12" t="s">
        <v>27601</v>
      </c>
      <c r="L14429" s="20">
        <v>0.2427506213753107</v>
      </c>
    </row>
    <row r="14430" spans="1:12" x14ac:dyDescent="0.45">
      <c r="A14430" s="12" t="s">
        <v>27469</v>
      </c>
      <c r="B14430" s="12" t="s">
        <v>132</v>
      </c>
      <c r="C14430" s="13" t="s">
        <v>133</v>
      </c>
      <c r="D14430" s="13" t="s">
        <v>23</v>
      </c>
      <c r="E14430" s="12" t="s">
        <v>16</v>
      </c>
      <c r="F14430" s="14">
        <v>60000</v>
      </c>
      <c r="G14430" s="14">
        <v>51300</v>
      </c>
      <c r="H14430" s="13" t="s">
        <v>23304</v>
      </c>
      <c r="I14430" s="40" t="s">
        <v>18</v>
      </c>
      <c r="J14430" s="40" t="str">
        <f>HYPERLINK("https://stock.pstatic.net/stock-research/company/21/20250212_company_355350000.pdf","PDF")</f>
        <v>PDF</v>
      </c>
      <c r="K14430" s="12" t="s">
        <v>27602</v>
      </c>
      <c r="L14430" s="20">
        <v>0.16959064327485379</v>
      </c>
    </row>
    <row r="14431" spans="1:12" x14ac:dyDescent="0.45">
      <c r="A14431" s="12" t="s">
        <v>27469</v>
      </c>
      <c r="B14431" s="12" t="s">
        <v>2550</v>
      </c>
      <c r="C14431" s="13" t="s">
        <v>25087</v>
      </c>
      <c r="D14431" s="13" t="s">
        <v>92</v>
      </c>
      <c r="E14431" s="12" t="s">
        <v>35</v>
      </c>
      <c r="F14431" s="14">
        <v>21000</v>
      </c>
      <c r="G14431" s="14">
        <v>13780</v>
      </c>
      <c r="H14431" s="13" t="s">
        <v>27603</v>
      </c>
      <c r="I14431" s="40" t="s">
        <v>18</v>
      </c>
      <c r="J14431" s="40" t="str">
        <f>HYPERLINK("https://stock.pstatic.net/stock-research/company/63/20250212_company_431466000.pdf","PDF")</f>
        <v>PDF</v>
      </c>
      <c r="K14431" s="12" t="s">
        <v>27604</v>
      </c>
      <c r="L14431" s="20">
        <v>0.52394775036284469</v>
      </c>
    </row>
    <row r="14432" spans="1:12" x14ac:dyDescent="0.45">
      <c r="A14432" s="12" t="s">
        <v>27469</v>
      </c>
      <c r="B14432" s="12" t="s">
        <v>1741</v>
      </c>
      <c r="C14432" s="13" t="s">
        <v>1742</v>
      </c>
      <c r="D14432" s="13" t="s">
        <v>179</v>
      </c>
      <c r="E14432" s="12" t="s">
        <v>16</v>
      </c>
      <c r="F14432" s="14">
        <v>82000</v>
      </c>
      <c r="G14432" s="14">
        <v>58500</v>
      </c>
      <c r="H14432" s="13" t="s">
        <v>27605</v>
      </c>
      <c r="I14432" s="40" t="s">
        <v>18</v>
      </c>
      <c r="J14432" s="40" t="str">
        <f>HYPERLINK("https://stock.pstatic.net/stock-research/company/31/20250212_company_268835000.pdf","PDF")</f>
        <v>PDF</v>
      </c>
      <c r="K14432" s="12" t="s">
        <v>27606</v>
      </c>
      <c r="L14432" s="20">
        <v>0.40170940170940173</v>
      </c>
    </row>
    <row r="14433" spans="1:12" x14ac:dyDescent="0.45">
      <c r="A14433" s="12" t="s">
        <v>27469</v>
      </c>
      <c r="B14433" s="12" t="s">
        <v>1540</v>
      </c>
      <c r="C14433" s="13" t="s">
        <v>1541</v>
      </c>
      <c r="D14433" s="13" t="s">
        <v>23</v>
      </c>
      <c r="E14433" s="12" t="s">
        <v>16</v>
      </c>
      <c r="F14433" s="14">
        <v>58000</v>
      </c>
      <c r="G14433" s="14">
        <v>45100</v>
      </c>
      <c r="H14433" s="13" t="s">
        <v>27607</v>
      </c>
      <c r="I14433" s="40" t="s">
        <v>18</v>
      </c>
      <c r="J14433" s="40" t="str">
        <f>HYPERLINK("https://stock.pstatic.net/stock-research/company/21/20250212_company_604214000.pdf","PDF")</f>
        <v>PDF</v>
      </c>
      <c r="K14433" s="12" t="s">
        <v>27608</v>
      </c>
      <c r="L14433" s="20">
        <v>0.28603104212860309</v>
      </c>
    </row>
    <row r="14434" spans="1:12" x14ac:dyDescent="0.45">
      <c r="A14434" s="12" t="s">
        <v>27469</v>
      </c>
      <c r="B14434" s="12" t="s">
        <v>22188</v>
      </c>
      <c r="C14434" s="13" t="s">
        <v>22189</v>
      </c>
      <c r="D14434" s="13" t="s">
        <v>179</v>
      </c>
      <c r="E14434" s="12" t="s">
        <v>50</v>
      </c>
      <c r="F14434" s="13"/>
      <c r="G14434" s="14">
        <v>7890</v>
      </c>
      <c r="H14434" s="13" t="s">
        <v>27609</v>
      </c>
      <c r="I14434" s="40" t="s">
        <v>18</v>
      </c>
      <c r="J14434" s="40" t="str">
        <f>HYPERLINK("https://stock.pstatic.net/stock-research/company/31/20250212_company_920413000.pdf","PDF")</f>
        <v>PDF</v>
      </c>
      <c r="K14434" s="12" t="s">
        <v>27610</v>
      </c>
    </row>
    <row r="14435" spans="1:12" x14ac:dyDescent="0.45">
      <c r="A14435" s="12" t="s">
        <v>27469</v>
      </c>
      <c r="B14435" s="12" t="s">
        <v>2644</v>
      </c>
      <c r="C14435" s="13" t="s">
        <v>2645</v>
      </c>
      <c r="D14435" s="13" t="s">
        <v>92</v>
      </c>
      <c r="E14435" s="12" t="s">
        <v>35</v>
      </c>
      <c r="F14435" s="14">
        <v>30000</v>
      </c>
      <c r="G14435" s="14">
        <v>21050</v>
      </c>
      <c r="H14435" s="13" t="s">
        <v>27611</v>
      </c>
      <c r="I14435" s="40" t="s">
        <v>18</v>
      </c>
      <c r="J14435" s="40" t="str">
        <f>HYPERLINK("https://stock.pstatic.net/stock-research/company/63/20250212_company_10915000.pdf","PDF")</f>
        <v>PDF</v>
      </c>
      <c r="K14435" s="12" t="s">
        <v>27612</v>
      </c>
      <c r="L14435" s="20">
        <v>0.42517814726840852</v>
      </c>
    </row>
    <row r="14436" spans="1:12" x14ac:dyDescent="0.45">
      <c r="A14436" s="12" t="s">
        <v>27469</v>
      </c>
      <c r="B14436" s="12" t="s">
        <v>3014</v>
      </c>
      <c r="C14436" s="13" t="s">
        <v>3015</v>
      </c>
      <c r="D14436" s="13" t="s">
        <v>34</v>
      </c>
      <c r="E14436" s="12" t="s">
        <v>35</v>
      </c>
      <c r="F14436" s="14">
        <v>77000</v>
      </c>
      <c r="G14436" s="14">
        <v>54900</v>
      </c>
      <c r="H14436" s="13" t="s">
        <v>27613</v>
      </c>
      <c r="I14436" s="40" t="s">
        <v>18</v>
      </c>
      <c r="J14436" s="40" t="str">
        <f>HYPERLINK("https://stock.pstatic.net/stock-research/company/61/20250212_company_898647000.pdf","PDF")</f>
        <v>PDF</v>
      </c>
      <c r="K14436" s="12" t="s">
        <v>27614</v>
      </c>
      <c r="L14436" s="20">
        <v>0.40255009107468132</v>
      </c>
    </row>
    <row r="14437" spans="1:12" x14ac:dyDescent="0.45">
      <c r="A14437" s="12" t="s">
        <v>27469</v>
      </c>
      <c r="B14437" s="12" t="s">
        <v>3093</v>
      </c>
      <c r="C14437" s="13" t="s">
        <v>3094</v>
      </c>
      <c r="D14437" s="13" t="s">
        <v>23</v>
      </c>
      <c r="E14437" s="12" t="s">
        <v>16</v>
      </c>
      <c r="F14437" s="14">
        <v>7800</v>
      </c>
      <c r="G14437" s="14">
        <v>6060</v>
      </c>
      <c r="H14437" s="13" t="s">
        <v>27615</v>
      </c>
      <c r="I14437" s="40" t="s">
        <v>18</v>
      </c>
      <c r="J14437" s="40" t="str">
        <f>HYPERLINK("https://stock.pstatic.net/stock-research/company/21/20250212_company_559923000.pdf","PDF")</f>
        <v>PDF</v>
      </c>
      <c r="K14437" s="12" t="s">
        <v>27616</v>
      </c>
      <c r="L14437" s="20">
        <v>0.28712871287128711</v>
      </c>
    </row>
    <row r="14438" spans="1:12" x14ac:dyDescent="0.45">
      <c r="A14438" s="12" t="s">
        <v>27469</v>
      </c>
      <c r="B14438" s="12" t="s">
        <v>3014</v>
      </c>
      <c r="C14438" s="13" t="s">
        <v>3015</v>
      </c>
      <c r="D14438" s="13" t="s">
        <v>23</v>
      </c>
      <c r="E14438" s="12" t="s">
        <v>16</v>
      </c>
      <c r="F14438" s="14">
        <v>75000</v>
      </c>
      <c r="G14438" s="14">
        <v>54600</v>
      </c>
      <c r="H14438" s="13" t="s">
        <v>27617</v>
      </c>
      <c r="I14438" s="40" t="s">
        <v>18</v>
      </c>
      <c r="J14438" s="40" t="str">
        <f>HYPERLINK("https://stock.pstatic.net/stock-research/company/21/20250212_company_402725000.pdf","PDF")</f>
        <v>PDF</v>
      </c>
      <c r="K14438" s="12" t="s">
        <v>27618</v>
      </c>
      <c r="L14438" s="20">
        <v>0.37362637362637358</v>
      </c>
    </row>
    <row r="14439" spans="1:12" x14ac:dyDescent="0.45">
      <c r="A14439" s="12" t="s">
        <v>27469</v>
      </c>
      <c r="B14439" s="12" t="s">
        <v>1906</v>
      </c>
      <c r="C14439" s="13" t="s">
        <v>1907</v>
      </c>
      <c r="D14439" s="13" t="s">
        <v>23</v>
      </c>
      <c r="E14439" s="12" t="s">
        <v>16</v>
      </c>
      <c r="F14439" s="14">
        <v>42000</v>
      </c>
      <c r="G14439" s="14">
        <v>32500</v>
      </c>
      <c r="H14439" s="13" t="s">
        <v>27619</v>
      </c>
      <c r="I14439" s="40" t="s">
        <v>18</v>
      </c>
      <c r="J14439" s="40" t="str">
        <f>HYPERLINK("https://stock.pstatic.net/stock-research/company/21/20250212_company_652125000.pdf","PDF")</f>
        <v>PDF</v>
      </c>
      <c r="K14439" s="12" t="s">
        <v>27620</v>
      </c>
      <c r="L14439" s="20">
        <v>0.29230769230769232</v>
      </c>
    </row>
    <row r="14440" spans="1:12" x14ac:dyDescent="0.45">
      <c r="A14440" s="12" t="s">
        <v>27469</v>
      </c>
      <c r="B14440" s="12" t="s">
        <v>2522</v>
      </c>
      <c r="C14440" s="13" t="s">
        <v>2523</v>
      </c>
      <c r="D14440" s="13" t="s">
        <v>15</v>
      </c>
      <c r="E14440" s="12" t="s">
        <v>16</v>
      </c>
      <c r="F14440" s="14">
        <v>450000</v>
      </c>
      <c r="G14440" s="14">
        <v>375000</v>
      </c>
      <c r="H14440" s="13" t="s">
        <v>27621</v>
      </c>
      <c r="I14440" s="40" t="s">
        <v>18</v>
      </c>
      <c r="J14440" s="40" t="str">
        <f>HYPERLINK("https://stock.pstatic.net/stock-research/company/29/20250212_company_172773000.pdf","PDF")</f>
        <v>PDF</v>
      </c>
      <c r="K14440" s="12" t="s">
        <v>27622</v>
      </c>
      <c r="L14440" s="20">
        <v>0.2</v>
      </c>
    </row>
    <row r="14441" spans="1:12" x14ac:dyDescent="0.45">
      <c r="A14441" s="12" t="s">
        <v>27469</v>
      </c>
      <c r="B14441" s="12" t="s">
        <v>752</v>
      </c>
      <c r="C14441" s="13" t="s">
        <v>753</v>
      </c>
      <c r="D14441" s="13" t="s">
        <v>23</v>
      </c>
      <c r="E14441" s="12" t="s">
        <v>16</v>
      </c>
      <c r="F14441" s="14">
        <v>100000</v>
      </c>
      <c r="G14441" s="14">
        <v>73800</v>
      </c>
      <c r="H14441" s="13" t="s">
        <v>27623</v>
      </c>
      <c r="I14441" s="40" t="s">
        <v>18</v>
      </c>
      <c r="J14441" s="40" t="str">
        <f>HYPERLINK("https://stock.pstatic.net/stock-research/company/21/20250212_company_570841000.pdf","PDF")</f>
        <v>PDF</v>
      </c>
      <c r="K14441" s="12" t="s">
        <v>27624</v>
      </c>
      <c r="L14441" s="20">
        <v>0.35501355013550129</v>
      </c>
    </row>
    <row r="14442" spans="1:12" x14ac:dyDescent="0.45">
      <c r="A14442" s="12" t="s">
        <v>27469</v>
      </c>
      <c r="B14442" s="12" t="s">
        <v>2522</v>
      </c>
      <c r="C14442" s="13" t="s">
        <v>2523</v>
      </c>
      <c r="D14442" s="13" t="s">
        <v>179</v>
      </c>
      <c r="E14442" s="12" t="s">
        <v>16</v>
      </c>
      <c r="F14442" s="14">
        <v>500000</v>
      </c>
      <c r="G14442" s="14">
        <v>375000</v>
      </c>
      <c r="H14442" s="13" t="s">
        <v>27625</v>
      </c>
      <c r="I14442" s="40" t="s">
        <v>18</v>
      </c>
      <c r="J14442" s="40" t="str">
        <f>HYPERLINK("https://stock.pstatic.net/stock-research/company/31/20250212_company_257184000.pdf","PDF")</f>
        <v>PDF</v>
      </c>
      <c r="K14442" s="12" t="s">
        <v>27626</v>
      </c>
      <c r="L14442" s="20">
        <v>0.33333333333333331</v>
      </c>
    </row>
    <row r="14443" spans="1:12" x14ac:dyDescent="0.45">
      <c r="A14443" s="12" t="s">
        <v>27469</v>
      </c>
      <c r="B14443" s="12" t="s">
        <v>1097</v>
      </c>
      <c r="C14443" s="13" t="s">
        <v>1098</v>
      </c>
      <c r="D14443" s="13" t="s">
        <v>53</v>
      </c>
      <c r="E14443" s="12" t="s">
        <v>16</v>
      </c>
      <c r="F14443" s="14">
        <v>160000</v>
      </c>
      <c r="G14443" s="14">
        <v>101400</v>
      </c>
      <c r="H14443" s="13" t="s">
        <v>27627</v>
      </c>
      <c r="I14443" s="40" t="s">
        <v>18</v>
      </c>
      <c r="J14443" s="40" t="str">
        <f>HYPERLINK("https://stock.pstatic.net/stock-research/company/40/20250212_company_867041000.pdf","PDF")</f>
        <v>PDF</v>
      </c>
      <c r="K14443" s="12" t="s">
        <v>27628</v>
      </c>
      <c r="L14443" s="20">
        <v>0.57790927021696248</v>
      </c>
    </row>
    <row r="14444" spans="1:12" x14ac:dyDescent="0.45">
      <c r="A14444" s="12" t="s">
        <v>27469</v>
      </c>
      <c r="B14444" s="12" t="s">
        <v>7544</v>
      </c>
      <c r="C14444" s="13" t="s">
        <v>7545</v>
      </c>
      <c r="D14444" s="13" t="s">
        <v>23</v>
      </c>
      <c r="E14444" s="12" t="s">
        <v>16</v>
      </c>
      <c r="F14444" s="14">
        <v>44000</v>
      </c>
      <c r="G14444" s="14">
        <v>30200</v>
      </c>
      <c r="H14444" s="13" t="s">
        <v>27629</v>
      </c>
      <c r="I14444" s="40" t="s">
        <v>18</v>
      </c>
      <c r="J14444" s="40" t="str">
        <f>HYPERLINK("https://stock.pstatic.net/stock-research/company/21/20250212_company_584825000.pdf","PDF")</f>
        <v>PDF</v>
      </c>
      <c r="K14444" s="12" t="s">
        <v>27630</v>
      </c>
      <c r="L14444" s="20">
        <v>0.45695364238410602</v>
      </c>
    </row>
    <row r="14445" spans="1:12" x14ac:dyDescent="0.45">
      <c r="A14445" s="12" t="s">
        <v>27469</v>
      </c>
      <c r="B14445" s="12" t="s">
        <v>3101</v>
      </c>
      <c r="C14445" s="13" t="s">
        <v>3102</v>
      </c>
      <c r="D14445" s="13" t="s">
        <v>34</v>
      </c>
      <c r="E14445" s="12" t="s">
        <v>159</v>
      </c>
      <c r="F14445" s="14">
        <v>110000</v>
      </c>
      <c r="G14445" s="14">
        <v>120700</v>
      </c>
      <c r="H14445" s="13" t="s">
        <v>27631</v>
      </c>
      <c r="I14445" s="40" t="s">
        <v>18</v>
      </c>
      <c r="J14445" s="40" t="str">
        <f>HYPERLINK("https://stock.pstatic.net/stock-research/company/61/20250212_company_181609000.pdf","PDF")</f>
        <v>PDF</v>
      </c>
      <c r="K14445" s="12" t="s">
        <v>27632</v>
      </c>
      <c r="L14445" s="20">
        <v>-8.8649544324772164E-2</v>
      </c>
    </row>
    <row r="14446" spans="1:12" x14ac:dyDescent="0.45">
      <c r="A14446" s="12" t="s">
        <v>27469</v>
      </c>
      <c r="B14446" s="12" t="s">
        <v>1906</v>
      </c>
      <c r="C14446" s="13" t="s">
        <v>1907</v>
      </c>
      <c r="D14446" s="13" t="s">
        <v>179</v>
      </c>
      <c r="E14446" s="12" t="s">
        <v>16</v>
      </c>
      <c r="F14446" s="14">
        <v>45000</v>
      </c>
      <c r="G14446" s="14">
        <v>32500</v>
      </c>
      <c r="H14446" s="13" t="s">
        <v>27633</v>
      </c>
      <c r="I14446" s="40" t="s">
        <v>18</v>
      </c>
      <c r="J14446" s="40" t="str">
        <f>HYPERLINK("https://stock.pstatic.net/stock-research/company/31/20250212_company_714064000.pdf","PDF")</f>
        <v>PDF</v>
      </c>
      <c r="K14446" s="12" t="s">
        <v>27634</v>
      </c>
      <c r="L14446" s="20">
        <v>0.38461538461538458</v>
      </c>
    </row>
    <row r="14447" spans="1:12" x14ac:dyDescent="0.45">
      <c r="A14447" s="12" t="s">
        <v>27469</v>
      </c>
      <c r="B14447" s="12" t="s">
        <v>118</v>
      </c>
      <c r="C14447" s="13" t="s">
        <v>119</v>
      </c>
      <c r="D14447" s="13" t="s">
        <v>53</v>
      </c>
      <c r="E14447" s="12" t="s">
        <v>16</v>
      </c>
      <c r="F14447" s="14">
        <v>83000</v>
      </c>
      <c r="G14447" s="14">
        <v>67300</v>
      </c>
      <c r="H14447" s="13" t="s">
        <v>27635</v>
      </c>
      <c r="I14447" s="40" t="s">
        <v>18</v>
      </c>
      <c r="J14447" s="40" t="str">
        <f>HYPERLINK("https://stock.pstatic.net/stock-research/company/40/20250212_company_824637000.pdf","PDF")</f>
        <v>PDF</v>
      </c>
      <c r="K14447" s="12" t="s">
        <v>27636</v>
      </c>
      <c r="L14447" s="20">
        <v>0.23328380386329869</v>
      </c>
    </row>
    <row r="14448" spans="1:12" x14ac:dyDescent="0.45">
      <c r="A14448" s="12" t="s">
        <v>27469</v>
      </c>
      <c r="B14448" s="12" t="s">
        <v>3101</v>
      </c>
      <c r="C14448" s="13" t="s">
        <v>3102</v>
      </c>
      <c r="D14448" s="13" t="s">
        <v>44</v>
      </c>
      <c r="E14448" s="12" t="s">
        <v>45</v>
      </c>
      <c r="F14448" s="14">
        <v>135000</v>
      </c>
      <c r="G14448" s="14">
        <v>120700</v>
      </c>
      <c r="H14448" s="13" t="s">
        <v>27637</v>
      </c>
      <c r="I14448" s="40" t="s">
        <v>18</v>
      </c>
      <c r="J14448" s="40" t="str">
        <f>HYPERLINK("https://stock.pstatic.net/stock-research/company/39/20250212_company_362595000.pdf","PDF")</f>
        <v>PDF</v>
      </c>
      <c r="K14448" s="12" t="s">
        <v>27638</v>
      </c>
      <c r="L14448" s="20">
        <v>0.1184755592377796</v>
      </c>
    </row>
    <row r="14449" spans="1:12" x14ac:dyDescent="0.45">
      <c r="A14449" s="12" t="s">
        <v>27469</v>
      </c>
      <c r="B14449" s="12" t="s">
        <v>1817</v>
      </c>
      <c r="C14449" s="13" t="s">
        <v>1818</v>
      </c>
      <c r="D14449" s="13" t="s">
        <v>92</v>
      </c>
      <c r="E14449" s="12" t="s">
        <v>35</v>
      </c>
      <c r="F14449" s="14">
        <v>50000</v>
      </c>
      <c r="G14449" s="14">
        <v>39700</v>
      </c>
      <c r="H14449" s="13" t="s">
        <v>27639</v>
      </c>
      <c r="I14449" s="40" t="s">
        <v>18</v>
      </c>
      <c r="J14449" s="40" t="str">
        <f>HYPERLINK("https://stock.pstatic.net/stock-research/company/63/20250212_company_638599000.pdf","PDF")</f>
        <v>PDF</v>
      </c>
      <c r="K14449" s="12" t="s">
        <v>27640</v>
      </c>
      <c r="L14449" s="20">
        <v>0.25944584382871538</v>
      </c>
    </row>
    <row r="14450" spans="1:12" x14ac:dyDescent="0.45">
      <c r="A14450" s="12" t="s">
        <v>27469</v>
      </c>
      <c r="B14450" s="12" t="s">
        <v>118</v>
      </c>
      <c r="C14450" s="13" t="s">
        <v>119</v>
      </c>
      <c r="D14450" s="13" t="s">
        <v>44</v>
      </c>
      <c r="E14450" s="12" t="s">
        <v>50</v>
      </c>
      <c r="F14450" s="13"/>
      <c r="G14450" s="13"/>
      <c r="H14450" s="13" t="s">
        <v>27641</v>
      </c>
      <c r="I14450" s="40" t="s">
        <v>18</v>
      </c>
      <c r="J14450" s="40" t="str">
        <f>HYPERLINK("https://stock.pstatic.net/stock-research/company/39/20250212_company_705387000.pdf","PDF")</f>
        <v>PDF</v>
      </c>
      <c r="K14450" s="12" t="s">
        <v>27642</v>
      </c>
    </row>
    <row r="14451" spans="1:12" x14ac:dyDescent="0.45">
      <c r="A14451" s="12" t="s">
        <v>27469</v>
      </c>
      <c r="B14451" s="12" t="s">
        <v>3296</v>
      </c>
      <c r="C14451" s="13" t="s">
        <v>3297</v>
      </c>
      <c r="D14451" s="13" t="s">
        <v>44</v>
      </c>
      <c r="E14451" s="12" t="s">
        <v>35</v>
      </c>
      <c r="F14451" s="14">
        <v>57000</v>
      </c>
      <c r="G14451" s="14">
        <v>36750</v>
      </c>
      <c r="H14451" s="13" t="s">
        <v>27643</v>
      </c>
      <c r="I14451" s="40" t="s">
        <v>18</v>
      </c>
      <c r="J14451" s="40" t="str">
        <f>HYPERLINK("https://stock.pstatic.net/stock-research/company/39/20250212_company_860391000.pdf","PDF")</f>
        <v>PDF</v>
      </c>
      <c r="K14451" s="12" t="s">
        <v>27644</v>
      </c>
      <c r="L14451" s="20">
        <v>0.55102040816326525</v>
      </c>
    </row>
    <row r="14452" spans="1:12" x14ac:dyDescent="0.45">
      <c r="A14452" s="12" t="s">
        <v>27469</v>
      </c>
      <c r="B14452" s="12" t="s">
        <v>2522</v>
      </c>
      <c r="C14452" s="13" t="s">
        <v>2523</v>
      </c>
      <c r="D14452" s="13" t="s">
        <v>23</v>
      </c>
      <c r="E14452" s="12" t="s">
        <v>385</v>
      </c>
      <c r="F14452" s="13"/>
      <c r="G14452" s="14">
        <v>375000</v>
      </c>
      <c r="H14452" s="13" t="s">
        <v>27645</v>
      </c>
      <c r="I14452" s="40" t="s">
        <v>18</v>
      </c>
      <c r="J14452" s="40" t="str">
        <f>HYPERLINK("https://stock.pstatic.net/stock-research/company/21/20250212_company_741843000.pdf","PDF")</f>
        <v>PDF</v>
      </c>
      <c r="K14452" s="12" t="s">
        <v>27646</v>
      </c>
    </row>
    <row r="14453" spans="1:12" x14ac:dyDescent="0.45">
      <c r="A14453" s="12" t="s">
        <v>27469</v>
      </c>
      <c r="B14453" s="12" t="s">
        <v>1144</v>
      </c>
      <c r="C14453" s="13" t="s">
        <v>1145</v>
      </c>
      <c r="D14453" s="13" t="s">
        <v>92</v>
      </c>
      <c r="E14453" s="12" t="s">
        <v>35</v>
      </c>
      <c r="F14453" s="14">
        <v>100000</v>
      </c>
      <c r="G14453" s="14">
        <v>69400</v>
      </c>
      <c r="H14453" s="13" t="s">
        <v>27647</v>
      </c>
      <c r="I14453" s="40" t="s">
        <v>18</v>
      </c>
      <c r="J14453" s="40" t="str">
        <f>HYPERLINK("https://stock.pstatic.net/stock-research/company/63/20250212_company_316597000.pdf","PDF")</f>
        <v>PDF</v>
      </c>
      <c r="K14453" s="12" t="s">
        <v>27648</v>
      </c>
      <c r="L14453" s="20">
        <v>0.44092219020172913</v>
      </c>
    </row>
    <row r="14454" spans="1:12" x14ac:dyDescent="0.45">
      <c r="A14454" s="12" t="s">
        <v>27469</v>
      </c>
      <c r="B14454" s="12" t="s">
        <v>1548</v>
      </c>
      <c r="C14454" s="13" t="s">
        <v>1549</v>
      </c>
      <c r="D14454" s="13" t="s">
        <v>44</v>
      </c>
      <c r="E14454" s="12" t="s">
        <v>35</v>
      </c>
      <c r="F14454" s="14">
        <v>650000</v>
      </c>
      <c r="G14454" s="14">
        <v>498000</v>
      </c>
      <c r="H14454" s="13" t="s">
        <v>27649</v>
      </c>
      <c r="I14454" s="40" t="s">
        <v>18</v>
      </c>
      <c r="J14454" s="40" t="str">
        <f>HYPERLINK("https://stock.pstatic.net/stock-research/company/39/20250212_company_263960000.pdf","PDF")</f>
        <v>PDF</v>
      </c>
      <c r="K14454" s="12" t="s">
        <v>27650</v>
      </c>
      <c r="L14454" s="20">
        <v>0.30522088353413662</v>
      </c>
    </row>
    <row r="14455" spans="1:12" x14ac:dyDescent="0.45">
      <c r="A14455" s="12" t="s">
        <v>27469</v>
      </c>
      <c r="B14455" s="12" t="s">
        <v>4440</v>
      </c>
      <c r="C14455" s="13" t="s">
        <v>4441</v>
      </c>
      <c r="D14455" s="13" t="s">
        <v>44</v>
      </c>
      <c r="E14455" s="12" t="s">
        <v>50</v>
      </c>
      <c r="F14455" s="13"/>
      <c r="G14455" s="14">
        <v>8160</v>
      </c>
      <c r="H14455" s="13" t="s">
        <v>27651</v>
      </c>
      <c r="I14455" s="40" t="s">
        <v>18</v>
      </c>
      <c r="J14455" s="40" t="str">
        <f>HYPERLINK("https://stock.pstatic.net/stock-research/company/39/20250212_company_151192000.pdf","PDF")</f>
        <v>PDF</v>
      </c>
      <c r="K14455" s="12" t="s">
        <v>27652</v>
      </c>
    </row>
    <row r="14456" spans="1:12" x14ac:dyDescent="0.45">
      <c r="A14456" s="12" t="s">
        <v>27469</v>
      </c>
      <c r="B14456" s="12" t="s">
        <v>1548</v>
      </c>
      <c r="C14456" s="13" t="s">
        <v>1549</v>
      </c>
      <c r="D14456" s="13" t="s">
        <v>34</v>
      </c>
      <c r="E14456" s="12" t="s">
        <v>35</v>
      </c>
      <c r="F14456" s="14">
        <v>690000</v>
      </c>
      <c r="G14456" s="14">
        <v>498000</v>
      </c>
      <c r="H14456" s="13" t="s">
        <v>27653</v>
      </c>
      <c r="I14456" s="40" t="s">
        <v>18</v>
      </c>
      <c r="J14456" s="40" t="str">
        <f>HYPERLINK("https://stock.pstatic.net/stock-research/company/61/20250212_company_363169000.pdf","PDF")</f>
        <v>PDF</v>
      </c>
      <c r="K14456" s="12" t="s">
        <v>27654</v>
      </c>
      <c r="L14456" s="20">
        <v>0.38554216867469882</v>
      </c>
    </row>
    <row r="14457" spans="1:12" x14ac:dyDescent="0.45">
      <c r="A14457" s="12" t="s">
        <v>27469</v>
      </c>
      <c r="B14457" s="12" t="s">
        <v>1930</v>
      </c>
      <c r="C14457" s="13" t="s">
        <v>1931</v>
      </c>
      <c r="D14457" s="13" t="s">
        <v>34</v>
      </c>
      <c r="E14457" s="12" t="s">
        <v>35</v>
      </c>
      <c r="F14457" s="14">
        <v>390000</v>
      </c>
      <c r="G14457" s="14">
        <v>240000</v>
      </c>
      <c r="H14457" s="13" t="s">
        <v>27655</v>
      </c>
      <c r="I14457" s="40" t="s">
        <v>18</v>
      </c>
      <c r="J14457" s="40" t="str">
        <f>HYPERLINK("https://stock.pstatic.net/stock-research/company/61/20250212_company_86326000.pdf","PDF")</f>
        <v>PDF</v>
      </c>
      <c r="K14457" s="12" t="s">
        <v>27656</v>
      </c>
      <c r="L14457" s="20">
        <v>0.625</v>
      </c>
    </row>
    <row r="14458" spans="1:12" x14ac:dyDescent="0.45">
      <c r="A14458" s="12" t="s">
        <v>27469</v>
      </c>
      <c r="B14458" s="12" t="s">
        <v>3014</v>
      </c>
      <c r="C14458" s="13" t="s">
        <v>3015</v>
      </c>
      <c r="D14458" s="13" t="s">
        <v>179</v>
      </c>
      <c r="E14458" s="12" t="s">
        <v>16</v>
      </c>
      <c r="F14458" s="14">
        <v>84000</v>
      </c>
      <c r="G14458" s="14">
        <v>54900</v>
      </c>
      <c r="H14458" s="13" t="s">
        <v>27657</v>
      </c>
      <c r="I14458" s="40" t="s">
        <v>18</v>
      </c>
      <c r="J14458" s="40" t="str">
        <f>HYPERLINK("https://stock.pstatic.net/stock-research/company/31/20250212_company_789074000.pdf","PDF")</f>
        <v>PDF</v>
      </c>
      <c r="K14458" s="12" t="s">
        <v>27658</v>
      </c>
      <c r="L14458" s="20">
        <v>0.5300546448087432</v>
      </c>
    </row>
    <row r="14459" spans="1:12" x14ac:dyDescent="0.45">
      <c r="A14459" s="12" t="s">
        <v>27469</v>
      </c>
      <c r="B14459" s="12" t="s">
        <v>1216</v>
      </c>
      <c r="C14459" s="13" t="s">
        <v>1217</v>
      </c>
      <c r="D14459" s="13" t="s">
        <v>124</v>
      </c>
      <c r="E14459" s="12" t="s">
        <v>50</v>
      </c>
      <c r="F14459" s="13"/>
      <c r="G14459" s="13"/>
      <c r="H14459" s="13" t="s">
        <v>27659</v>
      </c>
      <c r="I14459" s="40" t="s">
        <v>18</v>
      </c>
      <c r="J14459" s="40" t="str">
        <f>HYPERLINK("https://stock.pstatic.net/stock-research/company/74/20250212_company_970297000.pdf","PDF")</f>
        <v>PDF</v>
      </c>
      <c r="K14459" s="12" t="s">
        <v>27660</v>
      </c>
    </row>
    <row r="14460" spans="1:12" x14ac:dyDescent="0.45">
      <c r="A14460" s="12" t="s">
        <v>27469</v>
      </c>
      <c r="B14460" s="12" t="s">
        <v>1057</v>
      </c>
      <c r="C14460" s="13" t="s">
        <v>1058</v>
      </c>
      <c r="D14460" s="13" t="s">
        <v>124</v>
      </c>
      <c r="E14460" s="12" t="s">
        <v>50</v>
      </c>
      <c r="F14460" s="13"/>
      <c r="G14460" s="13"/>
      <c r="H14460" s="13" t="s">
        <v>27661</v>
      </c>
      <c r="I14460" s="40" t="s">
        <v>18</v>
      </c>
      <c r="J14460" s="40" t="str">
        <f>HYPERLINK("https://stock.pstatic.net/stock-research/company/74/20250212_company_114330000.pdf","PDF")</f>
        <v>PDF</v>
      </c>
      <c r="K14460" s="12" t="s">
        <v>27662</v>
      </c>
    </row>
    <row r="14461" spans="1:12" x14ac:dyDescent="0.45">
      <c r="A14461" s="12" t="s">
        <v>27469</v>
      </c>
      <c r="B14461" s="12" t="s">
        <v>1548</v>
      </c>
      <c r="C14461" s="13" t="s">
        <v>1549</v>
      </c>
      <c r="D14461" s="13" t="s">
        <v>15</v>
      </c>
      <c r="E14461" s="12" t="s">
        <v>16</v>
      </c>
      <c r="F14461" s="14">
        <v>670000</v>
      </c>
      <c r="G14461" s="14">
        <v>498000</v>
      </c>
      <c r="H14461" s="13" t="s">
        <v>27663</v>
      </c>
      <c r="I14461" s="40" t="s">
        <v>18</v>
      </c>
      <c r="J14461" s="40" t="str">
        <f>HYPERLINK("https://stock.pstatic.net/stock-research/company/29/20250212_company_604670000.pdf","PDF")</f>
        <v>PDF</v>
      </c>
      <c r="K14461" s="12" t="s">
        <v>27664</v>
      </c>
      <c r="L14461" s="20">
        <v>0.34538152610441769</v>
      </c>
    </row>
    <row r="14462" spans="1:12" x14ac:dyDescent="0.45">
      <c r="A14462" s="12" t="s">
        <v>27469</v>
      </c>
      <c r="B14462" s="12" t="s">
        <v>1773</v>
      </c>
      <c r="C14462" s="13" t="s">
        <v>1774</v>
      </c>
      <c r="D14462" s="13" t="s">
        <v>15</v>
      </c>
      <c r="E14462" s="12" t="s">
        <v>16</v>
      </c>
      <c r="F14462" s="14">
        <v>150000</v>
      </c>
      <c r="G14462" s="14">
        <v>88900</v>
      </c>
      <c r="H14462" s="13" t="s">
        <v>27665</v>
      </c>
      <c r="I14462" s="40" t="s">
        <v>18</v>
      </c>
      <c r="J14462" s="40" t="str">
        <f>HYPERLINK("https://stock.pstatic.net/stock-research/company/29/20250212_company_8380000.pdf","PDF")</f>
        <v>PDF</v>
      </c>
      <c r="K14462" s="12" t="s">
        <v>27666</v>
      </c>
      <c r="L14462" s="20">
        <v>0.68728908886389206</v>
      </c>
    </row>
    <row r="14463" spans="1:12" x14ac:dyDescent="0.45">
      <c r="A14463" s="12" t="s">
        <v>27469</v>
      </c>
      <c r="B14463" s="12" t="s">
        <v>1036</v>
      </c>
      <c r="C14463" s="13" t="s">
        <v>1037</v>
      </c>
      <c r="D14463" s="13" t="s">
        <v>15</v>
      </c>
      <c r="E14463" s="12" t="s">
        <v>16</v>
      </c>
      <c r="F14463" s="14">
        <v>21000</v>
      </c>
      <c r="G14463" s="14">
        <v>16280</v>
      </c>
      <c r="H14463" s="13" t="s">
        <v>27467</v>
      </c>
      <c r="I14463" s="40" t="s">
        <v>18</v>
      </c>
      <c r="J14463" s="40" t="str">
        <f>HYPERLINK("https://stock.pstatic.net/stock-research/company/29/20250212_company_153100000.pdf","PDF")</f>
        <v>PDF</v>
      </c>
      <c r="K14463" s="12" t="s">
        <v>27667</v>
      </c>
      <c r="L14463" s="20">
        <v>0.28992628992628988</v>
      </c>
    </row>
    <row r="14464" spans="1:12" x14ac:dyDescent="0.45">
      <c r="A14464" s="12" t="s">
        <v>27668</v>
      </c>
      <c r="B14464" s="12" t="s">
        <v>1548</v>
      </c>
      <c r="C14464" s="13" t="s">
        <v>1549</v>
      </c>
      <c r="D14464" s="13" t="s">
        <v>23</v>
      </c>
      <c r="E14464" s="12" t="s">
        <v>16</v>
      </c>
      <c r="F14464" s="14">
        <v>600000</v>
      </c>
      <c r="G14464" s="14">
        <v>413000</v>
      </c>
      <c r="H14464" s="13" t="s">
        <v>27669</v>
      </c>
      <c r="I14464" s="40" t="s">
        <v>18</v>
      </c>
      <c r="J14464" s="40" t="str">
        <f>HYPERLINK("https://stock.pstatic.net/stock-research/company/21/20250211_company_668874000.pdf","PDF")</f>
        <v>PDF</v>
      </c>
      <c r="K14464" s="12" t="s">
        <v>27670</v>
      </c>
      <c r="L14464" s="20">
        <v>0.45278450363196132</v>
      </c>
    </row>
    <row r="14465" spans="1:12" x14ac:dyDescent="0.45">
      <c r="A14465" s="12" t="s">
        <v>27668</v>
      </c>
      <c r="B14465" s="12" t="s">
        <v>1467</v>
      </c>
      <c r="C14465" s="13" t="s">
        <v>1468</v>
      </c>
      <c r="D14465" s="13" t="s">
        <v>276</v>
      </c>
      <c r="E14465" s="12" t="s">
        <v>16</v>
      </c>
      <c r="F14465" s="14">
        <v>6000</v>
      </c>
      <c r="G14465" s="14">
        <v>4310</v>
      </c>
      <c r="H14465" s="13" t="s">
        <v>27671</v>
      </c>
      <c r="I14465" s="40" t="s">
        <v>18</v>
      </c>
      <c r="J14465" s="40" t="str">
        <f>HYPERLINK("https://stock.pstatic.net/stock-research/company/66/20250211_company_98872000.pdf","PDF")</f>
        <v>PDF</v>
      </c>
      <c r="K14465" s="12" t="s">
        <v>27672</v>
      </c>
      <c r="L14465" s="20">
        <v>0.39211136890951281</v>
      </c>
    </row>
    <row r="14466" spans="1:12" x14ac:dyDescent="0.45">
      <c r="A14466" s="12" t="s">
        <v>27668</v>
      </c>
      <c r="B14466" s="12" t="s">
        <v>856</v>
      </c>
      <c r="C14466" s="13" t="s">
        <v>857</v>
      </c>
      <c r="D14466" s="13" t="s">
        <v>276</v>
      </c>
      <c r="E14466" s="12" t="s">
        <v>16</v>
      </c>
      <c r="F14466" s="14">
        <v>210000</v>
      </c>
      <c r="G14466" s="14">
        <v>144400</v>
      </c>
      <c r="H14466" s="13" t="s">
        <v>27673</v>
      </c>
      <c r="I14466" s="40" t="s">
        <v>18</v>
      </c>
      <c r="J14466" s="40" t="str">
        <f>HYPERLINK("https://stock.pstatic.net/stock-research/company/66/20250211_company_107552000.pdf","PDF")</f>
        <v>PDF</v>
      </c>
      <c r="K14466" s="12" t="s">
        <v>27674</v>
      </c>
      <c r="L14466" s="20">
        <v>0.45429362880886431</v>
      </c>
    </row>
    <row r="14467" spans="1:12" x14ac:dyDescent="0.45">
      <c r="A14467" s="12" t="s">
        <v>27668</v>
      </c>
      <c r="B14467" s="12" t="s">
        <v>11448</v>
      </c>
      <c r="C14467" s="13" t="s">
        <v>11449</v>
      </c>
      <c r="D14467" s="13" t="s">
        <v>276</v>
      </c>
      <c r="E14467" s="12" t="s">
        <v>16</v>
      </c>
      <c r="F14467" s="14">
        <v>160000</v>
      </c>
      <c r="G14467" s="14">
        <v>81700</v>
      </c>
      <c r="H14467" s="13" t="s">
        <v>27675</v>
      </c>
      <c r="I14467" s="40" t="s">
        <v>18</v>
      </c>
      <c r="J14467" s="40" t="str">
        <f>HYPERLINK("https://stock.pstatic.net/stock-research/company/66/20250211_company_659357000.pdf","PDF")</f>
        <v>PDF</v>
      </c>
      <c r="K14467" s="12" t="s">
        <v>27676</v>
      </c>
      <c r="L14467" s="20">
        <v>0.95838433292533665</v>
      </c>
    </row>
    <row r="14468" spans="1:12" x14ac:dyDescent="0.45">
      <c r="A14468" s="12" t="s">
        <v>27668</v>
      </c>
      <c r="B14468" s="12" t="s">
        <v>2781</v>
      </c>
      <c r="C14468" s="13" t="s">
        <v>2782</v>
      </c>
      <c r="D14468" s="13" t="s">
        <v>60</v>
      </c>
      <c r="E14468" s="12" t="s">
        <v>35</v>
      </c>
      <c r="F14468" s="14">
        <v>155000</v>
      </c>
      <c r="G14468" s="14">
        <v>102700</v>
      </c>
      <c r="H14468" s="13" t="s">
        <v>27677</v>
      </c>
      <c r="I14468" s="40" t="s">
        <v>18</v>
      </c>
      <c r="J14468" s="40" t="str">
        <f>HYPERLINK("https://stock.pstatic.net/stock-research/company/62/20250211_company_758268000.pdf","PDF")</f>
        <v>PDF</v>
      </c>
      <c r="K14468" s="12" t="s">
        <v>27678</v>
      </c>
      <c r="L14468" s="20">
        <v>0.50925024342745862</v>
      </c>
    </row>
    <row r="14469" spans="1:12" x14ac:dyDescent="0.45">
      <c r="A14469" s="12" t="s">
        <v>27668</v>
      </c>
      <c r="B14469" s="12" t="s">
        <v>2105</v>
      </c>
      <c r="C14469" s="13" t="s">
        <v>2106</v>
      </c>
      <c r="D14469" s="13" t="s">
        <v>60</v>
      </c>
      <c r="E14469" s="12" t="s">
        <v>35</v>
      </c>
      <c r="F14469" s="14">
        <v>80000</v>
      </c>
      <c r="G14469" s="14">
        <v>63800</v>
      </c>
      <c r="H14469" s="13" t="s">
        <v>27679</v>
      </c>
      <c r="I14469" s="40" t="s">
        <v>18</v>
      </c>
      <c r="J14469" s="40" t="str">
        <f>HYPERLINK("https://stock.pstatic.net/stock-research/company/62/20250211_company_63280000.pdf","PDF")</f>
        <v>PDF</v>
      </c>
      <c r="K14469" s="12" t="s">
        <v>27680</v>
      </c>
      <c r="L14469" s="20">
        <v>0.25391849529780558</v>
      </c>
    </row>
    <row r="14470" spans="1:12" x14ac:dyDescent="0.45">
      <c r="A14470" s="12" t="s">
        <v>27668</v>
      </c>
      <c r="B14470" s="12" t="s">
        <v>973</v>
      </c>
      <c r="C14470" s="13" t="s">
        <v>974</v>
      </c>
      <c r="D14470" s="13" t="s">
        <v>65</v>
      </c>
      <c r="E14470" s="12" t="s">
        <v>35</v>
      </c>
      <c r="F14470" s="14">
        <v>35000</v>
      </c>
      <c r="G14470" s="14">
        <v>27200</v>
      </c>
      <c r="H14470" s="13" t="s">
        <v>27681</v>
      </c>
      <c r="I14470" s="40" t="s">
        <v>18</v>
      </c>
      <c r="J14470" s="40" t="str">
        <f>HYPERLINK("https://stock.pstatic.net/stock-research/company/57/20250211_company_585534000.pdf","PDF")</f>
        <v>PDF</v>
      </c>
      <c r="K14470" s="12" t="s">
        <v>27682</v>
      </c>
      <c r="L14470" s="20">
        <v>0.28676470588235292</v>
      </c>
    </row>
    <row r="14471" spans="1:12" x14ac:dyDescent="0.45">
      <c r="A14471" s="12" t="s">
        <v>27668</v>
      </c>
      <c r="B14471" s="12" t="s">
        <v>495</v>
      </c>
      <c r="C14471" s="13" t="s">
        <v>496</v>
      </c>
      <c r="D14471" s="13" t="s">
        <v>65</v>
      </c>
      <c r="E14471" s="12" t="s">
        <v>50</v>
      </c>
      <c r="F14471" s="13"/>
      <c r="G14471" s="14">
        <v>48350</v>
      </c>
      <c r="H14471" s="13" t="s">
        <v>27683</v>
      </c>
      <c r="I14471" s="40" t="s">
        <v>18</v>
      </c>
      <c r="J14471" s="40" t="str">
        <f>HYPERLINK("https://stock.pstatic.net/stock-research/company/57/20250211_company_164331000.pdf","PDF")</f>
        <v>PDF</v>
      </c>
      <c r="K14471" s="12" t="s">
        <v>27684</v>
      </c>
    </row>
    <row r="14472" spans="1:12" x14ac:dyDescent="0.45">
      <c r="A14472" s="12" t="s">
        <v>27668</v>
      </c>
      <c r="B14472" s="12" t="s">
        <v>3244</v>
      </c>
      <c r="C14472" s="13" t="s">
        <v>3245</v>
      </c>
      <c r="D14472" s="13" t="s">
        <v>65</v>
      </c>
      <c r="E14472" s="12" t="s">
        <v>35</v>
      </c>
      <c r="F14472" s="14">
        <v>57000</v>
      </c>
      <c r="G14472" s="14">
        <v>47150</v>
      </c>
      <c r="H14472" s="13" t="s">
        <v>27685</v>
      </c>
      <c r="I14472" s="40" t="s">
        <v>18</v>
      </c>
      <c r="J14472" s="40" t="str">
        <f>HYPERLINK("https://stock.pstatic.net/stock-research/company/1/20250211_company_827206000.pdf","PDF")</f>
        <v>PDF</v>
      </c>
      <c r="K14472" s="12" t="s">
        <v>27686</v>
      </c>
      <c r="L14472" s="20">
        <v>0.20890774125132561</v>
      </c>
    </row>
    <row r="14473" spans="1:12" x14ac:dyDescent="0.45">
      <c r="A14473" s="12" t="s">
        <v>27668</v>
      </c>
      <c r="B14473" s="12" t="s">
        <v>1556</v>
      </c>
      <c r="C14473" s="13" t="s">
        <v>1557</v>
      </c>
      <c r="D14473" s="13" t="s">
        <v>65</v>
      </c>
      <c r="E14473" s="12" t="s">
        <v>35</v>
      </c>
      <c r="F14473" s="14">
        <v>20000</v>
      </c>
      <c r="G14473" s="14">
        <v>11700</v>
      </c>
      <c r="H14473" s="13" t="s">
        <v>27687</v>
      </c>
      <c r="I14473" s="40" t="s">
        <v>18</v>
      </c>
      <c r="J14473" s="40" t="str">
        <f>HYPERLINK("https://stock.pstatic.net/stock-research/company/1/20250211_company_902090000.pdf","PDF")</f>
        <v>PDF</v>
      </c>
      <c r="K14473" s="12" t="s">
        <v>27688</v>
      </c>
      <c r="L14473" s="20">
        <v>0.70940170940170943</v>
      </c>
    </row>
    <row r="14474" spans="1:12" x14ac:dyDescent="0.45">
      <c r="A14474" s="12" t="s">
        <v>27668</v>
      </c>
      <c r="B14474" s="12" t="s">
        <v>2837</v>
      </c>
      <c r="C14474" s="13" t="s">
        <v>2838</v>
      </c>
      <c r="D14474" s="13" t="s">
        <v>15</v>
      </c>
      <c r="E14474" s="12" t="s">
        <v>16</v>
      </c>
      <c r="F14474" s="14">
        <v>33000</v>
      </c>
      <c r="G14474" s="14">
        <v>24800</v>
      </c>
      <c r="H14474" s="13" t="s">
        <v>27689</v>
      </c>
      <c r="I14474" s="40" t="s">
        <v>18</v>
      </c>
      <c r="J14474" s="40" t="str">
        <f>HYPERLINK("https://stock.pstatic.net/stock-research/company/29/20250211_company_176460000.pdf","PDF")</f>
        <v>PDF</v>
      </c>
      <c r="K14474" s="12" t="s">
        <v>27690</v>
      </c>
      <c r="L14474" s="20">
        <v>0.33064516129032262</v>
      </c>
    </row>
    <row r="14475" spans="1:12" x14ac:dyDescent="0.45">
      <c r="A14475" s="12" t="s">
        <v>27668</v>
      </c>
      <c r="B14475" s="12" t="s">
        <v>3492</v>
      </c>
      <c r="C14475" s="13" t="s">
        <v>3493</v>
      </c>
      <c r="D14475" s="13" t="s">
        <v>65</v>
      </c>
      <c r="E14475" s="12" t="s">
        <v>35</v>
      </c>
      <c r="F14475" s="14">
        <v>18000</v>
      </c>
      <c r="G14475" s="14">
        <v>15260</v>
      </c>
      <c r="H14475" s="13" t="s">
        <v>27691</v>
      </c>
      <c r="I14475" s="40" t="s">
        <v>18</v>
      </c>
      <c r="J14475" s="40" t="str">
        <f>HYPERLINK("https://stock.pstatic.net/stock-research/company/1/20250211_company_975789000.pdf","PDF")</f>
        <v>PDF</v>
      </c>
      <c r="K14475" s="12" t="s">
        <v>27692</v>
      </c>
      <c r="L14475" s="20">
        <v>0.1795543905635649</v>
      </c>
    </row>
    <row r="14476" spans="1:12" x14ac:dyDescent="0.45">
      <c r="A14476" s="12" t="s">
        <v>27668</v>
      </c>
      <c r="B14476" s="12" t="s">
        <v>2105</v>
      </c>
      <c r="C14476" s="13" t="s">
        <v>2106</v>
      </c>
      <c r="D14476" s="13" t="s">
        <v>65</v>
      </c>
      <c r="E14476" s="12" t="s">
        <v>35</v>
      </c>
      <c r="F14476" s="14">
        <v>95000</v>
      </c>
      <c r="G14476" s="14">
        <v>63800</v>
      </c>
      <c r="H14476" s="13" t="s">
        <v>27693</v>
      </c>
      <c r="I14476" s="40" t="s">
        <v>18</v>
      </c>
      <c r="J14476" s="40" t="str">
        <f>HYPERLINK("https://stock.pstatic.net/stock-research/company/57/20250211_company_38872000.pdf","PDF")</f>
        <v>PDF</v>
      </c>
      <c r="K14476" s="12" t="s">
        <v>27694</v>
      </c>
      <c r="L14476" s="20">
        <v>0.4890282131661442</v>
      </c>
    </row>
    <row r="14477" spans="1:12" x14ac:dyDescent="0.45">
      <c r="A14477" s="12" t="s">
        <v>27668</v>
      </c>
      <c r="B14477" s="12" t="s">
        <v>1648</v>
      </c>
      <c r="C14477" s="13" t="s">
        <v>1649</v>
      </c>
      <c r="D14477" s="13" t="s">
        <v>65</v>
      </c>
      <c r="E14477" s="12" t="s">
        <v>35</v>
      </c>
      <c r="F14477" s="14">
        <v>110000</v>
      </c>
      <c r="G14477" s="14">
        <v>92300</v>
      </c>
      <c r="H14477" s="13" t="s">
        <v>27695</v>
      </c>
      <c r="I14477" s="40" t="s">
        <v>18</v>
      </c>
      <c r="J14477" s="40" t="str">
        <f>HYPERLINK("https://stock.pstatic.net/stock-research/company/1/20250211_company_847092000.pdf","PDF")</f>
        <v>PDF</v>
      </c>
      <c r="K14477" s="12" t="s">
        <v>27696</v>
      </c>
      <c r="L14477" s="20">
        <v>0.1917659804983749</v>
      </c>
    </row>
    <row r="14478" spans="1:12" x14ac:dyDescent="0.45">
      <c r="A14478" s="12" t="s">
        <v>27668</v>
      </c>
      <c r="B14478" s="12" t="s">
        <v>1906</v>
      </c>
      <c r="C14478" s="13" t="s">
        <v>1907</v>
      </c>
      <c r="D14478" s="13" t="s">
        <v>15</v>
      </c>
      <c r="E14478" s="12" t="s">
        <v>385</v>
      </c>
      <c r="F14478" s="14">
        <v>30000</v>
      </c>
      <c r="G14478" s="14">
        <v>29400</v>
      </c>
      <c r="H14478" s="13" t="s">
        <v>27697</v>
      </c>
      <c r="I14478" s="40" t="s">
        <v>18</v>
      </c>
      <c r="J14478" s="40" t="str">
        <f>HYPERLINK("https://stock.pstatic.net/stock-research/company/29/20250211_company_587326000.pdf","PDF")</f>
        <v>PDF</v>
      </c>
      <c r="K14478" s="12" t="s">
        <v>27698</v>
      </c>
      <c r="L14478" s="20">
        <v>2.0408163265306121E-2</v>
      </c>
    </row>
    <row r="14479" spans="1:12" x14ac:dyDescent="0.45">
      <c r="A14479" s="12" t="s">
        <v>27668</v>
      </c>
      <c r="B14479" s="12" t="s">
        <v>2105</v>
      </c>
      <c r="C14479" s="13" t="s">
        <v>2106</v>
      </c>
      <c r="D14479" s="13" t="s">
        <v>57</v>
      </c>
      <c r="E14479" s="12" t="s">
        <v>35</v>
      </c>
      <c r="F14479" s="14">
        <v>85000</v>
      </c>
      <c r="G14479" s="14">
        <v>63800</v>
      </c>
      <c r="H14479" s="13" t="s">
        <v>27699</v>
      </c>
      <c r="I14479" s="40" t="s">
        <v>18</v>
      </c>
      <c r="J14479" s="40" t="str">
        <f>HYPERLINK("https://stock.pstatic.net/stock-research/company/16/20250211_company_534041000.pdf","PDF")</f>
        <v>PDF</v>
      </c>
      <c r="K14479" s="12" t="s">
        <v>27700</v>
      </c>
      <c r="L14479" s="20">
        <v>0.33228840125391851</v>
      </c>
    </row>
    <row r="14480" spans="1:12" x14ac:dyDescent="0.45">
      <c r="A14480" s="12" t="s">
        <v>27668</v>
      </c>
      <c r="B14480" s="12" t="s">
        <v>1648</v>
      </c>
      <c r="C14480" s="13" t="s">
        <v>1649</v>
      </c>
      <c r="D14480" s="13" t="s">
        <v>57</v>
      </c>
      <c r="E14480" s="12" t="s">
        <v>35</v>
      </c>
      <c r="F14480" s="14">
        <v>120000</v>
      </c>
      <c r="G14480" s="14">
        <v>92300</v>
      </c>
      <c r="H14480" s="13" t="s">
        <v>27701</v>
      </c>
      <c r="I14480" s="40" t="s">
        <v>18</v>
      </c>
      <c r="J14480" s="40" t="str">
        <f>HYPERLINK("https://stock.pstatic.net/stock-research/company/16/20250211_company_782467000.pdf","PDF")</f>
        <v>PDF</v>
      </c>
      <c r="K14480" s="12" t="s">
        <v>27702</v>
      </c>
      <c r="L14480" s="20">
        <v>0.30010834236186351</v>
      </c>
    </row>
    <row r="14481" spans="1:12" x14ac:dyDescent="0.45">
      <c r="A14481" s="12" t="s">
        <v>27668</v>
      </c>
      <c r="B14481" s="12" t="s">
        <v>677</v>
      </c>
      <c r="C14481" s="13" t="s">
        <v>678</v>
      </c>
      <c r="D14481" s="13" t="s">
        <v>57</v>
      </c>
      <c r="E14481" s="12" t="s">
        <v>35</v>
      </c>
      <c r="F14481" s="14">
        <v>20000</v>
      </c>
      <c r="G14481" s="14">
        <v>13790</v>
      </c>
      <c r="H14481" s="13" t="s">
        <v>27703</v>
      </c>
      <c r="I14481" s="40" t="s">
        <v>18</v>
      </c>
      <c r="J14481" s="40" t="str">
        <f>HYPERLINK("https://m.stock.naver.com/research/company/80806","PDF")</f>
        <v>PDF</v>
      </c>
      <c r="K14481" s="12" t="s">
        <v>27704</v>
      </c>
      <c r="L14481" s="20">
        <v>0.45032632342277013</v>
      </c>
    </row>
    <row r="14482" spans="1:12" x14ac:dyDescent="0.45">
      <c r="A14482" s="12" t="s">
        <v>27668</v>
      </c>
      <c r="B14482" s="12" t="s">
        <v>973</v>
      </c>
      <c r="C14482" s="13" t="s">
        <v>974</v>
      </c>
      <c r="D14482" s="13" t="s">
        <v>57</v>
      </c>
      <c r="E14482" s="12" t="s">
        <v>35</v>
      </c>
      <c r="F14482" s="14">
        <v>36000</v>
      </c>
      <c r="G14482" s="14">
        <v>27200</v>
      </c>
      <c r="H14482" s="13" t="s">
        <v>27705</v>
      </c>
      <c r="I14482" s="40" t="s">
        <v>18</v>
      </c>
      <c r="J14482" s="40" t="str">
        <f>HYPERLINK("https://stock.pstatic.net/stock-research/company/16/20250211_company_217325000.pdf","PDF")</f>
        <v>PDF</v>
      </c>
      <c r="K14482" s="12" t="s">
        <v>27706</v>
      </c>
      <c r="L14482" s="20">
        <v>0.3235294117647059</v>
      </c>
    </row>
    <row r="14483" spans="1:12" x14ac:dyDescent="0.45">
      <c r="A14483" s="12" t="s">
        <v>27668</v>
      </c>
      <c r="B14483" s="12" t="s">
        <v>3492</v>
      </c>
      <c r="C14483" s="13" t="s">
        <v>3493</v>
      </c>
      <c r="D14483" s="13" t="s">
        <v>57</v>
      </c>
      <c r="E14483" s="12" t="s">
        <v>159</v>
      </c>
      <c r="F14483" s="14">
        <v>17000</v>
      </c>
      <c r="G14483" s="14">
        <v>15260</v>
      </c>
      <c r="H14483" s="13" t="s">
        <v>27707</v>
      </c>
      <c r="I14483" s="40" t="s">
        <v>18</v>
      </c>
      <c r="J14483" s="40" t="str">
        <f>HYPERLINK("https://stock.pstatic.net/stock-research/company/16/20250211_company_504190000.pdf","PDF")</f>
        <v>PDF</v>
      </c>
      <c r="K14483" s="12" t="s">
        <v>27708</v>
      </c>
      <c r="L14483" s="20">
        <v>0.11402359108781129</v>
      </c>
    </row>
    <row r="14484" spans="1:12" x14ac:dyDescent="0.45">
      <c r="A14484" s="12" t="s">
        <v>27668</v>
      </c>
      <c r="B14484" s="12" t="s">
        <v>1087</v>
      </c>
      <c r="C14484" s="13" t="s">
        <v>1088</v>
      </c>
      <c r="D14484" s="13" t="s">
        <v>158</v>
      </c>
      <c r="E14484" s="12" t="s">
        <v>35</v>
      </c>
      <c r="F14484" s="14">
        <v>112000</v>
      </c>
      <c r="G14484" s="14">
        <v>93400</v>
      </c>
      <c r="H14484" s="13" t="s">
        <v>27709</v>
      </c>
      <c r="I14484" s="40" t="s">
        <v>18</v>
      </c>
      <c r="J14484" s="40" t="str">
        <f>HYPERLINK("https://stock.pstatic.net/stock-research/company/1/20250211_company_567802000.pdf","PDF")</f>
        <v>PDF</v>
      </c>
      <c r="K14484" s="12" t="s">
        <v>27710</v>
      </c>
      <c r="L14484" s="20">
        <v>0.1991434689507495</v>
      </c>
    </row>
    <row r="14485" spans="1:12" x14ac:dyDescent="0.45">
      <c r="A14485" s="12" t="s">
        <v>27668</v>
      </c>
      <c r="B14485" s="12" t="s">
        <v>1648</v>
      </c>
      <c r="C14485" s="13" t="s">
        <v>1649</v>
      </c>
      <c r="D14485" s="13" t="s">
        <v>158</v>
      </c>
      <c r="E14485" s="12" t="s">
        <v>35</v>
      </c>
      <c r="F14485" s="14">
        <v>120000</v>
      </c>
      <c r="G14485" s="14">
        <v>92300</v>
      </c>
      <c r="H14485" s="13" t="s">
        <v>27711</v>
      </c>
      <c r="I14485" s="40" t="s">
        <v>18</v>
      </c>
      <c r="J14485" s="40" t="str">
        <f>HYPERLINK("https://stock.pstatic.net/stock-research/company/1/20250211_company_246396000.pdf","PDF")</f>
        <v>PDF</v>
      </c>
      <c r="K14485" s="12" t="s">
        <v>27712</v>
      </c>
      <c r="L14485" s="20">
        <v>0.30010834236186351</v>
      </c>
    </row>
    <row r="14486" spans="1:12" x14ac:dyDescent="0.45">
      <c r="A14486" s="12" t="s">
        <v>27668</v>
      </c>
      <c r="B14486" s="12" t="s">
        <v>10321</v>
      </c>
      <c r="C14486" s="13" t="s">
        <v>10322</v>
      </c>
      <c r="D14486" s="13" t="s">
        <v>158</v>
      </c>
      <c r="E14486" s="12" t="s">
        <v>50</v>
      </c>
      <c r="F14486" s="13"/>
      <c r="G14486" s="14">
        <v>6130</v>
      </c>
      <c r="H14486" s="13" t="s">
        <v>27713</v>
      </c>
      <c r="I14486" s="40" t="s">
        <v>18</v>
      </c>
      <c r="J14486" s="40" t="str">
        <f>HYPERLINK("https://stock.pstatic.net/stock-research/company/18/20250211_company_243127000.pdf","PDF")</f>
        <v>PDF</v>
      </c>
      <c r="K14486" s="12" t="s">
        <v>27714</v>
      </c>
    </row>
    <row r="14487" spans="1:12" x14ac:dyDescent="0.45">
      <c r="A14487" s="12" t="s">
        <v>27668</v>
      </c>
      <c r="B14487" s="12" t="s">
        <v>3168</v>
      </c>
      <c r="C14487" s="13" t="s">
        <v>25909</v>
      </c>
      <c r="D14487" s="13" t="s">
        <v>158</v>
      </c>
      <c r="E14487" s="12" t="s">
        <v>159</v>
      </c>
      <c r="F14487" s="14">
        <v>10000</v>
      </c>
      <c r="G14487" s="14">
        <v>9300</v>
      </c>
      <c r="H14487" s="13" t="s">
        <v>27715</v>
      </c>
      <c r="I14487" s="40" t="s">
        <v>18</v>
      </c>
      <c r="J14487" s="40" t="str">
        <f>HYPERLINK("https://stock.pstatic.net/stock-research/company/1/20250211_company_172203000.pdf","PDF")</f>
        <v>PDF</v>
      </c>
      <c r="K14487" s="12" t="s">
        <v>27716</v>
      </c>
      <c r="L14487" s="20">
        <v>7.5268817204301078E-2</v>
      </c>
    </row>
    <row r="14488" spans="1:12" x14ac:dyDescent="0.45">
      <c r="A14488" s="12" t="s">
        <v>27668</v>
      </c>
      <c r="B14488" s="12" t="s">
        <v>3488</v>
      </c>
      <c r="C14488" s="13" t="s">
        <v>3489</v>
      </c>
      <c r="D14488" s="13" t="s">
        <v>158</v>
      </c>
      <c r="E14488" s="12" t="s">
        <v>35</v>
      </c>
      <c r="F14488" s="14">
        <v>22000</v>
      </c>
      <c r="G14488" s="14">
        <v>16310</v>
      </c>
      <c r="H14488" s="13" t="s">
        <v>27717</v>
      </c>
      <c r="I14488" s="40" t="s">
        <v>18</v>
      </c>
      <c r="J14488" s="40" t="str">
        <f>HYPERLINK("https://stock.pstatic.net/stock-research/company/18/20250211_company_428897000.pdf","PDF")</f>
        <v>PDF</v>
      </c>
      <c r="K14488" s="12" t="s">
        <v>27718</v>
      </c>
      <c r="L14488" s="20">
        <v>0.34886572654812997</v>
      </c>
    </row>
    <row r="14489" spans="1:12" x14ac:dyDescent="0.45">
      <c r="A14489" s="12" t="s">
        <v>27668</v>
      </c>
      <c r="B14489" s="12" t="s">
        <v>1087</v>
      </c>
      <c r="C14489" s="13" t="s">
        <v>1088</v>
      </c>
      <c r="D14489" s="13" t="s">
        <v>15</v>
      </c>
      <c r="E14489" s="12" t="s">
        <v>16</v>
      </c>
      <c r="F14489" s="14">
        <v>120000</v>
      </c>
      <c r="G14489" s="14">
        <v>93400</v>
      </c>
      <c r="H14489" s="13" t="s">
        <v>27719</v>
      </c>
      <c r="I14489" s="40" t="s">
        <v>18</v>
      </c>
      <c r="J14489" s="40" t="str">
        <f>HYPERLINK("https://m.stock.naver.com/research/company/80798","PDF")</f>
        <v>PDF</v>
      </c>
      <c r="K14489" s="12" t="s">
        <v>27720</v>
      </c>
      <c r="L14489" s="20">
        <v>0.28479657387580298</v>
      </c>
    </row>
    <row r="14490" spans="1:12" x14ac:dyDescent="0.45">
      <c r="A14490" s="12" t="s">
        <v>27668</v>
      </c>
      <c r="B14490" s="12" t="s">
        <v>495</v>
      </c>
      <c r="C14490" s="13" t="s">
        <v>496</v>
      </c>
      <c r="D14490" s="13" t="s">
        <v>15</v>
      </c>
      <c r="E14490" s="12" t="s">
        <v>16</v>
      </c>
      <c r="F14490" s="14">
        <v>65000</v>
      </c>
      <c r="G14490" s="14">
        <v>48350</v>
      </c>
      <c r="H14490" s="13" t="s">
        <v>27721</v>
      </c>
      <c r="I14490" s="40" t="s">
        <v>18</v>
      </c>
      <c r="J14490" s="40" t="str">
        <f>HYPERLINK("https://stock.pstatic.net/stock-research/company/29/20250211_company_697874000.pdf","PDF")</f>
        <v>PDF</v>
      </c>
      <c r="K14490" s="12" t="s">
        <v>27722</v>
      </c>
      <c r="L14490" s="20">
        <v>0.34436401240951398</v>
      </c>
    </row>
    <row r="14491" spans="1:12" x14ac:dyDescent="0.45">
      <c r="A14491" s="12" t="s">
        <v>27668</v>
      </c>
      <c r="B14491" s="12" t="s">
        <v>272</v>
      </c>
      <c r="C14491" s="13" t="s">
        <v>273</v>
      </c>
      <c r="D14491" s="13" t="s">
        <v>15</v>
      </c>
      <c r="E14491" s="12" t="s">
        <v>16</v>
      </c>
      <c r="F14491" s="14">
        <v>360000</v>
      </c>
      <c r="G14491" s="14">
        <v>273500</v>
      </c>
      <c r="H14491" s="13" t="s">
        <v>27723</v>
      </c>
      <c r="I14491" s="40" t="s">
        <v>18</v>
      </c>
      <c r="J14491" s="40" t="str">
        <f>HYPERLINK("https://m.stock.naver.com/research/company/80796","PDF")</f>
        <v>PDF</v>
      </c>
      <c r="K14491" s="12" t="s">
        <v>27724</v>
      </c>
      <c r="L14491" s="20">
        <v>0.31627056672760512</v>
      </c>
    </row>
    <row r="14492" spans="1:12" x14ac:dyDescent="0.45">
      <c r="A14492" s="12" t="s">
        <v>27668</v>
      </c>
      <c r="B14492" s="12" t="s">
        <v>1648</v>
      </c>
      <c r="C14492" s="13" t="s">
        <v>1649</v>
      </c>
      <c r="D14492" s="13" t="s">
        <v>15</v>
      </c>
      <c r="E14492" s="12" t="s">
        <v>16</v>
      </c>
      <c r="F14492" s="14">
        <v>120000</v>
      </c>
      <c r="G14492" s="14">
        <v>92300</v>
      </c>
      <c r="H14492" s="13" t="s">
        <v>27725</v>
      </c>
      <c r="I14492" s="40" t="s">
        <v>18</v>
      </c>
      <c r="J14492" s="40" t="str">
        <f>HYPERLINK("https://stock.pstatic.net/stock-research/company/29/20250211_company_542991000.pdf","PDF")</f>
        <v>PDF</v>
      </c>
      <c r="K14492" s="12" t="s">
        <v>27726</v>
      </c>
      <c r="L14492" s="20">
        <v>0.30010834236186351</v>
      </c>
    </row>
    <row r="14493" spans="1:12" x14ac:dyDescent="0.45">
      <c r="A14493" s="12" t="s">
        <v>27668</v>
      </c>
      <c r="B14493" s="12" t="s">
        <v>1548</v>
      </c>
      <c r="C14493" s="13" t="s">
        <v>1549</v>
      </c>
      <c r="D14493" s="13" t="s">
        <v>23</v>
      </c>
      <c r="E14493" s="12" t="s">
        <v>16</v>
      </c>
      <c r="F14493" s="14">
        <v>490000</v>
      </c>
      <c r="G14493" s="14">
        <v>413000</v>
      </c>
      <c r="H14493" s="13" t="s">
        <v>27727</v>
      </c>
      <c r="I14493" s="40" t="s">
        <v>18</v>
      </c>
      <c r="J14493" s="40" t="str">
        <f>HYPERLINK("https://stock.pstatic.net/stock-research/company/21/20250211_company_547677000.pdf","PDF")</f>
        <v>PDF</v>
      </c>
      <c r="K14493" s="12" t="s">
        <v>27728</v>
      </c>
      <c r="L14493" s="20">
        <v>0.1864406779661017</v>
      </c>
    </row>
    <row r="14494" spans="1:12" x14ac:dyDescent="0.45">
      <c r="A14494" s="12" t="s">
        <v>27668</v>
      </c>
      <c r="B14494" s="12" t="s">
        <v>856</v>
      </c>
      <c r="C14494" s="13" t="s">
        <v>857</v>
      </c>
      <c r="D14494" s="13" t="s">
        <v>15</v>
      </c>
      <c r="E14494" s="12" t="s">
        <v>16</v>
      </c>
      <c r="F14494" s="14">
        <v>210000</v>
      </c>
      <c r="G14494" s="14">
        <v>144400</v>
      </c>
      <c r="H14494" s="13" t="s">
        <v>27729</v>
      </c>
      <c r="I14494" s="40" t="s">
        <v>18</v>
      </c>
      <c r="J14494" s="40" t="str">
        <f>HYPERLINK("https://stock.pstatic.net/stock-research/company/29/20250211_company_918853000.pdf","PDF")</f>
        <v>PDF</v>
      </c>
      <c r="K14494" s="12" t="s">
        <v>27730</v>
      </c>
      <c r="L14494" s="20">
        <v>0.45429362880886431</v>
      </c>
    </row>
    <row r="14495" spans="1:12" x14ac:dyDescent="0.45">
      <c r="A14495" s="12" t="s">
        <v>27668</v>
      </c>
      <c r="B14495" s="12" t="s">
        <v>736</v>
      </c>
      <c r="C14495" s="13" t="s">
        <v>737</v>
      </c>
      <c r="D14495" s="13" t="s">
        <v>15</v>
      </c>
      <c r="E14495" s="12" t="s">
        <v>16</v>
      </c>
      <c r="F14495" s="14">
        <v>100000</v>
      </c>
      <c r="G14495" s="14">
        <v>77000</v>
      </c>
      <c r="H14495" s="13" t="s">
        <v>27731</v>
      </c>
      <c r="I14495" s="40" t="s">
        <v>18</v>
      </c>
      <c r="J14495" s="40" t="str">
        <f>HYPERLINK("https://stock.pstatic.net/stock-research/company/29/20250211_company_676476000.pdf","PDF")</f>
        <v>PDF</v>
      </c>
      <c r="K14495" s="12" t="s">
        <v>27732</v>
      </c>
      <c r="L14495" s="20">
        <v>0.29870129870129869</v>
      </c>
    </row>
    <row r="14496" spans="1:12" x14ac:dyDescent="0.45">
      <c r="A14496" s="12" t="s">
        <v>27668</v>
      </c>
      <c r="B14496" s="12" t="s">
        <v>272</v>
      </c>
      <c r="C14496" s="13" t="s">
        <v>273</v>
      </c>
      <c r="D14496" s="13" t="s">
        <v>92</v>
      </c>
      <c r="E14496" s="12" t="s">
        <v>35</v>
      </c>
      <c r="F14496" s="14">
        <v>328000</v>
      </c>
      <c r="G14496" s="14">
        <v>273500</v>
      </c>
      <c r="H14496" s="13" t="s">
        <v>27733</v>
      </c>
      <c r="I14496" s="40" t="s">
        <v>18</v>
      </c>
      <c r="J14496" s="40" t="str">
        <f>HYPERLINK("https://m.stock.naver.com/research/company/80791","PDF")</f>
        <v>PDF</v>
      </c>
      <c r="K14496" s="12" t="s">
        <v>27734</v>
      </c>
      <c r="L14496" s="20">
        <v>0.19926873857404021</v>
      </c>
    </row>
    <row r="14497" spans="1:12" x14ac:dyDescent="0.45">
      <c r="A14497" s="12" t="s">
        <v>27668</v>
      </c>
      <c r="B14497" s="12" t="s">
        <v>2105</v>
      </c>
      <c r="C14497" s="13" t="s">
        <v>2106</v>
      </c>
      <c r="D14497" s="13" t="s">
        <v>15</v>
      </c>
      <c r="E14497" s="12" t="s">
        <v>16</v>
      </c>
      <c r="F14497" s="14">
        <v>95000</v>
      </c>
      <c r="G14497" s="14">
        <v>63800</v>
      </c>
      <c r="H14497" s="13" t="s">
        <v>27735</v>
      </c>
      <c r="I14497" s="40" t="s">
        <v>18</v>
      </c>
      <c r="J14497" s="40" t="str">
        <f>HYPERLINK("https://stock.pstatic.net/stock-research/company/29/20250211_company_356796000.pdf","PDF")</f>
        <v>PDF</v>
      </c>
      <c r="K14497" s="12" t="s">
        <v>27736</v>
      </c>
      <c r="L14497" s="20">
        <v>0.4890282131661442</v>
      </c>
    </row>
    <row r="14498" spans="1:12" x14ac:dyDescent="0.45">
      <c r="A14498" s="12" t="s">
        <v>27668</v>
      </c>
      <c r="B14498" s="12" t="s">
        <v>442</v>
      </c>
      <c r="C14498" s="13" t="s">
        <v>443</v>
      </c>
      <c r="D14498" s="13" t="s">
        <v>92</v>
      </c>
      <c r="E14498" s="12" t="s">
        <v>35</v>
      </c>
      <c r="F14498" s="14">
        <v>29000</v>
      </c>
      <c r="G14498" s="14">
        <v>21150</v>
      </c>
      <c r="H14498" s="13" t="s">
        <v>27737</v>
      </c>
      <c r="I14498" s="40" t="s">
        <v>18</v>
      </c>
      <c r="J14498" s="40" t="str">
        <f>HYPERLINK("https://stock.pstatic.net/stock-research/company/1/20250211_company_948438000.pdf","PDF")</f>
        <v>PDF</v>
      </c>
      <c r="K14498" s="12" t="s">
        <v>27738</v>
      </c>
      <c r="L14498" s="20">
        <v>0.37115839243498822</v>
      </c>
    </row>
    <row r="14499" spans="1:12" x14ac:dyDescent="0.45">
      <c r="A14499" s="12" t="s">
        <v>27668</v>
      </c>
      <c r="B14499" s="12" t="s">
        <v>2781</v>
      </c>
      <c r="C14499" s="13" t="s">
        <v>2782</v>
      </c>
      <c r="D14499" s="13" t="s">
        <v>53</v>
      </c>
      <c r="E14499" s="12" t="s">
        <v>16</v>
      </c>
      <c r="F14499" s="14">
        <v>140000</v>
      </c>
      <c r="G14499" s="14">
        <v>102700</v>
      </c>
      <c r="H14499" s="13" t="s">
        <v>27739</v>
      </c>
      <c r="I14499" s="40" t="s">
        <v>18</v>
      </c>
      <c r="J14499" s="40" t="str">
        <f>HYPERLINK("https://stock.pstatic.net/stock-research/company/40/20250211_company_98589000.pdf","PDF")</f>
        <v>PDF</v>
      </c>
      <c r="K14499" s="12" t="s">
        <v>27740</v>
      </c>
      <c r="L14499" s="20">
        <v>0.3631937682570594</v>
      </c>
    </row>
    <row r="14500" spans="1:12" x14ac:dyDescent="0.45">
      <c r="A14500" s="12" t="s">
        <v>27668</v>
      </c>
      <c r="B14500" s="12" t="s">
        <v>3395</v>
      </c>
      <c r="C14500" s="13" t="s">
        <v>3396</v>
      </c>
      <c r="D14500" s="13" t="s">
        <v>92</v>
      </c>
      <c r="E14500" s="12" t="s">
        <v>35</v>
      </c>
      <c r="F14500" s="14">
        <v>21000</v>
      </c>
      <c r="G14500" s="14">
        <v>18090</v>
      </c>
      <c r="H14500" s="13" t="s">
        <v>27741</v>
      </c>
      <c r="I14500" s="40" t="s">
        <v>18</v>
      </c>
      <c r="J14500" s="40" t="str">
        <f>HYPERLINK("https://stock.pstatic.net/stock-research/company/63/20250211_company_657700000.pdf","PDF")</f>
        <v>PDF</v>
      </c>
      <c r="K14500" s="12" t="s">
        <v>27742</v>
      </c>
      <c r="L14500" s="20">
        <v>0.1608623548922056</v>
      </c>
    </row>
    <row r="14501" spans="1:12" x14ac:dyDescent="0.45">
      <c r="A14501" s="12" t="s">
        <v>27668</v>
      </c>
      <c r="B14501" s="12" t="s">
        <v>752</v>
      </c>
      <c r="C14501" s="13" t="s">
        <v>753</v>
      </c>
      <c r="D14501" s="13" t="s">
        <v>179</v>
      </c>
      <c r="E14501" s="12" t="s">
        <v>16</v>
      </c>
      <c r="F14501" s="14">
        <v>85000</v>
      </c>
      <c r="G14501" s="14">
        <v>70300</v>
      </c>
      <c r="H14501" s="13" t="s">
        <v>27743</v>
      </c>
      <c r="I14501" s="40" t="s">
        <v>18</v>
      </c>
      <c r="J14501" s="40" t="str">
        <f>HYPERLINK("https://stock.pstatic.net/stock-research/company/31/20250211_company_602253000.pdf","PDF")</f>
        <v>PDF</v>
      </c>
      <c r="K14501" s="12" t="s">
        <v>27744</v>
      </c>
      <c r="L14501" s="20">
        <v>0.20910384068278809</v>
      </c>
    </row>
    <row r="14502" spans="1:12" x14ac:dyDescent="0.45">
      <c r="A14502" s="12" t="s">
        <v>27668</v>
      </c>
      <c r="B14502" s="12" t="s">
        <v>1648</v>
      </c>
      <c r="C14502" s="13" t="s">
        <v>1649</v>
      </c>
      <c r="D14502" s="13" t="s">
        <v>92</v>
      </c>
      <c r="E14502" s="12" t="s">
        <v>35</v>
      </c>
      <c r="F14502" s="14">
        <v>115000</v>
      </c>
      <c r="G14502" s="14">
        <v>92300</v>
      </c>
      <c r="H14502" s="13" t="s">
        <v>27745</v>
      </c>
      <c r="I14502" s="40" t="s">
        <v>18</v>
      </c>
      <c r="J14502" s="40" t="str">
        <f>HYPERLINK("https://m.stock.naver.com/research/company/80785","PDF")</f>
        <v>PDF</v>
      </c>
      <c r="K14502" s="12" t="s">
        <v>27746</v>
      </c>
      <c r="L14502" s="20">
        <v>0.24593716143011921</v>
      </c>
    </row>
    <row r="14503" spans="1:12" x14ac:dyDescent="0.45">
      <c r="A14503" s="12" t="s">
        <v>27668</v>
      </c>
      <c r="B14503" s="12" t="s">
        <v>3284</v>
      </c>
      <c r="C14503" s="13" t="s">
        <v>3285</v>
      </c>
      <c r="D14503" s="13" t="s">
        <v>53</v>
      </c>
      <c r="E14503" s="12" t="s">
        <v>16</v>
      </c>
      <c r="F14503" s="14">
        <v>72000</v>
      </c>
      <c r="G14503" s="14">
        <v>58100</v>
      </c>
      <c r="H14503" s="13" t="s">
        <v>27747</v>
      </c>
      <c r="I14503" s="40" t="s">
        <v>18</v>
      </c>
      <c r="J14503" s="40" t="str">
        <f>HYPERLINK("https://stock.pstatic.net/stock-research/company/40/20250211_company_326541000.pdf","PDF")</f>
        <v>PDF</v>
      </c>
      <c r="K14503" s="12" t="s">
        <v>27748</v>
      </c>
      <c r="L14503" s="20">
        <v>0.23924268502581761</v>
      </c>
    </row>
    <row r="14504" spans="1:12" x14ac:dyDescent="0.45">
      <c r="A14504" s="12" t="s">
        <v>27668</v>
      </c>
      <c r="B14504" s="12" t="s">
        <v>3492</v>
      </c>
      <c r="C14504" s="13" t="s">
        <v>3493</v>
      </c>
      <c r="D14504" s="13" t="s">
        <v>179</v>
      </c>
      <c r="E14504" s="12" t="s">
        <v>385</v>
      </c>
      <c r="F14504" s="14">
        <v>17000</v>
      </c>
      <c r="G14504" s="14">
        <v>15260</v>
      </c>
      <c r="H14504" s="13" t="s">
        <v>27749</v>
      </c>
      <c r="I14504" s="40" t="s">
        <v>18</v>
      </c>
      <c r="J14504" s="40" t="str">
        <f>HYPERLINK("https://stock.pstatic.net/stock-research/company/31/20250211_company_556771000.pdf","PDF")</f>
        <v>PDF</v>
      </c>
      <c r="K14504" s="12" t="s">
        <v>27750</v>
      </c>
      <c r="L14504" s="20">
        <v>0.11402359108781129</v>
      </c>
    </row>
    <row r="14505" spans="1:12" x14ac:dyDescent="0.45">
      <c r="A14505" s="12" t="s">
        <v>27668</v>
      </c>
      <c r="B14505" s="12" t="s">
        <v>4352</v>
      </c>
      <c r="C14505" s="13" t="s">
        <v>4353</v>
      </c>
      <c r="D14505" s="13" t="s">
        <v>23</v>
      </c>
      <c r="E14505" s="12" t="s">
        <v>16</v>
      </c>
      <c r="F14505" s="14">
        <v>24000</v>
      </c>
      <c r="G14505" s="14">
        <v>18170</v>
      </c>
      <c r="H14505" s="13" t="s">
        <v>27751</v>
      </c>
      <c r="I14505" s="40" t="s">
        <v>18</v>
      </c>
      <c r="J14505" s="40" t="str">
        <f>HYPERLINK("https://stock.pstatic.net/stock-research/company/21/20250211_company_86140000.pdf","PDF")</f>
        <v>PDF</v>
      </c>
      <c r="K14505" s="12" t="s">
        <v>27752</v>
      </c>
      <c r="L14505" s="20">
        <v>0.32085855806274077</v>
      </c>
    </row>
    <row r="14506" spans="1:12" x14ac:dyDescent="0.45">
      <c r="A14506" s="12" t="s">
        <v>27668</v>
      </c>
      <c r="B14506" s="12" t="s">
        <v>1212</v>
      </c>
      <c r="C14506" s="13" t="s">
        <v>1213</v>
      </c>
      <c r="D14506" s="13" t="s">
        <v>23</v>
      </c>
      <c r="E14506" s="12" t="s">
        <v>50</v>
      </c>
      <c r="F14506" s="13"/>
      <c r="G14506" s="14">
        <v>19790</v>
      </c>
      <c r="H14506" s="13" t="s">
        <v>27753</v>
      </c>
      <c r="I14506" s="40" t="s">
        <v>18</v>
      </c>
      <c r="J14506" s="40" t="str">
        <f>HYPERLINK("https://stock.pstatic.net/stock-research/company/21/20250211_company_708317000.pdf","PDF")</f>
        <v>PDF</v>
      </c>
      <c r="K14506" s="12" t="s">
        <v>27754</v>
      </c>
    </row>
    <row r="14507" spans="1:12" x14ac:dyDescent="0.45">
      <c r="A14507" s="12" t="s">
        <v>27668</v>
      </c>
      <c r="B14507" s="12" t="s">
        <v>3244</v>
      </c>
      <c r="C14507" s="13" t="s">
        <v>3245</v>
      </c>
      <c r="D14507" s="13" t="s">
        <v>44</v>
      </c>
      <c r="E14507" s="12" t="s">
        <v>35</v>
      </c>
      <c r="F14507" s="14">
        <v>63000</v>
      </c>
      <c r="G14507" s="14">
        <v>47150</v>
      </c>
      <c r="H14507" s="13" t="s">
        <v>27755</v>
      </c>
      <c r="I14507" s="40" t="s">
        <v>18</v>
      </c>
      <c r="J14507" s="40" t="str">
        <f>HYPERLINK("https://stock.pstatic.net/stock-research/company/39/20250211_company_376820000.pdf","PDF")</f>
        <v>PDF</v>
      </c>
      <c r="K14507" s="12" t="s">
        <v>27756</v>
      </c>
      <c r="L14507" s="20">
        <v>0.33616118769883352</v>
      </c>
    </row>
    <row r="14508" spans="1:12" x14ac:dyDescent="0.45">
      <c r="A14508" s="12" t="s">
        <v>27668</v>
      </c>
      <c r="B14508" s="12" t="s">
        <v>8114</v>
      </c>
      <c r="C14508" s="13" t="s">
        <v>8115</v>
      </c>
      <c r="D14508" s="13" t="s">
        <v>53</v>
      </c>
      <c r="E14508" s="12" t="s">
        <v>16</v>
      </c>
      <c r="F14508" s="14">
        <v>35000</v>
      </c>
      <c r="G14508" s="14">
        <v>21650</v>
      </c>
      <c r="H14508" s="13" t="s">
        <v>16855</v>
      </c>
      <c r="I14508" s="40" t="s">
        <v>18</v>
      </c>
      <c r="J14508" s="40" t="str">
        <f>HYPERLINK("https://stock.pstatic.net/stock-research/company/40/20250211_company_772868000.pdf","PDF")</f>
        <v>PDF</v>
      </c>
      <c r="K14508" s="12" t="s">
        <v>27757</v>
      </c>
      <c r="L14508" s="20">
        <v>0.61662817551963045</v>
      </c>
    </row>
    <row r="14509" spans="1:12" x14ac:dyDescent="0.45">
      <c r="A14509" s="12" t="s">
        <v>27668</v>
      </c>
      <c r="B14509" s="12" t="s">
        <v>17011</v>
      </c>
      <c r="C14509" s="13" t="s">
        <v>17012</v>
      </c>
      <c r="D14509" s="13" t="s">
        <v>23</v>
      </c>
      <c r="E14509" s="12" t="s">
        <v>16</v>
      </c>
      <c r="F14509" s="14">
        <v>28000</v>
      </c>
      <c r="G14509" s="14">
        <v>20900</v>
      </c>
      <c r="H14509" s="13" t="s">
        <v>27758</v>
      </c>
      <c r="I14509" s="40" t="s">
        <v>18</v>
      </c>
      <c r="J14509" s="40" t="str">
        <f>HYPERLINK("https://stock.pstatic.net/stock-research/company/21/20250211_company_179251000.pdf","PDF")</f>
        <v>PDF</v>
      </c>
      <c r="K14509" s="12" t="s">
        <v>27759</v>
      </c>
      <c r="L14509" s="20">
        <v>0.33971291866028708</v>
      </c>
    </row>
    <row r="14510" spans="1:12" x14ac:dyDescent="0.45">
      <c r="A14510" s="12" t="s">
        <v>27668</v>
      </c>
      <c r="B14510" s="12" t="s">
        <v>1407</v>
      </c>
      <c r="C14510" s="13" t="s">
        <v>1408</v>
      </c>
      <c r="D14510" s="13" t="s">
        <v>92</v>
      </c>
      <c r="E14510" s="12" t="s">
        <v>35</v>
      </c>
      <c r="F14510" s="14">
        <v>61000</v>
      </c>
      <c r="G14510" s="14">
        <v>39650</v>
      </c>
      <c r="H14510" s="13" t="s">
        <v>27760</v>
      </c>
      <c r="I14510" s="40" t="s">
        <v>18</v>
      </c>
      <c r="J14510" s="40" t="str">
        <f>HYPERLINK("https://stock.pstatic.net/stock-research/company/63/20250211_company_204039000.pdf","PDF")</f>
        <v>PDF</v>
      </c>
      <c r="K14510" s="12" t="s">
        <v>27761</v>
      </c>
      <c r="L14510" s="20">
        <v>0.53846153846153844</v>
      </c>
    </row>
    <row r="14511" spans="1:12" x14ac:dyDescent="0.45">
      <c r="A14511" s="12" t="s">
        <v>27668</v>
      </c>
      <c r="B14511" s="12" t="s">
        <v>2781</v>
      </c>
      <c r="C14511" s="13" t="s">
        <v>2782</v>
      </c>
      <c r="D14511" s="13" t="s">
        <v>23</v>
      </c>
      <c r="E14511" s="12" t="s">
        <v>16</v>
      </c>
      <c r="F14511" s="14">
        <v>150000</v>
      </c>
      <c r="G14511" s="14">
        <v>102700</v>
      </c>
      <c r="H14511" s="13" t="s">
        <v>25608</v>
      </c>
      <c r="I14511" s="40" t="s">
        <v>18</v>
      </c>
      <c r="J14511" s="40" t="str">
        <f>HYPERLINK("https://stock.pstatic.net/stock-research/company/21/20250211_company_595064000.pdf","PDF")</f>
        <v>PDF</v>
      </c>
      <c r="K14511" s="12" t="s">
        <v>27762</v>
      </c>
      <c r="L14511" s="20">
        <v>0.46056475170399219</v>
      </c>
    </row>
    <row r="14512" spans="1:12" x14ac:dyDescent="0.45">
      <c r="A14512" s="12" t="s">
        <v>27668</v>
      </c>
      <c r="B14512" s="12" t="s">
        <v>81</v>
      </c>
      <c r="C14512" s="13" t="s">
        <v>82</v>
      </c>
      <c r="D14512" s="13" t="s">
        <v>179</v>
      </c>
      <c r="E14512" s="12" t="s">
        <v>16</v>
      </c>
      <c r="F14512" s="14">
        <v>18000</v>
      </c>
      <c r="G14512" s="14">
        <v>14540</v>
      </c>
      <c r="H14512" s="13" t="s">
        <v>27763</v>
      </c>
      <c r="I14512" s="40" t="s">
        <v>18</v>
      </c>
      <c r="J14512" s="40" t="str">
        <f>HYPERLINK("https://stock.pstatic.net/stock-research/company/31/20250211_company_633849000.pdf","PDF")</f>
        <v>PDF</v>
      </c>
      <c r="K14512" s="12" t="s">
        <v>27764</v>
      </c>
      <c r="L14512" s="20">
        <v>0.23796423658872079</v>
      </c>
    </row>
    <row r="14513" spans="1:12" x14ac:dyDescent="0.45">
      <c r="A14513" s="12" t="s">
        <v>27668</v>
      </c>
      <c r="B14513" s="12" t="s">
        <v>3244</v>
      </c>
      <c r="C14513" s="13" t="s">
        <v>3245</v>
      </c>
      <c r="D14513" s="13" t="s">
        <v>23</v>
      </c>
      <c r="E14513" s="12" t="s">
        <v>16</v>
      </c>
      <c r="F14513" s="14">
        <v>53000</v>
      </c>
      <c r="G14513" s="14">
        <v>47150</v>
      </c>
      <c r="H14513" s="13" t="s">
        <v>27765</v>
      </c>
      <c r="I14513" s="40" t="s">
        <v>18</v>
      </c>
      <c r="J14513" s="40" t="str">
        <f>HYPERLINK("https://m.stock.naver.com/research/company/80774","PDF")</f>
        <v>PDF</v>
      </c>
      <c r="K14513" s="12" t="s">
        <v>27766</v>
      </c>
      <c r="L14513" s="20">
        <v>0.1240721102863203</v>
      </c>
    </row>
    <row r="14514" spans="1:12" x14ac:dyDescent="0.45">
      <c r="A14514" s="12" t="s">
        <v>27668</v>
      </c>
      <c r="B14514" s="12" t="s">
        <v>9826</v>
      </c>
      <c r="C14514" s="13" t="s">
        <v>9827</v>
      </c>
      <c r="D14514" s="13" t="s">
        <v>53</v>
      </c>
      <c r="E14514" s="12" t="s">
        <v>16</v>
      </c>
      <c r="F14514" s="14">
        <v>27000</v>
      </c>
      <c r="G14514" s="14">
        <v>11760</v>
      </c>
      <c r="H14514" s="13" t="s">
        <v>27767</v>
      </c>
      <c r="I14514" s="40" t="s">
        <v>18</v>
      </c>
      <c r="J14514" s="40" t="str">
        <f>HYPERLINK("https://m.stock.naver.com/research/company/80773","PDF")</f>
        <v>PDF</v>
      </c>
      <c r="K14514" s="12" t="s">
        <v>27768</v>
      </c>
      <c r="L14514" s="20">
        <v>1.295918367346939</v>
      </c>
    </row>
    <row r="14515" spans="1:12" x14ac:dyDescent="0.45">
      <c r="A14515" s="12" t="s">
        <v>27668</v>
      </c>
      <c r="B14515" s="12" t="s">
        <v>736</v>
      </c>
      <c r="C14515" s="13" t="s">
        <v>737</v>
      </c>
      <c r="D14515" s="13" t="s">
        <v>92</v>
      </c>
      <c r="E14515" s="12" t="s">
        <v>35</v>
      </c>
      <c r="F14515" s="14">
        <v>90000</v>
      </c>
      <c r="G14515" s="14">
        <v>77000</v>
      </c>
      <c r="H14515" s="13" t="s">
        <v>27769</v>
      </c>
      <c r="I14515" s="40" t="s">
        <v>18</v>
      </c>
      <c r="J14515" s="40" t="str">
        <f>HYPERLINK("https://m.stock.naver.com/research/company/80772","PDF")</f>
        <v>PDF</v>
      </c>
      <c r="K14515" s="12" t="s">
        <v>27770</v>
      </c>
      <c r="L14515" s="20">
        <v>0.1688311688311688</v>
      </c>
    </row>
    <row r="14516" spans="1:12" x14ac:dyDescent="0.45">
      <c r="A14516" s="12" t="s">
        <v>27668</v>
      </c>
      <c r="B14516" s="12" t="s">
        <v>2781</v>
      </c>
      <c r="C14516" s="13" t="s">
        <v>2782</v>
      </c>
      <c r="D14516" s="13" t="s">
        <v>44</v>
      </c>
      <c r="E14516" s="12" t="s">
        <v>35</v>
      </c>
      <c r="F14516" s="14">
        <v>160000</v>
      </c>
      <c r="G14516" s="14">
        <v>102700</v>
      </c>
      <c r="H14516" s="13" t="s">
        <v>27771</v>
      </c>
      <c r="I14516" s="40" t="s">
        <v>18</v>
      </c>
      <c r="J14516" s="40" t="str">
        <f>HYPERLINK("https://m.stock.naver.com/research/company/80771","PDF")</f>
        <v>PDF</v>
      </c>
      <c r="K14516" s="12" t="s">
        <v>27772</v>
      </c>
      <c r="L14516" s="20">
        <v>0.55793573515092498</v>
      </c>
    </row>
    <row r="14517" spans="1:12" x14ac:dyDescent="0.45">
      <c r="A14517" s="12" t="s">
        <v>27668</v>
      </c>
      <c r="B14517" s="12" t="s">
        <v>856</v>
      </c>
      <c r="C14517" s="13" t="s">
        <v>857</v>
      </c>
      <c r="D14517" s="13" t="s">
        <v>179</v>
      </c>
      <c r="E14517" s="12" t="s">
        <v>16</v>
      </c>
      <c r="F14517" s="14">
        <v>210000</v>
      </c>
      <c r="G14517" s="14">
        <v>144400</v>
      </c>
      <c r="H14517" s="13" t="s">
        <v>27773</v>
      </c>
      <c r="I14517" s="40" t="s">
        <v>18</v>
      </c>
      <c r="J14517" s="40" t="str">
        <f>HYPERLINK("https://m.stock.naver.com/research/company/80770","PDF")</f>
        <v>PDF</v>
      </c>
      <c r="K14517" s="12" t="s">
        <v>27774</v>
      </c>
      <c r="L14517" s="20">
        <v>0.45429362880886431</v>
      </c>
    </row>
    <row r="14518" spans="1:12" x14ac:dyDescent="0.45">
      <c r="A14518" s="12" t="s">
        <v>27668</v>
      </c>
      <c r="B14518" s="12" t="s">
        <v>3492</v>
      </c>
      <c r="C14518" s="13" t="s">
        <v>3493</v>
      </c>
      <c r="D14518" s="13" t="s">
        <v>23</v>
      </c>
      <c r="E14518" s="12" t="s">
        <v>16</v>
      </c>
      <c r="F14518" s="14">
        <v>17000</v>
      </c>
      <c r="G14518" s="14">
        <v>15260</v>
      </c>
      <c r="H14518" s="13" t="s">
        <v>27775</v>
      </c>
      <c r="I14518" s="40" t="s">
        <v>18</v>
      </c>
      <c r="J14518" s="40" t="str">
        <f>HYPERLINK("https://stock.pstatic.net/stock-research/company/21/20250211_company_870713000.pdf","PDF")</f>
        <v>PDF</v>
      </c>
      <c r="K14518" s="12" t="s">
        <v>27776</v>
      </c>
      <c r="L14518" s="20">
        <v>0.11402359108781129</v>
      </c>
    </row>
    <row r="14519" spans="1:12" x14ac:dyDescent="0.45">
      <c r="A14519" s="12" t="s">
        <v>27668</v>
      </c>
      <c r="B14519" s="12" t="s">
        <v>495</v>
      </c>
      <c r="C14519" s="13" t="s">
        <v>496</v>
      </c>
      <c r="D14519" s="13" t="s">
        <v>23</v>
      </c>
      <c r="E14519" s="12" t="s">
        <v>16</v>
      </c>
      <c r="F14519" s="14">
        <v>68000</v>
      </c>
      <c r="G14519" s="14">
        <v>48350</v>
      </c>
      <c r="H14519" s="13" t="s">
        <v>27777</v>
      </c>
      <c r="I14519" s="40" t="s">
        <v>18</v>
      </c>
      <c r="J14519" s="40" t="str">
        <f>HYPERLINK("https://stock.pstatic.net/stock-research/company/21/20250211_company_815437000.pdf","PDF")</f>
        <v>PDF</v>
      </c>
      <c r="K14519" s="12" t="s">
        <v>27778</v>
      </c>
      <c r="L14519" s="20">
        <v>0.40641158221302998</v>
      </c>
    </row>
    <row r="14520" spans="1:12" x14ac:dyDescent="0.45">
      <c r="A14520" s="12" t="s">
        <v>27668</v>
      </c>
      <c r="B14520" s="12" t="s">
        <v>677</v>
      </c>
      <c r="C14520" s="13" t="s">
        <v>678</v>
      </c>
      <c r="D14520" s="13" t="s">
        <v>23</v>
      </c>
      <c r="E14520" s="12" t="s">
        <v>50</v>
      </c>
      <c r="F14520" s="14">
        <v>15000</v>
      </c>
      <c r="G14520" s="14">
        <v>13790</v>
      </c>
      <c r="H14520" s="13" t="s">
        <v>6790</v>
      </c>
      <c r="I14520" s="40" t="s">
        <v>18</v>
      </c>
      <c r="J14520" s="40" t="str">
        <f>HYPERLINK("https://stock.pstatic.net/stock-research/company/21/20250211_company_566927000.pdf","PDF")</f>
        <v>PDF</v>
      </c>
      <c r="K14520" s="12" t="s">
        <v>27779</v>
      </c>
      <c r="L14520" s="20">
        <v>8.7744742567077594E-2</v>
      </c>
    </row>
    <row r="14521" spans="1:12" x14ac:dyDescent="0.45">
      <c r="A14521" s="12" t="s">
        <v>27668</v>
      </c>
      <c r="B14521" s="12" t="s">
        <v>495</v>
      </c>
      <c r="C14521" s="13" t="s">
        <v>496</v>
      </c>
      <c r="D14521" s="13" t="s">
        <v>44</v>
      </c>
      <c r="E14521" s="12" t="s">
        <v>35</v>
      </c>
      <c r="F14521" s="14">
        <v>68000</v>
      </c>
      <c r="G14521" s="14">
        <v>48350</v>
      </c>
      <c r="H14521" s="13" t="s">
        <v>27780</v>
      </c>
      <c r="I14521" s="40" t="s">
        <v>18</v>
      </c>
      <c r="J14521" s="40" t="str">
        <f>HYPERLINK("https://stock.pstatic.net/stock-research/company/39/20250211_company_664616000.pdf","PDF")</f>
        <v>PDF</v>
      </c>
      <c r="K14521" s="12" t="s">
        <v>27781</v>
      </c>
      <c r="L14521" s="20">
        <v>0.40641158221302998</v>
      </c>
    </row>
    <row r="14522" spans="1:12" x14ac:dyDescent="0.45">
      <c r="A14522" s="12" t="s">
        <v>27668</v>
      </c>
      <c r="B14522" s="12" t="s">
        <v>272</v>
      </c>
      <c r="C14522" s="13" t="s">
        <v>273</v>
      </c>
      <c r="D14522" s="13" t="s">
        <v>44</v>
      </c>
      <c r="E14522" s="12" t="s">
        <v>35</v>
      </c>
      <c r="F14522" s="14">
        <v>330000</v>
      </c>
      <c r="G14522" s="14">
        <v>273500</v>
      </c>
      <c r="H14522" s="13" t="s">
        <v>27782</v>
      </c>
      <c r="I14522" s="40" t="s">
        <v>18</v>
      </c>
      <c r="J14522" s="40" t="str">
        <f>HYPERLINK("https://stock.pstatic.net/stock-research/company/39/20250211_company_222489000.pdf","PDF")</f>
        <v>PDF</v>
      </c>
      <c r="K14522" s="12" t="s">
        <v>27783</v>
      </c>
      <c r="L14522" s="20">
        <v>0.20658135283363799</v>
      </c>
    </row>
    <row r="14523" spans="1:12" x14ac:dyDescent="0.45">
      <c r="A14523" s="12" t="s">
        <v>27668</v>
      </c>
      <c r="B14523" s="12" t="s">
        <v>856</v>
      </c>
      <c r="C14523" s="13" t="s">
        <v>857</v>
      </c>
      <c r="D14523" s="13" t="s">
        <v>44</v>
      </c>
      <c r="E14523" s="12" t="s">
        <v>35</v>
      </c>
      <c r="F14523" s="14">
        <v>200000</v>
      </c>
      <c r="G14523" s="14">
        <v>144400</v>
      </c>
      <c r="H14523" s="13" t="s">
        <v>27784</v>
      </c>
      <c r="I14523" s="40" t="s">
        <v>18</v>
      </c>
      <c r="J14523" s="40" t="str">
        <f>HYPERLINK("https://stock.pstatic.net/stock-research/company/39/20250211_company_238919000.pdf","PDF")</f>
        <v>PDF</v>
      </c>
      <c r="K14523" s="12" t="s">
        <v>27785</v>
      </c>
      <c r="L14523" s="20">
        <v>0.38504155124653738</v>
      </c>
    </row>
    <row r="14524" spans="1:12" x14ac:dyDescent="0.45">
      <c r="A14524" s="12" t="s">
        <v>27668</v>
      </c>
      <c r="B14524" s="12" t="s">
        <v>81</v>
      </c>
      <c r="C14524" s="13" t="s">
        <v>82</v>
      </c>
      <c r="D14524" s="13" t="s">
        <v>44</v>
      </c>
      <c r="E14524" s="12" t="s">
        <v>35</v>
      </c>
      <c r="F14524" s="14">
        <v>19000</v>
      </c>
      <c r="G14524" s="14">
        <v>14540</v>
      </c>
      <c r="H14524" s="13" t="s">
        <v>27786</v>
      </c>
      <c r="I14524" s="40" t="s">
        <v>18</v>
      </c>
      <c r="J14524" s="40" t="str">
        <f>HYPERLINK("https://stock.pstatic.net/stock-research/company/1/20250211_company_425922000.pdf","PDF")</f>
        <v>PDF</v>
      </c>
      <c r="K14524" s="12" t="s">
        <v>27787</v>
      </c>
      <c r="L14524" s="20">
        <v>0.30674002751031643</v>
      </c>
    </row>
    <row r="14525" spans="1:12" x14ac:dyDescent="0.45">
      <c r="A14525" s="12" t="s">
        <v>27668</v>
      </c>
      <c r="B14525" s="12" t="s">
        <v>1648</v>
      </c>
      <c r="C14525" s="13" t="s">
        <v>1649</v>
      </c>
      <c r="D14525" s="13" t="s">
        <v>44</v>
      </c>
      <c r="E14525" s="12" t="s">
        <v>35</v>
      </c>
      <c r="F14525" s="14">
        <v>120000</v>
      </c>
      <c r="G14525" s="14">
        <v>92300</v>
      </c>
      <c r="H14525" s="13" t="s">
        <v>27788</v>
      </c>
      <c r="I14525" s="40" t="s">
        <v>18</v>
      </c>
      <c r="J14525" s="40" t="str">
        <f>HYPERLINK("https://stock.pstatic.net/stock-research/company/39/20250211_company_121537000.pdf","PDF")</f>
        <v>PDF</v>
      </c>
      <c r="K14525" s="12" t="s">
        <v>27789</v>
      </c>
      <c r="L14525" s="20">
        <v>0.30010834236186351</v>
      </c>
    </row>
    <row r="14526" spans="1:12" x14ac:dyDescent="0.45">
      <c r="A14526" s="12" t="s">
        <v>27668</v>
      </c>
      <c r="B14526" s="12" t="s">
        <v>3492</v>
      </c>
      <c r="C14526" s="13" t="s">
        <v>3493</v>
      </c>
      <c r="D14526" s="13" t="s">
        <v>44</v>
      </c>
      <c r="E14526" s="12" t="s">
        <v>35</v>
      </c>
      <c r="F14526" s="14">
        <v>20000</v>
      </c>
      <c r="G14526" s="14">
        <v>15260</v>
      </c>
      <c r="H14526" s="13" t="s">
        <v>27790</v>
      </c>
      <c r="I14526" s="40" t="s">
        <v>18</v>
      </c>
      <c r="J14526" s="40" t="str">
        <f>HYPERLINK("https://stock.pstatic.net/stock-research/company/39/20250211_company_546851000.pdf","PDF")</f>
        <v>PDF</v>
      </c>
      <c r="K14526" s="12" t="s">
        <v>27791</v>
      </c>
      <c r="L14526" s="20">
        <v>0.31061598951507208</v>
      </c>
    </row>
    <row r="14527" spans="1:12" x14ac:dyDescent="0.45">
      <c r="A14527" s="12" t="s">
        <v>27668</v>
      </c>
      <c r="B14527" s="12" t="s">
        <v>2346</v>
      </c>
      <c r="C14527" s="13" t="s">
        <v>2347</v>
      </c>
      <c r="D14527" s="13" t="s">
        <v>124</v>
      </c>
      <c r="E14527" s="12" t="s">
        <v>50</v>
      </c>
      <c r="F14527" s="13"/>
      <c r="G14527" s="13"/>
      <c r="H14527" s="13" t="s">
        <v>27792</v>
      </c>
      <c r="I14527" s="40" t="s">
        <v>18</v>
      </c>
      <c r="J14527" s="40" t="str">
        <f>HYPERLINK("https://stock.pstatic.net/stock-research/company/1/20250211_company_939860000.pdf","PDF")</f>
        <v>PDF</v>
      </c>
      <c r="K14527" s="12" t="s">
        <v>27793</v>
      </c>
    </row>
    <row r="14528" spans="1:12" x14ac:dyDescent="0.45">
      <c r="A14528" s="12" t="s">
        <v>27668</v>
      </c>
      <c r="B14528" s="12" t="s">
        <v>842</v>
      </c>
      <c r="C14528" s="13" t="s">
        <v>843</v>
      </c>
      <c r="D14528" s="13" t="s">
        <v>124</v>
      </c>
      <c r="E14528" s="12" t="s">
        <v>50</v>
      </c>
      <c r="F14528" s="13"/>
      <c r="G14528" s="13"/>
      <c r="H14528" s="13" t="s">
        <v>27794</v>
      </c>
      <c r="I14528" s="40" t="s">
        <v>18</v>
      </c>
      <c r="J14528" s="40" t="str">
        <f>HYPERLINK("https://stock.pstatic.net/stock-research/company/1/20250211_company_806823000.pdf","PDF")</f>
        <v>PDF</v>
      </c>
      <c r="K14528" s="12" t="s">
        <v>27795</v>
      </c>
    </row>
    <row r="14529" spans="1:12" x14ac:dyDescent="0.45">
      <c r="A14529" s="12" t="s">
        <v>27668</v>
      </c>
      <c r="B14529" s="12" t="s">
        <v>6597</v>
      </c>
      <c r="C14529" s="13" t="s">
        <v>6598</v>
      </c>
      <c r="D14529" s="13" t="s">
        <v>124</v>
      </c>
      <c r="E14529" s="12" t="s">
        <v>50</v>
      </c>
      <c r="F14529" s="13"/>
      <c r="G14529" s="13"/>
      <c r="H14529" s="13" t="s">
        <v>27796</v>
      </c>
      <c r="I14529" s="40" t="s">
        <v>18</v>
      </c>
      <c r="J14529" s="40" t="str">
        <f>HYPERLINK("https://stock.pstatic.net/stock-research/company/74/20250211_company_434979000.pdf","PDF")</f>
        <v>PDF</v>
      </c>
      <c r="K14529" s="12" t="s">
        <v>27797</v>
      </c>
    </row>
    <row r="14530" spans="1:12" x14ac:dyDescent="0.45">
      <c r="A14530" s="12" t="s">
        <v>27668</v>
      </c>
      <c r="B14530" s="12" t="s">
        <v>1042</v>
      </c>
      <c r="C14530" s="13" t="s">
        <v>1043</v>
      </c>
      <c r="D14530" s="13" t="s">
        <v>53</v>
      </c>
      <c r="E14530" s="12" t="s">
        <v>16</v>
      </c>
      <c r="F14530" s="14">
        <v>48000</v>
      </c>
      <c r="G14530" s="14">
        <v>20300</v>
      </c>
      <c r="H14530" s="13" t="s">
        <v>27798</v>
      </c>
      <c r="I14530" s="40" t="s">
        <v>18</v>
      </c>
      <c r="J14530" s="40" t="str">
        <f>HYPERLINK("https://stock.pstatic.net/stock-research/company/40/20250211_company_89871000.pdf","PDF")</f>
        <v>PDF</v>
      </c>
      <c r="K14530" s="12" t="s">
        <v>27799</v>
      </c>
      <c r="L14530" s="20">
        <v>1.3645320197044331</v>
      </c>
    </row>
    <row r="14531" spans="1:12" x14ac:dyDescent="0.45">
      <c r="A14531" s="12" t="s">
        <v>27800</v>
      </c>
      <c r="B14531" s="12" t="s">
        <v>13410</v>
      </c>
      <c r="C14531" s="13" t="s">
        <v>13411</v>
      </c>
      <c r="D14531" s="13" t="s">
        <v>276</v>
      </c>
      <c r="E14531" s="12" t="s">
        <v>16</v>
      </c>
      <c r="F14531" s="14">
        <v>150000</v>
      </c>
      <c r="G14531" s="14">
        <v>111200</v>
      </c>
      <c r="H14531" s="13" t="s">
        <v>27801</v>
      </c>
      <c r="I14531" s="40" t="s">
        <v>18</v>
      </c>
      <c r="J14531" s="40" t="str">
        <f>HYPERLINK("https://stock.pstatic.net/stock-research/company/66/20250210_company_947037000.pdf","PDF")</f>
        <v>PDF</v>
      </c>
      <c r="K14531" s="12" t="s">
        <v>27802</v>
      </c>
      <c r="L14531" s="20">
        <v>0.34892086330935251</v>
      </c>
    </row>
    <row r="14532" spans="1:12" x14ac:dyDescent="0.45">
      <c r="A14532" s="12" t="s">
        <v>27800</v>
      </c>
      <c r="B14532" s="12" t="s">
        <v>42</v>
      </c>
      <c r="C14532" s="13" t="s">
        <v>43</v>
      </c>
      <c r="D14532" s="13" t="s">
        <v>60</v>
      </c>
      <c r="E14532" s="12" t="s">
        <v>35</v>
      </c>
      <c r="F14532" s="14">
        <v>285000</v>
      </c>
      <c r="G14532" s="14">
        <v>225500</v>
      </c>
      <c r="H14532" s="13" t="s">
        <v>27803</v>
      </c>
      <c r="I14532" s="40" t="s">
        <v>18</v>
      </c>
      <c r="J14532" s="40" t="str">
        <f>HYPERLINK("https://stock.pstatic.net/stock-research/company/34/20250210_company_497599000.pdf","PDF")</f>
        <v>PDF</v>
      </c>
      <c r="K14532" s="12" t="s">
        <v>27804</v>
      </c>
      <c r="L14532" s="20">
        <v>0.26385809312638581</v>
      </c>
    </row>
    <row r="14533" spans="1:12" x14ac:dyDescent="0.45">
      <c r="A14533" s="12" t="s">
        <v>27800</v>
      </c>
      <c r="B14533" s="12" t="s">
        <v>2266</v>
      </c>
      <c r="C14533" s="13" t="s">
        <v>2267</v>
      </c>
      <c r="D14533" s="13" t="s">
        <v>60</v>
      </c>
      <c r="E14533" s="12" t="s">
        <v>35</v>
      </c>
      <c r="F14533" s="14">
        <v>77000</v>
      </c>
      <c r="G14533" s="14">
        <v>51700</v>
      </c>
      <c r="H14533" s="13" t="s">
        <v>27805</v>
      </c>
      <c r="I14533" s="40" t="s">
        <v>18</v>
      </c>
      <c r="J14533" s="40" t="str">
        <f>HYPERLINK("https://m.stock.naver.com/research/company/80754","PDF")</f>
        <v>PDF</v>
      </c>
      <c r="K14533" s="12" t="s">
        <v>27806</v>
      </c>
      <c r="L14533" s="20">
        <v>0.48936170212765961</v>
      </c>
    </row>
    <row r="14534" spans="1:12" x14ac:dyDescent="0.45">
      <c r="A14534" s="12" t="s">
        <v>27800</v>
      </c>
      <c r="B14534" s="12" t="s">
        <v>2837</v>
      </c>
      <c r="C14534" s="13" t="s">
        <v>2838</v>
      </c>
      <c r="D14534" s="13" t="s">
        <v>60</v>
      </c>
      <c r="E14534" s="12" t="s">
        <v>35</v>
      </c>
      <c r="F14534" s="14">
        <v>30000</v>
      </c>
      <c r="G14534" s="14">
        <v>25300</v>
      </c>
      <c r="H14534" s="13" t="s">
        <v>27807</v>
      </c>
      <c r="I14534" s="40" t="s">
        <v>18</v>
      </c>
      <c r="J14534" s="40" t="str">
        <f>HYPERLINK("https://stock.pstatic.net/stock-research/company/62/20250210_company_68841000.pdf","PDF")</f>
        <v>PDF</v>
      </c>
      <c r="K14534" s="12" t="s">
        <v>27808</v>
      </c>
      <c r="L14534" s="20">
        <v>0.1857707509881423</v>
      </c>
    </row>
    <row r="14535" spans="1:12" x14ac:dyDescent="0.45">
      <c r="A14535" s="12" t="s">
        <v>27800</v>
      </c>
      <c r="B14535" s="12" t="s">
        <v>4642</v>
      </c>
      <c r="C14535" s="13" t="s">
        <v>4643</v>
      </c>
      <c r="D14535" s="13" t="s">
        <v>65</v>
      </c>
      <c r="E14535" s="12" t="s">
        <v>35</v>
      </c>
      <c r="F14535" s="14">
        <v>33000</v>
      </c>
      <c r="G14535" s="14">
        <v>23600</v>
      </c>
      <c r="H14535" s="13" t="s">
        <v>27809</v>
      </c>
      <c r="I14535" s="40" t="s">
        <v>18</v>
      </c>
      <c r="J14535" s="40" t="str">
        <f>HYPERLINK("https://stock.pstatic.net/stock-research/company/57/20250210_company_40427000.pdf","PDF")</f>
        <v>PDF</v>
      </c>
      <c r="K14535" s="12" t="s">
        <v>27810</v>
      </c>
      <c r="L14535" s="20">
        <v>0.39830508474576271</v>
      </c>
    </row>
    <row r="14536" spans="1:12" x14ac:dyDescent="0.45">
      <c r="A14536" s="12" t="s">
        <v>27800</v>
      </c>
      <c r="B14536" s="12" t="s">
        <v>42</v>
      </c>
      <c r="C14536" s="13" t="s">
        <v>43</v>
      </c>
      <c r="D14536" s="13" t="s">
        <v>65</v>
      </c>
      <c r="E14536" s="12" t="s">
        <v>35</v>
      </c>
      <c r="F14536" s="14">
        <v>270000</v>
      </c>
      <c r="G14536" s="14">
        <v>225500</v>
      </c>
      <c r="H14536" s="13" t="s">
        <v>27811</v>
      </c>
      <c r="I14536" s="40" t="s">
        <v>18</v>
      </c>
      <c r="J14536" s="40" t="str">
        <f>HYPERLINK("https://m.stock.naver.com/research/company/80751","PDF")</f>
        <v>PDF</v>
      </c>
      <c r="K14536" s="12" t="s">
        <v>27812</v>
      </c>
      <c r="L14536" s="20">
        <v>0.19733924611973391</v>
      </c>
    </row>
    <row r="14537" spans="1:12" x14ac:dyDescent="0.45">
      <c r="A14537" s="12" t="s">
        <v>27800</v>
      </c>
      <c r="B14537" s="12" t="s">
        <v>3708</v>
      </c>
      <c r="C14537" s="13" t="s">
        <v>3709</v>
      </c>
      <c r="D14537" s="13" t="s">
        <v>65</v>
      </c>
      <c r="E14537" s="12" t="s">
        <v>50</v>
      </c>
      <c r="F14537" s="13"/>
      <c r="G14537" s="14">
        <v>11840</v>
      </c>
      <c r="H14537" s="13" t="s">
        <v>27813</v>
      </c>
      <c r="I14537" s="40" t="s">
        <v>18</v>
      </c>
      <c r="J14537" s="40" t="str">
        <f>HYPERLINK("https://m.stock.naver.com/research/company/80750","PDF")</f>
        <v>PDF</v>
      </c>
      <c r="K14537" s="12" t="s">
        <v>27814</v>
      </c>
    </row>
    <row r="14538" spans="1:12" x14ac:dyDescent="0.45">
      <c r="A14538" s="12" t="s">
        <v>27800</v>
      </c>
      <c r="B14538" s="12" t="s">
        <v>3488</v>
      </c>
      <c r="C14538" s="13" t="s">
        <v>3489</v>
      </c>
      <c r="D14538" s="13" t="s">
        <v>65</v>
      </c>
      <c r="E14538" s="12" t="s">
        <v>35</v>
      </c>
      <c r="F14538" s="14">
        <v>20500</v>
      </c>
      <c r="G14538" s="14">
        <v>15390</v>
      </c>
      <c r="H14538" s="13" t="s">
        <v>23010</v>
      </c>
      <c r="I14538" s="40" t="s">
        <v>18</v>
      </c>
      <c r="J14538" s="40" t="str">
        <f>HYPERLINK("https://m.stock.naver.com/research/company/80749","PDF")</f>
        <v>PDF</v>
      </c>
      <c r="K14538" s="12" t="s">
        <v>27815</v>
      </c>
      <c r="L14538" s="20">
        <v>0.33203378817413898</v>
      </c>
    </row>
    <row r="14539" spans="1:12" x14ac:dyDescent="0.45">
      <c r="A14539" s="12" t="s">
        <v>27800</v>
      </c>
      <c r="B14539" s="12" t="s">
        <v>3369</v>
      </c>
      <c r="C14539" s="13" t="s">
        <v>3370</v>
      </c>
      <c r="D14539" s="13" t="s">
        <v>65</v>
      </c>
      <c r="E14539" s="12" t="s">
        <v>35</v>
      </c>
      <c r="F14539" s="14">
        <v>22500</v>
      </c>
      <c r="G14539" s="14">
        <v>18960</v>
      </c>
      <c r="H14539" s="13" t="s">
        <v>27816</v>
      </c>
      <c r="I14539" s="40" t="s">
        <v>18</v>
      </c>
      <c r="J14539" s="40" t="str">
        <f>HYPERLINK("https://m.stock.naver.com/research/company/80748","PDF")</f>
        <v>PDF</v>
      </c>
      <c r="K14539" s="12" t="s">
        <v>27817</v>
      </c>
      <c r="L14539" s="20">
        <v>0.18670886075949369</v>
      </c>
    </row>
    <row r="14540" spans="1:12" x14ac:dyDescent="0.45">
      <c r="A14540" s="12" t="s">
        <v>27800</v>
      </c>
      <c r="B14540" s="12" t="s">
        <v>3168</v>
      </c>
      <c r="C14540" s="13" t="s">
        <v>25909</v>
      </c>
      <c r="D14540" s="13" t="s">
        <v>65</v>
      </c>
      <c r="E14540" s="12" t="s">
        <v>35</v>
      </c>
      <c r="F14540" s="14">
        <v>11500</v>
      </c>
      <c r="G14540" s="14">
        <v>9280</v>
      </c>
      <c r="H14540" s="13" t="s">
        <v>27818</v>
      </c>
      <c r="I14540" s="40" t="s">
        <v>18</v>
      </c>
      <c r="J14540" s="40" t="str">
        <f>HYPERLINK("https://m.stock.naver.com/research/company/80747","PDF")</f>
        <v>PDF</v>
      </c>
      <c r="K14540" s="12" t="s">
        <v>27819</v>
      </c>
      <c r="L14540" s="20">
        <v>0.2392241379310345</v>
      </c>
    </row>
    <row r="14541" spans="1:12" x14ac:dyDescent="0.45">
      <c r="A14541" s="12" t="s">
        <v>27800</v>
      </c>
      <c r="B14541" s="12" t="s">
        <v>792</v>
      </c>
      <c r="C14541" s="13" t="s">
        <v>793</v>
      </c>
      <c r="D14541" s="13" t="s">
        <v>65</v>
      </c>
      <c r="E14541" s="12" t="s">
        <v>35</v>
      </c>
      <c r="F14541" s="14">
        <v>25000</v>
      </c>
      <c r="G14541" s="14">
        <v>15850</v>
      </c>
      <c r="H14541" s="13" t="s">
        <v>27820</v>
      </c>
      <c r="I14541" s="40" t="s">
        <v>18</v>
      </c>
      <c r="J14541" s="40" t="str">
        <f>HYPERLINK("https://stock.pstatic.net/stock-research/company/57/20250210_company_217319000.pdf","PDF")</f>
        <v>PDF</v>
      </c>
      <c r="K14541" s="12" t="s">
        <v>27821</v>
      </c>
      <c r="L14541" s="20">
        <v>0.57728706624605675</v>
      </c>
    </row>
    <row r="14542" spans="1:12" x14ac:dyDescent="0.45">
      <c r="A14542" s="12" t="s">
        <v>27800</v>
      </c>
      <c r="B14542" s="12" t="s">
        <v>3113</v>
      </c>
      <c r="C14542" s="13" t="s">
        <v>3114</v>
      </c>
      <c r="D14542" s="13" t="s">
        <v>65</v>
      </c>
      <c r="E14542" s="12" t="s">
        <v>35</v>
      </c>
      <c r="F14542" s="14">
        <v>40000</v>
      </c>
      <c r="G14542" s="14">
        <v>26300</v>
      </c>
      <c r="H14542" s="13" t="s">
        <v>27822</v>
      </c>
      <c r="I14542" s="40" t="s">
        <v>18</v>
      </c>
      <c r="J14542" s="40" t="str">
        <f>HYPERLINK("https://m.stock.naver.com/research/company/80745","PDF")</f>
        <v>PDF</v>
      </c>
      <c r="K14542" s="12" t="s">
        <v>27823</v>
      </c>
      <c r="L14542" s="20">
        <v>0.52091254752851712</v>
      </c>
    </row>
    <row r="14543" spans="1:12" x14ac:dyDescent="0.45">
      <c r="A14543" s="12" t="s">
        <v>27800</v>
      </c>
      <c r="B14543" s="12" t="s">
        <v>1674</v>
      </c>
      <c r="C14543" s="13" t="s">
        <v>1675</v>
      </c>
      <c r="D14543" s="13" t="s">
        <v>65</v>
      </c>
      <c r="E14543" s="12" t="s">
        <v>35</v>
      </c>
      <c r="F14543" s="14">
        <v>350000</v>
      </c>
      <c r="G14543" s="14">
        <v>263000</v>
      </c>
      <c r="H14543" s="13" t="s">
        <v>27824</v>
      </c>
      <c r="I14543" s="40" t="s">
        <v>18</v>
      </c>
      <c r="J14543" s="40" t="str">
        <f>HYPERLINK("https://m.stock.naver.com/research/company/80744","PDF")</f>
        <v>PDF</v>
      </c>
      <c r="K14543" s="12" t="s">
        <v>27825</v>
      </c>
      <c r="L14543" s="20">
        <v>0.33079847908745252</v>
      </c>
    </row>
    <row r="14544" spans="1:12" x14ac:dyDescent="0.45">
      <c r="A14544" s="12" t="s">
        <v>27800</v>
      </c>
      <c r="B14544" s="12" t="s">
        <v>2040</v>
      </c>
      <c r="C14544" s="13" t="s">
        <v>2041</v>
      </c>
      <c r="D14544" s="13" t="s">
        <v>65</v>
      </c>
      <c r="E14544" s="12" t="s">
        <v>1738</v>
      </c>
      <c r="F14544" s="14">
        <v>75000</v>
      </c>
      <c r="G14544" s="14">
        <v>54500</v>
      </c>
      <c r="H14544" s="13" t="s">
        <v>27826</v>
      </c>
      <c r="I14544" s="40" t="s">
        <v>18</v>
      </c>
      <c r="J14544" s="40" t="str">
        <f>HYPERLINK("https://m.stock.naver.com/research/company/80743","PDF")</f>
        <v>PDF</v>
      </c>
      <c r="K14544" s="12" t="s">
        <v>27827</v>
      </c>
      <c r="L14544" s="20">
        <v>0.37614678899082571</v>
      </c>
    </row>
    <row r="14545" spans="1:12" x14ac:dyDescent="0.45">
      <c r="A14545" s="12" t="s">
        <v>27800</v>
      </c>
      <c r="B14545" s="12" t="s">
        <v>362</v>
      </c>
      <c r="C14545" s="13" t="s">
        <v>363</v>
      </c>
      <c r="D14545" s="13" t="s">
        <v>57</v>
      </c>
      <c r="E14545" s="12" t="s">
        <v>35</v>
      </c>
      <c r="F14545" s="14">
        <v>95000</v>
      </c>
      <c r="G14545" s="14">
        <v>72800</v>
      </c>
      <c r="H14545" s="13" t="s">
        <v>27828</v>
      </c>
      <c r="I14545" s="40" t="s">
        <v>18</v>
      </c>
      <c r="J14545" s="40" t="str">
        <f>HYPERLINK("https://m.stock.naver.com/research/company/80741","PDF")</f>
        <v>PDF</v>
      </c>
      <c r="K14545" s="12" t="s">
        <v>27829</v>
      </c>
      <c r="L14545" s="20">
        <v>0.30494505494505503</v>
      </c>
    </row>
    <row r="14546" spans="1:12" x14ac:dyDescent="0.45">
      <c r="A14546" s="12" t="s">
        <v>27800</v>
      </c>
      <c r="B14546" s="12" t="s">
        <v>170</v>
      </c>
      <c r="C14546" s="13" t="s">
        <v>171</v>
      </c>
      <c r="D14546" s="13" t="s">
        <v>57</v>
      </c>
      <c r="E14546" s="12" t="s">
        <v>35</v>
      </c>
      <c r="F14546" s="14">
        <v>100000</v>
      </c>
      <c r="G14546" s="14">
        <v>67000</v>
      </c>
      <c r="H14546" s="13" t="s">
        <v>27830</v>
      </c>
      <c r="I14546" s="40" t="s">
        <v>18</v>
      </c>
      <c r="J14546" s="40" t="str">
        <f>HYPERLINK("https://stock.pstatic.net/stock-research/company/16/20250210_company_698295000.pdf","PDF")</f>
        <v>PDF</v>
      </c>
      <c r="K14546" s="12" t="s">
        <v>27831</v>
      </c>
      <c r="L14546" s="20">
        <v>0.4925373134328358</v>
      </c>
    </row>
    <row r="14547" spans="1:12" x14ac:dyDescent="0.45">
      <c r="A14547" s="12" t="s">
        <v>27800</v>
      </c>
      <c r="B14547" s="12" t="s">
        <v>366</v>
      </c>
      <c r="C14547" s="13" t="s">
        <v>367</v>
      </c>
      <c r="D14547" s="13" t="s">
        <v>57</v>
      </c>
      <c r="E14547" s="12" t="s">
        <v>35</v>
      </c>
      <c r="F14547" s="14">
        <v>21000</v>
      </c>
      <c r="G14547" s="14">
        <v>15570</v>
      </c>
      <c r="H14547" s="13" t="s">
        <v>27832</v>
      </c>
      <c r="I14547" s="40" t="s">
        <v>18</v>
      </c>
      <c r="J14547" s="40" t="str">
        <f>HYPERLINK("https://stock.pstatic.net/stock-research/company/16/20250210_company_541029000.pdf","PDF")</f>
        <v>PDF</v>
      </c>
      <c r="K14547" s="12" t="s">
        <v>27833</v>
      </c>
      <c r="L14547" s="20">
        <v>0.34874759152215801</v>
      </c>
    </row>
    <row r="14548" spans="1:12" x14ac:dyDescent="0.45">
      <c r="A14548" s="12" t="s">
        <v>27800</v>
      </c>
      <c r="B14548" s="12" t="s">
        <v>42</v>
      </c>
      <c r="C14548" s="13" t="s">
        <v>43</v>
      </c>
      <c r="D14548" s="13" t="s">
        <v>57</v>
      </c>
      <c r="E14548" s="12" t="s">
        <v>35</v>
      </c>
      <c r="F14548" s="14">
        <v>290000</v>
      </c>
      <c r="G14548" s="14">
        <v>225500</v>
      </c>
      <c r="H14548" s="13" t="s">
        <v>27834</v>
      </c>
      <c r="I14548" s="40" t="s">
        <v>18</v>
      </c>
      <c r="J14548" s="40" t="str">
        <f>HYPERLINK("https://stock.pstatic.net/stock-research/company/16/20250210_company_7878000.pdf","PDF")</f>
        <v>PDF</v>
      </c>
      <c r="K14548" s="12" t="s">
        <v>27835</v>
      </c>
      <c r="L14548" s="20">
        <v>0.28603104212860309</v>
      </c>
    </row>
    <row r="14549" spans="1:12" x14ac:dyDescent="0.45">
      <c r="A14549" s="12" t="s">
        <v>27800</v>
      </c>
      <c r="B14549" s="12" t="s">
        <v>4642</v>
      </c>
      <c r="C14549" s="13" t="s">
        <v>4643</v>
      </c>
      <c r="D14549" s="13" t="s">
        <v>57</v>
      </c>
      <c r="E14549" s="12" t="s">
        <v>35</v>
      </c>
      <c r="F14549" s="14">
        <v>35000</v>
      </c>
      <c r="G14549" s="14">
        <v>23600</v>
      </c>
      <c r="H14549" s="13" t="s">
        <v>27836</v>
      </c>
      <c r="I14549" s="40" t="s">
        <v>18</v>
      </c>
      <c r="J14549" s="40" t="str">
        <f>HYPERLINK("https://stock.pstatic.net/stock-research/company/16/20250210_company_57261000.pdf","PDF")</f>
        <v>PDF</v>
      </c>
      <c r="K14549" s="12" t="s">
        <v>27837</v>
      </c>
      <c r="L14549" s="20">
        <v>0.48305084745762711</v>
      </c>
    </row>
    <row r="14550" spans="1:12" x14ac:dyDescent="0.45">
      <c r="A14550" s="12" t="s">
        <v>27800</v>
      </c>
      <c r="B14550" s="12" t="s">
        <v>2266</v>
      </c>
      <c r="C14550" s="13" t="s">
        <v>2267</v>
      </c>
      <c r="D14550" s="13" t="s">
        <v>57</v>
      </c>
      <c r="E14550" s="12" t="s">
        <v>35</v>
      </c>
      <c r="F14550" s="14">
        <v>69000</v>
      </c>
      <c r="G14550" s="14">
        <v>51700</v>
      </c>
      <c r="H14550" s="13" t="s">
        <v>27838</v>
      </c>
      <c r="I14550" s="40" t="s">
        <v>18</v>
      </c>
      <c r="J14550" s="40" t="str">
        <f>HYPERLINK("https://stock.pstatic.net/stock-research/company/16/20250210_company_501006000.pdf","PDF")</f>
        <v>PDF</v>
      </c>
      <c r="K14550" s="12" t="s">
        <v>27839</v>
      </c>
      <c r="L14550" s="20">
        <v>0.33462282398452609</v>
      </c>
    </row>
    <row r="14551" spans="1:12" x14ac:dyDescent="0.45">
      <c r="A14551" s="12" t="s">
        <v>27800</v>
      </c>
      <c r="B14551" s="12" t="s">
        <v>2837</v>
      </c>
      <c r="C14551" s="13" t="s">
        <v>2838</v>
      </c>
      <c r="D14551" s="13" t="s">
        <v>57</v>
      </c>
      <c r="E14551" s="12" t="s">
        <v>35</v>
      </c>
      <c r="F14551" s="14">
        <v>31000</v>
      </c>
      <c r="G14551" s="14">
        <v>25300</v>
      </c>
      <c r="H14551" s="13" t="s">
        <v>27840</v>
      </c>
      <c r="I14551" s="40" t="s">
        <v>18</v>
      </c>
      <c r="J14551" s="40" t="str">
        <f>HYPERLINK("https://stock.pstatic.net/stock-research/company/16/20250210_company_447745000.pdf","PDF")</f>
        <v>PDF</v>
      </c>
      <c r="K14551" s="12" t="s">
        <v>27841</v>
      </c>
      <c r="L14551" s="20">
        <v>0.22529644268774701</v>
      </c>
    </row>
    <row r="14552" spans="1:12" x14ac:dyDescent="0.45">
      <c r="A14552" s="12" t="s">
        <v>27800</v>
      </c>
      <c r="B14552" s="12" t="s">
        <v>3488</v>
      </c>
      <c r="C14552" s="13" t="s">
        <v>3489</v>
      </c>
      <c r="D14552" s="13" t="s">
        <v>57</v>
      </c>
      <c r="E14552" s="12" t="s">
        <v>35</v>
      </c>
      <c r="F14552" s="14">
        <v>21000</v>
      </c>
      <c r="G14552" s="14">
        <v>15390</v>
      </c>
      <c r="H14552" s="13" t="s">
        <v>27842</v>
      </c>
      <c r="I14552" s="40" t="s">
        <v>18</v>
      </c>
      <c r="J14552" s="40" t="str">
        <f>HYPERLINK("https://stock.pstatic.net/stock-research/company/16/20250210_company_269262000.pdf","PDF")</f>
        <v>PDF</v>
      </c>
      <c r="K14552" s="12" t="s">
        <v>27843</v>
      </c>
      <c r="L14552" s="20">
        <v>0.36452241715399608</v>
      </c>
    </row>
    <row r="14553" spans="1:12" x14ac:dyDescent="0.45">
      <c r="A14553" s="12" t="s">
        <v>27800</v>
      </c>
      <c r="B14553" s="12" t="s">
        <v>1437</v>
      </c>
      <c r="C14553" s="13" t="s">
        <v>1438</v>
      </c>
      <c r="D14553" s="13" t="s">
        <v>57</v>
      </c>
      <c r="E14553" s="12" t="s">
        <v>35</v>
      </c>
      <c r="F14553" s="14">
        <v>87000</v>
      </c>
      <c r="G14553" s="14">
        <v>60100</v>
      </c>
      <c r="H14553" s="13" t="s">
        <v>27844</v>
      </c>
      <c r="I14553" s="40" t="s">
        <v>18</v>
      </c>
      <c r="J14553" s="40" t="str">
        <f>HYPERLINK("https://stock.pstatic.net/stock-research/company/16/20250210_company_396884000.pdf","PDF")</f>
        <v>PDF</v>
      </c>
      <c r="K14553" s="12" t="s">
        <v>27845</v>
      </c>
      <c r="L14553" s="20">
        <v>0.44758735440931779</v>
      </c>
    </row>
    <row r="14554" spans="1:12" x14ac:dyDescent="0.45">
      <c r="A14554" s="12" t="s">
        <v>27800</v>
      </c>
      <c r="B14554" s="12" t="s">
        <v>434</v>
      </c>
      <c r="C14554" s="13" t="s">
        <v>435</v>
      </c>
      <c r="D14554" s="13" t="s">
        <v>158</v>
      </c>
      <c r="E14554" s="12" t="s">
        <v>35</v>
      </c>
      <c r="F14554" s="14">
        <v>160000</v>
      </c>
      <c r="G14554" s="14">
        <v>118700</v>
      </c>
      <c r="H14554" s="13" t="s">
        <v>27846</v>
      </c>
      <c r="I14554" s="40" t="s">
        <v>18</v>
      </c>
      <c r="J14554" s="40" t="str">
        <f>HYPERLINK("https://stock.pstatic.net/stock-research/company/18/20250210_company_957794000.pdf","PDF")</f>
        <v>PDF</v>
      </c>
      <c r="K14554" s="12" t="s">
        <v>27847</v>
      </c>
      <c r="L14554" s="20">
        <v>0.34793597304128049</v>
      </c>
    </row>
    <row r="14555" spans="1:12" x14ac:dyDescent="0.45">
      <c r="A14555" s="12" t="s">
        <v>27800</v>
      </c>
      <c r="B14555" s="12" t="s">
        <v>450</v>
      </c>
      <c r="C14555" s="13" t="s">
        <v>451</v>
      </c>
      <c r="D14555" s="13" t="s">
        <v>158</v>
      </c>
      <c r="E14555" s="12" t="s">
        <v>159</v>
      </c>
      <c r="F14555" s="14">
        <v>320000</v>
      </c>
      <c r="G14555" s="14">
        <v>309500</v>
      </c>
      <c r="H14555" s="13" t="s">
        <v>27848</v>
      </c>
      <c r="I14555" s="40" t="s">
        <v>18</v>
      </c>
      <c r="J14555" s="40" t="str">
        <f>HYPERLINK("https://stock.pstatic.net/stock-research/company/18/20250210_company_518179000.pdf","PDF")</f>
        <v>PDF</v>
      </c>
      <c r="K14555" s="12" t="s">
        <v>27849</v>
      </c>
      <c r="L14555" s="20">
        <v>3.3925686591276247E-2</v>
      </c>
    </row>
    <row r="14556" spans="1:12" x14ac:dyDescent="0.45">
      <c r="A14556" s="12" t="s">
        <v>27800</v>
      </c>
      <c r="B14556" s="12" t="s">
        <v>2944</v>
      </c>
      <c r="C14556" s="13" t="s">
        <v>2945</v>
      </c>
      <c r="D14556" s="13" t="s">
        <v>158</v>
      </c>
      <c r="E14556" s="12" t="s">
        <v>35</v>
      </c>
      <c r="F14556" s="14">
        <v>15500</v>
      </c>
      <c r="G14556" s="14">
        <v>11660</v>
      </c>
      <c r="H14556" s="13" t="s">
        <v>27850</v>
      </c>
      <c r="I14556" s="40" t="s">
        <v>18</v>
      </c>
      <c r="J14556" s="40" t="str">
        <f>HYPERLINK("https://stock.pstatic.net/stock-research/company/18/20250210_company_239224000.pdf","PDF")</f>
        <v>PDF</v>
      </c>
      <c r="K14556" s="12" t="s">
        <v>27851</v>
      </c>
      <c r="L14556" s="20">
        <v>0.32933104631217841</v>
      </c>
    </row>
    <row r="14557" spans="1:12" x14ac:dyDescent="0.45">
      <c r="A14557" s="12" t="s">
        <v>27800</v>
      </c>
      <c r="B14557" s="12" t="s">
        <v>1023</v>
      </c>
      <c r="C14557" s="13" t="s">
        <v>15</v>
      </c>
      <c r="D14557" s="13" t="s">
        <v>158</v>
      </c>
      <c r="E14557" s="12" t="s">
        <v>35</v>
      </c>
      <c r="F14557" s="14">
        <v>10800</v>
      </c>
      <c r="G14557" s="14">
        <v>8270</v>
      </c>
      <c r="H14557" s="13" t="s">
        <v>27852</v>
      </c>
      <c r="I14557" s="40" t="s">
        <v>18</v>
      </c>
      <c r="J14557" s="40" t="str">
        <f>HYPERLINK("https://stock.pstatic.net/stock-research/company/18/20250210_company_135052000.pdf","PDF")</f>
        <v>PDF</v>
      </c>
      <c r="K14557" s="12" t="s">
        <v>27853</v>
      </c>
      <c r="L14557" s="20">
        <v>0.3059250302297461</v>
      </c>
    </row>
    <row r="14558" spans="1:12" x14ac:dyDescent="0.45">
      <c r="A14558" s="12" t="s">
        <v>27800</v>
      </c>
      <c r="B14558" s="12" t="s">
        <v>42</v>
      </c>
      <c r="C14558" s="13" t="s">
        <v>43</v>
      </c>
      <c r="D14558" s="13" t="s">
        <v>158</v>
      </c>
      <c r="E14558" s="12" t="s">
        <v>35</v>
      </c>
      <c r="F14558" s="14">
        <v>290000</v>
      </c>
      <c r="G14558" s="14">
        <v>225000</v>
      </c>
      <c r="H14558" s="13" t="s">
        <v>27854</v>
      </c>
      <c r="I14558" s="40" t="s">
        <v>18</v>
      </c>
      <c r="J14558" s="40" t="str">
        <f>HYPERLINK("https://stock.pstatic.net/stock-research/company/18/20250210_company_941590000.pdf","PDF")</f>
        <v>PDF</v>
      </c>
      <c r="K14558" s="12" t="s">
        <v>27855</v>
      </c>
      <c r="L14558" s="20">
        <v>0.28888888888888892</v>
      </c>
    </row>
    <row r="14559" spans="1:12" x14ac:dyDescent="0.45">
      <c r="A14559" s="12" t="s">
        <v>27800</v>
      </c>
      <c r="B14559" s="12" t="s">
        <v>3113</v>
      </c>
      <c r="C14559" s="13" t="s">
        <v>3114</v>
      </c>
      <c r="D14559" s="13" t="s">
        <v>92</v>
      </c>
      <c r="E14559" s="12" t="s">
        <v>35</v>
      </c>
      <c r="F14559" s="14">
        <v>34000</v>
      </c>
      <c r="G14559" s="14">
        <v>26300</v>
      </c>
      <c r="H14559" s="13" t="s">
        <v>27856</v>
      </c>
      <c r="I14559" s="40" t="s">
        <v>18</v>
      </c>
      <c r="J14559" s="40" t="str">
        <f>HYPERLINK("https://stock.pstatic.net/stock-research/company/63/20250210_company_835850000.pdf","PDF")</f>
        <v>PDF</v>
      </c>
      <c r="K14559" s="12" t="s">
        <v>27857</v>
      </c>
      <c r="L14559" s="20">
        <v>0.29277566539923949</v>
      </c>
    </row>
    <row r="14560" spans="1:12" x14ac:dyDescent="0.45">
      <c r="A14560" s="12" t="s">
        <v>27800</v>
      </c>
      <c r="B14560" s="12" t="s">
        <v>2266</v>
      </c>
      <c r="C14560" s="13" t="s">
        <v>2267</v>
      </c>
      <c r="D14560" s="13" t="s">
        <v>15</v>
      </c>
      <c r="E14560" s="12" t="s">
        <v>16</v>
      </c>
      <c r="F14560" s="14">
        <v>76000</v>
      </c>
      <c r="G14560" s="14">
        <v>51700</v>
      </c>
      <c r="H14560" s="13" t="s">
        <v>27858</v>
      </c>
      <c r="I14560" s="40" t="s">
        <v>18</v>
      </c>
      <c r="J14560" s="40" t="str">
        <f>HYPERLINK("https://stock.pstatic.net/stock-research/company/29/20250210_company_957785000.pdf","PDF")</f>
        <v>PDF</v>
      </c>
      <c r="K14560" s="12" t="s">
        <v>27859</v>
      </c>
      <c r="L14560" s="20">
        <v>0.47001934235976789</v>
      </c>
    </row>
    <row r="14561" spans="1:12" x14ac:dyDescent="0.45">
      <c r="A14561" s="12" t="s">
        <v>27800</v>
      </c>
      <c r="B14561" s="12" t="s">
        <v>2837</v>
      </c>
      <c r="C14561" s="13" t="s">
        <v>2838</v>
      </c>
      <c r="D14561" s="13" t="s">
        <v>23</v>
      </c>
      <c r="E14561" s="12" t="s">
        <v>16</v>
      </c>
      <c r="F14561" s="14">
        <v>30000</v>
      </c>
      <c r="G14561" s="14">
        <v>25300</v>
      </c>
      <c r="H14561" s="13" t="s">
        <v>27860</v>
      </c>
      <c r="I14561" s="40" t="s">
        <v>18</v>
      </c>
      <c r="J14561" s="40" t="str">
        <f>HYPERLINK("https://stock.pstatic.net/stock-research/company/21/20250210_company_797850000.pdf","PDF")</f>
        <v>PDF</v>
      </c>
      <c r="K14561" s="12" t="s">
        <v>27861</v>
      </c>
      <c r="L14561" s="20">
        <v>0.1857707509881423</v>
      </c>
    </row>
    <row r="14562" spans="1:12" x14ac:dyDescent="0.45">
      <c r="A14562" s="12" t="s">
        <v>27800</v>
      </c>
      <c r="B14562" s="12" t="s">
        <v>170</v>
      </c>
      <c r="C14562" s="13" t="s">
        <v>171</v>
      </c>
      <c r="D14562" s="13" t="s">
        <v>92</v>
      </c>
      <c r="E14562" s="12" t="s">
        <v>35</v>
      </c>
      <c r="F14562" s="14">
        <v>90000</v>
      </c>
      <c r="G14562" s="14">
        <v>67000</v>
      </c>
      <c r="H14562" s="13" t="s">
        <v>27862</v>
      </c>
      <c r="I14562" s="40" t="s">
        <v>18</v>
      </c>
      <c r="J14562" s="40" t="str">
        <f>HYPERLINK("https://stock.pstatic.net/stock-research/company/63/20250210_company_598353000.pdf","PDF")</f>
        <v>PDF</v>
      </c>
      <c r="K14562" s="12" t="s">
        <v>27863</v>
      </c>
      <c r="L14562" s="20">
        <v>0.34328358208955218</v>
      </c>
    </row>
    <row r="14563" spans="1:12" x14ac:dyDescent="0.45">
      <c r="A14563" s="12" t="s">
        <v>27800</v>
      </c>
      <c r="B14563" s="12" t="s">
        <v>4642</v>
      </c>
      <c r="C14563" s="13" t="s">
        <v>4643</v>
      </c>
      <c r="D14563" s="13" t="s">
        <v>92</v>
      </c>
      <c r="E14563" s="12" t="s">
        <v>35</v>
      </c>
      <c r="F14563" s="14">
        <v>35000</v>
      </c>
      <c r="G14563" s="14">
        <v>23600</v>
      </c>
      <c r="H14563" s="13" t="s">
        <v>27864</v>
      </c>
      <c r="I14563" s="40" t="s">
        <v>18</v>
      </c>
      <c r="J14563" s="40" t="str">
        <f>HYPERLINK("https://stock.pstatic.net/stock-research/company/63/20250210_company_397913000.pdf","PDF")</f>
        <v>PDF</v>
      </c>
      <c r="K14563" s="12" t="s">
        <v>27865</v>
      </c>
      <c r="L14563" s="20">
        <v>0.48305084745762711</v>
      </c>
    </row>
    <row r="14564" spans="1:12" x14ac:dyDescent="0.45">
      <c r="A14564" s="12" t="s">
        <v>27800</v>
      </c>
      <c r="B14564" s="12" t="s">
        <v>170</v>
      </c>
      <c r="C14564" s="13" t="s">
        <v>171</v>
      </c>
      <c r="D14564" s="13" t="s">
        <v>15</v>
      </c>
      <c r="E14564" s="12" t="s">
        <v>16</v>
      </c>
      <c r="F14564" s="14">
        <v>85000</v>
      </c>
      <c r="G14564" s="14">
        <v>67000</v>
      </c>
      <c r="H14564" s="13" t="s">
        <v>27866</v>
      </c>
      <c r="I14564" s="40" t="s">
        <v>18</v>
      </c>
      <c r="J14564" s="40" t="str">
        <f>HYPERLINK("https://stock.pstatic.net/stock-research/company/1/20250210_company_184202000.pdf","PDF")</f>
        <v>PDF</v>
      </c>
      <c r="K14564" s="12" t="s">
        <v>27867</v>
      </c>
      <c r="L14564" s="20">
        <v>0.26865671641791039</v>
      </c>
    </row>
    <row r="14565" spans="1:12" x14ac:dyDescent="0.45">
      <c r="A14565" s="12" t="s">
        <v>27800</v>
      </c>
      <c r="B14565" s="12" t="s">
        <v>243</v>
      </c>
      <c r="C14565" s="13" t="s">
        <v>244</v>
      </c>
      <c r="D14565" s="13" t="s">
        <v>92</v>
      </c>
      <c r="E14565" s="12" t="s">
        <v>50</v>
      </c>
      <c r="F14565" s="13"/>
      <c r="G14565" s="14">
        <v>20550</v>
      </c>
      <c r="H14565" s="13" t="s">
        <v>27868</v>
      </c>
      <c r="I14565" s="40" t="s">
        <v>18</v>
      </c>
      <c r="J14565" s="40" t="str">
        <f>HYPERLINK("https://stock.pstatic.net/stock-research/company/63/20250210_company_862768000.pdf","PDF")</f>
        <v>PDF</v>
      </c>
      <c r="K14565" s="12" t="s">
        <v>27869</v>
      </c>
    </row>
    <row r="14566" spans="1:12" x14ac:dyDescent="0.45">
      <c r="A14566" s="12" t="s">
        <v>27800</v>
      </c>
      <c r="B14566" s="12" t="s">
        <v>4642</v>
      </c>
      <c r="C14566" s="13" t="s">
        <v>4643</v>
      </c>
      <c r="D14566" s="13" t="s">
        <v>15</v>
      </c>
      <c r="E14566" s="12" t="s">
        <v>16</v>
      </c>
      <c r="F14566" s="14">
        <v>33000</v>
      </c>
      <c r="G14566" s="14">
        <v>23600</v>
      </c>
      <c r="H14566" s="13" t="s">
        <v>27870</v>
      </c>
      <c r="I14566" s="40" t="s">
        <v>18</v>
      </c>
      <c r="J14566" s="40" t="str">
        <f>HYPERLINK("https://stock.pstatic.net/stock-research/company/56/20250210_company_614916000.pdf","PDF")</f>
        <v>PDF</v>
      </c>
      <c r="K14566" s="12" t="s">
        <v>27871</v>
      </c>
      <c r="L14566" s="20">
        <v>0.39830508474576271</v>
      </c>
    </row>
    <row r="14567" spans="1:12" x14ac:dyDescent="0.45">
      <c r="A14567" s="12" t="s">
        <v>27800</v>
      </c>
      <c r="B14567" s="12" t="s">
        <v>42</v>
      </c>
      <c r="C14567" s="13" t="s">
        <v>43</v>
      </c>
      <c r="D14567" s="13" t="s">
        <v>179</v>
      </c>
      <c r="E14567" s="12" t="s">
        <v>16</v>
      </c>
      <c r="F14567" s="14">
        <v>270000</v>
      </c>
      <c r="G14567" s="14">
        <v>225500</v>
      </c>
      <c r="H14567" s="13" t="s">
        <v>27872</v>
      </c>
      <c r="I14567" s="40" t="s">
        <v>18</v>
      </c>
      <c r="J14567" s="40" t="str">
        <f>HYPERLINK("https://stock.pstatic.net/stock-research/company/31/20250210_company_619200000.pdf","PDF")</f>
        <v>PDF</v>
      </c>
      <c r="K14567" s="12" t="s">
        <v>27873</v>
      </c>
      <c r="L14567" s="20">
        <v>0.19733924611973391</v>
      </c>
    </row>
    <row r="14568" spans="1:12" x14ac:dyDescent="0.45">
      <c r="A14568" s="12" t="s">
        <v>27800</v>
      </c>
      <c r="B14568" s="12" t="s">
        <v>3488</v>
      </c>
      <c r="C14568" s="13" t="s">
        <v>3489</v>
      </c>
      <c r="D14568" s="13" t="s">
        <v>15</v>
      </c>
      <c r="E14568" s="12" t="s">
        <v>50</v>
      </c>
      <c r="F14568" s="14">
        <v>18000</v>
      </c>
      <c r="G14568" s="14">
        <v>15390</v>
      </c>
      <c r="H14568" s="13" t="s">
        <v>27874</v>
      </c>
      <c r="I14568" s="40" t="s">
        <v>18</v>
      </c>
      <c r="J14568" s="40" t="str">
        <f>HYPERLINK("https://stock.pstatic.net/stock-research/company/29/20250210_company_444921000.pdf","PDF")</f>
        <v>PDF</v>
      </c>
      <c r="K14568" s="12" t="s">
        <v>27875</v>
      </c>
      <c r="L14568" s="20">
        <v>0.16959064327485379</v>
      </c>
    </row>
    <row r="14569" spans="1:12" x14ac:dyDescent="0.45">
      <c r="A14569" s="12" t="s">
        <v>27800</v>
      </c>
      <c r="B14569" s="12" t="s">
        <v>2040</v>
      </c>
      <c r="C14569" s="13" t="s">
        <v>2041</v>
      </c>
      <c r="D14569" s="13" t="s">
        <v>92</v>
      </c>
      <c r="E14569" s="12" t="s">
        <v>35</v>
      </c>
      <c r="F14569" s="14">
        <v>75000</v>
      </c>
      <c r="G14569" s="14">
        <v>54500</v>
      </c>
      <c r="H14569" s="13" t="s">
        <v>13170</v>
      </c>
      <c r="I14569" s="40" t="s">
        <v>18</v>
      </c>
      <c r="J14569" s="40" t="str">
        <f>HYPERLINK("https://stock.pstatic.net/stock-research/company/63/20250210_company_906515000.pdf","PDF")</f>
        <v>PDF</v>
      </c>
      <c r="K14569" s="12" t="s">
        <v>27876</v>
      </c>
      <c r="L14569" s="20">
        <v>0.37614678899082571</v>
      </c>
    </row>
    <row r="14570" spans="1:12" x14ac:dyDescent="0.45">
      <c r="A14570" s="12" t="s">
        <v>27800</v>
      </c>
      <c r="B14570" s="12" t="s">
        <v>2286</v>
      </c>
      <c r="C14570" s="13" t="s">
        <v>2287</v>
      </c>
      <c r="D14570" s="13" t="s">
        <v>83</v>
      </c>
      <c r="E14570" s="12" t="s">
        <v>35</v>
      </c>
      <c r="F14570" s="14">
        <v>9000</v>
      </c>
      <c r="G14570" s="14">
        <v>5180</v>
      </c>
      <c r="H14570" s="13" t="s">
        <v>27877</v>
      </c>
      <c r="I14570" s="40" t="s">
        <v>18</v>
      </c>
      <c r="J14570" s="40" t="str">
        <f>HYPERLINK("https://stock.pstatic.net/stock-research/company/2/20250210_company_374023000.pdf","PDF")</f>
        <v>PDF</v>
      </c>
      <c r="K14570" s="12" t="s">
        <v>27878</v>
      </c>
      <c r="L14570" s="20">
        <v>0.73745173745173742</v>
      </c>
    </row>
    <row r="14571" spans="1:12" x14ac:dyDescent="0.45">
      <c r="A14571" s="12" t="s">
        <v>27800</v>
      </c>
      <c r="B14571" s="12" t="s">
        <v>2290</v>
      </c>
      <c r="C14571" s="13" t="s">
        <v>2291</v>
      </c>
      <c r="D14571" s="13" t="s">
        <v>83</v>
      </c>
      <c r="E14571" s="12" t="s">
        <v>642</v>
      </c>
      <c r="F14571" s="14">
        <v>5600</v>
      </c>
      <c r="G14571" s="14">
        <v>4395</v>
      </c>
      <c r="H14571" s="13" t="s">
        <v>27879</v>
      </c>
      <c r="I14571" s="40" t="s">
        <v>18</v>
      </c>
      <c r="J14571" s="40" t="str">
        <f>HYPERLINK("https://stock.pstatic.net/stock-research/company/2/20250210_company_775785000.pdf","PDF")</f>
        <v>PDF</v>
      </c>
      <c r="K14571" s="12" t="s">
        <v>27880</v>
      </c>
      <c r="L14571" s="20">
        <v>0.27417519908987492</v>
      </c>
    </row>
    <row r="14572" spans="1:12" x14ac:dyDescent="0.45">
      <c r="A14572" s="12" t="s">
        <v>27800</v>
      </c>
      <c r="B14572" s="12" t="s">
        <v>2867</v>
      </c>
      <c r="C14572" s="13" t="s">
        <v>2868</v>
      </c>
      <c r="D14572" s="13" t="s">
        <v>83</v>
      </c>
      <c r="E14572" s="12" t="s">
        <v>35</v>
      </c>
      <c r="F14572" s="14">
        <v>11000</v>
      </c>
      <c r="G14572" s="14">
        <v>7360</v>
      </c>
      <c r="H14572" s="13" t="s">
        <v>27881</v>
      </c>
      <c r="I14572" s="40" t="s">
        <v>18</v>
      </c>
      <c r="J14572" s="40" t="str">
        <f>HYPERLINK("https://stock.pstatic.net/stock-research/company/2/20250210_company_855134000.pdf","PDF")</f>
        <v>PDF</v>
      </c>
      <c r="K14572" s="12" t="s">
        <v>27882</v>
      </c>
      <c r="L14572" s="20">
        <v>0.49456521739130432</v>
      </c>
    </row>
    <row r="14573" spans="1:12" x14ac:dyDescent="0.45">
      <c r="A14573" s="12" t="s">
        <v>27800</v>
      </c>
      <c r="B14573" s="12" t="s">
        <v>4642</v>
      </c>
      <c r="C14573" s="13" t="s">
        <v>4643</v>
      </c>
      <c r="D14573" s="13" t="s">
        <v>83</v>
      </c>
      <c r="E14573" s="12" t="s">
        <v>35</v>
      </c>
      <c r="F14573" s="14">
        <v>33000</v>
      </c>
      <c r="G14573" s="14">
        <v>23600</v>
      </c>
      <c r="H14573" s="13" t="s">
        <v>27883</v>
      </c>
      <c r="I14573" s="40" t="s">
        <v>18</v>
      </c>
      <c r="J14573" s="40" t="str">
        <f>HYPERLINK("https://stock.pstatic.net/stock-research/company/1/20250210_company_732989000.pdf","PDF")</f>
        <v>PDF</v>
      </c>
      <c r="K14573" s="12" t="s">
        <v>27884</v>
      </c>
      <c r="L14573" s="20">
        <v>0.39830508474576271</v>
      </c>
    </row>
    <row r="14574" spans="1:12" x14ac:dyDescent="0.45">
      <c r="A14574" s="12" t="s">
        <v>27800</v>
      </c>
      <c r="B14574" s="12" t="s">
        <v>42</v>
      </c>
      <c r="C14574" s="13" t="s">
        <v>43</v>
      </c>
      <c r="D14574" s="13" t="s">
        <v>83</v>
      </c>
      <c r="E14574" s="12" t="s">
        <v>35</v>
      </c>
      <c r="F14574" s="14">
        <v>260000</v>
      </c>
      <c r="G14574" s="14">
        <v>225500</v>
      </c>
      <c r="H14574" s="13" t="s">
        <v>27885</v>
      </c>
      <c r="I14574" s="40" t="s">
        <v>18</v>
      </c>
      <c r="J14574" s="40" t="str">
        <f>HYPERLINK("https://stock.pstatic.net/stock-research/company/2/20250210_company_929162000.pdf","PDF")</f>
        <v>PDF</v>
      </c>
      <c r="K14574" s="12" t="s">
        <v>27886</v>
      </c>
      <c r="L14574" s="20">
        <v>0.1529933481152993</v>
      </c>
    </row>
    <row r="14575" spans="1:12" x14ac:dyDescent="0.45">
      <c r="A14575" s="12" t="s">
        <v>27800</v>
      </c>
      <c r="B14575" s="12" t="s">
        <v>1936</v>
      </c>
      <c r="C14575" s="13" t="s">
        <v>1937</v>
      </c>
      <c r="D14575" s="13" t="s">
        <v>83</v>
      </c>
      <c r="E14575" s="12" t="s">
        <v>35</v>
      </c>
      <c r="F14575" s="14">
        <v>8800</v>
      </c>
      <c r="G14575" s="14">
        <v>5420</v>
      </c>
      <c r="H14575" s="13" t="s">
        <v>27887</v>
      </c>
      <c r="I14575" s="40" t="s">
        <v>18</v>
      </c>
      <c r="J14575" s="40" t="str">
        <f>HYPERLINK("https://stock.pstatic.net/stock-research/company/1/20250210_company_400949000.pdf","PDF")</f>
        <v>PDF</v>
      </c>
      <c r="K14575" s="12" t="s">
        <v>27888</v>
      </c>
      <c r="L14575" s="20">
        <v>0.62361623616236161</v>
      </c>
    </row>
    <row r="14576" spans="1:12" x14ac:dyDescent="0.45">
      <c r="A14576" s="12" t="s">
        <v>27800</v>
      </c>
      <c r="B14576" s="12" t="s">
        <v>366</v>
      </c>
      <c r="C14576" s="13" t="s">
        <v>367</v>
      </c>
      <c r="D14576" s="13" t="s">
        <v>83</v>
      </c>
      <c r="E14576" s="12" t="s">
        <v>35</v>
      </c>
      <c r="F14576" s="14">
        <v>20000</v>
      </c>
      <c r="G14576" s="14">
        <v>15570</v>
      </c>
      <c r="H14576" s="13" t="s">
        <v>27889</v>
      </c>
      <c r="I14576" s="40" t="s">
        <v>18</v>
      </c>
      <c r="J14576" s="40" t="str">
        <f>HYPERLINK("https://stock.pstatic.net/stock-research/company/2/20250210_company_310588000.pdf","PDF")</f>
        <v>PDF</v>
      </c>
      <c r="K14576" s="12" t="s">
        <v>27890</v>
      </c>
      <c r="L14576" s="20">
        <v>0.28452151573538859</v>
      </c>
    </row>
    <row r="14577" spans="1:12" x14ac:dyDescent="0.45">
      <c r="A14577" s="12" t="s">
        <v>27800</v>
      </c>
      <c r="B14577" s="12" t="s">
        <v>170</v>
      </c>
      <c r="C14577" s="13" t="s">
        <v>171</v>
      </c>
      <c r="D14577" s="13" t="s">
        <v>83</v>
      </c>
      <c r="E14577" s="12" t="s">
        <v>35</v>
      </c>
      <c r="F14577" s="14">
        <v>92000</v>
      </c>
      <c r="G14577" s="14">
        <v>67000</v>
      </c>
      <c r="H14577" s="13" t="s">
        <v>27891</v>
      </c>
      <c r="I14577" s="40" t="s">
        <v>18</v>
      </c>
      <c r="J14577" s="40" t="str">
        <f>HYPERLINK("https://stock.pstatic.net/stock-research/company/2/20250210_company_827208000.pdf","PDF")</f>
        <v>PDF</v>
      </c>
      <c r="K14577" s="12" t="s">
        <v>27892</v>
      </c>
      <c r="L14577" s="20">
        <v>0.37313432835820898</v>
      </c>
    </row>
    <row r="14578" spans="1:12" x14ac:dyDescent="0.45">
      <c r="A14578" s="12" t="s">
        <v>27800</v>
      </c>
      <c r="B14578" s="12" t="s">
        <v>1023</v>
      </c>
      <c r="C14578" s="13" t="s">
        <v>15</v>
      </c>
      <c r="D14578" s="13" t="s">
        <v>179</v>
      </c>
      <c r="E14578" s="12" t="s">
        <v>16</v>
      </c>
      <c r="F14578" s="14">
        <v>11000</v>
      </c>
      <c r="G14578" s="14">
        <v>8270</v>
      </c>
      <c r="H14578" s="13" t="s">
        <v>27893</v>
      </c>
      <c r="I14578" s="40" t="s">
        <v>18</v>
      </c>
      <c r="J14578" s="40" t="str">
        <f>HYPERLINK("https://stock.pstatic.net/stock-research/company/31/20250210_company_954067000.pdf","PDF")</f>
        <v>PDF</v>
      </c>
      <c r="K14578" s="12" t="s">
        <v>27894</v>
      </c>
      <c r="L14578" s="20">
        <v>0.33010882708585249</v>
      </c>
    </row>
    <row r="14579" spans="1:12" x14ac:dyDescent="0.45">
      <c r="A14579" s="12" t="s">
        <v>27800</v>
      </c>
      <c r="B14579" s="12" t="s">
        <v>4642</v>
      </c>
      <c r="C14579" s="13" t="s">
        <v>4643</v>
      </c>
      <c r="D14579" s="13" t="s">
        <v>34</v>
      </c>
      <c r="E14579" s="12" t="s">
        <v>35</v>
      </c>
      <c r="F14579" s="14">
        <v>31000</v>
      </c>
      <c r="G14579" s="14">
        <v>23600</v>
      </c>
      <c r="H14579" s="13" t="s">
        <v>27895</v>
      </c>
      <c r="I14579" s="40" t="s">
        <v>18</v>
      </c>
      <c r="J14579" s="40" t="str">
        <f>HYPERLINK("https://stock.pstatic.net/stock-research/company/61/20250210_company_306483000.pdf","PDF")</f>
        <v>PDF</v>
      </c>
      <c r="K14579" s="12" t="s">
        <v>27896</v>
      </c>
      <c r="L14579" s="20">
        <v>0.3135593220338983</v>
      </c>
    </row>
    <row r="14580" spans="1:12" x14ac:dyDescent="0.45">
      <c r="A14580" s="12" t="s">
        <v>27800</v>
      </c>
      <c r="B14580" s="12" t="s">
        <v>3749</v>
      </c>
      <c r="C14580" s="13" t="s">
        <v>3750</v>
      </c>
      <c r="D14580" s="13" t="s">
        <v>1271</v>
      </c>
      <c r="E14580" s="12" t="s">
        <v>35</v>
      </c>
      <c r="F14580" s="14">
        <v>176000</v>
      </c>
      <c r="G14580" s="14">
        <v>136000</v>
      </c>
      <c r="H14580" s="13" t="s">
        <v>27897</v>
      </c>
      <c r="I14580" s="40" t="s">
        <v>18</v>
      </c>
      <c r="J14580" s="40" t="str">
        <f>HYPERLINK("https://stock.pstatic.net/stock-research/company/78/20250210_company_352239000.pdf","PDF")</f>
        <v>PDF</v>
      </c>
      <c r="K14580" s="12" t="s">
        <v>27898</v>
      </c>
      <c r="L14580" s="20">
        <v>0.29411764705882348</v>
      </c>
    </row>
    <row r="14581" spans="1:12" x14ac:dyDescent="0.45">
      <c r="A14581" s="12" t="s">
        <v>27800</v>
      </c>
      <c r="B14581" s="12" t="s">
        <v>330</v>
      </c>
      <c r="C14581" s="13" t="s">
        <v>331</v>
      </c>
      <c r="D14581" s="13" t="s">
        <v>1271</v>
      </c>
      <c r="E14581" s="12" t="s">
        <v>35</v>
      </c>
      <c r="F14581" s="14">
        <v>24000</v>
      </c>
      <c r="G14581" s="14">
        <v>20150</v>
      </c>
      <c r="H14581" s="13" t="s">
        <v>27899</v>
      </c>
      <c r="I14581" s="40" t="s">
        <v>18</v>
      </c>
      <c r="J14581" s="40" t="str">
        <f>HYPERLINK("https://stock.pstatic.net/stock-research/company/1/20250210_company_547713000.pdf","PDF")</f>
        <v>PDF</v>
      </c>
      <c r="K14581" s="12" t="s">
        <v>27900</v>
      </c>
      <c r="L14581" s="20">
        <v>0.19106699751861039</v>
      </c>
    </row>
    <row r="14582" spans="1:12" x14ac:dyDescent="0.45">
      <c r="A14582" s="12" t="s">
        <v>27800</v>
      </c>
      <c r="B14582" s="12" t="s">
        <v>3482</v>
      </c>
      <c r="C14582" s="13" t="s">
        <v>3483</v>
      </c>
      <c r="D14582" s="13" t="s">
        <v>1271</v>
      </c>
      <c r="E14582" s="12" t="s">
        <v>35</v>
      </c>
      <c r="F14582" s="14">
        <v>80000</v>
      </c>
      <c r="G14582" s="14">
        <v>61500</v>
      </c>
      <c r="H14582" s="13" t="s">
        <v>27901</v>
      </c>
      <c r="I14582" s="40" t="s">
        <v>18</v>
      </c>
      <c r="J14582" s="40" t="str">
        <f>HYPERLINK("https://stock.pstatic.net/stock-research/company/78/20250210_company_239376000.pdf","PDF")</f>
        <v>PDF</v>
      </c>
      <c r="K14582" s="12" t="s">
        <v>27902</v>
      </c>
      <c r="L14582" s="20">
        <v>0.30081300813008133</v>
      </c>
    </row>
    <row r="14583" spans="1:12" x14ac:dyDescent="0.45">
      <c r="A14583" s="12" t="s">
        <v>27800</v>
      </c>
      <c r="B14583" s="12" t="s">
        <v>3024</v>
      </c>
      <c r="C14583" s="13" t="s">
        <v>3025</v>
      </c>
      <c r="D14583" s="13" t="s">
        <v>1271</v>
      </c>
      <c r="E14583" s="12" t="s">
        <v>35</v>
      </c>
      <c r="F14583" s="14">
        <v>57000</v>
      </c>
      <c r="G14583" s="14">
        <v>41450</v>
      </c>
      <c r="H14583" s="13" t="s">
        <v>27903</v>
      </c>
      <c r="I14583" s="40" t="s">
        <v>18</v>
      </c>
      <c r="J14583" s="40" t="str">
        <f>HYPERLINK("https://stock.pstatic.net/stock-research/company/78/20250210_company_978617000.pdf","PDF")</f>
        <v>PDF</v>
      </c>
      <c r="K14583" s="12" t="s">
        <v>27904</v>
      </c>
      <c r="L14583" s="20">
        <v>0.37515078407720143</v>
      </c>
    </row>
    <row r="14584" spans="1:12" x14ac:dyDescent="0.45">
      <c r="A14584" s="12" t="s">
        <v>27800</v>
      </c>
      <c r="B14584" s="12" t="s">
        <v>1656</v>
      </c>
      <c r="C14584" s="13" t="s">
        <v>1657</v>
      </c>
      <c r="D14584" s="13" t="s">
        <v>1271</v>
      </c>
      <c r="E14584" s="12" t="s">
        <v>35</v>
      </c>
      <c r="F14584" s="14">
        <v>170000</v>
      </c>
      <c r="G14584" s="14">
        <v>129900</v>
      </c>
      <c r="H14584" s="13" t="s">
        <v>27905</v>
      </c>
      <c r="I14584" s="40" t="s">
        <v>18</v>
      </c>
      <c r="J14584" s="40" t="str">
        <f>HYPERLINK("https://stock.pstatic.net/stock-research/company/78/20250210_company_240155000.pdf","PDF")</f>
        <v>PDF</v>
      </c>
      <c r="K14584" s="12" t="s">
        <v>27906</v>
      </c>
      <c r="L14584" s="20">
        <v>0.30869899923017707</v>
      </c>
    </row>
    <row r="14585" spans="1:12" x14ac:dyDescent="0.45">
      <c r="A14585" s="12" t="s">
        <v>27800</v>
      </c>
      <c r="B14585" s="12" t="s">
        <v>3280</v>
      </c>
      <c r="C14585" s="13" t="s">
        <v>3281</v>
      </c>
      <c r="D14585" s="13" t="s">
        <v>1271</v>
      </c>
      <c r="E14585" s="12" t="s">
        <v>35</v>
      </c>
      <c r="F14585" s="14">
        <v>56000</v>
      </c>
      <c r="G14585" s="14">
        <v>40900</v>
      </c>
      <c r="H14585" s="13" t="s">
        <v>27907</v>
      </c>
      <c r="I14585" s="40" t="s">
        <v>18</v>
      </c>
      <c r="J14585" s="40" t="str">
        <f>HYPERLINK("https://stock.pstatic.net/stock-research/company/52/20250210_company_366189000.pdf","PDF")</f>
        <v>PDF</v>
      </c>
      <c r="K14585" s="12" t="s">
        <v>27908</v>
      </c>
      <c r="L14585" s="20">
        <v>0.36919315403422981</v>
      </c>
    </row>
    <row r="14586" spans="1:12" x14ac:dyDescent="0.45">
      <c r="A14586" s="12" t="s">
        <v>27800</v>
      </c>
      <c r="B14586" s="12" t="s">
        <v>27</v>
      </c>
      <c r="C14586" s="13" t="s">
        <v>28</v>
      </c>
      <c r="D14586" s="13" t="s">
        <v>1271</v>
      </c>
      <c r="E14586" s="12" t="s">
        <v>35</v>
      </c>
      <c r="F14586" s="14">
        <v>74000</v>
      </c>
      <c r="G14586" s="14">
        <v>54400</v>
      </c>
      <c r="H14586" s="13" t="s">
        <v>27909</v>
      </c>
      <c r="I14586" s="40" t="s">
        <v>18</v>
      </c>
      <c r="J14586" s="40" t="str">
        <f>HYPERLINK("https://stock.pstatic.net/stock-research/company/78/20250210_company_43055000.pdf","PDF")</f>
        <v>PDF</v>
      </c>
      <c r="K14586" s="12" t="s">
        <v>27910</v>
      </c>
      <c r="L14586" s="20">
        <v>0.36029411764705882</v>
      </c>
    </row>
    <row r="14587" spans="1:12" x14ac:dyDescent="0.45">
      <c r="A14587" s="12" t="s">
        <v>27800</v>
      </c>
      <c r="B14587" s="12" t="s">
        <v>1670</v>
      </c>
      <c r="C14587" s="13" t="s">
        <v>26171</v>
      </c>
      <c r="D14587" s="13" t="s">
        <v>1271</v>
      </c>
      <c r="E14587" s="12" t="s">
        <v>35</v>
      </c>
      <c r="F14587" s="14">
        <v>140000</v>
      </c>
      <c r="G14587" s="14">
        <v>106400</v>
      </c>
      <c r="H14587" s="13" t="s">
        <v>27911</v>
      </c>
      <c r="I14587" s="40" t="s">
        <v>18</v>
      </c>
      <c r="J14587" s="40" t="str">
        <f>HYPERLINK("https://stock.pstatic.net/stock-research/company/1/20250210_company_750940000.pdf","PDF")</f>
        <v>PDF</v>
      </c>
      <c r="K14587" s="12" t="s">
        <v>27912</v>
      </c>
      <c r="L14587" s="20">
        <v>0.31578947368421051</v>
      </c>
    </row>
    <row r="14588" spans="1:12" x14ac:dyDescent="0.45">
      <c r="A14588" s="12" t="s">
        <v>27800</v>
      </c>
      <c r="B14588" s="12" t="s">
        <v>537</v>
      </c>
      <c r="C14588" s="13" t="s">
        <v>538</v>
      </c>
      <c r="D14588" s="13" t="s">
        <v>1271</v>
      </c>
      <c r="E14588" s="12" t="s">
        <v>35</v>
      </c>
      <c r="F14588" s="14">
        <v>13000</v>
      </c>
      <c r="G14588" s="14">
        <v>10360</v>
      </c>
      <c r="H14588" s="13" t="s">
        <v>27913</v>
      </c>
      <c r="I14588" s="40" t="s">
        <v>18</v>
      </c>
      <c r="J14588" s="40" t="str">
        <f>HYPERLINK("https://stock.pstatic.net/stock-research/company/1/20250210_company_155812000.pdf","PDF")</f>
        <v>PDF</v>
      </c>
      <c r="K14588" s="12" t="s">
        <v>27914</v>
      </c>
      <c r="L14588" s="20">
        <v>0.25482625482625482</v>
      </c>
    </row>
    <row r="14589" spans="1:12" x14ac:dyDescent="0.45">
      <c r="A14589" s="12" t="s">
        <v>27800</v>
      </c>
      <c r="B14589" s="12" t="s">
        <v>2982</v>
      </c>
      <c r="C14589" s="13" t="s">
        <v>2983</v>
      </c>
      <c r="D14589" s="13" t="s">
        <v>1271</v>
      </c>
      <c r="E14589" s="12" t="s">
        <v>35</v>
      </c>
      <c r="F14589" s="14">
        <v>48000</v>
      </c>
      <c r="G14589" s="14">
        <v>35150</v>
      </c>
      <c r="H14589" s="13" t="s">
        <v>27915</v>
      </c>
      <c r="I14589" s="40" t="s">
        <v>18</v>
      </c>
      <c r="J14589" s="40" t="str">
        <f>HYPERLINK("https://stock.pstatic.net/stock-research/company/78/20250210_company_892099000.pdf","PDF")</f>
        <v>PDF</v>
      </c>
      <c r="K14589" s="12" t="s">
        <v>27916</v>
      </c>
      <c r="L14589" s="20">
        <v>0.3655761024182077</v>
      </c>
    </row>
    <row r="14590" spans="1:12" x14ac:dyDescent="0.45">
      <c r="A14590" s="12" t="s">
        <v>27800</v>
      </c>
      <c r="B14590" s="12" t="s">
        <v>2290</v>
      </c>
      <c r="C14590" s="13" t="s">
        <v>2291</v>
      </c>
      <c r="D14590" s="13" t="s">
        <v>23</v>
      </c>
      <c r="E14590" s="12" t="s">
        <v>16</v>
      </c>
      <c r="F14590" s="14">
        <v>5500</v>
      </c>
      <c r="G14590" s="14">
        <v>4395</v>
      </c>
      <c r="H14590" s="13" t="s">
        <v>27917</v>
      </c>
      <c r="I14590" s="40" t="s">
        <v>18</v>
      </c>
      <c r="J14590" s="40" t="str">
        <f>HYPERLINK("https://stock.pstatic.net/stock-research/company/21/20250210_company_554849000.pdf","PDF")</f>
        <v>PDF</v>
      </c>
      <c r="K14590" s="12" t="s">
        <v>27918</v>
      </c>
      <c r="L14590" s="20">
        <v>0.25142207053469851</v>
      </c>
    </row>
    <row r="14591" spans="1:12" x14ac:dyDescent="0.45">
      <c r="A14591" s="12" t="s">
        <v>27800</v>
      </c>
      <c r="B14591" s="12" t="s">
        <v>2266</v>
      </c>
      <c r="C14591" s="13" t="s">
        <v>2267</v>
      </c>
      <c r="D14591" s="13" t="s">
        <v>23</v>
      </c>
      <c r="E14591" s="12" t="s">
        <v>16</v>
      </c>
      <c r="F14591" s="14">
        <v>68000</v>
      </c>
      <c r="G14591" s="14">
        <v>51700</v>
      </c>
      <c r="H14591" s="13" t="s">
        <v>27919</v>
      </c>
      <c r="I14591" s="40" t="s">
        <v>18</v>
      </c>
      <c r="J14591" s="40" t="str">
        <f>HYPERLINK("https://stock.pstatic.net/stock-research/company/21/20250210_company_481820000.pdf","PDF")</f>
        <v>PDF</v>
      </c>
      <c r="K14591" s="12" t="s">
        <v>27920</v>
      </c>
      <c r="L14591" s="20">
        <v>0.31528046421663442</v>
      </c>
    </row>
    <row r="14592" spans="1:12" x14ac:dyDescent="0.45">
      <c r="A14592" s="12" t="s">
        <v>27800</v>
      </c>
      <c r="B14592" s="12" t="s">
        <v>503</v>
      </c>
      <c r="C14592" s="13" t="s">
        <v>504</v>
      </c>
      <c r="D14592" s="13" t="s">
        <v>23</v>
      </c>
      <c r="E14592" s="12" t="s">
        <v>16</v>
      </c>
      <c r="F14592" s="14">
        <v>120000</v>
      </c>
      <c r="G14592" s="14">
        <v>75700</v>
      </c>
      <c r="H14592" s="13" t="s">
        <v>27921</v>
      </c>
      <c r="I14592" s="40" t="s">
        <v>18</v>
      </c>
      <c r="J14592" s="40" t="str">
        <f>HYPERLINK("https://stock.pstatic.net/stock-research/company/21/20250210_company_131059000.pdf","PDF")</f>
        <v>PDF</v>
      </c>
      <c r="K14592" s="12" t="s">
        <v>27922</v>
      </c>
      <c r="L14592" s="20">
        <v>0.58520475561426688</v>
      </c>
    </row>
    <row r="14593" spans="1:12" x14ac:dyDescent="0.45">
      <c r="A14593" s="12" t="s">
        <v>27800</v>
      </c>
      <c r="B14593" s="12" t="s">
        <v>3488</v>
      </c>
      <c r="C14593" s="13" t="s">
        <v>3489</v>
      </c>
      <c r="D14593" s="13" t="s">
        <v>179</v>
      </c>
      <c r="E14593" s="12" t="s">
        <v>16</v>
      </c>
      <c r="F14593" s="14">
        <v>20000</v>
      </c>
      <c r="G14593" s="14">
        <v>15390</v>
      </c>
      <c r="H14593" s="13" t="s">
        <v>27923</v>
      </c>
      <c r="I14593" s="40" t="s">
        <v>18</v>
      </c>
      <c r="J14593" s="40" t="str">
        <f>HYPERLINK("https://stock.pstatic.net/stock-research/company/31/20250210_company_273178000.pdf","PDF")</f>
        <v>PDF</v>
      </c>
      <c r="K14593" s="12" t="s">
        <v>27924</v>
      </c>
      <c r="L14593" s="20">
        <v>0.29954515919428198</v>
      </c>
    </row>
    <row r="14594" spans="1:12" x14ac:dyDescent="0.45">
      <c r="A14594" s="12" t="s">
        <v>27800</v>
      </c>
      <c r="B14594" s="12" t="s">
        <v>792</v>
      </c>
      <c r="C14594" s="13" t="s">
        <v>793</v>
      </c>
      <c r="D14594" s="13" t="s">
        <v>23</v>
      </c>
      <c r="E14594" s="12" t="s">
        <v>16</v>
      </c>
      <c r="F14594" s="14">
        <v>25000</v>
      </c>
      <c r="G14594" s="14">
        <v>15850</v>
      </c>
      <c r="H14594" s="13" t="s">
        <v>27925</v>
      </c>
      <c r="I14594" s="40" t="s">
        <v>18</v>
      </c>
      <c r="J14594" s="40" t="str">
        <f>HYPERLINK("https://stock.pstatic.net/stock-research/company/1/20250210_company_442137000.pdf","PDF")</f>
        <v>PDF</v>
      </c>
      <c r="K14594" s="12" t="s">
        <v>27926</v>
      </c>
      <c r="L14594" s="20">
        <v>0.57728706624605675</v>
      </c>
    </row>
    <row r="14595" spans="1:12" x14ac:dyDescent="0.45">
      <c r="A14595" s="12" t="s">
        <v>27800</v>
      </c>
      <c r="B14595" s="12" t="s">
        <v>1936</v>
      </c>
      <c r="C14595" s="13" t="s">
        <v>1937</v>
      </c>
      <c r="D14595" s="13" t="s">
        <v>23</v>
      </c>
      <c r="E14595" s="12" t="s">
        <v>16</v>
      </c>
      <c r="F14595" s="14">
        <v>8500</v>
      </c>
      <c r="G14595" s="14">
        <v>5420</v>
      </c>
      <c r="H14595" s="13" t="s">
        <v>27927</v>
      </c>
      <c r="I14595" s="40" t="s">
        <v>18</v>
      </c>
      <c r="J14595" s="40" t="str">
        <f>HYPERLINK("https://stock.pstatic.net/stock-research/company/21/20250210_company_483787000.pdf","PDF")</f>
        <v>PDF</v>
      </c>
      <c r="K14595" s="12" t="s">
        <v>27928</v>
      </c>
      <c r="L14595" s="20">
        <v>0.56826568265682653</v>
      </c>
    </row>
    <row r="14596" spans="1:12" x14ac:dyDescent="0.45">
      <c r="A14596" s="12" t="s">
        <v>27800</v>
      </c>
      <c r="B14596" s="12" t="s">
        <v>42</v>
      </c>
      <c r="C14596" s="13" t="s">
        <v>43</v>
      </c>
      <c r="D14596" s="13" t="s">
        <v>23</v>
      </c>
      <c r="E14596" s="12" t="s">
        <v>50</v>
      </c>
      <c r="F14596" s="14">
        <v>230000</v>
      </c>
      <c r="G14596" s="14">
        <v>225500</v>
      </c>
      <c r="H14596" s="13" t="s">
        <v>27929</v>
      </c>
      <c r="I14596" s="40" t="s">
        <v>18</v>
      </c>
      <c r="J14596" s="40" t="str">
        <f>HYPERLINK("https://stock.pstatic.net/stock-research/company/21/20250210_company_604178000.pdf","PDF")</f>
        <v>PDF</v>
      </c>
      <c r="K14596" s="12" t="s">
        <v>27930</v>
      </c>
      <c r="L14596" s="20">
        <v>1.9955654101995561E-2</v>
      </c>
    </row>
    <row r="14597" spans="1:12" x14ac:dyDescent="0.45">
      <c r="A14597" s="12" t="s">
        <v>27800</v>
      </c>
      <c r="B14597" s="12" t="s">
        <v>2266</v>
      </c>
      <c r="C14597" s="13" t="s">
        <v>2267</v>
      </c>
      <c r="D14597" s="13" t="s">
        <v>23</v>
      </c>
      <c r="E14597" s="12" t="s">
        <v>16</v>
      </c>
      <c r="F14597" s="14">
        <v>63000</v>
      </c>
      <c r="G14597" s="14">
        <v>51700</v>
      </c>
      <c r="H14597" s="13" t="s">
        <v>27931</v>
      </c>
      <c r="I14597" s="40" t="s">
        <v>18</v>
      </c>
      <c r="J14597" s="40" t="str">
        <f>HYPERLINK("https://stock.pstatic.net/stock-research/company/21/20250210_company_35785000.pdf","PDF")</f>
        <v>PDF</v>
      </c>
      <c r="K14597" s="12" t="s">
        <v>27932</v>
      </c>
      <c r="L14597" s="20">
        <v>0.21856866537717601</v>
      </c>
    </row>
    <row r="14598" spans="1:12" x14ac:dyDescent="0.45">
      <c r="A14598" s="12" t="s">
        <v>27800</v>
      </c>
      <c r="B14598" s="12" t="s">
        <v>3488</v>
      </c>
      <c r="C14598" s="13" t="s">
        <v>3489</v>
      </c>
      <c r="D14598" s="13" t="s">
        <v>23</v>
      </c>
      <c r="E14598" s="12" t="s">
        <v>16</v>
      </c>
      <c r="F14598" s="14">
        <v>19000</v>
      </c>
      <c r="G14598" s="14">
        <v>15390</v>
      </c>
      <c r="H14598" s="13" t="s">
        <v>27933</v>
      </c>
      <c r="I14598" s="40" t="s">
        <v>18</v>
      </c>
      <c r="J14598" s="40" t="str">
        <f>HYPERLINK("https://stock.pstatic.net/stock-research/company/21/20250210_company_936186000.pdf","PDF")</f>
        <v>PDF</v>
      </c>
      <c r="K14598" s="12" t="s">
        <v>27934</v>
      </c>
      <c r="L14598" s="20">
        <v>0.23456790123456789</v>
      </c>
    </row>
    <row r="14599" spans="1:12" x14ac:dyDescent="0.45">
      <c r="A14599" s="12" t="s">
        <v>27800</v>
      </c>
      <c r="B14599" s="12" t="s">
        <v>2837</v>
      </c>
      <c r="C14599" s="13" t="s">
        <v>2838</v>
      </c>
      <c r="D14599" s="13" t="s">
        <v>92</v>
      </c>
      <c r="E14599" s="12" t="s">
        <v>35</v>
      </c>
      <c r="F14599" s="14">
        <v>31000</v>
      </c>
      <c r="G14599" s="14">
        <v>25300</v>
      </c>
      <c r="H14599" s="13" t="s">
        <v>27935</v>
      </c>
      <c r="I14599" s="40" t="s">
        <v>18</v>
      </c>
      <c r="J14599" s="40" t="str">
        <f>HYPERLINK("https://stock.pstatic.net/stock-research/company/63/20250210_company_353181000.pdf","PDF")</f>
        <v>PDF</v>
      </c>
      <c r="K14599" s="12" t="s">
        <v>27936</v>
      </c>
      <c r="L14599" s="20">
        <v>0.22529644268774701</v>
      </c>
    </row>
    <row r="14600" spans="1:12" x14ac:dyDescent="0.45">
      <c r="A14600" s="12" t="s">
        <v>27800</v>
      </c>
      <c r="B14600" s="12" t="s">
        <v>2040</v>
      </c>
      <c r="C14600" s="13" t="s">
        <v>2041</v>
      </c>
      <c r="D14600" s="13" t="s">
        <v>23</v>
      </c>
      <c r="E14600" s="12" t="s">
        <v>16</v>
      </c>
      <c r="F14600" s="14">
        <v>80000</v>
      </c>
      <c r="G14600" s="14">
        <v>54500</v>
      </c>
      <c r="H14600" s="13" t="s">
        <v>11878</v>
      </c>
      <c r="I14600" s="40" t="s">
        <v>18</v>
      </c>
      <c r="J14600" s="40" t="str">
        <f>HYPERLINK("https://stock.pstatic.net/stock-research/company/21/20250210_company_998883000.pdf","PDF")</f>
        <v>PDF</v>
      </c>
      <c r="K14600" s="12" t="s">
        <v>27937</v>
      </c>
      <c r="L14600" s="20">
        <v>0.46788990825688082</v>
      </c>
    </row>
    <row r="14601" spans="1:12" x14ac:dyDescent="0.45">
      <c r="A14601" s="12" t="s">
        <v>27800</v>
      </c>
      <c r="B14601" s="12" t="s">
        <v>243</v>
      </c>
      <c r="C14601" s="13" t="s">
        <v>244</v>
      </c>
      <c r="D14601" s="13" t="s">
        <v>23</v>
      </c>
      <c r="E14601" s="12" t="s">
        <v>50</v>
      </c>
      <c r="F14601" s="13"/>
      <c r="G14601" s="14">
        <v>20550</v>
      </c>
      <c r="H14601" s="13" t="s">
        <v>27938</v>
      </c>
      <c r="I14601" s="40" t="s">
        <v>18</v>
      </c>
      <c r="J14601" s="40" t="str">
        <f>HYPERLINK("https://stock.pstatic.net/stock-research/company/21/20250210_company_192185000.pdf","PDF")</f>
        <v>PDF</v>
      </c>
      <c r="K14601" s="12" t="s">
        <v>27939</v>
      </c>
    </row>
    <row r="14602" spans="1:12" x14ac:dyDescent="0.45">
      <c r="A14602" s="12" t="s">
        <v>27800</v>
      </c>
      <c r="B14602" s="12" t="s">
        <v>1530</v>
      </c>
      <c r="C14602" s="13" t="s">
        <v>1531</v>
      </c>
      <c r="D14602" s="13" t="s">
        <v>23</v>
      </c>
      <c r="E14602" s="12" t="s">
        <v>50</v>
      </c>
      <c r="F14602" s="14">
        <v>23000</v>
      </c>
      <c r="G14602" s="14">
        <v>22900</v>
      </c>
      <c r="H14602" s="13" t="s">
        <v>11729</v>
      </c>
      <c r="I14602" s="40" t="s">
        <v>18</v>
      </c>
      <c r="J14602" s="40" t="str">
        <f>HYPERLINK("https://stock.pstatic.net/stock-research/company/21/20250210_company_908508000.pdf","PDF")</f>
        <v>PDF</v>
      </c>
      <c r="K14602" s="12" t="s">
        <v>27940</v>
      </c>
      <c r="L14602" s="20">
        <v>4.3668122270742356E-3</v>
      </c>
    </row>
    <row r="14603" spans="1:12" x14ac:dyDescent="0.45">
      <c r="A14603" s="12" t="s">
        <v>27800</v>
      </c>
      <c r="B14603" s="12" t="s">
        <v>3168</v>
      </c>
      <c r="C14603" s="13" t="s">
        <v>25909</v>
      </c>
      <c r="D14603" s="13" t="s">
        <v>23</v>
      </c>
      <c r="E14603" s="12" t="s">
        <v>16</v>
      </c>
      <c r="F14603" s="14">
        <v>10500</v>
      </c>
      <c r="G14603" s="14">
        <v>9280</v>
      </c>
      <c r="H14603" s="13" t="s">
        <v>27941</v>
      </c>
      <c r="I14603" s="40" t="s">
        <v>18</v>
      </c>
      <c r="J14603" s="40" t="str">
        <f>HYPERLINK("https://stock.pstatic.net/stock-research/company/21/20250210_company_201482000.pdf","PDF")</f>
        <v>PDF</v>
      </c>
      <c r="K14603" s="12" t="s">
        <v>27942</v>
      </c>
      <c r="L14603" s="20">
        <v>0.13146551724137931</v>
      </c>
    </row>
    <row r="14604" spans="1:12" x14ac:dyDescent="0.45">
      <c r="A14604" s="12" t="s">
        <v>27800</v>
      </c>
      <c r="B14604" s="12" t="s">
        <v>1437</v>
      </c>
      <c r="C14604" s="13" t="s">
        <v>1438</v>
      </c>
      <c r="D14604" s="13" t="s">
        <v>23</v>
      </c>
      <c r="E14604" s="12" t="s">
        <v>16</v>
      </c>
      <c r="F14604" s="14">
        <v>84000</v>
      </c>
      <c r="G14604" s="14">
        <v>60100</v>
      </c>
      <c r="H14604" s="13" t="s">
        <v>27943</v>
      </c>
      <c r="I14604" s="40" t="s">
        <v>18</v>
      </c>
      <c r="J14604" s="40" t="str">
        <f>HYPERLINK("https://stock.pstatic.net/stock-research/company/1/20250210_company_89140000.pdf","PDF")</f>
        <v>PDF</v>
      </c>
      <c r="K14604" s="12" t="s">
        <v>27944</v>
      </c>
      <c r="L14604" s="20">
        <v>0.39767054908485849</v>
      </c>
    </row>
    <row r="14605" spans="1:12" x14ac:dyDescent="0.45">
      <c r="A14605" s="12" t="s">
        <v>27800</v>
      </c>
      <c r="B14605" s="12" t="s">
        <v>42</v>
      </c>
      <c r="C14605" s="13" t="s">
        <v>43</v>
      </c>
      <c r="D14605" s="13" t="s">
        <v>44</v>
      </c>
      <c r="E14605" s="12" t="s">
        <v>35</v>
      </c>
      <c r="F14605" s="14">
        <v>290000</v>
      </c>
      <c r="G14605" s="14">
        <v>225500</v>
      </c>
      <c r="H14605" s="13" t="s">
        <v>27945</v>
      </c>
      <c r="I14605" s="40" t="s">
        <v>18</v>
      </c>
      <c r="J14605" s="40" t="str">
        <f>HYPERLINK("https://stock.pstatic.net/stock-research/company/39/20250210_company_538204000.pdf","PDF")</f>
        <v>PDF</v>
      </c>
      <c r="K14605" s="12" t="s">
        <v>27946</v>
      </c>
      <c r="L14605" s="20">
        <v>0.28603104212860309</v>
      </c>
    </row>
    <row r="14606" spans="1:12" x14ac:dyDescent="0.45">
      <c r="A14606" s="12" t="s">
        <v>27800</v>
      </c>
      <c r="B14606" s="12" t="s">
        <v>3168</v>
      </c>
      <c r="C14606" s="13" t="s">
        <v>25909</v>
      </c>
      <c r="D14606" s="13" t="s">
        <v>179</v>
      </c>
      <c r="E14606" s="12" t="s">
        <v>16</v>
      </c>
      <c r="F14606" s="14">
        <v>11000</v>
      </c>
      <c r="G14606" s="14">
        <v>9280</v>
      </c>
      <c r="H14606" s="13" t="s">
        <v>27947</v>
      </c>
      <c r="I14606" s="40" t="s">
        <v>18</v>
      </c>
      <c r="J14606" s="40" t="str">
        <f>HYPERLINK("https://stock.pstatic.net/stock-research/company/1/20250210_company_600159000.pdf","PDF")</f>
        <v>PDF</v>
      </c>
      <c r="K14606" s="12" t="s">
        <v>27948</v>
      </c>
      <c r="L14606" s="20">
        <v>0.18534482758620691</v>
      </c>
    </row>
    <row r="14607" spans="1:12" x14ac:dyDescent="0.45">
      <c r="A14607" s="12" t="s">
        <v>27800</v>
      </c>
      <c r="B14607" s="12" t="s">
        <v>2040</v>
      </c>
      <c r="C14607" s="13" t="s">
        <v>2041</v>
      </c>
      <c r="D14607" s="13" t="s">
        <v>15</v>
      </c>
      <c r="E14607" s="12" t="s">
        <v>50</v>
      </c>
      <c r="F14607" s="14">
        <v>64000</v>
      </c>
      <c r="G14607" s="14">
        <v>54500</v>
      </c>
      <c r="H14607" s="13" t="s">
        <v>27949</v>
      </c>
      <c r="I14607" s="40" t="s">
        <v>18</v>
      </c>
      <c r="J14607" s="40" t="str">
        <f>HYPERLINK("https://stock.pstatic.net/stock-research/company/29/20250210_company_164792000.pdf","PDF")</f>
        <v>PDF</v>
      </c>
      <c r="K14607" s="12" t="s">
        <v>27950</v>
      </c>
      <c r="L14607" s="20">
        <v>0.1743119266055046</v>
      </c>
    </row>
    <row r="14608" spans="1:12" x14ac:dyDescent="0.45">
      <c r="A14608" s="12" t="s">
        <v>27800</v>
      </c>
      <c r="B14608" s="12" t="s">
        <v>1401</v>
      </c>
      <c r="C14608" s="13" t="s">
        <v>1402</v>
      </c>
      <c r="D14608" s="13" t="s">
        <v>92</v>
      </c>
      <c r="E14608" s="12" t="s">
        <v>50</v>
      </c>
      <c r="F14608" s="13"/>
      <c r="G14608" s="14">
        <v>2215</v>
      </c>
      <c r="H14608" s="13" t="s">
        <v>27951</v>
      </c>
      <c r="I14608" s="40" t="s">
        <v>18</v>
      </c>
      <c r="J14608" s="40" t="str">
        <f>HYPERLINK("https://stock.pstatic.net/stock-research/company/63/20250210_company_711519000.pdf","PDF")</f>
        <v>PDF</v>
      </c>
      <c r="K14608" s="12" t="s">
        <v>27952</v>
      </c>
    </row>
    <row r="14609" spans="1:12" x14ac:dyDescent="0.45">
      <c r="A14609" s="12" t="s">
        <v>27800</v>
      </c>
      <c r="B14609" s="12" t="s">
        <v>2040</v>
      </c>
      <c r="C14609" s="13" t="s">
        <v>2041</v>
      </c>
      <c r="D14609" s="13" t="s">
        <v>179</v>
      </c>
      <c r="E14609" s="12" t="s">
        <v>16</v>
      </c>
      <c r="F14609" s="14">
        <v>80000</v>
      </c>
      <c r="G14609" s="14">
        <v>54500</v>
      </c>
      <c r="H14609" s="13" t="s">
        <v>27953</v>
      </c>
      <c r="I14609" s="40" t="s">
        <v>18</v>
      </c>
      <c r="J14609" s="40" t="str">
        <f>HYPERLINK("https://stock.pstatic.net/stock-research/company/31/20250210_company_76518000.pdf","PDF")</f>
        <v>PDF</v>
      </c>
      <c r="K14609" s="12" t="s">
        <v>27954</v>
      </c>
      <c r="L14609" s="20">
        <v>0.46788990825688082</v>
      </c>
    </row>
    <row r="14610" spans="1:12" x14ac:dyDescent="0.45">
      <c r="A14610" s="12" t="s">
        <v>27800</v>
      </c>
      <c r="B14610" s="12" t="s">
        <v>42</v>
      </c>
      <c r="C14610" s="13" t="s">
        <v>43</v>
      </c>
      <c r="D14610" s="13" t="s">
        <v>92</v>
      </c>
      <c r="E14610" s="12" t="s">
        <v>35</v>
      </c>
      <c r="F14610" s="14">
        <v>280000</v>
      </c>
      <c r="G14610" s="14">
        <v>225500</v>
      </c>
      <c r="H14610" s="13" t="s">
        <v>27955</v>
      </c>
      <c r="I14610" s="40" t="s">
        <v>18</v>
      </c>
      <c r="J14610" s="40" t="str">
        <f>HYPERLINK("https://stock.pstatic.net/stock-research/company/63/20250210_company_693687000.pdf","PDF")</f>
        <v>PDF</v>
      </c>
      <c r="K14610" s="12" t="s">
        <v>27956</v>
      </c>
      <c r="L14610" s="20">
        <v>0.2416851441241685</v>
      </c>
    </row>
    <row r="14611" spans="1:12" x14ac:dyDescent="0.45">
      <c r="A14611" s="12" t="s">
        <v>27800</v>
      </c>
      <c r="B14611" s="12" t="s">
        <v>3488</v>
      </c>
      <c r="C14611" s="13" t="s">
        <v>3489</v>
      </c>
      <c r="D14611" s="13" t="s">
        <v>44</v>
      </c>
      <c r="E14611" s="12" t="s">
        <v>35</v>
      </c>
      <c r="F14611" s="14">
        <v>22000</v>
      </c>
      <c r="G14611" s="14">
        <v>15390</v>
      </c>
      <c r="H14611" s="13" t="s">
        <v>27957</v>
      </c>
      <c r="I14611" s="40" t="s">
        <v>18</v>
      </c>
      <c r="J14611" s="40" t="str">
        <f>HYPERLINK("https://stock.pstatic.net/stock-research/company/39/20250210_company_483820000.pdf","PDF")</f>
        <v>PDF</v>
      </c>
      <c r="K14611" s="12" t="s">
        <v>27958</v>
      </c>
      <c r="L14611" s="20">
        <v>0.42949967511371018</v>
      </c>
    </row>
    <row r="14612" spans="1:12" x14ac:dyDescent="0.45">
      <c r="A14612" s="12" t="s">
        <v>27800</v>
      </c>
      <c r="B14612" s="12" t="s">
        <v>691</v>
      </c>
      <c r="C14612" s="13" t="s">
        <v>20</v>
      </c>
      <c r="D14612" s="13" t="s">
        <v>44</v>
      </c>
      <c r="E14612" s="12" t="s">
        <v>35</v>
      </c>
      <c r="F14612" s="14">
        <v>220000</v>
      </c>
      <c r="G14612" s="14">
        <v>179600</v>
      </c>
      <c r="H14612" s="13" t="s">
        <v>27959</v>
      </c>
      <c r="I14612" s="40" t="s">
        <v>18</v>
      </c>
      <c r="J14612" s="40" t="str">
        <f>HYPERLINK("https://stock.pstatic.net/stock-research/company/39/20250210_company_528065000.pdf","PDF")</f>
        <v>PDF</v>
      </c>
      <c r="K14612" s="12" t="s">
        <v>27960</v>
      </c>
      <c r="L14612" s="20">
        <v>0.22494432071269491</v>
      </c>
    </row>
    <row r="14613" spans="1:12" x14ac:dyDescent="0.45">
      <c r="A14613" s="12" t="s">
        <v>27800</v>
      </c>
      <c r="B14613" s="12" t="s">
        <v>2837</v>
      </c>
      <c r="C14613" s="13" t="s">
        <v>2838</v>
      </c>
      <c r="D14613" s="13" t="s">
        <v>44</v>
      </c>
      <c r="E14613" s="12" t="s">
        <v>35</v>
      </c>
      <c r="F14613" s="14">
        <v>31000</v>
      </c>
      <c r="G14613" s="14">
        <v>25300</v>
      </c>
      <c r="H14613" s="13" t="s">
        <v>27961</v>
      </c>
      <c r="I14613" s="40" t="s">
        <v>18</v>
      </c>
      <c r="J14613" s="40" t="str">
        <f>HYPERLINK("https://stock.pstatic.net/stock-research/company/1/20250210_company_430357000.pdf","PDF")</f>
        <v>PDF</v>
      </c>
      <c r="K14613" s="12" t="s">
        <v>27962</v>
      </c>
      <c r="L14613" s="20">
        <v>0.22529644268774701</v>
      </c>
    </row>
    <row r="14614" spans="1:12" x14ac:dyDescent="0.45">
      <c r="A14614" s="12" t="s">
        <v>27800</v>
      </c>
      <c r="B14614" s="12" t="s">
        <v>17120</v>
      </c>
      <c r="C14614" s="13" t="s">
        <v>17121</v>
      </c>
      <c r="D14614" s="13" t="s">
        <v>34</v>
      </c>
      <c r="E14614" s="12" t="s">
        <v>50</v>
      </c>
      <c r="F14614" s="13"/>
      <c r="G14614" s="14">
        <v>4170</v>
      </c>
      <c r="H14614" s="13" t="s">
        <v>27963</v>
      </c>
      <c r="I14614" s="40" t="s">
        <v>18</v>
      </c>
      <c r="J14614" s="40" t="str">
        <f>HYPERLINK("https://stock.pstatic.net/stock-research/company/61/20250210_company_953671000.pdf","PDF")</f>
        <v>PDF</v>
      </c>
      <c r="K14614" s="12" t="s">
        <v>27964</v>
      </c>
    </row>
    <row r="14615" spans="1:12" x14ac:dyDescent="0.45">
      <c r="A14615" s="12" t="s">
        <v>27800</v>
      </c>
      <c r="B14615" s="12" t="s">
        <v>12399</v>
      </c>
      <c r="C14615" s="13" t="s">
        <v>12400</v>
      </c>
      <c r="D14615" s="13" t="s">
        <v>179</v>
      </c>
      <c r="E14615" s="12" t="s">
        <v>16</v>
      </c>
      <c r="F14615" s="14">
        <v>56000</v>
      </c>
      <c r="G14615" s="14">
        <v>40950</v>
      </c>
      <c r="H14615" s="13" t="s">
        <v>27965</v>
      </c>
      <c r="I14615" s="40" t="s">
        <v>18</v>
      </c>
      <c r="J14615" s="40" t="str">
        <f>HYPERLINK("https://stock.pstatic.net/stock-research/company/31/20250210_company_697862000.pdf","PDF")</f>
        <v>PDF</v>
      </c>
      <c r="K14615" s="12" t="s">
        <v>27966</v>
      </c>
      <c r="L14615" s="20">
        <v>0.36752136752136749</v>
      </c>
    </row>
    <row r="14616" spans="1:12" x14ac:dyDescent="0.45">
      <c r="A14616" s="12" t="s">
        <v>27800</v>
      </c>
      <c r="B14616" s="12" t="s">
        <v>243</v>
      </c>
      <c r="C14616" s="13" t="s">
        <v>244</v>
      </c>
      <c r="D14616" s="13" t="s">
        <v>44</v>
      </c>
      <c r="E14616" s="12" t="s">
        <v>50</v>
      </c>
      <c r="F14616" s="13"/>
      <c r="G14616" s="14">
        <v>20550</v>
      </c>
      <c r="H14616" s="13" t="s">
        <v>27967</v>
      </c>
      <c r="I14616" s="40" t="s">
        <v>18</v>
      </c>
      <c r="J14616" s="40" t="str">
        <f>HYPERLINK("https://stock.pstatic.net/stock-research/company/39/20250210_company_567755000.pdf","PDF")</f>
        <v>PDF</v>
      </c>
      <c r="K14616" s="12" t="s">
        <v>27968</v>
      </c>
    </row>
    <row r="14617" spans="1:12" x14ac:dyDescent="0.45">
      <c r="A14617" s="12" t="s">
        <v>27800</v>
      </c>
      <c r="B14617" s="12" t="s">
        <v>170</v>
      </c>
      <c r="C14617" s="13" t="s">
        <v>171</v>
      </c>
      <c r="D14617" s="13" t="s">
        <v>179</v>
      </c>
      <c r="E14617" s="12" t="s">
        <v>16</v>
      </c>
      <c r="F14617" s="14">
        <v>84000</v>
      </c>
      <c r="G14617" s="14">
        <v>67000</v>
      </c>
      <c r="H14617" s="13" t="s">
        <v>27969</v>
      </c>
      <c r="I14617" s="40" t="s">
        <v>18</v>
      </c>
      <c r="J14617" s="40" t="str">
        <f>HYPERLINK("https://stock.pstatic.net/stock-research/company/31/20250210_company_482986000.pdf","PDF")</f>
        <v>PDF</v>
      </c>
      <c r="K14617" s="12" t="s">
        <v>27970</v>
      </c>
      <c r="L14617" s="20">
        <v>0.2537313432835821</v>
      </c>
    </row>
    <row r="14618" spans="1:12" x14ac:dyDescent="0.45">
      <c r="A14618" s="12" t="s">
        <v>27800</v>
      </c>
      <c r="B14618" s="12" t="s">
        <v>2266</v>
      </c>
      <c r="C14618" s="13" t="s">
        <v>2267</v>
      </c>
      <c r="D14618" s="13" t="s">
        <v>44</v>
      </c>
      <c r="E14618" s="12" t="s">
        <v>35</v>
      </c>
      <c r="F14618" s="14">
        <v>74000</v>
      </c>
      <c r="G14618" s="14">
        <v>51700</v>
      </c>
      <c r="H14618" s="13" t="s">
        <v>27971</v>
      </c>
      <c r="I14618" s="40" t="s">
        <v>18</v>
      </c>
      <c r="J14618" s="40" t="str">
        <f>HYPERLINK("https://stock.pstatic.net/stock-research/company/39/20250210_company_429993000.pdf","PDF")</f>
        <v>PDF</v>
      </c>
      <c r="K14618" s="12" t="s">
        <v>27972</v>
      </c>
      <c r="L14618" s="20">
        <v>0.43133462282398449</v>
      </c>
    </row>
    <row r="14619" spans="1:12" x14ac:dyDescent="0.45">
      <c r="A14619" s="12" t="s">
        <v>27800</v>
      </c>
      <c r="B14619" s="12" t="s">
        <v>1023</v>
      </c>
      <c r="C14619" s="13" t="s">
        <v>15</v>
      </c>
      <c r="D14619" s="13" t="s">
        <v>44</v>
      </c>
      <c r="E14619" s="12" t="s">
        <v>35</v>
      </c>
      <c r="F14619" s="14">
        <v>10000</v>
      </c>
      <c r="G14619" s="14">
        <v>8270</v>
      </c>
      <c r="H14619" s="13" t="s">
        <v>27973</v>
      </c>
      <c r="I14619" s="40" t="s">
        <v>18</v>
      </c>
      <c r="J14619" s="40" t="str">
        <f>HYPERLINK("https://stock.pstatic.net/stock-research/company/39/20250210_company_710286000.pdf","PDF")</f>
        <v>PDF</v>
      </c>
      <c r="K14619" s="12" t="s">
        <v>27974</v>
      </c>
      <c r="L14619" s="20">
        <v>0.20918984280532041</v>
      </c>
    </row>
    <row r="14620" spans="1:12" x14ac:dyDescent="0.45">
      <c r="A14620" s="12" t="s">
        <v>27800</v>
      </c>
      <c r="B14620" s="12" t="s">
        <v>585</v>
      </c>
      <c r="C14620" s="13" t="s">
        <v>586</v>
      </c>
      <c r="D14620" s="13" t="s">
        <v>53</v>
      </c>
      <c r="E14620" s="12" t="s">
        <v>16</v>
      </c>
      <c r="F14620" s="14">
        <v>28000</v>
      </c>
      <c r="G14620" s="14">
        <v>19830</v>
      </c>
      <c r="H14620" s="13" t="s">
        <v>27975</v>
      </c>
      <c r="I14620" s="40" t="s">
        <v>18</v>
      </c>
      <c r="J14620" s="40" t="str">
        <f>HYPERLINK("https://stock.pstatic.net/stock-research/company/40/20250210_company_98475000.pdf","PDF")</f>
        <v>PDF</v>
      </c>
      <c r="K14620" s="12" t="s">
        <v>27976</v>
      </c>
      <c r="L14620" s="20">
        <v>0.41200201714573881</v>
      </c>
    </row>
    <row r="14621" spans="1:12" x14ac:dyDescent="0.45">
      <c r="A14621" s="12" t="s">
        <v>27800</v>
      </c>
      <c r="B14621" s="12" t="s">
        <v>170</v>
      </c>
      <c r="C14621" s="13" t="s">
        <v>171</v>
      </c>
      <c r="D14621" s="13" t="s">
        <v>44</v>
      </c>
      <c r="E14621" s="12" t="s">
        <v>35</v>
      </c>
      <c r="F14621" s="14">
        <v>85000</v>
      </c>
      <c r="G14621" s="14">
        <v>67000</v>
      </c>
      <c r="H14621" s="13" t="s">
        <v>27977</v>
      </c>
      <c r="I14621" s="40" t="s">
        <v>18</v>
      </c>
      <c r="J14621" s="40" t="str">
        <f>HYPERLINK("https://stock.pstatic.net/stock-research/company/39/20250210_company_956439000.pdf","PDF")</f>
        <v>PDF</v>
      </c>
      <c r="K14621" s="12" t="s">
        <v>27978</v>
      </c>
      <c r="L14621" s="20">
        <v>0.26865671641791039</v>
      </c>
    </row>
    <row r="14622" spans="1:12" x14ac:dyDescent="0.45">
      <c r="A14622" s="12" t="s">
        <v>27800</v>
      </c>
      <c r="B14622" s="12" t="s">
        <v>2740</v>
      </c>
      <c r="C14622" s="13" t="s">
        <v>2741</v>
      </c>
      <c r="D14622" s="13" t="s">
        <v>53</v>
      </c>
      <c r="E14622" s="12" t="s">
        <v>16</v>
      </c>
      <c r="F14622" s="14">
        <v>25000</v>
      </c>
      <c r="G14622" s="14">
        <v>13650</v>
      </c>
      <c r="H14622" s="13" t="s">
        <v>27979</v>
      </c>
      <c r="I14622" s="40" t="s">
        <v>18</v>
      </c>
      <c r="J14622" s="40" t="str">
        <f>HYPERLINK("https://stock.pstatic.net/stock-research/company/40/20250210_company_320989000.pdf","PDF")</f>
        <v>PDF</v>
      </c>
      <c r="K14622" s="12" t="s">
        <v>27980</v>
      </c>
      <c r="L14622" s="20">
        <v>0.83150183150183155</v>
      </c>
    </row>
    <row r="14623" spans="1:12" x14ac:dyDescent="0.45">
      <c r="A14623" s="12" t="s">
        <v>27800</v>
      </c>
      <c r="B14623" s="12" t="s">
        <v>792</v>
      </c>
      <c r="C14623" s="13" t="s">
        <v>793</v>
      </c>
      <c r="D14623" s="13" t="s">
        <v>92</v>
      </c>
      <c r="E14623" s="12" t="s">
        <v>35</v>
      </c>
      <c r="F14623" s="14">
        <v>25000</v>
      </c>
      <c r="G14623" s="14">
        <v>15850</v>
      </c>
      <c r="H14623" s="13" t="s">
        <v>27981</v>
      </c>
      <c r="I14623" s="40" t="s">
        <v>18</v>
      </c>
      <c r="J14623" s="40" t="str">
        <f>HYPERLINK("https://stock.pstatic.net/stock-research/company/63/20250210_company_852419000.pdf","PDF")</f>
        <v>PDF</v>
      </c>
      <c r="K14623" s="12" t="s">
        <v>27982</v>
      </c>
      <c r="L14623" s="20">
        <v>0.57728706624605675</v>
      </c>
    </row>
    <row r="14624" spans="1:12" x14ac:dyDescent="0.45">
      <c r="A14624" s="12" t="s">
        <v>27800</v>
      </c>
      <c r="B14624" s="12" t="s">
        <v>3113</v>
      </c>
      <c r="C14624" s="13" t="s">
        <v>3114</v>
      </c>
      <c r="D14624" s="13" t="s">
        <v>15</v>
      </c>
      <c r="E14624" s="12" t="s">
        <v>16</v>
      </c>
      <c r="F14624" s="14">
        <v>33000</v>
      </c>
      <c r="G14624" s="14">
        <v>26300</v>
      </c>
      <c r="H14624" s="13" t="s">
        <v>27983</v>
      </c>
      <c r="I14624" s="40" t="s">
        <v>18</v>
      </c>
      <c r="J14624" s="40" t="str">
        <f>HYPERLINK("https://stock.pstatic.net/stock-research/company/29/20250210_company_102956000.pdf","PDF")</f>
        <v>PDF</v>
      </c>
      <c r="K14624" s="12" t="s">
        <v>27984</v>
      </c>
      <c r="L14624" s="20">
        <v>0.25475285171102657</v>
      </c>
    </row>
    <row r="14625" spans="1:12" x14ac:dyDescent="0.45">
      <c r="A14625" s="12" t="s">
        <v>27800</v>
      </c>
      <c r="B14625" s="12" t="s">
        <v>42</v>
      </c>
      <c r="C14625" s="13" t="s">
        <v>43</v>
      </c>
      <c r="D14625" s="13" t="s">
        <v>53</v>
      </c>
      <c r="E14625" s="12" t="s">
        <v>16</v>
      </c>
      <c r="F14625" s="14">
        <v>300000</v>
      </c>
      <c r="G14625" s="14">
        <v>232000</v>
      </c>
      <c r="H14625" s="13" t="s">
        <v>27985</v>
      </c>
      <c r="I14625" s="40" t="s">
        <v>18</v>
      </c>
      <c r="J14625" s="40" t="str">
        <f>HYPERLINK("https://stock.pstatic.net/stock-research/company/40/20250210_company_547661000.pdf","PDF")</f>
        <v>PDF</v>
      </c>
      <c r="K14625" s="12" t="s">
        <v>27986</v>
      </c>
      <c r="L14625" s="20">
        <v>0.29310344827586199</v>
      </c>
    </row>
    <row r="14626" spans="1:12" x14ac:dyDescent="0.45">
      <c r="A14626" s="12" t="s">
        <v>27800</v>
      </c>
      <c r="B14626" s="12" t="s">
        <v>42</v>
      </c>
      <c r="C14626" s="13" t="s">
        <v>43</v>
      </c>
      <c r="D14626" s="13" t="s">
        <v>15</v>
      </c>
      <c r="E14626" s="12" t="s">
        <v>16</v>
      </c>
      <c r="F14626" s="14">
        <v>290000</v>
      </c>
      <c r="G14626" s="14">
        <v>232000</v>
      </c>
      <c r="H14626" s="13" t="s">
        <v>27987</v>
      </c>
      <c r="I14626" s="40" t="s">
        <v>18</v>
      </c>
      <c r="J14626" s="40" t="str">
        <f>HYPERLINK("https://stock.pstatic.net/stock-research/company/29/20250210_company_779397000.pdf","PDF")</f>
        <v>PDF</v>
      </c>
      <c r="K14626" s="12" t="s">
        <v>27988</v>
      </c>
      <c r="L14626" s="20">
        <v>0.25</v>
      </c>
    </row>
    <row r="14627" spans="1:12" x14ac:dyDescent="0.45">
      <c r="A14627" s="12" t="s">
        <v>27800</v>
      </c>
      <c r="B14627" s="12" t="s">
        <v>8114</v>
      </c>
      <c r="C14627" s="13" t="s">
        <v>8115</v>
      </c>
      <c r="D14627" s="13" t="s">
        <v>23</v>
      </c>
      <c r="E14627" s="12" t="s">
        <v>16</v>
      </c>
      <c r="F14627" s="14">
        <v>31000</v>
      </c>
      <c r="G14627" s="14">
        <v>21700</v>
      </c>
      <c r="H14627" s="13" t="s">
        <v>27989</v>
      </c>
      <c r="I14627" s="40" t="s">
        <v>18</v>
      </c>
      <c r="J14627" s="40" t="str">
        <f>HYPERLINK("https://stock.pstatic.net/stock-research/company/21/20250210_company_593238000.pdf","PDF")</f>
        <v>PDF</v>
      </c>
      <c r="K14627" s="12" t="s">
        <v>27990</v>
      </c>
      <c r="L14627" s="20">
        <v>0.42857142857142849</v>
      </c>
    </row>
    <row r="14628" spans="1:12" x14ac:dyDescent="0.45">
      <c r="A14628" s="12" t="s">
        <v>27991</v>
      </c>
      <c r="B14628" s="12" t="s">
        <v>732</v>
      </c>
      <c r="C14628" s="13" t="s">
        <v>733</v>
      </c>
      <c r="D14628" s="13" t="s">
        <v>276</v>
      </c>
      <c r="E14628" s="12" t="s">
        <v>16</v>
      </c>
      <c r="F14628" s="14">
        <v>150000</v>
      </c>
      <c r="G14628" s="14">
        <v>127000</v>
      </c>
      <c r="H14628" s="13" t="s">
        <v>27992</v>
      </c>
      <c r="I14628" s="40" t="s">
        <v>18</v>
      </c>
      <c r="J14628" s="40" t="str">
        <f>HYPERLINK("https://stock.pstatic.net/stock-research/company/66/20250207_company_865701000.pdf","PDF")</f>
        <v>PDF</v>
      </c>
      <c r="K14628" s="12" t="s">
        <v>27993</v>
      </c>
      <c r="L14628" s="20">
        <v>0.18110236220472439</v>
      </c>
    </row>
    <row r="14629" spans="1:12" x14ac:dyDescent="0.45">
      <c r="A14629" s="12" t="s">
        <v>27991</v>
      </c>
      <c r="B14629" s="12" t="s">
        <v>1602</v>
      </c>
      <c r="C14629" s="13" t="s">
        <v>1603</v>
      </c>
      <c r="D14629" s="13" t="s">
        <v>276</v>
      </c>
      <c r="E14629" s="12" t="s">
        <v>16</v>
      </c>
      <c r="F14629" s="14">
        <v>40000</v>
      </c>
      <c r="G14629" s="14">
        <v>22600</v>
      </c>
      <c r="H14629" s="13" t="s">
        <v>27994</v>
      </c>
      <c r="I14629" s="40" t="s">
        <v>18</v>
      </c>
      <c r="J14629" s="40" t="str">
        <f>HYPERLINK("https://stock.pstatic.net/stock-research/company/66/20250207_company_794718000.pdf","PDF")</f>
        <v>PDF</v>
      </c>
      <c r="K14629" s="12" t="s">
        <v>27995</v>
      </c>
      <c r="L14629" s="20">
        <v>0.76991150442477874</v>
      </c>
    </row>
    <row r="14630" spans="1:12" x14ac:dyDescent="0.45">
      <c r="A14630" s="12" t="s">
        <v>27991</v>
      </c>
      <c r="B14630" s="12" t="s">
        <v>330</v>
      </c>
      <c r="C14630" s="13" t="s">
        <v>331</v>
      </c>
      <c r="D14630" s="13" t="s">
        <v>276</v>
      </c>
      <c r="E14630" s="12" t="s">
        <v>16</v>
      </c>
      <c r="F14630" s="14">
        <v>25000</v>
      </c>
      <c r="G14630" s="14">
        <v>21450</v>
      </c>
      <c r="H14630" s="13" t="s">
        <v>27996</v>
      </c>
      <c r="I14630" s="40" t="s">
        <v>18</v>
      </c>
      <c r="J14630" s="40" t="str">
        <f>HYPERLINK("https://stock.pstatic.net/stock-research/company/66/20250207_company_221900000.pdf","PDF")</f>
        <v>PDF</v>
      </c>
      <c r="K14630" s="12" t="s">
        <v>27997</v>
      </c>
      <c r="L14630" s="20">
        <v>0.1655011655011655</v>
      </c>
    </row>
    <row r="14631" spans="1:12" x14ac:dyDescent="0.45">
      <c r="A14631" s="12" t="s">
        <v>27991</v>
      </c>
      <c r="B14631" s="12" t="s">
        <v>1552</v>
      </c>
      <c r="C14631" s="13" t="s">
        <v>9704</v>
      </c>
      <c r="D14631" s="13" t="s">
        <v>60</v>
      </c>
      <c r="E14631" s="12" t="s">
        <v>35</v>
      </c>
      <c r="F14631" s="14">
        <v>90000</v>
      </c>
      <c r="G14631" s="14">
        <v>70900</v>
      </c>
      <c r="H14631" s="13" t="s">
        <v>27998</v>
      </c>
      <c r="I14631" s="40" t="s">
        <v>18</v>
      </c>
      <c r="J14631" s="40" t="str">
        <f>HYPERLINK("https://stock.pstatic.net/stock-research/company/62/20250207_company_246336000.pdf","PDF")</f>
        <v>PDF</v>
      </c>
      <c r="K14631" s="12" t="s">
        <v>27999</v>
      </c>
      <c r="L14631" s="20">
        <v>0.26939351198871653</v>
      </c>
    </row>
    <row r="14632" spans="1:12" x14ac:dyDescent="0.45">
      <c r="A14632" s="12" t="s">
        <v>27991</v>
      </c>
      <c r="B14632" s="12" t="s">
        <v>2425</v>
      </c>
      <c r="C14632" s="13" t="s">
        <v>2426</v>
      </c>
      <c r="D14632" s="13" t="s">
        <v>60</v>
      </c>
      <c r="E14632" s="12" t="s">
        <v>35</v>
      </c>
      <c r="F14632" s="14">
        <v>130000</v>
      </c>
      <c r="G14632" s="14">
        <v>112700</v>
      </c>
      <c r="H14632" s="13" t="s">
        <v>28000</v>
      </c>
      <c r="I14632" s="40" t="s">
        <v>18</v>
      </c>
      <c r="J14632" s="40" t="str">
        <f>HYPERLINK("https://stock.pstatic.net/stock-research/company/1/20250207_company_674045000.pdf","PDF")</f>
        <v>PDF</v>
      </c>
      <c r="K14632" s="12" t="s">
        <v>28001</v>
      </c>
      <c r="L14632" s="20">
        <v>0.15350488021295469</v>
      </c>
    </row>
    <row r="14633" spans="1:12" x14ac:dyDescent="0.45">
      <c r="A14633" s="12" t="s">
        <v>27991</v>
      </c>
      <c r="B14633" s="12" t="s">
        <v>434</v>
      </c>
      <c r="C14633" s="13" t="s">
        <v>435</v>
      </c>
      <c r="D14633" s="13" t="s">
        <v>60</v>
      </c>
      <c r="E14633" s="12" t="s">
        <v>35</v>
      </c>
      <c r="F14633" s="14">
        <v>160000</v>
      </c>
      <c r="G14633" s="14">
        <v>126300</v>
      </c>
      <c r="H14633" s="13" t="s">
        <v>28002</v>
      </c>
      <c r="I14633" s="40" t="s">
        <v>18</v>
      </c>
      <c r="J14633" s="40" t="str">
        <f>HYPERLINK("https://stock.pstatic.net/stock-research/company/62/20250207_company_238459000.pdf","PDF")</f>
        <v>PDF</v>
      </c>
      <c r="K14633" s="12" t="s">
        <v>28003</v>
      </c>
      <c r="L14633" s="20">
        <v>0.26682501979414092</v>
      </c>
    </row>
    <row r="14634" spans="1:12" x14ac:dyDescent="0.45">
      <c r="A14634" s="12" t="s">
        <v>27991</v>
      </c>
      <c r="B14634" s="12" t="s">
        <v>352</v>
      </c>
      <c r="C14634" s="13" t="s">
        <v>353</v>
      </c>
      <c r="D14634" s="13" t="s">
        <v>60</v>
      </c>
      <c r="E14634" s="12" t="s">
        <v>35</v>
      </c>
      <c r="F14634" s="14">
        <v>150000</v>
      </c>
      <c r="G14634" s="14">
        <v>71500</v>
      </c>
      <c r="H14634" s="13" t="s">
        <v>28004</v>
      </c>
      <c r="I14634" s="40" t="s">
        <v>18</v>
      </c>
      <c r="J14634" s="40" t="str">
        <f>HYPERLINK("https://stock.pstatic.net/stock-research/company/62/20250207_company_630955000.pdf","PDF")</f>
        <v>PDF</v>
      </c>
      <c r="K14634" s="12" t="s">
        <v>28005</v>
      </c>
      <c r="L14634" s="20">
        <v>1.0979020979020979</v>
      </c>
    </row>
    <row r="14635" spans="1:12" x14ac:dyDescent="0.45">
      <c r="A14635" s="12" t="s">
        <v>27991</v>
      </c>
      <c r="B14635" s="12" t="s">
        <v>2191</v>
      </c>
      <c r="C14635" s="13" t="s">
        <v>2192</v>
      </c>
      <c r="D14635" s="13" t="s">
        <v>65</v>
      </c>
      <c r="E14635" s="12" t="s">
        <v>35</v>
      </c>
      <c r="F14635" s="14">
        <v>93000</v>
      </c>
      <c r="G14635" s="14">
        <v>51900</v>
      </c>
      <c r="H14635" s="13" t="s">
        <v>28006</v>
      </c>
      <c r="I14635" s="40" t="s">
        <v>18</v>
      </c>
      <c r="J14635" s="40" t="str">
        <f>HYPERLINK("https://stock.pstatic.net/stock-research/company/1/20250207_company_47579000.pdf","PDF")</f>
        <v>PDF</v>
      </c>
      <c r="K14635" s="12" t="s">
        <v>28007</v>
      </c>
      <c r="L14635" s="20">
        <v>0.79190751445086704</v>
      </c>
    </row>
    <row r="14636" spans="1:12" x14ac:dyDescent="0.45">
      <c r="A14636" s="12" t="s">
        <v>27991</v>
      </c>
      <c r="B14636" s="12" t="s">
        <v>434</v>
      </c>
      <c r="C14636" s="13" t="s">
        <v>435</v>
      </c>
      <c r="D14636" s="13" t="s">
        <v>65</v>
      </c>
      <c r="E14636" s="12" t="s">
        <v>35</v>
      </c>
      <c r="F14636" s="14">
        <v>190000</v>
      </c>
      <c r="G14636" s="14">
        <v>126300</v>
      </c>
      <c r="H14636" s="13" t="s">
        <v>28008</v>
      </c>
      <c r="I14636" s="40" t="s">
        <v>18</v>
      </c>
      <c r="J14636" s="40" t="str">
        <f>HYPERLINK("https://stock.pstatic.net/stock-research/company/1/20250207_company_998304000.pdf","PDF")</f>
        <v>PDF</v>
      </c>
      <c r="K14636" s="12" t="s">
        <v>28009</v>
      </c>
      <c r="L14636" s="20">
        <v>0.50435471100554241</v>
      </c>
    </row>
    <row r="14637" spans="1:12" x14ac:dyDescent="0.45">
      <c r="A14637" s="12" t="s">
        <v>27991</v>
      </c>
      <c r="B14637" s="12" t="s">
        <v>3688</v>
      </c>
      <c r="C14637" s="13" t="s">
        <v>3689</v>
      </c>
      <c r="D14637" s="13" t="s">
        <v>65</v>
      </c>
      <c r="E14637" s="12" t="s">
        <v>35</v>
      </c>
      <c r="F14637" s="14">
        <v>72000</v>
      </c>
      <c r="G14637" s="14">
        <v>50000</v>
      </c>
      <c r="H14637" s="13" t="s">
        <v>28010</v>
      </c>
      <c r="I14637" s="40" t="s">
        <v>18</v>
      </c>
      <c r="J14637" s="40" t="str">
        <f>HYPERLINK("https://stock.pstatic.net/stock-research/company/57/20250207_company_388485000.pdf","PDF")</f>
        <v>PDF</v>
      </c>
      <c r="K14637" s="12" t="s">
        <v>28011</v>
      </c>
      <c r="L14637" s="20">
        <v>0.44</v>
      </c>
    </row>
    <row r="14638" spans="1:12" x14ac:dyDescent="0.45">
      <c r="A14638" s="12" t="s">
        <v>27991</v>
      </c>
      <c r="B14638" s="12" t="s">
        <v>2944</v>
      </c>
      <c r="C14638" s="13" t="s">
        <v>2945</v>
      </c>
      <c r="D14638" s="13" t="s">
        <v>65</v>
      </c>
      <c r="E14638" s="12" t="s">
        <v>35</v>
      </c>
      <c r="F14638" s="14">
        <v>15000</v>
      </c>
      <c r="G14638" s="14">
        <v>11760</v>
      </c>
      <c r="H14638" s="13" t="s">
        <v>28012</v>
      </c>
      <c r="I14638" s="40" t="s">
        <v>18</v>
      </c>
      <c r="J14638" s="40" t="str">
        <f>HYPERLINK("https://stock.pstatic.net/stock-research/company/57/20250207_company_995669000.pdf","PDF")</f>
        <v>PDF</v>
      </c>
      <c r="K14638" s="12" t="s">
        <v>28013</v>
      </c>
      <c r="L14638" s="20">
        <v>0.27551020408163263</v>
      </c>
    </row>
    <row r="14639" spans="1:12" x14ac:dyDescent="0.45">
      <c r="A14639" s="12" t="s">
        <v>27991</v>
      </c>
      <c r="B14639" s="12" t="s">
        <v>352</v>
      </c>
      <c r="C14639" s="13" t="s">
        <v>353</v>
      </c>
      <c r="D14639" s="13" t="s">
        <v>65</v>
      </c>
      <c r="E14639" s="12" t="s">
        <v>35</v>
      </c>
      <c r="F14639" s="14">
        <v>100000</v>
      </c>
      <c r="G14639" s="14">
        <v>71500</v>
      </c>
      <c r="H14639" s="13" t="s">
        <v>28014</v>
      </c>
      <c r="I14639" s="40" t="s">
        <v>18</v>
      </c>
      <c r="J14639" s="40" t="str">
        <f>HYPERLINK("https://stock.pstatic.net/stock-research/company/57/20250207_company_59765000.pdf","PDF")</f>
        <v>PDF</v>
      </c>
      <c r="K14639" s="12" t="s">
        <v>28015</v>
      </c>
      <c r="L14639" s="20">
        <v>0.39860139860139859</v>
      </c>
    </row>
    <row r="14640" spans="1:12" x14ac:dyDescent="0.45">
      <c r="A14640" s="12" t="s">
        <v>27991</v>
      </c>
      <c r="B14640" s="12" t="s">
        <v>2187</v>
      </c>
      <c r="C14640" s="13" t="s">
        <v>2188</v>
      </c>
      <c r="D14640" s="13" t="s">
        <v>65</v>
      </c>
      <c r="E14640" s="12" t="s">
        <v>35</v>
      </c>
      <c r="F14640" s="14">
        <v>200000</v>
      </c>
      <c r="G14640" s="14">
        <v>106700</v>
      </c>
      <c r="H14640" s="13" t="s">
        <v>28016</v>
      </c>
      <c r="I14640" s="40" t="s">
        <v>18</v>
      </c>
      <c r="J14640" s="40" t="str">
        <f>HYPERLINK("https://stock.pstatic.net/stock-research/company/1/20250207_company_836791000.pdf","PDF")</f>
        <v>PDF</v>
      </c>
      <c r="K14640" s="12" t="s">
        <v>28017</v>
      </c>
      <c r="L14640" s="20">
        <v>0.87441424554826619</v>
      </c>
    </row>
    <row r="14641" spans="1:12" x14ac:dyDescent="0.45">
      <c r="A14641" s="12" t="s">
        <v>27991</v>
      </c>
      <c r="B14641" s="12" t="s">
        <v>537</v>
      </c>
      <c r="C14641" s="13" t="s">
        <v>538</v>
      </c>
      <c r="D14641" s="13" t="s">
        <v>65</v>
      </c>
      <c r="E14641" s="12" t="s">
        <v>35</v>
      </c>
      <c r="F14641" s="14">
        <v>14000</v>
      </c>
      <c r="G14641" s="14">
        <v>10360</v>
      </c>
      <c r="H14641" s="13" t="s">
        <v>27256</v>
      </c>
      <c r="I14641" s="40" t="s">
        <v>18</v>
      </c>
      <c r="J14641" s="40" t="str">
        <f>HYPERLINK("https://stock.pstatic.net/stock-research/company/57/20250207_company_798049000.pdf","PDF")</f>
        <v>PDF</v>
      </c>
      <c r="K14641" s="12" t="s">
        <v>28018</v>
      </c>
      <c r="L14641" s="20">
        <v>0.35135135135135143</v>
      </c>
    </row>
    <row r="14642" spans="1:12" x14ac:dyDescent="0.45">
      <c r="A14642" s="12" t="s">
        <v>27991</v>
      </c>
      <c r="B14642" s="12" t="s">
        <v>537</v>
      </c>
      <c r="C14642" s="13" t="s">
        <v>538</v>
      </c>
      <c r="D14642" s="13" t="s">
        <v>65</v>
      </c>
      <c r="E14642" s="12" t="s">
        <v>35</v>
      </c>
      <c r="F14642" s="14">
        <v>14000</v>
      </c>
      <c r="G14642" s="14">
        <v>10360</v>
      </c>
      <c r="H14642" s="13" t="s">
        <v>28019</v>
      </c>
      <c r="I14642" s="40" t="s">
        <v>18</v>
      </c>
      <c r="J14642" s="40" t="str">
        <f>HYPERLINK("https://stock.pstatic.net/stock-research/company/57/20250207_company_173515000.pdf","PDF")</f>
        <v>PDF</v>
      </c>
      <c r="K14642" s="12" t="s">
        <v>28020</v>
      </c>
      <c r="L14642" s="20">
        <v>0.35135135135135143</v>
      </c>
    </row>
    <row r="14643" spans="1:12" x14ac:dyDescent="0.45">
      <c r="A14643" s="12" t="s">
        <v>27991</v>
      </c>
      <c r="B14643" s="12" t="s">
        <v>330</v>
      </c>
      <c r="C14643" s="13" t="s">
        <v>331</v>
      </c>
      <c r="D14643" s="13" t="s">
        <v>65</v>
      </c>
      <c r="E14643" s="12" t="s">
        <v>1738</v>
      </c>
      <c r="F14643" s="14">
        <v>23000</v>
      </c>
      <c r="G14643" s="14">
        <v>21450</v>
      </c>
      <c r="H14643" s="13" t="s">
        <v>28021</v>
      </c>
      <c r="I14643" s="40" t="s">
        <v>18</v>
      </c>
      <c r="J14643" s="40" t="str">
        <f>HYPERLINK("https://stock.pstatic.net/stock-research/company/57/20250207_company_208095000.pdf","PDF")</f>
        <v>PDF</v>
      </c>
      <c r="K14643" s="12" t="s">
        <v>28022</v>
      </c>
      <c r="L14643" s="20">
        <v>7.2261072261072257E-2</v>
      </c>
    </row>
    <row r="14644" spans="1:12" x14ac:dyDescent="0.45">
      <c r="A14644" s="12" t="s">
        <v>27991</v>
      </c>
      <c r="B14644" s="12" t="s">
        <v>1690</v>
      </c>
      <c r="C14644" s="13" t="s">
        <v>1691</v>
      </c>
      <c r="D14644" s="13" t="s">
        <v>65</v>
      </c>
      <c r="E14644" s="12" t="s">
        <v>1738</v>
      </c>
      <c r="F14644" s="14">
        <v>130000</v>
      </c>
      <c r="G14644" s="14">
        <v>124500</v>
      </c>
      <c r="H14644" s="13" t="s">
        <v>28023</v>
      </c>
      <c r="I14644" s="40" t="s">
        <v>18</v>
      </c>
      <c r="J14644" s="40" t="str">
        <f>HYPERLINK("https://stock.pstatic.net/stock-research/company/57/20250207_company_782295000.pdf","PDF")</f>
        <v>PDF</v>
      </c>
      <c r="K14644" s="12" t="s">
        <v>28024</v>
      </c>
      <c r="L14644" s="20">
        <v>4.4176706827309238E-2</v>
      </c>
    </row>
    <row r="14645" spans="1:12" x14ac:dyDescent="0.45">
      <c r="A14645" s="12" t="s">
        <v>27991</v>
      </c>
      <c r="B14645" s="12" t="s">
        <v>3204</v>
      </c>
      <c r="C14645" s="13" t="s">
        <v>3205</v>
      </c>
      <c r="D14645" s="13" t="s">
        <v>65</v>
      </c>
      <c r="E14645" s="12" t="s">
        <v>35</v>
      </c>
      <c r="F14645" s="14">
        <v>4500</v>
      </c>
      <c r="G14645" s="14">
        <v>3360</v>
      </c>
      <c r="H14645" s="13" t="s">
        <v>28025</v>
      </c>
      <c r="I14645" s="40" t="s">
        <v>18</v>
      </c>
      <c r="J14645" s="40" t="str">
        <f>HYPERLINK("https://stock.pstatic.net/stock-research/company/1/20250207_company_146660000.pdf","PDF")</f>
        <v>PDF</v>
      </c>
      <c r="K14645" s="12" t="s">
        <v>28026</v>
      </c>
      <c r="L14645" s="20">
        <v>0.3392857142857143</v>
      </c>
    </row>
    <row r="14646" spans="1:12" x14ac:dyDescent="0.45">
      <c r="A14646" s="12" t="s">
        <v>27991</v>
      </c>
      <c r="B14646" s="12" t="s">
        <v>2982</v>
      </c>
      <c r="C14646" s="13" t="s">
        <v>2983</v>
      </c>
      <c r="D14646" s="13" t="s">
        <v>65</v>
      </c>
      <c r="E14646" s="12" t="s">
        <v>35</v>
      </c>
      <c r="F14646" s="14">
        <v>43000</v>
      </c>
      <c r="G14646" s="14">
        <v>35150</v>
      </c>
      <c r="H14646" s="13" t="s">
        <v>28027</v>
      </c>
      <c r="I14646" s="40" t="s">
        <v>18</v>
      </c>
      <c r="J14646" s="40" t="str">
        <f>HYPERLINK("https://stock.pstatic.net/stock-research/company/57/20250207_company_4227000.pdf","PDF")</f>
        <v>PDF</v>
      </c>
      <c r="K14646" s="12" t="s">
        <v>28028</v>
      </c>
      <c r="L14646" s="20">
        <v>0.2233285917496444</v>
      </c>
    </row>
    <row r="14647" spans="1:12" x14ac:dyDescent="0.45">
      <c r="A14647" s="12" t="s">
        <v>27991</v>
      </c>
      <c r="B14647" s="12" t="s">
        <v>1552</v>
      </c>
      <c r="C14647" s="13" t="s">
        <v>9704</v>
      </c>
      <c r="D14647" s="13" t="s">
        <v>65</v>
      </c>
      <c r="E14647" s="12" t="s">
        <v>35</v>
      </c>
      <c r="F14647" s="14">
        <v>76000</v>
      </c>
      <c r="G14647" s="14">
        <v>70900</v>
      </c>
      <c r="H14647" s="13" t="s">
        <v>28029</v>
      </c>
      <c r="I14647" s="40" t="s">
        <v>18</v>
      </c>
      <c r="J14647" s="40" t="str">
        <f>HYPERLINK("https://stock.pstatic.net/stock-research/company/57/20250207_company_604031000.pdf","PDF")</f>
        <v>PDF</v>
      </c>
      <c r="K14647" s="12" t="s">
        <v>28030</v>
      </c>
      <c r="L14647" s="20">
        <v>7.1932299012693934E-2</v>
      </c>
    </row>
    <row r="14648" spans="1:12" x14ac:dyDescent="0.45">
      <c r="A14648" s="12" t="s">
        <v>27991</v>
      </c>
      <c r="B14648" s="12" t="s">
        <v>3138</v>
      </c>
      <c r="C14648" s="13" t="s">
        <v>3139</v>
      </c>
      <c r="D14648" s="13" t="s">
        <v>57</v>
      </c>
      <c r="E14648" s="12" t="s">
        <v>35</v>
      </c>
      <c r="F14648" s="14">
        <v>12000</v>
      </c>
      <c r="G14648" s="14">
        <v>9380</v>
      </c>
      <c r="H14648" s="13" t="s">
        <v>28031</v>
      </c>
      <c r="I14648" s="40" t="s">
        <v>18</v>
      </c>
      <c r="J14648" s="40" t="str">
        <f>HYPERLINK("https://stock.pstatic.net/stock-research/company/1/20250207_company_67039000.pdf","PDF")</f>
        <v>PDF</v>
      </c>
      <c r="K14648" s="12" t="s">
        <v>28032</v>
      </c>
      <c r="L14648" s="20">
        <v>0.27931769722814498</v>
      </c>
    </row>
    <row r="14649" spans="1:12" x14ac:dyDescent="0.45">
      <c r="A14649" s="12" t="s">
        <v>27991</v>
      </c>
      <c r="B14649" s="12" t="s">
        <v>1530</v>
      </c>
      <c r="C14649" s="13" t="s">
        <v>1531</v>
      </c>
      <c r="D14649" s="13" t="s">
        <v>57</v>
      </c>
      <c r="E14649" s="12" t="s">
        <v>35</v>
      </c>
      <c r="F14649" s="14">
        <v>27000</v>
      </c>
      <c r="G14649" s="14">
        <v>23700</v>
      </c>
      <c r="H14649" s="13" t="s">
        <v>28033</v>
      </c>
      <c r="I14649" s="40" t="s">
        <v>18</v>
      </c>
      <c r="J14649" s="40" t="str">
        <f>HYPERLINK("https://stock.pstatic.net/stock-research/company/16/20250207_company_87467000.pdf","PDF")</f>
        <v>PDF</v>
      </c>
      <c r="K14649" s="12" t="s">
        <v>28034</v>
      </c>
      <c r="L14649" s="20">
        <v>0.13924050632911389</v>
      </c>
    </row>
    <row r="14650" spans="1:12" x14ac:dyDescent="0.45">
      <c r="A14650" s="12" t="s">
        <v>27991</v>
      </c>
      <c r="B14650" s="12" t="s">
        <v>3831</v>
      </c>
      <c r="C14650" s="13" t="s">
        <v>3832</v>
      </c>
      <c r="D14650" s="13" t="s">
        <v>57</v>
      </c>
      <c r="E14650" s="12" t="s">
        <v>35</v>
      </c>
      <c r="F14650" s="14">
        <v>58000</v>
      </c>
      <c r="G14650" s="14">
        <v>40700</v>
      </c>
      <c r="H14650" s="13" t="s">
        <v>28035</v>
      </c>
      <c r="I14650" s="40" t="s">
        <v>18</v>
      </c>
      <c r="J14650" s="40" t="str">
        <f>HYPERLINK("https://stock.pstatic.net/stock-research/company/16/20250207_company_607956000.pdf","PDF")</f>
        <v>PDF</v>
      </c>
      <c r="K14650" s="12" t="s">
        <v>28036</v>
      </c>
      <c r="L14650" s="20">
        <v>0.42506142506142508</v>
      </c>
    </row>
    <row r="14651" spans="1:12" x14ac:dyDescent="0.45">
      <c r="A14651" s="12" t="s">
        <v>27991</v>
      </c>
      <c r="B14651" s="12" t="s">
        <v>3688</v>
      </c>
      <c r="C14651" s="13" t="s">
        <v>3689</v>
      </c>
      <c r="D14651" s="13" t="s">
        <v>57</v>
      </c>
      <c r="E14651" s="12" t="s">
        <v>35</v>
      </c>
      <c r="F14651" s="14">
        <v>72000</v>
      </c>
      <c r="G14651" s="14">
        <v>50000</v>
      </c>
      <c r="H14651" s="13" t="s">
        <v>28037</v>
      </c>
      <c r="I14651" s="40" t="s">
        <v>18</v>
      </c>
      <c r="J14651" s="40" t="str">
        <f>HYPERLINK("https://stock.pstatic.net/stock-research/company/16/20250207_company_960751000.pdf","PDF")</f>
        <v>PDF</v>
      </c>
      <c r="K14651" s="12" t="s">
        <v>28038</v>
      </c>
      <c r="L14651" s="20">
        <v>0.44</v>
      </c>
    </row>
    <row r="14652" spans="1:12" x14ac:dyDescent="0.45">
      <c r="A14652" s="12" t="s">
        <v>27991</v>
      </c>
      <c r="B14652" s="12" t="s">
        <v>2982</v>
      </c>
      <c r="C14652" s="13" t="s">
        <v>2983</v>
      </c>
      <c r="D14652" s="13" t="s">
        <v>57</v>
      </c>
      <c r="E14652" s="12" t="s">
        <v>35</v>
      </c>
      <c r="F14652" s="14">
        <v>50000</v>
      </c>
      <c r="G14652" s="14">
        <v>35150</v>
      </c>
      <c r="H14652" s="13" t="s">
        <v>28039</v>
      </c>
      <c r="I14652" s="40" t="s">
        <v>18</v>
      </c>
      <c r="J14652" s="40" t="str">
        <f>HYPERLINK("https://stock.pstatic.net/stock-research/company/16/20250207_company_609156000.pdf","PDF")</f>
        <v>PDF</v>
      </c>
      <c r="K14652" s="12" t="s">
        <v>28040</v>
      </c>
      <c r="L14652" s="20">
        <v>0.42247510668563298</v>
      </c>
    </row>
    <row r="14653" spans="1:12" x14ac:dyDescent="0.45">
      <c r="A14653" s="12" t="s">
        <v>27991</v>
      </c>
      <c r="B14653" s="12" t="s">
        <v>352</v>
      </c>
      <c r="C14653" s="13" t="s">
        <v>353</v>
      </c>
      <c r="D14653" s="13" t="s">
        <v>57</v>
      </c>
      <c r="E14653" s="12" t="s">
        <v>35</v>
      </c>
      <c r="F14653" s="14">
        <v>95000</v>
      </c>
      <c r="G14653" s="14">
        <v>71500</v>
      </c>
      <c r="H14653" s="13" t="s">
        <v>28041</v>
      </c>
      <c r="I14653" s="40" t="s">
        <v>18</v>
      </c>
      <c r="J14653" s="40" t="str">
        <f>HYPERLINK("https://stock.pstatic.net/stock-research/company/16/20250207_company_724509000.pdf","PDF")</f>
        <v>PDF</v>
      </c>
      <c r="K14653" s="12" t="s">
        <v>28042</v>
      </c>
      <c r="L14653" s="20">
        <v>0.32867132867132859</v>
      </c>
    </row>
    <row r="14654" spans="1:12" x14ac:dyDescent="0.45">
      <c r="A14654" s="12" t="s">
        <v>27991</v>
      </c>
      <c r="B14654" s="12" t="s">
        <v>27</v>
      </c>
      <c r="C14654" s="13" t="s">
        <v>28</v>
      </c>
      <c r="D14654" s="13" t="s">
        <v>57</v>
      </c>
      <c r="E14654" s="12" t="s">
        <v>35</v>
      </c>
      <c r="F14654" s="14">
        <v>85000</v>
      </c>
      <c r="G14654" s="14">
        <v>54400</v>
      </c>
      <c r="H14654" s="13" t="s">
        <v>28043</v>
      </c>
      <c r="I14654" s="40" t="s">
        <v>18</v>
      </c>
      <c r="J14654" s="40" t="str">
        <f>HYPERLINK("https://stock.pstatic.net/stock-research/company/16/20250207_company_340905000.pdf","PDF")</f>
        <v>PDF</v>
      </c>
      <c r="K14654" s="12" t="s">
        <v>28044</v>
      </c>
      <c r="L14654" s="20">
        <v>0.5625</v>
      </c>
    </row>
    <row r="14655" spans="1:12" x14ac:dyDescent="0.45">
      <c r="A14655" s="12" t="s">
        <v>27991</v>
      </c>
      <c r="B14655" s="12" t="s">
        <v>3204</v>
      </c>
      <c r="C14655" s="13" t="s">
        <v>3205</v>
      </c>
      <c r="D14655" s="13" t="s">
        <v>57</v>
      </c>
      <c r="E14655" s="12" t="s">
        <v>35</v>
      </c>
      <c r="F14655" s="14">
        <v>4700</v>
      </c>
      <c r="G14655" s="14">
        <v>3225</v>
      </c>
      <c r="H14655" s="13" t="s">
        <v>28045</v>
      </c>
      <c r="I14655" s="40" t="s">
        <v>18</v>
      </c>
      <c r="J14655" s="40" t="str">
        <f>HYPERLINK("https://stock.pstatic.net/stock-research/company/16/20250207_company_557781000.pdf","PDF")</f>
        <v>PDF</v>
      </c>
      <c r="K14655" s="12" t="s">
        <v>28046</v>
      </c>
      <c r="L14655" s="20">
        <v>0.4573643410852713</v>
      </c>
    </row>
    <row r="14656" spans="1:12" x14ac:dyDescent="0.45">
      <c r="A14656" s="12" t="s">
        <v>27991</v>
      </c>
      <c r="B14656" s="12" t="s">
        <v>8204</v>
      </c>
      <c r="C14656" s="13" t="s">
        <v>8205</v>
      </c>
      <c r="D14656" s="13" t="s">
        <v>57</v>
      </c>
      <c r="E14656" s="12" t="s">
        <v>35</v>
      </c>
      <c r="F14656" s="14">
        <v>100000</v>
      </c>
      <c r="G14656" s="14">
        <v>74800</v>
      </c>
      <c r="H14656" s="13" t="s">
        <v>28047</v>
      </c>
      <c r="I14656" s="40" t="s">
        <v>18</v>
      </c>
      <c r="J14656" s="40" t="str">
        <f>HYPERLINK("https://stock.pstatic.net/stock-research/company/16/20250207_company_814574000.pdf","PDF")</f>
        <v>PDF</v>
      </c>
      <c r="K14656" s="12" t="s">
        <v>28048</v>
      </c>
      <c r="L14656" s="20">
        <v>0.33689839572192509</v>
      </c>
    </row>
    <row r="14657" spans="1:12" x14ac:dyDescent="0.45">
      <c r="A14657" s="12" t="s">
        <v>27991</v>
      </c>
      <c r="B14657" s="12" t="s">
        <v>3369</v>
      </c>
      <c r="C14657" s="13" t="s">
        <v>3370</v>
      </c>
      <c r="D14657" s="13" t="s">
        <v>158</v>
      </c>
      <c r="E14657" s="12" t="s">
        <v>35</v>
      </c>
      <c r="F14657" s="14">
        <v>25000</v>
      </c>
      <c r="G14657" s="14">
        <v>19600</v>
      </c>
      <c r="H14657" s="13" t="s">
        <v>28049</v>
      </c>
      <c r="I14657" s="40" t="s">
        <v>18</v>
      </c>
      <c r="J14657" s="40" t="str">
        <f>HYPERLINK("https://stock.pstatic.net/stock-research/company/18/20250207_company_130031000.pdf","PDF")</f>
        <v>PDF</v>
      </c>
      <c r="K14657" s="12" t="s">
        <v>28050</v>
      </c>
      <c r="L14657" s="20">
        <v>0.27551020408163263</v>
      </c>
    </row>
    <row r="14658" spans="1:12" x14ac:dyDescent="0.45">
      <c r="A14658" s="12" t="s">
        <v>27991</v>
      </c>
      <c r="B14658" s="12" t="s">
        <v>3688</v>
      </c>
      <c r="C14658" s="13" t="s">
        <v>3689</v>
      </c>
      <c r="D14658" s="13" t="s">
        <v>158</v>
      </c>
      <c r="E14658" s="12" t="s">
        <v>35</v>
      </c>
      <c r="F14658" s="14">
        <v>74000</v>
      </c>
      <c r="G14658" s="14">
        <v>50000</v>
      </c>
      <c r="H14658" s="13" t="s">
        <v>28051</v>
      </c>
      <c r="I14658" s="40" t="s">
        <v>18</v>
      </c>
      <c r="J14658" s="40" t="str">
        <f>HYPERLINK("https://stock.pstatic.net/stock-research/company/18/20250207_company_340381000.pdf","PDF")</f>
        <v>PDF</v>
      </c>
      <c r="K14658" s="12" t="s">
        <v>28052</v>
      </c>
      <c r="L14658" s="20">
        <v>0.48</v>
      </c>
    </row>
    <row r="14659" spans="1:12" x14ac:dyDescent="0.45">
      <c r="A14659" s="12" t="s">
        <v>27991</v>
      </c>
      <c r="B14659" s="12" t="s">
        <v>537</v>
      </c>
      <c r="C14659" s="13" t="s">
        <v>538</v>
      </c>
      <c r="D14659" s="13" t="s">
        <v>158</v>
      </c>
      <c r="E14659" s="12" t="s">
        <v>35</v>
      </c>
      <c r="F14659" s="14">
        <v>13000</v>
      </c>
      <c r="G14659" s="14">
        <v>10360</v>
      </c>
      <c r="H14659" s="13" t="s">
        <v>28053</v>
      </c>
      <c r="I14659" s="40" t="s">
        <v>18</v>
      </c>
      <c r="J14659" s="40" t="str">
        <f>HYPERLINK("https://stock.pstatic.net/stock-research/company/1/20250207_company_585062000.pdf","PDF")</f>
        <v>PDF</v>
      </c>
      <c r="K14659" s="12" t="s">
        <v>28054</v>
      </c>
      <c r="L14659" s="20">
        <v>0.25482625482625482</v>
      </c>
    </row>
    <row r="14660" spans="1:12" x14ac:dyDescent="0.45">
      <c r="A14660" s="12" t="s">
        <v>27991</v>
      </c>
      <c r="B14660" s="12" t="s">
        <v>657</v>
      </c>
      <c r="C14660" s="13" t="s">
        <v>658</v>
      </c>
      <c r="D14660" s="13" t="s">
        <v>158</v>
      </c>
      <c r="E14660" s="12" t="s">
        <v>35</v>
      </c>
      <c r="F14660" s="14">
        <v>30000</v>
      </c>
      <c r="G14660" s="14">
        <v>19700</v>
      </c>
      <c r="H14660" s="13" t="s">
        <v>28055</v>
      </c>
      <c r="I14660" s="40" t="s">
        <v>18</v>
      </c>
      <c r="J14660" s="40" t="str">
        <f>HYPERLINK("https://stock.pstatic.net/stock-research/company/18/20250207_company_292344000.pdf","PDF")</f>
        <v>PDF</v>
      </c>
      <c r="K14660" s="12" t="s">
        <v>28056</v>
      </c>
      <c r="L14660" s="20">
        <v>0.52284263959390864</v>
      </c>
    </row>
    <row r="14661" spans="1:12" x14ac:dyDescent="0.45">
      <c r="A14661" s="12" t="s">
        <v>27991</v>
      </c>
      <c r="B14661" s="12" t="s">
        <v>2982</v>
      </c>
      <c r="C14661" s="13" t="s">
        <v>2983</v>
      </c>
      <c r="D14661" s="13" t="s">
        <v>158</v>
      </c>
      <c r="E14661" s="12" t="s">
        <v>35</v>
      </c>
      <c r="F14661" s="14">
        <v>51000</v>
      </c>
      <c r="G14661" s="14">
        <v>35150</v>
      </c>
      <c r="H14661" s="13" t="s">
        <v>28057</v>
      </c>
      <c r="I14661" s="40" t="s">
        <v>18</v>
      </c>
      <c r="J14661" s="40" t="str">
        <f>HYPERLINK("https://stock.pstatic.net/stock-research/company/1/20250207_company_101180000.pdf","PDF")</f>
        <v>PDF</v>
      </c>
      <c r="K14661" s="12" t="s">
        <v>28058</v>
      </c>
      <c r="L14661" s="20">
        <v>0.45092460881934571</v>
      </c>
    </row>
    <row r="14662" spans="1:12" x14ac:dyDescent="0.45">
      <c r="A14662" s="12" t="s">
        <v>27991</v>
      </c>
      <c r="B14662" s="12" t="s">
        <v>3204</v>
      </c>
      <c r="C14662" s="13" t="s">
        <v>3205</v>
      </c>
      <c r="D14662" s="13" t="s">
        <v>158</v>
      </c>
      <c r="E14662" s="12" t="s">
        <v>35</v>
      </c>
      <c r="F14662" s="14">
        <v>4300</v>
      </c>
      <c r="G14662" s="14">
        <v>3360</v>
      </c>
      <c r="H14662" s="13" t="s">
        <v>28059</v>
      </c>
      <c r="I14662" s="40" t="s">
        <v>18</v>
      </c>
      <c r="J14662" s="40" t="str">
        <f>HYPERLINK("https://stock.pstatic.net/stock-research/company/1/20250207_company_42064000.pdf","PDF")</f>
        <v>PDF</v>
      </c>
      <c r="K14662" s="12" t="s">
        <v>28060</v>
      </c>
      <c r="L14662" s="20">
        <v>0.27976190476190482</v>
      </c>
    </row>
    <row r="14663" spans="1:12" x14ac:dyDescent="0.45">
      <c r="A14663" s="12" t="s">
        <v>27991</v>
      </c>
      <c r="B14663" s="12" t="s">
        <v>8204</v>
      </c>
      <c r="C14663" s="13" t="s">
        <v>8205</v>
      </c>
      <c r="D14663" s="13" t="s">
        <v>15</v>
      </c>
      <c r="E14663" s="12" t="s">
        <v>16</v>
      </c>
      <c r="F14663" s="14">
        <v>106000</v>
      </c>
      <c r="G14663" s="14">
        <v>88000</v>
      </c>
      <c r="H14663" s="13" t="s">
        <v>28061</v>
      </c>
      <c r="I14663" s="40" t="s">
        <v>18</v>
      </c>
      <c r="J14663" s="40" t="str">
        <f>HYPERLINK("https://stock.pstatic.net/stock-research/company/29/20250207_company_534026000.pdf","PDF")</f>
        <v>PDF</v>
      </c>
      <c r="K14663" s="12" t="s">
        <v>28062</v>
      </c>
      <c r="L14663" s="20">
        <v>0.20454545454545461</v>
      </c>
    </row>
    <row r="14664" spans="1:12" x14ac:dyDescent="0.45">
      <c r="A14664" s="12" t="s">
        <v>27991</v>
      </c>
      <c r="B14664" s="12" t="s">
        <v>537</v>
      </c>
      <c r="C14664" s="13" t="s">
        <v>538</v>
      </c>
      <c r="D14664" s="13" t="s">
        <v>15</v>
      </c>
      <c r="E14664" s="12" t="s">
        <v>16</v>
      </c>
      <c r="F14664" s="14">
        <v>13900</v>
      </c>
      <c r="G14664" s="14">
        <v>10360</v>
      </c>
      <c r="H14664" s="13" t="s">
        <v>28063</v>
      </c>
      <c r="I14664" s="40" t="s">
        <v>18</v>
      </c>
      <c r="J14664" s="40" t="str">
        <f>HYPERLINK("https://stock.pstatic.net/stock-research/company/29/20250207_company_512455000.pdf","PDF")</f>
        <v>PDF</v>
      </c>
      <c r="K14664" s="12" t="s">
        <v>28064</v>
      </c>
      <c r="L14664" s="20">
        <v>0.34169884169884168</v>
      </c>
    </row>
    <row r="14665" spans="1:12" x14ac:dyDescent="0.45">
      <c r="A14665" s="12" t="s">
        <v>27991</v>
      </c>
      <c r="B14665" s="12" t="s">
        <v>330</v>
      </c>
      <c r="C14665" s="13" t="s">
        <v>331</v>
      </c>
      <c r="D14665" s="13" t="s">
        <v>15</v>
      </c>
      <c r="E14665" s="12" t="s">
        <v>16</v>
      </c>
      <c r="F14665" s="14">
        <v>26000</v>
      </c>
      <c r="G14665" s="14">
        <v>21450</v>
      </c>
      <c r="H14665" s="13" t="s">
        <v>28065</v>
      </c>
      <c r="I14665" s="40" t="s">
        <v>18</v>
      </c>
      <c r="J14665" s="40" t="str">
        <f>HYPERLINK("https://stock.pstatic.net/stock-research/company/29/20250207_company_554737000.pdf","PDF")</f>
        <v>PDF</v>
      </c>
      <c r="K14665" s="12" t="s">
        <v>28066</v>
      </c>
      <c r="L14665" s="20">
        <v>0.2121212121212121</v>
      </c>
    </row>
    <row r="14666" spans="1:12" x14ac:dyDescent="0.45">
      <c r="A14666" s="12" t="s">
        <v>27991</v>
      </c>
      <c r="B14666" s="12" t="s">
        <v>1530</v>
      </c>
      <c r="C14666" s="13" t="s">
        <v>1531</v>
      </c>
      <c r="D14666" s="13" t="s">
        <v>15</v>
      </c>
      <c r="E14666" s="12" t="s">
        <v>16</v>
      </c>
      <c r="F14666" s="14">
        <v>35000</v>
      </c>
      <c r="G14666" s="14">
        <v>23700</v>
      </c>
      <c r="H14666" s="13" t="s">
        <v>28067</v>
      </c>
      <c r="I14666" s="40" t="s">
        <v>18</v>
      </c>
      <c r="J14666" s="40" t="str">
        <f>HYPERLINK("https://stock.pstatic.net/stock-research/company/29/20250207_company_999444000.pdf","PDF")</f>
        <v>PDF</v>
      </c>
      <c r="K14666" s="12" t="s">
        <v>28068</v>
      </c>
      <c r="L14666" s="20">
        <v>0.47679324894514769</v>
      </c>
    </row>
    <row r="14667" spans="1:12" x14ac:dyDescent="0.45">
      <c r="A14667" s="12" t="s">
        <v>27991</v>
      </c>
      <c r="B14667" s="12" t="s">
        <v>2365</v>
      </c>
      <c r="C14667" s="13" t="s">
        <v>2366</v>
      </c>
      <c r="D14667" s="13" t="s">
        <v>15</v>
      </c>
      <c r="E14667" s="12" t="s">
        <v>16</v>
      </c>
      <c r="F14667" s="14">
        <v>130000</v>
      </c>
      <c r="G14667" s="14">
        <v>83000</v>
      </c>
      <c r="H14667" s="13" t="s">
        <v>28069</v>
      </c>
      <c r="I14667" s="40" t="s">
        <v>18</v>
      </c>
      <c r="J14667" s="40" t="str">
        <f>HYPERLINK("https://stock.pstatic.net/stock-research/company/29/20250207_company_378245000.pdf","PDF")</f>
        <v>PDF</v>
      </c>
      <c r="K14667" s="12" t="s">
        <v>28070</v>
      </c>
      <c r="L14667" s="20">
        <v>0.5662650602409639</v>
      </c>
    </row>
    <row r="14668" spans="1:12" x14ac:dyDescent="0.45">
      <c r="A14668" s="12" t="s">
        <v>27991</v>
      </c>
      <c r="B14668" s="12" t="s">
        <v>2982</v>
      </c>
      <c r="C14668" s="13" t="s">
        <v>2983</v>
      </c>
      <c r="D14668" s="13" t="s">
        <v>15</v>
      </c>
      <c r="E14668" s="12" t="s">
        <v>16</v>
      </c>
      <c r="F14668" s="14">
        <v>46000</v>
      </c>
      <c r="G14668" s="14">
        <v>35150</v>
      </c>
      <c r="H14668" s="13" t="s">
        <v>28071</v>
      </c>
      <c r="I14668" s="40" t="s">
        <v>18</v>
      </c>
      <c r="J14668" s="40" t="str">
        <f>HYPERLINK("https://stock.pstatic.net/stock-research/company/29/20250207_company_338204000.pdf","PDF")</f>
        <v>PDF</v>
      </c>
      <c r="K14668" s="12" t="s">
        <v>28072</v>
      </c>
      <c r="L14668" s="20">
        <v>0.30867709815078243</v>
      </c>
    </row>
    <row r="14669" spans="1:12" x14ac:dyDescent="0.45">
      <c r="A14669" s="12" t="s">
        <v>27991</v>
      </c>
      <c r="B14669" s="12" t="s">
        <v>3204</v>
      </c>
      <c r="C14669" s="13" t="s">
        <v>3205</v>
      </c>
      <c r="D14669" s="13" t="s">
        <v>15</v>
      </c>
      <c r="E14669" s="12" t="s">
        <v>16</v>
      </c>
      <c r="F14669" s="14">
        <v>4300</v>
      </c>
      <c r="G14669" s="14">
        <v>3360</v>
      </c>
      <c r="H14669" s="13" t="s">
        <v>28073</v>
      </c>
      <c r="I14669" s="40" t="s">
        <v>18</v>
      </c>
      <c r="J14669" s="40" t="str">
        <f>HYPERLINK("https://stock.pstatic.net/stock-research/company/29/20250207_company_281272000.pdf","PDF")</f>
        <v>PDF</v>
      </c>
      <c r="K14669" s="12" t="s">
        <v>28074</v>
      </c>
      <c r="L14669" s="20">
        <v>0.27976190476190482</v>
      </c>
    </row>
    <row r="14670" spans="1:12" x14ac:dyDescent="0.45">
      <c r="A14670" s="12" t="s">
        <v>27991</v>
      </c>
      <c r="B14670" s="12" t="s">
        <v>732</v>
      </c>
      <c r="C14670" s="13" t="s">
        <v>733</v>
      </c>
      <c r="D14670" s="13" t="s">
        <v>15</v>
      </c>
      <c r="E14670" s="12" t="s">
        <v>16</v>
      </c>
      <c r="F14670" s="14">
        <v>160000</v>
      </c>
      <c r="G14670" s="14">
        <v>127000</v>
      </c>
      <c r="H14670" s="13" t="s">
        <v>28075</v>
      </c>
      <c r="I14670" s="40" t="s">
        <v>18</v>
      </c>
      <c r="J14670" s="40" t="str">
        <f>HYPERLINK("https://stock.pstatic.net/stock-research/company/29/20250207_company_554858000.pdf","PDF")</f>
        <v>PDF</v>
      </c>
      <c r="K14670" s="12" t="s">
        <v>28076</v>
      </c>
      <c r="L14670" s="20">
        <v>0.25984251968503941</v>
      </c>
    </row>
    <row r="14671" spans="1:12" x14ac:dyDescent="0.45">
      <c r="A14671" s="12" t="s">
        <v>27991</v>
      </c>
      <c r="B14671" s="12" t="s">
        <v>1686</v>
      </c>
      <c r="C14671" s="13" t="s">
        <v>1687</v>
      </c>
      <c r="D14671" s="13" t="s">
        <v>53</v>
      </c>
      <c r="E14671" s="12" t="s">
        <v>16</v>
      </c>
      <c r="F14671" s="14">
        <v>1080000</v>
      </c>
      <c r="G14671" s="14">
        <v>809000</v>
      </c>
      <c r="H14671" s="13" t="s">
        <v>28077</v>
      </c>
      <c r="I14671" s="40" t="s">
        <v>18</v>
      </c>
      <c r="J14671" s="40" t="str">
        <f>HYPERLINK("https://stock.pstatic.net/stock-research/company/40/20250207_company_180134000.pdf","PDF")</f>
        <v>PDF</v>
      </c>
      <c r="K14671" s="12" t="s">
        <v>28078</v>
      </c>
      <c r="L14671" s="20">
        <v>0.33498145859085288</v>
      </c>
    </row>
    <row r="14672" spans="1:12" x14ac:dyDescent="0.45">
      <c r="A14672" s="12" t="s">
        <v>27991</v>
      </c>
      <c r="B14672" s="12" t="s">
        <v>2425</v>
      </c>
      <c r="C14672" s="13" t="s">
        <v>2426</v>
      </c>
      <c r="D14672" s="13" t="s">
        <v>53</v>
      </c>
      <c r="E14672" s="12" t="s">
        <v>16</v>
      </c>
      <c r="F14672" s="14">
        <v>130000</v>
      </c>
      <c r="G14672" s="14">
        <v>112700</v>
      </c>
      <c r="H14672" s="13" t="s">
        <v>28079</v>
      </c>
      <c r="I14672" s="40" t="s">
        <v>18</v>
      </c>
      <c r="J14672" s="40" t="str">
        <f>HYPERLINK("https://stock.pstatic.net/stock-research/company/40/20250207_company_216616000.pdf","PDF")</f>
        <v>PDF</v>
      </c>
      <c r="K14672" s="12" t="s">
        <v>28080</v>
      </c>
      <c r="L14672" s="20">
        <v>0.15350488021295469</v>
      </c>
    </row>
    <row r="14673" spans="1:12" x14ac:dyDescent="0.45">
      <c r="A14673" s="12" t="s">
        <v>27991</v>
      </c>
      <c r="B14673" s="12" t="s">
        <v>434</v>
      </c>
      <c r="C14673" s="13" t="s">
        <v>435</v>
      </c>
      <c r="D14673" s="13" t="s">
        <v>92</v>
      </c>
      <c r="E14673" s="12" t="s">
        <v>35</v>
      </c>
      <c r="F14673" s="14">
        <v>200000</v>
      </c>
      <c r="G14673" s="14">
        <v>126300</v>
      </c>
      <c r="H14673" s="13" t="s">
        <v>28081</v>
      </c>
      <c r="I14673" s="40" t="s">
        <v>18</v>
      </c>
      <c r="J14673" s="40" t="str">
        <f>HYPERLINK("https://stock.pstatic.net/stock-research/company/63/20250207_company_152354000.pdf","PDF")</f>
        <v>PDF</v>
      </c>
      <c r="K14673" s="12" t="s">
        <v>28082</v>
      </c>
      <c r="L14673" s="20">
        <v>0.58353127474267619</v>
      </c>
    </row>
    <row r="14674" spans="1:12" x14ac:dyDescent="0.45">
      <c r="A14674" s="12" t="s">
        <v>27991</v>
      </c>
      <c r="B14674" s="12" t="s">
        <v>352</v>
      </c>
      <c r="C14674" s="13" t="s">
        <v>353</v>
      </c>
      <c r="D14674" s="13" t="s">
        <v>15</v>
      </c>
      <c r="E14674" s="12" t="s">
        <v>16</v>
      </c>
      <c r="F14674" s="14">
        <v>96000</v>
      </c>
      <c r="G14674" s="14">
        <v>71500</v>
      </c>
      <c r="H14674" s="13" t="s">
        <v>28083</v>
      </c>
      <c r="I14674" s="40" t="s">
        <v>18</v>
      </c>
      <c r="J14674" s="40" t="str">
        <f>HYPERLINK("https://stock.pstatic.net/stock-research/company/29/20250207_company_978676000.pdf","PDF")</f>
        <v>PDF</v>
      </c>
      <c r="K14674" s="12" t="s">
        <v>28084</v>
      </c>
      <c r="L14674" s="20">
        <v>0.34265734265734271</v>
      </c>
    </row>
    <row r="14675" spans="1:12" x14ac:dyDescent="0.45">
      <c r="A14675" s="12" t="s">
        <v>27991</v>
      </c>
      <c r="B14675" s="12" t="s">
        <v>3831</v>
      </c>
      <c r="C14675" s="13" t="s">
        <v>3832</v>
      </c>
      <c r="D14675" s="13" t="s">
        <v>15</v>
      </c>
      <c r="E14675" s="12" t="s">
        <v>16</v>
      </c>
      <c r="F14675" s="14">
        <v>52000</v>
      </c>
      <c r="G14675" s="14">
        <v>40700</v>
      </c>
      <c r="H14675" s="13" t="s">
        <v>28085</v>
      </c>
      <c r="I14675" s="40" t="s">
        <v>18</v>
      </c>
      <c r="J14675" s="40" t="str">
        <f>HYPERLINK("https://stock.pstatic.net/stock-research/company/29/20250207_company_627809000.pdf","PDF")</f>
        <v>PDF</v>
      </c>
      <c r="K14675" s="12" t="s">
        <v>28086</v>
      </c>
      <c r="L14675" s="20">
        <v>0.27764127764127772</v>
      </c>
    </row>
    <row r="14676" spans="1:12" x14ac:dyDescent="0.45">
      <c r="A14676" s="12" t="s">
        <v>27991</v>
      </c>
      <c r="B14676" s="12" t="s">
        <v>3138</v>
      </c>
      <c r="C14676" s="13" t="s">
        <v>3139</v>
      </c>
      <c r="D14676" s="13" t="s">
        <v>34</v>
      </c>
      <c r="E14676" s="12" t="s">
        <v>35</v>
      </c>
      <c r="F14676" s="14">
        <v>12000</v>
      </c>
      <c r="G14676" s="14">
        <v>9380</v>
      </c>
      <c r="H14676" s="13" t="s">
        <v>28087</v>
      </c>
      <c r="I14676" s="40" t="s">
        <v>18</v>
      </c>
      <c r="J14676" s="40" t="str">
        <f>HYPERLINK("https://stock.pstatic.net/stock-research/company/61/20250207_company_76336000.pdf","PDF")</f>
        <v>PDF</v>
      </c>
      <c r="K14676" s="12" t="s">
        <v>28088</v>
      </c>
      <c r="L14676" s="20">
        <v>0.27931769722814498</v>
      </c>
    </row>
    <row r="14677" spans="1:12" x14ac:dyDescent="0.45">
      <c r="A14677" s="12" t="s">
        <v>27991</v>
      </c>
      <c r="B14677" s="12" t="s">
        <v>3749</v>
      </c>
      <c r="C14677" s="13" t="s">
        <v>3750</v>
      </c>
      <c r="D14677" s="13" t="s">
        <v>15</v>
      </c>
      <c r="E14677" s="12" t="s">
        <v>16</v>
      </c>
      <c r="F14677" s="14">
        <v>170000</v>
      </c>
      <c r="G14677" s="14">
        <v>136000</v>
      </c>
      <c r="H14677" s="13" t="s">
        <v>28089</v>
      </c>
      <c r="I14677" s="40" t="s">
        <v>18</v>
      </c>
      <c r="J14677" s="40" t="str">
        <f>HYPERLINK("https://stock.pstatic.net/stock-research/company/29/20250207_company_202755000.pdf","PDF")</f>
        <v>PDF</v>
      </c>
      <c r="K14677" s="12" t="s">
        <v>28090</v>
      </c>
      <c r="L14677" s="20">
        <v>0.25</v>
      </c>
    </row>
    <row r="14678" spans="1:12" x14ac:dyDescent="0.45">
      <c r="A14678" s="12" t="s">
        <v>27991</v>
      </c>
      <c r="B14678" s="12" t="s">
        <v>732</v>
      </c>
      <c r="C14678" s="13" t="s">
        <v>733</v>
      </c>
      <c r="D14678" s="13" t="s">
        <v>179</v>
      </c>
      <c r="E14678" s="12" t="s">
        <v>16</v>
      </c>
      <c r="F14678" s="14">
        <v>160000</v>
      </c>
      <c r="G14678" s="14">
        <v>127000</v>
      </c>
      <c r="H14678" s="13" t="s">
        <v>28091</v>
      </c>
      <c r="I14678" s="40" t="s">
        <v>18</v>
      </c>
      <c r="J14678" s="40" t="str">
        <f>HYPERLINK("https://stock.pstatic.net/stock-research/company/31/20250207_company_612087000.pdf","PDF")</f>
        <v>PDF</v>
      </c>
      <c r="K14678" s="12" t="s">
        <v>28092</v>
      </c>
      <c r="L14678" s="20">
        <v>0.25984251968503941</v>
      </c>
    </row>
    <row r="14679" spans="1:12" x14ac:dyDescent="0.45">
      <c r="A14679" s="12" t="s">
        <v>27991</v>
      </c>
      <c r="B14679" s="12" t="s">
        <v>32</v>
      </c>
      <c r="C14679" s="13" t="s">
        <v>33</v>
      </c>
      <c r="D14679" s="13" t="s">
        <v>179</v>
      </c>
      <c r="E14679" s="12" t="s">
        <v>16</v>
      </c>
      <c r="F14679" s="14">
        <v>187000</v>
      </c>
      <c r="G14679" s="14">
        <v>134600</v>
      </c>
      <c r="H14679" s="13" t="s">
        <v>28093</v>
      </c>
      <c r="I14679" s="40" t="s">
        <v>18</v>
      </c>
      <c r="J14679" s="40" t="str">
        <f>HYPERLINK("https://stock.pstatic.net/stock-research/company/31/20250207_company_660920000.pdf","PDF")</f>
        <v>PDF</v>
      </c>
      <c r="K14679" s="12" t="s">
        <v>28094</v>
      </c>
      <c r="L14679" s="20">
        <v>0.38930163447251109</v>
      </c>
    </row>
    <row r="14680" spans="1:12" x14ac:dyDescent="0.45">
      <c r="A14680" s="12" t="s">
        <v>27991</v>
      </c>
      <c r="B14680" s="12" t="s">
        <v>11753</v>
      </c>
      <c r="C14680" s="13" t="s">
        <v>11754</v>
      </c>
      <c r="D14680" s="13" t="s">
        <v>179</v>
      </c>
      <c r="E14680" s="12" t="s">
        <v>16</v>
      </c>
      <c r="F14680" s="14">
        <v>63000</v>
      </c>
      <c r="G14680" s="14">
        <v>38800</v>
      </c>
      <c r="H14680" s="13" t="s">
        <v>28095</v>
      </c>
      <c r="I14680" s="40" t="s">
        <v>18</v>
      </c>
      <c r="J14680" s="40" t="str">
        <f>HYPERLINK("https://stock.pstatic.net/stock-research/company/31/20250207_company_960990000.pdf","PDF")</f>
        <v>PDF</v>
      </c>
      <c r="K14680" s="12" t="s">
        <v>28096</v>
      </c>
      <c r="L14680" s="20">
        <v>0.62371134020618557</v>
      </c>
    </row>
    <row r="14681" spans="1:12" x14ac:dyDescent="0.45">
      <c r="A14681" s="12" t="s">
        <v>27991</v>
      </c>
      <c r="B14681" s="12" t="s">
        <v>1530</v>
      </c>
      <c r="C14681" s="13" t="s">
        <v>1531</v>
      </c>
      <c r="D14681" s="13" t="s">
        <v>92</v>
      </c>
      <c r="E14681" s="12" t="s">
        <v>35</v>
      </c>
      <c r="F14681" s="14">
        <v>45000</v>
      </c>
      <c r="G14681" s="14">
        <v>23700</v>
      </c>
      <c r="H14681" s="13" t="s">
        <v>12387</v>
      </c>
      <c r="I14681" s="40" t="s">
        <v>18</v>
      </c>
      <c r="J14681" s="40" t="str">
        <f>HYPERLINK("https://stock.pstatic.net/stock-research/company/31/20250207_company_492623000.pdf","PDF")</f>
        <v>PDF</v>
      </c>
      <c r="K14681" s="12" t="s">
        <v>28097</v>
      </c>
      <c r="L14681" s="20">
        <v>0.89873417721518989</v>
      </c>
    </row>
    <row r="14682" spans="1:12" x14ac:dyDescent="0.45">
      <c r="A14682" s="12" t="s">
        <v>27991</v>
      </c>
      <c r="B14682" s="12" t="s">
        <v>3138</v>
      </c>
      <c r="C14682" s="13" t="s">
        <v>3139</v>
      </c>
      <c r="D14682" s="13" t="s">
        <v>179</v>
      </c>
      <c r="E14682" s="12" t="s">
        <v>16</v>
      </c>
      <c r="F14682" s="14">
        <v>16000</v>
      </c>
      <c r="G14682" s="14">
        <v>9380</v>
      </c>
      <c r="H14682" s="13" t="s">
        <v>28098</v>
      </c>
      <c r="I14682" s="40" t="s">
        <v>18</v>
      </c>
      <c r="J14682" s="40" t="str">
        <f>HYPERLINK("https://stock.pstatic.net/stock-research/company/31/20250207_company_742317000.pdf","PDF")</f>
        <v>PDF</v>
      </c>
      <c r="K14682" s="12" t="s">
        <v>28099</v>
      </c>
      <c r="L14682" s="20">
        <v>0.70575692963752668</v>
      </c>
    </row>
    <row r="14683" spans="1:12" x14ac:dyDescent="0.45">
      <c r="A14683" s="12" t="s">
        <v>27991</v>
      </c>
      <c r="B14683" s="12" t="s">
        <v>1530</v>
      </c>
      <c r="C14683" s="13" t="s">
        <v>1531</v>
      </c>
      <c r="D14683" s="13" t="s">
        <v>179</v>
      </c>
      <c r="E14683" s="12" t="s">
        <v>16</v>
      </c>
      <c r="F14683" s="14">
        <v>39500</v>
      </c>
      <c r="G14683" s="14">
        <v>23700</v>
      </c>
      <c r="H14683" s="13" t="s">
        <v>28100</v>
      </c>
      <c r="I14683" s="40" t="s">
        <v>18</v>
      </c>
      <c r="J14683" s="40" t="str">
        <f>HYPERLINK("https://stock.pstatic.net/stock-research/company/31/20250207_company_920096000.pdf","PDF")</f>
        <v>PDF</v>
      </c>
      <c r="K14683" s="12" t="s">
        <v>28101</v>
      </c>
      <c r="L14683" s="20">
        <v>0.66666666666666663</v>
      </c>
    </row>
    <row r="14684" spans="1:12" x14ac:dyDescent="0.45">
      <c r="A14684" s="12" t="s">
        <v>27991</v>
      </c>
      <c r="B14684" s="12" t="s">
        <v>330</v>
      </c>
      <c r="C14684" s="13" t="s">
        <v>331</v>
      </c>
      <c r="D14684" s="13" t="s">
        <v>92</v>
      </c>
      <c r="E14684" s="12" t="s">
        <v>35</v>
      </c>
      <c r="F14684" s="14">
        <v>30000</v>
      </c>
      <c r="G14684" s="14">
        <v>21450</v>
      </c>
      <c r="H14684" s="13" t="s">
        <v>28102</v>
      </c>
      <c r="I14684" s="40" t="s">
        <v>18</v>
      </c>
      <c r="J14684" s="40" t="str">
        <f>HYPERLINK("https://stock.pstatic.net/stock-research/company/16/20250207_company_16027000.pdf","PDF")</f>
        <v>PDF</v>
      </c>
      <c r="K14684" s="12" t="s">
        <v>28103</v>
      </c>
      <c r="L14684" s="20">
        <v>0.39860139860139859</v>
      </c>
    </row>
    <row r="14685" spans="1:12" x14ac:dyDescent="0.45">
      <c r="A14685" s="12" t="s">
        <v>27991</v>
      </c>
      <c r="B14685" s="12" t="s">
        <v>1690</v>
      </c>
      <c r="C14685" s="13" t="s">
        <v>1691</v>
      </c>
      <c r="D14685" s="13" t="s">
        <v>92</v>
      </c>
      <c r="E14685" s="12" t="s">
        <v>35</v>
      </c>
      <c r="F14685" s="14">
        <v>160000</v>
      </c>
      <c r="G14685" s="14">
        <v>124500</v>
      </c>
      <c r="H14685" s="13" t="s">
        <v>28104</v>
      </c>
      <c r="I14685" s="40" t="s">
        <v>18</v>
      </c>
      <c r="J14685" s="40" t="str">
        <f>HYPERLINK("https://stock.pstatic.net/stock-research/company/61/20250207_company_427544000.pdf","PDF")</f>
        <v>PDF</v>
      </c>
      <c r="K14685" s="12" t="s">
        <v>28105</v>
      </c>
      <c r="L14685" s="20">
        <v>0.28514056224899598</v>
      </c>
    </row>
    <row r="14686" spans="1:12" x14ac:dyDescent="0.45">
      <c r="A14686" s="12" t="s">
        <v>27991</v>
      </c>
      <c r="B14686" s="12" t="s">
        <v>1530</v>
      </c>
      <c r="C14686" s="13" t="s">
        <v>1531</v>
      </c>
      <c r="D14686" s="13" t="s">
        <v>34</v>
      </c>
      <c r="E14686" s="12" t="s">
        <v>159</v>
      </c>
      <c r="F14686" s="14">
        <v>25000</v>
      </c>
      <c r="G14686" s="14">
        <v>23700</v>
      </c>
      <c r="H14686" s="13" t="s">
        <v>28106</v>
      </c>
      <c r="I14686" s="40" t="s">
        <v>18</v>
      </c>
      <c r="J14686" s="40" t="str">
        <f>HYPERLINK("https://stock.pstatic.net/stock-research/company/61/20250207_company_129151000.pdf","PDF")</f>
        <v>PDF</v>
      </c>
      <c r="K14686" s="12" t="s">
        <v>28107</v>
      </c>
      <c r="L14686" s="20">
        <v>5.4852320675105488E-2</v>
      </c>
    </row>
    <row r="14687" spans="1:12" x14ac:dyDescent="0.45">
      <c r="A14687" s="12" t="s">
        <v>27991</v>
      </c>
      <c r="B14687" s="12" t="s">
        <v>537</v>
      </c>
      <c r="C14687" s="13" t="s">
        <v>538</v>
      </c>
      <c r="D14687" s="13" t="s">
        <v>23</v>
      </c>
      <c r="E14687" s="12" t="s">
        <v>16</v>
      </c>
      <c r="F14687" s="14">
        <v>13500</v>
      </c>
      <c r="G14687" s="14">
        <v>10360</v>
      </c>
      <c r="H14687" s="13" t="s">
        <v>27595</v>
      </c>
      <c r="I14687" s="40" t="s">
        <v>18</v>
      </c>
      <c r="J14687" s="40" t="str">
        <f>HYPERLINK("https://stock.pstatic.net/stock-research/company/21/20250207_company_955251000.pdf","PDF")</f>
        <v>PDF</v>
      </c>
      <c r="K14687" s="12" t="s">
        <v>28108</v>
      </c>
      <c r="L14687" s="20">
        <v>0.30308880308880309</v>
      </c>
    </row>
    <row r="14688" spans="1:12" x14ac:dyDescent="0.45">
      <c r="A14688" s="12" t="s">
        <v>27991</v>
      </c>
      <c r="B14688" s="12" t="s">
        <v>2944</v>
      </c>
      <c r="C14688" s="13" t="s">
        <v>2945</v>
      </c>
      <c r="D14688" s="13" t="s">
        <v>15</v>
      </c>
      <c r="E14688" s="12" t="s">
        <v>50</v>
      </c>
      <c r="F14688" s="14">
        <v>14000</v>
      </c>
      <c r="G14688" s="14">
        <v>11760</v>
      </c>
      <c r="H14688" s="13" t="s">
        <v>28109</v>
      </c>
      <c r="I14688" s="40" t="s">
        <v>18</v>
      </c>
      <c r="J14688" s="40" t="str">
        <f>HYPERLINK("https://stock.pstatic.net/stock-research/company/29/20250207_company_326242000.pdf","PDF")</f>
        <v>PDF</v>
      </c>
      <c r="K14688" s="12" t="s">
        <v>28110</v>
      </c>
      <c r="L14688" s="20">
        <v>0.19047619047619049</v>
      </c>
    </row>
    <row r="14689" spans="1:12" x14ac:dyDescent="0.45">
      <c r="A14689" s="12" t="s">
        <v>27991</v>
      </c>
      <c r="B14689" s="12" t="s">
        <v>2982</v>
      </c>
      <c r="C14689" s="13" t="s">
        <v>2983</v>
      </c>
      <c r="D14689" s="13" t="s">
        <v>34</v>
      </c>
      <c r="E14689" s="12" t="s">
        <v>35</v>
      </c>
      <c r="F14689" s="14">
        <v>48000</v>
      </c>
      <c r="G14689" s="14">
        <v>35150</v>
      </c>
      <c r="H14689" s="13" t="s">
        <v>28111</v>
      </c>
      <c r="I14689" s="40" t="s">
        <v>18</v>
      </c>
      <c r="J14689" s="40" t="str">
        <f>HYPERLINK("https://stock.pstatic.net/stock-research/company/61/20250207_company_772040000.pdf","PDF")</f>
        <v>PDF</v>
      </c>
      <c r="K14689" s="12" t="s">
        <v>28112</v>
      </c>
      <c r="L14689" s="20">
        <v>0.3655761024182077</v>
      </c>
    </row>
    <row r="14690" spans="1:12" x14ac:dyDescent="0.45">
      <c r="A14690" s="12" t="s">
        <v>27991</v>
      </c>
      <c r="B14690" s="12" t="s">
        <v>2435</v>
      </c>
      <c r="C14690" s="13" t="s">
        <v>2436</v>
      </c>
      <c r="D14690" s="13" t="s">
        <v>92</v>
      </c>
      <c r="E14690" s="12" t="s">
        <v>35</v>
      </c>
      <c r="F14690" s="14">
        <v>350000</v>
      </c>
      <c r="G14690" s="14">
        <v>303000</v>
      </c>
      <c r="H14690" s="13" t="s">
        <v>28113</v>
      </c>
      <c r="I14690" s="40" t="s">
        <v>18</v>
      </c>
      <c r="J14690" s="40" t="str">
        <f>HYPERLINK("https://stock.pstatic.net/stock-research/company/63/20250207_company_600083000.pdf","PDF")</f>
        <v>PDF</v>
      </c>
      <c r="K14690" s="12" t="s">
        <v>28114</v>
      </c>
      <c r="L14690" s="20">
        <v>0.15511551155115511</v>
      </c>
    </row>
    <row r="14691" spans="1:12" x14ac:dyDescent="0.45">
      <c r="A14691" s="12" t="s">
        <v>27991</v>
      </c>
      <c r="B14691" s="12" t="s">
        <v>537</v>
      </c>
      <c r="C14691" s="13" t="s">
        <v>538</v>
      </c>
      <c r="D14691" s="13" t="s">
        <v>92</v>
      </c>
      <c r="E14691" s="12" t="s">
        <v>35</v>
      </c>
      <c r="F14691" s="14">
        <v>13000</v>
      </c>
      <c r="G14691" s="14">
        <v>10360</v>
      </c>
      <c r="H14691" s="13" t="s">
        <v>28115</v>
      </c>
      <c r="I14691" s="40" t="s">
        <v>18</v>
      </c>
      <c r="J14691" s="40" t="str">
        <f>HYPERLINK("https://stock.pstatic.net/stock-research/company/1/20250207_company_510071000.pdf","PDF")</f>
        <v>PDF</v>
      </c>
      <c r="K14691" s="12" t="s">
        <v>28116</v>
      </c>
      <c r="L14691" s="20">
        <v>0.25482625482625482</v>
      </c>
    </row>
    <row r="14692" spans="1:12" x14ac:dyDescent="0.45">
      <c r="A14692" s="12" t="s">
        <v>27991</v>
      </c>
      <c r="B14692" s="12" t="s">
        <v>3688</v>
      </c>
      <c r="C14692" s="13" t="s">
        <v>3689</v>
      </c>
      <c r="D14692" s="13" t="s">
        <v>15</v>
      </c>
      <c r="E14692" s="12" t="s">
        <v>16</v>
      </c>
      <c r="F14692" s="14">
        <v>76000</v>
      </c>
      <c r="G14692" s="14">
        <v>50000</v>
      </c>
      <c r="H14692" s="13" t="s">
        <v>28117</v>
      </c>
      <c r="I14692" s="40" t="s">
        <v>18</v>
      </c>
      <c r="J14692" s="40" t="str">
        <f>HYPERLINK("https://stock.pstatic.net/stock-research/company/29/20250207_company_671437000.pdf","PDF")</f>
        <v>PDF</v>
      </c>
      <c r="K14692" s="12" t="s">
        <v>28118</v>
      </c>
      <c r="L14692" s="20">
        <v>0.52</v>
      </c>
    </row>
    <row r="14693" spans="1:12" x14ac:dyDescent="0.45">
      <c r="A14693" s="12" t="s">
        <v>27991</v>
      </c>
      <c r="B14693" s="12" t="s">
        <v>2982</v>
      </c>
      <c r="C14693" s="13" t="s">
        <v>2983</v>
      </c>
      <c r="D14693" s="13" t="s">
        <v>53</v>
      </c>
      <c r="E14693" s="12" t="s">
        <v>16</v>
      </c>
      <c r="F14693" s="14">
        <v>45000</v>
      </c>
      <c r="G14693" s="14">
        <v>35150</v>
      </c>
      <c r="H14693" s="13" t="s">
        <v>28119</v>
      </c>
      <c r="I14693" s="40" t="s">
        <v>18</v>
      </c>
      <c r="J14693" s="40" t="str">
        <f>HYPERLINK("https://stock.pstatic.net/stock-research/company/40/20250207_company_385062000.pdf","PDF")</f>
        <v>PDF</v>
      </c>
      <c r="K14693" s="12" t="s">
        <v>28120</v>
      </c>
      <c r="L14693" s="20">
        <v>0.2802275960170697</v>
      </c>
    </row>
    <row r="14694" spans="1:12" x14ac:dyDescent="0.45">
      <c r="A14694" s="12" t="s">
        <v>27991</v>
      </c>
      <c r="B14694" s="12" t="s">
        <v>352</v>
      </c>
      <c r="C14694" s="13" t="s">
        <v>353</v>
      </c>
      <c r="D14694" s="13" t="s">
        <v>92</v>
      </c>
      <c r="E14694" s="12" t="s">
        <v>35</v>
      </c>
      <c r="F14694" s="14">
        <v>90000</v>
      </c>
      <c r="G14694" s="14">
        <v>71500</v>
      </c>
      <c r="H14694" s="13" t="s">
        <v>28121</v>
      </c>
      <c r="I14694" s="40" t="s">
        <v>18</v>
      </c>
      <c r="J14694" s="40" t="str">
        <f>HYPERLINK("https://stock.pstatic.net/stock-research/company/63/20250207_company_658154000.pdf","PDF")</f>
        <v>PDF</v>
      </c>
      <c r="K14694" s="12" t="s">
        <v>28122</v>
      </c>
      <c r="L14694" s="20">
        <v>0.25874125874125881</v>
      </c>
    </row>
    <row r="14695" spans="1:12" x14ac:dyDescent="0.45">
      <c r="A14695" s="12" t="s">
        <v>27991</v>
      </c>
      <c r="B14695" s="12" t="s">
        <v>537</v>
      </c>
      <c r="C14695" s="13" t="s">
        <v>538</v>
      </c>
      <c r="D14695" s="13" t="s">
        <v>179</v>
      </c>
      <c r="E14695" s="12" t="s">
        <v>16</v>
      </c>
      <c r="F14695" s="14">
        <v>13500</v>
      </c>
      <c r="G14695" s="14">
        <v>10360</v>
      </c>
      <c r="H14695" s="13" t="s">
        <v>28123</v>
      </c>
      <c r="I14695" s="40" t="s">
        <v>18</v>
      </c>
      <c r="J14695" s="40" t="str">
        <f>HYPERLINK("https://stock.pstatic.net/stock-research/company/31/20250207_company_588283000.pdf","PDF")</f>
        <v>PDF</v>
      </c>
      <c r="K14695" s="12" t="s">
        <v>28124</v>
      </c>
      <c r="L14695" s="20">
        <v>0.30308880308880309</v>
      </c>
    </row>
    <row r="14696" spans="1:12" x14ac:dyDescent="0.45">
      <c r="A14696" s="12" t="s">
        <v>27991</v>
      </c>
      <c r="B14696" s="12" t="s">
        <v>370</v>
      </c>
      <c r="C14696" s="13" t="s">
        <v>371</v>
      </c>
      <c r="D14696" s="13" t="s">
        <v>83</v>
      </c>
      <c r="E14696" s="12" t="s">
        <v>35</v>
      </c>
      <c r="F14696" s="14">
        <v>65000</v>
      </c>
      <c r="G14696" s="14">
        <v>52500</v>
      </c>
      <c r="H14696" s="13" t="s">
        <v>28125</v>
      </c>
      <c r="I14696" s="40" t="s">
        <v>18</v>
      </c>
      <c r="J14696" s="40" t="str">
        <f>HYPERLINK("https://stock.pstatic.net/stock-research/company/2/20250207_company_999993000.pdf","PDF")</f>
        <v>PDF</v>
      </c>
      <c r="K14696" s="12" t="s">
        <v>28126</v>
      </c>
      <c r="L14696" s="20">
        <v>0.23809523809523811</v>
      </c>
    </row>
    <row r="14697" spans="1:12" x14ac:dyDescent="0.45">
      <c r="A14697" s="12" t="s">
        <v>27991</v>
      </c>
      <c r="B14697" s="12" t="s">
        <v>434</v>
      </c>
      <c r="C14697" s="13" t="s">
        <v>435</v>
      </c>
      <c r="D14697" s="13" t="s">
        <v>83</v>
      </c>
      <c r="E14697" s="12" t="s">
        <v>35</v>
      </c>
      <c r="F14697" s="14">
        <v>160000</v>
      </c>
      <c r="G14697" s="14">
        <v>126300</v>
      </c>
      <c r="H14697" s="13" t="s">
        <v>28127</v>
      </c>
      <c r="I14697" s="40" t="s">
        <v>18</v>
      </c>
      <c r="J14697" s="40" t="str">
        <f>HYPERLINK("https://stock.pstatic.net/stock-research/company/2/20250207_company_102729000.pdf","PDF")</f>
        <v>PDF</v>
      </c>
      <c r="K14697" s="12" t="s">
        <v>28128</v>
      </c>
      <c r="L14697" s="20">
        <v>0.26682501979414092</v>
      </c>
    </row>
    <row r="14698" spans="1:12" x14ac:dyDescent="0.45">
      <c r="A14698" s="12" t="s">
        <v>27991</v>
      </c>
      <c r="B14698" s="12" t="s">
        <v>3154</v>
      </c>
      <c r="C14698" s="13" t="s">
        <v>3155</v>
      </c>
      <c r="D14698" s="13" t="s">
        <v>83</v>
      </c>
      <c r="E14698" s="12" t="s">
        <v>35</v>
      </c>
      <c r="F14698" s="14">
        <v>8000</v>
      </c>
      <c r="G14698" s="14">
        <v>5100</v>
      </c>
      <c r="H14698" s="13" t="s">
        <v>28129</v>
      </c>
      <c r="I14698" s="40" t="s">
        <v>18</v>
      </c>
      <c r="J14698" s="40" t="str">
        <f>HYPERLINK("https://stock.pstatic.net/stock-research/company/1/20250207_company_350112000.pdf","PDF")</f>
        <v>PDF</v>
      </c>
      <c r="K14698" s="12" t="s">
        <v>28130</v>
      </c>
      <c r="L14698" s="20">
        <v>0.56862745098039214</v>
      </c>
    </row>
    <row r="14699" spans="1:12" x14ac:dyDescent="0.45">
      <c r="A14699" s="12" t="s">
        <v>27991</v>
      </c>
      <c r="B14699" s="12" t="s">
        <v>23089</v>
      </c>
      <c r="C14699" s="13" t="s">
        <v>23090</v>
      </c>
      <c r="D14699" s="13" t="s">
        <v>83</v>
      </c>
      <c r="E14699" s="12" t="s">
        <v>35</v>
      </c>
      <c r="F14699" s="14">
        <v>50000</v>
      </c>
      <c r="G14699" s="14">
        <v>32150</v>
      </c>
      <c r="H14699" s="13" t="s">
        <v>28131</v>
      </c>
      <c r="I14699" s="40" t="s">
        <v>18</v>
      </c>
      <c r="J14699" s="40" t="str">
        <f>HYPERLINK("https://stock.pstatic.net/stock-research/company/2/20250207_company_322495000.pdf","PDF")</f>
        <v>PDF</v>
      </c>
      <c r="K14699" s="12" t="s">
        <v>28132</v>
      </c>
      <c r="L14699" s="20">
        <v>0.55520995334370138</v>
      </c>
    </row>
    <row r="14700" spans="1:12" x14ac:dyDescent="0.45">
      <c r="A14700" s="12" t="s">
        <v>27991</v>
      </c>
      <c r="B14700" s="12" t="s">
        <v>330</v>
      </c>
      <c r="C14700" s="13" t="s">
        <v>331</v>
      </c>
      <c r="D14700" s="13" t="s">
        <v>83</v>
      </c>
      <c r="E14700" s="12" t="s">
        <v>35</v>
      </c>
      <c r="F14700" s="14">
        <v>37000</v>
      </c>
      <c r="G14700" s="14">
        <v>21450</v>
      </c>
      <c r="H14700" s="13" t="s">
        <v>28133</v>
      </c>
      <c r="I14700" s="40" t="s">
        <v>18</v>
      </c>
      <c r="J14700" s="40" t="str">
        <f>HYPERLINK("https://stock.pstatic.net/stock-research/company/2/20250207_company_196501000.pdf","PDF")</f>
        <v>PDF</v>
      </c>
      <c r="K14700" s="12" t="s">
        <v>28134</v>
      </c>
      <c r="L14700" s="20">
        <v>0.72494172494172493</v>
      </c>
    </row>
    <row r="14701" spans="1:12" x14ac:dyDescent="0.45">
      <c r="A14701" s="12" t="s">
        <v>27991</v>
      </c>
      <c r="B14701" s="12" t="s">
        <v>3831</v>
      </c>
      <c r="C14701" s="13" t="s">
        <v>3832</v>
      </c>
      <c r="D14701" s="13" t="s">
        <v>83</v>
      </c>
      <c r="E14701" s="12" t="s">
        <v>35</v>
      </c>
      <c r="F14701" s="14">
        <v>56000</v>
      </c>
      <c r="G14701" s="14">
        <v>40700</v>
      </c>
      <c r="H14701" s="13" t="s">
        <v>28135</v>
      </c>
      <c r="I14701" s="40" t="s">
        <v>18</v>
      </c>
      <c r="J14701" s="40" t="str">
        <f>HYPERLINK("https://stock.pstatic.net/stock-research/company/2/20250207_company_778293000.pdf","PDF")</f>
        <v>PDF</v>
      </c>
      <c r="K14701" s="12" t="s">
        <v>28136</v>
      </c>
      <c r="L14701" s="20">
        <v>0.37592137592137592</v>
      </c>
    </row>
    <row r="14702" spans="1:12" x14ac:dyDescent="0.45">
      <c r="A14702" s="12" t="s">
        <v>27991</v>
      </c>
      <c r="B14702" s="12" t="s">
        <v>732</v>
      </c>
      <c r="C14702" s="13" t="s">
        <v>733</v>
      </c>
      <c r="D14702" s="13" t="s">
        <v>83</v>
      </c>
      <c r="E14702" s="12" t="s">
        <v>35</v>
      </c>
      <c r="F14702" s="14">
        <v>160000</v>
      </c>
      <c r="G14702" s="14">
        <v>127000</v>
      </c>
      <c r="H14702" s="13" t="s">
        <v>28137</v>
      </c>
      <c r="I14702" s="40" t="s">
        <v>18</v>
      </c>
      <c r="J14702" s="40" t="str">
        <f>HYPERLINK("https://stock.pstatic.net/stock-research/company/2/20250207_company_354581000.pdf","PDF")</f>
        <v>PDF</v>
      </c>
      <c r="K14702" s="12" t="s">
        <v>28138</v>
      </c>
      <c r="L14702" s="20">
        <v>0.25984251968503941</v>
      </c>
    </row>
    <row r="14703" spans="1:12" x14ac:dyDescent="0.45">
      <c r="A14703" s="12" t="s">
        <v>27991</v>
      </c>
      <c r="B14703" s="12" t="s">
        <v>434</v>
      </c>
      <c r="C14703" s="13" t="s">
        <v>435</v>
      </c>
      <c r="D14703" s="13" t="s">
        <v>44</v>
      </c>
      <c r="E14703" s="12" t="s">
        <v>35</v>
      </c>
      <c r="F14703" s="14">
        <v>170000</v>
      </c>
      <c r="G14703" s="14">
        <v>126300</v>
      </c>
      <c r="H14703" s="13" t="s">
        <v>28139</v>
      </c>
      <c r="I14703" s="40" t="s">
        <v>18</v>
      </c>
      <c r="J14703" s="40" t="str">
        <f>HYPERLINK("https://stock.pstatic.net/stock-research/company/39/20250207_company_893784000.pdf","PDF")</f>
        <v>PDF</v>
      </c>
      <c r="K14703" s="12" t="s">
        <v>28140</v>
      </c>
      <c r="L14703" s="20">
        <v>0.34600158353127469</v>
      </c>
    </row>
    <row r="14704" spans="1:12" x14ac:dyDescent="0.45">
      <c r="A14704" s="12" t="s">
        <v>27991</v>
      </c>
      <c r="B14704" s="12" t="s">
        <v>1602</v>
      </c>
      <c r="C14704" s="13" t="s">
        <v>1603</v>
      </c>
      <c r="D14704" s="13" t="s">
        <v>92</v>
      </c>
      <c r="E14704" s="12" t="s">
        <v>35</v>
      </c>
      <c r="F14704" s="14">
        <v>40000</v>
      </c>
      <c r="G14704" s="14">
        <v>22600</v>
      </c>
      <c r="H14704" s="13" t="s">
        <v>28141</v>
      </c>
      <c r="I14704" s="40" t="s">
        <v>18</v>
      </c>
      <c r="J14704" s="40" t="str">
        <f>HYPERLINK("https://stock.pstatic.net/stock-research/company/63/20250207_company_375034000.pdf","PDF")</f>
        <v>PDF</v>
      </c>
      <c r="K14704" s="12" t="s">
        <v>28142</v>
      </c>
      <c r="L14704" s="20">
        <v>0.76991150442477874</v>
      </c>
    </row>
    <row r="14705" spans="1:12" x14ac:dyDescent="0.45">
      <c r="A14705" s="12" t="s">
        <v>27991</v>
      </c>
      <c r="B14705" s="12" t="s">
        <v>2024</v>
      </c>
      <c r="C14705" s="13" t="s">
        <v>2025</v>
      </c>
      <c r="D14705" s="13" t="s">
        <v>23</v>
      </c>
      <c r="E14705" s="12" t="s">
        <v>16</v>
      </c>
      <c r="F14705" s="14">
        <v>70000</v>
      </c>
      <c r="G14705" s="14">
        <v>46000</v>
      </c>
      <c r="H14705" s="13" t="s">
        <v>28143</v>
      </c>
      <c r="I14705" s="40" t="s">
        <v>18</v>
      </c>
      <c r="J14705" s="40" t="str">
        <f>HYPERLINK("https://stock.pstatic.net/stock-research/company/21/20250207_company_806358000.pdf","PDF")</f>
        <v>PDF</v>
      </c>
      <c r="K14705" s="12" t="s">
        <v>28144</v>
      </c>
      <c r="L14705" s="20">
        <v>0.52173913043478259</v>
      </c>
    </row>
    <row r="14706" spans="1:12" x14ac:dyDescent="0.45">
      <c r="A14706" s="12" t="s">
        <v>27991</v>
      </c>
      <c r="B14706" s="12" t="s">
        <v>3688</v>
      </c>
      <c r="C14706" s="13" t="s">
        <v>3689</v>
      </c>
      <c r="D14706" s="13" t="s">
        <v>179</v>
      </c>
      <c r="E14706" s="12" t="s">
        <v>16</v>
      </c>
      <c r="F14706" s="14">
        <v>73000</v>
      </c>
      <c r="G14706" s="14">
        <v>50000</v>
      </c>
      <c r="H14706" s="13" t="s">
        <v>28145</v>
      </c>
      <c r="I14706" s="40" t="s">
        <v>18</v>
      </c>
      <c r="J14706" s="40" t="str">
        <f>HYPERLINK("https://stock.pstatic.net/stock-research/company/31/20250207_company_834074000.pdf","PDF")</f>
        <v>PDF</v>
      </c>
      <c r="K14706" s="12" t="s">
        <v>28146</v>
      </c>
      <c r="L14706" s="20">
        <v>0.46</v>
      </c>
    </row>
    <row r="14707" spans="1:12" x14ac:dyDescent="0.45">
      <c r="A14707" s="12" t="s">
        <v>27991</v>
      </c>
      <c r="B14707" s="12" t="s">
        <v>3369</v>
      </c>
      <c r="C14707" s="13" t="s">
        <v>3370</v>
      </c>
      <c r="D14707" s="13" t="s">
        <v>23</v>
      </c>
      <c r="E14707" s="12" t="s">
        <v>16</v>
      </c>
      <c r="F14707" s="14">
        <v>22000</v>
      </c>
      <c r="G14707" s="14">
        <v>19600</v>
      </c>
      <c r="H14707" s="13" t="s">
        <v>28147</v>
      </c>
      <c r="I14707" s="40" t="s">
        <v>18</v>
      </c>
      <c r="J14707" s="40" t="str">
        <f>HYPERLINK("https://stock.pstatic.net/stock-research/company/21/20250207_company_967181000.pdf","PDF")</f>
        <v>PDF</v>
      </c>
      <c r="K14707" s="12" t="s">
        <v>28148</v>
      </c>
      <c r="L14707" s="20">
        <v>0.1224489795918367</v>
      </c>
    </row>
    <row r="14708" spans="1:12" x14ac:dyDescent="0.45">
      <c r="A14708" s="12" t="s">
        <v>27991</v>
      </c>
      <c r="B14708" s="12" t="s">
        <v>3138</v>
      </c>
      <c r="C14708" s="13" t="s">
        <v>3139</v>
      </c>
      <c r="D14708" s="13" t="s">
        <v>92</v>
      </c>
      <c r="E14708" s="12" t="s">
        <v>35</v>
      </c>
      <c r="F14708" s="14">
        <v>20000</v>
      </c>
      <c r="G14708" s="14">
        <v>9380</v>
      </c>
      <c r="H14708" s="13" t="s">
        <v>28149</v>
      </c>
      <c r="I14708" s="40" t="s">
        <v>18</v>
      </c>
      <c r="J14708" s="40" t="str">
        <f>HYPERLINK("https://stock.pstatic.net/stock-research/company/63/20250207_company_51952000.pdf","PDF")</f>
        <v>PDF</v>
      </c>
      <c r="K14708" s="12" t="s">
        <v>28150</v>
      </c>
      <c r="L14708" s="20">
        <v>1.1321961620469081</v>
      </c>
    </row>
    <row r="14709" spans="1:12" x14ac:dyDescent="0.45">
      <c r="A14709" s="12" t="s">
        <v>27991</v>
      </c>
      <c r="B14709" s="12" t="s">
        <v>3369</v>
      </c>
      <c r="C14709" s="13" t="s">
        <v>3370</v>
      </c>
      <c r="D14709" s="13" t="s">
        <v>44</v>
      </c>
      <c r="E14709" s="12" t="s">
        <v>35</v>
      </c>
      <c r="F14709" s="14">
        <v>25000</v>
      </c>
      <c r="G14709" s="14">
        <v>19600</v>
      </c>
      <c r="H14709" s="13" t="s">
        <v>28151</v>
      </c>
      <c r="I14709" s="40" t="s">
        <v>18</v>
      </c>
      <c r="J14709" s="40" t="str">
        <f>HYPERLINK("https://stock.pstatic.net/stock-research/company/39/20250207_company_659835000.pdf","PDF")</f>
        <v>PDF</v>
      </c>
      <c r="K14709" s="12" t="s">
        <v>28152</v>
      </c>
      <c r="L14709" s="20">
        <v>0.27551020408163263</v>
      </c>
    </row>
    <row r="14710" spans="1:12" x14ac:dyDescent="0.45">
      <c r="A14710" s="12" t="s">
        <v>27991</v>
      </c>
      <c r="B14710" s="12" t="s">
        <v>3204</v>
      </c>
      <c r="C14710" s="13" t="s">
        <v>3205</v>
      </c>
      <c r="D14710" s="13" t="s">
        <v>23</v>
      </c>
      <c r="E14710" s="12" t="s">
        <v>50</v>
      </c>
      <c r="F14710" s="14">
        <v>3100</v>
      </c>
      <c r="G14710" s="14">
        <v>3360</v>
      </c>
      <c r="H14710" s="13" t="s">
        <v>28153</v>
      </c>
      <c r="I14710" s="40" t="s">
        <v>18</v>
      </c>
      <c r="J14710" s="40" t="str">
        <f>HYPERLINK("https://stock.pstatic.net/stock-research/company/21/20250207_company_622625000.pdf","PDF")</f>
        <v>PDF</v>
      </c>
      <c r="K14710" s="12" t="s">
        <v>28154</v>
      </c>
      <c r="L14710" s="20">
        <v>-7.7380952380952384E-2</v>
      </c>
    </row>
    <row r="14711" spans="1:12" x14ac:dyDescent="0.45">
      <c r="A14711" s="12" t="s">
        <v>27991</v>
      </c>
      <c r="B14711" s="12" t="s">
        <v>2982</v>
      </c>
      <c r="C14711" s="13" t="s">
        <v>2983</v>
      </c>
      <c r="D14711" s="13" t="s">
        <v>23</v>
      </c>
      <c r="E14711" s="12" t="s">
        <v>16</v>
      </c>
      <c r="F14711" s="14">
        <v>55000</v>
      </c>
      <c r="G14711" s="14">
        <v>35150</v>
      </c>
      <c r="H14711" s="13" t="s">
        <v>28155</v>
      </c>
      <c r="I14711" s="40" t="s">
        <v>18</v>
      </c>
      <c r="J14711" s="40" t="str">
        <f>HYPERLINK("https://stock.pstatic.net/stock-research/company/21/20250207_company_334872000.pdf","PDF")</f>
        <v>PDF</v>
      </c>
      <c r="K14711" s="12" t="s">
        <v>28156</v>
      </c>
      <c r="L14711" s="20">
        <v>0.56472261735419627</v>
      </c>
    </row>
    <row r="14712" spans="1:12" x14ac:dyDescent="0.45">
      <c r="A14712" s="12" t="s">
        <v>27991</v>
      </c>
      <c r="B14712" s="12" t="s">
        <v>27</v>
      </c>
      <c r="C14712" s="13" t="s">
        <v>28</v>
      </c>
      <c r="D14712" s="13" t="s">
        <v>23</v>
      </c>
      <c r="E14712" s="12" t="s">
        <v>16</v>
      </c>
      <c r="F14712" s="14">
        <v>70000</v>
      </c>
      <c r="G14712" s="14">
        <v>54400</v>
      </c>
      <c r="H14712" s="13" t="s">
        <v>28157</v>
      </c>
      <c r="I14712" s="40" t="s">
        <v>18</v>
      </c>
      <c r="J14712" s="40" t="str">
        <f>HYPERLINK("https://stock.pstatic.net/stock-research/company/21/20250207_company_976129000.pdf","PDF")</f>
        <v>PDF</v>
      </c>
      <c r="K14712" s="12" t="s">
        <v>28158</v>
      </c>
      <c r="L14712" s="20">
        <v>0.28676470588235292</v>
      </c>
    </row>
    <row r="14713" spans="1:12" x14ac:dyDescent="0.45">
      <c r="A14713" s="12" t="s">
        <v>27991</v>
      </c>
      <c r="B14713" s="12" t="s">
        <v>1530</v>
      </c>
      <c r="C14713" s="13" t="s">
        <v>1531</v>
      </c>
      <c r="D14713" s="13" t="s">
        <v>53</v>
      </c>
      <c r="E14713" s="12" t="s">
        <v>50</v>
      </c>
      <c r="F14713" s="14">
        <v>25000</v>
      </c>
      <c r="G14713" s="14">
        <v>23700</v>
      </c>
      <c r="H14713" s="13" t="s">
        <v>28159</v>
      </c>
      <c r="I14713" s="40" t="s">
        <v>18</v>
      </c>
      <c r="J14713" s="40" t="str">
        <f>HYPERLINK("https://stock.pstatic.net/stock-research/company/40/20250207_company_818587000.pdf","PDF")</f>
        <v>PDF</v>
      </c>
      <c r="K14713" s="12" t="s">
        <v>28160</v>
      </c>
      <c r="L14713" s="20">
        <v>5.4852320675105488E-2</v>
      </c>
    </row>
    <row r="14714" spans="1:12" x14ac:dyDescent="0.45">
      <c r="A14714" s="12" t="s">
        <v>27991</v>
      </c>
      <c r="B14714" s="12" t="s">
        <v>1566</v>
      </c>
      <c r="C14714" s="13" t="s">
        <v>1567</v>
      </c>
      <c r="D14714" s="13" t="s">
        <v>92</v>
      </c>
      <c r="E14714" s="12" t="s">
        <v>50</v>
      </c>
      <c r="F14714" s="13"/>
      <c r="G14714" s="14">
        <v>3235</v>
      </c>
      <c r="H14714" s="13" t="s">
        <v>28161</v>
      </c>
      <c r="I14714" s="40" t="s">
        <v>18</v>
      </c>
      <c r="J14714" s="40" t="str">
        <f>HYPERLINK("https://stock.pstatic.net/stock-research/company/63/20250207_company_940175000.pdf","PDF")</f>
        <v>PDF</v>
      </c>
      <c r="K14714" s="12" t="s">
        <v>28162</v>
      </c>
    </row>
    <row r="14715" spans="1:12" x14ac:dyDescent="0.45">
      <c r="A14715" s="12" t="s">
        <v>27991</v>
      </c>
      <c r="B14715" s="12" t="s">
        <v>8204</v>
      </c>
      <c r="C14715" s="13" t="s">
        <v>8205</v>
      </c>
      <c r="D14715" s="13" t="s">
        <v>92</v>
      </c>
      <c r="E14715" s="12" t="s">
        <v>35</v>
      </c>
      <c r="F14715" s="14">
        <v>106000</v>
      </c>
      <c r="G14715" s="14">
        <v>88000</v>
      </c>
      <c r="H14715" s="13" t="s">
        <v>28163</v>
      </c>
      <c r="I14715" s="40" t="s">
        <v>18</v>
      </c>
      <c r="J14715" s="40" t="str">
        <f>HYPERLINK("https://stock.pstatic.net/stock-research/company/63/20250207_company_919159000.pdf","PDF")</f>
        <v>PDF</v>
      </c>
      <c r="K14715" s="12" t="s">
        <v>28164</v>
      </c>
      <c r="L14715" s="20">
        <v>0.20454545454545461</v>
      </c>
    </row>
    <row r="14716" spans="1:12" x14ac:dyDescent="0.45">
      <c r="A14716" s="12" t="s">
        <v>27991</v>
      </c>
      <c r="B14716" s="12" t="s">
        <v>2576</v>
      </c>
      <c r="C14716" s="13" t="s">
        <v>2577</v>
      </c>
      <c r="D14716" s="13" t="s">
        <v>23</v>
      </c>
      <c r="E14716" s="12" t="s">
        <v>385</v>
      </c>
      <c r="F14716" s="13"/>
      <c r="G14716" s="14">
        <v>790000</v>
      </c>
      <c r="H14716" s="13" t="s">
        <v>28165</v>
      </c>
      <c r="I14716" s="40" t="s">
        <v>18</v>
      </c>
      <c r="J14716" s="40" t="str">
        <f>HYPERLINK("https://stock.pstatic.net/stock-research/company/21/20250207_company_746783000.pdf","PDF")</f>
        <v>PDF</v>
      </c>
      <c r="K14716" s="12" t="s">
        <v>28166</v>
      </c>
    </row>
    <row r="14717" spans="1:12" x14ac:dyDescent="0.45">
      <c r="A14717" s="12" t="s">
        <v>27991</v>
      </c>
      <c r="B14717" s="12" t="s">
        <v>8204</v>
      </c>
      <c r="C14717" s="13" t="s">
        <v>8205</v>
      </c>
      <c r="D14717" s="13" t="s">
        <v>23</v>
      </c>
      <c r="E14717" s="12" t="s">
        <v>16</v>
      </c>
      <c r="F14717" s="14">
        <v>110000</v>
      </c>
      <c r="G14717" s="14">
        <v>88000</v>
      </c>
      <c r="H14717" s="13" t="s">
        <v>28167</v>
      </c>
      <c r="I14717" s="40" t="s">
        <v>18</v>
      </c>
      <c r="J14717" s="40" t="str">
        <f>HYPERLINK("https://stock.pstatic.net/stock-research/company/21/20250207_company_89367000.pdf","PDF")</f>
        <v>PDF</v>
      </c>
      <c r="K14717" s="12" t="s">
        <v>28168</v>
      </c>
      <c r="L14717" s="20">
        <v>0.25</v>
      </c>
    </row>
    <row r="14718" spans="1:12" x14ac:dyDescent="0.45">
      <c r="A14718" s="12" t="s">
        <v>27991</v>
      </c>
      <c r="B14718" s="12" t="s">
        <v>3831</v>
      </c>
      <c r="C14718" s="13" t="s">
        <v>3832</v>
      </c>
      <c r="D14718" s="13" t="s">
        <v>23</v>
      </c>
      <c r="E14718" s="12" t="s">
        <v>16</v>
      </c>
      <c r="F14718" s="14">
        <v>59000</v>
      </c>
      <c r="G14718" s="14">
        <v>40700</v>
      </c>
      <c r="H14718" s="13" t="s">
        <v>28169</v>
      </c>
      <c r="I14718" s="40" t="s">
        <v>18</v>
      </c>
      <c r="J14718" s="40" t="str">
        <f>HYPERLINK("https://stock.pstatic.net/stock-research/company/21/20250207_company_691593000.pdf","PDF")</f>
        <v>PDF</v>
      </c>
      <c r="K14718" s="12" t="s">
        <v>28170</v>
      </c>
      <c r="L14718" s="20">
        <v>0.44963144963144958</v>
      </c>
    </row>
    <row r="14719" spans="1:12" x14ac:dyDescent="0.45">
      <c r="A14719" s="12" t="s">
        <v>27991</v>
      </c>
      <c r="B14719" s="12" t="s">
        <v>3154</v>
      </c>
      <c r="C14719" s="13" t="s">
        <v>3155</v>
      </c>
      <c r="D14719" s="13" t="s">
        <v>23</v>
      </c>
      <c r="E14719" s="12" t="s">
        <v>16</v>
      </c>
      <c r="F14719" s="14">
        <v>7500</v>
      </c>
      <c r="G14719" s="14">
        <v>5100</v>
      </c>
      <c r="H14719" s="13" t="s">
        <v>28171</v>
      </c>
      <c r="I14719" s="40" t="s">
        <v>18</v>
      </c>
      <c r="J14719" s="40" t="str">
        <f>HYPERLINK("https://stock.pstatic.net/stock-research/company/1/20250207_company_747640000.pdf","PDF")</f>
        <v>PDF</v>
      </c>
      <c r="K14719" s="12" t="s">
        <v>28172</v>
      </c>
      <c r="L14719" s="20">
        <v>0.47058823529411759</v>
      </c>
    </row>
    <row r="14720" spans="1:12" x14ac:dyDescent="0.45">
      <c r="A14720" s="12" t="s">
        <v>27991</v>
      </c>
      <c r="B14720" s="12" t="s">
        <v>362</v>
      </c>
      <c r="C14720" s="13" t="s">
        <v>363</v>
      </c>
      <c r="D14720" s="13" t="s">
        <v>179</v>
      </c>
      <c r="E14720" s="12" t="s">
        <v>16</v>
      </c>
      <c r="F14720" s="14">
        <v>90000</v>
      </c>
      <c r="G14720" s="14">
        <v>73800</v>
      </c>
      <c r="H14720" s="13" t="s">
        <v>28173</v>
      </c>
      <c r="I14720" s="40" t="s">
        <v>18</v>
      </c>
      <c r="J14720" s="40" t="str">
        <f>HYPERLINK("https://stock.pstatic.net/stock-research/company/31/20250207_company_306854000.pdf","PDF")</f>
        <v>PDF</v>
      </c>
      <c r="K14720" s="12" t="s">
        <v>28174</v>
      </c>
      <c r="L14720" s="20">
        <v>0.21951219512195119</v>
      </c>
    </row>
    <row r="14721" spans="1:12" x14ac:dyDescent="0.45">
      <c r="A14721" s="12" t="s">
        <v>27991</v>
      </c>
      <c r="B14721" s="12" t="s">
        <v>2435</v>
      </c>
      <c r="C14721" s="13" t="s">
        <v>2436</v>
      </c>
      <c r="D14721" s="13" t="s">
        <v>179</v>
      </c>
      <c r="E14721" s="12" t="s">
        <v>16</v>
      </c>
      <c r="F14721" s="14">
        <v>370000</v>
      </c>
      <c r="G14721" s="14">
        <v>303000</v>
      </c>
      <c r="H14721" s="13" t="s">
        <v>28175</v>
      </c>
      <c r="I14721" s="40" t="s">
        <v>18</v>
      </c>
      <c r="J14721" s="40" t="str">
        <f>HYPERLINK("https://stock.pstatic.net/stock-research/company/31/20250207_company_74010000.pdf","PDF")</f>
        <v>PDF</v>
      </c>
      <c r="K14721" s="12" t="s">
        <v>28176</v>
      </c>
      <c r="L14721" s="20">
        <v>0.22112211221122111</v>
      </c>
    </row>
    <row r="14722" spans="1:12" x14ac:dyDescent="0.45">
      <c r="A14722" s="12" t="s">
        <v>27991</v>
      </c>
      <c r="B14722" s="12" t="s">
        <v>657</v>
      </c>
      <c r="C14722" s="13" t="s">
        <v>658</v>
      </c>
      <c r="D14722" s="13" t="s">
        <v>23</v>
      </c>
      <c r="E14722" s="12" t="s">
        <v>16</v>
      </c>
      <c r="F14722" s="14">
        <v>29000</v>
      </c>
      <c r="G14722" s="14">
        <v>19700</v>
      </c>
      <c r="H14722" s="13" t="s">
        <v>28177</v>
      </c>
      <c r="I14722" s="40" t="s">
        <v>18</v>
      </c>
      <c r="J14722" s="40" t="str">
        <f>HYPERLINK("https://stock.pstatic.net/stock-research/company/21/20250207_company_535838000.pdf","PDF")</f>
        <v>PDF</v>
      </c>
      <c r="K14722" s="12" t="s">
        <v>28178</v>
      </c>
      <c r="L14722" s="20">
        <v>0.4720812182741117</v>
      </c>
    </row>
    <row r="14723" spans="1:12" x14ac:dyDescent="0.45">
      <c r="A14723" s="12" t="s">
        <v>27991</v>
      </c>
      <c r="B14723" s="12" t="s">
        <v>2425</v>
      </c>
      <c r="C14723" s="13" t="s">
        <v>2426</v>
      </c>
      <c r="D14723" s="13" t="s">
        <v>44</v>
      </c>
      <c r="E14723" s="12" t="s">
        <v>50</v>
      </c>
      <c r="F14723" s="13"/>
      <c r="G14723" s="13"/>
      <c r="H14723" s="13" t="s">
        <v>28179</v>
      </c>
      <c r="I14723" s="40" t="s">
        <v>18</v>
      </c>
      <c r="J14723" s="40" t="str">
        <f>HYPERLINK("https://stock.pstatic.net/stock-research/company/39/20250207_company_317860000.pdf","PDF")</f>
        <v>PDF</v>
      </c>
      <c r="K14723" s="12" t="s">
        <v>28180</v>
      </c>
    </row>
    <row r="14724" spans="1:12" x14ac:dyDescent="0.45">
      <c r="A14724" s="12" t="s">
        <v>27991</v>
      </c>
      <c r="B14724" s="12" t="s">
        <v>2278</v>
      </c>
      <c r="C14724" s="13" t="s">
        <v>2279</v>
      </c>
      <c r="D14724" s="13" t="s">
        <v>179</v>
      </c>
      <c r="E14724" s="12" t="s">
        <v>385</v>
      </c>
      <c r="F14724" s="14">
        <v>2500</v>
      </c>
      <c r="G14724" s="14">
        <v>2430</v>
      </c>
      <c r="H14724" s="13" t="s">
        <v>28181</v>
      </c>
      <c r="I14724" s="40" t="s">
        <v>18</v>
      </c>
      <c r="J14724" s="40" t="str">
        <f>HYPERLINK("https://stock.pstatic.net/stock-research/company/31/20250207_company_865827000.pdf","PDF")</f>
        <v>PDF</v>
      </c>
      <c r="K14724" s="12" t="s">
        <v>28182</v>
      </c>
      <c r="L14724" s="20">
        <v>2.8806584362139918E-2</v>
      </c>
    </row>
    <row r="14725" spans="1:12" x14ac:dyDescent="0.45">
      <c r="A14725" s="12" t="s">
        <v>27991</v>
      </c>
      <c r="B14725" s="12" t="s">
        <v>434</v>
      </c>
      <c r="C14725" s="13" t="s">
        <v>435</v>
      </c>
      <c r="D14725" s="13" t="s">
        <v>23</v>
      </c>
      <c r="E14725" s="12" t="s">
        <v>16</v>
      </c>
      <c r="F14725" s="14">
        <v>163000</v>
      </c>
      <c r="G14725" s="14">
        <v>126300</v>
      </c>
      <c r="H14725" s="13" t="s">
        <v>28183</v>
      </c>
      <c r="I14725" s="40" t="s">
        <v>18</v>
      </c>
      <c r="J14725" s="40" t="str">
        <f>HYPERLINK("https://stock.pstatic.net/stock-research/company/21/20250207_company_196813000.pdf","PDF")</f>
        <v>PDF</v>
      </c>
      <c r="K14725" s="12" t="s">
        <v>28184</v>
      </c>
      <c r="L14725" s="20">
        <v>0.29057798891528108</v>
      </c>
    </row>
    <row r="14726" spans="1:12" x14ac:dyDescent="0.45">
      <c r="A14726" s="12" t="s">
        <v>27991</v>
      </c>
      <c r="B14726" s="12" t="s">
        <v>27</v>
      </c>
      <c r="C14726" s="13" t="s">
        <v>28</v>
      </c>
      <c r="D14726" s="13" t="s">
        <v>44</v>
      </c>
      <c r="E14726" s="12" t="s">
        <v>50</v>
      </c>
      <c r="F14726" s="13"/>
      <c r="G14726" s="13"/>
      <c r="H14726" s="13" t="s">
        <v>28185</v>
      </c>
      <c r="I14726" s="40" t="s">
        <v>18</v>
      </c>
      <c r="J14726" s="40" t="str">
        <f>HYPERLINK("https://stock.pstatic.net/stock-research/company/39/20250207_company_199169000.pdf","PDF")</f>
        <v>PDF</v>
      </c>
      <c r="K14726" s="12" t="s">
        <v>28186</v>
      </c>
    </row>
    <row r="14727" spans="1:12" x14ac:dyDescent="0.45">
      <c r="A14727" s="12" t="s">
        <v>27991</v>
      </c>
      <c r="B14727" s="12" t="s">
        <v>2425</v>
      </c>
      <c r="C14727" s="13" t="s">
        <v>2426</v>
      </c>
      <c r="D14727" s="13" t="s">
        <v>23</v>
      </c>
      <c r="E14727" s="12" t="s">
        <v>16</v>
      </c>
      <c r="F14727" s="14">
        <v>135000</v>
      </c>
      <c r="G14727" s="14">
        <v>112700</v>
      </c>
      <c r="H14727" s="13" t="s">
        <v>28187</v>
      </c>
      <c r="I14727" s="40" t="s">
        <v>18</v>
      </c>
      <c r="J14727" s="40" t="str">
        <f>HYPERLINK("https://stock.pstatic.net/stock-research/company/21/20250207_company_17916000.pdf","PDF")</f>
        <v>PDF</v>
      </c>
      <c r="K14727" s="12" t="s">
        <v>28188</v>
      </c>
      <c r="L14727" s="20">
        <v>0.19787045252883759</v>
      </c>
    </row>
    <row r="14728" spans="1:12" x14ac:dyDescent="0.45">
      <c r="A14728" s="12" t="s">
        <v>27991</v>
      </c>
      <c r="B14728" s="12" t="s">
        <v>330</v>
      </c>
      <c r="C14728" s="13" t="s">
        <v>331</v>
      </c>
      <c r="D14728" s="13" t="s">
        <v>23</v>
      </c>
      <c r="E14728" s="12" t="s">
        <v>16</v>
      </c>
      <c r="F14728" s="14">
        <v>26000</v>
      </c>
      <c r="G14728" s="14">
        <v>21450</v>
      </c>
      <c r="H14728" s="13" t="s">
        <v>2130</v>
      </c>
      <c r="I14728" s="40" t="s">
        <v>18</v>
      </c>
      <c r="J14728" s="40" t="str">
        <f>HYPERLINK("https://stock.pstatic.net/stock-research/company/21/20250207_company_556345000.pdf","PDF")</f>
        <v>PDF</v>
      </c>
      <c r="K14728" s="12" t="s">
        <v>28189</v>
      </c>
      <c r="L14728" s="20">
        <v>0.2121212121212121</v>
      </c>
    </row>
    <row r="14729" spans="1:12" x14ac:dyDescent="0.45">
      <c r="A14729" s="12" t="s">
        <v>27991</v>
      </c>
      <c r="B14729" s="12" t="s">
        <v>13410</v>
      </c>
      <c r="C14729" s="13" t="s">
        <v>13411</v>
      </c>
      <c r="D14729" s="13" t="s">
        <v>179</v>
      </c>
      <c r="E14729" s="12" t="s">
        <v>16</v>
      </c>
      <c r="F14729" s="14">
        <v>170000</v>
      </c>
      <c r="G14729" s="14">
        <v>115600</v>
      </c>
      <c r="H14729" s="13" t="s">
        <v>28190</v>
      </c>
      <c r="I14729" s="40" t="s">
        <v>18</v>
      </c>
      <c r="J14729" s="40" t="str">
        <f>HYPERLINK("https://stock.pstatic.net/stock-research/company/31/20250207_company_783825000.pdf","PDF")</f>
        <v>PDF</v>
      </c>
      <c r="K14729" s="12" t="s">
        <v>28191</v>
      </c>
      <c r="L14729" s="20">
        <v>0.47058823529411759</v>
      </c>
    </row>
    <row r="14730" spans="1:12" x14ac:dyDescent="0.45">
      <c r="A14730" s="12" t="s">
        <v>27991</v>
      </c>
      <c r="B14730" s="12" t="s">
        <v>2944</v>
      </c>
      <c r="C14730" s="13" t="s">
        <v>2945</v>
      </c>
      <c r="D14730" s="13" t="s">
        <v>23</v>
      </c>
      <c r="E14730" s="12" t="s">
        <v>16</v>
      </c>
      <c r="F14730" s="14">
        <v>14000</v>
      </c>
      <c r="G14730" s="14">
        <v>11760</v>
      </c>
      <c r="H14730" s="13" t="s">
        <v>28192</v>
      </c>
      <c r="I14730" s="40" t="s">
        <v>18</v>
      </c>
      <c r="J14730" s="40" t="str">
        <f>HYPERLINK("https://stock.pstatic.net/stock-research/company/21/20250207_company_981374000.pdf","PDF")</f>
        <v>PDF</v>
      </c>
      <c r="K14730" s="12" t="s">
        <v>28193</v>
      </c>
      <c r="L14730" s="20">
        <v>0.19047619047619049</v>
      </c>
    </row>
    <row r="14731" spans="1:12" x14ac:dyDescent="0.45">
      <c r="A14731" s="12" t="s">
        <v>27991</v>
      </c>
      <c r="B14731" s="12" t="s">
        <v>2435</v>
      </c>
      <c r="C14731" s="13" t="s">
        <v>2436</v>
      </c>
      <c r="D14731" s="13" t="s">
        <v>34</v>
      </c>
      <c r="E14731" s="12" t="s">
        <v>35</v>
      </c>
      <c r="F14731" s="14">
        <v>373000</v>
      </c>
      <c r="G14731" s="14">
        <v>303000</v>
      </c>
      <c r="H14731" s="13" t="s">
        <v>28194</v>
      </c>
      <c r="I14731" s="40" t="s">
        <v>18</v>
      </c>
      <c r="J14731" s="40" t="str">
        <f>HYPERLINK("https://stock.pstatic.net/stock-research/company/61/20250207_company_377048000.pdf","PDF")</f>
        <v>PDF</v>
      </c>
      <c r="K14731" s="12" t="s">
        <v>28195</v>
      </c>
      <c r="L14731" s="20">
        <v>0.23102310231023099</v>
      </c>
    </row>
    <row r="14732" spans="1:12" x14ac:dyDescent="0.45">
      <c r="A14732" s="12" t="s">
        <v>27991</v>
      </c>
      <c r="B14732" s="12" t="s">
        <v>352</v>
      </c>
      <c r="C14732" s="13" t="s">
        <v>353</v>
      </c>
      <c r="D14732" s="13" t="s">
        <v>23</v>
      </c>
      <c r="E14732" s="12" t="s">
        <v>16</v>
      </c>
      <c r="F14732" s="14">
        <v>100000</v>
      </c>
      <c r="G14732" s="14">
        <v>71500</v>
      </c>
      <c r="H14732" s="13" t="s">
        <v>28196</v>
      </c>
      <c r="I14732" s="40" t="s">
        <v>18</v>
      </c>
      <c r="J14732" s="40" t="str">
        <f>HYPERLINK("https://stock.pstatic.net/stock-research/company/21/20250207_company_412720000.pdf","PDF")</f>
        <v>PDF</v>
      </c>
      <c r="K14732" s="12" t="s">
        <v>28197</v>
      </c>
      <c r="L14732" s="20">
        <v>0.39860139860139859</v>
      </c>
    </row>
    <row r="14733" spans="1:12" x14ac:dyDescent="0.45">
      <c r="A14733" s="12" t="s">
        <v>27991</v>
      </c>
      <c r="B14733" s="12" t="s">
        <v>1690</v>
      </c>
      <c r="C14733" s="13" t="s">
        <v>1691</v>
      </c>
      <c r="D14733" s="13" t="s">
        <v>23</v>
      </c>
      <c r="E14733" s="12" t="s">
        <v>16</v>
      </c>
      <c r="F14733" s="14">
        <v>150000</v>
      </c>
      <c r="G14733" s="14">
        <v>124500</v>
      </c>
      <c r="H14733" s="13" t="s">
        <v>28198</v>
      </c>
      <c r="I14733" s="40" t="s">
        <v>18</v>
      </c>
      <c r="J14733" s="40" t="str">
        <f>HYPERLINK("https://stock.pstatic.net/stock-research/company/21/20250207_company_641058000.pdf","PDF")</f>
        <v>PDF</v>
      </c>
      <c r="K14733" s="12" t="s">
        <v>28199</v>
      </c>
      <c r="L14733" s="20">
        <v>0.2048192771084337</v>
      </c>
    </row>
    <row r="14734" spans="1:12" x14ac:dyDescent="0.45">
      <c r="A14734" s="12" t="s">
        <v>27991</v>
      </c>
      <c r="B14734" s="12" t="s">
        <v>1552</v>
      </c>
      <c r="C14734" s="13" t="s">
        <v>9704</v>
      </c>
      <c r="D14734" s="13" t="s">
        <v>23</v>
      </c>
      <c r="E14734" s="12" t="s">
        <v>50</v>
      </c>
      <c r="F14734" s="14">
        <v>77000</v>
      </c>
      <c r="G14734" s="14">
        <v>70900</v>
      </c>
      <c r="H14734" s="13" t="s">
        <v>28200</v>
      </c>
      <c r="I14734" s="40" t="s">
        <v>18</v>
      </c>
      <c r="J14734" s="40" t="str">
        <f>HYPERLINK("https://stock.pstatic.net/stock-research/company/21/20250207_company_978949000.pdf","PDF")</f>
        <v>PDF</v>
      </c>
      <c r="K14734" s="12" t="s">
        <v>28201</v>
      </c>
      <c r="L14734" s="20">
        <v>8.6036671368124124E-2</v>
      </c>
    </row>
    <row r="14735" spans="1:12" x14ac:dyDescent="0.45">
      <c r="A14735" s="12" t="s">
        <v>27991</v>
      </c>
      <c r="B14735" s="12" t="s">
        <v>330</v>
      </c>
      <c r="C14735" s="13" t="s">
        <v>331</v>
      </c>
      <c r="D14735" s="13" t="s">
        <v>34</v>
      </c>
      <c r="E14735" s="12" t="s">
        <v>35</v>
      </c>
      <c r="F14735" s="14">
        <v>30000</v>
      </c>
      <c r="G14735" s="14">
        <v>21450</v>
      </c>
      <c r="H14735" s="13" t="s">
        <v>28202</v>
      </c>
      <c r="I14735" s="40" t="s">
        <v>18</v>
      </c>
      <c r="J14735" s="40" t="str">
        <f>HYPERLINK("https://stock.pstatic.net/stock-research/company/61/20250207_company_251767000.pdf","PDF")</f>
        <v>PDF</v>
      </c>
      <c r="K14735" s="12" t="s">
        <v>28203</v>
      </c>
      <c r="L14735" s="20">
        <v>0.39860139860139859</v>
      </c>
    </row>
    <row r="14736" spans="1:12" x14ac:dyDescent="0.45">
      <c r="A14736" s="12" t="s">
        <v>27991</v>
      </c>
      <c r="B14736" s="12" t="s">
        <v>1690</v>
      </c>
      <c r="C14736" s="13" t="s">
        <v>1691</v>
      </c>
      <c r="D14736" s="13" t="s">
        <v>34</v>
      </c>
      <c r="E14736" s="12" t="s">
        <v>35</v>
      </c>
      <c r="F14736" s="14">
        <v>170000</v>
      </c>
      <c r="G14736" s="14">
        <v>124500</v>
      </c>
      <c r="H14736" s="13" t="s">
        <v>28204</v>
      </c>
      <c r="I14736" s="40" t="s">
        <v>18</v>
      </c>
      <c r="J14736" s="40" t="str">
        <f>HYPERLINK("https://stock.pstatic.net/stock-research/company/61/20250207_company_814735000.pdf","PDF")</f>
        <v>PDF</v>
      </c>
      <c r="K14736" s="12" t="s">
        <v>28205</v>
      </c>
      <c r="L14736" s="20">
        <v>0.36546184738955823</v>
      </c>
    </row>
    <row r="14737" spans="1:12" x14ac:dyDescent="0.45">
      <c r="A14737" s="12" t="s">
        <v>27991</v>
      </c>
      <c r="B14737" s="12" t="s">
        <v>732</v>
      </c>
      <c r="C14737" s="13" t="s">
        <v>733</v>
      </c>
      <c r="D14737" s="13" t="s">
        <v>44</v>
      </c>
      <c r="E14737" s="12" t="s">
        <v>45</v>
      </c>
      <c r="F14737" s="14">
        <v>140000</v>
      </c>
      <c r="G14737" s="14">
        <v>127000</v>
      </c>
      <c r="H14737" s="13" t="s">
        <v>28206</v>
      </c>
      <c r="I14737" s="40" t="s">
        <v>18</v>
      </c>
      <c r="J14737" s="40" t="str">
        <f>HYPERLINK("https://stock.pstatic.net/stock-research/company/39/20250207_company_146214000.pdf","PDF")</f>
        <v>PDF</v>
      </c>
      <c r="K14737" s="12" t="s">
        <v>28207</v>
      </c>
      <c r="L14737" s="20">
        <v>0.10236220472440941</v>
      </c>
    </row>
    <row r="14738" spans="1:12" x14ac:dyDescent="0.45">
      <c r="A14738" s="12" t="s">
        <v>27991</v>
      </c>
      <c r="B14738" s="12" t="s">
        <v>3831</v>
      </c>
      <c r="C14738" s="13" t="s">
        <v>3832</v>
      </c>
      <c r="D14738" s="13" t="s">
        <v>34</v>
      </c>
      <c r="E14738" s="12" t="s">
        <v>35</v>
      </c>
      <c r="F14738" s="14">
        <v>60000</v>
      </c>
      <c r="G14738" s="14">
        <v>40700</v>
      </c>
      <c r="H14738" s="13" t="s">
        <v>28208</v>
      </c>
      <c r="I14738" s="40" t="s">
        <v>18</v>
      </c>
      <c r="J14738" s="40" t="str">
        <f>HYPERLINK("https://stock.pstatic.net/stock-research/company/61/20250207_company_572394000.pdf","PDF")</f>
        <v>PDF</v>
      </c>
      <c r="K14738" s="12" t="s">
        <v>28209</v>
      </c>
      <c r="L14738" s="20">
        <v>0.47420147420147418</v>
      </c>
    </row>
    <row r="14739" spans="1:12" x14ac:dyDescent="0.45">
      <c r="A14739" s="12" t="s">
        <v>27991</v>
      </c>
      <c r="B14739" s="12" t="s">
        <v>1690</v>
      </c>
      <c r="C14739" s="13" t="s">
        <v>1691</v>
      </c>
      <c r="D14739" s="13" t="s">
        <v>179</v>
      </c>
      <c r="E14739" s="12" t="s">
        <v>16</v>
      </c>
      <c r="F14739" s="14">
        <v>145000</v>
      </c>
      <c r="G14739" s="14">
        <v>124500</v>
      </c>
      <c r="H14739" s="13" t="s">
        <v>28210</v>
      </c>
      <c r="I14739" s="40" t="s">
        <v>18</v>
      </c>
      <c r="J14739" s="40" t="str">
        <f>HYPERLINK("https://stock.pstatic.net/stock-research/company/31/20250207_company_420428000.pdf","PDF")</f>
        <v>PDF</v>
      </c>
      <c r="K14739" s="12" t="s">
        <v>28211</v>
      </c>
      <c r="L14739" s="20">
        <v>0.1646586345381526</v>
      </c>
    </row>
    <row r="14740" spans="1:12" x14ac:dyDescent="0.45">
      <c r="A14740" s="12" t="s">
        <v>27991</v>
      </c>
      <c r="B14740" s="12" t="s">
        <v>3154</v>
      </c>
      <c r="C14740" s="13" t="s">
        <v>3155</v>
      </c>
      <c r="D14740" s="13" t="s">
        <v>34</v>
      </c>
      <c r="E14740" s="12" t="s">
        <v>35</v>
      </c>
      <c r="F14740" s="14">
        <v>8000</v>
      </c>
      <c r="G14740" s="14">
        <v>5100</v>
      </c>
      <c r="H14740" s="13" t="s">
        <v>28212</v>
      </c>
      <c r="I14740" s="40" t="s">
        <v>18</v>
      </c>
      <c r="J14740" s="40" t="str">
        <f>HYPERLINK("https://stock.pstatic.net/stock-research/company/61/20250207_company_217476000.pdf","PDF")</f>
        <v>PDF</v>
      </c>
      <c r="K14740" s="12" t="s">
        <v>28213</v>
      </c>
      <c r="L14740" s="20">
        <v>0.56862745098039214</v>
      </c>
    </row>
    <row r="14741" spans="1:12" x14ac:dyDescent="0.45">
      <c r="A14741" s="12" t="s">
        <v>27991</v>
      </c>
      <c r="B14741" s="12" t="s">
        <v>1602</v>
      </c>
      <c r="C14741" s="13" t="s">
        <v>1603</v>
      </c>
      <c r="D14741" s="13" t="s">
        <v>44</v>
      </c>
      <c r="E14741" s="12" t="s">
        <v>35</v>
      </c>
      <c r="F14741" s="14">
        <v>41000</v>
      </c>
      <c r="G14741" s="14">
        <v>22600</v>
      </c>
      <c r="H14741" s="13" t="s">
        <v>28214</v>
      </c>
      <c r="I14741" s="40" t="s">
        <v>18</v>
      </c>
      <c r="J14741" s="40" t="str">
        <f>HYPERLINK("https://stock.pstatic.net/stock-research/company/39/20250207_company_900144000.pdf","PDF")</f>
        <v>PDF</v>
      </c>
      <c r="K14741" s="12" t="s">
        <v>28215</v>
      </c>
      <c r="L14741" s="20">
        <v>0.81415929203539827</v>
      </c>
    </row>
    <row r="14742" spans="1:12" x14ac:dyDescent="0.45">
      <c r="A14742" s="12" t="s">
        <v>27991</v>
      </c>
      <c r="B14742" s="12" t="s">
        <v>1686</v>
      </c>
      <c r="C14742" s="13" t="s">
        <v>1687</v>
      </c>
      <c r="D14742" s="13" t="s">
        <v>44</v>
      </c>
      <c r="E14742" s="12" t="s">
        <v>35</v>
      </c>
      <c r="F14742" s="14">
        <v>1200000</v>
      </c>
      <c r="G14742" s="14">
        <v>809000</v>
      </c>
      <c r="H14742" s="13" t="s">
        <v>28216</v>
      </c>
      <c r="I14742" s="40" t="s">
        <v>18</v>
      </c>
      <c r="J14742" s="40" t="str">
        <f>HYPERLINK("https://stock.pstatic.net/stock-research/company/39/20250207_company_133602000.pdf","PDF")</f>
        <v>PDF</v>
      </c>
      <c r="K14742" s="12" t="s">
        <v>28217</v>
      </c>
      <c r="L14742" s="20">
        <v>0.48331273176761441</v>
      </c>
    </row>
    <row r="14743" spans="1:12" x14ac:dyDescent="0.45">
      <c r="A14743" s="12" t="s">
        <v>27991</v>
      </c>
      <c r="B14743" s="12" t="s">
        <v>2425</v>
      </c>
      <c r="C14743" s="13" t="s">
        <v>2426</v>
      </c>
      <c r="D14743" s="13" t="s">
        <v>34</v>
      </c>
      <c r="E14743" s="12" t="s">
        <v>35</v>
      </c>
      <c r="F14743" s="14">
        <v>150000</v>
      </c>
      <c r="G14743" s="14">
        <v>112700</v>
      </c>
      <c r="H14743" s="13" t="s">
        <v>28218</v>
      </c>
      <c r="I14743" s="40" t="s">
        <v>18</v>
      </c>
      <c r="J14743" s="40" t="str">
        <f>HYPERLINK("https://stock.pstatic.net/stock-research/company/61/20250207_company_984771000.pdf","PDF")</f>
        <v>PDF</v>
      </c>
      <c r="K14743" s="12" t="s">
        <v>28219</v>
      </c>
      <c r="L14743" s="20">
        <v>0.33096716947648619</v>
      </c>
    </row>
    <row r="14744" spans="1:12" x14ac:dyDescent="0.45">
      <c r="A14744" s="12" t="s">
        <v>27991</v>
      </c>
      <c r="B14744" s="12" t="s">
        <v>352</v>
      </c>
      <c r="C14744" s="13" t="s">
        <v>353</v>
      </c>
      <c r="D14744" s="13" t="s">
        <v>44</v>
      </c>
      <c r="E14744" s="12" t="s">
        <v>35</v>
      </c>
      <c r="F14744" s="14">
        <v>105000</v>
      </c>
      <c r="G14744" s="14">
        <v>71500</v>
      </c>
      <c r="H14744" s="13" t="s">
        <v>28220</v>
      </c>
      <c r="I14744" s="40" t="s">
        <v>18</v>
      </c>
      <c r="J14744" s="40" t="str">
        <f>HYPERLINK("https://stock.pstatic.net/stock-research/company/39/20250207_company_879087000.pdf","PDF")</f>
        <v>PDF</v>
      </c>
      <c r="K14744" s="12" t="s">
        <v>28221</v>
      </c>
      <c r="L14744" s="20">
        <v>0.46853146853146849</v>
      </c>
    </row>
    <row r="14745" spans="1:12" x14ac:dyDescent="0.45">
      <c r="A14745" s="12" t="s">
        <v>27991</v>
      </c>
      <c r="B14745" s="12" t="s">
        <v>1552</v>
      </c>
      <c r="C14745" s="13" t="s">
        <v>9704</v>
      </c>
      <c r="D14745" s="13" t="s">
        <v>44</v>
      </c>
      <c r="E14745" s="12" t="s">
        <v>45</v>
      </c>
      <c r="F14745" s="14">
        <v>82000</v>
      </c>
      <c r="G14745" s="14">
        <v>70900</v>
      </c>
      <c r="H14745" s="13" t="s">
        <v>28222</v>
      </c>
      <c r="I14745" s="40" t="s">
        <v>18</v>
      </c>
      <c r="J14745" s="40" t="str">
        <f>HYPERLINK("https://stock.pstatic.net/stock-research/company/39/20250207_company_108320000.pdf","PDF")</f>
        <v>PDF</v>
      </c>
      <c r="K14745" s="12" t="s">
        <v>28223</v>
      </c>
      <c r="L14745" s="20">
        <v>0.15655853314527499</v>
      </c>
    </row>
    <row r="14746" spans="1:12" x14ac:dyDescent="0.45">
      <c r="A14746" s="12" t="s">
        <v>27991</v>
      </c>
      <c r="B14746" s="12" t="s">
        <v>2944</v>
      </c>
      <c r="C14746" s="13" t="s">
        <v>2945</v>
      </c>
      <c r="D14746" s="13" t="s">
        <v>44</v>
      </c>
      <c r="E14746" s="12" t="s">
        <v>35</v>
      </c>
      <c r="F14746" s="14">
        <v>16000</v>
      </c>
      <c r="G14746" s="14">
        <v>11760</v>
      </c>
      <c r="H14746" s="13" t="s">
        <v>28224</v>
      </c>
      <c r="I14746" s="40" t="s">
        <v>18</v>
      </c>
      <c r="J14746" s="40" t="str">
        <f>HYPERLINK("https://stock.pstatic.net/stock-research/company/39/20250207_company_110249000.pdf","PDF")</f>
        <v>PDF</v>
      </c>
      <c r="K14746" s="12" t="s">
        <v>28225</v>
      </c>
      <c r="L14746" s="20">
        <v>0.36054421768707479</v>
      </c>
    </row>
    <row r="14747" spans="1:12" x14ac:dyDescent="0.45">
      <c r="A14747" s="12" t="s">
        <v>27991</v>
      </c>
      <c r="B14747" s="12" t="s">
        <v>3831</v>
      </c>
      <c r="C14747" s="13" t="s">
        <v>3832</v>
      </c>
      <c r="D14747" s="13" t="s">
        <v>44</v>
      </c>
      <c r="E14747" s="12" t="s">
        <v>35</v>
      </c>
      <c r="F14747" s="14">
        <v>59000</v>
      </c>
      <c r="G14747" s="14">
        <v>40700</v>
      </c>
      <c r="H14747" s="13" t="s">
        <v>28226</v>
      </c>
      <c r="I14747" s="40" t="s">
        <v>18</v>
      </c>
      <c r="J14747" s="40" t="str">
        <f>HYPERLINK("https://stock.pstatic.net/stock-research/company/39/20250207_company_471510000.pdf","PDF")</f>
        <v>PDF</v>
      </c>
      <c r="K14747" s="12" t="s">
        <v>28227</v>
      </c>
      <c r="L14747" s="20">
        <v>0.44963144963144958</v>
      </c>
    </row>
    <row r="14748" spans="1:12" x14ac:dyDescent="0.45">
      <c r="A14748" s="12" t="s">
        <v>27991</v>
      </c>
      <c r="B14748" s="12" t="s">
        <v>3688</v>
      </c>
      <c r="C14748" s="13" t="s">
        <v>3689</v>
      </c>
      <c r="D14748" s="13" t="s">
        <v>44</v>
      </c>
      <c r="E14748" s="12" t="s">
        <v>35</v>
      </c>
      <c r="F14748" s="14">
        <v>76000</v>
      </c>
      <c r="G14748" s="14">
        <v>58000</v>
      </c>
      <c r="H14748" s="13" t="s">
        <v>28228</v>
      </c>
      <c r="I14748" s="40" t="s">
        <v>18</v>
      </c>
      <c r="J14748" s="40" t="str">
        <f>HYPERLINK("https://stock.pstatic.net/stock-research/company/39/20250207_company_380056000.pdf","PDF")</f>
        <v>PDF</v>
      </c>
      <c r="K14748" s="12" t="s">
        <v>28229</v>
      </c>
      <c r="L14748" s="20">
        <v>0.31034482758620691</v>
      </c>
    </row>
    <row r="14749" spans="1:12" x14ac:dyDescent="0.45">
      <c r="A14749" s="12" t="s">
        <v>27991</v>
      </c>
      <c r="B14749" s="12" t="s">
        <v>657</v>
      </c>
      <c r="C14749" s="13" t="s">
        <v>658</v>
      </c>
      <c r="D14749" s="13" t="s">
        <v>53</v>
      </c>
      <c r="E14749" s="12" t="s">
        <v>16</v>
      </c>
      <c r="F14749" s="14">
        <v>27000</v>
      </c>
      <c r="G14749" s="14">
        <v>19700</v>
      </c>
      <c r="H14749" s="13" t="s">
        <v>28230</v>
      </c>
      <c r="I14749" s="40" t="s">
        <v>18</v>
      </c>
      <c r="J14749" s="40" t="str">
        <f>HYPERLINK("https://stock.pstatic.net/stock-research/company/40/20250207_company_804876000.pdf","PDF")</f>
        <v>PDF</v>
      </c>
      <c r="K14749" s="12" t="s">
        <v>28231</v>
      </c>
      <c r="L14749" s="20">
        <v>0.37055837563451782</v>
      </c>
    </row>
    <row r="14750" spans="1:12" x14ac:dyDescent="0.45">
      <c r="A14750" s="12" t="s">
        <v>27991</v>
      </c>
      <c r="B14750" s="12" t="s">
        <v>3204</v>
      </c>
      <c r="C14750" s="13" t="s">
        <v>3205</v>
      </c>
      <c r="D14750" s="13" t="s">
        <v>53</v>
      </c>
      <c r="E14750" s="12" t="s">
        <v>16</v>
      </c>
      <c r="F14750" s="14">
        <v>4800</v>
      </c>
      <c r="G14750" s="14">
        <v>3360</v>
      </c>
      <c r="H14750" s="13" t="s">
        <v>28232</v>
      </c>
      <c r="I14750" s="40" t="s">
        <v>18</v>
      </c>
      <c r="J14750" s="40" t="str">
        <f>HYPERLINK("https://stock.pstatic.net/stock-research/company/40/20250207_company_790795000.pdf","PDF")</f>
        <v>PDF</v>
      </c>
      <c r="K14750" s="12" t="s">
        <v>28233</v>
      </c>
      <c r="L14750" s="20">
        <v>0.42857142857142849</v>
      </c>
    </row>
    <row r="14751" spans="1:12" x14ac:dyDescent="0.45">
      <c r="A14751" s="12" t="s">
        <v>27991</v>
      </c>
      <c r="B14751" s="12" t="s">
        <v>8204</v>
      </c>
      <c r="C14751" s="13" t="s">
        <v>8205</v>
      </c>
      <c r="D14751" s="13" t="s">
        <v>53</v>
      </c>
      <c r="E14751" s="12" t="s">
        <v>16</v>
      </c>
      <c r="F14751" s="14">
        <v>110000</v>
      </c>
      <c r="G14751" s="14">
        <v>88000</v>
      </c>
      <c r="H14751" s="13" t="s">
        <v>28234</v>
      </c>
      <c r="I14751" s="40" t="s">
        <v>18</v>
      </c>
      <c r="J14751" s="40" t="str">
        <f>HYPERLINK("https://stock.pstatic.net/stock-research/company/1/20250207_company_511921000.pdf","PDF")</f>
        <v>PDF</v>
      </c>
      <c r="K14751" s="12" t="s">
        <v>28235</v>
      </c>
      <c r="L14751" s="20">
        <v>0.25</v>
      </c>
    </row>
    <row r="14752" spans="1:12" x14ac:dyDescent="0.45">
      <c r="A14752" s="12" t="s">
        <v>27991</v>
      </c>
      <c r="B14752" s="12" t="s">
        <v>2191</v>
      </c>
      <c r="C14752" s="13" t="s">
        <v>2192</v>
      </c>
      <c r="D14752" s="13" t="s">
        <v>15</v>
      </c>
      <c r="E14752" s="12" t="s">
        <v>16</v>
      </c>
      <c r="F14752" s="14">
        <v>90000</v>
      </c>
      <c r="G14752" s="14">
        <v>50800</v>
      </c>
      <c r="H14752" s="13" t="s">
        <v>28236</v>
      </c>
      <c r="I14752" s="40" t="s">
        <v>18</v>
      </c>
      <c r="J14752" s="40" t="str">
        <f>HYPERLINK("https://stock.pstatic.net/stock-research/company/29/20250207_company_789274000.pdf","PDF")</f>
        <v>PDF</v>
      </c>
      <c r="K14752" s="12" t="s">
        <v>28237</v>
      </c>
      <c r="L14752" s="20">
        <v>0.77165354330708658</v>
      </c>
    </row>
    <row r="14753" spans="1:12" x14ac:dyDescent="0.45">
      <c r="A14753" s="12" t="s">
        <v>28238</v>
      </c>
      <c r="B14753" s="12" t="s">
        <v>503</v>
      </c>
      <c r="C14753" s="13" t="s">
        <v>504</v>
      </c>
      <c r="D14753" s="13" t="s">
        <v>276</v>
      </c>
      <c r="E14753" s="12" t="s">
        <v>16</v>
      </c>
      <c r="F14753" s="14">
        <v>130000</v>
      </c>
      <c r="G14753" s="14">
        <v>80300</v>
      </c>
      <c r="H14753" s="13" t="s">
        <v>28239</v>
      </c>
      <c r="I14753" s="40" t="s">
        <v>18</v>
      </c>
      <c r="J14753" s="40" t="str">
        <f>HYPERLINK("https://stock.pstatic.net/stock-research/company/66/20250206_company_494213000.pdf","PDF")</f>
        <v>PDF</v>
      </c>
      <c r="K14753" s="12" t="s">
        <v>28240</v>
      </c>
      <c r="L14753" s="20">
        <v>0.61892901618929019</v>
      </c>
    </row>
    <row r="14754" spans="1:12" x14ac:dyDescent="0.45">
      <c r="A14754" s="12" t="s">
        <v>28238</v>
      </c>
      <c r="B14754" s="12" t="s">
        <v>2933</v>
      </c>
      <c r="C14754" s="13" t="s">
        <v>2934</v>
      </c>
      <c r="D14754" s="13" t="s">
        <v>276</v>
      </c>
      <c r="E14754" s="12" t="s">
        <v>16</v>
      </c>
      <c r="F14754" s="14">
        <v>95000</v>
      </c>
      <c r="G14754" s="14">
        <v>71600</v>
      </c>
      <c r="H14754" s="13" t="s">
        <v>28241</v>
      </c>
      <c r="I14754" s="40" t="s">
        <v>18</v>
      </c>
      <c r="J14754" s="40" t="str">
        <f>HYPERLINK("https://stock.pstatic.net/stock-research/company/66/20250206_company_197996000.pdf","PDF")</f>
        <v>PDF</v>
      </c>
      <c r="K14754" s="12" t="s">
        <v>28242</v>
      </c>
      <c r="L14754" s="20">
        <v>0.32681564245810057</v>
      </c>
    </row>
    <row r="14755" spans="1:12" x14ac:dyDescent="0.45">
      <c r="A14755" s="12" t="s">
        <v>28238</v>
      </c>
      <c r="B14755" s="12" t="s">
        <v>1686</v>
      </c>
      <c r="C14755" s="13" t="s">
        <v>1687</v>
      </c>
      <c r="D14755" s="13" t="s">
        <v>276</v>
      </c>
      <c r="E14755" s="12" t="s">
        <v>16</v>
      </c>
      <c r="F14755" s="14">
        <v>1000000</v>
      </c>
      <c r="G14755" s="14">
        <v>704000</v>
      </c>
      <c r="H14755" s="13" t="s">
        <v>28243</v>
      </c>
      <c r="I14755" s="40" t="s">
        <v>18</v>
      </c>
      <c r="J14755" s="40" t="str">
        <f>HYPERLINK("https://stock.pstatic.net/stock-research/company/66/20250206_company_72079000.pdf","PDF")</f>
        <v>PDF</v>
      </c>
      <c r="K14755" s="12" t="s">
        <v>28244</v>
      </c>
      <c r="L14755" s="20">
        <v>0.42045454545454553</v>
      </c>
    </row>
    <row r="14756" spans="1:12" x14ac:dyDescent="0.45">
      <c r="A14756" s="12" t="s">
        <v>28238</v>
      </c>
      <c r="B14756" s="12" t="s">
        <v>2365</v>
      </c>
      <c r="C14756" s="13" t="s">
        <v>2366</v>
      </c>
      <c r="D14756" s="13" t="s">
        <v>276</v>
      </c>
      <c r="E14756" s="12" t="s">
        <v>16</v>
      </c>
      <c r="F14756" s="14">
        <v>140000</v>
      </c>
      <c r="G14756" s="14">
        <v>83100</v>
      </c>
      <c r="H14756" s="13" t="s">
        <v>28245</v>
      </c>
      <c r="I14756" s="40" t="s">
        <v>18</v>
      </c>
      <c r="J14756" s="40" t="str">
        <f>HYPERLINK("https://stock.pstatic.net/stock-research/company/66/20250206_company_231427000.pdf","PDF")</f>
        <v>PDF</v>
      </c>
      <c r="K14756" s="12" t="s">
        <v>28246</v>
      </c>
      <c r="L14756" s="20">
        <v>0.68471720818291215</v>
      </c>
    </row>
    <row r="14757" spans="1:12" x14ac:dyDescent="0.45">
      <c r="A14757" s="12" t="s">
        <v>28238</v>
      </c>
      <c r="B14757" s="12" t="s">
        <v>174</v>
      </c>
      <c r="C14757" s="13" t="s">
        <v>44</v>
      </c>
      <c r="D14757" s="13" t="s">
        <v>60</v>
      </c>
      <c r="E14757" s="12" t="s">
        <v>35</v>
      </c>
      <c r="F14757" s="14">
        <v>163000</v>
      </c>
      <c r="G14757" s="14">
        <v>117000</v>
      </c>
      <c r="H14757" s="13" t="s">
        <v>28247</v>
      </c>
      <c r="I14757" s="40" t="s">
        <v>18</v>
      </c>
      <c r="J14757" s="40" t="str">
        <f>HYPERLINK("https://stock.pstatic.net/stock-research/company/62/20250206_company_114824000.pdf","PDF")</f>
        <v>PDF</v>
      </c>
      <c r="K14757" s="12" t="s">
        <v>28248</v>
      </c>
      <c r="L14757" s="20">
        <v>0.39316239316239321</v>
      </c>
    </row>
    <row r="14758" spans="1:12" x14ac:dyDescent="0.45">
      <c r="A14758" s="12" t="s">
        <v>28238</v>
      </c>
      <c r="B14758" s="12" t="s">
        <v>1686</v>
      </c>
      <c r="C14758" s="13" t="s">
        <v>1687</v>
      </c>
      <c r="D14758" s="13" t="s">
        <v>60</v>
      </c>
      <c r="E14758" s="12" t="s">
        <v>35</v>
      </c>
      <c r="F14758" s="14">
        <v>970000</v>
      </c>
      <c r="G14758" s="14">
        <v>704000</v>
      </c>
      <c r="H14758" s="13" t="s">
        <v>28249</v>
      </c>
      <c r="I14758" s="40" t="s">
        <v>18</v>
      </c>
      <c r="J14758" s="40" t="str">
        <f>HYPERLINK("https://stock.pstatic.net/stock-research/company/62/20250206_company_63331000.pdf","PDF")</f>
        <v>PDF</v>
      </c>
      <c r="K14758" s="12" t="s">
        <v>28250</v>
      </c>
      <c r="L14758" s="20">
        <v>0.37784090909090912</v>
      </c>
    </row>
    <row r="14759" spans="1:12" x14ac:dyDescent="0.45">
      <c r="A14759" s="12" t="s">
        <v>28238</v>
      </c>
      <c r="B14759" s="12" t="s">
        <v>2365</v>
      </c>
      <c r="C14759" s="13" t="s">
        <v>2366</v>
      </c>
      <c r="D14759" s="13" t="s">
        <v>60</v>
      </c>
      <c r="E14759" s="12" t="s">
        <v>35</v>
      </c>
      <c r="F14759" s="14">
        <v>130000</v>
      </c>
      <c r="G14759" s="14">
        <v>83100</v>
      </c>
      <c r="H14759" s="13" t="s">
        <v>28251</v>
      </c>
      <c r="I14759" s="40" t="s">
        <v>18</v>
      </c>
      <c r="J14759" s="40" t="str">
        <f>HYPERLINK("https://stock.pstatic.net/stock-research/company/62/20250206_company_26771000.pdf","PDF")</f>
        <v>PDF</v>
      </c>
      <c r="K14759" s="12" t="s">
        <v>28252</v>
      </c>
      <c r="L14759" s="20">
        <v>0.56438026474127556</v>
      </c>
    </row>
    <row r="14760" spans="1:12" x14ac:dyDescent="0.45">
      <c r="A14760" s="12" t="s">
        <v>28238</v>
      </c>
      <c r="B14760" s="12" t="s">
        <v>744</v>
      </c>
      <c r="C14760" s="13" t="s">
        <v>745</v>
      </c>
      <c r="D14760" s="13" t="s">
        <v>65</v>
      </c>
      <c r="E14760" s="12" t="s">
        <v>35</v>
      </c>
      <c r="F14760" s="14">
        <v>17000</v>
      </c>
      <c r="G14760" s="14">
        <v>13400</v>
      </c>
      <c r="H14760" s="13" t="s">
        <v>28253</v>
      </c>
      <c r="I14760" s="40" t="s">
        <v>18</v>
      </c>
      <c r="J14760" s="40" t="str">
        <f>HYPERLINK("https://stock.pstatic.net/stock-research/company/57/20250206_company_128973000.pdf","PDF")</f>
        <v>PDF</v>
      </c>
      <c r="K14760" s="12" t="s">
        <v>28254</v>
      </c>
      <c r="L14760" s="20">
        <v>0.26865671641791039</v>
      </c>
    </row>
    <row r="14761" spans="1:12" x14ac:dyDescent="0.45">
      <c r="A14761" s="12" t="s">
        <v>28238</v>
      </c>
      <c r="B14761" s="12" t="s">
        <v>1300</v>
      </c>
      <c r="C14761" s="13" t="s">
        <v>1301</v>
      </c>
      <c r="D14761" s="13" t="s">
        <v>65</v>
      </c>
      <c r="E14761" s="12" t="s">
        <v>35</v>
      </c>
      <c r="F14761" s="14">
        <v>220000</v>
      </c>
      <c r="G14761" s="14">
        <v>144500</v>
      </c>
      <c r="H14761" s="13" t="s">
        <v>28255</v>
      </c>
      <c r="I14761" s="40" t="s">
        <v>18</v>
      </c>
      <c r="J14761" s="40" t="str">
        <f>HYPERLINK("https://stock.pstatic.net/stock-research/company/57/20250206_company_834637000.pdf","PDF")</f>
        <v>PDF</v>
      </c>
      <c r="K14761" s="12" t="s">
        <v>28256</v>
      </c>
      <c r="L14761" s="20">
        <v>0.52249134948096887</v>
      </c>
    </row>
    <row r="14762" spans="1:12" x14ac:dyDescent="0.45">
      <c r="A14762" s="12" t="s">
        <v>28238</v>
      </c>
      <c r="B14762" s="12" t="s">
        <v>2650</v>
      </c>
      <c r="C14762" s="13" t="s">
        <v>2651</v>
      </c>
      <c r="D14762" s="13" t="s">
        <v>65</v>
      </c>
      <c r="E14762" s="12" t="s">
        <v>35</v>
      </c>
      <c r="F14762" s="14">
        <v>28000</v>
      </c>
      <c r="G14762" s="14">
        <v>22850</v>
      </c>
      <c r="H14762" s="13" t="s">
        <v>28257</v>
      </c>
      <c r="I14762" s="40" t="s">
        <v>18</v>
      </c>
      <c r="J14762" s="40" t="str">
        <f>HYPERLINK("https://stock.pstatic.net/stock-research/company/16/20250206_company_484548000.pdf","PDF")</f>
        <v>PDF</v>
      </c>
      <c r="K14762" s="12" t="s">
        <v>28258</v>
      </c>
      <c r="L14762" s="20">
        <v>0.22538293216630201</v>
      </c>
    </row>
    <row r="14763" spans="1:12" x14ac:dyDescent="0.45">
      <c r="A14763" s="12" t="s">
        <v>28238</v>
      </c>
      <c r="B14763" s="12" t="s">
        <v>2662</v>
      </c>
      <c r="C14763" s="13" t="s">
        <v>2663</v>
      </c>
      <c r="D14763" s="13" t="s">
        <v>15</v>
      </c>
      <c r="E14763" s="12" t="s">
        <v>16</v>
      </c>
      <c r="F14763" s="14">
        <v>38500</v>
      </c>
      <c r="G14763" s="14">
        <v>31950</v>
      </c>
      <c r="H14763" s="13" t="s">
        <v>28259</v>
      </c>
      <c r="I14763" s="40" t="s">
        <v>18</v>
      </c>
      <c r="J14763" s="40" t="str">
        <f>HYPERLINK("https://stock.pstatic.net/stock-research/company/29/20250206_company_792470000.pdf","PDF")</f>
        <v>PDF</v>
      </c>
      <c r="K14763" s="12" t="s">
        <v>28260</v>
      </c>
      <c r="L14763" s="20">
        <v>0.2050078247261346</v>
      </c>
    </row>
    <row r="14764" spans="1:12" x14ac:dyDescent="0.45">
      <c r="A14764" s="12" t="s">
        <v>28238</v>
      </c>
      <c r="B14764" s="12" t="s">
        <v>3280</v>
      </c>
      <c r="C14764" s="13" t="s">
        <v>3281</v>
      </c>
      <c r="D14764" s="13" t="s">
        <v>65</v>
      </c>
      <c r="E14764" s="12" t="s">
        <v>35</v>
      </c>
      <c r="F14764" s="14">
        <v>60000</v>
      </c>
      <c r="G14764" s="14">
        <v>40900</v>
      </c>
      <c r="H14764" s="13" t="s">
        <v>28261</v>
      </c>
      <c r="I14764" s="40" t="s">
        <v>18</v>
      </c>
      <c r="J14764" s="40" t="str">
        <f>HYPERLINK("https://stock.pstatic.net/stock-research/company/57/20250206_company_539077000.pdf","PDF")</f>
        <v>PDF</v>
      </c>
      <c r="K14764" s="12" t="s">
        <v>28262</v>
      </c>
      <c r="L14764" s="20">
        <v>0.4669926650366748</v>
      </c>
    </row>
    <row r="14765" spans="1:12" x14ac:dyDescent="0.45">
      <c r="A14765" s="12" t="s">
        <v>28238</v>
      </c>
      <c r="B14765" s="12" t="s">
        <v>2956</v>
      </c>
      <c r="C14765" s="13" t="s">
        <v>2957</v>
      </c>
      <c r="D14765" s="13" t="s">
        <v>65</v>
      </c>
      <c r="E14765" s="12" t="s">
        <v>1738</v>
      </c>
      <c r="F14765" s="14">
        <v>19000</v>
      </c>
      <c r="G14765" s="14">
        <v>17300</v>
      </c>
      <c r="H14765" s="13" t="s">
        <v>28263</v>
      </c>
      <c r="I14765" s="40" t="s">
        <v>18</v>
      </c>
      <c r="J14765" s="40" t="str">
        <f>HYPERLINK("https://stock.pstatic.net/stock-research/company/57/20250206_company_822814000.pdf","PDF")</f>
        <v>PDF</v>
      </c>
      <c r="K14765" s="12" t="s">
        <v>28264</v>
      </c>
      <c r="L14765" s="20">
        <v>9.8265895953757232E-2</v>
      </c>
    </row>
    <row r="14766" spans="1:12" x14ac:dyDescent="0.45">
      <c r="A14766" s="12" t="s">
        <v>28238</v>
      </c>
      <c r="B14766" s="12" t="s">
        <v>2762</v>
      </c>
      <c r="C14766" s="13" t="s">
        <v>2763</v>
      </c>
      <c r="D14766" s="13" t="s">
        <v>65</v>
      </c>
      <c r="E14766" s="12" t="s">
        <v>35</v>
      </c>
      <c r="F14766" s="14">
        <v>130000</v>
      </c>
      <c r="G14766" s="14">
        <v>115600</v>
      </c>
      <c r="H14766" s="13" t="s">
        <v>28265</v>
      </c>
      <c r="I14766" s="40" t="s">
        <v>18</v>
      </c>
      <c r="J14766" s="40" t="str">
        <f>HYPERLINK("https://stock.pstatic.net/stock-research/company/57/20250206_company_841877000.pdf","PDF")</f>
        <v>PDF</v>
      </c>
      <c r="K14766" s="12" t="s">
        <v>28266</v>
      </c>
      <c r="L14766" s="20">
        <v>0.1245674740484429</v>
      </c>
    </row>
    <row r="14767" spans="1:12" x14ac:dyDescent="0.45">
      <c r="A14767" s="12" t="s">
        <v>28238</v>
      </c>
      <c r="B14767" s="12" t="s">
        <v>3373</v>
      </c>
      <c r="C14767" s="13" t="s">
        <v>3374</v>
      </c>
      <c r="D14767" s="13" t="s">
        <v>65</v>
      </c>
      <c r="E14767" s="12" t="s">
        <v>35</v>
      </c>
      <c r="F14767" s="14">
        <v>115000</v>
      </c>
      <c r="G14767" s="14">
        <v>91000</v>
      </c>
      <c r="H14767" s="13" t="s">
        <v>28267</v>
      </c>
      <c r="I14767" s="40" t="s">
        <v>18</v>
      </c>
      <c r="J14767" s="40" t="str">
        <f>HYPERLINK("https://stock.pstatic.net/stock-research/company/57/20250206_company_796621000.pdf","PDF")</f>
        <v>PDF</v>
      </c>
      <c r="K14767" s="12" t="s">
        <v>28268</v>
      </c>
      <c r="L14767" s="20">
        <v>0.26373626373626369</v>
      </c>
    </row>
    <row r="14768" spans="1:12" x14ac:dyDescent="0.45">
      <c r="A14768" s="12" t="s">
        <v>28238</v>
      </c>
      <c r="B14768" s="12" t="s">
        <v>1686</v>
      </c>
      <c r="C14768" s="13" t="s">
        <v>1687</v>
      </c>
      <c r="D14768" s="13" t="s">
        <v>57</v>
      </c>
      <c r="E14768" s="12" t="s">
        <v>35</v>
      </c>
      <c r="F14768" s="14">
        <v>1000000</v>
      </c>
      <c r="G14768" s="14">
        <v>704500</v>
      </c>
      <c r="H14768" s="13" t="s">
        <v>28269</v>
      </c>
      <c r="I14768" s="40" t="s">
        <v>18</v>
      </c>
      <c r="J14768" s="40" t="str">
        <f>HYPERLINK("https://stock.pstatic.net/stock-research/company/16/20250206_company_15173000.pdf","PDF")</f>
        <v>PDF</v>
      </c>
      <c r="K14768" s="12" t="s">
        <v>28270</v>
      </c>
      <c r="L14768" s="20">
        <v>0.41944641589779991</v>
      </c>
    </row>
    <row r="14769" spans="1:12" x14ac:dyDescent="0.45">
      <c r="A14769" s="12" t="s">
        <v>28238</v>
      </c>
      <c r="B14769" s="12" t="s">
        <v>3373</v>
      </c>
      <c r="C14769" s="13" t="s">
        <v>3374</v>
      </c>
      <c r="D14769" s="13" t="s">
        <v>57</v>
      </c>
      <c r="E14769" s="12" t="s">
        <v>35</v>
      </c>
      <c r="F14769" s="14">
        <v>115000</v>
      </c>
      <c r="G14769" s="14">
        <v>91000</v>
      </c>
      <c r="H14769" s="13" t="s">
        <v>28271</v>
      </c>
      <c r="I14769" s="40" t="s">
        <v>18</v>
      </c>
      <c r="J14769" s="40" t="str">
        <f>HYPERLINK("https://stock.pstatic.net/stock-research/company/16/20250206_company_855957000.pdf","PDF")</f>
        <v>PDF</v>
      </c>
      <c r="K14769" s="12" t="s">
        <v>28272</v>
      </c>
      <c r="L14769" s="20">
        <v>0.26373626373626369</v>
      </c>
    </row>
    <row r="14770" spans="1:12" x14ac:dyDescent="0.45">
      <c r="A14770" s="12" t="s">
        <v>28238</v>
      </c>
      <c r="B14770" s="12" t="s">
        <v>2365</v>
      </c>
      <c r="C14770" s="13" t="s">
        <v>2366</v>
      </c>
      <c r="D14770" s="13" t="s">
        <v>57</v>
      </c>
      <c r="E14770" s="12" t="s">
        <v>35</v>
      </c>
      <c r="F14770" s="14">
        <v>110000</v>
      </c>
      <c r="G14770" s="14">
        <v>83100</v>
      </c>
      <c r="H14770" s="13" t="s">
        <v>28273</v>
      </c>
      <c r="I14770" s="40" t="s">
        <v>18</v>
      </c>
      <c r="J14770" s="40" t="str">
        <f>HYPERLINK("https://stock.pstatic.net/stock-research/company/16/20250206_company_526293000.pdf","PDF")</f>
        <v>PDF</v>
      </c>
      <c r="K14770" s="12" t="s">
        <v>28274</v>
      </c>
      <c r="L14770" s="20">
        <v>0.32370637785800238</v>
      </c>
    </row>
    <row r="14771" spans="1:12" x14ac:dyDescent="0.45">
      <c r="A14771" s="12" t="s">
        <v>28238</v>
      </c>
      <c r="B14771" s="12" t="s">
        <v>1184</v>
      </c>
      <c r="C14771" s="13" t="s">
        <v>1185</v>
      </c>
      <c r="D14771" s="13" t="s">
        <v>57</v>
      </c>
      <c r="E14771" s="12" t="s">
        <v>35</v>
      </c>
      <c r="F14771" s="14">
        <v>21000</v>
      </c>
      <c r="G14771" s="14">
        <v>15490</v>
      </c>
      <c r="H14771" s="13" t="s">
        <v>28275</v>
      </c>
      <c r="I14771" s="40" t="s">
        <v>18</v>
      </c>
      <c r="J14771" s="40" t="str">
        <f>HYPERLINK("https://stock.pstatic.net/stock-research/company/16/20250206_company_542694000.pdf","PDF")</f>
        <v>PDF</v>
      </c>
      <c r="K14771" s="12" t="s">
        <v>28276</v>
      </c>
      <c r="L14771" s="20">
        <v>0.35571336346029703</v>
      </c>
    </row>
    <row r="14772" spans="1:12" x14ac:dyDescent="0.45">
      <c r="A14772" s="12" t="s">
        <v>28238</v>
      </c>
      <c r="B14772" s="12" t="s">
        <v>1047</v>
      </c>
      <c r="C14772" s="13" t="s">
        <v>1048</v>
      </c>
      <c r="D14772" s="13" t="s">
        <v>57</v>
      </c>
      <c r="E14772" s="12" t="s">
        <v>35</v>
      </c>
      <c r="F14772" s="14">
        <v>15000</v>
      </c>
      <c r="G14772" s="14">
        <v>10350</v>
      </c>
      <c r="H14772" s="13" t="s">
        <v>28277</v>
      </c>
      <c r="I14772" s="40" t="s">
        <v>18</v>
      </c>
      <c r="J14772" s="40" t="str">
        <f>HYPERLINK("https://stock.pstatic.net/stock-research/company/16/20250206_company_381058000.pdf","PDF")</f>
        <v>PDF</v>
      </c>
      <c r="K14772" s="12" t="s">
        <v>28278</v>
      </c>
      <c r="L14772" s="20">
        <v>0.44927536231884058</v>
      </c>
    </row>
    <row r="14773" spans="1:12" x14ac:dyDescent="0.45">
      <c r="A14773" s="12" t="s">
        <v>28238</v>
      </c>
      <c r="B14773" s="12" t="s">
        <v>1656</v>
      </c>
      <c r="C14773" s="13" t="s">
        <v>1657</v>
      </c>
      <c r="D14773" s="13" t="s">
        <v>57</v>
      </c>
      <c r="E14773" s="12" t="s">
        <v>35</v>
      </c>
      <c r="F14773" s="14">
        <v>220000</v>
      </c>
      <c r="G14773" s="14">
        <v>129900</v>
      </c>
      <c r="H14773" s="13" t="s">
        <v>28279</v>
      </c>
      <c r="I14773" s="40" t="s">
        <v>18</v>
      </c>
      <c r="J14773" s="40" t="str">
        <f>HYPERLINK("https://stock.pstatic.net/stock-research/company/16/20250206_company_607212000.pdf","PDF")</f>
        <v>PDF</v>
      </c>
      <c r="K14773" s="12" t="s">
        <v>28280</v>
      </c>
      <c r="L14773" s="20">
        <v>0.69361046959199379</v>
      </c>
    </row>
    <row r="14774" spans="1:12" x14ac:dyDescent="0.45">
      <c r="A14774" s="12" t="s">
        <v>28238</v>
      </c>
      <c r="B14774" s="12" t="s">
        <v>2650</v>
      </c>
      <c r="C14774" s="13" t="s">
        <v>2651</v>
      </c>
      <c r="D14774" s="13" t="s">
        <v>57</v>
      </c>
      <c r="E14774" s="12" t="s">
        <v>159</v>
      </c>
      <c r="F14774" s="14">
        <v>23000</v>
      </c>
      <c r="G14774" s="14">
        <v>22850</v>
      </c>
      <c r="H14774" s="13" t="s">
        <v>28281</v>
      </c>
      <c r="I14774" s="40" t="s">
        <v>18</v>
      </c>
      <c r="J14774" s="40" t="str">
        <f>HYPERLINK("https://stock.pstatic.net/stock-research/company/1/20250206_company_16123000.pdf","PDF")</f>
        <v>PDF</v>
      </c>
      <c r="K14774" s="12" t="s">
        <v>28282</v>
      </c>
      <c r="L14774" s="20">
        <v>6.5645514223194746E-3</v>
      </c>
    </row>
    <row r="14775" spans="1:12" x14ac:dyDescent="0.45">
      <c r="A14775" s="12" t="s">
        <v>28238</v>
      </c>
      <c r="B14775" s="12" t="s">
        <v>2956</v>
      </c>
      <c r="C14775" s="13" t="s">
        <v>2957</v>
      </c>
      <c r="D14775" s="13" t="s">
        <v>57</v>
      </c>
      <c r="E14775" s="12" t="s">
        <v>35</v>
      </c>
      <c r="F14775" s="14">
        <v>27000</v>
      </c>
      <c r="G14775" s="14">
        <v>17500</v>
      </c>
      <c r="H14775" s="13" t="s">
        <v>28283</v>
      </c>
      <c r="I14775" s="40" t="s">
        <v>18</v>
      </c>
      <c r="J14775" s="40" t="str">
        <f>HYPERLINK("https://stock.pstatic.net/stock-research/company/16/20250206_company_465277000.pdf","PDF")</f>
        <v>PDF</v>
      </c>
      <c r="K14775" s="12" t="s">
        <v>28284</v>
      </c>
      <c r="L14775" s="20">
        <v>0.54285714285714282</v>
      </c>
    </row>
    <row r="14776" spans="1:12" x14ac:dyDescent="0.45">
      <c r="A14776" s="12" t="s">
        <v>28238</v>
      </c>
      <c r="B14776" s="12" t="s">
        <v>744</v>
      </c>
      <c r="C14776" s="13" t="s">
        <v>745</v>
      </c>
      <c r="D14776" s="13" t="s">
        <v>15</v>
      </c>
      <c r="E14776" s="12" t="s">
        <v>16</v>
      </c>
      <c r="F14776" s="14">
        <v>18700</v>
      </c>
      <c r="G14776" s="14">
        <v>13400</v>
      </c>
      <c r="H14776" s="13" t="s">
        <v>28285</v>
      </c>
      <c r="I14776" s="40" t="s">
        <v>18</v>
      </c>
      <c r="J14776" s="40" t="str">
        <f>HYPERLINK("https://stock.pstatic.net/stock-research/company/29/20250206_company_102815000.pdf","PDF")</f>
        <v>PDF</v>
      </c>
      <c r="K14776" s="12" t="s">
        <v>28286</v>
      </c>
      <c r="L14776" s="20">
        <v>0.39552238805970152</v>
      </c>
    </row>
    <row r="14777" spans="1:12" x14ac:dyDescent="0.45">
      <c r="A14777" s="12" t="s">
        <v>28238</v>
      </c>
      <c r="B14777" s="12" t="s">
        <v>1065</v>
      </c>
      <c r="C14777" s="13" t="s">
        <v>1066</v>
      </c>
      <c r="D14777" s="13" t="s">
        <v>158</v>
      </c>
      <c r="E14777" s="12" t="s">
        <v>35</v>
      </c>
      <c r="F14777" s="14">
        <v>120000</v>
      </c>
      <c r="G14777" s="14">
        <v>72100</v>
      </c>
      <c r="H14777" s="13" t="s">
        <v>28287</v>
      </c>
      <c r="I14777" s="40" t="s">
        <v>18</v>
      </c>
      <c r="J14777" s="40" t="str">
        <f>HYPERLINK("https://stock.pstatic.net/stock-research/company/18/20250206_company_478106000.pdf","PDF")</f>
        <v>PDF</v>
      </c>
      <c r="K14777" s="12" t="s">
        <v>28288</v>
      </c>
      <c r="L14777" s="20">
        <v>0.66435506241331488</v>
      </c>
    </row>
    <row r="14778" spans="1:12" x14ac:dyDescent="0.45">
      <c r="A14778" s="12" t="s">
        <v>28238</v>
      </c>
      <c r="B14778" s="12" t="s">
        <v>2933</v>
      </c>
      <c r="C14778" s="13" t="s">
        <v>2934</v>
      </c>
      <c r="D14778" s="13" t="s">
        <v>158</v>
      </c>
      <c r="E14778" s="12" t="s">
        <v>35</v>
      </c>
      <c r="F14778" s="14">
        <v>87500</v>
      </c>
      <c r="G14778" s="14">
        <v>71600</v>
      </c>
      <c r="H14778" s="13" t="s">
        <v>28289</v>
      </c>
      <c r="I14778" s="40" t="s">
        <v>18</v>
      </c>
      <c r="J14778" s="40" t="str">
        <f>HYPERLINK("https://stock.pstatic.net/stock-research/company/18/20250206_company_872338000.pdf","PDF")</f>
        <v>PDF</v>
      </c>
      <c r="K14778" s="12" t="s">
        <v>28290</v>
      </c>
      <c r="L14778" s="20">
        <v>0.22206703910614531</v>
      </c>
    </row>
    <row r="14779" spans="1:12" x14ac:dyDescent="0.45">
      <c r="A14779" s="12" t="s">
        <v>28238</v>
      </c>
      <c r="B14779" s="12" t="s">
        <v>2365</v>
      </c>
      <c r="C14779" s="13" t="s">
        <v>2366</v>
      </c>
      <c r="D14779" s="13" t="s">
        <v>158</v>
      </c>
      <c r="E14779" s="12" t="s">
        <v>35</v>
      </c>
      <c r="F14779" s="14">
        <v>96000</v>
      </c>
      <c r="G14779" s="14">
        <v>83100</v>
      </c>
      <c r="H14779" s="13" t="s">
        <v>28291</v>
      </c>
      <c r="I14779" s="40" t="s">
        <v>18</v>
      </c>
      <c r="J14779" s="40" t="str">
        <f>HYPERLINK("https://stock.pstatic.net/stock-research/company/18/20250206_company_109839000.pdf","PDF")</f>
        <v>PDF</v>
      </c>
      <c r="K14779" s="12" t="s">
        <v>28292</v>
      </c>
      <c r="L14779" s="20">
        <v>0.1552346570397112</v>
      </c>
    </row>
    <row r="14780" spans="1:12" x14ac:dyDescent="0.45">
      <c r="A14780" s="12" t="s">
        <v>28238</v>
      </c>
      <c r="B14780" s="12" t="s">
        <v>3373</v>
      </c>
      <c r="C14780" s="13" t="s">
        <v>3374</v>
      </c>
      <c r="D14780" s="13" t="s">
        <v>158</v>
      </c>
      <c r="E14780" s="12" t="s">
        <v>35</v>
      </c>
      <c r="F14780" s="14">
        <v>118000</v>
      </c>
      <c r="G14780" s="14">
        <v>91000</v>
      </c>
      <c r="H14780" s="13" t="s">
        <v>28293</v>
      </c>
      <c r="I14780" s="40" t="s">
        <v>18</v>
      </c>
      <c r="J14780" s="40" t="str">
        <f>HYPERLINK("https://stock.pstatic.net/stock-research/company/18/20250206_company_228735000.pdf","PDF")</f>
        <v>PDF</v>
      </c>
      <c r="K14780" s="12" t="s">
        <v>28294</v>
      </c>
      <c r="L14780" s="20">
        <v>0.2967032967032967</v>
      </c>
    </row>
    <row r="14781" spans="1:12" x14ac:dyDescent="0.45">
      <c r="A14781" s="12" t="s">
        <v>28238</v>
      </c>
      <c r="B14781" s="12" t="s">
        <v>174</v>
      </c>
      <c r="C14781" s="13" t="s">
        <v>44</v>
      </c>
      <c r="D14781" s="13" t="s">
        <v>158</v>
      </c>
      <c r="E14781" s="12" t="s">
        <v>35</v>
      </c>
      <c r="F14781" s="14">
        <v>165000</v>
      </c>
      <c r="G14781" s="14">
        <v>117000</v>
      </c>
      <c r="H14781" s="13" t="s">
        <v>28295</v>
      </c>
      <c r="I14781" s="40" t="s">
        <v>18</v>
      </c>
      <c r="J14781" s="40" t="str">
        <f>HYPERLINK("https://stock.pstatic.net/stock-research/company/18/20250206_company_980571000.pdf","PDF")</f>
        <v>PDF</v>
      </c>
      <c r="K14781" s="12" t="s">
        <v>28296</v>
      </c>
      <c r="L14781" s="20">
        <v>0.41025641025641019</v>
      </c>
    </row>
    <row r="14782" spans="1:12" x14ac:dyDescent="0.45">
      <c r="A14782" s="12" t="s">
        <v>28238</v>
      </c>
      <c r="B14782" s="12" t="s">
        <v>2956</v>
      </c>
      <c r="C14782" s="13" t="s">
        <v>2957</v>
      </c>
      <c r="D14782" s="13" t="s">
        <v>158</v>
      </c>
      <c r="E14782" s="12" t="s">
        <v>35</v>
      </c>
      <c r="F14782" s="14">
        <v>24500</v>
      </c>
      <c r="G14782" s="14">
        <v>17300</v>
      </c>
      <c r="H14782" s="13" t="s">
        <v>28297</v>
      </c>
      <c r="I14782" s="40" t="s">
        <v>18</v>
      </c>
      <c r="J14782" s="40" t="str">
        <f>HYPERLINK("https://stock.pstatic.net/stock-research/company/18/20250206_company_870110000.pdf","PDF")</f>
        <v>PDF</v>
      </c>
      <c r="K14782" s="12" t="s">
        <v>28298</v>
      </c>
      <c r="L14782" s="20">
        <v>0.41618497109826591</v>
      </c>
    </row>
    <row r="14783" spans="1:12" x14ac:dyDescent="0.45">
      <c r="A14783" s="12" t="s">
        <v>28238</v>
      </c>
      <c r="B14783" s="12" t="s">
        <v>22878</v>
      </c>
      <c r="C14783" s="13" t="s">
        <v>22879</v>
      </c>
      <c r="D14783" s="13" t="s">
        <v>15</v>
      </c>
      <c r="E14783" s="12" t="s">
        <v>50</v>
      </c>
      <c r="F14783" s="13"/>
      <c r="G14783" s="14">
        <v>26650</v>
      </c>
      <c r="H14783" s="13" t="s">
        <v>28299</v>
      </c>
      <c r="I14783" s="40" t="s">
        <v>18</v>
      </c>
      <c r="J14783" s="40" t="str">
        <f>HYPERLINK("https://stock.pstatic.net/stock-research/company/29/20250206_company_464113000.pdf","PDF")</f>
        <v>PDF</v>
      </c>
      <c r="K14783" s="12" t="s">
        <v>28300</v>
      </c>
    </row>
    <row r="14784" spans="1:12" x14ac:dyDescent="0.45">
      <c r="A14784" s="12" t="s">
        <v>28238</v>
      </c>
      <c r="B14784" s="12" t="s">
        <v>2956</v>
      </c>
      <c r="C14784" s="13" t="s">
        <v>2957</v>
      </c>
      <c r="D14784" s="13" t="s">
        <v>15</v>
      </c>
      <c r="E14784" s="12" t="s">
        <v>16</v>
      </c>
      <c r="F14784" s="14">
        <v>26000</v>
      </c>
      <c r="G14784" s="14">
        <v>17300</v>
      </c>
      <c r="H14784" s="13" t="s">
        <v>28301</v>
      </c>
      <c r="I14784" s="40" t="s">
        <v>18</v>
      </c>
      <c r="J14784" s="40" t="str">
        <f>HYPERLINK("https://stock.pstatic.net/stock-research/company/29/20250206_company_420358000.pdf","PDF")</f>
        <v>PDF</v>
      </c>
      <c r="K14784" s="12" t="s">
        <v>28302</v>
      </c>
      <c r="L14784" s="20">
        <v>0.50289017341040465</v>
      </c>
    </row>
    <row r="14785" spans="1:12" x14ac:dyDescent="0.45">
      <c r="A14785" s="12" t="s">
        <v>28238</v>
      </c>
      <c r="B14785" s="12" t="s">
        <v>629</v>
      </c>
      <c r="C14785" s="13" t="s">
        <v>630</v>
      </c>
      <c r="D14785" s="13" t="s">
        <v>92</v>
      </c>
      <c r="E14785" s="12" t="s">
        <v>50</v>
      </c>
      <c r="F14785" s="13"/>
      <c r="G14785" s="14">
        <v>9620</v>
      </c>
      <c r="H14785" s="13" t="s">
        <v>28303</v>
      </c>
      <c r="I14785" s="40" t="s">
        <v>18</v>
      </c>
      <c r="J14785" s="40" t="str">
        <f>HYPERLINK("https://stock.pstatic.net/stock-research/company/63/20250206_company_593565000.pdf","PDF")</f>
        <v>PDF</v>
      </c>
      <c r="K14785" s="12" t="s">
        <v>28304</v>
      </c>
    </row>
    <row r="14786" spans="1:12" x14ac:dyDescent="0.45">
      <c r="A14786" s="12" t="s">
        <v>28238</v>
      </c>
      <c r="B14786" s="12" t="s">
        <v>1656</v>
      </c>
      <c r="C14786" s="13" t="s">
        <v>1657</v>
      </c>
      <c r="D14786" s="13" t="s">
        <v>92</v>
      </c>
      <c r="E14786" s="12" t="s">
        <v>35</v>
      </c>
      <c r="F14786" s="14">
        <v>180000</v>
      </c>
      <c r="G14786" s="14">
        <v>129900</v>
      </c>
      <c r="H14786" s="13" t="s">
        <v>28305</v>
      </c>
      <c r="I14786" s="40" t="s">
        <v>18</v>
      </c>
      <c r="J14786" s="40" t="str">
        <f>HYPERLINK("https://stock.pstatic.net/stock-research/company/63/20250206_company_71097000.pdf","PDF")</f>
        <v>PDF</v>
      </c>
      <c r="K14786" s="12" t="s">
        <v>28306</v>
      </c>
      <c r="L14786" s="20">
        <v>0.38568129330254042</v>
      </c>
    </row>
    <row r="14787" spans="1:12" x14ac:dyDescent="0.45">
      <c r="A14787" s="12" t="s">
        <v>28238</v>
      </c>
      <c r="B14787" s="12" t="s">
        <v>744</v>
      </c>
      <c r="C14787" s="13" t="s">
        <v>745</v>
      </c>
      <c r="D14787" s="13" t="s">
        <v>92</v>
      </c>
      <c r="E14787" s="12" t="s">
        <v>35</v>
      </c>
      <c r="F14787" s="14">
        <v>18000</v>
      </c>
      <c r="G14787" s="14">
        <v>13400</v>
      </c>
      <c r="H14787" s="13" t="s">
        <v>28307</v>
      </c>
      <c r="I14787" s="40" t="s">
        <v>18</v>
      </c>
      <c r="J14787" s="40" t="str">
        <f>HYPERLINK("https://stock.pstatic.net/stock-research/company/63/20250206_company_751533000.pdf","PDF")</f>
        <v>PDF</v>
      </c>
      <c r="K14787" s="12" t="s">
        <v>28308</v>
      </c>
      <c r="L14787" s="20">
        <v>0.34328358208955218</v>
      </c>
    </row>
    <row r="14788" spans="1:12" x14ac:dyDescent="0.45">
      <c r="A14788" s="12" t="s">
        <v>28238</v>
      </c>
      <c r="B14788" s="12" t="s">
        <v>744</v>
      </c>
      <c r="C14788" s="13" t="s">
        <v>745</v>
      </c>
      <c r="D14788" s="13" t="s">
        <v>34</v>
      </c>
      <c r="E14788" s="12" t="s">
        <v>35</v>
      </c>
      <c r="F14788" s="14">
        <v>18000</v>
      </c>
      <c r="G14788" s="14">
        <v>13400</v>
      </c>
      <c r="H14788" s="13" t="s">
        <v>28309</v>
      </c>
      <c r="I14788" s="40" t="s">
        <v>18</v>
      </c>
      <c r="J14788" s="40" t="str">
        <f>HYPERLINK("https://stock.pstatic.net/stock-research/company/61/20250206_company_469949000.pdf","PDF")</f>
        <v>PDF</v>
      </c>
      <c r="K14788" s="12" t="s">
        <v>28310</v>
      </c>
      <c r="L14788" s="20">
        <v>0.34328358208955218</v>
      </c>
    </row>
    <row r="14789" spans="1:12" x14ac:dyDescent="0.45">
      <c r="A14789" s="12" t="s">
        <v>28238</v>
      </c>
      <c r="B14789" s="12" t="s">
        <v>617</v>
      </c>
      <c r="C14789" s="13" t="s">
        <v>618</v>
      </c>
      <c r="D14789" s="13" t="s">
        <v>23</v>
      </c>
      <c r="E14789" s="12" t="s">
        <v>50</v>
      </c>
      <c r="F14789" s="13"/>
      <c r="G14789" s="14">
        <v>11950</v>
      </c>
      <c r="H14789" s="13" t="s">
        <v>28311</v>
      </c>
      <c r="I14789" s="40" t="s">
        <v>18</v>
      </c>
      <c r="J14789" s="40" t="str">
        <f>HYPERLINK("https://stock.pstatic.net/stock-research/company/21/20250206_company_815170000.pdf","PDF")</f>
        <v>PDF</v>
      </c>
      <c r="K14789" s="12" t="s">
        <v>28312</v>
      </c>
    </row>
    <row r="14790" spans="1:12" x14ac:dyDescent="0.45">
      <c r="A14790" s="12" t="s">
        <v>28238</v>
      </c>
      <c r="B14790" s="12" t="s">
        <v>9327</v>
      </c>
      <c r="C14790" s="13" t="s">
        <v>9328</v>
      </c>
      <c r="D14790" s="13" t="s">
        <v>23</v>
      </c>
      <c r="E14790" s="12" t="s">
        <v>50</v>
      </c>
      <c r="F14790" s="13"/>
      <c r="G14790" s="14">
        <v>12670</v>
      </c>
      <c r="H14790" s="13" t="s">
        <v>28313</v>
      </c>
      <c r="I14790" s="40" t="s">
        <v>18</v>
      </c>
      <c r="J14790" s="40" t="str">
        <f>HYPERLINK("https://stock.pstatic.net/stock-research/company/21/20250206_company_263195000.pdf","PDF")</f>
        <v>PDF</v>
      </c>
      <c r="K14790" s="12" t="s">
        <v>28314</v>
      </c>
    </row>
    <row r="14791" spans="1:12" x14ac:dyDescent="0.45">
      <c r="A14791" s="12" t="s">
        <v>28238</v>
      </c>
      <c r="B14791" s="12" t="s">
        <v>2956</v>
      </c>
      <c r="C14791" s="13" t="s">
        <v>2957</v>
      </c>
      <c r="D14791" s="13" t="s">
        <v>23</v>
      </c>
      <c r="E14791" s="12" t="s">
        <v>16</v>
      </c>
      <c r="F14791" s="14">
        <v>25000</v>
      </c>
      <c r="G14791" s="14">
        <v>17300</v>
      </c>
      <c r="H14791" s="13" t="s">
        <v>28315</v>
      </c>
      <c r="I14791" s="40" t="s">
        <v>18</v>
      </c>
      <c r="J14791" s="40" t="str">
        <f>HYPERLINK("https://stock.pstatic.net/stock-research/company/21/20250206_company_183632000.pdf","PDF")</f>
        <v>PDF</v>
      </c>
      <c r="K14791" s="12" t="s">
        <v>28316</v>
      </c>
      <c r="L14791" s="20">
        <v>0.44508670520231208</v>
      </c>
    </row>
    <row r="14792" spans="1:12" x14ac:dyDescent="0.45">
      <c r="A14792" s="12" t="s">
        <v>28238</v>
      </c>
      <c r="B14792" s="12" t="s">
        <v>1047</v>
      </c>
      <c r="C14792" s="13" t="s">
        <v>1048</v>
      </c>
      <c r="D14792" s="13" t="s">
        <v>179</v>
      </c>
      <c r="E14792" s="12" t="s">
        <v>16</v>
      </c>
      <c r="F14792" s="14">
        <v>13000</v>
      </c>
      <c r="G14792" s="14">
        <v>10350</v>
      </c>
      <c r="H14792" s="13" t="s">
        <v>23010</v>
      </c>
      <c r="I14792" s="40" t="s">
        <v>18</v>
      </c>
      <c r="J14792" s="40" t="str">
        <f>HYPERLINK("https://stock.pstatic.net/stock-research/company/31/20250206_company_609987000.pdf","PDF")</f>
        <v>PDF</v>
      </c>
      <c r="K14792" s="12" t="s">
        <v>28317</v>
      </c>
      <c r="L14792" s="20">
        <v>0.2560386473429952</v>
      </c>
    </row>
    <row r="14793" spans="1:12" x14ac:dyDescent="0.45">
      <c r="A14793" s="12" t="s">
        <v>28238</v>
      </c>
      <c r="B14793" s="12" t="s">
        <v>1686</v>
      </c>
      <c r="C14793" s="13" t="s">
        <v>1687</v>
      </c>
      <c r="D14793" s="13" t="s">
        <v>92</v>
      </c>
      <c r="E14793" s="12" t="s">
        <v>35</v>
      </c>
      <c r="F14793" s="14">
        <v>931000</v>
      </c>
      <c r="G14793" s="14">
        <v>704000</v>
      </c>
      <c r="H14793" s="13" t="s">
        <v>10071</v>
      </c>
      <c r="I14793" s="40" t="s">
        <v>18</v>
      </c>
      <c r="J14793" s="40" t="str">
        <f>HYPERLINK("https://stock.pstatic.net/stock-research/company/63/20250206_company_586624000.pdf","PDF")</f>
        <v>PDF</v>
      </c>
      <c r="K14793" s="12" t="s">
        <v>28318</v>
      </c>
      <c r="L14793" s="20">
        <v>0.32244318181818182</v>
      </c>
    </row>
    <row r="14794" spans="1:12" x14ac:dyDescent="0.45">
      <c r="A14794" s="12" t="s">
        <v>28238</v>
      </c>
      <c r="B14794" s="12" t="s">
        <v>3373</v>
      </c>
      <c r="C14794" s="13" t="s">
        <v>3374</v>
      </c>
      <c r="D14794" s="13" t="s">
        <v>15</v>
      </c>
      <c r="E14794" s="12" t="s">
        <v>16</v>
      </c>
      <c r="F14794" s="14">
        <v>120000</v>
      </c>
      <c r="G14794" s="14">
        <v>91000</v>
      </c>
      <c r="H14794" s="13" t="s">
        <v>28319</v>
      </c>
      <c r="I14794" s="40" t="s">
        <v>18</v>
      </c>
      <c r="J14794" s="40" t="str">
        <f>HYPERLINK("https://stock.pstatic.net/stock-research/company/29/20250206_company_787927000.pdf","PDF")</f>
        <v>PDF</v>
      </c>
      <c r="K14794" s="12" t="s">
        <v>28320</v>
      </c>
      <c r="L14794" s="20">
        <v>0.31868131868131871</v>
      </c>
    </row>
    <row r="14795" spans="1:12" x14ac:dyDescent="0.45">
      <c r="A14795" s="12" t="s">
        <v>28238</v>
      </c>
      <c r="B14795" s="12" t="s">
        <v>1216</v>
      </c>
      <c r="C14795" s="13" t="s">
        <v>1217</v>
      </c>
      <c r="D14795" s="13" t="s">
        <v>23</v>
      </c>
      <c r="E14795" s="12" t="s">
        <v>16</v>
      </c>
      <c r="F14795" s="14">
        <v>39000</v>
      </c>
      <c r="G14795" s="14">
        <v>26250</v>
      </c>
      <c r="H14795" s="13" t="s">
        <v>28321</v>
      </c>
      <c r="I14795" s="40" t="s">
        <v>18</v>
      </c>
      <c r="J14795" s="40" t="str">
        <f>HYPERLINK("https://stock.pstatic.net/stock-research/company/21/20250206_company_292170000.pdf","PDF")</f>
        <v>PDF</v>
      </c>
      <c r="K14795" s="12" t="s">
        <v>28322</v>
      </c>
      <c r="L14795" s="20">
        <v>0.48571428571428571</v>
      </c>
    </row>
    <row r="14796" spans="1:12" x14ac:dyDescent="0.45">
      <c r="A14796" s="12" t="s">
        <v>28238</v>
      </c>
      <c r="B14796" s="12" t="s">
        <v>174</v>
      </c>
      <c r="C14796" s="13" t="s">
        <v>44</v>
      </c>
      <c r="D14796" s="13" t="s">
        <v>15</v>
      </c>
      <c r="E14796" s="12" t="s">
        <v>16</v>
      </c>
      <c r="F14796" s="14">
        <v>150000</v>
      </c>
      <c r="G14796" s="14">
        <v>117000</v>
      </c>
      <c r="H14796" s="13" t="s">
        <v>28323</v>
      </c>
      <c r="I14796" s="40" t="s">
        <v>18</v>
      </c>
      <c r="J14796" s="40" t="str">
        <f>HYPERLINK("https://stock.pstatic.net/stock-research/company/29/20250206_company_919495000.pdf","PDF")</f>
        <v>PDF</v>
      </c>
      <c r="K14796" s="12" t="s">
        <v>28324</v>
      </c>
      <c r="L14796" s="20">
        <v>0.28205128205128199</v>
      </c>
    </row>
    <row r="14797" spans="1:12" x14ac:dyDescent="0.45">
      <c r="A14797" s="12" t="s">
        <v>28238</v>
      </c>
      <c r="B14797" s="12" t="s">
        <v>2365</v>
      </c>
      <c r="C14797" s="13" t="s">
        <v>2366</v>
      </c>
      <c r="D14797" s="13" t="s">
        <v>23</v>
      </c>
      <c r="E14797" s="12" t="s">
        <v>16</v>
      </c>
      <c r="F14797" s="14">
        <v>110000</v>
      </c>
      <c r="G14797" s="14">
        <v>83100</v>
      </c>
      <c r="H14797" s="13" t="s">
        <v>23958</v>
      </c>
      <c r="I14797" s="40" t="s">
        <v>18</v>
      </c>
      <c r="J14797" s="40" t="str">
        <f>HYPERLINK("https://stock.pstatic.net/stock-research/company/21/20250206_company_831358000.pdf","PDF")</f>
        <v>PDF</v>
      </c>
      <c r="K14797" s="12" t="s">
        <v>28325</v>
      </c>
      <c r="L14797" s="20">
        <v>0.32370637785800238</v>
      </c>
    </row>
    <row r="14798" spans="1:12" x14ac:dyDescent="0.45">
      <c r="A14798" s="12" t="s">
        <v>28238</v>
      </c>
      <c r="B14798" s="12" t="s">
        <v>744</v>
      </c>
      <c r="C14798" s="13" t="s">
        <v>745</v>
      </c>
      <c r="D14798" s="13" t="s">
        <v>23</v>
      </c>
      <c r="E14798" s="12" t="s">
        <v>16</v>
      </c>
      <c r="F14798" s="14">
        <v>16000</v>
      </c>
      <c r="G14798" s="14">
        <v>13400</v>
      </c>
      <c r="H14798" s="13" t="s">
        <v>28326</v>
      </c>
      <c r="I14798" s="40" t="s">
        <v>18</v>
      </c>
      <c r="J14798" s="40" t="str">
        <f>HYPERLINK("https://stock.pstatic.net/stock-research/company/21/20250206_company_667849000.pdf","PDF")</f>
        <v>PDF</v>
      </c>
      <c r="K14798" s="12" t="s">
        <v>28327</v>
      </c>
      <c r="L14798" s="20">
        <v>0.19402985074626869</v>
      </c>
    </row>
    <row r="14799" spans="1:12" x14ac:dyDescent="0.45">
      <c r="A14799" s="12" t="s">
        <v>28238</v>
      </c>
      <c r="B14799" s="12" t="s">
        <v>1849</v>
      </c>
      <c r="C14799" s="13" t="s">
        <v>1850</v>
      </c>
      <c r="D14799" s="13" t="s">
        <v>92</v>
      </c>
      <c r="E14799" s="12" t="s">
        <v>35</v>
      </c>
      <c r="F14799" s="14">
        <v>26000</v>
      </c>
      <c r="G14799" s="14">
        <v>18280</v>
      </c>
      <c r="H14799" s="13" t="s">
        <v>28328</v>
      </c>
      <c r="I14799" s="40" t="s">
        <v>18</v>
      </c>
      <c r="J14799" s="40" t="str">
        <f>HYPERLINK("https://stock.pstatic.net/stock-research/company/63/20250206_company_756137000.pdf","PDF")</f>
        <v>PDF</v>
      </c>
      <c r="K14799" s="12" t="s">
        <v>28329</v>
      </c>
      <c r="L14799" s="20">
        <v>0.42231947483588622</v>
      </c>
    </row>
    <row r="14800" spans="1:12" x14ac:dyDescent="0.45">
      <c r="A14800" s="12" t="s">
        <v>28238</v>
      </c>
      <c r="B14800" s="12" t="s">
        <v>2933</v>
      </c>
      <c r="C14800" s="13" t="s">
        <v>2934</v>
      </c>
      <c r="D14800" s="13" t="s">
        <v>53</v>
      </c>
      <c r="E14800" s="12" t="s">
        <v>16</v>
      </c>
      <c r="F14800" s="14">
        <v>90000</v>
      </c>
      <c r="G14800" s="14">
        <v>71600</v>
      </c>
      <c r="H14800" s="13" t="s">
        <v>28330</v>
      </c>
      <c r="I14800" s="40" t="s">
        <v>18</v>
      </c>
      <c r="J14800" s="40" t="str">
        <f>HYPERLINK("https://stock.pstatic.net/stock-research/company/40/20250206_company_223917000.pdf","PDF")</f>
        <v>PDF</v>
      </c>
      <c r="K14800" s="12" t="s">
        <v>28331</v>
      </c>
      <c r="L14800" s="20">
        <v>0.25698324022346369</v>
      </c>
    </row>
    <row r="14801" spans="1:12" x14ac:dyDescent="0.45">
      <c r="A14801" s="12" t="s">
        <v>28238</v>
      </c>
      <c r="B14801" s="12" t="s">
        <v>438</v>
      </c>
      <c r="C14801" s="13" t="s">
        <v>439</v>
      </c>
      <c r="D14801" s="13" t="s">
        <v>179</v>
      </c>
      <c r="E14801" s="12" t="s">
        <v>50</v>
      </c>
      <c r="F14801" s="13"/>
      <c r="G14801" s="14">
        <v>36800</v>
      </c>
      <c r="H14801" s="13" t="s">
        <v>28332</v>
      </c>
      <c r="I14801" s="40" t="s">
        <v>18</v>
      </c>
      <c r="J14801" s="40" t="str">
        <f>HYPERLINK("https://stock.pstatic.net/stock-research/company/31/20250206_company_679690000.pdf","PDF")</f>
        <v>PDF</v>
      </c>
      <c r="K14801" s="12" t="s">
        <v>28333</v>
      </c>
    </row>
    <row r="14802" spans="1:12" x14ac:dyDescent="0.45">
      <c r="A14802" s="12" t="s">
        <v>28238</v>
      </c>
      <c r="B14802" s="12" t="s">
        <v>10956</v>
      </c>
      <c r="C14802" s="13" t="s">
        <v>10957</v>
      </c>
      <c r="D14802" s="13" t="s">
        <v>92</v>
      </c>
      <c r="E14802" s="12" t="s">
        <v>50</v>
      </c>
      <c r="F14802" s="13"/>
      <c r="G14802" s="14">
        <v>10150</v>
      </c>
      <c r="H14802" s="13" t="s">
        <v>28334</v>
      </c>
      <c r="I14802" s="40" t="s">
        <v>18</v>
      </c>
      <c r="J14802" s="40" t="str">
        <f>HYPERLINK("https://stock.pstatic.net/stock-research/company/63/20250206_company_886713000.pdf","PDF")</f>
        <v>PDF</v>
      </c>
      <c r="K14802" s="12" t="s">
        <v>28335</v>
      </c>
    </row>
    <row r="14803" spans="1:12" x14ac:dyDescent="0.45">
      <c r="A14803" s="12" t="s">
        <v>28238</v>
      </c>
      <c r="B14803" s="12" t="s">
        <v>63</v>
      </c>
      <c r="C14803" s="13" t="s">
        <v>64</v>
      </c>
      <c r="D14803" s="13" t="s">
        <v>83</v>
      </c>
      <c r="E14803" s="12" t="s">
        <v>35</v>
      </c>
      <c r="F14803" s="14">
        <v>380000</v>
      </c>
      <c r="G14803" s="14">
        <v>238000</v>
      </c>
      <c r="H14803" s="13" t="s">
        <v>28336</v>
      </c>
      <c r="I14803" s="40" t="s">
        <v>18</v>
      </c>
      <c r="J14803" s="40" t="str">
        <f>HYPERLINK("https://stock.pstatic.net/stock-research/company/2/20250206_company_548134000.pdf","PDF")</f>
        <v>PDF</v>
      </c>
      <c r="K14803" s="12" t="s">
        <v>28337</v>
      </c>
      <c r="L14803" s="20">
        <v>0.59663865546218486</v>
      </c>
    </row>
    <row r="14804" spans="1:12" x14ac:dyDescent="0.45">
      <c r="A14804" s="12" t="s">
        <v>28238</v>
      </c>
      <c r="B14804" s="12" t="s">
        <v>3280</v>
      </c>
      <c r="C14804" s="13" t="s">
        <v>3281</v>
      </c>
      <c r="D14804" s="13" t="s">
        <v>83</v>
      </c>
      <c r="E14804" s="12" t="s">
        <v>35</v>
      </c>
      <c r="F14804" s="14">
        <v>60000</v>
      </c>
      <c r="G14804" s="14">
        <v>38800</v>
      </c>
      <c r="H14804" s="13" t="s">
        <v>22395</v>
      </c>
      <c r="I14804" s="40" t="s">
        <v>18</v>
      </c>
      <c r="J14804" s="40" t="str">
        <f>HYPERLINK("https://stock.pstatic.net/stock-research/company/2/20250206_company_21195000.pdf","PDF")</f>
        <v>PDF</v>
      </c>
      <c r="K14804" s="12" t="s">
        <v>28338</v>
      </c>
      <c r="L14804" s="20">
        <v>0.54639175257731953</v>
      </c>
    </row>
    <row r="14805" spans="1:12" x14ac:dyDescent="0.45">
      <c r="A14805" s="12" t="s">
        <v>28238</v>
      </c>
      <c r="B14805" s="12" t="s">
        <v>2956</v>
      </c>
      <c r="C14805" s="13" t="s">
        <v>2957</v>
      </c>
      <c r="D14805" s="13" t="s">
        <v>83</v>
      </c>
      <c r="E14805" s="12" t="s">
        <v>35</v>
      </c>
      <c r="F14805" s="14">
        <v>24000</v>
      </c>
      <c r="G14805" s="14">
        <v>17300</v>
      </c>
      <c r="H14805" s="13" t="s">
        <v>28339</v>
      </c>
      <c r="I14805" s="40" t="s">
        <v>18</v>
      </c>
      <c r="J14805" s="40" t="str">
        <f>HYPERLINK("https://stock.pstatic.net/stock-research/company/2/20250206_company_593729000.pdf","PDF")</f>
        <v>PDF</v>
      </c>
      <c r="K14805" s="12" t="s">
        <v>28340</v>
      </c>
      <c r="L14805" s="20">
        <v>0.38728323699421963</v>
      </c>
    </row>
    <row r="14806" spans="1:12" x14ac:dyDescent="0.45">
      <c r="A14806" s="12" t="s">
        <v>28238</v>
      </c>
      <c r="B14806" s="12" t="s">
        <v>1656</v>
      </c>
      <c r="C14806" s="13" t="s">
        <v>1657</v>
      </c>
      <c r="D14806" s="13" t="s">
        <v>83</v>
      </c>
      <c r="E14806" s="12" t="s">
        <v>35</v>
      </c>
      <c r="F14806" s="14">
        <v>170000</v>
      </c>
      <c r="G14806" s="14">
        <v>129900</v>
      </c>
      <c r="H14806" s="13" t="s">
        <v>28341</v>
      </c>
      <c r="I14806" s="40" t="s">
        <v>18</v>
      </c>
      <c r="J14806" s="40" t="str">
        <f>HYPERLINK("https://stock.pstatic.net/stock-research/company/2/20250206_company_184235000.pdf","PDF")</f>
        <v>PDF</v>
      </c>
      <c r="K14806" s="12" t="s">
        <v>28342</v>
      </c>
      <c r="L14806" s="20">
        <v>0.30869899923017707</v>
      </c>
    </row>
    <row r="14807" spans="1:12" x14ac:dyDescent="0.45">
      <c r="A14807" s="12" t="s">
        <v>28238</v>
      </c>
      <c r="B14807" s="12" t="s">
        <v>174</v>
      </c>
      <c r="C14807" s="13" t="s">
        <v>44</v>
      </c>
      <c r="D14807" s="13" t="s">
        <v>83</v>
      </c>
      <c r="E14807" s="12" t="s">
        <v>35</v>
      </c>
      <c r="F14807" s="14">
        <v>160000</v>
      </c>
      <c r="G14807" s="14">
        <v>117000</v>
      </c>
      <c r="H14807" s="13" t="s">
        <v>28343</v>
      </c>
      <c r="I14807" s="40" t="s">
        <v>18</v>
      </c>
      <c r="J14807" s="40" t="str">
        <f>HYPERLINK("https://stock.pstatic.net/stock-research/company/2/20250206_company_854928000.pdf","PDF")</f>
        <v>PDF</v>
      </c>
      <c r="K14807" s="12" t="s">
        <v>28344</v>
      </c>
      <c r="L14807" s="20">
        <v>0.36752136752136749</v>
      </c>
    </row>
    <row r="14808" spans="1:12" x14ac:dyDescent="0.45">
      <c r="A14808" s="12" t="s">
        <v>28238</v>
      </c>
      <c r="B14808" s="12" t="s">
        <v>1849</v>
      </c>
      <c r="C14808" s="13" t="s">
        <v>1850</v>
      </c>
      <c r="D14808" s="13" t="s">
        <v>83</v>
      </c>
      <c r="E14808" s="12" t="s">
        <v>35</v>
      </c>
      <c r="F14808" s="14">
        <v>30500</v>
      </c>
      <c r="G14808" s="14">
        <v>18280</v>
      </c>
      <c r="H14808" s="13" t="s">
        <v>28345</v>
      </c>
      <c r="I14808" s="40" t="s">
        <v>18</v>
      </c>
      <c r="J14808" s="40" t="str">
        <f>HYPERLINK("https://stock.pstatic.net/stock-research/company/2/20250206_company_702941000.pdf","PDF")</f>
        <v>PDF</v>
      </c>
      <c r="K14808" s="12" t="s">
        <v>28346</v>
      </c>
      <c r="L14808" s="20">
        <v>0.66849015317286653</v>
      </c>
    </row>
    <row r="14809" spans="1:12" x14ac:dyDescent="0.45">
      <c r="A14809" s="12" t="s">
        <v>28238</v>
      </c>
      <c r="B14809" s="12" t="s">
        <v>1686</v>
      </c>
      <c r="C14809" s="13" t="s">
        <v>1687</v>
      </c>
      <c r="D14809" s="13" t="s">
        <v>83</v>
      </c>
      <c r="E14809" s="12" t="s">
        <v>35</v>
      </c>
      <c r="F14809" s="14">
        <v>900000</v>
      </c>
      <c r="G14809" s="14">
        <v>704000</v>
      </c>
      <c r="H14809" s="13" t="s">
        <v>28347</v>
      </c>
      <c r="I14809" s="40" t="s">
        <v>18</v>
      </c>
      <c r="J14809" s="40" t="str">
        <f>HYPERLINK("https://stock.pstatic.net/stock-research/company/2/20250206_company_796029000.pdf","PDF")</f>
        <v>PDF</v>
      </c>
      <c r="K14809" s="12" t="s">
        <v>28348</v>
      </c>
      <c r="L14809" s="20">
        <v>0.27840909090909088</v>
      </c>
    </row>
    <row r="14810" spans="1:12" x14ac:dyDescent="0.45">
      <c r="A14810" s="12" t="s">
        <v>28238</v>
      </c>
      <c r="B14810" s="12" t="s">
        <v>744</v>
      </c>
      <c r="C14810" s="13" t="s">
        <v>745</v>
      </c>
      <c r="D14810" s="13" t="s">
        <v>53</v>
      </c>
      <c r="E14810" s="12" t="s">
        <v>16</v>
      </c>
      <c r="F14810" s="14">
        <v>18000</v>
      </c>
      <c r="G14810" s="14">
        <v>13400</v>
      </c>
      <c r="H14810" s="13" t="s">
        <v>28349</v>
      </c>
      <c r="I14810" s="40" t="s">
        <v>18</v>
      </c>
      <c r="J14810" s="40" t="str">
        <f>HYPERLINK("https://stock.pstatic.net/stock-research/company/40/20250206_company_551478000.pdf","PDF")</f>
        <v>PDF</v>
      </c>
      <c r="K14810" s="12" t="s">
        <v>28350</v>
      </c>
      <c r="L14810" s="20">
        <v>0.34328358208955218</v>
      </c>
    </row>
    <row r="14811" spans="1:12" x14ac:dyDescent="0.45">
      <c r="A14811" s="12" t="s">
        <v>28238</v>
      </c>
      <c r="B14811" s="12" t="s">
        <v>1216</v>
      </c>
      <c r="C14811" s="13" t="s">
        <v>1217</v>
      </c>
      <c r="D14811" s="13" t="s">
        <v>44</v>
      </c>
      <c r="E14811" s="12" t="s">
        <v>35</v>
      </c>
      <c r="F14811" s="14">
        <v>40000</v>
      </c>
      <c r="G14811" s="14">
        <v>26250</v>
      </c>
      <c r="H14811" s="13" t="s">
        <v>28351</v>
      </c>
      <c r="I14811" s="40" t="s">
        <v>18</v>
      </c>
      <c r="J14811" s="40" t="str">
        <f>HYPERLINK("https://stock.pstatic.net/stock-research/company/39/20250206_company_487766000.pdf","PDF")</f>
        <v>PDF</v>
      </c>
      <c r="K14811" s="12" t="s">
        <v>28352</v>
      </c>
      <c r="L14811" s="20">
        <v>0.52380952380952384</v>
      </c>
    </row>
    <row r="14812" spans="1:12" x14ac:dyDescent="0.45">
      <c r="A14812" s="12" t="s">
        <v>28238</v>
      </c>
      <c r="B14812" s="12" t="s">
        <v>3280</v>
      </c>
      <c r="C14812" s="13" t="s">
        <v>3281</v>
      </c>
      <c r="D14812" s="13" t="s">
        <v>23</v>
      </c>
      <c r="E14812" s="12" t="s">
        <v>16</v>
      </c>
      <c r="F14812" s="14">
        <v>54000</v>
      </c>
      <c r="G14812" s="14">
        <v>40900</v>
      </c>
      <c r="H14812" s="13" t="s">
        <v>8837</v>
      </c>
      <c r="I14812" s="40" t="s">
        <v>18</v>
      </c>
      <c r="J14812" s="40" t="str">
        <f>HYPERLINK("https://stock.pstatic.net/stock-research/company/21/20250206_company_658086000.pdf","PDF")</f>
        <v>PDF</v>
      </c>
      <c r="K14812" s="12" t="s">
        <v>28353</v>
      </c>
      <c r="L14812" s="20">
        <v>0.32029339853300731</v>
      </c>
    </row>
    <row r="14813" spans="1:12" x14ac:dyDescent="0.45">
      <c r="A14813" s="12" t="s">
        <v>28238</v>
      </c>
      <c r="B14813" s="12" t="s">
        <v>2650</v>
      </c>
      <c r="C14813" s="13" t="s">
        <v>2651</v>
      </c>
      <c r="D14813" s="13" t="s">
        <v>23</v>
      </c>
      <c r="E14813" s="12" t="s">
        <v>16</v>
      </c>
      <c r="F14813" s="14">
        <v>26000</v>
      </c>
      <c r="G14813" s="14">
        <v>22850</v>
      </c>
      <c r="H14813" s="13" t="s">
        <v>28354</v>
      </c>
      <c r="I14813" s="40" t="s">
        <v>18</v>
      </c>
      <c r="J14813" s="40" t="str">
        <f>HYPERLINK("https://stock.pstatic.net/stock-research/company/21/20250206_company_868713000.pdf","PDF")</f>
        <v>PDF</v>
      </c>
      <c r="K14813" s="12" t="s">
        <v>28355</v>
      </c>
      <c r="L14813" s="20">
        <v>0.137855579868709</v>
      </c>
    </row>
    <row r="14814" spans="1:12" x14ac:dyDescent="0.45">
      <c r="A14814" s="12" t="s">
        <v>28238</v>
      </c>
      <c r="B14814" s="12" t="s">
        <v>19984</v>
      </c>
      <c r="C14814" s="13" t="s">
        <v>19985</v>
      </c>
      <c r="D14814" s="13" t="s">
        <v>92</v>
      </c>
      <c r="E14814" s="12" t="s">
        <v>50</v>
      </c>
      <c r="F14814" s="13"/>
      <c r="G14814" s="14">
        <v>43150</v>
      </c>
      <c r="H14814" s="13" t="s">
        <v>28356</v>
      </c>
      <c r="I14814" s="40" t="s">
        <v>18</v>
      </c>
      <c r="J14814" s="40" t="str">
        <f>HYPERLINK("https://stock.pstatic.net/stock-research/company/63/20250206_company_436221000.pdf","PDF")</f>
        <v>PDF</v>
      </c>
      <c r="K14814" s="12" t="s">
        <v>28357</v>
      </c>
    </row>
    <row r="14815" spans="1:12" x14ac:dyDescent="0.45">
      <c r="A14815" s="12" t="s">
        <v>28238</v>
      </c>
      <c r="B14815" s="12" t="s">
        <v>2365</v>
      </c>
      <c r="C14815" s="13" t="s">
        <v>2366</v>
      </c>
      <c r="D14815" s="13" t="s">
        <v>34</v>
      </c>
      <c r="E14815" s="12" t="s">
        <v>35</v>
      </c>
      <c r="F14815" s="14">
        <v>110000</v>
      </c>
      <c r="G14815" s="14">
        <v>83100</v>
      </c>
      <c r="H14815" s="13" t="s">
        <v>28358</v>
      </c>
      <c r="I14815" s="40" t="s">
        <v>18</v>
      </c>
      <c r="J14815" s="40" t="str">
        <f>HYPERLINK("https://stock.pstatic.net/stock-research/company/61/20250206_company_719220000.pdf","PDF")</f>
        <v>PDF</v>
      </c>
      <c r="K14815" s="12" t="s">
        <v>28359</v>
      </c>
      <c r="L14815" s="20">
        <v>0.32370637785800238</v>
      </c>
    </row>
    <row r="14816" spans="1:12" x14ac:dyDescent="0.45">
      <c r="A14816" s="12" t="s">
        <v>28238</v>
      </c>
      <c r="B14816" s="12" t="s">
        <v>3280</v>
      </c>
      <c r="C14816" s="13" t="s">
        <v>3281</v>
      </c>
      <c r="D14816" s="13" t="s">
        <v>34</v>
      </c>
      <c r="E14816" s="12" t="s">
        <v>35</v>
      </c>
      <c r="F14816" s="14">
        <v>55000</v>
      </c>
      <c r="G14816" s="14">
        <v>40900</v>
      </c>
      <c r="H14816" s="13" t="s">
        <v>28360</v>
      </c>
      <c r="I14816" s="40" t="s">
        <v>18</v>
      </c>
      <c r="J14816" s="40" t="str">
        <f>HYPERLINK("https://stock.pstatic.net/stock-research/company/61/20250206_company_903340000.pdf","PDF")</f>
        <v>PDF</v>
      </c>
      <c r="K14816" s="12" t="s">
        <v>28361</v>
      </c>
      <c r="L14816" s="20">
        <v>0.34474327628361862</v>
      </c>
    </row>
    <row r="14817" spans="1:12" x14ac:dyDescent="0.45">
      <c r="A14817" s="12" t="s">
        <v>28238</v>
      </c>
      <c r="B14817" s="12" t="s">
        <v>174</v>
      </c>
      <c r="C14817" s="13" t="s">
        <v>44</v>
      </c>
      <c r="D14817" s="13" t="s">
        <v>179</v>
      </c>
      <c r="E14817" s="12" t="s">
        <v>16</v>
      </c>
      <c r="F14817" s="14">
        <v>157000</v>
      </c>
      <c r="G14817" s="14">
        <v>117000</v>
      </c>
      <c r="H14817" s="13" t="s">
        <v>28362</v>
      </c>
      <c r="I14817" s="40" t="s">
        <v>18</v>
      </c>
      <c r="J14817" s="40" t="str">
        <f>HYPERLINK("https://stock.pstatic.net/stock-research/company/31/20250206_company_164022000.pdf","PDF")</f>
        <v>PDF</v>
      </c>
      <c r="K14817" s="12" t="s">
        <v>28363</v>
      </c>
      <c r="L14817" s="20">
        <v>0.34188034188034189</v>
      </c>
    </row>
    <row r="14818" spans="1:12" x14ac:dyDescent="0.45">
      <c r="A14818" s="12" t="s">
        <v>28238</v>
      </c>
      <c r="B14818" s="12" t="s">
        <v>3373</v>
      </c>
      <c r="C14818" s="13" t="s">
        <v>3374</v>
      </c>
      <c r="D14818" s="13" t="s">
        <v>23</v>
      </c>
      <c r="E14818" s="12" t="s">
        <v>16</v>
      </c>
      <c r="F14818" s="14">
        <v>110000</v>
      </c>
      <c r="G14818" s="14">
        <v>91000</v>
      </c>
      <c r="H14818" s="13" t="s">
        <v>28364</v>
      </c>
      <c r="I14818" s="40" t="s">
        <v>18</v>
      </c>
      <c r="J14818" s="40" t="str">
        <f>HYPERLINK("https://stock.pstatic.net/stock-research/company/21/20250206_company_294907000.pdf","PDF")</f>
        <v>PDF</v>
      </c>
      <c r="K14818" s="12" t="s">
        <v>28365</v>
      </c>
      <c r="L14818" s="20">
        <v>0.2087912087912088</v>
      </c>
    </row>
    <row r="14819" spans="1:12" x14ac:dyDescent="0.45">
      <c r="A14819" s="12" t="s">
        <v>28238</v>
      </c>
      <c r="B14819" s="12" t="s">
        <v>744</v>
      </c>
      <c r="C14819" s="13" t="s">
        <v>745</v>
      </c>
      <c r="D14819" s="13" t="s">
        <v>44</v>
      </c>
      <c r="E14819" s="12" t="s">
        <v>35</v>
      </c>
      <c r="F14819" s="14">
        <v>19000</v>
      </c>
      <c r="G14819" s="14">
        <v>13400</v>
      </c>
      <c r="H14819" s="13" t="s">
        <v>28366</v>
      </c>
      <c r="I14819" s="40" t="s">
        <v>18</v>
      </c>
      <c r="J14819" s="40" t="str">
        <f>HYPERLINK("https://stock.pstatic.net/stock-research/company/39/20250206_company_59338000.pdf","PDF")</f>
        <v>PDF</v>
      </c>
      <c r="K14819" s="12" t="s">
        <v>28367</v>
      </c>
      <c r="L14819" s="20">
        <v>0.41791044776119401</v>
      </c>
    </row>
    <row r="14820" spans="1:12" x14ac:dyDescent="0.45">
      <c r="A14820" s="12" t="s">
        <v>28238</v>
      </c>
      <c r="B14820" s="12" t="s">
        <v>3373</v>
      </c>
      <c r="C14820" s="13" t="s">
        <v>3374</v>
      </c>
      <c r="D14820" s="13" t="s">
        <v>179</v>
      </c>
      <c r="E14820" s="12" t="s">
        <v>16</v>
      </c>
      <c r="F14820" s="14">
        <v>115000</v>
      </c>
      <c r="G14820" s="14">
        <v>91000</v>
      </c>
      <c r="H14820" s="13" t="s">
        <v>28368</v>
      </c>
      <c r="I14820" s="40" t="s">
        <v>18</v>
      </c>
      <c r="J14820" s="40" t="str">
        <f>HYPERLINK("https://stock.pstatic.net/stock-research/company/31/20250206_company_608428000.pdf","PDF")</f>
        <v>PDF</v>
      </c>
      <c r="K14820" s="12" t="s">
        <v>28369</v>
      </c>
      <c r="L14820" s="20">
        <v>0.26373626373626369</v>
      </c>
    </row>
    <row r="14821" spans="1:12" x14ac:dyDescent="0.45">
      <c r="A14821" s="12" t="s">
        <v>28238</v>
      </c>
      <c r="B14821" s="12" t="s">
        <v>1047</v>
      </c>
      <c r="C14821" s="13" t="s">
        <v>1048</v>
      </c>
      <c r="D14821" s="13" t="s">
        <v>23</v>
      </c>
      <c r="E14821" s="12" t="s">
        <v>16</v>
      </c>
      <c r="F14821" s="14">
        <v>14000</v>
      </c>
      <c r="G14821" s="14">
        <v>10350</v>
      </c>
      <c r="H14821" s="13" t="s">
        <v>28370</v>
      </c>
      <c r="I14821" s="40" t="s">
        <v>18</v>
      </c>
      <c r="J14821" s="40" t="str">
        <f>HYPERLINK("https://stock.pstatic.net/stock-research/company/21/20250206_company_429799000.pdf","PDF")</f>
        <v>PDF</v>
      </c>
      <c r="K14821" s="12" t="s">
        <v>28371</v>
      </c>
      <c r="L14821" s="20">
        <v>0.35265700483091789</v>
      </c>
    </row>
    <row r="14822" spans="1:12" x14ac:dyDescent="0.45">
      <c r="A14822" s="12" t="s">
        <v>28238</v>
      </c>
      <c r="B14822" s="12" t="s">
        <v>1047</v>
      </c>
      <c r="C14822" s="13" t="s">
        <v>1048</v>
      </c>
      <c r="D14822" s="13" t="s">
        <v>44</v>
      </c>
      <c r="E14822" s="12" t="s">
        <v>35</v>
      </c>
      <c r="F14822" s="14">
        <v>14000</v>
      </c>
      <c r="G14822" s="14">
        <v>10350</v>
      </c>
      <c r="H14822" s="13" t="s">
        <v>28372</v>
      </c>
      <c r="I14822" s="40" t="s">
        <v>18</v>
      </c>
      <c r="J14822" s="40" t="str">
        <f>HYPERLINK("https://stock.pstatic.net/stock-research/company/39/20250206_company_761914000.pdf","PDF")</f>
        <v>PDF</v>
      </c>
      <c r="K14822" s="12" t="s">
        <v>28373</v>
      </c>
      <c r="L14822" s="20">
        <v>0.35265700483091789</v>
      </c>
    </row>
    <row r="14823" spans="1:12" x14ac:dyDescent="0.45">
      <c r="A14823" s="12" t="s">
        <v>28238</v>
      </c>
      <c r="B14823" s="12" t="s">
        <v>1184</v>
      </c>
      <c r="C14823" s="13" t="s">
        <v>1185</v>
      </c>
      <c r="D14823" s="13" t="s">
        <v>23</v>
      </c>
      <c r="E14823" s="12" t="s">
        <v>16</v>
      </c>
      <c r="F14823" s="14">
        <v>20000</v>
      </c>
      <c r="G14823" s="14">
        <v>15490</v>
      </c>
      <c r="H14823" s="13" t="s">
        <v>28374</v>
      </c>
      <c r="I14823" s="40" t="s">
        <v>18</v>
      </c>
      <c r="J14823" s="40" t="str">
        <f>HYPERLINK("https://stock.pstatic.net/stock-research/company/1/20250206_company_388919000.pdf","PDF")</f>
        <v>PDF</v>
      </c>
      <c r="K14823" s="12" t="s">
        <v>28375</v>
      </c>
      <c r="L14823" s="20">
        <v>0.29115558424790189</v>
      </c>
    </row>
    <row r="14824" spans="1:12" x14ac:dyDescent="0.45">
      <c r="A14824" s="12" t="s">
        <v>28238</v>
      </c>
      <c r="B14824" s="12" t="s">
        <v>2365</v>
      </c>
      <c r="C14824" s="13" t="s">
        <v>2366</v>
      </c>
      <c r="D14824" s="13" t="s">
        <v>53</v>
      </c>
      <c r="E14824" s="12" t="s">
        <v>50</v>
      </c>
      <c r="F14824" s="14">
        <v>95000</v>
      </c>
      <c r="G14824" s="14">
        <v>83100</v>
      </c>
      <c r="H14824" s="13" t="s">
        <v>28376</v>
      </c>
      <c r="I14824" s="40" t="s">
        <v>18</v>
      </c>
      <c r="J14824" s="40" t="str">
        <f>HYPERLINK("https://stock.pstatic.net/stock-research/company/40/20250206_company_539779000.pdf","PDF")</f>
        <v>PDF</v>
      </c>
      <c r="K14824" s="12" t="s">
        <v>28377</v>
      </c>
      <c r="L14824" s="20">
        <v>0.1432009626955475</v>
      </c>
    </row>
    <row r="14825" spans="1:12" x14ac:dyDescent="0.45">
      <c r="A14825" s="12" t="s">
        <v>28238</v>
      </c>
      <c r="B14825" s="12" t="s">
        <v>1656</v>
      </c>
      <c r="C14825" s="13" t="s">
        <v>1657</v>
      </c>
      <c r="D14825" s="13" t="s">
        <v>23</v>
      </c>
      <c r="E14825" s="12" t="s">
        <v>16</v>
      </c>
      <c r="F14825" s="14">
        <v>160000</v>
      </c>
      <c r="G14825" s="14">
        <v>129900</v>
      </c>
      <c r="H14825" s="13" t="s">
        <v>11878</v>
      </c>
      <c r="I14825" s="40" t="s">
        <v>18</v>
      </c>
      <c r="J14825" s="40" t="str">
        <f>HYPERLINK("https://stock.pstatic.net/stock-research/company/21/20250206_company_318978000.pdf","PDF")</f>
        <v>PDF</v>
      </c>
      <c r="K14825" s="12" t="s">
        <v>28378</v>
      </c>
      <c r="L14825" s="20">
        <v>0.2317167051578137</v>
      </c>
    </row>
    <row r="14826" spans="1:12" x14ac:dyDescent="0.45">
      <c r="A14826" s="12" t="s">
        <v>28238</v>
      </c>
      <c r="B14826" s="12" t="s">
        <v>2365</v>
      </c>
      <c r="C14826" s="13" t="s">
        <v>2366</v>
      </c>
      <c r="D14826" s="13" t="s">
        <v>44</v>
      </c>
      <c r="E14826" s="12" t="s">
        <v>35</v>
      </c>
      <c r="F14826" s="14">
        <v>130000</v>
      </c>
      <c r="G14826" s="14">
        <v>83100</v>
      </c>
      <c r="H14826" s="13" t="s">
        <v>28379</v>
      </c>
      <c r="I14826" s="40" t="s">
        <v>18</v>
      </c>
      <c r="J14826" s="40" t="str">
        <f>HYPERLINK("https://stock.pstatic.net/stock-research/company/39/20250206_company_866070000.pdf","PDF")</f>
        <v>PDF</v>
      </c>
      <c r="K14826" s="12" t="s">
        <v>28380</v>
      </c>
      <c r="L14826" s="20">
        <v>0.56438026474127556</v>
      </c>
    </row>
    <row r="14827" spans="1:12" x14ac:dyDescent="0.45">
      <c r="A14827" s="12" t="s">
        <v>28238</v>
      </c>
      <c r="B14827" s="12" t="s">
        <v>1184</v>
      </c>
      <c r="C14827" s="13" t="s">
        <v>1185</v>
      </c>
      <c r="D14827" s="13" t="s">
        <v>44</v>
      </c>
      <c r="E14827" s="12" t="s">
        <v>50</v>
      </c>
      <c r="F14827" s="13"/>
      <c r="G14827" s="13"/>
      <c r="H14827" s="13" t="s">
        <v>28381</v>
      </c>
      <c r="I14827" s="40" t="s">
        <v>18</v>
      </c>
      <c r="J14827" s="40" t="str">
        <f>HYPERLINK("https://stock.pstatic.net/stock-research/company/1/20250206_company_915647000.pdf","PDF")</f>
        <v>PDF</v>
      </c>
      <c r="K14827" s="12" t="s">
        <v>28382</v>
      </c>
    </row>
    <row r="14828" spans="1:12" x14ac:dyDescent="0.45">
      <c r="A14828" s="12" t="s">
        <v>28238</v>
      </c>
      <c r="B14828" s="12" t="s">
        <v>1656</v>
      </c>
      <c r="C14828" s="13" t="s">
        <v>1657</v>
      </c>
      <c r="D14828" s="13" t="s">
        <v>44</v>
      </c>
      <c r="E14828" s="12" t="s">
        <v>50</v>
      </c>
      <c r="F14828" s="13"/>
      <c r="G14828" s="13"/>
      <c r="H14828" s="13" t="s">
        <v>28383</v>
      </c>
      <c r="I14828" s="40" t="s">
        <v>18</v>
      </c>
      <c r="J14828" s="40" t="str">
        <f>HYPERLINK("https://stock.pstatic.net/stock-research/company/39/20250206_company_499315000.pdf","PDF")</f>
        <v>PDF</v>
      </c>
      <c r="K14828" s="12" t="s">
        <v>28384</v>
      </c>
    </row>
    <row r="14829" spans="1:12" x14ac:dyDescent="0.45">
      <c r="A14829" s="12" t="s">
        <v>28238</v>
      </c>
      <c r="B14829" s="12" t="s">
        <v>1216</v>
      </c>
      <c r="C14829" s="13" t="s">
        <v>1217</v>
      </c>
      <c r="D14829" s="13" t="s">
        <v>179</v>
      </c>
      <c r="E14829" s="12" t="s">
        <v>16</v>
      </c>
      <c r="F14829" s="14">
        <v>34000</v>
      </c>
      <c r="G14829" s="14">
        <v>26250</v>
      </c>
      <c r="H14829" s="13" t="s">
        <v>28385</v>
      </c>
      <c r="I14829" s="40" t="s">
        <v>18</v>
      </c>
      <c r="J14829" s="40" t="str">
        <f>HYPERLINK("https://stock.pstatic.net/stock-research/company/31/20250206_company_953812000.pdf","PDF")</f>
        <v>PDF</v>
      </c>
      <c r="K14829" s="12" t="s">
        <v>28386</v>
      </c>
      <c r="L14829" s="20">
        <v>0.29523809523809519</v>
      </c>
    </row>
    <row r="14830" spans="1:12" x14ac:dyDescent="0.45">
      <c r="A14830" s="12" t="s">
        <v>28238</v>
      </c>
      <c r="B14830" s="12" t="s">
        <v>3373</v>
      </c>
      <c r="C14830" s="13" t="s">
        <v>3374</v>
      </c>
      <c r="D14830" s="13" t="s">
        <v>44</v>
      </c>
      <c r="E14830" s="12" t="s">
        <v>35</v>
      </c>
      <c r="F14830" s="14">
        <v>126000</v>
      </c>
      <c r="G14830" s="14">
        <v>91000</v>
      </c>
      <c r="H14830" s="13" t="s">
        <v>28387</v>
      </c>
      <c r="I14830" s="40" t="s">
        <v>18</v>
      </c>
      <c r="J14830" s="40" t="str">
        <f>HYPERLINK("https://stock.pstatic.net/stock-research/company/39/20250206_company_18101000.pdf","PDF")</f>
        <v>PDF</v>
      </c>
      <c r="K14830" s="12" t="s">
        <v>28388</v>
      </c>
      <c r="L14830" s="20">
        <v>0.38461538461538458</v>
      </c>
    </row>
    <row r="14831" spans="1:12" x14ac:dyDescent="0.45">
      <c r="A14831" s="12" t="s">
        <v>28238</v>
      </c>
      <c r="B14831" s="12" t="s">
        <v>22878</v>
      </c>
      <c r="C14831" s="13" t="s">
        <v>22879</v>
      </c>
      <c r="D14831" s="13" t="s">
        <v>44</v>
      </c>
      <c r="E14831" s="12" t="s">
        <v>35</v>
      </c>
      <c r="F14831" s="14">
        <v>37000</v>
      </c>
      <c r="G14831" s="14">
        <v>26650</v>
      </c>
      <c r="H14831" s="13" t="s">
        <v>28389</v>
      </c>
      <c r="I14831" s="40" t="s">
        <v>18</v>
      </c>
      <c r="J14831" s="40" t="str">
        <f>HYPERLINK("https://stock.pstatic.net/stock-research/company/39/20250206_company_242225000.pdf","PDF")</f>
        <v>PDF</v>
      </c>
      <c r="K14831" s="12" t="s">
        <v>28390</v>
      </c>
      <c r="L14831" s="20">
        <v>0.38836772983114448</v>
      </c>
    </row>
    <row r="14832" spans="1:12" x14ac:dyDescent="0.45">
      <c r="A14832" s="12" t="s">
        <v>28238</v>
      </c>
      <c r="B14832" s="12" t="s">
        <v>744</v>
      </c>
      <c r="C14832" s="13" t="s">
        <v>745</v>
      </c>
      <c r="D14832" s="13" t="s">
        <v>179</v>
      </c>
      <c r="E14832" s="12" t="s">
        <v>16</v>
      </c>
      <c r="F14832" s="14">
        <v>17000</v>
      </c>
      <c r="G14832" s="14">
        <v>13400</v>
      </c>
      <c r="H14832" s="13" t="s">
        <v>28391</v>
      </c>
      <c r="I14832" s="40" t="s">
        <v>18</v>
      </c>
      <c r="J14832" s="40" t="str">
        <f>HYPERLINK("https://stock.pstatic.net/stock-research/company/31/20250206_company_791012000.pdf","PDF")</f>
        <v>PDF</v>
      </c>
      <c r="K14832" s="12" t="s">
        <v>28392</v>
      </c>
      <c r="L14832" s="20">
        <v>0.26865671641791039</v>
      </c>
    </row>
    <row r="14833" spans="1:12" x14ac:dyDescent="0.45">
      <c r="A14833" s="12" t="s">
        <v>28238</v>
      </c>
      <c r="B14833" s="12" t="s">
        <v>8861</v>
      </c>
      <c r="C14833" s="13" t="s">
        <v>8862</v>
      </c>
      <c r="D14833" s="13" t="s">
        <v>53</v>
      </c>
      <c r="E14833" s="12" t="s">
        <v>16</v>
      </c>
      <c r="F14833" s="14">
        <v>21000</v>
      </c>
      <c r="G14833" s="14">
        <v>14960</v>
      </c>
      <c r="H14833" s="13" t="s">
        <v>28393</v>
      </c>
      <c r="I14833" s="40" t="s">
        <v>18</v>
      </c>
      <c r="J14833" s="40" t="str">
        <f>HYPERLINK("https://stock.pstatic.net/stock-research/company/40/20250206_company_88525000.pdf","PDF")</f>
        <v>PDF</v>
      </c>
      <c r="K14833" s="12" t="s">
        <v>28394</v>
      </c>
      <c r="L14833" s="20">
        <v>0.40374331550802139</v>
      </c>
    </row>
    <row r="14834" spans="1:12" x14ac:dyDescent="0.45">
      <c r="A14834" s="12" t="s">
        <v>28238</v>
      </c>
      <c r="B14834" s="12" t="s">
        <v>2621</v>
      </c>
      <c r="C14834" s="13" t="s">
        <v>2622</v>
      </c>
      <c r="D14834" s="13" t="s">
        <v>53</v>
      </c>
      <c r="E14834" s="12" t="s">
        <v>16</v>
      </c>
      <c r="F14834" s="14">
        <v>9000</v>
      </c>
      <c r="G14834" s="14">
        <v>7380</v>
      </c>
      <c r="H14834" s="13" t="s">
        <v>28395</v>
      </c>
      <c r="I14834" s="40" t="s">
        <v>18</v>
      </c>
      <c r="J14834" s="40" t="str">
        <f>HYPERLINK("https://stock.pstatic.net/stock-research/company/1/20250206_company_11283000.pdf","PDF")</f>
        <v>PDF</v>
      </c>
      <c r="K14834" s="12" t="s">
        <v>28396</v>
      </c>
      <c r="L14834" s="20">
        <v>0.21951219512195119</v>
      </c>
    </row>
    <row r="14835" spans="1:12" x14ac:dyDescent="0.45">
      <c r="A14835" s="12" t="s">
        <v>28238</v>
      </c>
      <c r="B14835" s="12" t="s">
        <v>1656</v>
      </c>
      <c r="C14835" s="13" t="s">
        <v>1657</v>
      </c>
      <c r="D14835" s="13" t="s">
        <v>53</v>
      </c>
      <c r="E14835" s="12" t="s">
        <v>16</v>
      </c>
      <c r="F14835" s="14">
        <v>180000</v>
      </c>
      <c r="G14835" s="14">
        <v>129900</v>
      </c>
      <c r="H14835" s="13" t="s">
        <v>28397</v>
      </c>
      <c r="I14835" s="40" t="s">
        <v>18</v>
      </c>
      <c r="J14835" s="40" t="str">
        <f>HYPERLINK("https://stock.pstatic.net/stock-research/company/40/20250206_company_618630000.pdf","PDF")</f>
        <v>PDF</v>
      </c>
      <c r="K14835" s="12" t="s">
        <v>28398</v>
      </c>
      <c r="L14835" s="20">
        <v>0.38568129330254042</v>
      </c>
    </row>
    <row r="14836" spans="1:12" x14ac:dyDescent="0.45">
      <c r="A14836" s="12" t="s">
        <v>28238</v>
      </c>
      <c r="B14836" s="12" t="s">
        <v>2956</v>
      </c>
      <c r="C14836" s="13" t="s">
        <v>2957</v>
      </c>
      <c r="D14836" s="13" t="s">
        <v>53</v>
      </c>
      <c r="E14836" s="12" t="s">
        <v>16</v>
      </c>
      <c r="F14836" s="14">
        <v>24000</v>
      </c>
      <c r="G14836" s="14">
        <v>17300</v>
      </c>
      <c r="H14836" s="13" t="s">
        <v>28399</v>
      </c>
      <c r="I14836" s="40" t="s">
        <v>18</v>
      </c>
      <c r="J14836" s="40" t="str">
        <f>HYPERLINK("https://stock.pstatic.net/stock-research/company/40/20250206_company_209965000.pdf","PDF")</f>
        <v>PDF</v>
      </c>
      <c r="K14836" s="12" t="s">
        <v>28400</v>
      </c>
      <c r="L14836" s="20">
        <v>0.38728323699421963</v>
      </c>
    </row>
    <row r="14837" spans="1:12" x14ac:dyDescent="0.45">
      <c r="A14837" s="12" t="s">
        <v>28401</v>
      </c>
      <c r="B14837" s="12" t="s">
        <v>3887</v>
      </c>
      <c r="C14837" s="13" t="s">
        <v>3888</v>
      </c>
      <c r="D14837" s="13" t="s">
        <v>276</v>
      </c>
      <c r="E14837" s="12" t="s">
        <v>16</v>
      </c>
      <c r="F14837" s="14">
        <v>34000</v>
      </c>
      <c r="G14837" s="14">
        <v>23050</v>
      </c>
      <c r="H14837" s="13" t="s">
        <v>28402</v>
      </c>
      <c r="I14837" s="40" t="s">
        <v>18</v>
      </c>
      <c r="J14837" s="40" t="str">
        <f>HYPERLINK("https://stock.pstatic.net/stock-research/company/66/20250205_company_888627000.pdf","PDF")</f>
        <v>PDF</v>
      </c>
      <c r="K14837" s="12" t="s">
        <v>28403</v>
      </c>
      <c r="L14837" s="20">
        <v>0.47505422993492408</v>
      </c>
    </row>
    <row r="14838" spans="1:12" x14ac:dyDescent="0.45">
      <c r="A14838" s="12" t="s">
        <v>28401</v>
      </c>
      <c r="B14838" s="12" t="s">
        <v>450</v>
      </c>
      <c r="C14838" s="13" t="s">
        <v>451</v>
      </c>
      <c r="D14838" s="13" t="s">
        <v>60</v>
      </c>
      <c r="E14838" s="12" t="s">
        <v>35</v>
      </c>
      <c r="F14838" s="14">
        <v>370000</v>
      </c>
      <c r="G14838" s="13"/>
      <c r="H14838" s="13" t="s">
        <v>28404</v>
      </c>
      <c r="I14838" s="40" t="s">
        <v>18</v>
      </c>
      <c r="J14838" s="40" t="str">
        <f>HYPERLINK("https://stock.pstatic.net/stock-research/company/62/20250205_company_294179000.pdf","PDF")</f>
        <v>PDF</v>
      </c>
      <c r="K14838" s="12" t="s">
        <v>28405</v>
      </c>
    </row>
    <row r="14839" spans="1:12" x14ac:dyDescent="0.45">
      <c r="A14839" s="12" t="s">
        <v>28401</v>
      </c>
      <c r="B14839" s="12" t="s">
        <v>2662</v>
      </c>
      <c r="C14839" s="13" t="s">
        <v>2663</v>
      </c>
      <c r="D14839" s="13" t="s">
        <v>60</v>
      </c>
      <c r="E14839" s="12" t="s">
        <v>50</v>
      </c>
      <c r="F14839" s="14">
        <v>33000</v>
      </c>
      <c r="G14839" s="14">
        <v>29250</v>
      </c>
      <c r="H14839" s="13" t="s">
        <v>28406</v>
      </c>
      <c r="I14839" s="40" t="s">
        <v>18</v>
      </c>
      <c r="J14839" s="40" t="str">
        <f>HYPERLINK("https://stock.pstatic.net/stock-research/company/62/20250205_company_873539000.pdf","PDF")</f>
        <v>PDF</v>
      </c>
      <c r="K14839" s="12" t="s">
        <v>28407</v>
      </c>
      <c r="L14839" s="20">
        <v>0.12820512820512819</v>
      </c>
    </row>
    <row r="14840" spans="1:12" x14ac:dyDescent="0.45">
      <c r="A14840" s="12" t="s">
        <v>28401</v>
      </c>
      <c r="B14840" s="12" t="s">
        <v>150</v>
      </c>
      <c r="C14840" s="13" t="s">
        <v>151</v>
      </c>
      <c r="D14840" s="13" t="s">
        <v>60</v>
      </c>
      <c r="E14840" s="12" t="s">
        <v>35</v>
      </c>
      <c r="F14840" s="14">
        <v>34000</v>
      </c>
      <c r="G14840" s="14">
        <v>18750</v>
      </c>
      <c r="H14840" s="13" t="s">
        <v>28408</v>
      </c>
      <c r="I14840" s="40" t="s">
        <v>18</v>
      </c>
      <c r="J14840" s="40" t="str">
        <f>HYPERLINK("https://stock.pstatic.net/stock-research/company/62/20250205_company_735653000.pdf","PDF")</f>
        <v>PDF</v>
      </c>
      <c r="K14840" s="12" t="s">
        <v>28409</v>
      </c>
      <c r="L14840" s="20">
        <v>0.81333333333333335</v>
      </c>
    </row>
    <row r="14841" spans="1:12" x14ac:dyDescent="0.45">
      <c r="A14841" s="12" t="s">
        <v>28401</v>
      </c>
      <c r="B14841" s="12" t="s">
        <v>13983</v>
      </c>
      <c r="C14841" s="13" t="s">
        <v>13984</v>
      </c>
      <c r="D14841" s="13" t="s">
        <v>60</v>
      </c>
      <c r="E14841" s="12" t="s">
        <v>35</v>
      </c>
      <c r="F14841" s="14">
        <v>9400</v>
      </c>
      <c r="G14841" s="14">
        <v>7530</v>
      </c>
      <c r="H14841" s="13" t="s">
        <v>28410</v>
      </c>
      <c r="I14841" s="40" t="s">
        <v>18</v>
      </c>
      <c r="J14841" s="40" t="str">
        <f>HYPERLINK("https://stock.pstatic.net/stock-research/company/1/20250205_company_847612000.pdf","PDF")</f>
        <v>PDF</v>
      </c>
      <c r="K14841" s="12" t="s">
        <v>28411</v>
      </c>
      <c r="L14841" s="20">
        <v>0.24833997343957501</v>
      </c>
    </row>
    <row r="14842" spans="1:12" x14ac:dyDescent="0.45">
      <c r="A14842" s="12" t="s">
        <v>28401</v>
      </c>
      <c r="B14842" s="12" t="s">
        <v>450</v>
      </c>
      <c r="C14842" s="13" t="s">
        <v>451</v>
      </c>
      <c r="D14842" s="13" t="s">
        <v>65</v>
      </c>
      <c r="E14842" s="12" t="s">
        <v>35</v>
      </c>
      <c r="F14842" s="14">
        <v>400000</v>
      </c>
      <c r="G14842" s="14">
        <v>296000</v>
      </c>
      <c r="H14842" s="13" t="s">
        <v>28412</v>
      </c>
      <c r="I14842" s="40" t="s">
        <v>18</v>
      </c>
      <c r="J14842" s="40" t="str">
        <f>HYPERLINK("https://stock.pstatic.net/stock-research/company/1/20250205_company_533994000.pdf","PDF")</f>
        <v>PDF</v>
      </c>
      <c r="K14842" s="12" t="s">
        <v>28413</v>
      </c>
      <c r="L14842" s="20">
        <v>0.35135135135135143</v>
      </c>
    </row>
    <row r="14843" spans="1:12" x14ac:dyDescent="0.45">
      <c r="A14843" s="12" t="s">
        <v>28401</v>
      </c>
      <c r="B14843" s="12" t="s">
        <v>3482</v>
      </c>
      <c r="C14843" s="13" t="s">
        <v>3483</v>
      </c>
      <c r="D14843" s="13" t="s">
        <v>65</v>
      </c>
      <c r="E14843" s="12" t="s">
        <v>35</v>
      </c>
      <c r="F14843" s="14">
        <v>82000</v>
      </c>
      <c r="G14843" s="14">
        <v>61500</v>
      </c>
      <c r="H14843" s="13" t="s">
        <v>28414</v>
      </c>
      <c r="I14843" s="40" t="s">
        <v>18</v>
      </c>
      <c r="J14843" s="40" t="str">
        <f>HYPERLINK("https://stock.pstatic.net/stock-research/company/57/20250205_company_969188000.pdf","PDF")</f>
        <v>PDF</v>
      </c>
      <c r="K14843" s="12" t="s">
        <v>28415</v>
      </c>
      <c r="L14843" s="20">
        <v>0.33333333333333331</v>
      </c>
    </row>
    <row r="14844" spans="1:12" x14ac:dyDescent="0.45">
      <c r="A14844" s="12" t="s">
        <v>28401</v>
      </c>
      <c r="B14844" s="12" t="s">
        <v>3451</v>
      </c>
      <c r="C14844" s="13" t="s">
        <v>3452</v>
      </c>
      <c r="D14844" s="13" t="s">
        <v>65</v>
      </c>
      <c r="E14844" s="12" t="s">
        <v>35</v>
      </c>
      <c r="F14844" s="14">
        <v>240000</v>
      </c>
      <c r="G14844" s="14">
        <v>174700</v>
      </c>
      <c r="H14844" s="13" t="s">
        <v>28416</v>
      </c>
      <c r="I14844" s="40" t="s">
        <v>18</v>
      </c>
      <c r="J14844" s="40" t="str">
        <f>HYPERLINK("https://stock.pstatic.net/stock-research/company/57/20250205_company_661492000.pdf","PDF")</f>
        <v>PDF</v>
      </c>
      <c r="K14844" s="12" t="s">
        <v>28417</v>
      </c>
      <c r="L14844" s="20">
        <v>0.37378362907842022</v>
      </c>
    </row>
    <row r="14845" spans="1:12" x14ac:dyDescent="0.45">
      <c r="A14845" s="12" t="s">
        <v>28401</v>
      </c>
      <c r="B14845" s="12" t="s">
        <v>1670</v>
      </c>
      <c r="C14845" s="13" t="s">
        <v>26171</v>
      </c>
      <c r="D14845" s="13" t="s">
        <v>65</v>
      </c>
      <c r="E14845" s="12" t="s">
        <v>35</v>
      </c>
      <c r="F14845" s="14">
        <v>140000</v>
      </c>
      <c r="G14845" s="14">
        <v>106400</v>
      </c>
      <c r="H14845" s="13" t="s">
        <v>28418</v>
      </c>
      <c r="I14845" s="40" t="s">
        <v>18</v>
      </c>
      <c r="J14845" s="40" t="str">
        <f>HYPERLINK("https://stock.pstatic.net/stock-research/company/57/20250205_company_553790000.pdf","PDF")</f>
        <v>PDF</v>
      </c>
      <c r="K14845" s="12" t="s">
        <v>28419</v>
      </c>
      <c r="L14845" s="20">
        <v>0.31578947368421051</v>
      </c>
    </row>
    <row r="14846" spans="1:12" x14ac:dyDescent="0.45">
      <c r="A14846" s="12" t="s">
        <v>28401</v>
      </c>
      <c r="B14846" s="12" t="s">
        <v>3536</v>
      </c>
      <c r="C14846" s="13" t="s">
        <v>3537</v>
      </c>
      <c r="D14846" s="13" t="s">
        <v>65</v>
      </c>
      <c r="E14846" s="12" t="s">
        <v>35</v>
      </c>
      <c r="F14846" s="14">
        <v>320000</v>
      </c>
      <c r="G14846" s="14">
        <v>227000</v>
      </c>
      <c r="H14846" s="13" t="s">
        <v>28420</v>
      </c>
      <c r="I14846" s="40" t="s">
        <v>18</v>
      </c>
      <c r="J14846" s="40" t="str">
        <f>HYPERLINK("https://stock.pstatic.net/stock-research/company/57/20250205_company_936823000.pdf","PDF")</f>
        <v>PDF</v>
      </c>
      <c r="K14846" s="12" t="s">
        <v>28421</v>
      </c>
      <c r="L14846" s="20">
        <v>0.40969162995594721</v>
      </c>
    </row>
    <row r="14847" spans="1:12" x14ac:dyDescent="0.45">
      <c r="A14847" s="12" t="s">
        <v>28401</v>
      </c>
      <c r="B14847" s="12" t="s">
        <v>916</v>
      </c>
      <c r="C14847" s="13" t="s">
        <v>917</v>
      </c>
      <c r="D14847" s="13" t="s">
        <v>65</v>
      </c>
      <c r="E14847" s="12" t="s">
        <v>35</v>
      </c>
      <c r="F14847" s="14">
        <v>50000</v>
      </c>
      <c r="G14847" s="14">
        <v>40900</v>
      </c>
      <c r="H14847" s="13" t="s">
        <v>28422</v>
      </c>
      <c r="I14847" s="40" t="s">
        <v>18</v>
      </c>
      <c r="J14847" s="40" t="str">
        <f>HYPERLINK("https://stock.pstatic.net/stock-research/company/57/20250205_company_18294000.pdf","PDF")</f>
        <v>PDF</v>
      </c>
      <c r="K14847" s="12" t="s">
        <v>28423</v>
      </c>
      <c r="L14847" s="20">
        <v>0.22249388753056229</v>
      </c>
    </row>
    <row r="14848" spans="1:12" x14ac:dyDescent="0.45">
      <c r="A14848" s="12" t="s">
        <v>28401</v>
      </c>
      <c r="B14848" s="12" t="s">
        <v>541</v>
      </c>
      <c r="C14848" s="13" t="s">
        <v>542</v>
      </c>
      <c r="D14848" s="13" t="s">
        <v>65</v>
      </c>
      <c r="E14848" s="12" t="s">
        <v>35</v>
      </c>
      <c r="F14848" s="14">
        <v>70000</v>
      </c>
      <c r="G14848" s="14">
        <v>55700</v>
      </c>
      <c r="H14848" s="13" t="s">
        <v>28424</v>
      </c>
      <c r="I14848" s="40" t="s">
        <v>18</v>
      </c>
      <c r="J14848" s="40" t="str">
        <f>HYPERLINK("https://stock.pstatic.net/stock-research/company/57/20250205_company_646767000.pdf","PDF")</f>
        <v>PDF</v>
      </c>
      <c r="K14848" s="12" t="s">
        <v>28425</v>
      </c>
      <c r="L14848" s="20">
        <v>0.25673249551166971</v>
      </c>
    </row>
    <row r="14849" spans="1:12" x14ac:dyDescent="0.45">
      <c r="A14849" s="12" t="s">
        <v>28401</v>
      </c>
      <c r="B14849" s="12" t="s">
        <v>537</v>
      </c>
      <c r="C14849" s="13" t="s">
        <v>538</v>
      </c>
      <c r="D14849" s="13" t="s">
        <v>65</v>
      </c>
      <c r="E14849" s="12" t="s">
        <v>35</v>
      </c>
      <c r="F14849" s="14">
        <v>14000</v>
      </c>
      <c r="G14849" s="14">
        <v>9950</v>
      </c>
      <c r="H14849" s="13" t="s">
        <v>28426</v>
      </c>
      <c r="I14849" s="40" t="s">
        <v>18</v>
      </c>
      <c r="J14849" s="40" t="str">
        <f>HYPERLINK("https://stock.pstatic.net/stock-research/company/57/20250205_company_649939000.pdf","PDF")</f>
        <v>PDF</v>
      </c>
      <c r="K14849" s="12" t="s">
        <v>28427</v>
      </c>
      <c r="L14849" s="20">
        <v>0.40703517587939703</v>
      </c>
    </row>
    <row r="14850" spans="1:12" x14ac:dyDescent="0.45">
      <c r="A14850" s="12" t="s">
        <v>28401</v>
      </c>
      <c r="B14850" s="12" t="s">
        <v>533</v>
      </c>
      <c r="C14850" s="13" t="s">
        <v>534</v>
      </c>
      <c r="D14850" s="13" t="s">
        <v>65</v>
      </c>
      <c r="E14850" s="12" t="s">
        <v>35</v>
      </c>
      <c r="F14850" s="14">
        <v>60000</v>
      </c>
      <c r="G14850" s="14">
        <v>46700</v>
      </c>
      <c r="H14850" s="13" t="s">
        <v>28428</v>
      </c>
      <c r="I14850" s="40" t="s">
        <v>18</v>
      </c>
      <c r="J14850" s="40" t="str">
        <f>HYPERLINK("https://stock.pstatic.net/stock-research/company/57/20250205_company_364651000.pdf","PDF")</f>
        <v>PDF</v>
      </c>
      <c r="K14850" s="12" t="s">
        <v>28429</v>
      </c>
      <c r="L14850" s="20">
        <v>0.28479657387580298</v>
      </c>
    </row>
    <row r="14851" spans="1:12" x14ac:dyDescent="0.45">
      <c r="A14851" s="12" t="s">
        <v>28401</v>
      </c>
      <c r="B14851" s="12" t="s">
        <v>13983</v>
      </c>
      <c r="C14851" s="13" t="s">
        <v>13984</v>
      </c>
      <c r="D14851" s="13" t="s">
        <v>65</v>
      </c>
      <c r="E14851" s="12" t="s">
        <v>35</v>
      </c>
      <c r="F14851" s="14">
        <v>9000</v>
      </c>
      <c r="G14851" s="14">
        <v>7530</v>
      </c>
      <c r="H14851" s="13" t="s">
        <v>28430</v>
      </c>
      <c r="I14851" s="40" t="s">
        <v>18</v>
      </c>
      <c r="J14851" s="40" t="str">
        <f>HYPERLINK("https://stock.pstatic.net/stock-research/company/57/20250205_company_130994000.pdf","PDF")</f>
        <v>PDF</v>
      </c>
      <c r="K14851" s="12" t="s">
        <v>28431</v>
      </c>
      <c r="L14851" s="20">
        <v>0.19521912350597609</v>
      </c>
    </row>
    <row r="14852" spans="1:12" x14ac:dyDescent="0.45">
      <c r="A14852" s="12" t="s">
        <v>28401</v>
      </c>
      <c r="B14852" s="12" t="s">
        <v>957</v>
      </c>
      <c r="C14852" s="13" t="s">
        <v>958</v>
      </c>
      <c r="D14852" s="13" t="s">
        <v>65</v>
      </c>
      <c r="E14852" s="12" t="s">
        <v>35</v>
      </c>
      <c r="F14852" s="14">
        <v>270000</v>
      </c>
      <c r="G14852" s="14">
        <v>211500</v>
      </c>
      <c r="H14852" s="13" t="s">
        <v>28432</v>
      </c>
      <c r="I14852" s="40" t="s">
        <v>18</v>
      </c>
      <c r="J14852" s="40" t="str">
        <f>HYPERLINK("https://stock.pstatic.net/stock-research/company/1/20250205_company_274838000.pdf","PDF")</f>
        <v>PDF</v>
      </c>
      <c r="K14852" s="12" t="s">
        <v>28433</v>
      </c>
      <c r="L14852" s="20">
        <v>0.27659574468085107</v>
      </c>
    </row>
    <row r="14853" spans="1:12" x14ac:dyDescent="0.45">
      <c r="A14853" s="12" t="s">
        <v>28401</v>
      </c>
      <c r="B14853" s="12" t="s">
        <v>3887</v>
      </c>
      <c r="C14853" s="13" t="s">
        <v>3888</v>
      </c>
      <c r="D14853" s="13" t="s">
        <v>65</v>
      </c>
      <c r="E14853" s="12" t="s">
        <v>35</v>
      </c>
      <c r="F14853" s="14">
        <v>38000</v>
      </c>
      <c r="G14853" s="14">
        <v>23050</v>
      </c>
      <c r="H14853" s="13" t="s">
        <v>28434</v>
      </c>
      <c r="I14853" s="40" t="s">
        <v>18</v>
      </c>
      <c r="J14853" s="40" t="str">
        <f>HYPERLINK("https://stock.pstatic.net/stock-research/company/57/20250205_company_882976000.pdf","PDF")</f>
        <v>PDF</v>
      </c>
      <c r="K14853" s="12" t="s">
        <v>28435</v>
      </c>
      <c r="L14853" s="20">
        <v>0.64859002169197399</v>
      </c>
    </row>
    <row r="14854" spans="1:12" x14ac:dyDescent="0.45">
      <c r="A14854" s="12" t="s">
        <v>28401</v>
      </c>
      <c r="B14854" s="12" t="s">
        <v>3584</v>
      </c>
      <c r="C14854" s="13" t="s">
        <v>3585</v>
      </c>
      <c r="D14854" s="13" t="s">
        <v>57</v>
      </c>
      <c r="E14854" s="12" t="s">
        <v>35</v>
      </c>
      <c r="F14854" s="14">
        <v>26000</v>
      </c>
      <c r="G14854" s="14">
        <v>17340</v>
      </c>
      <c r="H14854" s="13" t="s">
        <v>28436</v>
      </c>
      <c r="I14854" s="40" t="s">
        <v>18</v>
      </c>
      <c r="J14854" s="40" t="str">
        <f>HYPERLINK("https://stock.pstatic.net/stock-research/company/16/20250205_company_538135000.pdf","PDF")</f>
        <v>PDF</v>
      </c>
      <c r="K14854" s="12" t="s">
        <v>28437</v>
      </c>
      <c r="L14854" s="20">
        <v>0.49942329873125718</v>
      </c>
    </row>
    <row r="14855" spans="1:12" x14ac:dyDescent="0.45">
      <c r="A14855" s="12" t="s">
        <v>28401</v>
      </c>
      <c r="B14855" s="12" t="s">
        <v>13983</v>
      </c>
      <c r="C14855" s="13" t="s">
        <v>13984</v>
      </c>
      <c r="D14855" s="13" t="s">
        <v>57</v>
      </c>
      <c r="E14855" s="12" t="s">
        <v>35</v>
      </c>
      <c r="F14855" s="14">
        <v>9000</v>
      </c>
      <c r="G14855" s="14">
        <v>7530</v>
      </c>
      <c r="H14855" s="13" t="s">
        <v>28438</v>
      </c>
      <c r="I14855" s="40" t="s">
        <v>18</v>
      </c>
      <c r="J14855" s="40" t="str">
        <f>HYPERLINK("https://stock.pstatic.net/stock-research/company/16/20250205_company_110252000.pdf","PDF")</f>
        <v>PDF</v>
      </c>
      <c r="K14855" s="12" t="s">
        <v>28439</v>
      </c>
      <c r="L14855" s="20">
        <v>0.19521912350597609</v>
      </c>
    </row>
    <row r="14856" spans="1:12" x14ac:dyDescent="0.45">
      <c r="A14856" s="12" t="s">
        <v>28401</v>
      </c>
      <c r="B14856" s="12" t="s">
        <v>5011</v>
      </c>
      <c r="C14856" s="13" t="s">
        <v>5012</v>
      </c>
      <c r="D14856" s="13" t="s">
        <v>57</v>
      </c>
      <c r="E14856" s="12" t="s">
        <v>35</v>
      </c>
      <c r="F14856" s="14">
        <v>65000</v>
      </c>
      <c r="G14856" s="14">
        <v>45250</v>
      </c>
      <c r="H14856" s="13" t="s">
        <v>28440</v>
      </c>
      <c r="I14856" s="40" t="s">
        <v>18</v>
      </c>
      <c r="J14856" s="40" t="str">
        <f>HYPERLINK("https://stock.pstatic.net/stock-research/company/16/20250205_company_203572000.pdf","PDF")</f>
        <v>PDF</v>
      </c>
      <c r="K14856" s="12" t="s">
        <v>28441</v>
      </c>
      <c r="L14856" s="20">
        <v>0.43646408839779011</v>
      </c>
    </row>
    <row r="14857" spans="1:12" x14ac:dyDescent="0.45">
      <c r="A14857" s="12" t="s">
        <v>28401</v>
      </c>
      <c r="B14857" s="12" t="s">
        <v>3482</v>
      </c>
      <c r="C14857" s="13" t="s">
        <v>3483</v>
      </c>
      <c r="D14857" s="13" t="s">
        <v>57</v>
      </c>
      <c r="E14857" s="12" t="s">
        <v>35</v>
      </c>
      <c r="F14857" s="14">
        <v>90000</v>
      </c>
      <c r="G14857" s="14">
        <v>61500</v>
      </c>
      <c r="H14857" s="13" t="s">
        <v>28442</v>
      </c>
      <c r="I14857" s="40" t="s">
        <v>18</v>
      </c>
      <c r="J14857" s="40" t="str">
        <f>HYPERLINK("https://stock.pstatic.net/stock-research/company/16/20250205_company_265678000.pdf","PDF")</f>
        <v>PDF</v>
      </c>
      <c r="K14857" s="12" t="s">
        <v>28443</v>
      </c>
      <c r="L14857" s="20">
        <v>0.46341463414634149</v>
      </c>
    </row>
    <row r="14858" spans="1:12" x14ac:dyDescent="0.45">
      <c r="A14858" s="12" t="s">
        <v>28401</v>
      </c>
      <c r="B14858" s="12" t="s">
        <v>3482</v>
      </c>
      <c r="C14858" s="13" t="s">
        <v>3483</v>
      </c>
      <c r="D14858" s="13" t="s">
        <v>158</v>
      </c>
      <c r="E14858" s="12" t="s">
        <v>35</v>
      </c>
      <c r="F14858" s="14">
        <v>81000</v>
      </c>
      <c r="G14858" s="14">
        <v>61500</v>
      </c>
      <c r="H14858" s="13" t="s">
        <v>28444</v>
      </c>
      <c r="I14858" s="40" t="s">
        <v>18</v>
      </c>
      <c r="J14858" s="40" t="str">
        <f>HYPERLINK("https://stock.pstatic.net/stock-research/company/18/20250205_company_983916000.pdf","PDF")</f>
        <v>PDF</v>
      </c>
      <c r="K14858" s="12" t="s">
        <v>28445</v>
      </c>
      <c r="L14858" s="20">
        <v>0.31707317073170732</v>
      </c>
    </row>
    <row r="14859" spans="1:12" x14ac:dyDescent="0.45">
      <c r="A14859" s="12" t="s">
        <v>28401</v>
      </c>
      <c r="B14859" s="12" t="s">
        <v>63</v>
      </c>
      <c r="C14859" s="13" t="s">
        <v>64</v>
      </c>
      <c r="D14859" s="13" t="s">
        <v>158</v>
      </c>
      <c r="E14859" s="12" t="s">
        <v>35</v>
      </c>
      <c r="F14859" s="14">
        <v>360000</v>
      </c>
      <c r="G14859" s="14">
        <v>238000</v>
      </c>
      <c r="H14859" s="13" t="s">
        <v>28446</v>
      </c>
      <c r="I14859" s="40" t="s">
        <v>18</v>
      </c>
      <c r="J14859" s="40" t="str">
        <f>HYPERLINK("https://stock.pstatic.net/stock-research/company/18/20250205_company_89008000.pdf","PDF")</f>
        <v>PDF</v>
      </c>
      <c r="K14859" s="12" t="s">
        <v>28447</v>
      </c>
      <c r="L14859" s="20">
        <v>0.51260504201680668</v>
      </c>
    </row>
    <row r="14860" spans="1:12" x14ac:dyDescent="0.45">
      <c r="A14860" s="12" t="s">
        <v>28401</v>
      </c>
      <c r="B14860" s="12" t="s">
        <v>63</v>
      </c>
      <c r="C14860" s="13" t="s">
        <v>64</v>
      </c>
      <c r="D14860" s="13" t="s">
        <v>15</v>
      </c>
      <c r="E14860" s="12" t="s">
        <v>16</v>
      </c>
      <c r="F14860" s="14">
        <v>350000</v>
      </c>
      <c r="G14860" s="14">
        <v>238000</v>
      </c>
      <c r="H14860" s="13" t="s">
        <v>28448</v>
      </c>
      <c r="I14860" s="40" t="s">
        <v>18</v>
      </c>
      <c r="J14860" s="40" t="str">
        <f>HYPERLINK("https://stock.pstatic.net/stock-research/company/29/20250205_company_373128000.pdf","PDF")</f>
        <v>PDF</v>
      </c>
      <c r="K14860" s="12" t="s">
        <v>28449</v>
      </c>
      <c r="L14860" s="20">
        <v>0.47058823529411759</v>
      </c>
    </row>
    <row r="14861" spans="1:12" x14ac:dyDescent="0.45">
      <c r="A14861" s="12" t="s">
        <v>28401</v>
      </c>
      <c r="B14861" s="12" t="s">
        <v>450</v>
      </c>
      <c r="C14861" s="13" t="s">
        <v>451</v>
      </c>
      <c r="D14861" s="13" t="s">
        <v>92</v>
      </c>
      <c r="E14861" s="12" t="s">
        <v>35</v>
      </c>
      <c r="F14861" s="14">
        <v>420000</v>
      </c>
      <c r="G14861" s="14">
        <v>296000</v>
      </c>
      <c r="H14861" s="13" t="s">
        <v>28450</v>
      </c>
      <c r="I14861" s="40" t="s">
        <v>18</v>
      </c>
      <c r="J14861" s="40" t="str">
        <f>HYPERLINK("https://stock.pstatic.net/stock-research/company/63/20250205_company_745337000.pdf","PDF")</f>
        <v>PDF</v>
      </c>
      <c r="K14861" s="12" t="s">
        <v>28451</v>
      </c>
      <c r="L14861" s="20">
        <v>0.41891891891891891</v>
      </c>
    </row>
    <row r="14862" spans="1:12" x14ac:dyDescent="0.45">
      <c r="A14862" s="12" t="s">
        <v>28401</v>
      </c>
      <c r="B14862" s="12" t="s">
        <v>3087</v>
      </c>
      <c r="C14862" s="13" t="s">
        <v>3088</v>
      </c>
      <c r="D14862" s="13" t="s">
        <v>23</v>
      </c>
      <c r="E14862" s="12" t="s">
        <v>50</v>
      </c>
      <c r="F14862" s="13"/>
      <c r="G14862" s="14">
        <v>174000</v>
      </c>
      <c r="H14862" s="13" t="s">
        <v>28452</v>
      </c>
      <c r="I14862" s="40" t="s">
        <v>18</v>
      </c>
      <c r="J14862" s="40" t="str">
        <f>HYPERLINK("https://stock.pstatic.net/stock-research/company/21/20250205_company_118283000.pdf","PDF")</f>
        <v>PDF</v>
      </c>
      <c r="K14862" s="12" t="s">
        <v>28453</v>
      </c>
    </row>
    <row r="14863" spans="1:12" x14ac:dyDescent="0.45">
      <c r="A14863" s="12" t="s">
        <v>28401</v>
      </c>
      <c r="B14863" s="12" t="s">
        <v>63</v>
      </c>
      <c r="C14863" s="13" t="s">
        <v>64</v>
      </c>
      <c r="D14863" s="13" t="s">
        <v>92</v>
      </c>
      <c r="E14863" s="12" t="s">
        <v>35</v>
      </c>
      <c r="F14863" s="14">
        <v>380000</v>
      </c>
      <c r="G14863" s="14">
        <v>238000</v>
      </c>
      <c r="H14863" s="13" t="s">
        <v>28454</v>
      </c>
      <c r="I14863" s="40" t="s">
        <v>18</v>
      </c>
      <c r="J14863" s="40" t="str">
        <f>HYPERLINK("https://stock.pstatic.net/stock-research/company/63/20250205_company_200031000.pdf","PDF")</f>
        <v>PDF</v>
      </c>
      <c r="K14863" s="12" t="s">
        <v>28455</v>
      </c>
      <c r="L14863" s="20">
        <v>0.59663865546218486</v>
      </c>
    </row>
    <row r="14864" spans="1:12" x14ac:dyDescent="0.45">
      <c r="A14864" s="12" t="s">
        <v>28401</v>
      </c>
      <c r="B14864" s="12" t="s">
        <v>3482</v>
      </c>
      <c r="C14864" s="13" t="s">
        <v>3483</v>
      </c>
      <c r="D14864" s="13" t="s">
        <v>15</v>
      </c>
      <c r="E14864" s="12" t="s">
        <v>16</v>
      </c>
      <c r="F14864" s="14">
        <v>80000</v>
      </c>
      <c r="G14864" s="14">
        <v>61500</v>
      </c>
      <c r="H14864" s="13" t="s">
        <v>28456</v>
      </c>
      <c r="I14864" s="40" t="s">
        <v>18</v>
      </c>
      <c r="J14864" s="40" t="str">
        <f>HYPERLINK("https://stock.pstatic.net/stock-research/company/1/20250205_company_311721000.pdf","PDF")</f>
        <v>PDF</v>
      </c>
      <c r="K14864" s="12" t="s">
        <v>28457</v>
      </c>
      <c r="L14864" s="20">
        <v>0.30081300813008133</v>
      </c>
    </row>
    <row r="14865" spans="1:12" x14ac:dyDescent="0.45">
      <c r="A14865" s="12" t="s">
        <v>28401</v>
      </c>
      <c r="B14865" s="12" t="s">
        <v>2662</v>
      </c>
      <c r="C14865" s="13" t="s">
        <v>2663</v>
      </c>
      <c r="D14865" s="13" t="s">
        <v>23</v>
      </c>
      <c r="E14865" s="12" t="s">
        <v>16</v>
      </c>
      <c r="F14865" s="14">
        <v>34000</v>
      </c>
      <c r="G14865" s="14">
        <v>29250</v>
      </c>
      <c r="H14865" s="13" t="s">
        <v>28458</v>
      </c>
      <c r="I14865" s="40" t="s">
        <v>18</v>
      </c>
      <c r="J14865" s="40" t="str">
        <f>HYPERLINK("https://stock.pstatic.net/stock-research/company/21/20250205_company_867253000.pdf","PDF")</f>
        <v>PDF</v>
      </c>
      <c r="K14865" s="12" t="s">
        <v>28459</v>
      </c>
      <c r="L14865" s="20">
        <v>0.1623931623931624</v>
      </c>
    </row>
    <row r="14866" spans="1:12" x14ac:dyDescent="0.45">
      <c r="A14866" s="12" t="s">
        <v>28401</v>
      </c>
      <c r="B14866" s="12" t="s">
        <v>450</v>
      </c>
      <c r="C14866" s="13" t="s">
        <v>451</v>
      </c>
      <c r="D14866" s="13" t="s">
        <v>44</v>
      </c>
      <c r="E14866" s="12" t="s">
        <v>35</v>
      </c>
      <c r="F14866" s="14">
        <v>400000</v>
      </c>
      <c r="G14866" s="14">
        <v>296000</v>
      </c>
      <c r="H14866" s="13" t="s">
        <v>28460</v>
      </c>
      <c r="I14866" s="40" t="s">
        <v>18</v>
      </c>
      <c r="J14866" s="40" t="str">
        <f>HYPERLINK("https://stock.pstatic.net/stock-research/company/39/20250205_company_196861000.pdf","PDF")</f>
        <v>PDF</v>
      </c>
      <c r="K14866" s="12" t="s">
        <v>28461</v>
      </c>
      <c r="L14866" s="20">
        <v>0.35135135135135143</v>
      </c>
    </row>
    <row r="14867" spans="1:12" x14ac:dyDescent="0.45">
      <c r="A14867" s="12" t="s">
        <v>28401</v>
      </c>
      <c r="B14867" s="12" t="s">
        <v>450</v>
      </c>
      <c r="C14867" s="13" t="s">
        <v>451</v>
      </c>
      <c r="D14867" s="13" t="s">
        <v>23</v>
      </c>
      <c r="E14867" s="12" t="s">
        <v>50</v>
      </c>
      <c r="F14867" s="14">
        <v>320000</v>
      </c>
      <c r="G14867" s="14">
        <v>296000</v>
      </c>
      <c r="H14867" s="13" t="s">
        <v>28462</v>
      </c>
      <c r="I14867" s="40" t="s">
        <v>18</v>
      </c>
      <c r="J14867" s="40" t="str">
        <f>HYPERLINK("https://stock.pstatic.net/stock-research/company/21/20250205_company_106442000.pdf","PDF")</f>
        <v>PDF</v>
      </c>
      <c r="K14867" s="12" t="s">
        <v>28463</v>
      </c>
      <c r="L14867" s="20">
        <v>8.1081081081081086E-2</v>
      </c>
    </row>
    <row r="14868" spans="1:12" x14ac:dyDescent="0.45">
      <c r="A14868" s="12" t="s">
        <v>28401</v>
      </c>
      <c r="B14868" s="12" t="s">
        <v>1670</v>
      </c>
      <c r="C14868" s="13" t="s">
        <v>26171</v>
      </c>
      <c r="D14868" s="13" t="s">
        <v>23</v>
      </c>
      <c r="E14868" s="12" t="s">
        <v>16</v>
      </c>
      <c r="F14868" s="14">
        <v>170000</v>
      </c>
      <c r="G14868" s="14">
        <v>107200</v>
      </c>
      <c r="H14868" s="13" t="s">
        <v>28464</v>
      </c>
      <c r="I14868" s="40" t="s">
        <v>18</v>
      </c>
      <c r="J14868" s="40" t="str">
        <f>HYPERLINK("https://stock.pstatic.net/stock-research/company/21/20250205_company_696424000.pdf","PDF")</f>
        <v>PDF</v>
      </c>
      <c r="K14868" s="12" t="s">
        <v>28465</v>
      </c>
      <c r="L14868" s="20">
        <v>0.58582089552238803</v>
      </c>
    </row>
    <row r="14869" spans="1:12" x14ac:dyDescent="0.45">
      <c r="A14869" s="12" t="s">
        <v>28401</v>
      </c>
      <c r="B14869" s="12" t="s">
        <v>3451</v>
      </c>
      <c r="C14869" s="13" t="s">
        <v>3452</v>
      </c>
      <c r="D14869" s="13" t="s">
        <v>179</v>
      </c>
      <c r="E14869" s="12" t="s">
        <v>16</v>
      </c>
      <c r="F14869" s="14">
        <v>250000</v>
      </c>
      <c r="G14869" s="14">
        <v>174700</v>
      </c>
      <c r="H14869" s="13" t="s">
        <v>28466</v>
      </c>
      <c r="I14869" s="40" t="s">
        <v>18</v>
      </c>
      <c r="J14869" s="40" t="str">
        <f>HYPERLINK("https://stock.pstatic.net/stock-research/company/31/20250205_company_524875000.pdf","PDF")</f>
        <v>PDF</v>
      </c>
      <c r="K14869" s="12" t="s">
        <v>28467</v>
      </c>
      <c r="L14869" s="20">
        <v>0.43102461362335431</v>
      </c>
    </row>
    <row r="14870" spans="1:12" x14ac:dyDescent="0.45">
      <c r="A14870" s="12" t="s">
        <v>28401</v>
      </c>
      <c r="B14870" s="12" t="s">
        <v>2758</v>
      </c>
      <c r="C14870" s="13" t="s">
        <v>2759</v>
      </c>
      <c r="D14870" s="13" t="s">
        <v>83</v>
      </c>
      <c r="E14870" s="12" t="s">
        <v>35</v>
      </c>
      <c r="F14870" s="14">
        <v>410000</v>
      </c>
      <c r="G14870" s="14">
        <v>248500</v>
      </c>
      <c r="H14870" s="13" t="s">
        <v>28468</v>
      </c>
      <c r="I14870" s="40" t="s">
        <v>18</v>
      </c>
      <c r="J14870" s="40" t="str">
        <f>HYPERLINK("https://stock.pstatic.net/stock-research/company/2/20250205_company_413580000.pdf","PDF")</f>
        <v>PDF</v>
      </c>
      <c r="K14870" s="12" t="s">
        <v>28469</v>
      </c>
      <c r="L14870" s="20">
        <v>0.64989939637826966</v>
      </c>
    </row>
    <row r="14871" spans="1:12" x14ac:dyDescent="0.45">
      <c r="A14871" s="12" t="s">
        <v>28401</v>
      </c>
      <c r="B14871" s="12" t="s">
        <v>3349</v>
      </c>
      <c r="C14871" s="13" t="s">
        <v>7707</v>
      </c>
      <c r="D14871" s="13" t="s">
        <v>83</v>
      </c>
      <c r="E14871" s="12" t="s">
        <v>35</v>
      </c>
      <c r="F14871" s="14">
        <v>30000</v>
      </c>
      <c r="G14871" s="14">
        <v>16640</v>
      </c>
      <c r="H14871" s="13" t="s">
        <v>28470</v>
      </c>
      <c r="I14871" s="40" t="s">
        <v>18</v>
      </c>
      <c r="J14871" s="40" t="str">
        <f>HYPERLINK("https://stock.pstatic.net/stock-research/company/2/20250205_company_91033000.pdf","PDF")</f>
        <v>PDF</v>
      </c>
      <c r="K14871" s="12" t="s">
        <v>28471</v>
      </c>
      <c r="L14871" s="20">
        <v>0.80288461538461542</v>
      </c>
    </row>
    <row r="14872" spans="1:12" x14ac:dyDescent="0.45">
      <c r="A14872" s="12" t="s">
        <v>28401</v>
      </c>
      <c r="B14872" s="12" t="s">
        <v>2873</v>
      </c>
      <c r="C14872" s="13" t="s">
        <v>2874</v>
      </c>
      <c r="D14872" s="13" t="s">
        <v>83</v>
      </c>
      <c r="E14872" s="12" t="s">
        <v>35</v>
      </c>
      <c r="F14872" s="14">
        <v>75000</v>
      </c>
      <c r="G14872" s="14">
        <v>46550</v>
      </c>
      <c r="H14872" s="13" t="s">
        <v>28472</v>
      </c>
      <c r="I14872" s="40" t="s">
        <v>18</v>
      </c>
      <c r="J14872" s="40" t="str">
        <f>HYPERLINK("https://stock.pstatic.net/stock-research/company/2/20250205_company_698848000.pdf","PDF")</f>
        <v>PDF</v>
      </c>
      <c r="K14872" s="12" t="s">
        <v>28473</v>
      </c>
      <c r="L14872" s="20">
        <v>0.61117078410311498</v>
      </c>
    </row>
    <row r="14873" spans="1:12" x14ac:dyDescent="0.45">
      <c r="A14873" s="12" t="s">
        <v>28401</v>
      </c>
      <c r="B14873" s="12" t="s">
        <v>3584</v>
      </c>
      <c r="C14873" s="13" t="s">
        <v>3585</v>
      </c>
      <c r="D14873" s="13" t="s">
        <v>83</v>
      </c>
      <c r="E14873" s="12" t="s">
        <v>35</v>
      </c>
      <c r="F14873" s="14">
        <v>27000</v>
      </c>
      <c r="G14873" s="14">
        <v>17340</v>
      </c>
      <c r="H14873" s="13" t="s">
        <v>28474</v>
      </c>
      <c r="I14873" s="40" t="s">
        <v>18</v>
      </c>
      <c r="J14873" s="40" t="str">
        <f>HYPERLINK("https://stock.pstatic.net/stock-research/company/2/20250205_company_345358000.pdf","PDF")</f>
        <v>PDF</v>
      </c>
      <c r="K14873" s="12" t="s">
        <v>28475</v>
      </c>
      <c r="L14873" s="20">
        <v>0.55709342560553632</v>
      </c>
    </row>
    <row r="14874" spans="1:12" x14ac:dyDescent="0.45">
      <c r="A14874" s="12" t="s">
        <v>28401</v>
      </c>
      <c r="B14874" s="12" t="s">
        <v>450</v>
      </c>
      <c r="C14874" s="13" t="s">
        <v>451</v>
      </c>
      <c r="D14874" s="13" t="s">
        <v>83</v>
      </c>
      <c r="E14874" s="12" t="s">
        <v>642</v>
      </c>
      <c r="F14874" s="14">
        <v>320000</v>
      </c>
      <c r="G14874" s="14">
        <v>296000</v>
      </c>
      <c r="H14874" s="13" t="s">
        <v>28476</v>
      </c>
      <c r="I14874" s="40" t="s">
        <v>18</v>
      </c>
      <c r="J14874" s="40" t="str">
        <f>HYPERLINK("https://stock.pstatic.net/stock-research/company/2/20250205_company_218271000.pdf","PDF")</f>
        <v>PDF</v>
      </c>
      <c r="K14874" s="12" t="s">
        <v>28477</v>
      </c>
      <c r="L14874" s="20">
        <v>8.1081081081081086E-2</v>
      </c>
    </row>
    <row r="14875" spans="1:12" x14ac:dyDescent="0.45">
      <c r="A14875" s="12" t="s">
        <v>28401</v>
      </c>
      <c r="B14875" s="12" t="s">
        <v>1051</v>
      </c>
      <c r="C14875" s="13" t="s">
        <v>1052</v>
      </c>
      <c r="D14875" s="13" t="s">
        <v>83</v>
      </c>
      <c r="E14875" s="12" t="s">
        <v>35</v>
      </c>
      <c r="F14875" s="14">
        <v>59000</v>
      </c>
      <c r="G14875" s="14">
        <v>40050</v>
      </c>
      <c r="H14875" s="13" t="s">
        <v>28478</v>
      </c>
      <c r="I14875" s="40" t="s">
        <v>18</v>
      </c>
      <c r="J14875" s="40" t="str">
        <f>HYPERLINK("https://stock.pstatic.net/stock-research/company/2/20250205_company_622236000.pdf","PDF")</f>
        <v>PDF</v>
      </c>
      <c r="K14875" s="12" t="s">
        <v>28479</v>
      </c>
      <c r="L14875" s="20">
        <v>0.47315855181023719</v>
      </c>
    </row>
    <row r="14876" spans="1:12" x14ac:dyDescent="0.45">
      <c r="A14876" s="12" t="s">
        <v>28401</v>
      </c>
      <c r="B14876" s="12" t="s">
        <v>3451</v>
      </c>
      <c r="C14876" s="13" t="s">
        <v>3452</v>
      </c>
      <c r="D14876" s="13" t="s">
        <v>83</v>
      </c>
      <c r="E14876" s="12" t="s">
        <v>35</v>
      </c>
      <c r="F14876" s="14">
        <v>290000</v>
      </c>
      <c r="G14876" s="14">
        <v>174700</v>
      </c>
      <c r="H14876" s="13" t="s">
        <v>28480</v>
      </c>
      <c r="I14876" s="40" t="s">
        <v>18</v>
      </c>
      <c r="J14876" s="40" t="str">
        <f>HYPERLINK("https://stock.pstatic.net/stock-research/company/2/20250205_company_936575000.pdf","PDF")</f>
        <v>PDF</v>
      </c>
      <c r="K14876" s="12" t="s">
        <v>28481</v>
      </c>
      <c r="L14876" s="20">
        <v>0.65998855180309102</v>
      </c>
    </row>
    <row r="14877" spans="1:12" x14ac:dyDescent="0.45">
      <c r="A14877" s="12" t="s">
        <v>28401</v>
      </c>
      <c r="B14877" s="12" t="s">
        <v>1051</v>
      </c>
      <c r="C14877" s="13" t="s">
        <v>1052</v>
      </c>
      <c r="D14877" s="13" t="s">
        <v>34</v>
      </c>
      <c r="E14877" s="12" t="s">
        <v>35</v>
      </c>
      <c r="F14877" s="14">
        <v>60000</v>
      </c>
      <c r="G14877" s="14">
        <v>40050</v>
      </c>
      <c r="H14877" s="13" t="s">
        <v>28482</v>
      </c>
      <c r="I14877" s="40" t="s">
        <v>18</v>
      </c>
      <c r="J14877" s="40" t="str">
        <f>HYPERLINK("https://stock.pstatic.net/stock-research/company/61/20250205_company_654891000.pdf","PDF")</f>
        <v>PDF</v>
      </c>
      <c r="K14877" s="12" t="s">
        <v>28483</v>
      </c>
      <c r="L14877" s="20">
        <v>0.49812734082396998</v>
      </c>
    </row>
    <row r="14878" spans="1:12" x14ac:dyDescent="0.45">
      <c r="A14878" s="12" t="s">
        <v>28401</v>
      </c>
      <c r="B14878" s="12" t="s">
        <v>63</v>
      </c>
      <c r="C14878" s="13" t="s">
        <v>64</v>
      </c>
      <c r="D14878" s="13" t="s">
        <v>34</v>
      </c>
      <c r="E14878" s="12" t="s">
        <v>35</v>
      </c>
      <c r="F14878" s="14">
        <v>350000</v>
      </c>
      <c r="G14878" s="14">
        <v>238000</v>
      </c>
      <c r="H14878" s="13" t="s">
        <v>28484</v>
      </c>
      <c r="I14878" s="40" t="s">
        <v>18</v>
      </c>
      <c r="J14878" s="40" t="str">
        <f>HYPERLINK("https://stock.pstatic.net/stock-research/company/61/20250205_company_4909000.pdf","PDF")</f>
        <v>PDF</v>
      </c>
      <c r="K14878" s="12" t="s">
        <v>28485</v>
      </c>
      <c r="L14878" s="20">
        <v>0.47058823529411759</v>
      </c>
    </row>
    <row r="14879" spans="1:12" x14ac:dyDescent="0.45">
      <c r="A14879" s="12" t="s">
        <v>28401</v>
      </c>
      <c r="B14879" s="12" t="s">
        <v>916</v>
      </c>
      <c r="C14879" s="13" t="s">
        <v>917</v>
      </c>
      <c r="D14879" s="13" t="s">
        <v>44</v>
      </c>
      <c r="E14879" s="12" t="s">
        <v>35</v>
      </c>
      <c r="F14879" s="14">
        <v>52000</v>
      </c>
      <c r="G14879" s="14">
        <v>40900</v>
      </c>
      <c r="H14879" s="13" t="s">
        <v>28486</v>
      </c>
      <c r="I14879" s="40" t="s">
        <v>18</v>
      </c>
      <c r="J14879" s="40" t="str">
        <f>HYPERLINK("https://stock.pstatic.net/stock-research/company/39/20250205_company_832797000.pdf","PDF")</f>
        <v>PDF</v>
      </c>
      <c r="K14879" s="12" t="s">
        <v>28487</v>
      </c>
      <c r="L14879" s="20">
        <v>0.27139364303178481</v>
      </c>
    </row>
    <row r="14880" spans="1:12" x14ac:dyDescent="0.45">
      <c r="A14880" s="12" t="s">
        <v>28401</v>
      </c>
      <c r="B14880" s="12" t="s">
        <v>1670</v>
      </c>
      <c r="C14880" s="13" t="s">
        <v>26171</v>
      </c>
      <c r="D14880" s="13" t="s">
        <v>34</v>
      </c>
      <c r="E14880" s="12" t="s">
        <v>35</v>
      </c>
      <c r="F14880" s="14">
        <v>170000</v>
      </c>
      <c r="G14880" s="14">
        <v>106400</v>
      </c>
      <c r="H14880" s="13" t="s">
        <v>28488</v>
      </c>
      <c r="I14880" s="40" t="s">
        <v>18</v>
      </c>
      <c r="J14880" s="40" t="str">
        <f>HYPERLINK("https://stock.pstatic.net/stock-research/company/61/20250205_company_31713000.pdf","PDF")</f>
        <v>PDF</v>
      </c>
      <c r="K14880" s="12" t="s">
        <v>28489</v>
      </c>
      <c r="L14880" s="20">
        <v>0.59774436090225569</v>
      </c>
    </row>
    <row r="14881" spans="1:12" x14ac:dyDescent="0.45">
      <c r="A14881" s="12" t="s">
        <v>28401</v>
      </c>
      <c r="B14881" s="12" t="s">
        <v>3887</v>
      </c>
      <c r="C14881" s="13" t="s">
        <v>3888</v>
      </c>
      <c r="D14881" s="13" t="s">
        <v>179</v>
      </c>
      <c r="E14881" s="12" t="s">
        <v>16</v>
      </c>
      <c r="F14881" s="14">
        <v>34000</v>
      </c>
      <c r="G14881" s="14">
        <v>23050</v>
      </c>
      <c r="H14881" s="13" t="s">
        <v>28490</v>
      </c>
      <c r="I14881" s="40" t="s">
        <v>18</v>
      </c>
      <c r="J14881" s="40" t="str">
        <f>HYPERLINK("https://stock.pstatic.net/stock-research/company/64/20250205_company_685681000.pdf","PDF")</f>
        <v>PDF</v>
      </c>
      <c r="K14881" s="12" t="s">
        <v>28491</v>
      </c>
      <c r="L14881" s="20">
        <v>0.47505422993492408</v>
      </c>
    </row>
    <row r="14882" spans="1:12" x14ac:dyDescent="0.45">
      <c r="A14882" s="12" t="s">
        <v>28401</v>
      </c>
      <c r="B14882" s="12" t="s">
        <v>3584</v>
      </c>
      <c r="C14882" s="13" t="s">
        <v>3585</v>
      </c>
      <c r="D14882" s="13" t="s">
        <v>92</v>
      </c>
      <c r="E14882" s="12" t="s">
        <v>35</v>
      </c>
      <c r="F14882" s="14">
        <v>24000</v>
      </c>
      <c r="G14882" s="14">
        <v>17340</v>
      </c>
      <c r="H14882" s="13" t="s">
        <v>28492</v>
      </c>
      <c r="I14882" s="40" t="s">
        <v>18</v>
      </c>
      <c r="J14882" s="40" t="str">
        <f>HYPERLINK("https://stock.pstatic.net/stock-research/company/63/20250205_company_11237000.pdf","PDF")</f>
        <v>PDF</v>
      </c>
      <c r="K14882" s="12" t="s">
        <v>28493</v>
      </c>
      <c r="L14882" s="20">
        <v>0.38408304498269902</v>
      </c>
    </row>
    <row r="14883" spans="1:12" x14ac:dyDescent="0.45">
      <c r="A14883" s="12" t="s">
        <v>28401</v>
      </c>
      <c r="B14883" s="12" t="s">
        <v>3584</v>
      </c>
      <c r="C14883" s="13" t="s">
        <v>3585</v>
      </c>
      <c r="D14883" s="13" t="s">
        <v>23</v>
      </c>
      <c r="E14883" s="12" t="s">
        <v>16</v>
      </c>
      <c r="F14883" s="14">
        <v>26000</v>
      </c>
      <c r="G14883" s="14">
        <v>17340</v>
      </c>
      <c r="H14883" s="13" t="s">
        <v>28494</v>
      </c>
      <c r="I14883" s="40" t="s">
        <v>18</v>
      </c>
      <c r="J14883" s="40" t="str">
        <f>HYPERLINK("https://stock.pstatic.net/stock-research/company/21/20250205_company_586955000.pdf","PDF")</f>
        <v>PDF</v>
      </c>
      <c r="K14883" s="12" t="s">
        <v>28495</v>
      </c>
      <c r="L14883" s="20">
        <v>0.49942329873125718</v>
      </c>
    </row>
    <row r="14884" spans="1:12" x14ac:dyDescent="0.45">
      <c r="A14884" s="12" t="s">
        <v>28401</v>
      </c>
      <c r="B14884" s="12" t="s">
        <v>3451</v>
      </c>
      <c r="C14884" s="13" t="s">
        <v>3452</v>
      </c>
      <c r="D14884" s="13" t="s">
        <v>23</v>
      </c>
      <c r="E14884" s="12" t="s">
        <v>16</v>
      </c>
      <c r="F14884" s="14">
        <v>270000</v>
      </c>
      <c r="G14884" s="14">
        <v>174700</v>
      </c>
      <c r="H14884" s="13" t="s">
        <v>28496</v>
      </c>
      <c r="I14884" s="40" t="s">
        <v>18</v>
      </c>
      <c r="J14884" s="40" t="str">
        <f>HYPERLINK("https://stock.pstatic.net/stock-research/company/21/20250205_company_674537000.pdf","PDF")</f>
        <v>PDF</v>
      </c>
      <c r="K14884" s="12" t="s">
        <v>28497</v>
      </c>
      <c r="L14884" s="20">
        <v>0.54550658271322272</v>
      </c>
    </row>
    <row r="14885" spans="1:12" x14ac:dyDescent="0.45">
      <c r="A14885" s="12" t="s">
        <v>28401</v>
      </c>
      <c r="B14885" s="12" t="s">
        <v>904</v>
      </c>
      <c r="C14885" s="13" t="s">
        <v>905</v>
      </c>
      <c r="D14885" s="13" t="s">
        <v>23</v>
      </c>
      <c r="E14885" s="12" t="s">
        <v>50</v>
      </c>
      <c r="F14885" s="13"/>
      <c r="G14885" s="14">
        <v>54200</v>
      </c>
      <c r="H14885" s="13" t="s">
        <v>28498</v>
      </c>
      <c r="I14885" s="40" t="s">
        <v>18</v>
      </c>
      <c r="J14885" s="40" t="str">
        <f>HYPERLINK("https://stock.pstatic.net/stock-research/company/21/20250205_company_515948000.pdf","PDF")</f>
        <v>PDF</v>
      </c>
      <c r="K14885" s="12" t="s">
        <v>28499</v>
      </c>
    </row>
    <row r="14886" spans="1:12" x14ac:dyDescent="0.45">
      <c r="A14886" s="12" t="s">
        <v>28401</v>
      </c>
      <c r="B14886" s="12" t="s">
        <v>1670</v>
      </c>
      <c r="C14886" s="13" t="s">
        <v>26171</v>
      </c>
      <c r="D14886" s="13" t="s">
        <v>179</v>
      </c>
      <c r="E14886" s="12" t="s">
        <v>16</v>
      </c>
      <c r="F14886" s="14">
        <v>130000</v>
      </c>
      <c r="G14886" s="14">
        <v>106400</v>
      </c>
      <c r="H14886" s="13" t="s">
        <v>28500</v>
      </c>
      <c r="I14886" s="40" t="s">
        <v>18</v>
      </c>
      <c r="J14886" s="40" t="str">
        <f>HYPERLINK("https://stock.pstatic.net/stock-research/company/31/20250205_company_923566000.pdf","PDF")</f>
        <v>PDF</v>
      </c>
      <c r="K14886" s="12" t="s">
        <v>28501</v>
      </c>
      <c r="L14886" s="20">
        <v>0.2218045112781955</v>
      </c>
    </row>
    <row r="14887" spans="1:12" x14ac:dyDescent="0.45">
      <c r="A14887" s="12" t="s">
        <v>28401</v>
      </c>
      <c r="B14887" s="12" t="s">
        <v>3482</v>
      </c>
      <c r="C14887" s="13" t="s">
        <v>3483</v>
      </c>
      <c r="D14887" s="13" t="s">
        <v>179</v>
      </c>
      <c r="E14887" s="12" t="s">
        <v>35</v>
      </c>
      <c r="F14887" s="14">
        <v>81000</v>
      </c>
      <c r="G14887" s="14">
        <v>61500</v>
      </c>
      <c r="H14887" s="13" t="s">
        <v>28502</v>
      </c>
      <c r="I14887" s="40" t="s">
        <v>18</v>
      </c>
      <c r="J14887" s="40" t="str">
        <f>HYPERLINK("https://stock.pstatic.net/stock-research/company/31/20250205_company_679282000.pdf","PDF")</f>
        <v>PDF</v>
      </c>
      <c r="K14887" s="12" t="s">
        <v>28503</v>
      </c>
      <c r="L14887" s="20">
        <v>0.31707317073170732</v>
      </c>
    </row>
    <row r="14888" spans="1:12" x14ac:dyDescent="0.45">
      <c r="A14888" s="12" t="s">
        <v>28401</v>
      </c>
      <c r="B14888" s="12" t="s">
        <v>3482</v>
      </c>
      <c r="C14888" s="13" t="s">
        <v>3483</v>
      </c>
      <c r="D14888" s="13" t="s">
        <v>44</v>
      </c>
      <c r="E14888" s="12" t="s">
        <v>35</v>
      </c>
      <c r="F14888" s="14">
        <v>86000</v>
      </c>
      <c r="G14888" s="14">
        <v>61500</v>
      </c>
      <c r="H14888" s="13" t="s">
        <v>28504</v>
      </c>
      <c r="I14888" s="40" t="s">
        <v>18</v>
      </c>
      <c r="J14888" s="40" t="str">
        <f>HYPERLINK("https://stock.pstatic.net/stock-research/company/39/20250205_company_715130000.pdf","PDF")</f>
        <v>PDF</v>
      </c>
      <c r="K14888" s="12" t="s">
        <v>28505</v>
      </c>
      <c r="L14888" s="20">
        <v>0.3983739837398374</v>
      </c>
    </row>
    <row r="14889" spans="1:12" x14ac:dyDescent="0.45">
      <c r="A14889" s="12" t="s">
        <v>28401</v>
      </c>
      <c r="B14889" s="12" t="s">
        <v>1051</v>
      </c>
      <c r="C14889" s="13" t="s">
        <v>1052</v>
      </c>
      <c r="D14889" s="13" t="s">
        <v>23</v>
      </c>
      <c r="E14889" s="12" t="s">
        <v>16</v>
      </c>
      <c r="F14889" s="14">
        <v>56000</v>
      </c>
      <c r="G14889" s="14">
        <v>40050</v>
      </c>
      <c r="H14889" s="13" t="s">
        <v>28506</v>
      </c>
      <c r="I14889" s="40" t="s">
        <v>18</v>
      </c>
      <c r="J14889" s="40" t="str">
        <f>HYPERLINK("https://stock.pstatic.net/stock-research/company/21/20250205_company_832816000.pdf","PDF")</f>
        <v>PDF</v>
      </c>
      <c r="K14889" s="12" t="s">
        <v>28507</v>
      </c>
      <c r="L14889" s="20">
        <v>0.39825218476903868</v>
      </c>
    </row>
    <row r="14890" spans="1:12" x14ac:dyDescent="0.45">
      <c r="A14890" s="12" t="s">
        <v>28401</v>
      </c>
      <c r="B14890" s="12" t="s">
        <v>3482</v>
      </c>
      <c r="C14890" s="13" t="s">
        <v>3483</v>
      </c>
      <c r="D14890" s="13" t="s">
        <v>23</v>
      </c>
      <c r="E14890" s="12" t="s">
        <v>16</v>
      </c>
      <c r="F14890" s="14">
        <v>81000</v>
      </c>
      <c r="G14890" s="14">
        <v>61500</v>
      </c>
      <c r="H14890" s="13" t="s">
        <v>28508</v>
      </c>
      <c r="I14890" s="40" t="s">
        <v>18</v>
      </c>
      <c r="J14890" s="40" t="str">
        <f>HYPERLINK("https://stock.pstatic.net/stock-research/company/21/20250205_company_855222000.pdf","PDF")</f>
        <v>PDF</v>
      </c>
      <c r="K14890" s="12" t="s">
        <v>28509</v>
      </c>
      <c r="L14890" s="20">
        <v>0.31707317073170732</v>
      </c>
    </row>
    <row r="14891" spans="1:12" x14ac:dyDescent="0.45">
      <c r="A14891" s="12" t="s">
        <v>28401</v>
      </c>
      <c r="B14891" s="12" t="s">
        <v>13983</v>
      </c>
      <c r="C14891" s="13" t="s">
        <v>13984</v>
      </c>
      <c r="D14891" s="13" t="s">
        <v>23</v>
      </c>
      <c r="E14891" s="12" t="s">
        <v>16</v>
      </c>
      <c r="F14891" s="14">
        <v>8800</v>
      </c>
      <c r="G14891" s="14">
        <v>7530</v>
      </c>
      <c r="H14891" s="13" t="s">
        <v>28510</v>
      </c>
      <c r="I14891" s="40" t="s">
        <v>18</v>
      </c>
      <c r="J14891" s="40" t="str">
        <f>HYPERLINK("https://stock.pstatic.net/stock-research/company/1/20250205_company_663168000.pdf","PDF")</f>
        <v>PDF</v>
      </c>
      <c r="K14891" s="12" t="s">
        <v>28511</v>
      </c>
      <c r="L14891" s="20">
        <v>0.16865869853917659</v>
      </c>
    </row>
    <row r="14892" spans="1:12" x14ac:dyDescent="0.45">
      <c r="A14892" s="12" t="s">
        <v>28401</v>
      </c>
      <c r="B14892" s="12" t="s">
        <v>13983</v>
      </c>
      <c r="C14892" s="13" t="s">
        <v>13984</v>
      </c>
      <c r="D14892" s="13" t="s">
        <v>44</v>
      </c>
      <c r="E14892" s="12" t="s">
        <v>35</v>
      </c>
      <c r="F14892" s="14">
        <v>10000</v>
      </c>
      <c r="G14892" s="14">
        <v>7530</v>
      </c>
      <c r="H14892" s="13" t="s">
        <v>28512</v>
      </c>
      <c r="I14892" s="40" t="s">
        <v>18</v>
      </c>
      <c r="J14892" s="40" t="str">
        <f>HYPERLINK("https://stock.pstatic.net/stock-research/company/39/20250205_company_409513000.pdf","PDF")</f>
        <v>PDF</v>
      </c>
      <c r="K14892" s="12" t="s">
        <v>28513</v>
      </c>
      <c r="L14892" s="20">
        <v>0.32802124833997343</v>
      </c>
    </row>
    <row r="14893" spans="1:12" x14ac:dyDescent="0.45">
      <c r="A14893" s="12" t="s">
        <v>28401</v>
      </c>
      <c r="B14893" s="12" t="s">
        <v>585</v>
      </c>
      <c r="C14893" s="13" t="s">
        <v>586</v>
      </c>
      <c r="D14893" s="13" t="s">
        <v>44</v>
      </c>
      <c r="E14893" s="12" t="s">
        <v>50</v>
      </c>
      <c r="F14893" s="13"/>
      <c r="G14893" s="14">
        <v>21850</v>
      </c>
      <c r="H14893" s="13" t="s">
        <v>28514</v>
      </c>
      <c r="I14893" s="40" t="s">
        <v>18</v>
      </c>
      <c r="J14893" s="40" t="str">
        <f>HYPERLINK("https://stock.pstatic.net/stock-research/company/39/20250205_company_516610000.pdf","PDF")</f>
        <v>PDF</v>
      </c>
      <c r="K14893" s="12" t="s">
        <v>28515</v>
      </c>
    </row>
    <row r="14894" spans="1:12" x14ac:dyDescent="0.45">
      <c r="A14894" s="12" t="s">
        <v>28401</v>
      </c>
      <c r="B14894" s="12" t="s">
        <v>3584</v>
      </c>
      <c r="C14894" s="13" t="s">
        <v>3585</v>
      </c>
      <c r="D14894" s="13" t="s">
        <v>44</v>
      </c>
      <c r="E14894" s="12" t="s">
        <v>35</v>
      </c>
      <c r="F14894" s="14">
        <v>22500</v>
      </c>
      <c r="G14894" s="14">
        <v>17340</v>
      </c>
      <c r="H14894" s="13" t="s">
        <v>28516</v>
      </c>
      <c r="I14894" s="40" t="s">
        <v>18</v>
      </c>
      <c r="J14894" s="40" t="str">
        <f>HYPERLINK("https://stock.pstatic.net/stock-research/company/39/20250205_company_862743000.pdf","PDF")</f>
        <v>PDF</v>
      </c>
      <c r="K14894" s="12" t="s">
        <v>28517</v>
      </c>
      <c r="L14894" s="20">
        <v>0.29757785467128028</v>
      </c>
    </row>
    <row r="14895" spans="1:12" x14ac:dyDescent="0.45">
      <c r="A14895" s="12" t="s">
        <v>28401</v>
      </c>
      <c r="B14895" s="12" t="s">
        <v>1670</v>
      </c>
      <c r="C14895" s="13" t="s">
        <v>26171</v>
      </c>
      <c r="D14895" s="13" t="s">
        <v>15</v>
      </c>
      <c r="E14895" s="12" t="s">
        <v>50</v>
      </c>
      <c r="F14895" s="14">
        <v>120000</v>
      </c>
      <c r="G14895" s="14">
        <v>106400</v>
      </c>
      <c r="H14895" s="13" t="s">
        <v>28518</v>
      </c>
      <c r="I14895" s="40" t="s">
        <v>18</v>
      </c>
      <c r="J14895" s="40" t="str">
        <f>HYPERLINK("https://stock.pstatic.net/stock-research/company/56/20250205_company_189248000.pdf","PDF")</f>
        <v>PDF</v>
      </c>
      <c r="K14895" s="12" t="s">
        <v>28519</v>
      </c>
      <c r="L14895" s="20">
        <v>0.12781954887218039</v>
      </c>
    </row>
    <row r="14896" spans="1:12" x14ac:dyDescent="0.45">
      <c r="A14896" s="12" t="s">
        <v>28520</v>
      </c>
      <c r="B14896" s="12" t="s">
        <v>398</v>
      </c>
      <c r="C14896" s="13" t="s">
        <v>399</v>
      </c>
      <c r="D14896" s="13" t="s">
        <v>276</v>
      </c>
      <c r="E14896" s="12" t="s">
        <v>16</v>
      </c>
      <c r="F14896" s="14">
        <v>210000</v>
      </c>
      <c r="G14896" s="14">
        <v>129000</v>
      </c>
      <c r="H14896" s="13" t="s">
        <v>28521</v>
      </c>
      <c r="I14896" s="40" t="s">
        <v>18</v>
      </c>
      <c r="J14896" s="40" t="str">
        <f>HYPERLINK("https://stock.pstatic.net/stock-research/company/66/20250204_company_667373000.pdf","PDF")</f>
        <v>PDF</v>
      </c>
      <c r="K14896" s="12" t="s">
        <v>28522</v>
      </c>
      <c r="L14896" s="20">
        <v>0.62790697674418605</v>
      </c>
    </row>
    <row r="14897" spans="1:12" x14ac:dyDescent="0.45">
      <c r="A14897" s="12" t="s">
        <v>28520</v>
      </c>
      <c r="B14897" s="12" t="s">
        <v>1946</v>
      </c>
      <c r="C14897" s="13" t="s">
        <v>1947</v>
      </c>
      <c r="D14897" s="13" t="s">
        <v>276</v>
      </c>
      <c r="E14897" s="12" t="s">
        <v>16</v>
      </c>
      <c r="F14897" s="14">
        <v>21000</v>
      </c>
      <c r="G14897" s="14">
        <v>12150</v>
      </c>
      <c r="H14897" s="13" t="s">
        <v>28523</v>
      </c>
      <c r="I14897" s="40" t="s">
        <v>18</v>
      </c>
      <c r="J14897" s="40" t="str">
        <f>HYPERLINK("https://stock.pstatic.net/stock-research/company/66/20250204_company_730169000.pdf","PDF")</f>
        <v>PDF</v>
      </c>
      <c r="K14897" s="12" t="s">
        <v>28524</v>
      </c>
      <c r="L14897" s="20">
        <v>0.72839506172839508</v>
      </c>
    </row>
    <row r="14898" spans="1:12" x14ac:dyDescent="0.45">
      <c r="A14898" s="12" t="s">
        <v>28520</v>
      </c>
      <c r="B14898" s="12" t="s">
        <v>398</v>
      </c>
      <c r="C14898" s="13" t="s">
        <v>399</v>
      </c>
      <c r="D14898" s="13" t="s">
        <v>60</v>
      </c>
      <c r="E14898" s="12" t="s">
        <v>35</v>
      </c>
      <c r="F14898" s="14">
        <v>190000</v>
      </c>
      <c r="G14898" s="14">
        <v>129000</v>
      </c>
      <c r="H14898" s="13" t="s">
        <v>28525</v>
      </c>
      <c r="I14898" s="40" t="s">
        <v>18</v>
      </c>
      <c r="J14898" s="40" t="str">
        <f>HYPERLINK("https://stock.pstatic.net/stock-research/company/62/20250204_company_472526000.pdf","PDF")</f>
        <v>PDF</v>
      </c>
      <c r="K14898" s="12" t="s">
        <v>28526</v>
      </c>
      <c r="L14898" s="20">
        <v>0.47286821705426357</v>
      </c>
    </row>
    <row r="14899" spans="1:12" x14ac:dyDescent="0.45">
      <c r="A14899" s="12" t="s">
        <v>28520</v>
      </c>
      <c r="B14899" s="12" t="s">
        <v>2887</v>
      </c>
      <c r="C14899" s="13" t="s">
        <v>2888</v>
      </c>
      <c r="D14899" s="13" t="s">
        <v>65</v>
      </c>
      <c r="E14899" s="12" t="s">
        <v>1738</v>
      </c>
      <c r="F14899" s="14">
        <v>290000</v>
      </c>
      <c r="G14899" s="14">
        <v>222000</v>
      </c>
      <c r="H14899" s="13" t="s">
        <v>28527</v>
      </c>
      <c r="I14899" s="40" t="s">
        <v>18</v>
      </c>
      <c r="J14899" s="40" t="str">
        <f>HYPERLINK("https://stock.pstatic.net/stock-research/company/57/20250204_company_203702000.pdf","PDF")</f>
        <v>PDF</v>
      </c>
      <c r="K14899" s="12" t="s">
        <v>28528</v>
      </c>
      <c r="L14899" s="20">
        <v>0.30630630630630629</v>
      </c>
    </row>
    <row r="14900" spans="1:12" x14ac:dyDescent="0.45">
      <c r="A14900" s="12" t="s">
        <v>28520</v>
      </c>
      <c r="B14900" s="12" t="s">
        <v>3230</v>
      </c>
      <c r="C14900" s="13" t="s">
        <v>3231</v>
      </c>
      <c r="D14900" s="13" t="s">
        <v>65</v>
      </c>
      <c r="E14900" s="12" t="s">
        <v>35</v>
      </c>
      <c r="F14900" s="14">
        <v>600000</v>
      </c>
      <c r="G14900" s="14">
        <v>447500</v>
      </c>
      <c r="H14900" s="13" t="s">
        <v>28529</v>
      </c>
      <c r="I14900" s="40" t="s">
        <v>18</v>
      </c>
      <c r="J14900" s="40" t="str">
        <f>HYPERLINK("https://stock.pstatic.net/stock-research/company/57/20250204_company_999640000.pdf","PDF")</f>
        <v>PDF</v>
      </c>
      <c r="K14900" s="12" t="s">
        <v>28530</v>
      </c>
      <c r="L14900" s="20">
        <v>0.34078212290502791</v>
      </c>
    </row>
    <row r="14901" spans="1:12" x14ac:dyDescent="0.45">
      <c r="A14901" s="12" t="s">
        <v>28520</v>
      </c>
      <c r="B14901" s="12" t="s">
        <v>1734</v>
      </c>
      <c r="C14901" s="13" t="s">
        <v>1735</v>
      </c>
      <c r="D14901" s="13" t="s">
        <v>65</v>
      </c>
      <c r="E14901" s="12" t="s">
        <v>35</v>
      </c>
      <c r="F14901" s="14">
        <v>55000</v>
      </c>
      <c r="G14901" s="14">
        <v>36350</v>
      </c>
      <c r="H14901" s="13" t="s">
        <v>28531</v>
      </c>
      <c r="I14901" s="40" t="s">
        <v>18</v>
      </c>
      <c r="J14901" s="40" t="str">
        <f>HYPERLINK("https://stock.pstatic.net/stock-research/company/1/20250204_company_859345000.pdf","PDF")</f>
        <v>PDF</v>
      </c>
      <c r="K14901" s="12" t="s">
        <v>28532</v>
      </c>
      <c r="L14901" s="20">
        <v>0.51306740027510311</v>
      </c>
    </row>
    <row r="14902" spans="1:12" x14ac:dyDescent="0.45">
      <c r="A14902" s="12" t="s">
        <v>28520</v>
      </c>
      <c r="B14902" s="12" t="s">
        <v>3024</v>
      </c>
      <c r="C14902" s="13" t="s">
        <v>3025</v>
      </c>
      <c r="D14902" s="13" t="s">
        <v>65</v>
      </c>
      <c r="E14902" s="12" t="s">
        <v>35</v>
      </c>
      <c r="F14902" s="14">
        <v>66000</v>
      </c>
      <c r="G14902" s="14">
        <v>41450</v>
      </c>
      <c r="H14902" s="13" t="s">
        <v>28533</v>
      </c>
      <c r="I14902" s="40" t="s">
        <v>18</v>
      </c>
      <c r="J14902" s="40" t="str">
        <f>HYPERLINK("https://stock.pstatic.net/stock-research/company/57/20250204_company_922090000.pdf","PDF")</f>
        <v>PDF</v>
      </c>
      <c r="K14902" s="12" t="s">
        <v>28534</v>
      </c>
      <c r="L14902" s="20">
        <v>0.59227985524728588</v>
      </c>
    </row>
    <row r="14903" spans="1:12" x14ac:dyDescent="0.45">
      <c r="A14903" s="12" t="s">
        <v>28520</v>
      </c>
      <c r="B14903" s="12" t="s">
        <v>1946</v>
      </c>
      <c r="C14903" s="13" t="s">
        <v>1947</v>
      </c>
      <c r="D14903" s="13" t="s">
        <v>65</v>
      </c>
      <c r="E14903" s="12" t="s">
        <v>35</v>
      </c>
      <c r="F14903" s="14">
        <v>20000</v>
      </c>
      <c r="G14903" s="14">
        <v>12150</v>
      </c>
      <c r="H14903" s="13" t="s">
        <v>28535</v>
      </c>
      <c r="I14903" s="40" t="s">
        <v>18</v>
      </c>
      <c r="J14903" s="40" t="str">
        <f>HYPERLINK("https://stock.pstatic.net/stock-research/company/57/20250204_company_685759000.pdf","PDF")</f>
        <v>PDF</v>
      </c>
      <c r="K14903" s="12" t="s">
        <v>28536</v>
      </c>
      <c r="L14903" s="20">
        <v>0.64609053497942381</v>
      </c>
    </row>
    <row r="14904" spans="1:12" x14ac:dyDescent="0.45">
      <c r="A14904" s="12" t="s">
        <v>28520</v>
      </c>
      <c r="B14904" s="12" t="s">
        <v>661</v>
      </c>
      <c r="C14904" s="13" t="s">
        <v>662</v>
      </c>
      <c r="D14904" s="13" t="s">
        <v>65</v>
      </c>
      <c r="E14904" s="12" t="s">
        <v>35</v>
      </c>
      <c r="F14904" s="14">
        <v>40000</v>
      </c>
      <c r="G14904" s="14">
        <v>19990</v>
      </c>
      <c r="H14904" s="13" t="s">
        <v>28537</v>
      </c>
      <c r="I14904" s="40" t="s">
        <v>18</v>
      </c>
      <c r="J14904" s="40" t="str">
        <f>HYPERLINK("https://stock.pstatic.net/stock-research/company/57/20250204_company_303826000.pdf","PDF")</f>
        <v>PDF</v>
      </c>
      <c r="K14904" s="12" t="s">
        <v>28538</v>
      </c>
      <c r="L14904" s="20">
        <v>1.001000500250125</v>
      </c>
    </row>
    <row r="14905" spans="1:12" x14ac:dyDescent="0.45">
      <c r="A14905" s="12" t="s">
        <v>28520</v>
      </c>
      <c r="B14905" s="12" t="s">
        <v>3230</v>
      </c>
      <c r="C14905" s="13" t="s">
        <v>3231</v>
      </c>
      <c r="D14905" s="13" t="s">
        <v>15</v>
      </c>
      <c r="E14905" s="12" t="s">
        <v>16</v>
      </c>
      <c r="F14905" s="14">
        <v>600000</v>
      </c>
      <c r="G14905" s="14">
        <v>447500</v>
      </c>
      <c r="H14905" s="13" t="s">
        <v>28539</v>
      </c>
      <c r="I14905" s="40" t="s">
        <v>18</v>
      </c>
      <c r="J14905" s="40" t="str">
        <f>HYPERLINK("https://stock.pstatic.net/stock-research/company/29/20250204_company_274732000.pdf","PDF")</f>
        <v>PDF</v>
      </c>
      <c r="K14905" s="12" t="s">
        <v>28540</v>
      </c>
      <c r="L14905" s="20">
        <v>0.34078212290502791</v>
      </c>
    </row>
    <row r="14906" spans="1:12" x14ac:dyDescent="0.45">
      <c r="A14906" s="12" t="s">
        <v>28520</v>
      </c>
      <c r="B14906" s="12" t="s">
        <v>398</v>
      </c>
      <c r="C14906" s="13" t="s">
        <v>399</v>
      </c>
      <c r="D14906" s="13" t="s">
        <v>65</v>
      </c>
      <c r="E14906" s="12" t="s">
        <v>1738</v>
      </c>
      <c r="F14906" s="14">
        <v>147000</v>
      </c>
      <c r="G14906" s="14">
        <v>129000</v>
      </c>
      <c r="H14906" s="13" t="s">
        <v>28541</v>
      </c>
      <c r="I14906" s="40" t="s">
        <v>18</v>
      </c>
      <c r="J14906" s="40" t="str">
        <f>HYPERLINK("https://stock.pstatic.net/stock-research/company/57/20250204_company_356825000.pdf","PDF")</f>
        <v>PDF</v>
      </c>
      <c r="K14906" s="12" t="s">
        <v>28542</v>
      </c>
      <c r="L14906" s="20">
        <v>0.1395348837209302</v>
      </c>
    </row>
    <row r="14907" spans="1:12" x14ac:dyDescent="0.45">
      <c r="A14907" s="12" t="s">
        <v>28520</v>
      </c>
      <c r="B14907" s="12" t="s">
        <v>4567</v>
      </c>
      <c r="C14907" s="13" t="s">
        <v>4568</v>
      </c>
      <c r="D14907" s="13" t="s">
        <v>65</v>
      </c>
      <c r="E14907" s="12" t="s">
        <v>35</v>
      </c>
      <c r="F14907" s="14">
        <v>23000</v>
      </c>
      <c r="G14907" s="14">
        <v>17070</v>
      </c>
      <c r="H14907" s="13" t="s">
        <v>28543</v>
      </c>
      <c r="I14907" s="40" t="s">
        <v>18</v>
      </c>
      <c r="J14907" s="40" t="str">
        <f>HYPERLINK("https://stock.pstatic.net/stock-research/company/57/20250204_company_289814000.pdf","PDF")</f>
        <v>PDF</v>
      </c>
      <c r="K14907" s="12" t="s">
        <v>28544</v>
      </c>
      <c r="L14907" s="20">
        <v>0.34739308728763912</v>
      </c>
    </row>
    <row r="14908" spans="1:12" x14ac:dyDescent="0.45">
      <c r="A14908" s="12" t="s">
        <v>28520</v>
      </c>
      <c r="B14908" s="12" t="s">
        <v>489</v>
      </c>
      <c r="C14908" s="13" t="s">
        <v>490</v>
      </c>
      <c r="D14908" s="13" t="s">
        <v>65</v>
      </c>
      <c r="E14908" s="12" t="s">
        <v>35</v>
      </c>
      <c r="F14908" s="14">
        <v>36000</v>
      </c>
      <c r="G14908" s="14">
        <v>23250</v>
      </c>
      <c r="H14908" s="13" t="s">
        <v>28545</v>
      </c>
      <c r="I14908" s="40" t="s">
        <v>18</v>
      </c>
      <c r="J14908" s="40" t="str">
        <f>HYPERLINK("https://stock.pstatic.net/stock-research/company/57/20250204_company_249323000.pdf","PDF")</f>
        <v>PDF</v>
      </c>
      <c r="K14908" s="12" t="s">
        <v>28546</v>
      </c>
      <c r="L14908" s="20">
        <v>0.54838709677419351</v>
      </c>
    </row>
    <row r="14909" spans="1:12" x14ac:dyDescent="0.45">
      <c r="A14909" s="12" t="s">
        <v>28520</v>
      </c>
      <c r="B14909" s="12" t="s">
        <v>2758</v>
      </c>
      <c r="C14909" s="13" t="s">
        <v>2759</v>
      </c>
      <c r="D14909" s="13" t="s">
        <v>65</v>
      </c>
      <c r="E14909" s="12" t="s">
        <v>35</v>
      </c>
      <c r="F14909" s="14">
        <v>740000</v>
      </c>
      <c r="G14909" s="14">
        <v>248500</v>
      </c>
      <c r="H14909" s="13" t="s">
        <v>28547</v>
      </c>
      <c r="I14909" s="40" t="s">
        <v>18</v>
      </c>
      <c r="J14909" s="40" t="str">
        <f>HYPERLINK("https://stock.pstatic.net/stock-research/company/57/20250204_company_819342000.pdf","PDF")</f>
        <v>PDF</v>
      </c>
      <c r="K14909" s="12" t="s">
        <v>28548</v>
      </c>
      <c r="L14909" s="20">
        <v>1.9778672032193161</v>
      </c>
    </row>
    <row r="14910" spans="1:12" x14ac:dyDescent="0.45">
      <c r="A14910" s="12" t="s">
        <v>28520</v>
      </c>
      <c r="B14910" s="12" t="s">
        <v>398</v>
      </c>
      <c r="C14910" s="13" t="s">
        <v>399</v>
      </c>
      <c r="D14910" s="13" t="s">
        <v>57</v>
      </c>
      <c r="E14910" s="12" t="s">
        <v>35</v>
      </c>
      <c r="F14910" s="14">
        <v>160000</v>
      </c>
      <c r="G14910" s="14">
        <v>129000</v>
      </c>
      <c r="H14910" s="13" t="s">
        <v>28549</v>
      </c>
      <c r="I14910" s="40" t="s">
        <v>18</v>
      </c>
      <c r="J14910" s="40" t="str">
        <f>HYPERLINK("https://stock.pstatic.net/stock-research/company/16/20250204_company_842047000.pdf","PDF")</f>
        <v>PDF</v>
      </c>
      <c r="K14910" s="12" t="s">
        <v>28550</v>
      </c>
      <c r="L14910" s="20">
        <v>0.24031007751937991</v>
      </c>
    </row>
    <row r="14911" spans="1:12" x14ac:dyDescent="0.45">
      <c r="A14911" s="12" t="s">
        <v>28520</v>
      </c>
      <c r="B14911" s="12" t="s">
        <v>3349</v>
      </c>
      <c r="C14911" s="13" t="s">
        <v>7707</v>
      </c>
      <c r="D14911" s="13" t="s">
        <v>57</v>
      </c>
      <c r="E14911" s="12" t="s">
        <v>35</v>
      </c>
      <c r="F14911" s="14">
        <v>30000</v>
      </c>
      <c r="G14911" s="14">
        <v>16100</v>
      </c>
      <c r="H14911" s="13" t="s">
        <v>28551</v>
      </c>
      <c r="I14911" s="40" t="s">
        <v>18</v>
      </c>
      <c r="J14911" s="40" t="str">
        <f>HYPERLINK("https://stock.pstatic.net/stock-research/company/16/20250204_company_624123000.pdf","PDF")</f>
        <v>PDF</v>
      </c>
      <c r="K14911" s="12" t="s">
        <v>28552</v>
      </c>
      <c r="L14911" s="20">
        <v>0.86335403726708071</v>
      </c>
    </row>
    <row r="14912" spans="1:12" x14ac:dyDescent="0.45">
      <c r="A14912" s="12" t="s">
        <v>28520</v>
      </c>
      <c r="B14912" s="12" t="s">
        <v>398</v>
      </c>
      <c r="C14912" s="13" t="s">
        <v>399</v>
      </c>
      <c r="D14912" s="13" t="s">
        <v>158</v>
      </c>
      <c r="E14912" s="12" t="s">
        <v>159</v>
      </c>
      <c r="F14912" s="14">
        <v>142000</v>
      </c>
      <c r="G14912" s="14">
        <v>129000</v>
      </c>
      <c r="H14912" s="13" t="s">
        <v>28553</v>
      </c>
      <c r="I14912" s="40" t="s">
        <v>18</v>
      </c>
      <c r="J14912" s="40" t="str">
        <f>HYPERLINK("https://stock.pstatic.net/stock-research/company/18/20250204_company_175945000.pdf","PDF")</f>
        <v>PDF</v>
      </c>
      <c r="K14912" s="12" t="s">
        <v>28554</v>
      </c>
      <c r="L14912" s="20">
        <v>0.1007751937984496</v>
      </c>
    </row>
    <row r="14913" spans="1:12" x14ac:dyDescent="0.45">
      <c r="A14913" s="12" t="s">
        <v>28520</v>
      </c>
      <c r="B14913" s="12" t="s">
        <v>2688</v>
      </c>
      <c r="C14913" s="13" t="s">
        <v>2689</v>
      </c>
      <c r="D14913" s="13" t="s">
        <v>158</v>
      </c>
      <c r="E14913" s="12" t="s">
        <v>35</v>
      </c>
      <c r="F14913" s="14">
        <v>80000</v>
      </c>
      <c r="G14913" s="14">
        <v>58500</v>
      </c>
      <c r="H14913" s="13" t="s">
        <v>28555</v>
      </c>
      <c r="I14913" s="40" t="s">
        <v>18</v>
      </c>
      <c r="J14913" s="40" t="str">
        <f>HYPERLINK("https://stock.pstatic.net/stock-research/company/18/20250204_company_786244000.pdf","PDF")</f>
        <v>PDF</v>
      </c>
      <c r="K14913" s="12" t="s">
        <v>28556</v>
      </c>
      <c r="L14913" s="20">
        <v>0.36752136752136749</v>
      </c>
    </row>
    <row r="14914" spans="1:12" x14ac:dyDescent="0.45">
      <c r="A14914" s="12" t="s">
        <v>28520</v>
      </c>
      <c r="B14914" s="12" t="s">
        <v>2758</v>
      </c>
      <c r="C14914" s="13" t="s">
        <v>2759</v>
      </c>
      <c r="D14914" s="13" t="s">
        <v>158</v>
      </c>
      <c r="E14914" s="12" t="s">
        <v>35</v>
      </c>
      <c r="F14914" s="14">
        <v>440000</v>
      </c>
      <c r="G14914" s="14">
        <v>248500</v>
      </c>
      <c r="H14914" s="13" t="s">
        <v>28557</v>
      </c>
      <c r="I14914" s="40" t="s">
        <v>18</v>
      </c>
      <c r="J14914" s="40" t="str">
        <f>HYPERLINK("https://stock.pstatic.net/stock-research/company/18/20250204_company_417238000.pdf","PDF")</f>
        <v>PDF</v>
      </c>
      <c r="K14914" s="12" t="s">
        <v>28558</v>
      </c>
      <c r="L14914" s="20">
        <v>0.77062374245472842</v>
      </c>
    </row>
    <row r="14915" spans="1:12" x14ac:dyDescent="0.45">
      <c r="A14915" s="12" t="s">
        <v>28520</v>
      </c>
      <c r="B14915" s="12" t="s">
        <v>2887</v>
      </c>
      <c r="C14915" s="13" t="s">
        <v>2888</v>
      </c>
      <c r="D14915" s="13" t="s">
        <v>158</v>
      </c>
      <c r="E14915" s="12" t="s">
        <v>35</v>
      </c>
      <c r="F14915" s="14">
        <v>530000</v>
      </c>
      <c r="G14915" s="14">
        <v>222000</v>
      </c>
      <c r="H14915" s="13" t="s">
        <v>28559</v>
      </c>
      <c r="I14915" s="40" t="s">
        <v>18</v>
      </c>
      <c r="J14915" s="40" t="str">
        <f>HYPERLINK("https://stock.pstatic.net/stock-research/company/18/20250204_company_299481000.pdf","PDF")</f>
        <v>PDF</v>
      </c>
      <c r="K14915" s="12" t="s">
        <v>28560</v>
      </c>
      <c r="L14915" s="20">
        <v>1.387387387387387</v>
      </c>
    </row>
    <row r="14916" spans="1:12" x14ac:dyDescent="0.45">
      <c r="A14916" s="12" t="s">
        <v>28520</v>
      </c>
      <c r="B14916" s="12" t="s">
        <v>3349</v>
      </c>
      <c r="C14916" s="13" t="s">
        <v>7707</v>
      </c>
      <c r="D14916" s="13" t="s">
        <v>158</v>
      </c>
      <c r="E14916" s="12" t="s">
        <v>35</v>
      </c>
      <c r="F14916" s="14">
        <v>25000</v>
      </c>
      <c r="G14916" s="14">
        <v>16100</v>
      </c>
      <c r="H14916" s="13" t="s">
        <v>28561</v>
      </c>
      <c r="I14916" s="40" t="s">
        <v>18</v>
      </c>
      <c r="J14916" s="40" t="str">
        <f>HYPERLINK("https://stock.pstatic.net/stock-research/company/18/20250204_company_561974000.pdf","PDF")</f>
        <v>PDF</v>
      </c>
      <c r="K14916" s="12" t="s">
        <v>28562</v>
      </c>
      <c r="L14916" s="20">
        <v>0.55279503105590067</v>
      </c>
    </row>
    <row r="14917" spans="1:12" x14ac:dyDescent="0.45">
      <c r="A14917" s="12" t="s">
        <v>28520</v>
      </c>
      <c r="B14917" s="12" t="s">
        <v>728</v>
      </c>
      <c r="C14917" s="13" t="s">
        <v>729</v>
      </c>
      <c r="D14917" s="13" t="s">
        <v>15</v>
      </c>
      <c r="E14917" s="12" t="s">
        <v>16</v>
      </c>
      <c r="F14917" s="14">
        <v>130000</v>
      </c>
      <c r="G14917" s="14">
        <v>82800</v>
      </c>
      <c r="H14917" s="13" t="s">
        <v>28563</v>
      </c>
      <c r="I14917" s="40" t="s">
        <v>18</v>
      </c>
      <c r="J14917" s="40" t="str">
        <f>HYPERLINK("https://stock.pstatic.net/stock-research/company/29/20250204_company_722565000.pdf","PDF")</f>
        <v>PDF</v>
      </c>
      <c r="K14917" s="12" t="s">
        <v>28564</v>
      </c>
      <c r="L14917" s="20">
        <v>0.57004830917874394</v>
      </c>
    </row>
    <row r="14918" spans="1:12" x14ac:dyDescent="0.45">
      <c r="A14918" s="12" t="s">
        <v>28520</v>
      </c>
      <c r="B14918" s="12" t="s">
        <v>3024</v>
      </c>
      <c r="C14918" s="13" t="s">
        <v>3025</v>
      </c>
      <c r="D14918" s="13" t="s">
        <v>15</v>
      </c>
      <c r="E14918" s="12" t="s">
        <v>16</v>
      </c>
      <c r="F14918" s="14">
        <v>55000</v>
      </c>
      <c r="G14918" s="14">
        <v>41450</v>
      </c>
      <c r="H14918" s="13" t="s">
        <v>28565</v>
      </c>
      <c r="I14918" s="40" t="s">
        <v>18</v>
      </c>
      <c r="J14918" s="40" t="str">
        <f>HYPERLINK("https://stock.pstatic.net/stock-research/company/29/20250204_company_367466000.pdf","PDF")</f>
        <v>PDF</v>
      </c>
      <c r="K14918" s="12" t="s">
        <v>28566</v>
      </c>
      <c r="L14918" s="20">
        <v>0.32689987937273818</v>
      </c>
    </row>
    <row r="14919" spans="1:12" x14ac:dyDescent="0.45">
      <c r="A14919" s="12" t="s">
        <v>28520</v>
      </c>
      <c r="B14919" s="12" t="s">
        <v>22497</v>
      </c>
      <c r="C14919" s="13" t="s">
        <v>22498</v>
      </c>
      <c r="D14919" s="13" t="s">
        <v>92</v>
      </c>
      <c r="E14919" s="12" t="s">
        <v>35</v>
      </c>
      <c r="F14919" s="14">
        <v>55000</v>
      </c>
      <c r="G14919" s="14">
        <v>34700</v>
      </c>
      <c r="H14919" s="13" t="s">
        <v>28567</v>
      </c>
      <c r="I14919" s="40" t="s">
        <v>18</v>
      </c>
      <c r="J14919" s="40" t="str">
        <f>HYPERLINK("https://stock.pstatic.net/stock-research/company/63/20250204_company_289330000.pdf","PDF")</f>
        <v>PDF</v>
      </c>
      <c r="K14919" s="12" t="s">
        <v>28568</v>
      </c>
      <c r="L14919" s="20">
        <v>0.58501440922190207</v>
      </c>
    </row>
    <row r="14920" spans="1:12" x14ac:dyDescent="0.45">
      <c r="A14920" s="12" t="s">
        <v>28520</v>
      </c>
      <c r="B14920" s="12" t="s">
        <v>2777</v>
      </c>
      <c r="C14920" s="13" t="s">
        <v>2778</v>
      </c>
      <c r="D14920" s="13" t="s">
        <v>15</v>
      </c>
      <c r="E14920" s="12" t="s">
        <v>16</v>
      </c>
      <c r="F14920" s="14">
        <v>210000</v>
      </c>
      <c r="G14920" s="14">
        <v>144400</v>
      </c>
      <c r="H14920" s="13" t="s">
        <v>28569</v>
      </c>
      <c r="I14920" s="40" t="s">
        <v>18</v>
      </c>
      <c r="J14920" s="40" t="str">
        <f>HYPERLINK("https://stock.pstatic.net/stock-research/company/29/20250204_company_683863000.pdf","PDF")</f>
        <v>PDF</v>
      </c>
      <c r="K14920" s="12" t="s">
        <v>28570</v>
      </c>
      <c r="L14920" s="20">
        <v>0.45429362880886431</v>
      </c>
    </row>
    <row r="14921" spans="1:12" x14ac:dyDescent="0.45">
      <c r="A14921" s="12" t="s">
        <v>28520</v>
      </c>
      <c r="B14921" s="12" t="s">
        <v>2225</v>
      </c>
      <c r="C14921" s="13" t="s">
        <v>5282</v>
      </c>
      <c r="D14921" s="13" t="s">
        <v>23</v>
      </c>
      <c r="E14921" s="12" t="s">
        <v>16</v>
      </c>
      <c r="F14921" s="14">
        <v>295000</v>
      </c>
      <c r="G14921" s="14">
        <v>228000</v>
      </c>
      <c r="H14921" s="13" t="s">
        <v>28571</v>
      </c>
      <c r="I14921" s="40" t="s">
        <v>18</v>
      </c>
      <c r="J14921" s="40" t="str">
        <f>HYPERLINK("https://stock.pstatic.net/stock-research/company/21/20250204_company_682150000.pdf","PDF")</f>
        <v>PDF</v>
      </c>
      <c r="K14921" s="12" t="s">
        <v>28572</v>
      </c>
      <c r="L14921" s="20">
        <v>0.29385964912280699</v>
      </c>
    </row>
    <row r="14922" spans="1:12" x14ac:dyDescent="0.45">
      <c r="A14922" s="12" t="s">
        <v>28520</v>
      </c>
      <c r="B14922" s="12" t="s">
        <v>728</v>
      </c>
      <c r="C14922" s="13" t="s">
        <v>729</v>
      </c>
      <c r="D14922" s="13" t="s">
        <v>92</v>
      </c>
      <c r="E14922" s="12" t="s">
        <v>35</v>
      </c>
      <c r="F14922" s="14">
        <v>125000</v>
      </c>
      <c r="G14922" s="14">
        <v>82800</v>
      </c>
      <c r="H14922" s="13" t="s">
        <v>28573</v>
      </c>
      <c r="I14922" s="40" t="s">
        <v>18</v>
      </c>
      <c r="J14922" s="40" t="str">
        <f>HYPERLINK("https://stock.pstatic.net/stock-research/company/63/20250204_company_105220000.pdf","PDF")</f>
        <v>PDF</v>
      </c>
      <c r="K14922" s="12" t="s">
        <v>28574</v>
      </c>
      <c r="L14922" s="20">
        <v>0.50966183574879231</v>
      </c>
    </row>
    <row r="14923" spans="1:12" x14ac:dyDescent="0.45">
      <c r="A14923" s="12" t="s">
        <v>28520</v>
      </c>
      <c r="B14923" s="12" t="s">
        <v>2887</v>
      </c>
      <c r="C14923" s="13" t="s">
        <v>2888</v>
      </c>
      <c r="D14923" s="13" t="s">
        <v>15</v>
      </c>
      <c r="E14923" s="12" t="s">
        <v>16</v>
      </c>
      <c r="F14923" s="14">
        <v>340000</v>
      </c>
      <c r="G14923" s="14">
        <v>222000</v>
      </c>
      <c r="H14923" s="13" t="s">
        <v>28575</v>
      </c>
      <c r="I14923" s="40" t="s">
        <v>18</v>
      </c>
      <c r="J14923" s="40" t="str">
        <f>HYPERLINK("https://stock.pstatic.net/stock-research/company/29/20250204_company_234404000.pdf","PDF")</f>
        <v>PDF</v>
      </c>
      <c r="K14923" s="12" t="s">
        <v>28576</v>
      </c>
      <c r="L14923" s="20">
        <v>0.53153153153153154</v>
      </c>
    </row>
    <row r="14924" spans="1:12" x14ac:dyDescent="0.45">
      <c r="A14924" s="12" t="s">
        <v>28520</v>
      </c>
      <c r="B14924" s="12" t="s">
        <v>2758</v>
      </c>
      <c r="C14924" s="13" t="s">
        <v>2759</v>
      </c>
      <c r="D14924" s="13" t="s">
        <v>92</v>
      </c>
      <c r="E14924" s="12" t="s">
        <v>35</v>
      </c>
      <c r="F14924" s="14">
        <v>390000</v>
      </c>
      <c r="G14924" s="14">
        <v>248500</v>
      </c>
      <c r="H14924" s="13" t="s">
        <v>28577</v>
      </c>
      <c r="I14924" s="40" t="s">
        <v>18</v>
      </c>
      <c r="J14924" s="40" t="str">
        <f>HYPERLINK("https://m.stock.naver.com/research/company/80362","PDF")</f>
        <v>PDF</v>
      </c>
      <c r="K14924" s="12" t="s">
        <v>28578</v>
      </c>
      <c r="L14924" s="20">
        <v>0.56941649899396374</v>
      </c>
    </row>
    <row r="14925" spans="1:12" x14ac:dyDescent="0.45">
      <c r="A14925" s="12" t="s">
        <v>28520</v>
      </c>
      <c r="B14925" s="12" t="s">
        <v>3349</v>
      </c>
      <c r="C14925" s="13" t="s">
        <v>7707</v>
      </c>
      <c r="D14925" s="13" t="s">
        <v>34</v>
      </c>
      <c r="E14925" s="12" t="s">
        <v>35</v>
      </c>
      <c r="F14925" s="14">
        <v>29000</v>
      </c>
      <c r="G14925" s="14">
        <v>16100</v>
      </c>
      <c r="H14925" s="13" t="s">
        <v>28579</v>
      </c>
      <c r="I14925" s="40" t="s">
        <v>18</v>
      </c>
      <c r="J14925" s="40" t="str">
        <f>HYPERLINK("https://m.stock.naver.com/research/company/80361","PDF")</f>
        <v>PDF</v>
      </c>
      <c r="K14925" s="12" t="s">
        <v>28580</v>
      </c>
      <c r="L14925" s="20">
        <v>0.80124223602484468</v>
      </c>
    </row>
    <row r="14926" spans="1:12" x14ac:dyDescent="0.45">
      <c r="A14926" s="12" t="s">
        <v>28520</v>
      </c>
      <c r="B14926" s="12" t="s">
        <v>1946</v>
      </c>
      <c r="C14926" s="13" t="s">
        <v>1947</v>
      </c>
      <c r="D14926" s="13" t="s">
        <v>15</v>
      </c>
      <c r="E14926" s="12" t="s">
        <v>16</v>
      </c>
      <c r="F14926" s="14">
        <v>16000</v>
      </c>
      <c r="G14926" s="14">
        <v>12150</v>
      </c>
      <c r="H14926" s="13" t="s">
        <v>28581</v>
      </c>
      <c r="I14926" s="40" t="s">
        <v>18</v>
      </c>
      <c r="J14926" s="40" t="str">
        <f>HYPERLINK("https://stock.pstatic.net/stock-research/company/29/20250204_company_576988000.pdf","PDF")</f>
        <v>PDF</v>
      </c>
      <c r="K14926" s="12" t="s">
        <v>28582</v>
      </c>
      <c r="L14926" s="20">
        <v>0.3168724279835391</v>
      </c>
    </row>
    <row r="14927" spans="1:12" x14ac:dyDescent="0.45">
      <c r="A14927" s="12" t="s">
        <v>28520</v>
      </c>
      <c r="B14927" s="12" t="s">
        <v>1946</v>
      </c>
      <c r="C14927" s="13" t="s">
        <v>1947</v>
      </c>
      <c r="D14927" s="13" t="s">
        <v>92</v>
      </c>
      <c r="E14927" s="12" t="s">
        <v>35</v>
      </c>
      <c r="F14927" s="14">
        <v>30000</v>
      </c>
      <c r="G14927" s="14">
        <v>12150</v>
      </c>
      <c r="H14927" s="13" t="s">
        <v>28583</v>
      </c>
      <c r="I14927" s="40" t="s">
        <v>18</v>
      </c>
      <c r="J14927" s="40" t="str">
        <f>HYPERLINK("https://m.stock.naver.com/research/company/80359","PDF")</f>
        <v>PDF</v>
      </c>
      <c r="K14927" s="12" t="s">
        <v>28584</v>
      </c>
      <c r="L14927" s="20">
        <v>1.4691358024691361</v>
      </c>
    </row>
    <row r="14928" spans="1:12" x14ac:dyDescent="0.45">
      <c r="A14928" s="12" t="s">
        <v>28520</v>
      </c>
      <c r="B14928" s="12" t="s">
        <v>489</v>
      </c>
      <c r="C14928" s="13" t="s">
        <v>490</v>
      </c>
      <c r="D14928" s="13" t="s">
        <v>92</v>
      </c>
      <c r="E14928" s="12" t="s">
        <v>35</v>
      </c>
      <c r="F14928" s="14">
        <v>34000</v>
      </c>
      <c r="G14928" s="14">
        <v>23250</v>
      </c>
      <c r="H14928" s="13" t="s">
        <v>28585</v>
      </c>
      <c r="I14928" s="40" t="s">
        <v>18</v>
      </c>
      <c r="J14928" s="40" t="str">
        <f>HYPERLINK("https://stock.pstatic.net/stock-research/company/63/20250204_company_607582000.pdf","PDF")</f>
        <v>PDF</v>
      </c>
      <c r="K14928" s="12" t="s">
        <v>28586</v>
      </c>
      <c r="L14928" s="20">
        <v>0.46236559139784938</v>
      </c>
    </row>
    <row r="14929" spans="1:12" x14ac:dyDescent="0.45">
      <c r="A14929" s="12" t="s">
        <v>28520</v>
      </c>
      <c r="B14929" s="12" t="s">
        <v>2777</v>
      </c>
      <c r="C14929" s="13" t="s">
        <v>2778</v>
      </c>
      <c r="D14929" s="13" t="s">
        <v>179</v>
      </c>
      <c r="E14929" s="12" t="s">
        <v>16</v>
      </c>
      <c r="F14929" s="14">
        <v>200000</v>
      </c>
      <c r="G14929" s="14">
        <v>144400</v>
      </c>
      <c r="H14929" s="13" t="s">
        <v>28587</v>
      </c>
      <c r="I14929" s="40" t="s">
        <v>18</v>
      </c>
      <c r="J14929" s="40" t="str">
        <f>HYPERLINK("https://stock.pstatic.net/stock-research/company/31/20250204_company_620128000.pdf","PDF")</f>
        <v>PDF</v>
      </c>
      <c r="K14929" s="12" t="s">
        <v>28588</v>
      </c>
      <c r="L14929" s="20">
        <v>0.38504155124653738</v>
      </c>
    </row>
    <row r="14930" spans="1:12" x14ac:dyDescent="0.45">
      <c r="A14930" s="12" t="s">
        <v>28520</v>
      </c>
      <c r="B14930" s="12" t="s">
        <v>3024</v>
      </c>
      <c r="C14930" s="13" t="s">
        <v>3025</v>
      </c>
      <c r="D14930" s="13" t="s">
        <v>92</v>
      </c>
      <c r="E14930" s="12" t="s">
        <v>35</v>
      </c>
      <c r="F14930" s="14">
        <v>69000</v>
      </c>
      <c r="G14930" s="14">
        <v>41450</v>
      </c>
      <c r="H14930" s="13" t="s">
        <v>28589</v>
      </c>
      <c r="I14930" s="40" t="s">
        <v>18</v>
      </c>
      <c r="J14930" s="40" t="str">
        <f>HYPERLINK("https://stock.pstatic.net/stock-research/company/63/20250204_company_132835000.pdf","PDF")</f>
        <v>PDF</v>
      </c>
      <c r="K14930" s="12" t="s">
        <v>28590</v>
      </c>
      <c r="L14930" s="20">
        <v>0.66465621230398075</v>
      </c>
    </row>
    <row r="14931" spans="1:12" x14ac:dyDescent="0.45">
      <c r="A14931" s="12" t="s">
        <v>28520</v>
      </c>
      <c r="B14931" s="12" t="s">
        <v>4567</v>
      </c>
      <c r="C14931" s="13" t="s">
        <v>4568</v>
      </c>
      <c r="D14931" s="13" t="s">
        <v>34</v>
      </c>
      <c r="E14931" s="12" t="s">
        <v>35</v>
      </c>
      <c r="F14931" s="14">
        <v>21000</v>
      </c>
      <c r="G14931" s="14">
        <v>17070</v>
      </c>
      <c r="H14931" s="13" t="s">
        <v>28591</v>
      </c>
      <c r="I14931" s="40" t="s">
        <v>18</v>
      </c>
      <c r="J14931" s="40" t="str">
        <f>HYPERLINK("https://stock.pstatic.net/stock-research/company/61/20250204_company_894315000.pdf","PDF")</f>
        <v>PDF</v>
      </c>
      <c r="K14931" s="12" t="s">
        <v>28592</v>
      </c>
      <c r="L14931" s="20">
        <v>0.2302284710017575</v>
      </c>
    </row>
    <row r="14932" spans="1:12" x14ac:dyDescent="0.45">
      <c r="A14932" s="12" t="s">
        <v>28520</v>
      </c>
      <c r="B14932" s="12" t="s">
        <v>2887</v>
      </c>
      <c r="C14932" s="13" t="s">
        <v>2888</v>
      </c>
      <c r="D14932" s="13" t="s">
        <v>92</v>
      </c>
      <c r="E14932" s="12" t="s">
        <v>35</v>
      </c>
      <c r="F14932" s="14">
        <v>320000</v>
      </c>
      <c r="G14932" s="14">
        <v>222000</v>
      </c>
      <c r="H14932" s="13" t="s">
        <v>28593</v>
      </c>
      <c r="I14932" s="40" t="s">
        <v>18</v>
      </c>
      <c r="J14932" s="40" t="str">
        <f>HYPERLINK("https://stock.pstatic.net/stock-research/company/63/20250204_company_36964000.pdf","PDF")</f>
        <v>PDF</v>
      </c>
      <c r="K14932" s="12" t="s">
        <v>28594</v>
      </c>
      <c r="L14932" s="20">
        <v>0.44144144144144137</v>
      </c>
    </row>
    <row r="14933" spans="1:12" x14ac:dyDescent="0.45">
      <c r="A14933" s="12" t="s">
        <v>28520</v>
      </c>
      <c r="B14933" s="12" t="s">
        <v>3230</v>
      </c>
      <c r="C14933" s="13" t="s">
        <v>3231</v>
      </c>
      <c r="D14933" s="13" t="s">
        <v>23</v>
      </c>
      <c r="E14933" s="12" t="s">
        <v>16</v>
      </c>
      <c r="F14933" s="14">
        <v>620000</v>
      </c>
      <c r="G14933" s="14">
        <v>447500</v>
      </c>
      <c r="H14933" s="13" t="s">
        <v>28595</v>
      </c>
      <c r="I14933" s="40" t="s">
        <v>18</v>
      </c>
      <c r="J14933" s="40" t="str">
        <f>HYPERLINK("https://stock.pstatic.net/stock-research/company/21/20250204_company_885430000.pdf","PDF")</f>
        <v>PDF</v>
      </c>
      <c r="K14933" s="12" t="s">
        <v>28596</v>
      </c>
      <c r="L14933" s="20">
        <v>0.38547486033519551</v>
      </c>
    </row>
    <row r="14934" spans="1:12" x14ac:dyDescent="0.45">
      <c r="A14934" s="12" t="s">
        <v>28520</v>
      </c>
      <c r="B14934" s="12" t="s">
        <v>2758</v>
      </c>
      <c r="C14934" s="13" t="s">
        <v>2759</v>
      </c>
      <c r="D14934" s="13" t="s">
        <v>23</v>
      </c>
      <c r="E14934" s="12" t="s">
        <v>16</v>
      </c>
      <c r="F14934" s="14">
        <v>330000</v>
      </c>
      <c r="G14934" s="14">
        <v>248500</v>
      </c>
      <c r="H14934" s="13" t="s">
        <v>28597</v>
      </c>
      <c r="I14934" s="40" t="s">
        <v>18</v>
      </c>
      <c r="J14934" s="40" t="str">
        <f>HYPERLINK("https://m.stock.naver.com/research/company/80352","PDF")</f>
        <v>PDF</v>
      </c>
      <c r="K14934" s="12" t="s">
        <v>28598</v>
      </c>
      <c r="L14934" s="20">
        <v>0.32796780684104632</v>
      </c>
    </row>
    <row r="14935" spans="1:12" x14ac:dyDescent="0.45">
      <c r="A14935" s="12" t="s">
        <v>28520</v>
      </c>
      <c r="B14935" s="12" t="s">
        <v>3349</v>
      </c>
      <c r="C14935" s="13" t="s">
        <v>7707</v>
      </c>
      <c r="D14935" s="13" t="s">
        <v>23</v>
      </c>
      <c r="E14935" s="12" t="s">
        <v>16</v>
      </c>
      <c r="F14935" s="14">
        <v>25000</v>
      </c>
      <c r="G14935" s="14">
        <v>16100</v>
      </c>
      <c r="H14935" s="13" t="s">
        <v>28599</v>
      </c>
      <c r="I14935" s="40" t="s">
        <v>18</v>
      </c>
      <c r="J14935" s="40" t="str">
        <f>HYPERLINK("https://m.stock.naver.com/research/company/80351","PDF")</f>
        <v>PDF</v>
      </c>
      <c r="K14935" s="12" t="s">
        <v>28600</v>
      </c>
      <c r="L14935" s="20">
        <v>0.55279503105590067</v>
      </c>
    </row>
    <row r="14936" spans="1:12" x14ac:dyDescent="0.45">
      <c r="A14936" s="12" t="s">
        <v>28520</v>
      </c>
      <c r="B14936" s="12" t="s">
        <v>3024</v>
      </c>
      <c r="C14936" s="13" t="s">
        <v>3025</v>
      </c>
      <c r="D14936" s="13" t="s">
        <v>23</v>
      </c>
      <c r="E14936" s="12" t="s">
        <v>16</v>
      </c>
      <c r="F14936" s="14">
        <v>52000</v>
      </c>
      <c r="G14936" s="14">
        <v>41450</v>
      </c>
      <c r="H14936" s="13" t="s">
        <v>28601</v>
      </c>
      <c r="I14936" s="40" t="s">
        <v>18</v>
      </c>
      <c r="J14936" s="40" t="str">
        <f>HYPERLINK("https://m.stock.naver.com/research/company/80350","PDF")</f>
        <v>PDF</v>
      </c>
      <c r="K14936" s="12" t="s">
        <v>28602</v>
      </c>
      <c r="L14936" s="20">
        <v>0.25452352231604342</v>
      </c>
    </row>
    <row r="14937" spans="1:12" x14ac:dyDescent="0.45">
      <c r="A14937" s="12" t="s">
        <v>28520</v>
      </c>
      <c r="B14937" s="12" t="s">
        <v>2777</v>
      </c>
      <c r="C14937" s="13" t="s">
        <v>2778</v>
      </c>
      <c r="D14937" s="13" t="s">
        <v>34</v>
      </c>
      <c r="E14937" s="12" t="s">
        <v>35</v>
      </c>
      <c r="F14937" s="14">
        <v>200000</v>
      </c>
      <c r="G14937" s="14">
        <v>144400</v>
      </c>
      <c r="H14937" s="13" t="s">
        <v>28603</v>
      </c>
      <c r="I14937" s="40" t="s">
        <v>18</v>
      </c>
      <c r="J14937" s="40" t="str">
        <f>HYPERLINK("https://stock.pstatic.net/stock-research/company/61/20250204_company_28694000.pdf","PDF")</f>
        <v>PDF</v>
      </c>
      <c r="K14937" s="12" t="s">
        <v>28604</v>
      </c>
      <c r="L14937" s="20">
        <v>0.38504155124653738</v>
      </c>
    </row>
    <row r="14938" spans="1:12" x14ac:dyDescent="0.45">
      <c r="A14938" s="12" t="s">
        <v>28520</v>
      </c>
      <c r="B14938" s="12" t="s">
        <v>3230</v>
      </c>
      <c r="C14938" s="13" t="s">
        <v>3231</v>
      </c>
      <c r="D14938" s="13" t="s">
        <v>53</v>
      </c>
      <c r="E14938" s="12" t="s">
        <v>16</v>
      </c>
      <c r="F14938" s="14">
        <v>630000</v>
      </c>
      <c r="G14938" s="14">
        <v>447500</v>
      </c>
      <c r="H14938" s="13" t="s">
        <v>28605</v>
      </c>
      <c r="I14938" s="40" t="s">
        <v>18</v>
      </c>
      <c r="J14938" s="40" t="str">
        <f>HYPERLINK("https://m.stock.naver.com/research/company/80348","PDF")</f>
        <v>PDF</v>
      </c>
      <c r="K14938" s="12" t="s">
        <v>28606</v>
      </c>
      <c r="L14938" s="20">
        <v>0.40782122905027929</v>
      </c>
    </row>
    <row r="14939" spans="1:12" x14ac:dyDescent="0.45">
      <c r="A14939" s="12" t="s">
        <v>28520</v>
      </c>
      <c r="B14939" s="12" t="s">
        <v>2777</v>
      </c>
      <c r="C14939" s="13" t="s">
        <v>2778</v>
      </c>
      <c r="D14939" s="13" t="s">
        <v>23</v>
      </c>
      <c r="E14939" s="12" t="s">
        <v>16</v>
      </c>
      <c r="F14939" s="14">
        <v>210000</v>
      </c>
      <c r="G14939" s="14">
        <v>144400</v>
      </c>
      <c r="H14939" s="13" t="s">
        <v>28607</v>
      </c>
      <c r="I14939" s="40" t="s">
        <v>18</v>
      </c>
      <c r="J14939" s="40" t="str">
        <f>HYPERLINK("https://m.stock.naver.com/research/company/80347","PDF")</f>
        <v>PDF</v>
      </c>
      <c r="K14939" s="12" t="s">
        <v>28608</v>
      </c>
      <c r="L14939" s="20">
        <v>0.45429362880886431</v>
      </c>
    </row>
    <row r="14940" spans="1:12" x14ac:dyDescent="0.45">
      <c r="A14940" s="12" t="s">
        <v>28520</v>
      </c>
      <c r="B14940" s="12" t="s">
        <v>2758</v>
      </c>
      <c r="C14940" s="13" t="s">
        <v>2759</v>
      </c>
      <c r="D14940" s="13" t="s">
        <v>34</v>
      </c>
      <c r="E14940" s="12" t="s">
        <v>35</v>
      </c>
      <c r="F14940" s="14">
        <v>360000</v>
      </c>
      <c r="G14940" s="14">
        <v>248500</v>
      </c>
      <c r="H14940" s="13" t="s">
        <v>28609</v>
      </c>
      <c r="I14940" s="40" t="s">
        <v>18</v>
      </c>
      <c r="J14940" s="40" t="str">
        <f>HYPERLINK("https://m.stock.naver.com/research/company/80346","PDF")</f>
        <v>PDF</v>
      </c>
      <c r="K14940" s="12" t="s">
        <v>28610</v>
      </c>
      <c r="L14940" s="20">
        <v>0.44869215291750503</v>
      </c>
    </row>
    <row r="14941" spans="1:12" x14ac:dyDescent="0.45">
      <c r="A14941" s="12" t="s">
        <v>28520</v>
      </c>
      <c r="B14941" s="12" t="s">
        <v>2887</v>
      </c>
      <c r="C14941" s="13" t="s">
        <v>2888</v>
      </c>
      <c r="D14941" s="13" t="s">
        <v>34</v>
      </c>
      <c r="E14941" s="12" t="s">
        <v>35</v>
      </c>
      <c r="F14941" s="14">
        <v>320000</v>
      </c>
      <c r="G14941" s="14">
        <v>222000</v>
      </c>
      <c r="H14941" s="13" t="s">
        <v>28611</v>
      </c>
      <c r="I14941" s="40" t="s">
        <v>18</v>
      </c>
      <c r="J14941" s="40" t="str">
        <f>HYPERLINK("https://m.stock.naver.com/research/company/80345","PDF")</f>
        <v>PDF</v>
      </c>
      <c r="K14941" s="12" t="s">
        <v>28612</v>
      </c>
      <c r="L14941" s="20">
        <v>0.44144144144144137</v>
      </c>
    </row>
    <row r="14942" spans="1:12" x14ac:dyDescent="0.45">
      <c r="A14942" s="12" t="s">
        <v>28520</v>
      </c>
      <c r="B14942" s="12" t="s">
        <v>2887</v>
      </c>
      <c r="C14942" s="13" t="s">
        <v>2888</v>
      </c>
      <c r="D14942" s="13" t="s">
        <v>23</v>
      </c>
      <c r="E14942" s="12" t="s">
        <v>16</v>
      </c>
      <c r="F14942" s="14">
        <v>350000</v>
      </c>
      <c r="G14942" s="14">
        <v>222000</v>
      </c>
      <c r="H14942" s="13" t="s">
        <v>25395</v>
      </c>
      <c r="I14942" s="40" t="s">
        <v>18</v>
      </c>
      <c r="J14942" s="40" t="str">
        <f>HYPERLINK("https://m.stock.naver.com/research/company/80344","PDF")</f>
        <v>PDF</v>
      </c>
      <c r="K14942" s="12" t="s">
        <v>28613</v>
      </c>
      <c r="L14942" s="20">
        <v>0.57657657657657657</v>
      </c>
    </row>
    <row r="14943" spans="1:12" x14ac:dyDescent="0.45">
      <c r="A14943" s="12" t="s">
        <v>28520</v>
      </c>
      <c r="B14943" s="12" t="s">
        <v>398</v>
      </c>
      <c r="C14943" s="13" t="s">
        <v>399</v>
      </c>
      <c r="D14943" s="13" t="s">
        <v>53</v>
      </c>
      <c r="E14943" s="12" t="s">
        <v>16</v>
      </c>
      <c r="F14943" s="14">
        <v>160000</v>
      </c>
      <c r="G14943" s="14">
        <v>129000</v>
      </c>
      <c r="H14943" s="13" t="s">
        <v>28614</v>
      </c>
      <c r="I14943" s="40" t="s">
        <v>18</v>
      </c>
      <c r="J14943" s="40" t="str">
        <f>HYPERLINK("https://m.stock.naver.com/research/company/80343","PDF")</f>
        <v>PDF</v>
      </c>
      <c r="K14943" s="12" t="s">
        <v>28615</v>
      </c>
      <c r="L14943" s="20">
        <v>0.24031007751937991</v>
      </c>
    </row>
    <row r="14944" spans="1:12" x14ac:dyDescent="0.45">
      <c r="A14944" s="12" t="s">
        <v>28520</v>
      </c>
      <c r="B14944" s="12" t="s">
        <v>398</v>
      </c>
      <c r="C14944" s="13" t="s">
        <v>399</v>
      </c>
      <c r="D14944" s="13" t="s">
        <v>44</v>
      </c>
      <c r="E14944" s="12" t="s">
        <v>35</v>
      </c>
      <c r="F14944" s="14">
        <v>210000</v>
      </c>
      <c r="G14944" s="14">
        <v>129000</v>
      </c>
      <c r="H14944" s="13" t="s">
        <v>28616</v>
      </c>
      <c r="I14944" s="40" t="s">
        <v>18</v>
      </c>
      <c r="J14944" s="40" t="str">
        <f>HYPERLINK("https://stock.pstatic.net/stock-research/company/39/20250204_company_731408000.pdf","PDF")</f>
        <v>PDF</v>
      </c>
      <c r="K14944" s="12" t="s">
        <v>28617</v>
      </c>
      <c r="L14944" s="20">
        <v>0.62790697674418605</v>
      </c>
    </row>
    <row r="14945" spans="1:12" x14ac:dyDescent="0.45">
      <c r="A14945" s="12" t="s">
        <v>28520</v>
      </c>
      <c r="B14945" s="12" t="s">
        <v>22188</v>
      </c>
      <c r="C14945" s="13" t="s">
        <v>22189</v>
      </c>
      <c r="D14945" s="13" t="s">
        <v>179</v>
      </c>
      <c r="E14945" s="12" t="s">
        <v>50</v>
      </c>
      <c r="F14945" s="13"/>
      <c r="G14945" s="14">
        <v>6560</v>
      </c>
      <c r="H14945" s="13" t="s">
        <v>28618</v>
      </c>
      <c r="I14945" s="40" t="s">
        <v>18</v>
      </c>
      <c r="J14945" s="40" t="str">
        <f>HYPERLINK("https://m.stock.naver.com/research/company/80341","PDF")</f>
        <v>PDF</v>
      </c>
      <c r="K14945" s="12" t="s">
        <v>28619</v>
      </c>
    </row>
    <row r="14946" spans="1:12" x14ac:dyDescent="0.45">
      <c r="A14946" s="12" t="s">
        <v>28520</v>
      </c>
      <c r="B14946" s="12" t="s">
        <v>3536</v>
      </c>
      <c r="C14946" s="13" t="s">
        <v>3537</v>
      </c>
      <c r="D14946" s="13" t="s">
        <v>23</v>
      </c>
      <c r="E14946" s="12" t="s">
        <v>16</v>
      </c>
      <c r="F14946" s="14">
        <v>360000</v>
      </c>
      <c r="G14946" s="14">
        <v>216000</v>
      </c>
      <c r="H14946" s="13" t="s">
        <v>28620</v>
      </c>
      <c r="I14946" s="40" t="s">
        <v>18</v>
      </c>
      <c r="J14946" s="40" t="str">
        <f>HYPERLINK("https://stock.pstatic.net/stock-research/company/21/20250204_company_588471000.pdf","PDF")</f>
        <v>PDF</v>
      </c>
      <c r="K14946" s="12" t="s">
        <v>28621</v>
      </c>
      <c r="L14946" s="20">
        <v>0.66666666666666663</v>
      </c>
    </row>
    <row r="14947" spans="1:12" x14ac:dyDescent="0.45">
      <c r="A14947" s="12" t="s">
        <v>28520</v>
      </c>
      <c r="B14947" s="12" t="s">
        <v>398</v>
      </c>
      <c r="C14947" s="13" t="s">
        <v>399</v>
      </c>
      <c r="D14947" s="13" t="s">
        <v>23</v>
      </c>
      <c r="E14947" s="12" t="s">
        <v>16</v>
      </c>
      <c r="F14947" s="14">
        <v>180000</v>
      </c>
      <c r="G14947" s="14">
        <v>129000</v>
      </c>
      <c r="H14947" s="13" t="s">
        <v>8837</v>
      </c>
      <c r="I14947" s="40" t="s">
        <v>18</v>
      </c>
      <c r="J14947" s="40" t="str">
        <f>HYPERLINK("https://stock.pstatic.net/stock-research/company/21/20250204_company_599136000.pdf","PDF")</f>
        <v>PDF</v>
      </c>
      <c r="K14947" s="12" t="s">
        <v>28622</v>
      </c>
      <c r="L14947" s="20">
        <v>0.39534883720930231</v>
      </c>
    </row>
    <row r="14948" spans="1:12" x14ac:dyDescent="0.45">
      <c r="A14948" s="12" t="s">
        <v>28520</v>
      </c>
      <c r="B14948" s="12" t="s">
        <v>2758</v>
      </c>
      <c r="C14948" s="13" t="s">
        <v>2759</v>
      </c>
      <c r="D14948" s="13" t="s">
        <v>179</v>
      </c>
      <c r="E14948" s="12" t="s">
        <v>16</v>
      </c>
      <c r="F14948" s="14">
        <v>400000</v>
      </c>
      <c r="G14948" s="14">
        <v>248500</v>
      </c>
      <c r="H14948" s="13" t="s">
        <v>28623</v>
      </c>
      <c r="I14948" s="40" t="s">
        <v>18</v>
      </c>
      <c r="J14948" s="40" t="str">
        <f>HYPERLINK("https://stock.pstatic.net/stock-research/company/31/20250204_company_152819000.pdf","PDF")</f>
        <v>PDF</v>
      </c>
      <c r="K14948" s="12" t="s">
        <v>28624</v>
      </c>
      <c r="L14948" s="20">
        <v>0.6096579476861167</v>
      </c>
    </row>
    <row r="14949" spans="1:12" x14ac:dyDescent="0.45">
      <c r="A14949" s="12" t="s">
        <v>28520</v>
      </c>
      <c r="B14949" s="12" t="s">
        <v>2887</v>
      </c>
      <c r="C14949" s="13" t="s">
        <v>2888</v>
      </c>
      <c r="D14949" s="13" t="s">
        <v>179</v>
      </c>
      <c r="E14949" s="12" t="s">
        <v>16</v>
      </c>
      <c r="F14949" s="14">
        <v>300000</v>
      </c>
      <c r="G14949" s="14">
        <v>222000</v>
      </c>
      <c r="H14949" s="13" t="s">
        <v>28625</v>
      </c>
      <c r="I14949" s="40" t="s">
        <v>18</v>
      </c>
      <c r="J14949" s="40" t="str">
        <f>HYPERLINK("https://stock.pstatic.net/stock-research/company/31/20250204_company_354443000.pdf","PDF")</f>
        <v>PDF</v>
      </c>
      <c r="K14949" s="12" t="s">
        <v>28626</v>
      </c>
      <c r="L14949" s="20">
        <v>0.35135135135135143</v>
      </c>
    </row>
    <row r="14950" spans="1:12" x14ac:dyDescent="0.45">
      <c r="A14950" s="12" t="s">
        <v>28520</v>
      </c>
      <c r="B14950" s="12" t="s">
        <v>3536</v>
      </c>
      <c r="C14950" s="13" t="s">
        <v>3537</v>
      </c>
      <c r="D14950" s="13" t="s">
        <v>179</v>
      </c>
      <c r="E14950" s="12" t="s">
        <v>16</v>
      </c>
      <c r="F14950" s="14">
        <v>300000</v>
      </c>
      <c r="G14950" s="14">
        <v>216000</v>
      </c>
      <c r="H14950" s="13" t="s">
        <v>28627</v>
      </c>
      <c r="I14950" s="40" t="s">
        <v>18</v>
      </c>
      <c r="J14950" s="40" t="str">
        <f>HYPERLINK("https://m.stock.naver.com/research/company/80336","PDF")</f>
        <v>PDF</v>
      </c>
      <c r="K14950" s="12" t="s">
        <v>28628</v>
      </c>
      <c r="L14950" s="20">
        <v>0.3888888888888889</v>
      </c>
    </row>
    <row r="14951" spans="1:12" x14ac:dyDescent="0.45">
      <c r="A14951" s="12" t="s">
        <v>28520</v>
      </c>
      <c r="B14951" s="12" t="s">
        <v>728</v>
      </c>
      <c r="C14951" s="13" t="s">
        <v>729</v>
      </c>
      <c r="D14951" s="13" t="s">
        <v>44</v>
      </c>
      <c r="E14951" s="12" t="s">
        <v>35</v>
      </c>
      <c r="F14951" s="14">
        <v>100000</v>
      </c>
      <c r="G14951" s="14">
        <v>82800</v>
      </c>
      <c r="H14951" s="13" t="s">
        <v>28629</v>
      </c>
      <c r="I14951" s="40" t="s">
        <v>18</v>
      </c>
      <c r="J14951" s="40" t="str">
        <f>HYPERLINK("https://m.stock.naver.com/research/company/80335","PDF")</f>
        <v>PDF</v>
      </c>
      <c r="K14951" s="12" t="s">
        <v>28630</v>
      </c>
      <c r="L14951" s="20">
        <v>0.2077294685990338</v>
      </c>
    </row>
    <row r="14952" spans="1:12" x14ac:dyDescent="0.45">
      <c r="A14952" s="12" t="s">
        <v>28520</v>
      </c>
      <c r="B14952" s="12" t="s">
        <v>724</v>
      </c>
      <c r="C14952" s="13" t="s">
        <v>725</v>
      </c>
      <c r="D14952" s="13" t="s">
        <v>44</v>
      </c>
      <c r="E14952" s="12" t="s">
        <v>35</v>
      </c>
      <c r="F14952" s="14">
        <v>83000</v>
      </c>
      <c r="G14952" s="14">
        <v>68800</v>
      </c>
      <c r="H14952" s="13" t="s">
        <v>28631</v>
      </c>
      <c r="I14952" s="40" t="s">
        <v>18</v>
      </c>
      <c r="J14952" s="40" t="str">
        <f>HYPERLINK("https://stock.pstatic.net/stock-research/company/39/20250204_company_329236000.pdf","PDF")</f>
        <v>PDF</v>
      </c>
      <c r="K14952" s="12" t="s">
        <v>28632</v>
      </c>
      <c r="L14952" s="20">
        <v>0.20639534883720931</v>
      </c>
    </row>
    <row r="14953" spans="1:12" x14ac:dyDescent="0.45">
      <c r="A14953" s="12" t="s">
        <v>28520</v>
      </c>
      <c r="B14953" s="12" t="s">
        <v>156</v>
      </c>
      <c r="C14953" s="13" t="s">
        <v>157</v>
      </c>
      <c r="D14953" s="13" t="s">
        <v>44</v>
      </c>
      <c r="E14953" s="12" t="s">
        <v>35</v>
      </c>
      <c r="F14953" s="14">
        <v>5500</v>
      </c>
      <c r="G14953" s="14">
        <v>4150</v>
      </c>
      <c r="H14953" s="13" t="s">
        <v>28633</v>
      </c>
      <c r="I14953" s="40" t="s">
        <v>18</v>
      </c>
      <c r="J14953" s="40" t="str">
        <f>HYPERLINK("https://m.stock.naver.com/research/company/80333","PDF")</f>
        <v>PDF</v>
      </c>
      <c r="K14953" s="12" t="s">
        <v>28634</v>
      </c>
      <c r="L14953" s="20">
        <v>0.3253012048192771</v>
      </c>
    </row>
    <row r="14954" spans="1:12" x14ac:dyDescent="0.45">
      <c r="A14954" s="12" t="s">
        <v>28520</v>
      </c>
      <c r="B14954" s="12" t="s">
        <v>6593</v>
      </c>
      <c r="C14954" s="13" t="s">
        <v>21490</v>
      </c>
      <c r="D14954" s="13" t="s">
        <v>124</v>
      </c>
      <c r="E14954" s="12" t="s">
        <v>50</v>
      </c>
      <c r="F14954" s="13"/>
      <c r="G14954" s="13"/>
      <c r="H14954" s="13" t="s">
        <v>28635</v>
      </c>
      <c r="I14954" s="40" t="s">
        <v>18</v>
      </c>
      <c r="J14954" s="40" t="str">
        <f>HYPERLINK("https://m.stock.naver.com/research/company/80332","PDF")</f>
        <v>PDF</v>
      </c>
      <c r="K14954" s="12" t="s">
        <v>28636</v>
      </c>
    </row>
    <row r="14955" spans="1:12" x14ac:dyDescent="0.45">
      <c r="A14955" s="12" t="s">
        <v>28520</v>
      </c>
      <c r="B14955" s="12" t="s">
        <v>3349</v>
      </c>
      <c r="C14955" s="13" t="s">
        <v>7707</v>
      </c>
      <c r="D14955" s="13" t="s">
        <v>53</v>
      </c>
      <c r="E14955" s="12" t="s">
        <v>16</v>
      </c>
      <c r="F14955" s="14">
        <v>24000</v>
      </c>
      <c r="G14955" s="14">
        <v>16100</v>
      </c>
      <c r="H14955" s="13" t="s">
        <v>28637</v>
      </c>
      <c r="I14955" s="40" t="s">
        <v>18</v>
      </c>
      <c r="J14955" s="40" t="str">
        <f>HYPERLINK("https://m.stock.naver.com/research/company/80331","PDF")</f>
        <v>PDF</v>
      </c>
      <c r="K14955" s="12" t="s">
        <v>28638</v>
      </c>
      <c r="L14955" s="20">
        <v>0.49068322981366458</v>
      </c>
    </row>
    <row r="14956" spans="1:12" x14ac:dyDescent="0.45">
      <c r="A14956" s="12" t="s">
        <v>28520</v>
      </c>
      <c r="B14956" s="12" t="s">
        <v>28639</v>
      </c>
      <c r="C14956" s="13" t="s">
        <v>28640</v>
      </c>
      <c r="D14956" s="13" t="s">
        <v>53</v>
      </c>
      <c r="E14956" s="12" t="s">
        <v>385</v>
      </c>
      <c r="F14956" s="14">
        <v>50000</v>
      </c>
      <c r="G14956" s="14">
        <v>48800</v>
      </c>
      <c r="H14956" s="13" t="s">
        <v>28641</v>
      </c>
      <c r="I14956" s="40" t="s">
        <v>18</v>
      </c>
      <c r="J14956" s="40" t="str">
        <f>HYPERLINK("https://m.stock.naver.com/research/company/80330","PDF")</f>
        <v>PDF</v>
      </c>
      <c r="K14956" s="12" t="s">
        <v>28642</v>
      </c>
      <c r="L14956" s="20">
        <v>2.4590163934426229E-2</v>
      </c>
    </row>
    <row r="14957" spans="1:12" x14ac:dyDescent="0.45">
      <c r="A14957" s="12" t="s">
        <v>28643</v>
      </c>
      <c r="B14957" s="12" t="s">
        <v>2414</v>
      </c>
      <c r="C14957" s="13" t="s">
        <v>2415</v>
      </c>
      <c r="D14957" s="13" t="s">
        <v>276</v>
      </c>
      <c r="E14957" s="12" t="s">
        <v>16</v>
      </c>
      <c r="F14957" s="14">
        <v>400000</v>
      </c>
      <c r="G14957" s="14">
        <v>284000</v>
      </c>
      <c r="H14957" s="13" t="s">
        <v>28644</v>
      </c>
      <c r="I14957" s="40" t="s">
        <v>18</v>
      </c>
      <c r="J14957" s="40" t="str">
        <f>HYPERLINK("https://m.stock.naver.com/research/company/80329","PDF")</f>
        <v>PDF</v>
      </c>
      <c r="K14957" s="12" t="s">
        <v>28645</v>
      </c>
      <c r="L14957" s="20">
        <v>0.40845070422535212</v>
      </c>
    </row>
    <row r="14958" spans="1:12" x14ac:dyDescent="0.45">
      <c r="A14958" s="12" t="s">
        <v>28643</v>
      </c>
      <c r="B14958" s="12" t="s">
        <v>13</v>
      </c>
      <c r="C14958" s="13" t="s">
        <v>14</v>
      </c>
      <c r="D14958" s="13" t="s">
        <v>276</v>
      </c>
      <c r="E14958" s="12" t="s">
        <v>16</v>
      </c>
      <c r="F14958" s="14">
        <v>71000</v>
      </c>
      <c r="G14958" s="14">
        <v>52400</v>
      </c>
      <c r="H14958" s="13" t="s">
        <v>28646</v>
      </c>
      <c r="I14958" s="40" t="s">
        <v>18</v>
      </c>
      <c r="J14958" s="40" t="str">
        <f>HYPERLINK("https://stock.pstatic.net/stock-research/company/66/20250203_company_962997000.pdf","PDF")</f>
        <v>PDF</v>
      </c>
      <c r="K14958" s="12" t="s">
        <v>28647</v>
      </c>
      <c r="L14958" s="20">
        <v>0.35496183206106868</v>
      </c>
    </row>
    <row r="14959" spans="1:12" x14ac:dyDescent="0.45">
      <c r="A14959" s="12" t="s">
        <v>28643</v>
      </c>
      <c r="B14959" s="12" t="s">
        <v>13</v>
      </c>
      <c r="C14959" s="13" t="s">
        <v>14</v>
      </c>
      <c r="D14959" s="13" t="s">
        <v>60</v>
      </c>
      <c r="E14959" s="12" t="s">
        <v>35</v>
      </c>
      <c r="F14959" s="14">
        <v>75000</v>
      </c>
      <c r="G14959" s="14">
        <v>52400</v>
      </c>
      <c r="H14959" s="13" t="s">
        <v>28648</v>
      </c>
      <c r="I14959" s="40" t="s">
        <v>18</v>
      </c>
      <c r="J14959" s="40" t="str">
        <f>HYPERLINK("https://stock.pstatic.net/stock-research/company/34/20250203_company_82138000.pdf","PDF")</f>
        <v>PDF</v>
      </c>
      <c r="K14959" s="12" t="s">
        <v>28649</v>
      </c>
      <c r="L14959" s="20">
        <v>0.43129770992366412</v>
      </c>
    </row>
    <row r="14960" spans="1:12" x14ac:dyDescent="0.45">
      <c r="A14960" s="12" t="s">
        <v>28643</v>
      </c>
      <c r="B14960" s="12" t="s">
        <v>142</v>
      </c>
      <c r="C14960" s="13" t="s">
        <v>143</v>
      </c>
      <c r="D14960" s="13" t="s">
        <v>65</v>
      </c>
      <c r="E14960" s="12" t="s">
        <v>35</v>
      </c>
      <c r="F14960" s="14">
        <v>35000</v>
      </c>
      <c r="G14960" s="14">
        <v>20750</v>
      </c>
      <c r="H14960" s="13" t="s">
        <v>28650</v>
      </c>
      <c r="I14960" s="40" t="s">
        <v>18</v>
      </c>
      <c r="J14960" s="40" t="str">
        <f>HYPERLINK("https://stock.pstatic.net/stock-research/company/57/20250203_company_194196000.pdf","PDF")</f>
        <v>PDF</v>
      </c>
      <c r="K14960" s="12" t="s">
        <v>28651</v>
      </c>
      <c r="L14960" s="20">
        <v>0.68674698795180722</v>
      </c>
    </row>
    <row r="14961" spans="1:12" x14ac:dyDescent="0.45">
      <c r="A14961" s="12" t="s">
        <v>28643</v>
      </c>
      <c r="B14961" s="12" t="s">
        <v>13</v>
      </c>
      <c r="C14961" s="13" t="s">
        <v>14</v>
      </c>
      <c r="D14961" s="13" t="s">
        <v>65</v>
      </c>
      <c r="E14961" s="12" t="s">
        <v>35</v>
      </c>
      <c r="F14961" s="14">
        <v>84000</v>
      </c>
      <c r="G14961" s="14">
        <v>52400</v>
      </c>
      <c r="H14961" s="13" t="s">
        <v>28652</v>
      </c>
      <c r="I14961" s="40" t="s">
        <v>18</v>
      </c>
      <c r="J14961" s="40" t="str">
        <f>HYPERLINK("https://stock.pstatic.net/stock-research/company/1/20250203_company_463497000.pdf","PDF")</f>
        <v>PDF</v>
      </c>
      <c r="K14961" s="12" t="s">
        <v>28653</v>
      </c>
      <c r="L14961" s="20">
        <v>0.60305343511450382</v>
      </c>
    </row>
    <row r="14962" spans="1:12" x14ac:dyDescent="0.45">
      <c r="A14962" s="12" t="s">
        <v>28643</v>
      </c>
      <c r="B14962" s="12" t="s">
        <v>511</v>
      </c>
      <c r="C14962" s="13" t="s">
        <v>512</v>
      </c>
      <c r="D14962" s="13" t="s">
        <v>65</v>
      </c>
      <c r="E14962" s="12" t="s">
        <v>35</v>
      </c>
      <c r="F14962" s="14">
        <v>110000</v>
      </c>
      <c r="G14962" s="14">
        <v>65300</v>
      </c>
      <c r="H14962" s="13" t="s">
        <v>28654</v>
      </c>
      <c r="I14962" s="40" t="s">
        <v>18</v>
      </c>
      <c r="J14962" s="40" t="str">
        <f>HYPERLINK("https://stock.pstatic.net/stock-research/company/57/20250203_company_339618000.pdf","PDF")</f>
        <v>PDF</v>
      </c>
      <c r="K14962" s="12" t="s">
        <v>28655</v>
      </c>
      <c r="L14962" s="20">
        <v>0.68453292496171514</v>
      </c>
    </row>
    <row r="14963" spans="1:12" x14ac:dyDescent="0.45">
      <c r="A14963" s="12" t="s">
        <v>28643</v>
      </c>
      <c r="B14963" s="12" t="s">
        <v>2089</v>
      </c>
      <c r="C14963" s="13" t="s">
        <v>2090</v>
      </c>
      <c r="D14963" s="13" t="s">
        <v>65</v>
      </c>
      <c r="E14963" s="12" t="s">
        <v>35</v>
      </c>
      <c r="F14963" s="14">
        <v>95000</v>
      </c>
      <c r="G14963" s="14">
        <v>61000</v>
      </c>
      <c r="H14963" s="13" t="s">
        <v>28656</v>
      </c>
      <c r="I14963" s="40" t="s">
        <v>18</v>
      </c>
      <c r="J14963" s="40" t="str">
        <f>HYPERLINK("https://stock.pstatic.net/stock-research/company/57/20250203_company_605401000.pdf","PDF")</f>
        <v>PDF</v>
      </c>
      <c r="K14963" s="12" t="s">
        <v>28657</v>
      </c>
      <c r="L14963" s="20">
        <v>0.55737704918032782</v>
      </c>
    </row>
    <row r="14964" spans="1:12" x14ac:dyDescent="0.45">
      <c r="A14964" s="12" t="s">
        <v>28643</v>
      </c>
      <c r="B14964" s="12" t="s">
        <v>3478</v>
      </c>
      <c r="C14964" s="13" t="s">
        <v>3479</v>
      </c>
      <c r="D14964" s="13" t="s">
        <v>1271</v>
      </c>
      <c r="E14964" s="12" t="s">
        <v>35</v>
      </c>
      <c r="F14964" s="14">
        <v>30000</v>
      </c>
      <c r="G14964" s="14">
        <v>22850</v>
      </c>
      <c r="H14964" s="13" t="s">
        <v>28658</v>
      </c>
      <c r="I14964" s="40" t="s">
        <v>18</v>
      </c>
      <c r="J14964" s="40" t="str">
        <f>HYPERLINK("https://stock.pstatic.net/stock-research/company/78/20250203_company_774509000.pdf","PDF")</f>
        <v>PDF</v>
      </c>
      <c r="K14964" s="12" t="s">
        <v>28659</v>
      </c>
      <c r="L14964" s="20">
        <v>0.31291028446389502</v>
      </c>
    </row>
    <row r="14965" spans="1:12" x14ac:dyDescent="0.45">
      <c r="A14965" s="12" t="s">
        <v>28643</v>
      </c>
      <c r="B14965" s="12" t="s">
        <v>724</v>
      </c>
      <c r="C14965" s="13" t="s">
        <v>725</v>
      </c>
      <c r="D14965" s="13" t="s">
        <v>1271</v>
      </c>
      <c r="E14965" s="12" t="s">
        <v>35</v>
      </c>
      <c r="F14965" s="14">
        <v>90000</v>
      </c>
      <c r="G14965" s="14">
        <v>67200</v>
      </c>
      <c r="H14965" s="13" t="s">
        <v>28660</v>
      </c>
      <c r="I14965" s="40" t="s">
        <v>18</v>
      </c>
      <c r="J14965" s="40" t="str">
        <f>HYPERLINK("https://stock.pstatic.net/stock-research/company/78/20250203_company_163113000.pdf","PDF")</f>
        <v>PDF</v>
      </c>
      <c r="K14965" s="12" t="s">
        <v>28661</v>
      </c>
      <c r="L14965" s="20">
        <v>0.3392857142857143</v>
      </c>
    </row>
    <row r="14966" spans="1:12" x14ac:dyDescent="0.45">
      <c r="A14966" s="12" t="s">
        <v>28643</v>
      </c>
      <c r="B14966" s="12" t="s">
        <v>485</v>
      </c>
      <c r="C14966" s="13" t="s">
        <v>486</v>
      </c>
      <c r="D14966" s="13" t="s">
        <v>1271</v>
      </c>
      <c r="E14966" s="12" t="s">
        <v>35</v>
      </c>
      <c r="F14966" s="14">
        <v>200000</v>
      </c>
      <c r="G14966" s="14">
        <v>161500</v>
      </c>
      <c r="H14966" s="13" t="s">
        <v>28662</v>
      </c>
      <c r="I14966" s="40" t="s">
        <v>18</v>
      </c>
      <c r="J14966" s="40" t="str">
        <f>HYPERLINK("https://stock.pstatic.net/stock-research/company/78/20250203_company_621961000.pdf","PDF")</f>
        <v>PDF</v>
      </c>
      <c r="K14966" s="12" t="s">
        <v>28663</v>
      </c>
      <c r="L14966" s="20">
        <v>0.238390092879257</v>
      </c>
    </row>
    <row r="14967" spans="1:12" x14ac:dyDescent="0.45">
      <c r="A14967" s="12" t="s">
        <v>28643</v>
      </c>
      <c r="B14967" s="12" t="s">
        <v>1648</v>
      </c>
      <c r="C14967" s="13" t="s">
        <v>1649</v>
      </c>
      <c r="D14967" s="13" t="s">
        <v>57</v>
      </c>
      <c r="E14967" s="12" t="s">
        <v>35</v>
      </c>
      <c r="F14967" s="14">
        <v>110000</v>
      </c>
      <c r="G14967" s="14">
        <v>83500</v>
      </c>
      <c r="H14967" s="13" t="s">
        <v>28664</v>
      </c>
      <c r="I14967" s="40" t="s">
        <v>18</v>
      </c>
      <c r="J14967" s="40" t="str">
        <f>HYPERLINK("https://stock.pstatic.net/stock-research/company/16/20250203_company_292229000.pdf","PDF")</f>
        <v>PDF</v>
      </c>
      <c r="K14967" s="12" t="s">
        <v>28665</v>
      </c>
      <c r="L14967" s="20">
        <v>0.31736526946107779</v>
      </c>
    </row>
    <row r="14968" spans="1:12" x14ac:dyDescent="0.45">
      <c r="A14968" s="12" t="s">
        <v>28643</v>
      </c>
      <c r="B14968" s="12" t="s">
        <v>1258</v>
      </c>
      <c r="C14968" s="13" t="s">
        <v>1259</v>
      </c>
      <c r="D14968" s="13" t="s">
        <v>57</v>
      </c>
      <c r="E14968" s="12" t="s">
        <v>159</v>
      </c>
      <c r="F14968" s="14">
        <v>360000</v>
      </c>
      <c r="G14968" s="14">
        <v>381500</v>
      </c>
      <c r="H14968" s="13" t="s">
        <v>28666</v>
      </c>
      <c r="I14968" s="40" t="s">
        <v>18</v>
      </c>
      <c r="J14968" s="40" t="str">
        <f>HYPERLINK("https://stock.pstatic.net/stock-research/company/16/20250203_company_737413000.pdf","PDF")</f>
        <v>PDF</v>
      </c>
      <c r="K14968" s="12" t="s">
        <v>28667</v>
      </c>
      <c r="L14968" s="20">
        <v>-5.6356487549148099E-2</v>
      </c>
    </row>
    <row r="14969" spans="1:12" x14ac:dyDescent="0.45">
      <c r="A14969" s="12" t="s">
        <v>28643</v>
      </c>
      <c r="B14969" s="12" t="s">
        <v>13</v>
      </c>
      <c r="C14969" s="13" t="s">
        <v>14</v>
      </c>
      <c r="D14969" s="13" t="s">
        <v>57</v>
      </c>
      <c r="E14969" s="12" t="s">
        <v>35</v>
      </c>
      <c r="F14969" s="14">
        <v>73000</v>
      </c>
      <c r="G14969" s="14">
        <v>52400</v>
      </c>
      <c r="H14969" s="13" t="s">
        <v>28668</v>
      </c>
      <c r="I14969" s="40" t="s">
        <v>18</v>
      </c>
      <c r="J14969" s="40" t="str">
        <f>HYPERLINK("https://stock.pstatic.net/stock-research/company/16/20250203_company_958517000.pdf","PDF")</f>
        <v>PDF</v>
      </c>
      <c r="K14969" s="12" t="s">
        <v>28669</v>
      </c>
      <c r="L14969" s="20">
        <v>0.3931297709923664</v>
      </c>
    </row>
    <row r="14970" spans="1:12" x14ac:dyDescent="0.45">
      <c r="A14970" s="12" t="s">
        <v>28643</v>
      </c>
      <c r="B14970" s="12" t="s">
        <v>3164</v>
      </c>
      <c r="C14970" s="13" t="s">
        <v>3165</v>
      </c>
      <c r="D14970" s="13" t="s">
        <v>57</v>
      </c>
      <c r="E14970" s="12" t="s">
        <v>35</v>
      </c>
      <c r="F14970" s="14">
        <v>50000</v>
      </c>
      <c r="G14970" s="14">
        <v>31050</v>
      </c>
      <c r="H14970" s="13" t="s">
        <v>28670</v>
      </c>
      <c r="I14970" s="40" t="s">
        <v>18</v>
      </c>
      <c r="J14970" s="40" t="str">
        <f>HYPERLINK("https://stock.pstatic.net/stock-research/company/16/20250203_company_707877000.pdf","PDF")</f>
        <v>PDF</v>
      </c>
      <c r="K14970" s="12" t="s">
        <v>28671</v>
      </c>
      <c r="L14970" s="20">
        <v>0.61030595813204513</v>
      </c>
    </row>
    <row r="14971" spans="1:12" x14ac:dyDescent="0.45">
      <c r="A14971" s="12" t="s">
        <v>28643</v>
      </c>
      <c r="B14971" s="12" t="s">
        <v>13</v>
      </c>
      <c r="C14971" s="13" t="s">
        <v>14</v>
      </c>
      <c r="D14971" s="13" t="s">
        <v>158</v>
      </c>
      <c r="E14971" s="12" t="s">
        <v>35</v>
      </c>
      <c r="F14971" s="14">
        <v>70000</v>
      </c>
      <c r="G14971" s="14">
        <v>52400</v>
      </c>
      <c r="H14971" s="13" t="s">
        <v>28672</v>
      </c>
      <c r="I14971" s="40" t="s">
        <v>18</v>
      </c>
      <c r="J14971" s="40" t="str">
        <f>HYPERLINK("https://stock.pstatic.net/stock-research/company/18/20250203_company_956809000.pdf","PDF")</f>
        <v>PDF</v>
      </c>
      <c r="K14971" s="12" t="s">
        <v>28673</v>
      </c>
      <c r="L14971" s="20">
        <v>0.33587786259541991</v>
      </c>
    </row>
    <row r="14972" spans="1:12" x14ac:dyDescent="0.45">
      <c r="A14972" s="12" t="s">
        <v>28643</v>
      </c>
      <c r="B14972" s="12" t="s">
        <v>13</v>
      </c>
      <c r="C14972" s="13" t="s">
        <v>14</v>
      </c>
      <c r="D14972" s="13" t="s">
        <v>34</v>
      </c>
      <c r="E14972" s="12" t="s">
        <v>35</v>
      </c>
      <c r="F14972" s="14">
        <v>68000</v>
      </c>
      <c r="G14972" s="14">
        <v>52400</v>
      </c>
      <c r="H14972" s="13" t="s">
        <v>28674</v>
      </c>
      <c r="I14972" s="40" t="s">
        <v>18</v>
      </c>
      <c r="J14972" s="40" t="str">
        <f>HYPERLINK("https://stock.pstatic.net/stock-research/company/1/20250203_company_426777000.pdf","PDF")</f>
        <v>PDF</v>
      </c>
      <c r="K14972" s="12" t="s">
        <v>28675</v>
      </c>
      <c r="L14972" s="20">
        <v>0.29770992366412208</v>
      </c>
    </row>
    <row r="14973" spans="1:12" x14ac:dyDescent="0.45">
      <c r="A14973" s="12" t="s">
        <v>28643</v>
      </c>
      <c r="B14973" s="12" t="s">
        <v>577</v>
      </c>
      <c r="C14973" s="13" t="s">
        <v>578</v>
      </c>
      <c r="D14973" s="13" t="s">
        <v>44</v>
      </c>
      <c r="E14973" s="12" t="s">
        <v>35</v>
      </c>
      <c r="F14973" s="14">
        <v>375000</v>
      </c>
      <c r="G14973" s="14">
        <v>263500</v>
      </c>
      <c r="H14973" s="13" t="s">
        <v>28676</v>
      </c>
      <c r="I14973" s="40" t="s">
        <v>18</v>
      </c>
      <c r="J14973" s="40" t="str">
        <f>HYPERLINK("https://stock.pstatic.net/stock-research/company/39/20250203_company_114211000.pdf","PDF")</f>
        <v>PDF</v>
      </c>
      <c r="K14973" s="12" t="s">
        <v>28677</v>
      </c>
      <c r="L14973" s="20">
        <v>0.42314990512333972</v>
      </c>
    </row>
    <row r="14974" spans="1:12" x14ac:dyDescent="0.45">
      <c r="A14974" s="12" t="s">
        <v>28643</v>
      </c>
      <c r="B14974" s="12" t="s">
        <v>5479</v>
      </c>
      <c r="C14974" s="13" t="s">
        <v>5480</v>
      </c>
      <c r="D14974" s="13" t="s">
        <v>44</v>
      </c>
      <c r="E14974" s="12" t="s">
        <v>50</v>
      </c>
      <c r="F14974" s="13"/>
      <c r="G14974" s="13"/>
      <c r="H14974" s="13" t="s">
        <v>28678</v>
      </c>
      <c r="I14974" s="40" t="s">
        <v>18</v>
      </c>
      <c r="J14974" s="40" t="str">
        <f>HYPERLINK("https://stock.pstatic.net/stock-research/company/39/20250203_company_550497000.pdf","PDF")</f>
        <v>PDF</v>
      </c>
      <c r="K14974" s="12" t="s">
        <v>28679</v>
      </c>
    </row>
    <row r="14975" spans="1:12" x14ac:dyDescent="0.45">
      <c r="A14975" s="12" t="s">
        <v>28643</v>
      </c>
      <c r="B14975" s="12" t="s">
        <v>13</v>
      </c>
      <c r="C14975" s="13" t="s">
        <v>14</v>
      </c>
      <c r="D14975" s="13" t="s">
        <v>44</v>
      </c>
      <c r="E14975" s="12" t="s">
        <v>35</v>
      </c>
      <c r="F14975" s="14">
        <v>73000</v>
      </c>
      <c r="G14975" s="14">
        <v>52400</v>
      </c>
      <c r="H14975" s="13" t="s">
        <v>28680</v>
      </c>
      <c r="I14975" s="40" t="s">
        <v>18</v>
      </c>
      <c r="J14975" s="40" t="str">
        <f>HYPERLINK("https://stock.pstatic.net/stock-research/company/39/20250203_company_150737000.pdf","PDF")</f>
        <v>PDF</v>
      </c>
      <c r="K14975" s="12" t="s">
        <v>28681</v>
      </c>
      <c r="L14975" s="20">
        <v>0.3931297709923664</v>
      </c>
    </row>
    <row r="14976" spans="1:12" x14ac:dyDescent="0.45">
      <c r="A14976" s="12" t="s">
        <v>28643</v>
      </c>
      <c r="B14976" s="12" t="s">
        <v>2960</v>
      </c>
      <c r="C14976" s="13" t="s">
        <v>2961</v>
      </c>
      <c r="D14976" s="13" t="s">
        <v>83</v>
      </c>
      <c r="E14976" s="12" t="s">
        <v>642</v>
      </c>
      <c r="F14976" s="14">
        <v>42000</v>
      </c>
      <c r="G14976" s="14">
        <v>39450</v>
      </c>
      <c r="H14976" s="13" t="s">
        <v>28682</v>
      </c>
      <c r="I14976" s="40" t="s">
        <v>18</v>
      </c>
      <c r="J14976" s="40" t="str">
        <f>HYPERLINK("https://stock.pstatic.net/stock-research/company/2/20250203_company_321819000.pdf","PDF")</f>
        <v>PDF</v>
      </c>
      <c r="K14976" s="12" t="s">
        <v>28683</v>
      </c>
      <c r="L14976" s="20">
        <v>6.4638783269961975E-2</v>
      </c>
    </row>
    <row r="14977" spans="1:12" x14ac:dyDescent="0.45">
      <c r="A14977" s="12" t="s">
        <v>28643</v>
      </c>
      <c r="B14977" s="12" t="s">
        <v>511</v>
      </c>
      <c r="C14977" s="13" t="s">
        <v>512</v>
      </c>
      <c r="D14977" s="13" t="s">
        <v>83</v>
      </c>
      <c r="E14977" s="12" t="s">
        <v>35</v>
      </c>
      <c r="F14977" s="14">
        <v>92000</v>
      </c>
      <c r="G14977" s="14">
        <v>66500</v>
      </c>
      <c r="H14977" s="13" t="s">
        <v>28684</v>
      </c>
      <c r="I14977" s="40" t="s">
        <v>18</v>
      </c>
      <c r="J14977" s="40" t="str">
        <f>HYPERLINK("https://stock.pstatic.net/stock-research/company/2/20250203_company_831868000.pdf","PDF")</f>
        <v>PDF</v>
      </c>
      <c r="K14977" s="12" t="s">
        <v>28685</v>
      </c>
      <c r="L14977" s="20">
        <v>0.38345864661654128</v>
      </c>
    </row>
    <row r="14978" spans="1:12" x14ac:dyDescent="0.45">
      <c r="A14978" s="12" t="s">
        <v>28643</v>
      </c>
      <c r="B14978" s="12" t="s">
        <v>76</v>
      </c>
      <c r="C14978" s="13" t="s">
        <v>77</v>
      </c>
      <c r="D14978" s="13" t="s">
        <v>83</v>
      </c>
      <c r="E14978" s="12" t="s">
        <v>642</v>
      </c>
      <c r="F14978" s="14">
        <v>22000</v>
      </c>
      <c r="G14978" s="14">
        <v>18640</v>
      </c>
      <c r="H14978" s="13" t="s">
        <v>28686</v>
      </c>
      <c r="I14978" s="40" t="s">
        <v>18</v>
      </c>
      <c r="J14978" s="40" t="str">
        <f>HYPERLINK("https://stock.pstatic.net/stock-research/company/2/20250203_company_613946000.pdf","PDF")</f>
        <v>PDF</v>
      </c>
      <c r="K14978" s="12" t="s">
        <v>28687</v>
      </c>
      <c r="L14978" s="20">
        <v>0.18025751072961371</v>
      </c>
    </row>
    <row r="14979" spans="1:12" x14ac:dyDescent="0.45">
      <c r="A14979" s="12" t="s">
        <v>28643</v>
      </c>
      <c r="B14979" s="12" t="s">
        <v>836</v>
      </c>
      <c r="C14979" s="13" t="s">
        <v>837</v>
      </c>
      <c r="D14979" s="13" t="s">
        <v>83</v>
      </c>
      <c r="E14979" s="12" t="s">
        <v>35</v>
      </c>
      <c r="F14979" s="14">
        <v>110000</v>
      </c>
      <c r="G14979" s="14">
        <v>94100</v>
      </c>
      <c r="H14979" s="13" t="s">
        <v>28688</v>
      </c>
      <c r="I14979" s="40" t="s">
        <v>18</v>
      </c>
      <c r="J14979" s="40" t="str">
        <f>HYPERLINK("https://stock.pstatic.net/stock-research/company/2/20250203_company_442369000.pdf","PDF")</f>
        <v>PDF</v>
      </c>
      <c r="K14979" s="12" t="s">
        <v>28689</v>
      </c>
      <c r="L14979" s="20">
        <v>0.1689691817215728</v>
      </c>
    </row>
    <row r="14980" spans="1:12" x14ac:dyDescent="0.45">
      <c r="A14980" s="12" t="s">
        <v>28643</v>
      </c>
      <c r="B14980" s="12" t="s">
        <v>1258</v>
      </c>
      <c r="C14980" s="13" t="s">
        <v>1259</v>
      </c>
      <c r="D14980" s="13" t="s">
        <v>83</v>
      </c>
      <c r="E14980" s="12" t="s">
        <v>35</v>
      </c>
      <c r="F14980" s="14">
        <v>490000</v>
      </c>
      <c r="G14980" s="14">
        <v>381500</v>
      </c>
      <c r="H14980" s="13" t="s">
        <v>28690</v>
      </c>
      <c r="I14980" s="40" t="s">
        <v>18</v>
      </c>
      <c r="J14980" s="40" t="str">
        <f>HYPERLINK("https://stock.pstatic.net/stock-research/company/2/20250203_company_567737000.pdf","PDF")</f>
        <v>PDF</v>
      </c>
      <c r="K14980" s="12" t="s">
        <v>28691</v>
      </c>
      <c r="L14980" s="20">
        <v>0.28440366972477071</v>
      </c>
    </row>
    <row r="14981" spans="1:12" x14ac:dyDescent="0.45">
      <c r="A14981" s="12" t="s">
        <v>28643</v>
      </c>
      <c r="B14981" s="12" t="s">
        <v>10408</v>
      </c>
      <c r="C14981" s="13" t="s">
        <v>10409</v>
      </c>
      <c r="D14981" s="13" t="s">
        <v>179</v>
      </c>
      <c r="E14981" s="12" t="s">
        <v>16</v>
      </c>
      <c r="F14981" s="14">
        <v>43000</v>
      </c>
      <c r="G14981" s="14">
        <v>31700</v>
      </c>
      <c r="H14981" s="13" t="s">
        <v>28692</v>
      </c>
      <c r="I14981" s="40" t="s">
        <v>18</v>
      </c>
      <c r="J14981" s="40" t="str">
        <f>HYPERLINK("https://stock.pstatic.net/stock-research/company/1/20250203_company_527886000.pdf","PDF")</f>
        <v>PDF</v>
      </c>
      <c r="K14981" s="12" t="s">
        <v>28693</v>
      </c>
      <c r="L14981" s="20">
        <v>0.35646687697160878</v>
      </c>
    </row>
    <row r="14982" spans="1:12" x14ac:dyDescent="0.45">
      <c r="A14982" s="12" t="s">
        <v>28643</v>
      </c>
      <c r="B14982" s="12" t="s">
        <v>1258</v>
      </c>
      <c r="C14982" s="13" t="s">
        <v>1259</v>
      </c>
      <c r="D14982" s="13" t="s">
        <v>179</v>
      </c>
      <c r="E14982" s="12" t="s">
        <v>16</v>
      </c>
      <c r="F14982" s="14">
        <v>474000</v>
      </c>
      <c r="G14982" s="14">
        <v>381500</v>
      </c>
      <c r="H14982" s="13" t="s">
        <v>28694</v>
      </c>
      <c r="I14982" s="40" t="s">
        <v>18</v>
      </c>
      <c r="J14982" s="40" t="str">
        <f>HYPERLINK("https://stock.pstatic.net/stock-research/company/31/20250203_company_325973000.pdf","PDF")</f>
        <v>PDF</v>
      </c>
      <c r="K14982" s="12" t="s">
        <v>28695</v>
      </c>
      <c r="L14982" s="20">
        <v>0.24246395806028831</v>
      </c>
    </row>
    <row r="14983" spans="1:12" x14ac:dyDescent="0.45">
      <c r="A14983" s="12" t="s">
        <v>28643</v>
      </c>
      <c r="B14983" s="12" t="s">
        <v>1734</v>
      </c>
      <c r="C14983" s="13" t="s">
        <v>1735</v>
      </c>
      <c r="D14983" s="13" t="s">
        <v>23</v>
      </c>
      <c r="E14983" s="12" t="s">
        <v>16</v>
      </c>
      <c r="F14983" s="14">
        <v>50000</v>
      </c>
      <c r="G14983" s="14">
        <v>34200</v>
      </c>
      <c r="H14983" s="13" t="s">
        <v>28696</v>
      </c>
      <c r="I14983" s="40" t="s">
        <v>18</v>
      </c>
      <c r="J14983" s="40" t="str">
        <f>HYPERLINK("https://stock.pstatic.net/stock-research/company/21/20250203_company_53173000.pdf","PDF")</f>
        <v>PDF</v>
      </c>
      <c r="K14983" s="12" t="s">
        <v>28697</v>
      </c>
      <c r="L14983" s="20">
        <v>0.46198830409356723</v>
      </c>
    </row>
    <row r="14984" spans="1:12" x14ac:dyDescent="0.45">
      <c r="A14984" s="12" t="s">
        <v>28643</v>
      </c>
      <c r="B14984" s="12" t="s">
        <v>8189</v>
      </c>
      <c r="C14984" s="13" t="s">
        <v>8190</v>
      </c>
      <c r="D14984" s="13" t="s">
        <v>23</v>
      </c>
      <c r="E14984" s="12" t="s">
        <v>50</v>
      </c>
      <c r="F14984" s="13"/>
      <c r="G14984" s="14">
        <v>47800</v>
      </c>
      <c r="H14984" s="13" t="s">
        <v>28698</v>
      </c>
      <c r="I14984" s="40" t="s">
        <v>18</v>
      </c>
      <c r="J14984" s="40" t="str">
        <f>HYPERLINK("https://stock.pstatic.net/stock-research/company/21/20250203_company_910074000.pdf","PDF")</f>
        <v>PDF</v>
      </c>
      <c r="K14984" s="12" t="s">
        <v>28699</v>
      </c>
    </row>
    <row r="14985" spans="1:12" x14ac:dyDescent="0.45">
      <c r="A14985" s="12" t="s">
        <v>28643</v>
      </c>
      <c r="B14985" s="12" t="s">
        <v>13</v>
      </c>
      <c r="C14985" s="13" t="s">
        <v>14</v>
      </c>
      <c r="D14985" s="13" t="s">
        <v>92</v>
      </c>
      <c r="E14985" s="12" t="s">
        <v>35</v>
      </c>
      <c r="F14985" s="14">
        <v>72000</v>
      </c>
      <c r="G14985" s="14">
        <v>52400</v>
      </c>
      <c r="H14985" s="13" t="s">
        <v>28700</v>
      </c>
      <c r="I14985" s="40" t="s">
        <v>18</v>
      </c>
      <c r="J14985" s="40" t="str">
        <f>HYPERLINK("https://stock.pstatic.net/stock-research/company/63/20250203_company_728427000.pdf","PDF")</f>
        <v>PDF</v>
      </c>
      <c r="K14985" s="12" t="s">
        <v>28701</v>
      </c>
      <c r="L14985" s="20">
        <v>0.37404580152671763</v>
      </c>
    </row>
    <row r="14986" spans="1:12" x14ac:dyDescent="0.45">
      <c r="A14986" s="12" t="s">
        <v>28643</v>
      </c>
      <c r="B14986" s="12" t="s">
        <v>1140</v>
      </c>
      <c r="C14986" s="13" t="s">
        <v>1141</v>
      </c>
      <c r="D14986" s="13" t="s">
        <v>23</v>
      </c>
      <c r="E14986" s="12" t="s">
        <v>16</v>
      </c>
      <c r="F14986" s="14">
        <v>30000</v>
      </c>
      <c r="G14986" s="14">
        <v>21050</v>
      </c>
      <c r="H14986" s="13" t="s">
        <v>28702</v>
      </c>
      <c r="I14986" s="40" t="s">
        <v>18</v>
      </c>
      <c r="J14986" s="40" t="str">
        <f>HYPERLINK("https://stock.pstatic.net/stock-research/company/21/20250203_company_452513000.pdf","PDF")</f>
        <v>PDF</v>
      </c>
      <c r="K14986" s="12" t="s">
        <v>28703</v>
      </c>
      <c r="L14986" s="20">
        <v>0.42517814726840852</v>
      </c>
    </row>
    <row r="14987" spans="1:12" x14ac:dyDescent="0.45">
      <c r="A14987" s="12" t="s">
        <v>28643</v>
      </c>
      <c r="B14987" s="12" t="s">
        <v>1540</v>
      </c>
      <c r="C14987" s="13" t="s">
        <v>1541</v>
      </c>
      <c r="D14987" s="13" t="s">
        <v>23</v>
      </c>
      <c r="E14987" s="12" t="s">
        <v>16</v>
      </c>
      <c r="F14987" s="14">
        <v>58000</v>
      </c>
      <c r="G14987" s="14">
        <v>46500</v>
      </c>
      <c r="H14987" s="13" t="s">
        <v>28704</v>
      </c>
      <c r="I14987" s="40" t="s">
        <v>18</v>
      </c>
      <c r="J14987" s="40" t="str">
        <f>HYPERLINK("https://stock.pstatic.net/stock-research/company/21/20250203_company_890016000.pdf","PDF")</f>
        <v>PDF</v>
      </c>
      <c r="K14987" s="12" t="s">
        <v>28705</v>
      </c>
      <c r="L14987" s="20">
        <v>0.24731182795698919</v>
      </c>
    </row>
    <row r="14988" spans="1:12" x14ac:dyDescent="0.45">
      <c r="A14988" s="12" t="s">
        <v>28643</v>
      </c>
      <c r="B14988" s="12" t="s">
        <v>511</v>
      </c>
      <c r="C14988" s="13" t="s">
        <v>512</v>
      </c>
      <c r="D14988" s="13" t="s">
        <v>179</v>
      </c>
      <c r="E14988" s="12" t="s">
        <v>16</v>
      </c>
      <c r="F14988" s="14">
        <v>92000</v>
      </c>
      <c r="G14988" s="14">
        <v>65300</v>
      </c>
      <c r="H14988" s="13" t="s">
        <v>28706</v>
      </c>
      <c r="I14988" s="40" t="s">
        <v>18</v>
      </c>
      <c r="J14988" s="40" t="str">
        <f>HYPERLINK("https://stock.pstatic.net/stock-research/company/31/20250203_company_780396000.pdf","PDF")</f>
        <v>PDF</v>
      </c>
      <c r="K14988" s="12" t="s">
        <v>28707</v>
      </c>
      <c r="L14988" s="20">
        <v>0.40888208269525272</v>
      </c>
    </row>
    <row r="14989" spans="1:12" x14ac:dyDescent="0.45">
      <c r="A14989" s="12" t="s">
        <v>28643</v>
      </c>
      <c r="B14989" s="12" t="s">
        <v>13</v>
      </c>
      <c r="C14989" s="13" t="s">
        <v>14</v>
      </c>
      <c r="D14989" s="13" t="s">
        <v>23</v>
      </c>
      <c r="E14989" s="12" t="s">
        <v>16</v>
      </c>
      <c r="F14989" s="14">
        <v>73000</v>
      </c>
      <c r="G14989" s="14">
        <v>52400</v>
      </c>
      <c r="H14989" s="13" t="s">
        <v>28708</v>
      </c>
      <c r="I14989" s="40" t="s">
        <v>18</v>
      </c>
      <c r="J14989" s="40" t="str">
        <f>HYPERLINK("https://stock.pstatic.net/stock-research/company/21/20250203_company_201871000.pdf","PDF")</f>
        <v>PDF</v>
      </c>
      <c r="K14989" s="12" t="s">
        <v>28709</v>
      </c>
      <c r="L14989" s="20">
        <v>0.3931297709923664</v>
      </c>
    </row>
    <row r="14990" spans="1:12" x14ac:dyDescent="0.45">
      <c r="A14990" s="12" t="s">
        <v>28643</v>
      </c>
      <c r="B14990" s="12" t="s">
        <v>2873</v>
      </c>
      <c r="C14990" s="13" t="s">
        <v>2874</v>
      </c>
      <c r="D14990" s="13" t="s">
        <v>34</v>
      </c>
      <c r="E14990" s="12" t="s">
        <v>35</v>
      </c>
      <c r="F14990" s="14">
        <v>60000</v>
      </c>
      <c r="G14990" s="14">
        <v>45700</v>
      </c>
      <c r="H14990" s="13" t="s">
        <v>28710</v>
      </c>
      <c r="I14990" s="40" t="s">
        <v>18</v>
      </c>
      <c r="J14990" s="40" t="str">
        <f>HYPERLINK("https://stock.pstatic.net/stock-research/company/61/20250203_company_144815000.pdf","PDF")</f>
        <v>PDF</v>
      </c>
      <c r="K14990" s="12" t="s">
        <v>28711</v>
      </c>
      <c r="L14990" s="20">
        <v>0.31291028446389502</v>
      </c>
    </row>
    <row r="14991" spans="1:12" x14ac:dyDescent="0.45">
      <c r="A14991" s="12" t="s">
        <v>28643</v>
      </c>
      <c r="B14991" s="12" t="s">
        <v>2688</v>
      </c>
      <c r="C14991" s="13" t="s">
        <v>2689</v>
      </c>
      <c r="D14991" s="13" t="s">
        <v>34</v>
      </c>
      <c r="E14991" s="12" t="s">
        <v>35</v>
      </c>
      <c r="F14991" s="14">
        <v>75000</v>
      </c>
      <c r="G14991" s="14">
        <v>59700</v>
      </c>
      <c r="H14991" s="13" t="s">
        <v>28712</v>
      </c>
      <c r="I14991" s="40" t="s">
        <v>18</v>
      </c>
      <c r="J14991" s="40" t="str">
        <f>HYPERLINK("https://stock.pstatic.net/stock-research/company/1/20250203_company_987248000.pdf","PDF")</f>
        <v>PDF</v>
      </c>
      <c r="K14991" s="12" t="s">
        <v>28713</v>
      </c>
      <c r="L14991" s="20">
        <v>0.25628140703517588</v>
      </c>
    </row>
    <row r="14992" spans="1:12" x14ac:dyDescent="0.45">
      <c r="A14992" s="12" t="s">
        <v>28643</v>
      </c>
      <c r="B14992" s="12" t="s">
        <v>13</v>
      </c>
      <c r="C14992" s="13" t="s">
        <v>14</v>
      </c>
      <c r="D14992" s="13" t="s">
        <v>53</v>
      </c>
      <c r="E14992" s="12" t="s">
        <v>16</v>
      </c>
      <c r="F14992" s="14">
        <v>75000</v>
      </c>
      <c r="G14992" s="14">
        <v>52400</v>
      </c>
      <c r="H14992" s="13" t="s">
        <v>28714</v>
      </c>
      <c r="I14992" s="40" t="s">
        <v>18</v>
      </c>
      <c r="J14992" s="40" t="str">
        <f>HYPERLINK("https://stock.pstatic.net/stock-research/company/40/20250203_company_910210000.pdf","PDF")</f>
        <v>PDF</v>
      </c>
      <c r="K14992" s="12" t="s">
        <v>28715</v>
      </c>
      <c r="L14992" s="20">
        <v>0.43129770992366412</v>
      </c>
    </row>
    <row r="14993" spans="1:12" x14ac:dyDescent="0.45">
      <c r="A14993" s="12" t="s">
        <v>28643</v>
      </c>
      <c r="B14993" s="12" t="s">
        <v>6812</v>
      </c>
      <c r="C14993" s="13" t="s">
        <v>6813</v>
      </c>
      <c r="D14993" s="13" t="s">
        <v>15</v>
      </c>
      <c r="E14993" s="12" t="s">
        <v>16</v>
      </c>
      <c r="F14993" s="14">
        <v>40000</v>
      </c>
      <c r="G14993" s="14">
        <v>28850</v>
      </c>
      <c r="H14993" s="13" t="s">
        <v>28716</v>
      </c>
      <c r="I14993" s="40" t="s">
        <v>18</v>
      </c>
      <c r="J14993" s="40" t="str">
        <f>HYPERLINK("https://stock.pstatic.net/stock-research/company/29/20250203_company_208906000.pdf","PDF")</f>
        <v>PDF</v>
      </c>
      <c r="K14993" s="12" t="s">
        <v>28717</v>
      </c>
      <c r="L14993" s="20">
        <v>0.38648180242634322</v>
      </c>
    </row>
    <row r="14994" spans="1:12" x14ac:dyDescent="0.45">
      <c r="A14994" s="12" t="s">
        <v>28718</v>
      </c>
      <c r="B14994" s="12" t="s">
        <v>485</v>
      </c>
      <c r="C14994" s="13" t="s">
        <v>486</v>
      </c>
      <c r="D14994" s="13" t="s">
        <v>15</v>
      </c>
      <c r="E14994" s="12" t="s">
        <v>16</v>
      </c>
      <c r="F14994" s="14">
        <v>200000</v>
      </c>
      <c r="G14994" s="14">
        <v>139300</v>
      </c>
      <c r="H14994" s="13" t="s">
        <v>28719</v>
      </c>
      <c r="I14994" s="40" t="s">
        <v>18</v>
      </c>
      <c r="J14994" s="40" t="str">
        <f>HYPERLINK("https://stock.pstatic.net/stock-research/company/29/20250131_company_725147000.pdf","PDF")</f>
        <v>PDF</v>
      </c>
      <c r="K14994" s="12" t="s">
        <v>28720</v>
      </c>
      <c r="L14994" s="20">
        <v>0.43575017946877243</v>
      </c>
    </row>
    <row r="14995" spans="1:12" x14ac:dyDescent="0.45">
      <c r="A14995" s="12" t="s">
        <v>28718</v>
      </c>
      <c r="B14995" s="12" t="s">
        <v>812</v>
      </c>
      <c r="C14995" s="13" t="s">
        <v>813</v>
      </c>
      <c r="D14995" s="13" t="s">
        <v>92</v>
      </c>
      <c r="E14995" s="12" t="s">
        <v>35</v>
      </c>
      <c r="F14995" s="14">
        <v>55000</v>
      </c>
      <c r="G14995" s="14">
        <v>42200</v>
      </c>
      <c r="H14995" s="13" t="s">
        <v>28721</v>
      </c>
      <c r="I14995" s="40" t="s">
        <v>18</v>
      </c>
      <c r="J14995" s="40" t="str">
        <f>HYPERLINK("https://stock.pstatic.net/stock-research/company/63/20250131_company_803023000.pdf","PDF")</f>
        <v>PDF</v>
      </c>
      <c r="K14995" s="12" t="s">
        <v>28722</v>
      </c>
      <c r="L14995" s="20">
        <v>0.30331753554502372</v>
      </c>
    </row>
    <row r="14996" spans="1:12" x14ac:dyDescent="0.45">
      <c r="A14996" s="12" t="s">
        <v>28718</v>
      </c>
      <c r="B14996" s="12" t="s">
        <v>334</v>
      </c>
      <c r="C14996" s="13" t="s">
        <v>335</v>
      </c>
      <c r="D14996" s="13" t="s">
        <v>158</v>
      </c>
      <c r="E14996" s="12" t="s">
        <v>35</v>
      </c>
      <c r="F14996" s="14">
        <v>260000</v>
      </c>
      <c r="G14996" s="14">
        <v>221000</v>
      </c>
      <c r="H14996" s="13" t="s">
        <v>28723</v>
      </c>
      <c r="I14996" s="40" t="s">
        <v>18</v>
      </c>
      <c r="J14996" s="40" t="str">
        <f>HYPERLINK("https://stock.pstatic.net/stock-research/company/18/20250131_company_103088000.pdf","PDF")</f>
        <v>PDF</v>
      </c>
      <c r="K14996" s="12" t="s">
        <v>28724</v>
      </c>
      <c r="L14996" s="20">
        <v>0.1764705882352941</v>
      </c>
    </row>
    <row r="14997" spans="1:12" x14ac:dyDescent="0.45">
      <c r="A14997" s="12" t="s">
        <v>28718</v>
      </c>
      <c r="B14997" s="12" t="s">
        <v>577</v>
      </c>
      <c r="C14997" s="13" t="s">
        <v>578</v>
      </c>
      <c r="D14997" s="13" t="s">
        <v>158</v>
      </c>
      <c r="E14997" s="12" t="s">
        <v>35</v>
      </c>
      <c r="F14997" s="14">
        <v>360000</v>
      </c>
      <c r="G14997" s="14">
        <v>263500</v>
      </c>
      <c r="H14997" s="13" t="s">
        <v>28725</v>
      </c>
      <c r="I14997" s="40" t="s">
        <v>18</v>
      </c>
      <c r="J14997" s="40" t="str">
        <f>HYPERLINK("https://stock.pstatic.net/stock-research/company/18/20250131_company_569147000.pdf","PDF")</f>
        <v>PDF</v>
      </c>
      <c r="K14997" s="12" t="s">
        <v>28726</v>
      </c>
      <c r="L14997" s="20">
        <v>0.36622390891840612</v>
      </c>
    </row>
    <row r="14998" spans="1:12" x14ac:dyDescent="0.45">
      <c r="A14998" s="12" t="s">
        <v>28718</v>
      </c>
      <c r="B14998" s="12" t="s">
        <v>1765</v>
      </c>
      <c r="C14998" s="13" t="s">
        <v>1766</v>
      </c>
      <c r="D14998" s="13" t="s">
        <v>158</v>
      </c>
      <c r="E14998" s="12" t="s">
        <v>35</v>
      </c>
      <c r="F14998" s="14">
        <v>150000</v>
      </c>
      <c r="G14998" s="14">
        <v>101700</v>
      </c>
      <c r="H14998" s="13" t="s">
        <v>28727</v>
      </c>
      <c r="I14998" s="40" t="s">
        <v>18</v>
      </c>
      <c r="J14998" s="40" t="str">
        <f>HYPERLINK("https://stock.pstatic.net/stock-research/company/18/20250131_company_7366000.pdf","PDF")</f>
        <v>PDF</v>
      </c>
      <c r="K14998" s="12" t="s">
        <v>28728</v>
      </c>
      <c r="L14998" s="20">
        <v>0.47492625368731561</v>
      </c>
    </row>
    <row r="14999" spans="1:12" x14ac:dyDescent="0.45">
      <c r="A14999" s="12" t="s">
        <v>28718</v>
      </c>
      <c r="B14999" s="12" t="s">
        <v>2378</v>
      </c>
      <c r="C14999" s="13" t="s">
        <v>2379</v>
      </c>
      <c r="D14999" s="13" t="s">
        <v>158</v>
      </c>
      <c r="E14999" s="12" t="s">
        <v>35</v>
      </c>
      <c r="F14999" s="14">
        <v>531000</v>
      </c>
      <c r="G14999" s="14">
        <v>353500</v>
      </c>
      <c r="H14999" s="13" t="s">
        <v>28729</v>
      </c>
      <c r="I14999" s="40" t="s">
        <v>18</v>
      </c>
      <c r="J14999" s="40" t="str">
        <f>HYPERLINK("https://stock.pstatic.net/stock-research/company/18/20250131_company_541399000.pdf","PDF")</f>
        <v>PDF</v>
      </c>
      <c r="K14999" s="12" t="s">
        <v>28730</v>
      </c>
      <c r="L14999" s="20">
        <v>0.50212164073550214</v>
      </c>
    </row>
    <row r="15000" spans="1:12" x14ac:dyDescent="0.45">
      <c r="A15000" s="12" t="s">
        <v>28718</v>
      </c>
      <c r="B15000" s="12" t="s">
        <v>908</v>
      </c>
      <c r="C15000" s="13" t="s">
        <v>909</v>
      </c>
      <c r="D15000" s="13" t="s">
        <v>158</v>
      </c>
      <c r="E15000" s="12" t="s">
        <v>35</v>
      </c>
      <c r="F15000" s="14">
        <v>186000</v>
      </c>
      <c r="G15000" s="14">
        <v>113700</v>
      </c>
      <c r="H15000" s="13" t="s">
        <v>28731</v>
      </c>
      <c r="I15000" s="40" t="s">
        <v>18</v>
      </c>
      <c r="J15000" s="40" t="str">
        <f>HYPERLINK("https://stock.pstatic.net/stock-research/company/18/20250131_company_640064000.pdf","PDF")</f>
        <v>PDF</v>
      </c>
      <c r="K15000" s="12" t="s">
        <v>28732</v>
      </c>
      <c r="L15000" s="20">
        <v>0.63588390501319259</v>
      </c>
    </row>
    <row r="15001" spans="1:12" x14ac:dyDescent="0.45">
      <c r="A15001" s="12" t="s">
        <v>28718</v>
      </c>
      <c r="B15001" s="12" t="s">
        <v>2378</v>
      </c>
      <c r="C15001" s="13" t="s">
        <v>2379</v>
      </c>
      <c r="D15001" s="13" t="s">
        <v>57</v>
      </c>
      <c r="E15001" s="12" t="s">
        <v>35</v>
      </c>
      <c r="F15001" s="14">
        <v>500000</v>
      </c>
      <c r="G15001" s="14">
        <v>353500</v>
      </c>
      <c r="H15001" s="13" t="s">
        <v>28733</v>
      </c>
      <c r="I15001" s="40" t="s">
        <v>18</v>
      </c>
      <c r="J15001" s="40" t="str">
        <f>HYPERLINK("https://stock.pstatic.net/stock-research/company/16/20250131_company_847591000.pdf","PDF")</f>
        <v>PDF</v>
      </c>
      <c r="K15001" s="12" t="s">
        <v>28734</v>
      </c>
      <c r="L15001" s="20">
        <v>0.41442715700141441</v>
      </c>
    </row>
    <row r="15002" spans="1:12" x14ac:dyDescent="0.45">
      <c r="A15002" s="12" t="s">
        <v>28718</v>
      </c>
      <c r="B15002" s="12" t="s">
        <v>2369</v>
      </c>
      <c r="C15002" s="13" t="s">
        <v>2370</v>
      </c>
      <c r="D15002" s="13" t="s">
        <v>57</v>
      </c>
      <c r="E15002" s="12" t="s">
        <v>35</v>
      </c>
      <c r="F15002" s="14">
        <v>350000</v>
      </c>
      <c r="G15002" s="14">
        <v>226500</v>
      </c>
      <c r="H15002" s="13" t="s">
        <v>28735</v>
      </c>
      <c r="I15002" s="40" t="s">
        <v>18</v>
      </c>
      <c r="J15002" s="40" t="str">
        <f>HYPERLINK("https://stock.pstatic.net/stock-research/company/16/20250131_company_991597000.pdf","PDF")</f>
        <v>PDF</v>
      </c>
      <c r="K15002" s="12" t="s">
        <v>28736</v>
      </c>
      <c r="L15002" s="20">
        <v>0.54525386313465785</v>
      </c>
    </row>
    <row r="15003" spans="1:12" x14ac:dyDescent="0.45">
      <c r="A15003" s="12" t="s">
        <v>28718</v>
      </c>
      <c r="B15003" s="12" t="s">
        <v>2960</v>
      </c>
      <c r="C15003" s="13" t="s">
        <v>2961</v>
      </c>
      <c r="D15003" s="13" t="s">
        <v>57</v>
      </c>
      <c r="E15003" s="12" t="s">
        <v>159</v>
      </c>
      <c r="F15003" s="14">
        <v>41000</v>
      </c>
      <c r="G15003" s="14">
        <v>39450</v>
      </c>
      <c r="H15003" s="13" t="s">
        <v>28737</v>
      </c>
      <c r="I15003" s="40" t="s">
        <v>18</v>
      </c>
      <c r="J15003" s="40" t="str">
        <f>HYPERLINK("https://stock.pstatic.net/stock-research/company/16/20250131_company_828466000.pdf","PDF")</f>
        <v>PDF</v>
      </c>
      <c r="K15003" s="12" t="s">
        <v>28738</v>
      </c>
      <c r="L15003" s="20">
        <v>3.9290240811153357E-2</v>
      </c>
    </row>
    <row r="15004" spans="1:12" x14ac:dyDescent="0.45">
      <c r="A15004" s="12" t="s">
        <v>28718</v>
      </c>
      <c r="B15004" s="12" t="s">
        <v>577</v>
      </c>
      <c r="C15004" s="13" t="s">
        <v>578</v>
      </c>
      <c r="D15004" s="13" t="s">
        <v>57</v>
      </c>
      <c r="E15004" s="12" t="s">
        <v>35</v>
      </c>
      <c r="F15004" s="14">
        <v>330000</v>
      </c>
      <c r="G15004" s="14">
        <v>263500</v>
      </c>
      <c r="H15004" s="13" t="s">
        <v>28739</v>
      </c>
      <c r="I15004" s="40" t="s">
        <v>18</v>
      </c>
      <c r="J15004" s="40" t="str">
        <f>HYPERLINK("https://stock.pstatic.net/stock-research/company/16/20250131_company_974128000.pdf","PDF")</f>
        <v>PDF</v>
      </c>
      <c r="K15004" s="12" t="s">
        <v>28740</v>
      </c>
      <c r="L15004" s="20">
        <v>0.25237191650853891</v>
      </c>
    </row>
    <row r="15005" spans="1:12" x14ac:dyDescent="0.45">
      <c r="A15005" s="12" t="s">
        <v>28718</v>
      </c>
      <c r="B15005" s="12" t="s">
        <v>1765</v>
      </c>
      <c r="C15005" s="13" t="s">
        <v>1766</v>
      </c>
      <c r="D15005" s="13" t="s">
        <v>57</v>
      </c>
      <c r="E15005" s="12" t="s">
        <v>35</v>
      </c>
      <c r="F15005" s="14">
        <v>140000</v>
      </c>
      <c r="G15005" s="14">
        <v>101700</v>
      </c>
      <c r="H15005" s="13" t="s">
        <v>28741</v>
      </c>
      <c r="I15005" s="40" t="s">
        <v>18</v>
      </c>
      <c r="J15005" s="40" t="str">
        <f>HYPERLINK("https://stock.pstatic.net/stock-research/company/16/20250131_company_512517000.pdf","PDF")</f>
        <v>PDF</v>
      </c>
      <c r="K15005" s="12" t="s">
        <v>28742</v>
      </c>
      <c r="L15005" s="20">
        <v>0.37659783677482789</v>
      </c>
    </row>
    <row r="15006" spans="1:12" x14ac:dyDescent="0.45">
      <c r="A15006" s="12" t="s">
        <v>28718</v>
      </c>
      <c r="B15006" s="12" t="s">
        <v>2369</v>
      </c>
      <c r="C15006" s="13" t="s">
        <v>2370</v>
      </c>
      <c r="D15006" s="13" t="s">
        <v>276</v>
      </c>
      <c r="E15006" s="12" t="s">
        <v>16</v>
      </c>
      <c r="F15006" s="14">
        <v>330000</v>
      </c>
      <c r="G15006" s="14">
        <v>226500</v>
      </c>
      <c r="H15006" s="13" t="s">
        <v>28743</v>
      </c>
      <c r="I15006" s="40" t="s">
        <v>18</v>
      </c>
      <c r="J15006" s="40" t="str">
        <f>HYPERLINK("https://stock.pstatic.net/stock-research/company/66/20250131_company_726003000.pdf","PDF")</f>
        <v>PDF</v>
      </c>
      <c r="K15006" s="12" t="s">
        <v>28744</v>
      </c>
      <c r="L15006" s="20">
        <v>0.45695364238410602</v>
      </c>
    </row>
    <row r="15007" spans="1:12" x14ac:dyDescent="0.45">
      <c r="A15007" s="12" t="s">
        <v>28718</v>
      </c>
      <c r="B15007" s="12" t="s">
        <v>577</v>
      </c>
      <c r="C15007" s="13" t="s">
        <v>578</v>
      </c>
      <c r="D15007" s="13" t="s">
        <v>276</v>
      </c>
      <c r="E15007" s="12" t="s">
        <v>16</v>
      </c>
      <c r="F15007" s="14">
        <v>330000</v>
      </c>
      <c r="G15007" s="14">
        <v>263500</v>
      </c>
      <c r="H15007" s="13" t="s">
        <v>28745</v>
      </c>
      <c r="I15007" s="40" t="s">
        <v>18</v>
      </c>
      <c r="J15007" s="40" t="str">
        <f>HYPERLINK("https://stock.pstatic.net/stock-research/company/66/20250131_company_298881000.pdf","PDF")</f>
        <v>PDF</v>
      </c>
      <c r="K15007" s="12" t="s">
        <v>28746</v>
      </c>
      <c r="L15007" s="20">
        <v>0.25237191650853891</v>
      </c>
    </row>
    <row r="15008" spans="1:12" x14ac:dyDescent="0.45">
      <c r="A15008" s="12" t="s">
        <v>28718</v>
      </c>
      <c r="B15008" s="12" t="s">
        <v>2378</v>
      </c>
      <c r="C15008" s="13" t="s">
        <v>2379</v>
      </c>
      <c r="D15008" s="13" t="s">
        <v>276</v>
      </c>
      <c r="E15008" s="12" t="s">
        <v>385</v>
      </c>
      <c r="F15008" s="14">
        <v>400000</v>
      </c>
      <c r="G15008" s="14">
        <v>353500</v>
      </c>
      <c r="H15008" s="13" t="s">
        <v>28747</v>
      </c>
      <c r="I15008" s="40" t="s">
        <v>18</v>
      </c>
      <c r="J15008" s="40" t="str">
        <f>HYPERLINK("https://stock.pstatic.net/stock-research/company/66/20250131_company_628503000.pdf","PDF")</f>
        <v>PDF</v>
      </c>
      <c r="K15008" s="12" t="s">
        <v>28748</v>
      </c>
      <c r="L15008" s="20">
        <v>0.1315417256011315</v>
      </c>
    </row>
    <row r="15009" spans="1:12" x14ac:dyDescent="0.45">
      <c r="A15009" s="12" t="s">
        <v>28718</v>
      </c>
      <c r="B15009" s="12" t="s">
        <v>1765</v>
      </c>
      <c r="C15009" s="13" t="s">
        <v>1766</v>
      </c>
      <c r="D15009" s="13" t="s">
        <v>276</v>
      </c>
      <c r="E15009" s="12" t="s">
        <v>16</v>
      </c>
      <c r="F15009" s="14">
        <v>150000</v>
      </c>
      <c r="G15009" s="14">
        <v>101700</v>
      </c>
      <c r="H15009" s="13" t="s">
        <v>28749</v>
      </c>
      <c r="I15009" s="40" t="s">
        <v>18</v>
      </c>
      <c r="J15009" s="40" t="str">
        <f>HYPERLINK("https://stock.pstatic.net/stock-research/company/66/20250131_company_272373000.pdf","PDF")</f>
        <v>PDF</v>
      </c>
      <c r="K15009" s="12" t="s">
        <v>28750</v>
      </c>
      <c r="L15009" s="20">
        <v>0.47492625368731561</v>
      </c>
    </row>
    <row r="15010" spans="1:12" x14ac:dyDescent="0.45">
      <c r="A15010" s="12" t="s">
        <v>28718</v>
      </c>
      <c r="B15010" s="12" t="s">
        <v>485</v>
      </c>
      <c r="C15010" s="13" t="s">
        <v>486</v>
      </c>
      <c r="D15010" s="13" t="s">
        <v>276</v>
      </c>
      <c r="E15010" s="12" t="s">
        <v>16</v>
      </c>
      <c r="F15010" s="14">
        <v>185000</v>
      </c>
      <c r="G15010" s="14">
        <v>139300</v>
      </c>
      <c r="H15010" s="13" t="s">
        <v>28751</v>
      </c>
      <c r="I15010" s="40" t="s">
        <v>18</v>
      </c>
      <c r="J15010" s="40" t="str">
        <f>HYPERLINK("https://stock.pstatic.net/stock-research/company/66/20250131_company_609496000.pdf","PDF")</f>
        <v>PDF</v>
      </c>
      <c r="K15010" s="12" t="s">
        <v>28752</v>
      </c>
      <c r="L15010" s="20">
        <v>0.32806891600861449</v>
      </c>
    </row>
    <row r="15011" spans="1:12" x14ac:dyDescent="0.45">
      <c r="A15011" s="12" t="s">
        <v>28718</v>
      </c>
      <c r="B15011" s="12" t="s">
        <v>2378</v>
      </c>
      <c r="C15011" s="13" t="s">
        <v>2379</v>
      </c>
      <c r="D15011" s="13" t="s">
        <v>60</v>
      </c>
      <c r="E15011" s="12" t="s">
        <v>35</v>
      </c>
      <c r="F15011" s="14">
        <v>480000</v>
      </c>
      <c r="G15011" s="14">
        <v>353500</v>
      </c>
      <c r="H15011" s="13" t="s">
        <v>28753</v>
      </c>
      <c r="I15011" s="40" t="s">
        <v>18</v>
      </c>
      <c r="J15011" s="40" t="str">
        <f>HYPERLINK("https://stock.pstatic.net/stock-research/company/34/20250131_company_451582000.pdf","PDF")</f>
        <v>PDF</v>
      </c>
      <c r="K15011" s="12" t="s">
        <v>28754</v>
      </c>
      <c r="L15011" s="20">
        <v>0.35785007072135783</v>
      </c>
    </row>
    <row r="15012" spans="1:12" x14ac:dyDescent="0.45">
      <c r="A15012" s="12" t="s">
        <v>28718</v>
      </c>
      <c r="B15012" s="12" t="s">
        <v>2369</v>
      </c>
      <c r="C15012" s="13" t="s">
        <v>2370</v>
      </c>
      <c r="D15012" s="13" t="s">
        <v>60</v>
      </c>
      <c r="E15012" s="12" t="s">
        <v>35</v>
      </c>
      <c r="F15012" s="14">
        <v>310000</v>
      </c>
      <c r="G15012" s="14">
        <v>226500</v>
      </c>
      <c r="H15012" s="13" t="s">
        <v>28755</v>
      </c>
      <c r="I15012" s="40" t="s">
        <v>18</v>
      </c>
      <c r="J15012" s="40" t="str">
        <f>HYPERLINK("https://stock.pstatic.net/stock-research/company/34/20250131_company_888340000.pdf","PDF")</f>
        <v>PDF</v>
      </c>
      <c r="K15012" s="12" t="s">
        <v>28756</v>
      </c>
      <c r="L15012" s="20">
        <v>0.36865342163355408</v>
      </c>
    </row>
    <row r="15013" spans="1:12" x14ac:dyDescent="0.45">
      <c r="A15013" s="12" t="s">
        <v>28718</v>
      </c>
      <c r="B15013" s="12" t="s">
        <v>32</v>
      </c>
      <c r="C15013" s="13" t="s">
        <v>33</v>
      </c>
      <c r="D15013" s="13" t="s">
        <v>60</v>
      </c>
      <c r="E15013" s="12" t="s">
        <v>35</v>
      </c>
      <c r="F15013" s="14">
        <v>170000</v>
      </c>
      <c r="G15013" s="14">
        <v>128100</v>
      </c>
      <c r="H15013" s="13" t="s">
        <v>28757</v>
      </c>
      <c r="I15013" s="40" t="s">
        <v>18</v>
      </c>
      <c r="J15013" s="40" t="str">
        <f>HYPERLINK("https://stock.pstatic.net/stock-research/company/34/20250131_company_525560000.pdf","PDF")</f>
        <v>PDF</v>
      </c>
      <c r="K15013" s="12" t="s">
        <v>28758</v>
      </c>
      <c r="L15013" s="20">
        <v>0.32708821233411389</v>
      </c>
    </row>
    <row r="15014" spans="1:12" x14ac:dyDescent="0.45">
      <c r="A15014" s="12" t="s">
        <v>28718</v>
      </c>
      <c r="B15014" s="12" t="s">
        <v>10848</v>
      </c>
      <c r="C15014" s="13" t="s">
        <v>10849</v>
      </c>
      <c r="D15014" s="13" t="s">
        <v>60</v>
      </c>
      <c r="E15014" s="12" t="s">
        <v>50</v>
      </c>
      <c r="F15014" s="13"/>
      <c r="G15014" s="14">
        <v>33000</v>
      </c>
      <c r="H15014" s="13" t="s">
        <v>28759</v>
      </c>
      <c r="I15014" s="40" t="s">
        <v>18</v>
      </c>
      <c r="J15014" s="40" t="str">
        <f>HYPERLINK("https://stock.pstatic.net/stock-research/company/34/20250131_company_566573000.pdf","PDF")</f>
        <v>PDF</v>
      </c>
      <c r="K15014" s="12" t="s">
        <v>28760</v>
      </c>
    </row>
    <row r="15015" spans="1:12" x14ac:dyDescent="0.45">
      <c r="A15015" s="12" t="s">
        <v>28718</v>
      </c>
      <c r="B15015" s="12" t="s">
        <v>2960</v>
      </c>
      <c r="C15015" s="13" t="s">
        <v>2961</v>
      </c>
      <c r="D15015" s="13" t="s">
        <v>65</v>
      </c>
      <c r="E15015" s="12" t="s">
        <v>1738</v>
      </c>
      <c r="F15015" s="14">
        <v>43000</v>
      </c>
      <c r="G15015" s="14">
        <v>39450</v>
      </c>
      <c r="H15015" s="13" t="s">
        <v>28761</v>
      </c>
      <c r="I15015" s="40" t="s">
        <v>18</v>
      </c>
      <c r="J15015" s="40" t="str">
        <f>HYPERLINK("https://stock.pstatic.net/stock-research/company/57/20250131_company_327664000.pdf","PDF")</f>
        <v>PDF</v>
      </c>
      <c r="K15015" s="12" t="s">
        <v>28762</v>
      </c>
      <c r="L15015" s="20">
        <v>8.9987325728770592E-2</v>
      </c>
    </row>
    <row r="15016" spans="1:12" x14ac:dyDescent="0.45">
      <c r="A15016" s="12" t="s">
        <v>28718</v>
      </c>
      <c r="B15016" s="12" t="s">
        <v>24085</v>
      </c>
      <c r="C15016" s="13" t="s">
        <v>24086</v>
      </c>
      <c r="D15016" s="13" t="s">
        <v>65</v>
      </c>
      <c r="E15016" s="12" t="s">
        <v>35</v>
      </c>
      <c r="F15016" s="14">
        <v>16000</v>
      </c>
      <c r="G15016" s="14">
        <v>12350</v>
      </c>
      <c r="H15016" s="13" t="s">
        <v>28763</v>
      </c>
      <c r="I15016" s="40" t="s">
        <v>18</v>
      </c>
      <c r="J15016" s="40" t="str">
        <f>HYPERLINK("https://stock.pstatic.net/stock-research/company/57/20250131_company_905399000.pdf","PDF")</f>
        <v>PDF</v>
      </c>
      <c r="K15016" s="12" t="s">
        <v>28764</v>
      </c>
      <c r="L15016" s="20">
        <v>0.29554655870445351</v>
      </c>
    </row>
    <row r="15017" spans="1:12" x14ac:dyDescent="0.45">
      <c r="A15017" s="12" t="s">
        <v>28718</v>
      </c>
      <c r="B15017" s="12" t="s">
        <v>10848</v>
      </c>
      <c r="C15017" s="13" t="s">
        <v>10849</v>
      </c>
      <c r="D15017" s="13" t="s">
        <v>65</v>
      </c>
      <c r="E15017" s="12" t="s">
        <v>35</v>
      </c>
      <c r="F15017" s="14">
        <v>45000</v>
      </c>
      <c r="G15017" s="14">
        <v>33000</v>
      </c>
      <c r="H15017" s="13" t="s">
        <v>28765</v>
      </c>
      <c r="I15017" s="40" t="s">
        <v>18</v>
      </c>
      <c r="J15017" s="40" t="str">
        <f>HYPERLINK("https://stock.pstatic.net/stock-research/company/57/20250131_company_890317000.pdf","PDF")</f>
        <v>PDF</v>
      </c>
      <c r="K15017" s="12" t="s">
        <v>28766</v>
      </c>
      <c r="L15017" s="20">
        <v>0.36363636363636359</v>
      </c>
    </row>
    <row r="15018" spans="1:12" x14ac:dyDescent="0.45">
      <c r="A15018" s="12" t="s">
        <v>28718</v>
      </c>
      <c r="B15018" s="12" t="s">
        <v>2369</v>
      </c>
      <c r="C15018" s="13" t="s">
        <v>2370</v>
      </c>
      <c r="D15018" s="13" t="s">
        <v>65</v>
      </c>
      <c r="E15018" s="12" t="s">
        <v>1738</v>
      </c>
      <c r="F15018" s="14">
        <v>238000</v>
      </c>
      <c r="G15018" s="14">
        <v>226500</v>
      </c>
      <c r="H15018" s="13" t="s">
        <v>28767</v>
      </c>
      <c r="I15018" s="40" t="s">
        <v>18</v>
      </c>
      <c r="J15018" s="40" t="str">
        <f>HYPERLINK("https://stock.pstatic.net/stock-research/company/57/20250131_company_5687000.pdf","PDF")</f>
        <v>PDF</v>
      </c>
      <c r="K15018" s="12" t="s">
        <v>28768</v>
      </c>
      <c r="L15018" s="20">
        <v>5.0772626931567331E-2</v>
      </c>
    </row>
    <row r="15019" spans="1:12" x14ac:dyDescent="0.45">
      <c r="A15019" s="12" t="s">
        <v>28718</v>
      </c>
      <c r="B15019" s="12" t="s">
        <v>2378</v>
      </c>
      <c r="C15019" s="13" t="s">
        <v>2379</v>
      </c>
      <c r="D15019" s="13" t="s">
        <v>65</v>
      </c>
      <c r="E15019" s="12" t="s">
        <v>1738</v>
      </c>
      <c r="F15019" s="14">
        <v>336000</v>
      </c>
      <c r="G15019" s="14">
        <v>353500</v>
      </c>
      <c r="H15019" s="13" t="s">
        <v>28769</v>
      </c>
      <c r="I15019" s="40" t="s">
        <v>18</v>
      </c>
      <c r="J15019" s="40" t="str">
        <f>HYPERLINK("https://stock.pstatic.net/stock-research/company/57/20250131_company_232294000.pdf","PDF")</f>
        <v>PDF</v>
      </c>
      <c r="K15019" s="12" t="s">
        <v>28770</v>
      </c>
      <c r="L15019" s="20">
        <v>-4.9504950495049507E-2</v>
      </c>
    </row>
    <row r="15020" spans="1:12" x14ac:dyDescent="0.45">
      <c r="A15020" s="12" t="s">
        <v>28718</v>
      </c>
      <c r="B15020" s="12" t="s">
        <v>3284</v>
      </c>
      <c r="C15020" s="13" t="s">
        <v>3285</v>
      </c>
      <c r="D15020" s="13" t="s">
        <v>65</v>
      </c>
      <c r="E15020" s="12" t="s">
        <v>35</v>
      </c>
      <c r="F15020" s="14">
        <v>65000</v>
      </c>
      <c r="G15020" s="14">
        <v>56700</v>
      </c>
      <c r="H15020" s="13" t="s">
        <v>28771</v>
      </c>
      <c r="I15020" s="40" t="s">
        <v>18</v>
      </c>
      <c r="J15020" s="40" t="str">
        <f>HYPERLINK("https://stock.pstatic.net/stock-research/company/57/20250131_company_35731000.pdf","PDF")</f>
        <v>PDF</v>
      </c>
      <c r="K15020" s="12" t="s">
        <v>28772</v>
      </c>
      <c r="L15020" s="20">
        <v>0.14638447971781299</v>
      </c>
    </row>
    <row r="15021" spans="1:12" x14ac:dyDescent="0.45">
      <c r="A15021" s="12" t="s">
        <v>28718</v>
      </c>
      <c r="B15021" s="12" t="s">
        <v>362</v>
      </c>
      <c r="C15021" s="13" t="s">
        <v>363</v>
      </c>
      <c r="D15021" s="13" t="s">
        <v>65</v>
      </c>
      <c r="E15021" s="12" t="s">
        <v>35</v>
      </c>
      <c r="F15021" s="14">
        <v>95000</v>
      </c>
      <c r="G15021" s="14">
        <v>73600</v>
      </c>
      <c r="H15021" s="13" t="s">
        <v>28773</v>
      </c>
      <c r="I15021" s="40" t="s">
        <v>18</v>
      </c>
      <c r="J15021" s="40" t="str">
        <f>HYPERLINK("https://stock.pstatic.net/stock-research/company/57/20250131_company_482476000.pdf","PDF")</f>
        <v>PDF</v>
      </c>
      <c r="K15021" s="12" t="s">
        <v>28774</v>
      </c>
      <c r="L15021" s="20">
        <v>0.29076086956521741</v>
      </c>
    </row>
    <row r="15022" spans="1:12" x14ac:dyDescent="0.45">
      <c r="A15022" s="12" t="s">
        <v>28718</v>
      </c>
      <c r="B15022" s="12" t="s">
        <v>577</v>
      </c>
      <c r="C15022" s="13" t="s">
        <v>578</v>
      </c>
      <c r="D15022" s="13" t="s">
        <v>65</v>
      </c>
      <c r="E15022" s="12" t="s">
        <v>35</v>
      </c>
      <c r="F15022" s="14">
        <v>310000</v>
      </c>
      <c r="G15022" s="14">
        <v>263500</v>
      </c>
      <c r="H15022" s="13" t="s">
        <v>28775</v>
      </c>
      <c r="I15022" s="40" t="s">
        <v>18</v>
      </c>
      <c r="J15022" s="40" t="str">
        <f>HYPERLINK("https://stock.pstatic.net/stock-research/company/57/20250131_company_388313000.pdf","PDF")</f>
        <v>PDF</v>
      </c>
      <c r="K15022" s="12" t="s">
        <v>28776</v>
      </c>
      <c r="L15022" s="20">
        <v>0.1764705882352941</v>
      </c>
    </row>
    <row r="15023" spans="1:12" x14ac:dyDescent="0.45">
      <c r="A15023" s="12" t="s">
        <v>28718</v>
      </c>
      <c r="B15023" s="12" t="s">
        <v>1765</v>
      </c>
      <c r="C15023" s="13" t="s">
        <v>1766</v>
      </c>
      <c r="D15023" s="13" t="s">
        <v>65</v>
      </c>
      <c r="E15023" s="12" t="s">
        <v>35</v>
      </c>
      <c r="F15023" s="14">
        <v>140000</v>
      </c>
      <c r="G15023" s="14">
        <v>101700</v>
      </c>
      <c r="H15023" s="13" t="s">
        <v>28777</v>
      </c>
      <c r="I15023" s="40" t="s">
        <v>18</v>
      </c>
      <c r="J15023" s="40" t="str">
        <f>HYPERLINK("https://stock.pstatic.net/stock-research/company/57/20250131_company_293368000.pdf","PDF")</f>
        <v>PDF</v>
      </c>
      <c r="K15023" s="12" t="s">
        <v>28778</v>
      </c>
      <c r="L15023" s="20">
        <v>0.37659783677482789</v>
      </c>
    </row>
    <row r="15024" spans="1:12" x14ac:dyDescent="0.45">
      <c r="A15024" s="12" t="s">
        <v>28718</v>
      </c>
      <c r="B15024" s="12" t="s">
        <v>32</v>
      </c>
      <c r="C15024" s="13" t="s">
        <v>33</v>
      </c>
      <c r="D15024" s="13" t="s">
        <v>65</v>
      </c>
      <c r="E15024" s="12" t="s">
        <v>35</v>
      </c>
      <c r="F15024" s="14">
        <v>200000</v>
      </c>
      <c r="G15024" s="14">
        <v>128100</v>
      </c>
      <c r="H15024" s="13" t="s">
        <v>28779</v>
      </c>
      <c r="I15024" s="40" t="s">
        <v>18</v>
      </c>
      <c r="J15024" s="40" t="str">
        <f>HYPERLINK("https://stock.pstatic.net/stock-research/company/57/20250131_company_197244000.pdf","PDF")</f>
        <v>PDF</v>
      </c>
      <c r="K15024" s="12" t="s">
        <v>28780</v>
      </c>
      <c r="L15024" s="20">
        <v>0.56128024980483993</v>
      </c>
    </row>
    <row r="15025" spans="1:12" x14ac:dyDescent="0.45">
      <c r="A15025" s="12" t="s">
        <v>28718</v>
      </c>
      <c r="B15025" s="12" t="s">
        <v>32</v>
      </c>
      <c r="C15025" s="13" t="s">
        <v>33</v>
      </c>
      <c r="D15025" s="13" t="s">
        <v>15</v>
      </c>
      <c r="E15025" s="12" t="s">
        <v>16</v>
      </c>
      <c r="F15025" s="14">
        <v>200000</v>
      </c>
      <c r="G15025" s="14">
        <v>128100</v>
      </c>
      <c r="H15025" s="13" t="s">
        <v>19488</v>
      </c>
      <c r="I15025" s="40" t="s">
        <v>18</v>
      </c>
      <c r="J15025" s="40" t="str">
        <f>HYPERLINK("https://stock.pstatic.net/stock-research/company/29/20250131_company_329145000.pdf","PDF")</f>
        <v>PDF</v>
      </c>
      <c r="K15025" s="12" t="s">
        <v>28781</v>
      </c>
      <c r="L15025" s="20">
        <v>0.56128024980483993</v>
      </c>
    </row>
    <row r="15026" spans="1:12" x14ac:dyDescent="0.45">
      <c r="A15026" s="12" t="s">
        <v>28718</v>
      </c>
      <c r="B15026" s="12" t="s">
        <v>14366</v>
      </c>
      <c r="C15026" s="13" t="s">
        <v>14367</v>
      </c>
      <c r="D15026" s="13" t="s">
        <v>92</v>
      </c>
      <c r="E15026" s="12" t="s">
        <v>35</v>
      </c>
      <c r="F15026" s="14">
        <v>7000</v>
      </c>
      <c r="G15026" s="14">
        <v>4920</v>
      </c>
      <c r="H15026" s="13" t="s">
        <v>28782</v>
      </c>
      <c r="I15026" s="40" t="s">
        <v>18</v>
      </c>
      <c r="J15026" s="40" t="str">
        <f>HYPERLINK("https://stock.pstatic.net/stock-research/company/63/20250131_company_624927000.pdf","PDF")</f>
        <v>PDF</v>
      </c>
      <c r="K15026" s="12" t="s">
        <v>28783</v>
      </c>
      <c r="L15026" s="20">
        <v>0.42276422764227639</v>
      </c>
    </row>
    <row r="15027" spans="1:12" x14ac:dyDescent="0.45">
      <c r="A15027" s="12" t="s">
        <v>28718</v>
      </c>
      <c r="B15027" s="12" t="s">
        <v>485</v>
      </c>
      <c r="C15027" s="13" t="s">
        <v>486</v>
      </c>
      <c r="D15027" s="13" t="s">
        <v>92</v>
      </c>
      <c r="E15027" s="12" t="s">
        <v>35</v>
      </c>
      <c r="F15027" s="14">
        <v>200000</v>
      </c>
      <c r="G15027" s="14">
        <v>139300</v>
      </c>
      <c r="H15027" s="13" t="s">
        <v>28784</v>
      </c>
      <c r="I15027" s="40" t="s">
        <v>18</v>
      </c>
      <c r="J15027" s="40" t="str">
        <f>HYPERLINK("https://stock.pstatic.net/stock-research/company/63/20250131_company_992234000.pdf","PDF")</f>
        <v>PDF</v>
      </c>
      <c r="K15027" s="12" t="s">
        <v>28785</v>
      </c>
      <c r="L15027" s="20">
        <v>0.43575017946877243</v>
      </c>
    </row>
    <row r="15028" spans="1:12" x14ac:dyDescent="0.45">
      <c r="A15028" s="12" t="s">
        <v>28718</v>
      </c>
      <c r="B15028" s="12" t="s">
        <v>2089</v>
      </c>
      <c r="C15028" s="13" t="s">
        <v>2090</v>
      </c>
      <c r="D15028" s="13" t="s">
        <v>92</v>
      </c>
      <c r="E15028" s="12" t="s">
        <v>35</v>
      </c>
      <c r="F15028" s="14">
        <v>80000</v>
      </c>
      <c r="G15028" s="14">
        <v>60700</v>
      </c>
      <c r="H15028" s="13" t="s">
        <v>28786</v>
      </c>
      <c r="I15028" s="40" t="s">
        <v>18</v>
      </c>
      <c r="J15028" s="40" t="str">
        <f>HYPERLINK("https://stock.pstatic.net/stock-research/company/63/20250131_company_294085000.pdf","PDF")</f>
        <v>PDF</v>
      </c>
      <c r="K15028" s="12" t="s">
        <v>28787</v>
      </c>
      <c r="L15028" s="20">
        <v>0.31795716639209232</v>
      </c>
    </row>
    <row r="15029" spans="1:12" x14ac:dyDescent="0.45">
      <c r="A15029" s="12" t="s">
        <v>28718</v>
      </c>
      <c r="B15029" s="12" t="s">
        <v>577</v>
      </c>
      <c r="C15029" s="13" t="s">
        <v>578</v>
      </c>
      <c r="D15029" s="13" t="s">
        <v>15</v>
      </c>
      <c r="E15029" s="12" t="s">
        <v>16</v>
      </c>
      <c r="F15029" s="14">
        <v>350000</v>
      </c>
      <c r="G15029" s="14">
        <v>263500</v>
      </c>
      <c r="H15029" s="13" t="s">
        <v>28788</v>
      </c>
      <c r="I15029" s="40" t="s">
        <v>18</v>
      </c>
      <c r="J15029" s="40" t="str">
        <f>HYPERLINK("https://stock.pstatic.net/stock-research/company/29/20250131_company_324379000.pdf","PDF")</f>
        <v>PDF</v>
      </c>
      <c r="K15029" s="12" t="s">
        <v>28789</v>
      </c>
      <c r="L15029" s="20">
        <v>0.32827324478178371</v>
      </c>
    </row>
    <row r="15030" spans="1:12" x14ac:dyDescent="0.45">
      <c r="A15030" s="12" t="s">
        <v>28718</v>
      </c>
      <c r="B15030" s="12" t="s">
        <v>19937</v>
      </c>
      <c r="C15030" s="13" t="s">
        <v>19938</v>
      </c>
      <c r="D15030" s="13" t="s">
        <v>92</v>
      </c>
      <c r="E15030" s="12" t="s">
        <v>35</v>
      </c>
      <c r="F15030" s="14">
        <v>190000</v>
      </c>
      <c r="G15030" s="14">
        <v>120600</v>
      </c>
      <c r="H15030" s="13" t="s">
        <v>28790</v>
      </c>
      <c r="I15030" s="40" t="s">
        <v>18</v>
      </c>
      <c r="J15030" s="40" t="str">
        <f>HYPERLINK("https://stock.pstatic.net/stock-research/company/63/20250131_company_753274000.pdf","PDF")</f>
        <v>PDF</v>
      </c>
      <c r="K15030" s="12" t="s">
        <v>28791</v>
      </c>
      <c r="L15030" s="20">
        <v>0.57545605306799341</v>
      </c>
    </row>
    <row r="15031" spans="1:12" x14ac:dyDescent="0.45">
      <c r="A15031" s="12" t="s">
        <v>28718</v>
      </c>
      <c r="B15031" s="12" t="s">
        <v>1765</v>
      </c>
      <c r="C15031" s="13" t="s">
        <v>1766</v>
      </c>
      <c r="D15031" s="13" t="s">
        <v>15</v>
      </c>
      <c r="E15031" s="12" t="s">
        <v>16</v>
      </c>
      <c r="F15031" s="14">
        <v>150000</v>
      </c>
      <c r="G15031" s="14">
        <v>101700</v>
      </c>
      <c r="H15031" s="13" t="s">
        <v>28792</v>
      </c>
      <c r="I15031" s="40" t="s">
        <v>18</v>
      </c>
      <c r="J15031" s="40" t="str">
        <f>HYPERLINK("https://stock.pstatic.net/stock-research/company/29/20250131_company_137537000.pdf","PDF")</f>
        <v>PDF</v>
      </c>
      <c r="K15031" s="12" t="s">
        <v>28793</v>
      </c>
      <c r="L15031" s="20">
        <v>0.47492625368731561</v>
      </c>
    </row>
    <row r="15032" spans="1:12" x14ac:dyDescent="0.45">
      <c r="A15032" s="12" t="s">
        <v>28718</v>
      </c>
      <c r="B15032" s="12" t="s">
        <v>2960</v>
      </c>
      <c r="C15032" s="13" t="s">
        <v>2961</v>
      </c>
      <c r="D15032" s="13" t="s">
        <v>92</v>
      </c>
      <c r="E15032" s="12" t="s">
        <v>35</v>
      </c>
      <c r="F15032" s="14">
        <v>54000</v>
      </c>
      <c r="G15032" s="14">
        <v>39450</v>
      </c>
      <c r="H15032" s="13" t="s">
        <v>28794</v>
      </c>
      <c r="I15032" s="40" t="s">
        <v>18</v>
      </c>
      <c r="J15032" s="40" t="str">
        <f>HYPERLINK("https://stock.pstatic.net/stock-research/company/63/20250131_company_387148000.pdf","PDF")</f>
        <v>PDF</v>
      </c>
      <c r="K15032" s="12" t="s">
        <v>28795</v>
      </c>
      <c r="L15032" s="20">
        <v>0.36882129277566539</v>
      </c>
    </row>
    <row r="15033" spans="1:12" x14ac:dyDescent="0.45">
      <c r="A15033" s="12" t="s">
        <v>28718</v>
      </c>
      <c r="B15033" s="12" t="s">
        <v>5767</v>
      </c>
      <c r="C15033" s="13" t="s">
        <v>5768</v>
      </c>
      <c r="D15033" s="13" t="s">
        <v>83</v>
      </c>
      <c r="E15033" s="12" t="s">
        <v>35</v>
      </c>
      <c r="F15033" s="14">
        <v>32500</v>
      </c>
      <c r="G15033" s="14">
        <v>25500</v>
      </c>
      <c r="H15033" s="13" t="s">
        <v>28796</v>
      </c>
      <c r="I15033" s="40" t="s">
        <v>18</v>
      </c>
      <c r="J15033" s="40" t="str">
        <f>HYPERLINK("https://stock.pstatic.net/stock-research/company/2/20250131_company_861307000.pdf","PDF")</f>
        <v>PDF</v>
      </c>
      <c r="K15033" s="12" t="s">
        <v>28797</v>
      </c>
      <c r="L15033" s="20">
        <v>0.27450980392156871</v>
      </c>
    </row>
    <row r="15034" spans="1:12" x14ac:dyDescent="0.45">
      <c r="A15034" s="12" t="s">
        <v>28718</v>
      </c>
      <c r="B15034" s="12" t="s">
        <v>1765</v>
      </c>
      <c r="C15034" s="13" t="s">
        <v>1766</v>
      </c>
      <c r="D15034" s="13" t="s">
        <v>83</v>
      </c>
      <c r="E15034" s="12" t="s">
        <v>35</v>
      </c>
      <c r="F15034" s="14">
        <v>150000</v>
      </c>
      <c r="G15034" s="14">
        <v>101700</v>
      </c>
      <c r="H15034" s="13" t="s">
        <v>28798</v>
      </c>
      <c r="I15034" s="40" t="s">
        <v>18</v>
      </c>
      <c r="J15034" s="40" t="str">
        <f>HYPERLINK("https://stock.pstatic.net/stock-research/company/2/20250131_company_713010000.pdf","PDF")</f>
        <v>PDF</v>
      </c>
      <c r="K15034" s="12" t="s">
        <v>28799</v>
      </c>
      <c r="L15034" s="20">
        <v>0.47492625368731561</v>
      </c>
    </row>
    <row r="15035" spans="1:12" x14ac:dyDescent="0.45">
      <c r="A15035" s="12" t="s">
        <v>28718</v>
      </c>
      <c r="B15035" s="12" t="s">
        <v>3548</v>
      </c>
      <c r="C15035" s="13" t="s">
        <v>3549</v>
      </c>
      <c r="D15035" s="13" t="s">
        <v>83</v>
      </c>
      <c r="E15035" s="12" t="s">
        <v>35</v>
      </c>
      <c r="F15035" s="14">
        <v>61000</v>
      </c>
      <c r="G15035" s="14">
        <v>39950</v>
      </c>
      <c r="H15035" s="13" t="s">
        <v>28800</v>
      </c>
      <c r="I15035" s="40" t="s">
        <v>18</v>
      </c>
      <c r="J15035" s="40" t="str">
        <f>HYPERLINK("https://stock.pstatic.net/stock-research/company/2/20250131_company_975452000.pdf","PDF")</f>
        <v>PDF</v>
      </c>
      <c r="K15035" s="12" t="s">
        <v>28801</v>
      </c>
      <c r="L15035" s="20">
        <v>0.52690863579474345</v>
      </c>
    </row>
    <row r="15036" spans="1:12" x14ac:dyDescent="0.45">
      <c r="A15036" s="12" t="s">
        <v>28718</v>
      </c>
      <c r="B15036" s="12" t="s">
        <v>577</v>
      </c>
      <c r="C15036" s="13" t="s">
        <v>578</v>
      </c>
      <c r="D15036" s="13" t="s">
        <v>83</v>
      </c>
      <c r="E15036" s="12" t="s">
        <v>35</v>
      </c>
      <c r="F15036" s="14">
        <v>350000</v>
      </c>
      <c r="G15036" s="14">
        <v>263500</v>
      </c>
      <c r="H15036" s="13" t="s">
        <v>28802</v>
      </c>
      <c r="I15036" s="40" t="s">
        <v>18</v>
      </c>
      <c r="J15036" s="40" t="str">
        <f>HYPERLINK("https://stock.pstatic.net/stock-research/company/2/20250131_company_545909000.pdf","PDF")</f>
        <v>PDF</v>
      </c>
      <c r="K15036" s="12" t="s">
        <v>28803</v>
      </c>
      <c r="L15036" s="20">
        <v>0.32827324478178371</v>
      </c>
    </row>
    <row r="15037" spans="1:12" x14ac:dyDescent="0.45">
      <c r="A15037" s="12" t="s">
        <v>28718</v>
      </c>
      <c r="B15037" s="12" t="s">
        <v>28804</v>
      </c>
      <c r="C15037" s="13" t="s">
        <v>28805</v>
      </c>
      <c r="D15037" s="13" t="s">
        <v>92</v>
      </c>
      <c r="E15037" s="12" t="s">
        <v>159</v>
      </c>
      <c r="F15037" s="14">
        <v>3700</v>
      </c>
      <c r="G15037" s="14">
        <v>4110</v>
      </c>
      <c r="H15037" s="13" t="s">
        <v>28806</v>
      </c>
      <c r="I15037" s="40" t="s">
        <v>18</v>
      </c>
      <c r="J15037" s="40" t="str">
        <f>HYPERLINK("https://stock.pstatic.net/stock-research/company/63/20250131_company_347067000.pdf","PDF")</f>
        <v>PDF</v>
      </c>
      <c r="K15037" s="12" t="s">
        <v>28807</v>
      </c>
      <c r="L15037" s="20">
        <v>-9.9756690997566913E-2</v>
      </c>
    </row>
    <row r="15038" spans="1:12" x14ac:dyDescent="0.45">
      <c r="A15038" s="12" t="s">
        <v>28718</v>
      </c>
      <c r="B15038" s="12" t="s">
        <v>8193</v>
      </c>
      <c r="C15038" s="13" t="s">
        <v>8194</v>
      </c>
      <c r="D15038" s="13" t="s">
        <v>23</v>
      </c>
      <c r="E15038" s="12" t="s">
        <v>50</v>
      </c>
      <c r="F15038" s="13"/>
      <c r="G15038" s="14">
        <v>5110</v>
      </c>
      <c r="H15038" s="13" t="s">
        <v>28808</v>
      </c>
      <c r="I15038" s="40" t="s">
        <v>18</v>
      </c>
      <c r="J15038" s="40" t="str">
        <f>HYPERLINK("https://stock.pstatic.net/stock-research/company/21/20250131_company_731353000.pdf","PDF")</f>
        <v>PDF</v>
      </c>
      <c r="K15038" s="12" t="s">
        <v>28809</v>
      </c>
    </row>
    <row r="15039" spans="1:12" x14ac:dyDescent="0.45">
      <c r="A15039" s="12" t="s">
        <v>28718</v>
      </c>
      <c r="B15039" s="12" t="s">
        <v>2369</v>
      </c>
      <c r="C15039" s="13" t="s">
        <v>2370</v>
      </c>
      <c r="D15039" s="13" t="s">
        <v>23</v>
      </c>
      <c r="E15039" s="12" t="s">
        <v>35</v>
      </c>
      <c r="F15039" s="13"/>
      <c r="G15039" s="14">
        <v>222000</v>
      </c>
      <c r="H15039" s="13" t="s">
        <v>28810</v>
      </c>
      <c r="I15039" s="40" t="s">
        <v>18</v>
      </c>
      <c r="J15039" s="40" t="str">
        <f>HYPERLINK("https://stock.pstatic.net/stock-research/company/21/20250131_company_691771000.pdf","PDF")</f>
        <v>PDF</v>
      </c>
      <c r="K15039" s="12" t="s">
        <v>28811</v>
      </c>
    </row>
    <row r="15040" spans="1:12" x14ac:dyDescent="0.45">
      <c r="A15040" s="12" t="s">
        <v>28718</v>
      </c>
      <c r="B15040" s="12" t="s">
        <v>1765</v>
      </c>
      <c r="C15040" s="13" t="s">
        <v>1766</v>
      </c>
      <c r="D15040" s="13" t="s">
        <v>23</v>
      </c>
      <c r="E15040" s="12" t="s">
        <v>16</v>
      </c>
      <c r="F15040" s="14">
        <v>130000</v>
      </c>
      <c r="G15040" s="14">
        <v>101700</v>
      </c>
      <c r="H15040" s="13" t="s">
        <v>28812</v>
      </c>
      <c r="I15040" s="40" t="s">
        <v>18</v>
      </c>
      <c r="J15040" s="40" t="str">
        <f>HYPERLINK("https://stock.pstatic.net/stock-research/company/21/20250131_company_359588000.pdf","PDF")</f>
        <v>PDF</v>
      </c>
      <c r="K15040" s="12" t="s">
        <v>28813</v>
      </c>
      <c r="L15040" s="20">
        <v>0.27826941986234022</v>
      </c>
    </row>
    <row r="15041" spans="1:12" x14ac:dyDescent="0.45">
      <c r="A15041" s="12" t="s">
        <v>28718</v>
      </c>
      <c r="B15041" s="12" t="s">
        <v>577</v>
      </c>
      <c r="C15041" s="13" t="s">
        <v>578</v>
      </c>
      <c r="D15041" s="13" t="s">
        <v>92</v>
      </c>
      <c r="E15041" s="12" t="s">
        <v>35</v>
      </c>
      <c r="F15041" s="14">
        <v>325000</v>
      </c>
      <c r="G15041" s="14">
        <v>263500</v>
      </c>
      <c r="H15041" s="13" t="s">
        <v>28814</v>
      </c>
      <c r="I15041" s="40" t="s">
        <v>18</v>
      </c>
      <c r="J15041" s="40" t="str">
        <f>HYPERLINK("https://stock.pstatic.net/stock-research/company/63/20250131_company_475798000.pdf","PDF")</f>
        <v>PDF</v>
      </c>
      <c r="K15041" s="12" t="s">
        <v>28815</v>
      </c>
      <c r="L15041" s="20">
        <v>0.23339658444022771</v>
      </c>
    </row>
    <row r="15042" spans="1:12" x14ac:dyDescent="0.45">
      <c r="A15042" s="12" t="s">
        <v>28718</v>
      </c>
      <c r="B15042" s="12" t="s">
        <v>32</v>
      </c>
      <c r="C15042" s="13" t="s">
        <v>33</v>
      </c>
      <c r="D15042" s="13" t="s">
        <v>34</v>
      </c>
      <c r="E15042" s="12" t="s">
        <v>35</v>
      </c>
      <c r="F15042" s="14">
        <v>180000</v>
      </c>
      <c r="G15042" s="14">
        <v>128100</v>
      </c>
      <c r="H15042" s="13" t="s">
        <v>28816</v>
      </c>
      <c r="I15042" s="40" t="s">
        <v>18</v>
      </c>
      <c r="J15042" s="40" t="str">
        <f>HYPERLINK("https://stock.pstatic.net/stock-research/company/61/20250203_company_948536000.pdf","PDF")</f>
        <v>PDF</v>
      </c>
      <c r="K15042" s="12" t="s">
        <v>28817</v>
      </c>
      <c r="L15042" s="20">
        <v>0.40515222482435598</v>
      </c>
    </row>
    <row r="15043" spans="1:12" x14ac:dyDescent="0.45">
      <c r="A15043" s="12" t="s">
        <v>28718</v>
      </c>
      <c r="B15043" s="12" t="s">
        <v>3284</v>
      </c>
      <c r="C15043" s="13" t="s">
        <v>3285</v>
      </c>
      <c r="D15043" s="13" t="s">
        <v>23</v>
      </c>
      <c r="E15043" s="12" t="s">
        <v>50</v>
      </c>
      <c r="F15043" s="14">
        <v>60000</v>
      </c>
      <c r="G15043" s="14">
        <v>56700</v>
      </c>
      <c r="H15043" s="13" t="s">
        <v>28818</v>
      </c>
      <c r="I15043" s="40" t="s">
        <v>18</v>
      </c>
      <c r="J15043" s="40" t="str">
        <f>HYPERLINK("https://stock.pstatic.net/stock-research/company/21/20250131_company_750534000.pdf","PDF")</f>
        <v>PDF</v>
      </c>
      <c r="K15043" s="12" t="s">
        <v>28819</v>
      </c>
      <c r="L15043" s="20">
        <v>5.8201058201058198E-2</v>
      </c>
    </row>
    <row r="15044" spans="1:12" x14ac:dyDescent="0.45">
      <c r="A15044" s="12" t="s">
        <v>28718</v>
      </c>
      <c r="B15044" s="12" t="s">
        <v>1765</v>
      </c>
      <c r="C15044" s="13" t="s">
        <v>1766</v>
      </c>
      <c r="D15044" s="13" t="s">
        <v>92</v>
      </c>
      <c r="E15044" s="12" t="s">
        <v>35</v>
      </c>
      <c r="F15044" s="14">
        <v>165000</v>
      </c>
      <c r="G15044" s="14">
        <v>101700</v>
      </c>
      <c r="H15044" s="13" t="s">
        <v>28820</v>
      </c>
      <c r="I15044" s="40" t="s">
        <v>18</v>
      </c>
      <c r="J15044" s="40" t="str">
        <f>HYPERLINK("https://stock.pstatic.net/stock-research/company/63/20250131_company_344472000.pdf","PDF")</f>
        <v>PDF</v>
      </c>
      <c r="K15044" s="12" t="s">
        <v>28821</v>
      </c>
      <c r="L15044" s="20">
        <v>0.6224188790560472</v>
      </c>
    </row>
    <row r="15045" spans="1:12" x14ac:dyDescent="0.45">
      <c r="A15045" s="12" t="s">
        <v>28718</v>
      </c>
      <c r="B15045" s="12" t="s">
        <v>1144</v>
      </c>
      <c r="C15045" s="13" t="s">
        <v>1145</v>
      </c>
      <c r="D15045" s="13" t="s">
        <v>53</v>
      </c>
      <c r="E15045" s="12" t="s">
        <v>16</v>
      </c>
      <c r="F15045" s="14">
        <v>94000</v>
      </c>
      <c r="G15045" s="14">
        <v>68200</v>
      </c>
      <c r="H15045" s="13" t="s">
        <v>28822</v>
      </c>
      <c r="I15045" s="40" t="s">
        <v>18</v>
      </c>
      <c r="J15045" s="40" t="str">
        <f>HYPERLINK("https://stock.pstatic.net/stock-research/company/40/20250131_company_717117000.pdf","PDF")</f>
        <v>PDF</v>
      </c>
      <c r="K15045" s="12" t="s">
        <v>28823</v>
      </c>
      <c r="L15045" s="20">
        <v>0.3782991202346041</v>
      </c>
    </row>
    <row r="15046" spans="1:12" x14ac:dyDescent="0.45">
      <c r="A15046" s="12" t="s">
        <v>28718</v>
      </c>
      <c r="B15046" s="12" t="s">
        <v>2960</v>
      </c>
      <c r="C15046" s="13" t="s">
        <v>2961</v>
      </c>
      <c r="D15046" s="13" t="s">
        <v>23</v>
      </c>
      <c r="E15046" s="12" t="s">
        <v>50</v>
      </c>
      <c r="F15046" s="14">
        <v>38000</v>
      </c>
      <c r="G15046" s="14">
        <v>39450</v>
      </c>
      <c r="H15046" s="13" t="s">
        <v>28824</v>
      </c>
      <c r="I15046" s="40" t="s">
        <v>18</v>
      </c>
      <c r="J15046" s="40" t="str">
        <f>HYPERLINK("https://stock.pstatic.net/stock-research/company/21/20250131_company_767506000.pdf","PDF")</f>
        <v>PDF</v>
      </c>
      <c r="K15046" s="12" t="s">
        <v>28825</v>
      </c>
      <c r="L15046" s="20">
        <v>-3.6755386565272503E-2</v>
      </c>
    </row>
    <row r="15047" spans="1:12" x14ac:dyDescent="0.45">
      <c r="A15047" s="12" t="s">
        <v>28718</v>
      </c>
      <c r="B15047" s="12" t="s">
        <v>32</v>
      </c>
      <c r="C15047" s="13" t="s">
        <v>33</v>
      </c>
      <c r="D15047" s="13" t="s">
        <v>23</v>
      </c>
      <c r="E15047" s="12" t="s">
        <v>16</v>
      </c>
      <c r="F15047" s="14">
        <v>190000</v>
      </c>
      <c r="G15047" s="14">
        <v>128100</v>
      </c>
      <c r="H15047" s="13" t="s">
        <v>28826</v>
      </c>
      <c r="I15047" s="40" t="s">
        <v>18</v>
      </c>
      <c r="J15047" s="40" t="str">
        <f>HYPERLINK("https://stock.pstatic.net/stock-research/company/21/20250131_company_870014000.pdf","PDF")</f>
        <v>PDF</v>
      </c>
      <c r="K15047" s="12" t="s">
        <v>28827</v>
      </c>
      <c r="L15047" s="20">
        <v>0.48321623731459801</v>
      </c>
    </row>
    <row r="15048" spans="1:12" x14ac:dyDescent="0.45">
      <c r="A15048" s="12" t="s">
        <v>28718</v>
      </c>
      <c r="B15048" s="12" t="s">
        <v>2089</v>
      </c>
      <c r="C15048" s="13" t="s">
        <v>2090</v>
      </c>
      <c r="D15048" s="13" t="s">
        <v>23</v>
      </c>
      <c r="E15048" s="12" t="s">
        <v>16</v>
      </c>
      <c r="F15048" s="14">
        <v>90000</v>
      </c>
      <c r="G15048" s="14">
        <v>60700</v>
      </c>
      <c r="H15048" s="13" t="s">
        <v>28828</v>
      </c>
      <c r="I15048" s="40" t="s">
        <v>18</v>
      </c>
      <c r="J15048" s="40" t="str">
        <f>HYPERLINK("https://stock.pstatic.net/stock-research/company/21/20250131_company_721198000.pdf","PDF")</f>
        <v>PDF</v>
      </c>
      <c r="K15048" s="12" t="s">
        <v>28829</v>
      </c>
      <c r="L15048" s="20">
        <v>0.48270181219110381</v>
      </c>
    </row>
    <row r="15049" spans="1:12" x14ac:dyDescent="0.45">
      <c r="A15049" s="12" t="s">
        <v>28718</v>
      </c>
      <c r="B15049" s="12" t="s">
        <v>2378</v>
      </c>
      <c r="C15049" s="13" t="s">
        <v>2379</v>
      </c>
      <c r="D15049" s="13" t="s">
        <v>23</v>
      </c>
      <c r="E15049" s="12" t="s">
        <v>16</v>
      </c>
      <c r="F15049" s="14">
        <v>430000</v>
      </c>
      <c r="G15049" s="14">
        <v>353500</v>
      </c>
      <c r="H15049" s="13" t="s">
        <v>28830</v>
      </c>
      <c r="I15049" s="40" t="s">
        <v>18</v>
      </c>
      <c r="J15049" s="40" t="str">
        <f>HYPERLINK("https://stock.pstatic.net/stock-research/company/21/20250131_company_659017000.pdf","PDF")</f>
        <v>PDF</v>
      </c>
      <c r="K15049" s="12" t="s">
        <v>28831</v>
      </c>
      <c r="L15049" s="20">
        <v>0.21640735502121641</v>
      </c>
    </row>
    <row r="15050" spans="1:12" x14ac:dyDescent="0.45">
      <c r="A15050" s="12" t="s">
        <v>28718</v>
      </c>
      <c r="B15050" s="12" t="s">
        <v>3284</v>
      </c>
      <c r="C15050" s="13" t="s">
        <v>3285</v>
      </c>
      <c r="D15050" s="13" t="s">
        <v>44</v>
      </c>
      <c r="E15050" s="12" t="s">
        <v>45</v>
      </c>
      <c r="F15050" s="14">
        <v>64000</v>
      </c>
      <c r="G15050" s="14">
        <v>56700</v>
      </c>
      <c r="H15050" s="13" t="s">
        <v>28832</v>
      </c>
      <c r="I15050" s="40" t="s">
        <v>18</v>
      </c>
      <c r="J15050" s="40" t="str">
        <f>HYPERLINK("https://stock.pstatic.net/stock-research/company/39/20250131_company_783351000.pdf","PDF")</f>
        <v>PDF</v>
      </c>
      <c r="K15050" s="12" t="s">
        <v>28833</v>
      </c>
      <c r="L15050" s="20">
        <v>0.1287477954144621</v>
      </c>
    </row>
    <row r="15051" spans="1:12" x14ac:dyDescent="0.45">
      <c r="A15051" s="12" t="s">
        <v>28718</v>
      </c>
      <c r="B15051" s="12" t="s">
        <v>2378</v>
      </c>
      <c r="C15051" s="13" t="s">
        <v>2379</v>
      </c>
      <c r="D15051" s="13" t="s">
        <v>34</v>
      </c>
      <c r="E15051" s="12" t="s">
        <v>35</v>
      </c>
      <c r="F15051" s="14">
        <v>450000</v>
      </c>
      <c r="G15051" s="14">
        <v>353500</v>
      </c>
      <c r="H15051" s="13" t="s">
        <v>28834</v>
      </c>
      <c r="I15051" s="40" t="s">
        <v>18</v>
      </c>
      <c r="J15051" s="40" t="str">
        <f>HYPERLINK("https://stock.pstatic.net/stock-research/company/61/20250131_company_475090000.pdf","PDF")</f>
        <v>PDF</v>
      </c>
      <c r="K15051" s="12" t="s">
        <v>28835</v>
      </c>
      <c r="L15051" s="20">
        <v>0.27298444130127297</v>
      </c>
    </row>
    <row r="15052" spans="1:12" x14ac:dyDescent="0.45">
      <c r="A15052" s="12" t="s">
        <v>28718</v>
      </c>
      <c r="B15052" s="12" t="s">
        <v>2369</v>
      </c>
      <c r="C15052" s="13" t="s">
        <v>2370</v>
      </c>
      <c r="D15052" s="13" t="s">
        <v>34</v>
      </c>
      <c r="E15052" s="12" t="s">
        <v>35</v>
      </c>
      <c r="F15052" s="14">
        <v>350000</v>
      </c>
      <c r="G15052" s="14">
        <v>226500</v>
      </c>
      <c r="H15052" s="13" t="s">
        <v>28834</v>
      </c>
      <c r="I15052" s="40" t="s">
        <v>18</v>
      </c>
      <c r="J15052" s="40" t="str">
        <f>HYPERLINK("https://stock.pstatic.net/stock-research/company/61/20250131_company_324484000.pdf","PDF")</f>
        <v>PDF</v>
      </c>
      <c r="K15052" s="12" t="s">
        <v>28836</v>
      </c>
      <c r="L15052" s="20">
        <v>0.54525386313465785</v>
      </c>
    </row>
    <row r="15053" spans="1:12" x14ac:dyDescent="0.45">
      <c r="A15053" s="12" t="s">
        <v>28718</v>
      </c>
      <c r="B15053" s="12" t="s">
        <v>3548</v>
      </c>
      <c r="C15053" s="13" t="s">
        <v>3549</v>
      </c>
      <c r="D15053" s="13" t="s">
        <v>23</v>
      </c>
      <c r="E15053" s="12" t="s">
        <v>16</v>
      </c>
      <c r="F15053" s="14">
        <v>59000</v>
      </c>
      <c r="G15053" s="14">
        <v>39950</v>
      </c>
      <c r="H15053" s="13" t="s">
        <v>28837</v>
      </c>
      <c r="I15053" s="40" t="s">
        <v>18</v>
      </c>
      <c r="J15053" s="40" t="str">
        <f>HYPERLINK("https://stock.pstatic.net/stock-research/company/21/20250131_company_579847000.pdf","PDF")</f>
        <v>PDF</v>
      </c>
      <c r="K15053" s="12" t="s">
        <v>28838</v>
      </c>
      <c r="L15053" s="20">
        <v>0.47684605757196502</v>
      </c>
    </row>
    <row r="15054" spans="1:12" x14ac:dyDescent="0.45">
      <c r="A15054" s="12" t="s">
        <v>28718</v>
      </c>
      <c r="B15054" s="12" t="s">
        <v>577</v>
      </c>
      <c r="C15054" s="13" t="s">
        <v>578</v>
      </c>
      <c r="D15054" s="13" t="s">
        <v>23</v>
      </c>
      <c r="E15054" s="12" t="s">
        <v>16</v>
      </c>
      <c r="F15054" s="14">
        <v>340000</v>
      </c>
      <c r="G15054" s="14">
        <v>263500</v>
      </c>
      <c r="H15054" s="13" t="s">
        <v>1888</v>
      </c>
      <c r="I15054" s="40" t="s">
        <v>18</v>
      </c>
      <c r="J15054" s="40" t="str">
        <f>HYPERLINK("https://stock.pstatic.net/stock-research/company/21/20250131_company_548197000.pdf","PDF")</f>
        <v>PDF</v>
      </c>
      <c r="K15054" s="12" t="s">
        <v>28839</v>
      </c>
      <c r="L15054" s="20">
        <v>0.29032258064516131</v>
      </c>
    </row>
    <row r="15055" spans="1:12" x14ac:dyDescent="0.45">
      <c r="A15055" s="12" t="s">
        <v>28718</v>
      </c>
      <c r="B15055" s="12" t="s">
        <v>1190</v>
      </c>
      <c r="C15055" s="13" t="s">
        <v>1191</v>
      </c>
      <c r="D15055" s="13" t="s">
        <v>34</v>
      </c>
      <c r="E15055" s="12" t="s">
        <v>35</v>
      </c>
      <c r="F15055" s="14">
        <v>38000</v>
      </c>
      <c r="G15055" s="14">
        <v>31350</v>
      </c>
      <c r="H15055" s="13" t="s">
        <v>28710</v>
      </c>
      <c r="I15055" s="40" t="s">
        <v>18</v>
      </c>
      <c r="J15055" s="40" t="str">
        <f>HYPERLINK("https://stock.pstatic.net/stock-research/company/61/20250131_company_799910000.pdf","PDF")</f>
        <v>PDF</v>
      </c>
      <c r="K15055" s="12" t="s">
        <v>28840</v>
      </c>
      <c r="L15055" s="20">
        <v>0.2121212121212121</v>
      </c>
    </row>
    <row r="15056" spans="1:12" x14ac:dyDescent="0.45">
      <c r="A15056" s="12" t="s">
        <v>28718</v>
      </c>
      <c r="B15056" s="12" t="s">
        <v>3284</v>
      </c>
      <c r="C15056" s="13" t="s">
        <v>3285</v>
      </c>
      <c r="D15056" s="13" t="s">
        <v>34</v>
      </c>
      <c r="E15056" s="12" t="s">
        <v>35</v>
      </c>
      <c r="F15056" s="14">
        <v>67000</v>
      </c>
      <c r="G15056" s="14">
        <v>56700</v>
      </c>
      <c r="H15056" s="13" t="s">
        <v>28841</v>
      </c>
      <c r="I15056" s="40" t="s">
        <v>18</v>
      </c>
      <c r="J15056" s="40" t="str">
        <f>HYPERLINK("https://stock.pstatic.net/stock-research/company/61/20250131_company_339399000.pdf","PDF")</f>
        <v>PDF</v>
      </c>
      <c r="K15056" s="12" t="s">
        <v>28842</v>
      </c>
      <c r="L15056" s="20">
        <v>0.18165784832451501</v>
      </c>
    </row>
    <row r="15057" spans="1:12" x14ac:dyDescent="0.45">
      <c r="A15057" s="12" t="s">
        <v>28718</v>
      </c>
      <c r="B15057" s="12" t="s">
        <v>577</v>
      </c>
      <c r="C15057" s="13" t="s">
        <v>578</v>
      </c>
      <c r="D15057" s="13" t="s">
        <v>179</v>
      </c>
      <c r="E15057" s="12" t="s">
        <v>16</v>
      </c>
      <c r="F15057" s="14">
        <v>310000</v>
      </c>
      <c r="G15057" s="14">
        <v>263500</v>
      </c>
      <c r="H15057" s="13" t="s">
        <v>28843</v>
      </c>
      <c r="I15057" s="40" t="s">
        <v>18</v>
      </c>
      <c r="J15057" s="40" t="str">
        <f>HYPERLINK("https://stock.pstatic.net/stock-research/company/64/20250131_company_141788000.pdf","PDF")</f>
        <v>PDF</v>
      </c>
      <c r="K15057" s="12" t="s">
        <v>28844</v>
      </c>
      <c r="L15057" s="20">
        <v>0.1764705882352941</v>
      </c>
    </row>
    <row r="15058" spans="1:12" x14ac:dyDescent="0.45">
      <c r="A15058" s="12" t="s">
        <v>28718</v>
      </c>
      <c r="B15058" s="12" t="s">
        <v>4021</v>
      </c>
      <c r="C15058" s="13" t="s">
        <v>4022</v>
      </c>
      <c r="D15058" s="13" t="s">
        <v>34</v>
      </c>
      <c r="E15058" s="12" t="s">
        <v>35</v>
      </c>
      <c r="F15058" s="14">
        <v>281000</v>
      </c>
      <c r="G15058" s="14">
        <v>244000</v>
      </c>
      <c r="H15058" s="13" t="s">
        <v>20371</v>
      </c>
      <c r="I15058" s="40" t="s">
        <v>18</v>
      </c>
      <c r="J15058" s="40" t="str">
        <f>HYPERLINK("https://stock.pstatic.net/stock-research/company/61/20250131_company_132845000.pdf","PDF")</f>
        <v>PDF</v>
      </c>
      <c r="K15058" s="12" t="s">
        <v>28845</v>
      </c>
      <c r="L15058" s="20">
        <v>0.15163934426229511</v>
      </c>
    </row>
    <row r="15059" spans="1:12" x14ac:dyDescent="0.45">
      <c r="A15059" s="12" t="s">
        <v>28718</v>
      </c>
      <c r="B15059" s="12" t="s">
        <v>32</v>
      </c>
      <c r="C15059" s="13" t="s">
        <v>33</v>
      </c>
      <c r="D15059" s="13" t="s">
        <v>44</v>
      </c>
      <c r="E15059" s="12" t="s">
        <v>35</v>
      </c>
      <c r="F15059" s="14">
        <v>180000</v>
      </c>
      <c r="G15059" s="14">
        <v>128100</v>
      </c>
      <c r="H15059" s="13" t="s">
        <v>28846</v>
      </c>
      <c r="I15059" s="40" t="s">
        <v>18</v>
      </c>
      <c r="J15059" s="40" t="str">
        <f>HYPERLINK("https://stock.pstatic.net/stock-research/company/39/20250131_company_844455000.pdf","PDF")</f>
        <v>PDF</v>
      </c>
      <c r="K15059" s="12" t="s">
        <v>28847</v>
      </c>
      <c r="L15059" s="20">
        <v>0.40515222482435598</v>
      </c>
    </row>
    <row r="15060" spans="1:12" x14ac:dyDescent="0.45">
      <c r="A15060" s="12" t="s">
        <v>28718</v>
      </c>
      <c r="B15060" s="12" t="s">
        <v>1765</v>
      </c>
      <c r="C15060" s="13" t="s">
        <v>1766</v>
      </c>
      <c r="D15060" s="13" t="s">
        <v>179</v>
      </c>
      <c r="E15060" s="12" t="s">
        <v>16</v>
      </c>
      <c r="F15060" s="14">
        <v>150000</v>
      </c>
      <c r="G15060" s="14">
        <v>101700</v>
      </c>
      <c r="H15060" s="13" t="s">
        <v>28848</v>
      </c>
      <c r="I15060" s="40" t="s">
        <v>18</v>
      </c>
      <c r="J15060" s="40" t="str">
        <f>HYPERLINK("https://stock.pstatic.net/stock-research/company/64/20250131_company_775617000.pdf","PDF")</f>
        <v>PDF</v>
      </c>
      <c r="K15060" s="12" t="s">
        <v>28849</v>
      </c>
      <c r="L15060" s="20">
        <v>0.47492625368731561</v>
      </c>
    </row>
    <row r="15061" spans="1:12" x14ac:dyDescent="0.45">
      <c r="A15061" s="12" t="s">
        <v>28718</v>
      </c>
      <c r="B15061" s="12" t="s">
        <v>2378</v>
      </c>
      <c r="C15061" s="13" t="s">
        <v>2379</v>
      </c>
      <c r="D15061" s="13" t="s">
        <v>44</v>
      </c>
      <c r="E15061" s="12" t="s">
        <v>35</v>
      </c>
      <c r="F15061" s="14">
        <v>460000</v>
      </c>
      <c r="G15061" s="14">
        <v>353500</v>
      </c>
      <c r="H15061" s="13" t="s">
        <v>28850</v>
      </c>
      <c r="I15061" s="40" t="s">
        <v>18</v>
      </c>
      <c r="J15061" s="40" t="str">
        <f>HYPERLINK("https://stock.pstatic.net/stock-research/company/39/20250131_company_397298000.pdf","PDF")</f>
        <v>PDF</v>
      </c>
      <c r="K15061" s="12" t="s">
        <v>28851</v>
      </c>
      <c r="L15061" s="20">
        <v>0.30127298444130129</v>
      </c>
    </row>
    <row r="15062" spans="1:12" x14ac:dyDescent="0.45">
      <c r="A15062" s="12" t="s">
        <v>28718</v>
      </c>
      <c r="B15062" s="12" t="s">
        <v>577</v>
      </c>
      <c r="C15062" s="13" t="s">
        <v>578</v>
      </c>
      <c r="D15062" s="13" t="s">
        <v>53</v>
      </c>
      <c r="E15062" s="12" t="s">
        <v>16</v>
      </c>
      <c r="F15062" s="14">
        <v>330000</v>
      </c>
      <c r="G15062" s="14">
        <v>263500</v>
      </c>
      <c r="H15062" s="13" t="s">
        <v>28852</v>
      </c>
      <c r="I15062" s="40" t="s">
        <v>18</v>
      </c>
      <c r="J15062" s="40" t="str">
        <f>HYPERLINK("https://stock.pstatic.net/stock-research/company/40/20250131_company_9632000.pdf","PDF")</f>
        <v>PDF</v>
      </c>
      <c r="K15062" s="12" t="s">
        <v>28853</v>
      </c>
      <c r="L15062" s="20">
        <v>0.25237191650853891</v>
      </c>
    </row>
    <row r="15063" spans="1:12" x14ac:dyDescent="0.45">
      <c r="A15063" s="12" t="s">
        <v>28718</v>
      </c>
      <c r="B15063" s="12" t="s">
        <v>2369</v>
      </c>
      <c r="C15063" s="13" t="s">
        <v>2370</v>
      </c>
      <c r="D15063" s="13" t="s">
        <v>44</v>
      </c>
      <c r="E15063" s="12" t="s">
        <v>35</v>
      </c>
      <c r="F15063" s="14">
        <v>390000</v>
      </c>
      <c r="G15063" s="14">
        <v>226500</v>
      </c>
      <c r="H15063" s="13" t="s">
        <v>28854</v>
      </c>
      <c r="I15063" s="40" t="s">
        <v>18</v>
      </c>
      <c r="J15063" s="40" t="str">
        <f>HYPERLINK("https://stock.pstatic.net/stock-research/company/39/20250131_company_771184000.pdf","PDF")</f>
        <v>PDF</v>
      </c>
      <c r="K15063" s="12" t="s">
        <v>28855</v>
      </c>
      <c r="L15063" s="20">
        <v>0.72185430463576161</v>
      </c>
    </row>
    <row r="15064" spans="1:12" x14ac:dyDescent="0.45">
      <c r="A15064" s="12" t="s">
        <v>28718</v>
      </c>
      <c r="B15064" s="12" t="s">
        <v>1765</v>
      </c>
      <c r="C15064" s="13" t="s">
        <v>1766</v>
      </c>
      <c r="D15064" s="13" t="s">
        <v>53</v>
      </c>
      <c r="E15064" s="12" t="s">
        <v>16</v>
      </c>
      <c r="F15064" s="14">
        <v>140000</v>
      </c>
      <c r="G15064" s="14">
        <v>101700</v>
      </c>
      <c r="H15064" s="13" t="s">
        <v>28856</v>
      </c>
      <c r="I15064" s="40" t="s">
        <v>18</v>
      </c>
      <c r="J15064" s="40" t="str">
        <f>HYPERLINK("https://stock.pstatic.net/stock-research/company/40/20250131_company_983964000.pdf","PDF")</f>
        <v>PDF</v>
      </c>
      <c r="K15064" s="12" t="s">
        <v>28857</v>
      </c>
      <c r="L15064" s="20">
        <v>0.37659783677482789</v>
      </c>
    </row>
    <row r="15065" spans="1:12" x14ac:dyDescent="0.45">
      <c r="A15065" s="12" t="s">
        <v>28718</v>
      </c>
      <c r="B15065" s="12" t="s">
        <v>90</v>
      </c>
      <c r="C15065" s="13" t="s">
        <v>91</v>
      </c>
      <c r="D15065" s="13" t="s">
        <v>179</v>
      </c>
      <c r="E15065" s="12" t="s">
        <v>16</v>
      </c>
      <c r="F15065" s="14">
        <v>41000</v>
      </c>
      <c r="G15065" s="14">
        <v>24900</v>
      </c>
      <c r="H15065" s="13" t="s">
        <v>28858</v>
      </c>
      <c r="I15065" s="40" t="s">
        <v>18</v>
      </c>
      <c r="J15065" s="40" t="str">
        <f>HYPERLINK("https://stock.pstatic.net/stock-research/company/64/20250131_company_379932000.pdf","PDF")</f>
        <v>PDF</v>
      </c>
      <c r="K15065" s="12" t="s">
        <v>28859</v>
      </c>
      <c r="L15065" s="20">
        <v>0.64658634538152615</v>
      </c>
    </row>
    <row r="15066" spans="1:12" x14ac:dyDescent="0.45">
      <c r="A15066" s="12" t="s">
        <v>28718</v>
      </c>
      <c r="B15066" s="12" t="s">
        <v>1065</v>
      </c>
      <c r="C15066" s="13" t="s">
        <v>1066</v>
      </c>
      <c r="D15066" s="13" t="s">
        <v>124</v>
      </c>
      <c r="E15066" s="12" t="s">
        <v>50</v>
      </c>
      <c r="F15066" s="13"/>
      <c r="G15066" s="14">
        <v>72300</v>
      </c>
      <c r="H15066" s="13" t="s">
        <v>28860</v>
      </c>
      <c r="I15066" s="40" t="s">
        <v>18</v>
      </c>
      <c r="J15066" s="40" t="str">
        <f>HYPERLINK("https://stock.pstatic.net/stock-research/company/74/20250131_company_79464000.pdf","PDF")</f>
        <v>PDF</v>
      </c>
      <c r="K15066" s="12" t="s">
        <v>28861</v>
      </c>
    </row>
    <row r="15067" spans="1:12" x14ac:dyDescent="0.45">
      <c r="A15067" s="12" t="s">
        <v>28718</v>
      </c>
      <c r="B15067" s="12" t="s">
        <v>1184</v>
      </c>
      <c r="C15067" s="13" t="s">
        <v>1185</v>
      </c>
      <c r="D15067" s="13" t="s">
        <v>53</v>
      </c>
      <c r="E15067" s="12" t="s">
        <v>16</v>
      </c>
      <c r="F15067" s="14">
        <v>21000</v>
      </c>
      <c r="G15067" s="14">
        <v>15320</v>
      </c>
      <c r="H15067" s="13" t="s">
        <v>28862</v>
      </c>
      <c r="I15067" s="40" t="s">
        <v>18</v>
      </c>
      <c r="J15067" s="40" t="str">
        <f>HYPERLINK("https://stock.pstatic.net/stock-research/company/40/20250131_company_955909000.pdf","PDF")</f>
        <v>PDF</v>
      </c>
      <c r="K15067" s="12" t="s">
        <v>28863</v>
      </c>
      <c r="L15067" s="20">
        <v>0.37075718015665798</v>
      </c>
    </row>
    <row r="15068" spans="1:12" x14ac:dyDescent="0.45">
      <c r="A15068" s="12" t="s">
        <v>28718</v>
      </c>
      <c r="B15068" s="12" t="s">
        <v>3355</v>
      </c>
      <c r="C15068" s="13" t="s">
        <v>3356</v>
      </c>
      <c r="D15068" s="13" t="s">
        <v>15</v>
      </c>
      <c r="E15068" s="12" t="s">
        <v>16</v>
      </c>
      <c r="F15068" s="14">
        <v>77000</v>
      </c>
      <c r="G15068" s="14">
        <v>49700</v>
      </c>
      <c r="H15068" s="13" t="s">
        <v>28864</v>
      </c>
      <c r="I15068" s="40" t="s">
        <v>18</v>
      </c>
      <c r="J15068" s="40" t="str">
        <f>HYPERLINK("https://stock.pstatic.net/stock-research/company/29/20250131_company_899372000.pdf","PDF")</f>
        <v>PDF</v>
      </c>
      <c r="K15068" s="12" t="s">
        <v>28865</v>
      </c>
      <c r="L15068" s="20">
        <v>0.54929577464788737</v>
      </c>
    </row>
    <row r="15069" spans="1:12" x14ac:dyDescent="0.45">
      <c r="A15069" s="12" t="s">
        <v>28718</v>
      </c>
      <c r="B15069" s="12" t="s">
        <v>2089</v>
      </c>
      <c r="C15069" s="13" t="s">
        <v>2090</v>
      </c>
      <c r="D15069" s="13" t="s">
        <v>15</v>
      </c>
      <c r="E15069" s="12" t="s">
        <v>16</v>
      </c>
      <c r="F15069" s="14">
        <v>79000</v>
      </c>
      <c r="G15069" s="14">
        <v>60700</v>
      </c>
      <c r="H15069" s="13" t="s">
        <v>28866</v>
      </c>
      <c r="I15069" s="40" t="s">
        <v>18</v>
      </c>
      <c r="J15069" s="40" t="str">
        <f>HYPERLINK("https://stock.pstatic.net/stock-research/company/29/20250131_company_763983000.pdf","PDF")</f>
        <v>PDF</v>
      </c>
      <c r="K15069" s="12" t="s">
        <v>28867</v>
      </c>
      <c r="L15069" s="20">
        <v>0.30148270181219111</v>
      </c>
    </row>
    <row r="15070" spans="1:12" x14ac:dyDescent="0.45">
      <c r="A15070" s="12" t="s">
        <v>28718</v>
      </c>
      <c r="B15070" s="12" t="s">
        <v>32</v>
      </c>
      <c r="C15070" s="13" t="s">
        <v>33</v>
      </c>
      <c r="D15070" s="13" t="s">
        <v>53</v>
      </c>
      <c r="E15070" s="12" t="s">
        <v>16</v>
      </c>
      <c r="F15070" s="14">
        <v>170000</v>
      </c>
      <c r="G15070" s="14">
        <v>128100</v>
      </c>
      <c r="H15070" s="13" t="s">
        <v>28868</v>
      </c>
      <c r="I15070" s="40" t="s">
        <v>18</v>
      </c>
      <c r="J15070" s="40" t="str">
        <f>HYPERLINK("https://stock.pstatic.net/stock-research/company/40/20250131_company_968310000.pdf","PDF")</f>
        <v>PDF</v>
      </c>
      <c r="K15070" s="12" t="s">
        <v>28869</v>
      </c>
      <c r="L15070" s="20">
        <v>0.32708821233411389</v>
      </c>
    </row>
    <row r="15071" spans="1:12" x14ac:dyDescent="0.45">
      <c r="A15071" s="12" t="s">
        <v>28718</v>
      </c>
      <c r="B15071" s="12" t="s">
        <v>1666</v>
      </c>
      <c r="C15071" s="13" t="s">
        <v>1667</v>
      </c>
      <c r="D15071" s="13" t="s">
        <v>23</v>
      </c>
      <c r="E15071" s="12" t="s">
        <v>16</v>
      </c>
      <c r="F15071" s="14">
        <v>90000</v>
      </c>
      <c r="G15071" s="14">
        <v>44000</v>
      </c>
      <c r="H15071" s="13" t="s">
        <v>28870</v>
      </c>
      <c r="I15071" s="40" t="s">
        <v>18</v>
      </c>
      <c r="J15071" s="40" t="str">
        <f>HYPERLINK("https://stock.pstatic.net/stock-research/company/21/20250131_company_452359000.pdf","PDF")</f>
        <v>PDF</v>
      </c>
      <c r="K15071" s="12" t="s">
        <v>28871</v>
      </c>
      <c r="L15071" s="20">
        <v>1.045454545454545</v>
      </c>
    </row>
    <row r="15072" spans="1:12" x14ac:dyDescent="0.45">
      <c r="A15072" s="12" t="s">
        <v>28718</v>
      </c>
      <c r="B15072" s="12" t="s">
        <v>916</v>
      </c>
      <c r="C15072" s="13" t="s">
        <v>917</v>
      </c>
      <c r="D15072" s="13" t="s">
        <v>23</v>
      </c>
      <c r="E15072" s="12" t="s">
        <v>50</v>
      </c>
      <c r="F15072" s="14">
        <v>39000</v>
      </c>
      <c r="G15072" s="14">
        <v>35750</v>
      </c>
      <c r="H15072" s="13" t="s">
        <v>28872</v>
      </c>
      <c r="I15072" s="40" t="s">
        <v>18</v>
      </c>
      <c r="J15072" s="40" t="str">
        <f>HYPERLINK("https://stock.pstatic.net/stock-research/company/21/20250131_company_821738000.pdf","PDF")</f>
        <v>PDF</v>
      </c>
      <c r="K15072" s="12" t="s">
        <v>28873</v>
      </c>
      <c r="L15072" s="20">
        <v>9.0909090909090912E-2</v>
      </c>
    </row>
    <row r="15073" spans="1:12" x14ac:dyDescent="0.45">
      <c r="A15073" s="12" t="s">
        <v>28874</v>
      </c>
      <c r="B15073" s="12" t="s">
        <v>1781</v>
      </c>
      <c r="C15073" s="13" t="s">
        <v>1782</v>
      </c>
      <c r="D15073" s="13" t="s">
        <v>276</v>
      </c>
      <c r="E15073" s="12" t="s">
        <v>16</v>
      </c>
      <c r="F15073" s="14">
        <v>130000</v>
      </c>
      <c r="G15073" s="14">
        <v>84500</v>
      </c>
      <c r="H15073" s="13" t="s">
        <v>28875</v>
      </c>
      <c r="I15073" s="40" t="s">
        <v>18</v>
      </c>
      <c r="J15073" s="40" t="str">
        <f>HYPERLINK("https://stock.pstatic.net/stock-research/company/66/20250124_company_515084000.pdf","PDF")</f>
        <v>PDF</v>
      </c>
      <c r="K15073" s="12" t="s">
        <v>28876</v>
      </c>
      <c r="L15073" s="20">
        <v>0.53846153846153844</v>
      </c>
    </row>
    <row r="15074" spans="1:12" x14ac:dyDescent="0.45">
      <c r="A15074" s="12" t="s">
        <v>28874</v>
      </c>
      <c r="B15074" s="12" t="s">
        <v>519</v>
      </c>
      <c r="C15074" s="13" t="s">
        <v>520</v>
      </c>
      <c r="D15074" s="13" t="s">
        <v>276</v>
      </c>
      <c r="E15074" s="12" t="s">
        <v>16</v>
      </c>
      <c r="F15074" s="14">
        <v>340000</v>
      </c>
      <c r="G15074" s="14">
        <v>209000</v>
      </c>
      <c r="H15074" s="13" t="s">
        <v>28877</v>
      </c>
      <c r="I15074" s="40" t="s">
        <v>18</v>
      </c>
      <c r="J15074" s="40" t="str">
        <f>HYPERLINK("https://stock.pstatic.net/stock-research/company/66/20250124_company_950959000.pdf","PDF")</f>
        <v>PDF</v>
      </c>
      <c r="K15074" s="12" t="s">
        <v>28878</v>
      </c>
      <c r="L15074" s="20">
        <v>0.62679425837320579</v>
      </c>
    </row>
    <row r="15075" spans="1:12" x14ac:dyDescent="0.45">
      <c r="A15075" s="12" t="s">
        <v>28874</v>
      </c>
      <c r="B15075" s="12" t="s">
        <v>6213</v>
      </c>
      <c r="C15075" s="13" t="s">
        <v>6214</v>
      </c>
      <c r="D15075" s="13" t="s">
        <v>276</v>
      </c>
      <c r="E15075" s="12" t="s">
        <v>16</v>
      </c>
      <c r="F15075" s="14">
        <v>15000</v>
      </c>
      <c r="G15075" s="14">
        <v>9910</v>
      </c>
      <c r="H15075" s="13" t="s">
        <v>28879</v>
      </c>
      <c r="I15075" s="40" t="s">
        <v>18</v>
      </c>
      <c r="J15075" s="40" t="str">
        <f>HYPERLINK("https://stock.pstatic.net/stock-research/company/66/20250124_company_132663000.pdf","PDF")</f>
        <v>PDF</v>
      </c>
      <c r="K15075" s="12" t="s">
        <v>28880</v>
      </c>
      <c r="L15075" s="20">
        <v>0.51362260343087796</v>
      </c>
    </row>
    <row r="15076" spans="1:12" x14ac:dyDescent="0.45">
      <c r="A15076" s="12" t="s">
        <v>28874</v>
      </c>
      <c r="B15076" s="12" t="s">
        <v>334</v>
      </c>
      <c r="C15076" s="13" t="s">
        <v>335</v>
      </c>
      <c r="D15076" s="13" t="s">
        <v>276</v>
      </c>
      <c r="E15076" s="12" t="s">
        <v>16</v>
      </c>
      <c r="F15076" s="14">
        <v>290000</v>
      </c>
      <c r="G15076" s="14">
        <v>225500</v>
      </c>
      <c r="H15076" s="13" t="s">
        <v>28881</v>
      </c>
      <c r="I15076" s="40" t="s">
        <v>18</v>
      </c>
      <c r="J15076" s="40" t="str">
        <f>HYPERLINK("https://stock.pstatic.net/stock-research/company/66/20250124_company_767722000.pdf","PDF")</f>
        <v>PDF</v>
      </c>
      <c r="K15076" s="12" t="s">
        <v>28882</v>
      </c>
      <c r="L15076" s="20">
        <v>0.28603104212860309</v>
      </c>
    </row>
    <row r="15077" spans="1:12" x14ac:dyDescent="0.45">
      <c r="A15077" s="12" t="s">
        <v>28874</v>
      </c>
      <c r="B15077" s="12" t="s">
        <v>740</v>
      </c>
      <c r="C15077" s="13" t="s">
        <v>741</v>
      </c>
      <c r="D15077" s="13" t="s">
        <v>60</v>
      </c>
      <c r="E15077" s="12" t="s">
        <v>35</v>
      </c>
      <c r="F15077" s="14">
        <v>200000</v>
      </c>
      <c r="G15077" s="14">
        <v>150200</v>
      </c>
      <c r="H15077" s="13" t="s">
        <v>28883</v>
      </c>
      <c r="I15077" s="40" t="s">
        <v>18</v>
      </c>
      <c r="J15077" s="40" t="str">
        <f>HYPERLINK("https://stock.pstatic.net/stock-research/company/62/20250124_company_410755000.pdf","PDF")</f>
        <v>PDF</v>
      </c>
      <c r="K15077" s="12" t="s">
        <v>28884</v>
      </c>
      <c r="L15077" s="20">
        <v>0.33155792276964052</v>
      </c>
    </row>
    <row r="15078" spans="1:12" x14ac:dyDescent="0.45">
      <c r="A15078" s="12" t="s">
        <v>28874</v>
      </c>
      <c r="B15078" s="12" t="s">
        <v>334</v>
      </c>
      <c r="C15078" s="13" t="s">
        <v>335</v>
      </c>
      <c r="D15078" s="13" t="s">
        <v>60</v>
      </c>
      <c r="E15078" s="12" t="s">
        <v>35</v>
      </c>
      <c r="F15078" s="14">
        <v>260000</v>
      </c>
      <c r="G15078" s="14">
        <v>219500</v>
      </c>
      <c r="H15078" s="13" t="s">
        <v>28885</v>
      </c>
      <c r="I15078" s="40" t="s">
        <v>18</v>
      </c>
      <c r="J15078" s="40" t="str">
        <f>HYPERLINK("https://stock.pstatic.net/stock-research/company/62/20250124_company_648213000.pdf","PDF")</f>
        <v>PDF</v>
      </c>
      <c r="K15078" s="12" t="s">
        <v>28886</v>
      </c>
      <c r="L15078" s="20">
        <v>0.18451025056947609</v>
      </c>
    </row>
    <row r="15079" spans="1:12" x14ac:dyDescent="0.45">
      <c r="A15079" s="12" t="s">
        <v>28874</v>
      </c>
      <c r="B15079" s="12" t="s">
        <v>1781</v>
      </c>
      <c r="C15079" s="13" t="s">
        <v>1782</v>
      </c>
      <c r="D15079" s="13" t="s">
        <v>60</v>
      </c>
      <c r="E15079" s="12" t="s">
        <v>35</v>
      </c>
      <c r="F15079" s="14">
        <v>110000</v>
      </c>
      <c r="G15079" s="14">
        <v>84500</v>
      </c>
      <c r="H15079" s="13" t="s">
        <v>28887</v>
      </c>
      <c r="I15079" s="40" t="s">
        <v>18</v>
      </c>
      <c r="J15079" s="40" t="str">
        <f>HYPERLINK("https://stock.pstatic.net/stock-research/company/62/20250124_company_26962000.pdf","PDF")</f>
        <v>PDF</v>
      </c>
      <c r="K15079" s="12" t="s">
        <v>28888</v>
      </c>
      <c r="L15079" s="20">
        <v>0.30177514792899413</v>
      </c>
    </row>
    <row r="15080" spans="1:12" x14ac:dyDescent="0.45">
      <c r="A15080" s="12" t="s">
        <v>28874</v>
      </c>
      <c r="B15080" s="12" t="s">
        <v>3018</v>
      </c>
      <c r="C15080" s="13" t="s">
        <v>3019</v>
      </c>
      <c r="D15080" s="13" t="s">
        <v>65</v>
      </c>
      <c r="E15080" s="12" t="s">
        <v>35</v>
      </c>
      <c r="F15080" s="14">
        <v>22000</v>
      </c>
      <c r="G15080" s="14">
        <v>16570</v>
      </c>
      <c r="H15080" s="13" t="s">
        <v>28889</v>
      </c>
      <c r="I15080" s="40" t="s">
        <v>18</v>
      </c>
      <c r="J15080" s="40" t="str">
        <f>HYPERLINK("https://stock.pstatic.net/stock-research/company/57/20250124_company_267971000.pdf","PDF")</f>
        <v>PDF</v>
      </c>
      <c r="K15080" s="12" t="s">
        <v>28890</v>
      </c>
      <c r="L15080" s="20">
        <v>0.32770066385033192</v>
      </c>
    </row>
    <row r="15081" spans="1:12" x14ac:dyDescent="0.45">
      <c r="A15081" s="12" t="s">
        <v>28874</v>
      </c>
      <c r="B15081" s="12" t="s">
        <v>1781</v>
      </c>
      <c r="C15081" s="13" t="s">
        <v>1782</v>
      </c>
      <c r="D15081" s="13" t="s">
        <v>65</v>
      </c>
      <c r="E15081" s="12" t="s">
        <v>35</v>
      </c>
      <c r="F15081" s="14">
        <v>110000</v>
      </c>
      <c r="G15081" s="14">
        <v>84500</v>
      </c>
      <c r="H15081" s="13" t="s">
        <v>28891</v>
      </c>
      <c r="I15081" s="40" t="s">
        <v>18</v>
      </c>
      <c r="J15081" s="40" t="str">
        <f>HYPERLINK("https://stock.pstatic.net/stock-research/company/57/20250124_company_102522000.pdf","PDF")</f>
        <v>PDF</v>
      </c>
      <c r="K15081" s="12" t="s">
        <v>28892</v>
      </c>
      <c r="L15081" s="20">
        <v>0.30177514792899413</v>
      </c>
    </row>
    <row r="15082" spans="1:12" x14ac:dyDescent="0.45">
      <c r="A15082" s="12" t="s">
        <v>28874</v>
      </c>
      <c r="B15082" s="12" t="s">
        <v>519</v>
      </c>
      <c r="C15082" s="13" t="s">
        <v>520</v>
      </c>
      <c r="D15082" s="13" t="s">
        <v>65</v>
      </c>
      <c r="E15082" s="12" t="s">
        <v>35</v>
      </c>
      <c r="F15082" s="14">
        <v>280000</v>
      </c>
      <c r="G15082" s="14">
        <v>209000</v>
      </c>
      <c r="H15082" s="13" t="s">
        <v>28893</v>
      </c>
      <c r="I15082" s="40" t="s">
        <v>18</v>
      </c>
      <c r="J15082" s="40" t="str">
        <f>HYPERLINK("https://stock.pstatic.net/stock-research/company/57/20250124_company_42937000.pdf","PDF")</f>
        <v>PDF</v>
      </c>
      <c r="K15082" s="12" t="s">
        <v>28894</v>
      </c>
      <c r="L15082" s="20">
        <v>0.33971291866028708</v>
      </c>
    </row>
    <row r="15083" spans="1:12" x14ac:dyDescent="0.45">
      <c r="A15083" s="12" t="s">
        <v>28874</v>
      </c>
      <c r="B15083" s="12" t="s">
        <v>21766</v>
      </c>
      <c r="C15083" s="13" t="s">
        <v>21767</v>
      </c>
      <c r="D15083" s="13" t="s">
        <v>65</v>
      </c>
      <c r="E15083" s="12" t="s">
        <v>50</v>
      </c>
      <c r="F15083" s="13"/>
      <c r="G15083" s="14">
        <v>8620</v>
      </c>
      <c r="H15083" s="13" t="s">
        <v>28895</v>
      </c>
      <c r="I15083" s="40" t="s">
        <v>18</v>
      </c>
      <c r="J15083" s="40" t="str">
        <f>HYPERLINK("https://stock.pstatic.net/stock-research/company/57/20250124_company_688490000.pdf","PDF")</f>
        <v>PDF</v>
      </c>
      <c r="K15083" s="12" t="s">
        <v>28896</v>
      </c>
    </row>
    <row r="15084" spans="1:12" x14ac:dyDescent="0.45">
      <c r="A15084" s="12" t="s">
        <v>28874</v>
      </c>
      <c r="B15084" s="12" t="s">
        <v>908</v>
      </c>
      <c r="C15084" s="13" t="s">
        <v>909</v>
      </c>
      <c r="D15084" s="13" t="s">
        <v>65</v>
      </c>
      <c r="E15084" s="12" t="s">
        <v>35</v>
      </c>
      <c r="F15084" s="14">
        <v>190000</v>
      </c>
      <c r="G15084" s="14">
        <v>121400</v>
      </c>
      <c r="H15084" s="13" t="s">
        <v>28897</v>
      </c>
      <c r="I15084" s="40" t="s">
        <v>18</v>
      </c>
      <c r="J15084" s="40" t="str">
        <f>HYPERLINK("https://stock.pstatic.net/stock-research/company/57/20250124_company_531163000.pdf","PDF")</f>
        <v>PDF</v>
      </c>
      <c r="K15084" s="12" t="s">
        <v>28898</v>
      </c>
      <c r="L15084" s="20">
        <v>0.56507413509060955</v>
      </c>
    </row>
    <row r="15085" spans="1:12" x14ac:dyDescent="0.45">
      <c r="A15085" s="12" t="s">
        <v>28874</v>
      </c>
      <c r="B15085" s="12" t="s">
        <v>95</v>
      </c>
      <c r="C15085" s="13" t="s">
        <v>31</v>
      </c>
      <c r="D15085" s="13" t="s">
        <v>65</v>
      </c>
      <c r="E15085" s="12" t="s">
        <v>35</v>
      </c>
      <c r="F15085" s="14">
        <v>27000</v>
      </c>
      <c r="G15085" s="14">
        <v>17440</v>
      </c>
      <c r="H15085" s="13" t="s">
        <v>28899</v>
      </c>
      <c r="I15085" s="40" t="s">
        <v>18</v>
      </c>
      <c r="J15085" s="40" t="str">
        <f>HYPERLINK("https://stock.pstatic.net/stock-research/company/57/20250124_company_611781000.pdf","PDF")</f>
        <v>PDF</v>
      </c>
      <c r="K15085" s="12" t="s">
        <v>28900</v>
      </c>
      <c r="L15085" s="20">
        <v>0.54816513761467889</v>
      </c>
    </row>
    <row r="15086" spans="1:12" x14ac:dyDescent="0.45">
      <c r="A15086" s="12" t="s">
        <v>28874</v>
      </c>
      <c r="B15086" s="12" t="s">
        <v>334</v>
      </c>
      <c r="C15086" s="13" t="s">
        <v>335</v>
      </c>
      <c r="D15086" s="13" t="s">
        <v>65</v>
      </c>
      <c r="E15086" s="12" t="s">
        <v>35</v>
      </c>
      <c r="F15086" s="14">
        <v>290000</v>
      </c>
      <c r="G15086" s="14">
        <v>219500</v>
      </c>
      <c r="H15086" s="13" t="s">
        <v>28901</v>
      </c>
      <c r="I15086" s="40" t="s">
        <v>18</v>
      </c>
      <c r="J15086" s="40" t="str">
        <f>HYPERLINK("https://stock.pstatic.net/stock-research/company/57/20250124_company_47846000.pdf","PDF")</f>
        <v>PDF</v>
      </c>
      <c r="K15086" s="12" t="s">
        <v>28902</v>
      </c>
      <c r="L15086" s="20">
        <v>0.32118451025056949</v>
      </c>
    </row>
    <row r="15087" spans="1:12" x14ac:dyDescent="0.45">
      <c r="A15087" s="12" t="s">
        <v>28874</v>
      </c>
      <c r="B15087" s="12" t="s">
        <v>8911</v>
      </c>
      <c r="C15087" s="13" t="s">
        <v>8912</v>
      </c>
      <c r="D15087" s="13" t="s">
        <v>65</v>
      </c>
      <c r="E15087" s="12" t="s">
        <v>35</v>
      </c>
      <c r="F15087" s="14">
        <v>50000</v>
      </c>
      <c r="G15087" s="14">
        <v>37250</v>
      </c>
      <c r="H15087" s="13" t="s">
        <v>28903</v>
      </c>
      <c r="I15087" s="40" t="s">
        <v>18</v>
      </c>
      <c r="J15087" s="40" t="str">
        <f>HYPERLINK("https://stock.pstatic.net/stock-research/company/57/20250124_company_132282000.pdf","PDF")</f>
        <v>PDF</v>
      </c>
      <c r="K15087" s="12" t="s">
        <v>28904</v>
      </c>
      <c r="L15087" s="20">
        <v>0.34228187919463088</v>
      </c>
    </row>
    <row r="15088" spans="1:12" x14ac:dyDescent="0.45">
      <c r="A15088" s="12" t="s">
        <v>28874</v>
      </c>
      <c r="B15088" s="12" t="s">
        <v>4021</v>
      </c>
      <c r="C15088" s="13" t="s">
        <v>4022</v>
      </c>
      <c r="D15088" s="13" t="s">
        <v>65</v>
      </c>
      <c r="E15088" s="12" t="s">
        <v>35</v>
      </c>
      <c r="F15088" s="14">
        <v>280000</v>
      </c>
      <c r="G15088" s="14">
        <v>232000</v>
      </c>
      <c r="H15088" s="13" t="s">
        <v>28905</v>
      </c>
      <c r="I15088" s="40" t="s">
        <v>18</v>
      </c>
      <c r="J15088" s="40" t="str">
        <f>HYPERLINK("https://stock.pstatic.net/stock-research/company/57/20250124_company_28215000.pdf","PDF")</f>
        <v>PDF</v>
      </c>
      <c r="K15088" s="12" t="s">
        <v>28906</v>
      </c>
      <c r="L15088" s="20">
        <v>0.2068965517241379</v>
      </c>
    </row>
    <row r="15089" spans="1:12" x14ac:dyDescent="0.45">
      <c r="A15089" s="12" t="s">
        <v>28874</v>
      </c>
      <c r="B15089" s="12" t="s">
        <v>3018</v>
      </c>
      <c r="C15089" s="13" t="s">
        <v>3019</v>
      </c>
      <c r="D15089" s="13" t="s">
        <v>57</v>
      </c>
      <c r="E15089" s="12" t="s">
        <v>35</v>
      </c>
      <c r="F15089" s="14">
        <v>22000</v>
      </c>
      <c r="G15089" s="14">
        <v>16570</v>
      </c>
      <c r="H15089" s="13" t="s">
        <v>28907</v>
      </c>
      <c r="I15089" s="40" t="s">
        <v>18</v>
      </c>
      <c r="J15089" s="40" t="str">
        <f>HYPERLINK("https://stock.pstatic.net/stock-research/company/16/20250124_company_368208000.pdf","PDF")</f>
        <v>PDF</v>
      </c>
      <c r="K15089" s="12" t="s">
        <v>28908</v>
      </c>
      <c r="L15089" s="20">
        <v>0.32770066385033192</v>
      </c>
    </row>
    <row r="15090" spans="1:12" x14ac:dyDescent="0.45">
      <c r="A15090" s="12" t="s">
        <v>28874</v>
      </c>
      <c r="B15090" s="12" t="s">
        <v>519</v>
      </c>
      <c r="C15090" s="13" t="s">
        <v>520</v>
      </c>
      <c r="D15090" s="13" t="s">
        <v>57</v>
      </c>
      <c r="E15090" s="12" t="s">
        <v>35</v>
      </c>
      <c r="F15090" s="14">
        <v>310000</v>
      </c>
      <c r="G15090" s="14">
        <v>209000</v>
      </c>
      <c r="H15090" s="13" t="s">
        <v>28909</v>
      </c>
      <c r="I15090" s="40" t="s">
        <v>18</v>
      </c>
      <c r="J15090" s="40" t="str">
        <f>HYPERLINK("https://stock.pstatic.net/stock-research/company/16/20250124_company_236270000.pdf","PDF")</f>
        <v>PDF</v>
      </c>
      <c r="K15090" s="12" t="s">
        <v>28910</v>
      </c>
      <c r="L15090" s="20">
        <v>0.48325358851674638</v>
      </c>
    </row>
    <row r="15091" spans="1:12" x14ac:dyDescent="0.45">
      <c r="A15091" s="12" t="s">
        <v>28874</v>
      </c>
      <c r="B15091" s="12" t="s">
        <v>908</v>
      </c>
      <c r="C15091" s="13" t="s">
        <v>909</v>
      </c>
      <c r="D15091" s="13" t="s">
        <v>57</v>
      </c>
      <c r="E15091" s="12" t="s">
        <v>35</v>
      </c>
      <c r="F15091" s="14">
        <v>180000</v>
      </c>
      <c r="G15091" s="14">
        <v>121400</v>
      </c>
      <c r="H15091" s="13" t="s">
        <v>28911</v>
      </c>
      <c r="I15091" s="40" t="s">
        <v>18</v>
      </c>
      <c r="J15091" s="40" t="str">
        <f>HYPERLINK("https://stock.pstatic.net/stock-research/company/16/20250124_company_979741000.pdf","PDF")</f>
        <v>PDF</v>
      </c>
      <c r="K15091" s="12" t="s">
        <v>28912</v>
      </c>
      <c r="L15091" s="20">
        <v>0.48270181219110381</v>
      </c>
    </row>
    <row r="15092" spans="1:12" x14ac:dyDescent="0.45">
      <c r="A15092" s="12" t="s">
        <v>28874</v>
      </c>
      <c r="B15092" s="12" t="s">
        <v>334</v>
      </c>
      <c r="C15092" s="13" t="s">
        <v>335</v>
      </c>
      <c r="D15092" s="13" t="s">
        <v>57</v>
      </c>
      <c r="E15092" s="12" t="s">
        <v>35</v>
      </c>
      <c r="F15092" s="14">
        <v>280000</v>
      </c>
      <c r="G15092" s="14">
        <v>219500</v>
      </c>
      <c r="H15092" s="13" t="s">
        <v>28913</v>
      </c>
      <c r="I15092" s="40" t="s">
        <v>18</v>
      </c>
      <c r="J15092" s="40" t="str">
        <f>HYPERLINK("https://stock.pstatic.net/stock-research/company/16/20250124_company_518002000.pdf","PDF")</f>
        <v>PDF</v>
      </c>
      <c r="K15092" s="12" t="s">
        <v>28914</v>
      </c>
      <c r="L15092" s="20">
        <v>0.27562642369020501</v>
      </c>
    </row>
    <row r="15093" spans="1:12" x14ac:dyDescent="0.45">
      <c r="A15093" s="12" t="s">
        <v>28874</v>
      </c>
      <c r="B15093" s="12" t="s">
        <v>95</v>
      </c>
      <c r="C15093" s="13" t="s">
        <v>31</v>
      </c>
      <c r="D15093" s="13" t="s">
        <v>57</v>
      </c>
      <c r="E15093" s="12" t="s">
        <v>35</v>
      </c>
      <c r="F15093" s="14">
        <v>26000</v>
      </c>
      <c r="G15093" s="14">
        <v>17440</v>
      </c>
      <c r="H15093" s="13" t="s">
        <v>28915</v>
      </c>
      <c r="I15093" s="40" t="s">
        <v>18</v>
      </c>
      <c r="J15093" s="40" t="str">
        <f>HYPERLINK("https://stock.pstatic.net/stock-research/company/16/20250124_company_66103000.pdf","PDF")</f>
        <v>PDF</v>
      </c>
      <c r="K15093" s="12" t="s">
        <v>28916</v>
      </c>
      <c r="L15093" s="20">
        <v>0.49082568807339449</v>
      </c>
    </row>
    <row r="15094" spans="1:12" x14ac:dyDescent="0.45">
      <c r="A15094" s="12" t="s">
        <v>28874</v>
      </c>
      <c r="B15094" s="12" t="s">
        <v>15209</v>
      </c>
      <c r="C15094" s="13" t="s">
        <v>15210</v>
      </c>
      <c r="D15094" s="13" t="s">
        <v>57</v>
      </c>
      <c r="E15094" s="12" t="s">
        <v>35</v>
      </c>
      <c r="F15094" s="14">
        <v>13000</v>
      </c>
      <c r="G15094" s="14">
        <v>6860</v>
      </c>
      <c r="H15094" s="13" t="s">
        <v>28917</v>
      </c>
      <c r="I15094" s="40" t="s">
        <v>18</v>
      </c>
      <c r="J15094" s="40" t="str">
        <f>HYPERLINK("https://stock.pstatic.net/stock-research/company/16/20250124_company_573375000.pdf","PDF")</f>
        <v>PDF</v>
      </c>
      <c r="K15094" s="12" t="s">
        <v>28918</v>
      </c>
      <c r="L15094" s="20">
        <v>0.89504373177842567</v>
      </c>
    </row>
    <row r="15095" spans="1:12" x14ac:dyDescent="0.45">
      <c r="A15095" s="12" t="s">
        <v>28874</v>
      </c>
      <c r="B15095" s="12" t="s">
        <v>2191</v>
      </c>
      <c r="C15095" s="13" t="s">
        <v>2192</v>
      </c>
      <c r="D15095" s="13" t="s">
        <v>57</v>
      </c>
      <c r="E15095" s="12" t="s">
        <v>35</v>
      </c>
      <c r="F15095" s="14">
        <v>90000</v>
      </c>
      <c r="G15095" s="14">
        <v>53300</v>
      </c>
      <c r="H15095" s="13" t="s">
        <v>28919</v>
      </c>
      <c r="I15095" s="40" t="s">
        <v>18</v>
      </c>
      <c r="J15095" s="40" t="str">
        <f>HYPERLINK("https://stock.pstatic.net/stock-research/company/16/20250124_company_133773000.pdf","PDF")</f>
        <v>PDF</v>
      </c>
      <c r="K15095" s="12" t="s">
        <v>28920</v>
      </c>
      <c r="L15095" s="20">
        <v>0.68855534709193245</v>
      </c>
    </row>
    <row r="15096" spans="1:12" x14ac:dyDescent="0.45">
      <c r="A15096" s="12" t="s">
        <v>28874</v>
      </c>
      <c r="B15096" s="12" t="s">
        <v>6914</v>
      </c>
      <c r="C15096" s="13" t="s">
        <v>6915</v>
      </c>
      <c r="D15096" s="13" t="s">
        <v>158</v>
      </c>
      <c r="E15096" s="12" t="s">
        <v>50</v>
      </c>
      <c r="F15096" s="13"/>
      <c r="G15096" s="14">
        <v>46200</v>
      </c>
      <c r="H15096" s="13" t="s">
        <v>28921</v>
      </c>
      <c r="I15096" s="40" t="s">
        <v>18</v>
      </c>
      <c r="J15096" s="40" t="str">
        <f>HYPERLINK("https://stock.pstatic.net/stock-research/company/18/20250124_company_47861000.pdf","PDF")</f>
        <v>PDF</v>
      </c>
      <c r="K15096" s="12" t="s">
        <v>28922</v>
      </c>
    </row>
    <row r="15097" spans="1:12" x14ac:dyDescent="0.45">
      <c r="A15097" s="12" t="s">
        <v>28874</v>
      </c>
      <c r="B15097" s="12" t="s">
        <v>6806</v>
      </c>
      <c r="C15097" s="13" t="s">
        <v>6807</v>
      </c>
      <c r="D15097" s="13" t="s">
        <v>158</v>
      </c>
      <c r="E15097" s="12" t="s">
        <v>50</v>
      </c>
      <c r="F15097" s="13"/>
      <c r="G15097" s="14">
        <v>29850</v>
      </c>
      <c r="H15097" s="13" t="s">
        <v>28923</v>
      </c>
      <c r="I15097" s="40" t="s">
        <v>18</v>
      </c>
      <c r="J15097" s="40" t="str">
        <f>HYPERLINK("https://stock.pstatic.net/stock-research/company/18/20250124_company_886093000.pdf","PDF")</f>
        <v>PDF</v>
      </c>
      <c r="K15097" s="12" t="s">
        <v>28924</v>
      </c>
    </row>
    <row r="15098" spans="1:12" x14ac:dyDescent="0.45">
      <c r="A15098" s="12" t="s">
        <v>28874</v>
      </c>
      <c r="B15098" s="12" t="s">
        <v>519</v>
      </c>
      <c r="C15098" s="13" t="s">
        <v>520</v>
      </c>
      <c r="D15098" s="13" t="s">
        <v>158</v>
      </c>
      <c r="E15098" s="12" t="s">
        <v>35</v>
      </c>
      <c r="F15098" s="14">
        <v>380000</v>
      </c>
      <c r="G15098" s="14">
        <v>209000</v>
      </c>
      <c r="H15098" s="13" t="s">
        <v>28925</v>
      </c>
      <c r="I15098" s="40" t="s">
        <v>18</v>
      </c>
      <c r="J15098" s="40" t="str">
        <f>HYPERLINK("https://stock.pstatic.net/stock-research/company/1/20250124_company_281183000.pdf","PDF")</f>
        <v>PDF</v>
      </c>
      <c r="K15098" s="12" t="s">
        <v>28926</v>
      </c>
      <c r="L15098" s="20">
        <v>0.81818181818181823</v>
      </c>
    </row>
    <row r="15099" spans="1:12" x14ac:dyDescent="0.45">
      <c r="A15099" s="12" t="s">
        <v>28874</v>
      </c>
      <c r="B15099" s="12" t="s">
        <v>95</v>
      </c>
      <c r="C15099" s="13" t="s">
        <v>31</v>
      </c>
      <c r="D15099" s="13" t="s">
        <v>158</v>
      </c>
      <c r="E15099" s="12" t="s">
        <v>35</v>
      </c>
      <c r="F15099" s="14">
        <v>29500</v>
      </c>
      <c r="G15099" s="14">
        <v>17440</v>
      </c>
      <c r="H15099" s="13" t="s">
        <v>28927</v>
      </c>
      <c r="I15099" s="40" t="s">
        <v>18</v>
      </c>
      <c r="J15099" s="40" t="str">
        <f>HYPERLINK("https://stock.pstatic.net/stock-research/company/18/20250124_company_799253000.pdf","PDF")</f>
        <v>PDF</v>
      </c>
      <c r="K15099" s="12" t="s">
        <v>28928</v>
      </c>
      <c r="L15099" s="20">
        <v>0.6915137614678899</v>
      </c>
    </row>
    <row r="15100" spans="1:12" x14ac:dyDescent="0.45">
      <c r="A15100" s="12" t="s">
        <v>28874</v>
      </c>
      <c r="B15100" s="12" t="s">
        <v>1781</v>
      </c>
      <c r="C15100" s="13" t="s">
        <v>1782</v>
      </c>
      <c r="D15100" s="13" t="s">
        <v>15</v>
      </c>
      <c r="E15100" s="12" t="s">
        <v>16</v>
      </c>
      <c r="F15100" s="14">
        <v>120000</v>
      </c>
      <c r="G15100" s="14">
        <v>84500</v>
      </c>
      <c r="H15100" s="13" t="s">
        <v>28929</v>
      </c>
      <c r="I15100" s="40" t="s">
        <v>18</v>
      </c>
      <c r="J15100" s="40" t="str">
        <f>HYPERLINK("https://stock.pstatic.net/stock-research/company/29/20250124_company_631473000.pdf","PDF")</f>
        <v>PDF</v>
      </c>
      <c r="K15100" s="12" t="s">
        <v>28930</v>
      </c>
      <c r="L15100" s="20">
        <v>0.42011834319526631</v>
      </c>
    </row>
    <row r="15101" spans="1:12" x14ac:dyDescent="0.45">
      <c r="A15101" s="12" t="s">
        <v>28874</v>
      </c>
      <c r="B15101" s="12" t="s">
        <v>334</v>
      </c>
      <c r="C15101" s="13" t="s">
        <v>335</v>
      </c>
      <c r="D15101" s="13" t="s">
        <v>15</v>
      </c>
      <c r="E15101" s="12" t="s">
        <v>16</v>
      </c>
      <c r="F15101" s="14">
        <v>277000</v>
      </c>
      <c r="G15101" s="14">
        <v>219500</v>
      </c>
      <c r="H15101" s="13" t="s">
        <v>28931</v>
      </c>
      <c r="I15101" s="40" t="s">
        <v>18</v>
      </c>
      <c r="J15101" s="40" t="str">
        <f>HYPERLINK("https://stock.pstatic.net/stock-research/company/29/20250124_company_412270000.pdf","PDF")</f>
        <v>PDF</v>
      </c>
      <c r="K15101" s="12" t="s">
        <v>28932</v>
      </c>
      <c r="L15101" s="20">
        <v>0.26195899772209569</v>
      </c>
    </row>
    <row r="15102" spans="1:12" x14ac:dyDescent="0.45">
      <c r="A15102" s="12" t="s">
        <v>28874</v>
      </c>
      <c r="B15102" s="12" t="s">
        <v>1656</v>
      </c>
      <c r="C15102" s="13" t="s">
        <v>1657</v>
      </c>
      <c r="D15102" s="13" t="s">
        <v>15</v>
      </c>
      <c r="E15102" s="12" t="s">
        <v>16</v>
      </c>
      <c r="F15102" s="14">
        <v>170000</v>
      </c>
      <c r="G15102" s="14">
        <v>130800</v>
      </c>
      <c r="H15102" s="13" t="s">
        <v>28933</v>
      </c>
      <c r="I15102" s="40" t="s">
        <v>18</v>
      </c>
      <c r="J15102" s="40" t="str">
        <f>HYPERLINK("https://stock.pstatic.net/stock-research/company/29/20250124_company_403781000.pdf","PDF")</f>
        <v>PDF</v>
      </c>
      <c r="K15102" s="12" t="s">
        <v>28934</v>
      </c>
      <c r="L15102" s="20">
        <v>0.29969418960244648</v>
      </c>
    </row>
    <row r="15103" spans="1:12" x14ac:dyDescent="0.45">
      <c r="A15103" s="12" t="s">
        <v>28874</v>
      </c>
      <c r="B15103" s="12" t="s">
        <v>132</v>
      </c>
      <c r="C15103" s="13" t="s">
        <v>133</v>
      </c>
      <c r="D15103" s="13" t="s">
        <v>15</v>
      </c>
      <c r="E15103" s="12" t="s">
        <v>16</v>
      </c>
      <c r="F15103" s="14">
        <v>70000</v>
      </c>
      <c r="G15103" s="14">
        <v>48650</v>
      </c>
      <c r="H15103" s="13" t="s">
        <v>28935</v>
      </c>
      <c r="I15103" s="40" t="s">
        <v>18</v>
      </c>
      <c r="J15103" s="40" t="str">
        <f>HYPERLINK("https://stock.pstatic.net/stock-research/company/29/20250124_company_929056000.pdf","PDF")</f>
        <v>PDF</v>
      </c>
      <c r="K15103" s="12" t="s">
        <v>28936</v>
      </c>
      <c r="L15103" s="20">
        <v>0.43884892086330929</v>
      </c>
    </row>
    <row r="15104" spans="1:12" x14ac:dyDescent="0.45">
      <c r="A15104" s="12" t="s">
        <v>28874</v>
      </c>
      <c r="B15104" s="12" t="s">
        <v>95</v>
      </c>
      <c r="C15104" s="13" t="s">
        <v>31</v>
      </c>
      <c r="D15104" s="13" t="s">
        <v>15</v>
      </c>
      <c r="E15104" s="12" t="s">
        <v>16</v>
      </c>
      <c r="F15104" s="14">
        <v>31000</v>
      </c>
      <c r="G15104" s="14">
        <v>17440</v>
      </c>
      <c r="H15104" s="13" t="s">
        <v>28937</v>
      </c>
      <c r="I15104" s="40" t="s">
        <v>18</v>
      </c>
      <c r="J15104" s="40" t="str">
        <f>HYPERLINK("https://stock.pstatic.net/stock-research/company/29/20250124_company_916580000.pdf","PDF")</f>
        <v>PDF</v>
      </c>
      <c r="K15104" s="12" t="s">
        <v>28938</v>
      </c>
      <c r="L15104" s="20">
        <v>0.77752293577981646</v>
      </c>
    </row>
    <row r="15105" spans="1:12" x14ac:dyDescent="0.45">
      <c r="A15105" s="12" t="s">
        <v>28874</v>
      </c>
      <c r="B15105" s="12" t="s">
        <v>519</v>
      </c>
      <c r="C15105" s="13" t="s">
        <v>520</v>
      </c>
      <c r="D15105" s="13" t="s">
        <v>15</v>
      </c>
      <c r="E15105" s="12" t="s">
        <v>16</v>
      </c>
      <c r="F15105" s="14">
        <v>360000</v>
      </c>
      <c r="G15105" s="14">
        <v>209000</v>
      </c>
      <c r="H15105" s="13" t="s">
        <v>28939</v>
      </c>
      <c r="I15105" s="40" t="s">
        <v>18</v>
      </c>
      <c r="J15105" s="40" t="str">
        <f>HYPERLINK("https://stock.pstatic.net/stock-research/company/29/20250124_company_67967000.pdf","PDF")</f>
        <v>PDF</v>
      </c>
      <c r="K15105" s="12" t="s">
        <v>28940</v>
      </c>
      <c r="L15105" s="20">
        <v>0.72248803827751196</v>
      </c>
    </row>
    <row r="15106" spans="1:12" x14ac:dyDescent="0.45">
      <c r="A15106" s="12" t="s">
        <v>28874</v>
      </c>
      <c r="B15106" s="12" t="s">
        <v>2040</v>
      </c>
      <c r="C15106" s="13" t="s">
        <v>2041</v>
      </c>
      <c r="D15106" s="13" t="s">
        <v>83</v>
      </c>
      <c r="E15106" s="12" t="s">
        <v>35</v>
      </c>
      <c r="F15106" s="14">
        <v>110000</v>
      </c>
      <c r="G15106" s="14">
        <v>59100</v>
      </c>
      <c r="H15106" s="13" t="s">
        <v>28941</v>
      </c>
      <c r="I15106" s="40" t="s">
        <v>18</v>
      </c>
      <c r="J15106" s="40" t="str">
        <f>HYPERLINK("https://stock.pstatic.net/stock-research/company/2/20250124_company_533054000.pdf","PDF")</f>
        <v>PDF</v>
      </c>
      <c r="K15106" s="12" t="s">
        <v>28942</v>
      </c>
      <c r="L15106" s="20">
        <v>0.86125211505922161</v>
      </c>
    </row>
    <row r="15107" spans="1:12" x14ac:dyDescent="0.45">
      <c r="A15107" s="12" t="s">
        <v>28874</v>
      </c>
      <c r="B15107" s="12" t="s">
        <v>95</v>
      </c>
      <c r="C15107" s="13" t="s">
        <v>31</v>
      </c>
      <c r="D15107" s="13" t="s">
        <v>83</v>
      </c>
      <c r="E15107" s="12" t="s">
        <v>35</v>
      </c>
      <c r="F15107" s="14">
        <v>31000</v>
      </c>
      <c r="G15107" s="14">
        <v>18520</v>
      </c>
      <c r="H15107" s="13" t="s">
        <v>28943</v>
      </c>
      <c r="I15107" s="40" t="s">
        <v>18</v>
      </c>
      <c r="J15107" s="40" t="str">
        <f>HYPERLINK("https://stock.pstatic.net/stock-research/company/2/20250124_company_808268000.pdf","PDF")</f>
        <v>PDF</v>
      </c>
      <c r="K15107" s="12" t="s">
        <v>28944</v>
      </c>
      <c r="L15107" s="20">
        <v>0.67386609071274295</v>
      </c>
    </row>
    <row r="15108" spans="1:12" x14ac:dyDescent="0.45">
      <c r="A15108" s="12" t="s">
        <v>28874</v>
      </c>
      <c r="B15108" s="12" t="s">
        <v>102</v>
      </c>
      <c r="C15108" s="13" t="s">
        <v>103</v>
      </c>
      <c r="D15108" s="13" t="s">
        <v>83</v>
      </c>
      <c r="E15108" s="12" t="s">
        <v>35</v>
      </c>
      <c r="F15108" s="14">
        <v>23000</v>
      </c>
      <c r="G15108" s="14">
        <v>15270</v>
      </c>
      <c r="H15108" s="13" t="s">
        <v>28945</v>
      </c>
      <c r="I15108" s="40" t="s">
        <v>18</v>
      </c>
      <c r="J15108" s="40" t="str">
        <f>HYPERLINK("https://stock.pstatic.net/stock-research/company/2/20250124_company_445060000.pdf","PDF")</f>
        <v>PDF</v>
      </c>
      <c r="K15108" s="12" t="s">
        <v>28946</v>
      </c>
      <c r="L15108" s="20">
        <v>0.50622134905042571</v>
      </c>
    </row>
    <row r="15109" spans="1:12" x14ac:dyDescent="0.45">
      <c r="A15109" s="12" t="s">
        <v>28874</v>
      </c>
      <c r="B15109" s="12" t="s">
        <v>1781</v>
      </c>
      <c r="C15109" s="13" t="s">
        <v>1782</v>
      </c>
      <c r="D15109" s="13" t="s">
        <v>83</v>
      </c>
      <c r="E15109" s="12" t="s">
        <v>35</v>
      </c>
      <c r="F15109" s="14">
        <v>125000</v>
      </c>
      <c r="G15109" s="14">
        <v>84500</v>
      </c>
      <c r="H15109" s="13" t="s">
        <v>28947</v>
      </c>
      <c r="I15109" s="40" t="s">
        <v>18</v>
      </c>
      <c r="J15109" s="40" t="str">
        <f>HYPERLINK("https://stock.pstatic.net/stock-research/company/2/20250124_company_703670000.pdf","PDF")</f>
        <v>PDF</v>
      </c>
      <c r="K15109" s="12" t="s">
        <v>28948</v>
      </c>
      <c r="L15109" s="20">
        <v>0.47928994082840243</v>
      </c>
    </row>
    <row r="15110" spans="1:12" x14ac:dyDescent="0.45">
      <c r="A15110" s="12" t="s">
        <v>28874</v>
      </c>
      <c r="B15110" s="12" t="s">
        <v>577</v>
      </c>
      <c r="C15110" s="13" t="s">
        <v>578</v>
      </c>
      <c r="D15110" s="13" t="s">
        <v>83</v>
      </c>
      <c r="E15110" s="12" t="s">
        <v>35</v>
      </c>
      <c r="F15110" s="14">
        <v>330000</v>
      </c>
      <c r="G15110" s="14">
        <v>252000</v>
      </c>
      <c r="H15110" s="13" t="s">
        <v>28949</v>
      </c>
      <c r="I15110" s="40" t="s">
        <v>18</v>
      </c>
      <c r="J15110" s="40" t="str">
        <f>HYPERLINK("https://stock.pstatic.net/stock-research/company/2/20250124_company_777873000.pdf","PDF")</f>
        <v>PDF</v>
      </c>
      <c r="K15110" s="12" t="s">
        <v>28950</v>
      </c>
      <c r="L15110" s="20">
        <v>0.30952380952380948</v>
      </c>
    </row>
    <row r="15111" spans="1:12" x14ac:dyDescent="0.45">
      <c r="A15111" s="12" t="s">
        <v>28874</v>
      </c>
      <c r="B15111" s="12" t="s">
        <v>519</v>
      </c>
      <c r="C15111" s="13" t="s">
        <v>520</v>
      </c>
      <c r="D15111" s="13" t="s">
        <v>83</v>
      </c>
      <c r="E15111" s="12" t="s">
        <v>35</v>
      </c>
      <c r="F15111" s="14">
        <v>310000</v>
      </c>
      <c r="G15111" s="14">
        <v>209000</v>
      </c>
      <c r="H15111" s="13" t="s">
        <v>28951</v>
      </c>
      <c r="I15111" s="40" t="s">
        <v>18</v>
      </c>
      <c r="J15111" s="40" t="str">
        <f>HYPERLINK("https://stock.pstatic.net/stock-research/company/2/20250124_company_127973000.pdf","PDF")</f>
        <v>PDF</v>
      </c>
      <c r="K15111" s="12" t="s">
        <v>28952</v>
      </c>
      <c r="L15111" s="20">
        <v>0.48325358851674638</v>
      </c>
    </row>
    <row r="15112" spans="1:12" x14ac:dyDescent="0.45">
      <c r="A15112" s="12" t="s">
        <v>28874</v>
      </c>
      <c r="B15112" s="12" t="s">
        <v>4021</v>
      </c>
      <c r="C15112" s="13" t="s">
        <v>4022</v>
      </c>
      <c r="D15112" s="13" t="s">
        <v>83</v>
      </c>
      <c r="E15112" s="12" t="s">
        <v>35</v>
      </c>
      <c r="F15112" s="14">
        <v>300000</v>
      </c>
      <c r="G15112" s="14">
        <v>232000</v>
      </c>
      <c r="H15112" s="13" t="s">
        <v>28953</v>
      </c>
      <c r="I15112" s="40" t="s">
        <v>18</v>
      </c>
      <c r="J15112" s="40" t="str">
        <f>HYPERLINK("https://stock.pstatic.net/stock-research/company/2/20250124_company_218765000.pdf","PDF")</f>
        <v>PDF</v>
      </c>
      <c r="K15112" s="12" t="s">
        <v>28954</v>
      </c>
      <c r="L15112" s="20">
        <v>0.29310344827586199</v>
      </c>
    </row>
    <row r="15113" spans="1:12" x14ac:dyDescent="0.45">
      <c r="A15113" s="12" t="s">
        <v>28874</v>
      </c>
      <c r="B15113" s="12" t="s">
        <v>334</v>
      </c>
      <c r="C15113" s="13" t="s">
        <v>335</v>
      </c>
      <c r="D15113" s="13" t="s">
        <v>83</v>
      </c>
      <c r="E15113" s="12" t="s">
        <v>35</v>
      </c>
      <c r="F15113" s="14">
        <v>265000</v>
      </c>
      <c r="G15113" s="14">
        <v>219500</v>
      </c>
      <c r="H15113" s="13" t="s">
        <v>28955</v>
      </c>
      <c r="I15113" s="40" t="s">
        <v>18</v>
      </c>
      <c r="J15113" s="40" t="str">
        <f>HYPERLINK("https://stock.pstatic.net/stock-research/company/2/20250124_company_562299000.pdf","PDF")</f>
        <v>PDF</v>
      </c>
      <c r="K15113" s="12" t="s">
        <v>28956</v>
      </c>
      <c r="L15113" s="20">
        <v>0.2072892938496583</v>
      </c>
    </row>
    <row r="15114" spans="1:12" x14ac:dyDescent="0.45">
      <c r="A15114" s="12" t="s">
        <v>28874</v>
      </c>
      <c r="B15114" s="12" t="s">
        <v>519</v>
      </c>
      <c r="C15114" s="13" t="s">
        <v>520</v>
      </c>
      <c r="D15114" s="13" t="s">
        <v>78</v>
      </c>
      <c r="E15114" s="12" t="s">
        <v>50</v>
      </c>
      <c r="F15114" s="13"/>
      <c r="G15114" s="13"/>
      <c r="H15114" s="13" t="s">
        <v>28957</v>
      </c>
      <c r="I15114" s="40" t="s">
        <v>18</v>
      </c>
      <c r="J15114" s="40" t="str">
        <f>HYPERLINK("https://m.stock.naver.com/research/company/80171","PDF")</f>
        <v>PDF</v>
      </c>
      <c r="K15114" s="12" t="s">
        <v>28958</v>
      </c>
    </row>
    <row r="15115" spans="1:12" x14ac:dyDescent="0.45">
      <c r="A15115" s="12" t="s">
        <v>28874</v>
      </c>
      <c r="B15115" s="12" t="s">
        <v>1781</v>
      </c>
      <c r="C15115" s="13" t="s">
        <v>1782</v>
      </c>
      <c r="D15115" s="13" t="s">
        <v>179</v>
      </c>
      <c r="E15115" s="12" t="s">
        <v>16</v>
      </c>
      <c r="F15115" s="14">
        <v>140000</v>
      </c>
      <c r="G15115" s="14">
        <v>84500</v>
      </c>
      <c r="H15115" s="13" t="s">
        <v>28959</v>
      </c>
      <c r="I15115" s="40" t="s">
        <v>18</v>
      </c>
      <c r="J15115" s="40" t="str">
        <f>HYPERLINK("https://stock.pstatic.net/stock-research/company/31/20250124_company_92850000.pdf","PDF")</f>
        <v>PDF</v>
      </c>
      <c r="K15115" s="12" t="s">
        <v>28960</v>
      </c>
      <c r="L15115" s="20">
        <v>0.65680473372781067</v>
      </c>
    </row>
    <row r="15116" spans="1:12" x14ac:dyDescent="0.45">
      <c r="A15116" s="12" t="s">
        <v>28874</v>
      </c>
      <c r="B15116" s="12" t="s">
        <v>908</v>
      </c>
      <c r="C15116" s="13" t="s">
        <v>909</v>
      </c>
      <c r="D15116" s="13" t="s">
        <v>179</v>
      </c>
      <c r="E15116" s="12" t="s">
        <v>16</v>
      </c>
      <c r="F15116" s="14">
        <v>170000</v>
      </c>
      <c r="G15116" s="14">
        <v>121400</v>
      </c>
      <c r="H15116" s="13" t="s">
        <v>28961</v>
      </c>
      <c r="I15116" s="40" t="s">
        <v>18</v>
      </c>
      <c r="J15116" s="40" t="str">
        <f>HYPERLINK("https://stock.pstatic.net/stock-research/company/1/20250124_company_834220000.pdf","PDF")</f>
        <v>PDF</v>
      </c>
      <c r="K15116" s="12" t="s">
        <v>28962</v>
      </c>
      <c r="L15116" s="20">
        <v>0.40032948929159801</v>
      </c>
    </row>
    <row r="15117" spans="1:12" x14ac:dyDescent="0.45">
      <c r="A15117" s="12" t="s">
        <v>28874</v>
      </c>
      <c r="B15117" s="12" t="s">
        <v>908</v>
      </c>
      <c r="C15117" s="13" t="s">
        <v>909</v>
      </c>
      <c r="D15117" s="13" t="s">
        <v>15</v>
      </c>
      <c r="E15117" s="12" t="s">
        <v>16</v>
      </c>
      <c r="F15117" s="14">
        <v>179000</v>
      </c>
      <c r="G15117" s="14">
        <v>121400</v>
      </c>
      <c r="H15117" s="13" t="s">
        <v>28963</v>
      </c>
      <c r="I15117" s="40" t="s">
        <v>18</v>
      </c>
      <c r="J15117" s="40" t="str">
        <f>HYPERLINK("https://stock.pstatic.net/stock-research/company/29/20250124_company_551787000.pdf","PDF")</f>
        <v>PDF</v>
      </c>
      <c r="K15117" s="12" t="s">
        <v>28964</v>
      </c>
      <c r="L15117" s="20">
        <v>0.47446457990115321</v>
      </c>
    </row>
    <row r="15118" spans="1:12" x14ac:dyDescent="0.45">
      <c r="A15118" s="12" t="s">
        <v>28874</v>
      </c>
      <c r="B15118" s="12" t="s">
        <v>334</v>
      </c>
      <c r="C15118" s="13" t="s">
        <v>335</v>
      </c>
      <c r="D15118" s="13" t="s">
        <v>92</v>
      </c>
      <c r="E15118" s="12" t="s">
        <v>35</v>
      </c>
      <c r="F15118" s="14">
        <v>260000</v>
      </c>
      <c r="G15118" s="14">
        <v>219500</v>
      </c>
      <c r="H15118" s="13" t="s">
        <v>28965</v>
      </c>
      <c r="I15118" s="40" t="s">
        <v>18</v>
      </c>
      <c r="J15118" s="40" t="str">
        <f>HYPERLINK("https://stock.pstatic.net/stock-research/company/63/20250124_company_52303000.pdf","PDF")</f>
        <v>PDF</v>
      </c>
      <c r="K15118" s="12" t="s">
        <v>28966</v>
      </c>
      <c r="L15118" s="20">
        <v>0.18451025056947609</v>
      </c>
    </row>
    <row r="15119" spans="1:12" x14ac:dyDescent="0.45">
      <c r="A15119" s="12" t="s">
        <v>28874</v>
      </c>
      <c r="B15119" s="12" t="s">
        <v>519</v>
      </c>
      <c r="C15119" s="13" t="s">
        <v>520</v>
      </c>
      <c r="D15119" s="13" t="s">
        <v>53</v>
      </c>
      <c r="E15119" s="12" t="s">
        <v>16</v>
      </c>
      <c r="F15119" s="14">
        <v>330000</v>
      </c>
      <c r="G15119" s="14">
        <v>209000</v>
      </c>
      <c r="H15119" s="13" t="s">
        <v>28967</v>
      </c>
      <c r="I15119" s="40" t="s">
        <v>18</v>
      </c>
      <c r="J15119" s="40" t="str">
        <f>HYPERLINK("https://stock.pstatic.net/stock-research/company/40/20250124_company_737676000.pdf","PDF")</f>
        <v>PDF</v>
      </c>
      <c r="K15119" s="12" t="s">
        <v>28968</v>
      </c>
      <c r="L15119" s="20">
        <v>0.57894736842105265</v>
      </c>
    </row>
    <row r="15120" spans="1:12" x14ac:dyDescent="0.45">
      <c r="A15120" s="12" t="s">
        <v>28874</v>
      </c>
      <c r="B15120" s="12" t="s">
        <v>836</v>
      </c>
      <c r="C15120" s="13" t="s">
        <v>837</v>
      </c>
      <c r="D15120" s="13" t="s">
        <v>179</v>
      </c>
      <c r="E15120" s="12" t="s">
        <v>16</v>
      </c>
      <c r="F15120" s="14">
        <v>125000</v>
      </c>
      <c r="G15120" s="14">
        <v>99500</v>
      </c>
      <c r="H15120" s="13" t="s">
        <v>28969</v>
      </c>
      <c r="I15120" s="40" t="s">
        <v>18</v>
      </c>
      <c r="J15120" s="40" t="str">
        <f>HYPERLINK("https://stock.pstatic.net/stock-research/company/31/20250124_company_478002000.pdf","PDF")</f>
        <v>PDF</v>
      </c>
      <c r="K15120" s="12" t="s">
        <v>28970</v>
      </c>
      <c r="L15120" s="20">
        <v>0.25628140703517588</v>
      </c>
    </row>
    <row r="15121" spans="1:12" x14ac:dyDescent="0.45">
      <c r="A15121" s="12" t="s">
        <v>28874</v>
      </c>
      <c r="B15121" s="12" t="s">
        <v>334</v>
      </c>
      <c r="C15121" s="13" t="s">
        <v>335</v>
      </c>
      <c r="D15121" s="13" t="s">
        <v>53</v>
      </c>
      <c r="E15121" s="12" t="s">
        <v>16</v>
      </c>
      <c r="F15121" s="14">
        <v>300000</v>
      </c>
      <c r="G15121" s="14">
        <v>219500</v>
      </c>
      <c r="H15121" s="13" t="s">
        <v>28971</v>
      </c>
      <c r="I15121" s="40" t="s">
        <v>18</v>
      </c>
      <c r="J15121" s="40" t="str">
        <f>HYPERLINK("https://stock.pstatic.net/stock-research/company/1/20250124_company_155283000.pdf","PDF")</f>
        <v>PDF</v>
      </c>
      <c r="K15121" s="12" t="s">
        <v>28972</v>
      </c>
      <c r="L15121" s="20">
        <v>0.36674259681093402</v>
      </c>
    </row>
    <row r="15122" spans="1:12" x14ac:dyDescent="0.45">
      <c r="A15122" s="12" t="s">
        <v>28874</v>
      </c>
      <c r="B15122" s="12" t="s">
        <v>4021</v>
      </c>
      <c r="C15122" s="13" t="s">
        <v>4022</v>
      </c>
      <c r="D15122" s="13" t="s">
        <v>23</v>
      </c>
      <c r="E15122" s="12" t="s">
        <v>16</v>
      </c>
      <c r="F15122" s="14">
        <v>290000</v>
      </c>
      <c r="G15122" s="14">
        <v>232000</v>
      </c>
      <c r="H15122" s="13" t="s">
        <v>28973</v>
      </c>
      <c r="I15122" s="40" t="s">
        <v>18</v>
      </c>
      <c r="J15122" s="40" t="str">
        <f>HYPERLINK("https://stock.pstatic.net/stock-research/company/21/20250124_company_633201000.pdf","PDF")</f>
        <v>PDF</v>
      </c>
      <c r="K15122" s="12" t="s">
        <v>28974</v>
      </c>
      <c r="L15122" s="20">
        <v>0.25</v>
      </c>
    </row>
    <row r="15123" spans="1:12" x14ac:dyDescent="0.45">
      <c r="A15123" s="12" t="s">
        <v>28874</v>
      </c>
      <c r="B15123" s="12" t="s">
        <v>1781</v>
      </c>
      <c r="C15123" s="13" t="s">
        <v>1782</v>
      </c>
      <c r="D15123" s="13" t="s">
        <v>53</v>
      </c>
      <c r="E15123" s="12" t="s">
        <v>16</v>
      </c>
      <c r="F15123" s="14">
        <v>120000</v>
      </c>
      <c r="G15123" s="14">
        <v>84500</v>
      </c>
      <c r="H15123" s="13" t="s">
        <v>28975</v>
      </c>
      <c r="I15123" s="40" t="s">
        <v>18</v>
      </c>
      <c r="J15123" s="40" t="str">
        <f>HYPERLINK("https://stock.pstatic.net/stock-research/company/40/20250124_company_906178000.pdf","PDF")</f>
        <v>PDF</v>
      </c>
      <c r="K15123" s="12" t="s">
        <v>28976</v>
      </c>
      <c r="L15123" s="20">
        <v>0.42011834319526631</v>
      </c>
    </row>
    <row r="15124" spans="1:12" x14ac:dyDescent="0.45">
      <c r="A15124" s="12" t="s">
        <v>28874</v>
      </c>
      <c r="B15124" s="12" t="s">
        <v>4021</v>
      </c>
      <c r="C15124" s="13" t="s">
        <v>4022</v>
      </c>
      <c r="D15124" s="13" t="s">
        <v>44</v>
      </c>
      <c r="E15124" s="12" t="s">
        <v>35</v>
      </c>
      <c r="F15124" s="14">
        <v>295000</v>
      </c>
      <c r="G15124" s="14">
        <v>232000</v>
      </c>
      <c r="H15124" s="13" t="s">
        <v>28977</v>
      </c>
      <c r="I15124" s="40" t="s">
        <v>18</v>
      </c>
      <c r="J15124" s="40" t="str">
        <f>HYPERLINK("https://stock.pstatic.net/stock-research/company/39/20250124_company_221186000.pdf","PDF")</f>
        <v>PDF</v>
      </c>
      <c r="K15124" s="12" t="s">
        <v>28978</v>
      </c>
      <c r="L15124" s="20">
        <v>0.27155172413793099</v>
      </c>
    </row>
    <row r="15125" spans="1:12" x14ac:dyDescent="0.45">
      <c r="A15125" s="12" t="s">
        <v>28874</v>
      </c>
      <c r="B15125" s="12" t="s">
        <v>28979</v>
      </c>
      <c r="C15125" s="13" t="s">
        <v>28980</v>
      </c>
      <c r="D15125" s="13" t="s">
        <v>179</v>
      </c>
      <c r="E15125" s="12" t="s">
        <v>50</v>
      </c>
      <c r="F15125" s="13"/>
      <c r="G15125" s="14">
        <v>12040</v>
      </c>
      <c r="H15125" s="13" t="s">
        <v>28981</v>
      </c>
      <c r="I15125" s="40" t="s">
        <v>18</v>
      </c>
      <c r="J15125" s="40" t="str">
        <f>HYPERLINK("https://stock.pstatic.net/stock-research/company/31/20250124_company_480196000.pdf","PDF")</f>
        <v>PDF</v>
      </c>
      <c r="K15125" s="12" t="s">
        <v>28982</v>
      </c>
    </row>
    <row r="15126" spans="1:12" x14ac:dyDescent="0.45">
      <c r="A15126" s="12" t="s">
        <v>28874</v>
      </c>
      <c r="B15126" s="12" t="s">
        <v>1081</v>
      </c>
      <c r="C15126" s="13" t="s">
        <v>1082</v>
      </c>
      <c r="D15126" s="13" t="s">
        <v>34</v>
      </c>
      <c r="E15126" s="12" t="s">
        <v>35</v>
      </c>
      <c r="F15126" s="14">
        <v>1250000</v>
      </c>
      <c r="G15126" s="14">
        <v>1053000</v>
      </c>
      <c r="H15126" s="13" t="s">
        <v>28983</v>
      </c>
      <c r="I15126" s="40" t="s">
        <v>18</v>
      </c>
      <c r="J15126" s="40" t="str">
        <f>HYPERLINK("https://stock.pstatic.net/stock-research/company/61/20250124_company_352237000.pdf","PDF")</f>
        <v>PDF</v>
      </c>
      <c r="K15126" s="12" t="s">
        <v>28984</v>
      </c>
      <c r="L15126" s="20">
        <v>0.18708452041785381</v>
      </c>
    </row>
    <row r="15127" spans="1:12" x14ac:dyDescent="0.45">
      <c r="A15127" s="12" t="s">
        <v>28874</v>
      </c>
      <c r="B15127" s="12" t="s">
        <v>519</v>
      </c>
      <c r="C15127" s="13" t="s">
        <v>520</v>
      </c>
      <c r="D15127" s="13" t="s">
        <v>34</v>
      </c>
      <c r="E15127" s="12" t="s">
        <v>35</v>
      </c>
      <c r="F15127" s="14">
        <v>320000</v>
      </c>
      <c r="G15127" s="14">
        <v>209000</v>
      </c>
      <c r="H15127" s="13" t="s">
        <v>28985</v>
      </c>
      <c r="I15127" s="40" t="s">
        <v>18</v>
      </c>
      <c r="J15127" s="40" t="str">
        <f>HYPERLINK("https://stock.pstatic.net/stock-research/company/61/20250124_company_720719000.pdf","PDF")</f>
        <v>PDF</v>
      </c>
      <c r="K15127" s="12" t="s">
        <v>28986</v>
      </c>
      <c r="L15127" s="20">
        <v>0.53110047846889952</v>
      </c>
    </row>
    <row r="15128" spans="1:12" x14ac:dyDescent="0.45">
      <c r="A15128" s="12" t="s">
        <v>28874</v>
      </c>
      <c r="B15128" s="12" t="s">
        <v>1781</v>
      </c>
      <c r="C15128" s="13" t="s">
        <v>1782</v>
      </c>
      <c r="D15128" s="13" t="s">
        <v>34</v>
      </c>
      <c r="E15128" s="12" t="s">
        <v>35</v>
      </c>
      <c r="F15128" s="14">
        <v>110000</v>
      </c>
      <c r="G15128" s="14">
        <v>84500</v>
      </c>
      <c r="H15128" s="13" t="s">
        <v>28987</v>
      </c>
      <c r="I15128" s="40" t="s">
        <v>18</v>
      </c>
      <c r="J15128" s="40" t="str">
        <f>HYPERLINK("https://stock.pstatic.net/stock-research/company/61/20250124_company_2312000.pdf","PDF")</f>
        <v>PDF</v>
      </c>
      <c r="K15128" s="12" t="s">
        <v>28988</v>
      </c>
      <c r="L15128" s="20">
        <v>0.30177514792899413</v>
      </c>
    </row>
    <row r="15129" spans="1:12" x14ac:dyDescent="0.45">
      <c r="A15129" s="12" t="s">
        <v>28874</v>
      </c>
      <c r="B15129" s="12" t="s">
        <v>334</v>
      </c>
      <c r="C15129" s="13" t="s">
        <v>335</v>
      </c>
      <c r="D15129" s="13" t="s">
        <v>34</v>
      </c>
      <c r="E15129" s="12" t="s">
        <v>159</v>
      </c>
      <c r="F15129" s="14">
        <v>240000</v>
      </c>
      <c r="G15129" s="14">
        <v>219500</v>
      </c>
      <c r="H15129" s="13" t="s">
        <v>28989</v>
      </c>
      <c r="I15129" s="40" t="s">
        <v>18</v>
      </c>
      <c r="J15129" s="40" t="str">
        <f>HYPERLINK("https://stock.pstatic.net/stock-research/company/61/20250124_company_897164000.pdf","PDF")</f>
        <v>PDF</v>
      </c>
      <c r="K15129" s="12" t="s">
        <v>28990</v>
      </c>
      <c r="L15129" s="20">
        <v>9.3394077448747156E-2</v>
      </c>
    </row>
    <row r="15130" spans="1:12" x14ac:dyDescent="0.45">
      <c r="A15130" s="12" t="s">
        <v>28874</v>
      </c>
      <c r="B15130" s="12" t="s">
        <v>519</v>
      </c>
      <c r="C15130" s="13" t="s">
        <v>520</v>
      </c>
      <c r="D15130" s="13" t="s">
        <v>92</v>
      </c>
      <c r="E15130" s="12" t="s">
        <v>35</v>
      </c>
      <c r="F15130" s="14">
        <v>280000</v>
      </c>
      <c r="G15130" s="14">
        <v>209000</v>
      </c>
      <c r="H15130" s="13" t="s">
        <v>28991</v>
      </c>
      <c r="I15130" s="40" t="s">
        <v>18</v>
      </c>
      <c r="J15130" s="40" t="str">
        <f>HYPERLINK("https://stock.pstatic.net/stock-research/company/63/20250124_company_643794000.pdf","PDF")</f>
        <v>PDF</v>
      </c>
      <c r="K15130" s="12" t="s">
        <v>28992</v>
      </c>
      <c r="L15130" s="20">
        <v>0.33971291866028708</v>
      </c>
    </row>
    <row r="15131" spans="1:12" x14ac:dyDescent="0.45">
      <c r="A15131" s="12" t="s">
        <v>28874</v>
      </c>
      <c r="B15131" s="12" t="s">
        <v>1781</v>
      </c>
      <c r="C15131" s="13" t="s">
        <v>1782</v>
      </c>
      <c r="D15131" s="13" t="s">
        <v>44</v>
      </c>
      <c r="E15131" s="12" t="s">
        <v>35</v>
      </c>
      <c r="F15131" s="14">
        <v>120000</v>
      </c>
      <c r="G15131" s="14">
        <v>84500</v>
      </c>
      <c r="H15131" s="13" t="s">
        <v>28993</v>
      </c>
      <c r="I15131" s="40" t="s">
        <v>18</v>
      </c>
      <c r="J15131" s="40" t="str">
        <f>HYPERLINK("https://stock.pstatic.net/stock-research/company/39/20250124_company_460050000.pdf","PDF")</f>
        <v>PDF</v>
      </c>
      <c r="K15131" s="12" t="s">
        <v>28994</v>
      </c>
      <c r="L15131" s="20">
        <v>0.42011834319526631</v>
      </c>
    </row>
    <row r="15132" spans="1:12" x14ac:dyDescent="0.45">
      <c r="A15132" s="12" t="s">
        <v>28874</v>
      </c>
      <c r="B15132" s="12" t="s">
        <v>1507</v>
      </c>
      <c r="C15132" s="13" t="s">
        <v>1508</v>
      </c>
      <c r="D15132" s="13" t="s">
        <v>92</v>
      </c>
      <c r="E15132" s="12" t="s">
        <v>35</v>
      </c>
      <c r="F15132" s="14">
        <v>14000</v>
      </c>
      <c r="G15132" s="14">
        <v>8530</v>
      </c>
      <c r="H15132" s="13" t="s">
        <v>28995</v>
      </c>
      <c r="I15132" s="40" t="s">
        <v>18</v>
      </c>
      <c r="J15132" s="40" t="str">
        <f>HYPERLINK("https://stock.pstatic.net/stock-research/company/63/20250124_company_732714000.pdf","PDF")</f>
        <v>PDF</v>
      </c>
      <c r="K15132" s="12" t="s">
        <v>28996</v>
      </c>
      <c r="L15132" s="20">
        <v>0.64126611957796009</v>
      </c>
    </row>
    <row r="15133" spans="1:12" x14ac:dyDescent="0.45">
      <c r="A15133" s="12" t="s">
        <v>28874</v>
      </c>
      <c r="B15133" s="12" t="s">
        <v>519</v>
      </c>
      <c r="C15133" s="13" t="s">
        <v>520</v>
      </c>
      <c r="D15133" s="13" t="s">
        <v>179</v>
      </c>
      <c r="E15133" s="12" t="s">
        <v>16</v>
      </c>
      <c r="F15133" s="14">
        <v>330000</v>
      </c>
      <c r="G15133" s="14">
        <v>209000</v>
      </c>
      <c r="H15133" s="13" t="s">
        <v>28997</v>
      </c>
      <c r="I15133" s="40" t="s">
        <v>18</v>
      </c>
      <c r="J15133" s="40" t="str">
        <f>HYPERLINK("https://stock.pstatic.net/stock-research/company/31/20250124_company_850472000.pdf","PDF")</f>
        <v>PDF</v>
      </c>
      <c r="K15133" s="12" t="s">
        <v>28998</v>
      </c>
      <c r="L15133" s="20">
        <v>0.57894736842105265</v>
      </c>
    </row>
    <row r="15134" spans="1:12" x14ac:dyDescent="0.45">
      <c r="A15134" s="12" t="s">
        <v>28874</v>
      </c>
      <c r="B15134" s="12" t="s">
        <v>4021</v>
      </c>
      <c r="C15134" s="13" t="s">
        <v>4022</v>
      </c>
      <c r="D15134" s="13" t="s">
        <v>179</v>
      </c>
      <c r="E15134" s="12" t="s">
        <v>16</v>
      </c>
      <c r="F15134" s="14">
        <v>300000</v>
      </c>
      <c r="G15134" s="14">
        <v>232000</v>
      </c>
      <c r="H15134" s="13" t="s">
        <v>28999</v>
      </c>
      <c r="I15134" s="40" t="s">
        <v>18</v>
      </c>
      <c r="J15134" s="40" t="str">
        <f>HYPERLINK("https://stock.pstatic.net/stock-research/company/31/20250124_company_354502000.pdf","PDF")</f>
        <v>PDF</v>
      </c>
      <c r="K15134" s="12" t="s">
        <v>29000</v>
      </c>
      <c r="L15134" s="20">
        <v>0.29310344827586199</v>
      </c>
    </row>
    <row r="15135" spans="1:12" x14ac:dyDescent="0.45">
      <c r="A15135" s="12" t="s">
        <v>28874</v>
      </c>
      <c r="B15135" s="12" t="s">
        <v>95</v>
      </c>
      <c r="C15135" s="13" t="s">
        <v>31</v>
      </c>
      <c r="D15135" s="13" t="s">
        <v>23</v>
      </c>
      <c r="E15135" s="12" t="s">
        <v>16</v>
      </c>
      <c r="F15135" s="14">
        <v>27000</v>
      </c>
      <c r="G15135" s="14">
        <v>17440</v>
      </c>
      <c r="H15135" s="13" t="s">
        <v>29001</v>
      </c>
      <c r="I15135" s="40" t="s">
        <v>18</v>
      </c>
      <c r="J15135" s="40" t="str">
        <f>HYPERLINK("https://stock.pstatic.net/stock-research/company/21/20250124_company_805374000.pdf","PDF")</f>
        <v>PDF</v>
      </c>
      <c r="K15135" s="12" t="s">
        <v>29002</v>
      </c>
      <c r="L15135" s="20">
        <v>0.54816513761467889</v>
      </c>
    </row>
    <row r="15136" spans="1:12" x14ac:dyDescent="0.45">
      <c r="A15136" s="12" t="s">
        <v>28874</v>
      </c>
      <c r="B15136" s="12" t="s">
        <v>42</v>
      </c>
      <c r="C15136" s="13" t="s">
        <v>43</v>
      </c>
      <c r="D15136" s="13" t="s">
        <v>44</v>
      </c>
      <c r="E15136" s="12" t="s">
        <v>35</v>
      </c>
      <c r="F15136" s="14">
        <v>270000</v>
      </c>
      <c r="G15136" s="14">
        <v>204500</v>
      </c>
      <c r="H15136" s="13" t="s">
        <v>29003</v>
      </c>
      <c r="I15136" s="40" t="s">
        <v>18</v>
      </c>
      <c r="J15136" s="40" t="str">
        <f>HYPERLINK("https://stock.pstatic.net/stock-research/company/39/20250124_company_109097000.pdf","PDF")</f>
        <v>PDF</v>
      </c>
      <c r="K15136" s="12" t="s">
        <v>29004</v>
      </c>
      <c r="L15136" s="20">
        <v>0.32029339853300731</v>
      </c>
    </row>
    <row r="15137" spans="1:12" x14ac:dyDescent="0.45">
      <c r="A15137" s="12" t="s">
        <v>28874</v>
      </c>
      <c r="B15137" s="12" t="s">
        <v>375</v>
      </c>
      <c r="C15137" s="13" t="s">
        <v>376</v>
      </c>
      <c r="D15137" s="13" t="s">
        <v>23</v>
      </c>
      <c r="E15137" s="12" t="s">
        <v>50</v>
      </c>
      <c r="F15137" s="14">
        <v>20000</v>
      </c>
      <c r="G15137" s="14">
        <v>18840</v>
      </c>
      <c r="H15137" s="13" t="s">
        <v>29005</v>
      </c>
      <c r="I15137" s="40" t="s">
        <v>18</v>
      </c>
      <c r="J15137" s="40" t="str">
        <f>HYPERLINK("https://stock.pstatic.net/stock-research/company/21/20250124_company_61615000.pdf","PDF")</f>
        <v>PDF</v>
      </c>
      <c r="K15137" s="12" t="s">
        <v>29006</v>
      </c>
      <c r="L15137" s="20">
        <v>6.1571125265392782E-2</v>
      </c>
    </row>
    <row r="15138" spans="1:12" x14ac:dyDescent="0.45">
      <c r="A15138" s="12" t="s">
        <v>28874</v>
      </c>
      <c r="B15138" s="12" t="s">
        <v>1128</v>
      </c>
      <c r="C15138" s="13" t="s">
        <v>1129</v>
      </c>
      <c r="D15138" s="13" t="s">
        <v>179</v>
      </c>
      <c r="E15138" s="12" t="s">
        <v>16</v>
      </c>
      <c r="F15138" s="14">
        <v>50000</v>
      </c>
      <c r="G15138" s="14">
        <v>31950</v>
      </c>
      <c r="H15138" s="13" t="s">
        <v>29007</v>
      </c>
      <c r="I15138" s="40" t="s">
        <v>18</v>
      </c>
      <c r="J15138" s="40" t="str">
        <f>HYPERLINK("https://stock.pstatic.net/stock-research/company/31/20250124_company_31259000.pdf","PDF")</f>
        <v>PDF</v>
      </c>
      <c r="K15138" s="12" t="s">
        <v>29008</v>
      </c>
      <c r="L15138" s="20">
        <v>0.56494522691705795</v>
      </c>
    </row>
    <row r="15139" spans="1:12" x14ac:dyDescent="0.45">
      <c r="A15139" s="12" t="s">
        <v>28874</v>
      </c>
      <c r="B15139" s="12" t="s">
        <v>3138</v>
      </c>
      <c r="C15139" s="13" t="s">
        <v>3139</v>
      </c>
      <c r="D15139" s="13" t="s">
        <v>23</v>
      </c>
      <c r="E15139" s="12" t="s">
        <v>16</v>
      </c>
      <c r="F15139" s="14">
        <v>15000</v>
      </c>
      <c r="G15139" s="14">
        <v>10300</v>
      </c>
      <c r="H15139" s="13" t="s">
        <v>29009</v>
      </c>
      <c r="I15139" s="40" t="s">
        <v>18</v>
      </c>
      <c r="J15139" s="40" t="str">
        <f>HYPERLINK("https://stock.pstatic.net/stock-research/company/21/20250124_company_863828000.pdf","PDF")</f>
        <v>PDF</v>
      </c>
      <c r="K15139" s="12" t="s">
        <v>29010</v>
      </c>
      <c r="L15139" s="20">
        <v>0.4563106796116505</v>
      </c>
    </row>
    <row r="15140" spans="1:12" x14ac:dyDescent="0.45">
      <c r="A15140" s="12" t="s">
        <v>28874</v>
      </c>
      <c r="B15140" s="12" t="s">
        <v>519</v>
      </c>
      <c r="C15140" s="13" t="s">
        <v>520</v>
      </c>
      <c r="D15140" s="13" t="s">
        <v>23</v>
      </c>
      <c r="E15140" s="12" t="s">
        <v>16</v>
      </c>
      <c r="F15140" s="14">
        <v>290000</v>
      </c>
      <c r="G15140" s="14">
        <v>209000</v>
      </c>
      <c r="H15140" s="13" t="s">
        <v>29011</v>
      </c>
      <c r="I15140" s="40" t="s">
        <v>18</v>
      </c>
      <c r="J15140" s="40" t="str">
        <f>HYPERLINK("https://stock.pstatic.net/stock-research/company/21/20250124_company_612067000.pdf","PDF")</f>
        <v>PDF</v>
      </c>
      <c r="K15140" s="12" t="s">
        <v>29012</v>
      </c>
      <c r="L15140" s="20">
        <v>0.38755980861244022</v>
      </c>
    </row>
    <row r="15141" spans="1:12" x14ac:dyDescent="0.45">
      <c r="A15141" s="12" t="s">
        <v>28874</v>
      </c>
      <c r="B15141" s="12" t="s">
        <v>334</v>
      </c>
      <c r="C15141" s="13" t="s">
        <v>335</v>
      </c>
      <c r="D15141" s="13" t="s">
        <v>23</v>
      </c>
      <c r="E15141" s="12" t="s">
        <v>16</v>
      </c>
      <c r="F15141" s="14">
        <v>290000</v>
      </c>
      <c r="G15141" s="14">
        <v>219500</v>
      </c>
      <c r="H15141" s="13" t="s">
        <v>29013</v>
      </c>
      <c r="I15141" s="40" t="s">
        <v>18</v>
      </c>
      <c r="J15141" s="40" t="str">
        <f>HYPERLINK("https://stock.pstatic.net/stock-research/company/21/20250124_company_936854000.pdf","PDF")</f>
        <v>PDF</v>
      </c>
      <c r="K15141" s="12" t="s">
        <v>29014</v>
      </c>
      <c r="L15141" s="20">
        <v>0.32118451025056949</v>
      </c>
    </row>
    <row r="15142" spans="1:12" x14ac:dyDescent="0.45">
      <c r="A15142" s="12" t="s">
        <v>28874</v>
      </c>
      <c r="B15142" s="12" t="s">
        <v>908</v>
      </c>
      <c r="C15142" s="13" t="s">
        <v>909</v>
      </c>
      <c r="D15142" s="13" t="s">
        <v>23</v>
      </c>
      <c r="E15142" s="12" t="s">
        <v>16</v>
      </c>
      <c r="F15142" s="14">
        <v>190000</v>
      </c>
      <c r="G15142" s="14">
        <v>121400</v>
      </c>
      <c r="H15142" s="13" t="s">
        <v>29015</v>
      </c>
      <c r="I15142" s="40" t="s">
        <v>18</v>
      </c>
      <c r="J15142" s="40" t="str">
        <f>HYPERLINK("https://stock.pstatic.net/stock-research/company/21/20250124_company_380588000.pdf","PDF")</f>
        <v>PDF</v>
      </c>
      <c r="K15142" s="12" t="s">
        <v>29016</v>
      </c>
      <c r="L15142" s="20">
        <v>0.56507413509060955</v>
      </c>
    </row>
    <row r="15143" spans="1:12" x14ac:dyDescent="0.45">
      <c r="A15143" s="12" t="s">
        <v>28874</v>
      </c>
      <c r="B15143" s="12" t="s">
        <v>1781</v>
      </c>
      <c r="C15143" s="13" t="s">
        <v>1782</v>
      </c>
      <c r="D15143" s="13" t="s">
        <v>23</v>
      </c>
      <c r="E15143" s="12" t="s">
        <v>16</v>
      </c>
      <c r="F15143" s="14">
        <v>120000</v>
      </c>
      <c r="G15143" s="14">
        <v>84500</v>
      </c>
      <c r="H15143" s="13" t="s">
        <v>29017</v>
      </c>
      <c r="I15143" s="40" t="s">
        <v>18</v>
      </c>
      <c r="J15143" s="40" t="str">
        <f>HYPERLINK("https://stock.pstatic.net/stock-research/company/21/20250124_company_991054000.pdf","PDF")</f>
        <v>PDF</v>
      </c>
      <c r="K15143" s="12" t="s">
        <v>29018</v>
      </c>
      <c r="L15143" s="20">
        <v>0.42011834319526631</v>
      </c>
    </row>
    <row r="15144" spans="1:12" x14ac:dyDescent="0.45">
      <c r="A15144" s="12" t="s">
        <v>28874</v>
      </c>
      <c r="B15144" s="12" t="s">
        <v>1648</v>
      </c>
      <c r="C15144" s="13" t="s">
        <v>1649</v>
      </c>
      <c r="D15144" s="13" t="s">
        <v>44</v>
      </c>
      <c r="E15144" s="12" t="s">
        <v>35</v>
      </c>
      <c r="F15144" s="14">
        <v>110000</v>
      </c>
      <c r="G15144" s="14">
        <v>81800</v>
      </c>
      <c r="H15144" s="13" t="s">
        <v>29019</v>
      </c>
      <c r="I15144" s="40" t="s">
        <v>18</v>
      </c>
      <c r="J15144" s="40" t="str">
        <f>HYPERLINK("https://stock.pstatic.net/stock-research/company/39/20250124_company_781049000.pdf","PDF")</f>
        <v>PDF</v>
      </c>
      <c r="K15144" s="12" t="s">
        <v>29020</v>
      </c>
      <c r="L15144" s="20">
        <v>0.34474327628361862</v>
      </c>
    </row>
    <row r="15145" spans="1:12" x14ac:dyDescent="0.45">
      <c r="A15145" s="12" t="s">
        <v>28874</v>
      </c>
      <c r="B15145" s="12" t="s">
        <v>519</v>
      </c>
      <c r="C15145" s="13" t="s">
        <v>520</v>
      </c>
      <c r="D15145" s="13" t="s">
        <v>44</v>
      </c>
      <c r="E15145" s="12" t="s">
        <v>45</v>
      </c>
      <c r="F15145" s="14">
        <v>245000</v>
      </c>
      <c r="G15145" s="14">
        <v>209000</v>
      </c>
      <c r="H15145" s="13" t="s">
        <v>29021</v>
      </c>
      <c r="I15145" s="40" t="s">
        <v>18</v>
      </c>
      <c r="J15145" s="40" t="str">
        <f>HYPERLINK("https://stock.pstatic.net/stock-research/company/39/20250124_company_285031000.pdf","PDF")</f>
        <v>PDF</v>
      </c>
      <c r="K15145" s="12" t="s">
        <v>29022</v>
      </c>
      <c r="L15145" s="20">
        <v>0.17224880382775121</v>
      </c>
    </row>
    <row r="15146" spans="1:12" x14ac:dyDescent="0.45">
      <c r="A15146" s="12" t="s">
        <v>28874</v>
      </c>
      <c r="B15146" s="12" t="s">
        <v>334</v>
      </c>
      <c r="C15146" s="13" t="s">
        <v>335</v>
      </c>
      <c r="D15146" s="13" t="s">
        <v>44</v>
      </c>
      <c r="E15146" s="12" t="s">
        <v>50</v>
      </c>
      <c r="F15146" s="13"/>
      <c r="G15146" s="13"/>
      <c r="H15146" s="13" t="s">
        <v>29023</v>
      </c>
      <c r="I15146" s="40" t="s">
        <v>18</v>
      </c>
      <c r="J15146" s="40" t="str">
        <f>HYPERLINK("https://stock.pstatic.net/stock-research/company/39/20250124_company_845335000.pdf","PDF")</f>
        <v>PDF</v>
      </c>
      <c r="K15146" s="12" t="s">
        <v>29024</v>
      </c>
    </row>
    <row r="15147" spans="1:12" x14ac:dyDescent="0.45">
      <c r="A15147" s="12" t="s">
        <v>28874</v>
      </c>
      <c r="B15147" s="12" t="s">
        <v>8189</v>
      </c>
      <c r="C15147" s="13" t="s">
        <v>8190</v>
      </c>
      <c r="D15147" s="13" t="s">
        <v>124</v>
      </c>
      <c r="E15147" s="12" t="s">
        <v>50</v>
      </c>
      <c r="F15147" s="13"/>
      <c r="G15147" s="13"/>
      <c r="H15147" s="13" t="s">
        <v>29025</v>
      </c>
      <c r="I15147" s="40" t="s">
        <v>18</v>
      </c>
      <c r="J15147" s="40" t="str">
        <f>HYPERLINK("https://stock.pstatic.net/stock-research/company/74/20250124_company_91704000.pdf","PDF")</f>
        <v>PDF</v>
      </c>
      <c r="K15147" s="12" t="s">
        <v>29026</v>
      </c>
    </row>
    <row r="15148" spans="1:12" x14ac:dyDescent="0.45">
      <c r="A15148" s="12" t="s">
        <v>28874</v>
      </c>
      <c r="B15148" s="12" t="s">
        <v>1198</v>
      </c>
      <c r="C15148" s="13" t="s">
        <v>1199</v>
      </c>
      <c r="D15148" s="13" t="s">
        <v>124</v>
      </c>
      <c r="E15148" s="12" t="s">
        <v>50</v>
      </c>
      <c r="F15148" s="13"/>
      <c r="G15148" s="13"/>
      <c r="H15148" s="13" t="s">
        <v>29027</v>
      </c>
      <c r="I15148" s="40" t="s">
        <v>18</v>
      </c>
      <c r="J15148" s="40" t="str">
        <f>HYPERLINK("https://stock.pstatic.net/stock-research/company/74/20250124_company_739478000.pdf","PDF")</f>
        <v>PDF</v>
      </c>
      <c r="K15148" s="12" t="s">
        <v>29028</v>
      </c>
    </row>
    <row r="15149" spans="1:12" x14ac:dyDescent="0.45">
      <c r="A15149" s="12" t="s">
        <v>28874</v>
      </c>
      <c r="B15149" s="12" t="s">
        <v>710</v>
      </c>
      <c r="C15149" s="13" t="s">
        <v>711</v>
      </c>
      <c r="D15149" s="13" t="s">
        <v>124</v>
      </c>
      <c r="E15149" s="12" t="s">
        <v>50</v>
      </c>
      <c r="F15149" s="13"/>
      <c r="G15149" s="13"/>
      <c r="H15149" s="13" t="s">
        <v>29029</v>
      </c>
      <c r="I15149" s="40" t="s">
        <v>18</v>
      </c>
      <c r="J15149" s="40" t="str">
        <f>HYPERLINK("https://stock.pstatic.net/stock-research/company/74/20250124_company_103000000.pdf","PDF")</f>
        <v>PDF</v>
      </c>
      <c r="K15149" s="12" t="s">
        <v>29030</v>
      </c>
    </row>
    <row r="15150" spans="1:12" x14ac:dyDescent="0.45">
      <c r="A15150" s="12" t="s">
        <v>28874</v>
      </c>
      <c r="B15150" s="12" t="s">
        <v>95</v>
      </c>
      <c r="C15150" s="13" t="s">
        <v>31</v>
      </c>
      <c r="D15150" s="13" t="s">
        <v>53</v>
      </c>
      <c r="E15150" s="12" t="s">
        <v>16</v>
      </c>
      <c r="F15150" s="14">
        <v>30000</v>
      </c>
      <c r="G15150" s="14">
        <v>17440</v>
      </c>
      <c r="H15150" s="13" t="s">
        <v>29031</v>
      </c>
      <c r="I15150" s="40" t="s">
        <v>18</v>
      </c>
      <c r="J15150" s="40" t="str">
        <f>HYPERLINK("https://stock.pstatic.net/stock-research/company/40/20250124_company_744290000.pdf","PDF")</f>
        <v>PDF</v>
      </c>
      <c r="K15150" s="12" t="s">
        <v>29032</v>
      </c>
      <c r="L15150" s="20">
        <v>0.72018348623853212</v>
      </c>
    </row>
    <row r="15151" spans="1:12" x14ac:dyDescent="0.45">
      <c r="A15151" s="12" t="s">
        <v>28874</v>
      </c>
      <c r="B15151" s="12" t="s">
        <v>4021</v>
      </c>
      <c r="C15151" s="13" t="s">
        <v>4022</v>
      </c>
      <c r="D15151" s="13" t="s">
        <v>53</v>
      </c>
      <c r="E15151" s="12" t="s">
        <v>16</v>
      </c>
      <c r="F15151" s="14">
        <v>280000</v>
      </c>
      <c r="G15151" s="14">
        <v>232000</v>
      </c>
      <c r="H15151" s="13" t="s">
        <v>29033</v>
      </c>
      <c r="I15151" s="40" t="s">
        <v>18</v>
      </c>
      <c r="J15151" s="40" t="str">
        <f>HYPERLINK("https://stock.pstatic.net/stock-research/company/40/20250124_company_946889000.pdf","PDF")</f>
        <v>PDF</v>
      </c>
      <c r="K15151" s="12" t="s">
        <v>29034</v>
      </c>
      <c r="L15151" s="20">
        <v>0.2068965517241379</v>
      </c>
    </row>
    <row r="15152" spans="1:12" x14ac:dyDescent="0.45">
      <c r="A15152" s="12" t="s">
        <v>28874</v>
      </c>
      <c r="B15152" s="12" t="s">
        <v>14860</v>
      </c>
      <c r="C15152" s="13" t="s">
        <v>14861</v>
      </c>
      <c r="D15152" s="13" t="s">
        <v>53</v>
      </c>
      <c r="E15152" s="12" t="s">
        <v>16</v>
      </c>
      <c r="F15152" s="14">
        <v>21000</v>
      </c>
      <c r="G15152" s="14">
        <v>14870</v>
      </c>
      <c r="H15152" s="13" t="s">
        <v>29035</v>
      </c>
      <c r="I15152" s="40" t="s">
        <v>18</v>
      </c>
      <c r="J15152" s="40" t="str">
        <f>HYPERLINK("https://stock.pstatic.net/stock-research/company/40/20250124_company_524358000.pdf","PDF")</f>
        <v>PDF</v>
      </c>
      <c r="K15152" s="12" t="s">
        <v>29036</v>
      </c>
      <c r="L15152" s="20">
        <v>0.41223940820443838</v>
      </c>
    </row>
    <row r="15153" spans="1:12" x14ac:dyDescent="0.45">
      <c r="A15153" s="12" t="s">
        <v>29037</v>
      </c>
      <c r="B15153" s="12" t="s">
        <v>72</v>
      </c>
      <c r="C15153" s="13" t="s">
        <v>73</v>
      </c>
      <c r="D15153" s="13" t="s">
        <v>57</v>
      </c>
      <c r="E15153" s="12" t="s">
        <v>35</v>
      </c>
      <c r="F15153" s="14">
        <v>200000</v>
      </c>
      <c r="G15153" s="14">
        <v>122600</v>
      </c>
      <c r="H15153" s="13" t="s">
        <v>29038</v>
      </c>
      <c r="I15153" s="40" t="s">
        <v>18</v>
      </c>
      <c r="J15153" s="40" t="str">
        <f>HYPERLINK("https://stock.pstatic.net/stock-research/company/16/20250123_company_749738000.pdf","PDF")</f>
        <v>PDF</v>
      </c>
      <c r="K15153" s="12" t="s">
        <v>29039</v>
      </c>
      <c r="L15153" s="20">
        <v>0.63132137030995106</v>
      </c>
    </row>
    <row r="15154" spans="1:12" x14ac:dyDescent="0.45">
      <c r="A15154" s="12" t="s">
        <v>29037</v>
      </c>
      <c r="B15154" s="12" t="s">
        <v>370</v>
      </c>
      <c r="C15154" s="13" t="s">
        <v>371</v>
      </c>
      <c r="D15154" s="13" t="s">
        <v>158</v>
      </c>
      <c r="E15154" s="12" t="s">
        <v>35</v>
      </c>
      <c r="F15154" s="14">
        <v>60000</v>
      </c>
      <c r="G15154" s="14">
        <v>48400</v>
      </c>
      <c r="H15154" s="13" t="s">
        <v>29040</v>
      </c>
      <c r="I15154" s="40" t="s">
        <v>18</v>
      </c>
      <c r="J15154" s="40" t="str">
        <f>HYPERLINK("https://stock.pstatic.net/stock-research/company/18/20250123_company_610312000.pdf","PDF")</f>
        <v>PDF</v>
      </c>
      <c r="K15154" s="12" t="s">
        <v>29041</v>
      </c>
      <c r="L15154" s="20">
        <v>0.23966942148760331</v>
      </c>
    </row>
    <row r="15155" spans="1:12" x14ac:dyDescent="0.45">
      <c r="A15155" s="12" t="s">
        <v>29037</v>
      </c>
      <c r="B15155" s="12" t="s">
        <v>1648</v>
      </c>
      <c r="C15155" s="13" t="s">
        <v>1649</v>
      </c>
      <c r="D15155" s="13" t="s">
        <v>158</v>
      </c>
      <c r="E15155" s="12" t="s">
        <v>35</v>
      </c>
      <c r="F15155" s="14">
        <v>110000</v>
      </c>
      <c r="G15155" s="14">
        <v>79900</v>
      </c>
      <c r="H15155" s="13" t="s">
        <v>29042</v>
      </c>
      <c r="I15155" s="40" t="s">
        <v>18</v>
      </c>
      <c r="J15155" s="40" t="str">
        <f>HYPERLINK("https://stock.pstatic.net/stock-research/company/18/20250123_company_506976000.pdf","PDF")</f>
        <v>PDF</v>
      </c>
      <c r="K15155" s="12" t="s">
        <v>29043</v>
      </c>
      <c r="L15155" s="20">
        <v>0.37672090112640799</v>
      </c>
    </row>
    <row r="15156" spans="1:12" x14ac:dyDescent="0.45">
      <c r="A15156" s="12" t="s">
        <v>29037</v>
      </c>
      <c r="B15156" s="12" t="s">
        <v>3164</v>
      </c>
      <c r="C15156" s="13" t="s">
        <v>3165</v>
      </c>
      <c r="D15156" s="13" t="s">
        <v>158</v>
      </c>
      <c r="E15156" s="12" t="s">
        <v>35</v>
      </c>
      <c r="F15156" s="14">
        <v>39000</v>
      </c>
      <c r="G15156" s="14">
        <v>28450</v>
      </c>
      <c r="H15156" s="13" t="s">
        <v>29044</v>
      </c>
      <c r="I15156" s="40" t="s">
        <v>18</v>
      </c>
      <c r="J15156" s="40" t="str">
        <f>HYPERLINK("https://stock.pstatic.net/stock-research/company/18/20250123_company_30318000.pdf","PDF")</f>
        <v>PDF</v>
      </c>
      <c r="K15156" s="12" t="s">
        <v>29045</v>
      </c>
      <c r="L15156" s="20">
        <v>0.37082601054481551</v>
      </c>
    </row>
    <row r="15157" spans="1:12" x14ac:dyDescent="0.45">
      <c r="A15157" s="12" t="s">
        <v>29037</v>
      </c>
      <c r="B15157" s="12" t="s">
        <v>1081</v>
      </c>
      <c r="C15157" s="13" t="s">
        <v>1082</v>
      </c>
      <c r="D15157" s="13" t="s">
        <v>158</v>
      </c>
      <c r="E15157" s="12" t="s">
        <v>35</v>
      </c>
      <c r="F15157" s="14">
        <v>1300000</v>
      </c>
      <c r="G15157" s="14">
        <v>1014000</v>
      </c>
      <c r="H15157" s="13" t="s">
        <v>29046</v>
      </c>
      <c r="I15157" s="40" t="s">
        <v>18</v>
      </c>
      <c r="J15157" s="40" t="str">
        <f>HYPERLINK("https://stock.pstatic.net/stock-research/company/18/20250123_company_929007000.pdf","PDF")</f>
        <v>PDF</v>
      </c>
      <c r="K15157" s="12" t="s">
        <v>29047</v>
      </c>
      <c r="L15157" s="20">
        <v>0.28205128205128199</v>
      </c>
    </row>
    <row r="15158" spans="1:12" x14ac:dyDescent="0.45">
      <c r="A15158" s="12" t="s">
        <v>29037</v>
      </c>
      <c r="B15158" s="12" t="s">
        <v>8911</v>
      </c>
      <c r="C15158" s="13" t="s">
        <v>8912</v>
      </c>
      <c r="D15158" s="13" t="s">
        <v>57</v>
      </c>
      <c r="E15158" s="12" t="s">
        <v>35</v>
      </c>
      <c r="F15158" s="14">
        <v>50000</v>
      </c>
      <c r="G15158" s="14">
        <v>39750</v>
      </c>
      <c r="H15158" s="13" t="s">
        <v>29048</v>
      </c>
      <c r="I15158" s="40" t="s">
        <v>18</v>
      </c>
      <c r="J15158" s="40" t="str">
        <f>HYPERLINK("https://stock.pstatic.net/stock-research/company/16/20250123_company_523991000.pdf","PDF")</f>
        <v>PDF</v>
      </c>
      <c r="K15158" s="12" t="s">
        <v>29049</v>
      </c>
      <c r="L15158" s="20">
        <v>0.25786163522012578</v>
      </c>
    </row>
    <row r="15159" spans="1:12" x14ac:dyDescent="0.45">
      <c r="A15159" s="12" t="s">
        <v>29037</v>
      </c>
      <c r="B15159" s="12" t="s">
        <v>6914</v>
      </c>
      <c r="C15159" s="13" t="s">
        <v>6915</v>
      </c>
      <c r="D15159" s="13" t="s">
        <v>57</v>
      </c>
      <c r="E15159" s="12" t="s">
        <v>35</v>
      </c>
      <c r="F15159" s="14">
        <v>60000</v>
      </c>
      <c r="G15159" s="14">
        <v>45450</v>
      </c>
      <c r="H15159" s="13" t="s">
        <v>29050</v>
      </c>
      <c r="I15159" s="40" t="s">
        <v>18</v>
      </c>
      <c r="J15159" s="40" t="str">
        <f>HYPERLINK("https://stock.pstatic.net/stock-research/company/16/20250123_company_631422000.pdf","PDF")</f>
        <v>PDF</v>
      </c>
      <c r="K15159" s="12" t="s">
        <v>29051</v>
      </c>
      <c r="L15159" s="20">
        <v>0.32013201320132012</v>
      </c>
    </row>
    <row r="15160" spans="1:12" x14ac:dyDescent="0.45">
      <c r="A15160" s="12" t="s">
        <v>29037</v>
      </c>
      <c r="B15160" s="12" t="s">
        <v>768</v>
      </c>
      <c r="C15160" s="13" t="s">
        <v>769</v>
      </c>
      <c r="D15160" s="13" t="s">
        <v>57</v>
      </c>
      <c r="E15160" s="12" t="s">
        <v>35</v>
      </c>
      <c r="F15160" s="14">
        <v>220000</v>
      </c>
      <c r="G15160" s="14">
        <v>166900</v>
      </c>
      <c r="H15160" s="13" t="s">
        <v>29052</v>
      </c>
      <c r="I15160" s="40" t="s">
        <v>18</v>
      </c>
      <c r="J15160" s="40" t="str">
        <f>HYPERLINK("https://stock.pstatic.net/stock-research/company/16/20250123_company_294044000.pdf","PDF")</f>
        <v>PDF</v>
      </c>
      <c r="K15160" s="12" t="s">
        <v>29053</v>
      </c>
      <c r="L15160" s="20">
        <v>0.31815458358298382</v>
      </c>
    </row>
    <row r="15161" spans="1:12" x14ac:dyDescent="0.45">
      <c r="A15161" s="12" t="s">
        <v>29037</v>
      </c>
      <c r="B15161" s="12" t="s">
        <v>756</v>
      </c>
      <c r="C15161" s="13" t="s">
        <v>757</v>
      </c>
      <c r="D15161" s="13" t="s">
        <v>57</v>
      </c>
      <c r="E15161" s="12" t="s">
        <v>35</v>
      </c>
      <c r="F15161" s="14">
        <v>100000</v>
      </c>
      <c r="G15161" s="14">
        <v>62000</v>
      </c>
      <c r="H15161" s="13" t="s">
        <v>29054</v>
      </c>
      <c r="I15161" s="40" t="s">
        <v>18</v>
      </c>
      <c r="J15161" s="40" t="str">
        <f>HYPERLINK("https://stock.pstatic.net/stock-research/company/16/20250123_company_256178000.pdf","PDF")</f>
        <v>PDF</v>
      </c>
      <c r="K15161" s="12" t="s">
        <v>29055</v>
      </c>
      <c r="L15161" s="20">
        <v>0.61290322580645162</v>
      </c>
    </row>
    <row r="15162" spans="1:12" x14ac:dyDescent="0.45">
      <c r="A15162" s="12" t="s">
        <v>29037</v>
      </c>
      <c r="B15162" s="12" t="s">
        <v>3164</v>
      </c>
      <c r="C15162" s="13" t="s">
        <v>3165</v>
      </c>
      <c r="D15162" s="13" t="s">
        <v>57</v>
      </c>
      <c r="E15162" s="12" t="s">
        <v>35</v>
      </c>
      <c r="F15162" s="14">
        <v>43000</v>
      </c>
      <c r="G15162" s="14">
        <v>28450</v>
      </c>
      <c r="H15162" s="13" t="s">
        <v>29056</v>
      </c>
      <c r="I15162" s="40" t="s">
        <v>18</v>
      </c>
      <c r="J15162" s="40" t="str">
        <f>HYPERLINK("https://stock.pstatic.net/stock-research/company/16/20250123_company_638122000.pdf","PDF")</f>
        <v>PDF</v>
      </c>
      <c r="K15162" s="12" t="s">
        <v>29057</v>
      </c>
      <c r="L15162" s="20">
        <v>0.51142355008787344</v>
      </c>
    </row>
    <row r="15163" spans="1:12" x14ac:dyDescent="0.45">
      <c r="A15163" s="12" t="s">
        <v>29037</v>
      </c>
      <c r="B15163" s="12" t="s">
        <v>740</v>
      </c>
      <c r="C15163" s="13" t="s">
        <v>741</v>
      </c>
      <c r="D15163" s="13" t="s">
        <v>276</v>
      </c>
      <c r="E15163" s="12" t="s">
        <v>16</v>
      </c>
      <c r="F15163" s="14">
        <v>210000</v>
      </c>
      <c r="G15163" s="14">
        <v>161200</v>
      </c>
      <c r="H15163" s="13" t="s">
        <v>29058</v>
      </c>
      <c r="I15163" s="40" t="s">
        <v>18</v>
      </c>
      <c r="J15163" s="40" t="str">
        <f>HYPERLINK("https://stock.pstatic.net/stock-research/company/66/20250123_company_602474000.pdf","PDF")</f>
        <v>PDF</v>
      </c>
      <c r="K15163" s="12" t="s">
        <v>29059</v>
      </c>
      <c r="L15163" s="20">
        <v>0.30272952853598017</v>
      </c>
    </row>
    <row r="15164" spans="1:12" x14ac:dyDescent="0.45">
      <c r="A15164" s="12" t="s">
        <v>29037</v>
      </c>
      <c r="B15164" s="12" t="s">
        <v>1356</v>
      </c>
      <c r="C15164" s="13" t="s">
        <v>1357</v>
      </c>
      <c r="D15164" s="13" t="s">
        <v>60</v>
      </c>
      <c r="E15164" s="12" t="s">
        <v>35</v>
      </c>
      <c r="F15164" s="14">
        <v>29000</v>
      </c>
      <c r="G15164" s="14">
        <v>19090</v>
      </c>
      <c r="H15164" s="13" t="s">
        <v>29060</v>
      </c>
      <c r="I15164" s="40" t="s">
        <v>18</v>
      </c>
      <c r="J15164" s="40" t="str">
        <f>HYPERLINK("https://stock.pstatic.net/stock-research/company/34/20250123_company_49630000.pdf","PDF")</f>
        <v>PDF</v>
      </c>
      <c r="K15164" s="12" t="s">
        <v>29061</v>
      </c>
      <c r="L15164" s="20">
        <v>0.51911995809324252</v>
      </c>
    </row>
    <row r="15165" spans="1:12" x14ac:dyDescent="0.45">
      <c r="A15165" s="12" t="s">
        <v>29037</v>
      </c>
      <c r="B15165" s="12" t="s">
        <v>150</v>
      </c>
      <c r="C15165" s="13" t="s">
        <v>151</v>
      </c>
      <c r="D15165" s="13" t="s">
        <v>60</v>
      </c>
      <c r="E15165" s="12" t="s">
        <v>35</v>
      </c>
      <c r="F15165" s="14">
        <v>34000</v>
      </c>
      <c r="G15165" s="14">
        <v>18500</v>
      </c>
      <c r="H15165" s="13" t="s">
        <v>29062</v>
      </c>
      <c r="I15165" s="40" t="s">
        <v>18</v>
      </c>
      <c r="J15165" s="40" t="str">
        <f>HYPERLINK("https://stock.pstatic.net/stock-research/company/34/20250123_company_284624000.pdf","PDF")</f>
        <v>PDF</v>
      </c>
      <c r="K15165" s="12" t="s">
        <v>29063</v>
      </c>
      <c r="L15165" s="20">
        <v>0.83783783783783783</v>
      </c>
    </row>
    <row r="15166" spans="1:12" x14ac:dyDescent="0.45">
      <c r="A15166" s="12" t="s">
        <v>29037</v>
      </c>
      <c r="B15166" s="12" t="s">
        <v>10848</v>
      </c>
      <c r="C15166" s="13" t="s">
        <v>10849</v>
      </c>
      <c r="D15166" s="13" t="s">
        <v>65</v>
      </c>
      <c r="E15166" s="12" t="s">
        <v>35</v>
      </c>
      <c r="F15166" s="14">
        <v>45000</v>
      </c>
      <c r="G15166" s="14">
        <v>37150</v>
      </c>
      <c r="H15166" s="13" t="s">
        <v>29064</v>
      </c>
      <c r="I15166" s="40" t="s">
        <v>18</v>
      </c>
      <c r="J15166" s="40" t="str">
        <f>HYPERLINK("https://stock.pstatic.net/stock-research/company/57/20250123_company_732627000.pdf","PDF")</f>
        <v>PDF</v>
      </c>
      <c r="K15166" s="12" t="s">
        <v>29065</v>
      </c>
      <c r="L15166" s="20">
        <v>0.21130551816958279</v>
      </c>
    </row>
    <row r="15167" spans="1:12" x14ac:dyDescent="0.45">
      <c r="A15167" s="12" t="s">
        <v>29037</v>
      </c>
      <c r="B15167" s="12" t="s">
        <v>740</v>
      </c>
      <c r="C15167" s="13" t="s">
        <v>741</v>
      </c>
      <c r="D15167" s="13" t="s">
        <v>65</v>
      </c>
      <c r="E15167" s="12" t="s">
        <v>35</v>
      </c>
      <c r="F15167" s="14">
        <v>225000</v>
      </c>
      <c r="G15167" s="14">
        <v>161200</v>
      </c>
      <c r="H15167" s="13" t="s">
        <v>29066</v>
      </c>
      <c r="I15167" s="40" t="s">
        <v>18</v>
      </c>
      <c r="J15167" s="40" t="str">
        <f>HYPERLINK("https://stock.pstatic.net/stock-research/company/57/20250123_company_366536000.pdf","PDF")</f>
        <v>PDF</v>
      </c>
      <c r="K15167" s="12" t="s">
        <v>29067</v>
      </c>
      <c r="L15167" s="20">
        <v>0.3957816377171216</v>
      </c>
    </row>
    <row r="15168" spans="1:12" x14ac:dyDescent="0.45">
      <c r="A15168" s="12" t="s">
        <v>29037</v>
      </c>
      <c r="B15168" s="12" t="s">
        <v>3478</v>
      </c>
      <c r="C15168" s="13" t="s">
        <v>3479</v>
      </c>
      <c r="D15168" s="13" t="s">
        <v>65</v>
      </c>
      <c r="E15168" s="12" t="s">
        <v>35</v>
      </c>
      <c r="F15168" s="14">
        <v>43000</v>
      </c>
      <c r="G15168" s="14">
        <v>22850</v>
      </c>
      <c r="H15168" s="13" t="s">
        <v>29068</v>
      </c>
      <c r="I15168" s="40" t="s">
        <v>18</v>
      </c>
      <c r="J15168" s="40" t="str">
        <f>HYPERLINK("https://stock.pstatic.net/stock-research/company/57/20250123_company_801133000.pdf","PDF")</f>
        <v>PDF</v>
      </c>
      <c r="K15168" s="12" t="s">
        <v>29069</v>
      </c>
      <c r="L15168" s="20">
        <v>0.88183807439824946</v>
      </c>
    </row>
    <row r="15169" spans="1:12" x14ac:dyDescent="0.45">
      <c r="A15169" s="12" t="s">
        <v>29037</v>
      </c>
      <c r="B15169" s="12" t="s">
        <v>102</v>
      </c>
      <c r="C15169" s="13" t="s">
        <v>103</v>
      </c>
      <c r="D15169" s="13" t="s">
        <v>65</v>
      </c>
      <c r="E15169" s="12" t="s">
        <v>35</v>
      </c>
      <c r="F15169" s="14">
        <v>27000</v>
      </c>
      <c r="G15169" s="14">
        <v>15700</v>
      </c>
      <c r="H15169" s="13" t="s">
        <v>29070</v>
      </c>
      <c r="I15169" s="40" t="s">
        <v>18</v>
      </c>
      <c r="J15169" s="40" t="str">
        <f>HYPERLINK("https://stock.pstatic.net/stock-research/company/57/20250123_company_901782000.pdf","PDF")</f>
        <v>PDF</v>
      </c>
      <c r="K15169" s="12" t="s">
        <v>29071</v>
      </c>
      <c r="L15169" s="20">
        <v>0.71974522292993626</v>
      </c>
    </row>
    <row r="15170" spans="1:12" x14ac:dyDescent="0.45">
      <c r="A15170" s="12" t="s">
        <v>29037</v>
      </c>
      <c r="B15170" s="12" t="s">
        <v>3164</v>
      </c>
      <c r="C15170" s="13" t="s">
        <v>3165</v>
      </c>
      <c r="D15170" s="13" t="s">
        <v>65</v>
      </c>
      <c r="E15170" s="12" t="s">
        <v>35</v>
      </c>
      <c r="F15170" s="14">
        <v>40000</v>
      </c>
      <c r="G15170" s="14">
        <v>28450</v>
      </c>
      <c r="H15170" s="13" t="s">
        <v>29072</v>
      </c>
      <c r="I15170" s="40" t="s">
        <v>18</v>
      </c>
      <c r="J15170" s="40" t="str">
        <f>HYPERLINK("https://stock.pstatic.net/stock-research/company/57/20250123_company_271220000.pdf","PDF")</f>
        <v>PDF</v>
      </c>
      <c r="K15170" s="12" t="s">
        <v>29073</v>
      </c>
      <c r="L15170" s="20">
        <v>0.40597539543057998</v>
      </c>
    </row>
    <row r="15171" spans="1:12" x14ac:dyDescent="0.45">
      <c r="A15171" s="12" t="s">
        <v>29037</v>
      </c>
      <c r="B15171" s="12" t="s">
        <v>1415</v>
      </c>
      <c r="C15171" s="13" t="s">
        <v>1416</v>
      </c>
      <c r="D15171" s="13" t="s">
        <v>65</v>
      </c>
      <c r="E15171" s="12" t="s">
        <v>35</v>
      </c>
      <c r="F15171" s="14">
        <v>7000</v>
      </c>
      <c r="G15171" s="14">
        <v>4285</v>
      </c>
      <c r="H15171" s="13" t="s">
        <v>29074</v>
      </c>
      <c r="I15171" s="40" t="s">
        <v>18</v>
      </c>
      <c r="J15171" s="40" t="str">
        <f>HYPERLINK("https://stock.pstatic.net/stock-research/company/57/20250123_company_733043000.pdf","PDF")</f>
        <v>PDF</v>
      </c>
      <c r="K15171" s="12" t="s">
        <v>29075</v>
      </c>
      <c r="L15171" s="20">
        <v>0.63360560093348894</v>
      </c>
    </row>
    <row r="15172" spans="1:12" x14ac:dyDescent="0.45">
      <c r="A15172" s="12" t="s">
        <v>29037</v>
      </c>
      <c r="B15172" s="12" t="s">
        <v>740</v>
      </c>
      <c r="C15172" s="13" t="s">
        <v>741</v>
      </c>
      <c r="D15172" s="13" t="s">
        <v>15</v>
      </c>
      <c r="E15172" s="12" t="s">
        <v>16</v>
      </c>
      <c r="F15172" s="14">
        <v>230000</v>
      </c>
      <c r="G15172" s="14">
        <v>161200</v>
      </c>
      <c r="H15172" s="13" t="s">
        <v>29076</v>
      </c>
      <c r="I15172" s="40" t="s">
        <v>18</v>
      </c>
      <c r="J15172" s="40" t="str">
        <f>HYPERLINK("https://stock.pstatic.net/stock-research/company/29/20250123_company_260164000.pdf","PDF")</f>
        <v>PDF</v>
      </c>
      <c r="K15172" s="12" t="s">
        <v>29077</v>
      </c>
      <c r="L15172" s="20">
        <v>0.42679900744416871</v>
      </c>
    </row>
    <row r="15173" spans="1:12" x14ac:dyDescent="0.45">
      <c r="A15173" s="12" t="s">
        <v>29037</v>
      </c>
      <c r="B15173" s="12" t="s">
        <v>1308</v>
      </c>
      <c r="C15173" s="13" t="s">
        <v>1309</v>
      </c>
      <c r="D15173" s="13" t="s">
        <v>83</v>
      </c>
      <c r="E15173" s="12" t="s">
        <v>35</v>
      </c>
      <c r="F15173" s="14">
        <v>480000</v>
      </c>
      <c r="G15173" s="14">
        <v>341000</v>
      </c>
      <c r="H15173" s="13" t="s">
        <v>29078</v>
      </c>
      <c r="I15173" s="40" t="s">
        <v>18</v>
      </c>
      <c r="J15173" s="40" t="str">
        <f>HYPERLINK("https://stock.pstatic.net/stock-research/company/2/20250123_company_155973000.pdf","PDF")</f>
        <v>PDF</v>
      </c>
      <c r="K15173" s="12" t="s">
        <v>29079</v>
      </c>
      <c r="L15173" s="20">
        <v>0.40762463343108513</v>
      </c>
    </row>
    <row r="15174" spans="1:12" x14ac:dyDescent="0.45">
      <c r="A15174" s="12" t="s">
        <v>29037</v>
      </c>
      <c r="B15174" s="12" t="s">
        <v>1081</v>
      </c>
      <c r="C15174" s="13" t="s">
        <v>1082</v>
      </c>
      <c r="D15174" s="13" t="s">
        <v>83</v>
      </c>
      <c r="E15174" s="12" t="s">
        <v>35</v>
      </c>
      <c r="F15174" s="14">
        <v>1300000</v>
      </c>
      <c r="G15174" s="14">
        <v>1014000</v>
      </c>
      <c r="H15174" s="13" t="s">
        <v>29080</v>
      </c>
      <c r="I15174" s="40" t="s">
        <v>18</v>
      </c>
      <c r="J15174" s="40" t="str">
        <f>HYPERLINK("https://stock.pstatic.net/stock-research/company/2/20250123_company_137129000.pdf","PDF")</f>
        <v>PDF</v>
      </c>
      <c r="K15174" s="12" t="s">
        <v>29081</v>
      </c>
      <c r="L15174" s="20">
        <v>0.28205128205128199</v>
      </c>
    </row>
    <row r="15175" spans="1:12" x14ac:dyDescent="0.45">
      <c r="A15175" s="12" t="s">
        <v>29037</v>
      </c>
      <c r="B15175" s="12" t="s">
        <v>3478</v>
      </c>
      <c r="C15175" s="13" t="s">
        <v>3479</v>
      </c>
      <c r="D15175" s="13" t="s">
        <v>83</v>
      </c>
      <c r="E15175" s="12" t="s">
        <v>35</v>
      </c>
      <c r="F15175" s="14">
        <v>36000</v>
      </c>
      <c r="G15175" s="14">
        <v>22850</v>
      </c>
      <c r="H15175" s="13" t="s">
        <v>29082</v>
      </c>
      <c r="I15175" s="40" t="s">
        <v>18</v>
      </c>
      <c r="J15175" s="40" t="str">
        <f>HYPERLINK("https://stock.pstatic.net/stock-research/company/2/20250123_company_215273000.pdf","PDF")</f>
        <v>PDF</v>
      </c>
      <c r="K15175" s="12" t="s">
        <v>29083</v>
      </c>
      <c r="L15175" s="20">
        <v>0.57549234135667393</v>
      </c>
    </row>
    <row r="15176" spans="1:12" x14ac:dyDescent="0.45">
      <c r="A15176" s="12" t="s">
        <v>29037</v>
      </c>
      <c r="B15176" s="12" t="s">
        <v>3164</v>
      </c>
      <c r="C15176" s="13" t="s">
        <v>3165</v>
      </c>
      <c r="D15176" s="13" t="s">
        <v>83</v>
      </c>
      <c r="E15176" s="12" t="s">
        <v>35</v>
      </c>
      <c r="F15176" s="14">
        <v>43000</v>
      </c>
      <c r="G15176" s="14">
        <v>26100</v>
      </c>
      <c r="H15176" s="13" t="s">
        <v>29084</v>
      </c>
      <c r="I15176" s="40" t="s">
        <v>18</v>
      </c>
      <c r="J15176" s="40" t="str">
        <f>HYPERLINK("https://stock.pstatic.net/stock-research/company/2/20250123_company_109524000.pdf","PDF")</f>
        <v>PDF</v>
      </c>
      <c r="K15176" s="12" t="s">
        <v>29085</v>
      </c>
      <c r="L15176" s="20">
        <v>0.64750957854406133</v>
      </c>
    </row>
    <row r="15177" spans="1:12" x14ac:dyDescent="0.45">
      <c r="A15177" s="12" t="s">
        <v>29037</v>
      </c>
      <c r="B15177" s="12" t="s">
        <v>740</v>
      </c>
      <c r="C15177" s="13" t="s">
        <v>741</v>
      </c>
      <c r="D15177" s="13" t="s">
        <v>83</v>
      </c>
      <c r="E15177" s="12" t="s">
        <v>35</v>
      </c>
      <c r="F15177" s="14">
        <v>250000</v>
      </c>
      <c r="G15177" s="14">
        <v>161200</v>
      </c>
      <c r="H15177" s="13" t="s">
        <v>29086</v>
      </c>
      <c r="I15177" s="40" t="s">
        <v>18</v>
      </c>
      <c r="J15177" s="40" t="str">
        <f>HYPERLINK("https://stock.pstatic.net/stock-research/company/2/20250123_company_445765000.pdf","PDF")</f>
        <v>PDF</v>
      </c>
      <c r="K15177" s="12" t="s">
        <v>29087</v>
      </c>
      <c r="L15177" s="20">
        <v>0.5508684863523573</v>
      </c>
    </row>
    <row r="15178" spans="1:12" x14ac:dyDescent="0.45">
      <c r="A15178" s="12" t="s">
        <v>29037</v>
      </c>
      <c r="B15178" s="12" t="s">
        <v>649</v>
      </c>
      <c r="C15178" s="13" t="s">
        <v>650</v>
      </c>
      <c r="D15178" s="13" t="s">
        <v>23</v>
      </c>
      <c r="E15178" s="12" t="s">
        <v>16</v>
      </c>
      <c r="F15178" s="14">
        <v>5400</v>
      </c>
      <c r="G15178" s="14">
        <v>3700</v>
      </c>
      <c r="H15178" s="13" t="s">
        <v>29088</v>
      </c>
      <c r="I15178" s="40" t="s">
        <v>18</v>
      </c>
      <c r="J15178" s="40" t="str">
        <f>HYPERLINK("https://stock.pstatic.net/stock-research/company/21/20250123_company_34773000.pdf","PDF")</f>
        <v>PDF</v>
      </c>
      <c r="K15178" s="12" t="s">
        <v>29089</v>
      </c>
      <c r="L15178" s="20">
        <v>0.45945945945945948</v>
      </c>
    </row>
    <row r="15179" spans="1:12" x14ac:dyDescent="0.45">
      <c r="A15179" s="12" t="s">
        <v>29037</v>
      </c>
      <c r="B15179" s="12" t="s">
        <v>388</v>
      </c>
      <c r="C15179" s="13" t="s">
        <v>389</v>
      </c>
      <c r="D15179" s="13" t="s">
        <v>92</v>
      </c>
      <c r="E15179" s="12" t="s">
        <v>35</v>
      </c>
      <c r="F15179" s="14">
        <v>55000</v>
      </c>
      <c r="G15179" s="14">
        <v>45850</v>
      </c>
      <c r="H15179" s="13" t="s">
        <v>29090</v>
      </c>
      <c r="I15179" s="40" t="s">
        <v>18</v>
      </c>
      <c r="J15179" s="40" t="str">
        <f>HYPERLINK("https://stock.pstatic.net/stock-research/company/63/20250123_company_938151000.pdf","PDF")</f>
        <v>PDF</v>
      </c>
      <c r="K15179" s="12" t="s">
        <v>29091</v>
      </c>
      <c r="L15179" s="20">
        <v>0.1995637949836423</v>
      </c>
    </row>
    <row r="15180" spans="1:12" x14ac:dyDescent="0.45">
      <c r="A15180" s="12" t="s">
        <v>29037</v>
      </c>
      <c r="B15180" s="12" t="s">
        <v>72</v>
      </c>
      <c r="C15180" s="13" t="s">
        <v>73</v>
      </c>
      <c r="D15180" s="13" t="s">
        <v>92</v>
      </c>
      <c r="E15180" s="12" t="s">
        <v>35</v>
      </c>
      <c r="F15180" s="14">
        <v>190000</v>
      </c>
      <c r="G15180" s="14">
        <v>122600</v>
      </c>
      <c r="H15180" s="13" t="s">
        <v>29092</v>
      </c>
      <c r="I15180" s="40" t="s">
        <v>18</v>
      </c>
      <c r="J15180" s="40" t="str">
        <f>HYPERLINK("https://stock.pstatic.net/stock-research/company/63/20250123_company_606830000.pdf","PDF")</f>
        <v>PDF</v>
      </c>
      <c r="K15180" s="12" t="s">
        <v>29093</v>
      </c>
      <c r="L15180" s="20">
        <v>0.54975530179445353</v>
      </c>
    </row>
    <row r="15181" spans="1:12" x14ac:dyDescent="0.45">
      <c r="A15181" s="12" t="s">
        <v>29037</v>
      </c>
      <c r="B15181" s="12" t="s">
        <v>76</v>
      </c>
      <c r="C15181" s="13" t="s">
        <v>77</v>
      </c>
      <c r="D15181" s="13" t="s">
        <v>15</v>
      </c>
      <c r="E15181" s="12" t="s">
        <v>35</v>
      </c>
      <c r="F15181" s="14">
        <v>220000</v>
      </c>
      <c r="G15181" s="14">
        <v>19170</v>
      </c>
      <c r="H15181" s="13" t="s">
        <v>29094</v>
      </c>
      <c r="I15181" s="40" t="s">
        <v>18</v>
      </c>
      <c r="J15181" s="40" t="str">
        <f>HYPERLINK("https://stock.pstatic.net/stock-research/company/29/20250123_company_381127000.pdf","PDF")</f>
        <v>PDF</v>
      </c>
      <c r="K15181" s="12" t="s">
        <v>29095</v>
      </c>
      <c r="L15181" s="20">
        <v>10.476264997391761</v>
      </c>
    </row>
    <row r="15182" spans="1:12" x14ac:dyDescent="0.45">
      <c r="A15182" s="12" t="s">
        <v>29037</v>
      </c>
      <c r="B15182" s="12" t="s">
        <v>1081</v>
      </c>
      <c r="C15182" s="13" t="s">
        <v>1082</v>
      </c>
      <c r="D15182" s="13" t="s">
        <v>15</v>
      </c>
      <c r="E15182" s="12" t="s">
        <v>16</v>
      </c>
      <c r="F15182" s="14">
        <v>1350000</v>
      </c>
      <c r="G15182" s="14">
        <v>1014000</v>
      </c>
      <c r="H15182" s="13" t="s">
        <v>29096</v>
      </c>
      <c r="I15182" s="40" t="s">
        <v>18</v>
      </c>
      <c r="J15182" s="40" t="str">
        <f>HYPERLINK("https://stock.pstatic.net/stock-research/company/29/20250123_company_682890000.pdf","PDF")</f>
        <v>PDF</v>
      </c>
      <c r="K15182" s="12" t="s">
        <v>29097</v>
      </c>
      <c r="L15182" s="20">
        <v>0.33136094674556221</v>
      </c>
    </row>
    <row r="15183" spans="1:12" x14ac:dyDescent="0.45">
      <c r="A15183" s="12" t="s">
        <v>29037</v>
      </c>
      <c r="B15183" s="12" t="s">
        <v>3813</v>
      </c>
      <c r="C15183" s="13" t="s">
        <v>3814</v>
      </c>
      <c r="D15183" s="13" t="s">
        <v>23</v>
      </c>
      <c r="E15183" s="12" t="s">
        <v>16</v>
      </c>
      <c r="F15183" s="14">
        <v>13000</v>
      </c>
      <c r="G15183" s="14">
        <v>9160</v>
      </c>
      <c r="H15183" s="13" t="s">
        <v>9039</v>
      </c>
      <c r="I15183" s="40" t="s">
        <v>18</v>
      </c>
      <c r="J15183" s="40" t="str">
        <f>HYPERLINK("https://stock.pstatic.net/stock-research/company/21/20250123_company_640559000.pdf","PDF")</f>
        <v>PDF</v>
      </c>
      <c r="K15183" s="12" t="s">
        <v>29098</v>
      </c>
      <c r="L15183" s="20">
        <v>0.41921397379912662</v>
      </c>
    </row>
    <row r="15184" spans="1:12" x14ac:dyDescent="0.45">
      <c r="A15184" s="12" t="s">
        <v>29037</v>
      </c>
      <c r="B15184" s="12" t="s">
        <v>2950</v>
      </c>
      <c r="C15184" s="13" t="s">
        <v>2951</v>
      </c>
      <c r="D15184" s="13" t="s">
        <v>23</v>
      </c>
      <c r="E15184" s="12" t="s">
        <v>16</v>
      </c>
      <c r="F15184" s="14">
        <v>36000</v>
      </c>
      <c r="G15184" s="14">
        <v>23950</v>
      </c>
      <c r="H15184" s="13" t="s">
        <v>29099</v>
      </c>
      <c r="I15184" s="40" t="s">
        <v>18</v>
      </c>
      <c r="J15184" s="40" t="str">
        <f>HYPERLINK("https://stock.pstatic.net/stock-research/company/21/20250123_company_80889000.pdf","PDF")</f>
        <v>PDF</v>
      </c>
      <c r="K15184" s="12" t="s">
        <v>29100</v>
      </c>
      <c r="L15184" s="20">
        <v>0.50313152400835071</v>
      </c>
    </row>
    <row r="15185" spans="1:12" x14ac:dyDescent="0.45">
      <c r="A15185" s="12" t="s">
        <v>29037</v>
      </c>
      <c r="B15185" s="12" t="s">
        <v>740</v>
      </c>
      <c r="C15185" s="13" t="s">
        <v>741</v>
      </c>
      <c r="D15185" s="13" t="s">
        <v>44</v>
      </c>
      <c r="E15185" s="12" t="s">
        <v>45</v>
      </c>
      <c r="F15185" s="14">
        <v>190000</v>
      </c>
      <c r="G15185" s="14">
        <v>161200</v>
      </c>
      <c r="H15185" s="13" t="s">
        <v>29101</v>
      </c>
      <c r="I15185" s="40" t="s">
        <v>18</v>
      </c>
      <c r="J15185" s="40" t="str">
        <f>HYPERLINK("https://stock.pstatic.net/stock-research/company/39/20250123_company_213978000.pdf","PDF")</f>
        <v>PDF</v>
      </c>
      <c r="K15185" s="12" t="s">
        <v>29102</v>
      </c>
      <c r="L15185" s="20">
        <v>0.17866004962779161</v>
      </c>
    </row>
    <row r="15186" spans="1:12" x14ac:dyDescent="0.45">
      <c r="A15186" s="12" t="s">
        <v>29037</v>
      </c>
      <c r="B15186" s="12" t="s">
        <v>3813</v>
      </c>
      <c r="C15186" s="13" t="s">
        <v>3814</v>
      </c>
      <c r="D15186" s="13" t="s">
        <v>179</v>
      </c>
      <c r="E15186" s="12" t="s">
        <v>16</v>
      </c>
      <c r="F15186" s="14">
        <v>14000</v>
      </c>
      <c r="G15186" s="14">
        <v>9160</v>
      </c>
      <c r="H15186" s="13" t="s">
        <v>29103</v>
      </c>
      <c r="I15186" s="40" t="s">
        <v>18</v>
      </c>
      <c r="J15186" s="40" t="str">
        <f>HYPERLINK("https://stock.pstatic.net/stock-research/company/64/20250123_company_592957000.pdf","PDF")</f>
        <v>PDF</v>
      </c>
      <c r="K15186" s="12" t="s">
        <v>29104</v>
      </c>
      <c r="L15186" s="20">
        <v>0.52838427947598254</v>
      </c>
    </row>
    <row r="15187" spans="1:12" x14ac:dyDescent="0.45">
      <c r="A15187" s="12" t="s">
        <v>29037</v>
      </c>
      <c r="B15187" s="12" t="s">
        <v>3164</v>
      </c>
      <c r="C15187" s="13" t="s">
        <v>3165</v>
      </c>
      <c r="D15187" s="13" t="s">
        <v>15</v>
      </c>
      <c r="E15187" s="12" t="s">
        <v>16</v>
      </c>
      <c r="F15187" s="14">
        <v>36000</v>
      </c>
      <c r="G15187" s="14">
        <v>28450</v>
      </c>
      <c r="H15187" s="13" t="s">
        <v>29105</v>
      </c>
      <c r="I15187" s="40" t="s">
        <v>18</v>
      </c>
      <c r="J15187" s="40" t="str">
        <f>HYPERLINK("https://stock.pstatic.net/stock-research/company/29/20250123_company_485820000.pdf","PDF")</f>
        <v>PDF</v>
      </c>
      <c r="K15187" s="12" t="s">
        <v>29106</v>
      </c>
      <c r="L15187" s="20">
        <v>0.26537785588752189</v>
      </c>
    </row>
    <row r="15188" spans="1:12" x14ac:dyDescent="0.45">
      <c r="A15188" s="12" t="s">
        <v>29037</v>
      </c>
      <c r="B15188" s="12" t="s">
        <v>3164</v>
      </c>
      <c r="C15188" s="13" t="s">
        <v>3165</v>
      </c>
      <c r="D15188" s="13" t="s">
        <v>23</v>
      </c>
      <c r="E15188" s="12" t="s">
        <v>16</v>
      </c>
      <c r="F15188" s="14">
        <v>45000</v>
      </c>
      <c r="G15188" s="14">
        <v>28450</v>
      </c>
      <c r="H15188" s="13" t="s">
        <v>29107</v>
      </c>
      <c r="I15188" s="40" t="s">
        <v>18</v>
      </c>
      <c r="J15188" s="40" t="str">
        <f>HYPERLINK("https://stock.pstatic.net/stock-research/company/21/20250123_company_925265000.pdf","PDF")</f>
        <v>PDF</v>
      </c>
      <c r="K15188" s="12" t="s">
        <v>29108</v>
      </c>
      <c r="L15188" s="20">
        <v>0.58172231985940248</v>
      </c>
    </row>
    <row r="15189" spans="1:12" x14ac:dyDescent="0.45">
      <c r="A15189" s="12" t="s">
        <v>29037</v>
      </c>
      <c r="B15189" s="12" t="s">
        <v>2225</v>
      </c>
      <c r="C15189" s="13" t="s">
        <v>5282</v>
      </c>
      <c r="D15189" s="13" t="s">
        <v>44</v>
      </c>
      <c r="E15189" s="12" t="s">
        <v>35</v>
      </c>
      <c r="F15189" s="14">
        <v>320000</v>
      </c>
      <c r="G15189" s="14">
        <v>219500</v>
      </c>
      <c r="H15189" s="13" t="s">
        <v>29109</v>
      </c>
      <c r="I15189" s="40" t="s">
        <v>18</v>
      </c>
      <c r="J15189" s="40" t="str">
        <f>HYPERLINK("https://stock.pstatic.net/stock-research/company/39/20250123_company_257362000.pdf","PDF")</f>
        <v>PDF</v>
      </c>
      <c r="K15189" s="12" t="s">
        <v>29110</v>
      </c>
      <c r="L15189" s="20">
        <v>0.45785876993166291</v>
      </c>
    </row>
    <row r="15190" spans="1:12" x14ac:dyDescent="0.45">
      <c r="A15190" s="12" t="s">
        <v>29037</v>
      </c>
      <c r="B15190" s="12" t="s">
        <v>3164</v>
      </c>
      <c r="C15190" s="13" t="s">
        <v>3165</v>
      </c>
      <c r="D15190" s="13" t="s">
        <v>34</v>
      </c>
      <c r="E15190" s="12" t="s">
        <v>35</v>
      </c>
      <c r="F15190" s="14">
        <v>42000</v>
      </c>
      <c r="G15190" s="14">
        <v>28450</v>
      </c>
      <c r="H15190" s="13" t="s">
        <v>29111</v>
      </c>
      <c r="I15190" s="40" t="s">
        <v>18</v>
      </c>
      <c r="J15190" s="40" t="str">
        <f>HYPERLINK("https://stock.pstatic.net/stock-research/company/61/20250123_company_997664000.pdf","PDF")</f>
        <v>PDF</v>
      </c>
      <c r="K15190" s="12" t="s">
        <v>29112</v>
      </c>
      <c r="L15190" s="20">
        <v>0.47627416520210902</v>
      </c>
    </row>
    <row r="15191" spans="1:12" x14ac:dyDescent="0.45">
      <c r="A15191" s="12" t="s">
        <v>29037</v>
      </c>
      <c r="B15191" s="12" t="s">
        <v>1081</v>
      </c>
      <c r="C15191" s="13" t="s">
        <v>1082</v>
      </c>
      <c r="D15191" s="13" t="s">
        <v>179</v>
      </c>
      <c r="E15191" s="12" t="s">
        <v>16</v>
      </c>
      <c r="F15191" s="14">
        <v>1300000</v>
      </c>
      <c r="G15191" s="14">
        <v>1014000</v>
      </c>
      <c r="H15191" s="13" t="s">
        <v>29113</v>
      </c>
      <c r="I15191" s="40" t="s">
        <v>18</v>
      </c>
      <c r="J15191" s="40" t="str">
        <f>HYPERLINK("https://stock.pstatic.net/stock-research/company/64/20250123_company_557598000.pdf","PDF")</f>
        <v>PDF</v>
      </c>
      <c r="K15191" s="12" t="s">
        <v>29114</v>
      </c>
      <c r="L15191" s="20">
        <v>0.28205128205128199</v>
      </c>
    </row>
    <row r="15192" spans="1:12" x14ac:dyDescent="0.45">
      <c r="A15192" s="12" t="s">
        <v>29037</v>
      </c>
      <c r="B15192" s="12" t="s">
        <v>10531</v>
      </c>
      <c r="C15192" s="13" t="s">
        <v>10532</v>
      </c>
      <c r="D15192" s="13" t="s">
        <v>23</v>
      </c>
      <c r="E15192" s="12" t="s">
        <v>35</v>
      </c>
      <c r="F15192" s="14">
        <v>17000</v>
      </c>
      <c r="G15192" s="14">
        <v>16340</v>
      </c>
      <c r="H15192" s="13" t="s">
        <v>29115</v>
      </c>
      <c r="I15192" s="40" t="s">
        <v>18</v>
      </c>
      <c r="J15192" s="40" t="str">
        <f>HYPERLINK("https://stock.pstatic.net/stock-research/company/21/20250123_company_851928000.pdf","PDF")</f>
        <v>PDF</v>
      </c>
      <c r="K15192" s="12" t="s">
        <v>29116</v>
      </c>
      <c r="L15192" s="20">
        <v>4.0391676866585069E-2</v>
      </c>
    </row>
    <row r="15193" spans="1:12" x14ac:dyDescent="0.45">
      <c r="A15193" s="12" t="s">
        <v>29037</v>
      </c>
      <c r="B15193" s="12" t="s">
        <v>585</v>
      </c>
      <c r="C15193" s="13" t="s">
        <v>586</v>
      </c>
      <c r="D15193" s="13" t="s">
        <v>23</v>
      </c>
      <c r="E15193" s="12" t="s">
        <v>16</v>
      </c>
      <c r="F15193" s="14">
        <v>25000</v>
      </c>
      <c r="G15193" s="14">
        <v>20900</v>
      </c>
      <c r="H15193" s="13" t="s">
        <v>29117</v>
      </c>
      <c r="I15193" s="40" t="s">
        <v>18</v>
      </c>
      <c r="J15193" s="40" t="str">
        <f>HYPERLINK("https://stock.pstatic.net/stock-research/company/21/20250123_company_15552000.pdf","PDF")</f>
        <v>PDF</v>
      </c>
      <c r="K15193" s="12" t="s">
        <v>29118</v>
      </c>
      <c r="L15193" s="20">
        <v>0.19617224880382769</v>
      </c>
    </row>
    <row r="15194" spans="1:12" x14ac:dyDescent="0.45">
      <c r="A15194" s="12" t="s">
        <v>29037</v>
      </c>
      <c r="B15194" s="12" t="s">
        <v>3478</v>
      </c>
      <c r="C15194" s="13" t="s">
        <v>3479</v>
      </c>
      <c r="D15194" s="13" t="s">
        <v>23</v>
      </c>
      <c r="E15194" s="12" t="s">
        <v>16</v>
      </c>
      <c r="F15194" s="14">
        <v>27000</v>
      </c>
      <c r="G15194" s="14">
        <v>22800</v>
      </c>
      <c r="H15194" s="13" t="s">
        <v>29119</v>
      </c>
      <c r="I15194" s="40" t="s">
        <v>18</v>
      </c>
      <c r="J15194" s="40" t="str">
        <f>HYPERLINK("https://stock.pstatic.net/stock-research/company/21/20250123_company_766923000.pdf","PDF")</f>
        <v>PDF</v>
      </c>
      <c r="K15194" s="12" t="s">
        <v>29120</v>
      </c>
      <c r="L15194" s="20">
        <v>0.18421052631578949</v>
      </c>
    </row>
    <row r="15195" spans="1:12" x14ac:dyDescent="0.45">
      <c r="A15195" s="12" t="s">
        <v>29037</v>
      </c>
      <c r="B15195" s="12" t="s">
        <v>8847</v>
      </c>
      <c r="C15195" s="13" t="s">
        <v>8848</v>
      </c>
      <c r="D15195" s="13" t="s">
        <v>23</v>
      </c>
      <c r="E15195" s="12" t="s">
        <v>50</v>
      </c>
      <c r="F15195" s="13"/>
      <c r="G15195" s="14">
        <v>1651</v>
      </c>
      <c r="H15195" s="13" t="s">
        <v>29121</v>
      </c>
      <c r="I15195" s="40" t="s">
        <v>18</v>
      </c>
      <c r="J15195" s="40" t="str">
        <f>HYPERLINK("https://stock.pstatic.net/stock-research/company/21/20250123_company_452671000.pdf","PDF")</f>
        <v>PDF</v>
      </c>
      <c r="K15195" s="12" t="s">
        <v>29122</v>
      </c>
    </row>
    <row r="15196" spans="1:12" x14ac:dyDescent="0.45">
      <c r="A15196" s="12" t="s">
        <v>29037</v>
      </c>
      <c r="B15196" s="12" t="s">
        <v>1682</v>
      </c>
      <c r="C15196" s="13" t="s">
        <v>4787</v>
      </c>
      <c r="D15196" s="13" t="s">
        <v>23</v>
      </c>
      <c r="E15196" s="12" t="s">
        <v>385</v>
      </c>
      <c r="F15196" s="13"/>
      <c r="G15196" s="14">
        <v>177300</v>
      </c>
      <c r="H15196" s="13" t="s">
        <v>29123</v>
      </c>
      <c r="I15196" s="40" t="s">
        <v>18</v>
      </c>
      <c r="J15196" s="40" t="str">
        <f>HYPERLINK("https://stock.pstatic.net/stock-research/company/21/20250123_company_21089000.pdf","PDF")</f>
        <v>PDF</v>
      </c>
      <c r="K15196" s="12" t="s">
        <v>29124</v>
      </c>
    </row>
    <row r="15197" spans="1:12" x14ac:dyDescent="0.45">
      <c r="A15197" s="12" t="s">
        <v>29037</v>
      </c>
      <c r="B15197" s="12" t="s">
        <v>740</v>
      </c>
      <c r="C15197" s="13" t="s">
        <v>741</v>
      </c>
      <c r="D15197" s="13" t="s">
        <v>23</v>
      </c>
      <c r="E15197" s="12" t="s">
        <v>16</v>
      </c>
      <c r="F15197" s="14">
        <v>220000</v>
      </c>
      <c r="G15197" s="14">
        <v>161200</v>
      </c>
      <c r="H15197" s="13" t="s">
        <v>29125</v>
      </c>
      <c r="I15197" s="40" t="s">
        <v>18</v>
      </c>
      <c r="J15197" s="40" t="str">
        <f>HYPERLINK("https://stock.pstatic.net/stock-research/company/21/20250123_company_536707000.pdf","PDF")</f>
        <v>PDF</v>
      </c>
      <c r="K15197" s="12" t="s">
        <v>29126</v>
      </c>
      <c r="L15197" s="20">
        <v>0.36476426799007439</v>
      </c>
    </row>
    <row r="15198" spans="1:12" x14ac:dyDescent="0.45">
      <c r="A15198" s="12" t="s">
        <v>29037</v>
      </c>
      <c r="B15198" s="12" t="s">
        <v>352</v>
      </c>
      <c r="C15198" s="13" t="s">
        <v>353</v>
      </c>
      <c r="D15198" s="13" t="s">
        <v>44</v>
      </c>
      <c r="E15198" s="12" t="s">
        <v>35</v>
      </c>
      <c r="F15198" s="14">
        <v>79000</v>
      </c>
      <c r="G15198" s="14">
        <v>57700</v>
      </c>
      <c r="H15198" s="13" t="s">
        <v>29127</v>
      </c>
      <c r="I15198" s="40" t="s">
        <v>18</v>
      </c>
      <c r="J15198" s="40" t="str">
        <f>HYPERLINK("https://stock.pstatic.net/stock-research/company/39/20250123_company_896723000.pdf","PDF")</f>
        <v>PDF</v>
      </c>
      <c r="K15198" s="12" t="s">
        <v>29128</v>
      </c>
      <c r="L15198" s="20">
        <v>0.36915077989601391</v>
      </c>
    </row>
    <row r="15199" spans="1:12" x14ac:dyDescent="0.45">
      <c r="A15199" s="12" t="s">
        <v>29037</v>
      </c>
      <c r="B15199" s="12" t="s">
        <v>2762</v>
      </c>
      <c r="C15199" s="13" t="s">
        <v>2763</v>
      </c>
      <c r="D15199" s="13" t="s">
        <v>23</v>
      </c>
      <c r="E15199" s="12" t="s">
        <v>16</v>
      </c>
      <c r="F15199" s="14">
        <v>170000</v>
      </c>
      <c r="G15199" s="14">
        <v>82200</v>
      </c>
      <c r="H15199" s="13" t="s">
        <v>29129</v>
      </c>
      <c r="I15199" s="40" t="s">
        <v>18</v>
      </c>
      <c r="J15199" s="40" t="str">
        <f>HYPERLINK("https://stock.pstatic.net/stock-research/company/21/20250123_company_516040000.pdf","PDF")</f>
        <v>PDF</v>
      </c>
      <c r="K15199" s="12" t="s">
        <v>29130</v>
      </c>
      <c r="L15199" s="20">
        <v>1.0681265206812649</v>
      </c>
    </row>
    <row r="15200" spans="1:12" x14ac:dyDescent="0.45">
      <c r="A15200" s="12" t="s">
        <v>29037</v>
      </c>
      <c r="B15200" s="12" t="s">
        <v>3813</v>
      </c>
      <c r="C15200" s="13" t="s">
        <v>3814</v>
      </c>
      <c r="D15200" s="13" t="s">
        <v>34</v>
      </c>
      <c r="E15200" s="12" t="s">
        <v>35</v>
      </c>
      <c r="F15200" s="14">
        <v>12000</v>
      </c>
      <c r="G15200" s="14">
        <v>9160</v>
      </c>
      <c r="H15200" s="13" t="s">
        <v>29131</v>
      </c>
      <c r="I15200" s="40" t="s">
        <v>18</v>
      </c>
      <c r="J15200" s="40" t="str">
        <f>HYPERLINK("https://stock.pstatic.net/stock-research/company/61/20250123_company_892411000.pdf","PDF")</f>
        <v>PDF</v>
      </c>
      <c r="K15200" s="12" t="s">
        <v>29132</v>
      </c>
      <c r="L15200" s="20">
        <v>0.31004366812227069</v>
      </c>
    </row>
    <row r="15201" spans="1:12" x14ac:dyDescent="0.45">
      <c r="A15201" s="12" t="s">
        <v>29037</v>
      </c>
      <c r="B15201" s="12" t="s">
        <v>7544</v>
      </c>
      <c r="C15201" s="13" t="s">
        <v>7545</v>
      </c>
      <c r="D15201" s="13" t="s">
        <v>23</v>
      </c>
      <c r="E15201" s="12" t="s">
        <v>16</v>
      </c>
      <c r="F15201" s="14">
        <v>50000</v>
      </c>
      <c r="G15201" s="14">
        <v>29600</v>
      </c>
      <c r="H15201" s="13" t="s">
        <v>29133</v>
      </c>
      <c r="I15201" s="40" t="s">
        <v>18</v>
      </c>
      <c r="J15201" s="40" t="str">
        <f>HYPERLINK("https://stock.pstatic.net/stock-research/company/21/20250123_company_471180000.pdf","PDF")</f>
        <v>PDF</v>
      </c>
      <c r="K15201" s="12" t="s">
        <v>29134</v>
      </c>
      <c r="L15201" s="20">
        <v>0.68918918918918914</v>
      </c>
    </row>
    <row r="15202" spans="1:12" x14ac:dyDescent="0.45">
      <c r="A15202" s="12" t="s">
        <v>29037</v>
      </c>
      <c r="B15202" s="12" t="s">
        <v>732</v>
      </c>
      <c r="C15202" s="13" t="s">
        <v>733</v>
      </c>
      <c r="D15202" s="13" t="s">
        <v>34</v>
      </c>
      <c r="E15202" s="12" t="s">
        <v>35</v>
      </c>
      <c r="F15202" s="14">
        <v>150000</v>
      </c>
      <c r="G15202" s="14">
        <v>108800</v>
      </c>
      <c r="H15202" s="13" t="s">
        <v>29135</v>
      </c>
      <c r="I15202" s="40" t="s">
        <v>18</v>
      </c>
      <c r="J15202" s="40" t="str">
        <f>HYPERLINK("https://stock.pstatic.net/stock-research/company/61/20250123_company_288541000.pdf","PDF")</f>
        <v>PDF</v>
      </c>
      <c r="K15202" s="12" t="s">
        <v>29136</v>
      </c>
      <c r="L15202" s="20">
        <v>0.37867647058823528</v>
      </c>
    </row>
    <row r="15203" spans="1:12" x14ac:dyDescent="0.45">
      <c r="A15203" s="12" t="s">
        <v>29037</v>
      </c>
      <c r="B15203" s="12" t="s">
        <v>740</v>
      </c>
      <c r="C15203" s="13" t="s">
        <v>741</v>
      </c>
      <c r="D15203" s="13" t="s">
        <v>34</v>
      </c>
      <c r="E15203" s="12" t="s">
        <v>35</v>
      </c>
      <c r="F15203" s="14">
        <v>205000</v>
      </c>
      <c r="G15203" s="14">
        <v>161200</v>
      </c>
      <c r="H15203" s="13" t="s">
        <v>29137</v>
      </c>
      <c r="I15203" s="40" t="s">
        <v>18</v>
      </c>
      <c r="J15203" s="40" t="str">
        <f>HYPERLINK("https://stock.pstatic.net/stock-research/company/61/20250123_company_375859000.pdf","PDF")</f>
        <v>PDF</v>
      </c>
      <c r="K15203" s="12" t="s">
        <v>29138</v>
      </c>
      <c r="L15203" s="20">
        <v>0.27171215880893301</v>
      </c>
    </row>
    <row r="15204" spans="1:12" x14ac:dyDescent="0.45">
      <c r="A15204" s="12" t="s">
        <v>29037</v>
      </c>
      <c r="B15204" s="12" t="s">
        <v>1081</v>
      </c>
      <c r="C15204" s="13" t="s">
        <v>1082</v>
      </c>
      <c r="D15204" s="13" t="s">
        <v>92</v>
      </c>
      <c r="E15204" s="12" t="s">
        <v>35</v>
      </c>
      <c r="F15204" s="14">
        <v>1200000</v>
      </c>
      <c r="G15204" s="14">
        <v>1014000</v>
      </c>
      <c r="H15204" s="13" t="s">
        <v>29139</v>
      </c>
      <c r="I15204" s="40" t="s">
        <v>18</v>
      </c>
      <c r="J15204" s="40" t="str">
        <f>HYPERLINK("https://stock.pstatic.net/stock-research/company/63/20250123_company_102438000.pdf","PDF")</f>
        <v>PDF</v>
      </c>
      <c r="K15204" s="12" t="s">
        <v>29140</v>
      </c>
      <c r="L15204" s="20">
        <v>0.18343195266272189</v>
      </c>
    </row>
    <row r="15205" spans="1:12" x14ac:dyDescent="0.45">
      <c r="A15205" s="12" t="s">
        <v>29037</v>
      </c>
      <c r="B15205" s="12" t="s">
        <v>3478</v>
      </c>
      <c r="C15205" s="13" t="s">
        <v>3479</v>
      </c>
      <c r="D15205" s="13" t="s">
        <v>34</v>
      </c>
      <c r="E15205" s="12" t="s">
        <v>35</v>
      </c>
      <c r="F15205" s="14">
        <v>28000</v>
      </c>
      <c r="G15205" s="14">
        <v>22850</v>
      </c>
      <c r="H15205" s="13" t="s">
        <v>29141</v>
      </c>
      <c r="I15205" s="40" t="s">
        <v>18</v>
      </c>
      <c r="J15205" s="40" t="str">
        <f>HYPERLINK("https://stock.pstatic.net/stock-research/company/61/20250123_company_531671000.pdf","PDF")</f>
        <v>PDF</v>
      </c>
      <c r="K15205" s="12" t="s">
        <v>29142</v>
      </c>
      <c r="L15205" s="20">
        <v>0.22538293216630201</v>
      </c>
    </row>
    <row r="15206" spans="1:12" x14ac:dyDescent="0.45">
      <c r="A15206" s="12" t="s">
        <v>29037</v>
      </c>
      <c r="B15206" s="12" t="s">
        <v>740</v>
      </c>
      <c r="C15206" s="13" t="s">
        <v>741</v>
      </c>
      <c r="D15206" s="13" t="s">
        <v>179</v>
      </c>
      <c r="E15206" s="12" t="s">
        <v>16</v>
      </c>
      <c r="F15206" s="14">
        <v>240000</v>
      </c>
      <c r="G15206" s="14">
        <v>161200</v>
      </c>
      <c r="H15206" s="13" t="s">
        <v>29143</v>
      </c>
      <c r="I15206" s="40" t="s">
        <v>18</v>
      </c>
      <c r="J15206" s="40" t="str">
        <f>HYPERLINK("https://stock.pstatic.net/stock-research/company/64/20250123_company_353491000.pdf","PDF")</f>
        <v>PDF</v>
      </c>
      <c r="K15206" s="12" t="s">
        <v>29144</v>
      </c>
      <c r="L15206" s="20">
        <v>0.48883374689826298</v>
      </c>
    </row>
    <row r="15207" spans="1:12" x14ac:dyDescent="0.45">
      <c r="A15207" s="12" t="s">
        <v>29037</v>
      </c>
      <c r="B15207" s="12" t="s">
        <v>177</v>
      </c>
      <c r="C15207" s="13" t="s">
        <v>178</v>
      </c>
      <c r="D15207" s="13" t="s">
        <v>23</v>
      </c>
      <c r="E15207" s="12" t="s">
        <v>16</v>
      </c>
      <c r="F15207" s="14">
        <v>13000</v>
      </c>
      <c r="G15207" s="14">
        <v>9340</v>
      </c>
      <c r="H15207" s="13" t="s">
        <v>29145</v>
      </c>
      <c r="I15207" s="40" t="s">
        <v>18</v>
      </c>
      <c r="J15207" s="40" t="str">
        <f>HYPERLINK("https://stock.pstatic.net/stock-research/company/21/20250123_company_770893000.pdf","PDF")</f>
        <v>PDF</v>
      </c>
      <c r="K15207" s="12" t="s">
        <v>29146</v>
      </c>
      <c r="L15207" s="20">
        <v>0.39186295503211988</v>
      </c>
    </row>
    <row r="15208" spans="1:12" x14ac:dyDescent="0.45">
      <c r="A15208" s="12" t="s">
        <v>29037</v>
      </c>
      <c r="B15208" s="12" t="s">
        <v>4129</v>
      </c>
      <c r="C15208" s="13" t="s">
        <v>4130</v>
      </c>
      <c r="D15208" s="13" t="s">
        <v>44</v>
      </c>
      <c r="E15208" s="12" t="s">
        <v>50</v>
      </c>
      <c r="F15208" s="13"/>
      <c r="G15208" s="14">
        <v>24450</v>
      </c>
      <c r="H15208" s="13" t="s">
        <v>29147</v>
      </c>
      <c r="I15208" s="40" t="s">
        <v>18</v>
      </c>
      <c r="J15208" s="40" t="str">
        <f>HYPERLINK("https://stock.pstatic.net/stock-research/company/39/20250123_company_924142000.pdf","PDF")</f>
        <v>PDF</v>
      </c>
      <c r="K15208" s="12" t="s">
        <v>29148</v>
      </c>
    </row>
    <row r="15209" spans="1:12" x14ac:dyDescent="0.45">
      <c r="A15209" s="12" t="s">
        <v>29037</v>
      </c>
      <c r="B15209" s="12" t="s">
        <v>3813</v>
      </c>
      <c r="C15209" s="13" t="s">
        <v>3814</v>
      </c>
      <c r="D15209" s="13" t="s">
        <v>44</v>
      </c>
      <c r="E15209" s="12" t="s">
        <v>35</v>
      </c>
      <c r="F15209" s="14">
        <v>13000</v>
      </c>
      <c r="G15209" s="14">
        <v>9160</v>
      </c>
      <c r="H15209" s="13" t="s">
        <v>29149</v>
      </c>
      <c r="I15209" s="40" t="s">
        <v>18</v>
      </c>
      <c r="J15209" s="40" t="str">
        <f>HYPERLINK("https://stock.pstatic.net/stock-research/company/39/20250123_company_608131000.pdf","PDF")</f>
        <v>PDF</v>
      </c>
      <c r="K15209" s="12" t="s">
        <v>29150</v>
      </c>
      <c r="L15209" s="20">
        <v>0.41921397379912662</v>
      </c>
    </row>
    <row r="15210" spans="1:12" x14ac:dyDescent="0.45">
      <c r="A15210" s="12" t="s">
        <v>29037</v>
      </c>
      <c r="B15210" s="12" t="s">
        <v>812</v>
      </c>
      <c r="C15210" s="13" t="s">
        <v>813</v>
      </c>
      <c r="D15210" s="13" t="s">
        <v>23</v>
      </c>
      <c r="E15210" s="12" t="s">
        <v>16</v>
      </c>
      <c r="F15210" s="14">
        <v>48000</v>
      </c>
      <c r="G15210" s="14">
        <v>40850</v>
      </c>
      <c r="H15210" s="13" t="s">
        <v>29151</v>
      </c>
      <c r="I15210" s="40" t="s">
        <v>18</v>
      </c>
      <c r="J15210" s="40" t="str">
        <f>HYPERLINK("https://stock.pstatic.net/stock-research/company/21/20250123_company_939641000.pdf","PDF")</f>
        <v>PDF</v>
      </c>
      <c r="K15210" s="12" t="s">
        <v>29152</v>
      </c>
      <c r="L15210" s="20">
        <v>0.17503059975520199</v>
      </c>
    </row>
    <row r="15211" spans="1:12" x14ac:dyDescent="0.45">
      <c r="A15211" s="12" t="s">
        <v>29037</v>
      </c>
      <c r="B15211" s="12" t="s">
        <v>894</v>
      </c>
      <c r="C15211" s="13" t="s">
        <v>26</v>
      </c>
      <c r="D15211" s="13" t="s">
        <v>23</v>
      </c>
      <c r="E15211" s="12" t="s">
        <v>16</v>
      </c>
      <c r="F15211" s="14">
        <v>280000</v>
      </c>
      <c r="G15211" s="14">
        <v>219500</v>
      </c>
      <c r="H15211" s="13" t="s">
        <v>29153</v>
      </c>
      <c r="I15211" s="40" t="s">
        <v>18</v>
      </c>
      <c r="J15211" s="40" t="str">
        <f>HYPERLINK("https://stock.pstatic.net/stock-research/company/21/20250123_company_909193000.pdf","PDF")</f>
        <v>PDF</v>
      </c>
      <c r="K15211" s="12" t="s">
        <v>29154</v>
      </c>
      <c r="L15211" s="20">
        <v>0.27562642369020501</v>
      </c>
    </row>
    <row r="15212" spans="1:12" x14ac:dyDescent="0.45">
      <c r="A15212" s="12" t="s">
        <v>29037</v>
      </c>
      <c r="B15212" s="12" t="s">
        <v>25602</v>
      </c>
      <c r="C15212" s="13" t="s">
        <v>25603</v>
      </c>
      <c r="D15212" s="13" t="s">
        <v>23</v>
      </c>
      <c r="E15212" s="12" t="s">
        <v>50</v>
      </c>
      <c r="F15212" s="13"/>
      <c r="G15212" s="14">
        <v>64800</v>
      </c>
      <c r="H15212" s="13" t="s">
        <v>29155</v>
      </c>
      <c r="I15212" s="40" t="s">
        <v>18</v>
      </c>
      <c r="J15212" s="40" t="str">
        <f>HYPERLINK("https://stock.pstatic.net/stock-research/company/21/20250123_company_110035000.pdf","PDF")</f>
        <v>PDF</v>
      </c>
      <c r="K15212" s="12" t="s">
        <v>29156</v>
      </c>
    </row>
    <row r="15213" spans="1:12" x14ac:dyDescent="0.45">
      <c r="A15213" s="12" t="s">
        <v>29037</v>
      </c>
      <c r="B15213" s="12" t="s">
        <v>495</v>
      </c>
      <c r="C15213" s="13" t="s">
        <v>496</v>
      </c>
      <c r="D15213" s="13" t="s">
        <v>44</v>
      </c>
      <c r="E15213" s="12" t="s">
        <v>35</v>
      </c>
      <c r="F15213" s="14">
        <v>63000</v>
      </c>
      <c r="G15213" s="14">
        <v>49700</v>
      </c>
      <c r="H15213" s="13" t="s">
        <v>29157</v>
      </c>
      <c r="I15213" s="40" t="s">
        <v>18</v>
      </c>
      <c r="J15213" s="40" t="str">
        <f>HYPERLINK("https://stock.pstatic.net/stock-research/company/39/20250123_company_978604000.pdf","PDF")</f>
        <v>PDF</v>
      </c>
      <c r="K15213" s="12" t="s">
        <v>29158</v>
      </c>
      <c r="L15213" s="20">
        <v>0.26760563380281688</v>
      </c>
    </row>
    <row r="15214" spans="1:12" x14ac:dyDescent="0.45">
      <c r="A15214" s="12" t="s">
        <v>29037</v>
      </c>
      <c r="B15214" s="12" t="s">
        <v>3105</v>
      </c>
      <c r="C15214" s="13" t="s">
        <v>3106</v>
      </c>
      <c r="D15214" s="13" t="s">
        <v>44</v>
      </c>
      <c r="E15214" s="12" t="s">
        <v>35</v>
      </c>
      <c r="F15214" s="14">
        <v>290000</v>
      </c>
      <c r="G15214" s="14">
        <v>220000</v>
      </c>
      <c r="H15214" s="13" t="s">
        <v>29159</v>
      </c>
      <c r="I15214" s="40" t="s">
        <v>18</v>
      </c>
      <c r="J15214" s="40" t="str">
        <f>HYPERLINK("https://stock.pstatic.net/stock-research/company/39/20250123_company_246974000.pdf","PDF")</f>
        <v>PDF</v>
      </c>
      <c r="K15214" s="12" t="s">
        <v>29160</v>
      </c>
      <c r="L15214" s="20">
        <v>0.31818181818181818</v>
      </c>
    </row>
    <row r="15215" spans="1:12" x14ac:dyDescent="0.45">
      <c r="A15215" s="12" t="s">
        <v>29037</v>
      </c>
      <c r="B15215" s="12" t="s">
        <v>1081</v>
      </c>
      <c r="C15215" s="13" t="s">
        <v>1082</v>
      </c>
      <c r="D15215" s="13" t="s">
        <v>44</v>
      </c>
      <c r="E15215" s="12" t="s">
        <v>35</v>
      </c>
      <c r="F15215" s="14">
        <v>1300000</v>
      </c>
      <c r="G15215" s="14">
        <v>1014000</v>
      </c>
      <c r="H15215" s="13" t="s">
        <v>29161</v>
      </c>
      <c r="I15215" s="40" t="s">
        <v>18</v>
      </c>
      <c r="J15215" s="40" t="str">
        <f>HYPERLINK("https://stock.pstatic.net/stock-research/company/39/20250123_company_598937000.pdf","PDF")</f>
        <v>PDF</v>
      </c>
      <c r="K15215" s="12" t="s">
        <v>29162</v>
      </c>
      <c r="L15215" s="20">
        <v>0.28205128205128199</v>
      </c>
    </row>
    <row r="15216" spans="1:12" x14ac:dyDescent="0.45">
      <c r="A15216" s="12" t="s">
        <v>29037</v>
      </c>
      <c r="B15216" s="12" t="s">
        <v>3813</v>
      </c>
      <c r="C15216" s="13" t="s">
        <v>3814</v>
      </c>
      <c r="D15216" s="13" t="s">
        <v>53</v>
      </c>
      <c r="E15216" s="12" t="s">
        <v>16</v>
      </c>
      <c r="F15216" s="14">
        <v>16000</v>
      </c>
      <c r="G15216" s="14">
        <v>9160</v>
      </c>
      <c r="H15216" s="13" t="s">
        <v>29163</v>
      </c>
      <c r="I15216" s="40" t="s">
        <v>18</v>
      </c>
      <c r="J15216" s="40" t="str">
        <f>HYPERLINK("https://stock.pstatic.net/stock-research/company/40/20250123_company_977218000.pdf","PDF")</f>
        <v>PDF</v>
      </c>
      <c r="K15216" s="12" t="s">
        <v>29164</v>
      </c>
      <c r="L15216" s="20">
        <v>0.74672489082969429</v>
      </c>
    </row>
    <row r="15217" spans="1:12" x14ac:dyDescent="0.45">
      <c r="A15217" s="12" t="s">
        <v>29037</v>
      </c>
      <c r="B15217" s="12" t="s">
        <v>740</v>
      </c>
      <c r="C15217" s="13" t="s">
        <v>741</v>
      </c>
      <c r="D15217" s="13" t="s">
        <v>53</v>
      </c>
      <c r="E15217" s="12" t="s">
        <v>16</v>
      </c>
      <c r="F15217" s="14">
        <v>220000</v>
      </c>
      <c r="G15217" s="14">
        <v>161200</v>
      </c>
      <c r="H15217" s="13" t="s">
        <v>29165</v>
      </c>
      <c r="I15217" s="40" t="s">
        <v>18</v>
      </c>
      <c r="J15217" s="40" t="str">
        <f>HYPERLINK("https://stock.pstatic.net/stock-research/company/40/20250123_company_378405000.pdf","PDF")</f>
        <v>PDF</v>
      </c>
      <c r="K15217" s="12" t="s">
        <v>29166</v>
      </c>
      <c r="L15217" s="20">
        <v>0.36476426799007439</v>
      </c>
    </row>
    <row r="15218" spans="1:12" x14ac:dyDescent="0.45">
      <c r="A15218" s="12" t="s">
        <v>29037</v>
      </c>
      <c r="B15218" s="12" t="s">
        <v>8114</v>
      </c>
      <c r="C15218" s="13" t="s">
        <v>8115</v>
      </c>
      <c r="D15218" s="13" t="s">
        <v>53</v>
      </c>
      <c r="E15218" s="12" t="s">
        <v>16</v>
      </c>
      <c r="F15218" s="14">
        <v>35000</v>
      </c>
      <c r="G15218" s="14">
        <v>21250</v>
      </c>
      <c r="H15218" s="13" t="s">
        <v>29167</v>
      </c>
      <c r="I15218" s="40" t="s">
        <v>18</v>
      </c>
      <c r="J15218" s="40" t="str">
        <f>HYPERLINK("https://stock.pstatic.net/stock-research/company/40/20250123_company_473025000.pdf","PDF")</f>
        <v>PDF</v>
      </c>
      <c r="K15218" s="12" t="s">
        <v>29168</v>
      </c>
      <c r="L15218" s="20">
        <v>0.6470588235294118</v>
      </c>
    </row>
    <row r="15219" spans="1:12" x14ac:dyDescent="0.45">
      <c r="A15219" s="12" t="s">
        <v>29037</v>
      </c>
      <c r="B15219" s="12" t="s">
        <v>3164</v>
      </c>
      <c r="C15219" s="13" t="s">
        <v>3165</v>
      </c>
      <c r="D15219" s="13" t="s">
        <v>53</v>
      </c>
      <c r="E15219" s="12" t="s">
        <v>16</v>
      </c>
      <c r="F15219" s="14">
        <v>37000</v>
      </c>
      <c r="G15219" s="14">
        <v>28450</v>
      </c>
      <c r="H15219" s="13" t="s">
        <v>29169</v>
      </c>
      <c r="I15219" s="40" t="s">
        <v>18</v>
      </c>
      <c r="J15219" s="40" t="str">
        <f>HYPERLINK("https://stock.pstatic.net/stock-research/company/40/20250123_company_367173000.pdf","PDF")</f>
        <v>PDF</v>
      </c>
      <c r="K15219" s="12" t="s">
        <v>29170</v>
      </c>
      <c r="L15219" s="20">
        <v>0.30052724077328652</v>
      </c>
    </row>
    <row r="15220" spans="1:12" x14ac:dyDescent="0.45">
      <c r="A15220" s="12" t="s">
        <v>29037</v>
      </c>
      <c r="B15220" s="12" t="s">
        <v>1087</v>
      </c>
      <c r="C15220" s="13" t="s">
        <v>1088</v>
      </c>
      <c r="D15220" s="13" t="s">
        <v>15</v>
      </c>
      <c r="E15220" s="12" t="s">
        <v>16</v>
      </c>
      <c r="F15220" s="14">
        <v>120000</v>
      </c>
      <c r="G15220" s="14">
        <v>88600</v>
      </c>
      <c r="H15220" s="13" t="s">
        <v>29171</v>
      </c>
      <c r="I15220" s="40" t="s">
        <v>18</v>
      </c>
      <c r="J15220" s="40" t="str">
        <f>HYPERLINK("https://stock.pstatic.net/stock-research/company/29/20250123_company_449426000.pdf","PDF")</f>
        <v>PDF</v>
      </c>
      <c r="K15220" s="12" t="s">
        <v>29172</v>
      </c>
      <c r="L15220" s="20">
        <v>0.35440180586907449</v>
      </c>
    </row>
    <row r="15221" spans="1:12" x14ac:dyDescent="0.45">
      <c r="A15221" s="12" t="s">
        <v>29173</v>
      </c>
      <c r="B15221" s="12" t="s">
        <v>1132</v>
      </c>
      <c r="C15221" s="13" t="s">
        <v>1133</v>
      </c>
      <c r="D15221" s="13" t="s">
        <v>65</v>
      </c>
      <c r="E15221" s="12" t="s">
        <v>35</v>
      </c>
      <c r="F15221" s="14">
        <v>30000</v>
      </c>
      <c r="G15221" s="14">
        <v>19640</v>
      </c>
      <c r="H15221" s="13" t="s">
        <v>29174</v>
      </c>
      <c r="I15221" s="40" t="s">
        <v>18</v>
      </c>
      <c r="J15221" s="40" t="str">
        <f>HYPERLINK("https://stock.pstatic.net/stock-research/company/57/20250122_company_601574000.pdf","PDF")</f>
        <v>PDF</v>
      </c>
      <c r="K15221" s="12" t="s">
        <v>29175</v>
      </c>
      <c r="L15221" s="20">
        <v>0.52749490835030555</v>
      </c>
    </row>
    <row r="15222" spans="1:12" x14ac:dyDescent="0.45">
      <c r="A15222" s="12" t="s">
        <v>29173</v>
      </c>
      <c r="B15222" s="12" t="s">
        <v>1140</v>
      </c>
      <c r="C15222" s="13" t="s">
        <v>1141</v>
      </c>
      <c r="D15222" s="13" t="s">
        <v>65</v>
      </c>
      <c r="E15222" s="12" t="s">
        <v>35</v>
      </c>
      <c r="F15222" s="14">
        <v>30000</v>
      </c>
      <c r="G15222" s="14">
        <v>21200</v>
      </c>
      <c r="H15222" s="13" t="s">
        <v>29176</v>
      </c>
      <c r="I15222" s="40" t="s">
        <v>18</v>
      </c>
      <c r="J15222" s="40" t="str">
        <f>HYPERLINK("https://stock.pstatic.net/stock-research/company/57/20250122_company_394465000.pdf","PDF")</f>
        <v>PDF</v>
      </c>
      <c r="K15222" s="12" t="s">
        <v>29177</v>
      </c>
      <c r="L15222" s="20">
        <v>0.41509433962264147</v>
      </c>
    </row>
    <row r="15223" spans="1:12" x14ac:dyDescent="0.45">
      <c r="A15223" s="12" t="s">
        <v>29173</v>
      </c>
      <c r="B15223" s="12" t="s">
        <v>780</v>
      </c>
      <c r="C15223" s="13" t="s">
        <v>781</v>
      </c>
      <c r="D15223" s="13" t="s">
        <v>65</v>
      </c>
      <c r="E15223" s="12" t="s">
        <v>35</v>
      </c>
      <c r="F15223" s="14">
        <v>10000</v>
      </c>
      <c r="G15223" s="14">
        <v>6900</v>
      </c>
      <c r="H15223" s="13" t="s">
        <v>29178</v>
      </c>
      <c r="I15223" s="40" t="s">
        <v>18</v>
      </c>
      <c r="J15223" s="40" t="str">
        <f>HYPERLINK("https://stock.pstatic.net/stock-research/company/1/20250122_company_678709000.pdf","PDF")</f>
        <v>PDF</v>
      </c>
      <c r="K15223" s="12" t="s">
        <v>29179</v>
      </c>
      <c r="L15223" s="20">
        <v>0.44927536231884058</v>
      </c>
    </row>
    <row r="15224" spans="1:12" x14ac:dyDescent="0.45">
      <c r="A15224" s="12" t="s">
        <v>29173</v>
      </c>
      <c r="B15224" s="12" t="s">
        <v>3482</v>
      </c>
      <c r="C15224" s="13" t="s">
        <v>3483</v>
      </c>
      <c r="D15224" s="13" t="s">
        <v>65</v>
      </c>
      <c r="E15224" s="12" t="s">
        <v>35</v>
      </c>
      <c r="F15224" s="14">
        <v>82000</v>
      </c>
      <c r="G15224" s="14">
        <v>58000</v>
      </c>
      <c r="H15224" s="13" t="s">
        <v>29180</v>
      </c>
      <c r="I15224" s="40" t="s">
        <v>18</v>
      </c>
      <c r="J15224" s="40" t="str">
        <f>HYPERLINK("https://stock.pstatic.net/stock-research/company/1/20250122_company_882216000.pdf","PDF")</f>
        <v>PDF</v>
      </c>
      <c r="K15224" s="12" t="s">
        <v>29181</v>
      </c>
      <c r="L15224" s="20">
        <v>0.41379310344827591</v>
      </c>
    </row>
    <row r="15225" spans="1:12" x14ac:dyDescent="0.45">
      <c r="A15225" s="12" t="s">
        <v>29173</v>
      </c>
      <c r="B15225" s="12" t="s">
        <v>824</v>
      </c>
      <c r="C15225" s="13" t="s">
        <v>25522</v>
      </c>
      <c r="D15225" s="13" t="s">
        <v>57</v>
      </c>
      <c r="E15225" s="12" t="s">
        <v>35</v>
      </c>
      <c r="F15225" s="14">
        <v>63000</v>
      </c>
      <c r="G15225" s="14">
        <v>41300</v>
      </c>
      <c r="H15225" s="13" t="s">
        <v>29182</v>
      </c>
      <c r="I15225" s="40" t="s">
        <v>18</v>
      </c>
      <c r="J15225" s="40" t="str">
        <f>HYPERLINK("https://stock.pstatic.net/stock-research/company/1/20250122_company_364657000.pdf","PDF")</f>
        <v>PDF</v>
      </c>
      <c r="K15225" s="12" t="s">
        <v>29183</v>
      </c>
      <c r="L15225" s="20">
        <v>0.52542372881355937</v>
      </c>
    </row>
    <row r="15226" spans="1:12" x14ac:dyDescent="0.45">
      <c r="A15226" s="12" t="s">
        <v>29173</v>
      </c>
      <c r="B15226" s="12" t="s">
        <v>170</v>
      </c>
      <c r="C15226" s="13" t="s">
        <v>171</v>
      </c>
      <c r="D15226" s="13" t="s">
        <v>57</v>
      </c>
      <c r="E15226" s="12" t="s">
        <v>35</v>
      </c>
      <c r="F15226" s="14">
        <v>80000</v>
      </c>
      <c r="G15226" s="14">
        <v>63300</v>
      </c>
      <c r="H15226" s="13" t="s">
        <v>29184</v>
      </c>
      <c r="I15226" s="40" t="s">
        <v>18</v>
      </c>
      <c r="J15226" s="40" t="str">
        <f>HYPERLINK("https://stock.pstatic.net/stock-research/company/16/20250122_company_328520000.pdf","PDF")</f>
        <v>PDF</v>
      </c>
      <c r="K15226" s="12" t="s">
        <v>29185</v>
      </c>
      <c r="L15226" s="20">
        <v>0.26382306477093209</v>
      </c>
    </row>
    <row r="15227" spans="1:12" x14ac:dyDescent="0.45">
      <c r="A15227" s="12" t="s">
        <v>29173</v>
      </c>
      <c r="B15227" s="12" t="s">
        <v>1936</v>
      </c>
      <c r="C15227" s="13" t="s">
        <v>1937</v>
      </c>
      <c r="D15227" s="13" t="s">
        <v>57</v>
      </c>
      <c r="E15227" s="12" t="s">
        <v>35</v>
      </c>
      <c r="F15227" s="14">
        <v>10000</v>
      </c>
      <c r="G15227" s="14">
        <v>5680</v>
      </c>
      <c r="H15227" s="13" t="s">
        <v>29186</v>
      </c>
      <c r="I15227" s="40" t="s">
        <v>18</v>
      </c>
      <c r="J15227" s="40" t="str">
        <f>HYPERLINK("https://stock.pstatic.net/stock-research/company/16/20250122_company_776417000.pdf","PDF")</f>
        <v>PDF</v>
      </c>
      <c r="K15227" s="12" t="s">
        <v>29187</v>
      </c>
      <c r="L15227" s="20">
        <v>0.76056338028169013</v>
      </c>
    </row>
    <row r="15228" spans="1:12" x14ac:dyDescent="0.45">
      <c r="A15228" s="12" t="s">
        <v>29173</v>
      </c>
      <c r="B15228" s="12" t="s">
        <v>1849</v>
      </c>
      <c r="C15228" s="13" t="s">
        <v>1850</v>
      </c>
      <c r="D15228" s="13" t="s">
        <v>57</v>
      </c>
      <c r="E15228" s="12" t="s">
        <v>35</v>
      </c>
      <c r="F15228" s="14">
        <v>28000</v>
      </c>
      <c r="G15228" s="14">
        <v>18400</v>
      </c>
      <c r="H15228" s="13" t="s">
        <v>29188</v>
      </c>
      <c r="I15228" s="40" t="s">
        <v>18</v>
      </c>
      <c r="J15228" s="40" t="str">
        <f>HYPERLINK("https://stock.pstatic.net/stock-research/company/16/20250122_company_554965000.pdf","PDF")</f>
        <v>PDF</v>
      </c>
      <c r="K15228" s="12" t="s">
        <v>29189</v>
      </c>
      <c r="L15228" s="20">
        <v>0.52173913043478259</v>
      </c>
    </row>
    <row r="15229" spans="1:12" x14ac:dyDescent="0.45">
      <c r="A15229" s="12" t="s">
        <v>29173</v>
      </c>
      <c r="B15229" s="12" t="s">
        <v>146</v>
      </c>
      <c r="C15229" s="13" t="s">
        <v>147</v>
      </c>
      <c r="D15229" s="13" t="s">
        <v>57</v>
      </c>
      <c r="E15229" s="12" t="s">
        <v>35</v>
      </c>
      <c r="F15229" s="14">
        <v>32000</v>
      </c>
      <c r="G15229" s="14">
        <v>19100</v>
      </c>
      <c r="H15229" s="13" t="s">
        <v>29190</v>
      </c>
      <c r="I15229" s="40" t="s">
        <v>18</v>
      </c>
      <c r="J15229" s="40" t="str">
        <f>HYPERLINK("https://stock.pstatic.net/stock-research/company/16/20250122_company_847102000.pdf","PDF")</f>
        <v>PDF</v>
      </c>
      <c r="K15229" s="12" t="s">
        <v>29191</v>
      </c>
      <c r="L15229" s="20">
        <v>0.67539267015706805</v>
      </c>
    </row>
    <row r="15230" spans="1:12" x14ac:dyDescent="0.45">
      <c r="A15230" s="12" t="s">
        <v>29173</v>
      </c>
      <c r="B15230" s="12" t="s">
        <v>9369</v>
      </c>
      <c r="C15230" s="13" t="s">
        <v>9370</v>
      </c>
      <c r="D15230" s="13" t="s">
        <v>15</v>
      </c>
      <c r="E15230" s="12" t="s">
        <v>16</v>
      </c>
      <c r="F15230" s="14">
        <v>41000</v>
      </c>
      <c r="G15230" s="14">
        <v>31750</v>
      </c>
      <c r="H15230" s="13" t="s">
        <v>29192</v>
      </c>
      <c r="I15230" s="40" t="s">
        <v>18</v>
      </c>
      <c r="J15230" s="40" t="str">
        <f>HYPERLINK("https://stock.pstatic.net/stock-research/company/29/20250122_company_785980000.pdf","PDF")</f>
        <v>PDF</v>
      </c>
      <c r="K15230" s="12" t="s">
        <v>29193</v>
      </c>
      <c r="L15230" s="20">
        <v>0.29133858267716528</v>
      </c>
    </row>
    <row r="15231" spans="1:12" x14ac:dyDescent="0.45">
      <c r="A15231" s="12" t="s">
        <v>29173</v>
      </c>
      <c r="B15231" s="12" t="s">
        <v>511</v>
      </c>
      <c r="C15231" s="13" t="s">
        <v>512</v>
      </c>
      <c r="D15231" s="13" t="s">
        <v>83</v>
      </c>
      <c r="E15231" s="12" t="s">
        <v>35</v>
      </c>
      <c r="F15231" s="14">
        <v>92000</v>
      </c>
      <c r="G15231" s="14">
        <v>71100</v>
      </c>
      <c r="H15231" s="13" t="s">
        <v>29194</v>
      </c>
      <c r="I15231" s="40" t="s">
        <v>18</v>
      </c>
      <c r="J15231" s="40" t="str">
        <f>HYPERLINK("https://stock.pstatic.net/stock-research/company/2/20250122_company_74140000.pdf","PDF")</f>
        <v>PDF</v>
      </c>
      <c r="K15231" s="12" t="s">
        <v>29195</v>
      </c>
      <c r="L15231" s="20">
        <v>0.2939521800281294</v>
      </c>
    </row>
    <row r="15232" spans="1:12" x14ac:dyDescent="0.45">
      <c r="A15232" s="12" t="s">
        <v>29173</v>
      </c>
      <c r="B15232" s="12" t="s">
        <v>1652</v>
      </c>
      <c r="C15232" s="13" t="s">
        <v>1653</v>
      </c>
      <c r="D15232" s="13" t="s">
        <v>15</v>
      </c>
      <c r="E15232" s="12" t="s">
        <v>16</v>
      </c>
      <c r="F15232" s="14">
        <v>62000</v>
      </c>
      <c r="G15232" s="14">
        <v>41100</v>
      </c>
      <c r="H15232" s="13" t="s">
        <v>29196</v>
      </c>
      <c r="I15232" s="40" t="s">
        <v>18</v>
      </c>
      <c r="J15232" s="40" t="str">
        <f>HYPERLINK("https://stock.pstatic.net/stock-research/company/29/20250122_company_564740000.pdf","PDF")</f>
        <v>PDF</v>
      </c>
      <c r="K15232" s="12" t="s">
        <v>29197</v>
      </c>
      <c r="L15232" s="20">
        <v>0.5085158150851582</v>
      </c>
    </row>
    <row r="15233" spans="1:12" x14ac:dyDescent="0.45">
      <c r="A15233" s="12" t="s">
        <v>29173</v>
      </c>
      <c r="B15233" s="12" t="s">
        <v>585</v>
      </c>
      <c r="C15233" s="13" t="s">
        <v>586</v>
      </c>
      <c r="D15233" s="13" t="s">
        <v>53</v>
      </c>
      <c r="E15233" s="12" t="s">
        <v>16</v>
      </c>
      <c r="F15233" s="14">
        <v>23000</v>
      </c>
      <c r="G15233" s="14">
        <v>18440</v>
      </c>
      <c r="H15233" s="13" t="s">
        <v>29198</v>
      </c>
      <c r="I15233" s="40" t="s">
        <v>18</v>
      </c>
      <c r="J15233" s="40" t="str">
        <f>HYPERLINK("https://stock.pstatic.net/stock-research/company/40/20250122_company_183053000.pdf","PDF")</f>
        <v>PDF</v>
      </c>
      <c r="K15233" s="12" t="s">
        <v>29199</v>
      </c>
      <c r="L15233" s="20">
        <v>0.24728850325379609</v>
      </c>
    </row>
    <row r="15234" spans="1:12" x14ac:dyDescent="0.45">
      <c r="A15234" s="12" t="s">
        <v>29173</v>
      </c>
      <c r="B15234" s="12" t="s">
        <v>272</v>
      </c>
      <c r="C15234" s="13" t="s">
        <v>273</v>
      </c>
      <c r="D15234" s="13" t="s">
        <v>92</v>
      </c>
      <c r="E15234" s="12" t="s">
        <v>35</v>
      </c>
      <c r="F15234" s="14">
        <v>287000</v>
      </c>
      <c r="G15234" s="14">
        <v>247000</v>
      </c>
      <c r="H15234" s="13" t="s">
        <v>29200</v>
      </c>
      <c r="I15234" s="40" t="s">
        <v>18</v>
      </c>
      <c r="J15234" s="40" t="str">
        <f>HYPERLINK("https://stock.pstatic.net/stock-research/company/63/20250122_company_243516000.pdf","PDF")</f>
        <v>PDF</v>
      </c>
      <c r="K15234" s="12" t="s">
        <v>29201</v>
      </c>
      <c r="L15234" s="20">
        <v>0.16194331983805671</v>
      </c>
    </row>
    <row r="15235" spans="1:12" x14ac:dyDescent="0.45">
      <c r="A15235" s="12" t="s">
        <v>29173</v>
      </c>
      <c r="B15235" s="12" t="s">
        <v>6541</v>
      </c>
      <c r="C15235" s="13" t="s">
        <v>6542</v>
      </c>
      <c r="D15235" s="13" t="s">
        <v>23</v>
      </c>
      <c r="E15235" s="12" t="s">
        <v>16</v>
      </c>
      <c r="F15235" s="14">
        <v>74000</v>
      </c>
      <c r="G15235" s="14">
        <v>54600</v>
      </c>
      <c r="H15235" s="13" t="s">
        <v>29202</v>
      </c>
      <c r="I15235" s="40" t="s">
        <v>18</v>
      </c>
      <c r="J15235" s="40" t="str">
        <f>HYPERLINK("https://stock.pstatic.net/stock-research/company/21/20250122_company_383945000.pdf","PDF")</f>
        <v>PDF</v>
      </c>
      <c r="K15235" s="12" t="s">
        <v>29203</v>
      </c>
      <c r="L15235" s="20">
        <v>0.35531135531135533</v>
      </c>
    </row>
    <row r="15236" spans="1:12" x14ac:dyDescent="0.45">
      <c r="A15236" s="12" t="s">
        <v>29173</v>
      </c>
      <c r="B15236" s="12" t="s">
        <v>1036</v>
      </c>
      <c r="C15236" s="13" t="s">
        <v>1037</v>
      </c>
      <c r="D15236" s="13" t="s">
        <v>44</v>
      </c>
      <c r="E15236" s="12" t="s">
        <v>45</v>
      </c>
      <c r="F15236" s="14">
        <v>19000</v>
      </c>
      <c r="G15236" s="14">
        <v>16450</v>
      </c>
      <c r="H15236" s="13" t="s">
        <v>29204</v>
      </c>
      <c r="I15236" s="40" t="s">
        <v>18</v>
      </c>
      <c r="J15236" s="40" t="str">
        <f>HYPERLINK("https://stock.pstatic.net/stock-research/company/39/20250122_company_663348000.pdf","PDF")</f>
        <v>PDF</v>
      </c>
      <c r="K15236" s="12" t="s">
        <v>29205</v>
      </c>
      <c r="L15236" s="20">
        <v>0.15501519756838911</v>
      </c>
    </row>
    <row r="15237" spans="1:12" x14ac:dyDescent="0.45">
      <c r="A15237" s="12" t="s">
        <v>29173</v>
      </c>
      <c r="B15237" s="12" t="s">
        <v>916</v>
      </c>
      <c r="C15237" s="13" t="s">
        <v>917</v>
      </c>
      <c r="D15237" s="13" t="s">
        <v>44</v>
      </c>
      <c r="E15237" s="12" t="s">
        <v>35</v>
      </c>
      <c r="F15237" s="14">
        <v>45000</v>
      </c>
      <c r="G15237" s="14">
        <v>36450</v>
      </c>
      <c r="H15237" s="13" t="s">
        <v>29206</v>
      </c>
      <c r="I15237" s="40" t="s">
        <v>18</v>
      </c>
      <c r="J15237" s="40" t="str">
        <f>HYPERLINK("https://stock.pstatic.net/stock-research/company/39/20250122_company_459292000.pdf","PDF")</f>
        <v>PDF</v>
      </c>
      <c r="K15237" s="12" t="s">
        <v>29207</v>
      </c>
      <c r="L15237" s="20">
        <v>0.23456790123456789</v>
      </c>
    </row>
    <row r="15238" spans="1:12" x14ac:dyDescent="0.45">
      <c r="A15238" s="12" t="s">
        <v>29173</v>
      </c>
      <c r="B15238" s="12" t="s">
        <v>6806</v>
      </c>
      <c r="C15238" s="13" t="s">
        <v>6807</v>
      </c>
      <c r="D15238" s="13" t="s">
        <v>179</v>
      </c>
      <c r="E15238" s="12" t="s">
        <v>50</v>
      </c>
      <c r="F15238" s="13"/>
      <c r="G15238" s="14">
        <v>30200</v>
      </c>
      <c r="H15238" s="13" t="s">
        <v>29208</v>
      </c>
      <c r="I15238" s="40" t="s">
        <v>18</v>
      </c>
      <c r="J15238" s="40" t="str">
        <f>HYPERLINK("https://stock.pstatic.net/stock-research/company/31/20250122_company_305939000.pdf","PDF")</f>
        <v>PDF</v>
      </c>
      <c r="K15238" s="12" t="s">
        <v>29209</v>
      </c>
    </row>
    <row r="15239" spans="1:12" x14ac:dyDescent="0.45">
      <c r="A15239" s="12" t="s">
        <v>29210</v>
      </c>
      <c r="B15239" s="12" t="s">
        <v>784</v>
      </c>
      <c r="C15239" s="13" t="s">
        <v>785</v>
      </c>
      <c r="D15239" s="13" t="s">
        <v>65</v>
      </c>
      <c r="E15239" s="12" t="s">
        <v>35</v>
      </c>
      <c r="F15239" s="14">
        <v>14000</v>
      </c>
      <c r="G15239" s="14">
        <v>10040</v>
      </c>
      <c r="H15239" s="13" t="s">
        <v>29211</v>
      </c>
      <c r="I15239" s="40" t="s">
        <v>18</v>
      </c>
      <c r="J15239" s="40" t="str">
        <f>HYPERLINK("https://stock.pstatic.net/stock-research/company/57/20250121_company_722342000.pdf","PDF")</f>
        <v>PDF</v>
      </c>
      <c r="K15239" s="12" t="s">
        <v>29212</v>
      </c>
      <c r="L15239" s="20">
        <v>0.39442231075697209</v>
      </c>
    </row>
    <row r="15240" spans="1:12" x14ac:dyDescent="0.45">
      <c r="A15240" s="12" t="s">
        <v>29210</v>
      </c>
      <c r="B15240" s="12" t="s">
        <v>3887</v>
      </c>
      <c r="C15240" s="13" t="s">
        <v>3888</v>
      </c>
      <c r="D15240" s="13" t="s">
        <v>65</v>
      </c>
      <c r="E15240" s="12" t="s">
        <v>35</v>
      </c>
      <c r="F15240" s="14">
        <v>38000</v>
      </c>
      <c r="G15240" s="14">
        <v>24500</v>
      </c>
      <c r="H15240" s="13" t="s">
        <v>29213</v>
      </c>
      <c r="I15240" s="40" t="s">
        <v>18</v>
      </c>
      <c r="J15240" s="40" t="str">
        <f>HYPERLINK("https://stock.pstatic.net/stock-research/company/57/20250121_company_924051000.pdf","PDF")</f>
        <v>PDF</v>
      </c>
      <c r="K15240" s="12" t="s">
        <v>29214</v>
      </c>
      <c r="L15240" s="20">
        <v>0.55102040816326525</v>
      </c>
    </row>
    <row r="15241" spans="1:12" x14ac:dyDescent="0.45">
      <c r="A15241" s="12" t="s">
        <v>29210</v>
      </c>
      <c r="B15241" s="12" t="s">
        <v>3182</v>
      </c>
      <c r="C15241" s="13" t="s">
        <v>3183</v>
      </c>
      <c r="D15241" s="13" t="s">
        <v>65</v>
      </c>
      <c r="E15241" s="12" t="s">
        <v>35</v>
      </c>
      <c r="F15241" s="14">
        <v>500000</v>
      </c>
      <c r="G15241" s="14">
        <v>385000</v>
      </c>
      <c r="H15241" s="13" t="s">
        <v>29215</v>
      </c>
      <c r="I15241" s="40" t="s">
        <v>18</v>
      </c>
      <c r="J15241" s="40" t="str">
        <f>HYPERLINK("https://stock.pstatic.net/stock-research/company/58/20250121_company_24945000.pdf","PDF")</f>
        <v>PDF</v>
      </c>
      <c r="K15241" s="12" t="s">
        <v>29216</v>
      </c>
      <c r="L15241" s="20">
        <v>0.29870129870129869</v>
      </c>
    </row>
    <row r="15242" spans="1:12" x14ac:dyDescent="0.45">
      <c r="A15242" s="12" t="s">
        <v>29210</v>
      </c>
      <c r="B15242" s="12" t="s">
        <v>6579</v>
      </c>
      <c r="C15242" s="13" t="s">
        <v>6580</v>
      </c>
      <c r="D15242" s="13" t="s">
        <v>15</v>
      </c>
      <c r="E15242" s="12" t="s">
        <v>16</v>
      </c>
      <c r="F15242" s="14">
        <v>66000</v>
      </c>
      <c r="G15242" s="14">
        <v>42750</v>
      </c>
      <c r="H15242" s="13" t="s">
        <v>29217</v>
      </c>
      <c r="I15242" s="40" t="s">
        <v>18</v>
      </c>
      <c r="J15242" s="40" t="str">
        <f>HYPERLINK("https://stock.pstatic.net/stock-research/company/1/20250121_company_15230000.pdf","PDF")</f>
        <v>PDF</v>
      </c>
      <c r="K15242" s="12" t="s">
        <v>29218</v>
      </c>
      <c r="L15242" s="20">
        <v>0.54385964912280704</v>
      </c>
    </row>
    <row r="15243" spans="1:12" x14ac:dyDescent="0.45">
      <c r="A15243" s="12" t="s">
        <v>29210</v>
      </c>
      <c r="B15243" s="12" t="s">
        <v>5705</v>
      </c>
      <c r="C15243" s="13" t="s">
        <v>5706</v>
      </c>
      <c r="D15243" s="13" t="s">
        <v>57</v>
      </c>
      <c r="E15243" s="12" t="s">
        <v>50</v>
      </c>
      <c r="F15243" s="13"/>
      <c r="G15243" s="14">
        <v>81800</v>
      </c>
      <c r="H15243" s="13" t="s">
        <v>29219</v>
      </c>
      <c r="I15243" s="40" t="s">
        <v>18</v>
      </c>
      <c r="J15243" s="40" t="str">
        <f>HYPERLINK("https://stock.pstatic.net/stock-research/company/16/20250121_company_477243000.pdf","PDF")</f>
        <v>PDF</v>
      </c>
      <c r="K15243" s="12" t="s">
        <v>29220</v>
      </c>
    </row>
    <row r="15244" spans="1:12" x14ac:dyDescent="0.45">
      <c r="A15244" s="12" t="s">
        <v>29210</v>
      </c>
      <c r="B15244" s="12" t="s">
        <v>1548</v>
      </c>
      <c r="C15244" s="13" t="s">
        <v>1549</v>
      </c>
      <c r="D15244" s="13" t="s">
        <v>57</v>
      </c>
      <c r="E15244" s="12" t="s">
        <v>35</v>
      </c>
      <c r="F15244" s="14">
        <v>470000</v>
      </c>
      <c r="G15244" s="14">
        <v>377500</v>
      </c>
      <c r="H15244" s="13" t="s">
        <v>29221</v>
      </c>
      <c r="I15244" s="40" t="s">
        <v>18</v>
      </c>
      <c r="J15244" s="40" t="str">
        <f>HYPERLINK("https://stock.pstatic.net/stock-research/company/16/20250121_company_100325000.pdf","PDF")</f>
        <v>PDF</v>
      </c>
      <c r="K15244" s="12" t="s">
        <v>29222</v>
      </c>
      <c r="L15244" s="20">
        <v>0.24503311258278149</v>
      </c>
    </row>
    <row r="15245" spans="1:12" x14ac:dyDescent="0.45">
      <c r="A15245" s="12" t="s">
        <v>29210</v>
      </c>
      <c r="B15245" s="12" t="s">
        <v>3548</v>
      </c>
      <c r="C15245" s="13" t="s">
        <v>3549</v>
      </c>
      <c r="D15245" s="13" t="s">
        <v>57</v>
      </c>
      <c r="E15245" s="12" t="s">
        <v>35</v>
      </c>
      <c r="F15245" s="14">
        <v>56000</v>
      </c>
      <c r="G15245" s="14">
        <v>40100</v>
      </c>
      <c r="H15245" s="13" t="s">
        <v>29223</v>
      </c>
      <c r="I15245" s="40" t="s">
        <v>18</v>
      </c>
      <c r="J15245" s="40" t="str">
        <f>HYPERLINK("https://stock.pstatic.net/stock-research/company/16/20250121_company_831920000.pdf","PDF")</f>
        <v>PDF</v>
      </c>
      <c r="K15245" s="12" t="s">
        <v>29224</v>
      </c>
      <c r="L15245" s="20">
        <v>0.39650872817955107</v>
      </c>
    </row>
    <row r="15246" spans="1:12" x14ac:dyDescent="0.45">
      <c r="A15246" s="12" t="s">
        <v>29210</v>
      </c>
      <c r="B15246" s="12" t="s">
        <v>2777</v>
      </c>
      <c r="C15246" s="13" t="s">
        <v>2778</v>
      </c>
      <c r="D15246" s="13" t="s">
        <v>57</v>
      </c>
      <c r="E15246" s="12" t="s">
        <v>35</v>
      </c>
      <c r="F15246" s="14">
        <v>220000</v>
      </c>
      <c r="G15246" s="14">
        <v>138000</v>
      </c>
      <c r="H15246" s="13" t="s">
        <v>29225</v>
      </c>
      <c r="I15246" s="40" t="s">
        <v>18</v>
      </c>
      <c r="J15246" s="40" t="str">
        <f>HYPERLINK("https://stock.pstatic.net/stock-research/company/16/20250121_company_211777000.pdf","PDF")</f>
        <v>PDF</v>
      </c>
      <c r="K15246" s="12" t="s">
        <v>29226</v>
      </c>
      <c r="L15246" s="20">
        <v>0.59420289855072461</v>
      </c>
    </row>
    <row r="15247" spans="1:12" x14ac:dyDescent="0.45">
      <c r="A15247" s="12" t="s">
        <v>29210</v>
      </c>
      <c r="B15247" s="12" t="s">
        <v>3628</v>
      </c>
      <c r="C15247" s="13" t="s">
        <v>3629</v>
      </c>
      <c r="D15247" s="13" t="s">
        <v>158</v>
      </c>
      <c r="E15247" s="12" t="s">
        <v>50</v>
      </c>
      <c r="F15247" s="13"/>
      <c r="G15247" s="14">
        <v>13870</v>
      </c>
      <c r="H15247" s="13" t="s">
        <v>29227</v>
      </c>
      <c r="I15247" s="40" t="s">
        <v>18</v>
      </c>
      <c r="J15247" s="40" t="str">
        <f>HYPERLINK("https://stock.pstatic.net/stock-research/company/1/20250121_company_647330000.pdf","PDF")</f>
        <v>PDF</v>
      </c>
      <c r="K15247" s="12" t="s">
        <v>29228</v>
      </c>
    </row>
    <row r="15248" spans="1:12" x14ac:dyDescent="0.45">
      <c r="A15248" s="12" t="s">
        <v>29210</v>
      </c>
      <c r="B15248" s="12" t="s">
        <v>1383</v>
      </c>
      <c r="C15248" s="13" t="s">
        <v>1384</v>
      </c>
      <c r="D15248" s="13" t="s">
        <v>83</v>
      </c>
      <c r="E15248" s="12" t="s">
        <v>35</v>
      </c>
      <c r="F15248" s="14">
        <v>33000</v>
      </c>
      <c r="G15248" s="14">
        <v>22700</v>
      </c>
      <c r="H15248" s="13" t="s">
        <v>29229</v>
      </c>
      <c r="I15248" s="40" t="s">
        <v>18</v>
      </c>
      <c r="J15248" s="40" t="str">
        <f>HYPERLINK("https://stock.pstatic.net/stock-research/company/1/20250121_company_123924000.pdf","PDF")</f>
        <v>PDF</v>
      </c>
      <c r="K15248" s="12" t="s">
        <v>29230</v>
      </c>
      <c r="L15248" s="20">
        <v>0.45374449339207051</v>
      </c>
    </row>
    <row r="15249" spans="1:12" x14ac:dyDescent="0.45">
      <c r="A15249" s="12" t="s">
        <v>29210</v>
      </c>
      <c r="B15249" s="12" t="s">
        <v>5767</v>
      </c>
      <c r="C15249" s="13" t="s">
        <v>5768</v>
      </c>
      <c r="D15249" s="13" t="s">
        <v>83</v>
      </c>
      <c r="E15249" s="12" t="s">
        <v>35</v>
      </c>
      <c r="F15249" s="14">
        <v>59000</v>
      </c>
      <c r="G15249" s="14">
        <v>49400</v>
      </c>
      <c r="H15249" s="13" t="s">
        <v>29231</v>
      </c>
      <c r="I15249" s="40" t="s">
        <v>18</v>
      </c>
      <c r="J15249" s="40" t="str">
        <f>HYPERLINK("https://stock.pstatic.net/stock-research/company/2/20250121_company_572489000.pdf","PDF")</f>
        <v>PDF</v>
      </c>
      <c r="K15249" s="12" t="s">
        <v>29232</v>
      </c>
      <c r="L15249" s="20">
        <v>0.19433198380566799</v>
      </c>
    </row>
    <row r="15250" spans="1:12" x14ac:dyDescent="0.45">
      <c r="A15250" s="12" t="s">
        <v>29210</v>
      </c>
      <c r="B15250" s="12" t="s">
        <v>2887</v>
      </c>
      <c r="C15250" s="13" t="s">
        <v>2888</v>
      </c>
      <c r="D15250" s="13" t="s">
        <v>83</v>
      </c>
      <c r="E15250" s="12" t="s">
        <v>35</v>
      </c>
      <c r="F15250" s="14">
        <v>410000</v>
      </c>
      <c r="G15250" s="14">
        <v>243500</v>
      </c>
      <c r="H15250" s="13" t="s">
        <v>29233</v>
      </c>
      <c r="I15250" s="40" t="s">
        <v>18</v>
      </c>
      <c r="J15250" s="40" t="str">
        <f>HYPERLINK("https://stock.pstatic.net/stock-research/company/2/20250121_company_398793000.pdf","PDF")</f>
        <v>PDF</v>
      </c>
      <c r="K15250" s="12" t="s">
        <v>29234</v>
      </c>
      <c r="L15250" s="20">
        <v>0.68377823408624228</v>
      </c>
    </row>
    <row r="15251" spans="1:12" x14ac:dyDescent="0.45">
      <c r="A15251" s="12" t="s">
        <v>29210</v>
      </c>
      <c r="B15251" s="12" t="s">
        <v>1686</v>
      </c>
      <c r="C15251" s="13" t="s">
        <v>1687</v>
      </c>
      <c r="D15251" s="13" t="s">
        <v>83</v>
      </c>
      <c r="E15251" s="12" t="s">
        <v>35</v>
      </c>
      <c r="F15251" s="14">
        <v>900000</v>
      </c>
      <c r="G15251" s="14">
        <v>737000</v>
      </c>
      <c r="H15251" s="13" t="s">
        <v>29235</v>
      </c>
      <c r="I15251" s="40" t="s">
        <v>18</v>
      </c>
      <c r="J15251" s="40" t="str">
        <f>HYPERLINK("https://stock.pstatic.net/stock-research/company/2/20250121_company_874517000.pdf","PDF")</f>
        <v>PDF</v>
      </c>
      <c r="K15251" s="12" t="s">
        <v>29236</v>
      </c>
      <c r="L15251" s="20">
        <v>0.22116689280868379</v>
      </c>
    </row>
    <row r="15252" spans="1:12" x14ac:dyDescent="0.45">
      <c r="A15252" s="12" t="s">
        <v>29210</v>
      </c>
      <c r="B15252" s="12" t="s">
        <v>489</v>
      </c>
      <c r="C15252" s="13" t="s">
        <v>490</v>
      </c>
      <c r="D15252" s="13" t="s">
        <v>15</v>
      </c>
      <c r="E15252" s="12" t="s">
        <v>16</v>
      </c>
      <c r="F15252" s="14">
        <v>35000</v>
      </c>
      <c r="G15252" s="14">
        <v>26300</v>
      </c>
      <c r="H15252" s="13" t="s">
        <v>29237</v>
      </c>
      <c r="I15252" s="40" t="s">
        <v>18</v>
      </c>
      <c r="J15252" s="40" t="str">
        <f>HYPERLINK("https://stock.pstatic.net/stock-research/company/29/20250121_company_42173000.pdf","PDF")</f>
        <v>PDF</v>
      </c>
      <c r="K15252" s="12" t="s">
        <v>29238</v>
      </c>
      <c r="L15252" s="20">
        <v>0.33079847908745252</v>
      </c>
    </row>
    <row r="15253" spans="1:12" x14ac:dyDescent="0.45">
      <c r="A15253" s="12" t="s">
        <v>29210</v>
      </c>
      <c r="B15253" s="12" t="s">
        <v>495</v>
      </c>
      <c r="C15253" s="13" t="s">
        <v>496</v>
      </c>
      <c r="D15253" s="13" t="s">
        <v>15</v>
      </c>
      <c r="E15253" s="12" t="s">
        <v>16</v>
      </c>
      <c r="F15253" s="14">
        <v>60000</v>
      </c>
      <c r="G15253" s="14">
        <v>49600</v>
      </c>
      <c r="H15253" s="13" t="s">
        <v>29239</v>
      </c>
      <c r="I15253" s="40" t="s">
        <v>18</v>
      </c>
      <c r="J15253" s="40" t="str">
        <f>HYPERLINK("https://stock.pstatic.net/stock-research/company/29/20250121_company_648225000.pdf","PDF")</f>
        <v>PDF</v>
      </c>
      <c r="K15253" s="12" t="s">
        <v>29240</v>
      </c>
      <c r="L15253" s="20">
        <v>0.20967741935483869</v>
      </c>
    </row>
    <row r="15254" spans="1:12" x14ac:dyDescent="0.45">
      <c r="A15254" s="12" t="s">
        <v>29210</v>
      </c>
      <c r="B15254" s="12" t="s">
        <v>784</v>
      </c>
      <c r="C15254" s="13" t="s">
        <v>785</v>
      </c>
      <c r="D15254" s="13" t="s">
        <v>15</v>
      </c>
      <c r="E15254" s="12" t="s">
        <v>16</v>
      </c>
      <c r="F15254" s="14">
        <v>13000</v>
      </c>
      <c r="G15254" s="14">
        <v>10040</v>
      </c>
      <c r="H15254" s="13" t="s">
        <v>29241</v>
      </c>
      <c r="I15254" s="40" t="s">
        <v>18</v>
      </c>
      <c r="J15254" s="40" t="str">
        <f>HYPERLINK("https://stock.pstatic.net/stock-research/company/29/20250121_company_79345000.pdf","PDF")</f>
        <v>PDF</v>
      </c>
      <c r="K15254" s="12" t="s">
        <v>29242</v>
      </c>
      <c r="L15254" s="20">
        <v>0.29482071713147412</v>
      </c>
    </row>
    <row r="15255" spans="1:12" x14ac:dyDescent="0.45">
      <c r="A15255" s="12" t="s">
        <v>29210</v>
      </c>
      <c r="B15255" s="12" t="s">
        <v>3391</v>
      </c>
      <c r="C15255" s="13" t="s">
        <v>3392</v>
      </c>
      <c r="D15255" s="13" t="s">
        <v>179</v>
      </c>
      <c r="E15255" s="12" t="s">
        <v>50</v>
      </c>
      <c r="F15255" s="13"/>
      <c r="G15255" s="14">
        <v>7900</v>
      </c>
      <c r="H15255" s="13" t="s">
        <v>29243</v>
      </c>
      <c r="I15255" s="40" t="s">
        <v>18</v>
      </c>
      <c r="J15255" s="40" t="str">
        <f>HYPERLINK("https://stock.pstatic.net/stock-research/company/31/20250121_company_215853000.pdf","PDF")</f>
        <v>PDF</v>
      </c>
      <c r="K15255" s="12" t="s">
        <v>29244</v>
      </c>
    </row>
    <row r="15256" spans="1:12" x14ac:dyDescent="0.45">
      <c r="A15256" s="12" t="s">
        <v>29210</v>
      </c>
      <c r="B15256" s="12" t="s">
        <v>28804</v>
      </c>
      <c r="C15256" s="13" t="s">
        <v>28805</v>
      </c>
      <c r="D15256" s="13" t="s">
        <v>34</v>
      </c>
      <c r="E15256" s="12" t="s">
        <v>35</v>
      </c>
      <c r="F15256" s="14">
        <v>3700</v>
      </c>
      <c r="G15256" s="14">
        <v>3065</v>
      </c>
      <c r="H15256" s="13" t="s">
        <v>29245</v>
      </c>
      <c r="I15256" s="40" t="s">
        <v>18</v>
      </c>
      <c r="J15256" s="40" t="str">
        <f>HYPERLINK("https://stock.pstatic.net/stock-research/company/61/20250121_company_441901000.pdf","PDF")</f>
        <v>PDF</v>
      </c>
      <c r="K15256" s="12" t="s">
        <v>29246</v>
      </c>
      <c r="L15256" s="20">
        <v>0.2071778140293638</v>
      </c>
    </row>
    <row r="15257" spans="1:12" x14ac:dyDescent="0.45">
      <c r="A15257" s="12" t="s">
        <v>29210</v>
      </c>
      <c r="B15257" s="12" t="s">
        <v>3182</v>
      </c>
      <c r="C15257" s="13" t="s">
        <v>3183</v>
      </c>
      <c r="D15257" s="13" t="s">
        <v>53</v>
      </c>
      <c r="E15257" s="12" t="s">
        <v>16</v>
      </c>
      <c r="F15257" s="14">
        <v>460000</v>
      </c>
      <c r="G15257" s="14">
        <v>385000</v>
      </c>
      <c r="H15257" s="13" t="s">
        <v>29247</v>
      </c>
      <c r="I15257" s="40" t="s">
        <v>18</v>
      </c>
      <c r="J15257" s="40" t="str">
        <f>HYPERLINK("https://stock.pstatic.net/stock-research/company/40/20250121_company_185769000.pdf","PDF")</f>
        <v>PDF</v>
      </c>
      <c r="K15257" s="12" t="s">
        <v>29248</v>
      </c>
      <c r="L15257" s="20">
        <v>0.19480519480519479</v>
      </c>
    </row>
    <row r="15258" spans="1:12" x14ac:dyDescent="0.45">
      <c r="A15258" s="12" t="s">
        <v>29210</v>
      </c>
      <c r="B15258" s="12" t="s">
        <v>4129</v>
      </c>
      <c r="C15258" s="13" t="s">
        <v>4130</v>
      </c>
      <c r="D15258" s="13" t="s">
        <v>92</v>
      </c>
      <c r="E15258" s="12" t="s">
        <v>35</v>
      </c>
      <c r="F15258" s="14">
        <v>32000</v>
      </c>
      <c r="G15258" s="14">
        <v>22250</v>
      </c>
      <c r="H15258" s="13" t="s">
        <v>29249</v>
      </c>
      <c r="I15258" s="40" t="s">
        <v>18</v>
      </c>
      <c r="J15258" s="40" t="str">
        <f>HYPERLINK("https://stock.pstatic.net/stock-research/company/63/20250121_company_610406000.pdf","PDF")</f>
        <v>PDF</v>
      </c>
      <c r="K15258" s="12" t="s">
        <v>29250</v>
      </c>
      <c r="L15258" s="20">
        <v>0.43820224719101131</v>
      </c>
    </row>
    <row r="15259" spans="1:12" x14ac:dyDescent="0.45">
      <c r="A15259" s="12" t="s">
        <v>29210</v>
      </c>
      <c r="B15259" s="12" t="s">
        <v>4440</v>
      </c>
      <c r="C15259" s="13" t="s">
        <v>4441</v>
      </c>
      <c r="D15259" s="13" t="s">
        <v>23</v>
      </c>
      <c r="E15259" s="12" t="s">
        <v>16</v>
      </c>
      <c r="F15259" s="14">
        <v>10000</v>
      </c>
      <c r="G15259" s="14">
        <v>7580</v>
      </c>
      <c r="H15259" s="13" t="s">
        <v>29251</v>
      </c>
      <c r="I15259" s="40" t="s">
        <v>18</v>
      </c>
      <c r="J15259" s="40" t="str">
        <f>HYPERLINK("https://stock.pstatic.net/stock-research/company/21/20250121_company_197687000.pdf","PDF")</f>
        <v>PDF</v>
      </c>
      <c r="K15259" s="12" t="s">
        <v>29252</v>
      </c>
      <c r="L15259" s="20">
        <v>0.31926121372031657</v>
      </c>
    </row>
    <row r="15260" spans="1:12" x14ac:dyDescent="0.45">
      <c r="A15260" s="12" t="s">
        <v>29210</v>
      </c>
      <c r="B15260" s="12" t="s">
        <v>2435</v>
      </c>
      <c r="C15260" s="13" t="s">
        <v>2436</v>
      </c>
      <c r="D15260" s="13" t="s">
        <v>44</v>
      </c>
      <c r="E15260" s="12" t="s">
        <v>35</v>
      </c>
      <c r="F15260" s="14">
        <v>380000</v>
      </c>
      <c r="G15260" s="14">
        <v>308500</v>
      </c>
      <c r="H15260" s="13" t="s">
        <v>29253</v>
      </c>
      <c r="I15260" s="40" t="s">
        <v>18</v>
      </c>
      <c r="J15260" s="40" t="str">
        <f>HYPERLINK("https://stock.pstatic.net/stock-research/company/39/20250121_company_800736000.pdf","PDF")</f>
        <v>PDF</v>
      </c>
      <c r="K15260" s="12" t="s">
        <v>29254</v>
      </c>
      <c r="L15260" s="20">
        <v>0.2317666126418152</v>
      </c>
    </row>
    <row r="15261" spans="1:12" x14ac:dyDescent="0.45">
      <c r="A15261" s="12" t="s">
        <v>29210</v>
      </c>
      <c r="B15261" s="12" t="s">
        <v>3182</v>
      </c>
      <c r="C15261" s="13" t="s">
        <v>3183</v>
      </c>
      <c r="D15261" s="13" t="s">
        <v>179</v>
      </c>
      <c r="E15261" s="12" t="s">
        <v>16</v>
      </c>
      <c r="F15261" s="14">
        <v>570000</v>
      </c>
      <c r="G15261" s="14">
        <v>385000</v>
      </c>
      <c r="H15261" s="13" t="s">
        <v>29255</v>
      </c>
      <c r="I15261" s="40" t="s">
        <v>18</v>
      </c>
      <c r="J15261" s="40" t="str">
        <f>HYPERLINK("https://stock.pstatic.net/stock-research/company/31/20250121_company_739537000.pdf","PDF")</f>
        <v>PDF</v>
      </c>
      <c r="K15261" s="12" t="s">
        <v>29256</v>
      </c>
      <c r="L15261" s="20">
        <v>0.48051948051948051</v>
      </c>
    </row>
    <row r="15262" spans="1:12" x14ac:dyDescent="0.45">
      <c r="A15262" s="12" t="s">
        <v>29210</v>
      </c>
      <c r="B15262" s="12" t="s">
        <v>1344</v>
      </c>
      <c r="C15262" s="13" t="s">
        <v>1345</v>
      </c>
      <c r="D15262" s="13" t="s">
        <v>179</v>
      </c>
      <c r="E15262" s="12" t="s">
        <v>16</v>
      </c>
      <c r="F15262" s="14">
        <v>40000</v>
      </c>
      <c r="G15262" s="14">
        <v>29200</v>
      </c>
      <c r="H15262" s="13" t="s">
        <v>29257</v>
      </c>
      <c r="I15262" s="40" t="s">
        <v>18</v>
      </c>
      <c r="J15262" s="40" t="str">
        <f>HYPERLINK("https://stock.pstatic.net/stock-research/company/31/20250121_company_426890000.pdf","PDF")</f>
        <v>PDF</v>
      </c>
      <c r="K15262" s="12" t="s">
        <v>29258</v>
      </c>
      <c r="L15262" s="20">
        <v>0.36986301369863012</v>
      </c>
    </row>
    <row r="15263" spans="1:12" x14ac:dyDescent="0.45">
      <c r="A15263" s="12" t="s">
        <v>29210</v>
      </c>
      <c r="B15263" s="12" t="s">
        <v>3182</v>
      </c>
      <c r="C15263" s="13" t="s">
        <v>3183</v>
      </c>
      <c r="D15263" s="13" t="s">
        <v>44</v>
      </c>
      <c r="E15263" s="12" t="s">
        <v>35</v>
      </c>
      <c r="F15263" s="14">
        <v>480000</v>
      </c>
      <c r="G15263" s="14">
        <v>385000</v>
      </c>
      <c r="H15263" s="13" t="s">
        <v>29259</v>
      </c>
      <c r="I15263" s="40" t="s">
        <v>18</v>
      </c>
      <c r="J15263" s="40" t="str">
        <f>HYPERLINK("https://stock.pstatic.net/stock-research/company/39/20250121_company_228572000.pdf","PDF")</f>
        <v>PDF</v>
      </c>
      <c r="K15263" s="12" t="s">
        <v>29260</v>
      </c>
      <c r="L15263" s="20">
        <v>0.24675324675324681</v>
      </c>
    </row>
    <row r="15264" spans="1:12" x14ac:dyDescent="0.45">
      <c r="A15264" s="12" t="s">
        <v>29210</v>
      </c>
      <c r="B15264" s="12" t="s">
        <v>677</v>
      </c>
      <c r="C15264" s="13" t="s">
        <v>678</v>
      </c>
      <c r="D15264" s="13" t="s">
        <v>179</v>
      </c>
      <c r="E15264" s="12" t="s">
        <v>16</v>
      </c>
      <c r="F15264" s="14">
        <v>18000</v>
      </c>
      <c r="G15264" s="14">
        <v>13280</v>
      </c>
      <c r="H15264" s="13" t="s">
        <v>29261</v>
      </c>
      <c r="I15264" s="40" t="s">
        <v>18</v>
      </c>
      <c r="J15264" s="40" t="str">
        <f>HYPERLINK("https://stock.pstatic.net/stock-research/company/31/20250121_company_817639000.pdf","PDF")</f>
        <v>PDF</v>
      </c>
      <c r="K15264" s="12" t="s">
        <v>29262</v>
      </c>
      <c r="L15264" s="20">
        <v>0.35542168674698787</v>
      </c>
    </row>
    <row r="15265" spans="1:12" x14ac:dyDescent="0.45">
      <c r="A15265" s="12" t="s">
        <v>29210</v>
      </c>
      <c r="B15265" s="12" t="s">
        <v>812</v>
      </c>
      <c r="C15265" s="13" t="s">
        <v>813</v>
      </c>
      <c r="D15265" s="13" t="s">
        <v>179</v>
      </c>
      <c r="E15265" s="12" t="s">
        <v>16</v>
      </c>
      <c r="F15265" s="14">
        <v>52000</v>
      </c>
      <c r="G15265" s="14">
        <v>40700</v>
      </c>
      <c r="H15265" s="13" t="s">
        <v>29263</v>
      </c>
      <c r="I15265" s="40" t="s">
        <v>18</v>
      </c>
      <c r="J15265" s="40" t="str">
        <f>HYPERLINK("https://stock.pstatic.net/stock-research/company/31/20250121_company_973544000.pdf","PDF")</f>
        <v>PDF</v>
      </c>
      <c r="K15265" s="12" t="s">
        <v>29264</v>
      </c>
      <c r="L15265" s="20">
        <v>0.27764127764127772</v>
      </c>
    </row>
    <row r="15266" spans="1:12" x14ac:dyDescent="0.45">
      <c r="A15266" s="12" t="s">
        <v>29210</v>
      </c>
      <c r="B15266" s="12" t="s">
        <v>146</v>
      </c>
      <c r="C15266" s="13" t="s">
        <v>147</v>
      </c>
      <c r="D15266" s="13" t="s">
        <v>23</v>
      </c>
      <c r="E15266" s="12" t="s">
        <v>16</v>
      </c>
      <c r="F15266" s="14">
        <v>27000</v>
      </c>
      <c r="G15266" s="14">
        <v>19000</v>
      </c>
      <c r="H15266" s="13" t="s">
        <v>29265</v>
      </c>
      <c r="I15266" s="40" t="s">
        <v>18</v>
      </c>
      <c r="J15266" s="40" t="str">
        <f>HYPERLINK("https://stock.pstatic.net/stock-research/company/21/20250121_company_784043000.pdf","PDF")</f>
        <v>PDF</v>
      </c>
      <c r="K15266" s="12" t="s">
        <v>29266</v>
      </c>
      <c r="L15266" s="20">
        <v>0.42105263157894729</v>
      </c>
    </row>
    <row r="15267" spans="1:12" x14ac:dyDescent="0.45">
      <c r="A15267" s="12" t="s">
        <v>29210</v>
      </c>
      <c r="B15267" s="12" t="s">
        <v>6347</v>
      </c>
      <c r="C15267" s="13" t="s">
        <v>6348</v>
      </c>
      <c r="D15267" s="13" t="s">
        <v>23</v>
      </c>
      <c r="E15267" s="12" t="s">
        <v>16</v>
      </c>
      <c r="F15267" s="14">
        <v>34000</v>
      </c>
      <c r="G15267" s="14">
        <v>25050</v>
      </c>
      <c r="H15267" s="13" t="s">
        <v>29267</v>
      </c>
      <c r="I15267" s="40" t="s">
        <v>18</v>
      </c>
      <c r="J15267" s="40" t="str">
        <f>HYPERLINK("https://stock.pstatic.net/stock-research/company/21/20250121_company_41537000.pdf","PDF")</f>
        <v>PDF</v>
      </c>
      <c r="K15267" s="12" t="s">
        <v>29268</v>
      </c>
      <c r="L15267" s="20">
        <v>0.35728542914171663</v>
      </c>
    </row>
    <row r="15268" spans="1:12" x14ac:dyDescent="0.45">
      <c r="A15268" s="12" t="s">
        <v>29210</v>
      </c>
      <c r="B15268" s="12" t="s">
        <v>1936</v>
      </c>
      <c r="C15268" s="13" t="s">
        <v>1937</v>
      </c>
      <c r="D15268" s="13" t="s">
        <v>44</v>
      </c>
      <c r="E15268" s="12" t="s">
        <v>642</v>
      </c>
      <c r="F15268" s="14">
        <v>6100</v>
      </c>
      <c r="G15268" s="14">
        <v>5760</v>
      </c>
      <c r="H15268" s="13" t="s">
        <v>29269</v>
      </c>
      <c r="I15268" s="40" t="s">
        <v>18</v>
      </c>
      <c r="J15268" s="40" t="str">
        <f>HYPERLINK("https://stock.pstatic.net/stock-research/company/39/20250121_company_804059000.pdf","PDF")</f>
        <v>PDF</v>
      </c>
      <c r="K15268" s="12" t="s">
        <v>29270</v>
      </c>
      <c r="L15268" s="20">
        <v>5.9027777777777783E-2</v>
      </c>
    </row>
    <row r="15269" spans="1:12" x14ac:dyDescent="0.45">
      <c r="A15269" s="12" t="s">
        <v>29210</v>
      </c>
      <c r="B15269" s="12" t="s">
        <v>880</v>
      </c>
      <c r="C15269" s="13" t="s">
        <v>881</v>
      </c>
      <c r="D15269" s="13" t="s">
        <v>44</v>
      </c>
      <c r="E15269" s="12" t="s">
        <v>35</v>
      </c>
      <c r="F15269" s="14">
        <v>14500</v>
      </c>
      <c r="G15269" s="14">
        <v>12020</v>
      </c>
      <c r="H15269" s="13" t="s">
        <v>29271</v>
      </c>
      <c r="I15269" s="40" t="s">
        <v>18</v>
      </c>
      <c r="J15269" s="40" t="str">
        <f>HYPERLINK("https://stock.pstatic.net/stock-research/company/39/20250121_company_338978000.pdf","PDF")</f>
        <v>PDF</v>
      </c>
      <c r="K15269" s="12" t="s">
        <v>29272</v>
      </c>
      <c r="L15269" s="20">
        <v>0.20632279534109821</v>
      </c>
    </row>
    <row r="15270" spans="1:12" x14ac:dyDescent="0.45">
      <c r="A15270" s="12" t="s">
        <v>29210</v>
      </c>
      <c r="B15270" s="12" t="s">
        <v>426</v>
      </c>
      <c r="C15270" s="13" t="s">
        <v>427</v>
      </c>
      <c r="D15270" s="13" t="s">
        <v>44</v>
      </c>
      <c r="E15270" s="12" t="s">
        <v>35</v>
      </c>
      <c r="F15270" s="14">
        <v>15000</v>
      </c>
      <c r="G15270" s="14">
        <v>10090</v>
      </c>
      <c r="H15270" s="13" t="s">
        <v>29273</v>
      </c>
      <c r="I15270" s="40" t="s">
        <v>18</v>
      </c>
      <c r="J15270" s="40" t="str">
        <f>HYPERLINK("https://stock.pstatic.net/stock-research/company/39/20250121_company_632170000.pdf","PDF")</f>
        <v>PDF</v>
      </c>
      <c r="K15270" s="12" t="s">
        <v>29274</v>
      </c>
      <c r="L15270" s="20">
        <v>0.48662041625371649</v>
      </c>
    </row>
    <row r="15271" spans="1:12" x14ac:dyDescent="0.45">
      <c r="A15271" s="12" t="s">
        <v>29210</v>
      </c>
      <c r="B15271" s="12" t="s">
        <v>9323</v>
      </c>
      <c r="C15271" s="13" t="s">
        <v>9324</v>
      </c>
      <c r="D15271" s="13" t="s">
        <v>124</v>
      </c>
      <c r="E15271" s="12" t="s">
        <v>50</v>
      </c>
      <c r="F15271" s="13"/>
      <c r="G15271" s="13"/>
      <c r="H15271" s="13" t="s">
        <v>29275</v>
      </c>
      <c r="I15271" s="40" t="s">
        <v>18</v>
      </c>
      <c r="J15271" s="40" t="str">
        <f>HYPERLINK("https://stock.pstatic.net/stock-research/company/74/20250121_company_884572000.pdf","PDF")</f>
        <v>PDF</v>
      </c>
      <c r="K15271" s="12" t="s">
        <v>29276</v>
      </c>
    </row>
    <row r="15272" spans="1:12" x14ac:dyDescent="0.45">
      <c r="A15272" s="12" t="s">
        <v>29210</v>
      </c>
      <c r="B15272" s="12" t="s">
        <v>3182</v>
      </c>
      <c r="C15272" s="13" t="s">
        <v>3183</v>
      </c>
      <c r="D15272" s="13" t="s">
        <v>23</v>
      </c>
      <c r="E15272" s="12" t="s">
        <v>16</v>
      </c>
      <c r="F15272" s="14">
        <v>500000</v>
      </c>
      <c r="G15272" s="14">
        <v>385000</v>
      </c>
      <c r="H15272" s="13" t="s">
        <v>29277</v>
      </c>
      <c r="I15272" s="40" t="s">
        <v>18</v>
      </c>
      <c r="J15272" s="40" t="str">
        <f>HYPERLINK("https://stock.pstatic.net/stock-research/company/21/20250121_company_198183000.pdf","PDF")</f>
        <v>PDF</v>
      </c>
      <c r="K15272" s="12" t="s">
        <v>29278</v>
      </c>
      <c r="L15272" s="20">
        <v>0.29870129870129869</v>
      </c>
    </row>
    <row r="15273" spans="1:12" x14ac:dyDescent="0.45">
      <c r="A15273" s="12" t="s">
        <v>29279</v>
      </c>
      <c r="B15273" s="12" t="s">
        <v>1407</v>
      </c>
      <c r="C15273" s="13" t="s">
        <v>1408</v>
      </c>
      <c r="D15273" s="13" t="s">
        <v>34</v>
      </c>
      <c r="E15273" s="12" t="s">
        <v>50</v>
      </c>
      <c r="F15273" s="13"/>
      <c r="G15273" s="14">
        <v>38150</v>
      </c>
      <c r="H15273" s="13" t="s">
        <v>29280</v>
      </c>
      <c r="I15273" s="40" t="s">
        <v>18</v>
      </c>
      <c r="J15273" s="40" t="str">
        <f>HYPERLINK("https://stock.pstatic.net/stock-research/company/61/20250120_company_873553000.pdf","PDF")</f>
        <v>PDF</v>
      </c>
      <c r="K15273" s="12" t="s">
        <v>29281</v>
      </c>
    </row>
    <row r="15274" spans="1:12" x14ac:dyDescent="0.45">
      <c r="A15274" s="12" t="s">
        <v>29279</v>
      </c>
      <c r="B15274" s="12" t="s">
        <v>4927</v>
      </c>
      <c r="C15274" s="13" t="s">
        <v>4928</v>
      </c>
      <c r="D15274" s="13" t="s">
        <v>34</v>
      </c>
      <c r="E15274" s="12" t="s">
        <v>50</v>
      </c>
      <c r="F15274" s="13"/>
      <c r="G15274" s="14">
        <v>50300</v>
      </c>
      <c r="H15274" s="13" t="s">
        <v>29282</v>
      </c>
      <c r="I15274" s="40" t="s">
        <v>18</v>
      </c>
      <c r="J15274" s="40" t="str">
        <f>HYPERLINK("https://stock.pstatic.net/stock-research/company/61/20250120_company_462979000.pdf","PDF")</f>
        <v>PDF</v>
      </c>
      <c r="K15274" s="12" t="s">
        <v>29283</v>
      </c>
    </row>
    <row r="15275" spans="1:12" x14ac:dyDescent="0.45">
      <c r="A15275" s="12" t="s">
        <v>29279</v>
      </c>
      <c r="B15275" s="12" t="s">
        <v>3024</v>
      </c>
      <c r="C15275" s="13" t="s">
        <v>3025</v>
      </c>
      <c r="D15275" s="13" t="s">
        <v>34</v>
      </c>
      <c r="E15275" s="12" t="s">
        <v>35</v>
      </c>
      <c r="F15275" s="14">
        <v>57000</v>
      </c>
      <c r="G15275" s="14">
        <v>42700</v>
      </c>
      <c r="H15275" s="13" t="s">
        <v>29284</v>
      </c>
      <c r="I15275" s="40" t="s">
        <v>18</v>
      </c>
      <c r="J15275" s="40" t="str">
        <f>HYPERLINK("https://stock.pstatic.net/stock-research/company/61/20250120_company_765369000.pdf","PDF")</f>
        <v>PDF</v>
      </c>
      <c r="K15275" s="12" t="s">
        <v>29285</v>
      </c>
      <c r="L15275" s="20">
        <v>0.33489461358313821</v>
      </c>
    </row>
    <row r="15276" spans="1:12" x14ac:dyDescent="0.45">
      <c r="A15276" s="12" t="s">
        <v>29279</v>
      </c>
      <c r="B15276" s="12" t="s">
        <v>3403</v>
      </c>
      <c r="C15276" s="13" t="s">
        <v>3404</v>
      </c>
      <c r="D15276" s="13" t="s">
        <v>34</v>
      </c>
      <c r="E15276" s="12" t="s">
        <v>35</v>
      </c>
      <c r="F15276" s="14">
        <v>60000</v>
      </c>
      <c r="G15276" s="14">
        <v>50800</v>
      </c>
      <c r="H15276" s="13" t="s">
        <v>29286</v>
      </c>
      <c r="I15276" s="40" t="s">
        <v>18</v>
      </c>
      <c r="J15276" s="40" t="str">
        <f>HYPERLINK("https://stock.pstatic.net/stock-research/company/61/20250120_company_438895000.pdf","PDF")</f>
        <v>PDF</v>
      </c>
      <c r="K15276" s="12" t="s">
        <v>29287</v>
      </c>
      <c r="L15276" s="20">
        <v>0.18110236220472439</v>
      </c>
    </row>
    <row r="15277" spans="1:12" x14ac:dyDescent="0.45">
      <c r="A15277" s="12" t="s">
        <v>29279</v>
      </c>
      <c r="B15277" s="12" t="s">
        <v>1548</v>
      </c>
      <c r="C15277" s="13" t="s">
        <v>1549</v>
      </c>
      <c r="D15277" s="13" t="s">
        <v>60</v>
      </c>
      <c r="E15277" s="12" t="s">
        <v>35</v>
      </c>
      <c r="F15277" s="14">
        <v>560000</v>
      </c>
      <c r="G15277" s="14">
        <v>382500</v>
      </c>
      <c r="H15277" s="13" t="s">
        <v>29288</v>
      </c>
      <c r="I15277" s="40" t="s">
        <v>18</v>
      </c>
      <c r="J15277" s="40" t="str">
        <f>HYPERLINK("https://stock.pstatic.net/stock-research/company/62/20250120_company_364272000.pdf","PDF")</f>
        <v>PDF</v>
      </c>
      <c r="K15277" s="12" t="s">
        <v>29289</v>
      </c>
      <c r="L15277" s="20">
        <v>0.46405228758169942</v>
      </c>
    </row>
    <row r="15278" spans="1:12" x14ac:dyDescent="0.45">
      <c r="A15278" s="12" t="s">
        <v>29279</v>
      </c>
      <c r="B15278" s="12" t="s">
        <v>2837</v>
      </c>
      <c r="C15278" s="13" t="s">
        <v>2838</v>
      </c>
      <c r="D15278" s="13" t="s">
        <v>60</v>
      </c>
      <c r="E15278" s="12" t="s">
        <v>35</v>
      </c>
      <c r="F15278" s="14">
        <v>33000</v>
      </c>
      <c r="G15278" s="14">
        <v>25300</v>
      </c>
      <c r="H15278" s="13" t="s">
        <v>29290</v>
      </c>
      <c r="I15278" s="40" t="s">
        <v>18</v>
      </c>
      <c r="J15278" s="40" t="str">
        <f>HYPERLINK("https://stock.pstatic.net/stock-research/company/62/20250120_company_98534000.pdf","PDF")</f>
        <v>PDF</v>
      </c>
      <c r="K15278" s="12" t="s">
        <v>29291</v>
      </c>
      <c r="L15278" s="20">
        <v>0.30434782608695649</v>
      </c>
    </row>
    <row r="15279" spans="1:12" x14ac:dyDescent="0.45">
      <c r="A15279" s="12" t="s">
        <v>29279</v>
      </c>
      <c r="B15279" s="12" t="s">
        <v>2199</v>
      </c>
      <c r="C15279" s="13" t="s">
        <v>2200</v>
      </c>
      <c r="D15279" s="13" t="s">
        <v>65</v>
      </c>
      <c r="E15279" s="12" t="s">
        <v>35</v>
      </c>
      <c r="F15279" s="14">
        <v>38000</v>
      </c>
      <c r="G15279" s="14">
        <v>27750</v>
      </c>
      <c r="H15279" s="13" t="s">
        <v>29292</v>
      </c>
      <c r="I15279" s="40" t="s">
        <v>18</v>
      </c>
      <c r="J15279" s="40" t="str">
        <f>HYPERLINK("https://stock.pstatic.net/stock-research/company/57/20250120_company_495112000.pdf","PDF")</f>
        <v>PDF</v>
      </c>
      <c r="K15279" s="12" t="s">
        <v>29293</v>
      </c>
      <c r="L15279" s="20">
        <v>0.36936936936936943</v>
      </c>
    </row>
    <row r="15280" spans="1:12" x14ac:dyDescent="0.45">
      <c r="A15280" s="12" t="s">
        <v>29279</v>
      </c>
      <c r="B15280" s="12" t="s">
        <v>3530</v>
      </c>
      <c r="C15280" s="13" t="s">
        <v>3531</v>
      </c>
      <c r="D15280" s="13" t="s">
        <v>65</v>
      </c>
      <c r="E15280" s="12" t="s">
        <v>35</v>
      </c>
      <c r="F15280" s="14">
        <v>15000</v>
      </c>
      <c r="G15280" s="14">
        <v>8470</v>
      </c>
      <c r="H15280" s="13" t="s">
        <v>29294</v>
      </c>
      <c r="I15280" s="40" t="s">
        <v>18</v>
      </c>
      <c r="J15280" s="40" t="str">
        <f>HYPERLINK("https://stock.pstatic.net/stock-research/company/57/20250120_company_47266000.pdf","PDF")</f>
        <v>PDF</v>
      </c>
      <c r="K15280" s="12" t="s">
        <v>29295</v>
      </c>
      <c r="L15280" s="20">
        <v>0.77095631641086182</v>
      </c>
    </row>
    <row r="15281" spans="1:12" x14ac:dyDescent="0.45">
      <c r="A15281" s="12" t="s">
        <v>29279</v>
      </c>
      <c r="B15281" s="12" t="s">
        <v>4021</v>
      </c>
      <c r="C15281" s="13" t="s">
        <v>4022</v>
      </c>
      <c r="D15281" s="13" t="s">
        <v>15</v>
      </c>
      <c r="E15281" s="12" t="s">
        <v>50</v>
      </c>
      <c r="F15281" s="14">
        <v>250000</v>
      </c>
      <c r="G15281" s="14">
        <v>222500</v>
      </c>
      <c r="H15281" s="13" t="s">
        <v>29296</v>
      </c>
      <c r="I15281" s="40" t="s">
        <v>18</v>
      </c>
      <c r="J15281" s="40" t="str">
        <f>HYPERLINK("https://stock.pstatic.net/stock-research/company/29/20250120_company_989550000.pdf","PDF")</f>
        <v>PDF</v>
      </c>
      <c r="K15281" s="12" t="s">
        <v>29297</v>
      </c>
      <c r="L15281" s="20">
        <v>0.1235955056179775</v>
      </c>
    </row>
    <row r="15282" spans="1:12" x14ac:dyDescent="0.45">
      <c r="A15282" s="12" t="s">
        <v>29279</v>
      </c>
      <c r="B15282" s="12" t="s">
        <v>3230</v>
      </c>
      <c r="C15282" s="13" t="s">
        <v>3231</v>
      </c>
      <c r="D15282" s="13" t="s">
        <v>15</v>
      </c>
      <c r="E15282" s="12" t="s">
        <v>16</v>
      </c>
      <c r="F15282" s="14">
        <v>580000</v>
      </c>
      <c r="G15282" s="14">
        <v>480000</v>
      </c>
      <c r="H15282" s="13" t="s">
        <v>29298</v>
      </c>
      <c r="I15282" s="40" t="s">
        <v>18</v>
      </c>
      <c r="J15282" s="40" t="str">
        <f>HYPERLINK("https://stock.pstatic.net/stock-research/company/29/20250120_company_921761000.pdf","PDF")</f>
        <v>PDF</v>
      </c>
      <c r="K15282" s="12" t="s">
        <v>29299</v>
      </c>
      <c r="L15282" s="20">
        <v>0.20833333333333329</v>
      </c>
    </row>
    <row r="15283" spans="1:12" x14ac:dyDescent="0.45">
      <c r="A15283" s="12" t="s">
        <v>29279</v>
      </c>
      <c r="B15283" s="12" t="s">
        <v>3182</v>
      </c>
      <c r="C15283" s="13" t="s">
        <v>3183</v>
      </c>
      <c r="D15283" s="13" t="s">
        <v>15</v>
      </c>
      <c r="E15283" s="12" t="s">
        <v>16</v>
      </c>
      <c r="F15283" s="14">
        <v>510000</v>
      </c>
      <c r="G15283" s="14">
        <v>418000</v>
      </c>
      <c r="H15283" s="13" t="s">
        <v>29300</v>
      </c>
      <c r="I15283" s="40" t="s">
        <v>18</v>
      </c>
      <c r="J15283" s="40" t="str">
        <f>HYPERLINK("https://stock.pstatic.net/stock-research/company/29/20250120_company_403638000.pdf","PDF")</f>
        <v>PDF</v>
      </c>
      <c r="K15283" s="12" t="s">
        <v>29301</v>
      </c>
      <c r="L15283" s="20">
        <v>0.22009569377990429</v>
      </c>
    </row>
    <row r="15284" spans="1:12" x14ac:dyDescent="0.45">
      <c r="A15284" s="12" t="s">
        <v>29279</v>
      </c>
      <c r="B15284" s="12" t="s">
        <v>352</v>
      </c>
      <c r="C15284" s="13" t="s">
        <v>353</v>
      </c>
      <c r="D15284" s="13" t="s">
        <v>15</v>
      </c>
      <c r="E15284" s="12" t="s">
        <v>16</v>
      </c>
      <c r="F15284" s="14">
        <v>85000</v>
      </c>
      <c r="G15284" s="14">
        <v>56700</v>
      </c>
      <c r="H15284" s="13" t="s">
        <v>29302</v>
      </c>
      <c r="I15284" s="40" t="s">
        <v>18</v>
      </c>
      <c r="J15284" s="40" t="str">
        <f>HYPERLINK("https://stock.pstatic.net/stock-research/company/30/20250120_company_910928000.pdf","PDF")</f>
        <v>PDF</v>
      </c>
      <c r="K15284" s="12" t="s">
        <v>29303</v>
      </c>
      <c r="L15284" s="20">
        <v>0.49911816578483242</v>
      </c>
    </row>
    <row r="15285" spans="1:12" x14ac:dyDescent="0.45">
      <c r="A15285" s="12" t="s">
        <v>29279</v>
      </c>
      <c r="B15285" s="12" t="s">
        <v>2225</v>
      </c>
      <c r="C15285" s="13" t="s">
        <v>5282</v>
      </c>
      <c r="D15285" s="13" t="s">
        <v>15</v>
      </c>
      <c r="E15285" s="12" t="s">
        <v>16</v>
      </c>
      <c r="F15285" s="14">
        <v>321000</v>
      </c>
      <c r="G15285" s="14">
        <v>213000</v>
      </c>
      <c r="H15285" s="13" t="s">
        <v>29304</v>
      </c>
      <c r="I15285" s="40" t="s">
        <v>18</v>
      </c>
      <c r="J15285" s="40" t="str">
        <f>HYPERLINK("https://stock.pstatic.net/stock-research/company/29/20250120_company_57322000.pdf","PDF")</f>
        <v>PDF</v>
      </c>
      <c r="K15285" s="12" t="s">
        <v>29305</v>
      </c>
      <c r="L15285" s="20">
        <v>0.50704225352112675</v>
      </c>
    </row>
    <row r="15286" spans="1:12" x14ac:dyDescent="0.45">
      <c r="A15286" s="12" t="s">
        <v>29279</v>
      </c>
      <c r="B15286" s="12" t="s">
        <v>1548</v>
      </c>
      <c r="C15286" s="13" t="s">
        <v>1549</v>
      </c>
      <c r="D15286" s="13" t="s">
        <v>15</v>
      </c>
      <c r="E15286" s="12" t="s">
        <v>16</v>
      </c>
      <c r="F15286" s="14">
        <v>480000</v>
      </c>
      <c r="G15286" s="14">
        <v>382500</v>
      </c>
      <c r="H15286" s="13" t="s">
        <v>29306</v>
      </c>
      <c r="I15286" s="40" t="s">
        <v>18</v>
      </c>
      <c r="J15286" s="40" t="str">
        <f>HYPERLINK("https://stock.pstatic.net/stock-research/company/29/20250120_company_108216000.pdf","PDF")</f>
        <v>PDF</v>
      </c>
      <c r="K15286" s="12" t="s">
        <v>29307</v>
      </c>
      <c r="L15286" s="20">
        <v>0.25490196078431371</v>
      </c>
    </row>
    <row r="15287" spans="1:12" x14ac:dyDescent="0.45">
      <c r="A15287" s="12" t="s">
        <v>29279</v>
      </c>
      <c r="B15287" s="12" t="s">
        <v>95</v>
      </c>
      <c r="C15287" s="13" t="s">
        <v>31</v>
      </c>
      <c r="D15287" s="13" t="s">
        <v>15</v>
      </c>
      <c r="E15287" s="12" t="s">
        <v>16</v>
      </c>
      <c r="F15287" s="14">
        <v>31000</v>
      </c>
      <c r="G15287" s="14">
        <v>18600</v>
      </c>
      <c r="H15287" s="13" t="s">
        <v>29308</v>
      </c>
      <c r="I15287" s="40" t="s">
        <v>18</v>
      </c>
      <c r="J15287" s="40" t="str">
        <f>HYPERLINK("https://stock.pstatic.net/stock-research/company/29/20250120_company_200132000.pdf","PDF")</f>
        <v>PDF</v>
      </c>
      <c r="K15287" s="12" t="s">
        <v>29309</v>
      </c>
      <c r="L15287" s="20">
        <v>0.66666666666666663</v>
      </c>
    </row>
    <row r="15288" spans="1:12" x14ac:dyDescent="0.45">
      <c r="A15288" s="12" t="s">
        <v>29279</v>
      </c>
      <c r="B15288" s="12" t="s">
        <v>1266</v>
      </c>
      <c r="C15288" s="13" t="s">
        <v>1267</v>
      </c>
      <c r="D15288" s="13" t="s">
        <v>15</v>
      </c>
      <c r="E15288" s="12" t="s">
        <v>50</v>
      </c>
      <c r="F15288" s="14">
        <v>105000</v>
      </c>
      <c r="G15288" s="14">
        <v>91100</v>
      </c>
      <c r="H15288" s="13" t="s">
        <v>29310</v>
      </c>
      <c r="I15288" s="40" t="s">
        <v>18</v>
      </c>
      <c r="J15288" s="40" t="str">
        <f>HYPERLINK("https://stock.pstatic.net/stock-research/company/29/20250120_company_529101000.pdf","PDF")</f>
        <v>PDF</v>
      </c>
      <c r="K15288" s="12" t="s">
        <v>29311</v>
      </c>
      <c r="L15288" s="20">
        <v>0.15257958287596049</v>
      </c>
    </row>
    <row r="15289" spans="1:12" x14ac:dyDescent="0.45">
      <c r="A15289" s="12" t="s">
        <v>29279</v>
      </c>
      <c r="B15289" s="12" t="s">
        <v>3451</v>
      </c>
      <c r="C15289" s="13" t="s">
        <v>3452</v>
      </c>
      <c r="D15289" s="13" t="s">
        <v>83</v>
      </c>
      <c r="E15289" s="12" t="s">
        <v>35</v>
      </c>
      <c r="F15289" s="14">
        <v>290000</v>
      </c>
      <c r="G15289" s="14">
        <v>185500</v>
      </c>
      <c r="H15289" s="13" t="s">
        <v>29312</v>
      </c>
      <c r="I15289" s="40" t="s">
        <v>18</v>
      </c>
      <c r="J15289" s="40" t="str">
        <f>HYPERLINK("https://stock.pstatic.net/stock-research/company/2/20250120_company_105543000.pdf","PDF")</f>
        <v>PDF</v>
      </c>
      <c r="K15289" s="12" t="s">
        <v>29313</v>
      </c>
      <c r="L15289" s="20">
        <v>0.56334231805929924</v>
      </c>
    </row>
    <row r="15290" spans="1:12" x14ac:dyDescent="0.45">
      <c r="A15290" s="12" t="s">
        <v>29279</v>
      </c>
      <c r="B15290" s="12" t="s">
        <v>2414</v>
      </c>
      <c r="C15290" s="13" t="s">
        <v>2415</v>
      </c>
      <c r="D15290" s="13" t="s">
        <v>83</v>
      </c>
      <c r="E15290" s="12" t="s">
        <v>35</v>
      </c>
      <c r="F15290" s="14">
        <v>360000</v>
      </c>
      <c r="G15290" s="14">
        <v>285500</v>
      </c>
      <c r="H15290" s="13" t="s">
        <v>29314</v>
      </c>
      <c r="I15290" s="40" t="s">
        <v>18</v>
      </c>
      <c r="J15290" s="40" t="str">
        <f>HYPERLINK("https://stock.pstatic.net/stock-research/company/2/20250120_company_29753000.pdf","PDF")</f>
        <v>PDF</v>
      </c>
      <c r="K15290" s="12" t="s">
        <v>29315</v>
      </c>
      <c r="L15290" s="20">
        <v>0.26094570928196148</v>
      </c>
    </row>
    <row r="15291" spans="1:12" x14ac:dyDescent="0.45">
      <c r="A15291" s="12" t="s">
        <v>29279</v>
      </c>
      <c r="B15291" s="12" t="s">
        <v>22058</v>
      </c>
      <c r="C15291" s="13" t="s">
        <v>22059</v>
      </c>
      <c r="D15291" s="13" t="s">
        <v>83</v>
      </c>
      <c r="E15291" s="12" t="s">
        <v>50</v>
      </c>
      <c r="F15291" s="13"/>
      <c r="G15291" s="14">
        <v>34800</v>
      </c>
      <c r="H15291" s="13" t="s">
        <v>29316</v>
      </c>
      <c r="I15291" s="40" t="s">
        <v>18</v>
      </c>
      <c r="J15291" s="40" t="str">
        <f>HYPERLINK("https://stock.pstatic.net/stock-research/company/2/20250120_company_172936000.pdf","PDF")</f>
        <v>PDF</v>
      </c>
      <c r="K15291" s="12" t="s">
        <v>29317</v>
      </c>
    </row>
    <row r="15292" spans="1:12" x14ac:dyDescent="0.45">
      <c r="A15292" s="12" t="s">
        <v>29279</v>
      </c>
      <c r="B15292" s="12" t="s">
        <v>1930</v>
      </c>
      <c r="C15292" s="13" t="s">
        <v>1931</v>
      </c>
      <c r="D15292" s="13" t="s">
        <v>83</v>
      </c>
      <c r="E15292" s="12" t="s">
        <v>35</v>
      </c>
      <c r="F15292" s="14">
        <v>390000</v>
      </c>
      <c r="G15292" s="14">
        <v>242500</v>
      </c>
      <c r="H15292" s="13" t="s">
        <v>29318</v>
      </c>
      <c r="I15292" s="40" t="s">
        <v>18</v>
      </c>
      <c r="J15292" s="40" t="str">
        <f>HYPERLINK("https://stock.pstatic.net/stock-research/company/2/20250120_company_95093000.pdf","PDF")</f>
        <v>PDF</v>
      </c>
      <c r="K15292" s="12" t="s">
        <v>29319</v>
      </c>
      <c r="L15292" s="20">
        <v>0.60824742268041232</v>
      </c>
    </row>
    <row r="15293" spans="1:12" x14ac:dyDescent="0.45">
      <c r="A15293" s="12" t="s">
        <v>29279</v>
      </c>
      <c r="B15293" s="12" t="s">
        <v>4021</v>
      </c>
      <c r="C15293" s="13" t="s">
        <v>4022</v>
      </c>
      <c r="D15293" s="13" t="s">
        <v>83</v>
      </c>
      <c r="E15293" s="12" t="s">
        <v>35</v>
      </c>
      <c r="F15293" s="14">
        <v>280000</v>
      </c>
      <c r="G15293" s="14">
        <v>222500</v>
      </c>
      <c r="H15293" s="13" t="s">
        <v>29320</v>
      </c>
      <c r="I15293" s="40" t="s">
        <v>18</v>
      </c>
      <c r="J15293" s="40" t="str">
        <f>HYPERLINK("https://stock.pstatic.net/stock-research/company/1/20250120_company_622724000.pdf","PDF")</f>
        <v>PDF</v>
      </c>
      <c r="K15293" s="12" t="s">
        <v>29321</v>
      </c>
      <c r="L15293" s="20">
        <v>0.25842696629213491</v>
      </c>
    </row>
    <row r="15294" spans="1:12" x14ac:dyDescent="0.45">
      <c r="A15294" s="12" t="s">
        <v>29279</v>
      </c>
      <c r="B15294" s="12" t="s">
        <v>3105</v>
      </c>
      <c r="C15294" s="13" t="s">
        <v>3106</v>
      </c>
      <c r="D15294" s="13" t="s">
        <v>83</v>
      </c>
      <c r="E15294" s="12" t="s">
        <v>35</v>
      </c>
      <c r="F15294" s="14">
        <v>270000</v>
      </c>
      <c r="G15294" s="14">
        <v>223500</v>
      </c>
      <c r="H15294" s="13" t="s">
        <v>29322</v>
      </c>
      <c r="I15294" s="40" t="s">
        <v>18</v>
      </c>
      <c r="J15294" s="40" t="str">
        <f>HYPERLINK("https://stock.pstatic.net/stock-research/company/2/20250120_company_531313000.pdf","PDF")</f>
        <v>PDF</v>
      </c>
      <c r="K15294" s="12" t="s">
        <v>29323</v>
      </c>
      <c r="L15294" s="20">
        <v>0.20805369127516779</v>
      </c>
    </row>
    <row r="15295" spans="1:12" x14ac:dyDescent="0.45">
      <c r="A15295" s="12" t="s">
        <v>29279</v>
      </c>
      <c r="B15295" s="12" t="s">
        <v>86</v>
      </c>
      <c r="C15295" s="13" t="s">
        <v>87</v>
      </c>
      <c r="D15295" s="13" t="s">
        <v>15</v>
      </c>
      <c r="E15295" s="12" t="s">
        <v>50</v>
      </c>
      <c r="F15295" s="14">
        <v>130000</v>
      </c>
      <c r="G15295" s="14">
        <v>111800</v>
      </c>
      <c r="H15295" s="13" t="s">
        <v>29324</v>
      </c>
      <c r="I15295" s="40" t="s">
        <v>18</v>
      </c>
      <c r="J15295" s="40" t="str">
        <f>HYPERLINK("https://stock.pstatic.net/stock-research/company/29/20250120_company_827534000.pdf","PDF")</f>
        <v>PDF</v>
      </c>
      <c r="K15295" s="12" t="s">
        <v>29325</v>
      </c>
      <c r="L15295" s="20">
        <v>0.16279069767441859</v>
      </c>
    </row>
    <row r="15296" spans="1:12" x14ac:dyDescent="0.45">
      <c r="A15296" s="12" t="s">
        <v>29279</v>
      </c>
      <c r="B15296" s="12" t="s">
        <v>1437</v>
      </c>
      <c r="C15296" s="13" t="s">
        <v>1438</v>
      </c>
      <c r="D15296" s="13" t="s">
        <v>179</v>
      </c>
      <c r="E15296" s="12" t="s">
        <v>50</v>
      </c>
      <c r="F15296" s="13"/>
      <c r="G15296" s="14">
        <v>58500</v>
      </c>
      <c r="H15296" s="13" t="s">
        <v>29326</v>
      </c>
      <c r="I15296" s="40" t="s">
        <v>18</v>
      </c>
      <c r="J15296" s="40" t="str">
        <f>HYPERLINK("https://stock.pstatic.net/stock-research/company/31/20250120_company_698988000.pdf","PDF")</f>
        <v>PDF</v>
      </c>
      <c r="K15296" s="12" t="s">
        <v>29327</v>
      </c>
    </row>
    <row r="15297" spans="1:12" x14ac:dyDescent="0.45">
      <c r="A15297" s="12" t="s">
        <v>29279</v>
      </c>
      <c r="B15297" s="12" t="s">
        <v>5503</v>
      </c>
      <c r="C15297" s="13" t="s">
        <v>5504</v>
      </c>
      <c r="D15297" s="13" t="s">
        <v>92</v>
      </c>
      <c r="E15297" s="12" t="s">
        <v>35</v>
      </c>
      <c r="F15297" s="14">
        <v>8000</v>
      </c>
      <c r="G15297" s="14">
        <v>5000</v>
      </c>
      <c r="H15297" s="13" t="s">
        <v>29328</v>
      </c>
      <c r="I15297" s="40" t="s">
        <v>18</v>
      </c>
      <c r="J15297" s="40" t="str">
        <f>HYPERLINK("https://stock.pstatic.net/stock-research/company/63/20250120_company_194526000.pdf","PDF")</f>
        <v>PDF</v>
      </c>
      <c r="K15297" s="12" t="s">
        <v>29329</v>
      </c>
      <c r="L15297" s="20">
        <v>0.6</v>
      </c>
    </row>
    <row r="15298" spans="1:12" x14ac:dyDescent="0.45">
      <c r="A15298" s="12" t="s">
        <v>29279</v>
      </c>
      <c r="B15298" s="12" t="s">
        <v>102</v>
      </c>
      <c r="C15298" s="13" t="s">
        <v>103</v>
      </c>
      <c r="D15298" s="13" t="s">
        <v>34</v>
      </c>
      <c r="E15298" s="12" t="s">
        <v>35</v>
      </c>
      <c r="F15298" s="14">
        <v>21500</v>
      </c>
      <c r="G15298" s="14">
        <v>15400</v>
      </c>
      <c r="H15298" s="13" t="s">
        <v>29330</v>
      </c>
      <c r="I15298" s="40" t="s">
        <v>18</v>
      </c>
      <c r="J15298" s="40" t="str">
        <f>HYPERLINK("https://stock.pstatic.net/stock-research/company/61/20250120_company_124448000.pdf","PDF")</f>
        <v>PDF</v>
      </c>
      <c r="K15298" s="12" t="s">
        <v>29331</v>
      </c>
      <c r="L15298" s="20">
        <v>0.39610389610389612</v>
      </c>
    </row>
    <row r="15299" spans="1:12" x14ac:dyDescent="0.45">
      <c r="A15299" s="12" t="s">
        <v>29279</v>
      </c>
      <c r="B15299" s="12" t="s">
        <v>740</v>
      </c>
      <c r="C15299" s="13" t="s">
        <v>741</v>
      </c>
      <c r="D15299" s="13" t="s">
        <v>34</v>
      </c>
      <c r="E15299" s="12" t="s">
        <v>35</v>
      </c>
      <c r="F15299" s="14">
        <v>205000</v>
      </c>
      <c r="G15299" s="14">
        <v>158300</v>
      </c>
      <c r="H15299" s="13" t="s">
        <v>29332</v>
      </c>
      <c r="I15299" s="40" t="s">
        <v>18</v>
      </c>
      <c r="J15299" s="40" t="str">
        <f>HYPERLINK("https://stock.pstatic.net/stock-research/company/61/20250120_company_525614000.pdf","PDF")</f>
        <v>PDF</v>
      </c>
      <c r="K15299" s="12" t="s">
        <v>29333</v>
      </c>
      <c r="L15299" s="20">
        <v>0.29500947567909042</v>
      </c>
    </row>
    <row r="15300" spans="1:12" x14ac:dyDescent="0.45">
      <c r="A15300" s="12" t="s">
        <v>29279</v>
      </c>
      <c r="B15300" s="12" t="s">
        <v>4021</v>
      </c>
      <c r="C15300" s="13" t="s">
        <v>4022</v>
      </c>
      <c r="D15300" s="13" t="s">
        <v>179</v>
      </c>
      <c r="E15300" s="12" t="s">
        <v>16</v>
      </c>
      <c r="F15300" s="14">
        <v>300000</v>
      </c>
      <c r="G15300" s="14">
        <v>222500</v>
      </c>
      <c r="H15300" s="13" t="s">
        <v>29334</v>
      </c>
      <c r="I15300" s="40" t="s">
        <v>18</v>
      </c>
      <c r="J15300" s="40" t="str">
        <f>HYPERLINK("https://stock.pstatic.net/stock-research/company/31/20250120_company_219961000.pdf","PDF")</f>
        <v>PDF</v>
      </c>
      <c r="K15300" s="12" t="s">
        <v>29335</v>
      </c>
      <c r="L15300" s="20">
        <v>0.34831460674157311</v>
      </c>
    </row>
    <row r="15301" spans="1:12" x14ac:dyDescent="0.45">
      <c r="A15301" s="12" t="s">
        <v>29279</v>
      </c>
      <c r="B15301" s="12" t="s">
        <v>334</v>
      </c>
      <c r="C15301" s="13" t="s">
        <v>335</v>
      </c>
      <c r="D15301" s="13" t="s">
        <v>23</v>
      </c>
      <c r="E15301" s="12" t="s">
        <v>16</v>
      </c>
      <c r="F15301" s="14">
        <v>290000</v>
      </c>
      <c r="G15301" s="14">
        <v>214500</v>
      </c>
      <c r="H15301" s="13" t="s">
        <v>29336</v>
      </c>
      <c r="I15301" s="40" t="s">
        <v>18</v>
      </c>
      <c r="J15301" s="40" t="str">
        <f>HYPERLINK("https://stock.pstatic.net/stock-research/company/21/20250120_company_630975000.pdf","PDF")</f>
        <v>PDF</v>
      </c>
      <c r="K15301" s="12" t="s">
        <v>29337</v>
      </c>
      <c r="L15301" s="20">
        <v>0.351981351981352</v>
      </c>
    </row>
    <row r="15302" spans="1:12" x14ac:dyDescent="0.45">
      <c r="A15302" s="12" t="s">
        <v>29279</v>
      </c>
      <c r="B15302" s="12" t="s">
        <v>868</v>
      </c>
      <c r="C15302" s="13" t="s">
        <v>869</v>
      </c>
      <c r="D15302" s="13" t="s">
        <v>44</v>
      </c>
      <c r="E15302" s="12" t="s">
        <v>35</v>
      </c>
      <c r="F15302" s="14">
        <v>50000</v>
      </c>
      <c r="G15302" s="14">
        <v>29700</v>
      </c>
      <c r="H15302" s="13" t="s">
        <v>29338</v>
      </c>
      <c r="I15302" s="40" t="s">
        <v>18</v>
      </c>
      <c r="J15302" s="40" t="str">
        <f>HYPERLINK("https://stock.pstatic.net/stock-research/company/39/20250120_company_309067000.pdf","PDF")</f>
        <v>PDF</v>
      </c>
      <c r="K15302" s="12" t="s">
        <v>29339</v>
      </c>
      <c r="L15302" s="20">
        <v>0.6835016835016835</v>
      </c>
    </row>
    <row r="15303" spans="1:12" x14ac:dyDescent="0.45">
      <c r="A15303" s="12" t="s">
        <v>29279</v>
      </c>
      <c r="B15303" s="12" t="s">
        <v>3536</v>
      </c>
      <c r="C15303" s="13" t="s">
        <v>3537</v>
      </c>
      <c r="D15303" s="13" t="s">
        <v>179</v>
      </c>
      <c r="E15303" s="12" t="s">
        <v>16</v>
      </c>
      <c r="F15303" s="14">
        <v>320000</v>
      </c>
      <c r="G15303" s="14">
        <v>227000</v>
      </c>
      <c r="H15303" s="13" t="s">
        <v>29340</v>
      </c>
      <c r="I15303" s="40" t="s">
        <v>18</v>
      </c>
      <c r="J15303" s="40" t="str">
        <f>HYPERLINK("https://stock.pstatic.net/stock-research/company/31/20250120_company_607468000.pdf","PDF")</f>
        <v>PDF</v>
      </c>
      <c r="K15303" s="12" t="s">
        <v>29341</v>
      </c>
      <c r="L15303" s="20">
        <v>0.40969162995594721</v>
      </c>
    </row>
    <row r="15304" spans="1:12" x14ac:dyDescent="0.45">
      <c r="A15304" s="12" t="s">
        <v>29279</v>
      </c>
      <c r="B15304" s="12" t="s">
        <v>888</v>
      </c>
      <c r="C15304" s="13" t="s">
        <v>889</v>
      </c>
      <c r="D15304" s="13" t="s">
        <v>23</v>
      </c>
      <c r="E15304" s="12" t="s">
        <v>16</v>
      </c>
      <c r="F15304" s="14">
        <v>68000</v>
      </c>
      <c r="G15304" s="14">
        <v>50800</v>
      </c>
      <c r="H15304" s="13" t="s">
        <v>29342</v>
      </c>
      <c r="I15304" s="40" t="s">
        <v>18</v>
      </c>
      <c r="J15304" s="40" t="str">
        <f>HYPERLINK("https://stock.pstatic.net/stock-research/company/21/20250120_company_216318000.pdf","PDF")</f>
        <v>PDF</v>
      </c>
      <c r="K15304" s="12" t="s">
        <v>29343</v>
      </c>
      <c r="L15304" s="20">
        <v>0.33858267716535428</v>
      </c>
    </row>
    <row r="15305" spans="1:12" x14ac:dyDescent="0.45">
      <c r="A15305" s="12" t="s">
        <v>29279</v>
      </c>
      <c r="B15305" s="12" t="s">
        <v>3101</v>
      </c>
      <c r="C15305" s="13" t="s">
        <v>3102</v>
      </c>
      <c r="D15305" s="13" t="s">
        <v>92</v>
      </c>
      <c r="E15305" s="12" t="s">
        <v>35</v>
      </c>
      <c r="F15305" s="14">
        <v>200000</v>
      </c>
      <c r="G15305" s="14">
        <v>130100</v>
      </c>
      <c r="H15305" s="13" t="s">
        <v>29344</v>
      </c>
      <c r="I15305" s="40" t="s">
        <v>18</v>
      </c>
      <c r="J15305" s="40" t="str">
        <f>HYPERLINK("https://stock.pstatic.net/stock-research/company/63/20250120_company_64325000.pdf","PDF")</f>
        <v>PDF</v>
      </c>
      <c r="K15305" s="12" t="s">
        <v>29345</v>
      </c>
      <c r="L15305" s="20">
        <v>0.5372790161414297</v>
      </c>
    </row>
    <row r="15306" spans="1:12" x14ac:dyDescent="0.45">
      <c r="A15306" s="12" t="s">
        <v>29279</v>
      </c>
      <c r="B15306" s="12" t="s">
        <v>1670</v>
      </c>
      <c r="C15306" s="13" t="s">
        <v>26171</v>
      </c>
      <c r="D15306" s="13" t="s">
        <v>179</v>
      </c>
      <c r="E15306" s="12" t="s">
        <v>16</v>
      </c>
      <c r="F15306" s="14">
        <v>130000</v>
      </c>
      <c r="G15306" s="14">
        <v>93000</v>
      </c>
      <c r="H15306" s="13" t="s">
        <v>29346</v>
      </c>
      <c r="I15306" s="40" t="s">
        <v>18</v>
      </c>
      <c r="J15306" s="40" t="str">
        <f>HYPERLINK("https://stock.pstatic.net/stock-research/company/31/20250120_company_920839000.pdf","PDF")</f>
        <v>PDF</v>
      </c>
      <c r="K15306" s="12" t="s">
        <v>29347</v>
      </c>
      <c r="L15306" s="20">
        <v>0.39784946236559138</v>
      </c>
    </row>
    <row r="15307" spans="1:12" x14ac:dyDescent="0.45">
      <c r="A15307" s="12" t="s">
        <v>29279</v>
      </c>
      <c r="B15307" s="12" t="s">
        <v>2658</v>
      </c>
      <c r="C15307" s="13" t="s">
        <v>2659</v>
      </c>
      <c r="D15307" s="13" t="s">
        <v>44</v>
      </c>
      <c r="E15307" s="12" t="s">
        <v>35</v>
      </c>
      <c r="F15307" s="14">
        <v>190000</v>
      </c>
      <c r="G15307" s="14">
        <v>134000</v>
      </c>
      <c r="H15307" s="13" t="s">
        <v>29348</v>
      </c>
      <c r="I15307" s="40" t="s">
        <v>18</v>
      </c>
      <c r="J15307" s="40" t="str">
        <f>HYPERLINK("https://stock.pstatic.net/stock-research/company/39/20250120_company_968698000.pdf","PDF")</f>
        <v>PDF</v>
      </c>
      <c r="K15307" s="12" t="s">
        <v>29349</v>
      </c>
      <c r="L15307" s="20">
        <v>0.41791044776119401</v>
      </c>
    </row>
    <row r="15308" spans="1:12" x14ac:dyDescent="0.45">
      <c r="A15308" s="12" t="s">
        <v>29279</v>
      </c>
      <c r="B15308" s="12" t="s">
        <v>485</v>
      </c>
      <c r="C15308" s="13" t="s">
        <v>486</v>
      </c>
      <c r="D15308" s="13" t="s">
        <v>44</v>
      </c>
      <c r="E15308" s="12" t="s">
        <v>45</v>
      </c>
      <c r="F15308" s="14">
        <v>170000</v>
      </c>
      <c r="G15308" s="14">
        <v>146400</v>
      </c>
      <c r="H15308" s="13" t="s">
        <v>29350</v>
      </c>
      <c r="I15308" s="40" t="s">
        <v>18</v>
      </c>
      <c r="J15308" s="40" t="str">
        <f>HYPERLINK("https://stock.pstatic.net/stock-research/company/1/20250120_company_610871000.pdf","PDF")</f>
        <v>PDF</v>
      </c>
      <c r="K15308" s="12" t="s">
        <v>29351</v>
      </c>
      <c r="L15308" s="20">
        <v>0.16120218579234971</v>
      </c>
    </row>
    <row r="15309" spans="1:12" x14ac:dyDescent="0.45">
      <c r="A15309" s="12" t="s">
        <v>29279</v>
      </c>
      <c r="B15309" s="12" t="s">
        <v>438</v>
      </c>
      <c r="C15309" s="13" t="s">
        <v>439</v>
      </c>
      <c r="D15309" s="13" t="s">
        <v>124</v>
      </c>
      <c r="E15309" s="12" t="s">
        <v>50</v>
      </c>
      <c r="F15309" s="13"/>
      <c r="G15309" s="13"/>
      <c r="H15309" s="13" t="s">
        <v>29352</v>
      </c>
      <c r="I15309" s="40" t="s">
        <v>18</v>
      </c>
      <c r="J15309" s="40" t="str">
        <f>HYPERLINK("https://stock.pstatic.net/stock-research/company/74/20250120_company_449956000.pdf","PDF")</f>
        <v>PDF</v>
      </c>
      <c r="K15309" s="12" t="s">
        <v>29353</v>
      </c>
    </row>
    <row r="15310" spans="1:12" x14ac:dyDescent="0.45">
      <c r="A15310" s="12" t="s">
        <v>29279</v>
      </c>
      <c r="B15310" s="12" t="s">
        <v>2435</v>
      </c>
      <c r="C15310" s="13" t="s">
        <v>2436</v>
      </c>
      <c r="D15310" s="13" t="s">
        <v>15</v>
      </c>
      <c r="E15310" s="12" t="s">
        <v>16</v>
      </c>
      <c r="F15310" s="14">
        <v>383000</v>
      </c>
      <c r="G15310" s="14">
        <v>310000</v>
      </c>
      <c r="H15310" s="13" t="s">
        <v>29354</v>
      </c>
      <c r="I15310" s="40" t="s">
        <v>18</v>
      </c>
      <c r="J15310" s="40" t="str">
        <f>HYPERLINK("https://stock.pstatic.net/stock-research/company/29/20250120_company_803821000.pdf","PDF")</f>
        <v>PDF</v>
      </c>
      <c r="K15310" s="12" t="s">
        <v>29355</v>
      </c>
      <c r="L15310" s="20">
        <v>0.2354838709677419</v>
      </c>
    </row>
    <row r="15311" spans="1:12" x14ac:dyDescent="0.45">
      <c r="A15311" s="12" t="s">
        <v>29279</v>
      </c>
      <c r="B15311" s="12" t="s">
        <v>2492</v>
      </c>
      <c r="C15311" s="13" t="s">
        <v>2493</v>
      </c>
      <c r="D15311" s="13" t="s">
        <v>15</v>
      </c>
      <c r="E15311" s="12" t="s">
        <v>16</v>
      </c>
      <c r="F15311" s="14">
        <v>329000</v>
      </c>
      <c r="G15311" s="14">
        <v>243500</v>
      </c>
      <c r="H15311" s="13" t="s">
        <v>29356</v>
      </c>
      <c r="I15311" s="40" t="s">
        <v>18</v>
      </c>
      <c r="J15311" s="40" t="str">
        <f>HYPERLINK("https://stock.pstatic.net/stock-research/company/29/20250120_company_104623000.pdf","PDF")</f>
        <v>PDF</v>
      </c>
      <c r="K15311" s="12" t="s">
        <v>29357</v>
      </c>
      <c r="L15311" s="20">
        <v>0.35112936344969198</v>
      </c>
    </row>
    <row r="15312" spans="1:12" x14ac:dyDescent="0.45">
      <c r="A15312" s="12" t="s">
        <v>29279</v>
      </c>
      <c r="B15312" s="12" t="s">
        <v>13410</v>
      </c>
      <c r="C15312" s="13" t="s">
        <v>13411</v>
      </c>
      <c r="D15312" s="13" t="s">
        <v>15</v>
      </c>
      <c r="E15312" s="12" t="s">
        <v>16</v>
      </c>
      <c r="F15312" s="14">
        <v>198000</v>
      </c>
      <c r="G15312" s="14">
        <v>128300</v>
      </c>
      <c r="H15312" s="13" t="s">
        <v>29358</v>
      </c>
      <c r="I15312" s="40" t="s">
        <v>18</v>
      </c>
      <c r="J15312" s="40" t="str">
        <f>HYPERLINK("https://stock.pstatic.net/stock-research/company/29/20250120_company_290945000.pdf","PDF")</f>
        <v>PDF</v>
      </c>
      <c r="K15312" s="12" t="s">
        <v>29359</v>
      </c>
      <c r="L15312" s="20">
        <v>0.54325798908807488</v>
      </c>
    </row>
    <row r="15313" spans="1:12" x14ac:dyDescent="0.45">
      <c r="A15313" s="12" t="s">
        <v>29279</v>
      </c>
      <c r="B15313" s="12" t="s">
        <v>1308</v>
      </c>
      <c r="C15313" s="13" t="s">
        <v>1309</v>
      </c>
      <c r="D15313" s="13" t="s">
        <v>53</v>
      </c>
      <c r="E15313" s="12" t="s">
        <v>16</v>
      </c>
      <c r="F15313" s="14">
        <v>450000</v>
      </c>
      <c r="G15313" s="14">
        <v>341000</v>
      </c>
      <c r="H15313" s="13" t="s">
        <v>29360</v>
      </c>
      <c r="I15313" s="40" t="s">
        <v>18</v>
      </c>
      <c r="J15313" s="40" t="str">
        <f>HYPERLINK("https://stock.pstatic.net/stock-research/company/40/20250120_company_403000000.pdf","PDF")</f>
        <v>PDF</v>
      </c>
      <c r="K15313" s="12" t="s">
        <v>29361</v>
      </c>
      <c r="L15313" s="20">
        <v>0.31964809384164222</v>
      </c>
    </row>
    <row r="15314" spans="1:12" x14ac:dyDescent="0.45">
      <c r="A15314" s="12" t="s">
        <v>29362</v>
      </c>
      <c r="B15314" s="12" t="s">
        <v>1652</v>
      </c>
      <c r="C15314" s="13" t="s">
        <v>1653</v>
      </c>
      <c r="D15314" s="13" t="s">
        <v>276</v>
      </c>
      <c r="E15314" s="12" t="s">
        <v>16</v>
      </c>
      <c r="F15314" s="14">
        <v>56000</v>
      </c>
      <c r="G15314" s="14">
        <v>41300</v>
      </c>
      <c r="H15314" s="13" t="s">
        <v>29363</v>
      </c>
      <c r="I15314" s="40" t="s">
        <v>18</v>
      </c>
      <c r="J15314" s="40" t="str">
        <f>HYPERLINK("https://stock.pstatic.net/stock-research/company/66/20250117_company_846800000.pdf","PDF")</f>
        <v>PDF</v>
      </c>
      <c r="K15314" s="12" t="s">
        <v>29364</v>
      </c>
      <c r="L15314" s="20">
        <v>0.3559322033898305</v>
      </c>
    </row>
    <row r="15315" spans="1:12" x14ac:dyDescent="0.45">
      <c r="A15315" s="12" t="s">
        <v>29362</v>
      </c>
      <c r="B15315" s="12" t="s">
        <v>2266</v>
      </c>
      <c r="C15315" s="13" t="s">
        <v>2267</v>
      </c>
      <c r="D15315" s="13" t="s">
        <v>60</v>
      </c>
      <c r="E15315" s="12" t="s">
        <v>35</v>
      </c>
      <c r="F15315" s="14">
        <v>77000</v>
      </c>
      <c r="G15315" s="14">
        <v>52600</v>
      </c>
      <c r="H15315" s="13" t="s">
        <v>27807</v>
      </c>
      <c r="I15315" s="40" t="s">
        <v>18</v>
      </c>
      <c r="J15315" s="40" t="str">
        <f>HYPERLINK("https://stock.pstatic.net/stock-research/company/62/20250117_company_642528000.pdf","PDF")</f>
        <v>PDF</v>
      </c>
      <c r="K15315" s="12" t="s">
        <v>29365</v>
      </c>
      <c r="L15315" s="20">
        <v>0.46387832699619769</v>
      </c>
    </row>
    <row r="15316" spans="1:12" x14ac:dyDescent="0.45">
      <c r="A15316" s="12" t="s">
        <v>29362</v>
      </c>
      <c r="B15316" s="12" t="s">
        <v>398</v>
      </c>
      <c r="C15316" s="13" t="s">
        <v>399</v>
      </c>
      <c r="D15316" s="13" t="s">
        <v>57</v>
      </c>
      <c r="E15316" s="12" t="s">
        <v>35</v>
      </c>
      <c r="F15316" s="14">
        <v>180000</v>
      </c>
      <c r="G15316" s="14">
        <v>151900</v>
      </c>
      <c r="H15316" s="13" t="s">
        <v>29366</v>
      </c>
      <c r="I15316" s="40" t="s">
        <v>18</v>
      </c>
      <c r="J15316" s="40" t="str">
        <f>HYPERLINK("https://stock.pstatic.net/stock-research/company/16/20250117_company_902193000.pdf","PDF")</f>
        <v>PDF</v>
      </c>
      <c r="K15316" s="12" t="s">
        <v>29367</v>
      </c>
      <c r="L15316" s="20">
        <v>0.18499012508229101</v>
      </c>
    </row>
    <row r="15317" spans="1:12" x14ac:dyDescent="0.45">
      <c r="A15317" s="12" t="s">
        <v>29362</v>
      </c>
      <c r="B15317" s="12" t="s">
        <v>3101</v>
      </c>
      <c r="C15317" s="13" t="s">
        <v>3102</v>
      </c>
      <c r="D15317" s="13" t="s">
        <v>57</v>
      </c>
      <c r="E15317" s="12" t="s">
        <v>159</v>
      </c>
      <c r="F15317" s="14">
        <v>110000</v>
      </c>
      <c r="G15317" s="14">
        <v>131300</v>
      </c>
      <c r="H15317" s="13" t="s">
        <v>29368</v>
      </c>
      <c r="I15317" s="40" t="s">
        <v>18</v>
      </c>
      <c r="J15317" s="40" t="str">
        <f>HYPERLINK("https://stock.pstatic.net/stock-research/company/16/20250117_company_736328000.pdf","PDF")</f>
        <v>PDF</v>
      </c>
      <c r="K15317" s="12" t="s">
        <v>29369</v>
      </c>
      <c r="L15317" s="20">
        <v>-0.1622239146991622</v>
      </c>
    </row>
    <row r="15318" spans="1:12" x14ac:dyDescent="0.45">
      <c r="A15318" s="12" t="s">
        <v>29362</v>
      </c>
      <c r="B15318" s="12" t="s">
        <v>2365</v>
      </c>
      <c r="C15318" s="13" t="s">
        <v>2366</v>
      </c>
      <c r="D15318" s="13" t="s">
        <v>57</v>
      </c>
      <c r="E15318" s="12" t="s">
        <v>35</v>
      </c>
      <c r="F15318" s="14">
        <v>130000</v>
      </c>
      <c r="G15318" s="14">
        <v>87700</v>
      </c>
      <c r="H15318" s="13" t="s">
        <v>29370</v>
      </c>
      <c r="I15318" s="40" t="s">
        <v>18</v>
      </c>
      <c r="J15318" s="40" t="str">
        <f>HYPERLINK("https://stock.pstatic.net/stock-research/company/16/20250117_company_356918000.pdf","PDF")</f>
        <v>PDF</v>
      </c>
      <c r="K15318" s="12" t="s">
        <v>29371</v>
      </c>
      <c r="L15318" s="20">
        <v>0.48232611174458379</v>
      </c>
    </row>
    <row r="15319" spans="1:12" x14ac:dyDescent="0.45">
      <c r="A15319" s="12" t="s">
        <v>29362</v>
      </c>
      <c r="B15319" s="12" t="s">
        <v>533</v>
      </c>
      <c r="C15319" s="13" t="s">
        <v>534</v>
      </c>
      <c r="D15319" s="13" t="s">
        <v>15</v>
      </c>
      <c r="E15319" s="12" t="s">
        <v>16</v>
      </c>
      <c r="F15319" s="14">
        <v>60000</v>
      </c>
      <c r="G15319" s="14">
        <v>44850</v>
      </c>
      <c r="H15319" s="13" t="s">
        <v>29372</v>
      </c>
      <c r="I15319" s="40" t="s">
        <v>18</v>
      </c>
      <c r="J15319" s="40" t="str">
        <f>HYPERLINK("https://m.stock.naver.com/research/company/79966","PDF")</f>
        <v>PDF</v>
      </c>
      <c r="K15319" s="12" t="s">
        <v>29373</v>
      </c>
      <c r="L15319" s="20">
        <v>0.33779264214046822</v>
      </c>
    </row>
    <row r="15320" spans="1:12" x14ac:dyDescent="0.45">
      <c r="A15320" s="12" t="s">
        <v>29362</v>
      </c>
      <c r="B15320" s="12" t="s">
        <v>537</v>
      </c>
      <c r="C15320" s="13" t="s">
        <v>538</v>
      </c>
      <c r="D15320" s="13" t="s">
        <v>15</v>
      </c>
      <c r="E15320" s="12" t="s">
        <v>16</v>
      </c>
      <c r="F15320" s="14">
        <v>13900</v>
      </c>
      <c r="G15320" s="14">
        <v>10310</v>
      </c>
      <c r="H15320" s="13" t="s">
        <v>29374</v>
      </c>
      <c r="I15320" s="40" t="s">
        <v>18</v>
      </c>
      <c r="J15320" s="40" t="str">
        <f>HYPERLINK("https://stock.pstatic.net/stock-research/company/29/20250117_company_653300000.pdf","PDF")</f>
        <v>PDF</v>
      </c>
      <c r="K15320" s="12" t="s">
        <v>29375</v>
      </c>
      <c r="L15320" s="20">
        <v>0.34820562560620749</v>
      </c>
    </row>
    <row r="15321" spans="1:12" x14ac:dyDescent="0.45">
      <c r="A15321" s="12" t="s">
        <v>29362</v>
      </c>
      <c r="B15321" s="12" t="s">
        <v>541</v>
      </c>
      <c r="C15321" s="13" t="s">
        <v>542</v>
      </c>
      <c r="D15321" s="13" t="s">
        <v>15</v>
      </c>
      <c r="E15321" s="12" t="s">
        <v>16</v>
      </c>
      <c r="F15321" s="14">
        <v>70000</v>
      </c>
      <c r="G15321" s="14">
        <v>55300</v>
      </c>
      <c r="H15321" s="13" t="s">
        <v>29376</v>
      </c>
      <c r="I15321" s="40" t="s">
        <v>18</v>
      </c>
      <c r="J15321" s="40" t="str">
        <f>HYPERLINK("https://stock.pstatic.net/stock-research/company/29/20250117_company_684183000.pdf","PDF")</f>
        <v>PDF</v>
      </c>
      <c r="K15321" s="12" t="s">
        <v>29377</v>
      </c>
      <c r="L15321" s="20">
        <v>0.26582278481012661</v>
      </c>
    </row>
    <row r="15322" spans="1:12" x14ac:dyDescent="0.45">
      <c r="A15322" s="12" t="s">
        <v>29362</v>
      </c>
      <c r="B15322" s="12" t="s">
        <v>2253</v>
      </c>
      <c r="C15322" s="13" t="s">
        <v>2254</v>
      </c>
      <c r="D15322" s="13" t="s">
        <v>15</v>
      </c>
      <c r="E15322" s="12" t="s">
        <v>16</v>
      </c>
      <c r="F15322" s="14">
        <v>9700</v>
      </c>
      <c r="G15322" s="14">
        <v>7640</v>
      </c>
      <c r="H15322" s="13" t="s">
        <v>29378</v>
      </c>
      <c r="I15322" s="40" t="s">
        <v>18</v>
      </c>
      <c r="J15322" s="40" t="str">
        <f>HYPERLINK("https://stock.pstatic.net/stock-research/company/29/20250117_company_999945000.pdf","PDF")</f>
        <v>PDF</v>
      </c>
      <c r="K15322" s="12" t="s">
        <v>29379</v>
      </c>
      <c r="L15322" s="20">
        <v>0.26963350785340312</v>
      </c>
    </row>
    <row r="15323" spans="1:12" x14ac:dyDescent="0.45">
      <c r="A15323" s="12" t="s">
        <v>29362</v>
      </c>
      <c r="B15323" s="12" t="s">
        <v>3168</v>
      </c>
      <c r="C15323" s="13" t="s">
        <v>25909</v>
      </c>
      <c r="D15323" s="13" t="s">
        <v>179</v>
      </c>
      <c r="E15323" s="12" t="s">
        <v>16</v>
      </c>
      <c r="F15323" s="14">
        <v>11000</v>
      </c>
      <c r="G15323" s="14">
        <v>8870</v>
      </c>
      <c r="H15323" s="13" t="s">
        <v>29380</v>
      </c>
      <c r="I15323" s="40" t="s">
        <v>18</v>
      </c>
      <c r="J15323" s="40" t="str">
        <f>HYPERLINK("https://stock.pstatic.net/stock-research/company/31/20250117_company_561790000.pdf","PDF")</f>
        <v>PDF</v>
      </c>
      <c r="K15323" s="12" t="s">
        <v>29381</v>
      </c>
      <c r="L15323" s="20">
        <v>0.24013528748590759</v>
      </c>
    </row>
    <row r="15324" spans="1:12" x14ac:dyDescent="0.45">
      <c r="A15324" s="12" t="s">
        <v>29362</v>
      </c>
      <c r="B15324" s="12" t="s">
        <v>2658</v>
      </c>
      <c r="C15324" s="13" t="s">
        <v>2659</v>
      </c>
      <c r="D15324" s="13" t="s">
        <v>853</v>
      </c>
      <c r="E15324" s="12" t="s">
        <v>35</v>
      </c>
      <c r="F15324" s="14">
        <v>220000</v>
      </c>
      <c r="G15324" s="14">
        <v>136000</v>
      </c>
      <c r="H15324" s="13" t="s">
        <v>29382</v>
      </c>
      <c r="I15324" s="40" t="s">
        <v>18</v>
      </c>
      <c r="J15324" s="40" t="str">
        <f>HYPERLINK("https://stock.pstatic.net/stock-research/company/17/20250117_company_708517000.pdf","PDF")</f>
        <v>PDF</v>
      </c>
      <c r="K15324" s="12" t="s">
        <v>29383</v>
      </c>
      <c r="L15324" s="20">
        <v>0.61764705882352944</v>
      </c>
    </row>
    <row r="15325" spans="1:12" x14ac:dyDescent="0.45">
      <c r="A15325" s="12" t="s">
        <v>29362</v>
      </c>
      <c r="B15325" s="12" t="s">
        <v>3369</v>
      </c>
      <c r="C15325" s="13" t="s">
        <v>3370</v>
      </c>
      <c r="D15325" s="13" t="s">
        <v>179</v>
      </c>
      <c r="E15325" s="12" t="s">
        <v>16</v>
      </c>
      <c r="F15325" s="14">
        <v>23000</v>
      </c>
      <c r="G15325" s="14">
        <v>18250</v>
      </c>
      <c r="H15325" s="13" t="s">
        <v>29384</v>
      </c>
      <c r="I15325" s="40" t="s">
        <v>18</v>
      </c>
      <c r="J15325" s="40" t="str">
        <f>HYPERLINK("https://stock.pstatic.net/stock-research/company/31/20250117_company_227965000.pdf","PDF")</f>
        <v>PDF</v>
      </c>
      <c r="K15325" s="12" t="s">
        <v>29385</v>
      </c>
      <c r="L15325" s="20">
        <v>0.26027397260273971</v>
      </c>
    </row>
    <row r="15326" spans="1:12" x14ac:dyDescent="0.45">
      <c r="A15326" s="12" t="s">
        <v>29362</v>
      </c>
      <c r="B15326" s="12" t="s">
        <v>3451</v>
      </c>
      <c r="C15326" s="13" t="s">
        <v>3452</v>
      </c>
      <c r="D15326" s="13" t="s">
        <v>179</v>
      </c>
      <c r="E15326" s="12" t="s">
        <v>16</v>
      </c>
      <c r="F15326" s="14">
        <v>250000</v>
      </c>
      <c r="G15326" s="14">
        <v>185500</v>
      </c>
      <c r="H15326" s="13" t="s">
        <v>29386</v>
      </c>
      <c r="I15326" s="40" t="s">
        <v>18</v>
      </c>
      <c r="J15326" s="40" t="str">
        <f>HYPERLINK("https://m.stock.naver.com/research/company/79959","PDF")</f>
        <v>PDF</v>
      </c>
      <c r="K15326" s="12" t="s">
        <v>29387</v>
      </c>
      <c r="L15326" s="20">
        <v>0.34770889487870621</v>
      </c>
    </row>
    <row r="15327" spans="1:12" x14ac:dyDescent="0.45">
      <c r="A15327" s="12" t="s">
        <v>29362</v>
      </c>
      <c r="B15327" s="12" t="s">
        <v>2944</v>
      </c>
      <c r="C15327" s="13" t="s">
        <v>2945</v>
      </c>
      <c r="D15327" s="13" t="s">
        <v>179</v>
      </c>
      <c r="E15327" s="12" t="s">
        <v>16</v>
      </c>
      <c r="F15327" s="14">
        <v>14000</v>
      </c>
      <c r="G15327" s="14">
        <v>11570</v>
      </c>
      <c r="H15327" s="13" t="s">
        <v>29388</v>
      </c>
      <c r="I15327" s="40" t="s">
        <v>18</v>
      </c>
      <c r="J15327" s="40" t="str">
        <f>HYPERLINK("https://stock.pstatic.net/stock-research/company/2/20250117_company_378083000.pdf","PDF")</f>
        <v>PDF</v>
      </c>
      <c r="K15327" s="12" t="s">
        <v>29389</v>
      </c>
      <c r="L15327" s="20">
        <v>0.2100259291270527</v>
      </c>
    </row>
    <row r="15328" spans="1:12" x14ac:dyDescent="0.45">
      <c r="A15328" s="12" t="s">
        <v>29362</v>
      </c>
      <c r="B15328" s="12" t="s">
        <v>768</v>
      </c>
      <c r="C15328" s="13" t="s">
        <v>769</v>
      </c>
      <c r="D15328" s="13" t="s">
        <v>83</v>
      </c>
      <c r="E15328" s="12" t="s">
        <v>35</v>
      </c>
      <c r="F15328" s="14">
        <v>180000</v>
      </c>
      <c r="G15328" s="14">
        <v>151200</v>
      </c>
      <c r="H15328" s="13" t="s">
        <v>29390</v>
      </c>
      <c r="I15328" s="40" t="s">
        <v>18</v>
      </c>
      <c r="J15328" s="40" t="str">
        <f>HYPERLINK("https://stock.pstatic.net/stock-research/company/2/20250117_company_738636000.pdf","PDF")</f>
        <v>PDF</v>
      </c>
      <c r="K15328" s="12" t="s">
        <v>29391</v>
      </c>
      <c r="L15328" s="20">
        <v>0.19047619047619049</v>
      </c>
    </row>
    <row r="15329" spans="1:12" x14ac:dyDescent="0.45">
      <c r="A15329" s="12" t="s">
        <v>29362</v>
      </c>
      <c r="B15329" s="12" t="s">
        <v>1849</v>
      </c>
      <c r="C15329" s="13" t="s">
        <v>1850</v>
      </c>
      <c r="D15329" s="13" t="s">
        <v>83</v>
      </c>
      <c r="E15329" s="12" t="s">
        <v>35</v>
      </c>
      <c r="F15329" s="14">
        <v>30500</v>
      </c>
      <c r="G15329" s="14">
        <v>18290</v>
      </c>
      <c r="H15329" s="13" t="s">
        <v>29392</v>
      </c>
      <c r="I15329" s="40" t="s">
        <v>18</v>
      </c>
      <c r="J15329" s="40" t="str">
        <f>HYPERLINK("https://stock.pstatic.net/stock-research/company/2/20250117_company_929771000.pdf","PDF")</f>
        <v>PDF</v>
      </c>
      <c r="K15329" s="12" t="s">
        <v>29393</v>
      </c>
      <c r="L15329" s="20">
        <v>0.66757791142700929</v>
      </c>
    </row>
    <row r="15330" spans="1:12" x14ac:dyDescent="0.45">
      <c r="A15330" s="12" t="s">
        <v>29362</v>
      </c>
      <c r="B15330" s="12" t="s">
        <v>330</v>
      </c>
      <c r="C15330" s="13" t="s">
        <v>331</v>
      </c>
      <c r="D15330" s="13" t="s">
        <v>83</v>
      </c>
      <c r="E15330" s="12" t="s">
        <v>35</v>
      </c>
      <c r="F15330" s="14">
        <v>37000</v>
      </c>
      <c r="G15330" s="14">
        <v>20650</v>
      </c>
      <c r="H15330" s="13" t="s">
        <v>29394</v>
      </c>
      <c r="I15330" s="40" t="s">
        <v>18</v>
      </c>
      <c r="J15330" s="40" t="str">
        <f>HYPERLINK("https://stock.pstatic.net/stock-research/company/2/20250117_company_44165000.pdf","PDF")</f>
        <v>PDF</v>
      </c>
      <c r="K15330" s="12" t="s">
        <v>29395</v>
      </c>
      <c r="L15330" s="20">
        <v>0.79176755447941893</v>
      </c>
    </row>
    <row r="15331" spans="1:12" x14ac:dyDescent="0.45">
      <c r="A15331" s="12" t="s">
        <v>29362</v>
      </c>
      <c r="B15331" s="12" t="s">
        <v>946</v>
      </c>
      <c r="C15331" s="13" t="s">
        <v>947</v>
      </c>
      <c r="D15331" s="13" t="s">
        <v>179</v>
      </c>
      <c r="E15331" s="12" t="s">
        <v>50</v>
      </c>
      <c r="F15331" s="13"/>
      <c r="G15331" s="14">
        <v>13540</v>
      </c>
      <c r="H15331" s="13" t="s">
        <v>29396</v>
      </c>
      <c r="I15331" s="40" t="s">
        <v>18</v>
      </c>
      <c r="J15331" s="40" t="str">
        <f>HYPERLINK("https://m.stock.naver.com/research/company/79953","PDF")</f>
        <v>PDF</v>
      </c>
      <c r="K15331" s="12" t="s">
        <v>29397</v>
      </c>
    </row>
    <row r="15332" spans="1:12" x14ac:dyDescent="0.45">
      <c r="A15332" s="12" t="s">
        <v>29362</v>
      </c>
      <c r="B15332" s="12" t="s">
        <v>8465</v>
      </c>
      <c r="C15332" s="13" t="s">
        <v>8466</v>
      </c>
      <c r="D15332" s="13" t="s">
        <v>92</v>
      </c>
      <c r="E15332" s="12" t="s">
        <v>35</v>
      </c>
      <c r="F15332" s="14">
        <v>38000</v>
      </c>
      <c r="G15332" s="14">
        <v>25250</v>
      </c>
      <c r="H15332" s="13" t="s">
        <v>29398</v>
      </c>
      <c r="I15332" s="40" t="s">
        <v>18</v>
      </c>
      <c r="J15332" s="40" t="str">
        <f>HYPERLINK("https://m.stock.naver.com/research/company/79952","PDF")</f>
        <v>PDF</v>
      </c>
      <c r="K15332" s="12" t="s">
        <v>29399</v>
      </c>
      <c r="L15332" s="20">
        <v>0.50495049504950495</v>
      </c>
    </row>
    <row r="15333" spans="1:12" x14ac:dyDescent="0.45">
      <c r="A15333" s="12" t="s">
        <v>29362</v>
      </c>
      <c r="B15333" s="12" t="s">
        <v>507</v>
      </c>
      <c r="C15333" s="13" t="s">
        <v>508</v>
      </c>
      <c r="D15333" s="13" t="s">
        <v>179</v>
      </c>
      <c r="E15333" s="12" t="s">
        <v>16</v>
      </c>
      <c r="F15333" s="14">
        <v>12000</v>
      </c>
      <c r="G15333" s="14">
        <v>9360</v>
      </c>
      <c r="H15333" s="13" t="s">
        <v>29400</v>
      </c>
      <c r="I15333" s="40" t="s">
        <v>18</v>
      </c>
      <c r="J15333" s="40" t="str">
        <f>HYPERLINK("https://stock.pstatic.net/stock-research/company/31/20250117_company_49009000.pdf","PDF")</f>
        <v>PDF</v>
      </c>
      <c r="K15333" s="12" t="s">
        <v>29401</v>
      </c>
      <c r="L15333" s="20">
        <v>0.28205128205128199</v>
      </c>
    </row>
    <row r="15334" spans="1:12" x14ac:dyDescent="0.45">
      <c r="A15334" s="12" t="s">
        <v>29362</v>
      </c>
      <c r="B15334" s="12" t="s">
        <v>12399</v>
      </c>
      <c r="C15334" s="13" t="s">
        <v>12400</v>
      </c>
      <c r="D15334" s="13" t="s">
        <v>179</v>
      </c>
      <c r="E15334" s="12" t="s">
        <v>16</v>
      </c>
      <c r="F15334" s="14">
        <v>56000</v>
      </c>
      <c r="G15334" s="14">
        <v>42400</v>
      </c>
      <c r="H15334" s="13" t="s">
        <v>29402</v>
      </c>
      <c r="I15334" s="40" t="s">
        <v>18</v>
      </c>
      <c r="J15334" s="40" t="str">
        <f>HYPERLINK("https://stock.pstatic.net/stock-research/company/31/20250117_company_3836000.pdf","PDF")</f>
        <v>PDF</v>
      </c>
      <c r="K15334" s="12" t="s">
        <v>29403</v>
      </c>
      <c r="L15334" s="20">
        <v>0.32075471698113212</v>
      </c>
    </row>
    <row r="15335" spans="1:12" x14ac:dyDescent="0.45">
      <c r="A15335" s="12" t="s">
        <v>29362</v>
      </c>
      <c r="B15335" s="12" t="s">
        <v>63</v>
      </c>
      <c r="C15335" s="13" t="s">
        <v>64</v>
      </c>
      <c r="D15335" s="13" t="s">
        <v>34</v>
      </c>
      <c r="E15335" s="12" t="s">
        <v>35</v>
      </c>
      <c r="F15335" s="14">
        <v>350000</v>
      </c>
      <c r="G15335" s="14">
        <v>258000</v>
      </c>
      <c r="H15335" s="13" t="s">
        <v>29404</v>
      </c>
      <c r="I15335" s="40" t="s">
        <v>18</v>
      </c>
      <c r="J15335" s="40" t="str">
        <f>HYPERLINK("https://stock.pstatic.net/stock-research/company/61/20250117_company_351241000.pdf","PDF")</f>
        <v>PDF</v>
      </c>
      <c r="K15335" s="12" t="s">
        <v>29405</v>
      </c>
      <c r="L15335" s="20">
        <v>0.35658914728682167</v>
      </c>
    </row>
    <row r="15336" spans="1:12" x14ac:dyDescent="0.45">
      <c r="A15336" s="12" t="s">
        <v>29362</v>
      </c>
      <c r="B15336" s="12" t="s">
        <v>1666</v>
      </c>
      <c r="C15336" s="13" t="s">
        <v>1667</v>
      </c>
      <c r="D15336" s="13" t="s">
        <v>179</v>
      </c>
      <c r="E15336" s="12" t="s">
        <v>16</v>
      </c>
      <c r="F15336" s="14">
        <v>67000</v>
      </c>
      <c r="G15336" s="14">
        <v>48650</v>
      </c>
      <c r="H15336" s="13" t="s">
        <v>29406</v>
      </c>
      <c r="I15336" s="40" t="s">
        <v>18</v>
      </c>
      <c r="J15336" s="40" t="str">
        <f>HYPERLINK("https://m.stock.naver.com/research/company/79948","PDF")</f>
        <v>PDF</v>
      </c>
      <c r="K15336" s="12" t="s">
        <v>29407</v>
      </c>
      <c r="L15336" s="20">
        <v>0.37718396711202468</v>
      </c>
    </row>
    <row r="15337" spans="1:12" x14ac:dyDescent="0.45">
      <c r="A15337" s="12" t="s">
        <v>29362</v>
      </c>
      <c r="B15337" s="12" t="s">
        <v>1300</v>
      </c>
      <c r="C15337" s="13" t="s">
        <v>1301</v>
      </c>
      <c r="D15337" s="13" t="s">
        <v>179</v>
      </c>
      <c r="E15337" s="12" t="s">
        <v>16</v>
      </c>
      <c r="F15337" s="14">
        <v>180000</v>
      </c>
      <c r="G15337" s="14">
        <v>122900</v>
      </c>
      <c r="H15337" s="13" t="s">
        <v>29408</v>
      </c>
      <c r="I15337" s="40" t="s">
        <v>18</v>
      </c>
      <c r="J15337" s="40" t="str">
        <f>HYPERLINK("https://stock.pstatic.net/stock-research/company/1/20250117_company_624254000.pdf","PDF")</f>
        <v>PDF</v>
      </c>
      <c r="K15337" s="12" t="s">
        <v>29409</v>
      </c>
      <c r="L15337" s="20">
        <v>0.46460537021969078</v>
      </c>
    </row>
    <row r="15338" spans="1:12" x14ac:dyDescent="0.45">
      <c r="A15338" s="12" t="s">
        <v>29362</v>
      </c>
      <c r="B15338" s="12" t="s">
        <v>2089</v>
      </c>
      <c r="C15338" s="13" t="s">
        <v>2090</v>
      </c>
      <c r="D15338" s="13" t="s">
        <v>23</v>
      </c>
      <c r="E15338" s="12" t="s">
        <v>16</v>
      </c>
      <c r="F15338" s="14">
        <v>90000</v>
      </c>
      <c r="G15338" s="14">
        <v>63900</v>
      </c>
      <c r="H15338" s="13" t="s">
        <v>29410</v>
      </c>
      <c r="I15338" s="40" t="s">
        <v>18</v>
      </c>
      <c r="J15338" s="40" t="str">
        <f>HYPERLINK("https://stock.pstatic.net/stock-research/company/21/20250117_company_216135000.pdf","PDF")</f>
        <v>PDF</v>
      </c>
      <c r="K15338" s="12" t="s">
        <v>29411</v>
      </c>
      <c r="L15338" s="20">
        <v>0.40845070422535212</v>
      </c>
    </row>
    <row r="15339" spans="1:12" x14ac:dyDescent="0.45">
      <c r="A15339" s="12" t="s">
        <v>29362</v>
      </c>
      <c r="B15339" s="12" t="s">
        <v>95</v>
      </c>
      <c r="C15339" s="13" t="s">
        <v>31</v>
      </c>
      <c r="D15339" s="13" t="s">
        <v>23</v>
      </c>
      <c r="E15339" s="12" t="s">
        <v>16</v>
      </c>
      <c r="F15339" s="14">
        <v>27000</v>
      </c>
      <c r="G15339" s="14">
        <v>17730</v>
      </c>
      <c r="H15339" s="13" t="s">
        <v>29412</v>
      </c>
      <c r="I15339" s="40" t="s">
        <v>18</v>
      </c>
      <c r="J15339" s="40" t="str">
        <f>HYPERLINK("https://stock.pstatic.net/stock-research/company/21/20250117_company_562865000.pdf","PDF")</f>
        <v>PDF</v>
      </c>
      <c r="K15339" s="12" t="s">
        <v>29413</v>
      </c>
      <c r="L15339" s="20">
        <v>0.52284263959390864</v>
      </c>
    </row>
    <row r="15340" spans="1:12" x14ac:dyDescent="0.45">
      <c r="A15340" s="12" t="s">
        <v>29362</v>
      </c>
      <c r="B15340" s="12" t="s">
        <v>744</v>
      </c>
      <c r="C15340" s="13" t="s">
        <v>745</v>
      </c>
      <c r="D15340" s="13" t="s">
        <v>44</v>
      </c>
      <c r="E15340" s="12" t="s">
        <v>35</v>
      </c>
      <c r="F15340" s="14">
        <v>17000</v>
      </c>
      <c r="G15340" s="14">
        <v>13350</v>
      </c>
      <c r="H15340" s="13" t="s">
        <v>29414</v>
      </c>
      <c r="I15340" s="40" t="s">
        <v>18</v>
      </c>
      <c r="J15340" s="40" t="str">
        <f>HYPERLINK("https://stock.pstatic.net/stock-research/company/39/20250117_company_738000000.pdf","PDF")</f>
        <v>PDF</v>
      </c>
      <c r="K15340" s="12" t="s">
        <v>29415</v>
      </c>
      <c r="L15340" s="20">
        <v>0.27340823970037448</v>
      </c>
    </row>
    <row r="15341" spans="1:12" x14ac:dyDescent="0.45">
      <c r="A15341" s="12" t="s">
        <v>29362</v>
      </c>
      <c r="B15341" s="12" t="s">
        <v>1042</v>
      </c>
      <c r="C15341" s="13" t="s">
        <v>1043</v>
      </c>
      <c r="D15341" s="13" t="s">
        <v>44</v>
      </c>
      <c r="E15341" s="12" t="s">
        <v>35</v>
      </c>
      <c r="F15341" s="14">
        <v>32000</v>
      </c>
      <c r="G15341" s="14">
        <v>19330</v>
      </c>
      <c r="H15341" s="13" t="s">
        <v>29416</v>
      </c>
      <c r="I15341" s="40" t="s">
        <v>18</v>
      </c>
      <c r="J15341" s="40" t="str">
        <f>HYPERLINK("https://stock.pstatic.net/stock-research/company/1/20250117_company_719540000.pdf","PDF")</f>
        <v>PDF</v>
      </c>
      <c r="K15341" s="12" t="s">
        <v>29417</v>
      </c>
      <c r="L15341" s="20">
        <v>0.65545783755819964</v>
      </c>
    </row>
    <row r="15342" spans="1:12" x14ac:dyDescent="0.45">
      <c r="A15342" s="12" t="s">
        <v>29418</v>
      </c>
      <c r="B15342" s="12" t="s">
        <v>728</v>
      </c>
      <c r="C15342" s="13" t="s">
        <v>729</v>
      </c>
      <c r="D15342" s="13" t="s">
        <v>276</v>
      </c>
      <c r="E15342" s="12" t="s">
        <v>16</v>
      </c>
      <c r="F15342" s="14">
        <v>130000</v>
      </c>
      <c r="G15342" s="14">
        <v>92100</v>
      </c>
      <c r="H15342" s="13" t="s">
        <v>29419</v>
      </c>
      <c r="I15342" s="40" t="s">
        <v>18</v>
      </c>
      <c r="J15342" s="40" t="str">
        <f>HYPERLINK("https://stock.pstatic.net/stock-research/company/66/20250116_company_824326000.pdf","PDF")</f>
        <v>PDF</v>
      </c>
      <c r="K15342" s="12" t="s">
        <v>29420</v>
      </c>
      <c r="L15342" s="20">
        <v>0.41150922909880572</v>
      </c>
    </row>
    <row r="15343" spans="1:12" x14ac:dyDescent="0.45">
      <c r="A15343" s="12" t="s">
        <v>29418</v>
      </c>
      <c r="B15343" s="12" t="s">
        <v>2781</v>
      </c>
      <c r="C15343" s="13" t="s">
        <v>2782</v>
      </c>
      <c r="D15343" s="13" t="s">
        <v>60</v>
      </c>
      <c r="E15343" s="12" t="s">
        <v>35</v>
      </c>
      <c r="F15343" s="14">
        <v>155000</v>
      </c>
      <c r="G15343" s="14">
        <v>107100</v>
      </c>
      <c r="H15343" s="13" t="s">
        <v>29421</v>
      </c>
      <c r="I15343" s="40" t="s">
        <v>18</v>
      </c>
      <c r="J15343" s="40" t="str">
        <f>HYPERLINK("https://stock.pstatic.net/stock-research/company/1/20250116_company_815285000.pdf","PDF")</f>
        <v>PDF</v>
      </c>
      <c r="K15343" s="12" t="s">
        <v>29422</v>
      </c>
      <c r="L15343" s="20">
        <v>0.44724556489262368</v>
      </c>
    </row>
    <row r="15344" spans="1:12" x14ac:dyDescent="0.45">
      <c r="A15344" s="12" t="s">
        <v>29418</v>
      </c>
      <c r="B15344" s="12" t="s">
        <v>2187</v>
      </c>
      <c r="C15344" s="13" t="s">
        <v>2188</v>
      </c>
      <c r="D15344" s="13" t="s">
        <v>60</v>
      </c>
      <c r="E15344" s="12" t="s">
        <v>35</v>
      </c>
      <c r="F15344" s="14">
        <v>175000</v>
      </c>
      <c r="G15344" s="14">
        <v>104500</v>
      </c>
      <c r="H15344" s="13" t="s">
        <v>29423</v>
      </c>
      <c r="I15344" s="40" t="s">
        <v>18</v>
      </c>
      <c r="J15344" s="40" t="str">
        <f>HYPERLINK("https://stock.pstatic.net/stock-research/company/62/20250116_company_378180000.pdf","PDF")</f>
        <v>PDF</v>
      </c>
      <c r="K15344" s="12" t="s">
        <v>29424</v>
      </c>
      <c r="L15344" s="20">
        <v>0.67464114832535882</v>
      </c>
    </row>
    <row r="15345" spans="1:12" x14ac:dyDescent="0.45">
      <c r="A15345" s="12" t="s">
        <v>29418</v>
      </c>
      <c r="B15345" s="12" t="s">
        <v>1308</v>
      </c>
      <c r="C15345" s="13" t="s">
        <v>1309</v>
      </c>
      <c r="D15345" s="13" t="s">
        <v>60</v>
      </c>
      <c r="E15345" s="12" t="s">
        <v>35</v>
      </c>
      <c r="F15345" s="14">
        <v>460000</v>
      </c>
      <c r="G15345" s="14">
        <v>348500</v>
      </c>
      <c r="H15345" s="13" t="s">
        <v>29425</v>
      </c>
      <c r="I15345" s="40" t="s">
        <v>18</v>
      </c>
      <c r="J15345" s="40" t="str">
        <f>HYPERLINK("https://m.stock.naver.com/research/company/79939","PDF")</f>
        <v>PDF</v>
      </c>
      <c r="K15345" s="12" t="s">
        <v>29426</v>
      </c>
      <c r="L15345" s="20">
        <v>0.31994261119081779</v>
      </c>
    </row>
    <row r="15346" spans="1:12" x14ac:dyDescent="0.45">
      <c r="A15346" s="12" t="s">
        <v>29418</v>
      </c>
      <c r="B15346" s="12" t="s">
        <v>1930</v>
      </c>
      <c r="C15346" s="13" t="s">
        <v>1931</v>
      </c>
      <c r="D15346" s="13" t="s">
        <v>60</v>
      </c>
      <c r="E15346" s="12" t="s">
        <v>35</v>
      </c>
      <c r="F15346" s="14">
        <v>410000</v>
      </c>
      <c r="G15346" s="14">
        <v>242000</v>
      </c>
      <c r="H15346" s="13" t="s">
        <v>29427</v>
      </c>
      <c r="I15346" s="40" t="s">
        <v>18</v>
      </c>
      <c r="J15346" s="40" t="str">
        <f>HYPERLINK("https://m.stock.naver.com/research/company/79938","PDF")</f>
        <v>PDF</v>
      </c>
      <c r="K15346" s="12" t="s">
        <v>29428</v>
      </c>
      <c r="L15346" s="20">
        <v>0.69421487603305787</v>
      </c>
    </row>
    <row r="15347" spans="1:12" x14ac:dyDescent="0.45">
      <c r="A15347" s="12" t="s">
        <v>29418</v>
      </c>
      <c r="B15347" s="12" t="s">
        <v>1120</v>
      </c>
      <c r="C15347" s="13" t="s">
        <v>1121</v>
      </c>
      <c r="D15347" s="13" t="s">
        <v>60</v>
      </c>
      <c r="E15347" s="12" t="s">
        <v>35</v>
      </c>
      <c r="F15347" s="14">
        <v>130000</v>
      </c>
      <c r="G15347" s="14">
        <v>99300</v>
      </c>
      <c r="H15347" s="13" t="s">
        <v>29429</v>
      </c>
      <c r="I15347" s="40" t="s">
        <v>18</v>
      </c>
      <c r="J15347" s="40" t="str">
        <f>HYPERLINK("https://m.stock.naver.com/research/company/79937","PDF")</f>
        <v>PDF</v>
      </c>
      <c r="K15347" s="12" t="s">
        <v>29430</v>
      </c>
      <c r="L15347" s="20">
        <v>0.30916414904330308</v>
      </c>
    </row>
    <row r="15348" spans="1:12" x14ac:dyDescent="0.45">
      <c r="A15348" s="12" t="s">
        <v>29418</v>
      </c>
      <c r="B15348" s="12" t="s">
        <v>2425</v>
      </c>
      <c r="C15348" s="13" t="s">
        <v>2426</v>
      </c>
      <c r="D15348" s="13" t="s">
        <v>60</v>
      </c>
      <c r="E15348" s="12" t="s">
        <v>35</v>
      </c>
      <c r="F15348" s="14">
        <v>130000</v>
      </c>
      <c r="G15348" s="14">
        <v>109000</v>
      </c>
      <c r="H15348" s="13" t="s">
        <v>29431</v>
      </c>
      <c r="I15348" s="40" t="s">
        <v>18</v>
      </c>
      <c r="J15348" s="40" t="str">
        <f>HYPERLINK("https://stock.pstatic.net/stock-research/company/34/20250116_company_9389000.pdf","PDF")</f>
        <v>PDF</v>
      </c>
      <c r="K15348" s="12" t="s">
        <v>29432</v>
      </c>
      <c r="L15348" s="20">
        <v>0.19266055045871561</v>
      </c>
    </row>
    <row r="15349" spans="1:12" x14ac:dyDescent="0.45">
      <c r="A15349" s="12" t="s">
        <v>29418</v>
      </c>
      <c r="B15349" s="12" t="s">
        <v>1686</v>
      </c>
      <c r="C15349" s="13" t="s">
        <v>1687</v>
      </c>
      <c r="D15349" s="13" t="s">
        <v>60</v>
      </c>
      <c r="E15349" s="12" t="s">
        <v>35</v>
      </c>
      <c r="F15349" s="14">
        <v>970000</v>
      </c>
      <c r="G15349" s="14">
        <v>762000</v>
      </c>
      <c r="H15349" s="13" t="s">
        <v>29433</v>
      </c>
      <c r="I15349" s="40" t="s">
        <v>18</v>
      </c>
      <c r="J15349" s="40" t="str">
        <f>HYPERLINK("https://m.stock.naver.com/research/company/79935","PDF")</f>
        <v>PDF</v>
      </c>
      <c r="K15349" s="12" t="s">
        <v>29434</v>
      </c>
      <c r="L15349" s="20">
        <v>0.27296587926509192</v>
      </c>
    </row>
    <row r="15350" spans="1:12" x14ac:dyDescent="0.45">
      <c r="A15350" s="12" t="s">
        <v>29418</v>
      </c>
      <c r="B15350" s="12" t="s">
        <v>450</v>
      </c>
      <c r="C15350" s="13" t="s">
        <v>451</v>
      </c>
      <c r="D15350" s="13" t="s">
        <v>60</v>
      </c>
      <c r="E15350" s="12" t="s">
        <v>35</v>
      </c>
      <c r="F15350" s="14">
        <v>370000</v>
      </c>
      <c r="G15350" s="14">
        <v>301500</v>
      </c>
      <c r="H15350" s="13" t="s">
        <v>29435</v>
      </c>
      <c r="I15350" s="40" t="s">
        <v>18</v>
      </c>
      <c r="J15350" s="40" t="str">
        <f>HYPERLINK("https://stock.pstatic.net/stock-research/company/62/20250116_company_116847000.pdf","PDF")</f>
        <v>PDF</v>
      </c>
      <c r="K15350" s="12" t="s">
        <v>29436</v>
      </c>
      <c r="L15350" s="20">
        <v>0.2271973466003317</v>
      </c>
    </row>
    <row r="15351" spans="1:12" x14ac:dyDescent="0.45">
      <c r="A15351" s="12" t="s">
        <v>29418</v>
      </c>
      <c r="B15351" s="12" t="s">
        <v>2191</v>
      </c>
      <c r="C15351" s="13" t="s">
        <v>2192</v>
      </c>
      <c r="D15351" s="13" t="s">
        <v>60</v>
      </c>
      <c r="E15351" s="12" t="s">
        <v>35</v>
      </c>
      <c r="F15351" s="14">
        <v>120000</v>
      </c>
      <c r="G15351" s="14">
        <v>50700</v>
      </c>
      <c r="H15351" s="13" t="s">
        <v>29437</v>
      </c>
      <c r="I15351" s="40" t="s">
        <v>18</v>
      </c>
      <c r="J15351" s="40" t="str">
        <f>HYPERLINK("https://m.stock.naver.com/research/company/79933","PDF")</f>
        <v>PDF</v>
      </c>
      <c r="K15351" s="12" t="s">
        <v>29438</v>
      </c>
      <c r="L15351" s="20">
        <v>1.3668639053254441</v>
      </c>
    </row>
    <row r="15352" spans="1:12" x14ac:dyDescent="0.45">
      <c r="A15352" s="12" t="s">
        <v>29418</v>
      </c>
      <c r="B15352" s="12" t="s">
        <v>916</v>
      </c>
      <c r="C15352" s="13" t="s">
        <v>917</v>
      </c>
      <c r="D15352" s="13" t="s">
        <v>60</v>
      </c>
      <c r="E15352" s="12" t="s">
        <v>35</v>
      </c>
      <c r="F15352" s="14">
        <v>51000</v>
      </c>
      <c r="G15352" s="14">
        <v>37000</v>
      </c>
      <c r="H15352" s="13" t="s">
        <v>29439</v>
      </c>
      <c r="I15352" s="40" t="s">
        <v>18</v>
      </c>
      <c r="J15352" s="40" t="str">
        <f>HYPERLINK("https://stock.pstatic.net/stock-research/company/1/20250116_company_907136000.pdf","PDF")</f>
        <v>PDF</v>
      </c>
      <c r="K15352" s="12" t="s">
        <v>29440</v>
      </c>
      <c r="L15352" s="20">
        <v>0.3783783783783784</v>
      </c>
    </row>
    <row r="15353" spans="1:12" x14ac:dyDescent="0.45">
      <c r="A15353" s="12" t="s">
        <v>29418</v>
      </c>
      <c r="B15353" s="12" t="s">
        <v>42</v>
      </c>
      <c r="C15353" s="13" t="s">
        <v>43</v>
      </c>
      <c r="D15353" s="13" t="s">
        <v>60</v>
      </c>
      <c r="E15353" s="12" t="s">
        <v>35</v>
      </c>
      <c r="F15353" s="14">
        <v>254000</v>
      </c>
      <c r="G15353" s="14">
        <v>206500</v>
      </c>
      <c r="H15353" s="13" t="s">
        <v>29441</v>
      </c>
      <c r="I15353" s="40" t="s">
        <v>18</v>
      </c>
      <c r="J15353" s="40" t="str">
        <f>HYPERLINK("https://m.stock.naver.com/research/company/79931","PDF")</f>
        <v>PDF</v>
      </c>
      <c r="K15353" s="12" t="s">
        <v>29442</v>
      </c>
      <c r="L15353" s="20">
        <v>0.23002421307506049</v>
      </c>
    </row>
    <row r="15354" spans="1:12" x14ac:dyDescent="0.45">
      <c r="A15354" s="12" t="s">
        <v>29418</v>
      </c>
      <c r="B15354" s="12" t="s">
        <v>756</v>
      </c>
      <c r="C15354" s="13" t="s">
        <v>757</v>
      </c>
      <c r="D15354" s="13" t="s">
        <v>60</v>
      </c>
      <c r="E15354" s="12" t="s">
        <v>35</v>
      </c>
      <c r="F15354" s="14">
        <v>110000</v>
      </c>
      <c r="G15354" s="14">
        <v>57100</v>
      </c>
      <c r="H15354" s="13" t="s">
        <v>29443</v>
      </c>
      <c r="I15354" s="40" t="s">
        <v>18</v>
      </c>
      <c r="J15354" s="40" t="str">
        <f>HYPERLINK("https://m.stock.naver.com/research/company/79930","PDF")</f>
        <v>PDF</v>
      </c>
      <c r="K15354" s="12" t="s">
        <v>29444</v>
      </c>
      <c r="L15354" s="20">
        <v>0.9264448336252189</v>
      </c>
    </row>
    <row r="15355" spans="1:12" x14ac:dyDescent="0.45">
      <c r="A15355" s="12" t="s">
        <v>29418</v>
      </c>
      <c r="B15355" s="12" t="s">
        <v>7544</v>
      </c>
      <c r="C15355" s="13" t="s">
        <v>7545</v>
      </c>
      <c r="D15355" s="13" t="s">
        <v>60</v>
      </c>
      <c r="E15355" s="12" t="s">
        <v>35</v>
      </c>
      <c r="F15355" s="14">
        <v>46000</v>
      </c>
      <c r="G15355" s="14">
        <v>30800</v>
      </c>
      <c r="H15355" s="13" t="s">
        <v>29445</v>
      </c>
      <c r="I15355" s="40" t="s">
        <v>18</v>
      </c>
      <c r="J15355" s="40" t="str">
        <f>HYPERLINK("https://m.stock.naver.com/research/company/79929","PDF")</f>
        <v>PDF</v>
      </c>
      <c r="K15355" s="12" t="s">
        <v>29446</v>
      </c>
      <c r="L15355" s="20">
        <v>0.4935064935064935</v>
      </c>
    </row>
    <row r="15356" spans="1:12" x14ac:dyDescent="0.45">
      <c r="A15356" s="12" t="s">
        <v>29418</v>
      </c>
      <c r="B15356" s="12" t="s">
        <v>768</v>
      </c>
      <c r="C15356" s="13" t="s">
        <v>769</v>
      </c>
      <c r="D15356" s="13" t="s">
        <v>60</v>
      </c>
      <c r="E15356" s="12" t="s">
        <v>35</v>
      </c>
      <c r="F15356" s="14">
        <v>200000</v>
      </c>
      <c r="G15356" s="14">
        <v>153000</v>
      </c>
      <c r="H15356" s="13" t="s">
        <v>29447</v>
      </c>
      <c r="I15356" s="40" t="s">
        <v>18</v>
      </c>
      <c r="J15356" s="40" t="str">
        <f>HYPERLINK("https://stock.pstatic.net/stock-research/company/1/20250116_company_970551000.pdf","PDF")</f>
        <v>PDF</v>
      </c>
      <c r="K15356" s="12" t="s">
        <v>29448</v>
      </c>
      <c r="L15356" s="20">
        <v>0.30718954248366009</v>
      </c>
    </row>
    <row r="15357" spans="1:12" x14ac:dyDescent="0.45">
      <c r="A15357" s="12" t="s">
        <v>29418</v>
      </c>
      <c r="B15357" s="12" t="s">
        <v>1682</v>
      </c>
      <c r="C15357" s="13" t="s">
        <v>4787</v>
      </c>
      <c r="D15357" s="13" t="s">
        <v>60</v>
      </c>
      <c r="E15357" s="12" t="s">
        <v>35</v>
      </c>
      <c r="F15357" s="14">
        <v>230000</v>
      </c>
      <c r="G15357" s="14">
        <v>183200</v>
      </c>
      <c r="H15357" s="13" t="s">
        <v>29449</v>
      </c>
      <c r="I15357" s="40" t="s">
        <v>18</v>
      </c>
      <c r="J15357" s="40" t="str">
        <f>HYPERLINK("https://stock.pstatic.net/stock-research/company/1/20250116_company_373891000.pdf","PDF")</f>
        <v>PDF</v>
      </c>
      <c r="K15357" s="12" t="s">
        <v>29450</v>
      </c>
      <c r="L15357" s="20">
        <v>0.25545851528384278</v>
      </c>
    </row>
    <row r="15358" spans="1:12" x14ac:dyDescent="0.45">
      <c r="A15358" s="12" t="s">
        <v>29418</v>
      </c>
      <c r="B15358" s="12" t="s">
        <v>888</v>
      </c>
      <c r="C15358" s="13" t="s">
        <v>889</v>
      </c>
      <c r="D15358" s="13" t="s">
        <v>60</v>
      </c>
      <c r="E15358" s="12" t="s">
        <v>35</v>
      </c>
      <c r="F15358" s="14">
        <v>63000</v>
      </c>
      <c r="G15358" s="14">
        <v>49800</v>
      </c>
      <c r="H15358" s="13" t="s">
        <v>29451</v>
      </c>
      <c r="I15358" s="40" t="s">
        <v>18</v>
      </c>
      <c r="J15358" s="40" t="str">
        <f>HYPERLINK("https://m.stock.naver.com/research/company/79926","PDF")</f>
        <v>PDF</v>
      </c>
      <c r="K15358" s="12" t="s">
        <v>29452</v>
      </c>
      <c r="L15358" s="20">
        <v>0.26506024096385539</v>
      </c>
    </row>
    <row r="15359" spans="1:12" x14ac:dyDescent="0.45">
      <c r="A15359" s="12" t="s">
        <v>29418</v>
      </c>
      <c r="B15359" s="12" t="s">
        <v>2105</v>
      </c>
      <c r="C15359" s="13" t="s">
        <v>2106</v>
      </c>
      <c r="D15359" s="13" t="s">
        <v>60</v>
      </c>
      <c r="E15359" s="12" t="s">
        <v>35</v>
      </c>
      <c r="F15359" s="14">
        <v>80000</v>
      </c>
      <c r="G15359" s="14">
        <v>59900</v>
      </c>
      <c r="H15359" s="13" t="s">
        <v>29453</v>
      </c>
      <c r="I15359" s="40" t="s">
        <v>18</v>
      </c>
      <c r="J15359" s="40" t="str">
        <f>HYPERLINK("https://m.stock.naver.com/research/company/79925","PDF")</f>
        <v>PDF</v>
      </c>
      <c r="K15359" s="12" t="s">
        <v>29454</v>
      </c>
      <c r="L15359" s="20">
        <v>0.335559265442404</v>
      </c>
    </row>
    <row r="15360" spans="1:12" x14ac:dyDescent="0.45">
      <c r="A15360" s="12" t="s">
        <v>29418</v>
      </c>
      <c r="B15360" s="12" t="s">
        <v>1666</v>
      </c>
      <c r="C15360" s="13" t="s">
        <v>1667</v>
      </c>
      <c r="D15360" s="13" t="s">
        <v>60</v>
      </c>
      <c r="E15360" s="12" t="s">
        <v>35</v>
      </c>
      <c r="F15360" s="14">
        <v>60000</v>
      </c>
      <c r="G15360" s="14">
        <v>47700</v>
      </c>
      <c r="H15360" s="13" t="s">
        <v>29455</v>
      </c>
      <c r="I15360" s="40" t="s">
        <v>18</v>
      </c>
      <c r="J15360" s="40" t="str">
        <f>HYPERLINK("https://m.stock.naver.com/research/company/79924","PDF")</f>
        <v>PDF</v>
      </c>
      <c r="K15360" s="12" t="s">
        <v>29456</v>
      </c>
      <c r="L15360" s="20">
        <v>0.25786163522012578</v>
      </c>
    </row>
    <row r="15361" spans="1:12" x14ac:dyDescent="0.45">
      <c r="A15361" s="12" t="s">
        <v>29418</v>
      </c>
      <c r="B15361" s="12" t="s">
        <v>2522</v>
      </c>
      <c r="C15361" s="13" t="s">
        <v>2523</v>
      </c>
      <c r="D15361" s="13" t="s">
        <v>60</v>
      </c>
      <c r="E15361" s="12" t="s">
        <v>35</v>
      </c>
      <c r="F15361" s="14">
        <v>410000</v>
      </c>
      <c r="G15361" s="14">
        <v>336000</v>
      </c>
      <c r="H15361" s="13" t="s">
        <v>29457</v>
      </c>
      <c r="I15361" s="40" t="s">
        <v>18</v>
      </c>
      <c r="J15361" s="40" t="str">
        <f>HYPERLINK("https://m.stock.naver.com/research/company/79923","PDF")</f>
        <v>PDF</v>
      </c>
      <c r="K15361" s="12" t="s">
        <v>29458</v>
      </c>
      <c r="L15361" s="20">
        <v>0.22023809523809521</v>
      </c>
    </row>
    <row r="15362" spans="1:12" x14ac:dyDescent="0.45">
      <c r="A15362" s="12" t="s">
        <v>29418</v>
      </c>
      <c r="B15362" s="12" t="s">
        <v>2650</v>
      </c>
      <c r="C15362" s="13" t="s">
        <v>2651</v>
      </c>
      <c r="D15362" s="13" t="s">
        <v>65</v>
      </c>
      <c r="E15362" s="12" t="s">
        <v>35</v>
      </c>
      <c r="F15362" s="14">
        <v>28000</v>
      </c>
      <c r="G15362" s="14">
        <v>21100</v>
      </c>
      <c r="H15362" s="13" t="s">
        <v>29459</v>
      </c>
      <c r="I15362" s="40" t="s">
        <v>18</v>
      </c>
      <c r="J15362" s="40" t="str">
        <f>HYPERLINK("https://m.stock.naver.com/research/company/79921","PDF")</f>
        <v>PDF</v>
      </c>
      <c r="K15362" s="12" t="s">
        <v>29460</v>
      </c>
      <c r="L15362" s="20">
        <v>0.32701421800947872</v>
      </c>
    </row>
    <row r="15363" spans="1:12" x14ac:dyDescent="0.45">
      <c r="A15363" s="12" t="s">
        <v>29418</v>
      </c>
      <c r="B15363" s="12" t="s">
        <v>957</v>
      </c>
      <c r="C15363" s="13" t="s">
        <v>958</v>
      </c>
      <c r="D15363" s="13" t="s">
        <v>65</v>
      </c>
      <c r="E15363" s="12" t="s">
        <v>35</v>
      </c>
      <c r="F15363" s="14">
        <v>270000</v>
      </c>
      <c r="G15363" s="14">
        <v>215500</v>
      </c>
      <c r="H15363" s="13" t="s">
        <v>29461</v>
      </c>
      <c r="I15363" s="40" t="s">
        <v>18</v>
      </c>
      <c r="J15363" s="40" t="str">
        <f>HYPERLINK("https://m.stock.naver.com/research/company/79920","PDF")</f>
        <v>PDF</v>
      </c>
      <c r="K15363" s="12" t="s">
        <v>29462</v>
      </c>
      <c r="L15363" s="20">
        <v>0.25290023201856149</v>
      </c>
    </row>
    <row r="15364" spans="1:12" x14ac:dyDescent="0.45">
      <c r="A15364" s="12" t="s">
        <v>29418</v>
      </c>
      <c r="B15364" s="12" t="s">
        <v>1548</v>
      </c>
      <c r="C15364" s="13" t="s">
        <v>1549</v>
      </c>
      <c r="D15364" s="13" t="s">
        <v>65</v>
      </c>
      <c r="E15364" s="12" t="s">
        <v>35</v>
      </c>
      <c r="F15364" s="14">
        <v>560000</v>
      </c>
      <c r="G15364" s="14">
        <v>395000</v>
      </c>
      <c r="H15364" s="13" t="s">
        <v>29463</v>
      </c>
      <c r="I15364" s="40" t="s">
        <v>18</v>
      </c>
      <c r="J15364" s="40" t="str">
        <f>HYPERLINK("https://m.stock.naver.com/research/company/79919","PDF")</f>
        <v>PDF</v>
      </c>
      <c r="K15364" s="12" t="s">
        <v>29464</v>
      </c>
      <c r="L15364" s="20">
        <v>0.41772151898734178</v>
      </c>
    </row>
    <row r="15365" spans="1:12" x14ac:dyDescent="0.45">
      <c r="A15365" s="12" t="s">
        <v>29418</v>
      </c>
      <c r="B15365" s="12" t="s">
        <v>2837</v>
      </c>
      <c r="C15365" s="13" t="s">
        <v>2838</v>
      </c>
      <c r="D15365" s="13" t="s">
        <v>65</v>
      </c>
      <c r="E15365" s="12" t="s">
        <v>35</v>
      </c>
      <c r="F15365" s="14">
        <v>34000</v>
      </c>
      <c r="G15365" s="14">
        <v>25050</v>
      </c>
      <c r="H15365" s="13" t="s">
        <v>29465</v>
      </c>
      <c r="I15365" s="40" t="s">
        <v>18</v>
      </c>
      <c r="J15365" s="40" t="str">
        <f>HYPERLINK("https://stock.pstatic.net/stock-research/company/57/20250116_company_969370000.pdf","PDF")</f>
        <v>PDF</v>
      </c>
      <c r="K15365" s="12" t="s">
        <v>29466</v>
      </c>
      <c r="L15365" s="20">
        <v>0.35728542914171663</v>
      </c>
    </row>
    <row r="15366" spans="1:12" x14ac:dyDescent="0.45">
      <c r="A15366" s="12" t="s">
        <v>29418</v>
      </c>
      <c r="B15366" s="12" t="s">
        <v>2266</v>
      </c>
      <c r="C15366" s="13" t="s">
        <v>2267</v>
      </c>
      <c r="D15366" s="13" t="s">
        <v>57</v>
      </c>
      <c r="E15366" s="12" t="s">
        <v>35</v>
      </c>
      <c r="F15366" s="14">
        <v>69000</v>
      </c>
      <c r="G15366" s="14">
        <v>52800</v>
      </c>
      <c r="H15366" s="13" t="s">
        <v>29467</v>
      </c>
      <c r="I15366" s="40" t="s">
        <v>18</v>
      </c>
      <c r="J15366" s="40" t="str">
        <f>HYPERLINK("https://stock.pstatic.net/stock-research/company/16/20250116_company_770652000.pdf","PDF")</f>
        <v>PDF</v>
      </c>
      <c r="K15366" s="12" t="s">
        <v>29468</v>
      </c>
      <c r="L15366" s="20">
        <v>0.30681818181818182</v>
      </c>
    </row>
    <row r="15367" spans="1:12" x14ac:dyDescent="0.45">
      <c r="A15367" s="12" t="s">
        <v>29418</v>
      </c>
      <c r="B15367" s="12" t="s">
        <v>1140</v>
      </c>
      <c r="C15367" s="13" t="s">
        <v>1141</v>
      </c>
      <c r="D15367" s="13" t="s">
        <v>57</v>
      </c>
      <c r="E15367" s="12" t="s">
        <v>35</v>
      </c>
      <c r="F15367" s="14">
        <v>33000</v>
      </c>
      <c r="G15367" s="14">
        <v>20150</v>
      </c>
      <c r="H15367" s="13" t="s">
        <v>29469</v>
      </c>
      <c r="I15367" s="40" t="s">
        <v>18</v>
      </c>
      <c r="J15367" s="40" t="str">
        <f>HYPERLINK("https://stock.pstatic.net/stock-research/company/1/20250116_company_919894000.pdf","PDF")</f>
        <v>PDF</v>
      </c>
      <c r="K15367" s="12" t="s">
        <v>29470</v>
      </c>
      <c r="L15367" s="20">
        <v>0.63771712158808935</v>
      </c>
    </row>
    <row r="15368" spans="1:12" x14ac:dyDescent="0.45">
      <c r="A15368" s="12" t="s">
        <v>29418</v>
      </c>
      <c r="B15368" s="12" t="s">
        <v>1274</v>
      </c>
      <c r="C15368" s="13" t="s">
        <v>1275</v>
      </c>
      <c r="D15368" s="13" t="s">
        <v>57</v>
      </c>
      <c r="E15368" s="12" t="s">
        <v>35</v>
      </c>
      <c r="F15368" s="14">
        <v>129000</v>
      </c>
      <c r="G15368" s="14">
        <v>99800</v>
      </c>
      <c r="H15368" s="13" t="s">
        <v>29471</v>
      </c>
      <c r="I15368" s="40" t="s">
        <v>18</v>
      </c>
      <c r="J15368" s="40" t="str">
        <f>HYPERLINK("https://stock.pstatic.net/stock-research/company/1/20250116_company_51766000.pdf","PDF")</f>
        <v>PDF</v>
      </c>
      <c r="K15368" s="12" t="s">
        <v>29472</v>
      </c>
      <c r="L15368" s="20">
        <v>0.29258517034068138</v>
      </c>
    </row>
    <row r="15369" spans="1:12" x14ac:dyDescent="0.45">
      <c r="A15369" s="12" t="s">
        <v>29418</v>
      </c>
      <c r="B15369" s="12" t="s">
        <v>264</v>
      </c>
      <c r="C15369" s="13" t="s">
        <v>265</v>
      </c>
      <c r="D15369" s="13" t="s">
        <v>57</v>
      </c>
      <c r="E15369" s="12" t="s">
        <v>35</v>
      </c>
      <c r="F15369" s="14">
        <v>134000</v>
      </c>
      <c r="G15369" s="14">
        <v>102000</v>
      </c>
      <c r="H15369" s="13" t="s">
        <v>29473</v>
      </c>
      <c r="I15369" s="40" t="s">
        <v>18</v>
      </c>
      <c r="J15369" s="40" t="str">
        <f>HYPERLINK("https://stock.pstatic.net/stock-research/company/16/20250116_company_635918000.pdf","PDF")</f>
        <v>PDF</v>
      </c>
      <c r="K15369" s="12" t="s">
        <v>29474</v>
      </c>
      <c r="L15369" s="20">
        <v>0.31372549019607843</v>
      </c>
    </row>
    <row r="15370" spans="1:12" x14ac:dyDescent="0.45">
      <c r="A15370" s="12" t="s">
        <v>29418</v>
      </c>
      <c r="B15370" s="12" t="s">
        <v>7128</v>
      </c>
      <c r="C15370" s="13" t="s">
        <v>7129</v>
      </c>
      <c r="D15370" s="13" t="s">
        <v>124</v>
      </c>
      <c r="E15370" s="12" t="s">
        <v>50</v>
      </c>
      <c r="F15370" s="13"/>
      <c r="G15370" s="13"/>
      <c r="H15370" s="13" t="s">
        <v>29475</v>
      </c>
      <c r="I15370" s="40" t="s">
        <v>18</v>
      </c>
      <c r="J15370" s="40" t="str">
        <f>HYPERLINK("https://stock.pstatic.net/stock-research/company/74/20250116_company_629494000.pdf","PDF")</f>
        <v>PDF</v>
      </c>
      <c r="K15370" s="12" t="s">
        <v>29476</v>
      </c>
    </row>
    <row r="15371" spans="1:12" x14ac:dyDescent="0.45">
      <c r="A15371" s="12" t="s">
        <v>29418</v>
      </c>
      <c r="B15371" s="12" t="s">
        <v>1773</v>
      </c>
      <c r="C15371" s="13" t="s">
        <v>1774</v>
      </c>
      <c r="D15371" s="13" t="s">
        <v>83</v>
      </c>
      <c r="E15371" s="12" t="s">
        <v>35</v>
      </c>
      <c r="F15371" s="14">
        <v>130000</v>
      </c>
      <c r="G15371" s="14">
        <v>81600</v>
      </c>
      <c r="H15371" s="13" t="s">
        <v>29477</v>
      </c>
      <c r="I15371" s="40" t="s">
        <v>18</v>
      </c>
      <c r="J15371" s="40" t="str">
        <f>HYPERLINK("https://stock.pstatic.net/stock-research/company/2/20250116_company_677258000.pdf","PDF")</f>
        <v>PDF</v>
      </c>
      <c r="K15371" s="12" t="s">
        <v>29478</v>
      </c>
      <c r="L15371" s="20">
        <v>0.59313725490196079</v>
      </c>
    </row>
    <row r="15372" spans="1:12" x14ac:dyDescent="0.45">
      <c r="A15372" s="12" t="s">
        <v>29418</v>
      </c>
      <c r="B15372" s="12" t="s">
        <v>1678</v>
      </c>
      <c r="C15372" s="13" t="s">
        <v>1679</v>
      </c>
      <c r="D15372" s="13" t="s">
        <v>83</v>
      </c>
      <c r="E15372" s="12" t="s">
        <v>35</v>
      </c>
      <c r="F15372" s="14">
        <v>110000</v>
      </c>
      <c r="G15372" s="14">
        <v>53400</v>
      </c>
      <c r="H15372" s="13" t="s">
        <v>29479</v>
      </c>
      <c r="I15372" s="40" t="s">
        <v>18</v>
      </c>
      <c r="J15372" s="40" t="str">
        <f>HYPERLINK("https://stock.pstatic.net/stock-research/company/2/20250116_company_188891000.pdf","PDF")</f>
        <v>PDF</v>
      </c>
      <c r="K15372" s="12" t="s">
        <v>29480</v>
      </c>
      <c r="L15372" s="20">
        <v>1.0599250936329589</v>
      </c>
    </row>
    <row r="15373" spans="1:12" x14ac:dyDescent="0.45">
      <c r="A15373" s="12" t="s">
        <v>29418</v>
      </c>
      <c r="B15373" s="12" t="s">
        <v>2781</v>
      </c>
      <c r="C15373" s="13" t="s">
        <v>2782</v>
      </c>
      <c r="D15373" s="13" t="s">
        <v>83</v>
      </c>
      <c r="E15373" s="12" t="s">
        <v>35</v>
      </c>
      <c r="F15373" s="14">
        <v>150000</v>
      </c>
      <c r="G15373" s="14">
        <v>104700</v>
      </c>
      <c r="H15373" s="13" t="s">
        <v>29481</v>
      </c>
      <c r="I15373" s="40" t="s">
        <v>18</v>
      </c>
      <c r="J15373" s="40" t="str">
        <f>HYPERLINK("https://stock.pstatic.net/stock-research/company/61/20250116_company_909713000.pdf","PDF")</f>
        <v>PDF</v>
      </c>
      <c r="K15373" s="12" t="s">
        <v>29482</v>
      </c>
      <c r="L15373" s="20">
        <v>0.43266475644699143</v>
      </c>
    </row>
    <row r="15374" spans="1:12" x14ac:dyDescent="0.45">
      <c r="A15374" s="12" t="s">
        <v>29418</v>
      </c>
      <c r="B15374" s="12" t="s">
        <v>4642</v>
      </c>
      <c r="C15374" s="13" t="s">
        <v>4643</v>
      </c>
      <c r="D15374" s="13" t="s">
        <v>34</v>
      </c>
      <c r="E15374" s="12" t="s">
        <v>35</v>
      </c>
      <c r="F15374" s="14">
        <v>31000</v>
      </c>
      <c r="G15374" s="14">
        <v>23000</v>
      </c>
      <c r="H15374" s="13" t="s">
        <v>29483</v>
      </c>
      <c r="I15374" s="40" t="s">
        <v>18</v>
      </c>
      <c r="J15374" s="40" t="str">
        <f>HYPERLINK("https://stock.pstatic.net/stock-research/company/61/20250117_company_128464000.pdf","PDF")</f>
        <v>PDF</v>
      </c>
      <c r="K15374" s="12" t="s">
        <v>29484</v>
      </c>
      <c r="L15374" s="20">
        <v>0.34782608695652167</v>
      </c>
    </row>
    <row r="15375" spans="1:12" x14ac:dyDescent="0.45">
      <c r="A15375" s="12" t="s">
        <v>29418</v>
      </c>
      <c r="B15375" s="12" t="s">
        <v>2346</v>
      </c>
      <c r="C15375" s="13" t="s">
        <v>2347</v>
      </c>
      <c r="D15375" s="13" t="s">
        <v>179</v>
      </c>
      <c r="E15375" s="12" t="s">
        <v>16</v>
      </c>
      <c r="F15375" s="14">
        <v>38000</v>
      </c>
      <c r="G15375" s="14">
        <v>23600</v>
      </c>
      <c r="H15375" s="13" t="s">
        <v>29485</v>
      </c>
      <c r="I15375" s="40" t="s">
        <v>18</v>
      </c>
      <c r="J15375" s="40" t="str">
        <f>HYPERLINK("https://stock.pstatic.net/stock-research/company/31/20250116_company_659071000.pdf","PDF")</f>
        <v>PDF</v>
      </c>
      <c r="K15375" s="12" t="s">
        <v>29486</v>
      </c>
      <c r="L15375" s="20">
        <v>0.61016949152542377</v>
      </c>
    </row>
    <row r="15376" spans="1:12" x14ac:dyDescent="0.45">
      <c r="A15376" s="12" t="s">
        <v>29418</v>
      </c>
      <c r="B15376" s="12" t="s">
        <v>1682</v>
      </c>
      <c r="C15376" s="13" t="s">
        <v>4787</v>
      </c>
      <c r="D15376" s="13" t="s">
        <v>179</v>
      </c>
      <c r="E15376" s="12" t="s">
        <v>16</v>
      </c>
      <c r="F15376" s="14">
        <v>260000</v>
      </c>
      <c r="G15376" s="14">
        <v>183200</v>
      </c>
      <c r="H15376" s="13" t="s">
        <v>29487</v>
      </c>
      <c r="I15376" s="40" t="s">
        <v>18</v>
      </c>
      <c r="J15376" s="40" t="str">
        <f>HYPERLINK("https://stock.pstatic.net/stock-research/company/31/20250116_company_629442000.pdf","PDF")</f>
        <v>PDF</v>
      </c>
      <c r="K15376" s="12" t="s">
        <v>29488</v>
      </c>
      <c r="L15376" s="20">
        <v>0.41921397379912662</v>
      </c>
    </row>
    <row r="15377" spans="1:12" x14ac:dyDescent="0.45">
      <c r="A15377" s="12" t="s">
        <v>29418</v>
      </c>
      <c r="B15377" s="12" t="s">
        <v>2187</v>
      </c>
      <c r="C15377" s="13" t="s">
        <v>2188</v>
      </c>
      <c r="D15377" s="13" t="s">
        <v>23</v>
      </c>
      <c r="E15377" s="12" t="s">
        <v>16</v>
      </c>
      <c r="F15377" s="14">
        <v>150000</v>
      </c>
      <c r="G15377" s="14">
        <v>103000</v>
      </c>
      <c r="H15377" s="13" t="s">
        <v>29489</v>
      </c>
      <c r="I15377" s="40" t="s">
        <v>18</v>
      </c>
      <c r="J15377" s="40" t="str">
        <f>HYPERLINK("https://stock.pstatic.net/stock-research/company/21/20250116_company_7716000.pdf","PDF")</f>
        <v>PDF</v>
      </c>
      <c r="K15377" s="12" t="s">
        <v>29490</v>
      </c>
      <c r="L15377" s="20">
        <v>0.4563106796116505</v>
      </c>
    </row>
    <row r="15378" spans="1:12" x14ac:dyDescent="0.45">
      <c r="A15378" s="12" t="s">
        <v>29418</v>
      </c>
      <c r="B15378" s="12" t="s">
        <v>29491</v>
      </c>
      <c r="C15378" s="13" t="s">
        <v>29492</v>
      </c>
      <c r="D15378" s="13" t="s">
        <v>179</v>
      </c>
      <c r="E15378" s="12" t="s">
        <v>50</v>
      </c>
      <c r="F15378" s="13"/>
      <c r="G15378" s="14">
        <v>12510</v>
      </c>
      <c r="H15378" s="13" t="s">
        <v>29493</v>
      </c>
      <c r="I15378" s="40" t="s">
        <v>18</v>
      </c>
      <c r="J15378" s="40" t="str">
        <f>HYPERLINK("https://stock.pstatic.net/stock-research/company/31/20250116_company_866294000.pdf","PDF")</f>
        <v>PDF</v>
      </c>
      <c r="K15378" s="12" t="s">
        <v>29494</v>
      </c>
    </row>
    <row r="15379" spans="1:12" x14ac:dyDescent="0.45">
      <c r="A15379" s="12" t="s">
        <v>29418</v>
      </c>
      <c r="B15379" s="12" t="s">
        <v>11387</v>
      </c>
      <c r="C15379" s="13" t="s">
        <v>11388</v>
      </c>
      <c r="D15379" s="13" t="s">
        <v>23</v>
      </c>
      <c r="E15379" s="12" t="s">
        <v>50</v>
      </c>
      <c r="F15379" s="14">
        <v>10000</v>
      </c>
      <c r="G15379" s="14">
        <v>9500</v>
      </c>
      <c r="H15379" s="13" t="s">
        <v>29495</v>
      </c>
      <c r="I15379" s="40" t="s">
        <v>18</v>
      </c>
      <c r="J15379" s="40" t="str">
        <f>HYPERLINK("https://stock.pstatic.net/stock-research/company/1/20250116_company_361977000.pdf","PDF")</f>
        <v>PDF</v>
      </c>
      <c r="K15379" s="12" t="s">
        <v>29496</v>
      </c>
      <c r="L15379" s="20">
        <v>5.2631578947368418E-2</v>
      </c>
    </row>
    <row r="15380" spans="1:12" x14ac:dyDescent="0.45">
      <c r="A15380" s="12" t="s">
        <v>29418</v>
      </c>
      <c r="B15380" s="12" t="s">
        <v>8183</v>
      </c>
      <c r="C15380" s="13" t="s">
        <v>8184</v>
      </c>
      <c r="D15380" s="13" t="s">
        <v>23</v>
      </c>
      <c r="E15380" s="12" t="s">
        <v>50</v>
      </c>
      <c r="F15380" s="14">
        <v>15300</v>
      </c>
      <c r="G15380" s="14">
        <v>14040</v>
      </c>
      <c r="H15380" s="13" t="s">
        <v>29497</v>
      </c>
      <c r="I15380" s="40" t="s">
        <v>18</v>
      </c>
      <c r="J15380" s="40" t="str">
        <f>HYPERLINK("https://stock.pstatic.net/stock-research/company/21/20250116_company_464438000.pdf","PDF")</f>
        <v>PDF</v>
      </c>
      <c r="K15380" s="12" t="s">
        <v>29498</v>
      </c>
      <c r="L15380" s="20">
        <v>8.9743589743589744E-2</v>
      </c>
    </row>
    <row r="15381" spans="1:12" x14ac:dyDescent="0.45">
      <c r="A15381" s="12" t="s">
        <v>29418</v>
      </c>
      <c r="B15381" s="12" t="s">
        <v>1548</v>
      </c>
      <c r="C15381" s="13" t="s">
        <v>1549</v>
      </c>
      <c r="D15381" s="13" t="s">
        <v>23</v>
      </c>
      <c r="E15381" s="12" t="s">
        <v>16</v>
      </c>
      <c r="F15381" s="14">
        <v>490000</v>
      </c>
      <c r="G15381" s="14">
        <v>395000</v>
      </c>
      <c r="H15381" s="13" t="s">
        <v>29499</v>
      </c>
      <c r="I15381" s="40" t="s">
        <v>18</v>
      </c>
      <c r="J15381" s="40" t="str">
        <f>HYPERLINK("https://stock.pstatic.net/stock-research/company/21/20250116_company_417674000.pdf","PDF")</f>
        <v>PDF</v>
      </c>
      <c r="K15381" s="12" t="s">
        <v>29500</v>
      </c>
      <c r="L15381" s="20">
        <v>0.24050632911392411</v>
      </c>
    </row>
    <row r="15382" spans="1:12" x14ac:dyDescent="0.45">
      <c r="A15382" s="12" t="s">
        <v>29418</v>
      </c>
      <c r="B15382" s="12" t="s">
        <v>3451</v>
      </c>
      <c r="C15382" s="13" t="s">
        <v>3452</v>
      </c>
      <c r="D15382" s="13" t="s">
        <v>34</v>
      </c>
      <c r="E15382" s="12" t="s">
        <v>35</v>
      </c>
      <c r="F15382" s="14">
        <v>260000</v>
      </c>
      <c r="G15382" s="14">
        <v>182900</v>
      </c>
      <c r="H15382" s="13" t="s">
        <v>29501</v>
      </c>
      <c r="I15382" s="40" t="s">
        <v>18</v>
      </c>
      <c r="J15382" s="40" t="str">
        <f>HYPERLINK("https://stock.pstatic.net/stock-research/company/61/20250116_company_537988000.pdf","PDF")</f>
        <v>PDF</v>
      </c>
      <c r="K15382" s="12" t="s">
        <v>29502</v>
      </c>
      <c r="L15382" s="20">
        <v>0.42154182613449981</v>
      </c>
    </row>
    <row r="15383" spans="1:12" x14ac:dyDescent="0.45">
      <c r="A15383" s="12" t="s">
        <v>29418</v>
      </c>
      <c r="B15383" s="12" t="s">
        <v>849</v>
      </c>
      <c r="C15383" s="13" t="s">
        <v>850</v>
      </c>
      <c r="D15383" s="13" t="s">
        <v>34</v>
      </c>
      <c r="E15383" s="12" t="s">
        <v>50</v>
      </c>
      <c r="F15383" s="13"/>
      <c r="G15383" s="14">
        <v>23750</v>
      </c>
      <c r="H15383" s="13" t="s">
        <v>29503</v>
      </c>
      <c r="I15383" s="40" t="s">
        <v>18</v>
      </c>
      <c r="J15383" s="40" t="str">
        <f>HYPERLINK("https://stock.pstatic.net/stock-research/company/61/20250116_company_581013000.pdf","PDF")</f>
        <v>PDF</v>
      </c>
      <c r="K15383" s="12" t="s">
        <v>29504</v>
      </c>
    </row>
    <row r="15384" spans="1:12" x14ac:dyDescent="0.45">
      <c r="A15384" s="12" t="s">
        <v>29418</v>
      </c>
      <c r="B15384" s="12" t="s">
        <v>170</v>
      </c>
      <c r="C15384" s="13" t="s">
        <v>171</v>
      </c>
      <c r="D15384" s="13" t="s">
        <v>179</v>
      </c>
      <c r="E15384" s="12" t="s">
        <v>16</v>
      </c>
      <c r="F15384" s="14">
        <v>84000</v>
      </c>
      <c r="G15384" s="14">
        <v>62200</v>
      </c>
      <c r="H15384" s="13" t="s">
        <v>29505</v>
      </c>
      <c r="I15384" s="40" t="s">
        <v>18</v>
      </c>
      <c r="J15384" s="40" t="str">
        <f>HYPERLINK("https://stock.pstatic.net/stock-research/company/31/20250116_company_832589000.pdf","PDF")</f>
        <v>PDF</v>
      </c>
      <c r="K15384" s="12" t="s">
        <v>29506</v>
      </c>
      <c r="L15384" s="20">
        <v>0.35048231511254019</v>
      </c>
    </row>
    <row r="15385" spans="1:12" x14ac:dyDescent="0.45">
      <c r="A15385" s="12" t="s">
        <v>29418</v>
      </c>
      <c r="B15385" s="12" t="s">
        <v>2435</v>
      </c>
      <c r="C15385" s="13" t="s">
        <v>2436</v>
      </c>
      <c r="D15385" s="13" t="s">
        <v>179</v>
      </c>
      <c r="E15385" s="12" t="s">
        <v>16</v>
      </c>
      <c r="F15385" s="14">
        <v>370000</v>
      </c>
      <c r="G15385" s="14">
        <v>314000</v>
      </c>
      <c r="H15385" s="13" t="s">
        <v>29507</v>
      </c>
      <c r="I15385" s="40" t="s">
        <v>18</v>
      </c>
      <c r="J15385" s="40" t="str">
        <f>HYPERLINK("https://stock.pstatic.net/stock-research/company/31/20250116_company_505305000.pdf","PDF")</f>
        <v>PDF</v>
      </c>
      <c r="K15385" s="12" t="s">
        <v>29508</v>
      </c>
      <c r="L15385" s="20">
        <v>0.178343949044586</v>
      </c>
    </row>
    <row r="15386" spans="1:12" x14ac:dyDescent="0.45">
      <c r="A15386" s="12" t="s">
        <v>29418</v>
      </c>
      <c r="B15386" s="12" t="s">
        <v>3014</v>
      </c>
      <c r="C15386" s="13" t="s">
        <v>3015</v>
      </c>
      <c r="D15386" s="13" t="s">
        <v>179</v>
      </c>
      <c r="E15386" s="12" t="s">
        <v>16</v>
      </c>
      <c r="F15386" s="14">
        <v>84000</v>
      </c>
      <c r="G15386" s="14">
        <v>52900</v>
      </c>
      <c r="H15386" s="13" t="s">
        <v>29509</v>
      </c>
      <c r="I15386" s="40" t="s">
        <v>18</v>
      </c>
      <c r="J15386" s="40" t="str">
        <f>HYPERLINK("https://stock.pstatic.net/stock-research/company/1/20250116_company_565130000.pdf","PDF")</f>
        <v>PDF</v>
      </c>
      <c r="K15386" s="12" t="s">
        <v>29510</v>
      </c>
      <c r="L15386" s="20">
        <v>0.58790170132325137</v>
      </c>
    </row>
    <row r="15387" spans="1:12" x14ac:dyDescent="0.45">
      <c r="A15387" s="12" t="s">
        <v>29418</v>
      </c>
      <c r="B15387" s="12" t="s">
        <v>13410</v>
      </c>
      <c r="C15387" s="13" t="s">
        <v>13411</v>
      </c>
      <c r="D15387" s="13" t="s">
        <v>179</v>
      </c>
      <c r="E15387" s="12" t="s">
        <v>16</v>
      </c>
      <c r="F15387" s="14">
        <v>180000</v>
      </c>
      <c r="G15387" s="14">
        <v>137000</v>
      </c>
      <c r="H15387" s="13" t="s">
        <v>29511</v>
      </c>
      <c r="I15387" s="40" t="s">
        <v>18</v>
      </c>
      <c r="J15387" s="40" t="str">
        <f>HYPERLINK("https://stock.pstatic.net/stock-research/company/31/20250116_company_981292000.pdf","PDF")</f>
        <v>PDF</v>
      </c>
      <c r="K15387" s="12" t="s">
        <v>29512</v>
      </c>
      <c r="L15387" s="20">
        <v>0.31386861313868608</v>
      </c>
    </row>
    <row r="15388" spans="1:12" x14ac:dyDescent="0.45">
      <c r="A15388" s="12" t="s">
        <v>29418</v>
      </c>
      <c r="B15388" s="12" t="s">
        <v>3101</v>
      </c>
      <c r="C15388" s="13" t="s">
        <v>3102</v>
      </c>
      <c r="D15388" s="13" t="s">
        <v>15</v>
      </c>
      <c r="E15388" s="12" t="s">
        <v>16</v>
      </c>
      <c r="F15388" s="14">
        <v>175000</v>
      </c>
      <c r="G15388" s="14">
        <v>129300</v>
      </c>
      <c r="H15388" s="13" t="s">
        <v>29513</v>
      </c>
      <c r="I15388" s="40" t="s">
        <v>18</v>
      </c>
      <c r="J15388" s="40" t="str">
        <f>HYPERLINK("https://stock.pstatic.net/stock-research/company/29/20250116_company_171442000.pdf","PDF")</f>
        <v>PDF</v>
      </c>
      <c r="K15388" s="12" t="s">
        <v>29514</v>
      </c>
      <c r="L15388" s="20">
        <v>0.35344160866202629</v>
      </c>
    </row>
    <row r="15389" spans="1:12" x14ac:dyDescent="0.45">
      <c r="A15389" s="12" t="s">
        <v>29418</v>
      </c>
      <c r="B15389" s="12" t="s">
        <v>2199</v>
      </c>
      <c r="C15389" s="13" t="s">
        <v>2200</v>
      </c>
      <c r="D15389" s="13" t="s">
        <v>44</v>
      </c>
      <c r="E15389" s="12" t="s">
        <v>35</v>
      </c>
      <c r="F15389" s="14">
        <v>34000</v>
      </c>
      <c r="G15389" s="14">
        <v>28200</v>
      </c>
      <c r="H15389" s="13" t="s">
        <v>29515</v>
      </c>
      <c r="I15389" s="40" t="s">
        <v>18</v>
      </c>
      <c r="J15389" s="40" t="str">
        <f>HYPERLINK("https://stock.pstatic.net/stock-research/company/39/20250116_company_511924000.pdf","PDF")</f>
        <v>PDF</v>
      </c>
      <c r="K15389" s="12" t="s">
        <v>29516</v>
      </c>
      <c r="L15389" s="20">
        <v>0.20567375886524819</v>
      </c>
    </row>
    <row r="15390" spans="1:12" x14ac:dyDescent="0.45">
      <c r="A15390" s="12" t="s">
        <v>29418</v>
      </c>
      <c r="B15390" s="12" t="s">
        <v>334</v>
      </c>
      <c r="C15390" s="13" t="s">
        <v>335</v>
      </c>
      <c r="D15390" s="13" t="s">
        <v>44</v>
      </c>
      <c r="E15390" s="12" t="s">
        <v>50</v>
      </c>
      <c r="F15390" s="13"/>
      <c r="G15390" s="13"/>
      <c r="H15390" s="13" t="s">
        <v>29517</v>
      </c>
      <c r="I15390" s="40" t="s">
        <v>18</v>
      </c>
      <c r="J15390" s="40" t="str">
        <f>HYPERLINK("https://stock.pstatic.net/stock-research/company/39/20250116_company_532226000.pdf","PDF")</f>
        <v>PDF</v>
      </c>
      <c r="K15390" s="12" t="s">
        <v>29518</v>
      </c>
    </row>
    <row r="15391" spans="1:12" x14ac:dyDescent="0.45">
      <c r="A15391" s="12" t="s">
        <v>29418</v>
      </c>
      <c r="B15391" s="12" t="s">
        <v>2613</v>
      </c>
      <c r="C15391" s="13" t="s">
        <v>2614</v>
      </c>
      <c r="D15391" s="13" t="s">
        <v>44</v>
      </c>
      <c r="E15391" s="12" t="s">
        <v>35</v>
      </c>
      <c r="F15391" s="14">
        <v>360000</v>
      </c>
      <c r="G15391" s="14">
        <v>261500</v>
      </c>
      <c r="H15391" s="13" t="s">
        <v>29519</v>
      </c>
      <c r="I15391" s="40" t="s">
        <v>18</v>
      </c>
      <c r="J15391" s="40" t="str">
        <f>HYPERLINK("https://stock.pstatic.net/stock-research/company/39/20250116_company_940209000.pdf","PDF")</f>
        <v>PDF</v>
      </c>
      <c r="K15391" s="12" t="s">
        <v>29520</v>
      </c>
      <c r="L15391" s="20">
        <v>0.37667304015296371</v>
      </c>
    </row>
    <row r="15392" spans="1:12" x14ac:dyDescent="0.45">
      <c r="A15392" s="12" t="s">
        <v>29418</v>
      </c>
      <c r="B15392" s="12" t="s">
        <v>1694</v>
      </c>
      <c r="C15392" s="13" t="s">
        <v>1695</v>
      </c>
      <c r="D15392" s="13" t="s">
        <v>44</v>
      </c>
      <c r="E15392" s="12" t="s">
        <v>35</v>
      </c>
      <c r="F15392" s="14">
        <v>65000</v>
      </c>
      <c r="G15392" s="14">
        <v>50600</v>
      </c>
      <c r="H15392" s="13" t="s">
        <v>29521</v>
      </c>
      <c r="I15392" s="40" t="s">
        <v>18</v>
      </c>
      <c r="J15392" s="40" t="str">
        <f>HYPERLINK("https://stock.pstatic.net/stock-research/company/39/20250116_company_83865000.pdf","PDF")</f>
        <v>PDF</v>
      </c>
      <c r="K15392" s="12" t="s">
        <v>29522</v>
      </c>
      <c r="L15392" s="20">
        <v>0.28458498023715417</v>
      </c>
    </row>
    <row r="15393" spans="1:12" x14ac:dyDescent="0.45">
      <c r="A15393" s="12" t="s">
        <v>29418</v>
      </c>
      <c r="B15393" s="12" t="s">
        <v>1606</v>
      </c>
      <c r="C15393" s="13" t="s">
        <v>1607</v>
      </c>
      <c r="D15393" s="13" t="s">
        <v>15</v>
      </c>
      <c r="E15393" s="12" t="s">
        <v>16</v>
      </c>
      <c r="F15393" s="13"/>
      <c r="G15393" s="13"/>
      <c r="H15393" s="13" t="s">
        <v>29523</v>
      </c>
      <c r="I15393" s="40" t="s">
        <v>18</v>
      </c>
      <c r="J15393" s="40" t="str">
        <f>HYPERLINK("https://stock.pstatic.net/stock-research/company/29/20250116_company_727975000.pdf","PDF")</f>
        <v>PDF</v>
      </c>
      <c r="K15393" s="12" t="s">
        <v>29524</v>
      </c>
    </row>
    <row r="15394" spans="1:12" x14ac:dyDescent="0.45">
      <c r="A15394" s="12" t="s">
        <v>29418</v>
      </c>
      <c r="B15394" s="12" t="s">
        <v>2425</v>
      </c>
      <c r="C15394" s="13" t="s">
        <v>2426</v>
      </c>
      <c r="D15394" s="13" t="s">
        <v>53</v>
      </c>
      <c r="E15394" s="12" t="s">
        <v>35</v>
      </c>
      <c r="F15394" s="14">
        <v>130000</v>
      </c>
      <c r="G15394" s="14">
        <v>108100</v>
      </c>
      <c r="H15394" s="13" t="s">
        <v>29525</v>
      </c>
      <c r="I15394" s="40" t="s">
        <v>18</v>
      </c>
      <c r="J15394" s="40" t="str">
        <f>HYPERLINK("https://stock.pstatic.net/stock-research/company/1/20250116_company_721001000.pdf","PDF")</f>
        <v>PDF</v>
      </c>
      <c r="K15394" s="12" t="s">
        <v>29526</v>
      </c>
      <c r="L15394" s="20">
        <v>0.20259019426456981</v>
      </c>
    </row>
    <row r="15395" spans="1:12" x14ac:dyDescent="0.45">
      <c r="A15395" s="12" t="s">
        <v>29418</v>
      </c>
      <c r="B15395" s="12" t="s">
        <v>3478</v>
      </c>
      <c r="C15395" s="13" t="s">
        <v>3479</v>
      </c>
      <c r="D15395" s="13" t="s">
        <v>1271</v>
      </c>
      <c r="E15395" s="12" t="s">
        <v>35</v>
      </c>
      <c r="F15395" s="14">
        <v>30000</v>
      </c>
      <c r="G15395" s="14">
        <v>21750</v>
      </c>
      <c r="H15395" s="13" t="s">
        <v>29527</v>
      </c>
      <c r="I15395" s="40" t="s">
        <v>18</v>
      </c>
      <c r="J15395" s="40" t="str">
        <f>HYPERLINK("https://stock.pstatic.net/stock-research/company/78/20250116_company_387385000.pdf","PDF")</f>
        <v>PDF</v>
      </c>
      <c r="K15395" s="12" t="s">
        <v>29528</v>
      </c>
      <c r="L15395" s="20">
        <v>0.37931034482758619</v>
      </c>
    </row>
    <row r="15396" spans="1:12" x14ac:dyDescent="0.45">
      <c r="A15396" s="12" t="s">
        <v>29418</v>
      </c>
      <c r="B15396" s="12" t="s">
        <v>1648</v>
      </c>
      <c r="C15396" s="13" t="s">
        <v>1649</v>
      </c>
      <c r="D15396" s="13" t="s">
        <v>1271</v>
      </c>
      <c r="E15396" s="12" t="s">
        <v>35</v>
      </c>
      <c r="F15396" s="14">
        <v>96000</v>
      </c>
      <c r="G15396" s="14">
        <v>72000</v>
      </c>
      <c r="H15396" s="13" t="s">
        <v>29529</v>
      </c>
      <c r="I15396" s="40" t="s">
        <v>18</v>
      </c>
      <c r="J15396" s="40" t="str">
        <f>HYPERLINK("https://stock.pstatic.net/stock-research/company/78/20250116_company_688195000.pdf","PDF")</f>
        <v>PDF</v>
      </c>
      <c r="K15396" s="12" t="s">
        <v>29530</v>
      </c>
      <c r="L15396" s="20">
        <v>0.33333333333333331</v>
      </c>
    </row>
    <row r="15397" spans="1:12" x14ac:dyDescent="0.45">
      <c r="A15397" s="12" t="s">
        <v>29418</v>
      </c>
      <c r="B15397" s="12" t="s">
        <v>3813</v>
      </c>
      <c r="C15397" s="13" t="s">
        <v>3814</v>
      </c>
      <c r="D15397" s="13" t="s">
        <v>1271</v>
      </c>
      <c r="E15397" s="12" t="s">
        <v>35</v>
      </c>
      <c r="F15397" s="14">
        <v>13000</v>
      </c>
      <c r="G15397" s="14">
        <v>9360</v>
      </c>
      <c r="H15397" s="13" t="s">
        <v>29531</v>
      </c>
      <c r="I15397" s="40" t="s">
        <v>18</v>
      </c>
      <c r="J15397" s="40" t="str">
        <f>HYPERLINK("https://stock.pstatic.net/stock-research/company/78/20250116_company_950442000.pdf","PDF")</f>
        <v>PDF</v>
      </c>
      <c r="K15397" s="12" t="s">
        <v>29532</v>
      </c>
      <c r="L15397" s="20">
        <v>0.3888888888888889</v>
      </c>
    </row>
    <row r="15398" spans="1:12" x14ac:dyDescent="0.45">
      <c r="A15398" s="12" t="s">
        <v>29533</v>
      </c>
      <c r="B15398" s="12" t="s">
        <v>352</v>
      </c>
      <c r="C15398" s="13" t="s">
        <v>353</v>
      </c>
      <c r="D15398" s="13" t="s">
        <v>60</v>
      </c>
      <c r="E15398" s="12" t="s">
        <v>35</v>
      </c>
      <c r="F15398" s="14">
        <v>95000</v>
      </c>
      <c r="G15398" s="14">
        <v>57400</v>
      </c>
      <c r="H15398" s="13" t="s">
        <v>29534</v>
      </c>
      <c r="I15398" s="40" t="s">
        <v>18</v>
      </c>
      <c r="J15398" s="40" t="str">
        <f>HYPERLINK("https://stock.pstatic.net/stock-research/company/1/20250115_company_264368000.pdf","PDF")</f>
        <v>PDF</v>
      </c>
      <c r="K15398" s="12" t="s">
        <v>29535</v>
      </c>
      <c r="L15398" s="20">
        <v>0.65505226480836232</v>
      </c>
    </row>
    <row r="15399" spans="1:12" x14ac:dyDescent="0.45">
      <c r="A15399" s="12" t="s">
        <v>29533</v>
      </c>
      <c r="B15399" s="12" t="s">
        <v>2170</v>
      </c>
      <c r="C15399" s="13" t="s">
        <v>2171</v>
      </c>
      <c r="D15399" s="13" t="s">
        <v>60</v>
      </c>
      <c r="E15399" s="12" t="s">
        <v>35</v>
      </c>
      <c r="F15399" s="14">
        <v>15000</v>
      </c>
      <c r="G15399" s="14">
        <v>12230</v>
      </c>
      <c r="H15399" s="13" t="s">
        <v>29536</v>
      </c>
      <c r="I15399" s="40" t="s">
        <v>18</v>
      </c>
      <c r="J15399" s="40" t="str">
        <f>HYPERLINK("https://stock.pstatic.net/stock-research/company/34/20250115_company_169170000.pdf","PDF")</f>
        <v>PDF</v>
      </c>
      <c r="K15399" s="12" t="s">
        <v>29537</v>
      </c>
      <c r="L15399" s="20">
        <v>0.22649223221586259</v>
      </c>
    </row>
    <row r="15400" spans="1:12" x14ac:dyDescent="0.45">
      <c r="A15400" s="12" t="s">
        <v>29533</v>
      </c>
      <c r="B15400" s="12" t="s">
        <v>3101</v>
      </c>
      <c r="C15400" s="13" t="s">
        <v>3102</v>
      </c>
      <c r="D15400" s="13" t="s">
        <v>60</v>
      </c>
      <c r="E15400" s="12" t="s">
        <v>35</v>
      </c>
      <c r="F15400" s="14">
        <v>160000</v>
      </c>
      <c r="G15400" s="14">
        <v>127300</v>
      </c>
      <c r="H15400" s="13" t="s">
        <v>29536</v>
      </c>
      <c r="I15400" s="40" t="s">
        <v>18</v>
      </c>
      <c r="J15400" s="40" t="str">
        <f>HYPERLINK("https://stock.pstatic.net/stock-research/company/34/20250115_company_448941000.pdf","PDF")</f>
        <v>PDF</v>
      </c>
      <c r="K15400" s="12" t="s">
        <v>29538</v>
      </c>
      <c r="L15400" s="20">
        <v>0.25687352710133537</v>
      </c>
    </row>
    <row r="15401" spans="1:12" x14ac:dyDescent="0.45">
      <c r="A15401" s="12" t="s">
        <v>29533</v>
      </c>
      <c r="B15401" s="12" t="s">
        <v>2365</v>
      </c>
      <c r="C15401" s="13" t="s">
        <v>2366</v>
      </c>
      <c r="D15401" s="13" t="s">
        <v>60</v>
      </c>
      <c r="E15401" s="12" t="s">
        <v>35</v>
      </c>
      <c r="F15401" s="14">
        <v>130000</v>
      </c>
      <c r="G15401" s="14">
        <v>89000</v>
      </c>
      <c r="H15401" s="13" t="s">
        <v>29536</v>
      </c>
      <c r="I15401" s="40" t="s">
        <v>18</v>
      </c>
      <c r="J15401" s="40" t="str">
        <f>HYPERLINK("https://stock.pstatic.net/stock-research/company/1/20250115_company_22203000.pdf","PDF")</f>
        <v>PDF</v>
      </c>
      <c r="K15401" s="12" t="s">
        <v>29539</v>
      </c>
      <c r="L15401" s="20">
        <v>0.4606741573033708</v>
      </c>
    </row>
    <row r="15402" spans="1:12" x14ac:dyDescent="0.45">
      <c r="A15402" s="12" t="s">
        <v>29533</v>
      </c>
      <c r="B15402" s="12" t="s">
        <v>3383</v>
      </c>
      <c r="C15402" s="13" t="s">
        <v>3384</v>
      </c>
      <c r="D15402" s="13" t="s">
        <v>65</v>
      </c>
      <c r="E15402" s="12" t="s">
        <v>35</v>
      </c>
      <c r="F15402" s="14">
        <v>35000</v>
      </c>
      <c r="G15402" s="14">
        <v>26050</v>
      </c>
      <c r="H15402" s="13" t="s">
        <v>29540</v>
      </c>
      <c r="I15402" s="40" t="s">
        <v>18</v>
      </c>
      <c r="J15402" s="40" t="str">
        <f>HYPERLINK("https://stock.pstatic.net/stock-research/company/57/20250115_company_865952000.pdf","PDF")</f>
        <v>PDF</v>
      </c>
      <c r="K15402" s="12" t="s">
        <v>29541</v>
      </c>
      <c r="L15402" s="20">
        <v>0.34357005758157388</v>
      </c>
    </row>
    <row r="15403" spans="1:12" x14ac:dyDescent="0.45">
      <c r="A15403" s="12" t="s">
        <v>29533</v>
      </c>
      <c r="B15403" s="12" t="s">
        <v>3230</v>
      </c>
      <c r="C15403" s="13" t="s">
        <v>3231</v>
      </c>
      <c r="D15403" s="13" t="s">
        <v>65</v>
      </c>
      <c r="E15403" s="12" t="s">
        <v>35</v>
      </c>
      <c r="F15403" s="14">
        <v>520000</v>
      </c>
      <c r="G15403" s="14">
        <v>423000</v>
      </c>
      <c r="H15403" s="13" t="s">
        <v>29542</v>
      </c>
      <c r="I15403" s="40" t="s">
        <v>18</v>
      </c>
      <c r="J15403" s="40" t="str">
        <f>HYPERLINK("https://stock.pstatic.net/stock-research/company/57/20250115_company_87813000.pdf","PDF")</f>
        <v>PDF</v>
      </c>
      <c r="K15403" s="12" t="s">
        <v>29543</v>
      </c>
      <c r="L15403" s="20">
        <v>0.2293144208037825</v>
      </c>
    </row>
    <row r="15404" spans="1:12" x14ac:dyDescent="0.45">
      <c r="A15404" s="12" t="s">
        <v>29533</v>
      </c>
      <c r="B15404" s="12" t="s">
        <v>128</v>
      </c>
      <c r="C15404" s="13" t="s">
        <v>129</v>
      </c>
      <c r="D15404" s="13" t="s">
        <v>65</v>
      </c>
      <c r="E15404" s="12" t="s">
        <v>35</v>
      </c>
      <c r="F15404" s="14">
        <v>25000</v>
      </c>
      <c r="G15404" s="14">
        <v>13380</v>
      </c>
      <c r="H15404" s="13" t="s">
        <v>29544</v>
      </c>
      <c r="I15404" s="40" t="s">
        <v>18</v>
      </c>
      <c r="J15404" s="40" t="str">
        <f>HYPERLINK("https://stock.pstatic.net/stock-research/company/57/20250115_company_774552000.pdf","PDF")</f>
        <v>PDF</v>
      </c>
      <c r="K15404" s="12" t="s">
        <v>29545</v>
      </c>
      <c r="L15404" s="20">
        <v>0.86846038863976083</v>
      </c>
    </row>
    <row r="15405" spans="1:12" x14ac:dyDescent="0.45">
      <c r="A15405" s="12" t="s">
        <v>29533</v>
      </c>
      <c r="B15405" s="12" t="s">
        <v>2762</v>
      </c>
      <c r="C15405" s="13" t="s">
        <v>2763</v>
      </c>
      <c r="D15405" s="13" t="s">
        <v>65</v>
      </c>
      <c r="E15405" s="12" t="s">
        <v>35</v>
      </c>
      <c r="F15405" s="14">
        <v>130000</v>
      </c>
      <c r="G15405" s="14">
        <v>92800</v>
      </c>
      <c r="H15405" s="13" t="s">
        <v>29546</v>
      </c>
      <c r="I15405" s="40" t="s">
        <v>18</v>
      </c>
      <c r="J15405" s="40" t="str">
        <f>HYPERLINK("https://stock.pstatic.net/stock-research/company/57/20250115_company_335157000.pdf","PDF")</f>
        <v>PDF</v>
      </c>
      <c r="K15405" s="12" t="s">
        <v>29547</v>
      </c>
      <c r="L15405" s="20">
        <v>0.40086206896551718</v>
      </c>
    </row>
    <row r="15406" spans="1:12" x14ac:dyDescent="0.45">
      <c r="A15406" s="12" t="s">
        <v>29533</v>
      </c>
      <c r="B15406" s="12" t="s">
        <v>3373</v>
      </c>
      <c r="C15406" s="13" t="s">
        <v>3374</v>
      </c>
      <c r="D15406" s="13" t="s">
        <v>65</v>
      </c>
      <c r="E15406" s="12" t="s">
        <v>35</v>
      </c>
      <c r="F15406" s="14">
        <v>115000</v>
      </c>
      <c r="G15406" s="14">
        <v>88800</v>
      </c>
      <c r="H15406" s="13" t="s">
        <v>29548</v>
      </c>
      <c r="I15406" s="40" t="s">
        <v>18</v>
      </c>
      <c r="J15406" s="40" t="str">
        <f>HYPERLINK("https://stock.pstatic.net/stock-research/company/57/20250115_company_705982000.pdf","PDF")</f>
        <v>PDF</v>
      </c>
      <c r="K15406" s="12" t="s">
        <v>29549</v>
      </c>
      <c r="L15406" s="20">
        <v>0.29504504504504497</v>
      </c>
    </row>
    <row r="15407" spans="1:12" x14ac:dyDescent="0.45">
      <c r="A15407" s="12" t="s">
        <v>29533</v>
      </c>
      <c r="B15407" s="12" t="s">
        <v>42</v>
      </c>
      <c r="C15407" s="13" t="s">
        <v>43</v>
      </c>
      <c r="D15407" s="13" t="s">
        <v>158</v>
      </c>
      <c r="E15407" s="12" t="s">
        <v>35</v>
      </c>
      <c r="F15407" s="14">
        <v>290000</v>
      </c>
      <c r="G15407" s="14">
        <v>202000</v>
      </c>
      <c r="H15407" s="13" t="s">
        <v>29550</v>
      </c>
      <c r="I15407" s="40" t="s">
        <v>18</v>
      </c>
      <c r="J15407" s="40" t="str">
        <f>HYPERLINK("https://stock.pstatic.net/stock-research/company/1/20250115_company_704726000.pdf","PDF")</f>
        <v>PDF</v>
      </c>
      <c r="K15407" s="12" t="s">
        <v>29551</v>
      </c>
      <c r="L15407" s="20">
        <v>0.43564356435643559</v>
      </c>
    </row>
    <row r="15408" spans="1:12" x14ac:dyDescent="0.45">
      <c r="A15408" s="12" t="s">
        <v>29533</v>
      </c>
      <c r="B15408" s="12" t="s">
        <v>916</v>
      </c>
      <c r="C15408" s="13" t="s">
        <v>917</v>
      </c>
      <c r="D15408" s="13" t="s">
        <v>158</v>
      </c>
      <c r="E15408" s="12" t="s">
        <v>35</v>
      </c>
      <c r="F15408" s="14">
        <v>53000</v>
      </c>
      <c r="G15408" s="14">
        <v>36850</v>
      </c>
      <c r="H15408" s="13" t="s">
        <v>29552</v>
      </c>
      <c r="I15408" s="40" t="s">
        <v>18</v>
      </c>
      <c r="J15408" s="40" t="str">
        <f>HYPERLINK("https://stock.pstatic.net/stock-research/company/18/20250115_company_822064000.pdf","PDF")</f>
        <v>PDF</v>
      </c>
      <c r="K15408" s="12" t="s">
        <v>29553</v>
      </c>
      <c r="L15408" s="20">
        <v>0.43826322930800538</v>
      </c>
    </row>
    <row r="15409" spans="1:12" x14ac:dyDescent="0.45">
      <c r="A15409" s="12" t="s">
        <v>29533</v>
      </c>
      <c r="B15409" s="12" t="s">
        <v>63</v>
      </c>
      <c r="C15409" s="13" t="s">
        <v>64</v>
      </c>
      <c r="D15409" s="13" t="s">
        <v>158</v>
      </c>
      <c r="E15409" s="12" t="s">
        <v>35</v>
      </c>
      <c r="F15409" s="14">
        <v>360000</v>
      </c>
      <c r="G15409" s="14">
        <v>260500</v>
      </c>
      <c r="H15409" s="13" t="s">
        <v>29554</v>
      </c>
      <c r="I15409" s="40" t="s">
        <v>18</v>
      </c>
      <c r="J15409" s="40" t="str">
        <f>HYPERLINK("https://stock.pstatic.net/stock-research/company/1/20250115_company_397792000.pdf","PDF")</f>
        <v>PDF</v>
      </c>
      <c r="K15409" s="12" t="s">
        <v>29555</v>
      </c>
      <c r="L15409" s="20">
        <v>0.38195777351247601</v>
      </c>
    </row>
    <row r="15410" spans="1:12" x14ac:dyDescent="0.45">
      <c r="A15410" s="12" t="s">
        <v>29533</v>
      </c>
      <c r="B15410" s="12" t="s">
        <v>728</v>
      </c>
      <c r="C15410" s="13" t="s">
        <v>729</v>
      </c>
      <c r="D15410" s="13" t="s">
        <v>158</v>
      </c>
      <c r="E15410" s="12" t="s">
        <v>35</v>
      </c>
      <c r="F15410" s="14">
        <v>142000</v>
      </c>
      <c r="G15410" s="14">
        <v>94500</v>
      </c>
      <c r="H15410" s="13" t="s">
        <v>29556</v>
      </c>
      <c r="I15410" s="40" t="s">
        <v>18</v>
      </c>
      <c r="J15410" s="40" t="str">
        <f>HYPERLINK("https://stock.pstatic.net/stock-research/company/1/20250115_company_852714000.pdf","PDF")</f>
        <v>PDF</v>
      </c>
      <c r="K15410" s="12" t="s">
        <v>29557</v>
      </c>
      <c r="L15410" s="20">
        <v>0.50264550264550267</v>
      </c>
    </row>
    <row r="15411" spans="1:12" x14ac:dyDescent="0.45">
      <c r="A15411" s="12" t="s">
        <v>29533</v>
      </c>
      <c r="B15411" s="12" t="s">
        <v>3296</v>
      </c>
      <c r="C15411" s="13" t="s">
        <v>3297</v>
      </c>
      <c r="D15411" s="13" t="s">
        <v>158</v>
      </c>
      <c r="E15411" s="12" t="s">
        <v>35</v>
      </c>
      <c r="F15411" s="14">
        <v>58000</v>
      </c>
      <c r="G15411" s="14">
        <v>37150</v>
      </c>
      <c r="H15411" s="13" t="s">
        <v>29558</v>
      </c>
      <c r="I15411" s="40" t="s">
        <v>18</v>
      </c>
      <c r="J15411" s="40" t="str">
        <f>HYPERLINK("https://stock.pstatic.net/stock-research/company/1/20250115_company_771541000.pdf","PDF")</f>
        <v>PDF</v>
      </c>
      <c r="K15411" s="12" t="s">
        <v>29559</v>
      </c>
      <c r="L15411" s="20">
        <v>0.56123822341857332</v>
      </c>
    </row>
    <row r="15412" spans="1:12" x14ac:dyDescent="0.45">
      <c r="A15412" s="12" t="s">
        <v>29533</v>
      </c>
      <c r="B15412" s="12" t="s">
        <v>3355</v>
      </c>
      <c r="C15412" s="13" t="s">
        <v>3356</v>
      </c>
      <c r="D15412" s="13" t="s">
        <v>158</v>
      </c>
      <c r="E15412" s="12" t="s">
        <v>35</v>
      </c>
      <c r="F15412" s="14">
        <v>64000</v>
      </c>
      <c r="G15412" s="14">
        <v>54000</v>
      </c>
      <c r="H15412" s="13" t="s">
        <v>29560</v>
      </c>
      <c r="I15412" s="40" t="s">
        <v>18</v>
      </c>
      <c r="J15412" s="40" t="str">
        <f>HYPERLINK("https://stock.pstatic.net/stock-research/company/18/20250115_company_468997000.pdf","PDF")</f>
        <v>PDF</v>
      </c>
      <c r="K15412" s="12" t="s">
        <v>29561</v>
      </c>
      <c r="L15412" s="20">
        <v>0.1851851851851852</v>
      </c>
    </row>
    <row r="15413" spans="1:12" x14ac:dyDescent="0.45">
      <c r="A15413" s="12" t="s">
        <v>29533</v>
      </c>
      <c r="B15413" s="12" t="s">
        <v>10408</v>
      </c>
      <c r="C15413" s="13" t="s">
        <v>10409</v>
      </c>
      <c r="D15413" s="13" t="s">
        <v>179</v>
      </c>
      <c r="E15413" s="12" t="s">
        <v>16</v>
      </c>
      <c r="F15413" s="14">
        <v>43000</v>
      </c>
      <c r="G15413" s="14">
        <v>32750</v>
      </c>
      <c r="H15413" s="13" t="s">
        <v>29562</v>
      </c>
      <c r="I15413" s="40" t="s">
        <v>18</v>
      </c>
      <c r="J15413" s="40" t="str">
        <f>HYPERLINK("https://stock.pstatic.net/stock-research/company/64/20250115_company_186984000.pdf","PDF")</f>
        <v>PDF</v>
      </c>
      <c r="K15413" s="12" t="s">
        <v>29563</v>
      </c>
      <c r="L15413" s="20">
        <v>0.31297709923664119</v>
      </c>
    </row>
    <row r="15414" spans="1:12" x14ac:dyDescent="0.45">
      <c r="A15414" s="12" t="s">
        <v>29533</v>
      </c>
      <c r="B15414" s="12" t="s">
        <v>3284</v>
      </c>
      <c r="C15414" s="13" t="s">
        <v>3285</v>
      </c>
      <c r="D15414" s="13" t="s">
        <v>44</v>
      </c>
      <c r="E15414" s="12" t="s">
        <v>45</v>
      </c>
      <c r="F15414" s="14">
        <v>54000</v>
      </c>
      <c r="G15414" s="14">
        <v>47950</v>
      </c>
      <c r="H15414" s="13" t="s">
        <v>29564</v>
      </c>
      <c r="I15414" s="40" t="s">
        <v>18</v>
      </c>
      <c r="J15414" s="40" t="str">
        <f>HYPERLINK("https://stock.pstatic.net/stock-research/company/39/20250115_company_823765000.pdf","PDF")</f>
        <v>PDF</v>
      </c>
      <c r="K15414" s="12" t="s">
        <v>29565</v>
      </c>
      <c r="L15414" s="20">
        <v>0.1261730969760167</v>
      </c>
    </row>
    <row r="15415" spans="1:12" x14ac:dyDescent="0.45">
      <c r="A15415" s="12" t="s">
        <v>29533</v>
      </c>
      <c r="B15415" s="12" t="s">
        <v>2522</v>
      </c>
      <c r="C15415" s="13" t="s">
        <v>2523</v>
      </c>
      <c r="D15415" s="13" t="s">
        <v>179</v>
      </c>
      <c r="E15415" s="12" t="s">
        <v>16</v>
      </c>
      <c r="F15415" s="14">
        <v>420000</v>
      </c>
      <c r="G15415" s="14">
        <v>342500</v>
      </c>
      <c r="H15415" s="13" t="s">
        <v>29566</v>
      </c>
      <c r="I15415" s="40" t="s">
        <v>18</v>
      </c>
      <c r="J15415" s="40" t="str">
        <f>HYPERLINK("https://stock.pstatic.net/stock-research/company/31/20250115_company_773391000.pdf","PDF")</f>
        <v>PDF</v>
      </c>
      <c r="K15415" s="12" t="s">
        <v>29567</v>
      </c>
      <c r="L15415" s="20">
        <v>0.2262773722627737</v>
      </c>
    </row>
    <row r="15416" spans="1:12" x14ac:dyDescent="0.45">
      <c r="A15416" s="12" t="s">
        <v>29533</v>
      </c>
      <c r="B15416" s="12" t="s">
        <v>3280</v>
      </c>
      <c r="C15416" s="13" t="s">
        <v>3281</v>
      </c>
      <c r="D15416" s="13" t="s">
        <v>179</v>
      </c>
      <c r="E15416" s="12" t="s">
        <v>16</v>
      </c>
      <c r="F15416" s="14">
        <v>55000</v>
      </c>
      <c r="G15416" s="14">
        <v>39950</v>
      </c>
      <c r="H15416" s="13" t="s">
        <v>29568</v>
      </c>
      <c r="I15416" s="40" t="s">
        <v>18</v>
      </c>
      <c r="J15416" s="40" t="str">
        <f>HYPERLINK("https://stock.pstatic.net/stock-research/company/31/20250115_company_964215000.pdf","PDF")</f>
        <v>PDF</v>
      </c>
      <c r="K15416" s="12" t="s">
        <v>29569</v>
      </c>
      <c r="L15416" s="20">
        <v>0.37672090112640799</v>
      </c>
    </row>
    <row r="15417" spans="1:12" x14ac:dyDescent="0.45">
      <c r="A15417" s="12" t="s">
        <v>29533</v>
      </c>
      <c r="B15417" s="12" t="s">
        <v>511</v>
      </c>
      <c r="C15417" s="13" t="s">
        <v>512</v>
      </c>
      <c r="D15417" s="13" t="s">
        <v>179</v>
      </c>
      <c r="E15417" s="12" t="s">
        <v>16</v>
      </c>
      <c r="F15417" s="14">
        <v>105000</v>
      </c>
      <c r="G15417" s="14">
        <v>75800</v>
      </c>
      <c r="H15417" s="13" t="s">
        <v>29570</v>
      </c>
      <c r="I15417" s="40" t="s">
        <v>18</v>
      </c>
      <c r="J15417" s="40" t="str">
        <f>HYPERLINK("https://stock.pstatic.net/stock-research/company/1/20250115_company_155051000.pdf","PDF")</f>
        <v>PDF</v>
      </c>
      <c r="K15417" s="12" t="s">
        <v>29571</v>
      </c>
      <c r="L15417" s="20">
        <v>0.38522427440633239</v>
      </c>
    </row>
    <row r="15418" spans="1:12" x14ac:dyDescent="0.45">
      <c r="A15418" s="12" t="s">
        <v>29533</v>
      </c>
      <c r="B15418" s="12" t="s">
        <v>2781</v>
      </c>
      <c r="C15418" s="13" t="s">
        <v>2782</v>
      </c>
      <c r="D15418" s="13" t="s">
        <v>53</v>
      </c>
      <c r="E15418" s="12" t="s">
        <v>16</v>
      </c>
      <c r="F15418" s="14">
        <v>140000</v>
      </c>
      <c r="G15418" s="14">
        <v>107100</v>
      </c>
      <c r="H15418" s="13" t="s">
        <v>29572</v>
      </c>
      <c r="I15418" s="40" t="s">
        <v>18</v>
      </c>
      <c r="J15418" s="40" t="str">
        <f>HYPERLINK("https://stock.pstatic.net/stock-research/company/1/20250115_company_959805000.pdf","PDF")</f>
        <v>PDF</v>
      </c>
      <c r="K15418" s="12" t="s">
        <v>29573</v>
      </c>
      <c r="L15418" s="20">
        <v>0.30718954248366009</v>
      </c>
    </row>
    <row r="15419" spans="1:12" x14ac:dyDescent="0.45">
      <c r="A15419" s="12" t="s">
        <v>29533</v>
      </c>
      <c r="B15419" s="12" t="s">
        <v>1212</v>
      </c>
      <c r="C15419" s="13" t="s">
        <v>1213</v>
      </c>
      <c r="D15419" s="13" t="s">
        <v>23</v>
      </c>
      <c r="E15419" s="12" t="s">
        <v>50</v>
      </c>
      <c r="F15419" s="13"/>
      <c r="G15419" s="14">
        <v>12990</v>
      </c>
      <c r="H15419" s="13" t="s">
        <v>29574</v>
      </c>
      <c r="I15419" s="40" t="s">
        <v>18</v>
      </c>
      <c r="J15419" s="40" t="str">
        <f>HYPERLINK("https://stock.pstatic.net/stock-research/company/21/20250115_company_734166000.pdf","PDF")</f>
        <v>PDF</v>
      </c>
      <c r="K15419" s="12" t="s">
        <v>29575</v>
      </c>
    </row>
    <row r="15420" spans="1:12" x14ac:dyDescent="0.45">
      <c r="A15420" s="12" t="s">
        <v>29533</v>
      </c>
      <c r="B15420" s="12" t="s">
        <v>2040</v>
      </c>
      <c r="C15420" s="13" t="s">
        <v>2041</v>
      </c>
      <c r="D15420" s="13" t="s">
        <v>179</v>
      </c>
      <c r="E15420" s="12" t="s">
        <v>16</v>
      </c>
      <c r="F15420" s="14">
        <v>80000</v>
      </c>
      <c r="G15420" s="14">
        <v>58000</v>
      </c>
      <c r="H15420" s="13" t="s">
        <v>29576</v>
      </c>
      <c r="I15420" s="40" t="s">
        <v>18</v>
      </c>
      <c r="J15420" s="40" t="str">
        <f>HYPERLINK("https://stock.pstatic.net/stock-research/company/31/20250115_company_870202000.pdf","PDF")</f>
        <v>PDF</v>
      </c>
      <c r="K15420" s="12" t="s">
        <v>29577</v>
      </c>
      <c r="L15420" s="20">
        <v>0.37931034482758619</v>
      </c>
    </row>
    <row r="15421" spans="1:12" x14ac:dyDescent="0.45">
      <c r="A15421" s="12" t="s">
        <v>29533</v>
      </c>
      <c r="B15421" s="12" t="s">
        <v>792</v>
      </c>
      <c r="C15421" s="13" t="s">
        <v>793</v>
      </c>
      <c r="D15421" s="13" t="s">
        <v>23</v>
      </c>
      <c r="E15421" s="12" t="s">
        <v>16</v>
      </c>
      <c r="F15421" s="14">
        <v>25000</v>
      </c>
      <c r="G15421" s="14">
        <v>17180</v>
      </c>
      <c r="H15421" s="13" t="s">
        <v>29578</v>
      </c>
      <c r="I15421" s="40" t="s">
        <v>18</v>
      </c>
      <c r="J15421" s="40" t="str">
        <f>HYPERLINK("https://stock.pstatic.net/stock-research/company/21/20250115_company_777004000.pdf","PDF")</f>
        <v>PDF</v>
      </c>
      <c r="K15421" s="12" t="s">
        <v>29579</v>
      </c>
      <c r="L15421" s="20">
        <v>0.4551804423748545</v>
      </c>
    </row>
    <row r="15422" spans="1:12" x14ac:dyDescent="0.45">
      <c r="A15422" s="12" t="s">
        <v>29533</v>
      </c>
      <c r="B15422" s="12" t="s">
        <v>268</v>
      </c>
      <c r="C15422" s="13" t="s">
        <v>269</v>
      </c>
      <c r="D15422" s="13" t="s">
        <v>23</v>
      </c>
      <c r="E15422" s="12" t="s">
        <v>16</v>
      </c>
      <c r="F15422" s="14">
        <v>730000</v>
      </c>
      <c r="G15422" s="14">
        <v>307500</v>
      </c>
      <c r="H15422" s="13" t="s">
        <v>29580</v>
      </c>
      <c r="I15422" s="40" t="s">
        <v>18</v>
      </c>
      <c r="J15422" s="40" t="str">
        <f>HYPERLINK("https://stock.pstatic.net/stock-research/company/21/20250115_company_14720000.pdf","PDF")</f>
        <v>PDF</v>
      </c>
      <c r="K15422" s="12" t="s">
        <v>29581</v>
      </c>
      <c r="L15422" s="20">
        <v>1.373983739837398</v>
      </c>
    </row>
    <row r="15423" spans="1:12" x14ac:dyDescent="0.45">
      <c r="A15423" s="12" t="s">
        <v>29533</v>
      </c>
      <c r="B15423" s="12" t="s">
        <v>860</v>
      </c>
      <c r="C15423" s="13" t="s">
        <v>861</v>
      </c>
      <c r="D15423" s="13" t="s">
        <v>23</v>
      </c>
      <c r="E15423" s="12" t="s">
        <v>16</v>
      </c>
      <c r="F15423" s="14">
        <v>45000</v>
      </c>
      <c r="G15423" s="14">
        <v>27950</v>
      </c>
      <c r="H15423" s="13" t="s">
        <v>29582</v>
      </c>
      <c r="I15423" s="40" t="s">
        <v>18</v>
      </c>
      <c r="J15423" s="40" t="str">
        <f>HYPERLINK("https://stock.pstatic.net/stock-research/company/21/20250115_company_672220000.pdf","PDF")</f>
        <v>PDF</v>
      </c>
      <c r="K15423" s="12" t="s">
        <v>29583</v>
      </c>
      <c r="L15423" s="20">
        <v>0.61001788908765653</v>
      </c>
    </row>
    <row r="15424" spans="1:12" x14ac:dyDescent="0.45">
      <c r="A15424" s="12" t="s">
        <v>29533</v>
      </c>
      <c r="B15424" s="12" t="s">
        <v>1274</v>
      </c>
      <c r="C15424" s="13" t="s">
        <v>1275</v>
      </c>
      <c r="D15424" s="13" t="s">
        <v>23</v>
      </c>
      <c r="E15424" s="12" t="s">
        <v>16</v>
      </c>
      <c r="F15424" s="14">
        <v>130000</v>
      </c>
      <c r="G15424" s="14">
        <v>91700</v>
      </c>
      <c r="H15424" s="13" t="s">
        <v>29584</v>
      </c>
      <c r="I15424" s="40" t="s">
        <v>18</v>
      </c>
      <c r="J15424" s="40" t="str">
        <f>HYPERLINK("https://stock.pstatic.net/stock-research/company/21/20250115_company_298099000.pdf","PDF")</f>
        <v>PDF</v>
      </c>
      <c r="K15424" s="12" t="s">
        <v>29585</v>
      </c>
      <c r="L15424" s="20">
        <v>0.41766630316248637</v>
      </c>
    </row>
    <row r="15425" spans="1:12" x14ac:dyDescent="0.45">
      <c r="A15425" s="12" t="s">
        <v>29533</v>
      </c>
      <c r="B15425" s="12" t="s">
        <v>3182</v>
      </c>
      <c r="C15425" s="13" t="s">
        <v>3183</v>
      </c>
      <c r="D15425" s="13" t="s">
        <v>179</v>
      </c>
      <c r="E15425" s="12" t="s">
        <v>16</v>
      </c>
      <c r="F15425" s="14">
        <v>570000</v>
      </c>
      <c r="G15425" s="14">
        <v>401500</v>
      </c>
      <c r="H15425" s="13" t="s">
        <v>29586</v>
      </c>
      <c r="I15425" s="40" t="s">
        <v>18</v>
      </c>
      <c r="J15425" s="40" t="str">
        <f>HYPERLINK("https://stock.pstatic.net/stock-research/company/31/20250115_company_576289000.pdf","PDF")</f>
        <v>PDF</v>
      </c>
      <c r="K15425" s="12" t="s">
        <v>29587</v>
      </c>
      <c r="L15425" s="20">
        <v>0.41967621419676221</v>
      </c>
    </row>
    <row r="15426" spans="1:12" x14ac:dyDescent="0.45">
      <c r="A15426" s="12" t="s">
        <v>29533</v>
      </c>
      <c r="B15426" s="12" t="s">
        <v>744</v>
      </c>
      <c r="C15426" s="13" t="s">
        <v>745</v>
      </c>
      <c r="D15426" s="13" t="s">
        <v>179</v>
      </c>
      <c r="E15426" s="12" t="s">
        <v>16</v>
      </c>
      <c r="F15426" s="14">
        <v>16000</v>
      </c>
      <c r="G15426" s="14">
        <v>11850</v>
      </c>
      <c r="H15426" s="13" t="s">
        <v>29588</v>
      </c>
      <c r="I15426" s="40" t="s">
        <v>18</v>
      </c>
      <c r="J15426" s="40" t="str">
        <f>HYPERLINK("https://stock.pstatic.net/stock-research/company/31/20250115_company_754894000.pdf","PDF")</f>
        <v>PDF</v>
      </c>
      <c r="K15426" s="12" t="s">
        <v>29589</v>
      </c>
      <c r="L15426" s="20">
        <v>0.35021097046413502</v>
      </c>
    </row>
    <row r="15427" spans="1:12" x14ac:dyDescent="0.45">
      <c r="A15427" s="12" t="s">
        <v>29533</v>
      </c>
      <c r="B15427" s="12" t="s">
        <v>3284</v>
      </c>
      <c r="C15427" s="13" t="s">
        <v>3285</v>
      </c>
      <c r="D15427" s="13" t="s">
        <v>179</v>
      </c>
      <c r="E15427" s="12" t="s">
        <v>16</v>
      </c>
      <c r="F15427" s="14">
        <v>57000</v>
      </c>
      <c r="G15427" s="14">
        <v>47950</v>
      </c>
      <c r="H15427" s="13" t="s">
        <v>29590</v>
      </c>
      <c r="I15427" s="40" t="s">
        <v>18</v>
      </c>
      <c r="J15427" s="40" t="str">
        <f>HYPERLINK("https://stock.pstatic.net/stock-research/company/31/20250115_company_556355000.pdf","PDF")</f>
        <v>PDF</v>
      </c>
      <c r="K15427" s="12" t="s">
        <v>29591</v>
      </c>
      <c r="L15427" s="20">
        <v>0.1887382690302398</v>
      </c>
    </row>
    <row r="15428" spans="1:12" x14ac:dyDescent="0.45">
      <c r="A15428" s="12" t="s">
        <v>29533</v>
      </c>
      <c r="B15428" s="12" t="s">
        <v>2089</v>
      </c>
      <c r="C15428" s="13" t="s">
        <v>2090</v>
      </c>
      <c r="D15428" s="13" t="s">
        <v>83</v>
      </c>
      <c r="E15428" s="12" t="s">
        <v>35</v>
      </c>
      <c r="F15428" s="14">
        <v>90000</v>
      </c>
      <c r="G15428" s="14">
        <v>64000</v>
      </c>
      <c r="H15428" s="13" t="s">
        <v>29592</v>
      </c>
      <c r="I15428" s="40" t="s">
        <v>18</v>
      </c>
      <c r="J15428" s="40" t="str">
        <f>HYPERLINK("https://stock.pstatic.net/stock-research/company/1/20250115_company_39817000.pdf","PDF")</f>
        <v>PDF</v>
      </c>
      <c r="K15428" s="12" t="s">
        <v>29593</v>
      </c>
      <c r="L15428" s="20">
        <v>0.40625</v>
      </c>
    </row>
    <row r="15429" spans="1:12" x14ac:dyDescent="0.45">
      <c r="A15429" s="12" t="s">
        <v>29533</v>
      </c>
      <c r="B15429" s="12" t="s">
        <v>27</v>
      </c>
      <c r="C15429" s="13" t="s">
        <v>28</v>
      </c>
      <c r="D15429" s="13" t="s">
        <v>83</v>
      </c>
      <c r="E15429" s="12" t="s">
        <v>35</v>
      </c>
      <c r="F15429" s="14">
        <v>73000</v>
      </c>
      <c r="G15429" s="14">
        <v>53600</v>
      </c>
      <c r="H15429" s="13" t="s">
        <v>29594</v>
      </c>
      <c r="I15429" s="40" t="s">
        <v>18</v>
      </c>
      <c r="J15429" s="40" t="str">
        <f>HYPERLINK("https://stock.pstatic.net/stock-research/company/2/20250115_company_347277000.pdf","PDF")</f>
        <v>PDF</v>
      </c>
      <c r="K15429" s="12" t="s">
        <v>29595</v>
      </c>
      <c r="L15429" s="20">
        <v>0.36194029850746268</v>
      </c>
    </row>
    <row r="15430" spans="1:12" x14ac:dyDescent="0.45">
      <c r="A15430" s="12" t="s">
        <v>29533</v>
      </c>
      <c r="B15430" s="12" t="s">
        <v>132</v>
      </c>
      <c r="C15430" s="13" t="s">
        <v>133</v>
      </c>
      <c r="D15430" s="13" t="s">
        <v>83</v>
      </c>
      <c r="E15430" s="12" t="s">
        <v>35</v>
      </c>
      <c r="F15430" s="14">
        <v>60000</v>
      </c>
      <c r="G15430" s="14">
        <v>47300</v>
      </c>
      <c r="H15430" s="13" t="s">
        <v>29596</v>
      </c>
      <c r="I15430" s="40" t="s">
        <v>18</v>
      </c>
      <c r="J15430" s="40" t="str">
        <f>HYPERLINK("https://stock.pstatic.net/stock-research/company/2/20250115_company_956681000.pdf","PDF")</f>
        <v>PDF</v>
      </c>
      <c r="K15430" s="12" t="s">
        <v>29597</v>
      </c>
      <c r="L15430" s="20">
        <v>0.26849894291754761</v>
      </c>
    </row>
    <row r="15431" spans="1:12" x14ac:dyDescent="0.45">
      <c r="A15431" s="12" t="s">
        <v>29533</v>
      </c>
      <c r="B15431" s="12" t="s">
        <v>1656</v>
      </c>
      <c r="C15431" s="13" t="s">
        <v>1657</v>
      </c>
      <c r="D15431" s="13" t="s">
        <v>83</v>
      </c>
      <c r="E15431" s="12" t="s">
        <v>35</v>
      </c>
      <c r="F15431" s="14">
        <v>190000</v>
      </c>
      <c r="G15431" s="14">
        <v>131700</v>
      </c>
      <c r="H15431" s="13" t="s">
        <v>29598</v>
      </c>
      <c r="I15431" s="40" t="s">
        <v>18</v>
      </c>
      <c r="J15431" s="40" t="str">
        <f>HYPERLINK("https://stock.pstatic.net/stock-research/company/2/20250115_company_527818000.pdf","PDF")</f>
        <v>PDF</v>
      </c>
      <c r="K15431" s="12" t="s">
        <v>29599</v>
      </c>
      <c r="L15431" s="20">
        <v>0.44267274107820798</v>
      </c>
    </row>
    <row r="15432" spans="1:12" x14ac:dyDescent="0.45">
      <c r="A15432" s="12" t="s">
        <v>29533</v>
      </c>
      <c r="B15432" s="12" t="s">
        <v>541</v>
      </c>
      <c r="C15432" s="13" t="s">
        <v>542</v>
      </c>
      <c r="D15432" s="13" t="s">
        <v>83</v>
      </c>
      <c r="E15432" s="12" t="s">
        <v>35</v>
      </c>
      <c r="F15432" s="14">
        <v>77000</v>
      </c>
      <c r="G15432" s="14">
        <v>55500</v>
      </c>
      <c r="H15432" s="13" t="s">
        <v>29600</v>
      </c>
      <c r="I15432" s="40" t="s">
        <v>18</v>
      </c>
      <c r="J15432" s="40" t="str">
        <f>HYPERLINK("https://stock.pstatic.net/stock-research/company/2/20250115_company_790819000.pdf","PDF")</f>
        <v>PDF</v>
      </c>
      <c r="K15432" s="12" t="s">
        <v>29601</v>
      </c>
      <c r="L15432" s="20">
        <v>0.38738738738738743</v>
      </c>
    </row>
    <row r="15433" spans="1:12" x14ac:dyDescent="0.45">
      <c r="A15433" s="12" t="s">
        <v>29533</v>
      </c>
      <c r="B15433" s="12" t="s">
        <v>537</v>
      </c>
      <c r="C15433" s="13" t="s">
        <v>538</v>
      </c>
      <c r="D15433" s="13" t="s">
        <v>83</v>
      </c>
      <c r="E15433" s="12" t="s">
        <v>35</v>
      </c>
      <c r="F15433" s="14">
        <v>14000</v>
      </c>
      <c r="G15433" s="14">
        <v>10380</v>
      </c>
      <c r="H15433" s="13" t="s">
        <v>29602</v>
      </c>
      <c r="I15433" s="40" t="s">
        <v>18</v>
      </c>
      <c r="J15433" s="40" t="str">
        <f>HYPERLINK("https://stock.pstatic.net/stock-research/company/2/20250115_company_172648000.pdf","PDF")</f>
        <v>PDF</v>
      </c>
      <c r="K15433" s="12" t="s">
        <v>29603</v>
      </c>
      <c r="L15433" s="20">
        <v>0.34874759152215801</v>
      </c>
    </row>
    <row r="15434" spans="1:12" x14ac:dyDescent="0.45">
      <c r="A15434" s="12" t="s">
        <v>29533</v>
      </c>
      <c r="B15434" s="12" t="s">
        <v>42</v>
      </c>
      <c r="C15434" s="13" t="s">
        <v>43</v>
      </c>
      <c r="D15434" s="13" t="s">
        <v>83</v>
      </c>
      <c r="E15434" s="12" t="s">
        <v>35</v>
      </c>
      <c r="F15434" s="14">
        <v>260000</v>
      </c>
      <c r="G15434" s="14">
        <v>202000</v>
      </c>
      <c r="H15434" s="13" t="s">
        <v>29604</v>
      </c>
      <c r="I15434" s="40" t="s">
        <v>18</v>
      </c>
      <c r="J15434" s="40" t="str">
        <f>HYPERLINK("https://stock.pstatic.net/stock-research/company/2/20250115_company_462872000.pdf","PDF")</f>
        <v>PDF</v>
      </c>
      <c r="K15434" s="12" t="s">
        <v>29605</v>
      </c>
      <c r="L15434" s="20">
        <v>0.28712871287128711</v>
      </c>
    </row>
    <row r="15435" spans="1:12" x14ac:dyDescent="0.45">
      <c r="A15435" s="12" t="s">
        <v>29533</v>
      </c>
      <c r="B15435" s="12" t="s">
        <v>1666</v>
      </c>
      <c r="C15435" s="13" t="s">
        <v>1667</v>
      </c>
      <c r="D15435" s="13" t="s">
        <v>83</v>
      </c>
      <c r="E15435" s="12" t="s">
        <v>642</v>
      </c>
      <c r="F15435" s="14">
        <v>56000</v>
      </c>
      <c r="G15435" s="14">
        <v>49900</v>
      </c>
      <c r="H15435" s="13" t="s">
        <v>29606</v>
      </c>
      <c r="I15435" s="40" t="s">
        <v>18</v>
      </c>
      <c r="J15435" s="40" t="str">
        <f>HYPERLINK("https://stock.pstatic.net/stock-research/company/2/20250115_company_466034000.pdf","PDF")</f>
        <v>PDF</v>
      </c>
      <c r="K15435" s="12" t="s">
        <v>29607</v>
      </c>
      <c r="L15435" s="20">
        <v>0.1222444889779559</v>
      </c>
    </row>
    <row r="15436" spans="1:12" x14ac:dyDescent="0.45">
      <c r="A15436" s="12" t="s">
        <v>29533</v>
      </c>
      <c r="B15436" s="12" t="s">
        <v>16060</v>
      </c>
      <c r="C15436" s="13" t="s">
        <v>16061</v>
      </c>
      <c r="D15436" s="13" t="s">
        <v>44</v>
      </c>
      <c r="E15436" s="12" t="s">
        <v>50</v>
      </c>
      <c r="F15436" s="13"/>
      <c r="G15436" s="14">
        <v>13650</v>
      </c>
      <c r="H15436" s="13" t="s">
        <v>29608</v>
      </c>
      <c r="I15436" s="40" t="s">
        <v>18</v>
      </c>
      <c r="J15436" s="40" t="str">
        <f>HYPERLINK("https://stock.pstatic.net/stock-research/company/39/20250115_company_510816000.pdf","PDF")</f>
        <v>PDF</v>
      </c>
      <c r="K15436" s="12" t="s">
        <v>29609</v>
      </c>
    </row>
    <row r="15437" spans="1:12" x14ac:dyDescent="0.45">
      <c r="A15437" s="12" t="s">
        <v>29533</v>
      </c>
      <c r="B15437" s="12" t="s">
        <v>728</v>
      </c>
      <c r="C15437" s="13" t="s">
        <v>729</v>
      </c>
      <c r="D15437" s="13" t="s">
        <v>44</v>
      </c>
      <c r="E15437" s="12" t="s">
        <v>35</v>
      </c>
      <c r="F15437" s="14">
        <v>130000</v>
      </c>
      <c r="G15437" s="14">
        <v>94500</v>
      </c>
      <c r="H15437" s="13" t="s">
        <v>29610</v>
      </c>
      <c r="I15437" s="40" t="s">
        <v>18</v>
      </c>
      <c r="J15437" s="40" t="str">
        <f>HYPERLINK("https://stock.pstatic.net/stock-research/company/39/20250115_company_156067000.pdf","PDF")</f>
        <v>PDF</v>
      </c>
      <c r="K15437" s="12" t="s">
        <v>29611</v>
      </c>
      <c r="L15437" s="20">
        <v>0.37566137566137559</v>
      </c>
    </row>
    <row r="15438" spans="1:12" x14ac:dyDescent="0.45">
      <c r="A15438" s="12" t="s">
        <v>29533</v>
      </c>
      <c r="B15438" s="12" t="s">
        <v>98</v>
      </c>
      <c r="C15438" s="13" t="s">
        <v>99</v>
      </c>
      <c r="D15438" s="13" t="s">
        <v>44</v>
      </c>
      <c r="E15438" s="12" t="s">
        <v>45</v>
      </c>
      <c r="F15438" s="14">
        <v>22000</v>
      </c>
      <c r="G15438" s="14">
        <v>18790</v>
      </c>
      <c r="H15438" s="13" t="s">
        <v>29612</v>
      </c>
      <c r="I15438" s="40" t="s">
        <v>18</v>
      </c>
      <c r="J15438" s="40" t="str">
        <f>HYPERLINK("https://stock.pstatic.net/stock-research/company/1/20250115_company_952955000.pdf","PDF")</f>
        <v>PDF</v>
      </c>
      <c r="K15438" s="12" t="s">
        <v>29613</v>
      </c>
      <c r="L15438" s="20">
        <v>0.1708355508249069</v>
      </c>
    </row>
    <row r="15439" spans="1:12" x14ac:dyDescent="0.45">
      <c r="A15439" s="12" t="s">
        <v>29533</v>
      </c>
      <c r="B15439" s="12" t="s">
        <v>114</v>
      </c>
      <c r="C15439" s="13" t="s">
        <v>115</v>
      </c>
      <c r="D15439" s="13" t="s">
        <v>44</v>
      </c>
      <c r="E15439" s="12" t="s">
        <v>35</v>
      </c>
      <c r="F15439" s="14">
        <v>13000</v>
      </c>
      <c r="G15439" s="14">
        <v>7470</v>
      </c>
      <c r="H15439" s="13" t="s">
        <v>29614</v>
      </c>
      <c r="I15439" s="40" t="s">
        <v>18</v>
      </c>
      <c r="J15439" s="40" t="str">
        <f>HYPERLINK("https://stock.pstatic.net/stock-research/company/39/20250115_company_412947000.pdf","PDF")</f>
        <v>PDF</v>
      </c>
      <c r="K15439" s="12" t="s">
        <v>29615</v>
      </c>
      <c r="L15439" s="20">
        <v>0.74029451137884872</v>
      </c>
    </row>
    <row r="15440" spans="1:12" x14ac:dyDescent="0.45">
      <c r="A15440" s="12" t="s">
        <v>29533</v>
      </c>
      <c r="B15440" s="12" t="s">
        <v>4882</v>
      </c>
      <c r="C15440" s="13" t="s">
        <v>4883</v>
      </c>
      <c r="D15440" s="13" t="s">
        <v>53</v>
      </c>
      <c r="E15440" s="12" t="s">
        <v>50</v>
      </c>
      <c r="F15440" s="13"/>
      <c r="G15440" s="14">
        <v>26450</v>
      </c>
      <c r="H15440" s="13" t="s">
        <v>29616</v>
      </c>
      <c r="I15440" s="40" t="s">
        <v>18</v>
      </c>
      <c r="J15440" s="40" t="str">
        <f>HYPERLINK("https://stock.pstatic.net/stock-research/company/1/20250115_company_921768000.pdf","PDF")</f>
        <v>PDF</v>
      </c>
      <c r="K15440" s="12" t="s">
        <v>29617</v>
      </c>
    </row>
    <row r="15441" spans="1:12" x14ac:dyDescent="0.45">
      <c r="A15441" s="12" t="s">
        <v>29533</v>
      </c>
      <c r="B15441" s="12" t="s">
        <v>856</v>
      </c>
      <c r="C15441" s="13" t="s">
        <v>857</v>
      </c>
      <c r="D15441" s="13" t="s">
        <v>44</v>
      </c>
      <c r="E15441" s="12" t="s">
        <v>35</v>
      </c>
      <c r="F15441" s="14">
        <v>180000</v>
      </c>
      <c r="G15441" s="14">
        <v>131700</v>
      </c>
      <c r="H15441" s="13" t="s">
        <v>29618</v>
      </c>
      <c r="I15441" s="40" t="s">
        <v>18</v>
      </c>
      <c r="J15441" s="40" t="str">
        <f>HYPERLINK("https://stock.pstatic.net/stock-research/company/1/20250115_company_618523000.pdf","PDF")</f>
        <v>PDF</v>
      </c>
      <c r="K15441" s="12" t="s">
        <v>29619</v>
      </c>
      <c r="L15441" s="20">
        <v>0.36674259681093402</v>
      </c>
    </row>
    <row r="15442" spans="1:12" x14ac:dyDescent="0.45">
      <c r="A15442" s="12" t="s">
        <v>29533</v>
      </c>
      <c r="B15442" s="12" t="s">
        <v>2867</v>
      </c>
      <c r="C15442" s="13" t="s">
        <v>2868</v>
      </c>
      <c r="D15442" s="13" t="s">
        <v>124</v>
      </c>
      <c r="E15442" s="12" t="s">
        <v>50</v>
      </c>
      <c r="F15442" s="13"/>
      <c r="G15442" s="13"/>
      <c r="H15442" s="13" t="s">
        <v>29620</v>
      </c>
      <c r="I15442" s="40" t="s">
        <v>18</v>
      </c>
      <c r="J15442" s="40" t="str">
        <f>HYPERLINK("https://stock.pstatic.net/stock-research/company/74/20250115_company_312829000.pdf","PDF")</f>
        <v>PDF</v>
      </c>
      <c r="K15442" s="12" t="s">
        <v>29621</v>
      </c>
    </row>
    <row r="15443" spans="1:12" x14ac:dyDescent="0.45">
      <c r="A15443" s="12" t="s">
        <v>29533</v>
      </c>
      <c r="B15443" s="12" t="s">
        <v>4921</v>
      </c>
      <c r="C15443" s="13" t="s">
        <v>4922</v>
      </c>
      <c r="D15443" s="13" t="s">
        <v>124</v>
      </c>
      <c r="E15443" s="12" t="s">
        <v>50</v>
      </c>
      <c r="F15443" s="13"/>
      <c r="G15443" s="13"/>
      <c r="H15443" s="13" t="s">
        <v>29622</v>
      </c>
      <c r="I15443" s="40" t="s">
        <v>18</v>
      </c>
      <c r="J15443" s="40" t="str">
        <f>HYPERLINK("https://stock.pstatic.net/stock-research/company/74/20250115_company_278904000.pdf","PDF")</f>
        <v>PDF</v>
      </c>
      <c r="K15443" s="12" t="s">
        <v>29623</v>
      </c>
    </row>
    <row r="15444" spans="1:12" x14ac:dyDescent="0.45">
      <c r="A15444" s="12" t="s">
        <v>29533</v>
      </c>
      <c r="B15444" s="12" t="s">
        <v>1097</v>
      </c>
      <c r="C15444" s="13" t="s">
        <v>1098</v>
      </c>
      <c r="D15444" s="13" t="s">
        <v>53</v>
      </c>
      <c r="E15444" s="12" t="s">
        <v>16</v>
      </c>
      <c r="F15444" s="14">
        <v>160000</v>
      </c>
      <c r="G15444" s="14">
        <v>102800</v>
      </c>
      <c r="H15444" s="13" t="s">
        <v>29624</v>
      </c>
      <c r="I15444" s="40" t="s">
        <v>18</v>
      </c>
      <c r="J15444" s="40" t="str">
        <f>HYPERLINK("https://stock.pstatic.net/stock-research/company/1/20250115_company_627588000.pdf","PDF")</f>
        <v>PDF</v>
      </c>
      <c r="K15444" s="12" t="s">
        <v>29625</v>
      </c>
      <c r="L15444" s="20">
        <v>0.55642023346303504</v>
      </c>
    </row>
    <row r="15445" spans="1:12" x14ac:dyDescent="0.45">
      <c r="A15445" s="12" t="s">
        <v>29626</v>
      </c>
      <c r="B15445" s="12" t="s">
        <v>3296</v>
      </c>
      <c r="C15445" s="13" t="s">
        <v>3297</v>
      </c>
      <c r="D15445" s="13" t="s">
        <v>276</v>
      </c>
      <c r="E15445" s="12" t="s">
        <v>16</v>
      </c>
      <c r="F15445" s="14">
        <v>53000</v>
      </c>
      <c r="G15445" s="14">
        <v>37800</v>
      </c>
      <c r="H15445" s="13" t="s">
        <v>29627</v>
      </c>
      <c r="I15445" s="40" t="s">
        <v>18</v>
      </c>
      <c r="J15445" s="40" t="str">
        <f>HYPERLINK("https://stock.pstatic.net/stock-research/company/66/20250114_company_452826000.pdf","PDF")</f>
        <v>PDF</v>
      </c>
      <c r="K15445" s="12" t="s">
        <v>29628</v>
      </c>
      <c r="L15445" s="20">
        <v>0.40211640211640209</v>
      </c>
    </row>
    <row r="15446" spans="1:12" x14ac:dyDescent="0.45">
      <c r="A15446" s="12" t="s">
        <v>29626</v>
      </c>
      <c r="B15446" s="12" t="s">
        <v>76</v>
      </c>
      <c r="C15446" s="13" t="s">
        <v>77</v>
      </c>
      <c r="D15446" s="13" t="s">
        <v>65</v>
      </c>
      <c r="E15446" s="12" t="s">
        <v>1738</v>
      </c>
      <c r="F15446" s="14">
        <v>17000</v>
      </c>
      <c r="G15446" s="14">
        <v>18580</v>
      </c>
      <c r="H15446" s="13" t="s">
        <v>29629</v>
      </c>
      <c r="I15446" s="40" t="s">
        <v>18</v>
      </c>
      <c r="J15446" s="40" t="str">
        <f>HYPERLINK("https://stock.pstatic.net/stock-research/company/57/20250114_company_298459000.pdf","PDF")</f>
        <v>PDF</v>
      </c>
      <c r="K15446" s="12" t="s">
        <v>29630</v>
      </c>
      <c r="L15446" s="20">
        <v>-8.503767491926803E-2</v>
      </c>
    </row>
    <row r="15447" spans="1:12" x14ac:dyDescent="0.45">
      <c r="A15447" s="12" t="s">
        <v>29626</v>
      </c>
      <c r="B15447" s="12" t="s">
        <v>744</v>
      </c>
      <c r="C15447" s="13" t="s">
        <v>745</v>
      </c>
      <c r="D15447" s="13" t="s">
        <v>65</v>
      </c>
      <c r="E15447" s="12" t="s">
        <v>35</v>
      </c>
      <c r="F15447" s="14">
        <v>17000</v>
      </c>
      <c r="G15447" s="14">
        <v>11700</v>
      </c>
      <c r="H15447" s="13" t="s">
        <v>29631</v>
      </c>
      <c r="I15447" s="40" t="s">
        <v>18</v>
      </c>
      <c r="J15447" s="40" t="str">
        <f>HYPERLINK("https://stock.pstatic.net/stock-research/company/57/20250114_company_7967000.pdf","PDF")</f>
        <v>PDF</v>
      </c>
      <c r="K15447" s="12" t="s">
        <v>29632</v>
      </c>
      <c r="L15447" s="20">
        <v>0.45299145299145299</v>
      </c>
    </row>
    <row r="15448" spans="1:12" x14ac:dyDescent="0.45">
      <c r="A15448" s="12" t="s">
        <v>29626</v>
      </c>
      <c r="B15448" s="12" t="s">
        <v>5787</v>
      </c>
      <c r="C15448" s="13" t="s">
        <v>5788</v>
      </c>
      <c r="D15448" s="13" t="s">
        <v>57</v>
      </c>
      <c r="E15448" s="12" t="s">
        <v>50</v>
      </c>
      <c r="F15448" s="13"/>
      <c r="G15448" s="14">
        <v>11520</v>
      </c>
      <c r="H15448" s="13" t="s">
        <v>29633</v>
      </c>
      <c r="I15448" s="40" t="s">
        <v>18</v>
      </c>
      <c r="J15448" s="40" t="str">
        <f>HYPERLINK("https://stock.pstatic.net/stock-research/company/16/20250114_company_577262000.pdf","PDF")</f>
        <v>PDF</v>
      </c>
      <c r="K15448" s="12" t="s">
        <v>29634</v>
      </c>
    </row>
    <row r="15449" spans="1:12" x14ac:dyDescent="0.45">
      <c r="A15449" s="12" t="s">
        <v>29626</v>
      </c>
      <c r="B15449" s="12" t="s">
        <v>1765</v>
      </c>
      <c r="C15449" s="13" t="s">
        <v>1766</v>
      </c>
      <c r="D15449" s="13" t="s">
        <v>57</v>
      </c>
      <c r="E15449" s="12" t="s">
        <v>35</v>
      </c>
      <c r="F15449" s="14">
        <v>140000</v>
      </c>
      <c r="G15449" s="14">
        <v>105400</v>
      </c>
      <c r="H15449" s="13" t="s">
        <v>29635</v>
      </c>
      <c r="I15449" s="40" t="s">
        <v>18</v>
      </c>
      <c r="J15449" s="40" t="str">
        <f>HYPERLINK("https://stock.pstatic.net/stock-research/company/1/20250114_company_589323000.pdf","PDF")</f>
        <v>PDF</v>
      </c>
      <c r="K15449" s="12" t="s">
        <v>29636</v>
      </c>
      <c r="L15449" s="20">
        <v>0.32827324478178371</v>
      </c>
    </row>
    <row r="15450" spans="1:12" x14ac:dyDescent="0.45">
      <c r="A15450" s="12" t="s">
        <v>29626</v>
      </c>
      <c r="B15450" s="12" t="s">
        <v>519</v>
      </c>
      <c r="C15450" s="13" t="s">
        <v>520</v>
      </c>
      <c r="D15450" s="13" t="s">
        <v>57</v>
      </c>
      <c r="E15450" s="12" t="s">
        <v>35</v>
      </c>
      <c r="F15450" s="14">
        <v>335000</v>
      </c>
      <c r="G15450" s="14">
        <v>220000</v>
      </c>
      <c r="H15450" s="13" t="s">
        <v>29637</v>
      </c>
      <c r="I15450" s="40" t="s">
        <v>18</v>
      </c>
      <c r="J15450" s="40" t="str">
        <f>HYPERLINK("https://stock.pstatic.net/stock-research/company/16/20250114_company_785265000.pdf","PDF")</f>
        <v>PDF</v>
      </c>
      <c r="K15450" s="12" t="s">
        <v>29638</v>
      </c>
      <c r="L15450" s="20">
        <v>0.52272727272727271</v>
      </c>
    </row>
    <row r="15451" spans="1:12" x14ac:dyDescent="0.45">
      <c r="A15451" s="12" t="s">
        <v>29626</v>
      </c>
      <c r="B15451" s="12" t="s">
        <v>3204</v>
      </c>
      <c r="C15451" s="13" t="s">
        <v>3205</v>
      </c>
      <c r="D15451" s="13" t="s">
        <v>158</v>
      </c>
      <c r="E15451" s="12" t="s">
        <v>35</v>
      </c>
      <c r="F15451" s="14">
        <v>4300</v>
      </c>
      <c r="G15451" s="14">
        <v>3190</v>
      </c>
      <c r="H15451" s="13" t="s">
        <v>29639</v>
      </c>
      <c r="I15451" s="40" t="s">
        <v>18</v>
      </c>
      <c r="J15451" s="40" t="str">
        <f>HYPERLINK("https://stock.pstatic.net/stock-research/company/18/20250114_company_36410000.pdf","PDF")</f>
        <v>PDF</v>
      </c>
      <c r="K15451" s="12" t="s">
        <v>29640</v>
      </c>
      <c r="L15451" s="20">
        <v>0.34796238244514099</v>
      </c>
    </row>
    <row r="15452" spans="1:12" x14ac:dyDescent="0.45">
      <c r="A15452" s="12" t="s">
        <v>29626</v>
      </c>
      <c r="B15452" s="12" t="s">
        <v>3349</v>
      </c>
      <c r="C15452" s="13" t="s">
        <v>7707</v>
      </c>
      <c r="D15452" s="13" t="s">
        <v>158</v>
      </c>
      <c r="E15452" s="12" t="s">
        <v>35</v>
      </c>
      <c r="F15452" s="14">
        <v>25000</v>
      </c>
      <c r="G15452" s="14">
        <v>17200</v>
      </c>
      <c r="H15452" s="13" t="s">
        <v>29641</v>
      </c>
      <c r="I15452" s="40" t="s">
        <v>18</v>
      </c>
      <c r="J15452" s="40" t="str">
        <f>HYPERLINK("https://stock.pstatic.net/stock-research/company/1/20250114_company_376319000.pdf","PDF")</f>
        <v>PDF</v>
      </c>
      <c r="K15452" s="12" t="s">
        <v>29642</v>
      </c>
      <c r="L15452" s="20">
        <v>0.45348837209302317</v>
      </c>
    </row>
    <row r="15453" spans="1:12" x14ac:dyDescent="0.45">
      <c r="A15453" s="12" t="s">
        <v>29626</v>
      </c>
      <c r="B15453" s="12" t="s">
        <v>2956</v>
      </c>
      <c r="C15453" s="13" t="s">
        <v>2957</v>
      </c>
      <c r="D15453" s="13" t="s">
        <v>158</v>
      </c>
      <c r="E15453" s="12" t="s">
        <v>35</v>
      </c>
      <c r="F15453" s="14">
        <v>24500</v>
      </c>
      <c r="G15453" s="14">
        <v>17420</v>
      </c>
      <c r="H15453" s="13" t="s">
        <v>29643</v>
      </c>
      <c r="I15453" s="40" t="s">
        <v>18</v>
      </c>
      <c r="J15453" s="40" t="str">
        <f>HYPERLINK("https://stock.pstatic.net/stock-research/company/1/20250114_company_487668000.pdf","PDF")</f>
        <v>PDF</v>
      </c>
      <c r="K15453" s="12" t="s">
        <v>29644</v>
      </c>
      <c r="L15453" s="20">
        <v>0.40642939150401841</v>
      </c>
    </row>
    <row r="15454" spans="1:12" x14ac:dyDescent="0.45">
      <c r="A15454" s="12" t="s">
        <v>29626</v>
      </c>
      <c r="B15454" s="12" t="s">
        <v>3164</v>
      </c>
      <c r="C15454" s="13" t="s">
        <v>3165</v>
      </c>
      <c r="D15454" s="13" t="s">
        <v>158</v>
      </c>
      <c r="E15454" s="12" t="s">
        <v>35</v>
      </c>
      <c r="F15454" s="14">
        <v>39000</v>
      </c>
      <c r="G15454" s="14">
        <v>26250</v>
      </c>
      <c r="H15454" s="13" t="s">
        <v>29645</v>
      </c>
      <c r="I15454" s="40" t="s">
        <v>18</v>
      </c>
      <c r="J15454" s="40" t="str">
        <f>HYPERLINK("https://stock.pstatic.net/stock-research/company/1/20250114_company_606811000.pdf","PDF")</f>
        <v>PDF</v>
      </c>
      <c r="K15454" s="12" t="s">
        <v>29646</v>
      </c>
      <c r="L15454" s="20">
        <v>0.48571428571428571</v>
      </c>
    </row>
    <row r="15455" spans="1:12" x14ac:dyDescent="0.45">
      <c r="A15455" s="12" t="s">
        <v>29626</v>
      </c>
      <c r="B15455" s="12" t="s">
        <v>2982</v>
      </c>
      <c r="C15455" s="13" t="s">
        <v>2983</v>
      </c>
      <c r="D15455" s="13" t="s">
        <v>158</v>
      </c>
      <c r="E15455" s="12" t="s">
        <v>35</v>
      </c>
      <c r="F15455" s="14">
        <v>47000</v>
      </c>
      <c r="G15455" s="14">
        <v>31500</v>
      </c>
      <c r="H15455" s="13" t="s">
        <v>29647</v>
      </c>
      <c r="I15455" s="40" t="s">
        <v>18</v>
      </c>
      <c r="J15455" s="40" t="str">
        <f>HYPERLINK("https://stock.pstatic.net/stock-research/company/1/20250114_company_785945000.pdf","PDF")</f>
        <v>PDF</v>
      </c>
      <c r="K15455" s="12" t="s">
        <v>29648</v>
      </c>
      <c r="L15455" s="20">
        <v>0.49206349206349198</v>
      </c>
    </row>
    <row r="15456" spans="1:12" x14ac:dyDescent="0.45">
      <c r="A15456" s="12" t="s">
        <v>29626</v>
      </c>
      <c r="B15456" s="12" t="s">
        <v>5918</v>
      </c>
      <c r="C15456" s="13" t="s">
        <v>5919</v>
      </c>
      <c r="D15456" s="13" t="s">
        <v>158</v>
      </c>
      <c r="E15456" s="12" t="s">
        <v>50</v>
      </c>
      <c r="F15456" s="13"/>
      <c r="G15456" s="14">
        <v>24400</v>
      </c>
      <c r="H15456" s="13" t="s">
        <v>29649</v>
      </c>
      <c r="I15456" s="40" t="s">
        <v>18</v>
      </c>
      <c r="J15456" s="40" t="str">
        <f>HYPERLINK("https://stock.pstatic.net/stock-research/company/18/20250114_company_129541000.pdf","PDF")</f>
        <v>PDF</v>
      </c>
      <c r="K15456" s="12" t="s">
        <v>29650</v>
      </c>
    </row>
    <row r="15457" spans="1:12" x14ac:dyDescent="0.45">
      <c r="A15457" s="12" t="s">
        <v>29626</v>
      </c>
      <c r="B15457" s="12" t="s">
        <v>17011</v>
      </c>
      <c r="C15457" s="13" t="s">
        <v>17012</v>
      </c>
      <c r="D15457" s="13" t="s">
        <v>158</v>
      </c>
      <c r="E15457" s="12" t="s">
        <v>50</v>
      </c>
      <c r="F15457" s="13"/>
      <c r="G15457" s="14">
        <v>19640</v>
      </c>
      <c r="H15457" s="13" t="s">
        <v>29651</v>
      </c>
      <c r="I15457" s="40" t="s">
        <v>18</v>
      </c>
      <c r="J15457" s="40" t="str">
        <f>HYPERLINK("https://stock.pstatic.net/stock-research/company/1/20250114_company_714034000.pdf","PDF")</f>
        <v>PDF</v>
      </c>
      <c r="K15457" s="12" t="s">
        <v>29652</v>
      </c>
    </row>
    <row r="15458" spans="1:12" x14ac:dyDescent="0.45">
      <c r="A15458" s="12" t="s">
        <v>29626</v>
      </c>
      <c r="B15458" s="12" t="s">
        <v>537</v>
      </c>
      <c r="C15458" s="13" t="s">
        <v>538</v>
      </c>
      <c r="D15458" s="13" t="s">
        <v>158</v>
      </c>
      <c r="E15458" s="12" t="s">
        <v>35</v>
      </c>
      <c r="F15458" s="14">
        <v>13000</v>
      </c>
      <c r="G15458" s="14">
        <v>10460</v>
      </c>
      <c r="H15458" s="13" t="s">
        <v>29653</v>
      </c>
      <c r="I15458" s="40" t="s">
        <v>18</v>
      </c>
      <c r="J15458" s="40" t="str">
        <f>HYPERLINK("https://stock.pstatic.net/stock-research/company/18/20250114_company_156771000.pdf","PDF")</f>
        <v>PDF</v>
      </c>
      <c r="K15458" s="12" t="s">
        <v>29654</v>
      </c>
      <c r="L15458" s="20">
        <v>0.24282982791586999</v>
      </c>
    </row>
    <row r="15459" spans="1:12" x14ac:dyDescent="0.45">
      <c r="A15459" s="12" t="s">
        <v>29626</v>
      </c>
      <c r="B15459" s="12" t="s">
        <v>541</v>
      </c>
      <c r="C15459" s="13" t="s">
        <v>542</v>
      </c>
      <c r="D15459" s="13" t="s">
        <v>158</v>
      </c>
      <c r="E15459" s="12" t="s">
        <v>35</v>
      </c>
      <c r="F15459" s="14">
        <v>71000</v>
      </c>
      <c r="G15459" s="14">
        <v>56000</v>
      </c>
      <c r="H15459" s="13" t="s">
        <v>7008</v>
      </c>
      <c r="I15459" s="40" t="s">
        <v>18</v>
      </c>
      <c r="J15459" s="40" t="str">
        <f>HYPERLINK("https://stock.pstatic.net/stock-research/company/18/20250114_company_359517000.pdf","PDF")</f>
        <v>PDF</v>
      </c>
      <c r="K15459" s="12" t="s">
        <v>29655</v>
      </c>
      <c r="L15459" s="20">
        <v>0.26785714285714279</v>
      </c>
    </row>
    <row r="15460" spans="1:12" x14ac:dyDescent="0.45">
      <c r="A15460" s="12" t="s">
        <v>29626</v>
      </c>
      <c r="B15460" s="12" t="s">
        <v>533</v>
      </c>
      <c r="C15460" s="13" t="s">
        <v>534</v>
      </c>
      <c r="D15460" s="13" t="s">
        <v>158</v>
      </c>
      <c r="E15460" s="12" t="s">
        <v>35</v>
      </c>
      <c r="F15460" s="14">
        <v>58500</v>
      </c>
      <c r="G15460" s="14">
        <v>44400</v>
      </c>
      <c r="H15460" s="13" t="s">
        <v>29656</v>
      </c>
      <c r="I15460" s="40" t="s">
        <v>18</v>
      </c>
      <c r="J15460" s="40" t="str">
        <f>HYPERLINK("https://stock.pstatic.net/stock-research/company/18/20250114_company_483092000.pdf","PDF")</f>
        <v>PDF</v>
      </c>
      <c r="K15460" s="12" t="s">
        <v>29657</v>
      </c>
      <c r="L15460" s="20">
        <v>0.31756756756756749</v>
      </c>
    </row>
    <row r="15461" spans="1:12" x14ac:dyDescent="0.45">
      <c r="A15461" s="12" t="s">
        <v>29626</v>
      </c>
      <c r="B15461" s="12" t="s">
        <v>3014</v>
      </c>
      <c r="C15461" s="13" t="s">
        <v>3015</v>
      </c>
      <c r="D15461" s="13" t="s">
        <v>158</v>
      </c>
      <c r="E15461" s="12" t="s">
        <v>35</v>
      </c>
      <c r="F15461" s="14">
        <v>80000</v>
      </c>
      <c r="G15461" s="14">
        <v>52300</v>
      </c>
      <c r="H15461" s="13" t="s">
        <v>29658</v>
      </c>
      <c r="I15461" s="40" t="s">
        <v>18</v>
      </c>
      <c r="J15461" s="40" t="str">
        <f>HYPERLINK("https://stock.pstatic.net/stock-research/company/1/20250114_company_398975000.pdf","PDF")</f>
        <v>PDF</v>
      </c>
      <c r="K15461" s="12" t="s">
        <v>29659</v>
      </c>
      <c r="L15461" s="20">
        <v>0.5296367112810707</v>
      </c>
    </row>
    <row r="15462" spans="1:12" x14ac:dyDescent="0.45">
      <c r="A15462" s="12" t="s">
        <v>29626</v>
      </c>
      <c r="B15462" s="12" t="s">
        <v>4095</v>
      </c>
      <c r="C15462" s="13" t="s">
        <v>4096</v>
      </c>
      <c r="D15462" s="13" t="s">
        <v>158</v>
      </c>
      <c r="E15462" s="12" t="s">
        <v>35</v>
      </c>
      <c r="F15462" s="14">
        <v>210000</v>
      </c>
      <c r="G15462" s="14">
        <v>83200</v>
      </c>
      <c r="H15462" s="13" t="s">
        <v>29660</v>
      </c>
      <c r="I15462" s="40" t="s">
        <v>18</v>
      </c>
      <c r="J15462" s="40" t="str">
        <f>HYPERLINK("https://stock.pstatic.net/stock-research/company/1/20250114_company_103064000.pdf","PDF")</f>
        <v>PDF</v>
      </c>
      <c r="K15462" s="12" t="s">
        <v>29661</v>
      </c>
      <c r="L15462" s="20">
        <v>1.524038461538461</v>
      </c>
    </row>
    <row r="15463" spans="1:12" x14ac:dyDescent="0.45">
      <c r="A15463" s="12" t="s">
        <v>29626</v>
      </c>
      <c r="B15463" s="12" t="s">
        <v>29662</v>
      </c>
      <c r="C15463" s="13" t="s">
        <v>29663</v>
      </c>
      <c r="D15463" s="13" t="s">
        <v>179</v>
      </c>
      <c r="E15463" s="12" t="s">
        <v>385</v>
      </c>
      <c r="F15463" s="14">
        <v>5500</v>
      </c>
      <c r="G15463" s="14">
        <v>5300</v>
      </c>
      <c r="H15463" s="13" t="s">
        <v>29664</v>
      </c>
      <c r="I15463" s="40" t="s">
        <v>18</v>
      </c>
      <c r="J15463" s="40" t="str">
        <f>HYPERLINK("https://stock.pstatic.net/stock-research/company/31/20250114_company_589741000.pdf","PDF")</f>
        <v>PDF</v>
      </c>
      <c r="K15463" s="12" t="s">
        <v>29665</v>
      </c>
      <c r="L15463" s="20">
        <v>3.7735849056603772E-2</v>
      </c>
    </row>
    <row r="15464" spans="1:12" x14ac:dyDescent="0.45">
      <c r="A15464" s="12" t="s">
        <v>29626</v>
      </c>
      <c r="B15464" s="12" t="s">
        <v>13568</v>
      </c>
      <c r="C15464" s="13" t="s">
        <v>13569</v>
      </c>
      <c r="D15464" s="13" t="s">
        <v>179</v>
      </c>
      <c r="E15464" s="12" t="s">
        <v>16</v>
      </c>
      <c r="F15464" s="14">
        <v>5900</v>
      </c>
      <c r="G15464" s="14">
        <v>4620</v>
      </c>
      <c r="H15464" s="13" t="s">
        <v>29666</v>
      </c>
      <c r="I15464" s="40" t="s">
        <v>18</v>
      </c>
      <c r="J15464" s="40" t="str">
        <f>HYPERLINK("https://stock.pstatic.net/stock-research/company/31/20250114_company_540721000.pdf","PDF")</f>
        <v>PDF</v>
      </c>
      <c r="K15464" s="12" t="s">
        <v>29667</v>
      </c>
      <c r="L15464" s="20">
        <v>0.27705627705627711</v>
      </c>
    </row>
    <row r="15465" spans="1:12" x14ac:dyDescent="0.45">
      <c r="A15465" s="12" t="s">
        <v>29626</v>
      </c>
      <c r="B15465" s="12" t="s">
        <v>1262</v>
      </c>
      <c r="C15465" s="13" t="s">
        <v>1263</v>
      </c>
      <c r="D15465" s="13" t="s">
        <v>179</v>
      </c>
      <c r="E15465" s="12" t="s">
        <v>16</v>
      </c>
      <c r="F15465" s="14">
        <v>3500</v>
      </c>
      <c r="G15465" s="14">
        <v>2505</v>
      </c>
      <c r="H15465" s="13" t="s">
        <v>29668</v>
      </c>
      <c r="I15465" s="40" t="s">
        <v>18</v>
      </c>
      <c r="J15465" s="40" t="str">
        <f>HYPERLINK("https://stock.pstatic.net/stock-research/company/1/20250114_company_294034000.pdf","PDF")</f>
        <v>PDF</v>
      </c>
      <c r="K15465" s="12" t="s">
        <v>29669</v>
      </c>
      <c r="L15465" s="20">
        <v>0.39720558882235529</v>
      </c>
    </row>
    <row r="15466" spans="1:12" x14ac:dyDescent="0.45">
      <c r="A15466" s="12" t="s">
        <v>29626</v>
      </c>
      <c r="B15466" s="12" t="s">
        <v>2492</v>
      </c>
      <c r="C15466" s="13" t="s">
        <v>2493</v>
      </c>
      <c r="D15466" s="13" t="s">
        <v>23</v>
      </c>
      <c r="E15466" s="12" t="s">
        <v>16</v>
      </c>
      <c r="F15466" s="14">
        <v>230000</v>
      </c>
      <c r="G15466" s="14">
        <v>235000</v>
      </c>
      <c r="H15466" s="13" t="s">
        <v>29670</v>
      </c>
      <c r="I15466" s="40" t="s">
        <v>18</v>
      </c>
      <c r="J15466" s="40" t="str">
        <f>HYPERLINK("https://stock.pstatic.net/stock-research/company/21/20250114_company_310144000.pdf","PDF")</f>
        <v>PDF</v>
      </c>
      <c r="K15466" s="12" t="s">
        <v>29671</v>
      </c>
      <c r="L15466" s="20">
        <v>-2.1276595744680851E-2</v>
      </c>
    </row>
    <row r="15467" spans="1:12" x14ac:dyDescent="0.45">
      <c r="A15467" s="12" t="s">
        <v>29626</v>
      </c>
      <c r="B15467" s="12" t="s">
        <v>3182</v>
      </c>
      <c r="C15467" s="13" t="s">
        <v>3183</v>
      </c>
      <c r="D15467" s="13" t="s">
        <v>23</v>
      </c>
      <c r="E15467" s="12" t="s">
        <v>16</v>
      </c>
      <c r="F15467" s="14">
        <v>500000</v>
      </c>
      <c r="G15467" s="14">
        <v>389000</v>
      </c>
      <c r="H15467" s="13" t="s">
        <v>29672</v>
      </c>
      <c r="I15467" s="40" t="s">
        <v>18</v>
      </c>
      <c r="J15467" s="40" t="str">
        <f>HYPERLINK("https://stock.pstatic.net/stock-research/company/21/20250114_company_788120000.pdf","PDF")</f>
        <v>PDF</v>
      </c>
      <c r="K15467" s="12" t="s">
        <v>29673</v>
      </c>
      <c r="L15467" s="20">
        <v>0.28534704370179947</v>
      </c>
    </row>
    <row r="15468" spans="1:12" x14ac:dyDescent="0.45">
      <c r="A15468" s="12" t="s">
        <v>29626</v>
      </c>
      <c r="B15468" s="12" t="s">
        <v>1252</v>
      </c>
      <c r="C15468" s="13" t="s">
        <v>1253</v>
      </c>
      <c r="D15468" s="13" t="s">
        <v>179</v>
      </c>
      <c r="E15468" s="12" t="s">
        <v>16</v>
      </c>
      <c r="F15468" s="14">
        <v>5100</v>
      </c>
      <c r="G15468" s="14">
        <v>4155</v>
      </c>
      <c r="H15468" s="13" t="s">
        <v>29674</v>
      </c>
      <c r="I15468" s="40" t="s">
        <v>18</v>
      </c>
      <c r="J15468" s="40" t="str">
        <f>HYPERLINK("https://stock.pstatic.net/stock-research/company/31/20250114_company_744888000.pdf","PDF")</f>
        <v>PDF</v>
      </c>
      <c r="K15468" s="12" t="s">
        <v>29675</v>
      </c>
      <c r="L15468" s="20">
        <v>0.22743682310469321</v>
      </c>
    </row>
    <row r="15469" spans="1:12" x14ac:dyDescent="0.45">
      <c r="A15469" s="12" t="s">
        <v>29626</v>
      </c>
      <c r="B15469" s="12" t="s">
        <v>3349</v>
      </c>
      <c r="C15469" s="13" t="s">
        <v>7707</v>
      </c>
      <c r="D15469" s="13" t="s">
        <v>83</v>
      </c>
      <c r="E15469" s="12" t="s">
        <v>35</v>
      </c>
      <c r="F15469" s="14">
        <v>30000</v>
      </c>
      <c r="G15469" s="14">
        <v>17390</v>
      </c>
      <c r="H15469" s="13" t="s">
        <v>29676</v>
      </c>
      <c r="I15469" s="40" t="s">
        <v>18</v>
      </c>
      <c r="J15469" s="40" t="str">
        <f>HYPERLINK("https://stock.pstatic.net/stock-research/company/2/20250114_company_102965000.pdf","PDF")</f>
        <v>PDF</v>
      </c>
      <c r="K15469" s="12" t="s">
        <v>29677</v>
      </c>
      <c r="L15469" s="20">
        <v>0.7251293847038528</v>
      </c>
    </row>
    <row r="15470" spans="1:12" x14ac:dyDescent="0.45">
      <c r="A15470" s="12" t="s">
        <v>29626</v>
      </c>
      <c r="B15470" s="12" t="s">
        <v>533</v>
      </c>
      <c r="C15470" s="13" t="s">
        <v>534</v>
      </c>
      <c r="D15470" s="13" t="s">
        <v>83</v>
      </c>
      <c r="E15470" s="12" t="s">
        <v>35</v>
      </c>
      <c r="F15470" s="14">
        <v>53000</v>
      </c>
      <c r="G15470" s="14">
        <v>44400</v>
      </c>
      <c r="H15470" s="13" t="s">
        <v>29678</v>
      </c>
      <c r="I15470" s="40" t="s">
        <v>18</v>
      </c>
      <c r="J15470" s="40" t="str">
        <f>HYPERLINK("https://stock.pstatic.net/stock-research/company/1/20250114_company_455814000.pdf","PDF")</f>
        <v>PDF</v>
      </c>
      <c r="K15470" s="12" t="s">
        <v>29679</v>
      </c>
      <c r="L15470" s="20">
        <v>0.19369369369369371</v>
      </c>
    </row>
    <row r="15471" spans="1:12" x14ac:dyDescent="0.45">
      <c r="A15471" s="12" t="s">
        <v>29626</v>
      </c>
      <c r="B15471" s="12" t="s">
        <v>856</v>
      </c>
      <c r="C15471" s="13" t="s">
        <v>857</v>
      </c>
      <c r="D15471" s="13" t="s">
        <v>83</v>
      </c>
      <c r="E15471" s="12" t="s">
        <v>35</v>
      </c>
      <c r="F15471" s="14">
        <v>175000</v>
      </c>
      <c r="G15471" s="14">
        <v>133800</v>
      </c>
      <c r="H15471" s="13" t="s">
        <v>29680</v>
      </c>
      <c r="I15471" s="40" t="s">
        <v>18</v>
      </c>
      <c r="J15471" s="40" t="str">
        <f>HYPERLINK("https://stock.pstatic.net/stock-research/company/2/20250114_company_277862000.pdf","PDF")</f>
        <v>PDF</v>
      </c>
      <c r="K15471" s="12" t="s">
        <v>29681</v>
      </c>
      <c r="L15471" s="20">
        <v>0.30792227204783262</v>
      </c>
    </row>
    <row r="15472" spans="1:12" x14ac:dyDescent="0.45">
      <c r="A15472" s="12" t="s">
        <v>29626</v>
      </c>
      <c r="B15472" s="12" t="s">
        <v>1266</v>
      </c>
      <c r="C15472" s="13" t="s">
        <v>1267</v>
      </c>
      <c r="D15472" s="13" t="s">
        <v>179</v>
      </c>
      <c r="E15472" s="12" t="s">
        <v>16</v>
      </c>
      <c r="F15472" s="14">
        <v>114000</v>
      </c>
      <c r="G15472" s="14">
        <v>93900</v>
      </c>
      <c r="H15472" s="13" t="s">
        <v>29682</v>
      </c>
      <c r="I15472" s="40" t="s">
        <v>18</v>
      </c>
      <c r="J15472" s="40" t="str">
        <f>HYPERLINK("https://stock.pstatic.net/stock-research/company/31/20250114_company_620992000.pdf","PDF")</f>
        <v>PDF</v>
      </c>
      <c r="K15472" s="12" t="s">
        <v>29683</v>
      </c>
      <c r="L15472" s="20">
        <v>0.21405750798722051</v>
      </c>
    </row>
    <row r="15473" spans="1:12" x14ac:dyDescent="0.45">
      <c r="A15473" s="12" t="s">
        <v>29626</v>
      </c>
      <c r="B15473" s="12" t="s">
        <v>21</v>
      </c>
      <c r="C15473" s="13" t="s">
        <v>22</v>
      </c>
      <c r="D15473" s="13" t="s">
        <v>179</v>
      </c>
      <c r="E15473" s="12" t="s">
        <v>16</v>
      </c>
      <c r="F15473" s="14">
        <v>32000</v>
      </c>
      <c r="G15473" s="14">
        <v>25950</v>
      </c>
      <c r="H15473" s="13" t="s">
        <v>29684</v>
      </c>
      <c r="I15473" s="40" t="s">
        <v>18</v>
      </c>
      <c r="J15473" s="40" t="str">
        <f>HYPERLINK("https://stock.pstatic.net/stock-research/company/31/20250114_company_866399000.pdf","PDF")</f>
        <v>PDF</v>
      </c>
      <c r="K15473" s="12" t="s">
        <v>29685</v>
      </c>
      <c r="L15473" s="20">
        <v>0.23314065510597301</v>
      </c>
    </row>
    <row r="15474" spans="1:12" x14ac:dyDescent="0.45">
      <c r="A15474" s="12" t="s">
        <v>29626</v>
      </c>
      <c r="B15474" s="12" t="s">
        <v>1274</v>
      </c>
      <c r="C15474" s="13" t="s">
        <v>1275</v>
      </c>
      <c r="D15474" s="13" t="s">
        <v>179</v>
      </c>
      <c r="E15474" s="12" t="s">
        <v>16</v>
      </c>
      <c r="F15474" s="14">
        <v>137000</v>
      </c>
      <c r="G15474" s="14">
        <v>99800</v>
      </c>
      <c r="H15474" s="13" t="s">
        <v>29686</v>
      </c>
      <c r="I15474" s="40" t="s">
        <v>18</v>
      </c>
      <c r="J15474" s="40" t="str">
        <f>HYPERLINK("https://stock.pstatic.net/stock-research/company/31/20250114_company_581827000.pdf","PDF")</f>
        <v>PDF</v>
      </c>
      <c r="K15474" s="12" t="s">
        <v>29687</v>
      </c>
      <c r="L15474" s="20">
        <v>0.37274549098196391</v>
      </c>
    </row>
    <row r="15475" spans="1:12" x14ac:dyDescent="0.45">
      <c r="A15475" s="12" t="s">
        <v>29626</v>
      </c>
      <c r="B15475" s="12" t="s">
        <v>1258</v>
      </c>
      <c r="C15475" s="13" t="s">
        <v>1259</v>
      </c>
      <c r="D15475" s="13" t="s">
        <v>179</v>
      </c>
      <c r="E15475" s="12" t="s">
        <v>16</v>
      </c>
      <c r="F15475" s="14">
        <v>474000</v>
      </c>
      <c r="G15475" s="14">
        <v>359500</v>
      </c>
      <c r="H15475" s="13" t="s">
        <v>29688</v>
      </c>
      <c r="I15475" s="40" t="s">
        <v>18</v>
      </c>
      <c r="J15475" s="40" t="str">
        <f>HYPERLINK("https://stock.pstatic.net/stock-research/company/31/20250114_company_686131000.pdf","PDF")</f>
        <v>PDF</v>
      </c>
      <c r="K15475" s="12" t="s">
        <v>29689</v>
      </c>
      <c r="L15475" s="20">
        <v>0.31849791376912379</v>
      </c>
    </row>
    <row r="15476" spans="1:12" x14ac:dyDescent="0.45">
      <c r="A15476" s="12" t="s">
        <v>29626</v>
      </c>
      <c r="B15476" s="12" t="s">
        <v>752</v>
      </c>
      <c r="C15476" s="13" t="s">
        <v>753</v>
      </c>
      <c r="D15476" s="13" t="s">
        <v>92</v>
      </c>
      <c r="E15476" s="12" t="s">
        <v>35</v>
      </c>
      <c r="F15476" s="14">
        <v>81000</v>
      </c>
      <c r="G15476" s="14">
        <v>70100</v>
      </c>
      <c r="H15476" s="13" t="s">
        <v>29690</v>
      </c>
      <c r="I15476" s="40" t="s">
        <v>18</v>
      </c>
      <c r="J15476" s="40" t="str">
        <f>HYPERLINK("https://stock.pstatic.net/stock-research/company/63/20250114_company_585210000.pdf","PDF")</f>
        <v>PDF</v>
      </c>
      <c r="K15476" s="12" t="s">
        <v>29691</v>
      </c>
      <c r="L15476" s="20">
        <v>0.1554921540656205</v>
      </c>
    </row>
    <row r="15477" spans="1:12" x14ac:dyDescent="0.45">
      <c r="A15477" s="12" t="s">
        <v>29626</v>
      </c>
      <c r="B15477" s="12" t="s">
        <v>744</v>
      </c>
      <c r="C15477" s="13" t="s">
        <v>745</v>
      </c>
      <c r="D15477" s="13" t="s">
        <v>53</v>
      </c>
      <c r="E15477" s="12" t="s">
        <v>16</v>
      </c>
      <c r="F15477" s="14">
        <v>18000</v>
      </c>
      <c r="G15477" s="14">
        <v>11700</v>
      </c>
      <c r="H15477" s="13" t="s">
        <v>29692</v>
      </c>
      <c r="I15477" s="40" t="s">
        <v>18</v>
      </c>
      <c r="J15477" s="40" t="str">
        <f>HYPERLINK("https://stock.pstatic.net/stock-research/company/40/20250114_company_366789000.pdf","PDF")</f>
        <v>PDF</v>
      </c>
      <c r="K15477" s="12" t="s">
        <v>29693</v>
      </c>
      <c r="L15477" s="20">
        <v>0.53846153846153844</v>
      </c>
    </row>
    <row r="15478" spans="1:12" x14ac:dyDescent="0.45">
      <c r="A15478" s="12" t="s">
        <v>29626</v>
      </c>
      <c r="B15478" s="12" t="s">
        <v>2781</v>
      </c>
      <c r="C15478" s="13" t="s">
        <v>2782</v>
      </c>
      <c r="D15478" s="13" t="s">
        <v>34</v>
      </c>
      <c r="E15478" s="12" t="s">
        <v>35</v>
      </c>
      <c r="F15478" s="14">
        <v>180000</v>
      </c>
      <c r="G15478" s="14">
        <v>107700</v>
      </c>
      <c r="H15478" s="13" t="s">
        <v>29694</v>
      </c>
      <c r="I15478" s="40" t="s">
        <v>18</v>
      </c>
      <c r="J15478" s="40" t="str">
        <f>HYPERLINK("https://stock.pstatic.net/stock-research/company/61/20250114_company_135363000.pdf","PDF")</f>
        <v>PDF</v>
      </c>
      <c r="K15478" s="12" t="s">
        <v>29695</v>
      </c>
      <c r="L15478" s="20">
        <v>0.67130919220055707</v>
      </c>
    </row>
    <row r="15479" spans="1:12" x14ac:dyDescent="0.45">
      <c r="A15479" s="12" t="s">
        <v>29626</v>
      </c>
      <c r="B15479" s="12" t="s">
        <v>29696</v>
      </c>
      <c r="C15479" s="13" t="s">
        <v>29697</v>
      </c>
      <c r="D15479" s="13" t="s">
        <v>23</v>
      </c>
      <c r="E15479" s="12" t="s">
        <v>50</v>
      </c>
      <c r="F15479" s="13"/>
      <c r="G15479" s="14">
        <v>15800</v>
      </c>
      <c r="H15479" s="13" t="s">
        <v>29698</v>
      </c>
      <c r="I15479" s="40" t="s">
        <v>18</v>
      </c>
      <c r="J15479" s="40" t="str">
        <f>HYPERLINK("https://stock.pstatic.net/stock-research/company/21/20250114_company_667624000.pdf","PDF")</f>
        <v>PDF</v>
      </c>
      <c r="K15479" s="12" t="s">
        <v>29699</v>
      </c>
    </row>
    <row r="15480" spans="1:12" x14ac:dyDescent="0.45">
      <c r="A15480" s="12" t="s">
        <v>29626</v>
      </c>
      <c r="B15480" s="12" t="s">
        <v>2089</v>
      </c>
      <c r="C15480" s="13" t="s">
        <v>2090</v>
      </c>
      <c r="D15480" s="13" t="s">
        <v>34</v>
      </c>
      <c r="E15480" s="12" t="s">
        <v>35</v>
      </c>
      <c r="F15480" s="14">
        <v>82000</v>
      </c>
      <c r="G15480" s="14">
        <v>64000</v>
      </c>
      <c r="H15480" s="13" t="s">
        <v>29700</v>
      </c>
      <c r="I15480" s="40" t="s">
        <v>18</v>
      </c>
      <c r="J15480" s="40" t="str">
        <f>HYPERLINK("https://stock.pstatic.net/stock-research/company/1/20250114_company_112207000.pdf","PDF")</f>
        <v>PDF</v>
      </c>
      <c r="K15480" s="12" t="s">
        <v>29701</v>
      </c>
      <c r="L15480" s="20">
        <v>0.28125</v>
      </c>
    </row>
    <row r="15481" spans="1:12" x14ac:dyDescent="0.45">
      <c r="A15481" s="12" t="s">
        <v>29626</v>
      </c>
      <c r="B15481" s="12" t="s">
        <v>3349</v>
      </c>
      <c r="C15481" s="13" t="s">
        <v>7707</v>
      </c>
      <c r="D15481" s="13" t="s">
        <v>23</v>
      </c>
      <c r="E15481" s="12" t="s">
        <v>16</v>
      </c>
      <c r="F15481" s="14">
        <v>25000</v>
      </c>
      <c r="G15481" s="14">
        <v>17200</v>
      </c>
      <c r="H15481" s="13" t="s">
        <v>29702</v>
      </c>
      <c r="I15481" s="40" t="s">
        <v>18</v>
      </c>
      <c r="J15481" s="40" t="str">
        <f>HYPERLINK("https://stock.pstatic.net/stock-research/company/21/20250114_company_192260000.pdf","PDF")</f>
        <v>PDF</v>
      </c>
      <c r="K15481" s="12" t="s">
        <v>29703</v>
      </c>
      <c r="L15481" s="20">
        <v>0.45348837209302317</v>
      </c>
    </row>
    <row r="15482" spans="1:12" x14ac:dyDescent="0.45">
      <c r="A15482" s="12" t="s">
        <v>29626</v>
      </c>
      <c r="B15482" s="12" t="s">
        <v>756</v>
      </c>
      <c r="C15482" s="13" t="s">
        <v>757</v>
      </c>
      <c r="D15482" s="13" t="s">
        <v>23</v>
      </c>
      <c r="E15482" s="12" t="s">
        <v>16</v>
      </c>
      <c r="F15482" s="14">
        <v>80000</v>
      </c>
      <c r="G15482" s="14">
        <v>57500</v>
      </c>
      <c r="H15482" s="13" t="s">
        <v>29704</v>
      </c>
      <c r="I15482" s="40" t="s">
        <v>18</v>
      </c>
      <c r="J15482" s="40" t="str">
        <f>HYPERLINK("https://stock.pstatic.net/stock-research/company/21/20250114_company_587228000.pdf","PDF")</f>
        <v>PDF</v>
      </c>
      <c r="K15482" s="12" t="s">
        <v>29705</v>
      </c>
      <c r="L15482" s="20">
        <v>0.39130434782608697</v>
      </c>
    </row>
    <row r="15483" spans="1:12" x14ac:dyDescent="0.45">
      <c r="A15483" s="12" t="s">
        <v>29626</v>
      </c>
      <c r="B15483" s="12" t="s">
        <v>2089</v>
      </c>
      <c r="C15483" s="13" t="s">
        <v>2090</v>
      </c>
      <c r="D15483" s="13" t="s">
        <v>179</v>
      </c>
      <c r="E15483" s="12" t="s">
        <v>16</v>
      </c>
      <c r="F15483" s="14">
        <v>85000</v>
      </c>
      <c r="G15483" s="14">
        <v>64000</v>
      </c>
      <c r="H15483" s="13" t="s">
        <v>29706</v>
      </c>
      <c r="I15483" s="40" t="s">
        <v>18</v>
      </c>
      <c r="J15483" s="40" t="str">
        <f>HYPERLINK("https://stock.pstatic.net/stock-research/company/31/20250114_company_909287000.pdf","PDF")</f>
        <v>PDF</v>
      </c>
      <c r="K15483" s="12" t="s">
        <v>29707</v>
      </c>
      <c r="L15483" s="20">
        <v>0.328125</v>
      </c>
    </row>
    <row r="15484" spans="1:12" x14ac:dyDescent="0.45">
      <c r="A15484" s="12" t="s">
        <v>29626</v>
      </c>
      <c r="B15484" s="12" t="s">
        <v>10976</v>
      </c>
      <c r="C15484" s="13" t="s">
        <v>10977</v>
      </c>
      <c r="D15484" s="13" t="s">
        <v>23</v>
      </c>
      <c r="E15484" s="12" t="s">
        <v>16</v>
      </c>
      <c r="F15484" s="14">
        <v>75000</v>
      </c>
      <c r="G15484" s="14">
        <v>57500</v>
      </c>
      <c r="H15484" s="13" t="s">
        <v>29708</v>
      </c>
      <c r="I15484" s="40" t="s">
        <v>18</v>
      </c>
      <c r="J15484" s="40" t="str">
        <f>HYPERLINK("https://stock.pstatic.net/stock-research/company/21/20250114_company_194955000.pdf","PDF")</f>
        <v>PDF</v>
      </c>
      <c r="K15484" s="12" t="s">
        <v>29709</v>
      </c>
      <c r="L15484" s="20">
        <v>0.30434782608695649</v>
      </c>
    </row>
    <row r="15485" spans="1:12" x14ac:dyDescent="0.45">
      <c r="A15485" s="12" t="s">
        <v>29626</v>
      </c>
      <c r="B15485" s="12" t="s">
        <v>768</v>
      </c>
      <c r="C15485" s="13" t="s">
        <v>769</v>
      </c>
      <c r="D15485" s="13" t="s">
        <v>23</v>
      </c>
      <c r="E15485" s="12" t="s">
        <v>16</v>
      </c>
      <c r="F15485" s="14">
        <v>190000</v>
      </c>
      <c r="G15485" s="14">
        <v>154900</v>
      </c>
      <c r="H15485" s="13" t="s">
        <v>29710</v>
      </c>
      <c r="I15485" s="40" t="s">
        <v>18</v>
      </c>
      <c r="J15485" s="40" t="str">
        <f>HYPERLINK("https://stock.pstatic.net/stock-research/company/21/20250114_company_9211000.pdf","PDF")</f>
        <v>PDF</v>
      </c>
      <c r="K15485" s="12" t="s">
        <v>29711</v>
      </c>
      <c r="L15485" s="20">
        <v>0.22659780503550681</v>
      </c>
    </row>
    <row r="15486" spans="1:12" x14ac:dyDescent="0.45">
      <c r="A15486" s="12" t="s">
        <v>29626</v>
      </c>
      <c r="B15486" s="12" t="s">
        <v>916</v>
      </c>
      <c r="C15486" s="13" t="s">
        <v>917</v>
      </c>
      <c r="D15486" s="13" t="s">
        <v>179</v>
      </c>
      <c r="E15486" s="12" t="s">
        <v>16</v>
      </c>
      <c r="F15486" s="14">
        <v>50000</v>
      </c>
      <c r="G15486" s="14">
        <v>36500</v>
      </c>
      <c r="H15486" s="13" t="s">
        <v>29712</v>
      </c>
      <c r="I15486" s="40" t="s">
        <v>18</v>
      </c>
      <c r="J15486" s="40" t="str">
        <f>HYPERLINK("https://stock.pstatic.net/stock-research/company/31/20250114_company_796823000.pdf","PDF")</f>
        <v>PDF</v>
      </c>
      <c r="K15486" s="12" t="s">
        <v>29713</v>
      </c>
      <c r="L15486" s="20">
        <v>0.36986301369863012</v>
      </c>
    </row>
    <row r="15487" spans="1:12" x14ac:dyDescent="0.45">
      <c r="A15487" s="12" t="s">
        <v>29626</v>
      </c>
      <c r="B15487" s="12" t="s">
        <v>3296</v>
      </c>
      <c r="C15487" s="13" t="s">
        <v>3297</v>
      </c>
      <c r="D15487" s="13" t="s">
        <v>44</v>
      </c>
      <c r="E15487" s="12" t="s">
        <v>35</v>
      </c>
      <c r="F15487" s="14">
        <v>61000</v>
      </c>
      <c r="G15487" s="14">
        <v>37800</v>
      </c>
      <c r="H15487" s="13" t="s">
        <v>29714</v>
      </c>
      <c r="I15487" s="40" t="s">
        <v>18</v>
      </c>
      <c r="J15487" s="40" t="str">
        <f>HYPERLINK("https://stock.pstatic.net/stock-research/company/1/20250114_company_550002000.pdf","PDF")</f>
        <v>PDF</v>
      </c>
      <c r="K15487" s="12" t="s">
        <v>29715</v>
      </c>
      <c r="L15487" s="20">
        <v>0.61375661375661372</v>
      </c>
    </row>
    <row r="15488" spans="1:12" x14ac:dyDescent="0.45">
      <c r="A15488" s="12" t="s">
        <v>29626</v>
      </c>
      <c r="B15488" s="12" t="s">
        <v>1765</v>
      </c>
      <c r="C15488" s="13" t="s">
        <v>1766</v>
      </c>
      <c r="D15488" s="13" t="s">
        <v>44</v>
      </c>
      <c r="E15488" s="12" t="s">
        <v>35</v>
      </c>
      <c r="F15488" s="14">
        <v>130000</v>
      </c>
      <c r="G15488" s="14">
        <v>105400</v>
      </c>
      <c r="H15488" s="13" t="s">
        <v>29716</v>
      </c>
      <c r="I15488" s="40" t="s">
        <v>18</v>
      </c>
      <c r="J15488" s="40" t="str">
        <f>HYPERLINK("https://stock.pstatic.net/stock-research/company/39/20250114_company_742571000.pdf","PDF")</f>
        <v>PDF</v>
      </c>
      <c r="K15488" s="12" t="s">
        <v>29717</v>
      </c>
      <c r="L15488" s="20">
        <v>0.23339658444022771</v>
      </c>
    </row>
    <row r="15489" spans="1:12" x14ac:dyDescent="0.45">
      <c r="A15489" s="12" t="s">
        <v>29626</v>
      </c>
      <c r="B15489" s="12" t="s">
        <v>5705</v>
      </c>
      <c r="C15489" s="13" t="s">
        <v>5706</v>
      </c>
      <c r="D15489" s="13" t="s">
        <v>53</v>
      </c>
      <c r="E15489" s="12" t="s">
        <v>16</v>
      </c>
      <c r="F15489" s="14">
        <v>110000</v>
      </c>
      <c r="G15489" s="14">
        <v>85100</v>
      </c>
      <c r="H15489" s="13" t="s">
        <v>29718</v>
      </c>
      <c r="I15489" s="40" t="s">
        <v>18</v>
      </c>
      <c r="J15489" s="40" t="str">
        <f>HYPERLINK("https://stock.pstatic.net/stock-research/company/40/20250114_company_179178000.pdf","PDF")</f>
        <v>PDF</v>
      </c>
      <c r="K15489" s="12" t="s">
        <v>29719</v>
      </c>
      <c r="L15489" s="20">
        <v>0.29259694477085779</v>
      </c>
    </row>
    <row r="15490" spans="1:12" x14ac:dyDescent="0.45">
      <c r="A15490" s="12" t="s">
        <v>29626</v>
      </c>
      <c r="B15490" s="12" t="s">
        <v>2613</v>
      </c>
      <c r="C15490" s="13" t="s">
        <v>2614</v>
      </c>
      <c r="D15490" s="13" t="s">
        <v>15</v>
      </c>
      <c r="E15490" s="12" t="s">
        <v>16</v>
      </c>
      <c r="F15490" s="14">
        <v>410000</v>
      </c>
      <c r="G15490" s="14">
        <v>267500</v>
      </c>
      <c r="H15490" s="13" t="s">
        <v>29720</v>
      </c>
      <c r="I15490" s="40" t="s">
        <v>18</v>
      </c>
      <c r="J15490" s="40" t="str">
        <f>HYPERLINK("https://stock.pstatic.net/stock-research/company/29/20250114_company_971371000.pdf","PDF")</f>
        <v>PDF</v>
      </c>
      <c r="K15490" s="12" t="s">
        <v>29721</v>
      </c>
      <c r="L15490" s="20">
        <v>0.53271028037383172</v>
      </c>
    </row>
    <row r="15491" spans="1:12" x14ac:dyDescent="0.45">
      <c r="A15491" s="12" t="s">
        <v>29722</v>
      </c>
      <c r="B15491" s="12" t="s">
        <v>3355</v>
      </c>
      <c r="C15491" s="13" t="s">
        <v>3356</v>
      </c>
      <c r="D15491" s="13" t="s">
        <v>276</v>
      </c>
      <c r="E15491" s="12" t="s">
        <v>16</v>
      </c>
      <c r="F15491" s="14">
        <v>73000</v>
      </c>
      <c r="G15491" s="14">
        <v>59000</v>
      </c>
      <c r="H15491" s="13" t="s">
        <v>29723</v>
      </c>
      <c r="I15491" s="40" t="s">
        <v>18</v>
      </c>
      <c r="J15491" s="40" t="str">
        <f>HYPERLINK("https://stock.pstatic.net/stock-research/company/66/20250113_company_157271000.pdf","PDF")</f>
        <v>PDF</v>
      </c>
      <c r="K15491" s="12" t="s">
        <v>29724</v>
      </c>
      <c r="L15491" s="20">
        <v>0.23728813559322029</v>
      </c>
    </row>
    <row r="15492" spans="1:12" x14ac:dyDescent="0.45">
      <c r="A15492" s="12" t="s">
        <v>29722</v>
      </c>
      <c r="B15492" s="12" t="s">
        <v>2346</v>
      </c>
      <c r="C15492" s="13" t="s">
        <v>2347</v>
      </c>
      <c r="D15492" s="13" t="s">
        <v>65</v>
      </c>
      <c r="E15492" s="12" t="s">
        <v>35</v>
      </c>
      <c r="F15492" s="14">
        <v>40000</v>
      </c>
      <c r="G15492" s="14">
        <v>23250</v>
      </c>
      <c r="H15492" s="13" t="s">
        <v>29725</v>
      </c>
      <c r="I15492" s="40" t="s">
        <v>18</v>
      </c>
      <c r="J15492" s="40" t="str">
        <f>HYPERLINK("https://stock.pstatic.net/stock-research/company/57/20250113_company_861333000.pdf","PDF")</f>
        <v>PDF</v>
      </c>
      <c r="K15492" s="12" t="s">
        <v>29726</v>
      </c>
      <c r="L15492" s="20">
        <v>0.72043010752688175</v>
      </c>
    </row>
    <row r="15493" spans="1:12" x14ac:dyDescent="0.45">
      <c r="A15493" s="12" t="s">
        <v>29722</v>
      </c>
      <c r="B15493" s="12" t="s">
        <v>170</v>
      </c>
      <c r="C15493" s="13" t="s">
        <v>171</v>
      </c>
      <c r="D15493" s="13" t="s">
        <v>65</v>
      </c>
      <c r="E15493" s="12" t="s">
        <v>35</v>
      </c>
      <c r="F15493" s="14">
        <v>85000</v>
      </c>
      <c r="G15493" s="14">
        <v>57600</v>
      </c>
      <c r="H15493" s="13" t="s">
        <v>29727</v>
      </c>
      <c r="I15493" s="40" t="s">
        <v>18</v>
      </c>
      <c r="J15493" s="40" t="str">
        <f>HYPERLINK("https://stock.pstatic.net/stock-research/company/57/20250113_company_823156000.pdf","PDF")</f>
        <v>PDF</v>
      </c>
      <c r="K15493" s="12" t="s">
        <v>29728</v>
      </c>
      <c r="L15493" s="20">
        <v>0.47569444444444442</v>
      </c>
    </row>
    <row r="15494" spans="1:12" x14ac:dyDescent="0.45">
      <c r="A15494" s="12" t="s">
        <v>29722</v>
      </c>
      <c r="B15494" s="12" t="s">
        <v>768</v>
      </c>
      <c r="C15494" s="13" t="s">
        <v>769</v>
      </c>
      <c r="D15494" s="13" t="s">
        <v>65</v>
      </c>
      <c r="E15494" s="12" t="s">
        <v>35</v>
      </c>
      <c r="F15494" s="14">
        <v>200000</v>
      </c>
      <c r="G15494" s="14">
        <v>147400</v>
      </c>
      <c r="H15494" s="13" t="s">
        <v>29729</v>
      </c>
      <c r="I15494" s="40" t="s">
        <v>18</v>
      </c>
      <c r="J15494" s="40" t="str">
        <f>HYPERLINK("https://stock.pstatic.net/stock-research/company/57/20250113_company_363338000.pdf","PDF")</f>
        <v>PDF</v>
      </c>
      <c r="K15494" s="12" t="s">
        <v>29730</v>
      </c>
      <c r="L15494" s="20">
        <v>0.35685210312075982</v>
      </c>
    </row>
    <row r="15495" spans="1:12" x14ac:dyDescent="0.45">
      <c r="A15495" s="12" t="s">
        <v>29722</v>
      </c>
      <c r="B15495" s="12" t="s">
        <v>2266</v>
      </c>
      <c r="C15495" s="13" t="s">
        <v>2267</v>
      </c>
      <c r="D15495" s="13" t="s">
        <v>65</v>
      </c>
      <c r="E15495" s="12" t="s">
        <v>35</v>
      </c>
      <c r="F15495" s="14">
        <v>77000</v>
      </c>
      <c r="G15495" s="14">
        <v>52700</v>
      </c>
      <c r="H15495" s="13" t="s">
        <v>7903</v>
      </c>
      <c r="I15495" s="40" t="s">
        <v>18</v>
      </c>
      <c r="J15495" s="40" t="str">
        <f>HYPERLINK("https://stock.pstatic.net/stock-research/company/57/20250113_company_177710000.pdf","PDF")</f>
        <v>PDF</v>
      </c>
      <c r="K15495" s="12" t="s">
        <v>29731</v>
      </c>
      <c r="L15495" s="20">
        <v>0.46110056925996212</v>
      </c>
    </row>
    <row r="15496" spans="1:12" x14ac:dyDescent="0.45">
      <c r="A15496" s="12" t="s">
        <v>29722</v>
      </c>
      <c r="B15496" s="12" t="s">
        <v>3284</v>
      </c>
      <c r="C15496" s="13" t="s">
        <v>3285</v>
      </c>
      <c r="D15496" s="13" t="s">
        <v>65</v>
      </c>
      <c r="E15496" s="12" t="s">
        <v>35</v>
      </c>
      <c r="F15496" s="14">
        <v>49000</v>
      </c>
      <c r="G15496" s="14">
        <v>45000</v>
      </c>
      <c r="H15496" s="13" t="s">
        <v>29732</v>
      </c>
      <c r="I15496" s="40" t="s">
        <v>18</v>
      </c>
      <c r="J15496" s="40" t="str">
        <f>HYPERLINK("https://stock.pstatic.net/stock-research/company/57/20250113_company_973883000.pdf","PDF")</f>
        <v>PDF</v>
      </c>
      <c r="K15496" s="12" t="s">
        <v>29733</v>
      </c>
      <c r="L15496" s="20">
        <v>8.8888888888888892E-2</v>
      </c>
    </row>
    <row r="15497" spans="1:12" x14ac:dyDescent="0.45">
      <c r="A15497" s="12" t="s">
        <v>29722</v>
      </c>
      <c r="B15497" s="12" t="s">
        <v>42</v>
      </c>
      <c r="C15497" s="13" t="s">
        <v>43</v>
      </c>
      <c r="D15497" s="13" t="s">
        <v>65</v>
      </c>
      <c r="E15497" s="12" t="s">
        <v>35</v>
      </c>
      <c r="F15497" s="14">
        <v>250000</v>
      </c>
      <c r="G15497" s="14">
        <v>202000</v>
      </c>
      <c r="H15497" s="13" t="s">
        <v>29734</v>
      </c>
      <c r="I15497" s="40" t="s">
        <v>18</v>
      </c>
      <c r="J15497" s="40" t="str">
        <f>HYPERLINK("https://stock.pstatic.net/stock-research/company/1/20250113_company_863062000.pdf","PDF")</f>
        <v>PDF</v>
      </c>
      <c r="K15497" s="12" t="s">
        <v>29735</v>
      </c>
      <c r="L15497" s="20">
        <v>0.23762376237623761</v>
      </c>
    </row>
    <row r="15498" spans="1:12" x14ac:dyDescent="0.45">
      <c r="A15498" s="12" t="s">
        <v>29722</v>
      </c>
      <c r="B15498" s="12" t="s">
        <v>3014</v>
      </c>
      <c r="C15498" s="13" t="s">
        <v>3015</v>
      </c>
      <c r="D15498" s="13" t="s">
        <v>65</v>
      </c>
      <c r="E15498" s="12" t="s">
        <v>35</v>
      </c>
      <c r="F15498" s="14">
        <v>80000</v>
      </c>
      <c r="G15498" s="14">
        <v>53500</v>
      </c>
      <c r="H15498" s="13" t="s">
        <v>29736</v>
      </c>
      <c r="I15498" s="40" t="s">
        <v>18</v>
      </c>
      <c r="J15498" s="40" t="str">
        <f>HYPERLINK("https://stock.pstatic.net/stock-research/company/57/20250113_company_921360000.pdf","PDF")</f>
        <v>PDF</v>
      </c>
      <c r="K15498" s="12" t="s">
        <v>29737</v>
      </c>
      <c r="L15498" s="20">
        <v>0.49532710280373832</v>
      </c>
    </row>
    <row r="15499" spans="1:12" x14ac:dyDescent="0.45">
      <c r="A15499" s="12" t="s">
        <v>29722</v>
      </c>
      <c r="B15499" s="12" t="s">
        <v>150</v>
      </c>
      <c r="C15499" s="13" t="s">
        <v>151</v>
      </c>
      <c r="D15499" s="13" t="s">
        <v>65</v>
      </c>
      <c r="E15499" s="12" t="s">
        <v>35</v>
      </c>
      <c r="F15499" s="14">
        <v>35000</v>
      </c>
      <c r="G15499" s="14">
        <v>19000</v>
      </c>
      <c r="H15499" s="13" t="s">
        <v>29738</v>
      </c>
      <c r="I15499" s="40" t="s">
        <v>18</v>
      </c>
      <c r="J15499" s="40" t="str">
        <f>HYPERLINK("https://stock.pstatic.net/stock-research/company/57/20250113_company_692141000.pdf","PDF")</f>
        <v>PDF</v>
      </c>
      <c r="K15499" s="12" t="s">
        <v>29739</v>
      </c>
      <c r="L15499" s="20">
        <v>0.84210526315789469</v>
      </c>
    </row>
    <row r="15500" spans="1:12" x14ac:dyDescent="0.45">
      <c r="A15500" s="12" t="s">
        <v>29722</v>
      </c>
      <c r="B15500" s="12" t="s">
        <v>2425</v>
      </c>
      <c r="C15500" s="13" t="s">
        <v>2426</v>
      </c>
      <c r="D15500" s="13" t="s">
        <v>65</v>
      </c>
      <c r="E15500" s="12" t="s">
        <v>35</v>
      </c>
      <c r="F15500" s="14">
        <v>125000</v>
      </c>
      <c r="G15500" s="14">
        <v>109000</v>
      </c>
      <c r="H15500" s="13" t="s">
        <v>29740</v>
      </c>
      <c r="I15500" s="40" t="s">
        <v>18</v>
      </c>
      <c r="J15500" s="40" t="str">
        <f>HYPERLINK("https://stock.pstatic.net/stock-research/company/1/20250113_company_695647000.pdf","PDF")</f>
        <v>PDF</v>
      </c>
      <c r="K15500" s="12" t="s">
        <v>29741</v>
      </c>
      <c r="L15500" s="20">
        <v>0.14678899082568811</v>
      </c>
    </row>
    <row r="15501" spans="1:12" x14ac:dyDescent="0.45">
      <c r="A15501" s="12" t="s">
        <v>29722</v>
      </c>
      <c r="B15501" s="12" t="s">
        <v>537</v>
      </c>
      <c r="C15501" s="13" t="s">
        <v>538</v>
      </c>
      <c r="D15501" s="13" t="s">
        <v>65</v>
      </c>
      <c r="E15501" s="12" t="s">
        <v>35</v>
      </c>
      <c r="F15501" s="14">
        <v>14000</v>
      </c>
      <c r="G15501" s="14">
        <v>10450</v>
      </c>
      <c r="H15501" s="13" t="s">
        <v>29742</v>
      </c>
      <c r="I15501" s="40" t="s">
        <v>18</v>
      </c>
      <c r="J15501" s="40" t="str">
        <f>HYPERLINK("https://stock.pstatic.net/stock-research/company/57/20250113_company_429941000.pdf","PDF")</f>
        <v>PDF</v>
      </c>
      <c r="K15501" s="12" t="s">
        <v>29743</v>
      </c>
      <c r="L15501" s="20">
        <v>0.33971291866028708</v>
      </c>
    </row>
    <row r="15502" spans="1:12" x14ac:dyDescent="0.45">
      <c r="A15502" s="12" t="s">
        <v>29722</v>
      </c>
      <c r="B15502" s="12" t="s">
        <v>1666</v>
      </c>
      <c r="C15502" s="13" t="s">
        <v>1667</v>
      </c>
      <c r="D15502" s="13" t="s">
        <v>57</v>
      </c>
      <c r="E15502" s="12" t="s">
        <v>159</v>
      </c>
      <c r="F15502" s="14">
        <v>55000</v>
      </c>
      <c r="G15502" s="14">
        <v>51800</v>
      </c>
      <c r="H15502" s="13" t="s">
        <v>29744</v>
      </c>
      <c r="I15502" s="40" t="s">
        <v>18</v>
      </c>
      <c r="J15502" s="40" t="str">
        <f>HYPERLINK("https://stock.pstatic.net/stock-research/company/16/20250113_company_62263000.pdf","PDF")</f>
        <v>PDF</v>
      </c>
      <c r="K15502" s="12" t="s">
        <v>29745</v>
      </c>
      <c r="L15502" s="20">
        <v>6.1776061776061778E-2</v>
      </c>
    </row>
    <row r="15503" spans="1:12" x14ac:dyDescent="0.45">
      <c r="A15503" s="12" t="s">
        <v>29722</v>
      </c>
      <c r="B15503" s="12" t="s">
        <v>2225</v>
      </c>
      <c r="C15503" s="13" t="s">
        <v>5282</v>
      </c>
      <c r="D15503" s="13" t="s">
        <v>57</v>
      </c>
      <c r="E15503" s="12" t="s">
        <v>35</v>
      </c>
      <c r="F15503" s="14">
        <v>304000</v>
      </c>
      <c r="G15503" s="14">
        <v>222500</v>
      </c>
      <c r="H15503" s="13" t="s">
        <v>29746</v>
      </c>
      <c r="I15503" s="40" t="s">
        <v>18</v>
      </c>
      <c r="J15503" s="40" t="str">
        <f>HYPERLINK("https://stock.pstatic.net/stock-research/company/16/20250113_company_628326000.pdf","PDF")</f>
        <v>PDF</v>
      </c>
      <c r="K15503" s="12" t="s">
        <v>29747</v>
      </c>
      <c r="L15503" s="20">
        <v>0.36629213483146073</v>
      </c>
    </row>
    <row r="15504" spans="1:12" x14ac:dyDescent="0.45">
      <c r="A15504" s="12" t="s">
        <v>29722</v>
      </c>
      <c r="B15504" s="12" t="s">
        <v>2425</v>
      </c>
      <c r="C15504" s="13" t="s">
        <v>2426</v>
      </c>
      <c r="D15504" s="13" t="s">
        <v>57</v>
      </c>
      <c r="E15504" s="12" t="s">
        <v>35</v>
      </c>
      <c r="F15504" s="14">
        <v>150000</v>
      </c>
      <c r="G15504" s="14">
        <v>109000</v>
      </c>
      <c r="H15504" s="13" t="s">
        <v>29748</v>
      </c>
      <c r="I15504" s="40" t="s">
        <v>18</v>
      </c>
      <c r="J15504" s="40" t="str">
        <f>HYPERLINK("https://stock.pstatic.net/stock-research/company/16/20250113_company_482723000.pdf","PDF")</f>
        <v>PDF</v>
      </c>
      <c r="K15504" s="12" t="s">
        <v>29749</v>
      </c>
      <c r="L15504" s="20">
        <v>0.37614678899082571</v>
      </c>
    </row>
    <row r="15505" spans="1:12" x14ac:dyDescent="0.45">
      <c r="A15505" s="12" t="s">
        <v>29722</v>
      </c>
      <c r="B15505" s="12" t="s">
        <v>1308</v>
      </c>
      <c r="C15505" s="13" t="s">
        <v>1309</v>
      </c>
      <c r="D15505" s="13" t="s">
        <v>57</v>
      </c>
      <c r="E15505" s="12" t="s">
        <v>35</v>
      </c>
      <c r="F15505" s="14">
        <v>500000</v>
      </c>
      <c r="G15505" s="14">
        <v>368500</v>
      </c>
      <c r="H15505" s="13" t="s">
        <v>29750</v>
      </c>
      <c r="I15505" s="40" t="s">
        <v>18</v>
      </c>
      <c r="J15505" s="40" t="str">
        <f>HYPERLINK("https://stock.pstatic.net/stock-research/company/16/20250113_company_806187000.pdf","PDF")</f>
        <v>PDF</v>
      </c>
      <c r="K15505" s="12" t="s">
        <v>29751</v>
      </c>
      <c r="L15505" s="20">
        <v>0.35685210312075982</v>
      </c>
    </row>
    <row r="15506" spans="1:12" x14ac:dyDescent="0.45">
      <c r="A15506" s="12" t="s">
        <v>29722</v>
      </c>
      <c r="B15506" s="12" t="s">
        <v>3349</v>
      </c>
      <c r="C15506" s="13" t="s">
        <v>7707</v>
      </c>
      <c r="D15506" s="13" t="s">
        <v>57</v>
      </c>
      <c r="E15506" s="12" t="s">
        <v>35</v>
      </c>
      <c r="F15506" s="14">
        <v>30000</v>
      </c>
      <c r="G15506" s="14">
        <v>17390</v>
      </c>
      <c r="H15506" s="13" t="s">
        <v>29752</v>
      </c>
      <c r="I15506" s="40" t="s">
        <v>18</v>
      </c>
      <c r="J15506" s="40" t="str">
        <f>HYPERLINK("https://stock.pstatic.net/stock-research/company/16/20250113_company_463145000.pdf","PDF")</f>
        <v>PDF</v>
      </c>
      <c r="K15506" s="12" t="s">
        <v>29753</v>
      </c>
      <c r="L15506" s="20">
        <v>0.7251293847038528</v>
      </c>
    </row>
    <row r="15507" spans="1:12" x14ac:dyDescent="0.45">
      <c r="A15507" s="12" t="s">
        <v>29722</v>
      </c>
      <c r="B15507" s="12" t="s">
        <v>888</v>
      </c>
      <c r="C15507" s="13" t="s">
        <v>889</v>
      </c>
      <c r="D15507" s="13" t="s">
        <v>57</v>
      </c>
      <c r="E15507" s="12" t="s">
        <v>35</v>
      </c>
      <c r="F15507" s="14">
        <v>65000</v>
      </c>
      <c r="G15507" s="14">
        <v>51000</v>
      </c>
      <c r="H15507" s="13" t="s">
        <v>29754</v>
      </c>
      <c r="I15507" s="40" t="s">
        <v>18</v>
      </c>
      <c r="J15507" s="40" t="str">
        <f>HYPERLINK("https://stock.pstatic.net/stock-research/company/16/20250113_company_871261000.pdf","PDF")</f>
        <v>PDF</v>
      </c>
      <c r="K15507" s="12" t="s">
        <v>29755</v>
      </c>
      <c r="L15507" s="20">
        <v>0.27450980392156871</v>
      </c>
    </row>
    <row r="15508" spans="1:12" x14ac:dyDescent="0.45">
      <c r="A15508" s="12" t="s">
        <v>29722</v>
      </c>
      <c r="B15508" s="12" t="s">
        <v>756</v>
      </c>
      <c r="C15508" s="13" t="s">
        <v>757</v>
      </c>
      <c r="D15508" s="13" t="s">
        <v>15</v>
      </c>
      <c r="E15508" s="12" t="s">
        <v>16</v>
      </c>
      <c r="F15508" s="14">
        <v>80000</v>
      </c>
      <c r="G15508" s="14">
        <v>56600</v>
      </c>
      <c r="H15508" s="13" t="s">
        <v>29756</v>
      </c>
      <c r="I15508" s="40" t="s">
        <v>18</v>
      </c>
      <c r="J15508" s="40" t="str">
        <f>HYPERLINK("https://stock.pstatic.net/stock-research/company/29/20250113_company_719075000.pdf","PDF")</f>
        <v>PDF</v>
      </c>
      <c r="K15508" s="12" t="s">
        <v>29757</v>
      </c>
      <c r="L15508" s="20">
        <v>0.41342756183745583</v>
      </c>
    </row>
    <row r="15509" spans="1:12" x14ac:dyDescent="0.45">
      <c r="A15509" s="12" t="s">
        <v>29722</v>
      </c>
      <c r="B15509" s="12" t="s">
        <v>2944</v>
      </c>
      <c r="C15509" s="13" t="s">
        <v>2945</v>
      </c>
      <c r="D15509" s="13" t="s">
        <v>15</v>
      </c>
      <c r="E15509" s="12" t="s">
        <v>50</v>
      </c>
      <c r="F15509" s="14">
        <v>12000</v>
      </c>
      <c r="G15509" s="14">
        <v>10560</v>
      </c>
      <c r="H15509" s="13" t="s">
        <v>29758</v>
      </c>
      <c r="I15509" s="40" t="s">
        <v>18</v>
      </c>
      <c r="J15509" s="40" t="str">
        <f>HYPERLINK("https://stock.pstatic.net/stock-research/company/29/20250113_company_137361000.pdf","PDF")</f>
        <v>PDF</v>
      </c>
      <c r="K15509" s="12" t="s">
        <v>29759</v>
      </c>
      <c r="L15509" s="20">
        <v>0.13636363636363641</v>
      </c>
    </row>
    <row r="15510" spans="1:12" x14ac:dyDescent="0.45">
      <c r="A15510" s="12" t="s">
        <v>29722</v>
      </c>
      <c r="B15510" s="12" t="s">
        <v>3482</v>
      </c>
      <c r="C15510" s="13" t="s">
        <v>3483</v>
      </c>
      <c r="D15510" s="13" t="s">
        <v>15</v>
      </c>
      <c r="E15510" s="12" t="s">
        <v>16</v>
      </c>
      <c r="F15510" s="14">
        <v>80000</v>
      </c>
      <c r="G15510" s="14">
        <v>58600</v>
      </c>
      <c r="H15510" s="13" t="s">
        <v>29760</v>
      </c>
      <c r="I15510" s="40" t="s">
        <v>18</v>
      </c>
      <c r="J15510" s="40" t="str">
        <f>HYPERLINK("https://stock.pstatic.net/stock-research/company/29/20250113_company_602424000.pdf","PDF")</f>
        <v>PDF</v>
      </c>
      <c r="K15510" s="12" t="s">
        <v>29761</v>
      </c>
      <c r="L15510" s="20">
        <v>0.3651877133105802</v>
      </c>
    </row>
    <row r="15511" spans="1:12" x14ac:dyDescent="0.45">
      <c r="A15511" s="12" t="s">
        <v>29722</v>
      </c>
      <c r="B15511" s="12" t="s">
        <v>3369</v>
      </c>
      <c r="C15511" s="13" t="s">
        <v>3370</v>
      </c>
      <c r="D15511" s="13" t="s">
        <v>15</v>
      </c>
      <c r="E15511" s="12" t="s">
        <v>50</v>
      </c>
      <c r="F15511" s="14">
        <v>20000</v>
      </c>
      <c r="G15511" s="14">
        <v>16890</v>
      </c>
      <c r="H15511" s="13" t="s">
        <v>29762</v>
      </c>
      <c r="I15511" s="40" t="s">
        <v>18</v>
      </c>
      <c r="J15511" s="40" t="str">
        <f>HYPERLINK("https://stock.pstatic.net/stock-research/company/29/20250113_company_402926000.pdf","PDF")</f>
        <v>PDF</v>
      </c>
      <c r="K15511" s="12" t="s">
        <v>29763</v>
      </c>
      <c r="L15511" s="20">
        <v>0.18413262285375959</v>
      </c>
    </row>
    <row r="15512" spans="1:12" x14ac:dyDescent="0.45">
      <c r="A15512" s="12" t="s">
        <v>29722</v>
      </c>
      <c r="B15512" s="12" t="s">
        <v>3688</v>
      </c>
      <c r="C15512" s="13" t="s">
        <v>3689</v>
      </c>
      <c r="D15512" s="13" t="s">
        <v>15</v>
      </c>
      <c r="E15512" s="12" t="s">
        <v>16</v>
      </c>
      <c r="F15512" s="14">
        <v>70000</v>
      </c>
      <c r="G15512" s="14">
        <v>49850</v>
      </c>
      <c r="H15512" s="13" t="s">
        <v>29764</v>
      </c>
      <c r="I15512" s="40" t="s">
        <v>18</v>
      </c>
      <c r="J15512" s="40" t="str">
        <f>HYPERLINK("https://stock.pstatic.net/stock-research/company/1/20250113_company_951561000.pdf","PDF")</f>
        <v>PDF</v>
      </c>
      <c r="K15512" s="12" t="s">
        <v>29765</v>
      </c>
      <c r="L15512" s="20">
        <v>0.40421263791374118</v>
      </c>
    </row>
    <row r="15513" spans="1:12" x14ac:dyDescent="0.45">
      <c r="A15513" s="12" t="s">
        <v>29722</v>
      </c>
      <c r="B15513" s="12" t="s">
        <v>3548</v>
      </c>
      <c r="C15513" s="13" t="s">
        <v>3549</v>
      </c>
      <c r="D15513" s="13" t="s">
        <v>92</v>
      </c>
      <c r="E15513" s="12" t="s">
        <v>35</v>
      </c>
      <c r="F15513" s="14">
        <v>57500</v>
      </c>
      <c r="G15513" s="14">
        <v>40500</v>
      </c>
      <c r="H15513" s="13" t="s">
        <v>29766</v>
      </c>
      <c r="I15513" s="40" t="s">
        <v>18</v>
      </c>
      <c r="J15513" s="40" t="str">
        <f>HYPERLINK("https://stock.pstatic.net/stock-research/company/63/20250113_company_588305000.pdf","PDF")</f>
        <v>PDF</v>
      </c>
      <c r="K15513" s="12" t="s">
        <v>29767</v>
      </c>
      <c r="L15513" s="20">
        <v>0.41975308641975312</v>
      </c>
    </row>
    <row r="15514" spans="1:12" x14ac:dyDescent="0.45">
      <c r="A15514" s="12" t="s">
        <v>29722</v>
      </c>
      <c r="B15514" s="12" t="s">
        <v>3831</v>
      </c>
      <c r="C15514" s="13" t="s">
        <v>3832</v>
      </c>
      <c r="D15514" s="13" t="s">
        <v>92</v>
      </c>
      <c r="E15514" s="12" t="s">
        <v>35</v>
      </c>
      <c r="F15514" s="14">
        <v>48000</v>
      </c>
      <c r="G15514" s="14">
        <v>41950</v>
      </c>
      <c r="H15514" s="13" t="s">
        <v>29768</v>
      </c>
      <c r="I15514" s="40" t="s">
        <v>18</v>
      </c>
      <c r="J15514" s="40" t="str">
        <f>HYPERLINK("https://stock.pstatic.net/stock-research/company/1/20250113_company_801815000.pdf","PDF")</f>
        <v>PDF</v>
      </c>
      <c r="K15514" s="12" t="s">
        <v>29769</v>
      </c>
      <c r="L15514" s="20">
        <v>0.1442193087008343</v>
      </c>
    </row>
    <row r="15515" spans="1:12" x14ac:dyDescent="0.45">
      <c r="A15515" s="12" t="s">
        <v>29722</v>
      </c>
      <c r="B15515" s="12" t="s">
        <v>3373</v>
      </c>
      <c r="C15515" s="13" t="s">
        <v>3374</v>
      </c>
      <c r="D15515" s="13" t="s">
        <v>15</v>
      </c>
      <c r="E15515" s="12" t="s">
        <v>16</v>
      </c>
      <c r="F15515" s="14">
        <v>120000</v>
      </c>
      <c r="G15515" s="14">
        <v>87800</v>
      </c>
      <c r="H15515" s="13" t="s">
        <v>29770</v>
      </c>
      <c r="I15515" s="40" t="s">
        <v>18</v>
      </c>
      <c r="J15515" s="40" t="str">
        <f>HYPERLINK("https://stock.pstatic.net/stock-research/company/1/20250113_company_24186000.pdf","PDF")</f>
        <v>PDF</v>
      </c>
      <c r="K15515" s="12" t="s">
        <v>29771</v>
      </c>
      <c r="L15515" s="20">
        <v>0.36674259681093402</v>
      </c>
    </row>
    <row r="15516" spans="1:12" x14ac:dyDescent="0.45">
      <c r="A15516" s="12" t="s">
        <v>29722</v>
      </c>
      <c r="B15516" s="12" t="s">
        <v>2758</v>
      </c>
      <c r="C15516" s="13" t="s">
        <v>2759</v>
      </c>
      <c r="D15516" s="13" t="s">
        <v>92</v>
      </c>
      <c r="E15516" s="12" t="s">
        <v>35</v>
      </c>
      <c r="F15516" s="14">
        <v>390000</v>
      </c>
      <c r="G15516" s="14">
        <v>262000</v>
      </c>
      <c r="H15516" s="13" t="s">
        <v>29772</v>
      </c>
      <c r="I15516" s="40" t="s">
        <v>18</v>
      </c>
      <c r="J15516" s="40" t="str">
        <f>HYPERLINK("https://stock.pstatic.net/stock-research/company/1/20250113_company_823050000.pdf","PDF")</f>
        <v>PDF</v>
      </c>
      <c r="K15516" s="12" t="s">
        <v>29773</v>
      </c>
      <c r="L15516" s="20">
        <v>0.48854961832061072</v>
      </c>
    </row>
    <row r="15517" spans="1:12" x14ac:dyDescent="0.45">
      <c r="A15517" s="12" t="s">
        <v>29722</v>
      </c>
      <c r="B15517" s="12" t="s">
        <v>3478</v>
      </c>
      <c r="C15517" s="13" t="s">
        <v>3479</v>
      </c>
      <c r="D15517" s="13" t="s">
        <v>92</v>
      </c>
      <c r="E15517" s="12" t="s">
        <v>35</v>
      </c>
      <c r="F15517" s="14">
        <v>30000</v>
      </c>
      <c r="G15517" s="14">
        <v>22300</v>
      </c>
      <c r="H15517" s="13" t="s">
        <v>29774</v>
      </c>
      <c r="I15517" s="40" t="s">
        <v>18</v>
      </c>
      <c r="J15517" s="40" t="str">
        <f>HYPERLINK("https://stock.pstatic.net/stock-research/company/63/20250113_company_309896000.pdf","PDF")</f>
        <v>PDF</v>
      </c>
      <c r="K15517" s="12" t="s">
        <v>29775</v>
      </c>
      <c r="L15517" s="20">
        <v>0.3452914798206278</v>
      </c>
    </row>
    <row r="15518" spans="1:12" x14ac:dyDescent="0.45">
      <c r="A15518" s="12" t="s">
        <v>29722</v>
      </c>
      <c r="B15518" s="12" t="s">
        <v>577</v>
      </c>
      <c r="C15518" s="13" t="s">
        <v>578</v>
      </c>
      <c r="D15518" s="13" t="s">
        <v>92</v>
      </c>
      <c r="E15518" s="12" t="s">
        <v>35</v>
      </c>
      <c r="F15518" s="14">
        <v>325000</v>
      </c>
      <c r="G15518" s="14">
        <v>257500</v>
      </c>
      <c r="H15518" s="13" t="s">
        <v>29776</v>
      </c>
      <c r="I15518" s="40" t="s">
        <v>18</v>
      </c>
      <c r="J15518" s="40" t="str">
        <f>HYPERLINK("https://stock.pstatic.net/stock-research/company/63/20250113_company_808178000.pdf","PDF")</f>
        <v>PDF</v>
      </c>
      <c r="K15518" s="12" t="s">
        <v>29777</v>
      </c>
      <c r="L15518" s="20">
        <v>0.26213592233009708</v>
      </c>
    </row>
    <row r="15519" spans="1:12" x14ac:dyDescent="0.45">
      <c r="A15519" s="12" t="s">
        <v>29722</v>
      </c>
      <c r="B15519" s="12" t="s">
        <v>519</v>
      </c>
      <c r="C15519" s="13" t="s">
        <v>520</v>
      </c>
      <c r="D15519" s="13" t="s">
        <v>92</v>
      </c>
      <c r="E15519" s="12" t="s">
        <v>35</v>
      </c>
      <c r="F15519" s="14">
        <v>280000</v>
      </c>
      <c r="G15519" s="14">
        <v>226000</v>
      </c>
      <c r="H15519" s="13" t="s">
        <v>29778</v>
      </c>
      <c r="I15519" s="40" t="s">
        <v>18</v>
      </c>
      <c r="J15519" s="40" t="str">
        <f>HYPERLINK("https://stock.pstatic.net/stock-research/company/63/20250113_company_431201000.pdf","PDF")</f>
        <v>PDF</v>
      </c>
      <c r="K15519" s="12" t="s">
        <v>29779</v>
      </c>
      <c r="L15519" s="20">
        <v>0.23893805309734509</v>
      </c>
    </row>
    <row r="15520" spans="1:12" x14ac:dyDescent="0.45">
      <c r="A15520" s="12" t="s">
        <v>29722</v>
      </c>
      <c r="B15520" s="12" t="s">
        <v>1682</v>
      </c>
      <c r="C15520" s="13" t="s">
        <v>4787</v>
      </c>
      <c r="D15520" s="13" t="s">
        <v>92</v>
      </c>
      <c r="E15520" s="12" t="s">
        <v>159</v>
      </c>
      <c r="F15520" s="14">
        <v>210000</v>
      </c>
      <c r="G15520" s="14">
        <v>186100</v>
      </c>
      <c r="H15520" s="13" t="s">
        <v>29780</v>
      </c>
      <c r="I15520" s="40" t="s">
        <v>18</v>
      </c>
      <c r="J15520" s="40" t="str">
        <f>HYPERLINK("https://stock.pstatic.net/stock-research/company/63/20250113_company_190902000.pdf","PDF")</f>
        <v>PDF</v>
      </c>
      <c r="K15520" s="12" t="s">
        <v>29781</v>
      </c>
      <c r="L15520" s="20">
        <v>0.12842557764642659</v>
      </c>
    </row>
    <row r="15521" spans="1:12" x14ac:dyDescent="0.45">
      <c r="A15521" s="12" t="s">
        <v>29722</v>
      </c>
      <c r="B15521" s="12" t="s">
        <v>3280</v>
      </c>
      <c r="C15521" s="13" t="s">
        <v>3281</v>
      </c>
      <c r="D15521" s="13" t="s">
        <v>83</v>
      </c>
      <c r="E15521" s="12" t="s">
        <v>35</v>
      </c>
      <c r="F15521" s="14">
        <v>60000</v>
      </c>
      <c r="G15521" s="14">
        <v>40350</v>
      </c>
      <c r="H15521" s="13" t="s">
        <v>29782</v>
      </c>
      <c r="I15521" s="40" t="s">
        <v>18</v>
      </c>
      <c r="J15521" s="40" t="str">
        <f>HYPERLINK("https://stock.pstatic.net/stock-research/company/2/20250113_company_139782000.pdf","PDF")</f>
        <v>PDF</v>
      </c>
      <c r="K15521" s="12" t="s">
        <v>29783</v>
      </c>
      <c r="L15521" s="20">
        <v>0.48698884758364308</v>
      </c>
    </row>
    <row r="15522" spans="1:12" x14ac:dyDescent="0.45">
      <c r="A15522" s="12" t="s">
        <v>29722</v>
      </c>
      <c r="B15522" s="12" t="s">
        <v>3478</v>
      </c>
      <c r="C15522" s="13" t="s">
        <v>3479</v>
      </c>
      <c r="D15522" s="13" t="s">
        <v>83</v>
      </c>
      <c r="E15522" s="12" t="s">
        <v>35</v>
      </c>
      <c r="F15522" s="14">
        <v>36000</v>
      </c>
      <c r="G15522" s="14">
        <v>21750</v>
      </c>
      <c r="H15522" s="13" t="s">
        <v>29784</v>
      </c>
      <c r="I15522" s="40" t="s">
        <v>18</v>
      </c>
      <c r="J15522" s="40" t="str">
        <f>HYPERLINK("https://stock.pstatic.net/stock-research/company/2/20250113_company_643731000.pdf","PDF")</f>
        <v>PDF</v>
      </c>
      <c r="K15522" s="12" t="s">
        <v>29785</v>
      </c>
      <c r="L15522" s="20">
        <v>0.65517241379310343</v>
      </c>
    </row>
    <row r="15523" spans="1:12" x14ac:dyDescent="0.45">
      <c r="A15523" s="12" t="s">
        <v>29722</v>
      </c>
      <c r="B15523" s="12" t="s">
        <v>4864</v>
      </c>
      <c r="C15523" s="13" t="s">
        <v>4865</v>
      </c>
      <c r="D15523" s="13" t="s">
        <v>83</v>
      </c>
      <c r="E15523" s="12" t="s">
        <v>35</v>
      </c>
      <c r="F15523" s="14">
        <v>60000</v>
      </c>
      <c r="G15523" s="14">
        <v>43850</v>
      </c>
      <c r="H15523" s="13" t="s">
        <v>29786</v>
      </c>
      <c r="I15523" s="40" t="s">
        <v>18</v>
      </c>
      <c r="J15523" s="40" t="str">
        <f>HYPERLINK("https://stock.pstatic.net/stock-research/company/2/20250113_company_863480000.pdf","PDF")</f>
        <v>PDF</v>
      </c>
      <c r="K15523" s="12" t="s">
        <v>29787</v>
      </c>
      <c r="L15523" s="20">
        <v>0.36830102622576971</v>
      </c>
    </row>
    <row r="15524" spans="1:12" x14ac:dyDescent="0.45">
      <c r="A15524" s="12" t="s">
        <v>29722</v>
      </c>
      <c r="B15524" s="12" t="s">
        <v>118</v>
      </c>
      <c r="C15524" s="13" t="s">
        <v>119</v>
      </c>
      <c r="D15524" s="13" t="s">
        <v>83</v>
      </c>
      <c r="E15524" s="12" t="s">
        <v>642</v>
      </c>
      <c r="F15524" s="14">
        <v>70000</v>
      </c>
      <c r="G15524" s="14">
        <v>64800</v>
      </c>
      <c r="H15524" s="13" t="s">
        <v>29788</v>
      </c>
      <c r="I15524" s="40" t="s">
        <v>18</v>
      </c>
      <c r="J15524" s="40" t="str">
        <f>HYPERLINK("https://stock.pstatic.net/stock-research/company/2/20250113_company_2160000.pdf","PDF")</f>
        <v>PDF</v>
      </c>
      <c r="K15524" s="12" t="s">
        <v>29789</v>
      </c>
      <c r="L15524" s="20">
        <v>8.0246913580246909E-2</v>
      </c>
    </row>
    <row r="15525" spans="1:12" x14ac:dyDescent="0.45">
      <c r="A15525" s="12" t="s">
        <v>29722</v>
      </c>
      <c r="B15525" s="12" t="s">
        <v>916</v>
      </c>
      <c r="C15525" s="13" t="s">
        <v>917</v>
      </c>
      <c r="D15525" s="13" t="s">
        <v>83</v>
      </c>
      <c r="E15525" s="12" t="s">
        <v>35</v>
      </c>
      <c r="F15525" s="14">
        <v>48000</v>
      </c>
      <c r="G15525" s="14">
        <v>36550</v>
      </c>
      <c r="H15525" s="13" t="s">
        <v>29790</v>
      </c>
      <c r="I15525" s="40" t="s">
        <v>18</v>
      </c>
      <c r="J15525" s="40" t="str">
        <f>HYPERLINK("https://stock.pstatic.net/stock-research/company/2/20250113_company_621015000.pdf","PDF")</f>
        <v>PDF</v>
      </c>
      <c r="K15525" s="12" t="s">
        <v>29791</v>
      </c>
      <c r="L15525" s="20">
        <v>0.31326949384404917</v>
      </c>
    </row>
    <row r="15526" spans="1:12" x14ac:dyDescent="0.45">
      <c r="A15526" s="12" t="s">
        <v>29722</v>
      </c>
      <c r="B15526" s="12" t="s">
        <v>1140</v>
      </c>
      <c r="C15526" s="13" t="s">
        <v>1141</v>
      </c>
      <c r="D15526" s="13" t="s">
        <v>83</v>
      </c>
      <c r="E15526" s="12" t="s">
        <v>35</v>
      </c>
      <c r="F15526" s="14">
        <v>33000</v>
      </c>
      <c r="G15526" s="14">
        <v>20400</v>
      </c>
      <c r="H15526" s="13" t="s">
        <v>29792</v>
      </c>
      <c r="I15526" s="40" t="s">
        <v>18</v>
      </c>
      <c r="J15526" s="40" t="str">
        <f>HYPERLINK("https://stock.pstatic.net/stock-research/company/2/20250113_company_171695000.pdf","PDF")</f>
        <v>PDF</v>
      </c>
      <c r="K15526" s="12" t="s">
        <v>29793</v>
      </c>
      <c r="L15526" s="20">
        <v>0.61764705882352944</v>
      </c>
    </row>
    <row r="15527" spans="1:12" x14ac:dyDescent="0.45">
      <c r="A15527" s="12" t="s">
        <v>29722</v>
      </c>
      <c r="B15527" s="12" t="s">
        <v>10648</v>
      </c>
      <c r="C15527" s="13" t="s">
        <v>10649</v>
      </c>
      <c r="D15527" s="13" t="s">
        <v>179</v>
      </c>
      <c r="E15527" s="12" t="s">
        <v>50</v>
      </c>
      <c r="F15527" s="13"/>
      <c r="G15527" s="14">
        <v>3190</v>
      </c>
      <c r="H15527" s="13" t="s">
        <v>29794</v>
      </c>
      <c r="I15527" s="40" t="s">
        <v>18</v>
      </c>
      <c r="J15527" s="40" t="str">
        <f>HYPERLINK("https://stock.pstatic.net/stock-research/company/31/20250113_company_968925000.pdf","PDF")</f>
        <v>PDF</v>
      </c>
      <c r="K15527" s="12" t="s">
        <v>29795</v>
      </c>
    </row>
    <row r="15528" spans="1:12" x14ac:dyDescent="0.45">
      <c r="A15528" s="12" t="s">
        <v>29722</v>
      </c>
      <c r="B15528" s="12" t="s">
        <v>1765</v>
      </c>
      <c r="C15528" s="13" t="s">
        <v>1766</v>
      </c>
      <c r="D15528" s="13" t="s">
        <v>92</v>
      </c>
      <c r="E15528" s="12" t="s">
        <v>35</v>
      </c>
      <c r="F15528" s="14">
        <v>120000</v>
      </c>
      <c r="G15528" s="14">
        <v>105600</v>
      </c>
      <c r="H15528" s="13" t="s">
        <v>29796</v>
      </c>
      <c r="I15528" s="40" t="s">
        <v>18</v>
      </c>
      <c r="J15528" s="40" t="str">
        <f>HYPERLINK("https://stock.pstatic.net/stock-research/company/63/20250113_company_348729000.pdf","PDF")</f>
        <v>PDF</v>
      </c>
      <c r="K15528" s="12" t="s">
        <v>29797</v>
      </c>
      <c r="L15528" s="20">
        <v>0.13636363636363641</v>
      </c>
    </row>
    <row r="15529" spans="1:12" x14ac:dyDescent="0.45">
      <c r="A15529" s="12" t="s">
        <v>29722</v>
      </c>
      <c r="B15529" s="12" t="s">
        <v>38</v>
      </c>
      <c r="C15529" s="13" t="s">
        <v>39</v>
      </c>
      <c r="D15529" s="13" t="s">
        <v>34</v>
      </c>
      <c r="E15529" s="12" t="s">
        <v>35</v>
      </c>
      <c r="F15529" s="14">
        <v>290000</v>
      </c>
      <c r="G15529" s="14">
        <v>240000</v>
      </c>
      <c r="H15529" s="13" t="s">
        <v>29798</v>
      </c>
      <c r="I15529" s="40" t="s">
        <v>18</v>
      </c>
      <c r="J15529" s="40" t="str">
        <f>HYPERLINK("https://stock.pstatic.net/stock-research/company/61/20250113_company_73137000.pdf","PDF")</f>
        <v>PDF</v>
      </c>
      <c r="K15529" s="12" t="s">
        <v>29799</v>
      </c>
      <c r="L15529" s="20">
        <v>0.20833333333333329</v>
      </c>
    </row>
    <row r="15530" spans="1:12" x14ac:dyDescent="0.45">
      <c r="A15530" s="12" t="s">
        <v>29722</v>
      </c>
      <c r="B15530" s="12" t="s">
        <v>1036</v>
      </c>
      <c r="C15530" s="13" t="s">
        <v>1037</v>
      </c>
      <c r="D15530" s="13" t="s">
        <v>92</v>
      </c>
      <c r="E15530" s="12" t="s">
        <v>159</v>
      </c>
      <c r="F15530" s="14">
        <v>17000</v>
      </c>
      <c r="G15530" s="14">
        <v>16710</v>
      </c>
      <c r="H15530" s="13" t="s">
        <v>29800</v>
      </c>
      <c r="I15530" s="40" t="s">
        <v>18</v>
      </c>
      <c r="J15530" s="40" t="str">
        <f>HYPERLINK("https://stock.pstatic.net/stock-research/company/63/20250113_company_812760000.pdf","PDF")</f>
        <v>PDF</v>
      </c>
      <c r="K15530" s="12" t="s">
        <v>29801</v>
      </c>
      <c r="L15530" s="20">
        <v>1.7354877318970681E-2</v>
      </c>
    </row>
    <row r="15531" spans="1:12" x14ac:dyDescent="0.45">
      <c r="A15531" s="12" t="s">
        <v>29722</v>
      </c>
      <c r="B15531" s="12" t="s">
        <v>13</v>
      </c>
      <c r="C15531" s="13" t="s">
        <v>14</v>
      </c>
      <c r="D15531" s="13" t="s">
        <v>53</v>
      </c>
      <c r="E15531" s="12" t="s">
        <v>16</v>
      </c>
      <c r="F15531" s="14">
        <v>82000</v>
      </c>
      <c r="G15531" s="14">
        <v>55300</v>
      </c>
      <c r="H15531" s="13" t="s">
        <v>29802</v>
      </c>
      <c r="I15531" s="40" t="s">
        <v>18</v>
      </c>
      <c r="J15531" s="40" t="str">
        <f>HYPERLINK("https://stock.pstatic.net/stock-research/company/1/20250113_company_867910000.pdf","PDF")</f>
        <v>PDF</v>
      </c>
      <c r="K15531" s="12" t="s">
        <v>29803</v>
      </c>
      <c r="L15531" s="20">
        <v>0.48282097649186262</v>
      </c>
    </row>
    <row r="15532" spans="1:12" x14ac:dyDescent="0.45">
      <c r="A15532" s="12" t="s">
        <v>29722</v>
      </c>
      <c r="B15532" s="12" t="s">
        <v>999</v>
      </c>
      <c r="C15532" s="13" t="s">
        <v>1000</v>
      </c>
      <c r="D15532" s="13" t="s">
        <v>34</v>
      </c>
      <c r="E15532" s="12" t="s">
        <v>50</v>
      </c>
      <c r="F15532" s="13"/>
      <c r="G15532" s="14">
        <v>26150</v>
      </c>
      <c r="H15532" s="13" t="s">
        <v>29804</v>
      </c>
      <c r="I15532" s="40" t="s">
        <v>18</v>
      </c>
      <c r="J15532" s="40" t="str">
        <f>HYPERLINK("https://stock.pstatic.net/stock-research/company/61/20250113_company_555085000.pdf","PDF")</f>
        <v>PDF</v>
      </c>
      <c r="K15532" s="12" t="s">
        <v>29805</v>
      </c>
    </row>
    <row r="15533" spans="1:12" x14ac:dyDescent="0.45">
      <c r="A15533" s="12" t="s">
        <v>29722</v>
      </c>
      <c r="B15533" s="12" t="s">
        <v>63</v>
      </c>
      <c r="C15533" s="13" t="s">
        <v>64</v>
      </c>
      <c r="D15533" s="13" t="s">
        <v>179</v>
      </c>
      <c r="E15533" s="12" t="s">
        <v>16</v>
      </c>
      <c r="F15533" s="14">
        <v>370000</v>
      </c>
      <c r="G15533" s="14">
        <v>271000</v>
      </c>
      <c r="H15533" s="13" t="s">
        <v>29806</v>
      </c>
      <c r="I15533" s="40" t="s">
        <v>18</v>
      </c>
      <c r="J15533" s="40" t="str">
        <f>HYPERLINK("https://stock.pstatic.net/stock-research/company/1/20250113_company_740024000.pdf","PDF")</f>
        <v>PDF</v>
      </c>
      <c r="K15533" s="12" t="s">
        <v>29807</v>
      </c>
      <c r="L15533" s="20">
        <v>0.36531365313653141</v>
      </c>
    </row>
    <row r="15534" spans="1:12" x14ac:dyDescent="0.45">
      <c r="A15534" s="12" t="s">
        <v>29722</v>
      </c>
      <c r="B15534" s="12" t="s">
        <v>2911</v>
      </c>
      <c r="C15534" s="13" t="s">
        <v>2912</v>
      </c>
      <c r="D15534" s="13" t="s">
        <v>34</v>
      </c>
      <c r="E15534" s="12" t="s">
        <v>35</v>
      </c>
      <c r="F15534" s="14">
        <v>28000</v>
      </c>
      <c r="G15534" s="14">
        <v>18780</v>
      </c>
      <c r="H15534" s="13" t="s">
        <v>29808</v>
      </c>
      <c r="I15534" s="40" t="s">
        <v>18</v>
      </c>
      <c r="J15534" s="40" t="str">
        <f>HYPERLINK("https://stock.pstatic.net/stock-research/company/1/20250113_company_557564000.pdf","PDF")</f>
        <v>PDF</v>
      </c>
      <c r="K15534" s="12" t="s">
        <v>29809</v>
      </c>
      <c r="L15534" s="20">
        <v>0.49094781682641109</v>
      </c>
    </row>
    <row r="15535" spans="1:12" x14ac:dyDescent="0.45">
      <c r="A15535" s="12" t="s">
        <v>29722</v>
      </c>
      <c r="B15535" s="12" t="s">
        <v>3813</v>
      </c>
      <c r="C15535" s="13" t="s">
        <v>3814</v>
      </c>
      <c r="D15535" s="13" t="s">
        <v>23</v>
      </c>
      <c r="E15535" s="12" t="s">
        <v>16</v>
      </c>
      <c r="F15535" s="14">
        <v>13000</v>
      </c>
      <c r="G15535" s="14">
        <v>9360</v>
      </c>
      <c r="H15535" s="13" t="s">
        <v>29810</v>
      </c>
      <c r="I15535" s="40" t="s">
        <v>18</v>
      </c>
      <c r="J15535" s="40" t="str">
        <f>HYPERLINK("https://stock.pstatic.net/stock-research/company/21/20250113_company_648810000.pdf","PDF")</f>
        <v>PDF</v>
      </c>
      <c r="K15535" s="12" t="s">
        <v>29811</v>
      </c>
      <c r="L15535" s="20">
        <v>0.3888888888888889</v>
      </c>
    </row>
    <row r="15536" spans="1:12" x14ac:dyDescent="0.45">
      <c r="A15536" s="12" t="s">
        <v>29722</v>
      </c>
      <c r="B15536" s="12" t="s">
        <v>2956</v>
      </c>
      <c r="C15536" s="13" t="s">
        <v>2957</v>
      </c>
      <c r="D15536" s="13" t="s">
        <v>23</v>
      </c>
      <c r="E15536" s="12" t="s">
        <v>16</v>
      </c>
      <c r="F15536" s="14">
        <v>25000</v>
      </c>
      <c r="G15536" s="14">
        <v>18200</v>
      </c>
      <c r="H15536" s="13" t="s">
        <v>29812</v>
      </c>
      <c r="I15536" s="40" t="s">
        <v>18</v>
      </c>
      <c r="J15536" s="40" t="str">
        <f>HYPERLINK("https://stock.pstatic.net/stock-research/company/21/20250113_company_19006000.pdf","PDF")</f>
        <v>PDF</v>
      </c>
      <c r="K15536" s="12" t="s">
        <v>29813</v>
      </c>
      <c r="L15536" s="20">
        <v>0.37362637362637358</v>
      </c>
    </row>
    <row r="15537" spans="1:12" x14ac:dyDescent="0.45">
      <c r="A15537" s="12" t="s">
        <v>29722</v>
      </c>
      <c r="B15537" s="12" t="s">
        <v>2425</v>
      </c>
      <c r="C15537" s="13" t="s">
        <v>2426</v>
      </c>
      <c r="D15537" s="13" t="s">
        <v>23</v>
      </c>
      <c r="E15537" s="12" t="s">
        <v>16</v>
      </c>
      <c r="F15537" s="14">
        <v>135000</v>
      </c>
      <c r="G15537" s="14">
        <v>109000</v>
      </c>
      <c r="H15537" s="13" t="s">
        <v>29814</v>
      </c>
      <c r="I15537" s="40" t="s">
        <v>18</v>
      </c>
      <c r="J15537" s="40" t="str">
        <f>HYPERLINK("https://stock.pstatic.net/stock-research/company/21/20250113_company_347202000.pdf","PDF")</f>
        <v>PDF</v>
      </c>
      <c r="K15537" s="12" t="s">
        <v>29815</v>
      </c>
      <c r="L15537" s="20">
        <v>0.2385321100917431</v>
      </c>
    </row>
    <row r="15538" spans="1:12" x14ac:dyDescent="0.45">
      <c r="A15538" s="12" t="s">
        <v>29722</v>
      </c>
      <c r="B15538" s="12" t="s">
        <v>3014</v>
      </c>
      <c r="C15538" s="13" t="s">
        <v>3015</v>
      </c>
      <c r="D15538" s="13" t="s">
        <v>23</v>
      </c>
      <c r="E15538" s="12" t="s">
        <v>16</v>
      </c>
      <c r="F15538" s="14">
        <v>76000</v>
      </c>
      <c r="G15538" s="14">
        <v>53500</v>
      </c>
      <c r="H15538" s="13" t="s">
        <v>29816</v>
      </c>
      <c r="I15538" s="40" t="s">
        <v>18</v>
      </c>
      <c r="J15538" s="40" t="str">
        <f>HYPERLINK("https://stock.pstatic.net/stock-research/company/1/20250113_company_517259000.pdf","PDF")</f>
        <v>PDF</v>
      </c>
      <c r="K15538" s="12" t="s">
        <v>29817</v>
      </c>
      <c r="L15538" s="20">
        <v>0.42056074766355139</v>
      </c>
    </row>
    <row r="15539" spans="1:12" x14ac:dyDescent="0.45">
      <c r="A15539" s="12" t="s">
        <v>29722</v>
      </c>
      <c r="B15539" s="12" t="s">
        <v>434</v>
      </c>
      <c r="C15539" s="13" t="s">
        <v>435</v>
      </c>
      <c r="D15539" s="13" t="s">
        <v>23</v>
      </c>
      <c r="E15539" s="12" t="s">
        <v>16</v>
      </c>
      <c r="F15539" s="14">
        <v>163000</v>
      </c>
      <c r="G15539" s="14">
        <v>115700</v>
      </c>
      <c r="H15539" s="13" t="s">
        <v>29818</v>
      </c>
      <c r="I15539" s="40" t="s">
        <v>18</v>
      </c>
      <c r="J15539" s="40" t="str">
        <f>HYPERLINK("https://stock.pstatic.net/stock-research/company/21/20250113_company_890152000.pdf","PDF")</f>
        <v>PDF</v>
      </c>
      <c r="K15539" s="12" t="s">
        <v>29819</v>
      </c>
      <c r="L15539" s="20">
        <v>0.40881590319792571</v>
      </c>
    </row>
    <row r="15540" spans="1:12" x14ac:dyDescent="0.45">
      <c r="A15540" s="12" t="s">
        <v>29722</v>
      </c>
      <c r="B15540" s="12" t="s">
        <v>1930</v>
      </c>
      <c r="C15540" s="13" t="s">
        <v>1931</v>
      </c>
      <c r="D15540" s="13" t="s">
        <v>23</v>
      </c>
      <c r="E15540" s="12" t="s">
        <v>16</v>
      </c>
      <c r="F15540" s="14">
        <v>370000</v>
      </c>
      <c r="G15540" s="14">
        <v>247000</v>
      </c>
      <c r="H15540" s="13" t="s">
        <v>29820</v>
      </c>
      <c r="I15540" s="40" t="s">
        <v>18</v>
      </c>
      <c r="J15540" s="40" t="str">
        <f>HYPERLINK("https://stock.pstatic.net/stock-research/company/1/20250113_company_200202000.pdf","PDF")</f>
        <v>PDF</v>
      </c>
      <c r="K15540" s="12" t="s">
        <v>29821</v>
      </c>
      <c r="L15540" s="20">
        <v>0.49797570850202427</v>
      </c>
    </row>
    <row r="15541" spans="1:12" x14ac:dyDescent="0.45">
      <c r="A15541" s="12" t="s">
        <v>29722</v>
      </c>
      <c r="B15541" s="12" t="s">
        <v>1765</v>
      </c>
      <c r="C15541" s="13" t="s">
        <v>1766</v>
      </c>
      <c r="D15541" s="13" t="s">
        <v>23</v>
      </c>
      <c r="E15541" s="12" t="s">
        <v>16</v>
      </c>
      <c r="F15541" s="14">
        <v>130000</v>
      </c>
      <c r="G15541" s="14">
        <v>105600</v>
      </c>
      <c r="H15541" s="13" t="s">
        <v>29822</v>
      </c>
      <c r="I15541" s="40" t="s">
        <v>18</v>
      </c>
      <c r="J15541" s="40" t="str">
        <f>HYPERLINK("https://stock.pstatic.net/stock-research/company/21/20250113_company_135437000.pdf","PDF")</f>
        <v>PDF</v>
      </c>
      <c r="K15541" s="12" t="s">
        <v>29823</v>
      </c>
      <c r="L15541" s="20">
        <v>0.23106060606060599</v>
      </c>
    </row>
    <row r="15542" spans="1:12" x14ac:dyDescent="0.45">
      <c r="A15542" s="12" t="s">
        <v>29722</v>
      </c>
      <c r="B15542" s="12" t="s">
        <v>3204</v>
      </c>
      <c r="C15542" s="13" t="s">
        <v>3205</v>
      </c>
      <c r="D15542" s="13" t="s">
        <v>23</v>
      </c>
      <c r="E15542" s="12" t="s">
        <v>50</v>
      </c>
      <c r="F15542" s="14">
        <v>3500</v>
      </c>
      <c r="G15542" s="14">
        <v>3270</v>
      </c>
      <c r="H15542" s="13" t="s">
        <v>29824</v>
      </c>
      <c r="I15542" s="40" t="s">
        <v>18</v>
      </c>
      <c r="J15542" s="40" t="str">
        <f>HYPERLINK("https://stock.pstatic.net/stock-research/company/21/20250113_company_333199000.pdf","PDF")</f>
        <v>PDF</v>
      </c>
      <c r="K15542" s="12" t="s">
        <v>29825</v>
      </c>
      <c r="L15542" s="20">
        <v>7.0336391437308868E-2</v>
      </c>
    </row>
    <row r="15543" spans="1:12" x14ac:dyDescent="0.45">
      <c r="A15543" s="12" t="s">
        <v>29722</v>
      </c>
      <c r="B15543" s="12" t="s">
        <v>519</v>
      </c>
      <c r="C15543" s="13" t="s">
        <v>520</v>
      </c>
      <c r="D15543" s="13" t="s">
        <v>23</v>
      </c>
      <c r="E15543" s="12" t="s">
        <v>16</v>
      </c>
      <c r="F15543" s="14">
        <v>290000</v>
      </c>
      <c r="G15543" s="14">
        <v>226000</v>
      </c>
      <c r="H15543" s="13" t="s">
        <v>29826</v>
      </c>
      <c r="I15543" s="40" t="s">
        <v>18</v>
      </c>
      <c r="J15543" s="40" t="str">
        <f>HYPERLINK("https://stock.pstatic.net/stock-research/company/21/20250113_company_482950000.pdf","PDF")</f>
        <v>PDF</v>
      </c>
      <c r="K15543" s="12" t="s">
        <v>29827</v>
      </c>
      <c r="L15543" s="20">
        <v>0.2831858407079646</v>
      </c>
    </row>
    <row r="15544" spans="1:12" x14ac:dyDescent="0.45">
      <c r="A15544" s="12" t="s">
        <v>29722</v>
      </c>
      <c r="B15544" s="12" t="s">
        <v>8541</v>
      </c>
      <c r="C15544" s="13" t="s">
        <v>8542</v>
      </c>
      <c r="D15544" s="13" t="s">
        <v>44</v>
      </c>
      <c r="E15544" s="12" t="s">
        <v>50</v>
      </c>
      <c r="F15544" s="13"/>
      <c r="G15544" s="14">
        <v>10170</v>
      </c>
      <c r="H15544" s="13" t="s">
        <v>29828</v>
      </c>
      <c r="I15544" s="40" t="s">
        <v>18</v>
      </c>
      <c r="J15544" s="40" t="str">
        <f>HYPERLINK("https://stock.pstatic.net/stock-research/company/39/20250113_company_551318000.pdf","PDF")</f>
        <v>PDF</v>
      </c>
      <c r="K15544" s="12" t="s">
        <v>29829</v>
      </c>
    </row>
    <row r="15545" spans="1:12" x14ac:dyDescent="0.45">
      <c r="A15545" s="12" t="s">
        <v>29722</v>
      </c>
      <c r="B15545" s="12" t="s">
        <v>63</v>
      </c>
      <c r="C15545" s="13" t="s">
        <v>64</v>
      </c>
      <c r="D15545" s="13" t="s">
        <v>44</v>
      </c>
      <c r="E15545" s="12" t="s">
        <v>35</v>
      </c>
      <c r="F15545" s="14">
        <v>330000</v>
      </c>
      <c r="G15545" s="14">
        <v>271000</v>
      </c>
      <c r="H15545" s="13" t="s">
        <v>29830</v>
      </c>
      <c r="I15545" s="40" t="s">
        <v>18</v>
      </c>
      <c r="J15545" s="40" t="str">
        <f>HYPERLINK("https://stock.pstatic.net/stock-research/company/1/20250113_company_575584000.pdf","PDF")</f>
        <v>PDF</v>
      </c>
      <c r="K15545" s="12" t="s">
        <v>29831</v>
      </c>
      <c r="L15545" s="20">
        <v>0.21771217712177121</v>
      </c>
    </row>
    <row r="15546" spans="1:12" x14ac:dyDescent="0.45">
      <c r="A15546" s="12" t="s">
        <v>29722</v>
      </c>
      <c r="B15546" s="12" t="s">
        <v>3355</v>
      </c>
      <c r="C15546" s="13" t="s">
        <v>3356</v>
      </c>
      <c r="D15546" s="13" t="s">
        <v>44</v>
      </c>
      <c r="E15546" s="12" t="s">
        <v>45</v>
      </c>
      <c r="F15546" s="14">
        <v>65000</v>
      </c>
      <c r="G15546" s="14">
        <v>59000</v>
      </c>
      <c r="H15546" s="13" t="s">
        <v>29832</v>
      </c>
      <c r="I15546" s="40" t="s">
        <v>18</v>
      </c>
      <c r="J15546" s="40" t="str">
        <f>HYPERLINK("https://stock.pstatic.net/stock-research/company/39/20250113_company_967085000.pdf","PDF")</f>
        <v>PDF</v>
      </c>
      <c r="K15546" s="12" t="s">
        <v>29833</v>
      </c>
      <c r="L15546" s="20">
        <v>0.10169491525423729</v>
      </c>
    </row>
    <row r="15547" spans="1:12" x14ac:dyDescent="0.45">
      <c r="A15547" s="12" t="s">
        <v>29722</v>
      </c>
      <c r="B15547" s="12" t="s">
        <v>1356</v>
      </c>
      <c r="C15547" s="13" t="s">
        <v>1357</v>
      </c>
      <c r="D15547" s="13" t="s">
        <v>53</v>
      </c>
      <c r="E15547" s="12" t="s">
        <v>16</v>
      </c>
      <c r="F15547" s="14">
        <v>25000</v>
      </c>
      <c r="G15547" s="14">
        <v>19710</v>
      </c>
      <c r="H15547" s="13" t="s">
        <v>29834</v>
      </c>
      <c r="I15547" s="40" t="s">
        <v>18</v>
      </c>
      <c r="J15547" s="40" t="str">
        <f>HYPERLINK("https://stock.pstatic.net/stock-research/company/40/20250113_company_761398000.pdf","PDF")</f>
        <v>PDF</v>
      </c>
      <c r="K15547" s="12" t="s">
        <v>29835</v>
      </c>
      <c r="L15547" s="20">
        <v>0.26839167935058339</v>
      </c>
    </row>
    <row r="15548" spans="1:12" x14ac:dyDescent="0.45">
      <c r="A15548" s="12" t="s">
        <v>29836</v>
      </c>
      <c r="B15548" s="12" t="s">
        <v>888</v>
      </c>
      <c r="C15548" s="13" t="s">
        <v>889</v>
      </c>
      <c r="D15548" s="13" t="s">
        <v>57</v>
      </c>
      <c r="E15548" s="12" t="s">
        <v>35</v>
      </c>
      <c r="F15548" s="14">
        <v>65000</v>
      </c>
      <c r="G15548" s="14">
        <v>51000</v>
      </c>
      <c r="H15548" s="13" t="s">
        <v>29754</v>
      </c>
      <c r="I15548" s="40" t="s">
        <v>18</v>
      </c>
      <c r="J15548" s="40" t="str">
        <f>HYPERLINK("https://stock.pstatic.net/stock-research/company/16/20250110_company_393956000.pdf","PDF")</f>
        <v>PDF</v>
      </c>
      <c r="K15548" s="12" t="s">
        <v>29837</v>
      </c>
      <c r="L15548" s="20">
        <v>0.27450980392156871</v>
      </c>
    </row>
    <row r="15549" spans="1:12" x14ac:dyDescent="0.45">
      <c r="A15549" s="12" t="s">
        <v>29836</v>
      </c>
      <c r="B15549" s="12" t="s">
        <v>3204</v>
      </c>
      <c r="C15549" s="13" t="s">
        <v>3205</v>
      </c>
      <c r="D15549" s="13" t="s">
        <v>15</v>
      </c>
      <c r="E15549" s="12" t="s">
        <v>16</v>
      </c>
      <c r="F15549" s="14">
        <v>4300</v>
      </c>
      <c r="G15549" s="14">
        <v>3230</v>
      </c>
      <c r="H15549" s="13" t="s">
        <v>29838</v>
      </c>
      <c r="I15549" s="40" t="s">
        <v>18</v>
      </c>
      <c r="J15549" s="40" t="str">
        <f>HYPERLINK("https://stock.pstatic.net/stock-research/company/29/20250110_company_388592000.pdf","PDF")</f>
        <v>PDF</v>
      </c>
      <c r="K15549" s="12" t="s">
        <v>29839</v>
      </c>
      <c r="L15549" s="20">
        <v>0.33126934984520118</v>
      </c>
    </row>
    <row r="15550" spans="1:12" x14ac:dyDescent="0.45">
      <c r="A15550" s="12" t="s">
        <v>29836</v>
      </c>
      <c r="B15550" s="12" t="s">
        <v>3164</v>
      </c>
      <c r="C15550" s="13" t="s">
        <v>3165</v>
      </c>
      <c r="D15550" s="13" t="s">
        <v>15</v>
      </c>
      <c r="E15550" s="12" t="s">
        <v>16</v>
      </c>
      <c r="F15550" s="14">
        <v>36000</v>
      </c>
      <c r="G15550" s="14">
        <v>25300</v>
      </c>
      <c r="H15550" s="13" t="s">
        <v>29840</v>
      </c>
      <c r="I15550" s="40" t="s">
        <v>18</v>
      </c>
      <c r="J15550" s="40" t="str">
        <f>HYPERLINK("https://stock.pstatic.net/stock-research/company/29/20250110_company_700516000.pdf","PDF")</f>
        <v>PDF</v>
      </c>
      <c r="K15550" s="12" t="s">
        <v>29841</v>
      </c>
      <c r="L15550" s="20">
        <v>0.42292490118577081</v>
      </c>
    </row>
    <row r="15551" spans="1:12" x14ac:dyDescent="0.45">
      <c r="A15551" s="12" t="s">
        <v>29836</v>
      </c>
      <c r="B15551" s="12" t="s">
        <v>95</v>
      </c>
      <c r="C15551" s="13" t="s">
        <v>31</v>
      </c>
      <c r="D15551" s="13" t="s">
        <v>15</v>
      </c>
      <c r="E15551" s="12" t="s">
        <v>16</v>
      </c>
      <c r="F15551" s="14">
        <v>31000</v>
      </c>
      <c r="G15551" s="14">
        <v>17670</v>
      </c>
      <c r="H15551" s="13" t="s">
        <v>29842</v>
      </c>
      <c r="I15551" s="40" t="s">
        <v>18</v>
      </c>
      <c r="J15551" s="40" t="str">
        <f>HYPERLINK("https://stock.pstatic.net/stock-research/company/29/20250110_company_229655000.pdf","PDF")</f>
        <v>PDF</v>
      </c>
      <c r="K15551" s="12" t="s">
        <v>29843</v>
      </c>
      <c r="L15551" s="20">
        <v>0.75438596491228072</v>
      </c>
    </row>
    <row r="15552" spans="1:12" x14ac:dyDescent="0.45">
      <c r="A15552" s="12" t="s">
        <v>29836</v>
      </c>
      <c r="B15552" s="12" t="s">
        <v>3105</v>
      </c>
      <c r="C15552" s="13" t="s">
        <v>3106</v>
      </c>
      <c r="D15552" s="13" t="s">
        <v>158</v>
      </c>
      <c r="E15552" s="12" t="s">
        <v>35</v>
      </c>
      <c r="F15552" s="14">
        <v>300000</v>
      </c>
      <c r="G15552" s="14">
        <v>201500</v>
      </c>
      <c r="H15552" s="13" t="s">
        <v>29844</v>
      </c>
      <c r="I15552" s="40" t="s">
        <v>18</v>
      </c>
      <c r="J15552" s="40" t="str">
        <f>HYPERLINK("https://stock.pstatic.net/stock-research/company/18/20250110_company_129086000.pdf","PDF")</f>
        <v>PDF</v>
      </c>
      <c r="K15552" s="12" t="s">
        <v>29845</v>
      </c>
      <c r="L15552" s="20">
        <v>0.48883374689826298</v>
      </c>
    </row>
    <row r="15553" spans="1:12" x14ac:dyDescent="0.45">
      <c r="A15553" s="12" t="s">
        <v>29836</v>
      </c>
      <c r="B15553" s="12" t="s">
        <v>4864</v>
      </c>
      <c r="C15553" s="13" t="s">
        <v>4865</v>
      </c>
      <c r="D15553" s="13" t="s">
        <v>57</v>
      </c>
      <c r="E15553" s="12" t="s">
        <v>35</v>
      </c>
      <c r="F15553" s="14">
        <v>60000</v>
      </c>
      <c r="G15553" s="14">
        <v>45250</v>
      </c>
      <c r="H15553" s="13" t="s">
        <v>29846</v>
      </c>
      <c r="I15553" s="40" t="s">
        <v>18</v>
      </c>
      <c r="J15553" s="40" t="str">
        <f>HYPERLINK("https://stock.pstatic.net/stock-research/company/16/20250110_company_296198000.pdf","PDF")</f>
        <v>PDF</v>
      </c>
      <c r="K15553" s="12" t="s">
        <v>29847</v>
      </c>
      <c r="L15553" s="20">
        <v>0.32596685082872928</v>
      </c>
    </row>
    <row r="15554" spans="1:12" x14ac:dyDescent="0.45">
      <c r="A15554" s="12" t="s">
        <v>29836</v>
      </c>
      <c r="B15554" s="12" t="s">
        <v>2378</v>
      </c>
      <c r="C15554" s="13" t="s">
        <v>2379</v>
      </c>
      <c r="D15554" s="13" t="s">
        <v>57</v>
      </c>
      <c r="E15554" s="12" t="s">
        <v>35</v>
      </c>
      <c r="F15554" s="14">
        <v>500000</v>
      </c>
      <c r="G15554" s="14">
        <v>358500</v>
      </c>
      <c r="H15554" s="13" t="s">
        <v>29848</v>
      </c>
      <c r="I15554" s="40" t="s">
        <v>18</v>
      </c>
      <c r="J15554" s="40" t="str">
        <f>HYPERLINK("https://stock.pstatic.net/stock-research/company/16/20250110_company_773485000.pdf","PDF")</f>
        <v>PDF</v>
      </c>
      <c r="K15554" s="12" t="s">
        <v>29849</v>
      </c>
      <c r="L15554" s="20">
        <v>0.39470013947001392</v>
      </c>
    </row>
    <row r="15555" spans="1:12" x14ac:dyDescent="0.45">
      <c r="A15555" s="12" t="s">
        <v>29836</v>
      </c>
      <c r="B15555" s="12" t="s">
        <v>63</v>
      </c>
      <c r="C15555" s="13" t="s">
        <v>64</v>
      </c>
      <c r="D15555" s="13" t="s">
        <v>276</v>
      </c>
      <c r="E15555" s="12" t="s">
        <v>16</v>
      </c>
      <c r="F15555" s="14">
        <v>380000</v>
      </c>
      <c r="G15555" s="14">
        <v>284000</v>
      </c>
      <c r="H15555" s="13" t="s">
        <v>29850</v>
      </c>
      <c r="I15555" s="40" t="s">
        <v>18</v>
      </c>
      <c r="J15555" s="40" t="str">
        <f>HYPERLINK("https://stock.pstatic.net/stock-research/company/66/20250110_company_47861000.pdf","PDF")</f>
        <v>PDF</v>
      </c>
      <c r="K15555" s="12" t="s">
        <v>29851</v>
      </c>
      <c r="L15555" s="20">
        <v>0.3380281690140845</v>
      </c>
    </row>
    <row r="15556" spans="1:12" x14ac:dyDescent="0.45">
      <c r="A15556" s="12" t="s">
        <v>29836</v>
      </c>
      <c r="B15556" s="12" t="s">
        <v>334</v>
      </c>
      <c r="C15556" s="13" t="s">
        <v>335</v>
      </c>
      <c r="D15556" s="13" t="s">
        <v>276</v>
      </c>
      <c r="E15556" s="12" t="s">
        <v>16</v>
      </c>
      <c r="F15556" s="14">
        <v>290000</v>
      </c>
      <c r="G15556" s="14">
        <v>205000</v>
      </c>
      <c r="H15556" s="13" t="s">
        <v>29852</v>
      </c>
      <c r="I15556" s="40" t="s">
        <v>18</v>
      </c>
      <c r="J15556" s="40" t="str">
        <f>HYPERLINK("https://stock.pstatic.net/stock-research/company/66/20250110_company_639006000.pdf","PDF")</f>
        <v>PDF</v>
      </c>
      <c r="K15556" s="12" t="s">
        <v>29853</v>
      </c>
      <c r="L15556" s="20">
        <v>0.41463414634146339</v>
      </c>
    </row>
    <row r="15557" spans="1:12" x14ac:dyDescent="0.45">
      <c r="A15557" s="12" t="s">
        <v>29836</v>
      </c>
      <c r="B15557" s="12" t="s">
        <v>2425</v>
      </c>
      <c r="C15557" s="13" t="s">
        <v>2426</v>
      </c>
      <c r="D15557" s="13" t="s">
        <v>276</v>
      </c>
      <c r="E15557" s="12" t="s">
        <v>16</v>
      </c>
      <c r="F15557" s="14">
        <v>150000</v>
      </c>
      <c r="G15557" s="14">
        <v>107300</v>
      </c>
      <c r="H15557" s="13" t="s">
        <v>29854</v>
      </c>
      <c r="I15557" s="40" t="s">
        <v>18</v>
      </c>
      <c r="J15557" s="40" t="str">
        <f>HYPERLINK("https://stock.pstatic.net/stock-research/company/66/20250110_company_782891000.pdf","PDF")</f>
        <v>PDF</v>
      </c>
      <c r="K15557" s="12" t="s">
        <v>29855</v>
      </c>
      <c r="L15557" s="20">
        <v>0.39794967381174279</v>
      </c>
    </row>
    <row r="15558" spans="1:12" x14ac:dyDescent="0.45">
      <c r="A15558" s="12" t="s">
        <v>29836</v>
      </c>
      <c r="B15558" s="12" t="s">
        <v>744</v>
      </c>
      <c r="C15558" s="13" t="s">
        <v>745</v>
      </c>
      <c r="D15558" s="13" t="s">
        <v>60</v>
      </c>
      <c r="E15558" s="12" t="s">
        <v>35</v>
      </c>
      <c r="F15558" s="14">
        <v>15000</v>
      </c>
      <c r="G15558" s="14">
        <v>12030</v>
      </c>
      <c r="H15558" s="13" t="s">
        <v>29856</v>
      </c>
      <c r="I15558" s="40" t="s">
        <v>18</v>
      </c>
      <c r="J15558" s="40" t="str">
        <f>HYPERLINK("https://stock.pstatic.net/stock-research/company/34/20250110_company_956463000.pdf","PDF")</f>
        <v>PDF</v>
      </c>
      <c r="K15558" s="12" t="s">
        <v>29857</v>
      </c>
      <c r="L15558" s="20">
        <v>0.24688279301745639</v>
      </c>
    </row>
    <row r="15559" spans="1:12" x14ac:dyDescent="0.45">
      <c r="A15559" s="12" t="s">
        <v>29836</v>
      </c>
      <c r="B15559" s="12" t="s">
        <v>3284</v>
      </c>
      <c r="C15559" s="13" t="s">
        <v>3285</v>
      </c>
      <c r="D15559" s="13" t="s">
        <v>60</v>
      </c>
      <c r="E15559" s="12" t="s">
        <v>35</v>
      </c>
      <c r="F15559" s="14">
        <v>54000</v>
      </c>
      <c r="G15559" s="14">
        <v>44750</v>
      </c>
      <c r="H15559" s="13" t="s">
        <v>29858</v>
      </c>
      <c r="I15559" s="40" t="s">
        <v>18</v>
      </c>
      <c r="J15559" s="40" t="str">
        <f>HYPERLINK("https://stock.pstatic.net/stock-research/company/34/20250110_company_870403000.pdf","PDF")</f>
        <v>PDF</v>
      </c>
      <c r="K15559" s="12" t="s">
        <v>29859</v>
      </c>
      <c r="L15559" s="20">
        <v>0.20670391061452509</v>
      </c>
    </row>
    <row r="15560" spans="1:12" x14ac:dyDescent="0.45">
      <c r="A15560" s="12" t="s">
        <v>29836</v>
      </c>
      <c r="B15560" s="12" t="s">
        <v>13410</v>
      </c>
      <c r="C15560" s="13" t="s">
        <v>13411</v>
      </c>
      <c r="D15560" s="13" t="s">
        <v>60</v>
      </c>
      <c r="E15560" s="12" t="s">
        <v>35</v>
      </c>
      <c r="F15560" s="14">
        <v>200000</v>
      </c>
      <c r="G15560" s="14">
        <v>138700</v>
      </c>
      <c r="H15560" s="13" t="s">
        <v>29860</v>
      </c>
      <c r="I15560" s="40" t="s">
        <v>18</v>
      </c>
      <c r="J15560" s="40" t="str">
        <f>HYPERLINK("https://stock.pstatic.net/stock-research/company/34/20250110_company_510645000.pdf","PDF")</f>
        <v>PDF</v>
      </c>
      <c r="K15560" s="12" t="s">
        <v>29861</v>
      </c>
      <c r="L15560" s="20">
        <v>0.44196106705118959</v>
      </c>
    </row>
    <row r="15561" spans="1:12" x14ac:dyDescent="0.45">
      <c r="A15561" s="12" t="s">
        <v>29836</v>
      </c>
      <c r="B15561" s="12" t="s">
        <v>2435</v>
      </c>
      <c r="C15561" s="13" t="s">
        <v>2436</v>
      </c>
      <c r="D15561" s="13" t="s">
        <v>60</v>
      </c>
      <c r="E15561" s="12" t="s">
        <v>35</v>
      </c>
      <c r="F15561" s="14">
        <v>380000</v>
      </c>
      <c r="G15561" s="14">
        <v>301500</v>
      </c>
      <c r="H15561" s="13" t="s">
        <v>29862</v>
      </c>
      <c r="I15561" s="40" t="s">
        <v>18</v>
      </c>
      <c r="J15561" s="40" t="str">
        <f>HYPERLINK("https://stock.pstatic.net/stock-research/company/34/20250110_company_694699000.pdf","PDF")</f>
        <v>PDF</v>
      </c>
      <c r="K15561" s="12" t="s">
        <v>29863</v>
      </c>
      <c r="L15561" s="20">
        <v>0.26036484245439467</v>
      </c>
    </row>
    <row r="15562" spans="1:12" x14ac:dyDescent="0.45">
      <c r="A15562" s="12" t="s">
        <v>29836</v>
      </c>
      <c r="B15562" s="12" t="s">
        <v>398</v>
      </c>
      <c r="C15562" s="13" t="s">
        <v>399</v>
      </c>
      <c r="D15562" s="13" t="s">
        <v>60</v>
      </c>
      <c r="E15562" s="12" t="s">
        <v>35</v>
      </c>
      <c r="F15562" s="14">
        <v>190000</v>
      </c>
      <c r="G15562" s="14">
        <v>155000</v>
      </c>
      <c r="H15562" s="13" t="s">
        <v>29536</v>
      </c>
      <c r="I15562" s="40" t="s">
        <v>18</v>
      </c>
      <c r="J15562" s="40" t="str">
        <f>HYPERLINK("https://stock.pstatic.net/stock-research/company/34/20250110_company_346575000.pdf","PDF")</f>
        <v>PDF</v>
      </c>
      <c r="K15562" s="12" t="s">
        <v>29864</v>
      </c>
      <c r="L15562" s="20">
        <v>0.22580645161290319</v>
      </c>
    </row>
    <row r="15563" spans="1:12" x14ac:dyDescent="0.45">
      <c r="A15563" s="12" t="s">
        <v>29836</v>
      </c>
      <c r="B15563" s="12" t="s">
        <v>2369</v>
      </c>
      <c r="C15563" s="13" t="s">
        <v>2370</v>
      </c>
      <c r="D15563" s="13" t="s">
        <v>60</v>
      </c>
      <c r="E15563" s="12" t="s">
        <v>35</v>
      </c>
      <c r="F15563" s="14">
        <v>310000</v>
      </c>
      <c r="G15563" s="14">
        <v>239000</v>
      </c>
      <c r="H15563" s="13" t="s">
        <v>29865</v>
      </c>
      <c r="I15563" s="40" t="s">
        <v>18</v>
      </c>
      <c r="J15563" s="40" t="str">
        <f>HYPERLINK("https://stock.pstatic.net/stock-research/company/34/20250110_company_970123000.pdf","PDF")</f>
        <v>PDF</v>
      </c>
      <c r="K15563" s="12" t="s">
        <v>29866</v>
      </c>
      <c r="L15563" s="20">
        <v>0.29707112970711302</v>
      </c>
    </row>
    <row r="15564" spans="1:12" x14ac:dyDescent="0.45">
      <c r="A15564" s="12" t="s">
        <v>29836</v>
      </c>
      <c r="B15564" s="12" t="s">
        <v>3024</v>
      </c>
      <c r="C15564" s="13" t="s">
        <v>3025</v>
      </c>
      <c r="D15564" s="13" t="s">
        <v>65</v>
      </c>
      <c r="E15564" s="12" t="s">
        <v>35</v>
      </c>
      <c r="F15564" s="14">
        <v>66000</v>
      </c>
      <c r="G15564" s="14">
        <v>43050</v>
      </c>
      <c r="H15564" s="13" t="s">
        <v>29867</v>
      </c>
      <c r="I15564" s="40" t="s">
        <v>18</v>
      </c>
      <c r="J15564" s="40" t="str">
        <f>HYPERLINK("https://stock.pstatic.net/stock-research/company/57/20250110_company_411849000.pdf","PDF")</f>
        <v>PDF</v>
      </c>
      <c r="K15564" s="12" t="s">
        <v>29868</v>
      </c>
      <c r="L15564" s="20">
        <v>0.5331010452961672</v>
      </c>
    </row>
    <row r="15565" spans="1:12" x14ac:dyDescent="0.45">
      <c r="A15565" s="12" t="s">
        <v>29836</v>
      </c>
      <c r="B15565" s="12" t="s">
        <v>541</v>
      </c>
      <c r="C15565" s="13" t="s">
        <v>542</v>
      </c>
      <c r="D15565" s="13" t="s">
        <v>65</v>
      </c>
      <c r="E15565" s="12" t="s">
        <v>35</v>
      </c>
      <c r="F15565" s="14">
        <v>70000</v>
      </c>
      <c r="G15565" s="14">
        <v>55300</v>
      </c>
      <c r="H15565" s="13" t="s">
        <v>29869</v>
      </c>
      <c r="I15565" s="40" t="s">
        <v>18</v>
      </c>
      <c r="J15565" s="40" t="str">
        <f>HYPERLINK("https://stock.pstatic.net/stock-research/company/57/20250110_company_501929000.pdf","PDF")</f>
        <v>PDF</v>
      </c>
      <c r="K15565" s="12" t="s">
        <v>29870</v>
      </c>
      <c r="L15565" s="20">
        <v>0.26582278481012661</v>
      </c>
    </row>
    <row r="15566" spans="1:12" x14ac:dyDescent="0.45">
      <c r="A15566" s="12" t="s">
        <v>29836</v>
      </c>
      <c r="B15566" s="12" t="s">
        <v>2956</v>
      </c>
      <c r="C15566" s="13" t="s">
        <v>2957</v>
      </c>
      <c r="D15566" s="13" t="s">
        <v>15</v>
      </c>
      <c r="E15566" s="12" t="s">
        <v>16</v>
      </c>
      <c r="F15566" s="14">
        <v>26000</v>
      </c>
      <c r="G15566" s="14">
        <v>17740</v>
      </c>
      <c r="H15566" s="13" t="s">
        <v>29871</v>
      </c>
      <c r="I15566" s="40" t="s">
        <v>18</v>
      </c>
      <c r="J15566" s="40" t="str">
        <f>HYPERLINK("https://stock.pstatic.net/stock-research/company/29/20250110_company_213066000.pdf","PDF")</f>
        <v>PDF</v>
      </c>
      <c r="K15566" s="12" t="s">
        <v>29872</v>
      </c>
      <c r="L15566" s="20">
        <v>0.46561443066516339</v>
      </c>
    </row>
    <row r="15567" spans="1:12" x14ac:dyDescent="0.45">
      <c r="A15567" s="12" t="s">
        <v>29836</v>
      </c>
      <c r="B15567" s="12" t="s">
        <v>2982</v>
      </c>
      <c r="C15567" s="13" t="s">
        <v>2983</v>
      </c>
      <c r="D15567" s="13" t="s">
        <v>15</v>
      </c>
      <c r="E15567" s="12" t="s">
        <v>16</v>
      </c>
      <c r="F15567" s="14">
        <v>46000</v>
      </c>
      <c r="G15567" s="14">
        <v>31400</v>
      </c>
      <c r="H15567" s="13" t="s">
        <v>29873</v>
      </c>
      <c r="I15567" s="40" t="s">
        <v>18</v>
      </c>
      <c r="J15567" s="40" t="str">
        <f>HYPERLINK("https://stock.pstatic.net/stock-research/company/29/20250110_company_520593000.pdf","PDF")</f>
        <v>PDF</v>
      </c>
      <c r="K15567" s="12" t="s">
        <v>29874</v>
      </c>
      <c r="L15567" s="20">
        <v>0.46496815286624199</v>
      </c>
    </row>
    <row r="15568" spans="1:12" x14ac:dyDescent="0.45">
      <c r="A15568" s="12" t="s">
        <v>29836</v>
      </c>
      <c r="B15568" s="12" t="s">
        <v>8204</v>
      </c>
      <c r="C15568" s="13" t="s">
        <v>8205</v>
      </c>
      <c r="D15568" s="13" t="s">
        <v>15</v>
      </c>
      <c r="E15568" s="12" t="s">
        <v>16</v>
      </c>
      <c r="F15568" s="14">
        <v>82000</v>
      </c>
      <c r="G15568" s="14">
        <v>57000</v>
      </c>
      <c r="H15568" s="13" t="s">
        <v>29875</v>
      </c>
      <c r="I15568" s="40" t="s">
        <v>18</v>
      </c>
      <c r="J15568" s="40" t="str">
        <f>HYPERLINK("https://stock.pstatic.net/stock-research/company/29/20250110_company_463809000.pdf","PDF")</f>
        <v>PDF</v>
      </c>
      <c r="K15568" s="12" t="s">
        <v>29876</v>
      </c>
      <c r="L15568" s="20">
        <v>0.43859649122807021</v>
      </c>
    </row>
    <row r="15569" spans="1:12" x14ac:dyDescent="0.45">
      <c r="A15569" s="12" t="s">
        <v>29836</v>
      </c>
      <c r="B15569" s="12" t="s">
        <v>434</v>
      </c>
      <c r="C15569" s="13" t="s">
        <v>435</v>
      </c>
      <c r="D15569" s="13" t="s">
        <v>15</v>
      </c>
      <c r="E15569" s="12" t="s">
        <v>16</v>
      </c>
      <c r="F15569" s="14">
        <v>160000</v>
      </c>
      <c r="G15569" s="14">
        <v>115400</v>
      </c>
      <c r="H15569" s="13" t="s">
        <v>29877</v>
      </c>
      <c r="I15569" s="40" t="s">
        <v>18</v>
      </c>
      <c r="J15569" s="40" t="str">
        <f>HYPERLINK("https://stock.pstatic.net/stock-research/company/29/20250110_company_913805000.pdf","PDF")</f>
        <v>PDF</v>
      </c>
      <c r="K15569" s="12" t="s">
        <v>29878</v>
      </c>
      <c r="L15569" s="20">
        <v>0.38648180242634322</v>
      </c>
    </row>
    <row r="15570" spans="1:12" x14ac:dyDescent="0.45">
      <c r="A15570" s="12" t="s">
        <v>29836</v>
      </c>
      <c r="B15570" s="12" t="s">
        <v>740</v>
      </c>
      <c r="C15570" s="13" t="s">
        <v>741</v>
      </c>
      <c r="D15570" s="13" t="s">
        <v>15</v>
      </c>
      <c r="E15570" s="12" t="s">
        <v>16</v>
      </c>
      <c r="F15570" s="14">
        <v>230000</v>
      </c>
      <c r="G15570" s="14">
        <v>168000</v>
      </c>
      <c r="H15570" s="13" t="s">
        <v>29879</v>
      </c>
      <c r="I15570" s="40" t="s">
        <v>18</v>
      </c>
      <c r="J15570" s="40" t="str">
        <f>HYPERLINK("https://stock.pstatic.net/stock-research/company/29/20250110_company_540286000.pdf","PDF")</f>
        <v>PDF</v>
      </c>
      <c r="K15570" s="12" t="s">
        <v>29880</v>
      </c>
      <c r="L15570" s="20">
        <v>0.36904761904761912</v>
      </c>
    </row>
    <row r="15571" spans="1:12" x14ac:dyDescent="0.45">
      <c r="A15571" s="12" t="s">
        <v>29836</v>
      </c>
      <c r="B15571" s="12" t="s">
        <v>2105</v>
      </c>
      <c r="C15571" s="13" t="s">
        <v>2106</v>
      </c>
      <c r="D15571" s="13" t="s">
        <v>83</v>
      </c>
      <c r="E15571" s="12" t="s">
        <v>35</v>
      </c>
      <c r="F15571" s="14">
        <v>80000</v>
      </c>
      <c r="G15571" s="14">
        <v>66500</v>
      </c>
      <c r="H15571" s="13" t="s">
        <v>29881</v>
      </c>
      <c r="I15571" s="40" t="s">
        <v>18</v>
      </c>
      <c r="J15571" s="40" t="str">
        <f>HYPERLINK("https://stock.pstatic.net/stock-research/company/2/20250110_company_635092000.pdf","PDF")</f>
        <v>PDF</v>
      </c>
      <c r="K15571" s="12" t="s">
        <v>29882</v>
      </c>
      <c r="L15571" s="20">
        <v>0.2030075187969925</v>
      </c>
    </row>
    <row r="15572" spans="1:12" x14ac:dyDescent="0.45">
      <c r="A15572" s="12" t="s">
        <v>29836</v>
      </c>
      <c r="B15572" s="12" t="s">
        <v>3024</v>
      </c>
      <c r="C15572" s="13" t="s">
        <v>3025</v>
      </c>
      <c r="D15572" s="13" t="s">
        <v>83</v>
      </c>
      <c r="E15572" s="12" t="s">
        <v>35</v>
      </c>
      <c r="F15572" s="14">
        <v>60000</v>
      </c>
      <c r="G15572" s="14">
        <v>43300</v>
      </c>
      <c r="H15572" s="13" t="s">
        <v>29883</v>
      </c>
      <c r="I15572" s="40" t="s">
        <v>18</v>
      </c>
      <c r="J15572" s="40" t="str">
        <f>HYPERLINK("https://stock.pstatic.net/stock-research/company/2/20250110_company_812521000.pdf","PDF")</f>
        <v>PDF</v>
      </c>
      <c r="K15572" s="12" t="s">
        <v>29884</v>
      </c>
      <c r="L15572" s="20">
        <v>0.38568129330254042</v>
      </c>
    </row>
    <row r="15573" spans="1:12" x14ac:dyDescent="0.45">
      <c r="A15573" s="12" t="s">
        <v>29836</v>
      </c>
      <c r="B15573" s="12" t="s">
        <v>2758</v>
      </c>
      <c r="C15573" s="13" t="s">
        <v>2759</v>
      </c>
      <c r="D15573" s="13" t="s">
        <v>83</v>
      </c>
      <c r="E15573" s="12" t="s">
        <v>35</v>
      </c>
      <c r="F15573" s="14">
        <v>410000</v>
      </c>
      <c r="G15573" s="14">
        <v>261000</v>
      </c>
      <c r="H15573" s="13" t="s">
        <v>29885</v>
      </c>
      <c r="I15573" s="40" t="s">
        <v>18</v>
      </c>
      <c r="J15573" s="40" t="str">
        <f>HYPERLINK("https://stock.pstatic.net/stock-research/company/2/20250110_company_846428000.pdf","PDF")</f>
        <v>PDF</v>
      </c>
      <c r="K15573" s="12" t="s">
        <v>29886</v>
      </c>
      <c r="L15573" s="20">
        <v>0.57088122605363989</v>
      </c>
    </row>
    <row r="15574" spans="1:12" x14ac:dyDescent="0.45">
      <c r="A15574" s="12" t="s">
        <v>29836</v>
      </c>
      <c r="B15574" s="12" t="s">
        <v>170</v>
      </c>
      <c r="C15574" s="13" t="s">
        <v>171</v>
      </c>
      <c r="D15574" s="13" t="s">
        <v>83</v>
      </c>
      <c r="E15574" s="12" t="s">
        <v>35</v>
      </c>
      <c r="F15574" s="14">
        <v>92000</v>
      </c>
      <c r="G15574" s="14">
        <v>60000</v>
      </c>
      <c r="H15574" s="13" t="s">
        <v>29887</v>
      </c>
      <c r="I15574" s="40" t="s">
        <v>18</v>
      </c>
      <c r="J15574" s="40" t="str">
        <f>HYPERLINK("https://stock.pstatic.net/stock-research/company/2/20250110_company_879944000.pdf","PDF")</f>
        <v>PDF</v>
      </c>
      <c r="K15574" s="12" t="s">
        <v>29888</v>
      </c>
      <c r="L15574" s="20">
        <v>0.53333333333333333</v>
      </c>
    </row>
    <row r="15575" spans="1:12" x14ac:dyDescent="0.45">
      <c r="A15575" s="12" t="s">
        <v>29836</v>
      </c>
      <c r="B15575" s="12" t="s">
        <v>2378</v>
      </c>
      <c r="C15575" s="13" t="s">
        <v>2379</v>
      </c>
      <c r="D15575" s="13" t="s">
        <v>92</v>
      </c>
      <c r="E15575" s="12" t="s">
        <v>35</v>
      </c>
      <c r="F15575" s="14">
        <v>430000</v>
      </c>
      <c r="G15575" s="14">
        <v>358500</v>
      </c>
      <c r="H15575" s="13" t="s">
        <v>29889</v>
      </c>
      <c r="I15575" s="40" t="s">
        <v>18</v>
      </c>
      <c r="J15575" s="40" t="str">
        <f>HYPERLINK("https://stock.pstatic.net/stock-research/company/63/20250110_company_454244000.pdf","PDF")</f>
        <v>PDF</v>
      </c>
      <c r="K15575" s="12" t="s">
        <v>29890</v>
      </c>
      <c r="L15575" s="20">
        <v>0.19944211994421199</v>
      </c>
    </row>
    <row r="15576" spans="1:12" x14ac:dyDescent="0.45">
      <c r="A15576" s="12" t="s">
        <v>29836</v>
      </c>
      <c r="B15576" s="12" t="s">
        <v>2982</v>
      </c>
      <c r="C15576" s="13" t="s">
        <v>2983</v>
      </c>
      <c r="D15576" s="13" t="s">
        <v>23</v>
      </c>
      <c r="E15576" s="12" t="s">
        <v>16</v>
      </c>
      <c r="F15576" s="14">
        <v>47000</v>
      </c>
      <c r="G15576" s="14">
        <v>31400</v>
      </c>
      <c r="H15576" s="13" t="s">
        <v>29891</v>
      </c>
      <c r="I15576" s="40" t="s">
        <v>18</v>
      </c>
      <c r="J15576" s="40" t="str">
        <f>HYPERLINK("https://stock.pstatic.net/stock-research/company/21/20250110_company_244888000.pdf","PDF")</f>
        <v>PDF</v>
      </c>
      <c r="K15576" s="12" t="s">
        <v>29892</v>
      </c>
      <c r="L15576" s="20">
        <v>0.49681528662420382</v>
      </c>
    </row>
    <row r="15577" spans="1:12" x14ac:dyDescent="0.45">
      <c r="A15577" s="12" t="s">
        <v>29836</v>
      </c>
      <c r="B15577" s="12" t="s">
        <v>3164</v>
      </c>
      <c r="C15577" s="13" t="s">
        <v>3165</v>
      </c>
      <c r="D15577" s="13" t="s">
        <v>23</v>
      </c>
      <c r="E15577" s="12" t="s">
        <v>16</v>
      </c>
      <c r="F15577" s="14">
        <v>40000</v>
      </c>
      <c r="G15577" s="14">
        <v>25300</v>
      </c>
      <c r="H15577" s="13" t="s">
        <v>29893</v>
      </c>
      <c r="I15577" s="40" t="s">
        <v>18</v>
      </c>
      <c r="J15577" s="40" t="str">
        <f>HYPERLINK("https://stock.pstatic.net/stock-research/company/21/20250110_company_755999000.pdf","PDF")</f>
        <v>PDF</v>
      </c>
      <c r="K15577" s="12" t="s">
        <v>29894</v>
      </c>
      <c r="L15577" s="20">
        <v>0.5810276679841897</v>
      </c>
    </row>
    <row r="15578" spans="1:12" x14ac:dyDescent="0.45">
      <c r="A15578" s="12" t="s">
        <v>29836</v>
      </c>
      <c r="B15578" s="12" t="s">
        <v>2266</v>
      </c>
      <c r="C15578" s="13" t="s">
        <v>2267</v>
      </c>
      <c r="D15578" s="13" t="s">
        <v>23</v>
      </c>
      <c r="E15578" s="12" t="s">
        <v>16</v>
      </c>
      <c r="F15578" s="14">
        <v>72000</v>
      </c>
      <c r="G15578" s="14">
        <v>54400</v>
      </c>
      <c r="H15578" s="13" t="s">
        <v>29895</v>
      </c>
      <c r="I15578" s="40" t="s">
        <v>18</v>
      </c>
      <c r="J15578" s="40" t="str">
        <f>HYPERLINK("https://stock.pstatic.net/stock-research/company/21/20250110_company_37197000.pdf","PDF")</f>
        <v>PDF</v>
      </c>
      <c r="K15578" s="12" t="s">
        <v>29896</v>
      </c>
      <c r="L15578" s="20">
        <v>0.3235294117647059</v>
      </c>
    </row>
    <row r="15579" spans="1:12" x14ac:dyDescent="0.45">
      <c r="A15579" s="12" t="s">
        <v>29836</v>
      </c>
      <c r="B15579" s="12" t="s">
        <v>1765</v>
      </c>
      <c r="C15579" s="13" t="s">
        <v>1766</v>
      </c>
      <c r="D15579" s="13" t="s">
        <v>179</v>
      </c>
      <c r="E15579" s="12" t="s">
        <v>16</v>
      </c>
      <c r="F15579" s="14">
        <v>150000</v>
      </c>
      <c r="G15579" s="14">
        <v>103300</v>
      </c>
      <c r="H15579" s="13" t="s">
        <v>29897</v>
      </c>
      <c r="I15579" s="40" t="s">
        <v>18</v>
      </c>
      <c r="J15579" s="40" t="str">
        <f>HYPERLINK("https://stock.pstatic.net/stock-research/company/64/20250110_company_133550000.pdf","PDF")</f>
        <v>PDF</v>
      </c>
      <c r="K15579" s="12" t="s">
        <v>29898</v>
      </c>
      <c r="L15579" s="20">
        <v>0.45208131655372702</v>
      </c>
    </row>
    <row r="15580" spans="1:12" x14ac:dyDescent="0.45">
      <c r="A15580" s="12" t="s">
        <v>29836</v>
      </c>
      <c r="B15580" s="12" t="s">
        <v>519</v>
      </c>
      <c r="C15580" s="13" t="s">
        <v>520</v>
      </c>
      <c r="D15580" s="13" t="s">
        <v>179</v>
      </c>
      <c r="E15580" s="12" t="s">
        <v>16</v>
      </c>
      <c r="F15580" s="14">
        <v>330000</v>
      </c>
      <c r="G15580" s="14">
        <v>213000</v>
      </c>
      <c r="H15580" s="13" t="s">
        <v>29899</v>
      </c>
      <c r="I15580" s="40" t="s">
        <v>18</v>
      </c>
      <c r="J15580" s="40" t="str">
        <f>HYPERLINK("https://stock.pstatic.net/stock-research/company/64/20250110_company_369811000.pdf","PDF")</f>
        <v>PDF</v>
      </c>
      <c r="K15580" s="12" t="s">
        <v>29900</v>
      </c>
      <c r="L15580" s="20">
        <v>0.54929577464788737</v>
      </c>
    </row>
    <row r="15581" spans="1:12" x14ac:dyDescent="0.45">
      <c r="A15581" s="12" t="s">
        <v>29836</v>
      </c>
      <c r="B15581" s="12" t="s">
        <v>4021</v>
      </c>
      <c r="C15581" s="13" t="s">
        <v>4022</v>
      </c>
      <c r="D15581" s="13" t="s">
        <v>179</v>
      </c>
      <c r="E15581" s="12" t="s">
        <v>16</v>
      </c>
      <c r="F15581" s="14">
        <v>300000</v>
      </c>
      <c r="G15581" s="14">
        <v>180300</v>
      </c>
      <c r="H15581" s="13" t="s">
        <v>29901</v>
      </c>
      <c r="I15581" s="40" t="s">
        <v>18</v>
      </c>
      <c r="J15581" s="40" t="str">
        <f>HYPERLINK("https://stock.pstatic.net/stock-research/company/64/20250110_company_327444000.pdf","PDF")</f>
        <v>PDF</v>
      </c>
      <c r="K15581" s="12" t="s">
        <v>29902</v>
      </c>
      <c r="L15581" s="20">
        <v>0.66389351081530779</v>
      </c>
    </row>
    <row r="15582" spans="1:12" x14ac:dyDescent="0.45">
      <c r="A15582" s="12" t="s">
        <v>29836</v>
      </c>
      <c r="B15582" s="12" t="s">
        <v>3230</v>
      </c>
      <c r="C15582" s="13" t="s">
        <v>3231</v>
      </c>
      <c r="D15582" s="13" t="s">
        <v>179</v>
      </c>
      <c r="E15582" s="12" t="s">
        <v>16</v>
      </c>
      <c r="F15582" s="14">
        <v>500000</v>
      </c>
      <c r="G15582" s="14">
        <v>431000</v>
      </c>
      <c r="H15582" s="13" t="s">
        <v>29903</v>
      </c>
      <c r="I15582" s="40" t="s">
        <v>18</v>
      </c>
      <c r="J15582" s="40" t="str">
        <f>HYPERLINK("https://stock.pstatic.net/stock-research/company/64/20250110_company_548093000.pdf","PDF")</f>
        <v>PDF</v>
      </c>
      <c r="K15582" s="12" t="s">
        <v>29904</v>
      </c>
      <c r="L15582" s="20">
        <v>0.160092807424594</v>
      </c>
    </row>
    <row r="15583" spans="1:12" x14ac:dyDescent="0.45">
      <c r="A15583" s="12" t="s">
        <v>29836</v>
      </c>
      <c r="B15583" s="12" t="s">
        <v>42</v>
      </c>
      <c r="C15583" s="13" t="s">
        <v>43</v>
      </c>
      <c r="D15583" s="13" t="s">
        <v>179</v>
      </c>
      <c r="E15583" s="12" t="s">
        <v>16</v>
      </c>
      <c r="F15583" s="14">
        <v>270000</v>
      </c>
      <c r="G15583" s="14">
        <v>202500</v>
      </c>
      <c r="H15583" s="13" t="s">
        <v>29905</v>
      </c>
      <c r="I15583" s="40" t="s">
        <v>18</v>
      </c>
      <c r="J15583" s="40" t="str">
        <f>HYPERLINK("https://stock.pstatic.net/stock-research/company/64/20250110_company_342571000.pdf","PDF")</f>
        <v>PDF</v>
      </c>
      <c r="K15583" s="12" t="s">
        <v>29906</v>
      </c>
      <c r="L15583" s="20">
        <v>0.33333333333333331</v>
      </c>
    </row>
    <row r="15584" spans="1:12" x14ac:dyDescent="0.45">
      <c r="A15584" s="12" t="s">
        <v>29836</v>
      </c>
      <c r="B15584" s="12" t="s">
        <v>2378</v>
      </c>
      <c r="C15584" s="13" t="s">
        <v>2379</v>
      </c>
      <c r="D15584" s="13" t="s">
        <v>44</v>
      </c>
      <c r="E15584" s="12" t="s">
        <v>50</v>
      </c>
      <c r="F15584" s="13"/>
      <c r="G15584" s="14">
        <v>358500</v>
      </c>
      <c r="H15584" s="13" t="s">
        <v>29907</v>
      </c>
      <c r="I15584" s="40" t="s">
        <v>18</v>
      </c>
      <c r="J15584" s="40" t="str">
        <f>HYPERLINK("https://stock.pstatic.net/stock-research/company/39/20250110_company_852013000.pdf","PDF")</f>
        <v>PDF</v>
      </c>
      <c r="K15584" s="12" t="s">
        <v>29908</v>
      </c>
    </row>
    <row r="15585" spans="1:12" x14ac:dyDescent="0.45">
      <c r="A15585" s="12" t="s">
        <v>29836</v>
      </c>
      <c r="B15585" s="12" t="s">
        <v>2378</v>
      </c>
      <c r="C15585" s="13" t="s">
        <v>2379</v>
      </c>
      <c r="D15585" s="13" t="s">
        <v>15</v>
      </c>
      <c r="E15585" s="12" t="s">
        <v>16</v>
      </c>
      <c r="F15585" s="14">
        <v>480000</v>
      </c>
      <c r="G15585" s="14">
        <v>358500</v>
      </c>
      <c r="H15585" s="13" t="s">
        <v>29909</v>
      </c>
      <c r="I15585" s="40" t="s">
        <v>18</v>
      </c>
      <c r="J15585" s="40" t="str">
        <f>HYPERLINK("https://stock.pstatic.net/stock-research/company/29/20250110_company_919861000.pdf","PDF")</f>
        <v>PDF</v>
      </c>
      <c r="K15585" s="12" t="s">
        <v>29910</v>
      </c>
      <c r="L15585" s="20">
        <v>0.33891213389121339</v>
      </c>
    </row>
    <row r="15586" spans="1:12" x14ac:dyDescent="0.45">
      <c r="A15586" s="12" t="s">
        <v>29836</v>
      </c>
      <c r="B15586" s="12" t="s">
        <v>2187</v>
      </c>
      <c r="C15586" s="13" t="s">
        <v>2188</v>
      </c>
      <c r="D15586" s="13" t="s">
        <v>53</v>
      </c>
      <c r="E15586" s="12" t="s">
        <v>16</v>
      </c>
      <c r="F15586" s="14">
        <v>150000</v>
      </c>
      <c r="G15586" s="14">
        <v>107500</v>
      </c>
      <c r="H15586" s="13" t="s">
        <v>29911</v>
      </c>
      <c r="I15586" s="40" t="s">
        <v>18</v>
      </c>
      <c r="J15586" s="40" t="str">
        <f>HYPERLINK("https://stock.pstatic.net/stock-research/company/40/20250110_company_493959000.pdf","PDF")</f>
        <v>PDF</v>
      </c>
      <c r="K15586" s="12" t="s">
        <v>29912</v>
      </c>
      <c r="L15586" s="20">
        <v>0.39534883720930231</v>
      </c>
    </row>
    <row r="15587" spans="1:12" x14ac:dyDescent="0.45">
      <c r="A15587" s="12" t="s">
        <v>29836</v>
      </c>
      <c r="B15587" s="12" t="s">
        <v>3349</v>
      </c>
      <c r="C15587" s="13" t="s">
        <v>7707</v>
      </c>
      <c r="D15587" s="13" t="s">
        <v>53</v>
      </c>
      <c r="E15587" s="12" t="s">
        <v>16</v>
      </c>
      <c r="F15587" s="14">
        <v>26000</v>
      </c>
      <c r="G15587" s="14">
        <v>16590</v>
      </c>
      <c r="H15587" s="13" t="s">
        <v>29913</v>
      </c>
      <c r="I15587" s="40" t="s">
        <v>18</v>
      </c>
      <c r="J15587" s="40" t="str">
        <f>HYPERLINK("https://stock.pstatic.net/stock-research/company/1/20250110_company_466207000.pdf","PDF")</f>
        <v>PDF</v>
      </c>
      <c r="K15587" s="12" t="s">
        <v>29914</v>
      </c>
      <c r="L15587" s="20">
        <v>0.56720916214587103</v>
      </c>
    </row>
    <row r="15588" spans="1:12" x14ac:dyDescent="0.45">
      <c r="A15588" s="12" t="s">
        <v>29836</v>
      </c>
      <c r="B15588" s="12" t="s">
        <v>908</v>
      </c>
      <c r="C15588" s="13" t="s">
        <v>909</v>
      </c>
      <c r="D15588" s="13" t="s">
        <v>15</v>
      </c>
      <c r="E15588" s="12" t="s">
        <v>16</v>
      </c>
      <c r="F15588" s="14">
        <v>191000</v>
      </c>
      <c r="G15588" s="14">
        <v>129900</v>
      </c>
      <c r="H15588" s="13" t="s">
        <v>29915</v>
      </c>
      <c r="I15588" s="40" t="s">
        <v>18</v>
      </c>
      <c r="J15588" s="40" t="str">
        <f>HYPERLINK("https://stock.pstatic.net/stock-research/company/29/20250110_company_849925000.pdf","PDF")</f>
        <v>PDF</v>
      </c>
      <c r="K15588" s="12" t="s">
        <v>29916</v>
      </c>
      <c r="L15588" s="20">
        <v>0.47036181678214012</v>
      </c>
    </row>
    <row r="15589" spans="1:12" x14ac:dyDescent="0.45">
      <c r="A15589" s="12" t="s">
        <v>29917</v>
      </c>
      <c r="B15589" s="12" t="s">
        <v>330</v>
      </c>
      <c r="C15589" s="13" t="s">
        <v>331</v>
      </c>
      <c r="D15589" s="13" t="s">
        <v>1271</v>
      </c>
      <c r="E15589" s="12" t="s">
        <v>35</v>
      </c>
      <c r="F15589" s="14">
        <v>24000</v>
      </c>
      <c r="G15589" s="14">
        <v>17880</v>
      </c>
      <c r="H15589" s="13" t="s">
        <v>29918</v>
      </c>
      <c r="I15589" s="40" t="s">
        <v>18</v>
      </c>
      <c r="J15589" s="40" t="str">
        <f>HYPERLINK("https://stock.pstatic.net/stock-research/company/78/20250109_company_548738000.pdf","PDF")</f>
        <v>PDF</v>
      </c>
      <c r="K15589" s="12" t="s">
        <v>29919</v>
      </c>
      <c r="L15589" s="20">
        <v>0.34228187919463088</v>
      </c>
    </row>
    <row r="15590" spans="1:12" x14ac:dyDescent="0.45">
      <c r="A15590" s="12" t="s">
        <v>29917</v>
      </c>
      <c r="B15590" s="12" t="s">
        <v>3105</v>
      </c>
      <c r="C15590" s="13" t="s">
        <v>3106</v>
      </c>
      <c r="D15590" s="13" t="s">
        <v>1271</v>
      </c>
      <c r="E15590" s="12" t="s">
        <v>35</v>
      </c>
      <c r="F15590" s="14">
        <v>255000</v>
      </c>
      <c r="G15590" s="14">
        <v>205500</v>
      </c>
      <c r="H15590" s="13" t="s">
        <v>29920</v>
      </c>
      <c r="I15590" s="40" t="s">
        <v>18</v>
      </c>
      <c r="J15590" s="40" t="str">
        <f>HYPERLINK("https://stock.pstatic.net/stock-research/company/78/20250109_company_965948000.pdf","PDF")</f>
        <v>PDF</v>
      </c>
      <c r="K15590" s="12" t="s">
        <v>29921</v>
      </c>
      <c r="L15590" s="20">
        <v>0.24087591240875911</v>
      </c>
    </row>
    <row r="15591" spans="1:12" x14ac:dyDescent="0.45">
      <c r="A15591" s="12" t="s">
        <v>29917</v>
      </c>
      <c r="B15591" s="12" t="s">
        <v>1690</v>
      </c>
      <c r="C15591" s="13" t="s">
        <v>1691</v>
      </c>
      <c r="D15591" s="13" t="s">
        <v>1271</v>
      </c>
      <c r="E15591" s="12" t="s">
        <v>35</v>
      </c>
      <c r="F15591" s="14">
        <v>140000</v>
      </c>
      <c r="G15591" s="14">
        <v>111000</v>
      </c>
      <c r="H15591" s="13" t="s">
        <v>29922</v>
      </c>
      <c r="I15591" s="40" t="s">
        <v>18</v>
      </c>
      <c r="J15591" s="40" t="str">
        <f>HYPERLINK("https://stock.pstatic.net/stock-research/company/78/20250109_company_347947000.pdf","PDF")</f>
        <v>PDF</v>
      </c>
      <c r="K15591" s="12" t="s">
        <v>29923</v>
      </c>
      <c r="L15591" s="20">
        <v>0.26126126126126131</v>
      </c>
    </row>
    <row r="15592" spans="1:12" x14ac:dyDescent="0.45">
      <c r="A15592" s="12" t="s">
        <v>29917</v>
      </c>
      <c r="B15592" s="12" t="s">
        <v>1781</v>
      </c>
      <c r="C15592" s="13" t="s">
        <v>1782</v>
      </c>
      <c r="D15592" s="13" t="s">
        <v>1271</v>
      </c>
      <c r="E15592" s="12" t="s">
        <v>35</v>
      </c>
      <c r="F15592" s="14">
        <v>120000</v>
      </c>
      <c r="G15592" s="14">
        <v>86800</v>
      </c>
      <c r="H15592" s="13" t="s">
        <v>29924</v>
      </c>
      <c r="I15592" s="40" t="s">
        <v>18</v>
      </c>
      <c r="J15592" s="40" t="str">
        <f>HYPERLINK("https://stock.pstatic.net/stock-research/company/78/20250109_company_661180000.pdf","PDF")</f>
        <v>PDF</v>
      </c>
      <c r="K15592" s="12" t="s">
        <v>29925</v>
      </c>
      <c r="L15592" s="20">
        <v>0.38248847926267282</v>
      </c>
    </row>
    <row r="15593" spans="1:12" x14ac:dyDescent="0.45">
      <c r="A15593" s="12" t="s">
        <v>29917</v>
      </c>
      <c r="B15593" s="12" t="s">
        <v>2522</v>
      </c>
      <c r="C15593" s="13" t="s">
        <v>2523</v>
      </c>
      <c r="D15593" s="13" t="s">
        <v>158</v>
      </c>
      <c r="E15593" s="12" t="s">
        <v>35</v>
      </c>
      <c r="F15593" s="14">
        <v>450000</v>
      </c>
      <c r="G15593" s="14">
        <v>325000</v>
      </c>
      <c r="H15593" s="13" t="s">
        <v>29926</v>
      </c>
      <c r="I15593" s="40" t="s">
        <v>18</v>
      </c>
      <c r="J15593" s="40" t="str">
        <f>HYPERLINK("https://stock.pstatic.net/stock-research/company/18/20250109_company_944026000.pdf","PDF")</f>
        <v>PDF</v>
      </c>
      <c r="K15593" s="12" t="s">
        <v>29927</v>
      </c>
      <c r="L15593" s="20">
        <v>0.38461538461538458</v>
      </c>
    </row>
    <row r="15594" spans="1:12" x14ac:dyDescent="0.45">
      <c r="A15594" s="12" t="s">
        <v>29917</v>
      </c>
      <c r="B15594" s="12" t="s">
        <v>10648</v>
      </c>
      <c r="C15594" s="13" t="s">
        <v>10649</v>
      </c>
      <c r="D15594" s="13" t="s">
        <v>158</v>
      </c>
      <c r="E15594" s="12" t="s">
        <v>50</v>
      </c>
      <c r="F15594" s="13"/>
      <c r="G15594" s="14">
        <v>300</v>
      </c>
      <c r="H15594" s="13" t="s">
        <v>29928</v>
      </c>
      <c r="I15594" s="40" t="s">
        <v>18</v>
      </c>
      <c r="J15594" s="40" t="str">
        <f>HYPERLINK("https://stock.pstatic.net/stock-research/company/18/20250109_company_546767000.pdf","PDF")</f>
        <v>PDF</v>
      </c>
      <c r="K15594" s="12" t="s">
        <v>29929</v>
      </c>
    </row>
    <row r="15595" spans="1:12" x14ac:dyDescent="0.45">
      <c r="A15595" s="12" t="s">
        <v>29917</v>
      </c>
      <c r="B15595" s="12" t="s">
        <v>2369</v>
      </c>
      <c r="C15595" s="13" t="s">
        <v>2370</v>
      </c>
      <c r="D15595" s="13" t="s">
        <v>57</v>
      </c>
      <c r="E15595" s="12" t="s">
        <v>35</v>
      </c>
      <c r="F15595" s="14">
        <v>350000</v>
      </c>
      <c r="G15595" s="14">
        <v>249500</v>
      </c>
      <c r="H15595" s="13" t="s">
        <v>18620</v>
      </c>
      <c r="I15595" s="40" t="s">
        <v>18</v>
      </c>
      <c r="J15595" s="40" t="str">
        <f>HYPERLINK("https://stock.pstatic.net/stock-research/company/16/20250109_company_509167000.pdf","PDF")</f>
        <v>PDF</v>
      </c>
      <c r="K15595" s="12" t="s">
        <v>29930</v>
      </c>
      <c r="L15595" s="20">
        <v>0.4028056112224449</v>
      </c>
    </row>
    <row r="15596" spans="1:12" x14ac:dyDescent="0.45">
      <c r="A15596" s="12" t="s">
        <v>29917</v>
      </c>
      <c r="B15596" s="12" t="s">
        <v>973</v>
      </c>
      <c r="C15596" s="13" t="s">
        <v>974</v>
      </c>
      <c r="D15596" s="13" t="s">
        <v>57</v>
      </c>
      <c r="E15596" s="12" t="s">
        <v>35</v>
      </c>
      <c r="F15596" s="14">
        <v>36000</v>
      </c>
      <c r="G15596" s="14">
        <v>21350</v>
      </c>
      <c r="H15596" s="13" t="s">
        <v>29931</v>
      </c>
      <c r="I15596" s="40" t="s">
        <v>18</v>
      </c>
      <c r="J15596" s="40" t="str">
        <f>HYPERLINK("https://stock.pstatic.net/stock-research/company/16/20250109_company_354889000.pdf","PDF")</f>
        <v>PDF</v>
      </c>
      <c r="K15596" s="12" t="s">
        <v>29932</v>
      </c>
      <c r="L15596" s="20">
        <v>0.68618266978922715</v>
      </c>
    </row>
    <row r="15597" spans="1:12" x14ac:dyDescent="0.45">
      <c r="A15597" s="12" t="s">
        <v>29917</v>
      </c>
      <c r="B15597" s="12" t="s">
        <v>352</v>
      </c>
      <c r="C15597" s="13" t="s">
        <v>353</v>
      </c>
      <c r="D15597" s="13" t="s">
        <v>57</v>
      </c>
      <c r="E15597" s="12" t="s">
        <v>35</v>
      </c>
      <c r="F15597" s="14">
        <v>75000</v>
      </c>
      <c r="G15597" s="14">
        <v>55000</v>
      </c>
      <c r="H15597" s="13" t="s">
        <v>29933</v>
      </c>
      <c r="I15597" s="40" t="s">
        <v>18</v>
      </c>
      <c r="J15597" s="40" t="str">
        <f>HYPERLINK("https://stock.pstatic.net/stock-research/company/16/20250109_company_408139000.pdf","PDF")</f>
        <v>PDF</v>
      </c>
      <c r="K15597" s="12" t="s">
        <v>29934</v>
      </c>
      <c r="L15597" s="20">
        <v>0.36363636363636359</v>
      </c>
    </row>
    <row r="15598" spans="1:12" x14ac:dyDescent="0.45">
      <c r="A15598" s="12" t="s">
        <v>29917</v>
      </c>
      <c r="B15598" s="12" t="s">
        <v>856</v>
      </c>
      <c r="C15598" s="13" t="s">
        <v>857</v>
      </c>
      <c r="D15598" s="13" t="s">
        <v>276</v>
      </c>
      <c r="E15598" s="12" t="s">
        <v>16</v>
      </c>
      <c r="F15598" s="14">
        <v>210000</v>
      </c>
      <c r="G15598" s="14">
        <v>125200</v>
      </c>
      <c r="H15598" s="13" t="s">
        <v>29935</v>
      </c>
      <c r="I15598" s="40" t="s">
        <v>18</v>
      </c>
      <c r="J15598" s="40" t="str">
        <f>HYPERLINK("https://stock.pstatic.net/stock-research/company/66/20250109_company_921286000.pdf","PDF")</f>
        <v>PDF</v>
      </c>
      <c r="K15598" s="12" t="s">
        <v>29936</v>
      </c>
      <c r="L15598" s="20">
        <v>0.67731629392971249</v>
      </c>
    </row>
    <row r="15599" spans="1:12" x14ac:dyDescent="0.45">
      <c r="A15599" s="12" t="s">
        <v>29917</v>
      </c>
      <c r="B15599" s="12" t="s">
        <v>1781</v>
      </c>
      <c r="C15599" s="13" t="s">
        <v>1782</v>
      </c>
      <c r="D15599" s="13" t="s">
        <v>60</v>
      </c>
      <c r="E15599" s="12" t="s">
        <v>50</v>
      </c>
      <c r="F15599" s="13"/>
      <c r="G15599" s="14">
        <v>86800</v>
      </c>
      <c r="H15599" s="13" t="s">
        <v>29937</v>
      </c>
      <c r="I15599" s="40" t="s">
        <v>18</v>
      </c>
      <c r="J15599" s="40" t="str">
        <f>HYPERLINK("https://stock.pstatic.net/stock-research/company/34/20250109_company_885910000.pdf","PDF")</f>
        <v>PDF</v>
      </c>
      <c r="K15599" s="12" t="s">
        <v>29938</v>
      </c>
    </row>
    <row r="15600" spans="1:12" x14ac:dyDescent="0.45">
      <c r="A15600" s="12" t="s">
        <v>29917</v>
      </c>
      <c r="B15600" s="12" t="s">
        <v>32</v>
      </c>
      <c r="C15600" s="13" t="s">
        <v>33</v>
      </c>
      <c r="D15600" s="13" t="s">
        <v>60</v>
      </c>
      <c r="E15600" s="12" t="s">
        <v>35</v>
      </c>
      <c r="F15600" s="14">
        <v>170000</v>
      </c>
      <c r="G15600" s="14">
        <v>131200</v>
      </c>
      <c r="H15600" s="13" t="s">
        <v>29939</v>
      </c>
      <c r="I15600" s="40" t="s">
        <v>18</v>
      </c>
      <c r="J15600" s="40" t="str">
        <f>HYPERLINK("https://stock.pstatic.net/stock-research/company/34/20250109_company_467683000.pdf","PDF")</f>
        <v>PDF</v>
      </c>
      <c r="K15600" s="12" t="s">
        <v>29940</v>
      </c>
      <c r="L15600" s="20">
        <v>0.29573170731707321</v>
      </c>
    </row>
    <row r="15601" spans="1:12" x14ac:dyDescent="0.45">
      <c r="A15601" s="12" t="s">
        <v>29917</v>
      </c>
      <c r="B15601" s="12" t="s">
        <v>13</v>
      </c>
      <c r="C15601" s="13" t="s">
        <v>14</v>
      </c>
      <c r="D15601" s="13" t="s">
        <v>60</v>
      </c>
      <c r="E15601" s="12" t="s">
        <v>50</v>
      </c>
      <c r="F15601" s="13"/>
      <c r="G15601" s="14">
        <v>57300</v>
      </c>
      <c r="H15601" s="13" t="s">
        <v>29937</v>
      </c>
      <c r="I15601" s="40" t="s">
        <v>18</v>
      </c>
      <c r="J15601" s="40" t="str">
        <f>HYPERLINK("https://stock.pstatic.net/stock-research/company/34/20250109_company_366753000.pdf","PDF")</f>
        <v>PDF</v>
      </c>
      <c r="K15601" s="12" t="s">
        <v>29941</v>
      </c>
    </row>
    <row r="15602" spans="1:12" x14ac:dyDescent="0.45">
      <c r="A15602" s="12" t="s">
        <v>29917</v>
      </c>
      <c r="B15602" s="12" t="s">
        <v>973</v>
      </c>
      <c r="C15602" s="13" t="s">
        <v>974</v>
      </c>
      <c r="D15602" s="13" t="s">
        <v>65</v>
      </c>
      <c r="E15602" s="12" t="s">
        <v>35</v>
      </c>
      <c r="F15602" s="14">
        <v>35000</v>
      </c>
      <c r="G15602" s="14">
        <v>21350</v>
      </c>
      <c r="H15602" s="13" t="s">
        <v>29942</v>
      </c>
      <c r="I15602" s="40" t="s">
        <v>18</v>
      </c>
      <c r="J15602" s="40" t="str">
        <f>HYPERLINK("https://stock.pstatic.net/stock-research/company/57/20250109_company_833376000.pdf","PDF")</f>
        <v>PDF</v>
      </c>
      <c r="K15602" s="12" t="s">
        <v>29943</v>
      </c>
      <c r="L15602" s="20">
        <v>0.63934426229508201</v>
      </c>
    </row>
    <row r="15603" spans="1:12" x14ac:dyDescent="0.45">
      <c r="A15603" s="12" t="s">
        <v>29917</v>
      </c>
      <c r="B15603" s="12" t="s">
        <v>2089</v>
      </c>
      <c r="C15603" s="13" t="s">
        <v>2090</v>
      </c>
      <c r="D15603" s="13" t="s">
        <v>65</v>
      </c>
      <c r="E15603" s="12" t="s">
        <v>35</v>
      </c>
      <c r="F15603" s="14">
        <v>95000</v>
      </c>
      <c r="G15603" s="14">
        <v>59200</v>
      </c>
      <c r="H15603" s="13" t="s">
        <v>29944</v>
      </c>
      <c r="I15603" s="40" t="s">
        <v>18</v>
      </c>
      <c r="J15603" s="40" t="str">
        <f>HYPERLINK("https://stock.pstatic.net/stock-research/company/57/20250109_company_385579000.pdf","PDF")</f>
        <v>PDF</v>
      </c>
      <c r="K15603" s="12" t="s">
        <v>29945</v>
      </c>
      <c r="L15603" s="20">
        <v>0.60472972972972971</v>
      </c>
    </row>
    <row r="15604" spans="1:12" x14ac:dyDescent="0.45">
      <c r="A15604" s="12" t="s">
        <v>29917</v>
      </c>
      <c r="B15604" s="12" t="s">
        <v>2795</v>
      </c>
      <c r="C15604" s="13" t="s">
        <v>2796</v>
      </c>
      <c r="D15604" s="13" t="s">
        <v>65</v>
      </c>
      <c r="E15604" s="12" t="s">
        <v>35</v>
      </c>
      <c r="F15604" s="14">
        <v>4800</v>
      </c>
      <c r="G15604" s="14">
        <v>3410</v>
      </c>
      <c r="H15604" s="13" t="s">
        <v>29946</v>
      </c>
      <c r="I15604" s="40" t="s">
        <v>18</v>
      </c>
      <c r="J15604" s="40" t="str">
        <f>HYPERLINK("https://stock.pstatic.net/stock-research/company/57/20250109_company_905924000.pdf","PDF")</f>
        <v>PDF</v>
      </c>
      <c r="K15604" s="12" t="s">
        <v>29947</v>
      </c>
      <c r="L15604" s="20">
        <v>0.40762463343108513</v>
      </c>
    </row>
    <row r="15605" spans="1:12" x14ac:dyDescent="0.45">
      <c r="A15605" s="12" t="s">
        <v>29917</v>
      </c>
      <c r="B15605" s="12" t="s">
        <v>4021</v>
      </c>
      <c r="C15605" s="13" t="s">
        <v>4022</v>
      </c>
      <c r="D15605" s="13" t="s">
        <v>65</v>
      </c>
      <c r="E15605" s="12" t="s">
        <v>35</v>
      </c>
      <c r="F15605" s="14">
        <v>240000</v>
      </c>
      <c r="G15605" s="14">
        <v>170000</v>
      </c>
      <c r="H15605" s="13" t="s">
        <v>29948</v>
      </c>
      <c r="I15605" s="40" t="s">
        <v>18</v>
      </c>
      <c r="J15605" s="40" t="str">
        <f>HYPERLINK("https://stock.pstatic.net/stock-research/company/57/20250109_company_881901000.pdf","PDF")</f>
        <v>PDF</v>
      </c>
      <c r="K15605" s="12" t="s">
        <v>29949</v>
      </c>
      <c r="L15605" s="20">
        <v>0.41176470588235292</v>
      </c>
    </row>
    <row r="15606" spans="1:12" x14ac:dyDescent="0.45">
      <c r="A15606" s="12" t="s">
        <v>29917</v>
      </c>
      <c r="B15606" s="12" t="s">
        <v>6541</v>
      </c>
      <c r="C15606" s="13" t="s">
        <v>6542</v>
      </c>
      <c r="D15606" s="13" t="s">
        <v>65</v>
      </c>
      <c r="E15606" s="12" t="s">
        <v>35</v>
      </c>
      <c r="F15606" s="14">
        <v>67000</v>
      </c>
      <c r="G15606" s="14">
        <v>49150</v>
      </c>
      <c r="H15606" s="13" t="s">
        <v>29950</v>
      </c>
      <c r="I15606" s="40" t="s">
        <v>18</v>
      </c>
      <c r="J15606" s="40" t="str">
        <f>HYPERLINK("https://stock.pstatic.net/stock-research/company/57/20250109_company_79304000.pdf","PDF")</f>
        <v>PDF</v>
      </c>
      <c r="K15606" s="12" t="s">
        <v>29951</v>
      </c>
      <c r="L15606" s="20">
        <v>0.36317395727365209</v>
      </c>
    </row>
    <row r="15607" spans="1:12" x14ac:dyDescent="0.45">
      <c r="A15607" s="12" t="s">
        <v>29917</v>
      </c>
      <c r="B15607" s="12" t="s">
        <v>916</v>
      </c>
      <c r="C15607" s="13" t="s">
        <v>917</v>
      </c>
      <c r="D15607" s="13" t="s">
        <v>65</v>
      </c>
      <c r="E15607" s="12" t="s">
        <v>35</v>
      </c>
      <c r="F15607" s="14">
        <v>50000</v>
      </c>
      <c r="G15607" s="14">
        <v>37400</v>
      </c>
      <c r="H15607" s="13" t="s">
        <v>29952</v>
      </c>
      <c r="I15607" s="40" t="s">
        <v>18</v>
      </c>
      <c r="J15607" s="40" t="str">
        <f>HYPERLINK("https://stock.pstatic.net/stock-research/company/57/20250109_company_59472000.pdf","PDF")</f>
        <v>PDF</v>
      </c>
      <c r="K15607" s="12" t="s">
        <v>29953</v>
      </c>
      <c r="L15607" s="20">
        <v>0.33689839572192509</v>
      </c>
    </row>
    <row r="15608" spans="1:12" x14ac:dyDescent="0.45">
      <c r="A15608" s="12" t="s">
        <v>29917</v>
      </c>
      <c r="B15608" s="12" t="s">
        <v>2105</v>
      </c>
      <c r="C15608" s="13" t="s">
        <v>2106</v>
      </c>
      <c r="D15608" s="13" t="s">
        <v>65</v>
      </c>
      <c r="E15608" s="12" t="s">
        <v>35</v>
      </c>
      <c r="F15608" s="14">
        <v>95000</v>
      </c>
      <c r="G15608" s="14">
        <v>63800</v>
      </c>
      <c r="H15608" s="13" t="s">
        <v>29954</v>
      </c>
      <c r="I15608" s="40" t="s">
        <v>18</v>
      </c>
      <c r="J15608" s="40" t="str">
        <f>HYPERLINK("https://stock.pstatic.net/stock-research/company/57/20250109_company_932439000.pdf","PDF")</f>
        <v>PDF</v>
      </c>
      <c r="K15608" s="12" t="s">
        <v>29955</v>
      </c>
      <c r="L15608" s="20">
        <v>0.4890282131661442</v>
      </c>
    </row>
    <row r="15609" spans="1:12" x14ac:dyDescent="0.45">
      <c r="A15609" s="12" t="s">
        <v>29917</v>
      </c>
      <c r="B15609" s="12" t="s">
        <v>756</v>
      </c>
      <c r="C15609" s="13" t="s">
        <v>757</v>
      </c>
      <c r="D15609" s="13" t="s">
        <v>65</v>
      </c>
      <c r="E15609" s="12" t="s">
        <v>35</v>
      </c>
      <c r="F15609" s="14">
        <v>98000</v>
      </c>
      <c r="G15609" s="14">
        <v>57200</v>
      </c>
      <c r="H15609" s="13" t="s">
        <v>29942</v>
      </c>
      <c r="I15609" s="40" t="s">
        <v>18</v>
      </c>
      <c r="J15609" s="40" t="str">
        <f>HYPERLINK("https://stock.pstatic.net/stock-research/company/57/20250109_company_622949000.pdf","PDF")</f>
        <v>PDF</v>
      </c>
      <c r="K15609" s="12" t="s">
        <v>29956</v>
      </c>
      <c r="L15609" s="20">
        <v>0.71328671328671334</v>
      </c>
    </row>
    <row r="15610" spans="1:12" x14ac:dyDescent="0.45">
      <c r="A15610" s="12" t="s">
        <v>29917</v>
      </c>
      <c r="B15610" s="12" t="s">
        <v>6914</v>
      </c>
      <c r="C15610" s="13" t="s">
        <v>6915</v>
      </c>
      <c r="D15610" s="13" t="s">
        <v>65</v>
      </c>
      <c r="E15610" s="12" t="s">
        <v>50</v>
      </c>
      <c r="F15610" s="13"/>
      <c r="G15610" s="14">
        <v>44200</v>
      </c>
      <c r="H15610" s="13" t="s">
        <v>29729</v>
      </c>
      <c r="I15610" s="40" t="s">
        <v>18</v>
      </c>
      <c r="J15610" s="40" t="str">
        <f>HYPERLINK("https://stock.pstatic.net/stock-research/company/57/20250109_company_757934000.pdf","PDF")</f>
        <v>PDF</v>
      </c>
      <c r="K15610" s="12" t="s">
        <v>29957</v>
      </c>
    </row>
    <row r="15611" spans="1:12" x14ac:dyDescent="0.45">
      <c r="A15611" s="12" t="s">
        <v>29917</v>
      </c>
      <c r="B15611" s="12" t="s">
        <v>1781</v>
      </c>
      <c r="C15611" s="13" t="s">
        <v>1782</v>
      </c>
      <c r="D15611" s="13" t="s">
        <v>15</v>
      </c>
      <c r="E15611" s="12" t="s">
        <v>16</v>
      </c>
      <c r="F15611" s="14">
        <v>120000</v>
      </c>
      <c r="G15611" s="14">
        <v>86800</v>
      </c>
      <c r="H15611" s="13" t="s">
        <v>29958</v>
      </c>
      <c r="I15611" s="40" t="s">
        <v>18</v>
      </c>
      <c r="J15611" s="40" t="str">
        <f>HYPERLINK("https://stock.pstatic.net/stock-research/company/29/20250109_company_684331000.pdf","PDF")</f>
        <v>PDF</v>
      </c>
      <c r="K15611" s="12" t="s">
        <v>29959</v>
      </c>
      <c r="L15611" s="20">
        <v>0.38248847926267282</v>
      </c>
    </row>
    <row r="15612" spans="1:12" x14ac:dyDescent="0.45">
      <c r="A15612" s="12" t="s">
        <v>29917</v>
      </c>
      <c r="B15612" s="12" t="s">
        <v>756</v>
      </c>
      <c r="C15612" s="13" t="s">
        <v>757</v>
      </c>
      <c r="D15612" s="13" t="s">
        <v>83</v>
      </c>
      <c r="E15612" s="12" t="s">
        <v>35</v>
      </c>
      <c r="F15612" s="14">
        <v>80000</v>
      </c>
      <c r="G15612" s="14">
        <v>57200</v>
      </c>
      <c r="H15612" s="13" t="s">
        <v>29960</v>
      </c>
      <c r="I15612" s="40" t="s">
        <v>18</v>
      </c>
      <c r="J15612" s="40" t="str">
        <f>HYPERLINK("https://stock.pstatic.net/stock-research/company/2/20250109_company_669956000.pdf","PDF")</f>
        <v>PDF</v>
      </c>
      <c r="K15612" s="12" t="s">
        <v>29961</v>
      </c>
      <c r="L15612" s="20">
        <v>0.39860139860139859</v>
      </c>
    </row>
    <row r="15613" spans="1:12" x14ac:dyDescent="0.45">
      <c r="A15613" s="12" t="s">
        <v>29917</v>
      </c>
      <c r="B15613" s="12" t="s">
        <v>13</v>
      </c>
      <c r="C15613" s="13" t="s">
        <v>14</v>
      </c>
      <c r="D15613" s="13" t="s">
        <v>83</v>
      </c>
      <c r="E15613" s="12" t="s">
        <v>35</v>
      </c>
      <c r="F15613" s="14">
        <v>78000</v>
      </c>
      <c r="G15613" s="14">
        <v>57300</v>
      </c>
      <c r="H15613" s="13" t="s">
        <v>29962</v>
      </c>
      <c r="I15613" s="40" t="s">
        <v>18</v>
      </c>
      <c r="J15613" s="40" t="str">
        <f>HYPERLINK("https://stock.pstatic.net/stock-research/company/2/20250109_company_66030000.pdf","PDF")</f>
        <v>PDF</v>
      </c>
      <c r="K15613" s="12" t="s">
        <v>29963</v>
      </c>
      <c r="L15613" s="20">
        <v>0.36125654450261779</v>
      </c>
    </row>
    <row r="15614" spans="1:12" x14ac:dyDescent="0.45">
      <c r="A15614" s="12" t="s">
        <v>29917</v>
      </c>
      <c r="B15614" s="12" t="s">
        <v>2650</v>
      </c>
      <c r="C15614" s="13" t="s">
        <v>2651</v>
      </c>
      <c r="D15614" s="13" t="s">
        <v>83</v>
      </c>
      <c r="E15614" s="12" t="s">
        <v>35</v>
      </c>
      <c r="F15614" s="14">
        <v>30000</v>
      </c>
      <c r="G15614" s="14">
        <v>21650</v>
      </c>
      <c r="H15614" s="13" t="s">
        <v>29964</v>
      </c>
      <c r="I15614" s="40" t="s">
        <v>18</v>
      </c>
      <c r="J15614" s="40" t="str">
        <f>HYPERLINK("https://stock.pstatic.net/stock-research/company/2/20250109_company_101501000.pdf","PDF")</f>
        <v>PDF</v>
      </c>
      <c r="K15614" s="12" t="s">
        <v>29965</v>
      </c>
      <c r="L15614" s="20">
        <v>0.38568129330254042</v>
      </c>
    </row>
    <row r="15615" spans="1:12" x14ac:dyDescent="0.45">
      <c r="A15615" s="12" t="s">
        <v>29917</v>
      </c>
      <c r="B15615" s="12" t="s">
        <v>2205</v>
      </c>
      <c r="C15615" s="13" t="s">
        <v>2206</v>
      </c>
      <c r="D15615" s="13" t="s">
        <v>83</v>
      </c>
      <c r="E15615" s="12" t="s">
        <v>35</v>
      </c>
      <c r="F15615" s="14">
        <v>41000</v>
      </c>
      <c r="G15615" s="14">
        <v>27600</v>
      </c>
      <c r="H15615" s="13" t="s">
        <v>29966</v>
      </c>
      <c r="I15615" s="40" t="s">
        <v>18</v>
      </c>
      <c r="J15615" s="40" t="str">
        <f>HYPERLINK("https://stock.pstatic.net/stock-research/company/2/20250109_company_350105000.pdf","PDF")</f>
        <v>PDF</v>
      </c>
      <c r="K15615" s="12" t="s">
        <v>29967</v>
      </c>
      <c r="L15615" s="20">
        <v>0.48550724637681159</v>
      </c>
    </row>
    <row r="15616" spans="1:12" x14ac:dyDescent="0.45">
      <c r="A15616" s="12" t="s">
        <v>29917</v>
      </c>
      <c r="B15616" s="12" t="s">
        <v>3536</v>
      </c>
      <c r="C15616" s="13" t="s">
        <v>3537</v>
      </c>
      <c r="D15616" s="13" t="s">
        <v>34</v>
      </c>
      <c r="E15616" s="12" t="s">
        <v>35</v>
      </c>
      <c r="F15616" s="14">
        <v>370000</v>
      </c>
      <c r="G15616" s="14">
        <v>234000</v>
      </c>
      <c r="H15616" s="13" t="s">
        <v>29968</v>
      </c>
      <c r="I15616" s="40" t="s">
        <v>18</v>
      </c>
      <c r="J15616" s="40" t="str">
        <f>HYPERLINK("https://stock.pstatic.net/stock-research/company/61/20250109_company_238633000.pdf","PDF")</f>
        <v>PDF</v>
      </c>
      <c r="K15616" s="12" t="s">
        <v>29969</v>
      </c>
      <c r="L15616" s="20">
        <v>0.58119658119658124</v>
      </c>
    </row>
    <row r="15617" spans="1:12" x14ac:dyDescent="0.45">
      <c r="A15617" s="12" t="s">
        <v>29917</v>
      </c>
      <c r="B15617" s="12" t="s">
        <v>856</v>
      </c>
      <c r="C15617" s="13" t="s">
        <v>857</v>
      </c>
      <c r="D15617" s="13" t="s">
        <v>179</v>
      </c>
      <c r="E15617" s="12" t="s">
        <v>16</v>
      </c>
      <c r="F15617" s="14">
        <v>210000</v>
      </c>
      <c r="G15617" s="14">
        <v>125200</v>
      </c>
      <c r="H15617" s="13" t="s">
        <v>29970</v>
      </c>
      <c r="I15617" s="40" t="s">
        <v>18</v>
      </c>
      <c r="J15617" s="40" t="str">
        <f>HYPERLINK("https://stock.pstatic.net/stock-research/company/64/20250109_company_476091000.pdf","PDF")</f>
        <v>PDF</v>
      </c>
      <c r="K15617" s="12" t="s">
        <v>29971</v>
      </c>
      <c r="L15617" s="20">
        <v>0.67731629392971249</v>
      </c>
    </row>
    <row r="15618" spans="1:12" x14ac:dyDescent="0.45">
      <c r="A15618" s="12" t="s">
        <v>29917</v>
      </c>
      <c r="B15618" s="12" t="s">
        <v>42</v>
      </c>
      <c r="C15618" s="13" t="s">
        <v>43</v>
      </c>
      <c r="D15618" s="13" t="s">
        <v>92</v>
      </c>
      <c r="E15618" s="12" t="s">
        <v>35</v>
      </c>
      <c r="F15618" s="14">
        <v>240000</v>
      </c>
      <c r="G15618" s="14">
        <v>207000</v>
      </c>
      <c r="H15618" s="13" t="s">
        <v>29972</v>
      </c>
      <c r="I15618" s="40" t="s">
        <v>18</v>
      </c>
      <c r="J15618" s="40" t="str">
        <f>HYPERLINK("https://stock.pstatic.net/stock-research/company/63/20250109_company_107346000.pdf","PDF")</f>
        <v>PDF</v>
      </c>
      <c r="K15618" s="12" t="s">
        <v>29973</v>
      </c>
      <c r="L15618" s="20">
        <v>0.15942028985507251</v>
      </c>
    </row>
    <row r="15619" spans="1:12" x14ac:dyDescent="0.45">
      <c r="A15619" s="12" t="s">
        <v>29917</v>
      </c>
      <c r="B15619" s="12" t="s">
        <v>2758</v>
      </c>
      <c r="C15619" s="13" t="s">
        <v>2759</v>
      </c>
      <c r="D15619" s="13" t="s">
        <v>179</v>
      </c>
      <c r="E15619" s="12" t="s">
        <v>16</v>
      </c>
      <c r="F15619" s="14">
        <v>400000</v>
      </c>
      <c r="G15619" s="14">
        <v>263500</v>
      </c>
      <c r="H15619" s="13" t="s">
        <v>29974</v>
      </c>
      <c r="I15619" s="40" t="s">
        <v>18</v>
      </c>
      <c r="J15619" s="40" t="str">
        <f>HYPERLINK("https://stock.pstatic.net/stock-research/company/64/20250109_company_733582000.pdf","PDF")</f>
        <v>PDF</v>
      </c>
      <c r="K15619" s="12" t="s">
        <v>29975</v>
      </c>
      <c r="L15619" s="20">
        <v>0.51802656546489567</v>
      </c>
    </row>
    <row r="15620" spans="1:12" x14ac:dyDescent="0.45">
      <c r="A15620" s="12" t="s">
        <v>29917</v>
      </c>
      <c r="B15620" s="12" t="s">
        <v>3478</v>
      </c>
      <c r="C15620" s="13" t="s">
        <v>3479</v>
      </c>
      <c r="D15620" s="13" t="s">
        <v>179</v>
      </c>
      <c r="E15620" s="12" t="s">
        <v>16</v>
      </c>
      <c r="F15620" s="14">
        <v>32000</v>
      </c>
      <c r="G15620" s="14">
        <v>21750</v>
      </c>
      <c r="H15620" s="13" t="s">
        <v>29976</v>
      </c>
      <c r="I15620" s="40" t="s">
        <v>18</v>
      </c>
      <c r="J15620" s="40" t="str">
        <f>HYPERLINK("https://stock.pstatic.net/stock-research/company/64/20250109_company_691549000.pdf","PDF")</f>
        <v>PDF</v>
      </c>
      <c r="K15620" s="12" t="s">
        <v>29977</v>
      </c>
      <c r="L15620" s="20">
        <v>0.47126436781609188</v>
      </c>
    </row>
    <row r="15621" spans="1:12" x14ac:dyDescent="0.45">
      <c r="A15621" s="12" t="s">
        <v>29917</v>
      </c>
      <c r="B15621" s="12" t="s">
        <v>1781</v>
      </c>
      <c r="C15621" s="13" t="s">
        <v>1782</v>
      </c>
      <c r="D15621" s="13" t="s">
        <v>34</v>
      </c>
      <c r="E15621" s="12" t="s">
        <v>35</v>
      </c>
      <c r="F15621" s="14">
        <v>110000</v>
      </c>
      <c r="G15621" s="14">
        <v>86800</v>
      </c>
      <c r="H15621" s="13" t="s">
        <v>29978</v>
      </c>
      <c r="I15621" s="40" t="s">
        <v>18</v>
      </c>
      <c r="J15621" s="40" t="str">
        <f>HYPERLINK("https://stock.pstatic.net/stock-research/company/61/20250109_company_900487000.pdf","PDF")</f>
        <v>PDF</v>
      </c>
      <c r="K15621" s="12" t="s">
        <v>29979</v>
      </c>
      <c r="L15621" s="20">
        <v>0.26728110599078342</v>
      </c>
    </row>
    <row r="15622" spans="1:12" x14ac:dyDescent="0.45">
      <c r="A15622" s="12" t="s">
        <v>29917</v>
      </c>
      <c r="B15622" s="12" t="s">
        <v>13</v>
      </c>
      <c r="C15622" s="13" t="s">
        <v>14</v>
      </c>
      <c r="D15622" s="13" t="s">
        <v>34</v>
      </c>
      <c r="E15622" s="12" t="s">
        <v>35</v>
      </c>
      <c r="F15622" s="14">
        <v>68000</v>
      </c>
      <c r="G15622" s="14">
        <v>57300</v>
      </c>
      <c r="H15622" s="13" t="s">
        <v>29980</v>
      </c>
      <c r="I15622" s="40" t="s">
        <v>18</v>
      </c>
      <c r="J15622" s="40" t="str">
        <f>HYPERLINK("https://stock.pstatic.net/stock-research/company/61/20250109_company_672522000.pdf","PDF")</f>
        <v>PDF</v>
      </c>
      <c r="K15622" s="12" t="s">
        <v>29981</v>
      </c>
      <c r="L15622" s="20">
        <v>0.1867364746945899</v>
      </c>
    </row>
    <row r="15623" spans="1:12" x14ac:dyDescent="0.45">
      <c r="A15623" s="12" t="s">
        <v>29917</v>
      </c>
      <c r="B15623" s="12" t="s">
        <v>2378</v>
      </c>
      <c r="C15623" s="13" t="s">
        <v>2379</v>
      </c>
      <c r="D15623" s="13" t="s">
        <v>23</v>
      </c>
      <c r="E15623" s="12" t="s">
        <v>16</v>
      </c>
      <c r="F15623" s="14">
        <v>470000</v>
      </c>
      <c r="G15623" s="14">
        <v>373500</v>
      </c>
      <c r="H15623" s="13" t="s">
        <v>8859</v>
      </c>
      <c r="I15623" s="40" t="s">
        <v>18</v>
      </c>
      <c r="J15623" s="40" t="str">
        <f>HYPERLINK("https://stock.pstatic.net/stock-research/company/21/20250109_company_279451000.pdf","PDF")</f>
        <v>PDF</v>
      </c>
      <c r="K15623" s="12" t="s">
        <v>29982</v>
      </c>
      <c r="L15623" s="20">
        <v>0.25836680053547523</v>
      </c>
    </row>
    <row r="15624" spans="1:12" x14ac:dyDescent="0.45">
      <c r="A15624" s="12" t="s">
        <v>29917</v>
      </c>
      <c r="B15624" s="12" t="s">
        <v>1741</v>
      </c>
      <c r="C15624" s="13" t="s">
        <v>1742</v>
      </c>
      <c r="D15624" s="13" t="s">
        <v>23</v>
      </c>
      <c r="E15624" s="12" t="s">
        <v>16</v>
      </c>
      <c r="F15624" s="14">
        <v>77000</v>
      </c>
      <c r="G15624" s="14">
        <v>52700</v>
      </c>
      <c r="H15624" s="13" t="s">
        <v>29983</v>
      </c>
      <c r="I15624" s="40" t="s">
        <v>18</v>
      </c>
      <c r="J15624" s="40" t="str">
        <f>HYPERLINK("https://stock.pstatic.net/stock-research/company/21/20250109_company_177066000.pdf","PDF")</f>
        <v>PDF</v>
      </c>
      <c r="K15624" s="12" t="s">
        <v>29984</v>
      </c>
      <c r="L15624" s="20">
        <v>0.46110056925996212</v>
      </c>
    </row>
    <row r="15625" spans="1:12" x14ac:dyDescent="0.45">
      <c r="A15625" s="12" t="s">
        <v>29917</v>
      </c>
      <c r="B15625" s="12" t="s">
        <v>1781</v>
      </c>
      <c r="C15625" s="13" t="s">
        <v>1782</v>
      </c>
      <c r="D15625" s="13" t="s">
        <v>23</v>
      </c>
      <c r="E15625" s="12" t="s">
        <v>16</v>
      </c>
      <c r="F15625" s="14">
        <v>120000</v>
      </c>
      <c r="G15625" s="14">
        <v>86800</v>
      </c>
      <c r="H15625" s="13" t="s">
        <v>29985</v>
      </c>
      <c r="I15625" s="40" t="s">
        <v>18</v>
      </c>
      <c r="J15625" s="40" t="str">
        <f>HYPERLINK("https://stock.pstatic.net/stock-research/company/21/20250109_company_247799000.pdf","PDF")</f>
        <v>PDF</v>
      </c>
      <c r="K15625" s="12" t="s">
        <v>29986</v>
      </c>
      <c r="L15625" s="20">
        <v>0.38248847926267282</v>
      </c>
    </row>
    <row r="15626" spans="1:12" x14ac:dyDescent="0.45">
      <c r="A15626" s="12" t="s">
        <v>29917</v>
      </c>
      <c r="B15626" s="12" t="s">
        <v>1266</v>
      </c>
      <c r="C15626" s="13" t="s">
        <v>1267</v>
      </c>
      <c r="D15626" s="13" t="s">
        <v>44</v>
      </c>
      <c r="E15626" s="12" t="s">
        <v>35</v>
      </c>
      <c r="F15626" s="14">
        <v>140000</v>
      </c>
      <c r="G15626" s="14">
        <v>95200</v>
      </c>
      <c r="H15626" s="13" t="s">
        <v>29987</v>
      </c>
      <c r="I15626" s="40" t="s">
        <v>18</v>
      </c>
      <c r="J15626" s="40" t="str">
        <f>HYPERLINK("https://stock.pstatic.net/stock-research/company/39/20250109_company_217692000.pdf","PDF")</f>
        <v>PDF</v>
      </c>
      <c r="K15626" s="12" t="s">
        <v>29988</v>
      </c>
      <c r="L15626" s="20">
        <v>0.47058823529411759</v>
      </c>
    </row>
    <row r="15627" spans="1:12" x14ac:dyDescent="0.45">
      <c r="A15627" s="12" t="s">
        <v>29917</v>
      </c>
      <c r="B15627" s="12" t="s">
        <v>3831</v>
      </c>
      <c r="C15627" s="13" t="s">
        <v>3832</v>
      </c>
      <c r="D15627" s="13" t="s">
        <v>44</v>
      </c>
      <c r="E15627" s="12" t="s">
        <v>35</v>
      </c>
      <c r="F15627" s="14">
        <v>59000</v>
      </c>
      <c r="G15627" s="14">
        <v>42250</v>
      </c>
      <c r="H15627" s="13" t="s">
        <v>29989</v>
      </c>
      <c r="I15627" s="40" t="s">
        <v>18</v>
      </c>
      <c r="J15627" s="40" t="str">
        <f>HYPERLINK("https://stock.pstatic.net/stock-research/company/39/20250109_company_195275000.pdf","PDF")</f>
        <v>PDF</v>
      </c>
      <c r="K15627" s="12" t="s">
        <v>29990</v>
      </c>
      <c r="L15627" s="20">
        <v>0.39644970414201192</v>
      </c>
    </row>
    <row r="15628" spans="1:12" x14ac:dyDescent="0.45">
      <c r="A15628" s="12" t="s">
        <v>29917</v>
      </c>
      <c r="B15628" s="12" t="s">
        <v>577</v>
      </c>
      <c r="C15628" s="13" t="s">
        <v>578</v>
      </c>
      <c r="D15628" s="13" t="s">
        <v>44</v>
      </c>
      <c r="E15628" s="12" t="s">
        <v>35</v>
      </c>
      <c r="F15628" s="14">
        <v>350000</v>
      </c>
      <c r="G15628" s="14">
        <v>251000</v>
      </c>
      <c r="H15628" s="13" t="s">
        <v>29991</v>
      </c>
      <c r="I15628" s="40" t="s">
        <v>18</v>
      </c>
      <c r="J15628" s="40" t="str">
        <f>HYPERLINK("https://stock.pstatic.net/stock-research/company/39/20250109_company_803959000.pdf","PDF")</f>
        <v>PDF</v>
      </c>
      <c r="K15628" s="12" t="s">
        <v>29992</v>
      </c>
      <c r="L15628" s="20">
        <v>0.39442231075697209</v>
      </c>
    </row>
    <row r="15629" spans="1:12" x14ac:dyDescent="0.45">
      <c r="A15629" s="12" t="s">
        <v>29917</v>
      </c>
      <c r="B15629" s="12" t="s">
        <v>13</v>
      </c>
      <c r="C15629" s="13" t="s">
        <v>14</v>
      </c>
      <c r="D15629" s="13" t="s">
        <v>44</v>
      </c>
      <c r="E15629" s="12" t="s">
        <v>35</v>
      </c>
      <c r="F15629" s="14">
        <v>73000</v>
      </c>
      <c r="G15629" s="14">
        <v>57300</v>
      </c>
      <c r="H15629" s="13" t="s">
        <v>29993</v>
      </c>
      <c r="I15629" s="40" t="s">
        <v>18</v>
      </c>
      <c r="J15629" s="40" t="str">
        <f>HYPERLINK("https://stock.pstatic.net/stock-research/company/39/20250109_company_755131000.pdf","PDF")</f>
        <v>PDF</v>
      </c>
      <c r="K15629" s="12" t="s">
        <v>29994</v>
      </c>
      <c r="L15629" s="20">
        <v>0.27399650959860378</v>
      </c>
    </row>
    <row r="15630" spans="1:12" x14ac:dyDescent="0.45">
      <c r="A15630" s="12" t="s">
        <v>29917</v>
      </c>
      <c r="B15630" s="12" t="s">
        <v>2369</v>
      </c>
      <c r="C15630" s="13" t="s">
        <v>2370</v>
      </c>
      <c r="D15630" s="13" t="s">
        <v>53</v>
      </c>
      <c r="E15630" s="12" t="s">
        <v>16</v>
      </c>
      <c r="F15630" s="14">
        <v>400000</v>
      </c>
      <c r="G15630" s="14">
        <v>249500</v>
      </c>
      <c r="H15630" s="13" t="s">
        <v>29995</v>
      </c>
      <c r="I15630" s="40" t="s">
        <v>18</v>
      </c>
      <c r="J15630" s="40" t="str">
        <f>HYPERLINK("https://stock.pstatic.net/stock-research/company/40/20250109_company_895512000.pdf","PDF")</f>
        <v>PDF</v>
      </c>
      <c r="K15630" s="12" t="s">
        <v>29996</v>
      </c>
      <c r="L15630" s="20">
        <v>0.60320641282565135</v>
      </c>
    </row>
    <row r="15631" spans="1:12" x14ac:dyDescent="0.45">
      <c r="A15631" s="12" t="s">
        <v>29917</v>
      </c>
      <c r="B15631" s="12" t="s">
        <v>3164</v>
      </c>
      <c r="C15631" s="13" t="s">
        <v>3165</v>
      </c>
      <c r="D15631" s="13" t="s">
        <v>53</v>
      </c>
      <c r="E15631" s="12" t="s">
        <v>16</v>
      </c>
      <c r="F15631" s="14">
        <v>37000</v>
      </c>
      <c r="G15631" s="14">
        <v>25900</v>
      </c>
      <c r="H15631" s="13" t="s">
        <v>29997</v>
      </c>
      <c r="I15631" s="40" t="s">
        <v>18</v>
      </c>
      <c r="J15631" s="40" t="str">
        <f>HYPERLINK("https://stock.pstatic.net/stock-research/company/40/20250109_company_104717000.pdf","PDF")</f>
        <v>PDF</v>
      </c>
      <c r="K15631" s="12" t="s">
        <v>29998</v>
      </c>
      <c r="L15631" s="20">
        <v>0.42857142857142849</v>
      </c>
    </row>
    <row r="15632" spans="1:12" x14ac:dyDescent="0.45">
      <c r="A15632" s="12" t="s">
        <v>29917</v>
      </c>
      <c r="B15632" s="12" t="s">
        <v>2956</v>
      </c>
      <c r="C15632" s="13" t="s">
        <v>2957</v>
      </c>
      <c r="D15632" s="13" t="s">
        <v>53</v>
      </c>
      <c r="E15632" s="12" t="s">
        <v>16</v>
      </c>
      <c r="F15632" s="14">
        <v>24000</v>
      </c>
      <c r="G15632" s="14">
        <v>18150</v>
      </c>
      <c r="H15632" s="13" t="s">
        <v>29999</v>
      </c>
      <c r="I15632" s="40" t="s">
        <v>18</v>
      </c>
      <c r="J15632" s="40" t="str">
        <f>HYPERLINK("https://stock.pstatic.net/stock-research/company/40/20250109_company_991570000.pdf","PDF")</f>
        <v>PDF</v>
      </c>
      <c r="K15632" s="12" t="s">
        <v>30000</v>
      </c>
      <c r="L15632" s="20">
        <v>0.32231404958677679</v>
      </c>
    </row>
    <row r="15633" spans="1:12" x14ac:dyDescent="0.45">
      <c r="A15633" s="12" t="s">
        <v>29917</v>
      </c>
      <c r="B15633" s="12" t="s">
        <v>132</v>
      </c>
      <c r="C15633" s="13" t="s">
        <v>133</v>
      </c>
      <c r="D15633" s="13" t="s">
        <v>53</v>
      </c>
      <c r="E15633" s="12" t="s">
        <v>16</v>
      </c>
      <c r="F15633" s="14">
        <v>75000</v>
      </c>
      <c r="G15633" s="14">
        <v>46950</v>
      </c>
      <c r="H15633" s="13" t="s">
        <v>30001</v>
      </c>
      <c r="I15633" s="40" t="s">
        <v>18</v>
      </c>
      <c r="J15633" s="40" t="str">
        <f>HYPERLINK("https://stock.pstatic.net/stock-research/company/40/20250109_company_692831000.pdf","PDF")</f>
        <v>PDF</v>
      </c>
      <c r="K15633" s="12" t="s">
        <v>30002</v>
      </c>
      <c r="L15633" s="20">
        <v>0.597444089456869</v>
      </c>
    </row>
    <row r="15634" spans="1:12" x14ac:dyDescent="0.45">
      <c r="A15634" s="12" t="s">
        <v>29917</v>
      </c>
      <c r="B15634" s="12" t="s">
        <v>13</v>
      </c>
      <c r="C15634" s="13" t="s">
        <v>14</v>
      </c>
      <c r="D15634" s="13" t="s">
        <v>92</v>
      </c>
      <c r="E15634" s="12" t="s">
        <v>35</v>
      </c>
      <c r="F15634" s="14">
        <v>75000</v>
      </c>
      <c r="G15634" s="14">
        <v>57300</v>
      </c>
      <c r="H15634" s="13" t="s">
        <v>30003</v>
      </c>
      <c r="I15634" s="40" t="s">
        <v>18</v>
      </c>
      <c r="J15634" s="40" t="str">
        <f>HYPERLINK("https://stock.pstatic.net/stock-research/company/63/20250109_company_266699000.pdf","PDF")</f>
        <v>PDF</v>
      </c>
      <c r="K15634" s="12" t="s">
        <v>30004</v>
      </c>
      <c r="L15634" s="20">
        <v>0.30890052356020942</v>
      </c>
    </row>
    <row r="15635" spans="1:12" x14ac:dyDescent="0.45">
      <c r="A15635" s="12" t="s">
        <v>29917</v>
      </c>
      <c r="B15635" s="12" t="s">
        <v>13</v>
      </c>
      <c r="C15635" s="13" t="s">
        <v>14</v>
      </c>
      <c r="D15635" s="13" t="s">
        <v>15</v>
      </c>
      <c r="E15635" s="12" t="s">
        <v>16</v>
      </c>
      <c r="F15635" s="14">
        <v>84000</v>
      </c>
      <c r="G15635" s="14">
        <v>55400</v>
      </c>
      <c r="H15635" s="13" t="s">
        <v>30005</v>
      </c>
      <c r="I15635" s="40" t="s">
        <v>18</v>
      </c>
      <c r="J15635" s="40" t="str">
        <f>HYPERLINK("https://stock.pstatic.net/stock-research/company/29/20250109_company_196745000.pdf","PDF")</f>
        <v>PDF</v>
      </c>
      <c r="K15635" s="12" t="s">
        <v>30006</v>
      </c>
      <c r="L15635" s="20">
        <v>0.51624548736462095</v>
      </c>
    </row>
    <row r="15636" spans="1:12" x14ac:dyDescent="0.45">
      <c r="A15636" s="12" t="s">
        <v>30007</v>
      </c>
      <c r="B15636" s="12" t="s">
        <v>434</v>
      </c>
      <c r="C15636" s="13" t="s">
        <v>435</v>
      </c>
      <c r="D15636" s="13" t="s">
        <v>60</v>
      </c>
      <c r="E15636" s="12" t="s">
        <v>35</v>
      </c>
      <c r="F15636" s="14">
        <v>160000</v>
      </c>
      <c r="G15636" s="14">
        <v>115900</v>
      </c>
      <c r="H15636" s="13" t="s">
        <v>30008</v>
      </c>
      <c r="I15636" s="40" t="s">
        <v>18</v>
      </c>
      <c r="J15636" s="40" t="str">
        <f>HYPERLINK("https://stock.pstatic.net/stock-research/company/62/20250108_company_363004000.pdf","PDF")</f>
        <v>PDF</v>
      </c>
      <c r="K15636" s="12" t="s">
        <v>30009</v>
      </c>
      <c r="L15636" s="20">
        <v>0.38050043140638479</v>
      </c>
    </row>
    <row r="15637" spans="1:12" x14ac:dyDescent="0.45">
      <c r="A15637" s="12" t="s">
        <v>30007</v>
      </c>
      <c r="B15637" s="12" t="s">
        <v>450</v>
      </c>
      <c r="C15637" s="13" t="s">
        <v>451</v>
      </c>
      <c r="D15637" s="13" t="s">
        <v>65</v>
      </c>
      <c r="E15637" s="12" t="s">
        <v>1738</v>
      </c>
      <c r="F15637" s="14">
        <v>350000</v>
      </c>
      <c r="G15637" s="14">
        <v>311000</v>
      </c>
      <c r="H15637" s="13" t="s">
        <v>28903</v>
      </c>
      <c r="I15637" s="40" t="s">
        <v>18</v>
      </c>
      <c r="J15637" s="40" t="str">
        <f>HYPERLINK("https://stock.pstatic.net/stock-research/company/57/20250108_company_313671000.pdf","PDF")</f>
        <v>PDF</v>
      </c>
      <c r="K15637" s="12" t="s">
        <v>30010</v>
      </c>
      <c r="L15637" s="20">
        <v>0.12540192926045021</v>
      </c>
    </row>
    <row r="15638" spans="1:12" x14ac:dyDescent="0.45">
      <c r="A15638" s="12" t="s">
        <v>30007</v>
      </c>
      <c r="B15638" s="12" t="s">
        <v>888</v>
      </c>
      <c r="C15638" s="13" t="s">
        <v>889</v>
      </c>
      <c r="D15638" s="13" t="s">
        <v>65</v>
      </c>
      <c r="E15638" s="12" t="s">
        <v>35</v>
      </c>
      <c r="F15638" s="14">
        <v>64000</v>
      </c>
      <c r="G15638" s="14">
        <v>51800</v>
      </c>
      <c r="H15638" s="13" t="s">
        <v>30011</v>
      </c>
      <c r="I15638" s="40" t="s">
        <v>18</v>
      </c>
      <c r="J15638" s="40" t="str">
        <f>HYPERLINK("https://stock.pstatic.net/stock-research/company/1/20250108_company_733259000.pdf","PDF")</f>
        <v>PDF</v>
      </c>
      <c r="K15638" s="12" t="s">
        <v>30012</v>
      </c>
      <c r="L15638" s="20">
        <v>0.23552123552123549</v>
      </c>
    </row>
    <row r="15639" spans="1:12" x14ac:dyDescent="0.45">
      <c r="A15639" s="12" t="s">
        <v>30007</v>
      </c>
      <c r="B15639" s="12" t="s">
        <v>533</v>
      </c>
      <c r="C15639" s="13" t="s">
        <v>534</v>
      </c>
      <c r="D15639" s="13" t="s">
        <v>65</v>
      </c>
      <c r="E15639" s="12" t="s">
        <v>35</v>
      </c>
      <c r="F15639" s="14">
        <v>60000</v>
      </c>
      <c r="G15639" s="14">
        <v>43850</v>
      </c>
      <c r="H15639" s="13" t="s">
        <v>30013</v>
      </c>
      <c r="I15639" s="40" t="s">
        <v>18</v>
      </c>
      <c r="J15639" s="40" t="str">
        <f>HYPERLINK("https://stock.pstatic.net/stock-research/company/57/20250108_company_788123000.pdf","PDF")</f>
        <v>PDF</v>
      </c>
      <c r="K15639" s="12" t="s">
        <v>30014</v>
      </c>
      <c r="L15639" s="20">
        <v>0.36830102622576971</v>
      </c>
    </row>
    <row r="15640" spans="1:12" x14ac:dyDescent="0.45">
      <c r="A15640" s="12" t="s">
        <v>30007</v>
      </c>
      <c r="B15640" s="12" t="s">
        <v>3168</v>
      </c>
      <c r="C15640" s="13" t="s">
        <v>25909</v>
      </c>
      <c r="D15640" s="13" t="s">
        <v>65</v>
      </c>
      <c r="E15640" s="12" t="s">
        <v>35</v>
      </c>
      <c r="F15640" s="14">
        <v>10500</v>
      </c>
      <c r="G15640" s="14">
        <v>8320</v>
      </c>
      <c r="H15640" s="13" t="s">
        <v>30015</v>
      </c>
      <c r="I15640" s="40" t="s">
        <v>18</v>
      </c>
      <c r="J15640" s="40" t="str">
        <f>HYPERLINK("https://stock.pstatic.net/stock-research/company/57/20250108_company_463635000.pdf","PDF")</f>
        <v>PDF</v>
      </c>
      <c r="K15640" s="12" t="s">
        <v>30016</v>
      </c>
      <c r="L15640" s="20">
        <v>0.26201923076923078</v>
      </c>
    </row>
    <row r="15641" spans="1:12" x14ac:dyDescent="0.45">
      <c r="A15641" s="12" t="s">
        <v>30007</v>
      </c>
      <c r="B15641" s="12" t="s">
        <v>1081</v>
      </c>
      <c r="C15641" s="13" t="s">
        <v>1082</v>
      </c>
      <c r="D15641" s="13" t="s">
        <v>158</v>
      </c>
      <c r="E15641" s="12" t="s">
        <v>35</v>
      </c>
      <c r="F15641" s="14">
        <v>1300000</v>
      </c>
      <c r="G15641" s="14">
        <v>983000</v>
      </c>
      <c r="H15641" s="13" t="s">
        <v>30017</v>
      </c>
      <c r="I15641" s="40" t="s">
        <v>18</v>
      </c>
      <c r="J15641" s="40" t="str">
        <f>HYPERLINK("https://stock.pstatic.net/stock-research/company/18/20250108_company_677846000.pdf","PDF")</f>
        <v>PDF</v>
      </c>
      <c r="K15641" s="12" t="s">
        <v>30018</v>
      </c>
      <c r="L15641" s="20">
        <v>0.32248219735503558</v>
      </c>
    </row>
    <row r="15642" spans="1:12" x14ac:dyDescent="0.45">
      <c r="A15642" s="12" t="s">
        <v>30007</v>
      </c>
      <c r="B15642" s="12" t="s">
        <v>1690</v>
      </c>
      <c r="C15642" s="13" t="s">
        <v>1691</v>
      </c>
      <c r="D15642" s="13" t="s">
        <v>158</v>
      </c>
      <c r="E15642" s="12" t="s">
        <v>35</v>
      </c>
      <c r="F15642" s="14">
        <v>170000</v>
      </c>
      <c r="G15642" s="14">
        <v>122600</v>
      </c>
      <c r="H15642" s="13" t="s">
        <v>30019</v>
      </c>
      <c r="I15642" s="40" t="s">
        <v>18</v>
      </c>
      <c r="J15642" s="40" t="str">
        <f>HYPERLINK("https://stock.pstatic.net/stock-research/company/18/20250108_company_906246000.pdf","PDF")</f>
        <v>PDF</v>
      </c>
      <c r="K15642" s="12" t="s">
        <v>30020</v>
      </c>
      <c r="L15642" s="20">
        <v>0.38662316476345843</v>
      </c>
    </row>
    <row r="15643" spans="1:12" x14ac:dyDescent="0.45">
      <c r="A15643" s="12" t="s">
        <v>30007</v>
      </c>
      <c r="B15643" s="12" t="s">
        <v>2040</v>
      </c>
      <c r="C15643" s="13" t="s">
        <v>2041</v>
      </c>
      <c r="D15643" s="13" t="s">
        <v>34</v>
      </c>
      <c r="E15643" s="12" t="s">
        <v>35</v>
      </c>
      <c r="F15643" s="14">
        <v>100000</v>
      </c>
      <c r="G15643" s="14">
        <v>60300</v>
      </c>
      <c r="H15643" s="13" t="s">
        <v>30021</v>
      </c>
      <c r="I15643" s="40" t="s">
        <v>18</v>
      </c>
      <c r="J15643" s="40" t="str">
        <f>HYPERLINK("https://stock.pstatic.net/stock-research/company/61/20250108_company_57265000.pdf","PDF")</f>
        <v>PDF</v>
      </c>
      <c r="K15643" s="12" t="s">
        <v>30022</v>
      </c>
      <c r="L15643" s="20">
        <v>0.65837479270315091</v>
      </c>
    </row>
    <row r="15644" spans="1:12" x14ac:dyDescent="0.45">
      <c r="A15644" s="12" t="s">
        <v>30007</v>
      </c>
      <c r="B15644" s="12" t="s">
        <v>76</v>
      </c>
      <c r="C15644" s="13" t="s">
        <v>77</v>
      </c>
      <c r="D15644" s="13" t="s">
        <v>83</v>
      </c>
      <c r="E15644" s="12" t="s">
        <v>642</v>
      </c>
      <c r="F15644" s="14">
        <v>20000</v>
      </c>
      <c r="G15644" s="14">
        <v>18870</v>
      </c>
      <c r="H15644" s="13" t="s">
        <v>30023</v>
      </c>
      <c r="I15644" s="40" t="s">
        <v>18</v>
      </c>
      <c r="J15644" s="40" t="str">
        <f>HYPERLINK("https://stock.pstatic.net/stock-research/company/2/20250108_company_184353000.pdf","PDF")</f>
        <v>PDF</v>
      </c>
      <c r="K15644" s="12" t="s">
        <v>30024</v>
      </c>
      <c r="L15644" s="20">
        <v>5.9883412824589297E-2</v>
      </c>
    </row>
    <row r="15645" spans="1:12" x14ac:dyDescent="0.45">
      <c r="A15645" s="12" t="s">
        <v>30007</v>
      </c>
      <c r="B15645" s="12" t="s">
        <v>2795</v>
      </c>
      <c r="C15645" s="13" t="s">
        <v>2796</v>
      </c>
      <c r="D15645" s="13" t="s">
        <v>83</v>
      </c>
      <c r="E15645" s="12" t="s">
        <v>35</v>
      </c>
      <c r="F15645" s="14">
        <v>5000</v>
      </c>
      <c r="G15645" s="14">
        <v>3390</v>
      </c>
      <c r="H15645" s="13" t="s">
        <v>30025</v>
      </c>
      <c r="I15645" s="40" t="s">
        <v>18</v>
      </c>
      <c r="J15645" s="40" t="str">
        <f>HYPERLINK("https://stock.pstatic.net/stock-research/company/2/20250108_company_324722000.pdf","PDF")</f>
        <v>PDF</v>
      </c>
      <c r="K15645" s="12" t="s">
        <v>30026</v>
      </c>
      <c r="L15645" s="20">
        <v>0.47492625368731561</v>
      </c>
    </row>
    <row r="15646" spans="1:12" x14ac:dyDescent="0.45">
      <c r="A15646" s="12" t="s">
        <v>30007</v>
      </c>
      <c r="B15646" s="12" t="s">
        <v>1081</v>
      </c>
      <c r="C15646" s="13" t="s">
        <v>1082</v>
      </c>
      <c r="D15646" s="13" t="s">
        <v>83</v>
      </c>
      <c r="E15646" s="12" t="s">
        <v>35</v>
      </c>
      <c r="F15646" s="14">
        <v>1300000</v>
      </c>
      <c r="G15646" s="14">
        <v>983000</v>
      </c>
      <c r="H15646" s="13" t="s">
        <v>30027</v>
      </c>
      <c r="I15646" s="40" t="s">
        <v>18</v>
      </c>
      <c r="J15646" s="40" t="str">
        <f>HYPERLINK("https://stock.pstatic.net/stock-research/company/2/20250108_company_717478000.pdf","PDF")</f>
        <v>PDF</v>
      </c>
      <c r="K15646" s="12" t="s">
        <v>30028</v>
      </c>
      <c r="L15646" s="20">
        <v>0.32248219735503558</v>
      </c>
    </row>
    <row r="15647" spans="1:12" x14ac:dyDescent="0.45">
      <c r="A15647" s="12" t="s">
        <v>30007</v>
      </c>
      <c r="B15647" s="12" t="s">
        <v>1081</v>
      </c>
      <c r="C15647" s="13" t="s">
        <v>1082</v>
      </c>
      <c r="D15647" s="13" t="s">
        <v>34</v>
      </c>
      <c r="E15647" s="12" t="s">
        <v>35</v>
      </c>
      <c r="F15647" s="14">
        <v>1250000</v>
      </c>
      <c r="G15647" s="14">
        <v>983000</v>
      </c>
      <c r="H15647" s="13" t="s">
        <v>30029</v>
      </c>
      <c r="I15647" s="40" t="s">
        <v>18</v>
      </c>
      <c r="J15647" s="40" t="str">
        <f>HYPERLINK("https://stock.pstatic.net/stock-research/company/61/20250108_company_465661000.pdf","PDF")</f>
        <v>PDF</v>
      </c>
      <c r="K15647" s="12" t="s">
        <v>30030</v>
      </c>
      <c r="L15647" s="20">
        <v>0.271617497456765</v>
      </c>
    </row>
    <row r="15648" spans="1:12" x14ac:dyDescent="0.45">
      <c r="A15648" s="12" t="s">
        <v>30007</v>
      </c>
      <c r="B15648" s="12" t="s">
        <v>330</v>
      </c>
      <c r="C15648" s="13" t="s">
        <v>331</v>
      </c>
      <c r="D15648" s="13" t="s">
        <v>15</v>
      </c>
      <c r="E15648" s="12" t="s">
        <v>16</v>
      </c>
      <c r="F15648" s="14">
        <v>23000</v>
      </c>
      <c r="G15648" s="14">
        <v>17770</v>
      </c>
      <c r="H15648" s="13" t="s">
        <v>30031</v>
      </c>
      <c r="I15648" s="40" t="s">
        <v>18</v>
      </c>
      <c r="J15648" s="40" t="str">
        <f>HYPERLINK("https://stock.pstatic.net/stock-research/company/1/20250108_company_948749000.pdf","PDF")</f>
        <v>PDF</v>
      </c>
      <c r="K15648" s="12" t="s">
        <v>30032</v>
      </c>
      <c r="L15648" s="20">
        <v>0.29431626336522232</v>
      </c>
    </row>
    <row r="15649" spans="1:12" x14ac:dyDescent="0.45">
      <c r="A15649" s="12" t="s">
        <v>30007</v>
      </c>
      <c r="B15649" s="12" t="s">
        <v>2658</v>
      </c>
      <c r="C15649" s="13" t="s">
        <v>2659</v>
      </c>
      <c r="D15649" s="13" t="s">
        <v>92</v>
      </c>
      <c r="E15649" s="12" t="s">
        <v>35</v>
      </c>
      <c r="F15649" s="14">
        <v>220000</v>
      </c>
      <c r="G15649" s="14">
        <v>121400</v>
      </c>
      <c r="H15649" s="13" t="s">
        <v>30033</v>
      </c>
      <c r="I15649" s="40" t="s">
        <v>18</v>
      </c>
      <c r="J15649" s="40" t="str">
        <f>HYPERLINK("https://stock.pstatic.net/stock-research/company/63/20250108_company_307660000.pdf","PDF")</f>
        <v>PDF</v>
      </c>
      <c r="K15649" s="12" t="s">
        <v>30034</v>
      </c>
      <c r="L15649" s="20">
        <v>0.81219110378912684</v>
      </c>
    </row>
    <row r="15650" spans="1:12" x14ac:dyDescent="0.45">
      <c r="A15650" s="12" t="s">
        <v>30007</v>
      </c>
      <c r="B15650" s="12" t="s">
        <v>1660</v>
      </c>
      <c r="C15650" s="13" t="s">
        <v>1661</v>
      </c>
      <c r="D15650" s="13" t="s">
        <v>92</v>
      </c>
      <c r="E15650" s="12" t="s">
        <v>35</v>
      </c>
      <c r="F15650" s="14">
        <v>56000</v>
      </c>
      <c r="G15650" s="14">
        <v>41100</v>
      </c>
      <c r="H15650" s="13" t="s">
        <v>30035</v>
      </c>
      <c r="I15650" s="40" t="s">
        <v>18</v>
      </c>
      <c r="J15650" s="40" t="str">
        <f>HYPERLINK("https://stock.pstatic.net/stock-research/company/1/20250108_company_394446000.pdf","PDF")</f>
        <v>PDF</v>
      </c>
      <c r="K15650" s="12" t="s">
        <v>30036</v>
      </c>
      <c r="L15650" s="20">
        <v>0.36253041362530408</v>
      </c>
    </row>
    <row r="15651" spans="1:12" x14ac:dyDescent="0.45">
      <c r="A15651" s="12" t="s">
        <v>30007</v>
      </c>
      <c r="B15651" s="12" t="s">
        <v>3182</v>
      </c>
      <c r="C15651" s="13" t="s">
        <v>3183</v>
      </c>
      <c r="D15651" s="13" t="s">
        <v>23</v>
      </c>
      <c r="E15651" s="12" t="s">
        <v>16</v>
      </c>
      <c r="F15651" s="14">
        <v>500000</v>
      </c>
      <c r="G15651" s="14">
        <v>398500</v>
      </c>
      <c r="H15651" s="13" t="s">
        <v>30037</v>
      </c>
      <c r="I15651" s="40" t="s">
        <v>18</v>
      </c>
      <c r="J15651" s="40" t="str">
        <f>HYPERLINK("https://stock.pstatic.net/stock-research/company/21/20250108_company_399179000.pdf","PDF")</f>
        <v>PDF</v>
      </c>
      <c r="K15651" s="12" t="s">
        <v>30038</v>
      </c>
      <c r="L15651" s="20">
        <v>0.25470514429109159</v>
      </c>
    </row>
    <row r="15652" spans="1:12" x14ac:dyDescent="0.45">
      <c r="A15652" s="12" t="s">
        <v>30007</v>
      </c>
      <c r="B15652" s="12" t="s">
        <v>32</v>
      </c>
      <c r="C15652" s="13" t="s">
        <v>33</v>
      </c>
      <c r="D15652" s="13" t="s">
        <v>23</v>
      </c>
      <c r="E15652" s="12" t="s">
        <v>16</v>
      </c>
      <c r="F15652" s="14">
        <v>190000</v>
      </c>
      <c r="G15652" s="14">
        <v>126800</v>
      </c>
      <c r="H15652" s="13" t="s">
        <v>30039</v>
      </c>
      <c r="I15652" s="40" t="s">
        <v>18</v>
      </c>
      <c r="J15652" s="40" t="str">
        <f>HYPERLINK("https://stock.pstatic.net/stock-research/company/21/20250108_company_818376000.pdf","PDF")</f>
        <v>PDF</v>
      </c>
      <c r="K15652" s="12" t="s">
        <v>30040</v>
      </c>
      <c r="L15652" s="20">
        <v>0.49842271293375401</v>
      </c>
    </row>
    <row r="15653" spans="1:12" x14ac:dyDescent="0.45">
      <c r="A15653" s="12" t="s">
        <v>30007</v>
      </c>
      <c r="B15653" s="12" t="s">
        <v>21902</v>
      </c>
      <c r="C15653" s="13" t="s">
        <v>21903</v>
      </c>
      <c r="D15653" s="13" t="s">
        <v>179</v>
      </c>
      <c r="E15653" s="12" t="s">
        <v>16</v>
      </c>
      <c r="F15653" s="14">
        <v>25000</v>
      </c>
      <c r="G15653" s="14">
        <v>15720</v>
      </c>
      <c r="H15653" s="13" t="s">
        <v>30041</v>
      </c>
      <c r="I15653" s="40" t="s">
        <v>18</v>
      </c>
      <c r="J15653" s="40" t="str">
        <f>HYPERLINK("https://stock.pstatic.net/stock-research/company/1/20250108_company_864885000.pdf","PDF")</f>
        <v>PDF</v>
      </c>
      <c r="K15653" s="12" t="s">
        <v>30042</v>
      </c>
      <c r="L15653" s="20">
        <v>0.59033078880407119</v>
      </c>
    </row>
    <row r="15654" spans="1:12" x14ac:dyDescent="0.45">
      <c r="A15654" s="12" t="s">
        <v>30007</v>
      </c>
      <c r="B15654" s="12" t="s">
        <v>2658</v>
      </c>
      <c r="C15654" s="13" t="s">
        <v>2659</v>
      </c>
      <c r="D15654" s="13" t="s">
        <v>44</v>
      </c>
      <c r="E15654" s="12" t="s">
        <v>50</v>
      </c>
      <c r="F15654" s="13"/>
      <c r="G15654" s="13"/>
      <c r="H15654" s="13" t="s">
        <v>30043</v>
      </c>
      <c r="I15654" s="40" t="s">
        <v>18</v>
      </c>
      <c r="J15654" s="40" t="str">
        <f>HYPERLINK("https://stock.pstatic.net/stock-research/company/39/20250108_company_807377000.pdf","PDF")</f>
        <v>PDF</v>
      </c>
      <c r="K15654" s="12" t="s">
        <v>30044</v>
      </c>
    </row>
    <row r="15655" spans="1:12" x14ac:dyDescent="0.45">
      <c r="A15655" s="12" t="s">
        <v>30007</v>
      </c>
      <c r="B15655" s="12" t="s">
        <v>1081</v>
      </c>
      <c r="C15655" s="13" t="s">
        <v>1082</v>
      </c>
      <c r="D15655" s="13" t="s">
        <v>44</v>
      </c>
      <c r="E15655" s="12" t="s">
        <v>35</v>
      </c>
      <c r="F15655" s="14">
        <v>1300000</v>
      </c>
      <c r="G15655" s="14">
        <v>983000</v>
      </c>
      <c r="H15655" s="13" t="s">
        <v>30045</v>
      </c>
      <c r="I15655" s="40" t="s">
        <v>18</v>
      </c>
      <c r="J15655" s="40" t="str">
        <f>HYPERLINK("https://stock.pstatic.net/stock-research/company/39/20250108_company_41262000.pdf","PDF")</f>
        <v>PDF</v>
      </c>
      <c r="K15655" s="12" t="s">
        <v>30046</v>
      </c>
      <c r="L15655" s="20">
        <v>0.32248219735503558</v>
      </c>
    </row>
    <row r="15656" spans="1:12" x14ac:dyDescent="0.45">
      <c r="A15656" s="12" t="s">
        <v>30007</v>
      </c>
      <c r="B15656" s="12" t="s">
        <v>25602</v>
      </c>
      <c r="C15656" s="13" t="s">
        <v>25603</v>
      </c>
      <c r="D15656" s="13" t="s">
        <v>44</v>
      </c>
      <c r="E15656" s="12" t="s">
        <v>50</v>
      </c>
      <c r="F15656" s="13"/>
      <c r="G15656" s="14">
        <v>60900</v>
      </c>
      <c r="H15656" s="13" t="s">
        <v>30047</v>
      </c>
      <c r="I15656" s="40" t="s">
        <v>18</v>
      </c>
      <c r="J15656" s="40" t="str">
        <f>HYPERLINK("https://stock.pstatic.net/stock-research/company/39/20250108_company_332948000.pdf","PDF")</f>
        <v>PDF</v>
      </c>
      <c r="K15656" s="12" t="s">
        <v>30048</v>
      </c>
    </row>
    <row r="15657" spans="1:12" x14ac:dyDescent="0.45">
      <c r="A15657" s="12" t="s">
        <v>30007</v>
      </c>
      <c r="B15657" s="12" t="s">
        <v>4125</v>
      </c>
      <c r="C15657" s="13" t="s">
        <v>4126</v>
      </c>
      <c r="D15657" s="13" t="s">
        <v>124</v>
      </c>
      <c r="E15657" s="12" t="s">
        <v>50</v>
      </c>
      <c r="F15657" s="13"/>
      <c r="G15657" s="13"/>
      <c r="H15657" s="13" t="s">
        <v>30049</v>
      </c>
      <c r="I15657" s="40" t="s">
        <v>18</v>
      </c>
      <c r="J15657" s="40" t="str">
        <f>HYPERLINK("https://stock.pstatic.net/stock-research/company/74/20250124_company_982337000.pdf","PDF")</f>
        <v>PDF</v>
      </c>
      <c r="K15657" s="12" t="s">
        <v>30050</v>
      </c>
    </row>
    <row r="15658" spans="1:12" x14ac:dyDescent="0.45">
      <c r="A15658" s="12" t="s">
        <v>30007</v>
      </c>
      <c r="B15658" s="12" t="s">
        <v>3230</v>
      </c>
      <c r="C15658" s="13" t="s">
        <v>3231</v>
      </c>
      <c r="D15658" s="13" t="s">
        <v>53</v>
      </c>
      <c r="E15658" s="12" t="s">
        <v>16</v>
      </c>
      <c r="F15658" s="14">
        <v>580000</v>
      </c>
      <c r="G15658" s="14">
        <v>422000</v>
      </c>
      <c r="H15658" s="13" t="s">
        <v>30051</v>
      </c>
      <c r="I15658" s="40" t="s">
        <v>18</v>
      </c>
      <c r="J15658" s="40" t="str">
        <f>HYPERLINK("https://stock.pstatic.net/stock-research/company/40/20250108_company_642374000.pdf","PDF")</f>
        <v>PDF</v>
      </c>
      <c r="K15658" s="12" t="s">
        <v>30052</v>
      </c>
      <c r="L15658" s="20">
        <v>0.37440758293838861</v>
      </c>
    </row>
    <row r="15659" spans="1:12" x14ac:dyDescent="0.45">
      <c r="A15659" s="12" t="s">
        <v>30007</v>
      </c>
      <c r="B15659" s="12" t="s">
        <v>3113</v>
      </c>
      <c r="C15659" s="13" t="s">
        <v>3114</v>
      </c>
      <c r="D15659" s="13" t="s">
        <v>15</v>
      </c>
      <c r="E15659" s="12" t="s">
        <v>16</v>
      </c>
      <c r="F15659" s="14">
        <v>37000</v>
      </c>
      <c r="G15659" s="14">
        <v>26900</v>
      </c>
      <c r="H15659" s="13" t="s">
        <v>30053</v>
      </c>
      <c r="I15659" s="40" t="s">
        <v>18</v>
      </c>
      <c r="J15659" s="40" t="str">
        <f>HYPERLINK("https://stock.pstatic.net/stock-research/company/29/20250108_company_749272000.pdf","PDF")</f>
        <v>PDF</v>
      </c>
      <c r="K15659" s="12" t="s">
        <v>30054</v>
      </c>
      <c r="L15659" s="20">
        <v>0.37546468401486988</v>
      </c>
    </row>
    <row r="15660" spans="1:12" x14ac:dyDescent="0.45">
      <c r="A15660" s="12" t="s">
        <v>30055</v>
      </c>
      <c r="B15660" s="12" t="s">
        <v>430</v>
      </c>
      <c r="C15660" s="13" t="s">
        <v>431</v>
      </c>
      <c r="D15660" s="13" t="s">
        <v>276</v>
      </c>
      <c r="E15660" s="12" t="s">
        <v>16</v>
      </c>
      <c r="F15660" s="14">
        <v>65000</v>
      </c>
      <c r="G15660" s="14">
        <v>40250</v>
      </c>
      <c r="H15660" s="13" t="s">
        <v>30056</v>
      </c>
      <c r="I15660" s="40" t="s">
        <v>18</v>
      </c>
      <c r="J15660" s="40" t="str">
        <f>HYPERLINK("https://stock.pstatic.net/stock-research/company/66/20250107_company_747640000.pdf","PDF")</f>
        <v>PDF</v>
      </c>
      <c r="K15660" s="12" t="s">
        <v>30057</v>
      </c>
      <c r="L15660" s="20">
        <v>0.6149068322981367</v>
      </c>
    </row>
    <row r="15661" spans="1:12" x14ac:dyDescent="0.45">
      <c r="A15661" s="12" t="s">
        <v>30055</v>
      </c>
      <c r="B15661" s="12" t="s">
        <v>2369</v>
      </c>
      <c r="C15661" s="13" t="s">
        <v>2370</v>
      </c>
      <c r="D15661" s="13" t="s">
        <v>276</v>
      </c>
      <c r="E15661" s="12" t="s">
        <v>16</v>
      </c>
      <c r="F15661" s="14">
        <v>390000</v>
      </c>
      <c r="G15661" s="14">
        <v>249000</v>
      </c>
      <c r="H15661" s="13" t="s">
        <v>30058</v>
      </c>
      <c r="I15661" s="40" t="s">
        <v>18</v>
      </c>
      <c r="J15661" s="40" t="str">
        <f>HYPERLINK("https://stock.pstatic.net/stock-research/company/66/20250107_company_86761000.pdf","PDF")</f>
        <v>PDF</v>
      </c>
      <c r="K15661" s="12" t="s">
        <v>30059</v>
      </c>
      <c r="L15661" s="20">
        <v>0.5662650602409639</v>
      </c>
    </row>
    <row r="15662" spans="1:12" x14ac:dyDescent="0.45">
      <c r="A15662" s="12" t="s">
        <v>30055</v>
      </c>
      <c r="B15662" s="12" t="s">
        <v>2378</v>
      </c>
      <c r="C15662" s="13" t="s">
        <v>2379</v>
      </c>
      <c r="D15662" s="13" t="s">
        <v>276</v>
      </c>
      <c r="E15662" s="12" t="s">
        <v>385</v>
      </c>
      <c r="F15662" s="14">
        <v>400000</v>
      </c>
      <c r="G15662" s="14">
        <v>361500</v>
      </c>
      <c r="H15662" s="13" t="s">
        <v>30060</v>
      </c>
      <c r="I15662" s="40" t="s">
        <v>18</v>
      </c>
      <c r="J15662" s="40" t="str">
        <f>HYPERLINK("https://stock.pstatic.net/stock-research/company/66/20250107_company_536984000.pdf","PDF")</f>
        <v>PDF</v>
      </c>
      <c r="K15662" s="12" t="s">
        <v>30061</v>
      </c>
      <c r="L15662" s="20">
        <v>0.1065006915629322</v>
      </c>
    </row>
    <row r="15663" spans="1:12" x14ac:dyDescent="0.45">
      <c r="A15663" s="12" t="s">
        <v>30055</v>
      </c>
      <c r="B15663" s="12" t="s">
        <v>2187</v>
      </c>
      <c r="C15663" s="13" t="s">
        <v>2188</v>
      </c>
      <c r="D15663" s="13" t="s">
        <v>60</v>
      </c>
      <c r="E15663" s="12" t="s">
        <v>35</v>
      </c>
      <c r="F15663" s="14">
        <v>175000</v>
      </c>
      <c r="G15663" s="14">
        <v>110500</v>
      </c>
      <c r="H15663" s="13" t="s">
        <v>30062</v>
      </c>
      <c r="I15663" s="40" t="s">
        <v>18</v>
      </c>
      <c r="J15663" s="40" t="str">
        <f>HYPERLINK("https://stock.pstatic.net/stock-research/company/34/20250107_company_355969000.pdf","PDF")</f>
        <v>PDF</v>
      </c>
      <c r="K15663" s="12" t="s">
        <v>30063</v>
      </c>
      <c r="L15663" s="20">
        <v>0.58371040723981904</v>
      </c>
    </row>
    <row r="15664" spans="1:12" x14ac:dyDescent="0.45">
      <c r="A15664" s="12" t="s">
        <v>30055</v>
      </c>
      <c r="B15664" s="12" t="s">
        <v>13</v>
      </c>
      <c r="C15664" s="13" t="s">
        <v>14</v>
      </c>
      <c r="D15664" s="13" t="s">
        <v>60</v>
      </c>
      <c r="E15664" s="12" t="s">
        <v>35</v>
      </c>
      <c r="F15664" s="14">
        <v>75000</v>
      </c>
      <c r="G15664" s="14">
        <v>55900</v>
      </c>
      <c r="H15664" s="13" t="s">
        <v>29939</v>
      </c>
      <c r="I15664" s="40" t="s">
        <v>18</v>
      </c>
      <c r="J15664" s="40" t="str">
        <f>HYPERLINK("https://stock.pstatic.net/stock-research/company/34/20250107_company_228755000.pdf","PDF")</f>
        <v>PDF</v>
      </c>
      <c r="K15664" s="12" t="s">
        <v>30064</v>
      </c>
      <c r="L15664" s="20">
        <v>0.34168157423971379</v>
      </c>
    </row>
    <row r="15665" spans="1:12" x14ac:dyDescent="0.45">
      <c r="A15665" s="12" t="s">
        <v>30055</v>
      </c>
      <c r="B15665" s="12" t="s">
        <v>2191</v>
      </c>
      <c r="C15665" s="13" t="s">
        <v>2192</v>
      </c>
      <c r="D15665" s="13" t="s">
        <v>65</v>
      </c>
      <c r="E15665" s="12" t="s">
        <v>35</v>
      </c>
      <c r="F15665" s="14">
        <v>93000</v>
      </c>
      <c r="G15665" s="14">
        <v>52600</v>
      </c>
      <c r="H15665" s="13" t="s">
        <v>28903</v>
      </c>
      <c r="I15665" s="40" t="s">
        <v>18</v>
      </c>
      <c r="J15665" s="40" t="str">
        <f>HYPERLINK("https://stock.pstatic.net/stock-research/company/1/20250107_company_790567000.pdf","PDF")</f>
        <v>PDF</v>
      </c>
      <c r="K15665" s="12" t="s">
        <v>30065</v>
      </c>
      <c r="L15665" s="20">
        <v>0.76806083650190116</v>
      </c>
    </row>
    <row r="15666" spans="1:12" x14ac:dyDescent="0.45">
      <c r="A15666" s="12" t="s">
        <v>30055</v>
      </c>
      <c r="B15666" s="12" t="s">
        <v>25220</v>
      </c>
      <c r="C15666" s="13" t="s">
        <v>25221</v>
      </c>
      <c r="D15666" s="13" t="s">
        <v>65</v>
      </c>
      <c r="E15666" s="12" t="s">
        <v>35</v>
      </c>
      <c r="F15666" s="14">
        <v>60000</v>
      </c>
      <c r="G15666" s="14">
        <v>30250</v>
      </c>
      <c r="H15666" s="13" t="s">
        <v>30066</v>
      </c>
      <c r="I15666" s="40" t="s">
        <v>18</v>
      </c>
      <c r="J15666" s="40" t="str">
        <f>HYPERLINK("https://stock.pstatic.net/stock-research/company/57/20250107_company_469444000.pdf","PDF")</f>
        <v>PDF</v>
      </c>
      <c r="K15666" s="12" t="s">
        <v>30067</v>
      </c>
      <c r="L15666" s="20">
        <v>0.98347107438016534</v>
      </c>
    </row>
    <row r="15667" spans="1:12" x14ac:dyDescent="0.45">
      <c r="A15667" s="12" t="s">
        <v>30055</v>
      </c>
      <c r="B15667" s="12" t="s">
        <v>2187</v>
      </c>
      <c r="C15667" s="13" t="s">
        <v>2188</v>
      </c>
      <c r="D15667" s="13" t="s">
        <v>65</v>
      </c>
      <c r="E15667" s="12" t="s">
        <v>35</v>
      </c>
      <c r="F15667" s="14">
        <v>200000</v>
      </c>
      <c r="G15667" s="14">
        <v>110500</v>
      </c>
      <c r="H15667" s="13" t="s">
        <v>30068</v>
      </c>
      <c r="I15667" s="40" t="s">
        <v>18</v>
      </c>
      <c r="J15667" s="40" t="str">
        <f>HYPERLINK("https://stock.pstatic.net/stock-research/company/1/20250107_company_219351000.pdf","PDF")</f>
        <v>PDF</v>
      </c>
      <c r="K15667" s="12" t="s">
        <v>30069</v>
      </c>
      <c r="L15667" s="20">
        <v>0.80995475113122173</v>
      </c>
    </row>
    <row r="15668" spans="1:12" x14ac:dyDescent="0.45">
      <c r="A15668" s="12" t="s">
        <v>30055</v>
      </c>
      <c r="B15668" s="12" t="s">
        <v>1930</v>
      </c>
      <c r="C15668" s="13" t="s">
        <v>1931</v>
      </c>
      <c r="D15668" s="13" t="s">
        <v>65</v>
      </c>
      <c r="E15668" s="12" t="s">
        <v>35</v>
      </c>
      <c r="F15668" s="14">
        <v>480000</v>
      </c>
      <c r="G15668" s="14">
        <v>252500</v>
      </c>
      <c r="H15668" s="13" t="s">
        <v>30070</v>
      </c>
      <c r="I15668" s="40" t="s">
        <v>18</v>
      </c>
      <c r="J15668" s="40" t="str">
        <f>HYPERLINK("https://stock.pstatic.net/stock-research/company/57/20250107_company_319812000.pdf","PDF")</f>
        <v>PDF</v>
      </c>
      <c r="K15668" s="12" t="s">
        <v>30071</v>
      </c>
      <c r="L15668" s="20">
        <v>0.90099009900990101</v>
      </c>
    </row>
    <row r="15669" spans="1:12" x14ac:dyDescent="0.45">
      <c r="A15669" s="12" t="s">
        <v>30055</v>
      </c>
      <c r="B15669" s="12" t="s">
        <v>780</v>
      </c>
      <c r="C15669" s="13" t="s">
        <v>781</v>
      </c>
      <c r="D15669" s="13" t="s">
        <v>65</v>
      </c>
      <c r="E15669" s="12" t="s">
        <v>35</v>
      </c>
      <c r="F15669" s="14">
        <v>10000</v>
      </c>
      <c r="G15669" s="14">
        <v>6980</v>
      </c>
      <c r="H15669" s="13" t="s">
        <v>30072</v>
      </c>
      <c r="I15669" s="40" t="s">
        <v>18</v>
      </c>
      <c r="J15669" s="40" t="str">
        <f>HYPERLINK("https://stock.pstatic.net/stock-research/company/1/20250107_company_170287000.pdf","PDF")</f>
        <v>PDF</v>
      </c>
      <c r="K15669" s="12" t="s">
        <v>30073</v>
      </c>
      <c r="L15669" s="20">
        <v>0.43266475644699143</v>
      </c>
    </row>
    <row r="15670" spans="1:12" x14ac:dyDescent="0.45">
      <c r="A15670" s="12" t="s">
        <v>30055</v>
      </c>
      <c r="B15670" s="12" t="s">
        <v>3113</v>
      </c>
      <c r="C15670" s="13" t="s">
        <v>3114</v>
      </c>
      <c r="D15670" s="13" t="s">
        <v>65</v>
      </c>
      <c r="E15670" s="12" t="s">
        <v>35</v>
      </c>
      <c r="F15670" s="14">
        <v>40000</v>
      </c>
      <c r="G15670" s="14">
        <v>27750</v>
      </c>
      <c r="H15670" s="13" t="s">
        <v>30074</v>
      </c>
      <c r="I15670" s="40" t="s">
        <v>18</v>
      </c>
      <c r="J15670" s="40" t="str">
        <f>HYPERLINK("https://stock.pstatic.net/stock-research/company/57/20250107_company_21203000.pdf","PDF")</f>
        <v>PDF</v>
      </c>
      <c r="K15670" s="12" t="s">
        <v>30075</v>
      </c>
      <c r="L15670" s="20">
        <v>0.44144144144144137</v>
      </c>
    </row>
    <row r="15671" spans="1:12" x14ac:dyDescent="0.45">
      <c r="A15671" s="12" t="s">
        <v>30055</v>
      </c>
      <c r="B15671" s="12" t="s">
        <v>2956</v>
      </c>
      <c r="C15671" s="13" t="s">
        <v>2957</v>
      </c>
      <c r="D15671" s="13" t="s">
        <v>65</v>
      </c>
      <c r="E15671" s="12" t="s">
        <v>1738</v>
      </c>
      <c r="F15671" s="14">
        <v>19000</v>
      </c>
      <c r="G15671" s="14">
        <v>17970</v>
      </c>
      <c r="H15671" s="13" t="s">
        <v>30076</v>
      </c>
      <c r="I15671" s="40" t="s">
        <v>18</v>
      </c>
      <c r="J15671" s="40" t="str">
        <f>HYPERLINK("https://stock.pstatic.net/stock-research/company/1/20250107_company_223682000.pdf","PDF")</f>
        <v>PDF</v>
      </c>
      <c r="K15671" s="12" t="s">
        <v>30077</v>
      </c>
      <c r="L15671" s="20">
        <v>5.7317751808569843E-2</v>
      </c>
    </row>
    <row r="15672" spans="1:12" x14ac:dyDescent="0.45">
      <c r="A15672" s="12" t="s">
        <v>30055</v>
      </c>
      <c r="B15672" s="12" t="s">
        <v>42</v>
      </c>
      <c r="C15672" s="13" t="s">
        <v>43</v>
      </c>
      <c r="D15672" s="13" t="s">
        <v>57</v>
      </c>
      <c r="E15672" s="12" t="s">
        <v>35</v>
      </c>
      <c r="F15672" s="14">
        <v>280000</v>
      </c>
      <c r="G15672" s="14">
        <v>208500</v>
      </c>
      <c r="H15672" s="13" t="s">
        <v>30078</v>
      </c>
      <c r="I15672" s="40" t="s">
        <v>18</v>
      </c>
      <c r="J15672" s="40" t="str">
        <f>HYPERLINK("https://stock.pstatic.net/stock-research/company/16/20250107_company_152287000.pdf","PDF")</f>
        <v>PDF</v>
      </c>
      <c r="K15672" s="12" t="s">
        <v>30079</v>
      </c>
      <c r="L15672" s="20">
        <v>0.34292565947242198</v>
      </c>
    </row>
    <row r="15673" spans="1:12" x14ac:dyDescent="0.45">
      <c r="A15673" s="12" t="s">
        <v>30055</v>
      </c>
      <c r="B15673" s="12" t="s">
        <v>2522</v>
      </c>
      <c r="C15673" s="13" t="s">
        <v>2523</v>
      </c>
      <c r="D15673" s="13" t="s">
        <v>57</v>
      </c>
      <c r="E15673" s="12" t="s">
        <v>35</v>
      </c>
      <c r="F15673" s="14">
        <v>460000</v>
      </c>
      <c r="G15673" s="14">
        <v>346500</v>
      </c>
      <c r="H15673" s="13" t="s">
        <v>30080</v>
      </c>
      <c r="I15673" s="40" t="s">
        <v>18</v>
      </c>
      <c r="J15673" s="40" t="str">
        <f>HYPERLINK("https://stock.pstatic.net/stock-research/company/16/20250107_company_668137000.pdf","PDF")</f>
        <v>PDF</v>
      </c>
      <c r="K15673" s="12" t="s">
        <v>30081</v>
      </c>
      <c r="L15673" s="20">
        <v>0.32756132756132761</v>
      </c>
    </row>
    <row r="15674" spans="1:12" x14ac:dyDescent="0.45">
      <c r="A15674" s="12" t="s">
        <v>30055</v>
      </c>
      <c r="B15674" s="12" t="s">
        <v>2231</v>
      </c>
      <c r="C15674" s="13" t="s">
        <v>2232</v>
      </c>
      <c r="D15674" s="13" t="s">
        <v>57</v>
      </c>
      <c r="E15674" s="12" t="s">
        <v>35</v>
      </c>
      <c r="F15674" s="14">
        <v>110000</v>
      </c>
      <c r="G15674" s="14">
        <v>64100</v>
      </c>
      <c r="H15674" s="13" t="s">
        <v>30082</v>
      </c>
      <c r="I15674" s="40" t="s">
        <v>18</v>
      </c>
      <c r="J15674" s="40" t="str">
        <f>HYPERLINK("https://stock.pstatic.net/stock-research/company/16/20250107_company_362485000.pdf","PDF")</f>
        <v>PDF</v>
      </c>
      <c r="K15674" s="12" t="s">
        <v>30083</v>
      </c>
      <c r="L15674" s="20">
        <v>0.7160686427457098</v>
      </c>
    </row>
    <row r="15675" spans="1:12" x14ac:dyDescent="0.45">
      <c r="A15675" s="12" t="s">
        <v>30055</v>
      </c>
      <c r="B15675" s="12" t="s">
        <v>434</v>
      </c>
      <c r="C15675" s="13" t="s">
        <v>435</v>
      </c>
      <c r="D15675" s="13" t="s">
        <v>57</v>
      </c>
      <c r="E15675" s="12" t="s">
        <v>35</v>
      </c>
      <c r="F15675" s="14">
        <v>140000</v>
      </c>
      <c r="G15675" s="14">
        <v>115800</v>
      </c>
      <c r="H15675" s="13" t="s">
        <v>30084</v>
      </c>
      <c r="I15675" s="40" t="s">
        <v>18</v>
      </c>
      <c r="J15675" s="40" t="str">
        <f>HYPERLINK("https://stock.pstatic.net/stock-research/company/16/20250107_company_504254000.pdf","PDF")</f>
        <v>PDF</v>
      </c>
      <c r="K15675" s="12" t="s">
        <v>30085</v>
      </c>
      <c r="L15675" s="20">
        <v>0.2089810017271157</v>
      </c>
    </row>
    <row r="15676" spans="1:12" x14ac:dyDescent="0.45">
      <c r="A15676" s="12" t="s">
        <v>30055</v>
      </c>
      <c r="B15676" s="12" t="s">
        <v>1682</v>
      </c>
      <c r="C15676" s="13" t="s">
        <v>4787</v>
      </c>
      <c r="D15676" s="13" t="s">
        <v>57</v>
      </c>
      <c r="E15676" s="12" t="s">
        <v>35</v>
      </c>
      <c r="F15676" s="14">
        <v>260000</v>
      </c>
      <c r="G15676" s="14">
        <v>189000</v>
      </c>
      <c r="H15676" s="13" t="s">
        <v>30086</v>
      </c>
      <c r="I15676" s="40" t="s">
        <v>18</v>
      </c>
      <c r="J15676" s="40" t="str">
        <f>HYPERLINK("https://stock.pstatic.net/stock-research/company/1/20250107_company_561571000.pdf","PDF")</f>
        <v>PDF</v>
      </c>
      <c r="K15676" s="12" t="s">
        <v>30087</v>
      </c>
      <c r="L15676" s="20">
        <v>0.37566137566137559</v>
      </c>
    </row>
    <row r="15677" spans="1:12" x14ac:dyDescent="0.45">
      <c r="A15677" s="12" t="s">
        <v>30055</v>
      </c>
      <c r="B15677" s="12" t="s">
        <v>3079</v>
      </c>
      <c r="C15677" s="13" t="s">
        <v>3080</v>
      </c>
      <c r="D15677" s="13" t="s">
        <v>158</v>
      </c>
      <c r="E15677" s="12" t="s">
        <v>35</v>
      </c>
      <c r="F15677" s="14">
        <v>29000</v>
      </c>
      <c r="G15677" s="14">
        <v>19160</v>
      </c>
      <c r="H15677" s="13" t="s">
        <v>30088</v>
      </c>
      <c r="I15677" s="40" t="s">
        <v>18</v>
      </c>
      <c r="J15677" s="40" t="str">
        <f>HYPERLINK("https://stock.pstatic.net/stock-research/company/18/20250107_company_477869000.pdf","PDF")</f>
        <v>PDF</v>
      </c>
      <c r="K15677" s="12" t="s">
        <v>30089</v>
      </c>
      <c r="L15677" s="20">
        <v>0.51356993736951984</v>
      </c>
    </row>
    <row r="15678" spans="1:12" x14ac:dyDescent="0.45">
      <c r="A15678" s="12" t="s">
        <v>30055</v>
      </c>
      <c r="B15678" s="12" t="s">
        <v>3478</v>
      </c>
      <c r="C15678" s="13" t="s">
        <v>3479</v>
      </c>
      <c r="D15678" s="13" t="s">
        <v>158</v>
      </c>
      <c r="E15678" s="12" t="s">
        <v>35</v>
      </c>
      <c r="F15678" s="14">
        <v>35000</v>
      </c>
      <c r="G15678" s="14">
        <v>21400</v>
      </c>
      <c r="H15678" s="13" t="s">
        <v>30090</v>
      </c>
      <c r="I15678" s="40" t="s">
        <v>18</v>
      </c>
      <c r="J15678" s="40" t="str">
        <f>HYPERLINK("https://stock.pstatic.net/stock-research/company/1/20250107_company_518595000.pdf","PDF")</f>
        <v>PDF</v>
      </c>
      <c r="K15678" s="12" t="s">
        <v>30091</v>
      </c>
      <c r="L15678" s="20">
        <v>0.63551401869158874</v>
      </c>
    </row>
    <row r="15679" spans="1:12" x14ac:dyDescent="0.45">
      <c r="A15679" s="12" t="s">
        <v>30055</v>
      </c>
      <c r="B15679" s="12" t="s">
        <v>2758</v>
      </c>
      <c r="C15679" s="13" t="s">
        <v>2759</v>
      </c>
      <c r="D15679" s="13" t="s">
        <v>158</v>
      </c>
      <c r="E15679" s="12" t="s">
        <v>35</v>
      </c>
      <c r="F15679" s="14">
        <v>440000</v>
      </c>
      <c r="G15679" s="14">
        <v>262000</v>
      </c>
      <c r="H15679" s="13" t="s">
        <v>30092</v>
      </c>
      <c r="I15679" s="40" t="s">
        <v>18</v>
      </c>
      <c r="J15679" s="40" t="str">
        <f>HYPERLINK("https://stock.pstatic.net/stock-research/company/18/20250107_company_122072000.pdf","PDF")</f>
        <v>PDF</v>
      </c>
      <c r="K15679" s="12" t="s">
        <v>30093</v>
      </c>
      <c r="L15679" s="20">
        <v>0.67938931297709926</v>
      </c>
    </row>
    <row r="15680" spans="1:12" x14ac:dyDescent="0.45">
      <c r="A15680" s="12" t="s">
        <v>30055</v>
      </c>
      <c r="B15680" s="12" t="s">
        <v>824</v>
      </c>
      <c r="C15680" s="13" t="s">
        <v>25522</v>
      </c>
      <c r="D15680" s="13" t="s">
        <v>83</v>
      </c>
      <c r="E15680" s="12" t="s">
        <v>35</v>
      </c>
      <c r="F15680" s="14">
        <v>52000</v>
      </c>
      <c r="G15680" s="14">
        <v>40200</v>
      </c>
      <c r="H15680" s="13" t="s">
        <v>30094</v>
      </c>
      <c r="I15680" s="40" t="s">
        <v>18</v>
      </c>
      <c r="J15680" s="40" t="str">
        <f>HYPERLINK("https://stock.pstatic.net/stock-research/company/2/20250107_company_625211000.pdf","PDF")</f>
        <v>PDF</v>
      </c>
      <c r="K15680" s="12" t="s">
        <v>30095</v>
      </c>
      <c r="L15680" s="20">
        <v>0.29353233830845771</v>
      </c>
    </row>
    <row r="15681" spans="1:12" x14ac:dyDescent="0.45">
      <c r="A15681" s="12" t="s">
        <v>30055</v>
      </c>
      <c r="B15681" s="12" t="s">
        <v>507</v>
      </c>
      <c r="C15681" s="13" t="s">
        <v>508</v>
      </c>
      <c r="D15681" s="13" t="s">
        <v>83</v>
      </c>
      <c r="E15681" s="12" t="s">
        <v>35</v>
      </c>
      <c r="F15681" s="14">
        <v>14000</v>
      </c>
      <c r="G15681" s="14">
        <v>8780</v>
      </c>
      <c r="H15681" s="13" t="s">
        <v>30096</v>
      </c>
      <c r="I15681" s="40" t="s">
        <v>18</v>
      </c>
      <c r="J15681" s="40" t="str">
        <f>HYPERLINK("https://stock.pstatic.net/stock-research/company/2/20250107_company_921037000.pdf","PDF")</f>
        <v>PDF</v>
      </c>
      <c r="K15681" s="12" t="s">
        <v>30097</v>
      </c>
      <c r="L15681" s="20">
        <v>0.59453302961275623</v>
      </c>
    </row>
    <row r="15682" spans="1:12" x14ac:dyDescent="0.45">
      <c r="A15682" s="12" t="s">
        <v>30055</v>
      </c>
      <c r="B15682" s="12" t="s">
        <v>23089</v>
      </c>
      <c r="C15682" s="13" t="s">
        <v>23090</v>
      </c>
      <c r="D15682" s="13" t="s">
        <v>83</v>
      </c>
      <c r="E15682" s="12" t="s">
        <v>35</v>
      </c>
      <c r="F15682" s="14">
        <v>55000</v>
      </c>
      <c r="G15682" s="14">
        <v>32500</v>
      </c>
      <c r="H15682" s="13" t="s">
        <v>30098</v>
      </c>
      <c r="I15682" s="40" t="s">
        <v>18</v>
      </c>
      <c r="J15682" s="40" t="str">
        <f>HYPERLINK("https://stock.pstatic.net/stock-research/company/2/20250107_company_327304000.pdf","PDF")</f>
        <v>PDF</v>
      </c>
      <c r="K15682" s="12" t="s">
        <v>30099</v>
      </c>
      <c r="L15682" s="20">
        <v>0.69230769230769229</v>
      </c>
    </row>
    <row r="15683" spans="1:12" x14ac:dyDescent="0.45">
      <c r="A15683" s="12" t="s">
        <v>30055</v>
      </c>
      <c r="B15683" s="12" t="s">
        <v>1270</v>
      </c>
      <c r="C15683" s="13" t="s">
        <v>1271</v>
      </c>
      <c r="D15683" s="13" t="s">
        <v>15</v>
      </c>
      <c r="E15683" s="12" t="s">
        <v>16</v>
      </c>
      <c r="F15683" s="14">
        <v>60000</v>
      </c>
      <c r="G15683" s="14">
        <v>42850</v>
      </c>
      <c r="H15683" s="13" t="s">
        <v>30100</v>
      </c>
      <c r="I15683" s="40" t="s">
        <v>18</v>
      </c>
      <c r="J15683" s="40" t="str">
        <f>HYPERLINK("https://stock.pstatic.net/stock-research/company/29/20250107_company_161154000.pdf","PDF")</f>
        <v>PDF</v>
      </c>
      <c r="K15683" s="12" t="s">
        <v>30101</v>
      </c>
      <c r="L15683" s="20">
        <v>0.40023337222870481</v>
      </c>
    </row>
    <row r="15684" spans="1:12" x14ac:dyDescent="0.45">
      <c r="A15684" s="12" t="s">
        <v>30055</v>
      </c>
      <c r="B15684" s="12" t="s">
        <v>174</v>
      </c>
      <c r="C15684" s="13" t="s">
        <v>44</v>
      </c>
      <c r="D15684" s="13" t="s">
        <v>15</v>
      </c>
      <c r="E15684" s="12" t="s">
        <v>16</v>
      </c>
      <c r="F15684" s="14">
        <v>150000</v>
      </c>
      <c r="G15684" s="14">
        <v>115100</v>
      </c>
      <c r="H15684" s="13" t="s">
        <v>30102</v>
      </c>
      <c r="I15684" s="40" t="s">
        <v>18</v>
      </c>
      <c r="J15684" s="40" t="str">
        <f>HYPERLINK("https://stock.pstatic.net/stock-research/company/29/20250107_company_35841000.pdf","PDF")</f>
        <v>PDF</v>
      </c>
      <c r="K15684" s="12" t="s">
        <v>30103</v>
      </c>
      <c r="L15684" s="20">
        <v>0.30321459600347522</v>
      </c>
    </row>
    <row r="15685" spans="1:12" x14ac:dyDescent="0.45">
      <c r="A15685" s="12" t="s">
        <v>30055</v>
      </c>
      <c r="B15685" s="12" t="s">
        <v>1278</v>
      </c>
      <c r="C15685" s="13" t="s">
        <v>1279</v>
      </c>
      <c r="D15685" s="13" t="s">
        <v>15</v>
      </c>
      <c r="E15685" s="12" t="s">
        <v>16</v>
      </c>
      <c r="F15685" s="14">
        <v>110000</v>
      </c>
      <c r="G15685" s="14">
        <v>72200</v>
      </c>
      <c r="H15685" s="13" t="s">
        <v>30104</v>
      </c>
      <c r="I15685" s="40" t="s">
        <v>18</v>
      </c>
      <c r="J15685" s="40" t="str">
        <f>HYPERLINK("https://stock.pstatic.net/stock-research/company/29/20250107_company_918152000.pdf","PDF")</f>
        <v>PDF</v>
      </c>
      <c r="K15685" s="12" t="s">
        <v>30105</v>
      </c>
      <c r="L15685" s="20">
        <v>0.52354570637119113</v>
      </c>
    </row>
    <row r="15686" spans="1:12" x14ac:dyDescent="0.45">
      <c r="A15686" s="12" t="s">
        <v>30055</v>
      </c>
      <c r="B15686" s="12" t="s">
        <v>2982</v>
      </c>
      <c r="C15686" s="13" t="s">
        <v>2983</v>
      </c>
      <c r="D15686" s="13" t="s">
        <v>53</v>
      </c>
      <c r="E15686" s="12" t="s">
        <v>16</v>
      </c>
      <c r="F15686" s="14">
        <v>45000</v>
      </c>
      <c r="G15686" s="14">
        <v>31650</v>
      </c>
      <c r="H15686" s="13" t="s">
        <v>30106</v>
      </c>
      <c r="I15686" s="40" t="s">
        <v>18</v>
      </c>
      <c r="J15686" s="40" t="str">
        <f>HYPERLINK("https://stock.pstatic.net/stock-research/company/40/20250107_company_21491000.pdf","PDF")</f>
        <v>PDF</v>
      </c>
      <c r="K15686" s="12" t="s">
        <v>30107</v>
      </c>
      <c r="L15686" s="20">
        <v>0.4218009478672986</v>
      </c>
    </row>
    <row r="15687" spans="1:12" x14ac:dyDescent="0.45">
      <c r="A15687" s="12" t="s">
        <v>30055</v>
      </c>
      <c r="B15687" s="12" t="s">
        <v>81</v>
      </c>
      <c r="C15687" s="13" t="s">
        <v>82</v>
      </c>
      <c r="D15687" s="13" t="s">
        <v>15</v>
      </c>
      <c r="E15687" s="12" t="s">
        <v>16</v>
      </c>
      <c r="F15687" s="14">
        <v>17000</v>
      </c>
      <c r="G15687" s="14">
        <v>13470</v>
      </c>
      <c r="H15687" s="13" t="s">
        <v>30108</v>
      </c>
      <c r="I15687" s="40" t="s">
        <v>18</v>
      </c>
      <c r="J15687" s="40" t="str">
        <f>HYPERLINK("https://stock.pstatic.net/stock-research/company/29/20250107_company_618764000.pdf","PDF")</f>
        <v>PDF</v>
      </c>
      <c r="K15687" s="12" t="s">
        <v>30109</v>
      </c>
      <c r="L15687" s="20">
        <v>0.26206384558277662</v>
      </c>
    </row>
    <row r="15688" spans="1:12" x14ac:dyDescent="0.45">
      <c r="A15688" s="12" t="s">
        <v>30055</v>
      </c>
      <c r="B15688" s="12" t="s">
        <v>32</v>
      </c>
      <c r="C15688" s="13" t="s">
        <v>33</v>
      </c>
      <c r="D15688" s="13" t="s">
        <v>34</v>
      </c>
      <c r="E15688" s="12" t="s">
        <v>35</v>
      </c>
      <c r="F15688" s="14">
        <v>180000</v>
      </c>
      <c r="G15688" s="14">
        <v>130900</v>
      </c>
      <c r="H15688" s="13" t="s">
        <v>30110</v>
      </c>
      <c r="I15688" s="40" t="s">
        <v>18</v>
      </c>
      <c r="J15688" s="40" t="str">
        <f>HYPERLINK("https://stock.pstatic.net/stock-research/company/61/20250107_company_261115000.pdf","PDF")</f>
        <v>PDF</v>
      </c>
      <c r="K15688" s="12" t="s">
        <v>30111</v>
      </c>
      <c r="L15688" s="20">
        <v>0.37509549274255161</v>
      </c>
    </row>
    <row r="15689" spans="1:12" x14ac:dyDescent="0.45">
      <c r="A15689" s="12" t="s">
        <v>30055</v>
      </c>
      <c r="B15689" s="12" t="s">
        <v>2758</v>
      </c>
      <c r="C15689" s="13" t="s">
        <v>2759</v>
      </c>
      <c r="D15689" s="13" t="s">
        <v>23</v>
      </c>
      <c r="E15689" s="12" t="s">
        <v>16</v>
      </c>
      <c r="F15689" s="14">
        <v>380000</v>
      </c>
      <c r="G15689" s="14">
        <v>262000</v>
      </c>
      <c r="H15689" s="13" t="s">
        <v>17746</v>
      </c>
      <c r="I15689" s="40" t="s">
        <v>18</v>
      </c>
      <c r="J15689" s="40" t="str">
        <f>HYPERLINK("https://stock.pstatic.net/stock-research/company/21/20250107_company_272902000.pdf","PDF")</f>
        <v>PDF</v>
      </c>
      <c r="K15689" s="12" t="s">
        <v>30112</v>
      </c>
      <c r="L15689" s="20">
        <v>0.45038167938931289</v>
      </c>
    </row>
    <row r="15690" spans="1:12" x14ac:dyDescent="0.45">
      <c r="A15690" s="12" t="s">
        <v>30055</v>
      </c>
      <c r="B15690" s="12" t="s">
        <v>4660</v>
      </c>
      <c r="C15690" s="13" t="s">
        <v>4661</v>
      </c>
      <c r="D15690" s="13" t="s">
        <v>34</v>
      </c>
      <c r="E15690" s="12" t="s">
        <v>50</v>
      </c>
      <c r="F15690" s="13"/>
      <c r="G15690" s="14">
        <v>21350</v>
      </c>
      <c r="H15690" s="13" t="s">
        <v>30113</v>
      </c>
      <c r="I15690" s="40" t="s">
        <v>18</v>
      </c>
      <c r="J15690" s="40" t="str">
        <f>HYPERLINK("https://stock.pstatic.net/stock-research/company/61/20250107_company_757504000.pdf","PDF")</f>
        <v>PDF</v>
      </c>
      <c r="K15690" s="12" t="s">
        <v>30114</v>
      </c>
    </row>
    <row r="15691" spans="1:12" x14ac:dyDescent="0.45">
      <c r="A15691" s="12" t="s">
        <v>30055</v>
      </c>
      <c r="B15691" s="12" t="s">
        <v>3113</v>
      </c>
      <c r="C15691" s="13" t="s">
        <v>3114</v>
      </c>
      <c r="D15691" s="13" t="s">
        <v>34</v>
      </c>
      <c r="E15691" s="12" t="s">
        <v>35</v>
      </c>
      <c r="F15691" s="14">
        <v>37000</v>
      </c>
      <c r="G15691" s="14">
        <v>27750</v>
      </c>
      <c r="H15691" s="13" t="s">
        <v>30115</v>
      </c>
      <c r="I15691" s="40" t="s">
        <v>18</v>
      </c>
      <c r="J15691" s="40" t="str">
        <f>HYPERLINK("https://stock.pstatic.net/stock-research/company/61/20250107_company_90425000.pdf","PDF")</f>
        <v>PDF</v>
      </c>
      <c r="K15691" s="12" t="s">
        <v>30116</v>
      </c>
      <c r="L15691" s="20">
        <v>0.33333333333333331</v>
      </c>
    </row>
    <row r="15692" spans="1:12" x14ac:dyDescent="0.45">
      <c r="A15692" s="12" t="s">
        <v>30055</v>
      </c>
      <c r="B15692" s="12" t="s">
        <v>13</v>
      </c>
      <c r="C15692" s="13" t="s">
        <v>14</v>
      </c>
      <c r="D15692" s="13" t="s">
        <v>23</v>
      </c>
      <c r="E15692" s="12" t="s">
        <v>16</v>
      </c>
      <c r="F15692" s="14">
        <v>77000</v>
      </c>
      <c r="G15692" s="14">
        <v>55900</v>
      </c>
      <c r="H15692" s="13" t="s">
        <v>30117</v>
      </c>
      <c r="I15692" s="40" t="s">
        <v>18</v>
      </c>
      <c r="J15692" s="40" t="str">
        <f>HYPERLINK("https://stock.pstatic.net/stock-research/company/21/20250107_company_861161000.pdf","PDF")</f>
        <v>PDF</v>
      </c>
      <c r="K15692" s="12" t="s">
        <v>30118</v>
      </c>
      <c r="L15692" s="20">
        <v>0.37745974955277278</v>
      </c>
    </row>
    <row r="15693" spans="1:12" x14ac:dyDescent="0.45">
      <c r="A15693" s="12" t="s">
        <v>30055</v>
      </c>
      <c r="B15693" s="12" t="s">
        <v>3024</v>
      </c>
      <c r="C15693" s="13" t="s">
        <v>3025</v>
      </c>
      <c r="D15693" s="13" t="s">
        <v>23</v>
      </c>
      <c r="E15693" s="12" t="s">
        <v>16</v>
      </c>
      <c r="F15693" s="14">
        <v>57000</v>
      </c>
      <c r="G15693" s="14">
        <v>41950</v>
      </c>
      <c r="H15693" s="13" t="s">
        <v>30119</v>
      </c>
      <c r="I15693" s="40" t="s">
        <v>18</v>
      </c>
      <c r="J15693" s="40" t="str">
        <f>HYPERLINK("https://stock.pstatic.net/stock-research/company/21/20250107_company_680225000.pdf","PDF")</f>
        <v>PDF</v>
      </c>
      <c r="K15693" s="12" t="s">
        <v>30120</v>
      </c>
      <c r="L15693" s="20">
        <v>0.35876042908224082</v>
      </c>
    </row>
    <row r="15694" spans="1:12" x14ac:dyDescent="0.45">
      <c r="A15694" s="12" t="s">
        <v>30055</v>
      </c>
      <c r="B15694" s="12" t="s">
        <v>14332</v>
      </c>
      <c r="C15694" s="13" t="s">
        <v>14333</v>
      </c>
      <c r="D15694" s="13" t="s">
        <v>179</v>
      </c>
      <c r="E15694" s="12" t="s">
        <v>16</v>
      </c>
      <c r="F15694" s="14">
        <v>48000</v>
      </c>
      <c r="G15694" s="14">
        <v>38800</v>
      </c>
      <c r="H15694" s="13" t="s">
        <v>30121</v>
      </c>
      <c r="I15694" s="40" t="s">
        <v>18</v>
      </c>
      <c r="J15694" s="40" t="str">
        <f>HYPERLINK("https://stock.pstatic.net/stock-research/company/31/20250107_company_374588000.pdf","PDF")</f>
        <v>PDF</v>
      </c>
      <c r="K15694" s="12" t="s">
        <v>30122</v>
      </c>
      <c r="L15694" s="20">
        <v>0.23711340206185569</v>
      </c>
    </row>
    <row r="15695" spans="1:12" x14ac:dyDescent="0.45">
      <c r="A15695" s="12" t="s">
        <v>30055</v>
      </c>
      <c r="B15695" s="12" t="s">
        <v>950</v>
      </c>
      <c r="C15695" s="13" t="s">
        <v>951</v>
      </c>
      <c r="D15695" s="13" t="s">
        <v>44</v>
      </c>
      <c r="E15695" s="12" t="s">
        <v>45</v>
      </c>
      <c r="F15695" s="14">
        <v>46000</v>
      </c>
      <c r="G15695" s="14">
        <v>39100</v>
      </c>
      <c r="H15695" s="13" t="s">
        <v>30123</v>
      </c>
      <c r="I15695" s="40" t="s">
        <v>18</v>
      </c>
      <c r="J15695" s="40" t="str">
        <f>HYPERLINK("https://stock.pstatic.net/stock-research/company/39/20250107_company_365472000.pdf","PDF")</f>
        <v>PDF</v>
      </c>
      <c r="K15695" s="12" t="s">
        <v>30124</v>
      </c>
      <c r="L15695" s="20">
        <v>0.1764705882352941</v>
      </c>
    </row>
    <row r="15696" spans="1:12" x14ac:dyDescent="0.45">
      <c r="A15696" s="12" t="s">
        <v>30055</v>
      </c>
      <c r="B15696" s="12" t="s">
        <v>916</v>
      </c>
      <c r="C15696" s="13" t="s">
        <v>917</v>
      </c>
      <c r="D15696" s="13" t="s">
        <v>92</v>
      </c>
      <c r="E15696" s="12" t="s">
        <v>35</v>
      </c>
      <c r="F15696" s="14">
        <v>48000</v>
      </c>
      <c r="G15696" s="14">
        <v>39150</v>
      </c>
      <c r="H15696" s="13" t="s">
        <v>30125</v>
      </c>
      <c r="I15696" s="40" t="s">
        <v>18</v>
      </c>
      <c r="J15696" s="40" t="str">
        <f>HYPERLINK("https://stock.pstatic.net/stock-research/company/63/20250107_company_484770000.pdf","PDF")</f>
        <v>PDF</v>
      </c>
      <c r="K15696" s="12" t="s">
        <v>30126</v>
      </c>
      <c r="L15696" s="20">
        <v>0.22605363984674329</v>
      </c>
    </row>
    <row r="15697" spans="1:12" x14ac:dyDescent="0.45">
      <c r="A15697" s="12" t="s">
        <v>30055</v>
      </c>
      <c r="B15697" s="12" t="s">
        <v>740</v>
      </c>
      <c r="C15697" s="13" t="s">
        <v>741</v>
      </c>
      <c r="D15697" s="13" t="s">
        <v>23</v>
      </c>
      <c r="E15697" s="12" t="s">
        <v>16</v>
      </c>
      <c r="F15697" s="14">
        <v>220000</v>
      </c>
      <c r="G15697" s="14">
        <v>168800</v>
      </c>
      <c r="H15697" s="13" t="s">
        <v>30127</v>
      </c>
      <c r="I15697" s="40" t="s">
        <v>18</v>
      </c>
      <c r="J15697" s="40" t="str">
        <f>HYPERLINK("https://stock.pstatic.net/stock-research/company/21/20250107_company_986684000.pdf","PDF")</f>
        <v>PDF</v>
      </c>
      <c r="K15697" s="12" t="s">
        <v>30128</v>
      </c>
      <c r="L15697" s="20">
        <v>0.30331753554502372</v>
      </c>
    </row>
    <row r="15698" spans="1:12" x14ac:dyDescent="0.45">
      <c r="A15698" s="12" t="s">
        <v>30055</v>
      </c>
      <c r="B15698" s="12" t="s">
        <v>2231</v>
      </c>
      <c r="C15698" s="13" t="s">
        <v>2232</v>
      </c>
      <c r="D15698" s="13" t="s">
        <v>23</v>
      </c>
      <c r="E15698" s="12" t="s">
        <v>16</v>
      </c>
      <c r="F15698" s="14">
        <v>82000</v>
      </c>
      <c r="G15698" s="14">
        <v>64100</v>
      </c>
      <c r="H15698" s="13" t="s">
        <v>30129</v>
      </c>
      <c r="I15698" s="40" t="s">
        <v>18</v>
      </c>
      <c r="J15698" s="40" t="str">
        <f>HYPERLINK("https://stock.pstatic.net/stock-research/company/21/20250107_company_314434000.pdf","PDF")</f>
        <v>PDF</v>
      </c>
      <c r="K15698" s="12" t="s">
        <v>30130</v>
      </c>
      <c r="L15698" s="20">
        <v>0.27925117004680189</v>
      </c>
    </row>
    <row r="15699" spans="1:12" x14ac:dyDescent="0.45">
      <c r="A15699" s="12" t="s">
        <v>30055</v>
      </c>
      <c r="B15699" s="12" t="s">
        <v>1407</v>
      </c>
      <c r="C15699" s="13" t="s">
        <v>1408</v>
      </c>
      <c r="D15699" s="13" t="s">
        <v>44</v>
      </c>
      <c r="E15699" s="12" t="s">
        <v>35</v>
      </c>
      <c r="F15699" s="14">
        <v>69000</v>
      </c>
      <c r="G15699" s="14">
        <v>38950</v>
      </c>
      <c r="H15699" s="13" t="s">
        <v>30131</v>
      </c>
      <c r="I15699" s="40" t="s">
        <v>18</v>
      </c>
      <c r="J15699" s="40" t="str">
        <f>HYPERLINK("https://stock.pstatic.net/stock-research/company/39/20250107_company_91565000.pdf","PDF")</f>
        <v>PDF</v>
      </c>
      <c r="K15699" s="12" t="s">
        <v>30132</v>
      </c>
      <c r="L15699" s="20">
        <v>0.77150192554557129</v>
      </c>
    </row>
    <row r="15700" spans="1:12" x14ac:dyDescent="0.45">
      <c r="A15700" s="12" t="s">
        <v>30055</v>
      </c>
      <c r="B15700" s="12" t="s">
        <v>13</v>
      </c>
      <c r="C15700" s="13" t="s">
        <v>14</v>
      </c>
      <c r="D15700" s="13" t="s">
        <v>44</v>
      </c>
      <c r="E15700" s="12" t="s">
        <v>35</v>
      </c>
      <c r="F15700" s="14">
        <v>73000</v>
      </c>
      <c r="G15700" s="14">
        <v>55900</v>
      </c>
      <c r="H15700" s="13" t="s">
        <v>30133</v>
      </c>
      <c r="I15700" s="40" t="s">
        <v>18</v>
      </c>
      <c r="J15700" s="40" t="str">
        <f>HYPERLINK("https://stock.pstatic.net/stock-research/company/39/20250107_company_681646000.pdf","PDF")</f>
        <v>PDF</v>
      </c>
      <c r="K15700" s="12" t="s">
        <v>30134</v>
      </c>
      <c r="L15700" s="20">
        <v>0.30590339892665469</v>
      </c>
    </row>
    <row r="15701" spans="1:12" x14ac:dyDescent="0.45">
      <c r="A15701" s="12" t="s">
        <v>30055</v>
      </c>
      <c r="B15701" s="12" t="s">
        <v>9327</v>
      </c>
      <c r="C15701" s="13" t="s">
        <v>9328</v>
      </c>
      <c r="D15701" s="13" t="s">
        <v>124</v>
      </c>
      <c r="E15701" s="12" t="s">
        <v>50</v>
      </c>
      <c r="F15701" s="13"/>
      <c r="G15701" s="13"/>
      <c r="H15701" s="13" t="s">
        <v>30135</v>
      </c>
      <c r="I15701" s="40" t="s">
        <v>18</v>
      </c>
      <c r="J15701" s="40" t="str">
        <f>HYPERLINK("https://stock.pstatic.net/stock-research/company/74/20250107_company_710614000.pdf","PDF")</f>
        <v>PDF</v>
      </c>
      <c r="K15701" s="12" t="s">
        <v>30136</v>
      </c>
    </row>
    <row r="15702" spans="1:12" x14ac:dyDescent="0.45">
      <c r="A15702" s="12" t="s">
        <v>30055</v>
      </c>
      <c r="B15702" s="12" t="s">
        <v>1930</v>
      </c>
      <c r="C15702" s="13" t="s">
        <v>1931</v>
      </c>
      <c r="D15702" s="13" t="s">
        <v>53</v>
      </c>
      <c r="E15702" s="12" t="s">
        <v>16</v>
      </c>
      <c r="F15702" s="14">
        <v>360000</v>
      </c>
      <c r="G15702" s="14">
        <v>252500</v>
      </c>
      <c r="H15702" s="13" t="s">
        <v>30137</v>
      </c>
      <c r="I15702" s="40" t="s">
        <v>18</v>
      </c>
      <c r="J15702" s="40" t="str">
        <f>HYPERLINK("https://stock.pstatic.net/stock-research/company/1/20250107_company_289919000.pdf","PDF")</f>
        <v>PDF</v>
      </c>
      <c r="K15702" s="12" t="s">
        <v>30138</v>
      </c>
      <c r="L15702" s="20">
        <v>0.42574257425742568</v>
      </c>
    </row>
    <row r="15703" spans="1:12" x14ac:dyDescent="0.45">
      <c r="A15703" s="12" t="s">
        <v>30139</v>
      </c>
      <c r="B15703" s="12" t="s">
        <v>13</v>
      </c>
      <c r="C15703" s="13" t="s">
        <v>14</v>
      </c>
      <c r="D15703" s="13" t="s">
        <v>276</v>
      </c>
      <c r="E15703" s="12" t="s">
        <v>16</v>
      </c>
      <c r="F15703" s="14">
        <v>77000</v>
      </c>
      <c r="G15703" s="14">
        <v>54400</v>
      </c>
      <c r="H15703" s="13" t="s">
        <v>30140</v>
      </c>
      <c r="I15703" s="40" t="s">
        <v>18</v>
      </c>
      <c r="J15703" s="40" t="str">
        <f>HYPERLINK("https://stock.pstatic.net/stock-research/company/66/20250106_company_246863000.pdf","PDF")</f>
        <v>PDF</v>
      </c>
      <c r="K15703" s="12" t="s">
        <v>30141</v>
      </c>
      <c r="L15703" s="20">
        <v>0.41544117647058831</v>
      </c>
    </row>
    <row r="15704" spans="1:12" x14ac:dyDescent="0.45">
      <c r="A15704" s="12" t="s">
        <v>30139</v>
      </c>
      <c r="B15704" s="12" t="s">
        <v>7143</v>
      </c>
      <c r="C15704" s="13" t="s">
        <v>7144</v>
      </c>
      <c r="D15704" s="13" t="s">
        <v>276</v>
      </c>
      <c r="E15704" s="12" t="s">
        <v>16</v>
      </c>
      <c r="F15704" s="14">
        <v>33000</v>
      </c>
      <c r="G15704" s="14">
        <v>21750</v>
      </c>
      <c r="H15704" s="13" t="s">
        <v>30142</v>
      </c>
      <c r="I15704" s="40" t="s">
        <v>18</v>
      </c>
      <c r="J15704" s="40" t="str">
        <f>HYPERLINK("https://stock.pstatic.net/stock-research/company/66/20250106_company_534105000.pdf","PDF")</f>
        <v>PDF</v>
      </c>
      <c r="K15704" s="12" t="s">
        <v>30143</v>
      </c>
      <c r="L15704" s="20">
        <v>0.51724137931034486</v>
      </c>
    </row>
    <row r="15705" spans="1:12" x14ac:dyDescent="0.45">
      <c r="A15705" s="12" t="s">
        <v>30139</v>
      </c>
      <c r="B15705" s="12" t="s">
        <v>2378</v>
      </c>
      <c r="C15705" s="13" t="s">
        <v>2379</v>
      </c>
      <c r="D15705" s="13" t="s">
        <v>60</v>
      </c>
      <c r="E15705" s="12" t="s">
        <v>35</v>
      </c>
      <c r="F15705" s="14">
        <v>480000</v>
      </c>
      <c r="G15705" s="14">
        <v>356000</v>
      </c>
      <c r="H15705" s="13" t="s">
        <v>30144</v>
      </c>
      <c r="I15705" s="40" t="s">
        <v>18</v>
      </c>
      <c r="J15705" s="40" t="str">
        <f>HYPERLINK("https://stock.pstatic.net/stock-research/company/34/20250106_company_473889000.pdf","PDF")</f>
        <v>PDF</v>
      </c>
      <c r="K15705" s="12" t="s">
        <v>30145</v>
      </c>
      <c r="L15705" s="20">
        <v>0.34831460674157311</v>
      </c>
    </row>
    <row r="15706" spans="1:12" x14ac:dyDescent="0.45">
      <c r="A15706" s="12" t="s">
        <v>30139</v>
      </c>
      <c r="B15706" s="12" t="s">
        <v>434</v>
      </c>
      <c r="C15706" s="13" t="s">
        <v>435</v>
      </c>
      <c r="D15706" s="13" t="s">
        <v>65</v>
      </c>
      <c r="E15706" s="12" t="s">
        <v>35</v>
      </c>
      <c r="F15706" s="14">
        <v>190000</v>
      </c>
      <c r="G15706" s="14">
        <v>108100</v>
      </c>
      <c r="H15706" s="13" t="s">
        <v>30146</v>
      </c>
      <c r="I15706" s="40" t="s">
        <v>18</v>
      </c>
      <c r="J15706" s="40" t="str">
        <f>HYPERLINK("https://stock.pstatic.net/stock-research/company/57/20250106_company_79638000.pdf","PDF")</f>
        <v>PDF</v>
      </c>
      <c r="K15706" s="12" t="s">
        <v>30147</v>
      </c>
      <c r="L15706" s="20">
        <v>0.75763182238667903</v>
      </c>
    </row>
    <row r="15707" spans="1:12" x14ac:dyDescent="0.45">
      <c r="A15707" s="12" t="s">
        <v>30139</v>
      </c>
      <c r="B15707" s="12" t="s">
        <v>2758</v>
      </c>
      <c r="C15707" s="13" t="s">
        <v>2759</v>
      </c>
      <c r="D15707" s="13" t="s">
        <v>65</v>
      </c>
      <c r="E15707" s="12" t="s">
        <v>35</v>
      </c>
      <c r="F15707" s="14">
        <v>740000</v>
      </c>
      <c r="G15707" s="14">
        <v>259000</v>
      </c>
      <c r="H15707" s="13" t="s">
        <v>30148</v>
      </c>
      <c r="I15707" s="40" t="s">
        <v>18</v>
      </c>
      <c r="J15707" s="40" t="str">
        <f>HYPERLINK("https://stock.pstatic.net/stock-research/company/57/20250106_company_198566000.pdf","PDF")</f>
        <v>PDF</v>
      </c>
      <c r="K15707" s="12" t="s">
        <v>30149</v>
      </c>
      <c r="L15707" s="20">
        <v>1.857142857142857</v>
      </c>
    </row>
    <row r="15708" spans="1:12" x14ac:dyDescent="0.45">
      <c r="A15708" s="12" t="s">
        <v>30139</v>
      </c>
      <c r="B15708" s="12" t="s">
        <v>3478</v>
      </c>
      <c r="C15708" s="13" t="s">
        <v>3479</v>
      </c>
      <c r="D15708" s="13" t="s">
        <v>65</v>
      </c>
      <c r="E15708" s="12" t="s">
        <v>35</v>
      </c>
      <c r="F15708" s="14">
        <v>43000</v>
      </c>
      <c r="G15708" s="14">
        <v>21350</v>
      </c>
      <c r="H15708" s="13" t="s">
        <v>30150</v>
      </c>
      <c r="I15708" s="40" t="s">
        <v>18</v>
      </c>
      <c r="J15708" s="40" t="str">
        <f>HYPERLINK("https://stock.pstatic.net/stock-research/company/57/20250106_company_966336000.pdf","PDF")</f>
        <v>PDF</v>
      </c>
      <c r="K15708" s="12" t="s">
        <v>30151</v>
      </c>
      <c r="L15708" s="20">
        <v>1.014051522248244</v>
      </c>
    </row>
    <row r="15709" spans="1:12" x14ac:dyDescent="0.45">
      <c r="A15709" s="12" t="s">
        <v>30139</v>
      </c>
      <c r="B15709" s="12" t="s">
        <v>2522</v>
      </c>
      <c r="C15709" s="13" t="s">
        <v>2523</v>
      </c>
      <c r="D15709" s="13" t="s">
        <v>65</v>
      </c>
      <c r="E15709" s="12" t="s">
        <v>35</v>
      </c>
      <c r="F15709" s="14">
        <v>490000</v>
      </c>
      <c r="G15709" s="14">
        <v>335000</v>
      </c>
      <c r="H15709" s="13" t="s">
        <v>30152</v>
      </c>
      <c r="I15709" s="40" t="s">
        <v>18</v>
      </c>
      <c r="J15709" s="40" t="str">
        <f>HYPERLINK("https://stock.pstatic.net/stock-research/company/57/20250106_company_354090000.pdf","PDF")</f>
        <v>PDF</v>
      </c>
      <c r="K15709" s="12" t="s">
        <v>30153</v>
      </c>
      <c r="L15709" s="20">
        <v>0.46268656716417911</v>
      </c>
    </row>
    <row r="15710" spans="1:12" x14ac:dyDescent="0.45">
      <c r="A15710" s="12" t="s">
        <v>30139</v>
      </c>
      <c r="B15710" s="12" t="s">
        <v>908</v>
      </c>
      <c r="C15710" s="13" t="s">
        <v>909</v>
      </c>
      <c r="D15710" s="13" t="s">
        <v>65</v>
      </c>
      <c r="E15710" s="12" t="s">
        <v>35</v>
      </c>
      <c r="F15710" s="14">
        <v>190000</v>
      </c>
      <c r="G15710" s="14">
        <v>128000</v>
      </c>
      <c r="H15710" s="13" t="s">
        <v>13311</v>
      </c>
      <c r="I15710" s="40" t="s">
        <v>18</v>
      </c>
      <c r="J15710" s="40" t="str">
        <f>HYPERLINK("https://stock.pstatic.net/stock-research/company/57/20250106_company_914100000.pdf","PDF")</f>
        <v>PDF</v>
      </c>
      <c r="K15710" s="12" t="s">
        <v>30154</v>
      </c>
      <c r="L15710" s="20">
        <v>0.484375</v>
      </c>
    </row>
    <row r="15711" spans="1:12" x14ac:dyDescent="0.45">
      <c r="A15711" s="12" t="s">
        <v>30139</v>
      </c>
      <c r="B15711" s="12" t="s">
        <v>13</v>
      </c>
      <c r="C15711" s="13" t="s">
        <v>14</v>
      </c>
      <c r="D15711" s="13" t="s">
        <v>65</v>
      </c>
      <c r="E15711" s="12" t="s">
        <v>35</v>
      </c>
      <c r="F15711" s="14">
        <v>84000</v>
      </c>
      <c r="G15711" s="14">
        <v>54400</v>
      </c>
      <c r="H15711" s="13" t="s">
        <v>30155</v>
      </c>
      <c r="I15711" s="40" t="s">
        <v>18</v>
      </c>
      <c r="J15711" s="40" t="str">
        <f>HYPERLINK("https://stock.pstatic.net/stock-research/company/1/20250106_company_143219000.pdf","PDF")</f>
        <v>PDF</v>
      </c>
      <c r="K15711" s="12" t="s">
        <v>30156</v>
      </c>
      <c r="L15711" s="20">
        <v>0.54411764705882348</v>
      </c>
    </row>
    <row r="15712" spans="1:12" x14ac:dyDescent="0.45">
      <c r="A15712" s="12" t="s">
        <v>30139</v>
      </c>
      <c r="B15712" s="12" t="s">
        <v>1781</v>
      </c>
      <c r="C15712" s="13" t="s">
        <v>1782</v>
      </c>
      <c r="D15712" s="13" t="s">
        <v>65</v>
      </c>
      <c r="E15712" s="12" t="s">
        <v>35</v>
      </c>
      <c r="F15712" s="14">
        <v>125000</v>
      </c>
      <c r="G15712" s="14">
        <v>85100</v>
      </c>
      <c r="H15712" s="13" t="s">
        <v>30157</v>
      </c>
      <c r="I15712" s="40" t="s">
        <v>18</v>
      </c>
      <c r="J15712" s="40" t="str">
        <f>HYPERLINK("https://stock.pstatic.net/stock-research/company/57/20250106_company_967139000.pdf","PDF")</f>
        <v>PDF</v>
      </c>
      <c r="K15712" s="12" t="s">
        <v>30158</v>
      </c>
      <c r="L15712" s="20">
        <v>0.46886016451233842</v>
      </c>
    </row>
    <row r="15713" spans="1:12" x14ac:dyDescent="0.45">
      <c r="A15713" s="12" t="s">
        <v>30139</v>
      </c>
      <c r="B15713" s="12" t="s">
        <v>916</v>
      </c>
      <c r="C15713" s="13" t="s">
        <v>917</v>
      </c>
      <c r="D15713" s="13" t="s">
        <v>57</v>
      </c>
      <c r="E15713" s="12" t="s">
        <v>35</v>
      </c>
      <c r="F15713" s="14">
        <v>52000</v>
      </c>
      <c r="G15713" s="14">
        <v>38050</v>
      </c>
      <c r="H15713" s="13" t="s">
        <v>30159</v>
      </c>
      <c r="I15713" s="40" t="s">
        <v>18</v>
      </c>
      <c r="J15713" s="40" t="str">
        <f>HYPERLINK("https://stock.pstatic.net/stock-research/company/16/20250106_company_459281000.pdf","PDF")</f>
        <v>PDF</v>
      </c>
      <c r="K15713" s="12" t="s">
        <v>30160</v>
      </c>
      <c r="L15713" s="20">
        <v>0.36662286465177402</v>
      </c>
    </row>
    <row r="15714" spans="1:12" x14ac:dyDescent="0.45">
      <c r="A15714" s="12" t="s">
        <v>30139</v>
      </c>
      <c r="B15714" s="12" t="s">
        <v>908</v>
      </c>
      <c r="C15714" s="13" t="s">
        <v>909</v>
      </c>
      <c r="D15714" s="13" t="s">
        <v>57</v>
      </c>
      <c r="E15714" s="12" t="s">
        <v>35</v>
      </c>
      <c r="F15714" s="14">
        <v>190000</v>
      </c>
      <c r="G15714" s="14">
        <v>128000</v>
      </c>
      <c r="H15714" s="13" t="s">
        <v>30161</v>
      </c>
      <c r="I15714" s="40" t="s">
        <v>18</v>
      </c>
      <c r="J15714" s="40" t="str">
        <f>HYPERLINK("https://stock.pstatic.net/stock-research/company/16/20250106_company_705060000.pdf","PDF")</f>
        <v>PDF</v>
      </c>
      <c r="K15714" s="12" t="s">
        <v>30162</v>
      </c>
      <c r="L15714" s="20">
        <v>0.484375</v>
      </c>
    </row>
    <row r="15715" spans="1:12" x14ac:dyDescent="0.45">
      <c r="A15715" s="12" t="s">
        <v>30139</v>
      </c>
      <c r="B15715" s="12" t="s">
        <v>13983</v>
      </c>
      <c r="C15715" s="13" t="s">
        <v>13984</v>
      </c>
      <c r="D15715" s="13" t="s">
        <v>57</v>
      </c>
      <c r="E15715" s="12" t="s">
        <v>35</v>
      </c>
      <c r="F15715" s="14">
        <v>9000</v>
      </c>
      <c r="G15715" s="14">
        <v>7000</v>
      </c>
      <c r="H15715" s="13" t="s">
        <v>30163</v>
      </c>
      <c r="I15715" s="40" t="s">
        <v>18</v>
      </c>
      <c r="J15715" s="40" t="str">
        <f>HYPERLINK("https://stock.pstatic.net/stock-research/company/16/20250106_company_896020000.pdf","PDF")</f>
        <v>PDF</v>
      </c>
      <c r="K15715" s="12" t="s">
        <v>30164</v>
      </c>
      <c r="L15715" s="20">
        <v>0.2857142857142857</v>
      </c>
    </row>
    <row r="15716" spans="1:12" x14ac:dyDescent="0.45">
      <c r="A15716" s="12" t="s">
        <v>30139</v>
      </c>
      <c r="B15716" s="12" t="s">
        <v>118</v>
      </c>
      <c r="C15716" s="13" t="s">
        <v>119</v>
      </c>
      <c r="D15716" s="13" t="s">
        <v>57</v>
      </c>
      <c r="E15716" s="12" t="s">
        <v>35</v>
      </c>
      <c r="F15716" s="14">
        <v>88000</v>
      </c>
      <c r="G15716" s="14">
        <v>62700</v>
      </c>
      <c r="H15716" s="13" t="s">
        <v>30165</v>
      </c>
      <c r="I15716" s="40" t="s">
        <v>18</v>
      </c>
      <c r="J15716" s="40" t="str">
        <f>HYPERLINK("https://stock.pstatic.net/stock-research/company/16/20250106_company_629822000.pdf","PDF")</f>
        <v>PDF</v>
      </c>
      <c r="K15716" s="12" t="s">
        <v>30166</v>
      </c>
      <c r="L15716" s="20">
        <v>0.40350877192982448</v>
      </c>
    </row>
    <row r="15717" spans="1:12" x14ac:dyDescent="0.45">
      <c r="A15717" s="12" t="s">
        <v>30139</v>
      </c>
      <c r="B15717" s="12" t="s">
        <v>3164</v>
      </c>
      <c r="C15717" s="13" t="s">
        <v>3165</v>
      </c>
      <c r="D15717" s="13" t="s">
        <v>57</v>
      </c>
      <c r="E15717" s="12" t="s">
        <v>35</v>
      </c>
      <c r="F15717" s="14">
        <v>43000</v>
      </c>
      <c r="G15717" s="14">
        <v>25850</v>
      </c>
      <c r="H15717" s="13" t="s">
        <v>30167</v>
      </c>
      <c r="I15717" s="40" t="s">
        <v>18</v>
      </c>
      <c r="J15717" s="40" t="str">
        <f>HYPERLINK("https://stock.pstatic.net/stock-research/company/16/20250106_company_398480000.pdf","PDF")</f>
        <v>PDF</v>
      </c>
      <c r="K15717" s="12" t="s">
        <v>30168</v>
      </c>
      <c r="L15717" s="20">
        <v>0.66344294003868476</v>
      </c>
    </row>
    <row r="15718" spans="1:12" x14ac:dyDescent="0.45">
      <c r="A15718" s="12" t="s">
        <v>30139</v>
      </c>
      <c r="B15718" s="12" t="s">
        <v>495</v>
      </c>
      <c r="C15718" s="13" t="s">
        <v>496</v>
      </c>
      <c r="D15718" s="13" t="s">
        <v>158</v>
      </c>
      <c r="E15718" s="12" t="s">
        <v>35</v>
      </c>
      <c r="F15718" s="14">
        <v>66000</v>
      </c>
      <c r="G15718" s="14">
        <v>54100</v>
      </c>
      <c r="H15718" s="13" t="s">
        <v>30169</v>
      </c>
      <c r="I15718" s="40" t="s">
        <v>18</v>
      </c>
      <c r="J15718" s="40" t="str">
        <f>HYPERLINK("https://stock.pstatic.net/stock-research/company/18/20250106_company_842066000.pdf","PDF")</f>
        <v>PDF</v>
      </c>
      <c r="K15718" s="12" t="s">
        <v>30170</v>
      </c>
      <c r="L15718" s="20">
        <v>0.21996303142329021</v>
      </c>
    </row>
    <row r="15719" spans="1:12" x14ac:dyDescent="0.45">
      <c r="A15719" s="12" t="s">
        <v>30139</v>
      </c>
      <c r="B15719" s="12" t="s">
        <v>756</v>
      </c>
      <c r="C15719" s="13" t="s">
        <v>757</v>
      </c>
      <c r="D15719" s="13" t="s">
        <v>158</v>
      </c>
      <c r="E15719" s="12" t="s">
        <v>35</v>
      </c>
      <c r="F15719" s="14">
        <v>90000</v>
      </c>
      <c r="G15719" s="14">
        <v>56300</v>
      </c>
      <c r="H15719" s="13" t="s">
        <v>30171</v>
      </c>
      <c r="I15719" s="40" t="s">
        <v>18</v>
      </c>
      <c r="J15719" s="40" t="str">
        <f>HYPERLINK("https://stock.pstatic.net/stock-research/company/1/20250106_company_443240000.pdf","PDF")</f>
        <v>PDF</v>
      </c>
      <c r="K15719" s="12" t="s">
        <v>30172</v>
      </c>
      <c r="L15719" s="20">
        <v>0.59857904085257552</v>
      </c>
    </row>
    <row r="15720" spans="1:12" x14ac:dyDescent="0.45">
      <c r="A15720" s="12" t="s">
        <v>30139</v>
      </c>
      <c r="B15720" s="12" t="s">
        <v>2191</v>
      </c>
      <c r="C15720" s="13" t="s">
        <v>2192</v>
      </c>
      <c r="D15720" s="13" t="s">
        <v>158</v>
      </c>
      <c r="E15720" s="12" t="s">
        <v>35</v>
      </c>
      <c r="F15720" s="14">
        <v>80000</v>
      </c>
      <c r="G15720" s="14">
        <v>54400</v>
      </c>
      <c r="H15720" s="13" t="s">
        <v>30173</v>
      </c>
      <c r="I15720" s="40" t="s">
        <v>18</v>
      </c>
      <c r="J15720" s="40" t="str">
        <f>HYPERLINK("https://stock.pstatic.net/stock-research/company/1/20250106_company_739253000.pdf","PDF")</f>
        <v>PDF</v>
      </c>
      <c r="K15720" s="12" t="s">
        <v>30174</v>
      </c>
      <c r="L15720" s="20">
        <v>0.47058823529411759</v>
      </c>
    </row>
    <row r="15721" spans="1:12" x14ac:dyDescent="0.45">
      <c r="A15721" s="12" t="s">
        <v>30139</v>
      </c>
      <c r="B15721" s="12" t="s">
        <v>434</v>
      </c>
      <c r="C15721" s="13" t="s">
        <v>435</v>
      </c>
      <c r="D15721" s="13" t="s">
        <v>158</v>
      </c>
      <c r="E15721" s="12" t="s">
        <v>35</v>
      </c>
      <c r="F15721" s="14">
        <v>160000</v>
      </c>
      <c r="G15721" s="14">
        <v>108100</v>
      </c>
      <c r="H15721" s="13" t="s">
        <v>30175</v>
      </c>
      <c r="I15721" s="40" t="s">
        <v>18</v>
      </c>
      <c r="J15721" s="40" t="str">
        <f>HYPERLINK("https://stock.pstatic.net/stock-research/company/18/20250106_company_727175000.pdf","PDF")</f>
        <v>PDF</v>
      </c>
      <c r="K15721" s="12" t="s">
        <v>30176</v>
      </c>
      <c r="L15721" s="20">
        <v>0.48011100832562442</v>
      </c>
    </row>
    <row r="15722" spans="1:12" x14ac:dyDescent="0.45">
      <c r="A15722" s="12" t="s">
        <v>30139</v>
      </c>
      <c r="B15722" s="12" t="s">
        <v>32</v>
      </c>
      <c r="C15722" s="13" t="s">
        <v>33</v>
      </c>
      <c r="D15722" s="13" t="s">
        <v>15</v>
      </c>
      <c r="E15722" s="12" t="s">
        <v>16</v>
      </c>
      <c r="F15722" s="14">
        <v>200000</v>
      </c>
      <c r="G15722" s="14">
        <v>122300</v>
      </c>
      <c r="H15722" s="13" t="s">
        <v>30177</v>
      </c>
      <c r="I15722" s="40" t="s">
        <v>18</v>
      </c>
      <c r="J15722" s="40" t="str">
        <f>HYPERLINK("https://stock.pstatic.net/stock-research/company/29/20250106_company_354476000.pdf","PDF")</f>
        <v>PDF</v>
      </c>
      <c r="K15722" s="12" t="s">
        <v>30178</v>
      </c>
      <c r="L15722" s="20">
        <v>0.63532297628781687</v>
      </c>
    </row>
    <row r="15723" spans="1:12" x14ac:dyDescent="0.45">
      <c r="A15723" s="12" t="s">
        <v>30139</v>
      </c>
      <c r="B15723" s="12" t="s">
        <v>2522</v>
      </c>
      <c r="C15723" s="13" t="s">
        <v>2523</v>
      </c>
      <c r="D15723" s="13" t="s">
        <v>92</v>
      </c>
      <c r="E15723" s="12" t="s">
        <v>35</v>
      </c>
      <c r="F15723" s="14">
        <v>450000</v>
      </c>
      <c r="G15723" s="14">
        <v>335000</v>
      </c>
      <c r="H15723" s="13" t="s">
        <v>30179</v>
      </c>
      <c r="I15723" s="40" t="s">
        <v>18</v>
      </c>
      <c r="J15723" s="40" t="str">
        <f>HYPERLINK("https://stock.pstatic.net/stock-research/company/63/20250106_company_592951000.pdf","PDF")</f>
        <v>PDF</v>
      </c>
      <c r="K15723" s="12" t="s">
        <v>30180</v>
      </c>
      <c r="L15723" s="20">
        <v>0.34328358208955218</v>
      </c>
    </row>
    <row r="15724" spans="1:12" x14ac:dyDescent="0.45">
      <c r="A15724" s="12" t="s">
        <v>30139</v>
      </c>
      <c r="B15724" s="12" t="s">
        <v>264</v>
      </c>
      <c r="C15724" s="13" t="s">
        <v>265</v>
      </c>
      <c r="D15724" s="13" t="s">
        <v>34</v>
      </c>
      <c r="E15724" s="12" t="s">
        <v>35</v>
      </c>
      <c r="F15724" s="14">
        <v>130000</v>
      </c>
      <c r="G15724" s="14">
        <v>98000</v>
      </c>
      <c r="H15724" s="13" t="s">
        <v>30181</v>
      </c>
      <c r="I15724" s="40" t="s">
        <v>18</v>
      </c>
      <c r="J15724" s="40" t="str">
        <f>HYPERLINK("https://stock.pstatic.net/stock-research/company/61/20250106_company_366449000.pdf","PDF")</f>
        <v>PDF</v>
      </c>
      <c r="K15724" s="12" t="s">
        <v>30182</v>
      </c>
      <c r="L15724" s="20">
        <v>0.32653061224489788</v>
      </c>
    </row>
    <row r="15725" spans="1:12" x14ac:dyDescent="0.45">
      <c r="A15725" s="12" t="s">
        <v>30139</v>
      </c>
      <c r="B15725" s="12" t="s">
        <v>362</v>
      </c>
      <c r="C15725" s="13" t="s">
        <v>363</v>
      </c>
      <c r="D15725" s="13" t="s">
        <v>34</v>
      </c>
      <c r="E15725" s="12" t="s">
        <v>35</v>
      </c>
      <c r="F15725" s="14">
        <v>115000</v>
      </c>
      <c r="G15725" s="14">
        <v>74100</v>
      </c>
      <c r="H15725" s="13" t="s">
        <v>28710</v>
      </c>
      <c r="I15725" s="40" t="s">
        <v>18</v>
      </c>
      <c r="J15725" s="40" t="str">
        <f>HYPERLINK("https://stock.pstatic.net/stock-research/company/61/20250106_company_943620000.pdf","PDF")</f>
        <v>PDF</v>
      </c>
      <c r="K15725" s="12" t="s">
        <v>30183</v>
      </c>
      <c r="L15725" s="20">
        <v>0.55195681511470984</v>
      </c>
    </row>
    <row r="15726" spans="1:12" x14ac:dyDescent="0.45">
      <c r="A15726" s="12" t="s">
        <v>30139</v>
      </c>
      <c r="B15726" s="12" t="s">
        <v>2414</v>
      </c>
      <c r="C15726" s="13" t="s">
        <v>2415</v>
      </c>
      <c r="D15726" s="13" t="s">
        <v>34</v>
      </c>
      <c r="E15726" s="12" t="s">
        <v>35</v>
      </c>
      <c r="F15726" s="14">
        <v>350000</v>
      </c>
      <c r="G15726" s="14">
        <v>289500</v>
      </c>
      <c r="H15726" s="13" t="s">
        <v>30181</v>
      </c>
      <c r="I15726" s="40" t="s">
        <v>18</v>
      </c>
      <c r="J15726" s="40" t="str">
        <f>HYPERLINK("https://stock.pstatic.net/stock-research/company/61/20250106_company_170398000.pdf","PDF")</f>
        <v>PDF</v>
      </c>
      <c r="K15726" s="12" t="s">
        <v>30184</v>
      </c>
      <c r="L15726" s="20">
        <v>0.2089810017271157</v>
      </c>
    </row>
    <row r="15727" spans="1:12" x14ac:dyDescent="0.45">
      <c r="A15727" s="12" t="s">
        <v>30139</v>
      </c>
      <c r="B15727" s="12" t="s">
        <v>698</v>
      </c>
      <c r="C15727" s="13" t="s">
        <v>699</v>
      </c>
      <c r="D15727" s="13" t="s">
        <v>34</v>
      </c>
      <c r="E15727" s="12" t="s">
        <v>35</v>
      </c>
      <c r="F15727" s="14">
        <v>200000</v>
      </c>
      <c r="G15727" s="14">
        <v>135000</v>
      </c>
      <c r="H15727" s="13" t="s">
        <v>30181</v>
      </c>
      <c r="I15727" s="40" t="s">
        <v>18</v>
      </c>
      <c r="J15727" s="40" t="str">
        <f>HYPERLINK("https://stock.pstatic.net/stock-research/company/61/20250106_company_648901000.pdf","PDF")</f>
        <v>PDF</v>
      </c>
      <c r="K15727" s="12" t="s">
        <v>30185</v>
      </c>
      <c r="L15727" s="20">
        <v>0.48148148148148151</v>
      </c>
    </row>
    <row r="15728" spans="1:12" x14ac:dyDescent="0.45">
      <c r="A15728" s="12" t="s">
        <v>30139</v>
      </c>
      <c r="B15728" s="12" t="s">
        <v>1781</v>
      </c>
      <c r="C15728" s="13" t="s">
        <v>1782</v>
      </c>
      <c r="D15728" s="13" t="s">
        <v>34</v>
      </c>
      <c r="E15728" s="12" t="s">
        <v>35</v>
      </c>
      <c r="F15728" s="14">
        <v>110000</v>
      </c>
      <c r="G15728" s="14">
        <v>85100</v>
      </c>
      <c r="H15728" s="13" t="s">
        <v>30186</v>
      </c>
      <c r="I15728" s="40" t="s">
        <v>18</v>
      </c>
      <c r="J15728" s="40" t="str">
        <f>HYPERLINK("https://stock.pstatic.net/stock-research/company/61/20250106_company_925234000.pdf","PDF")</f>
        <v>PDF</v>
      </c>
      <c r="K15728" s="12" t="s">
        <v>30187</v>
      </c>
      <c r="L15728" s="20">
        <v>0.29259694477085779</v>
      </c>
    </row>
    <row r="15729" spans="1:12" x14ac:dyDescent="0.45">
      <c r="A15729" s="12" t="s">
        <v>30139</v>
      </c>
      <c r="B15729" s="12" t="s">
        <v>22333</v>
      </c>
      <c r="C15729" s="13" t="s">
        <v>22334</v>
      </c>
      <c r="D15729" s="13" t="s">
        <v>53</v>
      </c>
      <c r="E15729" s="12" t="s">
        <v>16</v>
      </c>
      <c r="F15729" s="14">
        <v>74000</v>
      </c>
      <c r="G15729" s="14">
        <v>52500</v>
      </c>
      <c r="H15729" s="13" t="s">
        <v>30188</v>
      </c>
      <c r="I15729" s="40" t="s">
        <v>18</v>
      </c>
      <c r="J15729" s="40" t="str">
        <f>HYPERLINK("https://stock.pstatic.net/stock-research/company/40/20250106_company_829914000.pdf","PDF")</f>
        <v>PDF</v>
      </c>
      <c r="K15729" s="12" t="s">
        <v>30189</v>
      </c>
      <c r="L15729" s="20">
        <v>0.40952380952380951</v>
      </c>
    </row>
    <row r="15730" spans="1:12" x14ac:dyDescent="0.45">
      <c r="A15730" s="12" t="s">
        <v>30139</v>
      </c>
      <c r="B15730" s="12" t="s">
        <v>2205</v>
      </c>
      <c r="C15730" s="13" t="s">
        <v>2206</v>
      </c>
      <c r="D15730" s="13" t="s">
        <v>23</v>
      </c>
      <c r="E15730" s="12" t="s">
        <v>16</v>
      </c>
      <c r="F15730" s="14">
        <v>40000</v>
      </c>
      <c r="G15730" s="14">
        <v>27550</v>
      </c>
      <c r="H15730" s="13" t="s">
        <v>11729</v>
      </c>
      <c r="I15730" s="40" t="s">
        <v>18</v>
      </c>
      <c r="J15730" s="40" t="str">
        <f>HYPERLINK("https://stock.pstatic.net/stock-research/company/21/20250106_company_395042000.pdf","PDF")</f>
        <v>PDF</v>
      </c>
      <c r="K15730" s="12" t="s">
        <v>30190</v>
      </c>
      <c r="L15730" s="20">
        <v>0.4519056261343013</v>
      </c>
    </row>
    <row r="15731" spans="1:12" x14ac:dyDescent="0.45">
      <c r="A15731" s="12" t="s">
        <v>30139</v>
      </c>
      <c r="B15731" s="12" t="s">
        <v>740</v>
      </c>
      <c r="C15731" s="13" t="s">
        <v>741</v>
      </c>
      <c r="D15731" s="13" t="s">
        <v>34</v>
      </c>
      <c r="E15731" s="12" t="s">
        <v>35</v>
      </c>
      <c r="F15731" s="14">
        <v>205000</v>
      </c>
      <c r="G15731" s="14">
        <v>160300</v>
      </c>
      <c r="H15731" s="13" t="s">
        <v>30191</v>
      </c>
      <c r="I15731" s="40" t="s">
        <v>18</v>
      </c>
      <c r="J15731" s="40" t="str">
        <f>HYPERLINK("https://stock.pstatic.net/stock-research/company/61/20250106_company_688132000.pdf","PDF")</f>
        <v>PDF</v>
      </c>
      <c r="K15731" s="12" t="s">
        <v>30192</v>
      </c>
      <c r="L15731" s="20">
        <v>0.27885215221459758</v>
      </c>
    </row>
    <row r="15732" spans="1:12" x14ac:dyDescent="0.45">
      <c r="A15732" s="12" t="s">
        <v>30139</v>
      </c>
      <c r="B15732" s="12" t="s">
        <v>334</v>
      </c>
      <c r="C15732" s="13" t="s">
        <v>335</v>
      </c>
      <c r="D15732" s="13" t="s">
        <v>179</v>
      </c>
      <c r="E15732" s="12" t="s">
        <v>16</v>
      </c>
      <c r="F15732" s="14">
        <v>300000</v>
      </c>
      <c r="G15732" s="14">
        <v>181900</v>
      </c>
      <c r="H15732" s="13" t="s">
        <v>30193</v>
      </c>
      <c r="I15732" s="40" t="s">
        <v>18</v>
      </c>
      <c r="J15732" s="40" t="str">
        <f>HYPERLINK("https://m.stock.naver.com/research/company/79550","PDF")</f>
        <v>PDF</v>
      </c>
      <c r="K15732" s="12" t="s">
        <v>30194</v>
      </c>
      <c r="L15732" s="20">
        <v>0.64925783397471137</v>
      </c>
    </row>
    <row r="15733" spans="1:12" x14ac:dyDescent="0.45">
      <c r="A15733" s="12" t="s">
        <v>30139</v>
      </c>
      <c r="B15733" s="12" t="s">
        <v>13</v>
      </c>
      <c r="C15733" s="13" t="s">
        <v>14</v>
      </c>
      <c r="D15733" s="13" t="s">
        <v>179</v>
      </c>
      <c r="E15733" s="12" t="s">
        <v>16</v>
      </c>
      <c r="F15733" s="14">
        <v>77000</v>
      </c>
      <c r="G15733" s="14">
        <v>54400</v>
      </c>
      <c r="H15733" s="13" t="s">
        <v>30195</v>
      </c>
      <c r="I15733" s="40" t="s">
        <v>18</v>
      </c>
      <c r="J15733" s="40" t="str">
        <f>HYPERLINK("https://stock.pstatic.net/stock-research/company/31/20250106_company_408407000.pdf","PDF")</f>
        <v>PDF</v>
      </c>
      <c r="K15733" s="12" t="s">
        <v>30196</v>
      </c>
      <c r="L15733" s="20">
        <v>0.41544117647058831</v>
      </c>
    </row>
    <row r="15734" spans="1:12" x14ac:dyDescent="0.45">
      <c r="A15734" s="12" t="s">
        <v>30139</v>
      </c>
      <c r="B15734" s="12" t="s">
        <v>322</v>
      </c>
      <c r="C15734" s="13" t="s">
        <v>323</v>
      </c>
      <c r="D15734" s="13" t="s">
        <v>44</v>
      </c>
      <c r="E15734" s="12" t="s">
        <v>50</v>
      </c>
      <c r="F15734" s="13"/>
      <c r="G15734" s="14">
        <v>27100</v>
      </c>
      <c r="H15734" s="13" t="s">
        <v>30197</v>
      </c>
      <c r="I15734" s="40" t="s">
        <v>18</v>
      </c>
      <c r="J15734" s="40" t="str">
        <f>HYPERLINK("https://stock.pstatic.net/stock-research/company/39/20250106_company_140574000.pdf","PDF")</f>
        <v>PDF</v>
      </c>
      <c r="K15734" s="12" t="s">
        <v>30198</v>
      </c>
    </row>
    <row r="15735" spans="1:12" x14ac:dyDescent="0.45">
      <c r="A15735" s="12" t="s">
        <v>30139</v>
      </c>
      <c r="B15735" s="12" t="s">
        <v>7072</v>
      </c>
      <c r="C15735" s="13" t="s">
        <v>7073</v>
      </c>
      <c r="D15735" s="13" t="s">
        <v>124</v>
      </c>
      <c r="E15735" s="12" t="s">
        <v>50</v>
      </c>
      <c r="F15735" s="13"/>
      <c r="G15735" s="13"/>
      <c r="H15735" s="13" t="s">
        <v>30199</v>
      </c>
      <c r="I15735" s="40" t="s">
        <v>18</v>
      </c>
      <c r="J15735" s="40" t="str">
        <f>HYPERLINK("https://stock.pstatic.net/stock-research/company/74/20250106_company_931267000.pdf","PDF")</f>
        <v>PDF</v>
      </c>
      <c r="K15735" s="12" t="s">
        <v>30200</v>
      </c>
    </row>
    <row r="15736" spans="1:12" x14ac:dyDescent="0.45">
      <c r="A15736" s="12" t="s">
        <v>30201</v>
      </c>
      <c r="B15736" s="12" t="s">
        <v>2089</v>
      </c>
      <c r="C15736" s="13" t="s">
        <v>2090</v>
      </c>
      <c r="D15736" s="13" t="s">
        <v>158</v>
      </c>
      <c r="E15736" s="12" t="s">
        <v>35</v>
      </c>
      <c r="F15736" s="14">
        <v>90000</v>
      </c>
      <c r="G15736" s="14">
        <v>54800</v>
      </c>
      <c r="H15736" s="13" t="s">
        <v>30202</v>
      </c>
      <c r="I15736" s="40" t="s">
        <v>18</v>
      </c>
      <c r="J15736" s="40" t="str">
        <f>HYPERLINK("https://stock.pstatic.net/stock-research/company/18/20250103_company_503432000.pdf","PDF")</f>
        <v>PDF</v>
      </c>
      <c r="K15736" s="12" t="s">
        <v>30203</v>
      </c>
      <c r="L15736" s="20">
        <v>0.64233576642335766</v>
      </c>
    </row>
    <row r="15737" spans="1:12" x14ac:dyDescent="0.45">
      <c r="A15737" s="12" t="s">
        <v>30201</v>
      </c>
      <c r="B15737" s="12" t="s">
        <v>1781</v>
      </c>
      <c r="C15737" s="13" t="s">
        <v>1782</v>
      </c>
      <c r="D15737" s="13" t="s">
        <v>60</v>
      </c>
      <c r="E15737" s="12" t="s">
        <v>35</v>
      </c>
      <c r="F15737" s="14">
        <v>130000</v>
      </c>
      <c r="G15737" s="14">
        <v>84000</v>
      </c>
      <c r="H15737" s="13" t="s">
        <v>29939</v>
      </c>
      <c r="I15737" s="40" t="s">
        <v>18</v>
      </c>
      <c r="J15737" s="40" t="str">
        <f>HYPERLINK("https://stock.pstatic.net/stock-research/company/34/20250103_company_583957000.pdf","PDF")</f>
        <v>PDF</v>
      </c>
      <c r="K15737" s="12" t="s">
        <v>30204</v>
      </c>
      <c r="L15737" s="20">
        <v>0.54761904761904767</v>
      </c>
    </row>
    <row r="15738" spans="1:12" x14ac:dyDescent="0.45">
      <c r="A15738" s="12" t="s">
        <v>30201</v>
      </c>
      <c r="B15738" s="12" t="s">
        <v>740</v>
      </c>
      <c r="C15738" s="13" t="s">
        <v>741</v>
      </c>
      <c r="D15738" s="13" t="s">
        <v>65</v>
      </c>
      <c r="E15738" s="12" t="s">
        <v>35</v>
      </c>
      <c r="F15738" s="14">
        <v>255000</v>
      </c>
      <c r="G15738" s="14">
        <v>157500</v>
      </c>
      <c r="H15738" s="13" t="s">
        <v>30205</v>
      </c>
      <c r="I15738" s="40" t="s">
        <v>18</v>
      </c>
      <c r="J15738" s="40" t="str">
        <f>HYPERLINK("https://m.stock.naver.com/research/company/79544","PDF")</f>
        <v>PDF</v>
      </c>
      <c r="K15738" s="12" t="s">
        <v>30206</v>
      </c>
      <c r="L15738" s="20">
        <v>0.61904761904761907</v>
      </c>
    </row>
    <row r="15739" spans="1:12" x14ac:dyDescent="0.45">
      <c r="A15739" s="12" t="s">
        <v>30201</v>
      </c>
      <c r="B15739" s="12" t="s">
        <v>3164</v>
      </c>
      <c r="C15739" s="13" t="s">
        <v>3165</v>
      </c>
      <c r="D15739" s="13" t="s">
        <v>65</v>
      </c>
      <c r="E15739" s="12" t="s">
        <v>35</v>
      </c>
      <c r="F15739" s="14">
        <v>36000</v>
      </c>
      <c r="G15739" s="14">
        <v>25450</v>
      </c>
      <c r="H15739" s="13" t="s">
        <v>30207</v>
      </c>
      <c r="I15739" s="40" t="s">
        <v>18</v>
      </c>
      <c r="J15739" s="40" t="str">
        <f>HYPERLINK("https://stock.pstatic.net/stock-research/company/57/20250103_company_802015000.pdf","PDF")</f>
        <v>PDF</v>
      </c>
      <c r="K15739" s="12" t="s">
        <v>30208</v>
      </c>
      <c r="L15739" s="20">
        <v>0.41453831041257372</v>
      </c>
    </row>
    <row r="15740" spans="1:12" x14ac:dyDescent="0.45">
      <c r="A15740" s="12" t="s">
        <v>30201</v>
      </c>
      <c r="B15740" s="12" t="s">
        <v>3749</v>
      </c>
      <c r="C15740" s="13" t="s">
        <v>3750</v>
      </c>
      <c r="D15740" s="13" t="s">
        <v>65</v>
      </c>
      <c r="E15740" s="12" t="s">
        <v>35</v>
      </c>
      <c r="F15740" s="14">
        <v>164000</v>
      </c>
      <c r="G15740" s="14">
        <v>133800</v>
      </c>
      <c r="H15740" s="13" t="s">
        <v>30209</v>
      </c>
      <c r="I15740" s="40" t="s">
        <v>18</v>
      </c>
      <c r="J15740" s="40" t="str">
        <f>HYPERLINK("https://stock.pstatic.net/stock-research/company/57/20250103_company_71817000.pdf","PDF")</f>
        <v>PDF</v>
      </c>
      <c r="K15740" s="12" t="s">
        <v>30210</v>
      </c>
      <c r="L15740" s="20">
        <v>0.22571001494768311</v>
      </c>
    </row>
    <row r="15741" spans="1:12" x14ac:dyDescent="0.45">
      <c r="A15741" s="12" t="s">
        <v>30201</v>
      </c>
      <c r="B15741" s="12" t="s">
        <v>537</v>
      </c>
      <c r="C15741" s="13" t="s">
        <v>538</v>
      </c>
      <c r="D15741" s="13" t="s">
        <v>65</v>
      </c>
      <c r="E15741" s="12" t="s">
        <v>35</v>
      </c>
      <c r="F15741" s="14">
        <v>14000</v>
      </c>
      <c r="G15741" s="14">
        <v>10380</v>
      </c>
      <c r="H15741" s="13" t="s">
        <v>30211</v>
      </c>
      <c r="I15741" s="40" t="s">
        <v>18</v>
      </c>
      <c r="J15741" s="40" t="str">
        <f>HYPERLINK("https://m.stock.naver.com/research/company/79541","PDF")</f>
        <v>PDF</v>
      </c>
      <c r="K15741" s="12" t="s">
        <v>30212</v>
      </c>
      <c r="L15741" s="20">
        <v>0.34874759152215801</v>
      </c>
    </row>
    <row r="15742" spans="1:12" x14ac:dyDescent="0.45">
      <c r="A15742" s="12" t="s">
        <v>30201</v>
      </c>
      <c r="B15742" s="12" t="s">
        <v>533</v>
      </c>
      <c r="C15742" s="13" t="s">
        <v>534</v>
      </c>
      <c r="D15742" s="13" t="s">
        <v>65</v>
      </c>
      <c r="E15742" s="12" t="s">
        <v>35</v>
      </c>
      <c r="F15742" s="14">
        <v>60000</v>
      </c>
      <c r="G15742" s="14">
        <v>43950</v>
      </c>
      <c r="H15742" s="13" t="s">
        <v>30213</v>
      </c>
      <c r="I15742" s="40" t="s">
        <v>18</v>
      </c>
      <c r="J15742" s="40" t="str">
        <f>HYPERLINK("https://stock.pstatic.net/stock-research/company/57/20250103_company_837819000.pdf","PDF")</f>
        <v>PDF</v>
      </c>
      <c r="K15742" s="12" t="s">
        <v>30214</v>
      </c>
      <c r="L15742" s="20">
        <v>0.3651877133105802</v>
      </c>
    </row>
    <row r="15743" spans="1:12" x14ac:dyDescent="0.45">
      <c r="A15743" s="12" t="s">
        <v>30201</v>
      </c>
      <c r="B15743" s="12" t="s">
        <v>541</v>
      </c>
      <c r="C15743" s="13" t="s">
        <v>542</v>
      </c>
      <c r="D15743" s="13" t="s">
        <v>65</v>
      </c>
      <c r="E15743" s="12" t="s">
        <v>35</v>
      </c>
      <c r="F15743" s="14">
        <v>70000</v>
      </c>
      <c r="G15743" s="14">
        <v>56100</v>
      </c>
      <c r="H15743" s="13" t="s">
        <v>30215</v>
      </c>
      <c r="I15743" s="40" t="s">
        <v>18</v>
      </c>
      <c r="J15743" s="40" t="str">
        <f>HYPERLINK("https://stock.pstatic.net/stock-research/company/57/20250103_company_279741000.pdf","PDF")</f>
        <v>PDF</v>
      </c>
      <c r="K15743" s="12" t="s">
        <v>30216</v>
      </c>
      <c r="L15743" s="20">
        <v>0.2477718360071301</v>
      </c>
    </row>
    <row r="15744" spans="1:12" x14ac:dyDescent="0.45">
      <c r="A15744" s="12" t="s">
        <v>30201</v>
      </c>
      <c r="B15744" s="12" t="s">
        <v>1741</v>
      </c>
      <c r="C15744" s="13" t="s">
        <v>1742</v>
      </c>
      <c r="D15744" s="13" t="s">
        <v>83</v>
      </c>
      <c r="E15744" s="12" t="s">
        <v>35</v>
      </c>
      <c r="F15744" s="14">
        <v>75000</v>
      </c>
      <c r="G15744" s="14">
        <v>54700</v>
      </c>
      <c r="H15744" s="13" t="s">
        <v>30217</v>
      </c>
      <c r="I15744" s="40" t="s">
        <v>18</v>
      </c>
      <c r="J15744" s="40" t="str">
        <f>HYPERLINK("https://stock.pstatic.net/stock-research/company/2/20250103_company_811872000.pdf","PDF")</f>
        <v>PDF</v>
      </c>
      <c r="K15744" s="12" t="s">
        <v>30218</v>
      </c>
      <c r="L15744" s="20">
        <v>0.37111517367458868</v>
      </c>
    </row>
    <row r="15745" spans="1:12" x14ac:dyDescent="0.45">
      <c r="A15745" s="12" t="s">
        <v>30201</v>
      </c>
      <c r="B15745" s="12" t="s">
        <v>677</v>
      </c>
      <c r="C15745" s="13" t="s">
        <v>678</v>
      </c>
      <c r="D15745" s="13" t="s">
        <v>83</v>
      </c>
      <c r="E15745" s="12" t="s">
        <v>35</v>
      </c>
      <c r="F15745" s="14">
        <v>21000</v>
      </c>
      <c r="G15745" s="14">
        <v>13750</v>
      </c>
      <c r="H15745" s="13" t="s">
        <v>30219</v>
      </c>
      <c r="I15745" s="40" t="s">
        <v>18</v>
      </c>
      <c r="J15745" s="40" t="str">
        <f>HYPERLINK("https://stock.pstatic.net/stock-research/company/2/20250103_company_974926000.pdf","PDF")</f>
        <v>PDF</v>
      </c>
      <c r="K15745" s="12" t="s">
        <v>30220</v>
      </c>
      <c r="L15745" s="20">
        <v>0.52727272727272723</v>
      </c>
    </row>
    <row r="15746" spans="1:12" x14ac:dyDescent="0.45">
      <c r="A15746" s="12" t="s">
        <v>30201</v>
      </c>
      <c r="B15746" s="12" t="s">
        <v>3749</v>
      </c>
      <c r="C15746" s="13" t="s">
        <v>3750</v>
      </c>
      <c r="D15746" s="13" t="s">
        <v>83</v>
      </c>
      <c r="E15746" s="12" t="s">
        <v>35</v>
      </c>
      <c r="F15746" s="14">
        <v>170000</v>
      </c>
      <c r="G15746" s="14">
        <v>133800</v>
      </c>
      <c r="H15746" s="13" t="s">
        <v>30221</v>
      </c>
      <c r="I15746" s="40" t="s">
        <v>18</v>
      </c>
      <c r="J15746" s="40" t="str">
        <f>HYPERLINK("https://m.stock.naver.com/research/company/79536","PDF")</f>
        <v>PDF</v>
      </c>
      <c r="K15746" s="12" t="s">
        <v>30222</v>
      </c>
      <c r="L15746" s="20">
        <v>0.27055306427503739</v>
      </c>
    </row>
    <row r="15747" spans="1:12" x14ac:dyDescent="0.45">
      <c r="A15747" s="12" t="s">
        <v>30201</v>
      </c>
      <c r="B15747" s="12" t="s">
        <v>2944</v>
      </c>
      <c r="C15747" s="13" t="s">
        <v>2945</v>
      </c>
      <c r="D15747" s="13" t="s">
        <v>44</v>
      </c>
      <c r="E15747" s="12" t="s">
        <v>35</v>
      </c>
      <c r="F15747" s="14">
        <v>14000</v>
      </c>
      <c r="G15747" s="14">
        <v>10510</v>
      </c>
      <c r="H15747" s="13" t="s">
        <v>30223</v>
      </c>
      <c r="I15747" s="40" t="s">
        <v>18</v>
      </c>
      <c r="J15747" s="40" t="str">
        <f>HYPERLINK("https://m.stock.naver.com/research/company/79535","PDF")</f>
        <v>PDF</v>
      </c>
      <c r="K15747" s="12" t="s">
        <v>30224</v>
      </c>
      <c r="L15747" s="20">
        <v>0.33206470028544238</v>
      </c>
    </row>
    <row r="15748" spans="1:12" x14ac:dyDescent="0.45">
      <c r="A15748" s="12" t="s">
        <v>30201</v>
      </c>
      <c r="B15748" s="12" t="s">
        <v>1918</v>
      </c>
      <c r="C15748" s="13" t="s">
        <v>1919</v>
      </c>
      <c r="D15748" s="13" t="s">
        <v>53</v>
      </c>
      <c r="E15748" s="12" t="s">
        <v>16</v>
      </c>
      <c r="F15748" s="14">
        <v>6250</v>
      </c>
      <c r="G15748" s="14">
        <v>5160</v>
      </c>
      <c r="H15748" s="13" t="s">
        <v>30225</v>
      </c>
      <c r="I15748" s="40" t="s">
        <v>18</v>
      </c>
      <c r="J15748" s="40" t="str">
        <f>HYPERLINK("https://stock.pstatic.net/stock-research/company/40/20250103_company_786217000.pdf","PDF")</f>
        <v>PDF</v>
      </c>
      <c r="K15748" s="12" t="s">
        <v>30226</v>
      </c>
      <c r="L15748" s="20">
        <v>0.21124031007751939</v>
      </c>
    </row>
    <row r="15749" spans="1:12" x14ac:dyDescent="0.45">
      <c r="A15749" s="12" t="s">
        <v>30201</v>
      </c>
      <c r="B15749" s="12" t="s">
        <v>3813</v>
      </c>
      <c r="C15749" s="13" t="s">
        <v>3814</v>
      </c>
      <c r="D15749" s="13" t="s">
        <v>44</v>
      </c>
      <c r="E15749" s="12" t="s">
        <v>35</v>
      </c>
      <c r="F15749" s="14">
        <v>13000</v>
      </c>
      <c r="G15749" s="14">
        <v>9060</v>
      </c>
      <c r="H15749" s="13" t="s">
        <v>30227</v>
      </c>
      <c r="I15749" s="40" t="s">
        <v>18</v>
      </c>
      <c r="J15749" s="40" t="str">
        <f>HYPERLINK("https://stock.pstatic.net/stock-research/company/39/20250103_company_751808000.pdf","PDF")</f>
        <v>PDF</v>
      </c>
      <c r="K15749" s="12" t="s">
        <v>30228</v>
      </c>
      <c r="L15749" s="20">
        <v>0.43487858719646799</v>
      </c>
    </row>
    <row r="15750" spans="1:12" x14ac:dyDescent="0.45">
      <c r="A15750" s="12" t="s">
        <v>30201</v>
      </c>
      <c r="B15750" s="12" t="s">
        <v>6575</v>
      </c>
      <c r="C15750" s="13" t="s">
        <v>6576</v>
      </c>
      <c r="D15750" s="13" t="s">
        <v>44</v>
      </c>
      <c r="E15750" s="12" t="s">
        <v>35</v>
      </c>
      <c r="F15750" s="14">
        <v>1800</v>
      </c>
      <c r="G15750" s="14">
        <v>2475</v>
      </c>
      <c r="H15750" s="13" t="s">
        <v>30229</v>
      </c>
      <c r="I15750" s="40" t="s">
        <v>18</v>
      </c>
      <c r="J15750" s="40" t="str">
        <f>HYPERLINK("https://stock.pstatic.net/stock-research/company/39/20250103_company_121762000.pdf","PDF")</f>
        <v>PDF</v>
      </c>
      <c r="K15750" s="12" t="s">
        <v>30230</v>
      </c>
      <c r="L15750" s="20">
        <v>-0.27272727272727271</v>
      </c>
    </row>
    <row r="15751" spans="1:12" x14ac:dyDescent="0.45">
      <c r="A15751" s="12" t="s">
        <v>30201</v>
      </c>
      <c r="B15751" s="12" t="s">
        <v>414</v>
      </c>
      <c r="C15751" s="13" t="s">
        <v>415</v>
      </c>
      <c r="D15751" s="13" t="s">
        <v>124</v>
      </c>
      <c r="E15751" s="12" t="s">
        <v>50</v>
      </c>
      <c r="F15751" s="13"/>
      <c r="G15751" s="13"/>
      <c r="H15751" s="13" t="s">
        <v>30231</v>
      </c>
      <c r="I15751" s="40" t="s">
        <v>18</v>
      </c>
      <c r="J15751" s="40" t="str">
        <f>HYPERLINK("https://stock.pstatic.net/stock-research/company/74/20250620_company_839366000.pdf","PDF")</f>
        <v>PDF</v>
      </c>
      <c r="K15751" s="12" t="s">
        <v>30232</v>
      </c>
    </row>
    <row r="15752" spans="1:12" x14ac:dyDescent="0.45">
      <c r="A15752" s="12" t="s">
        <v>30201</v>
      </c>
      <c r="B15752" s="12" t="s">
        <v>10408</v>
      </c>
      <c r="C15752" s="13" t="s">
        <v>10409</v>
      </c>
      <c r="D15752" s="13" t="s">
        <v>124</v>
      </c>
      <c r="E15752" s="12" t="s">
        <v>50</v>
      </c>
      <c r="F15752" s="13"/>
      <c r="G15752" s="14">
        <v>29450</v>
      </c>
      <c r="H15752" s="13" t="s">
        <v>30233</v>
      </c>
      <c r="I15752" s="40" t="s">
        <v>18</v>
      </c>
      <c r="J15752" s="40" t="str">
        <f>HYPERLINK("https://stock.pstatic.net/stock-research/company/74/20250103_company_6113000.pdf","PDF")</f>
        <v>PDF</v>
      </c>
      <c r="K15752" s="12" t="s">
        <v>30234</v>
      </c>
    </row>
    <row r="15753" spans="1:12" x14ac:dyDescent="0.45">
      <c r="A15753" s="12" t="s">
        <v>30201</v>
      </c>
      <c r="B15753" s="12" t="s">
        <v>18978</v>
      </c>
      <c r="C15753" s="13" t="s">
        <v>18979</v>
      </c>
      <c r="D15753" s="13" t="s">
        <v>34</v>
      </c>
      <c r="E15753" s="12" t="s">
        <v>35</v>
      </c>
      <c r="F15753" s="14">
        <v>7000</v>
      </c>
      <c r="G15753" s="14">
        <v>5110</v>
      </c>
      <c r="H15753" s="13" t="s">
        <v>30235</v>
      </c>
      <c r="I15753" s="40" t="s">
        <v>18</v>
      </c>
      <c r="J15753" s="40" t="str">
        <f>HYPERLINK("https://stock.pstatic.net/stock-research/company/61/20250103_company_681890000.pdf","PDF")</f>
        <v>PDF</v>
      </c>
      <c r="K15753" s="12" t="s">
        <v>30236</v>
      </c>
      <c r="L15753" s="20">
        <v>0.36986301369863012</v>
      </c>
    </row>
    <row r="15754" spans="1:12" x14ac:dyDescent="0.45">
      <c r="A15754" s="12" t="s">
        <v>30237</v>
      </c>
      <c r="B15754" s="12" t="s">
        <v>13</v>
      </c>
      <c r="C15754" s="13" t="s">
        <v>14</v>
      </c>
      <c r="D15754" s="13" t="s">
        <v>83</v>
      </c>
      <c r="E15754" s="12" t="s">
        <v>35</v>
      </c>
      <c r="F15754" s="14">
        <v>78000</v>
      </c>
      <c r="G15754" s="14">
        <v>53200</v>
      </c>
      <c r="H15754" s="13" t="s">
        <v>30238</v>
      </c>
      <c r="I15754" s="40" t="s">
        <v>18</v>
      </c>
      <c r="J15754" s="40" t="str">
        <f>HYPERLINK("https://stock.pstatic.net/stock-research/company/18/20250102_company_484597000.pdf","PDF")</f>
        <v>PDF</v>
      </c>
      <c r="K15754" s="12" t="s">
        <v>30239</v>
      </c>
      <c r="L15754" s="20">
        <v>0.46616541353383462</v>
      </c>
    </row>
    <row r="15755" spans="1:12" x14ac:dyDescent="0.45">
      <c r="A15755" s="12" t="s">
        <v>30237</v>
      </c>
      <c r="B15755" s="12" t="s">
        <v>13</v>
      </c>
      <c r="C15755" s="13" t="s">
        <v>14</v>
      </c>
      <c r="D15755" s="13" t="s">
        <v>15</v>
      </c>
      <c r="E15755" s="12" t="s">
        <v>16</v>
      </c>
      <c r="F15755" s="14">
        <v>84000</v>
      </c>
      <c r="G15755" s="14">
        <v>53200</v>
      </c>
      <c r="H15755" s="13" t="s">
        <v>30240</v>
      </c>
      <c r="I15755" s="40" t="s">
        <v>18</v>
      </c>
      <c r="J15755" s="40" t="str">
        <f>HYPERLINK("https://stock.pstatic.net/stock-research/company/29/20250102_company_942476000.pdf","PDF")</f>
        <v>PDF</v>
      </c>
      <c r="K15755" s="12" t="s">
        <v>30241</v>
      </c>
      <c r="L15755" s="20">
        <v>0.57894736842105265</v>
      </c>
    </row>
    <row r="15756" spans="1:12" x14ac:dyDescent="0.45">
      <c r="A15756" s="12" t="s">
        <v>30237</v>
      </c>
      <c r="B15756" s="12" t="s">
        <v>1184</v>
      </c>
      <c r="C15756" s="13" t="s">
        <v>1185</v>
      </c>
      <c r="D15756" s="13" t="s">
        <v>44</v>
      </c>
      <c r="E15756" s="12" t="s">
        <v>35</v>
      </c>
      <c r="F15756" s="14">
        <v>26000</v>
      </c>
      <c r="G15756" s="14">
        <v>16500</v>
      </c>
      <c r="H15756" s="13" t="s">
        <v>30242</v>
      </c>
      <c r="I15756" s="40" t="s">
        <v>18</v>
      </c>
      <c r="J15756" s="40" t="str">
        <f>HYPERLINK("https://stock.pstatic.net/stock-research/company/39/20250102_company_251445000.pdf","PDF")</f>
        <v>PDF</v>
      </c>
      <c r="K15756" s="12" t="s">
        <v>30243</v>
      </c>
      <c r="L15756" s="20">
        <v>0.5757575757575758</v>
      </c>
    </row>
  </sheetData>
  <autoFilter ref="A1:L15756" xr:uid="{00000000-0009-0000-0000-000001000000}">
    <sortState xmlns:xlrd2="http://schemas.microsoft.com/office/spreadsheetml/2017/richdata2" ref="A2:K15756">
      <sortCondition descending="1" ref="J1:J15756"/>
    </sortState>
  </autoFilter>
  <phoneticPr fontId="6" type="noConversion"/>
  <hyperlinks>
    <hyperlink ref="I2079" r:id="rId1" xr:uid="{00000000-0004-0000-0100-000000000000}"/>
    <hyperlink ref="I2080" r:id="rId2" xr:uid="{00000000-0004-0000-0100-000001000000}"/>
    <hyperlink ref="I2081" r:id="rId3" xr:uid="{00000000-0004-0000-0100-000002000000}"/>
    <hyperlink ref="I2082" r:id="rId4" xr:uid="{00000000-0004-0000-0100-000003000000}"/>
    <hyperlink ref="I2083" r:id="rId5" xr:uid="{00000000-0004-0000-0100-000004000000}"/>
    <hyperlink ref="I2084" r:id="rId6" xr:uid="{00000000-0004-0000-0100-000005000000}"/>
    <hyperlink ref="I2085" r:id="rId7" xr:uid="{00000000-0004-0000-0100-000006000000}"/>
    <hyperlink ref="I2086" r:id="rId8" xr:uid="{00000000-0004-0000-0100-000007000000}"/>
    <hyperlink ref="I2087" r:id="rId9" xr:uid="{00000000-0004-0000-0100-000008000000}"/>
    <hyperlink ref="I2088" r:id="rId10" xr:uid="{00000000-0004-0000-0100-000009000000}"/>
    <hyperlink ref="I2089" r:id="rId11" xr:uid="{00000000-0004-0000-0100-00000A000000}"/>
    <hyperlink ref="I2090" r:id="rId12" xr:uid="{00000000-0004-0000-0100-00000B000000}"/>
    <hyperlink ref="I2091" r:id="rId13" xr:uid="{00000000-0004-0000-0100-00000C000000}"/>
    <hyperlink ref="I2092" r:id="rId14" xr:uid="{00000000-0004-0000-0100-00000D000000}"/>
    <hyperlink ref="I2093" r:id="rId15" xr:uid="{00000000-0004-0000-0100-00000E000000}"/>
    <hyperlink ref="I2094" r:id="rId16" xr:uid="{00000000-0004-0000-0100-00000F000000}"/>
    <hyperlink ref="I2095" r:id="rId17" xr:uid="{00000000-0004-0000-0100-000010000000}"/>
    <hyperlink ref="I2096" r:id="rId18" xr:uid="{00000000-0004-0000-0100-000011000000}"/>
    <hyperlink ref="I2097" r:id="rId19" xr:uid="{00000000-0004-0000-0100-000012000000}"/>
    <hyperlink ref="I2098" r:id="rId20" xr:uid="{00000000-0004-0000-0100-000013000000}"/>
    <hyperlink ref="I2099" r:id="rId21" xr:uid="{00000000-0004-0000-0100-000014000000}"/>
    <hyperlink ref="I2100" r:id="rId22" xr:uid="{00000000-0004-0000-0100-000015000000}"/>
    <hyperlink ref="I2101" r:id="rId23" xr:uid="{00000000-0004-0000-0100-000016000000}"/>
    <hyperlink ref="I2102" r:id="rId24" xr:uid="{00000000-0004-0000-0100-000017000000}"/>
    <hyperlink ref="I2103" r:id="rId25" xr:uid="{00000000-0004-0000-0100-000018000000}"/>
    <hyperlink ref="I2104" r:id="rId26" xr:uid="{00000000-0004-0000-0100-000019000000}"/>
    <hyperlink ref="I2105" r:id="rId27" xr:uid="{00000000-0004-0000-0100-00001A000000}"/>
    <hyperlink ref="I2106" r:id="rId28" xr:uid="{00000000-0004-0000-0100-00001B000000}"/>
    <hyperlink ref="I2107" r:id="rId29" xr:uid="{00000000-0004-0000-0100-00001C000000}"/>
    <hyperlink ref="I2108" r:id="rId30" xr:uid="{00000000-0004-0000-0100-00001D000000}"/>
    <hyperlink ref="I2109" r:id="rId31" xr:uid="{00000000-0004-0000-0100-00001E000000}"/>
    <hyperlink ref="I2110" r:id="rId32" xr:uid="{00000000-0004-0000-0100-00001F000000}"/>
    <hyperlink ref="I2111" r:id="rId33" xr:uid="{00000000-0004-0000-0100-000020000000}"/>
    <hyperlink ref="I2112" r:id="rId34" xr:uid="{00000000-0004-0000-0100-000021000000}"/>
    <hyperlink ref="I2113" r:id="rId35" xr:uid="{00000000-0004-0000-0100-000022000000}"/>
    <hyperlink ref="I2114" r:id="rId36" xr:uid="{00000000-0004-0000-0100-000023000000}"/>
    <hyperlink ref="I2115" r:id="rId37" xr:uid="{00000000-0004-0000-0100-000024000000}"/>
    <hyperlink ref="I2116" r:id="rId38" xr:uid="{00000000-0004-0000-0100-000025000000}"/>
    <hyperlink ref="I2117" r:id="rId39" xr:uid="{00000000-0004-0000-0100-000026000000}"/>
    <hyperlink ref="I2118" r:id="rId40" xr:uid="{00000000-0004-0000-0100-000027000000}"/>
    <hyperlink ref="I2119" r:id="rId41" xr:uid="{00000000-0004-0000-0100-000028000000}"/>
    <hyperlink ref="I2120" r:id="rId42" xr:uid="{00000000-0004-0000-0100-000029000000}"/>
    <hyperlink ref="I2121" r:id="rId43" xr:uid="{00000000-0004-0000-0100-00002A000000}"/>
    <hyperlink ref="I2122" r:id="rId44" xr:uid="{00000000-0004-0000-0100-00002B000000}"/>
    <hyperlink ref="I2123" r:id="rId45" xr:uid="{00000000-0004-0000-0100-00002C000000}"/>
    <hyperlink ref="I2124" r:id="rId46" xr:uid="{00000000-0004-0000-0100-00002D000000}"/>
    <hyperlink ref="I2125" r:id="rId47" xr:uid="{00000000-0004-0000-0100-00002E000000}"/>
    <hyperlink ref="I2126" r:id="rId48" xr:uid="{00000000-0004-0000-0100-00002F000000}"/>
    <hyperlink ref="I2127" r:id="rId49" xr:uid="{00000000-0004-0000-0100-000030000000}"/>
    <hyperlink ref="I2128" r:id="rId50" xr:uid="{00000000-0004-0000-0100-000031000000}"/>
    <hyperlink ref="I2129" r:id="rId51" xr:uid="{00000000-0004-0000-0100-000032000000}"/>
    <hyperlink ref="I2130" r:id="rId52" xr:uid="{00000000-0004-0000-0100-000033000000}"/>
    <hyperlink ref="I2131" r:id="rId53" xr:uid="{00000000-0004-0000-0100-000034000000}"/>
    <hyperlink ref="I2132" r:id="rId54" xr:uid="{00000000-0004-0000-0100-000035000000}"/>
    <hyperlink ref="I2133" r:id="rId55" xr:uid="{00000000-0004-0000-0100-000036000000}"/>
    <hyperlink ref="I2134" r:id="rId56" xr:uid="{00000000-0004-0000-0100-000037000000}"/>
    <hyperlink ref="I2135" r:id="rId57" xr:uid="{00000000-0004-0000-0100-000038000000}"/>
    <hyperlink ref="I2136" r:id="rId58" xr:uid="{00000000-0004-0000-0100-000039000000}"/>
    <hyperlink ref="I2137" r:id="rId59" xr:uid="{00000000-0004-0000-0100-00003A000000}"/>
    <hyperlink ref="I2138" r:id="rId60" xr:uid="{00000000-0004-0000-0100-00003B000000}"/>
    <hyperlink ref="I2139" r:id="rId61" xr:uid="{00000000-0004-0000-0100-00003C000000}"/>
    <hyperlink ref="I2140" r:id="rId62" xr:uid="{00000000-0004-0000-0100-00003D000000}"/>
    <hyperlink ref="I2141" r:id="rId63" xr:uid="{00000000-0004-0000-0100-00003E000000}"/>
    <hyperlink ref="I2142" r:id="rId64" xr:uid="{00000000-0004-0000-0100-00003F000000}"/>
    <hyperlink ref="I2143" r:id="rId65" xr:uid="{00000000-0004-0000-0100-000040000000}"/>
    <hyperlink ref="I2144" r:id="rId66" xr:uid="{00000000-0004-0000-0100-000041000000}"/>
    <hyperlink ref="I2145" r:id="rId67" xr:uid="{00000000-0004-0000-0100-000042000000}"/>
    <hyperlink ref="I2146" r:id="rId68" xr:uid="{00000000-0004-0000-0100-000043000000}"/>
    <hyperlink ref="I2147" r:id="rId69" xr:uid="{00000000-0004-0000-0100-000044000000}"/>
    <hyperlink ref="I2148" r:id="rId70" xr:uid="{00000000-0004-0000-0100-000045000000}"/>
    <hyperlink ref="I2149" r:id="rId71" xr:uid="{00000000-0004-0000-0100-000046000000}"/>
    <hyperlink ref="I2150" r:id="rId72" xr:uid="{00000000-0004-0000-0100-000047000000}"/>
    <hyperlink ref="I2151" r:id="rId73" xr:uid="{00000000-0004-0000-0100-000048000000}"/>
    <hyperlink ref="I2152" r:id="rId74" xr:uid="{00000000-0004-0000-0100-000049000000}"/>
    <hyperlink ref="I2153" r:id="rId75" xr:uid="{00000000-0004-0000-0100-00004A000000}"/>
    <hyperlink ref="I2154" r:id="rId76" xr:uid="{00000000-0004-0000-0100-00004B000000}"/>
    <hyperlink ref="I2155" r:id="rId77" xr:uid="{00000000-0004-0000-0100-00004C000000}"/>
    <hyperlink ref="I2156" r:id="rId78" xr:uid="{00000000-0004-0000-0100-00004D000000}"/>
    <hyperlink ref="I2157" r:id="rId79" xr:uid="{00000000-0004-0000-0100-00004E000000}"/>
    <hyperlink ref="I2158" r:id="rId80" xr:uid="{00000000-0004-0000-0100-00004F000000}"/>
    <hyperlink ref="I2159" r:id="rId81" xr:uid="{00000000-0004-0000-0100-000050000000}"/>
    <hyperlink ref="I2160" r:id="rId82" xr:uid="{00000000-0004-0000-0100-000051000000}"/>
    <hyperlink ref="I2161" r:id="rId83" xr:uid="{00000000-0004-0000-0100-000052000000}"/>
    <hyperlink ref="I2162" r:id="rId84" xr:uid="{00000000-0004-0000-0100-000053000000}"/>
    <hyperlink ref="I2163" r:id="rId85" xr:uid="{00000000-0004-0000-0100-000054000000}"/>
    <hyperlink ref="I2164" r:id="rId86" xr:uid="{00000000-0004-0000-0100-000055000000}"/>
    <hyperlink ref="I2165" r:id="rId87" xr:uid="{00000000-0004-0000-0100-000056000000}"/>
    <hyperlink ref="I2166" r:id="rId88" xr:uid="{00000000-0004-0000-0100-000057000000}"/>
    <hyperlink ref="I2167" r:id="rId89" xr:uid="{00000000-0004-0000-0100-000058000000}"/>
    <hyperlink ref="I2168" r:id="rId90" xr:uid="{00000000-0004-0000-0100-000059000000}"/>
    <hyperlink ref="I2169" r:id="rId91" xr:uid="{00000000-0004-0000-0100-00005A000000}"/>
    <hyperlink ref="I2170" r:id="rId92" xr:uid="{00000000-0004-0000-0100-00005B000000}"/>
    <hyperlink ref="I2171" r:id="rId93" xr:uid="{00000000-0004-0000-0100-00005C000000}"/>
    <hyperlink ref="I2172" r:id="rId94" xr:uid="{00000000-0004-0000-0100-00005D000000}"/>
    <hyperlink ref="I2173" r:id="rId95" xr:uid="{00000000-0004-0000-0100-00005E000000}"/>
    <hyperlink ref="I2174" r:id="rId96" xr:uid="{00000000-0004-0000-0100-00005F000000}"/>
    <hyperlink ref="I2175" r:id="rId97" xr:uid="{00000000-0004-0000-0100-000060000000}"/>
    <hyperlink ref="I2176" r:id="rId98" xr:uid="{00000000-0004-0000-0100-000061000000}"/>
    <hyperlink ref="I2177" r:id="rId99" xr:uid="{00000000-0004-0000-0100-000062000000}"/>
    <hyperlink ref="I2178" r:id="rId100" xr:uid="{00000000-0004-0000-0100-000063000000}"/>
    <hyperlink ref="I2179" r:id="rId101" xr:uid="{00000000-0004-0000-0100-000064000000}"/>
    <hyperlink ref="I2180" r:id="rId102" xr:uid="{00000000-0004-0000-0100-000065000000}"/>
    <hyperlink ref="I2181" r:id="rId103" xr:uid="{00000000-0004-0000-0100-000066000000}"/>
    <hyperlink ref="I2182" r:id="rId104" xr:uid="{00000000-0004-0000-0100-000067000000}"/>
    <hyperlink ref="I2183" r:id="rId105" xr:uid="{00000000-0004-0000-0100-000068000000}"/>
    <hyperlink ref="I2184" r:id="rId106" xr:uid="{00000000-0004-0000-0100-000069000000}"/>
    <hyperlink ref="I2185" r:id="rId107" xr:uid="{00000000-0004-0000-0100-00006A000000}"/>
    <hyperlink ref="I2186" r:id="rId108" xr:uid="{00000000-0004-0000-0100-00006B000000}"/>
    <hyperlink ref="I2187" r:id="rId109" xr:uid="{00000000-0004-0000-0100-00006C000000}"/>
    <hyperlink ref="I2188" r:id="rId110" xr:uid="{00000000-0004-0000-0100-00006D000000}"/>
    <hyperlink ref="I2189" r:id="rId111" xr:uid="{00000000-0004-0000-0100-00006E000000}"/>
    <hyperlink ref="I2190" r:id="rId112" xr:uid="{00000000-0004-0000-0100-00006F000000}"/>
    <hyperlink ref="I2191" r:id="rId113" xr:uid="{00000000-0004-0000-0100-000070000000}"/>
    <hyperlink ref="I2192" r:id="rId114" xr:uid="{00000000-0004-0000-0100-000071000000}"/>
    <hyperlink ref="I2193" r:id="rId115" xr:uid="{00000000-0004-0000-0100-000072000000}"/>
    <hyperlink ref="I2194" r:id="rId116" xr:uid="{00000000-0004-0000-0100-000073000000}"/>
    <hyperlink ref="I2195" r:id="rId117" xr:uid="{00000000-0004-0000-0100-000074000000}"/>
    <hyperlink ref="I2196" r:id="rId118" xr:uid="{00000000-0004-0000-0100-000075000000}"/>
    <hyperlink ref="I2197" r:id="rId119" xr:uid="{00000000-0004-0000-0100-000076000000}"/>
    <hyperlink ref="I2198" r:id="rId120" xr:uid="{00000000-0004-0000-0100-000077000000}"/>
    <hyperlink ref="I2199" r:id="rId121" xr:uid="{00000000-0004-0000-0100-000078000000}"/>
    <hyperlink ref="I2200" r:id="rId122" xr:uid="{00000000-0004-0000-0100-000079000000}"/>
    <hyperlink ref="I2201" r:id="rId123" xr:uid="{00000000-0004-0000-0100-00007A000000}"/>
    <hyperlink ref="I2202" r:id="rId124" xr:uid="{00000000-0004-0000-0100-00007B000000}"/>
    <hyperlink ref="I2203" r:id="rId125" xr:uid="{00000000-0004-0000-0100-00007C000000}"/>
    <hyperlink ref="I2204" r:id="rId126" xr:uid="{00000000-0004-0000-0100-00007D000000}"/>
    <hyperlink ref="I2205" r:id="rId127" xr:uid="{00000000-0004-0000-0100-00007E000000}"/>
    <hyperlink ref="I2206" r:id="rId128" xr:uid="{00000000-0004-0000-0100-00007F000000}"/>
    <hyperlink ref="I2207" r:id="rId129" xr:uid="{00000000-0004-0000-0100-000080000000}"/>
    <hyperlink ref="I2208" r:id="rId130" xr:uid="{00000000-0004-0000-0100-000081000000}"/>
    <hyperlink ref="I2209" r:id="rId131" xr:uid="{00000000-0004-0000-0100-000082000000}"/>
    <hyperlink ref="I2210" r:id="rId132" xr:uid="{00000000-0004-0000-0100-000083000000}"/>
    <hyperlink ref="I2211" r:id="rId133" xr:uid="{00000000-0004-0000-0100-000084000000}"/>
    <hyperlink ref="I2212" r:id="rId134" xr:uid="{00000000-0004-0000-0100-000085000000}"/>
    <hyperlink ref="I2213" r:id="rId135" xr:uid="{00000000-0004-0000-0100-000086000000}"/>
    <hyperlink ref="I2214" r:id="rId136" xr:uid="{00000000-0004-0000-0100-000087000000}"/>
    <hyperlink ref="I2215" r:id="rId137" xr:uid="{00000000-0004-0000-0100-000088000000}"/>
    <hyperlink ref="I2216" r:id="rId138" xr:uid="{00000000-0004-0000-0100-000089000000}"/>
    <hyperlink ref="I2217" r:id="rId139" xr:uid="{00000000-0004-0000-0100-00008A000000}"/>
    <hyperlink ref="I2218" r:id="rId140" xr:uid="{00000000-0004-0000-0100-00008B000000}"/>
    <hyperlink ref="I2219" r:id="rId141" xr:uid="{00000000-0004-0000-0100-00008C000000}"/>
    <hyperlink ref="I2220" r:id="rId142" xr:uid="{00000000-0004-0000-0100-00008D000000}"/>
    <hyperlink ref="I2221" r:id="rId143" xr:uid="{00000000-0004-0000-0100-00008E000000}"/>
    <hyperlink ref="I2222" r:id="rId144" xr:uid="{00000000-0004-0000-0100-00008F000000}"/>
    <hyperlink ref="I2223" r:id="rId145" xr:uid="{00000000-0004-0000-0100-000090000000}"/>
    <hyperlink ref="I2224" r:id="rId146" xr:uid="{00000000-0004-0000-0100-000091000000}"/>
    <hyperlink ref="I2225" r:id="rId147" xr:uid="{00000000-0004-0000-0100-000092000000}"/>
    <hyperlink ref="I2226" r:id="rId148" xr:uid="{00000000-0004-0000-0100-000093000000}"/>
    <hyperlink ref="I2227" r:id="rId149" xr:uid="{00000000-0004-0000-0100-000094000000}"/>
    <hyperlink ref="I2228" r:id="rId150" xr:uid="{00000000-0004-0000-0100-000095000000}"/>
    <hyperlink ref="I2229" r:id="rId151" xr:uid="{00000000-0004-0000-0100-000096000000}"/>
    <hyperlink ref="I2230" r:id="rId152" xr:uid="{00000000-0004-0000-0100-000097000000}"/>
    <hyperlink ref="I2231" r:id="rId153" xr:uid="{00000000-0004-0000-0100-000098000000}"/>
    <hyperlink ref="I2232" r:id="rId154" xr:uid="{00000000-0004-0000-0100-000099000000}"/>
    <hyperlink ref="I2233" r:id="rId155" xr:uid="{00000000-0004-0000-0100-00009A000000}"/>
    <hyperlink ref="I2234" r:id="rId156" xr:uid="{00000000-0004-0000-0100-00009B000000}"/>
    <hyperlink ref="I2235" r:id="rId157" xr:uid="{00000000-0004-0000-0100-00009C000000}"/>
    <hyperlink ref="I2236" r:id="rId158" xr:uid="{00000000-0004-0000-0100-00009D000000}"/>
    <hyperlink ref="I2237" r:id="rId159" xr:uid="{00000000-0004-0000-0100-00009E000000}"/>
    <hyperlink ref="I2238" r:id="rId160" xr:uid="{00000000-0004-0000-0100-00009F000000}"/>
    <hyperlink ref="I2239" r:id="rId161" xr:uid="{00000000-0004-0000-0100-0000A0000000}"/>
    <hyperlink ref="I2240" r:id="rId162" xr:uid="{00000000-0004-0000-0100-0000A1000000}"/>
    <hyperlink ref="I2241" r:id="rId163" xr:uid="{00000000-0004-0000-0100-0000A2000000}"/>
    <hyperlink ref="I2242" r:id="rId164" xr:uid="{00000000-0004-0000-0100-0000A3000000}"/>
    <hyperlink ref="I2243" r:id="rId165" xr:uid="{00000000-0004-0000-0100-0000A4000000}"/>
    <hyperlink ref="I2244" r:id="rId166" xr:uid="{00000000-0004-0000-0100-0000A5000000}"/>
    <hyperlink ref="I2245" r:id="rId167" xr:uid="{00000000-0004-0000-0100-0000A6000000}"/>
    <hyperlink ref="I2246" r:id="rId168" xr:uid="{00000000-0004-0000-0100-0000A7000000}"/>
    <hyperlink ref="I2247" r:id="rId169" xr:uid="{00000000-0004-0000-0100-0000A8000000}"/>
    <hyperlink ref="I2248" r:id="rId170" xr:uid="{00000000-0004-0000-0100-0000A9000000}"/>
    <hyperlink ref="I2249" r:id="rId171" xr:uid="{00000000-0004-0000-0100-0000AA000000}"/>
    <hyperlink ref="I2250" r:id="rId172" xr:uid="{00000000-0004-0000-0100-0000AB000000}"/>
    <hyperlink ref="I2251" r:id="rId173" xr:uid="{00000000-0004-0000-0100-0000AC000000}"/>
    <hyperlink ref="I2252" r:id="rId174" xr:uid="{00000000-0004-0000-0100-0000AD000000}"/>
    <hyperlink ref="I2253" r:id="rId175" xr:uid="{00000000-0004-0000-0100-0000AE000000}"/>
    <hyperlink ref="I2254" r:id="rId176" xr:uid="{00000000-0004-0000-0100-0000AF000000}"/>
    <hyperlink ref="I2255" r:id="rId177" xr:uid="{00000000-0004-0000-0100-0000B0000000}"/>
    <hyperlink ref="I2256" r:id="rId178" xr:uid="{00000000-0004-0000-0100-0000B1000000}"/>
    <hyperlink ref="I2257" r:id="rId179" xr:uid="{00000000-0004-0000-0100-0000B2000000}"/>
    <hyperlink ref="I2258" r:id="rId180" xr:uid="{00000000-0004-0000-0100-0000B3000000}"/>
    <hyperlink ref="I2259" r:id="rId181" xr:uid="{00000000-0004-0000-0100-0000B4000000}"/>
    <hyperlink ref="I2260" r:id="rId182" xr:uid="{00000000-0004-0000-0100-0000B5000000}"/>
    <hyperlink ref="I2261" r:id="rId183" xr:uid="{00000000-0004-0000-0100-0000B6000000}"/>
    <hyperlink ref="I2262" r:id="rId184" xr:uid="{00000000-0004-0000-0100-0000B7000000}"/>
    <hyperlink ref="I2263" r:id="rId185" xr:uid="{00000000-0004-0000-0100-0000B8000000}"/>
    <hyperlink ref="I2264" r:id="rId186" xr:uid="{00000000-0004-0000-0100-0000B9000000}"/>
    <hyperlink ref="I2265" r:id="rId187" xr:uid="{00000000-0004-0000-0100-0000BA000000}"/>
    <hyperlink ref="I2266" r:id="rId188" xr:uid="{00000000-0004-0000-0100-0000BB000000}"/>
    <hyperlink ref="I2267" r:id="rId189" xr:uid="{00000000-0004-0000-0100-0000BC000000}"/>
    <hyperlink ref="I2268" r:id="rId190" xr:uid="{00000000-0004-0000-0100-0000BD000000}"/>
    <hyperlink ref="I2269" r:id="rId191" xr:uid="{00000000-0004-0000-0100-0000BE000000}"/>
    <hyperlink ref="I2270" r:id="rId192" xr:uid="{00000000-0004-0000-0100-0000BF000000}"/>
    <hyperlink ref="I2271" r:id="rId193" xr:uid="{00000000-0004-0000-0100-0000C0000000}"/>
    <hyperlink ref="I2272" r:id="rId194" xr:uid="{00000000-0004-0000-0100-0000C1000000}"/>
    <hyperlink ref="I2273" r:id="rId195" xr:uid="{00000000-0004-0000-0100-0000C2000000}"/>
    <hyperlink ref="I2274" r:id="rId196" xr:uid="{00000000-0004-0000-0100-0000C3000000}"/>
    <hyperlink ref="I2275" r:id="rId197" xr:uid="{00000000-0004-0000-0100-0000C4000000}"/>
    <hyperlink ref="I2276" r:id="rId198" xr:uid="{00000000-0004-0000-0100-0000C5000000}"/>
    <hyperlink ref="I2277" r:id="rId199" xr:uid="{00000000-0004-0000-0100-0000C6000000}"/>
    <hyperlink ref="I2278" r:id="rId200" xr:uid="{00000000-0004-0000-0100-0000C7000000}"/>
    <hyperlink ref="I2279" r:id="rId201" xr:uid="{00000000-0004-0000-0100-0000C8000000}"/>
    <hyperlink ref="I2280" r:id="rId202" xr:uid="{00000000-0004-0000-0100-0000C9000000}"/>
    <hyperlink ref="I2281" r:id="rId203" xr:uid="{00000000-0004-0000-0100-0000CA000000}"/>
    <hyperlink ref="I2282" r:id="rId204" xr:uid="{00000000-0004-0000-0100-0000CB000000}"/>
    <hyperlink ref="I2283" r:id="rId205" xr:uid="{00000000-0004-0000-0100-0000CC000000}"/>
    <hyperlink ref="I2284" r:id="rId206" xr:uid="{00000000-0004-0000-0100-0000CD000000}"/>
    <hyperlink ref="I2285" r:id="rId207" xr:uid="{00000000-0004-0000-0100-0000CE000000}"/>
    <hyperlink ref="I2286" r:id="rId208" xr:uid="{00000000-0004-0000-0100-0000CF000000}"/>
    <hyperlink ref="I2287" r:id="rId209" xr:uid="{00000000-0004-0000-0100-0000D0000000}"/>
    <hyperlink ref="I2288" r:id="rId210" xr:uid="{00000000-0004-0000-0100-0000D1000000}"/>
    <hyperlink ref="I2289" r:id="rId211" xr:uid="{00000000-0004-0000-0100-0000D2000000}"/>
    <hyperlink ref="I2290" r:id="rId212" xr:uid="{00000000-0004-0000-0100-0000D3000000}"/>
    <hyperlink ref="I2291" r:id="rId213" xr:uid="{00000000-0004-0000-0100-0000D4000000}"/>
    <hyperlink ref="I2292" r:id="rId214" xr:uid="{00000000-0004-0000-0100-0000D5000000}"/>
    <hyperlink ref="I2293" r:id="rId215" xr:uid="{00000000-0004-0000-0100-0000D6000000}"/>
    <hyperlink ref="I2294" r:id="rId216" xr:uid="{00000000-0004-0000-0100-0000D7000000}"/>
    <hyperlink ref="I2295" r:id="rId217" xr:uid="{00000000-0004-0000-0100-0000D8000000}"/>
    <hyperlink ref="I2296" r:id="rId218" xr:uid="{00000000-0004-0000-0100-0000D9000000}"/>
    <hyperlink ref="I2297" r:id="rId219" xr:uid="{00000000-0004-0000-0100-0000DA000000}"/>
    <hyperlink ref="I2298" r:id="rId220" xr:uid="{00000000-0004-0000-0100-0000DB000000}"/>
    <hyperlink ref="I2299" r:id="rId221" xr:uid="{00000000-0004-0000-0100-0000DC000000}"/>
    <hyperlink ref="I2300" r:id="rId222" xr:uid="{00000000-0004-0000-0100-0000DD000000}"/>
    <hyperlink ref="I2301" r:id="rId223" xr:uid="{00000000-0004-0000-0100-0000DE000000}"/>
    <hyperlink ref="I2302" r:id="rId224" xr:uid="{00000000-0004-0000-0100-0000DF000000}"/>
    <hyperlink ref="I2303" r:id="rId225" xr:uid="{00000000-0004-0000-0100-0000E0000000}"/>
    <hyperlink ref="I2304" r:id="rId226" xr:uid="{00000000-0004-0000-0100-0000E1000000}"/>
    <hyperlink ref="I2305" r:id="rId227" xr:uid="{00000000-0004-0000-0100-0000E2000000}"/>
    <hyperlink ref="I2306" r:id="rId228" xr:uid="{00000000-0004-0000-0100-0000E3000000}"/>
    <hyperlink ref="I2307" r:id="rId229" xr:uid="{00000000-0004-0000-0100-0000E4000000}"/>
    <hyperlink ref="I2308" r:id="rId230" xr:uid="{00000000-0004-0000-0100-0000E5000000}"/>
    <hyperlink ref="I2309" r:id="rId231" xr:uid="{00000000-0004-0000-0100-0000E6000000}"/>
    <hyperlink ref="I2310" r:id="rId232" xr:uid="{00000000-0004-0000-0100-0000E7000000}"/>
    <hyperlink ref="I2311" r:id="rId233" xr:uid="{00000000-0004-0000-0100-0000E8000000}"/>
    <hyperlink ref="I2312" r:id="rId234" xr:uid="{00000000-0004-0000-0100-0000E9000000}"/>
    <hyperlink ref="I2313" r:id="rId235" xr:uid="{00000000-0004-0000-0100-0000EA000000}"/>
    <hyperlink ref="I2314" r:id="rId236" xr:uid="{00000000-0004-0000-0100-0000EB000000}"/>
    <hyperlink ref="I2315" r:id="rId237" xr:uid="{00000000-0004-0000-0100-0000EC000000}"/>
    <hyperlink ref="I2316" r:id="rId238" xr:uid="{00000000-0004-0000-0100-0000ED000000}"/>
    <hyperlink ref="I2317" r:id="rId239" xr:uid="{00000000-0004-0000-0100-0000EE000000}"/>
    <hyperlink ref="I2318" r:id="rId240" xr:uid="{00000000-0004-0000-0100-0000EF000000}"/>
    <hyperlink ref="I2319" r:id="rId241" xr:uid="{00000000-0004-0000-0100-0000F0000000}"/>
    <hyperlink ref="I2320" r:id="rId242" xr:uid="{00000000-0004-0000-0100-0000F1000000}"/>
    <hyperlink ref="I2321" r:id="rId243" xr:uid="{00000000-0004-0000-0100-0000F2000000}"/>
    <hyperlink ref="I2322" r:id="rId244" xr:uid="{00000000-0004-0000-0100-0000F3000000}"/>
    <hyperlink ref="I2323" r:id="rId245" xr:uid="{00000000-0004-0000-0100-0000F4000000}"/>
    <hyperlink ref="I2324" r:id="rId246" xr:uid="{00000000-0004-0000-0100-0000F5000000}"/>
    <hyperlink ref="I2325" r:id="rId247" xr:uid="{00000000-0004-0000-0100-0000F6000000}"/>
    <hyperlink ref="I2326" r:id="rId248" xr:uid="{00000000-0004-0000-0100-0000F7000000}"/>
    <hyperlink ref="I2327" r:id="rId249" xr:uid="{00000000-0004-0000-0100-0000F8000000}"/>
    <hyperlink ref="I2328" r:id="rId250" xr:uid="{00000000-0004-0000-0100-0000F9000000}"/>
    <hyperlink ref="I2329" r:id="rId251" xr:uid="{00000000-0004-0000-0100-0000FA000000}"/>
    <hyperlink ref="I2330" r:id="rId252" xr:uid="{00000000-0004-0000-0100-0000FB000000}"/>
    <hyperlink ref="I2331" r:id="rId253" xr:uid="{00000000-0004-0000-0100-0000FC000000}"/>
    <hyperlink ref="I2332" r:id="rId254" xr:uid="{00000000-0004-0000-0100-0000FD000000}"/>
    <hyperlink ref="I2333" r:id="rId255" xr:uid="{00000000-0004-0000-0100-0000FE000000}"/>
    <hyperlink ref="I2334" r:id="rId256" xr:uid="{00000000-0004-0000-0100-0000FF000000}"/>
    <hyperlink ref="I2335" r:id="rId257" xr:uid="{00000000-0004-0000-0100-000000010000}"/>
    <hyperlink ref="I2336" r:id="rId258" xr:uid="{00000000-0004-0000-0100-000001010000}"/>
    <hyperlink ref="I2337" r:id="rId259" xr:uid="{00000000-0004-0000-0100-000002010000}"/>
    <hyperlink ref="I2338" r:id="rId260" xr:uid="{00000000-0004-0000-0100-000003010000}"/>
    <hyperlink ref="I2339" r:id="rId261" xr:uid="{00000000-0004-0000-0100-000004010000}"/>
    <hyperlink ref="I2340" r:id="rId262" xr:uid="{00000000-0004-0000-0100-000005010000}"/>
    <hyperlink ref="I2341" r:id="rId263" xr:uid="{00000000-0004-0000-0100-000006010000}"/>
    <hyperlink ref="I2342" r:id="rId264" xr:uid="{00000000-0004-0000-0100-000007010000}"/>
    <hyperlink ref="I2343" r:id="rId265" xr:uid="{00000000-0004-0000-0100-000008010000}"/>
    <hyperlink ref="I2344" r:id="rId266" xr:uid="{00000000-0004-0000-0100-000009010000}"/>
    <hyperlink ref="I2345" r:id="rId267" xr:uid="{00000000-0004-0000-0100-00000A010000}"/>
    <hyperlink ref="I2346" r:id="rId268" xr:uid="{00000000-0004-0000-0100-00000B010000}"/>
    <hyperlink ref="I2347" r:id="rId269" xr:uid="{00000000-0004-0000-0100-00000C010000}"/>
    <hyperlink ref="I2348" r:id="rId270" xr:uid="{00000000-0004-0000-0100-00000D010000}"/>
    <hyperlink ref="I2349" r:id="rId271" xr:uid="{00000000-0004-0000-0100-00000E010000}"/>
    <hyperlink ref="I2350" r:id="rId272" xr:uid="{00000000-0004-0000-0100-00000F010000}"/>
    <hyperlink ref="I2351" r:id="rId273" xr:uid="{00000000-0004-0000-0100-000010010000}"/>
    <hyperlink ref="I2352" r:id="rId274" xr:uid="{00000000-0004-0000-0100-000011010000}"/>
    <hyperlink ref="I2353" r:id="rId275" xr:uid="{00000000-0004-0000-0100-000012010000}"/>
    <hyperlink ref="I2354" r:id="rId276" xr:uid="{00000000-0004-0000-0100-000013010000}"/>
    <hyperlink ref="I2355" r:id="rId277" xr:uid="{00000000-0004-0000-0100-000014010000}"/>
    <hyperlink ref="I2356" r:id="rId278" xr:uid="{00000000-0004-0000-0100-000015010000}"/>
    <hyperlink ref="I2357" r:id="rId279" xr:uid="{00000000-0004-0000-0100-000016010000}"/>
    <hyperlink ref="I2358" r:id="rId280" xr:uid="{00000000-0004-0000-0100-000017010000}"/>
    <hyperlink ref="I2359" r:id="rId281" xr:uid="{00000000-0004-0000-0100-000018010000}"/>
    <hyperlink ref="I2360" r:id="rId282" xr:uid="{00000000-0004-0000-0100-000019010000}"/>
    <hyperlink ref="I2361" r:id="rId283" xr:uid="{00000000-0004-0000-0100-00001A010000}"/>
    <hyperlink ref="I2362" r:id="rId284" xr:uid="{00000000-0004-0000-0100-00001B010000}"/>
    <hyperlink ref="I2363" r:id="rId285" xr:uid="{00000000-0004-0000-0100-00001C010000}"/>
    <hyperlink ref="I2364" r:id="rId286" xr:uid="{00000000-0004-0000-0100-00001D010000}"/>
    <hyperlink ref="I2365" r:id="rId287" xr:uid="{00000000-0004-0000-0100-00001E010000}"/>
    <hyperlink ref="I2366" r:id="rId288" xr:uid="{00000000-0004-0000-0100-00001F010000}"/>
    <hyperlink ref="I2367" r:id="rId289" xr:uid="{00000000-0004-0000-0100-000020010000}"/>
    <hyperlink ref="I2368" r:id="rId290" xr:uid="{00000000-0004-0000-0100-000021010000}"/>
    <hyperlink ref="I2369" r:id="rId291" xr:uid="{00000000-0004-0000-0100-000022010000}"/>
    <hyperlink ref="I2370" r:id="rId292" xr:uid="{00000000-0004-0000-0100-000023010000}"/>
    <hyperlink ref="I2371" r:id="rId293" xr:uid="{00000000-0004-0000-0100-000024010000}"/>
    <hyperlink ref="I2372" r:id="rId294" xr:uid="{00000000-0004-0000-0100-000025010000}"/>
    <hyperlink ref="I2373" r:id="rId295" xr:uid="{00000000-0004-0000-0100-000026010000}"/>
    <hyperlink ref="I2374" r:id="rId296" xr:uid="{00000000-0004-0000-0100-000027010000}"/>
    <hyperlink ref="I2375" r:id="rId297" xr:uid="{00000000-0004-0000-0100-000028010000}"/>
    <hyperlink ref="I2376" r:id="rId298" xr:uid="{00000000-0004-0000-0100-000029010000}"/>
    <hyperlink ref="I2377" r:id="rId299" xr:uid="{00000000-0004-0000-0100-00002A010000}"/>
    <hyperlink ref="I2378" r:id="rId300" xr:uid="{00000000-0004-0000-0100-00002B010000}"/>
    <hyperlink ref="I2379" r:id="rId301" xr:uid="{00000000-0004-0000-0100-00002C010000}"/>
    <hyperlink ref="I2380" r:id="rId302" xr:uid="{00000000-0004-0000-0100-00002D010000}"/>
    <hyperlink ref="I2381" r:id="rId303" xr:uid="{00000000-0004-0000-0100-00002E010000}"/>
    <hyperlink ref="I2382" r:id="rId304" xr:uid="{00000000-0004-0000-0100-00002F010000}"/>
    <hyperlink ref="I2383" r:id="rId305" xr:uid="{00000000-0004-0000-0100-000030010000}"/>
    <hyperlink ref="I2384" r:id="rId306" xr:uid="{00000000-0004-0000-0100-000031010000}"/>
    <hyperlink ref="I2385" r:id="rId307" xr:uid="{00000000-0004-0000-0100-000032010000}"/>
    <hyperlink ref="I2386" r:id="rId308" xr:uid="{00000000-0004-0000-0100-000033010000}"/>
    <hyperlink ref="I2387" r:id="rId309" xr:uid="{00000000-0004-0000-0100-000034010000}"/>
    <hyperlink ref="I2388" r:id="rId310" xr:uid="{00000000-0004-0000-0100-000035010000}"/>
    <hyperlink ref="I2389" r:id="rId311" xr:uid="{00000000-0004-0000-0100-000036010000}"/>
    <hyperlink ref="I2390" r:id="rId312" xr:uid="{00000000-0004-0000-0100-000037010000}"/>
    <hyperlink ref="I2391" r:id="rId313" xr:uid="{00000000-0004-0000-0100-000038010000}"/>
    <hyperlink ref="I2392" r:id="rId314" xr:uid="{00000000-0004-0000-0100-000039010000}"/>
    <hyperlink ref="I2393" r:id="rId315" xr:uid="{00000000-0004-0000-0100-00003A010000}"/>
    <hyperlink ref="I2394" r:id="rId316" xr:uid="{00000000-0004-0000-0100-00003B010000}"/>
    <hyperlink ref="I2395" r:id="rId317" xr:uid="{00000000-0004-0000-0100-00003C010000}"/>
    <hyperlink ref="I2396" r:id="rId318" xr:uid="{00000000-0004-0000-0100-00003D010000}"/>
    <hyperlink ref="I2397" r:id="rId319" xr:uid="{00000000-0004-0000-0100-00003E010000}"/>
    <hyperlink ref="I2398" r:id="rId320" xr:uid="{00000000-0004-0000-0100-00003F010000}"/>
    <hyperlink ref="I2399" r:id="rId321" xr:uid="{00000000-0004-0000-0100-000040010000}"/>
    <hyperlink ref="I2400" r:id="rId322" xr:uid="{00000000-0004-0000-0100-000041010000}"/>
    <hyperlink ref="I2401" r:id="rId323" xr:uid="{00000000-0004-0000-0100-000042010000}"/>
    <hyperlink ref="I2402" r:id="rId324" xr:uid="{00000000-0004-0000-0100-000043010000}"/>
    <hyperlink ref="I2403" r:id="rId325" xr:uid="{00000000-0004-0000-0100-000044010000}"/>
    <hyperlink ref="I2404" r:id="rId326" xr:uid="{00000000-0004-0000-0100-000045010000}"/>
    <hyperlink ref="I2405" r:id="rId327" xr:uid="{00000000-0004-0000-0100-000046010000}"/>
    <hyperlink ref="I2406" r:id="rId328" xr:uid="{00000000-0004-0000-0100-000047010000}"/>
    <hyperlink ref="I2407" r:id="rId329" xr:uid="{00000000-0004-0000-0100-000048010000}"/>
    <hyperlink ref="I2408" r:id="rId330" xr:uid="{00000000-0004-0000-0100-000049010000}"/>
    <hyperlink ref="I2409" r:id="rId331" xr:uid="{00000000-0004-0000-0100-00004A010000}"/>
    <hyperlink ref="I2410" r:id="rId332" xr:uid="{00000000-0004-0000-0100-00004B010000}"/>
    <hyperlink ref="I2411" r:id="rId333" xr:uid="{00000000-0004-0000-0100-00004C010000}"/>
    <hyperlink ref="I2412" r:id="rId334" xr:uid="{00000000-0004-0000-0100-00004D010000}"/>
    <hyperlink ref="I2413" r:id="rId335" xr:uid="{00000000-0004-0000-0100-00004E010000}"/>
    <hyperlink ref="I2414" r:id="rId336" xr:uid="{00000000-0004-0000-0100-00004F010000}"/>
    <hyperlink ref="I2415" r:id="rId337" xr:uid="{00000000-0004-0000-0100-000050010000}"/>
    <hyperlink ref="I2416" r:id="rId338" xr:uid="{00000000-0004-0000-0100-000051010000}"/>
    <hyperlink ref="I2417" r:id="rId339" xr:uid="{00000000-0004-0000-0100-000052010000}"/>
    <hyperlink ref="I2418" r:id="rId340" xr:uid="{00000000-0004-0000-0100-000053010000}"/>
    <hyperlink ref="I2419" r:id="rId341" xr:uid="{00000000-0004-0000-0100-000054010000}"/>
    <hyperlink ref="I2420" r:id="rId342" xr:uid="{00000000-0004-0000-0100-000055010000}"/>
    <hyperlink ref="I2421" r:id="rId343" xr:uid="{00000000-0004-0000-0100-000056010000}"/>
    <hyperlink ref="I2422" r:id="rId344" xr:uid="{00000000-0004-0000-0100-000057010000}"/>
    <hyperlink ref="I2423" r:id="rId345" xr:uid="{00000000-0004-0000-0100-000058010000}"/>
    <hyperlink ref="I2424" r:id="rId346" xr:uid="{00000000-0004-0000-0100-000059010000}"/>
    <hyperlink ref="I2425" r:id="rId347" xr:uid="{00000000-0004-0000-0100-00005A010000}"/>
    <hyperlink ref="I2426" r:id="rId348" xr:uid="{00000000-0004-0000-0100-00005B010000}"/>
    <hyperlink ref="I2427" r:id="rId349" xr:uid="{00000000-0004-0000-0100-00005C010000}"/>
    <hyperlink ref="I2428" r:id="rId350" xr:uid="{00000000-0004-0000-0100-00005D010000}"/>
    <hyperlink ref="I2429" r:id="rId351" xr:uid="{00000000-0004-0000-0100-00005E010000}"/>
    <hyperlink ref="I2430" r:id="rId352" xr:uid="{00000000-0004-0000-0100-00005F010000}"/>
    <hyperlink ref="I2431" r:id="rId353" xr:uid="{00000000-0004-0000-0100-000060010000}"/>
    <hyperlink ref="I2432" r:id="rId354" xr:uid="{00000000-0004-0000-0100-000061010000}"/>
    <hyperlink ref="I2433" r:id="rId355" xr:uid="{00000000-0004-0000-0100-000062010000}"/>
    <hyperlink ref="I2434" r:id="rId356" xr:uid="{00000000-0004-0000-0100-000063010000}"/>
    <hyperlink ref="I2435" r:id="rId357" xr:uid="{00000000-0004-0000-0100-000064010000}"/>
    <hyperlink ref="I2436" r:id="rId358" xr:uid="{00000000-0004-0000-0100-000065010000}"/>
    <hyperlink ref="I2437" r:id="rId359" xr:uid="{00000000-0004-0000-0100-000066010000}"/>
    <hyperlink ref="I2438" r:id="rId360" xr:uid="{00000000-0004-0000-0100-000067010000}"/>
    <hyperlink ref="I2439" r:id="rId361" xr:uid="{00000000-0004-0000-0100-000068010000}"/>
    <hyperlink ref="I2440" r:id="rId362" xr:uid="{00000000-0004-0000-0100-000069010000}"/>
    <hyperlink ref="I2441" r:id="rId363" xr:uid="{00000000-0004-0000-0100-00006A010000}"/>
    <hyperlink ref="I2442" r:id="rId364" xr:uid="{00000000-0004-0000-0100-00006B010000}"/>
    <hyperlink ref="I2443" r:id="rId365" xr:uid="{00000000-0004-0000-0100-00006C010000}"/>
    <hyperlink ref="I2444" r:id="rId366" xr:uid="{00000000-0004-0000-0100-00006D010000}"/>
    <hyperlink ref="I2445" r:id="rId367" xr:uid="{00000000-0004-0000-0100-00006E010000}"/>
    <hyperlink ref="I2446" r:id="rId368" xr:uid="{00000000-0004-0000-0100-00006F010000}"/>
    <hyperlink ref="I2447" r:id="rId369" xr:uid="{00000000-0004-0000-0100-000070010000}"/>
    <hyperlink ref="I2448" r:id="rId370" xr:uid="{00000000-0004-0000-0100-000071010000}"/>
    <hyperlink ref="I2449" r:id="rId371" xr:uid="{00000000-0004-0000-0100-000072010000}"/>
    <hyperlink ref="I2450" r:id="rId372" xr:uid="{00000000-0004-0000-0100-000073010000}"/>
    <hyperlink ref="I2451" r:id="rId373" xr:uid="{00000000-0004-0000-0100-000074010000}"/>
    <hyperlink ref="I2452" r:id="rId374" xr:uid="{00000000-0004-0000-0100-000075010000}"/>
    <hyperlink ref="I2453" r:id="rId375" xr:uid="{00000000-0004-0000-0100-000076010000}"/>
    <hyperlink ref="I2454" r:id="rId376" xr:uid="{00000000-0004-0000-0100-000077010000}"/>
    <hyperlink ref="I2455" r:id="rId377" xr:uid="{00000000-0004-0000-0100-000078010000}"/>
    <hyperlink ref="I2456" r:id="rId378" xr:uid="{00000000-0004-0000-0100-000079010000}"/>
    <hyperlink ref="I2457" r:id="rId379" xr:uid="{00000000-0004-0000-0100-00007A010000}"/>
    <hyperlink ref="I2458" r:id="rId380" xr:uid="{00000000-0004-0000-0100-00007B010000}"/>
    <hyperlink ref="I2459" r:id="rId381" xr:uid="{00000000-0004-0000-0100-00007C010000}"/>
    <hyperlink ref="I2460" r:id="rId382" xr:uid="{00000000-0004-0000-0100-00007D010000}"/>
    <hyperlink ref="I2461" r:id="rId383" xr:uid="{00000000-0004-0000-0100-00007E010000}"/>
    <hyperlink ref="I2462" r:id="rId384" xr:uid="{00000000-0004-0000-0100-00007F010000}"/>
    <hyperlink ref="I2463" r:id="rId385" xr:uid="{00000000-0004-0000-0100-000080010000}"/>
    <hyperlink ref="I2464" r:id="rId386" xr:uid="{00000000-0004-0000-0100-000081010000}"/>
    <hyperlink ref="I2465" r:id="rId387" xr:uid="{00000000-0004-0000-0100-000082010000}"/>
    <hyperlink ref="I2466" r:id="rId388" xr:uid="{00000000-0004-0000-0100-000083010000}"/>
    <hyperlink ref="I2467" r:id="rId389" xr:uid="{00000000-0004-0000-0100-000084010000}"/>
    <hyperlink ref="I2468" r:id="rId390" xr:uid="{00000000-0004-0000-0100-000085010000}"/>
    <hyperlink ref="I2469" r:id="rId391" xr:uid="{00000000-0004-0000-0100-000086010000}"/>
    <hyperlink ref="I2470" r:id="rId392" xr:uid="{00000000-0004-0000-0100-000087010000}"/>
    <hyperlink ref="I2471" r:id="rId393" xr:uid="{00000000-0004-0000-0100-000088010000}"/>
    <hyperlink ref="I2472" r:id="rId394" xr:uid="{00000000-0004-0000-0100-000089010000}"/>
    <hyperlink ref="I2473" r:id="rId395" xr:uid="{00000000-0004-0000-0100-00008A010000}"/>
    <hyperlink ref="I2474" r:id="rId396" xr:uid="{00000000-0004-0000-0100-00008B010000}"/>
    <hyperlink ref="I2475" r:id="rId397" xr:uid="{00000000-0004-0000-0100-00008C010000}"/>
    <hyperlink ref="I2476" r:id="rId398" xr:uid="{00000000-0004-0000-0100-00008D010000}"/>
    <hyperlink ref="I2477" r:id="rId399" xr:uid="{00000000-0004-0000-0100-00008E010000}"/>
    <hyperlink ref="I2478" r:id="rId400" xr:uid="{00000000-0004-0000-0100-00008F010000}"/>
    <hyperlink ref="I2479" r:id="rId401" xr:uid="{00000000-0004-0000-0100-000090010000}"/>
    <hyperlink ref="I2480" r:id="rId402" xr:uid="{00000000-0004-0000-0100-000091010000}"/>
    <hyperlink ref="I2481" r:id="rId403" xr:uid="{00000000-0004-0000-0100-000092010000}"/>
    <hyperlink ref="I2482" r:id="rId404" xr:uid="{00000000-0004-0000-0100-000093010000}"/>
    <hyperlink ref="I2483" r:id="rId405" xr:uid="{00000000-0004-0000-0100-000094010000}"/>
    <hyperlink ref="I2484" r:id="rId406" xr:uid="{00000000-0004-0000-0100-000095010000}"/>
    <hyperlink ref="I2485" r:id="rId407" xr:uid="{00000000-0004-0000-0100-000096010000}"/>
    <hyperlink ref="I2486" r:id="rId408" xr:uid="{00000000-0004-0000-0100-000097010000}"/>
    <hyperlink ref="I2487" r:id="rId409" xr:uid="{00000000-0004-0000-0100-000098010000}"/>
    <hyperlink ref="I2488" r:id="rId410" xr:uid="{00000000-0004-0000-0100-000099010000}"/>
    <hyperlink ref="I2489" r:id="rId411" xr:uid="{00000000-0004-0000-0100-00009A010000}"/>
    <hyperlink ref="I2490" r:id="rId412" xr:uid="{00000000-0004-0000-0100-00009B010000}"/>
    <hyperlink ref="I2491" r:id="rId413" xr:uid="{00000000-0004-0000-0100-00009C010000}"/>
    <hyperlink ref="I2492" r:id="rId414" xr:uid="{00000000-0004-0000-0100-00009D010000}"/>
    <hyperlink ref="I2493" r:id="rId415" xr:uid="{00000000-0004-0000-0100-00009E010000}"/>
    <hyperlink ref="I2494" r:id="rId416" xr:uid="{00000000-0004-0000-0100-00009F010000}"/>
    <hyperlink ref="I2495" r:id="rId417" xr:uid="{00000000-0004-0000-0100-0000A0010000}"/>
    <hyperlink ref="I2496" r:id="rId418" xr:uid="{00000000-0004-0000-0100-0000A1010000}"/>
    <hyperlink ref="I2497" r:id="rId419" xr:uid="{00000000-0004-0000-0100-0000A2010000}"/>
    <hyperlink ref="I2498" r:id="rId420" xr:uid="{00000000-0004-0000-0100-0000A3010000}"/>
    <hyperlink ref="I2499" r:id="rId421" xr:uid="{00000000-0004-0000-0100-0000A4010000}"/>
    <hyperlink ref="I2500" r:id="rId422" xr:uid="{00000000-0004-0000-0100-0000A5010000}"/>
    <hyperlink ref="I2501" r:id="rId423" xr:uid="{00000000-0004-0000-0100-0000A6010000}"/>
    <hyperlink ref="I2502" r:id="rId424" xr:uid="{00000000-0004-0000-0100-0000A7010000}"/>
    <hyperlink ref="I2503" r:id="rId425" xr:uid="{00000000-0004-0000-0100-0000A8010000}"/>
    <hyperlink ref="I2504" r:id="rId426" xr:uid="{00000000-0004-0000-0100-0000A9010000}"/>
    <hyperlink ref="I2505" r:id="rId427" xr:uid="{00000000-0004-0000-0100-0000AA010000}"/>
    <hyperlink ref="I2506" r:id="rId428" xr:uid="{00000000-0004-0000-0100-0000AB010000}"/>
    <hyperlink ref="I2507" r:id="rId429" xr:uid="{00000000-0004-0000-0100-0000AC010000}"/>
    <hyperlink ref="I2508" r:id="rId430" xr:uid="{00000000-0004-0000-0100-0000AD010000}"/>
    <hyperlink ref="I2509" r:id="rId431" xr:uid="{00000000-0004-0000-0100-0000AE010000}"/>
    <hyperlink ref="I2510" r:id="rId432" xr:uid="{00000000-0004-0000-0100-0000AF010000}"/>
    <hyperlink ref="I2511" r:id="rId433" xr:uid="{00000000-0004-0000-0100-0000B0010000}"/>
    <hyperlink ref="I2512" r:id="rId434" xr:uid="{00000000-0004-0000-0100-0000B1010000}"/>
    <hyperlink ref="I2513" r:id="rId435" xr:uid="{00000000-0004-0000-0100-0000B2010000}"/>
    <hyperlink ref="I2514" r:id="rId436" xr:uid="{00000000-0004-0000-0100-0000B3010000}"/>
    <hyperlink ref="I2515" r:id="rId437" xr:uid="{00000000-0004-0000-0100-0000B4010000}"/>
    <hyperlink ref="I2516" r:id="rId438" xr:uid="{00000000-0004-0000-0100-0000B5010000}"/>
    <hyperlink ref="I2517" r:id="rId439" xr:uid="{00000000-0004-0000-0100-0000B6010000}"/>
    <hyperlink ref="I2518" r:id="rId440" xr:uid="{00000000-0004-0000-0100-0000B7010000}"/>
    <hyperlink ref="I2519" r:id="rId441" xr:uid="{00000000-0004-0000-0100-0000B8010000}"/>
    <hyperlink ref="I2520" r:id="rId442" xr:uid="{00000000-0004-0000-0100-0000B9010000}"/>
    <hyperlink ref="I2521" r:id="rId443" xr:uid="{00000000-0004-0000-0100-0000BA010000}"/>
    <hyperlink ref="I2522" r:id="rId444" xr:uid="{00000000-0004-0000-0100-0000BB010000}"/>
    <hyperlink ref="I2523" r:id="rId445" xr:uid="{00000000-0004-0000-0100-0000BC010000}"/>
    <hyperlink ref="I2524" r:id="rId446" xr:uid="{00000000-0004-0000-0100-0000BD010000}"/>
    <hyperlink ref="I2525" r:id="rId447" xr:uid="{00000000-0004-0000-0100-0000BE010000}"/>
    <hyperlink ref="I2526" r:id="rId448" xr:uid="{00000000-0004-0000-0100-0000BF010000}"/>
    <hyperlink ref="I2527" r:id="rId449" xr:uid="{00000000-0004-0000-0100-0000C0010000}"/>
    <hyperlink ref="I2528" r:id="rId450" xr:uid="{00000000-0004-0000-0100-0000C1010000}"/>
    <hyperlink ref="I2529" r:id="rId451" xr:uid="{00000000-0004-0000-0100-0000C2010000}"/>
    <hyperlink ref="I2530" r:id="rId452" xr:uid="{00000000-0004-0000-0100-0000C3010000}"/>
    <hyperlink ref="I2531" r:id="rId453" xr:uid="{00000000-0004-0000-0100-0000C4010000}"/>
    <hyperlink ref="I2532" r:id="rId454" xr:uid="{00000000-0004-0000-0100-0000C5010000}"/>
    <hyperlink ref="I2533" r:id="rId455" xr:uid="{00000000-0004-0000-0100-0000C6010000}"/>
    <hyperlink ref="I2534" r:id="rId456" xr:uid="{00000000-0004-0000-0100-0000C7010000}"/>
    <hyperlink ref="I2535" r:id="rId457" xr:uid="{00000000-0004-0000-0100-0000C8010000}"/>
    <hyperlink ref="I2536" r:id="rId458" xr:uid="{00000000-0004-0000-0100-0000C9010000}"/>
    <hyperlink ref="I2537" r:id="rId459" xr:uid="{00000000-0004-0000-0100-0000CA010000}"/>
    <hyperlink ref="I2538" r:id="rId460" xr:uid="{00000000-0004-0000-0100-0000CB010000}"/>
    <hyperlink ref="I2539" r:id="rId461" xr:uid="{00000000-0004-0000-0100-0000CC010000}"/>
    <hyperlink ref="I2540" r:id="rId462" xr:uid="{00000000-0004-0000-0100-0000CD010000}"/>
    <hyperlink ref="I2541" r:id="rId463" xr:uid="{00000000-0004-0000-0100-0000CE010000}"/>
    <hyperlink ref="I2542" r:id="rId464" xr:uid="{00000000-0004-0000-0100-0000CF010000}"/>
    <hyperlink ref="I2543" r:id="rId465" xr:uid="{00000000-0004-0000-0100-0000D0010000}"/>
    <hyperlink ref="I2544" r:id="rId466" xr:uid="{00000000-0004-0000-0100-0000D1010000}"/>
    <hyperlink ref="I2545" r:id="rId467" xr:uid="{00000000-0004-0000-0100-0000D2010000}"/>
    <hyperlink ref="I2546" r:id="rId468" xr:uid="{00000000-0004-0000-0100-0000D3010000}"/>
    <hyperlink ref="I2547" r:id="rId469" xr:uid="{00000000-0004-0000-0100-0000D4010000}"/>
    <hyperlink ref="I2548" r:id="rId470" xr:uid="{00000000-0004-0000-0100-0000D5010000}"/>
    <hyperlink ref="I2549" r:id="rId471" xr:uid="{00000000-0004-0000-0100-0000D6010000}"/>
    <hyperlink ref="I2550" r:id="rId472" xr:uid="{00000000-0004-0000-0100-0000D7010000}"/>
    <hyperlink ref="I2551" r:id="rId473" xr:uid="{00000000-0004-0000-0100-0000D8010000}"/>
    <hyperlink ref="I2552" r:id="rId474" xr:uid="{00000000-0004-0000-0100-0000D9010000}"/>
    <hyperlink ref="I2553" r:id="rId475" xr:uid="{00000000-0004-0000-0100-0000DA010000}"/>
    <hyperlink ref="I2554" r:id="rId476" xr:uid="{00000000-0004-0000-0100-0000DB010000}"/>
    <hyperlink ref="I2555" r:id="rId477" xr:uid="{00000000-0004-0000-0100-0000DC010000}"/>
    <hyperlink ref="I2556" r:id="rId478" xr:uid="{00000000-0004-0000-0100-0000DD010000}"/>
    <hyperlink ref="I2557" r:id="rId479" xr:uid="{00000000-0004-0000-0100-0000DE010000}"/>
    <hyperlink ref="I2558" r:id="rId480" xr:uid="{00000000-0004-0000-0100-0000DF010000}"/>
    <hyperlink ref="I2559" r:id="rId481" xr:uid="{00000000-0004-0000-0100-0000E0010000}"/>
    <hyperlink ref="I2560" r:id="rId482" xr:uid="{00000000-0004-0000-0100-0000E1010000}"/>
    <hyperlink ref="I2561" r:id="rId483" xr:uid="{00000000-0004-0000-0100-0000E2010000}"/>
    <hyperlink ref="I2562" r:id="rId484" xr:uid="{00000000-0004-0000-0100-0000E3010000}"/>
    <hyperlink ref="I2563" r:id="rId485" xr:uid="{00000000-0004-0000-0100-0000E4010000}"/>
    <hyperlink ref="I2564" r:id="rId486" xr:uid="{00000000-0004-0000-0100-0000E5010000}"/>
    <hyperlink ref="I2565" r:id="rId487" xr:uid="{00000000-0004-0000-0100-0000E6010000}"/>
    <hyperlink ref="I2566" r:id="rId488" xr:uid="{00000000-0004-0000-0100-0000E7010000}"/>
    <hyperlink ref="I2567" r:id="rId489" xr:uid="{00000000-0004-0000-0100-0000E8010000}"/>
    <hyperlink ref="I2568" r:id="rId490" xr:uid="{00000000-0004-0000-0100-0000E9010000}"/>
    <hyperlink ref="I2569" r:id="rId491" xr:uid="{00000000-0004-0000-0100-0000EA010000}"/>
    <hyperlink ref="I2570" r:id="rId492" xr:uid="{00000000-0004-0000-0100-0000EB010000}"/>
    <hyperlink ref="I2571" r:id="rId493" xr:uid="{00000000-0004-0000-0100-0000EC010000}"/>
    <hyperlink ref="I2572" r:id="rId494" xr:uid="{00000000-0004-0000-0100-0000ED010000}"/>
    <hyperlink ref="I2573" r:id="rId495" xr:uid="{00000000-0004-0000-0100-0000EE010000}"/>
    <hyperlink ref="I2574" r:id="rId496" xr:uid="{00000000-0004-0000-0100-0000EF010000}"/>
    <hyperlink ref="I2575" r:id="rId497" xr:uid="{00000000-0004-0000-0100-0000F0010000}"/>
    <hyperlink ref="I2576" r:id="rId498" xr:uid="{00000000-0004-0000-0100-0000F1010000}"/>
    <hyperlink ref="I2577" r:id="rId499" xr:uid="{00000000-0004-0000-0100-0000F2010000}"/>
    <hyperlink ref="I2578" r:id="rId500" xr:uid="{00000000-0004-0000-0100-0000F3010000}"/>
    <hyperlink ref="I2579" r:id="rId501" xr:uid="{00000000-0004-0000-0100-0000F4010000}"/>
    <hyperlink ref="I2580" r:id="rId502" xr:uid="{00000000-0004-0000-0100-0000F5010000}"/>
    <hyperlink ref="I2581" r:id="rId503" xr:uid="{00000000-0004-0000-0100-0000F6010000}"/>
    <hyperlink ref="I2582" r:id="rId504" xr:uid="{00000000-0004-0000-0100-0000F7010000}"/>
    <hyperlink ref="I2583" r:id="rId505" xr:uid="{00000000-0004-0000-0100-0000F8010000}"/>
    <hyperlink ref="I2584" r:id="rId506" xr:uid="{00000000-0004-0000-0100-0000F9010000}"/>
    <hyperlink ref="I2585" r:id="rId507" xr:uid="{00000000-0004-0000-0100-0000FA010000}"/>
    <hyperlink ref="I2586" r:id="rId508" xr:uid="{00000000-0004-0000-0100-0000FB010000}"/>
    <hyperlink ref="I2587" r:id="rId509" xr:uid="{00000000-0004-0000-0100-0000FC010000}"/>
    <hyperlink ref="I2588" r:id="rId510" xr:uid="{00000000-0004-0000-0100-0000FD010000}"/>
    <hyperlink ref="I2589" r:id="rId511" xr:uid="{00000000-0004-0000-0100-0000FE010000}"/>
    <hyperlink ref="I2590" r:id="rId512" xr:uid="{00000000-0004-0000-0100-0000FF010000}"/>
    <hyperlink ref="I2591" r:id="rId513" xr:uid="{00000000-0004-0000-0100-000000020000}"/>
    <hyperlink ref="I2592" r:id="rId514" xr:uid="{00000000-0004-0000-0100-000001020000}"/>
    <hyperlink ref="I2593" r:id="rId515" xr:uid="{00000000-0004-0000-0100-000002020000}"/>
    <hyperlink ref="I2594" r:id="rId516" xr:uid="{00000000-0004-0000-0100-000003020000}"/>
    <hyperlink ref="I2595" r:id="rId517" xr:uid="{00000000-0004-0000-0100-000004020000}"/>
    <hyperlink ref="I2596" r:id="rId518" xr:uid="{00000000-0004-0000-0100-000005020000}"/>
    <hyperlink ref="I2597" r:id="rId519" xr:uid="{00000000-0004-0000-0100-000006020000}"/>
    <hyperlink ref="I2598" r:id="rId520" xr:uid="{00000000-0004-0000-0100-000007020000}"/>
    <hyperlink ref="I2599" r:id="rId521" xr:uid="{00000000-0004-0000-0100-000008020000}"/>
    <hyperlink ref="I2600" r:id="rId522" xr:uid="{00000000-0004-0000-0100-000009020000}"/>
    <hyperlink ref="I2601" r:id="rId523" xr:uid="{00000000-0004-0000-0100-00000A020000}"/>
    <hyperlink ref="I2602" r:id="rId524" xr:uid="{00000000-0004-0000-0100-00000B020000}"/>
    <hyperlink ref="I2603" r:id="rId525" xr:uid="{00000000-0004-0000-0100-00000C020000}"/>
    <hyperlink ref="I2604" r:id="rId526" xr:uid="{00000000-0004-0000-0100-00000D020000}"/>
    <hyperlink ref="I2605" r:id="rId527" xr:uid="{00000000-0004-0000-0100-00000E020000}"/>
    <hyperlink ref="I2606" r:id="rId528" xr:uid="{00000000-0004-0000-0100-00000F020000}"/>
    <hyperlink ref="I2607" r:id="rId529" xr:uid="{00000000-0004-0000-0100-000010020000}"/>
    <hyperlink ref="I2608" r:id="rId530" xr:uid="{00000000-0004-0000-0100-000011020000}"/>
    <hyperlink ref="I2609" r:id="rId531" xr:uid="{00000000-0004-0000-0100-000012020000}"/>
    <hyperlink ref="I2610" r:id="rId532" xr:uid="{00000000-0004-0000-0100-000013020000}"/>
    <hyperlink ref="I2611" r:id="rId533" xr:uid="{00000000-0004-0000-0100-000014020000}"/>
    <hyperlink ref="I2612" r:id="rId534" xr:uid="{00000000-0004-0000-0100-000015020000}"/>
    <hyperlink ref="I2613" r:id="rId535" xr:uid="{00000000-0004-0000-0100-000016020000}"/>
    <hyperlink ref="I2614" r:id="rId536" xr:uid="{00000000-0004-0000-0100-000017020000}"/>
    <hyperlink ref="I2615" r:id="rId537" xr:uid="{00000000-0004-0000-0100-000018020000}"/>
    <hyperlink ref="I2616" r:id="rId538" xr:uid="{00000000-0004-0000-0100-000019020000}"/>
    <hyperlink ref="I2617" r:id="rId539" xr:uid="{00000000-0004-0000-0100-00001A020000}"/>
    <hyperlink ref="I2618" r:id="rId540" xr:uid="{00000000-0004-0000-0100-00001B020000}"/>
    <hyperlink ref="I2619" r:id="rId541" xr:uid="{00000000-0004-0000-0100-00001C020000}"/>
    <hyperlink ref="I2620" r:id="rId542" xr:uid="{00000000-0004-0000-0100-00001D020000}"/>
    <hyperlink ref="I2621" r:id="rId543" xr:uid="{00000000-0004-0000-0100-00001E020000}"/>
    <hyperlink ref="I2622" r:id="rId544" xr:uid="{00000000-0004-0000-0100-00001F020000}"/>
    <hyperlink ref="I2623" r:id="rId545" xr:uid="{00000000-0004-0000-0100-000020020000}"/>
    <hyperlink ref="I2624" r:id="rId546" xr:uid="{00000000-0004-0000-0100-000021020000}"/>
    <hyperlink ref="I2625" r:id="rId547" xr:uid="{00000000-0004-0000-0100-000022020000}"/>
    <hyperlink ref="I2626" r:id="rId548" xr:uid="{00000000-0004-0000-0100-000023020000}"/>
    <hyperlink ref="I2627" r:id="rId549" xr:uid="{00000000-0004-0000-0100-000024020000}"/>
    <hyperlink ref="I2628" r:id="rId550" xr:uid="{00000000-0004-0000-0100-000025020000}"/>
    <hyperlink ref="I2629" r:id="rId551" xr:uid="{00000000-0004-0000-0100-000026020000}"/>
    <hyperlink ref="I2630" r:id="rId552" xr:uid="{00000000-0004-0000-0100-000027020000}"/>
    <hyperlink ref="I2631" r:id="rId553" xr:uid="{00000000-0004-0000-0100-000028020000}"/>
    <hyperlink ref="I2632" r:id="rId554" xr:uid="{00000000-0004-0000-0100-000029020000}"/>
    <hyperlink ref="I2633" r:id="rId555" xr:uid="{00000000-0004-0000-0100-00002A020000}"/>
    <hyperlink ref="I2634" r:id="rId556" xr:uid="{00000000-0004-0000-0100-00002B020000}"/>
    <hyperlink ref="I2635" r:id="rId557" xr:uid="{00000000-0004-0000-0100-00002C020000}"/>
    <hyperlink ref="I2636" r:id="rId558" xr:uid="{00000000-0004-0000-0100-00002D020000}"/>
    <hyperlink ref="I2637" r:id="rId559" xr:uid="{00000000-0004-0000-0100-00002E020000}"/>
    <hyperlink ref="I2638" r:id="rId560" xr:uid="{00000000-0004-0000-0100-00002F020000}"/>
    <hyperlink ref="I2639" r:id="rId561" xr:uid="{00000000-0004-0000-0100-000030020000}"/>
    <hyperlink ref="I2640" r:id="rId562" xr:uid="{00000000-0004-0000-0100-000031020000}"/>
    <hyperlink ref="I2641" r:id="rId563" xr:uid="{00000000-0004-0000-0100-000032020000}"/>
    <hyperlink ref="I2642" r:id="rId564" xr:uid="{00000000-0004-0000-0100-000033020000}"/>
    <hyperlink ref="I2643" r:id="rId565" xr:uid="{00000000-0004-0000-0100-000034020000}"/>
    <hyperlink ref="I2644" r:id="rId566" xr:uid="{00000000-0004-0000-0100-000035020000}"/>
    <hyperlink ref="I2645" r:id="rId567" xr:uid="{00000000-0004-0000-0100-000036020000}"/>
    <hyperlink ref="I2646" r:id="rId568" xr:uid="{00000000-0004-0000-0100-000037020000}"/>
    <hyperlink ref="I2647" r:id="rId569" xr:uid="{00000000-0004-0000-0100-000038020000}"/>
    <hyperlink ref="I2648" r:id="rId570" xr:uid="{00000000-0004-0000-0100-000039020000}"/>
    <hyperlink ref="I2649" r:id="rId571" xr:uid="{00000000-0004-0000-0100-00003A020000}"/>
    <hyperlink ref="I2650" r:id="rId572" xr:uid="{00000000-0004-0000-0100-00003B020000}"/>
    <hyperlink ref="I2651" r:id="rId573" xr:uid="{00000000-0004-0000-0100-00003C020000}"/>
    <hyperlink ref="I2652" r:id="rId574" xr:uid="{00000000-0004-0000-0100-00003D020000}"/>
    <hyperlink ref="I2653" r:id="rId575" xr:uid="{00000000-0004-0000-0100-00003E020000}"/>
    <hyperlink ref="I2654" r:id="rId576" xr:uid="{00000000-0004-0000-0100-00003F020000}"/>
    <hyperlink ref="I2655" r:id="rId577" xr:uid="{00000000-0004-0000-0100-000040020000}"/>
    <hyperlink ref="I2656" r:id="rId578" xr:uid="{00000000-0004-0000-0100-000041020000}"/>
    <hyperlink ref="I2657" r:id="rId579" xr:uid="{00000000-0004-0000-0100-000042020000}"/>
    <hyperlink ref="I2658" r:id="rId580" xr:uid="{00000000-0004-0000-0100-000043020000}"/>
    <hyperlink ref="I2659" r:id="rId581" xr:uid="{00000000-0004-0000-0100-000044020000}"/>
    <hyperlink ref="I2660" r:id="rId582" xr:uid="{00000000-0004-0000-0100-000045020000}"/>
    <hyperlink ref="I2661" r:id="rId583" xr:uid="{00000000-0004-0000-0100-000046020000}"/>
    <hyperlink ref="I2662" r:id="rId584" xr:uid="{00000000-0004-0000-0100-000047020000}"/>
    <hyperlink ref="I2663" r:id="rId585" xr:uid="{00000000-0004-0000-0100-000048020000}"/>
    <hyperlink ref="I2664" r:id="rId586" xr:uid="{00000000-0004-0000-0100-000049020000}"/>
    <hyperlink ref="I2665" r:id="rId587" xr:uid="{00000000-0004-0000-0100-00004A020000}"/>
    <hyperlink ref="I2666" r:id="rId588" xr:uid="{00000000-0004-0000-0100-00004B020000}"/>
    <hyperlink ref="I2667" r:id="rId589" xr:uid="{00000000-0004-0000-0100-00004C020000}"/>
    <hyperlink ref="I2668" r:id="rId590" xr:uid="{00000000-0004-0000-0100-00004D020000}"/>
    <hyperlink ref="I2669" r:id="rId591" xr:uid="{00000000-0004-0000-0100-00004E020000}"/>
    <hyperlink ref="I2670" r:id="rId592" xr:uid="{00000000-0004-0000-0100-00004F020000}"/>
    <hyperlink ref="I2671" r:id="rId593" xr:uid="{00000000-0004-0000-0100-000050020000}"/>
    <hyperlink ref="I2672" r:id="rId594" xr:uid="{00000000-0004-0000-0100-000051020000}"/>
    <hyperlink ref="I2673" r:id="rId595" xr:uid="{00000000-0004-0000-0100-000052020000}"/>
    <hyperlink ref="I2674" r:id="rId596" xr:uid="{00000000-0004-0000-0100-000053020000}"/>
    <hyperlink ref="I2675" r:id="rId597" xr:uid="{00000000-0004-0000-0100-000054020000}"/>
    <hyperlink ref="I2676" r:id="rId598" xr:uid="{00000000-0004-0000-0100-000055020000}"/>
    <hyperlink ref="I2677" r:id="rId599" xr:uid="{00000000-0004-0000-0100-000056020000}"/>
    <hyperlink ref="I2678" r:id="rId600" xr:uid="{00000000-0004-0000-0100-000057020000}"/>
    <hyperlink ref="I2679" r:id="rId601" xr:uid="{00000000-0004-0000-0100-000058020000}"/>
    <hyperlink ref="I2680" r:id="rId602" xr:uid="{00000000-0004-0000-0100-000059020000}"/>
    <hyperlink ref="I2681" r:id="rId603" xr:uid="{00000000-0004-0000-0100-00005A020000}"/>
    <hyperlink ref="I2682" r:id="rId604" xr:uid="{00000000-0004-0000-0100-00005B020000}"/>
    <hyperlink ref="I2683" r:id="rId605" xr:uid="{00000000-0004-0000-0100-00005C020000}"/>
    <hyperlink ref="I2684" r:id="rId606" xr:uid="{00000000-0004-0000-0100-00005D020000}"/>
    <hyperlink ref="I2685" r:id="rId607" xr:uid="{00000000-0004-0000-0100-00005E020000}"/>
    <hyperlink ref="I2686" r:id="rId608" xr:uid="{00000000-0004-0000-0100-00005F020000}"/>
    <hyperlink ref="I2687" r:id="rId609" xr:uid="{00000000-0004-0000-0100-000060020000}"/>
    <hyperlink ref="I2688" r:id="rId610" xr:uid="{00000000-0004-0000-0100-000061020000}"/>
    <hyperlink ref="I2689" r:id="rId611" xr:uid="{00000000-0004-0000-0100-000062020000}"/>
    <hyperlink ref="I2690" r:id="rId612" xr:uid="{00000000-0004-0000-0100-000063020000}"/>
    <hyperlink ref="I2691" r:id="rId613" xr:uid="{00000000-0004-0000-0100-000064020000}"/>
    <hyperlink ref="I2692" r:id="rId614" xr:uid="{00000000-0004-0000-0100-000065020000}"/>
    <hyperlink ref="I2693" r:id="rId615" xr:uid="{00000000-0004-0000-0100-000066020000}"/>
    <hyperlink ref="I2694" r:id="rId616" xr:uid="{00000000-0004-0000-0100-000067020000}"/>
    <hyperlink ref="I2695" r:id="rId617" xr:uid="{00000000-0004-0000-0100-000068020000}"/>
    <hyperlink ref="I2696" r:id="rId618" xr:uid="{00000000-0004-0000-0100-000069020000}"/>
    <hyperlink ref="I2697" r:id="rId619" xr:uid="{00000000-0004-0000-0100-00006A020000}"/>
    <hyperlink ref="I2698" r:id="rId620" xr:uid="{00000000-0004-0000-0100-00006B020000}"/>
    <hyperlink ref="I2699" r:id="rId621" xr:uid="{00000000-0004-0000-0100-00006C020000}"/>
    <hyperlink ref="I2700" r:id="rId622" xr:uid="{00000000-0004-0000-0100-00006D020000}"/>
    <hyperlink ref="I2701" r:id="rId623" xr:uid="{00000000-0004-0000-0100-00006E020000}"/>
    <hyperlink ref="I2702" r:id="rId624" xr:uid="{00000000-0004-0000-0100-00006F020000}"/>
    <hyperlink ref="I2703" r:id="rId625" xr:uid="{00000000-0004-0000-0100-000070020000}"/>
    <hyperlink ref="I2704" r:id="rId626" xr:uid="{00000000-0004-0000-0100-000071020000}"/>
    <hyperlink ref="I2705" r:id="rId627" xr:uid="{00000000-0004-0000-0100-000072020000}"/>
    <hyperlink ref="I2706" r:id="rId628" xr:uid="{00000000-0004-0000-0100-000073020000}"/>
    <hyperlink ref="I2707" r:id="rId629" xr:uid="{00000000-0004-0000-0100-000074020000}"/>
    <hyperlink ref="I2708" r:id="rId630" xr:uid="{00000000-0004-0000-0100-000075020000}"/>
    <hyperlink ref="I2709" r:id="rId631" xr:uid="{00000000-0004-0000-0100-000076020000}"/>
    <hyperlink ref="I2710" r:id="rId632" xr:uid="{00000000-0004-0000-0100-000077020000}"/>
    <hyperlink ref="I2711" r:id="rId633" xr:uid="{00000000-0004-0000-0100-000078020000}"/>
    <hyperlink ref="I2712" r:id="rId634" xr:uid="{00000000-0004-0000-0100-000079020000}"/>
    <hyperlink ref="I2713" r:id="rId635" xr:uid="{00000000-0004-0000-0100-00007A020000}"/>
    <hyperlink ref="I2714" r:id="rId636" xr:uid="{00000000-0004-0000-0100-00007B020000}"/>
    <hyperlink ref="I2715" r:id="rId637" xr:uid="{00000000-0004-0000-0100-00007C020000}"/>
    <hyperlink ref="I2716" r:id="rId638" xr:uid="{00000000-0004-0000-0100-00007D020000}"/>
    <hyperlink ref="I2717" r:id="rId639" xr:uid="{00000000-0004-0000-0100-00007E020000}"/>
    <hyperlink ref="I2718" r:id="rId640" xr:uid="{00000000-0004-0000-0100-00007F020000}"/>
    <hyperlink ref="I2719" r:id="rId641" xr:uid="{00000000-0004-0000-0100-000080020000}"/>
    <hyperlink ref="I2720" r:id="rId642" xr:uid="{00000000-0004-0000-0100-000081020000}"/>
    <hyperlink ref="I2721" r:id="rId643" xr:uid="{00000000-0004-0000-0100-000082020000}"/>
    <hyperlink ref="I2722" r:id="rId644" xr:uid="{00000000-0004-0000-0100-000083020000}"/>
    <hyperlink ref="I2723" r:id="rId645" xr:uid="{00000000-0004-0000-0100-000084020000}"/>
    <hyperlink ref="I2724" r:id="rId646" xr:uid="{00000000-0004-0000-0100-000085020000}"/>
    <hyperlink ref="I2725" r:id="rId647" xr:uid="{00000000-0004-0000-0100-000086020000}"/>
    <hyperlink ref="I2726" r:id="rId648" xr:uid="{00000000-0004-0000-0100-000087020000}"/>
    <hyperlink ref="I2727" r:id="rId649" xr:uid="{00000000-0004-0000-0100-000088020000}"/>
    <hyperlink ref="I2728" r:id="rId650" xr:uid="{00000000-0004-0000-0100-000089020000}"/>
    <hyperlink ref="I2729" r:id="rId651" xr:uid="{00000000-0004-0000-0100-00008A020000}"/>
    <hyperlink ref="I2730" r:id="rId652" xr:uid="{00000000-0004-0000-0100-00008B020000}"/>
    <hyperlink ref="I2731" r:id="rId653" xr:uid="{00000000-0004-0000-0100-00008C020000}"/>
    <hyperlink ref="I2732" r:id="rId654" xr:uid="{00000000-0004-0000-0100-00008D020000}"/>
    <hyperlink ref="I2733" r:id="rId655" xr:uid="{00000000-0004-0000-0100-00008E020000}"/>
    <hyperlink ref="I2734" r:id="rId656" xr:uid="{00000000-0004-0000-0100-00008F020000}"/>
    <hyperlink ref="I2735" r:id="rId657" xr:uid="{00000000-0004-0000-0100-000090020000}"/>
    <hyperlink ref="I2736" r:id="rId658" xr:uid="{00000000-0004-0000-0100-000091020000}"/>
    <hyperlink ref="I2737" r:id="rId659" xr:uid="{00000000-0004-0000-0100-000092020000}"/>
    <hyperlink ref="I2738" r:id="rId660" xr:uid="{00000000-0004-0000-0100-000093020000}"/>
    <hyperlink ref="I2739" r:id="rId661" xr:uid="{00000000-0004-0000-0100-000094020000}"/>
    <hyperlink ref="I2740" r:id="rId662" xr:uid="{00000000-0004-0000-0100-000095020000}"/>
    <hyperlink ref="I2741" r:id="rId663" xr:uid="{00000000-0004-0000-0100-000096020000}"/>
    <hyperlink ref="I2742" r:id="rId664" xr:uid="{00000000-0004-0000-0100-000097020000}"/>
    <hyperlink ref="I2743" r:id="rId665" xr:uid="{00000000-0004-0000-0100-000098020000}"/>
    <hyperlink ref="I2744" r:id="rId666" xr:uid="{00000000-0004-0000-0100-000099020000}"/>
    <hyperlink ref="I2745" r:id="rId667" xr:uid="{00000000-0004-0000-0100-00009A020000}"/>
    <hyperlink ref="I2746" r:id="rId668" xr:uid="{00000000-0004-0000-0100-00009B020000}"/>
    <hyperlink ref="I2747" r:id="rId669" xr:uid="{00000000-0004-0000-0100-00009C020000}"/>
    <hyperlink ref="I2748" r:id="rId670" xr:uid="{00000000-0004-0000-0100-00009D020000}"/>
    <hyperlink ref="I2749" r:id="rId671" xr:uid="{00000000-0004-0000-0100-00009E020000}"/>
    <hyperlink ref="I2750" r:id="rId672" xr:uid="{00000000-0004-0000-0100-00009F020000}"/>
    <hyperlink ref="I2751" r:id="rId673" xr:uid="{00000000-0004-0000-0100-0000A0020000}"/>
    <hyperlink ref="I2752" r:id="rId674" xr:uid="{00000000-0004-0000-0100-0000A1020000}"/>
    <hyperlink ref="I2753" r:id="rId675" xr:uid="{00000000-0004-0000-0100-0000A2020000}"/>
    <hyperlink ref="I2754" r:id="rId676" xr:uid="{00000000-0004-0000-0100-0000A3020000}"/>
    <hyperlink ref="I2755" r:id="rId677" xr:uid="{00000000-0004-0000-0100-0000A4020000}"/>
    <hyperlink ref="I2756" r:id="rId678" xr:uid="{00000000-0004-0000-0100-0000A5020000}"/>
    <hyperlink ref="I2757" r:id="rId679" xr:uid="{00000000-0004-0000-0100-0000A6020000}"/>
    <hyperlink ref="I2758" r:id="rId680" xr:uid="{00000000-0004-0000-0100-0000A7020000}"/>
    <hyperlink ref="I2759" r:id="rId681" xr:uid="{00000000-0004-0000-0100-0000A8020000}"/>
    <hyperlink ref="I2760" r:id="rId682" xr:uid="{00000000-0004-0000-0100-0000A9020000}"/>
    <hyperlink ref="I2761" r:id="rId683" xr:uid="{00000000-0004-0000-0100-0000AA020000}"/>
    <hyperlink ref="I2762" r:id="rId684" xr:uid="{00000000-0004-0000-0100-0000AB020000}"/>
    <hyperlink ref="I2763" r:id="rId685" xr:uid="{00000000-0004-0000-0100-0000AC020000}"/>
    <hyperlink ref="I2764" r:id="rId686" xr:uid="{00000000-0004-0000-0100-0000AD020000}"/>
    <hyperlink ref="I2765" r:id="rId687" xr:uid="{00000000-0004-0000-0100-0000AE020000}"/>
    <hyperlink ref="I2766" r:id="rId688" xr:uid="{00000000-0004-0000-0100-0000AF020000}"/>
    <hyperlink ref="I2767" r:id="rId689" xr:uid="{00000000-0004-0000-0100-0000B0020000}"/>
    <hyperlink ref="I2768" r:id="rId690" xr:uid="{00000000-0004-0000-0100-0000B1020000}"/>
    <hyperlink ref="I2769" r:id="rId691" xr:uid="{00000000-0004-0000-0100-0000B2020000}"/>
    <hyperlink ref="I2770" r:id="rId692" xr:uid="{00000000-0004-0000-0100-0000B3020000}"/>
    <hyperlink ref="I2771" r:id="rId693" xr:uid="{00000000-0004-0000-0100-0000B4020000}"/>
    <hyperlink ref="I2772" r:id="rId694" xr:uid="{00000000-0004-0000-0100-0000B5020000}"/>
    <hyperlink ref="I2773" r:id="rId695" xr:uid="{00000000-0004-0000-0100-0000B6020000}"/>
    <hyperlink ref="I2774" r:id="rId696" xr:uid="{00000000-0004-0000-0100-0000B7020000}"/>
    <hyperlink ref="I2775" r:id="rId697" xr:uid="{00000000-0004-0000-0100-0000B8020000}"/>
    <hyperlink ref="I2776" r:id="rId698" xr:uid="{00000000-0004-0000-0100-0000B9020000}"/>
    <hyperlink ref="I2777" r:id="rId699" xr:uid="{00000000-0004-0000-0100-0000BA020000}"/>
    <hyperlink ref="I2778" r:id="rId700" xr:uid="{00000000-0004-0000-0100-0000BB020000}"/>
    <hyperlink ref="I2779" r:id="rId701" xr:uid="{00000000-0004-0000-0100-0000BC020000}"/>
    <hyperlink ref="I2780" r:id="rId702" xr:uid="{00000000-0004-0000-0100-0000BD020000}"/>
    <hyperlink ref="I2781" r:id="rId703" xr:uid="{00000000-0004-0000-0100-0000BE020000}"/>
    <hyperlink ref="I2782" r:id="rId704" xr:uid="{00000000-0004-0000-0100-0000BF020000}"/>
    <hyperlink ref="I2783" r:id="rId705" xr:uid="{00000000-0004-0000-0100-0000C0020000}"/>
    <hyperlink ref="I2784" r:id="rId706" xr:uid="{00000000-0004-0000-0100-0000C1020000}"/>
    <hyperlink ref="I2785" r:id="rId707" xr:uid="{00000000-0004-0000-0100-0000C2020000}"/>
    <hyperlink ref="I2786" r:id="rId708" xr:uid="{00000000-0004-0000-0100-0000C3020000}"/>
    <hyperlink ref="I2787" r:id="rId709" xr:uid="{00000000-0004-0000-0100-0000C4020000}"/>
    <hyperlink ref="I2788" r:id="rId710" xr:uid="{00000000-0004-0000-0100-0000C5020000}"/>
    <hyperlink ref="I2789" r:id="rId711" xr:uid="{00000000-0004-0000-0100-0000C6020000}"/>
    <hyperlink ref="I2790" r:id="rId712" xr:uid="{00000000-0004-0000-0100-0000C7020000}"/>
    <hyperlink ref="I2791" r:id="rId713" xr:uid="{00000000-0004-0000-0100-0000C8020000}"/>
    <hyperlink ref="I2792" r:id="rId714" xr:uid="{00000000-0004-0000-0100-0000C9020000}"/>
    <hyperlink ref="I2793" r:id="rId715" xr:uid="{00000000-0004-0000-0100-0000CA020000}"/>
    <hyperlink ref="I2794" r:id="rId716" xr:uid="{00000000-0004-0000-0100-0000CB020000}"/>
    <hyperlink ref="I2795" r:id="rId717" xr:uid="{00000000-0004-0000-0100-0000CC020000}"/>
    <hyperlink ref="I2796" r:id="rId718" xr:uid="{00000000-0004-0000-0100-0000CD020000}"/>
    <hyperlink ref="I2797" r:id="rId719" xr:uid="{00000000-0004-0000-0100-0000CE020000}"/>
    <hyperlink ref="I2798" r:id="rId720" xr:uid="{00000000-0004-0000-0100-0000CF020000}"/>
    <hyperlink ref="I2799" r:id="rId721" xr:uid="{00000000-0004-0000-0100-0000D0020000}"/>
    <hyperlink ref="I2800" r:id="rId722" xr:uid="{00000000-0004-0000-0100-0000D1020000}"/>
    <hyperlink ref="I2801" r:id="rId723" xr:uid="{00000000-0004-0000-0100-0000D2020000}"/>
    <hyperlink ref="I2802" r:id="rId724" xr:uid="{00000000-0004-0000-0100-0000D3020000}"/>
    <hyperlink ref="I2803" r:id="rId725" xr:uid="{00000000-0004-0000-0100-0000D4020000}"/>
    <hyperlink ref="I2804" r:id="rId726" xr:uid="{00000000-0004-0000-0100-0000D5020000}"/>
    <hyperlink ref="I2805" r:id="rId727" xr:uid="{00000000-0004-0000-0100-0000D6020000}"/>
    <hyperlink ref="I2806" r:id="rId728" xr:uid="{00000000-0004-0000-0100-0000D7020000}"/>
    <hyperlink ref="I2807" r:id="rId729" xr:uid="{00000000-0004-0000-0100-0000D8020000}"/>
    <hyperlink ref="I2808" r:id="rId730" xr:uid="{00000000-0004-0000-0100-0000D9020000}"/>
    <hyperlink ref="I2809" r:id="rId731" xr:uid="{00000000-0004-0000-0100-0000DA020000}"/>
    <hyperlink ref="I2810" r:id="rId732" xr:uid="{00000000-0004-0000-0100-0000DB020000}"/>
    <hyperlink ref="I2811" r:id="rId733" xr:uid="{00000000-0004-0000-0100-0000DC020000}"/>
    <hyperlink ref="I2812" r:id="rId734" xr:uid="{00000000-0004-0000-0100-0000DD020000}"/>
    <hyperlink ref="I2813" r:id="rId735" xr:uid="{00000000-0004-0000-0100-0000DE020000}"/>
    <hyperlink ref="I2814" r:id="rId736" xr:uid="{00000000-0004-0000-0100-0000DF020000}"/>
    <hyperlink ref="I2815" r:id="rId737" xr:uid="{00000000-0004-0000-0100-0000E0020000}"/>
    <hyperlink ref="I2816" r:id="rId738" xr:uid="{00000000-0004-0000-0100-0000E1020000}"/>
    <hyperlink ref="I2817" r:id="rId739" xr:uid="{00000000-0004-0000-0100-0000E2020000}"/>
    <hyperlink ref="I2818" r:id="rId740" xr:uid="{00000000-0004-0000-0100-0000E3020000}"/>
    <hyperlink ref="I2819" r:id="rId741" xr:uid="{00000000-0004-0000-0100-0000E4020000}"/>
    <hyperlink ref="I2820" r:id="rId742" xr:uid="{00000000-0004-0000-0100-0000E5020000}"/>
    <hyperlink ref="I2821" r:id="rId743" xr:uid="{00000000-0004-0000-0100-0000E6020000}"/>
    <hyperlink ref="I2822" r:id="rId744" xr:uid="{00000000-0004-0000-0100-0000E7020000}"/>
    <hyperlink ref="I2823" r:id="rId745" xr:uid="{00000000-0004-0000-0100-0000E8020000}"/>
    <hyperlink ref="I2824" r:id="rId746" xr:uid="{00000000-0004-0000-0100-0000E9020000}"/>
    <hyperlink ref="I2825" r:id="rId747" xr:uid="{00000000-0004-0000-0100-0000EA020000}"/>
    <hyperlink ref="I2826" r:id="rId748" xr:uid="{00000000-0004-0000-0100-0000EB020000}"/>
    <hyperlink ref="I2827" r:id="rId749" xr:uid="{00000000-0004-0000-0100-0000EC020000}"/>
    <hyperlink ref="I2828" r:id="rId750" xr:uid="{00000000-0004-0000-0100-0000ED020000}"/>
    <hyperlink ref="I2829" r:id="rId751" xr:uid="{00000000-0004-0000-0100-0000EE020000}"/>
    <hyperlink ref="I2830" r:id="rId752" xr:uid="{00000000-0004-0000-0100-0000EF020000}"/>
    <hyperlink ref="I2831" r:id="rId753" xr:uid="{00000000-0004-0000-0100-0000F0020000}"/>
    <hyperlink ref="I2832" r:id="rId754" xr:uid="{00000000-0004-0000-0100-0000F1020000}"/>
    <hyperlink ref="I2833" r:id="rId755" xr:uid="{00000000-0004-0000-0100-0000F2020000}"/>
    <hyperlink ref="I2834" r:id="rId756" xr:uid="{00000000-0004-0000-0100-0000F3020000}"/>
    <hyperlink ref="I2835" r:id="rId757" xr:uid="{00000000-0004-0000-0100-0000F4020000}"/>
    <hyperlink ref="I2836" r:id="rId758" xr:uid="{00000000-0004-0000-0100-0000F5020000}"/>
    <hyperlink ref="I2837" r:id="rId759" xr:uid="{00000000-0004-0000-0100-0000F6020000}"/>
    <hyperlink ref="I2838" r:id="rId760" xr:uid="{00000000-0004-0000-0100-0000F7020000}"/>
    <hyperlink ref="I2839" r:id="rId761" xr:uid="{00000000-0004-0000-0100-0000F8020000}"/>
    <hyperlink ref="I2840" r:id="rId762" xr:uid="{00000000-0004-0000-0100-0000F9020000}"/>
    <hyperlink ref="I2841" r:id="rId763" xr:uid="{00000000-0004-0000-0100-0000FA020000}"/>
    <hyperlink ref="I2842" r:id="rId764" xr:uid="{00000000-0004-0000-0100-0000FB020000}"/>
    <hyperlink ref="I2843" r:id="rId765" xr:uid="{00000000-0004-0000-0100-0000FC020000}"/>
    <hyperlink ref="I2844" r:id="rId766" xr:uid="{00000000-0004-0000-0100-0000FD020000}"/>
    <hyperlink ref="I2845" r:id="rId767" xr:uid="{00000000-0004-0000-0100-0000FE020000}"/>
    <hyperlink ref="I2846" r:id="rId768" xr:uid="{00000000-0004-0000-0100-0000FF020000}"/>
    <hyperlink ref="I2847" r:id="rId769" xr:uid="{00000000-0004-0000-0100-000000030000}"/>
    <hyperlink ref="I2848" r:id="rId770" xr:uid="{00000000-0004-0000-0100-000001030000}"/>
    <hyperlink ref="I2849" r:id="rId771" xr:uid="{00000000-0004-0000-0100-000002030000}"/>
    <hyperlink ref="I2850" r:id="rId772" xr:uid="{00000000-0004-0000-0100-000003030000}"/>
    <hyperlink ref="I2851" r:id="rId773" xr:uid="{00000000-0004-0000-0100-000004030000}"/>
    <hyperlink ref="I2852" r:id="rId774" xr:uid="{00000000-0004-0000-0100-000005030000}"/>
    <hyperlink ref="I2853" r:id="rId775" xr:uid="{00000000-0004-0000-0100-000006030000}"/>
    <hyperlink ref="I2854" r:id="rId776" xr:uid="{00000000-0004-0000-0100-000007030000}"/>
    <hyperlink ref="I2855" r:id="rId777" xr:uid="{00000000-0004-0000-0100-000008030000}"/>
    <hyperlink ref="I2856" r:id="rId778" xr:uid="{00000000-0004-0000-0100-000009030000}"/>
    <hyperlink ref="I2857" r:id="rId779" xr:uid="{00000000-0004-0000-0100-00000A030000}"/>
    <hyperlink ref="I2858" r:id="rId780" xr:uid="{00000000-0004-0000-0100-00000B030000}"/>
    <hyperlink ref="I2859" r:id="rId781" xr:uid="{00000000-0004-0000-0100-00000C030000}"/>
    <hyperlink ref="I2860" r:id="rId782" xr:uid="{00000000-0004-0000-0100-00000D030000}"/>
    <hyperlink ref="I2861" r:id="rId783" xr:uid="{00000000-0004-0000-0100-00000E030000}"/>
    <hyperlink ref="I2862" r:id="rId784" xr:uid="{00000000-0004-0000-0100-00000F030000}"/>
    <hyperlink ref="I2863" r:id="rId785" xr:uid="{00000000-0004-0000-0100-000010030000}"/>
    <hyperlink ref="I2864" r:id="rId786" xr:uid="{00000000-0004-0000-0100-000011030000}"/>
    <hyperlink ref="I2865" r:id="rId787" xr:uid="{00000000-0004-0000-0100-000012030000}"/>
    <hyperlink ref="I2866" r:id="rId788" xr:uid="{00000000-0004-0000-0100-000013030000}"/>
    <hyperlink ref="I2867" r:id="rId789" xr:uid="{00000000-0004-0000-0100-000014030000}"/>
    <hyperlink ref="I2868" r:id="rId790" xr:uid="{00000000-0004-0000-0100-000015030000}"/>
    <hyperlink ref="I2869" r:id="rId791" xr:uid="{00000000-0004-0000-0100-000016030000}"/>
    <hyperlink ref="I2870" r:id="rId792" xr:uid="{00000000-0004-0000-0100-000017030000}"/>
    <hyperlink ref="I2871" r:id="rId793" xr:uid="{00000000-0004-0000-0100-000018030000}"/>
    <hyperlink ref="I2872" r:id="rId794" xr:uid="{00000000-0004-0000-0100-000019030000}"/>
    <hyperlink ref="I2873" r:id="rId795" xr:uid="{00000000-0004-0000-0100-00001A030000}"/>
    <hyperlink ref="I2874" r:id="rId796" xr:uid="{00000000-0004-0000-0100-00001B030000}"/>
    <hyperlink ref="I2875" r:id="rId797" xr:uid="{00000000-0004-0000-0100-00001C030000}"/>
    <hyperlink ref="I2876" r:id="rId798" xr:uid="{00000000-0004-0000-0100-00001D030000}"/>
    <hyperlink ref="I2877" r:id="rId799" xr:uid="{00000000-0004-0000-0100-00001E030000}"/>
    <hyperlink ref="I2878" r:id="rId800" xr:uid="{00000000-0004-0000-0100-00001F030000}"/>
    <hyperlink ref="I2879" r:id="rId801" xr:uid="{00000000-0004-0000-0100-000020030000}"/>
    <hyperlink ref="I2880" r:id="rId802" xr:uid="{00000000-0004-0000-0100-000021030000}"/>
    <hyperlink ref="I2881" r:id="rId803" xr:uid="{00000000-0004-0000-0100-000022030000}"/>
    <hyperlink ref="I2882" r:id="rId804" xr:uid="{00000000-0004-0000-0100-000023030000}"/>
    <hyperlink ref="I2883" r:id="rId805" xr:uid="{00000000-0004-0000-0100-000024030000}"/>
    <hyperlink ref="I2884" r:id="rId806" xr:uid="{00000000-0004-0000-0100-000025030000}"/>
    <hyperlink ref="I2885" r:id="rId807" xr:uid="{00000000-0004-0000-0100-000026030000}"/>
    <hyperlink ref="I2886" r:id="rId808" xr:uid="{00000000-0004-0000-0100-000027030000}"/>
    <hyperlink ref="I2887" r:id="rId809" xr:uid="{00000000-0004-0000-0100-000028030000}"/>
    <hyperlink ref="I2888" r:id="rId810" xr:uid="{00000000-0004-0000-0100-000029030000}"/>
    <hyperlink ref="I2889" r:id="rId811" xr:uid="{00000000-0004-0000-0100-00002A030000}"/>
    <hyperlink ref="I2890" r:id="rId812" xr:uid="{00000000-0004-0000-0100-00002B030000}"/>
    <hyperlink ref="I2891" r:id="rId813" xr:uid="{00000000-0004-0000-0100-00002C030000}"/>
    <hyperlink ref="I2892" r:id="rId814" xr:uid="{00000000-0004-0000-0100-00002D030000}"/>
    <hyperlink ref="I2893" r:id="rId815" xr:uid="{00000000-0004-0000-0100-00002E030000}"/>
    <hyperlink ref="I2894" r:id="rId816" xr:uid="{00000000-0004-0000-0100-00002F030000}"/>
    <hyperlink ref="I2895" r:id="rId817" xr:uid="{00000000-0004-0000-0100-000030030000}"/>
    <hyperlink ref="I2896" r:id="rId818" xr:uid="{00000000-0004-0000-0100-000031030000}"/>
    <hyperlink ref="I2897" r:id="rId819" xr:uid="{00000000-0004-0000-0100-000032030000}"/>
    <hyperlink ref="I2898" r:id="rId820" xr:uid="{00000000-0004-0000-0100-000033030000}"/>
    <hyperlink ref="I2899" r:id="rId821" xr:uid="{00000000-0004-0000-0100-000034030000}"/>
    <hyperlink ref="I2900" r:id="rId822" xr:uid="{00000000-0004-0000-0100-000035030000}"/>
    <hyperlink ref="I2901" r:id="rId823" xr:uid="{00000000-0004-0000-0100-000036030000}"/>
    <hyperlink ref="I2902" r:id="rId824" xr:uid="{00000000-0004-0000-0100-000037030000}"/>
    <hyperlink ref="I2903" r:id="rId825" xr:uid="{00000000-0004-0000-0100-000038030000}"/>
    <hyperlink ref="I2904" r:id="rId826" xr:uid="{00000000-0004-0000-0100-000039030000}"/>
    <hyperlink ref="I2905" r:id="rId827" xr:uid="{00000000-0004-0000-0100-00003A030000}"/>
    <hyperlink ref="I2906" r:id="rId828" xr:uid="{00000000-0004-0000-0100-00003B030000}"/>
    <hyperlink ref="I2907" r:id="rId829" xr:uid="{00000000-0004-0000-0100-00003C030000}"/>
    <hyperlink ref="I2908" r:id="rId830" xr:uid="{00000000-0004-0000-0100-00003D030000}"/>
    <hyperlink ref="I2909" r:id="rId831" xr:uid="{00000000-0004-0000-0100-00003E030000}"/>
    <hyperlink ref="I2910" r:id="rId832" xr:uid="{00000000-0004-0000-0100-00003F030000}"/>
    <hyperlink ref="I2911" r:id="rId833" xr:uid="{00000000-0004-0000-0100-000040030000}"/>
    <hyperlink ref="I2912" r:id="rId834" xr:uid="{00000000-0004-0000-0100-000041030000}"/>
    <hyperlink ref="I2913" r:id="rId835" xr:uid="{00000000-0004-0000-0100-000042030000}"/>
    <hyperlink ref="I2914" r:id="rId836" xr:uid="{00000000-0004-0000-0100-000043030000}"/>
    <hyperlink ref="I2915" r:id="rId837" xr:uid="{00000000-0004-0000-0100-000044030000}"/>
    <hyperlink ref="I2916" r:id="rId838" xr:uid="{00000000-0004-0000-0100-000045030000}"/>
    <hyperlink ref="I2917" r:id="rId839" xr:uid="{00000000-0004-0000-0100-000046030000}"/>
    <hyperlink ref="I2918" r:id="rId840" xr:uid="{00000000-0004-0000-0100-000047030000}"/>
    <hyperlink ref="I2919" r:id="rId841" xr:uid="{00000000-0004-0000-0100-000048030000}"/>
    <hyperlink ref="I2920" r:id="rId842" xr:uid="{00000000-0004-0000-0100-000049030000}"/>
    <hyperlink ref="I2921" r:id="rId843" xr:uid="{00000000-0004-0000-0100-00004A030000}"/>
    <hyperlink ref="I2922" r:id="rId844" xr:uid="{00000000-0004-0000-0100-00004B030000}"/>
    <hyperlink ref="I2923" r:id="rId845" xr:uid="{00000000-0004-0000-0100-00004C030000}"/>
    <hyperlink ref="I2924" r:id="rId846" xr:uid="{00000000-0004-0000-0100-00004D030000}"/>
    <hyperlink ref="I2925" r:id="rId847" xr:uid="{00000000-0004-0000-0100-00004E030000}"/>
    <hyperlink ref="I2926" r:id="rId848" xr:uid="{00000000-0004-0000-0100-00004F030000}"/>
    <hyperlink ref="I2927" r:id="rId849" xr:uid="{00000000-0004-0000-0100-000050030000}"/>
    <hyperlink ref="I2928" r:id="rId850" xr:uid="{00000000-0004-0000-0100-000051030000}"/>
    <hyperlink ref="I2929" r:id="rId851" xr:uid="{00000000-0004-0000-0100-000052030000}"/>
    <hyperlink ref="I2930" r:id="rId852" xr:uid="{00000000-0004-0000-0100-000053030000}"/>
    <hyperlink ref="I2931" r:id="rId853" xr:uid="{00000000-0004-0000-0100-000054030000}"/>
    <hyperlink ref="I2932" r:id="rId854" xr:uid="{00000000-0004-0000-0100-000055030000}"/>
    <hyperlink ref="I2933" r:id="rId855" xr:uid="{00000000-0004-0000-0100-000056030000}"/>
    <hyperlink ref="I2934" r:id="rId856" xr:uid="{00000000-0004-0000-0100-000057030000}"/>
    <hyperlink ref="I2935" r:id="rId857" xr:uid="{00000000-0004-0000-0100-000058030000}"/>
    <hyperlink ref="I2936" r:id="rId858" xr:uid="{00000000-0004-0000-0100-000059030000}"/>
    <hyperlink ref="I2937" r:id="rId859" xr:uid="{00000000-0004-0000-0100-00005A030000}"/>
    <hyperlink ref="I2938" r:id="rId860" xr:uid="{00000000-0004-0000-0100-00005B030000}"/>
    <hyperlink ref="I2939" r:id="rId861" xr:uid="{00000000-0004-0000-0100-00005C030000}"/>
    <hyperlink ref="I2940" r:id="rId862" xr:uid="{00000000-0004-0000-0100-00005D030000}"/>
    <hyperlink ref="I2941" r:id="rId863" xr:uid="{00000000-0004-0000-0100-00005E030000}"/>
    <hyperlink ref="I2942" r:id="rId864" xr:uid="{00000000-0004-0000-0100-00005F030000}"/>
    <hyperlink ref="I2943" r:id="rId865" xr:uid="{00000000-0004-0000-0100-000060030000}"/>
    <hyperlink ref="I2944" r:id="rId866" xr:uid="{00000000-0004-0000-0100-000061030000}"/>
    <hyperlink ref="I2945" r:id="rId867" xr:uid="{00000000-0004-0000-0100-000062030000}"/>
    <hyperlink ref="I2946" r:id="rId868" xr:uid="{00000000-0004-0000-0100-000063030000}"/>
    <hyperlink ref="I2947" r:id="rId869" xr:uid="{00000000-0004-0000-0100-000064030000}"/>
    <hyperlink ref="I2948" r:id="rId870" xr:uid="{00000000-0004-0000-0100-000065030000}"/>
    <hyperlink ref="I2949" r:id="rId871" xr:uid="{00000000-0004-0000-0100-000066030000}"/>
    <hyperlink ref="I2950" r:id="rId872" xr:uid="{00000000-0004-0000-0100-000067030000}"/>
    <hyperlink ref="I2951" r:id="rId873" xr:uid="{00000000-0004-0000-0100-000068030000}"/>
    <hyperlink ref="I2952" r:id="rId874" xr:uid="{00000000-0004-0000-0100-000069030000}"/>
    <hyperlink ref="I2953" r:id="rId875" xr:uid="{00000000-0004-0000-0100-00006A030000}"/>
    <hyperlink ref="I2954" r:id="rId876" xr:uid="{00000000-0004-0000-0100-00006B030000}"/>
    <hyperlink ref="I2955" r:id="rId877" xr:uid="{00000000-0004-0000-0100-00006C030000}"/>
    <hyperlink ref="I2956" r:id="rId878" xr:uid="{00000000-0004-0000-0100-00006D030000}"/>
    <hyperlink ref="I2957" r:id="rId879" xr:uid="{00000000-0004-0000-0100-00006E030000}"/>
    <hyperlink ref="I2958" r:id="rId880" xr:uid="{00000000-0004-0000-0100-00006F030000}"/>
    <hyperlink ref="I2959" r:id="rId881" xr:uid="{00000000-0004-0000-0100-000070030000}"/>
    <hyperlink ref="I2960" r:id="rId882" xr:uid="{00000000-0004-0000-0100-000071030000}"/>
    <hyperlink ref="I2961" r:id="rId883" xr:uid="{00000000-0004-0000-0100-000072030000}"/>
    <hyperlink ref="I2962" r:id="rId884" xr:uid="{00000000-0004-0000-0100-000073030000}"/>
    <hyperlink ref="I2963" r:id="rId885" xr:uid="{00000000-0004-0000-0100-000074030000}"/>
    <hyperlink ref="I2964" r:id="rId886" xr:uid="{00000000-0004-0000-0100-000075030000}"/>
    <hyperlink ref="I2965" r:id="rId887" xr:uid="{00000000-0004-0000-0100-000076030000}"/>
    <hyperlink ref="I2966" r:id="rId888" xr:uid="{00000000-0004-0000-0100-000077030000}"/>
    <hyperlink ref="I2967" r:id="rId889" xr:uid="{00000000-0004-0000-0100-000078030000}"/>
    <hyperlink ref="I2968" r:id="rId890" xr:uid="{00000000-0004-0000-0100-000079030000}"/>
    <hyperlink ref="I2969" r:id="rId891" xr:uid="{00000000-0004-0000-0100-00007A030000}"/>
    <hyperlink ref="I2970" r:id="rId892" xr:uid="{00000000-0004-0000-0100-00007B030000}"/>
    <hyperlink ref="I2971" r:id="rId893" xr:uid="{00000000-0004-0000-0100-00007C030000}"/>
    <hyperlink ref="I2972" r:id="rId894" xr:uid="{00000000-0004-0000-0100-00007D030000}"/>
    <hyperlink ref="I2973" r:id="rId895" xr:uid="{00000000-0004-0000-0100-00007E030000}"/>
    <hyperlink ref="I2974" r:id="rId896" xr:uid="{00000000-0004-0000-0100-00007F030000}"/>
    <hyperlink ref="I2975" r:id="rId897" xr:uid="{00000000-0004-0000-0100-000080030000}"/>
    <hyperlink ref="I2976" r:id="rId898" xr:uid="{00000000-0004-0000-0100-000081030000}"/>
    <hyperlink ref="I2977" r:id="rId899" xr:uid="{00000000-0004-0000-0100-000082030000}"/>
    <hyperlink ref="I2978" r:id="rId900" xr:uid="{00000000-0004-0000-0100-000083030000}"/>
    <hyperlink ref="I2979" r:id="rId901" xr:uid="{00000000-0004-0000-0100-000084030000}"/>
    <hyperlink ref="I2980" r:id="rId902" xr:uid="{00000000-0004-0000-0100-000085030000}"/>
    <hyperlink ref="I2981" r:id="rId903" xr:uid="{00000000-0004-0000-0100-000086030000}"/>
    <hyperlink ref="I2982" r:id="rId904" xr:uid="{00000000-0004-0000-0100-000087030000}"/>
    <hyperlink ref="I2983" r:id="rId905" xr:uid="{00000000-0004-0000-0100-000088030000}"/>
    <hyperlink ref="I2984" r:id="rId906" xr:uid="{00000000-0004-0000-0100-000089030000}"/>
    <hyperlink ref="I2985" r:id="rId907" xr:uid="{00000000-0004-0000-0100-00008A030000}"/>
    <hyperlink ref="I2986" r:id="rId908" xr:uid="{00000000-0004-0000-0100-00008B030000}"/>
    <hyperlink ref="I2987" r:id="rId909" xr:uid="{00000000-0004-0000-0100-00008C030000}"/>
    <hyperlink ref="I2988" r:id="rId910" xr:uid="{00000000-0004-0000-0100-00008D030000}"/>
    <hyperlink ref="I2989" r:id="rId911" xr:uid="{00000000-0004-0000-0100-00008E030000}"/>
    <hyperlink ref="I2990" r:id="rId912" xr:uid="{00000000-0004-0000-0100-00008F030000}"/>
    <hyperlink ref="I2991" r:id="rId913" xr:uid="{00000000-0004-0000-0100-000090030000}"/>
    <hyperlink ref="I2992" r:id="rId914" xr:uid="{00000000-0004-0000-0100-000091030000}"/>
    <hyperlink ref="I2993" r:id="rId915" xr:uid="{00000000-0004-0000-0100-000092030000}"/>
    <hyperlink ref="I2994" r:id="rId916" xr:uid="{00000000-0004-0000-0100-000093030000}"/>
    <hyperlink ref="I2995" r:id="rId917" xr:uid="{00000000-0004-0000-0100-000094030000}"/>
    <hyperlink ref="I2996" r:id="rId918" xr:uid="{00000000-0004-0000-0100-000095030000}"/>
    <hyperlink ref="I2997" r:id="rId919" xr:uid="{00000000-0004-0000-0100-000096030000}"/>
    <hyperlink ref="I2998" r:id="rId920" xr:uid="{00000000-0004-0000-0100-000097030000}"/>
    <hyperlink ref="I2999" r:id="rId921" xr:uid="{00000000-0004-0000-0100-000098030000}"/>
    <hyperlink ref="I3000" r:id="rId922" xr:uid="{00000000-0004-0000-0100-000099030000}"/>
    <hyperlink ref="I3001" r:id="rId923" xr:uid="{00000000-0004-0000-0100-00009A030000}"/>
    <hyperlink ref="I3002" r:id="rId924" xr:uid="{00000000-0004-0000-0100-00009B030000}"/>
    <hyperlink ref="I3003" r:id="rId925" xr:uid="{00000000-0004-0000-0100-00009C030000}"/>
    <hyperlink ref="I3004" r:id="rId926" xr:uid="{00000000-0004-0000-0100-00009D030000}"/>
    <hyperlink ref="I3005" r:id="rId927" xr:uid="{00000000-0004-0000-0100-00009E030000}"/>
    <hyperlink ref="I3006" r:id="rId928" xr:uid="{00000000-0004-0000-0100-00009F030000}"/>
    <hyperlink ref="I3007" r:id="rId929" xr:uid="{00000000-0004-0000-0100-0000A0030000}"/>
    <hyperlink ref="I3008" r:id="rId930" xr:uid="{00000000-0004-0000-0100-0000A1030000}"/>
    <hyperlink ref="I3009" r:id="rId931" xr:uid="{00000000-0004-0000-0100-0000A2030000}"/>
    <hyperlink ref="I3010" r:id="rId932" xr:uid="{00000000-0004-0000-0100-0000A3030000}"/>
    <hyperlink ref="I3011" r:id="rId933" xr:uid="{00000000-0004-0000-0100-0000A4030000}"/>
    <hyperlink ref="I3012" r:id="rId934" xr:uid="{00000000-0004-0000-0100-0000A5030000}"/>
    <hyperlink ref="I3013" r:id="rId935" xr:uid="{00000000-0004-0000-0100-0000A6030000}"/>
    <hyperlink ref="I3014" r:id="rId936" xr:uid="{00000000-0004-0000-0100-0000A7030000}"/>
    <hyperlink ref="I3015" r:id="rId937" xr:uid="{00000000-0004-0000-0100-0000A8030000}"/>
    <hyperlink ref="I3016" r:id="rId938" xr:uid="{00000000-0004-0000-0100-0000A9030000}"/>
    <hyperlink ref="I3017" r:id="rId939" xr:uid="{00000000-0004-0000-0100-0000AA030000}"/>
    <hyperlink ref="I3018" r:id="rId940" xr:uid="{00000000-0004-0000-0100-0000AB030000}"/>
    <hyperlink ref="I3019" r:id="rId941" xr:uid="{00000000-0004-0000-0100-0000AC030000}"/>
    <hyperlink ref="I3020" r:id="rId942" xr:uid="{00000000-0004-0000-0100-0000AD030000}"/>
    <hyperlink ref="I3021" r:id="rId943" xr:uid="{00000000-0004-0000-0100-0000AE030000}"/>
    <hyperlink ref="I3022" r:id="rId944" xr:uid="{00000000-0004-0000-0100-0000AF030000}"/>
    <hyperlink ref="I3023" r:id="rId945" xr:uid="{00000000-0004-0000-0100-0000B0030000}"/>
    <hyperlink ref="I3024" r:id="rId946" xr:uid="{00000000-0004-0000-0100-0000B1030000}"/>
    <hyperlink ref="I3025" r:id="rId947" xr:uid="{00000000-0004-0000-0100-0000B2030000}"/>
    <hyperlink ref="I3026" r:id="rId948" xr:uid="{00000000-0004-0000-0100-0000B3030000}"/>
    <hyperlink ref="I3027" r:id="rId949" xr:uid="{00000000-0004-0000-0100-0000B4030000}"/>
    <hyperlink ref="I3028" r:id="rId950" xr:uid="{00000000-0004-0000-0100-0000B5030000}"/>
    <hyperlink ref="I3029" r:id="rId951" xr:uid="{00000000-0004-0000-0100-0000B6030000}"/>
    <hyperlink ref="I3030" r:id="rId952" xr:uid="{00000000-0004-0000-0100-0000B7030000}"/>
    <hyperlink ref="I3031" r:id="rId953" xr:uid="{00000000-0004-0000-0100-0000B8030000}"/>
    <hyperlink ref="I3032" r:id="rId954" xr:uid="{00000000-0004-0000-0100-0000B9030000}"/>
    <hyperlink ref="I3033" r:id="rId955" xr:uid="{00000000-0004-0000-0100-0000BA030000}"/>
    <hyperlink ref="I3034" r:id="rId956" xr:uid="{00000000-0004-0000-0100-0000BB030000}"/>
    <hyperlink ref="I3035" r:id="rId957" xr:uid="{00000000-0004-0000-0100-0000BC030000}"/>
    <hyperlink ref="I3036" r:id="rId958" xr:uid="{00000000-0004-0000-0100-0000BD030000}"/>
    <hyperlink ref="I3037" r:id="rId959" xr:uid="{00000000-0004-0000-0100-0000BE030000}"/>
    <hyperlink ref="I3038" r:id="rId960" xr:uid="{00000000-0004-0000-0100-0000BF030000}"/>
    <hyperlink ref="I3039" r:id="rId961" xr:uid="{00000000-0004-0000-0100-0000C0030000}"/>
    <hyperlink ref="I3040" r:id="rId962" xr:uid="{00000000-0004-0000-0100-0000C1030000}"/>
    <hyperlink ref="I3041" r:id="rId963" xr:uid="{00000000-0004-0000-0100-0000C2030000}"/>
    <hyperlink ref="I3042" r:id="rId964" xr:uid="{00000000-0004-0000-0100-0000C3030000}"/>
    <hyperlink ref="I3043" r:id="rId965" xr:uid="{00000000-0004-0000-0100-0000C4030000}"/>
    <hyperlink ref="I3044" r:id="rId966" xr:uid="{00000000-0004-0000-0100-0000C5030000}"/>
    <hyperlink ref="I3045" r:id="rId967" xr:uid="{00000000-0004-0000-0100-0000C6030000}"/>
    <hyperlink ref="I3046" r:id="rId968" xr:uid="{00000000-0004-0000-0100-0000C7030000}"/>
    <hyperlink ref="I3047" r:id="rId969" xr:uid="{00000000-0004-0000-0100-0000C8030000}"/>
    <hyperlink ref="I3048" r:id="rId970" xr:uid="{00000000-0004-0000-0100-0000C9030000}"/>
    <hyperlink ref="I3049" r:id="rId971" xr:uid="{00000000-0004-0000-0100-0000CA030000}"/>
    <hyperlink ref="I3050" r:id="rId972" xr:uid="{00000000-0004-0000-0100-0000CB030000}"/>
    <hyperlink ref="I3051" r:id="rId973" xr:uid="{00000000-0004-0000-0100-0000CC030000}"/>
    <hyperlink ref="I3052" r:id="rId974" xr:uid="{00000000-0004-0000-0100-0000CD030000}"/>
    <hyperlink ref="I3053" r:id="rId975" xr:uid="{00000000-0004-0000-0100-0000CE030000}"/>
    <hyperlink ref="I3054" r:id="rId976" xr:uid="{00000000-0004-0000-0100-0000CF030000}"/>
    <hyperlink ref="I3055" r:id="rId977" xr:uid="{00000000-0004-0000-0100-0000D0030000}"/>
    <hyperlink ref="I3056" r:id="rId978" xr:uid="{00000000-0004-0000-0100-0000D1030000}"/>
    <hyperlink ref="I3057" r:id="rId979" xr:uid="{00000000-0004-0000-0100-0000D2030000}"/>
    <hyperlink ref="I3058" r:id="rId980" xr:uid="{00000000-0004-0000-0100-0000D3030000}"/>
    <hyperlink ref="I3059" r:id="rId981" xr:uid="{00000000-0004-0000-0100-0000D4030000}"/>
    <hyperlink ref="I3060" r:id="rId982" xr:uid="{00000000-0004-0000-0100-0000D5030000}"/>
    <hyperlink ref="I3061" r:id="rId983" xr:uid="{00000000-0004-0000-0100-0000D6030000}"/>
    <hyperlink ref="I3062" r:id="rId984" xr:uid="{00000000-0004-0000-0100-0000D7030000}"/>
    <hyperlink ref="I3063" r:id="rId985" xr:uid="{00000000-0004-0000-0100-0000D8030000}"/>
    <hyperlink ref="I3064" r:id="rId986" xr:uid="{00000000-0004-0000-0100-0000D9030000}"/>
    <hyperlink ref="I3065" r:id="rId987" xr:uid="{00000000-0004-0000-0100-0000DA030000}"/>
    <hyperlink ref="I3066" r:id="rId988" xr:uid="{00000000-0004-0000-0100-0000DB030000}"/>
    <hyperlink ref="I3067" r:id="rId989" xr:uid="{00000000-0004-0000-0100-0000DC030000}"/>
    <hyperlink ref="I3068" r:id="rId990" xr:uid="{00000000-0004-0000-0100-0000DD030000}"/>
    <hyperlink ref="I3069" r:id="rId991" xr:uid="{00000000-0004-0000-0100-0000DE030000}"/>
    <hyperlink ref="I3070" r:id="rId992" xr:uid="{00000000-0004-0000-0100-0000DF030000}"/>
    <hyperlink ref="I3071" r:id="rId993" xr:uid="{00000000-0004-0000-0100-0000E0030000}"/>
    <hyperlink ref="I3072" r:id="rId994" xr:uid="{00000000-0004-0000-0100-0000E1030000}"/>
    <hyperlink ref="I3073" r:id="rId995" xr:uid="{00000000-0004-0000-0100-0000E2030000}"/>
    <hyperlink ref="I3074" r:id="rId996" xr:uid="{00000000-0004-0000-0100-0000E3030000}"/>
    <hyperlink ref="I3075" r:id="rId997" xr:uid="{00000000-0004-0000-0100-0000E4030000}"/>
    <hyperlink ref="I3076" r:id="rId998" xr:uid="{00000000-0004-0000-0100-0000E5030000}"/>
    <hyperlink ref="I3077" r:id="rId999" xr:uid="{00000000-0004-0000-0100-0000E6030000}"/>
    <hyperlink ref="I3078" r:id="rId1000" xr:uid="{00000000-0004-0000-0100-0000E7030000}"/>
    <hyperlink ref="I3079" r:id="rId1001" xr:uid="{00000000-0004-0000-0100-0000E8030000}"/>
    <hyperlink ref="I3080" r:id="rId1002" xr:uid="{00000000-0004-0000-0100-0000E9030000}"/>
    <hyperlink ref="I3081" r:id="rId1003" xr:uid="{00000000-0004-0000-0100-0000EA030000}"/>
    <hyperlink ref="I3082" r:id="rId1004" xr:uid="{00000000-0004-0000-0100-0000EB030000}"/>
    <hyperlink ref="I3083" r:id="rId1005" xr:uid="{00000000-0004-0000-0100-0000EC030000}"/>
    <hyperlink ref="I3084" r:id="rId1006" xr:uid="{00000000-0004-0000-0100-0000ED030000}"/>
    <hyperlink ref="I3085" r:id="rId1007" xr:uid="{00000000-0004-0000-0100-0000EE030000}"/>
    <hyperlink ref="I3086" r:id="rId1008" xr:uid="{00000000-0004-0000-0100-0000EF030000}"/>
    <hyperlink ref="I3087" r:id="rId1009" xr:uid="{00000000-0004-0000-0100-0000F0030000}"/>
    <hyperlink ref="I3088" r:id="rId1010" xr:uid="{00000000-0004-0000-0100-0000F1030000}"/>
    <hyperlink ref="I3089" r:id="rId1011" xr:uid="{00000000-0004-0000-0100-0000F2030000}"/>
    <hyperlink ref="I3090" r:id="rId1012" xr:uid="{00000000-0004-0000-0100-0000F3030000}"/>
    <hyperlink ref="I3091" r:id="rId1013" xr:uid="{00000000-0004-0000-0100-0000F4030000}"/>
    <hyperlink ref="I3092" r:id="rId1014" xr:uid="{00000000-0004-0000-0100-0000F5030000}"/>
    <hyperlink ref="I3093" r:id="rId1015" xr:uid="{00000000-0004-0000-0100-0000F6030000}"/>
    <hyperlink ref="I3094" r:id="rId1016" xr:uid="{00000000-0004-0000-0100-0000F7030000}"/>
    <hyperlink ref="I3095" r:id="rId1017" xr:uid="{00000000-0004-0000-0100-0000F8030000}"/>
    <hyperlink ref="I3096" r:id="rId1018" xr:uid="{00000000-0004-0000-0100-0000F9030000}"/>
    <hyperlink ref="I3097" r:id="rId1019" xr:uid="{00000000-0004-0000-0100-0000FA030000}"/>
    <hyperlink ref="I3098" r:id="rId1020" xr:uid="{00000000-0004-0000-0100-0000FB030000}"/>
    <hyperlink ref="I3099" r:id="rId1021" xr:uid="{00000000-0004-0000-0100-0000FC030000}"/>
    <hyperlink ref="I3100" r:id="rId1022" xr:uid="{00000000-0004-0000-0100-0000FD030000}"/>
    <hyperlink ref="I3101" r:id="rId1023" xr:uid="{00000000-0004-0000-0100-0000FE030000}"/>
    <hyperlink ref="I3102" r:id="rId1024" xr:uid="{00000000-0004-0000-0100-0000FF030000}"/>
    <hyperlink ref="I3103" r:id="rId1025" xr:uid="{00000000-0004-0000-0100-000000040000}"/>
    <hyperlink ref="I3104" r:id="rId1026" xr:uid="{00000000-0004-0000-0100-000001040000}"/>
    <hyperlink ref="I3105" r:id="rId1027" xr:uid="{00000000-0004-0000-0100-000002040000}"/>
    <hyperlink ref="I3106" r:id="rId1028" xr:uid="{00000000-0004-0000-0100-000003040000}"/>
    <hyperlink ref="I3107" r:id="rId1029" xr:uid="{00000000-0004-0000-0100-000004040000}"/>
    <hyperlink ref="I3108" r:id="rId1030" xr:uid="{00000000-0004-0000-0100-000005040000}"/>
    <hyperlink ref="I3109" r:id="rId1031" xr:uid="{00000000-0004-0000-0100-000006040000}"/>
    <hyperlink ref="I3110" r:id="rId1032" xr:uid="{00000000-0004-0000-0100-000007040000}"/>
    <hyperlink ref="I3111" r:id="rId1033" xr:uid="{00000000-0004-0000-0100-000008040000}"/>
    <hyperlink ref="I3112" r:id="rId1034" xr:uid="{00000000-0004-0000-0100-000009040000}"/>
    <hyperlink ref="I3113" r:id="rId1035" xr:uid="{00000000-0004-0000-0100-00000A040000}"/>
    <hyperlink ref="I3114" r:id="rId1036" xr:uid="{00000000-0004-0000-0100-00000B040000}"/>
    <hyperlink ref="I3115" r:id="rId1037" xr:uid="{00000000-0004-0000-0100-00000C040000}"/>
    <hyperlink ref="I3116" r:id="rId1038" xr:uid="{00000000-0004-0000-0100-00000D040000}"/>
    <hyperlink ref="I3117" r:id="rId1039" xr:uid="{00000000-0004-0000-0100-00000E040000}"/>
    <hyperlink ref="I3118" r:id="rId1040" xr:uid="{00000000-0004-0000-0100-00000F040000}"/>
    <hyperlink ref="I3119" r:id="rId1041" xr:uid="{00000000-0004-0000-0100-000010040000}"/>
    <hyperlink ref="I3120" r:id="rId1042" xr:uid="{00000000-0004-0000-0100-000011040000}"/>
    <hyperlink ref="I3121" r:id="rId1043" xr:uid="{00000000-0004-0000-0100-000012040000}"/>
    <hyperlink ref="I3122" r:id="rId1044" xr:uid="{00000000-0004-0000-0100-000013040000}"/>
    <hyperlink ref="I3123" r:id="rId1045" xr:uid="{00000000-0004-0000-0100-000014040000}"/>
    <hyperlink ref="I3124" r:id="rId1046" xr:uid="{00000000-0004-0000-0100-000015040000}"/>
    <hyperlink ref="I3125" r:id="rId1047" xr:uid="{00000000-0004-0000-0100-000016040000}"/>
    <hyperlink ref="I3126" r:id="rId1048" xr:uid="{00000000-0004-0000-0100-000017040000}"/>
    <hyperlink ref="I3127" r:id="rId1049" xr:uid="{00000000-0004-0000-0100-000018040000}"/>
    <hyperlink ref="I3128" r:id="rId1050" xr:uid="{00000000-0004-0000-0100-000019040000}"/>
    <hyperlink ref="I3129" r:id="rId1051" xr:uid="{00000000-0004-0000-0100-00001A040000}"/>
    <hyperlink ref="I3130" r:id="rId1052" xr:uid="{00000000-0004-0000-0100-00001B040000}"/>
    <hyperlink ref="I3131" r:id="rId1053" xr:uid="{00000000-0004-0000-0100-00001C040000}"/>
    <hyperlink ref="I3132" r:id="rId1054" xr:uid="{00000000-0004-0000-0100-00001D040000}"/>
    <hyperlink ref="I3133" r:id="rId1055" xr:uid="{00000000-0004-0000-0100-00001E040000}"/>
    <hyperlink ref="I3134" r:id="rId1056" xr:uid="{00000000-0004-0000-0100-00001F040000}"/>
    <hyperlink ref="I3135" r:id="rId1057" xr:uid="{00000000-0004-0000-0100-000020040000}"/>
    <hyperlink ref="I3136" r:id="rId1058" xr:uid="{00000000-0004-0000-0100-000021040000}"/>
    <hyperlink ref="I3137" r:id="rId1059" xr:uid="{00000000-0004-0000-0100-000022040000}"/>
    <hyperlink ref="I3138" r:id="rId1060" xr:uid="{00000000-0004-0000-0100-000023040000}"/>
    <hyperlink ref="I3139" r:id="rId1061" xr:uid="{00000000-0004-0000-0100-000024040000}"/>
    <hyperlink ref="I3140" r:id="rId1062" xr:uid="{00000000-0004-0000-0100-000025040000}"/>
    <hyperlink ref="I3141" r:id="rId1063" xr:uid="{00000000-0004-0000-0100-000026040000}"/>
    <hyperlink ref="I3142" r:id="rId1064" xr:uid="{00000000-0004-0000-0100-000027040000}"/>
    <hyperlink ref="I3143" r:id="rId1065" xr:uid="{00000000-0004-0000-0100-000028040000}"/>
    <hyperlink ref="I3144" r:id="rId1066" xr:uid="{00000000-0004-0000-0100-000029040000}"/>
    <hyperlink ref="I3145" r:id="rId1067" xr:uid="{00000000-0004-0000-0100-00002A040000}"/>
    <hyperlink ref="I3146" r:id="rId1068" xr:uid="{00000000-0004-0000-0100-00002B040000}"/>
    <hyperlink ref="I3147" r:id="rId1069" xr:uid="{00000000-0004-0000-0100-00002C040000}"/>
    <hyperlink ref="I3148" r:id="rId1070" xr:uid="{00000000-0004-0000-0100-00002D040000}"/>
    <hyperlink ref="I3149" r:id="rId1071" xr:uid="{00000000-0004-0000-0100-00002E040000}"/>
    <hyperlink ref="I3150" r:id="rId1072" xr:uid="{00000000-0004-0000-0100-00002F040000}"/>
    <hyperlink ref="I3151" r:id="rId1073" xr:uid="{00000000-0004-0000-0100-000030040000}"/>
    <hyperlink ref="I3152" r:id="rId1074" xr:uid="{00000000-0004-0000-0100-000031040000}"/>
    <hyperlink ref="I3153" r:id="rId1075" xr:uid="{00000000-0004-0000-0100-000032040000}"/>
    <hyperlink ref="I3154" r:id="rId1076" xr:uid="{00000000-0004-0000-0100-000033040000}"/>
    <hyperlink ref="I3155" r:id="rId1077" xr:uid="{00000000-0004-0000-0100-000034040000}"/>
    <hyperlink ref="I3156" r:id="rId1078" xr:uid="{00000000-0004-0000-0100-000035040000}"/>
    <hyperlink ref="I3157" r:id="rId1079" xr:uid="{00000000-0004-0000-0100-000036040000}"/>
    <hyperlink ref="I3158" r:id="rId1080" xr:uid="{00000000-0004-0000-0100-000037040000}"/>
    <hyperlink ref="I3159" r:id="rId1081" xr:uid="{00000000-0004-0000-0100-000038040000}"/>
    <hyperlink ref="I3160" r:id="rId1082" xr:uid="{00000000-0004-0000-0100-000039040000}"/>
    <hyperlink ref="I3161" r:id="rId1083" xr:uid="{00000000-0004-0000-0100-00003A040000}"/>
    <hyperlink ref="I3162" r:id="rId1084" xr:uid="{00000000-0004-0000-0100-00003B040000}"/>
    <hyperlink ref="I3163" r:id="rId1085" xr:uid="{00000000-0004-0000-0100-00003C040000}"/>
    <hyperlink ref="I3164" r:id="rId1086" xr:uid="{00000000-0004-0000-0100-00003D040000}"/>
    <hyperlink ref="I3165" r:id="rId1087" xr:uid="{00000000-0004-0000-0100-00003E040000}"/>
    <hyperlink ref="I3166" r:id="rId1088" xr:uid="{00000000-0004-0000-0100-00003F040000}"/>
    <hyperlink ref="I3167" r:id="rId1089" xr:uid="{00000000-0004-0000-0100-000040040000}"/>
    <hyperlink ref="I3168" r:id="rId1090" xr:uid="{00000000-0004-0000-0100-000041040000}"/>
    <hyperlink ref="I3169" r:id="rId1091" xr:uid="{00000000-0004-0000-0100-000042040000}"/>
    <hyperlink ref="I3170" r:id="rId1092" xr:uid="{00000000-0004-0000-0100-000043040000}"/>
    <hyperlink ref="I3171" r:id="rId1093" xr:uid="{00000000-0004-0000-0100-000044040000}"/>
    <hyperlink ref="I3172" r:id="rId1094" xr:uid="{00000000-0004-0000-0100-000045040000}"/>
    <hyperlink ref="I3173" r:id="rId1095" xr:uid="{00000000-0004-0000-0100-000046040000}"/>
    <hyperlink ref="I3174" r:id="rId1096" xr:uid="{00000000-0004-0000-0100-000047040000}"/>
    <hyperlink ref="I3175" r:id="rId1097" xr:uid="{00000000-0004-0000-0100-000048040000}"/>
    <hyperlink ref="I3176" r:id="rId1098" xr:uid="{00000000-0004-0000-0100-000049040000}"/>
    <hyperlink ref="I3177" r:id="rId1099" xr:uid="{00000000-0004-0000-0100-00004A040000}"/>
    <hyperlink ref="I3178" r:id="rId1100" xr:uid="{00000000-0004-0000-0100-00004B040000}"/>
    <hyperlink ref="I3179" r:id="rId1101" xr:uid="{00000000-0004-0000-0100-00004C040000}"/>
    <hyperlink ref="I3180" r:id="rId1102" xr:uid="{00000000-0004-0000-0100-00004D040000}"/>
    <hyperlink ref="I3181" r:id="rId1103" xr:uid="{00000000-0004-0000-0100-00004E040000}"/>
    <hyperlink ref="I3182" r:id="rId1104" xr:uid="{00000000-0004-0000-0100-00004F040000}"/>
    <hyperlink ref="I3183" r:id="rId1105" xr:uid="{00000000-0004-0000-0100-000050040000}"/>
    <hyperlink ref="I3184" r:id="rId1106" xr:uid="{00000000-0004-0000-0100-000051040000}"/>
    <hyperlink ref="I3185" r:id="rId1107" xr:uid="{00000000-0004-0000-0100-000052040000}"/>
    <hyperlink ref="I3186" r:id="rId1108" xr:uid="{00000000-0004-0000-0100-000053040000}"/>
    <hyperlink ref="I3187" r:id="rId1109" xr:uid="{00000000-0004-0000-0100-000054040000}"/>
    <hyperlink ref="I3188" r:id="rId1110" xr:uid="{00000000-0004-0000-0100-000055040000}"/>
    <hyperlink ref="I3189" r:id="rId1111" xr:uid="{00000000-0004-0000-0100-000056040000}"/>
    <hyperlink ref="I3190" r:id="rId1112" xr:uid="{00000000-0004-0000-0100-000057040000}"/>
    <hyperlink ref="I3191" r:id="rId1113" xr:uid="{00000000-0004-0000-0100-000058040000}"/>
    <hyperlink ref="I3192" r:id="rId1114" xr:uid="{00000000-0004-0000-0100-000059040000}"/>
    <hyperlink ref="I3193" r:id="rId1115" xr:uid="{00000000-0004-0000-0100-00005A040000}"/>
    <hyperlink ref="I3194" r:id="rId1116" xr:uid="{00000000-0004-0000-0100-00005B040000}"/>
    <hyperlink ref="I3195" r:id="rId1117" xr:uid="{00000000-0004-0000-0100-00005C040000}"/>
    <hyperlink ref="I3196" r:id="rId1118" xr:uid="{00000000-0004-0000-0100-00005D040000}"/>
    <hyperlink ref="I3197" r:id="rId1119" xr:uid="{00000000-0004-0000-0100-00005E040000}"/>
    <hyperlink ref="I3198" r:id="rId1120" xr:uid="{00000000-0004-0000-0100-00005F040000}"/>
    <hyperlink ref="I3199" r:id="rId1121" xr:uid="{00000000-0004-0000-0100-000060040000}"/>
    <hyperlink ref="I3200" r:id="rId1122" xr:uid="{00000000-0004-0000-0100-000061040000}"/>
    <hyperlink ref="I3201" r:id="rId1123" xr:uid="{00000000-0004-0000-0100-000062040000}"/>
    <hyperlink ref="I3202" r:id="rId1124" xr:uid="{00000000-0004-0000-0100-000063040000}"/>
    <hyperlink ref="I3203" r:id="rId1125" xr:uid="{00000000-0004-0000-0100-000064040000}"/>
    <hyperlink ref="I3204" r:id="rId1126" xr:uid="{00000000-0004-0000-0100-000065040000}"/>
    <hyperlink ref="I3205" r:id="rId1127" xr:uid="{00000000-0004-0000-0100-000066040000}"/>
    <hyperlink ref="I3206" r:id="rId1128" xr:uid="{00000000-0004-0000-0100-000067040000}"/>
    <hyperlink ref="I3207" r:id="rId1129" xr:uid="{00000000-0004-0000-0100-000068040000}"/>
    <hyperlink ref="I3208" r:id="rId1130" xr:uid="{00000000-0004-0000-0100-000069040000}"/>
    <hyperlink ref="I3209" r:id="rId1131" xr:uid="{00000000-0004-0000-0100-00006A040000}"/>
    <hyperlink ref="I3210" r:id="rId1132" xr:uid="{00000000-0004-0000-0100-00006B040000}"/>
    <hyperlink ref="I3211" r:id="rId1133" xr:uid="{00000000-0004-0000-0100-00006C040000}"/>
    <hyperlink ref="I3212" r:id="rId1134" xr:uid="{00000000-0004-0000-0100-00006D040000}"/>
    <hyperlink ref="I3213" r:id="rId1135" xr:uid="{00000000-0004-0000-0100-00006E040000}"/>
    <hyperlink ref="I3214" r:id="rId1136" xr:uid="{00000000-0004-0000-0100-00006F040000}"/>
    <hyperlink ref="I3215" r:id="rId1137" xr:uid="{00000000-0004-0000-0100-000070040000}"/>
    <hyperlink ref="I3216" r:id="rId1138" xr:uid="{00000000-0004-0000-0100-000071040000}"/>
    <hyperlink ref="I3217" r:id="rId1139" xr:uid="{00000000-0004-0000-0100-000072040000}"/>
    <hyperlink ref="I3218" r:id="rId1140" xr:uid="{00000000-0004-0000-0100-000073040000}"/>
    <hyperlink ref="I3219" r:id="rId1141" xr:uid="{00000000-0004-0000-0100-000074040000}"/>
    <hyperlink ref="I3220" r:id="rId1142" xr:uid="{00000000-0004-0000-0100-000075040000}"/>
    <hyperlink ref="I3221" r:id="rId1143" xr:uid="{00000000-0004-0000-0100-000076040000}"/>
    <hyperlink ref="I3222" r:id="rId1144" xr:uid="{00000000-0004-0000-0100-000077040000}"/>
    <hyperlink ref="I3223" r:id="rId1145" xr:uid="{00000000-0004-0000-0100-000078040000}"/>
    <hyperlink ref="I3224" r:id="rId1146" xr:uid="{00000000-0004-0000-0100-000079040000}"/>
    <hyperlink ref="I3225" r:id="rId1147" xr:uid="{00000000-0004-0000-0100-00007A040000}"/>
    <hyperlink ref="I3226" r:id="rId1148" xr:uid="{00000000-0004-0000-0100-00007B040000}"/>
    <hyperlink ref="I3227" r:id="rId1149" xr:uid="{00000000-0004-0000-0100-00007C040000}"/>
    <hyperlink ref="I3228" r:id="rId1150" xr:uid="{00000000-0004-0000-0100-00007D040000}"/>
    <hyperlink ref="I3229" r:id="rId1151" xr:uid="{00000000-0004-0000-0100-00007E040000}"/>
    <hyperlink ref="I3230" r:id="rId1152" xr:uid="{00000000-0004-0000-0100-00007F040000}"/>
    <hyperlink ref="I3231" r:id="rId1153" xr:uid="{00000000-0004-0000-0100-000080040000}"/>
    <hyperlink ref="I3232" r:id="rId1154" xr:uid="{00000000-0004-0000-0100-000081040000}"/>
    <hyperlink ref="I3233" r:id="rId1155" xr:uid="{00000000-0004-0000-0100-000082040000}"/>
    <hyperlink ref="I3234" r:id="rId1156" xr:uid="{00000000-0004-0000-0100-000083040000}"/>
    <hyperlink ref="I3235" r:id="rId1157" xr:uid="{00000000-0004-0000-0100-000084040000}"/>
    <hyperlink ref="I3236" r:id="rId1158" xr:uid="{00000000-0004-0000-0100-000085040000}"/>
    <hyperlink ref="I3237" r:id="rId1159" xr:uid="{00000000-0004-0000-0100-000086040000}"/>
    <hyperlink ref="I3238" r:id="rId1160" xr:uid="{00000000-0004-0000-0100-000087040000}"/>
    <hyperlink ref="I3239" r:id="rId1161" xr:uid="{00000000-0004-0000-0100-000088040000}"/>
    <hyperlink ref="I3240" r:id="rId1162" xr:uid="{00000000-0004-0000-0100-000089040000}"/>
    <hyperlink ref="I3241" r:id="rId1163" xr:uid="{00000000-0004-0000-0100-00008A040000}"/>
    <hyperlink ref="I3242" r:id="rId1164" xr:uid="{00000000-0004-0000-0100-00008B040000}"/>
    <hyperlink ref="I3243" r:id="rId1165" xr:uid="{00000000-0004-0000-0100-00008C040000}"/>
    <hyperlink ref="I3244" r:id="rId1166" xr:uid="{00000000-0004-0000-0100-00008D040000}"/>
    <hyperlink ref="I3245" r:id="rId1167" xr:uid="{00000000-0004-0000-0100-00008E040000}"/>
    <hyperlink ref="I3246" r:id="rId1168" xr:uid="{00000000-0004-0000-0100-00008F040000}"/>
    <hyperlink ref="I3247" r:id="rId1169" xr:uid="{00000000-0004-0000-0100-000090040000}"/>
    <hyperlink ref="I3248" r:id="rId1170" xr:uid="{00000000-0004-0000-0100-000091040000}"/>
    <hyperlink ref="I3249" r:id="rId1171" xr:uid="{00000000-0004-0000-0100-000092040000}"/>
    <hyperlink ref="I3250" r:id="rId1172" xr:uid="{00000000-0004-0000-0100-000093040000}"/>
    <hyperlink ref="I3251" r:id="rId1173" xr:uid="{00000000-0004-0000-0100-000094040000}"/>
    <hyperlink ref="I3252" r:id="rId1174" xr:uid="{00000000-0004-0000-0100-000095040000}"/>
    <hyperlink ref="I3253" r:id="rId1175" xr:uid="{00000000-0004-0000-0100-000096040000}"/>
    <hyperlink ref="I3254" r:id="rId1176" xr:uid="{00000000-0004-0000-0100-000097040000}"/>
    <hyperlink ref="I3255" r:id="rId1177" xr:uid="{00000000-0004-0000-0100-000098040000}"/>
    <hyperlink ref="I3256" r:id="rId1178" xr:uid="{00000000-0004-0000-0100-000099040000}"/>
    <hyperlink ref="I3257" r:id="rId1179" xr:uid="{00000000-0004-0000-0100-00009A040000}"/>
    <hyperlink ref="I3258" r:id="rId1180" xr:uid="{00000000-0004-0000-0100-00009B040000}"/>
    <hyperlink ref="I3259" r:id="rId1181" xr:uid="{00000000-0004-0000-0100-00009C040000}"/>
    <hyperlink ref="I3260" r:id="rId1182" xr:uid="{00000000-0004-0000-0100-00009D040000}"/>
    <hyperlink ref="I3261" r:id="rId1183" xr:uid="{00000000-0004-0000-0100-00009E040000}"/>
    <hyperlink ref="I3262" r:id="rId1184" xr:uid="{00000000-0004-0000-0100-00009F040000}"/>
    <hyperlink ref="I3263" r:id="rId1185" xr:uid="{00000000-0004-0000-0100-0000A0040000}"/>
    <hyperlink ref="I3264" r:id="rId1186" xr:uid="{00000000-0004-0000-0100-0000A1040000}"/>
    <hyperlink ref="I3265" r:id="rId1187" xr:uid="{00000000-0004-0000-0100-0000A2040000}"/>
    <hyperlink ref="I3266" r:id="rId1188" xr:uid="{00000000-0004-0000-0100-0000A3040000}"/>
    <hyperlink ref="I3267" r:id="rId1189" xr:uid="{00000000-0004-0000-0100-0000A4040000}"/>
    <hyperlink ref="I3268" r:id="rId1190" xr:uid="{00000000-0004-0000-0100-0000A5040000}"/>
    <hyperlink ref="I3269" r:id="rId1191" xr:uid="{00000000-0004-0000-0100-0000A6040000}"/>
    <hyperlink ref="I3270" r:id="rId1192" xr:uid="{00000000-0004-0000-0100-0000A7040000}"/>
    <hyperlink ref="I3271" r:id="rId1193" xr:uid="{00000000-0004-0000-0100-0000A8040000}"/>
    <hyperlink ref="I3272" r:id="rId1194" xr:uid="{00000000-0004-0000-0100-0000A9040000}"/>
    <hyperlink ref="I3273" r:id="rId1195" xr:uid="{00000000-0004-0000-0100-0000AA040000}"/>
    <hyperlink ref="I3274" r:id="rId1196" xr:uid="{00000000-0004-0000-0100-0000AB040000}"/>
    <hyperlink ref="I3275" r:id="rId1197" xr:uid="{00000000-0004-0000-0100-0000AC040000}"/>
    <hyperlink ref="I3276" r:id="rId1198" xr:uid="{00000000-0004-0000-0100-0000AD040000}"/>
    <hyperlink ref="I3277" r:id="rId1199" xr:uid="{00000000-0004-0000-0100-0000AE040000}"/>
    <hyperlink ref="I3278" r:id="rId1200" xr:uid="{00000000-0004-0000-0100-0000AF040000}"/>
    <hyperlink ref="I3279" r:id="rId1201" xr:uid="{00000000-0004-0000-0100-0000B0040000}"/>
    <hyperlink ref="I3280" r:id="rId1202" xr:uid="{00000000-0004-0000-0100-0000B1040000}"/>
    <hyperlink ref="I3281" r:id="rId1203" xr:uid="{00000000-0004-0000-0100-0000B2040000}"/>
    <hyperlink ref="I3282" r:id="rId1204" xr:uid="{00000000-0004-0000-0100-0000B3040000}"/>
    <hyperlink ref="I3283" r:id="rId1205" xr:uid="{00000000-0004-0000-0100-0000B4040000}"/>
    <hyperlink ref="I3284" r:id="rId1206" xr:uid="{00000000-0004-0000-0100-0000B5040000}"/>
    <hyperlink ref="I3285" r:id="rId1207" xr:uid="{00000000-0004-0000-0100-0000B6040000}"/>
    <hyperlink ref="I3286" r:id="rId1208" xr:uid="{00000000-0004-0000-0100-0000B7040000}"/>
    <hyperlink ref="I3287" r:id="rId1209" xr:uid="{00000000-0004-0000-0100-0000B8040000}"/>
    <hyperlink ref="I3288" r:id="rId1210" xr:uid="{00000000-0004-0000-0100-0000B9040000}"/>
    <hyperlink ref="I3289" r:id="rId1211" xr:uid="{00000000-0004-0000-0100-0000BA040000}"/>
    <hyperlink ref="I3290" r:id="rId1212" xr:uid="{00000000-0004-0000-0100-0000BB040000}"/>
    <hyperlink ref="I3291" r:id="rId1213" xr:uid="{00000000-0004-0000-0100-0000BC040000}"/>
    <hyperlink ref="I3292" r:id="rId1214" xr:uid="{00000000-0004-0000-0100-0000BD040000}"/>
    <hyperlink ref="I3293" r:id="rId1215" xr:uid="{00000000-0004-0000-0100-0000BE040000}"/>
    <hyperlink ref="I3294" r:id="rId1216" xr:uid="{00000000-0004-0000-0100-0000BF040000}"/>
    <hyperlink ref="I3295" r:id="rId1217" xr:uid="{00000000-0004-0000-0100-0000C0040000}"/>
    <hyperlink ref="I3296" r:id="rId1218" xr:uid="{00000000-0004-0000-0100-0000C1040000}"/>
    <hyperlink ref="I3297" r:id="rId1219" xr:uid="{00000000-0004-0000-0100-0000C2040000}"/>
    <hyperlink ref="I3298" r:id="rId1220" xr:uid="{00000000-0004-0000-0100-0000C3040000}"/>
    <hyperlink ref="I3299" r:id="rId1221" xr:uid="{00000000-0004-0000-0100-0000C4040000}"/>
    <hyperlink ref="I3300" r:id="rId1222" xr:uid="{00000000-0004-0000-0100-0000C5040000}"/>
    <hyperlink ref="I3301" r:id="rId1223" xr:uid="{00000000-0004-0000-0100-0000C6040000}"/>
    <hyperlink ref="I3302" r:id="rId1224" xr:uid="{00000000-0004-0000-0100-0000C7040000}"/>
    <hyperlink ref="I3303" r:id="rId1225" xr:uid="{00000000-0004-0000-0100-0000C8040000}"/>
    <hyperlink ref="I3304" r:id="rId1226" xr:uid="{00000000-0004-0000-0100-0000C9040000}"/>
    <hyperlink ref="I3305" r:id="rId1227" xr:uid="{00000000-0004-0000-0100-0000CA040000}"/>
    <hyperlink ref="I3306" r:id="rId1228" xr:uid="{00000000-0004-0000-0100-0000CB040000}"/>
    <hyperlink ref="I3307" r:id="rId1229" xr:uid="{00000000-0004-0000-0100-0000CC040000}"/>
    <hyperlink ref="I3308" r:id="rId1230" xr:uid="{00000000-0004-0000-0100-0000CD040000}"/>
    <hyperlink ref="I3309" r:id="rId1231" xr:uid="{00000000-0004-0000-0100-0000CE040000}"/>
    <hyperlink ref="I3310" r:id="rId1232" xr:uid="{00000000-0004-0000-0100-0000CF040000}"/>
    <hyperlink ref="I3311" r:id="rId1233" xr:uid="{00000000-0004-0000-0100-0000D0040000}"/>
    <hyperlink ref="I3312" r:id="rId1234" xr:uid="{00000000-0004-0000-0100-0000D1040000}"/>
    <hyperlink ref="I3313" r:id="rId1235" xr:uid="{00000000-0004-0000-0100-0000D2040000}"/>
    <hyperlink ref="I3314" r:id="rId1236" xr:uid="{00000000-0004-0000-0100-0000D3040000}"/>
    <hyperlink ref="I3315" r:id="rId1237" xr:uid="{00000000-0004-0000-0100-0000D4040000}"/>
    <hyperlink ref="I3316" r:id="rId1238" xr:uid="{00000000-0004-0000-0100-0000D5040000}"/>
    <hyperlink ref="I3317" r:id="rId1239" xr:uid="{00000000-0004-0000-0100-0000D6040000}"/>
    <hyperlink ref="I3318" r:id="rId1240" xr:uid="{00000000-0004-0000-0100-0000D7040000}"/>
    <hyperlink ref="I3319" r:id="rId1241" xr:uid="{00000000-0004-0000-0100-0000D8040000}"/>
    <hyperlink ref="I3320" r:id="rId1242" xr:uid="{00000000-0004-0000-0100-0000D9040000}"/>
    <hyperlink ref="I3321" r:id="rId1243" xr:uid="{00000000-0004-0000-0100-0000DA040000}"/>
    <hyperlink ref="I3322" r:id="rId1244" xr:uid="{00000000-0004-0000-0100-0000DB040000}"/>
    <hyperlink ref="I3323" r:id="rId1245" xr:uid="{00000000-0004-0000-0100-0000DC040000}"/>
    <hyperlink ref="I3324" r:id="rId1246" xr:uid="{00000000-0004-0000-0100-0000DD040000}"/>
    <hyperlink ref="I3325" r:id="rId1247" xr:uid="{00000000-0004-0000-0100-0000DE040000}"/>
    <hyperlink ref="I3326" r:id="rId1248" xr:uid="{00000000-0004-0000-0100-0000DF040000}"/>
    <hyperlink ref="I3327" r:id="rId1249" xr:uid="{00000000-0004-0000-0100-0000E0040000}"/>
    <hyperlink ref="I3328" r:id="rId1250" xr:uid="{00000000-0004-0000-0100-0000E1040000}"/>
    <hyperlink ref="I3329" r:id="rId1251" xr:uid="{00000000-0004-0000-0100-0000E2040000}"/>
    <hyperlink ref="I3330" r:id="rId1252" xr:uid="{00000000-0004-0000-0100-0000E3040000}"/>
    <hyperlink ref="I3331" r:id="rId1253" xr:uid="{00000000-0004-0000-0100-0000E4040000}"/>
    <hyperlink ref="I3332" r:id="rId1254" xr:uid="{00000000-0004-0000-0100-0000E5040000}"/>
    <hyperlink ref="I3333" r:id="rId1255" xr:uid="{00000000-0004-0000-0100-0000E6040000}"/>
    <hyperlink ref="I3334" r:id="rId1256" xr:uid="{00000000-0004-0000-0100-0000E7040000}"/>
    <hyperlink ref="I3335" r:id="rId1257" xr:uid="{00000000-0004-0000-0100-0000E8040000}"/>
    <hyperlink ref="I3336" r:id="rId1258" xr:uid="{00000000-0004-0000-0100-0000E9040000}"/>
    <hyperlink ref="I3337" r:id="rId1259" xr:uid="{00000000-0004-0000-0100-0000EA040000}"/>
    <hyperlink ref="I3338" r:id="rId1260" xr:uid="{00000000-0004-0000-0100-0000EB040000}"/>
    <hyperlink ref="I3339" r:id="rId1261" xr:uid="{00000000-0004-0000-0100-0000EC040000}"/>
    <hyperlink ref="I3340" r:id="rId1262" xr:uid="{00000000-0004-0000-0100-0000ED040000}"/>
    <hyperlink ref="I3341" r:id="rId1263" xr:uid="{00000000-0004-0000-0100-0000EE040000}"/>
    <hyperlink ref="I3342" r:id="rId1264" xr:uid="{00000000-0004-0000-0100-0000EF040000}"/>
    <hyperlink ref="I3343" r:id="rId1265" xr:uid="{00000000-0004-0000-0100-0000F0040000}"/>
    <hyperlink ref="I3344" r:id="rId1266" xr:uid="{00000000-0004-0000-0100-0000F1040000}"/>
    <hyperlink ref="I3345" r:id="rId1267" xr:uid="{00000000-0004-0000-0100-0000F2040000}"/>
    <hyperlink ref="I3346" r:id="rId1268" xr:uid="{00000000-0004-0000-0100-0000F3040000}"/>
    <hyperlink ref="I3347" r:id="rId1269" xr:uid="{00000000-0004-0000-0100-0000F4040000}"/>
    <hyperlink ref="I3348" r:id="rId1270" xr:uid="{00000000-0004-0000-0100-0000F5040000}"/>
    <hyperlink ref="I3349" r:id="rId1271" xr:uid="{00000000-0004-0000-0100-0000F6040000}"/>
    <hyperlink ref="I3350" r:id="rId1272" xr:uid="{00000000-0004-0000-0100-0000F7040000}"/>
    <hyperlink ref="I3351" r:id="rId1273" xr:uid="{00000000-0004-0000-0100-0000F8040000}"/>
    <hyperlink ref="I3352" r:id="rId1274" xr:uid="{00000000-0004-0000-0100-0000F9040000}"/>
    <hyperlink ref="I3353" r:id="rId1275" xr:uid="{00000000-0004-0000-0100-0000FA040000}"/>
    <hyperlink ref="I3354" r:id="rId1276" xr:uid="{00000000-0004-0000-0100-0000FB040000}"/>
    <hyperlink ref="I3355" r:id="rId1277" xr:uid="{00000000-0004-0000-0100-0000FC040000}"/>
    <hyperlink ref="I3356" r:id="rId1278" xr:uid="{00000000-0004-0000-0100-0000FD040000}"/>
    <hyperlink ref="I3357" r:id="rId1279" xr:uid="{00000000-0004-0000-0100-0000FE040000}"/>
    <hyperlink ref="I3358" r:id="rId1280" xr:uid="{00000000-0004-0000-0100-0000FF040000}"/>
    <hyperlink ref="I3359" r:id="rId1281" xr:uid="{00000000-0004-0000-0100-000000050000}"/>
    <hyperlink ref="I3360" r:id="rId1282" xr:uid="{00000000-0004-0000-0100-000001050000}"/>
    <hyperlink ref="I3361" r:id="rId1283" xr:uid="{00000000-0004-0000-0100-000002050000}"/>
    <hyperlink ref="I3362" r:id="rId1284" xr:uid="{00000000-0004-0000-0100-000003050000}"/>
    <hyperlink ref="I3363" r:id="rId1285" xr:uid="{00000000-0004-0000-0100-000004050000}"/>
    <hyperlink ref="I3364" r:id="rId1286" xr:uid="{00000000-0004-0000-0100-000005050000}"/>
    <hyperlink ref="I3365" r:id="rId1287" xr:uid="{00000000-0004-0000-0100-000006050000}"/>
    <hyperlink ref="I3366" r:id="rId1288" xr:uid="{00000000-0004-0000-0100-000007050000}"/>
    <hyperlink ref="I3367" r:id="rId1289" xr:uid="{00000000-0004-0000-0100-000008050000}"/>
    <hyperlink ref="I3368" r:id="rId1290" xr:uid="{00000000-0004-0000-0100-000009050000}"/>
    <hyperlink ref="I3369" r:id="rId1291" xr:uid="{00000000-0004-0000-0100-00000A050000}"/>
    <hyperlink ref="I3370" r:id="rId1292" xr:uid="{00000000-0004-0000-0100-00000B050000}"/>
    <hyperlink ref="I3371" r:id="rId1293" xr:uid="{00000000-0004-0000-0100-00000C050000}"/>
    <hyperlink ref="I3372" r:id="rId1294" xr:uid="{00000000-0004-0000-0100-00000D050000}"/>
    <hyperlink ref="I3373" r:id="rId1295" xr:uid="{00000000-0004-0000-0100-00000E050000}"/>
    <hyperlink ref="I3374" r:id="rId1296" xr:uid="{00000000-0004-0000-0100-00000F050000}"/>
    <hyperlink ref="I3375" r:id="rId1297" xr:uid="{00000000-0004-0000-0100-000010050000}"/>
    <hyperlink ref="I3376" r:id="rId1298" xr:uid="{00000000-0004-0000-0100-000011050000}"/>
    <hyperlink ref="I3377" r:id="rId1299" xr:uid="{00000000-0004-0000-0100-000012050000}"/>
    <hyperlink ref="I3378" r:id="rId1300" xr:uid="{00000000-0004-0000-0100-000013050000}"/>
    <hyperlink ref="I3379" r:id="rId1301" xr:uid="{00000000-0004-0000-0100-000014050000}"/>
    <hyperlink ref="I3380" r:id="rId1302" xr:uid="{00000000-0004-0000-0100-000015050000}"/>
    <hyperlink ref="I3381" r:id="rId1303" xr:uid="{00000000-0004-0000-0100-000016050000}"/>
    <hyperlink ref="I3382" r:id="rId1304" xr:uid="{00000000-0004-0000-0100-000017050000}"/>
    <hyperlink ref="I3383" r:id="rId1305" xr:uid="{00000000-0004-0000-0100-000018050000}"/>
    <hyperlink ref="I3384" r:id="rId1306" xr:uid="{00000000-0004-0000-0100-000019050000}"/>
    <hyperlink ref="I3385" r:id="rId1307" xr:uid="{00000000-0004-0000-0100-00001A050000}"/>
    <hyperlink ref="I3386" r:id="rId1308" xr:uid="{00000000-0004-0000-0100-00001B050000}"/>
    <hyperlink ref="I3387" r:id="rId1309" xr:uid="{00000000-0004-0000-0100-00001C050000}"/>
    <hyperlink ref="I3388" r:id="rId1310" xr:uid="{00000000-0004-0000-0100-00001D050000}"/>
    <hyperlink ref="I3389" r:id="rId1311" xr:uid="{00000000-0004-0000-0100-00001E050000}"/>
    <hyperlink ref="I3390" r:id="rId1312" xr:uid="{00000000-0004-0000-0100-00001F050000}"/>
    <hyperlink ref="I3391" r:id="rId1313" xr:uid="{00000000-0004-0000-0100-000020050000}"/>
    <hyperlink ref="I3392" r:id="rId1314" xr:uid="{00000000-0004-0000-0100-000021050000}"/>
    <hyperlink ref="I3393" r:id="rId1315" xr:uid="{00000000-0004-0000-0100-000022050000}"/>
    <hyperlink ref="I3394" r:id="rId1316" xr:uid="{00000000-0004-0000-0100-000023050000}"/>
    <hyperlink ref="I3395" r:id="rId1317" xr:uid="{00000000-0004-0000-0100-000024050000}"/>
    <hyperlink ref="I3396" r:id="rId1318" xr:uid="{00000000-0004-0000-0100-000025050000}"/>
    <hyperlink ref="I3397" r:id="rId1319" xr:uid="{00000000-0004-0000-0100-000026050000}"/>
    <hyperlink ref="I3398" r:id="rId1320" xr:uid="{00000000-0004-0000-0100-000027050000}"/>
    <hyperlink ref="I3399" r:id="rId1321" xr:uid="{00000000-0004-0000-0100-000028050000}"/>
    <hyperlink ref="I3400" r:id="rId1322" xr:uid="{00000000-0004-0000-0100-000029050000}"/>
    <hyperlink ref="I3401" r:id="rId1323" xr:uid="{00000000-0004-0000-0100-00002A050000}"/>
    <hyperlink ref="I3402" r:id="rId1324" xr:uid="{00000000-0004-0000-0100-00002B050000}"/>
    <hyperlink ref="I3403" r:id="rId1325" xr:uid="{00000000-0004-0000-0100-00002C050000}"/>
    <hyperlink ref="I3404" r:id="rId1326" xr:uid="{00000000-0004-0000-0100-00002D050000}"/>
    <hyperlink ref="I3405" r:id="rId1327" xr:uid="{00000000-0004-0000-0100-00002E050000}"/>
    <hyperlink ref="I3406" r:id="rId1328" xr:uid="{00000000-0004-0000-0100-00002F050000}"/>
    <hyperlink ref="I3407" r:id="rId1329" xr:uid="{00000000-0004-0000-0100-000030050000}"/>
    <hyperlink ref="I3408" r:id="rId1330" xr:uid="{00000000-0004-0000-0100-000031050000}"/>
    <hyperlink ref="I3409" r:id="rId1331" xr:uid="{00000000-0004-0000-0100-000032050000}"/>
    <hyperlink ref="I3410" r:id="rId1332" xr:uid="{00000000-0004-0000-0100-000033050000}"/>
    <hyperlink ref="I3411" r:id="rId1333" xr:uid="{00000000-0004-0000-0100-000034050000}"/>
    <hyperlink ref="I3412" r:id="rId1334" xr:uid="{00000000-0004-0000-0100-000035050000}"/>
    <hyperlink ref="I3413" r:id="rId1335" xr:uid="{00000000-0004-0000-0100-000036050000}"/>
    <hyperlink ref="I3414" r:id="rId1336" xr:uid="{00000000-0004-0000-0100-000037050000}"/>
    <hyperlink ref="I3415" r:id="rId1337" xr:uid="{00000000-0004-0000-0100-000038050000}"/>
    <hyperlink ref="I3416" r:id="rId1338" xr:uid="{00000000-0004-0000-0100-000039050000}"/>
    <hyperlink ref="I3417" r:id="rId1339" xr:uid="{00000000-0004-0000-0100-00003A050000}"/>
    <hyperlink ref="I3418" r:id="rId1340" xr:uid="{00000000-0004-0000-0100-00003B050000}"/>
    <hyperlink ref="I3419" r:id="rId1341" xr:uid="{00000000-0004-0000-0100-00003C050000}"/>
    <hyperlink ref="I3420" r:id="rId1342" xr:uid="{00000000-0004-0000-0100-00003D050000}"/>
    <hyperlink ref="I3421" r:id="rId1343" xr:uid="{00000000-0004-0000-0100-00003E050000}"/>
    <hyperlink ref="I3422" r:id="rId1344" xr:uid="{00000000-0004-0000-0100-00003F050000}"/>
    <hyperlink ref="I3423" r:id="rId1345" xr:uid="{00000000-0004-0000-0100-000040050000}"/>
    <hyperlink ref="I3424" r:id="rId1346" xr:uid="{00000000-0004-0000-0100-000041050000}"/>
    <hyperlink ref="I3425" r:id="rId1347" xr:uid="{00000000-0004-0000-0100-000042050000}"/>
    <hyperlink ref="I3426" r:id="rId1348" xr:uid="{00000000-0004-0000-0100-000043050000}"/>
    <hyperlink ref="I3427" r:id="rId1349" xr:uid="{00000000-0004-0000-0100-000044050000}"/>
    <hyperlink ref="I3428" r:id="rId1350" xr:uid="{00000000-0004-0000-0100-000045050000}"/>
    <hyperlink ref="I3429" r:id="rId1351" xr:uid="{00000000-0004-0000-0100-000046050000}"/>
    <hyperlink ref="I3430" r:id="rId1352" xr:uid="{00000000-0004-0000-0100-000047050000}"/>
    <hyperlink ref="I3431" r:id="rId1353" xr:uid="{00000000-0004-0000-0100-000048050000}"/>
    <hyperlink ref="I3432" r:id="rId1354" xr:uid="{00000000-0004-0000-0100-000049050000}"/>
    <hyperlink ref="I3433" r:id="rId1355" xr:uid="{00000000-0004-0000-0100-00004A050000}"/>
    <hyperlink ref="I3434" r:id="rId1356" xr:uid="{00000000-0004-0000-0100-00004B050000}"/>
    <hyperlink ref="I3435" r:id="rId1357" xr:uid="{00000000-0004-0000-0100-00004C050000}"/>
    <hyperlink ref="I3436" r:id="rId1358" xr:uid="{00000000-0004-0000-0100-00004D050000}"/>
    <hyperlink ref="I3437" r:id="rId1359" xr:uid="{00000000-0004-0000-0100-00004E050000}"/>
    <hyperlink ref="I3438" r:id="rId1360" xr:uid="{00000000-0004-0000-0100-00004F050000}"/>
    <hyperlink ref="I3439" r:id="rId1361" xr:uid="{00000000-0004-0000-0100-000050050000}"/>
    <hyperlink ref="I3440" r:id="rId1362" xr:uid="{00000000-0004-0000-0100-000051050000}"/>
    <hyperlink ref="I3441" r:id="rId1363" xr:uid="{00000000-0004-0000-0100-000052050000}"/>
    <hyperlink ref="I3442" r:id="rId1364" xr:uid="{00000000-0004-0000-0100-000053050000}"/>
    <hyperlink ref="I3443" r:id="rId1365" xr:uid="{00000000-0004-0000-0100-000054050000}"/>
    <hyperlink ref="I3444" r:id="rId1366" xr:uid="{00000000-0004-0000-0100-000055050000}"/>
    <hyperlink ref="I3445" r:id="rId1367" xr:uid="{00000000-0004-0000-0100-000056050000}"/>
    <hyperlink ref="I3446" r:id="rId1368" xr:uid="{00000000-0004-0000-0100-000057050000}"/>
    <hyperlink ref="I3447" r:id="rId1369" xr:uid="{00000000-0004-0000-0100-000058050000}"/>
    <hyperlink ref="I3448" r:id="rId1370" xr:uid="{00000000-0004-0000-0100-000059050000}"/>
    <hyperlink ref="I3449" r:id="rId1371" xr:uid="{00000000-0004-0000-0100-00005A050000}"/>
    <hyperlink ref="I3450" r:id="rId1372" xr:uid="{00000000-0004-0000-0100-00005B050000}"/>
    <hyperlink ref="I3451" r:id="rId1373" xr:uid="{00000000-0004-0000-0100-00005C050000}"/>
    <hyperlink ref="I3452" r:id="rId1374" xr:uid="{00000000-0004-0000-0100-00005D050000}"/>
    <hyperlink ref="I3453" r:id="rId1375" xr:uid="{00000000-0004-0000-0100-00005E050000}"/>
    <hyperlink ref="I3454" r:id="rId1376" xr:uid="{00000000-0004-0000-0100-00005F050000}"/>
    <hyperlink ref="I3455" r:id="rId1377" xr:uid="{00000000-0004-0000-0100-000060050000}"/>
    <hyperlink ref="I3456" r:id="rId1378" xr:uid="{00000000-0004-0000-0100-000061050000}"/>
    <hyperlink ref="I3457" r:id="rId1379" xr:uid="{00000000-0004-0000-0100-000062050000}"/>
    <hyperlink ref="I3458" r:id="rId1380" xr:uid="{00000000-0004-0000-0100-000063050000}"/>
    <hyperlink ref="I3459" r:id="rId1381" xr:uid="{00000000-0004-0000-0100-000064050000}"/>
    <hyperlink ref="I3460" r:id="rId1382" xr:uid="{00000000-0004-0000-0100-000065050000}"/>
    <hyperlink ref="I3461" r:id="rId1383" xr:uid="{00000000-0004-0000-0100-000066050000}"/>
    <hyperlink ref="I3462" r:id="rId1384" xr:uid="{00000000-0004-0000-0100-000067050000}"/>
    <hyperlink ref="I3463" r:id="rId1385" xr:uid="{00000000-0004-0000-0100-000068050000}"/>
    <hyperlink ref="I3464" r:id="rId1386" xr:uid="{00000000-0004-0000-0100-000069050000}"/>
    <hyperlink ref="I3465" r:id="rId1387" xr:uid="{00000000-0004-0000-0100-00006A050000}"/>
    <hyperlink ref="I3466" r:id="rId1388" xr:uid="{00000000-0004-0000-0100-00006B050000}"/>
    <hyperlink ref="I3467" r:id="rId1389" xr:uid="{00000000-0004-0000-0100-00006C050000}"/>
    <hyperlink ref="I3468" r:id="rId1390" xr:uid="{00000000-0004-0000-0100-00006D050000}"/>
    <hyperlink ref="I3469" r:id="rId1391" xr:uid="{00000000-0004-0000-0100-00006E050000}"/>
    <hyperlink ref="I3470" r:id="rId1392" xr:uid="{00000000-0004-0000-0100-00006F050000}"/>
    <hyperlink ref="I3471" r:id="rId1393" xr:uid="{00000000-0004-0000-0100-000070050000}"/>
    <hyperlink ref="I3472" r:id="rId1394" xr:uid="{00000000-0004-0000-0100-000071050000}"/>
    <hyperlink ref="I3473" r:id="rId1395" xr:uid="{00000000-0004-0000-0100-000072050000}"/>
    <hyperlink ref="I3474" r:id="rId1396" xr:uid="{00000000-0004-0000-0100-000073050000}"/>
    <hyperlink ref="I3475" r:id="rId1397" xr:uid="{00000000-0004-0000-0100-000074050000}"/>
    <hyperlink ref="I3476" r:id="rId1398" xr:uid="{00000000-0004-0000-0100-000075050000}"/>
    <hyperlink ref="I3477" r:id="rId1399" xr:uid="{00000000-0004-0000-0100-000076050000}"/>
    <hyperlink ref="I3478" r:id="rId1400" xr:uid="{00000000-0004-0000-0100-000077050000}"/>
    <hyperlink ref="I3479" r:id="rId1401" xr:uid="{00000000-0004-0000-0100-000078050000}"/>
    <hyperlink ref="I3480" r:id="rId1402" xr:uid="{00000000-0004-0000-0100-000079050000}"/>
    <hyperlink ref="I3481" r:id="rId1403" xr:uid="{00000000-0004-0000-0100-00007A050000}"/>
    <hyperlink ref="I3482" r:id="rId1404" xr:uid="{00000000-0004-0000-0100-00007B050000}"/>
    <hyperlink ref="I3483" r:id="rId1405" xr:uid="{00000000-0004-0000-0100-00007C050000}"/>
    <hyperlink ref="I3484" r:id="rId1406" xr:uid="{00000000-0004-0000-0100-00007D050000}"/>
    <hyperlink ref="I3485" r:id="rId1407" xr:uid="{00000000-0004-0000-0100-00007E050000}"/>
    <hyperlink ref="I3486" r:id="rId1408" xr:uid="{00000000-0004-0000-0100-00007F050000}"/>
    <hyperlink ref="I3487" r:id="rId1409" xr:uid="{00000000-0004-0000-0100-000080050000}"/>
    <hyperlink ref="I3488" r:id="rId1410" xr:uid="{00000000-0004-0000-0100-000081050000}"/>
    <hyperlink ref="I3489" r:id="rId1411" xr:uid="{00000000-0004-0000-0100-000082050000}"/>
    <hyperlink ref="I3490" r:id="rId1412" xr:uid="{00000000-0004-0000-0100-000083050000}"/>
    <hyperlink ref="I3491" r:id="rId1413" xr:uid="{00000000-0004-0000-0100-000084050000}"/>
    <hyperlink ref="I3492" r:id="rId1414" xr:uid="{00000000-0004-0000-0100-000085050000}"/>
    <hyperlink ref="I3493" r:id="rId1415" xr:uid="{00000000-0004-0000-0100-000086050000}"/>
    <hyperlink ref="I3494" r:id="rId1416" xr:uid="{00000000-0004-0000-0100-000087050000}"/>
    <hyperlink ref="I3495" r:id="rId1417" xr:uid="{00000000-0004-0000-0100-000088050000}"/>
    <hyperlink ref="I3496" r:id="rId1418" xr:uid="{00000000-0004-0000-0100-000089050000}"/>
    <hyperlink ref="I3497" r:id="rId1419" xr:uid="{00000000-0004-0000-0100-00008A050000}"/>
    <hyperlink ref="I3498" r:id="rId1420" xr:uid="{00000000-0004-0000-0100-00008B050000}"/>
    <hyperlink ref="I3499" r:id="rId1421" xr:uid="{00000000-0004-0000-0100-00008C050000}"/>
    <hyperlink ref="I3500" r:id="rId1422" xr:uid="{00000000-0004-0000-0100-00008D050000}"/>
    <hyperlink ref="I3501" r:id="rId1423" xr:uid="{00000000-0004-0000-0100-00008E050000}"/>
    <hyperlink ref="I3502" r:id="rId1424" xr:uid="{00000000-0004-0000-0100-00008F050000}"/>
    <hyperlink ref="I3503" r:id="rId1425" xr:uid="{00000000-0004-0000-0100-000090050000}"/>
    <hyperlink ref="I3504" r:id="rId1426" xr:uid="{00000000-0004-0000-0100-000091050000}"/>
    <hyperlink ref="I3505" r:id="rId1427" xr:uid="{00000000-0004-0000-0100-000092050000}"/>
    <hyperlink ref="I3506" r:id="rId1428" xr:uid="{00000000-0004-0000-0100-000093050000}"/>
    <hyperlink ref="I3507" r:id="rId1429" xr:uid="{00000000-0004-0000-0100-000094050000}"/>
    <hyperlink ref="I3508" r:id="rId1430" xr:uid="{00000000-0004-0000-0100-000095050000}"/>
    <hyperlink ref="I3509" r:id="rId1431" xr:uid="{00000000-0004-0000-0100-000096050000}"/>
    <hyperlink ref="I3510" r:id="rId1432" xr:uid="{00000000-0004-0000-0100-000097050000}"/>
    <hyperlink ref="I3511" r:id="rId1433" xr:uid="{00000000-0004-0000-0100-000098050000}"/>
    <hyperlink ref="I3512" r:id="rId1434" xr:uid="{00000000-0004-0000-0100-000099050000}"/>
    <hyperlink ref="I3513" r:id="rId1435" xr:uid="{00000000-0004-0000-0100-00009A050000}"/>
    <hyperlink ref="I3514" r:id="rId1436" xr:uid="{00000000-0004-0000-0100-00009B050000}"/>
    <hyperlink ref="I3515" r:id="rId1437" xr:uid="{00000000-0004-0000-0100-00009C050000}"/>
    <hyperlink ref="I3516" r:id="rId1438" xr:uid="{00000000-0004-0000-0100-00009D050000}"/>
    <hyperlink ref="I3517" r:id="rId1439" xr:uid="{00000000-0004-0000-0100-00009E050000}"/>
    <hyperlink ref="I3518" r:id="rId1440" xr:uid="{00000000-0004-0000-0100-00009F050000}"/>
    <hyperlink ref="I3519" r:id="rId1441" xr:uid="{00000000-0004-0000-0100-0000A0050000}"/>
    <hyperlink ref="I3520" r:id="rId1442" xr:uid="{00000000-0004-0000-0100-0000A1050000}"/>
    <hyperlink ref="I3521" r:id="rId1443" xr:uid="{00000000-0004-0000-0100-0000A2050000}"/>
    <hyperlink ref="I3522" r:id="rId1444" xr:uid="{00000000-0004-0000-0100-0000A3050000}"/>
    <hyperlink ref="I3523" r:id="rId1445" xr:uid="{00000000-0004-0000-0100-0000A4050000}"/>
    <hyperlink ref="I3524" r:id="rId1446" xr:uid="{00000000-0004-0000-0100-0000A5050000}"/>
    <hyperlink ref="I3525" r:id="rId1447" xr:uid="{00000000-0004-0000-0100-0000A6050000}"/>
    <hyperlink ref="I3526" r:id="rId1448" xr:uid="{00000000-0004-0000-0100-0000A7050000}"/>
    <hyperlink ref="I3527" r:id="rId1449" xr:uid="{00000000-0004-0000-0100-0000A8050000}"/>
    <hyperlink ref="I3528" r:id="rId1450" xr:uid="{00000000-0004-0000-0100-0000A9050000}"/>
    <hyperlink ref="I3529" r:id="rId1451" xr:uid="{00000000-0004-0000-0100-0000AA050000}"/>
    <hyperlink ref="I3530" r:id="rId1452" xr:uid="{00000000-0004-0000-0100-0000AB050000}"/>
    <hyperlink ref="I3531" r:id="rId1453" xr:uid="{00000000-0004-0000-0100-0000AC050000}"/>
    <hyperlink ref="I3532" r:id="rId1454" xr:uid="{00000000-0004-0000-0100-0000AD050000}"/>
    <hyperlink ref="I3533" r:id="rId1455" xr:uid="{00000000-0004-0000-0100-0000AE050000}"/>
    <hyperlink ref="I3534" r:id="rId1456" xr:uid="{00000000-0004-0000-0100-0000AF050000}"/>
    <hyperlink ref="I3535" r:id="rId1457" xr:uid="{00000000-0004-0000-0100-0000B0050000}"/>
    <hyperlink ref="I3536" r:id="rId1458" xr:uid="{00000000-0004-0000-0100-0000B1050000}"/>
    <hyperlink ref="I3537" r:id="rId1459" xr:uid="{00000000-0004-0000-0100-0000B2050000}"/>
    <hyperlink ref="I3538" r:id="rId1460" xr:uid="{00000000-0004-0000-0100-0000B3050000}"/>
    <hyperlink ref="I3539" r:id="rId1461" xr:uid="{00000000-0004-0000-0100-0000B4050000}"/>
    <hyperlink ref="I3540" r:id="rId1462" xr:uid="{00000000-0004-0000-0100-0000B5050000}"/>
    <hyperlink ref="I3541" r:id="rId1463" xr:uid="{00000000-0004-0000-0100-0000B6050000}"/>
    <hyperlink ref="I3542" r:id="rId1464" xr:uid="{00000000-0004-0000-0100-0000B7050000}"/>
    <hyperlink ref="I3543" r:id="rId1465" xr:uid="{00000000-0004-0000-0100-0000B8050000}"/>
    <hyperlink ref="I3544" r:id="rId1466" xr:uid="{00000000-0004-0000-0100-0000B9050000}"/>
    <hyperlink ref="I3545" r:id="rId1467" xr:uid="{00000000-0004-0000-0100-0000BA050000}"/>
    <hyperlink ref="I3546" r:id="rId1468" xr:uid="{00000000-0004-0000-0100-0000BB050000}"/>
    <hyperlink ref="I3547" r:id="rId1469" xr:uid="{00000000-0004-0000-0100-0000BC050000}"/>
    <hyperlink ref="I3548" r:id="rId1470" xr:uid="{00000000-0004-0000-0100-0000BD050000}"/>
    <hyperlink ref="I3549" r:id="rId1471" xr:uid="{00000000-0004-0000-0100-0000BE050000}"/>
    <hyperlink ref="I3550" r:id="rId1472" xr:uid="{00000000-0004-0000-0100-0000BF050000}"/>
    <hyperlink ref="I3551" r:id="rId1473" xr:uid="{00000000-0004-0000-0100-0000C0050000}"/>
    <hyperlink ref="I3552" r:id="rId1474" xr:uid="{00000000-0004-0000-0100-0000C1050000}"/>
    <hyperlink ref="I3553" r:id="rId1475" xr:uid="{00000000-0004-0000-0100-0000C2050000}"/>
    <hyperlink ref="I3554" r:id="rId1476" xr:uid="{00000000-0004-0000-0100-0000C3050000}"/>
    <hyperlink ref="I3555" r:id="rId1477" xr:uid="{00000000-0004-0000-0100-0000C4050000}"/>
    <hyperlink ref="I3556" r:id="rId1478" xr:uid="{00000000-0004-0000-0100-0000C5050000}"/>
    <hyperlink ref="I3557" r:id="rId1479" xr:uid="{00000000-0004-0000-0100-0000C6050000}"/>
    <hyperlink ref="I3558" r:id="rId1480" xr:uid="{00000000-0004-0000-0100-0000C7050000}"/>
    <hyperlink ref="I3559" r:id="rId1481" xr:uid="{00000000-0004-0000-0100-0000C8050000}"/>
    <hyperlink ref="I3560" r:id="rId1482" xr:uid="{00000000-0004-0000-0100-0000C9050000}"/>
    <hyperlink ref="I3561" r:id="rId1483" xr:uid="{00000000-0004-0000-0100-0000CA050000}"/>
    <hyperlink ref="I3562" r:id="rId1484" xr:uid="{00000000-0004-0000-0100-0000CB050000}"/>
    <hyperlink ref="I3563" r:id="rId1485" xr:uid="{00000000-0004-0000-0100-0000CC050000}"/>
    <hyperlink ref="I3564" r:id="rId1486" xr:uid="{00000000-0004-0000-0100-0000CD050000}"/>
    <hyperlink ref="I3565" r:id="rId1487" xr:uid="{00000000-0004-0000-0100-0000CE050000}"/>
    <hyperlink ref="I3566" r:id="rId1488" xr:uid="{00000000-0004-0000-0100-0000CF050000}"/>
    <hyperlink ref="I3567" r:id="rId1489" xr:uid="{00000000-0004-0000-0100-0000D0050000}"/>
    <hyperlink ref="I3568" r:id="rId1490" xr:uid="{00000000-0004-0000-0100-0000D1050000}"/>
    <hyperlink ref="I3569" r:id="rId1491" xr:uid="{00000000-0004-0000-0100-0000D2050000}"/>
    <hyperlink ref="I3570" r:id="rId1492" xr:uid="{00000000-0004-0000-0100-0000D3050000}"/>
    <hyperlink ref="I3571" r:id="rId1493" xr:uid="{00000000-0004-0000-0100-0000D4050000}"/>
    <hyperlink ref="I3572" r:id="rId1494" xr:uid="{00000000-0004-0000-0100-0000D5050000}"/>
    <hyperlink ref="I3573" r:id="rId1495" xr:uid="{00000000-0004-0000-0100-0000D6050000}"/>
    <hyperlink ref="I3574" r:id="rId1496" xr:uid="{00000000-0004-0000-0100-0000D7050000}"/>
    <hyperlink ref="I3575" r:id="rId1497" xr:uid="{00000000-0004-0000-0100-0000D8050000}"/>
    <hyperlink ref="I3576" r:id="rId1498" xr:uid="{00000000-0004-0000-0100-0000D9050000}"/>
    <hyperlink ref="I3577" r:id="rId1499" xr:uid="{00000000-0004-0000-0100-0000DA050000}"/>
    <hyperlink ref="I3578" r:id="rId1500" xr:uid="{00000000-0004-0000-0100-0000DB050000}"/>
    <hyperlink ref="I3579" r:id="rId1501" xr:uid="{00000000-0004-0000-0100-0000DC050000}"/>
    <hyperlink ref="I3580" r:id="rId1502" xr:uid="{00000000-0004-0000-0100-0000DD050000}"/>
    <hyperlink ref="I3581" r:id="rId1503" xr:uid="{00000000-0004-0000-0100-0000DE050000}"/>
    <hyperlink ref="I3582" r:id="rId1504" xr:uid="{00000000-0004-0000-0100-0000DF050000}"/>
    <hyperlink ref="I3583" r:id="rId1505" xr:uid="{00000000-0004-0000-0100-0000E0050000}"/>
    <hyperlink ref="I3584" r:id="rId1506" xr:uid="{00000000-0004-0000-0100-0000E1050000}"/>
    <hyperlink ref="I3585" r:id="rId1507" xr:uid="{00000000-0004-0000-0100-0000E2050000}"/>
    <hyperlink ref="I3586" r:id="rId1508" xr:uid="{00000000-0004-0000-0100-0000E3050000}"/>
    <hyperlink ref="I3587" r:id="rId1509" xr:uid="{00000000-0004-0000-0100-0000E4050000}"/>
    <hyperlink ref="I3588" r:id="rId1510" xr:uid="{00000000-0004-0000-0100-0000E5050000}"/>
    <hyperlink ref="I3589" r:id="rId1511" xr:uid="{00000000-0004-0000-0100-0000E6050000}"/>
    <hyperlink ref="I3590" r:id="rId1512" xr:uid="{00000000-0004-0000-0100-0000E7050000}"/>
    <hyperlink ref="I3591" r:id="rId1513" xr:uid="{00000000-0004-0000-0100-0000E8050000}"/>
    <hyperlink ref="I3592" r:id="rId1514" xr:uid="{00000000-0004-0000-0100-0000E9050000}"/>
    <hyperlink ref="I3593" r:id="rId1515" xr:uid="{00000000-0004-0000-0100-0000EA050000}"/>
    <hyperlink ref="I3594" r:id="rId1516" xr:uid="{00000000-0004-0000-0100-0000EB050000}"/>
    <hyperlink ref="I3595" r:id="rId1517" xr:uid="{00000000-0004-0000-0100-0000EC050000}"/>
    <hyperlink ref="I3596" r:id="rId1518" xr:uid="{00000000-0004-0000-0100-0000ED050000}"/>
    <hyperlink ref="I3597" r:id="rId1519" xr:uid="{00000000-0004-0000-0100-0000EE050000}"/>
    <hyperlink ref="I3598" r:id="rId1520" xr:uid="{00000000-0004-0000-0100-0000EF050000}"/>
    <hyperlink ref="I3599" r:id="rId1521" xr:uid="{00000000-0004-0000-0100-0000F0050000}"/>
    <hyperlink ref="I3600" r:id="rId1522" xr:uid="{00000000-0004-0000-0100-0000F1050000}"/>
    <hyperlink ref="I3601" r:id="rId1523" xr:uid="{00000000-0004-0000-0100-0000F2050000}"/>
    <hyperlink ref="I3602" r:id="rId1524" xr:uid="{00000000-0004-0000-0100-0000F3050000}"/>
    <hyperlink ref="I3603" r:id="rId1525" xr:uid="{00000000-0004-0000-0100-0000F4050000}"/>
    <hyperlink ref="I3604" r:id="rId1526" xr:uid="{00000000-0004-0000-0100-0000F5050000}"/>
    <hyperlink ref="I3605" r:id="rId1527" xr:uid="{00000000-0004-0000-0100-0000F6050000}"/>
    <hyperlink ref="I3606" r:id="rId1528" xr:uid="{00000000-0004-0000-0100-0000F7050000}"/>
    <hyperlink ref="I3607" r:id="rId1529" xr:uid="{00000000-0004-0000-0100-0000F8050000}"/>
    <hyperlink ref="I3608" r:id="rId1530" xr:uid="{00000000-0004-0000-0100-0000F9050000}"/>
    <hyperlink ref="I3609" r:id="rId1531" xr:uid="{00000000-0004-0000-0100-0000FA050000}"/>
    <hyperlink ref="I3610" r:id="rId1532" xr:uid="{00000000-0004-0000-0100-0000FB050000}"/>
    <hyperlink ref="I3611" r:id="rId1533" xr:uid="{00000000-0004-0000-0100-0000FC050000}"/>
    <hyperlink ref="I3612" r:id="rId1534" xr:uid="{00000000-0004-0000-0100-0000FD050000}"/>
    <hyperlink ref="I3613" r:id="rId1535" xr:uid="{00000000-0004-0000-0100-0000FE050000}"/>
    <hyperlink ref="I3614" r:id="rId1536" xr:uid="{00000000-0004-0000-0100-0000FF050000}"/>
    <hyperlink ref="I3615" r:id="rId1537" xr:uid="{00000000-0004-0000-0100-000000060000}"/>
    <hyperlink ref="I3616" r:id="rId1538" xr:uid="{00000000-0004-0000-0100-000001060000}"/>
    <hyperlink ref="I3617" r:id="rId1539" xr:uid="{00000000-0004-0000-0100-000002060000}"/>
    <hyperlink ref="I3618" r:id="rId1540" xr:uid="{00000000-0004-0000-0100-000003060000}"/>
    <hyperlink ref="I3619" r:id="rId1541" xr:uid="{00000000-0004-0000-0100-000004060000}"/>
    <hyperlink ref="I3620" r:id="rId1542" xr:uid="{00000000-0004-0000-0100-000005060000}"/>
    <hyperlink ref="I3621" r:id="rId1543" xr:uid="{00000000-0004-0000-0100-000006060000}"/>
    <hyperlink ref="I3622" r:id="rId1544" xr:uid="{00000000-0004-0000-0100-000007060000}"/>
    <hyperlink ref="I3623" r:id="rId1545" xr:uid="{00000000-0004-0000-0100-000008060000}"/>
    <hyperlink ref="I3624" r:id="rId1546" xr:uid="{00000000-0004-0000-0100-000009060000}"/>
    <hyperlink ref="I3625" r:id="rId1547" xr:uid="{00000000-0004-0000-0100-00000A060000}"/>
    <hyperlink ref="I3626" r:id="rId1548" xr:uid="{00000000-0004-0000-0100-00000B060000}"/>
    <hyperlink ref="I3627" r:id="rId1549" xr:uid="{00000000-0004-0000-0100-00000C060000}"/>
    <hyperlink ref="I3628" r:id="rId1550" xr:uid="{00000000-0004-0000-0100-00000D060000}"/>
    <hyperlink ref="I3629" r:id="rId1551" xr:uid="{00000000-0004-0000-0100-00000E060000}"/>
    <hyperlink ref="I3630" r:id="rId1552" xr:uid="{00000000-0004-0000-0100-00000F060000}"/>
    <hyperlink ref="I3631" r:id="rId1553" xr:uid="{00000000-0004-0000-0100-000010060000}"/>
    <hyperlink ref="I3632" r:id="rId1554" xr:uid="{00000000-0004-0000-0100-000011060000}"/>
    <hyperlink ref="I3633" r:id="rId1555" xr:uid="{00000000-0004-0000-0100-000012060000}"/>
    <hyperlink ref="I3634" r:id="rId1556" xr:uid="{00000000-0004-0000-0100-000013060000}"/>
    <hyperlink ref="I3635" r:id="rId1557" xr:uid="{00000000-0004-0000-0100-000014060000}"/>
    <hyperlink ref="I3636" r:id="rId1558" xr:uid="{00000000-0004-0000-0100-000015060000}"/>
    <hyperlink ref="I3637" r:id="rId1559" xr:uid="{00000000-0004-0000-0100-000016060000}"/>
    <hyperlink ref="I3638" r:id="rId1560" xr:uid="{00000000-0004-0000-0100-000017060000}"/>
    <hyperlink ref="I3639" r:id="rId1561" xr:uid="{00000000-0004-0000-0100-000018060000}"/>
    <hyperlink ref="I3640" r:id="rId1562" xr:uid="{00000000-0004-0000-0100-000019060000}"/>
    <hyperlink ref="I3641" r:id="rId1563" xr:uid="{00000000-0004-0000-0100-00001A060000}"/>
    <hyperlink ref="I3642" r:id="rId1564" xr:uid="{00000000-0004-0000-0100-00001B060000}"/>
    <hyperlink ref="I3643" r:id="rId1565" xr:uid="{00000000-0004-0000-0100-00001C060000}"/>
    <hyperlink ref="I3644" r:id="rId1566" xr:uid="{00000000-0004-0000-0100-00001D060000}"/>
    <hyperlink ref="I3645" r:id="rId1567" xr:uid="{00000000-0004-0000-0100-00001E060000}"/>
    <hyperlink ref="I3646" r:id="rId1568" xr:uid="{00000000-0004-0000-0100-00001F060000}"/>
    <hyperlink ref="I3647" r:id="rId1569" xr:uid="{00000000-0004-0000-0100-000020060000}"/>
    <hyperlink ref="I3648" r:id="rId1570" xr:uid="{00000000-0004-0000-0100-000021060000}"/>
    <hyperlink ref="I3649" r:id="rId1571" xr:uid="{00000000-0004-0000-0100-000022060000}"/>
    <hyperlink ref="I3650" r:id="rId1572" xr:uid="{00000000-0004-0000-0100-000023060000}"/>
    <hyperlink ref="I3651" r:id="rId1573" xr:uid="{00000000-0004-0000-0100-000024060000}"/>
    <hyperlink ref="I3652" r:id="rId1574" xr:uid="{00000000-0004-0000-0100-000025060000}"/>
    <hyperlink ref="I3653" r:id="rId1575" xr:uid="{00000000-0004-0000-0100-000026060000}"/>
    <hyperlink ref="I3654" r:id="rId1576" xr:uid="{00000000-0004-0000-0100-000027060000}"/>
    <hyperlink ref="I3655" r:id="rId1577" xr:uid="{00000000-0004-0000-0100-000028060000}"/>
    <hyperlink ref="I3656" r:id="rId1578" xr:uid="{00000000-0004-0000-0100-000029060000}"/>
    <hyperlink ref="I3657" r:id="rId1579" xr:uid="{00000000-0004-0000-0100-00002A060000}"/>
    <hyperlink ref="I3658" r:id="rId1580" xr:uid="{00000000-0004-0000-0100-00002B060000}"/>
    <hyperlink ref="I3659" r:id="rId1581" xr:uid="{00000000-0004-0000-0100-00002C060000}"/>
    <hyperlink ref="I3660" r:id="rId1582" xr:uid="{00000000-0004-0000-0100-00002D060000}"/>
    <hyperlink ref="I3661" r:id="rId1583" xr:uid="{00000000-0004-0000-0100-00002E060000}"/>
    <hyperlink ref="I3662" r:id="rId1584" xr:uid="{00000000-0004-0000-0100-00002F060000}"/>
    <hyperlink ref="I3663" r:id="rId1585" xr:uid="{00000000-0004-0000-0100-000030060000}"/>
    <hyperlink ref="I3664" r:id="rId1586" xr:uid="{00000000-0004-0000-0100-000031060000}"/>
    <hyperlink ref="I3665" r:id="rId1587" xr:uid="{00000000-0004-0000-0100-000032060000}"/>
    <hyperlink ref="I3666" r:id="rId1588" xr:uid="{00000000-0004-0000-0100-000033060000}"/>
    <hyperlink ref="I3667" r:id="rId1589" xr:uid="{00000000-0004-0000-0100-000034060000}"/>
    <hyperlink ref="I3668" r:id="rId1590" xr:uid="{00000000-0004-0000-0100-000035060000}"/>
    <hyperlink ref="I3669" r:id="rId1591" xr:uid="{00000000-0004-0000-0100-000036060000}"/>
    <hyperlink ref="I3670" r:id="rId1592" xr:uid="{00000000-0004-0000-0100-000037060000}"/>
    <hyperlink ref="I3671" r:id="rId1593" xr:uid="{00000000-0004-0000-0100-000038060000}"/>
    <hyperlink ref="I3672" r:id="rId1594" xr:uid="{00000000-0004-0000-0100-000039060000}"/>
    <hyperlink ref="I3673" r:id="rId1595" xr:uid="{00000000-0004-0000-0100-00003A060000}"/>
    <hyperlink ref="I3674" r:id="rId1596" xr:uid="{00000000-0004-0000-0100-00003B060000}"/>
    <hyperlink ref="I3675" r:id="rId1597" xr:uid="{00000000-0004-0000-0100-00003C060000}"/>
    <hyperlink ref="I3676" r:id="rId1598" xr:uid="{00000000-0004-0000-0100-00003D060000}"/>
    <hyperlink ref="I3677" r:id="rId1599" xr:uid="{00000000-0004-0000-0100-00003E060000}"/>
    <hyperlink ref="I3678" r:id="rId1600" xr:uid="{00000000-0004-0000-0100-00003F060000}"/>
    <hyperlink ref="I3679" r:id="rId1601" xr:uid="{00000000-0004-0000-0100-000040060000}"/>
    <hyperlink ref="I3680" r:id="rId1602" xr:uid="{00000000-0004-0000-0100-000041060000}"/>
    <hyperlink ref="I3681" r:id="rId1603" xr:uid="{00000000-0004-0000-0100-000042060000}"/>
    <hyperlink ref="I3682" r:id="rId1604" xr:uid="{00000000-0004-0000-0100-000043060000}"/>
    <hyperlink ref="I3683" r:id="rId1605" xr:uid="{00000000-0004-0000-0100-000044060000}"/>
    <hyperlink ref="I3684" r:id="rId1606" xr:uid="{00000000-0004-0000-0100-000045060000}"/>
    <hyperlink ref="I3685" r:id="rId1607" xr:uid="{00000000-0004-0000-0100-000046060000}"/>
    <hyperlink ref="I3686" r:id="rId1608" xr:uid="{00000000-0004-0000-0100-000047060000}"/>
    <hyperlink ref="I3687" r:id="rId1609" xr:uid="{00000000-0004-0000-0100-000048060000}"/>
    <hyperlink ref="I3688" r:id="rId1610" xr:uid="{00000000-0004-0000-0100-000049060000}"/>
    <hyperlink ref="I3689" r:id="rId1611" xr:uid="{00000000-0004-0000-0100-00004A060000}"/>
    <hyperlink ref="I3690" r:id="rId1612" xr:uid="{00000000-0004-0000-0100-00004B060000}"/>
    <hyperlink ref="I3691" r:id="rId1613" xr:uid="{00000000-0004-0000-0100-00004C060000}"/>
    <hyperlink ref="I3692" r:id="rId1614" xr:uid="{00000000-0004-0000-0100-00004D060000}"/>
    <hyperlink ref="I3693" r:id="rId1615" xr:uid="{00000000-0004-0000-0100-00004E060000}"/>
    <hyperlink ref="I3694" r:id="rId1616" xr:uid="{00000000-0004-0000-0100-00004F060000}"/>
    <hyperlink ref="I3695" r:id="rId1617" xr:uid="{00000000-0004-0000-0100-000050060000}"/>
    <hyperlink ref="I3696" r:id="rId1618" xr:uid="{00000000-0004-0000-0100-000051060000}"/>
    <hyperlink ref="I3697" r:id="rId1619" xr:uid="{00000000-0004-0000-0100-000052060000}"/>
    <hyperlink ref="I3698" r:id="rId1620" xr:uid="{00000000-0004-0000-0100-000053060000}"/>
    <hyperlink ref="I3699" r:id="rId1621" xr:uid="{00000000-0004-0000-0100-000054060000}"/>
    <hyperlink ref="I3700" r:id="rId1622" xr:uid="{00000000-0004-0000-0100-000055060000}"/>
    <hyperlink ref="I3701" r:id="rId1623" xr:uid="{00000000-0004-0000-0100-000056060000}"/>
    <hyperlink ref="I3702" r:id="rId1624" xr:uid="{00000000-0004-0000-0100-000057060000}"/>
    <hyperlink ref="I3703" r:id="rId1625" xr:uid="{00000000-0004-0000-0100-000058060000}"/>
    <hyperlink ref="I3704" r:id="rId1626" xr:uid="{00000000-0004-0000-0100-000059060000}"/>
    <hyperlink ref="I3705" r:id="rId1627" xr:uid="{00000000-0004-0000-0100-00005A060000}"/>
    <hyperlink ref="I3706" r:id="rId1628" xr:uid="{00000000-0004-0000-0100-00005B060000}"/>
    <hyperlink ref="I3707" r:id="rId1629" xr:uid="{00000000-0004-0000-0100-00005C060000}"/>
    <hyperlink ref="I3708" r:id="rId1630" xr:uid="{00000000-0004-0000-0100-00005D060000}"/>
    <hyperlink ref="I3709" r:id="rId1631" xr:uid="{00000000-0004-0000-0100-00005E060000}"/>
    <hyperlink ref="I3710" r:id="rId1632" xr:uid="{00000000-0004-0000-0100-00005F060000}"/>
    <hyperlink ref="I3711" r:id="rId1633" xr:uid="{00000000-0004-0000-0100-000060060000}"/>
    <hyperlink ref="I3712" r:id="rId1634" xr:uid="{00000000-0004-0000-0100-000061060000}"/>
    <hyperlink ref="I3713" r:id="rId1635" xr:uid="{00000000-0004-0000-0100-000062060000}"/>
    <hyperlink ref="I3714" r:id="rId1636" xr:uid="{00000000-0004-0000-0100-000063060000}"/>
    <hyperlink ref="I3715" r:id="rId1637" xr:uid="{00000000-0004-0000-0100-000064060000}"/>
    <hyperlink ref="I3716" r:id="rId1638" xr:uid="{00000000-0004-0000-0100-000065060000}"/>
    <hyperlink ref="I3717" r:id="rId1639" xr:uid="{00000000-0004-0000-0100-000066060000}"/>
    <hyperlink ref="I3718" r:id="rId1640" xr:uid="{00000000-0004-0000-0100-000067060000}"/>
    <hyperlink ref="I3719" r:id="rId1641" xr:uid="{00000000-0004-0000-0100-000068060000}"/>
    <hyperlink ref="I3720" r:id="rId1642" xr:uid="{00000000-0004-0000-0100-000069060000}"/>
    <hyperlink ref="I3721" r:id="rId1643" xr:uid="{00000000-0004-0000-0100-00006A060000}"/>
    <hyperlink ref="I3722" r:id="rId1644" xr:uid="{00000000-0004-0000-0100-00006B060000}"/>
    <hyperlink ref="I3723" r:id="rId1645" xr:uid="{00000000-0004-0000-0100-00006C060000}"/>
    <hyperlink ref="I3724" r:id="rId1646" xr:uid="{00000000-0004-0000-0100-00006D060000}"/>
    <hyperlink ref="I3725" r:id="rId1647" xr:uid="{00000000-0004-0000-0100-00006E060000}"/>
    <hyperlink ref="I3726" r:id="rId1648" xr:uid="{00000000-0004-0000-0100-00006F060000}"/>
    <hyperlink ref="I3727" r:id="rId1649" xr:uid="{00000000-0004-0000-0100-000070060000}"/>
    <hyperlink ref="I3728" r:id="rId1650" xr:uid="{00000000-0004-0000-0100-000071060000}"/>
    <hyperlink ref="I3729" r:id="rId1651" xr:uid="{00000000-0004-0000-0100-000072060000}"/>
    <hyperlink ref="I3730" r:id="rId1652" xr:uid="{00000000-0004-0000-0100-000073060000}"/>
    <hyperlink ref="I3731" r:id="rId1653" xr:uid="{00000000-0004-0000-0100-000074060000}"/>
    <hyperlink ref="I3732" r:id="rId1654" xr:uid="{00000000-0004-0000-0100-000075060000}"/>
    <hyperlink ref="I3733" r:id="rId1655" xr:uid="{00000000-0004-0000-0100-000076060000}"/>
    <hyperlink ref="I3734" r:id="rId1656" xr:uid="{00000000-0004-0000-0100-000077060000}"/>
    <hyperlink ref="I3735" r:id="rId1657" xr:uid="{00000000-0004-0000-0100-000078060000}"/>
    <hyperlink ref="I3736" r:id="rId1658" xr:uid="{00000000-0004-0000-0100-000079060000}"/>
    <hyperlink ref="I3737" r:id="rId1659" xr:uid="{00000000-0004-0000-0100-00007A060000}"/>
    <hyperlink ref="I3738" r:id="rId1660" xr:uid="{00000000-0004-0000-0100-00007B060000}"/>
    <hyperlink ref="I3739" r:id="rId1661" xr:uid="{00000000-0004-0000-0100-00007C060000}"/>
    <hyperlink ref="I3740" r:id="rId1662" xr:uid="{00000000-0004-0000-0100-00007D060000}"/>
    <hyperlink ref="I3741" r:id="rId1663" xr:uid="{00000000-0004-0000-0100-00007E060000}"/>
    <hyperlink ref="I3742" r:id="rId1664" xr:uid="{00000000-0004-0000-0100-00007F060000}"/>
    <hyperlink ref="I3743" r:id="rId1665" xr:uid="{00000000-0004-0000-0100-000080060000}"/>
    <hyperlink ref="I3744" r:id="rId1666" xr:uid="{00000000-0004-0000-0100-000081060000}"/>
    <hyperlink ref="I3745" r:id="rId1667" xr:uid="{00000000-0004-0000-0100-000082060000}"/>
    <hyperlink ref="I3746" r:id="rId1668" xr:uid="{00000000-0004-0000-0100-000083060000}"/>
    <hyperlink ref="I3747" r:id="rId1669" xr:uid="{00000000-0004-0000-0100-000084060000}"/>
    <hyperlink ref="I3748" r:id="rId1670" xr:uid="{00000000-0004-0000-0100-000085060000}"/>
    <hyperlink ref="I3749" r:id="rId1671" xr:uid="{00000000-0004-0000-0100-000086060000}"/>
    <hyperlink ref="I3750" r:id="rId1672" xr:uid="{00000000-0004-0000-0100-000087060000}"/>
    <hyperlink ref="I3751" r:id="rId1673" xr:uid="{00000000-0004-0000-0100-000088060000}"/>
    <hyperlink ref="I3752" r:id="rId1674" xr:uid="{00000000-0004-0000-0100-000089060000}"/>
    <hyperlink ref="I3753" r:id="rId1675" xr:uid="{00000000-0004-0000-0100-00008A060000}"/>
    <hyperlink ref="I3754" r:id="rId1676" xr:uid="{00000000-0004-0000-0100-00008B060000}"/>
    <hyperlink ref="I3755" r:id="rId1677" xr:uid="{00000000-0004-0000-0100-00008C060000}"/>
    <hyperlink ref="I3756" r:id="rId1678" xr:uid="{00000000-0004-0000-0100-00008D060000}"/>
    <hyperlink ref="I3757" r:id="rId1679" xr:uid="{00000000-0004-0000-0100-00008E060000}"/>
    <hyperlink ref="I3758" r:id="rId1680" xr:uid="{00000000-0004-0000-0100-00008F060000}"/>
    <hyperlink ref="I3759" r:id="rId1681" xr:uid="{00000000-0004-0000-0100-000090060000}"/>
    <hyperlink ref="I3760" r:id="rId1682" xr:uid="{00000000-0004-0000-0100-000091060000}"/>
    <hyperlink ref="I3761" r:id="rId1683" xr:uid="{00000000-0004-0000-0100-000092060000}"/>
    <hyperlink ref="I3762" r:id="rId1684" xr:uid="{00000000-0004-0000-0100-000093060000}"/>
    <hyperlink ref="I3763" r:id="rId1685" xr:uid="{00000000-0004-0000-0100-000094060000}"/>
    <hyperlink ref="I3764" r:id="rId1686" xr:uid="{00000000-0004-0000-0100-000095060000}"/>
    <hyperlink ref="I3765" r:id="rId1687" xr:uid="{00000000-0004-0000-0100-000096060000}"/>
    <hyperlink ref="I3766" r:id="rId1688" xr:uid="{00000000-0004-0000-0100-000097060000}"/>
    <hyperlink ref="I3767" r:id="rId1689" xr:uid="{00000000-0004-0000-0100-000098060000}"/>
    <hyperlink ref="I3768" r:id="rId1690" xr:uid="{00000000-0004-0000-0100-000099060000}"/>
    <hyperlink ref="I3769" r:id="rId1691" xr:uid="{00000000-0004-0000-0100-00009A060000}"/>
    <hyperlink ref="I3770" r:id="rId1692" xr:uid="{00000000-0004-0000-0100-00009B060000}"/>
    <hyperlink ref="I3771" r:id="rId1693" xr:uid="{00000000-0004-0000-0100-00009C060000}"/>
    <hyperlink ref="I3772" r:id="rId1694" xr:uid="{00000000-0004-0000-0100-00009D060000}"/>
    <hyperlink ref="I3773" r:id="rId1695" xr:uid="{00000000-0004-0000-0100-00009E060000}"/>
    <hyperlink ref="I3774" r:id="rId1696" xr:uid="{00000000-0004-0000-0100-00009F060000}"/>
    <hyperlink ref="I3775" r:id="rId1697" xr:uid="{00000000-0004-0000-0100-0000A0060000}"/>
    <hyperlink ref="I3776" r:id="rId1698" xr:uid="{00000000-0004-0000-0100-0000A1060000}"/>
    <hyperlink ref="I3777" r:id="rId1699" xr:uid="{00000000-0004-0000-0100-0000A2060000}"/>
    <hyperlink ref="I3778" r:id="rId1700" xr:uid="{00000000-0004-0000-0100-0000A3060000}"/>
    <hyperlink ref="I3779" r:id="rId1701" xr:uid="{00000000-0004-0000-0100-0000A4060000}"/>
    <hyperlink ref="I3780" r:id="rId1702" xr:uid="{00000000-0004-0000-0100-0000A5060000}"/>
    <hyperlink ref="I3781" r:id="rId1703" xr:uid="{00000000-0004-0000-0100-0000A6060000}"/>
    <hyperlink ref="I3782" r:id="rId1704" xr:uid="{00000000-0004-0000-0100-0000A7060000}"/>
    <hyperlink ref="I3783" r:id="rId1705" xr:uid="{00000000-0004-0000-0100-0000A8060000}"/>
    <hyperlink ref="I3784" r:id="rId1706" xr:uid="{00000000-0004-0000-0100-0000A9060000}"/>
    <hyperlink ref="I3785" r:id="rId1707" xr:uid="{00000000-0004-0000-0100-0000AA060000}"/>
    <hyperlink ref="I3786" r:id="rId1708" xr:uid="{00000000-0004-0000-0100-0000AB060000}"/>
    <hyperlink ref="I3787" r:id="rId1709" xr:uid="{00000000-0004-0000-0100-0000AC060000}"/>
    <hyperlink ref="I3788" r:id="rId1710" xr:uid="{00000000-0004-0000-0100-0000AD060000}"/>
    <hyperlink ref="I3789" r:id="rId1711" xr:uid="{00000000-0004-0000-0100-0000AE060000}"/>
    <hyperlink ref="I3790" r:id="rId1712" xr:uid="{00000000-0004-0000-0100-0000AF060000}"/>
    <hyperlink ref="I3791" r:id="rId1713" xr:uid="{00000000-0004-0000-0100-0000B0060000}"/>
    <hyperlink ref="I3792" r:id="rId1714" xr:uid="{00000000-0004-0000-0100-0000B1060000}"/>
    <hyperlink ref="I3793" r:id="rId1715" xr:uid="{00000000-0004-0000-0100-0000B2060000}"/>
    <hyperlink ref="I3794" r:id="rId1716" xr:uid="{00000000-0004-0000-0100-0000B3060000}"/>
    <hyperlink ref="I3795" r:id="rId1717" xr:uid="{00000000-0004-0000-0100-0000B4060000}"/>
    <hyperlink ref="I3796" r:id="rId1718" xr:uid="{00000000-0004-0000-0100-0000B5060000}"/>
    <hyperlink ref="I3797" r:id="rId1719" xr:uid="{00000000-0004-0000-0100-0000B6060000}"/>
    <hyperlink ref="I3798" r:id="rId1720" xr:uid="{00000000-0004-0000-0100-0000B7060000}"/>
    <hyperlink ref="I3799" r:id="rId1721" xr:uid="{00000000-0004-0000-0100-0000B8060000}"/>
    <hyperlink ref="I3800" r:id="rId1722" xr:uid="{00000000-0004-0000-0100-0000B9060000}"/>
    <hyperlink ref="I3801" r:id="rId1723" xr:uid="{00000000-0004-0000-0100-0000BA060000}"/>
    <hyperlink ref="I3802" r:id="rId1724" xr:uid="{00000000-0004-0000-0100-0000BB060000}"/>
    <hyperlink ref="I3803" r:id="rId1725" xr:uid="{00000000-0004-0000-0100-0000BC060000}"/>
    <hyperlink ref="I3804" r:id="rId1726" xr:uid="{00000000-0004-0000-0100-0000BD060000}"/>
    <hyperlink ref="I3805" r:id="rId1727" xr:uid="{00000000-0004-0000-0100-0000BE060000}"/>
    <hyperlink ref="I3806" r:id="rId1728" xr:uid="{00000000-0004-0000-0100-0000BF060000}"/>
    <hyperlink ref="I3807" r:id="rId1729" xr:uid="{00000000-0004-0000-0100-0000C0060000}"/>
    <hyperlink ref="I3808" r:id="rId1730" xr:uid="{00000000-0004-0000-0100-0000C1060000}"/>
    <hyperlink ref="I3809" r:id="rId1731" xr:uid="{00000000-0004-0000-0100-0000C2060000}"/>
    <hyperlink ref="I3810" r:id="rId1732" xr:uid="{00000000-0004-0000-0100-0000C3060000}"/>
    <hyperlink ref="I3811" r:id="rId1733" xr:uid="{00000000-0004-0000-0100-0000C4060000}"/>
    <hyperlink ref="I3812" r:id="rId1734" xr:uid="{00000000-0004-0000-0100-0000C5060000}"/>
    <hyperlink ref="I3813" r:id="rId1735" xr:uid="{00000000-0004-0000-0100-0000C6060000}"/>
    <hyperlink ref="I3814" r:id="rId1736" xr:uid="{00000000-0004-0000-0100-0000C7060000}"/>
    <hyperlink ref="I3815" r:id="rId1737" xr:uid="{00000000-0004-0000-0100-0000C8060000}"/>
    <hyperlink ref="I3816" r:id="rId1738" xr:uid="{00000000-0004-0000-0100-0000C9060000}"/>
    <hyperlink ref="I3817" r:id="rId1739" xr:uid="{00000000-0004-0000-0100-0000CA060000}"/>
    <hyperlink ref="I3818" r:id="rId1740" xr:uid="{00000000-0004-0000-0100-0000CB060000}"/>
    <hyperlink ref="I3819" r:id="rId1741" xr:uid="{00000000-0004-0000-0100-0000CC060000}"/>
    <hyperlink ref="I3820" r:id="rId1742" xr:uid="{00000000-0004-0000-0100-0000CD060000}"/>
    <hyperlink ref="I3821" r:id="rId1743" xr:uid="{00000000-0004-0000-0100-0000CE060000}"/>
    <hyperlink ref="I3822" r:id="rId1744" xr:uid="{00000000-0004-0000-0100-0000CF060000}"/>
    <hyperlink ref="I3823" r:id="rId1745" xr:uid="{00000000-0004-0000-0100-0000D0060000}"/>
    <hyperlink ref="I3824" r:id="rId1746" xr:uid="{00000000-0004-0000-0100-0000D1060000}"/>
    <hyperlink ref="I3825" r:id="rId1747" xr:uid="{00000000-0004-0000-0100-0000D2060000}"/>
    <hyperlink ref="I3826" r:id="rId1748" xr:uid="{00000000-0004-0000-0100-0000D3060000}"/>
    <hyperlink ref="I3827" r:id="rId1749" xr:uid="{00000000-0004-0000-0100-0000D4060000}"/>
    <hyperlink ref="I3828" r:id="rId1750" xr:uid="{00000000-0004-0000-0100-0000D5060000}"/>
    <hyperlink ref="I3829" r:id="rId1751" xr:uid="{00000000-0004-0000-0100-0000D6060000}"/>
    <hyperlink ref="I3830" r:id="rId1752" xr:uid="{00000000-0004-0000-0100-0000D7060000}"/>
    <hyperlink ref="I3831" r:id="rId1753" xr:uid="{00000000-0004-0000-0100-0000D8060000}"/>
    <hyperlink ref="I3832" r:id="rId1754" xr:uid="{00000000-0004-0000-0100-0000D9060000}"/>
    <hyperlink ref="I3833" r:id="rId1755" xr:uid="{00000000-0004-0000-0100-0000DA060000}"/>
    <hyperlink ref="I3834" r:id="rId1756" xr:uid="{00000000-0004-0000-0100-0000DB060000}"/>
    <hyperlink ref="I3835" r:id="rId1757" xr:uid="{00000000-0004-0000-0100-0000DC060000}"/>
    <hyperlink ref="I3836" r:id="rId1758" xr:uid="{00000000-0004-0000-0100-0000DD060000}"/>
    <hyperlink ref="I3837" r:id="rId1759" xr:uid="{00000000-0004-0000-0100-0000DE060000}"/>
    <hyperlink ref="I3838" r:id="rId1760" xr:uid="{00000000-0004-0000-0100-0000DF060000}"/>
    <hyperlink ref="I3839" r:id="rId1761" xr:uid="{00000000-0004-0000-0100-0000E0060000}"/>
    <hyperlink ref="I3840" r:id="rId1762" xr:uid="{00000000-0004-0000-0100-0000E1060000}"/>
    <hyperlink ref="I3841" r:id="rId1763" xr:uid="{00000000-0004-0000-0100-0000E2060000}"/>
    <hyperlink ref="I3842" r:id="rId1764" xr:uid="{00000000-0004-0000-0100-0000E3060000}"/>
    <hyperlink ref="I3843" r:id="rId1765" xr:uid="{00000000-0004-0000-0100-0000E4060000}"/>
    <hyperlink ref="I3844" r:id="rId1766" xr:uid="{00000000-0004-0000-0100-0000E5060000}"/>
    <hyperlink ref="I3845" r:id="rId1767" xr:uid="{00000000-0004-0000-0100-0000E6060000}"/>
    <hyperlink ref="I3846" r:id="rId1768" xr:uid="{00000000-0004-0000-0100-0000E7060000}"/>
    <hyperlink ref="I3847" r:id="rId1769" xr:uid="{00000000-0004-0000-0100-0000E8060000}"/>
    <hyperlink ref="I3848" r:id="rId1770" xr:uid="{00000000-0004-0000-0100-0000E9060000}"/>
    <hyperlink ref="I3849" r:id="rId1771" xr:uid="{00000000-0004-0000-0100-0000EA060000}"/>
    <hyperlink ref="I3850" r:id="rId1772" xr:uid="{00000000-0004-0000-0100-0000EB060000}"/>
    <hyperlink ref="I3851" r:id="rId1773" xr:uid="{00000000-0004-0000-0100-0000EC060000}"/>
    <hyperlink ref="I3852" r:id="rId1774" xr:uid="{00000000-0004-0000-0100-0000ED060000}"/>
    <hyperlink ref="I3853" r:id="rId1775" xr:uid="{00000000-0004-0000-0100-0000EE060000}"/>
    <hyperlink ref="I3854" r:id="rId1776" xr:uid="{00000000-0004-0000-0100-0000EF060000}"/>
    <hyperlink ref="I3855" r:id="rId1777" xr:uid="{00000000-0004-0000-0100-0000F0060000}"/>
    <hyperlink ref="I3856" r:id="rId1778" xr:uid="{00000000-0004-0000-0100-0000F1060000}"/>
    <hyperlink ref="I3857" r:id="rId1779" xr:uid="{00000000-0004-0000-0100-0000F2060000}"/>
    <hyperlink ref="I3858" r:id="rId1780" xr:uid="{00000000-0004-0000-0100-0000F3060000}"/>
    <hyperlink ref="I3859" r:id="rId1781" xr:uid="{00000000-0004-0000-0100-0000F4060000}"/>
    <hyperlink ref="I3860" r:id="rId1782" xr:uid="{00000000-0004-0000-0100-0000F5060000}"/>
    <hyperlink ref="I3861" r:id="rId1783" xr:uid="{00000000-0004-0000-0100-0000F6060000}"/>
    <hyperlink ref="I3862" r:id="rId1784" xr:uid="{00000000-0004-0000-0100-0000F7060000}"/>
    <hyperlink ref="I3863" r:id="rId1785" xr:uid="{00000000-0004-0000-0100-0000F8060000}"/>
    <hyperlink ref="I3864" r:id="rId1786" xr:uid="{00000000-0004-0000-0100-0000F9060000}"/>
    <hyperlink ref="I3865" r:id="rId1787" xr:uid="{00000000-0004-0000-0100-0000FA060000}"/>
    <hyperlink ref="I3866" r:id="rId1788" xr:uid="{00000000-0004-0000-0100-0000FB060000}"/>
    <hyperlink ref="I3867" r:id="rId1789" xr:uid="{00000000-0004-0000-0100-0000FC060000}"/>
    <hyperlink ref="I3868" r:id="rId1790" xr:uid="{00000000-0004-0000-0100-0000FD060000}"/>
    <hyperlink ref="I3869" r:id="rId1791" xr:uid="{00000000-0004-0000-0100-0000FE060000}"/>
    <hyperlink ref="I3870" r:id="rId1792" xr:uid="{00000000-0004-0000-0100-0000FF060000}"/>
    <hyperlink ref="I3871" r:id="rId1793" xr:uid="{00000000-0004-0000-0100-000000070000}"/>
    <hyperlink ref="I3872" r:id="rId1794" xr:uid="{00000000-0004-0000-0100-000001070000}"/>
    <hyperlink ref="I3873" r:id="rId1795" xr:uid="{00000000-0004-0000-0100-000002070000}"/>
    <hyperlink ref="I3874" r:id="rId1796" xr:uid="{00000000-0004-0000-0100-000003070000}"/>
    <hyperlink ref="I3875" r:id="rId1797" xr:uid="{00000000-0004-0000-0100-000004070000}"/>
    <hyperlink ref="I3876" r:id="rId1798" xr:uid="{00000000-0004-0000-0100-000005070000}"/>
    <hyperlink ref="I3877" r:id="rId1799" xr:uid="{00000000-0004-0000-0100-000006070000}"/>
    <hyperlink ref="I3878" r:id="rId1800" xr:uid="{00000000-0004-0000-0100-000007070000}"/>
    <hyperlink ref="I3879" r:id="rId1801" xr:uid="{00000000-0004-0000-0100-000008070000}"/>
    <hyperlink ref="I3880" r:id="rId1802" xr:uid="{00000000-0004-0000-0100-000009070000}"/>
    <hyperlink ref="I3881" r:id="rId1803" xr:uid="{00000000-0004-0000-0100-00000A070000}"/>
    <hyperlink ref="I3882" r:id="rId1804" xr:uid="{00000000-0004-0000-0100-00000B070000}"/>
    <hyperlink ref="I3883" r:id="rId1805" xr:uid="{00000000-0004-0000-0100-00000C070000}"/>
    <hyperlink ref="I3884" r:id="rId1806" xr:uid="{00000000-0004-0000-0100-00000D070000}"/>
    <hyperlink ref="I3885" r:id="rId1807" xr:uid="{00000000-0004-0000-0100-00000E070000}"/>
    <hyperlink ref="I3886" r:id="rId1808" xr:uid="{00000000-0004-0000-0100-00000F070000}"/>
    <hyperlink ref="I3887" r:id="rId1809" xr:uid="{00000000-0004-0000-0100-000010070000}"/>
    <hyperlink ref="I3888" r:id="rId1810" xr:uid="{00000000-0004-0000-0100-000011070000}"/>
    <hyperlink ref="I3889" r:id="rId1811" xr:uid="{00000000-0004-0000-0100-000012070000}"/>
    <hyperlink ref="I3890" r:id="rId1812" xr:uid="{00000000-0004-0000-0100-000013070000}"/>
    <hyperlink ref="I3891" r:id="rId1813" xr:uid="{00000000-0004-0000-0100-000014070000}"/>
    <hyperlink ref="I3892" r:id="rId1814" xr:uid="{00000000-0004-0000-0100-000015070000}"/>
    <hyperlink ref="I3893" r:id="rId1815" xr:uid="{00000000-0004-0000-0100-000016070000}"/>
    <hyperlink ref="I3894" r:id="rId1816" xr:uid="{00000000-0004-0000-0100-000017070000}"/>
    <hyperlink ref="I3895" r:id="rId1817" xr:uid="{00000000-0004-0000-0100-000018070000}"/>
    <hyperlink ref="I3896" r:id="rId1818" xr:uid="{00000000-0004-0000-0100-000019070000}"/>
    <hyperlink ref="I3897" r:id="rId1819" xr:uid="{00000000-0004-0000-0100-00001A070000}"/>
    <hyperlink ref="I3898" r:id="rId1820" xr:uid="{00000000-0004-0000-0100-00001B070000}"/>
    <hyperlink ref="I3899" r:id="rId1821" xr:uid="{00000000-0004-0000-0100-00001C070000}"/>
    <hyperlink ref="I3900" r:id="rId1822" xr:uid="{00000000-0004-0000-0100-00001D070000}"/>
    <hyperlink ref="I3901" r:id="rId1823" xr:uid="{00000000-0004-0000-0100-00001E070000}"/>
    <hyperlink ref="I3902" r:id="rId1824" xr:uid="{00000000-0004-0000-0100-00001F070000}"/>
    <hyperlink ref="I3903" r:id="rId1825" xr:uid="{00000000-0004-0000-0100-000020070000}"/>
    <hyperlink ref="I3904" r:id="rId1826" xr:uid="{00000000-0004-0000-0100-000021070000}"/>
    <hyperlink ref="I3905" r:id="rId1827" xr:uid="{00000000-0004-0000-0100-000022070000}"/>
    <hyperlink ref="I3906" r:id="rId1828" xr:uid="{00000000-0004-0000-0100-000023070000}"/>
    <hyperlink ref="I3907" r:id="rId1829" xr:uid="{00000000-0004-0000-0100-000024070000}"/>
    <hyperlink ref="I3908" r:id="rId1830" xr:uid="{00000000-0004-0000-0100-000025070000}"/>
    <hyperlink ref="I3909" r:id="rId1831" xr:uid="{00000000-0004-0000-0100-000026070000}"/>
    <hyperlink ref="I3910" r:id="rId1832" xr:uid="{00000000-0004-0000-0100-000027070000}"/>
    <hyperlink ref="I3911" r:id="rId1833" xr:uid="{00000000-0004-0000-0100-000028070000}"/>
    <hyperlink ref="I3912" r:id="rId1834" xr:uid="{00000000-0004-0000-0100-000029070000}"/>
    <hyperlink ref="I3913" r:id="rId1835" xr:uid="{00000000-0004-0000-0100-00002A070000}"/>
    <hyperlink ref="I3914" r:id="rId1836" xr:uid="{00000000-0004-0000-0100-00002B070000}"/>
    <hyperlink ref="I3915" r:id="rId1837" xr:uid="{00000000-0004-0000-0100-00002C070000}"/>
    <hyperlink ref="I3916" r:id="rId1838" xr:uid="{00000000-0004-0000-0100-00002D070000}"/>
    <hyperlink ref="I3917" r:id="rId1839" xr:uid="{00000000-0004-0000-0100-00002E070000}"/>
    <hyperlink ref="I3918" r:id="rId1840" xr:uid="{00000000-0004-0000-0100-00002F070000}"/>
    <hyperlink ref="I3919" r:id="rId1841" xr:uid="{00000000-0004-0000-0100-000030070000}"/>
    <hyperlink ref="I3920" r:id="rId1842" xr:uid="{00000000-0004-0000-0100-000031070000}"/>
    <hyperlink ref="I3921" r:id="rId1843" xr:uid="{00000000-0004-0000-0100-000032070000}"/>
    <hyperlink ref="I3922" r:id="rId1844" xr:uid="{00000000-0004-0000-0100-000033070000}"/>
    <hyperlink ref="I3923" r:id="rId1845" xr:uid="{00000000-0004-0000-0100-000034070000}"/>
    <hyperlink ref="I3924" r:id="rId1846" xr:uid="{00000000-0004-0000-0100-000035070000}"/>
    <hyperlink ref="I3925" r:id="rId1847" xr:uid="{00000000-0004-0000-0100-000036070000}"/>
    <hyperlink ref="I3926" r:id="rId1848" xr:uid="{00000000-0004-0000-0100-000037070000}"/>
    <hyperlink ref="I3927" r:id="rId1849" xr:uid="{00000000-0004-0000-0100-000038070000}"/>
    <hyperlink ref="I3928" r:id="rId1850" xr:uid="{00000000-0004-0000-0100-000039070000}"/>
    <hyperlink ref="I3929" r:id="rId1851" xr:uid="{00000000-0004-0000-0100-00003A070000}"/>
    <hyperlink ref="I3930" r:id="rId1852" xr:uid="{00000000-0004-0000-0100-00003B070000}"/>
    <hyperlink ref="I3931" r:id="rId1853" xr:uid="{00000000-0004-0000-0100-00003C070000}"/>
    <hyperlink ref="I3932" r:id="rId1854" xr:uid="{00000000-0004-0000-0100-00003D070000}"/>
    <hyperlink ref="I3933" r:id="rId1855" xr:uid="{00000000-0004-0000-0100-00003E070000}"/>
    <hyperlink ref="I3934" r:id="rId1856" xr:uid="{00000000-0004-0000-0100-00003F070000}"/>
    <hyperlink ref="I3935" r:id="rId1857" xr:uid="{00000000-0004-0000-0100-000040070000}"/>
    <hyperlink ref="I3936" r:id="rId1858" xr:uid="{00000000-0004-0000-0100-000041070000}"/>
    <hyperlink ref="I3937" r:id="rId1859" xr:uid="{00000000-0004-0000-0100-000042070000}"/>
    <hyperlink ref="I3938" r:id="rId1860" xr:uid="{00000000-0004-0000-0100-000043070000}"/>
    <hyperlink ref="I3939" r:id="rId1861" xr:uid="{00000000-0004-0000-0100-000044070000}"/>
    <hyperlink ref="I3940" r:id="rId1862" xr:uid="{00000000-0004-0000-0100-000045070000}"/>
    <hyperlink ref="I3941" r:id="rId1863" xr:uid="{00000000-0004-0000-0100-000046070000}"/>
    <hyperlink ref="I3942" r:id="rId1864" xr:uid="{00000000-0004-0000-0100-000047070000}"/>
    <hyperlink ref="I3943" r:id="rId1865" xr:uid="{00000000-0004-0000-0100-000048070000}"/>
    <hyperlink ref="I3944" r:id="rId1866" xr:uid="{00000000-0004-0000-0100-000049070000}"/>
    <hyperlink ref="I3945" r:id="rId1867" xr:uid="{00000000-0004-0000-0100-00004A070000}"/>
    <hyperlink ref="I3946" r:id="rId1868" xr:uid="{00000000-0004-0000-0100-00004B070000}"/>
    <hyperlink ref="I3947" r:id="rId1869" xr:uid="{00000000-0004-0000-0100-00004C070000}"/>
    <hyperlink ref="I3948" r:id="rId1870" xr:uid="{00000000-0004-0000-0100-00004D070000}"/>
    <hyperlink ref="I3949" r:id="rId1871" xr:uid="{00000000-0004-0000-0100-00004E070000}"/>
    <hyperlink ref="I3950" r:id="rId1872" xr:uid="{00000000-0004-0000-0100-00004F070000}"/>
    <hyperlink ref="I3951" r:id="rId1873" xr:uid="{00000000-0004-0000-0100-000050070000}"/>
    <hyperlink ref="I3952" r:id="rId1874" xr:uid="{00000000-0004-0000-0100-000051070000}"/>
    <hyperlink ref="I3953" r:id="rId1875" xr:uid="{00000000-0004-0000-0100-000052070000}"/>
    <hyperlink ref="I3954" r:id="rId1876" xr:uid="{00000000-0004-0000-0100-000053070000}"/>
    <hyperlink ref="I3955" r:id="rId1877" xr:uid="{00000000-0004-0000-0100-000054070000}"/>
    <hyperlink ref="I3956" r:id="rId1878" xr:uid="{00000000-0004-0000-0100-000055070000}"/>
    <hyperlink ref="I3957" r:id="rId1879" xr:uid="{00000000-0004-0000-0100-000056070000}"/>
    <hyperlink ref="I3958" r:id="rId1880" xr:uid="{00000000-0004-0000-0100-000057070000}"/>
    <hyperlink ref="I3959" r:id="rId1881" xr:uid="{00000000-0004-0000-0100-000058070000}"/>
    <hyperlink ref="I3960" r:id="rId1882" xr:uid="{00000000-0004-0000-0100-000059070000}"/>
    <hyperlink ref="I3961" r:id="rId1883" xr:uid="{00000000-0004-0000-0100-00005A070000}"/>
    <hyperlink ref="I3962" r:id="rId1884" xr:uid="{00000000-0004-0000-0100-00005B070000}"/>
    <hyperlink ref="I3963" r:id="rId1885" xr:uid="{00000000-0004-0000-0100-00005C070000}"/>
    <hyperlink ref="I3964" r:id="rId1886" xr:uid="{00000000-0004-0000-0100-00005D070000}"/>
    <hyperlink ref="I3965" r:id="rId1887" xr:uid="{00000000-0004-0000-0100-00005E070000}"/>
    <hyperlink ref="I3966" r:id="rId1888" xr:uid="{00000000-0004-0000-0100-00005F070000}"/>
    <hyperlink ref="I3967" r:id="rId1889" xr:uid="{00000000-0004-0000-0100-000060070000}"/>
    <hyperlink ref="I3968" r:id="rId1890" xr:uid="{00000000-0004-0000-0100-000061070000}"/>
    <hyperlink ref="I3969" r:id="rId1891" xr:uid="{00000000-0004-0000-0100-000062070000}"/>
    <hyperlink ref="I3970" r:id="rId1892" xr:uid="{00000000-0004-0000-0100-000063070000}"/>
    <hyperlink ref="I3971" r:id="rId1893" xr:uid="{00000000-0004-0000-0100-000064070000}"/>
    <hyperlink ref="I3972" r:id="rId1894" xr:uid="{00000000-0004-0000-0100-000065070000}"/>
    <hyperlink ref="I3973" r:id="rId1895" xr:uid="{00000000-0004-0000-0100-000066070000}"/>
    <hyperlink ref="I3974" r:id="rId1896" xr:uid="{00000000-0004-0000-0100-000067070000}"/>
    <hyperlink ref="I3975" r:id="rId1897" xr:uid="{00000000-0004-0000-0100-000068070000}"/>
    <hyperlink ref="I3976" r:id="rId1898" xr:uid="{00000000-0004-0000-0100-000069070000}"/>
    <hyperlink ref="I3977" r:id="rId1899" xr:uid="{00000000-0004-0000-0100-00006A070000}"/>
    <hyperlink ref="I3978" r:id="rId1900" xr:uid="{00000000-0004-0000-0100-00006B070000}"/>
    <hyperlink ref="I3979" r:id="rId1901" xr:uid="{00000000-0004-0000-0100-00006C070000}"/>
    <hyperlink ref="I3980" r:id="rId1902" xr:uid="{00000000-0004-0000-0100-00006D070000}"/>
    <hyperlink ref="I3981" r:id="rId1903" xr:uid="{00000000-0004-0000-0100-00006E070000}"/>
    <hyperlink ref="I3982" r:id="rId1904" xr:uid="{00000000-0004-0000-0100-00006F070000}"/>
    <hyperlink ref="I3983" r:id="rId1905" xr:uid="{00000000-0004-0000-0100-000070070000}"/>
    <hyperlink ref="I3984" r:id="rId1906" xr:uid="{00000000-0004-0000-0100-000071070000}"/>
    <hyperlink ref="I3985" r:id="rId1907" xr:uid="{00000000-0004-0000-0100-000072070000}"/>
    <hyperlink ref="I3986" r:id="rId1908" xr:uid="{00000000-0004-0000-0100-000073070000}"/>
    <hyperlink ref="I3987" r:id="rId1909" xr:uid="{00000000-0004-0000-0100-000074070000}"/>
    <hyperlink ref="I3988" r:id="rId1910" xr:uid="{00000000-0004-0000-0100-000075070000}"/>
    <hyperlink ref="I3989" r:id="rId1911" xr:uid="{00000000-0004-0000-0100-000076070000}"/>
    <hyperlink ref="I3990" r:id="rId1912" xr:uid="{00000000-0004-0000-0100-000077070000}"/>
    <hyperlink ref="I3991" r:id="rId1913" xr:uid="{00000000-0004-0000-0100-000078070000}"/>
    <hyperlink ref="I3992" r:id="rId1914" xr:uid="{00000000-0004-0000-0100-000079070000}"/>
    <hyperlink ref="I3993" r:id="rId1915" xr:uid="{00000000-0004-0000-0100-00007A070000}"/>
    <hyperlink ref="I3994" r:id="rId1916" xr:uid="{00000000-0004-0000-0100-00007B070000}"/>
    <hyperlink ref="I3995" r:id="rId1917" xr:uid="{00000000-0004-0000-0100-00007C070000}"/>
    <hyperlink ref="I3996" r:id="rId1918" xr:uid="{00000000-0004-0000-0100-00007D070000}"/>
    <hyperlink ref="I3997" r:id="rId1919" xr:uid="{00000000-0004-0000-0100-00007E070000}"/>
    <hyperlink ref="I3998" r:id="rId1920" xr:uid="{00000000-0004-0000-0100-00007F070000}"/>
    <hyperlink ref="I3999" r:id="rId1921" xr:uid="{00000000-0004-0000-0100-000080070000}"/>
    <hyperlink ref="I4000" r:id="rId1922" xr:uid="{00000000-0004-0000-0100-000081070000}"/>
    <hyperlink ref="I4001" r:id="rId1923" xr:uid="{00000000-0004-0000-0100-000082070000}"/>
    <hyperlink ref="I4002" r:id="rId1924" xr:uid="{00000000-0004-0000-0100-000083070000}"/>
    <hyperlink ref="I4003" r:id="rId1925" xr:uid="{00000000-0004-0000-0100-000084070000}"/>
    <hyperlink ref="I4004" r:id="rId1926" xr:uid="{00000000-0004-0000-0100-000085070000}"/>
    <hyperlink ref="I4005" r:id="rId1927" xr:uid="{00000000-0004-0000-0100-000086070000}"/>
    <hyperlink ref="I4006" r:id="rId1928" xr:uid="{00000000-0004-0000-0100-000087070000}"/>
    <hyperlink ref="I4007" r:id="rId1929" xr:uid="{00000000-0004-0000-0100-000088070000}"/>
    <hyperlink ref="I4008" r:id="rId1930" xr:uid="{00000000-0004-0000-0100-000089070000}"/>
    <hyperlink ref="I4009" r:id="rId1931" xr:uid="{00000000-0004-0000-0100-00008A070000}"/>
    <hyperlink ref="I4010" r:id="rId1932" xr:uid="{00000000-0004-0000-0100-00008B070000}"/>
    <hyperlink ref="I4011" r:id="rId1933" xr:uid="{00000000-0004-0000-0100-00008C070000}"/>
    <hyperlink ref="I4012" r:id="rId1934" xr:uid="{00000000-0004-0000-0100-00008D070000}"/>
    <hyperlink ref="I4013" r:id="rId1935" xr:uid="{00000000-0004-0000-0100-00008E070000}"/>
    <hyperlink ref="I4014" r:id="rId1936" xr:uid="{00000000-0004-0000-0100-00008F070000}"/>
    <hyperlink ref="I4015" r:id="rId1937" xr:uid="{00000000-0004-0000-0100-000090070000}"/>
    <hyperlink ref="I4016" r:id="rId1938" xr:uid="{00000000-0004-0000-0100-000091070000}"/>
    <hyperlink ref="I4017" r:id="rId1939" xr:uid="{00000000-0004-0000-0100-000092070000}"/>
    <hyperlink ref="I4018" r:id="rId1940" xr:uid="{00000000-0004-0000-0100-000093070000}"/>
    <hyperlink ref="I4019" r:id="rId1941" xr:uid="{00000000-0004-0000-0100-000094070000}"/>
    <hyperlink ref="I4020" r:id="rId1942" xr:uid="{00000000-0004-0000-0100-000095070000}"/>
    <hyperlink ref="I4021" r:id="rId1943" xr:uid="{00000000-0004-0000-0100-000096070000}"/>
    <hyperlink ref="I4022" r:id="rId1944" xr:uid="{00000000-0004-0000-0100-000097070000}"/>
    <hyperlink ref="I4023" r:id="rId1945" xr:uid="{00000000-0004-0000-0100-000098070000}"/>
    <hyperlink ref="I4024" r:id="rId1946" xr:uid="{00000000-0004-0000-0100-000099070000}"/>
    <hyperlink ref="I4025" r:id="rId1947" xr:uid="{00000000-0004-0000-0100-00009A070000}"/>
    <hyperlink ref="I4026" r:id="rId1948" xr:uid="{00000000-0004-0000-0100-00009B070000}"/>
    <hyperlink ref="I4027" r:id="rId1949" xr:uid="{00000000-0004-0000-0100-00009C070000}"/>
    <hyperlink ref="I4028" r:id="rId1950" xr:uid="{00000000-0004-0000-0100-00009D070000}"/>
    <hyperlink ref="I4029" r:id="rId1951" xr:uid="{00000000-0004-0000-0100-00009E070000}"/>
    <hyperlink ref="I4030" r:id="rId1952" xr:uid="{00000000-0004-0000-0100-00009F070000}"/>
    <hyperlink ref="I4031" r:id="rId1953" xr:uid="{00000000-0004-0000-0100-0000A0070000}"/>
    <hyperlink ref="I4032" r:id="rId1954" xr:uid="{00000000-0004-0000-0100-0000A1070000}"/>
    <hyperlink ref="I4033" r:id="rId1955" xr:uid="{00000000-0004-0000-0100-0000A2070000}"/>
    <hyperlink ref="I4034" r:id="rId1956" xr:uid="{00000000-0004-0000-0100-0000A3070000}"/>
    <hyperlink ref="I4035" r:id="rId1957" xr:uid="{00000000-0004-0000-0100-0000A4070000}"/>
    <hyperlink ref="I4036" r:id="rId1958" xr:uid="{00000000-0004-0000-0100-0000A5070000}"/>
    <hyperlink ref="I4037" r:id="rId1959" xr:uid="{00000000-0004-0000-0100-0000A6070000}"/>
    <hyperlink ref="I4038" r:id="rId1960" xr:uid="{00000000-0004-0000-0100-0000A7070000}"/>
    <hyperlink ref="I4039" r:id="rId1961" xr:uid="{00000000-0004-0000-0100-0000A8070000}"/>
    <hyperlink ref="I4040" r:id="rId1962" xr:uid="{00000000-0004-0000-0100-0000A9070000}"/>
    <hyperlink ref="I4041" r:id="rId1963" xr:uid="{00000000-0004-0000-0100-0000AA070000}"/>
    <hyperlink ref="I4042" r:id="rId1964" xr:uid="{00000000-0004-0000-0100-0000AB070000}"/>
    <hyperlink ref="I4043" r:id="rId1965" xr:uid="{00000000-0004-0000-0100-0000AC070000}"/>
    <hyperlink ref="I4044" r:id="rId1966" xr:uid="{00000000-0004-0000-0100-0000AD070000}"/>
    <hyperlink ref="I4045" r:id="rId1967" xr:uid="{00000000-0004-0000-0100-0000AE070000}"/>
    <hyperlink ref="I4046" r:id="rId1968" xr:uid="{00000000-0004-0000-0100-0000AF070000}"/>
    <hyperlink ref="I4047" r:id="rId1969" xr:uid="{00000000-0004-0000-0100-0000B0070000}"/>
    <hyperlink ref="I4048" r:id="rId1970" xr:uid="{00000000-0004-0000-0100-0000B1070000}"/>
    <hyperlink ref="I4049" r:id="rId1971" xr:uid="{00000000-0004-0000-0100-0000B2070000}"/>
    <hyperlink ref="I4050" r:id="rId1972" xr:uid="{00000000-0004-0000-0100-0000B3070000}"/>
    <hyperlink ref="I4051" r:id="rId1973" xr:uid="{00000000-0004-0000-0100-0000B4070000}"/>
    <hyperlink ref="I4052" r:id="rId1974" xr:uid="{00000000-0004-0000-0100-0000B5070000}"/>
    <hyperlink ref="I4053" r:id="rId1975" xr:uid="{00000000-0004-0000-0100-0000B6070000}"/>
    <hyperlink ref="I4054" r:id="rId1976" xr:uid="{00000000-0004-0000-0100-0000B7070000}"/>
    <hyperlink ref="I4055" r:id="rId1977" xr:uid="{00000000-0004-0000-0100-0000B8070000}"/>
    <hyperlink ref="I4056" r:id="rId1978" xr:uid="{00000000-0004-0000-0100-0000B9070000}"/>
    <hyperlink ref="I4057" r:id="rId1979" xr:uid="{00000000-0004-0000-0100-0000BA070000}"/>
    <hyperlink ref="I4058" r:id="rId1980" xr:uid="{00000000-0004-0000-0100-0000BB070000}"/>
    <hyperlink ref="I4059" r:id="rId1981" xr:uid="{00000000-0004-0000-0100-0000BC070000}"/>
    <hyperlink ref="I4060" r:id="rId1982" xr:uid="{00000000-0004-0000-0100-0000BD070000}"/>
    <hyperlink ref="I4061" r:id="rId1983" xr:uid="{00000000-0004-0000-0100-0000BE070000}"/>
    <hyperlink ref="I4062" r:id="rId1984" xr:uid="{00000000-0004-0000-0100-0000BF070000}"/>
    <hyperlink ref="I4063" r:id="rId1985" xr:uid="{00000000-0004-0000-0100-0000C0070000}"/>
    <hyperlink ref="I4064" r:id="rId1986" xr:uid="{00000000-0004-0000-0100-0000C1070000}"/>
    <hyperlink ref="I4065" r:id="rId1987" xr:uid="{00000000-0004-0000-0100-0000C2070000}"/>
    <hyperlink ref="I4066" r:id="rId1988" xr:uid="{00000000-0004-0000-0100-0000C3070000}"/>
    <hyperlink ref="I4067" r:id="rId1989" xr:uid="{00000000-0004-0000-0100-0000C4070000}"/>
    <hyperlink ref="I4068" r:id="rId1990" xr:uid="{00000000-0004-0000-0100-0000C5070000}"/>
    <hyperlink ref="I4069" r:id="rId1991" xr:uid="{00000000-0004-0000-0100-0000C6070000}"/>
    <hyperlink ref="I4070" r:id="rId1992" xr:uid="{00000000-0004-0000-0100-0000C7070000}"/>
    <hyperlink ref="I4071" r:id="rId1993" xr:uid="{00000000-0004-0000-0100-0000C8070000}"/>
    <hyperlink ref="I4072" r:id="rId1994" xr:uid="{00000000-0004-0000-0100-0000C9070000}"/>
    <hyperlink ref="I4073" r:id="rId1995" xr:uid="{00000000-0004-0000-0100-0000CA070000}"/>
    <hyperlink ref="I4074" r:id="rId1996" xr:uid="{00000000-0004-0000-0100-0000CB070000}"/>
    <hyperlink ref="I4075" r:id="rId1997" xr:uid="{00000000-0004-0000-0100-0000CC070000}"/>
    <hyperlink ref="I4076" r:id="rId1998" xr:uid="{00000000-0004-0000-0100-0000CD070000}"/>
    <hyperlink ref="I4077" r:id="rId1999" xr:uid="{00000000-0004-0000-0100-0000CE070000}"/>
    <hyperlink ref="I4078" r:id="rId2000" xr:uid="{00000000-0004-0000-0100-0000CF070000}"/>
    <hyperlink ref="I4079" r:id="rId2001" xr:uid="{00000000-0004-0000-0100-0000D0070000}"/>
    <hyperlink ref="I4080" r:id="rId2002" xr:uid="{00000000-0004-0000-0100-0000D1070000}"/>
    <hyperlink ref="I4081" r:id="rId2003" xr:uid="{00000000-0004-0000-0100-0000D2070000}"/>
    <hyperlink ref="I4082" r:id="rId2004" xr:uid="{00000000-0004-0000-0100-0000D3070000}"/>
    <hyperlink ref="I4083" r:id="rId2005" xr:uid="{00000000-0004-0000-0100-0000D4070000}"/>
    <hyperlink ref="I4084" r:id="rId2006" xr:uid="{00000000-0004-0000-0100-0000D5070000}"/>
    <hyperlink ref="I4085" r:id="rId2007" xr:uid="{00000000-0004-0000-0100-0000D6070000}"/>
    <hyperlink ref="I4086" r:id="rId2008" xr:uid="{00000000-0004-0000-0100-0000D7070000}"/>
    <hyperlink ref="I4087" r:id="rId2009" xr:uid="{00000000-0004-0000-0100-0000D8070000}"/>
    <hyperlink ref="I4088" r:id="rId2010" xr:uid="{00000000-0004-0000-0100-0000D9070000}"/>
    <hyperlink ref="I4089" r:id="rId2011" xr:uid="{00000000-0004-0000-0100-0000DA070000}"/>
    <hyperlink ref="I4090" r:id="rId2012" xr:uid="{00000000-0004-0000-0100-0000DB070000}"/>
    <hyperlink ref="I4091" r:id="rId2013" xr:uid="{00000000-0004-0000-0100-0000DC070000}"/>
    <hyperlink ref="I4092" r:id="rId2014" xr:uid="{00000000-0004-0000-0100-0000DD070000}"/>
    <hyperlink ref="I4093" r:id="rId2015" xr:uid="{00000000-0004-0000-0100-0000DE070000}"/>
    <hyperlink ref="I4094" r:id="rId2016" xr:uid="{00000000-0004-0000-0100-0000DF070000}"/>
    <hyperlink ref="I4095" r:id="rId2017" xr:uid="{00000000-0004-0000-0100-0000E0070000}"/>
    <hyperlink ref="I4096" r:id="rId2018" xr:uid="{00000000-0004-0000-0100-0000E1070000}"/>
    <hyperlink ref="I4097" r:id="rId2019" xr:uid="{00000000-0004-0000-0100-0000E2070000}"/>
    <hyperlink ref="I4098" r:id="rId2020" xr:uid="{00000000-0004-0000-0100-0000E3070000}"/>
    <hyperlink ref="I4099" r:id="rId2021" xr:uid="{00000000-0004-0000-0100-0000E4070000}"/>
    <hyperlink ref="I4100" r:id="rId2022" xr:uid="{00000000-0004-0000-0100-0000E5070000}"/>
    <hyperlink ref="I4101" r:id="rId2023" xr:uid="{00000000-0004-0000-0100-0000E6070000}"/>
    <hyperlink ref="I4102" r:id="rId2024" xr:uid="{00000000-0004-0000-0100-0000E7070000}"/>
    <hyperlink ref="I4103" r:id="rId2025" xr:uid="{00000000-0004-0000-0100-0000E8070000}"/>
    <hyperlink ref="I4104" r:id="rId2026" xr:uid="{00000000-0004-0000-0100-0000E9070000}"/>
    <hyperlink ref="I4105" r:id="rId2027" xr:uid="{00000000-0004-0000-0100-0000EA070000}"/>
    <hyperlink ref="I4106" r:id="rId2028" xr:uid="{00000000-0004-0000-0100-0000EB070000}"/>
    <hyperlink ref="I4107" r:id="rId2029" xr:uid="{00000000-0004-0000-0100-0000EC070000}"/>
    <hyperlink ref="I4108" r:id="rId2030" xr:uid="{00000000-0004-0000-0100-0000ED070000}"/>
    <hyperlink ref="I4109" r:id="rId2031" xr:uid="{00000000-0004-0000-0100-0000EE070000}"/>
    <hyperlink ref="I4110" r:id="rId2032" xr:uid="{00000000-0004-0000-0100-0000EF070000}"/>
    <hyperlink ref="I4111" r:id="rId2033" xr:uid="{00000000-0004-0000-0100-0000F0070000}"/>
    <hyperlink ref="I4112" r:id="rId2034" xr:uid="{00000000-0004-0000-0100-0000F1070000}"/>
    <hyperlink ref="I4113" r:id="rId2035" xr:uid="{00000000-0004-0000-0100-0000F2070000}"/>
    <hyperlink ref="I4114" r:id="rId2036" xr:uid="{00000000-0004-0000-0100-0000F3070000}"/>
    <hyperlink ref="I4115" r:id="rId2037" xr:uid="{00000000-0004-0000-0100-0000F4070000}"/>
    <hyperlink ref="I4116" r:id="rId2038" xr:uid="{00000000-0004-0000-0100-0000F5070000}"/>
    <hyperlink ref="I4117" r:id="rId2039" xr:uid="{00000000-0004-0000-0100-0000F6070000}"/>
    <hyperlink ref="I4118" r:id="rId2040" xr:uid="{00000000-0004-0000-0100-0000F7070000}"/>
    <hyperlink ref="I4119" r:id="rId2041" xr:uid="{00000000-0004-0000-0100-0000F8070000}"/>
    <hyperlink ref="I4120" r:id="rId2042" xr:uid="{00000000-0004-0000-0100-0000F9070000}"/>
    <hyperlink ref="I4121" r:id="rId2043" xr:uid="{00000000-0004-0000-0100-0000FA070000}"/>
    <hyperlink ref="I4122" r:id="rId2044" xr:uid="{00000000-0004-0000-0100-0000FB070000}"/>
    <hyperlink ref="I4123" r:id="rId2045" xr:uid="{00000000-0004-0000-0100-0000FC070000}"/>
    <hyperlink ref="I4124" r:id="rId2046" xr:uid="{00000000-0004-0000-0100-0000FD070000}"/>
    <hyperlink ref="I4125" r:id="rId2047" xr:uid="{00000000-0004-0000-0100-0000FE070000}"/>
    <hyperlink ref="I4126" r:id="rId2048" xr:uid="{00000000-0004-0000-0100-0000FF070000}"/>
    <hyperlink ref="I4127" r:id="rId2049" xr:uid="{00000000-0004-0000-0100-000000080000}"/>
    <hyperlink ref="I4128" r:id="rId2050" xr:uid="{00000000-0004-0000-0100-000001080000}"/>
    <hyperlink ref="I4129" r:id="rId2051" xr:uid="{00000000-0004-0000-0100-000002080000}"/>
    <hyperlink ref="I4130" r:id="rId2052" xr:uid="{00000000-0004-0000-0100-000003080000}"/>
    <hyperlink ref="I4131" r:id="rId2053" xr:uid="{00000000-0004-0000-0100-000004080000}"/>
    <hyperlink ref="I4132" r:id="rId2054" xr:uid="{00000000-0004-0000-0100-000005080000}"/>
    <hyperlink ref="I4133" r:id="rId2055" xr:uid="{00000000-0004-0000-0100-000006080000}"/>
    <hyperlink ref="I4134" r:id="rId2056" xr:uid="{00000000-0004-0000-0100-000007080000}"/>
    <hyperlink ref="I4135" r:id="rId2057" xr:uid="{00000000-0004-0000-0100-000008080000}"/>
    <hyperlink ref="I4136" r:id="rId2058" xr:uid="{00000000-0004-0000-0100-000009080000}"/>
    <hyperlink ref="I4137" r:id="rId2059" xr:uid="{00000000-0004-0000-0100-00000A080000}"/>
    <hyperlink ref="I4138" r:id="rId2060" xr:uid="{00000000-0004-0000-0100-00000B080000}"/>
    <hyperlink ref="I4139" r:id="rId2061" xr:uid="{00000000-0004-0000-0100-00000C080000}"/>
    <hyperlink ref="I4140" r:id="rId2062" xr:uid="{00000000-0004-0000-0100-00000D080000}"/>
    <hyperlink ref="I4141" r:id="rId2063" xr:uid="{00000000-0004-0000-0100-00000E080000}"/>
    <hyperlink ref="I4142" r:id="rId2064" xr:uid="{00000000-0004-0000-0100-00000F080000}"/>
    <hyperlink ref="I4143" r:id="rId2065" xr:uid="{00000000-0004-0000-0100-000010080000}"/>
    <hyperlink ref="I4144" r:id="rId2066" xr:uid="{00000000-0004-0000-0100-000011080000}"/>
    <hyperlink ref="I4145" r:id="rId2067" xr:uid="{00000000-0004-0000-0100-000012080000}"/>
    <hyperlink ref="I4146" r:id="rId2068" xr:uid="{00000000-0004-0000-0100-000013080000}"/>
    <hyperlink ref="I4147" r:id="rId2069" xr:uid="{00000000-0004-0000-0100-000014080000}"/>
    <hyperlink ref="I4148" r:id="rId2070" xr:uid="{00000000-0004-0000-0100-000015080000}"/>
    <hyperlink ref="I4149" r:id="rId2071" xr:uid="{00000000-0004-0000-0100-000016080000}"/>
    <hyperlink ref="I4150" r:id="rId2072" xr:uid="{00000000-0004-0000-0100-000017080000}"/>
    <hyperlink ref="I4151" r:id="rId2073" xr:uid="{00000000-0004-0000-0100-000018080000}"/>
    <hyperlink ref="I4152" r:id="rId2074" xr:uid="{00000000-0004-0000-0100-000019080000}"/>
    <hyperlink ref="I4153" r:id="rId2075" xr:uid="{00000000-0004-0000-0100-00001A080000}"/>
    <hyperlink ref="I4154" r:id="rId2076" xr:uid="{00000000-0004-0000-0100-00001B080000}"/>
    <hyperlink ref="I4155" r:id="rId2077" xr:uid="{00000000-0004-0000-0100-00001C080000}"/>
    <hyperlink ref="I4156" r:id="rId2078" xr:uid="{00000000-0004-0000-0100-00001D080000}"/>
    <hyperlink ref="I4157" r:id="rId2079" xr:uid="{00000000-0004-0000-0100-00001E080000}"/>
    <hyperlink ref="I4158" r:id="rId2080" xr:uid="{00000000-0004-0000-0100-00001F080000}"/>
    <hyperlink ref="I4159" r:id="rId2081" xr:uid="{00000000-0004-0000-0100-000020080000}"/>
    <hyperlink ref="I4160" r:id="rId2082" xr:uid="{00000000-0004-0000-0100-000021080000}"/>
    <hyperlink ref="I4161" r:id="rId2083" xr:uid="{00000000-0004-0000-0100-000022080000}"/>
    <hyperlink ref="I4162" r:id="rId2084" xr:uid="{00000000-0004-0000-0100-000023080000}"/>
    <hyperlink ref="I4163" r:id="rId2085" xr:uid="{00000000-0004-0000-0100-000024080000}"/>
    <hyperlink ref="I4164" r:id="rId2086" xr:uid="{00000000-0004-0000-0100-000025080000}"/>
    <hyperlink ref="I4165" r:id="rId2087" xr:uid="{00000000-0004-0000-0100-000026080000}"/>
    <hyperlink ref="I4166" r:id="rId2088" xr:uid="{00000000-0004-0000-0100-000027080000}"/>
    <hyperlink ref="I4167" r:id="rId2089" xr:uid="{00000000-0004-0000-0100-000028080000}"/>
    <hyperlink ref="I4168" r:id="rId2090" xr:uid="{00000000-0004-0000-0100-000029080000}"/>
    <hyperlink ref="I4169" r:id="rId2091" xr:uid="{00000000-0004-0000-0100-00002A080000}"/>
    <hyperlink ref="I4170" r:id="rId2092" xr:uid="{00000000-0004-0000-0100-00002B080000}"/>
    <hyperlink ref="I4171" r:id="rId2093" xr:uid="{00000000-0004-0000-0100-00002C080000}"/>
    <hyperlink ref="I4172" r:id="rId2094" xr:uid="{00000000-0004-0000-0100-00002D080000}"/>
    <hyperlink ref="I4173" r:id="rId2095" xr:uid="{00000000-0004-0000-0100-00002E080000}"/>
    <hyperlink ref="I4174" r:id="rId2096" xr:uid="{00000000-0004-0000-0100-00002F080000}"/>
    <hyperlink ref="I4175" r:id="rId2097" xr:uid="{00000000-0004-0000-0100-000030080000}"/>
    <hyperlink ref="I4176" r:id="rId2098" xr:uid="{00000000-0004-0000-0100-000031080000}"/>
    <hyperlink ref="I4177" r:id="rId2099" xr:uid="{00000000-0004-0000-0100-000032080000}"/>
    <hyperlink ref="I4178" r:id="rId2100" xr:uid="{00000000-0004-0000-0100-000033080000}"/>
    <hyperlink ref="I4179" r:id="rId2101" xr:uid="{00000000-0004-0000-0100-000034080000}"/>
    <hyperlink ref="I4180" r:id="rId2102" xr:uid="{00000000-0004-0000-0100-000035080000}"/>
    <hyperlink ref="I4181" r:id="rId2103" xr:uid="{00000000-0004-0000-0100-000036080000}"/>
    <hyperlink ref="I4182" r:id="rId2104" xr:uid="{00000000-0004-0000-0100-000037080000}"/>
    <hyperlink ref="I4183" r:id="rId2105" xr:uid="{00000000-0004-0000-0100-000038080000}"/>
    <hyperlink ref="I4184" r:id="rId2106" xr:uid="{00000000-0004-0000-0100-000039080000}"/>
    <hyperlink ref="I4185" r:id="rId2107" xr:uid="{00000000-0004-0000-0100-00003A080000}"/>
    <hyperlink ref="I4186" r:id="rId2108" xr:uid="{00000000-0004-0000-0100-00003B080000}"/>
    <hyperlink ref="I4187" r:id="rId2109" xr:uid="{00000000-0004-0000-0100-00003C080000}"/>
    <hyperlink ref="I4188" r:id="rId2110" xr:uid="{00000000-0004-0000-0100-00003D080000}"/>
    <hyperlink ref="I4189" r:id="rId2111" xr:uid="{00000000-0004-0000-0100-00003E080000}"/>
    <hyperlink ref="I4190" r:id="rId2112" xr:uid="{00000000-0004-0000-0100-00003F080000}"/>
    <hyperlink ref="I4191" r:id="rId2113" xr:uid="{00000000-0004-0000-0100-000040080000}"/>
    <hyperlink ref="I4192" r:id="rId2114" xr:uid="{00000000-0004-0000-0100-000041080000}"/>
    <hyperlink ref="I4193" r:id="rId2115" xr:uid="{00000000-0004-0000-0100-000042080000}"/>
    <hyperlink ref="I4194" r:id="rId2116" xr:uid="{00000000-0004-0000-0100-000043080000}"/>
    <hyperlink ref="I4195" r:id="rId2117" xr:uid="{00000000-0004-0000-0100-000044080000}"/>
    <hyperlink ref="I4196" r:id="rId2118" xr:uid="{00000000-0004-0000-0100-000045080000}"/>
    <hyperlink ref="I4197" r:id="rId2119" xr:uid="{00000000-0004-0000-0100-000046080000}"/>
    <hyperlink ref="I4198" r:id="rId2120" xr:uid="{00000000-0004-0000-0100-000047080000}"/>
    <hyperlink ref="I4199" r:id="rId2121" xr:uid="{00000000-0004-0000-0100-000048080000}"/>
    <hyperlink ref="I4200" r:id="rId2122" xr:uid="{00000000-0004-0000-0100-000049080000}"/>
    <hyperlink ref="I4201" r:id="rId2123" xr:uid="{00000000-0004-0000-0100-00004A080000}"/>
    <hyperlink ref="I4202" r:id="rId2124" xr:uid="{00000000-0004-0000-0100-00004B080000}"/>
    <hyperlink ref="I4203" r:id="rId2125" xr:uid="{00000000-0004-0000-0100-00004C080000}"/>
    <hyperlink ref="I4204" r:id="rId2126" xr:uid="{00000000-0004-0000-0100-00004D080000}"/>
    <hyperlink ref="I4205" r:id="rId2127" xr:uid="{00000000-0004-0000-0100-00004E080000}"/>
    <hyperlink ref="I4206" r:id="rId2128" xr:uid="{00000000-0004-0000-0100-00004F080000}"/>
    <hyperlink ref="I4207" r:id="rId2129" xr:uid="{00000000-0004-0000-0100-000050080000}"/>
    <hyperlink ref="I4208" r:id="rId2130" xr:uid="{00000000-0004-0000-0100-000051080000}"/>
    <hyperlink ref="I4209" r:id="rId2131" xr:uid="{00000000-0004-0000-0100-000052080000}"/>
    <hyperlink ref="I4210" r:id="rId2132" xr:uid="{00000000-0004-0000-0100-000053080000}"/>
    <hyperlink ref="I4211" r:id="rId2133" xr:uid="{00000000-0004-0000-0100-000054080000}"/>
    <hyperlink ref="I4212" r:id="rId2134" xr:uid="{00000000-0004-0000-0100-000055080000}"/>
    <hyperlink ref="I4213" r:id="rId2135" xr:uid="{00000000-0004-0000-0100-000056080000}"/>
    <hyperlink ref="I4214" r:id="rId2136" xr:uid="{00000000-0004-0000-0100-000057080000}"/>
    <hyperlink ref="I4215" r:id="rId2137" xr:uid="{00000000-0004-0000-0100-000058080000}"/>
    <hyperlink ref="I4216" r:id="rId2138" xr:uid="{00000000-0004-0000-0100-000059080000}"/>
    <hyperlink ref="I4217" r:id="rId2139" xr:uid="{00000000-0004-0000-0100-00005A080000}"/>
    <hyperlink ref="I4218" r:id="rId2140" xr:uid="{00000000-0004-0000-0100-00005B080000}"/>
    <hyperlink ref="I4219" r:id="rId2141" xr:uid="{00000000-0004-0000-0100-00005C080000}"/>
    <hyperlink ref="I4220" r:id="rId2142" xr:uid="{00000000-0004-0000-0100-00005D080000}"/>
    <hyperlink ref="I4221" r:id="rId2143" xr:uid="{00000000-0004-0000-0100-00005E080000}"/>
    <hyperlink ref="I4222" r:id="rId2144" xr:uid="{00000000-0004-0000-0100-00005F080000}"/>
    <hyperlink ref="I4223" r:id="rId2145" xr:uid="{00000000-0004-0000-0100-000060080000}"/>
    <hyperlink ref="I4224" r:id="rId2146" xr:uid="{00000000-0004-0000-0100-000061080000}"/>
    <hyperlink ref="I4225" r:id="rId2147" xr:uid="{00000000-0004-0000-0100-000062080000}"/>
    <hyperlink ref="I4226" r:id="rId2148" xr:uid="{00000000-0004-0000-0100-000063080000}"/>
    <hyperlink ref="I4227" r:id="rId2149" xr:uid="{00000000-0004-0000-0100-000064080000}"/>
    <hyperlink ref="I4228" r:id="rId2150" xr:uid="{00000000-0004-0000-0100-000065080000}"/>
    <hyperlink ref="I4229" r:id="rId2151" xr:uid="{00000000-0004-0000-0100-000066080000}"/>
    <hyperlink ref="I4230" r:id="rId2152" xr:uid="{00000000-0004-0000-0100-000067080000}"/>
    <hyperlink ref="I4231" r:id="rId2153" xr:uid="{00000000-0004-0000-0100-000068080000}"/>
    <hyperlink ref="I4232" r:id="rId2154" xr:uid="{00000000-0004-0000-0100-000069080000}"/>
    <hyperlink ref="I4233" r:id="rId2155" xr:uid="{00000000-0004-0000-0100-00006A080000}"/>
    <hyperlink ref="I4234" r:id="rId2156" xr:uid="{00000000-0004-0000-0100-00006B080000}"/>
    <hyperlink ref="I4235" r:id="rId2157" xr:uid="{00000000-0004-0000-0100-00006C080000}"/>
    <hyperlink ref="I4236" r:id="rId2158" xr:uid="{00000000-0004-0000-0100-00006D080000}"/>
    <hyperlink ref="I4237" r:id="rId2159" xr:uid="{00000000-0004-0000-0100-00006E080000}"/>
    <hyperlink ref="I4238" r:id="rId2160" xr:uid="{00000000-0004-0000-0100-00006F080000}"/>
    <hyperlink ref="I4239" r:id="rId2161" xr:uid="{00000000-0004-0000-0100-000070080000}"/>
    <hyperlink ref="I4240" r:id="rId2162" xr:uid="{00000000-0004-0000-0100-000071080000}"/>
    <hyperlink ref="I4241" r:id="rId2163" xr:uid="{00000000-0004-0000-0100-000072080000}"/>
    <hyperlink ref="I4242" r:id="rId2164" xr:uid="{00000000-0004-0000-0100-000073080000}"/>
    <hyperlink ref="I4243" r:id="rId2165" xr:uid="{00000000-0004-0000-0100-000074080000}"/>
    <hyperlink ref="I4244" r:id="rId2166" xr:uid="{00000000-0004-0000-0100-000075080000}"/>
    <hyperlink ref="I4245" r:id="rId2167" xr:uid="{00000000-0004-0000-0100-000076080000}"/>
    <hyperlink ref="I4246" r:id="rId2168" xr:uid="{00000000-0004-0000-0100-000077080000}"/>
    <hyperlink ref="I4247" r:id="rId2169" xr:uid="{00000000-0004-0000-0100-000078080000}"/>
    <hyperlink ref="I4248" r:id="rId2170" xr:uid="{00000000-0004-0000-0100-000079080000}"/>
    <hyperlink ref="I4249" r:id="rId2171" xr:uid="{00000000-0004-0000-0100-00007A080000}"/>
    <hyperlink ref="I4250" r:id="rId2172" xr:uid="{00000000-0004-0000-0100-00007B080000}"/>
    <hyperlink ref="I4251" r:id="rId2173" xr:uid="{00000000-0004-0000-0100-00007C080000}"/>
    <hyperlink ref="I4252" r:id="rId2174" xr:uid="{00000000-0004-0000-0100-00007D080000}"/>
    <hyperlink ref="I4253" r:id="rId2175" xr:uid="{00000000-0004-0000-0100-00007E080000}"/>
    <hyperlink ref="I4254" r:id="rId2176" xr:uid="{00000000-0004-0000-0100-00007F080000}"/>
    <hyperlink ref="I4255" r:id="rId2177" xr:uid="{00000000-0004-0000-0100-000080080000}"/>
    <hyperlink ref="I4256" r:id="rId2178" xr:uid="{00000000-0004-0000-0100-000081080000}"/>
    <hyperlink ref="I4257" r:id="rId2179" xr:uid="{00000000-0004-0000-0100-000082080000}"/>
    <hyperlink ref="I4258" r:id="rId2180" xr:uid="{00000000-0004-0000-0100-000083080000}"/>
    <hyperlink ref="I4259" r:id="rId2181" xr:uid="{00000000-0004-0000-0100-000084080000}"/>
    <hyperlink ref="I4260" r:id="rId2182" xr:uid="{00000000-0004-0000-0100-000085080000}"/>
    <hyperlink ref="I4261" r:id="rId2183" xr:uid="{00000000-0004-0000-0100-000086080000}"/>
    <hyperlink ref="I4262" r:id="rId2184" xr:uid="{00000000-0004-0000-0100-000087080000}"/>
    <hyperlink ref="I4263" r:id="rId2185" xr:uid="{00000000-0004-0000-0100-000088080000}"/>
    <hyperlink ref="I4264" r:id="rId2186" xr:uid="{00000000-0004-0000-0100-000089080000}"/>
    <hyperlink ref="I4265" r:id="rId2187" xr:uid="{00000000-0004-0000-0100-00008A080000}"/>
    <hyperlink ref="I4266" r:id="rId2188" xr:uid="{00000000-0004-0000-0100-00008B080000}"/>
    <hyperlink ref="I4267" r:id="rId2189" xr:uid="{00000000-0004-0000-0100-00008C080000}"/>
    <hyperlink ref="I4268" r:id="rId2190" xr:uid="{00000000-0004-0000-0100-00008D080000}"/>
    <hyperlink ref="I4269" r:id="rId2191" xr:uid="{00000000-0004-0000-0100-00008E080000}"/>
    <hyperlink ref="I4270" r:id="rId2192" xr:uid="{00000000-0004-0000-0100-00008F080000}"/>
    <hyperlink ref="I4271" r:id="rId2193" xr:uid="{00000000-0004-0000-0100-000090080000}"/>
    <hyperlink ref="I4272" r:id="rId2194" xr:uid="{00000000-0004-0000-0100-000091080000}"/>
    <hyperlink ref="I4273" r:id="rId2195" xr:uid="{00000000-0004-0000-0100-000092080000}"/>
    <hyperlink ref="I4274" r:id="rId2196" xr:uid="{00000000-0004-0000-0100-000093080000}"/>
    <hyperlink ref="I4275" r:id="rId2197" xr:uid="{00000000-0004-0000-0100-000094080000}"/>
    <hyperlink ref="I4276" r:id="rId2198" xr:uid="{00000000-0004-0000-0100-000095080000}"/>
    <hyperlink ref="I4277" r:id="rId2199" xr:uid="{00000000-0004-0000-0100-000096080000}"/>
    <hyperlink ref="I4278" r:id="rId2200" xr:uid="{00000000-0004-0000-0100-000097080000}"/>
    <hyperlink ref="I4279" r:id="rId2201" xr:uid="{00000000-0004-0000-0100-000098080000}"/>
    <hyperlink ref="I4280" r:id="rId2202" xr:uid="{00000000-0004-0000-0100-000099080000}"/>
    <hyperlink ref="I4281" r:id="rId2203" xr:uid="{00000000-0004-0000-0100-00009A080000}"/>
    <hyperlink ref="I4282" r:id="rId2204" xr:uid="{00000000-0004-0000-0100-00009B080000}"/>
    <hyperlink ref="I4283" r:id="rId2205" xr:uid="{00000000-0004-0000-0100-00009C080000}"/>
    <hyperlink ref="I4284" r:id="rId2206" xr:uid="{00000000-0004-0000-0100-00009D080000}"/>
    <hyperlink ref="I4285" r:id="rId2207" xr:uid="{00000000-0004-0000-0100-00009E080000}"/>
    <hyperlink ref="I4286" r:id="rId2208" xr:uid="{00000000-0004-0000-0100-00009F080000}"/>
    <hyperlink ref="I4287" r:id="rId2209" xr:uid="{00000000-0004-0000-0100-0000A0080000}"/>
    <hyperlink ref="I4288" r:id="rId2210" xr:uid="{00000000-0004-0000-0100-0000A1080000}"/>
    <hyperlink ref="I4289" r:id="rId2211" xr:uid="{00000000-0004-0000-0100-0000A2080000}"/>
    <hyperlink ref="I4290" r:id="rId2212" xr:uid="{00000000-0004-0000-0100-0000A3080000}"/>
    <hyperlink ref="I4291" r:id="rId2213" xr:uid="{00000000-0004-0000-0100-0000A4080000}"/>
    <hyperlink ref="I4292" r:id="rId2214" xr:uid="{00000000-0004-0000-0100-0000A5080000}"/>
    <hyperlink ref="I4293" r:id="rId2215" xr:uid="{00000000-0004-0000-0100-0000A6080000}"/>
    <hyperlink ref="I4294" r:id="rId2216" xr:uid="{00000000-0004-0000-0100-0000A7080000}"/>
    <hyperlink ref="I4295" r:id="rId2217" xr:uid="{00000000-0004-0000-0100-0000A8080000}"/>
    <hyperlink ref="I4296" r:id="rId2218" xr:uid="{00000000-0004-0000-0100-0000A9080000}"/>
    <hyperlink ref="I4297" r:id="rId2219" xr:uid="{00000000-0004-0000-0100-0000AA080000}"/>
    <hyperlink ref="I4298" r:id="rId2220" xr:uid="{00000000-0004-0000-0100-0000AB080000}"/>
    <hyperlink ref="I4299" r:id="rId2221" xr:uid="{00000000-0004-0000-0100-0000AC080000}"/>
    <hyperlink ref="I4300" r:id="rId2222" xr:uid="{00000000-0004-0000-0100-0000AD080000}"/>
    <hyperlink ref="I4301" r:id="rId2223" xr:uid="{00000000-0004-0000-0100-0000AE080000}"/>
    <hyperlink ref="I4302" r:id="rId2224" xr:uid="{00000000-0004-0000-0100-0000AF080000}"/>
    <hyperlink ref="I4303" r:id="rId2225" xr:uid="{00000000-0004-0000-0100-0000B0080000}"/>
    <hyperlink ref="I4304" r:id="rId2226" xr:uid="{00000000-0004-0000-0100-0000B1080000}"/>
    <hyperlink ref="I4305" r:id="rId2227" xr:uid="{00000000-0004-0000-0100-0000B2080000}"/>
    <hyperlink ref="I4306" r:id="rId2228" xr:uid="{00000000-0004-0000-0100-0000B3080000}"/>
    <hyperlink ref="I4307" r:id="rId2229" xr:uid="{00000000-0004-0000-0100-0000B4080000}"/>
    <hyperlink ref="I4308" r:id="rId2230" xr:uid="{00000000-0004-0000-0100-0000B5080000}"/>
    <hyperlink ref="I4309" r:id="rId2231" xr:uid="{00000000-0004-0000-0100-0000B6080000}"/>
    <hyperlink ref="I4310" r:id="rId2232" xr:uid="{00000000-0004-0000-0100-0000B7080000}"/>
    <hyperlink ref="I4311" r:id="rId2233" xr:uid="{00000000-0004-0000-0100-0000B8080000}"/>
    <hyperlink ref="I4312" r:id="rId2234" xr:uid="{00000000-0004-0000-0100-0000B9080000}"/>
    <hyperlink ref="I4313" r:id="rId2235" xr:uid="{00000000-0004-0000-0100-0000BA080000}"/>
    <hyperlink ref="I4314" r:id="rId2236" xr:uid="{00000000-0004-0000-0100-0000BB080000}"/>
    <hyperlink ref="I4315" r:id="rId2237" xr:uid="{00000000-0004-0000-0100-0000BC080000}"/>
    <hyperlink ref="I4316" r:id="rId2238" xr:uid="{00000000-0004-0000-0100-0000BD080000}"/>
    <hyperlink ref="I4317" r:id="rId2239" xr:uid="{00000000-0004-0000-0100-0000BE080000}"/>
    <hyperlink ref="I4318" r:id="rId2240" xr:uid="{00000000-0004-0000-0100-0000BF080000}"/>
    <hyperlink ref="I4319" r:id="rId2241" xr:uid="{00000000-0004-0000-0100-0000C0080000}"/>
    <hyperlink ref="I4320" r:id="rId2242" xr:uid="{00000000-0004-0000-0100-0000C1080000}"/>
    <hyperlink ref="I4321" r:id="rId2243" xr:uid="{00000000-0004-0000-0100-0000C2080000}"/>
    <hyperlink ref="I4322" r:id="rId2244" xr:uid="{00000000-0004-0000-0100-0000C3080000}"/>
    <hyperlink ref="I4323" r:id="rId2245" xr:uid="{00000000-0004-0000-0100-0000C4080000}"/>
    <hyperlink ref="I4324" r:id="rId2246" xr:uid="{00000000-0004-0000-0100-0000C5080000}"/>
    <hyperlink ref="I4325" r:id="rId2247" xr:uid="{00000000-0004-0000-0100-0000C6080000}"/>
    <hyperlink ref="I4326" r:id="rId2248" xr:uid="{00000000-0004-0000-0100-0000C7080000}"/>
    <hyperlink ref="I4327" r:id="rId2249" xr:uid="{00000000-0004-0000-0100-0000C8080000}"/>
    <hyperlink ref="I4328" r:id="rId2250" xr:uid="{00000000-0004-0000-0100-0000C9080000}"/>
    <hyperlink ref="I4329" r:id="rId2251" xr:uid="{00000000-0004-0000-0100-0000CA080000}"/>
    <hyperlink ref="I4330" r:id="rId2252" xr:uid="{00000000-0004-0000-0100-0000CB080000}"/>
    <hyperlink ref="I4331" r:id="rId2253" xr:uid="{00000000-0004-0000-0100-0000CC080000}"/>
    <hyperlink ref="I4332" r:id="rId2254" xr:uid="{00000000-0004-0000-0100-0000CD080000}"/>
    <hyperlink ref="I4333" r:id="rId2255" xr:uid="{00000000-0004-0000-0100-0000CE080000}"/>
    <hyperlink ref="I4334" r:id="rId2256" xr:uid="{00000000-0004-0000-0100-0000CF080000}"/>
    <hyperlink ref="I4335" r:id="rId2257" xr:uid="{00000000-0004-0000-0100-0000D0080000}"/>
    <hyperlink ref="I4336" r:id="rId2258" xr:uid="{00000000-0004-0000-0100-0000D1080000}"/>
    <hyperlink ref="I4337" r:id="rId2259" xr:uid="{00000000-0004-0000-0100-0000D2080000}"/>
    <hyperlink ref="I4338" r:id="rId2260" xr:uid="{00000000-0004-0000-0100-0000D3080000}"/>
    <hyperlink ref="I4339" r:id="rId2261" xr:uid="{00000000-0004-0000-0100-0000D4080000}"/>
    <hyperlink ref="I4340" r:id="rId2262" xr:uid="{00000000-0004-0000-0100-0000D5080000}"/>
    <hyperlink ref="I4341" r:id="rId2263" xr:uid="{00000000-0004-0000-0100-0000D6080000}"/>
    <hyperlink ref="I4342" r:id="rId2264" xr:uid="{00000000-0004-0000-0100-0000D7080000}"/>
    <hyperlink ref="I4343" r:id="rId2265" xr:uid="{00000000-0004-0000-0100-0000D8080000}"/>
    <hyperlink ref="I4344" r:id="rId2266" xr:uid="{00000000-0004-0000-0100-0000D9080000}"/>
    <hyperlink ref="I4345" r:id="rId2267" xr:uid="{00000000-0004-0000-0100-0000DA080000}"/>
    <hyperlink ref="I4346" r:id="rId2268" xr:uid="{00000000-0004-0000-0100-0000DB080000}"/>
    <hyperlink ref="I4347" r:id="rId2269" xr:uid="{00000000-0004-0000-0100-0000DC080000}"/>
    <hyperlink ref="I4348" r:id="rId2270" xr:uid="{00000000-0004-0000-0100-0000DD080000}"/>
    <hyperlink ref="I4349" r:id="rId2271" xr:uid="{00000000-0004-0000-0100-0000DE080000}"/>
    <hyperlink ref="I4350" r:id="rId2272" xr:uid="{00000000-0004-0000-0100-0000DF080000}"/>
    <hyperlink ref="I4351" r:id="rId2273" xr:uid="{00000000-0004-0000-0100-0000E0080000}"/>
    <hyperlink ref="I4352" r:id="rId2274" xr:uid="{00000000-0004-0000-0100-0000E1080000}"/>
    <hyperlink ref="I4353" r:id="rId2275" xr:uid="{00000000-0004-0000-0100-0000E2080000}"/>
    <hyperlink ref="I4354" r:id="rId2276" xr:uid="{00000000-0004-0000-0100-0000E3080000}"/>
    <hyperlink ref="I4355" r:id="rId2277" xr:uid="{00000000-0004-0000-0100-0000E4080000}"/>
    <hyperlink ref="I4356" r:id="rId2278" xr:uid="{00000000-0004-0000-0100-0000E5080000}"/>
    <hyperlink ref="I4357" r:id="rId2279" xr:uid="{00000000-0004-0000-0100-0000E6080000}"/>
    <hyperlink ref="I4358" r:id="rId2280" xr:uid="{00000000-0004-0000-0100-0000E7080000}"/>
    <hyperlink ref="I4359" r:id="rId2281" xr:uid="{00000000-0004-0000-0100-0000E8080000}"/>
    <hyperlink ref="I4360" r:id="rId2282" xr:uid="{00000000-0004-0000-0100-0000E9080000}"/>
    <hyperlink ref="I4361" r:id="rId2283" xr:uid="{00000000-0004-0000-0100-0000EA080000}"/>
    <hyperlink ref="I4362" r:id="rId2284" xr:uid="{00000000-0004-0000-0100-0000EB080000}"/>
    <hyperlink ref="I4363" r:id="rId2285" xr:uid="{00000000-0004-0000-0100-0000EC080000}"/>
    <hyperlink ref="I4364" r:id="rId2286" xr:uid="{00000000-0004-0000-0100-0000ED080000}"/>
    <hyperlink ref="I4365" r:id="rId2287" xr:uid="{00000000-0004-0000-0100-0000EE080000}"/>
    <hyperlink ref="I4366" r:id="rId2288" xr:uid="{00000000-0004-0000-0100-0000EF080000}"/>
    <hyperlink ref="I4367" r:id="rId2289" xr:uid="{00000000-0004-0000-0100-0000F0080000}"/>
    <hyperlink ref="I4368" r:id="rId2290" xr:uid="{00000000-0004-0000-0100-0000F1080000}"/>
    <hyperlink ref="I4369" r:id="rId2291" xr:uid="{00000000-0004-0000-0100-0000F2080000}"/>
    <hyperlink ref="I4370" r:id="rId2292" xr:uid="{00000000-0004-0000-0100-0000F3080000}"/>
    <hyperlink ref="I4371" r:id="rId2293" xr:uid="{00000000-0004-0000-0100-0000F4080000}"/>
    <hyperlink ref="I4372" r:id="rId2294" xr:uid="{00000000-0004-0000-0100-0000F5080000}"/>
    <hyperlink ref="I4373" r:id="rId2295" xr:uid="{00000000-0004-0000-0100-0000F6080000}"/>
    <hyperlink ref="I4374" r:id="rId2296" xr:uid="{00000000-0004-0000-0100-0000F7080000}"/>
    <hyperlink ref="I4375" r:id="rId2297" xr:uid="{00000000-0004-0000-0100-0000F8080000}"/>
    <hyperlink ref="I4376" r:id="rId2298" xr:uid="{00000000-0004-0000-0100-0000F9080000}"/>
    <hyperlink ref="I4377" r:id="rId2299" xr:uid="{00000000-0004-0000-0100-0000FA080000}"/>
    <hyperlink ref="I4378" r:id="rId2300" xr:uid="{00000000-0004-0000-0100-0000FB080000}"/>
    <hyperlink ref="I4379" r:id="rId2301" xr:uid="{00000000-0004-0000-0100-0000FC080000}"/>
    <hyperlink ref="I4380" r:id="rId2302" xr:uid="{00000000-0004-0000-0100-0000FD080000}"/>
    <hyperlink ref="I4381" r:id="rId2303" xr:uid="{00000000-0004-0000-0100-0000FE080000}"/>
    <hyperlink ref="I4382" r:id="rId2304" xr:uid="{00000000-0004-0000-0100-0000FF080000}"/>
    <hyperlink ref="I4383" r:id="rId2305" xr:uid="{00000000-0004-0000-0100-000000090000}"/>
    <hyperlink ref="I4384" r:id="rId2306" xr:uid="{00000000-0004-0000-0100-000001090000}"/>
    <hyperlink ref="I4385" r:id="rId2307" xr:uid="{00000000-0004-0000-0100-000002090000}"/>
    <hyperlink ref="I4386" r:id="rId2308" xr:uid="{00000000-0004-0000-0100-000003090000}"/>
    <hyperlink ref="I4387" r:id="rId2309" xr:uid="{00000000-0004-0000-0100-000004090000}"/>
    <hyperlink ref="I4388" r:id="rId2310" xr:uid="{00000000-0004-0000-0100-000005090000}"/>
    <hyperlink ref="I4389" r:id="rId2311" xr:uid="{00000000-0004-0000-0100-000006090000}"/>
    <hyperlink ref="I4390" r:id="rId2312" xr:uid="{00000000-0004-0000-0100-000007090000}"/>
    <hyperlink ref="I4391" r:id="rId2313" xr:uid="{00000000-0004-0000-0100-000008090000}"/>
    <hyperlink ref="I4392" r:id="rId2314" xr:uid="{00000000-0004-0000-0100-000009090000}"/>
    <hyperlink ref="I4393" r:id="rId2315" xr:uid="{00000000-0004-0000-0100-00000A090000}"/>
    <hyperlink ref="I4394" r:id="rId2316" xr:uid="{00000000-0004-0000-0100-00000B090000}"/>
    <hyperlink ref="I4395" r:id="rId2317" xr:uid="{00000000-0004-0000-0100-00000C090000}"/>
    <hyperlink ref="I4396" r:id="rId2318" xr:uid="{00000000-0004-0000-0100-00000D090000}"/>
    <hyperlink ref="I4397" r:id="rId2319" xr:uid="{00000000-0004-0000-0100-00000E090000}"/>
    <hyperlink ref="I4398" r:id="rId2320" xr:uid="{00000000-0004-0000-0100-00000F090000}"/>
    <hyperlink ref="I4399" r:id="rId2321" xr:uid="{00000000-0004-0000-0100-000010090000}"/>
    <hyperlink ref="I4400" r:id="rId2322" xr:uid="{00000000-0004-0000-0100-000011090000}"/>
    <hyperlink ref="I4401" r:id="rId2323" xr:uid="{00000000-0004-0000-0100-000012090000}"/>
    <hyperlink ref="I4402" r:id="rId2324" xr:uid="{00000000-0004-0000-0100-000013090000}"/>
    <hyperlink ref="I4403" r:id="rId2325" xr:uid="{00000000-0004-0000-0100-000014090000}"/>
    <hyperlink ref="I4404" r:id="rId2326" xr:uid="{00000000-0004-0000-0100-000015090000}"/>
    <hyperlink ref="I4405" r:id="rId2327" xr:uid="{00000000-0004-0000-0100-000016090000}"/>
    <hyperlink ref="I4406" r:id="rId2328" xr:uid="{00000000-0004-0000-0100-000017090000}"/>
    <hyperlink ref="I4407" r:id="rId2329" xr:uid="{00000000-0004-0000-0100-000018090000}"/>
    <hyperlink ref="I4408" r:id="rId2330" xr:uid="{00000000-0004-0000-0100-000019090000}"/>
    <hyperlink ref="I4409" r:id="rId2331" xr:uid="{00000000-0004-0000-0100-00001A090000}"/>
    <hyperlink ref="I4410" r:id="rId2332" xr:uid="{00000000-0004-0000-0100-00001B090000}"/>
    <hyperlink ref="I4411" r:id="rId2333" xr:uid="{00000000-0004-0000-0100-00001C090000}"/>
    <hyperlink ref="I4412" r:id="rId2334" xr:uid="{00000000-0004-0000-0100-00001D090000}"/>
    <hyperlink ref="I4413" r:id="rId2335" xr:uid="{00000000-0004-0000-0100-00001E090000}"/>
    <hyperlink ref="I4414" r:id="rId2336" xr:uid="{00000000-0004-0000-0100-00001F090000}"/>
    <hyperlink ref="I4415" r:id="rId2337" xr:uid="{00000000-0004-0000-0100-000020090000}"/>
    <hyperlink ref="I4416" r:id="rId2338" xr:uid="{00000000-0004-0000-0100-000021090000}"/>
    <hyperlink ref="I4417" r:id="rId2339" xr:uid="{00000000-0004-0000-0100-000022090000}"/>
    <hyperlink ref="I4418" r:id="rId2340" xr:uid="{00000000-0004-0000-0100-000023090000}"/>
    <hyperlink ref="I4419" r:id="rId2341" xr:uid="{00000000-0004-0000-0100-000024090000}"/>
    <hyperlink ref="I4420" r:id="rId2342" xr:uid="{00000000-0004-0000-0100-000025090000}"/>
    <hyperlink ref="I4421" r:id="rId2343" xr:uid="{00000000-0004-0000-0100-000026090000}"/>
    <hyperlink ref="I4422" r:id="rId2344" xr:uid="{00000000-0004-0000-0100-000027090000}"/>
    <hyperlink ref="I4423" r:id="rId2345" xr:uid="{00000000-0004-0000-0100-000028090000}"/>
    <hyperlink ref="I4424" r:id="rId2346" xr:uid="{00000000-0004-0000-0100-000029090000}"/>
    <hyperlink ref="I4425" r:id="rId2347" xr:uid="{00000000-0004-0000-0100-00002A090000}"/>
    <hyperlink ref="I4426" r:id="rId2348" xr:uid="{00000000-0004-0000-0100-00002B090000}"/>
    <hyperlink ref="I4427" r:id="rId2349" xr:uid="{00000000-0004-0000-0100-00002C090000}"/>
    <hyperlink ref="I4428" r:id="rId2350" xr:uid="{00000000-0004-0000-0100-00002D090000}"/>
    <hyperlink ref="I4429" r:id="rId2351" xr:uid="{00000000-0004-0000-0100-00002E090000}"/>
    <hyperlink ref="I4430" r:id="rId2352" xr:uid="{00000000-0004-0000-0100-00002F090000}"/>
    <hyperlink ref="I4431" r:id="rId2353" xr:uid="{00000000-0004-0000-0100-000030090000}"/>
    <hyperlink ref="I4432" r:id="rId2354" xr:uid="{00000000-0004-0000-0100-000031090000}"/>
    <hyperlink ref="I4433" r:id="rId2355" xr:uid="{00000000-0004-0000-0100-000032090000}"/>
    <hyperlink ref="I4434" r:id="rId2356" xr:uid="{00000000-0004-0000-0100-000033090000}"/>
    <hyperlink ref="I4435" r:id="rId2357" xr:uid="{00000000-0004-0000-0100-000034090000}"/>
    <hyperlink ref="I4436" r:id="rId2358" xr:uid="{00000000-0004-0000-0100-000035090000}"/>
    <hyperlink ref="I4437" r:id="rId2359" xr:uid="{00000000-0004-0000-0100-000036090000}"/>
    <hyperlink ref="I4438" r:id="rId2360" xr:uid="{00000000-0004-0000-0100-000037090000}"/>
    <hyperlink ref="I4439" r:id="rId2361" xr:uid="{00000000-0004-0000-0100-000038090000}"/>
    <hyperlink ref="I4440" r:id="rId2362" xr:uid="{00000000-0004-0000-0100-000039090000}"/>
    <hyperlink ref="I4441" r:id="rId2363" xr:uid="{00000000-0004-0000-0100-00003A090000}"/>
    <hyperlink ref="I4442" r:id="rId2364" xr:uid="{00000000-0004-0000-0100-00003B090000}"/>
    <hyperlink ref="I4443" r:id="rId2365" xr:uid="{00000000-0004-0000-0100-00003C090000}"/>
    <hyperlink ref="I4444" r:id="rId2366" xr:uid="{00000000-0004-0000-0100-00003D090000}"/>
    <hyperlink ref="I4445" r:id="rId2367" xr:uid="{00000000-0004-0000-0100-00003E090000}"/>
    <hyperlink ref="I4446" r:id="rId2368" xr:uid="{00000000-0004-0000-0100-00003F090000}"/>
    <hyperlink ref="I4447" r:id="rId2369" xr:uid="{00000000-0004-0000-0100-000040090000}"/>
    <hyperlink ref="I4448" r:id="rId2370" xr:uid="{00000000-0004-0000-0100-000041090000}"/>
    <hyperlink ref="I4449" r:id="rId2371" xr:uid="{00000000-0004-0000-0100-000042090000}"/>
    <hyperlink ref="I4450" r:id="rId2372" xr:uid="{00000000-0004-0000-0100-000043090000}"/>
    <hyperlink ref="I4451" r:id="rId2373" xr:uid="{00000000-0004-0000-0100-000044090000}"/>
    <hyperlink ref="I4452" r:id="rId2374" xr:uid="{00000000-0004-0000-0100-000045090000}"/>
    <hyperlink ref="I4453" r:id="rId2375" xr:uid="{00000000-0004-0000-0100-000046090000}"/>
    <hyperlink ref="I4454" r:id="rId2376" xr:uid="{00000000-0004-0000-0100-000047090000}"/>
    <hyperlink ref="I4455" r:id="rId2377" xr:uid="{00000000-0004-0000-0100-000048090000}"/>
    <hyperlink ref="I4456" r:id="rId2378" xr:uid="{00000000-0004-0000-0100-000049090000}"/>
    <hyperlink ref="I4457" r:id="rId2379" xr:uid="{00000000-0004-0000-0100-00004A090000}"/>
    <hyperlink ref="I4458" r:id="rId2380" xr:uid="{00000000-0004-0000-0100-00004B090000}"/>
    <hyperlink ref="I4459" r:id="rId2381" xr:uid="{00000000-0004-0000-0100-00004C090000}"/>
    <hyperlink ref="I4460" r:id="rId2382" xr:uid="{00000000-0004-0000-0100-00004D090000}"/>
    <hyperlink ref="I4461" r:id="rId2383" xr:uid="{00000000-0004-0000-0100-00004E090000}"/>
    <hyperlink ref="I4462" r:id="rId2384" xr:uid="{00000000-0004-0000-0100-00004F090000}"/>
    <hyperlink ref="I4463" r:id="rId2385" xr:uid="{00000000-0004-0000-0100-000050090000}"/>
    <hyperlink ref="I4464" r:id="rId2386" xr:uid="{00000000-0004-0000-0100-000051090000}"/>
    <hyperlink ref="I4465" r:id="rId2387" xr:uid="{00000000-0004-0000-0100-000052090000}"/>
    <hyperlink ref="I4466" r:id="rId2388" xr:uid="{00000000-0004-0000-0100-000053090000}"/>
    <hyperlink ref="I4467" r:id="rId2389" xr:uid="{00000000-0004-0000-0100-000054090000}"/>
    <hyperlink ref="I4468" r:id="rId2390" xr:uid="{00000000-0004-0000-0100-000055090000}"/>
    <hyperlink ref="I4469" r:id="rId2391" xr:uid="{00000000-0004-0000-0100-000056090000}"/>
    <hyperlink ref="I4470" r:id="rId2392" xr:uid="{00000000-0004-0000-0100-000057090000}"/>
    <hyperlink ref="I4471" r:id="rId2393" xr:uid="{00000000-0004-0000-0100-000058090000}"/>
    <hyperlink ref="I4472" r:id="rId2394" xr:uid="{00000000-0004-0000-0100-000059090000}"/>
    <hyperlink ref="I4473" r:id="rId2395" xr:uid="{00000000-0004-0000-0100-00005A090000}"/>
    <hyperlink ref="I4474" r:id="rId2396" xr:uid="{00000000-0004-0000-0100-00005B090000}"/>
    <hyperlink ref="I4475" r:id="rId2397" xr:uid="{00000000-0004-0000-0100-00005C090000}"/>
    <hyperlink ref="I4476" r:id="rId2398" xr:uid="{00000000-0004-0000-0100-00005D090000}"/>
    <hyperlink ref="I4477" r:id="rId2399" xr:uid="{00000000-0004-0000-0100-00005E090000}"/>
    <hyperlink ref="I4478" r:id="rId2400" xr:uid="{00000000-0004-0000-0100-00005F090000}"/>
    <hyperlink ref="I4479" r:id="rId2401" xr:uid="{00000000-0004-0000-0100-000060090000}"/>
    <hyperlink ref="I4480" r:id="rId2402" xr:uid="{00000000-0004-0000-0100-000061090000}"/>
    <hyperlink ref="I4481" r:id="rId2403" xr:uid="{00000000-0004-0000-0100-000062090000}"/>
    <hyperlink ref="I4482" r:id="rId2404" xr:uid="{00000000-0004-0000-0100-000063090000}"/>
    <hyperlink ref="I4483" r:id="rId2405" xr:uid="{00000000-0004-0000-0100-000064090000}"/>
    <hyperlink ref="I4484" r:id="rId2406" xr:uid="{00000000-0004-0000-0100-000065090000}"/>
    <hyperlink ref="I4485" r:id="rId2407" xr:uid="{00000000-0004-0000-0100-000066090000}"/>
    <hyperlink ref="I4486" r:id="rId2408" xr:uid="{00000000-0004-0000-0100-000067090000}"/>
    <hyperlink ref="I4487" r:id="rId2409" xr:uid="{00000000-0004-0000-0100-000068090000}"/>
    <hyperlink ref="I4488" r:id="rId2410" xr:uid="{00000000-0004-0000-0100-000069090000}"/>
    <hyperlink ref="I4489" r:id="rId2411" xr:uid="{00000000-0004-0000-0100-00006A090000}"/>
    <hyperlink ref="I4490" r:id="rId2412" xr:uid="{00000000-0004-0000-0100-00006B090000}"/>
    <hyperlink ref="I4491" r:id="rId2413" xr:uid="{00000000-0004-0000-0100-00006C090000}"/>
    <hyperlink ref="I4492" r:id="rId2414" xr:uid="{00000000-0004-0000-0100-00006D090000}"/>
    <hyperlink ref="I4493" r:id="rId2415" xr:uid="{00000000-0004-0000-0100-00006E090000}"/>
    <hyperlink ref="I4494" r:id="rId2416" xr:uid="{00000000-0004-0000-0100-00006F090000}"/>
    <hyperlink ref="I4495" r:id="rId2417" xr:uid="{00000000-0004-0000-0100-000070090000}"/>
    <hyperlink ref="I4496" r:id="rId2418" xr:uid="{00000000-0004-0000-0100-000071090000}"/>
    <hyperlink ref="I4497" r:id="rId2419" xr:uid="{00000000-0004-0000-0100-000072090000}"/>
    <hyperlink ref="I4498" r:id="rId2420" xr:uid="{00000000-0004-0000-0100-000073090000}"/>
    <hyperlink ref="I4499" r:id="rId2421" xr:uid="{00000000-0004-0000-0100-000074090000}"/>
    <hyperlink ref="I4500" r:id="rId2422" xr:uid="{00000000-0004-0000-0100-000075090000}"/>
    <hyperlink ref="I4501" r:id="rId2423" xr:uid="{00000000-0004-0000-0100-000076090000}"/>
    <hyperlink ref="I4502" r:id="rId2424" xr:uid="{00000000-0004-0000-0100-000077090000}"/>
    <hyperlink ref="I4503" r:id="rId2425" xr:uid="{00000000-0004-0000-0100-000078090000}"/>
    <hyperlink ref="I4504" r:id="rId2426" xr:uid="{00000000-0004-0000-0100-000079090000}"/>
    <hyperlink ref="I4505" r:id="rId2427" xr:uid="{00000000-0004-0000-0100-00007A090000}"/>
    <hyperlink ref="I4506" r:id="rId2428" xr:uid="{00000000-0004-0000-0100-00007B090000}"/>
    <hyperlink ref="I4507" r:id="rId2429" xr:uid="{00000000-0004-0000-0100-00007C090000}"/>
    <hyperlink ref="I4508" r:id="rId2430" xr:uid="{00000000-0004-0000-0100-00007D090000}"/>
    <hyperlink ref="I4509" r:id="rId2431" xr:uid="{00000000-0004-0000-0100-00007E090000}"/>
    <hyperlink ref="I4510" r:id="rId2432" xr:uid="{00000000-0004-0000-0100-00007F090000}"/>
    <hyperlink ref="I4511" r:id="rId2433" xr:uid="{00000000-0004-0000-0100-000080090000}"/>
    <hyperlink ref="I4512" r:id="rId2434" xr:uid="{00000000-0004-0000-0100-000081090000}"/>
    <hyperlink ref="I4513" r:id="rId2435" xr:uid="{00000000-0004-0000-0100-000082090000}"/>
    <hyperlink ref="I4514" r:id="rId2436" xr:uid="{00000000-0004-0000-0100-000083090000}"/>
    <hyperlink ref="I4515" r:id="rId2437" xr:uid="{00000000-0004-0000-0100-000084090000}"/>
    <hyperlink ref="I4516" r:id="rId2438" xr:uid="{00000000-0004-0000-0100-000085090000}"/>
    <hyperlink ref="I4517" r:id="rId2439" xr:uid="{00000000-0004-0000-0100-000086090000}"/>
    <hyperlink ref="I4518" r:id="rId2440" xr:uid="{00000000-0004-0000-0100-000087090000}"/>
    <hyperlink ref="I4519" r:id="rId2441" xr:uid="{00000000-0004-0000-0100-000088090000}"/>
    <hyperlink ref="I4520" r:id="rId2442" xr:uid="{00000000-0004-0000-0100-000089090000}"/>
    <hyperlink ref="I4521" r:id="rId2443" xr:uid="{00000000-0004-0000-0100-00008A090000}"/>
    <hyperlink ref="I4522" r:id="rId2444" xr:uid="{00000000-0004-0000-0100-00008B090000}"/>
    <hyperlink ref="I4523" r:id="rId2445" xr:uid="{00000000-0004-0000-0100-00008C090000}"/>
    <hyperlink ref="I4524" r:id="rId2446" xr:uid="{00000000-0004-0000-0100-00008D090000}"/>
    <hyperlink ref="I4525" r:id="rId2447" xr:uid="{00000000-0004-0000-0100-00008E090000}"/>
    <hyperlink ref="I4526" r:id="rId2448" xr:uid="{00000000-0004-0000-0100-00008F090000}"/>
    <hyperlink ref="I4527" r:id="rId2449" xr:uid="{00000000-0004-0000-0100-000090090000}"/>
    <hyperlink ref="I4528" r:id="rId2450" xr:uid="{00000000-0004-0000-0100-000091090000}"/>
    <hyperlink ref="I4529" r:id="rId2451" xr:uid="{00000000-0004-0000-0100-000092090000}"/>
    <hyperlink ref="I4530" r:id="rId2452" xr:uid="{00000000-0004-0000-0100-000093090000}"/>
    <hyperlink ref="I4531" r:id="rId2453" xr:uid="{00000000-0004-0000-0100-000094090000}"/>
    <hyperlink ref="I4532" r:id="rId2454" xr:uid="{00000000-0004-0000-0100-000095090000}"/>
    <hyperlink ref="I4533" r:id="rId2455" xr:uid="{00000000-0004-0000-0100-000096090000}"/>
    <hyperlink ref="I4534" r:id="rId2456" xr:uid="{00000000-0004-0000-0100-000097090000}"/>
    <hyperlink ref="I4535" r:id="rId2457" xr:uid="{00000000-0004-0000-0100-000098090000}"/>
    <hyperlink ref="I4536" r:id="rId2458" xr:uid="{00000000-0004-0000-0100-000099090000}"/>
    <hyperlink ref="I4537" r:id="rId2459" xr:uid="{00000000-0004-0000-0100-00009A090000}"/>
    <hyperlink ref="I4538" r:id="rId2460" xr:uid="{00000000-0004-0000-0100-00009B090000}"/>
    <hyperlink ref="I4539" r:id="rId2461" xr:uid="{00000000-0004-0000-0100-00009C090000}"/>
    <hyperlink ref="I4540" r:id="rId2462" xr:uid="{00000000-0004-0000-0100-00009D090000}"/>
    <hyperlink ref="I4541" r:id="rId2463" xr:uid="{00000000-0004-0000-0100-00009E090000}"/>
    <hyperlink ref="I4542" r:id="rId2464" xr:uid="{00000000-0004-0000-0100-00009F090000}"/>
    <hyperlink ref="I4543" r:id="rId2465" xr:uid="{00000000-0004-0000-0100-0000A0090000}"/>
    <hyperlink ref="I4544" r:id="rId2466" xr:uid="{00000000-0004-0000-0100-0000A1090000}"/>
    <hyperlink ref="I4545" r:id="rId2467" xr:uid="{00000000-0004-0000-0100-0000A2090000}"/>
    <hyperlink ref="I4546" r:id="rId2468" xr:uid="{00000000-0004-0000-0100-0000A3090000}"/>
    <hyperlink ref="I4547" r:id="rId2469" xr:uid="{00000000-0004-0000-0100-0000A4090000}"/>
    <hyperlink ref="I4548" r:id="rId2470" xr:uid="{00000000-0004-0000-0100-0000A5090000}"/>
    <hyperlink ref="I4549" r:id="rId2471" xr:uid="{00000000-0004-0000-0100-0000A6090000}"/>
    <hyperlink ref="I4550" r:id="rId2472" xr:uid="{00000000-0004-0000-0100-0000A7090000}"/>
    <hyperlink ref="I4551" r:id="rId2473" xr:uid="{00000000-0004-0000-0100-0000A8090000}"/>
    <hyperlink ref="I4552" r:id="rId2474" xr:uid="{00000000-0004-0000-0100-0000A9090000}"/>
    <hyperlink ref="I4553" r:id="rId2475" xr:uid="{00000000-0004-0000-0100-0000AA090000}"/>
    <hyperlink ref="I4554" r:id="rId2476" xr:uid="{00000000-0004-0000-0100-0000AB090000}"/>
    <hyperlink ref="I4555" r:id="rId2477" xr:uid="{00000000-0004-0000-0100-0000AC090000}"/>
    <hyperlink ref="I4556" r:id="rId2478" xr:uid="{00000000-0004-0000-0100-0000AD090000}"/>
    <hyperlink ref="I4557" r:id="rId2479" xr:uid="{00000000-0004-0000-0100-0000AE090000}"/>
    <hyperlink ref="I4558" r:id="rId2480" xr:uid="{00000000-0004-0000-0100-0000AF090000}"/>
    <hyperlink ref="I4559" r:id="rId2481" xr:uid="{00000000-0004-0000-0100-0000B0090000}"/>
    <hyperlink ref="I4560" r:id="rId2482" xr:uid="{00000000-0004-0000-0100-0000B1090000}"/>
    <hyperlink ref="I4561" r:id="rId2483" xr:uid="{00000000-0004-0000-0100-0000B2090000}"/>
    <hyperlink ref="I4562" r:id="rId2484" xr:uid="{00000000-0004-0000-0100-0000B3090000}"/>
    <hyperlink ref="I4563" r:id="rId2485" xr:uid="{00000000-0004-0000-0100-0000B4090000}"/>
    <hyperlink ref="I4564" r:id="rId2486" xr:uid="{00000000-0004-0000-0100-0000B5090000}"/>
    <hyperlink ref="I4565" r:id="rId2487" xr:uid="{00000000-0004-0000-0100-0000B6090000}"/>
    <hyperlink ref="I4566" r:id="rId2488" xr:uid="{00000000-0004-0000-0100-0000B7090000}"/>
    <hyperlink ref="I4567" r:id="rId2489" xr:uid="{00000000-0004-0000-0100-0000B8090000}"/>
    <hyperlink ref="I4568" r:id="rId2490" xr:uid="{00000000-0004-0000-0100-0000B9090000}"/>
    <hyperlink ref="I4569" r:id="rId2491" xr:uid="{00000000-0004-0000-0100-0000BA090000}"/>
    <hyperlink ref="I4570" r:id="rId2492" xr:uid="{00000000-0004-0000-0100-0000BB090000}"/>
    <hyperlink ref="I4571" r:id="rId2493" xr:uid="{00000000-0004-0000-0100-0000BC090000}"/>
    <hyperlink ref="I4572" r:id="rId2494" xr:uid="{00000000-0004-0000-0100-0000BD090000}"/>
    <hyperlink ref="I4573" r:id="rId2495" xr:uid="{00000000-0004-0000-0100-0000BE090000}"/>
    <hyperlink ref="I4574" r:id="rId2496" xr:uid="{00000000-0004-0000-0100-0000BF090000}"/>
    <hyperlink ref="I4575" r:id="rId2497" xr:uid="{00000000-0004-0000-0100-0000C0090000}"/>
    <hyperlink ref="I4576" r:id="rId2498" xr:uid="{00000000-0004-0000-0100-0000C1090000}"/>
    <hyperlink ref="I4577" r:id="rId2499" xr:uid="{00000000-0004-0000-0100-0000C2090000}"/>
    <hyperlink ref="I4578" r:id="rId2500" xr:uid="{00000000-0004-0000-0100-0000C3090000}"/>
    <hyperlink ref="I4579" r:id="rId2501" xr:uid="{00000000-0004-0000-0100-0000C4090000}"/>
    <hyperlink ref="I4580" r:id="rId2502" xr:uid="{00000000-0004-0000-0100-0000C5090000}"/>
    <hyperlink ref="I4581" r:id="rId2503" xr:uid="{00000000-0004-0000-0100-0000C6090000}"/>
    <hyperlink ref="I4582" r:id="rId2504" xr:uid="{00000000-0004-0000-0100-0000C7090000}"/>
    <hyperlink ref="I4583" r:id="rId2505" xr:uid="{00000000-0004-0000-0100-0000C8090000}"/>
    <hyperlink ref="I4584" r:id="rId2506" xr:uid="{00000000-0004-0000-0100-0000C9090000}"/>
    <hyperlink ref="I4585" r:id="rId2507" xr:uid="{00000000-0004-0000-0100-0000CA090000}"/>
    <hyperlink ref="I4586" r:id="rId2508" xr:uid="{00000000-0004-0000-0100-0000CB090000}"/>
    <hyperlink ref="I4587" r:id="rId2509" xr:uid="{00000000-0004-0000-0100-0000CC090000}"/>
    <hyperlink ref="I4588" r:id="rId2510" xr:uid="{00000000-0004-0000-0100-0000CD090000}"/>
    <hyperlink ref="I4589" r:id="rId2511" xr:uid="{00000000-0004-0000-0100-0000CE090000}"/>
    <hyperlink ref="I4590" r:id="rId2512" xr:uid="{00000000-0004-0000-0100-0000CF090000}"/>
    <hyperlink ref="I4591" r:id="rId2513" xr:uid="{00000000-0004-0000-0100-0000D0090000}"/>
    <hyperlink ref="I4592" r:id="rId2514" xr:uid="{00000000-0004-0000-0100-0000D1090000}"/>
    <hyperlink ref="I4593" r:id="rId2515" xr:uid="{00000000-0004-0000-0100-0000D2090000}"/>
    <hyperlink ref="I4594" r:id="rId2516" xr:uid="{00000000-0004-0000-0100-0000D3090000}"/>
    <hyperlink ref="I4595" r:id="rId2517" xr:uid="{00000000-0004-0000-0100-0000D4090000}"/>
    <hyperlink ref="I4596" r:id="rId2518" xr:uid="{00000000-0004-0000-0100-0000D5090000}"/>
    <hyperlink ref="I4597" r:id="rId2519" xr:uid="{00000000-0004-0000-0100-0000D6090000}"/>
    <hyperlink ref="I4598" r:id="rId2520" xr:uid="{00000000-0004-0000-0100-0000D7090000}"/>
    <hyperlink ref="I4599" r:id="rId2521" xr:uid="{00000000-0004-0000-0100-0000D8090000}"/>
    <hyperlink ref="I4600" r:id="rId2522" xr:uid="{00000000-0004-0000-0100-0000D9090000}"/>
    <hyperlink ref="I4601" r:id="rId2523" xr:uid="{00000000-0004-0000-0100-0000DA090000}"/>
    <hyperlink ref="I4602" r:id="rId2524" xr:uid="{00000000-0004-0000-0100-0000DB090000}"/>
    <hyperlink ref="I4603" r:id="rId2525" xr:uid="{00000000-0004-0000-0100-0000DC090000}"/>
    <hyperlink ref="I4604" r:id="rId2526" xr:uid="{00000000-0004-0000-0100-0000DD090000}"/>
    <hyperlink ref="I4605" r:id="rId2527" xr:uid="{00000000-0004-0000-0100-0000DE090000}"/>
    <hyperlink ref="I4606" r:id="rId2528" xr:uid="{00000000-0004-0000-0100-0000DF090000}"/>
    <hyperlink ref="I4607" r:id="rId2529" xr:uid="{00000000-0004-0000-0100-0000E0090000}"/>
    <hyperlink ref="I4608" r:id="rId2530" xr:uid="{00000000-0004-0000-0100-0000E1090000}"/>
    <hyperlink ref="I4609" r:id="rId2531" xr:uid="{00000000-0004-0000-0100-0000E2090000}"/>
    <hyperlink ref="I4610" r:id="rId2532" xr:uid="{00000000-0004-0000-0100-0000E3090000}"/>
    <hyperlink ref="I4611" r:id="rId2533" xr:uid="{00000000-0004-0000-0100-0000E4090000}"/>
    <hyperlink ref="I4612" r:id="rId2534" xr:uid="{00000000-0004-0000-0100-0000E5090000}"/>
    <hyperlink ref="I4613" r:id="rId2535" xr:uid="{00000000-0004-0000-0100-0000E6090000}"/>
    <hyperlink ref="I4614" r:id="rId2536" xr:uid="{00000000-0004-0000-0100-0000E7090000}"/>
    <hyperlink ref="I4615" r:id="rId2537" xr:uid="{00000000-0004-0000-0100-0000E8090000}"/>
    <hyperlink ref="I4616" r:id="rId2538" xr:uid="{00000000-0004-0000-0100-0000E9090000}"/>
    <hyperlink ref="I4617" r:id="rId2539" xr:uid="{00000000-0004-0000-0100-0000EA090000}"/>
    <hyperlink ref="I4618" r:id="rId2540" xr:uid="{00000000-0004-0000-0100-0000EB090000}"/>
    <hyperlink ref="I4619" r:id="rId2541" xr:uid="{00000000-0004-0000-0100-0000EC090000}"/>
    <hyperlink ref="I4620" r:id="rId2542" xr:uid="{00000000-0004-0000-0100-0000ED090000}"/>
    <hyperlink ref="I4621" r:id="rId2543" xr:uid="{00000000-0004-0000-0100-0000EE090000}"/>
    <hyperlink ref="I4622" r:id="rId2544" xr:uid="{00000000-0004-0000-0100-0000EF090000}"/>
    <hyperlink ref="I4623" r:id="rId2545" xr:uid="{00000000-0004-0000-0100-0000F0090000}"/>
    <hyperlink ref="I4624" r:id="rId2546" xr:uid="{00000000-0004-0000-0100-0000F1090000}"/>
    <hyperlink ref="I4625" r:id="rId2547" xr:uid="{00000000-0004-0000-0100-0000F2090000}"/>
    <hyperlink ref="I4626" r:id="rId2548" xr:uid="{00000000-0004-0000-0100-0000F3090000}"/>
    <hyperlink ref="I4627" r:id="rId2549" xr:uid="{00000000-0004-0000-0100-0000F4090000}"/>
    <hyperlink ref="I4628" r:id="rId2550" xr:uid="{00000000-0004-0000-0100-0000F5090000}"/>
    <hyperlink ref="I4629" r:id="rId2551" xr:uid="{00000000-0004-0000-0100-0000F6090000}"/>
    <hyperlink ref="I4630" r:id="rId2552" xr:uid="{00000000-0004-0000-0100-0000F7090000}"/>
    <hyperlink ref="I4631" r:id="rId2553" xr:uid="{00000000-0004-0000-0100-0000F8090000}"/>
    <hyperlink ref="I4632" r:id="rId2554" xr:uid="{00000000-0004-0000-0100-0000F9090000}"/>
    <hyperlink ref="I4633" r:id="rId2555" xr:uid="{00000000-0004-0000-0100-0000FA090000}"/>
    <hyperlink ref="I4634" r:id="rId2556" xr:uid="{00000000-0004-0000-0100-0000FB090000}"/>
    <hyperlink ref="I4635" r:id="rId2557" xr:uid="{00000000-0004-0000-0100-0000FC090000}"/>
    <hyperlink ref="I4636" r:id="rId2558" xr:uid="{00000000-0004-0000-0100-0000FD090000}"/>
    <hyperlink ref="I4637" r:id="rId2559" xr:uid="{00000000-0004-0000-0100-0000FE090000}"/>
    <hyperlink ref="I4638" r:id="rId2560" xr:uid="{00000000-0004-0000-0100-0000FF090000}"/>
    <hyperlink ref="I4639" r:id="rId2561" xr:uid="{00000000-0004-0000-0100-0000000A0000}"/>
    <hyperlink ref="I4640" r:id="rId2562" xr:uid="{00000000-0004-0000-0100-0000010A0000}"/>
    <hyperlink ref="I4641" r:id="rId2563" xr:uid="{00000000-0004-0000-0100-0000020A0000}"/>
    <hyperlink ref="I4642" r:id="rId2564" xr:uid="{00000000-0004-0000-0100-0000030A0000}"/>
    <hyperlink ref="I4643" r:id="rId2565" xr:uid="{00000000-0004-0000-0100-0000040A0000}"/>
    <hyperlink ref="I4644" r:id="rId2566" xr:uid="{00000000-0004-0000-0100-0000050A0000}"/>
    <hyperlink ref="I4645" r:id="rId2567" xr:uid="{00000000-0004-0000-0100-0000060A0000}"/>
    <hyperlink ref="I4646" r:id="rId2568" xr:uid="{00000000-0004-0000-0100-0000070A0000}"/>
    <hyperlink ref="I4647" r:id="rId2569" xr:uid="{00000000-0004-0000-0100-0000080A0000}"/>
    <hyperlink ref="I4648" r:id="rId2570" xr:uid="{00000000-0004-0000-0100-0000090A0000}"/>
    <hyperlink ref="I4649" r:id="rId2571" xr:uid="{00000000-0004-0000-0100-00000A0A0000}"/>
    <hyperlink ref="I4650" r:id="rId2572" xr:uid="{00000000-0004-0000-0100-00000B0A0000}"/>
    <hyperlink ref="I4651" r:id="rId2573" xr:uid="{00000000-0004-0000-0100-00000C0A0000}"/>
    <hyperlink ref="I4652" r:id="rId2574" xr:uid="{00000000-0004-0000-0100-00000D0A0000}"/>
    <hyperlink ref="I4653" r:id="rId2575" xr:uid="{00000000-0004-0000-0100-00000E0A0000}"/>
    <hyperlink ref="I4654" r:id="rId2576" xr:uid="{00000000-0004-0000-0100-00000F0A0000}"/>
    <hyperlink ref="I4655" r:id="rId2577" xr:uid="{00000000-0004-0000-0100-0000100A0000}"/>
    <hyperlink ref="I4656" r:id="rId2578" xr:uid="{00000000-0004-0000-0100-0000110A0000}"/>
    <hyperlink ref="I4657" r:id="rId2579" xr:uid="{00000000-0004-0000-0100-0000120A0000}"/>
    <hyperlink ref="I4658" r:id="rId2580" xr:uid="{00000000-0004-0000-0100-0000130A0000}"/>
    <hyperlink ref="I4659" r:id="rId2581" xr:uid="{00000000-0004-0000-0100-0000140A0000}"/>
    <hyperlink ref="I4660" r:id="rId2582" xr:uid="{00000000-0004-0000-0100-0000150A0000}"/>
    <hyperlink ref="I4661" r:id="rId2583" xr:uid="{00000000-0004-0000-0100-0000160A0000}"/>
    <hyperlink ref="I4662" r:id="rId2584" xr:uid="{00000000-0004-0000-0100-0000170A0000}"/>
    <hyperlink ref="I4663" r:id="rId2585" xr:uid="{00000000-0004-0000-0100-0000180A0000}"/>
    <hyperlink ref="I4664" r:id="rId2586" xr:uid="{00000000-0004-0000-0100-0000190A0000}"/>
    <hyperlink ref="I4665" r:id="rId2587" xr:uid="{00000000-0004-0000-0100-00001A0A0000}"/>
    <hyperlink ref="I4666" r:id="rId2588" xr:uid="{00000000-0004-0000-0100-00001B0A0000}"/>
    <hyperlink ref="I4667" r:id="rId2589" xr:uid="{00000000-0004-0000-0100-00001C0A0000}"/>
    <hyperlink ref="I4668" r:id="rId2590" xr:uid="{00000000-0004-0000-0100-00001D0A0000}"/>
    <hyperlink ref="I4669" r:id="rId2591" xr:uid="{00000000-0004-0000-0100-00001E0A0000}"/>
    <hyperlink ref="I4670" r:id="rId2592" xr:uid="{00000000-0004-0000-0100-00001F0A0000}"/>
    <hyperlink ref="I4671" r:id="rId2593" xr:uid="{00000000-0004-0000-0100-0000200A0000}"/>
    <hyperlink ref="I4672" r:id="rId2594" xr:uid="{00000000-0004-0000-0100-0000210A0000}"/>
    <hyperlink ref="I4673" r:id="rId2595" xr:uid="{00000000-0004-0000-0100-0000220A0000}"/>
    <hyperlink ref="I4674" r:id="rId2596" xr:uid="{00000000-0004-0000-0100-0000230A0000}"/>
    <hyperlink ref="I4675" r:id="rId2597" xr:uid="{00000000-0004-0000-0100-0000240A0000}"/>
    <hyperlink ref="I4676" r:id="rId2598" xr:uid="{00000000-0004-0000-0100-0000250A0000}"/>
    <hyperlink ref="I4677" r:id="rId2599" xr:uid="{00000000-0004-0000-0100-0000260A0000}"/>
    <hyperlink ref="I4678" r:id="rId2600" xr:uid="{00000000-0004-0000-0100-0000270A0000}"/>
    <hyperlink ref="I4679" r:id="rId2601" xr:uid="{00000000-0004-0000-0100-0000280A0000}"/>
    <hyperlink ref="I4680" r:id="rId2602" xr:uid="{00000000-0004-0000-0100-0000290A0000}"/>
    <hyperlink ref="I4681" r:id="rId2603" xr:uid="{00000000-0004-0000-0100-00002A0A0000}"/>
    <hyperlink ref="I4682" r:id="rId2604" xr:uid="{00000000-0004-0000-0100-00002B0A0000}"/>
    <hyperlink ref="I4683" r:id="rId2605" xr:uid="{00000000-0004-0000-0100-00002C0A0000}"/>
    <hyperlink ref="I4684" r:id="rId2606" xr:uid="{00000000-0004-0000-0100-00002D0A0000}"/>
    <hyperlink ref="I4685" r:id="rId2607" xr:uid="{00000000-0004-0000-0100-00002E0A0000}"/>
    <hyperlink ref="I4686" r:id="rId2608" xr:uid="{00000000-0004-0000-0100-00002F0A0000}"/>
    <hyperlink ref="I4687" r:id="rId2609" xr:uid="{00000000-0004-0000-0100-0000300A0000}"/>
    <hyperlink ref="I4688" r:id="rId2610" xr:uid="{00000000-0004-0000-0100-0000310A0000}"/>
    <hyperlink ref="I4689" r:id="rId2611" xr:uid="{00000000-0004-0000-0100-0000320A0000}"/>
    <hyperlink ref="I4690" r:id="rId2612" xr:uid="{00000000-0004-0000-0100-0000330A0000}"/>
    <hyperlink ref="I4691" r:id="rId2613" xr:uid="{00000000-0004-0000-0100-0000340A0000}"/>
    <hyperlink ref="I4692" r:id="rId2614" xr:uid="{00000000-0004-0000-0100-0000350A0000}"/>
    <hyperlink ref="I4693" r:id="rId2615" xr:uid="{00000000-0004-0000-0100-0000360A0000}"/>
    <hyperlink ref="I4694" r:id="rId2616" xr:uid="{00000000-0004-0000-0100-0000370A0000}"/>
    <hyperlink ref="I4695" r:id="rId2617" xr:uid="{00000000-0004-0000-0100-0000380A0000}"/>
    <hyperlink ref="I4696" r:id="rId2618" xr:uid="{00000000-0004-0000-0100-0000390A0000}"/>
    <hyperlink ref="I4697" r:id="rId2619" xr:uid="{00000000-0004-0000-0100-00003A0A0000}"/>
    <hyperlink ref="I4698" r:id="rId2620" xr:uid="{00000000-0004-0000-0100-00003B0A0000}"/>
    <hyperlink ref="I4699" r:id="rId2621" xr:uid="{00000000-0004-0000-0100-00003C0A0000}"/>
    <hyperlink ref="I4700" r:id="rId2622" xr:uid="{00000000-0004-0000-0100-00003D0A0000}"/>
    <hyperlink ref="I4701" r:id="rId2623" xr:uid="{00000000-0004-0000-0100-00003E0A0000}"/>
    <hyperlink ref="I4702" r:id="rId2624" xr:uid="{00000000-0004-0000-0100-00003F0A0000}"/>
    <hyperlink ref="I4703" r:id="rId2625" xr:uid="{00000000-0004-0000-0100-0000400A0000}"/>
    <hyperlink ref="I4704" r:id="rId2626" xr:uid="{00000000-0004-0000-0100-0000410A0000}"/>
    <hyperlink ref="I4705" r:id="rId2627" xr:uid="{00000000-0004-0000-0100-0000420A0000}"/>
    <hyperlink ref="I4706" r:id="rId2628" xr:uid="{00000000-0004-0000-0100-0000430A0000}"/>
    <hyperlink ref="I4707" r:id="rId2629" xr:uid="{00000000-0004-0000-0100-0000440A0000}"/>
    <hyperlink ref="I4708" r:id="rId2630" xr:uid="{00000000-0004-0000-0100-0000450A0000}"/>
    <hyperlink ref="I4709" r:id="rId2631" xr:uid="{00000000-0004-0000-0100-0000460A0000}"/>
    <hyperlink ref="I4710" r:id="rId2632" xr:uid="{00000000-0004-0000-0100-0000470A0000}"/>
    <hyperlink ref="I4711" r:id="rId2633" xr:uid="{00000000-0004-0000-0100-0000480A0000}"/>
    <hyperlink ref="I4712" r:id="rId2634" xr:uid="{00000000-0004-0000-0100-0000490A0000}"/>
    <hyperlink ref="I4713" r:id="rId2635" xr:uid="{00000000-0004-0000-0100-00004A0A0000}"/>
    <hyperlink ref="I4714" r:id="rId2636" xr:uid="{00000000-0004-0000-0100-00004B0A0000}"/>
    <hyperlink ref="I4715" r:id="rId2637" xr:uid="{00000000-0004-0000-0100-00004C0A0000}"/>
    <hyperlink ref="I4716" r:id="rId2638" xr:uid="{00000000-0004-0000-0100-00004D0A0000}"/>
    <hyperlink ref="I4717" r:id="rId2639" xr:uid="{00000000-0004-0000-0100-00004E0A0000}"/>
    <hyperlink ref="I4718" r:id="rId2640" xr:uid="{00000000-0004-0000-0100-00004F0A0000}"/>
    <hyperlink ref="I4719" r:id="rId2641" xr:uid="{00000000-0004-0000-0100-0000500A0000}"/>
    <hyperlink ref="I4720" r:id="rId2642" xr:uid="{00000000-0004-0000-0100-0000510A0000}"/>
    <hyperlink ref="I4721" r:id="rId2643" xr:uid="{00000000-0004-0000-0100-0000520A0000}"/>
    <hyperlink ref="I4722" r:id="rId2644" xr:uid="{00000000-0004-0000-0100-0000530A0000}"/>
    <hyperlink ref="I4723" r:id="rId2645" xr:uid="{00000000-0004-0000-0100-0000540A0000}"/>
    <hyperlink ref="I4724" r:id="rId2646" xr:uid="{00000000-0004-0000-0100-0000550A0000}"/>
    <hyperlink ref="I4725" r:id="rId2647" xr:uid="{00000000-0004-0000-0100-0000560A0000}"/>
    <hyperlink ref="I4726" r:id="rId2648" xr:uid="{00000000-0004-0000-0100-0000570A0000}"/>
    <hyperlink ref="I4727" r:id="rId2649" xr:uid="{00000000-0004-0000-0100-0000580A0000}"/>
    <hyperlink ref="I4728" r:id="rId2650" xr:uid="{00000000-0004-0000-0100-0000590A0000}"/>
    <hyperlink ref="I4729" r:id="rId2651" xr:uid="{00000000-0004-0000-0100-00005A0A0000}"/>
    <hyperlink ref="I4730" r:id="rId2652" xr:uid="{00000000-0004-0000-0100-00005B0A0000}"/>
    <hyperlink ref="I4731" r:id="rId2653" xr:uid="{00000000-0004-0000-0100-00005C0A0000}"/>
    <hyperlink ref="I4732" r:id="rId2654" xr:uid="{00000000-0004-0000-0100-00005D0A0000}"/>
    <hyperlink ref="I4733" r:id="rId2655" xr:uid="{00000000-0004-0000-0100-00005E0A0000}"/>
    <hyperlink ref="I4734" r:id="rId2656" xr:uid="{00000000-0004-0000-0100-00005F0A0000}"/>
    <hyperlink ref="I4735" r:id="rId2657" xr:uid="{00000000-0004-0000-0100-0000600A0000}"/>
    <hyperlink ref="I4736" r:id="rId2658" xr:uid="{00000000-0004-0000-0100-0000610A0000}"/>
    <hyperlink ref="I4737" r:id="rId2659" xr:uid="{00000000-0004-0000-0100-0000620A0000}"/>
    <hyperlink ref="I4738" r:id="rId2660" xr:uid="{00000000-0004-0000-0100-0000630A0000}"/>
    <hyperlink ref="I4739" r:id="rId2661" xr:uid="{00000000-0004-0000-0100-0000640A0000}"/>
    <hyperlink ref="I4740" r:id="rId2662" xr:uid="{00000000-0004-0000-0100-0000650A0000}"/>
    <hyperlink ref="I4741" r:id="rId2663" xr:uid="{00000000-0004-0000-0100-0000660A0000}"/>
    <hyperlink ref="I4742" r:id="rId2664" xr:uid="{00000000-0004-0000-0100-0000670A0000}"/>
    <hyperlink ref="I4743" r:id="rId2665" xr:uid="{00000000-0004-0000-0100-0000680A0000}"/>
    <hyperlink ref="I4744" r:id="rId2666" xr:uid="{00000000-0004-0000-0100-0000690A0000}"/>
    <hyperlink ref="I4745" r:id="rId2667" xr:uid="{00000000-0004-0000-0100-00006A0A0000}"/>
    <hyperlink ref="I4746" r:id="rId2668" xr:uid="{00000000-0004-0000-0100-00006B0A0000}"/>
    <hyperlink ref="I4747" r:id="rId2669" xr:uid="{00000000-0004-0000-0100-00006C0A0000}"/>
    <hyperlink ref="I4748" r:id="rId2670" xr:uid="{00000000-0004-0000-0100-00006D0A0000}"/>
    <hyperlink ref="I4749" r:id="rId2671" xr:uid="{00000000-0004-0000-0100-00006E0A0000}"/>
    <hyperlink ref="I4750" r:id="rId2672" xr:uid="{00000000-0004-0000-0100-00006F0A0000}"/>
    <hyperlink ref="I4751" r:id="rId2673" xr:uid="{00000000-0004-0000-0100-0000700A0000}"/>
    <hyperlink ref="I4752" r:id="rId2674" xr:uid="{00000000-0004-0000-0100-0000710A0000}"/>
    <hyperlink ref="I4753" r:id="rId2675" xr:uid="{00000000-0004-0000-0100-0000720A0000}"/>
    <hyperlink ref="I4754" r:id="rId2676" xr:uid="{00000000-0004-0000-0100-0000730A0000}"/>
    <hyperlink ref="I4755" r:id="rId2677" xr:uid="{00000000-0004-0000-0100-0000740A0000}"/>
    <hyperlink ref="I4756" r:id="rId2678" xr:uid="{00000000-0004-0000-0100-0000750A0000}"/>
    <hyperlink ref="I4757" r:id="rId2679" xr:uid="{00000000-0004-0000-0100-0000760A0000}"/>
    <hyperlink ref="I4758" r:id="rId2680" xr:uid="{00000000-0004-0000-0100-0000770A0000}"/>
    <hyperlink ref="I4759" r:id="rId2681" xr:uid="{00000000-0004-0000-0100-0000780A0000}"/>
    <hyperlink ref="I4760" r:id="rId2682" xr:uid="{00000000-0004-0000-0100-0000790A0000}"/>
    <hyperlink ref="I4761" r:id="rId2683" xr:uid="{00000000-0004-0000-0100-00007A0A0000}"/>
    <hyperlink ref="I4762" r:id="rId2684" xr:uid="{00000000-0004-0000-0100-00007B0A0000}"/>
    <hyperlink ref="I4763" r:id="rId2685" xr:uid="{00000000-0004-0000-0100-00007C0A0000}"/>
    <hyperlink ref="I4764" r:id="rId2686" xr:uid="{00000000-0004-0000-0100-00007D0A0000}"/>
    <hyperlink ref="I4765" r:id="rId2687" xr:uid="{00000000-0004-0000-0100-00007E0A0000}"/>
    <hyperlink ref="I4766" r:id="rId2688" xr:uid="{00000000-0004-0000-0100-00007F0A0000}"/>
    <hyperlink ref="I4767" r:id="rId2689" xr:uid="{00000000-0004-0000-0100-0000800A0000}"/>
    <hyperlink ref="I4768" r:id="rId2690" xr:uid="{00000000-0004-0000-0100-0000810A0000}"/>
    <hyperlink ref="I4769" r:id="rId2691" xr:uid="{00000000-0004-0000-0100-0000820A0000}"/>
    <hyperlink ref="I4770" r:id="rId2692" xr:uid="{00000000-0004-0000-0100-0000830A0000}"/>
    <hyperlink ref="I4771" r:id="rId2693" xr:uid="{00000000-0004-0000-0100-0000840A0000}"/>
    <hyperlink ref="I4772" r:id="rId2694" xr:uid="{00000000-0004-0000-0100-0000850A0000}"/>
    <hyperlink ref="I4773" r:id="rId2695" xr:uid="{00000000-0004-0000-0100-0000860A0000}"/>
    <hyperlink ref="I4774" r:id="rId2696" xr:uid="{00000000-0004-0000-0100-0000870A0000}"/>
    <hyperlink ref="I4775" r:id="rId2697" xr:uid="{00000000-0004-0000-0100-0000880A0000}"/>
    <hyperlink ref="I4776" r:id="rId2698" xr:uid="{00000000-0004-0000-0100-0000890A0000}"/>
    <hyperlink ref="I4777" r:id="rId2699" xr:uid="{00000000-0004-0000-0100-00008A0A0000}"/>
    <hyperlink ref="I4778" r:id="rId2700" xr:uid="{00000000-0004-0000-0100-00008B0A0000}"/>
    <hyperlink ref="I4779" r:id="rId2701" xr:uid="{00000000-0004-0000-0100-00008C0A0000}"/>
    <hyperlink ref="I4780" r:id="rId2702" xr:uid="{00000000-0004-0000-0100-00008D0A0000}"/>
    <hyperlink ref="I4781" r:id="rId2703" xr:uid="{00000000-0004-0000-0100-00008E0A0000}"/>
    <hyperlink ref="I4782" r:id="rId2704" xr:uid="{00000000-0004-0000-0100-00008F0A0000}"/>
    <hyperlink ref="I4783" r:id="rId2705" xr:uid="{00000000-0004-0000-0100-0000900A0000}"/>
    <hyperlink ref="I4784" r:id="rId2706" xr:uid="{00000000-0004-0000-0100-0000910A0000}"/>
    <hyperlink ref="I4785" r:id="rId2707" xr:uid="{00000000-0004-0000-0100-0000920A0000}"/>
    <hyperlink ref="I4786" r:id="rId2708" xr:uid="{00000000-0004-0000-0100-0000930A0000}"/>
    <hyperlink ref="I4787" r:id="rId2709" xr:uid="{00000000-0004-0000-0100-0000940A0000}"/>
    <hyperlink ref="I4788" r:id="rId2710" xr:uid="{00000000-0004-0000-0100-0000950A0000}"/>
    <hyperlink ref="I4789" r:id="rId2711" xr:uid="{00000000-0004-0000-0100-0000960A0000}"/>
    <hyperlink ref="I4790" r:id="rId2712" xr:uid="{00000000-0004-0000-0100-0000970A0000}"/>
    <hyperlink ref="I4791" r:id="rId2713" xr:uid="{00000000-0004-0000-0100-0000980A0000}"/>
    <hyperlink ref="I4792" r:id="rId2714" xr:uid="{00000000-0004-0000-0100-0000990A0000}"/>
    <hyperlink ref="I4793" r:id="rId2715" xr:uid="{00000000-0004-0000-0100-00009A0A0000}"/>
    <hyperlink ref="I4794" r:id="rId2716" xr:uid="{00000000-0004-0000-0100-00009B0A0000}"/>
    <hyperlink ref="I4795" r:id="rId2717" xr:uid="{00000000-0004-0000-0100-00009C0A0000}"/>
    <hyperlink ref="I4796" r:id="rId2718" xr:uid="{00000000-0004-0000-0100-00009D0A0000}"/>
    <hyperlink ref="I4797" r:id="rId2719" xr:uid="{00000000-0004-0000-0100-00009E0A0000}"/>
    <hyperlink ref="I4798" r:id="rId2720" xr:uid="{00000000-0004-0000-0100-00009F0A0000}"/>
    <hyperlink ref="I4799" r:id="rId2721" xr:uid="{00000000-0004-0000-0100-0000A00A0000}"/>
    <hyperlink ref="I4800" r:id="rId2722" xr:uid="{00000000-0004-0000-0100-0000A10A0000}"/>
    <hyperlink ref="I4801" r:id="rId2723" xr:uid="{00000000-0004-0000-0100-0000A20A0000}"/>
    <hyperlink ref="I4802" r:id="rId2724" xr:uid="{00000000-0004-0000-0100-0000A30A0000}"/>
    <hyperlink ref="I4803" r:id="rId2725" xr:uid="{00000000-0004-0000-0100-0000A40A0000}"/>
    <hyperlink ref="I4804" r:id="rId2726" xr:uid="{00000000-0004-0000-0100-0000A50A0000}"/>
    <hyperlink ref="I4805" r:id="rId2727" xr:uid="{00000000-0004-0000-0100-0000A60A0000}"/>
    <hyperlink ref="I4806" r:id="rId2728" xr:uid="{00000000-0004-0000-0100-0000A70A0000}"/>
    <hyperlink ref="I4807" r:id="rId2729" xr:uid="{00000000-0004-0000-0100-0000A80A0000}"/>
    <hyperlink ref="I4808" r:id="rId2730" xr:uid="{00000000-0004-0000-0100-0000A90A0000}"/>
    <hyperlink ref="I4809" r:id="rId2731" xr:uid="{00000000-0004-0000-0100-0000AA0A0000}"/>
    <hyperlink ref="I4810" r:id="rId2732" xr:uid="{00000000-0004-0000-0100-0000AB0A0000}"/>
    <hyperlink ref="I4811" r:id="rId2733" xr:uid="{00000000-0004-0000-0100-0000AC0A0000}"/>
    <hyperlink ref="I4812" r:id="rId2734" xr:uid="{00000000-0004-0000-0100-0000AD0A0000}"/>
    <hyperlink ref="I4813" r:id="rId2735" xr:uid="{00000000-0004-0000-0100-0000AE0A0000}"/>
    <hyperlink ref="I4814" r:id="rId2736" xr:uid="{00000000-0004-0000-0100-0000AF0A0000}"/>
    <hyperlink ref="I4815" r:id="rId2737" xr:uid="{00000000-0004-0000-0100-0000B00A0000}"/>
    <hyperlink ref="I4816" r:id="rId2738" xr:uid="{00000000-0004-0000-0100-0000B10A0000}"/>
    <hyperlink ref="I4817" r:id="rId2739" xr:uid="{00000000-0004-0000-0100-0000B20A0000}"/>
    <hyperlink ref="I4818" r:id="rId2740" xr:uid="{00000000-0004-0000-0100-0000B30A0000}"/>
    <hyperlink ref="I4819" r:id="rId2741" xr:uid="{00000000-0004-0000-0100-0000B40A0000}"/>
    <hyperlink ref="I4820" r:id="rId2742" xr:uid="{00000000-0004-0000-0100-0000B50A0000}"/>
    <hyperlink ref="I4821" r:id="rId2743" xr:uid="{00000000-0004-0000-0100-0000B60A0000}"/>
    <hyperlink ref="I4822" r:id="rId2744" xr:uid="{00000000-0004-0000-0100-0000B70A0000}"/>
    <hyperlink ref="I4823" r:id="rId2745" xr:uid="{00000000-0004-0000-0100-0000B80A0000}"/>
    <hyperlink ref="I4824" r:id="rId2746" xr:uid="{00000000-0004-0000-0100-0000B90A0000}"/>
    <hyperlink ref="I4825" r:id="rId2747" xr:uid="{00000000-0004-0000-0100-0000BA0A0000}"/>
    <hyperlink ref="I4826" r:id="rId2748" xr:uid="{00000000-0004-0000-0100-0000BB0A0000}"/>
    <hyperlink ref="I4827" r:id="rId2749" xr:uid="{00000000-0004-0000-0100-0000BC0A0000}"/>
    <hyperlink ref="I4828" r:id="rId2750" xr:uid="{00000000-0004-0000-0100-0000BD0A0000}"/>
    <hyperlink ref="I4829" r:id="rId2751" xr:uid="{00000000-0004-0000-0100-0000BE0A0000}"/>
    <hyperlink ref="I4830" r:id="rId2752" xr:uid="{00000000-0004-0000-0100-0000BF0A0000}"/>
    <hyperlink ref="I4831" r:id="rId2753" xr:uid="{00000000-0004-0000-0100-0000C00A0000}"/>
    <hyperlink ref="I4832" r:id="rId2754" xr:uid="{00000000-0004-0000-0100-0000C10A0000}"/>
    <hyperlink ref="I4833" r:id="rId2755" xr:uid="{00000000-0004-0000-0100-0000C20A0000}"/>
    <hyperlink ref="I4834" r:id="rId2756" xr:uid="{00000000-0004-0000-0100-0000C30A0000}"/>
    <hyperlink ref="I4835" r:id="rId2757" xr:uid="{00000000-0004-0000-0100-0000C40A0000}"/>
    <hyperlink ref="I4836" r:id="rId2758" xr:uid="{00000000-0004-0000-0100-0000C50A0000}"/>
    <hyperlink ref="I4837" r:id="rId2759" xr:uid="{00000000-0004-0000-0100-0000C60A0000}"/>
    <hyperlink ref="I4838" r:id="rId2760" xr:uid="{00000000-0004-0000-0100-0000C70A0000}"/>
    <hyperlink ref="I4839" r:id="rId2761" xr:uid="{00000000-0004-0000-0100-0000C80A0000}"/>
    <hyperlink ref="I4840" r:id="rId2762" xr:uid="{00000000-0004-0000-0100-0000C90A0000}"/>
    <hyperlink ref="I4841" r:id="rId2763" xr:uid="{00000000-0004-0000-0100-0000CA0A0000}"/>
    <hyperlink ref="I4842" r:id="rId2764" xr:uid="{00000000-0004-0000-0100-0000CB0A0000}"/>
    <hyperlink ref="I4843" r:id="rId2765" xr:uid="{00000000-0004-0000-0100-0000CC0A0000}"/>
    <hyperlink ref="I4844" r:id="rId2766" xr:uid="{00000000-0004-0000-0100-0000CD0A0000}"/>
    <hyperlink ref="I4845" r:id="rId2767" xr:uid="{00000000-0004-0000-0100-0000CE0A0000}"/>
    <hyperlink ref="I4846" r:id="rId2768" xr:uid="{00000000-0004-0000-0100-0000CF0A0000}"/>
    <hyperlink ref="I4847" r:id="rId2769" xr:uid="{00000000-0004-0000-0100-0000D00A0000}"/>
    <hyperlink ref="I4848" r:id="rId2770" xr:uid="{00000000-0004-0000-0100-0000D10A0000}"/>
    <hyperlink ref="I4849" r:id="rId2771" xr:uid="{00000000-0004-0000-0100-0000D20A0000}"/>
    <hyperlink ref="I4850" r:id="rId2772" xr:uid="{00000000-0004-0000-0100-0000D30A0000}"/>
    <hyperlink ref="I4851" r:id="rId2773" xr:uid="{00000000-0004-0000-0100-0000D40A0000}"/>
    <hyperlink ref="I4852" r:id="rId2774" xr:uid="{00000000-0004-0000-0100-0000D50A0000}"/>
    <hyperlink ref="I4853" r:id="rId2775" xr:uid="{00000000-0004-0000-0100-0000D60A0000}"/>
    <hyperlink ref="I4854" r:id="rId2776" xr:uid="{00000000-0004-0000-0100-0000D70A0000}"/>
    <hyperlink ref="I4855" r:id="rId2777" xr:uid="{00000000-0004-0000-0100-0000D80A0000}"/>
    <hyperlink ref="I4856" r:id="rId2778" xr:uid="{00000000-0004-0000-0100-0000D90A0000}"/>
    <hyperlink ref="I4857" r:id="rId2779" xr:uid="{00000000-0004-0000-0100-0000DA0A0000}"/>
    <hyperlink ref="I4858" r:id="rId2780" xr:uid="{00000000-0004-0000-0100-0000DB0A0000}"/>
    <hyperlink ref="I4859" r:id="rId2781" xr:uid="{00000000-0004-0000-0100-0000DC0A0000}"/>
    <hyperlink ref="I4860" r:id="rId2782" xr:uid="{00000000-0004-0000-0100-0000DD0A0000}"/>
    <hyperlink ref="I4861" r:id="rId2783" xr:uid="{00000000-0004-0000-0100-0000DE0A0000}"/>
    <hyperlink ref="I4862" r:id="rId2784" xr:uid="{00000000-0004-0000-0100-0000DF0A0000}"/>
    <hyperlink ref="I4863" r:id="rId2785" xr:uid="{00000000-0004-0000-0100-0000E00A0000}"/>
    <hyperlink ref="I4864" r:id="rId2786" xr:uid="{00000000-0004-0000-0100-0000E10A0000}"/>
    <hyperlink ref="I4865" r:id="rId2787" xr:uid="{00000000-0004-0000-0100-0000E20A0000}"/>
    <hyperlink ref="I4866" r:id="rId2788" xr:uid="{00000000-0004-0000-0100-0000E30A0000}"/>
    <hyperlink ref="I4867" r:id="rId2789" xr:uid="{00000000-0004-0000-0100-0000E40A0000}"/>
    <hyperlink ref="I4868" r:id="rId2790" xr:uid="{00000000-0004-0000-0100-0000E50A0000}"/>
    <hyperlink ref="I4869" r:id="rId2791" xr:uid="{00000000-0004-0000-0100-0000E60A0000}"/>
    <hyperlink ref="I4870" r:id="rId2792" xr:uid="{00000000-0004-0000-0100-0000E70A0000}"/>
    <hyperlink ref="I4871" r:id="rId2793" xr:uid="{00000000-0004-0000-0100-0000E80A0000}"/>
    <hyperlink ref="I4872" r:id="rId2794" xr:uid="{00000000-0004-0000-0100-0000E90A0000}"/>
    <hyperlink ref="I4873" r:id="rId2795" xr:uid="{00000000-0004-0000-0100-0000EA0A0000}"/>
    <hyperlink ref="I4874" r:id="rId2796" xr:uid="{00000000-0004-0000-0100-0000EB0A0000}"/>
    <hyperlink ref="I4875" r:id="rId2797" xr:uid="{00000000-0004-0000-0100-0000EC0A0000}"/>
    <hyperlink ref="I4876" r:id="rId2798" xr:uid="{00000000-0004-0000-0100-0000ED0A0000}"/>
    <hyperlink ref="I4877" r:id="rId2799" xr:uid="{00000000-0004-0000-0100-0000EE0A0000}"/>
    <hyperlink ref="I4878" r:id="rId2800" xr:uid="{00000000-0004-0000-0100-0000EF0A0000}"/>
    <hyperlink ref="I4879" r:id="rId2801" xr:uid="{00000000-0004-0000-0100-0000F00A0000}"/>
    <hyperlink ref="I4880" r:id="rId2802" xr:uid="{00000000-0004-0000-0100-0000F10A0000}"/>
    <hyperlink ref="I4881" r:id="rId2803" xr:uid="{00000000-0004-0000-0100-0000F20A0000}"/>
    <hyperlink ref="I4882" r:id="rId2804" xr:uid="{00000000-0004-0000-0100-0000F30A0000}"/>
    <hyperlink ref="I4883" r:id="rId2805" xr:uid="{00000000-0004-0000-0100-0000F40A0000}"/>
    <hyperlink ref="I4884" r:id="rId2806" xr:uid="{00000000-0004-0000-0100-0000F50A0000}"/>
    <hyperlink ref="I4885" r:id="rId2807" xr:uid="{00000000-0004-0000-0100-0000F60A0000}"/>
    <hyperlink ref="I4886" r:id="rId2808" xr:uid="{00000000-0004-0000-0100-0000F70A0000}"/>
    <hyperlink ref="I4887" r:id="rId2809" xr:uid="{00000000-0004-0000-0100-0000F80A0000}"/>
    <hyperlink ref="I4888" r:id="rId2810" xr:uid="{00000000-0004-0000-0100-0000F90A0000}"/>
    <hyperlink ref="I4889" r:id="rId2811" xr:uid="{00000000-0004-0000-0100-0000FA0A0000}"/>
    <hyperlink ref="I4890" r:id="rId2812" xr:uid="{00000000-0004-0000-0100-0000FB0A0000}"/>
    <hyperlink ref="I4891" r:id="rId2813" xr:uid="{00000000-0004-0000-0100-0000FC0A0000}"/>
    <hyperlink ref="I4892" r:id="rId2814" xr:uid="{00000000-0004-0000-0100-0000FD0A0000}"/>
    <hyperlink ref="I4893" r:id="rId2815" xr:uid="{00000000-0004-0000-0100-0000FE0A0000}"/>
    <hyperlink ref="I4894" r:id="rId2816" xr:uid="{00000000-0004-0000-0100-0000FF0A0000}"/>
    <hyperlink ref="I4895" r:id="rId2817" xr:uid="{00000000-0004-0000-0100-0000000B0000}"/>
    <hyperlink ref="I4896" r:id="rId2818" xr:uid="{00000000-0004-0000-0100-0000010B0000}"/>
    <hyperlink ref="I4897" r:id="rId2819" xr:uid="{00000000-0004-0000-0100-0000020B0000}"/>
    <hyperlink ref="I4898" r:id="rId2820" xr:uid="{00000000-0004-0000-0100-0000030B0000}"/>
    <hyperlink ref="I4899" r:id="rId2821" xr:uid="{00000000-0004-0000-0100-0000040B0000}"/>
    <hyperlink ref="I4900" r:id="rId2822" xr:uid="{00000000-0004-0000-0100-0000050B0000}"/>
    <hyperlink ref="I4901" r:id="rId2823" xr:uid="{00000000-0004-0000-0100-0000060B0000}"/>
    <hyperlink ref="I4902" r:id="rId2824" xr:uid="{00000000-0004-0000-0100-0000070B0000}"/>
    <hyperlink ref="I4903" r:id="rId2825" xr:uid="{00000000-0004-0000-0100-0000080B0000}"/>
    <hyperlink ref="I4904" r:id="rId2826" xr:uid="{00000000-0004-0000-0100-0000090B0000}"/>
    <hyperlink ref="I4905" r:id="rId2827" xr:uid="{00000000-0004-0000-0100-00000A0B0000}"/>
    <hyperlink ref="I4906" r:id="rId2828" xr:uid="{00000000-0004-0000-0100-00000B0B0000}"/>
    <hyperlink ref="I4907" r:id="rId2829" xr:uid="{00000000-0004-0000-0100-00000C0B0000}"/>
    <hyperlink ref="I4908" r:id="rId2830" xr:uid="{00000000-0004-0000-0100-00000D0B0000}"/>
    <hyperlink ref="I4909" r:id="rId2831" xr:uid="{00000000-0004-0000-0100-00000E0B0000}"/>
    <hyperlink ref="I4910" r:id="rId2832" xr:uid="{00000000-0004-0000-0100-00000F0B0000}"/>
    <hyperlink ref="I4911" r:id="rId2833" xr:uid="{00000000-0004-0000-0100-0000100B0000}"/>
    <hyperlink ref="I4912" r:id="rId2834" xr:uid="{00000000-0004-0000-0100-0000110B0000}"/>
    <hyperlink ref="I4913" r:id="rId2835" xr:uid="{00000000-0004-0000-0100-0000120B0000}"/>
    <hyperlink ref="I4914" r:id="rId2836" xr:uid="{00000000-0004-0000-0100-0000130B0000}"/>
    <hyperlink ref="I4915" r:id="rId2837" xr:uid="{00000000-0004-0000-0100-0000140B0000}"/>
    <hyperlink ref="I4916" r:id="rId2838" xr:uid="{00000000-0004-0000-0100-0000150B0000}"/>
    <hyperlink ref="I4917" r:id="rId2839" xr:uid="{00000000-0004-0000-0100-0000160B0000}"/>
    <hyperlink ref="I4918" r:id="rId2840" xr:uid="{00000000-0004-0000-0100-0000170B0000}"/>
    <hyperlink ref="I4919" r:id="rId2841" xr:uid="{00000000-0004-0000-0100-0000180B0000}"/>
    <hyperlink ref="I4920" r:id="rId2842" xr:uid="{00000000-0004-0000-0100-0000190B0000}"/>
    <hyperlink ref="I4921" r:id="rId2843" xr:uid="{00000000-0004-0000-0100-00001A0B0000}"/>
    <hyperlink ref="I4922" r:id="rId2844" xr:uid="{00000000-0004-0000-0100-00001B0B0000}"/>
    <hyperlink ref="I4923" r:id="rId2845" xr:uid="{00000000-0004-0000-0100-00001C0B0000}"/>
    <hyperlink ref="I4924" r:id="rId2846" xr:uid="{00000000-0004-0000-0100-00001D0B0000}"/>
    <hyperlink ref="I4925" r:id="rId2847" xr:uid="{00000000-0004-0000-0100-00001E0B0000}"/>
    <hyperlink ref="I4926" r:id="rId2848" xr:uid="{00000000-0004-0000-0100-00001F0B0000}"/>
    <hyperlink ref="I4927" r:id="rId2849" xr:uid="{00000000-0004-0000-0100-0000200B0000}"/>
    <hyperlink ref="I4928" r:id="rId2850" xr:uid="{00000000-0004-0000-0100-0000210B0000}"/>
    <hyperlink ref="I4929" r:id="rId2851" xr:uid="{00000000-0004-0000-0100-0000220B0000}"/>
    <hyperlink ref="I4930" r:id="rId2852" xr:uid="{00000000-0004-0000-0100-0000230B0000}"/>
    <hyperlink ref="I4931" r:id="rId2853" xr:uid="{00000000-0004-0000-0100-0000240B0000}"/>
    <hyperlink ref="I4932" r:id="rId2854" xr:uid="{00000000-0004-0000-0100-0000250B0000}"/>
    <hyperlink ref="I4933" r:id="rId2855" xr:uid="{00000000-0004-0000-0100-0000260B0000}"/>
    <hyperlink ref="I4934" r:id="rId2856" xr:uid="{00000000-0004-0000-0100-0000270B0000}"/>
    <hyperlink ref="I4935" r:id="rId2857" xr:uid="{00000000-0004-0000-0100-0000280B0000}"/>
    <hyperlink ref="I4936" r:id="rId2858" xr:uid="{00000000-0004-0000-0100-0000290B0000}"/>
    <hyperlink ref="I4937" r:id="rId2859" xr:uid="{00000000-0004-0000-0100-00002A0B0000}"/>
    <hyperlink ref="I4938" r:id="rId2860" xr:uid="{00000000-0004-0000-0100-00002B0B0000}"/>
    <hyperlink ref="I4939" r:id="rId2861" xr:uid="{00000000-0004-0000-0100-00002C0B0000}"/>
    <hyperlink ref="I4940" r:id="rId2862" xr:uid="{00000000-0004-0000-0100-00002D0B0000}"/>
    <hyperlink ref="I4941" r:id="rId2863" xr:uid="{00000000-0004-0000-0100-00002E0B0000}"/>
    <hyperlink ref="I4942" r:id="rId2864" xr:uid="{00000000-0004-0000-0100-00002F0B0000}"/>
    <hyperlink ref="I4943" r:id="rId2865" xr:uid="{00000000-0004-0000-0100-0000300B0000}"/>
    <hyperlink ref="I4944" r:id="rId2866" xr:uid="{00000000-0004-0000-0100-0000310B0000}"/>
    <hyperlink ref="I4945" r:id="rId2867" xr:uid="{00000000-0004-0000-0100-0000320B0000}"/>
    <hyperlink ref="I4946" r:id="rId2868" xr:uid="{00000000-0004-0000-0100-0000330B0000}"/>
    <hyperlink ref="I4947" r:id="rId2869" xr:uid="{00000000-0004-0000-0100-0000340B0000}"/>
    <hyperlink ref="I4948" r:id="rId2870" xr:uid="{00000000-0004-0000-0100-0000350B0000}"/>
    <hyperlink ref="I4949" r:id="rId2871" xr:uid="{00000000-0004-0000-0100-0000360B0000}"/>
    <hyperlink ref="I4950" r:id="rId2872" xr:uid="{00000000-0004-0000-0100-0000370B0000}"/>
    <hyperlink ref="I4951" r:id="rId2873" xr:uid="{00000000-0004-0000-0100-0000380B0000}"/>
    <hyperlink ref="I4952" r:id="rId2874" xr:uid="{00000000-0004-0000-0100-0000390B0000}"/>
    <hyperlink ref="I4953" r:id="rId2875" xr:uid="{00000000-0004-0000-0100-00003A0B0000}"/>
    <hyperlink ref="I4954" r:id="rId2876" xr:uid="{00000000-0004-0000-0100-00003B0B0000}"/>
    <hyperlink ref="I4955" r:id="rId2877" xr:uid="{00000000-0004-0000-0100-00003C0B0000}"/>
    <hyperlink ref="I4956" r:id="rId2878" xr:uid="{00000000-0004-0000-0100-00003D0B0000}"/>
    <hyperlink ref="I4957" r:id="rId2879" xr:uid="{00000000-0004-0000-0100-00003E0B0000}"/>
    <hyperlink ref="I4958" r:id="rId2880" xr:uid="{00000000-0004-0000-0100-00003F0B0000}"/>
    <hyperlink ref="I4959" r:id="rId2881" xr:uid="{00000000-0004-0000-0100-0000400B0000}"/>
    <hyperlink ref="I4960" r:id="rId2882" xr:uid="{00000000-0004-0000-0100-0000410B0000}"/>
    <hyperlink ref="I4961" r:id="rId2883" xr:uid="{00000000-0004-0000-0100-0000420B0000}"/>
    <hyperlink ref="I4962" r:id="rId2884" xr:uid="{00000000-0004-0000-0100-0000430B0000}"/>
    <hyperlink ref="I4963" r:id="rId2885" xr:uid="{00000000-0004-0000-0100-0000440B0000}"/>
    <hyperlink ref="I4964" r:id="rId2886" xr:uid="{00000000-0004-0000-0100-0000450B0000}"/>
    <hyperlink ref="I4965" r:id="rId2887" xr:uid="{00000000-0004-0000-0100-0000460B0000}"/>
    <hyperlink ref="I4966" r:id="rId2888" xr:uid="{00000000-0004-0000-0100-0000470B0000}"/>
    <hyperlink ref="I4967" r:id="rId2889" xr:uid="{00000000-0004-0000-0100-0000480B0000}"/>
    <hyperlink ref="I4968" r:id="rId2890" xr:uid="{00000000-0004-0000-0100-0000490B0000}"/>
    <hyperlink ref="I4969" r:id="rId2891" xr:uid="{00000000-0004-0000-0100-00004A0B0000}"/>
    <hyperlink ref="I4970" r:id="rId2892" xr:uid="{00000000-0004-0000-0100-00004B0B0000}"/>
    <hyperlink ref="I4971" r:id="rId2893" xr:uid="{00000000-0004-0000-0100-00004C0B0000}"/>
    <hyperlink ref="I4972" r:id="rId2894" xr:uid="{00000000-0004-0000-0100-00004D0B0000}"/>
    <hyperlink ref="I4973" r:id="rId2895" xr:uid="{00000000-0004-0000-0100-00004E0B0000}"/>
    <hyperlink ref="I4974" r:id="rId2896" xr:uid="{00000000-0004-0000-0100-00004F0B0000}"/>
    <hyperlink ref="I4975" r:id="rId2897" xr:uid="{00000000-0004-0000-0100-0000500B0000}"/>
    <hyperlink ref="I4976" r:id="rId2898" xr:uid="{00000000-0004-0000-0100-0000510B0000}"/>
    <hyperlink ref="I4977" r:id="rId2899" xr:uid="{00000000-0004-0000-0100-0000520B0000}"/>
    <hyperlink ref="I4978" r:id="rId2900" xr:uid="{00000000-0004-0000-0100-0000530B0000}"/>
    <hyperlink ref="I4979" r:id="rId2901" xr:uid="{00000000-0004-0000-0100-0000540B0000}"/>
    <hyperlink ref="I4980" r:id="rId2902" xr:uid="{00000000-0004-0000-0100-0000550B0000}"/>
    <hyperlink ref="I4981" r:id="rId2903" xr:uid="{00000000-0004-0000-0100-0000560B0000}"/>
    <hyperlink ref="I4982" r:id="rId2904" xr:uid="{00000000-0004-0000-0100-0000570B0000}"/>
    <hyperlink ref="I4983" r:id="rId2905" xr:uid="{00000000-0004-0000-0100-0000580B0000}"/>
    <hyperlink ref="I4984" r:id="rId2906" xr:uid="{00000000-0004-0000-0100-0000590B0000}"/>
    <hyperlink ref="I4985" r:id="rId2907" xr:uid="{00000000-0004-0000-0100-00005A0B0000}"/>
    <hyperlink ref="I4986" r:id="rId2908" xr:uid="{00000000-0004-0000-0100-00005B0B0000}"/>
    <hyperlink ref="I4987" r:id="rId2909" xr:uid="{00000000-0004-0000-0100-00005C0B0000}"/>
    <hyperlink ref="I4988" r:id="rId2910" xr:uid="{00000000-0004-0000-0100-00005D0B0000}"/>
    <hyperlink ref="I4989" r:id="rId2911" xr:uid="{00000000-0004-0000-0100-00005E0B0000}"/>
    <hyperlink ref="I4990" r:id="rId2912" xr:uid="{00000000-0004-0000-0100-00005F0B0000}"/>
    <hyperlink ref="I4991" r:id="rId2913" xr:uid="{00000000-0004-0000-0100-0000600B0000}"/>
    <hyperlink ref="I4992" r:id="rId2914" xr:uid="{00000000-0004-0000-0100-0000610B0000}"/>
    <hyperlink ref="I4993" r:id="rId2915" xr:uid="{00000000-0004-0000-0100-0000620B0000}"/>
    <hyperlink ref="I4994" r:id="rId2916" xr:uid="{00000000-0004-0000-0100-0000630B0000}"/>
    <hyperlink ref="I4995" r:id="rId2917" xr:uid="{00000000-0004-0000-0100-0000640B0000}"/>
    <hyperlink ref="I4996" r:id="rId2918" xr:uid="{00000000-0004-0000-0100-0000650B0000}"/>
    <hyperlink ref="I4997" r:id="rId2919" xr:uid="{00000000-0004-0000-0100-0000660B0000}"/>
    <hyperlink ref="I4998" r:id="rId2920" xr:uid="{00000000-0004-0000-0100-0000670B0000}"/>
    <hyperlink ref="I4999" r:id="rId2921" xr:uid="{00000000-0004-0000-0100-0000680B0000}"/>
    <hyperlink ref="I5000" r:id="rId2922" xr:uid="{00000000-0004-0000-0100-0000690B0000}"/>
    <hyperlink ref="I5001" r:id="rId2923" xr:uid="{00000000-0004-0000-0100-00006A0B0000}"/>
    <hyperlink ref="I5002" r:id="rId2924" xr:uid="{00000000-0004-0000-0100-00006B0B0000}"/>
    <hyperlink ref="I5003" r:id="rId2925" xr:uid="{00000000-0004-0000-0100-00006C0B0000}"/>
    <hyperlink ref="I5004" r:id="rId2926" xr:uid="{00000000-0004-0000-0100-00006D0B0000}"/>
    <hyperlink ref="I5005" r:id="rId2927" xr:uid="{00000000-0004-0000-0100-00006E0B0000}"/>
    <hyperlink ref="I5006" r:id="rId2928" xr:uid="{00000000-0004-0000-0100-00006F0B0000}"/>
    <hyperlink ref="I5007" r:id="rId2929" xr:uid="{00000000-0004-0000-0100-0000700B0000}"/>
    <hyperlink ref="I5008" r:id="rId2930" xr:uid="{00000000-0004-0000-0100-0000710B0000}"/>
    <hyperlink ref="I5009" r:id="rId2931" xr:uid="{00000000-0004-0000-0100-0000720B0000}"/>
    <hyperlink ref="I5010" r:id="rId2932" xr:uid="{00000000-0004-0000-0100-0000730B0000}"/>
    <hyperlink ref="I5011" r:id="rId2933" xr:uid="{00000000-0004-0000-0100-0000740B0000}"/>
    <hyperlink ref="I5012" r:id="rId2934" xr:uid="{00000000-0004-0000-0100-0000750B0000}"/>
    <hyperlink ref="I5013" r:id="rId2935" xr:uid="{00000000-0004-0000-0100-0000760B0000}"/>
    <hyperlink ref="I5014" r:id="rId2936" xr:uid="{00000000-0004-0000-0100-0000770B0000}"/>
    <hyperlink ref="I5015" r:id="rId2937" xr:uid="{00000000-0004-0000-0100-0000780B0000}"/>
    <hyperlink ref="I5016" r:id="rId2938" xr:uid="{00000000-0004-0000-0100-0000790B0000}"/>
    <hyperlink ref="I5017" r:id="rId2939" xr:uid="{00000000-0004-0000-0100-00007A0B0000}"/>
    <hyperlink ref="I5018" r:id="rId2940" xr:uid="{00000000-0004-0000-0100-00007B0B0000}"/>
    <hyperlink ref="I5019" r:id="rId2941" xr:uid="{00000000-0004-0000-0100-00007C0B0000}"/>
    <hyperlink ref="I5020" r:id="rId2942" xr:uid="{00000000-0004-0000-0100-00007D0B0000}"/>
    <hyperlink ref="I5021" r:id="rId2943" xr:uid="{00000000-0004-0000-0100-00007E0B0000}"/>
    <hyperlink ref="I5022" r:id="rId2944" xr:uid="{00000000-0004-0000-0100-00007F0B0000}"/>
    <hyperlink ref="I5023" r:id="rId2945" xr:uid="{00000000-0004-0000-0100-0000800B0000}"/>
    <hyperlink ref="I5024" r:id="rId2946" xr:uid="{00000000-0004-0000-0100-0000810B0000}"/>
    <hyperlink ref="I5025" r:id="rId2947" xr:uid="{00000000-0004-0000-0100-0000820B0000}"/>
    <hyperlink ref="I5026" r:id="rId2948" xr:uid="{00000000-0004-0000-0100-0000830B0000}"/>
    <hyperlink ref="I5027" r:id="rId2949" xr:uid="{00000000-0004-0000-0100-0000840B0000}"/>
    <hyperlink ref="I5028" r:id="rId2950" xr:uid="{00000000-0004-0000-0100-0000850B0000}"/>
    <hyperlink ref="I5029" r:id="rId2951" xr:uid="{00000000-0004-0000-0100-0000860B0000}"/>
    <hyperlink ref="I5030" r:id="rId2952" xr:uid="{00000000-0004-0000-0100-0000870B0000}"/>
    <hyperlink ref="I5031" r:id="rId2953" xr:uid="{00000000-0004-0000-0100-0000880B0000}"/>
    <hyperlink ref="I5032" r:id="rId2954" xr:uid="{00000000-0004-0000-0100-0000890B0000}"/>
    <hyperlink ref="I5033" r:id="rId2955" xr:uid="{00000000-0004-0000-0100-00008A0B0000}"/>
    <hyperlink ref="I5034" r:id="rId2956" xr:uid="{00000000-0004-0000-0100-00008B0B0000}"/>
    <hyperlink ref="I5035" r:id="rId2957" xr:uid="{00000000-0004-0000-0100-00008C0B0000}"/>
    <hyperlink ref="I5036" r:id="rId2958" xr:uid="{00000000-0004-0000-0100-00008D0B0000}"/>
    <hyperlink ref="I5037" r:id="rId2959" xr:uid="{00000000-0004-0000-0100-00008E0B0000}"/>
    <hyperlink ref="I5038" r:id="rId2960" xr:uid="{00000000-0004-0000-0100-00008F0B0000}"/>
    <hyperlink ref="I5039" r:id="rId2961" xr:uid="{00000000-0004-0000-0100-0000900B0000}"/>
    <hyperlink ref="I5040" r:id="rId2962" xr:uid="{00000000-0004-0000-0100-0000910B0000}"/>
    <hyperlink ref="I5041" r:id="rId2963" xr:uid="{00000000-0004-0000-0100-0000920B0000}"/>
    <hyperlink ref="I5042" r:id="rId2964" xr:uid="{00000000-0004-0000-0100-0000930B0000}"/>
    <hyperlink ref="I5043" r:id="rId2965" xr:uid="{00000000-0004-0000-0100-0000940B0000}"/>
    <hyperlink ref="I5044" r:id="rId2966" xr:uid="{00000000-0004-0000-0100-0000950B0000}"/>
    <hyperlink ref="I5045" r:id="rId2967" xr:uid="{00000000-0004-0000-0100-0000960B0000}"/>
    <hyperlink ref="I5046" r:id="rId2968" xr:uid="{00000000-0004-0000-0100-0000970B0000}"/>
    <hyperlink ref="I5047" r:id="rId2969" xr:uid="{00000000-0004-0000-0100-0000980B0000}"/>
    <hyperlink ref="I5048" r:id="rId2970" xr:uid="{00000000-0004-0000-0100-0000990B0000}"/>
    <hyperlink ref="I5049" r:id="rId2971" xr:uid="{00000000-0004-0000-0100-00009A0B0000}"/>
    <hyperlink ref="I5050" r:id="rId2972" xr:uid="{00000000-0004-0000-0100-00009B0B0000}"/>
    <hyperlink ref="I5051" r:id="rId2973" xr:uid="{00000000-0004-0000-0100-00009C0B0000}"/>
    <hyperlink ref="I5052" r:id="rId2974" xr:uid="{00000000-0004-0000-0100-00009D0B0000}"/>
    <hyperlink ref="I5053" r:id="rId2975" xr:uid="{00000000-0004-0000-0100-00009E0B0000}"/>
    <hyperlink ref="I5054" r:id="rId2976" xr:uid="{00000000-0004-0000-0100-00009F0B0000}"/>
    <hyperlink ref="I5055" r:id="rId2977" xr:uid="{00000000-0004-0000-0100-0000A00B0000}"/>
    <hyperlink ref="I5056" r:id="rId2978" xr:uid="{00000000-0004-0000-0100-0000A10B0000}"/>
    <hyperlink ref="I5057" r:id="rId2979" xr:uid="{00000000-0004-0000-0100-0000A20B0000}"/>
    <hyperlink ref="I5058" r:id="rId2980" xr:uid="{00000000-0004-0000-0100-0000A30B0000}"/>
    <hyperlink ref="I5059" r:id="rId2981" xr:uid="{00000000-0004-0000-0100-0000A40B0000}"/>
    <hyperlink ref="I5060" r:id="rId2982" xr:uid="{00000000-0004-0000-0100-0000A50B0000}"/>
    <hyperlink ref="I5061" r:id="rId2983" xr:uid="{00000000-0004-0000-0100-0000A60B0000}"/>
    <hyperlink ref="I5062" r:id="rId2984" xr:uid="{00000000-0004-0000-0100-0000A70B0000}"/>
    <hyperlink ref="I5063" r:id="rId2985" xr:uid="{00000000-0004-0000-0100-0000A80B0000}"/>
    <hyperlink ref="I5064" r:id="rId2986" xr:uid="{00000000-0004-0000-0100-0000A90B0000}"/>
    <hyperlink ref="I5065" r:id="rId2987" xr:uid="{00000000-0004-0000-0100-0000AA0B0000}"/>
    <hyperlink ref="I5066" r:id="rId2988" xr:uid="{00000000-0004-0000-0100-0000AB0B0000}"/>
    <hyperlink ref="I5067" r:id="rId2989" xr:uid="{00000000-0004-0000-0100-0000AC0B0000}"/>
    <hyperlink ref="I5068" r:id="rId2990" xr:uid="{00000000-0004-0000-0100-0000AD0B0000}"/>
    <hyperlink ref="I5069" r:id="rId2991" xr:uid="{00000000-0004-0000-0100-0000AE0B0000}"/>
    <hyperlink ref="I5070" r:id="rId2992" xr:uid="{00000000-0004-0000-0100-0000AF0B0000}"/>
    <hyperlink ref="I5071" r:id="rId2993" xr:uid="{00000000-0004-0000-0100-0000B00B0000}"/>
    <hyperlink ref="I5072" r:id="rId2994" xr:uid="{00000000-0004-0000-0100-0000B10B0000}"/>
    <hyperlink ref="I5073" r:id="rId2995" xr:uid="{00000000-0004-0000-0100-0000B20B0000}"/>
    <hyperlink ref="I5074" r:id="rId2996" xr:uid="{00000000-0004-0000-0100-0000B30B0000}"/>
    <hyperlink ref="I5075" r:id="rId2997" xr:uid="{00000000-0004-0000-0100-0000B40B0000}"/>
    <hyperlink ref="I5076" r:id="rId2998" xr:uid="{00000000-0004-0000-0100-0000B50B0000}"/>
    <hyperlink ref="I5077" r:id="rId2999" xr:uid="{00000000-0004-0000-0100-0000B60B0000}"/>
    <hyperlink ref="I5078" r:id="rId3000" xr:uid="{00000000-0004-0000-0100-0000B70B0000}"/>
    <hyperlink ref="I5079" r:id="rId3001" xr:uid="{00000000-0004-0000-0100-0000B80B0000}"/>
    <hyperlink ref="I5080" r:id="rId3002" xr:uid="{00000000-0004-0000-0100-0000B90B0000}"/>
    <hyperlink ref="I5081" r:id="rId3003" xr:uid="{00000000-0004-0000-0100-0000BA0B0000}"/>
    <hyperlink ref="I5082" r:id="rId3004" xr:uid="{00000000-0004-0000-0100-0000BB0B0000}"/>
    <hyperlink ref="I5083" r:id="rId3005" xr:uid="{00000000-0004-0000-0100-0000BC0B0000}"/>
    <hyperlink ref="I5084" r:id="rId3006" xr:uid="{00000000-0004-0000-0100-0000BD0B0000}"/>
    <hyperlink ref="I5085" r:id="rId3007" xr:uid="{00000000-0004-0000-0100-0000BE0B0000}"/>
    <hyperlink ref="I5086" r:id="rId3008" xr:uid="{00000000-0004-0000-0100-0000BF0B0000}"/>
    <hyperlink ref="I5087" r:id="rId3009" xr:uid="{00000000-0004-0000-0100-0000C00B0000}"/>
    <hyperlink ref="I5088" r:id="rId3010" xr:uid="{00000000-0004-0000-0100-0000C10B0000}"/>
    <hyperlink ref="I5089" r:id="rId3011" xr:uid="{00000000-0004-0000-0100-0000C20B0000}"/>
    <hyperlink ref="I5090" r:id="rId3012" xr:uid="{00000000-0004-0000-0100-0000C30B0000}"/>
    <hyperlink ref="I5091" r:id="rId3013" xr:uid="{00000000-0004-0000-0100-0000C40B0000}"/>
    <hyperlink ref="I5092" r:id="rId3014" xr:uid="{00000000-0004-0000-0100-0000C50B0000}"/>
    <hyperlink ref="I5093" r:id="rId3015" xr:uid="{00000000-0004-0000-0100-0000C60B0000}"/>
    <hyperlink ref="I5094" r:id="rId3016" xr:uid="{00000000-0004-0000-0100-0000C70B0000}"/>
    <hyperlink ref="I5095" r:id="rId3017" xr:uid="{00000000-0004-0000-0100-0000C80B0000}"/>
    <hyperlink ref="I5096" r:id="rId3018" xr:uid="{00000000-0004-0000-0100-0000C90B0000}"/>
    <hyperlink ref="I5097" r:id="rId3019" xr:uid="{00000000-0004-0000-0100-0000CA0B0000}"/>
    <hyperlink ref="I5098" r:id="rId3020" xr:uid="{00000000-0004-0000-0100-0000CB0B0000}"/>
    <hyperlink ref="I5099" r:id="rId3021" xr:uid="{00000000-0004-0000-0100-0000CC0B0000}"/>
    <hyperlink ref="I5100" r:id="rId3022" xr:uid="{00000000-0004-0000-0100-0000CD0B0000}"/>
    <hyperlink ref="I5101" r:id="rId3023" xr:uid="{00000000-0004-0000-0100-0000CE0B0000}"/>
    <hyperlink ref="I5102" r:id="rId3024" xr:uid="{00000000-0004-0000-0100-0000CF0B0000}"/>
    <hyperlink ref="I5103" r:id="rId3025" xr:uid="{00000000-0004-0000-0100-0000D00B0000}"/>
    <hyperlink ref="I5104" r:id="rId3026" xr:uid="{00000000-0004-0000-0100-0000D10B0000}"/>
    <hyperlink ref="I5105" r:id="rId3027" xr:uid="{00000000-0004-0000-0100-0000D20B0000}"/>
    <hyperlink ref="I5106" r:id="rId3028" xr:uid="{00000000-0004-0000-0100-0000D30B0000}"/>
    <hyperlink ref="I5107" r:id="rId3029" xr:uid="{00000000-0004-0000-0100-0000D40B0000}"/>
    <hyperlink ref="I5108" r:id="rId3030" xr:uid="{00000000-0004-0000-0100-0000D50B0000}"/>
    <hyperlink ref="I5109" r:id="rId3031" xr:uid="{00000000-0004-0000-0100-0000D60B0000}"/>
    <hyperlink ref="I5110" r:id="rId3032" xr:uid="{00000000-0004-0000-0100-0000D70B0000}"/>
    <hyperlink ref="I5111" r:id="rId3033" xr:uid="{00000000-0004-0000-0100-0000D80B0000}"/>
    <hyperlink ref="I5112" r:id="rId3034" xr:uid="{00000000-0004-0000-0100-0000D90B0000}"/>
    <hyperlink ref="I5113" r:id="rId3035" xr:uid="{00000000-0004-0000-0100-0000DA0B0000}"/>
    <hyperlink ref="I5114" r:id="rId3036" xr:uid="{00000000-0004-0000-0100-0000DB0B0000}"/>
    <hyperlink ref="I5115" r:id="rId3037" xr:uid="{00000000-0004-0000-0100-0000DC0B0000}"/>
    <hyperlink ref="I5116" r:id="rId3038" xr:uid="{00000000-0004-0000-0100-0000DD0B0000}"/>
    <hyperlink ref="I5117" r:id="rId3039" xr:uid="{00000000-0004-0000-0100-0000DE0B0000}"/>
    <hyperlink ref="I5118" r:id="rId3040" xr:uid="{00000000-0004-0000-0100-0000DF0B0000}"/>
    <hyperlink ref="I5119" r:id="rId3041" xr:uid="{00000000-0004-0000-0100-0000E00B0000}"/>
    <hyperlink ref="I5120" r:id="rId3042" xr:uid="{00000000-0004-0000-0100-0000E10B0000}"/>
    <hyperlink ref="I5121" r:id="rId3043" xr:uid="{00000000-0004-0000-0100-0000E20B0000}"/>
    <hyperlink ref="I5122" r:id="rId3044" xr:uid="{00000000-0004-0000-0100-0000E30B0000}"/>
    <hyperlink ref="I5123" r:id="rId3045" xr:uid="{00000000-0004-0000-0100-0000E40B0000}"/>
    <hyperlink ref="I5124" r:id="rId3046" xr:uid="{00000000-0004-0000-0100-0000E50B0000}"/>
    <hyperlink ref="I5125" r:id="rId3047" xr:uid="{00000000-0004-0000-0100-0000E60B0000}"/>
    <hyperlink ref="I5126" r:id="rId3048" xr:uid="{00000000-0004-0000-0100-0000E70B0000}"/>
    <hyperlink ref="I5127" r:id="rId3049" xr:uid="{00000000-0004-0000-0100-0000E80B0000}"/>
    <hyperlink ref="I5128" r:id="rId3050" xr:uid="{00000000-0004-0000-0100-0000E90B0000}"/>
    <hyperlink ref="I5129" r:id="rId3051" xr:uid="{00000000-0004-0000-0100-0000EA0B0000}"/>
    <hyperlink ref="I5130" r:id="rId3052" xr:uid="{00000000-0004-0000-0100-0000EB0B0000}"/>
    <hyperlink ref="I5131" r:id="rId3053" xr:uid="{00000000-0004-0000-0100-0000EC0B0000}"/>
    <hyperlink ref="I5132" r:id="rId3054" xr:uid="{00000000-0004-0000-0100-0000ED0B0000}"/>
    <hyperlink ref="I5133" r:id="rId3055" xr:uid="{00000000-0004-0000-0100-0000EE0B0000}"/>
    <hyperlink ref="I5134" r:id="rId3056" xr:uid="{00000000-0004-0000-0100-0000EF0B0000}"/>
    <hyperlink ref="I5135" r:id="rId3057" xr:uid="{00000000-0004-0000-0100-0000F00B0000}"/>
    <hyperlink ref="I5136" r:id="rId3058" xr:uid="{00000000-0004-0000-0100-0000F10B0000}"/>
    <hyperlink ref="I5137" r:id="rId3059" xr:uid="{00000000-0004-0000-0100-0000F20B0000}"/>
    <hyperlink ref="I5138" r:id="rId3060" xr:uid="{00000000-0004-0000-0100-0000F30B0000}"/>
    <hyperlink ref="I5139" r:id="rId3061" xr:uid="{00000000-0004-0000-0100-0000F40B0000}"/>
    <hyperlink ref="I5140" r:id="rId3062" xr:uid="{00000000-0004-0000-0100-0000F50B0000}"/>
    <hyperlink ref="I5141" r:id="rId3063" xr:uid="{00000000-0004-0000-0100-0000F60B0000}"/>
    <hyperlink ref="I5142" r:id="rId3064" xr:uid="{00000000-0004-0000-0100-0000F70B0000}"/>
    <hyperlink ref="I5143" r:id="rId3065" xr:uid="{00000000-0004-0000-0100-0000F80B0000}"/>
    <hyperlink ref="I5144" r:id="rId3066" xr:uid="{00000000-0004-0000-0100-0000F90B0000}"/>
    <hyperlink ref="I5145" r:id="rId3067" xr:uid="{00000000-0004-0000-0100-0000FA0B0000}"/>
    <hyperlink ref="I5146" r:id="rId3068" xr:uid="{00000000-0004-0000-0100-0000FB0B0000}"/>
    <hyperlink ref="I5147" r:id="rId3069" xr:uid="{00000000-0004-0000-0100-0000FC0B0000}"/>
    <hyperlink ref="I5148" r:id="rId3070" xr:uid="{00000000-0004-0000-0100-0000FD0B0000}"/>
    <hyperlink ref="I5149" r:id="rId3071" xr:uid="{00000000-0004-0000-0100-0000FE0B0000}"/>
    <hyperlink ref="I5150" r:id="rId3072" xr:uid="{00000000-0004-0000-0100-0000FF0B0000}"/>
    <hyperlink ref="I5151" r:id="rId3073" xr:uid="{00000000-0004-0000-0100-0000000C0000}"/>
    <hyperlink ref="I5152" r:id="rId3074" xr:uid="{00000000-0004-0000-0100-0000010C0000}"/>
    <hyperlink ref="I5153" r:id="rId3075" xr:uid="{00000000-0004-0000-0100-0000020C0000}"/>
    <hyperlink ref="I5154" r:id="rId3076" xr:uid="{00000000-0004-0000-0100-0000030C0000}"/>
    <hyperlink ref="I5155" r:id="rId3077" xr:uid="{00000000-0004-0000-0100-0000040C0000}"/>
    <hyperlink ref="I5156" r:id="rId3078" xr:uid="{00000000-0004-0000-0100-0000050C0000}"/>
    <hyperlink ref="I5157" r:id="rId3079" xr:uid="{00000000-0004-0000-0100-0000060C0000}"/>
    <hyperlink ref="I5158" r:id="rId3080" xr:uid="{00000000-0004-0000-0100-0000070C0000}"/>
    <hyperlink ref="I5159" r:id="rId3081" xr:uid="{00000000-0004-0000-0100-0000080C0000}"/>
    <hyperlink ref="I5160" r:id="rId3082" xr:uid="{00000000-0004-0000-0100-0000090C0000}"/>
    <hyperlink ref="I5161" r:id="rId3083" xr:uid="{00000000-0004-0000-0100-00000A0C0000}"/>
    <hyperlink ref="I5162" r:id="rId3084" xr:uid="{00000000-0004-0000-0100-00000B0C0000}"/>
    <hyperlink ref="I5163" r:id="rId3085" xr:uid="{00000000-0004-0000-0100-00000C0C0000}"/>
    <hyperlink ref="I5164" r:id="rId3086" xr:uid="{00000000-0004-0000-0100-00000D0C0000}"/>
    <hyperlink ref="I5165" r:id="rId3087" xr:uid="{00000000-0004-0000-0100-00000E0C0000}"/>
    <hyperlink ref="I5166" r:id="rId3088" xr:uid="{00000000-0004-0000-0100-00000F0C0000}"/>
    <hyperlink ref="I5167" r:id="rId3089" xr:uid="{00000000-0004-0000-0100-0000100C0000}"/>
    <hyperlink ref="I5168" r:id="rId3090" xr:uid="{00000000-0004-0000-0100-0000110C0000}"/>
    <hyperlink ref="I5169" r:id="rId3091" xr:uid="{00000000-0004-0000-0100-0000120C0000}"/>
    <hyperlink ref="I5170" r:id="rId3092" xr:uid="{00000000-0004-0000-0100-0000130C0000}"/>
    <hyperlink ref="I5171" r:id="rId3093" xr:uid="{00000000-0004-0000-0100-0000140C0000}"/>
    <hyperlink ref="I5172" r:id="rId3094" xr:uid="{00000000-0004-0000-0100-0000150C0000}"/>
    <hyperlink ref="I5173" r:id="rId3095" xr:uid="{00000000-0004-0000-0100-0000160C0000}"/>
    <hyperlink ref="I5174" r:id="rId3096" xr:uid="{00000000-0004-0000-0100-0000170C0000}"/>
    <hyperlink ref="I5175" r:id="rId3097" xr:uid="{00000000-0004-0000-0100-0000180C0000}"/>
    <hyperlink ref="I5176" r:id="rId3098" xr:uid="{00000000-0004-0000-0100-0000190C0000}"/>
    <hyperlink ref="I5177" r:id="rId3099" xr:uid="{00000000-0004-0000-0100-00001A0C0000}"/>
    <hyperlink ref="I5178" r:id="rId3100" xr:uid="{00000000-0004-0000-0100-00001B0C0000}"/>
    <hyperlink ref="I5179" r:id="rId3101" xr:uid="{00000000-0004-0000-0100-00001C0C0000}"/>
    <hyperlink ref="I5180" r:id="rId3102" xr:uid="{00000000-0004-0000-0100-00001D0C0000}"/>
    <hyperlink ref="I5181" r:id="rId3103" xr:uid="{00000000-0004-0000-0100-00001E0C0000}"/>
    <hyperlink ref="I5182" r:id="rId3104" xr:uid="{00000000-0004-0000-0100-00001F0C0000}"/>
    <hyperlink ref="I5183" r:id="rId3105" xr:uid="{00000000-0004-0000-0100-0000200C0000}"/>
    <hyperlink ref="I5184" r:id="rId3106" xr:uid="{00000000-0004-0000-0100-0000210C0000}"/>
    <hyperlink ref="I5185" r:id="rId3107" xr:uid="{00000000-0004-0000-0100-0000220C0000}"/>
    <hyperlink ref="I5186" r:id="rId3108" xr:uid="{00000000-0004-0000-0100-0000230C0000}"/>
    <hyperlink ref="I5187" r:id="rId3109" xr:uid="{00000000-0004-0000-0100-0000240C0000}"/>
    <hyperlink ref="I5188" r:id="rId3110" xr:uid="{00000000-0004-0000-0100-0000250C0000}"/>
    <hyperlink ref="I5189" r:id="rId3111" xr:uid="{00000000-0004-0000-0100-0000260C0000}"/>
    <hyperlink ref="I5190" r:id="rId3112" xr:uid="{00000000-0004-0000-0100-0000270C0000}"/>
    <hyperlink ref="I5191" r:id="rId3113" xr:uid="{00000000-0004-0000-0100-0000280C0000}"/>
    <hyperlink ref="I5192" r:id="rId3114" xr:uid="{00000000-0004-0000-0100-0000290C0000}"/>
    <hyperlink ref="I5193" r:id="rId3115" xr:uid="{00000000-0004-0000-0100-00002A0C0000}"/>
    <hyperlink ref="I5194" r:id="rId3116" xr:uid="{00000000-0004-0000-0100-00002B0C0000}"/>
    <hyperlink ref="I5195" r:id="rId3117" xr:uid="{00000000-0004-0000-0100-00002C0C0000}"/>
    <hyperlink ref="I5196" r:id="rId3118" xr:uid="{00000000-0004-0000-0100-00002D0C0000}"/>
    <hyperlink ref="I5197" r:id="rId3119" xr:uid="{00000000-0004-0000-0100-00002E0C0000}"/>
    <hyperlink ref="I5198" r:id="rId3120" xr:uid="{00000000-0004-0000-0100-00002F0C0000}"/>
    <hyperlink ref="I5199" r:id="rId3121" xr:uid="{00000000-0004-0000-0100-0000300C0000}"/>
    <hyperlink ref="I5200" r:id="rId3122" xr:uid="{00000000-0004-0000-0100-0000310C0000}"/>
    <hyperlink ref="I5201" r:id="rId3123" xr:uid="{00000000-0004-0000-0100-0000320C0000}"/>
    <hyperlink ref="I5202" r:id="rId3124" xr:uid="{00000000-0004-0000-0100-0000330C0000}"/>
    <hyperlink ref="I5203" r:id="rId3125" xr:uid="{00000000-0004-0000-0100-0000340C0000}"/>
    <hyperlink ref="I5204" r:id="rId3126" xr:uid="{00000000-0004-0000-0100-0000350C0000}"/>
    <hyperlink ref="I5205" r:id="rId3127" xr:uid="{00000000-0004-0000-0100-0000360C0000}"/>
    <hyperlink ref="I5206" r:id="rId3128" xr:uid="{00000000-0004-0000-0100-0000370C0000}"/>
    <hyperlink ref="I5207" r:id="rId3129" xr:uid="{00000000-0004-0000-0100-0000380C0000}"/>
    <hyperlink ref="I5208" r:id="rId3130" xr:uid="{00000000-0004-0000-0100-0000390C0000}"/>
    <hyperlink ref="I5209" r:id="rId3131" xr:uid="{00000000-0004-0000-0100-00003A0C0000}"/>
    <hyperlink ref="I5210" r:id="rId3132" xr:uid="{00000000-0004-0000-0100-00003B0C0000}"/>
    <hyperlink ref="I5211" r:id="rId3133" xr:uid="{00000000-0004-0000-0100-00003C0C0000}"/>
    <hyperlink ref="I5212" r:id="rId3134" xr:uid="{00000000-0004-0000-0100-00003D0C0000}"/>
    <hyperlink ref="I5213" r:id="rId3135" xr:uid="{00000000-0004-0000-0100-00003E0C0000}"/>
    <hyperlink ref="I5214" r:id="rId3136" xr:uid="{00000000-0004-0000-0100-00003F0C0000}"/>
    <hyperlink ref="I5215" r:id="rId3137" xr:uid="{00000000-0004-0000-0100-0000400C0000}"/>
    <hyperlink ref="I5216" r:id="rId3138" xr:uid="{00000000-0004-0000-0100-0000410C0000}"/>
    <hyperlink ref="I5217" r:id="rId3139" xr:uid="{00000000-0004-0000-0100-0000420C0000}"/>
    <hyperlink ref="I5218" r:id="rId3140" xr:uid="{00000000-0004-0000-0100-0000430C0000}"/>
    <hyperlink ref="I5219" r:id="rId3141" xr:uid="{00000000-0004-0000-0100-0000440C0000}"/>
    <hyperlink ref="I5220" r:id="rId3142" xr:uid="{00000000-0004-0000-0100-0000450C0000}"/>
    <hyperlink ref="I5221" r:id="rId3143" xr:uid="{00000000-0004-0000-0100-0000460C0000}"/>
    <hyperlink ref="I5222" r:id="rId3144" xr:uid="{00000000-0004-0000-0100-0000470C0000}"/>
    <hyperlink ref="I5223" r:id="rId3145" xr:uid="{00000000-0004-0000-0100-0000480C0000}"/>
    <hyperlink ref="I5224" r:id="rId3146" xr:uid="{00000000-0004-0000-0100-0000490C0000}"/>
    <hyperlink ref="I5225" r:id="rId3147" xr:uid="{00000000-0004-0000-0100-00004A0C0000}"/>
    <hyperlink ref="I5226" r:id="rId3148" xr:uid="{00000000-0004-0000-0100-00004B0C0000}"/>
    <hyperlink ref="I5227" r:id="rId3149" xr:uid="{00000000-0004-0000-0100-00004C0C0000}"/>
    <hyperlink ref="I5228" r:id="rId3150" xr:uid="{00000000-0004-0000-0100-00004D0C0000}"/>
    <hyperlink ref="I5229" r:id="rId3151" xr:uid="{00000000-0004-0000-0100-00004E0C0000}"/>
    <hyperlink ref="I5230" r:id="rId3152" xr:uid="{00000000-0004-0000-0100-00004F0C0000}"/>
    <hyperlink ref="I5231" r:id="rId3153" xr:uid="{00000000-0004-0000-0100-0000500C0000}"/>
    <hyperlink ref="I5232" r:id="rId3154" xr:uid="{00000000-0004-0000-0100-0000510C0000}"/>
    <hyperlink ref="I5233" r:id="rId3155" xr:uid="{00000000-0004-0000-0100-0000520C0000}"/>
    <hyperlink ref="I5234" r:id="rId3156" xr:uid="{00000000-0004-0000-0100-0000530C0000}"/>
    <hyperlink ref="I5235" r:id="rId3157" xr:uid="{00000000-0004-0000-0100-0000540C0000}"/>
    <hyperlink ref="I5236" r:id="rId3158" xr:uid="{00000000-0004-0000-0100-0000550C0000}"/>
    <hyperlink ref="I5237" r:id="rId3159" xr:uid="{00000000-0004-0000-0100-0000560C0000}"/>
    <hyperlink ref="I5238" r:id="rId3160" xr:uid="{00000000-0004-0000-0100-0000570C0000}"/>
    <hyperlink ref="I5239" r:id="rId3161" xr:uid="{00000000-0004-0000-0100-0000580C0000}"/>
    <hyperlink ref="I5240" r:id="rId3162" xr:uid="{00000000-0004-0000-0100-0000590C0000}"/>
    <hyperlink ref="I5241" r:id="rId3163" xr:uid="{00000000-0004-0000-0100-00005A0C0000}"/>
    <hyperlink ref="I5242" r:id="rId3164" xr:uid="{00000000-0004-0000-0100-00005B0C0000}"/>
    <hyperlink ref="I5243" r:id="rId3165" xr:uid="{00000000-0004-0000-0100-00005C0C0000}"/>
    <hyperlink ref="I5244" r:id="rId3166" xr:uid="{00000000-0004-0000-0100-00005D0C0000}"/>
    <hyperlink ref="I5245" r:id="rId3167" xr:uid="{00000000-0004-0000-0100-00005E0C0000}"/>
    <hyperlink ref="I5246" r:id="rId3168" xr:uid="{00000000-0004-0000-0100-00005F0C0000}"/>
    <hyperlink ref="I5247" r:id="rId3169" xr:uid="{00000000-0004-0000-0100-0000600C0000}"/>
    <hyperlink ref="I5248" r:id="rId3170" xr:uid="{00000000-0004-0000-0100-0000610C0000}"/>
    <hyperlink ref="I5249" r:id="rId3171" xr:uid="{00000000-0004-0000-0100-0000620C0000}"/>
    <hyperlink ref="I5250" r:id="rId3172" xr:uid="{00000000-0004-0000-0100-0000630C0000}"/>
    <hyperlink ref="I5251" r:id="rId3173" xr:uid="{00000000-0004-0000-0100-0000640C0000}"/>
    <hyperlink ref="I5252" r:id="rId3174" xr:uid="{00000000-0004-0000-0100-0000650C0000}"/>
    <hyperlink ref="I5253" r:id="rId3175" xr:uid="{00000000-0004-0000-0100-0000660C0000}"/>
    <hyperlink ref="I5254" r:id="rId3176" xr:uid="{00000000-0004-0000-0100-0000670C0000}"/>
    <hyperlink ref="I5255" r:id="rId3177" xr:uid="{00000000-0004-0000-0100-0000680C0000}"/>
    <hyperlink ref="I5256" r:id="rId3178" xr:uid="{00000000-0004-0000-0100-0000690C0000}"/>
    <hyperlink ref="I5257" r:id="rId3179" xr:uid="{00000000-0004-0000-0100-00006A0C0000}"/>
    <hyperlink ref="I5258" r:id="rId3180" xr:uid="{00000000-0004-0000-0100-00006B0C0000}"/>
    <hyperlink ref="I5259" r:id="rId3181" xr:uid="{00000000-0004-0000-0100-00006C0C0000}"/>
    <hyperlink ref="I5260" r:id="rId3182" xr:uid="{00000000-0004-0000-0100-00006D0C0000}"/>
    <hyperlink ref="I5261" r:id="rId3183" xr:uid="{00000000-0004-0000-0100-00006E0C0000}"/>
    <hyperlink ref="I5262" r:id="rId3184" xr:uid="{00000000-0004-0000-0100-00006F0C0000}"/>
    <hyperlink ref="I5263" r:id="rId3185" xr:uid="{00000000-0004-0000-0100-0000700C0000}"/>
    <hyperlink ref="I5264" r:id="rId3186" xr:uid="{00000000-0004-0000-0100-0000710C0000}"/>
    <hyperlink ref="I5265" r:id="rId3187" xr:uid="{00000000-0004-0000-0100-0000720C0000}"/>
    <hyperlink ref="I5266" r:id="rId3188" xr:uid="{00000000-0004-0000-0100-0000730C0000}"/>
    <hyperlink ref="I5267" r:id="rId3189" xr:uid="{00000000-0004-0000-0100-0000740C0000}"/>
    <hyperlink ref="I5268" r:id="rId3190" xr:uid="{00000000-0004-0000-0100-0000750C0000}"/>
    <hyperlink ref="I5269" r:id="rId3191" xr:uid="{00000000-0004-0000-0100-0000760C0000}"/>
    <hyperlink ref="I5270" r:id="rId3192" xr:uid="{00000000-0004-0000-0100-0000770C0000}"/>
    <hyperlink ref="I5271" r:id="rId3193" xr:uid="{00000000-0004-0000-0100-0000780C0000}"/>
    <hyperlink ref="I5272" r:id="rId3194" xr:uid="{00000000-0004-0000-0100-0000790C0000}"/>
    <hyperlink ref="I5273" r:id="rId3195" xr:uid="{00000000-0004-0000-0100-00007A0C0000}"/>
    <hyperlink ref="I5274" r:id="rId3196" xr:uid="{00000000-0004-0000-0100-00007B0C0000}"/>
    <hyperlink ref="I5275" r:id="rId3197" xr:uid="{00000000-0004-0000-0100-00007C0C0000}"/>
    <hyperlink ref="I5276" r:id="rId3198" xr:uid="{00000000-0004-0000-0100-00007D0C0000}"/>
    <hyperlink ref="I5277" r:id="rId3199" xr:uid="{00000000-0004-0000-0100-00007E0C0000}"/>
    <hyperlink ref="I5278" r:id="rId3200" xr:uid="{00000000-0004-0000-0100-00007F0C0000}"/>
    <hyperlink ref="I5279" r:id="rId3201" xr:uid="{00000000-0004-0000-0100-0000800C0000}"/>
    <hyperlink ref="I5280" r:id="rId3202" xr:uid="{00000000-0004-0000-0100-0000810C0000}"/>
    <hyperlink ref="I5281" r:id="rId3203" xr:uid="{00000000-0004-0000-0100-0000820C0000}"/>
    <hyperlink ref="I5282" r:id="rId3204" xr:uid="{00000000-0004-0000-0100-0000830C0000}"/>
    <hyperlink ref="I5283" r:id="rId3205" xr:uid="{00000000-0004-0000-0100-0000840C0000}"/>
    <hyperlink ref="I5284" r:id="rId3206" xr:uid="{00000000-0004-0000-0100-0000850C0000}"/>
    <hyperlink ref="I5285" r:id="rId3207" xr:uid="{00000000-0004-0000-0100-0000860C0000}"/>
    <hyperlink ref="I5286" r:id="rId3208" xr:uid="{00000000-0004-0000-0100-0000870C0000}"/>
    <hyperlink ref="I5287" r:id="rId3209" xr:uid="{00000000-0004-0000-0100-0000880C0000}"/>
    <hyperlink ref="I5288" r:id="rId3210" xr:uid="{00000000-0004-0000-0100-0000890C0000}"/>
    <hyperlink ref="I5289" r:id="rId3211" xr:uid="{00000000-0004-0000-0100-00008A0C0000}"/>
    <hyperlink ref="I5290" r:id="rId3212" xr:uid="{00000000-0004-0000-0100-00008B0C0000}"/>
    <hyperlink ref="I5291" r:id="rId3213" xr:uid="{00000000-0004-0000-0100-00008C0C0000}"/>
    <hyperlink ref="I5292" r:id="rId3214" xr:uid="{00000000-0004-0000-0100-00008D0C0000}"/>
    <hyperlink ref="I5293" r:id="rId3215" xr:uid="{00000000-0004-0000-0100-00008E0C0000}"/>
    <hyperlink ref="I5294" r:id="rId3216" xr:uid="{00000000-0004-0000-0100-00008F0C0000}"/>
    <hyperlink ref="I5295" r:id="rId3217" xr:uid="{00000000-0004-0000-0100-0000900C0000}"/>
    <hyperlink ref="I5296" r:id="rId3218" xr:uid="{00000000-0004-0000-0100-0000910C0000}"/>
    <hyperlink ref="I5297" r:id="rId3219" xr:uid="{00000000-0004-0000-0100-0000920C0000}"/>
    <hyperlink ref="I5298" r:id="rId3220" xr:uid="{00000000-0004-0000-0100-0000930C0000}"/>
    <hyperlink ref="I5299" r:id="rId3221" xr:uid="{00000000-0004-0000-0100-0000940C0000}"/>
    <hyperlink ref="I5300" r:id="rId3222" xr:uid="{00000000-0004-0000-0100-0000950C0000}"/>
    <hyperlink ref="I5301" r:id="rId3223" xr:uid="{00000000-0004-0000-0100-0000960C0000}"/>
    <hyperlink ref="I5302" r:id="rId3224" xr:uid="{00000000-0004-0000-0100-0000970C0000}"/>
    <hyperlink ref="I5303" r:id="rId3225" xr:uid="{00000000-0004-0000-0100-0000980C0000}"/>
    <hyperlink ref="I5304" r:id="rId3226" xr:uid="{00000000-0004-0000-0100-0000990C0000}"/>
    <hyperlink ref="I5305" r:id="rId3227" xr:uid="{00000000-0004-0000-0100-00009A0C0000}"/>
    <hyperlink ref="I5306" r:id="rId3228" xr:uid="{00000000-0004-0000-0100-00009B0C0000}"/>
    <hyperlink ref="I5307" r:id="rId3229" xr:uid="{00000000-0004-0000-0100-00009C0C0000}"/>
    <hyperlink ref="I5308" r:id="rId3230" xr:uid="{00000000-0004-0000-0100-00009D0C0000}"/>
    <hyperlink ref="I5309" r:id="rId3231" xr:uid="{00000000-0004-0000-0100-00009E0C0000}"/>
    <hyperlink ref="I5310" r:id="rId3232" xr:uid="{00000000-0004-0000-0100-00009F0C0000}"/>
    <hyperlink ref="I5311" r:id="rId3233" xr:uid="{00000000-0004-0000-0100-0000A00C0000}"/>
    <hyperlink ref="I5312" r:id="rId3234" xr:uid="{00000000-0004-0000-0100-0000A10C0000}"/>
    <hyperlink ref="I5313" r:id="rId3235" xr:uid="{00000000-0004-0000-0100-0000A20C0000}"/>
    <hyperlink ref="I5314" r:id="rId3236" xr:uid="{00000000-0004-0000-0100-0000A30C0000}"/>
    <hyperlink ref="I5315" r:id="rId3237" xr:uid="{00000000-0004-0000-0100-0000A40C0000}"/>
    <hyperlink ref="I5316" r:id="rId3238" xr:uid="{00000000-0004-0000-0100-0000A50C0000}"/>
    <hyperlink ref="I5317" r:id="rId3239" xr:uid="{00000000-0004-0000-0100-0000A60C0000}"/>
    <hyperlink ref="I5318" r:id="rId3240" xr:uid="{00000000-0004-0000-0100-0000A70C0000}"/>
    <hyperlink ref="I5319" r:id="rId3241" xr:uid="{00000000-0004-0000-0100-0000A80C0000}"/>
    <hyperlink ref="I5320" r:id="rId3242" xr:uid="{00000000-0004-0000-0100-0000A90C0000}"/>
    <hyperlink ref="I5321" r:id="rId3243" xr:uid="{00000000-0004-0000-0100-0000AA0C0000}"/>
    <hyperlink ref="I5322" r:id="rId3244" xr:uid="{00000000-0004-0000-0100-0000AB0C0000}"/>
    <hyperlink ref="I5323" r:id="rId3245" xr:uid="{00000000-0004-0000-0100-0000AC0C0000}"/>
    <hyperlink ref="I5324" r:id="rId3246" xr:uid="{00000000-0004-0000-0100-0000AD0C0000}"/>
    <hyperlink ref="I5325" r:id="rId3247" xr:uid="{00000000-0004-0000-0100-0000AE0C0000}"/>
    <hyperlink ref="I5326" r:id="rId3248" xr:uid="{00000000-0004-0000-0100-0000AF0C0000}"/>
    <hyperlink ref="I5327" r:id="rId3249" xr:uid="{00000000-0004-0000-0100-0000B00C0000}"/>
    <hyperlink ref="I5328" r:id="rId3250" xr:uid="{00000000-0004-0000-0100-0000B10C0000}"/>
    <hyperlink ref="I5329" r:id="rId3251" xr:uid="{00000000-0004-0000-0100-0000B20C0000}"/>
    <hyperlink ref="I5330" r:id="rId3252" xr:uid="{00000000-0004-0000-0100-0000B30C0000}"/>
    <hyperlink ref="I5331" r:id="rId3253" xr:uid="{00000000-0004-0000-0100-0000B40C0000}"/>
    <hyperlink ref="I5332" r:id="rId3254" xr:uid="{00000000-0004-0000-0100-0000B50C0000}"/>
    <hyperlink ref="I5333" r:id="rId3255" xr:uid="{00000000-0004-0000-0100-0000B60C0000}"/>
    <hyperlink ref="I5334" r:id="rId3256" xr:uid="{00000000-0004-0000-0100-0000B70C0000}"/>
    <hyperlink ref="I5335" r:id="rId3257" xr:uid="{00000000-0004-0000-0100-0000B80C0000}"/>
    <hyperlink ref="I5336" r:id="rId3258" xr:uid="{00000000-0004-0000-0100-0000B90C0000}"/>
    <hyperlink ref="I5337" r:id="rId3259" xr:uid="{00000000-0004-0000-0100-0000BA0C0000}"/>
    <hyperlink ref="I5338" r:id="rId3260" xr:uid="{00000000-0004-0000-0100-0000BB0C0000}"/>
    <hyperlink ref="I5339" r:id="rId3261" xr:uid="{00000000-0004-0000-0100-0000BC0C0000}"/>
    <hyperlink ref="I5340" r:id="rId3262" xr:uid="{00000000-0004-0000-0100-0000BD0C0000}"/>
    <hyperlink ref="I5341" r:id="rId3263" xr:uid="{00000000-0004-0000-0100-0000BE0C0000}"/>
    <hyperlink ref="I5342" r:id="rId3264" xr:uid="{00000000-0004-0000-0100-0000BF0C0000}"/>
    <hyperlink ref="I5343" r:id="rId3265" xr:uid="{00000000-0004-0000-0100-0000C00C0000}"/>
    <hyperlink ref="I5344" r:id="rId3266" xr:uid="{00000000-0004-0000-0100-0000C10C0000}"/>
    <hyperlink ref="I5345" r:id="rId3267" xr:uid="{00000000-0004-0000-0100-0000C20C0000}"/>
    <hyperlink ref="I5346" r:id="rId3268" xr:uid="{00000000-0004-0000-0100-0000C30C0000}"/>
    <hyperlink ref="I5347" r:id="rId3269" xr:uid="{00000000-0004-0000-0100-0000C40C0000}"/>
    <hyperlink ref="I5348" r:id="rId3270" xr:uid="{00000000-0004-0000-0100-0000C50C0000}"/>
    <hyperlink ref="I5349" r:id="rId3271" xr:uid="{00000000-0004-0000-0100-0000C60C0000}"/>
    <hyperlink ref="I5350" r:id="rId3272" xr:uid="{00000000-0004-0000-0100-0000C70C0000}"/>
    <hyperlink ref="I5351" r:id="rId3273" xr:uid="{00000000-0004-0000-0100-0000C80C0000}"/>
    <hyperlink ref="I5352" r:id="rId3274" xr:uid="{00000000-0004-0000-0100-0000C90C0000}"/>
    <hyperlink ref="I5353" r:id="rId3275" xr:uid="{00000000-0004-0000-0100-0000CA0C0000}"/>
    <hyperlink ref="I5354" r:id="rId3276" xr:uid="{00000000-0004-0000-0100-0000CB0C0000}"/>
    <hyperlink ref="I5355" r:id="rId3277" xr:uid="{00000000-0004-0000-0100-0000CC0C0000}"/>
    <hyperlink ref="I5356" r:id="rId3278" xr:uid="{00000000-0004-0000-0100-0000CD0C0000}"/>
    <hyperlink ref="I5357" r:id="rId3279" xr:uid="{00000000-0004-0000-0100-0000CE0C0000}"/>
    <hyperlink ref="I5358" r:id="rId3280" xr:uid="{00000000-0004-0000-0100-0000CF0C0000}"/>
    <hyperlink ref="I5359" r:id="rId3281" xr:uid="{00000000-0004-0000-0100-0000D00C0000}"/>
    <hyperlink ref="I5360" r:id="rId3282" xr:uid="{00000000-0004-0000-0100-0000D10C0000}"/>
    <hyperlink ref="I5361" r:id="rId3283" xr:uid="{00000000-0004-0000-0100-0000D20C0000}"/>
    <hyperlink ref="I5362" r:id="rId3284" xr:uid="{00000000-0004-0000-0100-0000D30C0000}"/>
    <hyperlink ref="I5363" r:id="rId3285" xr:uid="{00000000-0004-0000-0100-0000D40C0000}"/>
    <hyperlink ref="I5364" r:id="rId3286" xr:uid="{00000000-0004-0000-0100-0000D50C0000}"/>
    <hyperlink ref="I5365" r:id="rId3287" xr:uid="{00000000-0004-0000-0100-0000D60C0000}"/>
    <hyperlink ref="I5366" r:id="rId3288" xr:uid="{00000000-0004-0000-0100-0000D70C0000}"/>
    <hyperlink ref="I5367" r:id="rId3289" xr:uid="{00000000-0004-0000-0100-0000D80C0000}"/>
    <hyperlink ref="I5368" r:id="rId3290" xr:uid="{00000000-0004-0000-0100-0000D90C0000}"/>
    <hyperlink ref="I5369" r:id="rId3291" xr:uid="{00000000-0004-0000-0100-0000DA0C0000}"/>
    <hyperlink ref="I5370" r:id="rId3292" xr:uid="{00000000-0004-0000-0100-0000DB0C0000}"/>
    <hyperlink ref="I5371" r:id="rId3293" xr:uid="{00000000-0004-0000-0100-0000DC0C0000}"/>
    <hyperlink ref="I5372" r:id="rId3294" xr:uid="{00000000-0004-0000-0100-0000DD0C0000}"/>
    <hyperlink ref="I5373" r:id="rId3295" xr:uid="{00000000-0004-0000-0100-0000DE0C0000}"/>
    <hyperlink ref="I5374" r:id="rId3296" xr:uid="{00000000-0004-0000-0100-0000DF0C0000}"/>
    <hyperlink ref="I5375" r:id="rId3297" xr:uid="{00000000-0004-0000-0100-0000E00C0000}"/>
    <hyperlink ref="I5376" r:id="rId3298" xr:uid="{00000000-0004-0000-0100-0000E10C0000}"/>
    <hyperlink ref="I5377" r:id="rId3299" xr:uid="{00000000-0004-0000-0100-0000E20C0000}"/>
    <hyperlink ref="I5378" r:id="rId3300" xr:uid="{00000000-0004-0000-0100-0000E30C0000}"/>
    <hyperlink ref="I5379" r:id="rId3301" xr:uid="{00000000-0004-0000-0100-0000E40C0000}"/>
    <hyperlink ref="I5380" r:id="rId3302" xr:uid="{00000000-0004-0000-0100-0000E50C0000}"/>
    <hyperlink ref="I5381" r:id="rId3303" xr:uid="{00000000-0004-0000-0100-0000E60C0000}"/>
    <hyperlink ref="I5382" r:id="rId3304" xr:uid="{00000000-0004-0000-0100-0000E70C0000}"/>
    <hyperlink ref="I5383" r:id="rId3305" xr:uid="{00000000-0004-0000-0100-0000E80C0000}"/>
    <hyperlink ref="I5384" r:id="rId3306" xr:uid="{00000000-0004-0000-0100-0000E90C0000}"/>
    <hyperlink ref="I5385" r:id="rId3307" xr:uid="{00000000-0004-0000-0100-0000EA0C0000}"/>
    <hyperlink ref="I5386" r:id="rId3308" xr:uid="{00000000-0004-0000-0100-0000EB0C0000}"/>
    <hyperlink ref="I5387" r:id="rId3309" xr:uid="{00000000-0004-0000-0100-0000EC0C0000}"/>
    <hyperlink ref="I5388" r:id="rId3310" xr:uid="{00000000-0004-0000-0100-0000ED0C0000}"/>
    <hyperlink ref="I5389" r:id="rId3311" xr:uid="{00000000-0004-0000-0100-0000EE0C0000}"/>
    <hyperlink ref="I5390" r:id="rId3312" xr:uid="{00000000-0004-0000-0100-0000EF0C0000}"/>
    <hyperlink ref="I5391" r:id="rId3313" xr:uid="{00000000-0004-0000-0100-0000F00C0000}"/>
    <hyperlink ref="I5392" r:id="rId3314" xr:uid="{00000000-0004-0000-0100-0000F10C0000}"/>
    <hyperlink ref="I5393" r:id="rId3315" xr:uid="{00000000-0004-0000-0100-0000F20C0000}"/>
    <hyperlink ref="I5394" r:id="rId3316" xr:uid="{00000000-0004-0000-0100-0000F30C0000}"/>
    <hyperlink ref="I5395" r:id="rId3317" xr:uid="{00000000-0004-0000-0100-0000F40C0000}"/>
    <hyperlink ref="I5396" r:id="rId3318" xr:uid="{00000000-0004-0000-0100-0000F50C0000}"/>
    <hyperlink ref="I5397" r:id="rId3319" xr:uid="{00000000-0004-0000-0100-0000F60C0000}"/>
    <hyperlink ref="I5398" r:id="rId3320" xr:uid="{00000000-0004-0000-0100-0000F70C0000}"/>
    <hyperlink ref="I5399" r:id="rId3321" xr:uid="{00000000-0004-0000-0100-0000F80C0000}"/>
    <hyperlink ref="I5400" r:id="rId3322" xr:uid="{00000000-0004-0000-0100-0000F90C0000}"/>
    <hyperlink ref="I5401" r:id="rId3323" xr:uid="{00000000-0004-0000-0100-0000FA0C0000}"/>
    <hyperlink ref="I5402" r:id="rId3324" xr:uid="{00000000-0004-0000-0100-0000FB0C0000}"/>
    <hyperlink ref="I5403" r:id="rId3325" xr:uid="{00000000-0004-0000-0100-0000FC0C0000}"/>
    <hyperlink ref="I5404" r:id="rId3326" xr:uid="{00000000-0004-0000-0100-0000FD0C0000}"/>
    <hyperlink ref="I5405" r:id="rId3327" xr:uid="{00000000-0004-0000-0100-0000FE0C0000}"/>
    <hyperlink ref="I5406" r:id="rId3328" xr:uid="{00000000-0004-0000-0100-0000FF0C0000}"/>
    <hyperlink ref="I5407" r:id="rId3329" xr:uid="{00000000-0004-0000-0100-0000000D0000}"/>
    <hyperlink ref="I5408" r:id="rId3330" xr:uid="{00000000-0004-0000-0100-0000010D0000}"/>
    <hyperlink ref="I5409" r:id="rId3331" xr:uid="{00000000-0004-0000-0100-0000020D0000}"/>
    <hyperlink ref="I5410" r:id="rId3332" xr:uid="{00000000-0004-0000-0100-0000030D0000}"/>
    <hyperlink ref="I5411" r:id="rId3333" xr:uid="{00000000-0004-0000-0100-0000040D0000}"/>
    <hyperlink ref="I5412" r:id="rId3334" xr:uid="{00000000-0004-0000-0100-0000050D0000}"/>
    <hyperlink ref="I5413" r:id="rId3335" xr:uid="{00000000-0004-0000-0100-0000060D0000}"/>
    <hyperlink ref="I5414" r:id="rId3336" xr:uid="{00000000-0004-0000-0100-0000070D0000}"/>
    <hyperlink ref="I5415" r:id="rId3337" xr:uid="{00000000-0004-0000-0100-0000080D0000}"/>
    <hyperlink ref="I5416" r:id="rId3338" xr:uid="{00000000-0004-0000-0100-0000090D0000}"/>
    <hyperlink ref="I5417" r:id="rId3339" xr:uid="{00000000-0004-0000-0100-00000A0D0000}"/>
    <hyperlink ref="I5418" r:id="rId3340" xr:uid="{00000000-0004-0000-0100-00000B0D0000}"/>
    <hyperlink ref="I5419" r:id="rId3341" xr:uid="{00000000-0004-0000-0100-00000C0D0000}"/>
    <hyperlink ref="I5420" r:id="rId3342" xr:uid="{00000000-0004-0000-0100-00000D0D0000}"/>
    <hyperlink ref="I5421" r:id="rId3343" xr:uid="{00000000-0004-0000-0100-00000E0D0000}"/>
    <hyperlink ref="I5422" r:id="rId3344" xr:uid="{00000000-0004-0000-0100-00000F0D0000}"/>
    <hyperlink ref="I5423" r:id="rId3345" xr:uid="{00000000-0004-0000-0100-0000100D0000}"/>
    <hyperlink ref="I5424" r:id="rId3346" xr:uid="{00000000-0004-0000-0100-0000110D0000}"/>
    <hyperlink ref="I5425" r:id="rId3347" xr:uid="{00000000-0004-0000-0100-0000120D0000}"/>
    <hyperlink ref="I5426" r:id="rId3348" xr:uid="{00000000-0004-0000-0100-0000130D0000}"/>
    <hyperlink ref="I5427" r:id="rId3349" xr:uid="{00000000-0004-0000-0100-0000140D0000}"/>
    <hyperlink ref="I5428" r:id="rId3350" xr:uid="{00000000-0004-0000-0100-0000150D0000}"/>
    <hyperlink ref="I5429" r:id="rId3351" xr:uid="{00000000-0004-0000-0100-0000160D0000}"/>
    <hyperlink ref="I5430" r:id="rId3352" xr:uid="{00000000-0004-0000-0100-0000170D0000}"/>
    <hyperlink ref="I5431" r:id="rId3353" xr:uid="{00000000-0004-0000-0100-0000180D0000}"/>
    <hyperlink ref="I5432" r:id="rId3354" xr:uid="{00000000-0004-0000-0100-0000190D0000}"/>
    <hyperlink ref="I5433" r:id="rId3355" xr:uid="{00000000-0004-0000-0100-00001A0D0000}"/>
    <hyperlink ref="I5434" r:id="rId3356" xr:uid="{00000000-0004-0000-0100-00001B0D0000}"/>
    <hyperlink ref="I5435" r:id="rId3357" xr:uid="{00000000-0004-0000-0100-00001C0D0000}"/>
    <hyperlink ref="I5436" r:id="rId3358" xr:uid="{00000000-0004-0000-0100-00001D0D0000}"/>
    <hyperlink ref="I5437" r:id="rId3359" xr:uid="{00000000-0004-0000-0100-00001E0D0000}"/>
    <hyperlink ref="I5438" r:id="rId3360" xr:uid="{00000000-0004-0000-0100-00001F0D0000}"/>
    <hyperlink ref="I5439" r:id="rId3361" xr:uid="{00000000-0004-0000-0100-0000200D0000}"/>
    <hyperlink ref="I5440" r:id="rId3362" xr:uid="{00000000-0004-0000-0100-0000210D0000}"/>
    <hyperlink ref="I5441" r:id="rId3363" xr:uid="{00000000-0004-0000-0100-0000220D0000}"/>
    <hyperlink ref="I5442" r:id="rId3364" xr:uid="{00000000-0004-0000-0100-0000230D0000}"/>
    <hyperlink ref="I5443" r:id="rId3365" xr:uid="{00000000-0004-0000-0100-0000240D0000}"/>
    <hyperlink ref="I5444" r:id="rId3366" xr:uid="{00000000-0004-0000-0100-0000250D0000}"/>
    <hyperlink ref="I5445" r:id="rId3367" xr:uid="{00000000-0004-0000-0100-0000260D0000}"/>
    <hyperlink ref="I5446" r:id="rId3368" xr:uid="{00000000-0004-0000-0100-0000270D0000}"/>
    <hyperlink ref="I5447" r:id="rId3369" xr:uid="{00000000-0004-0000-0100-0000280D0000}"/>
    <hyperlink ref="I5448" r:id="rId3370" xr:uid="{00000000-0004-0000-0100-0000290D0000}"/>
    <hyperlink ref="I5449" r:id="rId3371" xr:uid="{00000000-0004-0000-0100-00002A0D0000}"/>
    <hyperlink ref="I5450" r:id="rId3372" xr:uid="{00000000-0004-0000-0100-00002B0D0000}"/>
    <hyperlink ref="I5451" r:id="rId3373" xr:uid="{00000000-0004-0000-0100-00002C0D0000}"/>
    <hyperlink ref="I5452" r:id="rId3374" xr:uid="{00000000-0004-0000-0100-00002D0D0000}"/>
    <hyperlink ref="I5453" r:id="rId3375" xr:uid="{00000000-0004-0000-0100-00002E0D0000}"/>
    <hyperlink ref="I5454" r:id="rId3376" xr:uid="{00000000-0004-0000-0100-00002F0D0000}"/>
    <hyperlink ref="I5455" r:id="rId3377" xr:uid="{00000000-0004-0000-0100-0000300D0000}"/>
    <hyperlink ref="I5456" r:id="rId3378" xr:uid="{00000000-0004-0000-0100-0000310D0000}"/>
    <hyperlink ref="I5457" r:id="rId3379" xr:uid="{00000000-0004-0000-0100-0000320D0000}"/>
    <hyperlink ref="I5458" r:id="rId3380" xr:uid="{00000000-0004-0000-0100-0000330D0000}"/>
    <hyperlink ref="I5459" r:id="rId3381" xr:uid="{00000000-0004-0000-0100-0000340D0000}"/>
    <hyperlink ref="I5460" r:id="rId3382" xr:uid="{00000000-0004-0000-0100-0000350D0000}"/>
    <hyperlink ref="I5461" r:id="rId3383" xr:uid="{00000000-0004-0000-0100-0000360D0000}"/>
    <hyperlink ref="I5462" r:id="rId3384" xr:uid="{00000000-0004-0000-0100-0000370D0000}"/>
    <hyperlink ref="I5463" r:id="rId3385" xr:uid="{00000000-0004-0000-0100-0000380D0000}"/>
    <hyperlink ref="I5464" r:id="rId3386" xr:uid="{00000000-0004-0000-0100-0000390D0000}"/>
    <hyperlink ref="I5465" r:id="rId3387" xr:uid="{00000000-0004-0000-0100-00003A0D0000}"/>
    <hyperlink ref="I5466" r:id="rId3388" xr:uid="{00000000-0004-0000-0100-00003B0D0000}"/>
    <hyperlink ref="I5467" r:id="rId3389" xr:uid="{00000000-0004-0000-0100-00003C0D0000}"/>
    <hyperlink ref="I5468" r:id="rId3390" xr:uid="{00000000-0004-0000-0100-00003D0D0000}"/>
    <hyperlink ref="I5469" r:id="rId3391" xr:uid="{00000000-0004-0000-0100-00003E0D0000}"/>
    <hyperlink ref="I5470" r:id="rId3392" xr:uid="{00000000-0004-0000-0100-00003F0D0000}"/>
    <hyperlink ref="I5471" r:id="rId3393" xr:uid="{00000000-0004-0000-0100-0000400D0000}"/>
    <hyperlink ref="I5472" r:id="rId3394" xr:uid="{00000000-0004-0000-0100-0000410D0000}"/>
    <hyperlink ref="I5473" r:id="rId3395" xr:uid="{00000000-0004-0000-0100-0000420D0000}"/>
    <hyperlink ref="I5474" r:id="rId3396" xr:uid="{00000000-0004-0000-0100-0000430D0000}"/>
    <hyperlink ref="I5475" r:id="rId3397" xr:uid="{00000000-0004-0000-0100-0000440D0000}"/>
    <hyperlink ref="I5476" r:id="rId3398" xr:uid="{00000000-0004-0000-0100-0000450D0000}"/>
    <hyperlink ref="I5477" r:id="rId3399" xr:uid="{00000000-0004-0000-0100-0000460D0000}"/>
    <hyperlink ref="I5478" r:id="rId3400" xr:uid="{00000000-0004-0000-0100-0000470D0000}"/>
    <hyperlink ref="I5479" r:id="rId3401" xr:uid="{00000000-0004-0000-0100-0000480D0000}"/>
    <hyperlink ref="I5480" r:id="rId3402" xr:uid="{00000000-0004-0000-0100-0000490D0000}"/>
    <hyperlink ref="I5481" r:id="rId3403" xr:uid="{00000000-0004-0000-0100-00004A0D0000}"/>
    <hyperlink ref="I5482" r:id="rId3404" xr:uid="{00000000-0004-0000-0100-00004B0D0000}"/>
    <hyperlink ref="I5483" r:id="rId3405" xr:uid="{00000000-0004-0000-0100-00004C0D0000}"/>
    <hyperlink ref="I5484" r:id="rId3406" xr:uid="{00000000-0004-0000-0100-00004D0D0000}"/>
    <hyperlink ref="I5485" r:id="rId3407" xr:uid="{00000000-0004-0000-0100-00004E0D0000}"/>
    <hyperlink ref="I5486" r:id="rId3408" xr:uid="{00000000-0004-0000-0100-00004F0D0000}"/>
    <hyperlink ref="I5487" r:id="rId3409" xr:uid="{00000000-0004-0000-0100-0000500D0000}"/>
    <hyperlink ref="I5488" r:id="rId3410" xr:uid="{00000000-0004-0000-0100-0000510D0000}"/>
    <hyperlink ref="I5489" r:id="rId3411" xr:uid="{00000000-0004-0000-0100-0000520D0000}"/>
    <hyperlink ref="I5490" r:id="rId3412" xr:uid="{00000000-0004-0000-0100-0000530D0000}"/>
    <hyperlink ref="I5491" r:id="rId3413" xr:uid="{00000000-0004-0000-0100-0000540D0000}"/>
    <hyperlink ref="I5492" r:id="rId3414" xr:uid="{00000000-0004-0000-0100-0000550D0000}"/>
    <hyperlink ref="I5493" r:id="rId3415" xr:uid="{00000000-0004-0000-0100-0000560D0000}"/>
    <hyperlink ref="I5494" r:id="rId3416" xr:uid="{00000000-0004-0000-0100-0000570D0000}"/>
    <hyperlink ref="I5495" r:id="rId3417" xr:uid="{00000000-0004-0000-0100-0000580D0000}"/>
    <hyperlink ref="I5496" r:id="rId3418" xr:uid="{00000000-0004-0000-0100-0000590D0000}"/>
    <hyperlink ref="I5497" r:id="rId3419" xr:uid="{00000000-0004-0000-0100-00005A0D0000}"/>
    <hyperlink ref="I5498" r:id="rId3420" xr:uid="{00000000-0004-0000-0100-00005B0D0000}"/>
    <hyperlink ref="I5499" r:id="rId3421" xr:uid="{00000000-0004-0000-0100-00005C0D0000}"/>
    <hyperlink ref="I5500" r:id="rId3422" xr:uid="{00000000-0004-0000-0100-00005D0D0000}"/>
    <hyperlink ref="I5501" r:id="rId3423" xr:uid="{00000000-0004-0000-0100-00005E0D0000}"/>
    <hyperlink ref="I5502" r:id="rId3424" xr:uid="{00000000-0004-0000-0100-00005F0D0000}"/>
    <hyperlink ref="I5503" r:id="rId3425" xr:uid="{00000000-0004-0000-0100-0000600D0000}"/>
    <hyperlink ref="I5504" r:id="rId3426" xr:uid="{00000000-0004-0000-0100-0000610D0000}"/>
    <hyperlink ref="I5505" r:id="rId3427" xr:uid="{00000000-0004-0000-0100-0000620D0000}"/>
    <hyperlink ref="I5506" r:id="rId3428" xr:uid="{00000000-0004-0000-0100-0000630D0000}"/>
    <hyperlink ref="I5507" r:id="rId3429" xr:uid="{00000000-0004-0000-0100-0000640D0000}"/>
    <hyperlink ref="I5508" r:id="rId3430" xr:uid="{00000000-0004-0000-0100-0000650D0000}"/>
    <hyperlink ref="I5509" r:id="rId3431" xr:uid="{00000000-0004-0000-0100-0000660D0000}"/>
    <hyperlink ref="I5510" r:id="rId3432" xr:uid="{00000000-0004-0000-0100-0000670D0000}"/>
    <hyperlink ref="I5511" r:id="rId3433" xr:uid="{00000000-0004-0000-0100-0000680D0000}"/>
    <hyperlink ref="I5512" r:id="rId3434" xr:uid="{00000000-0004-0000-0100-0000690D0000}"/>
    <hyperlink ref="I5513" r:id="rId3435" xr:uid="{00000000-0004-0000-0100-00006A0D0000}"/>
    <hyperlink ref="I5514" r:id="rId3436" xr:uid="{00000000-0004-0000-0100-00006B0D0000}"/>
    <hyperlink ref="I5515" r:id="rId3437" xr:uid="{00000000-0004-0000-0100-00006C0D0000}"/>
    <hyperlink ref="I5516" r:id="rId3438" xr:uid="{00000000-0004-0000-0100-00006D0D0000}"/>
    <hyperlink ref="I5517" r:id="rId3439" xr:uid="{00000000-0004-0000-0100-00006E0D0000}"/>
    <hyperlink ref="I5518" r:id="rId3440" xr:uid="{00000000-0004-0000-0100-00006F0D0000}"/>
    <hyperlink ref="I5519" r:id="rId3441" xr:uid="{00000000-0004-0000-0100-0000700D0000}"/>
    <hyperlink ref="I5520" r:id="rId3442" xr:uid="{00000000-0004-0000-0100-0000710D0000}"/>
    <hyperlink ref="I5521" r:id="rId3443" xr:uid="{00000000-0004-0000-0100-0000720D0000}"/>
    <hyperlink ref="I5522" r:id="rId3444" xr:uid="{00000000-0004-0000-0100-0000730D0000}"/>
    <hyperlink ref="I5523" r:id="rId3445" xr:uid="{00000000-0004-0000-0100-0000740D0000}"/>
    <hyperlink ref="I5524" r:id="rId3446" xr:uid="{00000000-0004-0000-0100-0000750D0000}"/>
    <hyperlink ref="I5525" r:id="rId3447" xr:uid="{00000000-0004-0000-0100-0000760D0000}"/>
    <hyperlink ref="I5526" r:id="rId3448" xr:uid="{00000000-0004-0000-0100-0000770D0000}"/>
    <hyperlink ref="I5527" r:id="rId3449" xr:uid="{00000000-0004-0000-0100-0000780D0000}"/>
    <hyperlink ref="I5528" r:id="rId3450" xr:uid="{00000000-0004-0000-0100-0000790D0000}"/>
    <hyperlink ref="I5529" r:id="rId3451" xr:uid="{00000000-0004-0000-0100-00007A0D0000}"/>
    <hyperlink ref="I5530" r:id="rId3452" xr:uid="{00000000-0004-0000-0100-00007B0D0000}"/>
    <hyperlink ref="I5531" r:id="rId3453" xr:uid="{00000000-0004-0000-0100-00007C0D0000}"/>
    <hyperlink ref="I5532" r:id="rId3454" xr:uid="{00000000-0004-0000-0100-00007D0D0000}"/>
    <hyperlink ref="I5533" r:id="rId3455" xr:uid="{00000000-0004-0000-0100-00007E0D0000}"/>
    <hyperlink ref="I5534" r:id="rId3456" xr:uid="{00000000-0004-0000-0100-00007F0D0000}"/>
    <hyperlink ref="I5535" r:id="rId3457" xr:uid="{00000000-0004-0000-0100-0000800D0000}"/>
    <hyperlink ref="I5536" r:id="rId3458" xr:uid="{00000000-0004-0000-0100-0000810D0000}"/>
    <hyperlink ref="I5537" r:id="rId3459" xr:uid="{00000000-0004-0000-0100-0000820D0000}"/>
    <hyperlink ref="I5538" r:id="rId3460" xr:uid="{00000000-0004-0000-0100-0000830D0000}"/>
    <hyperlink ref="I5539" r:id="rId3461" xr:uid="{00000000-0004-0000-0100-0000840D0000}"/>
    <hyperlink ref="I5540" r:id="rId3462" xr:uid="{00000000-0004-0000-0100-0000850D0000}"/>
    <hyperlink ref="I5541" r:id="rId3463" xr:uid="{00000000-0004-0000-0100-0000860D0000}"/>
    <hyperlink ref="I5542" r:id="rId3464" xr:uid="{00000000-0004-0000-0100-0000870D0000}"/>
    <hyperlink ref="I5543" r:id="rId3465" xr:uid="{00000000-0004-0000-0100-0000880D0000}"/>
    <hyperlink ref="I5544" r:id="rId3466" xr:uid="{00000000-0004-0000-0100-0000890D0000}"/>
    <hyperlink ref="I5545" r:id="rId3467" xr:uid="{00000000-0004-0000-0100-00008A0D0000}"/>
    <hyperlink ref="I5546" r:id="rId3468" xr:uid="{00000000-0004-0000-0100-00008B0D0000}"/>
    <hyperlink ref="I5547" r:id="rId3469" xr:uid="{00000000-0004-0000-0100-00008C0D0000}"/>
    <hyperlink ref="I5548" r:id="rId3470" xr:uid="{00000000-0004-0000-0100-00008D0D0000}"/>
    <hyperlink ref="I5549" r:id="rId3471" xr:uid="{00000000-0004-0000-0100-00008E0D0000}"/>
    <hyperlink ref="I5550" r:id="rId3472" xr:uid="{00000000-0004-0000-0100-00008F0D0000}"/>
    <hyperlink ref="I5551" r:id="rId3473" xr:uid="{00000000-0004-0000-0100-0000900D0000}"/>
    <hyperlink ref="I5552" r:id="rId3474" xr:uid="{00000000-0004-0000-0100-0000910D0000}"/>
    <hyperlink ref="I5553" r:id="rId3475" xr:uid="{00000000-0004-0000-0100-0000920D0000}"/>
    <hyperlink ref="I5554" r:id="rId3476" xr:uid="{00000000-0004-0000-0100-0000930D0000}"/>
    <hyperlink ref="I5555" r:id="rId3477" xr:uid="{00000000-0004-0000-0100-0000940D0000}"/>
    <hyperlink ref="I5556" r:id="rId3478" xr:uid="{00000000-0004-0000-0100-0000950D0000}"/>
    <hyperlink ref="I5557" r:id="rId3479" xr:uid="{00000000-0004-0000-0100-0000960D0000}"/>
    <hyperlink ref="I5558" r:id="rId3480" xr:uid="{00000000-0004-0000-0100-0000970D0000}"/>
    <hyperlink ref="I5559" r:id="rId3481" xr:uid="{00000000-0004-0000-0100-0000980D0000}"/>
    <hyperlink ref="I5560" r:id="rId3482" xr:uid="{00000000-0004-0000-0100-0000990D0000}"/>
    <hyperlink ref="I5561" r:id="rId3483" xr:uid="{00000000-0004-0000-0100-00009A0D0000}"/>
    <hyperlink ref="I5562" r:id="rId3484" xr:uid="{00000000-0004-0000-0100-00009B0D0000}"/>
    <hyperlink ref="I5563" r:id="rId3485" xr:uid="{00000000-0004-0000-0100-00009C0D0000}"/>
    <hyperlink ref="I5564" r:id="rId3486" xr:uid="{00000000-0004-0000-0100-00009D0D0000}"/>
    <hyperlink ref="I5565" r:id="rId3487" xr:uid="{00000000-0004-0000-0100-00009E0D0000}"/>
    <hyperlink ref="I5566" r:id="rId3488" xr:uid="{00000000-0004-0000-0100-00009F0D0000}"/>
    <hyperlink ref="I5567" r:id="rId3489" xr:uid="{00000000-0004-0000-0100-0000A00D0000}"/>
    <hyperlink ref="I5568" r:id="rId3490" xr:uid="{00000000-0004-0000-0100-0000A10D0000}"/>
    <hyperlink ref="I5569" r:id="rId3491" xr:uid="{00000000-0004-0000-0100-0000A20D0000}"/>
    <hyperlink ref="I5570" r:id="rId3492" xr:uid="{00000000-0004-0000-0100-0000A30D0000}"/>
    <hyperlink ref="I5571" r:id="rId3493" xr:uid="{00000000-0004-0000-0100-0000A40D0000}"/>
    <hyperlink ref="I5572" r:id="rId3494" xr:uid="{00000000-0004-0000-0100-0000A50D0000}"/>
    <hyperlink ref="I5573" r:id="rId3495" xr:uid="{00000000-0004-0000-0100-0000A60D0000}"/>
    <hyperlink ref="I5574" r:id="rId3496" xr:uid="{00000000-0004-0000-0100-0000A70D0000}"/>
    <hyperlink ref="I5575" r:id="rId3497" xr:uid="{00000000-0004-0000-0100-0000A80D0000}"/>
    <hyperlink ref="I5576" r:id="rId3498" xr:uid="{00000000-0004-0000-0100-0000A90D0000}"/>
    <hyperlink ref="I5577" r:id="rId3499" xr:uid="{00000000-0004-0000-0100-0000AA0D0000}"/>
    <hyperlink ref="I5578" r:id="rId3500" xr:uid="{00000000-0004-0000-0100-0000AB0D0000}"/>
    <hyperlink ref="I5579" r:id="rId3501" xr:uid="{00000000-0004-0000-0100-0000AC0D0000}"/>
    <hyperlink ref="I5580" r:id="rId3502" xr:uid="{00000000-0004-0000-0100-0000AD0D0000}"/>
    <hyperlink ref="I5581" r:id="rId3503" xr:uid="{00000000-0004-0000-0100-0000AE0D0000}"/>
    <hyperlink ref="I5582" r:id="rId3504" xr:uid="{00000000-0004-0000-0100-0000AF0D0000}"/>
    <hyperlink ref="I5583" r:id="rId3505" xr:uid="{00000000-0004-0000-0100-0000B00D0000}"/>
    <hyperlink ref="I5584" r:id="rId3506" xr:uid="{00000000-0004-0000-0100-0000B10D0000}"/>
    <hyperlink ref="I5585" r:id="rId3507" xr:uid="{00000000-0004-0000-0100-0000B20D0000}"/>
    <hyperlink ref="I5586" r:id="rId3508" xr:uid="{00000000-0004-0000-0100-0000B30D0000}"/>
    <hyperlink ref="I5587" r:id="rId3509" xr:uid="{00000000-0004-0000-0100-0000B40D0000}"/>
    <hyperlink ref="I5588" r:id="rId3510" xr:uid="{00000000-0004-0000-0100-0000B50D0000}"/>
    <hyperlink ref="I5589" r:id="rId3511" xr:uid="{00000000-0004-0000-0100-0000B60D0000}"/>
    <hyperlink ref="I5590" r:id="rId3512" xr:uid="{00000000-0004-0000-0100-0000B70D0000}"/>
    <hyperlink ref="I5591" r:id="rId3513" xr:uid="{00000000-0004-0000-0100-0000B80D0000}"/>
    <hyperlink ref="I5592" r:id="rId3514" xr:uid="{00000000-0004-0000-0100-0000B90D0000}"/>
    <hyperlink ref="I5593" r:id="rId3515" xr:uid="{00000000-0004-0000-0100-0000BA0D0000}"/>
    <hyperlink ref="I5594" r:id="rId3516" xr:uid="{00000000-0004-0000-0100-0000BB0D0000}"/>
    <hyperlink ref="I5595" r:id="rId3517" xr:uid="{00000000-0004-0000-0100-0000BC0D0000}"/>
    <hyperlink ref="I5596" r:id="rId3518" xr:uid="{00000000-0004-0000-0100-0000BD0D0000}"/>
    <hyperlink ref="I5597" r:id="rId3519" xr:uid="{00000000-0004-0000-0100-0000BE0D0000}"/>
    <hyperlink ref="I5598" r:id="rId3520" xr:uid="{00000000-0004-0000-0100-0000BF0D0000}"/>
    <hyperlink ref="I5599" r:id="rId3521" xr:uid="{00000000-0004-0000-0100-0000C00D0000}"/>
    <hyperlink ref="I5600" r:id="rId3522" xr:uid="{00000000-0004-0000-0100-0000C10D0000}"/>
    <hyperlink ref="I5601" r:id="rId3523" xr:uid="{00000000-0004-0000-0100-0000C20D0000}"/>
    <hyperlink ref="I5602" r:id="rId3524" xr:uid="{00000000-0004-0000-0100-0000C30D0000}"/>
    <hyperlink ref="I5603" r:id="rId3525" xr:uid="{00000000-0004-0000-0100-0000C40D0000}"/>
    <hyperlink ref="I5604" r:id="rId3526" xr:uid="{00000000-0004-0000-0100-0000C50D0000}"/>
    <hyperlink ref="I5605" r:id="rId3527" xr:uid="{00000000-0004-0000-0100-0000C60D0000}"/>
    <hyperlink ref="I5606" r:id="rId3528" xr:uid="{00000000-0004-0000-0100-0000C70D0000}"/>
    <hyperlink ref="I5607" r:id="rId3529" xr:uid="{00000000-0004-0000-0100-0000C80D0000}"/>
    <hyperlink ref="I5608" r:id="rId3530" xr:uid="{00000000-0004-0000-0100-0000C90D0000}"/>
    <hyperlink ref="I5609" r:id="rId3531" xr:uid="{00000000-0004-0000-0100-0000CA0D0000}"/>
    <hyperlink ref="I5610" r:id="rId3532" xr:uid="{00000000-0004-0000-0100-0000CB0D0000}"/>
    <hyperlink ref="I5611" r:id="rId3533" xr:uid="{00000000-0004-0000-0100-0000CC0D0000}"/>
    <hyperlink ref="I5612" r:id="rId3534" xr:uid="{00000000-0004-0000-0100-0000CD0D0000}"/>
    <hyperlink ref="I5613" r:id="rId3535" xr:uid="{00000000-0004-0000-0100-0000CE0D0000}"/>
    <hyperlink ref="I5614" r:id="rId3536" xr:uid="{00000000-0004-0000-0100-0000CF0D0000}"/>
    <hyperlink ref="I5615" r:id="rId3537" xr:uid="{00000000-0004-0000-0100-0000D00D0000}"/>
    <hyperlink ref="I5616" r:id="rId3538" xr:uid="{00000000-0004-0000-0100-0000D10D0000}"/>
    <hyperlink ref="I5617" r:id="rId3539" xr:uid="{00000000-0004-0000-0100-0000D20D0000}"/>
    <hyperlink ref="I5618" r:id="rId3540" xr:uid="{00000000-0004-0000-0100-0000D30D0000}"/>
    <hyperlink ref="I5619" r:id="rId3541" xr:uid="{00000000-0004-0000-0100-0000D40D0000}"/>
    <hyperlink ref="I5620" r:id="rId3542" xr:uid="{00000000-0004-0000-0100-0000D50D0000}"/>
    <hyperlink ref="I5621" r:id="rId3543" xr:uid="{00000000-0004-0000-0100-0000D60D0000}"/>
    <hyperlink ref="I5622" r:id="rId3544" xr:uid="{00000000-0004-0000-0100-0000D70D0000}"/>
    <hyperlink ref="I5623" r:id="rId3545" xr:uid="{00000000-0004-0000-0100-0000D80D0000}"/>
    <hyperlink ref="I5624" r:id="rId3546" xr:uid="{00000000-0004-0000-0100-0000D90D0000}"/>
    <hyperlink ref="I5625" r:id="rId3547" xr:uid="{00000000-0004-0000-0100-0000DA0D0000}"/>
    <hyperlink ref="I5626" r:id="rId3548" xr:uid="{00000000-0004-0000-0100-0000DB0D0000}"/>
    <hyperlink ref="I5627" r:id="rId3549" xr:uid="{00000000-0004-0000-0100-0000DC0D0000}"/>
    <hyperlink ref="I5628" r:id="rId3550" xr:uid="{00000000-0004-0000-0100-0000DD0D0000}"/>
    <hyperlink ref="I5629" r:id="rId3551" xr:uid="{00000000-0004-0000-0100-0000DE0D0000}"/>
    <hyperlink ref="I5630" r:id="rId3552" xr:uid="{00000000-0004-0000-0100-0000DF0D0000}"/>
    <hyperlink ref="I5631" r:id="rId3553" xr:uid="{00000000-0004-0000-0100-0000E00D0000}"/>
    <hyperlink ref="I5632" r:id="rId3554" xr:uid="{00000000-0004-0000-0100-0000E10D0000}"/>
    <hyperlink ref="I5633" r:id="rId3555" xr:uid="{00000000-0004-0000-0100-0000E20D0000}"/>
    <hyperlink ref="I5634" r:id="rId3556" xr:uid="{00000000-0004-0000-0100-0000E30D0000}"/>
    <hyperlink ref="I5635" r:id="rId3557" xr:uid="{00000000-0004-0000-0100-0000E40D0000}"/>
    <hyperlink ref="I5636" r:id="rId3558" xr:uid="{00000000-0004-0000-0100-0000E50D0000}"/>
    <hyperlink ref="I5637" r:id="rId3559" xr:uid="{00000000-0004-0000-0100-0000E60D0000}"/>
    <hyperlink ref="I5638" r:id="rId3560" xr:uid="{00000000-0004-0000-0100-0000E70D0000}"/>
    <hyperlink ref="I5639" r:id="rId3561" xr:uid="{00000000-0004-0000-0100-0000E80D0000}"/>
    <hyperlink ref="I5640" r:id="rId3562" xr:uid="{00000000-0004-0000-0100-0000E90D0000}"/>
    <hyperlink ref="I5641" r:id="rId3563" xr:uid="{00000000-0004-0000-0100-0000EA0D0000}"/>
    <hyperlink ref="I5642" r:id="rId3564" xr:uid="{00000000-0004-0000-0100-0000EB0D0000}"/>
    <hyperlink ref="I5643" r:id="rId3565" xr:uid="{00000000-0004-0000-0100-0000EC0D0000}"/>
    <hyperlink ref="I5644" r:id="rId3566" xr:uid="{00000000-0004-0000-0100-0000ED0D0000}"/>
    <hyperlink ref="I5645" r:id="rId3567" xr:uid="{00000000-0004-0000-0100-0000EE0D0000}"/>
    <hyperlink ref="I5646" r:id="rId3568" xr:uid="{00000000-0004-0000-0100-0000EF0D0000}"/>
    <hyperlink ref="I5647" r:id="rId3569" xr:uid="{00000000-0004-0000-0100-0000F00D0000}"/>
    <hyperlink ref="I5648" r:id="rId3570" xr:uid="{00000000-0004-0000-0100-0000F10D0000}"/>
    <hyperlink ref="I5649" r:id="rId3571" xr:uid="{00000000-0004-0000-0100-0000F20D0000}"/>
    <hyperlink ref="I5650" r:id="rId3572" xr:uid="{00000000-0004-0000-0100-0000F30D0000}"/>
    <hyperlink ref="I5651" r:id="rId3573" xr:uid="{00000000-0004-0000-0100-0000F40D0000}"/>
    <hyperlink ref="I5652" r:id="rId3574" xr:uid="{00000000-0004-0000-0100-0000F50D0000}"/>
    <hyperlink ref="I5653" r:id="rId3575" xr:uid="{00000000-0004-0000-0100-0000F60D0000}"/>
    <hyperlink ref="I5654" r:id="rId3576" xr:uid="{00000000-0004-0000-0100-0000F70D0000}"/>
    <hyperlink ref="I5655" r:id="rId3577" xr:uid="{00000000-0004-0000-0100-0000F80D0000}"/>
    <hyperlink ref="I5656" r:id="rId3578" xr:uid="{00000000-0004-0000-0100-0000F90D0000}"/>
    <hyperlink ref="I5657" r:id="rId3579" xr:uid="{00000000-0004-0000-0100-0000FA0D0000}"/>
    <hyperlink ref="I5658" r:id="rId3580" xr:uid="{00000000-0004-0000-0100-0000FB0D0000}"/>
    <hyperlink ref="I5659" r:id="rId3581" xr:uid="{00000000-0004-0000-0100-0000FC0D0000}"/>
    <hyperlink ref="I5660" r:id="rId3582" xr:uid="{00000000-0004-0000-0100-0000FD0D0000}"/>
    <hyperlink ref="I5661" r:id="rId3583" xr:uid="{00000000-0004-0000-0100-0000FE0D0000}"/>
    <hyperlink ref="I5662" r:id="rId3584" xr:uid="{00000000-0004-0000-0100-0000FF0D0000}"/>
    <hyperlink ref="I5663" r:id="rId3585" xr:uid="{00000000-0004-0000-0100-0000000E0000}"/>
    <hyperlink ref="I5664" r:id="rId3586" xr:uid="{00000000-0004-0000-0100-0000010E0000}"/>
    <hyperlink ref="I5665" r:id="rId3587" xr:uid="{00000000-0004-0000-0100-0000020E0000}"/>
    <hyperlink ref="I5666" r:id="rId3588" xr:uid="{00000000-0004-0000-0100-0000030E0000}"/>
    <hyperlink ref="I5667" r:id="rId3589" xr:uid="{00000000-0004-0000-0100-0000040E0000}"/>
    <hyperlink ref="I5668" r:id="rId3590" xr:uid="{00000000-0004-0000-0100-0000050E0000}"/>
    <hyperlink ref="I5669" r:id="rId3591" xr:uid="{00000000-0004-0000-0100-0000060E0000}"/>
    <hyperlink ref="I5670" r:id="rId3592" xr:uid="{00000000-0004-0000-0100-0000070E0000}"/>
    <hyperlink ref="I5671" r:id="rId3593" xr:uid="{00000000-0004-0000-0100-0000080E0000}"/>
    <hyperlink ref="I5672" r:id="rId3594" xr:uid="{00000000-0004-0000-0100-0000090E0000}"/>
    <hyperlink ref="I5673" r:id="rId3595" xr:uid="{00000000-0004-0000-0100-00000A0E0000}"/>
    <hyperlink ref="I5674" r:id="rId3596" xr:uid="{00000000-0004-0000-0100-00000B0E0000}"/>
    <hyperlink ref="I5675" r:id="rId3597" xr:uid="{00000000-0004-0000-0100-00000C0E0000}"/>
    <hyperlink ref="I5676" r:id="rId3598" xr:uid="{00000000-0004-0000-0100-00000D0E0000}"/>
    <hyperlink ref="I5677" r:id="rId3599" xr:uid="{00000000-0004-0000-0100-00000E0E0000}"/>
    <hyperlink ref="I5678" r:id="rId3600" xr:uid="{00000000-0004-0000-0100-00000F0E0000}"/>
    <hyperlink ref="I5679" r:id="rId3601" xr:uid="{00000000-0004-0000-0100-0000100E0000}"/>
    <hyperlink ref="I5680" r:id="rId3602" xr:uid="{00000000-0004-0000-0100-0000110E0000}"/>
    <hyperlink ref="I5681" r:id="rId3603" xr:uid="{00000000-0004-0000-0100-0000120E0000}"/>
    <hyperlink ref="I5682" r:id="rId3604" xr:uid="{00000000-0004-0000-0100-0000130E0000}"/>
    <hyperlink ref="I5683" r:id="rId3605" xr:uid="{00000000-0004-0000-0100-0000140E0000}"/>
    <hyperlink ref="I5684" r:id="rId3606" xr:uid="{00000000-0004-0000-0100-0000150E0000}"/>
    <hyperlink ref="I5685" r:id="rId3607" xr:uid="{00000000-0004-0000-0100-0000160E0000}"/>
    <hyperlink ref="I5686" r:id="rId3608" xr:uid="{00000000-0004-0000-0100-0000170E0000}"/>
    <hyperlink ref="I5687" r:id="rId3609" xr:uid="{00000000-0004-0000-0100-0000180E0000}"/>
    <hyperlink ref="I5688" r:id="rId3610" xr:uid="{00000000-0004-0000-0100-0000190E0000}"/>
    <hyperlink ref="I5689" r:id="rId3611" xr:uid="{00000000-0004-0000-0100-00001A0E0000}"/>
    <hyperlink ref="I5690" r:id="rId3612" xr:uid="{00000000-0004-0000-0100-00001B0E0000}"/>
    <hyperlink ref="I5691" r:id="rId3613" xr:uid="{00000000-0004-0000-0100-00001C0E0000}"/>
    <hyperlink ref="I5692" r:id="rId3614" xr:uid="{00000000-0004-0000-0100-00001D0E0000}"/>
    <hyperlink ref="I5693" r:id="rId3615" xr:uid="{00000000-0004-0000-0100-00001E0E0000}"/>
    <hyperlink ref="I5694" r:id="rId3616" xr:uid="{00000000-0004-0000-0100-00001F0E0000}"/>
    <hyperlink ref="I5695" r:id="rId3617" xr:uid="{00000000-0004-0000-0100-0000200E0000}"/>
    <hyperlink ref="I5696" r:id="rId3618" xr:uid="{00000000-0004-0000-0100-0000210E0000}"/>
    <hyperlink ref="I5697" r:id="rId3619" xr:uid="{00000000-0004-0000-0100-0000220E0000}"/>
    <hyperlink ref="I5698" r:id="rId3620" xr:uid="{00000000-0004-0000-0100-0000230E0000}"/>
    <hyperlink ref="I5699" r:id="rId3621" xr:uid="{00000000-0004-0000-0100-0000240E0000}"/>
    <hyperlink ref="I5700" r:id="rId3622" xr:uid="{00000000-0004-0000-0100-0000250E0000}"/>
    <hyperlink ref="I5701" r:id="rId3623" xr:uid="{00000000-0004-0000-0100-0000260E0000}"/>
    <hyperlink ref="I5702" r:id="rId3624" xr:uid="{00000000-0004-0000-0100-0000270E0000}"/>
    <hyperlink ref="I5703" r:id="rId3625" xr:uid="{00000000-0004-0000-0100-0000280E0000}"/>
    <hyperlink ref="I5704" r:id="rId3626" xr:uid="{00000000-0004-0000-0100-0000290E0000}"/>
    <hyperlink ref="I5705" r:id="rId3627" xr:uid="{00000000-0004-0000-0100-00002A0E0000}"/>
    <hyperlink ref="I5706" r:id="rId3628" xr:uid="{00000000-0004-0000-0100-00002B0E0000}"/>
    <hyperlink ref="I5707" r:id="rId3629" xr:uid="{00000000-0004-0000-0100-00002C0E0000}"/>
    <hyperlink ref="I5708" r:id="rId3630" xr:uid="{00000000-0004-0000-0100-00002D0E0000}"/>
    <hyperlink ref="I5709" r:id="rId3631" xr:uid="{00000000-0004-0000-0100-00002E0E0000}"/>
    <hyperlink ref="I5710" r:id="rId3632" xr:uid="{00000000-0004-0000-0100-00002F0E0000}"/>
    <hyperlink ref="I5711" r:id="rId3633" xr:uid="{00000000-0004-0000-0100-0000300E0000}"/>
    <hyperlink ref="I5712" r:id="rId3634" xr:uid="{00000000-0004-0000-0100-0000310E0000}"/>
    <hyperlink ref="I5713" r:id="rId3635" xr:uid="{00000000-0004-0000-0100-0000320E0000}"/>
    <hyperlink ref="I5714" r:id="rId3636" xr:uid="{00000000-0004-0000-0100-0000330E0000}"/>
    <hyperlink ref="I5715" r:id="rId3637" xr:uid="{00000000-0004-0000-0100-0000340E0000}"/>
    <hyperlink ref="I5716" r:id="rId3638" xr:uid="{00000000-0004-0000-0100-0000350E0000}"/>
    <hyperlink ref="I5717" r:id="rId3639" xr:uid="{00000000-0004-0000-0100-0000360E0000}"/>
    <hyperlink ref="I5718" r:id="rId3640" xr:uid="{00000000-0004-0000-0100-0000370E0000}"/>
    <hyperlink ref="I5719" r:id="rId3641" xr:uid="{00000000-0004-0000-0100-0000380E0000}"/>
    <hyperlink ref="I5720" r:id="rId3642" xr:uid="{00000000-0004-0000-0100-0000390E0000}"/>
    <hyperlink ref="I5721" r:id="rId3643" xr:uid="{00000000-0004-0000-0100-00003A0E0000}"/>
    <hyperlink ref="I5722" r:id="rId3644" xr:uid="{00000000-0004-0000-0100-00003B0E0000}"/>
    <hyperlink ref="I5723" r:id="rId3645" xr:uid="{00000000-0004-0000-0100-00003C0E0000}"/>
    <hyperlink ref="I5724" r:id="rId3646" xr:uid="{00000000-0004-0000-0100-00003D0E0000}"/>
    <hyperlink ref="I5725" r:id="rId3647" xr:uid="{00000000-0004-0000-0100-00003E0E0000}"/>
    <hyperlink ref="I5726" r:id="rId3648" xr:uid="{00000000-0004-0000-0100-00003F0E0000}"/>
    <hyperlink ref="I5727" r:id="rId3649" xr:uid="{00000000-0004-0000-0100-0000400E0000}"/>
    <hyperlink ref="I5728" r:id="rId3650" xr:uid="{00000000-0004-0000-0100-0000410E0000}"/>
    <hyperlink ref="I5729" r:id="rId3651" xr:uid="{00000000-0004-0000-0100-0000420E0000}"/>
    <hyperlink ref="I5730" r:id="rId3652" xr:uid="{00000000-0004-0000-0100-0000430E0000}"/>
    <hyperlink ref="I5731" r:id="rId3653" xr:uid="{00000000-0004-0000-0100-0000440E0000}"/>
    <hyperlink ref="I5732" r:id="rId3654" xr:uid="{00000000-0004-0000-0100-0000450E0000}"/>
    <hyperlink ref="I5733" r:id="rId3655" xr:uid="{00000000-0004-0000-0100-0000460E0000}"/>
    <hyperlink ref="I5734" r:id="rId3656" xr:uid="{00000000-0004-0000-0100-0000470E0000}"/>
    <hyperlink ref="I5735" r:id="rId3657" xr:uid="{00000000-0004-0000-0100-0000480E0000}"/>
    <hyperlink ref="I5736" r:id="rId3658" xr:uid="{00000000-0004-0000-0100-0000490E0000}"/>
    <hyperlink ref="I5737" r:id="rId3659" xr:uid="{00000000-0004-0000-0100-00004A0E0000}"/>
    <hyperlink ref="I5738" r:id="rId3660" xr:uid="{00000000-0004-0000-0100-00004B0E0000}"/>
    <hyperlink ref="I5739" r:id="rId3661" xr:uid="{00000000-0004-0000-0100-00004C0E0000}"/>
    <hyperlink ref="I5740" r:id="rId3662" xr:uid="{00000000-0004-0000-0100-00004D0E0000}"/>
    <hyperlink ref="I5741" r:id="rId3663" xr:uid="{00000000-0004-0000-0100-00004E0E0000}"/>
    <hyperlink ref="I5742" r:id="rId3664" xr:uid="{00000000-0004-0000-0100-00004F0E0000}"/>
    <hyperlink ref="I5743" r:id="rId3665" xr:uid="{00000000-0004-0000-0100-0000500E0000}"/>
    <hyperlink ref="I5744" r:id="rId3666" xr:uid="{00000000-0004-0000-0100-0000510E0000}"/>
    <hyperlink ref="I5745" r:id="rId3667" xr:uid="{00000000-0004-0000-0100-0000520E0000}"/>
    <hyperlink ref="I5746" r:id="rId3668" xr:uid="{00000000-0004-0000-0100-0000530E0000}"/>
    <hyperlink ref="I5747" r:id="rId3669" xr:uid="{00000000-0004-0000-0100-0000540E0000}"/>
    <hyperlink ref="I5748" r:id="rId3670" xr:uid="{00000000-0004-0000-0100-0000550E0000}"/>
    <hyperlink ref="I5749" r:id="rId3671" xr:uid="{00000000-0004-0000-0100-0000560E0000}"/>
    <hyperlink ref="I5750" r:id="rId3672" xr:uid="{00000000-0004-0000-0100-0000570E0000}"/>
    <hyperlink ref="I5751" r:id="rId3673" xr:uid="{00000000-0004-0000-0100-0000580E0000}"/>
    <hyperlink ref="I5752" r:id="rId3674" xr:uid="{00000000-0004-0000-0100-0000590E0000}"/>
    <hyperlink ref="I5753" r:id="rId3675" xr:uid="{00000000-0004-0000-0100-00005A0E0000}"/>
    <hyperlink ref="I5754" r:id="rId3676" xr:uid="{00000000-0004-0000-0100-00005B0E0000}"/>
    <hyperlink ref="I5755" r:id="rId3677" xr:uid="{00000000-0004-0000-0100-00005C0E0000}"/>
    <hyperlink ref="I5756" r:id="rId3678" xr:uid="{00000000-0004-0000-0100-00005D0E0000}"/>
    <hyperlink ref="I5757" r:id="rId3679" xr:uid="{00000000-0004-0000-0100-00005E0E0000}"/>
    <hyperlink ref="I5758" r:id="rId3680" xr:uid="{00000000-0004-0000-0100-00005F0E0000}"/>
    <hyperlink ref="I5759" r:id="rId3681" xr:uid="{00000000-0004-0000-0100-0000600E0000}"/>
    <hyperlink ref="I5760" r:id="rId3682" xr:uid="{00000000-0004-0000-0100-0000610E0000}"/>
    <hyperlink ref="I5761" r:id="rId3683" xr:uid="{00000000-0004-0000-0100-0000620E0000}"/>
    <hyperlink ref="I5762" r:id="rId3684" xr:uid="{00000000-0004-0000-0100-0000630E0000}"/>
    <hyperlink ref="I5763" r:id="rId3685" xr:uid="{00000000-0004-0000-0100-0000640E0000}"/>
    <hyperlink ref="I5764" r:id="rId3686" xr:uid="{00000000-0004-0000-0100-0000650E0000}"/>
    <hyperlink ref="I5765" r:id="rId3687" xr:uid="{00000000-0004-0000-0100-0000660E0000}"/>
    <hyperlink ref="I5766" r:id="rId3688" xr:uid="{00000000-0004-0000-0100-0000670E0000}"/>
    <hyperlink ref="I5767" r:id="rId3689" xr:uid="{00000000-0004-0000-0100-0000680E0000}"/>
    <hyperlink ref="I5768" r:id="rId3690" xr:uid="{00000000-0004-0000-0100-0000690E0000}"/>
    <hyperlink ref="I5769" r:id="rId3691" xr:uid="{00000000-0004-0000-0100-00006A0E0000}"/>
    <hyperlink ref="I5770" r:id="rId3692" xr:uid="{00000000-0004-0000-0100-00006B0E0000}"/>
    <hyperlink ref="I5771" r:id="rId3693" xr:uid="{00000000-0004-0000-0100-00006C0E0000}"/>
    <hyperlink ref="I5772" r:id="rId3694" xr:uid="{00000000-0004-0000-0100-00006D0E0000}"/>
    <hyperlink ref="I5773" r:id="rId3695" xr:uid="{00000000-0004-0000-0100-00006E0E0000}"/>
    <hyperlink ref="I5774" r:id="rId3696" xr:uid="{00000000-0004-0000-0100-00006F0E0000}"/>
    <hyperlink ref="I5775" r:id="rId3697" xr:uid="{00000000-0004-0000-0100-0000700E0000}"/>
    <hyperlink ref="I5776" r:id="rId3698" xr:uid="{00000000-0004-0000-0100-0000710E0000}"/>
    <hyperlink ref="I5777" r:id="rId3699" xr:uid="{00000000-0004-0000-0100-0000720E0000}"/>
    <hyperlink ref="I5778" r:id="rId3700" xr:uid="{00000000-0004-0000-0100-0000730E0000}"/>
    <hyperlink ref="I5779" r:id="rId3701" xr:uid="{00000000-0004-0000-0100-0000740E0000}"/>
    <hyperlink ref="I5780" r:id="rId3702" xr:uid="{00000000-0004-0000-0100-0000750E0000}"/>
    <hyperlink ref="I5781" r:id="rId3703" xr:uid="{00000000-0004-0000-0100-0000760E0000}"/>
    <hyperlink ref="I5782" r:id="rId3704" xr:uid="{00000000-0004-0000-0100-0000770E0000}"/>
    <hyperlink ref="I5783" r:id="rId3705" xr:uid="{00000000-0004-0000-0100-0000780E0000}"/>
    <hyperlink ref="I5784" r:id="rId3706" xr:uid="{00000000-0004-0000-0100-0000790E0000}"/>
    <hyperlink ref="I5785" r:id="rId3707" xr:uid="{00000000-0004-0000-0100-00007A0E0000}"/>
    <hyperlink ref="I5786" r:id="rId3708" xr:uid="{00000000-0004-0000-0100-00007B0E0000}"/>
    <hyperlink ref="I5787" r:id="rId3709" xr:uid="{00000000-0004-0000-0100-00007C0E0000}"/>
    <hyperlink ref="I5788" r:id="rId3710" xr:uid="{00000000-0004-0000-0100-00007D0E0000}"/>
    <hyperlink ref="I5789" r:id="rId3711" xr:uid="{00000000-0004-0000-0100-00007E0E0000}"/>
    <hyperlink ref="I5790" r:id="rId3712" xr:uid="{00000000-0004-0000-0100-00007F0E0000}"/>
    <hyperlink ref="I5791" r:id="rId3713" xr:uid="{00000000-0004-0000-0100-0000800E0000}"/>
    <hyperlink ref="I5792" r:id="rId3714" xr:uid="{00000000-0004-0000-0100-0000810E0000}"/>
    <hyperlink ref="I5793" r:id="rId3715" xr:uid="{00000000-0004-0000-0100-0000820E0000}"/>
    <hyperlink ref="I5794" r:id="rId3716" xr:uid="{00000000-0004-0000-0100-0000830E0000}"/>
    <hyperlink ref="I5795" r:id="rId3717" xr:uid="{00000000-0004-0000-0100-0000840E0000}"/>
    <hyperlink ref="I5796" r:id="rId3718" xr:uid="{00000000-0004-0000-0100-0000850E0000}"/>
    <hyperlink ref="I5797" r:id="rId3719" xr:uid="{00000000-0004-0000-0100-0000860E0000}"/>
    <hyperlink ref="I5798" r:id="rId3720" xr:uid="{00000000-0004-0000-0100-0000870E0000}"/>
    <hyperlink ref="I5799" r:id="rId3721" xr:uid="{00000000-0004-0000-0100-0000880E0000}"/>
    <hyperlink ref="I5800" r:id="rId3722" xr:uid="{00000000-0004-0000-0100-0000890E0000}"/>
    <hyperlink ref="I5801" r:id="rId3723" xr:uid="{00000000-0004-0000-0100-00008A0E0000}"/>
    <hyperlink ref="I5802" r:id="rId3724" xr:uid="{00000000-0004-0000-0100-00008B0E0000}"/>
    <hyperlink ref="I5803" r:id="rId3725" xr:uid="{00000000-0004-0000-0100-00008C0E0000}"/>
    <hyperlink ref="I5804" r:id="rId3726" xr:uid="{00000000-0004-0000-0100-00008D0E0000}"/>
    <hyperlink ref="I5805" r:id="rId3727" xr:uid="{00000000-0004-0000-0100-00008E0E0000}"/>
    <hyperlink ref="I5806" r:id="rId3728" xr:uid="{00000000-0004-0000-0100-00008F0E0000}"/>
    <hyperlink ref="I5807" r:id="rId3729" xr:uid="{00000000-0004-0000-0100-0000900E0000}"/>
    <hyperlink ref="I5808" r:id="rId3730" xr:uid="{00000000-0004-0000-0100-0000910E0000}"/>
    <hyperlink ref="I5809" r:id="rId3731" xr:uid="{00000000-0004-0000-0100-0000920E0000}"/>
    <hyperlink ref="I5810" r:id="rId3732" xr:uid="{00000000-0004-0000-0100-0000930E0000}"/>
    <hyperlink ref="I5811" r:id="rId3733" xr:uid="{00000000-0004-0000-0100-0000940E0000}"/>
    <hyperlink ref="I5812" r:id="rId3734" xr:uid="{00000000-0004-0000-0100-0000950E0000}"/>
    <hyperlink ref="I5813" r:id="rId3735" xr:uid="{00000000-0004-0000-0100-0000960E0000}"/>
    <hyperlink ref="I5814" r:id="rId3736" xr:uid="{00000000-0004-0000-0100-0000970E0000}"/>
    <hyperlink ref="I5815" r:id="rId3737" xr:uid="{00000000-0004-0000-0100-0000980E0000}"/>
    <hyperlink ref="I5816" r:id="rId3738" xr:uid="{00000000-0004-0000-0100-0000990E0000}"/>
    <hyperlink ref="I5817" r:id="rId3739" xr:uid="{00000000-0004-0000-0100-00009A0E0000}"/>
    <hyperlink ref="I5818" r:id="rId3740" xr:uid="{00000000-0004-0000-0100-00009B0E0000}"/>
    <hyperlink ref="I5819" r:id="rId3741" xr:uid="{00000000-0004-0000-0100-00009C0E0000}"/>
    <hyperlink ref="I5820" r:id="rId3742" xr:uid="{00000000-0004-0000-0100-00009D0E0000}"/>
    <hyperlink ref="I5821" r:id="rId3743" xr:uid="{00000000-0004-0000-0100-00009E0E0000}"/>
    <hyperlink ref="I5822" r:id="rId3744" xr:uid="{00000000-0004-0000-0100-00009F0E0000}"/>
    <hyperlink ref="I5823" r:id="rId3745" xr:uid="{00000000-0004-0000-0100-0000A00E0000}"/>
    <hyperlink ref="I5824" r:id="rId3746" xr:uid="{00000000-0004-0000-0100-0000A10E0000}"/>
    <hyperlink ref="I5825" r:id="rId3747" xr:uid="{00000000-0004-0000-0100-0000A20E0000}"/>
    <hyperlink ref="I5826" r:id="rId3748" xr:uid="{00000000-0004-0000-0100-0000A30E0000}"/>
    <hyperlink ref="I5827" r:id="rId3749" xr:uid="{00000000-0004-0000-0100-0000A40E0000}"/>
    <hyperlink ref="I5828" r:id="rId3750" xr:uid="{00000000-0004-0000-0100-0000A50E0000}"/>
    <hyperlink ref="I5829" r:id="rId3751" xr:uid="{00000000-0004-0000-0100-0000A60E0000}"/>
    <hyperlink ref="I5830" r:id="rId3752" xr:uid="{00000000-0004-0000-0100-0000A70E0000}"/>
    <hyperlink ref="I5831" r:id="rId3753" xr:uid="{00000000-0004-0000-0100-0000A80E0000}"/>
    <hyperlink ref="I5832" r:id="rId3754" xr:uid="{00000000-0004-0000-0100-0000A90E0000}"/>
    <hyperlink ref="I5833" r:id="rId3755" xr:uid="{00000000-0004-0000-0100-0000AA0E0000}"/>
    <hyperlink ref="I5834" r:id="rId3756" xr:uid="{00000000-0004-0000-0100-0000AB0E0000}"/>
    <hyperlink ref="I5835" r:id="rId3757" xr:uid="{00000000-0004-0000-0100-0000AC0E0000}"/>
    <hyperlink ref="I5836" r:id="rId3758" xr:uid="{00000000-0004-0000-0100-0000AD0E0000}"/>
    <hyperlink ref="I5837" r:id="rId3759" xr:uid="{00000000-0004-0000-0100-0000AE0E0000}"/>
    <hyperlink ref="I5838" r:id="rId3760" xr:uid="{00000000-0004-0000-0100-0000AF0E0000}"/>
    <hyperlink ref="I5839" r:id="rId3761" xr:uid="{00000000-0004-0000-0100-0000B00E0000}"/>
    <hyperlink ref="I5840" r:id="rId3762" xr:uid="{00000000-0004-0000-0100-0000B10E0000}"/>
    <hyperlink ref="I5841" r:id="rId3763" xr:uid="{00000000-0004-0000-0100-0000B20E0000}"/>
    <hyperlink ref="I5842" r:id="rId3764" xr:uid="{00000000-0004-0000-0100-0000B30E0000}"/>
    <hyperlink ref="I5843" r:id="rId3765" xr:uid="{00000000-0004-0000-0100-0000B40E0000}"/>
    <hyperlink ref="I5844" r:id="rId3766" xr:uid="{00000000-0004-0000-0100-0000B50E0000}"/>
    <hyperlink ref="I5845" r:id="rId3767" xr:uid="{00000000-0004-0000-0100-0000B60E0000}"/>
    <hyperlink ref="I5846" r:id="rId3768" xr:uid="{00000000-0004-0000-0100-0000B70E0000}"/>
    <hyperlink ref="I5847" r:id="rId3769" xr:uid="{00000000-0004-0000-0100-0000B80E0000}"/>
    <hyperlink ref="I5848" r:id="rId3770" xr:uid="{00000000-0004-0000-0100-0000B90E0000}"/>
    <hyperlink ref="I5849" r:id="rId3771" xr:uid="{00000000-0004-0000-0100-0000BA0E0000}"/>
    <hyperlink ref="I5850" r:id="rId3772" xr:uid="{00000000-0004-0000-0100-0000BB0E0000}"/>
    <hyperlink ref="I5851" r:id="rId3773" xr:uid="{00000000-0004-0000-0100-0000BC0E0000}"/>
    <hyperlink ref="I5852" r:id="rId3774" xr:uid="{00000000-0004-0000-0100-0000BD0E0000}"/>
    <hyperlink ref="I5853" r:id="rId3775" xr:uid="{00000000-0004-0000-0100-0000BE0E0000}"/>
    <hyperlink ref="I5854" r:id="rId3776" xr:uid="{00000000-0004-0000-0100-0000BF0E0000}"/>
    <hyperlink ref="I5855" r:id="rId3777" xr:uid="{00000000-0004-0000-0100-0000C00E0000}"/>
    <hyperlink ref="I5856" r:id="rId3778" xr:uid="{00000000-0004-0000-0100-0000C10E0000}"/>
    <hyperlink ref="I5857" r:id="rId3779" xr:uid="{00000000-0004-0000-0100-0000C20E0000}"/>
    <hyperlink ref="I5858" r:id="rId3780" xr:uid="{00000000-0004-0000-0100-0000C30E0000}"/>
    <hyperlink ref="I5859" r:id="rId3781" xr:uid="{00000000-0004-0000-0100-0000C40E0000}"/>
    <hyperlink ref="I5860" r:id="rId3782" xr:uid="{00000000-0004-0000-0100-0000C50E0000}"/>
    <hyperlink ref="I5861" r:id="rId3783" xr:uid="{00000000-0004-0000-0100-0000C60E0000}"/>
    <hyperlink ref="I5862" r:id="rId3784" xr:uid="{00000000-0004-0000-0100-0000C70E0000}"/>
    <hyperlink ref="I5863" r:id="rId3785" xr:uid="{00000000-0004-0000-0100-0000C80E0000}"/>
    <hyperlink ref="I5864" r:id="rId3786" xr:uid="{00000000-0004-0000-0100-0000C90E0000}"/>
    <hyperlink ref="I5865" r:id="rId3787" xr:uid="{00000000-0004-0000-0100-0000CA0E0000}"/>
    <hyperlink ref="I5866" r:id="rId3788" xr:uid="{00000000-0004-0000-0100-0000CB0E0000}"/>
    <hyperlink ref="I5867" r:id="rId3789" xr:uid="{00000000-0004-0000-0100-0000CC0E0000}"/>
    <hyperlink ref="I5868" r:id="rId3790" xr:uid="{00000000-0004-0000-0100-0000CD0E0000}"/>
    <hyperlink ref="I5869" r:id="rId3791" xr:uid="{00000000-0004-0000-0100-0000CE0E0000}"/>
    <hyperlink ref="I5870" r:id="rId3792" xr:uid="{00000000-0004-0000-0100-0000CF0E0000}"/>
    <hyperlink ref="I5871" r:id="rId3793" xr:uid="{00000000-0004-0000-0100-0000D00E0000}"/>
    <hyperlink ref="I5872" r:id="rId3794" xr:uid="{00000000-0004-0000-0100-0000D10E0000}"/>
    <hyperlink ref="I5873" r:id="rId3795" xr:uid="{00000000-0004-0000-0100-0000D20E0000}"/>
    <hyperlink ref="I5874" r:id="rId3796" xr:uid="{00000000-0004-0000-0100-0000D30E0000}"/>
    <hyperlink ref="I5875" r:id="rId3797" xr:uid="{00000000-0004-0000-0100-0000D40E0000}"/>
    <hyperlink ref="I5876" r:id="rId3798" xr:uid="{00000000-0004-0000-0100-0000D50E0000}"/>
    <hyperlink ref="I5877" r:id="rId3799" xr:uid="{00000000-0004-0000-0100-0000D60E0000}"/>
    <hyperlink ref="I5878" r:id="rId3800" xr:uid="{00000000-0004-0000-0100-0000D70E0000}"/>
    <hyperlink ref="I5879" r:id="rId3801" xr:uid="{00000000-0004-0000-0100-0000D80E0000}"/>
    <hyperlink ref="I5880" r:id="rId3802" xr:uid="{00000000-0004-0000-0100-0000D90E0000}"/>
    <hyperlink ref="I5881" r:id="rId3803" xr:uid="{00000000-0004-0000-0100-0000DA0E0000}"/>
    <hyperlink ref="I5882" r:id="rId3804" xr:uid="{00000000-0004-0000-0100-0000DB0E0000}"/>
    <hyperlink ref="I5883" r:id="rId3805" xr:uid="{00000000-0004-0000-0100-0000DC0E0000}"/>
    <hyperlink ref="I5884" r:id="rId3806" xr:uid="{00000000-0004-0000-0100-0000DD0E0000}"/>
    <hyperlink ref="I5885" r:id="rId3807" xr:uid="{00000000-0004-0000-0100-0000DE0E0000}"/>
    <hyperlink ref="I5886" r:id="rId3808" xr:uid="{00000000-0004-0000-0100-0000DF0E0000}"/>
    <hyperlink ref="I5887" r:id="rId3809" xr:uid="{00000000-0004-0000-0100-0000E00E0000}"/>
    <hyperlink ref="I5888" r:id="rId3810" xr:uid="{00000000-0004-0000-0100-0000E10E0000}"/>
    <hyperlink ref="I5889" r:id="rId3811" xr:uid="{00000000-0004-0000-0100-0000E20E0000}"/>
    <hyperlink ref="I5890" r:id="rId3812" xr:uid="{00000000-0004-0000-0100-0000E30E0000}"/>
    <hyperlink ref="I5891" r:id="rId3813" xr:uid="{00000000-0004-0000-0100-0000E40E0000}"/>
    <hyperlink ref="I5892" r:id="rId3814" xr:uid="{00000000-0004-0000-0100-0000E50E0000}"/>
    <hyperlink ref="I5893" r:id="rId3815" xr:uid="{00000000-0004-0000-0100-0000E60E0000}"/>
    <hyperlink ref="I5894" r:id="rId3816" xr:uid="{00000000-0004-0000-0100-0000E70E0000}"/>
    <hyperlink ref="I5895" r:id="rId3817" xr:uid="{00000000-0004-0000-0100-0000E80E0000}"/>
    <hyperlink ref="I5896" r:id="rId3818" xr:uid="{00000000-0004-0000-0100-0000E90E0000}"/>
    <hyperlink ref="I5897" r:id="rId3819" xr:uid="{00000000-0004-0000-0100-0000EA0E0000}"/>
    <hyperlink ref="I5898" r:id="rId3820" xr:uid="{00000000-0004-0000-0100-0000EB0E0000}"/>
    <hyperlink ref="I5899" r:id="rId3821" xr:uid="{00000000-0004-0000-0100-0000EC0E0000}"/>
    <hyperlink ref="I5900" r:id="rId3822" xr:uid="{00000000-0004-0000-0100-0000ED0E0000}"/>
    <hyperlink ref="I5901" r:id="rId3823" xr:uid="{00000000-0004-0000-0100-0000EE0E0000}"/>
    <hyperlink ref="I5902" r:id="rId3824" xr:uid="{00000000-0004-0000-0100-0000EF0E0000}"/>
    <hyperlink ref="I5903" r:id="rId3825" xr:uid="{00000000-0004-0000-0100-0000F00E0000}"/>
    <hyperlink ref="I5904" r:id="rId3826" xr:uid="{00000000-0004-0000-0100-0000F10E0000}"/>
    <hyperlink ref="I5905" r:id="rId3827" xr:uid="{00000000-0004-0000-0100-0000F20E0000}"/>
    <hyperlink ref="I5906" r:id="rId3828" xr:uid="{00000000-0004-0000-0100-0000F30E0000}"/>
    <hyperlink ref="I5907" r:id="rId3829" xr:uid="{00000000-0004-0000-0100-0000F40E0000}"/>
    <hyperlink ref="I5908" r:id="rId3830" xr:uid="{00000000-0004-0000-0100-0000F50E0000}"/>
    <hyperlink ref="I5909" r:id="rId3831" xr:uid="{00000000-0004-0000-0100-0000F60E0000}"/>
    <hyperlink ref="I5910" r:id="rId3832" xr:uid="{00000000-0004-0000-0100-0000F70E0000}"/>
    <hyperlink ref="I5911" r:id="rId3833" xr:uid="{00000000-0004-0000-0100-0000F80E0000}"/>
    <hyperlink ref="I5912" r:id="rId3834" xr:uid="{00000000-0004-0000-0100-0000F90E0000}"/>
    <hyperlink ref="I5913" r:id="rId3835" xr:uid="{00000000-0004-0000-0100-0000FA0E0000}"/>
    <hyperlink ref="I5914" r:id="rId3836" xr:uid="{00000000-0004-0000-0100-0000FB0E0000}"/>
    <hyperlink ref="I5915" r:id="rId3837" xr:uid="{00000000-0004-0000-0100-0000FC0E0000}"/>
    <hyperlink ref="I5916" r:id="rId3838" xr:uid="{00000000-0004-0000-0100-0000FD0E0000}"/>
    <hyperlink ref="I5917" r:id="rId3839" xr:uid="{00000000-0004-0000-0100-0000FE0E0000}"/>
    <hyperlink ref="I5918" r:id="rId3840" xr:uid="{00000000-0004-0000-0100-0000FF0E0000}"/>
    <hyperlink ref="I5919" r:id="rId3841" xr:uid="{00000000-0004-0000-0100-0000000F0000}"/>
    <hyperlink ref="I5920" r:id="rId3842" xr:uid="{00000000-0004-0000-0100-0000010F0000}"/>
    <hyperlink ref="I5921" r:id="rId3843" xr:uid="{00000000-0004-0000-0100-0000020F0000}"/>
    <hyperlink ref="I5922" r:id="rId3844" xr:uid="{00000000-0004-0000-0100-0000030F0000}"/>
    <hyperlink ref="I5923" r:id="rId3845" xr:uid="{00000000-0004-0000-0100-0000040F0000}"/>
    <hyperlink ref="I5924" r:id="rId3846" xr:uid="{00000000-0004-0000-0100-0000050F0000}"/>
    <hyperlink ref="I5925" r:id="rId3847" xr:uid="{00000000-0004-0000-0100-0000060F0000}"/>
    <hyperlink ref="I5926" r:id="rId3848" xr:uid="{00000000-0004-0000-0100-0000070F0000}"/>
    <hyperlink ref="I5927" r:id="rId3849" xr:uid="{00000000-0004-0000-0100-0000080F0000}"/>
    <hyperlink ref="I5928" r:id="rId3850" xr:uid="{00000000-0004-0000-0100-0000090F0000}"/>
    <hyperlink ref="I5929" r:id="rId3851" xr:uid="{00000000-0004-0000-0100-00000A0F0000}"/>
    <hyperlink ref="I5930" r:id="rId3852" xr:uid="{00000000-0004-0000-0100-00000B0F0000}"/>
    <hyperlink ref="I5931" r:id="rId3853" xr:uid="{00000000-0004-0000-0100-00000C0F0000}"/>
    <hyperlink ref="I5932" r:id="rId3854" xr:uid="{00000000-0004-0000-0100-00000D0F0000}"/>
    <hyperlink ref="I5933" r:id="rId3855" xr:uid="{00000000-0004-0000-0100-00000E0F0000}"/>
    <hyperlink ref="I5934" r:id="rId3856" xr:uid="{00000000-0004-0000-0100-00000F0F0000}"/>
    <hyperlink ref="I5935" r:id="rId3857" xr:uid="{00000000-0004-0000-0100-0000100F0000}"/>
    <hyperlink ref="I5936" r:id="rId3858" xr:uid="{00000000-0004-0000-0100-0000110F0000}"/>
    <hyperlink ref="I5937" r:id="rId3859" xr:uid="{00000000-0004-0000-0100-0000120F0000}"/>
    <hyperlink ref="I5938" r:id="rId3860" xr:uid="{00000000-0004-0000-0100-0000130F0000}"/>
    <hyperlink ref="I5939" r:id="rId3861" xr:uid="{00000000-0004-0000-0100-0000140F0000}"/>
    <hyperlink ref="I5940" r:id="rId3862" xr:uid="{00000000-0004-0000-0100-0000150F0000}"/>
    <hyperlink ref="I5941" r:id="rId3863" xr:uid="{00000000-0004-0000-0100-0000160F0000}"/>
    <hyperlink ref="I5942" r:id="rId3864" xr:uid="{00000000-0004-0000-0100-0000170F0000}"/>
    <hyperlink ref="I5943" r:id="rId3865" xr:uid="{00000000-0004-0000-0100-0000180F0000}"/>
    <hyperlink ref="I5944" r:id="rId3866" xr:uid="{00000000-0004-0000-0100-0000190F0000}"/>
    <hyperlink ref="I5945" r:id="rId3867" xr:uid="{00000000-0004-0000-0100-00001A0F0000}"/>
    <hyperlink ref="I5946" r:id="rId3868" xr:uid="{00000000-0004-0000-0100-00001B0F0000}"/>
    <hyperlink ref="I5947" r:id="rId3869" xr:uid="{00000000-0004-0000-0100-00001C0F0000}"/>
    <hyperlink ref="I5948" r:id="rId3870" xr:uid="{00000000-0004-0000-0100-00001D0F0000}"/>
    <hyperlink ref="I5949" r:id="rId3871" xr:uid="{00000000-0004-0000-0100-00001E0F0000}"/>
    <hyperlink ref="I5950" r:id="rId3872" xr:uid="{00000000-0004-0000-0100-00001F0F0000}"/>
    <hyperlink ref="I5951" r:id="rId3873" xr:uid="{00000000-0004-0000-0100-0000200F0000}"/>
    <hyperlink ref="I5952" r:id="rId3874" xr:uid="{00000000-0004-0000-0100-0000210F0000}"/>
    <hyperlink ref="I5953" r:id="rId3875" xr:uid="{00000000-0004-0000-0100-0000220F0000}"/>
    <hyperlink ref="I5954" r:id="rId3876" xr:uid="{00000000-0004-0000-0100-0000230F0000}"/>
    <hyperlink ref="I5955" r:id="rId3877" xr:uid="{00000000-0004-0000-0100-0000240F0000}"/>
    <hyperlink ref="I5956" r:id="rId3878" xr:uid="{00000000-0004-0000-0100-0000250F0000}"/>
    <hyperlink ref="I5957" r:id="rId3879" xr:uid="{00000000-0004-0000-0100-0000260F0000}"/>
    <hyperlink ref="I5958" r:id="rId3880" xr:uid="{00000000-0004-0000-0100-0000270F0000}"/>
    <hyperlink ref="I5959" r:id="rId3881" xr:uid="{00000000-0004-0000-0100-0000280F0000}"/>
    <hyperlink ref="I5960" r:id="rId3882" xr:uid="{00000000-0004-0000-0100-0000290F0000}"/>
    <hyperlink ref="I5961" r:id="rId3883" xr:uid="{00000000-0004-0000-0100-00002A0F0000}"/>
    <hyperlink ref="I5962" r:id="rId3884" xr:uid="{00000000-0004-0000-0100-00002B0F0000}"/>
    <hyperlink ref="I5963" r:id="rId3885" xr:uid="{00000000-0004-0000-0100-00002C0F0000}"/>
    <hyperlink ref="I5964" r:id="rId3886" xr:uid="{00000000-0004-0000-0100-00002D0F0000}"/>
    <hyperlink ref="I5965" r:id="rId3887" xr:uid="{00000000-0004-0000-0100-00002E0F0000}"/>
    <hyperlink ref="I5966" r:id="rId3888" xr:uid="{00000000-0004-0000-0100-00002F0F0000}"/>
    <hyperlink ref="I5967" r:id="rId3889" xr:uid="{00000000-0004-0000-0100-0000300F0000}"/>
    <hyperlink ref="I5968" r:id="rId3890" xr:uid="{00000000-0004-0000-0100-0000310F0000}"/>
    <hyperlink ref="I5969" r:id="rId3891" xr:uid="{00000000-0004-0000-0100-0000320F0000}"/>
    <hyperlink ref="I5970" r:id="rId3892" xr:uid="{00000000-0004-0000-0100-0000330F0000}"/>
    <hyperlink ref="I5971" r:id="rId3893" xr:uid="{00000000-0004-0000-0100-0000340F0000}"/>
    <hyperlink ref="I5972" r:id="rId3894" xr:uid="{00000000-0004-0000-0100-0000350F0000}"/>
    <hyperlink ref="I5973" r:id="rId3895" xr:uid="{00000000-0004-0000-0100-0000360F0000}"/>
    <hyperlink ref="I5974" r:id="rId3896" xr:uid="{00000000-0004-0000-0100-0000370F0000}"/>
    <hyperlink ref="I5975" r:id="rId3897" xr:uid="{00000000-0004-0000-0100-0000380F0000}"/>
    <hyperlink ref="I5976" r:id="rId3898" xr:uid="{00000000-0004-0000-0100-0000390F0000}"/>
    <hyperlink ref="I5977" r:id="rId3899" xr:uid="{00000000-0004-0000-0100-00003A0F0000}"/>
    <hyperlink ref="I5978" r:id="rId3900" xr:uid="{00000000-0004-0000-0100-00003B0F0000}"/>
    <hyperlink ref="I5979" r:id="rId3901" xr:uid="{00000000-0004-0000-0100-00003C0F0000}"/>
    <hyperlink ref="I5980" r:id="rId3902" xr:uid="{00000000-0004-0000-0100-00003D0F0000}"/>
    <hyperlink ref="I5981" r:id="rId3903" xr:uid="{00000000-0004-0000-0100-00003E0F0000}"/>
    <hyperlink ref="I5982" r:id="rId3904" xr:uid="{00000000-0004-0000-0100-00003F0F0000}"/>
    <hyperlink ref="I5983" r:id="rId3905" xr:uid="{00000000-0004-0000-0100-0000400F0000}"/>
    <hyperlink ref="I5984" r:id="rId3906" xr:uid="{00000000-0004-0000-0100-0000410F0000}"/>
    <hyperlink ref="I5985" r:id="rId3907" xr:uid="{00000000-0004-0000-0100-0000420F0000}"/>
    <hyperlink ref="I5986" r:id="rId3908" xr:uid="{00000000-0004-0000-0100-0000430F0000}"/>
    <hyperlink ref="I5987" r:id="rId3909" xr:uid="{00000000-0004-0000-0100-0000440F0000}"/>
    <hyperlink ref="I5988" r:id="rId3910" xr:uid="{00000000-0004-0000-0100-0000450F0000}"/>
    <hyperlink ref="I5989" r:id="rId3911" xr:uid="{00000000-0004-0000-0100-0000460F0000}"/>
    <hyperlink ref="I5990" r:id="rId3912" xr:uid="{00000000-0004-0000-0100-0000470F0000}"/>
    <hyperlink ref="I5991" r:id="rId3913" xr:uid="{00000000-0004-0000-0100-0000480F0000}"/>
    <hyperlink ref="I5992" r:id="rId3914" xr:uid="{00000000-0004-0000-0100-0000490F0000}"/>
    <hyperlink ref="I5993" r:id="rId3915" xr:uid="{00000000-0004-0000-0100-00004A0F0000}"/>
    <hyperlink ref="I5994" r:id="rId3916" xr:uid="{00000000-0004-0000-0100-00004B0F0000}"/>
    <hyperlink ref="I5995" r:id="rId3917" xr:uid="{00000000-0004-0000-0100-00004C0F0000}"/>
    <hyperlink ref="I5996" r:id="rId3918" xr:uid="{00000000-0004-0000-0100-00004D0F0000}"/>
    <hyperlink ref="I5997" r:id="rId3919" xr:uid="{00000000-0004-0000-0100-00004E0F0000}"/>
    <hyperlink ref="I5998" r:id="rId3920" xr:uid="{00000000-0004-0000-0100-00004F0F0000}"/>
    <hyperlink ref="I5999" r:id="rId3921" xr:uid="{00000000-0004-0000-0100-0000500F0000}"/>
    <hyperlink ref="I6000" r:id="rId3922" xr:uid="{00000000-0004-0000-0100-0000510F0000}"/>
    <hyperlink ref="I6001" r:id="rId3923" xr:uid="{00000000-0004-0000-0100-0000520F0000}"/>
    <hyperlink ref="I6002" r:id="rId3924" xr:uid="{00000000-0004-0000-0100-0000530F0000}"/>
    <hyperlink ref="I6003" r:id="rId3925" xr:uid="{00000000-0004-0000-0100-0000540F0000}"/>
    <hyperlink ref="I6004" r:id="rId3926" xr:uid="{00000000-0004-0000-0100-0000550F0000}"/>
    <hyperlink ref="I6005" r:id="rId3927" xr:uid="{00000000-0004-0000-0100-0000560F0000}"/>
    <hyperlink ref="I6006" r:id="rId3928" xr:uid="{00000000-0004-0000-0100-0000570F0000}"/>
    <hyperlink ref="I6007" r:id="rId3929" xr:uid="{00000000-0004-0000-0100-0000580F0000}"/>
    <hyperlink ref="I6008" r:id="rId3930" xr:uid="{00000000-0004-0000-0100-0000590F0000}"/>
    <hyperlink ref="I6009" r:id="rId3931" xr:uid="{00000000-0004-0000-0100-00005A0F0000}"/>
    <hyperlink ref="I6010" r:id="rId3932" xr:uid="{00000000-0004-0000-0100-00005B0F0000}"/>
    <hyperlink ref="I6011" r:id="rId3933" xr:uid="{00000000-0004-0000-0100-00005C0F0000}"/>
    <hyperlink ref="I6012" r:id="rId3934" xr:uid="{00000000-0004-0000-0100-00005D0F0000}"/>
    <hyperlink ref="I6013" r:id="rId3935" xr:uid="{00000000-0004-0000-0100-00005E0F0000}"/>
    <hyperlink ref="I6014" r:id="rId3936" xr:uid="{00000000-0004-0000-0100-00005F0F0000}"/>
    <hyperlink ref="I6015" r:id="rId3937" xr:uid="{00000000-0004-0000-0100-0000600F0000}"/>
    <hyperlink ref="I6016" r:id="rId3938" xr:uid="{00000000-0004-0000-0100-0000610F0000}"/>
    <hyperlink ref="I6017" r:id="rId3939" xr:uid="{00000000-0004-0000-0100-0000620F0000}"/>
    <hyperlink ref="I6018" r:id="rId3940" xr:uid="{00000000-0004-0000-0100-0000630F0000}"/>
    <hyperlink ref="I6019" r:id="rId3941" xr:uid="{00000000-0004-0000-0100-0000640F0000}"/>
    <hyperlink ref="I6020" r:id="rId3942" xr:uid="{00000000-0004-0000-0100-0000650F0000}"/>
    <hyperlink ref="I6021" r:id="rId3943" xr:uid="{00000000-0004-0000-0100-0000660F0000}"/>
    <hyperlink ref="I6022" r:id="rId3944" xr:uid="{00000000-0004-0000-0100-0000670F0000}"/>
    <hyperlink ref="I6023" r:id="rId3945" xr:uid="{00000000-0004-0000-0100-0000680F0000}"/>
    <hyperlink ref="I6024" r:id="rId3946" xr:uid="{00000000-0004-0000-0100-0000690F0000}"/>
    <hyperlink ref="I6025" r:id="rId3947" xr:uid="{00000000-0004-0000-0100-00006A0F0000}"/>
    <hyperlink ref="I6026" r:id="rId3948" xr:uid="{00000000-0004-0000-0100-00006B0F0000}"/>
    <hyperlink ref="I6027" r:id="rId3949" xr:uid="{00000000-0004-0000-0100-00006C0F0000}"/>
    <hyperlink ref="I6028" r:id="rId3950" xr:uid="{00000000-0004-0000-0100-00006D0F0000}"/>
    <hyperlink ref="I6029" r:id="rId3951" xr:uid="{00000000-0004-0000-0100-00006E0F0000}"/>
    <hyperlink ref="I6030" r:id="rId3952" xr:uid="{00000000-0004-0000-0100-00006F0F0000}"/>
    <hyperlink ref="I6031" r:id="rId3953" xr:uid="{00000000-0004-0000-0100-0000700F0000}"/>
    <hyperlink ref="I6032" r:id="rId3954" xr:uid="{00000000-0004-0000-0100-0000710F0000}"/>
    <hyperlink ref="I6033" r:id="rId3955" xr:uid="{00000000-0004-0000-0100-0000720F0000}"/>
    <hyperlink ref="I6034" r:id="rId3956" xr:uid="{00000000-0004-0000-0100-0000730F0000}"/>
    <hyperlink ref="I6035" r:id="rId3957" xr:uid="{00000000-0004-0000-0100-0000740F0000}"/>
    <hyperlink ref="I6036" r:id="rId3958" xr:uid="{00000000-0004-0000-0100-0000750F0000}"/>
    <hyperlink ref="I6037" r:id="rId3959" xr:uid="{00000000-0004-0000-0100-0000760F0000}"/>
    <hyperlink ref="I6038" r:id="rId3960" xr:uid="{00000000-0004-0000-0100-0000770F0000}"/>
    <hyperlink ref="I6039" r:id="rId3961" xr:uid="{00000000-0004-0000-0100-0000780F0000}"/>
    <hyperlink ref="I6040" r:id="rId3962" xr:uid="{00000000-0004-0000-0100-0000790F0000}"/>
    <hyperlink ref="I6041" r:id="rId3963" xr:uid="{00000000-0004-0000-0100-00007A0F0000}"/>
    <hyperlink ref="I6042" r:id="rId3964" xr:uid="{00000000-0004-0000-0100-00007B0F0000}"/>
    <hyperlink ref="I6043" r:id="rId3965" xr:uid="{00000000-0004-0000-0100-00007C0F0000}"/>
    <hyperlink ref="I6044" r:id="rId3966" xr:uid="{00000000-0004-0000-0100-00007D0F0000}"/>
    <hyperlink ref="I6045" r:id="rId3967" xr:uid="{00000000-0004-0000-0100-00007E0F0000}"/>
    <hyperlink ref="I6046" r:id="rId3968" xr:uid="{00000000-0004-0000-0100-00007F0F0000}"/>
    <hyperlink ref="I6047" r:id="rId3969" xr:uid="{00000000-0004-0000-0100-0000800F0000}"/>
    <hyperlink ref="I6048" r:id="rId3970" xr:uid="{00000000-0004-0000-0100-0000810F0000}"/>
    <hyperlink ref="I6049" r:id="rId3971" xr:uid="{00000000-0004-0000-0100-0000820F0000}"/>
    <hyperlink ref="I6050" r:id="rId3972" xr:uid="{00000000-0004-0000-0100-0000830F0000}"/>
    <hyperlink ref="I6051" r:id="rId3973" xr:uid="{00000000-0004-0000-0100-0000840F0000}"/>
    <hyperlink ref="I6052" r:id="rId3974" xr:uid="{00000000-0004-0000-0100-0000850F0000}"/>
    <hyperlink ref="I6053" r:id="rId3975" xr:uid="{00000000-0004-0000-0100-0000860F0000}"/>
    <hyperlink ref="I6054" r:id="rId3976" xr:uid="{00000000-0004-0000-0100-0000870F0000}"/>
    <hyperlink ref="I6055" r:id="rId3977" xr:uid="{00000000-0004-0000-0100-0000880F0000}"/>
    <hyperlink ref="I6056" r:id="rId3978" xr:uid="{00000000-0004-0000-0100-0000890F0000}"/>
    <hyperlink ref="I6057" r:id="rId3979" xr:uid="{00000000-0004-0000-0100-00008A0F0000}"/>
    <hyperlink ref="I6058" r:id="rId3980" xr:uid="{00000000-0004-0000-0100-00008B0F0000}"/>
    <hyperlink ref="I6059" r:id="rId3981" xr:uid="{00000000-0004-0000-0100-00008C0F0000}"/>
    <hyperlink ref="I6060" r:id="rId3982" xr:uid="{00000000-0004-0000-0100-00008D0F0000}"/>
    <hyperlink ref="I6061" r:id="rId3983" xr:uid="{00000000-0004-0000-0100-00008E0F0000}"/>
    <hyperlink ref="I6062" r:id="rId3984" xr:uid="{00000000-0004-0000-0100-00008F0F0000}"/>
    <hyperlink ref="I6063" r:id="rId3985" xr:uid="{00000000-0004-0000-0100-0000900F0000}"/>
    <hyperlink ref="I6064" r:id="rId3986" xr:uid="{00000000-0004-0000-0100-0000910F0000}"/>
    <hyperlink ref="I6065" r:id="rId3987" xr:uid="{00000000-0004-0000-0100-0000920F0000}"/>
    <hyperlink ref="I6066" r:id="rId3988" xr:uid="{00000000-0004-0000-0100-0000930F0000}"/>
    <hyperlink ref="I6067" r:id="rId3989" xr:uid="{00000000-0004-0000-0100-0000940F0000}"/>
    <hyperlink ref="I6068" r:id="rId3990" xr:uid="{00000000-0004-0000-0100-0000950F0000}"/>
    <hyperlink ref="I6069" r:id="rId3991" xr:uid="{00000000-0004-0000-0100-0000960F0000}"/>
    <hyperlink ref="I6070" r:id="rId3992" xr:uid="{00000000-0004-0000-0100-0000970F0000}"/>
    <hyperlink ref="I6071" r:id="rId3993" xr:uid="{00000000-0004-0000-0100-0000980F0000}"/>
    <hyperlink ref="I6072" r:id="rId3994" xr:uid="{00000000-0004-0000-0100-0000990F0000}"/>
    <hyperlink ref="I6073" r:id="rId3995" xr:uid="{00000000-0004-0000-0100-00009A0F0000}"/>
    <hyperlink ref="I6074" r:id="rId3996" xr:uid="{00000000-0004-0000-0100-00009B0F0000}"/>
    <hyperlink ref="I6075" r:id="rId3997" xr:uid="{00000000-0004-0000-0100-00009C0F0000}"/>
    <hyperlink ref="I6076" r:id="rId3998" xr:uid="{00000000-0004-0000-0100-00009D0F0000}"/>
    <hyperlink ref="I6077" r:id="rId3999" xr:uid="{00000000-0004-0000-0100-00009E0F0000}"/>
    <hyperlink ref="I6078" r:id="rId4000" xr:uid="{00000000-0004-0000-0100-00009F0F0000}"/>
    <hyperlink ref="I6079" r:id="rId4001" xr:uid="{00000000-0004-0000-0100-0000A00F0000}"/>
    <hyperlink ref="I6080" r:id="rId4002" xr:uid="{00000000-0004-0000-0100-0000A10F0000}"/>
    <hyperlink ref="I6081" r:id="rId4003" xr:uid="{00000000-0004-0000-0100-0000A20F0000}"/>
    <hyperlink ref="I6082" r:id="rId4004" xr:uid="{00000000-0004-0000-0100-0000A30F0000}"/>
    <hyperlink ref="I6083" r:id="rId4005" xr:uid="{00000000-0004-0000-0100-0000A40F0000}"/>
    <hyperlink ref="I6084" r:id="rId4006" xr:uid="{00000000-0004-0000-0100-0000A50F0000}"/>
    <hyperlink ref="I6085" r:id="rId4007" xr:uid="{00000000-0004-0000-0100-0000A60F0000}"/>
    <hyperlink ref="I6086" r:id="rId4008" xr:uid="{00000000-0004-0000-0100-0000A70F0000}"/>
    <hyperlink ref="I6087" r:id="rId4009" xr:uid="{00000000-0004-0000-0100-0000A80F0000}"/>
    <hyperlink ref="I6088" r:id="rId4010" xr:uid="{00000000-0004-0000-0100-0000A90F0000}"/>
    <hyperlink ref="I6089" r:id="rId4011" xr:uid="{00000000-0004-0000-0100-0000AA0F0000}"/>
    <hyperlink ref="I6090" r:id="rId4012" xr:uid="{00000000-0004-0000-0100-0000AB0F0000}"/>
    <hyperlink ref="I6091" r:id="rId4013" xr:uid="{00000000-0004-0000-0100-0000AC0F0000}"/>
    <hyperlink ref="I6092" r:id="rId4014" xr:uid="{00000000-0004-0000-0100-0000AD0F0000}"/>
    <hyperlink ref="I6093" r:id="rId4015" xr:uid="{00000000-0004-0000-0100-0000AE0F0000}"/>
    <hyperlink ref="I6094" r:id="rId4016" xr:uid="{00000000-0004-0000-0100-0000AF0F0000}"/>
    <hyperlink ref="I6095" r:id="rId4017" xr:uid="{00000000-0004-0000-0100-0000B00F0000}"/>
    <hyperlink ref="I6096" r:id="rId4018" xr:uid="{00000000-0004-0000-0100-0000B10F0000}"/>
    <hyperlink ref="I6097" r:id="rId4019" xr:uid="{00000000-0004-0000-0100-0000B20F0000}"/>
    <hyperlink ref="I6098" r:id="rId4020" xr:uid="{00000000-0004-0000-0100-0000B30F0000}"/>
    <hyperlink ref="I6099" r:id="rId4021" xr:uid="{00000000-0004-0000-0100-0000B40F0000}"/>
    <hyperlink ref="I6100" r:id="rId4022" xr:uid="{00000000-0004-0000-0100-0000B50F0000}"/>
    <hyperlink ref="I6101" r:id="rId4023" xr:uid="{00000000-0004-0000-0100-0000B60F0000}"/>
    <hyperlink ref="I6102" r:id="rId4024" xr:uid="{00000000-0004-0000-0100-0000B70F0000}"/>
    <hyperlink ref="I6103" r:id="rId4025" xr:uid="{00000000-0004-0000-0100-0000B80F0000}"/>
    <hyperlink ref="I6104" r:id="rId4026" xr:uid="{00000000-0004-0000-0100-0000B90F0000}"/>
    <hyperlink ref="I6105" r:id="rId4027" xr:uid="{00000000-0004-0000-0100-0000BA0F0000}"/>
    <hyperlink ref="I6106" r:id="rId4028" xr:uid="{00000000-0004-0000-0100-0000BB0F0000}"/>
    <hyperlink ref="I6107" r:id="rId4029" xr:uid="{00000000-0004-0000-0100-0000BC0F0000}"/>
    <hyperlink ref="I6108" r:id="rId4030" xr:uid="{00000000-0004-0000-0100-0000BD0F0000}"/>
    <hyperlink ref="I6109" r:id="rId4031" xr:uid="{00000000-0004-0000-0100-0000BE0F0000}"/>
    <hyperlink ref="I6110" r:id="rId4032" xr:uid="{00000000-0004-0000-0100-0000BF0F0000}"/>
    <hyperlink ref="I6111" r:id="rId4033" xr:uid="{00000000-0004-0000-0100-0000C00F0000}"/>
    <hyperlink ref="I6112" r:id="rId4034" xr:uid="{00000000-0004-0000-0100-0000C10F0000}"/>
    <hyperlink ref="I6113" r:id="rId4035" xr:uid="{00000000-0004-0000-0100-0000C20F0000}"/>
    <hyperlink ref="I6114" r:id="rId4036" xr:uid="{00000000-0004-0000-0100-0000C30F0000}"/>
    <hyperlink ref="I6115" r:id="rId4037" xr:uid="{00000000-0004-0000-0100-0000C40F0000}"/>
    <hyperlink ref="I6116" r:id="rId4038" xr:uid="{00000000-0004-0000-0100-0000C50F0000}"/>
    <hyperlink ref="I6117" r:id="rId4039" xr:uid="{00000000-0004-0000-0100-0000C60F0000}"/>
    <hyperlink ref="I6118" r:id="rId4040" xr:uid="{00000000-0004-0000-0100-0000C70F0000}"/>
    <hyperlink ref="I6119" r:id="rId4041" xr:uid="{00000000-0004-0000-0100-0000C80F0000}"/>
    <hyperlink ref="I6120" r:id="rId4042" xr:uid="{00000000-0004-0000-0100-0000C90F0000}"/>
    <hyperlink ref="I6121" r:id="rId4043" xr:uid="{00000000-0004-0000-0100-0000CA0F0000}"/>
    <hyperlink ref="I6122" r:id="rId4044" xr:uid="{00000000-0004-0000-0100-0000CB0F0000}"/>
    <hyperlink ref="I6123" r:id="rId4045" xr:uid="{00000000-0004-0000-0100-0000CC0F0000}"/>
    <hyperlink ref="I6124" r:id="rId4046" xr:uid="{00000000-0004-0000-0100-0000CD0F0000}"/>
    <hyperlink ref="I6125" r:id="rId4047" xr:uid="{00000000-0004-0000-0100-0000CE0F0000}"/>
    <hyperlink ref="I6126" r:id="rId4048" xr:uid="{00000000-0004-0000-0100-0000CF0F0000}"/>
    <hyperlink ref="I6127" r:id="rId4049" xr:uid="{00000000-0004-0000-0100-0000D00F0000}"/>
    <hyperlink ref="I6128" r:id="rId4050" xr:uid="{00000000-0004-0000-0100-0000D10F0000}"/>
    <hyperlink ref="I6129" r:id="rId4051" xr:uid="{00000000-0004-0000-0100-0000D20F0000}"/>
    <hyperlink ref="I6130" r:id="rId4052" xr:uid="{00000000-0004-0000-0100-0000D30F0000}"/>
    <hyperlink ref="I6131" r:id="rId4053" xr:uid="{00000000-0004-0000-0100-0000D40F0000}"/>
    <hyperlink ref="I6132" r:id="rId4054" xr:uid="{00000000-0004-0000-0100-0000D50F0000}"/>
    <hyperlink ref="I6133" r:id="rId4055" xr:uid="{00000000-0004-0000-0100-0000D60F0000}"/>
    <hyperlink ref="I6134" r:id="rId4056" xr:uid="{00000000-0004-0000-0100-0000D70F0000}"/>
    <hyperlink ref="I6135" r:id="rId4057" xr:uid="{00000000-0004-0000-0100-0000D80F0000}"/>
    <hyperlink ref="I6136" r:id="rId4058" xr:uid="{00000000-0004-0000-0100-0000D90F0000}"/>
    <hyperlink ref="I6137" r:id="rId4059" xr:uid="{00000000-0004-0000-0100-0000DA0F0000}"/>
    <hyperlink ref="I6138" r:id="rId4060" xr:uid="{00000000-0004-0000-0100-0000DB0F0000}"/>
    <hyperlink ref="I6139" r:id="rId4061" xr:uid="{00000000-0004-0000-0100-0000DC0F0000}"/>
    <hyperlink ref="I6140" r:id="rId4062" xr:uid="{00000000-0004-0000-0100-0000DD0F0000}"/>
    <hyperlink ref="I6141" r:id="rId4063" xr:uid="{00000000-0004-0000-0100-0000DE0F0000}"/>
    <hyperlink ref="I6142" r:id="rId4064" xr:uid="{00000000-0004-0000-0100-0000DF0F0000}"/>
    <hyperlink ref="I6143" r:id="rId4065" xr:uid="{00000000-0004-0000-0100-0000E00F0000}"/>
    <hyperlink ref="I6144" r:id="rId4066" xr:uid="{00000000-0004-0000-0100-0000E10F0000}"/>
    <hyperlink ref="I6145" r:id="rId4067" xr:uid="{00000000-0004-0000-0100-0000E20F0000}"/>
    <hyperlink ref="I6146" r:id="rId4068" xr:uid="{00000000-0004-0000-0100-0000E30F0000}"/>
    <hyperlink ref="I6147" r:id="rId4069" xr:uid="{00000000-0004-0000-0100-0000E40F0000}"/>
    <hyperlink ref="I6148" r:id="rId4070" xr:uid="{00000000-0004-0000-0100-0000E50F0000}"/>
    <hyperlink ref="I6149" r:id="rId4071" xr:uid="{00000000-0004-0000-0100-0000E60F0000}"/>
    <hyperlink ref="I6150" r:id="rId4072" xr:uid="{00000000-0004-0000-0100-0000E70F0000}"/>
    <hyperlink ref="I6151" r:id="rId4073" xr:uid="{00000000-0004-0000-0100-0000E80F0000}"/>
    <hyperlink ref="I6152" r:id="rId4074" xr:uid="{00000000-0004-0000-0100-0000E90F0000}"/>
    <hyperlink ref="I6153" r:id="rId4075" xr:uid="{00000000-0004-0000-0100-0000EA0F0000}"/>
    <hyperlink ref="I6154" r:id="rId4076" xr:uid="{00000000-0004-0000-0100-0000EB0F0000}"/>
    <hyperlink ref="I6155" r:id="rId4077" xr:uid="{00000000-0004-0000-0100-0000EC0F0000}"/>
    <hyperlink ref="I6156" r:id="rId4078" xr:uid="{00000000-0004-0000-0100-0000ED0F0000}"/>
    <hyperlink ref="I6157" r:id="rId4079" xr:uid="{00000000-0004-0000-0100-0000EE0F0000}"/>
    <hyperlink ref="I6158" r:id="rId4080" xr:uid="{00000000-0004-0000-0100-0000EF0F0000}"/>
    <hyperlink ref="I6159" r:id="rId4081" xr:uid="{00000000-0004-0000-0100-0000F00F0000}"/>
    <hyperlink ref="I6160" r:id="rId4082" xr:uid="{00000000-0004-0000-0100-0000F10F0000}"/>
    <hyperlink ref="I6161" r:id="rId4083" xr:uid="{00000000-0004-0000-0100-0000F20F0000}"/>
    <hyperlink ref="I6162" r:id="rId4084" xr:uid="{00000000-0004-0000-0100-0000F30F0000}"/>
    <hyperlink ref="I6163" r:id="rId4085" xr:uid="{00000000-0004-0000-0100-0000F40F0000}"/>
    <hyperlink ref="I6164" r:id="rId4086" xr:uid="{00000000-0004-0000-0100-0000F50F0000}"/>
    <hyperlink ref="I6165" r:id="rId4087" xr:uid="{00000000-0004-0000-0100-0000F60F0000}"/>
    <hyperlink ref="I6166" r:id="rId4088" xr:uid="{00000000-0004-0000-0100-0000F70F0000}"/>
    <hyperlink ref="I6167" r:id="rId4089" xr:uid="{00000000-0004-0000-0100-0000F80F0000}"/>
    <hyperlink ref="I6168" r:id="rId4090" xr:uid="{00000000-0004-0000-0100-0000F90F0000}"/>
    <hyperlink ref="I6169" r:id="rId4091" xr:uid="{00000000-0004-0000-0100-0000FA0F0000}"/>
    <hyperlink ref="I6170" r:id="rId4092" xr:uid="{00000000-0004-0000-0100-0000FB0F0000}"/>
    <hyperlink ref="I6171" r:id="rId4093" xr:uid="{00000000-0004-0000-0100-0000FC0F0000}"/>
    <hyperlink ref="I6172" r:id="rId4094" xr:uid="{00000000-0004-0000-0100-0000FD0F0000}"/>
    <hyperlink ref="I6173" r:id="rId4095" xr:uid="{00000000-0004-0000-0100-0000FE0F0000}"/>
    <hyperlink ref="I6174" r:id="rId4096" xr:uid="{00000000-0004-0000-0100-0000FF0F0000}"/>
    <hyperlink ref="I6175" r:id="rId4097" xr:uid="{00000000-0004-0000-0100-000000100000}"/>
    <hyperlink ref="I6176" r:id="rId4098" xr:uid="{00000000-0004-0000-0100-000001100000}"/>
    <hyperlink ref="I6177" r:id="rId4099" xr:uid="{00000000-0004-0000-0100-000002100000}"/>
    <hyperlink ref="I6178" r:id="rId4100" xr:uid="{00000000-0004-0000-0100-000003100000}"/>
    <hyperlink ref="I6179" r:id="rId4101" xr:uid="{00000000-0004-0000-0100-000004100000}"/>
    <hyperlink ref="I6180" r:id="rId4102" xr:uid="{00000000-0004-0000-0100-000005100000}"/>
    <hyperlink ref="I6181" r:id="rId4103" xr:uid="{00000000-0004-0000-0100-000006100000}"/>
    <hyperlink ref="I6182" r:id="rId4104" xr:uid="{00000000-0004-0000-0100-000007100000}"/>
    <hyperlink ref="I6183" r:id="rId4105" xr:uid="{00000000-0004-0000-0100-000008100000}"/>
    <hyperlink ref="I6184" r:id="rId4106" xr:uid="{00000000-0004-0000-0100-000009100000}"/>
    <hyperlink ref="I6185" r:id="rId4107" xr:uid="{00000000-0004-0000-0100-00000A100000}"/>
    <hyperlink ref="I6186" r:id="rId4108" xr:uid="{00000000-0004-0000-0100-00000B100000}"/>
    <hyperlink ref="I6187" r:id="rId4109" xr:uid="{00000000-0004-0000-0100-00000C100000}"/>
    <hyperlink ref="I6188" r:id="rId4110" xr:uid="{00000000-0004-0000-0100-00000D100000}"/>
    <hyperlink ref="I6189" r:id="rId4111" xr:uid="{00000000-0004-0000-0100-00000E100000}"/>
    <hyperlink ref="I6190" r:id="rId4112" xr:uid="{00000000-0004-0000-0100-00000F100000}"/>
    <hyperlink ref="I6191" r:id="rId4113" xr:uid="{00000000-0004-0000-0100-000010100000}"/>
    <hyperlink ref="I6192" r:id="rId4114" xr:uid="{00000000-0004-0000-0100-000011100000}"/>
    <hyperlink ref="I6193" r:id="rId4115" xr:uid="{00000000-0004-0000-0100-000012100000}"/>
    <hyperlink ref="I6194" r:id="rId4116" xr:uid="{00000000-0004-0000-0100-000013100000}"/>
    <hyperlink ref="I6195" r:id="rId4117" xr:uid="{00000000-0004-0000-0100-000014100000}"/>
    <hyperlink ref="I6196" r:id="rId4118" xr:uid="{00000000-0004-0000-0100-000015100000}"/>
    <hyperlink ref="I6197" r:id="rId4119" xr:uid="{00000000-0004-0000-0100-000016100000}"/>
    <hyperlink ref="I6198" r:id="rId4120" xr:uid="{00000000-0004-0000-0100-000017100000}"/>
    <hyperlink ref="I6199" r:id="rId4121" xr:uid="{00000000-0004-0000-0100-000018100000}"/>
    <hyperlink ref="I6200" r:id="rId4122" xr:uid="{00000000-0004-0000-0100-000019100000}"/>
    <hyperlink ref="I6201" r:id="rId4123" xr:uid="{00000000-0004-0000-0100-00001A100000}"/>
    <hyperlink ref="I6202" r:id="rId4124" xr:uid="{00000000-0004-0000-0100-00001B100000}"/>
    <hyperlink ref="I6203" r:id="rId4125" xr:uid="{00000000-0004-0000-0100-00001C100000}"/>
    <hyperlink ref="I6204" r:id="rId4126" xr:uid="{00000000-0004-0000-0100-00001D100000}"/>
    <hyperlink ref="I6205" r:id="rId4127" xr:uid="{00000000-0004-0000-0100-00001E100000}"/>
    <hyperlink ref="I6206" r:id="rId4128" xr:uid="{00000000-0004-0000-0100-00001F100000}"/>
    <hyperlink ref="I6207" r:id="rId4129" xr:uid="{00000000-0004-0000-0100-000020100000}"/>
    <hyperlink ref="I6208" r:id="rId4130" xr:uid="{00000000-0004-0000-0100-000021100000}"/>
    <hyperlink ref="I6209" r:id="rId4131" xr:uid="{00000000-0004-0000-0100-000022100000}"/>
    <hyperlink ref="I6210" r:id="rId4132" xr:uid="{00000000-0004-0000-0100-000023100000}"/>
    <hyperlink ref="I6211" r:id="rId4133" xr:uid="{00000000-0004-0000-0100-000024100000}"/>
    <hyperlink ref="I6212" r:id="rId4134" xr:uid="{00000000-0004-0000-0100-000025100000}"/>
    <hyperlink ref="I6213" r:id="rId4135" xr:uid="{00000000-0004-0000-0100-000026100000}"/>
    <hyperlink ref="I6214" r:id="rId4136" xr:uid="{00000000-0004-0000-0100-000027100000}"/>
    <hyperlink ref="I6215" r:id="rId4137" xr:uid="{00000000-0004-0000-0100-000028100000}"/>
    <hyperlink ref="I6216" r:id="rId4138" xr:uid="{00000000-0004-0000-0100-000029100000}"/>
    <hyperlink ref="I6217" r:id="rId4139" xr:uid="{00000000-0004-0000-0100-00002A100000}"/>
    <hyperlink ref="I6218" r:id="rId4140" xr:uid="{00000000-0004-0000-0100-00002B100000}"/>
    <hyperlink ref="I6219" r:id="rId4141" xr:uid="{00000000-0004-0000-0100-00002C100000}"/>
    <hyperlink ref="I6220" r:id="rId4142" xr:uid="{00000000-0004-0000-0100-00002D100000}"/>
    <hyperlink ref="I6221" r:id="rId4143" xr:uid="{00000000-0004-0000-0100-00002E100000}"/>
    <hyperlink ref="I6222" r:id="rId4144" xr:uid="{00000000-0004-0000-0100-00002F100000}"/>
    <hyperlink ref="I6223" r:id="rId4145" xr:uid="{00000000-0004-0000-0100-000030100000}"/>
    <hyperlink ref="I6224" r:id="rId4146" xr:uid="{00000000-0004-0000-0100-000031100000}"/>
    <hyperlink ref="I6225" r:id="rId4147" xr:uid="{00000000-0004-0000-0100-000032100000}"/>
    <hyperlink ref="I6226" r:id="rId4148" xr:uid="{00000000-0004-0000-0100-000033100000}"/>
    <hyperlink ref="I6227" r:id="rId4149" xr:uid="{00000000-0004-0000-0100-000034100000}"/>
    <hyperlink ref="I6228" r:id="rId4150" xr:uid="{00000000-0004-0000-0100-000035100000}"/>
    <hyperlink ref="I6229" r:id="rId4151" xr:uid="{00000000-0004-0000-0100-000036100000}"/>
    <hyperlink ref="I6230" r:id="rId4152" xr:uid="{00000000-0004-0000-0100-000037100000}"/>
    <hyperlink ref="I6231" r:id="rId4153" xr:uid="{00000000-0004-0000-0100-000038100000}"/>
    <hyperlink ref="I6232" r:id="rId4154" xr:uid="{00000000-0004-0000-0100-000039100000}"/>
    <hyperlink ref="I6233" r:id="rId4155" xr:uid="{00000000-0004-0000-0100-00003A100000}"/>
    <hyperlink ref="I6234" r:id="rId4156" xr:uid="{00000000-0004-0000-0100-00003B100000}"/>
    <hyperlink ref="I6235" r:id="rId4157" xr:uid="{00000000-0004-0000-0100-00003C100000}"/>
    <hyperlink ref="I6236" r:id="rId4158" xr:uid="{00000000-0004-0000-0100-00003D100000}"/>
    <hyperlink ref="I6237" r:id="rId4159" xr:uid="{00000000-0004-0000-0100-00003E100000}"/>
    <hyperlink ref="I6238" r:id="rId4160" xr:uid="{00000000-0004-0000-0100-00003F100000}"/>
    <hyperlink ref="I6239" r:id="rId4161" xr:uid="{00000000-0004-0000-0100-000040100000}"/>
    <hyperlink ref="I6240" r:id="rId4162" xr:uid="{00000000-0004-0000-0100-000041100000}"/>
    <hyperlink ref="I6241" r:id="rId4163" xr:uid="{00000000-0004-0000-0100-000042100000}"/>
    <hyperlink ref="I6242" r:id="rId4164" xr:uid="{00000000-0004-0000-0100-000043100000}"/>
    <hyperlink ref="I6243" r:id="rId4165" xr:uid="{00000000-0004-0000-0100-000044100000}"/>
    <hyperlink ref="I6244" r:id="rId4166" xr:uid="{00000000-0004-0000-0100-000045100000}"/>
    <hyperlink ref="I6245" r:id="rId4167" xr:uid="{00000000-0004-0000-0100-000046100000}"/>
    <hyperlink ref="I6246" r:id="rId4168" xr:uid="{00000000-0004-0000-0100-000047100000}"/>
    <hyperlink ref="I6247" r:id="rId4169" xr:uid="{00000000-0004-0000-0100-000048100000}"/>
    <hyperlink ref="I6248" r:id="rId4170" xr:uid="{00000000-0004-0000-0100-000049100000}"/>
    <hyperlink ref="I6249" r:id="rId4171" xr:uid="{00000000-0004-0000-0100-00004A100000}"/>
    <hyperlink ref="I6250" r:id="rId4172" xr:uid="{00000000-0004-0000-0100-00004B100000}"/>
    <hyperlink ref="I6251" r:id="rId4173" xr:uid="{00000000-0004-0000-0100-00004C100000}"/>
    <hyperlink ref="I6252" r:id="rId4174" xr:uid="{00000000-0004-0000-0100-00004D100000}"/>
    <hyperlink ref="I6253" r:id="rId4175" xr:uid="{00000000-0004-0000-0100-00004E100000}"/>
    <hyperlink ref="I6254" r:id="rId4176" xr:uid="{00000000-0004-0000-0100-00004F100000}"/>
    <hyperlink ref="I6255" r:id="rId4177" xr:uid="{00000000-0004-0000-0100-000050100000}"/>
    <hyperlink ref="I6256" r:id="rId4178" xr:uid="{00000000-0004-0000-0100-000051100000}"/>
    <hyperlink ref="I6257" r:id="rId4179" xr:uid="{00000000-0004-0000-0100-000052100000}"/>
    <hyperlink ref="I6258" r:id="rId4180" xr:uid="{00000000-0004-0000-0100-000053100000}"/>
    <hyperlink ref="I6259" r:id="rId4181" xr:uid="{00000000-0004-0000-0100-000054100000}"/>
    <hyperlink ref="I6260" r:id="rId4182" xr:uid="{00000000-0004-0000-0100-000055100000}"/>
    <hyperlink ref="I6261" r:id="rId4183" xr:uid="{00000000-0004-0000-0100-000056100000}"/>
    <hyperlink ref="I6262" r:id="rId4184" xr:uid="{00000000-0004-0000-0100-000057100000}"/>
    <hyperlink ref="I6263" r:id="rId4185" xr:uid="{00000000-0004-0000-0100-000058100000}"/>
    <hyperlink ref="I6264" r:id="rId4186" xr:uid="{00000000-0004-0000-0100-000059100000}"/>
    <hyperlink ref="I6265" r:id="rId4187" xr:uid="{00000000-0004-0000-0100-00005A100000}"/>
    <hyperlink ref="I6266" r:id="rId4188" xr:uid="{00000000-0004-0000-0100-00005B100000}"/>
    <hyperlink ref="I6267" r:id="rId4189" xr:uid="{00000000-0004-0000-0100-00005C100000}"/>
    <hyperlink ref="I6268" r:id="rId4190" xr:uid="{00000000-0004-0000-0100-00005D100000}"/>
    <hyperlink ref="I6269" r:id="rId4191" xr:uid="{00000000-0004-0000-0100-00005E100000}"/>
    <hyperlink ref="I6270" r:id="rId4192" xr:uid="{00000000-0004-0000-0100-00005F100000}"/>
    <hyperlink ref="I6271" r:id="rId4193" xr:uid="{00000000-0004-0000-0100-000060100000}"/>
    <hyperlink ref="I6272" r:id="rId4194" xr:uid="{00000000-0004-0000-0100-000061100000}"/>
    <hyperlink ref="I6273" r:id="rId4195" xr:uid="{00000000-0004-0000-0100-000062100000}"/>
    <hyperlink ref="I6274" r:id="rId4196" xr:uid="{00000000-0004-0000-0100-000063100000}"/>
    <hyperlink ref="I6275" r:id="rId4197" xr:uid="{00000000-0004-0000-0100-000064100000}"/>
    <hyperlink ref="I6276" r:id="rId4198" xr:uid="{00000000-0004-0000-0100-000065100000}"/>
    <hyperlink ref="I6277" r:id="rId4199" xr:uid="{00000000-0004-0000-0100-000066100000}"/>
    <hyperlink ref="I6278" r:id="rId4200" xr:uid="{00000000-0004-0000-0100-000067100000}"/>
    <hyperlink ref="I6279" r:id="rId4201" xr:uid="{00000000-0004-0000-0100-000068100000}"/>
    <hyperlink ref="I6280" r:id="rId4202" xr:uid="{00000000-0004-0000-0100-000069100000}"/>
    <hyperlink ref="I6281" r:id="rId4203" xr:uid="{00000000-0004-0000-0100-00006A100000}"/>
    <hyperlink ref="I6282" r:id="rId4204" xr:uid="{00000000-0004-0000-0100-00006B100000}"/>
    <hyperlink ref="I6283" r:id="rId4205" xr:uid="{00000000-0004-0000-0100-00006C100000}"/>
    <hyperlink ref="I6284" r:id="rId4206" xr:uid="{00000000-0004-0000-0100-00006D100000}"/>
    <hyperlink ref="I6285" r:id="rId4207" xr:uid="{00000000-0004-0000-0100-00006E100000}"/>
    <hyperlink ref="I6286" r:id="rId4208" xr:uid="{00000000-0004-0000-0100-00006F100000}"/>
    <hyperlink ref="I6287" r:id="rId4209" xr:uid="{00000000-0004-0000-0100-000070100000}"/>
    <hyperlink ref="I6288" r:id="rId4210" xr:uid="{00000000-0004-0000-0100-000071100000}"/>
    <hyperlink ref="I6289" r:id="rId4211" xr:uid="{00000000-0004-0000-0100-000072100000}"/>
    <hyperlink ref="I6290" r:id="rId4212" xr:uid="{00000000-0004-0000-0100-000073100000}"/>
    <hyperlink ref="I6291" r:id="rId4213" xr:uid="{00000000-0004-0000-0100-000074100000}"/>
    <hyperlink ref="I6292" r:id="rId4214" xr:uid="{00000000-0004-0000-0100-000075100000}"/>
    <hyperlink ref="I6293" r:id="rId4215" xr:uid="{00000000-0004-0000-0100-000076100000}"/>
    <hyperlink ref="I6294" r:id="rId4216" xr:uid="{00000000-0004-0000-0100-000077100000}"/>
    <hyperlink ref="I6295" r:id="rId4217" xr:uid="{00000000-0004-0000-0100-000078100000}"/>
    <hyperlink ref="I6296" r:id="rId4218" xr:uid="{00000000-0004-0000-0100-000079100000}"/>
    <hyperlink ref="I6297" r:id="rId4219" xr:uid="{00000000-0004-0000-0100-00007A100000}"/>
    <hyperlink ref="I6298" r:id="rId4220" xr:uid="{00000000-0004-0000-0100-00007B100000}"/>
    <hyperlink ref="I6299" r:id="rId4221" xr:uid="{00000000-0004-0000-0100-00007C100000}"/>
    <hyperlink ref="I6300" r:id="rId4222" xr:uid="{00000000-0004-0000-0100-00007D100000}"/>
    <hyperlink ref="I6301" r:id="rId4223" xr:uid="{00000000-0004-0000-0100-00007E100000}"/>
    <hyperlink ref="I6302" r:id="rId4224" xr:uid="{00000000-0004-0000-0100-00007F100000}"/>
    <hyperlink ref="I6303" r:id="rId4225" xr:uid="{00000000-0004-0000-0100-000080100000}"/>
    <hyperlink ref="I6304" r:id="rId4226" xr:uid="{00000000-0004-0000-0100-000081100000}"/>
    <hyperlink ref="I6305" r:id="rId4227" xr:uid="{00000000-0004-0000-0100-000082100000}"/>
    <hyperlink ref="I6306" r:id="rId4228" xr:uid="{00000000-0004-0000-0100-000083100000}"/>
    <hyperlink ref="I6307" r:id="rId4229" xr:uid="{00000000-0004-0000-0100-000084100000}"/>
    <hyperlink ref="I6308" r:id="rId4230" xr:uid="{00000000-0004-0000-0100-000085100000}"/>
    <hyperlink ref="I6309" r:id="rId4231" xr:uid="{00000000-0004-0000-0100-000086100000}"/>
    <hyperlink ref="I6310" r:id="rId4232" xr:uid="{00000000-0004-0000-0100-000087100000}"/>
    <hyperlink ref="I6311" r:id="rId4233" xr:uid="{00000000-0004-0000-0100-000088100000}"/>
    <hyperlink ref="I6312" r:id="rId4234" xr:uid="{00000000-0004-0000-0100-000089100000}"/>
    <hyperlink ref="I6313" r:id="rId4235" xr:uid="{00000000-0004-0000-0100-00008A100000}"/>
    <hyperlink ref="I6314" r:id="rId4236" xr:uid="{00000000-0004-0000-0100-00008B100000}"/>
    <hyperlink ref="I6315" r:id="rId4237" xr:uid="{00000000-0004-0000-0100-00008C100000}"/>
    <hyperlink ref="I6316" r:id="rId4238" xr:uid="{00000000-0004-0000-0100-00008D100000}"/>
    <hyperlink ref="I6317" r:id="rId4239" xr:uid="{00000000-0004-0000-0100-00008E100000}"/>
    <hyperlink ref="I6318" r:id="rId4240" xr:uid="{00000000-0004-0000-0100-00008F100000}"/>
    <hyperlink ref="I6319" r:id="rId4241" xr:uid="{00000000-0004-0000-0100-000090100000}"/>
    <hyperlink ref="I6320" r:id="rId4242" xr:uid="{00000000-0004-0000-0100-000091100000}"/>
    <hyperlink ref="I6321" r:id="rId4243" xr:uid="{00000000-0004-0000-0100-000092100000}"/>
    <hyperlink ref="I6322" r:id="rId4244" xr:uid="{00000000-0004-0000-0100-000093100000}"/>
    <hyperlink ref="I6323" r:id="rId4245" xr:uid="{00000000-0004-0000-0100-000094100000}"/>
    <hyperlink ref="I6324" r:id="rId4246" xr:uid="{00000000-0004-0000-0100-000095100000}"/>
    <hyperlink ref="I6325" r:id="rId4247" xr:uid="{00000000-0004-0000-0100-000096100000}"/>
    <hyperlink ref="I6326" r:id="rId4248" xr:uid="{00000000-0004-0000-0100-000097100000}"/>
    <hyperlink ref="I6327" r:id="rId4249" xr:uid="{00000000-0004-0000-0100-000098100000}"/>
    <hyperlink ref="I6328" r:id="rId4250" xr:uid="{00000000-0004-0000-0100-000099100000}"/>
    <hyperlink ref="I6329" r:id="rId4251" xr:uid="{00000000-0004-0000-0100-00009A100000}"/>
    <hyperlink ref="I6330" r:id="rId4252" xr:uid="{00000000-0004-0000-0100-00009B100000}"/>
    <hyperlink ref="I6331" r:id="rId4253" xr:uid="{00000000-0004-0000-0100-00009C100000}"/>
    <hyperlink ref="I6332" r:id="rId4254" xr:uid="{00000000-0004-0000-0100-00009D100000}"/>
    <hyperlink ref="I6333" r:id="rId4255" xr:uid="{00000000-0004-0000-0100-00009E100000}"/>
    <hyperlink ref="I6334" r:id="rId4256" xr:uid="{00000000-0004-0000-0100-00009F100000}"/>
    <hyperlink ref="I6335" r:id="rId4257" xr:uid="{00000000-0004-0000-0100-0000A0100000}"/>
    <hyperlink ref="I6336" r:id="rId4258" xr:uid="{00000000-0004-0000-0100-0000A1100000}"/>
    <hyperlink ref="I6337" r:id="rId4259" xr:uid="{00000000-0004-0000-0100-0000A2100000}"/>
    <hyperlink ref="I6338" r:id="rId4260" xr:uid="{00000000-0004-0000-0100-0000A3100000}"/>
    <hyperlink ref="I6339" r:id="rId4261" xr:uid="{00000000-0004-0000-0100-0000A4100000}"/>
    <hyperlink ref="I6340" r:id="rId4262" xr:uid="{00000000-0004-0000-0100-0000A5100000}"/>
    <hyperlink ref="I6341" r:id="rId4263" xr:uid="{00000000-0004-0000-0100-0000A6100000}"/>
    <hyperlink ref="I6342" r:id="rId4264" xr:uid="{00000000-0004-0000-0100-0000A7100000}"/>
    <hyperlink ref="I6343" r:id="rId4265" xr:uid="{00000000-0004-0000-0100-0000A8100000}"/>
    <hyperlink ref="I6344" r:id="rId4266" xr:uid="{00000000-0004-0000-0100-0000A9100000}"/>
    <hyperlink ref="I6345" r:id="rId4267" xr:uid="{00000000-0004-0000-0100-0000AA100000}"/>
    <hyperlink ref="I6346" r:id="rId4268" xr:uid="{00000000-0004-0000-0100-0000AB100000}"/>
    <hyperlink ref="I6347" r:id="rId4269" xr:uid="{00000000-0004-0000-0100-0000AC100000}"/>
    <hyperlink ref="I6348" r:id="rId4270" xr:uid="{00000000-0004-0000-0100-0000AD100000}"/>
    <hyperlink ref="I6349" r:id="rId4271" xr:uid="{00000000-0004-0000-0100-0000AE100000}"/>
    <hyperlink ref="I6350" r:id="rId4272" xr:uid="{00000000-0004-0000-0100-0000AF100000}"/>
    <hyperlink ref="I6351" r:id="rId4273" xr:uid="{00000000-0004-0000-0100-0000B0100000}"/>
    <hyperlink ref="I6352" r:id="rId4274" xr:uid="{00000000-0004-0000-0100-0000B1100000}"/>
    <hyperlink ref="I6353" r:id="rId4275" xr:uid="{00000000-0004-0000-0100-0000B2100000}"/>
    <hyperlink ref="I6354" r:id="rId4276" xr:uid="{00000000-0004-0000-0100-0000B3100000}"/>
    <hyperlink ref="I6355" r:id="rId4277" xr:uid="{00000000-0004-0000-0100-0000B4100000}"/>
    <hyperlink ref="I6356" r:id="rId4278" xr:uid="{00000000-0004-0000-0100-0000B5100000}"/>
    <hyperlink ref="I6357" r:id="rId4279" xr:uid="{00000000-0004-0000-0100-0000B6100000}"/>
    <hyperlink ref="I6358" r:id="rId4280" xr:uid="{00000000-0004-0000-0100-0000B7100000}"/>
    <hyperlink ref="I6359" r:id="rId4281" xr:uid="{00000000-0004-0000-0100-0000B8100000}"/>
    <hyperlink ref="I6360" r:id="rId4282" xr:uid="{00000000-0004-0000-0100-0000B9100000}"/>
    <hyperlink ref="I6361" r:id="rId4283" xr:uid="{00000000-0004-0000-0100-0000BA100000}"/>
    <hyperlink ref="I6362" r:id="rId4284" xr:uid="{00000000-0004-0000-0100-0000BB100000}"/>
    <hyperlink ref="I6363" r:id="rId4285" xr:uid="{00000000-0004-0000-0100-0000BC100000}"/>
    <hyperlink ref="I6364" r:id="rId4286" xr:uid="{00000000-0004-0000-0100-0000BD100000}"/>
    <hyperlink ref="I6365" r:id="rId4287" xr:uid="{00000000-0004-0000-0100-0000BE100000}"/>
    <hyperlink ref="I6366" r:id="rId4288" xr:uid="{00000000-0004-0000-0100-0000BF100000}"/>
    <hyperlink ref="I6367" r:id="rId4289" xr:uid="{00000000-0004-0000-0100-0000C0100000}"/>
    <hyperlink ref="I6368" r:id="rId4290" xr:uid="{00000000-0004-0000-0100-0000C1100000}"/>
    <hyperlink ref="I6369" r:id="rId4291" xr:uid="{00000000-0004-0000-0100-0000C2100000}"/>
    <hyperlink ref="I6370" r:id="rId4292" xr:uid="{00000000-0004-0000-0100-0000C3100000}"/>
    <hyperlink ref="I6371" r:id="rId4293" xr:uid="{00000000-0004-0000-0100-0000C4100000}"/>
    <hyperlink ref="I6372" r:id="rId4294" xr:uid="{00000000-0004-0000-0100-0000C5100000}"/>
    <hyperlink ref="I6373" r:id="rId4295" xr:uid="{00000000-0004-0000-0100-0000C6100000}"/>
    <hyperlink ref="I6374" r:id="rId4296" xr:uid="{00000000-0004-0000-0100-0000C7100000}"/>
    <hyperlink ref="I6375" r:id="rId4297" xr:uid="{00000000-0004-0000-0100-0000C8100000}"/>
    <hyperlink ref="I6376" r:id="rId4298" xr:uid="{00000000-0004-0000-0100-0000C9100000}"/>
    <hyperlink ref="I6377" r:id="rId4299" xr:uid="{00000000-0004-0000-0100-0000CA100000}"/>
    <hyperlink ref="I6378" r:id="rId4300" xr:uid="{00000000-0004-0000-0100-0000CB100000}"/>
    <hyperlink ref="I6379" r:id="rId4301" xr:uid="{00000000-0004-0000-0100-0000CC100000}"/>
    <hyperlink ref="I6380" r:id="rId4302" xr:uid="{00000000-0004-0000-0100-0000CD100000}"/>
    <hyperlink ref="I6381" r:id="rId4303" xr:uid="{00000000-0004-0000-0100-0000CE100000}"/>
    <hyperlink ref="I6382" r:id="rId4304" xr:uid="{00000000-0004-0000-0100-0000CF100000}"/>
    <hyperlink ref="I6383" r:id="rId4305" xr:uid="{00000000-0004-0000-0100-0000D0100000}"/>
    <hyperlink ref="I6384" r:id="rId4306" xr:uid="{00000000-0004-0000-0100-0000D1100000}"/>
    <hyperlink ref="I6385" r:id="rId4307" xr:uid="{00000000-0004-0000-0100-0000D2100000}"/>
    <hyperlink ref="I6386" r:id="rId4308" xr:uid="{00000000-0004-0000-0100-0000D3100000}"/>
    <hyperlink ref="I6387" r:id="rId4309" xr:uid="{00000000-0004-0000-0100-0000D4100000}"/>
    <hyperlink ref="I6388" r:id="rId4310" xr:uid="{00000000-0004-0000-0100-0000D5100000}"/>
    <hyperlink ref="I6389" r:id="rId4311" xr:uid="{00000000-0004-0000-0100-0000D6100000}"/>
    <hyperlink ref="I6390" r:id="rId4312" xr:uid="{00000000-0004-0000-0100-0000D7100000}"/>
    <hyperlink ref="I6391" r:id="rId4313" xr:uid="{00000000-0004-0000-0100-0000D8100000}"/>
    <hyperlink ref="I6392" r:id="rId4314" xr:uid="{00000000-0004-0000-0100-0000D9100000}"/>
    <hyperlink ref="I6393" r:id="rId4315" xr:uid="{00000000-0004-0000-0100-0000DA100000}"/>
    <hyperlink ref="I6394" r:id="rId4316" xr:uid="{00000000-0004-0000-0100-0000DB100000}"/>
    <hyperlink ref="I6395" r:id="rId4317" xr:uid="{00000000-0004-0000-0100-0000DC100000}"/>
    <hyperlink ref="I6396" r:id="rId4318" xr:uid="{00000000-0004-0000-0100-0000DD100000}"/>
    <hyperlink ref="I6397" r:id="rId4319" xr:uid="{00000000-0004-0000-0100-0000DE100000}"/>
    <hyperlink ref="I6398" r:id="rId4320" xr:uid="{00000000-0004-0000-0100-0000DF100000}"/>
    <hyperlink ref="I6399" r:id="rId4321" xr:uid="{00000000-0004-0000-0100-0000E0100000}"/>
    <hyperlink ref="I6400" r:id="rId4322" xr:uid="{00000000-0004-0000-0100-0000E1100000}"/>
    <hyperlink ref="I6401" r:id="rId4323" xr:uid="{00000000-0004-0000-0100-0000E2100000}"/>
    <hyperlink ref="I6402" r:id="rId4324" xr:uid="{00000000-0004-0000-0100-0000E3100000}"/>
    <hyperlink ref="I6403" r:id="rId4325" xr:uid="{00000000-0004-0000-0100-0000E4100000}"/>
    <hyperlink ref="I6404" r:id="rId4326" xr:uid="{00000000-0004-0000-0100-0000E5100000}"/>
    <hyperlink ref="I6405" r:id="rId4327" xr:uid="{00000000-0004-0000-0100-0000E6100000}"/>
    <hyperlink ref="I6406" r:id="rId4328" xr:uid="{00000000-0004-0000-0100-0000E7100000}"/>
    <hyperlink ref="I6407" r:id="rId4329" xr:uid="{00000000-0004-0000-0100-0000E8100000}"/>
    <hyperlink ref="I6408" r:id="rId4330" xr:uid="{00000000-0004-0000-0100-0000E9100000}"/>
    <hyperlink ref="I6409" r:id="rId4331" xr:uid="{00000000-0004-0000-0100-0000EA100000}"/>
    <hyperlink ref="I6410" r:id="rId4332" xr:uid="{00000000-0004-0000-0100-0000EB100000}"/>
    <hyperlink ref="I6411" r:id="rId4333" xr:uid="{00000000-0004-0000-0100-0000EC100000}"/>
    <hyperlink ref="I6412" r:id="rId4334" xr:uid="{00000000-0004-0000-0100-0000ED100000}"/>
    <hyperlink ref="I6413" r:id="rId4335" xr:uid="{00000000-0004-0000-0100-0000EE100000}"/>
    <hyperlink ref="I6414" r:id="rId4336" xr:uid="{00000000-0004-0000-0100-0000EF100000}"/>
    <hyperlink ref="I6415" r:id="rId4337" xr:uid="{00000000-0004-0000-0100-0000F0100000}"/>
    <hyperlink ref="I6416" r:id="rId4338" xr:uid="{00000000-0004-0000-0100-0000F1100000}"/>
    <hyperlink ref="I6417" r:id="rId4339" xr:uid="{00000000-0004-0000-0100-0000F2100000}"/>
    <hyperlink ref="I6418" r:id="rId4340" xr:uid="{00000000-0004-0000-0100-0000F3100000}"/>
    <hyperlink ref="I6419" r:id="rId4341" xr:uid="{00000000-0004-0000-0100-0000F4100000}"/>
    <hyperlink ref="I6420" r:id="rId4342" xr:uid="{00000000-0004-0000-0100-0000F5100000}"/>
    <hyperlink ref="I6421" r:id="rId4343" xr:uid="{00000000-0004-0000-0100-0000F6100000}"/>
    <hyperlink ref="I6422" r:id="rId4344" xr:uid="{00000000-0004-0000-0100-0000F7100000}"/>
    <hyperlink ref="I6423" r:id="rId4345" xr:uid="{00000000-0004-0000-0100-0000F8100000}"/>
    <hyperlink ref="I6424" r:id="rId4346" xr:uid="{00000000-0004-0000-0100-0000F9100000}"/>
    <hyperlink ref="I6425" r:id="rId4347" xr:uid="{00000000-0004-0000-0100-0000FA100000}"/>
    <hyperlink ref="I6426" r:id="rId4348" xr:uid="{00000000-0004-0000-0100-0000FB100000}"/>
    <hyperlink ref="I6427" r:id="rId4349" xr:uid="{00000000-0004-0000-0100-0000FC100000}"/>
    <hyperlink ref="I6428" r:id="rId4350" xr:uid="{00000000-0004-0000-0100-0000FD100000}"/>
    <hyperlink ref="I6429" r:id="rId4351" xr:uid="{00000000-0004-0000-0100-0000FE100000}"/>
    <hyperlink ref="I6430" r:id="rId4352" xr:uid="{00000000-0004-0000-0100-0000FF100000}"/>
    <hyperlink ref="I6431" r:id="rId4353" xr:uid="{00000000-0004-0000-0100-000000110000}"/>
    <hyperlink ref="I6432" r:id="rId4354" xr:uid="{00000000-0004-0000-0100-000001110000}"/>
    <hyperlink ref="I6433" r:id="rId4355" xr:uid="{00000000-0004-0000-0100-000002110000}"/>
    <hyperlink ref="I6434" r:id="rId4356" xr:uid="{00000000-0004-0000-0100-000003110000}"/>
    <hyperlink ref="I6435" r:id="rId4357" xr:uid="{00000000-0004-0000-0100-000004110000}"/>
    <hyperlink ref="I6436" r:id="rId4358" xr:uid="{00000000-0004-0000-0100-000005110000}"/>
    <hyperlink ref="I6437" r:id="rId4359" xr:uid="{00000000-0004-0000-0100-000006110000}"/>
    <hyperlink ref="I6438" r:id="rId4360" xr:uid="{00000000-0004-0000-0100-000007110000}"/>
    <hyperlink ref="I6439" r:id="rId4361" xr:uid="{00000000-0004-0000-0100-000008110000}"/>
    <hyperlink ref="I6440" r:id="rId4362" xr:uid="{00000000-0004-0000-0100-000009110000}"/>
    <hyperlink ref="I6441" r:id="rId4363" xr:uid="{00000000-0004-0000-0100-00000A110000}"/>
    <hyperlink ref="I6442" r:id="rId4364" xr:uid="{00000000-0004-0000-0100-00000B110000}"/>
    <hyperlink ref="I6443" r:id="rId4365" xr:uid="{00000000-0004-0000-0100-00000C110000}"/>
    <hyperlink ref="I6444" r:id="rId4366" xr:uid="{00000000-0004-0000-0100-00000D110000}"/>
    <hyperlink ref="I6445" r:id="rId4367" xr:uid="{00000000-0004-0000-0100-00000E110000}"/>
    <hyperlink ref="I6446" r:id="rId4368" xr:uid="{00000000-0004-0000-0100-00000F110000}"/>
    <hyperlink ref="I6447" r:id="rId4369" xr:uid="{00000000-0004-0000-0100-000010110000}"/>
    <hyperlink ref="I6448" r:id="rId4370" xr:uid="{00000000-0004-0000-0100-000011110000}"/>
    <hyperlink ref="I6449" r:id="rId4371" xr:uid="{00000000-0004-0000-0100-000012110000}"/>
    <hyperlink ref="I6450" r:id="rId4372" xr:uid="{00000000-0004-0000-0100-000013110000}"/>
    <hyperlink ref="I6451" r:id="rId4373" xr:uid="{00000000-0004-0000-0100-000014110000}"/>
    <hyperlink ref="I6452" r:id="rId4374" xr:uid="{00000000-0004-0000-0100-000015110000}"/>
    <hyperlink ref="I6453" r:id="rId4375" xr:uid="{00000000-0004-0000-0100-000016110000}"/>
    <hyperlink ref="I6454" r:id="rId4376" xr:uid="{00000000-0004-0000-0100-000017110000}"/>
    <hyperlink ref="I6455" r:id="rId4377" xr:uid="{00000000-0004-0000-0100-000018110000}"/>
    <hyperlink ref="I6456" r:id="rId4378" xr:uid="{00000000-0004-0000-0100-000019110000}"/>
    <hyperlink ref="I6457" r:id="rId4379" xr:uid="{00000000-0004-0000-0100-00001A110000}"/>
    <hyperlink ref="I6458" r:id="rId4380" xr:uid="{00000000-0004-0000-0100-00001B110000}"/>
    <hyperlink ref="I6459" r:id="rId4381" xr:uid="{00000000-0004-0000-0100-00001C110000}"/>
    <hyperlink ref="I6460" r:id="rId4382" xr:uid="{00000000-0004-0000-0100-00001D110000}"/>
    <hyperlink ref="I6461" r:id="rId4383" xr:uid="{00000000-0004-0000-0100-00001E110000}"/>
    <hyperlink ref="I6462" r:id="rId4384" xr:uid="{00000000-0004-0000-0100-00001F110000}"/>
    <hyperlink ref="I6463" r:id="rId4385" xr:uid="{00000000-0004-0000-0100-000020110000}"/>
    <hyperlink ref="I6464" r:id="rId4386" xr:uid="{00000000-0004-0000-0100-000021110000}"/>
    <hyperlink ref="I6465" r:id="rId4387" xr:uid="{00000000-0004-0000-0100-000022110000}"/>
    <hyperlink ref="I6466" r:id="rId4388" xr:uid="{00000000-0004-0000-0100-000023110000}"/>
    <hyperlink ref="I6467" r:id="rId4389" xr:uid="{00000000-0004-0000-0100-000024110000}"/>
    <hyperlink ref="I6468" r:id="rId4390" xr:uid="{00000000-0004-0000-0100-000025110000}"/>
    <hyperlink ref="I6469" r:id="rId4391" xr:uid="{00000000-0004-0000-0100-000026110000}"/>
    <hyperlink ref="I6470" r:id="rId4392" xr:uid="{00000000-0004-0000-0100-000027110000}"/>
    <hyperlink ref="I6471" r:id="rId4393" xr:uid="{00000000-0004-0000-0100-000028110000}"/>
    <hyperlink ref="I6472" r:id="rId4394" xr:uid="{00000000-0004-0000-0100-000029110000}"/>
    <hyperlink ref="I6473" r:id="rId4395" xr:uid="{00000000-0004-0000-0100-00002A110000}"/>
    <hyperlink ref="I6474" r:id="rId4396" xr:uid="{00000000-0004-0000-0100-00002B110000}"/>
    <hyperlink ref="I6475" r:id="rId4397" xr:uid="{00000000-0004-0000-0100-00002C110000}"/>
    <hyperlink ref="I6476" r:id="rId4398" xr:uid="{00000000-0004-0000-0100-00002D110000}"/>
    <hyperlink ref="I6477" r:id="rId4399" xr:uid="{00000000-0004-0000-0100-00002E110000}"/>
    <hyperlink ref="I6478" r:id="rId4400" xr:uid="{00000000-0004-0000-0100-00002F110000}"/>
    <hyperlink ref="I6479" r:id="rId4401" xr:uid="{00000000-0004-0000-0100-000030110000}"/>
    <hyperlink ref="I6480" r:id="rId4402" xr:uid="{00000000-0004-0000-0100-000031110000}"/>
    <hyperlink ref="I6481" r:id="rId4403" xr:uid="{00000000-0004-0000-0100-000032110000}"/>
    <hyperlink ref="I6482" r:id="rId4404" xr:uid="{00000000-0004-0000-0100-000033110000}"/>
    <hyperlink ref="I6483" r:id="rId4405" xr:uid="{00000000-0004-0000-0100-000034110000}"/>
    <hyperlink ref="I6484" r:id="rId4406" xr:uid="{00000000-0004-0000-0100-000035110000}"/>
    <hyperlink ref="I6485" r:id="rId4407" xr:uid="{00000000-0004-0000-0100-000036110000}"/>
    <hyperlink ref="I6486" r:id="rId4408" xr:uid="{00000000-0004-0000-0100-000037110000}"/>
    <hyperlink ref="I6487" r:id="rId4409" xr:uid="{00000000-0004-0000-0100-000038110000}"/>
    <hyperlink ref="I6488" r:id="rId4410" xr:uid="{00000000-0004-0000-0100-000039110000}"/>
    <hyperlink ref="I6489" r:id="rId4411" xr:uid="{00000000-0004-0000-0100-00003A110000}"/>
    <hyperlink ref="I6490" r:id="rId4412" xr:uid="{00000000-0004-0000-0100-00003B110000}"/>
    <hyperlink ref="I6491" r:id="rId4413" xr:uid="{00000000-0004-0000-0100-00003C110000}"/>
    <hyperlink ref="I6492" r:id="rId4414" xr:uid="{00000000-0004-0000-0100-00003D110000}"/>
    <hyperlink ref="I6493" r:id="rId4415" xr:uid="{00000000-0004-0000-0100-00003E110000}"/>
    <hyperlink ref="I6494" r:id="rId4416" xr:uid="{00000000-0004-0000-0100-00003F110000}"/>
    <hyperlink ref="I6495" r:id="rId4417" xr:uid="{00000000-0004-0000-0100-000040110000}"/>
    <hyperlink ref="I6496" r:id="rId4418" xr:uid="{00000000-0004-0000-0100-000041110000}"/>
    <hyperlink ref="I6497" r:id="rId4419" xr:uid="{00000000-0004-0000-0100-000042110000}"/>
    <hyperlink ref="I6498" r:id="rId4420" xr:uid="{00000000-0004-0000-0100-000043110000}"/>
    <hyperlink ref="I6499" r:id="rId4421" xr:uid="{00000000-0004-0000-0100-000044110000}"/>
    <hyperlink ref="I6500" r:id="rId4422" xr:uid="{00000000-0004-0000-0100-000045110000}"/>
    <hyperlink ref="I6501" r:id="rId4423" xr:uid="{00000000-0004-0000-0100-000046110000}"/>
    <hyperlink ref="I6502" r:id="rId4424" xr:uid="{00000000-0004-0000-0100-000047110000}"/>
    <hyperlink ref="I6503" r:id="rId4425" xr:uid="{00000000-0004-0000-0100-000048110000}"/>
    <hyperlink ref="I6504" r:id="rId4426" xr:uid="{00000000-0004-0000-0100-000049110000}"/>
    <hyperlink ref="I6505" r:id="rId4427" xr:uid="{00000000-0004-0000-0100-00004A110000}"/>
    <hyperlink ref="I6506" r:id="rId4428" xr:uid="{00000000-0004-0000-0100-00004B110000}"/>
    <hyperlink ref="I6507" r:id="rId4429" xr:uid="{00000000-0004-0000-0100-00004C110000}"/>
    <hyperlink ref="I6508" r:id="rId4430" xr:uid="{00000000-0004-0000-0100-00004D110000}"/>
    <hyperlink ref="I6509" r:id="rId4431" xr:uid="{00000000-0004-0000-0100-00004E110000}"/>
    <hyperlink ref="I6510" r:id="rId4432" xr:uid="{00000000-0004-0000-0100-00004F110000}"/>
    <hyperlink ref="I6511" r:id="rId4433" xr:uid="{00000000-0004-0000-0100-000050110000}"/>
    <hyperlink ref="I6512" r:id="rId4434" xr:uid="{00000000-0004-0000-0100-000051110000}"/>
    <hyperlink ref="I6513" r:id="rId4435" xr:uid="{00000000-0004-0000-0100-000052110000}"/>
    <hyperlink ref="I6514" r:id="rId4436" xr:uid="{00000000-0004-0000-0100-000053110000}"/>
    <hyperlink ref="I6515" r:id="rId4437" xr:uid="{00000000-0004-0000-0100-000054110000}"/>
    <hyperlink ref="I6516" r:id="rId4438" xr:uid="{00000000-0004-0000-0100-000055110000}"/>
    <hyperlink ref="I6517" r:id="rId4439" xr:uid="{00000000-0004-0000-0100-000056110000}"/>
    <hyperlink ref="I6518" r:id="rId4440" xr:uid="{00000000-0004-0000-0100-000057110000}"/>
    <hyperlink ref="I6519" r:id="rId4441" xr:uid="{00000000-0004-0000-0100-000058110000}"/>
    <hyperlink ref="I6520" r:id="rId4442" xr:uid="{00000000-0004-0000-0100-000059110000}"/>
    <hyperlink ref="I6521" r:id="rId4443" xr:uid="{00000000-0004-0000-0100-00005A110000}"/>
    <hyperlink ref="I6522" r:id="rId4444" xr:uid="{00000000-0004-0000-0100-00005B110000}"/>
    <hyperlink ref="I6523" r:id="rId4445" xr:uid="{00000000-0004-0000-0100-00005C110000}"/>
    <hyperlink ref="I6524" r:id="rId4446" xr:uid="{00000000-0004-0000-0100-00005D110000}"/>
    <hyperlink ref="I6525" r:id="rId4447" xr:uid="{00000000-0004-0000-0100-00005E110000}"/>
    <hyperlink ref="I6526" r:id="rId4448" xr:uid="{00000000-0004-0000-0100-00005F110000}"/>
    <hyperlink ref="I6527" r:id="rId4449" xr:uid="{00000000-0004-0000-0100-000060110000}"/>
    <hyperlink ref="I6528" r:id="rId4450" xr:uid="{00000000-0004-0000-0100-000061110000}"/>
    <hyperlink ref="I6529" r:id="rId4451" xr:uid="{00000000-0004-0000-0100-000062110000}"/>
    <hyperlink ref="I6530" r:id="rId4452" xr:uid="{00000000-0004-0000-0100-000063110000}"/>
    <hyperlink ref="I6531" r:id="rId4453" xr:uid="{00000000-0004-0000-0100-000064110000}"/>
    <hyperlink ref="I6532" r:id="rId4454" xr:uid="{00000000-0004-0000-0100-000065110000}"/>
    <hyperlink ref="I6533" r:id="rId4455" xr:uid="{00000000-0004-0000-0100-000066110000}"/>
    <hyperlink ref="I6534" r:id="rId4456" xr:uid="{00000000-0004-0000-0100-000067110000}"/>
    <hyperlink ref="I6535" r:id="rId4457" xr:uid="{00000000-0004-0000-0100-000068110000}"/>
    <hyperlink ref="I6536" r:id="rId4458" xr:uid="{00000000-0004-0000-0100-000069110000}"/>
    <hyperlink ref="I6537" r:id="rId4459" xr:uid="{00000000-0004-0000-0100-00006A110000}"/>
    <hyperlink ref="I6538" r:id="rId4460" xr:uid="{00000000-0004-0000-0100-00006B110000}"/>
    <hyperlink ref="I6539" r:id="rId4461" xr:uid="{00000000-0004-0000-0100-00006C110000}"/>
    <hyperlink ref="I6540" r:id="rId4462" xr:uid="{00000000-0004-0000-0100-00006D110000}"/>
    <hyperlink ref="I6541" r:id="rId4463" xr:uid="{00000000-0004-0000-0100-00006E110000}"/>
    <hyperlink ref="I6542" r:id="rId4464" xr:uid="{00000000-0004-0000-0100-00006F110000}"/>
    <hyperlink ref="I6543" r:id="rId4465" xr:uid="{00000000-0004-0000-0100-000070110000}"/>
    <hyperlink ref="I6544" r:id="rId4466" xr:uid="{00000000-0004-0000-0100-000071110000}"/>
    <hyperlink ref="I6545" r:id="rId4467" xr:uid="{00000000-0004-0000-0100-000072110000}"/>
    <hyperlink ref="I6546" r:id="rId4468" xr:uid="{00000000-0004-0000-0100-000073110000}"/>
    <hyperlink ref="I6547" r:id="rId4469" xr:uid="{00000000-0004-0000-0100-000074110000}"/>
    <hyperlink ref="I6548" r:id="rId4470" xr:uid="{00000000-0004-0000-0100-000075110000}"/>
    <hyperlink ref="I6549" r:id="rId4471" xr:uid="{00000000-0004-0000-0100-000076110000}"/>
    <hyperlink ref="I6550" r:id="rId4472" xr:uid="{00000000-0004-0000-0100-000077110000}"/>
    <hyperlink ref="I6551" r:id="rId4473" xr:uid="{00000000-0004-0000-0100-000078110000}"/>
    <hyperlink ref="I6552" r:id="rId4474" xr:uid="{00000000-0004-0000-0100-000079110000}"/>
    <hyperlink ref="I6553" r:id="rId4475" xr:uid="{00000000-0004-0000-0100-00007A110000}"/>
    <hyperlink ref="I6554" r:id="rId4476" xr:uid="{00000000-0004-0000-0100-00007B110000}"/>
    <hyperlink ref="I6555" r:id="rId4477" xr:uid="{00000000-0004-0000-0100-00007C110000}"/>
    <hyperlink ref="I6556" r:id="rId4478" xr:uid="{00000000-0004-0000-0100-00007D110000}"/>
    <hyperlink ref="I6557" r:id="rId4479" xr:uid="{00000000-0004-0000-0100-00007E110000}"/>
    <hyperlink ref="I6558" r:id="rId4480" xr:uid="{00000000-0004-0000-0100-00007F110000}"/>
    <hyperlink ref="I6559" r:id="rId4481" xr:uid="{00000000-0004-0000-0100-000080110000}"/>
    <hyperlink ref="I6560" r:id="rId4482" xr:uid="{00000000-0004-0000-0100-000081110000}"/>
    <hyperlink ref="I6561" r:id="rId4483" xr:uid="{00000000-0004-0000-0100-000082110000}"/>
    <hyperlink ref="I6562" r:id="rId4484" xr:uid="{00000000-0004-0000-0100-000083110000}"/>
    <hyperlink ref="I6563" r:id="rId4485" xr:uid="{00000000-0004-0000-0100-000084110000}"/>
    <hyperlink ref="I6564" r:id="rId4486" xr:uid="{00000000-0004-0000-0100-000085110000}"/>
    <hyperlink ref="I6565" r:id="rId4487" xr:uid="{00000000-0004-0000-0100-000086110000}"/>
    <hyperlink ref="I6566" r:id="rId4488" xr:uid="{00000000-0004-0000-0100-000087110000}"/>
    <hyperlink ref="I6567" r:id="rId4489" xr:uid="{00000000-0004-0000-0100-000088110000}"/>
    <hyperlink ref="I6568" r:id="rId4490" xr:uid="{00000000-0004-0000-0100-000089110000}"/>
    <hyperlink ref="I6569" r:id="rId4491" xr:uid="{00000000-0004-0000-0100-00008A110000}"/>
    <hyperlink ref="I6570" r:id="rId4492" xr:uid="{00000000-0004-0000-0100-00008B110000}"/>
    <hyperlink ref="I6571" r:id="rId4493" xr:uid="{00000000-0004-0000-0100-00008C110000}"/>
    <hyperlink ref="I6572" r:id="rId4494" xr:uid="{00000000-0004-0000-0100-00008D110000}"/>
    <hyperlink ref="I6573" r:id="rId4495" xr:uid="{00000000-0004-0000-0100-00008E110000}"/>
    <hyperlink ref="I6574" r:id="rId4496" xr:uid="{00000000-0004-0000-0100-00008F110000}"/>
    <hyperlink ref="I6575" r:id="rId4497" xr:uid="{00000000-0004-0000-0100-000090110000}"/>
    <hyperlink ref="I6576" r:id="rId4498" xr:uid="{00000000-0004-0000-0100-000091110000}"/>
    <hyperlink ref="I6577" r:id="rId4499" xr:uid="{00000000-0004-0000-0100-000092110000}"/>
    <hyperlink ref="I6578" r:id="rId4500" xr:uid="{00000000-0004-0000-0100-000093110000}"/>
    <hyperlink ref="I6579" r:id="rId4501" xr:uid="{00000000-0004-0000-0100-000094110000}"/>
    <hyperlink ref="I6580" r:id="rId4502" xr:uid="{00000000-0004-0000-0100-000095110000}"/>
    <hyperlink ref="I6581" r:id="rId4503" xr:uid="{00000000-0004-0000-0100-000096110000}"/>
    <hyperlink ref="I6582" r:id="rId4504" xr:uid="{00000000-0004-0000-0100-000097110000}"/>
    <hyperlink ref="I6583" r:id="rId4505" xr:uid="{00000000-0004-0000-0100-000098110000}"/>
    <hyperlink ref="I6584" r:id="rId4506" xr:uid="{00000000-0004-0000-0100-000099110000}"/>
    <hyperlink ref="I6585" r:id="rId4507" xr:uid="{00000000-0004-0000-0100-00009A110000}"/>
    <hyperlink ref="I6586" r:id="rId4508" xr:uid="{00000000-0004-0000-0100-00009B110000}"/>
    <hyperlink ref="I6587" r:id="rId4509" xr:uid="{00000000-0004-0000-0100-00009C110000}"/>
    <hyperlink ref="I6588" r:id="rId4510" xr:uid="{00000000-0004-0000-0100-00009D110000}"/>
    <hyperlink ref="I6589" r:id="rId4511" xr:uid="{00000000-0004-0000-0100-00009E110000}"/>
    <hyperlink ref="I6590" r:id="rId4512" xr:uid="{00000000-0004-0000-0100-00009F110000}"/>
    <hyperlink ref="I6591" r:id="rId4513" xr:uid="{00000000-0004-0000-0100-0000A0110000}"/>
    <hyperlink ref="I6592" r:id="rId4514" xr:uid="{00000000-0004-0000-0100-0000A1110000}"/>
    <hyperlink ref="I6593" r:id="rId4515" xr:uid="{00000000-0004-0000-0100-0000A2110000}"/>
    <hyperlink ref="I6594" r:id="rId4516" xr:uid="{00000000-0004-0000-0100-0000A3110000}"/>
    <hyperlink ref="I6595" r:id="rId4517" xr:uid="{00000000-0004-0000-0100-0000A4110000}"/>
    <hyperlink ref="I6596" r:id="rId4518" xr:uid="{00000000-0004-0000-0100-0000A5110000}"/>
    <hyperlink ref="I6597" r:id="rId4519" xr:uid="{00000000-0004-0000-0100-0000A6110000}"/>
    <hyperlink ref="I6598" r:id="rId4520" xr:uid="{00000000-0004-0000-0100-0000A7110000}"/>
    <hyperlink ref="I6599" r:id="rId4521" xr:uid="{00000000-0004-0000-0100-0000A8110000}"/>
    <hyperlink ref="I6600" r:id="rId4522" xr:uid="{00000000-0004-0000-0100-0000A9110000}"/>
    <hyperlink ref="I6601" r:id="rId4523" xr:uid="{00000000-0004-0000-0100-0000AA110000}"/>
    <hyperlink ref="I6602" r:id="rId4524" xr:uid="{00000000-0004-0000-0100-0000AB110000}"/>
    <hyperlink ref="I6603" r:id="rId4525" xr:uid="{00000000-0004-0000-0100-0000AC110000}"/>
    <hyperlink ref="I6604" r:id="rId4526" xr:uid="{00000000-0004-0000-0100-0000AD110000}"/>
    <hyperlink ref="I6605" r:id="rId4527" xr:uid="{00000000-0004-0000-0100-0000AE110000}"/>
    <hyperlink ref="I6606" r:id="rId4528" xr:uid="{00000000-0004-0000-0100-0000AF110000}"/>
    <hyperlink ref="I6607" r:id="rId4529" xr:uid="{00000000-0004-0000-0100-0000B0110000}"/>
    <hyperlink ref="I6608" r:id="rId4530" xr:uid="{00000000-0004-0000-0100-0000B1110000}"/>
    <hyperlink ref="I6609" r:id="rId4531" xr:uid="{00000000-0004-0000-0100-0000B2110000}"/>
    <hyperlink ref="I6610" r:id="rId4532" xr:uid="{00000000-0004-0000-0100-0000B3110000}"/>
    <hyperlink ref="I6611" r:id="rId4533" xr:uid="{00000000-0004-0000-0100-0000B4110000}"/>
    <hyperlink ref="I6612" r:id="rId4534" xr:uid="{00000000-0004-0000-0100-0000B5110000}"/>
    <hyperlink ref="I6613" r:id="rId4535" xr:uid="{00000000-0004-0000-0100-0000B6110000}"/>
    <hyperlink ref="I6614" r:id="rId4536" xr:uid="{00000000-0004-0000-0100-0000B7110000}"/>
    <hyperlink ref="I6615" r:id="rId4537" xr:uid="{00000000-0004-0000-0100-0000B8110000}"/>
    <hyperlink ref="I6616" r:id="rId4538" xr:uid="{00000000-0004-0000-0100-0000B9110000}"/>
    <hyperlink ref="I6617" r:id="rId4539" xr:uid="{00000000-0004-0000-0100-0000BA110000}"/>
    <hyperlink ref="I6618" r:id="rId4540" xr:uid="{00000000-0004-0000-0100-0000BB110000}"/>
    <hyperlink ref="I6619" r:id="rId4541" xr:uid="{00000000-0004-0000-0100-0000BC110000}"/>
    <hyperlink ref="I6620" r:id="rId4542" xr:uid="{00000000-0004-0000-0100-0000BD110000}"/>
    <hyperlink ref="I6621" r:id="rId4543" xr:uid="{00000000-0004-0000-0100-0000BE110000}"/>
    <hyperlink ref="I6622" r:id="rId4544" xr:uid="{00000000-0004-0000-0100-0000BF110000}"/>
    <hyperlink ref="I6623" r:id="rId4545" xr:uid="{00000000-0004-0000-0100-0000C0110000}"/>
    <hyperlink ref="I6624" r:id="rId4546" xr:uid="{00000000-0004-0000-0100-0000C1110000}"/>
    <hyperlink ref="I6625" r:id="rId4547" xr:uid="{00000000-0004-0000-0100-0000C2110000}"/>
    <hyperlink ref="I6626" r:id="rId4548" xr:uid="{00000000-0004-0000-0100-0000C3110000}"/>
    <hyperlink ref="I6627" r:id="rId4549" xr:uid="{00000000-0004-0000-0100-0000C4110000}"/>
    <hyperlink ref="I6628" r:id="rId4550" xr:uid="{00000000-0004-0000-0100-0000C5110000}"/>
    <hyperlink ref="I6629" r:id="rId4551" xr:uid="{00000000-0004-0000-0100-0000C6110000}"/>
    <hyperlink ref="I6630" r:id="rId4552" xr:uid="{00000000-0004-0000-0100-0000C7110000}"/>
    <hyperlink ref="I6631" r:id="rId4553" xr:uid="{00000000-0004-0000-0100-0000C8110000}"/>
    <hyperlink ref="I6632" r:id="rId4554" xr:uid="{00000000-0004-0000-0100-0000C9110000}"/>
    <hyperlink ref="I6633" r:id="rId4555" xr:uid="{00000000-0004-0000-0100-0000CA110000}"/>
    <hyperlink ref="I6634" r:id="rId4556" xr:uid="{00000000-0004-0000-0100-0000CB110000}"/>
    <hyperlink ref="I6635" r:id="rId4557" xr:uid="{00000000-0004-0000-0100-0000CC110000}"/>
    <hyperlink ref="I6636" r:id="rId4558" xr:uid="{00000000-0004-0000-0100-0000CD110000}"/>
    <hyperlink ref="I6637" r:id="rId4559" xr:uid="{00000000-0004-0000-0100-0000CE110000}"/>
    <hyperlink ref="I6638" r:id="rId4560" xr:uid="{00000000-0004-0000-0100-0000CF110000}"/>
    <hyperlink ref="I6639" r:id="rId4561" xr:uid="{00000000-0004-0000-0100-0000D0110000}"/>
    <hyperlink ref="I6640" r:id="rId4562" xr:uid="{00000000-0004-0000-0100-0000D1110000}"/>
    <hyperlink ref="I6641" r:id="rId4563" xr:uid="{00000000-0004-0000-0100-0000D2110000}"/>
    <hyperlink ref="I6642" r:id="rId4564" xr:uid="{00000000-0004-0000-0100-0000D3110000}"/>
    <hyperlink ref="I6643" r:id="rId4565" xr:uid="{00000000-0004-0000-0100-0000D4110000}"/>
    <hyperlink ref="I6644" r:id="rId4566" xr:uid="{00000000-0004-0000-0100-0000D5110000}"/>
    <hyperlink ref="I6645" r:id="rId4567" xr:uid="{00000000-0004-0000-0100-0000D6110000}"/>
    <hyperlink ref="I6646" r:id="rId4568" xr:uid="{00000000-0004-0000-0100-0000D7110000}"/>
    <hyperlink ref="I6647" r:id="rId4569" xr:uid="{00000000-0004-0000-0100-0000D8110000}"/>
    <hyperlink ref="I6648" r:id="rId4570" xr:uid="{00000000-0004-0000-0100-0000D9110000}"/>
    <hyperlink ref="I6649" r:id="rId4571" xr:uid="{00000000-0004-0000-0100-0000DA110000}"/>
    <hyperlink ref="I6650" r:id="rId4572" xr:uid="{00000000-0004-0000-0100-0000DB110000}"/>
    <hyperlink ref="I6651" r:id="rId4573" xr:uid="{00000000-0004-0000-0100-0000DC110000}"/>
    <hyperlink ref="I6652" r:id="rId4574" xr:uid="{00000000-0004-0000-0100-0000DD110000}"/>
    <hyperlink ref="I6653" r:id="rId4575" xr:uid="{00000000-0004-0000-0100-0000DE110000}"/>
    <hyperlink ref="I6654" r:id="rId4576" xr:uid="{00000000-0004-0000-0100-0000DF110000}"/>
    <hyperlink ref="I6655" r:id="rId4577" xr:uid="{00000000-0004-0000-0100-0000E0110000}"/>
    <hyperlink ref="I6656" r:id="rId4578" xr:uid="{00000000-0004-0000-0100-0000E1110000}"/>
    <hyperlink ref="I6657" r:id="rId4579" xr:uid="{00000000-0004-0000-0100-0000E2110000}"/>
    <hyperlink ref="I6658" r:id="rId4580" xr:uid="{00000000-0004-0000-0100-0000E3110000}"/>
    <hyperlink ref="I6659" r:id="rId4581" xr:uid="{00000000-0004-0000-0100-0000E4110000}"/>
    <hyperlink ref="I6660" r:id="rId4582" xr:uid="{00000000-0004-0000-0100-0000E5110000}"/>
    <hyperlink ref="I6661" r:id="rId4583" xr:uid="{00000000-0004-0000-0100-0000E6110000}"/>
    <hyperlink ref="I6662" r:id="rId4584" xr:uid="{00000000-0004-0000-0100-0000E7110000}"/>
    <hyperlink ref="I6663" r:id="rId4585" xr:uid="{00000000-0004-0000-0100-0000E8110000}"/>
    <hyperlink ref="I6664" r:id="rId4586" xr:uid="{00000000-0004-0000-0100-0000E9110000}"/>
    <hyperlink ref="I6665" r:id="rId4587" xr:uid="{00000000-0004-0000-0100-0000EA110000}"/>
    <hyperlink ref="I6666" r:id="rId4588" xr:uid="{00000000-0004-0000-0100-0000EB110000}"/>
    <hyperlink ref="I6667" r:id="rId4589" xr:uid="{00000000-0004-0000-0100-0000EC110000}"/>
    <hyperlink ref="I6668" r:id="rId4590" xr:uid="{00000000-0004-0000-0100-0000ED110000}"/>
    <hyperlink ref="I6669" r:id="rId4591" xr:uid="{00000000-0004-0000-0100-0000EE110000}"/>
    <hyperlink ref="I6670" r:id="rId4592" xr:uid="{00000000-0004-0000-0100-0000EF110000}"/>
    <hyperlink ref="I6671" r:id="rId4593" xr:uid="{00000000-0004-0000-0100-0000F0110000}"/>
    <hyperlink ref="I6672" r:id="rId4594" xr:uid="{00000000-0004-0000-0100-0000F1110000}"/>
    <hyperlink ref="I6673" r:id="rId4595" xr:uid="{00000000-0004-0000-0100-0000F2110000}"/>
    <hyperlink ref="I6674" r:id="rId4596" xr:uid="{00000000-0004-0000-0100-0000F3110000}"/>
    <hyperlink ref="I6675" r:id="rId4597" xr:uid="{00000000-0004-0000-0100-0000F4110000}"/>
    <hyperlink ref="I6676" r:id="rId4598" xr:uid="{00000000-0004-0000-0100-0000F5110000}"/>
    <hyperlink ref="I6677" r:id="rId4599" xr:uid="{00000000-0004-0000-0100-0000F6110000}"/>
    <hyperlink ref="I6678" r:id="rId4600" xr:uid="{00000000-0004-0000-0100-0000F7110000}"/>
    <hyperlink ref="I6679" r:id="rId4601" xr:uid="{00000000-0004-0000-0100-0000F8110000}"/>
    <hyperlink ref="I6680" r:id="rId4602" xr:uid="{00000000-0004-0000-0100-0000F9110000}"/>
    <hyperlink ref="I6681" r:id="rId4603" xr:uid="{00000000-0004-0000-0100-0000FA110000}"/>
    <hyperlink ref="I6682" r:id="rId4604" xr:uid="{00000000-0004-0000-0100-0000FB110000}"/>
    <hyperlink ref="I6683" r:id="rId4605" xr:uid="{00000000-0004-0000-0100-0000FC110000}"/>
    <hyperlink ref="I6684" r:id="rId4606" xr:uid="{00000000-0004-0000-0100-0000FD110000}"/>
    <hyperlink ref="I6685" r:id="rId4607" xr:uid="{00000000-0004-0000-0100-0000FE110000}"/>
    <hyperlink ref="I6686" r:id="rId4608" xr:uid="{00000000-0004-0000-0100-0000FF110000}"/>
    <hyperlink ref="I6687" r:id="rId4609" xr:uid="{00000000-0004-0000-0100-000000120000}"/>
    <hyperlink ref="I6688" r:id="rId4610" xr:uid="{00000000-0004-0000-0100-000001120000}"/>
    <hyperlink ref="I6689" r:id="rId4611" xr:uid="{00000000-0004-0000-0100-000002120000}"/>
    <hyperlink ref="I6690" r:id="rId4612" xr:uid="{00000000-0004-0000-0100-000003120000}"/>
    <hyperlink ref="I6691" r:id="rId4613" xr:uid="{00000000-0004-0000-0100-000004120000}"/>
    <hyperlink ref="I6692" r:id="rId4614" xr:uid="{00000000-0004-0000-0100-000005120000}"/>
    <hyperlink ref="I6693" r:id="rId4615" xr:uid="{00000000-0004-0000-0100-000006120000}"/>
    <hyperlink ref="I6694" r:id="rId4616" xr:uid="{00000000-0004-0000-0100-000007120000}"/>
    <hyperlink ref="I6695" r:id="rId4617" xr:uid="{00000000-0004-0000-0100-000008120000}"/>
    <hyperlink ref="I6696" r:id="rId4618" xr:uid="{00000000-0004-0000-0100-000009120000}"/>
    <hyperlink ref="I6697" r:id="rId4619" xr:uid="{00000000-0004-0000-0100-00000A120000}"/>
    <hyperlink ref="I6698" r:id="rId4620" xr:uid="{00000000-0004-0000-0100-00000B120000}"/>
    <hyperlink ref="I6699" r:id="rId4621" xr:uid="{00000000-0004-0000-0100-00000C120000}"/>
    <hyperlink ref="I6700" r:id="rId4622" xr:uid="{00000000-0004-0000-0100-00000D120000}"/>
    <hyperlink ref="I6701" r:id="rId4623" xr:uid="{00000000-0004-0000-0100-00000E120000}"/>
    <hyperlink ref="I6702" r:id="rId4624" xr:uid="{00000000-0004-0000-0100-00000F120000}"/>
    <hyperlink ref="I6703" r:id="rId4625" xr:uid="{00000000-0004-0000-0100-000010120000}"/>
    <hyperlink ref="I6704" r:id="rId4626" xr:uid="{00000000-0004-0000-0100-000011120000}"/>
    <hyperlink ref="I6705" r:id="rId4627" xr:uid="{00000000-0004-0000-0100-000012120000}"/>
    <hyperlink ref="I6706" r:id="rId4628" xr:uid="{00000000-0004-0000-0100-000013120000}"/>
    <hyperlink ref="I6707" r:id="rId4629" xr:uid="{00000000-0004-0000-0100-000014120000}"/>
    <hyperlink ref="I6708" r:id="rId4630" xr:uid="{00000000-0004-0000-0100-000015120000}"/>
    <hyperlink ref="I6709" r:id="rId4631" xr:uid="{00000000-0004-0000-0100-000016120000}"/>
    <hyperlink ref="I6710" r:id="rId4632" xr:uid="{00000000-0004-0000-0100-000017120000}"/>
    <hyperlink ref="I6711" r:id="rId4633" xr:uid="{00000000-0004-0000-0100-000018120000}"/>
    <hyperlink ref="I6712" r:id="rId4634" xr:uid="{00000000-0004-0000-0100-000019120000}"/>
    <hyperlink ref="I6713" r:id="rId4635" xr:uid="{00000000-0004-0000-0100-00001A120000}"/>
    <hyperlink ref="I6714" r:id="rId4636" xr:uid="{00000000-0004-0000-0100-00001B120000}"/>
    <hyperlink ref="I6715" r:id="rId4637" xr:uid="{00000000-0004-0000-0100-00001C120000}"/>
    <hyperlink ref="I6716" r:id="rId4638" xr:uid="{00000000-0004-0000-0100-00001D120000}"/>
    <hyperlink ref="I6717" r:id="rId4639" xr:uid="{00000000-0004-0000-0100-00001E120000}"/>
    <hyperlink ref="I6718" r:id="rId4640" xr:uid="{00000000-0004-0000-0100-00001F120000}"/>
    <hyperlink ref="I6719" r:id="rId4641" xr:uid="{00000000-0004-0000-0100-000020120000}"/>
    <hyperlink ref="I6720" r:id="rId4642" xr:uid="{00000000-0004-0000-0100-000021120000}"/>
    <hyperlink ref="I6721" r:id="rId4643" xr:uid="{00000000-0004-0000-0100-000022120000}"/>
    <hyperlink ref="I6722" r:id="rId4644" xr:uid="{00000000-0004-0000-0100-000023120000}"/>
    <hyperlink ref="I6723" r:id="rId4645" xr:uid="{00000000-0004-0000-0100-000024120000}"/>
    <hyperlink ref="I6724" r:id="rId4646" xr:uid="{00000000-0004-0000-0100-000025120000}"/>
    <hyperlink ref="I6725" r:id="rId4647" xr:uid="{00000000-0004-0000-0100-000026120000}"/>
    <hyperlink ref="I6726" r:id="rId4648" xr:uid="{00000000-0004-0000-0100-000027120000}"/>
    <hyperlink ref="I6727" r:id="rId4649" xr:uid="{00000000-0004-0000-0100-000028120000}"/>
    <hyperlink ref="I6728" r:id="rId4650" xr:uid="{00000000-0004-0000-0100-000029120000}"/>
    <hyperlink ref="I6729" r:id="rId4651" xr:uid="{00000000-0004-0000-0100-00002A120000}"/>
    <hyperlink ref="I6730" r:id="rId4652" xr:uid="{00000000-0004-0000-0100-00002B120000}"/>
    <hyperlink ref="I6731" r:id="rId4653" xr:uid="{00000000-0004-0000-0100-00002C120000}"/>
    <hyperlink ref="I6732" r:id="rId4654" xr:uid="{00000000-0004-0000-0100-00002D120000}"/>
    <hyperlink ref="I6733" r:id="rId4655" xr:uid="{00000000-0004-0000-0100-00002E120000}"/>
    <hyperlink ref="I6734" r:id="rId4656" xr:uid="{00000000-0004-0000-0100-00002F120000}"/>
    <hyperlink ref="I6735" r:id="rId4657" xr:uid="{00000000-0004-0000-0100-000030120000}"/>
    <hyperlink ref="I6736" r:id="rId4658" xr:uid="{00000000-0004-0000-0100-000031120000}"/>
    <hyperlink ref="I6737" r:id="rId4659" xr:uid="{00000000-0004-0000-0100-000032120000}"/>
    <hyperlink ref="I6738" r:id="rId4660" xr:uid="{00000000-0004-0000-0100-000033120000}"/>
    <hyperlink ref="I6739" r:id="rId4661" xr:uid="{00000000-0004-0000-0100-000034120000}"/>
    <hyperlink ref="I6740" r:id="rId4662" xr:uid="{00000000-0004-0000-0100-000035120000}"/>
    <hyperlink ref="I6741" r:id="rId4663" xr:uid="{00000000-0004-0000-0100-000036120000}"/>
    <hyperlink ref="I6742" r:id="rId4664" xr:uid="{00000000-0004-0000-0100-000037120000}"/>
    <hyperlink ref="I6743" r:id="rId4665" xr:uid="{00000000-0004-0000-0100-000038120000}"/>
    <hyperlink ref="I6744" r:id="rId4666" xr:uid="{00000000-0004-0000-0100-000039120000}"/>
    <hyperlink ref="I6745" r:id="rId4667" xr:uid="{00000000-0004-0000-0100-00003A120000}"/>
    <hyperlink ref="I6746" r:id="rId4668" xr:uid="{00000000-0004-0000-0100-00003B120000}"/>
    <hyperlink ref="I6747" r:id="rId4669" xr:uid="{00000000-0004-0000-0100-00003C120000}"/>
    <hyperlink ref="I6748" r:id="rId4670" xr:uid="{00000000-0004-0000-0100-00003D120000}"/>
    <hyperlink ref="I6749" r:id="rId4671" xr:uid="{00000000-0004-0000-0100-00003E120000}"/>
    <hyperlink ref="I6750" r:id="rId4672" xr:uid="{00000000-0004-0000-0100-00003F120000}"/>
    <hyperlink ref="I6751" r:id="rId4673" xr:uid="{00000000-0004-0000-0100-000040120000}"/>
    <hyperlink ref="I6752" r:id="rId4674" xr:uid="{00000000-0004-0000-0100-000041120000}"/>
    <hyperlink ref="I6753" r:id="rId4675" xr:uid="{00000000-0004-0000-0100-000042120000}"/>
    <hyperlink ref="I6754" r:id="rId4676" xr:uid="{00000000-0004-0000-0100-000043120000}"/>
    <hyperlink ref="I6755" r:id="rId4677" xr:uid="{00000000-0004-0000-0100-000044120000}"/>
    <hyperlink ref="I6756" r:id="rId4678" xr:uid="{00000000-0004-0000-0100-000045120000}"/>
    <hyperlink ref="I6757" r:id="rId4679" xr:uid="{00000000-0004-0000-0100-000046120000}"/>
    <hyperlink ref="I6758" r:id="rId4680" xr:uid="{00000000-0004-0000-0100-000047120000}"/>
    <hyperlink ref="I6759" r:id="rId4681" xr:uid="{00000000-0004-0000-0100-000048120000}"/>
    <hyperlink ref="I6760" r:id="rId4682" xr:uid="{00000000-0004-0000-0100-000049120000}"/>
    <hyperlink ref="I6761" r:id="rId4683" xr:uid="{00000000-0004-0000-0100-00004A120000}"/>
    <hyperlink ref="I6762" r:id="rId4684" xr:uid="{00000000-0004-0000-0100-00004B120000}"/>
    <hyperlink ref="I6763" r:id="rId4685" xr:uid="{00000000-0004-0000-0100-00004C120000}"/>
    <hyperlink ref="I6764" r:id="rId4686" xr:uid="{00000000-0004-0000-0100-00004D120000}"/>
    <hyperlink ref="I6765" r:id="rId4687" xr:uid="{00000000-0004-0000-0100-00004E120000}"/>
    <hyperlink ref="I6766" r:id="rId4688" xr:uid="{00000000-0004-0000-0100-00004F120000}"/>
    <hyperlink ref="I6767" r:id="rId4689" xr:uid="{00000000-0004-0000-0100-000050120000}"/>
    <hyperlink ref="I6768" r:id="rId4690" xr:uid="{00000000-0004-0000-0100-000051120000}"/>
    <hyperlink ref="I6769" r:id="rId4691" xr:uid="{00000000-0004-0000-0100-000052120000}"/>
    <hyperlink ref="I6770" r:id="rId4692" xr:uid="{00000000-0004-0000-0100-000053120000}"/>
    <hyperlink ref="I6771" r:id="rId4693" xr:uid="{00000000-0004-0000-0100-000054120000}"/>
    <hyperlink ref="I6772" r:id="rId4694" xr:uid="{00000000-0004-0000-0100-000055120000}"/>
    <hyperlink ref="I6773" r:id="rId4695" xr:uid="{00000000-0004-0000-0100-000056120000}"/>
    <hyperlink ref="I6774" r:id="rId4696" xr:uid="{00000000-0004-0000-0100-000057120000}"/>
    <hyperlink ref="I6775" r:id="rId4697" xr:uid="{00000000-0004-0000-0100-000058120000}"/>
    <hyperlink ref="I6776" r:id="rId4698" xr:uid="{00000000-0004-0000-0100-000059120000}"/>
    <hyperlink ref="I6777" r:id="rId4699" xr:uid="{00000000-0004-0000-0100-00005A120000}"/>
    <hyperlink ref="I6778" r:id="rId4700" xr:uid="{00000000-0004-0000-0100-00005B120000}"/>
    <hyperlink ref="I6779" r:id="rId4701" xr:uid="{00000000-0004-0000-0100-00005C120000}"/>
    <hyperlink ref="I6780" r:id="rId4702" xr:uid="{00000000-0004-0000-0100-00005D120000}"/>
    <hyperlink ref="I6781" r:id="rId4703" xr:uid="{00000000-0004-0000-0100-00005E120000}"/>
    <hyperlink ref="I6782" r:id="rId4704" xr:uid="{00000000-0004-0000-0100-00005F120000}"/>
    <hyperlink ref="I6783" r:id="rId4705" xr:uid="{00000000-0004-0000-0100-000060120000}"/>
    <hyperlink ref="I6784" r:id="rId4706" xr:uid="{00000000-0004-0000-0100-000061120000}"/>
    <hyperlink ref="I6785" r:id="rId4707" xr:uid="{00000000-0004-0000-0100-000062120000}"/>
    <hyperlink ref="I6786" r:id="rId4708" xr:uid="{00000000-0004-0000-0100-000063120000}"/>
    <hyperlink ref="I6787" r:id="rId4709" xr:uid="{00000000-0004-0000-0100-000064120000}"/>
    <hyperlink ref="I6788" r:id="rId4710" xr:uid="{00000000-0004-0000-0100-000065120000}"/>
    <hyperlink ref="I6789" r:id="rId4711" xr:uid="{00000000-0004-0000-0100-000066120000}"/>
    <hyperlink ref="I6790" r:id="rId4712" xr:uid="{00000000-0004-0000-0100-000067120000}"/>
    <hyperlink ref="I6791" r:id="rId4713" xr:uid="{00000000-0004-0000-0100-000068120000}"/>
    <hyperlink ref="I6792" r:id="rId4714" xr:uid="{00000000-0004-0000-0100-000069120000}"/>
    <hyperlink ref="I6793" r:id="rId4715" xr:uid="{00000000-0004-0000-0100-00006A120000}"/>
    <hyperlink ref="I6794" r:id="rId4716" xr:uid="{00000000-0004-0000-0100-00006B120000}"/>
    <hyperlink ref="I6795" r:id="rId4717" xr:uid="{00000000-0004-0000-0100-00006C120000}"/>
    <hyperlink ref="I6796" r:id="rId4718" xr:uid="{00000000-0004-0000-0100-00006D120000}"/>
    <hyperlink ref="I6797" r:id="rId4719" xr:uid="{00000000-0004-0000-0100-00006E120000}"/>
    <hyperlink ref="I6798" r:id="rId4720" xr:uid="{00000000-0004-0000-0100-00006F120000}"/>
    <hyperlink ref="I6799" r:id="rId4721" xr:uid="{00000000-0004-0000-0100-000070120000}"/>
    <hyperlink ref="I6800" r:id="rId4722" xr:uid="{00000000-0004-0000-0100-000071120000}"/>
    <hyperlink ref="I6801" r:id="rId4723" xr:uid="{00000000-0004-0000-0100-000072120000}"/>
    <hyperlink ref="I6802" r:id="rId4724" xr:uid="{00000000-0004-0000-0100-000073120000}"/>
    <hyperlink ref="I6803" r:id="rId4725" xr:uid="{00000000-0004-0000-0100-000074120000}"/>
    <hyperlink ref="I6804" r:id="rId4726" xr:uid="{00000000-0004-0000-0100-000075120000}"/>
    <hyperlink ref="I6805" r:id="rId4727" xr:uid="{00000000-0004-0000-0100-000076120000}"/>
    <hyperlink ref="I6806" r:id="rId4728" xr:uid="{00000000-0004-0000-0100-000077120000}"/>
    <hyperlink ref="I6807" r:id="rId4729" xr:uid="{00000000-0004-0000-0100-000078120000}"/>
    <hyperlink ref="I6808" r:id="rId4730" xr:uid="{00000000-0004-0000-0100-000079120000}"/>
    <hyperlink ref="I6809" r:id="rId4731" xr:uid="{00000000-0004-0000-0100-00007A120000}"/>
    <hyperlink ref="I6810" r:id="rId4732" xr:uid="{00000000-0004-0000-0100-00007B120000}"/>
    <hyperlink ref="I6811" r:id="rId4733" xr:uid="{00000000-0004-0000-0100-00007C120000}"/>
    <hyperlink ref="I6812" r:id="rId4734" xr:uid="{00000000-0004-0000-0100-00007D120000}"/>
    <hyperlink ref="I6813" r:id="rId4735" xr:uid="{00000000-0004-0000-0100-00007E120000}"/>
    <hyperlink ref="I6814" r:id="rId4736" xr:uid="{00000000-0004-0000-0100-00007F120000}"/>
    <hyperlink ref="I6815" r:id="rId4737" xr:uid="{00000000-0004-0000-0100-000080120000}"/>
    <hyperlink ref="I6816" r:id="rId4738" xr:uid="{00000000-0004-0000-0100-000081120000}"/>
    <hyperlink ref="I6817" r:id="rId4739" xr:uid="{00000000-0004-0000-0100-000082120000}"/>
    <hyperlink ref="I6818" r:id="rId4740" xr:uid="{00000000-0004-0000-0100-000083120000}"/>
    <hyperlink ref="I6819" r:id="rId4741" xr:uid="{00000000-0004-0000-0100-000084120000}"/>
    <hyperlink ref="I6820" r:id="rId4742" xr:uid="{00000000-0004-0000-0100-000085120000}"/>
    <hyperlink ref="I6821" r:id="rId4743" xr:uid="{00000000-0004-0000-0100-000086120000}"/>
    <hyperlink ref="I6822" r:id="rId4744" xr:uid="{00000000-0004-0000-0100-000087120000}"/>
    <hyperlink ref="I6823" r:id="rId4745" xr:uid="{00000000-0004-0000-0100-000088120000}"/>
    <hyperlink ref="I6824" r:id="rId4746" xr:uid="{00000000-0004-0000-0100-000089120000}"/>
    <hyperlink ref="I6825" r:id="rId4747" xr:uid="{00000000-0004-0000-0100-00008A120000}"/>
    <hyperlink ref="I6826" r:id="rId4748" xr:uid="{00000000-0004-0000-0100-00008B120000}"/>
    <hyperlink ref="I6827" r:id="rId4749" xr:uid="{00000000-0004-0000-0100-00008C120000}"/>
    <hyperlink ref="I6828" r:id="rId4750" xr:uid="{00000000-0004-0000-0100-00008D120000}"/>
    <hyperlink ref="I6829" r:id="rId4751" xr:uid="{00000000-0004-0000-0100-00008E120000}"/>
    <hyperlink ref="I6830" r:id="rId4752" xr:uid="{00000000-0004-0000-0100-00008F120000}"/>
    <hyperlink ref="I6831" r:id="rId4753" xr:uid="{00000000-0004-0000-0100-000090120000}"/>
    <hyperlink ref="I6832" r:id="rId4754" xr:uid="{00000000-0004-0000-0100-000091120000}"/>
    <hyperlink ref="I6833" r:id="rId4755" xr:uid="{00000000-0004-0000-0100-000092120000}"/>
    <hyperlink ref="I6834" r:id="rId4756" xr:uid="{00000000-0004-0000-0100-000093120000}"/>
    <hyperlink ref="I6835" r:id="rId4757" xr:uid="{00000000-0004-0000-0100-000094120000}"/>
    <hyperlink ref="I6836" r:id="rId4758" xr:uid="{00000000-0004-0000-0100-000095120000}"/>
    <hyperlink ref="I6837" r:id="rId4759" xr:uid="{00000000-0004-0000-0100-000096120000}"/>
    <hyperlink ref="I6838" r:id="rId4760" xr:uid="{00000000-0004-0000-0100-000097120000}"/>
    <hyperlink ref="I6839" r:id="rId4761" xr:uid="{00000000-0004-0000-0100-000098120000}"/>
    <hyperlink ref="I6840" r:id="rId4762" xr:uid="{00000000-0004-0000-0100-000099120000}"/>
    <hyperlink ref="I6841" r:id="rId4763" xr:uid="{00000000-0004-0000-0100-00009A120000}"/>
    <hyperlink ref="I6842" r:id="rId4764" xr:uid="{00000000-0004-0000-0100-00009B120000}"/>
    <hyperlink ref="I6843" r:id="rId4765" xr:uid="{00000000-0004-0000-0100-00009C120000}"/>
    <hyperlink ref="I6844" r:id="rId4766" xr:uid="{00000000-0004-0000-0100-00009D120000}"/>
    <hyperlink ref="I6845" r:id="rId4767" xr:uid="{00000000-0004-0000-0100-00009E120000}"/>
    <hyperlink ref="I6846" r:id="rId4768" xr:uid="{00000000-0004-0000-0100-00009F120000}"/>
    <hyperlink ref="I6847" r:id="rId4769" xr:uid="{00000000-0004-0000-0100-0000A0120000}"/>
    <hyperlink ref="I6848" r:id="rId4770" xr:uid="{00000000-0004-0000-0100-0000A1120000}"/>
    <hyperlink ref="I6849" r:id="rId4771" xr:uid="{00000000-0004-0000-0100-0000A2120000}"/>
    <hyperlink ref="I6850" r:id="rId4772" xr:uid="{00000000-0004-0000-0100-0000A3120000}"/>
    <hyperlink ref="I6851" r:id="rId4773" xr:uid="{00000000-0004-0000-0100-0000A4120000}"/>
    <hyperlink ref="I6852" r:id="rId4774" xr:uid="{00000000-0004-0000-0100-0000A5120000}"/>
    <hyperlink ref="I6853" r:id="rId4775" xr:uid="{00000000-0004-0000-0100-0000A6120000}"/>
    <hyperlink ref="I6854" r:id="rId4776" xr:uid="{00000000-0004-0000-0100-0000A7120000}"/>
    <hyperlink ref="I6855" r:id="rId4777" xr:uid="{00000000-0004-0000-0100-0000A8120000}"/>
    <hyperlink ref="I6856" r:id="rId4778" xr:uid="{00000000-0004-0000-0100-0000A9120000}"/>
    <hyperlink ref="I6857" r:id="rId4779" xr:uid="{00000000-0004-0000-0100-0000AA120000}"/>
    <hyperlink ref="I6858" r:id="rId4780" xr:uid="{00000000-0004-0000-0100-0000AB120000}"/>
    <hyperlink ref="I6859" r:id="rId4781" xr:uid="{00000000-0004-0000-0100-0000AC120000}"/>
    <hyperlink ref="I6860" r:id="rId4782" xr:uid="{00000000-0004-0000-0100-0000AD120000}"/>
    <hyperlink ref="I6861" r:id="rId4783" xr:uid="{00000000-0004-0000-0100-0000AE120000}"/>
    <hyperlink ref="I6862" r:id="rId4784" xr:uid="{00000000-0004-0000-0100-0000AF120000}"/>
    <hyperlink ref="I6863" r:id="rId4785" xr:uid="{00000000-0004-0000-0100-0000B0120000}"/>
    <hyperlink ref="I6864" r:id="rId4786" xr:uid="{00000000-0004-0000-0100-0000B1120000}"/>
    <hyperlink ref="I6865" r:id="rId4787" xr:uid="{00000000-0004-0000-0100-0000B2120000}"/>
    <hyperlink ref="I6866" r:id="rId4788" xr:uid="{00000000-0004-0000-0100-0000B3120000}"/>
    <hyperlink ref="I6867" r:id="rId4789" xr:uid="{00000000-0004-0000-0100-0000B4120000}"/>
    <hyperlink ref="I6868" r:id="rId4790" xr:uid="{00000000-0004-0000-0100-0000B5120000}"/>
    <hyperlink ref="I6869" r:id="rId4791" xr:uid="{00000000-0004-0000-0100-0000B6120000}"/>
    <hyperlink ref="I6870" r:id="rId4792" xr:uid="{00000000-0004-0000-0100-0000B7120000}"/>
    <hyperlink ref="I6871" r:id="rId4793" xr:uid="{00000000-0004-0000-0100-0000B8120000}"/>
    <hyperlink ref="I6872" r:id="rId4794" xr:uid="{00000000-0004-0000-0100-0000B9120000}"/>
    <hyperlink ref="I6873" r:id="rId4795" xr:uid="{00000000-0004-0000-0100-0000BA120000}"/>
    <hyperlink ref="I6874" r:id="rId4796" xr:uid="{00000000-0004-0000-0100-0000BB120000}"/>
    <hyperlink ref="I6875" r:id="rId4797" xr:uid="{00000000-0004-0000-0100-0000BC120000}"/>
    <hyperlink ref="I6876" r:id="rId4798" xr:uid="{00000000-0004-0000-0100-0000BD120000}"/>
    <hyperlink ref="I6877" r:id="rId4799" xr:uid="{00000000-0004-0000-0100-0000BE120000}"/>
    <hyperlink ref="I6878" r:id="rId4800" xr:uid="{00000000-0004-0000-0100-0000BF120000}"/>
    <hyperlink ref="I6879" r:id="rId4801" xr:uid="{00000000-0004-0000-0100-0000C0120000}"/>
    <hyperlink ref="I6880" r:id="rId4802" xr:uid="{00000000-0004-0000-0100-0000C1120000}"/>
    <hyperlink ref="I6881" r:id="rId4803" xr:uid="{00000000-0004-0000-0100-0000C2120000}"/>
    <hyperlink ref="I6882" r:id="rId4804" xr:uid="{00000000-0004-0000-0100-0000C3120000}"/>
    <hyperlink ref="I6883" r:id="rId4805" xr:uid="{00000000-0004-0000-0100-0000C4120000}"/>
    <hyperlink ref="I6884" r:id="rId4806" xr:uid="{00000000-0004-0000-0100-0000C5120000}"/>
    <hyperlink ref="I6885" r:id="rId4807" xr:uid="{00000000-0004-0000-0100-0000C6120000}"/>
    <hyperlink ref="I6886" r:id="rId4808" xr:uid="{00000000-0004-0000-0100-0000C7120000}"/>
    <hyperlink ref="I6887" r:id="rId4809" xr:uid="{00000000-0004-0000-0100-0000C8120000}"/>
    <hyperlink ref="I6888" r:id="rId4810" xr:uid="{00000000-0004-0000-0100-0000C9120000}"/>
    <hyperlink ref="I6889" r:id="rId4811" xr:uid="{00000000-0004-0000-0100-0000CA120000}"/>
    <hyperlink ref="I6890" r:id="rId4812" xr:uid="{00000000-0004-0000-0100-0000CB120000}"/>
    <hyperlink ref="I6891" r:id="rId4813" xr:uid="{00000000-0004-0000-0100-0000CC120000}"/>
    <hyperlink ref="I6892" r:id="rId4814" xr:uid="{00000000-0004-0000-0100-0000CD120000}"/>
    <hyperlink ref="I6893" r:id="rId4815" xr:uid="{00000000-0004-0000-0100-0000CE120000}"/>
    <hyperlink ref="I6894" r:id="rId4816" xr:uid="{00000000-0004-0000-0100-0000CF120000}"/>
    <hyperlink ref="I6895" r:id="rId4817" xr:uid="{00000000-0004-0000-0100-0000D0120000}"/>
    <hyperlink ref="I6896" r:id="rId4818" xr:uid="{00000000-0004-0000-0100-0000D1120000}"/>
    <hyperlink ref="I6897" r:id="rId4819" xr:uid="{00000000-0004-0000-0100-0000D2120000}"/>
    <hyperlink ref="I6898" r:id="rId4820" xr:uid="{00000000-0004-0000-0100-0000D3120000}"/>
    <hyperlink ref="I6899" r:id="rId4821" xr:uid="{00000000-0004-0000-0100-0000D4120000}"/>
    <hyperlink ref="I6900" r:id="rId4822" xr:uid="{00000000-0004-0000-0100-0000D5120000}"/>
    <hyperlink ref="I6901" r:id="rId4823" xr:uid="{00000000-0004-0000-0100-0000D6120000}"/>
    <hyperlink ref="I6902" r:id="rId4824" xr:uid="{00000000-0004-0000-0100-0000D7120000}"/>
    <hyperlink ref="I6903" r:id="rId4825" xr:uid="{00000000-0004-0000-0100-0000D8120000}"/>
    <hyperlink ref="I6904" r:id="rId4826" xr:uid="{00000000-0004-0000-0100-0000D9120000}"/>
    <hyperlink ref="I6905" r:id="rId4827" xr:uid="{00000000-0004-0000-0100-0000DA120000}"/>
    <hyperlink ref="I6906" r:id="rId4828" xr:uid="{00000000-0004-0000-0100-0000DB120000}"/>
    <hyperlink ref="I6907" r:id="rId4829" xr:uid="{00000000-0004-0000-0100-0000DC120000}"/>
    <hyperlink ref="I6908" r:id="rId4830" xr:uid="{00000000-0004-0000-0100-0000DD120000}"/>
    <hyperlink ref="I6909" r:id="rId4831" xr:uid="{00000000-0004-0000-0100-0000DE120000}"/>
    <hyperlink ref="I6910" r:id="rId4832" xr:uid="{00000000-0004-0000-0100-0000DF120000}"/>
    <hyperlink ref="I6911" r:id="rId4833" xr:uid="{00000000-0004-0000-0100-0000E0120000}"/>
    <hyperlink ref="I6912" r:id="rId4834" xr:uid="{00000000-0004-0000-0100-0000E1120000}"/>
    <hyperlink ref="I6913" r:id="rId4835" xr:uid="{00000000-0004-0000-0100-0000E2120000}"/>
    <hyperlink ref="I6914" r:id="rId4836" xr:uid="{00000000-0004-0000-0100-0000E3120000}"/>
    <hyperlink ref="I6915" r:id="rId4837" xr:uid="{00000000-0004-0000-0100-0000E4120000}"/>
    <hyperlink ref="I6916" r:id="rId4838" xr:uid="{00000000-0004-0000-0100-0000E5120000}"/>
    <hyperlink ref="I6917" r:id="rId4839" xr:uid="{00000000-0004-0000-0100-0000E6120000}"/>
    <hyperlink ref="I6918" r:id="rId4840" xr:uid="{00000000-0004-0000-0100-0000E7120000}"/>
    <hyperlink ref="I6919" r:id="rId4841" xr:uid="{00000000-0004-0000-0100-0000E8120000}"/>
    <hyperlink ref="I6920" r:id="rId4842" xr:uid="{00000000-0004-0000-0100-0000E9120000}"/>
    <hyperlink ref="I6921" r:id="rId4843" xr:uid="{00000000-0004-0000-0100-0000EA120000}"/>
    <hyperlink ref="I6922" r:id="rId4844" xr:uid="{00000000-0004-0000-0100-0000EB120000}"/>
    <hyperlink ref="I6923" r:id="rId4845" xr:uid="{00000000-0004-0000-0100-0000EC120000}"/>
    <hyperlink ref="I6924" r:id="rId4846" xr:uid="{00000000-0004-0000-0100-0000ED120000}"/>
    <hyperlink ref="I6925" r:id="rId4847" xr:uid="{00000000-0004-0000-0100-0000EE120000}"/>
    <hyperlink ref="I6926" r:id="rId4848" xr:uid="{00000000-0004-0000-0100-0000EF120000}"/>
    <hyperlink ref="I6927" r:id="rId4849" xr:uid="{00000000-0004-0000-0100-0000F0120000}"/>
    <hyperlink ref="I6928" r:id="rId4850" xr:uid="{00000000-0004-0000-0100-0000F1120000}"/>
    <hyperlink ref="I6929" r:id="rId4851" xr:uid="{00000000-0004-0000-0100-0000F2120000}"/>
    <hyperlink ref="I6930" r:id="rId4852" xr:uid="{00000000-0004-0000-0100-0000F3120000}"/>
    <hyperlink ref="I6931" r:id="rId4853" xr:uid="{00000000-0004-0000-0100-0000F4120000}"/>
    <hyperlink ref="I6932" r:id="rId4854" xr:uid="{00000000-0004-0000-0100-0000F5120000}"/>
    <hyperlink ref="I6933" r:id="rId4855" xr:uid="{00000000-0004-0000-0100-0000F6120000}"/>
    <hyperlink ref="I6934" r:id="rId4856" xr:uid="{00000000-0004-0000-0100-0000F7120000}"/>
    <hyperlink ref="I6935" r:id="rId4857" xr:uid="{00000000-0004-0000-0100-0000F8120000}"/>
    <hyperlink ref="I6936" r:id="rId4858" xr:uid="{00000000-0004-0000-0100-0000F9120000}"/>
    <hyperlink ref="I6937" r:id="rId4859" xr:uid="{00000000-0004-0000-0100-0000FA120000}"/>
    <hyperlink ref="I6938" r:id="rId4860" xr:uid="{00000000-0004-0000-0100-0000FB120000}"/>
    <hyperlink ref="I6939" r:id="rId4861" xr:uid="{00000000-0004-0000-0100-0000FC120000}"/>
    <hyperlink ref="I6940" r:id="rId4862" xr:uid="{00000000-0004-0000-0100-0000FD120000}"/>
    <hyperlink ref="I6941" r:id="rId4863" xr:uid="{00000000-0004-0000-0100-0000FE120000}"/>
    <hyperlink ref="I6942" r:id="rId4864" xr:uid="{00000000-0004-0000-0100-0000FF120000}"/>
    <hyperlink ref="I6943" r:id="rId4865" xr:uid="{00000000-0004-0000-0100-000000130000}"/>
    <hyperlink ref="I6944" r:id="rId4866" xr:uid="{00000000-0004-0000-0100-000001130000}"/>
    <hyperlink ref="I6945" r:id="rId4867" xr:uid="{00000000-0004-0000-0100-000002130000}"/>
    <hyperlink ref="I6946" r:id="rId4868" xr:uid="{00000000-0004-0000-0100-000003130000}"/>
    <hyperlink ref="I6947" r:id="rId4869" xr:uid="{00000000-0004-0000-0100-000004130000}"/>
    <hyperlink ref="I6948" r:id="rId4870" xr:uid="{00000000-0004-0000-0100-000005130000}"/>
    <hyperlink ref="I6949" r:id="rId4871" xr:uid="{00000000-0004-0000-0100-000006130000}"/>
    <hyperlink ref="I6950" r:id="rId4872" xr:uid="{00000000-0004-0000-0100-000007130000}"/>
    <hyperlink ref="I6951" r:id="rId4873" xr:uid="{00000000-0004-0000-0100-000008130000}"/>
    <hyperlink ref="I6952" r:id="rId4874" xr:uid="{00000000-0004-0000-0100-000009130000}"/>
    <hyperlink ref="I6953" r:id="rId4875" xr:uid="{00000000-0004-0000-0100-00000A130000}"/>
    <hyperlink ref="I6954" r:id="rId4876" xr:uid="{00000000-0004-0000-0100-00000B130000}"/>
    <hyperlink ref="I6955" r:id="rId4877" xr:uid="{00000000-0004-0000-0100-00000C130000}"/>
    <hyperlink ref="I6956" r:id="rId4878" xr:uid="{00000000-0004-0000-0100-00000D130000}"/>
    <hyperlink ref="I6957" r:id="rId4879" xr:uid="{00000000-0004-0000-0100-00000E130000}"/>
    <hyperlink ref="I6958" r:id="rId4880" xr:uid="{00000000-0004-0000-0100-00000F130000}"/>
    <hyperlink ref="I6959" r:id="rId4881" xr:uid="{00000000-0004-0000-0100-000010130000}"/>
    <hyperlink ref="I6960" r:id="rId4882" xr:uid="{00000000-0004-0000-0100-000011130000}"/>
    <hyperlink ref="I6961" r:id="rId4883" xr:uid="{00000000-0004-0000-0100-000012130000}"/>
    <hyperlink ref="I6962" r:id="rId4884" xr:uid="{00000000-0004-0000-0100-000013130000}"/>
    <hyperlink ref="I6963" r:id="rId4885" xr:uid="{00000000-0004-0000-0100-000014130000}"/>
    <hyperlink ref="I6964" r:id="rId4886" xr:uid="{00000000-0004-0000-0100-000015130000}"/>
    <hyperlink ref="I6965" r:id="rId4887" xr:uid="{00000000-0004-0000-0100-000016130000}"/>
    <hyperlink ref="I6966" r:id="rId4888" xr:uid="{00000000-0004-0000-0100-000017130000}"/>
    <hyperlink ref="I6967" r:id="rId4889" xr:uid="{00000000-0004-0000-0100-000018130000}"/>
    <hyperlink ref="I6968" r:id="rId4890" xr:uid="{00000000-0004-0000-0100-000019130000}"/>
    <hyperlink ref="I6969" r:id="rId4891" xr:uid="{00000000-0004-0000-0100-00001A130000}"/>
    <hyperlink ref="I6970" r:id="rId4892" xr:uid="{00000000-0004-0000-0100-00001B130000}"/>
    <hyperlink ref="I6971" r:id="rId4893" xr:uid="{00000000-0004-0000-0100-00001C130000}"/>
    <hyperlink ref="I6972" r:id="rId4894" xr:uid="{00000000-0004-0000-0100-00001D130000}"/>
    <hyperlink ref="I6973" r:id="rId4895" xr:uid="{00000000-0004-0000-0100-00001E130000}"/>
    <hyperlink ref="I6974" r:id="rId4896" xr:uid="{00000000-0004-0000-0100-00001F130000}"/>
    <hyperlink ref="I6975" r:id="rId4897" xr:uid="{00000000-0004-0000-0100-000020130000}"/>
    <hyperlink ref="I6976" r:id="rId4898" xr:uid="{00000000-0004-0000-0100-000021130000}"/>
    <hyperlink ref="I6977" r:id="rId4899" xr:uid="{00000000-0004-0000-0100-000022130000}"/>
    <hyperlink ref="I6978" r:id="rId4900" xr:uid="{00000000-0004-0000-0100-000023130000}"/>
    <hyperlink ref="I6979" r:id="rId4901" xr:uid="{00000000-0004-0000-0100-000024130000}"/>
    <hyperlink ref="I6980" r:id="rId4902" xr:uid="{00000000-0004-0000-0100-000025130000}"/>
    <hyperlink ref="I6981" r:id="rId4903" xr:uid="{00000000-0004-0000-0100-000026130000}"/>
    <hyperlink ref="I6982" r:id="rId4904" xr:uid="{00000000-0004-0000-0100-000027130000}"/>
    <hyperlink ref="I6983" r:id="rId4905" xr:uid="{00000000-0004-0000-0100-000028130000}"/>
    <hyperlink ref="I6984" r:id="rId4906" xr:uid="{00000000-0004-0000-0100-000029130000}"/>
    <hyperlink ref="I6985" r:id="rId4907" xr:uid="{00000000-0004-0000-0100-00002A130000}"/>
    <hyperlink ref="I6986" r:id="rId4908" xr:uid="{00000000-0004-0000-0100-00002B130000}"/>
    <hyperlink ref="I6987" r:id="rId4909" xr:uid="{00000000-0004-0000-0100-00002C130000}"/>
    <hyperlink ref="I6988" r:id="rId4910" xr:uid="{00000000-0004-0000-0100-00002D130000}"/>
    <hyperlink ref="I6989" r:id="rId4911" xr:uid="{00000000-0004-0000-0100-00002E130000}"/>
    <hyperlink ref="I6990" r:id="rId4912" xr:uid="{00000000-0004-0000-0100-00002F130000}"/>
    <hyperlink ref="I6991" r:id="rId4913" xr:uid="{00000000-0004-0000-0100-000030130000}"/>
    <hyperlink ref="I6992" r:id="rId4914" xr:uid="{00000000-0004-0000-0100-000031130000}"/>
    <hyperlink ref="I6993" r:id="rId4915" xr:uid="{00000000-0004-0000-0100-000032130000}"/>
    <hyperlink ref="I6994" r:id="rId4916" xr:uid="{00000000-0004-0000-0100-000033130000}"/>
    <hyperlink ref="I6995" r:id="rId4917" xr:uid="{00000000-0004-0000-0100-000034130000}"/>
    <hyperlink ref="I6996" r:id="rId4918" xr:uid="{00000000-0004-0000-0100-000035130000}"/>
    <hyperlink ref="I6997" r:id="rId4919" xr:uid="{00000000-0004-0000-0100-000036130000}"/>
    <hyperlink ref="I6998" r:id="rId4920" xr:uid="{00000000-0004-0000-0100-000037130000}"/>
    <hyperlink ref="I6999" r:id="rId4921" xr:uid="{00000000-0004-0000-0100-000038130000}"/>
    <hyperlink ref="I7000" r:id="rId4922" xr:uid="{00000000-0004-0000-0100-000039130000}"/>
    <hyperlink ref="I7001" r:id="rId4923" xr:uid="{00000000-0004-0000-0100-00003A130000}"/>
    <hyperlink ref="I7002" r:id="rId4924" xr:uid="{00000000-0004-0000-0100-00003B130000}"/>
    <hyperlink ref="I7003" r:id="rId4925" xr:uid="{00000000-0004-0000-0100-00003C130000}"/>
    <hyperlink ref="I7004" r:id="rId4926" xr:uid="{00000000-0004-0000-0100-00003D130000}"/>
    <hyperlink ref="I7005" r:id="rId4927" xr:uid="{00000000-0004-0000-0100-00003E130000}"/>
    <hyperlink ref="I7006" r:id="rId4928" xr:uid="{00000000-0004-0000-0100-00003F130000}"/>
    <hyperlink ref="I7007" r:id="rId4929" xr:uid="{00000000-0004-0000-0100-000040130000}"/>
    <hyperlink ref="I7008" r:id="rId4930" xr:uid="{00000000-0004-0000-0100-000041130000}"/>
    <hyperlink ref="I7009" r:id="rId4931" xr:uid="{00000000-0004-0000-0100-000042130000}"/>
    <hyperlink ref="I7010" r:id="rId4932" xr:uid="{00000000-0004-0000-0100-000043130000}"/>
    <hyperlink ref="I7011" r:id="rId4933" xr:uid="{00000000-0004-0000-0100-000044130000}"/>
    <hyperlink ref="I7012" r:id="rId4934" xr:uid="{00000000-0004-0000-0100-000045130000}"/>
    <hyperlink ref="I7013" r:id="rId4935" xr:uid="{00000000-0004-0000-0100-000046130000}"/>
    <hyperlink ref="I7014" r:id="rId4936" xr:uid="{00000000-0004-0000-0100-000047130000}"/>
    <hyperlink ref="I7015" r:id="rId4937" xr:uid="{00000000-0004-0000-0100-000048130000}"/>
    <hyperlink ref="I7016" r:id="rId4938" xr:uid="{00000000-0004-0000-0100-000049130000}"/>
    <hyperlink ref="I7017" r:id="rId4939" xr:uid="{00000000-0004-0000-0100-00004A130000}"/>
    <hyperlink ref="I7018" r:id="rId4940" xr:uid="{00000000-0004-0000-0100-00004B130000}"/>
    <hyperlink ref="I7019" r:id="rId4941" xr:uid="{00000000-0004-0000-0100-00004C130000}"/>
    <hyperlink ref="I7020" r:id="rId4942" xr:uid="{00000000-0004-0000-0100-00004D130000}"/>
    <hyperlink ref="I7021" r:id="rId4943" xr:uid="{00000000-0004-0000-0100-00004E130000}"/>
    <hyperlink ref="I7022" r:id="rId4944" xr:uid="{00000000-0004-0000-0100-00004F130000}"/>
    <hyperlink ref="I7023" r:id="rId4945" xr:uid="{00000000-0004-0000-0100-000050130000}"/>
    <hyperlink ref="I7024" r:id="rId4946" xr:uid="{00000000-0004-0000-0100-000051130000}"/>
    <hyperlink ref="I7025" r:id="rId4947" xr:uid="{00000000-0004-0000-0100-000052130000}"/>
    <hyperlink ref="I7026" r:id="rId4948" xr:uid="{00000000-0004-0000-0100-000053130000}"/>
    <hyperlink ref="I7027" r:id="rId4949" xr:uid="{00000000-0004-0000-0100-000054130000}"/>
    <hyperlink ref="I7028" r:id="rId4950" xr:uid="{00000000-0004-0000-0100-000055130000}"/>
    <hyperlink ref="I7029" r:id="rId4951" xr:uid="{00000000-0004-0000-0100-000056130000}"/>
    <hyperlink ref="I7030" r:id="rId4952" xr:uid="{00000000-0004-0000-0100-000057130000}"/>
    <hyperlink ref="I7031" r:id="rId4953" xr:uid="{00000000-0004-0000-0100-000058130000}"/>
    <hyperlink ref="I7032" r:id="rId4954" xr:uid="{00000000-0004-0000-0100-000059130000}"/>
    <hyperlink ref="I7033" r:id="rId4955" xr:uid="{00000000-0004-0000-0100-00005A130000}"/>
    <hyperlink ref="I7034" r:id="rId4956" xr:uid="{00000000-0004-0000-0100-00005B130000}"/>
    <hyperlink ref="I7035" r:id="rId4957" xr:uid="{00000000-0004-0000-0100-00005C130000}"/>
    <hyperlink ref="I7036" r:id="rId4958" xr:uid="{00000000-0004-0000-0100-00005D130000}"/>
    <hyperlink ref="I7037" r:id="rId4959" xr:uid="{00000000-0004-0000-0100-00005E130000}"/>
    <hyperlink ref="I7038" r:id="rId4960" xr:uid="{00000000-0004-0000-0100-00005F130000}"/>
    <hyperlink ref="I7039" r:id="rId4961" xr:uid="{00000000-0004-0000-0100-000060130000}"/>
    <hyperlink ref="I7040" r:id="rId4962" xr:uid="{00000000-0004-0000-0100-000061130000}"/>
    <hyperlink ref="I7041" r:id="rId4963" xr:uid="{00000000-0004-0000-0100-000062130000}"/>
    <hyperlink ref="I7042" r:id="rId4964" xr:uid="{00000000-0004-0000-0100-000063130000}"/>
    <hyperlink ref="I7043" r:id="rId4965" xr:uid="{00000000-0004-0000-0100-000064130000}"/>
    <hyperlink ref="I7044" r:id="rId4966" xr:uid="{00000000-0004-0000-0100-000065130000}"/>
    <hyperlink ref="I7045" r:id="rId4967" xr:uid="{00000000-0004-0000-0100-000066130000}"/>
    <hyperlink ref="I7046" r:id="rId4968" xr:uid="{00000000-0004-0000-0100-000067130000}"/>
    <hyperlink ref="I7047" r:id="rId4969" xr:uid="{00000000-0004-0000-0100-000068130000}"/>
    <hyperlink ref="I7048" r:id="rId4970" xr:uid="{00000000-0004-0000-0100-000069130000}"/>
    <hyperlink ref="I7049" r:id="rId4971" xr:uid="{00000000-0004-0000-0100-00006A130000}"/>
    <hyperlink ref="I7050" r:id="rId4972" xr:uid="{00000000-0004-0000-0100-00006B130000}"/>
    <hyperlink ref="I7051" r:id="rId4973" xr:uid="{00000000-0004-0000-0100-00006C130000}"/>
    <hyperlink ref="I7052" r:id="rId4974" xr:uid="{00000000-0004-0000-0100-00006D130000}"/>
    <hyperlink ref="I7053" r:id="rId4975" xr:uid="{00000000-0004-0000-0100-00006E130000}"/>
    <hyperlink ref="I7054" r:id="rId4976" xr:uid="{00000000-0004-0000-0100-00006F130000}"/>
    <hyperlink ref="I7055" r:id="rId4977" xr:uid="{00000000-0004-0000-0100-000070130000}"/>
    <hyperlink ref="I7056" r:id="rId4978" xr:uid="{00000000-0004-0000-0100-000071130000}"/>
    <hyperlink ref="I7057" r:id="rId4979" xr:uid="{00000000-0004-0000-0100-000072130000}"/>
    <hyperlink ref="I7058" r:id="rId4980" xr:uid="{00000000-0004-0000-0100-000073130000}"/>
    <hyperlink ref="I7059" r:id="rId4981" xr:uid="{00000000-0004-0000-0100-000074130000}"/>
    <hyperlink ref="I7060" r:id="rId4982" xr:uid="{00000000-0004-0000-0100-000075130000}"/>
    <hyperlink ref="I7061" r:id="rId4983" xr:uid="{00000000-0004-0000-0100-000076130000}"/>
    <hyperlink ref="I7062" r:id="rId4984" xr:uid="{00000000-0004-0000-0100-000077130000}"/>
    <hyperlink ref="I7063" r:id="rId4985" xr:uid="{00000000-0004-0000-0100-000078130000}"/>
    <hyperlink ref="I7064" r:id="rId4986" xr:uid="{00000000-0004-0000-0100-000079130000}"/>
    <hyperlink ref="I7065" r:id="rId4987" xr:uid="{00000000-0004-0000-0100-00007A130000}"/>
    <hyperlink ref="I7066" r:id="rId4988" xr:uid="{00000000-0004-0000-0100-00007B130000}"/>
    <hyperlink ref="I7067" r:id="rId4989" xr:uid="{00000000-0004-0000-0100-00007C130000}"/>
    <hyperlink ref="I7068" r:id="rId4990" xr:uid="{00000000-0004-0000-0100-00007D130000}"/>
    <hyperlink ref="I7069" r:id="rId4991" xr:uid="{00000000-0004-0000-0100-00007E130000}"/>
    <hyperlink ref="I7070" r:id="rId4992" xr:uid="{00000000-0004-0000-0100-00007F130000}"/>
    <hyperlink ref="I7071" r:id="rId4993" xr:uid="{00000000-0004-0000-0100-000080130000}"/>
    <hyperlink ref="I7072" r:id="rId4994" xr:uid="{00000000-0004-0000-0100-000081130000}"/>
    <hyperlink ref="I7073" r:id="rId4995" xr:uid="{00000000-0004-0000-0100-000082130000}"/>
    <hyperlink ref="I7074" r:id="rId4996" xr:uid="{00000000-0004-0000-0100-000083130000}"/>
    <hyperlink ref="I7075" r:id="rId4997" xr:uid="{00000000-0004-0000-0100-000084130000}"/>
    <hyperlink ref="I7076" r:id="rId4998" xr:uid="{00000000-0004-0000-0100-000085130000}"/>
    <hyperlink ref="I7077" r:id="rId4999" xr:uid="{00000000-0004-0000-0100-000086130000}"/>
    <hyperlink ref="I7078" r:id="rId5000" xr:uid="{00000000-0004-0000-0100-000087130000}"/>
    <hyperlink ref="I7079" r:id="rId5001" xr:uid="{00000000-0004-0000-0100-000088130000}"/>
    <hyperlink ref="I7080" r:id="rId5002" xr:uid="{00000000-0004-0000-0100-000089130000}"/>
    <hyperlink ref="I7081" r:id="rId5003" xr:uid="{00000000-0004-0000-0100-00008A130000}"/>
    <hyperlink ref="I7082" r:id="rId5004" xr:uid="{00000000-0004-0000-0100-00008B130000}"/>
    <hyperlink ref="I7083" r:id="rId5005" xr:uid="{00000000-0004-0000-0100-00008C130000}"/>
    <hyperlink ref="I7084" r:id="rId5006" xr:uid="{00000000-0004-0000-0100-00008D130000}"/>
    <hyperlink ref="I7085" r:id="rId5007" xr:uid="{00000000-0004-0000-0100-00008E130000}"/>
    <hyperlink ref="I7086" r:id="rId5008" xr:uid="{00000000-0004-0000-0100-00008F130000}"/>
    <hyperlink ref="I7087" r:id="rId5009" xr:uid="{00000000-0004-0000-0100-000090130000}"/>
    <hyperlink ref="I7088" r:id="rId5010" xr:uid="{00000000-0004-0000-0100-000091130000}"/>
    <hyperlink ref="I7089" r:id="rId5011" xr:uid="{00000000-0004-0000-0100-000092130000}"/>
    <hyperlink ref="I7090" r:id="rId5012" xr:uid="{00000000-0004-0000-0100-000093130000}"/>
    <hyperlink ref="I7091" r:id="rId5013" xr:uid="{00000000-0004-0000-0100-000094130000}"/>
    <hyperlink ref="I7092" r:id="rId5014" xr:uid="{00000000-0004-0000-0100-000095130000}"/>
    <hyperlink ref="I7093" r:id="rId5015" xr:uid="{00000000-0004-0000-0100-000096130000}"/>
    <hyperlink ref="I7094" r:id="rId5016" xr:uid="{00000000-0004-0000-0100-000097130000}"/>
    <hyperlink ref="I7095" r:id="rId5017" xr:uid="{00000000-0004-0000-0100-000098130000}"/>
    <hyperlink ref="I7096" r:id="rId5018" xr:uid="{00000000-0004-0000-0100-000099130000}"/>
    <hyperlink ref="I7097" r:id="rId5019" xr:uid="{00000000-0004-0000-0100-00009A130000}"/>
    <hyperlink ref="I7098" r:id="rId5020" xr:uid="{00000000-0004-0000-0100-00009B130000}"/>
    <hyperlink ref="I7099" r:id="rId5021" xr:uid="{00000000-0004-0000-0100-00009C130000}"/>
    <hyperlink ref="I7100" r:id="rId5022" xr:uid="{00000000-0004-0000-0100-00009D130000}"/>
    <hyperlink ref="I7101" r:id="rId5023" xr:uid="{00000000-0004-0000-0100-00009E130000}"/>
    <hyperlink ref="I7102" r:id="rId5024" xr:uid="{00000000-0004-0000-0100-00009F130000}"/>
    <hyperlink ref="I7103" r:id="rId5025" xr:uid="{00000000-0004-0000-0100-0000A0130000}"/>
    <hyperlink ref="I7104" r:id="rId5026" xr:uid="{00000000-0004-0000-0100-0000A1130000}"/>
    <hyperlink ref="I7105" r:id="rId5027" xr:uid="{00000000-0004-0000-0100-0000A2130000}"/>
    <hyperlink ref="I7106" r:id="rId5028" xr:uid="{00000000-0004-0000-0100-0000A3130000}"/>
    <hyperlink ref="I7107" r:id="rId5029" xr:uid="{00000000-0004-0000-0100-0000A4130000}"/>
    <hyperlink ref="I7108" r:id="rId5030" xr:uid="{00000000-0004-0000-0100-0000A5130000}"/>
    <hyperlink ref="I7109" r:id="rId5031" xr:uid="{00000000-0004-0000-0100-0000A6130000}"/>
    <hyperlink ref="I7110" r:id="rId5032" xr:uid="{00000000-0004-0000-0100-0000A7130000}"/>
    <hyperlink ref="I7111" r:id="rId5033" xr:uid="{00000000-0004-0000-0100-0000A8130000}"/>
    <hyperlink ref="I7112" r:id="rId5034" xr:uid="{00000000-0004-0000-0100-0000A9130000}"/>
    <hyperlink ref="I7113" r:id="rId5035" xr:uid="{00000000-0004-0000-0100-0000AA130000}"/>
    <hyperlink ref="I7114" r:id="rId5036" xr:uid="{00000000-0004-0000-0100-0000AB130000}"/>
    <hyperlink ref="I7115" r:id="rId5037" xr:uid="{00000000-0004-0000-0100-0000AC130000}"/>
    <hyperlink ref="I7116" r:id="rId5038" xr:uid="{00000000-0004-0000-0100-0000AD130000}"/>
    <hyperlink ref="I7117" r:id="rId5039" xr:uid="{00000000-0004-0000-0100-0000AE130000}"/>
    <hyperlink ref="I7118" r:id="rId5040" xr:uid="{00000000-0004-0000-0100-0000AF130000}"/>
    <hyperlink ref="I7119" r:id="rId5041" xr:uid="{00000000-0004-0000-0100-0000B0130000}"/>
    <hyperlink ref="I7120" r:id="rId5042" xr:uid="{00000000-0004-0000-0100-0000B1130000}"/>
    <hyperlink ref="I7121" r:id="rId5043" xr:uid="{00000000-0004-0000-0100-0000B2130000}"/>
    <hyperlink ref="I7122" r:id="rId5044" xr:uid="{00000000-0004-0000-0100-0000B3130000}"/>
    <hyperlink ref="I7123" r:id="rId5045" xr:uid="{00000000-0004-0000-0100-0000B4130000}"/>
    <hyperlink ref="I7124" r:id="rId5046" xr:uid="{00000000-0004-0000-0100-0000B5130000}"/>
    <hyperlink ref="I7125" r:id="rId5047" xr:uid="{00000000-0004-0000-0100-0000B6130000}"/>
    <hyperlink ref="I7126" r:id="rId5048" xr:uid="{00000000-0004-0000-0100-0000B7130000}"/>
    <hyperlink ref="I7127" r:id="rId5049" xr:uid="{00000000-0004-0000-0100-0000B8130000}"/>
    <hyperlink ref="I7128" r:id="rId5050" xr:uid="{00000000-0004-0000-0100-0000B9130000}"/>
    <hyperlink ref="I7129" r:id="rId5051" xr:uid="{00000000-0004-0000-0100-0000BA130000}"/>
    <hyperlink ref="I7130" r:id="rId5052" xr:uid="{00000000-0004-0000-0100-0000BB130000}"/>
    <hyperlink ref="I7131" r:id="rId5053" xr:uid="{00000000-0004-0000-0100-0000BC130000}"/>
    <hyperlink ref="I7132" r:id="rId5054" xr:uid="{00000000-0004-0000-0100-0000BD130000}"/>
    <hyperlink ref="I7133" r:id="rId5055" xr:uid="{00000000-0004-0000-0100-0000BE130000}"/>
    <hyperlink ref="I7134" r:id="rId5056" xr:uid="{00000000-0004-0000-0100-0000BF130000}"/>
    <hyperlink ref="I7135" r:id="rId5057" xr:uid="{00000000-0004-0000-0100-0000C0130000}"/>
    <hyperlink ref="I7136" r:id="rId5058" xr:uid="{00000000-0004-0000-0100-0000C1130000}"/>
    <hyperlink ref="I7137" r:id="rId5059" xr:uid="{00000000-0004-0000-0100-0000C2130000}"/>
    <hyperlink ref="I7138" r:id="rId5060" xr:uid="{00000000-0004-0000-0100-0000C3130000}"/>
    <hyperlink ref="I7139" r:id="rId5061" xr:uid="{00000000-0004-0000-0100-0000C4130000}"/>
    <hyperlink ref="I7140" r:id="rId5062" xr:uid="{00000000-0004-0000-0100-0000C5130000}"/>
    <hyperlink ref="I7141" r:id="rId5063" xr:uid="{00000000-0004-0000-0100-0000C6130000}"/>
    <hyperlink ref="I7142" r:id="rId5064" xr:uid="{00000000-0004-0000-0100-0000C7130000}"/>
    <hyperlink ref="I7143" r:id="rId5065" xr:uid="{00000000-0004-0000-0100-0000C8130000}"/>
    <hyperlink ref="I7144" r:id="rId5066" xr:uid="{00000000-0004-0000-0100-0000C9130000}"/>
    <hyperlink ref="I7145" r:id="rId5067" xr:uid="{00000000-0004-0000-0100-0000CA130000}"/>
    <hyperlink ref="I7146" r:id="rId5068" xr:uid="{00000000-0004-0000-0100-0000CB130000}"/>
    <hyperlink ref="I7147" r:id="rId5069" xr:uid="{00000000-0004-0000-0100-0000CC130000}"/>
    <hyperlink ref="I7148" r:id="rId5070" xr:uid="{00000000-0004-0000-0100-0000CD130000}"/>
    <hyperlink ref="I7149" r:id="rId5071" xr:uid="{00000000-0004-0000-0100-0000CE130000}"/>
    <hyperlink ref="I7150" r:id="rId5072" xr:uid="{00000000-0004-0000-0100-0000CF130000}"/>
    <hyperlink ref="I7151" r:id="rId5073" xr:uid="{00000000-0004-0000-0100-0000D0130000}"/>
    <hyperlink ref="I7152" r:id="rId5074" xr:uid="{00000000-0004-0000-0100-0000D1130000}"/>
    <hyperlink ref="I7153" r:id="rId5075" xr:uid="{00000000-0004-0000-0100-0000D2130000}"/>
    <hyperlink ref="I7154" r:id="rId5076" xr:uid="{00000000-0004-0000-0100-0000D3130000}"/>
    <hyperlink ref="I7155" r:id="rId5077" xr:uid="{00000000-0004-0000-0100-0000D4130000}"/>
    <hyperlink ref="I7156" r:id="rId5078" xr:uid="{00000000-0004-0000-0100-0000D5130000}"/>
    <hyperlink ref="I7157" r:id="rId5079" xr:uid="{00000000-0004-0000-0100-0000D6130000}"/>
    <hyperlink ref="I7158" r:id="rId5080" xr:uid="{00000000-0004-0000-0100-0000D7130000}"/>
    <hyperlink ref="I7159" r:id="rId5081" xr:uid="{00000000-0004-0000-0100-0000D8130000}"/>
    <hyperlink ref="I7160" r:id="rId5082" xr:uid="{00000000-0004-0000-0100-0000D9130000}"/>
    <hyperlink ref="I7161" r:id="rId5083" xr:uid="{00000000-0004-0000-0100-0000DA130000}"/>
    <hyperlink ref="I7162" r:id="rId5084" xr:uid="{00000000-0004-0000-0100-0000DB130000}"/>
    <hyperlink ref="I7163" r:id="rId5085" xr:uid="{00000000-0004-0000-0100-0000DC130000}"/>
    <hyperlink ref="I7164" r:id="rId5086" xr:uid="{00000000-0004-0000-0100-0000DD130000}"/>
    <hyperlink ref="I7165" r:id="rId5087" xr:uid="{00000000-0004-0000-0100-0000DE130000}"/>
    <hyperlink ref="I7166" r:id="rId5088" xr:uid="{00000000-0004-0000-0100-0000DF130000}"/>
    <hyperlink ref="I7167" r:id="rId5089" xr:uid="{00000000-0004-0000-0100-0000E0130000}"/>
    <hyperlink ref="I7168" r:id="rId5090" xr:uid="{00000000-0004-0000-0100-0000E1130000}"/>
    <hyperlink ref="I7169" r:id="rId5091" xr:uid="{00000000-0004-0000-0100-0000E2130000}"/>
    <hyperlink ref="I7170" r:id="rId5092" xr:uid="{00000000-0004-0000-0100-0000E3130000}"/>
    <hyperlink ref="I7171" r:id="rId5093" xr:uid="{00000000-0004-0000-0100-0000E4130000}"/>
    <hyperlink ref="I7172" r:id="rId5094" xr:uid="{00000000-0004-0000-0100-0000E5130000}"/>
    <hyperlink ref="I7173" r:id="rId5095" xr:uid="{00000000-0004-0000-0100-0000E6130000}"/>
    <hyperlink ref="I7174" r:id="rId5096" xr:uid="{00000000-0004-0000-0100-0000E7130000}"/>
    <hyperlink ref="I7175" r:id="rId5097" xr:uid="{00000000-0004-0000-0100-0000E8130000}"/>
    <hyperlink ref="I7176" r:id="rId5098" xr:uid="{00000000-0004-0000-0100-0000E9130000}"/>
    <hyperlink ref="I7177" r:id="rId5099" xr:uid="{00000000-0004-0000-0100-0000EA130000}"/>
    <hyperlink ref="I7178" r:id="rId5100" xr:uid="{00000000-0004-0000-0100-0000EB130000}"/>
    <hyperlink ref="I7179" r:id="rId5101" xr:uid="{00000000-0004-0000-0100-0000EC130000}"/>
    <hyperlink ref="I7180" r:id="rId5102" xr:uid="{00000000-0004-0000-0100-0000ED130000}"/>
    <hyperlink ref="I7181" r:id="rId5103" xr:uid="{00000000-0004-0000-0100-0000EE130000}"/>
    <hyperlink ref="I7182" r:id="rId5104" xr:uid="{00000000-0004-0000-0100-0000EF130000}"/>
    <hyperlink ref="I7183" r:id="rId5105" xr:uid="{00000000-0004-0000-0100-0000F0130000}"/>
    <hyperlink ref="I7184" r:id="rId5106" xr:uid="{00000000-0004-0000-0100-0000F1130000}"/>
    <hyperlink ref="I7185" r:id="rId5107" xr:uid="{00000000-0004-0000-0100-0000F2130000}"/>
    <hyperlink ref="I7186" r:id="rId5108" xr:uid="{00000000-0004-0000-0100-0000F3130000}"/>
    <hyperlink ref="I7187" r:id="rId5109" xr:uid="{00000000-0004-0000-0100-0000F4130000}"/>
    <hyperlink ref="I7188" r:id="rId5110" xr:uid="{00000000-0004-0000-0100-0000F5130000}"/>
    <hyperlink ref="I7189" r:id="rId5111" xr:uid="{00000000-0004-0000-0100-0000F6130000}"/>
    <hyperlink ref="I7190" r:id="rId5112" xr:uid="{00000000-0004-0000-0100-0000F7130000}"/>
    <hyperlink ref="I7191" r:id="rId5113" xr:uid="{00000000-0004-0000-0100-0000F8130000}"/>
    <hyperlink ref="I7192" r:id="rId5114" xr:uid="{00000000-0004-0000-0100-0000F9130000}"/>
    <hyperlink ref="I7193" r:id="rId5115" xr:uid="{00000000-0004-0000-0100-0000FA130000}"/>
    <hyperlink ref="I7194" r:id="rId5116" xr:uid="{00000000-0004-0000-0100-0000FB130000}"/>
    <hyperlink ref="I7195" r:id="rId5117" xr:uid="{00000000-0004-0000-0100-0000FC130000}"/>
    <hyperlink ref="I7196" r:id="rId5118" xr:uid="{00000000-0004-0000-0100-0000FD130000}"/>
    <hyperlink ref="I7197" r:id="rId5119" xr:uid="{00000000-0004-0000-0100-0000FE130000}"/>
    <hyperlink ref="I7198" r:id="rId5120" xr:uid="{00000000-0004-0000-0100-0000FF130000}"/>
    <hyperlink ref="I7199" r:id="rId5121" xr:uid="{00000000-0004-0000-0100-000000140000}"/>
    <hyperlink ref="I7200" r:id="rId5122" xr:uid="{00000000-0004-0000-0100-000001140000}"/>
    <hyperlink ref="I7201" r:id="rId5123" xr:uid="{00000000-0004-0000-0100-000002140000}"/>
    <hyperlink ref="I7202" r:id="rId5124" xr:uid="{00000000-0004-0000-0100-000003140000}"/>
    <hyperlink ref="I7203" r:id="rId5125" xr:uid="{00000000-0004-0000-0100-000004140000}"/>
    <hyperlink ref="I7204" r:id="rId5126" xr:uid="{00000000-0004-0000-0100-000005140000}"/>
    <hyperlink ref="I7205" r:id="rId5127" xr:uid="{00000000-0004-0000-0100-000006140000}"/>
    <hyperlink ref="I7206" r:id="rId5128" xr:uid="{00000000-0004-0000-0100-000007140000}"/>
    <hyperlink ref="I7207" r:id="rId5129" xr:uid="{00000000-0004-0000-0100-000008140000}"/>
    <hyperlink ref="I7208" r:id="rId5130" xr:uid="{00000000-0004-0000-0100-000009140000}"/>
    <hyperlink ref="I7209" r:id="rId5131" xr:uid="{00000000-0004-0000-0100-00000A140000}"/>
    <hyperlink ref="I7210" r:id="rId5132" xr:uid="{00000000-0004-0000-0100-00000B140000}"/>
    <hyperlink ref="I7211" r:id="rId5133" xr:uid="{00000000-0004-0000-0100-00000C140000}"/>
    <hyperlink ref="I7212" r:id="rId5134" xr:uid="{00000000-0004-0000-0100-00000D140000}"/>
    <hyperlink ref="I7213" r:id="rId5135" xr:uid="{00000000-0004-0000-0100-00000E140000}"/>
    <hyperlink ref="I7214" r:id="rId5136" xr:uid="{00000000-0004-0000-0100-00000F140000}"/>
    <hyperlink ref="I7215" r:id="rId5137" xr:uid="{00000000-0004-0000-0100-000010140000}"/>
    <hyperlink ref="I7216" r:id="rId5138" xr:uid="{00000000-0004-0000-0100-000011140000}"/>
    <hyperlink ref="I7217" r:id="rId5139" xr:uid="{00000000-0004-0000-0100-000012140000}"/>
    <hyperlink ref="I7218" r:id="rId5140" xr:uid="{00000000-0004-0000-0100-000013140000}"/>
    <hyperlink ref="I7219" r:id="rId5141" xr:uid="{00000000-0004-0000-0100-000014140000}"/>
    <hyperlink ref="I7220" r:id="rId5142" xr:uid="{00000000-0004-0000-0100-000015140000}"/>
    <hyperlink ref="I7221" r:id="rId5143" xr:uid="{00000000-0004-0000-0100-000016140000}"/>
    <hyperlink ref="I7222" r:id="rId5144" xr:uid="{00000000-0004-0000-0100-000017140000}"/>
    <hyperlink ref="I7223" r:id="rId5145" xr:uid="{00000000-0004-0000-0100-000018140000}"/>
    <hyperlink ref="I7224" r:id="rId5146" xr:uid="{00000000-0004-0000-0100-000019140000}"/>
    <hyperlink ref="I7225" r:id="rId5147" xr:uid="{00000000-0004-0000-0100-00001A140000}"/>
    <hyperlink ref="I7226" r:id="rId5148" xr:uid="{00000000-0004-0000-0100-00001B140000}"/>
    <hyperlink ref="I7227" r:id="rId5149" xr:uid="{00000000-0004-0000-0100-00001C140000}"/>
    <hyperlink ref="I7228" r:id="rId5150" xr:uid="{00000000-0004-0000-0100-00001D140000}"/>
    <hyperlink ref="I7229" r:id="rId5151" xr:uid="{00000000-0004-0000-0100-00001E140000}"/>
    <hyperlink ref="I7230" r:id="rId5152" xr:uid="{00000000-0004-0000-0100-00001F140000}"/>
    <hyperlink ref="I7231" r:id="rId5153" xr:uid="{00000000-0004-0000-0100-000020140000}"/>
    <hyperlink ref="I7232" r:id="rId5154" xr:uid="{00000000-0004-0000-0100-000021140000}"/>
    <hyperlink ref="I7233" r:id="rId5155" xr:uid="{00000000-0004-0000-0100-000022140000}"/>
    <hyperlink ref="I7234" r:id="rId5156" xr:uid="{00000000-0004-0000-0100-000023140000}"/>
    <hyperlink ref="I7235" r:id="rId5157" xr:uid="{00000000-0004-0000-0100-000024140000}"/>
    <hyperlink ref="I7236" r:id="rId5158" xr:uid="{00000000-0004-0000-0100-000025140000}"/>
    <hyperlink ref="I7237" r:id="rId5159" xr:uid="{00000000-0004-0000-0100-000026140000}"/>
    <hyperlink ref="I7238" r:id="rId5160" xr:uid="{00000000-0004-0000-0100-000027140000}"/>
    <hyperlink ref="I7239" r:id="rId5161" xr:uid="{00000000-0004-0000-0100-000028140000}"/>
    <hyperlink ref="I7240" r:id="rId5162" xr:uid="{00000000-0004-0000-0100-000029140000}"/>
    <hyperlink ref="I7241" r:id="rId5163" xr:uid="{00000000-0004-0000-0100-00002A140000}"/>
    <hyperlink ref="I7242" r:id="rId5164" xr:uid="{00000000-0004-0000-0100-00002B140000}"/>
    <hyperlink ref="I7243" r:id="rId5165" xr:uid="{00000000-0004-0000-0100-00002C140000}"/>
    <hyperlink ref="I7244" r:id="rId5166" xr:uid="{00000000-0004-0000-0100-00002D140000}"/>
    <hyperlink ref="I7245" r:id="rId5167" xr:uid="{00000000-0004-0000-0100-00002E140000}"/>
    <hyperlink ref="I7246" r:id="rId5168" xr:uid="{00000000-0004-0000-0100-00002F140000}"/>
    <hyperlink ref="I7247" r:id="rId5169" xr:uid="{00000000-0004-0000-0100-000030140000}"/>
    <hyperlink ref="I7248" r:id="rId5170" xr:uid="{00000000-0004-0000-0100-000031140000}"/>
    <hyperlink ref="I7249" r:id="rId5171" xr:uid="{00000000-0004-0000-0100-000032140000}"/>
    <hyperlink ref="I7250" r:id="rId5172" xr:uid="{00000000-0004-0000-0100-000033140000}"/>
    <hyperlink ref="I7251" r:id="rId5173" xr:uid="{00000000-0004-0000-0100-000034140000}"/>
    <hyperlink ref="I7252" r:id="rId5174" xr:uid="{00000000-0004-0000-0100-000035140000}"/>
    <hyperlink ref="I7253" r:id="rId5175" xr:uid="{00000000-0004-0000-0100-000036140000}"/>
    <hyperlink ref="I7254" r:id="rId5176" xr:uid="{00000000-0004-0000-0100-000037140000}"/>
    <hyperlink ref="I7255" r:id="rId5177" xr:uid="{00000000-0004-0000-0100-000038140000}"/>
    <hyperlink ref="I7256" r:id="rId5178" xr:uid="{00000000-0004-0000-0100-000039140000}"/>
    <hyperlink ref="I7257" r:id="rId5179" xr:uid="{00000000-0004-0000-0100-00003A140000}"/>
    <hyperlink ref="I7258" r:id="rId5180" xr:uid="{00000000-0004-0000-0100-00003B140000}"/>
    <hyperlink ref="I7259" r:id="rId5181" xr:uid="{00000000-0004-0000-0100-00003C140000}"/>
    <hyperlink ref="I7260" r:id="rId5182" xr:uid="{00000000-0004-0000-0100-00003D140000}"/>
    <hyperlink ref="I7261" r:id="rId5183" xr:uid="{00000000-0004-0000-0100-00003E140000}"/>
    <hyperlink ref="I7262" r:id="rId5184" xr:uid="{00000000-0004-0000-0100-00003F140000}"/>
    <hyperlink ref="I7263" r:id="rId5185" xr:uid="{00000000-0004-0000-0100-000040140000}"/>
    <hyperlink ref="I7264" r:id="rId5186" xr:uid="{00000000-0004-0000-0100-000041140000}"/>
    <hyperlink ref="I7265" r:id="rId5187" xr:uid="{00000000-0004-0000-0100-000042140000}"/>
    <hyperlink ref="I7266" r:id="rId5188" xr:uid="{00000000-0004-0000-0100-000043140000}"/>
    <hyperlink ref="I7267" r:id="rId5189" xr:uid="{00000000-0004-0000-0100-000044140000}"/>
    <hyperlink ref="I7268" r:id="rId5190" xr:uid="{00000000-0004-0000-0100-000045140000}"/>
    <hyperlink ref="I7269" r:id="rId5191" xr:uid="{00000000-0004-0000-0100-000046140000}"/>
    <hyperlink ref="I7270" r:id="rId5192" xr:uid="{00000000-0004-0000-0100-000047140000}"/>
    <hyperlink ref="I7271" r:id="rId5193" xr:uid="{00000000-0004-0000-0100-000048140000}"/>
    <hyperlink ref="I7272" r:id="rId5194" xr:uid="{00000000-0004-0000-0100-000049140000}"/>
    <hyperlink ref="I7273" r:id="rId5195" xr:uid="{00000000-0004-0000-0100-00004A140000}"/>
    <hyperlink ref="I7274" r:id="rId5196" xr:uid="{00000000-0004-0000-0100-00004B140000}"/>
    <hyperlink ref="I7275" r:id="rId5197" xr:uid="{00000000-0004-0000-0100-00004C140000}"/>
    <hyperlink ref="I7276" r:id="rId5198" xr:uid="{00000000-0004-0000-0100-00004D140000}"/>
    <hyperlink ref="I7277" r:id="rId5199" xr:uid="{00000000-0004-0000-0100-00004E140000}"/>
    <hyperlink ref="I7278" r:id="rId5200" xr:uid="{00000000-0004-0000-0100-00004F140000}"/>
    <hyperlink ref="I7279" r:id="rId5201" xr:uid="{00000000-0004-0000-0100-000050140000}"/>
    <hyperlink ref="I7280" r:id="rId5202" xr:uid="{00000000-0004-0000-0100-000051140000}"/>
    <hyperlink ref="I7281" r:id="rId5203" xr:uid="{00000000-0004-0000-0100-000052140000}"/>
    <hyperlink ref="I7282" r:id="rId5204" xr:uid="{00000000-0004-0000-0100-000053140000}"/>
    <hyperlink ref="I7283" r:id="rId5205" xr:uid="{00000000-0004-0000-0100-000054140000}"/>
    <hyperlink ref="I7284" r:id="rId5206" xr:uid="{00000000-0004-0000-0100-000055140000}"/>
    <hyperlink ref="I7285" r:id="rId5207" xr:uid="{00000000-0004-0000-0100-000056140000}"/>
    <hyperlink ref="I7286" r:id="rId5208" xr:uid="{00000000-0004-0000-0100-000057140000}"/>
    <hyperlink ref="I7287" r:id="rId5209" xr:uid="{00000000-0004-0000-0100-000058140000}"/>
    <hyperlink ref="I7288" r:id="rId5210" xr:uid="{00000000-0004-0000-0100-000059140000}"/>
    <hyperlink ref="I7289" r:id="rId5211" xr:uid="{00000000-0004-0000-0100-00005A140000}"/>
    <hyperlink ref="I7290" r:id="rId5212" xr:uid="{00000000-0004-0000-0100-00005B140000}"/>
    <hyperlink ref="I7291" r:id="rId5213" xr:uid="{00000000-0004-0000-0100-00005C140000}"/>
    <hyperlink ref="I7292" r:id="rId5214" xr:uid="{00000000-0004-0000-0100-00005D140000}"/>
    <hyperlink ref="I7293" r:id="rId5215" xr:uid="{00000000-0004-0000-0100-00005E140000}"/>
    <hyperlink ref="I7294" r:id="rId5216" xr:uid="{00000000-0004-0000-0100-00005F140000}"/>
    <hyperlink ref="I7295" r:id="rId5217" xr:uid="{00000000-0004-0000-0100-000060140000}"/>
    <hyperlink ref="I7296" r:id="rId5218" xr:uid="{00000000-0004-0000-0100-000061140000}"/>
    <hyperlink ref="I7297" r:id="rId5219" xr:uid="{00000000-0004-0000-0100-000062140000}"/>
    <hyperlink ref="I7298" r:id="rId5220" xr:uid="{00000000-0004-0000-0100-000063140000}"/>
    <hyperlink ref="I7299" r:id="rId5221" xr:uid="{00000000-0004-0000-0100-000064140000}"/>
    <hyperlink ref="I7300" r:id="rId5222" xr:uid="{00000000-0004-0000-0100-000065140000}"/>
    <hyperlink ref="I7301" r:id="rId5223" xr:uid="{00000000-0004-0000-0100-000066140000}"/>
    <hyperlink ref="I7302" r:id="rId5224" xr:uid="{00000000-0004-0000-0100-000067140000}"/>
    <hyperlink ref="I7303" r:id="rId5225" xr:uid="{00000000-0004-0000-0100-000068140000}"/>
    <hyperlink ref="I7304" r:id="rId5226" xr:uid="{00000000-0004-0000-0100-000069140000}"/>
    <hyperlink ref="I7305" r:id="rId5227" xr:uid="{00000000-0004-0000-0100-00006A140000}"/>
    <hyperlink ref="I7306" r:id="rId5228" xr:uid="{00000000-0004-0000-0100-00006B140000}"/>
    <hyperlink ref="I7307" r:id="rId5229" xr:uid="{00000000-0004-0000-0100-00006C140000}"/>
    <hyperlink ref="I7308" r:id="rId5230" xr:uid="{00000000-0004-0000-0100-00006D140000}"/>
    <hyperlink ref="I7309" r:id="rId5231" xr:uid="{00000000-0004-0000-0100-00006E140000}"/>
    <hyperlink ref="I7310" r:id="rId5232" xr:uid="{00000000-0004-0000-0100-00006F140000}"/>
    <hyperlink ref="I7311" r:id="rId5233" xr:uid="{00000000-0004-0000-0100-000070140000}"/>
    <hyperlink ref="I7312" r:id="rId5234" xr:uid="{00000000-0004-0000-0100-000071140000}"/>
    <hyperlink ref="I7313" r:id="rId5235" xr:uid="{00000000-0004-0000-0100-000072140000}"/>
    <hyperlink ref="I7314" r:id="rId5236" xr:uid="{00000000-0004-0000-0100-000073140000}"/>
    <hyperlink ref="I7315" r:id="rId5237" xr:uid="{00000000-0004-0000-0100-000074140000}"/>
    <hyperlink ref="I7316" r:id="rId5238" xr:uid="{00000000-0004-0000-0100-000075140000}"/>
    <hyperlink ref="I7317" r:id="rId5239" xr:uid="{00000000-0004-0000-0100-000076140000}"/>
    <hyperlink ref="I7318" r:id="rId5240" xr:uid="{00000000-0004-0000-0100-000077140000}"/>
    <hyperlink ref="I7319" r:id="rId5241" xr:uid="{00000000-0004-0000-0100-000078140000}"/>
    <hyperlink ref="I7320" r:id="rId5242" xr:uid="{00000000-0004-0000-0100-000079140000}"/>
    <hyperlink ref="I7321" r:id="rId5243" xr:uid="{00000000-0004-0000-0100-00007A140000}"/>
    <hyperlink ref="I7322" r:id="rId5244" xr:uid="{00000000-0004-0000-0100-00007B140000}"/>
    <hyperlink ref="I7323" r:id="rId5245" xr:uid="{00000000-0004-0000-0100-00007C140000}"/>
    <hyperlink ref="I7324" r:id="rId5246" xr:uid="{00000000-0004-0000-0100-00007D140000}"/>
    <hyperlink ref="I7325" r:id="rId5247" xr:uid="{00000000-0004-0000-0100-00007E140000}"/>
    <hyperlink ref="I7326" r:id="rId5248" xr:uid="{00000000-0004-0000-0100-00007F140000}"/>
    <hyperlink ref="I7327" r:id="rId5249" xr:uid="{00000000-0004-0000-0100-000080140000}"/>
    <hyperlink ref="I7328" r:id="rId5250" xr:uid="{00000000-0004-0000-0100-000081140000}"/>
    <hyperlink ref="I7329" r:id="rId5251" xr:uid="{00000000-0004-0000-0100-000082140000}"/>
    <hyperlink ref="I7330" r:id="rId5252" xr:uid="{00000000-0004-0000-0100-000083140000}"/>
    <hyperlink ref="I7331" r:id="rId5253" xr:uid="{00000000-0004-0000-0100-000084140000}"/>
    <hyperlink ref="I7332" r:id="rId5254" xr:uid="{00000000-0004-0000-0100-000085140000}"/>
    <hyperlink ref="I7333" r:id="rId5255" xr:uid="{00000000-0004-0000-0100-000086140000}"/>
    <hyperlink ref="I7334" r:id="rId5256" xr:uid="{00000000-0004-0000-0100-000087140000}"/>
    <hyperlink ref="I7335" r:id="rId5257" xr:uid="{00000000-0004-0000-0100-000088140000}"/>
    <hyperlink ref="I7336" r:id="rId5258" xr:uid="{00000000-0004-0000-0100-000089140000}"/>
    <hyperlink ref="I7337" r:id="rId5259" xr:uid="{00000000-0004-0000-0100-00008A140000}"/>
    <hyperlink ref="I7338" r:id="rId5260" xr:uid="{00000000-0004-0000-0100-00008B140000}"/>
    <hyperlink ref="I7339" r:id="rId5261" xr:uid="{00000000-0004-0000-0100-00008C140000}"/>
    <hyperlink ref="I7340" r:id="rId5262" xr:uid="{00000000-0004-0000-0100-00008D140000}"/>
    <hyperlink ref="I7341" r:id="rId5263" xr:uid="{00000000-0004-0000-0100-00008E140000}"/>
    <hyperlink ref="I7342" r:id="rId5264" xr:uid="{00000000-0004-0000-0100-00008F140000}"/>
    <hyperlink ref="I7343" r:id="rId5265" xr:uid="{00000000-0004-0000-0100-000090140000}"/>
    <hyperlink ref="I7344" r:id="rId5266" xr:uid="{00000000-0004-0000-0100-000091140000}"/>
    <hyperlink ref="I7345" r:id="rId5267" xr:uid="{00000000-0004-0000-0100-000092140000}"/>
    <hyperlink ref="I7346" r:id="rId5268" xr:uid="{00000000-0004-0000-0100-000093140000}"/>
    <hyperlink ref="I7347" r:id="rId5269" xr:uid="{00000000-0004-0000-0100-000094140000}"/>
    <hyperlink ref="I7348" r:id="rId5270" xr:uid="{00000000-0004-0000-0100-000095140000}"/>
    <hyperlink ref="I7349" r:id="rId5271" xr:uid="{00000000-0004-0000-0100-000096140000}"/>
    <hyperlink ref="I7350" r:id="rId5272" xr:uid="{00000000-0004-0000-0100-000097140000}"/>
    <hyperlink ref="I7351" r:id="rId5273" xr:uid="{00000000-0004-0000-0100-000098140000}"/>
    <hyperlink ref="I7352" r:id="rId5274" xr:uid="{00000000-0004-0000-0100-000099140000}"/>
    <hyperlink ref="I7353" r:id="rId5275" xr:uid="{00000000-0004-0000-0100-00009A140000}"/>
    <hyperlink ref="I7354" r:id="rId5276" xr:uid="{00000000-0004-0000-0100-00009B140000}"/>
    <hyperlink ref="I7355" r:id="rId5277" xr:uid="{00000000-0004-0000-0100-00009C140000}"/>
    <hyperlink ref="I7356" r:id="rId5278" xr:uid="{00000000-0004-0000-0100-00009D140000}"/>
    <hyperlink ref="I7357" r:id="rId5279" xr:uid="{00000000-0004-0000-0100-00009E140000}"/>
    <hyperlink ref="I7358" r:id="rId5280" xr:uid="{00000000-0004-0000-0100-00009F140000}"/>
    <hyperlink ref="I7359" r:id="rId5281" xr:uid="{00000000-0004-0000-0100-0000A0140000}"/>
    <hyperlink ref="I7360" r:id="rId5282" xr:uid="{00000000-0004-0000-0100-0000A1140000}"/>
    <hyperlink ref="I7361" r:id="rId5283" xr:uid="{00000000-0004-0000-0100-0000A2140000}"/>
    <hyperlink ref="I7362" r:id="rId5284" xr:uid="{00000000-0004-0000-0100-0000A3140000}"/>
    <hyperlink ref="I7363" r:id="rId5285" xr:uid="{00000000-0004-0000-0100-0000A4140000}"/>
    <hyperlink ref="I7364" r:id="rId5286" xr:uid="{00000000-0004-0000-0100-0000A5140000}"/>
    <hyperlink ref="I7365" r:id="rId5287" xr:uid="{00000000-0004-0000-0100-0000A6140000}"/>
    <hyperlink ref="I7366" r:id="rId5288" xr:uid="{00000000-0004-0000-0100-0000A7140000}"/>
    <hyperlink ref="I7367" r:id="rId5289" xr:uid="{00000000-0004-0000-0100-0000A8140000}"/>
    <hyperlink ref="I7368" r:id="rId5290" xr:uid="{00000000-0004-0000-0100-0000A9140000}"/>
    <hyperlink ref="I7369" r:id="rId5291" xr:uid="{00000000-0004-0000-0100-0000AA140000}"/>
    <hyperlink ref="I7370" r:id="rId5292" xr:uid="{00000000-0004-0000-0100-0000AB140000}"/>
    <hyperlink ref="I7371" r:id="rId5293" xr:uid="{00000000-0004-0000-0100-0000AC140000}"/>
    <hyperlink ref="I7372" r:id="rId5294" xr:uid="{00000000-0004-0000-0100-0000AD140000}"/>
    <hyperlink ref="I7373" r:id="rId5295" xr:uid="{00000000-0004-0000-0100-0000AE140000}"/>
    <hyperlink ref="I7374" r:id="rId5296" xr:uid="{00000000-0004-0000-0100-0000AF140000}"/>
    <hyperlink ref="I7375" r:id="rId5297" xr:uid="{00000000-0004-0000-0100-0000B0140000}"/>
    <hyperlink ref="I7376" r:id="rId5298" xr:uid="{00000000-0004-0000-0100-0000B1140000}"/>
    <hyperlink ref="I7377" r:id="rId5299" xr:uid="{00000000-0004-0000-0100-0000B2140000}"/>
    <hyperlink ref="I7378" r:id="rId5300" xr:uid="{00000000-0004-0000-0100-0000B3140000}"/>
    <hyperlink ref="I7379" r:id="rId5301" xr:uid="{00000000-0004-0000-0100-0000B4140000}"/>
    <hyperlink ref="I7380" r:id="rId5302" xr:uid="{00000000-0004-0000-0100-0000B5140000}"/>
    <hyperlink ref="I7381" r:id="rId5303" xr:uid="{00000000-0004-0000-0100-0000B6140000}"/>
    <hyperlink ref="I7382" r:id="rId5304" xr:uid="{00000000-0004-0000-0100-0000B7140000}"/>
    <hyperlink ref="I7383" r:id="rId5305" xr:uid="{00000000-0004-0000-0100-0000B8140000}"/>
    <hyperlink ref="I7384" r:id="rId5306" xr:uid="{00000000-0004-0000-0100-0000B9140000}"/>
    <hyperlink ref="I7385" r:id="rId5307" xr:uid="{00000000-0004-0000-0100-0000BA140000}"/>
    <hyperlink ref="I7386" r:id="rId5308" xr:uid="{00000000-0004-0000-0100-0000BB140000}"/>
    <hyperlink ref="I7387" r:id="rId5309" xr:uid="{00000000-0004-0000-0100-0000BC140000}"/>
    <hyperlink ref="I7388" r:id="rId5310" xr:uid="{00000000-0004-0000-0100-0000BD140000}"/>
    <hyperlink ref="I7389" r:id="rId5311" xr:uid="{00000000-0004-0000-0100-0000BE140000}"/>
    <hyperlink ref="I7390" r:id="rId5312" xr:uid="{00000000-0004-0000-0100-0000BF140000}"/>
    <hyperlink ref="I7391" r:id="rId5313" xr:uid="{00000000-0004-0000-0100-0000C0140000}"/>
    <hyperlink ref="I7392" r:id="rId5314" xr:uid="{00000000-0004-0000-0100-0000C1140000}"/>
    <hyperlink ref="I7393" r:id="rId5315" xr:uid="{00000000-0004-0000-0100-0000C2140000}"/>
    <hyperlink ref="I7394" r:id="rId5316" xr:uid="{00000000-0004-0000-0100-0000C3140000}"/>
    <hyperlink ref="I7395" r:id="rId5317" xr:uid="{00000000-0004-0000-0100-0000C4140000}"/>
    <hyperlink ref="I7396" r:id="rId5318" xr:uid="{00000000-0004-0000-0100-0000C5140000}"/>
    <hyperlink ref="I7397" r:id="rId5319" xr:uid="{00000000-0004-0000-0100-0000C6140000}"/>
    <hyperlink ref="I7398" r:id="rId5320" xr:uid="{00000000-0004-0000-0100-0000C7140000}"/>
    <hyperlink ref="I7399" r:id="rId5321" xr:uid="{00000000-0004-0000-0100-0000C8140000}"/>
    <hyperlink ref="I7400" r:id="rId5322" xr:uid="{00000000-0004-0000-0100-0000C9140000}"/>
    <hyperlink ref="I7401" r:id="rId5323" xr:uid="{00000000-0004-0000-0100-0000CA140000}"/>
    <hyperlink ref="I7402" r:id="rId5324" xr:uid="{00000000-0004-0000-0100-0000CB140000}"/>
    <hyperlink ref="I7403" r:id="rId5325" xr:uid="{00000000-0004-0000-0100-0000CC140000}"/>
    <hyperlink ref="I7404" r:id="rId5326" xr:uid="{00000000-0004-0000-0100-0000CD140000}"/>
    <hyperlink ref="I7405" r:id="rId5327" xr:uid="{00000000-0004-0000-0100-0000CE140000}"/>
    <hyperlink ref="I7406" r:id="rId5328" xr:uid="{00000000-0004-0000-0100-0000CF140000}"/>
    <hyperlink ref="I7407" r:id="rId5329" xr:uid="{00000000-0004-0000-0100-0000D0140000}"/>
    <hyperlink ref="I7408" r:id="rId5330" xr:uid="{00000000-0004-0000-0100-0000D1140000}"/>
    <hyperlink ref="I7409" r:id="rId5331" xr:uid="{00000000-0004-0000-0100-0000D2140000}"/>
    <hyperlink ref="I7410" r:id="rId5332" xr:uid="{00000000-0004-0000-0100-0000D3140000}"/>
    <hyperlink ref="I7411" r:id="rId5333" xr:uid="{00000000-0004-0000-0100-0000D4140000}"/>
    <hyperlink ref="I7412" r:id="rId5334" xr:uid="{00000000-0004-0000-0100-0000D5140000}"/>
    <hyperlink ref="I7413" r:id="rId5335" xr:uid="{00000000-0004-0000-0100-0000D6140000}"/>
    <hyperlink ref="I7414" r:id="rId5336" xr:uid="{00000000-0004-0000-0100-0000D7140000}"/>
    <hyperlink ref="I7415" r:id="rId5337" xr:uid="{00000000-0004-0000-0100-0000D8140000}"/>
    <hyperlink ref="I7416" r:id="rId5338" xr:uid="{00000000-0004-0000-0100-0000D9140000}"/>
    <hyperlink ref="I7417" r:id="rId5339" xr:uid="{00000000-0004-0000-0100-0000DA140000}"/>
    <hyperlink ref="I7418" r:id="rId5340" xr:uid="{00000000-0004-0000-0100-0000DB140000}"/>
    <hyperlink ref="I7419" r:id="rId5341" xr:uid="{00000000-0004-0000-0100-0000DC140000}"/>
    <hyperlink ref="I7420" r:id="rId5342" xr:uid="{00000000-0004-0000-0100-0000DD140000}"/>
    <hyperlink ref="I7421" r:id="rId5343" xr:uid="{00000000-0004-0000-0100-0000DE140000}"/>
    <hyperlink ref="I7422" r:id="rId5344" xr:uid="{00000000-0004-0000-0100-0000DF140000}"/>
    <hyperlink ref="I7423" r:id="rId5345" xr:uid="{00000000-0004-0000-0100-0000E0140000}"/>
    <hyperlink ref="I7424" r:id="rId5346" xr:uid="{00000000-0004-0000-0100-0000E1140000}"/>
    <hyperlink ref="I7425" r:id="rId5347" xr:uid="{00000000-0004-0000-0100-0000E2140000}"/>
    <hyperlink ref="I7426" r:id="rId5348" xr:uid="{00000000-0004-0000-0100-0000E3140000}"/>
    <hyperlink ref="I7427" r:id="rId5349" xr:uid="{00000000-0004-0000-0100-0000E4140000}"/>
    <hyperlink ref="I7428" r:id="rId5350" xr:uid="{00000000-0004-0000-0100-0000E5140000}"/>
    <hyperlink ref="I7429" r:id="rId5351" xr:uid="{00000000-0004-0000-0100-0000E6140000}"/>
    <hyperlink ref="I7430" r:id="rId5352" xr:uid="{00000000-0004-0000-0100-0000E7140000}"/>
    <hyperlink ref="I7431" r:id="rId5353" xr:uid="{00000000-0004-0000-0100-0000E8140000}"/>
    <hyperlink ref="I7432" r:id="rId5354" xr:uid="{00000000-0004-0000-0100-0000E9140000}"/>
    <hyperlink ref="I7433" r:id="rId5355" xr:uid="{00000000-0004-0000-0100-0000EA140000}"/>
    <hyperlink ref="I7434" r:id="rId5356" xr:uid="{00000000-0004-0000-0100-0000EB140000}"/>
    <hyperlink ref="I7435" r:id="rId5357" xr:uid="{00000000-0004-0000-0100-0000EC140000}"/>
    <hyperlink ref="I7436" r:id="rId5358" xr:uid="{00000000-0004-0000-0100-0000ED140000}"/>
    <hyperlink ref="I7437" r:id="rId5359" xr:uid="{00000000-0004-0000-0100-0000EE140000}"/>
    <hyperlink ref="I7438" r:id="rId5360" xr:uid="{00000000-0004-0000-0100-0000EF140000}"/>
    <hyperlink ref="I7439" r:id="rId5361" xr:uid="{00000000-0004-0000-0100-0000F0140000}"/>
    <hyperlink ref="I7440" r:id="rId5362" xr:uid="{00000000-0004-0000-0100-0000F1140000}"/>
    <hyperlink ref="I7441" r:id="rId5363" xr:uid="{00000000-0004-0000-0100-0000F2140000}"/>
    <hyperlink ref="I7442" r:id="rId5364" xr:uid="{00000000-0004-0000-0100-0000F3140000}"/>
    <hyperlink ref="I7443" r:id="rId5365" xr:uid="{00000000-0004-0000-0100-0000F4140000}"/>
    <hyperlink ref="I7444" r:id="rId5366" xr:uid="{00000000-0004-0000-0100-0000F5140000}"/>
    <hyperlink ref="I7445" r:id="rId5367" xr:uid="{00000000-0004-0000-0100-0000F6140000}"/>
    <hyperlink ref="I7446" r:id="rId5368" xr:uid="{00000000-0004-0000-0100-0000F7140000}"/>
    <hyperlink ref="I7447" r:id="rId5369" xr:uid="{00000000-0004-0000-0100-0000F8140000}"/>
    <hyperlink ref="I7448" r:id="rId5370" xr:uid="{00000000-0004-0000-0100-0000F9140000}"/>
    <hyperlink ref="I7449" r:id="rId5371" xr:uid="{00000000-0004-0000-0100-0000FA140000}"/>
    <hyperlink ref="I7450" r:id="rId5372" xr:uid="{00000000-0004-0000-0100-0000FB140000}"/>
    <hyperlink ref="I7451" r:id="rId5373" xr:uid="{00000000-0004-0000-0100-0000FC140000}"/>
    <hyperlink ref="I7452" r:id="rId5374" xr:uid="{00000000-0004-0000-0100-0000FD140000}"/>
    <hyperlink ref="I7453" r:id="rId5375" xr:uid="{00000000-0004-0000-0100-0000FE140000}"/>
    <hyperlink ref="I7454" r:id="rId5376" xr:uid="{00000000-0004-0000-0100-0000FF140000}"/>
    <hyperlink ref="I7455" r:id="rId5377" xr:uid="{00000000-0004-0000-0100-000000150000}"/>
    <hyperlink ref="I7456" r:id="rId5378" xr:uid="{00000000-0004-0000-0100-000001150000}"/>
    <hyperlink ref="I7457" r:id="rId5379" xr:uid="{00000000-0004-0000-0100-000002150000}"/>
    <hyperlink ref="I7458" r:id="rId5380" xr:uid="{00000000-0004-0000-0100-000003150000}"/>
    <hyperlink ref="I7459" r:id="rId5381" xr:uid="{00000000-0004-0000-0100-000004150000}"/>
    <hyperlink ref="I7460" r:id="rId5382" xr:uid="{00000000-0004-0000-0100-000005150000}"/>
    <hyperlink ref="I7461" r:id="rId5383" xr:uid="{00000000-0004-0000-0100-000006150000}"/>
    <hyperlink ref="I7462" r:id="rId5384" xr:uid="{00000000-0004-0000-0100-000007150000}"/>
    <hyperlink ref="I7463" r:id="rId5385" xr:uid="{00000000-0004-0000-0100-000008150000}"/>
    <hyperlink ref="I7464" r:id="rId5386" xr:uid="{00000000-0004-0000-0100-000009150000}"/>
    <hyperlink ref="I7465" r:id="rId5387" xr:uid="{00000000-0004-0000-0100-00000A150000}"/>
    <hyperlink ref="I7466" r:id="rId5388" xr:uid="{00000000-0004-0000-0100-00000B150000}"/>
    <hyperlink ref="I7467" r:id="rId5389" xr:uid="{00000000-0004-0000-0100-00000C150000}"/>
    <hyperlink ref="I7468" r:id="rId5390" xr:uid="{00000000-0004-0000-0100-00000D150000}"/>
    <hyperlink ref="I7469" r:id="rId5391" xr:uid="{00000000-0004-0000-0100-00000E150000}"/>
    <hyperlink ref="I7470" r:id="rId5392" xr:uid="{00000000-0004-0000-0100-00000F150000}"/>
    <hyperlink ref="I7471" r:id="rId5393" xr:uid="{00000000-0004-0000-0100-000010150000}"/>
    <hyperlink ref="I7472" r:id="rId5394" xr:uid="{00000000-0004-0000-0100-000011150000}"/>
    <hyperlink ref="I7473" r:id="rId5395" xr:uid="{00000000-0004-0000-0100-000012150000}"/>
    <hyperlink ref="I7474" r:id="rId5396" xr:uid="{00000000-0004-0000-0100-000013150000}"/>
    <hyperlink ref="I7475" r:id="rId5397" xr:uid="{00000000-0004-0000-0100-000014150000}"/>
    <hyperlink ref="I7476" r:id="rId5398" xr:uid="{00000000-0004-0000-0100-000015150000}"/>
    <hyperlink ref="I7477" r:id="rId5399" xr:uid="{00000000-0004-0000-0100-000016150000}"/>
    <hyperlink ref="I7478" r:id="rId5400" xr:uid="{00000000-0004-0000-0100-000017150000}"/>
    <hyperlink ref="I7479" r:id="rId5401" xr:uid="{00000000-0004-0000-0100-000018150000}"/>
    <hyperlink ref="I7480" r:id="rId5402" xr:uid="{00000000-0004-0000-0100-000019150000}"/>
    <hyperlink ref="I7481" r:id="rId5403" xr:uid="{00000000-0004-0000-0100-00001A150000}"/>
    <hyperlink ref="I7482" r:id="rId5404" xr:uid="{00000000-0004-0000-0100-00001B150000}"/>
    <hyperlink ref="I7483" r:id="rId5405" xr:uid="{00000000-0004-0000-0100-00001C150000}"/>
    <hyperlink ref="I7484" r:id="rId5406" xr:uid="{00000000-0004-0000-0100-00001D150000}"/>
    <hyperlink ref="I7485" r:id="rId5407" xr:uid="{00000000-0004-0000-0100-00001E150000}"/>
    <hyperlink ref="I7486" r:id="rId5408" xr:uid="{00000000-0004-0000-0100-00001F150000}"/>
    <hyperlink ref="I7487" r:id="rId5409" xr:uid="{00000000-0004-0000-0100-000020150000}"/>
    <hyperlink ref="I7488" r:id="rId5410" xr:uid="{00000000-0004-0000-0100-000021150000}"/>
    <hyperlink ref="I7489" r:id="rId5411" xr:uid="{00000000-0004-0000-0100-000022150000}"/>
    <hyperlink ref="I7490" r:id="rId5412" xr:uid="{00000000-0004-0000-0100-000023150000}"/>
    <hyperlink ref="I7491" r:id="rId5413" xr:uid="{00000000-0004-0000-0100-000024150000}"/>
    <hyperlink ref="I7492" r:id="rId5414" xr:uid="{00000000-0004-0000-0100-000025150000}"/>
    <hyperlink ref="I7493" r:id="rId5415" xr:uid="{00000000-0004-0000-0100-000026150000}"/>
    <hyperlink ref="I7494" r:id="rId5416" xr:uid="{00000000-0004-0000-0100-000027150000}"/>
    <hyperlink ref="I7495" r:id="rId5417" xr:uid="{00000000-0004-0000-0100-000028150000}"/>
    <hyperlink ref="I7496" r:id="rId5418" xr:uid="{00000000-0004-0000-0100-000029150000}"/>
    <hyperlink ref="I7497" r:id="rId5419" xr:uid="{00000000-0004-0000-0100-00002A150000}"/>
    <hyperlink ref="I7498" r:id="rId5420" xr:uid="{00000000-0004-0000-0100-00002B150000}"/>
    <hyperlink ref="I7499" r:id="rId5421" xr:uid="{00000000-0004-0000-0100-00002C150000}"/>
    <hyperlink ref="I7500" r:id="rId5422" xr:uid="{00000000-0004-0000-0100-00002D150000}"/>
    <hyperlink ref="I7501" r:id="rId5423" xr:uid="{00000000-0004-0000-0100-00002E150000}"/>
    <hyperlink ref="I7502" r:id="rId5424" xr:uid="{00000000-0004-0000-0100-00002F150000}"/>
    <hyperlink ref="I7503" r:id="rId5425" xr:uid="{00000000-0004-0000-0100-000030150000}"/>
    <hyperlink ref="I7504" r:id="rId5426" xr:uid="{00000000-0004-0000-0100-000031150000}"/>
    <hyperlink ref="I7505" r:id="rId5427" xr:uid="{00000000-0004-0000-0100-000032150000}"/>
    <hyperlink ref="I7506" r:id="rId5428" xr:uid="{00000000-0004-0000-0100-000033150000}"/>
    <hyperlink ref="I7507" r:id="rId5429" xr:uid="{00000000-0004-0000-0100-000034150000}"/>
    <hyperlink ref="I7508" r:id="rId5430" xr:uid="{00000000-0004-0000-0100-000035150000}"/>
    <hyperlink ref="I7509" r:id="rId5431" xr:uid="{00000000-0004-0000-0100-000036150000}"/>
    <hyperlink ref="I7510" r:id="rId5432" xr:uid="{00000000-0004-0000-0100-000037150000}"/>
    <hyperlink ref="I7511" r:id="rId5433" xr:uid="{00000000-0004-0000-0100-000038150000}"/>
    <hyperlink ref="I7512" r:id="rId5434" xr:uid="{00000000-0004-0000-0100-000039150000}"/>
    <hyperlink ref="I7513" r:id="rId5435" xr:uid="{00000000-0004-0000-0100-00003A150000}"/>
    <hyperlink ref="I7514" r:id="rId5436" xr:uid="{00000000-0004-0000-0100-00003B150000}"/>
    <hyperlink ref="I7515" r:id="rId5437" xr:uid="{00000000-0004-0000-0100-00003C150000}"/>
    <hyperlink ref="I7516" r:id="rId5438" xr:uid="{00000000-0004-0000-0100-00003D150000}"/>
    <hyperlink ref="I7517" r:id="rId5439" xr:uid="{00000000-0004-0000-0100-00003E150000}"/>
    <hyperlink ref="I7518" r:id="rId5440" xr:uid="{00000000-0004-0000-0100-00003F150000}"/>
    <hyperlink ref="I7519" r:id="rId5441" xr:uid="{00000000-0004-0000-0100-000040150000}"/>
    <hyperlink ref="I7520" r:id="rId5442" xr:uid="{00000000-0004-0000-0100-000041150000}"/>
    <hyperlink ref="I7521" r:id="rId5443" xr:uid="{00000000-0004-0000-0100-000042150000}"/>
    <hyperlink ref="I7522" r:id="rId5444" xr:uid="{00000000-0004-0000-0100-000043150000}"/>
    <hyperlink ref="I7523" r:id="rId5445" xr:uid="{00000000-0004-0000-0100-000044150000}"/>
    <hyperlink ref="I7524" r:id="rId5446" xr:uid="{00000000-0004-0000-0100-000045150000}"/>
    <hyperlink ref="I7525" r:id="rId5447" xr:uid="{00000000-0004-0000-0100-000046150000}"/>
    <hyperlink ref="I7526" r:id="rId5448" xr:uid="{00000000-0004-0000-0100-000047150000}"/>
    <hyperlink ref="I7527" r:id="rId5449" xr:uid="{00000000-0004-0000-0100-000048150000}"/>
    <hyperlink ref="I7528" r:id="rId5450" xr:uid="{00000000-0004-0000-0100-000049150000}"/>
    <hyperlink ref="I7529" r:id="rId5451" xr:uid="{00000000-0004-0000-0100-00004A150000}"/>
    <hyperlink ref="I7530" r:id="rId5452" xr:uid="{00000000-0004-0000-0100-00004B150000}"/>
    <hyperlink ref="I7531" r:id="rId5453" xr:uid="{00000000-0004-0000-0100-00004C150000}"/>
    <hyperlink ref="I7532" r:id="rId5454" xr:uid="{00000000-0004-0000-0100-00004D150000}"/>
    <hyperlink ref="I7533" r:id="rId5455" xr:uid="{00000000-0004-0000-0100-00004E150000}"/>
    <hyperlink ref="I7534" r:id="rId5456" xr:uid="{00000000-0004-0000-0100-00004F150000}"/>
    <hyperlink ref="I7535" r:id="rId5457" xr:uid="{00000000-0004-0000-0100-000050150000}"/>
    <hyperlink ref="I7536" r:id="rId5458" xr:uid="{00000000-0004-0000-0100-000051150000}"/>
    <hyperlink ref="I7537" r:id="rId5459" xr:uid="{00000000-0004-0000-0100-000052150000}"/>
    <hyperlink ref="I7538" r:id="rId5460" xr:uid="{00000000-0004-0000-0100-000053150000}"/>
    <hyperlink ref="I7539" r:id="rId5461" xr:uid="{00000000-0004-0000-0100-000054150000}"/>
    <hyperlink ref="I7540" r:id="rId5462" xr:uid="{00000000-0004-0000-0100-000055150000}"/>
    <hyperlink ref="I7541" r:id="rId5463" xr:uid="{00000000-0004-0000-0100-000056150000}"/>
    <hyperlink ref="I7542" r:id="rId5464" xr:uid="{00000000-0004-0000-0100-000057150000}"/>
    <hyperlink ref="I7543" r:id="rId5465" xr:uid="{00000000-0004-0000-0100-000058150000}"/>
    <hyperlink ref="I7544" r:id="rId5466" xr:uid="{00000000-0004-0000-0100-000059150000}"/>
    <hyperlink ref="I7545" r:id="rId5467" xr:uid="{00000000-0004-0000-0100-00005A150000}"/>
    <hyperlink ref="I7546" r:id="rId5468" xr:uid="{00000000-0004-0000-0100-00005B150000}"/>
    <hyperlink ref="I7547" r:id="rId5469" xr:uid="{00000000-0004-0000-0100-00005C150000}"/>
    <hyperlink ref="I7548" r:id="rId5470" xr:uid="{00000000-0004-0000-0100-00005D150000}"/>
    <hyperlink ref="I7549" r:id="rId5471" xr:uid="{00000000-0004-0000-0100-00005E150000}"/>
    <hyperlink ref="I7550" r:id="rId5472" xr:uid="{00000000-0004-0000-0100-00005F150000}"/>
    <hyperlink ref="I7551" r:id="rId5473" xr:uid="{00000000-0004-0000-0100-000060150000}"/>
    <hyperlink ref="I7552" r:id="rId5474" xr:uid="{00000000-0004-0000-0100-000061150000}"/>
    <hyperlink ref="I7553" r:id="rId5475" xr:uid="{00000000-0004-0000-0100-000062150000}"/>
    <hyperlink ref="I7554" r:id="rId5476" xr:uid="{00000000-0004-0000-0100-000063150000}"/>
    <hyperlink ref="I7555" r:id="rId5477" xr:uid="{00000000-0004-0000-0100-000064150000}"/>
    <hyperlink ref="I7556" r:id="rId5478" xr:uid="{00000000-0004-0000-0100-000065150000}"/>
    <hyperlink ref="I7557" r:id="rId5479" xr:uid="{00000000-0004-0000-0100-000066150000}"/>
    <hyperlink ref="I7558" r:id="rId5480" xr:uid="{00000000-0004-0000-0100-000067150000}"/>
    <hyperlink ref="I7559" r:id="rId5481" xr:uid="{00000000-0004-0000-0100-000068150000}"/>
    <hyperlink ref="I7560" r:id="rId5482" xr:uid="{00000000-0004-0000-0100-000069150000}"/>
    <hyperlink ref="I7561" r:id="rId5483" xr:uid="{00000000-0004-0000-0100-00006A150000}"/>
    <hyperlink ref="I7562" r:id="rId5484" xr:uid="{00000000-0004-0000-0100-00006B150000}"/>
    <hyperlink ref="I7563" r:id="rId5485" xr:uid="{00000000-0004-0000-0100-00006C150000}"/>
    <hyperlink ref="I7564" r:id="rId5486" xr:uid="{00000000-0004-0000-0100-00006D150000}"/>
    <hyperlink ref="I7565" r:id="rId5487" xr:uid="{00000000-0004-0000-0100-00006E150000}"/>
    <hyperlink ref="I7566" r:id="rId5488" xr:uid="{00000000-0004-0000-0100-00006F150000}"/>
    <hyperlink ref="I7567" r:id="rId5489" xr:uid="{00000000-0004-0000-0100-000070150000}"/>
    <hyperlink ref="I7568" r:id="rId5490" xr:uid="{00000000-0004-0000-0100-000071150000}"/>
    <hyperlink ref="I7569" r:id="rId5491" xr:uid="{00000000-0004-0000-0100-000072150000}"/>
    <hyperlink ref="I7570" r:id="rId5492" xr:uid="{00000000-0004-0000-0100-000073150000}"/>
    <hyperlink ref="I7571" r:id="rId5493" xr:uid="{00000000-0004-0000-0100-000074150000}"/>
    <hyperlink ref="I7572" r:id="rId5494" xr:uid="{00000000-0004-0000-0100-000075150000}"/>
    <hyperlink ref="I7573" r:id="rId5495" xr:uid="{00000000-0004-0000-0100-000076150000}"/>
    <hyperlink ref="I7574" r:id="rId5496" xr:uid="{00000000-0004-0000-0100-000077150000}"/>
    <hyperlink ref="I7575" r:id="rId5497" xr:uid="{00000000-0004-0000-0100-000078150000}"/>
    <hyperlink ref="I7576" r:id="rId5498" xr:uid="{00000000-0004-0000-0100-000079150000}"/>
    <hyperlink ref="I7577" r:id="rId5499" xr:uid="{00000000-0004-0000-0100-00007A150000}"/>
    <hyperlink ref="I7578" r:id="rId5500" xr:uid="{00000000-0004-0000-0100-00007B150000}"/>
    <hyperlink ref="I7579" r:id="rId5501" xr:uid="{00000000-0004-0000-0100-00007C150000}"/>
    <hyperlink ref="I7580" r:id="rId5502" xr:uid="{00000000-0004-0000-0100-00007D150000}"/>
    <hyperlink ref="I7581" r:id="rId5503" xr:uid="{00000000-0004-0000-0100-00007E150000}"/>
    <hyperlink ref="I7582" r:id="rId5504" xr:uid="{00000000-0004-0000-0100-00007F150000}"/>
    <hyperlink ref="I7583" r:id="rId5505" xr:uid="{00000000-0004-0000-0100-000080150000}"/>
    <hyperlink ref="I7584" r:id="rId5506" xr:uid="{00000000-0004-0000-0100-000081150000}"/>
    <hyperlink ref="I7585" r:id="rId5507" xr:uid="{00000000-0004-0000-0100-000082150000}"/>
    <hyperlink ref="I7586" r:id="rId5508" xr:uid="{00000000-0004-0000-0100-000083150000}"/>
    <hyperlink ref="I7587" r:id="rId5509" xr:uid="{00000000-0004-0000-0100-000084150000}"/>
    <hyperlink ref="I7588" r:id="rId5510" xr:uid="{00000000-0004-0000-0100-000085150000}"/>
    <hyperlink ref="I7589" r:id="rId5511" xr:uid="{00000000-0004-0000-0100-000086150000}"/>
    <hyperlink ref="I7590" r:id="rId5512" xr:uid="{00000000-0004-0000-0100-000087150000}"/>
    <hyperlink ref="I7591" r:id="rId5513" xr:uid="{00000000-0004-0000-0100-000088150000}"/>
    <hyperlink ref="I7592" r:id="rId5514" xr:uid="{00000000-0004-0000-0100-000089150000}"/>
    <hyperlink ref="I7593" r:id="rId5515" xr:uid="{00000000-0004-0000-0100-00008A150000}"/>
    <hyperlink ref="I7594" r:id="rId5516" xr:uid="{00000000-0004-0000-0100-00008B150000}"/>
    <hyperlink ref="I7595" r:id="rId5517" xr:uid="{00000000-0004-0000-0100-00008C150000}"/>
    <hyperlink ref="I7596" r:id="rId5518" xr:uid="{00000000-0004-0000-0100-00008D150000}"/>
    <hyperlink ref="I7597" r:id="rId5519" xr:uid="{00000000-0004-0000-0100-00008E150000}"/>
    <hyperlink ref="I7598" r:id="rId5520" xr:uid="{00000000-0004-0000-0100-00008F150000}"/>
    <hyperlink ref="I7599" r:id="rId5521" xr:uid="{00000000-0004-0000-0100-000090150000}"/>
    <hyperlink ref="I7600" r:id="rId5522" xr:uid="{00000000-0004-0000-0100-000091150000}"/>
    <hyperlink ref="I7601" r:id="rId5523" xr:uid="{00000000-0004-0000-0100-000092150000}"/>
    <hyperlink ref="I7602" r:id="rId5524" xr:uid="{00000000-0004-0000-0100-000093150000}"/>
    <hyperlink ref="I7603" r:id="rId5525" xr:uid="{00000000-0004-0000-0100-000094150000}"/>
    <hyperlink ref="I7604" r:id="rId5526" xr:uid="{00000000-0004-0000-0100-000095150000}"/>
    <hyperlink ref="I7605" r:id="rId5527" xr:uid="{00000000-0004-0000-0100-000096150000}"/>
    <hyperlink ref="I7606" r:id="rId5528" xr:uid="{00000000-0004-0000-0100-000097150000}"/>
    <hyperlink ref="I7607" r:id="rId5529" xr:uid="{00000000-0004-0000-0100-000098150000}"/>
    <hyperlink ref="I7608" r:id="rId5530" xr:uid="{00000000-0004-0000-0100-000099150000}"/>
    <hyperlink ref="I7609" r:id="rId5531" xr:uid="{00000000-0004-0000-0100-00009A150000}"/>
    <hyperlink ref="I7610" r:id="rId5532" xr:uid="{00000000-0004-0000-0100-00009B150000}"/>
    <hyperlink ref="I7611" r:id="rId5533" xr:uid="{00000000-0004-0000-0100-00009C150000}"/>
    <hyperlink ref="I7612" r:id="rId5534" xr:uid="{00000000-0004-0000-0100-00009D150000}"/>
    <hyperlink ref="I7613" r:id="rId5535" xr:uid="{00000000-0004-0000-0100-00009E150000}"/>
    <hyperlink ref="I7614" r:id="rId5536" xr:uid="{00000000-0004-0000-0100-00009F150000}"/>
    <hyperlink ref="I7615" r:id="rId5537" xr:uid="{00000000-0004-0000-0100-0000A0150000}"/>
    <hyperlink ref="I7616" r:id="rId5538" xr:uid="{00000000-0004-0000-0100-0000A1150000}"/>
    <hyperlink ref="I7617" r:id="rId5539" xr:uid="{00000000-0004-0000-0100-0000A2150000}"/>
    <hyperlink ref="I7618" r:id="rId5540" xr:uid="{00000000-0004-0000-0100-0000A3150000}"/>
    <hyperlink ref="I7619" r:id="rId5541" xr:uid="{00000000-0004-0000-0100-0000A4150000}"/>
    <hyperlink ref="I7620" r:id="rId5542" xr:uid="{00000000-0004-0000-0100-0000A5150000}"/>
    <hyperlink ref="I7621" r:id="rId5543" xr:uid="{00000000-0004-0000-0100-0000A6150000}"/>
    <hyperlink ref="I7622" r:id="rId5544" xr:uid="{00000000-0004-0000-0100-0000A7150000}"/>
    <hyperlink ref="I7623" r:id="rId5545" xr:uid="{00000000-0004-0000-0100-0000A8150000}"/>
    <hyperlink ref="I7624" r:id="rId5546" xr:uid="{00000000-0004-0000-0100-0000A9150000}"/>
    <hyperlink ref="I7625" r:id="rId5547" xr:uid="{00000000-0004-0000-0100-0000AA150000}"/>
    <hyperlink ref="I7626" r:id="rId5548" xr:uid="{00000000-0004-0000-0100-0000AB150000}"/>
    <hyperlink ref="I7627" r:id="rId5549" xr:uid="{00000000-0004-0000-0100-0000AC150000}"/>
    <hyperlink ref="I7628" r:id="rId5550" xr:uid="{00000000-0004-0000-0100-0000AD150000}"/>
    <hyperlink ref="I7629" r:id="rId5551" xr:uid="{00000000-0004-0000-0100-0000AE150000}"/>
    <hyperlink ref="I7630" r:id="rId5552" xr:uid="{00000000-0004-0000-0100-0000AF150000}"/>
    <hyperlink ref="I7631" r:id="rId5553" xr:uid="{00000000-0004-0000-0100-0000B0150000}"/>
    <hyperlink ref="I7632" r:id="rId5554" xr:uid="{00000000-0004-0000-0100-0000B1150000}"/>
    <hyperlink ref="I7633" r:id="rId5555" xr:uid="{00000000-0004-0000-0100-0000B2150000}"/>
    <hyperlink ref="I7634" r:id="rId5556" xr:uid="{00000000-0004-0000-0100-0000B3150000}"/>
    <hyperlink ref="I7635" r:id="rId5557" xr:uid="{00000000-0004-0000-0100-0000B4150000}"/>
    <hyperlink ref="I7636" r:id="rId5558" xr:uid="{00000000-0004-0000-0100-0000B5150000}"/>
    <hyperlink ref="I7637" r:id="rId5559" xr:uid="{00000000-0004-0000-0100-0000B6150000}"/>
    <hyperlink ref="I7638" r:id="rId5560" xr:uid="{00000000-0004-0000-0100-0000B7150000}"/>
    <hyperlink ref="I7639" r:id="rId5561" xr:uid="{00000000-0004-0000-0100-0000B8150000}"/>
    <hyperlink ref="I7640" r:id="rId5562" xr:uid="{00000000-0004-0000-0100-0000B9150000}"/>
    <hyperlink ref="I7641" r:id="rId5563" xr:uid="{00000000-0004-0000-0100-0000BA150000}"/>
    <hyperlink ref="I7642" r:id="rId5564" xr:uid="{00000000-0004-0000-0100-0000BB150000}"/>
    <hyperlink ref="I7643" r:id="rId5565" xr:uid="{00000000-0004-0000-0100-0000BC150000}"/>
    <hyperlink ref="I7644" r:id="rId5566" xr:uid="{00000000-0004-0000-0100-0000BD150000}"/>
    <hyperlink ref="I7645" r:id="rId5567" xr:uid="{00000000-0004-0000-0100-0000BE150000}"/>
    <hyperlink ref="I7646" r:id="rId5568" xr:uid="{00000000-0004-0000-0100-0000BF150000}"/>
    <hyperlink ref="I7647" r:id="rId5569" xr:uid="{00000000-0004-0000-0100-0000C0150000}"/>
    <hyperlink ref="I7648" r:id="rId5570" xr:uid="{00000000-0004-0000-0100-0000C1150000}"/>
    <hyperlink ref="I7649" r:id="rId5571" xr:uid="{00000000-0004-0000-0100-0000C2150000}"/>
    <hyperlink ref="I7650" r:id="rId5572" xr:uid="{00000000-0004-0000-0100-0000C3150000}"/>
    <hyperlink ref="I7651" r:id="rId5573" xr:uid="{00000000-0004-0000-0100-0000C4150000}"/>
    <hyperlink ref="I7652" r:id="rId5574" xr:uid="{00000000-0004-0000-0100-0000C5150000}"/>
    <hyperlink ref="I7653" r:id="rId5575" xr:uid="{00000000-0004-0000-0100-0000C6150000}"/>
    <hyperlink ref="I7654" r:id="rId5576" xr:uid="{00000000-0004-0000-0100-0000C7150000}"/>
    <hyperlink ref="I7655" r:id="rId5577" xr:uid="{00000000-0004-0000-0100-0000C8150000}"/>
    <hyperlink ref="I7656" r:id="rId5578" xr:uid="{00000000-0004-0000-0100-0000C9150000}"/>
    <hyperlink ref="I7657" r:id="rId5579" xr:uid="{00000000-0004-0000-0100-0000CA150000}"/>
    <hyperlink ref="I7658" r:id="rId5580" xr:uid="{00000000-0004-0000-0100-0000CB150000}"/>
    <hyperlink ref="I7659" r:id="rId5581" xr:uid="{00000000-0004-0000-0100-0000CC150000}"/>
    <hyperlink ref="I7660" r:id="rId5582" xr:uid="{00000000-0004-0000-0100-0000CD150000}"/>
    <hyperlink ref="I7661" r:id="rId5583" xr:uid="{00000000-0004-0000-0100-0000CE150000}"/>
    <hyperlink ref="I7662" r:id="rId5584" xr:uid="{00000000-0004-0000-0100-0000CF150000}"/>
    <hyperlink ref="I7663" r:id="rId5585" xr:uid="{00000000-0004-0000-0100-0000D0150000}"/>
    <hyperlink ref="I7664" r:id="rId5586" xr:uid="{00000000-0004-0000-0100-0000D1150000}"/>
    <hyperlink ref="I7665" r:id="rId5587" xr:uid="{00000000-0004-0000-0100-0000D2150000}"/>
    <hyperlink ref="I7666" r:id="rId5588" xr:uid="{00000000-0004-0000-0100-0000D3150000}"/>
    <hyperlink ref="I7667" r:id="rId5589" xr:uid="{00000000-0004-0000-0100-0000D4150000}"/>
    <hyperlink ref="I7668" r:id="rId5590" xr:uid="{00000000-0004-0000-0100-0000D5150000}"/>
    <hyperlink ref="I7669" r:id="rId5591" xr:uid="{00000000-0004-0000-0100-0000D6150000}"/>
    <hyperlink ref="I7670" r:id="rId5592" xr:uid="{00000000-0004-0000-0100-0000D7150000}"/>
    <hyperlink ref="I7671" r:id="rId5593" xr:uid="{00000000-0004-0000-0100-0000D8150000}"/>
    <hyperlink ref="I7672" r:id="rId5594" xr:uid="{00000000-0004-0000-0100-0000D9150000}"/>
    <hyperlink ref="I7673" r:id="rId5595" xr:uid="{00000000-0004-0000-0100-0000DA150000}"/>
    <hyperlink ref="I7674" r:id="rId5596" xr:uid="{00000000-0004-0000-0100-0000DB150000}"/>
    <hyperlink ref="I7675" r:id="rId5597" xr:uid="{00000000-0004-0000-0100-0000DC150000}"/>
    <hyperlink ref="I7676" r:id="rId5598" xr:uid="{00000000-0004-0000-0100-0000DD150000}"/>
    <hyperlink ref="I7677" r:id="rId5599" xr:uid="{00000000-0004-0000-0100-0000DE150000}"/>
    <hyperlink ref="I7678" r:id="rId5600" xr:uid="{00000000-0004-0000-0100-0000DF150000}"/>
    <hyperlink ref="I7679" r:id="rId5601" xr:uid="{00000000-0004-0000-0100-0000E0150000}"/>
    <hyperlink ref="I7680" r:id="rId5602" xr:uid="{00000000-0004-0000-0100-0000E1150000}"/>
    <hyperlink ref="I7681" r:id="rId5603" xr:uid="{00000000-0004-0000-0100-0000E2150000}"/>
    <hyperlink ref="I7682" r:id="rId5604" xr:uid="{00000000-0004-0000-0100-0000E3150000}"/>
    <hyperlink ref="I7683" r:id="rId5605" xr:uid="{00000000-0004-0000-0100-0000E4150000}"/>
    <hyperlink ref="I7684" r:id="rId5606" xr:uid="{00000000-0004-0000-0100-0000E5150000}"/>
    <hyperlink ref="I7685" r:id="rId5607" xr:uid="{00000000-0004-0000-0100-0000E6150000}"/>
    <hyperlink ref="I7686" r:id="rId5608" xr:uid="{00000000-0004-0000-0100-0000E7150000}"/>
    <hyperlink ref="I7687" r:id="rId5609" xr:uid="{00000000-0004-0000-0100-0000E8150000}"/>
    <hyperlink ref="I7688" r:id="rId5610" xr:uid="{00000000-0004-0000-0100-0000E9150000}"/>
    <hyperlink ref="I7689" r:id="rId5611" xr:uid="{00000000-0004-0000-0100-0000EA150000}"/>
    <hyperlink ref="I7690" r:id="rId5612" xr:uid="{00000000-0004-0000-0100-0000EB150000}"/>
    <hyperlink ref="I7691" r:id="rId5613" xr:uid="{00000000-0004-0000-0100-0000EC150000}"/>
    <hyperlink ref="I7692" r:id="rId5614" xr:uid="{00000000-0004-0000-0100-0000ED150000}"/>
    <hyperlink ref="I7693" r:id="rId5615" xr:uid="{00000000-0004-0000-0100-0000EE150000}"/>
    <hyperlink ref="I7694" r:id="rId5616" xr:uid="{00000000-0004-0000-0100-0000EF150000}"/>
    <hyperlink ref="I7695" r:id="rId5617" xr:uid="{00000000-0004-0000-0100-0000F0150000}"/>
    <hyperlink ref="I7696" r:id="rId5618" xr:uid="{00000000-0004-0000-0100-0000F1150000}"/>
    <hyperlink ref="I7697" r:id="rId5619" xr:uid="{00000000-0004-0000-0100-0000F2150000}"/>
    <hyperlink ref="I7698" r:id="rId5620" xr:uid="{00000000-0004-0000-0100-0000F3150000}"/>
    <hyperlink ref="I7699" r:id="rId5621" xr:uid="{00000000-0004-0000-0100-0000F4150000}"/>
    <hyperlink ref="I7700" r:id="rId5622" xr:uid="{00000000-0004-0000-0100-0000F5150000}"/>
    <hyperlink ref="I7701" r:id="rId5623" xr:uid="{00000000-0004-0000-0100-0000F6150000}"/>
    <hyperlink ref="I7702" r:id="rId5624" xr:uid="{00000000-0004-0000-0100-0000F7150000}"/>
    <hyperlink ref="I7703" r:id="rId5625" xr:uid="{00000000-0004-0000-0100-0000F8150000}"/>
    <hyperlink ref="I7704" r:id="rId5626" xr:uid="{00000000-0004-0000-0100-0000F9150000}"/>
    <hyperlink ref="I7705" r:id="rId5627" xr:uid="{00000000-0004-0000-0100-0000FA150000}"/>
    <hyperlink ref="I7706" r:id="rId5628" xr:uid="{00000000-0004-0000-0100-0000FB150000}"/>
    <hyperlink ref="I7707" r:id="rId5629" xr:uid="{00000000-0004-0000-0100-0000FC150000}"/>
    <hyperlink ref="I7708" r:id="rId5630" xr:uid="{00000000-0004-0000-0100-0000FD150000}"/>
    <hyperlink ref="I7709" r:id="rId5631" xr:uid="{00000000-0004-0000-0100-0000FE150000}"/>
    <hyperlink ref="I7710" r:id="rId5632" xr:uid="{00000000-0004-0000-0100-0000FF150000}"/>
    <hyperlink ref="I7711" r:id="rId5633" xr:uid="{00000000-0004-0000-0100-000000160000}"/>
    <hyperlink ref="I7712" r:id="rId5634" xr:uid="{00000000-0004-0000-0100-000001160000}"/>
    <hyperlink ref="I7713" r:id="rId5635" xr:uid="{00000000-0004-0000-0100-000002160000}"/>
    <hyperlink ref="I7714" r:id="rId5636" xr:uid="{00000000-0004-0000-0100-000003160000}"/>
    <hyperlink ref="I7715" r:id="rId5637" xr:uid="{00000000-0004-0000-0100-000004160000}"/>
    <hyperlink ref="I7716" r:id="rId5638" xr:uid="{00000000-0004-0000-0100-000005160000}"/>
    <hyperlink ref="I7717" r:id="rId5639" xr:uid="{00000000-0004-0000-0100-000006160000}"/>
    <hyperlink ref="I7718" r:id="rId5640" xr:uid="{00000000-0004-0000-0100-000007160000}"/>
    <hyperlink ref="I7719" r:id="rId5641" xr:uid="{00000000-0004-0000-0100-000008160000}"/>
    <hyperlink ref="I7720" r:id="rId5642" xr:uid="{00000000-0004-0000-0100-000009160000}"/>
    <hyperlink ref="I7721" r:id="rId5643" xr:uid="{00000000-0004-0000-0100-00000A160000}"/>
    <hyperlink ref="I7722" r:id="rId5644" xr:uid="{00000000-0004-0000-0100-00000B160000}"/>
    <hyperlink ref="I7723" r:id="rId5645" xr:uid="{00000000-0004-0000-0100-00000C160000}"/>
    <hyperlink ref="I7724" r:id="rId5646" xr:uid="{00000000-0004-0000-0100-00000D160000}"/>
    <hyperlink ref="I7725" r:id="rId5647" xr:uid="{00000000-0004-0000-0100-00000E160000}"/>
    <hyperlink ref="I7726" r:id="rId5648" xr:uid="{00000000-0004-0000-0100-00000F160000}"/>
    <hyperlink ref="I7727" r:id="rId5649" xr:uid="{00000000-0004-0000-0100-000010160000}"/>
    <hyperlink ref="I7728" r:id="rId5650" xr:uid="{00000000-0004-0000-0100-000011160000}"/>
    <hyperlink ref="I7729" r:id="rId5651" xr:uid="{00000000-0004-0000-0100-000012160000}"/>
    <hyperlink ref="I7730" r:id="rId5652" xr:uid="{00000000-0004-0000-0100-000013160000}"/>
    <hyperlink ref="I7731" r:id="rId5653" xr:uid="{00000000-0004-0000-0100-000014160000}"/>
    <hyperlink ref="I7732" r:id="rId5654" xr:uid="{00000000-0004-0000-0100-000015160000}"/>
    <hyperlink ref="I7733" r:id="rId5655" xr:uid="{00000000-0004-0000-0100-000016160000}"/>
    <hyperlink ref="I7734" r:id="rId5656" xr:uid="{00000000-0004-0000-0100-000017160000}"/>
    <hyperlink ref="I7735" r:id="rId5657" xr:uid="{00000000-0004-0000-0100-000018160000}"/>
    <hyperlink ref="I7736" r:id="rId5658" xr:uid="{00000000-0004-0000-0100-000019160000}"/>
    <hyperlink ref="I7737" r:id="rId5659" xr:uid="{00000000-0004-0000-0100-00001A160000}"/>
    <hyperlink ref="I7738" r:id="rId5660" xr:uid="{00000000-0004-0000-0100-00001B160000}"/>
    <hyperlink ref="I7739" r:id="rId5661" xr:uid="{00000000-0004-0000-0100-00001C160000}"/>
    <hyperlink ref="I7740" r:id="rId5662" xr:uid="{00000000-0004-0000-0100-00001D160000}"/>
    <hyperlink ref="I7741" r:id="rId5663" xr:uid="{00000000-0004-0000-0100-00001E160000}"/>
    <hyperlink ref="I7742" r:id="rId5664" xr:uid="{00000000-0004-0000-0100-00001F160000}"/>
    <hyperlink ref="I7743" r:id="rId5665" xr:uid="{00000000-0004-0000-0100-000020160000}"/>
    <hyperlink ref="I7744" r:id="rId5666" xr:uid="{00000000-0004-0000-0100-000021160000}"/>
    <hyperlink ref="I7745" r:id="rId5667" xr:uid="{00000000-0004-0000-0100-000022160000}"/>
    <hyperlink ref="I7746" r:id="rId5668" xr:uid="{00000000-0004-0000-0100-000023160000}"/>
    <hyperlink ref="I7747" r:id="rId5669" xr:uid="{00000000-0004-0000-0100-000024160000}"/>
    <hyperlink ref="I7748" r:id="rId5670" xr:uid="{00000000-0004-0000-0100-000025160000}"/>
    <hyperlink ref="I7749" r:id="rId5671" xr:uid="{00000000-0004-0000-0100-000026160000}"/>
    <hyperlink ref="I7750" r:id="rId5672" xr:uid="{00000000-0004-0000-0100-000027160000}"/>
    <hyperlink ref="I7751" r:id="rId5673" xr:uid="{00000000-0004-0000-0100-000028160000}"/>
    <hyperlink ref="I7752" r:id="rId5674" xr:uid="{00000000-0004-0000-0100-000029160000}"/>
    <hyperlink ref="I7753" r:id="rId5675" xr:uid="{00000000-0004-0000-0100-00002A160000}"/>
    <hyperlink ref="I7754" r:id="rId5676" xr:uid="{00000000-0004-0000-0100-00002B160000}"/>
    <hyperlink ref="I7755" r:id="rId5677" xr:uid="{00000000-0004-0000-0100-00002C160000}"/>
    <hyperlink ref="I7756" r:id="rId5678" xr:uid="{00000000-0004-0000-0100-00002D160000}"/>
    <hyperlink ref="I7757" r:id="rId5679" xr:uid="{00000000-0004-0000-0100-00002E160000}"/>
    <hyperlink ref="I7758" r:id="rId5680" xr:uid="{00000000-0004-0000-0100-00002F160000}"/>
    <hyperlink ref="I7759" r:id="rId5681" xr:uid="{00000000-0004-0000-0100-000030160000}"/>
    <hyperlink ref="I7760" r:id="rId5682" xr:uid="{00000000-0004-0000-0100-000031160000}"/>
    <hyperlink ref="I7761" r:id="rId5683" xr:uid="{00000000-0004-0000-0100-000032160000}"/>
    <hyperlink ref="I7762" r:id="rId5684" xr:uid="{00000000-0004-0000-0100-000033160000}"/>
    <hyperlink ref="I7763" r:id="rId5685" xr:uid="{00000000-0004-0000-0100-000034160000}"/>
    <hyperlink ref="I7764" r:id="rId5686" xr:uid="{00000000-0004-0000-0100-000035160000}"/>
    <hyperlink ref="I7765" r:id="rId5687" xr:uid="{00000000-0004-0000-0100-000036160000}"/>
    <hyperlink ref="I7766" r:id="rId5688" xr:uid="{00000000-0004-0000-0100-000037160000}"/>
    <hyperlink ref="I7767" r:id="rId5689" xr:uid="{00000000-0004-0000-0100-000038160000}"/>
    <hyperlink ref="I7768" r:id="rId5690" xr:uid="{00000000-0004-0000-0100-000039160000}"/>
    <hyperlink ref="I7769" r:id="rId5691" xr:uid="{00000000-0004-0000-0100-00003A160000}"/>
    <hyperlink ref="I7770" r:id="rId5692" xr:uid="{00000000-0004-0000-0100-00003B160000}"/>
    <hyperlink ref="I7771" r:id="rId5693" xr:uid="{00000000-0004-0000-0100-00003C160000}"/>
    <hyperlink ref="I7772" r:id="rId5694" xr:uid="{00000000-0004-0000-0100-00003D160000}"/>
    <hyperlink ref="I7773" r:id="rId5695" xr:uid="{00000000-0004-0000-0100-00003E160000}"/>
    <hyperlink ref="I7774" r:id="rId5696" xr:uid="{00000000-0004-0000-0100-00003F160000}"/>
    <hyperlink ref="I7775" r:id="rId5697" xr:uid="{00000000-0004-0000-0100-000040160000}"/>
    <hyperlink ref="I7776" r:id="rId5698" xr:uid="{00000000-0004-0000-0100-000041160000}"/>
    <hyperlink ref="I7777" r:id="rId5699" xr:uid="{00000000-0004-0000-0100-000042160000}"/>
    <hyperlink ref="I7778" r:id="rId5700" xr:uid="{00000000-0004-0000-0100-000043160000}"/>
    <hyperlink ref="I7779" r:id="rId5701" xr:uid="{00000000-0004-0000-0100-000044160000}"/>
    <hyperlink ref="I7780" r:id="rId5702" xr:uid="{00000000-0004-0000-0100-000045160000}"/>
    <hyperlink ref="I7781" r:id="rId5703" xr:uid="{00000000-0004-0000-0100-000046160000}"/>
    <hyperlink ref="I7782" r:id="rId5704" xr:uid="{00000000-0004-0000-0100-000047160000}"/>
    <hyperlink ref="I7783" r:id="rId5705" xr:uid="{00000000-0004-0000-0100-000048160000}"/>
    <hyperlink ref="I7784" r:id="rId5706" xr:uid="{00000000-0004-0000-0100-000049160000}"/>
    <hyperlink ref="I7785" r:id="rId5707" xr:uid="{00000000-0004-0000-0100-00004A160000}"/>
    <hyperlink ref="I7786" r:id="rId5708" xr:uid="{00000000-0004-0000-0100-00004B160000}"/>
    <hyperlink ref="I7787" r:id="rId5709" xr:uid="{00000000-0004-0000-0100-00004C160000}"/>
    <hyperlink ref="I7788" r:id="rId5710" xr:uid="{00000000-0004-0000-0100-00004D160000}"/>
    <hyperlink ref="I7789" r:id="rId5711" xr:uid="{00000000-0004-0000-0100-00004E160000}"/>
    <hyperlink ref="I7790" r:id="rId5712" xr:uid="{00000000-0004-0000-0100-00004F160000}"/>
    <hyperlink ref="I7791" r:id="rId5713" xr:uid="{00000000-0004-0000-0100-000050160000}"/>
    <hyperlink ref="I7792" r:id="rId5714" xr:uid="{00000000-0004-0000-0100-000051160000}"/>
    <hyperlink ref="I7793" r:id="rId5715" xr:uid="{00000000-0004-0000-0100-000052160000}"/>
    <hyperlink ref="I7794" r:id="rId5716" xr:uid="{00000000-0004-0000-0100-000053160000}"/>
    <hyperlink ref="I7795" r:id="rId5717" xr:uid="{00000000-0004-0000-0100-000054160000}"/>
    <hyperlink ref="I7796" r:id="rId5718" xr:uid="{00000000-0004-0000-0100-000055160000}"/>
    <hyperlink ref="I7797" r:id="rId5719" xr:uid="{00000000-0004-0000-0100-000056160000}"/>
    <hyperlink ref="I7798" r:id="rId5720" xr:uid="{00000000-0004-0000-0100-000057160000}"/>
    <hyperlink ref="I7799" r:id="rId5721" xr:uid="{00000000-0004-0000-0100-000058160000}"/>
    <hyperlink ref="I7800" r:id="rId5722" xr:uid="{00000000-0004-0000-0100-000059160000}"/>
    <hyperlink ref="I7801" r:id="rId5723" xr:uid="{00000000-0004-0000-0100-00005A160000}"/>
    <hyperlink ref="I7802" r:id="rId5724" xr:uid="{00000000-0004-0000-0100-00005B160000}"/>
    <hyperlink ref="I7803" r:id="rId5725" xr:uid="{00000000-0004-0000-0100-00005C160000}"/>
    <hyperlink ref="I7804" r:id="rId5726" xr:uid="{00000000-0004-0000-0100-00005D160000}"/>
    <hyperlink ref="I7805" r:id="rId5727" xr:uid="{00000000-0004-0000-0100-00005E160000}"/>
    <hyperlink ref="I7806" r:id="rId5728" xr:uid="{00000000-0004-0000-0100-00005F160000}"/>
    <hyperlink ref="I7807" r:id="rId5729" xr:uid="{00000000-0004-0000-0100-000060160000}"/>
    <hyperlink ref="I7808" r:id="rId5730" xr:uid="{00000000-0004-0000-0100-000061160000}"/>
    <hyperlink ref="I7809" r:id="rId5731" xr:uid="{00000000-0004-0000-0100-000062160000}"/>
    <hyperlink ref="I7810" r:id="rId5732" xr:uid="{00000000-0004-0000-0100-000063160000}"/>
    <hyperlink ref="I7811" r:id="rId5733" xr:uid="{00000000-0004-0000-0100-000064160000}"/>
    <hyperlink ref="I7812" r:id="rId5734" xr:uid="{00000000-0004-0000-0100-000065160000}"/>
    <hyperlink ref="I7813" r:id="rId5735" xr:uid="{00000000-0004-0000-0100-000066160000}"/>
    <hyperlink ref="I7814" r:id="rId5736" xr:uid="{00000000-0004-0000-0100-000067160000}"/>
    <hyperlink ref="I7815" r:id="rId5737" xr:uid="{00000000-0004-0000-0100-000068160000}"/>
    <hyperlink ref="I7816" r:id="rId5738" xr:uid="{00000000-0004-0000-0100-000069160000}"/>
    <hyperlink ref="I7817" r:id="rId5739" xr:uid="{00000000-0004-0000-0100-00006A160000}"/>
    <hyperlink ref="I7818" r:id="rId5740" xr:uid="{00000000-0004-0000-0100-00006B160000}"/>
    <hyperlink ref="I7819" r:id="rId5741" xr:uid="{00000000-0004-0000-0100-00006C160000}"/>
    <hyperlink ref="I7820" r:id="rId5742" xr:uid="{00000000-0004-0000-0100-00006D160000}"/>
    <hyperlink ref="I7821" r:id="rId5743" xr:uid="{00000000-0004-0000-0100-00006E160000}"/>
    <hyperlink ref="I7822" r:id="rId5744" xr:uid="{00000000-0004-0000-0100-00006F160000}"/>
    <hyperlink ref="I7823" r:id="rId5745" xr:uid="{00000000-0004-0000-0100-000070160000}"/>
    <hyperlink ref="I7824" r:id="rId5746" xr:uid="{00000000-0004-0000-0100-000071160000}"/>
    <hyperlink ref="I7825" r:id="rId5747" xr:uid="{00000000-0004-0000-0100-000072160000}"/>
    <hyperlink ref="I7826" r:id="rId5748" xr:uid="{00000000-0004-0000-0100-000073160000}"/>
    <hyperlink ref="I7827" r:id="rId5749" xr:uid="{00000000-0004-0000-0100-000074160000}"/>
    <hyperlink ref="I7828" r:id="rId5750" xr:uid="{00000000-0004-0000-0100-000075160000}"/>
    <hyperlink ref="I7829" r:id="rId5751" xr:uid="{00000000-0004-0000-0100-000076160000}"/>
    <hyperlink ref="I7830" r:id="rId5752" xr:uid="{00000000-0004-0000-0100-000077160000}"/>
    <hyperlink ref="I7831" r:id="rId5753" xr:uid="{00000000-0004-0000-0100-000078160000}"/>
    <hyperlink ref="I7832" r:id="rId5754" xr:uid="{00000000-0004-0000-0100-000079160000}"/>
    <hyperlink ref="I7833" r:id="rId5755" xr:uid="{00000000-0004-0000-0100-00007A160000}"/>
    <hyperlink ref="I7834" r:id="rId5756" xr:uid="{00000000-0004-0000-0100-00007B160000}"/>
    <hyperlink ref="I7835" r:id="rId5757" xr:uid="{00000000-0004-0000-0100-00007C160000}"/>
    <hyperlink ref="I7836" r:id="rId5758" xr:uid="{00000000-0004-0000-0100-00007D160000}"/>
    <hyperlink ref="I7837" r:id="rId5759" xr:uid="{00000000-0004-0000-0100-00007E160000}"/>
    <hyperlink ref="I7838" r:id="rId5760" xr:uid="{00000000-0004-0000-0100-00007F160000}"/>
    <hyperlink ref="I7839" r:id="rId5761" xr:uid="{00000000-0004-0000-0100-000080160000}"/>
    <hyperlink ref="I7840" r:id="rId5762" xr:uid="{00000000-0004-0000-0100-000081160000}"/>
    <hyperlink ref="I7841" r:id="rId5763" xr:uid="{00000000-0004-0000-0100-000082160000}"/>
    <hyperlink ref="I7842" r:id="rId5764" xr:uid="{00000000-0004-0000-0100-000083160000}"/>
    <hyperlink ref="I7843" r:id="rId5765" xr:uid="{00000000-0004-0000-0100-000084160000}"/>
    <hyperlink ref="I7844" r:id="rId5766" xr:uid="{00000000-0004-0000-0100-000085160000}"/>
    <hyperlink ref="I7845" r:id="rId5767" xr:uid="{00000000-0004-0000-0100-000086160000}"/>
    <hyperlink ref="I7846" r:id="rId5768" xr:uid="{00000000-0004-0000-0100-000087160000}"/>
    <hyperlink ref="I7847" r:id="rId5769" xr:uid="{00000000-0004-0000-0100-000088160000}"/>
    <hyperlink ref="I7848" r:id="rId5770" xr:uid="{00000000-0004-0000-0100-000089160000}"/>
    <hyperlink ref="I7849" r:id="rId5771" xr:uid="{00000000-0004-0000-0100-00008A160000}"/>
    <hyperlink ref="I7850" r:id="rId5772" xr:uid="{00000000-0004-0000-0100-00008B160000}"/>
    <hyperlink ref="I7851" r:id="rId5773" xr:uid="{00000000-0004-0000-0100-00008C160000}"/>
    <hyperlink ref="I7852" r:id="rId5774" xr:uid="{00000000-0004-0000-0100-00008D160000}"/>
    <hyperlink ref="I7853" r:id="rId5775" xr:uid="{00000000-0004-0000-0100-00008E160000}"/>
    <hyperlink ref="I7854" r:id="rId5776" xr:uid="{00000000-0004-0000-0100-00008F160000}"/>
    <hyperlink ref="I7855" r:id="rId5777" xr:uid="{00000000-0004-0000-0100-000090160000}"/>
    <hyperlink ref="I7856" r:id="rId5778" xr:uid="{00000000-0004-0000-0100-000091160000}"/>
    <hyperlink ref="I7857" r:id="rId5779" xr:uid="{00000000-0004-0000-0100-000092160000}"/>
    <hyperlink ref="I7858" r:id="rId5780" xr:uid="{00000000-0004-0000-0100-000093160000}"/>
    <hyperlink ref="I7859" r:id="rId5781" xr:uid="{00000000-0004-0000-0100-000094160000}"/>
    <hyperlink ref="I7860" r:id="rId5782" xr:uid="{00000000-0004-0000-0100-000095160000}"/>
    <hyperlink ref="I7861" r:id="rId5783" xr:uid="{00000000-0004-0000-0100-000096160000}"/>
    <hyperlink ref="I7862" r:id="rId5784" xr:uid="{00000000-0004-0000-0100-000097160000}"/>
    <hyperlink ref="I7863" r:id="rId5785" xr:uid="{00000000-0004-0000-0100-000098160000}"/>
    <hyperlink ref="I7864" r:id="rId5786" xr:uid="{00000000-0004-0000-0100-000099160000}"/>
    <hyperlink ref="I7865" r:id="rId5787" xr:uid="{00000000-0004-0000-0100-00009A160000}"/>
    <hyperlink ref="I7866" r:id="rId5788" xr:uid="{00000000-0004-0000-0100-00009B160000}"/>
    <hyperlink ref="I7867" r:id="rId5789" xr:uid="{00000000-0004-0000-0100-00009C160000}"/>
    <hyperlink ref="I7868" r:id="rId5790" xr:uid="{00000000-0004-0000-0100-00009D160000}"/>
    <hyperlink ref="I7869" r:id="rId5791" xr:uid="{00000000-0004-0000-0100-00009E160000}"/>
    <hyperlink ref="I7870" r:id="rId5792" xr:uid="{00000000-0004-0000-0100-00009F160000}"/>
    <hyperlink ref="I7871" r:id="rId5793" xr:uid="{00000000-0004-0000-0100-0000A0160000}"/>
    <hyperlink ref="I7872" r:id="rId5794" xr:uid="{00000000-0004-0000-0100-0000A1160000}"/>
    <hyperlink ref="I7873" r:id="rId5795" xr:uid="{00000000-0004-0000-0100-0000A2160000}"/>
    <hyperlink ref="I7874" r:id="rId5796" xr:uid="{00000000-0004-0000-0100-0000A3160000}"/>
    <hyperlink ref="I7875" r:id="rId5797" xr:uid="{00000000-0004-0000-0100-0000A4160000}"/>
    <hyperlink ref="I7876" r:id="rId5798" xr:uid="{00000000-0004-0000-0100-0000A5160000}"/>
    <hyperlink ref="I7877" r:id="rId5799" xr:uid="{00000000-0004-0000-0100-0000A6160000}"/>
    <hyperlink ref="I7878" r:id="rId5800" xr:uid="{00000000-0004-0000-0100-0000A7160000}"/>
    <hyperlink ref="I7879" r:id="rId5801" xr:uid="{00000000-0004-0000-0100-0000A8160000}"/>
    <hyperlink ref="I7880" r:id="rId5802" xr:uid="{00000000-0004-0000-0100-0000A9160000}"/>
    <hyperlink ref="I7881" r:id="rId5803" xr:uid="{00000000-0004-0000-0100-0000AA160000}"/>
    <hyperlink ref="I7882" r:id="rId5804" xr:uid="{00000000-0004-0000-0100-0000AB160000}"/>
    <hyperlink ref="I7883" r:id="rId5805" xr:uid="{00000000-0004-0000-0100-0000AC160000}"/>
    <hyperlink ref="I7884" r:id="rId5806" xr:uid="{00000000-0004-0000-0100-0000AD160000}"/>
    <hyperlink ref="I7885" r:id="rId5807" xr:uid="{00000000-0004-0000-0100-0000AE160000}"/>
    <hyperlink ref="I7886" r:id="rId5808" xr:uid="{00000000-0004-0000-0100-0000AF160000}"/>
    <hyperlink ref="I7887" r:id="rId5809" xr:uid="{00000000-0004-0000-0100-0000B0160000}"/>
    <hyperlink ref="I7888" r:id="rId5810" xr:uid="{00000000-0004-0000-0100-0000B1160000}"/>
    <hyperlink ref="I7889" r:id="rId5811" xr:uid="{00000000-0004-0000-0100-0000B2160000}"/>
    <hyperlink ref="I7890" r:id="rId5812" xr:uid="{00000000-0004-0000-0100-0000B3160000}"/>
    <hyperlink ref="I7891" r:id="rId5813" xr:uid="{00000000-0004-0000-0100-0000B4160000}"/>
    <hyperlink ref="I7892" r:id="rId5814" xr:uid="{00000000-0004-0000-0100-0000B5160000}"/>
    <hyperlink ref="I7893" r:id="rId5815" xr:uid="{00000000-0004-0000-0100-0000B6160000}"/>
    <hyperlink ref="I7894" r:id="rId5816" xr:uid="{00000000-0004-0000-0100-0000B7160000}"/>
    <hyperlink ref="I7895" r:id="rId5817" xr:uid="{00000000-0004-0000-0100-0000B8160000}"/>
    <hyperlink ref="I7896" r:id="rId5818" xr:uid="{00000000-0004-0000-0100-0000B9160000}"/>
    <hyperlink ref="I7897" r:id="rId5819" xr:uid="{00000000-0004-0000-0100-0000BA160000}"/>
    <hyperlink ref="I7898" r:id="rId5820" xr:uid="{00000000-0004-0000-0100-0000BB160000}"/>
    <hyperlink ref="I7899" r:id="rId5821" xr:uid="{00000000-0004-0000-0100-0000BC160000}"/>
    <hyperlink ref="I7900" r:id="rId5822" xr:uid="{00000000-0004-0000-0100-0000BD160000}"/>
    <hyperlink ref="I7901" r:id="rId5823" xr:uid="{00000000-0004-0000-0100-0000BE160000}"/>
    <hyperlink ref="I7902" r:id="rId5824" xr:uid="{00000000-0004-0000-0100-0000BF160000}"/>
    <hyperlink ref="I7903" r:id="rId5825" xr:uid="{00000000-0004-0000-0100-0000C0160000}"/>
    <hyperlink ref="I7904" r:id="rId5826" xr:uid="{00000000-0004-0000-0100-0000C1160000}"/>
    <hyperlink ref="I7905" r:id="rId5827" xr:uid="{00000000-0004-0000-0100-0000C2160000}"/>
    <hyperlink ref="I7906" r:id="rId5828" xr:uid="{00000000-0004-0000-0100-0000C3160000}"/>
    <hyperlink ref="I7907" r:id="rId5829" xr:uid="{00000000-0004-0000-0100-0000C4160000}"/>
    <hyperlink ref="I7908" r:id="rId5830" xr:uid="{00000000-0004-0000-0100-0000C5160000}"/>
    <hyperlink ref="I7909" r:id="rId5831" xr:uid="{00000000-0004-0000-0100-0000C6160000}"/>
    <hyperlink ref="I7910" r:id="rId5832" xr:uid="{00000000-0004-0000-0100-0000C7160000}"/>
    <hyperlink ref="I7911" r:id="rId5833" xr:uid="{00000000-0004-0000-0100-0000C8160000}"/>
    <hyperlink ref="I7912" r:id="rId5834" xr:uid="{00000000-0004-0000-0100-0000C9160000}"/>
    <hyperlink ref="I7913" r:id="rId5835" xr:uid="{00000000-0004-0000-0100-0000CA160000}"/>
    <hyperlink ref="I7914" r:id="rId5836" xr:uid="{00000000-0004-0000-0100-0000CB160000}"/>
    <hyperlink ref="I7915" r:id="rId5837" xr:uid="{00000000-0004-0000-0100-0000CC160000}"/>
    <hyperlink ref="I7916" r:id="rId5838" xr:uid="{00000000-0004-0000-0100-0000CD160000}"/>
    <hyperlink ref="I7917" r:id="rId5839" xr:uid="{00000000-0004-0000-0100-0000CE160000}"/>
    <hyperlink ref="I7918" r:id="rId5840" xr:uid="{00000000-0004-0000-0100-0000CF160000}"/>
    <hyperlink ref="I7919" r:id="rId5841" xr:uid="{00000000-0004-0000-0100-0000D0160000}"/>
    <hyperlink ref="I7920" r:id="rId5842" xr:uid="{00000000-0004-0000-0100-0000D1160000}"/>
    <hyperlink ref="I7921" r:id="rId5843" xr:uid="{00000000-0004-0000-0100-0000D2160000}"/>
    <hyperlink ref="I7922" r:id="rId5844" xr:uid="{00000000-0004-0000-0100-0000D3160000}"/>
    <hyperlink ref="I7923" r:id="rId5845" xr:uid="{00000000-0004-0000-0100-0000D4160000}"/>
    <hyperlink ref="I7924" r:id="rId5846" xr:uid="{00000000-0004-0000-0100-0000D5160000}"/>
    <hyperlink ref="I7925" r:id="rId5847" xr:uid="{00000000-0004-0000-0100-0000D6160000}"/>
    <hyperlink ref="I7926" r:id="rId5848" xr:uid="{00000000-0004-0000-0100-0000D7160000}"/>
    <hyperlink ref="I7927" r:id="rId5849" xr:uid="{00000000-0004-0000-0100-0000D8160000}"/>
    <hyperlink ref="I7928" r:id="rId5850" xr:uid="{00000000-0004-0000-0100-0000D9160000}"/>
    <hyperlink ref="I7929" r:id="rId5851" xr:uid="{00000000-0004-0000-0100-0000DA160000}"/>
    <hyperlink ref="I7930" r:id="rId5852" xr:uid="{00000000-0004-0000-0100-0000DB160000}"/>
    <hyperlink ref="I7931" r:id="rId5853" xr:uid="{00000000-0004-0000-0100-0000DC160000}"/>
    <hyperlink ref="I7932" r:id="rId5854" xr:uid="{00000000-0004-0000-0100-0000DD160000}"/>
    <hyperlink ref="I7933" r:id="rId5855" xr:uid="{00000000-0004-0000-0100-0000DE160000}"/>
    <hyperlink ref="I7934" r:id="rId5856" xr:uid="{00000000-0004-0000-0100-0000DF160000}"/>
    <hyperlink ref="I7935" r:id="rId5857" xr:uid="{00000000-0004-0000-0100-0000E0160000}"/>
    <hyperlink ref="I7936" r:id="rId5858" xr:uid="{00000000-0004-0000-0100-0000E1160000}"/>
    <hyperlink ref="I7937" r:id="rId5859" xr:uid="{00000000-0004-0000-0100-0000E2160000}"/>
    <hyperlink ref="I7938" r:id="rId5860" xr:uid="{00000000-0004-0000-0100-0000E3160000}"/>
    <hyperlink ref="I7939" r:id="rId5861" xr:uid="{00000000-0004-0000-0100-0000E4160000}"/>
    <hyperlink ref="I7940" r:id="rId5862" xr:uid="{00000000-0004-0000-0100-0000E5160000}"/>
    <hyperlink ref="I7941" r:id="rId5863" xr:uid="{00000000-0004-0000-0100-0000E6160000}"/>
    <hyperlink ref="I7942" r:id="rId5864" xr:uid="{00000000-0004-0000-0100-0000E7160000}"/>
    <hyperlink ref="I7943" r:id="rId5865" xr:uid="{00000000-0004-0000-0100-0000E8160000}"/>
    <hyperlink ref="I7944" r:id="rId5866" xr:uid="{00000000-0004-0000-0100-0000E9160000}"/>
    <hyperlink ref="I7945" r:id="rId5867" xr:uid="{00000000-0004-0000-0100-0000EA160000}"/>
    <hyperlink ref="I7946" r:id="rId5868" xr:uid="{00000000-0004-0000-0100-0000EB160000}"/>
    <hyperlink ref="I7947" r:id="rId5869" xr:uid="{00000000-0004-0000-0100-0000EC160000}"/>
    <hyperlink ref="I7948" r:id="rId5870" xr:uid="{00000000-0004-0000-0100-0000ED160000}"/>
    <hyperlink ref="I7949" r:id="rId5871" xr:uid="{00000000-0004-0000-0100-0000EE160000}"/>
    <hyperlink ref="I7950" r:id="rId5872" xr:uid="{00000000-0004-0000-0100-0000EF160000}"/>
    <hyperlink ref="I7951" r:id="rId5873" xr:uid="{00000000-0004-0000-0100-0000F0160000}"/>
    <hyperlink ref="I7952" r:id="rId5874" xr:uid="{00000000-0004-0000-0100-0000F1160000}"/>
    <hyperlink ref="I7953" r:id="rId5875" xr:uid="{00000000-0004-0000-0100-0000F2160000}"/>
    <hyperlink ref="I7954" r:id="rId5876" xr:uid="{00000000-0004-0000-0100-0000F3160000}"/>
    <hyperlink ref="I7955" r:id="rId5877" xr:uid="{00000000-0004-0000-0100-0000F4160000}"/>
    <hyperlink ref="I7956" r:id="rId5878" xr:uid="{00000000-0004-0000-0100-0000F5160000}"/>
    <hyperlink ref="I7957" r:id="rId5879" xr:uid="{00000000-0004-0000-0100-0000F6160000}"/>
    <hyperlink ref="I7958" r:id="rId5880" xr:uid="{00000000-0004-0000-0100-0000F7160000}"/>
    <hyperlink ref="I7959" r:id="rId5881" xr:uid="{00000000-0004-0000-0100-0000F8160000}"/>
    <hyperlink ref="I7960" r:id="rId5882" xr:uid="{00000000-0004-0000-0100-0000F9160000}"/>
    <hyperlink ref="I7961" r:id="rId5883" xr:uid="{00000000-0004-0000-0100-0000FA160000}"/>
    <hyperlink ref="I7962" r:id="rId5884" xr:uid="{00000000-0004-0000-0100-0000FB160000}"/>
    <hyperlink ref="I7963" r:id="rId5885" xr:uid="{00000000-0004-0000-0100-0000FC160000}"/>
    <hyperlink ref="I7964" r:id="rId5886" xr:uid="{00000000-0004-0000-0100-0000FD160000}"/>
    <hyperlink ref="I7965" r:id="rId5887" xr:uid="{00000000-0004-0000-0100-0000FE160000}"/>
    <hyperlink ref="I7966" r:id="rId5888" xr:uid="{00000000-0004-0000-0100-0000FF160000}"/>
    <hyperlink ref="I7967" r:id="rId5889" xr:uid="{00000000-0004-0000-0100-000000170000}"/>
    <hyperlink ref="I7968" r:id="rId5890" xr:uid="{00000000-0004-0000-0100-000001170000}"/>
    <hyperlink ref="I7969" r:id="rId5891" xr:uid="{00000000-0004-0000-0100-000002170000}"/>
    <hyperlink ref="I7970" r:id="rId5892" xr:uid="{00000000-0004-0000-0100-000003170000}"/>
    <hyperlink ref="I7971" r:id="rId5893" xr:uid="{00000000-0004-0000-0100-000004170000}"/>
    <hyperlink ref="I7972" r:id="rId5894" xr:uid="{00000000-0004-0000-0100-000005170000}"/>
    <hyperlink ref="I7973" r:id="rId5895" xr:uid="{00000000-0004-0000-0100-000006170000}"/>
    <hyperlink ref="I7974" r:id="rId5896" xr:uid="{00000000-0004-0000-0100-000007170000}"/>
    <hyperlink ref="I7975" r:id="rId5897" xr:uid="{00000000-0004-0000-0100-000008170000}"/>
    <hyperlink ref="I7976" r:id="rId5898" xr:uid="{00000000-0004-0000-0100-000009170000}"/>
    <hyperlink ref="I7977" r:id="rId5899" xr:uid="{00000000-0004-0000-0100-00000A170000}"/>
    <hyperlink ref="I7978" r:id="rId5900" xr:uid="{00000000-0004-0000-0100-00000B170000}"/>
    <hyperlink ref="I7979" r:id="rId5901" xr:uid="{00000000-0004-0000-0100-00000C170000}"/>
    <hyperlink ref="I7980" r:id="rId5902" xr:uid="{00000000-0004-0000-0100-00000D170000}"/>
    <hyperlink ref="I7981" r:id="rId5903" xr:uid="{00000000-0004-0000-0100-00000E170000}"/>
    <hyperlink ref="I7982" r:id="rId5904" xr:uid="{00000000-0004-0000-0100-00000F170000}"/>
    <hyperlink ref="I7983" r:id="rId5905" xr:uid="{00000000-0004-0000-0100-000010170000}"/>
    <hyperlink ref="I7984" r:id="rId5906" xr:uid="{00000000-0004-0000-0100-000011170000}"/>
    <hyperlink ref="I7985" r:id="rId5907" xr:uid="{00000000-0004-0000-0100-000012170000}"/>
    <hyperlink ref="I7986" r:id="rId5908" xr:uid="{00000000-0004-0000-0100-000013170000}"/>
    <hyperlink ref="I7987" r:id="rId5909" xr:uid="{00000000-0004-0000-0100-000014170000}"/>
    <hyperlink ref="I7988" r:id="rId5910" xr:uid="{00000000-0004-0000-0100-000015170000}"/>
    <hyperlink ref="I7989" r:id="rId5911" xr:uid="{00000000-0004-0000-0100-000016170000}"/>
    <hyperlink ref="I7990" r:id="rId5912" xr:uid="{00000000-0004-0000-0100-000017170000}"/>
    <hyperlink ref="I7991" r:id="rId5913" xr:uid="{00000000-0004-0000-0100-000018170000}"/>
    <hyperlink ref="I7992" r:id="rId5914" xr:uid="{00000000-0004-0000-0100-000019170000}"/>
    <hyperlink ref="I7993" r:id="rId5915" xr:uid="{00000000-0004-0000-0100-00001A170000}"/>
    <hyperlink ref="I7994" r:id="rId5916" xr:uid="{00000000-0004-0000-0100-00001B170000}"/>
    <hyperlink ref="I7995" r:id="rId5917" xr:uid="{00000000-0004-0000-0100-00001C170000}"/>
    <hyperlink ref="I7996" r:id="rId5918" xr:uid="{00000000-0004-0000-0100-00001D170000}"/>
    <hyperlink ref="I7997" r:id="rId5919" xr:uid="{00000000-0004-0000-0100-00001E170000}"/>
    <hyperlink ref="I7998" r:id="rId5920" xr:uid="{00000000-0004-0000-0100-00001F170000}"/>
    <hyperlink ref="I7999" r:id="rId5921" xr:uid="{00000000-0004-0000-0100-000020170000}"/>
    <hyperlink ref="I8000" r:id="rId5922" xr:uid="{00000000-0004-0000-0100-000021170000}"/>
    <hyperlink ref="I8001" r:id="rId5923" xr:uid="{00000000-0004-0000-0100-000022170000}"/>
    <hyperlink ref="I8002" r:id="rId5924" xr:uid="{00000000-0004-0000-0100-000023170000}"/>
    <hyperlink ref="I8003" r:id="rId5925" xr:uid="{00000000-0004-0000-0100-000024170000}"/>
    <hyperlink ref="I8004" r:id="rId5926" xr:uid="{00000000-0004-0000-0100-000025170000}"/>
    <hyperlink ref="I8005" r:id="rId5927" xr:uid="{00000000-0004-0000-0100-000026170000}"/>
    <hyperlink ref="I8006" r:id="rId5928" xr:uid="{00000000-0004-0000-0100-000027170000}"/>
    <hyperlink ref="I8007" r:id="rId5929" xr:uid="{00000000-0004-0000-0100-000028170000}"/>
    <hyperlink ref="I8008" r:id="rId5930" xr:uid="{00000000-0004-0000-0100-000029170000}"/>
    <hyperlink ref="I8009" r:id="rId5931" xr:uid="{00000000-0004-0000-0100-00002A170000}"/>
    <hyperlink ref="I8010" r:id="rId5932" xr:uid="{00000000-0004-0000-0100-00002B170000}"/>
    <hyperlink ref="I8011" r:id="rId5933" xr:uid="{00000000-0004-0000-0100-00002C170000}"/>
    <hyperlink ref="I8012" r:id="rId5934" xr:uid="{00000000-0004-0000-0100-00002D170000}"/>
    <hyperlink ref="I8013" r:id="rId5935" xr:uid="{00000000-0004-0000-0100-00002E170000}"/>
    <hyperlink ref="I8014" r:id="rId5936" xr:uid="{00000000-0004-0000-0100-00002F170000}"/>
    <hyperlink ref="I8015" r:id="rId5937" xr:uid="{00000000-0004-0000-0100-000030170000}"/>
    <hyperlink ref="I8016" r:id="rId5938" xr:uid="{00000000-0004-0000-0100-000031170000}"/>
    <hyperlink ref="I8017" r:id="rId5939" xr:uid="{00000000-0004-0000-0100-000032170000}"/>
    <hyperlink ref="I8018" r:id="rId5940" xr:uid="{00000000-0004-0000-0100-000033170000}"/>
    <hyperlink ref="I8019" r:id="rId5941" xr:uid="{00000000-0004-0000-0100-000034170000}"/>
    <hyperlink ref="I8020" r:id="rId5942" xr:uid="{00000000-0004-0000-0100-000035170000}"/>
    <hyperlink ref="I8021" r:id="rId5943" xr:uid="{00000000-0004-0000-0100-000036170000}"/>
    <hyperlink ref="I8022" r:id="rId5944" xr:uid="{00000000-0004-0000-0100-000037170000}"/>
    <hyperlink ref="I8023" r:id="rId5945" xr:uid="{00000000-0004-0000-0100-000038170000}"/>
    <hyperlink ref="I8024" r:id="rId5946" xr:uid="{00000000-0004-0000-0100-000039170000}"/>
    <hyperlink ref="I8025" r:id="rId5947" xr:uid="{00000000-0004-0000-0100-00003A170000}"/>
    <hyperlink ref="I8026" r:id="rId5948" xr:uid="{00000000-0004-0000-0100-00003B170000}"/>
    <hyperlink ref="I8027" r:id="rId5949" xr:uid="{00000000-0004-0000-0100-00003C170000}"/>
    <hyperlink ref="I8028" r:id="rId5950" xr:uid="{00000000-0004-0000-0100-00003D170000}"/>
    <hyperlink ref="I8029" r:id="rId5951" xr:uid="{00000000-0004-0000-0100-00003E170000}"/>
    <hyperlink ref="I8030" r:id="rId5952" xr:uid="{00000000-0004-0000-0100-00003F170000}"/>
    <hyperlink ref="I8031" r:id="rId5953" xr:uid="{00000000-0004-0000-0100-000040170000}"/>
    <hyperlink ref="I8032" r:id="rId5954" xr:uid="{00000000-0004-0000-0100-000041170000}"/>
    <hyperlink ref="I8033" r:id="rId5955" xr:uid="{00000000-0004-0000-0100-000042170000}"/>
    <hyperlink ref="I8034" r:id="rId5956" xr:uid="{00000000-0004-0000-0100-000043170000}"/>
    <hyperlink ref="I8035" r:id="rId5957" xr:uid="{00000000-0004-0000-0100-000044170000}"/>
    <hyperlink ref="I8036" r:id="rId5958" xr:uid="{00000000-0004-0000-0100-000045170000}"/>
    <hyperlink ref="I8037" r:id="rId5959" xr:uid="{00000000-0004-0000-0100-000046170000}"/>
    <hyperlink ref="I8038" r:id="rId5960" xr:uid="{00000000-0004-0000-0100-000047170000}"/>
    <hyperlink ref="I8039" r:id="rId5961" xr:uid="{00000000-0004-0000-0100-000048170000}"/>
    <hyperlink ref="I8040" r:id="rId5962" xr:uid="{00000000-0004-0000-0100-000049170000}"/>
    <hyperlink ref="I8041" r:id="rId5963" xr:uid="{00000000-0004-0000-0100-00004A170000}"/>
    <hyperlink ref="I8042" r:id="rId5964" xr:uid="{00000000-0004-0000-0100-00004B170000}"/>
    <hyperlink ref="I8043" r:id="rId5965" xr:uid="{00000000-0004-0000-0100-00004C170000}"/>
    <hyperlink ref="I8044" r:id="rId5966" xr:uid="{00000000-0004-0000-0100-00004D170000}"/>
    <hyperlink ref="I8045" r:id="rId5967" xr:uid="{00000000-0004-0000-0100-00004E170000}"/>
    <hyperlink ref="I8046" r:id="rId5968" xr:uid="{00000000-0004-0000-0100-00004F170000}"/>
    <hyperlink ref="I8047" r:id="rId5969" xr:uid="{00000000-0004-0000-0100-000050170000}"/>
    <hyperlink ref="I8048" r:id="rId5970" xr:uid="{00000000-0004-0000-0100-000051170000}"/>
    <hyperlink ref="I8049" r:id="rId5971" xr:uid="{00000000-0004-0000-0100-000052170000}"/>
    <hyperlink ref="I8050" r:id="rId5972" xr:uid="{00000000-0004-0000-0100-000053170000}"/>
    <hyperlink ref="I8051" r:id="rId5973" xr:uid="{00000000-0004-0000-0100-000054170000}"/>
    <hyperlink ref="I8052" r:id="rId5974" xr:uid="{00000000-0004-0000-0100-000055170000}"/>
    <hyperlink ref="I8053" r:id="rId5975" xr:uid="{00000000-0004-0000-0100-000056170000}"/>
    <hyperlink ref="I8054" r:id="rId5976" xr:uid="{00000000-0004-0000-0100-000057170000}"/>
    <hyperlink ref="I8055" r:id="rId5977" xr:uid="{00000000-0004-0000-0100-000058170000}"/>
    <hyperlink ref="I8056" r:id="rId5978" xr:uid="{00000000-0004-0000-0100-000059170000}"/>
    <hyperlink ref="I8057" r:id="rId5979" xr:uid="{00000000-0004-0000-0100-00005A170000}"/>
    <hyperlink ref="I8058" r:id="rId5980" xr:uid="{00000000-0004-0000-0100-00005B170000}"/>
    <hyperlink ref="I8059" r:id="rId5981" xr:uid="{00000000-0004-0000-0100-00005C170000}"/>
    <hyperlink ref="I8060" r:id="rId5982" xr:uid="{00000000-0004-0000-0100-00005D170000}"/>
    <hyperlink ref="I8061" r:id="rId5983" xr:uid="{00000000-0004-0000-0100-00005E170000}"/>
    <hyperlink ref="I8062" r:id="rId5984" xr:uid="{00000000-0004-0000-0100-00005F170000}"/>
    <hyperlink ref="I8063" r:id="rId5985" xr:uid="{00000000-0004-0000-0100-000060170000}"/>
    <hyperlink ref="I8064" r:id="rId5986" xr:uid="{00000000-0004-0000-0100-000061170000}"/>
    <hyperlink ref="I8065" r:id="rId5987" xr:uid="{00000000-0004-0000-0100-000062170000}"/>
    <hyperlink ref="I8066" r:id="rId5988" xr:uid="{00000000-0004-0000-0100-000063170000}"/>
    <hyperlink ref="I8067" r:id="rId5989" xr:uid="{00000000-0004-0000-0100-000064170000}"/>
    <hyperlink ref="I8068" r:id="rId5990" xr:uid="{00000000-0004-0000-0100-000065170000}"/>
    <hyperlink ref="I8069" r:id="rId5991" xr:uid="{00000000-0004-0000-0100-000066170000}"/>
    <hyperlink ref="I8070" r:id="rId5992" xr:uid="{00000000-0004-0000-0100-000067170000}"/>
    <hyperlink ref="I8071" r:id="rId5993" xr:uid="{00000000-0004-0000-0100-000068170000}"/>
    <hyperlink ref="I8072" r:id="rId5994" xr:uid="{00000000-0004-0000-0100-000069170000}"/>
    <hyperlink ref="I8073" r:id="rId5995" xr:uid="{00000000-0004-0000-0100-00006A170000}"/>
    <hyperlink ref="I8074" r:id="rId5996" xr:uid="{00000000-0004-0000-0100-00006B170000}"/>
    <hyperlink ref="I8075" r:id="rId5997" xr:uid="{00000000-0004-0000-0100-00006C170000}"/>
    <hyperlink ref="I8076" r:id="rId5998" xr:uid="{00000000-0004-0000-0100-00006D170000}"/>
    <hyperlink ref="I8077" r:id="rId5999" xr:uid="{00000000-0004-0000-0100-00006E170000}"/>
    <hyperlink ref="I8078" r:id="rId6000" xr:uid="{00000000-0004-0000-0100-00006F170000}"/>
    <hyperlink ref="I8079" r:id="rId6001" xr:uid="{00000000-0004-0000-0100-000070170000}"/>
    <hyperlink ref="I8080" r:id="rId6002" xr:uid="{00000000-0004-0000-0100-000071170000}"/>
    <hyperlink ref="I8081" r:id="rId6003" xr:uid="{00000000-0004-0000-0100-000072170000}"/>
    <hyperlink ref="I8082" r:id="rId6004" xr:uid="{00000000-0004-0000-0100-000073170000}"/>
    <hyperlink ref="I8083" r:id="rId6005" xr:uid="{00000000-0004-0000-0100-000074170000}"/>
    <hyperlink ref="I8084" r:id="rId6006" xr:uid="{00000000-0004-0000-0100-000075170000}"/>
    <hyperlink ref="I8085" r:id="rId6007" xr:uid="{00000000-0004-0000-0100-000076170000}"/>
    <hyperlink ref="I8086" r:id="rId6008" xr:uid="{00000000-0004-0000-0100-000077170000}"/>
    <hyperlink ref="I8087" r:id="rId6009" xr:uid="{00000000-0004-0000-0100-000078170000}"/>
    <hyperlink ref="I8088" r:id="rId6010" xr:uid="{00000000-0004-0000-0100-000079170000}"/>
    <hyperlink ref="I8089" r:id="rId6011" xr:uid="{00000000-0004-0000-0100-00007A170000}"/>
    <hyperlink ref="I8090" r:id="rId6012" xr:uid="{00000000-0004-0000-0100-00007B170000}"/>
    <hyperlink ref="I8091" r:id="rId6013" xr:uid="{00000000-0004-0000-0100-00007C170000}"/>
    <hyperlink ref="I8092" r:id="rId6014" xr:uid="{00000000-0004-0000-0100-00007D170000}"/>
    <hyperlink ref="I8093" r:id="rId6015" xr:uid="{00000000-0004-0000-0100-00007E170000}"/>
    <hyperlink ref="I8094" r:id="rId6016" xr:uid="{00000000-0004-0000-0100-00007F170000}"/>
    <hyperlink ref="I8095" r:id="rId6017" xr:uid="{00000000-0004-0000-0100-000080170000}"/>
    <hyperlink ref="I8096" r:id="rId6018" xr:uid="{00000000-0004-0000-0100-000081170000}"/>
    <hyperlink ref="I8097" r:id="rId6019" xr:uid="{00000000-0004-0000-0100-000082170000}"/>
    <hyperlink ref="I8098" r:id="rId6020" xr:uid="{00000000-0004-0000-0100-000083170000}"/>
    <hyperlink ref="I8099" r:id="rId6021" xr:uid="{00000000-0004-0000-0100-000084170000}"/>
    <hyperlink ref="I8100" r:id="rId6022" xr:uid="{00000000-0004-0000-0100-000085170000}"/>
    <hyperlink ref="I8101" r:id="rId6023" xr:uid="{00000000-0004-0000-0100-000086170000}"/>
    <hyperlink ref="I8102" r:id="rId6024" xr:uid="{00000000-0004-0000-0100-000087170000}"/>
    <hyperlink ref="I8103" r:id="rId6025" xr:uid="{00000000-0004-0000-0100-000088170000}"/>
    <hyperlink ref="I8104" r:id="rId6026" xr:uid="{00000000-0004-0000-0100-000089170000}"/>
    <hyperlink ref="I8105" r:id="rId6027" xr:uid="{00000000-0004-0000-0100-00008A170000}"/>
    <hyperlink ref="I8106" r:id="rId6028" xr:uid="{00000000-0004-0000-0100-00008B170000}"/>
    <hyperlink ref="I8107" r:id="rId6029" xr:uid="{00000000-0004-0000-0100-00008C170000}"/>
    <hyperlink ref="I8108" r:id="rId6030" xr:uid="{00000000-0004-0000-0100-00008D170000}"/>
    <hyperlink ref="I8109" r:id="rId6031" xr:uid="{00000000-0004-0000-0100-00008E170000}"/>
    <hyperlink ref="I8110" r:id="rId6032" xr:uid="{00000000-0004-0000-0100-00008F170000}"/>
    <hyperlink ref="I8111" r:id="rId6033" xr:uid="{00000000-0004-0000-0100-000090170000}"/>
    <hyperlink ref="I8112" r:id="rId6034" xr:uid="{00000000-0004-0000-0100-000091170000}"/>
    <hyperlink ref="I8113" r:id="rId6035" xr:uid="{00000000-0004-0000-0100-000092170000}"/>
    <hyperlink ref="I8114" r:id="rId6036" xr:uid="{00000000-0004-0000-0100-000093170000}"/>
    <hyperlink ref="I8115" r:id="rId6037" xr:uid="{00000000-0004-0000-0100-000094170000}"/>
    <hyperlink ref="I8116" r:id="rId6038" xr:uid="{00000000-0004-0000-0100-000095170000}"/>
    <hyperlink ref="I8117" r:id="rId6039" xr:uid="{00000000-0004-0000-0100-000096170000}"/>
    <hyperlink ref="I8118" r:id="rId6040" xr:uid="{00000000-0004-0000-0100-000097170000}"/>
    <hyperlink ref="I8119" r:id="rId6041" xr:uid="{00000000-0004-0000-0100-000098170000}"/>
    <hyperlink ref="I8120" r:id="rId6042" xr:uid="{00000000-0004-0000-0100-000099170000}"/>
    <hyperlink ref="I8121" r:id="rId6043" xr:uid="{00000000-0004-0000-0100-00009A170000}"/>
    <hyperlink ref="I8122" r:id="rId6044" xr:uid="{00000000-0004-0000-0100-00009B170000}"/>
    <hyperlink ref="I8123" r:id="rId6045" xr:uid="{00000000-0004-0000-0100-00009C170000}"/>
    <hyperlink ref="I8124" r:id="rId6046" xr:uid="{00000000-0004-0000-0100-00009D170000}"/>
    <hyperlink ref="I8125" r:id="rId6047" xr:uid="{00000000-0004-0000-0100-00009E170000}"/>
    <hyperlink ref="I8126" r:id="rId6048" xr:uid="{00000000-0004-0000-0100-00009F170000}"/>
    <hyperlink ref="I8127" r:id="rId6049" xr:uid="{00000000-0004-0000-0100-0000A0170000}"/>
    <hyperlink ref="I8128" r:id="rId6050" xr:uid="{00000000-0004-0000-0100-0000A1170000}"/>
    <hyperlink ref="I8129" r:id="rId6051" xr:uid="{00000000-0004-0000-0100-0000A2170000}"/>
    <hyperlink ref="I8130" r:id="rId6052" xr:uid="{00000000-0004-0000-0100-0000A3170000}"/>
    <hyperlink ref="I8131" r:id="rId6053" xr:uid="{00000000-0004-0000-0100-0000A4170000}"/>
    <hyperlink ref="I8132" r:id="rId6054" xr:uid="{00000000-0004-0000-0100-0000A5170000}"/>
    <hyperlink ref="I8133" r:id="rId6055" xr:uid="{00000000-0004-0000-0100-0000A6170000}"/>
    <hyperlink ref="I8134" r:id="rId6056" xr:uid="{00000000-0004-0000-0100-0000A7170000}"/>
    <hyperlink ref="I8135" r:id="rId6057" xr:uid="{00000000-0004-0000-0100-0000A8170000}"/>
    <hyperlink ref="I8136" r:id="rId6058" xr:uid="{00000000-0004-0000-0100-0000A9170000}"/>
    <hyperlink ref="I8137" r:id="rId6059" xr:uid="{00000000-0004-0000-0100-0000AA170000}"/>
    <hyperlink ref="I8138" r:id="rId6060" xr:uid="{00000000-0004-0000-0100-0000AB170000}"/>
    <hyperlink ref="I8139" r:id="rId6061" xr:uid="{00000000-0004-0000-0100-0000AC170000}"/>
    <hyperlink ref="I8140" r:id="rId6062" xr:uid="{00000000-0004-0000-0100-0000AD170000}"/>
    <hyperlink ref="I8141" r:id="rId6063" xr:uid="{00000000-0004-0000-0100-0000AE170000}"/>
    <hyperlink ref="I8142" r:id="rId6064" xr:uid="{00000000-0004-0000-0100-0000AF170000}"/>
    <hyperlink ref="I8143" r:id="rId6065" xr:uid="{00000000-0004-0000-0100-0000B0170000}"/>
    <hyperlink ref="I8144" r:id="rId6066" xr:uid="{00000000-0004-0000-0100-0000B1170000}"/>
    <hyperlink ref="I8145" r:id="rId6067" xr:uid="{00000000-0004-0000-0100-0000B2170000}"/>
    <hyperlink ref="I8146" r:id="rId6068" xr:uid="{00000000-0004-0000-0100-0000B3170000}"/>
    <hyperlink ref="I8147" r:id="rId6069" xr:uid="{00000000-0004-0000-0100-0000B4170000}"/>
    <hyperlink ref="I8148" r:id="rId6070" xr:uid="{00000000-0004-0000-0100-0000B5170000}"/>
    <hyperlink ref="I8149" r:id="rId6071" xr:uid="{00000000-0004-0000-0100-0000B6170000}"/>
    <hyperlink ref="I8150" r:id="rId6072" xr:uid="{00000000-0004-0000-0100-0000B7170000}"/>
    <hyperlink ref="I8151" r:id="rId6073" xr:uid="{00000000-0004-0000-0100-0000B8170000}"/>
    <hyperlink ref="I8152" r:id="rId6074" xr:uid="{00000000-0004-0000-0100-0000B9170000}"/>
    <hyperlink ref="I8153" r:id="rId6075" xr:uid="{00000000-0004-0000-0100-0000BA170000}"/>
    <hyperlink ref="I8154" r:id="rId6076" xr:uid="{00000000-0004-0000-0100-0000BB170000}"/>
    <hyperlink ref="I8155" r:id="rId6077" xr:uid="{00000000-0004-0000-0100-0000BC170000}"/>
    <hyperlink ref="I8156" r:id="rId6078" xr:uid="{00000000-0004-0000-0100-0000BD170000}"/>
    <hyperlink ref="I8157" r:id="rId6079" xr:uid="{00000000-0004-0000-0100-0000BE170000}"/>
    <hyperlink ref="I8158" r:id="rId6080" xr:uid="{00000000-0004-0000-0100-0000BF170000}"/>
    <hyperlink ref="I8159" r:id="rId6081" xr:uid="{00000000-0004-0000-0100-0000C0170000}"/>
    <hyperlink ref="I8160" r:id="rId6082" xr:uid="{00000000-0004-0000-0100-0000C1170000}"/>
    <hyperlink ref="I8161" r:id="rId6083" xr:uid="{00000000-0004-0000-0100-0000C2170000}"/>
    <hyperlink ref="I8162" r:id="rId6084" xr:uid="{00000000-0004-0000-0100-0000C3170000}"/>
    <hyperlink ref="I8163" r:id="rId6085" xr:uid="{00000000-0004-0000-0100-0000C4170000}"/>
    <hyperlink ref="I8164" r:id="rId6086" xr:uid="{00000000-0004-0000-0100-0000C5170000}"/>
    <hyperlink ref="I8165" r:id="rId6087" xr:uid="{00000000-0004-0000-0100-0000C6170000}"/>
    <hyperlink ref="I8166" r:id="rId6088" xr:uid="{00000000-0004-0000-0100-0000C7170000}"/>
    <hyperlink ref="I8167" r:id="rId6089" xr:uid="{00000000-0004-0000-0100-0000C8170000}"/>
    <hyperlink ref="I8168" r:id="rId6090" xr:uid="{00000000-0004-0000-0100-0000C9170000}"/>
    <hyperlink ref="I8169" r:id="rId6091" xr:uid="{00000000-0004-0000-0100-0000CA170000}"/>
    <hyperlink ref="I8170" r:id="rId6092" xr:uid="{00000000-0004-0000-0100-0000CB170000}"/>
    <hyperlink ref="I8171" r:id="rId6093" xr:uid="{00000000-0004-0000-0100-0000CC170000}"/>
    <hyperlink ref="I8172" r:id="rId6094" xr:uid="{00000000-0004-0000-0100-0000CD170000}"/>
    <hyperlink ref="I8173" r:id="rId6095" xr:uid="{00000000-0004-0000-0100-0000CE170000}"/>
    <hyperlink ref="I8174" r:id="rId6096" xr:uid="{00000000-0004-0000-0100-0000CF170000}"/>
    <hyperlink ref="I8175" r:id="rId6097" xr:uid="{00000000-0004-0000-0100-0000D0170000}"/>
    <hyperlink ref="I8176" r:id="rId6098" xr:uid="{00000000-0004-0000-0100-0000D1170000}"/>
    <hyperlink ref="I8177" r:id="rId6099" xr:uid="{00000000-0004-0000-0100-0000D2170000}"/>
    <hyperlink ref="I8178" r:id="rId6100" xr:uid="{00000000-0004-0000-0100-0000D3170000}"/>
    <hyperlink ref="I8179" r:id="rId6101" xr:uid="{00000000-0004-0000-0100-0000D4170000}"/>
    <hyperlink ref="I8180" r:id="rId6102" xr:uid="{00000000-0004-0000-0100-0000D5170000}"/>
    <hyperlink ref="I8181" r:id="rId6103" xr:uid="{00000000-0004-0000-0100-0000D6170000}"/>
    <hyperlink ref="I8182" r:id="rId6104" xr:uid="{00000000-0004-0000-0100-0000D7170000}"/>
    <hyperlink ref="I8183" r:id="rId6105" xr:uid="{00000000-0004-0000-0100-0000D8170000}"/>
    <hyperlink ref="I8184" r:id="rId6106" xr:uid="{00000000-0004-0000-0100-0000D9170000}"/>
    <hyperlink ref="I8185" r:id="rId6107" xr:uid="{00000000-0004-0000-0100-0000DA170000}"/>
    <hyperlink ref="I8186" r:id="rId6108" xr:uid="{00000000-0004-0000-0100-0000DB170000}"/>
    <hyperlink ref="I8187" r:id="rId6109" xr:uid="{00000000-0004-0000-0100-0000DC170000}"/>
    <hyperlink ref="I8188" r:id="rId6110" xr:uid="{00000000-0004-0000-0100-0000DD170000}"/>
    <hyperlink ref="I8189" r:id="rId6111" xr:uid="{00000000-0004-0000-0100-0000DE170000}"/>
    <hyperlink ref="I8190" r:id="rId6112" xr:uid="{00000000-0004-0000-0100-0000DF170000}"/>
    <hyperlink ref="I8191" r:id="rId6113" xr:uid="{00000000-0004-0000-0100-0000E0170000}"/>
    <hyperlink ref="I8192" r:id="rId6114" xr:uid="{00000000-0004-0000-0100-0000E1170000}"/>
    <hyperlink ref="I8193" r:id="rId6115" xr:uid="{00000000-0004-0000-0100-0000E2170000}"/>
    <hyperlink ref="I8194" r:id="rId6116" xr:uid="{00000000-0004-0000-0100-0000E3170000}"/>
    <hyperlink ref="I8195" r:id="rId6117" xr:uid="{00000000-0004-0000-0100-0000E4170000}"/>
    <hyperlink ref="I8196" r:id="rId6118" xr:uid="{00000000-0004-0000-0100-0000E5170000}"/>
    <hyperlink ref="I8197" r:id="rId6119" xr:uid="{00000000-0004-0000-0100-0000E6170000}"/>
    <hyperlink ref="I8198" r:id="rId6120" xr:uid="{00000000-0004-0000-0100-0000E7170000}"/>
    <hyperlink ref="I8199" r:id="rId6121" xr:uid="{00000000-0004-0000-0100-0000E8170000}"/>
    <hyperlink ref="I8200" r:id="rId6122" xr:uid="{00000000-0004-0000-0100-0000E9170000}"/>
    <hyperlink ref="I8201" r:id="rId6123" xr:uid="{00000000-0004-0000-0100-0000EA170000}"/>
    <hyperlink ref="I8202" r:id="rId6124" xr:uid="{00000000-0004-0000-0100-0000EB170000}"/>
    <hyperlink ref="I8203" r:id="rId6125" xr:uid="{00000000-0004-0000-0100-0000EC170000}"/>
    <hyperlink ref="I8204" r:id="rId6126" xr:uid="{00000000-0004-0000-0100-0000ED170000}"/>
    <hyperlink ref="I8205" r:id="rId6127" xr:uid="{00000000-0004-0000-0100-0000EE170000}"/>
    <hyperlink ref="I8206" r:id="rId6128" xr:uid="{00000000-0004-0000-0100-0000EF170000}"/>
    <hyperlink ref="I8207" r:id="rId6129" xr:uid="{00000000-0004-0000-0100-0000F0170000}"/>
    <hyperlink ref="I8208" r:id="rId6130" xr:uid="{00000000-0004-0000-0100-0000F1170000}"/>
    <hyperlink ref="I8209" r:id="rId6131" xr:uid="{00000000-0004-0000-0100-0000F2170000}"/>
    <hyperlink ref="I8210" r:id="rId6132" xr:uid="{00000000-0004-0000-0100-0000F3170000}"/>
    <hyperlink ref="I8211" r:id="rId6133" xr:uid="{00000000-0004-0000-0100-0000F4170000}"/>
    <hyperlink ref="I8212" r:id="rId6134" xr:uid="{00000000-0004-0000-0100-0000F5170000}"/>
    <hyperlink ref="I8213" r:id="rId6135" xr:uid="{00000000-0004-0000-0100-0000F6170000}"/>
    <hyperlink ref="I8214" r:id="rId6136" xr:uid="{00000000-0004-0000-0100-0000F7170000}"/>
    <hyperlink ref="I8215" r:id="rId6137" xr:uid="{00000000-0004-0000-0100-0000F8170000}"/>
    <hyperlink ref="I8216" r:id="rId6138" xr:uid="{00000000-0004-0000-0100-0000F9170000}"/>
    <hyperlink ref="I8217" r:id="rId6139" xr:uid="{00000000-0004-0000-0100-0000FA170000}"/>
    <hyperlink ref="I8218" r:id="rId6140" xr:uid="{00000000-0004-0000-0100-0000FB170000}"/>
    <hyperlink ref="I8219" r:id="rId6141" xr:uid="{00000000-0004-0000-0100-0000FC170000}"/>
    <hyperlink ref="I8220" r:id="rId6142" xr:uid="{00000000-0004-0000-0100-0000FD170000}"/>
    <hyperlink ref="I8221" r:id="rId6143" xr:uid="{00000000-0004-0000-0100-0000FE170000}"/>
    <hyperlink ref="I8222" r:id="rId6144" xr:uid="{00000000-0004-0000-0100-0000FF170000}"/>
    <hyperlink ref="I8223" r:id="rId6145" xr:uid="{00000000-0004-0000-0100-000000180000}"/>
    <hyperlink ref="I8224" r:id="rId6146" xr:uid="{00000000-0004-0000-0100-000001180000}"/>
    <hyperlink ref="I8225" r:id="rId6147" xr:uid="{00000000-0004-0000-0100-000002180000}"/>
    <hyperlink ref="I8226" r:id="rId6148" xr:uid="{00000000-0004-0000-0100-000003180000}"/>
    <hyperlink ref="I8227" r:id="rId6149" xr:uid="{00000000-0004-0000-0100-000004180000}"/>
    <hyperlink ref="I8228" r:id="rId6150" xr:uid="{00000000-0004-0000-0100-000005180000}"/>
    <hyperlink ref="I8229" r:id="rId6151" xr:uid="{00000000-0004-0000-0100-000006180000}"/>
    <hyperlink ref="I8230" r:id="rId6152" xr:uid="{00000000-0004-0000-0100-000007180000}"/>
    <hyperlink ref="I8231" r:id="rId6153" xr:uid="{00000000-0004-0000-0100-000008180000}"/>
    <hyperlink ref="I8232" r:id="rId6154" xr:uid="{00000000-0004-0000-0100-000009180000}"/>
    <hyperlink ref="I8233" r:id="rId6155" xr:uid="{00000000-0004-0000-0100-00000A180000}"/>
    <hyperlink ref="I8234" r:id="rId6156" xr:uid="{00000000-0004-0000-0100-00000B180000}"/>
    <hyperlink ref="I8235" r:id="rId6157" xr:uid="{00000000-0004-0000-0100-00000C180000}"/>
    <hyperlink ref="I8236" r:id="rId6158" xr:uid="{00000000-0004-0000-0100-00000D180000}"/>
    <hyperlink ref="I8237" r:id="rId6159" xr:uid="{00000000-0004-0000-0100-00000E180000}"/>
    <hyperlink ref="I8238" r:id="rId6160" xr:uid="{00000000-0004-0000-0100-00000F180000}"/>
    <hyperlink ref="I8239" r:id="rId6161" xr:uid="{00000000-0004-0000-0100-000010180000}"/>
    <hyperlink ref="I8240" r:id="rId6162" xr:uid="{00000000-0004-0000-0100-000011180000}"/>
    <hyperlink ref="I8241" r:id="rId6163" xr:uid="{00000000-0004-0000-0100-000012180000}"/>
    <hyperlink ref="I8242" r:id="rId6164" xr:uid="{00000000-0004-0000-0100-000013180000}"/>
    <hyperlink ref="I8243" r:id="rId6165" xr:uid="{00000000-0004-0000-0100-000014180000}"/>
    <hyperlink ref="I8244" r:id="rId6166" xr:uid="{00000000-0004-0000-0100-000015180000}"/>
    <hyperlink ref="I8245" r:id="rId6167" xr:uid="{00000000-0004-0000-0100-000016180000}"/>
    <hyperlink ref="I8246" r:id="rId6168" xr:uid="{00000000-0004-0000-0100-000017180000}"/>
    <hyperlink ref="I8247" r:id="rId6169" xr:uid="{00000000-0004-0000-0100-000018180000}"/>
    <hyperlink ref="I8248" r:id="rId6170" xr:uid="{00000000-0004-0000-0100-000019180000}"/>
    <hyperlink ref="I8249" r:id="rId6171" xr:uid="{00000000-0004-0000-0100-00001A180000}"/>
    <hyperlink ref="I8250" r:id="rId6172" xr:uid="{00000000-0004-0000-0100-00001B180000}"/>
    <hyperlink ref="I8251" r:id="rId6173" xr:uid="{00000000-0004-0000-0100-00001C180000}"/>
    <hyperlink ref="I8252" r:id="rId6174" xr:uid="{00000000-0004-0000-0100-00001D180000}"/>
    <hyperlink ref="I8253" r:id="rId6175" xr:uid="{00000000-0004-0000-0100-00001E180000}"/>
    <hyperlink ref="I8254" r:id="rId6176" xr:uid="{00000000-0004-0000-0100-00001F180000}"/>
    <hyperlink ref="I8255" r:id="rId6177" xr:uid="{00000000-0004-0000-0100-000020180000}"/>
    <hyperlink ref="I8256" r:id="rId6178" xr:uid="{00000000-0004-0000-0100-000021180000}"/>
    <hyperlink ref="I8257" r:id="rId6179" xr:uid="{00000000-0004-0000-0100-000022180000}"/>
    <hyperlink ref="I8258" r:id="rId6180" xr:uid="{00000000-0004-0000-0100-000023180000}"/>
    <hyperlink ref="I8259" r:id="rId6181" xr:uid="{00000000-0004-0000-0100-000024180000}"/>
    <hyperlink ref="I8260" r:id="rId6182" xr:uid="{00000000-0004-0000-0100-000025180000}"/>
    <hyperlink ref="I8261" r:id="rId6183" xr:uid="{00000000-0004-0000-0100-000026180000}"/>
    <hyperlink ref="I8262" r:id="rId6184" xr:uid="{00000000-0004-0000-0100-000027180000}"/>
    <hyperlink ref="I8263" r:id="rId6185" xr:uid="{00000000-0004-0000-0100-000028180000}"/>
    <hyperlink ref="I8264" r:id="rId6186" xr:uid="{00000000-0004-0000-0100-000029180000}"/>
    <hyperlink ref="I8265" r:id="rId6187" xr:uid="{00000000-0004-0000-0100-00002A180000}"/>
    <hyperlink ref="I8266" r:id="rId6188" xr:uid="{00000000-0004-0000-0100-00002B180000}"/>
    <hyperlink ref="I8267" r:id="rId6189" xr:uid="{00000000-0004-0000-0100-00002C180000}"/>
    <hyperlink ref="I8268" r:id="rId6190" xr:uid="{00000000-0004-0000-0100-00002D180000}"/>
    <hyperlink ref="I8269" r:id="rId6191" xr:uid="{00000000-0004-0000-0100-00002E180000}"/>
    <hyperlink ref="I8270" r:id="rId6192" xr:uid="{00000000-0004-0000-0100-00002F180000}"/>
    <hyperlink ref="I8271" r:id="rId6193" xr:uid="{00000000-0004-0000-0100-000030180000}"/>
    <hyperlink ref="I8272" r:id="rId6194" xr:uid="{00000000-0004-0000-0100-000031180000}"/>
    <hyperlink ref="I8273" r:id="rId6195" xr:uid="{00000000-0004-0000-0100-000032180000}"/>
    <hyperlink ref="I8274" r:id="rId6196" xr:uid="{00000000-0004-0000-0100-000033180000}"/>
    <hyperlink ref="I8275" r:id="rId6197" xr:uid="{00000000-0004-0000-0100-000034180000}"/>
    <hyperlink ref="I8276" r:id="rId6198" xr:uid="{00000000-0004-0000-0100-000035180000}"/>
    <hyperlink ref="I8277" r:id="rId6199" xr:uid="{00000000-0004-0000-0100-000036180000}"/>
    <hyperlink ref="I8278" r:id="rId6200" xr:uid="{00000000-0004-0000-0100-000037180000}"/>
    <hyperlink ref="I8279" r:id="rId6201" xr:uid="{00000000-0004-0000-0100-000038180000}"/>
    <hyperlink ref="I8280" r:id="rId6202" xr:uid="{00000000-0004-0000-0100-000039180000}"/>
    <hyperlink ref="I8281" r:id="rId6203" xr:uid="{00000000-0004-0000-0100-00003A180000}"/>
    <hyperlink ref="I8282" r:id="rId6204" xr:uid="{00000000-0004-0000-0100-00003B180000}"/>
    <hyperlink ref="I8283" r:id="rId6205" xr:uid="{00000000-0004-0000-0100-00003C180000}"/>
    <hyperlink ref="I8284" r:id="rId6206" xr:uid="{00000000-0004-0000-0100-00003D180000}"/>
    <hyperlink ref="I8285" r:id="rId6207" xr:uid="{00000000-0004-0000-0100-00003E180000}"/>
    <hyperlink ref="I8286" r:id="rId6208" xr:uid="{00000000-0004-0000-0100-00003F180000}"/>
    <hyperlink ref="I8287" r:id="rId6209" xr:uid="{00000000-0004-0000-0100-000040180000}"/>
    <hyperlink ref="I8288" r:id="rId6210" xr:uid="{00000000-0004-0000-0100-000041180000}"/>
    <hyperlink ref="I8289" r:id="rId6211" xr:uid="{00000000-0004-0000-0100-000042180000}"/>
    <hyperlink ref="I8290" r:id="rId6212" xr:uid="{00000000-0004-0000-0100-000043180000}"/>
    <hyperlink ref="I8291" r:id="rId6213" xr:uid="{00000000-0004-0000-0100-000044180000}"/>
    <hyperlink ref="I8292" r:id="rId6214" xr:uid="{00000000-0004-0000-0100-000045180000}"/>
    <hyperlink ref="I8293" r:id="rId6215" xr:uid="{00000000-0004-0000-0100-000046180000}"/>
    <hyperlink ref="I8294" r:id="rId6216" xr:uid="{00000000-0004-0000-0100-000047180000}"/>
    <hyperlink ref="I8295" r:id="rId6217" xr:uid="{00000000-0004-0000-0100-000048180000}"/>
    <hyperlink ref="I8296" r:id="rId6218" xr:uid="{00000000-0004-0000-0100-000049180000}"/>
    <hyperlink ref="I8297" r:id="rId6219" xr:uid="{00000000-0004-0000-0100-00004A180000}"/>
    <hyperlink ref="I8298" r:id="rId6220" xr:uid="{00000000-0004-0000-0100-00004B180000}"/>
    <hyperlink ref="I8299" r:id="rId6221" xr:uid="{00000000-0004-0000-0100-00004C180000}"/>
    <hyperlink ref="I8300" r:id="rId6222" xr:uid="{00000000-0004-0000-0100-00004D180000}"/>
    <hyperlink ref="I8301" r:id="rId6223" xr:uid="{00000000-0004-0000-0100-00004E180000}"/>
    <hyperlink ref="I8302" r:id="rId6224" xr:uid="{00000000-0004-0000-0100-00004F180000}"/>
    <hyperlink ref="I8303" r:id="rId6225" xr:uid="{00000000-0004-0000-0100-000050180000}"/>
    <hyperlink ref="I8304" r:id="rId6226" xr:uid="{00000000-0004-0000-0100-000051180000}"/>
    <hyperlink ref="I8305" r:id="rId6227" xr:uid="{00000000-0004-0000-0100-000052180000}"/>
    <hyperlink ref="I8306" r:id="rId6228" xr:uid="{00000000-0004-0000-0100-000053180000}"/>
    <hyperlink ref="I8307" r:id="rId6229" xr:uid="{00000000-0004-0000-0100-000054180000}"/>
    <hyperlink ref="I8308" r:id="rId6230" xr:uid="{00000000-0004-0000-0100-000055180000}"/>
    <hyperlink ref="I8309" r:id="rId6231" xr:uid="{00000000-0004-0000-0100-000056180000}"/>
    <hyperlink ref="I8310" r:id="rId6232" xr:uid="{00000000-0004-0000-0100-000057180000}"/>
    <hyperlink ref="I8311" r:id="rId6233" xr:uid="{00000000-0004-0000-0100-000058180000}"/>
    <hyperlink ref="I8312" r:id="rId6234" xr:uid="{00000000-0004-0000-0100-000059180000}"/>
    <hyperlink ref="I8313" r:id="rId6235" xr:uid="{00000000-0004-0000-0100-00005A180000}"/>
    <hyperlink ref="I8314" r:id="rId6236" xr:uid="{00000000-0004-0000-0100-00005B180000}"/>
    <hyperlink ref="I8315" r:id="rId6237" xr:uid="{00000000-0004-0000-0100-00005C180000}"/>
    <hyperlink ref="I8316" r:id="rId6238" xr:uid="{00000000-0004-0000-0100-00005D180000}"/>
    <hyperlink ref="I8317" r:id="rId6239" xr:uid="{00000000-0004-0000-0100-00005E180000}"/>
    <hyperlink ref="I8318" r:id="rId6240" xr:uid="{00000000-0004-0000-0100-00005F180000}"/>
    <hyperlink ref="I8319" r:id="rId6241" xr:uid="{00000000-0004-0000-0100-000060180000}"/>
    <hyperlink ref="I8320" r:id="rId6242" xr:uid="{00000000-0004-0000-0100-000061180000}"/>
    <hyperlink ref="I8321" r:id="rId6243" xr:uid="{00000000-0004-0000-0100-000062180000}"/>
    <hyperlink ref="I8322" r:id="rId6244" xr:uid="{00000000-0004-0000-0100-000063180000}"/>
    <hyperlink ref="I8323" r:id="rId6245" xr:uid="{00000000-0004-0000-0100-000064180000}"/>
    <hyperlink ref="I8324" r:id="rId6246" xr:uid="{00000000-0004-0000-0100-000065180000}"/>
    <hyperlink ref="I8325" r:id="rId6247" xr:uid="{00000000-0004-0000-0100-000066180000}"/>
    <hyperlink ref="I8326" r:id="rId6248" xr:uid="{00000000-0004-0000-0100-000067180000}"/>
    <hyperlink ref="I8327" r:id="rId6249" xr:uid="{00000000-0004-0000-0100-000068180000}"/>
    <hyperlink ref="I8328" r:id="rId6250" xr:uid="{00000000-0004-0000-0100-000069180000}"/>
    <hyperlink ref="I8329" r:id="rId6251" xr:uid="{00000000-0004-0000-0100-00006A180000}"/>
    <hyperlink ref="I8330" r:id="rId6252" xr:uid="{00000000-0004-0000-0100-00006B180000}"/>
    <hyperlink ref="I8331" r:id="rId6253" xr:uid="{00000000-0004-0000-0100-00006C180000}"/>
    <hyperlink ref="I8332" r:id="rId6254" xr:uid="{00000000-0004-0000-0100-00006D180000}"/>
    <hyperlink ref="I8333" r:id="rId6255" xr:uid="{00000000-0004-0000-0100-00006E180000}"/>
    <hyperlink ref="I8334" r:id="rId6256" xr:uid="{00000000-0004-0000-0100-00006F180000}"/>
    <hyperlink ref="I8335" r:id="rId6257" xr:uid="{00000000-0004-0000-0100-000070180000}"/>
    <hyperlink ref="I8336" r:id="rId6258" xr:uid="{00000000-0004-0000-0100-000071180000}"/>
    <hyperlink ref="I8337" r:id="rId6259" xr:uid="{00000000-0004-0000-0100-000072180000}"/>
    <hyperlink ref="I8338" r:id="rId6260" xr:uid="{00000000-0004-0000-0100-000073180000}"/>
    <hyperlink ref="I8339" r:id="rId6261" xr:uid="{00000000-0004-0000-0100-000074180000}"/>
    <hyperlink ref="I8340" r:id="rId6262" xr:uid="{00000000-0004-0000-0100-000075180000}"/>
    <hyperlink ref="I8341" r:id="rId6263" xr:uid="{00000000-0004-0000-0100-000076180000}"/>
    <hyperlink ref="I8342" r:id="rId6264" xr:uid="{00000000-0004-0000-0100-000077180000}"/>
    <hyperlink ref="I8343" r:id="rId6265" xr:uid="{00000000-0004-0000-0100-000078180000}"/>
    <hyperlink ref="I8344" r:id="rId6266" xr:uid="{00000000-0004-0000-0100-000079180000}"/>
    <hyperlink ref="I8345" r:id="rId6267" xr:uid="{00000000-0004-0000-0100-00007A180000}"/>
    <hyperlink ref="I8346" r:id="rId6268" xr:uid="{00000000-0004-0000-0100-00007B180000}"/>
    <hyperlink ref="I8347" r:id="rId6269" xr:uid="{00000000-0004-0000-0100-00007C180000}"/>
    <hyperlink ref="I8348" r:id="rId6270" xr:uid="{00000000-0004-0000-0100-00007D180000}"/>
    <hyperlink ref="I8349" r:id="rId6271" xr:uid="{00000000-0004-0000-0100-00007E180000}"/>
    <hyperlink ref="I8350" r:id="rId6272" xr:uid="{00000000-0004-0000-0100-00007F180000}"/>
    <hyperlink ref="I8351" r:id="rId6273" xr:uid="{00000000-0004-0000-0100-000080180000}"/>
    <hyperlink ref="I8352" r:id="rId6274" xr:uid="{00000000-0004-0000-0100-000081180000}"/>
    <hyperlink ref="I8353" r:id="rId6275" xr:uid="{00000000-0004-0000-0100-000082180000}"/>
    <hyperlink ref="I8354" r:id="rId6276" xr:uid="{00000000-0004-0000-0100-000083180000}"/>
    <hyperlink ref="I8355" r:id="rId6277" xr:uid="{00000000-0004-0000-0100-000084180000}"/>
    <hyperlink ref="I8356" r:id="rId6278" xr:uid="{00000000-0004-0000-0100-000085180000}"/>
    <hyperlink ref="I8357" r:id="rId6279" xr:uid="{00000000-0004-0000-0100-000086180000}"/>
    <hyperlink ref="I8358" r:id="rId6280" xr:uid="{00000000-0004-0000-0100-000087180000}"/>
    <hyperlink ref="I8359" r:id="rId6281" xr:uid="{00000000-0004-0000-0100-000088180000}"/>
    <hyperlink ref="I8360" r:id="rId6282" xr:uid="{00000000-0004-0000-0100-000089180000}"/>
    <hyperlink ref="I8361" r:id="rId6283" xr:uid="{00000000-0004-0000-0100-00008A180000}"/>
    <hyperlink ref="I8362" r:id="rId6284" xr:uid="{00000000-0004-0000-0100-00008B180000}"/>
    <hyperlink ref="I8363" r:id="rId6285" xr:uid="{00000000-0004-0000-0100-00008C180000}"/>
    <hyperlink ref="I8364" r:id="rId6286" xr:uid="{00000000-0004-0000-0100-00008D180000}"/>
    <hyperlink ref="I8365" r:id="rId6287" xr:uid="{00000000-0004-0000-0100-00008E180000}"/>
    <hyperlink ref="I8366" r:id="rId6288" xr:uid="{00000000-0004-0000-0100-00008F180000}"/>
    <hyperlink ref="I8367" r:id="rId6289" xr:uid="{00000000-0004-0000-0100-000090180000}"/>
    <hyperlink ref="I8368" r:id="rId6290" xr:uid="{00000000-0004-0000-0100-000091180000}"/>
    <hyperlink ref="I8369" r:id="rId6291" xr:uid="{00000000-0004-0000-0100-000092180000}"/>
    <hyperlink ref="I8370" r:id="rId6292" xr:uid="{00000000-0004-0000-0100-000093180000}"/>
    <hyperlink ref="I8371" r:id="rId6293" xr:uid="{00000000-0004-0000-0100-000094180000}"/>
    <hyperlink ref="I8372" r:id="rId6294" xr:uid="{00000000-0004-0000-0100-000095180000}"/>
    <hyperlink ref="I8373" r:id="rId6295" xr:uid="{00000000-0004-0000-0100-000096180000}"/>
    <hyperlink ref="I8374" r:id="rId6296" xr:uid="{00000000-0004-0000-0100-000097180000}"/>
    <hyperlink ref="I8375" r:id="rId6297" xr:uid="{00000000-0004-0000-0100-000098180000}"/>
    <hyperlink ref="I8376" r:id="rId6298" xr:uid="{00000000-0004-0000-0100-000099180000}"/>
    <hyperlink ref="I8377" r:id="rId6299" xr:uid="{00000000-0004-0000-0100-00009A180000}"/>
    <hyperlink ref="I8378" r:id="rId6300" xr:uid="{00000000-0004-0000-0100-00009B180000}"/>
    <hyperlink ref="I8379" r:id="rId6301" xr:uid="{00000000-0004-0000-0100-00009C180000}"/>
    <hyperlink ref="I8380" r:id="rId6302" xr:uid="{00000000-0004-0000-0100-00009D180000}"/>
    <hyperlink ref="I8381" r:id="rId6303" xr:uid="{00000000-0004-0000-0100-00009E180000}"/>
    <hyperlink ref="I8382" r:id="rId6304" xr:uid="{00000000-0004-0000-0100-00009F180000}"/>
    <hyperlink ref="I8383" r:id="rId6305" xr:uid="{00000000-0004-0000-0100-0000A0180000}"/>
    <hyperlink ref="I8384" r:id="rId6306" xr:uid="{00000000-0004-0000-0100-0000A1180000}"/>
    <hyperlink ref="I8385" r:id="rId6307" xr:uid="{00000000-0004-0000-0100-0000A2180000}"/>
    <hyperlink ref="I8386" r:id="rId6308" xr:uid="{00000000-0004-0000-0100-0000A3180000}"/>
    <hyperlink ref="I8387" r:id="rId6309" xr:uid="{00000000-0004-0000-0100-0000A4180000}"/>
    <hyperlink ref="I8388" r:id="rId6310" xr:uid="{00000000-0004-0000-0100-0000A5180000}"/>
    <hyperlink ref="I8389" r:id="rId6311" xr:uid="{00000000-0004-0000-0100-0000A6180000}"/>
    <hyperlink ref="I8390" r:id="rId6312" xr:uid="{00000000-0004-0000-0100-0000A7180000}"/>
    <hyperlink ref="I8391" r:id="rId6313" xr:uid="{00000000-0004-0000-0100-0000A8180000}"/>
    <hyperlink ref="I8392" r:id="rId6314" xr:uid="{00000000-0004-0000-0100-0000A9180000}"/>
    <hyperlink ref="I8393" r:id="rId6315" xr:uid="{00000000-0004-0000-0100-0000AA180000}"/>
    <hyperlink ref="I8394" r:id="rId6316" xr:uid="{00000000-0004-0000-0100-0000AB180000}"/>
    <hyperlink ref="I8395" r:id="rId6317" xr:uid="{00000000-0004-0000-0100-0000AC180000}"/>
    <hyperlink ref="I8396" r:id="rId6318" xr:uid="{00000000-0004-0000-0100-0000AD180000}"/>
    <hyperlink ref="I8397" r:id="rId6319" xr:uid="{00000000-0004-0000-0100-0000AE180000}"/>
    <hyperlink ref="I8398" r:id="rId6320" xr:uid="{00000000-0004-0000-0100-0000AF180000}"/>
    <hyperlink ref="I8399" r:id="rId6321" xr:uid="{00000000-0004-0000-0100-0000B0180000}"/>
    <hyperlink ref="I8400" r:id="rId6322" xr:uid="{00000000-0004-0000-0100-0000B1180000}"/>
    <hyperlink ref="I8401" r:id="rId6323" xr:uid="{00000000-0004-0000-0100-0000B2180000}"/>
    <hyperlink ref="I8402" r:id="rId6324" xr:uid="{00000000-0004-0000-0100-0000B3180000}"/>
    <hyperlink ref="I8403" r:id="rId6325" xr:uid="{00000000-0004-0000-0100-0000B4180000}"/>
    <hyperlink ref="I8404" r:id="rId6326" xr:uid="{00000000-0004-0000-0100-0000B5180000}"/>
    <hyperlink ref="I8405" r:id="rId6327" xr:uid="{00000000-0004-0000-0100-0000B6180000}"/>
    <hyperlink ref="I8406" r:id="rId6328" xr:uid="{00000000-0004-0000-0100-0000B7180000}"/>
    <hyperlink ref="I8407" r:id="rId6329" xr:uid="{00000000-0004-0000-0100-0000B8180000}"/>
    <hyperlink ref="I8408" r:id="rId6330" xr:uid="{00000000-0004-0000-0100-0000B9180000}"/>
    <hyperlink ref="I8409" r:id="rId6331" xr:uid="{00000000-0004-0000-0100-0000BA180000}"/>
    <hyperlink ref="I8410" r:id="rId6332" xr:uid="{00000000-0004-0000-0100-0000BB180000}"/>
    <hyperlink ref="I8411" r:id="rId6333" xr:uid="{00000000-0004-0000-0100-0000BC180000}"/>
    <hyperlink ref="I8412" r:id="rId6334" xr:uid="{00000000-0004-0000-0100-0000BD180000}"/>
    <hyperlink ref="I8413" r:id="rId6335" xr:uid="{00000000-0004-0000-0100-0000BE180000}"/>
    <hyperlink ref="I8414" r:id="rId6336" xr:uid="{00000000-0004-0000-0100-0000BF180000}"/>
    <hyperlink ref="I8415" r:id="rId6337" xr:uid="{00000000-0004-0000-0100-0000C0180000}"/>
    <hyperlink ref="I8416" r:id="rId6338" xr:uid="{00000000-0004-0000-0100-0000C1180000}"/>
    <hyperlink ref="I8417" r:id="rId6339" xr:uid="{00000000-0004-0000-0100-0000C2180000}"/>
    <hyperlink ref="I8418" r:id="rId6340" xr:uid="{00000000-0004-0000-0100-0000C3180000}"/>
    <hyperlink ref="I8419" r:id="rId6341" xr:uid="{00000000-0004-0000-0100-0000C4180000}"/>
    <hyperlink ref="I8420" r:id="rId6342" xr:uid="{00000000-0004-0000-0100-0000C5180000}"/>
    <hyperlink ref="I8421" r:id="rId6343" xr:uid="{00000000-0004-0000-0100-0000C6180000}"/>
    <hyperlink ref="I8422" r:id="rId6344" xr:uid="{00000000-0004-0000-0100-0000C7180000}"/>
    <hyperlink ref="I8423" r:id="rId6345" xr:uid="{00000000-0004-0000-0100-0000C8180000}"/>
    <hyperlink ref="I8424" r:id="rId6346" xr:uid="{00000000-0004-0000-0100-0000C9180000}"/>
    <hyperlink ref="I8425" r:id="rId6347" xr:uid="{00000000-0004-0000-0100-0000CA180000}"/>
    <hyperlink ref="I8426" r:id="rId6348" xr:uid="{00000000-0004-0000-0100-0000CB180000}"/>
    <hyperlink ref="I8427" r:id="rId6349" xr:uid="{00000000-0004-0000-0100-0000CC180000}"/>
    <hyperlink ref="I8428" r:id="rId6350" xr:uid="{00000000-0004-0000-0100-0000CD180000}"/>
    <hyperlink ref="I8429" r:id="rId6351" xr:uid="{00000000-0004-0000-0100-0000CE180000}"/>
    <hyperlink ref="I8430" r:id="rId6352" xr:uid="{00000000-0004-0000-0100-0000CF180000}"/>
    <hyperlink ref="I8431" r:id="rId6353" xr:uid="{00000000-0004-0000-0100-0000D0180000}"/>
    <hyperlink ref="I8432" r:id="rId6354" xr:uid="{00000000-0004-0000-0100-0000D1180000}"/>
    <hyperlink ref="I8433" r:id="rId6355" xr:uid="{00000000-0004-0000-0100-0000D2180000}"/>
    <hyperlink ref="I8434" r:id="rId6356" xr:uid="{00000000-0004-0000-0100-0000D3180000}"/>
    <hyperlink ref="I8435" r:id="rId6357" xr:uid="{00000000-0004-0000-0100-0000D4180000}"/>
    <hyperlink ref="I8436" r:id="rId6358" xr:uid="{00000000-0004-0000-0100-0000D5180000}"/>
    <hyperlink ref="I8437" r:id="rId6359" xr:uid="{00000000-0004-0000-0100-0000D6180000}"/>
    <hyperlink ref="I8438" r:id="rId6360" xr:uid="{00000000-0004-0000-0100-0000D7180000}"/>
    <hyperlink ref="I8439" r:id="rId6361" xr:uid="{00000000-0004-0000-0100-0000D8180000}"/>
    <hyperlink ref="I8440" r:id="rId6362" xr:uid="{00000000-0004-0000-0100-0000D9180000}"/>
    <hyperlink ref="I8441" r:id="rId6363" xr:uid="{00000000-0004-0000-0100-0000DA180000}"/>
    <hyperlink ref="I8442" r:id="rId6364" xr:uid="{00000000-0004-0000-0100-0000DB180000}"/>
    <hyperlink ref="I8443" r:id="rId6365" xr:uid="{00000000-0004-0000-0100-0000DC180000}"/>
    <hyperlink ref="I8444" r:id="rId6366" xr:uid="{00000000-0004-0000-0100-0000DD180000}"/>
    <hyperlink ref="I8445" r:id="rId6367" xr:uid="{00000000-0004-0000-0100-0000DE180000}"/>
    <hyperlink ref="I8446" r:id="rId6368" xr:uid="{00000000-0004-0000-0100-0000DF180000}"/>
    <hyperlink ref="I8447" r:id="rId6369" xr:uid="{00000000-0004-0000-0100-0000E0180000}"/>
    <hyperlink ref="I8448" r:id="rId6370" xr:uid="{00000000-0004-0000-0100-0000E1180000}"/>
    <hyperlink ref="I8449" r:id="rId6371" xr:uid="{00000000-0004-0000-0100-0000E2180000}"/>
    <hyperlink ref="I8450" r:id="rId6372" xr:uid="{00000000-0004-0000-0100-0000E3180000}"/>
    <hyperlink ref="I8451" r:id="rId6373" xr:uid="{00000000-0004-0000-0100-0000E4180000}"/>
    <hyperlink ref="I8452" r:id="rId6374" xr:uid="{00000000-0004-0000-0100-0000E5180000}"/>
    <hyperlink ref="I8453" r:id="rId6375" xr:uid="{00000000-0004-0000-0100-0000E6180000}"/>
    <hyperlink ref="I8454" r:id="rId6376" xr:uid="{00000000-0004-0000-0100-0000E7180000}"/>
    <hyperlink ref="I8455" r:id="rId6377" xr:uid="{00000000-0004-0000-0100-0000E8180000}"/>
    <hyperlink ref="I8456" r:id="rId6378" xr:uid="{00000000-0004-0000-0100-0000E9180000}"/>
    <hyperlink ref="I8457" r:id="rId6379" xr:uid="{00000000-0004-0000-0100-0000EA180000}"/>
    <hyperlink ref="I8458" r:id="rId6380" xr:uid="{00000000-0004-0000-0100-0000EB180000}"/>
    <hyperlink ref="I8459" r:id="rId6381" xr:uid="{00000000-0004-0000-0100-0000EC180000}"/>
    <hyperlink ref="I8460" r:id="rId6382" xr:uid="{00000000-0004-0000-0100-0000ED180000}"/>
    <hyperlink ref="I8461" r:id="rId6383" xr:uid="{00000000-0004-0000-0100-0000EE180000}"/>
    <hyperlink ref="I8462" r:id="rId6384" xr:uid="{00000000-0004-0000-0100-0000EF180000}"/>
    <hyperlink ref="I8463" r:id="rId6385" xr:uid="{00000000-0004-0000-0100-0000F0180000}"/>
    <hyperlink ref="I8464" r:id="rId6386" xr:uid="{00000000-0004-0000-0100-0000F1180000}"/>
    <hyperlink ref="I8465" r:id="rId6387" xr:uid="{00000000-0004-0000-0100-0000F2180000}"/>
    <hyperlink ref="I8466" r:id="rId6388" xr:uid="{00000000-0004-0000-0100-0000F3180000}"/>
    <hyperlink ref="I8467" r:id="rId6389" xr:uid="{00000000-0004-0000-0100-0000F4180000}"/>
    <hyperlink ref="I8468" r:id="rId6390" xr:uid="{00000000-0004-0000-0100-0000F5180000}"/>
    <hyperlink ref="I8469" r:id="rId6391" xr:uid="{00000000-0004-0000-0100-0000F6180000}"/>
    <hyperlink ref="I8470" r:id="rId6392" xr:uid="{00000000-0004-0000-0100-0000F7180000}"/>
    <hyperlink ref="I8471" r:id="rId6393" xr:uid="{00000000-0004-0000-0100-0000F8180000}"/>
    <hyperlink ref="I8472" r:id="rId6394" xr:uid="{00000000-0004-0000-0100-0000F9180000}"/>
    <hyperlink ref="I8473" r:id="rId6395" xr:uid="{00000000-0004-0000-0100-0000FA180000}"/>
    <hyperlink ref="I8474" r:id="rId6396" xr:uid="{00000000-0004-0000-0100-0000FB180000}"/>
    <hyperlink ref="I8475" r:id="rId6397" xr:uid="{00000000-0004-0000-0100-0000FC180000}"/>
    <hyperlink ref="I8476" r:id="rId6398" xr:uid="{00000000-0004-0000-0100-0000FD180000}"/>
    <hyperlink ref="I8477" r:id="rId6399" xr:uid="{00000000-0004-0000-0100-0000FE180000}"/>
    <hyperlink ref="I8478" r:id="rId6400" xr:uid="{00000000-0004-0000-0100-0000FF180000}"/>
    <hyperlink ref="I8479" r:id="rId6401" xr:uid="{00000000-0004-0000-0100-000000190000}"/>
    <hyperlink ref="I8480" r:id="rId6402" xr:uid="{00000000-0004-0000-0100-000001190000}"/>
    <hyperlink ref="I8481" r:id="rId6403" xr:uid="{00000000-0004-0000-0100-000002190000}"/>
    <hyperlink ref="I8482" r:id="rId6404" xr:uid="{00000000-0004-0000-0100-000003190000}"/>
    <hyperlink ref="I8483" r:id="rId6405" xr:uid="{00000000-0004-0000-0100-000004190000}"/>
    <hyperlink ref="I8484" r:id="rId6406" xr:uid="{00000000-0004-0000-0100-000005190000}"/>
    <hyperlink ref="I8485" r:id="rId6407" xr:uid="{00000000-0004-0000-0100-000006190000}"/>
    <hyperlink ref="I8486" r:id="rId6408" xr:uid="{00000000-0004-0000-0100-000007190000}"/>
    <hyperlink ref="I8487" r:id="rId6409" xr:uid="{00000000-0004-0000-0100-000008190000}"/>
    <hyperlink ref="I8488" r:id="rId6410" xr:uid="{00000000-0004-0000-0100-000009190000}"/>
    <hyperlink ref="I8489" r:id="rId6411" xr:uid="{00000000-0004-0000-0100-00000A190000}"/>
    <hyperlink ref="I8490" r:id="rId6412" xr:uid="{00000000-0004-0000-0100-00000B190000}"/>
    <hyperlink ref="I8491" r:id="rId6413" xr:uid="{00000000-0004-0000-0100-00000C190000}"/>
    <hyperlink ref="I8492" r:id="rId6414" xr:uid="{00000000-0004-0000-0100-00000D190000}"/>
    <hyperlink ref="I8493" r:id="rId6415" xr:uid="{00000000-0004-0000-0100-00000E190000}"/>
    <hyperlink ref="I8494" r:id="rId6416" xr:uid="{00000000-0004-0000-0100-00000F190000}"/>
    <hyperlink ref="I8495" r:id="rId6417" xr:uid="{00000000-0004-0000-0100-000010190000}"/>
    <hyperlink ref="I8496" r:id="rId6418" xr:uid="{00000000-0004-0000-0100-000011190000}"/>
    <hyperlink ref="I8497" r:id="rId6419" xr:uid="{00000000-0004-0000-0100-000012190000}"/>
    <hyperlink ref="I8498" r:id="rId6420" xr:uid="{00000000-0004-0000-0100-000013190000}"/>
    <hyperlink ref="I8499" r:id="rId6421" xr:uid="{00000000-0004-0000-0100-000014190000}"/>
    <hyperlink ref="I8500" r:id="rId6422" xr:uid="{00000000-0004-0000-0100-000015190000}"/>
    <hyperlink ref="I8501" r:id="rId6423" xr:uid="{00000000-0004-0000-0100-000016190000}"/>
    <hyperlink ref="I8502" r:id="rId6424" xr:uid="{00000000-0004-0000-0100-000017190000}"/>
    <hyperlink ref="I8503" r:id="rId6425" xr:uid="{00000000-0004-0000-0100-000018190000}"/>
    <hyperlink ref="I8504" r:id="rId6426" xr:uid="{00000000-0004-0000-0100-000019190000}"/>
    <hyperlink ref="I8505" r:id="rId6427" xr:uid="{00000000-0004-0000-0100-00001A190000}"/>
    <hyperlink ref="I8506" r:id="rId6428" xr:uid="{00000000-0004-0000-0100-00001B190000}"/>
    <hyperlink ref="I8507" r:id="rId6429" xr:uid="{00000000-0004-0000-0100-00001C190000}"/>
    <hyperlink ref="I8508" r:id="rId6430" xr:uid="{00000000-0004-0000-0100-00001D190000}"/>
    <hyperlink ref="I8509" r:id="rId6431" xr:uid="{00000000-0004-0000-0100-00001E190000}"/>
    <hyperlink ref="I8510" r:id="rId6432" xr:uid="{00000000-0004-0000-0100-00001F190000}"/>
    <hyperlink ref="I8511" r:id="rId6433" xr:uid="{00000000-0004-0000-0100-000020190000}"/>
    <hyperlink ref="I8512" r:id="rId6434" xr:uid="{00000000-0004-0000-0100-000021190000}"/>
    <hyperlink ref="I8513" r:id="rId6435" xr:uid="{00000000-0004-0000-0100-000022190000}"/>
    <hyperlink ref="I8514" r:id="rId6436" xr:uid="{00000000-0004-0000-0100-000023190000}"/>
    <hyperlink ref="I8515" r:id="rId6437" xr:uid="{00000000-0004-0000-0100-000024190000}"/>
    <hyperlink ref="I8516" r:id="rId6438" xr:uid="{00000000-0004-0000-0100-000025190000}"/>
    <hyperlink ref="I8517" r:id="rId6439" xr:uid="{00000000-0004-0000-0100-000026190000}"/>
    <hyperlink ref="I8518" r:id="rId6440" xr:uid="{00000000-0004-0000-0100-000027190000}"/>
    <hyperlink ref="I8519" r:id="rId6441" xr:uid="{00000000-0004-0000-0100-000028190000}"/>
    <hyperlink ref="I8520" r:id="rId6442" xr:uid="{00000000-0004-0000-0100-000029190000}"/>
    <hyperlink ref="I8521" r:id="rId6443" xr:uid="{00000000-0004-0000-0100-00002A190000}"/>
    <hyperlink ref="I8522" r:id="rId6444" xr:uid="{00000000-0004-0000-0100-00002B190000}"/>
    <hyperlink ref="I8523" r:id="rId6445" xr:uid="{00000000-0004-0000-0100-00002C190000}"/>
    <hyperlink ref="I8524" r:id="rId6446" xr:uid="{00000000-0004-0000-0100-00002D190000}"/>
    <hyperlink ref="I8525" r:id="rId6447" xr:uid="{00000000-0004-0000-0100-00002E190000}"/>
    <hyperlink ref="I8526" r:id="rId6448" xr:uid="{00000000-0004-0000-0100-00002F190000}"/>
    <hyperlink ref="I8527" r:id="rId6449" xr:uid="{00000000-0004-0000-0100-000030190000}"/>
    <hyperlink ref="I8528" r:id="rId6450" xr:uid="{00000000-0004-0000-0100-000031190000}"/>
    <hyperlink ref="I8529" r:id="rId6451" xr:uid="{00000000-0004-0000-0100-000032190000}"/>
    <hyperlink ref="I8530" r:id="rId6452" xr:uid="{00000000-0004-0000-0100-000033190000}"/>
    <hyperlink ref="I8531" r:id="rId6453" xr:uid="{00000000-0004-0000-0100-000034190000}"/>
    <hyperlink ref="I8532" r:id="rId6454" xr:uid="{00000000-0004-0000-0100-000035190000}"/>
    <hyperlink ref="I8533" r:id="rId6455" xr:uid="{00000000-0004-0000-0100-000036190000}"/>
    <hyperlink ref="I8534" r:id="rId6456" xr:uid="{00000000-0004-0000-0100-000037190000}"/>
    <hyperlink ref="I8535" r:id="rId6457" xr:uid="{00000000-0004-0000-0100-000038190000}"/>
    <hyperlink ref="I8536" r:id="rId6458" xr:uid="{00000000-0004-0000-0100-000039190000}"/>
    <hyperlink ref="I8537" r:id="rId6459" xr:uid="{00000000-0004-0000-0100-00003A190000}"/>
    <hyperlink ref="I8538" r:id="rId6460" xr:uid="{00000000-0004-0000-0100-00003B190000}"/>
    <hyperlink ref="I8539" r:id="rId6461" xr:uid="{00000000-0004-0000-0100-00003C190000}"/>
    <hyperlink ref="I8540" r:id="rId6462" xr:uid="{00000000-0004-0000-0100-00003D190000}"/>
    <hyperlink ref="I8541" r:id="rId6463" xr:uid="{00000000-0004-0000-0100-00003E190000}"/>
    <hyperlink ref="I8542" r:id="rId6464" xr:uid="{00000000-0004-0000-0100-00003F190000}"/>
    <hyperlink ref="I8543" r:id="rId6465" xr:uid="{00000000-0004-0000-0100-000040190000}"/>
    <hyperlink ref="I8544" r:id="rId6466" xr:uid="{00000000-0004-0000-0100-000041190000}"/>
    <hyperlink ref="I8545" r:id="rId6467" xr:uid="{00000000-0004-0000-0100-000042190000}"/>
    <hyperlink ref="I8546" r:id="rId6468" xr:uid="{00000000-0004-0000-0100-000043190000}"/>
    <hyperlink ref="I8547" r:id="rId6469" xr:uid="{00000000-0004-0000-0100-000044190000}"/>
    <hyperlink ref="I8548" r:id="rId6470" xr:uid="{00000000-0004-0000-0100-000045190000}"/>
    <hyperlink ref="I8549" r:id="rId6471" xr:uid="{00000000-0004-0000-0100-000046190000}"/>
    <hyperlink ref="I8550" r:id="rId6472" xr:uid="{00000000-0004-0000-0100-000047190000}"/>
    <hyperlink ref="I8551" r:id="rId6473" xr:uid="{00000000-0004-0000-0100-000048190000}"/>
    <hyperlink ref="I8552" r:id="rId6474" xr:uid="{00000000-0004-0000-0100-000049190000}"/>
    <hyperlink ref="I8553" r:id="rId6475" xr:uid="{00000000-0004-0000-0100-00004A190000}"/>
    <hyperlink ref="I8554" r:id="rId6476" xr:uid="{00000000-0004-0000-0100-00004B190000}"/>
    <hyperlink ref="I8555" r:id="rId6477" xr:uid="{00000000-0004-0000-0100-00004C190000}"/>
    <hyperlink ref="I8556" r:id="rId6478" xr:uid="{00000000-0004-0000-0100-00004D190000}"/>
    <hyperlink ref="I8557" r:id="rId6479" xr:uid="{00000000-0004-0000-0100-00004E190000}"/>
    <hyperlink ref="I8558" r:id="rId6480" xr:uid="{00000000-0004-0000-0100-00004F190000}"/>
    <hyperlink ref="I8559" r:id="rId6481" xr:uid="{00000000-0004-0000-0100-000050190000}"/>
    <hyperlink ref="I8560" r:id="rId6482" xr:uid="{00000000-0004-0000-0100-000051190000}"/>
    <hyperlink ref="I8561" r:id="rId6483" xr:uid="{00000000-0004-0000-0100-000052190000}"/>
    <hyperlink ref="I8562" r:id="rId6484" xr:uid="{00000000-0004-0000-0100-000053190000}"/>
    <hyperlink ref="I8563" r:id="rId6485" xr:uid="{00000000-0004-0000-0100-000054190000}"/>
    <hyperlink ref="I8564" r:id="rId6486" xr:uid="{00000000-0004-0000-0100-000055190000}"/>
    <hyperlink ref="I8565" r:id="rId6487" xr:uid="{00000000-0004-0000-0100-000056190000}"/>
    <hyperlink ref="I8566" r:id="rId6488" xr:uid="{00000000-0004-0000-0100-000057190000}"/>
    <hyperlink ref="I8567" r:id="rId6489" xr:uid="{00000000-0004-0000-0100-000058190000}"/>
    <hyperlink ref="I8568" r:id="rId6490" xr:uid="{00000000-0004-0000-0100-000059190000}"/>
    <hyperlink ref="I8569" r:id="rId6491" xr:uid="{00000000-0004-0000-0100-00005A190000}"/>
    <hyperlink ref="I8570" r:id="rId6492" xr:uid="{00000000-0004-0000-0100-00005B190000}"/>
    <hyperlink ref="I8571" r:id="rId6493" xr:uid="{00000000-0004-0000-0100-00005C190000}"/>
    <hyperlink ref="I8572" r:id="rId6494" xr:uid="{00000000-0004-0000-0100-00005D190000}"/>
    <hyperlink ref="I8573" r:id="rId6495" xr:uid="{00000000-0004-0000-0100-00005E190000}"/>
    <hyperlink ref="I8574" r:id="rId6496" xr:uid="{00000000-0004-0000-0100-00005F190000}"/>
    <hyperlink ref="I8575" r:id="rId6497" xr:uid="{00000000-0004-0000-0100-000060190000}"/>
    <hyperlink ref="I8576" r:id="rId6498" xr:uid="{00000000-0004-0000-0100-000061190000}"/>
    <hyperlink ref="I8577" r:id="rId6499" xr:uid="{00000000-0004-0000-0100-000062190000}"/>
    <hyperlink ref="I8578" r:id="rId6500" xr:uid="{00000000-0004-0000-0100-000063190000}"/>
    <hyperlink ref="I8579" r:id="rId6501" xr:uid="{00000000-0004-0000-0100-000064190000}"/>
    <hyperlink ref="I8580" r:id="rId6502" xr:uid="{00000000-0004-0000-0100-000065190000}"/>
    <hyperlink ref="I8581" r:id="rId6503" xr:uid="{00000000-0004-0000-0100-000066190000}"/>
    <hyperlink ref="I8582" r:id="rId6504" xr:uid="{00000000-0004-0000-0100-000067190000}"/>
    <hyperlink ref="I8583" r:id="rId6505" xr:uid="{00000000-0004-0000-0100-000068190000}"/>
    <hyperlink ref="I8584" r:id="rId6506" xr:uid="{00000000-0004-0000-0100-000069190000}"/>
    <hyperlink ref="I8585" r:id="rId6507" xr:uid="{00000000-0004-0000-0100-00006A190000}"/>
    <hyperlink ref="I8586" r:id="rId6508" xr:uid="{00000000-0004-0000-0100-00006B190000}"/>
    <hyperlink ref="I8587" r:id="rId6509" xr:uid="{00000000-0004-0000-0100-00006C190000}"/>
    <hyperlink ref="I8588" r:id="rId6510" xr:uid="{00000000-0004-0000-0100-00006D190000}"/>
    <hyperlink ref="I8589" r:id="rId6511" xr:uid="{00000000-0004-0000-0100-00006E190000}"/>
    <hyperlink ref="I8590" r:id="rId6512" xr:uid="{00000000-0004-0000-0100-00006F190000}"/>
    <hyperlink ref="I8591" r:id="rId6513" xr:uid="{00000000-0004-0000-0100-000070190000}"/>
    <hyperlink ref="I8592" r:id="rId6514" xr:uid="{00000000-0004-0000-0100-000071190000}"/>
    <hyperlink ref="I8593" r:id="rId6515" xr:uid="{00000000-0004-0000-0100-000072190000}"/>
    <hyperlink ref="I8594" r:id="rId6516" xr:uid="{00000000-0004-0000-0100-000073190000}"/>
    <hyperlink ref="I8595" r:id="rId6517" xr:uid="{00000000-0004-0000-0100-000074190000}"/>
    <hyperlink ref="I8596" r:id="rId6518" xr:uid="{00000000-0004-0000-0100-000075190000}"/>
    <hyperlink ref="I8597" r:id="rId6519" xr:uid="{00000000-0004-0000-0100-000076190000}"/>
    <hyperlink ref="I8598" r:id="rId6520" xr:uid="{00000000-0004-0000-0100-000077190000}"/>
    <hyperlink ref="I8599" r:id="rId6521" xr:uid="{00000000-0004-0000-0100-000078190000}"/>
    <hyperlink ref="I8600" r:id="rId6522" xr:uid="{00000000-0004-0000-0100-000079190000}"/>
    <hyperlink ref="I8601" r:id="rId6523" xr:uid="{00000000-0004-0000-0100-00007A190000}"/>
    <hyperlink ref="I8602" r:id="rId6524" xr:uid="{00000000-0004-0000-0100-00007B190000}"/>
    <hyperlink ref="I8603" r:id="rId6525" xr:uid="{00000000-0004-0000-0100-00007C190000}"/>
    <hyperlink ref="I8604" r:id="rId6526" xr:uid="{00000000-0004-0000-0100-00007D190000}"/>
    <hyperlink ref="I8605" r:id="rId6527" xr:uid="{00000000-0004-0000-0100-00007E190000}"/>
    <hyperlink ref="I8606" r:id="rId6528" xr:uid="{00000000-0004-0000-0100-00007F190000}"/>
    <hyperlink ref="I8607" r:id="rId6529" xr:uid="{00000000-0004-0000-0100-000080190000}"/>
    <hyperlink ref="I8608" r:id="rId6530" xr:uid="{00000000-0004-0000-0100-000081190000}"/>
    <hyperlink ref="I8609" r:id="rId6531" xr:uid="{00000000-0004-0000-0100-000082190000}"/>
    <hyperlink ref="I8610" r:id="rId6532" xr:uid="{00000000-0004-0000-0100-000083190000}"/>
    <hyperlink ref="I8611" r:id="rId6533" xr:uid="{00000000-0004-0000-0100-000084190000}"/>
    <hyperlink ref="I8612" r:id="rId6534" xr:uid="{00000000-0004-0000-0100-000085190000}"/>
    <hyperlink ref="I8613" r:id="rId6535" xr:uid="{00000000-0004-0000-0100-000086190000}"/>
    <hyperlink ref="I8614" r:id="rId6536" xr:uid="{00000000-0004-0000-0100-000087190000}"/>
    <hyperlink ref="I8615" r:id="rId6537" xr:uid="{00000000-0004-0000-0100-000088190000}"/>
    <hyperlink ref="I8616" r:id="rId6538" xr:uid="{00000000-0004-0000-0100-000089190000}"/>
    <hyperlink ref="I8617" r:id="rId6539" xr:uid="{00000000-0004-0000-0100-00008A190000}"/>
    <hyperlink ref="I8618" r:id="rId6540" xr:uid="{00000000-0004-0000-0100-00008B190000}"/>
    <hyperlink ref="I8619" r:id="rId6541" xr:uid="{00000000-0004-0000-0100-00008C190000}"/>
    <hyperlink ref="I8620" r:id="rId6542" xr:uid="{00000000-0004-0000-0100-00008D190000}"/>
    <hyperlink ref="I8621" r:id="rId6543" xr:uid="{00000000-0004-0000-0100-00008E190000}"/>
    <hyperlink ref="I8622" r:id="rId6544" xr:uid="{00000000-0004-0000-0100-00008F190000}"/>
    <hyperlink ref="I8623" r:id="rId6545" xr:uid="{00000000-0004-0000-0100-000090190000}"/>
    <hyperlink ref="I8624" r:id="rId6546" xr:uid="{00000000-0004-0000-0100-000091190000}"/>
    <hyperlink ref="I8625" r:id="rId6547" xr:uid="{00000000-0004-0000-0100-000092190000}"/>
    <hyperlink ref="I8626" r:id="rId6548" xr:uid="{00000000-0004-0000-0100-000093190000}"/>
    <hyperlink ref="I8627" r:id="rId6549" xr:uid="{00000000-0004-0000-0100-000094190000}"/>
    <hyperlink ref="I8628" r:id="rId6550" xr:uid="{00000000-0004-0000-0100-000095190000}"/>
    <hyperlink ref="I8629" r:id="rId6551" xr:uid="{00000000-0004-0000-0100-000096190000}"/>
    <hyperlink ref="I8630" r:id="rId6552" xr:uid="{00000000-0004-0000-0100-000097190000}"/>
    <hyperlink ref="I8631" r:id="rId6553" xr:uid="{00000000-0004-0000-0100-000098190000}"/>
    <hyperlink ref="I8632" r:id="rId6554" xr:uid="{00000000-0004-0000-0100-000099190000}"/>
    <hyperlink ref="I8633" r:id="rId6555" xr:uid="{00000000-0004-0000-0100-00009A190000}"/>
    <hyperlink ref="I8634" r:id="rId6556" xr:uid="{00000000-0004-0000-0100-00009B190000}"/>
    <hyperlink ref="I8635" r:id="rId6557" xr:uid="{00000000-0004-0000-0100-00009C190000}"/>
    <hyperlink ref="I8636" r:id="rId6558" xr:uid="{00000000-0004-0000-0100-00009D190000}"/>
    <hyperlink ref="I8637" r:id="rId6559" xr:uid="{00000000-0004-0000-0100-00009E190000}"/>
    <hyperlink ref="I8638" r:id="rId6560" xr:uid="{00000000-0004-0000-0100-00009F190000}"/>
    <hyperlink ref="I8639" r:id="rId6561" xr:uid="{00000000-0004-0000-0100-0000A0190000}"/>
    <hyperlink ref="I8640" r:id="rId6562" xr:uid="{00000000-0004-0000-0100-0000A1190000}"/>
    <hyperlink ref="I8641" r:id="rId6563" xr:uid="{00000000-0004-0000-0100-0000A2190000}"/>
    <hyperlink ref="I8642" r:id="rId6564" xr:uid="{00000000-0004-0000-0100-0000A3190000}"/>
    <hyperlink ref="I8643" r:id="rId6565" xr:uid="{00000000-0004-0000-0100-0000A4190000}"/>
    <hyperlink ref="I8644" r:id="rId6566" xr:uid="{00000000-0004-0000-0100-0000A5190000}"/>
    <hyperlink ref="I8645" r:id="rId6567" xr:uid="{00000000-0004-0000-0100-0000A6190000}"/>
    <hyperlink ref="I8646" r:id="rId6568" xr:uid="{00000000-0004-0000-0100-0000A7190000}"/>
    <hyperlink ref="I8647" r:id="rId6569" xr:uid="{00000000-0004-0000-0100-0000A8190000}"/>
    <hyperlink ref="I8648" r:id="rId6570" xr:uid="{00000000-0004-0000-0100-0000A9190000}"/>
    <hyperlink ref="I8649" r:id="rId6571" xr:uid="{00000000-0004-0000-0100-0000AA190000}"/>
    <hyperlink ref="I8650" r:id="rId6572" xr:uid="{00000000-0004-0000-0100-0000AB190000}"/>
    <hyperlink ref="I8651" r:id="rId6573" xr:uid="{00000000-0004-0000-0100-0000AC190000}"/>
    <hyperlink ref="I8652" r:id="rId6574" xr:uid="{00000000-0004-0000-0100-0000AD190000}"/>
    <hyperlink ref="I8653" r:id="rId6575" xr:uid="{00000000-0004-0000-0100-0000AE190000}"/>
    <hyperlink ref="I8654" r:id="rId6576" xr:uid="{00000000-0004-0000-0100-0000AF190000}"/>
    <hyperlink ref="I8655" r:id="rId6577" xr:uid="{00000000-0004-0000-0100-0000B0190000}"/>
    <hyperlink ref="I8656" r:id="rId6578" xr:uid="{00000000-0004-0000-0100-0000B1190000}"/>
    <hyperlink ref="I8657" r:id="rId6579" xr:uid="{00000000-0004-0000-0100-0000B2190000}"/>
    <hyperlink ref="I8658" r:id="rId6580" xr:uid="{00000000-0004-0000-0100-0000B3190000}"/>
    <hyperlink ref="I8659" r:id="rId6581" xr:uid="{00000000-0004-0000-0100-0000B4190000}"/>
    <hyperlink ref="I8660" r:id="rId6582" xr:uid="{00000000-0004-0000-0100-0000B5190000}"/>
    <hyperlink ref="I8661" r:id="rId6583" xr:uid="{00000000-0004-0000-0100-0000B6190000}"/>
    <hyperlink ref="I8662" r:id="rId6584" xr:uid="{00000000-0004-0000-0100-0000B7190000}"/>
    <hyperlink ref="I8663" r:id="rId6585" xr:uid="{00000000-0004-0000-0100-0000B8190000}"/>
    <hyperlink ref="I8664" r:id="rId6586" xr:uid="{00000000-0004-0000-0100-0000B9190000}"/>
    <hyperlink ref="I8665" r:id="rId6587" xr:uid="{00000000-0004-0000-0100-0000BA190000}"/>
    <hyperlink ref="I8666" r:id="rId6588" xr:uid="{00000000-0004-0000-0100-0000BB190000}"/>
    <hyperlink ref="I8667" r:id="rId6589" xr:uid="{00000000-0004-0000-0100-0000BC190000}"/>
    <hyperlink ref="I8668" r:id="rId6590" xr:uid="{00000000-0004-0000-0100-0000BD190000}"/>
    <hyperlink ref="I8669" r:id="rId6591" xr:uid="{00000000-0004-0000-0100-0000BE190000}"/>
    <hyperlink ref="I8670" r:id="rId6592" xr:uid="{00000000-0004-0000-0100-0000BF190000}"/>
    <hyperlink ref="I8671" r:id="rId6593" xr:uid="{00000000-0004-0000-0100-0000C0190000}"/>
    <hyperlink ref="I8672" r:id="rId6594" xr:uid="{00000000-0004-0000-0100-0000C1190000}"/>
    <hyperlink ref="I8673" r:id="rId6595" xr:uid="{00000000-0004-0000-0100-0000C2190000}"/>
    <hyperlink ref="I8674" r:id="rId6596" xr:uid="{00000000-0004-0000-0100-0000C3190000}"/>
    <hyperlink ref="I8675" r:id="rId6597" xr:uid="{00000000-0004-0000-0100-0000C4190000}"/>
    <hyperlink ref="I8676" r:id="rId6598" xr:uid="{00000000-0004-0000-0100-0000C5190000}"/>
    <hyperlink ref="I8677" r:id="rId6599" xr:uid="{00000000-0004-0000-0100-0000C6190000}"/>
    <hyperlink ref="I8678" r:id="rId6600" xr:uid="{00000000-0004-0000-0100-0000C7190000}"/>
    <hyperlink ref="I8679" r:id="rId6601" xr:uid="{00000000-0004-0000-0100-0000C8190000}"/>
    <hyperlink ref="I8680" r:id="rId6602" xr:uid="{00000000-0004-0000-0100-0000C9190000}"/>
    <hyperlink ref="I8681" r:id="rId6603" xr:uid="{00000000-0004-0000-0100-0000CA190000}"/>
    <hyperlink ref="I8682" r:id="rId6604" xr:uid="{00000000-0004-0000-0100-0000CB190000}"/>
    <hyperlink ref="I8683" r:id="rId6605" xr:uid="{00000000-0004-0000-0100-0000CC190000}"/>
    <hyperlink ref="I8684" r:id="rId6606" xr:uid="{00000000-0004-0000-0100-0000CD190000}"/>
    <hyperlink ref="I8685" r:id="rId6607" xr:uid="{00000000-0004-0000-0100-0000CE190000}"/>
    <hyperlink ref="I8686" r:id="rId6608" xr:uid="{00000000-0004-0000-0100-0000CF190000}"/>
    <hyperlink ref="I8687" r:id="rId6609" xr:uid="{00000000-0004-0000-0100-0000D0190000}"/>
    <hyperlink ref="I8688" r:id="rId6610" xr:uid="{00000000-0004-0000-0100-0000D1190000}"/>
    <hyperlink ref="I8689" r:id="rId6611" xr:uid="{00000000-0004-0000-0100-0000D2190000}"/>
    <hyperlink ref="I8690" r:id="rId6612" xr:uid="{00000000-0004-0000-0100-0000D3190000}"/>
    <hyperlink ref="I8691" r:id="rId6613" xr:uid="{00000000-0004-0000-0100-0000D4190000}"/>
    <hyperlink ref="I8692" r:id="rId6614" xr:uid="{00000000-0004-0000-0100-0000D5190000}"/>
    <hyperlink ref="I8693" r:id="rId6615" xr:uid="{00000000-0004-0000-0100-0000D6190000}"/>
    <hyperlink ref="I8694" r:id="rId6616" xr:uid="{00000000-0004-0000-0100-0000D7190000}"/>
    <hyperlink ref="I8695" r:id="rId6617" xr:uid="{00000000-0004-0000-0100-0000D8190000}"/>
    <hyperlink ref="I8696" r:id="rId6618" xr:uid="{00000000-0004-0000-0100-0000D9190000}"/>
    <hyperlink ref="I8697" r:id="rId6619" xr:uid="{00000000-0004-0000-0100-0000DA190000}"/>
    <hyperlink ref="I8698" r:id="rId6620" xr:uid="{00000000-0004-0000-0100-0000DB190000}"/>
    <hyperlink ref="I8699" r:id="rId6621" xr:uid="{00000000-0004-0000-0100-0000DC190000}"/>
    <hyperlink ref="I8700" r:id="rId6622" xr:uid="{00000000-0004-0000-0100-0000DD190000}"/>
    <hyperlink ref="I8701" r:id="rId6623" xr:uid="{00000000-0004-0000-0100-0000DE190000}"/>
    <hyperlink ref="I8702" r:id="rId6624" xr:uid="{00000000-0004-0000-0100-0000DF190000}"/>
    <hyperlink ref="I8703" r:id="rId6625" xr:uid="{00000000-0004-0000-0100-0000E0190000}"/>
    <hyperlink ref="I8704" r:id="rId6626" xr:uid="{00000000-0004-0000-0100-0000E1190000}"/>
    <hyperlink ref="I8705" r:id="rId6627" xr:uid="{00000000-0004-0000-0100-0000E2190000}"/>
    <hyperlink ref="I8706" r:id="rId6628" xr:uid="{00000000-0004-0000-0100-0000E3190000}"/>
    <hyperlink ref="I8707" r:id="rId6629" xr:uid="{00000000-0004-0000-0100-0000E4190000}"/>
    <hyperlink ref="I8708" r:id="rId6630" xr:uid="{00000000-0004-0000-0100-0000E5190000}"/>
    <hyperlink ref="I8709" r:id="rId6631" xr:uid="{00000000-0004-0000-0100-0000E6190000}"/>
    <hyperlink ref="I8710" r:id="rId6632" xr:uid="{00000000-0004-0000-0100-0000E7190000}"/>
    <hyperlink ref="I8711" r:id="rId6633" xr:uid="{00000000-0004-0000-0100-0000E8190000}"/>
    <hyperlink ref="I8712" r:id="rId6634" xr:uid="{00000000-0004-0000-0100-0000E9190000}"/>
    <hyperlink ref="I8713" r:id="rId6635" xr:uid="{00000000-0004-0000-0100-0000EA190000}"/>
    <hyperlink ref="I8714" r:id="rId6636" xr:uid="{00000000-0004-0000-0100-0000EB190000}"/>
    <hyperlink ref="I8715" r:id="rId6637" xr:uid="{00000000-0004-0000-0100-0000EC190000}"/>
    <hyperlink ref="I8716" r:id="rId6638" xr:uid="{00000000-0004-0000-0100-0000ED190000}"/>
    <hyperlink ref="I8717" r:id="rId6639" xr:uid="{00000000-0004-0000-0100-0000EE190000}"/>
    <hyperlink ref="I8718" r:id="rId6640" xr:uid="{00000000-0004-0000-0100-0000EF190000}"/>
    <hyperlink ref="I8719" r:id="rId6641" xr:uid="{00000000-0004-0000-0100-0000F0190000}"/>
    <hyperlink ref="I8720" r:id="rId6642" xr:uid="{00000000-0004-0000-0100-0000F1190000}"/>
    <hyperlink ref="I8721" r:id="rId6643" xr:uid="{00000000-0004-0000-0100-0000F2190000}"/>
    <hyperlink ref="I8722" r:id="rId6644" xr:uid="{00000000-0004-0000-0100-0000F3190000}"/>
    <hyperlink ref="I8723" r:id="rId6645" xr:uid="{00000000-0004-0000-0100-0000F4190000}"/>
    <hyperlink ref="I8724" r:id="rId6646" xr:uid="{00000000-0004-0000-0100-0000F5190000}"/>
    <hyperlink ref="I8725" r:id="rId6647" xr:uid="{00000000-0004-0000-0100-0000F6190000}"/>
    <hyperlink ref="I8726" r:id="rId6648" xr:uid="{00000000-0004-0000-0100-0000F7190000}"/>
    <hyperlink ref="I8727" r:id="rId6649" xr:uid="{00000000-0004-0000-0100-0000F8190000}"/>
    <hyperlink ref="I8728" r:id="rId6650" xr:uid="{00000000-0004-0000-0100-0000F9190000}"/>
    <hyperlink ref="I8729" r:id="rId6651" xr:uid="{00000000-0004-0000-0100-0000FA190000}"/>
    <hyperlink ref="I8730" r:id="rId6652" xr:uid="{00000000-0004-0000-0100-0000FB190000}"/>
    <hyperlink ref="I8731" r:id="rId6653" xr:uid="{00000000-0004-0000-0100-0000FC190000}"/>
    <hyperlink ref="I8732" r:id="rId6654" xr:uid="{00000000-0004-0000-0100-0000FD190000}"/>
    <hyperlink ref="I8733" r:id="rId6655" xr:uid="{00000000-0004-0000-0100-0000FE190000}"/>
    <hyperlink ref="I8734" r:id="rId6656" xr:uid="{00000000-0004-0000-0100-0000FF190000}"/>
    <hyperlink ref="I8735" r:id="rId6657" xr:uid="{00000000-0004-0000-0100-0000001A0000}"/>
    <hyperlink ref="I8736" r:id="rId6658" xr:uid="{00000000-0004-0000-0100-0000011A0000}"/>
    <hyperlink ref="I8737" r:id="rId6659" xr:uid="{00000000-0004-0000-0100-0000021A0000}"/>
    <hyperlink ref="I8738" r:id="rId6660" xr:uid="{00000000-0004-0000-0100-0000031A0000}"/>
    <hyperlink ref="I8739" r:id="rId6661" xr:uid="{00000000-0004-0000-0100-0000041A0000}"/>
    <hyperlink ref="I8740" r:id="rId6662" xr:uid="{00000000-0004-0000-0100-0000051A0000}"/>
    <hyperlink ref="I8741" r:id="rId6663" xr:uid="{00000000-0004-0000-0100-0000061A0000}"/>
    <hyperlink ref="I8742" r:id="rId6664" xr:uid="{00000000-0004-0000-0100-0000071A0000}"/>
    <hyperlink ref="I8743" r:id="rId6665" xr:uid="{00000000-0004-0000-0100-0000081A0000}"/>
    <hyperlink ref="I8744" r:id="rId6666" xr:uid="{00000000-0004-0000-0100-0000091A0000}"/>
    <hyperlink ref="I8745" r:id="rId6667" xr:uid="{00000000-0004-0000-0100-00000A1A0000}"/>
    <hyperlink ref="I8746" r:id="rId6668" xr:uid="{00000000-0004-0000-0100-00000B1A0000}"/>
    <hyperlink ref="I8747" r:id="rId6669" xr:uid="{00000000-0004-0000-0100-00000C1A0000}"/>
    <hyperlink ref="I8748" r:id="rId6670" xr:uid="{00000000-0004-0000-0100-00000D1A0000}"/>
    <hyperlink ref="I8749" r:id="rId6671" xr:uid="{00000000-0004-0000-0100-00000E1A0000}"/>
    <hyperlink ref="I8750" r:id="rId6672" xr:uid="{00000000-0004-0000-0100-00000F1A0000}"/>
    <hyperlink ref="I8751" r:id="rId6673" xr:uid="{00000000-0004-0000-0100-0000101A0000}"/>
    <hyperlink ref="I8752" r:id="rId6674" xr:uid="{00000000-0004-0000-0100-0000111A0000}"/>
    <hyperlink ref="I8753" r:id="rId6675" xr:uid="{00000000-0004-0000-0100-0000121A0000}"/>
    <hyperlink ref="I8754" r:id="rId6676" xr:uid="{00000000-0004-0000-0100-0000131A0000}"/>
    <hyperlink ref="I8755" r:id="rId6677" xr:uid="{00000000-0004-0000-0100-0000141A0000}"/>
    <hyperlink ref="I8756" r:id="rId6678" xr:uid="{00000000-0004-0000-0100-0000151A0000}"/>
    <hyperlink ref="I8757" r:id="rId6679" xr:uid="{00000000-0004-0000-0100-0000161A0000}"/>
    <hyperlink ref="I8758" r:id="rId6680" xr:uid="{00000000-0004-0000-0100-0000171A0000}"/>
    <hyperlink ref="I8759" r:id="rId6681" xr:uid="{00000000-0004-0000-0100-0000181A0000}"/>
    <hyperlink ref="I8760" r:id="rId6682" xr:uid="{00000000-0004-0000-0100-0000191A0000}"/>
    <hyperlink ref="I8761" r:id="rId6683" xr:uid="{00000000-0004-0000-0100-00001A1A0000}"/>
    <hyperlink ref="I8762" r:id="rId6684" xr:uid="{00000000-0004-0000-0100-00001B1A0000}"/>
    <hyperlink ref="I8763" r:id="rId6685" xr:uid="{00000000-0004-0000-0100-00001C1A0000}"/>
    <hyperlink ref="I8764" r:id="rId6686" xr:uid="{00000000-0004-0000-0100-00001D1A0000}"/>
    <hyperlink ref="I8765" r:id="rId6687" xr:uid="{00000000-0004-0000-0100-00001E1A0000}"/>
    <hyperlink ref="I8766" r:id="rId6688" xr:uid="{00000000-0004-0000-0100-00001F1A0000}"/>
    <hyperlink ref="I8767" r:id="rId6689" xr:uid="{00000000-0004-0000-0100-0000201A0000}"/>
    <hyperlink ref="I8768" r:id="rId6690" xr:uid="{00000000-0004-0000-0100-0000211A0000}"/>
    <hyperlink ref="I8769" r:id="rId6691" xr:uid="{00000000-0004-0000-0100-0000221A0000}"/>
    <hyperlink ref="I8770" r:id="rId6692" xr:uid="{00000000-0004-0000-0100-0000231A0000}"/>
    <hyperlink ref="I8771" r:id="rId6693" xr:uid="{00000000-0004-0000-0100-0000241A0000}"/>
    <hyperlink ref="I8772" r:id="rId6694" xr:uid="{00000000-0004-0000-0100-0000251A0000}"/>
    <hyperlink ref="I8773" r:id="rId6695" xr:uid="{00000000-0004-0000-0100-0000261A0000}"/>
    <hyperlink ref="I8774" r:id="rId6696" xr:uid="{00000000-0004-0000-0100-0000271A0000}"/>
    <hyperlink ref="I8775" r:id="rId6697" xr:uid="{00000000-0004-0000-0100-0000281A0000}"/>
    <hyperlink ref="I8776" r:id="rId6698" xr:uid="{00000000-0004-0000-0100-0000291A0000}"/>
    <hyperlink ref="I8777" r:id="rId6699" xr:uid="{00000000-0004-0000-0100-00002A1A0000}"/>
    <hyperlink ref="I8778" r:id="rId6700" xr:uid="{00000000-0004-0000-0100-00002B1A0000}"/>
    <hyperlink ref="I8779" r:id="rId6701" xr:uid="{00000000-0004-0000-0100-00002C1A0000}"/>
    <hyperlink ref="I8780" r:id="rId6702" xr:uid="{00000000-0004-0000-0100-00002D1A0000}"/>
    <hyperlink ref="I8781" r:id="rId6703" xr:uid="{00000000-0004-0000-0100-00002E1A0000}"/>
    <hyperlink ref="I8782" r:id="rId6704" xr:uid="{00000000-0004-0000-0100-00002F1A0000}"/>
    <hyperlink ref="I8783" r:id="rId6705" xr:uid="{00000000-0004-0000-0100-0000301A0000}"/>
    <hyperlink ref="I8784" r:id="rId6706" xr:uid="{00000000-0004-0000-0100-0000311A0000}"/>
    <hyperlink ref="I8785" r:id="rId6707" xr:uid="{00000000-0004-0000-0100-0000321A0000}"/>
    <hyperlink ref="I8786" r:id="rId6708" xr:uid="{00000000-0004-0000-0100-0000331A0000}"/>
    <hyperlink ref="I8787" r:id="rId6709" xr:uid="{00000000-0004-0000-0100-0000341A0000}"/>
    <hyperlink ref="I8788" r:id="rId6710" xr:uid="{00000000-0004-0000-0100-0000351A0000}"/>
    <hyperlink ref="I8789" r:id="rId6711" xr:uid="{00000000-0004-0000-0100-0000361A0000}"/>
    <hyperlink ref="I8790" r:id="rId6712" xr:uid="{00000000-0004-0000-0100-0000371A0000}"/>
    <hyperlink ref="I8791" r:id="rId6713" xr:uid="{00000000-0004-0000-0100-0000381A0000}"/>
    <hyperlink ref="I8792" r:id="rId6714" xr:uid="{00000000-0004-0000-0100-0000391A0000}"/>
    <hyperlink ref="I8793" r:id="rId6715" xr:uid="{00000000-0004-0000-0100-00003A1A0000}"/>
    <hyperlink ref="I8794" r:id="rId6716" xr:uid="{00000000-0004-0000-0100-00003B1A0000}"/>
    <hyperlink ref="I8795" r:id="rId6717" xr:uid="{00000000-0004-0000-0100-00003C1A0000}"/>
    <hyperlink ref="I8796" r:id="rId6718" xr:uid="{00000000-0004-0000-0100-00003D1A0000}"/>
    <hyperlink ref="I8797" r:id="rId6719" xr:uid="{00000000-0004-0000-0100-00003E1A0000}"/>
    <hyperlink ref="I8798" r:id="rId6720" xr:uid="{00000000-0004-0000-0100-00003F1A0000}"/>
    <hyperlink ref="I8799" r:id="rId6721" xr:uid="{00000000-0004-0000-0100-0000401A0000}"/>
    <hyperlink ref="I8800" r:id="rId6722" xr:uid="{00000000-0004-0000-0100-0000411A0000}"/>
    <hyperlink ref="I8801" r:id="rId6723" xr:uid="{00000000-0004-0000-0100-0000421A0000}"/>
    <hyperlink ref="I8802" r:id="rId6724" xr:uid="{00000000-0004-0000-0100-0000431A0000}"/>
    <hyperlink ref="I8803" r:id="rId6725" xr:uid="{00000000-0004-0000-0100-0000441A0000}"/>
    <hyperlink ref="I8804" r:id="rId6726" xr:uid="{00000000-0004-0000-0100-0000451A0000}"/>
    <hyperlink ref="I8805" r:id="rId6727" xr:uid="{00000000-0004-0000-0100-0000461A0000}"/>
    <hyperlink ref="I8806" r:id="rId6728" xr:uid="{00000000-0004-0000-0100-0000471A0000}"/>
    <hyperlink ref="I8807" r:id="rId6729" xr:uid="{00000000-0004-0000-0100-0000481A0000}"/>
    <hyperlink ref="I8808" r:id="rId6730" xr:uid="{00000000-0004-0000-0100-0000491A0000}"/>
    <hyperlink ref="I8809" r:id="rId6731" xr:uid="{00000000-0004-0000-0100-00004A1A0000}"/>
    <hyperlink ref="I8810" r:id="rId6732" xr:uid="{00000000-0004-0000-0100-00004B1A0000}"/>
    <hyperlink ref="I8811" r:id="rId6733" xr:uid="{00000000-0004-0000-0100-00004C1A0000}"/>
    <hyperlink ref="I8812" r:id="rId6734" xr:uid="{00000000-0004-0000-0100-00004D1A0000}"/>
    <hyperlink ref="I8813" r:id="rId6735" xr:uid="{00000000-0004-0000-0100-00004E1A0000}"/>
    <hyperlink ref="I8814" r:id="rId6736" xr:uid="{00000000-0004-0000-0100-00004F1A0000}"/>
    <hyperlink ref="I8815" r:id="rId6737" xr:uid="{00000000-0004-0000-0100-0000501A0000}"/>
    <hyperlink ref="I8816" r:id="rId6738" xr:uid="{00000000-0004-0000-0100-0000511A0000}"/>
    <hyperlink ref="I8817" r:id="rId6739" xr:uid="{00000000-0004-0000-0100-0000521A0000}"/>
    <hyperlink ref="I8818" r:id="rId6740" xr:uid="{00000000-0004-0000-0100-0000531A0000}"/>
    <hyperlink ref="I8819" r:id="rId6741" xr:uid="{00000000-0004-0000-0100-0000541A0000}"/>
    <hyperlink ref="I8820" r:id="rId6742" xr:uid="{00000000-0004-0000-0100-0000551A0000}"/>
    <hyperlink ref="I8821" r:id="rId6743" xr:uid="{00000000-0004-0000-0100-0000561A0000}"/>
    <hyperlink ref="I8822" r:id="rId6744" xr:uid="{00000000-0004-0000-0100-0000571A0000}"/>
    <hyperlink ref="I8823" r:id="rId6745" xr:uid="{00000000-0004-0000-0100-0000581A0000}"/>
    <hyperlink ref="I8824" r:id="rId6746" xr:uid="{00000000-0004-0000-0100-0000591A0000}"/>
    <hyperlink ref="I8825" r:id="rId6747" xr:uid="{00000000-0004-0000-0100-00005A1A0000}"/>
    <hyperlink ref="I8826" r:id="rId6748" xr:uid="{00000000-0004-0000-0100-00005B1A0000}"/>
    <hyperlink ref="I8827" r:id="rId6749" xr:uid="{00000000-0004-0000-0100-00005C1A0000}"/>
    <hyperlink ref="I8828" r:id="rId6750" xr:uid="{00000000-0004-0000-0100-00005D1A0000}"/>
    <hyperlink ref="I8829" r:id="rId6751" xr:uid="{00000000-0004-0000-0100-00005E1A0000}"/>
    <hyperlink ref="I8830" r:id="rId6752" xr:uid="{00000000-0004-0000-0100-00005F1A0000}"/>
    <hyperlink ref="I8831" r:id="rId6753" xr:uid="{00000000-0004-0000-0100-0000601A0000}"/>
    <hyperlink ref="I8832" r:id="rId6754" xr:uid="{00000000-0004-0000-0100-0000611A0000}"/>
    <hyperlink ref="I8833" r:id="rId6755" xr:uid="{00000000-0004-0000-0100-0000621A0000}"/>
    <hyperlink ref="I8834" r:id="rId6756" xr:uid="{00000000-0004-0000-0100-0000631A0000}"/>
    <hyperlink ref="I8835" r:id="rId6757" xr:uid="{00000000-0004-0000-0100-0000641A0000}"/>
    <hyperlink ref="I8836" r:id="rId6758" xr:uid="{00000000-0004-0000-0100-0000651A0000}"/>
    <hyperlink ref="I8837" r:id="rId6759" xr:uid="{00000000-0004-0000-0100-0000661A0000}"/>
    <hyperlink ref="I8838" r:id="rId6760" xr:uid="{00000000-0004-0000-0100-0000671A0000}"/>
    <hyperlink ref="I8839" r:id="rId6761" xr:uid="{00000000-0004-0000-0100-0000681A0000}"/>
    <hyperlink ref="I8840" r:id="rId6762" xr:uid="{00000000-0004-0000-0100-0000691A0000}"/>
    <hyperlink ref="I8841" r:id="rId6763" xr:uid="{00000000-0004-0000-0100-00006A1A0000}"/>
    <hyperlink ref="I8842" r:id="rId6764" xr:uid="{00000000-0004-0000-0100-00006B1A0000}"/>
    <hyperlink ref="I8843" r:id="rId6765" xr:uid="{00000000-0004-0000-0100-00006C1A0000}"/>
    <hyperlink ref="I8844" r:id="rId6766" xr:uid="{00000000-0004-0000-0100-00006D1A0000}"/>
    <hyperlink ref="I8845" r:id="rId6767" xr:uid="{00000000-0004-0000-0100-00006E1A0000}"/>
    <hyperlink ref="I8846" r:id="rId6768" xr:uid="{00000000-0004-0000-0100-00006F1A0000}"/>
    <hyperlink ref="I8847" r:id="rId6769" xr:uid="{00000000-0004-0000-0100-0000701A0000}"/>
    <hyperlink ref="I8848" r:id="rId6770" xr:uid="{00000000-0004-0000-0100-0000711A0000}"/>
    <hyperlink ref="I8849" r:id="rId6771" xr:uid="{00000000-0004-0000-0100-0000721A0000}"/>
    <hyperlink ref="I8850" r:id="rId6772" xr:uid="{00000000-0004-0000-0100-0000731A0000}"/>
    <hyperlink ref="I8851" r:id="rId6773" xr:uid="{00000000-0004-0000-0100-0000741A0000}"/>
    <hyperlink ref="I8852" r:id="rId6774" xr:uid="{00000000-0004-0000-0100-0000751A0000}"/>
    <hyperlink ref="I8853" r:id="rId6775" xr:uid="{00000000-0004-0000-0100-0000761A0000}"/>
    <hyperlink ref="I8854" r:id="rId6776" xr:uid="{00000000-0004-0000-0100-0000771A0000}"/>
    <hyperlink ref="I8855" r:id="rId6777" xr:uid="{00000000-0004-0000-0100-0000781A0000}"/>
    <hyperlink ref="I8856" r:id="rId6778" xr:uid="{00000000-0004-0000-0100-0000791A0000}"/>
    <hyperlink ref="I8857" r:id="rId6779" xr:uid="{00000000-0004-0000-0100-00007A1A0000}"/>
    <hyperlink ref="I8858" r:id="rId6780" xr:uid="{00000000-0004-0000-0100-00007B1A0000}"/>
    <hyperlink ref="I8859" r:id="rId6781" xr:uid="{00000000-0004-0000-0100-00007C1A0000}"/>
    <hyperlink ref="I8860" r:id="rId6782" xr:uid="{00000000-0004-0000-0100-00007D1A0000}"/>
    <hyperlink ref="I8861" r:id="rId6783" xr:uid="{00000000-0004-0000-0100-00007E1A0000}"/>
    <hyperlink ref="I8862" r:id="rId6784" xr:uid="{00000000-0004-0000-0100-00007F1A0000}"/>
    <hyperlink ref="I8863" r:id="rId6785" xr:uid="{00000000-0004-0000-0100-0000801A0000}"/>
    <hyperlink ref="I8864" r:id="rId6786" xr:uid="{00000000-0004-0000-0100-0000811A0000}"/>
    <hyperlink ref="I8865" r:id="rId6787" xr:uid="{00000000-0004-0000-0100-0000821A0000}"/>
    <hyperlink ref="I8866" r:id="rId6788" xr:uid="{00000000-0004-0000-0100-0000831A0000}"/>
    <hyperlink ref="I8867" r:id="rId6789" xr:uid="{00000000-0004-0000-0100-0000841A0000}"/>
    <hyperlink ref="I8868" r:id="rId6790" xr:uid="{00000000-0004-0000-0100-0000851A0000}"/>
    <hyperlink ref="I8869" r:id="rId6791" xr:uid="{00000000-0004-0000-0100-0000861A0000}"/>
    <hyperlink ref="I8870" r:id="rId6792" xr:uid="{00000000-0004-0000-0100-0000871A0000}"/>
    <hyperlink ref="I8871" r:id="rId6793" xr:uid="{00000000-0004-0000-0100-0000881A0000}"/>
    <hyperlink ref="I8872" r:id="rId6794" xr:uid="{00000000-0004-0000-0100-0000891A0000}"/>
    <hyperlink ref="I8873" r:id="rId6795" xr:uid="{00000000-0004-0000-0100-00008A1A0000}"/>
    <hyperlink ref="I8874" r:id="rId6796" xr:uid="{00000000-0004-0000-0100-00008B1A0000}"/>
    <hyperlink ref="I8875" r:id="rId6797" xr:uid="{00000000-0004-0000-0100-00008C1A0000}"/>
    <hyperlink ref="I8876" r:id="rId6798" xr:uid="{00000000-0004-0000-0100-00008D1A0000}"/>
    <hyperlink ref="I8877" r:id="rId6799" xr:uid="{00000000-0004-0000-0100-00008E1A0000}"/>
    <hyperlink ref="I8878" r:id="rId6800" xr:uid="{00000000-0004-0000-0100-00008F1A0000}"/>
    <hyperlink ref="I8879" r:id="rId6801" xr:uid="{00000000-0004-0000-0100-0000901A0000}"/>
    <hyperlink ref="I8880" r:id="rId6802" xr:uid="{00000000-0004-0000-0100-0000911A0000}"/>
    <hyperlink ref="I8881" r:id="rId6803" xr:uid="{00000000-0004-0000-0100-0000921A0000}"/>
    <hyperlink ref="I8882" r:id="rId6804" xr:uid="{00000000-0004-0000-0100-0000931A0000}"/>
    <hyperlink ref="I8883" r:id="rId6805" xr:uid="{00000000-0004-0000-0100-0000941A0000}"/>
    <hyperlink ref="I8884" r:id="rId6806" xr:uid="{00000000-0004-0000-0100-0000951A0000}"/>
    <hyperlink ref="I8885" r:id="rId6807" xr:uid="{00000000-0004-0000-0100-0000961A0000}"/>
    <hyperlink ref="I8886" r:id="rId6808" xr:uid="{00000000-0004-0000-0100-0000971A0000}"/>
    <hyperlink ref="I8887" r:id="rId6809" xr:uid="{00000000-0004-0000-0100-0000981A0000}"/>
    <hyperlink ref="I8888" r:id="rId6810" xr:uid="{00000000-0004-0000-0100-0000991A0000}"/>
    <hyperlink ref="I8889" r:id="rId6811" xr:uid="{00000000-0004-0000-0100-00009A1A0000}"/>
    <hyperlink ref="I8890" r:id="rId6812" xr:uid="{00000000-0004-0000-0100-00009B1A0000}"/>
    <hyperlink ref="I8891" r:id="rId6813" xr:uid="{00000000-0004-0000-0100-00009C1A0000}"/>
    <hyperlink ref="I8892" r:id="rId6814" xr:uid="{00000000-0004-0000-0100-00009D1A0000}"/>
    <hyperlink ref="I8893" r:id="rId6815" xr:uid="{00000000-0004-0000-0100-00009E1A0000}"/>
    <hyperlink ref="I8894" r:id="rId6816" xr:uid="{00000000-0004-0000-0100-00009F1A0000}"/>
    <hyperlink ref="I8895" r:id="rId6817" xr:uid="{00000000-0004-0000-0100-0000A01A0000}"/>
    <hyperlink ref="I8896" r:id="rId6818" xr:uid="{00000000-0004-0000-0100-0000A11A0000}"/>
    <hyperlink ref="I8897" r:id="rId6819" xr:uid="{00000000-0004-0000-0100-0000A21A0000}"/>
    <hyperlink ref="I8898" r:id="rId6820" xr:uid="{00000000-0004-0000-0100-0000A31A0000}"/>
    <hyperlink ref="I8899" r:id="rId6821" xr:uid="{00000000-0004-0000-0100-0000A41A0000}"/>
    <hyperlink ref="I8900" r:id="rId6822" xr:uid="{00000000-0004-0000-0100-0000A51A0000}"/>
    <hyperlink ref="I8901" r:id="rId6823" xr:uid="{00000000-0004-0000-0100-0000A61A0000}"/>
    <hyperlink ref="I8902" r:id="rId6824" xr:uid="{00000000-0004-0000-0100-0000A71A0000}"/>
    <hyperlink ref="I8903" r:id="rId6825" xr:uid="{00000000-0004-0000-0100-0000A81A0000}"/>
    <hyperlink ref="I8904" r:id="rId6826" xr:uid="{00000000-0004-0000-0100-0000A91A0000}"/>
    <hyperlink ref="I8905" r:id="rId6827" xr:uid="{00000000-0004-0000-0100-0000AA1A0000}"/>
    <hyperlink ref="I8906" r:id="rId6828" xr:uid="{00000000-0004-0000-0100-0000AB1A0000}"/>
    <hyperlink ref="I8907" r:id="rId6829" xr:uid="{00000000-0004-0000-0100-0000AC1A0000}"/>
    <hyperlink ref="I8908" r:id="rId6830" xr:uid="{00000000-0004-0000-0100-0000AD1A0000}"/>
    <hyperlink ref="I8909" r:id="rId6831" xr:uid="{00000000-0004-0000-0100-0000AE1A0000}"/>
    <hyperlink ref="I8910" r:id="rId6832" xr:uid="{00000000-0004-0000-0100-0000AF1A0000}"/>
    <hyperlink ref="I8911" r:id="rId6833" xr:uid="{00000000-0004-0000-0100-0000B01A0000}"/>
    <hyperlink ref="I8912" r:id="rId6834" xr:uid="{00000000-0004-0000-0100-0000B11A0000}"/>
    <hyperlink ref="I8913" r:id="rId6835" xr:uid="{00000000-0004-0000-0100-0000B21A0000}"/>
    <hyperlink ref="I8914" r:id="rId6836" xr:uid="{00000000-0004-0000-0100-0000B31A0000}"/>
    <hyperlink ref="I8915" r:id="rId6837" xr:uid="{00000000-0004-0000-0100-0000B41A0000}"/>
    <hyperlink ref="I8916" r:id="rId6838" xr:uid="{00000000-0004-0000-0100-0000B51A0000}"/>
    <hyperlink ref="I8917" r:id="rId6839" xr:uid="{00000000-0004-0000-0100-0000B61A0000}"/>
    <hyperlink ref="I8918" r:id="rId6840" xr:uid="{00000000-0004-0000-0100-0000B71A0000}"/>
    <hyperlink ref="I8919" r:id="rId6841" xr:uid="{00000000-0004-0000-0100-0000B81A0000}"/>
    <hyperlink ref="I8920" r:id="rId6842" xr:uid="{00000000-0004-0000-0100-0000B91A0000}"/>
    <hyperlink ref="I8921" r:id="rId6843" xr:uid="{00000000-0004-0000-0100-0000BA1A0000}"/>
    <hyperlink ref="I8922" r:id="rId6844" xr:uid="{00000000-0004-0000-0100-0000BB1A0000}"/>
    <hyperlink ref="I8923" r:id="rId6845" xr:uid="{00000000-0004-0000-0100-0000BC1A0000}"/>
    <hyperlink ref="I8924" r:id="rId6846" xr:uid="{00000000-0004-0000-0100-0000BD1A0000}"/>
    <hyperlink ref="I8925" r:id="rId6847" xr:uid="{00000000-0004-0000-0100-0000BE1A0000}"/>
    <hyperlink ref="I8926" r:id="rId6848" xr:uid="{00000000-0004-0000-0100-0000BF1A0000}"/>
    <hyperlink ref="I8927" r:id="rId6849" xr:uid="{00000000-0004-0000-0100-0000C01A0000}"/>
    <hyperlink ref="I8928" r:id="rId6850" xr:uid="{00000000-0004-0000-0100-0000C11A0000}"/>
    <hyperlink ref="I8929" r:id="rId6851" xr:uid="{00000000-0004-0000-0100-0000C21A0000}"/>
    <hyperlink ref="I8930" r:id="rId6852" xr:uid="{00000000-0004-0000-0100-0000C31A0000}"/>
    <hyperlink ref="I8931" r:id="rId6853" xr:uid="{00000000-0004-0000-0100-0000C41A0000}"/>
    <hyperlink ref="I8932" r:id="rId6854" xr:uid="{00000000-0004-0000-0100-0000C51A0000}"/>
    <hyperlink ref="I8933" r:id="rId6855" xr:uid="{00000000-0004-0000-0100-0000C61A0000}"/>
    <hyperlink ref="I8934" r:id="rId6856" xr:uid="{00000000-0004-0000-0100-0000C71A0000}"/>
    <hyperlink ref="I8935" r:id="rId6857" xr:uid="{00000000-0004-0000-0100-0000C81A0000}"/>
    <hyperlink ref="I8936" r:id="rId6858" xr:uid="{00000000-0004-0000-0100-0000C91A0000}"/>
    <hyperlink ref="I8937" r:id="rId6859" xr:uid="{00000000-0004-0000-0100-0000CA1A0000}"/>
    <hyperlink ref="I8938" r:id="rId6860" xr:uid="{00000000-0004-0000-0100-0000CB1A0000}"/>
    <hyperlink ref="I8939" r:id="rId6861" xr:uid="{00000000-0004-0000-0100-0000CC1A0000}"/>
    <hyperlink ref="I8940" r:id="rId6862" xr:uid="{00000000-0004-0000-0100-0000CD1A0000}"/>
    <hyperlink ref="I8941" r:id="rId6863" xr:uid="{00000000-0004-0000-0100-0000CE1A0000}"/>
    <hyperlink ref="I8942" r:id="rId6864" xr:uid="{00000000-0004-0000-0100-0000CF1A0000}"/>
    <hyperlink ref="I8943" r:id="rId6865" xr:uid="{00000000-0004-0000-0100-0000D01A0000}"/>
    <hyperlink ref="I8944" r:id="rId6866" xr:uid="{00000000-0004-0000-0100-0000D11A0000}"/>
    <hyperlink ref="I8945" r:id="rId6867" xr:uid="{00000000-0004-0000-0100-0000D21A0000}"/>
    <hyperlink ref="I8946" r:id="rId6868" xr:uid="{00000000-0004-0000-0100-0000D31A0000}"/>
    <hyperlink ref="I8947" r:id="rId6869" xr:uid="{00000000-0004-0000-0100-0000D41A0000}"/>
    <hyperlink ref="I8948" r:id="rId6870" xr:uid="{00000000-0004-0000-0100-0000D51A0000}"/>
    <hyperlink ref="I8949" r:id="rId6871" xr:uid="{00000000-0004-0000-0100-0000D61A0000}"/>
    <hyperlink ref="I8950" r:id="rId6872" xr:uid="{00000000-0004-0000-0100-0000D71A0000}"/>
    <hyperlink ref="I8951" r:id="rId6873" xr:uid="{00000000-0004-0000-0100-0000D81A0000}"/>
    <hyperlink ref="I8952" r:id="rId6874" xr:uid="{00000000-0004-0000-0100-0000D91A0000}"/>
    <hyperlink ref="I8953" r:id="rId6875" xr:uid="{00000000-0004-0000-0100-0000DA1A0000}"/>
    <hyperlink ref="I8954" r:id="rId6876" xr:uid="{00000000-0004-0000-0100-0000DB1A0000}"/>
    <hyperlink ref="I8955" r:id="rId6877" xr:uid="{00000000-0004-0000-0100-0000DC1A0000}"/>
    <hyperlink ref="I8956" r:id="rId6878" xr:uid="{00000000-0004-0000-0100-0000DD1A0000}"/>
    <hyperlink ref="I8957" r:id="rId6879" xr:uid="{00000000-0004-0000-0100-0000DE1A0000}"/>
    <hyperlink ref="I8958" r:id="rId6880" xr:uid="{00000000-0004-0000-0100-0000DF1A0000}"/>
    <hyperlink ref="I8959" r:id="rId6881" xr:uid="{00000000-0004-0000-0100-0000E01A0000}"/>
    <hyperlink ref="I8960" r:id="rId6882" xr:uid="{00000000-0004-0000-0100-0000E11A0000}"/>
    <hyperlink ref="I8961" r:id="rId6883" xr:uid="{00000000-0004-0000-0100-0000E21A0000}"/>
    <hyperlink ref="I8962" r:id="rId6884" xr:uid="{00000000-0004-0000-0100-0000E31A0000}"/>
    <hyperlink ref="I8963" r:id="rId6885" xr:uid="{00000000-0004-0000-0100-0000E41A0000}"/>
    <hyperlink ref="I8964" r:id="rId6886" xr:uid="{00000000-0004-0000-0100-0000E51A0000}"/>
    <hyperlink ref="I8965" r:id="rId6887" xr:uid="{00000000-0004-0000-0100-0000E61A0000}"/>
    <hyperlink ref="I8966" r:id="rId6888" xr:uid="{00000000-0004-0000-0100-0000E71A0000}"/>
    <hyperlink ref="I8967" r:id="rId6889" xr:uid="{00000000-0004-0000-0100-0000E81A0000}"/>
    <hyperlink ref="I8968" r:id="rId6890" xr:uid="{00000000-0004-0000-0100-0000E91A0000}"/>
    <hyperlink ref="I8969" r:id="rId6891" xr:uid="{00000000-0004-0000-0100-0000EA1A0000}"/>
    <hyperlink ref="I8970" r:id="rId6892" xr:uid="{00000000-0004-0000-0100-0000EB1A0000}"/>
    <hyperlink ref="I8971" r:id="rId6893" xr:uid="{00000000-0004-0000-0100-0000EC1A0000}"/>
    <hyperlink ref="I8972" r:id="rId6894" xr:uid="{00000000-0004-0000-0100-0000ED1A0000}"/>
    <hyperlink ref="I8973" r:id="rId6895" xr:uid="{00000000-0004-0000-0100-0000EE1A0000}"/>
    <hyperlink ref="I8974" r:id="rId6896" xr:uid="{00000000-0004-0000-0100-0000EF1A0000}"/>
    <hyperlink ref="I8975" r:id="rId6897" xr:uid="{00000000-0004-0000-0100-0000F01A0000}"/>
    <hyperlink ref="I8976" r:id="rId6898" xr:uid="{00000000-0004-0000-0100-0000F11A0000}"/>
    <hyperlink ref="I8977" r:id="rId6899" xr:uid="{00000000-0004-0000-0100-0000F21A0000}"/>
    <hyperlink ref="I8978" r:id="rId6900" xr:uid="{00000000-0004-0000-0100-0000F31A0000}"/>
    <hyperlink ref="I8979" r:id="rId6901" xr:uid="{00000000-0004-0000-0100-0000F41A0000}"/>
    <hyperlink ref="I8980" r:id="rId6902" xr:uid="{00000000-0004-0000-0100-0000F51A0000}"/>
    <hyperlink ref="I8981" r:id="rId6903" xr:uid="{00000000-0004-0000-0100-0000F61A0000}"/>
    <hyperlink ref="I8982" r:id="rId6904" xr:uid="{00000000-0004-0000-0100-0000F71A0000}"/>
    <hyperlink ref="I8983" r:id="rId6905" xr:uid="{00000000-0004-0000-0100-0000F81A0000}"/>
    <hyperlink ref="I8984" r:id="rId6906" xr:uid="{00000000-0004-0000-0100-0000F91A0000}"/>
    <hyperlink ref="I8985" r:id="rId6907" xr:uid="{00000000-0004-0000-0100-0000FA1A0000}"/>
    <hyperlink ref="I8986" r:id="rId6908" xr:uid="{00000000-0004-0000-0100-0000FB1A0000}"/>
    <hyperlink ref="I8987" r:id="rId6909" xr:uid="{00000000-0004-0000-0100-0000FC1A0000}"/>
    <hyperlink ref="I8988" r:id="rId6910" xr:uid="{00000000-0004-0000-0100-0000FD1A0000}"/>
    <hyperlink ref="I8989" r:id="rId6911" xr:uid="{00000000-0004-0000-0100-0000FE1A0000}"/>
    <hyperlink ref="I8990" r:id="rId6912" xr:uid="{00000000-0004-0000-0100-0000FF1A0000}"/>
    <hyperlink ref="I8991" r:id="rId6913" xr:uid="{00000000-0004-0000-0100-0000001B0000}"/>
    <hyperlink ref="I8992" r:id="rId6914" xr:uid="{00000000-0004-0000-0100-0000011B0000}"/>
    <hyperlink ref="I8993" r:id="rId6915" xr:uid="{00000000-0004-0000-0100-0000021B0000}"/>
    <hyperlink ref="I8994" r:id="rId6916" xr:uid="{00000000-0004-0000-0100-0000031B0000}"/>
    <hyperlink ref="I8995" r:id="rId6917" xr:uid="{00000000-0004-0000-0100-0000041B0000}"/>
    <hyperlink ref="I8996" r:id="rId6918" xr:uid="{00000000-0004-0000-0100-0000051B0000}"/>
    <hyperlink ref="I8997" r:id="rId6919" xr:uid="{00000000-0004-0000-0100-0000061B0000}"/>
    <hyperlink ref="I8998" r:id="rId6920" xr:uid="{00000000-0004-0000-0100-0000071B0000}"/>
    <hyperlink ref="I8999" r:id="rId6921" xr:uid="{00000000-0004-0000-0100-0000081B0000}"/>
    <hyperlink ref="I9000" r:id="rId6922" xr:uid="{00000000-0004-0000-0100-0000091B0000}"/>
    <hyperlink ref="I9001" r:id="rId6923" xr:uid="{00000000-0004-0000-0100-00000A1B0000}"/>
    <hyperlink ref="I9002" r:id="rId6924" xr:uid="{00000000-0004-0000-0100-00000B1B0000}"/>
    <hyperlink ref="I9003" r:id="rId6925" xr:uid="{00000000-0004-0000-0100-00000C1B0000}"/>
    <hyperlink ref="I9004" r:id="rId6926" xr:uid="{00000000-0004-0000-0100-00000D1B0000}"/>
    <hyperlink ref="I9005" r:id="rId6927" xr:uid="{00000000-0004-0000-0100-00000E1B0000}"/>
    <hyperlink ref="I9006" r:id="rId6928" xr:uid="{00000000-0004-0000-0100-00000F1B0000}"/>
    <hyperlink ref="I9007" r:id="rId6929" xr:uid="{00000000-0004-0000-0100-0000101B0000}"/>
    <hyperlink ref="I9008" r:id="rId6930" xr:uid="{00000000-0004-0000-0100-0000111B0000}"/>
    <hyperlink ref="I9009" r:id="rId6931" xr:uid="{00000000-0004-0000-0100-0000121B0000}"/>
    <hyperlink ref="I9010" r:id="rId6932" xr:uid="{00000000-0004-0000-0100-0000131B0000}"/>
    <hyperlink ref="I9011" r:id="rId6933" xr:uid="{00000000-0004-0000-0100-0000141B0000}"/>
    <hyperlink ref="I9012" r:id="rId6934" xr:uid="{00000000-0004-0000-0100-0000151B0000}"/>
    <hyperlink ref="I9013" r:id="rId6935" xr:uid="{00000000-0004-0000-0100-0000161B0000}"/>
    <hyperlink ref="I9014" r:id="rId6936" xr:uid="{00000000-0004-0000-0100-0000171B0000}"/>
    <hyperlink ref="I9015" r:id="rId6937" xr:uid="{00000000-0004-0000-0100-0000181B0000}"/>
    <hyperlink ref="I9016" r:id="rId6938" xr:uid="{00000000-0004-0000-0100-0000191B0000}"/>
    <hyperlink ref="I9017" r:id="rId6939" xr:uid="{00000000-0004-0000-0100-00001A1B0000}"/>
    <hyperlink ref="I9018" r:id="rId6940" xr:uid="{00000000-0004-0000-0100-00001B1B0000}"/>
    <hyperlink ref="I9019" r:id="rId6941" xr:uid="{00000000-0004-0000-0100-00001C1B0000}"/>
    <hyperlink ref="I9020" r:id="rId6942" xr:uid="{00000000-0004-0000-0100-00001D1B0000}"/>
    <hyperlink ref="I9021" r:id="rId6943" xr:uid="{00000000-0004-0000-0100-00001E1B0000}"/>
    <hyperlink ref="I9022" r:id="rId6944" xr:uid="{00000000-0004-0000-0100-00001F1B0000}"/>
    <hyperlink ref="I9023" r:id="rId6945" xr:uid="{00000000-0004-0000-0100-0000201B0000}"/>
    <hyperlink ref="I9024" r:id="rId6946" xr:uid="{00000000-0004-0000-0100-0000211B0000}"/>
    <hyperlink ref="I9025" r:id="rId6947" xr:uid="{00000000-0004-0000-0100-0000221B0000}"/>
    <hyperlink ref="I9026" r:id="rId6948" xr:uid="{00000000-0004-0000-0100-0000231B0000}"/>
    <hyperlink ref="I9027" r:id="rId6949" xr:uid="{00000000-0004-0000-0100-0000241B0000}"/>
    <hyperlink ref="I9028" r:id="rId6950" xr:uid="{00000000-0004-0000-0100-0000251B0000}"/>
    <hyperlink ref="I9029" r:id="rId6951" xr:uid="{00000000-0004-0000-0100-0000261B0000}"/>
    <hyperlink ref="I9030" r:id="rId6952" xr:uid="{00000000-0004-0000-0100-0000271B0000}"/>
    <hyperlink ref="I9031" r:id="rId6953" xr:uid="{00000000-0004-0000-0100-0000281B0000}"/>
    <hyperlink ref="I9032" r:id="rId6954" xr:uid="{00000000-0004-0000-0100-0000291B0000}"/>
    <hyperlink ref="I9033" r:id="rId6955" xr:uid="{00000000-0004-0000-0100-00002A1B0000}"/>
    <hyperlink ref="I9034" r:id="rId6956" xr:uid="{00000000-0004-0000-0100-00002B1B0000}"/>
    <hyperlink ref="I9035" r:id="rId6957" xr:uid="{00000000-0004-0000-0100-00002C1B0000}"/>
    <hyperlink ref="I9036" r:id="rId6958" xr:uid="{00000000-0004-0000-0100-00002D1B0000}"/>
    <hyperlink ref="I9037" r:id="rId6959" xr:uid="{00000000-0004-0000-0100-00002E1B0000}"/>
    <hyperlink ref="I9038" r:id="rId6960" xr:uid="{00000000-0004-0000-0100-00002F1B0000}"/>
    <hyperlink ref="I9039" r:id="rId6961" xr:uid="{00000000-0004-0000-0100-0000301B0000}"/>
    <hyperlink ref="I9040" r:id="rId6962" xr:uid="{00000000-0004-0000-0100-0000311B0000}"/>
    <hyperlink ref="I9041" r:id="rId6963" xr:uid="{00000000-0004-0000-0100-0000321B0000}"/>
    <hyperlink ref="I9042" r:id="rId6964" xr:uid="{00000000-0004-0000-0100-0000331B0000}"/>
    <hyperlink ref="I9043" r:id="rId6965" xr:uid="{00000000-0004-0000-0100-0000341B0000}"/>
    <hyperlink ref="I9044" r:id="rId6966" xr:uid="{00000000-0004-0000-0100-0000351B0000}"/>
    <hyperlink ref="I9045" r:id="rId6967" xr:uid="{00000000-0004-0000-0100-0000361B0000}"/>
    <hyperlink ref="I9046" r:id="rId6968" xr:uid="{00000000-0004-0000-0100-0000371B0000}"/>
    <hyperlink ref="I9047" r:id="rId6969" xr:uid="{00000000-0004-0000-0100-0000381B0000}"/>
    <hyperlink ref="I9048" r:id="rId6970" xr:uid="{00000000-0004-0000-0100-0000391B0000}"/>
    <hyperlink ref="I9049" r:id="rId6971" xr:uid="{00000000-0004-0000-0100-00003A1B0000}"/>
    <hyperlink ref="I9050" r:id="rId6972" xr:uid="{00000000-0004-0000-0100-00003B1B0000}"/>
    <hyperlink ref="I9051" r:id="rId6973" xr:uid="{00000000-0004-0000-0100-00003C1B0000}"/>
    <hyperlink ref="I9052" r:id="rId6974" xr:uid="{00000000-0004-0000-0100-00003D1B0000}"/>
    <hyperlink ref="I9053" r:id="rId6975" xr:uid="{00000000-0004-0000-0100-00003E1B0000}"/>
    <hyperlink ref="I9054" r:id="rId6976" xr:uid="{00000000-0004-0000-0100-00003F1B0000}"/>
    <hyperlink ref="I9055" r:id="rId6977" xr:uid="{00000000-0004-0000-0100-0000401B0000}"/>
    <hyperlink ref="I9056" r:id="rId6978" xr:uid="{00000000-0004-0000-0100-0000411B0000}"/>
    <hyperlink ref="I9057" r:id="rId6979" xr:uid="{00000000-0004-0000-0100-0000421B0000}"/>
    <hyperlink ref="I9058" r:id="rId6980" xr:uid="{00000000-0004-0000-0100-0000431B0000}"/>
    <hyperlink ref="I9059" r:id="rId6981" xr:uid="{00000000-0004-0000-0100-0000441B0000}"/>
    <hyperlink ref="I9060" r:id="rId6982" xr:uid="{00000000-0004-0000-0100-0000451B0000}"/>
    <hyperlink ref="I9061" r:id="rId6983" xr:uid="{00000000-0004-0000-0100-0000461B0000}"/>
    <hyperlink ref="I9062" r:id="rId6984" xr:uid="{00000000-0004-0000-0100-0000471B0000}"/>
    <hyperlink ref="I9063" r:id="rId6985" xr:uid="{00000000-0004-0000-0100-0000481B0000}"/>
    <hyperlink ref="I9064" r:id="rId6986" xr:uid="{00000000-0004-0000-0100-0000491B0000}"/>
    <hyperlink ref="I9065" r:id="rId6987" xr:uid="{00000000-0004-0000-0100-00004A1B0000}"/>
    <hyperlink ref="I9066" r:id="rId6988" xr:uid="{00000000-0004-0000-0100-00004B1B0000}"/>
    <hyperlink ref="I9067" r:id="rId6989" xr:uid="{00000000-0004-0000-0100-00004C1B0000}"/>
    <hyperlink ref="I9068" r:id="rId6990" xr:uid="{00000000-0004-0000-0100-00004D1B0000}"/>
    <hyperlink ref="I9069" r:id="rId6991" xr:uid="{00000000-0004-0000-0100-00004E1B0000}"/>
    <hyperlink ref="I9070" r:id="rId6992" xr:uid="{00000000-0004-0000-0100-00004F1B0000}"/>
    <hyperlink ref="I9071" r:id="rId6993" xr:uid="{00000000-0004-0000-0100-0000501B0000}"/>
    <hyperlink ref="I9072" r:id="rId6994" xr:uid="{00000000-0004-0000-0100-0000511B0000}"/>
    <hyperlink ref="I9073" r:id="rId6995" xr:uid="{00000000-0004-0000-0100-0000521B0000}"/>
    <hyperlink ref="I9074" r:id="rId6996" xr:uid="{00000000-0004-0000-0100-0000531B0000}"/>
    <hyperlink ref="I9075" r:id="rId6997" xr:uid="{00000000-0004-0000-0100-0000541B0000}"/>
    <hyperlink ref="I9076" r:id="rId6998" xr:uid="{00000000-0004-0000-0100-0000551B0000}"/>
    <hyperlink ref="I9077" r:id="rId6999" xr:uid="{00000000-0004-0000-0100-0000561B0000}"/>
    <hyperlink ref="I9078" r:id="rId7000" xr:uid="{00000000-0004-0000-0100-0000571B0000}"/>
    <hyperlink ref="I9079" r:id="rId7001" xr:uid="{00000000-0004-0000-0100-0000581B0000}"/>
    <hyperlink ref="I9080" r:id="rId7002" xr:uid="{00000000-0004-0000-0100-0000591B0000}"/>
    <hyperlink ref="I9081" r:id="rId7003" xr:uid="{00000000-0004-0000-0100-00005A1B0000}"/>
    <hyperlink ref="I9082" r:id="rId7004" xr:uid="{00000000-0004-0000-0100-00005B1B0000}"/>
    <hyperlink ref="I9083" r:id="rId7005" xr:uid="{00000000-0004-0000-0100-00005C1B0000}"/>
    <hyperlink ref="I9084" r:id="rId7006" xr:uid="{00000000-0004-0000-0100-00005D1B0000}"/>
    <hyperlink ref="I9085" r:id="rId7007" xr:uid="{00000000-0004-0000-0100-00005E1B0000}"/>
    <hyperlink ref="I9086" r:id="rId7008" xr:uid="{00000000-0004-0000-0100-00005F1B0000}"/>
    <hyperlink ref="I9087" r:id="rId7009" xr:uid="{00000000-0004-0000-0100-0000601B0000}"/>
    <hyperlink ref="I9088" r:id="rId7010" xr:uid="{00000000-0004-0000-0100-0000611B0000}"/>
    <hyperlink ref="I9089" r:id="rId7011" xr:uid="{00000000-0004-0000-0100-0000621B0000}"/>
    <hyperlink ref="I9090" r:id="rId7012" xr:uid="{00000000-0004-0000-0100-0000631B0000}"/>
    <hyperlink ref="I9091" r:id="rId7013" xr:uid="{00000000-0004-0000-0100-0000641B0000}"/>
    <hyperlink ref="I9092" r:id="rId7014" xr:uid="{00000000-0004-0000-0100-0000651B0000}"/>
    <hyperlink ref="I9093" r:id="rId7015" xr:uid="{00000000-0004-0000-0100-0000661B0000}"/>
    <hyperlink ref="I9094" r:id="rId7016" xr:uid="{00000000-0004-0000-0100-0000671B0000}"/>
    <hyperlink ref="I9095" r:id="rId7017" xr:uid="{00000000-0004-0000-0100-0000681B0000}"/>
    <hyperlink ref="I9096" r:id="rId7018" xr:uid="{00000000-0004-0000-0100-0000691B0000}"/>
    <hyperlink ref="I9097" r:id="rId7019" xr:uid="{00000000-0004-0000-0100-00006A1B0000}"/>
    <hyperlink ref="I9098" r:id="rId7020" xr:uid="{00000000-0004-0000-0100-00006B1B0000}"/>
    <hyperlink ref="I9099" r:id="rId7021" xr:uid="{00000000-0004-0000-0100-00006C1B0000}"/>
    <hyperlink ref="I9100" r:id="rId7022" xr:uid="{00000000-0004-0000-0100-00006D1B0000}"/>
    <hyperlink ref="I9101" r:id="rId7023" xr:uid="{00000000-0004-0000-0100-00006E1B0000}"/>
    <hyperlink ref="I9102" r:id="rId7024" xr:uid="{00000000-0004-0000-0100-00006F1B0000}"/>
    <hyperlink ref="I9103" r:id="rId7025" xr:uid="{00000000-0004-0000-0100-0000701B0000}"/>
    <hyperlink ref="I9104" r:id="rId7026" xr:uid="{00000000-0004-0000-0100-0000711B0000}"/>
    <hyperlink ref="I9105" r:id="rId7027" xr:uid="{00000000-0004-0000-0100-0000721B0000}"/>
    <hyperlink ref="I9106" r:id="rId7028" xr:uid="{00000000-0004-0000-0100-0000731B0000}"/>
    <hyperlink ref="I9107" r:id="rId7029" xr:uid="{00000000-0004-0000-0100-0000741B0000}"/>
    <hyperlink ref="I9108" r:id="rId7030" xr:uid="{00000000-0004-0000-0100-0000751B0000}"/>
    <hyperlink ref="I9109" r:id="rId7031" xr:uid="{00000000-0004-0000-0100-0000761B0000}"/>
    <hyperlink ref="I9110" r:id="rId7032" xr:uid="{00000000-0004-0000-0100-0000771B0000}"/>
    <hyperlink ref="I9111" r:id="rId7033" xr:uid="{00000000-0004-0000-0100-0000781B0000}"/>
    <hyperlink ref="I9112" r:id="rId7034" xr:uid="{00000000-0004-0000-0100-0000791B0000}"/>
    <hyperlink ref="I9113" r:id="rId7035" xr:uid="{00000000-0004-0000-0100-00007A1B0000}"/>
    <hyperlink ref="I9114" r:id="rId7036" xr:uid="{00000000-0004-0000-0100-00007B1B0000}"/>
    <hyperlink ref="I9115" r:id="rId7037" xr:uid="{00000000-0004-0000-0100-00007C1B0000}"/>
    <hyperlink ref="I9116" r:id="rId7038" xr:uid="{00000000-0004-0000-0100-00007D1B0000}"/>
    <hyperlink ref="I9117" r:id="rId7039" xr:uid="{00000000-0004-0000-0100-00007E1B0000}"/>
    <hyperlink ref="I9118" r:id="rId7040" xr:uid="{00000000-0004-0000-0100-00007F1B0000}"/>
    <hyperlink ref="I9119" r:id="rId7041" xr:uid="{00000000-0004-0000-0100-0000801B0000}"/>
    <hyperlink ref="I9120" r:id="rId7042" xr:uid="{00000000-0004-0000-0100-0000811B0000}"/>
    <hyperlink ref="I9121" r:id="rId7043" xr:uid="{00000000-0004-0000-0100-0000821B0000}"/>
    <hyperlink ref="I9122" r:id="rId7044" xr:uid="{00000000-0004-0000-0100-0000831B0000}"/>
    <hyperlink ref="I9123" r:id="rId7045" xr:uid="{00000000-0004-0000-0100-0000841B0000}"/>
    <hyperlink ref="I9124" r:id="rId7046" xr:uid="{00000000-0004-0000-0100-0000851B0000}"/>
    <hyperlink ref="I9125" r:id="rId7047" xr:uid="{00000000-0004-0000-0100-0000861B0000}"/>
    <hyperlink ref="I9126" r:id="rId7048" xr:uid="{00000000-0004-0000-0100-0000871B0000}"/>
    <hyperlink ref="I9127" r:id="rId7049" xr:uid="{00000000-0004-0000-0100-0000881B0000}"/>
    <hyperlink ref="I9128" r:id="rId7050" xr:uid="{00000000-0004-0000-0100-0000891B0000}"/>
    <hyperlink ref="I9129" r:id="rId7051" xr:uid="{00000000-0004-0000-0100-00008A1B0000}"/>
    <hyperlink ref="I9130" r:id="rId7052" xr:uid="{00000000-0004-0000-0100-00008B1B0000}"/>
    <hyperlink ref="I9131" r:id="rId7053" xr:uid="{00000000-0004-0000-0100-00008C1B0000}"/>
    <hyperlink ref="I9132" r:id="rId7054" xr:uid="{00000000-0004-0000-0100-00008D1B0000}"/>
    <hyperlink ref="I9133" r:id="rId7055" xr:uid="{00000000-0004-0000-0100-00008E1B0000}"/>
    <hyperlink ref="I9134" r:id="rId7056" xr:uid="{00000000-0004-0000-0100-00008F1B0000}"/>
    <hyperlink ref="I9135" r:id="rId7057" xr:uid="{00000000-0004-0000-0100-0000901B0000}"/>
    <hyperlink ref="I9136" r:id="rId7058" xr:uid="{00000000-0004-0000-0100-0000911B0000}"/>
    <hyperlink ref="I9137" r:id="rId7059" xr:uid="{00000000-0004-0000-0100-0000921B0000}"/>
    <hyperlink ref="I9138" r:id="rId7060" xr:uid="{00000000-0004-0000-0100-0000931B0000}"/>
    <hyperlink ref="I9139" r:id="rId7061" xr:uid="{00000000-0004-0000-0100-0000941B0000}"/>
    <hyperlink ref="I9140" r:id="rId7062" xr:uid="{00000000-0004-0000-0100-0000951B0000}"/>
    <hyperlink ref="I9141" r:id="rId7063" xr:uid="{00000000-0004-0000-0100-0000961B0000}"/>
    <hyperlink ref="I9142" r:id="rId7064" xr:uid="{00000000-0004-0000-0100-0000971B0000}"/>
    <hyperlink ref="I9143" r:id="rId7065" xr:uid="{00000000-0004-0000-0100-0000981B0000}"/>
    <hyperlink ref="I9144" r:id="rId7066" xr:uid="{00000000-0004-0000-0100-0000991B0000}"/>
    <hyperlink ref="I9145" r:id="rId7067" xr:uid="{00000000-0004-0000-0100-00009A1B0000}"/>
    <hyperlink ref="I9146" r:id="rId7068" xr:uid="{00000000-0004-0000-0100-00009B1B0000}"/>
    <hyperlink ref="I9147" r:id="rId7069" xr:uid="{00000000-0004-0000-0100-00009C1B0000}"/>
    <hyperlink ref="I9148" r:id="rId7070" xr:uid="{00000000-0004-0000-0100-00009D1B0000}"/>
    <hyperlink ref="I9149" r:id="rId7071" xr:uid="{00000000-0004-0000-0100-00009E1B0000}"/>
    <hyperlink ref="I9150" r:id="rId7072" xr:uid="{00000000-0004-0000-0100-00009F1B0000}"/>
    <hyperlink ref="I9151" r:id="rId7073" xr:uid="{00000000-0004-0000-0100-0000A01B0000}"/>
    <hyperlink ref="I9152" r:id="rId7074" xr:uid="{00000000-0004-0000-0100-0000A11B0000}"/>
    <hyperlink ref="I9153" r:id="rId7075" xr:uid="{00000000-0004-0000-0100-0000A21B0000}"/>
    <hyperlink ref="I9154" r:id="rId7076" xr:uid="{00000000-0004-0000-0100-0000A31B0000}"/>
    <hyperlink ref="I9155" r:id="rId7077" xr:uid="{00000000-0004-0000-0100-0000A41B0000}"/>
    <hyperlink ref="I9156" r:id="rId7078" xr:uid="{00000000-0004-0000-0100-0000A51B0000}"/>
    <hyperlink ref="I9157" r:id="rId7079" xr:uid="{00000000-0004-0000-0100-0000A61B0000}"/>
    <hyperlink ref="I9158" r:id="rId7080" xr:uid="{00000000-0004-0000-0100-0000A71B0000}"/>
    <hyperlink ref="I9159" r:id="rId7081" xr:uid="{00000000-0004-0000-0100-0000A81B0000}"/>
    <hyperlink ref="I9160" r:id="rId7082" xr:uid="{00000000-0004-0000-0100-0000A91B0000}"/>
    <hyperlink ref="I9161" r:id="rId7083" xr:uid="{00000000-0004-0000-0100-0000AA1B0000}"/>
    <hyperlink ref="I9162" r:id="rId7084" xr:uid="{00000000-0004-0000-0100-0000AB1B0000}"/>
    <hyperlink ref="I9163" r:id="rId7085" xr:uid="{00000000-0004-0000-0100-0000AC1B0000}"/>
    <hyperlink ref="I9164" r:id="rId7086" xr:uid="{00000000-0004-0000-0100-0000AD1B0000}"/>
    <hyperlink ref="I9165" r:id="rId7087" xr:uid="{00000000-0004-0000-0100-0000AE1B0000}"/>
    <hyperlink ref="I9166" r:id="rId7088" xr:uid="{00000000-0004-0000-0100-0000AF1B0000}"/>
    <hyperlink ref="I9167" r:id="rId7089" xr:uid="{00000000-0004-0000-0100-0000B01B0000}"/>
    <hyperlink ref="I9168" r:id="rId7090" xr:uid="{00000000-0004-0000-0100-0000B11B0000}"/>
    <hyperlink ref="I9169" r:id="rId7091" xr:uid="{00000000-0004-0000-0100-0000B21B0000}"/>
    <hyperlink ref="I9170" r:id="rId7092" xr:uid="{00000000-0004-0000-0100-0000B31B0000}"/>
    <hyperlink ref="I9171" r:id="rId7093" xr:uid="{00000000-0004-0000-0100-0000B41B0000}"/>
    <hyperlink ref="I9172" r:id="rId7094" xr:uid="{00000000-0004-0000-0100-0000B51B0000}"/>
    <hyperlink ref="I9173" r:id="rId7095" xr:uid="{00000000-0004-0000-0100-0000B61B0000}"/>
    <hyperlink ref="I9174" r:id="rId7096" xr:uid="{00000000-0004-0000-0100-0000B71B0000}"/>
    <hyperlink ref="I9175" r:id="rId7097" xr:uid="{00000000-0004-0000-0100-0000B81B0000}"/>
    <hyperlink ref="I9176" r:id="rId7098" xr:uid="{00000000-0004-0000-0100-0000B91B0000}"/>
    <hyperlink ref="I9177" r:id="rId7099" xr:uid="{00000000-0004-0000-0100-0000BA1B0000}"/>
    <hyperlink ref="I9178" r:id="rId7100" xr:uid="{00000000-0004-0000-0100-0000BB1B0000}"/>
    <hyperlink ref="I9179" r:id="rId7101" xr:uid="{00000000-0004-0000-0100-0000BC1B0000}"/>
    <hyperlink ref="I9180" r:id="rId7102" xr:uid="{00000000-0004-0000-0100-0000BD1B0000}"/>
    <hyperlink ref="I9181" r:id="rId7103" xr:uid="{00000000-0004-0000-0100-0000BE1B0000}"/>
    <hyperlink ref="I9182" r:id="rId7104" xr:uid="{00000000-0004-0000-0100-0000BF1B0000}"/>
    <hyperlink ref="I9183" r:id="rId7105" xr:uid="{00000000-0004-0000-0100-0000C01B0000}"/>
    <hyperlink ref="I9184" r:id="rId7106" xr:uid="{00000000-0004-0000-0100-0000C11B0000}"/>
    <hyperlink ref="I9185" r:id="rId7107" xr:uid="{00000000-0004-0000-0100-0000C21B0000}"/>
    <hyperlink ref="I9186" r:id="rId7108" xr:uid="{00000000-0004-0000-0100-0000C31B0000}"/>
    <hyperlink ref="I9187" r:id="rId7109" xr:uid="{00000000-0004-0000-0100-0000C41B0000}"/>
    <hyperlink ref="I9188" r:id="rId7110" xr:uid="{00000000-0004-0000-0100-0000C51B0000}"/>
    <hyperlink ref="I9189" r:id="rId7111" xr:uid="{00000000-0004-0000-0100-0000C61B0000}"/>
    <hyperlink ref="I9190" r:id="rId7112" xr:uid="{00000000-0004-0000-0100-0000C71B0000}"/>
    <hyperlink ref="I9191" r:id="rId7113" xr:uid="{00000000-0004-0000-0100-0000C81B0000}"/>
    <hyperlink ref="I9192" r:id="rId7114" xr:uid="{00000000-0004-0000-0100-0000C91B0000}"/>
    <hyperlink ref="I9193" r:id="rId7115" xr:uid="{00000000-0004-0000-0100-0000CA1B0000}"/>
    <hyperlink ref="I9194" r:id="rId7116" xr:uid="{00000000-0004-0000-0100-0000CB1B0000}"/>
    <hyperlink ref="I9195" r:id="rId7117" xr:uid="{00000000-0004-0000-0100-0000CC1B0000}"/>
    <hyperlink ref="I9196" r:id="rId7118" xr:uid="{00000000-0004-0000-0100-0000CD1B0000}"/>
    <hyperlink ref="I9197" r:id="rId7119" xr:uid="{00000000-0004-0000-0100-0000CE1B0000}"/>
    <hyperlink ref="I9198" r:id="rId7120" xr:uid="{00000000-0004-0000-0100-0000CF1B0000}"/>
    <hyperlink ref="I9199" r:id="rId7121" xr:uid="{00000000-0004-0000-0100-0000D01B0000}"/>
    <hyperlink ref="I9200" r:id="rId7122" xr:uid="{00000000-0004-0000-0100-0000D11B0000}"/>
    <hyperlink ref="I9201" r:id="rId7123" xr:uid="{00000000-0004-0000-0100-0000D21B0000}"/>
    <hyperlink ref="I9202" r:id="rId7124" xr:uid="{00000000-0004-0000-0100-0000D31B0000}"/>
    <hyperlink ref="I9203" r:id="rId7125" xr:uid="{00000000-0004-0000-0100-0000D41B0000}"/>
    <hyperlink ref="I9204" r:id="rId7126" xr:uid="{00000000-0004-0000-0100-0000D51B0000}"/>
    <hyperlink ref="I9205" r:id="rId7127" xr:uid="{00000000-0004-0000-0100-0000D61B0000}"/>
    <hyperlink ref="I9206" r:id="rId7128" xr:uid="{00000000-0004-0000-0100-0000D71B0000}"/>
    <hyperlink ref="I9207" r:id="rId7129" xr:uid="{00000000-0004-0000-0100-0000D81B0000}"/>
    <hyperlink ref="I9208" r:id="rId7130" xr:uid="{00000000-0004-0000-0100-0000D91B0000}"/>
    <hyperlink ref="I9209" r:id="rId7131" xr:uid="{00000000-0004-0000-0100-0000DA1B0000}"/>
    <hyperlink ref="I9210" r:id="rId7132" xr:uid="{00000000-0004-0000-0100-0000DB1B0000}"/>
    <hyperlink ref="I9211" r:id="rId7133" xr:uid="{00000000-0004-0000-0100-0000DC1B0000}"/>
    <hyperlink ref="I9212" r:id="rId7134" xr:uid="{00000000-0004-0000-0100-0000DD1B0000}"/>
    <hyperlink ref="I9213" r:id="rId7135" xr:uid="{00000000-0004-0000-0100-0000DE1B0000}"/>
    <hyperlink ref="I9214" r:id="rId7136" xr:uid="{00000000-0004-0000-0100-0000DF1B0000}"/>
    <hyperlink ref="I9215" r:id="rId7137" xr:uid="{00000000-0004-0000-0100-0000E01B0000}"/>
    <hyperlink ref="I9216" r:id="rId7138" xr:uid="{00000000-0004-0000-0100-0000E11B0000}"/>
    <hyperlink ref="I9217" r:id="rId7139" xr:uid="{00000000-0004-0000-0100-0000E21B0000}"/>
    <hyperlink ref="I9218" r:id="rId7140" xr:uid="{00000000-0004-0000-0100-0000E31B0000}"/>
    <hyperlink ref="I9219" r:id="rId7141" xr:uid="{00000000-0004-0000-0100-0000E41B0000}"/>
    <hyperlink ref="I9220" r:id="rId7142" xr:uid="{00000000-0004-0000-0100-0000E51B0000}"/>
    <hyperlink ref="I9221" r:id="rId7143" xr:uid="{00000000-0004-0000-0100-0000E61B0000}"/>
    <hyperlink ref="I9222" r:id="rId7144" xr:uid="{00000000-0004-0000-0100-0000E71B0000}"/>
    <hyperlink ref="I9223" r:id="rId7145" xr:uid="{00000000-0004-0000-0100-0000E81B0000}"/>
    <hyperlink ref="I9224" r:id="rId7146" xr:uid="{00000000-0004-0000-0100-0000E91B0000}"/>
    <hyperlink ref="I9225" r:id="rId7147" xr:uid="{00000000-0004-0000-0100-0000EA1B0000}"/>
    <hyperlink ref="I9226" r:id="rId7148" xr:uid="{00000000-0004-0000-0100-0000EB1B0000}"/>
    <hyperlink ref="I9227" r:id="rId7149" xr:uid="{00000000-0004-0000-0100-0000EC1B0000}"/>
    <hyperlink ref="I9228" r:id="rId7150" xr:uid="{00000000-0004-0000-0100-0000ED1B0000}"/>
    <hyperlink ref="I9229" r:id="rId7151" xr:uid="{00000000-0004-0000-0100-0000EE1B0000}"/>
    <hyperlink ref="I9230" r:id="rId7152" xr:uid="{00000000-0004-0000-0100-0000EF1B0000}"/>
    <hyperlink ref="I9231" r:id="rId7153" xr:uid="{00000000-0004-0000-0100-0000F01B0000}"/>
    <hyperlink ref="I9232" r:id="rId7154" xr:uid="{00000000-0004-0000-0100-0000F11B0000}"/>
    <hyperlink ref="I9233" r:id="rId7155" xr:uid="{00000000-0004-0000-0100-0000F21B0000}"/>
    <hyperlink ref="I9234" r:id="rId7156" xr:uid="{00000000-0004-0000-0100-0000F31B0000}"/>
    <hyperlink ref="I9235" r:id="rId7157" xr:uid="{00000000-0004-0000-0100-0000F41B0000}"/>
    <hyperlink ref="I9236" r:id="rId7158" xr:uid="{00000000-0004-0000-0100-0000F51B0000}"/>
    <hyperlink ref="I9237" r:id="rId7159" xr:uid="{00000000-0004-0000-0100-0000F61B0000}"/>
    <hyperlink ref="I9238" r:id="rId7160" xr:uid="{00000000-0004-0000-0100-0000F71B0000}"/>
    <hyperlink ref="I9239" r:id="rId7161" xr:uid="{00000000-0004-0000-0100-0000F81B0000}"/>
    <hyperlink ref="I9240" r:id="rId7162" xr:uid="{00000000-0004-0000-0100-0000F91B0000}"/>
    <hyperlink ref="I9241" r:id="rId7163" xr:uid="{00000000-0004-0000-0100-0000FA1B0000}"/>
    <hyperlink ref="I9242" r:id="rId7164" xr:uid="{00000000-0004-0000-0100-0000FB1B0000}"/>
    <hyperlink ref="I9243" r:id="rId7165" xr:uid="{00000000-0004-0000-0100-0000FC1B0000}"/>
    <hyperlink ref="I9244" r:id="rId7166" xr:uid="{00000000-0004-0000-0100-0000FD1B0000}"/>
    <hyperlink ref="I9245" r:id="rId7167" xr:uid="{00000000-0004-0000-0100-0000FE1B0000}"/>
    <hyperlink ref="I9246" r:id="rId7168" xr:uid="{00000000-0004-0000-0100-0000FF1B0000}"/>
    <hyperlink ref="I9247" r:id="rId7169" xr:uid="{00000000-0004-0000-0100-0000001C0000}"/>
    <hyperlink ref="I9248" r:id="rId7170" xr:uid="{00000000-0004-0000-0100-0000011C0000}"/>
    <hyperlink ref="I9249" r:id="rId7171" xr:uid="{00000000-0004-0000-0100-0000021C0000}"/>
    <hyperlink ref="I9250" r:id="rId7172" xr:uid="{00000000-0004-0000-0100-0000031C0000}"/>
    <hyperlink ref="I9251" r:id="rId7173" xr:uid="{00000000-0004-0000-0100-0000041C0000}"/>
    <hyperlink ref="I9252" r:id="rId7174" xr:uid="{00000000-0004-0000-0100-0000051C0000}"/>
    <hyperlink ref="I9253" r:id="rId7175" xr:uid="{00000000-0004-0000-0100-0000061C0000}"/>
    <hyperlink ref="I9254" r:id="rId7176" xr:uid="{00000000-0004-0000-0100-0000071C0000}"/>
    <hyperlink ref="I9255" r:id="rId7177" xr:uid="{00000000-0004-0000-0100-0000081C0000}"/>
    <hyperlink ref="I9256" r:id="rId7178" xr:uid="{00000000-0004-0000-0100-0000091C0000}"/>
    <hyperlink ref="I9257" r:id="rId7179" xr:uid="{00000000-0004-0000-0100-00000A1C0000}"/>
    <hyperlink ref="I9258" r:id="rId7180" xr:uid="{00000000-0004-0000-0100-00000B1C0000}"/>
    <hyperlink ref="I9259" r:id="rId7181" xr:uid="{00000000-0004-0000-0100-00000C1C0000}"/>
    <hyperlink ref="I9260" r:id="rId7182" xr:uid="{00000000-0004-0000-0100-00000D1C0000}"/>
    <hyperlink ref="I9261" r:id="rId7183" xr:uid="{00000000-0004-0000-0100-00000E1C0000}"/>
    <hyperlink ref="I9262" r:id="rId7184" xr:uid="{00000000-0004-0000-0100-00000F1C0000}"/>
    <hyperlink ref="I9263" r:id="rId7185" xr:uid="{00000000-0004-0000-0100-0000101C0000}"/>
    <hyperlink ref="I9264" r:id="rId7186" xr:uid="{00000000-0004-0000-0100-0000111C0000}"/>
    <hyperlink ref="I9265" r:id="rId7187" xr:uid="{00000000-0004-0000-0100-0000121C0000}"/>
    <hyperlink ref="I9266" r:id="rId7188" xr:uid="{00000000-0004-0000-0100-0000131C0000}"/>
    <hyperlink ref="I9267" r:id="rId7189" xr:uid="{00000000-0004-0000-0100-0000141C0000}"/>
    <hyperlink ref="I9268" r:id="rId7190" xr:uid="{00000000-0004-0000-0100-0000151C0000}"/>
    <hyperlink ref="I9269" r:id="rId7191" xr:uid="{00000000-0004-0000-0100-0000161C0000}"/>
    <hyperlink ref="I9270" r:id="rId7192" xr:uid="{00000000-0004-0000-0100-0000171C0000}"/>
    <hyperlink ref="I9271" r:id="rId7193" xr:uid="{00000000-0004-0000-0100-0000181C0000}"/>
    <hyperlink ref="I9272" r:id="rId7194" xr:uid="{00000000-0004-0000-0100-0000191C0000}"/>
    <hyperlink ref="I9273" r:id="rId7195" xr:uid="{00000000-0004-0000-0100-00001A1C0000}"/>
    <hyperlink ref="I9274" r:id="rId7196" xr:uid="{00000000-0004-0000-0100-00001B1C0000}"/>
    <hyperlink ref="I9275" r:id="rId7197" xr:uid="{00000000-0004-0000-0100-00001C1C0000}"/>
    <hyperlink ref="I9276" r:id="rId7198" xr:uid="{00000000-0004-0000-0100-00001D1C0000}"/>
    <hyperlink ref="I9277" r:id="rId7199" xr:uid="{00000000-0004-0000-0100-00001E1C0000}"/>
    <hyperlink ref="I9278" r:id="rId7200" xr:uid="{00000000-0004-0000-0100-00001F1C0000}"/>
    <hyperlink ref="I9279" r:id="rId7201" xr:uid="{00000000-0004-0000-0100-0000201C0000}"/>
    <hyperlink ref="I9280" r:id="rId7202" xr:uid="{00000000-0004-0000-0100-0000211C0000}"/>
    <hyperlink ref="I9281" r:id="rId7203" xr:uid="{00000000-0004-0000-0100-0000221C0000}"/>
    <hyperlink ref="I9282" r:id="rId7204" xr:uid="{00000000-0004-0000-0100-0000231C0000}"/>
    <hyperlink ref="I9283" r:id="rId7205" xr:uid="{00000000-0004-0000-0100-0000241C0000}"/>
    <hyperlink ref="I9284" r:id="rId7206" xr:uid="{00000000-0004-0000-0100-0000251C0000}"/>
    <hyperlink ref="I9285" r:id="rId7207" xr:uid="{00000000-0004-0000-0100-0000261C0000}"/>
    <hyperlink ref="I9286" r:id="rId7208" xr:uid="{00000000-0004-0000-0100-0000271C0000}"/>
    <hyperlink ref="I9287" r:id="rId7209" xr:uid="{00000000-0004-0000-0100-0000281C0000}"/>
    <hyperlink ref="I9288" r:id="rId7210" xr:uid="{00000000-0004-0000-0100-0000291C0000}"/>
    <hyperlink ref="I9289" r:id="rId7211" xr:uid="{00000000-0004-0000-0100-00002A1C0000}"/>
    <hyperlink ref="I9290" r:id="rId7212" xr:uid="{00000000-0004-0000-0100-00002B1C0000}"/>
    <hyperlink ref="I9291" r:id="rId7213" xr:uid="{00000000-0004-0000-0100-00002C1C0000}"/>
    <hyperlink ref="I9292" r:id="rId7214" xr:uid="{00000000-0004-0000-0100-00002D1C0000}"/>
    <hyperlink ref="I9293" r:id="rId7215" xr:uid="{00000000-0004-0000-0100-00002E1C0000}"/>
    <hyperlink ref="I9294" r:id="rId7216" xr:uid="{00000000-0004-0000-0100-00002F1C0000}"/>
    <hyperlink ref="I9295" r:id="rId7217" xr:uid="{00000000-0004-0000-0100-0000301C0000}"/>
    <hyperlink ref="I9296" r:id="rId7218" xr:uid="{00000000-0004-0000-0100-0000311C0000}"/>
    <hyperlink ref="I9297" r:id="rId7219" xr:uid="{00000000-0004-0000-0100-0000321C0000}"/>
    <hyperlink ref="I9298" r:id="rId7220" xr:uid="{00000000-0004-0000-0100-0000331C0000}"/>
    <hyperlink ref="I9299" r:id="rId7221" xr:uid="{00000000-0004-0000-0100-0000341C0000}"/>
    <hyperlink ref="I9300" r:id="rId7222" xr:uid="{00000000-0004-0000-0100-0000351C0000}"/>
    <hyperlink ref="I9301" r:id="rId7223" xr:uid="{00000000-0004-0000-0100-0000361C0000}"/>
    <hyperlink ref="I9302" r:id="rId7224" xr:uid="{00000000-0004-0000-0100-0000371C0000}"/>
    <hyperlink ref="I9303" r:id="rId7225" xr:uid="{00000000-0004-0000-0100-0000381C0000}"/>
    <hyperlink ref="I9304" r:id="rId7226" xr:uid="{00000000-0004-0000-0100-0000391C0000}"/>
    <hyperlink ref="I9305" r:id="rId7227" xr:uid="{00000000-0004-0000-0100-00003A1C0000}"/>
    <hyperlink ref="I9306" r:id="rId7228" xr:uid="{00000000-0004-0000-0100-00003B1C0000}"/>
    <hyperlink ref="I9307" r:id="rId7229" xr:uid="{00000000-0004-0000-0100-00003C1C0000}"/>
    <hyperlink ref="I9308" r:id="rId7230" xr:uid="{00000000-0004-0000-0100-00003D1C0000}"/>
    <hyperlink ref="I9309" r:id="rId7231" xr:uid="{00000000-0004-0000-0100-00003E1C0000}"/>
    <hyperlink ref="I9310" r:id="rId7232" xr:uid="{00000000-0004-0000-0100-00003F1C0000}"/>
    <hyperlink ref="I9311" r:id="rId7233" xr:uid="{00000000-0004-0000-0100-0000401C0000}"/>
    <hyperlink ref="I9312" r:id="rId7234" xr:uid="{00000000-0004-0000-0100-0000411C0000}"/>
    <hyperlink ref="I9313" r:id="rId7235" xr:uid="{00000000-0004-0000-0100-0000421C0000}"/>
    <hyperlink ref="I9314" r:id="rId7236" xr:uid="{00000000-0004-0000-0100-0000431C0000}"/>
    <hyperlink ref="I9315" r:id="rId7237" xr:uid="{00000000-0004-0000-0100-0000441C0000}"/>
    <hyperlink ref="I9316" r:id="rId7238" xr:uid="{00000000-0004-0000-0100-0000451C0000}"/>
    <hyperlink ref="I9317" r:id="rId7239" xr:uid="{00000000-0004-0000-0100-0000461C0000}"/>
    <hyperlink ref="I9318" r:id="rId7240" xr:uid="{00000000-0004-0000-0100-0000471C0000}"/>
    <hyperlink ref="I9319" r:id="rId7241" xr:uid="{00000000-0004-0000-0100-0000481C0000}"/>
    <hyperlink ref="I9320" r:id="rId7242" xr:uid="{00000000-0004-0000-0100-0000491C0000}"/>
    <hyperlink ref="I9321" r:id="rId7243" xr:uid="{00000000-0004-0000-0100-00004A1C0000}"/>
    <hyperlink ref="I9322" r:id="rId7244" xr:uid="{00000000-0004-0000-0100-00004B1C0000}"/>
    <hyperlink ref="I9323" r:id="rId7245" xr:uid="{00000000-0004-0000-0100-00004C1C0000}"/>
    <hyperlink ref="I9324" r:id="rId7246" xr:uid="{00000000-0004-0000-0100-00004D1C0000}"/>
    <hyperlink ref="I9325" r:id="rId7247" xr:uid="{00000000-0004-0000-0100-00004E1C0000}"/>
    <hyperlink ref="I9326" r:id="rId7248" xr:uid="{00000000-0004-0000-0100-00004F1C0000}"/>
    <hyperlink ref="I9327" r:id="rId7249" xr:uid="{00000000-0004-0000-0100-0000501C0000}"/>
    <hyperlink ref="I9328" r:id="rId7250" xr:uid="{00000000-0004-0000-0100-0000511C0000}"/>
    <hyperlink ref="I9329" r:id="rId7251" xr:uid="{00000000-0004-0000-0100-0000521C0000}"/>
    <hyperlink ref="I9330" r:id="rId7252" xr:uid="{00000000-0004-0000-0100-0000531C0000}"/>
    <hyperlink ref="I9331" r:id="rId7253" xr:uid="{00000000-0004-0000-0100-0000541C0000}"/>
    <hyperlink ref="I9332" r:id="rId7254" xr:uid="{00000000-0004-0000-0100-0000551C0000}"/>
    <hyperlink ref="I9333" r:id="rId7255" xr:uid="{00000000-0004-0000-0100-0000561C0000}"/>
    <hyperlink ref="I9334" r:id="rId7256" xr:uid="{00000000-0004-0000-0100-0000571C0000}"/>
    <hyperlink ref="I9335" r:id="rId7257" xr:uid="{00000000-0004-0000-0100-0000581C0000}"/>
    <hyperlink ref="I9336" r:id="rId7258" xr:uid="{00000000-0004-0000-0100-0000591C0000}"/>
    <hyperlink ref="I9337" r:id="rId7259" xr:uid="{00000000-0004-0000-0100-00005A1C0000}"/>
    <hyperlink ref="I9338" r:id="rId7260" xr:uid="{00000000-0004-0000-0100-00005B1C0000}"/>
    <hyperlink ref="I9339" r:id="rId7261" xr:uid="{00000000-0004-0000-0100-00005C1C0000}"/>
    <hyperlink ref="I9340" r:id="rId7262" xr:uid="{00000000-0004-0000-0100-00005D1C0000}"/>
    <hyperlink ref="I9341" r:id="rId7263" xr:uid="{00000000-0004-0000-0100-00005E1C0000}"/>
    <hyperlink ref="I9342" r:id="rId7264" xr:uid="{00000000-0004-0000-0100-00005F1C0000}"/>
    <hyperlink ref="I9343" r:id="rId7265" xr:uid="{00000000-0004-0000-0100-0000601C0000}"/>
    <hyperlink ref="I9344" r:id="rId7266" xr:uid="{00000000-0004-0000-0100-0000611C0000}"/>
    <hyperlink ref="I9345" r:id="rId7267" xr:uid="{00000000-0004-0000-0100-0000621C0000}"/>
    <hyperlink ref="I9346" r:id="rId7268" xr:uid="{00000000-0004-0000-0100-0000631C0000}"/>
    <hyperlink ref="I9347" r:id="rId7269" xr:uid="{00000000-0004-0000-0100-0000641C0000}"/>
    <hyperlink ref="I9348" r:id="rId7270" xr:uid="{00000000-0004-0000-0100-0000651C0000}"/>
    <hyperlink ref="I9349" r:id="rId7271" xr:uid="{00000000-0004-0000-0100-0000661C0000}"/>
    <hyperlink ref="I9350" r:id="rId7272" xr:uid="{00000000-0004-0000-0100-0000671C0000}"/>
    <hyperlink ref="I9351" r:id="rId7273" xr:uid="{00000000-0004-0000-0100-0000681C0000}"/>
    <hyperlink ref="I9352" r:id="rId7274" xr:uid="{00000000-0004-0000-0100-0000691C0000}"/>
    <hyperlink ref="I9353" r:id="rId7275" xr:uid="{00000000-0004-0000-0100-00006A1C0000}"/>
    <hyperlink ref="I9354" r:id="rId7276" xr:uid="{00000000-0004-0000-0100-00006B1C0000}"/>
    <hyperlink ref="I9355" r:id="rId7277" xr:uid="{00000000-0004-0000-0100-00006C1C0000}"/>
    <hyperlink ref="I9356" r:id="rId7278" xr:uid="{00000000-0004-0000-0100-00006D1C0000}"/>
    <hyperlink ref="I9357" r:id="rId7279" xr:uid="{00000000-0004-0000-0100-00006E1C0000}"/>
    <hyperlink ref="I9358" r:id="rId7280" xr:uid="{00000000-0004-0000-0100-00006F1C0000}"/>
    <hyperlink ref="I9359" r:id="rId7281" xr:uid="{00000000-0004-0000-0100-0000701C0000}"/>
    <hyperlink ref="I9360" r:id="rId7282" xr:uid="{00000000-0004-0000-0100-0000711C0000}"/>
    <hyperlink ref="I9361" r:id="rId7283" xr:uid="{00000000-0004-0000-0100-0000721C0000}"/>
    <hyperlink ref="I9362" r:id="rId7284" xr:uid="{00000000-0004-0000-0100-0000731C0000}"/>
    <hyperlink ref="I9363" r:id="rId7285" xr:uid="{00000000-0004-0000-0100-0000741C0000}"/>
    <hyperlink ref="I9364" r:id="rId7286" xr:uid="{00000000-0004-0000-0100-0000751C0000}"/>
    <hyperlink ref="I9365" r:id="rId7287" xr:uid="{00000000-0004-0000-0100-0000761C0000}"/>
    <hyperlink ref="I9366" r:id="rId7288" xr:uid="{00000000-0004-0000-0100-0000771C0000}"/>
    <hyperlink ref="I9367" r:id="rId7289" xr:uid="{00000000-0004-0000-0100-0000781C0000}"/>
    <hyperlink ref="I9368" r:id="rId7290" xr:uid="{00000000-0004-0000-0100-0000791C0000}"/>
    <hyperlink ref="I9369" r:id="rId7291" xr:uid="{00000000-0004-0000-0100-00007A1C0000}"/>
    <hyperlink ref="I9370" r:id="rId7292" xr:uid="{00000000-0004-0000-0100-00007B1C0000}"/>
    <hyperlink ref="I9371" r:id="rId7293" xr:uid="{00000000-0004-0000-0100-00007C1C0000}"/>
    <hyperlink ref="I9372" r:id="rId7294" xr:uid="{00000000-0004-0000-0100-00007D1C0000}"/>
    <hyperlink ref="I9373" r:id="rId7295" xr:uid="{00000000-0004-0000-0100-00007E1C0000}"/>
    <hyperlink ref="I9374" r:id="rId7296" xr:uid="{00000000-0004-0000-0100-00007F1C0000}"/>
    <hyperlink ref="I9375" r:id="rId7297" xr:uid="{00000000-0004-0000-0100-0000801C0000}"/>
    <hyperlink ref="I9376" r:id="rId7298" xr:uid="{00000000-0004-0000-0100-0000811C0000}"/>
    <hyperlink ref="I9377" r:id="rId7299" xr:uid="{00000000-0004-0000-0100-0000821C0000}"/>
    <hyperlink ref="I9378" r:id="rId7300" xr:uid="{00000000-0004-0000-0100-0000831C0000}"/>
    <hyperlink ref="I9379" r:id="rId7301" xr:uid="{00000000-0004-0000-0100-0000841C0000}"/>
    <hyperlink ref="I9380" r:id="rId7302" xr:uid="{00000000-0004-0000-0100-0000851C0000}"/>
    <hyperlink ref="I9381" r:id="rId7303" xr:uid="{00000000-0004-0000-0100-0000861C0000}"/>
    <hyperlink ref="I9382" r:id="rId7304" xr:uid="{00000000-0004-0000-0100-0000871C0000}"/>
    <hyperlink ref="I9383" r:id="rId7305" xr:uid="{00000000-0004-0000-0100-0000881C0000}"/>
    <hyperlink ref="I9384" r:id="rId7306" xr:uid="{00000000-0004-0000-0100-0000891C0000}"/>
    <hyperlink ref="I9385" r:id="rId7307" xr:uid="{00000000-0004-0000-0100-00008A1C0000}"/>
    <hyperlink ref="I9386" r:id="rId7308" xr:uid="{00000000-0004-0000-0100-00008B1C0000}"/>
    <hyperlink ref="I9387" r:id="rId7309" xr:uid="{00000000-0004-0000-0100-00008C1C0000}"/>
    <hyperlink ref="I9388" r:id="rId7310" xr:uid="{00000000-0004-0000-0100-00008D1C0000}"/>
    <hyperlink ref="I9389" r:id="rId7311" xr:uid="{00000000-0004-0000-0100-00008E1C0000}"/>
    <hyperlink ref="I9390" r:id="rId7312" xr:uid="{00000000-0004-0000-0100-00008F1C0000}"/>
    <hyperlink ref="I9391" r:id="rId7313" xr:uid="{00000000-0004-0000-0100-0000901C0000}"/>
    <hyperlink ref="I9392" r:id="rId7314" xr:uid="{00000000-0004-0000-0100-0000911C0000}"/>
    <hyperlink ref="I9393" r:id="rId7315" xr:uid="{00000000-0004-0000-0100-0000921C0000}"/>
    <hyperlink ref="I9394" r:id="rId7316" xr:uid="{00000000-0004-0000-0100-0000931C0000}"/>
    <hyperlink ref="I9395" r:id="rId7317" xr:uid="{00000000-0004-0000-0100-0000941C0000}"/>
    <hyperlink ref="I9396" r:id="rId7318" xr:uid="{00000000-0004-0000-0100-0000951C0000}"/>
    <hyperlink ref="I9397" r:id="rId7319" xr:uid="{00000000-0004-0000-0100-0000961C0000}"/>
    <hyperlink ref="I9398" r:id="rId7320" xr:uid="{00000000-0004-0000-0100-0000971C0000}"/>
    <hyperlink ref="I9399" r:id="rId7321" xr:uid="{00000000-0004-0000-0100-0000981C0000}"/>
    <hyperlink ref="I9400" r:id="rId7322" xr:uid="{00000000-0004-0000-0100-0000991C0000}"/>
    <hyperlink ref="I9401" r:id="rId7323" xr:uid="{00000000-0004-0000-0100-00009A1C0000}"/>
    <hyperlink ref="I9402" r:id="rId7324" xr:uid="{00000000-0004-0000-0100-00009B1C0000}"/>
    <hyperlink ref="I9403" r:id="rId7325" xr:uid="{00000000-0004-0000-0100-00009C1C0000}"/>
    <hyperlink ref="I9404" r:id="rId7326" xr:uid="{00000000-0004-0000-0100-00009D1C0000}"/>
    <hyperlink ref="I9405" r:id="rId7327" xr:uid="{00000000-0004-0000-0100-00009E1C0000}"/>
    <hyperlink ref="I9406" r:id="rId7328" xr:uid="{00000000-0004-0000-0100-00009F1C0000}"/>
    <hyperlink ref="I9407" r:id="rId7329" xr:uid="{00000000-0004-0000-0100-0000A01C0000}"/>
    <hyperlink ref="I9408" r:id="rId7330" xr:uid="{00000000-0004-0000-0100-0000A11C0000}"/>
    <hyperlink ref="I9409" r:id="rId7331" xr:uid="{00000000-0004-0000-0100-0000A21C0000}"/>
    <hyperlink ref="I9410" r:id="rId7332" xr:uid="{00000000-0004-0000-0100-0000A31C0000}"/>
    <hyperlink ref="I9411" r:id="rId7333" xr:uid="{00000000-0004-0000-0100-0000A41C0000}"/>
    <hyperlink ref="I9412" r:id="rId7334" xr:uid="{00000000-0004-0000-0100-0000A51C0000}"/>
    <hyperlink ref="I9413" r:id="rId7335" xr:uid="{00000000-0004-0000-0100-0000A61C0000}"/>
    <hyperlink ref="I9414" r:id="rId7336" xr:uid="{00000000-0004-0000-0100-0000A71C0000}"/>
    <hyperlink ref="I9415" r:id="rId7337" xr:uid="{00000000-0004-0000-0100-0000A81C0000}"/>
    <hyperlink ref="I9416" r:id="rId7338" xr:uid="{00000000-0004-0000-0100-0000A91C0000}"/>
    <hyperlink ref="I9417" r:id="rId7339" xr:uid="{00000000-0004-0000-0100-0000AA1C0000}"/>
    <hyperlink ref="I9418" r:id="rId7340" xr:uid="{00000000-0004-0000-0100-0000AB1C0000}"/>
    <hyperlink ref="I9419" r:id="rId7341" xr:uid="{00000000-0004-0000-0100-0000AC1C0000}"/>
    <hyperlink ref="I9420" r:id="rId7342" xr:uid="{00000000-0004-0000-0100-0000AD1C0000}"/>
    <hyperlink ref="I9421" r:id="rId7343" xr:uid="{00000000-0004-0000-0100-0000AE1C0000}"/>
    <hyperlink ref="I9422" r:id="rId7344" xr:uid="{00000000-0004-0000-0100-0000AF1C0000}"/>
    <hyperlink ref="I9423" r:id="rId7345" xr:uid="{00000000-0004-0000-0100-0000B01C0000}"/>
    <hyperlink ref="I9424" r:id="rId7346" xr:uid="{00000000-0004-0000-0100-0000B11C0000}"/>
    <hyperlink ref="I9425" r:id="rId7347" xr:uid="{00000000-0004-0000-0100-0000B21C0000}"/>
    <hyperlink ref="I9426" r:id="rId7348" xr:uid="{00000000-0004-0000-0100-0000B31C0000}"/>
    <hyperlink ref="I9427" r:id="rId7349" xr:uid="{00000000-0004-0000-0100-0000B41C0000}"/>
    <hyperlink ref="I9428" r:id="rId7350" xr:uid="{00000000-0004-0000-0100-0000B51C0000}"/>
    <hyperlink ref="I9429" r:id="rId7351" xr:uid="{00000000-0004-0000-0100-0000B61C0000}"/>
    <hyperlink ref="I9430" r:id="rId7352" xr:uid="{00000000-0004-0000-0100-0000B71C0000}"/>
    <hyperlink ref="I9431" r:id="rId7353" xr:uid="{00000000-0004-0000-0100-0000B81C0000}"/>
    <hyperlink ref="I9432" r:id="rId7354" xr:uid="{00000000-0004-0000-0100-0000B91C0000}"/>
    <hyperlink ref="I9433" r:id="rId7355" xr:uid="{00000000-0004-0000-0100-0000BA1C0000}"/>
    <hyperlink ref="I9434" r:id="rId7356" xr:uid="{00000000-0004-0000-0100-0000BB1C0000}"/>
    <hyperlink ref="I9435" r:id="rId7357" xr:uid="{00000000-0004-0000-0100-0000BC1C0000}"/>
    <hyperlink ref="I9436" r:id="rId7358" xr:uid="{00000000-0004-0000-0100-0000BD1C0000}"/>
    <hyperlink ref="I9437" r:id="rId7359" xr:uid="{00000000-0004-0000-0100-0000BE1C0000}"/>
    <hyperlink ref="I9438" r:id="rId7360" xr:uid="{00000000-0004-0000-0100-0000BF1C0000}"/>
    <hyperlink ref="I9439" r:id="rId7361" xr:uid="{00000000-0004-0000-0100-0000C01C0000}"/>
    <hyperlink ref="I9440" r:id="rId7362" xr:uid="{00000000-0004-0000-0100-0000C11C0000}"/>
    <hyperlink ref="I9441" r:id="rId7363" xr:uid="{00000000-0004-0000-0100-0000C21C0000}"/>
    <hyperlink ref="I9442" r:id="rId7364" xr:uid="{00000000-0004-0000-0100-0000C31C0000}"/>
    <hyperlink ref="I9443" r:id="rId7365" xr:uid="{00000000-0004-0000-0100-0000C41C0000}"/>
    <hyperlink ref="I9444" r:id="rId7366" xr:uid="{00000000-0004-0000-0100-0000C51C0000}"/>
    <hyperlink ref="I9445" r:id="rId7367" xr:uid="{00000000-0004-0000-0100-0000C61C0000}"/>
    <hyperlink ref="I9446" r:id="rId7368" xr:uid="{00000000-0004-0000-0100-0000C71C0000}"/>
    <hyperlink ref="I9447" r:id="rId7369" xr:uid="{00000000-0004-0000-0100-0000C81C0000}"/>
    <hyperlink ref="I9448" r:id="rId7370" xr:uid="{00000000-0004-0000-0100-0000C91C0000}"/>
    <hyperlink ref="I9449" r:id="rId7371" xr:uid="{00000000-0004-0000-0100-0000CA1C0000}"/>
    <hyperlink ref="I9450" r:id="rId7372" xr:uid="{00000000-0004-0000-0100-0000CB1C0000}"/>
    <hyperlink ref="I9451" r:id="rId7373" xr:uid="{00000000-0004-0000-0100-0000CC1C0000}"/>
    <hyperlink ref="I9452" r:id="rId7374" xr:uid="{00000000-0004-0000-0100-0000CD1C0000}"/>
    <hyperlink ref="I9453" r:id="rId7375" xr:uid="{00000000-0004-0000-0100-0000CE1C0000}"/>
    <hyperlink ref="I9454" r:id="rId7376" xr:uid="{00000000-0004-0000-0100-0000CF1C0000}"/>
    <hyperlink ref="I9455" r:id="rId7377" xr:uid="{00000000-0004-0000-0100-0000D01C0000}"/>
    <hyperlink ref="I9456" r:id="rId7378" xr:uid="{00000000-0004-0000-0100-0000D11C0000}"/>
    <hyperlink ref="I9457" r:id="rId7379" xr:uid="{00000000-0004-0000-0100-0000D21C0000}"/>
    <hyperlink ref="I9458" r:id="rId7380" xr:uid="{00000000-0004-0000-0100-0000D31C0000}"/>
    <hyperlink ref="I9459" r:id="rId7381" xr:uid="{00000000-0004-0000-0100-0000D41C0000}"/>
    <hyperlink ref="I9460" r:id="rId7382" xr:uid="{00000000-0004-0000-0100-0000D51C0000}"/>
    <hyperlink ref="I9461" r:id="rId7383" xr:uid="{00000000-0004-0000-0100-0000D61C0000}"/>
    <hyperlink ref="I9462" r:id="rId7384" xr:uid="{00000000-0004-0000-0100-0000D71C0000}"/>
    <hyperlink ref="I9463" r:id="rId7385" xr:uid="{00000000-0004-0000-0100-0000D81C0000}"/>
    <hyperlink ref="I9464" r:id="rId7386" xr:uid="{00000000-0004-0000-0100-0000D91C0000}"/>
    <hyperlink ref="I9465" r:id="rId7387" xr:uid="{00000000-0004-0000-0100-0000DA1C0000}"/>
    <hyperlink ref="I9466" r:id="rId7388" xr:uid="{00000000-0004-0000-0100-0000DB1C0000}"/>
    <hyperlink ref="I9467" r:id="rId7389" xr:uid="{00000000-0004-0000-0100-0000DC1C0000}"/>
    <hyperlink ref="I9468" r:id="rId7390" xr:uid="{00000000-0004-0000-0100-0000DD1C0000}"/>
    <hyperlink ref="I9469" r:id="rId7391" xr:uid="{00000000-0004-0000-0100-0000DE1C0000}"/>
    <hyperlink ref="I9470" r:id="rId7392" xr:uid="{00000000-0004-0000-0100-0000DF1C0000}"/>
    <hyperlink ref="I9471" r:id="rId7393" xr:uid="{00000000-0004-0000-0100-0000E01C0000}"/>
    <hyperlink ref="I9472" r:id="rId7394" xr:uid="{00000000-0004-0000-0100-0000E11C0000}"/>
    <hyperlink ref="I9473" r:id="rId7395" xr:uid="{00000000-0004-0000-0100-0000E21C0000}"/>
    <hyperlink ref="I9474" r:id="rId7396" xr:uid="{00000000-0004-0000-0100-0000E31C0000}"/>
    <hyperlink ref="I9475" r:id="rId7397" xr:uid="{00000000-0004-0000-0100-0000E41C0000}"/>
    <hyperlink ref="I9476" r:id="rId7398" xr:uid="{00000000-0004-0000-0100-0000E51C0000}"/>
    <hyperlink ref="I9477" r:id="rId7399" xr:uid="{00000000-0004-0000-0100-0000E61C0000}"/>
    <hyperlink ref="I9478" r:id="rId7400" xr:uid="{00000000-0004-0000-0100-0000E71C0000}"/>
    <hyperlink ref="I9479" r:id="rId7401" xr:uid="{00000000-0004-0000-0100-0000E81C0000}"/>
    <hyperlink ref="I9480" r:id="rId7402" xr:uid="{00000000-0004-0000-0100-0000E91C0000}"/>
    <hyperlink ref="I9481" r:id="rId7403" xr:uid="{00000000-0004-0000-0100-0000EA1C0000}"/>
    <hyperlink ref="I9482" r:id="rId7404" xr:uid="{00000000-0004-0000-0100-0000EB1C0000}"/>
    <hyperlink ref="I9483" r:id="rId7405" xr:uid="{00000000-0004-0000-0100-0000EC1C0000}"/>
    <hyperlink ref="I9484" r:id="rId7406" xr:uid="{00000000-0004-0000-0100-0000ED1C0000}"/>
    <hyperlink ref="I9485" r:id="rId7407" xr:uid="{00000000-0004-0000-0100-0000EE1C0000}"/>
    <hyperlink ref="I9486" r:id="rId7408" xr:uid="{00000000-0004-0000-0100-0000EF1C0000}"/>
    <hyperlink ref="I9487" r:id="rId7409" xr:uid="{00000000-0004-0000-0100-0000F01C0000}"/>
    <hyperlink ref="I9488" r:id="rId7410" xr:uid="{00000000-0004-0000-0100-0000F11C0000}"/>
    <hyperlink ref="I9489" r:id="rId7411" xr:uid="{00000000-0004-0000-0100-0000F21C0000}"/>
    <hyperlink ref="I9490" r:id="rId7412" xr:uid="{00000000-0004-0000-0100-0000F31C0000}"/>
    <hyperlink ref="I9491" r:id="rId7413" xr:uid="{00000000-0004-0000-0100-0000F41C0000}"/>
    <hyperlink ref="I9492" r:id="rId7414" xr:uid="{00000000-0004-0000-0100-0000F51C0000}"/>
    <hyperlink ref="I9493" r:id="rId7415" xr:uid="{00000000-0004-0000-0100-0000F61C0000}"/>
    <hyperlink ref="I9494" r:id="rId7416" xr:uid="{00000000-0004-0000-0100-0000F71C0000}"/>
    <hyperlink ref="I9495" r:id="rId7417" xr:uid="{00000000-0004-0000-0100-0000F81C0000}"/>
    <hyperlink ref="I9496" r:id="rId7418" xr:uid="{00000000-0004-0000-0100-0000F91C0000}"/>
    <hyperlink ref="I9497" r:id="rId7419" xr:uid="{00000000-0004-0000-0100-0000FA1C0000}"/>
    <hyperlink ref="I9498" r:id="rId7420" xr:uid="{00000000-0004-0000-0100-0000FB1C0000}"/>
    <hyperlink ref="I9499" r:id="rId7421" xr:uid="{00000000-0004-0000-0100-0000FC1C0000}"/>
    <hyperlink ref="I9500" r:id="rId7422" xr:uid="{00000000-0004-0000-0100-0000FD1C0000}"/>
    <hyperlink ref="I9501" r:id="rId7423" xr:uid="{00000000-0004-0000-0100-0000FE1C0000}"/>
    <hyperlink ref="I9502" r:id="rId7424" xr:uid="{00000000-0004-0000-0100-0000FF1C0000}"/>
    <hyperlink ref="I9503" r:id="rId7425" xr:uid="{00000000-0004-0000-0100-0000001D0000}"/>
    <hyperlink ref="I9504" r:id="rId7426" xr:uid="{00000000-0004-0000-0100-0000011D0000}"/>
    <hyperlink ref="I9505" r:id="rId7427" xr:uid="{00000000-0004-0000-0100-0000021D0000}"/>
    <hyperlink ref="I9506" r:id="rId7428" xr:uid="{00000000-0004-0000-0100-0000031D0000}"/>
    <hyperlink ref="I9507" r:id="rId7429" xr:uid="{00000000-0004-0000-0100-0000041D0000}"/>
    <hyperlink ref="I9508" r:id="rId7430" xr:uid="{00000000-0004-0000-0100-0000051D0000}"/>
    <hyperlink ref="I9509" r:id="rId7431" xr:uid="{00000000-0004-0000-0100-0000061D0000}"/>
    <hyperlink ref="I9510" r:id="rId7432" xr:uid="{00000000-0004-0000-0100-0000071D0000}"/>
    <hyperlink ref="I9511" r:id="rId7433" xr:uid="{00000000-0004-0000-0100-0000081D0000}"/>
    <hyperlink ref="I9512" r:id="rId7434" xr:uid="{00000000-0004-0000-0100-0000091D0000}"/>
    <hyperlink ref="I9513" r:id="rId7435" xr:uid="{00000000-0004-0000-0100-00000A1D0000}"/>
    <hyperlink ref="I9514" r:id="rId7436" xr:uid="{00000000-0004-0000-0100-00000B1D0000}"/>
    <hyperlink ref="I9515" r:id="rId7437" xr:uid="{00000000-0004-0000-0100-00000C1D0000}"/>
    <hyperlink ref="I9516" r:id="rId7438" xr:uid="{00000000-0004-0000-0100-00000D1D0000}"/>
    <hyperlink ref="I9517" r:id="rId7439" xr:uid="{00000000-0004-0000-0100-00000E1D0000}"/>
    <hyperlink ref="I9518" r:id="rId7440" xr:uid="{00000000-0004-0000-0100-00000F1D0000}"/>
    <hyperlink ref="I9519" r:id="rId7441" xr:uid="{00000000-0004-0000-0100-0000101D0000}"/>
    <hyperlink ref="I9520" r:id="rId7442" xr:uid="{00000000-0004-0000-0100-0000111D0000}"/>
    <hyperlink ref="I9521" r:id="rId7443" xr:uid="{00000000-0004-0000-0100-0000121D0000}"/>
    <hyperlink ref="I9522" r:id="rId7444" xr:uid="{00000000-0004-0000-0100-0000131D0000}"/>
    <hyperlink ref="I9523" r:id="rId7445" xr:uid="{00000000-0004-0000-0100-0000141D0000}"/>
    <hyperlink ref="I9524" r:id="rId7446" xr:uid="{00000000-0004-0000-0100-0000151D0000}"/>
    <hyperlink ref="I9525" r:id="rId7447" xr:uid="{00000000-0004-0000-0100-0000161D0000}"/>
    <hyperlink ref="I9526" r:id="rId7448" xr:uid="{00000000-0004-0000-0100-0000171D0000}"/>
    <hyperlink ref="I9527" r:id="rId7449" xr:uid="{00000000-0004-0000-0100-0000181D0000}"/>
    <hyperlink ref="I9528" r:id="rId7450" xr:uid="{00000000-0004-0000-0100-0000191D0000}"/>
    <hyperlink ref="I9529" r:id="rId7451" xr:uid="{00000000-0004-0000-0100-00001A1D0000}"/>
    <hyperlink ref="I9530" r:id="rId7452" xr:uid="{00000000-0004-0000-0100-00001B1D0000}"/>
    <hyperlink ref="I9531" r:id="rId7453" xr:uid="{00000000-0004-0000-0100-00001C1D0000}"/>
    <hyperlink ref="I9532" r:id="rId7454" xr:uid="{00000000-0004-0000-0100-00001D1D0000}"/>
    <hyperlink ref="I9533" r:id="rId7455" xr:uid="{00000000-0004-0000-0100-00001E1D0000}"/>
    <hyperlink ref="I9534" r:id="rId7456" xr:uid="{00000000-0004-0000-0100-00001F1D0000}"/>
    <hyperlink ref="I9535" r:id="rId7457" xr:uid="{00000000-0004-0000-0100-0000201D0000}"/>
    <hyperlink ref="I9536" r:id="rId7458" xr:uid="{00000000-0004-0000-0100-0000211D0000}"/>
    <hyperlink ref="I9537" r:id="rId7459" xr:uid="{00000000-0004-0000-0100-0000221D0000}"/>
    <hyperlink ref="I9538" r:id="rId7460" xr:uid="{00000000-0004-0000-0100-0000231D0000}"/>
    <hyperlink ref="I9539" r:id="rId7461" xr:uid="{00000000-0004-0000-0100-0000241D0000}"/>
    <hyperlink ref="I9540" r:id="rId7462" xr:uid="{00000000-0004-0000-0100-0000251D0000}"/>
    <hyperlink ref="I9541" r:id="rId7463" xr:uid="{00000000-0004-0000-0100-0000261D0000}"/>
    <hyperlink ref="I9542" r:id="rId7464" xr:uid="{00000000-0004-0000-0100-0000271D0000}"/>
    <hyperlink ref="I9543" r:id="rId7465" xr:uid="{00000000-0004-0000-0100-0000281D0000}"/>
    <hyperlink ref="I9544" r:id="rId7466" xr:uid="{00000000-0004-0000-0100-0000291D0000}"/>
    <hyperlink ref="I9545" r:id="rId7467" xr:uid="{00000000-0004-0000-0100-00002A1D0000}"/>
    <hyperlink ref="I9546" r:id="rId7468" xr:uid="{00000000-0004-0000-0100-00002B1D0000}"/>
    <hyperlink ref="I9547" r:id="rId7469" xr:uid="{00000000-0004-0000-0100-00002C1D0000}"/>
    <hyperlink ref="I9548" r:id="rId7470" xr:uid="{00000000-0004-0000-0100-00002D1D0000}"/>
    <hyperlink ref="I9549" r:id="rId7471" xr:uid="{00000000-0004-0000-0100-00002E1D0000}"/>
    <hyperlink ref="I9550" r:id="rId7472" xr:uid="{00000000-0004-0000-0100-00002F1D0000}"/>
    <hyperlink ref="I9551" r:id="rId7473" xr:uid="{00000000-0004-0000-0100-0000301D0000}"/>
    <hyperlink ref="I9552" r:id="rId7474" xr:uid="{00000000-0004-0000-0100-0000311D0000}"/>
    <hyperlink ref="I9553" r:id="rId7475" xr:uid="{00000000-0004-0000-0100-0000321D0000}"/>
    <hyperlink ref="I9554" r:id="rId7476" xr:uid="{00000000-0004-0000-0100-0000331D0000}"/>
    <hyperlink ref="I9555" r:id="rId7477" xr:uid="{00000000-0004-0000-0100-0000341D0000}"/>
    <hyperlink ref="I9556" r:id="rId7478" xr:uid="{00000000-0004-0000-0100-0000351D0000}"/>
    <hyperlink ref="I9557" r:id="rId7479" xr:uid="{00000000-0004-0000-0100-0000361D0000}"/>
    <hyperlink ref="I9558" r:id="rId7480" xr:uid="{00000000-0004-0000-0100-0000371D0000}"/>
    <hyperlink ref="I9559" r:id="rId7481" xr:uid="{00000000-0004-0000-0100-0000381D0000}"/>
    <hyperlink ref="I9560" r:id="rId7482" xr:uid="{00000000-0004-0000-0100-0000391D0000}"/>
    <hyperlink ref="I9561" r:id="rId7483" xr:uid="{00000000-0004-0000-0100-00003A1D0000}"/>
    <hyperlink ref="I9562" r:id="rId7484" xr:uid="{00000000-0004-0000-0100-00003B1D0000}"/>
    <hyperlink ref="I9563" r:id="rId7485" xr:uid="{00000000-0004-0000-0100-00003C1D0000}"/>
    <hyperlink ref="I9564" r:id="rId7486" xr:uid="{00000000-0004-0000-0100-00003D1D0000}"/>
    <hyperlink ref="I9565" r:id="rId7487" xr:uid="{00000000-0004-0000-0100-00003E1D0000}"/>
    <hyperlink ref="I9566" r:id="rId7488" xr:uid="{00000000-0004-0000-0100-00003F1D0000}"/>
    <hyperlink ref="I9567" r:id="rId7489" xr:uid="{00000000-0004-0000-0100-0000401D0000}"/>
    <hyperlink ref="I9568" r:id="rId7490" xr:uid="{00000000-0004-0000-0100-0000411D0000}"/>
    <hyperlink ref="I9569" r:id="rId7491" xr:uid="{00000000-0004-0000-0100-0000421D0000}"/>
    <hyperlink ref="I9570" r:id="rId7492" xr:uid="{00000000-0004-0000-0100-0000431D0000}"/>
    <hyperlink ref="I9571" r:id="rId7493" xr:uid="{00000000-0004-0000-0100-0000441D0000}"/>
    <hyperlink ref="I9572" r:id="rId7494" xr:uid="{00000000-0004-0000-0100-0000451D0000}"/>
    <hyperlink ref="I9573" r:id="rId7495" xr:uid="{00000000-0004-0000-0100-0000461D0000}"/>
    <hyperlink ref="I9574" r:id="rId7496" xr:uid="{00000000-0004-0000-0100-0000471D0000}"/>
    <hyperlink ref="I9575" r:id="rId7497" xr:uid="{00000000-0004-0000-0100-0000481D0000}"/>
    <hyperlink ref="I9576" r:id="rId7498" xr:uid="{00000000-0004-0000-0100-0000491D0000}"/>
    <hyperlink ref="I9577" r:id="rId7499" xr:uid="{00000000-0004-0000-0100-00004A1D0000}"/>
    <hyperlink ref="I9578" r:id="rId7500" xr:uid="{00000000-0004-0000-0100-00004B1D0000}"/>
    <hyperlink ref="I9579" r:id="rId7501" xr:uid="{00000000-0004-0000-0100-00004C1D0000}"/>
    <hyperlink ref="I9580" r:id="rId7502" xr:uid="{00000000-0004-0000-0100-00004D1D0000}"/>
    <hyperlink ref="I9581" r:id="rId7503" xr:uid="{00000000-0004-0000-0100-00004E1D0000}"/>
    <hyperlink ref="I9582" r:id="rId7504" xr:uid="{00000000-0004-0000-0100-00004F1D0000}"/>
    <hyperlink ref="I9583" r:id="rId7505" xr:uid="{00000000-0004-0000-0100-0000501D0000}"/>
    <hyperlink ref="I9584" r:id="rId7506" xr:uid="{00000000-0004-0000-0100-0000511D0000}"/>
    <hyperlink ref="I9585" r:id="rId7507" xr:uid="{00000000-0004-0000-0100-0000521D0000}"/>
    <hyperlink ref="I9586" r:id="rId7508" xr:uid="{00000000-0004-0000-0100-0000531D0000}"/>
    <hyperlink ref="I9587" r:id="rId7509" xr:uid="{00000000-0004-0000-0100-0000541D0000}"/>
    <hyperlink ref="I9588" r:id="rId7510" xr:uid="{00000000-0004-0000-0100-0000551D0000}"/>
    <hyperlink ref="I9589" r:id="rId7511" xr:uid="{00000000-0004-0000-0100-0000561D0000}"/>
    <hyperlink ref="I9590" r:id="rId7512" xr:uid="{00000000-0004-0000-0100-0000571D0000}"/>
    <hyperlink ref="I9591" r:id="rId7513" xr:uid="{00000000-0004-0000-0100-0000581D0000}"/>
    <hyperlink ref="I9592" r:id="rId7514" xr:uid="{00000000-0004-0000-0100-0000591D0000}"/>
    <hyperlink ref="I9593" r:id="rId7515" xr:uid="{00000000-0004-0000-0100-00005A1D0000}"/>
    <hyperlink ref="I9594" r:id="rId7516" xr:uid="{00000000-0004-0000-0100-00005B1D0000}"/>
    <hyperlink ref="I9595" r:id="rId7517" xr:uid="{00000000-0004-0000-0100-00005C1D0000}"/>
    <hyperlink ref="I9596" r:id="rId7518" xr:uid="{00000000-0004-0000-0100-00005D1D0000}"/>
    <hyperlink ref="I9597" r:id="rId7519" xr:uid="{00000000-0004-0000-0100-00005E1D0000}"/>
    <hyperlink ref="I9598" r:id="rId7520" xr:uid="{00000000-0004-0000-0100-00005F1D0000}"/>
    <hyperlink ref="I9599" r:id="rId7521" xr:uid="{00000000-0004-0000-0100-0000601D0000}"/>
    <hyperlink ref="I9600" r:id="rId7522" xr:uid="{00000000-0004-0000-0100-0000611D0000}"/>
    <hyperlink ref="I9601" r:id="rId7523" xr:uid="{00000000-0004-0000-0100-0000621D0000}"/>
    <hyperlink ref="I9602" r:id="rId7524" xr:uid="{00000000-0004-0000-0100-0000631D0000}"/>
    <hyperlink ref="I9603" r:id="rId7525" xr:uid="{00000000-0004-0000-0100-0000641D0000}"/>
    <hyperlink ref="I9604" r:id="rId7526" xr:uid="{00000000-0004-0000-0100-0000651D0000}"/>
    <hyperlink ref="I9605" r:id="rId7527" xr:uid="{00000000-0004-0000-0100-0000661D0000}"/>
    <hyperlink ref="I9606" r:id="rId7528" xr:uid="{00000000-0004-0000-0100-0000671D0000}"/>
    <hyperlink ref="I9607" r:id="rId7529" xr:uid="{00000000-0004-0000-0100-0000681D0000}"/>
    <hyperlink ref="I9608" r:id="rId7530" xr:uid="{00000000-0004-0000-0100-0000691D0000}"/>
    <hyperlink ref="I9609" r:id="rId7531" xr:uid="{00000000-0004-0000-0100-00006A1D0000}"/>
    <hyperlink ref="I9610" r:id="rId7532" xr:uid="{00000000-0004-0000-0100-00006B1D0000}"/>
    <hyperlink ref="I9611" r:id="rId7533" xr:uid="{00000000-0004-0000-0100-00006C1D0000}"/>
    <hyperlink ref="I9612" r:id="rId7534" xr:uid="{00000000-0004-0000-0100-00006D1D0000}"/>
    <hyperlink ref="I9613" r:id="rId7535" xr:uid="{00000000-0004-0000-0100-00006E1D0000}"/>
    <hyperlink ref="I9614" r:id="rId7536" xr:uid="{00000000-0004-0000-0100-00006F1D0000}"/>
    <hyperlink ref="I9615" r:id="rId7537" xr:uid="{00000000-0004-0000-0100-0000701D0000}"/>
    <hyperlink ref="I9616" r:id="rId7538" xr:uid="{00000000-0004-0000-0100-0000711D0000}"/>
    <hyperlink ref="I9617" r:id="rId7539" xr:uid="{00000000-0004-0000-0100-0000721D0000}"/>
    <hyperlink ref="I9618" r:id="rId7540" xr:uid="{00000000-0004-0000-0100-0000731D0000}"/>
    <hyperlink ref="I9619" r:id="rId7541" xr:uid="{00000000-0004-0000-0100-0000741D0000}"/>
    <hyperlink ref="I9620" r:id="rId7542" xr:uid="{00000000-0004-0000-0100-0000751D0000}"/>
    <hyperlink ref="I9621" r:id="rId7543" xr:uid="{00000000-0004-0000-0100-0000761D0000}"/>
    <hyperlink ref="I9622" r:id="rId7544" xr:uid="{00000000-0004-0000-0100-0000771D0000}"/>
    <hyperlink ref="I9623" r:id="rId7545" xr:uid="{00000000-0004-0000-0100-0000781D0000}"/>
    <hyperlink ref="I9624" r:id="rId7546" xr:uid="{00000000-0004-0000-0100-0000791D0000}"/>
    <hyperlink ref="I9625" r:id="rId7547" xr:uid="{00000000-0004-0000-0100-00007A1D0000}"/>
    <hyperlink ref="I9626" r:id="rId7548" xr:uid="{00000000-0004-0000-0100-00007B1D0000}"/>
    <hyperlink ref="I9627" r:id="rId7549" xr:uid="{00000000-0004-0000-0100-00007C1D0000}"/>
    <hyperlink ref="I9628" r:id="rId7550" xr:uid="{00000000-0004-0000-0100-00007D1D0000}"/>
    <hyperlink ref="I9629" r:id="rId7551" xr:uid="{00000000-0004-0000-0100-00007E1D0000}"/>
    <hyperlink ref="I9630" r:id="rId7552" xr:uid="{00000000-0004-0000-0100-00007F1D0000}"/>
    <hyperlink ref="I9631" r:id="rId7553" xr:uid="{00000000-0004-0000-0100-0000801D0000}"/>
    <hyperlink ref="I9632" r:id="rId7554" xr:uid="{00000000-0004-0000-0100-0000811D0000}"/>
    <hyperlink ref="I9633" r:id="rId7555" xr:uid="{00000000-0004-0000-0100-0000821D0000}"/>
    <hyperlink ref="I9634" r:id="rId7556" xr:uid="{00000000-0004-0000-0100-0000831D0000}"/>
    <hyperlink ref="I9635" r:id="rId7557" xr:uid="{00000000-0004-0000-0100-0000841D0000}"/>
    <hyperlink ref="I9636" r:id="rId7558" xr:uid="{00000000-0004-0000-0100-0000851D0000}"/>
    <hyperlink ref="I9637" r:id="rId7559" xr:uid="{00000000-0004-0000-0100-0000861D0000}"/>
    <hyperlink ref="I9638" r:id="rId7560" xr:uid="{00000000-0004-0000-0100-0000871D0000}"/>
    <hyperlink ref="I9639" r:id="rId7561" xr:uid="{00000000-0004-0000-0100-0000881D0000}"/>
    <hyperlink ref="I9640" r:id="rId7562" xr:uid="{00000000-0004-0000-0100-0000891D0000}"/>
    <hyperlink ref="I9641" r:id="rId7563" xr:uid="{00000000-0004-0000-0100-00008A1D0000}"/>
    <hyperlink ref="I9642" r:id="rId7564" xr:uid="{00000000-0004-0000-0100-00008B1D0000}"/>
    <hyperlink ref="I9643" r:id="rId7565" xr:uid="{00000000-0004-0000-0100-00008C1D0000}"/>
    <hyperlink ref="I9644" r:id="rId7566" xr:uid="{00000000-0004-0000-0100-00008D1D0000}"/>
    <hyperlink ref="I9645" r:id="rId7567" xr:uid="{00000000-0004-0000-0100-00008E1D0000}"/>
    <hyperlink ref="I9646" r:id="rId7568" xr:uid="{00000000-0004-0000-0100-00008F1D0000}"/>
    <hyperlink ref="I9647" r:id="rId7569" xr:uid="{00000000-0004-0000-0100-0000901D0000}"/>
    <hyperlink ref="I9648" r:id="rId7570" xr:uid="{00000000-0004-0000-0100-0000911D0000}"/>
    <hyperlink ref="I9649" r:id="rId7571" xr:uid="{00000000-0004-0000-0100-0000921D0000}"/>
    <hyperlink ref="I9650" r:id="rId7572" xr:uid="{00000000-0004-0000-0100-0000931D0000}"/>
    <hyperlink ref="I9651" r:id="rId7573" xr:uid="{00000000-0004-0000-0100-0000941D0000}"/>
    <hyperlink ref="I9652" r:id="rId7574" xr:uid="{00000000-0004-0000-0100-0000951D0000}"/>
    <hyperlink ref="I9653" r:id="rId7575" xr:uid="{00000000-0004-0000-0100-0000961D0000}"/>
    <hyperlink ref="I9654" r:id="rId7576" xr:uid="{00000000-0004-0000-0100-0000971D0000}"/>
    <hyperlink ref="I9655" r:id="rId7577" xr:uid="{00000000-0004-0000-0100-0000981D0000}"/>
    <hyperlink ref="I9656" r:id="rId7578" xr:uid="{00000000-0004-0000-0100-0000991D0000}"/>
    <hyperlink ref="I9657" r:id="rId7579" xr:uid="{00000000-0004-0000-0100-00009A1D0000}"/>
    <hyperlink ref="I9658" r:id="rId7580" xr:uid="{00000000-0004-0000-0100-00009B1D0000}"/>
    <hyperlink ref="I9659" r:id="rId7581" xr:uid="{00000000-0004-0000-0100-00009C1D0000}"/>
    <hyperlink ref="I9660" r:id="rId7582" xr:uid="{00000000-0004-0000-0100-00009D1D0000}"/>
    <hyperlink ref="I9661" r:id="rId7583" xr:uid="{00000000-0004-0000-0100-00009E1D0000}"/>
    <hyperlink ref="I9662" r:id="rId7584" xr:uid="{00000000-0004-0000-0100-00009F1D0000}"/>
    <hyperlink ref="I9663" r:id="rId7585" xr:uid="{00000000-0004-0000-0100-0000A01D0000}"/>
    <hyperlink ref="I9664" r:id="rId7586" xr:uid="{00000000-0004-0000-0100-0000A11D0000}"/>
    <hyperlink ref="I9665" r:id="rId7587" xr:uid="{00000000-0004-0000-0100-0000A21D0000}"/>
    <hyperlink ref="I9666" r:id="rId7588" xr:uid="{00000000-0004-0000-0100-0000A31D0000}"/>
    <hyperlink ref="I9667" r:id="rId7589" xr:uid="{00000000-0004-0000-0100-0000A41D0000}"/>
    <hyperlink ref="I9668" r:id="rId7590" xr:uid="{00000000-0004-0000-0100-0000A51D0000}"/>
    <hyperlink ref="I9669" r:id="rId7591" xr:uid="{00000000-0004-0000-0100-0000A61D0000}"/>
    <hyperlink ref="I9670" r:id="rId7592" xr:uid="{00000000-0004-0000-0100-0000A71D0000}"/>
    <hyperlink ref="I9671" r:id="rId7593" xr:uid="{00000000-0004-0000-0100-0000A81D0000}"/>
    <hyperlink ref="I9672" r:id="rId7594" xr:uid="{00000000-0004-0000-0100-0000A91D0000}"/>
    <hyperlink ref="I9673" r:id="rId7595" xr:uid="{00000000-0004-0000-0100-0000AA1D0000}"/>
    <hyperlink ref="I9674" r:id="rId7596" xr:uid="{00000000-0004-0000-0100-0000AB1D0000}"/>
    <hyperlink ref="I9675" r:id="rId7597" xr:uid="{00000000-0004-0000-0100-0000AC1D0000}"/>
    <hyperlink ref="I9676" r:id="rId7598" xr:uid="{00000000-0004-0000-0100-0000AD1D0000}"/>
    <hyperlink ref="I9677" r:id="rId7599" xr:uid="{00000000-0004-0000-0100-0000AE1D0000}"/>
    <hyperlink ref="I9678" r:id="rId7600" xr:uid="{00000000-0004-0000-0100-0000AF1D0000}"/>
    <hyperlink ref="I9679" r:id="rId7601" xr:uid="{00000000-0004-0000-0100-0000B01D0000}"/>
    <hyperlink ref="I9680" r:id="rId7602" xr:uid="{00000000-0004-0000-0100-0000B11D0000}"/>
    <hyperlink ref="I9681" r:id="rId7603" xr:uid="{00000000-0004-0000-0100-0000B21D0000}"/>
    <hyperlink ref="I9682" r:id="rId7604" xr:uid="{00000000-0004-0000-0100-0000B31D0000}"/>
    <hyperlink ref="I9683" r:id="rId7605" xr:uid="{00000000-0004-0000-0100-0000B41D0000}"/>
    <hyperlink ref="I9684" r:id="rId7606" xr:uid="{00000000-0004-0000-0100-0000B51D0000}"/>
    <hyperlink ref="I9685" r:id="rId7607" xr:uid="{00000000-0004-0000-0100-0000B61D0000}"/>
    <hyperlink ref="I9686" r:id="rId7608" xr:uid="{00000000-0004-0000-0100-0000B71D0000}"/>
    <hyperlink ref="I9687" r:id="rId7609" xr:uid="{00000000-0004-0000-0100-0000B81D0000}"/>
    <hyperlink ref="I9688" r:id="rId7610" xr:uid="{00000000-0004-0000-0100-0000B91D0000}"/>
    <hyperlink ref="I9689" r:id="rId7611" xr:uid="{00000000-0004-0000-0100-0000BA1D0000}"/>
    <hyperlink ref="I9690" r:id="rId7612" xr:uid="{00000000-0004-0000-0100-0000BB1D0000}"/>
    <hyperlink ref="I9691" r:id="rId7613" xr:uid="{00000000-0004-0000-0100-0000BC1D0000}"/>
    <hyperlink ref="I9692" r:id="rId7614" xr:uid="{00000000-0004-0000-0100-0000BD1D0000}"/>
    <hyperlink ref="I9693" r:id="rId7615" xr:uid="{00000000-0004-0000-0100-0000BE1D0000}"/>
    <hyperlink ref="I9694" r:id="rId7616" xr:uid="{00000000-0004-0000-0100-0000BF1D0000}"/>
    <hyperlink ref="I9695" r:id="rId7617" xr:uid="{00000000-0004-0000-0100-0000C01D0000}"/>
    <hyperlink ref="I9696" r:id="rId7618" xr:uid="{00000000-0004-0000-0100-0000C11D0000}"/>
    <hyperlink ref="I9697" r:id="rId7619" xr:uid="{00000000-0004-0000-0100-0000C21D0000}"/>
    <hyperlink ref="I9698" r:id="rId7620" xr:uid="{00000000-0004-0000-0100-0000C31D0000}"/>
    <hyperlink ref="I9699" r:id="rId7621" xr:uid="{00000000-0004-0000-0100-0000C41D0000}"/>
    <hyperlink ref="I9700" r:id="rId7622" xr:uid="{00000000-0004-0000-0100-0000C51D0000}"/>
    <hyperlink ref="I9701" r:id="rId7623" xr:uid="{00000000-0004-0000-0100-0000C61D0000}"/>
    <hyperlink ref="I9702" r:id="rId7624" xr:uid="{00000000-0004-0000-0100-0000C71D0000}"/>
    <hyperlink ref="I9703" r:id="rId7625" xr:uid="{00000000-0004-0000-0100-0000C81D0000}"/>
    <hyperlink ref="I9704" r:id="rId7626" xr:uid="{00000000-0004-0000-0100-0000C91D0000}"/>
    <hyperlink ref="I9705" r:id="rId7627" xr:uid="{00000000-0004-0000-0100-0000CA1D0000}"/>
    <hyperlink ref="I9706" r:id="rId7628" xr:uid="{00000000-0004-0000-0100-0000CB1D0000}"/>
    <hyperlink ref="I9707" r:id="rId7629" xr:uid="{00000000-0004-0000-0100-0000CC1D0000}"/>
    <hyperlink ref="I9708" r:id="rId7630" xr:uid="{00000000-0004-0000-0100-0000CD1D0000}"/>
    <hyperlink ref="I9709" r:id="rId7631" xr:uid="{00000000-0004-0000-0100-0000CE1D0000}"/>
    <hyperlink ref="I9710" r:id="rId7632" xr:uid="{00000000-0004-0000-0100-0000CF1D0000}"/>
    <hyperlink ref="I9711" r:id="rId7633" xr:uid="{00000000-0004-0000-0100-0000D01D0000}"/>
    <hyperlink ref="I9712" r:id="rId7634" xr:uid="{00000000-0004-0000-0100-0000D11D0000}"/>
    <hyperlink ref="I9713" r:id="rId7635" xr:uid="{00000000-0004-0000-0100-0000D21D0000}"/>
    <hyperlink ref="I9714" r:id="rId7636" xr:uid="{00000000-0004-0000-0100-0000D31D0000}"/>
    <hyperlink ref="I9715" r:id="rId7637" xr:uid="{00000000-0004-0000-0100-0000D41D0000}"/>
    <hyperlink ref="I9716" r:id="rId7638" xr:uid="{00000000-0004-0000-0100-0000D51D0000}"/>
    <hyperlink ref="I9717" r:id="rId7639" xr:uid="{00000000-0004-0000-0100-0000D61D0000}"/>
    <hyperlink ref="I9718" r:id="rId7640" xr:uid="{00000000-0004-0000-0100-0000D71D0000}"/>
    <hyperlink ref="I9719" r:id="rId7641" xr:uid="{00000000-0004-0000-0100-0000D81D0000}"/>
    <hyperlink ref="I9720" r:id="rId7642" xr:uid="{00000000-0004-0000-0100-0000D91D0000}"/>
    <hyperlink ref="I9721" r:id="rId7643" xr:uid="{00000000-0004-0000-0100-0000DA1D0000}"/>
    <hyperlink ref="I9722" r:id="rId7644" xr:uid="{00000000-0004-0000-0100-0000DB1D0000}"/>
    <hyperlink ref="I9723" r:id="rId7645" xr:uid="{00000000-0004-0000-0100-0000DC1D0000}"/>
    <hyperlink ref="I9724" r:id="rId7646" xr:uid="{00000000-0004-0000-0100-0000DD1D0000}"/>
    <hyperlink ref="I9725" r:id="rId7647" xr:uid="{00000000-0004-0000-0100-0000DE1D0000}"/>
    <hyperlink ref="I9726" r:id="rId7648" xr:uid="{00000000-0004-0000-0100-0000DF1D0000}"/>
    <hyperlink ref="I9727" r:id="rId7649" xr:uid="{00000000-0004-0000-0100-0000E01D0000}"/>
    <hyperlink ref="I9728" r:id="rId7650" xr:uid="{00000000-0004-0000-0100-0000E11D0000}"/>
    <hyperlink ref="I9729" r:id="rId7651" xr:uid="{00000000-0004-0000-0100-0000E21D0000}"/>
    <hyperlink ref="I9730" r:id="rId7652" xr:uid="{00000000-0004-0000-0100-0000E31D0000}"/>
    <hyperlink ref="I9731" r:id="rId7653" xr:uid="{00000000-0004-0000-0100-0000E41D0000}"/>
    <hyperlink ref="I9732" r:id="rId7654" xr:uid="{00000000-0004-0000-0100-0000E51D0000}"/>
    <hyperlink ref="I9733" r:id="rId7655" xr:uid="{00000000-0004-0000-0100-0000E61D0000}"/>
    <hyperlink ref="I9734" r:id="rId7656" xr:uid="{00000000-0004-0000-0100-0000E71D0000}"/>
    <hyperlink ref="I9735" r:id="rId7657" xr:uid="{00000000-0004-0000-0100-0000E81D0000}"/>
    <hyperlink ref="I9736" r:id="rId7658" xr:uid="{00000000-0004-0000-0100-0000E91D0000}"/>
    <hyperlink ref="I9737" r:id="rId7659" xr:uid="{00000000-0004-0000-0100-0000EA1D0000}"/>
    <hyperlink ref="I9738" r:id="rId7660" xr:uid="{00000000-0004-0000-0100-0000EB1D0000}"/>
    <hyperlink ref="I9739" r:id="rId7661" xr:uid="{00000000-0004-0000-0100-0000EC1D0000}"/>
    <hyperlink ref="I9740" r:id="rId7662" xr:uid="{00000000-0004-0000-0100-0000ED1D0000}"/>
    <hyperlink ref="I9741" r:id="rId7663" xr:uid="{00000000-0004-0000-0100-0000EE1D0000}"/>
    <hyperlink ref="I9742" r:id="rId7664" xr:uid="{00000000-0004-0000-0100-0000EF1D0000}"/>
    <hyperlink ref="I9743" r:id="rId7665" xr:uid="{00000000-0004-0000-0100-0000F01D0000}"/>
    <hyperlink ref="I9744" r:id="rId7666" xr:uid="{00000000-0004-0000-0100-0000F11D0000}"/>
    <hyperlink ref="I9745" r:id="rId7667" xr:uid="{00000000-0004-0000-0100-0000F21D0000}"/>
    <hyperlink ref="I9746" r:id="rId7668" xr:uid="{00000000-0004-0000-0100-0000F31D0000}"/>
    <hyperlink ref="I9747" r:id="rId7669" xr:uid="{00000000-0004-0000-0100-0000F41D0000}"/>
    <hyperlink ref="I9748" r:id="rId7670" xr:uid="{00000000-0004-0000-0100-0000F51D0000}"/>
    <hyperlink ref="I9749" r:id="rId7671" xr:uid="{00000000-0004-0000-0100-0000F61D0000}"/>
    <hyperlink ref="I9750" r:id="rId7672" xr:uid="{00000000-0004-0000-0100-0000F71D0000}"/>
    <hyperlink ref="I9751" r:id="rId7673" xr:uid="{00000000-0004-0000-0100-0000F81D0000}"/>
    <hyperlink ref="I9752" r:id="rId7674" xr:uid="{00000000-0004-0000-0100-0000F91D0000}"/>
    <hyperlink ref="I9753" r:id="rId7675" xr:uid="{00000000-0004-0000-0100-0000FA1D0000}"/>
    <hyperlink ref="I9754" r:id="rId7676" xr:uid="{00000000-0004-0000-0100-0000FB1D0000}"/>
    <hyperlink ref="I9755" r:id="rId7677" xr:uid="{00000000-0004-0000-0100-0000FC1D0000}"/>
    <hyperlink ref="I9756" r:id="rId7678" xr:uid="{00000000-0004-0000-0100-0000FD1D0000}"/>
    <hyperlink ref="I9757" r:id="rId7679" xr:uid="{00000000-0004-0000-0100-0000FE1D0000}"/>
    <hyperlink ref="I9758" r:id="rId7680" xr:uid="{00000000-0004-0000-0100-0000FF1D0000}"/>
    <hyperlink ref="I9759" r:id="rId7681" xr:uid="{00000000-0004-0000-0100-0000001E0000}"/>
    <hyperlink ref="I9760" r:id="rId7682" xr:uid="{00000000-0004-0000-0100-0000011E0000}"/>
    <hyperlink ref="I9761" r:id="rId7683" xr:uid="{00000000-0004-0000-0100-0000021E0000}"/>
    <hyperlink ref="I9762" r:id="rId7684" xr:uid="{00000000-0004-0000-0100-0000031E0000}"/>
    <hyperlink ref="I9763" r:id="rId7685" xr:uid="{00000000-0004-0000-0100-0000041E0000}"/>
    <hyperlink ref="I9764" r:id="rId7686" xr:uid="{00000000-0004-0000-0100-0000051E0000}"/>
    <hyperlink ref="I9765" r:id="rId7687" xr:uid="{00000000-0004-0000-0100-0000061E0000}"/>
    <hyperlink ref="I9766" r:id="rId7688" xr:uid="{00000000-0004-0000-0100-0000071E0000}"/>
    <hyperlink ref="I9767" r:id="rId7689" xr:uid="{00000000-0004-0000-0100-0000081E0000}"/>
    <hyperlink ref="I9768" r:id="rId7690" xr:uid="{00000000-0004-0000-0100-0000091E0000}"/>
    <hyperlink ref="I9769" r:id="rId7691" xr:uid="{00000000-0004-0000-0100-00000A1E0000}"/>
    <hyperlink ref="I9770" r:id="rId7692" xr:uid="{00000000-0004-0000-0100-00000B1E0000}"/>
    <hyperlink ref="I9771" r:id="rId7693" xr:uid="{00000000-0004-0000-0100-00000C1E0000}"/>
    <hyperlink ref="I9772" r:id="rId7694" xr:uid="{00000000-0004-0000-0100-00000D1E0000}"/>
    <hyperlink ref="I9773" r:id="rId7695" xr:uid="{00000000-0004-0000-0100-00000E1E0000}"/>
    <hyperlink ref="I9774" r:id="rId7696" xr:uid="{00000000-0004-0000-0100-00000F1E0000}"/>
    <hyperlink ref="I9775" r:id="rId7697" xr:uid="{00000000-0004-0000-0100-0000101E0000}"/>
    <hyperlink ref="I9776" r:id="rId7698" xr:uid="{00000000-0004-0000-0100-0000111E0000}"/>
    <hyperlink ref="I9777" r:id="rId7699" xr:uid="{00000000-0004-0000-0100-0000121E0000}"/>
    <hyperlink ref="I9778" r:id="rId7700" xr:uid="{00000000-0004-0000-0100-0000131E0000}"/>
    <hyperlink ref="I9779" r:id="rId7701" xr:uid="{00000000-0004-0000-0100-0000141E0000}"/>
    <hyperlink ref="I9780" r:id="rId7702" xr:uid="{00000000-0004-0000-0100-0000151E0000}"/>
    <hyperlink ref="I9781" r:id="rId7703" xr:uid="{00000000-0004-0000-0100-0000161E0000}"/>
    <hyperlink ref="I9782" r:id="rId7704" xr:uid="{00000000-0004-0000-0100-0000171E0000}"/>
    <hyperlink ref="I9783" r:id="rId7705" xr:uid="{00000000-0004-0000-0100-0000181E0000}"/>
    <hyperlink ref="I9784" r:id="rId7706" xr:uid="{00000000-0004-0000-0100-0000191E0000}"/>
    <hyperlink ref="I9785" r:id="rId7707" xr:uid="{00000000-0004-0000-0100-00001A1E0000}"/>
    <hyperlink ref="I9786" r:id="rId7708" xr:uid="{00000000-0004-0000-0100-00001B1E0000}"/>
    <hyperlink ref="I9787" r:id="rId7709" xr:uid="{00000000-0004-0000-0100-00001C1E0000}"/>
    <hyperlink ref="I9788" r:id="rId7710" xr:uid="{00000000-0004-0000-0100-00001D1E0000}"/>
    <hyperlink ref="I9789" r:id="rId7711" xr:uid="{00000000-0004-0000-0100-00001E1E0000}"/>
    <hyperlink ref="I9790" r:id="rId7712" xr:uid="{00000000-0004-0000-0100-00001F1E0000}"/>
    <hyperlink ref="I9791" r:id="rId7713" xr:uid="{00000000-0004-0000-0100-0000201E0000}"/>
    <hyperlink ref="I9792" r:id="rId7714" xr:uid="{00000000-0004-0000-0100-0000211E0000}"/>
    <hyperlink ref="I9793" r:id="rId7715" xr:uid="{00000000-0004-0000-0100-0000221E0000}"/>
    <hyperlink ref="I9794" r:id="rId7716" xr:uid="{00000000-0004-0000-0100-0000231E0000}"/>
    <hyperlink ref="I9795" r:id="rId7717" xr:uid="{00000000-0004-0000-0100-0000241E0000}"/>
    <hyperlink ref="I9796" r:id="rId7718" xr:uid="{00000000-0004-0000-0100-0000251E0000}"/>
    <hyperlink ref="I9797" r:id="rId7719" xr:uid="{00000000-0004-0000-0100-0000261E0000}"/>
    <hyperlink ref="I9798" r:id="rId7720" xr:uid="{00000000-0004-0000-0100-0000271E0000}"/>
    <hyperlink ref="I9799" r:id="rId7721" xr:uid="{00000000-0004-0000-0100-0000281E0000}"/>
    <hyperlink ref="I9800" r:id="rId7722" xr:uid="{00000000-0004-0000-0100-0000291E0000}"/>
    <hyperlink ref="I9801" r:id="rId7723" xr:uid="{00000000-0004-0000-0100-00002A1E0000}"/>
    <hyperlink ref="I9802" r:id="rId7724" xr:uid="{00000000-0004-0000-0100-00002B1E0000}"/>
    <hyperlink ref="I9803" r:id="rId7725" xr:uid="{00000000-0004-0000-0100-00002C1E0000}"/>
    <hyperlink ref="I9804" r:id="rId7726" xr:uid="{00000000-0004-0000-0100-00002D1E0000}"/>
    <hyperlink ref="I9805" r:id="rId7727" xr:uid="{00000000-0004-0000-0100-00002E1E0000}"/>
    <hyperlink ref="I9806" r:id="rId7728" xr:uid="{00000000-0004-0000-0100-00002F1E0000}"/>
    <hyperlink ref="I9807" r:id="rId7729" xr:uid="{00000000-0004-0000-0100-0000301E0000}"/>
    <hyperlink ref="I9808" r:id="rId7730" xr:uid="{00000000-0004-0000-0100-0000311E0000}"/>
    <hyperlink ref="I9809" r:id="rId7731" xr:uid="{00000000-0004-0000-0100-0000321E0000}"/>
    <hyperlink ref="I9810" r:id="rId7732" xr:uid="{00000000-0004-0000-0100-0000331E0000}"/>
    <hyperlink ref="I9811" r:id="rId7733" xr:uid="{00000000-0004-0000-0100-0000341E0000}"/>
    <hyperlink ref="I9812" r:id="rId7734" xr:uid="{00000000-0004-0000-0100-0000351E0000}"/>
    <hyperlink ref="I9813" r:id="rId7735" xr:uid="{00000000-0004-0000-0100-0000361E0000}"/>
    <hyperlink ref="I9814" r:id="rId7736" xr:uid="{00000000-0004-0000-0100-0000371E0000}"/>
    <hyperlink ref="I9815" r:id="rId7737" xr:uid="{00000000-0004-0000-0100-0000381E0000}"/>
    <hyperlink ref="I9816" r:id="rId7738" xr:uid="{00000000-0004-0000-0100-0000391E0000}"/>
    <hyperlink ref="I9817" r:id="rId7739" xr:uid="{00000000-0004-0000-0100-00003A1E0000}"/>
    <hyperlink ref="I9818" r:id="rId7740" xr:uid="{00000000-0004-0000-0100-00003B1E0000}"/>
    <hyperlink ref="I9819" r:id="rId7741" xr:uid="{00000000-0004-0000-0100-00003C1E0000}"/>
    <hyperlink ref="I9820" r:id="rId7742" xr:uid="{00000000-0004-0000-0100-00003D1E0000}"/>
    <hyperlink ref="I9821" r:id="rId7743" xr:uid="{00000000-0004-0000-0100-00003E1E0000}"/>
    <hyperlink ref="I9822" r:id="rId7744" xr:uid="{00000000-0004-0000-0100-00003F1E0000}"/>
    <hyperlink ref="I9823" r:id="rId7745" xr:uid="{00000000-0004-0000-0100-0000401E0000}"/>
    <hyperlink ref="I9824" r:id="rId7746" xr:uid="{00000000-0004-0000-0100-0000411E0000}"/>
    <hyperlink ref="I9825" r:id="rId7747" xr:uid="{00000000-0004-0000-0100-0000421E0000}"/>
    <hyperlink ref="I9826" r:id="rId7748" xr:uid="{00000000-0004-0000-0100-0000431E0000}"/>
    <hyperlink ref="I9827" r:id="rId7749" xr:uid="{00000000-0004-0000-0100-0000441E0000}"/>
    <hyperlink ref="I9828" r:id="rId7750" xr:uid="{00000000-0004-0000-0100-0000451E0000}"/>
    <hyperlink ref="I9829" r:id="rId7751" xr:uid="{00000000-0004-0000-0100-0000461E0000}"/>
    <hyperlink ref="I9830" r:id="rId7752" xr:uid="{00000000-0004-0000-0100-0000471E0000}"/>
    <hyperlink ref="I9831" r:id="rId7753" xr:uid="{00000000-0004-0000-0100-0000481E0000}"/>
    <hyperlink ref="I9832" r:id="rId7754" xr:uid="{00000000-0004-0000-0100-0000491E0000}"/>
    <hyperlink ref="I9833" r:id="rId7755" xr:uid="{00000000-0004-0000-0100-00004A1E0000}"/>
    <hyperlink ref="I9834" r:id="rId7756" xr:uid="{00000000-0004-0000-0100-00004B1E0000}"/>
    <hyperlink ref="I9835" r:id="rId7757" xr:uid="{00000000-0004-0000-0100-00004C1E0000}"/>
    <hyperlink ref="I9836" r:id="rId7758" xr:uid="{00000000-0004-0000-0100-00004D1E0000}"/>
    <hyperlink ref="I9837" r:id="rId7759" xr:uid="{00000000-0004-0000-0100-00004E1E0000}"/>
    <hyperlink ref="I9838" r:id="rId7760" xr:uid="{00000000-0004-0000-0100-00004F1E0000}"/>
    <hyperlink ref="I9839" r:id="rId7761" xr:uid="{00000000-0004-0000-0100-0000501E0000}"/>
    <hyperlink ref="I9840" r:id="rId7762" xr:uid="{00000000-0004-0000-0100-0000511E0000}"/>
    <hyperlink ref="I9841" r:id="rId7763" xr:uid="{00000000-0004-0000-0100-0000521E0000}"/>
    <hyperlink ref="I9842" r:id="rId7764" xr:uid="{00000000-0004-0000-0100-0000531E0000}"/>
    <hyperlink ref="I9843" r:id="rId7765" xr:uid="{00000000-0004-0000-0100-0000541E0000}"/>
    <hyperlink ref="I9844" r:id="rId7766" xr:uid="{00000000-0004-0000-0100-0000551E0000}"/>
    <hyperlink ref="I9845" r:id="rId7767" xr:uid="{00000000-0004-0000-0100-0000561E0000}"/>
    <hyperlink ref="I9846" r:id="rId7768" xr:uid="{00000000-0004-0000-0100-0000571E0000}"/>
    <hyperlink ref="I9847" r:id="rId7769" xr:uid="{00000000-0004-0000-0100-0000581E0000}"/>
    <hyperlink ref="I9848" r:id="rId7770" xr:uid="{00000000-0004-0000-0100-0000591E0000}"/>
    <hyperlink ref="I9849" r:id="rId7771" xr:uid="{00000000-0004-0000-0100-00005A1E0000}"/>
    <hyperlink ref="I9850" r:id="rId7772" xr:uid="{00000000-0004-0000-0100-00005B1E0000}"/>
    <hyperlink ref="I9851" r:id="rId7773" xr:uid="{00000000-0004-0000-0100-00005C1E0000}"/>
    <hyperlink ref="I9852" r:id="rId7774" xr:uid="{00000000-0004-0000-0100-00005D1E0000}"/>
    <hyperlink ref="I9853" r:id="rId7775" xr:uid="{00000000-0004-0000-0100-00005E1E0000}"/>
    <hyperlink ref="I9854" r:id="rId7776" xr:uid="{00000000-0004-0000-0100-00005F1E0000}"/>
    <hyperlink ref="I9855" r:id="rId7777" xr:uid="{00000000-0004-0000-0100-0000601E0000}"/>
    <hyperlink ref="I9856" r:id="rId7778" xr:uid="{00000000-0004-0000-0100-0000611E0000}"/>
    <hyperlink ref="I9857" r:id="rId7779" xr:uid="{00000000-0004-0000-0100-0000621E0000}"/>
    <hyperlink ref="I9858" r:id="rId7780" xr:uid="{00000000-0004-0000-0100-0000631E0000}"/>
    <hyperlink ref="I9859" r:id="rId7781" xr:uid="{00000000-0004-0000-0100-0000641E0000}"/>
    <hyperlink ref="I9860" r:id="rId7782" xr:uid="{00000000-0004-0000-0100-0000651E0000}"/>
    <hyperlink ref="I9861" r:id="rId7783" xr:uid="{00000000-0004-0000-0100-0000661E0000}"/>
    <hyperlink ref="I9862" r:id="rId7784" xr:uid="{00000000-0004-0000-0100-0000671E0000}"/>
    <hyperlink ref="I9863" r:id="rId7785" xr:uid="{00000000-0004-0000-0100-0000681E0000}"/>
    <hyperlink ref="I9864" r:id="rId7786" xr:uid="{00000000-0004-0000-0100-0000691E0000}"/>
    <hyperlink ref="I9865" r:id="rId7787" xr:uid="{00000000-0004-0000-0100-00006A1E0000}"/>
    <hyperlink ref="I9866" r:id="rId7788" xr:uid="{00000000-0004-0000-0100-00006B1E0000}"/>
    <hyperlink ref="I9867" r:id="rId7789" xr:uid="{00000000-0004-0000-0100-00006C1E0000}"/>
    <hyperlink ref="I9868" r:id="rId7790" xr:uid="{00000000-0004-0000-0100-00006D1E0000}"/>
    <hyperlink ref="I9869" r:id="rId7791" xr:uid="{00000000-0004-0000-0100-00006E1E0000}"/>
    <hyperlink ref="I9870" r:id="rId7792" xr:uid="{00000000-0004-0000-0100-00006F1E0000}"/>
    <hyperlink ref="I9871" r:id="rId7793" xr:uid="{00000000-0004-0000-0100-0000701E0000}"/>
    <hyperlink ref="I9872" r:id="rId7794" xr:uid="{00000000-0004-0000-0100-0000711E0000}"/>
    <hyperlink ref="I9873" r:id="rId7795" xr:uid="{00000000-0004-0000-0100-0000721E0000}"/>
    <hyperlink ref="I9874" r:id="rId7796" xr:uid="{00000000-0004-0000-0100-0000731E0000}"/>
    <hyperlink ref="I9875" r:id="rId7797" xr:uid="{00000000-0004-0000-0100-0000741E0000}"/>
    <hyperlink ref="I9876" r:id="rId7798" xr:uid="{00000000-0004-0000-0100-0000751E0000}"/>
    <hyperlink ref="I9877" r:id="rId7799" xr:uid="{00000000-0004-0000-0100-0000761E0000}"/>
    <hyperlink ref="I9878" r:id="rId7800" xr:uid="{00000000-0004-0000-0100-0000771E0000}"/>
    <hyperlink ref="I9879" r:id="rId7801" xr:uid="{00000000-0004-0000-0100-0000781E0000}"/>
    <hyperlink ref="I9880" r:id="rId7802" xr:uid="{00000000-0004-0000-0100-0000791E0000}"/>
    <hyperlink ref="I9881" r:id="rId7803" xr:uid="{00000000-0004-0000-0100-00007A1E0000}"/>
    <hyperlink ref="I9882" r:id="rId7804" xr:uid="{00000000-0004-0000-0100-00007B1E0000}"/>
    <hyperlink ref="I9883" r:id="rId7805" xr:uid="{00000000-0004-0000-0100-00007C1E0000}"/>
    <hyperlink ref="I9884" r:id="rId7806" xr:uid="{00000000-0004-0000-0100-00007D1E0000}"/>
    <hyperlink ref="I9885" r:id="rId7807" xr:uid="{00000000-0004-0000-0100-00007E1E0000}"/>
    <hyperlink ref="I9886" r:id="rId7808" xr:uid="{00000000-0004-0000-0100-00007F1E0000}"/>
    <hyperlink ref="I9887" r:id="rId7809" xr:uid="{00000000-0004-0000-0100-0000801E0000}"/>
    <hyperlink ref="I9888" r:id="rId7810" xr:uid="{00000000-0004-0000-0100-0000811E0000}"/>
    <hyperlink ref="I9889" r:id="rId7811" xr:uid="{00000000-0004-0000-0100-0000821E0000}"/>
    <hyperlink ref="I9890" r:id="rId7812" xr:uid="{00000000-0004-0000-0100-0000831E0000}"/>
    <hyperlink ref="I9891" r:id="rId7813" xr:uid="{00000000-0004-0000-0100-0000841E0000}"/>
    <hyperlink ref="I9892" r:id="rId7814" xr:uid="{00000000-0004-0000-0100-0000851E0000}"/>
    <hyperlink ref="I9893" r:id="rId7815" xr:uid="{00000000-0004-0000-0100-0000861E0000}"/>
    <hyperlink ref="I9894" r:id="rId7816" xr:uid="{00000000-0004-0000-0100-0000871E0000}"/>
    <hyperlink ref="I9895" r:id="rId7817" xr:uid="{00000000-0004-0000-0100-0000881E0000}"/>
    <hyperlink ref="I9896" r:id="rId7818" xr:uid="{00000000-0004-0000-0100-0000891E0000}"/>
    <hyperlink ref="I9897" r:id="rId7819" xr:uid="{00000000-0004-0000-0100-00008A1E0000}"/>
    <hyperlink ref="I9898" r:id="rId7820" xr:uid="{00000000-0004-0000-0100-00008B1E0000}"/>
    <hyperlink ref="I9899" r:id="rId7821" xr:uid="{00000000-0004-0000-0100-00008C1E0000}"/>
    <hyperlink ref="I9900" r:id="rId7822" xr:uid="{00000000-0004-0000-0100-00008D1E0000}"/>
    <hyperlink ref="I9901" r:id="rId7823" xr:uid="{00000000-0004-0000-0100-00008E1E0000}"/>
    <hyperlink ref="I9902" r:id="rId7824" xr:uid="{00000000-0004-0000-0100-00008F1E0000}"/>
    <hyperlink ref="I9903" r:id="rId7825" xr:uid="{00000000-0004-0000-0100-0000901E0000}"/>
    <hyperlink ref="I9904" r:id="rId7826" xr:uid="{00000000-0004-0000-0100-0000911E0000}"/>
    <hyperlink ref="I9905" r:id="rId7827" xr:uid="{00000000-0004-0000-0100-0000921E0000}"/>
    <hyperlink ref="I9906" r:id="rId7828" xr:uid="{00000000-0004-0000-0100-0000931E0000}"/>
    <hyperlink ref="I9907" r:id="rId7829" xr:uid="{00000000-0004-0000-0100-0000941E0000}"/>
    <hyperlink ref="I9908" r:id="rId7830" xr:uid="{00000000-0004-0000-0100-0000951E0000}"/>
    <hyperlink ref="I9909" r:id="rId7831" xr:uid="{00000000-0004-0000-0100-0000961E0000}"/>
    <hyperlink ref="I9910" r:id="rId7832" xr:uid="{00000000-0004-0000-0100-0000971E0000}"/>
    <hyperlink ref="I9911" r:id="rId7833" xr:uid="{00000000-0004-0000-0100-0000981E0000}"/>
    <hyperlink ref="I9912" r:id="rId7834" xr:uid="{00000000-0004-0000-0100-0000991E0000}"/>
    <hyperlink ref="I9913" r:id="rId7835" xr:uid="{00000000-0004-0000-0100-00009A1E0000}"/>
    <hyperlink ref="I9914" r:id="rId7836" xr:uid="{00000000-0004-0000-0100-00009B1E0000}"/>
    <hyperlink ref="I9915" r:id="rId7837" xr:uid="{00000000-0004-0000-0100-00009C1E0000}"/>
    <hyperlink ref="I9916" r:id="rId7838" xr:uid="{00000000-0004-0000-0100-00009D1E0000}"/>
    <hyperlink ref="I9917" r:id="rId7839" xr:uid="{00000000-0004-0000-0100-00009E1E0000}"/>
    <hyperlink ref="I9918" r:id="rId7840" xr:uid="{00000000-0004-0000-0100-00009F1E0000}"/>
    <hyperlink ref="I9919" r:id="rId7841" xr:uid="{00000000-0004-0000-0100-0000A01E0000}"/>
    <hyperlink ref="I9920" r:id="rId7842" xr:uid="{00000000-0004-0000-0100-0000A11E0000}"/>
    <hyperlink ref="I9921" r:id="rId7843" xr:uid="{00000000-0004-0000-0100-0000A21E0000}"/>
    <hyperlink ref="I9922" r:id="rId7844" xr:uid="{00000000-0004-0000-0100-0000A31E0000}"/>
    <hyperlink ref="I9923" r:id="rId7845" xr:uid="{00000000-0004-0000-0100-0000A41E0000}"/>
    <hyperlink ref="I9924" r:id="rId7846" xr:uid="{00000000-0004-0000-0100-0000A51E0000}"/>
    <hyperlink ref="I9925" r:id="rId7847" xr:uid="{00000000-0004-0000-0100-0000A61E0000}"/>
    <hyperlink ref="I9926" r:id="rId7848" xr:uid="{00000000-0004-0000-0100-0000A71E0000}"/>
    <hyperlink ref="I9927" r:id="rId7849" xr:uid="{00000000-0004-0000-0100-0000A81E0000}"/>
    <hyperlink ref="I9928" r:id="rId7850" xr:uid="{00000000-0004-0000-0100-0000A91E0000}"/>
    <hyperlink ref="I9929" r:id="rId7851" xr:uid="{00000000-0004-0000-0100-0000AA1E0000}"/>
    <hyperlink ref="I9930" r:id="rId7852" xr:uid="{00000000-0004-0000-0100-0000AB1E0000}"/>
    <hyperlink ref="I9931" r:id="rId7853" xr:uid="{00000000-0004-0000-0100-0000AC1E0000}"/>
    <hyperlink ref="I9932" r:id="rId7854" xr:uid="{00000000-0004-0000-0100-0000AD1E0000}"/>
    <hyperlink ref="I9933" r:id="rId7855" xr:uid="{00000000-0004-0000-0100-0000AE1E0000}"/>
    <hyperlink ref="I9934" r:id="rId7856" xr:uid="{00000000-0004-0000-0100-0000AF1E0000}"/>
    <hyperlink ref="I9935" r:id="rId7857" xr:uid="{00000000-0004-0000-0100-0000B01E0000}"/>
    <hyperlink ref="I9936" r:id="rId7858" xr:uid="{00000000-0004-0000-0100-0000B11E0000}"/>
    <hyperlink ref="I9937" r:id="rId7859" xr:uid="{00000000-0004-0000-0100-0000B21E0000}"/>
    <hyperlink ref="I9938" r:id="rId7860" xr:uid="{00000000-0004-0000-0100-0000B31E0000}"/>
    <hyperlink ref="I9939" r:id="rId7861" xr:uid="{00000000-0004-0000-0100-0000B41E0000}"/>
    <hyperlink ref="I9940" r:id="rId7862" xr:uid="{00000000-0004-0000-0100-0000B51E0000}"/>
    <hyperlink ref="I9941" r:id="rId7863" xr:uid="{00000000-0004-0000-0100-0000B61E0000}"/>
    <hyperlink ref="I9942" r:id="rId7864" xr:uid="{00000000-0004-0000-0100-0000B71E0000}"/>
    <hyperlink ref="I9943" r:id="rId7865" xr:uid="{00000000-0004-0000-0100-0000B81E0000}"/>
    <hyperlink ref="I9944" r:id="rId7866" xr:uid="{00000000-0004-0000-0100-0000B91E0000}"/>
    <hyperlink ref="I9945" r:id="rId7867" xr:uid="{00000000-0004-0000-0100-0000BA1E0000}"/>
    <hyperlink ref="I9946" r:id="rId7868" xr:uid="{00000000-0004-0000-0100-0000BB1E0000}"/>
    <hyperlink ref="I9947" r:id="rId7869" xr:uid="{00000000-0004-0000-0100-0000BC1E0000}"/>
    <hyperlink ref="I9948" r:id="rId7870" xr:uid="{00000000-0004-0000-0100-0000BD1E0000}"/>
    <hyperlink ref="I9949" r:id="rId7871" xr:uid="{00000000-0004-0000-0100-0000BE1E0000}"/>
    <hyperlink ref="I9950" r:id="rId7872" xr:uid="{00000000-0004-0000-0100-0000BF1E0000}"/>
    <hyperlink ref="I9951" r:id="rId7873" xr:uid="{00000000-0004-0000-0100-0000C01E0000}"/>
    <hyperlink ref="I9952" r:id="rId7874" xr:uid="{00000000-0004-0000-0100-0000C11E0000}"/>
    <hyperlink ref="I9953" r:id="rId7875" xr:uid="{00000000-0004-0000-0100-0000C21E0000}"/>
    <hyperlink ref="I9954" r:id="rId7876" xr:uid="{00000000-0004-0000-0100-0000C31E0000}"/>
    <hyperlink ref="I9955" r:id="rId7877" xr:uid="{00000000-0004-0000-0100-0000C41E0000}"/>
    <hyperlink ref="I9956" r:id="rId7878" xr:uid="{00000000-0004-0000-0100-0000C51E0000}"/>
    <hyperlink ref="I9957" r:id="rId7879" xr:uid="{00000000-0004-0000-0100-0000C61E0000}"/>
    <hyperlink ref="I9958" r:id="rId7880" xr:uid="{00000000-0004-0000-0100-0000C71E0000}"/>
    <hyperlink ref="I9959" r:id="rId7881" xr:uid="{00000000-0004-0000-0100-0000C81E0000}"/>
    <hyperlink ref="I9960" r:id="rId7882" xr:uid="{00000000-0004-0000-0100-0000C91E0000}"/>
    <hyperlink ref="I9961" r:id="rId7883" xr:uid="{00000000-0004-0000-0100-0000CA1E0000}"/>
    <hyperlink ref="I9962" r:id="rId7884" xr:uid="{00000000-0004-0000-0100-0000CB1E0000}"/>
    <hyperlink ref="I9963" r:id="rId7885" xr:uid="{00000000-0004-0000-0100-0000CC1E0000}"/>
    <hyperlink ref="I9964" r:id="rId7886" xr:uid="{00000000-0004-0000-0100-0000CD1E0000}"/>
    <hyperlink ref="I9965" r:id="rId7887" xr:uid="{00000000-0004-0000-0100-0000CE1E0000}"/>
    <hyperlink ref="I9966" r:id="rId7888" xr:uid="{00000000-0004-0000-0100-0000CF1E0000}"/>
    <hyperlink ref="I9967" r:id="rId7889" xr:uid="{00000000-0004-0000-0100-0000D01E0000}"/>
    <hyperlink ref="I9968" r:id="rId7890" xr:uid="{00000000-0004-0000-0100-0000D11E0000}"/>
    <hyperlink ref="I9969" r:id="rId7891" xr:uid="{00000000-0004-0000-0100-0000D21E0000}"/>
    <hyperlink ref="I9970" r:id="rId7892" xr:uid="{00000000-0004-0000-0100-0000D31E0000}"/>
    <hyperlink ref="I9971" r:id="rId7893" xr:uid="{00000000-0004-0000-0100-0000D41E0000}"/>
    <hyperlink ref="I9972" r:id="rId7894" xr:uid="{00000000-0004-0000-0100-0000D51E0000}"/>
    <hyperlink ref="I9973" r:id="rId7895" xr:uid="{00000000-0004-0000-0100-0000D61E0000}"/>
    <hyperlink ref="I9974" r:id="rId7896" xr:uid="{00000000-0004-0000-0100-0000D71E0000}"/>
    <hyperlink ref="I9975" r:id="rId7897" xr:uid="{00000000-0004-0000-0100-0000D81E0000}"/>
    <hyperlink ref="I9976" r:id="rId7898" xr:uid="{00000000-0004-0000-0100-0000D91E0000}"/>
    <hyperlink ref="I9977" r:id="rId7899" xr:uid="{00000000-0004-0000-0100-0000DA1E0000}"/>
    <hyperlink ref="I9978" r:id="rId7900" xr:uid="{00000000-0004-0000-0100-0000DB1E0000}"/>
    <hyperlink ref="I9979" r:id="rId7901" xr:uid="{00000000-0004-0000-0100-0000DC1E0000}"/>
    <hyperlink ref="I9980" r:id="rId7902" xr:uid="{00000000-0004-0000-0100-0000DD1E0000}"/>
    <hyperlink ref="I9981" r:id="rId7903" xr:uid="{00000000-0004-0000-0100-0000DE1E0000}"/>
    <hyperlink ref="I9982" r:id="rId7904" xr:uid="{00000000-0004-0000-0100-0000DF1E0000}"/>
    <hyperlink ref="I9983" r:id="rId7905" xr:uid="{00000000-0004-0000-0100-0000E01E0000}"/>
    <hyperlink ref="I9984" r:id="rId7906" xr:uid="{00000000-0004-0000-0100-0000E11E0000}"/>
    <hyperlink ref="I9985" r:id="rId7907" xr:uid="{00000000-0004-0000-0100-0000E21E0000}"/>
    <hyperlink ref="I9986" r:id="rId7908" xr:uid="{00000000-0004-0000-0100-0000E31E0000}"/>
    <hyperlink ref="I9987" r:id="rId7909" xr:uid="{00000000-0004-0000-0100-0000E41E0000}"/>
    <hyperlink ref="I9988" r:id="rId7910" xr:uid="{00000000-0004-0000-0100-0000E51E0000}"/>
    <hyperlink ref="I9989" r:id="rId7911" xr:uid="{00000000-0004-0000-0100-0000E61E0000}"/>
    <hyperlink ref="I9990" r:id="rId7912" xr:uid="{00000000-0004-0000-0100-0000E71E0000}"/>
    <hyperlink ref="I9991" r:id="rId7913" xr:uid="{00000000-0004-0000-0100-0000E81E0000}"/>
    <hyperlink ref="I9992" r:id="rId7914" xr:uid="{00000000-0004-0000-0100-0000E91E0000}"/>
    <hyperlink ref="I9993" r:id="rId7915" xr:uid="{00000000-0004-0000-0100-0000EA1E0000}"/>
    <hyperlink ref="I9994" r:id="rId7916" xr:uid="{00000000-0004-0000-0100-0000EB1E0000}"/>
    <hyperlink ref="I9995" r:id="rId7917" xr:uid="{00000000-0004-0000-0100-0000EC1E0000}"/>
    <hyperlink ref="I9996" r:id="rId7918" xr:uid="{00000000-0004-0000-0100-0000ED1E0000}"/>
    <hyperlink ref="I9997" r:id="rId7919" xr:uid="{00000000-0004-0000-0100-0000EE1E0000}"/>
    <hyperlink ref="I9998" r:id="rId7920" xr:uid="{00000000-0004-0000-0100-0000EF1E0000}"/>
    <hyperlink ref="I9999" r:id="rId7921" xr:uid="{00000000-0004-0000-0100-0000F01E0000}"/>
    <hyperlink ref="I10000" r:id="rId7922" xr:uid="{00000000-0004-0000-0100-0000F11E0000}"/>
    <hyperlink ref="I10001" r:id="rId7923" xr:uid="{00000000-0004-0000-0100-0000F21E0000}"/>
    <hyperlink ref="I10002" r:id="rId7924" xr:uid="{00000000-0004-0000-0100-0000F31E0000}"/>
    <hyperlink ref="I10003" r:id="rId7925" xr:uid="{00000000-0004-0000-0100-0000F41E0000}"/>
    <hyperlink ref="I10004" r:id="rId7926" xr:uid="{00000000-0004-0000-0100-0000F51E0000}"/>
    <hyperlink ref="I10005" r:id="rId7927" xr:uid="{00000000-0004-0000-0100-0000F61E0000}"/>
    <hyperlink ref="I10006" r:id="rId7928" xr:uid="{00000000-0004-0000-0100-0000F71E0000}"/>
    <hyperlink ref="I10007" r:id="rId7929" xr:uid="{00000000-0004-0000-0100-0000F81E0000}"/>
    <hyperlink ref="I10008" r:id="rId7930" xr:uid="{00000000-0004-0000-0100-0000F91E0000}"/>
    <hyperlink ref="I10009" r:id="rId7931" xr:uid="{00000000-0004-0000-0100-0000FA1E0000}"/>
    <hyperlink ref="I10010" r:id="rId7932" xr:uid="{00000000-0004-0000-0100-0000FB1E0000}"/>
    <hyperlink ref="I10011" r:id="rId7933" xr:uid="{00000000-0004-0000-0100-0000FC1E0000}"/>
    <hyperlink ref="I10012" r:id="rId7934" xr:uid="{00000000-0004-0000-0100-0000FD1E0000}"/>
    <hyperlink ref="I10013" r:id="rId7935" xr:uid="{00000000-0004-0000-0100-0000FE1E0000}"/>
    <hyperlink ref="I10014" r:id="rId7936" xr:uid="{00000000-0004-0000-0100-0000FF1E0000}"/>
    <hyperlink ref="I10015" r:id="rId7937" xr:uid="{00000000-0004-0000-0100-0000001F0000}"/>
    <hyperlink ref="I10016" r:id="rId7938" xr:uid="{00000000-0004-0000-0100-0000011F0000}"/>
    <hyperlink ref="I10017" r:id="rId7939" xr:uid="{00000000-0004-0000-0100-0000021F0000}"/>
    <hyperlink ref="I10018" r:id="rId7940" xr:uid="{00000000-0004-0000-0100-0000031F0000}"/>
    <hyperlink ref="I10019" r:id="rId7941" xr:uid="{00000000-0004-0000-0100-0000041F0000}"/>
    <hyperlink ref="I10020" r:id="rId7942" xr:uid="{00000000-0004-0000-0100-0000051F0000}"/>
    <hyperlink ref="I10021" r:id="rId7943" xr:uid="{00000000-0004-0000-0100-0000061F0000}"/>
    <hyperlink ref="I10022" r:id="rId7944" xr:uid="{00000000-0004-0000-0100-0000071F0000}"/>
    <hyperlink ref="I10023" r:id="rId7945" xr:uid="{00000000-0004-0000-0100-0000081F0000}"/>
    <hyperlink ref="I10024" r:id="rId7946" xr:uid="{00000000-0004-0000-0100-0000091F0000}"/>
    <hyperlink ref="I10025" r:id="rId7947" xr:uid="{00000000-0004-0000-0100-00000A1F0000}"/>
    <hyperlink ref="I10026" r:id="rId7948" xr:uid="{00000000-0004-0000-0100-00000B1F0000}"/>
    <hyperlink ref="I10027" r:id="rId7949" xr:uid="{00000000-0004-0000-0100-00000C1F0000}"/>
    <hyperlink ref="I10028" r:id="rId7950" xr:uid="{00000000-0004-0000-0100-00000D1F0000}"/>
    <hyperlink ref="I10029" r:id="rId7951" xr:uid="{00000000-0004-0000-0100-00000E1F0000}"/>
    <hyperlink ref="I10030" r:id="rId7952" xr:uid="{00000000-0004-0000-0100-00000F1F0000}"/>
    <hyperlink ref="I10031" r:id="rId7953" xr:uid="{00000000-0004-0000-0100-0000101F0000}"/>
    <hyperlink ref="I10032" r:id="rId7954" xr:uid="{00000000-0004-0000-0100-0000111F0000}"/>
    <hyperlink ref="I10033" r:id="rId7955" xr:uid="{00000000-0004-0000-0100-0000121F0000}"/>
    <hyperlink ref="I10034" r:id="rId7956" xr:uid="{00000000-0004-0000-0100-0000131F0000}"/>
    <hyperlink ref="I10035" r:id="rId7957" xr:uid="{00000000-0004-0000-0100-0000141F0000}"/>
    <hyperlink ref="I10036" r:id="rId7958" xr:uid="{00000000-0004-0000-0100-0000151F0000}"/>
    <hyperlink ref="I10037" r:id="rId7959" xr:uid="{00000000-0004-0000-0100-0000161F0000}"/>
    <hyperlink ref="I10038" r:id="rId7960" xr:uid="{00000000-0004-0000-0100-0000171F0000}"/>
    <hyperlink ref="I10039" r:id="rId7961" xr:uid="{00000000-0004-0000-0100-0000181F0000}"/>
    <hyperlink ref="I10040" r:id="rId7962" xr:uid="{00000000-0004-0000-0100-0000191F0000}"/>
    <hyperlink ref="I10041" r:id="rId7963" xr:uid="{00000000-0004-0000-0100-00001A1F0000}"/>
    <hyperlink ref="I10042" r:id="rId7964" xr:uid="{00000000-0004-0000-0100-00001B1F0000}"/>
    <hyperlink ref="I10043" r:id="rId7965" xr:uid="{00000000-0004-0000-0100-00001C1F0000}"/>
    <hyperlink ref="I10044" r:id="rId7966" xr:uid="{00000000-0004-0000-0100-00001D1F0000}"/>
    <hyperlink ref="I10045" r:id="rId7967" xr:uid="{00000000-0004-0000-0100-00001E1F0000}"/>
    <hyperlink ref="I10046" r:id="rId7968" xr:uid="{00000000-0004-0000-0100-00001F1F0000}"/>
    <hyperlink ref="I10047" r:id="rId7969" xr:uid="{00000000-0004-0000-0100-0000201F0000}"/>
    <hyperlink ref="I10048" r:id="rId7970" xr:uid="{00000000-0004-0000-0100-0000211F0000}"/>
    <hyperlink ref="I10049" r:id="rId7971" xr:uid="{00000000-0004-0000-0100-0000221F0000}"/>
    <hyperlink ref="I10050" r:id="rId7972" xr:uid="{00000000-0004-0000-0100-0000231F0000}"/>
    <hyperlink ref="I10051" r:id="rId7973" xr:uid="{00000000-0004-0000-0100-0000241F0000}"/>
    <hyperlink ref="I10052" r:id="rId7974" xr:uid="{00000000-0004-0000-0100-0000251F0000}"/>
    <hyperlink ref="I10053" r:id="rId7975" xr:uid="{00000000-0004-0000-0100-0000261F0000}"/>
    <hyperlink ref="I10054" r:id="rId7976" xr:uid="{00000000-0004-0000-0100-0000271F0000}"/>
    <hyperlink ref="I10055" r:id="rId7977" xr:uid="{00000000-0004-0000-0100-0000281F0000}"/>
    <hyperlink ref="I10056" r:id="rId7978" xr:uid="{00000000-0004-0000-0100-0000291F0000}"/>
    <hyperlink ref="I10057" r:id="rId7979" xr:uid="{00000000-0004-0000-0100-00002A1F0000}"/>
    <hyperlink ref="I10058" r:id="rId7980" xr:uid="{00000000-0004-0000-0100-00002B1F0000}"/>
    <hyperlink ref="I10059" r:id="rId7981" xr:uid="{00000000-0004-0000-0100-00002C1F0000}"/>
    <hyperlink ref="I10060" r:id="rId7982" xr:uid="{00000000-0004-0000-0100-00002D1F0000}"/>
    <hyperlink ref="I10061" r:id="rId7983" xr:uid="{00000000-0004-0000-0100-00002E1F0000}"/>
    <hyperlink ref="I10062" r:id="rId7984" xr:uid="{00000000-0004-0000-0100-00002F1F0000}"/>
    <hyperlink ref="I10063" r:id="rId7985" xr:uid="{00000000-0004-0000-0100-0000301F0000}"/>
    <hyperlink ref="I10064" r:id="rId7986" xr:uid="{00000000-0004-0000-0100-0000311F0000}"/>
    <hyperlink ref="I10065" r:id="rId7987" xr:uid="{00000000-0004-0000-0100-0000321F0000}"/>
    <hyperlink ref="I10066" r:id="rId7988" xr:uid="{00000000-0004-0000-0100-0000331F0000}"/>
    <hyperlink ref="I10067" r:id="rId7989" xr:uid="{00000000-0004-0000-0100-0000341F0000}"/>
    <hyperlink ref="I10068" r:id="rId7990" xr:uid="{00000000-0004-0000-0100-0000351F0000}"/>
    <hyperlink ref="I10069" r:id="rId7991" xr:uid="{00000000-0004-0000-0100-0000361F0000}"/>
    <hyperlink ref="I10070" r:id="rId7992" xr:uid="{00000000-0004-0000-0100-0000371F0000}"/>
    <hyperlink ref="I10071" r:id="rId7993" xr:uid="{00000000-0004-0000-0100-0000381F0000}"/>
    <hyperlink ref="I10072" r:id="rId7994" xr:uid="{00000000-0004-0000-0100-0000391F0000}"/>
    <hyperlink ref="I10073" r:id="rId7995" xr:uid="{00000000-0004-0000-0100-00003A1F0000}"/>
    <hyperlink ref="I10074" r:id="rId7996" xr:uid="{00000000-0004-0000-0100-00003B1F0000}"/>
    <hyperlink ref="I10075" r:id="rId7997" xr:uid="{00000000-0004-0000-0100-00003C1F0000}"/>
    <hyperlink ref="I10076" r:id="rId7998" xr:uid="{00000000-0004-0000-0100-00003D1F0000}"/>
    <hyperlink ref="I10077" r:id="rId7999" xr:uid="{00000000-0004-0000-0100-00003E1F0000}"/>
    <hyperlink ref="I10078" r:id="rId8000" xr:uid="{00000000-0004-0000-0100-00003F1F0000}"/>
    <hyperlink ref="I10079" r:id="rId8001" xr:uid="{00000000-0004-0000-0100-0000401F0000}"/>
    <hyperlink ref="I10080" r:id="rId8002" xr:uid="{00000000-0004-0000-0100-0000411F0000}"/>
    <hyperlink ref="I10081" r:id="rId8003" xr:uid="{00000000-0004-0000-0100-0000421F0000}"/>
    <hyperlink ref="I10082" r:id="rId8004" xr:uid="{00000000-0004-0000-0100-0000431F0000}"/>
    <hyperlink ref="I10083" r:id="rId8005" xr:uid="{00000000-0004-0000-0100-0000441F0000}"/>
    <hyperlink ref="I10084" r:id="rId8006" xr:uid="{00000000-0004-0000-0100-0000451F0000}"/>
    <hyperlink ref="I10085" r:id="rId8007" xr:uid="{00000000-0004-0000-0100-0000461F0000}"/>
    <hyperlink ref="I10086" r:id="rId8008" xr:uid="{00000000-0004-0000-0100-0000471F0000}"/>
    <hyperlink ref="I10087" r:id="rId8009" xr:uid="{00000000-0004-0000-0100-0000481F0000}"/>
    <hyperlink ref="I10088" r:id="rId8010" xr:uid="{00000000-0004-0000-0100-0000491F0000}"/>
    <hyperlink ref="I10089" r:id="rId8011" xr:uid="{00000000-0004-0000-0100-00004A1F0000}"/>
    <hyperlink ref="I10090" r:id="rId8012" xr:uid="{00000000-0004-0000-0100-00004B1F0000}"/>
    <hyperlink ref="I10091" r:id="rId8013" xr:uid="{00000000-0004-0000-0100-00004C1F0000}"/>
    <hyperlink ref="I10092" r:id="rId8014" xr:uid="{00000000-0004-0000-0100-00004D1F0000}"/>
    <hyperlink ref="I10093" r:id="rId8015" xr:uid="{00000000-0004-0000-0100-00004E1F0000}"/>
    <hyperlink ref="I10094" r:id="rId8016" xr:uid="{00000000-0004-0000-0100-00004F1F0000}"/>
    <hyperlink ref="I10095" r:id="rId8017" xr:uid="{00000000-0004-0000-0100-0000501F0000}"/>
    <hyperlink ref="I10096" r:id="rId8018" xr:uid="{00000000-0004-0000-0100-0000511F0000}"/>
    <hyperlink ref="I10097" r:id="rId8019" xr:uid="{00000000-0004-0000-0100-0000521F0000}"/>
    <hyperlink ref="I10098" r:id="rId8020" xr:uid="{00000000-0004-0000-0100-0000531F0000}"/>
    <hyperlink ref="I10099" r:id="rId8021" xr:uid="{00000000-0004-0000-0100-0000541F0000}"/>
    <hyperlink ref="I10100" r:id="rId8022" xr:uid="{00000000-0004-0000-0100-0000551F0000}"/>
    <hyperlink ref="I10101" r:id="rId8023" xr:uid="{00000000-0004-0000-0100-0000561F0000}"/>
    <hyperlink ref="I10102" r:id="rId8024" xr:uid="{00000000-0004-0000-0100-0000571F0000}"/>
    <hyperlink ref="I10103" r:id="rId8025" xr:uid="{00000000-0004-0000-0100-0000581F0000}"/>
    <hyperlink ref="I10104" r:id="rId8026" xr:uid="{00000000-0004-0000-0100-0000591F0000}"/>
    <hyperlink ref="I10105" r:id="rId8027" xr:uid="{00000000-0004-0000-0100-00005A1F0000}"/>
    <hyperlink ref="I10106" r:id="rId8028" xr:uid="{00000000-0004-0000-0100-00005B1F0000}"/>
    <hyperlink ref="I10107" r:id="rId8029" xr:uid="{00000000-0004-0000-0100-00005C1F0000}"/>
    <hyperlink ref="I10108" r:id="rId8030" xr:uid="{00000000-0004-0000-0100-00005D1F0000}"/>
    <hyperlink ref="I10109" r:id="rId8031" xr:uid="{00000000-0004-0000-0100-00005E1F0000}"/>
    <hyperlink ref="I10110" r:id="rId8032" xr:uid="{00000000-0004-0000-0100-00005F1F0000}"/>
    <hyperlink ref="I10111" r:id="rId8033" xr:uid="{00000000-0004-0000-0100-0000601F0000}"/>
    <hyperlink ref="I10112" r:id="rId8034" xr:uid="{00000000-0004-0000-0100-0000611F0000}"/>
    <hyperlink ref="I10113" r:id="rId8035" xr:uid="{00000000-0004-0000-0100-0000621F0000}"/>
    <hyperlink ref="I10114" r:id="rId8036" xr:uid="{00000000-0004-0000-0100-0000631F0000}"/>
    <hyperlink ref="I10115" r:id="rId8037" xr:uid="{00000000-0004-0000-0100-0000641F0000}"/>
    <hyperlink ref="I10116" r:id="rId8038" xr:uid="{00000000-0004-0000-0100-0000651F0000}"/>
    <hyperlink ref="I10117" r:id="rId8039" xr:uid="{00000000-0004-0000-0100-0000661F0000}"/>
    <hyperlink ref="I10118" r:id="rId8040" xr:uid="{00000000-0004-0000-0100-0000671F0000}"/>
    <hyperlink ref="I10119" r:id="rId8041" xr:uid="{00000000-0004-0000-0100-0000681F0000}"/>
    <hyperlink ref="I10120" r:id="rId8042" xr:uid="{00000000-0004-0000-0100-0000691F0000}"/>
    <hyperlink ref="I10121" r:id="rId8043" xr:uid="{00000000-0004-0000-0100-00006A1F0000}"/>
    <hyperlink ref="I10122" r:id="rId8044" xr:uid="{00000000-0004-0000-0100-00006B1F0000}"/>
    <hyperlink ref="I10123" r:id="rId8045" xr:uid="{00000000-0004-0000-0100-00006C1F0000}"/>
    <hyperlink ref="I10124" r:id="rId8046" xr:uid="{00000000-0004-0000-0100-00006D1F0000}"/>
    <hyperlink ref="I10125" r:id="rId8047" xr:uid="{00000000-0004-0000-0100-00006E1F0000}"/>
    <hyperlink ref="I10126" r:id="rId8048" xr:uid="{00000000-0004-0000-0100-00006F1F0000}"/>
    <hyperlink ref="I10127" r:id="rId8049" xr:uid="{00000000-0004-0000-0100-0000701F0000}"/>
    <hyperlink ref="I10128" r:id="rId8050" xr:uid="{00000000-0004-0000-0100-0000711F0000}"/>
    <hyperlink ref="I10129" r:id="rId8051" xr:uid="{00000000-0004-0000-0100-0000721F0000}"/>
    <hyperlink ref="I10130" r:id="rId8052" xr:uid="{00000000-0004-0000-0100-0000731F0000}"/>
    <hyperlink ref="I10131" r:id="rId8053" xr:uid="{00000000-0004-0000-0100-0000741F0000}"/>
    <hyperlink ref="I10132" r:id="rId8054" xr:uid="{00000000-0004-0000-0100-0000751F0000}"/>
    <hyperlink ref="I10133" r:id="rId8055" xr:uid="{00000000-0004-0000-0100-0000761F0000}"/>
    <hyperlink ref="I10134" r:id="rId8056" xr:uid="{00000000-0004-0000-0100-0000771F0000}"/>
    <hyperlink ref="I10135" r:id="rId8057" xr:uid="{00000000-0004-0000-0100-0000781F0000}"/>
    <hyperlink ref="I10136" r:id="rId8058" xr:uid="{00000000-0004-0000-0100-0000791F0000}"/>
    <hyperlink ref="I10137" r:id="rId8059" xr:uid="{00000000-0004-0000-0100-00007A1F0000}"/>
    <hyperlink ref="I10138" r:id="rId8060" xr:uid="{00000000-0004-0000-0100-00007B1F0000}"/>
    <hyperlink ref="I10139" r:id="rId8061" xr:uid="{00000000-0004-0000-0100-00007C1F0000}"/>
    <hyperlink ref="I10140" r:id="rId8062" xr:uid="{00000000-0004-0000-0100-00007D1F0000}"/>
    <hyperlink ref="I10141" r:id="rId8063" xr:uid="{00000000-0004-0000-0100-00007E1F0000}"/>
    <hyperlink ref="I10142" r:id="rId8064" xr:uid="{00000000-0004-0000-0100-00007F1F0000}"/>
    <hyperlink ref="I10143" r:id="rId8065" xr:uid="{00000000-0004-0000-0100-0000801F0000}"/>
    <hyperlink ref="I10144" r:id="rId8066" xr:uid="{00000000-0004-0000-0100-0000811F0000}"/>
    <hyperlink ref="I10145" r:id="rId8067" xr:uid="{00000000-0004-0000-0100-0000821F0000}"/>
    <hyperlink ref="I10146" r:id="rId8068" xr:uid="{00000000-0004-0000-0100-0000831F0000}"/>
    <hyperlink ref="I10147" r:id="rId8069" xr:uid="{00000000-0004-0000-0100-0000841F0000}"/>
    <hyperlink ref="I10148" r:id="rId8070" xr:uid="{00000000-0004-0000-0100-0000851F0000}"/>
    <hyperlink ref="I10149" r:id="rId8071" xr:uid="{00000000-0004-0000-0100-0000861F0000}"/>
    <hyperlink ref="I10150" r:id="rId8072" xr:uid="{00000000-0004-0000-0100-0000871F0000}"/>
    <hyperlink ref="I10151" r:id="rId8073" xr:uid="{00000000-0004-0000-0100-0000881F0000}"/>
    <hyperlink ref="I10152" r:id="rId8074" xr:uid="{00000000-0004-0000-0100-0000891F0000}"/>
    <hyperlink ref="I10153" r:id="rId8075" xr:uid="{00000000-0004-0000-0100-00008A1F0000}"/>
    <hyperlink ref="I10154" r:id="rId8076" xr:uid="{00000000-0004-0000-0100-00008B1F0000}"/>
    <hyperlink ref="I10155" r:id="rId8077" xr:uid="{00000000-0004-0000-0100-00008C1F0000}"/>
    <hyperlink ref="I10156" r:id="rId8078" xr:uid="{00000000-0004-0000-0100-00008D1F0000}"/>
    <hyperlink ref="I10157" r:id="rId8079" xr:uid="{00000000-0004-0000-0100-00008E1F0000}"/>
    <hyperlink ref="I10158" r:id="rId8080" xr:uid="{00000000-0004-0000-0100-00008F1F0000}"/>
    <hyperlink ref="I10159" r:id="rId8081" xr:uid="{00000000-0004-0000-0100-0000901F0000}"/>
    <hyperlink ref="I10160" r:id="rId8082" xr:uid="{00000000-0004-0000-0100-0000911F0000}"/>
    <hyperlink ref="I10161" r:id="rId8083" xr:uid="{00000000-0004-0000-0100-0000921F0000}"/>
    <hyperlink ref="I10162" r:id="rId8084" xr:uid="{00000000-0004-0000-0100-0000931F0000}"/>
    <hyperlink ref="I10163" r:id="rId8085" xr:uid="{00000000-0004-0000-0100-0000941F0000}"/>
    <hyperlink ref="I10164" r:id="rId8086" xr:uid="{00000000-0004-0000-0100-0000951F0000}"/>
    <hyperlink ref="I10165" r:id="rId8087" xr:uid="{00000000-0004-0000-0100-0000961F0000}"/>
    <hyperlink ref="I10166" r:id="rId8088" xr:uid="{00000000-0004-0000-0100-0000971F0000}"/>
    <hyperlink ref="I10167" r:id="rId8089" xr:uid="{00000000-0004-0000-0100-0000981F0000}"/>
    <hyperlink ref="I10168" r:id="rId8090" xr:uid="{00000000-0004-0000-0100-0000991F0000}"/>
    <hyperlink ref="I10169" r:id="rId8091" xr:uid="{00000000-0004-0000-0100-00009A1F0000}"/>
    <hyperlink ref="I10170" r:id="rId8092" xr:uid="{00000000-0004-0000-0100-00009B1F0000}"/>
    <hyperlink ref="I10171" r:id="rId8093" xr:uid="{00000000-0004-0000-0100-00009C1F0000}"/>
    <hyperlink ref="I10172" r:id="rId8094" xr:uid="{00000000-0004-0000-0100-00009D1F0000}"/>
    <hyperlink ref="I10173" r:id="rId8095" xr:uid="{00000000-0004-0000-0100-00009E1F0000}"/>
    <hyperlink ref="I10174" r:id="rId8096" xr:uid="{00000000-0004-0000-0100-00009F1F0000}"/>
    <hyperlink ref="I10175" r:id="rId8097" xr:uid="{00000000-0004-0000-0100-0000A01F0000}"/>
    <hyperlink ref="I10176" r:id="rId8098" xr:uid="{00000000-0004-0000-0100-0000A11F0000}"/>
    <hyperlink ref="I10177" r:id="rId8099" xr:uid="{00000000-0004-0000-0100-0000A21F0000}"/>
    <hyperlink ref="I10178" r:id="rId8100" xr:uid="{00000000-0004-0000-0100-0000A31F0000}"/>
    <hyperlink ref="I10179" r:id="rId8101" xr:uid="{00000000-0004-0000-0100-0000A41F0000}"/>
    <hyperlink ref="I10180" r:id="rId8102" xr:uid="{00000000-0004-0000-0100-0000A51F0000}"/>
    <hyperlink ref="I10181" r:id="rId8103" xr:uid="{00000000-0004-0000-0100-0000A61F0000}"/>
    <hyperlink ref="I10182" r:id="rId8104" xr:uid="{00000000-0004-0000-0100-0000A71F0000}"/>
    <hyperlink ref="I10183" r:id="rId8105" xr:uid="{00000000-0004-0000-0100-0000A81F0000}"/>
    <hyperlink ref="I10184" r:id="rId8106" xr:uid="{00000000-0004-0000-0100-0000A91F0000}"/>
    <hyperlink ref="I10185" r:id="rId8107" xr:uid="{00000000-0004-0000-0100-0000AA1F0000}"/>
    <hyperlink ref="I10186" r:id="rId8108" xr:uid="{00000000-0004-0000-0100-0000AB1F0000}"/>
    <hyperlink ref="I10187" r:id="rId8109" xr:uid="{00000000-0004-0000-0100-0000AC1F0000}"/>
    <hyperlink ref="I10188" r:id="rId8110" xr:uid="{00000000-0004-0000-0100-0000AD1F0000}"/>
    <hyperlink ref="I10189" r:id="rId8111" xr:uid="{00000000-0004-0000-0100-0000AE1F0000}"/>
    <hyperlink ref="I10190" r:id="rId8112" xr:uid="{00000000-0004-0000-0100-0000AF1F0000}"/>
    <hyperlink ref="I10191" r:id="rId8113" xr:uid="{00000000-0004-0000-0100-0000B01F0000}"/>
    <hyperlink ref="I10192" r:id="rId8114" xr:uid="{00000000-0004-0000-0100-0000B11F0000}"/>
    <hyperlink ref="I10193" r:id="rId8115" xr:uid="{00000000-0004-0000-0100-0000B21F0000}"/>
    <hyperlink ref="I10194" r:id="rId8116" xr:uid="{00000000-0004-0000-0100-0000B31F0000}"/>
    <hyperlink ref="I10195" r:id="rId8117" xr:uid="{00000000-0004-0000-0100-0000B41F0000}"/>
    <hyperlink ref="I10196" r:id="rId8118" xr:uid="{00000000-0004-0000-0100-0000B51F0000}"/>
    <hyperlink ref="I10197" r:id="rId8119" xr:uid="{00000000-0004-0000-0100-0000B61F0000}"/>
    <hyperlink ref="I10198" r:id="rId8120" xr:uid="{00000000-0004-0000-0100-0000B71F0000}"/>
    <hyperlink ref="I10199" r:id="rId8121" xr:uid="{00000000-0004-0000-0100-0000B81F0000}"/>
    <hyperlink ref="I10200" r:id="rId8122" xr:uid="{00000000-0004-0000-0100-0000B91F0000}"/>
    <hyperlink ref="I10201" r:id="rId8123" xr:uid="{00000000-0004-0000-0100-0000BA1F0000}"/>
    <hyperlink ref="I10202" r:id="rId8124" xr:uid="{00000000-0004-0000-0100-0000BB1F0000}"/>
    <hyperlink ref="I10203" r:id="rId8125" xr:uid="{00000000-0004-0000-0100-0000BC1F0000}"/>
    <hyperlink ref="I10204" r:id="rId8126" xr:uid="{00000000-0004-0000-0100-0000BD1F0000}"/>
    <hyperlink ref="I10205" r:id="rId8127" xr:uid="{00000000-0004-0000-0100-0000BE1F0000}"/>
    <hyperlink ref="I10206" r:id="rId8128" xr:uid="{00000000-0004-0000-0100-0000BF1F0000}"/>
    <hyperlink ref="I10207" r:id="rId8129" xr:uid="{00000000-0004-0000-0100-0000C01F0000}"/>
    <hyperlink ref="I10208" r:id="rId8130" xr:uid="{00000000-0004-0000-0100-0000C11F0000}"/>
    <hyperlink ref="I10209" r:id="rId8131" xr:uid="{00000000-0004-0000-0100-0000C21F0000}"/>
    <hyperlink ref="I10210" r:id="rId8132" xr:uid="{00000000-0004-0000-0100-0000C31F0000}"/>
    <hyperlink ref="I10211" r:id="rId8133" xr:uid="{00000000-0004-0000-0100-0000C41F0000}"/>
    <hyperlink ref="I10212" r:id="rId8134" xr:uid="{00000000-0004-0000-0100-0000C51F0000}"/>
    <hyperlink ref="I10213" r:id="rId8135" xr:uid="{00000000-0004-0000-0100-0000C61F0000}"/>
    <hyperlink ref="I10214" r:id="rId8136" xr:uid="{00000000-0004-0000-0100-0000C71F0000}"/>
    <hyperlink ref="I10215" r:id="rId8137" xr:uid="{00000000-0004-0000-0100-0000C81F0000}"/>
    <hyperlink ref="I10216" r:id="rId8138" xr:uid="{00000000-0004-0000-0100-0000C91F0000}"/>
    <hyperlink ref="I10217" r:id="rId8139" xr:uid="{00000000-0004-0000-0100-0000CA1F0000}"/>
    <hyperlink ref="I10218" r:id="rId8140" xr:uid="{00000000-0004-0000-0100-0000CB1F0000}"/>
    <hyperlink ref="I10219" r:id="rId8141" xr:uid="{00000000-0004-0000-0100-0000CC1F0000}"/>
    <hyperlink ref="I10220" r:id="rId8142" xr:uid="{00000000-0004-0000-0100-0000CD1F0000}"/>
    <hyperlink ref="I10221" r:id="rId8143" xr:uid="{00000000-0004-0000-0100-0000CE1F0000}"/>
    <hyperlink ref="I10222" r:id="rId8144" xr:uid="{00000000-0004-0000-0100-0000CF1F0000}"/>
    <hyperlink ref="I10223" r:id="rId8145" xr:uid="{00000000-0004-0000-0100-0000D01F0000}"/>
    <hyperlink ref="I10224" r:id="rId8146" xr:uid="{00000000-0004-0000-0100-0000D11F0000}"/>
    <hyperlink ref="I10225" r:id="rId8147" xr:uid="{00000000-0004-0000-0100-0000D21F0000}"/>
    <hyperlink ref="I10226" r:id="rId8148" xr:uid="{00000000-0004-0000-0100-0000D31F0000}"/>
    <hyperlink ref="I10227" r:id="rId8149" xr:uid="{00000000-0004-0000-0100-0000D41F0000}"/>
    <hyperlink ref="I10228" r:id="rId8150" xr:uid="{00000000-0004-0000-0100-0000D51F0000}"/>
    <hyperlink ref="I10229" r:id="rId8151" xr:uid="{00000000-0004-0000-0100-0000D61F0000}"/>
    <hyperlink ref="I10230" r:id="rId8152" xr:uid="{00000000-0004-0000-0100-0000D71F0000}"/>
    <hyperlink ref="I10231" r:id="rId8153" xr:uid="{00000000-0004-0000-0100-0000D81F0000}"/>
    <hyperlink ref="I10232" r:id="rId8154" xr:uid="{00000000-0004-0000-0100-0000D91F0000}"/>
    <hyperlink ref="I10233" r:id="rId8155" xr:uid="{00000000-0004-0000-0100-0000DA1F0000}"/>
    <hyperlink ref="I10234" r:id="rId8156" xr:uid="{00000000-0004-0000-0100-0000DB1F0000}"/>
    <hyperlink ref="I10235" r:id="rId8157" xr:uid="{00000000-0004-0000-0100-0000DC1F0000}"/>
    <hyperlink ref="I10236" r:id="rId8158" xr:uid="{00000000-0004-0000-0100-0000DD1F0000}"/>
    <hyperlink ref="I10237" r:id="rId8159" xr:uid="{00000000-0004-0000-0100-0000DE1F0000}"/>
    <hyperlink ref="I10238" r:id="rId8160" xr:uid="{00000000-0004-0000-0100-0000DF1F0000}"/>
    <hyperlink ref="I10239" r:id="rId8161" xr:uid="{00000000-0004-0000-0100-0000E01F0000}"/>
    <hyperlink ref="I10240" r:id="rId8162" xr:uid="{00000000-0004-0000-0100-0000E11F0000}"/>
    <hyperlink ref="I10241" r:id="rId8163" xr:uid="{00000000-0004-0000-0100-0000E21F0000}"/>
    <hyperlink ref="I10242" r:id="rId8164" xr:uid="{00000000-0004-0000-0100-0000E31F0000}"/>
    <hyperlink ref="I10243" r:id="rId8165" xr:uid="{00000000-0004-0000-0100-0000E41F0000}"/>
    <hyperlink ref="I10244" r:id="rId8166" xr:uid="{00000000-0004-0000-0100-0000E51F0000}"/>
    <hyperlink ref="I10245" r:id="rId8167" xr:uid="{00000000-0004-0000-0100-0000E61F0000}"/>
    <hyperlink ref="I10246" r:id="rId8168" xr:uid="{00000000-0004-0000-0100-0000E71F0000}"/>
    <hyperlink ref="I10247" r:id="rId8169" xr:uid="{00000000-0004-0000-0100-0000E81F0000}"/>
    <hyperlink ref="I10248" r:id="rId8170" xr:uid="{00000000-0004-0000-0100-0000E91F0000}"/>
    <hyperlink ref="I10249" r:id="rId8171" xr:uid="{00000000-0004-0000-0100-0000EA1F0000}"/>
    <hyperlink ref="I10250" r:id="rId8172" xr:uid="{00000000-0004-0000-0100-0000EB1F0000}"/>
    <hyperlink ref="I10251" r:id="rId8173" xr:uid="{00000000-0004-0000-0100-0000EC1F0000}"/>
    <hyperlink ref="I10252" r:id="rId8174" xr:uid="{00000000-0004-0000-0100-0000ED1F0000}"/>
    <hyperlink ref="I10253" r:id="rId8175" xr:uid="{00000000-0004-0000-0100-0000EE1F0000}"/>
    <hyperlink ref="I10254" r:id="rId8176" xr:uid="{00000000-0004-0000-0100-0000EF1F0000}"/>
    <hyperlink ref="I10255" r:id="rId8177" xr:uid="{00000000-0004-0000-0100-0000F01F0000}"/>
    <hyperlink ref="I10256" r:id="rId8178" xr:uid="{00000000-0004-0000-0100-0000F11F0000}"/>
    <hyperlink ref="I10257" r:id="rId8179" xr:uid="{00000000-0004-0000-0100-0000F21F0000}"/>
    <hyperlink ref="I10258" r:id="rId8180" xr:uid="{00000000-0004-0000-0100-0000F31F0000}"/>
    <hyperlink ref="I10259" r:id="rId8181" xr:uid="{00000000-0004-0000-0100-0000F41F0000}"/>
    <hyperlink ref="I10260" r:id="rId8182" xr:uid="{00000000-0004-0000-0100-0000F51F0000}"/>
    <hyperlink ref="I10261" r:id="rId8183" xr:uid="{00000000-0004-0000-0100-0000F61F0000}"/>
    <hyperlink ref="I10262" r:id="rId8184" xr:uid="{00000000-0004-0000-0100-0000F71F0000}"/>
    <hyperlink ref="I10263" r:id="rId8185" xr:uid="{00000000-0004-0000-0100-0000F81F0000}"/>
    <hyperlink ref="I10264" r:id="rId8186" xr:uid="{00000000-0004-0000-0100-0000F91F0000}"/>
    <hyperlink ref="I10265" r:id="rId8187" xr:uid="{00000000-0004-0000-0100-0000FA1F0000}"/>
    <hyperlink ref="I10266" r:id="rId8188" xr:uid="{00000000-0004-0000-0100-0000FB1F0000}"/>
    <hyperlink ref="I10267" r:id="rId8189" xr:uid="{00000000-0004-0000-0100-0000FC1F0000}"/>
    <hyperlink ref="I10268" r:id="rId8190" xr:uid="{00000000-0004-0000-0100-0000FD1F0000}"/>
    <hyperlink ref="I10269" r:id="rId8191" xr:uid="{00000000-0004-0000-0100-0000FE1F0000}"/>
    <hyperlink ref="I10270" r:id="rId8192" xr:uid="{00000000-0004-0000-0100-0000FF1F0000}"/>
    <hyperlink ref="I10271" r:id="rId8193" xr:uid="{00000000-0004-0000-0100-000000200000}"/>
    <hyperlink ref="I10272" r:id="rId8194" xr:uid="{00000000-0004-0000-0100-000001200000}"/>
    <hyperlink ref="I10273" r:id="rId8195" xr:uid="{00000000-0004-0000-0100-000002200000}"/>
    <hyperlink ref="I10274" r:id="rId8196" xr:uid="{00000000-0004-0000-0100-000003200000}"/>
    <hyperlink ref="I10275" r:id="rId8197" xr:uid="{00000000-0004-0000-0100-000004200000}"/>
    <hyperlink ref="I10276" r:id="rId8198" xr:uid="{00000000-0004-0000-0100-000005200000}"/>
    <hyperlink ref="I10277" r:id="rId8199" xr:uid="{00000000-0004-0000-0100-000006200000}"/>
    <hyperlink ref="I10278" r:id="rId8200" xr:uid="{00000000-0004-0000-0100-000007200000}"/>
    <hyperlink ref="I10279" r:id="rId8201" xr:uid="{00000000-0004-0000-0100-000008200000}"/>
    <hyperlink ref="I10280" r:id="rId8202" xr:uid="{00000000-0004-0000-0100-000009200000}"/>
    <hyperlink ref="I10281" r:id="rId8203" xr:uid="{00000000-0004-0000-0100-00000A200000}"/>
    <hyperlink ref="I10282" r:id="rId8204" xr:uid="{00000000-0004-0000-0100-00000B200000}"/>
    <hyperlink ref="I10283" r:id="rId8205" xr:uid="{00000000-0004-0000-0100-00000C200000}"/>
    <hyperlink ref="I10284" r:id="rId8206" xr:uid="{00000000-0004-0000-0100-00000D200000}"/>
    <hyperlink ref="I10285" r:id="rId8207" xr:uid="{00000000-0004-0000-0100-00000E200000}"/>
    <hyperlink ref="I10286" r:id="rId8208" xr:uid="{00000000-0004-0000-0100-00000F200000}"/>
    <hyperlink ref="I10287" r:id="rId8209" xr:uid="{00000000-0004-0000-0100-000010200000}"/>
    <hyperlink ref="I10288" r:id="rId8210" xr:uid="{00000000-0004-0000-0100-000011200000}"/>
    <hyperlink ref="I10289" r:id="rId8211" xr:uid="{00000000-0004-0000-0100-000012200000}"/>
    <hyperlink ref="I10290" r:id="rId8212" xr:uid="{00000000-0004-0000-0100-000013200000}"/>
    <hyperlink ref="I10291" r:id="rId8213" xr:uid="{00000000-0004-0000-0100-000014200000}"/>
    <hyperlink ref="I10292" r:id="rId8214" xr:uid="{00000000-0004-0000-0100-000015200000}"/>
    <hyperlink ref="I10293" r:id="rId8215" xr:uid="{00000000-0004-0000-0100-000016200000}"/>
    <hyperlink ref="I10294" r:id="rId8216" xr:uid="{00000000-0004-0000-0100-000017200000}"/>
    <hyperlink ref="I10295" r:id="rId8217" xr:uid="{00000000-0004-0000-0100-000018200000}"/>
    <hyperlink ref="I10296" r:id="rId8218" xr:uid="{00000000-0004-0000-0100-000019200000}"/>
    <hyperlink ref="I10297" r:id="rId8219" xr:uid="{00000000-0004-0000-0100-00001A200000}"/>
    <hyperlink ref="I10298" r:id="rId8220" xr:uid="{00000000-0004-0000-0100-00001B200000}"/>
    <hyperlink ref="I10299" r:id="rId8221" xr:uid="{00000000-0004-0000-0100-00001C200000}"/>
    <hyperlink ref="I10300" r:id="rId8222" xr:uid="{00000000-0004-0000-0100-00001D200000}"/>
    <hyperlink ref="I10301" r:id="rId8223" xr:uid="{00000000-0004-0000-0100-00001E200000}"/>
    <hyperlink ref="I10302" r:id="rId8224" xr:uid="{00000000-0004-0000-0100-00001F200000}"/>
    <hyperlink ref="I10303" r:id="rId8225" xr:uid="{00000000-0004-0000-0100-000020200000}"/>
    <hyperlink ref="I10304" r:id="rId8226" xr:uid="{00000000-0004-0000-0100-000021200000}"/>
    <hyperlink ref="I10305" r:id="rId8227" xr:uid="{00000000-0004-0000-0100-000022200000}"/>
    <hyperlink ref="I10306" r:id="rId8228" xr:uid="{00000000-0004-0000-0100-000023200000}"/>
    <hyperlink ref="I10307" r:id="rId8229" xr:uid="{00000000-0004-0000-0100-000024200000}"/>
    <hyperlink ref="I10308" r:id="rId8230" xr:uid="{00000000-0004-0000-0100-000025200000}"/>
    <hyperlink ref="I10309" r:id="rId8231" xr:uid="{00000000-0004-0000-0100-000026200000}"/>
    <hyperlink ref="I10310" r:id="rId8232" xr:uid="{00000000-0004-0000-0100-000027200000}"/>
    <hyperlink ref="I10311" r:id="rId8233" xr:uid="{00000000-0004-0000-0100-000028200000}"/>
    <hyperlink ref="I10312" r:id="rId8234" xr:uid="{00000000-0004-0000-0100-000029200000}"/>
    <hyperlink ref="I10313" r:id="rId8235" xr:uid="{00000000-0004-0000-0100-00002A200000}"/>
    <hyperlink ref="I10314" r:id="rId8236" xr:uid="{00000000-0004-0000-0100-00002B200000}"/>
    <hyperlink ref="I10315" r:id="rId8237" xr:uid="{00000000-0004-0000-0100-00002C200000}"/>
    <hyperlink ref="I10316" r:id="rId8238" xr:uid="{00000000-0004-0000-0100-00002D200000}"/>
    <hyperlink ref="I10317" r:id="rId8239" xr:uid="{00000000-0004-0000-0100-00002E200000}"/>
    <hyperlink ref="I10318" r:id="rId8240" xr:uid="{00000000-0004-0000-0100-00002F200000}"/>
    <hyperlink ref="I10319" r:id="rId8241" xr:uid="{00000000-0004-0000-0100-000030200000}"/>
    <hyperlink ref="I10320" r:id="rId8242" xr:uid="{00000000-0004-0000-0100-000031200000}"/>
    <hyperlink ref="I10321" r:id="rId8243" xr:uid="{00000000-0004-0000-0100-000032200000}"/>
    <hyperlink ref="I10322" r:id="rId8244" xr:uid="{00000000-0004-0000-0100-000033200000}"/>
    <hyperlink ref="I10323" r:id="rId8245" xr:uid="{00000000-0004-0000-0100-000034200000}"/>
    <hyperlink ref="I10324" r:id="rId8246" xr:uid="{00000000-0004-0000-0100-000035200000}"/>
    <hyperlink ref="I10325" r:id="rId8247" xr:uid="{00000000-0004-0000-0100-000036200000}"/>
    <hyperlink ref="I10326" r:id="rId8248" xr:uid="{00000000-0004-0000-0100-000037200000}"/>
    <hyperlink ref="I10327" r:id="rId8249" xr:uid="{00000000-0004-0000-0100-000038200000}"/>
    <hyperlink ref="I10328" r:id="rId8250" xr:uid="{00000000-0004-0000-0100-000039200000}"/>
    <hyperlink ref="I10329" r:id="rId8251" xr:uid="{00000000-0004-0000-0100-00003A200000}"/>
    <hyperlink ref="I10330" r:id="rId8252" xr:uid="{00000000-0004-0000-0100-00003B200000}"/>
    <hyperlink ref="I10331" r:id="rId8253" xr:uid="{00000000-0004-0000-0100-00003C200000}"/>
    <hyperlink ref="I10332" r:id="rId8254" xr:uid="{00000000-0004-0000-0100-00003D200000}"/>
    <hyperlink ref="I10333" r:id="rId8255" xr:uid="{00000000-0004-0000-0100-00003E200000}"/>
    <hyperlink ref="I10334" r:id="rId8256" xr:uid="{00000000-0004-0000-0100-00003F200000}"/>
    <hyperlink ref="I10335" r:id="rId8257" xr:uid="{00000000-0004-0000-0100-000040200000}"/>
    <hyperlink ref="I10336" r:id="rId8258" xr:uid="{00000000-0004-0000-0100-000041200000}"/>
    <hyperlink ref="I10337" r:id="rId8259" xr:uid="{00000000-0004-0000-0100-000042200000}"/>
    <hyperlink ref="I10338" r:id="rId8260" xr:uid="{00000000-0004-0000-0100-000043200000}"/>
    <hyperlink ref="I10339" r:id="rId8261" xr:uid="{00000000-0004-0000-0100-000044200000}"/>
    <hyperlink ref="I10340" r:id="rId8262" xr:uid="{00000000-0004-0000-0100-000045200000}"/>
    <hyperlink ref="I10341" r:id="rId8263" xr:uid="{00000000-0004-0000-0100-000046200000}"/>
    <hyperlink ref="I10342" r:id="rId8264" xr:uid="{00000000-0004-0000-0100-000047200000}"/>
    <hyperlink ref="I10343" r:id="rId8265" xr:uid="{00000000-0004-0000-0100-000048200000}"/>
    <hyperlink ref="I10344" r:id="rId8266" xr:uid="{00000000-0004-0000-0100-000049200000}"/>
    <hyperlink ref="I10345" r:id="rId8267" xr:uid="{00000000-0004-0000-0100-00004A200000}"/>
    <hyperlink ref="I10346" r:id="rId8268" xr:uid="{00000000-0004-0000-0100-00004B200000}"/>
    <hyperlink ref="I10347" r:id="rId8269" xr:uid="{00000000-0004-0000-0100-00004C200000}"/>
    <hyperlink ref="I10348" r:id="rId8270" xr:uid="{00000000-0004-0000-0100-00004D200000}"/>
    <hyperlink ref="I10349" r:id="rId8271" xr:uid="{00000000-0004-0000-0100-00004E200000}"/>
    <hyperlink ref="I10350" r:id="rId8272" xr:uid="{00000000-0004-0000-0100-00004F200000}"/>
    <hyperlink ref="I10351" r:id="rId8273" xr:uid="{00000000-0004-0000-0100-000050200000}"/>
    <hyperlink ref="I10352" r:id="rId8274" xr:uid="{00000000-0004-0000-0100-000051200000}"/>
    <hyperlink ref="I10353" r:id="rId8275" xr:uid="{00000000-0004-0000-0100-000052200000}"/>
    <hyperlink ref="I10354" r:id="rId8276" xr:uid="{00000000-0004-0000-0100-000053200000}"/>
    <hyperlink ref="I10355" r:id="rId8277" xr:uid="{00000000-0004-0000-0100-000054200000}"/>
    <hyperlink ref="I10356" r:id="rId8278" xr:uid="{00000000-0004-0000-0100-000055200000}"/>
    <hyperlink ref="I10357" r:id="rId8279" xr:uid="{00000000-0004-0000-0100-000056200000}"/>
    <hyperlink ref="I10358" r:id="rId8280" xr:uid="{00000000-0004-0000-0100-000057200000}"/>
    <hyperlink ref="I10359" r:id="rId8281" xr:uid="{00000000-0004-0000-0100-000058200000}"/>
    <hyperlink ref="I10360" r:id="rId8282" xr:uid="{00000000-0004-0000-0100-000059200000}"/>
    <hyperlink ref="I10361" r:id="rId8283" xr:uid="{00000000-0004-0000-0100-00005A200000}"/>
    <hyperlink ref="I10362" r:id="rId8284" xr:uid="{00000000-0004-0000-0100-00005B200000}"/>
    <hyperlink ref="I10363" r:id="rId8285" xr:uid="{00000000-0004-0000-0100-00005C200000}"/>
    <hyperlink ref="I10364" r:id="rId8286" xr:uid="{00000000-0004-0000-0100-00005D200000}"/>
    <hyperlink ref="I10365" r:id="rId8287" xr:uid="{00000000-0004-0000-0100-00005E200000}"/>
    <hyperlink ref="I10366" r:id="rId8288" xr:uid="{00000000-0004-0000-0100-00005F200000}"/>
    <hyperlink ref="I10367" r:id="rId8289" xr:uid="{00000000-0004-0000-0100-000060200000}"/>
    <hyperlink ref="I10368" r:id="rId8290" xr:uid="{00000000-0004-0000-0100-000061200000}"/>
    <hyperlink ref="I10369" r:id="rId8291" xr:uid="{00000000-0004-0000-0100-000062200000}"/>
    <hyperlink ref="I10370" r:id="rId8292" xr:uid="{00000000-0004-0000-0100-000063200000}"/>
    <hyperlink ref="I10371" r:id="rId8293" xr:uid="{00000000-0004-0000-0100-000064200000}"/>
    <hyperlink ref="I10372" r:id="rId8294" xr:uid="{00000000-0004-0000-0100-000065200000}"/>
    <hyperlink ref="I10373" r:id="rId8295" xr:uid="{00000000-0004-0000-0100-000066200000}"/>
    <hyperlink ref="I10374" r:id="rId8296" xr:uid="{00000000-0004-0000-0100-000067200000}"/>
    <hyperlink ref="I10375" r:id="rId8297" xr:uid="{00000000-0004-0000-0100-000068200000}"/>
    <hyperlink ref="I10376" r:id="rId8298" xr:uid="{00000000-0004-0000-0100-000069200000}"/>
    <hyperlink ref="I10377" r:id="rId8299" xr:uid="{00000000-0004-0000-0100-00006A200000}"/>
    <hyperlink ref="I10378" r:id="rId8300" xr:uid="{00000000-0004-0000-0100-00006B200000}"/>
    <hyperlink ref="I10379" r:id="rId8301" xr:uid="{00000000-0004-0000-0100-00006C200000}"/>
    <hyperlink ref="I10380" r:id="rId8302" xr:uid="{00000000-0004-0000-0100-00006D200000}"/>
    <hyperlink ref="I10381" r:id="rId8303" xr:uid="{00000000-0004-0000-0100-00006E200000}"/>
    <hyperlink ref="I10382" r:id="rId8304" xr:uid="{00000000-0004-0000-0100-00006F200000}"/>
    <hyperlink ref="I10383" r:id="rId8305" xr:uid="{00000000-0004-0000-0100-000070200000}"/>
    <hyperlink ref="I10384" r:id="rId8306" xr:uid="{00000000-0004-0000-0100-000071200000}"/>
    <hyperlink ref="I10385" r:id="rId8307" xr:uid="{00000000-0004-0000-0100-000072200000}"/>
    <hyperlink ref="I10386" r:id="rId8308" xr:uid="{00000000-0004-0000-0100-000073200000}"/>
    <hyperlink ref="I10387" r:id="rId8309" xr:uid="{00000000-0004-0000-0100-000074200000}"/>
    <hyperlink ref="I10388" r:id="rId8310" xr:uid="{00000000-0004-0000-0100-000075200000}"/>
    <hyperlink ref="I10389" r:id="rId8311" xr:uid="{00000000-0004-0000-0100-000076200000}"/>
    <hyperlink ref="I10390" r:id="rId8312" xr:uid="{00000000-0004-0000-0100-000077200000}"/>
    <hyperlink ref="I10391" r:id="rId8313" xr:uid="{00000000-0004-0000-0100-000078200000}"/>
    <hyperlink ref="I10392" r:id="rId8314" xr:uid="{00000000-0004-0000-0100-000079200000}"/>
    <hyperlink ref="I10393" r:id="rId8315" xr:uid="{00000000-0004-0000-0100-00007A200000}"/>
    <hyperlink ref="I10394" r:id="rId8316" xr:uid="{00000000-0004-0000-0100-00007B200000}"/>
    <hyperlink ref="I10395" r:id="rId8317" xr:uid="{00000000-0004-0000-0100-00007C200000}"/>
    <hyperlink ref="I10396" r:id="rId8318" xr:uid="{00000000-0004-0000-0100-00007D200000}"/>
    <hyperlink ref="I10397" r:id="rId8319" xr:uid="{00000000-0004-0000-0100-00007E200000}"/>
    <hyperlink ref="I10398" r:id="rId8320" xr:uid="{00000000-0004-0000-0100-00007F200000}"/>
    <hyperlink ref="I10399" r:id="rId8321" xr:uid="{00000000-0004-0000-0100-000080200000}"/>
    <hyperlink ref="I10400" r:id="rId8322" xr:uid="{00000000-0004-0000-0100-000081200000}"/>
    <hyperlink ref="I10401" r:id="rId8323" xr:uid="{00000000-0004-0000-0100-000082200000}"/>
    <hyperlink ref="I10402" r:id="rId8324" xr:uid="{00000000-0004-0000-0100-000083200000}"/>
    <hyperlink ref="I10403" r:id="rId8325" xr:uid="{00000000-0004-0000-0100-000084200000}"/>
    <hyperlink ref="I10404" r:id="rId8326" xr:uid="{00000000-0004-0000-0100-000085200000}"/>
    <hyperlink ref="I10405" r:id="rId8327" xr:uid="{00000000-0004-0000-0100-000086200000}"/>
    <hyperlink ref="I10406" r:id="rId8328" xr:uid="{00000000-0004-0000-0100-000087200000}"/>
    <hyperlink ref="I10407" r:id="rId8329" xr:uid="{00000000-0004-0000-0100-000088200000}"/>
    <hyperlink ref="I10408" r:id="rId8330" xr:uid="{00000000-0004-0000-0100-000089200000}"/>
    <hyperlink ref="I10409" r:id="rId8331" xr:uid="{00000000-0004-0000-0100-00008A200000}"/>
    <hyperlink ref="I10410" r:id="rId8332" xr:uid="{00000000-0004-0000-0100-00008B200000}"/>
    <hyperlink ref="I10411" r:id="rId8333" xr:uid="{00000000-0004-0000-0100-00008C200000}"/>
    <hyperlink ref="I10412" r:id="rId8334" xr:uid="{00000000-0004-0000-0100-00008D200000}"/>
    <hyperlink ref="I10413" r:id="rId8335" xr:uid="{00000000-0004-0000-0100-00008E200000}"/>
    <hyperlink ref="I10414" r:id="rId8336" xr:uid="{00000000-0004-0000-0100-00008F200000}"/>
    <hyperlink ref="I10415" r:id="rId8337" xr:uid="{00000000-0004-0000-0100-000090200000}"/>
    <hyperlink ref="I10416" r:id="rId8338" xr:uid="{00000000-0004-0000-0100-000091200000}"/>
    <hyperlink ref="I10417" r:id="rId8339" xr:uid="{00000000-0004-0000-0100-000092200000}"/>
    <hyperlink ref="I10418" r:id="rId8340" xr:uid="{00000000-0004-0000-0100-000093200000}"/>
    <hyperlink ref="I10419" r:id="rId8341" xr:uid="{00000000-0004-0000-0100-000094200000}"/>
    <hyperlink ref="I10420" r:id="rId8342" xr:uid="{00000000-0004-0000-0100-000095200000}"/>
    <hyperlink ref="I10421" r:id="rId8343" xr:uid="{00000000-0004-0000-0100-000096200000}"/>
    <hyperlink ref="I10422" r:id="rId8344" xr:uid="{00000000-0004-0000-0100-000097200000}"/>
    <hyperlink ref="I10423" r:id="rId8345" xr:uid="{00000000-0004-0000-0100-000098200000}"/>
    <hyperlink ref="I10424" r:id="rId8346" xr:uid="{00000000-0004-0000-0100-000099200000}"/>
    <hyperlink ref="I10425" r:id="rId8347" xr:uid="{00000000-0004-0000-0100-00009A200000}"/>
    <hyperlink ref="I10426" r:id="rId8348" xr:uid="{00000000-0004-0000-0100-00009B200000}"/>
    <hyperlink ref="I10427" r:id="rId8349" xr:uid="{00000000-0004-0000-0100-00009C200000}"/>
    <hyperlink ref="I10428" r:id="rId8350" xr:uid="{00000000-0004-0000-0100-00009D200000}"/>
    <hyperlink ref="I10429" r:id="rId8351" xr:uid="{00000000-0004-0000-0100-00009E200000}"/>
    <hyperlink ref="I10430" r:id="rId8352" xr:uid="{00000000-0004-0000-0100-00009F200000}"/>
    <hyperlink ref="I10431" r:id="rId8353" xr:uid="{00000000-0004-0000-0100-0000A0200000}"/>
    <hyperlink ref="I10432" r:id="rId8354" xr:uid="{00000000-0004-0000-0100-0000A1200000}"/>
    <hyperlink ref="I10433" r:id="rId8355" xr:uid="{00000000-0004-0000-0100-0000A2200000}"/>
    <hyperlink ref="I10434" r:id="rId8356" xr:uid="{00000000-0004-0000-0100-0000A3200000}"/>
    <hyperlink ref="I10435" r:id="rId8357" xr:uid="{00000000-0004-0000-0100-0000A4200000}"/>
    <hyperlink ref="I10436" r:id="rId8358" xr:uid="{00000000-0004-0000-0100-0000A5200000}"/>
    <hyperlink ref="I10437" r:id="rId8359" xr:uid="{00000000-0004-0000-0100-0000A6200000}"/>
    <hyperlink ref="I10438" r:id="rId8360" xr:uid="{00000000-0004-0000-0100-0000A7200000}"/>
    <hyperlink ref="I10439" r:id="rId8361" xr:uid="{00000000-0004-0000-0100-0000A8200000}"/>
    <hyperlink ref="I10440" r:id="rId8362" xr:uid="{00000000-0004-0000-0100-0000A9200000}"/>
    <hyperlink ref="I10441" r:id="rId8363" xr:uid="{00000000-0004-0000-0100-0000AA200000}"/>
    <hyperlink ref="I10442" r:id="rId8364" xr:uid="{00000000-0004-0000-0100-0000AB200000}"/>
    <hyperlink ref="I10443" r:id="rId8365" xr:uid="{00000000-0004-0000-0100-0000AC200000}"/>
    <hyperlink ref="I10444" r:id="rId8366" xr:uid="{00000000-0004-0000-0100-0000AD200000}"/>
    <hyperlink ref="I10445" r:id="rId8367" xr:uid="{00000000-0004-0000-0100-0000AE200000}"/>
    <hyperlink ref="I10446" r:id="rId8368" xr:uid="{00000000-0004-0000-0100-0000AF200000}"/>
    <hyperlink ref="I10447" r:id="rId8369" xr:uid="{00000000-0004-0000-0100-0000B0200000}"/>
    <hyperlink ref="I10448" r:id="rId8370" xr:uid="{00000000-0004-0000-0100-0000B1200000}"/>
    <hyperlink ref="I10449" r:id="rId8371" xr:uid="{00000000-0004-0000-0100-0000B2200000}"/>
    <hyperlink ref="I10450" r:id="rId8372" xr:uid="{00000000-0004-0000-0100-0000B3200000}"/>
    <hyperlink ref="I10451" r:id="rId8373" xr:uid="{00000000-0004-0000-0100-0000B4200000}"/>
    <hyperlink ref="I10452" r:id="rId8374" xr:uid="{00000000-0004-0000-0100-0000B5200000}"/>
    <hyperlink ref="I10453" r:id="rId8375" xr:uid="{00000000-0004-0000-0100-0000B6200000}"/>
    <hyperlink ref="I10454" r:id="rId8376" xr:uid="{00000000-0004-0000-0100-0000B7200000}"/>
    <hyperlink ref="I10455" r:id="rId8377" xr:uid="{00000000-0004-0000-0100-0000B8200000}"/>
    <hyperlink ref="I10456" r:id="rId8378" xr:uid="{00000000-0004-0000-0100-0000B9200000}"/>
    <hyperlink ref="I10457" r:id="rId8379" xr:uid="{00000000-0004-0000-0100-0000BA200000}"/>
    <hyperlink ref="I10458" r:id="rId8380" xr:uid="{00000000-0004-0000-0100-0000BB200000}"/>
    <hyperlink ref="I10459" r:id="rId8381" xr:uid="{00000000-0004-0000-0100-0000BC200000}"/>
    <hyperlink ref="I10460" r:id="rId8382" xr:uid="{00000000-0004-0000-0100-0000BD200000}"/>
    <hyperlink ref="I10461" r:id="rId8383" xr:uid="{00000000-0004-0000-0100-0000BE200000}"/>
    <hyperlink ref="I10462" r:id="rId8384" xr:uid="{00000000-0004-0000-0100-0000BF200000}"/>
    <hyperlink ref="I10463" r:id="rId8385" xr:uid="{00000000-0004-0000-0100-0000C0200000}"/>
    <hyperlink ref="I10464" r:id="rId8386" xr:uid="{00000000-0004-0000-0100-0000C1200000}"/>
    <hyperlink ref="I10465" r:id="rId8387" xr:uid="{00000000-0004-0000-0100-0000C2200000}"/>
    <hyperlink ref="I10466" r:id="rId8388" xr:uid="{00000000-0004-0000-0100-0000C3200000}"/>
    <hyperlink ref="I10467" r:id="rId8389" xr:uid="{00000000-0004-0000-0100-0000C4200000}"/>
    <hyperlink ref="I10468" r:id="rId8390" xr:uid="{00000000-0004-0000-0100-0000C5200000}"/>
    <hyperlink ref="I10469" r:id="rId8391" xr:uid="{00000000-0004-0000-0100-0000C6200000}"/>
    <hyperlink ref="I10470" r:id="rId8392" xr:uid="{00000000-0004-0000-0100-0000C7200000}"/>
    <hyperlink ref="I10471" r:id="rId8393" xr:uid="{00000000-0004-0000-0100-0000C8200000}"/>
    <hyperlink ref="I10472" r:id="rId8394" xr:uid="{00000000-0004-0000-0100-0000C9200000}"/>
    <hyperlink ref="I10473" r:id="rId8395" xr:uid="{00000000-0004-0000-0100-0000CA200000}"/>
    <hyperlink ref="I10474" r:id="rId8396" xr:uid="{00000000-0004-0000-0100-0000CB200000}"/>
    <hyperlink ref="I10475" r:id="rId8397" xr:uid="{00000000-0004-0000-0100-0000CC200000}"/>
    <hyperlink ref="I10476" r:id="rId8398" xr:uid="{00000000-0004-0000-0100-0000CD200000}"/>
    <hyperlink ref="I10477" r:id="rId8399" xr:uid="{00000000-0004-0000-0100-0000CE200000}"/>
    <hyperlink ref="I10478" r:id="rId8400" xr:uid="{00000000-0004-0000-0100-0000CF200000}"/>
    <hyperlink ref="I10479" r:id="rId8401" xr:uid="{00000000-0004-0000-0100-0000D0200000}"/>
    <hyperlink ref="I10480" r:id="rId8402" xr:uid="{00000000-0004-0000-0100-0000D1200000}"/>
    <hyperlink ref="I10481" r:id="rId8403" xr:uid="{00000000-0004-0000-0100-0000D2200000}"/>
    <hyperlink ref="I10482" r:id="rId8404" xr:uid="{00000000-0004-0000-0100-0000D3200000}"/>
    <hyperlink ref="I10483" r:id="rId8405" xr:uid="{00000000-0004-0000-0100-0000D4200000}"/>
    <hyperlink ref="I10484" r:id="rId8406" xr:uid="{00000000-0004-0000-0100-0000D5200000}"/>
    <hyperlink ref="I10485" r:id="rId8407" xr:uid="{00000000-0004-0000-0100-0000D6200000}"/>
    <hyperlink ref="I10486" r:id="rId8408" xr:uid="{00000000-0004-0000-0100-0000D7200000}"/>
    <hyperlink ref="I10487" r:id="rId8409" xr:uid="{00000000-0004-0000-0100-0000D8200000}"/>
    <hyperlink ref="I10488" r:id="rId8410" xr:uid="{00000000-0004-0000-0100-0000D9200000}"/>
    <hyperlink ref="I10489" r:id="rId8411" xr:uid="{00000000-0004-0000-0100-0000DA200000}"/>
    <hyperlink ref="I10490" r:id="rId8412" xr:uid="{00000000-0004-0000-0100-0000DB200000}"/>
    <hyperlink ref="I10491" r:id="rId8413" xr:uid="{00000000-0004-0000-0100-0000DC200000}"/>
    <hyperlink ref="I10492" r:id="rId8414" xr:uid="{00000000-0004-0000-0100-0000DD200000}"/>
    <hyperlink ref="I10493" r:id="rId8415" xr:uid="{00000000-0004-0000-0100-0000DE200000}"/>
    <hyperlink ref="I10494" r:id="rId8416" xr:uid="{00000000-0004-0000-0100-0000DF200000}"/>
    <hyperlink ref="I10495" r:id="rId8417" xr:uid="{00000000-0004-0000-0100-0000E0200000}"/>
    <hyperlink ref="I10496" r:id="rId8418" xr:uid="{00000000-0004-0000-0100-0000E1200000}"/>
    <hyperlink ref="I10497" r:id="rId8419" xr:uid="{00000000-0004-0000-0100-0000E2200000}"/>
    <hyperlink ref="I10498" r:id="rId8420" xr:uid="{00000000-0004-0000-0100-0000E3200000}"/>
    <hyperlink ref="I10499" r:id="rId8421" xr:uid="{00000000-0004-0000-0100-0000E4200000}"/>
    <hyperlink ref="I10500" r:id="rId8422" xr:uid="{00000000-0004-0000-0100-0000E5200000}"/>
    <hyperlink ref="I10501" r:id="rId8423" xr:uid="{00000000-0004-0000-0100-0000E6200000}"/>
    <hyperlink ref="I10502" r:id="rId8424" xr:uid="{00000000-0004-0000-0100-0000E7200000}"/>
    <hyperlink ref="I10503" r:id="rId8425" xr:uid="{00000000-0004-0000-0100-0000E8200000}"/>
    <hyperlink ref="I10504" r:id="rId8426" xr:uid="{00000000-0004-0000-0100-0000E9200000}"/>
    <hyperlink ref="I10505" r:id="rId8427" xr:uid="{00000000-0004-0000-0100-0000EA200000}"/>
    <hyperlink ref="I10506" r:id="rId8428" xr:uid="{00000000-0004-0000-0100-0000EB200000}"/>
    <hyperlink ref="I10507" r:id="rId8429" xr:uid="{00000000-0004-0000-0100-0000EC200000}"/>
    <hyperlink ref="I10508" r:id="rId8430" xr:uid="{00000000-0004-0000-0100-0000ED200000}"/>
    <hyperlink ref="I10509" r:id="rId8431" xr:uid="{00000000-0004-0000-0100-0000EE200000}"/>
    <hyperlink ref="I10510" r:id="rId8432" xr:uid="{00000000-0004-0000-0100-0000EF200000}"/>
    <hyperlink ref="I10511" r:id="rId8433" xr:uid="{00000000-0004-0000-0100-0000F0200000}"/>
    <hyperlink ref="I10512" r:id="rId8434" xr:uid="{00000000-0004-0000-0100-0000F1200000}"/>
    <hyperlink ref="I10513" r:id="rId8435" xr:uid="{00000000-0004-0000-0100-0000F2200000}"/>
    <hyperlink ref="I10514" r:id="rId8436" xr:uid="{00000000-0004-0000-0100-0000F3200000}"/>
    <hyperlink ref="I10515" r:id="rId8437" xr:uid="{00000000-0004-0000-0100-0000F4200000}"/>
    <hyperlink ref="I10516" r:id="rId8438" xr:uid="{00000000-0004-0000-0100-0000F5200000}"/>
    <hyperlink ref="I10517" r:id="rId8439" xr:uid="{00000000-0004-0000-0100-0000F6200000}"/>
    <hyperlink ref="I10518" r:id="rId8440" xr:uid="{00000000-0004-0000-0100-0000F7200000}"/>
    <hyperlink ref="I10519" r:id="rId8441" xr:uid="{00000000-0004-0000-0100-0000F8200000}"/>
    <hyperlink ref="I10520" r:id="rId8442" xr:uid="{00000000-0004-0000-0100-0000F9200000}"/>
    <hyperlink ref="I10521" r:id="rId8443" xr:uid="{00000000-0004-0000-0100-0000FA200000}"/>
    <hyperlink ref="I10522" r:id="rId8444" xr:uid="{00000000-0004-0000-0100-0000FB200000}"/>
    <hyperlink ref="I10523" r:id="rId8445" xr:uid="{00000000-0004-0000-0100-0000FC200000}"/>
    <hyperlink ref="I10524" r:id="rId8446" xr:uid="{00000000-0004-0000-0100-0000FD200000}"/>
    <hyperlink ref="I10525" r:id="rId8447" xr:uid="{00000000-0004-0000-0100-0000FE200000}"/>
    <hyperlink ref="I10526" r:id="rId8448" xr:uid="{00000000-0004-0000-0100-0000FF200000}"/>
    <hyperlink ref="I10527" r:id="rId8449" xr:uid="{00000000-0004-0000-0100-000000210000}"/>
    <hyperlink ref="I10528" r:id="rId8450" xr:uid="{00000000-0004-0000-0100-000001210000}"/>
    <hyperlink ref="I10529" r:id="rId8451" xr:uid="{00000000-0004-0000-0100-000002210000}"/>
    <hyperlink ref="I10530" r:id="rId8452" xr:uid="{00000000-0004-0000-0100-000003210000}"/>
    <hyperlink ref="I10531" r:id="rId8453" xr:uid="{00000000-0004-0000-0100-000004210000}"/>
    <hyperlink ref="I10532" r:id="rId8454" xr:uid="{00000000-0004-0000-0100-000005210000}"/>
    <hyperlink ref="I10533" r:id="rId8455" xr:uid="{00000000-0004-0000-0100-000006210000}"/>
    <hyperlink ref="I10534" r:id="rId8456" xr:uid="{00000000-0004-0000-0100-000007210000}"/>
    <hyperlink ref="I10535" r:id="rId8457" xr:uid="{00000000-0004-0000-0100-000008210000}"/>
    <hyperlink ref="I10536" r:id="rId8458" xr:uid="{00000000-0004-0000-0100-000009210000}"/>
    <hyperlink ref="I10537" r:id="rId8459" xr:uid="{00000000-0004-0000-0100-00000A210000}"/>
    <hyperlink ref="I10538" r:id="rId8460" xr:uid="{00000000-0004-0000-0100-00000B210000}"/>
    <hyperlink ref="I10539" r:id="rId8461" xr:uid="{00000000-0004-0000-0100-00000C210000}"/>
    <hyperlink ref="I10540" r:id="rId8462" xr:uid="{00000000-0004-0000-0100-00000D210000}"/>
    <hyperlink ref="I10541" r:id="rId8463" xr:uid="{00000000-0004-0000-0100-00000E210000}"/>
    <hyperlink ref="I10542" r:id="rId8464" xr:uid="{00000000-0004-0000-0100-00000F210000}"/>
    <hyperlink ref="I10543" r:id="rId8465" xr:uid="{00000000-0004-0000-0100-000010210000}"/>
    <hyperlink ref="I10544" r:id="rId8466" xr:uid="{00000000-0004-0000-0100-000011210000}"/>
    <hyperlink ref="I10545" r:id="rId8467" xr:uid="{00000000-0004-0000-0100-000012210000}"/>
    <hyperlink ref="I10546" r:id="rId8468" xr:uid="{00000000-0004-0000-0100-000013210000}"/>
    <hyperlink ref="I10547" r:id="rId8469" xr:uid="{00000000-0004-0000-0100-000014210000}"/>
    <hyperlink ref="I10548" r:id="rId8470" xr:uid="{00000000-0004-0000-0100-000015210000}"/>
    <hyperlink ref="I10549" r:id="rId8471" xr:uid="{00000000-0004-0000-0100-000016210000}"/>
    <hyperlink ref="I10550" r:id="rId8472" xr:uid="{00000000-0004-0000-0100-000017210000}"/>
    <hyperlink ref="I10551" r:id="rId8473" xr:uid="{00000000-0004-0000-0100-000018210000}"/>
    <hyperlink ref="I10552" r:id="rId8474" xr:uid="{00000000-0004-0000-0100-000019210000}"/>
    <hyperlink ref="I10553" r:id="rId8475" xr:uid="{00000000-0004-0000-0100-00001A210000}"/>
    <hyperlink ref="I10554" r:id="rId8476" xr:uid="{00000000-0004-0000-0100-00001B210000}"/>
    <hyperlink ref="I10555" r:id="rId8477" xr:uid="{00000000-0004-0000-0100-00001C210000}"/>
    <hyperlink ref="I10556" r:id="rId8478" xr:uid="{00000000-0004-0000-0100-00001D210000}"/>
    <hyperlink ref="I10557" r:id="rId8479" xr:uid="{00000000-0004-0000-0100-00001E210000}"/>
    <hyperlink ref="I10558" r:id="rId8480" xr:uid="{00000000-0004-0000-0100-00001F210000}"/>
    <hyperlink ref="I10559" r:id="rId8481" xr:uid="{00000000-0004-0000-0100-000020210000}"/>
    <hyperlink ref="I10560" r:id="rId8482" xr:uid="{00000000-0004-0000-0100-000021210000}"/>
    <hyperlink ref="I10561" r:id="rId8483" xr:uid="{00000000-0004-0000-0100-000022210000}"/>
    <hyperlink ref="I10562" r:id="rId8484" xr:uid="{00000000-0004-0000-0100-000023210000}"/>
    <hyperlink ref="I10563" r:id="rId8485" xr:uid="{00000000-0004-0000-0100-000024210000}"/>
    <hyperlink ref="I10564" r:id="rId8486" xr:uid="{00000000-0004-0000-0100-000025210000}"/>
    <hyperlink ref="I10565" r:id="rId8487" xr:uid="{00000000-0004-0000-0100-000026210000}"/>
    <hyperlink ref="I10566" r:id="rId8488" xr:uid="{00000000-0004-0000-0100-000027210000}"/>
    <hyperlink ref="I10567" r:id="rId8489" xr:uid="{00000000-0004-0000-0100-000028210000}"/>
    <hyperlink ref="I10568" r:id="rId8490" xr:uid="{00000000-0004-0000-0100-000029210000}"/>
    <hyperlink ref="I10569" r:id="rId8491" xr:uid="{00000000-0004-0000-0100-00002A210000}"/>
    <hyperlink ref="I10570" r:id="rId8492" xr:uid="{00000000-0004-0000-0100-00002B210000}"/>
    <hyperlink ref="I10571" r:id="rId8493" xr:uid="{00000000-0004-0000-0100-00002C210000}"/>
    <hyperlink ref="I10572" r:id="rId8494" xr:uid="{00000000-0004-0000-0100-00002D210000}"/>
    <hyperlink ref="I10573" r:id="rId8495" xr:uid="{00000000-0004-0000-0100-00002E210000}"/>
    <hyperlink ref="I10574" r:id="rId8496" xr:uid="{00000000-0004-0000-0100-00002F210000}"/>
    <hyperlink ref="I10575" r:id="rId8497" xr:uid="{00000000-0004-0000-0100-000030210000}"/>
    <hyperlink ref="I10576" r:id="rId8498" xr:uid="{00000000-0004-0000-0100-000031210000}"/>
    <hyperlink ref="I10577" r:id="rId8499" xr:uid="{00000000-0004-0000-0100-000032210000}"/>
    <hyperlink ref="I10578" r:id="rId8500" xr:uid="{00000000-0004-0000-0100-000033210000}"/>
    <hyperlink ref="I10579" r:id="rId8501" xr:uid="{00000000-0004-0000-0100-000034210000}"/>
    <hyperlink ref="I10580" r:id="rId8502" xr:uid="{00000000-0004-0000-0100-000035210000}"/>
    <hyperlink ref="I10581" r:id="rId8503" xr:uid="{00000000-0004-0000-0100-000036210000}"/>
    <hyperlink ref="I10582" r:id="rId8504" xr:uid="{00000000-0004-0000-0100-000037210000}"/>
    <hyperlink ref="I10583" r:id="rId8505" xr:uid="{00000000-0004-0000-0100-000038210000}"/>
    <hyperlink ref="I10584" r:id="rId8506" xr:uid="{00000000-0004-0000-0100-000039210000}"/>
    <hyperlink ref="I10585" r:id="rId8507" xr:uid="{00000000-0004-0000-0100-00003A210000}"/>
    <hyperlink ref="I10586" r:id="rId8508" xr:uid="{00000000-0004-0000-0100-00003B210000}"/>
    <hyperlink ref="I10587" r:id="rId8509" xr:uid="{00000000-0004-0000-0100-00003C210000}"/>
    <hyperlink ref="I10588" r:id="rId8510" xr:uid="{00000000-0004-0000-0100-00003D210000}"/>
    <hyperlink ref="I10589" r:id="rId8511" xr:uid="{00000000-0004-0000-0100-00003E210000}"/>
    <hyperlink ref="I10590" r:id="rId8512" xr:uid="{00000000-0004-0000-0100-00003F210000}"/>
    <hyperlink ref="I10591" r:id="rId8513" xr:uid="{00000000-0004-0000-0100-000040210000}"/>
    <hyperlink ref="I10592" r:id="rId8514" xr:uid="{00000000-0004-0000-0100-000041210000}"/>
    <hyperlink ref="I10593" r:id="rId8515" xr:uid="{00000000-0004-0000-0100-000042210000}"/>
    <hyperlink ref="I10594" r:id="rId8516" xr:uid="{00000000-0004-0000-0100-000043210000}"/>
    <hyperlink ref="I10595" r:id="rId8517" xr:uid="{00000000-0004-0000-0100-000044210000}"/>
    <hyperlink ref="I10596" r:id="rId8518" xr:uid="{00000000-0004-0000-0100-000045210000}"/>
    <hyperlink ref="I10597" r:id="rId8519" xr:uid="{00000000-0004-0000-0100-000046210000}"/>
    <hyperlink ref="I10598" r:id="rId8520" xr:uid="{00000000-0004-0000-0100-000047210000}"/>
    <hyperlink ref="I10599" r:id="rId8521" xr:uid="{00000000-0004-0000-0100-000048210000}"/>
    <hyperlink ref="I10600" r:id="rId8522" xr:uid="{00000000-0004-0000-0100-000049210000}"/>
    <hyperlink ref="I10601" r:id="rId8523" xr:uid="{00000000-0004-0000-0100-00004A210000}"/>
    <hyperlink ref="I10602" r:id="rId8524" xr:uid="{00000000-0004-0000-0100-00004B210000}"/>
    <hyperlink ref="I10603" r:id="rId8525" xr:uid="{00000000-0004-0000-0100-00004C210000}"/>
    <hyperlink ref="I10604" r:id="rId8526" xr:uid="{00000000-0004-0000-0100-00004D210000}"/>
    <hyperlink ref="I10605" r:id="rId8527" xr:uid="{00000000-0004-0000-0100-00004E210000}"/>
    <hyperlink ref="I10606" r:id="rId8528" xr:uid="{00000000-0004-0000-0100-00004F210000}"/>
    <hyperlink ref="I10607" r:id="rId8529" xr:uid="{00000000-0004-0000-0100-000050210000}"/>
    <hyperlink ref="I10608" r:id="rId8530" xr:uid="{00000000-0004-0000-0100-000051210000}"/>
    <hyperlink ref="I10609" r:id="rId8531" xr:uid="{00000000-0004-0000-0100-000052210000}"/>
    <hyperlink ref="I10610" r:id="rId8532" xr:uid="{00000000-0004-0000-0100-000053210000}"/>
    <hyperlink ref="I10611" r:id="rId8533" xr:uid="{00000000-0004-0000-0100-000054210000}"/>
    <hyperlink ref="I10612" r:id="rId8534" xr:uid="{00000000-0004-0000-0100-000055210000}"/>
    <hyperlink ref="I10613" r:id="rId8535" xr:uid="{00000000-0004-0000-0100-000056210000}"/>
    <hyperlink ref="I10614" r:id="rId8536" xr:uid="{00000000-0004-0000-0100-000057210000}"/>
    <hyperlink ref="I10615" r:id="rId8537" xr:uid="{00000000-0004-0000-0100-000058210000}"/>
    <hyperlink ref="I10616" r:id="rId8538" xr:uid="{00000000-0004-0000-0100-000059210000}"/>
    <hyperlink ref="I10617" r:id="rId8539" xr:uid="{00000000-0004-0000-0100-00005A210000}"/>
    <hyperlink ref="I10618" r:id="rId8540" xr:uid="{00000000-0004-0000-0100-00005B210000}"/>
    <hyperlink ref="I10619" r:id="rId8541" xr:uid="{00000000-0004-0000-0100-00005C210000}"/>
    <hyperlink ref="I10620" r:id="rId8542" xr:uid="{00000000-0004-0000-0100-00005D210000}"/>
    <hyperlink ref="I10621" r:id="rId8543" xr:uid="{00000000-0004-0000-0100-00005E210000}"/>
    <hyperlink ref="I10622" r:id="rId8544" xr:uid="{00000000-0004-0000-0100-00005F210000}"/>
    <hyperlink ref="I10623" r:id="rId8545" xr:uid="{00000000-0004-0000-0100-000060210000}"/>
    <hyperlink ref="I10624" r:id="rId8546" xr:uid="{00000000-0004-0000-0100-000061210000}"/>
    <hyperlink ref="I10625" r:id="rId8547" xr:uid="{00000000-0004-0000-0100-000062210000}"/>
    <hyperlink ref="I10626" r:id="rId8548" xr:uid="{00000000-0004-0000-0100-000063210000}"/>
    <hyperlink ref="I10627" r:id="rId8549" xr:uid="{00000000-0004-0000-0100-000064210000}"/>
    <hyperlink ref="I10628" r:id="rId8550" xr:uid="{00000000-0004-0000-0100-000065210000}"/>
    <hyperlink ref="I10629" r:id="rId8551" xr:uid="{00000000-0004-0000-0100-000066210000}"/>
    <hyperlink ref="I10630" r:id="rId8552" xr:uid="{00000000-0004-0000-0100-000067210000}"/>
    <hyperlink ref="I10631" r:id="rId8553" xr:uid="{00000000-0004-0000-0100-000068210000}"/>
    <hyperlink ref="I10632" r:id="rId8554" xr:uid="{00000000-0004-0000-0100-000069210000}"/>
    <hyperlink ref="I10633" r:id="rId8555" xr:uid="{00000000-0004-0000-0100-00006A210000}"/>
    <hyperlink ref="I10634" r:id="rId8556" xr:uid="{00000000-0004-0000-0100-00006B210000}"/>
    <hyperlink ref="I10635" r:id="rId8557" xr:uid="{00000000-0004-0000-0100-00006C210000}"/>
    <hyperlink ref="I10636" r:id="rId8558" xr:uid="{00000000-0004-0000-0100-00006D210000}"/>
    <hyperlink ref="I10637" r:id="rId8559" xr:uid="{00000000-0004-0000-0100-00006E210000}"/>
    <hyperlink ref="I10638" r:id="rId8560" xr:uid="{00000000-0004-0000-0100-00006F210000}"/>
    <hyperlink ref="I10639" r:id="rId8561" xr:uid="{00000000-0004-0000-0100-000070210000}"/>
    <hyperlink ref="I10640" r:id="rId8562" xr:uid="{00000000-0004-0000-0100-000071210000}"/>
    <hyperlink ref="I10641" r:id="rId8563" xr:uid="{00000000-0004-0000-0100-000072210000}"/>
    <hyperlink ref="I10642" r:id="rId8564" xr:uid="{00000000-0004-0000-0100-000073210000}"/>
    <hyperlink ref="I10643" r:id="rId8565" xr:uid="{00000000-0004-0000-0100-000074210000}"/>
    <hyperlink ref="I10644" r:id="rId8566" xr:uid="{00000000-0004-0000-0100-000075210000}"/>
    <hyperlink ref="I10645" r:id="rId8567" xr:uid="{00000000-0004-0000-0100-000076210000}"/>
    <hyperlink ref="I10646" r:id="rId8568" xr:uid="{00000000-0004-0000-0100-000077210000}"/>
    <hyperlink ref="I10647" r:id="rId8569" xr:uid="{00000000-0004-0000-0100-000078210000}"/>
    <hyperlink ref="I10648" r:id="rId8570" xr:uid="{00000000-0004-0000-0100-000079210000}"/>
    <hyperlink ref="I10649" r:id="rId8571" xr:uid="{00000000-0004-0000-0100-00007A210000}"/>
    <hyperlink ref="I10650" r:id="rId8572" xr:uid="{00000000-0004-0000-0100-00007B210000}"/>
    <hyperlink ref="I10651" r:id="rId8573" xr:uid="{00000000-0004-0000-0100-00007C210000}"/>
    <hyperlink ref="I10652" r:id="rId8574" xr:uid="{00000000-0004-0000-0100-00007D210000}"/>
    <hyperlink ref="I10653" r:id="rId8575" xr:uid="{00000000-0004-0000-0100-00007E210000}"/>
    <hyperlink ref="I10654" r:id="rId8576" xr:uid="{00000000-0004-0000-0100-00007F210000}"/>
    <hyperlink ref="I10655" r:id="rId8577" xr:uid="{00000000-0004-0000-0100-000080210000}"/>
    <hyperlink ref="I10656" r:id="rId8578" xr:uid="{00000000-0004-0000-0100-000081210000}"/>
    <hyperlink ref="I10657" r:id="rId8579" xr:uid="{00000000-0004-0000-0100-000082210000}"/>
    <hyperlink ref="I10658" r:id="rId8580" xr:uid="{00000000-0004-0000-0100-000083210000}"/>
    <hyperlink ref="I10659" r:id="rId8581" xr:uid="{00000000-0004-0000-0100-000084210000}"/>
    <hyperlink ref="I10660" r:id="rId8582" xr:uid="{00000000-0004-0000-0100-000085210000}"/>
    <hyperlink ref="I10661" r:id="rId8583" xr:uid="{00000000-0004-0000-0100-000086210000}"/>
    <hyperlink ref="I10662" r:id="rId8584" xr:uid="{00000000-0004-0000-0100-000087210000}"/>
    <hyperlink ref="I10663" r:id="rId8585" xr:uid="{00000000-0004-0000-0100-000088210000}"/>
    <hyperlink ref="I10664" r:id="rId8586" xr:uid="{00000000-0004-0000-0100-000089210000}"/>
    <hyperlink ref="I10665" r:id="rId8587" xr:uid="{00000000-0004-0000-0100-00008A210000}"/>
    <hyperlink ref="I10666" r:id="rId8588" xr:uid="{00000000-0004-0000-0100-00008B210000}"/>
    <hyperlink ref="I10667" r:id="rId8589" xr:uid="{00000000-0004-0000-0100-00008C210000}"/>
    <hyperlink ref="I10668" r:id="rId8590" xr:uid="{00000000-0004-0000-0100-00008D210000}"/>
    <hyperlink ref="I10669" r:id="rId8591" xr:uid="{00000000-0004-0000-0100-00008E210000}"/>
    <hyperlink ref="I10670" r:id="rId8592" xr:uid="{00000000-0004-0000-0100-00008F210000}"/>
    <hyperlink ref="I10671" r:id="rId8593" xr:uid="{00000000-0004-0000-0100-000090210000}"/>
    <hyperlink ref="I10672" r:id="rId8594" xr:uid="{00000000-0004-0000-0100-000091210000}"/>
    <hyperlink ref="I10673" r:id="rId8595" xr:uid="{00000000-0004-0000-0100-000092210000}"/>
    <hyperlink ref="I10674" r:id="rId8596" xr:uid="{00000000-0004-0000-0100-000093210000}"/>
    <hyperlink ref="I10675" r:id="rId8597" xr:uid="{00000000-0004-0000-0100-000094210000}"/>
    <hyperlink ref="I10676" r:id="rId8598" xr:uid="{00000000-0004-0000-0100-000095210000}"/>
    <hyperlink ref="I10677" r:id="rId8599" xr:uid="{00000000-0004-0000-0100-000096210000}"/>
    <hyperlink ref="I10678" r:id="rId8600" xr:uid="{00000000-0004-0000-0100-000097210000}"/>
    <hyperlink ref="I10679" r:id="rId8601" xr:uid="{00000000-0004-0000-0100-000098210000}"/>
    <hyperlink ref="I10680" r:id="rId8602" xr:uid="{00000000-0004-0000-0100-000099210000}"/>
    <hyperlink ref="I10681" r:id="rId8603" xr:uid="{00000000-0004-0000-0100-00009A210000}"/>
    <hyperlink ref="I10682" r:id="rId8604" xr:uid="{00000000-0004-0000-0100-00009B210000}"/>
    <hyperlink ref="I10683" r:id="rId8605" xr:uid="{00000000-0004-0000-0100-00009C210000}"/>
    <hyperlink ref="I10684" r:id="rId8606" xr:uid="{00000000-0004-0000-0100-00009D210000}"/>
    <hyperlink ref="I10685" r:id="rId8607" xr:uid="{00000000-0004-0000-0100-00009E210000}"/>
    <hyperlink ref="I10686" r:id="rId8608" xr:uid="{00000000-0004-0000-0100-00009F210000}"/>
    <hyperlink ref="I10687" r:id="rId8609" xr:uid="{00000000-0004-0000-0100-0000A0210000}"/>
    <hyperlink ref="I10688" r:id="rId8610" xr:uid="{00000000-0004-0000-0100-0000A1210000}"/>
    <hyperlink ref="I10689" r:id="rId8611" xr:uid="{00000000-0004-0000-0100-0000A2210000}"/>
    <hyperlink ref="I10690" r:id="rId8612" xr:uid="{00000000-0004-0000-0100-0000A3210000}"/>
    <hyperlink ref="I10691" r:id="rId8613" xr:uid="{00000000-0004-0000-0100-0000A4210000}"/>
    <hyperlink ref="I10692" r:id="rId8614" xr:uid="{00000000-0004-0000-0100-0000A5210000}"/>
    <hyperlink ref="I10693" r:id="rId8615" xr:uid="{00000000-0004-0000-0100-0000A6210000}"/>
    <hyperlink ref="I10694" r:id="rId8616" xr:uid="{00000000-0004-0000-0100-0000A7210000}"/>
    <hyperlink ref="I10695" r:id="rId8617" xr:uid="{00000000-0004-0000-0100-0000A8210000}"/>
    <hyperlink ref="I10696" r:id="rId8618" xr:uid="{00000000-0004-0000-0100-0000A9210000}"/>
    <hyperlink ref="I10697" r:id="rId8619" xr:uid="{00000000-0004-0000-0100-0000AA210000}"/>
    <hyperlink ref="I10698" r:id="rId8620" xr:uid="{00000000-0004-0000-0100-0000AB210000}"/>
    <hyperlink ref="I10699" r:id="rId8621" xr:uid="{00000000-0004-0000-0100-0000AC210000}"/>
    <hyperlink ref="I10700" r:id="rId8622" xr:uid="{00000000-0004-0000-0100-0000AD210000}"/>
    <hyperlink ref="I10701" r:id="rId8623" xr:uid="{00000000-0004-0000-0100-0000AE210000}"/>
    <hyperlink ref="I10702" r:id="rId8624" xr:uid="{00000000-0004-0000-0100-0000AF210000}"/>
    <hyperlink ref="I10703" r:id="rId8625" xr:uid="{00000000-0004-0000-0100-0000B0210000}"/>
    <hyperlink ref="I10704" r:id="rId8626" xr:uid="{00000000-0004-0000-0100-0000B1210000}"/>
    <hyperlink ref="I10705" r:id="rId8627" xr:uid="{00000000-0004-0000-0100-0000B2210000}"/>
    <hyperlink ref="I10706" r:id="rId8628" xr:uid="{00000000-0004-0000-0100-0000B3210000}"/>
    <hyperlink ref="I10707" r:id="rId8629" xr:uid="{00000000-0004-0000-0100-0000B4210000}"/>
    <hyperlink ref="I10708" r:id="rId8630" xr:uid="{00000000-0004-0000-0100-0000B5210000}"/>
    <hyperlink ref="I10709" r:id="rId8631" xr:uid="{00000000-0004-0000-0100-0000B6210000}"/>
    <hyperlink ref="I10710" r:id="rId8632" xr:uid="{00000000-0004-0000-0100-0000B7210000}"/>
    <hyperlink ref="I10711" r:id="rId8633" xr:uid="{00000000-0004-0000-0100-0000B8210000}"/>
    <hyperlink ref="I10712" r:id="rId8634" xr:uid="{00000000-0004-0000-0100-0000B9210000}"/>
    <hyperlink ref="I10713" r:id="rId8635" xr:uid="{00000000-0004-0000-0100-0000BA210000}"/>
    <hyperlink ref="I10714" r:id="rId8636" xr:uid="{00000000-0004-0000-0100-0000BB210000}"/>
    <hyperlink ref="I10715" r:id="rId8637" xr:uid="{00000000-0004-0000-0100-0000BC210000}"/>
    <hyperlink ref="I10716" r:id="rId8638" xr:uid="{00000000-0004-0000-0100-0000BD210000}"/>
    <hyperlink ref="I10717" r:id="rId8639" xr:uid="{00000000-0004-0000-0100-0000BE210000}"/>
    <hyperlink ref="I10718" r:id="rId8640" xr:uid="{00000000-0004-0000-0100-0000BF210000}"/>
    <hyperlink ref="I10719" r:id="rId8641" xr:uid="{00000000-0004-0000-0100-0000C0210000}"/>
    <hyperlink ref="I10720" r:id="rId8642" xr:uid="{00000000-0004-0000-0100-0000C1210000}"/>
    <hyperlink ref="I10721" r:id="rId8643" xr:uid="{00000000-0004-0000-0100-0000C2210000}"/>
    <hyperlink ref="I10722" r:id="rId8644" xr:uid="{00000000-0004-0000-0100-0000C3210000}"/>
    <hyperlink ref="I10723" r:id="rId8645" xr:uid="{00000000-0004-0000-0100-0000C4210000}"/>
    <hyperlink ref="I10724" r:id="rId8646" xr:uid="{00000000-0004-0000-0100-0000C5210000}"/>
    <hyperlink ref="I10725" r:id="rId8647" xr:uid="{00000000-0004-0000-0100-0000C6210000}"/>
    <hyperlink ref="I10726" r:id="rId8648" xr:uid="{00000000-0004-0000-0100-0000C7210000}"/>
    <hyperlink ref="I10727" r:id="rId8649" xr:uid="{00000000-0004-0000-0100-0000C8210000}"/>
    <hyperlink ref="I10728" r:id="rId8650" xr:uid="{00000000-0004-0000-0100-0000C9210000}"/>
    <hyperlink ref="I10729" r:id="rId8651" xr:uid="{00000000-0004-0000-0100-0000CA210000}"/>
    <hyperlink ref="I10730" r:id="rId8652" xr:uid="{00000000-0004-0000-0100-0000CB210000}"/>
    <hyperlink ref="I10731" r:id="rId8653" xr:uid="{00000000-0004-0000-0100-0000CC210000}"/>
    <hyperlink ref="I10732" r:id="rId8654" xr:uid="{00000000-0004-0000-0100-0000CD210000}"/>
    <hyperlink ref="I10733" r:id="rId8655" xr:uid="{00000000-0004-0000-0100-0000CE210000}"/>
    <hyperlink ref="I10734" r:id="rId8656" xr:uid="{00000000-0004-0000-0100-0000CF210000}"/>
    <hyperlink ref="I10735" r:id="rId8657" xr:uid="{00000000-0004-0000-0100-0000D0210000}"/>
    <hyperlink ref="I10736" r:id="rId8658" xr:uid="{00000000-0004-0000-0100-0000D1210000}"/>
    <hyperlink ref="I10737" r:id="rId8659" xr:uid="{00000000-0004-0000-0100-0000D2210000}"/>
    <hyperlink ref="I10738" r:id="rId8660" xr:uid="{00000000-0004-0000-0100-0000D3210000}"/>
    <hyperlink ref="I10739" r:id="rId8661" xr:uid="{00000000-0004-0000-0100-0000D4210000}"/>
    <hyperlink ref="I10740" r:id="rId8662" xr:uid="{00000000-0004-0000-0100-0000D5210000}"/>
    <hyperlink ref="I10741" r:id="rId8663" xr:uid="{00000000-0004-0000-0100-0000D6210000}"/>
    <hyperlink ref="I10742" r:id="rId8664" xr:uid="{00000000-0004-0000-0100-0000D7210000}"/>
    <hyperlink ref="I10743" r:id="rId8665" xr:uid="{00000000-0004-0000-0100-0000D8210000}"/>
    <hyperlink ref="I10744" r:id="rId8666" xr:uid="{00000000-0004-0000-0100-0000D9210000}"/>
    <hyperlink ref="I10745" r:id="rId8667" xr:uid="{00000000-0004-0000-0100-0000DA210000}"/>
    <hyperlink ref="I10746" r:id="rId8668" xr:uid="{00000000-0004-0000-0100-0000DB210000}"/>
    <hyperlink ref="I10747" r:id="rId8669" xr:uid="{00000000-0004-0000-0100-0000DC210000}"/>
    <hyperlink ref="I10748" r:id="rId8670" xr:uid="{00000000-0004-0000-0100-0000DD210000}"/>
    <hyperlink ref="I10749" r:id="rId8671" xr:uid="{00000000-0004-0000-0100-0000DE210000}"/>
    <hyperlink ref="I10750" r:id="rId8672" xr:uid="{00000000-0004-0000-0100-0000DF210000}"/>
    <hyperlink ref="I10751" r:id="rId8673" xr:uid="{00000000-0004-0000-0100-0000E0210000}"/>
    <hyperlink ref="I10752" r:id="rId8674" xr:uid="{00000000-0004-0000-0100-0000E1210000}"/>
    <hyperlink ref="I10753" r:id="rId8675" xr:uid="{00000000-0004-0000-0100-0000E2210000}"/>
    <hyperlink ref="I10754" r:id="rId8676" xr:uid="{00000000-0004-0000-0100-0000E3210000}"/>
    <hyperlink ref="I10755" r:id="rId8677" xr:uid="{00000000-0004-0000-0100-0000E4210000}"/>
    <hyperlink ref="I10756" r:id="rId8678" xr:uid="{00000000-0004-0000-0100-0000E5210000}"/>
    <hyperlink ref="I10757" r:id="rId8679" xr:uid="{00000000-0004-0000-0100-0000E6210000}"/>
    <hyperlink ref="I10758" r:id="rId8680" xr:uid="{00000000-0004-0000-0100-0000E7210000}"/>
    <hyperlink ref="I10759" r:id="rId8681" xr:uid="{00000000-0004-0000-0100-0000E8210000}"/>
    <hyperlink ref="I10760" r:id="rId8682" xr:uid="{00000000-0004-0000-0100-0000E9210000}"/>
    <hyperlink ref="I10761" r:id="rId8683" xr:uid="{00000000-0004-0000-0100-0000EA210000}"/>
    <hyperlink ref="I10762" r:id="rId8684" xr:uid="{00000000-0004-0000-0100-0000EB210000}"/>
    <hyperlink ref="I10763" r:id="rId8685" xr:uid="{00000000-0004-0000-0100-0000EC210000}"/>
    <hyperlink ref="I10764" r:id="rId8686" xr:uid="{00000000-0004-0000-0100-0000ED210000}"/>
    <hyperlink ref="I10765" r:id="rId8687" xr:uid="{00000000-0004-0000-0100-0000EE210000}"/>
    <hyperlink ref="I10766" r:id="rId8688" xr:uid="{00000000-0004-0000-0100-0000EF210000}"/>
    <hyperlink ref="I10767" r:id="rId8689" xr:uid="{00000000-0004-0000-0100-0000F0210000}"/>
    <hyperlink ref="I10768" r:id="rId8690" xr:uid="{00000000-0004-0000-0100-0000F1210000}"/>
    <hyperlink ref="I10769" r:id="rId8691" xr:uid="{00000000-0004-0000-0100-0000F2210000}"/>
    <hyperlink ref="I10770" r:id="rId8692" xr:uid="{00000000-0004-0000-0100-0000F3210000}"/>
    <hyperlink ref="I10771" r:id="rId8693" xr:uid="{00000000-0004-0000-0100-0000F4210000}"/>
    <hyperlink ref="I10772" r:id="rId8694" xr:uid="{00000000-0004-0000-0100-0000F5210000}"/>
    <hyperlink ref="I10773" r:id="rId8695" xr:uid="{00000000-0004-0000-0100-0000F6210000}"/>
    <hyperlink ref="I10774" r:id="rId8696" xr:uid="{00000000-0004-0000-0100-0000F7210000}"/>
    <hyperlink ref="I10775" r:id="rId8697" xr:uid="{00000000-0004-0000-0100-0000F8210000}"/>
    <hyperlink ref="I10776" r:id="rId8698" xr:uid="{00000000-0004-0000-0100-0000F9210000}"/>
    <hyperlink ref="I10777" r:id="rId8699" xr:uid="{00000000-0004-0000-0100-0000FA210000}"/>
    <hyperlink ref="I10778" r:id="rId8700" xr:uid="{00000000-0004-0000-0100-0000FB210000}"/>
    <hyperlink ref="I10779" r:id="rId8701" xr:uid="{00000000-0004-0000-0100-0000FC210000}"/>
    <hyperlink ref="I10780" r:id="rId8702" xr:uid="{00000000-0004-0000-0100-0000FD210000}"/>
    <hyperlink ref="I10781" r:id="rId8703" xr:uid="{00000000-0004-0000-0100-0000FE210000}"/>
    <hyperlink ref="I10782" r:id="rId8704" xr:uid="{00000000-0004-0000-0100-0000FF210000}"/>
    <hyperlink ref="I10783" r:id="rId8705" xr:uid="{00000000-0004-0000-0100-000000220000}"/>
    <hyperlink ref="I10784" r:id="rId8706" xr:uid="{00000000-0004-0000-0100-000001220000}"/>
    <hyperlink ref="I10785" r:id="rId8707" xr:uid="{00000000-0004-0000-0100-000002220000}"/>
    <hyperlink ref="I10786" r:id="rId8708" xr:uid="{00000000-0004-0000-0100-000003220000}"/>
    <hyperlink ref="I10787" r:id="rId8709" xr:uid="{00000000-0004-0000-0100-000004220000}"/>
    <hyperlink ref="I10788" r:id="rId8710" xr:uid="{00000000-0004-0000-0100-000005220000}"/>
    <hyperlink ref="I10789" r:id="rId8711" xr:uid="{00000000-0004-0000-0100-000006220000}"/>
    <hyperlink ref="I10790" r:id="rId8712" xr:uid="{00000000-0004-0000-0100-000007220000}"/>
    <hyperlink ref="I10791" r:id="rId8713" xr:uid="{00000000-0004-0000-0100-000008220000}"/>
    <hyperlink ref="I10792" r:id="rId8714" xr:uid="{00000000-0004-0000-0100-000009220000}"/>
    <hyperlink ref="I10793" r:id="rId8715" xr:uid="{00000000-0004-0000-0100-00000A220000}"/>
    <hyperlink ref="I10794" r:id="rId8716" xr:uid="{00000000-0004-0000-0100-00000B220000}"/>
    <hyperlink ref="I10795" r:id="rId8717" xr:uid="{00000000-0004-0000-0100-00000C220000}"/>
    <hyperlink ref="I10796" r:id="rId8718" xr:uid="{00000000-0004-0000-0100-00000D220000}"/>
    <hyperlink ref="I10797" r:id="rId8719" xr:uid="{00000000-0004-0000-0100-00000E220000}"/>
    <hyperlink ref="I10798" r:id="rId8720" xr:uid="{00000000-0004-0000-0100-00000F220000}"/>
    <hyperlink ref="I10799" r:id="rId8721" xr:uid="{00000000-0004-0000-0100-000010220000}"/>
    <hyperlink ref="I10800" r:id="rId8722" xr:uid="{00000000-0004-0000-0100-000011220000}"/>
    <hyperlink ref="I10801" r:id="rId8723" xr:uid="{00000000-0004-0000-0100-000012220000}"/>
    <hyperlink ref="I10802" r:id="rId8724" xr:uid="{00000000-0004-0000-0100-000013220000}"/>
    <hyperlink ref="I10803" r:id="rId8725" xr:uid="{00000000-0004-0000-0100-000014220000}"/>
    <hyperlink ref="I10804" r:id="rId8726" xr:uid="{00000000-0004-0000-0100-000015220000}"/>
    <hyperlink ref="I10805" r:id="rId8727" xr:uid="{00000000-0004-0000-0100-000016220000}"/>
    <hyperlink ref="I10806" r:id="rId8728" xr:uid="{00000000-0004-0000-0100-000017220000}"/>
    <hyperlink ref="I10807" r:id="rId8729" xr:uid="{00000000-0004-0000-0100-000018220000}"/>
    <hyperlink ref="I10808" r:id="rId8730" xr:uid="{00000000-0004-0000-0100-000019220000}"/>
    <hyperlink ref="I10809" r:id="rId8731" xr:uid="{00000000-0004-0000-0100-00001A220000}"/>
    <hyperlink ref="I10810" r:id="rId8732" xr:uid="{00000000-0004-0000-0100-00001B220000}"/>
    <hyperlink ref="I10811" r:id="rId8733" xr:uid="{00000000-0004-0000-0100-00001C220000}"/>
    <hyperlink ref="I10812" r:id="rId8734" xr:uid="{00000000-0004-0000-0100-00001D220000}"/>
    <hyperlink ref="I10813" r:id="rId8735" xr:uid="{00000000-0004-0000-0100-00001E220000}"/>
    <hyperlink ref="I10814" r:id="rId8736" xr:uid="{00000000-0004-0000-0100-00001F220000}"/>
    <hyperlink ref="I10815" r:id="rId8737" xr:uid="{00000000-0004-0000-0100-000020220000}"/>
    <hyperlink ref="I10816" r:id="rId8738" xr:uid="{00000000-0004-0000-0100-000021220000}"/>
    <hyperlink ref="I10817" r:id="rId8739" xr:uid="{00000000-0004-0000-0100-000022220000}"/>
    <hyperlink ref="I10818" r:id="rId8740" xr:uid="{00000000-0004-0000-0100-000023220000}"/>
    <hyperlink ref="I10819" r:id="rId8741" xr:uid="{00000000-0004-0000-0100-000024220000}"/>
    <hyperlink ref="I10820" r:id="rId8742" xr:uid="{00000000-0004-0000-0100-000025220000}"/>
    <hyperlink ref="I10821" r:id="rId8743" xr:uid="{00000000-0004-0000-0100-000026220000}"/>
    <hyperlink ref="I10822" r:id="rId8744" xr:uid="{00000000-0004-0000-0100-000027220000}"/>
    <hyperlink ref="I10823" r:id="rId8745" xr:uid="{00000000-0004-0000-0100-000028220000}"/>
    <hyperlink ref="I10824" r:id="rId8746" xr:uid="{00000000-0004-0000-0100-000029220000}"/>
    <hyperlink ref="I10825" r:id="rId8747" xr:uid="{00000000-0004-0000-0100-00002A220000}"/>
    <hyperlink ref="I10826" r:id="rId8748" xr:uid="{00000000-0004-0000-0100-00002B220000}"/>
    <hyperlink ref="I10827" r:id="rId8749" xr:uid="{00000000-0004-0000-0100-00002C220000}"/>
    <hyperlink ref="I10828" r:id="rId8750" xr:uid="{00000000-0004-0000-0100-00002D220000}"/>
    <hyperlink ref="I10829" r:id="rId8751" xr:uid="{00000000-0004-0000-0100-00002E220000}"/>
    <hyperlink ref="I10830" r:id="rId8752" xr:uid="{00000000-0004-0000-0100-00002F220000}"/>
    <hyperlink ref="I10831" r:id="rId8753" xr:uid="{00000000-0004-0000-0100-000030220000}"/>
    <hyperlink ref="I10832" r:id="rId8754" xr:uid="{00000000-0004-0000-0100-000031220000}"/>
    <hyperlink ref="I10833" r:id="rId8755" xr:uid="{00000000-0004-0000-0100-000032220000}"/>
    <hyperlink ref="I10834" r:id="rId8756" xr:uid="{00000000-0004-0000-0100-000033220000}"/>
    <hyperlink ref="I10835" r:id="rId8757" xr:uid="{00000000-0004-0000-0100-000034220000}"/>
    <hyperlink ref="I10836" r:id="rId8758" xr:uid="{00000000-0004-0000-0100-000035220000}"/>
    <hyperlink ref="I10837" r:id="rId8759" xr:uid="{00000000-0004-0000-0100-000036220000}"/>
    <hyperlink ref="I10838" r:id="rId8760" xr:uid="{00000000-0004-0000-0100-000037220000}"/>
    <hyperlink ref="I10839" r:id="rId8761" xr:uid="{00000000-0004-0000-0100-000038220000}"/>
    <hyperlink ref="I10840" r:id="rId8762" xr:uid="{00000000-0004-0000-0100-000039220000}"/>
    <hyperlink ref="I10841" r:id="rId8763" xr:uid="{00000000-0004-0000-0100-00003A220000}"/>
    <hyperlink ref="I10842" r:id="rId8764" xr:uid="{00000000-0004-0000-0100-00003B220000}"/>
    <hyperlink ref="I10843" r:id="rId8765" xr:uid="{00000000-0004-0000-0100-00003C220000}"/>
    <hyperlink ref="I10844" r:id="rId8766" xr:uid="{00000000-0004-0000-0100-00003D220000}"/>
    <hyperlink ref="I10845" r:id="rId8767" xr:uid="{00000000-0004-0000-0100-00003E220000}"/>
    <hyperlink ref="I10846" r:id="rId8768" xr:uid="{00000000-0004-0000-0100-00003F220000}"/>
    <hyperlink ref="I10847" r:id="rId8769" xr:uid="{00000000-0004-0000-0100-000040220000}"/>
    <hyperlink ref="I10848" r:id="rId8770" xr:uid="{00000000-0004-0000-0100-000041220000}"/>
    <hyperlink ref="I10849" r:id="rId8771" xr:uid="{00000000-0004-0000-0100-000042220000}"/>
    <hyperlink ref="I10850" r:id="rId8772" xr:uid="{00000000-0004-0000-0100-000043220000}"/>
    <hyperlink ref="I10851" r:id="rId8773" xr:uid="{00000000-0004-0000-0100-000044220000}"/>
    <hyperlink ref="I10852" r:id="rId8774" xr:uid="{00000000-0004-0000-0100-000045220000}"/>
    <hyperlink ref="I10853" r:id="rId8775" xr:uid="{00000000-0004-0000-0100-000046220000}"/>
    <hyperlink ref="I10854" r:id="rId8776" xr:uid="{00000000-0004-0000-0100-000047220000}"/>
    <hyperlink ref="I10855" r:id="rId8777" xr:uid="{00000000-0004-0000-0100-000048220000}"/>
    <hyperlink ref="I10856" r:id="rId8778" xr:uid="{00000000-0004-0000-0100-000049220000}"/>
    <hyperlink ref="I10857" r:id="rId8779" xr:uid="{00000000-0004-0000-0100-00004A220000}"/>
    <hyperlink ref="I10858" r:id="rId8780" xr:uid="{00000000-0004-0000-0100-00004B220000}"/>
    <hyperlink ref="I10859" r:id="rId8781" xr:uid="{00000000-0004-0000-0100-00004C220000}"/>
    <hyperlink ref="I10860" r:id="rId8782" xr:uid="{00000000-0004-0000-0100-00004D220000}"/>
    <hyperlink ref="I10861" r:id="rId8783" xr:uid="{00000000-0004-0000-0100-00004E220000}"/>
    <hyperlink ref="I10862" r:id="rId8784" xr:uid="{00000000-0004-0000-0100-00004F220000}"/>
    <hyperlink ref="I10863" r:id="rId8785" xr:uid="{00000000-0004-0000-0100-000050220000}"/>
    <hyperlink ref="I10864" r:id="rId8786" xr:uid="{00000000-0004-0000-0100-000051220000}"/>
    <hyperlink ref="I10865" r:id="rId8787" xr:uid="{00000000-0004-0000-0100-000052220000}"/>
    <hyperlink ref="I10866" r:id="rId8788" xr:uid="{00000000-0004-0000-0100-000053220000}"/>
    <hyperlink ref="I10867" r:id="rId8789" xr:uid="{00000000-0004-0000-0100-000054220000}"/>
    <hyperlink ref="I10868" r:id="rId8790" xr:uid="{00000000-0004-0000-0100-000055220000}"/>
    <hyperlink ref="I10869" r:id="rId8791" xr:uid="{00000000-0004-0000-0100-000056220000}"/>
    <hyperlink ref="I10870" r:id="rId8792" xr:uid="{00000000-0004-0000-0100-000057220000}"/>
    <hyperlink ref="I10871" r:id="rId8793" xr:uid="{00000000-0004-0000-0100-000058220000}"/>
    <hyperlink ref="I10872" r:id="rId8794" xr:uid="{00000000-0004-0000-0100-000059220000}"/>
    <hyperlink ref="I10873" r:id="rId8795" xr:uid="{00000000-0004-0000-0100-00005A220000}"/>
    <hyperlink ref="I10874" r:id="rId8796" xr:uid="{00000000-0004-0000-0100-00005B220000}"/>
    <hyperlink ref="I10875" r:id="rId8797" xr:uid="{00000000-0004-0000-0100-00005C220000}"/>
    <hyperlink ref="I10876" r:id="rId8798" xr:uid="{00000000-0004-0000-0100-00005D220000}"/>
    <hyperlink ref="I10877" r:id="rId8799" xr:uid="{00000000-0004-0000-0100-00005E220000}"/>
    <hyperlink ref="I10878" r:id="rId8800" xr:uid="{00000000-0004-0000-0100-00005F220000}"/>
    <hyperlink ref="I10879" r:id="rId8801" xr:uid="{00000000-0004-0000-0100-000060220000}"/>
    <hyperlink ref="I10880" r:id="rId8802" xr:uid="{00000000-0004-0000-0100-000061220000}"/>
    <hyperlink ref="I10881" r:id="rId8803" xr:uid="{00000000-0004-0000-0100-000062220000}"/>
    <hyperlink ref="I10882" r:id="rId8804" xr:uid="{00000000-0004-0000-0100-000063220000}"/>
    <hyperlink ref="I10883" r:id="rId8805" xr:uid="{00000000-0004-0000-0100-000064220000}"/>
    <hyperlink ref="I10884" r:id="rId8806" xr:uid="{00000000-0004-0000-0100-000065220000}"/>
    <hyperlink ref="I10885" r:id="rId8807" xr:uid="{00000000-0004-0000-0100-000066220000}"/>
    <hyperlink ref="I10886" r:id="rId8808" xr:uid="{00000000-0004-0000-0100-000067220000}"/>
    <hyperlink ref="I10887" r:id="rId8809" xr:uid="{00000000-0004-0000-0100-000068220000}"/>
    <hyperlink ref="I10888" r:id="rId8810" xr:uid="{00000000-0004-0000-0100-000069220000}"/>
    <hyperlink ref="I10889" r:id="rId8811" xr:uid="{00000000-0004-0000-0100-00006A220000}"/>
    <hyperlink ref="I10890" r:id="rId8812" xr:uid="{00000000-0004-0000-0100-00006B220000}"/>
    <hyperlink ref="I10891" r:id="rId8813" xr:uid="{00000000-0004-0000-0100-00006C220000}"/>
    <hyperlink ref="I10892" r:id="rId8814" xr:uid="{00000000-0004-0000-0100-00006D220000}"/>
    <hyperlink ref="I10893" r:id="rId8815" xr:uid="{00000000-0004-0000-0100-00006E220000}"/>
    <hyperlink ref="I10894" r:id="rId8816" xr:uid="{00000000-0004-0000-0100-00006F220000}"/>
    <hyperlink ref="I10895" r:id="rId8817" xr:uid="{00000000-0004-0000-0100-000070220000}"/>
    <hyperlink ref="I10896" r:id="rId8818" xr:uid="{00000000-0004-0000-0100-000071220000}"/>
    <hyperlink ref="I10897" r:id="rId8819" xr:uid="{00000000-0004-0000-0100-000072220000}"/>
    <hyperlink ref="I10898" r:id="rId8820" xr:uid="{00000000-0004-0000-0100-000073220000}"/>
    <hyperlink ref="I10899" r:id="rId8821" xr:uid="{00000000-0004-0000-0100-000074220000}"/>
    <hyperlink ref="I10900" r:id="rId8822" xr:uid="{00000000-0004-0000-0100-000075220000}"/>
    <hyperlink ref="I10901" r:id="rId8823" xr:uid="{00000000-0004-0000-0100-000076220000}"/>
    <hyperlink ref="I10902" r:id="rId8824" xr:uid="{00000000-0004-0000-0100-000077220000}"/>
    <hyperlink ref="I10903" r:id="rId8825" xr:uid="{00000000-0004-0000-0100-000078220000}"/>
    <hyperlink ref="I10904" r:id="rId8826" xr:uid="{00000000-0004-0000-0100-000079220000}"/>
    <hyperlink ref="I10905" r:id="rId8827" xr:uid="{00000000-0004-0000-0100-00007A220000}"/>
    <hyperlink ref="I10906" r:id="rId8828" xr:uid="{00000000-0004-0000-0100-00007B220000}"/>
    <hyperlink ref="I10907" r:id="rId8829" xr:uid="{00000000-0004-0000-0100-00007C220000}"/>
    <hyperlink ref="I10908" r:id="rId8830" xr:uid="{00000000-0004-0000-0100-00007D220000}"/>
    <hyperlink ref="I10909" r:id="rId8831" xr:uid="{00000000-0004-0000-0100-00007E220000}"/>
    <hyperlink ref="I10910" r:id="rId8832" xr:uid="{00000000-0004-0000-0100-00007F220000}"/>
    <hyperlink ref="I10911" r:id="rId8833" xr:uid="{00000000-0004-0000-0100-000080220000}"/>
    <hyperlink ref="I10912" r:id="rId8834" xr:uid="{00000000-0004-0000-0100-000081220000}"/>
    <hyperlink ref="I10913" r:id="rId8835" xr:uid="{00000000-0004-0000-0100-000082220000}"/>
    <hyperlink ref="I10914" r:id="rId8836" xr:uid="{00000000-0004-0000-0100-000083220000}"/>
    <hyperlink ref="I10915" r:id="rId8837" xr:uid="{00000000-0004-0000-0100-000084220000}"/>
    <hyperlink ref="I10916" r:id="rId8838" xr:uid="{00000000-0004-0000-0100-000085220000}"/>
    <hyperlink ref="I10917" r:id="rId8839" xr:uid="{00000000-0004-0000-0100-000086220000}"/>
    <hyperlink ref="I10918" r:id="rId8840" xr:uid="{00000000-0004-0000-0100-000087220000}"/>
    <hyperlink ref="I10919" r:id="rId8841" xr:uid="{00000000-0004-0000-0100-000088220000}"/>
    <hyperlink ref="I10920" r:id="rId8842" xr:uid="{00000000-0004-0000-0100-000089220000}"/>
    <hyperlink ref="I10921" r:id="rId8843" xr:uid="{00000000-0004-0000-0100-00008A220000}"/>
    <hyperlink ref="I10922" r:id="rId8844" xr:uid="{00000000-0004-0000-0100-00008B220000}"/>
    <hyperlink ref="I10923" r:id="rId8845" xr:uid="{00000000-0004-0000-0100-00008C220000}"/>
    <hyperlink ref="I10924" r:id="rId8846" xr:uid="{00000000-0004-0000-0100-00008D220000}"/>
    <hyperlink ref="I10925" r:id="rId8847" xr:uid="{00000000-0004-0000-0100-00008E220000}"/>
    <hyperlink ref="I10926" r:id="rId8848" xr:uid="{00000000-0004-0000-0100-00008F220000}"/>
    <hyperlink ref="I10927" r:id="rId8849" xr:uid="{00000000-0004-0000-0100-000090220000}"/>
    <hyperlink ref="I10928" r:id="rId8850" xr:uid="{00000000-0004-0000-0100-000091220000}"/>
    <hyperlink ref="I10929" r:id="rId8851" xr:uid="{00000000-0004-0000-0100-000092220000}"/>
    <hyperlink ref="I10930" r:id="rId8852" xr:uid="{00000000-0004-0000-0100-000093220000}"/>
    <hyperlink ref="I10931" r:id="rId8853" xr:uid="{00000000-0004-0000-0100-000094220000}"/>
    <hyperlink ref="I10932" r:id="rId8854" xr:uid="{00000000-0004-0000-0100-000095220000}"/>
    <hyperlink ref="I10933" r:id="rId8855" xr:uid="{00000000-0004-0000-0100-000096220000}"/>
    <hyperlink ref="I10934" r:id="rId8856" xr:uid="{00000000-0004-0000-0100-000097220000}"/>
    <hyperlink ref="I10935" r:id="rId8857" xr:uid="{00000000-0004-0000-0100-000098220000}"/>
    <hyperlink ref="I10936" r:id="rId8858" xr:uid="{00000000-0004-0000-0100-000099220000}"/>
    <hyperlink ref="I10937" r:id="rId8859" xr:uid="{00000000-0004-0000-0100-00009A220000}"/>
    <hyperlink ref="I10938" r:id="rId8860" xr:uid="{00000000-0004-0000-0100-00009B220000}"/>
    <hyperlink ref="I10939" r:id="rId8861" xr:uid="{00000000-0004-0000-0100-00009C220000}"/>
    <hyperlink ref="I10940" r:id="rId8862" xr:uid="{00000000-0004-0000-0100-00009D220000}"/>
    <hyperlink ref="I10941" r:id="rId8863" xr:uid="{00000000-0004-0000-0100-00009E220000}"/>
    <hyperlink ref="I10942" r:id="rId8864" xr:uid="{00000000-0004-0000-0100-00009F220000}"/>
    <hyperlink ref="I10943" r:id="rId8865" xr:uid="{00000000-0004-0000-0100-0000A0220000}"/>
    <hyperlink ref="I10944" r:id="rId8866" xr:uid="{00000000-0004-0000-0100-0000A1220000}"/>
    <hyperlink ref="I10945" r:id="rId8867" xr:uid="{00000000-0004-0000-0100-0000A2220000}"/>
    <hyperlink ref="I10946" r:id="rId8868" xr:uid="{00000000-0004-0000-0100-0000A3220000}"/>
    <hyperlink ref="I10947" r:id="rId8869" xr:uid="{00000000-0004-0000-0100-0000A4220000}"/>
    <hyperlink ref="I10948" r:id="rId8870" xr:uid="{00000000-0004-0000-0100-0000A5220000}"/>
    <hyperlink ref="I10949" r:id="rId8871" xr:uid="{00000000-0004-0000-0100-0000A6220000}"/>
    <hyperlink ref="I10950" r:id="rId8872" xr:uid="{00000000-0004-0000-0100-0000A7220000}"/>
    <hyperlink ref="I10951" r:id="rId8873" xr:uid="{00000000-0004-0000-0100-0000A8220000}"/>
    <hyperlink ref="I10952" r:id="rId8874" xr:uid="{00000000-0004-0000-0100-0000A9220000}"/>
    <hyperlink ref="I10953" r:id="rId8875" xr:uid="{00000000-0004-0000-0100-0000AA220000}"/>
    <hyperlink ref="I10954" r:id="rId8876" xr:uid="{00000000-0004-0000-0100-0000AB220000}"/>
    <hyperlink ref="I10955" r:id="rId8877" xr:uid="{00000000-0004-0000-0100-0000AC220000}"/>
    <hyperlink ref="I10956" r:id="rId8878" xr:uid="{00000000-0004-0000-0100-0000AD220000}"/>
    <hyperlink ref="I10957" r:id="rId8879" xr:uid="{00000000-0004-0000-0100-0000AE220000}"/>
    <hyperlink ref="I10958" r:id="rId8880" xr:uid="{00000000-0004-0000-0100-0000AF220000}"/>
    <hyperlink ref="I10959" r:id="rId8881" xr:uid="{00000000-0004-0000-0100-0000B0220000}"/>
    <hyperlink ref="I10960" r:id="rId8882" xr:uid="{00000000-0004-0000-0100-0000B1220000}"/>
    <hyperlink ref="I10961" r:id="rId8883" xr:uid="{00000000-0004-0000-0100-0000B2220000}"/>
    <hyperlink ref="I10962" r:id="rId8884" xr:uid="{00000000-0004-0000-0100-0000B3220000}"/>
    <hyperlink ref="I10963" r:id="rId8885" xr:uid="{00000000-0004-0000-0100-0000B4220000}"/>
    <hyperlink ref="I10964" r:id="rId8886" xr:uid="{00000000-0004-0000-0100-0000B5220000}"/>
    <hyperlink ref="I10965" r:id="rId8887" xr:uid="{00000000-0004-0000-0100-0000B6220000}"/>
    <hyperlink ref="I10966" r:id="rId8888" xr:uid="{00000000-0004-0000-0100-0000B7220000}"/>
    <hyperlink ref="I10967" r:id="rId8889" xr:uid="{00000000-0004-0000-0100-0000B8220000}"/>
    <hyperlink ref="I10968" r:id="rId8890" xr:uid="{00000000-0004-0000-0100-0000B9220000}"/>
    <hyperlink ref="I10969" r:id="rId8891" xr:uid="{00000000-0004-0000-0100-0000BA220000}"/>
    <hyperlink ref="I10970" r:id="rId8892" xr:uid="{00000000-0004-0000-0100-0000BB220000}"/>
    <hyperlink ref="I10971" r:id="rId8893" xr:uid="{00000000-0004-0000-0100-0000BC220000}"/>
    <hyperlink ref="I10972" r:id="rId8894" xr:uid="{00000000-0004-0000-0100-0000BD220000}"/>
    <hyperlink ref="I10973" r:id="rId8895" xr:uid="{00000000-0004-0000-0100-0000BE220000}"/>
    <hyperlink ref="I10974" r:id="rId8896" xr:uid="{00000000-0004-0000-0100-0000BF220000}"/>
    <hyperlink ref="I10975" r:id="rId8897" xr:uid="{00000000-0004-0000-0100-0000C0220000}"/>
    <hyperlink ref="I10976" r:id="rId8898" xr:uid="{00000000-0004-0000-0100-0000C1220000}"/>
    <hyperlink ref="I10977" r:id="rId8899" xr:uid="{00000000-0004-0000-0100-0000C2220000}"/>
    <hyperlink ref="I10978" r:id="rId8900" xr:uid="{00000000-0004-0000-0100-0000C3220000}"/>
    <hyperlink ref="I10979" r:id="rId8901" xr:uid="{00000000-0004-0000-0100-0000C4220000}"/>
    <hyperlink ref="I10980" r:id="rId8902" xr:uid="{00000000-0004-0000-0100-0000C5220000}"/>
    <hyperlink ref="I10981" r:id="rId8903" xr:uid="{00000000-0004-0000-0100-0000C6220000}"/>
    <hyperlink ref="I10982" r:id="rId8904" xr:uid="{00000000-0004-0000-0100-0000C7220000}"/>
    <hyperlink ref="I10983" r:id="rId8905" xr:uid="{00000000-0004-0000-0100-0000C8220000}"/>
    <hyperlink ref="I10984" r:id="rId8906" xr:uid="{00000000-0004-0000-0100-0000C9220000}"/>
    <hyperlink ref="I10985" r:id="rId8907" xr:uid="{00000000-0004-0000-0100-0000CA220000}"/>
    <hyperlink ref="I10986" r:id="rId8908" xr:uid="{00000000-0004-0000-0100-0000CB220000}"/>
    <hyperlink ref="I10987" r:id="rId8909" xr:uid="{00000000-0004-0000-0100-0000CC220000}"/>
    <hyperlink ref="I10988" r:id="rId8910" xr:uid="{00000000-0004-0000-0100-0000CD220000}"/>
    <hyperlink ref="I10989" r:id="rId8911" xr:uid="{00000000-0004-0000-0100-0000CE220000}"/>
    <hyperlink ref="I10990" r:id="rId8912" xr:uid="{00000000-0004-0000-0100-0000CF220000}"/>
    <hyperlink ref="I10991" r:id="rId8913" xr:uid="{00000000-0004-0000-0100-0000D0220000}"/>
    <hyperlink ref="I10992" r:id="rId8914" xr:uid="{00000000-0004-0000-0100-0000D1220000}"/>
    <hyperlink ref="I10993" r:id="rId8915" xr:uid="{00000000-0004-0000-0100-0000D2220000}"/>
    <hyperlink ref="I10994" r:id="rId8916" xr:uid="{00000000-0004-0000-0100-0000D3220000}"/>
    <hyperlink ref="I10995" r:id="rId8917" xr:uid="{00000000-0004-0000-0100-0000D4220000}"/>
    <hyperlink ref="I10996" r:id="rId8918" xr:uid="{00000000-0004-0000-0100-0000D5220000}"/>
    <hyperlink ref="I10997" r:id="rId8919" xr:uid="{00000000-0004-0000-0100-0000D6220000}"/>
    <hyperlink ref="I10998" r:id="rId8920" xr:uid="{00000000-0004-0000-0100-0000D7220000}"/>
    <hyperlink ref="I10999" r:id="rId8921" xr:uid="{00000000-0004-0000-0100-0000D8220000}"/>
    <hyperlink ref="I11000" r:id="rId8922" xr:uid="{00000000-0004-0000-0100-0000D9220000}"/>
    <hyperlink ref="I11001" r:id="rId8923" xr:uid="{00000000-0004-0000-0100-0000DA220000}"/>
    <hyperlink ref="I11002" r:id="rId8924" xr:uid="{00000000-0004-0000-0100-0000DB220000}"/>
    <hyperlink ref="I11003" r:id="rId8925" xr:uid="{00000000-0004-0000-0100-0000DC220000}"/>
    <hyperlink ref="I11004" r:id="rId8926" xr:uid="{00000000-0004-0000-0100-0000DD220000}"/>
    <hyperlink ref="I11005" r:id="rId8927" xr:uid="{00000000-0004-0000-0100-0000DE220000}"/>
    <hyperlink ref="I11006" r:id="rId8928" xr:uid="{00000000-0004-0000-0100-0000DF220000}"/>
    <hyperlink ref="I11007" r:id="rId8929" xr:uid="{00000000-0004-0000-0100-0000E0220000}"/>
    <hyperlink ref="I11008" r:id="rId8930" xr:uid="{00000000-0004-0000-0100-0000E1220000}"/>
    <hyperlink ref="I11009" r:id="rId8931" xr:uid="{00000000-0004-0000-0100-0000E2220000}"/>
    <hyperlink ref="I11010" r:id="rId8932" xr:uid="{00000000-0004-0000-0100-0000E3220000}"/>
    <hyperlink ref="I11011" r:id="rId8933" xr:uid="{00000000-0004-0000-0100-0000E4220000}"/>
    <hyperlink ref="I11012" r:id="rId8934" xr:uid="{00000000-0004-0000-0100-0000E5220000}"/>
    <hyperlink ref="I11013" r:id="rId8935" xr:uid="{00000000-0004-0000-0100-0000E6220000}"/>
    <hyperlink ref="I11014" r:id="rId8936" xr:uid="{00000000-0004-0000-0100-0000E7220000}"/>
    <hyperlink ref="I11015" r:id="rId8937" xr:uid="{00000000-0004-0000-0100-0000E8220000}"/>
    <hyperlink ref="I11016" r:id="rId8938" xr:uid="{00000000-0004-0000-0100-0000E9220000}"/>
    <hyperlink ref="I11017" r:id="rId8939" xr:uid="{00000000-0004-0000-0100-0000EA220000}"/>
    <hyperlink ref="I11018" r:id="rId8940" xr:uid="{00000000-0004-0000-0100-0000EB220000}"/>
    <hyperlink ref="I11019" r:id="rId8941" xr:uid="{00000000-0004-0000-0100-0000EC220000}"/>
    <hyperlink ref="I11020" r:id="rId8942" xr:uid="{00000000-0004-0000-0100-0000ED220000}"/>
    <hyperlink ref="I11021" r:id="rId8943" xr:uid="{00000000-0004-0000-0100-0000EE220000}"/>
    <hyperlink ref="I11022" r:id="rId8944" xr:uid="{00000000-0004-0000-0100-0000EF220000}"/>
    <hyperlink ref="I11023" r:id="rId8945" xr:uid="{00000000-0004-0000-0100-0000F0220000}"/>
    <hyperlink ref="I11024" r:id="rId8946" xr:uid="{00000000-0004-0000-0100-0000F1220000}"/>
    <hyperlink ref="I11025" r:id="rId8947" xr:uid="{00000000-0004-0000-0100-0000F2220000}"/>
    <hyperlink ref="I11026" r:id="rId8948" xr:uid="{00000000-0004-0000-0100-0000F3220000}"/>
    <hyperlink ref="I11027" r:id="rId8949" xr:uid="{00000000-0004-0000-0100-0000F4220000}"/>
    <hyperlink ref="I11028" r:id="rId8950" xr:uid="{00000000-0004-0000-0100-0000F5220000}"/>
    <hyperlink ref="I11029" r:id="rId8951" xr:uid="{00000000-0004-0000-0100-0000F6220000}"/>
    <hyperlink ref="I11030" r:id="rId8952" xr:uid="{00000000-0004-0000-0100-0000F7220000}"/>
    <hyperlink ref="I11031" r:id="rId8953" xr:uid="{00000000-0004-0000-0100-0000F8220000}"/>
    <hyperlink ref="I11032" r:id="rId8954" xr:uid="{00000000-0004-0000-0100-0000F9220000}"/>
    <hyperlink ref="I11033" r:id="rId8955" xr:uid="{00000000-0004-0000-0100-0000FA220000}"/>
    <hyperlink ref="I11034" r:id="rId8956" xr:uid="{00000000-0004-0000-0100-0000FB220000}"/>
    <hyperlink ref="I11035" r:id="rId8957" xr:uid="{00000000-0004-0000-0100-0000FC220000}"/>
    <hyperlink ref="I11036" r:id="rId8958" xr:uid="{00000000-0004-0000-0100-0000FD220000}"/>
    <hyperlink ref="I11037" r:id="rId8959" xr:uid="{00000000-0004-0000-0100-0000FE220000}"/>
    <hyperlink ref="I11038" r:id="rId8960" xr:uid="{00000000-0004-0000-0100-0000FF220000}"/>
    <hyperlink ref="I11039" r:id="rId8961" xr:uid="{00000000-0004-0000-0100-000000230000}"/>
    <hyperlink ref="I11040" r:id="rId8962" xr:uid="{00000000-0004-0000-0100-000001230000}"/>
    <hyperlink ref="I11041" r:id="rId8963" xr:uid="{00000000-0004-0000-0100-000002230000}"/>
    <hyperlink ref="I11042" r:id="rId8964" xr:uid="{00000000-0004-0000-0100-000003230000}"/>
    <hyperlink ref="I11043" r:id="rId8965" xr:uid="{00000000-0004-0000-0100-000004230000}"/>
    <hyperlink ref="I11044" r:id="rId8966" xr:uid="{00000000-0004-0000-0100-000005230000}"/>
    <hyperlink ref="I11045" r:id="rId8967" xr:uid="{00000000-0004-0000-0100-000006230000}"/>
    <hyperlink ref="I11046" r:id="rId8968" xr:uid="{00000000-0004-0000-0100-000007230000}"/>
    <hyperlink ref="I11047" r:id="rId8969" xr:uid="{00000000-0004-0000-0100-000008230000}"/>
    <hyperlink ref="I11048" r:id="rId8970" xr:uid="{00000000-0004-0000-0100-000009230000}"/>
    <hyperlink ref="I11049" r:id="rId8971" xr:uid="{00000000-0004-0000-0100-00000A230000}"/>
    <hyperlink ref="I11050" r:id="rId8972" xr:uid="{00000000-0004-0000-0100-00000B230000}"/>
    <hyperlink ref="I11051" r:id="rId8973" xr:uid="{00000000-0004-0000-0100-00000C230000}"/>
    <hyperlink ref="I11052" r:id="rId8974" xr:uid="{00000000-0004-0000-0100-00000D230000}"/>
    <hyperlink ref="I11053" r:id="rId8975" xr:uid="{00000000-0004-0000-0100-00000E230000}"/>
    <hyperlink ref="I11054" r:id="rId8976" xr:uid="{00000000-0004-0000-0100-00000F230000}"/>
    <hyperlink ref="I11055" r:id="rId8977" xr:uid="{00000000-0004-0000-0100-000010230000}"/>
    <hyperlink ref="I11056" r:id="rId8978" xr:uid="{00000000-0004-0000-0100-000011230000}"/>
    <hyperlink ref="I11057" r:id="rId8979" xr:uid="{00000000-0004-0000-0100-000012230000}"/>
    <hyperlink ref="I11058" r:id="rId8980" xr:uid="{00000000-0004-0000-0100-000013230000}"/>
    <hyperlink ref="I11059" r:id="rId8981" xr:uid="{00000000-0004-0000-0100-000014230000}"/>
    <hyperlink ref="I11060" r:id="rId8982" xr:uid="{00000000-0004-0000-0100-000015230000}"/>
    <hyperlink ref="I11061" r:id="rId8983" xr:uid="{00000000-0004-0000-0100-000016230000}"/>
    <hyperlink ref="I11062" r:id="rId8984" xr:uid="{00000000-0004-0000-0100-000017230000}"/>
    <hyperlink ref="I11063" r:id="rId8985" xr:uid="{00000000-0004-0000-0100-000018230000}"/>
    <hyperlink ref="I11064" r:id="rId8986" xr:uid="{00000000-0004-0000-0100-000019230000}"/>
    <hyperlink ref="I11065" r:id="rId8987" xr:uid="{00000000-0004-0000-0100-00001A230000}"/>
    <hyperlink ref="I11066" r:id="rId8988" xr:uid="{00000000-0004-0000-0100-00001B230000}"/>
    <hyperlink ref="I11067" r:id="rId8989" xr:uid="{00000000-0004-0000-0100-00001C230000}"/>
    <hyperlink ref="I11068" r:id="rId8990" xr:uid="{00000000-0004-0000-0100-00001D230000}"/>
    <hyperlink ref="I11069" r:id="rId8991" xr:uid="{00000000-0004-0000-0100-00001E230000}"/>
    <hyperlink ref="I11070" r:id="rId8992" xr:uid="{00000000-0004-0000-0100-00001F230000}"/>
    <hyperlink ref="I11071" r:id="rId8993" xr:uid="{00000000-0004-0000-0100-000020230000}"/>
    <hyperlink ref="I11072" r:id="rId8994" xr:uid="{00000000-0004-0000-0100-000021230000}"/>
    <hyperlink ref="I11073" r:id="rId8995" xr:uid="{00000000-0004-0000-0100-000022230000}"/>
    <hyperlink ref="I11074" r:id="rId8996" xr:uid="{00000000-0004-0000-0100-000023230000}"/>
    <hyperlink ref="I11075" r:id="rId8997" xr:uid="{00000000-0004-0000-0100-000024230000}"/>
    <hyperlink ref="I11076" r:id="rId8998" xr:uid="{00000000-0004-0000-0100-000025230000}"/>
    <hyperlink ref="I11077" r:id="rId8999" xr:uid="{00000000-0004-0000-0100-000026230000}"/>
    <hyperlink ref="I11078" r:id="rId9000" xr:uid="{00000000-0004-0000-0100-000027230000}"/>
    <hyperlink ref="I11079" r:id="rId9001" xr:uid="{00000000-0004-0000-0100-000028230000}"/>
    <hyperlink ref="I11080" r:id="rId9002" xr:uid="{00000000-0004-0000-0100-000029230000}"/>
    <hyperlink ref="I11081" r:id="rId9003" xr:uid="{00000000-0004-0000-0100-00002A230000}"/>
    <hyperlink ref="I11082" r:id="rId9004" xr:uid="{00000000-0004-0000-0100-00002B230000}"/>
    <hyperlink ref="I11083" r:id="rId9005" xr:uid="{00000000-0004-0000-0100-00002C230000}"/>
    <hyperlink ref="I11084" r:id="rId9006" xr:uid="{00000000-0004-0000-0100-00002D230000}"/>
    <hyperlink ref="I11085" r:id="rId9007" xr:uid="{00000000-0004-0000-0100-00002E230000}"/>
    <hyperlink ref="I11086" r:id="rId9008" xr:uid="{00000000-0004-0000-0100-00002F230000}"/>
    <hyperlink ref="I11087" r:id="rId9009" xr:uid="{00000000-0004-0000-0100-000030230000}"/>
    <hyperlink ref="I11088" r:id="rId9010" xr:uid="{00000000-0004-0000-0100-000031230000}"/>
    <hyperlink ref="I11089" r:id="rId9011" xr:uid="{00000000-0004-0000-0100-000032230000}"/>
    <hyperlink ref="I11090" r:id="rId9012" xr:uid="{00000000-0004-0000-0100-000033230000}"/>
    <hyperlink ref="I11091" r:id="rId9013" xr:uid="{00000000-0004-0000-0100-000034230000}"/>
    <hyperlink ref="I11092" r:id="rId9014" xr:uid="{00000000-0004-0000-0100-000035230000}"/>
    <hyperlink ref="I11093" r:id="rId9015" xr:uid="{00000000-0004-0000-0100-000036230000}"/>
    <hyperlink ref="I11094" r:id="rId9016" xr:uid="{00000000-0004-0000-0100-000037230000}"/>
    <hyperlink ref="I11095" r:id="rId9017" xr:uid="{00000000-0004-0000-0100-000038230000}"/>
    <hyperlink ref="I11096" r:id="rId9018" xr:uid="{00000000-0004-0000-0100-000039230000}"/>
    <hyperlink ref="I11097" r:id="rId9019" xr:uid="{00000000-0004-0000-0100-00003A230000}"/>
    <hyperlink ref="I11098" r:id="rId9020" xr:uid="{00000000-0004-0000-0100-00003B230000}"/>
    <hyperlink ref="I11099" r:id="rId9021" xr:uid="{00000000-0004-0000-0100-00003C230000}"/>
    <hyperlink ref="I11100" r:id="rId9022" xr:uid="{00000000-0004-0000-0100-00003D230000}"/>
    <hyperlink ref="I11101" r:id="rId9023" xr:uid="{00000000-0004-0000-0100-00003E230000}"/>
    <hyperlink ref="I11102" r:id="rId9024" xr:uid="{00000000-0004-0000-0100-00003F230000}"/>
    <hyperlink ref="I11103" r:id="rId9025" xr:uid="{00000000-0004-0000-0100-000040230000}"/>
    <hyperlink ref="I11104" r:id="rId9026" xr:uid="{00000000-0004-0000-0100-000041230000}"/>
    <hyperlink ref="I11105" r:id="rId9027" xr:uid="{00000000-0004-0000-0100-000042230000}"/>
    <hyperlink ref="I11106" r:id="rId9028" xr:uid="{00000000-0004-0000-0100-000043230000}"/>
    <hyperlink ref="I11107" r:id="rId9029" xr:uid="{00000000-0004-0000-0100-000044230000}"/>
    <hyperlink ref="I11108" r:id="rId9030" xr:uid="{00000000-0004-0000-0100-000045230000}"/>
    <hyperlink ref="I11109" r:id="rId9031" xr:uid="{00000000-0004-0000-0100-000046230000}"/>
    <hyperlink ref="I11110" r:id="rId9032" xr:uid="{00000000-0004-0000-0100-000047230000}"/>
    <hyperlink ref="I11111" r:id="rId9033" xr:uid="{00000000-0004-0000-0100-000048230000}"/>
    <hyperlink ref="I11112" r:id="rId9034" xr:uid="{00000000-0004-0000-0100-000049230000}"/>
    <hyperlink ref="I11113" r:id="rId9035" xr:uid="{00000000-0004-0000-0100-00004A230000}"/>
    <hyperlink ref="I11114" r:id="rId9036" xr:uid="{00000000-0004-0000-0100-00004B230000}"/>
    <hyperlink ref="I11115" r:id="rId9037" xr:uid="{00000000-0004-0000-0100-00004C230000}"/>
    <hyperlink ref="I11116" r:id="rId9038" xr:uid="{00000000-0004-0000-0100-00004D230000}"/>
    <hyperlink ref="I11117" r:id="rId9039" xr:uid="{00000000-0004-0000-0100-00004E230000}"/>
    <hyperlink ref="I11118" r:id="rId9040" xr:uid="{00000000-0004-0000-0100-00004F230000}"/>
    <hyperlink ref="I11119" r:id="rId9041" xr:uid="{00000000-0004-0000-0100-000050230000}"/>
    <hyperlink ref="I11120" r:id="rId9042" xr:uid="{00000000-0004-0000-0100-000051230000}"/>
    <hyperlink ref="I11121" r:id="rId9043" xr:uid="{00000000-0004-0000-0100-000052230000}"/>
    <hyperlink ref="I11122" r:id="rId9044" xr:uid="{00000000-0004-0000-0100-000053230000}"/>
    <hyperlink ref="I11123" r:id="rId9045" xr:uid="{00000000-0004-0000-0100-000054230000}"/>
    <hyperlink ref="I11124" r:id="rId9046" xr:uid="{00000000-0004-0000-0100-000055230000}"/>
    <hyperlink ref="I11125" r:id="rId9047" xr:uid="{00000000-0004-0000-0100-000056230000}"/>
    <hyperlink ref="I11126" r:id="rId9048" xr:uid="{00000000-0004-0000-0100-000057230000}"/>
    <hyperlink ref="I11127" r:id="rId9049" xr:uid="{00000000-0004-0000-0100-000058230000}"/>
    <hyperlink ref="I11128" r:id="rId9050" xr:uid="{00000000-0004-0000-0100-000059230000}"/>
    <hyperlink ref="I11129" r:id="rId9051" xr:uid="{00000000-0004-0000-0100-00005A230000}"/>
    <hyperlink ref="I11130" r:id="rId9052" xr:uid="{00000000-0004-0000-0100-00005B230000}"/>
    <hyperlink ref="I11131" r:id="rId9053" xr:uid="{00000000-0004-0000-0100-00005C230000}"/>
    <hyperlink ref="I11132" r:id="rId9054" xr:uid="{00000000-0004-0000-0100-00005D230000}"/>
    <hyperlink ref="I11133" r:id="rId9055" xr:uid="{00000000-0004-0000-0100-00005E230000}"/>
    <hyperlink ref="I11134" r:id="rId9056" xr:uid="{00000000-0004-0000-0100-00005F230000}"/>
    <hyperlink ref="I11135" r:id="rId9057" xr:uid="{00000000-0004-0000-0100-000060230000}"/>
    <hyperlink ref="I11136" r:id="rId9058" xr:uid="{00000000-0004-0000-0100-000061230000}"/>
    <hyperlink ref="I11137" r:id="rId9059" xr:uid="{00000000-0004-0000-0100-000062230000}"/>
    <hyperlink ref="I11138" r:id="rId9060" xr:uid="{00000000-0004-0000-0100-000063230000}"/>
    <hyperlink ref="I11139" r:id="rId9061" xr:uid="{00000000-0004-0000-0100-000064230000}"/>
    <hyperlink ref="I11140" r:id="rId9062" xr:uid="{00000000-0004-0000-0100-000065230000}"/>
    <hyperlink ref="I11141" r:id="rId9063" xr:uid="{00000000-0004-0000-0100-000066230000}"/>
    <hyperlink ref="I11142" r:id="rId9064" xr:uid="{00000000-0004-0000-0100-000067230000}"/>
    <hyperlink ref="I11143" r:id="rId9065" xr:uid="{00000000-0004-0000-0100-000068230000}"/>
    <hyperlink ref="I11144" r:id="rId9066" xr:uid="{00000000-0004-0000-0100-000069230000}"/>
    <hyperlink ref="I11145" r:id="rId9067" xr:uid="{00000000-0004-0000-0100-00006A230000}"/>
    <hyperlink ref="I11146" r:id="rId9068" xr:uid="{00000000-0004-0000-0100-00006B230000}"/>
    <hyperlink ref="I11147" r:id="rId9069" xr:uid="{00000000-0004-0000-0100-00006C230000}"/>
    <hyperlink ref="I11148" r:id="rId9070" xr:uid="{00000000-0004-0000-0100-00006D230000}"/>
    <hyperlink ref="I11149" r:id="rId9071" xr:uid="{00000000-0004-0000-0100-00006E230000}"/>
    <hyperlink ref="I11150" r:id="rId9072" xr:uid="{00000000-0004-0000-0100-00006F230000}"/>
    <hyperlink ref="I11151" r:id="rId9073" xr:uid="{00000000-0004-0000-0100-000070230000}"/>
    <hyperlink ref="I11152" r:id="rId9074" xr:uid="{00000000-0004-0000-0100-000071230000}"/>
    <hyperlink ref="I11153" r:id="rId9075" xr:uid="{00000000-0004-0000-0100-000072230000}"/>
    <hyperlink ref="I11154" r:id="rId9076" xr:uid="{00000000-0004-0000-0100-000073230000}"/>
    <hyperlink ref="I11155" r:id="rId9077" xr:uid="{00000000-0004-0000-0100-000074230000}"/>
    <hyperlink ref="I11156" r:id="rId9078" xr:uid="{00000000-0004-0000-0100-000075230000}"/>
    <hyperlink ref="I11157" r:id="rId9079" xr:uid="{00000000-0004-0000-0100-000076230000}"/>
    <hyperlink ref="I11158" r:id="rId9080" xr:uid="{00000000-0004-0000-0100-000077230000}"/>
    <hyperlink ref="I11159" r:id="rId9081" xr:uid="{00000000-0004-0000-0100-000078230000}"/>
    <hyperlink ref="I11160" r:id="rId9082" xr:uid="{00000000-0004-0000-0100-000079230000}"/>
    <hyperlink ref="I11161" r:id="rId9083" xr:uid="{00000000-0004-0000-0100-00007A230000}"/>
    <hyperlink ref="I11162" r:id="rId9084" xr:uid="{00000000-0004-0000-0100-00007B230000}"/>
    <hyperlink ref="I11163" r:id="rId9085" xr:uid="{00000000-0004-0000-0100-00007C230000}"/>
    <hyperlink ref="I11164" r:id="rId9086" xr:uid="{00000000-0004-0000-0100-00007D230000}"/>
    <hyperlink ref="I11165" r:id="rId9087" xr:uid="{00000000-0004-0000-0100-00007E230000}"/>
    <hyperlink ref="I11166" r:id="rId9088" xr:uid="{00000000-0004-0000-0100-00007F230000}"/>
    <hyperlink ref="I11167" r:id="rId9089" xr:uid="{00000000-0004-0000-0100-000080230000}"/>
    <hyperlink ref="I11168" r:id="rId9090" xr:uid="{00000000-0004-0000-0100-000081230000}"/>
    <hyperlink ref="I11169" r:id="rId9091" xr:uid="{00000000-0004-0000-0100-000082230000}"/>
    <hyperlink ref="I11170" r:id="rId9092" xr:uid="{00000000-0004-0000-0100-000083230000}"/>
    <hyperlink ref="I11171" r:id="rId9093" xr:uid="{00000000-0004-0000-0100-000084230000}"/>
    <hyperlink ref="I11172" r:id="rId9094" xr:uid="{00000000-0004-0000-0100-000085230000}"/>
    <hyperlink ref="I11173" r:id="rId9095" xr:uid="{00000000-0004-0000-0100-000086230000}"/>
    <hyperlink ref="I11174" r:id="rId9096" xr:uid="{00000000-0004-0000-0100-000087230000}"/>
    <hyperlink ref="I11175" r:id="rId9097" xr:uid="{00000000-0004-0000-0100-000088230000}"/>
    <hyperlink ref="I11176" r:id="rId9098" xr:uid="{00000000-0004-0000-0100-000089230000}"/>
    <hyperlink ref="I11177" r:id="rId9099" xr:uid="{00000000-0004-0000-0100-00008A230000}"/>
    <hyperlink ref="I11178" r:id="rId9100" xr:uid="{00000000-0004-0000-0100-00008B230000}"/>
    <hyperlink ref="I11179" r:id="rId9101" xr:uid="{00000000-0004-0000-0100-00008C230000}"/>
    <hyperlink ref="I11180" r:id="rId9102" xr:uid="{00000000-0004-0000-0100-00008D230000}"/>
    <hyperlink ref="I11181" r:id="rId9103" xr:uid="{00000000-0004-0000-0100-00008E230000}"/>
    <hyperlink ref="I11182" r:id="rId9104" xr:uid="{00000000-0004-0000-0100-00008F230000}"/>
    <hyperlink ref="I11183" r:id="rId9105" xr:uid="{00000000-0004-0000-0100-000090230000}"/>
    <hyperlink ref="I11184" r:id="rId9106" xr:uid="{00000000-0004-0000-0100-000091230000}"/>
    <hyperlink ref="I11185" r:id="rId9107" xr:uid="{00000000-0004-0000-0100-000092230000}"/>
    <hyperlink ref="I11186" r:id="rId9108" xr:uid="{00000000-0004-0000-0100-000093230000}"/>
    <hyperlink ref="I11187" r:id="rId9109" xr:uid="{00000000-0004-0000-0100-000094230000}"/>
    <hyperlink ref="I11188" r:id="rId9110" xr:uid="{00000000-0004-0000-0100-000095230000}"/>
    <hyperlink ref="I11189" r:id="rId9111" xr:uid="{00000000-0004-0000-0100-000096230000}"/>
    <hyperlink ref="I11190" r:id="rId9112" xr:uid="{00000000-0004-0000-0100-000097230000}"/>
    <hyperlink ref="I11191" r:id="rId9113" xr:uid="{00000000-0004-0000-0100-000098230000}"/>
    <hyperlink ref="I11192" r:id="rId9114" xr:uid="{00000000-0004-0000-0100-000099230000}"/>
    <hyperlink ref="I11193" r:id="rId9115" xr:uid="{00000000-0004-0000-0100-00009A230000}"/>
    <hyperlink ref="I11194" r:id="rId9116" xr:uid="{00000000-0004-0000-0100-00009B230000}"/>
    <hyperlink ref="I11195" r:id="rId9117" xr:uid="{00000000-0004-0000-0100-00009C230000}"/>
    <hyperlink ref="I11196" r:id="rId9118" xr:uid="{00000000-0004-0000-0100-00009D230000}"/>
    <hyperlink ref="I11197" r:id="rId9119" xr:uid="{00000000-0004-0000-0100-00009E230000}"/>
    <hyperlink ref="I11198" r:id="rId9120" xr:uid="{00000000-0004-0000-0100-00009F230000}"/>
    <hyperlink ref="I11199" r:id="rId9121" xr:uid="{00000000-0004-0000-0100-0000A0230000}"/>
    <hyperlink ref="I11200" r:id="rId9122" xr:uid="{00000000-0004-0000-0100-0000A1230000}"/>
    <hyperlink ref="I11201" r:id="rId9123" xr:uid="{00000000-0004-0000-0100-0000A2230000}"/>
    <hyperlink ref="I11202" r:id="rId9124" xr:uid="{00000000-0004-0000-0100-0000A3230000}"/>
    <hyperlink ref="I11203" r:id="rId9125" xr:uid="{00000000-0004-0000-0100-0000A4230000}"/>
    <hyperlink ref="I11204" r:id="rId9126" xr:uid="{00000000-0004-0000-0100-0000A5230000}"/>
    <hyperlink ref="I11205" r:id="rId9127" xr:uid="{00000000-0004-0000-0100-0000A6230000}"/>
    <hyperlink ref="I11206" r:id="rId9128" xr:uid="{00000000-0004-0000-0100-0000A7230000}"/>
    <hyperlink ref="I11207" r:id="rId9129" xr:uid="{00000000-0004-0000-0100-0000A8230000}"/>
    <hyperlink ref="I11208" r:id="rId9130" xr:uid="{00000000-0004-0000-0100-0000A9230000}"/>
    <hyperlink ref="I11209" r:id="rId9131" xr:uid="{00000000-0004-0000-0100-0000AA230000}"/>
    <hyperlink ref="I11210" r:id="rId9132" xr:uid="{00000000-0004-0000-0100-0000AB230000}"/>
    <hyperlink ref="I11211" r:id="rId9133" xr:uid="{00000000-0004-0000-0100-0000AC230000}"/>
    <hyperlink ref="I11212" r:id="rId9134" xr:uid="{00000000-0004-0000-0100-0000AD230000}"/>
    <hyperlink ref="I11213" r:id="rId9135" xr:uid="{00000000-0004-0000-0100-0000AE230000}"/>
    <hyperlink ref="I11214" r:id="rId9136" xr:uid="{00000000-0004-0000-0100-0000AF230000}"/>
    <hyperlink ref="I11215" r:id="rId9137" xr:uid="{00000000-0004-0000-0100-0000B0230000}"/>
    <hyperlink ref="I11216" r:id="rId9138" xr:uid="{00000000-0004-0000-0100-0000B1230000}"/>
    <hyperlink ref="I11217" r:id="rId9139" xr:uid="{00000000-0004-0000-0100-0000B2230000}"/>
    <hyperlink ref="I11218" r:id="rId9140" xr:uid="{00000000-0004-0000-0100-0000B3230000}"/>
    <hyperlink ref="I11219" r:id="rId9141" xr:uid="{00000000-0004-0000-0100-0000B4230000}"/>
    <hyperlink ref="I11220" r:id="rId9142" xr:uid="{00000000-0004-0000-0100-0000B5230000}"/>
    <hyperlink ref="I11221" r:id="rId9143" xr:uid="{00000000-0004-0000-0100-0000B6230000}"/>
    <hyperlink ref="I11222" r:id="rId9144" xr:uid="{00000000-0004-0000-0100-0000B7230000}"/>
    <hyperlink ref="I11223" r:id="rId9145" xr:uid="{00000000-0004-0000-0100-0000B8230000}"/>
    <hyperlink ref="I11224" r:id="rId9146" xr:uid="{00000000-0004-0000-0100-0000B9230000}"/>
    <hyperlink ref="I11225" r:id="rId9147" xr:uid="{00000000-0004-0000-0100-0000BA230000}"/>
    <hyperlink ref="I11226" r:id="rId9148" xr:uid="{00000000-0004-0000-0100-0000BB230000}"/>
    <hyperlink ref="I11227" r:id="rId9149" xr:uid="{00000000-0004-0000-0100-0000BC230000}"/>
    <hyperlink ref="I11228" r:id="rId9150" xr:uid="{00000000-0004-0000-0100-0000BD230000}"/>
    <hyperlink ref="I11229" r:id="rId9151" xr:uid="{00000000-0004-0000-0100-0000BE230000}"/>
    <hyperlink ref="I11230" r:id="rId9152" xr:uid="{00000000-0004-0000-0100-0000BF230000}"/>
    <hyperlink ref="I11231" r:id="rId9153" xr:uid="{00000000-0004-0000-0100-0000C0230000}"/>
    <hyperlink ref="I11232" r:id="rId9154" xr:uid="{00000000-0004-0000-0100-0000C1230000}"/>
    <hyperlink ref="I11233" r:id="rId9155" xr:uid="{00000000-0004-0000-0100-0000C2230000}"/>
    <hyperlink ref="I11234" r:id="rId9156" xr:uid="{00000000-0004-0000-0100-0000C3230000}"/>
    <hyperlink ref="I11235" r:id="rId9157" xr:uid="{00000000-0004-0000-0100-0000C4230000}"/>
    <hyperlink ref="I11236" r:id="rId9158" xr:uid="{00000000-0004-0000-0100-0000C5230000}"/>
    <hyperlink ref="I11237" r:id="rId9159" xr:uid="{00000000-0004-0000-0100-0000C6230000}"/>
    <hyperlink ref="I11238" r:id="rId9160" xr:uid="{00000000-0004-0000-0100-0000C7230000}"/>
    <hyperlink ref="I11239" r:id="rId9161" xr:uid="{00000000-0004-0000-0100-0000C8230000}"/>
    <hyperlink ref="I11240" r:id="rId9162" xr:uid="{00000000-0004-0000-0100-0000C9230000}"/>
    <hyperlink ref="I11241" r:id="rId9163" xr:uid="{00000000-0004-0000-0100-0000CA230000}"/>
    <hyperlink ref="I11242" r:id="rId9164" xr:uid="{00000000-0004-0000-0100-0000CB230000}"/>
    <hyperlink ref="I11243" r:id="rId9165" xr:uid="{00000000-0004-0000-0100-0000CC230000}"/>
    <hyperlink ref="I11244" r:id="rId9166" xr:uid="{00000000-0004-0000-0100-0000CD230000}"/>
    <hyperlink ref="I11245" r:id="rId9167" xr:uid="{00000000-0004-0000-0100-0000CE230000}"/>
    <hyperlink ref="I11246" r:id="rId9168" xr:uid="{00000000-0004-0000-0100-0000CF230000}"/>
    <hyperlink ref="I11247" r:id="rId9169" xr:uid="{00000000-0004-0000-0100-0000D0230000}"/>
    <hyperlink ref="I11248" r:id="rId9170" xr:uid="{00000000-0004-0000-0100-0000D1230000}"/>
    <hyperlink ref="I11249" r:id="rId9171" xr:uid="{00000000-0004-0000-0100-0000D2230000}"/>
    <hyperlink ref="I11250" r:id="rId9172" xr:uid="{00000000-0004-0000-0100-0000D3230000}"/>
    <hyperlink ref="I11251" r:id="rId9173" xr:uid="{00000000-0004-0000-0100-0000D4230000}"/>
    <hyperlink ref="I11252" r:id="rId9174" xr:uid="{00000000-0004-0000-0100-0000D5230000}"/>
    <hyperlink ref="I11253" r:id="rId9175" xr:uid="{00000000-0004-0000-0100-0000D6230000}"/>
    <hyperlink ref="I11254" r:id="rId9176" xr:uid="{00000000-0004-0000-0100-0000D7230000}"/>
    <hyperlink ref="I11255" r:id="rId9177" xr:uid="{00000000-0004-0000-0100-0000D8230000}"/>
    <hyperlink ref="I11256" r:id="rId9178" xr:uid="{00000000-0004-0000-0100-0000D9230000}"/>
    <hyperlink ref="I11257" r:id="rId9179" xr:uid="{00000000-0004-0000-0100-0000DA230000}"/>
    <hyperlink ref="I11258" r:id="rId9180" xr:uid="{00000000-0004-0000-0100-0000DB230000}"/>
    <hyperlink ref="I11259" r:id="rId9181" xr:uid="{00000000-0004-0000-0100-0000DC230000}"/>
    <hyperlink ref="I11260" r:id="rId9182" xr:uid="{00000000-0004-0000-0100-0000DD230000}"/>
    <hyperlink ref="I11261" r:id="rId9183" xr:uid="{00000000-0004-0000-0100-0000DE230000}"/>
    <hyperlink ref="I11262" r:id="rId9184" xr:uid="{00000000-0004-0000-0100-0000DF230000}"/>
    <hyperlink ref="I11263" r:id="rId9185" xr:uid="{00000000-0004-0000-0100-0000E0230000}"/>
    <hyperlink ref="I11264" r:id="rId9186" xr:uid="{00000000-0004-0000-0100-0000E1230000}"/>
    <hyperlink ref="I11265" r:id="rId9187" xr:uid="{00000000-0004-0000-0100-0000E2230000}"/>
    <hyperlink ref="I11266" r:id="rId9188" xr:uid="{00000000-0004-0000-0100-0000E3230000}"/>
    <hyperlink ref="I11267" r:id="rId9189" xr:uid="{00000000-0004-0000-0100-0000E4230000}"/>
    <hyperlink ref="I11268" r:id="rId9190" xr:uid="{00000000-0004-0000-0100-0000E5230000}"/>
    <hyperlink ref="I11269" r:id="rId9191" xr:uid="{00000000-0004-0000-0100-0000E6230000}"/>
    <hyperlink ref="I11270" r:id="rId9192" xr:uid="{00000000-0004-0000-0100-0000E7230000}"/>
    <hyperlink ref="I11271" r:id="rId9193" xr:uid="{00000000-0004-0000-0100-0000E8230000}"/>
    <hyperlink ref="I11272" r:id="rId9194" xr:uid="{00000000-0004-0000-0100-0000E9230000}"/>
    <hyperlink ref="I11273" r:id="rId9195" xr:uid="{00000000-0004-0000-0100-0000EA230000}"/>
    <hyperlink ref="I11274" r:id="rId9196" xr:uid="{00000000-0004-0000-0100-0000EB230000}"/>
    <hyperlink ref="I11275" r:id="rId9197" xr:uid="{00000000-0004-0000-0100-0000EC230000}"/>
    <hyperlink ref="I11276" r:id="rId9198" xr:uid="{00000000-0004-0000-0100-0000ED230000}"/>
    <hyperlink ref="I11277" r:id="rId9199" xr:uid="{00000000-0004-0000-0100-0000EE230000}"/>
    <hyperlink ref="I11278" r:id="rId9200" xr:uid="{00000000-0004-0000-0100-0000EF230000}"/>
    <hyperlink ref="I11279" r:id="rId9201" xr:uid="{00000000-0004-0000-0100-0000F0230000}"/>
    <hyperlink ref="I11280" r:id="rId9202" xr:uid="{00000000-0004-0000-0100-0000F1230000}"/>
    <hyperlink ref="I11281" r:id="rId9203" xr:uid="{00000000-0004-0000-0100-0000F2230000}"/>
    <hyperlink ref="I11282" r:id="rId9204" xr:uid="{00000000-0004-0000-0100-0000F3230000}"/>
    <hyperlink ref="I11283" r:id="rId9205" xr:uid="{00000000-0004-0000-0100-0000F4230000}"/>
    <hyperlink ref="I11284" r:id="rId9206" xr:uid="{00000000-0004-0000-0100-0000F5230000}"/>
    <hyperlink ref="I11285" r:id="rId9207" xr:uid="{00000000-0004-0000-0100-0000F6230000}"/>
    <hyperlink ref="I11286" r:id="rId9208" xr:uid="{00000000-0004-0000-0100-0000F7230000}"/>
    <hyperlink ref="I11287" r:id="rId9209" xr:uid="{00000000-0004-0000-0100-0000F8230000}"/>
    <hyperlink ref="I11288" r:id="rId9210" xr:uid="{00000000-0004-0000-0100-0000F9230000}"/>
    <hyperlink ref="I11289" r:id="rId9211" xr:uid="{00000000-0004-0000-0100-0000FA230000}"/>
    <hyperlink ref="I11290" r:id="rId9212" xr:uid="{00000000-0004-0000-0100-0000FB230000}"/>
    <hyperlink ref="I11291" r:id="rId9213" xr:uid="{00000000-0004-0000-0100-0000FC230000}"/>
    <hyperlink ref="I11292" r:id="rId9214" xr:uid="{00000000-0004-0000-0100-0000FD230000}"/>
    <hyperlink ref="I11293" r:id="rId9215" xr:uid="{00000000-0004-0000-0100-0000FE230000}"/>
    <hyperlink ref="I11294" r:id="rId9216" xr:uid="{00000000-0004-0000-0100-0000FF230000}"/>
    <hyperlink ref="I11295" r:id="rId9217" xr:uid="{00000000-0004-0000-0100-000000240000}"/>
    <hyperlink ref="I11296" r:id="rId9218" xr:uid="{00000000-0004-0000-0100-000001240000}"/>
    <hyperlink ref="I11297" r:id="rId9219" xr:uid="{00000000-0004-0000-0100-000002240000}"/>
    <hyperlink ref="I11298" r:id="rId9220" xr:uid="{00000000-0004-0000-0100-000003240000}"/>
    <hyperlink ref="I11299" r:id="rId9221" xr:uid="{00000000-0004-0000-0100-000004240000}"/>
    <hyperlink ref="I11300" r:id="rId9222" xr:uid="{00000000-0004-0000-0100-000005240000}"/>
    <hyperlink ref="I11301" r:id="rId9223" xr:uid="{00000000-0004-0000-0100-000006240000}"/>
    <hyperlink ref="I11302" r:id="rId9224" xr:uid="{00000000-0004-0000-0100-000007240000}"/>
    <hyperlink ref="I11303" r:id="rId9225" xr:uid="{00000000-0004-0000-0100-000008240000}"/>
    <hyperlink ref="I11304" r:id="rId9226" xr:uid="{00000000-0004-0000-0100-000009240000}"/>
    <hyperlink ref="I11305" r:id="rId9227" xr:uid="{00000000-0004-0000-0100-00000A240000}"/>
    <hyperlink ref="I11306" r:id="rId9228" xr:uid="{00000000-0004-0000-0100-00000B240000}"/>
    <hyperlink ref="I11307" r:id="rId9229" xr:uid="{00000000-0004-0000-0100-00000C240000}"/>
    <hyperlink ref="I11308" r:id="rId9230" xr:uid="{00000000-0004-0000-0100-00000D240000}"/>
    <hyperlink ref="I11309" r:id="rId9231" xr:uid="{00000000-0004-0000-0100-00000E240000}"/>
    <hyperlink ref="I11310" r:id="rId9232" xr:uid="{00000000-0004-0000-0100-00000F240000}"/>
    <hyperlink ref="I11311" r:id="rId9233" xr:uid="{00000000-0004-0000-0100-000010240000}"/>
    <hyperlink ref="I11312" r:id="rId9234" xr:uid="{00000000-0004-0000-0100-000011240000}"/>
    <hyperlink ref="I11313" r:id="rId9235" xr:uid="{00000000-0004-0000-0100-000012240000}"/>
    <hyperlink ref="I11314" r:id="rId9236" xr:uid="{00000000-0004-0000-0100-000013240000}"/>
    <hyperlink ref="I11315" r:id="rId9237" xr:uid="{00000000-0004-0000-0100-000014240000}"/>
    <hyperlink ref="I11316" r:id="rId9238" xr:uid="{00000000-0004-0000-0100-000015240000}"/>
    <hyperlink ref="I11317" r:id="rId9239" xr:uid="{00000000-0004-0000-0100-000016240000}"/>
    <hyperlink ref="I11318" r:id="rId9240" xr:uid="{00000000-0004-0000-0100-000017240000}"/>
    <hyperlink ref="I11319" r:id="rId9241" xr:uid="{00000000-0004-0000-0100-000018240000}"/>
    <hyperlink ref="I11320" r:id="rId9242" xr:uid="{00000000-0004-0000-0100-000019240000}"/>
    <hyperlink ref="I11321" r:id="rId9243" xr:uid="{00000000-0004-0000-0100-00001A240000}"/>
    <hyperlink ref="I11322" r:id="rId9244" xr:uid="{00000000-0004-0000-0100-00001B240000}"/>
    <hyperlink ref="I11323" r:id="rId9245" xr:uid="{00000000-0004-0000-0100-00001C240000}"/>
    <hyperlink ref="I11324" r:id="rId9246" xr:uid="{00000000-0004-0000-0100-00001D240000}"/>
    <hyperlink ref="I11325" r:id="rId9247" xr:uid="{00000000-0004-0000-0100-00001E240000}"/>
    <hyperlink ref="I11326" r:id="rId9248" xr:uid="{00000000-0004-0000-0100-00001F240000}"/>
    <hyperlink ref="I11327" r:id="rId9249" xr:uid="{00000000-0004-0000-0100-000020240000}"/>
    <hyperlink ref="I11328" r:id="rId9250" xr:uid="{00000000-0004-0000-0100-000021240000}"/>
    <hyperlink ref="I11329" r:id="rId9251" xr:uid="{00000000-0004-0000-0100-000022240000}"/>
    <hyperlink ref="I11330" r:id="rId9252" xr:uid="{00000000-0004-0000-0100-000023240000}"/>
    <hyperlink ref="I11331" r:id="rId9253" xr:uid="{00000000-0004-0000-0100-000024240000}"/>
    <hyperlink ref="I11332" r:id="rId9254" xr:uid="{00000000-0004-0000-0100-000025240000}"/>
    <hyperlink ref="I11333" r:id="rId9255" xr:uid="{00000000-0004-0000-0100-000026240000}"/>
    <hyperlink ref="I11334" r:id="rId9256" xr:uid="{00000000-0004-0000-0100-000027240000}"/>
    <hyperlink ref="I11335" r:id="rId9257" xr:uid="{00000000-0004-0000-0100-000028240000}"/>
    <hyperlink ref="I11336" r:id="rId9258" xr:uid="{00000000-0004-0000-0100-000029240000}"/>
    <hyperlink ref="I11337" r:id="rId9259" xr:uid="{00000000-0004-0000-0100-00002A240000}"/>
    <hyperlink ref="I11338" r:id="rId9260" xr:uid="{00000000-0004-0000-0100-00002B240000}"/>
    <hyperlink ref="I11339" r:id="rId9261" xr:uid="{00000000-0004-0000-0100-00002C240000}"/>
    <hyperlink ref="I11340" r:id="rId9262" xr:uid="{00000000-0004-0000-0100-00002D240000}"/>
    <hyperlink ref="I11341" r:id="rId9263" xr:uid="{00000000-0004-0000-0100-00002E240000}"/>
    <hyperlink ref="I11342" r:id="rId9264" xr:uid="{00000000-0004-0000-0100-00002F240000}"/>
    <hyperlink ref="I11343" r:id="rId9265" xr:uid="{00000000-0004-0000-0100-000030240000}"/>
    <hyperlink ref="I11344" r:id="rId9266" xr:uid="{00000000-0004-0000-0100-000031240000}"/>
    <hyperlink ref="I11345" r:id="rId9267" xr:uid="{00000000-0004-0000-0100-000032240000}"/>
    <hyperlink ref="I11346" r:id="rId9268" xr:uid="{00000000-0004-0000-0100-000033240000}"/>
    <hyperlink ref="I11347" r:id="rId9269" xr:uid="{00000000-0004-0000-0100-000034240000}"/>
    <hyperlink ref="I11348" r:id="rId9270" xr:uid="{00000000-0004-0000-0100-000035240000}"/>
    <hyperlink ref="I11349" r:id="rId9271" xr:uid="{00000000-0004-0000-0100-000036240000}"/>
    <hyperlink ref="I11350" r:id="rId9272" xr:uid="{00000000-0004-0000-0100-000037240000}"/>
    <hyperlink ref="I11351" r:id="rId9273" xr:uid="{00000000-0004-0000-0100-000038240000}"/>
    <hyperlink ref="I11352" r:id="rId9274" xr:uid="{00000000-0004-0000-0100-000039240000}"/>
    <hyperlink ref="I11353" r:id="rId9275" xr:uid="{00000000-0004-0000-0100-00003A240000}"/>
    <hyperlink ref="I11354" r:id="rId9276" xr:uid="{00000000-0004-0000-0100-00003B240000}"/>
    <hyperlink ref="I11355" r:id="rId9277" xr:uid="{00000000-0004-0000-0100-00003C240000}"/>
    <hyperlink ref="I11356" r:id="rId9278" xr:uid="{00000000-0004-0000-0100-00003D240000}"/>
    <hyperlink ref="I11357" r:id="rId9279" xr:uid="{00000000-0004-0000-0100-00003E240000}"/>
    <hyperlink ref="I11358" r:id="rId9280" xr:uid="{00000000-0004-0000-0100-00003F240000}"/>
    <hyperlink ref="I11359" r:id="rId9281" xr:uid="{00000000-0004-0000-0100-000040240000}"/>
    <hyperlink ref="I11360" r:id="rId9282" xr:uid="{00000000-0004-0000-0100-000041240000}"/>
    <hyperlink ref="I11361" r:id="rId9283" xr:uid="{00000000-0004-0000-0100-000042240000}"/>
    <hyperlink ref="I11362" r:id="rId9284" xr:uid="{00000000-0004-0000-0100-000043240000}"/>
    <hyperlink ref="I11363" r:id="rId9285" xr:uid="{00000000-0004-0000-0100-000044240000}"/>
    <hyperlink ref="I11364" r:id="rId9286" xr:uid="{00000000-0004-0000-0100-000045240000}"/>
    <hyperlink ref="I11365" r:id="rId9287" xr:uid="{00000000-0004-0000-0100-000046240000}"/>
    <hyperlink ref="I11366" r:id="rId9288" xr:uid="{00000000-0004-0000-0100-000047240000}"/>
    <hyperlink ref="I11367" r:id="rId9289" xr:uid="{00000000-0004-0000-0100-000048240000}"/>
    <hyperlink ref="I11368" r:id="rId9290" xr:uid="{00000000-0004-0000-0100-000049240000}"/>
    <hyperlink ref="I11369" r:id="rId9291" xr:uid="{00000000-0004-0000-0100-00004A240000}"/>
    <hyperlink ref="I11370" r:id="rId9292" xr:uid="{00000000-0004-0000-0100-00004B240000}"/>
    <hyperlink ref="I11371" r:id="rId9293" xr:uid="{00000000-0004-0000-0100-00004C240000}"/>
    <hyperlink ref="I11372" r:id="rId9294" xr:uid="{00000000-0004-0000-0100-00004D240000}"/>
    <hyperlink ref="I11373" r:id="rId9295" xr:uid="{00000000-0004-0000-0100-00004E240000}"/>
    <hyperlink ref="I11374" r:id="rId9296" xr:uid="{00000000-0004-0000-0100-00004F240000}"/>
    <hyperlink ref="I11375" r:id="rId9297" xr:uid="{00000000-0004-0000-0100-000050240000}"/>
    <hyperlink ref="I11376" r:id="rId9298" xr:uid="{00000000-0004-0000-0100-000051240000}"/>
    <hyperlink ref="I11377" r:id="rId9299" xr:uid="{00000000-0004-0000-0100-000052240000}"/>
    <hyperlink ref="I11378" r:id="rId9300" xr:uid="{00000000-0004-0000-0100-000053240000}"/>
    <hyperlink ref="I11379" r:id="rId9301" xr:uid="{00000000-0004-0000-0100-000054240000}"/>
    <hyperlink ref="I11380" r:id="rId9302" xr:uid="{00000000-0004-0000-0100-000055240000}"/>
    <hyperlink ref="I11381" r:id="rId9303" xr:uid="{00000000-0004-0000-0100-000056240000}"/>
    <hyperlink ref="I11382" r:id="rId9304" xr:uid="{00000000-0004-0000-0100-000057240000}"/>
    <hyperlink ref="I11383" r:id="rId9305" xr:uid="{00000000-0004-0000-0100-000058240000}"/>
    <hyperlink ref="I11384" r:id="rId9306" xr:uid="{00000000-0004-0000-0100-000059240000}"/>
    <hyperlink ref="I11385" r:id="rId9307" xr:uid="{00000000-0004-0000-0100-00005A240000}"/>
    <hyperlink ref="I11386" r:id="rId9308" xr:uid="{00000000-0004-0000-0100-00005B240000}"/>
    <hyperlink ref="I11387" r:id="rId9309" xr:uid="{00000000-0004-0000-0100-00005C240000}"/>
    <hyperlink ref="I11388" r:id="rId9310" xr:uid="{00000000-0004-0000-0100-00005D240000}"/>
    <hyperlink ref="I11389" r:id="rId9311" xr:uid="{00000000-0004-0000-0100-00005E240000}"/>
    <hyperlink ref="I11390" r:id="rId9312" xr:uid="{00000000-0004-0000-0100-00005F240000}"/>
    <hyperlink ref="I11391" r:id="rId9313" xr:uid="{00000000-0004-0000-0100-000060240000}"/>
    <hyperlink ref="I11392" r:id="rId9314" xr:uid="{00000000-0004-0000-0100-000061240000}"/>
    <hyperlink ref="I11393" r:id="rId9315" xr:uid="{00000000-0004-0000-0100-000062240000}"/>
    <hyperlink ref="I11394" r:id="rId9316" xr:uid="{00000000-0004-0000-0100-000063240000}"/>
    <hyperlink ref="I11395" r:id="rId9317" xr:uid="{00000000-0004-0000-0100-000064240000}"/>
    <hyperlink ref="I11396" r:id="rId9318" xr:uid="{00000000-0004-0000-0100-000065240000}"/>
    <hyperlink ref="I11397" r:id="rId9319" xr:uid="{00000000-0004-0000-0100-000066240000}"/>
    <hyperlink ref="I11398" r:id="rId9320" xr:uid="{00000000-0004-0000-0100-000067240000}"/>
    <hyperlink ref="I11399" r:id="rId9321" xr:uid="{00000000-0004-0000-0100-000068240000}"/>
    <hyperlink ref="I11400" r:id="rId9322" xr:uid="{00000000-0004-0000-0100-000069240000}"/>
    <hyperlink ref="I11401" r:id="rId9323" xr:uid="{00000000-0004-0000-0100-00006A240000}"/>
    <hyperlink ref="I11402" r:id="rId9324" xr:uid="{00000000-0004-0000-0100-00006B240000}"/>
    <hyperlink ref="I11403" r:id="rId9325" xr:uid="{00000000-0004-0000-0100-00006C240000}"/>
    <hyperlink ref="I11404" r:id="rId9326" xr:uid="{00000000-0004-0000-0100-00006D240000}"/>
    <hyperlink ref="I11405" r:id="rId9327" xr:uid="{00000000-0004-0000-0100-00006E240000}"/>
    <hyperlink ref="I11406" r:id="rId9328" xr:uid="{00000000-0004-0000-0100-00006F240000}"/>
    <hyperlink ref="I11407" r:id="rId9329" xr:uid="{00000000-0004-0000-0100-000070240000}"/>
    <hyperlink ref="I11408" r:id="rId9330" xr:uid="{00000000-0004-0000-0100-000071240000}"/>
    <hyperlink ref="I11409" r:id="rId9331" xr:uid="{00000000-0004-0000-0100-000072240000}"/>
    <hyperlink ref="I11410" r:id="rId9332" xr:uid="{00000000-0004-0000-0100-000073240000}"/>
    <hyperlink ref="I11411" r:id="rId9333" xr:uid="{00000000-0004-0000-0100-000074240000}"/>
    <hyperlink ref="I11412" r:id="rId9334" xr:uid="{00000000-0004-0000-0100-000075240000}"/>
    <hyperlink ref="I11413" r:id="rId9335" xr:uid="{00000000-0004-0000-0100-000076240000}"/>
    <hyperlink ref="I11414" r:id="rId9336" xr:uid="{00000000-0004-0000-0100-000077240000}"/>
    <hyperlink ref="I11415" r:id="rId9337" xr:uid="{00000000-0004-0000-0100-000078240000}"/>
    <hyperlink ref="I11416" r:id="rId9338" xr:uid="{00000000-0004-0000-0100-000079240000}"/>
    <hyperlink ref="I11417" r:id="rId9339" xr:uid="{00000000-0004-0000-0100-00007A240000}"/>
    <hyperlink ref="I11418" r:id="rId9340" xr:uid="{00000000-0004-0000-0100-00007B240000}"/>
    <hyperlink ref="I11419" r:id="rId9341" xr:uid="{00000000-0004-0000-0100-00007C240000}"/>
    <hyperlink ref="I11420" r:id="rId9342" xr:uid="{00000000-0004-0000-0100-00007D240000}"/>
    <hyperlink ref="I11421" r:id="rId9343" xr:uid="{00000000-0004-0000-0100-00007E240000}"/>
    <hyperlink ref="I11422" r:id="rId9344" xr:uid="{00000000-0004-0000-0100-00007F240000}"/>
    <hyperlink ref="I11423" r:id="rId9345" xr:uid="{00000000-0004-0000-0100-000080240000}"/>
    <hyperlink ref="I11424" r:id="rId9346" xr:uid="{00000000-0004-0000-0100-000081240000}"/>
    <hyperlink ref="I11425" r:id="rId9347" xr:uid="{00000000-0004-0000-0100-000082240000}"/>
    <hyperlink ref="I11426" r:id="rId9348" xr:uid="{00000000-0004-0000-0100-000083240000}"/>
    <hyperlink ref="I11427" r:id="rId9349" xr:uid="{00000000-0004-0000-0100-000084240000}"/>
    <hyperlink ref="I11428" r:id="rId9350" xr:uid="{00000000-0004-0000-0100-000085240000}"/>
    <hyperlink ref="I11429" r:id="rId9351" xr:uid="{00000000-0004-0000-0100-000086240000}"/>
    <hyperlink ref="I11430" r:id="rId9352" xr:uid="{00000000-0004-0000-0100-000087240000}"/>
    <hyperlink ref="I11431" r:id="rId9353" xr:uid="{00000000-0004-0000-0100-000088240000}"/>
    <hyperlink ref="I11432" r:id="rId9354" xr:uid="{00000000-0004-0000-0100-000089240000}"/>
    <hyperlink ref="I11433" r:id="rId9355" xr:uid="{00000000-0004-0000-0100-00008A240000}"/>
    <hyperlink ref="I11434" r:id="rId9356" xr:uid="{00000000-0004-0000-0100-00008B240000}"/>
    <hyperlink ref="I11435" r:id="rId9357" xr:uid="{00000000-0004-0000-0100-00008C240000}"/>
    <hyperlink ref="I11436" r:id="rId9358" xr:uid="{00000000-0004-0000-0100-00008D240000}"/>
    <hyperlink ref="I11437" r:id="rId9359" xr:uid="{00000000-0004-0000-0100-00008E240000}"/>
    <hyperlink ref="I11438" r:id="rId9360" xr:uid="{00000000-0004-0000-0100-00008F240000}"/>
    <hyperlink ref="I11439" r:id="rId9361" xr:uid="{00000000-0004-0000-0100-000090240000}"/>
    <hyperlink ref="I11440" r:id="rId9362" xr:uid="{00000000-0004-0000-0100-000091240000}"/>
    <hyperlink ref="I11441" r:id="rId9363" xr:uid="{00000000-0004-0000-0100-000092240000}"/>
    <hyperlink ref="I11442" r:id="rId9364" xr:uid="{00000000-0004-0000-0100-000093240000}"/>
    <hyperlink ref="I11443" r:id="rId9365" xr:uid="{00000000-0004-0000-0100-000094240000}"/>
    <hyperlink ref="I11444" r:id="rId9366" xr:uid="{00000000-0004-0000-0100-000095240000}"/>
    <hyperlink ref="I11445" r:id="rId9367" xr:uid="{00000000-0004-0000-0100-000096240000}"/>
    <hyperlink ref="I11446" r:id="rId9368" xr:uid="{00000000-0004-0000-0100-000097240000}"/>
    <hyperlink ref="I11447" r:id="rId9369" xr:uid="{00000000-0004-0000-0100-000098240000}"/>
    <hyperlink ref="I11448" r:id="rId9370" xr:uid="{00000000-0004-0000-0100-000099240000}"/>
    <hyperlink ref="I11449" r:id="rId9371" xr:uid="{00000000-0004-0000-0100-00009A240000}"/>
    <hyperlink ref="I11450" r:id="rId9372" xr:uid="{00000000-0004-0000-0100-00009B240000}"/>
    <hyperlink ref="I11451" r:id="rId9373" xr:uid="{00000000-0004-0000-0100-00009C240000}"/>
    <hyperlink ref="I11452" r:id="rId9374" xr:uid="{00000000-0004-0000-0100-00009D240000}"/>
    <hyperlink ref="I11453" r:id="rId9375" xr:uid="{00000000-0004-0000-0100-00009E240000}"/>
    <hyperlink ref="I11454" r:id="rId9376" xr:uid="{00000000-0004-0000-0100-00009F240000}"/>
    <hyperlink ref="I11455" r:id="rId9377" xr:uid="{00000000-0004-0000-0100-0000A0240000}"/>
    <hyperlink ref="I11456" r:id="rId9378" xr:uid="{00000000-0004-0000-0100-0000A1240000}"/>
    <hyperlink ref="I11457" r:id="rId9379" xr:uid="{00000000-0004-0000-0100-0000A2240000}"/>
    <hyperlink ref="I11458" r:id="rId9380" xr:uid="{00000000-0004-0000-0100-0000A3240000}"/>
    <hyperlink ref="I11459" r:id="rId9381" xr:uid="{00000000-0004-0000-0100-0000A4240000}"/>
    <hyperlink ref="I11460" r:id="rId9382" xr:uid="{00000000-0004-0000-0100-0000A5240000}"/>
    <hyperlink ref="I11461" r:id="rId9383" xr:uid="{00000000-0004-0000-0100-0000A6240000}"/>
    <hyperlink ref="I11462" r:id="rId9384" xr:uid="{00000000-0004-0000-0100-0000A7240000}"/>
    <hyperlink ref="I11463" r:id="rId9385" xr:uid="{00000000-0004-0000-0100-0000A8240000}"/>
    <hyperlink ref="I11464" r:id="rId9386" xr:uid="{00000000-0004-0000-0100-0000A9240000}"/>
    <hyperlink ref="I11465" r:id="rId9387" xr:uid="{00000000-0004-0000-0100-0000AA240000}"/>
    <hyperlink ref="I11466" r:id="rId9388" xr:uid="{00000000-0004-0000-0100-0000AB240000}"/>
    <hyperlink ref="I11467" r:id="rId9389" xr:uid="{00000000-0004-0000-0100-0000AC240000}"/>
    <hyperlink ref="I11468" r:id="rId9390" xr:uid="{00000000-0004-0000-0100-0000AD240000}"/>
    <hyperlink ref="I11469" r:id="rId9391" xr:uid="{00000000-0004-0000-0100-0000AE240000}"/>
    <hyperlink ref="I11470" r:id="rId9392" xr:uid="{00000000-0004-0000-0100-0000AF240000}"/>
    <hyperlink ref="I11471" r:id="rId9393" xr:uid="{00000000-0004-0000-0100-0000B0240000}"/>
    <hyperlink ref="I11472" r:id="rId9394" xr:uid="{00000000-0004-0000-0100-0000B1240000}"/>
    <hyperlink ref="I11473" r:id="rId9395" xr:uid="{00000000-0004-0000-0100-0000B2240000}"/>
    <hyperlink ref="I11474" r:id="rId9396" xr:uid="{00000000-0004-0000-0100-0000B3240000}"/>
    <hyperlink ref="I11475" r:id="rId9397" xr:uid="{00000000-0004-0000-0100-0000B4240000}"/>
    <hyperlink ref="I11476" r:id="rId9398" xr:uid="{00000000-0004-0000-0100-0000B5240000}"/>
    <hyperlink ref="I11477" r:id="rId9399" xr:uid="{00000000-0004-0000-0100-0000B6240000}"/>
    <hyperlink ref="I11478" r:id="rId9400" xr:uid="{00000000-0004-0000-0100-0000B7240000}"/>
    <hyperlink ref="I11479" r:id="rId9401" xr:uid="{00000000-0004-0000-0100-0000B8240000}"/>
    <hyperlink ref="I11480" r:id="rId9402" xr:uid="{00000000-0004-0000-0100-0000B9240000}"/>
    <hyperlink ref="I11481" r:id="rId9403" xr:uid="{00000000-0004-0000-0100-0000BA240000}"/>
    <hyperlink ref="I11482" r:id="rId9404" xr:uid="{00000000-0004-0000-0100-0000BB240000}"/>
    <hyperlink ref="I11483" r:id="rId9405" xr:uid="{00000000-0004-0000-0100-0000BC240000}"/>
    <hyperlink ref="I11484" r:id="rId9406" xr:uid="{00000000-0004-0000-0100-0000BD240000}"/>
    <hyperlink ref="I11485" r:id="rId9407" xr:uid="{00000000-0004-0000-0100-0000BE240000}"/>
    <hyperlink ref="I11486" r:id="rId9408" xr:uid="{00000000-0004-0000-0100-0000BF240000}"/>
    <hyperlink ref="I11487" r:id="rId9409" xr:uid="{00000000-0004-0000-0100-0000C0240000}"/>
    <hyperlink ref="I11488" r:id="rId9410" xr:uid="{00000000-0004-0000-0100-0000C1240000}"/>
    <hyperlink ref="I11489" r:id="rId9411" xr:uid="{00000000-0004-0000-0100-0000C2240000}"/>
    <hyperlink ref="I11490" r:id="rId9412" xr:uid="{00000000-0004-0000-0100-0000C3240000}"/>
    <hyperlink ref="I11491" r:id="rId9413" xr:uid="{00000000-0004-0000-0100-0000C4240000}"/>
    <hyperlink ref="I11492" r:id="rId9414" xr:uid="{00000000-0004-0000-0100-0000C5240000}"/>
    <hyperlink ref="I11493" r:id="rId9415" xr:uid="{00000000-0004-0000-0100-0000C6240000}"/>
    <hyperlink ref="I11494" r:id="rId9416" xr:uid="{00000000-0004-0000-0100-0000C7240000}"/>
    <hyperlink ref="I11495" r:id="rId9417" xr:uid="{00000000-0004-0000-0100-0000C8240000}"/>
    <hyperlink ref="I11496" r:id="rId9418" xr:uid="{00000000-0004-0000-0100-0000C9240000}"/>
    <hyperlink ref="I11497" r:id="rId9419" xr:uid="{00000000-0004-0000-0100-0000CA240000}"/>
    <hyperlink ref="I11498" r:id="rId9420" xr:uid="{00000000-0004-0000-0100-0000CB240000}"/>
    <hyperlink ref="I11499" r:id="rId9421" xr:uid="{00000000-0004-0000-0100-0000CC240000}"/>
    <hyperlink ref="I11500" r:id="rId9422" xr:uid="{00000000-0004-0000-0100-0000CD240000}"/>
    <hyperlink ref="I11501" r:id="rId9423" xr:uid="{00000000-0004-0000-0100-0000CE240000}"/>
    <hyperlink ref="I11502" r:id="rId9424" xr:uid="{00000000-0004-0000-0100-0000CF240000}"/>
    <hyperlink ref="I11503" r:id="rId9425" xr:uid="{00000000-0004-0000-0100-0000D0240000}"/>
    <hyperlink ref="I11504" r:id="rId9426" xr:uid="{00000000-0004-0000-0100-0000D1240000}"/>
    <hyperlink ref="I11505" r:id="rId9427" xr:uid="{00000000-0004-0000-0100-0000D2240000}"/>
    <hyperlink ref="I11506" r:id="rId9428" xr:uid="{00000000-0004-0000-0100-0000D3240000}"/>
    <hyperlink ref="I11507" r:id="rId9429" xr:uid="{00000000-0004-0000-0100-0000D4240000}"/>
    <hyperlink ref="I11508" r:id="rId9430" xr:uid="{00000000-0004-0000-0100-0000D5240000}"/>
    <hyperlink ref="I11509" r:id="rId9431" xr:uid="{00000000-0004-0000-0100-0000D6240000}"/>
    <hyperlink ref="I11510" r:id="rId9432" xr:uid="{00000000-0004-0000-0100-0000D7240000}"/>
    <hyperlink ref="I11511" r:id="rId9433" xr:uid="{00000000-0004-0000-0100-0000D8240000}"/>
    <hyperlink ref="I11512" r:id="rId9434" xr:uid="{00000000-0004-0000-0100-0000D9240000}"/>
    <hyperlink ref="I11513" r:id="rId9435" xr:uid="{00000000-0004-0000-0100-0000DA240000}"/>
    <hyperlink ref="I11514" r:id="rId9436" xr:uid="{00000000-0004-0000-0100-0000DB240000}"/>
    <hyperlink ref="I11515" r:id="rId9437" xr:uid="{00000000-0004-0000-0100-0000DC240000}"/>
    <hyperlink ref="I11516" r:id="rId9438" xr:uid="{00000000-0004-0000-0100-0000DD240000}"/>
    <hyperlink ref="I11517" r:id="rId9439" xr:uid="{00000000-0004-0000-0100-0000DE240000}"/>
    <hyperlink ref="I11518" r:id="rId9440" xr:uid="{00000000-0004-0000-0100-0000DF240000}"/>
    <hyperlink ref="I11519" r:id="rId9441" xr:uid="{00000000-0004-0000-0100-0000E0240000}"/>
    <hyperlink ref="I11520" r:id="rId9442" xr:uid="{00000000-0004-0000-0100-0000E1240000}"/>
    <hyperlink ref="I11521" r:id="rId9443" xr:uid="{00000000-0004-0000-0100-0000E2240000}"/>
    <hyperlink ref="I11522" r:id="rId9444" xr:uid="{00000000-0004-0000-0100-0000E3240000}"/>
    <hyperlink ref="I11523" r:id="rId9445" xr:uid="{00000000-0004-0000-0100-0000E4240000}"/>
    <hyperlink ref="I11524" r:id="rId9446" xr:uid="{00000000-0004-0000-0100-0000E5240000}"/>
    <hyperlink ref="I11525" r:id="rId9447" xr:uid="{00000000-0004-0000-0100-0000E6240000}"/>
    <hyperlink ref="I11526" r:id="rId9448" xr:uid="{00000000-0004-0000-0100-0000E7240000}"/>
    <hyperlink ref="I11527" r:id="rId9449" xr:uid="{00000000-0004-0000-0100-0000E8240000}"/>
    <hyperlink ref="I11528" r:id="rId9450" xr:uid="{00000000-0004-0000-0100-0000E9240000}"/>
    <hyperlink ref="I11529" r:id="rId9451" xr:uid="{00000000-0004-0000-0100-0000EA240000}"/>
    <hyperlink ref="I11530" r:id="rId9452" xr:uid="{00000000-0004-0000-0100-0000EB240000}"/>
    <hyperlink ref="I11531" r:id="rId9453" xr:uid="{00000000-0004-0000-0100-0000EC240000}"/>
    <hyperlink ref="I11532" r:id="rId9454" xr:uid="{00000000-0004-0000-0100-0000ED240000}"/>
    <hyperlink ref="I11533" r:id="rId9455" xr:uid="{00000000-0004-0000-0100-0000EE240000}"/>
    <hyperlink ref="I11534" r:id="rId9456" xr:uid="{00000000-0004-0000-0100-0000EF240000}"/>
    <hyperlink ref="I11535" r:id="rId9457" xr:uid="{00000000-0004-0000-0100-0000F0240000}"/>
    <hyperlink ref="I11536" r:id="rId9458" xr:uid="{00000000-0004-0000-0100-0000F1240000}"/>
    <hyperlink ref="I11537" r:id="rId9459" xr:uid="{00000000-0004-0000-0100-0000F2240000}"/>
    <hyperlink ref="I11538" r:id="rId9460" xr:uid="{00000000-0004-0000-0100-0000F3240000}"/>
    <hyperlink ref="I11539" r:id="rId9461" xr:uid="{00000000-0004-0000-0100-0000F4240000}"/>
    <hyperlink ref="I11540" r:id="rId9462" xr:uid="{00000000-0004-0000-0100-0000F5240000}"/>
    <hyperlink ref="I11541" r:id="rId9463" xr:uid="{00000000-0004-0000-0100-0000F6240000}"/>
    <hyperlink ref="I11542" r:id="rId9464" xr:uid="{00000000-0004-0000-0100-0000F7240000}"/>
    <hyperlink ref="I11543" r:id="rId9465" xr:uid="{00000000-0004-0000-0100-0000F8240000}"/>
    <hyperlink ref="I11544" r:id="rId9466" xr:uid="{00000000-0004-0000-0100-0000F9240000}"/>
    <hyperlink ref="I11545" r:id="rId9467" xr:uid="{00000000-0004-0000-0100-0000FA240000}"/>
    <hyperlink ref="I11546" r:id="rId9468" xr:uid="{00000000-0004-0000-0100-0000FB240000}"/>
    <hyperlink ref="I11547" r:id="rId9469" xr:uid="{00000000-0004-0000-0100-0000FC240000}"/>
    <hyperlink ref="I11548" r:id="rId9470" xr:uid="{00000000-0004-0000-0100-0000FD240000}"/>
    <hyperlink ref="I11549" r:id="rId9471" xr:uid="{00000000-0004-0000-0100-0000FE240000}"/>
    <hyperlink ref="I11550" r:id="rId9472" xr:uid="{00000000-0004-0000-0100-0000FF240000}"/>
    <hyperlink ref="I11551" r:id="rId9473" xr:uid="{00000000-0004-0000-0100-000000250000}"/>
    <hyperlink ref="I11552" r:id="rId9474" xr:uid="{00000000-0004-0000-0100-000001250000}"/>
    <hyperlink ref="I11553" r:id="rId9475" xr:uid="{00000000-0004-0000-0100-000002250000}"/>
    <hyperlink ref="I11554" r:id="rId9476" xr:uid="{00000000-0004-0000-0100-000003250000}"/>
    <hyperlink ref="I11555" r:id="rId9477" xr:uid="{00000000-0004-0000-0100-000004250000}"/>
    <hyperlink ref="I11556" r:id="rId9478" xr:uid="{00000000-0004-0000-0100-000005250000}"/>
    <hyperlink ref="I11557" r:id="rId9479" xr:uid="{00000000-0004-0000-0100-000006250000}"/>
    <hyperlink ref="I11558" r:id="rId9480" xr:uid="{00000000-0004-0000-0100-000007250000}"/>
    <hyperlink ref="I11559" r:id="rId9481" xr:uid="{00000000-0004-0000-0100-000008250000}"/>
    <hyperlink ref="I11560" r:id="rId9482" xr:uid="{00000000-0004-0000-0100-000009250000}"/>
    <hyperlink ref="I11561" r:id="rId9483" xr:uid="{00000000-0004-0000-0100-00000A250000}"/>
    <hyperlink ref="I11562" r:id="rId9484" xr:uid="{00000000-0004-0000-0100-00000B250000}"/>
    <hyperlink ref="I11563" r:id="rId9485" xr:uid="{00000000-0004-0000-0100-00000C250000}"/>
    <hyperlink ref="I11564" r:id="rId9486" xr:uid="{00000000-0004-0000-0100-00000D250000}"/>
    <hyperlink ref="I11565" r:id="rId9487" xr:uid="{00000000-0004-0000-0100-00000E250000}"/>
    <hyperlink ref="I11566" r:id="rId9488" xr:uid="{00000000-0004-0000-0100-00000F250000}"/>
    <hyperlink ref="I11567" r:id="rId9489" xr:uid="{00000000-0004-0000-0100-000010250000}"/>
    <hyperlink ref="I11568" r:id="rId9490" xr:uid="{00000000-0004-0000-0100-000011250000}"/>
    <hyperlink ref="I11569" r:id="rId9491" xr:uid="{00000000-0004-0000-0100-000012250000}"/>
    <hyperlink ref="I11570" r:id="rId9492" xr:uid="{00000000-0004-0000-0100-000013250000}"/>
    <hyperlink ref="I11571" r:id="rId9493" xr:uid="{00000000-0004-0000-0100-000014250000}"/>
    <hyperlink ref="I11572" r:id="rId9494" xr:uid="{00000000-0004-0000-0100-000015250000}"/>
    <hyperlink ref="I11573" r:id="rId9495" xr:uid="{00000000-0004-0000-0100-000016250000}"/>
    <hyperlink ref="I11574" r:id="rId9496" xr:uid="{00000000-0004-0000-0100-000017250000}"/>
    <hyperlink ref="I11575" r:id="rId9497" xr:uid="{00000000-0004-0000-0100-000018250000}"/>
    <hyperlink ref="I11576" r:id="rId9498" xr:uid="{00000000-0004-0000-0100-000019250000}"/>
    <hyperlink ref="I11577" r:id="rId9499" xr:uid="{00000000-0004-0000-0100-00001A250000}"/>
    <hyperlink ref="I11578" r:id="rId9500" xr:uid="{00000000-0004-0000-0100-00001B250000}"/>
    <hyperlink ref="I11579" r:id="rId9501" xr:uid="{00000000-0004-0000-0100-00001C250000}"/>
    <hyperlink ref="I11580" r:id="rId9502" xr:uid="{00000000-0004-0000-0100-00001D250000}"/>
    <hyperlink ref="I11581" r:id="rId9503" xr:uid="{00000000-0004-0000-0100-00001E250000}"/>
    <hyperlink ref="I11582" r:id="rId9504" xr:uid="{00000000-0004-0000-0100-00001F250000}"/>
    <hyperlink ref="I11583" r:id="rId9505" xr:uid="{00000000-0004-0000-0100-000020250000}"/>
    <hyperlink ref="I11584" r:id="rId9506" xr:uid="{00000000-0004-0000-0100-000021250000}"/>
    <hyperlink ref="I11585" r:id="rId9507" xr:uid="{00000000-0004-0000-0100-000022250000}"/>
    <hyperlink ref="I11586" r:id="rId9508" xr:uid="{00000000-0004-0000-0100-000023250000}"/>
    <hyperlink ref="I11587" r:id="rId9509" xr:uid="{00000000-0004-0000-0100-000024250000}"/>
    <hyperlink ref="I11588" r:id="rId9510" xr:uid="{00000000-0004-0000-0100-000025250000}"/>
    <hyperlink ref="I11589" r:id="rId9511" xr:uid="{00000000-0004-0000-0100-000026250000}"/>
    <hyperlink ref="I11590" r:id="rId9512" xr:uid="{00000000-0004-0000-0100-000027250000}"/>
    <hyperlink ref="I11591" r:id="rId9513" xr:uid="{00000000-0004-0000-0100-000028250000}"/>
    <hyperlink ref="I11592" r:id="rId9514" xr:uid="{00000000-0004-0000-0100-000029250000}"/>
    <hyperlink ref="I11593" r:id="rId9515" xr:uid="{00000000-0004-0000-0100-00002A250000}"/>
    <hyperlink ref="I11594" r:id="rId9516" xr:uid="{00000000-0004-0000-0100-00002B250000}"/>
    <hyperlink ref="I11595" r:id="rId9517" xr:uid="{00000000-0004-0000-0100-00002C250000}"/>
    <hyperlink ref="I11596" r:id="rId9518" xr:uid="{00000000-0004-0000-0100-00002D250000}"/>
    <hyperlink ref="I11597" r:id="rId9519" xr:uid="{00000000-0004-0000-0100-00002E250000}"/>
    <hyperlink ref="I11598" r:id="rId9520" xr:uid="{00000000-0004-0000-0100-00002F250000}"/>
    <hyperlink ref="I11599" r:id="rId9521" xr:uid="{00000000-0004-0000-0100-000030250000}"/>
    <hyperlink ref="I11600" r:id="rId9522" xr:uid="{00000000-0004-0000-0100-000031250000}"/>
    <hyperlink ref="I11601" r:id="rId9523" xr:uid="{00000000-0004-0000-0100-000032250000}"/>
    <hyperlink ref="I11602" r:id="rId9524" xr:uid="{00000000-0004-0000-0100-000033250000}"/>
    <hyperlink ref="I11603" r:id="rId9525" xr:uid="{00000000-0004-0000-0100-000034250000}"/>
    <hyperlink ref="I11604" r:id="rId9526" xr:uid="{00000000-0004-0000-0100-000035250000}"/>
    <hyperlink ref="I11605" r:id="rId9527" xr:uid="{00000000-0004-0000-0100-000036250000}"/>
    <hyperlink ref="I11606" r:id="rId9528" xr:uid="{00000000-0004-0000-0100-000037250000}"/>
    <hyperlink ref="I11607" r:id="rId9529" xr:uid="{00000000-0004-0000-0100-000038250000}"/>
    <hyperlink ref="I11608" r:id="rId9530" xr:uid="{00000000-0004-0000-0100-000039250000}"/>
    <hyperlink ref="I11609" r:id="rId9531" xr:uid="{00000000-0004-0000-0100-00003A250000}"/>
    <hyperlink ref="I11610" r:id="rId9532" xr:uid="{00000000-0004-0000-0100-00003B250000}"/>
    <hyperlink ref="I11611" r:id="rId9533" xr:uid="{00000000-0004-0000-0100-00003C250000}"/>
    <hyperlink ref="I11612" r:id="rId9534" xr:uid="{00000000-0004-0000-0100-00003D250000}"/>
    <hyperlink ref="I11613" r:id="rId9535" xr:uid="{00000000-0004-0000-0100-00003E250000}"/>
    <hyperlink ref="I11614" r:id="rId9536" xr:uid="{00000000-0004-0000-0100-00003F250000}"/>
    <hyperlink ref="I11615" r:id="rId9537" xr:uid="{00000000-0004-0000-0100-000040250000}"/>
    <hyperlink ref="I11616" r:id="rId9538" xr:uid="{00000000-0004-0000-0100-000041250000}"/>
    <hyperlink ref="I11617" r:id="rId9539" xr:uid="{00000000-0004-0000-0100-000042250000}"/>
    <hyperlink ref="I11618" r:id="rId9540" xr:uid="{00000000-0004-0000-0100-000043250000}"/>
    <hyperlink ref="I11619" r:id="rId9541" xr:uid="{00000000-0004-0000-0100-000044250000}"/>
    <hyperlink ref="I11620" r:id="rId9542" xr:uid="{00000000-0004-0000-0100-000045250000}"/>
    <hyperlink ref="I11621" r:id="rId9543" xr:uid="{00000000-0004-0000-0100-000046250000}"/>
    <hyperlink ref="I11622" r:id="rId9544" xr:uid="{00000000-0004-0000-0100-000047250000}"/>
    <hyperlink ref="I11623" r:id="rId9545" xr:uid="{00000000-0004-0000-0100-000048250000}"/>
    <hyperlink ref="I11624" r:id="rId9546" xr:uid="{00000000-0004-0000-0100-000049250000}"/>
    <hyperlink ref="I11625" r:id="rId9547" xr:uid="{00000000-0004-0000-0100-00004A250000}"/>
    <hyperlink ref="I11626" r:id="rId9548" xr:uid="{00000000-0004-0000-0100-00004B250000}"/>
    <hyperlink ref="I11627" r:id="rId9549" xr:uid="{00000000-0004-0000-0100-00004C250000}"/>
    <hyperlink ref="I11628" r:id="rId9550" xr:uid="{00000000-0004-0000-0100-00004D250000}"/>
    <hyperlink ref="I11629" r:id="rId9551" xr:uid="{00000000-0004-0000-0100-00004E250000}"/>
    <hyperlink ref="I11630" r:id="rId9552" xr:uid="{00000000-0004-0000-0100-00004F250000}"/>
    <hyperlink ref="I11631" r:id="rId9553" xr:uid="{00000000-0004-0000-0100-000050250000}"/>
    <hyperlink ref="I11632" r:id="rId9554" xr:uid="{00000000-0004-0000-0100-000051250000}"/>
    <hyperlink ref="I11633" r:id="rId9555" xr:uid="{00000000-0004-0000-0100-000052250000}"/>
    <hyperlink ref="I11634" r:id="rId9556" xr:uid="{00000000-0004-0000-0100-000053250000}"/>
    <hyperlink ref="I11635" r:id="rId9557" xr:uid="{00000000-0004-0000-0100-000054250000}"/>
    <hyperlink ref="I11636" r:id="rId9558" xr:uid="{00000000-0004-0000-0100-000055250000}"/>
    <hyperlink ref="I11637" r:id="rId9559" xr:uid="{00000000-0004-0000-0100-000056250000}"/>
    <hyperlink ref="I11638" r:id="rId9560" xr:uid="{00000000-0004-0000-0100-000057250000}"/>
    <hyperlink ref="I11639" r:id="rId9561" xr:uid="{00000000-0004-0000-0100-000058250000}"/>
    <hyperlink ref="I11640" r:id="rId9562" xr:uid="{00000000-0004-0000-0100-000059250000}"/>
    <hyperlink ref="I11641" r:id="rId9563" xr:uid="{00000000-0004-0000-0100-00005A250000}"/>
    <hyperlink ref="I11642" r:id="rId9564" xr:uid="{00000000-0004-0000-0100-00005B250000}"/>
    <hyperlink ref="I11643" r:id="rId9565" xr:uid="{00000000-0004-0000-0100-00005C250000}"/>
    <hyperlink ref="I11644" r:id="rId9566" xr:uid="{00000000-0004-0000-0100-00005D250000}"/>
    <hyperlink ref="I11645" r:id="rId9567" xr:uid="{00000000-0004-0000-0100-00005E250000}"/>
    <hyperlink ref="I11646" r:id="rId9568" xr:uid="{00000000-0004-0000-0100-00005F250000}"/>
    <hyperlink ref="I11647" r:id="rId9569" xr:uid="{00000000-0004-0000-0100-000060250000}"/>
    <hyperlink ref="I11648" r:id="rId9570" xr:uid="{00000000-0004-0000-0100-000061250000}"/>
    <hyperlink ref="I11649" r:id="rId9571" xr:uid="{00000000-0004-0000-0100-000062250000}"/>
    <hyperlink ref="I11650" r:id="rId9572" xr:uid="{00000000-0004-0000-0100-000063250000}"/>
    <hyperlink ref="I11651" r:id="rId9573" xr:uid="{00000000-0004-0000-0100-000064250000}"/>
    <hyperlink ref="I11652" r:id="rId9574" xr:uid="{00000000-0004-0000-0100-000065250000}"/>
    <hyperlink ref="I11653" r:id="rId9575" xr:uid="{00000000-0004-0000-0100-000066250000}"/>
    <hyperlink ref="I11654" r:id="rId9576" xr:uid="{00000000-0004-0000-0100-000067250000}"/>
    <hyperlink ref="I11655" r:id="rId9577" xr:uid="{00000000-0004-0000-0100-000068250000}"/>
    <hyperlink ref="I11656" r:id="rId9578" xr:uid="{00000000-0004-0000-0100-000069250000}"/>
    <hyperlink ref="I11657" r:id="rId9579" xr:uid="{00000000-0004-0000-0100-00006A250000}"/>
    <hyperlink ref="I11658" r:id="rId9580" xr:uid="{00000000-0004-0000-0100-00006B250000}"/>
    <hyperlink ref="I11659" r:id="rId9581" xr:uid="{00000000-0004-0000-0100-00006C250000}"/>
    <hyperlink ref="I11660" r:id="rId9582" xr:uid="{00000000-0004-0000-0100-00006D250000}"/>
    <hyperlink ref="I11661" r:id="rId9583" xr:uid="{00000000-0004-0000-0100-00006E250000}"/>
    <hyperlink ref="I11662" r:id="rId9584" xr:uid="{00000000-0004-0000-0100-00006F250000}"/>
    <hyperlink ref="I11663" r:id="rId9585" xr:uid="{00000000-0004-0000-0100-000070250000}"/>
    <hyperlink ref="I11664" r:id="rId9586" xr:uid="{00000000-0004-0000-0100-000071250000}"/>
    <hyperlink ref="I11665" r:id="rId9587" xr:uid="{00000000-0004-0000-0100-000072250000}"/>
    <hyperlink ref="I11666" r:id="rId9588" xr:uid="{00000000-0004-0000-0100-000073250000}"/>
    <hyperlink ref="I11667" r:id="rId9589" xr:uid="{00000000-0004-0000-0100-000074250000}"/>
    <hyperlink ref="I11668" r:id="rId9590" xr:uid="{00000000-0004-0000-0100-000075250000}"/>
    <hyperlink ref="I11669" r:id="rId9591" xr:uid="{00000000-0004-0000-0100-000076250000}"/>
    <hyperlink ref="I11670" r:id="rId9592" xr:uid="{00000000-0004-0000-0100-000077250000}"/>
    <hyperlink ref="I11671" r:id="rId9593" xr:uid="{00000000-0004-0000-0100-000078250000}"/>
    <hyperlink ref="I11672" r:id="rId9594" xr:uid="{00000000-0004-0000-0100-000079250000}"/>
    <hyperlink ref="I11673" r:id="rId9595" xr:uid="{00000000-0004-0000-0100-00007A250000}"/>
    <hyperlink ref="I11674" r:id="rId9596" xr:uid="{00000000-0004-0000-0100-00007B250000}"/>
    <hyperlink ref="I11675" r:id="rId9597" xr:uid="{00000000-0004-0000-0100-00007C250000}"/>
    <hyperlink ref="I11676" r:id="rId9598" xr:uid="{00000000-0004-0000-0100-00007D250000}"/>
    <hyperlink ref="I11677" r:id="rId9599" xr:uid="{00000000-0004-0000-0100-00007E250000}"/>
    <hyperlink ref="I11678" r:id="rId9600" xr:uid="{00000000-0004-0000-0100-00007F250000}"/>
    <hyperlink ref="I11679" r:id="rId9601" xr:uid="{00000000-0004-0000-0100-000080250000}"/>
    <hyperlink ref="I11680" r:id="rId9602" xr:uid="{00000000-0004-0000-0100-000081250000}"/>
    <hyperlink ref="I11681" r:id="rId9603" xr:uid="{00000000-0004-0000-0100-000082250000}"/>
    <hyperlink ref="I11682" r:id="rId9604" xr:uid="{00000000-0004-0000-0100-000083250000}"/>
    <hyperlink ref="I11683" r:id="rId9605" xr:uid="{00000000-0004-0000-0100-000084250000}"/>
    <hyperlink ref="I11684" r:id="rId9606" xr:uid="{00000000-0004-0000-0100-000085250000}"/>
    <hyperlink ref="I11685" r:id="rId9607" xr:uid="{00000000-0004-0000-0100-000086250000}"/>
    <hyperlink ref="I11686" r:id="rId9608" xr:uid="{00000000-0004-0000-0100-000087250000}"/>
    <hyperlink ref="I11687" r:id="rId9609" xr:uid="{00000000-0004-0000-0100-000088250000}"/>
    <hyperlink ref="I11688" r:id="rId9610" xr:uid="{00000000-0004-0000-0100-000089250000}"/>
    <hyperlink ref="I11689" r:id="rId9611" xr:uid="{00000000-0004-0000-0100-00008A250000}"/>
    <hyperlink ref="I11690" r:id="rId9612" xr:uid="{00000000-0004-0000-0100-00008B250000}"/>
    <hyperlink ref="I11691" r:id="rId9613" xr:uid="{00000000-0004-0000-0100-00008C250000}"/>
    <hyperlink ref="I11692" r:id="rId9614" xr:uid="{00000000-0004-0000-0100-00008D250000}"/>
    <hyperlink ref="I11693" r:id="rId9615" xr:uid="{00000000-0004-0000-0100-00008E250000}"/>
    <hyperlink ref="I11694" r:id="rId9616" xr:uid="{00000000-0004-0000-0100-00008F250000}"/>
    <hyperlink ref="I11695" r:id="rId9617" xr:uid="{00000000-0004-0000-0100-000090250000}"/>
    <hyperlink ref="I11696" r:id="rId9618" xr:uid="{00000000-0004-0000-0100-000091250000}"/>
    <hyperlink ref="I11697" r:id="rId9619" xr:uid="{00000000-0004-0000-0100-000092250000}"/>
    <hyperlink ref="I11698" r:id="rId9620" xr:uid="{00000000-0004-0000-0100-000093250000}"/>
    <hyperlink ref="I11699" r:id="rId9621" xr:uid="{00000000-0004-0000-0100-000094250000}"/>
    <hyperlink ref="I11700" r:id="rId9622" xr:uid="{00000000-0004-0000-0100-000095250000}"/>
    <hyperlink ref="I11701" r:id="rId9623" xr:uid="{00000000-0004-0000-0100-000096250000}"/>
    <hyperlink ref="I11702" r:id="rId9624" xr:uid="{00000000-0004-0000-0100-000097250000}"/>
    <hyperlink ref="I11703" r:id="rId9625" xr:uid="{00000000-0004-0000-0100-000098250000}"/>
    <hyperlink ref="I11704" r:id="rId9626" xr:uid="{00000000-0004-0000-0100-000099250000}"/>
    <hyperlink ref="I11705" r:id="rId9627" xr:uid="{00000000-0004-0000-0100-00009A250000}"/>
    <hyperlink ref="I11706" r:id="rId9628" xr:uid="{00000000-0004-0000-0100-00009B250000}"/>
    <hyperlink ref="I11707" r:id="rId9629" xr:uid="{00000000-0004-0000-0100-00009C250000}"/>
    <hyperlink ref="I11708" r:id="rId9630" xr:uid="{00000000-0004-0000-0100-00009D250000}"/>
    <hyperlink ref="I11709" r:id="rId9631" xr:uid="{00000000-0004-0000-0100-00009E250000}"/>
    <hyperlink ref="I11710" r:id="rId9632" xr:uid="{00000000-0004-0000-0100-00009F250000}"/>
    <hyperlink ref="I11711" r:id="rId9633" xr:uid="{00000000-0004-0000-0100-0000A0250000}"/>
    <hyperlink ref="I11712" r:id="rId9634" xr:uid="{00000000-0004-0000-0100-0000A1250000}"/>
    <hyperlink ref="I11713" r:id="rId9635" xr:uid="{00000000-0004-0000-0100-0000A2250000}"/>
    <hyperlink ref="I11714" r:id="rId9636" xr:uid="{00000000-0004-0000-0100-0000A3250000}"/>
    <hyperlink ref="I11715" r:id="rId9637" xr:uid="{00000000-0004-0000-0100-0000A4250000}"/>
    <hyperlink ref="I11716" r:id="rId9638" xr:uid="{00000000-0004-0000-0100-0000A5250000}"/>
    <hyperlink ref="I11717" r:id="rId9639" xr:uid="{00000000-0004-0000-0100-0000A6250000}"/>
    <hyperlink ref="I11718" r:id="rId9640" xr:uid="{00000000-0004-0000-0100-0000A7250000}"/>
    <hyperlink ref="I11719" r:id="rId9641" xr:uid="{00000000-0004-0000-0100-0000A8250000}"/>
    <hyperlink ref="I11720" r:id="rId9642" xr:uid="{00000000-0004-0000-0100-0000A9250000}"/>
    <hyperlink ref="I11721" r:id="rId9643" xr:uid="{00000000-0004-0000-0100-0000AA250000}"/>
    <hyperlink ref="I11722" r:id="rId9644" xr:uid="{00000000-0004-0000-0100-0000AB250000}"/>
    <hyperlink ref="I11723" r:id="rId9645" xr:uid="{00000000-0004-0000-0100-0000AC250000}"/>
    <hyperlink ref="I11724" r:id="rId9646" xr:uid="{00000000-0004-0000-0100-0000AD250000}"/>
    <hyperlink ref="I11725" r:id="rId9647" xr:uid="{00000000-0004-0000-0100-0000AE250000}"/>
    <hyperlink ref="I11726" r:id="rId9648" xr:uid="{00000000-0004-0000-0100-0000AF250000}"/>
    <hyperlink ref="I11727" r:id="rId9649" xr:uid="{00000000-0004-0000-0100-0000B0250000}"/>
    <hyperlink ref="I11728" r:id="rId9650" xr:uid="{00000000-0004-0000-0100-0000B1250000}"/>
    <hyperlink ref="I11729" r:id="rId9651" xr:uid="{00000000-0004-0000-0100-0000B2250000}"/>
    <hyperlink ref="I11730" r:id="rId9652" xr:uid="{00000000-0004-0000-0100-0000B3250000}"/>
    <hyperlink ref="I11731" r:id="rId9653" xr:uid="{00000000-0004-0000-0100-0000B4250000}"/>
    <hyperlink ref="I11732" r:id="rId9654" xr:uid="{00000000-0004-0000-0100-0000B5250000}"/>
    <hyperlink ref="I11733" r:id="rId9655" xr:uid="{00000000-0004-0000-0100-0000B6250000}"/>
    <hyperlink ref="I11734" r:id="rId9656" xr:uid="{00000000-0004-0000-0100-0000B7250000}"/>
    <hyperlink ref="I11735" r:id="rId9657" xr:uid="{00000000-0004-0000-0100-0000B8250000}"/>
    <hyperlink ref="I11736" r:id="rId9658" xr:uid="{00000000-0004-0000-0100-0000B9250000}"/>
    <hyperlink ref="I11737" r:id="rId9659" xr:uid="{00000000-0004-0000-0100-0000BA250000}"/>
    <hyperlink ref="I11738" r:id="rId9660" xr:uid="{00000000-0004-0000-0100-0000BB250000}"/>
    <hyperlink ref="I11739" r:id="rId9661" xr:uid="{00000000-0004-0000-0100-0000BC250000}"/>
    <hyperlink ref="I11740" r:id="rId9662" xr:uid="{00000000-0004-0000-0100-0000BD250000}"/>
    <hyperlink ref="I11741" r:id="rId9663" xr:uid="{00000000-0004-0000-0100-0000BE250000}"/>
    <hyperlink ref="I11742" r:id="rId9664" xr:uid="{00000000-0004-0000-0100-0000BF250000}"/>
    <hyperlink ref="I11743" r:id="rId9665" xr:uid="{00000000-0004-0000-0100-0000C0250000}"/>
    <hyperlink ref="I11744" r:id="rId9666" xr:uid="{00000000-0004-0000-0100-0000C1250000}"/>
    <hyperlink ref="I11745" r:id="rId9667" xr:uid="{00000000-0004-0000-0100-0000C2250000}"/>
    <hyperlink ref="I11746" r:id="rId9668" xr:uid="{00000000-0004-0000-0100-0000C3250000}"/>
    <hyperlink ref="I11747" r:id="rId9669" xr:uid="{00000000-0004-0000-0100-0000C4250000}"/>
    <hyperlink ref="I11748" r:id="rId9670" xr:uid="{00000000-0004-0000-0100-0000C5250000}"/>
    <hyperlink ref="I11749" r:id="rId9671" xr:uid="{00000000-0004-0000-0100-0000C6250000}"/>
    <hyperlink ref="I11750" r:id="rId9672" xr:uid="{00000000-0004-0000-0100-0000C7250000}"/>
    <hyperlink ref="I11751" r:id="rId9673" xr:uid="{00000000-0004-0000-0100-0000C8250000}"/>
    <hyperlink ref="I11752" r:id="rId9674" xr:uid="{00000000-0004-0000-0100-0000C9250000}"/>
    <hyperlink ref="I11753" r:id="rId9675" xr:uid="{00000000-0004-0000-0100-0000CA250000}"/>
    <hyperlink ref="I11754" r:id="rId9676" xr:uid="{00000000-0004-0000-0100-0000CB250000}"/>
    <hyperlink ref="I11755" r:id="rId9677" xr:uid="{00000000-0004-0000-0100-0000CC250000}"/>
    <hyperlink ref="I11756" r:id="rId9678" xr:uid="{00000000-0004-0000-0100-0000CD250000}"/>
    <hyperlink ref="I11757" r:id="rId9679" xr:uid="{00000000-0004-0000-0100-0000CE250000}"/>
    <hyperlink ref="I11758" r:id="rId9680" xr:uid="{00000000-0004-0000-0100-0000CF250000}"/>
    <hyperlink ref="I11759" r:id="rId9681" xr:uid="{00000000-0004-0000-0100-0000D0250000}"/>
    <hyperlink ref="I11760" r:id="rId9682" xr:uid="{00000000-0004-0000-0100-0000D1250000}"/>
    <hyperlink ref="I11761" r:id="rId9683" xr:uid="{00000000-0004-0000-0100-0000D2250000}"/>
    <hyperlink ref="I11762" r:id="rId9684" xr:uid="{00000000-0004-0000-0100-0000D3250000}"/>
    <hyperlink ref="I11763" r:id="rId9685" xr:uid="{00000000-0004-0000-0100-0000D4250000}"/>
    <hyperlink ref="I11764" r:id="rId9686" xr:uid="{00000000-0004-0000-0100-0000D5250000}"/>
    <hyperlink ref="I11765" r:id="rId9687" xr:uid="{00000000-0004-0000-0100-0000D6250000}"/>
    <hyperlink ref="I11766" r:id="rId9688" xr:uid="{00000000-0004-0000-0100-0000D7250000}"/>
    <hyperlink ref="I11767" r:id="rId9689" xr:uid="{00000000-0004-0000-0100-0000D8250000}"/>
    <hyperlink ref="I11768" r:id="rId9690" xr:uid="{00000000-0004-0000-0100-0000D9250000}"/>
    <hyperlink ref="I11769" r:id="rId9691" xr:uid="{00000000-0004-0000-0100-0000DA250000}"/>
    <hyperlink ref="I11770" r:id="rId9692" xr:uid="{00000000-0004-0000-0100-0000DB250000}"/>
    <hyperlink ref="I11771" r:id="rId9693" xr:uid="{00000000-0004-0000-0100-0000DC250000}"/>
    <hyperlink ref="I11772" r:id="rId9694" xr:uid="{00000000-0004-0000-0100-0000DD250000}"/>
    <hyperlink ref="I11773" r:id="rId9695" xr:uid="{00000000-0004-0000-0100-0000DE250000}"/>
    <hyperlink ref="I11774" r:id="rId9696" xr:uid="{00000000-0004-0000-0100-0000DF250000}"/>
    <hyperlink ref="I11775" r:id="rId9697" xr:uid="{00000000-0004-0000-0100-0000E0250000}"/>
    <hyperlink ref="I11776" r:id="rId9698" xr:uid="{00000000-0004-0000-0100-0000E1250000}"/>
    <hyperlink ref="I11777" r:id="rId9699" xr:uid="{00000000-0004-0000-0100-0000E2250000}"/>
    <hyperlink ref="I11778" r:id="rId9700" xr:uid="{00000000-0004-0000-0100-0000E3250000}"/>
    <hyperlink ref="I11779" r:id="rId9701" xr:uid="{00000000-0004-0000-0100-0000E4250000}"/>
    <hyperlink ref="I11780" r:id="rId9702" xr:uid="{00000000-0004-0000-0100-0000E5250000}"/>
    <hyperlink ref="I11781" r:id="rId9703" xr:uid="{00000000-0004-0000-0100-0000E6250000}"/>
    <hyperlink ref="I11782" r:id="rId9704" xr:uid="{00000000-0004-0000-0100-0000E7250000}"/>
    <hyperlink ref="I11783" r:id="rId9705" xr:uid="{00000000-0004-0000-0100-0000E8250000}"/>
    <hyperlink ref="I11784" r:id="rId9706" xr:uid="{00000000-0004-0000-0100-0000E9250000}"/>
    <hyperlink ref="I11785" r:id="rId9707" xr:uid="{00000000-0004-0000-0100-0000EA250000}"/>
    <hyperlink ref="I11786" r:id="rId9708" xr:uid="{00000000-0004-0000-0100-0000EB250000}"/>
    <hyperlink ref="I11787" r:id="rId9709" xr:uid="{00000000-0004-0000-0100-0000EC250000}"/>
    <hyperlink ref="I11788" r:id="rId9710" xr:uid="{00000000-0004-0000-0100-0000ED250000}"/>
    <hyperlink ref="I11789" r:id="rId9711" xr:uid="{00000000-0004-0000-0100-0000EE250000}"/>
    <hyperlink ref="I11790" r:id="rId9712" xr:uid="{00000000-0004-0000-0100-0000EF250000}"/>
    <hyperlink ref="I11791" r:id="rId9713" xr:uid="{00000000-0004-0000-0100-0000F0250000}"/>
    <hyperlink ref="I11792" r:id="rId9714" xr:uid="{00000000-0004-0000-0100-0000F1250000}"/>
    <hyperlink ref="I11793" r:id="rId9715" xr:uid="{00000000-0004-0000-0100-0000F2250000}"/>
    <hyperlink ref="I11794" r:id="rId9716" xr:uid="{00000000-0004-0000-0100-0000F3250000}"/>
    <hyperlink ref="I11795" r:id="rId9717" xr:uid="{00000000-0004-0000-0100-0000F4250000}"/>
    <hyperlink ref="I11796" r:id="rId9718" xr:uid="{00000000-0004-0000-0100-0000F5250000}"/>
    <hyperlink ref="I11797" r:id="rId9719" xr:uid="{00000000-0004-0000-0100-0000F6250000}"/>
    <hyperlink ref="I11798" r:id="rId9720" xr:uid="{00000000-0004-0000-0100-0000F7250000}"/>
    <hyperlink ref="I11799" r:id="rId9721" xr:uid="{00000000-0004-0000-0100-0000F8250000}"/>
    <hyperlink ref="I11800" r:id="rId9722" xr:uid="{00000000-0004-0000-0100-0000F9250000}"/>
    <hyperlink ref="I11801" r:id="rId9723" xr:uid="{00000000-0004-0000-0100-0000FA250000}"/>
    <hyperlink ref="I11802" r:id="rId9724" xr:uid="{00000000-0004-0000-0100-0000FB250000}"/>
    <hyperlink ref="I11803" r:id="rId9725" xr:uid="{00000000-0004-0000-0100-0000FC250000}"/>
    <hyperlink ref="I11804" r:id="rId9726" xr:uid="{00000000-0004-0000-0100-0000FD250000}"/>
    <hyperlink ref="I11805" r:id="rId9727" xr:uid="{00000000-0004-0000-0100-0000FE250000}"/>
    <hyperlink ref="I11806" r:id="rId9728" xr:uid="{00000000-0004-0000-0100-0000FF250000}"/>
    <hyperlink ref="I11807" r:id="rId9729" xr:uid="{00000000-0004-0000-0100-000000260000}"/>
    <hyperlink ref="I11808" r:id="rId9730" xr:uid="{00000000-0004-0000-0100-000001260000}"/>
    <hyperlink ref="I11809" r:id="rId9731" xr:uid="{00000000-0004-0000-0100-000002260000}"/>
    <hyperlink ref="I11810" r:id="rId9732" xr:uid="{00000000-0004-0000-0100-000003260000}"/>
    <hyperlink ref="I11811" r:id="rId9733" xr:uid="{00000000-0004-0000-0100-000004260000}"/>
    <hyperlink ref="I11812" r:id="rId9734" xr:uid="{00000000-0004-0000-0100-000005260000}"/>
    <hyperlink ref="I11813" r:id="rId9735" xr:uid="{00000000-0004-0000-0100-000006260000}"/>
    <hyperlink ref="I11814" r:id="rId9736" xr:uid="{00000000-0004-0000-0100-000007260000}"/>
    <hyperlink ref="I11815" r:id="rId9737" xr:uid="{00000000-0004-0000-0100-000008260000}"/>
    <hyperlink ref="I11816" r:id="rId9738" xr:uid="{00000000-0004-0000-0100-000009260000}"/>
    <hyperlink ref="I11817" r:id="rId9739" xr:uid="{00000000-0004-0000-0100-00000A260000}"/>
    <hyperlink ref="I11818" r:id="rId9740" xr:uid="{00000000-0004-0000-0100-00000B260000}"/>
    <hyperlink ref="I11819" r:id="rId9741" xr:uid="{00000000-0004-0000-0100-00000C260000}"/>
    <hyperlink ref="I11820" r:id="rId9742" xr:uid="{00000000-0004-0000-0100-00000D260000}"/>
    <hyperlink ref="I11821" r:id="rId9743" xr:uid="{00000000-0004-0000-0100-00000E260000}"/>
    <hyperlink ref="I11822" r:id="rId9744" xr:uid="{00000000-0004-0000-0100-00000F260000}"/>
    <hyperlink ref="I11823" r:id="rId9745" xr:uid="{00000000-0004-0000-0100-000010260000}"/>
    <hyperlink ref="I11824" r:id="rId9746" xr:uid="{00000000-0004-0000-0100-000011260000}"/>
    <hyperlink ref="I11825" r:id="rId9747" xr:uid="{00000000-0004-0000-0100-000012260000}"/>
    <hyperlink ref="I11826" r:id="rId9748" xr:uid="{00000000-0004-0000-0100-000013260000}"/>
    <hyperlink ref="I11827" r:id="rId9749" xr:uid="{00000000-0004-0000-0100-000014260000}"/>
    <hyperlink ref="I11828" r:id="rId9750" xr:uid="{00000000-0004-0000-0100-000015260000}"/>
    <hyperlink ref="I11829" r:id="rId9751" xr:uid="{00000000-0004-0000-0100-000016260000}"/>
    <hyperlink ref="I11830" r:id="rId9752" xr:uid="{00000000-0004-0000-0100-000017260000}"/>
    <hyperlink ref="I11831" r:id="rId9753" xr:uid="{00000000-0004-0000-0100-000018260000}"/>
    <hyperlink ref="I11832" r:id="rId9754" xr:uid="{00000000-0004-0000-0100-000019260000}"/>
    <hyperlink ref="I11833" r:id="rId9755" xr:uid="{00000000-0004-0000-0100-00001A260000}"/>
    <hyperlink ref="I11834" r:id="rId9756" xr:uid="{00000000-0004-0000-0100-00001B260000}"/>
    <hyperlink ref="I11835" r:id="rId9757" xr:uid="{00000000-0004-0000-0100-00001C260000}"/>
    <hyperlink ref="I11836" r:id="rId9758" xr:uid="{00000000-0004-0000-0100-00001D260000}"/>
    <hyperlink ref="I11837" r:id="rId9759" xr:uid="{00000000-0004-0000-0100-00001E260000}"/>
    <hyperlink ref="I11838" r:id="rId9760" xr:uid="{00000000-0004-0000-0100-00001F260000}"/>
    <hyperlink ref="I11839" r:id="rId9761" xr:uid="{00000000-0004-0000-0100-000020260000}"/>
    <hyperlink ref="I11840" r:id="rId9762" xr:uid="{00000000-0004-0000-0100-000021260000}"/>
    <hyperlink ref="I11841" r:id="rId9763" xr:uid="{00000000-0004-0000-0100-000022260000}"/>
    <hyperlink ref="I11842" r:id="rId9764" xr:uid="{00000000-0004-0000-0100-000023260000}"/>
    <hyperlink ref="I11843" r:id="rId9765" xr:uid="{00000000-0004-0000-0100-000024260000}"/>
    <hyperlink ref="I11844" r:id="rId9766" xr:uid="{00000000-0004-0000-0100-000025260000}"/>
    <hyperlink ref="I11845" r:id="rId9767" xr:uid="{00000000-0004-0000-0100-000026260000}"/>
    <hyperlink ref="I11846" r:id="rId9768" xr:uid="{00000000-0004-0000-0100-000027260000}"/>
    <hyperlink ref="I11847" r:id="rId9769" xr:uid="{00000000-0004-0000-0100-000028260000}"/>
    <hyperlink ref="I11848" r:id="rId9770" xr:uid="{00000000-0004-0000-0100-000029260000}"/>
    <hyperlink ref="I11849" r:id="rId9771" xr:uid="{00000000-0004-0000-0100-00002A260000}"/>
    <hyperlink ref="I11850" r:id="rId9772" xr:uid="{00000000-0004-0000-0100-00002B260000}"/>
    <hyperlink ref="I11851" r:id="rId9773" xr:uid="{00000000-0004-0000-0100-00002C260000}"/>
    <hyperlink ref="I11852" r:id="rId9774" xr:uid="{00000000-0004-0000-0100-00002D260000}"/>
    <hyperlink ref="I11853" r:id="rId9775" xr:uid="{00000000-0004-0000-0100-00002E260000}"/>
    <hyperlink ref="I11854" r:id="rId9776" xr:uid="{00000000-0004-0000-0100-00002F260000}"/>
    <hyperlink ref="I11855" r:id="rId9777" xr:uid="{00000000-0004-0000-0100-000030260000}"/>
    <hyperlink ref="I11856" r:id="rId9778" xr:uid="{00000000-0004-0000-0100-000031260000}"/>
    <hyperlink ref="I11857" r:id="rId9779" xr:uid="{00000000-0004-0000-0100-000032260000}"/>
    <hyperlink ref="I11858" r:id="rId9780" xr:uid="{00000000-0004-0000-0100-000033260000}"/>
    <hyperlink ref="I11859" r:id="rId9781" xr:uid="{00000000-0004-0000-0100-000034260000}"/>
    <hyperlink ref="I11860" r:id="rId9782" xr:uid="{00000000-0004-0000-0100-000035260000}"/>
    <hyperlink ref="I11861" r:id="rId9783" xr:uid="{00000000-0004-0000-0100-000036260000}"/>
    <hyperlink ref="I11862" r:id="rId9784" xr:uid="{00000000-0004-0000-0100-000037260000}"/>
    <hyperlink ref="I11863" r:id="rId9785" xr:uid="{00000000-0004-0000-0100-000038260000}"/>
    <hyperlink ref="I11864" r:id="rId9786" xr:uid="{00000000-0004-0000-0100-000039260000}"/>
    <hyperlink ref="I11865" r:id="rId9787" xr:uid="{00000000-0004-0000-0100-00003A260000}"/>
    <hyperlink ref="I11866" r:id="rId9788" xr:uid="{00000000-0004-0000-0100-00003B260000}"/>
    <hyperlink ref="I11867" r:id="rId9789" xr:uid="{00000000-0004-0000-0100-00003C260000}"/>
    <hyperlink ref="I11868" r:id="rId9790" xr:uid="{00000000-0004-0000-0100-00003D260000}"/>
    <hyperlink ref="I11869" r:id="rId9791" xr:uid="{00000000-0004-0000-0100-00003E260000}"/>
    <hyperlink ref="I11870" r:id="rId9792" xr:uid="{00000000-0004-0000-0100-00003F260000}"/>
    <hyperlink ref="I11871" r:id="rId9793" xr:uid="{00000000-0004-0000-0100-000040260000}"/>
    <hyperlink ref="I11872" r:id="rId9794" xr:uid="{00000000-0004-0000-0100-000041260000}"/>
    <hyperlink ref="I11873" r:id="rId9795" xr:uid="{00000000-0004-0000-0100-000042260000}"/>
    <hyperlink ref="I11874" r:id="rId9796" xr:uid="{00000000-0004-0000-0100-000043260000}"/>
    <hyperlink ref="I11875" r:id="rId9797" xr:uid="{00000000-0004-0000-0100-000044260000}"/>
    <hyperlink ref="I11876" r:id="rId9798" xr:uid="{00000000-0004-0000-0100-000045260000}"/>
    <hyperlink ref="I11877" r:id="rId9799" xr:uid="{00000000-0004-0000-0100-000046260000}"/>
    <hyperlink ref="I11878" r:id="rId9800" xr:uid="{00000000-0004-0000-0100-000047260000}"/>
    <hyperlink ref="I11879" r:id="rId9801" xr:uid="{00000000-0004-0000-0100-000048260000}"/>
    <hyperlink ref="I11880" r:id="rId9802" xr:uid="{00000000-0004-0000-0100-000049260000}"/>
    <hyperlink ref="I11881" r:id="rId9803" xr:uid="{00000000-0004-0000-0100-00004A260000}"/>
    <hyperlink ref="I11882" r:id="rId9804" xr:uid="{00000000-0004-0000-0100-00004B260000}"/>
    <hyperlink ref="I11883" r:id="rId9805" xr:uid="{00000000-0004-0000-0100-00004C260000}"/>
    <hyperlink ref="I11884" r:id="rId9806" xr:uid="{00000000-0004-0000-0100-00004D260000}"/>
    <hyperlink ref="I11885" r:id="rId9807" xr:uid="{00000000-0004-0000-0100-00004E260000}"/>
    <hyperlink ref="I11886" r:id="rId9808" xr:uid="{00000000-0004-0000-0100-00004F260000}"/>
    <hyperlink ref="I11887" r:id="rId9809" xr:uid="{00000000-0004-0000-0100-000050260000}"/>
    <hyperlink ref="I11888" r:id="rId9810" xr:uid="{00000000-0004-0000-0100-000051260000}"/>
    <hyperlink ref="I11889" r:id="rId9811" xr:uid="{00000000-0004-0000-0100-000052260000}"/>
    <hyperlink ref="I11890" r:id="rId9812" xr:uid="{00000000-0004-0000-0100-000053260000}"/>
    <hyperlink ref="I11891" r:id="rId9813" xr:uid="{00000000-0004-0000-0100-000054260000}"/>
    <hyperlink ref="I11892" r:id="rId9814" xr:uid="{00000000-0004-0000-0100-000055260000}"/>
    <hyperlink ref="I11893" r:id="rId9815" xr:uid="{00000000-0004-0000-0100-000056260000}"/>
    <hyperlink ref="I11894" r:id="rId9816" xr:uid="{00000000-0004-0000-0100-000057260000}"/>
    <hyperlink ref="I11895" r:id="rId9817" xr:uid="{00000000-0004-0000-0100-000058260000}"/>
    <hyperlink ref="I11896" r:id="rId9818" xr:uid="{00000000-0004-0000-0100-000059260000}"/>
    <hyperlink ref="I11897" r:id="rId9819" xr:uid="{00000000-0004-0000-0100-00005A260000}"/>
    <hyperlink ref="I11898" r:id="rId9820" xr:uid="{00000000-0004-0000-0100-00005B260000}"/>
    <hyperlink ref="I11899" r:id="rId9821" xr:uid="{00000000-0004-0000-0100-00005C260000}"/>
    <hyperlink ref="I11900" r:id="rId9822" xr:uid="{00000000-0004-0000-0100-00005D260000}"/>
    <hyperlink ref="I11901" r:id="rId9823" xr:uid="{00000000-0004-0000-0100-00005E260000}"/>
    <hyperlink ref="I11902" r:id="rId9824" xr:uid="{00000000-0004-0000-0100-00005F260000}"/>
    <hyperlink ref="I11903" r:id="rId9825" xr:uid="{00000000-0004-0000-0100-000060260000}"/>
    <hyperlink ref="I11904" r:id="rId9826" xr:uid="{00000000-0004-0000-0100-000061260000}"/>
    <hyperlink ref="I11905" r:id="rId9827" xr:uid="{00000000-0004-0000-0100-000062260000}"/>
    <hyperlink ref="I11906" r:id="rId9828" xr:uid="{00000000-0004-0000-0100-000063260000}"/>
    <hyperlink ref="I11907" r:id="rId9829" xr:uid="{00000000-0004-0000-0100-000064260000}"/>
    <hyperlink ref="I11908" r:id="rId9830" xr:uid="{00000000-0004-0000-0100-000065260000}"/>
    <hyperlink ref="I11909" r:id="rId9831" xr:uid="{00000000-0004-0000-0100-000066260000}"/>
    <hyperlink ref="I11910" r:id="rId9832" xr:uid="{00000000-0004-0000-0100-000067260000}"/>
    <hyperlink ref="I11911" r:id="rId9833" xr:uid="{00000000-0004-0000-0100-000068260000}"/>
    <hyperlink ref="I11912" r:id="rId9834" xr:uid="{00000000-0004-0000-0100-000069260000}"/>
    <hyperlink ref="I11913" r:id="rId9835" xr:uid="{00000000-0004-0000-0100-00006A260000}"/>
    <hyperlink ref="I11914" r:id="rId9836" xr:uid="{00000000-0004-0000-0100-00006B260000}"/>
    <hyperlink ref="I11915" r:id="rId9837" xr:uid="{00000000-0004-0000-0100-00006C260000}"/>
    <hyperlink ref="I11916" r:id="rId9838" xr:uid="{00000000-0004-0000-0100-00006D260000}"/>
    <hyperlink ref="I11917" r:id="rId9839" xr:uid="{00000000-0004-0000-0100-00006E260000}"/>
    <hyperlink ref="I11918" r:id="rId9840" xr:uid="{00000000-0004-0000-0100-00006F260000}"/>
    <hyperlink ref="I11919" r:id="rId9841" xr:uid="{00000000-0004-0000-0100-000070260000}"/>
    <hyperlink ref="I11920" r:id="rId9842" xr:uid="{00000000-0004-0000-0100-000071260000}"/>
    <hyperlink ref="I11921" r:id="rId9843" xr:uid="{00000000-0004-0000-0100-000072260000}"/>
    <hyperlink ref="I11922" r:id="rId9844" xr:uid="{00000000-0004-0000-0100-000073260000}"/>
    <hyperlink ref="I11923" r:id="rId9845" xr:uid="{00000000-0004-0000-0100-000074260000}"/>
    <hyperlink ref="I11924" r:id="rId9846" xr:uid="{00000000-0004-0000-0100-000075260000}"/>
    <hyperlink ref="I11925" r:id="rId9847" xr:uid="{00000000-0004-0000-0100-000076260000}"/>
    <hyperlink ref="I11926" r:id="rId9848" xr:uid="{00000000-0004-0000-0100-000077260000}"/>
    <hyperlink ref="I11927" r:id="rId9849" xr:uid="{00000000-0004-0000-0100-000078260000}"/>
    <hyperlink ref="I11928" r:id="rId9850" xr:uid="{00000000-0004-0000-0100-000079260000}"/>
    <hyperlink ref="I11929" r:id="rId9851" xr:uid="{00000000-0004-0000-0100-00007A260000}"/>
    <hyperlink ref="I11930" r:id="rId9852" xr:uid="{00000000-0004-0000-0100-00007B260000}"/>
    <hyperlink ref="I11931" r:id="rId9853" xr:uid="{00000000-0004-0000-0100-00007C260000}"/>
    <hyperlink ref="I11932" r:id="rId9854" xr:uid="{00000000-0004-0000-0100-00007D260000}"/>
    <hyperlink ref="I11933" r:id="rId9855" xr:uid="{00000000-0004-0000-0100-00007E260000}"/>
    <hyperlink ref="I11934" r:id="rId9856" xr:uid="{00000000-0004-0000-0100-00007F260000}"/>
    <hyperlink ref="I11935" r:id="rId9857" xr:uid="{00000000-0004-0000-0100-000080260000}"/>
    <hyperlink ref="I11936" r:id="rId9858" xr:uid="{00000000-0004-0000-0100-000081260000}"/>
    <hyperlink ref="I11937" r:id="rId9859" xr:uid="{00000000-0004-0000-0100-000082260000}"/>
    <hyperlink ref="I11938" r:id="rId9860" xr:uid="{00000000-0004-0000-0100-000083260000}"/>
    <hyperlink ref="I11939" r:id="rId9861" xr:uid="{00000000-0004-0000-0100-000084260000}"/>
    <hyperlink ref="I11940" r:id="rId9862" xr:uid="{00000000-0004-0000-0100-000085260000}"/>
    <hyperlink ref="I11941" r:id="rId9863" xr:uid="{00000000-0004-0000-0100-000086260000}"/>
    <hyperlink ref="I11942" r:id="rId9864" xr:uid="{00000000-0004-0000-0100-000087260000}"/>
    <hyperlink ref="I11943" r:id="rId9865" xr:uid="{00000000-0004-0000-0100-000088260000}"/>
    <hyperlink ref="I11944" r:id="rId9866" xr:uid="{00000000-0004-0000-0100-000089260000}"/>
    <hyperlink ref="I11945" r:id="rId9867" xr:uid="{00000000-0004-0000-0100-00008A260000}"/>
    <hyperlink ref="I11946" r:id="rId9868" xr:uid="{00000000-0004-0000-0100-00008B260000}"/>
    <hyperlink ref="I11947" r:id="rId9869" xr:uid="{00000000-0004-0000-0100-00008C260000}"/>
    <hyperlink ref="I11948" r:id="rId9870" xr:uid="{00000000-0004-0000-0100-00008D260000}"/>
    <hyperlink ref="I11949" r:id="rId9871" xr:uid="{00000000-0004-0000-0100-00008E260000}"/>
    <hyperlink ref="I11950" r:id="rId9872" xr:uid="{00000000-0004-0000-0100-00008F260000}"/>
    <hyperlink ref="I11951" r:id="rId9873" xr:uid="{00000000-0004-0000-0100-000090260000}"/>
    <hyperlink ref="I11952" r:id="rId9874" xr:uid="{00000000-0004-0000-0100-000091260000}"/>
    <hyperlink ref="I11953" r:id="rId9875" xr:uid="{00000000-0004-0000-0100-000092260000}"/>
    <hyperlink ref="I11954" r:id="rId9876" xr:uid="{00000000-0004-0000-0100-000093260000}"/>
    <hyperlink ref="I11955" r:id="rId9877" xr:uid="{00000000-0004-0000-0100-000094260000}"/>
    <hyperlink ref="I11956" r:id="rId9878" xr:uid="{00000000-0004-0000-0100-000095260000}"/>
    <hyperlink ref="I11957" r:id="rId9879" xr:uid="{00000000-0004-0000-0100-000096260000}"/>
    <hyperlink ref="I11958" r:id="rId9880" xr:uid="{00000000-0004-0000-0100-000097260000}"/>
    <hyperlink ref="I11959" r:id="rId9881" xr:uid="{00000000-0004-0000-0100-000098260000}"/>
    <hyperlink ref="I11960" r:id="rId9882" xr:uid="{00000000-0004-0000-0100-000099260000}"/>
    <hyperlink ref="I11961" r:id="rId9883" xr:uid="{00000000-0004-0000-0100-00009A260000}"/>
    <hyperlink ref="I11962" r:id="rId9884" xr:uid="{00000000-0004-0000-0100-00009B260000}"/>
    <hyperlink ref="I11963" r:id="rId9885" xr:uid="{00000000-0004-0000-0100-00009C260000}"/>
    <hyperlink ref="I11964" r:id="rId9886" xr:uid="{00000000-0004-0000-0100-00009D260000}"/>
    <hyperlink ref="I11965" r:id="rId9887" xr:uid="{00000000-0004-0000-0100-00009E260000}"/>
    <hyperlink ref="I11966" r:id="rId9888" xr:uid="{00000000-0004-0000-0100-00009F260000}"/>
    <hyperlink ref="I11967" r:id="rId9889" xr:uid="{00000000-0004-0000-0100-0000A0260000}"/>
    <hyperlink ref="I11968" r:id="rId9890" xr:uid="{00000000-0004-0000-0100-0000A1260000}"/>
    <hyperlink ref="I11969" r:id="rId9891" xr:uid="{00000000-0004-0000-0100-0000A2260000}"/>
    <hyperlink ref="I11970" r:id="rId9892" xr:uid="{00000000-0004-0000-0100-0000A3260000}"/>
    <hyperlink ref="I11971" r:id="rId9893" xr:uid="{00000000-0004-0000-0100-0000A4260000}"/>
    <hyperlink ref="I11972" r:id="rId9894" xr:uid="{00000000-0004-0000-0100-0000A5260000}"/>
    <hyperlink ref="I11973" r:id="rId9895" xr:uid="{00000000-0004-0000-0100-0000A6260000}"/>
    <hyperlink ref="I11974" r:id="rId9896" xr:uid="{00000000-0004-0000-0100-0000A7260000}"/>
    <hyperlink ref="I11975" r:id="rId9897" xr:uid="{00000000-0004-0000-0100-0000A8260000}"/>
    <hyperlink ref="I11976" r:id="rId9898" xr:uid="{00000000-0004-0000-0100-0000A9260000}"/>
    <hyperlink ref="I11977" r:id="rId9899" xr:uid="{00000000-0004-0000-0100-0000AA260000}"/>
    <hyperlink ref="I11978" r:id="rId9900" xr:uid="{00000000-0004-0000-0100-0000AB260000}"/>
    <hyperlink ref="I11979" r:id="rId9901" xr:uid="{00000000-0004-0000-0100-0000AC260000}"/>
    <hyperlink ref="I11980" r:id="rId9902" xr:uid="{00000000-0004-0000-0100-0000AD260000}"/>
    <hyperlink ref="I11981" r:id="rId9903" xr:uid="{00000000-0004-0000-0100-0000AE260000}"/>
    <hyperlink ref="I11982" r:id="rId9904" xr:uid="{00000000-0004-0000-0100-0000AF260000}"/>
    <hyperlink ref="I11983" r:id="rId9905" xr:uid="{00000000-0004-0000-0100-0000B0260000}"/>
    <hyperlink ref="I11984" r:id="rId9906" xr:uid="{00000000-0004-0000-0100-0000B1260000}"/>
    <hyperlink ref="I11985" r:id="rId9907" xr:uid="{00000000-0004-0000-0100-0000B2260000}"/>
    <hyperlink ref="I11986" r:id="rId9908" xr:uid="{00000000-0004-0000-0100-0000B3260000}"/>
    <hyperlink ref="I11987" r:id="rId9909" xr:uid="{00000000-0004-0000-0100-0000B4260000}"/>
    <hyperlink ref="I11988" r:id="rId9910" xr:uid="{00000000-0004-0000-0100-0000B5260000}"/>
    <hyperlink ref="I11989" r:id="rId9911" xr:uid="{00000000-0004-0000-0100-0000B6260000}"/>
    <hyperlink ref="I11990" r:id="rId9912" xr:uid="{00000000-0004-0000-0100-0000B7260000}"/>
    <hyperlink ref="I11991" r:id="rId9913" xr:uid="{00000000-0004-0000-0100-0000B8260000}"/>
    <hyperlink ref="I11992" r:id="rId9914" xr:uid="{00000000-0004-0000-0100-0000B9260000}"/>
    <hyperlink ref="I11993" r:id="rId9915" xr:uid="{00000000-0004-0000-0100-0000BA260000}"/>
    <hyperlink ref="I11994" r:id="rId9916" xr:uid="{00000000-0004-0000-0100-0000BB260000}"/>
    <hyperlink ref="I11995" r:id="rId9917" xr:uid="{00000000-0004-0000-0100-0000BC260000}"/>
    <hyperlink ref="I11996" r:id="rId9918" xr:uid="{00000000-0004-0000-0100-0000BD260000}"/>
    <hyperlink ref="I11997" r:id="rId9919" xr:uid="{00000000-0004-0000-0100-0000BE260000}"/>
    <hyperlink ref="I11998" r:id="rId9920" xr:uid="{00000000-0004-0000-0100-0000BF260000}"/>
    <hyperlink ref="I11999" r:id="rId9921" xr:uid="{00000000-0004-0000-0100-0000C0260000}"/>
    <hyperlink ref="I12000" r:id="rId9922" xr:uid="{00000000-0004-0000-0100-0000C1260000}"/>
    <hyperlink ref="I12001" r:id="rId9923" xr:uid="{00000000-0004-0000-0100-0000C2260000}"/>
    <hyperlink ref="I12002" r:id="rId9924" xr:uid="{00000000-0004-0000-0100-0000C3260000}"/>
    <hyperlink ref="I12003" r:id="rId9925" xr:uid="{00000000-0004-0000-0100-0000C4260000}"/>
    <hyperlink ref="I12004" r:id="rId9926" xr:uid="{00000000-0004-0000-0100-0000C5260000}"/>
    <hyperlink ref="I12005" r:id="rId9927" xr:uid="{00000000-0004-0000-0100-0000C6260000}"/>
    <hyperlink ref="I12006" r:id="rId9928" xr:uid="{00000000-0004-0000-0100-0000C7260000}"/>
    <hyperlink ref="I12007" r:id="rId9929" xr:uid="{00000000-0004-0000-0100-0000C8260000}"/>
    <hyperlink ref="I12008" r:id="rId9930" xr:uid="{00000000-0004-0000-0100-0000C9260000}"/>
    <hyperlink ref="I12009" r:id="rId9931" xr:uid="{00000000-0004-0000-0100-0000CA260000}"/>
    <hyperlink ref="I12010" r:id="rId9932" xr:uid="{00000000-0004-0000-0100-0000CB260000}"/>
    <hyperlink ref="I12011" r:id="rId9933" xr:uid="{00000000-0004-0000-0100-0000CC260000}"/>
    <hyperlink ref="I12012" r:id="rId9934" xr:uid="{00000000-0004-0000-0100-0000CD260000}"/>
    <hyperlink ref="I12013" r:id="rId9935" xr:uid="{00000000-0004-0000-0100-0000CE260000}"/>
    <hyperlink ref="I12014" r:id="rId9936" xr:uid="{00000000-0004-0000-0100-0000CF260000}"/>
    <hyperlink ref="I12015" r:id="rId9937" xr:uid="{00000000-0004-0000-0100-0000D0260000}"/>
    <hyperlink ref="I12016" r:id="rId9938" xr:uid="{00000000-0004-0000-0100-0000D1260000}"/>
    <hyperlink ref="I12017" r:id="rId9939" xr:uid="{00000000-0004-0000-0100-0000D2260000}"/>
    <hyperlink ref="I12018" r:id="rId9940" xr:uid="{00000000-0004-0000-0100-0000D3260000}"/>
    <hyperlink ref="I12019" r:id="rId9941" xr:uid="{00000000-0004-0000-0100-0000D4260000}"/>
    <hyperlink ref="I12020" r:id="rId9942" xr:uid="{00000000-0004-0000-0100-0000D5260000}"/>
    <hyperlink ref="I12021" r:id="rId9943" xr:uid="{00000000-0004-0000-0100-0000D6260000}"/>
    <hyperlink ref="I12022" r:id="rId9944" xr:uid="{00000000-0004-0000-0100-0000D7260000}"/>
    <hyperlink ref="I12023" r:id="rId9945" xr:uid="{00000000-0004-0000-0100-0000D8260000}"/>
    <hyperlink ref="I12024" r:id="rId9946" xr:uid="{00000000-0004-0000-0100-0000D9260000}"/>
    <hyperlink ref="I12025" r:id="rId9947" xr:uid="{00000000-0004-0000-0100-0000DA260000}"/>
    <hyperlink ref="I12026" r:id="rId9948" xr:uid="{00000000-0004-0000-0100-0000DB260000}"/>
    <hyperlink ref="I12027" r:id="rId9949" xr:uid="{00000000-0004-0000-0100-0000DC260000}"/>
    <hyperlink ref="I12028" r:id="rId9950" xr:uid="{00000000-0004-0000-0100-0000DD260000}"/>
    <hyperlink ref="I12029" r:id="rId9951" xr:uid="{00000000-0004-0000-0100-0000DE260000}"/>
    <hyperlink ref="I12030" r:id="rId9952" xr:uid="{00000000-0004-0000-0100-0000DF260000}"/>
    <hyperlink ref="I12031" r:id="rId9953" xr:uid="{00000000-0004-0000-0100-0000E0260000}"/>
    <hyperlink ref="I12032" r:id="rId9954" xr:uid="{00000000-0004-0000-0100-0000E1260000}"/>
    <hyperlink ref="I12033" r:id="rId9955" xr:uid="{00000000-0004-0000-0100-0000E2260000}"/>
    <hyperlink ref="I12034" r:id="rId9956" xr:uid="{00000000-0004-0000-0100-0000E3260000}"/>
    <hyperlink ref="I12035" r:id="rId9957" xr:uid="{00000000-0004-0000-0100-0000E4260000}"/>
    <hyperlink ref="I12036" r:id="rId9958" xr:uid="{00000000-0004-0000-0100-0000E5260000}"/>
    <hyperlink ref="I12037" r:id="rId9959" xr:uid="{00000000-0004-0000-0100-0000E6260000}"/>
    <hyperlink ref="I12038" r:id="rId9960" xr:uid="{00000000-0004-0000-0100-0000E7260000}"/>
    <hyperlink ref="I12039" r:id="rId9961" xr:uid="{00000000-0004-0000-0100-0000E8260000}"/>
    <hyperlink ref="I12040" r:id="rId9962" xr:uid="{00000000-0004-0000-0100-0000E9260000}"/>
    <hyperlink ref="I12041" r:id="rId9963" xr:uid="{00000000-0004-0000-0100-0000EA260000}"/>
    <hyperlink ref="I12042" r:id="rId9964" xr:uid="{00000000-0004-0000-0100-0000EB260000}"/>
    <hyperlink ref="I12043" r:id="rId9965" xr:uid="{00000000-0004-0000-0100-0000EC260000}"/>
    <hyperlink ref="I12044" r:id="rId9966" xr:uid="{00000000-0004-0000-0100-0000ED260000}"/>
    <hyperlink ref="I12045" r:id="rId9967" xr:uid="{00000000-0004-0000-0100-0000EE260000}"/>
    <hyperlink ref="I12046" r:id="rId9968" xr:uid="{00000000-0004-0000-0100-0000EF260000}"/>
    <hyperlink ref="I12047" r:id="rId9969" xr:uid="{00000000-0004-0000-0100-0000F0260000}"/>
    <hyperlink ref="I12048" r:id="rId9970" xr:uid="{00000000-0004-0000-0100-0000F1260000}"/>
    <hyperlink ref="I12049" r:id="rId9971" xr:uid="{00000000-0004-0000-0100-0000F2260000}"/>
    <hyperlink ref="I12050" r:id="rId9972" xr:uid="{00000000-0004-0000-0100-0000F3260000}"/>
    <hyperlink ref="I12051" r:id="rId9973" xr:uid="{00000000-0004-0000-0100-0000F4260000}"/>
    <hyperlink ref="I12052" r:id="rId9974" xr:uid="{00000000-0004-0000-0100-0000F5260000}"/>
    <hyperlink ref="I12053" r:id="rId9975" xr:uid="{00000000-0004-0000-0100-0000F6260000}"/>
    <hyperlink ref="I12054" r:id="rId9976" xr:uid="{00000000-0004-0000-0100-0000F7260000}"/>
    <hyperlink ref="I12055" r:id="rId9977" xr:uid="{00000000-0004-0000-0100-0000F8260000}"/>
    <hyperlink ref="I12056" r:id="rId9978" xr:uid="{00000000-0004-0000-0100-0000F9260000}"/>
    <hyperlink ref="I12057" r:id="rId9979" xr:uid="{00000000-0004-0000-0100-0000FA260000}"/>
    <hyperlink ref="I12058" r:id="rId9980" xr:uid="{00000000-0004-0000-0100-0000FB260000}"/>
    <hyperlink ref="I12059" r:id="rId9981" xr:uid="{00000000-0004-0000-0100-0000FC260000}"/>
    <hyperlink ref="I12060" r:id="rId9982" xr:uid="{00000000-0004-0000-0100-0000FD260000}"/>
    <hyperlink ref="I12061" r:id="rId9983" xr:uid="{00000000-0004-0000-0100-0000FE260000}"/>
    <hyperlink ref="I12062" r:id="rId9984" xr:uid="{00000000-0004-0000-0100-0000FF260000}"/>
    <hyperlink ref="I12063" r:id="rId9985" xr:uid="{00000000-0004-0000-0100-000000270000}"/>
    <hyperlink ref="I12064" r:id="rId9986" xr:uid="{00000000-0004-0000-0100-000001270000}"/>
    <hyperlink ref="I12065" r:id="rId9987" xr:uid="{00000000-0004-0000-0100-000002270000}"/>
    <hyperlink ref="I12066" r:id="rId9988" xr:uid="{00000000-0004-0000-0100-000003270000}"/>
    <hyperlink ref="I12067" r:id="rId9989" xr:uid="{00000000-0004-0000-0100-000004270000}"/>
    <hyperlink ref="I12068" r:id="rId9990" xr:uid="{00000000-0004-0000-0100-000005270000}"/>
    <hyperlink ref="I12069" r:id="rId9991" xr:uid="{00000000-0004-0000-0100-000006270000}"/>
    <hyperlink ref="I12070" r:id="rId9992" xr:uid="{00000000-0004-0000-0100-000007270000}"/>
    <hyperlink ref="I12071" r:id="rId9993" xr:uid="{00000000-0004-0000-0100-000008270000}"/>
    <hyperlink ref="I12072" r:id="rId9994" xr:uid="{00000000-0004-0000-0100-000009270000}"/>
    <hyperlink ref="I12073" r:id="rId9995" xr:uid="{00000000-0004-0000-0100-00000A270000}"/>
    <hyperlink ref="I12074" r:id="rId9996" xr:uid="{00000000-0004-0000-0100-00000B270000}"/>
    <hyperlink ref="I12075" r:id="rId9997" xr:uid="{00000000-0004-0000-0100-00000C270000}"/>
    <hyperlink ref="I12076" r:id="rId9998" xr:uid="{00000000-0004-0000-0100-00000D270000}"/>
    <hyperlink ref="I12077" r:id="rId9999" xr:uid="{00000000-0004-0000-0100-00000E270000}"/>
    <hyperlink ref="I12078" r:id="rId10000" xr:uid="{00000000-0004-0000-0100-00000F270000}"/>
    <hyperlink ref="I12079" r:id="rId10001" xr:uid="{00000000-0004-0000-0100-000010270000}"/>
    <hyperlink ref="I12080" r:id="rId10002" xr:uid="{00000000-0004-0000-0100-000011270000}"/>
    <hyperlink ref="I12081" r:id="rId10003" xr:uid="{00000000-0004-0000-0100-000012270000}"/>
    <hyperlink ref="I12082" r:id="rId10004" xr:uid="{00000000-0004-0000-0100-000013270000}"/>
    <hyperlink ref="I12083" r:id="rId10005" xr:uid="{00000000-0004-0000-0100-000014270000}"/>
    <hyperlink ref="I12084" r:id="rId10006" xr:uid="{00000000-0004-0000-0100-000015270000}"/>
    <hyperlink ref="I12085" r:id="rId10007" xr:uid="{00000000-0004-0000-0100-000016270000}"/>
    <hyperlink ref="I12086" r:id="rId10008" xr:uid="{00000000-0004-0000-0100-000017270000}"/>
    <hyperlink ref="I12087" r:id="rId10009" xr:uid="{00000000-0004-0000-0100-000018270000}"/>
    <hyperlink ref="I12088" r:id="rId10010" xr:uid="{00000000-0004-0000-0100-000019270000}"/>
    <hyperlink ref="I12089" r:id="rId10011" xr:uid="{00000000-0004-0000-0100-00001A270000}"/>
    <hyperlink ref="I12090" r:id="rId10012" xr:uid="{00000000-0004-0000-0100-00001B270000}"/>
    <hyperlink ref="I12091" r:id="rId10013" xr:uid="{00000000-0004-0000-0100-00001C270000}"/>
    <hyperlink ref="I12092" r:id="rId10014" xr:uid="{00000000-0004-0000-0100-00001D270000}"/>
    <hyperlink ref="I12093" r:id="rId10015" xr:uid="{00000000-0004-0000-0100-00001E270000}"/>
    <hyperlink ref="I12094" r:id="rId10016" xr:uid="{00000000-0004-0000-0100-00001F270000}"/>
    <hyperlink ref="I12095" r:id="rId10017" xr:uid="{00000000-0004-0000-0100-000020270000}"/>
    <hyperlink ref="I12096" r:id="rId10018" xr:uid="{00000000-0004-0000-0100-000021270000}"/>
    <hyperlink ref="I12097" r:id="rId10019" xr:uid="{00000000-0004-0000-0100-000022270000}"/>
    <hyperlink ref="I12098" r:id="rId10020" xr:uid="{00000000-0004-0000-0100-000023270000}"/>
    <hyperlink ref="I12099" r:id="rId10021" xr:uid="{00000000-0004-0000-0100-000024270000}"/>
    <hyperlink ref="I12100" r:id="rId10022" xr:uid="{00000000-0004-0000-0100-000025270000}"/>
    <hyperlink ref="I12101" r:id="rId10023" xr:uid="{00000000-0004-0000-0100-000026270000}"/>
    <hyperlink ref="I12102" r:id="rId10024" xr:uid="{00000000-0004-0000-0100-000027270000}"/>
    <hyperlink ref="I12103" r:id="rId10025" xr:uid="{00000000-0004-0000-0100-000028270000}"/>
    <hyperlink ref="I12104" r:id="rId10026" xr:uid="{00000000-0004-0000-0100-000029270000}"/>
    <hyperlink ref="I12105" r:id="rId10027" xr:uid="{00000000-0004-0000-0100-00002A270000}"/>
    <hyperlink ref="I12106" r:id="rId10028" xr:uid="{00000000-0004-0000-0100-00002B270000}"/>
    <hyperlink ref="I12107" r:id="rId10029" xr:uid="{00000000-0004-0000-0100-00002C270000}"/>
    <hyperlink ref="I12108" r:id="rId10030" xr:uid="{00000000-0004-0000-0100-00002D270000}"/>
    <hyperlink ref="I12109" r:id="rId10031" xr:uid="{00000000-0004-0000-0100-00002E270000}"/>
    <hyperlink ref="I12110" r:id="rId10032" xr:uid="{00000000-0004-0000-0100-00002F270000}"/>
    <hyperlink ref="I12111" r:id="rId10033" xr:uid="{00000000-0004-0000-0100-000030270000}"/>
    <hyperlink ref="I12112" r:id="rId10034" xr:uid="{00000000-0004-0000-0100-000031270000}"/>
    <hyperlink ref="I12113" r:id="rId10035" xr:uid="{00000000-0004-0000-0100-000032270000}"/>
    <hyperlink ref="I12114" r:id="rId10036" xr:uid="{00000000-0004-0000-0100-000033270000}"/>
    <hyperlink ref="I12115" r:id="rId10037" xr:uid="{00000000-0004-0000-0100-000034270000}"/>
    <hyperlink ref="I12116" r:id="rId10038" xr:uid="{00000000-0004-0000-0100-000035270000}"/>
    <hyperlink ref="I12117" r:id="rId10039" xr:uid="{00000000-0004-0000-0100-000036270000}"/>
    <hyperlink ref="I12118" r:id="rId10040" xr:uid="{00000000-0004-0000-0100-000037270000}"/>
    <hyperlink ref="I12119" r:id="rId10041" xr:uid="{00000000-0004-0000-0100-000038270000}"/>
    <hyperlink ref="I12120" r:id="rId10042" xr:uid="{00000000-0004-0000-0100-000039270000}"/>
    <hyperlink ref="I12121" r:id="rId10043" xr:uid="{00000000-0004-0000-0100-00003A270000}"/>
    <hyperlink ref="I12122" r:id="rId10044" xr:uid="{00000000-0004-0000-0100-00003B270000}"/>
    <hyperlink ref="I12123" r:id="rId10045" xr:uid="{00000000-0004-0000-0100-00003C270000}"/>
    <hyperlink ref="I12124" r:id="rId10046" xr:uid="{00000000-0004-0000-0100-00003D270000}"/>
    <hyperlink ref="I12125" r:id="rId10047" xr:uid="{00000000-0004-0000-0100-00003E270000}"/>
    <hyperlink ref="I12126" r:id="rId10048" xr:uid="{00000000-0004-0000-0100-00003F270000}"/>
    <hyperlink ref="I12127" r:id="rId10049" xr:uid="{00000000-0004-0000-0100-000040270000}"/>
    <hyperlink ref="I12128" r:id="rId10050" xr:uid="{00000000-0004-0000-0100-000041270000}"/>
    <hyperlink ref="I12129" r:id="rId10051" xr:uid="{00000000-0004-0000-0100-000042270000}"/>
    <hyperlink ref="I12130" r:id="rId10052" xr:uid="{00000000-0004-0000-0100-000043270000}"/>
    <hyperlink ref="I12131" r:id="rId10053" xr:uid="{00000000-0004-0000-0100-000044270000}"/>
    <hyperlink ref="I12132" r:id="rId10054" xr:uid="{00000000-0004-0000-0100-000045270000}"/>
    <hyperlink ref="I12133" r:id="rId10055" xr:uid="{00000000-0004-0000-0100-000046270000}"/>
    <hyperlink ref="I12134" r:id="rId10056" xr:uid="{00000000-0004-0000-0100-000047270000}"/>
    <hyperlink ref="I12135" r:id="rId10057" xr:uid="{00000000-0004-0000-0100-000048270000}"/>
    <hyperlink ref="I12136" r:id="rId10058" xr:uid="{00000000-0004-0000-0100-000049270000}"/>
    <hyperlink ref="I12137" r:id="rId10059" xr:uid="{00000000-0004-0000-0100-00004A270000}"/>
    <hyperlink ref="I12138" r:id="rId10060" xr:uid="{00000000-0004-0000-0100-00004B270000}"/>
    <hyperlink ref="I12139" r:id="rId10061" xr:uid="{00000000-0004-0000-0100-00004C270000}"/>
    <hyperlink ref="I12140" r:id="rId10062" xr:uid="{00000000-0004-0000-0100-00004D270000}"/>
    <hyperlink ref="I12141" r:id="rId10063" xr:uid="{00000000-0004-0000-0100-00004E270000}"/>
    <hyperlink ref="I12142" r:id="rId10064" xr:uid="{00000000-0004-0000-0100-00004F270000}"/>
    <hyperlink ref="I12143" r:id="rId10065" xr:uid="{00000000-0004-0000-0100-000050270000}"/>
    <hyperlink ref="I12144" r:id="rId10066" xr:uid="{00000000-0004-0000-0100-000051270000}"/>
    <hyperlink ref="I12145" r:id="rId10067" xr:uid="{00000000-0004-0000-0100-000052270000}"/>
    <hyperlink ref="I12146" r:id="rId10068" xr:uid="{00000000-0004-0000-0100-000053270000}"/>
    <hyperlink ref="I12147" r:id="rId10069" xr:uid="{00000000-0004-0000-0100-000054270000}"/>
    <hyperlink ref="I12148" r:id="rId10070" xr:uid="{00000000-0004-0000-0100-000055270000}"/>
    <hyperlink ref="I12149" r:id="rId10071" xr:uid="{00000000-0004-0000-0100-000056270000}"/>
    <hyperlink ref="I12150" r:id="rId10072" xr:uid="{00000000-0004-0000-0100-000057270000}"/>
    <hyperlink ref="I12151" r:id="rId10073" xr:uid="{00000000-0004-0000-0100-000058270000}"/>
    <hyperlink ref="I12152" r:id="rId10074" xr:uid="{00000000-0004-0000-0100-000059270000}"/>
    <hyperlink ref="I12153" r:id="rId10075" xr:uid="{00000000-0004-0000-0100-00005A270000}"/>
    <hyperlink ref="I12154" r:id="rId10076" xr:uid="{00000000-0004-0000-0100-00005B270000}"/>
    <hyperlink ref="I12155" r:id="rId10077" xr:uid="{00000000-0004-0000-0100-00005C270000}"/>
    <hyperlink ref="I12156" r:id="rId10078" xr:uid="{00000000-0004-0000-0100-00005D270000}"/>
    <hyperlink ref="I12157" r:id="rId10079" xr:uid="{00000000-0004-0000-0100-00005E270000}"/>
    <hyperlink ref="I12158" r:id="rId10080" xr:uid="{00000000-0004-0000-0100-00005F270000}"/>
    <hyperlink ref="I12159" r:id="rId10081" xr:uid="{00000000-0004-0000-0100-000060270000}"/>
    <hyperlink ref="I12160" r:id="rId10082" xr:uid="{00000000-0004-0000-0100-000061270000}"/>
    <hyperlink ref="I12161" r:id="rId10083" xr:uid="{00000000-0004-0000-0100-000062270000}"/>
    <hyperlink ref="I12162" r:id="rId10084" xr:uid="{00000000-0004-0000-0100-000063270000}"/>
    <hyperlink ref="I12163" r:id="rId10085" xr:uid="{00000000-0004-0000-0100-000064270000}"/>
    <hyperlink ref="I12164" r:id="rId10086" xr:uid="{00000000-0004-0000-0100-000065270000}"/>
    <hyperlink ref="I12165" r:id="rId10087" xr:uid="{00000000-0004-0000-0100-000066270000}"/>
    <hyperlink ref="I12166" r:id="rId10088" xr:uid="{00000000-0004-0000-0100-000067270000}"/>
    <hyperlink ref="I12167" r:id="rId10089" xr:uid="{00000000-0004-0000-0100-000068270000}"/>
    <hyperlink ref="I12168" r:id="rId10090" xr:uid="{00000000-0004-0000-0100-000069270000}"/>
    <hyperlink ref="I12169" r:id="rId10091" xr:uid="{00000000-0004-0000-0100-00006A270000}"/>
    <hyperlink ref="I12170" r:id="rId10092" xr:uid="{00000000-0004-0000-0100-00006B270000}"/>
    <hyperlink ref="I12171" r:id="rId10093" xr:uid="{00000000-0004-0000-0100-00006C270000}"/>
    <hyperlink ref="I12172" r:id="rId10094" xr:uid="{00000000-0004-0000-0100-00006D270000}"/>
    <hyperlink ref="I12173" r:id="rId10095" xr:uid="{00000000-0004-0000-0100-00006E270000}"/>
    <hyperlink ref="I12174" r:id="rId10096" xr:uid="{00000000-0004-0000-0100-00006F270000}"/>
    <hyperlink ref="I12175" r:id="rId10097" xr:uid="{00000000-0004-0000-0100-000070270000}"/>
    <hyperlink ref="I12176" r:id="rId10098" xr:uid="{00000000-0004-0000-0100-000071270000}"/>
    <hyperlink ref="I12177" r:id="rId10099" xr:uid="{00000000-0004-0000-0100-000072270000}"/>
    <hyperlink ref="I12178" r:id="rId10100" xr:uid="{00000000-0004-0000-0100-000073270000}"/>
    <hyperlink ref="I12179" r:id="rId10101" xr:uid="{00000000-0004-0000-0100-000074270000}"/>
    <hyperlink ref="I12180" r:id="rId10102" xr:uid="{00000000-0004-0000-0100-000075270000}"/>
    <hyperlink ref="I12181" r:id="rId10103" xr:uid="{00000000-0004-0000-0100-000076270000}"/>
    <hyperlink ref="I12182" r:id="rId10104" xr:uid="{00000000-0004-0000-0100-000077270000}"/>
    <hyperlink ref="I12183" r:id="rId10105" xr:uid="{00000000-0004-0000-0100-000078270000}"/>
    <hyperlink ref="I12184" r:id="rId10106" xr:uid="{00000000-0004-0000-0100-000079270000}"/>
    <hyperlink ref="I12185" r:id="rId10107" xr:uid="{00000000-0004-0000-0100-00007A270000}"/>
    <hyperlink ref="I12186" r:id="rId10108" xr:uid="{00000000-0004-0000-0100-00007B270000}"/>
    <hyperlink ref="I12187" r:id="rId10109" xr:uid="{00000000-0004-0000-0100-00007C270000}"/>
    <hyperlink ref="I12188" r:id="rId10110" xr:uid="{00000000-0004-0000-0100-00007D270000}"/>
    <hyperlink ref="I12189" r:id="rId10111" xr:uid="{00000000-0004-0000-0100-00007E270000}"/>
    <hyperlink ref="I12190" r:id="rId10112" xr:uid="{00000000-0004-0000-0100-00007F270000}"/>
    <hyperlink ref="I12191" r:id="rId10113" xr:uid="{00000000-0004-0000-0100-000080270000}"/>
    <hyperlink ref="I12192" r:id="rId10114" xr:uid="{00000000-0004-0000-0100-000081270000}"/>
    <hyperlink ref="I12193" r:id="rId10115" xr:uid="{00000000-0004-0000-0100-000082270000}"/>
    <hyperlink ref="I12194" r:id="rId10116" xr:uid="{00000000-0004-0000-0100-000083270000}"/>
    <hyperlink ref="I12195" r:id="rId10117" xr:uid="{00000000-0004-0000-0100-000084270000}"/>
    <hyperlink ref="I12196" r:id="rId10118" xr:uid="{00000000-0004-0000-0100-000085270000}"/>
    <hyperlink ref="I12197" r:id="rId10119" xr:uid="{00000000-0004-0000-0100-000086270000}"/>
    <hyperlink ref="I12198" r:id="rId10120" xr:uid="{00000000-0004-0000-0100-000087270000}"/>
    <hyperlink ref="I12199" r:id="rId10121" xr:uid="{00000000-0004-0000-0100-000088270000}"/>
    <hyperlink ref="I12200" r:id="rId10122" xr:uid="{00000000-0004-0000-0100-000089270000}"/>
    <hyperlink ref="I12201" r:id="rId10123" xr:uid="{00000000-0004-0000-0100-00008A270000}"/>
    <hyperlink ref="I12202" r:id="rId10124" xr:uid="{00000000-0004-0000-0100-00008B270000}"/>
    <hyperlink ref="I12203" r:id="rId10125" xr:uid="{00000000-0004-0000-0100-00008C270000}"/>
    <hyperlink ref="I12204" r:id="rId10126" xr:uid="{00000000-0004-0000-0100-00008D270000}"/>
    <hyperlink ref="I12205" r:id="rId10127" xr:uid="{00000000-0004-0000-0100-00008E270000}"/>
    <hyperlink ref="I12206" r:id="rId10128" xr:uid="{00000000-0004-0000-0100-00008F270000}"/>
    <hyperlink ref="I12207" r:id="rId10129" xr:uid="{00000000-0004-0000-0100-000090270000}"/>
    <hyperlink ref="I12208" r:id="rId10130" xr:uid="{00000000-0004-0000-0100-000091270000}"/>
    <hyperlink ref="I12209" r:id="rId10131" xr:uid="{00000000-0004-0000-0100-000092270000}"/>
    <hyperlink ref="I12210" r:id="rId10132" xr:uid="{00000000-0004-0000-0100-000093270000}"/>
    <hyperlink ref="I12211" r:id="rId10133" xr:uid="{00000000-0004-0000-0100-000094270000}"/>
    <hyperlink ref="I12212" r:id="rId10134" xr:uid="{00000000-0004-0000-0100-000095270000}"/>
    <hyperlink ref="I12213" r:id="rId10135" xr:uid="{00000000-0004-0000-0100-000096270000}"/>
    <hyperlink ref="I12214" r:id="rId10136" xr:uid="{00000000-0004-0000-0100-000097270000}"/>
    <hyperlink ref="I12215" r:id="rId10137" xr:uid="{00000000-0004-0000-0100-000098270000}"/>
    <hyperlink ref="I12216" r:id="rId10138" xr:uid="{00000000-0004-0000-0100-000099270000}"/>
    <hyperlink ref="I12217" r:id="rId10139" xr:uid="{00000000-0004-0000-0100-00009A270000}"/>
    <hyperlink ref="I12218" r:id="rId10140" xr:uid="{00000000-0004-0000-0100-00009B270000}"/>
    <hyperlink ref="I12219" r:id="rId10141" xr:uid="{00000000-0004-0000-0100-00009C270000}"/>
    <hyperlink ref="I12220" r:id="rId10142" xr:uid="{00000000-0004-0000-0100-00009D270000}"/>
    <hyperlink ref="I12221" r:id="rId10143" xr:uid="{00000000-0004-0000-0100-00009E270000}"/>
    <hyperlink ref="I12222" r:id="rId10144" xr:uid="{00000000-0004-0000-0100-00009F270000}"/>
    <hyperlink ref="I12223" r:id="rId10145" xr:uid="{00000000-0004-0000-0100-0000A0270000}"/>
    <hyperlink ref="I12224" r:id="rId10146" xr:uid="{00000000-0004-0000-0100-0000A1270000}"/>
    <hyperlink ref="I12225" r:id="rId10147" xr:uid="{00000000-0004-0000-0100-0000A2270000}"/>
    <hyperlink ref="I12226" r:id="rId10148" xr:uid="{00000000-0004-0000-0100-0000A3270000}"/>
    <hyperlink ref="I12227" r:id="rId10149" xr:uid="{00000000-0004-0000-0100-0000A4270000}"/>
    <hyperlink ref="I12228" r:id="rId10150" xr:uid="{00000000-0004-0000-0100-0000A5270000}"/>
    <hyperlink ref="I12229" r:id="rId10151" xr:uid="{00000000-0004-0000-0100-0000A6270000}"/>
    <hyperlink ref="I12230" r:id="rId10152" xr:uid="{00000000-0004-0000-0100-0000A7270000}"/>
    <hyperlink ref="I12231" r:id="rId10153" xr:uid="{00000000-0004-0000-0100-0000A8270000}"/>
    <hyperlink ref="I12232" r:id="rId10154" xr:uid="{00000000-0004-0000-0100-0000A9270000}"/>
    <hyperlink ref="I12233" r:id="rId10155" xr:uid="{00000000-0004-0000-0100-0000AA270000}"/>
    <hyperlink ref="I12234" r:id="rId10156" xr:uid="{00000000-0004-0000-0100-0000AB270000}"/>
    <hyperlink ref="I12235" r:id="rId10157" xr:uid="{00000000-0004-0000-0100-0000AC270000}"/>
    <hyperlink ref="I12236" r:id="rId10158" xr:uid="{00000000-0004-0000-0100-0000AD270000}"/>
    <hyperlink ref="I12237" r:id="rId10159" xr:uid="{00000000-0004-0000-0100-0000AE270000}"/>
    <hyperlink ref="I12238" r:id="rId10160" xr:uid="{00000000-0004-0000-0100-0000AF270000}"/>
    <hyperlink ref="I12239" r:id="rId10161" xr:uid="{00000000-0004-0000-0100-0000B0270000}"/>
    <hyperlink ref="I12240" r:id="rId10162" xr:uid="{00000000-0004-0000-0100-0000B1270000}"/>
    <hyperlink ref="I12241" r:id="rId10163" xr:uid="{00000000-0004-0000-0100-0000B2270000}"/>
    <hyperlink ref="I12242" r:id="rId10164" xr:uid="{00000000-0004-0000-0100-0000B3270000}"/>
    <hyperlink ref="I12243" r:id="rId10165" xr:uid="{00000000-0004-0000-0100-0000B4270000}"/>
    <hyperlink ref="I12244" r:id="rId10166" xr:uid="{00000000-0004-0000-0100-0000B5270000}"/>
    <hyperlink ref="I12245" r:id="rId10167" xr:uid="{00000000-0004-0000-0100-0000B6270000}"/>
    <hyperlink ref="I12246" r:id="rId10168" xr:uid="{00000000-0004-0000-0100-0000B7270000}"/>
    <hyperlink ref="I12247" r:id="rId10169" xr:uid="{00000000-0004-0000-0100-0000B8270000}"/>
    <hyperlink ref="I12248" r:id="rId10170" xr:uid="{00000000-0004-0000-0100-0000B9270000}"/>
    <hyperlink ref="I12249" r:id="rId10171" xr:uid="{00000000-0004-0000-0100-0000BA270000}"/>
    <hyperlink ref="I12250" r:id="rId10172" xr:uid="{00000000-0004-0000-0100-0000BB270000}"/>
    <hyperlink ref="I12251" r:id="rId10173" xr:uid="{00000000-0004-0000-0100-0000BC270000}"/>
    <hyperlink ref="I12252" r:id="rId10174" xr:uid="{00000000-0004-0000-0100-0000BD270000}"/>
    <hyperlink ref="I12253" r:id="rId10175" xr:uid="{00000000-0004-0000-0100-0000BE270000}"/>
    <hyperlink ref="I12254" r:id="rId10176" xr:uid="{00000000-0004-0000-0100-0000BF270000}"/>
    <hyperlink ref="I12255" r:id="rId10177" xr:uid="{00000000-0004-0000-0100-0000C0270000}"/>
    <hyperlink ref="I12256" r:id="rId10178" xr:uid="{00000000-0004-0000-0100-0000C1270000}"/>
    <hyperlink ref="I12257" r:id="rId10179" xr:uid="{00000000-0004-0000-0100-0000C2270000}"/>
    <hyperlink ref="I12258" r:id="rId10180" xr:uid="{00000000-0004-0000-0100-0000C3270000}"/>
    <hyperlink ref="I12259" r:id="rId10181" xr:uid="{00000000-0004-0000-0100-0000C4270000}"/>
    <hyperlink ref="I12260" r:id="rId10182" xr:uid="{00000000-0004-0000-0100-0000C5270000}"/>
    <hyperlink ref="I12261" r:id="rId10183" xr:uid="{00000000-0004-0000-0100-0000C6270000}"/>
    <hyperlink ref="I12262" r:id="rId10184" xr:uid="{00000000-0004-0000-0100-0000C7270000}"/>
    <hyperlink ref="I12263" r:id="rId10185" xr:uid="{00000000-0004-0000-0100-0000C8270000}"/>
    <hyperlink ref="I12264" r:id="rId10186" xr:uid="{00000000-0004-0000-0100-0000C9270000}"/>
    <hyperlink ref="I12265" r:id="rId10187" xr:uid="{00000000-0004-0000-0100-0000CA270000}"/>
    <hyperlink ref="I12266" r:id="rId10188" xr:uid="{00000000-0004-0000-0100-0000CB270000}"/>
    <hyperlink ref="I12267" r:id="rId10189" xr:uid="{00000000-0004-0000-0100-0000CC270000}"/>
    <hyperlink ref="I12268" r:id="rId10190" xr:uid="{00000000-0004-0000-0100-0000CD270000}"/>
    <hyperlink ref="I12269" r:id="rId10191" xr:uid="{00000000-0004-0000-0100-0000CE270000}"/>
    <hyperlink ref="I12270" r:id="rId10192" xr:uid="{00000000-0004-0000-0100-0000CF270000}"/>
    <hyperlink ref="I12271" r:id="rId10193" xr:uid="{00000000-0004-0000-0100-0000D0270000}"/>
    <hyperlink ref="I12272" r:id="rId10194" xr:uid="{00000000-0004-0000-0100-0000D1270000}"/>
    <hyperlink ref="I12273" r:id="rId10195" xr:uid="{00000000-0004-0000-0100-0000D2270000}"/>
    <hyperlink ref="I12274" r:id="rId10196" xr:uid="{00000000-0004-0000-0100-0000D3270000}"/>
    <hyperlink ref="I12275" r:id="rId10197" xr:uid="{00000000-0004-0000-0100-0000D4270000}"/>
    <hyperlink ref="I12276" r:id="rId10198" xr:uid="{00000000-0004-0000-0100-0000D5270000}"/>
    <hyperlink ref="I12277" r:id="rId10199" xr:uid="{00000000-0004-0000-0100-0000D6270000}"/>
    <hyperlink ref="I12278" r:id="rId10200" xr:uid="{00000000-0004-0000-0100-0000D7270000}"/>
    <hyperlink ref="I12279" r:id="rId10201" xr:uid="{00000000-0004-0000-0100-0000D8270000}"/>
    <hyperlink ref="I12280" r:id="rId10202" xr:uid="{00000000-0004-0000-0100-0000D9270000}"/>
    <hyperlink ref="I12281" r:id="rId10203" xr:uid="{00000000-0004-0000-0100-0000DA270000}"/>
    <hyperlink ref="I12282" r:id="rId10204" xr:uid="{00000000-0004-0000-0100-0000DB270000}"/>
    <hyperlink ref="I12283" r:id="rId10205" xr:uid="{00000000-0004-0000-0100-0000DC270000}"/>
    <hyperlink ref="I12284" r:id="rId10206" xr:uid="{00000000-0004-0000-0100-0000DD270000}"/>
    <hyperlink ref="I12285" r:id="rId10207" xr:uid="{00000000-0004-0000-0100-0000DE270000}"/>
    <hyperlink ref="I12286" r:id="rId10208" xr:uid="{00000000-0004-0000-0100-0000DF270000}"/>
    <hyperlink ref="I12287" r:id="rId10209" xr:uid="{00000000-0004-0000-0100-0000E0270000}"/>
    <hyperlink ref="I12288" r:id="rId10210" xr:uid="{00000000-0004-0000-0100-0000E1270000}"/>
    <hyperlink ref="I12289" r:id="rId10211" xr:uid="{00000000-0004-0000-0100-0000E2270000}"/>
    <hyperlink ref="I12290" r:id="rId10212" xr:uid="{00000000-0004-0000-0100-0000E3270000}"/>
    <hyperlink ref="I12291" r:id="rId10213" xr:uid="{00000000-0004-0000-0100-0000E4270000}"/>
    <hyperlink ref="I12292" r:id="rId10214" xr:uid="{00000000-0004-0000-0100-0000E5270000}"/>
    <hyperlink ref="I12293" r:id="rId10215" xr:uid="{00000000-0004-0000-0100-0000E6270000}"/>
    <hyperlink ref="I12294" r:id="rId10216" xr:uid="{00000000-0004-0000-0100-0000E7270000}"/>
    <hyperlink ref="I12295" r:id="rId10217" xr:uid="{00000000-0004-0000-0100-0000E8270000}"/>
    <hyperlink ref="I12296" r:id="rId10218" xr:uid="{00000000-0004-0000-0100-0000E9270000}"/>
    <hyperlink ref="I12297" r:id="rId10219" xr:uid="{00000000-0004-0000-0100-0000EA270000}"/>
    <hyperlink ref="I12298" r:id="rId10220" xr:uid="{00000000-0004-0000-0100-0000EB270000}"/>
    <hyperlink ref="I12299" r:id="rId10221" xr:uid="{00000000-0004-0000-0100-0000EC270000}"/>
    <hyperlink ref="I12300" r:id="rId10222" xr:uid="{00000000-0004-0000-0100-0000ED270000}"/>
    <hyperlink ref="I12301" r:id="rId10223" xr:uid="{00000000-0004-0000-0100-0000EE270000}"/>
    <hyperlink ref="I12302" r:id="rId10224" xr:uid="{00000000-0004-0000-0100-0000EF270000}"/>
    <hyperlink ref="I12303" r:id="rId10225" xr:uid="{00000000-0004-0000-0100-0000F0270000}"/>
    <hyperlink ref="I12304" r:id="rId10226" xr:uid="{00000000-0004-0000-0100-0000F1270000}"/>
    <hyperlink ref="I12305" r:id="rId10227" xr:uid="{00000000-0004-0000-0100-0000F2270000}"/>
    <hyperlink ref="I12306" r:id="rId10228" xr:uid="{00000000-0004-0000-0100-0000F3270000}"/>
    <hyperlink ref="I12307" r:id="rId10229" xr:uid="{00000000-0004-0000-0100-0000F4270000}"/>
    <hyperlink ref="I12308" r:id="rId10230" xr:uid="{00000000-0004-0000-0100-0000F5270000}"/>
    <hyperlink ref="I12309" r:id="rId10231" xr:uid="{00000000-0004-0000-0100-0000F6270000}"/>
    <hyperlink ref="I12310" r:id="rId10232" xr:uid="{00000000-0004-0000-0100-0000F7270000}"/>
    <hyperlink ref="I12311" r:id="rId10233" xr:uid="{00000000-0004-0000-0100-0000F8270000}"/>
    <hyperlink ref="I12312" r:id="rId10234" xr:uid="{00000000-0004-0000-0100-0000F9270000}"/>
    <hyperlink ref="I12313" r:id="rId10235" xr:uid="{00000000-0004-0000-0100-0000FA270000}"/>
    <hyperlink ref="I12314" r:id="rId10236" xr:uid="{00000000-0004-0000-0100-0000FB270000}"/>
    <hyperlink ref="I12315" r:id="rId10237" xr:uid="{00000000-0004-0000-0100-0000FC270000}"/>
    <hyperlink ref="I12316" r:id="rId10238" xr:uid="{00000000-0004-0000-0100-0000FD270000}"/>
    <hyperlink ref="I12317" r:id="rId10239" xr:uid="{00000000-0004-0000-0100-0000FE270000}"/>
    <hyperlink ref="I12318" r:id="rId10240" xr:uid="{00000000-0004-0000-0100-0000FF270000}"/>
    <hyperlink ref="I12319" r:id="rId10241" xr:uid="{00000000-0004-0000-0100-000000280000}"/>
    <hyperlink ref="I12320" r:id="rId10242" xr:uid="{00000000-0004-0000-0100-000001280000}"/>
    <hyperlink ref="I12321" r:id="rId10243" xr:uid="{00000000-0004-0000-0100-000002280000}"/>
    <hyperlink ref="I12322" r:id="rId10244" xr:uid="{00000000-0004-0000-0100-000003280000}"/>
    <hyperlink ref="I12323" r:id="rId10245" xr:uid="{00000000-0004-0000-0100-000004280000}"/>
    <hyperlink ref="I12324" r:id="rId10246" xr:uid="{00000000-0004-0000-0100-000005280000}"/>
    <hyperlink ref="I12325" r:id="rId10247" xr:uid="{00000000-0004-0000-0100-000006280000}"/>
    <hyperlink ref="I12326" r:id="rId10248" xr:uid="{00000000-0004-0000-0100-000007280000}"/>
    <hyperlink ref="I12327" r:id="rId10249" xr:uid="{00000000-0004-0000-0100-000008280000}"/>
    <hyperlink ref="I12328" r:id="rId10250" xr:uid="{00000000-0004-0000-0100-000009280000}"/>
    <hyperlink ref="I12329" r:id="rId10251" xr:uid="{00000000-0004-0000-0100-00000A280000}"/>
    <hyperlink ref="I12330" r:id="rId10252" xr:uid="{00000000-0004-0000-0100-00000B280000}"/>
    <hyperlink ref="I12331" r:id="rId10253" xr:uid="{00000000-0004-0000-0100-00000C280000}"/>
    <hyperlink ref="I12332" r:id="rId10254" xr:uid="{00000000-0004-0000-0100-00000D280000}"/>
    <hyperlink ref="I12333" r:id="rId10255" xr:uid="{00000000-0004-0000-0100-00000E280000}"/>
    <hyperlink ref="I12334" r:id="rId10256" xr:uid="{00000000-0004-0000-0100-00000F280000}"/>
    <hyperlink ref="I12335" r:id="rId10257" xr:uid="{00000000-0004-0000-0100-000010280000}"/>
    <hyperlink ref="I12336" r:id="rId10258" xr:uid="{00000000-0004-0000-0100-000011280000}"/>
    <hyperlink ref="I12337" r:id="rId10259" xr:uid="{00000000-0004-0000-0100-000012280000}"/>
    <hyperlink ref="I12338" r:id="rId10260" xr:uid="{00000000-0004-0000-0100-000013280000}"/>
    <hyperlink ref="I12339" r:id="rId10261" xr:uid="{00000000-0004-0000-0100-000014280000}"/>
    <hyperlink ref="I12340" r:id="rId10262" xr:uid="{00000000-0004-0000-0100-000015280000}"/>
    <hyperlink ref="I12341" r:id="rId10263" xr:uid="{00000000-0004-0000-0100-000016280000}"/>
    <hyperlink ref="I12342" r:id="rId10264" xr:uid="{00000000-0004-0000-0100-000017280000}"/>
    <hyperlink ref="I12343" r:id="rId10265" xr:uid="{00000000-0004-0000-0100-000018280000}"/>
    <hyperlink ref="I12344" r:id="rId10266" xr:uid="{00000000-0004-0000-0100-000019280000}"/>
    <hyperlink ref="I12345" r:id="rId10267" xr:uid="{00000000-0004-0000-0100-00001A280000}"/>
    <hyperlink ref="I12346" r:id="rId10268" xr:uid="{00000000-0004-0000-0100-00001B280000}"/>
    <hyperlink ref="I12347" r:id="rId10269" xr:uid="{00000000-0004-0000-0100-00001C280000}"/>
    <hyperlink ref="I12348" r:id="rId10270" xr:uid="{00000000-0004-0000-0100-00001D280000}"/>
    <hyperlink ref="I12349" r:id="rId10271" xr:uid="{00000000-0004-0000-0100-00001E280000}"/>
    <hyperlink ref="I12350" r:id="rId10272" xr:uid="{00000000-0004-0000-0100-00001F280000}"/>
    <hyperlink ref="I12351" r:id="rId10273" xr:uid="{00000000-0004-0000-0100-000020280000}"/>
    <hyperlink ref="I12352" r:id="rId10274" xr:uid="{00000000-0004-0000-0100-000021280000}"/>
    <hyperlink ref="I12353" r:id="rId10275" xr:uid="{00000000-0004-0000-0100-000022280000}"/>
    <hyperlink ref="I12354" r:id="rId10276" xr:uid="{00000000-0004-0000-0100-000023280000}"/>
    <hyperlink ref="I12355" r:id="rId10277" xr:uid="{00000000-0004-0000-0100-000024280000}"/>
    <hyperlink ref="I12356" r:id="rId10278" xr:uid="{00000000-0004-0000-0100-000025280000}"/>
    <hyperlink ref="I12357" r:id="rId10279" xr:uid="{00000000-0004-0000-0100-000026280000}"/>
    <hyperlink ref="I12358" r:id="rId10280" xr:uid="{00000000-0004-0000-0100-000027280000}"/>
    <hyperlink ref="I12359" r:id="rId10281" xr:uid="{00000000-0004-0000-0100-000028280000}"/>
    <hyperlink ref="I12360" r:id="rId10282" xr:uid="{00000000-0004-0000-0100-000029280000}"/>
    <hyperlink ref="I12361" r:id="rId10283" xr:uid="{00000000-0004-0000-0100-00002A280000}"/>
    <hyperlink ref="I12362" r:id="rId10284" xr:uid="{00000000-0004-0000-0100-00002B280000}"/>
    <hyperlink ref="I12363" r:id="rId10285" xr:uid="{00000000-0004-0000-0100-00002C280000}"/>
    <hyperlink ref="I12364" r:id="rId10286" xr:uid="{00000000-0004-0000-0100-00002D280000}"/>
    <hyperlink ref="I12365" r:id="rId10287" xr:uid="{00000000-0004-0000-0100-00002E280000}"/>
    <hyperlink ref="I12366" r:id="rId10288" xr:uid="{00000000-0004-0000-0100-00002F280000}"/>
    <hyperlink ref="I12367" r:id="rId10289" xr:uid="{00000000-0004-0000-0100-000030280000}"/>
    <hyperlink ref="I12368" r:id="rId10290" xr:uid="{00000000-0004-0000-0100-000031280000}"/>
    <hyperlink ref="I12369" r:id="rId10291" xr:uid="{00000000-0004-0000-0100-000032280000}"/>
    <hyperlink ref="I12370" r:id="rId10292" xr:uid="{00000000-0004-0000-0100-000033280000}"/>
    <hyperlink ref="I12371" r:id="rId10293" xr:uid="{00000000-0004-0000-0100-000034280000}"/>
    <hyperlink ref="I12372" r:id="rId10294" xr:uid="{00000000-0004-0000-0100-000035280000}"/>
    <hyperlink ref="I12373" r:id="rId10295" xr:uid="{00000000-0004-0000-0100-000036280000}"/>
    <hyperlink ref="I12374" r:id="rId10296" xr:uid="{00000000-0004-0000-0100-000037280000}"/>
    <hyperlink ref="I12375" r:id="rId10297" xr:uid="{00000000-0004-0000-0100-000038280000}"/>
    <hyperlink ref="I12376" r:id="rId10298" xr:uid="{00000000-0004-0000-0100-000039280000}"/>
    <hyperlink ref="I12377" r:id="rId10299" xr:uid="{00000000-0004-0000-0100-00003A280000}"/>
    <hyperlink ref="I12378" r:id="rId10300" xr:uid="{00000000-0004-0000-0100-00003B280000}"/>
    <hyperlink ref="I12379" r:id="rId10301" xr:uid="{00000000-0004-0000-0100-00003C280000}"/>
    <hyperlink ref="I12380" r:id="rId10302" xr:uid="{00000000-0004-0000-0100-00003D280000}"/>
    <hyperlink ref="I12381" r:id="rId10303" xr:uid="{00000000-0004-0000-0100-00003E280000}"/>
    <hyperlink ref="I12382" r:id="rId10304" xr:uid="{00000000-0004-0000-0100-00003F280000}"/>
    <hyperlink ref="I12383" r:id="rId10305" xr:uid="{00000000-0004-0000-0100-000040280000}"/>
    <hyperlink ref="I12384" r:id="rId10306" xr:uid="{00000000-0004-0000-0100-000041280000}"/>
    <hyperlink ref="I12385" r:id="rId10307" xr:uid="{00000000-0004-0000-0100-000042280000}"/>
    <hyperlink ref="I12386" r:id="rId10308" xr:uid="{00000000-0004-0000-0100-000043280000}"/>
    <hyperlink ref="I12387" r:id="rId10309" xr:uid="{00000000-0004-0000-0100-000044280000}"/>
    <hyperlink ref="I12388" r:id="rId10310" xr:uid="{00000000-0004-0000-0100-000045280000}"/>
    <hyperlink ref="I12389" r:id="rId10311" xr:uid="{00000000-0004-0000-0100-000046280000}"/>
    <hyperlink ref="I12390" r:id="rId10312" xr:uid="{00000000-0004-0000-0100-000047280000}"/>
    <hyperlink ref="I12391" r:id="rId10313" xr:uid="{00000000-0004-0000-0100-000048280000}"/>
    <hyperlink ref="I12392" r:id="rId10314" xr:uid="{00000000-0004-0000-0100-000049280000}"/>
    <hyperlink ref="I12393" r:id="rId10315" xr:uid="{00000000-0004-0000-0100-00004A280000}"/>
    <hyperlink ref="I12394" r:id="rId10316" xr:uid="{00000000-0004-0000-0100-00004B280000}"/>
    <hyperlink ref="I12395" r:id="rId10317" xr:uid="{00000000-0004-0000-0100-00004C280000}"/>
    <hyperlink ref="I12396" r:id="rId10318" xr:uid="{00000000-0004-0000-0100-00004D280000}"/>
    <hyperlink ref="I12397" r:id="rId10319" xr:uid="{00000000-0004-0000-0100-00004E280000}"/>
    <hyperlink ref="I12398" r:id="rId10320" xr:uid="{00000000-0004-0000-0100-00004F280000}"/>
    <hyperlink ref="I12399" r:id="rId10321" xr:uid="{00000000-0004-0000-0100-000050280000}"/>
    <hyperlink ref="I12400" r:id="rId10322" xr:uid="{00000000-0004-0000-0100-000051280000}"/>
    <hyperlink ref="I12401" r:id="rId10323" xr:uid="{00000000-0004-0000-0100-000052280000}"/>
    <hyperlink ref="I12402" r:id="rId10324" xr:uid="{00000000-0004-0000-0100-000053280000}"/>
    <hyperlink ref="I12403" r:id="rId10325" xr:uid="{00000000-0004-0000-0100-000054280000}"/>
    <hyperlink ref="I12404" r:id="rId10326" xr:uid="{00000000-0004-0000-0100-000055280000}"/>
    <hyperlink ref="I12405" r:id="rId10327" xr:uid="{00000000-0004-0000-0100-000056280000}"/>
    <hyperlink ref="I12406" r:id="rId10328" xr:uid="{00000000-0004-0000-0100-000057280000}"/>
    <hyperlink ref="I12407" r:id="rId10329" xr:uid="{00000000-0004-0000-0100-000058280000}"/>
    <hyperlink ref="I12408" r:id="rId10330" xr:uid="{00000000-0004-0000-0100-000059280000}"/>
    <hyperlink ref="I12409" r:id="rId10331" xr:uid="{00000000-0004-0000-0100-00005A280000}"/>
    <hyperlink ref="I12410" r:id="rId10332" xr:uid="{00000000-0004-0000-0100-00005B280000}"/>
    <hyperlink ref="I12411" r:id="rId10333" xr:uid="{00000000-0004-0000-0100-00005C280000}"/>
    <hyperlink ref="I12412" r:id="rId10334" xr:uid="{00000000-0004-0000-0100-00005D280000}"/>
    <hyperlink ref="I12413" r:id="rId10335" xr:uid="{00000000-0004-0000-0100-00005E280000}"/>
    <hyperlink ref="I12414" r:id="rId10336" xr:uid="{00000000-0004-0000-0100-00005F280000}"/>
    <hyperlink ref="I12415" r:id="rId10337" xr:uid="{00000000-0004-0000-0100-000060280000}"/>
    <hyperlink ref="I12416" r:id="rId10338" xr:uid="{00000000-0004-0000-0100-000061280000}"/>
    <hyperlink ref="I12417" r:id="rId10339" xr:uid="{00000000-0004-0000-0100-000062280000}"/>
    <hyperlink ref="I12418" r:id="rId10340" xr:uid="{00000000-0004-0000-0100-000063280000}"/>
    <hyperlink ref="I12419" r:id="rId10341" xr:uid="{00000000-0004-0000-0100-000064280000}"/>
    <hyperlink ref="I12420" r:id="rId10342" xr:uid="{00000000-0004-0000-0100-000065280000}"/>
    <hyperlink ref="I12421" r:id="rId10343" xr:uid="{00000000-0004-0000-0100-000066280000}"/>
    <hyperlink ref="I12422" r:id="rId10344" xr:uid="{00000000-0004-0000-0100-000067280000}"/>
    <hyperlink ref="I12423" r:id="rId10345" xr:uid="{00000000-0004-0000-0100-000068280000}"/>
    <hyperlink ref="I12424" r:id="rId10346" xr:uid="{00000000-0004-0000-0100-000069280000}"/>
    <hyperlink ref="I12425" r:id="rId10347" xr:uid="{00000000-0004-0000-0100-00006A280000}"/>
    <hyperlink ref="I12426" r:id="rId10348" xr:uid="{00000000-0004-0000-0100-00006B280000}"/>
    <hyperlink ref="I12427" r:id="rId10349" xr:uid="{00000000-0004-0000-0100-00006C280000}"/>
    <hyperlink ref="I12428" r:id="rId10350" xr:uid="{00000000-0004-0000-0100-00006D280000}"/>
    <hyperlink ref="I12429" r:id="rId10351" xr:uid="{00000000-0004-0000-0100-00006E280000}"/>
    <hyperlink ref="I12430" r:id="rId10352" xr:uid="{00000000-0004-0000-0100-00006F280000}"/>
    <hyperlink ref="I12431" r:id="rId10353" xr:uid="{00000000-0004-0000-0100-000070280000}"/>
    <hyperlink ref="I12432" r:id="rId10354" xr:uid="{00000000-0004-0000-0100-000071280000}"/>
    <hyperlink ref="I12433" r:id="rId10355" xr:uid="{00000000-0004-0000-0100-000072280000}"/>
    <hyperlink ref="I12434" r:id="rId10356" xr:uid="{00000000-0004-0000-0100-000073280000}"/>
    <hyperlink ref="I12435" r:id="rId10357" xr:uid="{00000000-0004-0000-0100-000074280000}"/>
    <hyperlink ref="I12436" r:id="rId10358" xr:uid="{00000000-0004-0000-0100-000075280000}"/>
    <hyperlink ref="I12437" r:id="rId10359" xr:uid="{00000000-0004-0000-0100-000076280000}"/>
    <hyperlink ref="I12438" r:id="rId10360" xr:uid="{00000000-0004-0000-0100-000077280000}"/>
    <hyperlink ref="I12439" r:id="rId10361" xr:uid="{00000000-0004-0000-0100-000078280000}"/>
    <hyperlink ref="I12440" r:id="rId10362" xr:uid="{00000000-0004-0000-0100-000079280000}"/>
    <hyperlink ref="I12441" r:id="rId10363" xr:uid="{00000000-0004-0000-0100-00007A280000}"/>
    <hyperlink ref="I12442" r:id="rId10364" xr:uid="{00000000-0004-0000-0100-00007B280000}"/>
    <hyperlink ref="I12443" r:id="rId10365" xr:uid="{00000000-0004-0000-0100-00007C280000}"/>
    <hyperlink ref="I12444" r:id="rId10366" xr:uid="{00000000-0004-0000-0100-00007D280000}"/>
    <hyperlink ref="I12445" r:id="rId10367" xr:uid="{00000000-0004-0000-0100-00007E280000}"/>
    <hyperlink ref="I12446" r:id="rId10368" xr:uid="{00000000-0004-0000-0100-00007F280000}"/>
    <hyperlink ref="I12447" r:id="rId10369" xr:uid="{00000000-0004-0000-0100-000080280000}"/>
    <hyperlink ref="I12448" r:id="rId10370" xr:uid="{00000000-0004-0000-0100-000081280000}"/>
    <hyperlink ref="I12449" r:id="rId10371" xr:uid="{00000000-0004-0000-0100-000082280000}"/>
    <hyperlink ref="I12450" r:id="rId10372" xr:uid="{00000000-0004-0000-0100-000083280000}"/>
    <hyperlink ref="I12451" r:id="rId10373" xr:uid="{00000000-0004-0000-0100-000084280000}"/>
    <hyperlink ref="I12452" r:id="rId10374" xr:uid="{00000000-0004-0000-0100-000085280000}"/>
    <hyperlink ref="I12453" r:id="rId10375" xr:uid="{00000000-0004-0000-0100-000086280000}"/>
    <hyperlink ref="I12454" r:id="rId10376" xr:uid="{00000000-0004-0000-0100-000087280000}"/>
    <hyperlink ref="I12455" r:id="rId10377" xr:uid="{00000000-0004-0000-0100-000088280000}"/>
    <hyperlink ref="I12456" r:id="rId10378" xr:uid="{00000000-0004-0000-0100-000089280000}"/>
    <hyperlink ref="I12457" r:id="rId10379" xr:uid="{00000000-0004-0000-0100-00008A280000}"/>
    <hyperlink ref="I12458" r:id="rId10380" xr:uid="{00000000-0004-0000-0100-00008B280000}"/>
    <hyperlink ref="I12459" r:id="rId10381" xr:uid="{00000000-0004-0000-0100-00008C280000}"/>
    <hyperlink ref="I12460" r:id="rId10382" xr:uid="{00000000-0004-0000-0100-00008D280000}"/>
    <hyperlink ref="I12461" r:id="rId10383" xr:uid="{00000000-0004-0000-0100-00008E280000}"/>
    <hyperlink ref="I12462" r:id="rId10384" xr:uid="{00000000-0004-0000-0100-00008F280000}"/>
    <hyperlink ref="I12463" r:id="rId10385" xr:uid="{00000000-0004-0000-0100-000090280000}"/>
    <hyperlink ref="I12464" r:id="rId10386" xr:uid="{00000000-0004-0000-0100-000091280000}"/>
    <hyperlink ref="I12465" r:id="rId10387" xr:uid="{00000000-0004-0000-0100-000092280000}"/>
    <hyperlink ref="I12466" r:id="rId10388" xr:uid="{00000000-0004-0000-0100-000093280000}"/>
    <hyperlink ref="I12467" r:id="rId10389" xr:uid="{00000000-0004-0000-0100-000094280000}"/>
    <hyperlink ref="I12468" r:id="rId10390" xr:uid="{00000000-0004-0000-0100-000095280000}"/>
    <hyperlink ref="I12469" r:id="rId10391" xr:uid="{00000000-0004-0000-0100-000096280000}"/>
    <hyperlink ref="I12470" r:id="rId10392" xr:uid="{00000000-0004-0000-0100-000097280000}"/>
    <hyperlink ref="I12471" r:id="rId10393" xr:uid="{00000000-0004-0000-0100-000098280000}"/>
    <hyperlink ref="I12472" r:id="rId10394" xr:uid="{00000000-0004-0000-0100-000099280000}"/>
    <hyperlink ref="I12473" r:id="rId10395" xr:uid="{00000000-0004-0000-0100-00009A280000}"/>
    <hyperlink ref="I12474" r:id="rId10396" xr:uid="{00000000-0004-0000-0100-00009B280000}"/>
    <hyperlink ref="I12475" r:id="rId10397" xr:uid="{00000000-0004-0000-0100-00009C280000}"/>
    <hyperlink ref="I12476" r:id="rId10398" xr:uid="{00000000-0004-0000-0100-00009D280000}"/>
    <hyperlink ref="I12477" r:id="rId10399" xr:uid="{00000000-0004-0000-0100-00009E280000}"/>
    <hyperlink ref="I12478" r:id="rId10400" xr:uid="{00000000-0004-0000-0100-00009F280000}"/>
    <hyperlink ref="I12479" r:id="rId10401" xr:uid="{00000000-0004-0000-0100-0000A0280000}"/>
    <hyperlink ref="I12480" r:id="rId10402" xr:uid="{00000000-0004-0000-0100-0000A1280000}"/>
    <hyperlink ref="I12481" r:id="rId10403" xr:uid="{00000000-0004-0000-0100-0000A2280000}"/>
    <hyperlink ref="I12482" r:id="rId10404" xr:uid="{00000000-0004-0000-0100-0000A3280000}"/>
    <hyperlink ref="I12483" r:id="rId10405" xr:uid="{00000000-0004-0000-0100-0000A4280000}"/>
    <hyperlink ref="I12484" r:id="rId10406" xr:uid="{00000000-0004-0000-0100-0000A5280000}"/>
    <hyperlink ref="I12485" r:id="rId10407" xr:uid="{00000000-0004-0000-0100-0000A6280000}"/>
    <hyperlink ref="I12486" r:id="rId10408" xr:uid="{00000000-0004-0000-0100-0000A7280000}"/>
    <hyperlink ref="I12487" r:id="rId10409" xr:uid="{00000000-0004-0000-0100-0000A8280000}"/>
    <hyperlink ref="I12488" r:id="rId10410" xr:uid="{00000000-0004-0000-0100-0000A9280000}"/>
    <hyperlink ref="I12489" r:id="rId10411" xr:uid="{00000000-0004-0000-0100-0000AA280000}"/>
    <hyperlink ref="I12490" r:id="rId10412" xr:uid="{00000000-0004-0000-0100-0000AB280000}"/>
    <hyperlink ref="I12491" r:id="rId10413" xr:uid="{00000000-0004-0000-0100-0000AC280000}"/>
    <hyperlink ref="I12492" r:id="rId10414" xr:uid="{00000000-0004-0000-0100-0000AD280000}"/>
    <hyperlink ref="I12493" r:id="rId10415" xr:uid="{00000000-0004-0000-0100-0000AE280000}"/>
    <hyperlink ref="I12494" r:id="rId10416" xr:uid="{00000000-0004-0000-0100-0000AF280000}"/>
    <hyperlink ref="I12495" r:id="rId10417" xr:uid="{00000000-0004-0000-0100-0000B0280000}"/>
    <hyperlink ref="I12496" r:id="rId10418" xr:uid="{00000000-0004-0000-0100-0000B1280000}"/>
    <hyperlink ref="I12497" r:id="rId10419" xr:uid="{00000000-0004-0000-0100-0000B2280000}"/>
    <hyperlink ref="I12498" r:id="rId10420" xr:uid="{00000000-0004-0000-0100-0000B3280000}"/>
    <hyperlink ref="I12499" r:id="rId10421" xr:uid="{00000000-0004-0000-0100-0000B4280000}"/>
    <hyperlink ref="I12500" r:id="rId10422" xr:uid="{00000000-0004-0000-0100-0000B5280000}"/>
    <hyperlink ref="I12501" r:id="rId10423" xr:uid="{00000000-0004-0000-0100-0000B6280000}"/>
    <hyperlink ref="I12502" r:id="rId10424" xr:uid="{00000000-0004-0000-0100-0000B7280000}"/>
    <hyperlink ref="I12503" r:id="rId10425" xr:uid="{00000000-0004-0000-0100-0000B8280000}"/>
    <hyperlink ref="I12504" r:id="rId10426" xr:uid="{00000000-0004-0000-0100-0000B9280000}"/>
    <hyperlink ref="I12505" r:id="rId10427" xr:uid="{00000000-0004-0000-0100-0000BA280000}"/>
    <hyperlink ref="I12506" r:id="rId10428" xr:uid="{00000000-0004-0000-0100-0000BB280000}"/>
    <hyperlink ref="I12507" r:id="rId10429" xr:uid="{00000000-0004-0000-0100-0000BC280000}"/>
    <hyperlink ref="I12508" r:id="rId10430" xr:uid="{00000000-0004-0000-0100-0000BD280000}"/>
    <hyperlink ref="I12509" r:id="rId10431" xr:uid="{00000000-0004-0000-0100-0000BE280000}"/>
    <hyperlink ref="I12510" r:id="rId10432" xr:uid="{00000000-0004-0000-0100-0000BF280000}"/>
    <hyperlink ref="I12511" r:id="rId10433" xr:uid="{00000000-0004-0000-0100-0000C0280000}"/>
    <hyperlink ref="I12512" r:id="rId10434" xr:uid="{00000000-0004-0000-0100-0000C1280000}"/>
    <hyperlink ref="I12513" r:id="rId10435" xr:uid="{00000000-0004-0000-0100-0000C2280000}"/>
    <hyperlink ref="I12514" r:id="rId10436" xr:uid="{00000000-0004-0000-0100-0000C3280000}"/>
    <hyperlink ref="I12515" r:id="rId10437" xr:uid="{00000000-0004-0000-0100-0000C4280000}"/>
    <hyperlink ref="I12516" r:id="rId10438" xr:uid="{00000000-0004-0000-0100-0000C5280000}"/>
    <hyperlink ref="I12517" r:id="rId10439" xr:uid="{00000000-0004-0000-0100-0000C6280000}"/>
    <hyperlink ref="I12518" r:id="rId10440" xr:uid="{00000000-0004-0000-0100-0000C7280000}"/>
    <hyperlink ref="I12519" r:id="rId10441" xr:uid="{00000000-0004-0000-0100-0000C8280000}"/>
    <hyperlink ref="I12520" r:id="rId10442" xr:uid="{00000000-0004-0000-0100-0000C9280000}"/>
    <hyperlink ref="I12521" r:id="rId10443" xr:uid="{00000000-0004-0000-0100-0000CA280000}"/>
    <hyperlink ref="I12522" r:id="rId10444" xr:uid="{00000000-0004-0000-0100-0000CB280000}"/>
    <hyperlink ref="I12523" r:id="rId10445" xr:uid="{00000000-0004-0000-0100-0000CC280000}"/>
    <hyperlink ref="I12524" r:id="rId10446" xr:uid="{00000000-0004-0000-0100-0000CD280000}"/>
    <hyperlink ref="I12525" r:id="rId10447" xr:uid="{00000000-0004-0000-0100-0000CE280000}"/>
    <hyperlink ref="I12526" r:id="rId10448" xr:uid="{00000000-0004-0000-0100-0000CF280000}"/>
    <hyperlink ref="I12527" r:id="rId10449" xr:uid="{00000000-0004-0000-0100-0000D0280000}"/>
    <hyperlink ref="I12528" r:id="rId10450" xr:uid="{00000000-0004-0000-0100-0000D1280000}"/>
    <hyperlink ref="I12529" r:id="rId10451" xr:uid="{00000000-0004-0000-0100-0000D2280000}"/>
    <hyperlink ref="I12530" r:id="rId10452" xr:uid="{00000000-0004-0000-0100-0000D3280000}"/>
    <hyperlink ref="I12531" r:id="rId10453" xr:uid="{00000000-0004-0000-0100-0000D4280000}"/>
    <hyperlink ref="I12532" r:id="rId10454" xr:uid="{00000000-0004-0000-0100-0000D5280000}"/>
    <hyperlink ref="I12533" r:id="rId10455" xr:uid="{00000000-0004-0000-0100-0000D6280000}"/>
    <hyperlink ref="I12534" r:id="rId10456" xr:uid="{00000000-0004-0000-0100-0000D7280000}"/>
    <hyperlink ref="I12535" r:id="rId10457" xr:uid="{00000000-0004-0000-0100-0000D8280000}"/>
    <hyperlink ref="I12536" r:id="rId10458" xr:uid="{00000000-0004-0000-0100-0000D9280000}"/>
    <hyperlink ref="I12537" r:id="rId10459" xr:uid="{00000000-0004-0000-0100-0000DA280000}"/>
    <hyperlink ref="I12538" r:id="rId10460" xr:uid="{00000000-0004-0000-0100-0000DB280000}"/>
    <hyperlink ref="I12539" r:id="rId10461" xr:uid="{00000000-0004-0000-0100-0000DC280000}"/>
    <hyperlink ref="I12540" r:id="rId10462" xr:uid="{00000000-0004-0000-0100-0000DD280000}"/>
    <hyperlink ref="I12541" r:id="rId10463" xr:uid="{00000000-0004-0000-0100-0000DE280000}"/>
    <hyperlink ref="I12542" r:id="rId10464" xr:uid="{00000000-0004-0000-0100-0000DF280000}"/>
    <hyperlink ref="I12543" r:id="rId10465" xr:uid="{00000000-0004-0000-0100-0000E0280000}"/>
    <hyperlink ref="I12544" r:id="rId10466" xr:uid="{00000000-0004-0000-0100-0000E1280000}"/>
    <hyperlink ref="I12545" r:id="rId10467" xr:uid="{00000000-0004-0000-0100-0000E2280000}"/>
    <hyperlink ref="I12546" r:id="rId10468" xr:uid="{00000000-0004-0000-0100-0000E3280000}"/>
    <hyperlink ref="I12547" r:id="rId10469" xr:uid="{00000000-0004-0000-0100-0000E4280000}"/>
    <hyperlink ref="I12548" r:id="rId10470" xr:uid="{00000000-0004-0000-0100-0000E5280000}"/>
    <hyperlink ref="I12549" r:id="rId10471" xr:uid="{00000000-0004-0000-0100-0000E6280000}"/>
    <hyperlink ref="I12550" r:id="rId10472" xr:uid="{00000000-0004-0000-0100-0000E7280000}"/>
    <hyperlink ref="I12551" r:id="rId10473" xr:uid="{00000000-0004-0000-0100-0000E8280000}"/>
    <hyperlink ref="I12552" r:id="rId10474" xr:uid="{00000000-0004-0000-0100-0000E9280000}"/>
    <hyperlink ref="I12553" r:id="rId10475" xr:uid="{00000000-0004-0000-0100-0000EA280000}"/>
    <hyperlink ref="I12554" r:id="rId10476" xr:uid="{00000000-0004-0000-0100-0000EB280000}"/>
    <hyperlink ref="I12555" r:id="rId10477" xr:uid="{00000000-0004-0000-0100-0000EC280000}"/>
    <hyperlink ref="I12556" r:id="rId10478" xr:uid="{00000000-0004-0000-0100-0000ED280000}"/>
    <hyperlink ref="I12557" r:id="rId10479" xr:uid="{00000000-0004-0000-0100-0000EE280000}"/>
    <hyperlink ref="I12558" r:id="rId10480" xr:uid="{00000000-0004-0000-0100-0000EF280000}"/>
    <hyperlink ref="I12559" r:id="rId10481" xr:uid="{00000000-0004-0000-0100-0000F0280000}"/>
    <hyperlink ref="I12560" r:id="rId10482" xr:uid="{00000000-0004-0000-0100-0000F1280000}"/>
    <hyperlink ref="I12561" r:id="rId10483" xr:uid="{00000000-0004-0000-0100-0000F2280000}"/>
    <hyperlink ref="I12562" r:id="rId10484" xr:uid="{00000000-0004-0000-0100-0000F3280000}"/>
    <hyperlink ref="I12563" r:id="rId10485" xr:uid="{00000000-0004-0000-0100-0000F4280000}"/>
    <hyperlink ref="I12564" r:id="rId10486" xr:uid="{00000000-0004-0000-0100-0000F5280000}"/>
    <hyperlink ref="I12565" r:id="rId10487" xr:uid="{00000000-0004-0000-0100-0000F6280000}"/>
    <hyperlink ref="I12566" r:id="rId10488" xr:uid="{00000000-0004-0000-0100-0000F7280000}"/>
    <hyperlink ref="I12567" r:id="rId10489" xr:uid="{00000000-0004-0000-0100-0000F8280000}"/>
    <hyperlink ref="I12568" r:id="rId10490" xr:uid="{00000000-0004-0000-0100-0000F9280000}"/>
    <hyperlink ref="I12569" r:id="rId10491" xr:uid="{00000000-0004-0000-0100-0000FA280000}"/>
    <hyperlink ref="I12570" r:id="rId10492" xr:uid="{00000000-0004-0000-0100-0000FB280000}"/>
    <hyperlink ref="I12571" r:id="rId10493" xr:uid="{00000000-0004-0000-0100-0000FC280000}"/>
    <hyperlink ref="I12572" r:id="rId10494" xr:uid="{00000000-0004-0000-0100-0000FD280000}"/>
    <hyperlink ref="I12573" r:id="rId10495" xr:uid="{00000000-0004-0000-0100-0000FE280000}"/>
    <hyperlink ref="I12574" r:id="rId10496" xr:uid="{00000000-0004-0000-0100-0000FF280000}"/>
    <hyperlink ref="I12575" r:id="rId10497" xr:uid="{00000000-0004-0000-0100-000000290000}"/>
    <hyperlink ref="I12576" r:id="rId10498" xr:uid="{00000000-0004-0000-0100-000001290000}"/>
    <hyperlink ref="I12577" r:id="rId10499" xr:uid="{00000000-0004-0000-0100-000002290000}"/>
    <hyperlink ref="I12578" r:id="rId10500" xr:uid="{00000000-0004-0000-0100-000003290000}"/>
    <hyperlink ref="I12579" r:id="rId10501" xr:uid="{00000000-0004-0000-0100-000004290000}"/>
    <hyperlink ref="I12580" r:id="rId10502" xr:uid="{00000000-0004-0000-0100-000005290000}"/>
    <hyperlink ref="I12581" r:id="rId10503" xr:uid="{00000000-0004-0000-0100-000006290000}"/>
    <hyperlink ref="I12582" r:id="rId10504" xr:uid="{00000000-0004-0000-0100-000007290000}"/>
    <hyperlink ref="I12583" r:id="rId10505" xr:uid="{00000000-0004-0000-0100-000008290000}"/>
    <hyperlink ref="I12584" r:id="rId10506" xr:uid="{00000000-0004-0000-0100-000009290000}"/>
    <hyperlink ref="I12585" r:id="rId10507" xr:uid="{00000000-0004-0000-0100-00000A290000}"/>
    <hyperlink ref="I12586" r:id="rId10508" xr:uid="{00000000-0004-0000-0100-00000B290000}"/>
    <hyperlink ref="I12587" r:id="rId10509" xr:uid="{00000000-0004-0000-0100-00000C290000}"/>
    <hyperlink ref="I12588" r:id="rId10510" xr:uid="{00000000-0004-0000-0100-00000D290000}"/>
    <hyperlink ref="I12589" r:id="rId10511" xr:uid="{00000000-0004-0000-0100-00000E290000}"/>
    <hyperlink ref="I12590" r:id="rId10512" xr:uid="{00000000-0004-0000-0100-00000F290000}"/>
    <hyperlink ref="I12591" r:id="rId10513" xr:uid="{00000000-0004-0000-0100-000010290000}"/>
    <hyperlink ref="I12592" r:id="rId10514" xr:uid="{00000000-0004-0000-0100-000011290000}"/>
    <hyperlink ref="I12593" r:id="rId10515" xr:uid="{00000000-0004-0000-0100-000012290000}"/>
    <hyperlink ref="I12594" r:id="rId10516" xr:uid="{00000000-0004-0000-0100-000013290000}"/>
    <hyperlink ref="I12595" r:id="rId10517" xr:uid="{00000000-0004-0000-0100-000014290000}"/>
    <hyperlink ref="I12596" r:id="rId10518" xr:uid="{00000000-0004-0000-0100-000015290000}"/>
    <hyperlink ref="I12597" r:id="rId10519" xr:uid="{00000000-0004-0000-0100-000016290000}"/>
    <hyperlink ref="I12598" r:id="rId10520" xr:uid="{00000000-0004-0000-0100-000017290000}"/>
    <hyperlink ref="I12599" r:id="rId10521" xr:uid="{00000000-0004-0000-0100-000018290000}"/>
    <hyperlink ref="I12600" r:id="rId10522" xr:uid="{00000000-0004-0000-0100-000019290000}"/>
    <hyperlink ref="I12601" r:id="rId10523" xr:uid="{00000000-0004-0000-0100-00001A290000}"/>
    <hyperlink ref="I12602" r:id="rId10524" xr:uid="{00000000-0004-0000-0100-00001B290000}"/>
    <hyperlink ref="I12603" r:id="rId10525" xr:uid="{00000000-0004-0000-0100-00001C290000}"/>
    <hyperlink ref="I12604" r:id="rId10526" xr:uid="{00000000-0004-0000-0100-00001D290000}"/>
    <hyperlink ref="I12605" r:id="rId10527" xr:uid="{00000000-0004-0000-0100-00001E290000}"/>
    <hyperlink ref="I12606" r:id="rId10528" xr:uid="{00000000-0004-0000-0100-00001F290000}"/>
    <hyperlink ref="I12607" r:id="rId10529" xr:uid="{00000000-0004-0000-0100-000020290000}"/>
    <hyperlink ref="I12608" r:id="rId10530" xr:uid="{00000000-0004-0000-0100-000021290000}"/>
    <hyperlink ref="I12609" r:id="rId10531" xr:uid="{00000000-0004-0000-0100-000022290000}"/>
    <hyperlink ref="I12610" r:id="rId10532" xr:uid="{00000000-0004-0000-0100-000023290000}"/>
    <hyperlink ref="I12611" r:id="rId10533" xr:uid="{00000000-0004-0000-0100-000024290000}"/>
    <hyperlink ref="I12612" r:id="rId10534" xr:uid="{00000000-0004-0000-0100-000025290000}"/>
    <hyperlink ref="I12613" r:id="rId10535" xr:uid="{00000000-0004-0000-0100-000026290000}"/>
    <hyperlink ref="I12614" r:id="rId10536" xr:uid="{00000000-0004-0000-0100-000027290000}"/>
    <hyperlink ref="I12615" r:id="rId10537" xr:uid="{00000000-0004-0000-0100-000028290000}"/>
    <hyperlink ref="I12616" r:id="rId10538" xr:uid="{00000000-0004-0000-0100-000029290000}"/>
    <hyperlink ref="I12617" r:id="rId10539" xr:uid="{00000000-0004-0000-0100-00002A290000}"/>
    <hyperlink ref="I12618" r:id="rId10540" xr:uid="{00000000-0004-0000-0100-00002B290000}"/>
    <hyperlink ref="I12619" r:id="rId10541" xr:uid="{00000000-0004-0000-0100-00002C290000}"/>
    <hyperlink ref="I12620" r:id="rId10542" xr:uid="{00000000-0004-0000-0100-00002D290000}"/>
    <hyperlink ref="I12621" r:id="rId10543" xr:uid="{00000000-0004-0000-0100-00002E290000}"/>
    <hyperlink ref="I12622" r:id="rId10544" xr:uid="{00000000-0004-0000-0100-00002F290000}"/>
    <hyperlink ref="I12623" r:id="rId10545" xr:uid="{00000000-0004-0000-0100-000030290000}"/>
    <hyperlink ref="I12624" r:id="rId10546" xr:uid="{00000000-0004-0000-0100-000031290000}"/>
    <hyperlink ref="I12625" r:id="rId10547" xr:uid="{00000000-0004-0000-0100-000032290000}"/>
    <hyperlink ref="I12626" r:id="rId10548" xr:uid="{00000000-0004-0000-0100-000033290000}"/>
    <hyperlink ref="I12627" r:id="rId10549" xr:uid="{00000000-0004-0000-0100-000034290000}"/>
    <hyperlink ref="I12628" r:id="rId10550" xr:uid="{00000000-0004-0000-0100-000035290000}"/>
    <hyperlink ref="I12629" r:id="rId10551" xr:uid="{00000000-0004-0000-0100-000036290000}"/>
    <hyperlink ref="I12630" r:id="rId10552" xr:uid="{00000000-0004-0000-0100-000037290000}"/>
    <hyperlink ref="I12631" r:id="rId10553" xr:uid="{00000000-0004-0000-0100-000038290000}"/>
    <hyperlink ref="I12632" r:id="rId10554" xr:uid="{00000000-0004-0000-0100-000039290000}"/>
    <hyperlink ref="I12633" r:id="rId10555" xr:uid="{00000000-0004-0000-0100-00003A290000}"/>
    <hyperlink ref="I12634" r:id="rId10556" xr:uid="{00000000-0004-0000-0100-00003B290000}"/>
    <hyperlink ref="I12635" r:id="rId10557" xr:uid="{00000000-0004-0000-0100-00003C290000}"/>
    <hyperlink ref="I12636" r:id="rId10558" xr:uid="{00000000-0004-0000-0100-00003D290000}"/>
    <hyperlink ref="I12637" r:id="rId10559" xr:uid="{00000000-0004-0000-0100-00003E290000}"/>
    <hyperlink ref="I12638" r:id="rId10560" xr:uid="{00000000-0004-0000-0100-00003F290000}"/>
    <hyperlink ref="I12639" r:id="rId10561" xr:uid="{00000000-0004-0000-0100-000040290000}"/>
    <hyperlink ref="I12640" r:id="rId10562" xr:uid="{00000000-0004-0000-0100-000041290000}"/>
    <hyperlink ref="I12641" r:id="rId10563" xr:uid="{00000000-0004-0000-0100-000042290000}"/>
    <hyperlink ref="I12642" r:id="rId10564" xr:uid="{00000000-0004-0000-0100-000043290000}"/>
    <hyperlink ref="I12643" r:id="rId10565" xr:uid="{00000000-0004-0000-0100-000044290000}"/>
    <hyperlink ref="I12644" r:id="rId10566" xr:uid="{00000000-0004-0000-0100-000045290000}"/>
    <hyperlink ref="I12645" r:id="rId10567" xr:uid="{00000000-0004-0000-0100-000046290000}"/>
    <hyperlink ref="I12646" r:id="rId10568" xr:uid="{00000000-0004-0000-0100-000047290000}"/>
    <hyperlink ref="I12647" r:id="rId10569" xr:uid="{00000000-0004-0000-0100-000048290000}"/>
    <hyperlink ref="I12648" r:id="rId10570" xr:uid="{00000000-0004-0000-0100-000049290000}"/>
    <hyperlink ref="I12649" r:id="rId10571" xr:uid="{00000000-0004-0000-0100-00004A290000}"/>
    <hyperlink ref="I12650" r:id="rId10572" xr:uid="{00000000-0004-0000-0100-00004B290000}"/>
    <hyperlink ref="I12651" r:id="rId10573" xr:uid="{00000000-0004-0000-0100-00004C290000}"/>
    <hyperlink ref="I12652" r:id="rId10574" xr:uid="{00000000-0004-0000-0100-00004D290000}"/>
    <hyperlink ref="I12653" r:id="rId10575" xr:uid="{00000000-0004-0000-0100-00004E290000}"/>
    <hyperlink ref="I12654" r:id="rId10576" xr:uid="{00000000-0004-0000-0100-00004F290000}"/>
    <hyperlink ref="I12655" r:id="rId10577" xr:uid="{00000000-0004-0000-0100-000050290000}"/>
    <hyperlink ref="I12656" r:id="rId10578" xr:uid="{00000000-0004-0000-0100-000051290000}"/>
    <hyperlink ref="I12657" r:id="rId10579" xr:uid="{00000000-0004-0000-0100-000052290000}"/>
    <hyperlink ref="I12658" r:id="rId10580" xr:uid="{00000000-0004-0000-0100-000053290000}"/>
    <hyperlink ref="I12659" r:id="rId10581" xr:uid="{00000000-0004-0000-0100-000054290000}"/>
    <hyperlink ref="I12660" r:id="rId10582" xr:uid="{00000000-0004-0000-0100-000055290000}"/>
    <hyperlink ref="I12661" r:id="rId10583" xr:uid="{00000000-0004-0000-0100-000056290000}"/>
    <hyperlink ref="I12662" r:id="rId10584" xr:uid="{00000000-0004-0000-0100-000057290000}"/>
    <hyperlink ref="I12663" r:id="rId10585" xr:uid="{00000000-0004-0000-0100-000058290000}"/>
    <hyperlink ref="I12664" r:id="rId10586" xr:uid="{00000000-0004-0000-0100-000059290000}"/>
    <hyperlink ref="I12665" r:id="rId10587" xr:uid="{00000000-0004-0000-0100-00005A290000}"/>
    <hyperlink ref="I12666" r:id="rId10588" xr:uid="{00000000-0004-0000-0100-00005B290000}"/>
    <hyperlink ref="I12667" r:id="rId10589" xr:uid="{00000000-0004-0000-0100-00005C290000}"/>
    <hyperlink ref="I12668" r:id="rId10590" xr:uid="{00000000-0004-0000-0100-00005D290000}"/>
    <hyperlink ref="I12669" r:id="rId10591" xr:uid="{00000000-0004-0000-0100-00005E290000}"/>
    <hyperlink ref="I12670" r:id="rId10592" xr:uid="{00000000-0004-0000-0100-00005F290000}"/>
    <hyperlink ref="I12671" r:id="rId10593" xr:uid="{00000000-0004-0000-0100-000060290000}"/>
    <hyperlink ref="I12672" r:id="rId10594" xr:uid="{00000000-0004-0000-0100-000061290000}"/>
    <hyperlink ref="I12673" r:id="rId10595" xr:uid="{00000000-0004-0000-0100-000062290000}"/>
    <hyperlink ref="I12674" r:id="rId10596" xr:uid="{00000000-0004-0000-0100-000063290000}"/>
    <hyperlink ref="I12675" r:id="rId10597" xr:uid="{00000000-0004-0000-0100-000064290000}"/>
    <hyperlink ref="I12676" r:id="rId10598" xr:uid="{00000000-0004-0000-0100-000065290000}"/>
    <hyperlink ref="I12677" r:id="rId10599" xr:uid="{00000000-0004-0000-0100-000066290000}"/>
    <hyperlink ref="I12678" r:id="rId10600" xr:uid="{00000000-0004-0000-0100-000067290000}"/>
    <hyperlink ref="I12679" r:id="rId10601" xr:uid="{00000000-0004-0000-0100-000068290000}"/>
    <hyperlink ref="I12680" r:id="rId10602" xr:uid="{00000000-0004-0000-0100-000069290000}"/>
    <hyperlink ref="I12681" r:id="rId10603" xr:uid="{00000000-0004-0000-0100-00006A290000}"/>
    <hyperlink ref="I12682" r:id="rId10604" xr:uid="{00000000-0004-0000-0100-00006B290000}"/>
    <hyperlink ref="I12683" r:id="rId10605" xr:uid="{00000000-0004-0000-0100-00006C290000}"/>
    <hyperlink ref="I12684" r:id="rId10606" xr:uid="{00000000-0004-0000-0100-00006D290000}"/>
    <hyperlink ref="I12685" r:id="rId10607" xr:uid="{00000000-0004-0000-0100-00006E290000}"/>
    <hyperlink ref="I12686" r:id="rId10608" xr:uid="{00000000-0004-0000-0100-00006F290000}"/>
    <hyperlink ref="I12687" r:id="rId10609" xr:uid="{00000000-0004-0000-0100-000070290000}"/>
    <hyperlink ref="I12688" r:id="rId10610" xr:uid="{00000000-0004-0000-0100-000071290000}"/>
    <hyperlink ref="I12689" r:id="rId10611" xr:uid="{00000000-0004-0000-0100-000072290000}"/>
    <hyperlink ref="I12690" r:id="rId10612" xr:uid="{00000000-0004-0000-0100-000073290000}"/>
    <hyperlink ref="I12691" r:id="rId10613" xr:uid="{00000000-0004-0000-0100-000074290000}"/>
    <hyperlink ref="I12692" r:id="rId10614" xr:uid="{00000000-0004-0000-0100-000075290000}"/>
    <hyperlink ref="I12693" r:id="rId10615" xr:uid="{00000000-0004-0000-0100-000076290000}"/>
    <hyperlink ref="I12694" r:id="rId10616" xr:uid="{00000000-0004-0000-0100-000077290000}"/>
    <hyperlink ref="I12695" r:id="rId10617" xr:uid="{00000000-0004-0000-0100-000078290000}"/>
    <hyperlink ref="I12696" r:id="rId10618" xr:uid="{00000000-0004-0000-0100-000079290000}"/>
    <hyperlink ref="I12697" r:id="rId10619" xr:uid="{00000000-0004-0000-0100-00007A290000}"/>
    <hyperlink ref="I12698" r:id="rId10620" xr:uid="{00000000-0004-0000-0100-00007B290000}"/>
    <hyperlink ref="I12699" r:id="rId10621" xr:uid="{00000000-0004-0000-0100-00007C290000}"/>
    <hyperlink ref="I12700" r:id="rId10622" xr:uid="{00000000-0004-0000-0100-00007D290000}"/>
    <hyperlink ref="I12701" r:id="rId10623" xr:uid="{00000000-0004-0000-0100-00007E290000}"/>
    <hyperlink ref="I12702" r:id="rId10624" xr:uid="{00000000-0004-0000-0100-00007F290000}"/>
    <hyperlink ref="I12703" r:id="rId10625" xr:uid="{00000000-0004-0000-0100-000080290000}"/>
    <hyperlink ref="I12704" r:id="rId10626" xr:uid="{00000000-0004-0000-0100-000081290000}"/>
    <hyperlink ref="I12705" r:id="rId10627" xr:uid="{00000000-0004-0000-0100-000082290000}"/>
    <hyperlink ref="I12706" r:id="rId10628" xr:uid="{00000000-0004-0000-0100-000083290000}"/>
    <hyperlink ref="I12707" r:id="rId10629" xr:uid="{00000000-0004-0000-0100-000084290000}"/>
    <hyperlink ref="I12708" r:id="rId10630" xr:uid="{00000000-0004-0000-0100-000085290000}"/>
    <hyperlink ref="I12709" r:id="rId10631" xr:uid="{00000000-0004-0000-0100-000086290000}"/>
    <hyperlink ref="I12710" r:id="rId10632" xr:uid="{00000000-0004-0000-0100-000087290000}"/>
    <hyperlink ref="I12711" r:id="rId10633" xr:uid="{00000000-0004-0000-0100-000088290000}"/>
    <hyperlink ref="I12712" r:id="rId10634" xr:uid="{00000000-0004-0000-0100-000089290000}"/>
    <hyperlink ref="I12713" r:id="rId10635" xr:uid="{00000000-0004-0000-0100-00008A290000}"/>
    <hyperlink ref="I12714" r:id="rId10636" xr:uid="{00000000-0004-0000-0100-00008B290000}"/>
    <hyperlink ref="I12715" r:id="rId10637" xr:uid="{00000000-0004-0000-0100-00008C290000}"/>
    <hyperlink ref="I12716" r:id="rId10638" xr:uid="{00000000-0004-0000-0100-00008D290000}"/>
    <hyperlink ref="I12717" r:id="rId10639" xr:uid="{00000000-0004-0000-0100-00008E290000}"/>
    <hyperlink ref="I12718" r:id="rId10640" xr:uid="{00000000-0004-0000-0100-00008F290000}"/>
    <hyperlink ref="I12719" r:id="rId10641" xr:uid="{00000000-0004-0000-0100-000090290000}"/>
    <hyperlink ref="I12720" r:id="rId10642" xr:uid="{00000000-0004-0000-0100-000091290000}"/>
    <hyperlink ref="I12721" r:id="rId10643" xr:uid="{00000000-0004-0000-0100-000092290000}"/>
    <hyperlink ref="I12722" r:id="rId10644" xr:uid="{00000000-0004-0000-0100-000093290000}"/>
    <hyperlink ref="I12723" r:id="rId10645" xr:uid="{00000000-0004-0000-0100-000094290000}"/>
    <hyperlink ref="I12724" r:id="rId10646" xr:uid="{00000000-0004-0000-0100-000095290000}"/>
    <hyperlink ref="I12725" r:id="rId10647" xr:uid="{00000000-0004-0000-0100-000096290000}"/>
    <hyperlink ref="I12726" r:id="rId10648" xr:uid="{00000000-0004-0000-0100-000097290000}"/>
    <hyperlink ref="I12727" r:id="rId10649" xr:uid="{00000000-0004-0000-0100-000098290000}"/>
    <hyperlink ref="I12728" r:id="rId10650" xr:uid="{00000000-0004-0000-0100-000099290000}"/>
    <hyperlink ref="I12729" r:id="rId10651" xr:uid="{00000000-0004-0000-0100-00009A290000}"/>
    <hyperlink ref="I12730" r:id="rId10652" xr:uid="{00000000-0004-0000-0100-00009B290000}"/>
    <hyperlink ref="I12731" r:id="rId10653" xr:uid="{00000000-0004-0000-0100-00009C290000}"/>
    <hyperlink ref="I12732" r:id="rId10654" xr:uid="{00000000-0004-0000-0100-00009D290000}"/>
    <hyperlink ref="I12733" r:id="rId10655" xr:uid="{00000000-0004-0000-0100-00009E290000}"/>
    <hyperlink ref="I12734" r:id="rId10656" xr:uid="{00000000-0004-0000-0100-00009F290000}"/>
    <hyperlink ref="I12735" r:id="rId10657" xr:uid="{00000000-0004-0000-0100-0000A0290000}"/>
    <hyperlink ref="I12736" r:id="rId10658" xr:uid="{00000000-0004-0000-0100-0000A1290000}"/>
    <hyperlink ref="I12737" r:id="rId10659" xr:uid="{00000000-0004-0000-0100-0000A2290000}"/>
    <hyperlink ref="I12738" r:id="rId10660" xr:uid="{00000000-0004-0000-0100-0000A3290000}"/>
    <hyperlink ref="I12739" r:id="rId10661" xr:uid="{00000000-0004-0000-0100-0000A4290000}"/>
    <hyperlink ref="I12740" r:id="rId10662" xr:uid="{00000000-0004-0000-0100-0000A5290000}"/>
    <hyperlink ref="I12741" r:id="rId10663" xr:uid="{00000000-0004-0000-0100-0000A6290000}"/>
    <hyperlink ref="I12742" r:id="rId10664" xr:uid="{00000000-0004-0000-0100-0000A7290000}"/>
    <hyperlink ref="I12743" r:id="rId10665" xr:uid="{00000000-0004-0000-0100-0000A8290000}"/>
    <hyperlink ref="I12744" r:id="rId10666" xr:uid="{00000000-0004-0000-0100-0000A9290000}"/>
    <hyperlink ref="I12745" r:id="rId10667" xr:uid="{00000000-0004-0000-0100-0000AA290000}"/>
    <hyperlink ref="I12746" r:id="rId10668" xr:uid="{00000000-0004-0000-0100-0000AB290000}"/>
    <hyperlink ref="I12747" r:id="rId10669" xr:uid="{00000000-0004-0000-0100-0000AC290000}"/>
    <hyperlink ref="I12748" r:id="rId10670" xr:uid="{00000000-0004-0000-0100-0000AD290000}"/>
    <hyperlink ref="I12749" r:id="rId10671" xr:uid="{00000000-0004-0000-0100-0000AE290000}"/>
    <hyperlink ref="I12750" r:id="rId10672" xr:uid="{00000000-0004-0000-0100-0000AF290000}"/>
    <hyperlink ref="I12751" r:id="rId10673" xr:uid="{00000000-0004-0000-0100-0000B0290000}"/>
    <hyperlink ref="I12752" r:id="rId10674" xr:uid="{00000000-0004-0000-0100-0000B1290000}"/>
    <hyperlink ref="I12753" r:id="rId10675" xr:uid="{00000000-0004-0000-0100-0000B2290000}"/>
    <hyperlink ref="I12754" r:id="rId10676" xr:uid="{00000000-0004-0000-0100-0000B3290000}"/>
    <hyperlink ref="I12755" r:id="rId10677" xr:uid="{00000000-0004-0000-0100-0000B4290000}"/>
    <hyperlink ref="I12756" r:id="rId10678" xr:uid="{00000000-0004-0000-0100-0000B5290000}"/>
    <hyperlink ref="I12757" r:id="rId10679" xr:uid="{00000000-0004-0000-0100-0000B6290000}"/>
    <hyperlink ref="I12758" r:id="rId10680" xr:uid="{00000000-0004-0000-0100-0000B7290000}"/>
    <hyperlink ref="I12759" r:id="rId10681" xr:uid="{00000000-0004-0000-0100-0000B8290000}"/>
    <hyperlink ref="I12760" r:id="rId10682" xr:uid="{00000000-0004-0000-0100-0000B9290000}"/>
    <hyperlink ref="I12761" r:id="rId10683" xr:uid="{00000000-0004-0000-0100-0000BA290000}"/>
    <hyperlink ref="I12762" r:id="rId10684" xr:uid="{00000000-0004-0000-0100-0000BB290000}"/>
    <hyperlink ref="I12763" r:id="rId10685" xr:uid="{00000000-0004-0000-0100-0000BC290000}"/>
    <hyperlink ref="I12764" r:id="rId10686" xr:uid="{00000000-0004-0000-0100-0000BD290000}"/>
    <hyperlink ref="I12765" r:id="rId10687" xr:uid="{00000000-0004-0000-0100-0000BE290000}"/>
    <hyperlink ref="I12766" r:id="rId10688" xr:uid="{00000000-0004-0000-0100-0000BF290000}"/>
    <hyperlink ref="I12767" r:id="rId10689" xr:uid="{00000000-0004-0000-0100-0000C0290000}"/>
    <hyperlink ref="I12768" r:id="rId10690" xr:uid="{00000000-0004-0000-0100-0000C1290000}"/>
    <hyperlink ref="I12769" r:id="rId10691" xr:uid="{00000000-0004-0000-0100-0000C2290000}"/>
    <hyperlink ref="I12770" r:id="rId10692" xr:uid="{00000000-0004-0000-0100-0000C3290000}"/>
    <hyperlink ref="I12771" r:id="rId10693" xr:uid="{00000000-0004-0000-0100-0000C4290000}"/>
    <hyperlink ref="I12772" r:id="rId10694" xr:uid="{00000000-0004-0000-0100-0000C5290000}"/>
    <hyperlink ref="I12773" r:id="rId10695" xr:uid="{00000000-0004-0000-0100-0000C6290000}"/>
    <hyperlink ref="I12774" r:id="rId10696" xr:uid="{00000000-0004-0000-0100-0000C7290000}"/>
    <hyperlink ref="I12775" r:id="rId10697" xr:uid="{00000000-0004-0000-0100-0000C8290000}"/>
    <hyperlink ref="I12776" r:id="rId10698" xr:uid="{00000000-0004-0000-0100-0000C9290000}"/>
    <hyperlink ref="I12777" r:id="rId10699" xr:uid="{00000000-0004-0000-0100-0000CA290000}"/>
    <hyperlink ref="I12778" r:id="rId10700" xr:uid="{00000000-0004-0000-0100-0000CB290000}"/>
    <hyperlink ref="I12779" r:id="rId10701" xr:uid="{00000000-0004-0000-0100-0000CC290000}"/>
    <hyperlink ref="I12780" r:id="rId10702" xr:uid="{00000000-0004-0000-0100-0000CD290000}"/>
    <hyperlink ref="I12781" r:id="rId10703" xr:uid="{00000000-0004-0000-0100-0000CE290000}"/>
    <hyperlink ref="I12782" r:id="rId10704" xr:uid="{00000000-0004-0000-0100-0000CF290000}"/>
    <hyperlink ref="I12783" r:id="rId10705" xr:uid="{00000000-0004-0000-0100-0000D0290000}"/>
    <hyperlink ref="I12784" r:id="rId10706" xr:uid="{00000000-0004-0000-0100-0000D1290000}"/>
    <hyperlink ref="I12785" r:id="rId10707" xr:uid="{00000000-0004-0000-0100-0000D2290000}"/>
    <hyperlink ref="I12786" r:id="rId10708" xr:uid="{00000000-0004-0000-0100-0000D3290000}"/>
    <hyperlink ref="I12787" r:id="rId10709" xr:uid="{00000000-0004-0000-0100-0000D4290000}"/>
    <hyperlink ref="I12788" r:id="rId10710" xr:uid="{00000000-0004-0000-0100-0000D5290000}"/>
    <hyperlink ref="I12789" r:id="rId10711" xr:uid="{00000000-0004-0000-0100-0000D6290000}"/>
    <hyperlink ref="I12790" r:id="rId10712" xr:uid="{00000000-0004-0000-0100-0000D7290000}"/>
    <hyperlink ref="I12791" r:id="rId10713" xr:uid="{00000000-0004-0000-0100-0000D8290000}"/>
    <hyperlink ref="I12792" r:id="rId10714" xr:uid="{00000000-0004-0000-0100-0000D9290000}"/>
    <hyperlink ref="I12793" r:id="rId10715" xr:uid="{00000000-0004-0000-0100-0000DA290000}"/>
    <hyperlink ref="I12794" r:id="rId10716" xr:uid="{00000000-0004-0000-0100-0000DB290000}"/>
    <hyperlink ref="I12795" r:id="rId10717" xr:uid="{00000000-0004-0000-0100-0000DC290000}"/>
    <hyperlink ref="I12796" r:id="rId10718" xr:uid="{00000000-0004-0000-0100-0000DD290000}"/>
    <hyperlink ref="I12797" r:id="rId10719" xr:uid="{00000000-0004-0000-0100-0000DE290000}"/>
    <hyperlink ref="I12798" r:id="rId10720" xr:uid="{00000000-0004-0000-0100-0000DF290000}"/>
    <hyperlink ref="I12799" r:id="rId10721" xr:uid="{00000000-0004-0000-0100-0000E0290000}"/>
    <hyperlink ref="I12800" r:id="rId10722" xr:uid="{00000000-0004-0000-0100-0000E1290000}"/>
    <hyperlink ref="I12801" r:id="rId10723" xr:uid="{00000000-0004-0000-0100-0000E2290000}"/>
    <hyperlink ref="I12802" r:id="rId10724" xr:uid="{00000000-0004-0000-0100-0000E3290000}"/>
    <hyperlink ref="I12803" r:id="rId10725" xr:uid="{00000000-0004-0000-0100-0000E4290000}"/>
    <hyperlink ref="I12804" r:id="rId10726" xr:uid="{00000000-0004-0000-0100-0000E5290000}"/>
    <hyperlink ref="I12805" r:id="rId10727" xr:uid="{00000000-0004-0000-0100-0000E6290000}"/>
    <hyperlink ref="I12806" r:id="rId10728" xr:uid="{00000000-0004-0000-0100-0000E7290000}"/>
    <hyperlink ref="I12807" r:id="rId10729" xr:uid="{00000000-0004-0000-0100-0000E8290000}"/>
    <hyperlink ref="I12808" r:id="rId10730" xr:uid="{00000000-0004-0000-0100-0000E9290000}"/>
    <hyperlink ref="I12809" r:id="rId10731" xr:uid="{00000000-0004-0000-0100-0000EA290000}"/>
    <hyperlink ref="I12810" r:id="rId10732" xr:uid="{00000000-0004-0000-0100-0000EB290000}"/>
    <hyperlink ref="I12811" r:id="rId10733" xr:uid="{00000000-0004-0000-0100-0000EC290000}"/>
    <hyperlink ref="I12812" r:id="rId10734" xr:uid="{00000000-0004-0000-0100-0000ED290000}"/>
    <hyperlink ref="I12813" r:id="rId10735" xr:uid="{00000000-0004-0000-0100-0000EE290000}"/>
    <hyperlink ref="I12814" r:id="rId10736" xr:uid="{00000000-0004-0000-0100-0000EF290000}"/>
    <hyperlink ref="I12815" r:id="rId10737" xr:uid="{00000000-0004-0000-0100-0000F0290000}"/>
    <hyperlink ref="I12816" r:id="rId10738" xr:uid="{00000000-0004-0000-0100-0000F1290000}"/>
    <hyperlink ref="I12817" r:id="rId10739" xr:uid="{00000000-0004-0000-0100-0000F2290000}"/>
    <hyperlink ref="I12818" r:id="rId10740" xr:uid="{00000000-0004-0000-0100-0000F3290000}"/>
    <hyperlink ref="I12819" r:id="rId10741" xr:uid="{00000000-0004-0000-0100-0000F4290000}"/>
    <hyperlink ref="I12820" r:id="rId10742" xr:uid="{00000000-0004-0000-0100-0000F5290000}"/>
    <hyperlink ref="I12821" r:id="rId10743" xr:uid="{00000000-0004-0000-0100-0000F6290000}"/>
    <hyperlink ref="I12822" r:id="rId10744" xr:uid="{00000000-0004-0000-0100-0000F7290000}"/>
    <hyperlink ref="I12823" r:id="rId10745" xr:uid="{00000000-0004-0000-0100-0000F8290000}"/>
    <hyperlink ref="I12824" r:id="rId10746" xr:uid="{00000000-0004-0000-0100-0000F9290000}"/>
    <hyperlink ref="I12825" r:id="rId10747" xr:uid="{00000000-0004-0000-0100-0000FA290000}"/>
    <hyperlink ref="I12826" r:id="rId10748" xr:uid="{00000000-0004-0000-0100-0000FB290000}"/>
    <hyperlink ref="I12827" r:id="rId10749" xr:uid="{00000000-0004-0000-0100-0000FC290000}"/>
    <hyperlink ref="I12828" r:id="rId10750" xr:uid="{00000000-0004-0000-0100-0000FD290000}"/>
    <hyperlink ref="I12829" r:id="rId10751" xr:uid="{00000000-0004-0000-0100-0000FE290000}"/>
    <hyperlink ref="I12830" r:id="rId10752" xr:uid="{00000000-0004-0000-0100-0000FF290000}"/>
    <hyperlink ref="I12831" r:id="rId10753" xr:uid="{00000000-0004-0000-0100-0000002A0000}"/>
    <hyperlink ref="I12832" r:id="rId10754" xr:uid="{00000000-0004-0000-0100-0000012A0000}"/>
    <hyperlink ref="I12833" r:id="rId10755" xr:uid="{00000000-0004-0000-0100-0000022A0000}"/>
    <hyperlink ref="I12834" r:id="rId10756" xr:uid="{00000000-0004-0000-0100-0000032A0000}"/>
    <hyperlink ref="I12835" r:id="rId10757" xr:uid="{00000000-0004-0000-0100-0000042A0000}"/>
    <hyperlink ref="I12836" r:id="rId10758" xr:uid="{00000000-0004-0000-0100-0000052A0000}"/>
    <hyperlink ref="I12837" r:id="rId10759" xr:uid="{00000000-0004-0000-0100-0000062A0000}"/>
    <hyperlink ref="I12838" r:id="rId10760" xr:uid="{00000000-0004-0000-0100-0000072A0000}"/>
    <hyperlink ref="I12839" r:id="rId10761" xr:uid="{00000000-0004-0000-0100-0000082A0000}"/>
    <hyperlink ref="I12840" r:id="rId10762" xr:uid="{00000000-0004-0000-0100-0000092A0000}"/>
    <hyperlink ref="I12841" r:id="rId10763" xr:uid="{00000000-0004-0000-0100-00000A2A0000}"/>
    <hyperlink ref="I12842" r:id="rId10764" xr:uid="{00000000-0004-0000-0100-00000B2A0000}"/>
    <hyperlink ref="I12843" r:id="rId10765" xr:uid="{00000000-0004-0000-0100-00000C2A0000}"/>
    <hyperlink ref="I12844" r:id="rId10766" xr:uid="{00000000-0004-0000-0100-00000D2A0000}"/>
    <hyperlink ref="I12845" r:id="rId10767" xr:uid="{00000000-0004-0000-0100-00000E2A0000}"/>
    <hyperlink ref="I12846" r:id="rId10768" xr:uid="{00000000-0004-0000-0100-00000F2A0000}"/>
    <hyperlink ref="I12847" r:id="rId10769" xr:uid="{00000000-0004-0000-0100-0000102A0000}"/>
    <hyperlink ref="I12848" r:id="rId10770" xr:uid="{00000000-0004-0000-0100-0000112A0000}"/>
    <hyperlink ref="I12849" r:id="rId10771" xr:uid="{00000000-0004-0000-0100-0000122A0000}"/>
    <hyperlink ref="I12850" r:id="rId10772" xr:uid="{00000000-0004-0000-0100-0000132A0000}"/>
    <hyperlink ref="I12851" r:id="rId10773" xr:uid="{00000000-0004-0000-0100-0000142A0000}"/>
    <hyperlink ref="I12852" r:id="rId10774" xr:uid="{00000000-0004-0000-0100-0000152A0000}"/>
    <hyperlink ref="I12853" r:id="rId10775" xr:uid="{00000000-0004-0000-0100-0000162A0000}"/>
    <hyperlink ref="I12854" r:id="rId10776" xr:uid="{00000000-0004-0000-0100-0000172A0000}"/>
    <hyperlink ref="I12855" r:id="rId10777" xr:uid="{00000000-0004-0000-0100-0000182A0000}"/>
    <hyperlink ref="I12856" r:id="rId10778" xr:uid="{00000000-0004-0000-0100-0000192A0000}"/>
    <hyperlink ref="I12857" r:id="rId10779" xr:uid="{00000000-0004-0000-0100-00001A2A0000}"/>
    <hyperlink ref="I12858" r:id="rId10780" xr:uid="{00000000-0004-0000-0100-00001B2A0000}"/>
    <hyperlink ref="I12859" r:id="rId10781" xr:uid="{00000000-0004-0000-0100-00001C2A0000}"/>
    <hyperlink ref="I12860" r:id="rId10782" xr:uid="{00000000-0004-0000-0100-00001D2A0000}"/>
    <hyperlink ref="I12861" r:id="rId10783" xr:uid="{00000000-0004-0000-0100-00001E2A0000}"/>
    <hyperlink ref="I12862" r:id="rId10784" xr:uid="{00000000-0004-0000-0100-00001F2A0000}"/>
    <hyperlink ref="I12863" r:id="rId10785" xr:uid="{00000000-0004-0000-0100-0000202A0000}"/>
    <hyperlink ref="I12864" r:id="rId10786" xr:uid="{00000000-0004-0000-0100-0000212A0000}"/>
    <hyperlink ref="I12865" r:id="rId10787" xr:uid="{00000000-0004-0000-0100-0000222A0000}"/>
    <hyperlink ref="I12866" r:id="rId10788" xr:uid="{00000000-0004-0000-0100-0000232A0000}"/>
    <hyperlink ref="I12867" r:id="rId10789" xr:uid="{00000000-0004-0000-0100-0000242A0000}"/>
    <hyperlink ref="I12868" r:id="rId10790" xr:uid="{00000000-0004-0000-0100-0000252A0000}"/>
    <hyperlink ref="I12869" r:id="rId10791" xr:uid="{00000000-0004-0000-0100-0000262A0000}"/>
    <hyperlink ref="I12870" r:id="rId10792" xr:uid="{00000000-0004-0000-0100-0000272A0000}"/>
    <hyperlink ref="I12871" r:id="rId10793" xr:uid="{00000000-0004-0000-0100-0000282A0000}"/>
    <hyperlink ref="I12872" r:id="rId10794" xr:uid="{00000000-0004-0000-0100-0000292A0000}"/>
    <hyperlink ref="I12873" r:id="rId10795" xr:uid="{00000000-0004-0000-0100-00002A2A0000}"/>
    <hyperlink ref="I12874" r:id="rId10796" xr:uid="{00000000-0004-0000-0100-00002B2A0000}"/>
    <hyperlink ref="I12875" r:id="rId10797" xr:uid="{00000000-0004-0000-0100-00002C2A0000}"/>
    <hyperlink ref="I12876" r:id="rId10798" xr:uid="{00000000-0004-0000-0100-00002D2A0000}"/>
    <hyperlink ref="I12877" r:id="rId10799" xr:uid="{00000000-0004-0000-0100-00002E2A0000}"/>
    <hyperlink ref="I12878" r:id="rId10800" xr:uid="{00000000-0004-0000-0100-00002F2A0000}"/>
    <hyperlink ref="I12879" r:id="rId10801" xr:uid="{00000000-0004-0000-0100-0000302A0000}"/>
    <hyperlink ref="I12880" r:id="rId10802" xr:uid="{00000000-0004-0000-0100-0000312A0000}"/>
    <hyperlink ref="I12881" r:id="rId10803" xr:uid="{00000000-0004-0000-0100-0000322A0000}"/>
    <hyperlink ref="I12882" r:id="rId10804" xr:uid="{00000000-0004-0000-0100-0000332A0000}"/>
    <hyperlink ref="I12883" r:id="rId10805" xr:uid="{00000000-0004-0000-0100-0000342A0000}"/>
    <hyperlink ref="I12884" r:id="rId10806" xr:uid="{00000000-0004-0000-0100-0000352A0000}"/>
    <hyperlink ref="I12885" r:id="rId10807" xr:uid="{00000000-0004-0000-0100-0000362A0000}"/>
    <hyperlink ref="I12886" r:id="rId10808" xr:uid="{00000000-0004-0000-0100-0000372A0000}"/>
    <hyperlink ref="I12887" r:id="rId10809" xr:uid="{00000000-0004-0000-0100-0000382A0000}"/>
    <hyperlink ref="I12888" r:id="rId10810" xr:uid="{00000000-0004-0000-0100-0000392A0000}"/>
    <hyperlink ref="I12889" r:id="rId10811" xr:uid="{00000000-0004-0000-0100-00003A2A0000}"/>
    <hyperlink ref="I12890" r:id="rId10812" xr:uid="{00000000-0004-0000-0100-00003B2A0000}"/>
    <hyperlink ref="I12891" r:id="rId10813" xr:uid="{00000000-0004-0000-0100-00003C2A0000}"/>
    <hyperlink ref="I12892" r:id="rId10814" xr:uid="{00000000-0004-0000-0100-00003D2A0000}"/>
    <hyperlink ref="I12893" r:id="rId10815" xr:uid="{00000000-0004-0000-0100-00003E2A0000}"/>
    <hyperlink ref="I12894" r:id="rId10816" xr:uid="{00000000-0004-0000-0100-00003F2A0000}"/>
    <hyperlink ref="I12895" r:id="rId10817" xr:uid="{00000000-0004-0000-0100-0000402A0000}"/>
    <hyperlink ref="I12896" r:id="rId10818" xr:uid="{00000000-0004-0000-0100-0000412A0000}"/>
    <hyperlink ref="I12897" r:id="rId10819" xr:uid="{00000000-0004-0000-0100-0000422A0000}"/>
    <hyperlink ref="I12898" r:id="rId10820" xr:uid="{00000000-0004-0000-0100-0000432A0000}"/>
    <hyperlink ref="I12899" r:id="rId10821" xr:uid="{00000000-0004-0000-0100-0000442A0000}"/>
    <hyperlink ref="I12900" r:id="rId10822" xr:uid="{00000000-0004-0000-0100-0000452A0000}"/>
    <hyperlink ref="I12901" r:id="rId10823" xr:uid="{00000000-0004-0000-0100-0000462A0000}"/>
    <hyperlink ref="I12902" r:id="rId10824" xr:uid="{00000000-0004-0000-0100-0000472A0000}"/>
    <hyperlink ref="I12903" r:id="rId10825" xr:uid="{00000000-0004-0000-0100-0000482A0000}"/>
    <hyperlink ref="I12904" r:id="rId10826" xr:uid="{00000000-0004-0000-0100-0000492A0000}"/>
    <hyperlink ref="I12905" r:id="rId10827" xr:uid="{00000000-0004-0000-0100-00004A2A0000}"/>
    <hyperlink ref="I12906" r:id="rId10828" xr:uid="{00000000-0004-0000-0100-00004B2A0000}"/>
    <hyperlink ref="I12907" r:id="rId10829" xr:uid="{00000000-0004-0000-0100-00004C2A0000}"/>
    <hyperlink ref="I12908" r:id="rId10830" xr:uid="{00000000-0004-0000-0100-00004D2A0000}"/>
    <hyperlink ref="I12909" r:id="rId10831" xr:uid="{00000000-0004-0000-0100-00004E2A0000}"/>
    <hyperlink ref="I12910" r:id="rId10832" xr:uid="{00000000-0004-0000-0100-00004F2A0000}"/>
    <hyperlink ref="I12911" r:id="rId10833" xr:uid="{00000000-0004-0000-0100-0000502A0000}"/>
    <hyperlink ref="I12912" r:id="rId10834" xr:uid="{00000000-0004-0000-0100-0000512A0000}"/>
    <hyperlink ref="I12913" r:id="rId10835" xr:uid="{00000000-0004-0000-0100-0000522A0000}"/>
    <hyperlink ref="I12914" r:id="rId10836" xr:uid="{00000000-0004-0000-0100-0000532A0000}"/>
    <hyperlink ref="I12915" r:id="rId10837" xr:uid="{00000000-0004-0000-0100-0000542A0000}"/>
    <hyperlink ref="I12916" r:id="rId10838" xr:uid="{00000000-0004-0000-0100-0000552A0000}"/>
    <hyperlink ref="I12917" r:id="rId10839" xr:uid="{00000000-0004-0000-0100-0000562A0000}"/>
    <hyperlink ref="I12918" r:id="rId10840" xr:uid="{00000000-0004-0000-0100-0000572A0000}"/>
    <hyperlink ref="I12919" r:id="rId10841" xr:uid="{00000000-0004-0000-0100-0000582A0000}"/>
    <hyperlink ref="I12920" r:id="rId10842" xr:uid="{00000000-0004-0000-0100-0000592A0000}"/>
    <hyperlink ref="I12921" r:id="rId10843" xr:uid="{00000000-0004-0000-0100-00005A2A0000}"/>
    <hyperlink ref="I12922" r:id="rId10844" xr:uid="{00000000-0004-0000-0100-00005B2A0000}"/>
    <hyperlink ref="I12923" r:id="rId10845" xr:uid="{00000000-0004-0000-0100-00005C2A0000}"/>
    <hyperlink ref="I12924" r:id="rId10846" xr:uid="{00000000-0004-0000-0100-00005D2A0000}"/>
    <hyperlink ref="I12925" r:id="rId10847" xr:uid="{00000000-0004-0000-0100-00005E2A0000}"/>
    <hyperlink ref="I12926" r:id="rId10848" xr:uid="{00000000-0004-0000-0100-00005F2A0000}"/>
    <hyperlink ref="I12927" r:id="rId10849" xr:uid="{00000000-0004-0000-0100-0000602A0000}"/>
    <hyperlink ref="I12928" r:id="rId10850" xr:uid="{00000000-0004-0000-0100-0000612A0000}"/>
    <hyperlink ref="I12929" r:id="rId10851" xr:uid="{00000000-0004-0000-0100-0000622A0000}"/>
    <hyperlink ref="I12930" r:id="rId10852" xr:uid="{00000000-0004-0000-0100-0000632A0000}"/>
    <hyperlink ref="I12931" r:id="rId10853" xr:uid="{00000000-0004-0000-0100-0000642A0000}"/>
    <hyperlink ref="I12932" r:id="rId10854" xr:uid="{00000000-0004-0000-0100-0000652A0000}"/>
    <hyperlink ref="I12933" r:id="rId10855" xr:uid="{00000000-0004-0000-0100-0000662A0000}"/>
    <hyperlink ref="I12934" r:id="rId10856" xr:uid="{00000000-0004-0000-0100-0000672A0000}"/>
    <hyperlink ref="I12935" r:id="rId10857" xr:uid="{00000000-0004-0000-0100-0000682A0000}"/>
    <hyperlink ref="I12936" r:id="rId10858" xr:uid="{00000000-0004-0000-0100-0000692A0000}"/>
    <hyperlink ref="I12937" r:id="rId10859" xr:uid="{00000000-0004-0000-0100-00006A2A0000}"/>
    <hyperlink ref="I12938" r:id="rId10860" xr:uid="{00000000-0004-0000-0100-00006B2A0000}"/>
    <hyperlink ref="I12939" r:id="rId10861" xr:uid="{00000000-0004-0000-0100-00006C2A0000}"/>
    <hyperlink ref="I12940" r:id="rId10862" xr:uid="{00000000-0004-0000-0100-00006D2A0000}"/>
    <hyperlink ref="I12941" r:id="rId10863" xr:uid="{00000000-0004-0000-0100-00006E2A0000}"/>
    <hyperlink ref="I12942" r:id="rId10864" xr:uid="{00000000-0004-0000-0100-00006F2A0000}"/>
    <hyperlink ref="I12943" r:id="rId10865" xr:uid="{00000000-0004-0000-0100-0000702A0000}"/>
    <hyperlink ref="I12944" r:id="rId10866" xr:uid="{00000000-0004-0000-0100-0000712A0000}"/>
    <hyperlink ref="I12945" r:id="rId10867" xr:uid="{00000000-0004-0000-0100-0000722A0000}"/>
    <hyperlink ref="I12946" r:id="rId10868" xr:uid="{00000000-0004-0000-0100-0000732A0000}"/>
    <hyperlink ref="I12947" r:id="rId10869" xr:uid="{00000000-0004-0000-0100-0000742A0000}"/>
    <hyperlink ref="I12948" r:id="rId10870" xr:uid="{00000000-0004-0000-0100-0000752A0000}"/>
    <hyperlink ref="I12949" r:id="rId10871" xr:uid="{00000000-0004-0000-0100-0000762A0000}"/>
    <hyperlink ref="I12950" r:id="rId10872" xr:uid="{00000000-0004-0000-0100-0000772A0000}"/>
    <hyperlink ref="I12951" r:id="rId10873" xr:uid="{00000000-0004-0000-0100-0000782A0000}"/>
    <hyperlink ref="I12952" r:id="rId10874" xr:uid="{00000000-0004-0000-0100-0000792A0000}"/>
    <hyperlink ref="I12953" r:id="rId10875" xr:uid="{00000000-0004-0000-0100-00007A2A0000}"/>
    <hyperlink ref="I12954" r:id="rId10876" xr:uid="{00000000-0004-0000-0100-00007B2A0000}"/>
    <hyperlink ref="I12955" r:id="rId10877" xr:uid="{00000000-0004-0000-0100-00007C2A0000}"/>
    <hyperlink ref="I12956" r:id="rId10878" xr:uid="{00000000-0004-0000-0100-00007D2A0000}"/>
    <hyperlink ref="I12957" r:id="rId10879" xr:uid="{00000000-0004-0000-0100-00007E2A0000}"/>
    <hyperlink ref="I12958" r:id="rId10880" xr:uid="{00000000-0004-0000-0100-00007F2A0000}"/>
    <hyperlink ref="I12959" r:id="rId10881" xr:uid="{00000000-0004-0000-0100-0000802A0000}"/>
    <hyperlink ref="I12960" r:id="rId10882" xr:uid="{00000000-0004-0000-0100-0000812A0000}"/>
    <hyperlink ref="I12961" r:id="rId10883" xr:uid="{00000000-0004-0000-0100-0000822A0000}"/>
    <hyperlink ref="I12962" r:id="rId10884" xr:uid="{00000000-0004-0000-0100-0000832A0000}"/>
    <hyperlink ref="I12963" r:id="rId10885" xr:uid="{00000000-0004-0000-0100-0000842A0000}"/>
    <hyperlink ref="I12964" r:id="rId10886" xr:uid="{00000000-0004-0000-0100-0000852A0000}"/>
    <hyperlink ref="I12965" r:id="rId10887" xr:uid="{00000000-0004-0000-0100-0000862A0000}"/>
    <hyperlink ref="I12966" r:id="rId10888" xr:uid="{00000000-0004-0000-0100-0000872A0000}"/>
    <hyperlink ref="I12967" r:id="rId10889" xr:uid="{00000000-0004-0000-0100-0000882A0000}"/>
    <hyperlink ref="I12968" r:id="rId10890" xr:uid="{00000000-0004-0000-0100-0000892A0000}"/>
    <hyperlink ref="I12969" r:id="rId10891" xr:uid="{00000000-0004-0000-0100-00008A2A0000}"/>
    <hyperlink ref="I12970" r:id="rId10892" xr:uid="{00000000-0004-0000-0100-00008B2A0000}"/>
    <hyperlink ref="I12971" r:id="rId10893" xr:uid="{00000000-0004-0000-0100-00008C2A0000}"/>
    <hyperlink ref="I12972" r:id="rId10894" xr:uid="{00000000-0004-0000-0100-00008D2A0000}"/>
    <hyperlink ref="I12973" r:id="rId10895" xr:uid="{00000000-0004-0000-0100-00008E2A0000}"/>
    <hyperlink ref="I12974" r:id="rId10896" xr:uid="{00000000-0004-0000-0100-00008F2A0000}"/>
    <hyperlink ref="I12975" r:id="rId10897" xr:uid="{00000000-0004-0000-0100-0000902A0000}"/>
    <hyperlink ref="I12976" r:id="rId10898" xr:uid="{00000000-0004-0000-0100-0000912A0000}"/>
    <hyperlink ref="I12977" r:id="rId10899" xr:uid="{00000000-0004-0000-0100-0000922A0000}"/>
    <hyperlink ref="I12978" r:id="rId10900" xr:uid="{00000000-0004-0000-0100-0000932A0000}"/>
    <hyperlink ref="I12979" r:id="rId10901" xr:uid="{00000000-0004-0000-0100-0000942A0000}"/>
    <hyperlink ref="I12980" r:id="rId10902" xr:uid="{00000000-0004-0000-0100-0000952A0000}"/>
    <hyperlink ref="I12981" r:id="rId10903" xr:uid="{00000000-0004-0000-0100-0000962A0000}"/>
    <hyperlink ref="I12982" r:id="rId10904" xr:uid="{00000000-0004-0000-0100-0000972A0000}"/>
    <hyperlink ref="I12983" r:id="rId10905" xr:uid="{00000000-0004-0000-0100-0000982A0000}"/>
    <hyperlink ref="I12984" r:id="rId10906" xr:uid="{00000000-0004-0000-0100-0000992A0000}"/>
    <hyperlink ref="I12985" r:id="rId10907" xr:uid="{00000000-0004-0000-0100-00009A2A0000}"/>
    <hyperlink ref="I12986" r:id="rId10908" xr:uid="{00000000-0004-0000-0100-00009B2A0000}"/>
    <hyperlink ref="I12987" r:id="rId10909" xr:uid="{00000000-0004-0000-0100-00009C2A0000}"/>
    <hyperlink ref="I12988" r:id="rId10910" xr:uid="{00000000-0004-0000-0100-00009D2A0000}"/>
    <hyperlink ref="I12989" r:id="rId10911" xr:uid="{00000000-0004-0000-0100-00009E2A0000}"/>
    <hyperlink ref="I12990" r:id="rId10912" xr:uid="{00000000-0004-0000-0100-00009F2A0000}"/>
    <hyperlink ref="I12991" r:id="rId10913" xr:uid="{00000000-0004-0000-0100-0000A02A0000}"/>
    <hyperlink ref="I12992" r:id="rId10914" xr:uid="{00000000-0004-0000-0100-0000A12A0000}"/>
    <hyperlink ref="I12993" r:id="rId10915" xr:uid="{00000000-0004-0000-0100-0000A22A0000}"/>
    <hyperlink ref="I12994" r:id="rId10916" xr:uid="{00000000-0004-0000-0100-0000A32A0000}"/>
    <hyperlink ref="I12995" r:id="rId10917" xr:uid="{00000000-0004-0000-0100-0000A42A0000}"/>
    <hyperlink ref="I12996" r:id="rId10918" xr:uid="{00000000-0004-0000-0100-0000A52A0000}"/>
    <hyperlink ref="I12997" r:id="rId10919" xr:uid="{00000000-0004-0000-0100-0000A62A0000}"/>
    <hyperlink ref="I12998" r:id="rId10920" xr:uid="{00000000-0004-0000-0100-0000A72A0000}"/>
    <hyperlink ref="I12999" r:id="rId10921" xr:uid="{00000000-0004-0000-0100-0000A82A0000}"/>
    <hyperlink ref="I13000" r:id="rId10922" xr:uid="{00000000-0004-0000-0100-0000A92A0000}"/>
    <hyperlink ref="I13001" r:id="rId10923" xr:uid="{00000000-0004-0000-0100-0000AA2A0000}"/>
    <hyperlink ref="I13002" r:id="rId10924" xr:uid="{00000000-0004-0000-0100-0000AB2A0000}"/>
    <hyperlink ref="I13003" r:id="rId10925" xr:uid="{00000000-0004-0000-0100-0000AC2A0000}"/>
    <hyperlink ref="I13004" r:id="rId10926" xr:uid="{00000000-0004-0000-0100-0000AD2A0000}"/>
    <hyperlink ref="I13005" r:id="rId10927" xr:uid="{00000000-0004-0000-0100-0000AE2A0000}"/>
    <hyperlink ref="I13006" r:id="rId10928" xr:uid="{00000000-0004-0000-0100-0000AF2A0000}"/>
    <hyperlink ref="I13007" r:id="rId10929" xr:uid="{00000000-0004-0000-0100-0000B02A0000}"/>
    <hyperlink ref="I13008" r:id="rId10930" xr:uid="{00000000-0004-0000-0100-0000B12A0000}"/>
    <hyperlink ref="I13009" r:id="rId10931" xr:uid="{00000000-0004-0000-0100-0000B22A0000}"/>
    <hyperlink ref="I13010" r:id="rId10932" xr:uid="{00000000-0004-0000-0100-0000B32A0000}"/>
    <hyperlink ref="I13011" r:id="rId10933" xr:uid="{00000000-0004-0000-0100-0000B42A0000}"/>
    <hyperlink ref="I13012" r:id="rId10934" xr:uid="{00000000-0004-0000-0100-0000B52A0000}"/>
    <hyperlink ref="I13013" r:id="rId10935" xr:uid="{00000000-0004-0000-0100-0000B62A0000}"/>
    <hyperlink ref="I13014" r:id="rId10936" xr:uid="{00000000-0004-0000-0100-0000B72A0000}"/>
    <hyperlink ref="I13015" r:id="rId10937" xr:uid="{00000000-0004-0000-0100-0000B82A0000}"/>
    <hyperlink ref="I13016" r:id="rId10938" xr:uid="{00000000-0004-0000-0100-0000B92A0000}"/>
    <hyperlink ref="I13017" r:id="rId10939" xr:uid="{00000000-0004-0000-0100-0000BA2A0000}"/>
    <hyperlink ref="I13018" r:id="rId10940" xr:uid="{00000000-0004-0000-0100-0000BB2A0000}"/>
    <hyperlink ref="I13019" r:id="rId10941" xr:uid="{00000000-0004-0000-0100-0000BC2A0000}"/>
    <hyperlink ref="I13020" r:id="rId10942" xr:uid="{00000000-0004-0000-0100-0000BD2A0000}"/>
    <hyperlink ref="I13021" r:id="rId10943" xr:uid="{00000000-0004-0000-0100-0000BE2A0000}"/>
    <hyperlink ref="I13022" r:id="rId10944" xr:uid="{00000000-0004-0000-0100-0000BF2A0000}"/>
    <hyperlink ref="I13023" r:id="rId10945" xr:uid="{00000000-0004-0000-0100-0000C02A0000}"/>
    <hyperlink ref="I13024" r:id="rId10946" xr:uid="{00000000-0004-0000-0100-0000C12A0000}"/>
    <hyperlink ref="I13025" r:id="rId10947" xr:uid="{00000000-0004-0000-0100-0000C22A0000}"/>
    <hyperlink ref="I13026" r:id="rId10948" xr:uid="{00000000-0004-0000-0100-0000C32A0000}"/>
    <hyperlink ref="I13027" r:id="rId10949" xr:uid="{00000000-0004-0000-0100-0000C42A0000}"/>
    <hyperlink ref="I13028" r:id="rId10950" xr:uid="{00000000-0004-0000-0100-0000C52A0000}"/>
    <hyperlink ref="I13029" r:id="rId10951" xr:uid="{00000000-0004-0000-0100-0000C62A0000}"/>
    <hyperlink ref="I13030" r:id="rId10952" xr:uid="{00000000-0004-0000-0100-0000C72A0000}"/>
    <hyperlink ref="I13031" r:id="rId10953" xr:uid="{00000000-0004-0000-0100-0000C82A0000}"/>
    <hyperlink ref="I13032" r:id="rId10954" xr:uid="{00000000-0004-0000-0100-0000C92A0000}"/>
    <hyperlink ref="I13033" r:id="rId10955" xr:uid="{00000000-0004-0000-0100-0000CA2A0000}"/>
    <hyperlink ref="I13034" r:id="rId10956" xr:uid="{00000000-0004-0000-0100-0000CB2A0000}"/>
    <hyperlink ref="I13035" r:id="rId10957" xr:uid="{00000000-0004-0000-0100-0000CC2A0000}"/>
    <hyperlink ref="I13036" r:id="rId10958" xr:uid="{00000000-0004-0000-0100-0000CD2A0000}"/>
    <hyperlink ref="I13037" r:id="rId10959" xr:uid="{00000000-0004-0000-0100-0000CE2A0000}"/>
    <hyperlink ref="I13038" r:id="rId10960" xr:uid="{00000000-0004-0000-0100-0000CF2A0000}"/>
    <hyperlink ref="I13039" r:id="rId10961" xr:uid="{00000000-0004-0000-0100-0000D02A0000}"/>
    <hyperlink ref="I13040" r:id="rId10962" xr:uid="{00000000-0004-0000-0100-0000D12A0000}"/>
    <hyperlink ref="I13041" r:id="rId10963" xr:uid="{00000000-0004-0000-0100-0000D22A0000}"/>
    <hyperlink ref="I13042" r:id="rId10964" xr:uid="{00000000-0004-0000-0100-0000D32A0000}"/>
    <hyperlink ref="I13043" r:id="rId10965" xr:uid="{00000000-0004-0000-0100-0000D42A0000}"/>
    <hyperlink ref="I13044" r:id="rId10966" xr:uid="{00000000-0004-0000-0100-0000D52A0000}"/>
    <hyperlink ref="I13045" r:id="rId10967" xr:uid="{00000000-0004-0000-0100-0000D62A0000}"/>
    <hyperlink ref="I13046" r:id="rId10968" xr:uid="{00000000-0004-0000-0100-0000D72A0000}"/>
    <hyperlink ref="I13047" r:id="rId10969" xr:uid="{00000000-0004-0000-0100-0000D82A0000}"/>
    <hyperlink ref="I13048" r:id="rId10970" xr:uid="{00000000-0004-0000-0100-0000D92A0000}"/>
    <hyperlink ref="I13049" r:id="rId10971" xr:uid="{00000000-0004-0000-0100-0000DA2A0000}"/>
    <hyperlink ref="I13050" r:id="rId10972" xr:uid="{00000000-0004-0000-0100-0000DB2A0000}"/>
    <hyperlink ref="I13051" r:id="rId10973" xr:uid="{00000000-0004-0000-0100-0000DC2A0000}"/>
    <hyperlink ref="I13052" r:id="rId10974" xr:uid="{00000000-0004-0000-0100-0000DD2A0000}"/>
    <hyperlink ref="I13053" r:id="rId10975" xr:uid="{00000000-0004-0000-0100-0000DE2A0000}"/>
    <hyperlink ref="I13054" r:id="rId10976" xr:uid="{00000000-0004-0000-0100-0000DF2A0000}"/>
    <hyperlink ref="I13055" r:id="rId10977" xr:uid="{00000000-0004-0000-0100-0000E02A0000}"/>
    <hyperlink ref="I13056" r:id="rId10978" xr:uid="{00000000-0004-0000-0100-0000E12A0000}"/>
    <hyperlink ref="I13057" r:id="rId10979" xr:uid="{00000000-0004-0000-0100-0000E22A0000}"/>
    <hyperlink ref="I13058" r:id="rId10980" xr:uid="{00000000-0004-0000-0100-0000E32A0000}"/>
    <hyperlink ref="I13059" r:id="rId10981" xr:uid="{00000000-0004-0000-0100-0000E42A0000}"/>
    <hyperlink ref="I13060" r:id="rId10982" xr:uid="{00000000-0004-0000-0100-0000E52A0000}"/>
    <hyperlink ref="I13061" r:id="rId10983" xr:uid="{00000000-0004-0000-0100-0000E62A0000}"/>
    <hyperlink ref="I13062" r:id="rId10984" xr:uid="{00000000-0004-0000-0100-0000E72A0000}"/>
    <hyperlink ref="I13063" r:id="rId10985" xr:uid="{00000000-0004-0000-0100-0000E82A0000}"/>
    <hyperlink ref="I13064" r:id="rId10986" xr:uid="{00000000-0004-0000-0100-0000E92A0000}"/>
    <hyperlink ref="I13065" r:id="rId10987" xr:uid="{00000000-0004-0000-0100-0000EA2A0000}"/>
    <hyperlink ref="I13066" r:id="rId10988" xr:uid="{00000000-0004-0000-0100-0000EB2A0000}"/>
    <hyperlink ref="I13067" r:id="rId10989" xr:uid="{00000000-0004-0000-0100-0000EC2A0000}"/>
    <hyperlink ref="I13068" r:id="rId10990" xr:uid="{00000000-0004-0000-0100-0000ED2A0000}"/>
    <hyperlink ref="I13069" r:id="rId10991" xr:uid="{00000000-0004-0000-0100-0000EE2A0000}"/>
    <hyperlink ref="I13070" r:id="rId10992" xr:uid="{00000000-0004-0000-0100-0000EF2A0000}"/>
    <hyperlink ref="I13071" r:id="rId10993" xr:uid="{00000000-0004-0000-0100-0000F02A0000}"/>
    <hyperlink ref="I13072" r:id="rId10994" xr:uid="{00000000-0004-0000-0100-0000F12A0000}"/>
    <hyperlink ref="I13073" r:id="rId10995" xr:uid="{00000000-0004-0000-0100-0000F22A0000}"/>
    <hyperlink ref="I13074" r:id="rId10996" xr:uid="{00000000-0004-0000-0100-0000F32A0000}"/>
    <hyperlink ref="I13075" r:id="rId10997" xr:uid="{00000000-0004-0000-0100-0000F42A0000}"/>
    <hyperlink ref="I13076" r:id="rId10998" xr:uid="{00000000-0004-0000-0100-0000F52A0000}"/>
    <hyperlink ref="I13077" r:id="rId10999" xr:uid="{00000000-0004-0000-0100-0000F62A0000}"/>
    <hyperlink ref="I13078" r:id="rId11000" xr:uid="{00000000-0004-0000-0100-0000F72A0000}"/>
    <hyperlink ref="I13079" r:id="rId11001" xr:uid="{00000000-0004-0000-0100-0000F82A0000}"/>
    <hyperlink ref="I13080" r:id="rId11002" xr:uid="{00000000-0004-0000-0100-0000F92A0000}"/>
    <hyperlink ref="I13081" r:id="rId11003" xr:uid="{00000000-0004-0000-0100-0000FA2A0000}"/>
    <hyperlink ref="I13082" r:id="rId11004" xr:uid="{00000000-0004-0000-0100-0000FB2A0000}"/>
    <hyperlink ref="I13083" r:id="rId11005" xr:uid="{00000000-0004-0000-0100-0000FC2A0000}"/>
    <hyperlink ref="I13084" r:id="rId11006" xr:uid="{00000000-0004-0000-0100-0000FD2A0000}"/>
    <hyperlink ref="I13085" r:id="rId11007" xr:uid="{00000000-0004-0000-0100-0000FE2A0000}"/>
    <hyperlink ref="I13086" r:id="rId11008" xr:uid="{00000000-0004-0000-0100-0000FF2A0000}"/>
    <hyperlink ref="I13087" r:id="rId11009" xr:uid="{00000000-0004-0000-0100-0000002B0000}"/>
    <hyperlink ref="I13088" r:id="rId11010" xr:uid="{00000000-0004-0000-0100-0000012B0000}"/>
    <hyperlink ref="I13089" r:id="rId11011" xr:uid="{00000000-0004-0000-0100-0000022B0000}"/>
    <hyperlink ref="I13090" r:id="rId11012" xr:uid="{00000000-0004-0000-0100-0000032B0000}"/>
    <hyperlink ref="I13091" r:id="rId11013" xr:uid="{00000000-0004-0000-0100-0000042B0000}"/>
    <hyperlink ref="I13092" r:id="rId11014" xr:uid="{00000000-0004-0000-0100-0000052B0000}"/>
    <hyperlink ref="I13093" r:id="rId11015" xr:uid="{00000000-0004-0000-0100-0000062B0000}"/>
    <hyperlink ref="I13094" r:id="rId11016" xr:uid="{00000000-0004-0000-0100-0000072B0000}"/>
    <hyperlink ref="I13095" r:id="rId11017" xr:uid="{00000000-0004-0000-0100-0000082B0000}"/>
    <hyperlink ref="I13096" r:id="rId11018" xr:uid="{00000000-0004-0000-0100-0000092B0000}"/>
    <hyperlink ref="I13097" r:id="rId11019" xr:uid="{00000000-0004-0000-0100-00000A2B0000}"/>
    <hyperlink ref="I13098" r:id="rId11020" xr:uid="{00000000-0004-0000-0100-00000B2B0000}"/>
    <hyperlink ref="I13099" r:id="rId11021" xr:uid="{00000000-0004-0000-0100-00000C2B0000}"/>
    <hyperlink ref="I13100" r:id="rId11022" xr:uid="{00000000-0004-0000-0100-00000D2B0000}"/>
    <hyperlink ref="I13101" r:id="rId11023" xr:uid="{00000000-0004-0000-0100-00000E2B0000}"/>
    <hyperlink ref="I13102" r:id="rId11024" xr:uid="{00000000-0004-0000-0100-00000F2B0000}"/>
    <hyperlink ref="I13103" r:id="rId11025" xr:uid="{00000000-0004-0000-0100-0000102B0000}"/>
    <hyperlink ref="I13104" r:id="rId11026" xr:uid="{00000000-0004-0000-0100-0000112B0000}"/>
    <hyperlink ref="I13105" r:id="rId11027" xr:uid="{00000000-0004-0000-0100-0000122B0000}"/>
    <hyperlink ref="I13106" r:id="rId11028" xr:uid="{00000000-0004-0000-0100-0000132B0000}"/>
    <hyperlink ref="I13107" r:id="rId11029" xr:uid="{00000000-0004-0000-0100-0000142B0000}"/>
    <hyperlink ref="I13108" r:id="rId11030" xr:uid="{00000000-0004-0000-0100-0000152B0000}"/>
    <hyperlink ref="I13109" r:id="rId11031" xr:uid="{00000000-0004-0000-0100-0000162B0000}"/>
    <hyperlink ref="I13110" r:id="rId11032" xr:uid="{00000000-0004-0000-0100-0000172B0000}"/>
    <hyperlink ref="I13111" r:id="rId11033" xr:uid="{00000000-0004-0000-0100-0000182B0000}"/>
    <hyperlink ref="I13112" r:id="rId11034" xr:uid="{00000000-0004-0000-0100-0000192B0000}"/>
    <hyperlink ref="I13113" r:id="rId11035" xr:uid="{00000000-0004-0000-0100-00001A2B0000}"/>
    <hyperlink ref="I13114" r:id="rId11036" xr:uid="{00000000-0004-0000-0100-00001B2B0000}"/>
    <hyperlink ref="I13115" r:id="rId11037" xr:uid="{00000000-0004-0000-0100-00001C2B0000}"/>
    <hyperlink ref="I13116" r:id="rId11038" xr:uid="{00000000-0004-0000-0100-00001D2B0000}"/>
    <hyperlink ref="I13117" r:id="rId11039" xr:uid="{00000000-0004-0000-0100-00001E2B0000}"/>
    <hyperlink ref="I13118" r:id="rId11040" xr:uid="{00000000-0004-0000-0100-00001F2B0000}"/>
    <hyperlink ref="I13119" r:id="rId11041" xr:uid="{00000000-0004-0000-0100-0000202B0000}"/>
    <hyperlink ref="I13120" r:id="rId11042" xr:uid="{00000000-0004-0000-0100-0000212B0000}"/>
    <hyperlink ref="I13121" r:id="rId11043" xr:uid="{00000000-0004-0000-0100-0000222B0000}"/>
    <hyperlink ref="I13122" r:id="rId11044" xr:uid="{00000000-0004-0000-0100-0000232B0000}"/>
    <hyperlink ref="I13123" r:id="rId11045" xr:uid="{00000000-0004-0000-0100-0000242B0000}"/>
    <hyperlink ref="I13124" r:id="rId11046" xr:uid="{00000000-0004-0000-0100-0000252B0000}"/>
    <hyperlink ref="I13125" r:id="rId11047" xr:uid="{00000000-0004-0000-0100-0000262B0000}"/>
    <hyperlink ref="I13126" r:id="rId11048" xr:uid="{00000000-0004-0000-0100-0000272B0000}"/>
    <hyperlink ref="I13127" r:id="rId11049" xr:uid="{00000000-0004-0000-0100-0000282B0000}"/>
    <hyperlink ref="I13128" r:id="rId11050" xr:uid="{00000000-0004-0000-0100-0000292B0000}"/>
    <hyperlink ref="I13129" r:id="rId11051" xr:uid="{00000000-0004-0000-0100-00002A2B0000}"/>
    <hyperlink ref="I13130" r:id="rId11052" xr:uid="{00000000-0004-0000-0100-00002B2B0000}"/>
    <hyperlink ref="I13131" r:id="rId11053" xr:uid="{00000000-0004-0000-0100-00002C2B0000}"/>
    <hyperlink ref="I13132" r:id="rId11054" xr:uid="{00000000-0004-0000-0100-00002D2B0000}"/>
    <hyperlink ref="I13133" r:id="rId11055" xr:uid="{00000000-0004-0000-0100-00002E2B0000}"/>
    <hyperlink ref="I13134" r:id="rId11056" xr:uid="{00000000-0004-0000-0100-00002F2B0000}"/>
    <hyperlink ref="I13135" r:id="rId11057" xr:uid="{00000000-0004-0000-0100-0000302B0000}"/>
    <hyperlink ref="I13136" r:id="rId11058" xr:uid="{00000000-0004-0000-0100-0000312B0000}"/>
    <hyperlink ref="I13137" r:id="rId11059" xr:uid="{00000000-0004-0000-0100-0000322B0000}"/>
    <hyperlink ref="I13138" r:id="rId11060" xr:uid="{00000000-0004-0000-0100-0000332B0000}"/>
    <hyperlink ref="I13139" r:id="rId11061" xr:uid="{00000000-0004-0000-0100-0000342B0000}"/>
    <hyperlink ref="I13140" r:id="rId11062" xr:uid="{00000000-0004-0000-0100-0000352B0000}"/>
    <hyperlink ref="I13141" r:id="rId11063" xr:uid="{00000000-0004-0000-0100-0000362B0000}"/>
    <hyperlink ref="I13142" r:id="rId11064" xr:uid="{00000000-0004-0000-0100-0000372B0000}"/>
    <hyperlink ref="I13143" r:id="rId11065" xr:uid="{00000000-0004-0000-0100-0000382B0000}"/>
    <hyperlink ref="I13144" r:id="rId11066" xr:uid="{00000000-0004-0000-0100-0000392B0000}"/>
    <hyperlink ref="I13145" r:id="rId11067" xr:uid="{00000000-0004-0000-0100-00003A2B0000}"/>
    <hyperlink ref="I13146" r:id="rId11068" xr:uid="{00000000-0004-0000-0100-00003B2B0000}"/>
    <hyperlink ref="I13147" r:id="rId11069" xr:uid="{00000000-0004-0000-0100-00003C2B0000}"/>
    <hyperlink ref="I13148" r:id="rId11070" xr:uid="{00000000-0004-0000-0100-00003D2B0000}"/>
    <hyperlink ref="I13149" r:id="rId11071" xr:uid="{00000000-0004-0000-0100-00003E2B0000}"/>
    <hyperlink ref="I13150" r:id="rId11072" xr:uid="{00000000-0004-0000-0100-00003F2B0000}"/>
    <hyperlink ref="I13151" r:id="rId11073" xr:uid="{00000000-0004-0000-0100-0000402B0000}"/>
    <hyperlink ref="I13152" r:id="rId11074" xr:uid="{00000000-0004-0000-0100-0000412B0000}"/>
    <hyperlink ref="I13153" r:id="rId11075" xr:uid="{00000000-0004-0000-0100-0000422B0000}"/>
    <hyperlink ref="I13154" r:id="rId11076" xr:uid="{00000000-0004-0000-0100-0000432B0000}"/>
    <hyperlink ref="I13155" r:id="rId11077" xr:uid="{00000000-0004-0000-0100-0000442B0000}"/>
    <hyperlink ref="I13156" r:id="rId11078" xr:uid="{00000000-0004-0000-0100-0000452B0000}"/>
    <hyperlink ref="I13157" r:id="rId11079" xr:uid="{00000000-0004-0000-0100-0000462B0000}"/>
    <hyperlink ref="I13158" r:id="rId11080" xr:uid="{00000000-0004-0000-0100-0000472B0000}"/>
    <hyperlink ref="I13159" r:id="rId11081" xr:uid="{00000000-0004-0000-0100-0000482B0000}"/>
    <hyperlink ref="I13160" r:id="rId11082" xr:uid="{00000000-0004-0000-0100-0000492B0000}"/>
    <hyperlink ref="I13161" r:id="rId11083" xr:uid="{00000000-0004-0000-0100-00004A2B0000}"/>
    <hyperlink ref="I13162" r:id="rId11084" xr:uid="{00000000-0004-0000-0100-00004B2B0000}"/>
    <hyperlink ref="I13163" r:id="rId11085" xr:uid="{00000000-0004-0000-0100-00004C2B0000}"/>
    <hyperlink ref="I13164" r:id="rId11086" xr:uid="{00000000-0004-0000-0100-00004D2B0000}"/>
    <hyperlink ref="I13165" r:id="rId11087" xr:uid="{00000000-0004-0000-0100-00004E2B0000}"/>
    <hyperlink ref="I13166" r:id="rId11088" xr:uid="{00000000-0004-0000-0100-00004F2B0000}"/>
    <hyperlink ref="I13167" r:id="rId11089" xr:uid="{00000000-0004-0000-0100-0000502B0000}"/>
    <hyperlink ref="I13168" r:id="rId11090" xr:uid="{00000000-0004-0000-0100-0000512B0000}"/>
    <hyperlink ref="I13169" r:id="rId11091" xr:uid="{00000000-0004-0000-0100-0000522B0000}"/>
    <hyperlink ref="I13170" r:id="rId11092" xr:uid="{00000000-0004-0000-0100-0000532B0000}"/>
    <hyperlink ref="I13171" r:id="rId11093" xr:uid="{00000000-0004-0000-0100-0000542B0000}"/>
    <hyperlink ref="I13172" r:id="rId11094" xr:uid="{00000000-0004-0000-0100-0000552B0000}"/>
    <hyperlink ref="I13173" r:id="rId11095" xr:uid="{00000000-0004-0000-0100-0000562B0000}"/>
    <hyperlink ref="I13174" r:id="rId11096" xr:uid="{00000000-0004-0000-0100-0000572B0000}"/>
    <hyperlink ref="I13175" r:id="rId11097" xr:uid="{00000000-0004-0000-0100-0000582B0000}"/>
    <hyperlink ref="I13176" r:id="rId11098" xr:uid="{00000000-0004-0000-0100-0000592B0000}"/>
    <hyperlink ref="I13177" r:id="rId11099" xr:uid="{00000000-0004-0000-0100-00005A2B0000}"/>
    <hyperlink ref="I13178" r:id="rId11100" xr:uid="{00000000-0004-0000-0100-00005B2B0000}"/>
    <hyperlink ref="I13179" r:id="rId11101" xr:uid="{00000000-0004-0000-0100-00005C2B0000}"/>
    <hyperlink ref="I13180" r:id="rId11102" xr:uid="{00000000-0004-0000-0100-00005D2B0000}"/>
    <hyperlink ref="I13181" r:id="rId11103" xr:uid="{00000000-0004-0000-0100-00005E2B0000}"/>
    <hyperlink ref="I13182" r:id="rId11104" xr:uid="{00000000-0004-0000-0100-00005F2B0000}"/>
    <hyperlink ref="I13183" r:id="rId11105" xr:uid="{00000000-0004-0000-0100-0000602B0000}"/>
    <hyperlink ref="I13184" r:id="rId11106" xr:uid="{00000000-0004-0000-0100-0000612B0000}"/>
    <hyperlink ref="I13185" r:id="rId11107" xr:uid="{00000000-0004-0000-0100-0000622B0000}"/>
    <hyperlink ref="I13186" r:id="rId11108" xr:uid="{00000000-0004-0000-0100-0000632B0000}"/>
    <hyperlink ref="I13187" r:id="rId11109" xr:uid="{00000000-0004-0000-0100-0000642B0000}"/>
    <hyperlink ref="I13188" r:id="rId11110" xr:uid="{00000000-0004-0000-0100-0000652B0000}"/>
    <hyperlink ref="I13189" r:id="rId11111" xr:uid="{00000000-0004-0000-0100-0000662B0000}"/>
    <hyperlink ref="I13190" r:id="rId11112" xr:uid="{00000000-0004-0000-0100-0000672B0000}"/>
    <hyperlink ref="I13191" r:id="rId11113" xr:uid="{00000000-0004-0000-0100-0000682B0000}"/>
    <hyperlink ref="I13192" r:id="rId11114" xr:uid="{00000000-0004-0000-0100-0000692B0000}"/>
    <hyperlink ref="I13193" r:id="rId11115" xr:uid="{00000000-0004-0000-0100-00006A2B0000}"/>
    <hyperlink ref="I13194" r:id="rId11116" xr:uid="{00000000-0004-0000-0100-00006B2B0000}"/>
    <hyperlink ref="I13195" r:id="rId11117" xr:uid="{00000000-0004-0000-0100-00006C2B0000}"/>
    <hyperlink ref="I13196" r:id="rId11118" xr:uid="{00000000-0004-0000-0100-00006D2B0000}"/>
    <hyperlink ref="I13197" r:id="rId11119" xr:uid="{00000000-0004-0000-0100-00006E2B0000}"/>
    <hyperlink ref="I13198" r:id="rId11120" xr:uid="{00000000-0004-0000-0100-00006F2B0000}"/>
    <hyperlink ref="I13199" r:id="rId11121" xr:uid="{00000000-0004-0000-0100-0000702B0000}"/>
    <hyperlink ref="I13200" r:id="rId11122" xr:uid="{00000000-0004-0000-0100-0000712B0000}"/>
    <hyperlink ref="I13201" r:id="rId11123" xr:uid="{00000000-0004-0000-0100-0000722B0000}"/>
    <hyperlink ref="I13202" r:id="rId11124" xr:uid="{00000000-0004-0000-0100-0000732B0000}"/>
    <hyperlink ref="I13203" r:id="rId11125" xr:uid="{00000000-0004-0000-0100-0000742B0000}"/>
    <hyperlink ref="I13204" r:id="rId11126" xr:uid="{00000000-0004-0000-0100-0000752B0000}"/>
    <hyperlink ref="I13205" r:id="rId11127" xr:uid="{00000000-0004-0000-0100-0000762B0000}"/>
    <hyperlink ref="I13206" r:id="rId11128" xr:uid="{00000000-0004-0000-0100-0000772B0000}"/>
    <hyperlink ref="I13207" r:id="rId11129" xr:uid="{00000000-0004-0000-0100-0000782B0000}"/>
    <hyperlink ref="I13208" r:id="rId11130" xr:uid="{00000000-0004-0000-0100-0000792B0000}"/>
    <hyperlink ref="I13209" r:id="rId11131" xr:uid="{00000000-0004-0000-0100-00007A2B0000}"/>
    <hyperlink ref="I13210" r:id="rId11132" xr:uid="{00000000-0004-0000-0100-00007B2B0000}"/>
    <hyperlink ref="I13211" r:id="rId11133" xr:uid="{00000000-0004-0000-0100-00007C2B0000}"/>
    <hyperlink ref="I13212" r:id="rId11134" xr:uid="{00000000-0004-0000-0100-00007D2B0000}"/>
    <hyperlink ref="I13213" r:id="rId11135" xr:uid="{00000000-0004-0000-0100-00007E2B0000}"/>
    <hyperlink ref="I13214" r:id="rId11136" xr:uid="{00000000-0004-0000-0100-00007F2B0000}"/>
    <hyperlink ref="I13215" r:id="rId11137" xr:uid="{00000000-0004-0000-0100-0000802B0000}"/>
    <hyperlink ref="I13216" r:id="rId11138" xr:uid="{00000000-0004-0000-0100-0000812B0000}"/>
    <hyperlink ref="I13217" r:id="rId11139" xr:uid="{00000000-0004-0000-0100-0000822B0000}"/>
    <hyperlink ref="I13218" r:id="rId11140" xr:uid="{00000000-0004-0000-0100-0000832B0000}"/>
    <hyperlink ref="I13219" r:id="rId11141" xr:uid="{00000000-0004-0000-0100-0000842B0000}"/>
    <hyperlink ref="I13220" r:id="rId11142" xr:uid="{00000000-0004-0000-0100-0000852B0000}"/>
    <hyperlink ref="I13221" r:id="rId11143" xr:uid="{00000000-0004-0000-0100-0000862B0000}"/>
    <hyperlink ref="I13222" r:id="rId11144" xr:uid="{00000000-0004-0000-0100-0000872B0000}"/>
    <hyperlink ref="I13223" r:id="rId11145" xr:uid="{00000000-0004-0000-0100-0000882B0000}"/>
    <hyperlink ref="I13224" r:id="rId11146" xr:uid="{00000000-0004-0000-0100-0000892B0000}"/>
    <hyperlink ref="I13225" r:id="rId11147" xr:uid="{00000000-0004-0000-0100-00008A2B0000}"/>
    <hyperlink ref="I13226" r:id="rId11148" xr:uid="{00000000-0004-0000-0100-00008B2B0000}"/>
    <hyperlink ref="I13227" r:id="rId11149" xr:uid="{00000000-0004-0000-0100-00008C2B0000}"/>
    <hyperlink ref="I13228" r:id="rId11150" xr:uid="{00000000-0004-0000-0100-00008D2B0000}"/>
    <hyperlink ref="I13229" r:id="rId11151" xr:uid="{00000000-0004-0000-0100-00008E2B0000}"/>
    <hyperlink ref="I13230" r:id="rId11152" xr:uid="{00000000-0004-0000-0100-00008F2B0000}"/>
    <hyperlink ref="I13231" r:id="rId11153" xr:uid="{00000000-0004-0000-0100-0000902B0000}"/>
    <hyperlink ref="I13232" r:id="rId11154" xr:uid="{00000000-0004-0000-0100-0000912B0000}"/>
    <hyperlink ref="I13233" r:id="rId11155" xr:uid="{00000000-0004-0000-0100-0000922B0000}"/>
    <hyperlink ref="I13234" r:id="rId11156" xr:uid="{00000000-0004-0000-0100-0000932B0000}"/>
    <hyperlink ref="I13235" r:id="rId11157" xr:uid="{00000000-0004-0000-0100-0000942B0000}"/>
    <hyperlink ref="I13236" r:id="rId11158" xr:uid="{00000000-0004-0000-0100-0000952B0000}"/>
    <hyperlink ref="I13237" r:id="rId11159" xr:uid="{00000000-0004-0000-0100-0000962B0000}"/>
    <hyperlink ref="I13238" r:id="rId11160" xr:uid="{00000000-0004-0000-0100-0000972B0000}"/>
    <hyperlink ref="I13239" r:id="rId11161" xr:uid="{00000000-0004-0000-0100-0000982B0000}"/>
    <hyperlink ref="I13240" r:id="rId11162" xr:uid="{00000000-0004-0000-0100-0000992B0000}"/>
    <hyperlink ref="I13241" r:id="rId11163" xr:uid="{00000000-0004-0000-0100-00009A2B0000}"/>
    <hyperlink ref="I13242" r:id="rId11164" xr:uid="{00000000-0004-0000-0100-00009B2B0000}"/>
    <hyperlink ref="I13243" r:id="rId11165" xr:uid="{00000000-0004-0000-0100-00009C2B0000}"/>
    <hyperlink ref="I13244" r:id="rId11166" xr:uid="{00000000-0004-0000-0100-00009D2B0000}"/>
    <hyperlink ref="I13245" r:id="rId11167" xr:uid="{00000000-0004-0000-0100-00009E2B0000}"/>
    <hyperlink ref="I13246" r:id="rId11168" xr:uid="{00000000-0004-0000-0100-00009F2B0000}"/>
    <hyperlink ref="I13247" r:id="rId11169" xr:uid="{00000000-0004-0000-0100-0000A02B0000}"/>
    <hyperlink ref="I13248" r:id="rId11170" xr:uid="{00000000-0004-0000-0100-0000A12B0000}"/>
    <hyperlink ref="I13249" r:id="rId11171" xr:uid="{00000000-0004-0000-0100-0000A22B0000}"/>
    <hyperlink ref="I13250" r:id="rId11172" xr:uid="{00000000-0004-0000-0100-0000A32B0000}"/>
    <hyperlink ref="I13251" r:id="rId11173" xr:uid="{00000000-0004-0000-0100-0000A42B0000}"/>
    <hyperlink ref="I13252" r:id="rId11174" xr:uid="{00000000-0004-0000-0100-0000A52B0000}"/>
    <hyperlink ref="I13253" r:id="rId11175" xr:uid="{00000000-0004-0000-0100-0000A62B0000}"/>
    <hyperlink ref="I13254" r:id="rId11176" xr:uid="{00000000-0004-0000-0100-0000A72B0000}"/>
    <hyperlink ref="I13255" r:id="rId11177" xr:uid="{00000000-0004-0000-0100-0000A82B0000}"/>
    <hyperlink ref="I13256" r:id="rId11178" xr:uid="{00000000-0004-0000-0100-0000A92B0000}"/>
    <hyperlink ref="I13257" r:id="rId11179" xr:uid="{00000000-0004-0000-0100-0000AA2B0000}"/>
    <hyperlink ref="I13258" r:id="rId11180" xr:uid="{00000000-0004-0000-0100-0000AB2B0000}"/>
    <hyperlink ref="I13259" r:id="rId11181" xr:uid="{00000000-0004-0000-0100-0000AC2B0000}"/>
    <hyperlink ref="I13260" r:id="rId11182" xr:uid="{00000000-0004-0000-0100-0000AD2B0000}"/>
    <hyperlink ref="I13261" r:id="rId11183" xr:uid="{00000000-0004-0000-0100-0000AE2B0000}"/>
    <hyperlink ref="I13262" r:id="rId11184" xr:uid="{00000000-0004-0000-0100-0000AF2B0000}"/>
    <hyperlink ref="I13263" r:id="rId11185" xr:uid="{00000000-0004-0000-0100-0000B02B0000}"/>
    <hyperlink ref="I13264" r:id="rId11186" xr:uid="{00000000-0004-0000-0100-0000B12B0000}"/>
    <hyperlink ref="I13265" r:id="rId11187" xr:uid="{00000000-0004-0000-0100-0000B22B0000}"/>
    <hyperlink ref="I13266" r:id="rId11188" xr:uid="{00000000-0004-0000-0100-0000B32B0000}"/>
    <hyperlink ref="I13267" r:id="rId11189" xr:uid="{00000000-0004-0000-0100-0000B42B0000}"/>
    <hyperlink ref="I13268" r:id="rId11190" xr:uid="{00000000-0004-0000-0100-0000B52B0000}"/>
    <hyperlink ref="I13269" r:id="rId11191" xr:uid="{00000000-0004-0000-0100-0000B62B0000}"/>
    <hyperlink ref="I13270" r:id="rId11192" xr:uid="{00000000-0004-0000-0100-0000B72B0000}"/>
    <hyperlink ref="I13271" r:id="rId11193" xr:uid="{00000000-0004-0000-0100-0000B82B0000}"/>
    <hyperlink ref="I13272" r:id="rId11194" xr:uid="{00000000-0004-0000-0100-0000B92B0000}"/>
    <hyperlink ref="I13273" r:id="rId11195" xr:uid="{00000000-0004-0000-0100-0000BA2B0000}"/>
    <hyperlink ref="I13274" r:id="rId11196" xr:uid="{00000000-0004-0000-0100-0000BB2B0000}"/>
    <hyperlink ref="I13275" r:id="rId11197" xr:uid="{00000000-0004-0000-0100-0000BC2B0000}"/>
    <hyperlink ref="I13276" r:id="rId11198" xr:uid="{00000000-0004-0000-0100-0000BD2B0000}"/>
    <hyperlink ref="I13277" r:id="rId11199" xr:uid="{00000000-0004-0000-0100-0000BE2B0000}"/>
    <hyperlink ref="I13278" r:id="rId11200" xr:uid="{00000000-0004-0000-0100-0000BF2B0000}"/>
    <hyperlink ref="I13279" r:id="rId11201" xr:uid="{00000000-0004-0000-0100-0000C02B0000}"/>
    <hyperlink ref="I13280" r:id="rId11202" xr:uid="{00000000-0004-0000-0100-0000C12B0000}"/>
    <hyperlink ref="I13281" r:id="rId11203" xr:uid="{00000000-0004-0000-0100-0000C22B0000}"/>
    <hyperlink ref="I13282" r:id="rId11204" xr:uid="{00000000-0004-0000-0100-0000C32B0000}"/>
    <hyperlink ref="I13283" r:id="rId11205" xr:uid="{00000000-0004-0000-0100-0000C42B0000}"/>
    <hyperlink ref="I13284" r:id="rId11206" xr:uid="{00000000-0004-0000-0100-0000C52B0000}"/>
    <hyperlink ref="I13285" r:id="rId11207" xr:uid="{00000000-0004-0000-0100-0000C62B0000}"/>
    <hyperlink ref="I13286" r:id="rId11208" xr:uid="{00000000-0004-0000-0100-0000C72B0000}"/>
    <hyperlink ref="I13287" r:id="rId11209" xr:uid="{00000000-0004-0000-0100-0000C82B0000}"/>
    <hyperlink ref="I13288" r:id="rId11210" xr:uid="{00000000-0004-0000-0100-0000C92B0000}"/>
    <hyperlink ref="I13289" r:id="rId11211" xr:uid="{00000000-0004-0000-0100-0000CA2B0000}"/>
    <hyperlink ref="I13290" r:id="rId11212" xr:uid="{00000000-0004-0000-0100-0000CB2B0000}"/>
    <hyperlink ref="I13291" r:id="rId11213" xr:uid="{00000000-0004-0000-0100-0000CC2B0000}"/>
    <hyperlink ref="I13292" r:id="rId11214" xr:uid="{00000000-0004-0000-0100-0000CD2B0000}"/>
    <hyperlink ref="I13293" r:id="rId11215" xr:uid="{00000000-0004-0000-0100-0000CE2B0000}"/>
    <hyperlink ref="I13294" r:id="rId11216" xr:uid="{00000000-0004-0000-0100-0000CF2B0000}"/>
    <hyperlink ref="I13295" r:id="rId11217" xr:uid="{00000000-0004-0000-0100-0000D02B0000}"/>
    <hyperlink ref="I13296" r:id="rId11218" xr:uid="{00000000-0004-0000-0100-0000D12B0000}"/>
    <hyperlink ref="I13297" r:id="rId11219" xr:uid="{00000000-0004-0000-0100-0000D22B0000}"/>
    <hyperlink ref="I13298" r:id="rId11220" xr:uid="{00000000-0004-0000-0100-0000D32B0000}"/>
    <hyperlink ref="I13299" r:id="rId11221" xr:uid="{00000000-0004-0000-0100-0000D42B0000}"/>
    <hyperlink ref="I13300" r:id="rId11222" xr:uid="{00000000-0004-0000-0100-0000D52B0000}"/>
    <hyperlink ref="I13301" r:id="rId11223" xr:uid="{00000000-0004-0000-0100-0000D62B0000}"/>
    <hyperlink ref="I13302" r:id="rId11224" xr:uid="{00000000-0004-0000-0100-0000D72B0000}"/>
    <hyperlink ref="I13303" r:id="rId11225" xr:uid="{00000000-0004-0000-0100-0000D82B0000}"/>
    <hyperlink ref="I13304" r:id="rId11226" xr:uid="{00000000-0004-0000-0100-0000D92B0000}"/>
    <hyperlink ref="I13305" r:id="rId11227" xr:uid="{00000000-0004-0000-0100-0000DA2B0000}"/>
    <hyperlink ref="I13306" r:id="rId11228" xr:uid="{00000000-0004-0000-0100-0000DB2B0000}"/>
    <hyperlink ref="I13307" r:id="rId11229" xr:uid="{00000000-0004-0000-0100-0000DC2B0000}"/>
    <hyperlink ref="I13308" r:id="rId11230" xr:uid="{00000000-0004-0000-0100-0000DD2B0000}"/>
    <hyperlink ref="I13309" r:id="rId11231" xr:uid="{00000000-0004-0000-0100-0000DE2B0000}"/>
    <hyperlink ref="I13310" r:id="rId11232" xr:uid="{00000000-0004-0000-0100-0000DF2B0000}"/>
    <hyperlink ref="I13311" r:id="rId11233" xr:uid="{00000000-0004-0000-0100-0000E02B0000}"/>
    <hyperlink ref="I13312" r:id="rId11234" xr:uid="{00000000-0004-0000-0100-0000E12B0000}"/>
    <hyperlink ref="I13313" r:id="rId11235" xr:uid="{00000000-0004-0000-0100-0000E22B0000}"/>
    <hyperlink ref="I13314" r:id="rId11236" xr:uid="{00000000-0004-0000-0100-0000E32B0000}"/>
    <hyperlink ref="I13315" r:id="rId11237" xr:uid="{00000000-0004-0000-0100-0000E42B0000}"/>
    <hyperlink ref="I13316" r:id="rId11238" xr:uid="{00000000-0004-0000-0100-0000E52B0000}"/>
    <hyperlink ref="I13317" r:id="rId11239" xr:uid="{00000000-0004-0000-0100-0000E62B0000}"/>
    <hyperlink ref="I13318" r:id="rId11240" xr:uid="{00000000-0004-0000-0100-0000E72B0000}"/>
    <hyperlink ref="I13319" r:id="rId11241" xr:uid="{00000000-0004-0000-0100-0000E82B0000}"/>
    <hyperlink ref="I13320" r:id="rId11242" xr:uid="{00000000-0004-0000-0100-0000E92B0000}"/>
    <hyperlink ref="I13321" r:id="rId11243" xr:uid="{00000000-0004-0000-0100-0000EA2B0000}"/>
    <hyperlink ref="I13322" r:id="rId11244" xr:uid="{00000000-0004-0000-0100-0000EB2B0000}"/>
    <hyperlink ref="I13323" r:id="rId11245" xr:uid="{00000000-0004-0000-0100-0000EC2B0000}"/>
    <hyperlink ref="I13324" r:id="rId11246" xr:uid="{00000000-0004-0000-0100-0000ED2B0000}"/>
    <hyperlink ref="I13325" r:id="rId11247" xr:uid="{00000000-0004-0000-0100-0000EE2B0000}"/>
    <hyperlink ref="I13326" r:id="rId11248" xr:uid="{00000000-0004-0000-0100-0000EF2B0000}"/>
    <hyperlink ref="I13327" r:id="rId11249" xr:uid="{00000000-0004-0000-0100-0000F02B0000}"/>
    <hyperlink ref="I13328" r:id="rId11250" xr:uid="{00000000-0004-0000-0100-0000F12B0000}"/>
    <hyperlink ref="I13329" r:id="rId11251" xr:uid="{00000000-0004-0000-0100-0000F22B0000}"/>
    <hyperlink ref="I13330" r:id="rId11252" xr:uid="{00000000-0004-0000-0100-0000F32B0000}"/>
    <hyperlink ref="I13331" r:id="rId11253" xr:uid="{00000000-0004-0000-0100-0000F42B0000}"/>
    <hyperlink ref="I13332" r:id="rId11254" xr:uid="{00000000-0004-0000-0100-0000F52B0000}"/>
    <hyperlink ref="I13333" r:id="rId11255" xr:uid="{00000000-0004-0000-0100-0000F62B0000}"/>
    <hyperlink ref="I13334" r:id="rId11256" xr:uid="{00000000-0004-0000-0100-0000F72B0000}"/>
    <hyperlink ref="I13335" r:id="rId11257" xr:uid="{00000000-0004-0000-0100-0000F82B0000}"/>
    <hyperlink ref="I13336" r:id="rId11258" xr:uid="{00000000-0004-0000-0100-0000F92B0000}"/>
    <hyperlink ref="I13337" r:id="rId11259" xr:uid="{00000000-0004-0000-0100-0000FA2B0000}"/>
    <hyperlink ref="I13338" r:id="rId11260" xr:uid="{00000000-0004-0000-0100-0000FB2B0000}"/>
    <hyperlink ref="I13339" r:id="rId11261" xr:uid="{00000000-0004-0000-0100-0000FC2B0000}"/>
    <hyperlink ref="I13340" r:id="rId11262" xr:uid="{00000000-0004-0000-0100-0000FD2B0000}"/>
    <hyperlink ref="I13341" r:id="rId11263" xr:uid="{00000000-0004-0000-0100-0000FE2B0000}"/>
    <hyperlink ref="I13342" r:id="rId11264" xr:uid="{00000000-0004-0000-0100-0000FF2B0000}"/>
    <hyperlink ref="I13343" r:id="rId11265" xr:uid="{00000000-0004-0000-0100-0000002C0000}"/>
    <hyperlink ref="I13344" r:id="rId11266" xr:uid="{00000000-0004-0000-0100-0000012C0000}"/>
    <hyperlink ref="I13345" r:id="rId11267" xr:uid="{00000000-0004-0000-0100-0000022C0000}"/>
    <hyperlink ref="I13346" r:id="rId11268" xr:uid="{00000000-0004-0000-0100-0000032C0000}"/>
    <hyperlink ref="I13347" r:id="rId11269" xr:uid="{00000000-0004-0000-0100-0000042C0000}"/>
    <hyperlink ref="I13348" r:id="rId11270" xr:uid="{00000000-0004-0000-0100-0000052C0000}"/>
    <hyperlink ref="I13349" r:id="rId11271" xr:uid="{00000000-0004-0000-0100-0000062C0000}"/>
    <hyperlink ref="I13350" r:id="rId11272" xr:uid="{00000000-0004-0000-0100-0000072C0000}"/>
    <hyperlink ref="I13351" r:id="rId11273" xr:uid="{00000000-0004-0000-0100-0000082C0000}"/>
    <hyperlink ref="I13352" r:id="rId11274" xr:uid="{00000000-0004-0000-0100-0000092C0000}"/>
    <hyperlink ref="I13353" r:id="rId11275" xr:uid="{00000000-0004-0000-0100-00000A2C0000}"/>
    <hyperlink ref="I13354" r:id="rId11276" xr:uid="{00000000-0004-0000-0100-00000B2C0000}"/>
    <hyperlink ref="I13355" r:id="rId11277" xr:uid="{00000000-0004-0000-0100-00000C2C0000}"/>
    <hyperlink ref="I13356" r:id="rId11278" xr:uid="{00000000-0004-0000-0100-00000D2C0000}"/>
    <hyperlink ref="I13357" r:id="rId11279" xr:uid="{00000000-0004-0000-0100-00000E2C0000}"/>
    <hyperlink ref="I13358" r:id="rId11280" xr:uid="{00000000-0004-0000-0100-00000F2C0000}"/>
    <hyperlink ref="I13359" r:id="rId11281" xr:uid="{00000000-0004-0000-0100-0000102C0000}"/>
    <hyperlink ref="I13360" r:id="rId11282" xr:uid="{00000000-0004-0000-0100-0000112C0000}"/>
    <hyperlink ref="I13361" r:id="rId11283" xr:uid="{00000000-0004-0000-0100-0000122C0000}"/>
    <hyperlink ref="I13362" r:id="rId11284" xr:uid="{00000000-0004-0000-0100-0000132C0000}"/>
    <hyperlink ref="I13363" r:id="rId11285" xr:uid="{00000000-0004-0000-0100-0000142C0000}"/>
    <hyperlink ref="I13364" r:id="rId11286" xr:uid="{00000000-0004-0000-0100-0000152C0000}"/>
    <hyperlink ref="I13365" r:id="rId11287" xr:uid="{00000000-0004-0000-0100-0000162C0000}"/>
    <hyperlink ref="I13366" r:id="rId11288" xr:uid="{00000000-0004-0000-0100-0000172C0000}"/>
    <hyperlink ref="I13367" r:id="rId11289" xr:uid="{00000000-0004-0000-0100-0000182C0000}"/>
    <hyperlink ref="I13368" r:id="rId11290" xr:uid="{00000000-0004-0000-0100-0000192C0000}"/>
    <hyperlink ref="I13369" r:id="rId11291" xr:uid="{00000000-0004-0000-0100-00001A2C0000}"/>
    <hyperlink ref="I13370" r:id="rId11292" xr:uid="{00000000-0004-0000-0100-00001B2C0000}"/>
    <hyperlink ref="I13371" r:id="rId11293" xr:uid="{00000000-0004-0000-0100-00001C2C0000}"/>
    <hyperlink ref="I13372" r:id="rId11294" xr:uid="{00000000-0004-0000-0100-00001D2C0000}"/>
    <hyperlink ref="I13373" r:id="rId11295" xr:uid="{00000000-0004-0000-0100-00001E2C0000}"/>
    <hyperlink ref="I13374" r:id="rId11296" xr:uid="{00000000-0004-0000-0100-00001F2C0000}"/>
    <hyperlink ref="I13375" r:id="rId11297" xr:uid="{00000000-0004-0000-0100-0000202C0000}"/>
    <hyperlink ref="I13376" r:id="rId11298" xr:uid="{00000000-0004-0000-0100-0000212C0000}"/>
    <hyperlink ref="I13377" r:id="rId11299" xr:uid="{00000000-0004-0000-0100-0000222C0000}"/>
    <hyperlink ref="I13378" r:id="rId11300" xr:uid="{00000000-0004-0000-0100-0000232C0000}"/>
    <hyperlink ref="I13379" r:id="rId11301" xr:uid="{00000000-0004-0000-0100-0000242C0000}"/>
    <hyperlink ref="I13380" r:id="rId11302" xr:uid="{00000000-0004-0000-0100-0000252C0000}"/>
    <hyperlink ref="I13381" r:id="rId11303" xr:uid="{00000000-0004-0000-0100-0000262C0000}"/>
    <hyperlink ref="I13382" r:id="rId11304" xr:uid="{00000000-0004-0000-0100-0000272C0000}"/>
    <hyperlink ref="I13383" r:id="rId11305" xr:uid="{00000000-0004-0000-0100-0000282C0000}"/>
    <hyperlink ref="I13384" r:id="rId11306" xr:uid="{00000000-0004-0000-0100-0000292C0000}"/>
    <hyperlink ref="I13385" r:id="rId11307" xr:uid="{00000000-0004-0000-0100-00002A2C0000}"/>
    <hyperlink ref="I13386" r:id="rId11308" xr:uid="{00000000-0004-0000-0100-00002B2C0000}"/>
    <hyperlink ref="I13387" r:id="rId11309" xr:uid="{00000000-0004-0000-0100-00002C2C0000}"/>
    <hyperlink ref="I13388" r:id="rId11310" xr:uid="{00000000-0004-0000-0100-00002D2C0000}"/>
    <hyperlink ref="I13389" r:id="rId11311" xr:uid="{00000000-0004-0000-0100-00002E2C0000}"/>
    <hyperlink ref="I13390" r:id="rId11312" xr:uid="{00000000-0004-0000-0100-00002F2C0000}"/>
    <hyperlink ref="I13391" r:id="rId11313" xr:uid="{00000000-0004-0000-0100-0000302C0000}"/>
    <hyperlink ref="I13392" r:id="rId11314" xr:uid="{00000000-0004-0000-0100-0000312C0000}"/>
    <hyperlink ref="I13393" r:id="rId11315" xr:uid="{00000000-0004-0000-0100-0000322C0000}"/>
    <hyperlink ref="I13394" r:id="rId11316" xr:uid="{00000000-0004-0000-0100-0000332C0000}"/>
    <hyperlink ref="I13395" r:id="rId11317" xr:uid="{00000000-0004-0000-0100-0000342C0000}"/>
    <hyperlink ref="I13396" r:id="rId11318" xr:uid="{00000000-0004-0000-0100-0000352C0000}"/>
    <hyperlink ref="I13397" r:id="rId11319" xr:uid="{00000000-0004-0000-0100-0000362C0000}"/>
    <hyperlink ref="I13398" r:id="rId11320" xr:uid="{00000000-0004-0000-0100-0000372C0000}"/>
    <hyperlink ref="I13399" r:id="rId11321" xr:uid="{00000000-0004-0000-0100-0000382C0000}"/>
    <hyperlink ref="I13400" r:id="rId11322" xr:uid="{00000000-0004-0000-0100-0000392C0000}"/>
    <hyperlink ref="I13401" r:id="rId11323" xr:uid="{00000000-0004-0000-0100-00003A2C0000}"/>
    <hyperlink ref="I13402" r:id="rId11324" xr:uid="{00000000-0004-0000-0100-00003B2C0000}"/>
    <hyperlink ref="I13403" r:id="rId11325" xr:uid="{00000000-0004-0000-0100-00003C2C0000}"/>
    <hyperlink ref="I13404" r:id="rId11326" xr:uid="{00000000-0004-0000-0100-00003D2C0000}"/>
    <hyperlink ref="I13405" r:id="rId11327" xr:uid="{00000000-0004-0000-0100-00003E2C0000}"/>
    <hyperlink ref="I13406" r:id="rId11328" xr:uid="{00000000-0004-0000-0100-00003F2C0000}"/>
    <hyperlink ref="I13407" r:id="rId11329" xr:uid="{00000000-0004-0000-0100-0000402C0000}"/>
    <hyperlink ref="I13408" r:id="rId11330" xr:uid="{00000000-0004-0000-0100-0000412C0000}"/>
    <hyperlink ref="I13409" r:id="rId11331" xr:uid="{00000000-0004-0000-0100-0000422C0000}"/>
    <hyperlink ref="I13410" r:id="rId11332" xr:uid="{00000000-0004-0000-0100-0000432C0000}"/>
    <hyperlink ref="I13411" r:id="rId11333" xr:uid="{00000000-0004-0000-0100-0000442C0000}"/>
    <hyperlink ref="I13412" r:id="rId11334" xr:uid="{00000000-0004-0000-0100-0000452C0000}"/>
    <hyperlink ref="I13413" r:id="rId11335" xr:uid="{00000000-0004-0000-0100-0000462C0000}"/>
    <hyperlink ref="I13414" r:id="rId11336" xr:uid="{00000000-0004-0000-0100-0000472C0000}"/>
    <hyperlink ref="I13415" r:id="rId11337" xr:uid="{00000000-0004-0000-0100-0000482C0000}"/>
    <hyperlink ref="I13416" r:id="rId11338" xr:uid="{00000000-0004-0000-0100-0000492C0000}"/>
    <hyperlink ref="I13417" r:id="rId11339" xr:uid="{00000000-0004-0000-0100-00004A2C0000}"/>
    <hyperlink ref="I13418" r:id="rId11340" xr:uid="{00000000-0004-0000-0100-00004B2C0000}"/>
    <hyperlink ref="I13419" r:id="rId11341" xr:uid="{00000000-0004-0000-0100-00004C2C0000}"/>
    <hyperlink ref="I13420" r:id="rId11342" xr:uid="{00000000-0004-0000-0100-00004D2C0000}"/>
    <hyperlink ref="I13421" r:id="rId11343" xr:uid="{00000000-0004-0000-0100-00004E2C0000}"/>
    <hyperlink ref="I13422" r:id="rId11344" xr:uid="{00000000-0004-0000-0100-00004F2C0000}"/>
    <hyperlink ref="I13423" r:id="rId11345" xr:uid="{00000000-0004-0000-0100-0000502C0000}"/>
    <hyperlink ref="I13424" r:id="rId11346" xr:uid="{00000000-0004-0000-0100-0000512C0000}"/>
    <hyperlink ref="I13425" r:id="rId11347" xr:uid="{00000000-0004-0000-0100-0000522C0000}"/>
    <hyperlink ref="I13426" r:id="rId11348" xr:uid="{00000000-0004-0000-0100-0000532C0000}"/>
    <hyperlink ref="I13427" r:id="rId11349" xr:uid="{00000000-0004-0000-0100-0000542C0000}"/>
    <hyperlink ref="I13428" r:id="rId11350" xr:uid="{00000000-0004-0000-0100-0000552C0000}"/>
    <hyperlink ref="I13429" r:id="rId11351" xr:uid="{00000000-0004-0000-0100-0000562C0000}"/>
    <hyperlink ref="I13430" r:id="rId11352" xr:uid="{00000000-0004-0000-0100-0000572C0000}"/>
    <hyperlink ref="I13431" r:id="rId11353" xr:uid="{00000000-0004-0000-0100-0000582C0000}"/>
    <hyperlink ref="I13432" r:id="rId11354" xr:uid="{00000000-0004-0000-0100-0000592C0000}"/>
    <hyperlink ref="I13433" r:id="rId11355" xr:uid="{00000000-0004-0000-0100-00005A2C0000}"/>
    <hyperlink ref="I13434" r:id="rId11356" xr:uid="{00000000-0004-0000-0100-00005B2C0000}"/>
    <hyperlink ref="I13435" r:id="rId11357" xr:uid="{00000000-0004-0000-0100-00005C2C0000}"/>
    <hyperlink ref="I13436" r:id="rId11358" xr:uid="{00000000-0004-0000-0100-00005D2C0000}"/>
    <hyperlink ref="I13437" r:id="rId11359" xr:uid="{00000000-0004-0000-0100-00005E2C0000}"/>
    <hyperlink ref="I13438" r:id="rId11360" xr:uid="{00000000-0004-0000-0100-00005F2C0000}"/>
    <hyperlink ref="I13439" r:id="rId11361" xr:uid="{00000000-0004-0000-0100-0000602C0000}"/>
    <hyperlink ref="I13440" r:id="rId11362" xr:uid="{00000000-0004-0000-0100-0000612C0000}"/>
    <hyperlink ref="I13441" r:id="rId11363" xr:uid="{00000000-0004-0000-0100-0000622C0000}"/>
    <hyperlink ref="I13442" r:id="rId11364" xr:uid="{00000000-0004-0000-0100-0000632C0000}"/>
    <hyperlink ref="I13443" r:id="rId11365" xr:uid="{00000000-0004-0000-0100-0000642C0000}"/>
    <hyperlink ref="I13444" r:id="rId11366" xr:uid="{00000000-0004-0000-0100-0000652C0000}"/>
    <hyperlink ref="I13445" r:id="rId11367" xr:uid="{00000000-0004-0000-0100-0000662C0000}"/>
    <hyperlink ref="I13446" r:id="rId11368" xr:uid="{00000000-0004-0000-0100-0000672C0000}"/>
    <hyperlink ref="I13447" r:id="rId11369" xr:uid="{00000000-0004-0000-0100-0000682C0000}"/>
    <hyperlink ref="I13448" r:id="rId11370" xr:uid="{00000000-0004-0000-0100-0000692C0000}"/>
    <hyperlink ref="I13449" r:id="rId11371" xr:uid="{00000000-0004-0000-0100-00006A2C0000}"/>
    <hyperlink ref="I13450" r:id="rId11372" xr:uid="{00000000-0004-0000-0100-00006B2C0000}"/>
    <hyperlink ref="I13451" r:id="rId11373" xr:uid="{00000000-0004-0000-0100-00006C2C0000}"/>
    <hyperlink ref="I13452" r:id="rId11374" xr:uid="{00000000-0004-0000-0100-00006D2C0000}"/>
    <hyperlink ref="I13453" r:id="rId11375" xr:uid="{00000000-0004-0000-0100-00006E2C0000}"/>
    <hyperlink ref="I13454" r:id="rId11376" xr:uid="{00000000-0004-0000-0100-00006F2C0000}"/>
    <hyperlink ref="I13455" r:id="rId11377" xr:uid="{00000000-0004-0000-0100-0000702C0000}"/>
    <hyperlink ref="I13456" r:id="rId11378" xr:uid="{00000000-0004-0000-0100-0000712C0000}"/>
    <hyperlink ref="I13457" r:id="rId11379" xr:uid="{00000000-0004-0000-0100-0000722C0000}"/>
    <hyperlink ref="I13458" r:id="rId11380" xr:uid="{00000000-0004-0000-0100-0000732C0000}"/>
    <hyperlink ref="I13459" r:id="rId11381" xr:uid="{00000000-0004-0000-0100-0000742C0000}"/>
    <hyperlink ref="I13460" r:id="rId11382" xr:uid="{00000000-0004-0000-0100-0000752C0000}"/>
    <hyperlink ref="I13461" r:id="rId11383" xr:uid="{00000000-0004-0000-0100-0000762C0000}"/>
    <hyperlink ref="I13462" r:id="rId11384" xr:uid="{00000000-0004-0000-0100-0000772C0000}"/>
    <hyperlink ref="I13463" r:id="rId11385" xr:uid="{00000000-0004-0000-0100-0000782C0000}"/>
    <hyperlink ref="I13464" r:id="rId11386" xr:uid="{00000000-0004-0000-0100-0000792C0000}"/>
    <hyperlink ref="I13465" r:id="rId11387" xr:uid="{00000000-0004-0000-0100-00007A2C0000}"/>
    <hyperlink ref="I13466" r:id="rId11388" xr:uid="{00000000-0004-0000-0100-00007B2C0000}"/>
    <hyperlink ref="I13467" r:id="rId11389" xr:uid="{00000000-0004-0000-0100-00007C2C0000}"/>
    <hyperlink ref="I13468" r:id="rId11390" xr:uid="{00000000-0004-0000-0100-00007D2C0000}"/>
    <hyperlink ref="I13469" r:id="rId11391" xr:uid="{00000000-0004-0000-0100-00007E2C0000}"/>
    <hyperlink ref="I13470" r:id="rId11392" xr:uid="{00000000-0004-0000-0100-00007F2C0000}"/>
    <hyperlink ref="I13471" r:id="rId11393" xr:uid="{00000000-0004-0000-0100-0000802C0000}"/>
    <hyperlink ref="I13472" r:id="rId11394" xr:uid="{00000000-0004-0000-0100-0000812C0000}"/>
    <hyperlink ref="I13473" r:id="rId11395" xr:uid="{00000000-0004-0000-0100-0000822C0000}"/>
    <hyperlink ref="I13474" r:id="rId11396" xr:uid="{00000000-0004-0000-0100-0000832C0000}"/>
    <hyperlink ref="I13475" r:id="rId11397" xr:uid="{00000000-0004-0000-0100-0000842C0000}"/>
    <hyperlink ref="I13476" r:id="rId11398" xr:uid="{00000000-0004-0000-0100-0000852C0000}"/>
    <hyperlink ref="I13477" r:id="rId11399" xr:uid="{00000000-0004-0000-0100-0000862C0000}"/>
    <hyperlink ref="I13478" r:id="rId11400" xr:uid="{00000000-0004-0000-0100-0000872C0000}"/>
    <hyperlink ref="I13479" r:id="rId11401" xr:uid="{00000000-0004-0000-0100-0000882C0000}"/>
    <hyperlink ref="I13480" r:id="rId11402" xr:uid="{00000000-0004-0000-0100-0000892C0000}"/>
    <hyperlink ref="I13481" r:id="rId11403" xr:uid="{00000000-0004-0000-0100-00008A2C0000}"/>
    <hyperlink ref="I13482" r:id="rId11404" xr:uid="{00000000-0004-0000-0100-00008B2C0000}"/>
    <hyperlink ref="I13483" r:id="rId11405" xr:uid="{00000000-0004-0000-0100-00008C2C0000}"/>
    <hyperlink ref="I13484" r:id="rId11406" xr:uid="{00000000-0004-0000-0100-00008D2C0000}"/>
    <hyperlink ref="I13485" r:id="rId11407" xr:uid="{00000000-0004-0000-0100-00008E2C0000}"/>
    <hyperlink ref="I13486" r:id="rId11408" xr:uid="{00000000-0004-0000-0100-00008F2C0000}"/>
    <hyperlink ref="I13487" r:id="rId11409" xr:uid="{00000000-0004-0000-0100-0000902C0000}"/>
    <hyperlink ref="I13488" r:id="rId11410" xr:uid="{00000000-0004-0000-0100-0000912C0000}"/>
    <hyperlink ref="I13489" r:id="rId11411" xr:uid="{00000000-0004-0000-0100-0000922C0000}"/>
    <hyperlink ref="I13490" r:id="rId11412" xr:uid="{00000000-0004-0000-0100-0000932C0000}"/>
    <hyperlink ref="I13491" r:id="rId11413" xr:uid="{00000000-0004-0000-0100-0000942C0000}"/>
    <hyperlink ref="I13492" r:id="rId11414" xr:uid="{00000000-0004-0000-0100-0000952C0000}"/>
    <hyperlink ref="I13493" r:id="rId11415" xr:uid="{00000000-0004-0000-0100-0000962C0000}"/>
    <hyperlink ref="I13494" r:id="rId11416" xr:uid="{00000000-0004-0000-0100-0000972C0000}"/>
    <hyperlink ref="I13495" r:id="rId11417" xr:uid="{00000000-0004-0000-0100-0000982C0000}"/>
    <hyperlink ref="I13496" r:id="rId11418" xr:uid="{00000000-0004-0000-0100-0000992C0000}"/>
    <hyperlink ref="I13497" r:id="rId11419" xr:uid="{00000000-0004-0000-0100-00009A2C0000}"/>
    <hyperlink ref="I13498" r:id="rId11420" xr:uid="{00000000-0004-0000-0100-00009B2C0000}"/>
    <hyperlink ref="I13499" r:id="rId11421" xr:uid="{00000000-0004-0000-0100-00009C2C0000}"/>
    <hyperlink ref="I13500" r:id="rId11422" xr:uid="{00000000-0004-0000-0100-00009D2C0000}"/>
    <hyperlink ref="I13501" r:id="rId11423" xr:uid="{00000000-0004-0000-0100-00009E2C0000}"/>
    <hyperlink ref="I13502" r:id="rId11424" xr:uid="{00000000-0004-0000-0100-00009F2C0000}"/>
    <hyperlink ref="I13503" r:id="rId11425" xr:uid="{00000000-0004-0000-0100-0000A02C0000}"/>
    <hyperlink ref="I13504" r:id="rId11426" xr:uid="{00000000-0004-0000-0100-0000A12C0000}"/>
    <hyperlink ref="I13505" r:id="rId11427" xr:uid="{00000000-0004-0000-0100-0000A22C0000}"/>
    <hyperlink ref="I13506" r:id="rId11428" xr:uid="{00000000-0004-0000-0100-0000A32C0000}"/>
    <hyperlink ref="I13507" r:id="rId11429" xr:uid="{00000000-0004-0000-0100-0000A42C0000}"/>
    <hyperlink ref="I13508" r:id="rId11430" xr:uid="{00000000-0004-0000-0100-0000A52C0000}"/>
    <hyperlink ref="I13509" r:id="rId11431" xr:uid="{00000000-0004-0000-0100-0000A62C0000}"/>
    <hyperlink ref="I13510" r:id="rId11432" xr:uid="{00000000-0004-0000-0100-0000A72C0000}"/>
    <hyperlink ref="I13511" r:id="rId11433" xr:uid="{00000000-0004-0000-0100-0000A82C0000}"/>
    <hyperlink ref="I13512" r:id="rId11434" xr:uid="{00000000-0004-0000-0100-0000A92C0000}"/>
    <hyperlink ref="I13513" r:id="rId11435" xr:uid="{00000000-0004-0000-0100-0000AA2C0000}"/>
    <hyperlink ref="I13514" r:id="rId11436" xr:uid="{00000000-0004-0000-0100-0000AB2C0000}"/>
    <hyperlink ref="I13515" r:id="rId11437" xr:uid="{00000000-0004-0000-0100-0000AC2C0000}"/>
    <hyperlink ref="I13516" r:id="rId11438" xr:uid="{00000000-0004-0000-0100-0000AD2C0000}"/>
    <hyperlink ref="I13517" r:id="rId11439" xr:uid="{00000000-0004-0000-0100-0000AE2C0000}"/>
    <hyperlink ref="I13518" r:id="rId11440" xr:uid="{00000000-0004-0000-0100-0000AF2C0000}"/>
    <hyperlink ref="I13519" r:id="rId11441" xr:uid="{00000000-0004-0000-0100-0000B02C0000}"/>
    <hyperlink ref="I13520" r:id="rId11442" xr:uid="{00000000-0004-0000-0100-0000B12C0000}"/>
    <hyperlink ref="I13521" r:id="rId11443" xr:uid="{00000000-0004-0000-0100-0000B22C0000}"/>
    <hyperlink ref="I13522" r:id="rId11444" xr:uid="{00000000-0004-0000-0100-0000B32C0000}"/>
    <hyperlink ref="I13523" r:id="rId11445" xr:uid="{00000000-0004-0000-0100-0000B42C0000}"/>
    <hyperlink ref="I13524" r:id="rId11446" xr:uid="{00000000-0004-0000-0100-0000B52C0000}"/>
    <hyperlink ref="I13525" r:id="rId11447" xr:uid="{00000000-0004-0000-0100-0000B62C0000}"/>
    <hyperlink ref="I13526" r:id="rId11448" xr:uid="{00000000-0004-0000-0100-0000B72C0000}"/>
    <hyperlink ref="I13527" r:id="rId11449" xr:uid="{00000000-0004-0000-0100-0000B82C0000}"/>
    <hyperlink ref="I13528" r:id="rId11450" xr:uid="{00000000-0004-0000-0100-0000B92C0000}"/>
    <hyperlink ref="I13529" r:id="rId11451" xr:uid="{00000000-0004-0000-0100-0000BA2C0000}"/>
    <hyperlink ref="I13530" r:id="rId11452" xr:uid="{00000000-0004-0000-0100-0000BB2C0000}"/>
    <hyperlink ref="I13531" r:id="rId11453" xr:uid="{00000000-0004-0000-0100-0000BC2C0000}"/>
    <hyperlink ref="I13532" r:id="rId11454" xr:uid="{00000000-0004-0000-0100-0000BD2C0000}"/>
    <hyperlink ref="I13533" r:id="rId11455" xr:uid="{00000000-0004-0000-0100-0000BE2C0000}"/>
    <hyperlink ref="I13534" r:id="rId11456" xr:uid="{00000000-0004-0000-0100-0000BF2C0000}"/>
    <hyperlink ref="I13535" r:id="rId11457" xr:uid="{00000000-0004-0000-0100-0000C02C0000}"/>
    <hyperlink ref="I13536" r:id="rId11458" xr:uid="{00000000-0004-0000-0100-0000C12C0000}"/>
    <hyperlink ref="I13537" r:id="rId11459" xr:uid="{00000000-0004-0000-0100-0000C22C0000}"/>
    <hyperlink ref="I13538" r:id="rId11460" xr:uid="{00000000-0004-0000-0100-0000C32C0000}"/>
    <hyperlink ref="I13539" r:id="rId11461" xr:uid="{00000000-0004-0000-0100-0000C42C0000}"/>
    <hyperlink ref="I13540" r:id="rId11462" xr:uid="{00000000-0004-0000-0100-0000C52C0000}"/>
    <hyperlink ref="I13541" r:id="rId11463" xr:uid="{00000000-0004-0000-0100-0000C62C0000}"/>
    <hyperlink ref="I13542" r:id="rId11464" xr:uid="{00000000-0004-0000-0100-0000C72C0000}"/>
    <hyperlink ref="I13543" r:id="rId11465" xr:uid="{00000000-0004-0000-0100-0000C82C0000}"/>
    <hyperlink ref="I13544" r:id="rId11466" xr:uid="{00000000-0004-0000-0100-0000C92C0000}"/>
    <hyperlink ref="I13545" r:id="rId11467" xr:uid="{00000000-0004-0000-0100-0000CA2C0000}"/>
    <hyperlink ref="I13546" r:id="rId11468" xr:uid="{00000000-0004-0000-0100-0000CB2C0000}"/>
    <hyperlink ref="I13547" r:id="rId11469" xr:uid="{00000000-0004-0000-0100-0000CC2C0000}"/>
    <hyperlink ref="I13548" r:id="rId11470" xr:uid="{00000000-0004-0000-0100-0000CD2C0000}"/>
    <hyperlink ref="I13549" r:id="rId11471" xr:uid="{00000000-0004-0000-0100-0000CE2C0000}"/>
    <hyperlink ref="I13550" r:id="rId11472" xr:uid="{00000000-0004-0000-0100-0000CF2C0000}"/>
    <hyperlink ref="I13551" r:id="rId11473" xr:uid="{00000000-0004-0000-0100-0000D02C0000}"/>
    <hyperlink ref="I13552" r:id="rId11474" xr:uid="{00000000-0004-0000-0100-0000D12C0000}"/>
    <hyperlink ref="I13553" r:id="rId11475" xr:uid="{00000000-0004-0000-0100-0000D22C0000}"/>
    <hyperlink ref="I13554" r:id="rId11476" xr:uid="{00000000-0004-0000-0100-0000D32C0000}"/>
    <hyperlink ref="I13555" r:id="rId11477" xr:uid="{00000000-0004-0000-0100-0000D42C0000}"/>
    <hyperlink ref="I13556" r:id="rId11478" xr:uid="{00000000-0004-0000-0100-0000D52C0000}"/>
    <hyperlink ref="I13557" r:id="rId11479" xr:uid="{00000000-0004-0000-0100-0000D62C0000}"/>
    <hyperlink ref="I13558" r:id="rId11480" xr:uid="{00000000-0004-0000-0100-0000D72C0000}"/>
    <hyperlink ref="I13559" r:id="rId11481" xr:uid="{00000000-0004-0000-0100-0000D82C0000}"/>
    <hyperlink ref="I13560" r:id="rId11482" xr:uid="{00000000-0004-0000-0100-0000D92C0000}"/>
    <hyperlink ref="I13561" r:id="rId11483" xr:uid="{00000000-0004-0000-0100-0000DA2C0000}"/>
    <hyperlink ref="I13562" r:id="rId11484" xr:uid="{00000000-0004-0000-0100-0000DB2C0000}"/>
    <hyperlink ref="I13563" r:id="rId11485" xr:uid="{00000000-0004-0000-0100-0000DC2C0000}"/>
    <hyperlink ref="I13564" r:id="rId11486" xr:uid="{00000000-0004-0000-0100-0000DD2C0000}"/>
    <hyperlink ref="I13565" r:id="rId11487" xr:uid="{00000000-0004-0000-0100-0000DE2C0000}"/>
    <hyperlink ref="I13566" r:id="rId11488" xr:uid="{00000000-0004-0000-0100-0000DF2C0000}"/>
    <hyperlink ref="I13567" r:id="rId11489" xr:uid="{00000000-0004-0000-0100-0000E02C0000}"/>
    <hyperlink ref="I13568" r:id="rId11490" xr:uid="{00000000-0004-0000-0100-0000E12C0000}"/>
    <hyperlink ref="I13569" r:id="rId11491" xr:uid="{00000000-0004-0000-0100-0000E22C0000}"/>
    <hyperlink ref="I13570" r:id="rId11492" xr:uid="{00000000-0004-0000-0100-0000E32C0000}"/>
    <hyperlink ref="I13571" r:id="rId11493" xr:uid="{00000000-0004-0000-0100-0000E42C0000}"/>
    <hyperlink ref="I13572" r:id="rId11494" xr:uid="{00000000-0004-0000-0100-0000E52C0000}"/>
    <hyperlink ref="I13573" r:id="rId11495" xr:uid="{00000000-0004-0000-0100-0000E62C0000}"/>
    <hyperlink ref="I13574" r:id="rId11496" xr:uid="{00000000-0004-0000-0100-0000E72C0000}"/>
    <hyperlink ref="I13575" r:id="rId11497" xr:uid="{00000000-0004-0000-0100-0000E82C0000}"/>
    <hyperlink ref="I13576" r:id="rId11498" xr:uid="{00000000-0004-0000-0100-0000E92C0000}"/>
    <hyperlink ref="I13577" r:id="rId11499" xr:uid="{00000000-0004-0000-0100-0000EA2C0000}"/>
    <hyperlink ref="I13578" r:id="rId11500" xr:uid="{00000000-0004-0000-0100-0000EB2C0000}"/>
    <hyperlink ref="I13579" r:id="rId11501" xr:uid="{00000000-0004-0000-0100-0000EC2C0000}"/>
    <hyperlink ref="I13580" r:id="rId11502" xr:uid="{00000000-0004-0000-0100-0000ED2C0000}"/>
    <hyperlink ref="I13581" r:id="rId11503" xr:uid="{00000000-0004-0000-0100-0000EE2C0000}"/>
    <hyperlink ref="I13582" r:id="rId11504" xr:uid="{00000000-0004-0000-0100-0000EF2C0000}"/>
    <hyperlink ref="I13583" r:id="rId11505" xr:uid="{00000000-0004-0000-0100-0000F02C0000}"/>
    <hyperlink ref="I13584" r:id="rId11506" xr:uid="{00000000-0004-0000-0100-0000F12C0000}"/>
    <hyperlink ref="I13585" r:id="rId11507" xr:uid="{00000000-0004-0000-0100-0000F22C0000}"/>
    <hyperlink ref="I13586" r:id="rId11508" xr:uid="{00000000-0004-0000-0100-0000F32C0000}"/>
    <hyperlink ref="I13587" r:id="rId11509" xr:uid="{00000000-0004-0000-0100-0000F42C0000}"/>
    <hyperlink ref="I13588" r:id="rId11510" xr:uid="{00000000-0004-0000-0100-0000F52C0000}"/>
    <hyperlink ref="I13589" r:id="rId11511" xr:uid="{00000000-0004-0000-0100-0000F62C0000}"/>
    <hyperlink ref="I13590" r:id="rId11512" xr:uid="{00000000-0004-0000-0100-0000F72C0000}"/>
    <hyperlink ref="I13591" r:id="rId11513" xr:uid="{00000000-0004-0000-0100-0000F82C0000}"/>
    <hyperlink ref="I13592" r:id="rId11514" xr:uid="{00000000-0004-0000-0100-0000F92C0000}"/>
    <hyperlink ref="I13593" r:id="rId11515" xr:uid="{00000000-0004-0000-0100-0000FA2C0000}"/>
    <hyperlink ref="I13594" r:id="rId11516" xr:uid="{00000000-0004-0000-0100-0000FB2C0000}"/>
    <hyperlink ref="I13595" r:id="rId11517" xr:uid="{00000000-0004-0000-0100-0000FC2C0000}"/>
    <hyperlink ref="I13596" r:id="rId11518" xr:uid="{00000000-0004-0000-0100-0000FD2C0000}"/>
    <hyperlink ref="I13597" r:id="rId11519" xr:uid="{00000000-0004-0000-0100-0000FE2C0000}"/>
    <hyperlink ref="I13598" r:id="rId11520" xr:uid="{00000000-0004-0000-0100-0000FF2C0000}"/>
    <hyperlink ref="I13599" r:id="rId11521" xr:uid="{00000000-0004-0000-0100-0000002D0000}"/>
    <hyperlink ref="I13600" r:id="rId11522" xr:uid="{00000000-0004-0000-0100-0000012D0000}"/>
    <hyperlink ref="I13601" r:id="rId11523" xr:uid="{00000000-0004-0000-0100-0000022D0000}"/>
    <hyperlink ref="I13602" r:id="rId11524" xr:uid="{00000000-0004-0000-0100-0000032D0000}"/>
    <hyperlink ref="I13603" r:id="rId11525" xr:uid="{00000000-0004-0000-0100-0000042D0000}"/>
    <hyperlink ref="I13604" r:id="rId11526" xr:uid="{00000000-0004-0000-0100-0000052D0000}"/>
    <hyperlink ref="I13605" r:id="rId11527" xr:uid="{00000000-0004-0000-0100-0000062D0000}"/>
    <hyperlink ref="I13606" r:id="rId11528" xr:uid="{00000000-0004-0000-0100-0000072D0000}"/>
    <hyperlink ref="I13607" r:id="rId11529" xr:uid="{00000000-0004-0000-0100-0000082D0000}"/>
    <hyperlink ref="I13608" r:id="rId11530" xr:uid="{00000000-0004-0000-0100-0000092D0000}"/>
    <hyperlink ref="I13609" r:id="rId11531" xr:uid="{00000000-0004-0000-0100-00000A2D0000}"/>
    <hyperlink ref="I13610" r:id="rId11532" xr:uid="{00000000-0004-0000-0100-00000B2D0000}"/>
    <hyperlink ref="I13611" r:id="rId11533" xr:uid="{00000000-0004-0000-0100-00000C2D0000}"/>
    <hyperlink ref="I13612" r:id="rId11534" xr:uid="{00000000-0004-0000-0100-00000D2D0000}"/>
    <hyperlink ref="I13613" r:id="rId11535" xr:uid="{00000000-0004-0000-0100-00000E2D0000}"/>
    <hyperlink ref="I13614" r:id="rId11536" xr:uid="{00000000-0004-0000-0100-00000F2D0000}"/>
    <hyperlink ref="I13615" r:id="rId11537" xr:uid="{00000000-0004-0000-0100-0000102D0000}"/>
    <hyperlink ref="I13616" r:id="rId11538" xr:uid="{00000000-0004-0000-0100-0000112D0000}"/>
    <hyperlink ref="I13617" r:id="rId11539" xr:uid="{00000000-0004-0000-0100-0000122D0000}"/>
    <hyperlink ref="I13618" r:id="rId11540" xr:uid="{00000000-0004-0000-0100-0000132D0000}"/>
    <hyperlink ref="I13619" r:id="rId11541" xr:uid="{00000000-0004-0000-0100-0000142D0000}"/>
    <hyperlink ref="I13620" r:id="rId11542" xr:uid="{00000000-0004-0000-0100-0000152D0000}"/>
    <hyperlink ref="I13621" r:id="rId11543" xr:uid="{00000000-0004-0000-0100-0000162D0000}"/>
    <hyperlink ref="I13622" r:id="rId11544" xr:uid="{00000000-0004-0000-0100-0000172D0000}"/>
    <hyperlink ref="I13623" r:id="rId11545" xr:uid="{00000000-0004-0000-0100-0000182D0000}"/>
    <hyperlink ref="I13624" r:id="rId11546" xr:uid="{00000000-0004-0000-0100-0000192D0000}"/>
    <hyperlink ref="I13625" r:id="rId11547" xr:uid="{00000000-0004-0000-0100-00001A2D0000}"/>
    <hyperlink ref="I13626" r:id="rId11548" xr:uid="{00000000-0004-0000-0100-00001B2D0000}"/>
    <hyperlink ref="I13627" r:id="rId11549" xr:uid="{00000000-0004-0000-0100-00001C2D0000}"/>
    <hyperlink ref="I13628" r:id="rId11550" xr:uid="{00000000-0004-0000-0100-00001D2D0000}"/>
    <hyperlink ref="I13629" r:id="rId11551" xr:uid="{00000000-0004-0000-0100-00001E2D0000}"/>
    <hyperlink ref="I13630" r:id="rId11552" xr:uid="{00000000-0004-0000-0100-00001F2D0000}"/>
    <hyperlink ref="I13631" r:id="rId11553" xr:uid="{00000000-0004-0000-0100-0000202D0000}"/>
    <hyperlink ref="I13632" r:id="rId11554" xr:uid="{00000000-0004-0000-0100-0000212D0000}"/>
    <hyperlink ref="I13633" r:id="rId11555" xr:uid="{00000000-0004-0000-0100-0000222D0000}"/>
    <hyperlink ref="I13634" r:id="rId11556" xr:uid="{00000000-0004-0000-0100-0000232D0000}"/>
    <hyperlink ref="I13635" r:id="rId11557" xr:uid="{00000000-0004-0000-0100-0000242D0000}"/>
    <hyperlink ref="I13636" r:id="rId11558" xr:uid="{00000000-0004-0000-0100-0000252D0000}"/>
    <hyperlink ref="I13637" r:id="rId11559" xr:uid="{00000000-0004-0000-0100-0000262D0000}"/>
    <hyperlink ref="I13638" r:id="rId11560" xr:uid="{00000000-0004-0000-0100-0000272D0000}"/>
    <hyperlink ref="I13639" r:id="rId11561" xr:uid="{00000000-0004-0000-0100-0000282D0000}"/>
    <hyperlink ref="I13640" r:id="rId11562" xr:uid="{00000000-0004-0000-0100-0000292D0000}"/>
    <hyperlink ref="I13641" r:id="rId11563" xr:uid="{00000000-0004-0000-0100-00002A2D0000}"/>
    <hyperlink ref="I13642" r:id="rId11564" xr:uid="{00000000-0004-0000-0100-00002B2D0000}"/>
    <hyperlink ref="I13643" r:id="rId11565" xr:uid="{00000000-0004-0000-0100-00002C2D0000}"/>
    <hyperlink ref="I13644" r:id="rId11566" xr:uid="{00000000-0004-0000-0100-00002D2D0000}"/>
    <hyperlink ref="I13645" r:id="rId11567" xr:uid="{00000000-0004-0000-0100-00002E2D0000}"/>
    <hyperlink ref="I13646" r:id="rId11568" xr:uid="{00000000-0004-0000-0100-00002F2D0000}"/>
    <hyperlink ref="I13647" r:id="rId11569" xr:uid="{00000000-0004-0000-0100-0000302D0000}"/>
    <hyperlink ref="I13648" r:id="rId11570" xr:uid="{00000000-0004-0000-0100-0000312D0000}"/>
    <hyperlink ref="I13649" r:id="rId11571" xr:uid="{00000000-0004-0000-0100-0000322D0000}"/>
    <hyperlink ref="I13650" r:id="rId11572" xr:uid="{00000000-0004-0000-0100-0000332D0000}"/>
    <hyperlink ref="I13651" r:id="rId11573" xr:uid="{00000000-0004-0000-0100-0000342D0000}"/>
    <hyperlink ref="I13652" r:id="rId11574" xr:uid="{00000000-0004-0000-0100-0000352D0000}"/>
    <hyperlink ref="I13653" r:id="rId11575" xr:uid="{00000000-0004-0000-0100-0000362D0000}"/>
    <hyperlink ref="I13654" r:id="rId11576" xr:uid="{00000000-0004-0000-0100-0000372D0000}"/>
    <hyperlink ref="I13655" r:id="rId11577" xr:uid="{00000000-0004-0000-0100-0000382D0000}"/>
    <hyperlink ref="I13656" r:id="rId11578" xr:uid="{00000000-0004-0000-0100-0000392D0000}"/>
    <hyperlink ref="I13657" r:id="rId11579" xr:uid="{00000000-0004-0000-0100-00003A2D0000}"/>
    <hyperlink ref="I13658" r:id="rId11580" xr:uid="{00000000-0004-0000-0100-00003B2D0000}"/>
    <hyperlink ref="I13659" r:id="rId11581" xr:uid="{00000000-0004-0000-0100-00003C2D0000}"/>
    <hyperlink ref="I13660" r:id="rId11582" xr:uid="{00000000-0004-0000-0100-00003D2D0000}"/>
    <hyperlink ref="I13661" r:id="rId11583" xr:uid="{00000000-0004-0000-0100-00003E2D0000}"/>
    <hyperlink ref="I13662" r:id="rId11584" xr:uid="{00000000-0004-0000-0100-00003F2D0000}"/>
    <hyperlink ref="I13663" r:id="rId11585" xr:uid="{00000000-0004-0000-0100-0000402D0000}"/>
    <hyperlink ref="I13664" r:id="rId11586" xr:uid="{00000000-0004-0000-0100-0000412D0000}"/>
    <hyperlink ref="I13665" r:id="rId11587" xr:uid="{00000000-0004-0000-0100-0000422D0000}"/>
    <hyperlink ref="I13666" r:id="rId11588" xr:uid="{00000000-0004-0000-0100-0000432D0000}"/>
    <hyperlink ref="I13667" r:id="rId11589" xr:uid="{00000000-0004-0000-0100-0000442D0000}"/>
    <hyperlink ref="I13668" r:id="rId11590" xr:uid="{00000000-0004-0000-0100-0000452D0000}"/>
    <hyperlink ref="I13669" r:id="rId11591" xr:uid="{00000000-0004-0000-0100-0000462D0000}"/>
    <hyperlink ref="I13670" r:id="rId11592" xr:uid="{00000000-0004-0000-0100-0000472D0000}"/>
    <hyperlink ref="I13671" r:id="rId11593" xr:uid="{00000000-0004-0000-0100-0000482D0000}"/>
    <hyperlink ref="I13672" r:id="rId11594" xr:uid="{00000000-0004-0000-0100-0000492D0000}"/>
    <hyperlink ref="I13673" r:id="rId11595" xr:uid="{00000000-0004-0000-0100-00004A2D0000}"/>
    <hyperlink ref="I13674" r:id="rId11596" xr:uid="{00000000-0004-0000-0100-00004B2D0000}"/>
    <hyperlink ref="I13675" r:id="rId11597" xr:uid="{00000000-0004-0000-0100-00004C2D0000}"/>
    <hyperlink ref="I13676" r:id="rId11598" xr:uid="{00000000-0004-0000-0100-00004D2D0000}"/>
    <hyperlink ref="I13677" r:id="rId11599" xr:uid="{00000000-0004-0000-0100-00004E2D0000}"/>
    <hyperlink ref="I13678" r:id="rId11600" xr:uid="{00000000-0004-0000-0100-00004F2D0000}"/>
    <hyperlink ref="I13679" r:id="rId11601" xr:uid="{00000000-0004-0000-0100-0000502D0000}"/>
    <hyperlink ref="I13680" r:id="rId11602" xr:uid="{00000000-0004-0000-0100-0000512D0000}"/>
    <hyperlink ref="I13681" r:id="rId11603" xr:uid="{00000000-0004-0000-0100-0000522D0000}"/>
    <hyperlink ref="I13682" r:id="rId11604" xr:uid="{00000000-0004-0000-0100-0000532D0000}"/>
    <hyperlink ref="I13683" r:id="rId11605" xr:uid="{00000000-0004-0000-0100-0000542D0000}"/>
    <hyperlink ref="I13684" r:id="rId11606" xr:uid="{00000000-0004-0000-0100-0000552D0000}"/>
    <hyperlink ref="I13685" r:id="rId11607" xr:uid="{00000000-0004-0000-0100-0000562D0000}"/>
    <hyperlink ref="I13686" r:id="rId11608" xr:uid="{00000000-0004-0000-0100-0000572D0000}"/>
    <hyperlink ref="I13687" r:id="rId11609" xr:uid="{00000000-0004-0000-0100-0000582D0000}"/>
    <hyperlink ref="I13688" r:id="rId11610" xr:uid="{00000000-0004-0000-0100-0000592D0000}"/>
    <hyperlink ref="I13689" r:id="rId11611" xr:uid="{00000000-0004-0000-0100-00005A2D0000}"/>
    <hyperlink ref="I13690" r:id="rId11612" xr:uid="{00000000-0004-0000-0100-00005B2D0000}"/>
    <hyperlink ref="I13691" r:id="rId11613" xr:uid="{00000000-0004-0000-0100-00005C2D0000}"/>
    <hyperlink ref="I13692" r:id="rId11614" xr:uid="{00000000-0004-0000-0100-00005D2D0000}"/>
    <hyperlink ref="I13693" r:id="rId11615" xr:uid="{00000000-0004-0000-0100-00005E2D0000}"/>
    <hyperlink ref="I13694" r:id="rId11616" xr:uid="{00000000-0004-0000-0100-00005F2D0000}"/>
    <hyperlink ref="I13695" r:id="rId11617" xr:uid="{00000000-0004-0000-0100-0000602D0000}"/>
    <hyperlink ref="I13696" r:id="rId11618" xr:uid="{00000000-0004-0000-0100-0000612D0000}"/>
    <hyperlink ref="I13697" r:id="rId11619" xr:uid="{00000000-0004-0000-0100-0000622D0000}"/>
    <hyperlink ref="I13698" r:id="rId11620" xr:uid="{00000000-0004-0000-0100-0000632D0000}"/>
    <hyperlink ref="I13699" r:id="rId11621" xr:uid="{00000000-0004-0000-0100-0000642D0000}"/>
    <hyperlink ref="I13700" r:id="rId11622" xr:uid="{00000000-0004-0000-0100-0000652D0000}"/>
    <hyperlink ref="I13701" r:id="rId11623" xr:uid="{00000000-0004-0000-0100-0000662D0000}"/>
    <hyperlink ref="I13702" r:id="rId11624" xr:uid="{00000000-0004-0000-0100-0000672D0000}"/>
    <hyperlink ref="I13703" r:id="rId11625" xr:uid="{00000000-0004-0000-0100-0000682D0000}"/>
    <hyperlink ref="I13704" r:id="rId11626" xr:uid="{00000000-0004-0000-0100-0000692D0000}"/>
    <hyperlink ref="I13705" r:id="rId11627" xr:uid="{00000000-0004-0000-0100-00006A2D0000}"/>
    <hyperlink ref="I13706" r:id="rId11628" xr:uid="{00000000-0004-0000-0100-00006B2D0000}"/>
    <hyperlink ref="I13707" r:id="rId11629" xr:uid="{00000000-0004-0000-0100-00006C2D0000}"/>
    <hyperlink ref="I13708" r:id="rId11630" xr:uid="{00000000-0004-0000-0100-00006D2D0000}"/>
    <hyperlink ref="I13709" r:id="rId11631" xr:uid="{00000000-0004-0000-0100-00006E2D0000}"/>
    <hyperlink ref="I13710" r:id="rId11632" xr:uid="{00000000-0004-0000-0100-00006F2D0000}"/>
    <hyperlink ref="I13711" r:id="rId11633" xr:uid="{00000000-0004-0000-0100-0000702D0000}"/>
    <hyperlink ref="I13712" r:id="rId11634" xr:uid="{00000000-0004-0000-0100-0000712D0000}"/>
    <hyperlink ref="I13713" r:id="rId11635" xr:uid="{00000000-0004-0000-0100-0000722D0000}"/>
    <hyperlink ref="I13714" r:id="rId11636" xr:uid="{00000000-0004-0000-0100-0000732D0000}"/>
    <hyperlink ref="I13715" r:id="rId11637" xr:uid="{00000000-0004-0000-0100-0000742D0000}"/>
    <hyperlink ref="I13716" r:id="rId11638" xr:uid="{00000000-0004-0000-0100-0000752D0000}"/>
    <hyperlink ref="I13717" r:id="rId11639" xr:uid="{00000000-0004-0000-0100-0000762D0000}"/>
    <hyperlink ref="I13718" r:id="rId11640" xr:uid="{00000000-0004-0000-0100-0000772D0000}"/>
    <hyperlink ref="I13719" r:id="rId11641" xr:uid="{00000000-0004-0000-0100-0000782D0000}"/>
    <hyperlink ref="I13720" r:id="rId11642" xr:uid="{00000000-0004-0000-0100-0000792D0000}"/>
    <hyperlink ref="I13721" r:id="rId11643" xr:uid="{00000000-0004-0000-0100-00007A2D0000}"/>
    <hyperlink ref="I13722" r:id="rId11644" xr:uid="{00000000-0004-0000-0100-00007B2D0000}"/>
    <hyperlink ref="I13723" r:id="rId11645" xr:uid="{00000000-0004-0000-0100-00007C2D0000}"/>
    <hyperlink ref="I13724" r:id="rId11646" xr:uid="{00000000-0004-0000-0100-00007D2D0000}"/>
    <hyperlink ref="I13725" r:id="rId11647" xr:uid="{00000000-0004-0000-0100-00007E2D0000}"/>
    <hyperlink ref="I13726" r:id="rId11648" xr:uid="{00000000-0004-0000-0100-00007F2D0000}"/>
    <hyperlink ref="I13727" r:id="rId11649" xr:uid="{00000000-0004-0000-0100-0000802D0000}"/>
    <hyperlink ref="I13728" r:id="rId11650" xr:uid="{00000000-0004-0000-0100-0000812D0000}"/>
    <hyperlink ref="I13729" r:id="rId11651" xr:uid="{00000000-0004-0000-0100-0000822D0000}"/>
    <hyperlink ref="I13730" r:id="rId11652" xr:uid="{00000000-0004-0000-0100-0000832D0000}"/>
    <hyperlink ref="I13731" r:id="rId11653" xr:uid="{00000000-0004-0000-0100-0000842D0000}"/>
    <hyperlink ref="I13732" r:id="rId11654" xr:uid="{00000000-0004-0000-0100-0000852D0000}"/>
    <hyperlink ref="I13733" r:id="rId11655" xr:uid="{00000000-0004-0000-0100-0000862D0000}"/>
    <hyperlink ref="I13734" r:id="rId11656" xr:uid="{00000000-0004-0000-0100-0000872D0000}"/>
    <hyperlink ref="I13735" r:id="rId11657" xr:uid="{00000000-0004-0000-0100-0000882D0000}"/>
    <hyperlink ref="I13736" r:id="rId11658" xr:uid="{00000000-0004-0000-0100-0000892D0000}"/>
    <hyperlink ref="I13737" r:id="rId11659" xr:uid="{00000000-0004-0000-0100-00008A2D0000}"/>
    <hyperlink ref="I13738" r:id="rId11660" xr:uid="{00000000-0004-0000-0100-00008B2D0000}"/>
    <hyperlink ref="I13739" r:id="rId11661" xr:uid="{00000000-0004-0000-0100-00008C2D0000}"/>
    <hyperlink ref="I13740" r:id="rId11662" xr:uid="{00000000-0004-0000-0100-00008D2D0000}"/>
    <hyperlink ref="I13741" r:id="rId11663" xr:uid="{00000000-0004-0000-0100-00008E2D0000}"/>
    <hyperlink ref="I13742" r:id="rId11664" xr:uid="{00000000-0004-0000-0100-00008F2D0000}"/>
    <hyperlink ref="I13743" r:id="rId11665" xr:uid="{00000000-0004-0000-0100-0000902D0000}"/>
    <hyperlink ref="I13744" r:id="rId11666" xr:uid="{00000000-0004-0000-0100-0000912D0000}"/>
    <hyperlink ref="I13745" r:id="rId11667" xr:uid="{00000000-0004-0000-0100-0000922D0000}"/>
    <hyperlink ref="I13746" r:id="rId11668" xr:uid="{00000000-0004-0000-0100-0000932D0000}"/>
    <hyperlink ref="I13747" r:id="rId11669" xr:uid="{00000000-0004-0000-0100-0000942D0000}"/>
    <hyperlink ref="I13748" r:id="rId11670" xr:uid="{00000000-0004-0000-0100-0000952D0000}"/>
    <hyperlink ref="I13749" r:id="rId11671" xr:uid="{00000000-0004-0000-0100-0000962D0000}"/>
    <hyperlink ref="I13750" r:id="rId11672" xr:uid="{00000000-0004-0000-0100-0000972D0000}"/>
    <hyperlink ref="I13751" r:id="rId11673" xr:uid="{00000000-0004-0000-0100-0000982D0000}"/>
    <hyperlink ref="I13752" r:id="rId11674" xr:uid="{00000000-0004-0000-0100-0000992D0000}"/>
    <hyperlink ref="I13753" r:id="rId11675" xr:uid="{00000000-0004-0000-0100-00009A2D0000}"/>
    <hyperlink ref="I13754" r:id="rId11676" xr:uid="{00000000-0004-0000-0100-00009B2D0000}"/>
    <hyperlink ref="I13755" r:id="rId11677" xr:uid="{00000000-0004-0000-0100-00009C2D0000}"/>
    <hyperlink ref="I13756" r:id="rId11678" xr:uid="{00000000-0004-0000-0100-00009D2D0000}"/>
    <hyperlink ref="I13757" r:id="rId11679" xr:uid="{00000000-0004-0000-0100-00009E2D0000}"/>
    <hyperlink ref="I13758" r:id="rId11680" xr:uid="{00000000-0004-0000-0100-00009F2D0000}"/>
    <hyperlink ref="I13759" r:id="rId11681" xr:uid="{00000000-0004-0000-0100-0000A02D0000}"/>
    <hyperlink ref="I13760" r:id="rId11682" xr:uid="{00000000-0004-0000-0100-0000A12D0000}"/>
    <hyperlink ref="I13761" r:id="rId11683" xr:uid="{00000000-0004-0000-0100-0000A22D0000}"/>
    <hyperlink ref="I13762" r:id="rId11684" xr:uid="{00000000-0004-0000-0100-0000A32D0000}"/>
    <hyperlink ref="I13763" r:id="rId11685" xr:uid="{00000000-0004-0000-0100-0000A42D0000}"/>
    <hyperlink ref="I13764" r:id="rId11686" xr:uid="{00000000-0004-0000-0100-0000A52D0000}"/>
    <hyperlink ref="I13765" r:id="rId11687" xr:uid="{00000000-0004-0000-0100-0000A62D0000}"/>
    <hyperlink ref="I13766" r:id="rId11688" xr:uid="{00000000-0004-0000-0100-0000A72D0000}"/>
    <hyperlink ref="I13767" r:id="rId11689" xr:uid="{00000000-0004-0000-0100-0000A82D0000}"/>
    <hyperlink ref="I13768" r:id="rId11690" xr:uid="{00000000-0004-0000-0100-0000A92D0000}"/>
    <hyperlink ref="I13769" r:id="rId11691" xr:uid="{00000000-0004-0000-0100-0000AA2D0000}"/>
    <hyperlink ref="I13770" r:id="rId11692" xr:uid="{00000000-0004-0000-0100-0000AB2D0000}"/>
    <hyperlink ref="I13771" r:id="rId11693" xr:uid="{00000000-0004-0000-0100-0000AC2D0000}"/>
    <hyperlink ref="I13772" r:id="rId11694" xr:uid="{00000000-0004-0000-0100-0000AD2D0000}"/>
    <hyperlink ref="I13773" r:id="rId11695" xr:uid="{00000000-0004-0000-0100-0000AE2D0000}"/>
    <hyperlink ref="I13774" r:id="rId11696" xr:uid="{00000000-0004-0000-0100-0000AF2D0000}"/>
    <hyperlink ref="I13775" r:id="rId11697" xr:uid="{00000000-0004-0000-0100-0000B02D0000}"/>
    <hyperlink ref="I13776" r:id="rId11698" xr:uid="{00000000-0004-0000-0100-0000B12D0000}"/>
    <hyperlink ref="I13777" r:id="rId11699" xr:uid="{00000000-0004-0000-0100-0000B22D0000}"/>
    <hyperlink ref="I13778" r:id="rId11700" xr:uid="{00000000-0004-0000-0100-0000B32D0000}"/>
    <hyperlink ref="I13779" r:id="rId11701" xr:uid="{00000000-0004-0000-0100-0000B42D0000}"/>
    <hyperlink ref="I13780" r:id="rId11702" xr:uid="{00000000-0004-0000-0100-0000B52D0000}"/>
    <hyperlink ref="I13781" r:id="rId11703" xr:uid="{00000000-0004-0000-0100-0000B62D0000}"/>
    <hyperlink ref="I13782" r:id="rId11704" xr:uid="{00000000-0004-0000-0100-0000B72D0000}"/>
    <hyperlink ref="I13783" r:id="rId11705" xr:uid="{00000000-0004-0000-0100-0000B82D0000}"/>
    <hyperlink ref="I13784" r:id="rId11706" xr:uid="{00000000-0004-0000-0100-0000B92D0000}"/>
    <hyperlink ref="I13785" r:id="rId11707" xr:uid="{00000000-0004-0000-0100-0000BA2D0000}"/>
    <hyperlink ref="I13786" r:id="rId11708" xr:uid="{00000000-0004-0000-0100-0000BB2D0000}"/>
    <hyperlink ref="I13787" r:id="rId11709" xr:uid="{00000000-0004-0000-0100-0000BC2D0000}"/>
    <hyperlink ref="I13788" r:id="rId11710" xr:uid="{00000000-0004-0000-0100-0000BD2D0000}"/>
    <hyperlink ref="I13789" r:id="rId11711" xr:uid="{00000000-0004-0000-0100-0000BE2D0000}"/>
    <hyperlink ref="I13790" r:id="rId11712" xr:uid="{00000000-0004-0000-0100-0000BF2D0000}"/>
    <hyperlink ref="I13791" r:id="rId11713" xr:uid="{00000000-0004-0000-0100-0000C02D0000}"/>
    <hyperlink ref="I13792" r:id="rId11714" xr:uid="{00000000-0004-0000-0100-0000C12D0000}"/>
    <hyperlink ref="I13793" r:id="rId11715" xr:uid="{00000000-0004-0000-0100-0000C22D0000}"/>
    <hyperlink ref="I13794" r:id="rId11716" xr:uid="{00000000-0004-0000-0100-0000C32D0000}"/>
    <hyperlink ref="I13795" r:id="rId11717" xr:uid="{00000000-0004-0000-0100-0000C42D0000}"/>
    <hyperlink ref="I13796" r:id="rId11718" xr:uid="{00000000-0004-0000-0100-0000C52D0000}"/>
    <hyperlink ref="I13797" r:id="rId11719" xr:uid="{00000000-0004-0000-0100-0000C62D0000}"/>
    <hyperlink ref="I13798" r:id="rId11720" xr:uid="{00000000-0004-0000-0100-0000C72D0000}"/>
    <hyperlink ref="I13799" r:id="rId11721" xr:uid="{00000000-0004-0000-0100-0000C82D0000}"/>
    <hyperlink ref="I13800" r:id="rId11722" xr:uid="{00000000-0004-0000-0100-0000C92D0000}"/>
    <hyperlink ref="I13801" r:id="rId11723" xr:uid="{00000000-0004-0000-0100-0000CA2D0000}"/>
    <hyperlink ref="I13802" r:id="rId11724" xr:uid="{00000000-0004-0000-0100-0000CB2D0000}"/>
    <hyperlink ref="I13803" r:id="rId11725" xr:uid="{00000000-0004-0000-0100-0000CC2D0000}"/>
    <hyperlink ref="I13804" r:id="rId11726" xr:uid="{00000000-0004-0000-0100-0000CD2D0000}"/>
    <hyperlink ref="I13805" r:id="rId11727" xr:uid="{00000000-0004-0000-0100-0000CE2D0000}"/>
    <hyperlink ref="I13806" r:id="rId11728" xr:uid="{00000000-0004-0000-0100-0000CF2D0000}"/>
    <hyperlink ref="I13807" r:id="rId11729" xr:uid="{00000000-0004-0000-0100-0000D02D0000}"/>
    <hyperlink ref="I13808" r:id="rId11730" xr:uid="{00000000-0004-0000-0100-0000D12D0000}"/>
    <hyperlink ref="I13809" r:id="rId11731" xr:uid="{00000000-0004-0000-0100-0000D22D0000}"/>
    <hyperlink ref="I13810" r:id="rId11732" xr:uid="{00000000-0004-0000-0100-0000D32D0000}"/>
    <hyperlink ref="I13811" r:id="rId11733" xr:uid="{00000000-0004-0000-0100-0000D42D0000}"/>
    <hyperlink ref="I13812" r:id="rId11734" xr:uid="{00000000-0004-0000-0100-0000D52D0000}"/>
    <hyperlink ref="I13813" r:id="rId11735" xr:uid="{00000000-0004-0000-0100-0000D62D0000}"/>
    <hyperlink ref="I13814" r:id="rId11736" xr:uid="{00000000-0004-0000-0100-0000D72D0000}"/>
    <hyperlink ref="I13815" r:id="rId11737" xr:uid="{00000000-0004-0000-0100-0000D82D0000}"/>
    <hyperlink ref="I13816" r:id="rId11738" xr:uid="{00000000-0004-0000-0100-0000D92D0000}"/>
    <hyperlink ref="I13817" r:id="rId11739" xr:uid="{00000000-0004-0000-0100-0000DA2D0000}"/>
    <hyperlink ref="I13818" r:id="rId11740" xr:uid="{00000000-0004-0000-0100-0000DB2D0000}"/>
    <hyperlink ref="I13819" r:id="rId11741" xr:uid="{00000000-0004-0000-0100-0000DC2D0000}"/>
    <hyperlink ref="I13820" r:id="rId11742" xr:uid="{00000000-0004-0000-0100-0000DD2D0000}"/>
    <hyperlink ref="I13821" r:id="rId11743" xr:uid="{00000000-0004-0000-0100-0000DE2D0000}"/>
    <hyperlink ref="I13822" r:id="rId11744" xr:uid="{00000000-0004-0000-0100-0000DF2D0000}"/>
    <hyperlink ref="I13823" r:id="rId11745" xr:uid="{00000000-0004-0000-0100-0000E02D0000}"/>
    <hyperlink ref="I13824" r:id="rId11746" xr:uid="{00000000-0004-0000-0100-0000E12D0000}"/>
    <hyperlink ref="I13825" r:id="rId11747" xr:uid="{00000000-0004-0000-0100-0000E22D0000}"/>
    <hyperlink ref="I13826" r:id="rId11748" xr:uid="{00000000-0004-0000-0100-0000E32D0000}"/>
    <hyperlink ref="I13827" r:id="rId11749" xr:uid="{00000000-0004-0000-0100-0000E42D0000}"/>
    <hyperlink ref="I13828" r:id="rId11750" xr:uid="{00000000-0004-0000-0100-0000E52D0000}"/>
    <hyperlink ref="I13829" r:id="rId11751" xr:uid="{00000000-0004-0000-0100-0000E62D0000}"/>
    <hyperlink ref="I13830" r:id="rId11752" xr:uid="{00000000-0004-0000-0100-0000E72D0000}"/>
    <hyperlink ref="I13831" r:id="rId11753" xr:uid="{00000000-0004-0000-0100-0000E82D0000}"/>
    <hyperlink ref="I13832" r:id="rId11754" xr:uid="{00000000-0004-0000-0100-0000E92D0000}"/>
    <hyperlink ref="I13833" r:id="rId11755" xr:uid="{00000000-0004-0000-0100-0000EA2D0000}"/>
    <hyperlink ref="I13834" r:id="rId11756" xr:uid="{00000000-0004-0000-0100-0000EB2D0000}"/>
    <hyperlink ref="I13835" r:id="rId11757" xr:uid="{00000000-0004-0000-0100-0000EC2D0000}"/>
    <hyperlink ref="I13836" r:id="rId11758" xr:uid="{00000000-0004-0000-0100-0000ED2D0000}"/>
    <hyperlink ref="I13837" r:id="rId11759" xr:uid="{00000000-0004-0000-0100-0000EE2D0000}"/>
    <hyperlink ref="I13838" r:id="rId11760" xr:uid="{00000000-0004-0000-0100-0000EF2D0000}"/>
    <hyperlink ref="I13839" r:id="rId11761" xr:uid="{00000000-0004-0000-0100-0000F02D0000}"/>
    <hyperlink ref="I13840" r:id="rId11762" xr:uid="{00000000-0004-0000-0100-0000F12D0000}"/>
    <hyperlink ref="I13841" r:id="rId11763" xr:uid="{00000000-0004-0000-0100-0000F22D0000}"/>
    <hyperlink ref="I13842" r:id="rId11764" xr:uid="{00000000-0004-0000-0100-0000F32D0000}"/>
    <hyperlink ref="I13843" r:id="rId11765" xr:uid="{00000000-0004-0000-0100-0000F42D0000}"/>
    <hyperlink ref="I13844" r:id="rId11766" xr:uid="{00000000-0004-0000-0100-0000F52D0000}"/>
    <hyperlink ref="I13845" r:id="rId11767" xr:uid="{00000000-0004-0000-0100-0000F62D0000}"/>
    <hyperlink ref="I13846" r:id="rId11768" xr:uid="{00000000-0004-0000-0100-0000F72D0000}"/>
    <hyperlink ref="I13847" r:id="rId11769" xr:uid="{00000000-0004-0000-0100-0000F82D0000}"/>
    <hyperlink ref="I13848" r:id="rId11770" xr:uid="{00000000-0004-0000-0100-0000F92D0000}"/>
    <hyperlink ref="I13849" r:id="rId11771" xr:uid="{00000000-0004-0000-0100-0000FA2D0000}"/>
    <hyperlink ref="I13850" r:id="rId11772" xr:uid="{00000000-0004-0000-0100-0000FB2D0000}"/>
    <hyperlink ref="I13851" r:id="rId11773" xr:uid="{00000000-0004-0000-0100-0000FC2D0000}"/>
    <hyperlink ref="I13852" r:id="rId11774" xr:uid="{00000000-0004-0000-0100-0000FD2D0000}"/>
    <hyperlink ref="I13853" r:id="rId11775" xr:uid="{00000000-0004-0000-0100-0000FE2D0000}"/>
    <hyperlink ref="I13854" r:id="rId11776" xr:uid="{00000000-0004-0000-0100-0000FF2D0000}"/>
    <hyperlink ref="I13855" r:id="rId11777" xr:uid="{00000000-0004-0000-0100-0000002E0000}"/>
    <hyperlink ref="I13856" r:id="rId11778" xr:uid="{00000000-0004-0000-0100-0000012E0000}"/>
    <hyperlink ref="I13857" r:id="rId11779" xr:uid="{00000000-0004-0000-0100-0000022E0000}"/>
    <hyperlink ref="I13858" r:id="rId11780" xr:uid="{00000000-0004-0000-0100-0000032E0000}"/>
    <hyperlink ref="I13859" r:id="rId11781" xr:uid="{00000000-0004-0000-0100-0000042E0000}"/>
    <hyperlink ref="I13860" r:id="rId11782" xr:uid="{00000000-0004-0000-0100-0000052E0000}"/>
    <hyperlink ref="I13861" r:id="rId11783" xr:uid="{00000000-0004-0000-0100-0000062E0000}"/>
    <hyperlink ref="I13862" r:id="rId11784" xr:uid="{00000000-0004-0000-0100-0000072E0000}"/>
    <hyperlink ref="I13863" r:id="rId11785" xr:uid="{00000000-0004-0000-0100-0000082E0000}"/>
    <hyperlink ref="I13864" r:id="rId11786" xr:uid="{00000000-0004-0000-0100-0000092E0000}"/>
    <hyperlink ref="I13865" r:id="rId11787" xr:uid="{00000000-0004-0000-0100-00000A2E0000}"/>
    <hyperlink ref="I13866" r:id="rId11788" xr:uid="{00000000-0004-0000-0100-00000B2E0000}"/>
    <hyperlink ref="I13867" r:id="rId11789" xr:uid="{00000000-0004-0000-0100-00000C2E0000}"/>
    <hyperlink ref="I13868" r:id="rId11790" xr:uid="{00000000-0004-0000-0100-00000D2E0000}"/>
    <hyperlink ref="I13869" r:id="rId11791" xr:uid="{00000000-0004-0000-0100-00000E2E0000}"/>
    <hyperlink ref="I13870" r:id="rId11792" xr:uid="{00000000-0004-0000-0100-00000F2E0000}"/>
    <hyperlink ref="I13871" r:id="rId11793" xr:uid="{00000000-0004-0000-0100-0000102E0000}"/>
    <hyperlink ref="I13872" r:id="rId11794" xr:uid="{00000000-0004-0000-0100-0000112E0000}"/>
    <hyperlink ref="I13873" r:id="rId11795" xr:uid="{00000000-0004-0000-0100-0000122E0000}"/>
    <hyperlink ref="I13874" r:id="rId11796" xr:uid="{00000000-0004-0000-0100-0000132E0000}"/>
    <hyperlink ref="I13875" r:id="rId11797" xr:uid="{00000000-0004-0000-0100-0000142E0000}"/>
    <hyperlink ref="I13876" r:id="rId11798" xr:uid="{00000000-0004-0000-0100-0000152E0000}"/>
    <hyperlink ref="I13877" r:id="rId11799" xr:uid="{00000000-0004-0000-0100-0000162E0000}"/>
    <hyperlink ref="I13878" r:id="rId11800" xr:uid="{00000000-0004-0000-0100-0000172E0000}"/>
    <hyperlink ref="I13879" r:id="rId11801" xr:uid="{00000000-0004-0000-0100-0000182E0000}"/>
    <hyperlink ref="I13880" r:id="rId11802" xr:uid="{00000000-0004-0000-0100-0000192E0000}"/>
    <hyperlink ref="I13881" r:id="rId11803" xr:uid="{00000000-0004-0000-0100-00001A2E0000}"/>
    <hyperlink ref="I13882" r:id="rId11804" xr:uid="{00000000-0004-0000-0100-00001B2E0000}"/>
    <hyperlink ref="I13883" r:id="rId11805" xr:uid="{00000000-0004-0000-0100-00001C2E0000}"/>
    <hyperlink ref="I13884" r:id="rId11806" xr:uid="{00000000-0004-0000-0100-00001D2E0000}"/>
    <hyperlink ref="I13885" r:id="rId11807" xr:uid="{00000000-0004-0000-0100-00001E2E0000}"/>
    <hyperlink ref="I13886" r:id="rId11808" xr:uid="{00000000-0004-0000-0100-00001F2E0000}"/>
    <hyperlink ref="I13887" r:id="rId11809" xr:uid="{00000000-0004-0000-0100-0000202E0000}"/>
    <hyperlink ref="I13888" r:id="rId11810" xr:uid="{00000000-0004-0000-0100-0000212E0000}"/>
    <hyperlink ref="I13889" r:id="rId11811" xr:uid="{00000000-0004-0000-0100-0000222E0000}"/>
    <hyperlink ref="I13890" r:id="rId11812" xr:uid="{00000000-0004-0000-0100-0000232E0000}"/>
    <hyperlink ref="I13891" r:id="rId11813" xr:uid="{00000000-0004-0000-0100-0000242E0000}"/>
    <hyperlink ref="I13892" r:id="rId11814" xr:uid="{00000000-0004-0000-0100-0000252E0000}"/>
    <hyperlink ref="I13893" r:id="rId11815" xr:uid="{00000000-0004-0000-0100-0000262E0000}"/>
    <hyperlink ref="I13894" r:id="rId11816" xr:uid="{00000000-0004-0000-0100-0000272E0000}"/>
    <hyperlink ref="I13895" r:id="rId11817" xr:uid="{00000000-0004-0000-0100-0000282E0000}"/>
    <hyperlink ref="I13896" r:id="rId11818" xr:uid="{00000000-0004-0000-0100-0000292E0000}"/>
    <hyperlink ref="I13897" r:id="rId11819" xr:uid="{00000000-0004-0000-0100-00002A2E0000}"/>
    <hyperlink ref="I13898" r:id="rId11820" xr:uid="{00000000-0004-0000-0100-00002B2E0000}"/>
    <hyperlink ref="I13899" r:id="rId11821" xr:uid="{00000000-0004-0000-0100-00002C2E0000}"/>
    <hyperlink ref="I13900" r:id="rId11822" xr:uid="{00000000-0004-0000-0100-00002D2E0000}"/>
    <hyperlink ref="I13901" r:id="rId11823" xr:uid="{00000000-0004-0000-0100-00002E2E0000}"/>
    <hyperlink ref="I13902" r:id="rId11824" xr:uid="{00000000-0004-0000-0100-00002F2E0000}"/>
    <hyperlink ref="I13903" r:id="rId11825" xr:uid="{00000000-0004-0000-0100-0000302E0000}"/>
    <hyperlink ref="I13904" r:id="rId11826" xr:uid="{00000000-0004-0000-0100-0000312E0000}"/>
    <hyperlink ref="I13905" r:id="rId11827" xr:uid="{00000000-0004-0000-0100-0000322E0000}"/>
    <hyperlink ref="I13906" r:id="rId11828" xr:uid="{00000000-0004-0000-0100-0000332E0000}"/>
    <hyperlink ref="I13907" r:id="rId11829" xr:uid="{00000000-0004-0000-0100-0000342E0000}"/>
    <hyperlink ref="I13908" r:id="rId11830" xr:uid="{00000000-0004-0000-0100-0000352E0000}"/>
    <hyperlink ref="I13909" r:id="rId11831" xr:uid="{00000000-0004-0000-0100-0000362E0000}"/>
    <hyperlink ref="I13910" r:id="rId11832" xr:uid="{00000000-0004-0000-0100-0000372E0000}"/>
    <hyperlink ref="I13911" r:id="rId11833" xr:uid="{00000000-0004-0000-0100-0000382E0000}"/>
    <hyperlink ref="I13912" r:id="rId11834" xr:uid="{00000000-0004-0000-0100-0000392E0000}"/>
    <hyperlink ref="I13913" r:id="rId11835" xr:uid="{00000000-0004-0000-0100-00003A2E0000}"/>
    <hyperlink ref="I13914" r:id="rId11836" xr:uid="{00000000-0004-0000-0100-00003B2E0000}"/>
    <hyperlink ref="I13915" r:id="rId11837" xr:uid="{00000000-0004-0000-0100-00003C2E0000}"/>
    <hyperlink ref="I13916" r:id="rId11838" xr:uid="{00000000-0004-0000-0100-00003D2E0000}"/>
    <hyperlink ref="I13917" r:id="rId11839" xr:uid="{00000000-0004-0000-0100-00003E2E0000}"/>
    <hyperlink ref="I13918" r:id="rId11840" xr:uid="{00000000-0004-0000-0100-00003F2E0000}"/>
    <hyperlink ref="I13919" r:id="rId11841" xr:uid="{00000000-0004-0000-0100-0000402E0000}"/>
    <hyperlink ref="I13920" r:id="rId11842" xr:uid="{00000000-0004-0000-0100-0000412E0000}"/>
    <hyperlink ref="I13921" r:id="rId11843" xr:uid="{00000000-0004-0000-0100-0000422E0000}"/>
    <hyperlink ref="I13922" r:id="rId11844" xr:uid="{00000000-0004-0000-0100-0000432E0000}"/>
    <hyperlink ref="I13923" r:id="rId11845" xr:uid="{00000000-0004-0000-0100-0000442E0000}"/>
    <hyperlink ref="I13924" r:id="rId11846" xr:uid="{00000000-0004-0000-0100-0000452E0000}"/>
    <hyperlink ref="I13925" r:id="rId11847" xr:uid="{00000000-0004-0000-0100-0000462E0000}"/>
    <hyperlink ref="I13926" r:id="rId11848" xr:uid="{00000000-0004-0000-0100-0000472E0000}"/>
    <hyperlink ref="I13927" r:id="rId11849" xr:uid="{00000000-0004-0000-0100-0000482E0000}"/>
    <hyperlink ref="I13928" r:id="rId11850" xr:uid="{00000000-0004-0000-0100-0000492E0000}"/>
    <hyperlink ref="I13929" r:id="rId11851" xr:uid="{00000000-0004-0000-0100-00004A2E0000}"/>
    <hyperlink ref="I13930" r:id="rId11852" xr:uid="{00000000-0004-0000-0100-00004B2E0000}"/>
    <hyperlink ref="I13931" r:id="rId11853" xr:uid="{00000000-0004-0000-0100-00004C2E0000}"/>
    <hyperlink ref="I13932" r:id="rId11854" xr:uid="{00000000-0004-0000-0100-00004D2E0000}"/>
    <hyperlink ref="I13933" r:id="rId11855" xr:uid="{00000000-0004-0000-0100-00004E2E0000}"/>
    <hyperlink ref="I13934" r:id="rId11856" xr:uid="{00000000-0004-0000-0100-00004F2E0000}"/>
    <hyperlink ref="I13935" r:id="rId11857" xr:uid="{00000000-0004-0000-0100-0000502E0000}"/>
    <hyperlink ref="I13936" r:id="rId11858" xr:uid="{00000000-0004-0000-0100-0000512E0000}"/>
    <hyperlink ref="I13937" r:id="rId11859" xr:uid="{00000000-0004-0000-0100-0000522E0000}"/>
    <hyperlink ref="I13938" r:id="rId11860" xr:uid="{00000000-0004-0000-0100-0000532E0000}"/>
    <hyperlink ref="I13939" r:id="rId11861" xr:uid="{00000000-0004-0000-0100-0000542E0000}"/>
    <hyperlink ref="I13940" r:id="rId11862" xr:uid="{00000000-0004-0000-0100-0000552E0000}"/>
    <hyperlink ref="I13941" r:id="rId11863" xr:uid="{00000000-0004-0000-0100-0000562E0000}"/>
    <hyperlink ref="I13942" r:id="rId11864" xr:uid="{00000000-0004-0000-0100-0000572E0000}"/>
    <hyperlink ref="I13943" r:id="rId11865" xr:uid="{00000000-0004-0000-0100-0000582E0000}"/>
    <hyperlink ref="I13944" r:id="rId11866" xr:uid="{00000000-0004-0000-0100-0000592E0000}"/>
    <hyperlink ref="I13945" r:id="rId11867" xr:uid="{00000000-0004-0000-0100-00005A2E0000}"/>
    <hyperlink ref="I13946" r:id="rId11868" xr:uid="{00000000-0004-0000-0100-00005B2E0000}"/>
    <hyperlink ref="I13947" r:id="rId11869" xr:uid="{00000000-0004-0000-0100-00005C2E0000}"/>
    <hyperlink ref="I13948" r:id="rId11870" xr:uid="{00000000-0004-0000-0100-00005D2E0000}"/>
    <hyperlink ref="I13949" r:id="rId11871" xr:uid="{00000000-0004-0000-0100-00005E2E0000}"/>
    <hyperlink ref="I13950" r:id="rId11872" xr:uid="{00000000-0004-0000-0100-00005F2E0000}"/>
    <hyperlink ref="I13951" r:id="rId11873" xr:uid="{00000000-0004-0000-0100-0000602E0000}"/>
    <hyperlink ref="I13952" r:id="rId11874" xr:uid="{00000000-0004-0000-0100-0000612E0000}"/>
    <hyperlink ref="I13953" r:id="rId11875" xr:uid="{00000000-0004-0000-0100-0000622E0000}"/>
    <hyperlink ref="I13954" r:id="rId11876" xr:uid="{00000000-0004-0000-0100-0000632E0000}"/>
    <hyperlink ref="I13955" r:id="rId11877" xr:uid="{00000000-0004-0000-0100-0000642E0000}"/>
    <hyperlink ref="I13956" r:id="rId11878" xr:uid="{00000000-0004-0000-0100-0000652E0000}"/>
    <hyperlink ref="I13957" r:id="rId11879" xr:uid="{00000000-0004-0000-0100-0000662E0000}"/>
    <hyperlink ref="I13958" r:id="rId11880" xr:uid="{00000000-0004-0000-0100-0000672E0000}"/>
    <hyperlink ref="I13959" r:id="rId11881" xr:uid="{00000000-0004-0000-0100-0000682E0000}"/>
    <hyperlink ref="I13960" r:id="rId11882" xr:uid="{00000000-0004-0000-0100-0000692E0000}"/>
    <hyperlink ref="I13961" r:id="rId11883" xr:uid="{00000000-0004-0000-0100-00006A2E0000}"/>
    <hyperlink ref="I13962" r:id="rId11884" xr:uid="{00000000-0004-0000-0100-00006B2E0000}"/>
    <hyperlink ref="I13963" r:id="rId11885" xr:uid="{00000000-0004-0000-0100-00006C2E0000}"/>
    <hyperlink ref="I13964" r:id="rId11886" xr:uid="{00000000-0004-0000-0100-00006D2E0000}"/>
    <hyperlink ref="I13965" r:id="rId11887" xr:uid="{00000000-0004-0000-0100-00006E2E0000}"/>
    <hyperlink ref="I13966" r:id="rId11888" xr:uid="{00000000-0004-0000-0100-00006F2E0000}"/>
    <hyperlink ref="I13967" r:id="rId11889" xr:uid="{00000000-0004-0000-0100-0000702E0000}"/>
    <hyperlink ref="I13968" r:id="rId11890" xr:uid="{00000000-0004-0000-0100-0000712E0000}"/>
    <hyperlink ref="I13969" r:id="rId11891" xr:uid="{00000000-0004-0000-0100-0000722E0000}"/>
    <hyperlink ref="I13970" r:id="rId11892" xr:uid="{00000000-0004-0000-0100-0000732E0000}"/>
    <hyperlink ref="I13971" r:id="rId11893" xr:uid="{00000000-0004-0000-0100-0000742E0000}"/>
    <hyperlink ref="I13972" r:id="rId11894" xr:uid="{00000000-0004-0000-0100-0000752E0000}"/>
    <hyperlink ref="I13973" r:id="rId11895" xr:uid="{00000000-0004-0000-0100-0000762E0000}"/>
    <hyperlink ref="I13974" r:id="rId11896" xr:uid="{00000000-0004-0000-0100-0000772E0000}"/>
    <hyperlink ref="I13975" r:id="rId11897" xr:uid="{00000000-0004-0000-0100-0000782E0000}"/>
    <hyperlink ref="I13976" r:id="rId11898" xr:uid="{00000000-0004-0000-0100-0000792E0000}"/>
    <hyperlink ref="I13977" r:id="rId11899" xr:uid="{00000000-0004-0000-0100-00007A2E0000}"/>
    <hyperlink ref="I13978" r:id="rId11900" xr:uid="{00000000-0004-0000-0100-00007B2E0000}"/>
    <hyperlink ref="I13979" r:id="rId11901" xr:uid="{00000000-0004-0000-0100-00007C2E0000}"/>
    <hyperlink ref="I13980" r:id="rId11902" xr:uid="{00000000-0004-0000-0100-00007D2E0000}"/>
    <hyperlink ref="I13981" r:id="rId11903" xr:uid="{00000000-0004-0000-0100-00007E2E0000}"/>
    <hyperlink ref="I13982" r:id="rId11904" xr:uid="{00000000-0004-0000-0100-00007F2E0000}"/>
    <hyperlink ref="I13983" r:id="rId11905" xr:uid="{00000000-0004-0000-0100-0000802E0000}"/>
    <hyperlink ref="I13984" r:id="rId11906" xr:uid="{00000000-0004-0000-0100-0000812E0000}"/>
    <hyperlink ref="I13985" r:id="rId11907" xr:uid="{00000000-0004-0000-0100-0000822E0000}"/>
    <hyperlink ref="I13986" r:id="rId11908" xr:uid="{00000000-0004-0000-0100-0000832E0000}"/>
    <hyperlink ref="I13987" r:id="rId11909" xr:uid="{00000000-0004-0000-0100-0000842E0000}"/>
    <hyperlink ref="I13988" r:id="rId11910" xr:uid="{00000000-0004-0000-0100-0000852E0000}"/>
    <hyperlink ref="I13989" r:id="rId11911" xr:uid="{00000000-0004-0000-0100-0000862E0000}"/>
    <hyperlink ref="I13990" r:id="rId11912" xr:uid="{00000000-0004-0000-0100-0000872E0000}"/>
    <hyperlink ref="I13991" r:id="rId11913" xr:uid="{00000000-0004-0000-0100-0000882E0000}"/>
    <hyperlink ref="I13992" r:id="rId11914" xr:uid="{00000000-0004-0000-0100-0000892E0000}"/>
    <hyperlink ref="I13993" r:id="rId11915" xr:uid="{00000000-0004-0000-0100-00008A2E0000}"/>
    <hyperlink ref="I13994" r:id="rId11916" xr:uid="{00000000-0004-0000-0100-00008B2E0000}"/>
    <hyperlink ref="I13995" r:id="rId11917" xr:uid="{00000000-0004-0000-0100-00008C2E0000}"/>
    <hyperlink ref="I13996" r:id="rId11918" xr:uid="{00000000-0004-0000-0100-00008D2E0000}"/>
    <hyperlink ref="I13997" r:id="rId11919" xr:uid="{00000000-0004-0000-0100-00008E2E0000}"/>
    <hyperlink ref="I13998" r:id="rId11920" xr:uid="{00000000-0004-0000-0100-00008F2E0000}"/>
    <hyperlink ref="I13999" r:id="rId11921" xr:uid="{00000000-0004-0000-0100-0000902E0000}"/>
    <hyperlink ref="I14000" r:id="rId11922" xr:uid="{00000000-0004-0000-0100-0000912E0000}"/>
    <hyperlink ref="I14001" r:id="rId11923" xr:uid="{00000000-0004-0000-0100-0000922E0000}"/>
    <hyperlink ref="I14002" r:id="rId11924" xr:uid="{00000000-0004-0000-0100-0000932E0000}"/>
    <hyperlink ref="I14003" r:id="rId11925" xr:uid="{00000000-0004-0000-0100-0000942E0000}"/>
    <hyperlink ref="I14004" r:id="rId11926" xr:uid="{00000000-0004-0000-0100-0000952E0000}"/>
    <hyperlink ref="I14005" r:id="rId11927" xr:uid="{00000000-0004-0000-0100-0000962E0000}"/>
    <hyperlink ref="I14006" r:id="rId11928" xr:uid="{00000000-0004-0000-0100-0000972E0000}"/>
    <hyperlink ref="I14007" r:id="rId11929" xr:uid="{00000000-0004-0000-0100-0000982E0000}"/>
    <hyperlink ref="I14008" r:id="rId11930" xr:uid="{00000000-0004-0000-0100-0000992E0000}"/>
    <hyperlink ref="I14009" r:id="rId11931" xr:uid="{00000000-0004-0000-0100-00009A2E0000}"/>
    <hyperlink ref="I14010" r:id="rId11932" xr:uid="{00000000-0004-0000-0100-00009B2E0000}"/>
    <hyperlink ref="I14011" r:id="rId11933" xr:uid="{00000000-0004-0000-0100-00009C2E0000}"/>
    <hyperlink ref="I14012" r:id="rId11934" xr:uid="{00000000-0004-0000-0100-00009D2E0000}"/>
    <hyperlink ref="I14013" r:id="rId11935" xr:uid="{00000000-0004-0000-0100-00009E2E0000}"/>
    <hyperlink ref="I14014" r:id="rId11936" xr:uid="{00000000-0004-0000-0100-00009F2E0000}"/>
    <hyperlink ref="I14015" r:id="rId11937" xr:uid="{00000000-0004-0000-0100-0000A02E0000}"/>
    <hyperlink ref="I14016" r:id="rId11938" xr:uid="{00000000-0004-0000-0100-0000A12E0000}"/>
    <hyperlink ref="I14017" r:id="rId11939" xr:uid="{00000000-0004-0000-0100-0000A22E0000}"/>
    <hyperlink ref="I14018" r:id="rId11940" xr:uid="{00000000-0004-0000-0100-0000A32E0000}"/>
    <hyperlink ref="I14019" r:id="rId11941" xr:uid="{00000000-0004-0000-0100-0000A42E0000}"/>
    <hyperlink ref="I14020" r:id="rId11942" xr:uid="{00000000-0004-0000-0100-0000A52E0000}"/>
    <hyperlink ref="I14021" r:id="rId11943" xr:uid="{00000000-0004-0000-0100-0000A62E0000}"/>
    <hyperlink ref="I14022" r:id="rId11944" xr:uid="{00000000-0004-0000-0100-0000A72E0000}"/>
    <hyperlink ref="I14023" r:id="rId11945" xr:uid="{00000000-0004-0000-0100-0000A82E0000}"/>
    <hyperlink ref="I14024" r:id="rId11946" xr:uid="{00000000-0004-0000-0100-0000A92E0000}"/>
    <hyperlink ref="I14025" r:id="rId11947" xr:uid="{00000000-0004-0000-0100-0000AA2E0000}"/>
    <hyperlink ref="I14026" r:id="rId11948" xr:uid="{00000000-0004-0000-0100-0000AB2E0000}"/>
    <hyperlink ref="I14027" r:id="rId11949" xr:uid="{00000000-0004-0000-0100-0000AC2E0000}"/>
    <hyperlink ref="I14028" r:id="rId11950" xr:uid="{00000000-0004-0000-0100-0000AD2E0000}"/>
    <hyperlink ref="I14029" r:id="rId11951" xr:uid="{00000000-0004-0000-0100-0000AE2E0000}"/>
    <hyperlink ref="I14030" r:id="rId11952" xr:uid="{00000000-0004-0000-0100-0000AF2E0000}"/>
    <hyperlink ref="I14031" r:id="rId11953" xr:uid="{00000000-0004-0000-0100-0000B02E0000}"/>
    <hyperlink ref="I14032" r:id="rId11954" xr:uid="{00000000-0004-0000-0100-0000B12E0000}"/>
    <hyperlink ref="I14033" r:id="rId11955" xr:uid="{00000000-0004-0000-0100-0000B22E0000}"/>
    <hyperlink ref="I14034" r:id="rId11956" xr:uid="{00000000-0004-0000-0100-0000B32E0000}"/>
    <hyperlink ref="I14035" r:id="rId11957" xr:uid="{00000000-0004-0000-0100-0000B42E0000}"/>
    <hyperlink ref="I14036" r:id="rId11958" xr:uid="{00000000-0004-0000-0100-0000B52E0000}"/>
    <hyperlink ref="I14037" r:id="rId11959" xr:uid="{00000000-0004-0000-0100-0000B62E0000}"/>
    <hyperlink ref="I14038" r:id="rId11960" xr:uid="{00000000-0004-0000-0100-0000B72E0000}"/>
    <hyperlink ref="I14039" r:id="rId11961" xr:uid="{00000000-0004-0000-0100-0000B82E0000}"/>
    <hyperlink ref="I14040" r:id="rId11962" xr:uid="{00000000-0004-0000-0100-0000B92E0000}"/>
    <hyperlink ref="I14041" r:id="rId11963" xr:uid="{00000000-0004-0000-0100-0000BA2E0000}"/>
    <hyperlink ref="I14042" r:id="rId11964" xr:uid="{00000000-0004-0000-0100-0000BB2E0000}"/>
    <hyperlink ref="I14043" r:id="rId11965" xr:uid="{00000000-0004-0000-0100-0000BC2E0000}"/>
    <hyperlink ref="I14044" r:id="rId11966" xr:uid="{00000000-0004-0000-0100-0000BD2E0000}"/>
    <hyperlink ref="I14045" r:id="rId11967" xr:uid="{00000000-0004-0000-0100-0000BE2E0000}"/>
    <hyperlink ref="I14046" r:id="rId11968" xr:uid="{00000000-0004-0000-0100-0000BF2E0000}"/>
    <hyperlink ref="I14047" r:id="rId11969" xr:uid="{00000000-0004-0000-0100-0000C02E0000}"/>
    <hyperlink ref="I14048" r:id="rId11970" xr:uid="{00000000-0004-0000-0100-0000C12E0000}"/>
    <hyperlink ref="I14049" r:id="rId11971" xr:uid="{00000000-0004-0000-0100-0000C22E0000}"/>
    <hyperlink ref="I14050" r:id="rId11972" xr:uid="{00000000-0004-0000-0100-0000C32E0000}"/>
    <hyperlink ref="I14051" r:id="rId11973" xr:uid="{00000000-0004-0000-0100-0000C42E0000}"/>
    <hyperlink ref="I14052" r:id="rId11974" xr:uid="{00000000-0004-0000-0100-0000C52E0000}"/>
    <hyperlink ref="I14053" r:id="rId11975" xr:uid="{00000000-0004-0000-0100-0000C62E0000}"/>
    <hyperlink ref="I14054" r:id="rId11976" xr:uid="{00000000-0004-0000-0100-0000C72E0000}"/>
    <hyperlink ref="I14055" r:id="rId11977" xr:uid="{00000000-0004-0000-0100-0000C82E0000}"/>
    <hyperlink ref="I14056" r:id="rId11978" xr:uid="{00000000-0004-0000-0100-0000C92E0000}"/>
    <hyperlink ref="I14057" r:id="rId11979" xr:uid="{00000000-0004-0000-0100-0000CA2E0000}"/>
    <hyperlink ref="I14058" r:id="rId11980" xr:uid="{00000000-0004-0000-0100-0000CB2E0000}"/>
    <hyperlink ref="I14059" r:id="rId11981" xr:uid="{00000000-0004-0000-0100-0000CC2E0000}"/>
    <hyperlink ref="I14060" r:id="rId11982" xr:uid="{00000000-0004-0000-0100-0000CD2E0000}"/>
    <hyperlink ref="I14061" r:id="rId11983" xr:uid="{00000000-0004-0000-0100-0000CE2E0000}"/>
    <hyperlink ref="I14062" r:id="rId11984" xr:uid="{00000000-0004-0000-0100-0000CF2E0000}"/>
    <hyperlink ref="I14063" r:id="rId11985" xr:uid="{00000000-0004-0000-0100-0000D02E0000}"/>
    <hyperlink ref="I14064" r:id="rId11986" xr:uid="{00000000-0004-0000-0100-0000D12E0000}"/>
    <hyperlink ref="I14065" r:id="rId11987" xr:uid="{00000000-0004-0000-0100-0000D22E0000}"/>
    <hyperlink ref="I14066" r:id="rId11988" xr:uid="{00000000-0004-0000-0100-0000D32E0000}"/>
    <hyperlink ref="I14067" r:id="rId11989" xr:uid="{00000000-0004-0000-0100-0000D42E0000}"/>
    <hyperlink ref="I14068" r:id="rId11990" xr:uid="{00000000-0004-0000-0100-0000D52E0000}"/>
    <hyperlink ref="I14069" r:id="rId11991" xr:uid="{00000000-0004-0000-0100-0000D62E0000}"/>
    <hyperlink ref="I14070" r:id="rId11992" xr:uid="{00000000-0004-0000-0100-0000D72E0000}"/>
    <hyperlink ref="I14071" r:id="rId11993" xr:uid="{00000000-0004-0000-0100-0000D82E0000}"/>
    <hyperlink ref="I14072" r:id="rId11994" xr:uid="{00000000-0004-0000-0100-0000D92E0000}"/>
    <hyperlink ref="I14073" r:id="rId11995" xr:uid="{00000000-0004-0000-0100-0000DA2E0000}"/>
    <hyperlink ref="I14074" r:id="rId11996" xr:uid="{00000000-0004-0000-0100-0000DB2E0000}"/>
    <hyperlink ref="I14075" r:id="rId11997" xr:uid="{00000000-0004-0000-0100-0000DC2E0000}"/>
    <hyperlink ref="I14076" r:id="rId11998" xr:uid="{00000000-0004-0000-0100-0000DD2E0000}"/>
    <hyperlink ref="I14077" r:id="rId11999" xr:uid="{00000000-0004-0000-0100-0000DE2E0000}"/>
    <hyperlink ref="I14078" r:id="rId12000" xr:uid="{00000000-0004-0000-0100-0000DF2E0000}"/>
    <hyperlink ref="I14079" r:id="rId12001" xr:uid="{00000000-0004-0000-0100-0000E02E0000}"/>
    <hyperlink ref="I14080" r:id="rId12002" xr:uid="{00000000-0004-0000-0100-0000E12E0000}"/>
    <hyperlink ref="I14081" r:id="rId12003" xr:uid="{00000000-0004-0000-0100-0000E22E0000}"/>
    <hyperlink ref="I14082" r:id="rId12004" xr:uid="{00000000-0004-0000-0100-0000E32E0000}"/>
    <hyperlink ref="I14083" r:id="rId12005" xr:uid="{00000000-0004-0000-0100-0000E42E0000}"/>
    <hyperlink ref="I14084" r:id="rId12006" xr:uid="{00000000-0004-0000-0100-0000E52E0000}"/>
    <hyperlink ref="I14085" r:id="rId12007" xr:uid="{00000000-0004-0000-0100-0000E62E0000}"/>
    <hyperlink ref="I14086" r:id="rId12008" xr:uid="{00000000-0004-0000-0100-0000E72E0000}"/>
    <hyperlink ref="I14087" r:id="rId12009" xr:uid="{00000000-0004-0000-0100-0000E82E0000}"/>
    <hyperlink ref="I14088" r:id="rId12010" xr:uid="{00000000-0004-0000-0100-0000E92E0000}"/>
    <hyperlink ref="I14089" r:id="rId12011" xr:uid="{00000000-0004-0000-0100-0000EA2E0000}"/>
    <hyperlink ref="I14090" r:id="rId12012" xr:uid="{00000000-0004-0000-0100-0000EB2E0000}"/>
    <hyperlink ref="I14091" r:id="rId12013" xr:uid="{00000000-0004-0000-0100-0000EC2E0000}"/>
    <hyperlink ref="I14092" r:id="rId12014" xr:uid="{00000000-0004-0000-0100-0000ED2E0000}"/>
    <hyperlink ref="I14093" r:id="rId12015" xr:uid="{00000000-0004-0000-0100-0000EE2E0000}"/>
    <hyperlink ref="I14094" r:id="rId12016" xr:uid="{00000000-0004-0000-0100-0000EF2E0000}"/>
    <hyperlink ref="I14095" r:id="rId12017" xr:uid="{00000000-0004-0000-0100-0000F02E0000}"/>
    <hyperlink ref="I14096" r:id="rId12018" xr:uid="{00000000-0004-0000-0100-0000F12E0000}"/>
    <hyperlink ref="I14097" r:id="rId12019" xr:uid="{00000000-0004-0000-0100-0000F22E0000}"/>
    <hyperlink ref="I14098" r:id="rId12020" xr:uid="{00000000-0004-0000-0100-0000F32E0000}"/>
    <hyperlink ref="I14099" r:id="rId12021" xr:uid="{00000000-0004-0000-0100-0000F42E0000}"/>
    <hyperlink ref="I14100" r:id="rId12022" xr:uid="{00000000-0004-0000-0100-0000F52E0000}"/>
    <hyperlink ref="I14101" r:id="rId12023" xr:uid="{00000000-0004-0000-0100-0000F62E0000}"/>
    <hyperlink ref="I14102" r:id="rId12024" xr:uid="{00000000-0004-0000-0100-0000F72E0000}"/>
    <hyperlink ref="I14103" r:id="rId12025" xr:uid="{00000000-0004-0000-0100-0000F82E0000}"/>
    <hyperlink ref="I14104" r:id="rId12026" xr:uid="{00000000-0004-0000-0100-0000F92E0000}"/>
    <hyperlink ref="I14105" r:id="rId12027" xr:uid="{00000000-0004-0000-0100-0000FA2E0000}"/>
    <hyperlink ref="I14106" r:id="rId12028" xr:uid="{00000000-0004-0000-0100-0000FB2E0000}"/>
    <hyperlink ref="I14107" r:id="rId12029" xr:uid="{00000000-0004-0000-0100-0000FC2E0000}"/>
    <hyperlink ref="I14108" r:id="rId12030" xr:uid="{00000000-0004-0000-0100-0000FD2E0000}"/>
    <hyperlink ref="I14109" r:id="rId12031" xr:uid="{00000000-0004-0000-0100-0000FE2E0000}"/>
    <hyperlink ref="I14110" r:id="rId12032" xr:uid="{00000000-0004-0000-0100-0000FF2E0000}"/>
    <hyperlink ref="I14111" r:id="rId12033" xr:uid="{00000000-0004-0000-0100-0000002F0000}"/>
    <hyperlink ref="I14112" r:id="rId12034" xr:uid="{00000000-0004-0000-0100-0000012F0000}"/>
    <hyperlink ref="I14113" r:id="rId12035" xr:uid="{00000000-0004-0000-0100-0000022F0000}"/>
    <hyperlink ref="I14114" r:id="rId12036" xr:uid="{00000000-0004-0000-0100-0000032F0000}"/>
    <hyperlink ref="I14115" r:id="rId12037" xr:uid="{00000000-0004-0000-0100-0000042F0000}"/>
    <hyperlink ref="I14116" r:id="rId12038" xr:uid="{00000000-0004-0000-0100-0000052F0000}"/>
    <hyperlink ref="I14117" r:id="rId12039" xr:uid="{00000000-0004-0000-0100-0000062F0000}"/>
    <hyperlink ref="I14118" r:id="rId12040" xr:uid="{00000000-0004-0000-0100-0000072F0000}"/>
    <hyperlink ref="I14119" r:id="rId12041" xr:uid="{00000000-0004-0000-0100-0000082F0000}"/>
    <hyperlink ref="I14120" r:id="rId12042" xr:uid="{00000000-0004-0000-0100-0000092F0000}"/>
    <hyperlink ref="I14121" r:id="rId12043" xr:uid="{00000000-0004-0000-0100-00000A2F0000}"/>
    <hyperlink ref="I14122" r:id="rId12044" xr:uid="{00000000-0004-0000-0100-00000B2F0000}"/>
    <hyperlink ref="I14123" r:id="rId12045" xr:uid="{00000000-0004-0000-0100-00000C2F0000}"/>
    <hyperlink ref="I14124" r:id="rId12046" xr:uid="{00000000-0004-0000-0100-00000D2F0000}"/>
    <hyperlink ref="I14125" r:id="rId12047" xr:uid="{00000000-0004-0000-0100-00000E2F0000}"/>
    <hyperlink ref="I14126" r:id="rId12048" xr:uid="{00000000-0004-0000-0100-00000F2F0000}"/>
    <hyperlink ref="I14127" r:id="rId12049" xr:uid="{00000000-0004-0000-0100-0000102F0000}"/>
    <hyperlink ref="I14128" r:id="rId12050" xr:uid="{00000000-0004-0000-0100-0000112F0000}"/>
    <hyperlink ref="I14129" r:id="rId12051" xr:uid="{00000000-0004-0000-0100-0000122F0000}"/>
    <hyperlink ref="I14130" r:id="rId12052" xr:uid="{00000000-0004-0000-0100-0000132F0000}"/>
    <hyperlink ref="I14131" r:id="rId12053" xr:uid="{00000000-0004-0000-0100-0000142F0000}"/>
    <hyperlink ref="I14132" r:id="rId12054" xr:uid="{00000000-0004-0000-0100-0000152F0000}"/>
    <hyperlink ref="I14133" r:id="rId12055" xr:uid="{00000000-0004-0000-0100-0000162F0000}"/>
    <hyperlink ref="I14134" r:id="rId12056" xr:uid="{00000000-0004-0000-0100-0000172F0000}"/>
    <hyperlink ref="I14135" r:id="rId12057" xr:uid="{00000000-0004-0000-0100-0000182F0000}"/>
    <hyperlink ref="I14136" r:id="rId12058" xr:uid="{00000000-0004-0000-0100-0000192F0000}"/>
    <hyperlink ref="I14137" r:id="rId12059" xr:uid="{00000000-0004-0000-0100-00001A2F0000}"/>
    <hyperlink ref="I14138" r:id="rId12060" xr:uid="{00000000-0004-0000-0100-00001B2F0000}"/>
    <hyperlink ref="I14139" r:id="rId12061" xr:uid="{00000000-0004-0000-0100-00001C2F0000}"/>
    <hyperlink ref="I14140" r:id="rId12062" xr:uid="{00000000-0004-0000-0100-00001D2F0000}"/>
    <hyperlink ref="I14141" r:id="rId12063" xr:uid="{00000000-0004-0000-0100-00001E2F0000}"/>
    <hyperlink ref="I14142" r:id="rId12064" xr:uid="{00000000-0004-0000-0100-00001F2F0000}"/>
    <hyperlink ref="I14143" r:id="rId12065" xr:uid="{00000000-0004-0000-0100-0000202F0000}"/>
    <hyperlink ref="I14144" r:id="rId12066" xr:uid="{00000000-0004-0000-0100-0000212F0000}"/>
    <hyperlink ref="I14145" r:id="rId12067" xr:uid="{00000000-0004-0000-0100-0000222F0000}"/>
    <hyperlink ref="I14146" r:id="rId12068" xr:uid="{00000000-0004-0000-0100-0000232F0000}"/>
    <hyperlink ref="I14147" r:id="rId12069" xr:uid="{00000000-0004-0000-0100-0000242F0000}"/>
    <hyperlink ref="I14148" r:id="rId12070" xr:uid="{00000000-0004-0000-0100-0000252F0000}"/>
    <hyperlink ref="I14149" r:id="rId12071" xr:uid="{00000000-0004-0000-0100-0000262F0000}"/>
    <hyperlink ref="I14150" r:id="rId12072" xr:uid="{00000000-0004-0000-0100-0000272F0000}"/>
    <hyperlink ref="I14151" r:id="rId12073" xr:uid="{00000000-0004-0000-0100-0000282F0000}"/>
    <hyperlink ref="I14152" r:id="rId12074" xr:uid="{00000000-0004-0000-0100-0000292F0000}"/>
    <hyperlink ref="I14153" r:id="rId12075" xr:uid="{00000000-0004-0000-0100-00002A2F0000}"/>
    <hyperlink ref="I14154" r:id="rId12076" xr:uid="{00000000-0004-0000-0100-00002B2F0000}"/>
    <hyperlink ref="I14155" r:id="rId12077" xr:uid="{00000000-0004-0000-0100-00002C2F0000}"/>
    <hyperlink ref="I14156" r:id="rId12078" xr:uid="{00000000-0004-0000-0100-00002D2F0000}"/>
    <hyperlink ref="I14157" r:id="rId12079" xr:uid="{00000000-0004-0000-0100-00002E2F0000}"/>
    <hyperlink ref="I14158" r:id="rId12080" xr:uid="{00000000-0004-0000-0100-00002F2F0000}"/>
    <hyperlink ref="I14159" r:id="rId12081" xr:uid="{00000000-0004-0000-0100-0000302F0000}"/>
    <hyperlink ref="I14160" r:id="rId12082" xr:uid="{00000000-0004-0000-0100-0000312F0000}"/>
    <hyperlink ref="I14161" r:id="rId12083" xr:uid="{00000000-0004-0000-0100-0000322F0000}"/>
    <hyperlink ref="I14162" r:id="rId12084" xr:uid="{00000000-0004-0000-0100-0000332F0000}"/>
    <hyperlink ref="I14163" r:id="rId12085" xr:uid="{00000000-0004-0000-0100-0000342F0000}"/>
    <hyperlink ref="I14164" r:id="rId12086" xr:uid="{00000000-0004-0000-0100-0000352F0000}"/>
    <hyperlink ref="I14165" r:id="rId12087" xr:uid="{00000000-0004-0000-0100-0000362F0000}"/>
    <hyperlink ref="I14166" r:id="rId12088" xr:uid="{00000000-0004-0000-0100-0000372F0000}"/>
    <hyperlink ref="I14167" r:id="rId12089" xr:uid="{00000000-0004-0000-0100-0000382F0000}"/>
    <hyperlink ref="I14168" r:id="rId12090" xr:uid="{00000000-0004-0000-0100-0000392F0000}"/>
    <hyperlink ref="I14169" r:id="rId12091" xr:uid="{00000000-0004-0000-0100-00003A2F0000}"/>
    <hyperlink ref="I14170" r:id="rId12092" xr:uid="{00000000-0004-0000-0100-00003B2F0000}"/>
    <hyperlink ref="I14171" r:id="rId12093" xr:uid="{00000000-0004-0000-0100-00003C2F0000}"/>
    <hyperlink ref="I14172" r:id="rId12094" xr:uid="{00000000-0004-0000-0100-00003D2F0000}"/>
    <hyperlink ref="I14173" r:id="rId12095" xr:uid="{00000000-0004-0000-0100-00003E2F0000}"/>
    <hyperlink ref="I14174" r:id="rId12096" xr:uid="{00000000-0004-0000-0100-00003F2F0000}"/>
    <hyperlink ref="I14175" r:id="rId12097" xr:uid="{00000000-0004-0000-0100-0000402F0000}"/>
    <hyperlink ref="I14176" r:id="rId12098" xr:uid="{00000000-0004-0000-0100-0000412F0000}"/>
    <hyperlink ref="I14177" r:id="rId12099" xr:uid="{00000000-0004-0000-0100-0000422F0000}"/>
    <hyperlink ref="I14178" r:id="rId12100" xr:uid="{00000000-0004-0000-0100-0000432F0000}"/>
    <hyperlink ref="I14179" r:id="rId12101" xr:uid="{00000000-0004-0000-0100-0000442F0000}"/>
    <hyperlink ref="I14180" r:id="rId12102" xr:uid="{00000000-0004-0000-0100-0000452F0000}"/>
    <hyperlink ref="I14181" r:id="rId12103" xr:uid="{00000000-0004-0000-0100-0000462F0000}"/>
    <hyperlink ref="I14182" r:id="rId12104" xr:uid="{00000000-0004-0000-0100-0000472F0000}"/>
    <hyperlink ref="I14183" r:id="rId12105" xr:uid="{00000000-0004-0000-0100-0000482F0000}"/>
    <hyperlink ref="I14184" r:id="rId12106" xr:uid="{00000000-0004-0000-0100-0000492F0000}"/>
    <hyperlink ref="I14185" r:id="rId12107" xr:uid="{00000000-0004-0000-0100-00004A2F0000}"/>
    <hyperlink ref="I14186" r:id="rId12108" xr:uid="{00000000-0004-0000-0100-00004B2F0000}"/>
    <hyperlink ref="I14187" r:id="rId12109" xr:uid="{00000000-0004-0000-0100-00004C2F0000}"/>
    <hyperlink ref="I14188" r:id="rId12110" xr:uid="{00000000-0004-0000-0100-00004D2F0000}"/>
    <hyperlink ref="I14189" r:id="rId12111" xr:uid="{00000000-0004-0000-0100-00004E2F0000}"/>
    <hyperlink ref="I14190" r:id="rId12112" xr:uid="{00000000-0004-0000-0100-00004F2F0000}"/>
    <hyperlink ref="I14191" r:id="rId12113" xr:uid="{00000000-0004-0000-0100-0000502F0000}"/>
    <hyperlink ref="I14192" r:id="rId12114" xr:uid="{00000000-0004-0000-0100-0000512F0000}"/>
    <hyperlink ref="I14193" r:id="rId12115" xr:uid="{00000000-0004-0000-0100-0000522F0000}"/>
    <hyperlink ref="I14194" r:id="rId12116" xr:uid="{00000000-0004-0000-0100-0000532F0000}"/>
    <hyperlink ref="I14195" r:id="rId12117" xr:uid="{00000000-0004-0000-0100-0000542F0000}"/>
    <hyperlink ref="I14196" r:id="rId12118" xr:uid="{00000000-0004-0000-0100-0000552F0000}"/>
    <hyperlink ref="I14197" r:id="rId12119" xr:uid="{00000000-0004-0000-0100-0000562F0000}"/>
    <hyperlink ref="I14198" r:id="rId12120" xr:uid="{00000000-0004-0000-0100-0000572F0000}"/>
    <hyperlink ref="I14199" r:id="rId12121" xr:uid="{00000000-0004-0000-0100-0000582F0000}"/>
    <hyperlink ref="I14200" r:id="rId12122" xr:uid="{00000000-0004-0000-0100-0000592F0000}"/>
    <hyperlink ref="I14201" r:id="rId12123" xr:uid="{00000000-0004-0000-0100-00005A2F0000}"/>
    <hyperlink ref="I14202" r:id="rId12124" xr:uid="{00000000-0004-0000-0100-00005B2F0000}"/>
    <hyperlink ref="I14203" r:id="rId12125" xr:uid="{00000000-0004-0000-0100-00005C2F0000}"/>
    <hyperlink ref="I14204" r:id="rId12126" xr:uid="{00000000-0004-0000-0100-00005D2F0000}"/>
    <hyperlink ref="I14205" r:id="rId12127" xr:uid="{00000000-0004-0000-0100-00005E2F0000}"/>
    <hyperlink ref="I14206" r:id="rId12128" xr:uid="{00000000-0004-0000-0100-00005F2F0000}"/>
    <hyperlink ref="I14207" r:id="rId12129" xr:uid="{00000000-0004-0000-0100-0000602F0000}"/>
    <hyperlink ref="I14208" r:id="rId12130" xr:uid="{00000000-0004-0000-0100-0000612F0000}"/>
    <hyperlink ref="I14209" r:id="rId12131" xr:uid="{00000000-0004-0000-0100-0000622F0000}"/>
    <hyperlink ref="I14210" r:id="rId12132" xr:uid="{00000000-0004-0000-0100-0000632F0000}"/>
    <hyperlink ref="I14211" r:id="rId12133" xr:uid="{00000000-0004-0000-0100-0000642F0000}"/>
    <hyperlink ref="I14212" r:id="rId12134" xr:uid="{00000000-0004-0000-0100-0000652F0000}"/>
    <hyperlink ref="I14213" r:id="rId12135" xr:uid="{00000000-0004-0000-0100-0000662F0000}"/>
    <hyperlink ref="I14214" r:id="rId12136" xr:uid="{00000000-0004-0000-0100-0000672F0000}"/>
    <hyperlink ref="I14215" r:id="rId12137" xr:uid="{00000000-0004-0000-0100-0000682F0000}"/>
    <hyperlink ref="I14216" r:id="rId12138" xr:uid="{00000000-0004-0000-0100-0000692F0000}"/>
    <hyperlink ref="I14217" r:id="rId12139" xr:uid="{00000000-0004-0000-0100-00006A2F0000}"/>
    <hyperlink ref="I14218" r:id="rId12140" xr:uid="{00000000-0004-0000-0100-00006B2F0000}"/>
    <hyperlink ref="I14219" r:id="rId12141" xr:uid="{00000000-0004-0000-0100-00006C2F0000}"/>
    <hyperlink ref="I14220" r:id="rId12142" xr:uid="{00000000-0004-0000-0100-00006D2F0000}"/>
    <hyperlink ref="I14221" r:id="rId12143" xr:uid="{00000000-0004-0000-0100-00006E2F0000}"/>
    <hyperlink ref="I14222" r:id="rId12144" xr:uid="{00000000-0004-0000-0100-00006F2F0000}"/>
    <hyperlink ref="I14223" r:id="rId12145" xr:uid="{00000000-0004-0000-0100-0000702F0000}"/>
    <hyperlink ref="I14224" r:id="rId12146" xr:uid="{00000000-0004-0000-0100-0000712F0000}"/>
    <hyperlink ref="I14225" r:id="rId12147" xr:uid="{00000000-0004-0000-0100-0000722F0000}"/>
    <hyperlink ref="I14226" r:id="rId12148" xr:uid="{00000000-0004-0000-0100-0000732F0000}"/>
    <hyperlink ref="I14227" r:id="rId12149" xr:uid="{00000000-0004-0000-0100-0000742F0000}"/>
    <hyperlink ref="I14228" r:id="rId12150" xr:uid="{00000000-0004-0000-0100-0000752F0000}"/>
    <hyperlink ref="I14229" r:id="rId12151" xr:uid="{00000000-0004-0000-0100-0000762F0000}"/>
    <hyperlink ref="I14230" r:id="rId12152" xr:uid="{00000000-0004-0000-0100-0000772F0000}"/>
    <hyperlink ref="I14231" r:id="rId12153" xr:uid="{00000000-0004-0000-0100-0000782F0000}"/>
    <hyperlink ref="I14232" r:id="rId12154" xr:uid="{00000000-0004-0000-0100-0000792F0000}"/>
    <hyperlink ref="I14233" r:id="rId12155" xr:uid="{00000000-0004-0000-0100-00007A2F0000}"/>
    <hyperlink ref="I14234" r:id="rId12156" xr:uid="{00000000-0004-0000-0100-00007B2F0000}"/>
    <hyperlink ref="I14235" r:id="rId12157" xr:uid="{00000000-0004-0000-0100-00007C2F0000}"/>
    <hyperlink ref="I14236" r:id="rId12158" xr:uid="{00000000-0004-0000-0100-00007D2F0000}"/>
    <hyperlink ref="I14237" r:id="rId12159" xr:uid="{00000000-0004-0000-0100-00007E2F0000}"/>
    <hyperlink ref="I14238" r:id="rId12160" xr:uid="{00000000-0004-0000-0100-00007F2F0000}"/>
    <hyperlink ref="I14239" r:id="rId12161" xr:uid="{00000000-0004-0000-0100-0000802F0000}"/>
    <hyperlink ref="I14240" r:id="rId12162" xr:uid="{00000000-0004-0000-0100-0000812F0000}"/>
    <hyperlink ref="I14241" r:id="rId12163" xr:uid="{00000000-0004-0000-0100-0000822F0000}"/>
    <hyperlink ref="I14242" r:id="rId12164" xr:uid="{00000000-0004-0000-0100-0000832F0000}"/>
    <hyperlink ref="I14243" r:id="rId12165" xr:uid="{00000000-0004-0000-0100-0000842F0000}"/>
    <hyperlink ref="I14244" r:id="rId12166" xr:uid="{00000000-0004-0000-0100-0000852F0000}"/>
    <hyperlink ref="I14245" r:id="rId12167" xr:uid="{00000000-0004-0000-0100-0000862F0000}"/>
    <hyperlink ref="I14246" r:id="rId12168" xr:uid="{00000000-0004-0000-0100-0000872F0000}"/>
    <hyperlink ref="I14247" r:id="rId12169" xr:uid="{00000000-0004-0000-0100-0000882F0000}"/>
    <hyperlink ref="I14248" r:id="rId12170" xr:uid="{00000000-0004-0000-0100-0000892F0000}"/>
    <hyperlink ref="I14249" r:id="rId12171" xr:uid="{00000000-0004-0000-0100-00008A2F0000}"/>
    <hyperlink ref="I14250" r:id="rId12172" xr:uid="{00000000-0004-0000-0100-00008B2F0000}"/>
    <hyperlink ref="I14251" r:id="rId12173" xr:uid="{00000000-0004-0000-0100-00008C2F0000}"/>
    <hyperlink ref="I14252" r:id="rId12174" xr:uid="{00000000-0004-0000-0100-00008D2F0000}"/>
    <hyperlink ref="I14253" r:id="rId12175" xr:uid="{00000000-0004-0000-0100-00008E2F0000}"/>
    <hyperlink ref="I14254" r:id="rId12176" xr:uid="{00000000-0004-0000-0100-00008F2F0000}"/>
    <hyperlink ref="I14255" r:id="rId12177" xr:uid="{00000000-0004-0000-0100-0000902F0000}"/>
    <hyperlink ref="I14256" r:id="rId12178" xr:uid="{00000000-0004-0000-0100-0000912F0000}"/>
    <hyperlink ref="I14257" r:id="rId12179" xr:uid="{00000000-0004-0000-0100-0000922F0000}"/>
    <hyperlink ref="I14258" r:id="rId12180" xr:uid="{00000000-0004-0000-0100-0000932F0000}"/>
    <hyperlink ref="I14259" r:id="rId12181" xr:uid="{00000000-0004-0000-0100-0000942F0000}"/>
    <hyperlink ref="I14260" r:id="rId12182" xr:uid="{00000000-0004-0000-0100-0000952F0000}"/>
    <hyperlink ref="I14261" r:id="rId12183" xr:uid="{00000000-0004-0000-0100-0000962F0000}"/>
    <hyperlink ref="I14262" r:id="rId12184" xr:uid="{00000000-0004-0000-0100-0000972F0000}"/>
    <hyperlink ref="I14263" r:id="rId12185" xr:uid="{00000000-0004-0000-0100-0000982F0000}"/>
    <hyperlink ref="I14264" r:id="rId12186" xr:uid="{00000000-0004-0000-0100-0000992F0000}"/>
    <hyperlink ref="I14265" r:id="rId12187" xr:uid="{00000000-0004-0000-0100-00009A2F0000}"/>
    <hyperlink ref="I14266" r:id="rId12188" xr:uid="{00000000-0004-0000-0100-00009B2F0000}"/>
    <hyperlink ref="I14267" r:id="rId12189" xr:uid="{00000000-0004-0000-0100-00009C2F0000}"/>
    <hyperlink ref="I14268" r:id="rId12190" xr:uid="{00000000-0004-0000-0100-00009D2F0000}"/>
    <hyperlink ref="I14269" r:id="rId12191" xr:uid="{00000000-0004-0000-0100-00009E2F0000}"/>
    <hyperlink ref="I14270" r:id="rId12192" xr:uid="{00000000-0004-0000-0100-00009F2F0000}"/>
    <hyperlink ref="I14271" r:id="rId12193" xr:uid="{00000000-0004-0000-0100-0000A02F0000}"/>
    <hyperlink ref="I14272" r:id="rId12194" xr:uid="{00000000-0004-0000-0100-0000A12F0000}"/>
    <hyperlink ref="I14273" r:id="rId12195" xr:uid="{00000000-0004-0000-0100-0000A22F0000}"/>
    <hyperlink ref="I14274" r:id="rId12196" xr:uid="{00000000-0004-0000-0100-0000A32F0000}"/>
    <hyperlink ref="I14275" r:id="rId12197" xr:uid="{00000000-0004-0000-0100-0000A42F0000}"/>
    <hyperlink ref="I14276" r:id="rId12198" xr:uid="{00000000-0004-0000-0100-0000A52F0000}"/>
    <hyperlink ref="I14277" r:id="rId12199" xr:uid="{00000000-0004-0000-0100-0000A62F0000}"/>
    <hyperlink ref="I14278" r:id="rId12200" xr:uid="{00000000-0004-0000-0100-0000A72F0000}"/>
    <hyperlink ref="I14279" r:id="rId12201" xr:uid="{00000000-0004-0000-0100-0000A82F0000}"/>
    <hyperlink ref="I14280" r:id="rId12202" xr:uid="{00000000-0004-0000-0100-0000A92F0000}"/>
    <hyperlink ref="I14281" r:id="rId12203" xr:uid="{00000000-0004-0000-0100-0000AA2F0000}"/>
    <hyperlink ref="I14282" r:id="rId12204" xr:uid="{00000000-0004-0000-0100-0000AB2F0000}"/>
    <hyperlink ref="I14283" r:id="rId12205" xr:uid="{00000000-0004-0000-0100-0000AC2F0000}"/>
    <hyperlink ref="I14284" r:id="rId12206" xr:uid="{00000000-0004-0000-0100-0000AD2F0000}"/>
    <hyperlink ref="I14285" r:id="rId12207" xr:uid="{00000000-0004-0000-0100-0000AE2F0000}"/>
    <hyperlink ref="I14286" r:id="rId12208" xr:uid="{00000000-0004-0000-0100-0000AF2F0000}"/>
    <hyperlink ref="I14287" r:id="rId12209" xr:uid="{00000000-0004-0000-0100-0000B02F0000}"/>
    <hyperlink ref="I14288" r:id="rId12210" xr:uid="{00000000-0004-0000-0100-0000B12F0000}"/>
    <hyperlink ref="I14289" r:id="rId12211" xr:uid="{00000000-0004-0000-0100-0000B22F0000}"/>
    <hyperlink ref="I14290" r:id="rId12212" xr:uid="{00000000-0004-0000-0100-0000B32F0000}"/>
    <hyperlink ref="I14291" r:id="rId12213" xr:uid="{00000000-0004-0000-0100-0000B42F0000}"/>
    <hyperlink ref="I14292" r:id="rId12214" xr:uid="{00000000-0004-0000-0100-0000B52F0000}"/>
    <hyperlink ref="I14293" r:id="rId12215" xr:uid="{00000000-0004-0000-0100-0000B62F0000}"/>
    <hyperlink ref="I14294" r:id="rId12216" xr:uid="{00000000-0004-0000-0100-0000B72F0000}"/>
    <hyperlink ref="I14295" r:id="rId12217" xr:uid="{00000000-0004-0000-0100-0000B82F0000}"/>
    <hyperlink ref="I14296" r:id="rId12218" xr:uid="{00000000-0004-0000-0100-0000B92F0000}"/>
    <hyperlink ref="I14297" r:id="rId12219" xr:uid="{00000000-0004-0000-0100-0000BA2F0000}"/>
    <hyperlink ref="I14298" r:id="rId12220" xr:uid="{00000000-0004-0000-0100-0000BB2F0000}"/>
    <hyperlink ref="I14299" r:id="rId12221" xr:uid="{00000000-0004-0000-0100-0000BC2F0000}"/>
    <hyperlink ref="I14300" r:id="rId12222" xr:uid="{00000000-0004-0000-0100-0000BD2F0000}"/>
    <hyperlink ref="I14301" r:id="rId12223" xr:uid="{00000000-0004-0000-0100-0000BE2F0000}"/>
    <hyperlink ref="I14302" r:id="rId12224" xr:uid="{00000000-0004-0000-0100-0000BF2F0000}"/>
    <hyperlink ref="I14303" r:id="rId12225" xr:uid="{00000000-0004-0000-0100-0000C02F0000}"/>
    <hyperlink ref="I14304" r:id="rId12226" xr:uid="{00000000-0004-0000-0100-0000C12F0000}"/>
    <hyperlink ref="I14305" r:id="rId12227" xr:uid="{00000000-0004-0000-0100-0000C22F0000}"/>
    <hyperlink ref="I14306" r:id="rId12228" xr:uid="{00000000-0004-0000-0100-0000C32F0000}"/>
    <hyperlink ref="I14307" r:id="rId12229" xr:uid="{00000000-0004-0000-0100-0000C42F0000}"/>
    <hyperlink ref="I14308" r:id="rId12230" xr:uid="{00000000-0004-0000-0100-0000C52F0000}"/>
    <hyperlink ref="I14309" r:id="rId12231" xr:uid="{00000000-0004-0000-0100-0000C62F0000}"/>
    <hyperlink ref="I14310" r:id="rId12232" xr:uid="{00000000-0004-0000-0100-0000C72F0000}"/>
    <hyperlink ref="I14311" r:id="rId12233" xr:uid="{00000000-0004-0000-0100-0000C82F0000}"/>
    <hyperlink ref="I14312" r:id="rId12234" xr:uid="{00000000-0004-0000-0100-0000C92F0000}"/>
    <hyperlink ref="I14313" r:id="rId12235" xr:uid="{00000000-0004-0000-0100-0000CA2F0000}"/>
    <hyperlink ref="I14314" r:id="rId12236" xr:uid="{00000000-0004-0000-0100-0000CB2F0000}"/>
    <hyperlink ref="I14315" r:id="rId12237" xr:uid="{00000000-0004-0000-0100-0000CC2F0000}"/>
    <hyperlink ref="I14316" r:id="rId12238" xr:uid="{00000000-0004-0000-0100-0000CD2F0000}"/>
    <hyperlink ref="I14317" r:id="rId12239" xr:uid="{00000000-0004-0000-0100-0000CE2F0000}"/>
    <hyperlink ref="I14318" r:id="rId12240" xr:uid="{00000000-0004-0000-0100-0000CF2F0000}"/>
    <hyperlink ref="I14319" r:id="rId12241" xr:uid="{00000000-0004-0000-0100-0000D02F0000}"/>
    <hyperlink ref="I14320" r:id="rId12242" xr:uid="{00000000-0004-0000-0100-0000D12F0000}"/>
    <hyperlink ref="I14321" r:id="rId12243" xr:uid="{00000000-0004-0000-0100-0000D22F0000}"/>
    <hyperlink ref="I14322" r:id="rId12244" xr:uid="{00000000-0004-0000-0100-0000D32F0000}"/>
    <hyperlink ref="I14323" r:id="rId12245" xr:uid="{00000000-0004-0000-0100-0000D42F0000}"/>
    <hyperlink ref="I14324" r:id="rId12246" xr:uid="{00000000-0004-0000-0100-0000D52F0000}"/>
    <hyperlink ref="I14325" r:id="rId12247" xr:uid="{00000000-0004-0000-0100-0000D62F0000}"/>
    <hyperlink ref="I14326" r:id="rId12248" xr:uid="{00000000-0004-0000-0100-0000D72F0000}"/>
    <hyperlink ref="I14327" r:id="rId12249" xr:uid="{00000000-0004-0000-0100-0000D82F0000}"/>
    <hyperlink ref="I14328" r:id="rId12250" xr:uid="{00000000-0004-0000-0100-0000D92F0000}"/>
    <hyperlink ref="I14329" r:id="rId12251" xr:uid="{00000000-0004-0000-0100-0000DA2F0000}"/>
    <hyperlink ref="I14330" r:id="rId12252" xr:uid="{00000000-0004-0000-0100-0000DB2F0000}"/>
    <hyperlink ref="I14331" r:id="rId12253" xr:uid="{00000000-0004-0000-0100-0000DC2F0000}"/>
    <hyperlink ref="I14332" r:id="rId12254" xr:uid="{00000000-0004-0000-0100-0000DD2F0000}"/>
    <hyperlink ref="I14333" r:id="rId12255" xr:uid="{00000000-0004-0000-0100-0000DE2F0000}"/>
    <hyperlink ref="I14334" r:id="rId12256" xr:uid="{00000000-0004-0000-0100-0000DF2F0000}"/>
    <hyperlink ref="I14335" r:id="rId12257" xr:uid="{00000000-0004-0000-0100-0000E02F0000}"/>
    <hyperlink ref="I14336" r:id="rId12258" xr:uid="{00000000-0004-0000-0100-0000E12F0000}"/>
    <hyperlink ref="I14337" r:id="rId12259" xr:uid="{00000000-0004-0000-0100-0000E22F0000}"/>
    <hyperlink ref="I14338" r:id="rId12260" xr:uid="{00000000-0004-0000-0100-0000E32F0000}"/>
    <hyperlink ref="I14339" r:id="rId12261" xr:uid="{00000000-0004-0000-0100-0000E42F0000}"/>
    <hyperlink ref="I14340" r:id="rId12262" xr:uid="{00000000-0004-0000-0100-0000E52F0000}"/>
    <hyperlink ref="I14341" r:id="rId12263" xr:uid="{00000000-0004-0000-0100-0000E62F0000}"/>
    <hyperlink ref="I14342" r:id="rId12264" xr:uid="{00000000-0004-0000-0100-0000E72F0000}"/>
    <hyperlink ref="I14343" r:id="rId12265" xr:uid="{00000000-0004-0000-0100-0000E82F0000}"/>
    <hyperlink ref="I14344" r:id="rId12266" xr:uid="{00000000-0004-0000-0100-0000E92F0000}"/>
    <hyperlink ref="I14345" r:id="rId12267" xr:uid="{00000000-0004-0000-0100-0000EA2F0000}"/>
    <hyperlink ref="I14346" r:id="rId12268" xr:uid="{00000000-0004-0000-0100-0000EB2F0000}"/>
    <hyperlink ref="I14347" r:id="rId12269" xr:uid="{00000000-0004-0000-0100-0000EC2F0000}"/>
    <hyperlink ref="I14348" r:id="rId12270" xr:uid="{00000000-0004-0000-0100-0000ED2F0000}"/>
    <hyperlink ref="I14349" r:id="rId12271" xr:uid="{00000000-0004-0000-0100-0000EE2F0000}"/>
    <hyperlink ref="I14350" r:id="rId12272" xr:uid="{00000000-0004-0000-0100-0000EF2F0000}"/>
    <hyperlink ref="I14351" r:id="rId12273" xr:uid="{00000000-0004-0000-0100-0000F02F0000}"/>
    <hyperlink ref="I14352" r:id="rId12274" xr:uid="{00000000-0004-0000-0100-0000F12F0000}"/>
    <hyperlink ref="I14353" r:id="rId12275" xr:uid="{00000000-0004-0000-0100-0000F22F0000}"/>
    <hyperlink ref="I14354" r:id="rId12276" xr:uid="{00000000-0004-0000-0100-0000F32F0000}"/>
    <hyperlink ref="I14355" r:id="rId12277" xr:uid="{00000000-0004-0000-0100-0000F42F0000}"/>
    <hyperlink ref="I14356" r:id="rId12278" xr:uid="{00000000-0004-0000-0100-0000F52F0000}"/>
    <hyperlink ref="I14357" r:id="rId12279" xr:uid="{00000000-0004-0000-0100-0000F62F0000}"/>
    <hyperlink ref="I14358" r:id="rId12280" xr:uid="{00000000-0004-0000-0100-0000F72F0000}"/>
    <hyperlink ref="I14359" r:id="rId12281" xr:uid="{00000000-0004-0000-0100-0000F82F0000}"/>
    <hyperlink ref="I14360" r:id="rId12282" xr:uid="{00000000-0004-0000-0100-0000F92F0000}"/>
    <hyperlink ref="I14361" r:id="rId12283" xr:uid="{00000000-0004-0000-0100-0000FA2F0000}"/>
    <hyperlink ref="I14362" r:id="rId12284" xr:uid="{00000000-0004-0000-0100-0000FB2F0000}"/>
    <hyperlink ref="I14363" r:id="rId12285" xr:uid="{00000000-0004-0000-0100-0000FC2F0000}"/>
    <hyperlink ref="I14364" r:id="rId12286" xr:uid="{00000000-0004-0000-0100-0000FD2F0000}"/>
    <hyperlink ref="I14365" r:id="rId12287" xr:uid="{00000000-0004-0000-0100-0000FE2F0000}"/>
    <hyperlink ref="I14366" r:id="rId12288" xr:uid="{00000000-0004-0000-0100-0000FF2F0000}"/>
    <hyperlink ref="I14367" r:id="rId12289" xr:uid="{00000000-0004-0000-0100-000000300000}"/>
    <hyperlink ref="I14368" r:id="rId12290" xr:uid="{00000000-0004-0000-0100-000001300000}"/>
    <hyperlink ref="I14369" r:id="rId12291" xr:uid="{00000000-0004-0000-0100-000002300000}"/>
    <hyperlink ref="I14370" r:id="rId12292" xr:uid="{00000000-0004-0000-0100-000003300000}"/>
    <hyperlink ref="I14371" r:id="rId12293" xr:uid="{00000000-0004-0000-0100-000004300000}"/>
    <hyperlink ref="I14372" r:id="rId12294" xr:uid="{00000000-0004-0000-0100-000005300000}"/>
    <hyperlink ref="I14373" r:id="rId12295" xr:uid="{00000000-0004-0000-0100-000006300000}"/>
    <hyperlink ref="I14374" r:id="rId12296" xr:uid="{00000000-0004-0000-0100-000007300000}"/>
    <hyperlink ref="I14375" r:id="rId12297" xr:uid="{00000000-0004-0000-0100-000008300000}"/>
    <hyperlink ref="I14376" r:id="rId12298" xr:uid="{00000000-0004-0000-0100-000009300000}"/>
    <hyperlink ref="I14377" r:id="rId12299" xr:uid="{00000000-0004-0000-0100-00000A300000}"/>
    <hyperlink ref="I14378" r:id="rId12300" xr:uid="{00000000-0004-0000-0100-00000B300000}"/>
    <hyperlink ref="I14379" r:id="rId12301" xr:uid="{00000000-0004-0000-0100-00000C300000}"/>
    <hyperlink ref="I14380" r:id="rId12302" xr:uid="{00000000-0004-0000-0100-00000D300000}"/>
    <hyperlink ref="I14381" r:id="rId12303" xr:uid="{00000000-0004-0000-0100-00000E300000}"/>
    <hyperlink ref="I14382" r:id="rId12304" xr:uid="{00000000-0004-0000-0100-00000F300000}"/>
    <hyperlink ref="I14383" r:id="rId12305" xr:uid="{00000000-0004-0000-0100-000010300000}"/>
    <hyperlink ref="I14384" r:id="rId12306" xr:uid="{00000000-0004-0000-0100-000011300000}"/>
    <hyperlink ref="I14385" r:id="rId12307" xr:uid="{00000000-0004-0000-0100-000012300000}"/>
    <hyperlink ref="I14386" r:id="rId12308" xr:uid="{00000000-0004-0000-0100-000013300000}"/>
    <hyperlink ref="I14387" r:id="rId12309" xr:uid="{00000000-0004-0000-0100-000014300000}"/>
    <hyperlink ref="I14388" r:id="rId12310" xr:uid="{00000000-0004-0000-0100-000015300000}"/>
    <hyperlink ref="I14389" r:id="rId12311" xr:uid="{00000000-0004-0000-0100-000016300000}"/>
    <hyperlink ref="I14390" r:id="rId12312" xr:uid="{00000000-0004-0000-0100-000017300000}"/>
    <hyperlink ref="I14391" r:id="rId12313" xr:uid="{00000000-0004-0000-0100-000018300000}"/>
    <hyperlink ref="I14392" r:id="rId12314" xr:uid="{00000000-0004-0000-0100-000019300000}"/>
    <hyperlink ref="I14393" r:id="rId12315" xr:uid="{00000000-0004-0000-0100-00001A300000}"/>
    <hyperlink ref="I14394" r:id="rId12316" xr:uid="{00000000-0004-0000-0100-00001B300000}"/>
    <hyperlink ref="I14395" r:id="rId12317" xr:uid="{00000000-0004-0000-0100-00001C300000}"/>
    <hyperlink ref="I14396" r:id="rId12318" xr:uid="{00000000-0004-0000-0100-00001D300000}"/>
    <hyperlink ref="I14397" r:id="rId12319" xr:uid="{00000000-0004-0000-0100-00001E300000}"/>
    <hyperlink ref="I14398" r:id="rId12320" xr:uid="{00000000-0004-0000-0100-00001F300000}"/>
    <hyperlink ref="I14399" r:id="rId12321" xr:uid="{00000000-0004-0000-0100-000020300000}"/>
    <hyperlink ref="I14400" r:id="rId12322" xr:uid="{00000000-0004-0000-0100-000021300000}"/>
    <hyperlink ref="I14401" r:id="rId12323" xr:uid="{00000000-0004-0000-0100-000022300000}"/>
    <hyperlink ref="I14402" r:id="rId12324" xr:uid="{00000000-0004-0000-0100-000023300000}"/>
    <hyperlink ref="I14403" r:id="rId12325" xr:uid="{00000000-0004-0000-0100-000024300000}"/>
    <hyperlink ref="I14404" r:id="rId12326" xr:uid="{00000000-0004-0000-0100-000025300000}"/>
    <hyperlink ref="I14405" r:id="rId12327" xr:uid="{00000000-0004-0000-0100-000026300000}"/>
    <hyperlink ref="I14406" r:id="rId12328" xr:uid="{00000000-0004-0000-0100-000027300000}"/>
    <hyperlink ref="I14407" r:id="rId12329" xr:uid="{00000000-0004-0000-0100-000028300000}"/>
    <hyperlink ref="I14408" r:id="rId12330" xr:uid="{00000000-0004-0000-0100-000029300000}"/>
    <hyperlink ref="I14409" r:id="rId12331" xr:uid="{00000000-0004-0000-0100-00002A300000}"/>
    <hyperlink ref="I14410" r:id="rId12332" xr:uid="{00000000-0004-0000-0100-00002B300000}"/>
    <hyperlink ref="I14411" r:id="rId12333" xr:uid="{00000000-0004-0000-0100-00002C300000}"/>
    <hyperlink ref="I14412" r:id="rId12334" xr:uid="{00000000-0004-0000-0100-00002D300000}"/>
    <hyperlink ref="I14413" r:id="rId12335" xr:uid="{00000000-0004-0000-0100-00002E300000}"/>
    <hyperlink ref="I14414" r:id="rId12336" xr:uid="{00000000-0004-0000-0100-00002F300000}"/>
    <hyperlink ref="I14415" r:id="rId12337" xr:uid="{00000000-0004-0000-0100-000030300000}"/>
    <hyperlink ref="I14416" r:id="rId12338" xr:uid="{00000000-0004-0000-0100-000031300000}"/>
    <hyperlink ref="I14417" r:id="rId12339" xr:uid="{00000000-0004-0000-0100-000032300000}"/>
    <hyperlink ref="I14418" r:id="rId12340" xr:uid="{00000000-0004-0000-0100-000033300000}"/>
    <hyperlink ref="I14419" r:id="rId12341" xr:uid="{00000000-0004-0000-0100-000034300000}"/>
    <hyperlink ref="I14420" r:id="rId12342" xr:uid="{00000000-0004-0000-0100-000035300000}"/>
    <hyperlink ref="I14421" r:id="rId12343" xr:uid="{00000000-0004-0000-0100-000036300000}"/>
    <hyperlink ref="I14422" r:id="rId12344" xr:uid="{00000000-0004-0000-0100-000037300000}"/>
    <hyperlink ref="I14423" r:id="rId12345" xr:uid="{00000000-0004-0000-0100-000038300000}"/>
    <hyperlink ref="I14424" r:id="rId12346" xr:uid="{00000000-0004-0000-0100-000039300000}"/>
    <hyperlink ref="I14425" r:id="rId12347" xr:uid="{00000000-0004-0000-0100-00003A300000}"/>
    <hyperlink ref="I14426" r:id="rId12348" xr:uid="{00000000-0004-0000-0100-00003B300000}"/>
    <hyperlink ref="I14427" r:id="rId12349" xr:uid="{00000000-0004-0000-0100-00003C300000}"/>
    <hyperlink ref="I14428" r:id="rId12350" xr:uid="{00000000-0004-0000-0100-00003D300000}"/>
    <hyperlink ref="I14429" r:id="rId12351" xr:uid="{00000000-0004-0000-0100-00003E300000}"/>
    <hyperlink ref="I14430" r:id="rId12352" xr:uid="{00000000-0004-0000-0100-00003F300000}"/>
    <hyperlink ref="I14431" r:id="rId12353" xr:uid="{00000000-0004-0000-0100-000040300000}"/>
    <hyperlink ref="I14432" r:id="rId12354" xr:uid="{00000000-0004-0000-0100-000041300000}"/>
    <hyperlink ref="I14433" r:id="rId12355" xr:uid="{00000000-0004-0000-0100-000042300000}"/>
    <hyperlink ref="I14434" r:id="rId12356" xr:uid="{00000000-0004-0000-0100-000043300000}"/>
    <hyperlink ref="I14435" r:id="rId12357" xr:uid="{00000000-0004-0000-0100-000044300000}"/>
    <hyperlink ref="I14436" r:id="rId12358" xr:uid="{00000000-0004-0000-0100-000045300000}"/>
    <hyperlink ref="I14437" r:id="rId12359" xr:uid="{00000000-0004-0000-0100-000046300000}"/>
    <hyperlink ref="I14438" r:id="rId12360" xr:uid="{00000000-0004-0000-0100-000047300000}"/>
    <hyperlink ref="I14439" r:id="rId12361" xr:uid="{00000000-0004-0000-0100-000048300000}"/>
    <hyperlink ref="I14440" r:id="rId12362" xr:uid="{00000000-0004-0000-0100-000049300000}"/>
    <hyperlink ref="I14441" r:id="rId12363" xr:uid="{00000000-0004-0000-0100-00004A300000}"/>
    <hyperlink ref="I14442" r:id="rId12364" xr:uid="{00000000-0004-0000-0100-00004B300000}"/>
    <hyperlink ref="I14443" r:id="rId12365" xr:uid="{00000000-0004-0000-0100-00004C300000}"/>
    <hyperlink ref="I14444" r:id="rId12366" xr:uid="{00000000-0004-0000-0100-00004D300000}"/>
    <hyperlink ref="I14445" r:id="rId12367" xr:uid="{00000000-0004-0000-0100-00004E300000}"/>
    <hyperlink ref="I14446" r:id="rId12368" xr:uid="{00000000-0004-0000-0100-00004F300000}"/>
    <hyperlink ref="I14447" r:id="rId12369" xr:uid="{00000000-0004-0000-0100-000050300000}"/>
    <hyperlink ref="I14448" r:id="rId12370" xr:uid="{00000000-0004-0000-0100-000051300000}"/>
    <hyperlink ref="I14449" r:id="rId12371" xr:uid="{00000000-0004-0000-0100-000052300000}"/>
    <hyperlink ref="I14450" r:id="rId12372" xr:uid="{00000000-0004-0000-0100-000053300000}"/>
    <hyperlink ref="I14451" r:id="rId12373" xr:uid="{00000000-0004-0000-0100-000054300000}"/>
    <hyperlink ref="I14452" r:id="rId12374" xr:uid="{00000000-0004-0000-0100-000055300000}"/>
    <hyperlink ref="I14453" r:id="rId12375" xr:uid="{00000000-0004-0000-0100-000056300000}"/>
    <hyperlink ref="I14454" r:id="rId12376" xr:uid="{00000000-0004-0000-0100-000057300000}"/>
    <hyperlink ref="I14455" r:id="rId12377" xr:uid="{00000000-0004-0000-0100-000058300000}"/>
    <hyperlink ref="I14456" r:id="rId12378" xr:uid="{00000000-0004-0000-0100-000059300000}"/>
    <hyperlink ref="I14457" r:id="rId12379" xr:uid="{00000000-0004-0000-0100-00005A300000}"/>
    <hyperlink ref="I14458" r:id="rId12380" xr:uid="{00000000-0004-0000-0100-00005B300000}"/>
    <hyperlink ref="I14459" r:id="rId12381" xr:uid="{00000000-0004-0000-0100-00005C300000}"/>
    <hyperlink ref="I14460" r:id="rId12382" xr:uid="{00000000-0004-0000-0100-00005D300000}"/>
    <hyperlink ref="I14461" r:id="rId12383" xr:uid="{00000000-0004-0000-0100-00005E300000}"/>
    <hyperlink ref="I14462" r:id="rId12384" xr:uid="{00000000-0004-0000-0100-00005F300000}"/>
    <hyperlink ref="I14463" r:id="rId12385" xr:uid="{00000000-0004-0000-0100-000060300000}"/>
    <hyperlink ref="I14464" r:id="rId12386" xr:uid="{00000000-0004-0000-0100-000061300000}"/>
    <hyperlink ref="I14465" r:id="rId12387" xr:uid="{00000000-0004-0000-0100-000062300000}"/>
    <hyperlink ref="I14466" r:id="rId12388" xr:uid="{00000000-0004-0000-0100-000063300000}"/>
    <hyperlink ref="I14467" r:id="rId12389" xr:uid="{00000000-0004-0000-0100-000064300000}"/>
    <hyperlink ref="I14468" r:id="rId12390" xr:uid="{00000000-0004-0000-0100-000065300000}"/>
    <hyperlink ref="I14469" r:id="rId12391" xr:uid="{00000000-0004-0000-0100-000066300000}"/>
    <hyperlink ref="I14470" r:id="rId12392" xr:uid="{00000000-0004-0000-0100-000067300000}"/>
    <hyperlink ref="I14471" r:id="rId12393" xr:uid="{00000000-0004-0000-0100-000068300000}"/>
    <hyperlink ref="I14472" r:id="rId12394" xr:uid="{00000000-0004-0000-0100-000069300000}"/>
    <hyperlink ref="I14473" r:id="rId12395" xr:uid="{00000000-0004-0000-0100-00006A300000}"/>
    <hyperlink ref="I14474" r:id="rId12396" xr:uid="{00000000-0004-0000-0100-00006B300000}"/>
    <hyperlink ref="I14475" r:id="rId12397" xr:uid="{00000000-0004-0000-0100-00006C300000}"/>
    <hyperlink ref="I14476" r:id="rId12398" xr:uid="{00000000-0004-0000-0100-00006D300000}"/>
    <hyperlink ref="I14477" r:id="rId12399" xr:uid="{00000000-0004-0000-0100-00006E300000}"/>
    <hyperlink ref="I14478" r:id="rId12400" xr:uid="{00000000-0004-0000-0100-00006F300000}"/>
    <hyperlink ref="I14479" r:id="rId12401" xr:uid="{00000000-0004-0000-0100-000070300000}"/>
    <hyperlink ref="I14480" r:id="rId12402" xr:uid="{00000000-0004-0000-0100-000071300000}"/>
    <hyperlink ref="I14481" r:id="rId12403" xr:uid="{00000000-0004-0000-0100-000072300000}"/>
    <hyperlink ref="I14482" r:id="rId12404" xr:uid="{00000000-0004-0000-0100-000073300000}"/>
    <hyperlink ref="I14483" r:id="rId12405" xr:uid="{00000000-0004-0000-0100-000074300000}"/>
    <hyperlink ref="I14484" r:id="rId12406" xr:uid="{00000000-0004-0000-0100-000075300000}"/>
    <hyperlink ref="I14485" r:id="rId12407" xr:uid="{00000000-0004-0000-0100-000076300000}"/>
    <hyperlink ref="I14486" r:id="rId12408" xr:uid="{00000000-0004-0000-0100-000077300000}"/>
    <hyperlink ref="I14487" r:id="rId12409" xr:uid="{00000000-0004-0000-0100-000078300000}"/>
    <hyperlink ref="I14488" r:id="rId12410" xr:uid="{00000000-0004-0000-0100-000079300000}"/>
    <hyperlink ref="I14489" r:id="rId12411" xr:uid="{00000000-0004-0000-0100-00007A300000}"/>
    <hyperlink ref="I14490" r:id="rId12412" xr:uid="{00000000-0004-0000-0100-00007B300000}"/>
    <hyperlink ref="I14491" r:id="rId12413" xr:uid="{00000000-0004-0000-0100-00007C300000}"/>
    <hyperlink ref="I14492" r:id="rId12414" xr:uid="{00000000-0004-0000-0100-00007D300000}"/>
    <hyperlink ref="I14493" r:id="rId12415" xr:uid="{00000000-0004-0000-0100-00007E300000}"/>
    <hyperlink ref="I14494" r:id="rId12416" xr:uid="{00000000-0004-0000-0100-00007F300000}"/>
    <hyperlink ref="I14495" r:id="rId12417" xr:uid="{00000000-0004-0000-0100-000080300000}"/>
    <hyperlink ref="I14496" r:id="rId12418" xr:uid="{00000000-0004-0000-0100-000081300000}"/>
    <hyperlink ref="I14497" r:id="rId12419" xr:uid="{00000000-0004-0000-0100-000082300000}"/>
    <hyperlink ref="I14498" r:id="rId12420" xr:uid="{00000000-0004-0000-0100-000083300000}"/>
    <hyperlink ref="I14499" r:id="rId12421" xr:uid="{00000000-0004-0000-0100-000084300000}"/>
    <hyperlink ref="I14500" r:id="rId12422" xr:uid="{00000000-0004-0000-0100-000085300000}"/>
    <hyperlink ref="I14501" r:id="rId12423" xr:uid="{00000000-0004-0000-0100-000086300000}"/>
    <hyperlink ref="I14502" r:id="rId12424" xr:uid="{00000000-0004-0000-0100-000087300000}"/>
    <hyperlink ref="I14503" r:id="rId12425" xr:uid="{00000000-0004-0000-0100-000088300000}"/>
    <hyperlink ref="I14504" r:id="rId12426" xr:uid="{00000000-0004-0000-0100-000089300000}"/>
    <hyperlink ref="I14505" r:id="rId12427" xr:uid="{00000000-0004-0000-0100-00008A300000}"/>
    <hyperlink ref="I14506" r:id="rId12428" xr:uid="{00000000-0004-0000-0100-00008B300000}"/>
    <hyperlink ref="I14507" r:id="rId12429" xr:uid="{00000000-0004-0000-0100-00008C300000}"/>
    <hyperlink ref="I14508" r:id="rId12430" xr:uid="{00000000-0004-0000-0100-00008D300000}"/>
    <hyperlink ref="I14509" r:id="rId12431" xr:uid="{00000000-0004-0000-0100-00008E300000}"/>
    <hyperlink ref="I14510" r:id="rId12432" xr:uid="{00000000-0004-0000-0100-00008F300000}"/>
    <hyperlink ref="I14511" r:id="rId12433" xr:uid="{00000000-0004-0000-0100-000090300000}"/>
    <hyperlink ref="I14512" r:id="rId12434" xr:uid="{00000000-0004-0000-0100-000091300000}"/>
    <hyperlink ref="I14513" r:id="rId12435" xr:uid="{00000000-0004-0000-0100-000092300000}"/>
    <hyperlink ref="I14514" r:id="rId12436" xr:uid="{00000000-0004-0000-0100-000093300000}"/>
    <hyperlink ref="I14515" r:id="rId12437" xr:uid="{00000000-0004-0000-0100-000094300000}"/>
    <hyperlink ref="I14516" r:id="rId12438" xr:uid="{00000000-0004-0000-0100-000095300000}"/>
    <hyperlink ref="I14517" r:id="rId12439" xr:uid="{00000000-0004-0000-0100-000096300000}"/>
    <hyperlink ref="I14518" r:id="rId12440" xr:uid="{00000000-0004-0000-0100-000097300000}"/>
    <hyperlink ref="I14519" r:id="rId12441" xr:uid="{00000000-0004-0000-0100-000098300000}"/>
    <hyperlink ref="I14520" r:id="rId12442" xr:uid="{00000000-0004-0000-0100-000099300000}"/>
    <hyperlink ref="I14521" r:id="rId12443" xr:uid="{00000000-0004-0000-0100-00009A300000}"/>
    <hyperlink ref="I14522" r:id="rId12444" xr:uid="{00000000-0004-0000-0100-00009B300000}"/>
    <hyperlink ref="I14523" r:id="rId12445" xr:uid="{00000000-0004-0000-0100-00009C300000}"/>
    <hyperlink ref="I14524" r:id="rId12446" xr:uid="{00000000-0004-0000-0100-00009D300000}"/>
    <hyperlink ref="I14525" r:id="rId12447" xr:uid="{00000000-0004-0000-0100-00009E300000}"/>
    <hyperlink ref="I14526" r:id="rId12448" xr:uid="{00000000-0004-0000-0100-00009F300000}"/>
    <hyperlink ref="I14527" r:id="rId12449" xr:uid="{00000000-0004-0000-0100-0000A0300000}"/>
    <hyperlink ref="I14528" r:id="rId12450" xr:uid="{00000000-0004-0000-0100-0000A1300000}"/>
    <hyperlink ref="I14529" r:id="rId12451" xr:uid="{00000000-0004-0000-0100-0000A2300000}"/>
    <hyperlink ref="I14530" r:id="rId12452" xr:uid="{00000000-0004-0000-0100-0000A3300000}"/>
    <hyperlink ref="I14531" r:id="rId12453" xr:uid="{00000000-0004-0000-0100-0000A4300000}"/>
    <hyperlink ref="I14532" r:id="rId12454" xr:uid="{00000000-0004-0000-0100-0000A5300000}"/>
    <hyperlink ref="I14533" r:id="rId12455" xr:uid="{00000000-0004-0000-0100-0000A6300000}"/>
    <hyperlink ref="I14534" r:id="rId12456" xr:uid="{00000000-0004-0000-0100-0000A7300000}"/>
    <hyperlink ref="I14535" r:id="rId12457" xr:uid="{00000000-0004-0000-0100-0000A8300000}"/>
    <hyperlink ref="I14536" r:id="rId12458" xr:uid="{00000000-0004-0000-0100-0000A9300000}"/>
    <hyperlink ref="I14537" r:id="rId12459" xr:uid="{00000000-0004-0000-0100-0000AA300000}"/>
    <hyperlink ref="I14538" r:id="rId12460" xr:uid="{00000000-0004-0000-0100-0000AB300000}"/>
    <hyperlink ref="I14539" r:id="rId12461" xr:uid="{00000000-0004-0000-0100-0000AC300000}"/>
    <hyperlink ref="I14540" r:id="rId12462" xr:uid="{00000000-0004-0000-0100-0000AD300000}"/>
    <hyperlink ref="I14541" r:id="rId12463" xr:uid="{00000000-0004-0000-0100-0000AE300000}"/>
    <hyperlink ref="I14542" r:id="rId12464" xr:uid="{00000000-0004-0000-0100-0000AF300000}"/>
    <hyperlink ref="I14543" r:id="rId12465" xr:uid="{00000000-0004-0000-0100-0000B0300000}"/>
    <hyperlink ref="I14544" r:id="rId12466" xr:uid="{00000000-0004-0000-0100-0000B1300000}"/>
    <hyperlink ref="I14545" r:id="rId12467" xr:uid="{00000000-0004-0000-0100-0000B2300000}"/>
    <hyperlink ref="I14546" r:id="rId12468" xr:uid="{00000000-0004-0000-0100-0000B3300000}"/>
    <hyperlink ref="I14547" r:id="rId12469" xr:uid="{00000000-0004-0000-0100-0000B4300000}"/>
    <hyperlink ref="I14548" r:id="rId12470" xr:uid="{00000000-0004-0000-0100-0000B5300000}"/>
    <hyperlink ref="I14549" r:id="rId12471" xr:uid="{00000000-0004-0000-0100-0000B6300000}"/>
    <hyperlink ref="I14550" r:id="rId12472" xr:uid="{00000000-0004-0000-0100-0000B7300000}"/>
    <hyperlink ref="I14551" r:id="rId12473" xr:uid="{00000000-0004-0000-0100-0000B8300000}"/>
    <hyperlink ref="I14552" r:id="rId12474" xr:uid="{00000000-0004-0000-0100-0000B9300000}"/>
    <hyperlink ref="I14553" r:id="rId12475" xr:uid="{00000000-0004-0000-0100-0000BA300000}"/>
    <hyperlink ref="I14554" r:id="rId12476" xr:uid="{00000000-0004-0000-0100-0000BB300000}"/>
    <hyperlink ref="I14555" r:id="rId12477" xr:uid="{00000000-0004-0000-0100-0000BC300000}"/>
    <hyperlink ref="I14556" r:id="rId12478" xr:uid="{00000000-0004-0000-0100-0000BD300000}"/>
    <hyperlink ref="I14557" r:id="rId12479" xr:uid="{00000000-0004-0000-0100-0000BE300000}"/>
    <hyperlink ref="I14558" r:id="rId12480" xr:uid="{00000000-0004-0000-0100-0000BF300000}"/>
    <hyperlink ref="I14559" r:id="rId12481" xr:uid="{00000000-0004-0000-0100-0000C0300000}"/>
    <hyperlink ref="I14560" r:id="rId12482" xr:uid="{00000000-0004-0000-0100-0000C1300000}"/>
    <hyperlink ref="I14561" r:id="rId12483" xr:uid="{00000000-0004-0000-0100-0000C2300000}"/>
    <hyperlink ref="I14562" r:id="rId12484" xr:uid="{00000000-0004-0000-0100-0000C3300000}"/>
    <hyperlink ref="I14563" r:id="rId12485" xr:uid="{00000000-0004-0000-0100-0000C4300000}"/>
    <hyperlink ref="I14564" r:id="rId12486" xr:uid="{00000000-0004-0000-0100-0000C5300000}"/>
    <hyperlink ref="I14565" r:id="rId12487" xr:uid="{00000000-0004-0000-0100-0000C6300000}"/>
    <hyperlink ref="I14566" r:id="rId12488" xr:uid="{00000000-0004-0000-0100-0000C7300000}"/>
    <hyperlink ref="I14567" r:id="rId12489" xr:uid="{00000000-0004-0000-0100-0000C8300000}"/>
    <hyperlink ref="I14568" r:id="rId12490" xr:uid="{00000000-0004-0000-0100-0000C9300000}"/>
    <hyperlink ref="I14569" r:id="rId12491" xr:uid="{00000000-0004-0000-0100-0000CA300000}"/>
    <hyperlink ref="I14570" r:id="rId12492" xr:uid="{00000000-0004-0000-0100-0000CB300000}"/>
    <hyperlink ref="I14571" r:id="rId12493" xr:uid="{00000000-0004-0000-0100-0000CC300000}"/>
    <hyperlink ref="I14572" r:id="rId12494" xr:uid="{00000000-0004-0000-0100-0000CD300000}"/>
    <hyperlink ref="I14573" r:id="rId12495" xr:uid="{00000000-0004-0000-0100-0000CE300000}"/>
    <hyperlink ref="I14574" r:id="rId12496" xr:uid="{00000000-0004-0000-0100-0000CF300000}"/>
    <hyperlink ref="I14575" r:id="rId12497" xr:uid="{00000000-0004-0000-0100-0000D0300000}"/>
    <hyperlink ref="I14576" r:id="rId12498" xr:uid="{00000000-0004-0000-0100-0000D1300000}"/>
    <hyperlink ref="I14577" r:id="rId12499" xr:uid="{00000000-0004-0000-0100-0000D2300000}"/>
    <hyperlink ref="I14578" r:id="rId12500" xr:uid="{00000000-0004-0000-0100-0000D3300000}"/>
    <hyperlink ref="I14579" r:id="rId12501" xr:uid="{00000000-0004-0000-0100-0000D4300000}"/>
    <hyperlink ref="I14580" r:id="rId12502" xr:uid="{00000000-0004-0000-0100-0000D5300000}"/>
    <hyperlink ref="I14581" r:id="rId12503" xr:uid="{00000000-0004-0000-0100-0000D6300000}"/>
    <hyperlink ref="I14582" r:id="rId12504" xr:uid="{00000000-0004-0000-0100-0000D7300000}"/>
    <hyperlink ref="I14583" r:id="rId12505" xr:uid="{00000000-0004-0000-0100-0000D8300000}"/>
    <hyperlink ref="I14584" r:id="rId12506" xr:uid="{00000000-0004-0000-0100-0000D9300000}"/>
    <hyperlink ref="I14585" r:id="rId12507" xr:uid="{00000000-0004-0000-0100-0000DA300000}"/>
    <hyperlink ref="I14586" r:id="rId12508" xr:uid="{00000000-0004-0000-0100-0000DB300000}"/>
    <hyperlink ref="I14587" r:id="rId12509" xr:uid="{00000000-0004-0000-0100-0000DC300000}"/>
    <hyperlink ref="I14588" r:id="rId12510" xr:uid="{00000000-0004-0000-0100-0000DD300000}"/>
    <hyperlink ref="I14589" r:id="rId12511" xr:uid="{00000000-0004-0000-0100-0000DE300000}"/>
    <hyperlink ref="I14590" r:id="rId12512" xr:uid="{00000000-0004-0000-0100-0000DF300000}"/>
    <hyperlink ref="I14591" r:id="rId12513" xr:uid="{00000000-0004-0000-0100-0000E0300000}"/>
    <hyperlink ref="I14592" r:id="rId12514" xr:uid="{00000000-0004-0000-0100-0000E1300000}"/>
    <hyperlink ref="I14593" r:id="rId12515" xr:uid="{00000000-0004-0000-0100-0000E2300000}"/>
    <hyperlink ref="I14594" r:id="rId12516" xr:uid="{00000000-0004-0000-0100-0000E3300000}"/>
    <hyperlink ref="I14595" r:id="rId12517" xr:uid="{00000000-0004-0000-0100-0000E4300000}"/>
    <hyperlink ref="I14596" r:id="rId12518" xr:uid="{00000000-0004-0000-0100-0000E5300000}"/>
    <hyperlink ref="I14597" r:id="rId12519" xr:uid="{00000000-0004-0000-0100-0000E6300000}"/>
    <hyperlink ref="I14598" r:id="rId12520" xr:uid="{00000000-0004-0000-0100-0000E7300000}"/>
    <hyperlink ref="I14599" r:id="rId12521" xr:uid="{00000000-0004-0000-0100-0000E8300000}"/>
    <hyperlink ref="I14600" r:id="rId12522" xr:uid="{00000000-0004-0000-0100-0000E9300000}"/>
    <hyperlink ref="I14601" r:id="rId12523" xr:uid="{00000000-0004-0000-0100-0000EA300000}"/>
    <hyperlink ref="I14602" r:id="rId12524" xr:uid="{00000000-0004-0000-0100-0000EB300000}"/>
    <hyperlink ref="I14603" r:id="rId12525" xr:uid="{00000000-0004-0000-0100-0000EC300000}"/>
    <hyperlink ref="I14604" r:id="rId12526" xr:uid="{00000000-0004-0000-0100-0000ED300000}"/>
    <hyperlink ref="I14605" r:id="rId12527" xr:uid="{00000000-0004-0000-0100-0000EE300000}"/>
    <hyperlink ref="I14606" r:id="rId12528" xr:uid="{00000000-0004-0000-0100-0000EF300000}"/>
    <hyperlink ref="I14607" r:id="rId12529" xr:uid="{00000000-0004-0000-0100-0000F0300000}"/>
    <hyperlink ref="I14608" r:id="rId12530" xr:uid="{00000000-0004-0000-0100-0000F1300000}"/>
    <hyperlink ref="I14609" r:id="rId12531" xr:uid="{00000000-0004-0000-0100-0000F2300000}"/>
    <hyperlink ref="I14610" r:id="rId12532" xr:uid="{00000000-0004-0000-0100-0000F3300000}"/>
    <hyperlink ref="I14611" r:id="rId12533" xr:uid="{00000000-0004-0000-0100-0000F4300000}"/>
    <hyperlink ref="I14612" r:id="rId12534" xr:uid="{00000000-0004-0000-0100-0000F5300000}"/>
    <hyperlink ref="I14613" r:id="rId12535" xr:uid="{00000000-0004-0000-0100-0000F6300000}"/>
    <hyperlink ref="I14614" r:id="rId12536" xr:uid="{00000000-0004-0000-0100-0000F7300000}"/>
    <hyperlink ref="I14615" r:id="rId12537" xr:uid="{00000000-0004-0000-0100-0000F8300000}"/>
    <hyperlink ref="I14616" r:id="rId12538" xr:uid="{00000000-0004-0000-0100-0000F9300000}"/>
    <hyperlink ref="I14617" r:id="rId12539" xr:uid="{00000000-0004-0000-0100-0000FA300000}"/>
    <hyperlink ref="I14618" r:id="rId12540" xr:uid="{00000000-0004-0000-0100-0000FB300000}"/>
    <hyperlink ref="I14619" r:id="rId12541" xr:uid="{00000000-0004-0000-0100-0000FC300000}"/>
    <hyperlink ref="I14620" r:id="rId12542" xr:uid="{00000000-0004-0000-0100-0000FD300000}"/>
    <hyperlink ref="I14621" r:id="rId12543" xr:uid="{00000000-0004-0000-0100-0000FE300000}"/>
    <hyperlink ref="I14622" r:id="rId12544" xr:uid="{00000000-0004-0000-0100-0000FF300000}"/>
    <hyperlink ref="I14623" r:id="rId12545" xr:uid="{00000000-0004-0000-0100-000000310000}"/>
    <hyperlink ref="I14624" r:id="rId12546" xr:uid="{00000000-0004-0000-0100-000001310000}"/>
    <hyperlink ref="I14625" r:id="rId12547" xr:uid="{00000000-0004-0000-0100-000002310000}"/>
    <hyperlink ref="I14626" r:id="rId12548" xr:uid="{00000000-0004-0000-0100-000003310000}"/>
    <hyperlink ref="I14627" r:id="rId12549" xr:uid="{00000000-0004-0000-0100-000004310000}"/>
    <hyperlink ref="I14628" r:id="rId12550" xr:uid="{00000000-0004-0000-0100-000005310000}"/>
    <hyperlink ref="I14629" r:id="rId12551" xr:uid="{00000000-0004-0000-0100-000006310000}"/>
    <hyperlink ref="I14630" r:id="rId12552" xr:uid="{00000000-0004-0000-0100-000007310000}"/>
    <hyperlink ref="I14631" r:id="rId12553" xr:uid="{00000000-0004-0000-0100-000008310000}"/>
    <hyperlink ref="I14632" r:id="rId12554" xr:uid="{00000000-0004-0000-0100-000009310000}"/>
    <hyperlink ref="I14633" r:id="rId12555" xr:uid="{00000000-0004-0000-0100-00000A310000}"/>
    <hyperlink ref="I14634" r:id="rId12556" xr:uid="{00000000-0004-0000-0100-00000B310000}"/>
    <hyperlink ref="I14635" r:id="rId12557" xr:uid="{00000000-0004-0000-0100-00000C310000}"/>
    <hyperlink ref="I14636" r:id="rId12558" xr:uid="{00000000-0004-0000-0100-00000D310000}"/>
    <hyperlink ref="I14637" r:id="rId12559" xr:uid="{00000000-0004-0000-0100-00000E310000}"/>
    <hyperlink ref="I14638" r:id="rId12560" xr:uid="{00000000-0004-0000-0100-00000F310000}"/>
    <hyperlink ref="I14639" r:id="rId12561" xr:uid="{00000000-0004-0000-0100-000010310000}"/>
    <hyperlink ref="I14640" r:id="rId12562" xr:uid="{00000000-0004-0000-0100-000011310000}"/>
    <hyperlink ref="I14641" r:id="rId12563" xr:uid="{00000000-0004-0000-0100-000012310000}"/>
    <hyperlink ref="I14642" r:id="rId12564" xr:uid="{00000000-0004-0000-0100-000013310000}"/>
    <hyperlink ref="I14643" r:id="rId12565" xr:uid="{00000000-0004-0000-0100-000014310000}"/>
    <hyperlink ref="I14644" r:id="rId12566" xr:uid="{00000000-0004-0000-0100-000015310000}"/>
    <hyperlink ref="I14645" r:id="rId12567" xr:uid="{00000000-0004-0000-0100-000016310000}"/>
    <hyperlink ref="I14646" r:id="rId12568" xr:uid="{00000000-0004-0000-0100-000017310000}"/>
    <hyperlink ref="I14647" r:id="rId12569" xr:uid="{00000000-0004-0000-0100-000018310000}"/>
    <hyperlink ref="I14648" r:id="rId12570" xr:uid="{00000000-0004-0000-0100-000019310000}"/>
    <hyperlink ref="I14649" r:id="rId12571" xr:uid="{00000000-0004-0000-0100-00001A310000}"/>
    <hyperlink ref="I14650" r:id="rId12572" xr:uid="{00000000-0004-0000-0100-00001B310000}"/>
    <hyperlink ref="I14651" r:id="rId12573" xr:uid="{00000000-0004-0000-0100-00001C310000}"/>
    <hyperlink ref="I14652" r:id="rId12574" xr:uid="{00000000-0004-0000-0100-00001D310000}"/>
    <hyperlink ref="I14653" r:id="rId12575" xr:uid="{00000000-0004-0000-0100-00001E310000}"/>
    <hyperlink ref="I14654" r:id="rId12576" xr:uid="{00000000-0004-0000-0100-00001F310000}"/>
    <hyperlink ref="I14655" r:id="rId12577" xr:uid="{00000000-0004-0000-0100-000020310000}"/>
    <hyperlink ref="I14656" r:id="rId12578" xr:uid="{00000000-0004-0000-0100-000021310000}"/>
    <hyperlink ref="I14657" r:id="rId12579" xr:uid="{00000000-0004-0000-0100-000022310000}"/>
    <hyperlink ref="I14658" r:id="rId12580" xr:uid="{00000000-0004-0000-0100-000023310000}"/>
    <hyperlink ref="I14659" r:id="rId12581" xr:uid="{00000000-0004-0000-0100-000024310000}"/>
    <hyperlink ref="I14660" r:id="rId12582" xr:uid="{00000000-0004-0000-0100-000025310000}"/>
    <hyperlink ref="I14661" r:id="rId12583" xr:uid="{00000000-0004-0000-0100-000026310000}"/>
    <hyperlink ref="I14662" r:id="rId12584" xr:uid="{00000000-0004-0000-0100-000027310000}"/>
    <hyperlink ref="I14663" r:id="rId12585" xr:uid="{00000000-0004-0000-0100-000028310000}"/>
    <hyperlink ref="I14664" r:id="rId12586" xr:uid="{00000000-0004-0000-0100-000029310000}"/>
    <hyperlink ref="I14665" r:id="rId12587" xr:uid="{00000000-0004-0000-0100-00002A310000}"/>
    <hyperlink ref="I14666" r:id="rId12588" xr:uid="{00000000-0004-0000-0100-00002B310000}"/>
    <hyperlink ref="I14667" r:id="rId12589" xr:uid="{00000000-0004-0000-0100-00002C310000}"/>
    <hyperlink ref="I14668" r:id="rId12590" xr:uid="{00000000-0004-0000-0100-00002D310000}"/>
    <hyperlink ref="I14669" r:id="rId12591" xr:uid="{00000000-0004-0000-0100-00002E310000}"/>
    <hyperlink ref="I14670" r:id="rId12592" xr:uid="{00000000-0004-0000-0100-00002F310000}"/>
    <hyperlink ref="I14671" r:id="rId12593" xr:uid="{00000000-0004-0000-0100-000030310000}"/>
    <hyperlink ref="I14672" r:id="rId12594" xr:uid="{00000000-0004-0000-0100-000031310000}"/>
    <hyperlink ref="I14673" r:id="rId12595" xr:uid="{00000000-0004-0000-0100-000032310000}"/>
    <hyperlink ref="I14674" r:id="rId12596" xr:uid="{00000000-0004-0000-0100-000033310000}"/>
    <hyperlink ref="I14675" r:id="rId12597" xr:uid="{00000000-0004-0000-0100-000034310000}"/>
    <hyperlink ref="I14676" r:id="rId12598" xr:uid="{00000000-0004-0000-0100-000035310000}"/>
    <hyperlink ref="I14677" r:id="rId12599" xr:uid="{00000000-0004-0000-0100-000036310000}"/>
    <hyperlink ref="I14678" r:id="rId12600" xr:uid="{00000000-0004-0000-0100-000037310000}"/>
    <hyperlink ref="I14679" r:id="rId12601" xr:uid="{00000000-0004-0000-0100-000038310000}"/>
    <hyperlink ref="I14680" r:id="rId12602" xr:uid="{00000000-0004-0000-0100-000039310000}"/>
    <hyperlink ref="I14681" r:id="rId12603" xr:uid="{00000000-0004-0000-0100-00003A310000}"/>
    <hyperlink ref="I14682" r:id="rId12604" xr:uid="{00000000-0004-0000-0100-00003B310000}"/>
    <hyperlink ref="I14683" r:id="rId12605" xr:uid="{00000000-0004-0000-0100-00003C310000}"/>
    <hyperlink ref="I14684" r:id="rId12606" xr:uid="{00000000-0004-0000-0100-00003D310000}"/>
    <hyperlink ref="I14685" r:id="rId12607" xr:uid="{00000000-0004-0000-0100-00003E310000}"/>
    <hyperlink ref="I14686" r:id="rId12608" xr:uid="{00000000-0004-0000-0100-00003F310000}"/>
    <hyperlink ref="I14687" r:id="rId12609" xr:uid="{00000000-0004-0000-0100-000040310000}"/>
    <hyperlink ref="I14688" r:id="rId12610" xr:uid="{00000000-0004-0000-0100-000041310000}"/>
    <hyperlink ref="I14689" r:id="rId12611" xr:uid="{00000000-0004-0000-0100-000042310000}"/>
    <hyperlink ref="I14690" r:id="rId12612" xr:uid="{00000000-0004-0000-0100-000043310000}"/>
    <hyperlink ref="I14691" r:id="rId12613" xr:uid="{00000000-0004-0000-0100-000044310000}"/>
    <hyperlink ref="I14692" r:id="rId12614" xr:uid="{00000000-0004-0000-0100-000045310000}"/>
    <hyperlink ref="I14693" r:id="rId12615" xr:uid="{00000000-0004-0000-0100-000046310000}"/>
    <hyperlink ref="I14694" r:id="rId12616" xr:uid="{00000000-0004-0000-0100-000047310000}"/>
    <hyperlink ref="I14695" r:id="rId12617" xr:uid="{00000000-0004-0000-0100-000048310000}"/>
    <hyperlink ref="I14696" r:id="rId12618" xr:uid="{00000000-0004-0000-0100-000049310000}"/>
    <hyperlink ref="I14697" r:id="rId12619" xr:uid="{00000000-0004-0000-0100-00004A310000}"/>
    <hyperlink ref="I14698" r:id="rId12620" xr:uid="{00000000-0004-0000-0100-00004B310000}"/>
    <hyperlink ref="I14699" r:id="rId12621" xr:uid="{00000000-0004-0000-0100-00004C310000}"/>
    <hyperlink ref="I14700" r:id="rId12622" xr:uid="{00000000-0004-0000-0100-00004D310000}"/>
    <hyperlink ref="I14701" r:id="rId12623" xr:uid="{00000000-0004-0000-0100-00004E310000}"/>
    <hyperlink ref="I14702" r:id="rId12624" xr:uid="{00000000-0004-0000-0100-00004F310000}"/>
    <hyperlink ref="I14703" r:id="rId12625" xr:uid="{00000000-0004-0000-0100-000050310000}"/>
    <hyperlink ref="I14704" r:id="rId12626" xr:uid="{00000000-0004-0000-0100-000051310000}"/>
    <hyperlink ref="I14705" r:id="rId12627" xr:uid="{00000000-0004-0000-0100-000052310000}"/>
    <hyperlink ref="I14706" r:id="rId12628" xr:uid="{00000000-0004-0000-0100-000053310000}"/>
    <hyperlink ref="I14707" r:id="rId12629" xr:uid="{00000000-0004-0000-0100-000054310000}"/>
    <hyperlink ref="I14708" r:id="rId12630" xr:uid="{00000000-0004-0000-0100-000055310000}"/>
    <hyperlink ref="I14709" r:id="rId12631" xr:uid="{00000000-0004-0000-0100-000056310000}"/>
    <hyperlink ref="I14710" r:id="rId12632" xr:uid="{00000000-0004-0000-0100-000057310000}"/>
    <hyperlink ref="I14711" r:id="rId12633" xr:uid="{00000000-0004-0000-0100-000058310000}"/>
    <hyperlink ref="I14712" r:id="rId12634" xr:uid="{00000000-0004-0000-0100-000059310000}"/>
    <hyperlink ref="I14713" r:id="rId12635" xr:uid="{00000000-0004-0000-0100-00005A310000}"/>
    <hyperlink ref="I14714" r:id="rId12636" xr:uid="{00000000-0004-0000-0100-00005B310000}"/>
    <hyperlink ref="I14715" r:id="rId12637" xr:uid="{00000000-0004-0000-0100-00005C310000}"/>
    <hyperlink ref="I14716" r:id="rId12638" xr:uid="{00000000-0004-0000-0100-00005D310000}"/>
    <hyperlink ref="I14717" r:id="rId12639" xr:uid="{00000000-0004-0000-0100-00005E310000}"/>
    <hyperlink ref="I14718" r:id="rId12640" xr:uid="{00000000-0004-0000-0100-00005F310000}"/>
    <hyperlink ref="I14719" r:id="rId12641" xr:uid="{00000000-0004-0000-0100-000060310000}"/>
    <hyperlink ref="I14720" r:id="rId12642" xr:uid="{00000000-0004-0000-0100-000061310000}"/>
    <hyperlink ref="I14721" r:id="rId12643" xr:uid="{00000000-0004-0000-0100-000062310000}"/>
    <hyperlink ref="I14722" r:id="rId12644" xr:uid="{00000000-0004-0000-0100-000063310000}"/>
    <hyperlink ref="I14723" r:id="rId12645" xr:uid="{00000000-0004-0000-0100-000064310000}"/>
    <hyperlink ref="I14724" r:id="rId12646" xr:uid="{00000000-0004-0000-0100-000065310000}"/>
    <hyperlink ref="I14725" r:id="rId12647" xr:uid="{00000000-0004-0000-0100-000066310000}"/>
    <hyperlink ref="I14726" r:id="rId12648" xr:uid="{00000000-0004-0000-0100-000067310000}"/>
    <hyperlink ref="I14727" r:id="rId12649" xr:uid="{00000000-0004-0000-0100-000068310000}"/>
    <hyperlink ref="I14728" r:id="rId12650" xr:uid="{00000000-0004-0000-0100-000069310000}"/>
    <hyperlink ref="I14729" r:id="rId12651" xr:uid="{00000000-0004-0000-0100-00006A310000}"/>
    <hyperlink ref="I14730" r:id="rId12652" xr:uid="{00000000-0004-0000-0100-00006B310000}"/>
    <hyperlink ref="I14731" r:id="rId12653" xr:uid="{00000000-0004-0000-0100-00006C310000}"/>
    <hyperlink ref="I14732" r:id="rId12654" xr:uid="{00000000-0004-0000-0100-00006D310000}"/>
    <hyperlink ref="I14733" r:id="rId12655" xr:uid="{00000000-0004-0000-0100-00006E310000}"/>
    <hyperlink ref="I14734" r:id="rId12656" xr:uid="{00000000-0004-0000-0100-00006F310000}"/>
    <hyperlink ref="I14735" r:id="rId12657" xr:uid="{00000000-0004-0000-0100-000070310000}"/>
    <hyperlink ref="I14736" r:id="rId12658" xr:uid="{00000000-0004-0000-0100-000071310000}"/>
    <hyperlink ref="I14737" r:id="rId12659" xr:uid="{00000000-0004-0000-0100-000072310000}"/>
    <hyperlink ref="I14738" r:id="rId12660" xr:uid="{00000000-0004-0000-0100-000073310000}"/>
    <hyperlink ref="I14739" r:id="rId12661" xr:uid="{00000000-0004-0000-0100-000074310000}"/>
    <hyperlink ref="I14740" r:id="rId12662" xr:uid="{00000000-0004-0000-0100-000075310000}"/>
    <hyperlink ref="I14741" r:id="rId12663" xr:uid="{00000000-0004-0000-0100-000076310000}"/>
    <hyperlink ref="I14742" r:id="rId12664" xr:uid="{00000000-0004-0000-0100-000077310000}"/>
    <hyperlink ref="I14743" r:id="rId12665" xr:uid="{00000000-0004-0000-0100-000078310000}"/>
    <hyperlink ref="I14744" r:id="rId12666" xr:uid="{00000000-0004-0000-0100-000079310000}"/>
    <hyperlink ref="I14745" r:id="rId12667" xr:uid="{00000000-0004-0000-0100-00007A310000}"/>
    <hyperlink ref="I14746" r:id="rId12668" xr:uid="{00000000-0004-0000-0100-00007B310000}"/>
    <hyperlink ref="I14747" r:id="rId12669" xr:uid="{00000000-0004-0000-0100-00007C310000}"/>
    <hyperlink ref="I14748" r:id="rId12670" xr:uid="{00000000-0004-0000-0100-00007D310000}"/>
    <hyperlink ref="I14749" r:id="rId12671" xr:uid="{00000000-0004-0000-0100-00007E310000}"/>
    <hyperlink ref="I14750" r:id="rId12672" xr:uid="{00000000-0004-0000-0100-00007F310000}"/>
    <hyperlink ref="I14751" r:id="rId12673" xr:uid="{00000000-0004-0000-0100-000080310000}"/>
    <hyperlink ref="I14752" r:id="rId12674" xr:uid="{00000000-0004-0000-0100-000081310000}"/>
    <hyperlink ref="I14753" r:id="rId12675" xr:uid="{00000000-0004-0000-0100-000082310000}"/>
    <hyperlink ref="I14754" r:id="rId12676" xr:uid="{00000000-0004-0000-0100-000083310000}"/>
    <hyperlink ref="I14755" r:id="rId12677" xr:uid="{00000000-0004-0000-0100-000084310000}"/>
    <hyperlink ref="I14756" r:id="rId12678" xr:uid="{00000000-0004-0000-0100-000085310000}"/>
    <hyperlink ref="I14757" r:id="rId12679" xr:uid="{00000000-0004-0000-0100-000086310000}"/>
    <hyperlink ref="I14758" r:id="rId12680" xr:uid="{00000000-0004-0000-0100-000087310000}"/>
    <hyperlink ref="I14759" r:id="rId12681" xr:uid="{00000000-0004-0000-0100-000088310000}"/>
    <hyperlink ref="I14760" r:id="rId12682" xr:uid="{00000000-0004-0000-0100-000089310000}"/>
    <hyperlink ref="I14761" r:id="rId12683" xr:uid="{00000000-0004-0000-0100-00008A310000}"/>
    <hyperlink ref="I14762" r:id="rId12684" xr:uid="{00000000-0004-0000-0100-00008B310000}"/>
    <hyperlink ref="I14763" r:id="rId12685" xr:uid="{00000000-0004-0000-0100-00008C310000}"/>
    <hyperlink ref="I14764" r:id="rId12686" xr:uid="{00000000-0004-0000-0100-00008D310000}"/>
    <hyperlink ref="I14765" r:id="rId12687" xr:uid="{00000000-0004-0000-0100-00008E310000}"/>
    <hyperlink ref="I14766" r:id="rId12688" xr:uid="{00000000-0004-0000-0100-00008F310000}"/>
    <hyperlink ref="I14767" r:id="rId12689" xr:uid="{00000000-0004-0000-0100-000090310000}"/>
    <hyperlink ref="I14768" r:id="rId12690" xr:uid="{00000000-0004-0000-0100-000091310000}"/>
    <hyperlink ref="I14769" r:id="rId12691" xr:uid="{00000000-0004-0000-0100-000092310000}"/>
    <hyperlink ref="I14770" r:id="rId12692" xr:uid="{00000000-0004-0000-0100-000093310000}"/>
    <hyperlink ref="I14771" r:id="rId12693" xr:uid="{00000000-0004-0000-0100-000094310000}"/>
    <hyperlink ref="I14772" r:id="rId12694" xr:uid="{00000000-0004-0000-0100-000095310000}"/>
    <hyperlink ref="I14773" r:id="rId12695" xr:uid="{00000000-0004-0000-0100-000096310000}"/>
    <hyperlink ref="I14774" r:id="rId12696" xr:uid="{00000000-0004-0000-0100-000097310000}"/>
    <hyperlink ref="I14775" r:id="rId12697" xr:uid="{00000000-0004-0000-0100-000098310000}"/>
    <hyperlink ref="I14776" r:id="rId12698" xr:uid="{00000000-0004-0000-0100-000099310000}"/>
    <hyperlink ref="I14777" r:id="rId12699" xr:uid="{00000000-0004-0000-0100-00009A310000}"/>
    <hyperlink ref="I14778" r:id="rId12700" xr:uid="{00000000-0004-0000-0100-00009B310000}"/>
    <hyperlink ref="I14779" r:id="rId12701" xr:uid="{00000000-0004-0000-0100-00009C310000}"/>
    <hyperlink ref="I14780" r:id="rId12702" xr:uid="{00000000-0004-0000-0100-00009D310000}"/>
    <hyperlink ref="I14781" r:id="rId12703" xr:uid="{00000000-0004-0000-0100-00009E310000}"/>
    <hyperlink ref="I14782" r:id="rId12704" xr:uid="{00000000-0004-0000-0100-00009F310000}"/>
    <hyperlink ref="I14783" r:id="rId12705" xr:uid="{00000000-0004-0000-0100-0000A0310000}"/>
    <hyperlink ref="I14784" r:id="rId12706" xr:uid="{00000000-0004-0000-0100-0000A1310000}"/>
    <hyperlink ref="I14785" r:id="rId12707" xr:uid="{00000000-0004-0000-0100-0000A2310000}"/>
    <hyperlink ref="I14786" r:id="rId12708" xr:uid="{00000000-0004-0000-0100-0000A3310000}"/>
    <hyperlink ref="I14787" r:id="rId12709" xr:uid="{00000000-0004-0000-0100-0000A4310000}"/>
    <hyperlink ref="I14788" r:id="rId12710" xr:uid="{00000000-0004-0000-0100-0000A5310000}"/>
    <hyperlink ref="I14789" r:id="rId12711" xr:uid="{00000000-0004-0000-0100-0000A6310000}"/>
    <hyperlink ref="I14790" r:id="rId12712" xr:uid="{00000000-0004-0000-0100-0000A7310000}"/>
    <hyperlink ref="I14791" r:id="rId12713" xr:uid="{00000000-0004-0000-0100-0000A8310000}"/>
    <hyperlink ref="I14792" r:id="rId12714" xr:uid="{00000000-0004-0000-0100-0000A9310000}"/>
    <hyperlink ref="I14793" r:id="rId12715" xr:uid="{00000000-0004-0000-0100-0000AA310000}"/>
    <hyperlink ref="I14794" r:id="rId12716" xr:uid="{00000000-0004-0000-0100-0000AB310000}"/>
    <hyperlink ref="I14795" r:id="rId12717" xr:uid="{00000000-0004-0000-0100-0000AC310000}"/>
    <hyperlink ref="I14796" r:id="rId12718" xr:uid="{00000000-0004-0000-0100-0000AD310000}"/>
    <hyperlink ref="I14797" r:id="rId12719" xr:uid="{00000000-0004-0000-0100-0000AE310000}"/>
    <hyperlink ref="I14798" r:id="rId12720" xr:uid="{00000000-0004-0000-0100-0000AF310000}"/>
    <hyperlink ref="I14799" r:id="rId12721" xr:uid="{00000000-0004-0000-0100-0000B0310000}"/>
    <hyperlink ref="I14800" r:id="rId12722" xr:uid="{00000000-0004-0000-0100-0000B1310000}"/>
    <hyperlink ref="I14801" r:id="rId12723" xr:uid="{00000000-0004-0000-0100-0000B2310000}"/>
    <hyperlink ref="I14802" r:id="rId12724" xr:uid="{00000000-0004-0000-0100-0000B3310000}"/>
    <hyperlink ref="I14803" r:id="rId12725" xr:uid="{00000000-0004-0000-0100-0000B4310000}"/>
    <hyperlink ref="I14804" r:id="rId12726" xr:uid="{00000000-0004-0000-0100-0000B5310000}"/>
    <hyperlink ref="I14805" r:id="rId12727" xr:uid="{00000000-0004-0000-0100-0000B6310000}"/>
    <hyperlink ref="I14806" r:id="rId12728" xr:uid="{00000000-0004-0000-0100-0000B7310000}"/>
    <hyperlink ref="I14807" r:id="rId12729" xr:uid="{00000000-0004-0000-0100-0000B8310000}"/>
    <hyperlink ref="I14808" r:id="rId12730" xr:uid="{00000000-0004-0000-0100-0000B9310000}"/>
    <hyperlink ref="I14809" r:id="rId12731" xr:uid="{00000000-0004-0000-0100-0000BA310000}"/>
    <hyperlink ref="I14810" r:id="rId12732" xr:uid="{00000000-0004-0000-0100-0000BB310000}"/>
    <hyperlink ref="I14811" r:id="rId12733" xr:uid="{00000000-0004-0000-0100-0000BC310000}"/>
    <hyperlink ref="I14812" r:id="rId12734" xr:uid="{00000000-0004-0000-0100-0000BD310000}"/>
    <hyperlink ref="I14813" r:id="rId12735" xr:uid="{00000000-0004-0000-0100-0000BE310000}"/>
    <hyperlink ref="I14814" r:id="rId12736" xr:uid="{00000000-0004-0000-0100-0000BF310000}"/>
    <hyperlink ref="I14815" r:id="rId12737" xr:uid="{00000000-0004-0000-0100-0000C0310000}"/>
    <hyperlink ref="I14816" r:id="rId12738" xr:uid="{00000000-0004-0000-0100-0000C1310000}"/>
    <hyperlink ref="I14817" r:id="rId12739" xr:uid="{00000000-0004-0000-0100-0000C2310000}"/>
    <hyperlink ref="I14818" r:id="rId12740" xr:uid="{00000000-0004-0000-0100-0000C3310000}"/>
    <hyperlink ref="I14819" r:id="rId12741" xr:uid="{00000000-0004-0000-0100-0000C4310000}"/>
    <hyperlink ref="I14820" r:id="rId12742" xr:uid="{00000000-0004-0000-0100-0000C5310000}"/>
    <hyperlink ref="I14821" r:id="rId12743" xr:uid="{00000000-0004-0000-0100-0000C6310000}"/>
    <hyperlink ref="I14822" r:id="rId12744" xr:uid="{00000000-0004-0000-0100-0000C7310000}"/>
    <hyperlink ref="I14823" r:id="rId12745" xr:uid="{00000000-0004-0000-0100-0000C8310000}"/>
    <hyperlink ref="I14824" r:id="rId12746" xr:uid="{00000000-0004-0000-0100-0000C9310000}"/>
    <hyperlink ref="I14825" r:id="rId12747" xr:uid="{00000000-0004-0000-0100-0000CA310000}"/>
    <hyperlink ref="I14826" r:id="rId12748" xr:uid="{00000000-0004-0000-0100-0000CB310000}"/>
    <hyperlink ref="I14827" r:id="rId12749" xr:uid="{00000000-0004-0000-0100-0000CC310000}"/>
    <hyperlink ref="I14828" r:id="rId12750" xr:uid="{00000000-0004-0000-0100-0000CD310000}"/>
    <hyperlink ref="I14829" r:id="rId12751" xr:uid="{00000000-0004-0000-0100-0000CE310000}"/>
    <hyperlink ref="I14830" r:id="rId12752" xr:uid="{00000000-0004-0000-0100-0000CF310000}"/>
    <hyperlink ref="I14831" r:id="rId12753" xr:uid="{00000000-0004-0000-0100-0000D0310000}"/>
    <hyperlink ref="I14832" r:id="rId12754" xr:uid="{00000000-0004-0000-0100-0000D1310000}"/>
    <hyperlink ref="I14833" r:id="rId12755" xr:uid="{00000000-0004-0000-0100-0000D2310000}"/>
    <hyperlink ref="I14834" r:id="rId12756" xr:uid="{00000000-0004-0000-0100-0000D3310000}"/>
    <hyperlink ref="I14835" r:id="rId12757" xr:uid="{00000000-0004-0000-0100-0000D4310000}"/>
    <hyperlink ref="I14836" r:id="rId12758" xr:uid="{00000000-0004-0000-0100-0000D5310000}"/>
    <hyperlink ref="I14837" r:id="rId12759" xr:uid="{00000000-0004-0000-0100-0000D6310000}"/>
    <hyperlink ref="I14838" r:id="rId12760" xr:uid="{00000000-0004-0000-0100-0000D7310000}"/>
    <hyperlink ref="I14839" r:id="rId12761" xr:uid="{00000000-0004-0000-0100-0000D8310000}"/>
    <hyperlink ref="I14840" r:id="rId12762" xr:uid="{00000000-0004-0000-0100-0000D9310000}"/>
    <hyperlink ref="I14841" r:id="rId12763" xr:uid="{00000000-0004-0000-0100-0000DA310000}"/>
    <hyperlink ref="I14842" r:id="rId12764" xr:uid="{00000000-0004-0000-0100-0000DB310000}"/>
    <hyperlink ref="I14843" r:id="rId12765" xr:uid="{00000000-0004-0000-0100-0000DC310000}"/>
    <hyperlink ref="I14844" r:id="rId12766" xr:uid="{00000000-0004-0000-0100-0000DD310000}"/>
    <hyperlink ref="I14845" r:id="rId12767" xr:uid="{00000000-0004-0000-0100-0000DE310000}"/>
    <hyperlink ref="I14846" r:id="rId12768" xr:uid="{00000000-0004-0000-0100-0000DF310000}"/>
    <hyperlink ref="I14847" r:id="rId12769" xr:uid="{00000000-0004-0000-0100-0000E0310000}"/>
    <hyperlink ref="I14848" r:id="rId12770" xr:uid="{00000000-0004-0000-0100-0000E1310000}"/>
    <hyperlink ref="I14849" r:id="rId12771" xr:uid="{00000000-0004-0000-0100-0000E2310000}"/>
    <hyperlink ref="I14850" r:id="rId12772" xr:uid="{00000000-0004-0000-0100-0000E3310000}"/>
    <hyperlink ref="I14851" r:id="rId12773" xr:uid="{00000000-0004-0000-0100-0000E4310000}"/>
    <hyperlink ref="I14852" r:id="rId12774" xr:uid="{00000000-0004-0000-0100-0000E5310000}"/>
    <hyperlink ref="I14853" r:id="rId12775" xr:uid="{00000000-0004-0000-0100-0000E6310000}"/>
    <hyperlink ref="I14854" r:id="rId12776" xr:uid="{00000000-0004-0000-0100-0000E7310000}"/>
    <hyperlink ref="I14855" r:id="rId12777" xr:uid="{00000000-0004-0000-0100-0000E8310000}"/>
    <hyperlink ref="I14856" r:id="rId12778" xr:uid="{00000000-0004-0000-0100-0000E9310000}"/>
    <hyperlink ref="I14857" r:id="rId12779" xr:uid="{00000000-0004-0000-0100-0000EA310000}"/>
    <hyperlink ref="I14858" r:id="rId12780" xr:uid="{00000000-0004-0000-0100-0000EB310000}"/>
    <hyperlink ref="I14859" r:id="rId12781" xr:uid="{00000000-0004-0000-0100-0000EC310000}"/>
    <hyperlink ref="I14860" r:id="rId12782" xr:uid="{00000000-0004-0000-0100-0000ED310000}"/>
    <hyperlink ref="I14861" r:id="rId12783" xr:uid="{00000000-0004-0000-0100-0000EE310000}"/>
    <hyperlink ref="I14862" r:id="rId12784" xr:uid="{00000000-0004-0000-0100-0000EF310000}"/>
    <hyperlink ref="I14863" r:id="rId12785" xr:uid="{00000000-0004-0000-0100-0000F0310000}"/>
    <hyperlink ref="I14864" r:id="rId12786" xr:uid="{00000000-0004-0000-0100-0000F1310000}"/>
    <hyperlink ref="I14865" r:id="rId12787" xr:uid="{00000000-0004-0000-0100-0000F2310000}"/>
    <hyperlink ref="I14866" r:id="rId12788" xr:uid="{00000000-0004-0000-0100-0000F3310000}"/>
    <hyperlink ref="I14867" r:id="rId12789" xr:uid="{00000000-0004-0000-0100-0000F4310000}"/>
    <hyperlink ref="I14868" r:id="rId12790" xr:uid="{00000000-0004-0000-0100-0000F5310000}"/>
    <hyperlink ref="I14869" r:id="rId12791" xr:uid="{00000000-0004-0000-0100-0000F6310000}"/>
    <hyperlink ref="I14870" r:id="rId12792" xr:uid="{00000000-0004-0000-0100-0000F7310000}"/>
    <hyperlink ref="I14871" r:id="rId12793" xr:uid="{00000000-0004-0000-0100-0000F8310000}"/>
    <hyperlink ref="I14872" r:id="rId12794" xr:uid="{00000000-0004-0000-0100-0000F9310000}"/>
    <hyperlink ref="I14873" r:id="rId12795" xr:uid="{00000000-0004-0000-0100-0000FA310000}"/>
    <hyperlink ref="I14874" r:id="rId12796" xr:uid="{00000000-0004-0000-0100-0000FB310000}"/>
    <hyperlink ref="I14875" r:id="rId12797" xr:uid="{00000000-0004-0000-0100-0000FC310000}"/>
    <hyperlink ref="I14876" r:id="rId12798" xr:uid="{00000000-0004-0000-0100-0000FD310000}"/>
    <hyperlink ref="I14877" r:id="rId12799" xr:uid="{00000000-0004-0000-0100-0000FE310000}"/>
    <hyperlink ref="I14878" r:id="rId12800" xr:uid="{00000000-0004-0000-0100-0000FF310000}"/>
    <hyperlink ref="I14879" r:id="rId12801" xr:uid="{00000000-0004-0000-0100-000000320000}"/>
    <hyperlink ref="I14880" r:id="rId12802" xr:uid="{00000000-0004-0000-0100-000001320000}"/>
    <hyperlink ref="I14881" r:id="rId12803" xr:uid="{00000000-0004-0000-0100-000002320000}"/>
    <hyperlink ref="I14882" r:id="rId12804" xr:uid="{00000000-0004-0000-0100-000003320000}"/>
    <hyperlink ref="I14883" r:id="rId12805" xr:uid="{00000000-0004-0000-0100-000004320000}"/>
    <hyperlink ref="I14884" r:id="rId12806" xr:uid="{00000000-0004-0000-0100-000005320000}"/>
    <hyperlink ref="I14885" r:id="rId12807" xr:uid="{00000000-0004-0000-0100-000006320000}"/>
    <hyperlink ref="I14886" r:id="rId12808" xr:uid="{00000000-0004-0000-0100-000007320000}"/>
    <hyperlink ref="I14887" r:id="rId12809" xr:uid="{00000000-0004-0000-0100-000008320000}"/>
    <hyperlink ref="I14888" r:id="rId12810" xr:uid="{00000000-0004-0000-0100-000009320000}"/>
    <hyperlink ref="I14889" r:id="rId12811" xr:uid="{00000000-0004-0000-0100-00000A320000}"/>
    <hyperlink ref="I14890" r:id="rId12812" xr:uid="{00000000-0004-0000-0100-00000B320000}"/>
    <hyperlink ref="I14891" r:id="rId12813" xr:uid="{00000000-0004-0000-0100-00000C320000}"/>
    <hyperlink ref="I14892" r:id="rId12814" xr:uid="{00000000-0004-0000-0100-00000D320000}"/>
    <hyperlink ref="I14893" r:id="rId12815" xr:uid="{00000000-0004-0000-0100-00000E320000}"/>
    <hyperlink ref="I14894" r:id="rId12816" xr:uid="{00000000-0004-0000-0100-00000F320000}"/>
    <hyperlink ref="I14895" r:id="rId12817" xr:uid="{00000000-0004-0000-0100-000010320000}"/>
    <hyperlink ref="I14896" r:id="rId12818" xr:uid="{00000000-0004-0000-0100-000011320000}"/>
    <hyperlink ref="I14897" r:id="rId12819" xr:uid="{00000000-0004-0000-0100-000012320000}"/>
    <hyperlink ref="I14898" r:id="rId12820" xr:uid="{00000000-0004-0000-0100-000013320000}"/>
    <hyperlink ref="I14899" r:id="rId12821" xr:uid="{00000000-0004-0000-0100-000014320000}"/>
    <hyperlink ref="I14900" r:id="rId12822" xr:uid="{00000000-0004-0000-0100-000015320000}"/>
    <hyperlink ref="I14901" r:id="rId12823" xr:uid="{00000000-0004-0000-0100-000016320000}"/>
    <hyperlink ref="I14902" r:id="rId12824" xr:uid="{00000000-0004-0000-0100-000017320000}"/>
    <hyperlink ref="I14903" r:id="rId12825" xr:uid="{00000000-0004-0000-0100-000018320000}"/>
    <hyperlink ref="I14904" r:id="rId12826" xr:uid="{00000000-0004-0000-0100-000019320000}"/>
    <hyperlink ref="I14905" r:id="rId12827" xr:uid="{00000000-0004-0000-0100-00001A320000}"/>
    <hyperlink ref="I14906" r:id="rId12828" xr:uid="{00000000-0004-0000-0100-00001B320000}"/>
    <hyperlink ref="I14907" r:id="rId12829" xr:uid="{00000000-0004-0000-0100-00001C320000}"/>
    <hyperlink ref="I14908" r:id="rId12830" xr:uid="{00000000-0004-0000-0100-00001D320000}"/>
    <hyperlink ref="I14909" r:id="rId12831" xr:uid="{00000000-0004-0000-0100-00001E320000}"/>
    <hyperlink ref="I14910" r:id="rId12832" xr:uid="{00000000-0004-0000-0100-00001F320000}"/>
    <hyperlink ref="I14911" r:id="rId12833" xr:uid="{00000000-0004-0000-0100-000020320000}"/>
    <hyperlink ref="I14912" r:id="rId12834" xr:uid="{00000000-0004-0000-0100-000021320000}"/>
    <hyperlink ref="I14913" r:id="rId12835" xr:uid="{00000000-0004-0000-0100-000022320000}"/>
    <hyperlink ref="I14914" r:id="rId12836" xr:uid="{00000000-0004-0000-0100-000023320000}"/>
    <hyperlink ref="I14915" r:id="rId12837" xr:uid="{00000000-0004-0000-0100-000024320000}"/>
    <hyperlink ref="I14916" r:id="rId12838" xr:uid="{00000000-0004-0000-0100-000025320000}"/>
    <hyperlink ref="I14917" r:id="rId12839" xr:uid="{00000000-0004-0000-0100-000026320000}"/>
    <hyperlink ref="I14918" r:id="rId12840" xr:uid="{00000000-0004-0000-0100-000027320000}"/>
    <hyperlink ref="I14919" r:id="rId12841" xr:uid="{00000000-0004-0000-0100-000028320000}"/>
    <hyperlink ref="I14920" r:id="rId12842" xr:uid="{00000000-0004-0000-0100-000029320000}"/>
    <hyperlink ref="I14921" r:id="rId12843" xr:uid="{00000000-0004-0000-0100-00002A320000}"/>
    <hyperlink ref="I14922" r:id="rId12844" xr:uid="{00000000-0004-0000-0100-00002B320000}"/>
    <hyperlink ref="I14923" r:id="rId12845" xr:uid="{00000000-0004-0000-0100-00002C320000}"/>
    <hyperlink ref="I14924" r:id="rId12846" xr:uid="{00000000-0004-0000-0100-00002D320000}"/>
    <hyperlink ref="I14925" r:id="rId12847" xr:uid="{00000000-0004-0000-0100-00002E320000}"/>
    <hyperlink ref="I14926" r:id="rId12848" xr:uid="{00000000-0004-0000-0100-00002F320000}"/>
    <hyperlink ref="I14927" r:id="rId12849" xr:uid="{00000000-0004-0000-0100-000030320000}"/>
    <hyperlink ref="I14928" r:id="rId12850" xr:uid="{00000000-0004-0000-0100-000031320000}"/>
    <hyperlink ref="I14929" r:id="rId12851" xr:uid="{00000000-0004-0000-0100-000032320000}"/>
    <hyperlink ref="I14930" r:id="rId12852" xr:uid="{00000000-0004-0000-0100-000033320000}"/>
    <hyperlink ref="I14931" r:id="rId12853" xr:uid="{00000000-0004-0000-0100-000034320000}"/>
    <hyperlink ref="I14932" r:id="rId12854" xr:uid="{00000000-0004-0000-0100-000035320000}"/>
    <hyperlink ref="I14933" r:id="rId12855" xr:uid="{00000000-0004-0000-0100-000036320000}"/>
    <hyperlink ref="I14934" r:id="rId12856" xr:uid="{00000000-0004-0000-0100-000037320000}"/>
    <hyperlink ref="I14935" r:id="rId12857" xr:uid="{00000000-0004-0000-0100-000038320000}"/>
    <hyperlink ref="I14936" r:id="rId12858" xr:uid="{00000000-0004-0000-0100-000039320000}"/>
    <hyperlink ref="I14937" r:id="rId12859" xr:uid="{00000000-0004-0000-0100-00003A320000}"/>
    <hyperlink ref="I14938" r:id="rId12860" xr:uid="{00000000-0004-0000-0100-00003B320000}"/>
    <hyperlink ref="I14939" r:id="rId12861" xr:uid="{00000000-0004-0000-0100-00003C320000}"/>
    <hyperlink ref="I14940" r:id="rId12862" xr:uid="{00000000-0004-0000-0100-00003D320000}"/>
    <hyperlink ref="I14941" r:id="rId12863" xr:uid="{00000000-0004-0000-0100-00003E320000}"/>
    <hyperlink ref="I14942" r:id="rId12864" xr:uid="{00000000-0004-0000-0100-00003F320000}"/>
    <hyperlink ref="I14943" r:id="rId12865" xr:uid="{00000000-0004-0000-0100-000040320000}"/>
    <hyperlink ref="I14944" r:id="rId12866" xr:uid="{00000000-0004-0000-0100-000041320000}"/>
    <hyperlink ref="I14945" r:id="rId12867" xr:uid="{00000000-0004-0000-0100-000042320000}"/>
    <hyperlink ref="I14946" r:id="rId12868" xr:uid="{00000000-0004-0000-0100-000043320000}"/>
    <hyperlink ref="I14947" r:id="rId12869" xr:uid="{00000000-0004-0000-0100-000044320000}"/>
    <hyperlink ref="I14948" r:id="rId12870" xr:uid="{00000000-0004-0000-0100-000045320000}"/>
    <hyperlink ref="I14949" r:id="rId12871" xr:uid="{00000000-0004-0000-0100-000046320000}"/>
    <hyperlink ref="I14950" r:id="rId12872" xr:uid="{00000000-0004-0000-0100-000047320000}"/>
    <hyperlink ref="I14951" r:id="rId12873" xr:uid="{00000000-0004-0000-0100-000048320000}"/>
    <hyperlink ref="I14952" r:id="rId12874" xr:uid="{00000000-0004-0000-0100-000049320000}"/>
    <hyperlink ref="I14953" r:id="rId12875" xr:uid="{00000000-0004-0000-0100-00004A320000}"/>
    <hyperlink ref="I14954" r:id="rId12876" xr:uid="{00000000-0004-0000-0100-00004B320000}"/>
    <hyperlink ref="I14955" r:id="rId12877" xr:uid="{00000000-0004-0000-0100-00004C320000}"/>
    <hyperlink ref="I14956" r:id="rId12878" xr:uid="{00000000-0004-0000-0100-00004D320000}"/>
    <hyperlink ref="I14957" r:id="rId12879" xr:uid="{00000000-0004-0000-0100-00004E320000}"/>
    <hyperlink ref="I14958" r:id="rId12880" xr:uid="{00000000-0004-0000-0100-00004F320000}"/>
    <hyperlink ref="I14959" r:id="rId12881" xr:uid="{00000000-0004-0000-0100-000050320000}"/>
    <hyperlink ref="I14960" r:id="rId12882" xr:uid="{00000000-0004-0000-0100-000051320000}"/>
    <hyperlink ref="I14961" r:id="rId12883" xr:uid="{00000000-0004-0000-0100-000052320000}"/>
    <hyperlink ref="I14962" r:id="rId12884" xr:uid="{00000000-0004-0000-0100-000053320000}"/>
    <hyperlink ref="I14963" r:id="rId12885" xr:uid="{00000000-0004-0000-0100-000054320000}"/>
    <hyperlink ref="I14964" r:id="rId12886" xr:uid="{00000000-0004-0000-0100-000055320000}"/>
    <hyperlink ref="I14965" r:id="rId12887" xr:uid="{00000000-0004-0000-0100-000056320000}"/>
    <hyperlink ref="I14966" r:id="rId12888" xr:uid="{00000000-0004-0000-0100-000057320000}"/>
    <hyperlink ref="I14967" r:id="rId12889" xr:uid="{00000000-0004-0000-0100-000058320000}"/>
    <hyperlink ref="I14968" r:id="rId12890" xr:uid="{00000000-0004-0000-0100-000059320000}"/>
    <hyperlink ref="I14969" r:id="rId12891" xr:uid="{00000000-0004-0000-0100-00005A320000}"/>
    <hyperlink ref="I14970" r:id="rId12892" xr:uid="{00000000-0004-0000-0100-00005B320000}"/>
    <hyperlink ref="I14971" r:id="rId12893" xr:uid="{00000000-0004-0000-0100-00005C320000}"/>
    <hyperlink ref="I14972" r:id="rId12894" xr:uid="{00000000-0004-0000-0100-00005D320000}"/>
    <hyperlink ref="I14973" r:id="rId12895" xr:uid="{00000000-0004-0000-0100-00005E320000}"/>
    <hyperlink ref="I14974" r:id="rId12896" xr:uid="{00000000-0004-0000-0100-00005F320000}"/>
    <hyperlink ref="I14975" r:id="rId12897" xr:uid="{00000000-0004-0000-0100-000060320000}"/>
    <hyperlink ref="I14976" r:id="rId12898" xr:uid="{00000000-0004-0000-0100-000061320000}"/>
    <hyperlink ref="I14977" r:id="rId12899" xr:uid="{00000000-0004-0000-0100-000062320000}"/>
    <hyperlink ref="I14978" r:id="rId12900" xr:uid="{00000000-0004-0000-0100-000063320000}"/>
    <hyperlink ref="I14979" r:id="rId12901" xr:uid="{00000000-0004-0000-0100-000064320000}"/>
    <hyperlink ref="I14980" r:id="rId12902" xr:uid="{00000000-0004-0000-0100-000065320000}"/>
    <hyperlink ref="I14981" r:id="rId12903" xr:uid="{00000000-0004-0000-0100-000066320000}"/>
    <hyperlink ref="I14982" r:id="rId12904" xr:uid="{00000000-0004-0000-0100-000067320000}"/>
    <hyperlink ref="I14983" r:id="rId12905" xr:uid="{00000000-0004-0000-0100-000068320000}"/>
    <hyperlink ref="I14984" r:id="rId12906" xr:uid="{00000000-0004-0000-0100-000069320000}"/>
    <hyperlink ref="I14985" r:id="rId12907" xr:uid="{00000000-0004-0000-0100-00006A320000}"/>
    <hyperlink ref="I14986" r:id="rId12908" xr:uid="{00000000-0004-0000-0100-00006B320000}"/>
    <hyperlink ref="I14987" r:id="rId12909" xr:uid="{00000000-0004-0000-0100-00006C320000}"/>
    <hyperlink ref="I14988" r:id="rId12910" xr:uid="{00000000-0004-0000-0100-00006D320000}"/>
    <hyperlink ref="I14989" r:id="rId12911" xr:uid="{00000000-0004-0000-0100-00006E320000}"/>
    <hyperlink ref="I14990" r:id="rId12912" xr:uid="{00000000-0004-0000-0100-00006F320000}"/>
    <hyperlink ref="I14991" r:id="rId12913" xr:uid="{00000000-0004-0000-0100-000070320000}"/>
    <hyperlink ref="I14992" r:id="rId12914" xr:uid="{00000000-0004-0000-0100-000071320000}"/>
    <hyperlink ref="I14993" r:id="rId12915" xr:uid="{00000000-0004-0000-0100-000072320000}"/>
    <hyperlink ref="I14994" r:id="rId12916" xr:uid="{00000000-0004-0000-0100-000073320000}"/>
    <hyperlink ref="I14995" r:id="rId12917" xr:uid="{00000000-0004-0000-0100-000074320000}"/>
    <hyperlink ref="I14996" r:id="rId12918" xr:uid="{00000000-0004-0000-0100-000075320000}"/>
    <hyperlink ref="I14997" r:id="rId12919" xr:uid="{00000000-0004-0000-0100-000076320000}"/>
    <hyperlink ref="I14998" r:id="rId12920" xr:uid="{00000000-0004-0000-0100-000077320000}"/>
    <hyperlink ref="I14999" r:id="rId12921" xr:uid="{00000000-0004-0000-0100-000078320000}"/>
    <hyperlink ref="I15000" r:id="rId12922" xr:uid="{00000000-0004-0000-0100-000079320000}"/>
    <hyperlink ref="I15001" r:id="rId12923" xr:uid="{00000000-0004-0000-0100-00007A320000}"/>
    <hyperlink ref="I15002" r:id="rId12924" xr:uid="{00000000-0004-0000-0100-00007B320000}"/>
    <hyperlink ref="I15003" r:id="rId12925" xr:uid="{00000000-0004-0000-0100-00007C320000}"/>
    <hyperlink ref="I15004" r:id="rId12926" xr:uid="{00000000-0004-0000-0100-00007D320000}"/>
    <hyperlink ref="I15005" r:id="rId12927" xr:uid="{00000000-0004-0000-0100-00007E320000}"/>
    <hyperlink ref="I15006" r:id="rId12928" xr:uid="{00000000-0004-0000-0100-00007F320000}"/>
    <hyperlink ref="I15007" r:id="rId12929" xr:uid="{00000000-0004-0000-0100-000080320000}"/>
    <hyperlink ref="I15008" r:id="rId12930" xr:uid="{00000000-0004-0000-0100-000081320000}"/>
    <hyperlink ref="I15009" r:id="rId12931" xr:uid="{00000000-0004-0000-0100-000082320000}"/>
    <hyperlink ref="I15010" r:id="rId12932" xr:uid="{00000000-0004-0000-0100-000083320000}"/>
    <hyperlink ref="I15011" r:id="rId12933" xr:uid="{00000000-0004-0000-0100-000084320000}"/>
    <hyperlink ref="I15012" r:id="rId12934" xr:uid="{00000000-0004-0000-0100-000085320000}"/>
    <hyperlink ref="I15013" r:id="rId12935" xr:uid="{00000000-0004-0000-0100-000086320000}"/>
    <hyperlink ref="I15014" r:id="rId12936" xr:uid="{00000000-0004-0000-0100-000087320000}"/>
    <hyperlink ref="I15015" r:id="rId12937" xr:uid="{00000000-0004-0000-0100-000088320000}"/>
    <hyperlink ref="I15016" r:id="rId12938" xr:uid="{00000000-0004-0000-0100-000089320000}"/>
    <hyperlink ref="I15017" r:id="rId12939" xr:uid="{00000000-0004-0000-0100-00008A320000}"/>
    <hyperlink ref="I15018" r:id="rId12940" xr:uid="{00000000-0004-0000-0100-00008B320000}"/>
    <hyperlink ref="I15019" r:id="rId12941" xr:uid="{00000000-0004-0000-0100-00008C320000}"/>
    <hyperlink ref="I15020" r:id="rId12942" xr:uid="{00000000-0004-0000-0100-00008D320000}"/>
    <hyperlink ref="I15021" r:id="rId12943" xr:uid="{00000000-0004-0000-0100-00008E320000}"/>
    <hyperlink ref="I15022" r:id="rId12944" xr:uid="{00000000-0004-0000-0100-00008F320000}"/>
    <hyperlink ref="I15023" r:id="rId12945" xr:uid="{00000000-0004-0000-0100-000090320000}"/>
    <hyperlink ref="I15024" r:id="rId12946" xr:uid="{00000000-0004-0000-0100-000091320000}"/>
    <hyperlink ref="I15025" r:id="rId12947" xr:uid="{00000000-0004-0000-0100-000092320000}"/>
    <hyperlink ref="I15026" r:id="rId12948" xr:uid="{00000000-0004-0000-0100-000093320000}"/>
    <hyperlink ref="I15027" r:id="rId12949" xr:uid="{00000000-0004-0000-0100-000094320000}"/>
    <hyperlink ref="I15028" r:id="rId12950" xr:uid="{00000000-0004-0000-0100-000095320000}"/>
    <hyperlink ref="I15029" r:id="rId12951" xr:uid="{00000000-0004-0000-0100-000096320000}"/>
    <hyperlink ref="I15030" r:id="rId12952" xr:uid="{00000000-0004-0000-0100-000097320000}"/>
    <hyperlink ref="I15031" r:id="rId12953" xr:uid="{00000000-0004-0000-0100-000098320000}"/>
    <hyperlink ref="I15032" r:id="rId12954" xr:uid="{00000000-0004-0000-0100-000099320000}"/>
    <hyperlink ref="I15033" r:id="rId12955" xr:uid="{00000000-0004-0000-0100-00009A320000}"/>
    <hyperlink ref="I15034" r:id="rId12956" xr:uid="{00000000-0004-0000-0100-00009B320000}"/>
    <hyperlink ref="I15035" r:id="rId12957" xr:uid="{00000000-0004-0000-0100-00009C320000}"/>
    <hyperlink ref="I15036" r:id="rId12958" xr:uid="{00000000-0004-0000-0100-00009D320000}"/>
    <hyperlink ref="I15037" r:id="rId12959" xr:uid="{00000000-0004-0000-0100-00009E320000}"/>
    <hyperlink ref="I15038" r:id="rId12960" xr:uid="{00000000-0004-0000-0100-00009F320000}"/>
    <hyperlink ref="I15039" r:id="rId12961" xr:uid="{00000000-0004-0000-0100-0000A0320000}"/>
    <hyperlink ref="I15040" r:id="rId12962" xr:uid="{00000000-0004-0000-0100-0000A1320000}"/>
    <hyperlink ref="I15041" r:id="rId12963" xr:uid="{00000000-0004-0000-0100-0000A2320000}"/>
    <hyperlink ref="I15042" r:id="rId12964" xr:uid="{00000000-0004-0000-0100-0000A3320000}"/>
    <hyperlink ref="I15043" r:id="rId12965" xr:uid="{00000000-0004-0000-0100-0000A4320000}"/>
    <hyperlink ref="I15044" r:id="rId12966" xr:uid="{00000000-0004-0000-0100-0000A5320000}"/>
    <hyperlink ref="I15045" r:id="rId12967" xr:uid="{00000000-0004-0000-0100-0000A6320000}"/>
    <hyperlink ref="I15046" r:id="rId12968" xr:uid="{00000000-0004-0000-0100-0000A7320000}"/>
    <hyperlink ref="I15047" r:id="rId12969" xr:uid="{00000000-0004-0000-0100-0000A8320000}"/>
    <hyperlink ref="I15048" r:id="rId12970" xr:uid="{00000000-0004-0000-0100-0000A9320000}"/>
    <hyperlink ref="I15049" r:id="rId12971" xr:uid="{00000000-0004-0000-0100-0000AA320000}"/>
    <hyperlink ref="I15050" r:id="rId12972" xr:uid="{00000000-0004-0000-0100-0000AB320000}"/>
    <hyperlink ref="I15051" r:id="rId12973" xr:uid="{00000000-0004-0000-0100-0000AC320000}"/>
    <hyperlink ref="I15052" r:id="rId12974" xr:uid="{00000000-0004-0000-0100-0000AD320000}"/>
    <hyperlink ref="I15053" r:id="rId12975" xr:uid="{00000000-0004-0000-0100-0000AE320000}"/>
    <hyperlink ref="I15054" r:id="rId12976" xr:uid="{00000000-0004-0000-0100-0000AF320000}"/>
    <hyperlink ref="I15055" r:id="rId12977" xr:uid="{00000000-0004-0000-0100-0000B0320000}"/>
    <hyperlink ref="I15056" r:id="rId12978" xr:uid="{00000000-0004-0000-0100-0000B1320000}"/>
    <hyperlink ref="I15057" r:id="rId12979" xr:uid="{00000000-0004-0000-0100-0000B2320000}"/>
    <hyperlink ref="I15058" r:id="rId12980" xr:uid="{00000000-0004-0000-0100-0000B3320000}"/>
    <hyperlink ref="I15059" r:id="rId12981" xr:uid="{00000000-0004-0000-0100-0000B4320000}"/>
    <hyperlink ref="I15060" r:id="rId12982" xr:uid="{00000000-0004-0000-0100-0000B5320000}"/>
    <hyperlink ref="I15061" r:id="rId12983" xr:uid="{00000000-0004-0000-0100-0000B6320000}"/>
    <hyperlink ref="I15062" r:id="rId12984" xr:uid="{00000000-0004-0000-0100-0000B7320000}"/>
    <hyperlink ref="I15063" r:id="rId12985" xr:uid="{00000000-0004-0000-0100-0000B8320000}"/>
    <hyperlink ref="I15064" r:id="rId12986" xr:uid="{00000000-0004-0000-0100-0000B9320000}"/>
    <hyperlink ref="I15065" r:id="rId12987" xr:uid="{00000000-0004-0000-0100-0000BA320000}"/>
    <hyperlink ref="I15066" r:id="rId12988" xr:uid="{00000000-0004-0000-0100-0000BB320000}"/>
    <hyperlink ref="I15067" r:id="rId12989" xr:uid="{00000000-0004-0000-0100-0000BC320000}"/>
    <hyperlink ref="I15068" r:id="rId12990" xr:uid="{00000000-0004-0000-0100-0000BD320000}"/>
    <hyperlink ref="I15069" r:id="rId12991" xr:uid="{00000000-0004-0000-0100-0000BE320000}"/>
    <hyperlink ref="I15070" r:id="rId12992" xr:uid="{00000000-0004-0000-0100-0000BF320000}"/>
    <hyperlink ref="I15071" r:id="rId12993" xr:uid="{00000000-0004-0000-0100-0000C0320000}"/>
    <hyperlink ref="I15072" r:id="rId12994" xr:uid="{00000000-0004-0000-0100-0000C1320000}"/>
    <hyperlink ref="I15073" r:id="rId12995" xr:uid="{00000000-0004-0000-0100-0000C2320000}"/>
    <hyperlink ref="I15074" r:id="rId12996" xr:uid="{00000000-0004-0000-0100-0000C3320000}"/>
    <hyperlink ref="I15075" r:id="rId12997" xr:uid="{00000000-0004-0000-0100-0000C4320000}"/>
    <hyperlink ref="I15076" r:id="rId12998" xr:uid="{00000000-0004-0000-0100-0000C5320000}"/>
    <hyperlink ref="I15077" r:id="rId12999" xr:uid="{00000000-0004-0000-0100-0000C6320000}"/>
    <hyperlink ref="I15078" r:id="rId13000" xr:uid="{00000000-0004-0000-0100-0000C7320000}"/>
    <hyperlink ref="I15079" r:id="rId13001" xr:uid="{00000000-0004-0000-0100-0000C8320000}"/>
    <hyperlink ref="I15080" r:id="rId13002" xr:uid="{00000000-0004-0000-0100-0000C9320000}"/>
    <hyperlink ref="I15081" r:id="rId13003" xr:uid="{00000000-0004-0000-0100-0000CA320000}"/>
    <hyperlink ref="I15082" r:id="rId13004" xr:uid="{00000000-0004-0000-0100-0000CB320000}"/>
    <hyperlink ref="I15083" r:id="rId13005" xr:uid="{00000000-0004-0000-0100-0000CC320000}"/>
    <hyperlink ref="I15084" r:id="rId13006" xr:uid="{00000000-0004-0000-0100-0000CD320000}"/>
    <hyperlink ref="I15085" r:id="rId13007" xr:uid="{00000000-0004-0000-0100-0000CE320000}"/>
    <hyperlink ref="I15086" r:id="rId13008" xr:uid="{00000000-0004-0000-0100-0000CF320000}"/>
    <hyperlink ref="I15087" r:id="rId13009" xr:uid="{00000000-0004-0000-0100-0000D0320000}"/>
    <hyperlink ref="I15088" r:id="rId13010" xr:uid="{00000000-0004-0000-0100-0000D1320000}"/>
    <hyperlink ref="I15089" r:id="rId13011" xr:uid="{00000000-0004-0000-0100-0000D2320000}"/>
    <hyperlink ref="I15090" r:id="rId13012" xr:uid="{00000000-0004-0000-0100-0000D3320000}"/>
    <hyperlink ref="I15091" r:id="rId13013" xr:uid="{00000000-0004-0000-0100-0000D4320000}"/>
    <hyperlink ref="I15092" r:id="rId13014" xr:uid="{00000000-0004-0000-0100-0000D5320000}"/>
    <hyperlink ref="I15093" r:id="rId13015" xr:uid="{00000000-0004-0000-0100-0000D6320000}"/>
    <hyperlink ref="I15094" r:id="rId13016" xr:uid="{00000000-0004-0000-0100-0000D7320000}"/>
    <hyperlink ref="I15095" r:id="rId13017" xr:uid="{00000000-0004-0000-0100-0000D8320000}"/>
    <hyperlink ref="I15096" r:id="rId13018" xr:uid="{00000000-0004-0000-0100-0000D9320000}"/>
    <hyperlink ref="I15097" r:id="rId13019" xr:uid="{00000000-0004-0000-0100-0000DA320000}"/>
    <hyperlink ref="I15098" r:id="rId13020" xr:uid="{00000000-0004-0000-0100-0000DB320000}"/>
    <hyperlink ref="I15099" r:id="rId13021" xr:uid="{00000000-0004-0000-0100-0000DC320000}"/>
    <hyperlink ref="I15100" r:id="rId13022" xr:uid="{00000000-0004-0000-0100-0000DD320000}"/>
    <hyperlink ref="I15101" r:id="rId13023" xr:uid="{00000000-0004-0000-0100-0000DE320000}"/>
    <hyperlink ref="I15102" r:id="rId13024" xr:uid="{00000000-0004-0000-0100-0000DF320000}"/>
    <hyperlink ref="I15103" r:id="rId13025" xr:uid="{00000000-0004-0000-0100-0000E0320000}"/>
    <hyperlink ref="I15104" r:id="rId13026" xr:uid="{00000000-0004-0000-0100-0000E1320000}"/>
    <hyperlink ref="I15105" r:id="rId13027" xr:uid="{00000000-0004-0000-0100-0000E2320000}"/>
    <hyperlink ref="I15106" r:id="rId13028" xr:uid="{00000000-0004-0000-0100-0000E3320000}"/>
    <hyperlink ref="I15107" r:id="rId13029" xr:uid="{00000000-0004-0000-0100-0000E4320000}"/>
    <hyperlink ref="I15108" r:id="rId13030" xr:uid="{00000000-0004-0000-0100-0000E5320000}"/>
    <hyperlink ref="I15109" r:id="rId13031" xr:uid="{00000000-0004-0000-0100-0000E6320000}"/>
    <hyperlink ref="I15110" r:id="rId13032" xr:uid="{00000000-0004-0000-0100-0000E7320000}"/>
    <hyperlink ref="I15111" r:id="rId13033" xr:uid="{00000000-0004-0000-0100-0000E8320000}"/>
    <hyperlink ref="I15112" r:id="rId13034" xr:uid="{00000000-0004-0000-0100-0000E9320000}"/>
    <hyperlink ref="I15113" r:id="rId13035" xr:uid="{00000000-0004-0000-0100-0000EA320000}"/>
    <hyperlink ref="I15114" r:id="rId13036" xr:uid="{00000000-0004-0000-0100-0000EB320000}"/>
    <hyperlink ref="I15115" r:id="rId13037" xr:uid="{00000000-0004-0000-0100-0000EC320000}"/>
    <hyperlink ref="I15116" r:id="rId13038" xr:uid="{00000000-0004-0000-0100-0000ED320000}"/>
    <hyperlink ref="I15117" r:id="rId13039" xr:uid="{00000000-0004-0000-0100-0000EE320000}"/>
    <hyperlink ref="I15118" r:id="rId13040" xr:uid="{00000000-0004-0000-0100-0000EF320000}"/>
    <hyperlink ref="I15119" r:id="rId13041" xr:uid="{00000000-0004-0000-0100-0000F0320000}"/>
    <hyperlink ref="I15120" r:id="rId13042" xr:uid="{00000000-0004-0000-0100-0000F1320000}"/>
    <hyperlink ref="I15121" r:id="rId13043" xr:uid="{00000000-0004-0000-0100-0000F2320000}"/>
    <hyperlink ref="I15122" r:id="rId13044" xr:uid="{00000000-0004-0000-0100-0000F3320000}"/>
    <hyperlink ref="I15123" r:id="rId13045" xr:uid="{00000000-0004-0000-0100-0000F4320000}"/>
    <hyperlink ref="I15124" r:id="rId13046" xr:uid="{00000000-0004-0000-0100-0000F5320000}"/>
    <hyperlink ref="I15125" r:id="rId13047" xr:uid="{00000000-0004-0000-0100-0000F6320000}"/>
    <hyperlink ref="I15126" r:id="rId13048" xr:uid="{00000000-0004-0000-0100-0000F7320000}"/>
    <hyperlink ref="I15127" r:id="rId13049" xr:uid="{00000000-0004-0000-0100-0000F8320000}"/>
    <hyperlink ref="I15128" r:id="rId13050" xr:uid="{00000000-0004-0000-0100-0000F9320000}"/>
    <hyperlink ref="I15129" r:id="rId13051" xr:uid="{00000000-0004-0000-0100-0000FA320000}"/>
    <hyperlink ref="I15130" r:id="rId13052" xr:uid="{00000000-0004-0000-0100-0000FB320000}"/>
    <hyperlink ref="I15131" r:id="rId13053" xr:uid="{00000000-0004-0000-0100-0000FC320000}"/>
    <hyperlink ref="I15132" r:id="rId13054" xr:uid="{00000000-0004-0000-0100-0000FD320000}"/>
    <hyperlink ref="I15133" r:id="rId13055" xr:uid="{00000000-0004-0000-0100-0000FE320000}"/>
    <hyperlink ref="I15134" r:id="rId13056" xr:uid="{00000000-0004-0000-0100-0000FF320000}"/>
    <hyperlink ref="I15135" r:id="rId13057" xr:uid="{00000000-0004-0000-0100-000000330000}"/>
    <hyperlink ref="I15136" r:id="rId13058" xr:uid="{00000000-0004-0000-0100-000001330000}"/>
    <hyperlink ref="I15137" r:id="rId13059" xr:uid="{00000000-0004-0000-0100-000002330000}"/>
    <hyperlink ref="I15138" r:id="rId13060" xr:uid="{00000000-0004-0000-0100-000003330000}"/>
    <hyperlink ref="I15139" r:id="rId13061" xr:uid="{00000000-0004-0000-0100-000004330000}"/>
    <hyperlink ref="I15140" r:id="rId13062" xr:uid="{00000000-0004-0000-0100-000005330000}"/>
    <hyperlink ref="I15141" r:id="rId13063" xr:uid="{00000000-0004-0000-0100-000006330000}"/>
    <hyperlink ref="I15142" r:id="rId13064" xr:uid="{00000000-0004-0000-0100-000007330000}"/>
    <hyperlink ref="I15143" r:id="rId13065" xr:uid="{00000000-0004-0000-0100-000008330000}"/>
    <hyperlink ref="I15144" r:id="rId13066" xr:uid="{00000000-0004-0000-0100-000009330000}"/>
    <hyperlink ref="I15145" r:id="rId13067" xr:uid="{00000000-0004-0000-0100-00000A330000}"/>
    <hyperlink ref="I15146" r:id="rId13068" xr:uid="{00000000-0004-0000-0100-00000B330000}"/>
    <hyperlink ref="I15147" r:id="rId13069" xr:uid="{00000000-0004-0000-0100-00000C330000}"/>
    <hyperlink ref="I15148" r:id="rId13070" xr:uid="{00000000-0004-0000-0100-00000D330000}"/>
    <hyperlink ref="I15149" r:id="rId13071" xr:uid="{00000000-0004-0000-0100-00000E330000}"/>
    <hyperlink ref="I15150" r:id="rId13072" xr:uid="{00000000-0004-0000-0100-00000F330000}"/>
    <hyperlink ref="I15151" r:id="rId13073" xr:uid="{00000000-0004-0000-0100-000010330000}"/>
    <hyperlink ref="I15152" r:id="rId13074" xr:uid="{00000000-0004-0000-0100-000011330000}"/>
    <hyperlink ref="I15153" r:id="rId13075" xr:uid="{00000000-0004-0000-0100-000012330000}"/>
    <hyperlink ref="I15154" r:id="rId13076" xr:uid="{00000000-0004-0000-0100-000013330000}"/>
    <hyperlink ref="I15155" r:id="rId13077" xr:uid="{00000000-0004-0000-0100-000014330000}"/>
    <hyperlink ref="I15156" r:id="rId13078" xr:uid="{00000000-0004-0000-0100-000015330000}"/>
    <hyperlink ref="I15157" r:id="rId13079" xr:uid="{00000000-0004-0000-0100-000016330000}"/>
    <hyperlink ref="I15158" r:id="rId13080" xr:uid="{00000000-0004-0000-0100-000017330000}"/>
    <hyperlink ref="I15159" r:id="rId13081" xr:uid="{00000000-0004-0000-0100-000018330000}"/>
    <hyperlink ref="I15160" r:id="rId13082" xr:uid="{00000000-0004-0000-0100-000019330000}"/>
    <hyperlink ref="I15161" r:id="rId13083" xr:uid="{00000000-0004-0000-0100-00001A330000}"/>
    <hyperlink ref="I15162" r:id="rId13084" xr:uid="{00000000-0004-0000-0100-00001B330000}"/>
    <hyperlink ref="I15163" r:id="rId13085" xr:uid="{00000000-0004-0000-0100-00001C330000}"/>
    <hyperlink ref="I15164" r:id="rId13086" xr:uid="{00000000-0004-0000-0100-00001D330000}"/>
    <hyperlink ref="I15165" r:id="rId13087" xr:uid="{00000000-0004-0000-0100-00001E330000}"/>
    <hyperlink ref="I15166" r:id="rId13088" xr:uid="{00000000-0004-0000-0100-00001F330000}"/>
    <hyperlink ref="I15167" r:id="rId13089" xr:uid="{00000000-0004-0000-0100-000020330000}"/>
    <hyperlink ref="I15168" r:id="rId13090" xr:uid="{00000000-0004-0000-0100-000021330000}"/>
    <hyperlink ref="I15169" r:id="rId13091" xr:uid="{00000000-0004-0000-0100-000022330000}"/>
    <hyperlink ref="I15170" r:id="rId13092" xr:uid="{00000000-0004-0000-0100-000023330000}"/>
    <hyperlink ref="I15171" r:id="rId13093" xr:uid="{00000000-0004-0000-0100-000024330000}"/>
    <hyperlink ref="I15172" r:id="rId13094" xr:uid="{00000000-0004-0000-0100-000025330000}"/>
    <hyperlink ref="I15173" r:id="rId13095" xr:uid="{00000000-0004-0000-0100-000026330000}"/>
    <hyperlink ref="I15174" r:id="rId13096" xr:uid="{00000000-0004-0000-0100-000027330000}"/>
    <hyperlink ref="I15175" r:id="rId13097" xr:uid="{00000000-0004-0000-0100-000028330000}"/>
    <hyperlink ref="I15176" r:id="rId13098" xr:uid="{00000000-0004-0000-0100-000029330000}"/>
    <hyperlink ref="I15177" r:id="rId13099" xr:uid="{00000000-0004-0000-0100-00002A330000}"/>
    <hyperlink ref="I15178" r:id="rId13100" xr:uid="{00000000-0004-0000-0100-00002B330000}"/>
    <hyperlink ref="I15179" r:id="rId13101" xr:uid="{00000000-0004-0000-0100-00002C330000}"/>
    <hyperlink ref="I15180" r:id="rId13102" xr:uid="{00000000-0004-0000-0100-00002D330000}"/>
    <hyperlink ref="I15181" r:id="rId13103" xr:uid="{00000000-0004-0000-0100-00002E330000}"/>
    <hyperlink ref="I15182" r:id="rId13104" xr:uid="{00000000-0004-0000-0100-00002F330000}"/>
    <hyperlink ref="I15183" r:id="rId13105" xr:uid="{00000000-0004-0000-0100-000030330000}"/>
    <hyperlink ref="I15184" r:id="rId13106" xr:uid="{00000000-0004-0000-0100-000031330000}"/>
    <hyperlink ref="I15185" r:id="rId13107" xr:uid="{00000000-0004-0000-0100-000032330000}"/>
    <hyperlink ref="I15186" r:id="rId13108" xr:uid="{00000000-0004-0000-0100-000033330000}"/>
    <hyperlink ref="I15187" r:id="rId13109" xr:uid="{00000000-0004-0000-0100-000034330000}"/>
    <hyperlink ref="I15188" r:id="rId13110" xr:uid="{00000000-0004-0000-0100-000035330000}"/>
    <hyperlink ref="I15189" r:id="rId13111" xr:uid="{00000000-0004-0000-0100-000036330000}"/>
    <hyperlink ref="I15190" r:id="rId13112" xr:uid="{00000000-0004-0000-0100-000037330000}"/>
    <hyperlink ref="I15191" r:id="rId13113" xr:uid="{00000000-0004-0000-0100-000038330000}"/>
    <hyperlink ref="I15192" r:id="rId13114" xr:uid="{00000000-0004-0000-0100-000039330000}"/>
    <hyperlink ref="I15193" r:id="rId13115" xr:uid="{00000000-0004-0000-0100-00003A330000}"/>
    <hyperlink ref="I15194" r:id="rId13116" xr:uid="{00000000-0004-0000-0100-00003B330000}"/>
    <hyperlink ref="I15195" r:id="rId13117" xr:uid="{00000000-0004-0000-0100-00003C330000}"/>
    <hyperlink ref="I15196" r:id="rId13118" xr:uid="{00000000-0004-0000-0100-00003D330000}"/>
    <hyperlink ref="I15197" r:id="rId13119" xr:uid="{00000000-0004-0000-0100-00003E330000}"/>
    <hyperlink ref="I15198" r:id="rId13120" xr:uid="{00000000-0004-0000-0100-00003F330000}"/>
    <hyperlink ref="I15199" r:id="rId13121" xr:uid="{00000000-0004-0000-0100-000040330000}"/>
    <hyperlink ref="I15200" r:id="rId13122" xr:uid="{00000000-0004-0000-0100-000041330000}"/>
    <hyperlink ref="I15201" r:id="rId13123" xr:uid="{00000000-0004-0000-0100-000042330000}"/>
    <hyperlink ref="I15202" r:id="rId13124" xr:uid="{00000000-0004-0000-0100-000043330000}"/>
    <hyperlink ref="I15203" r:id="rId13125" xr:uid="{00000000-0004-0000-0100-000044330000}"/>
    <hyperlink ref="I15204" r:id="rId13126" xr:uid="{00000000-0004-0000-0100-000045330000}"/>
    <hyperlink ref="I15205" r:id="rId13127" xr:uid="{00000000-0004-0000-0100-000046330000}"/>
    <hyperlink ref="I15206" r:id="rId13128" xr:uid="{00000000-0004-0000-0100-000047330000}"/>
    <hyperlink ref="I15207" r:id="rId13129" xr:uid="{00000000-0004-0000-0100-000048330000}"/>
    <hyperlink ref="I15208" r:id="rId13130" xr:uid="{00000000-0004-0000-0100-000049330000}"/>
    <hyperlink ref="I15209" r:id="rId13131" xr:uid="{00000000-0004-0000-0100-00004A330000}"/>
    <hyperlink ref="I15210" r:id="rId13132" xr:uid="{00000000-0004-0000-0100-00004B330000}"/>
    <hyperlink ref="I15211" r:id="rId13133" xr:uid="{00000000-0004-0000-0100-00004C330000}"/>
    <hyperlink ref="I15212" r:id="rId13134" xr:uid="{00000000-0004-0000-0100-00004D330000}"/>
    <hyperlink ref="I15213" r:id="rId13135" xr:uid="{00000000-0004-0000-0100-00004E330000}"/>
    <hyperlink ref="I15214" r:id="rId13136" xr:uid="{00000000-0004-0000-0100-00004F330000}"/>
    <hyperlink ref="I15215" r:id="rId13137" xr:uid="{00000000-0004-0000-0100-000050330000}"/>
    <hyperlink ref="I15216" r:id="rId13138" xr:uid="{00000000-0004-0000-0100-000051330000}"/>
    <hyperlink ref="I15217" r:id="rId13139" xr:uid="{00000000-0004-0000-0100-000052330000}"/>
    <hyperlink ref="I15218" r:id="rId13140" xr:uid="{00000000-0004-0000-0100-000053330000}"/>
    <hyperlink ref="I15219" r:id="rId13141" xr:uid="{00000000-0004-0000-0100-000054330000}"/>
    <hyperlink ref="I15220" r:id="rId13142" xr:uid="{00000000-0004-0000-0100-000055330000}"/>
    <hyperlink ref="I15221" r:id="rId13143" xr:uid="{00000000-0004-0000-0100-000056330000}"/>
    <hyperlink ref="I15222" r:id="rId13144" xr:uid="{00000000-0004-0000-0100-000057330000}"/>
    <hyperlink ref="I15223" r:id="rId13145" xr:uid="{00000000-0004-0000-0100-000058330000}"/>
    <hyperlink ref="I15224" r:id="rId13146" xr:uid="{00000000-0004-0000-0100-000059330000}"/>
    <hyperlink ref="I15225" r:id="rId13147" xr:uid="{00000000-0004-0000-0100-00005A330000}"/>
    <hyperlink ref="I15226" r:id="rId13148" xr:uid="{00000000-0004-0000-0100-00005B330000}"/>
    <hyperlink ref="I15227" r:id="rId13149" xr:uid="{00000000-0004-0000-0100-00005C330000}"/>
    <hyperlink ref="I15228" r:id="rId13150" xr:uid="{00000000-0004-0000-0100-00005D330000}"/>
    <hyperlink ref="I15229" r:id="rId13151" xr:uid="{00000000-0004-0000-0100-00005E330000}"/>
    <hyperlink ref="I15230" r:id="rId13152" xr:uid="{00000000-0004-0000-0100-00005F330000}"/>
    <hyperlink ref="I15231" r:id="rId13153" xr:uid="{00000000-0004-0000-0100-000060330000}"/>
    <hyperlink ref="I15232" r:id="rId13154" xr:uid="{00000000-0004-0000-0100-000061330000}"/>
    <hyperlink ref="I15233" r:id="rId13155" xr:uid="{00000000-0004-0000-0100-000062330000}"/>
    <hyperlink ref="I15234" r:id="rId13156" xr:uid="{00000000-0004-0000-0100-000063330000}"/>
    <hyperlink ref="I15235" r:id="rId13157" xr:uid="{00000000-0004-0000-0100-000064330000}"/>
    <hyperlink ref="I15236" r:id="rId13158" xr:uid="{00000000-0004-0000-0100-000065330000}"/>
    <hyperlink ref="I15237" r:id="rId13159" xr:uid="{00000000-0004-0000-0100-000066330000}"/>
    <hyperlink ref="I15238" r:id="rId13160" xr:uid="{00000000-0004-0000-0100-000067330000}"/>
    <hyperlink ref="I15239" r:id="rId13161" xr:uid="{00000000-0004-0000-0100-000068330000}"/>
    <hyperlink ref="I15240" r:id="rId13162" xr:uid="{00000000-0004-0000-0100-000069330000}"/>
    <hyperlink ref="I15241" r:id="rId13163" xr:uid="{00000000-0004-0000-0100-00006A330000}"/>
    <hyperlink ref="I15242" r:id="rId13164" xr:uid="{00000000-0004-0000-0100-00006B330000}"/>
    <hyperlink ref="I15243" r:id="rId13165" xr:uid="{00000000-0004-0000-0100-00006C330000}"/>
    <hyperlink ref="I15244" r:id="rId13166" xr:uid="{00000000-0004-0000-0100-00006D330000}"/>
    <hyperlink ref="I15245" r:id="rId13167" xr:uid="{00000000-0004-0000-0100-00006E330000}"/>
    <hyperlink ref="I15246" r:id="rId13168" xr:uid="{00000000-0004-0000-0100-00006F330000}"/>
    <hyperlink ref="I15247" r:id="rId13169" xr:uid="{00000000-0004-0000-0100-000070330000}"/>
    <hyperlink ref="I15248" r:id="rId13170" xr:uid="{00000000-0004-0000-0100-000071330000}"/>
    <hyperlink ref="I15249" r:id="rId13171" xr:uid="{00000000-0004-0000-0100-000072330000}"/>
    <hyperlink ref="I15250" r:id="rId13172" xr:uid="{00000000-0004-0000-0100-000073330000}"/>
    <hyperlink ref="I15251" r:id="rId13173" xr:uid="{00000000-0004-0000-0100-000074330000}"/>
    <hyperlink ref="I15252" r:id="rId13174" xr:uid="{00000000-0004-0000-0100-000075330000}"/>
    <hyperlink ref="I15253" r:id="rId13175" xr:uid="{00000000-0004-0000-0100-000076330000}"/>
    <hyperlink ref="I15254" r:id="rId13176" xr:uid="{00000000-0004-0000-0100-000077330000}"/>
    <hyperlink ref="I15255" r:id="rId13177" xr:uid="{00000000-0004-0000-0100-000078330000}"/>
    <hyperlink ref="I15256" r:id="rId13178" xr:uid="{00000000-0004-0000-0100-000079330000}"/>
    <hyperlink ref="I15257" r:id="rId13179" xr:uid="{00000000-0004-0000-0100-00007A330000}"/>
    <hyperlink ref="I15258" r:id="rId13180" xr:uid="{00000000-0004-0000-0100-00007B330000}"/>
    <hyperlink ref="I15259" r:id="rId13181" xr:uid="{00000000-0004-0000-0100-00007C330000}"/>
    <hyperlink ref="I15260" r:id="rId13182" xr:uid="{00000000-0004-0000-0100-00007D330000}"/>
    <hyperlink ref="I15261" r:id="rId13183" xr:uid="{00000000-0004-0000-0100-00007E330000}"/>
    <hyperlink ref="I15262" r:id="rId13184" xr:uid="{00000000-0004-0000-0100-00007F330000}"/>
    <hyperlink ref="I15263" r:id="rId13185" xr:uid="{00000000-0004-0000-0100-000080330000}"/>
    <hyperlink ref="I15264" r:id="rId13186" xr:uid="{00000000-0004-0000-0100-000081330000}"/>
    <hyperlink ref="I15265" r:id="rId13187" xr:uid="{00000000-0004-0000-0100-000082330000}"/>
    <hyperlink ref="I15266" r:id="rId13188" xr:uid="{00000000-0004-0000-0100-000083330000}"/>
    <hyperlink ref="I15267" r:id="rId13189" xr:uid="{00000000-0004-0000-0100-000084330000}"/>
    <hyperlink ref="I15268" r:id="rId13190" xr:uid="{00000000-0004-0000-0100-000085330000}"/>
    <hyperlink ref="I15269" r:id="rId13191" xr:uid="{00000000-0004-0000-0100-000086330000}"/>
    <hyperlink ref="I15270" r:id="rId13192" xr:uid="{00000000-0004-0000-0100-000087330000}"/>
    <hyperlink ref="I15271" r:id="rId13193" xr:uid="{00000000-0004-0000-0100-000088330000}"/>
    <hyperlink ref="I15272" r:id="rId13194" xr:uid="{00000000-0004-0000-0100-000089330000}"/>
    <hyperlink ref="I15273" r:id="rId13195" xr:uid="{00000000-0004-0000-0100-00008A330000}"/>
    <hyperlink ref="I15274" r:id="rId13196" xr:uid="{00000000-0004-0000-0100-00008B330000}"/>
    <hyperlink ref="I15275" r:id="rId13197" xr:uid="{00000000-0004-0000-0100-00008C330000}"/>
    <hyperlink ref="I15276" r:id="rId13198" xr:uid="{00000000-0004-0000-0100-00008D330000}"/>
    <hyperlink ref="I15277" r:id="rId13199" xr:uid="{00000000-0004-0000-0100-00008E330000}"/>
    <hyperlink ref="I15278" r:id="rId13200" xr:uid="{00000000-0004-0000-0100-00008F330000}"/>
    <hyperlink ref="I15279" r:id="rId13201" xr:uid="{00000000-0004-0000-0100-000090330000}"/>
    <hyperlink ref="I15280" r:id="rId13202" xr:uid="{00000000-0004-0000-0100-000091330000}"/>
    <hyperlink ref="I15281" r:id="rId13203" xr:uid="{00000000-0004-0000-0100-000092330000}"/>
    <hyperlink ref="I15282" r:id="rId13204" xr:uid="{00000000-0004-0000-0100-000093330000}"/>
    <hyperlink ref="I15283" r:id="rId13205" xr:uid="{00000000-0004-0000-0100-000094330000}"/>
    <hyperlink ref="I15284" r:id="rId13206" xr:uid="{00000000-0004-0000-0100-000095330000}"/>
    <hyperlink ref="I15285" r:id="rId13207" xr:uid="{00000000-0004-0000-0100-000096330000}"/>
    <hyperlink ref="I15286" r:id="rId13208" xr:uid="{00000000-0004-0000-0100-000097330000}"/>
    <hyperlink ref="I15287" r:id="rId13209" xr:uid="{00000000-0004-0000-0100-000098330000}"/>
    <hyperlink ref="I15288" r:id="rId13210" xr:uid="{00000000-0004-0000-0100-000099330000}"/>
    <hyperlink ref="I15289" r:id="rId13211" xr:uid="{00000000-0004-0000-0100-00009A330000}"/>
    <hyperlink ref="I15290" r:id="rId13212" xr:uid="{00000000-0004-0000-0100-00009B330000}"/>
    <hyperlink ref="I15291" r:id="rId13213" xr:uid="{00000000-0004-0000-0100-00009C330000}"/>
    <hyperlink ref="I15292" r:id="rId13214" xr:uid="{00000000-0004-0000-0100-00009D330000}"/>
    <hyperlink ref="I15293" r:id="rId13215" xr:uid="{00000000-0004-0000-0100-00009E330000}"/>
    <hyperlink ref="I15294" r:id="rId13216" xr:uid="{00000000-0004-0000-0100-00009F330000}"/>
    <hyperlink ref="I15295" r:id="rId13217" xr:uid="{00000000-0004-0000-0100-0000A0330000}"/>
    <hyperlink ref="I15296" r:id="rId13218" xr:uid="{00000000-0004-0000-0100-0000A1330000}"/>
    <hyperlink ref="I15297" r:id="rId13219" xr:uid="{00000000-0004-0000-0100-0000A2330000}"/>
    <hyperlink ref="I15298" r:id="rId13220" xr:uid="{00000000-0004-0000-0100-0000A3330000}"/>
    <hyperlink ref="I15299" r:id="rId13221" xr:uid="{00000000-0004-0000-0100-0000A4330000}"/>
    <hyperlink ref="I15300" r:id="rId13222" xr:uid="{00000000-0004-0000-0100-0000A5330000}"/>
    <hyperlink ref="I15301" r:id="rId13223" xr:uid="{00000000-0004-0000-0100-0000A6330000}"/>
    <hyperlink ref="I15302" r:id="rId13224" xr:uid="{00000000-0004-0000-0100-0000A7330000}"/>
    <hyperlink ref="I15303" r:id="rId13225" xr:uid="{00000000-0004-0000-0100-0000A8330000}"/>
    <hyperlink ref="I15304" r:id="rId13226" xr:uid="{00000000-0004-0000-0100-0000A9330000}"/>
    <hyperlink ref="I15305" r:id="rId13227" xr:uid="{00000000-0004-0000-0100-0000AA330000}"/>
    <hyperlink ref="I15306" r:id="rId13228" xr:uid="{00000000-0004-0000-0100-0000AB330000}"/>
    <hyperlink ref="I15307" r:id="rId13229" xr:uid="{00000000-0004-0000-0100-0000AC330000}"/>
    <hyperlink ref="I15308" r:id="rId13230" xr:uid="{00000000-0004-0000-0100-0000AD330000}"/>
    <hyperlink ref="I15309" r:id="rId13231" xr:uid="{00000000-0004-0000-0100-0000AE330000}"/>
    <hyperlink ref="I15310" r:id="rId13232" xr:uid="{00000000-0004-0000-0100-0000AF330000}"/>
    <hyperlink ref="I15311" r:id="rId13233" xr:uid="{00000000-0004-0000-0100-0000B0330000}"/>
    <hyperlink ref="I15312" r:id="rId13234" xr:uid="{00000000-0004-0000-0100-0000B1330000}"/>
    <hyperlink ref="I15313" r:id="rId13235" xr:uid="{00000000-0004-0000-0100-0000B2330000}"/>
    <hyperlink ref="I15314" r:id="rId13236" xr:uid="{00000000-0004-0000-0100-0000B3330000}"/>
    <hyperlink ref="I15315" r:id="rId13237" xr:uid="{00000000-0004-0000-0100-0000B4330000}"/>
    <hyperlink ref="I15316" r:id="rId13238" xr:uid="{00000000-0004-0000-0100-0000B5330000}"/>
    <hyperlink ref="I15317" r:id="rId13239" xr:uid="{00000000-0004-0000-0100-0000B6330000}"/>
    <hyperlink ref="I15318" r:id="rId13240" xr:uid="{00000000-0004-0000-0100-0000B7330000}"/>
    <hyperlink ref="I15319" r:id="rId13241" xr:uid="{00000000-0004-0000-0100-0000B8330000}"/>
    <hyperlink ref="I15320" r:id="rId13242" xr:uid="{00000000-0004-0000-0100-0000B9330000}"/>
    <hyperlink ref="I15321" r:id="rId13243" xr:uid="{00000000-0004-0000-0100-0000BA330000}"/>
    <hyperlink ref="I15322" r:id="rId13244" xr:uid="{00000000-0004-0000-0100-0000BB330000}"/>
    <hyperlink ref="I15323" r:id="rId13245" xr:uid="{00000000-0004-0000-0100-0000BC330000}"/>
    <hyperlink ref="I15324" r:id="rId13246" xr:uid="{00000000-0004-0000-0100-0000BD330000}"/>
    <hyperlink ref="I15325" r:id="rId13247" xr:uid="{00000000-0004-0000-0100-0000BE330000}"/>
    <hyperlink ref="I15326" r:id="rId13248" xr:uid="{00000000-0004-0000-0100-0000BF330000}"/>
    <hyperlink ref="I15327" r:id="rId13249" xr:uid="{00000000-0004-0000-0100-0000C0330000}"/>
    <hyperlink ref="I15328" r:id="rId13250" xr:uid="{00000000-0004-0000-0100-0000C1330000}"/>
    <hyperlink ref="I15329" r:id="rId13251" xr:uid="{00000000-0004-0000-0100-0000C2330000}"/>
    <hyperlink ref="I15330" r:id="rId13252" xr:uid="{00000000-0004-0000-0100-0000C3330000}"/>
    <hyperlink ref="I15331" r:id="rId13253" xr:uid="{00000000-0004-0000-0100-0000C4330000}"/>
    <hyperlink ref="I15332" r:id="rId13254" xr:uid="{00000000-0004-0000-0100-0000C5330000}"/>
    <hyperlink ref="I15333" r:id="rId13255" xr:uid="{00000000-0004-0000-0100-0000C6330000}"/>
    <hyperlink ref="I15334" r:id="rId13256" xr:uid="{00000000-0004-0000-0100-0000C7330000}"/>
    <hyperlink ref="I15335" r:id="rId13257" xr:uid="{00000000-0004-0000-0100-0000C8330000}"/>
    <hyperlink ref="I15336" r:id="rId13258" xr:uid="{00000000-0004-0000-0100-0000C9330000}"/>
    <hyperlink ref="I15337" r:id="rId13259" xr:uid="{00000000-0004-0000-0100-0000CA330000}"/>
    <hyperlink ref="I15338" r:id="rId13260" xr:uid="{00000000-0004-0000-0100-0000CB330000}"/>
    <hyperlink ref="I15339" r:id="rId13261" xr:uid="{00000000-0004-0000-0100-0000CC330000}"/>
    <hyperlink ref="I15340" r:id="rId13262" xr:uid="{00000000-0004-0000-0100-0000CD330000}"/>
    <hyperlink ref="I15341" r:id="rId13263" xr:uid="{00000000-0004-0000-0100-0000CE330000}"/>
    <hyperlink ref="I15342" r:id="rId13264" xr:uid="{00000000-0004-0000-0100-0000CF330000}"/>
    <hyperlink ref="I15343" r:id="rId13265" xr:uid="{00000000-0004-0000-0100-0000D0330000}"/>
    <hyperlink ref="I15344" r:id="rId13266" xr:uid="{00000000-0004-0000-0100-0000D1330000}"/>
    <hyperlink ref="I15345" r:id="rId13267" xr:uid="{00000000-0004-0000-0100-0000D2330000}"/>
    <hyperlink ref="I15346" r:id="rId13268" xr:uid="{00000000-0004-0000-0100-0000D3330000}"/>
    <hyperlink ref="I15347" r:id="rId13269" xr:uid="{00000000-0004-0000-0100-0000D4330000}"/>
    <hyperlink ref="I15348" r:id="rId13270" xr:uid="{00000000-0004-0000-0100-0000D5330000}"/>
    <hyperlink ref="I15349" r:id="rId13271" xr:uid="{00000000-0004-0000-0100-0000D6330000}"/>
    <hyperlink ref="I15350" r:id="rId13272" xr:uid="{00000000-0004-0000-0100-0000D7330000}"/>
    <hyperlink ref="I15351" r:id="rId13273" xr:uid="{00000000-0004-0000-0100-0000D8330000}"/>
    <hyperlink ref="I15352" r:id="rId13274" xr:uid="{00000000-0004-0000-0100-0000D9330000}"/>
    <hyperlink ref="I15353" r:id="rId13275" xr:uid="{00000000-0004-0000-0100-0000DA330000}"/>
    <hyperlink ref="I15354" r:id="rId13276" xr:uid="{00000000-0004-0000-0100-0000DB330000}"/>
    <hyperlink ref="I15355" r:id="rId13277" xr:uid="{00000000-0004-0000-0100-0000DC330000}"/>
    <hyperlink ref="I15356" r:id="rId13278" xr:uid="{00000000-0004-0000-0100-0000DD330000}"/>
    <hyperlink ref="I15357" r:id="rId13279" xr:uid="{00000000-0004-0000-0100-0000DE330000}"/>
    <hyperlink ref="I15358" r:id="rId13280" xr:uid="{00000000-0004-0000-0100-0000DF330000}"/>
    <hyperlink ref="I15359" r:id="rId13281" xr:uid="{00000000-0004-0000-0100-0000E0330000}"/>
    <hyperlink ref="I15360" r:id="rId13282" xr:uid="{00000000-0004-0000-0100-0000E1330000}"/>
    <hyperlink ref="I15361" r:id="rId13283" xr:uid="{00000000-0004-0000-0100-0000E2330000}"/>
    <hyperlink ref="I15362" r:id="rId13284" xr:uid="{00000000-0004-0000-0100-0000E3330000}"/>
    <hyperlink ref="I15363" r:id="rId13285" xr:uid="{00000000-0004-0000-0100-0000E4330000}"/>
    <hyperlink ref="I15364" r:id="rId13286" xr:uid="{00000000-0004-0000-0100-0000E5330000}"/>
    <hyperlink ref="I15365" r:id="rId13287" xr:uid="{00000000-0004-0000-0100-0000E6330000}"/>
    <hyperlink ref="I15366" r:id="rId13288" xr:uid="{00000000-0004-0000-0100-0000E7330000}"/>
    <hyperlink ref="I15367" r:id="rId13289" xr:uid="{00000000-0004-0000-0100-0000E8330000}"/>
    <hyperlink ref="I15368" r:id="rId13290" xr:uid="{00000000-0004-0000-0100-0000E9330000}"/>
    <hyperlink ref="I15369" r:id="rId13291" xr:uid="{00000000-0004-0000-0100-0000EA330000}"/>
    <hyperlink ref="I15370" r:id="rId13292" xr:uid="{00000000-0004-0000-0100-0000EB330000}"/>
    <hyperlink ref="I15371" r:id="rId13293" xr:uid="{00000000-0004-0000-0100-0000EC330000}"/>
    <hyperlink ref="I15372" r:id="rId13294" xr:uid="{00000000-0004-0000-0100-0000ED330000}"/>
    <hyperlink ref="I15373" r:id="rId13295" xr:uid="{00000000-0004-0000-0100-0000EE330000}"/>
    <hyperlink ref="I15374" r:id="rId13296" xr:uid="{00000000-0004-0000-0100-0000EF330000}"/>
    <hyperlink ref="I15375" r:id="rId13297" xr:uid="{00000000-0004-0000-0100-0000F0330000}"/>
    <hyperlink ref="I15376" r:id="rId13298" xr:uid="{00000000-0004-0000-0100-0000F1330000}"/>
    <hyperlink ref="I15377" r:id="rId13299" xr:uid="{00000000-0004-0000-0100-0000F2330000}"/>
    <hyperlink ref="I15378" r:id="rId13300" xr:uid="{00000000-0004-0000-0100-0000F3330000}"/>
    <hyperlink ref="I15379" r:id="rId13301" xr:uid="{00000000-0004-0000-0100-0000F4330000}"/>
    <hyperlink ref="I15380" r:id="rId13302" xr:uid="{00000000-0004-0000-0100-0000F5330000}"/>
    <hyperlink ref="I15381" r:id="rId13303" xr:uid="{00000000-0004-0000-0100-0000F6330000}"/>
    <hyperlink ref="I15382" r:id="rId13304" xr:uid="{00000000-0004-0000-0100-0000F7330000}"/>
    <hyperlink ref="I15383" r:id="rId13305" xr:uid="{00000000-0004-0000-0100-0000F8330000}"/>
    <hyperlink ref="I15384" r:id="rId13306" xr:uid="{00000000-0004-0000-0100-0000F9330000}"/>
    <hyperlink ref="I15385" r:id="rId13307" xr:uid="{00000000-0004-0000-0100-0000FA330000}"/>
    <hyperlink ref="I15386" r:id="rId13308" xr:uid="{00000000-0004-0000-0100-0000FB330000}"/>
    <hyperlink ref="I15387" r:id="rId13309" xr:uid="{00000000-0004-0000-0100-0000FC330000}"/>
    <hyperlink ref="I15388" r:id="rId13310" xr:uid="{00000000-0004-0000-0100-0000FD330000}"/>
    <hyperlink ref="I15389" r:id="rId13311" xr:uid="{00000000-0004-0000-0100-0000FE330000}"/>
    <hyperlink ref="I15390" r:id="rId13312" xr:uid="{00000000-0004-0000-0100-0000FF330000}"/>
    <hyperlink ref="I15391" r:id="rId13313" xr:uid="{00000000-0004-0000-0100-000000340000}"/>
    <hyperlink ref="I15392" r:id="rId13314" xr:uid="{00000000-0004-0000-0100-000001340000}"/>
    <hyperlink ref="I15393" r:id="rId13315" xr:uid="{00000000-0004-0000-0100-000002340000}"/>
    <hyperlink ref="I15394" r:id="rId13316" xr:uid="{00000000-0004-0000-0100-000003340000}"/>
    <hyperlink ref="I15395" r:id="rId13317" xr:uid="{00000000-0004-0000-0100-000004340000}"/>
    <hyperlink ref="I15396" r:id="rId13318" xr:uid="{00000000-0004-0000-0100-000005340000}"/>
    <hyperlink ref="I15397" r:id="rId13319" xr:uid="{00000000-0004-0000-0100-000006340000}"/>
    <hyperlink ref="I15398" r:id="rId13320" xr:uid="{00000000-0004-0000-0100-000007340000}"/>
    <hyperlink ref="I15399" r:id="rId13321" xr:uid="{00000000-0004-0000-0100-000008340000}"/>
    <hyperlink ref="I15400" r:id="rId13322" xr:uid="{00000000-0004-0000-0100-000009340000}"/>
    <hyperlink ref="I15401" r:id="rId13323" xr:uid="{00000000-0004-0000-0100-00000A340000}"/>
    <hyperlink ref="I15402" r:id="rId13324" xr:uid="{00000000-0004-0000-0100-00000B340000}"/>
    <hyperlink ref="I15403" r:id="rId13325" xr:uid="{00000000-0004-0000-0100-00000C340000}"/>
    <hyperlink ref="I15404" r:id="rId13326" xr:uid="{00000000-0004-0000-0100-00000D340000}"/>
    <hyperlink ref="I15405" r:id="rId13327" xr:uid="{00000000-0004-0000-0100-00000E340000}"/>
    <hyperlink ref="I15406" r:id="rId13328" xr:uid="{00000000-0004-0000-0100-00000F340000}"/>
    <hyperlink ref="I15407" r:id="rId13329" xr:uid="{00000000-0004-0000-0100-000010340000}"/>
    <hyperlink ref="I15408" r:id="rId13330" xr:uid="{00000000-0004-0000-0100-000011340000}"/>
    <hyperlink ref="I15409" r:id="rId13331" xr:uid="{00000000-0004-0000-0100-000012340000}"/>
    <hyperlink ref="I15410" r:id="rId13332" xr:uid="{00000000-0004-0000-0100-000013340000}"/>
    <hyperlink ref="I15411" r:id="rId13333" xr:uid="{00000000-0004-0000-0100-000014340000}"/>
    <hyperlink ref="I15412" r:id="rId13334" xr:uid="{00000000-0004-0000-0100-000015340000}"/>
    <hyperlink ref="I15413" r:id="rId13335" xr:uid="{00000000-0004-0000-0100-000016340000}"/>
    <hyperlink ref="I15414" r:id="rId13336" xr:uid="{00000000-0004-0000-0100-000017340000}"/>
    <hyperlink ref="I15415" r:id="rId13337" xr:uid="{00000000-0004-0000-0100-000018340000}"/>
    <hyperlink ref="I15416" r:id="rId13338" xr:uid="{00000000-0004-0000-0100-000019340000}"/>
    <hyperlink ref="I15417" r:id="rId13339" xr:uid="{00000000-0004-0000-0100-00001A340000}"/>
    <hyperlink ref="I15418" r:id="rId13340" xr:uid="{00000000-0004-0000-0100-00001B340000}"/>
    <hyperlink ref="I15419" r:id="rId13341" xr:uid="{00000000-0004-0000-0100-00001C340000}"/>
    <hyperlink ref="I15420" r:id="rId13342" xr:uid="{00000000-0004-0000-0100-00001D340000}"/>
    <hyperlink ref="I15421" r:id="rId13343" xr:uid="{00000000-0004-0000-0100-00001E340000}"/>
    <hyperlink ref="I15422" r:id="rId13344" xr:uid="{00000000-0004-0000-0100-00001F340000}"/>
    <hyperlink ref="I15423" r:id="rId13345" xr:uid="{00000000-0004-0000-0100-000020340000}"/>
    <hyperlink ref="I15424" r:id="rId13346" xr:uid="{00000000-0004-0000-0100-000021340000}"/>
    <hyperlink ref="I15425" r:id="rId13347" xr:uid="{00000000-0004-0000-0100-000022340000}"/>
    <hyperlink ref="I15426" r:id="rId13348" xr:uid="{00000000-0004-0000-0100-000023340000}"/>
    <hyperlink ref="I15427" r:id="rId13349" xr:uid="{00000000-0004-0000-0100-000024340000}"/>
    <hyperlink ref="I15428" r:id="rId13350" xr:uid="{00000000-0004-0000-0100-000025340000}"/>
    <hyperlink ref="I15429" r:id="rId13351" xr:uid="{00000000-0004-0000-0100-000026340000}"/>
    <hyperlink ref="I15430" r:id="rId13352" xr:uid="{00000000-0004-0000-0100-000027340000}"/>
    <hyperlink ref="I15431" r:id="rId13353" xr:uid="{00000000-0004-0000-0100-000028340000}"/>
    <hyperlink ref="I15432" r:id="rId13354" xr:uid="{00000000-0004-0000-0100-000029340000}"/>
    <hyperlink ref="I15433" r:id="rId13355" xr:uid="{00000000-0004-0000-0100-00002A340000}"/>
    <hyperlink ref="I15434" r:id="rId13356" xr:uid="{00000000-0004-0000-0100-00002B340000}"/>
    <hyperlink ref="I15435" r:id="rId13357" xr:uid="{00000000-0004-0000-0100-00002C340000}"/>
    <hyperlink ref="I15436" r:id="rId13358" xr:uid="{00000000-0004-0000-0100-00002D340000}"/>
    <hyperlink ref="I15437" r:id="rId13359" xr:uid="{00000000-0004-0000-0100-00002E340000}"/>
    <hyperlink ref="I15438" r:id="rId13360" xr:uid="{00000000-0004-0000-0100-00002F340000}"/>
    <hyperlink ref="I15439" r:id="rId13361" xr:uid="{00000000-0004-0000-0100-000030340000}"/>
    <hyperlink ref="I15440" r:id="rId13362" xr:uid="{00000000-0004-0000-0100-000031340000}"/>
    <hyperlink ref="I15441" r:id="rId13363" xr:uid="{00000000-0004-0000-0100-000032340000}"/>
    <hyperlink ref="I15442" r:id="rId13364" xr:uid="{00000000-0004-0000-0100-000033340000}"/>
    <hyperlink ref="I15443" r:id="rId13365" xr:uid="{00000000-0004-0000-0100-000034340000}"/>
    <hyperlink ref="I15444" r:id="rId13366" xr:uid="{00000000-0004-0000-0100-000035340000}"/>
    <hyperlink ref="I15445" r:id="rId13367" xr:uid="{00000000-0004-0000-0100-000036340000}"/>
    <hyperlink ref="I15446" r:id="rId13368" xr:uid="{00000000-0004-0000-0100-000037340000}"/>
    <hyperlink ref="I15447" r:id="rId13369" xr:uid="{00000000-0004-0000-0100-000038340000}"/>
    <hyperlink ref="I15448" r:id="rId13370" xr:uid="{00000000-0004-0000-0100-000039340000}"/>
    <hyperlink ref="I15449" r:id="rId13371" xr:uid="{00000000-0004-0000-0100-00003A340000}"/>
    <hyperlink ref="I15450" r:id="rId13372" xr:uid="{00000000-0004-0000-0100-00003B340000}"/>
    <hyperlink ref="I15451" r:id="rId13373" xr:uid="{00000000-0004-0000-0100-00003C340000}"/>
    <hyperlink ref="I15452" r:id="rId13374" xr:uid="{00000000-0004-0000-0100-00003D340000}"/>
    <hyperlink ref="I15453" r:id="rId13375" xr:uid="{00000000-0004-0000-0100-00003E340000}"/>
    <hyperlink ref="I15454" r:id="rId13376" xr:uid="{00000000-0004-0000-0100-00003F340000}"/>
    <hyperlink ref="I15455" r:id="rId13377" xr:uid="{00000000-0004-0000-0100-000040340000}"/>
    <hyperlink ref="I15456" r:id="rId13378" xr:uid="{00000000-0004-0000-0100-000041340000}"/>
    <hyperlink ref="I15457" r:id="rId13379" xr:uid="{00000000-0004-0000-0100-000042340000}"/>
    <hyperlink ref="I15458" r:id="rId13380" xr:uid="{00000000-0004-0000-0100-000043340000}"/>
    <hyperlink ref="I15459" r:id="rId13381" xr:uid="{00000000-0004-0000-0100-000044340000}"/>
    <hyperlink ref="I15460" r:id="rId13382" xr:uid="{00000000-0004-0000-0100-000045340000}"/>
    <hyperlink ref="I15461" r:id="rId13383" xr:uid="{00000000-0004-0000-0100-000046340000}"/>
    <hyperlink ref="I15462" r:id="rId13384" xr:uid="{00000000-0004-0000-0100-000047340000}"/>
    <hyperlink ref="I15463" r:id="rId13385" xr:uid="{00000000-0004-0000-0100-000048340000}"/>
    <hyperlink ref="I15464" r:id="rId13386" xr:uid="{00000000-0004-0000-0100-000049340000}"/>
    <hyperlink ref="I15465" r:id="rId13387" xr:uid="{00000000-0004-0000-0100-00004A340000}"/>
    <hyperlink ref="I15466" r:id="rId13388" xr:uid="{00000000-0004-0000-0100-00004B340000}"/>
    <hyperlink ref="I15467" r:id="rId13389" xr:uid="{00000000-0004-0000-0100-00004C340000}"/>
    <hyperlink ref="I15468" r:id="rId13390" xr:uid="{00000000-0004-0000-0100-00004D340000}"/>
    <hyperlink ref="I15469" r:id="rId13391" xr:uid="{00000000-0004-0000-0100-00004E340000}"/>
    <hyperlink ref="I15470" r:id="rId13392" xr:uid="{00000000-0004-0000-0100-00004F340000}"/>
    <hyperlink ref="I15471" r:id="rId13393" xr:uid="{00000000-0004-0000-0100-000050340000}"/>
    <hyperlink ref="I15472" r:id="rId13394" xr:uid="{00000000-0004-0000-0100-000051340000}"/>
    <hyperlink ref="I15473" r:id="rId13395" xr:uid="{00000000-0004-0000-0100-000052340000}"/>
    <hyperlink ref="I15474" r:id="rId13396" xr:uid="{00000000-0004-0000-0100-000053340000}"/>
    <hyperlink ref="I15475" r:id="rId13397" xr:uid="{00000000-0004-0000-0100-000054340000}"/>
    <hyperlink ref="I15476" r:id="rId13398" xr:uid="{00000000-0004-0000-0100-000055340000}"/>
    <hyperlink ref="I15477" r:id="rId13399" xr:uid="{00000000-0004-0000-0100-000056340000}"/>
    <hyperlink ref="I15478" r:id="rId13400" xr:uid="{00000000-0004-0000-0100-000057340000}"/>
    <hyperlink ref="I15479" r:id="rId13401" xr:uid="{00000000-0004-0000-0100-000058340000}"/>
    <hyperlink ref="I15480" r:id="rId13402" xr:uid="{00000000-0004-0000-0100-000059340000}"/>
    <hyperlink ref="I15481" r:id="rId13403" xr:uid="{00000000-0004-0000-0100-00005A340000}"/>
    <hyperlink ref="I15482" r:id="rId13404" xr:uid="{00000000-0004-0000-0100-00005B340000}"/>
    <hyperlink ref="I15483" r:id="rId13405" xr:uid="{00000000-0004-0000-0100-00005C340000}"/>
    <hyperlink ref="I15484" r:id="rId13406" xr:uid="{00000000-0004-0000-0100-00005D340000}"/>
    <hyperlink ref="I15485" r:id="rId13407" xr:uid="{00000000-0004-0000-0100-00005E340000}"/>
    <hyperlink ref="I15486" r:id="rId13408" xr:uid="{00000000-0004-0000-0100-00005F340000}"/>
    <hyperlink ref="I15487" r:id="rId13409" xr:uid="{00000000-0004-0000-0100-000060340000}"/>
    <hyperlink ref="I15488" r:id="rId13410" xr:uid="{00000000-0004-0000-0100-000061340000}"/>
    <hyperlink ref="I15489" r:id="rId13411" xr:uid="{00000000-0004-0000-0100-000062340000}"/>
    <hyperlink ref="I15490" r:id="rId13412" xr:uid="{00000000-0004-0000-0100-000063340000}"/>
    <hyperlink ref="I15491" r:id="rId13413" xr:uid="{00000000-0004-0000-0100-000064340000}"/>
    <hyperlink ref="I15492" r:id="rId13414" xr:uid="{00000000-0004-0000-0100-000065340000}"/>
    <hyperlink ref="I15493" r:id="rId13415" xr:uid="{00000000-0004-0000-0100-000066340000}"/>
    <hyperlink ref="I15494" r:id="rId13416" xr:uid="{00000000-0004-0000-0100-000067340000}"/>
    <hyperlink ref="I15495" r:id="rId13417" xr:uid="{00000000-0004-0000-0100-000068340000}"/>
    <hyperlink ref="I15496" r:id="rId13418" xr:uid="{00000000-0004-0000-0100-000069340000}"/>
    <hyperlink ref="I15497" r:id="rId13419" xr:uid="{00000000-0004-0000-0100-00006A340000}"/>
    <hyperlink ref="I15498" r:id="rId13420" xr:uid="{00000000-0004-0000-0100-00006B340000}"/>
    <hyperlink ref="I15499" r:id="rId13421" xr:uid="{00000000-0004-0000-0100-00006C340000}"/>
    <hyperlink ref="I15500" r:id="rId13422" xr:uid="{00000000-0004-0000-0100-00006D340000}"/>
    <hyperlink ref="I15501" r:id="rId13423" xr:uid="{00000000-0004-0000-0100-00006E340000}"/>
    <hyperlink ref="I15502" r:id="rId13424" xr:uid="{00000000-0004-0000-0100-00006F340000}"/>
    <hyperlink ref="I15503" r:id="rId13425" xr:uid="{00000000-0004-0000-0100-000070340000}"/>
    <hyperlink ref="I15504" r:id="rId13426" xr:uid="{00000000-0004-0000-0100-000071340000}"/>
    <hyperlink ref="I15505" r:id="rId13427" xr:uid="{00000000-0004-0000-0100-000072340000}"/>
    <hyperlink ref="I15506" r:id="rId13428" xr:uid="{00000000-0004-0000-0100-000073340000}"/>
    <hyperlink ref="I15507" r:id="rId13429" xr:uid="{00000000-0004-0000-0100-000074340000}"/>
    <hyperlink ref="I15508" r:id="rId13430" xr:uid="{00000000-0004-0000-0100-000075340000}"/>
    <hyperlink ref="I15509" r:id="rId13431" xr:uid="{00000000-0004-0000-0100-000076340000}"/>
    <hyperlink ref="I15510" r:id="rId13432" xr:uid="{00000000-0004-0000-0100-000077340000}"/>
    <hyperlink ref="I15511" r:id="rId13433" xr:uid="{00000000-0004-0000-0100-000078340000}"/>
    <hyperlink ref="I15512" r:id="rId13434" xr:uid="{00000000-0004-0000-0100-000079340000}"/>
    <hyperlink ref="I15513" r:id="rId13435" xr:uid="{00000000-0004-0000-0100-00007A340000}"/>
    <hyperlink ref="I15514" r:id="rId13436" xr:uid="{00000000-0004-0000-0100-00007B340000}"/>
    <hyperlink ref="I15515" r:id="rId13437" xr:uid="{00000000-0004-0000-0100-00007C340000}"/>
    <hyperlink ref="I15516" r:id="rId13438" xr:uid="{00000000-0004-0000-0100-00007D340000}"/>
    <hyperlink ref="I15517" r:id="rId13439" xr:uid="{00000000-0004-0000-0100-00007E340000}"/>
    <hyperlink ref="I15518" r:id="rId13440" xr:uid="{00000000-0004-0000-0100-00007F340000}"/>
    <hyperlink ref="I15519" r:id="rId13441" xr:uid="{00000000-0004-0000-0100-000080340000}"/>
    <hyperlink ref="I15520" r:id="rId13442" xr:uid="{00000000-0004-0000-0100-000081340000}"/>
    <hyperlink ref="I15521" r:id="rId13443" xr:uid="{00000000-0004-0000-0100-000082340000}"/>
    <hyperlink ref="I15522" r:id="rId13444" xr:uid="{00000000-0004-0000-0100-000083340000}"/>
    <hyperlink ref="I15523" r:id="rId13445" xr:uid="{00000000-0004-0000-0100-000084340000}"/>
    <hyperlink ref="I15524" r:id="rId13446" xr:uid="{00000000-0004-0000-0100-000085340000}"/>
    <hyperlink ref="I15525" r:id="rId13447" xr:uid="{00000000-0004-0000-0100-000086340000}"/>
    <hyperlink ref="I15526" r:id="rId13448" xr:uid="{00000000-0004-0000-0100-000087340000}"/>
    <hyperlink ref="I15527" r:id="rId13449" xr:uid="{00000000-0004-0000-0100-000088340000}"/>
    <hyperlink ref="I15528" r:id="rId13450" xr:uid="{00000000-0004-0000-0100-000089340000}"/>
    <hyperlink ref="I15529" r:id="rId13451" xr:uid="{00000000-0004-0000-0100-00008A340000}"/>
    <hyperlink ref="I15530" r:id="rId13452" xr:uid="{00000000-0004-0000-0100-00008B340000}"/>
    <hyperlink ref="I15531" r:id="rId13453" xr:uid="{00000000-0004-0000-0100-00008C340000}"/>
    <hyperlink ref="I15532" r:id="rId13454" xr:uid="{00000000-0004-0000-0100-00008D340000}"/>
    <hyperlink ref="I15533" r:id="rId13455" xr:uid="{00000000-0004-0000-0100-00008E340000}"/>
    <hyperlink ref="I15534" r:id="rId13456" xr:uid="{00000000-0004-0000-0100-00008F340000}"/>
    <hyperlink ref="I15535" r:id="rId13457" xr:uid="{00000000-0004-0000-0100-000090340000}"/>
    <hyperlink ref="I15536" r:id="rId13458" xr:uid="{00000000-0004-0000-0100-000091340000}"/>
    <hyperlink ref="I15537" r:id="rId13459" xr:uid="{00000000-0004-0000-0100-000092340000}"/>
    <hyperlink ref="I15538" r:id="rId13460" xr:uid="{00000000-0004-0000-0100-000093340000}"/>
    <hyperlink ref="I15539" r:id="rId13461" xr:uid="{00000000-0004-0000-0100-000094340000}"/>
    <hyperlink ref="I15540" r:id="rId13462" xr:uid="{00000000-0004-0000-0100-000095340000}"/>
    <hyperlink ref="I15541" r:id="rId13463" xr:uid="{00000000-0004-0000-0100-000096340000}"/>
    <hyperlink ref="I15542" r:id="rId13464" xr:uid="{00000000-0004-0000-0100-000097340000}"/>
    <hyperlink ref="I15543" r:id="rId13465" xr:uid="{00000000-0004-0000-0100-000098340000}"/>
    <hyperlink ref="I15544" r:id="rId13466" xr:uid="{00000000-0004-0000-0100-000099340000}"/>
    <hyperlink ref="I15545" r:id="rId13467" xr:uid="{00000000-0004-0000-0100-00009A340000}"/>
    <hyperlink ref="I15546" r:id="rId13468" xr:uid="{00000000-0004-0000-0100-00009B340000}"/>
    <hyperlink ref="I15547" r:id="rId13469" xr:uid="{00000000-0004-0000-0100-00009C340000}"/>
    <hyperlink ref="I15548" r:id="rId13470" xr:uid="{00000000-0004-0000-0100-00009D340000}"/>
    <hyperlink ref="I15549" r:id="rId13471" xr:uid="{00000000-0004-0000-0100-00009E340000}"/>
    <hyperlink ref="I15550" r:id="rId13472" xr:uid="{00000000-0004-0000-0100-00009F340000}"/>
    <hyperlink ref="I15551" r:id="rId13473" xr:uid="{00000000-0004-0000-0100-0000A0340000}"/>
    <hyperlink ref="I15552" r:id="rId13474" xr:uid="{00000000-0004-0000-0100-0000A1340000}"/>
    <hyperlink ref="I15553" r:id="rId13475" xr:uid="{00000000-0004-0000-0100-0000A2340000}"/>
    <hyperlink ref="I15554" r:id="rId13476" xr:uid="{00000000-0004-0000-0100-0000A3340000}"/>
    <hyperlink ref="I15555" r:id="rId13477" xr:uid="{00000000-0004-0000-0100-0000A4340000}"/>
    <hyperlink ref="I15556" r:id="rId13478" xr:uid="{00000000-0004-0000-0100-0000A5340000}"/>
    <hyperlink ref="I15557" r:id="rId13479" xr:uid="{00000000-0004-0000-0100-0000A6340000}"/>
    <hyperlink ref="I15558" r:id="rId13480" xr:uid="{00000000-0004-0000-0100-0000A7340000}"/>
    <hyperlink ref="I15559" r:id="rId13481" xr:uid="{00000000-0004-0000-0100-0000A8340000}"/>
    <hyperlink ref="I15560" r:id="rId13482" xr:uid="{00000000-0004-0000-0100-0000A9340000}"/>
    <hyperlink ref="I15561" r:id="rId13483" xr:uid="{00000000-0004-0000-0100-0000AA340000}"/>
    <hyperlink ref="I15562" r:id="rId13484" xr:uid="{00000000-0004-0000-0100-0000AB340000}"/>
    <hyperlink ref="I15563" r:id="rId13485" xr:uid="{00000000-0004-0000-0100-0000AC340000}"/>
    <hyperlink ref="I15564" r:id="rId13486" xr:uid="{00000000-0004-0000-0100-0000AD340000}"/>
    <hyperlink ref="I15565" r:id="rId13487" xr:uid="{00000000-0004-0000-0100-0000AE340000}"/>
    <hyperlink ref="I15566" r:id="rId13488" xr:uid="{00000000-0004-0000-0100-0000AF340000}"/>
    <hyperlink ref="I15567" r:id="rId13489" xr:uid="{00000000-0004-0000-0100-0000B0340000}"/>
    <hyperlink ref="I15568" r:id="rId13490" xr:uid="{00000000-0004-0000-0100-0000B1340000}"/>
    <hyperlink ref="I15569" r:id="rId13491" xr:uid="{00000000-0004-0000-0100-0000B2340000}"/>
    <hyperlink ref="I15570" r:id="rId13492" xr:uid="{00000000-0004-0000-0100-0000B3340000}"/>
    <hyperlink ref="I15571" r:id="rId13493" xr:uid="{00000000-0004-0000-0100-0000B4340000}"/>
    <hyperlink ref="I15572" r:id="rId13494" xr:uid="{00000000-0004-0000-0100-0000B5340000}"/>
    <hyperlink ref="I15573" r:id="rId13495" xr:uid="{00000000-0004-0000-0100-0000B6340000}"/>
    <hyperlink ref="I15574" r:id="rId13496" xr:uid="{00000000-0004-0000-0100-0000B7340000}"/>
    <hyperlink ref="I15575" r:id="rId13497" xr:uid="{00000000-0004-0000-0100-0000B8340000}"/>
    <hyperlink ref="I15576" r:id="rId13498" xr:uid="{00000000-0004-0000-0100-0000B9340000}"/>
    <hyperlink ref="I15577" r:id="rId13499" xr:uid="{00000000-0004-0000-0100-0000BA340000}"/>
    <hyperlink ref="I15578" r:id="rId13500" xr:uid="{00000000-0004-0000-0100-0000BB340000}"/>
    <hyperlink ref="I15579" r:id="rId13501" xr:uid="{00000000-0004-0000-0100-0000BC340000}"/>
    <hyperlink ref="I15580" r:id="rId13502" xr:uid="{00000000-0004-0000-0100-0000BD340000}"/>
    <hyperlink ref="I15581" r:id="rId13503" xr:uid="{00000000-0004-0000-0100-0000BE340000}"/>
    <hyperlink ref="I15582" r:id="rId13504" xr:uid="{00000000-0004-0000-0100-0000BF340000}"/>
    <hyperlink ref="I15583" r:id="rId13505" xr:uid="{00000000-0004-0000-0100-0000C0340000}"/>
    <hyperlink ref="I15584" r:id="rId13506" xr:uid="{00000000-0004-0000-0100-0000C1340000}"/>
    <hyperlink ref="I15585" r:id="rId13507" xr:uid="{00000000-0004-0000-0100-0000C2340000}"/>
    <hyperlink ref="I15586" r:id="rId13508" xr:uid="{00000000-0004-0000-0100-0000C3340000}"/>
    <hyperlink ref="I15587" r:id="rId13509" xr:uid="{00000000-0004-0000-0100-0000C4340000}"/>
    <hyperlink ref="I15588" r:id="rId13510" xr:uid="{00000000-0004-0000-0100-0000C5340000}"/>
    <hyperlink ref="I15589" r:id="rId13511" xr:uid="{00000000-0004-0000-0100-0000C6340000}"/>
    <hyperlink ref="I15590" r:id="rId13512" xr:uid="{00000000-0004-0000-0100-0000C7340000}"/>
    <hyperlink ref="I15591" r:id="rId13513" xr:uid="{00000000-0004-0000-0100-0000C8340000}"/>
    <hyperlink ref="I15592" r:id="rId13514" xr:uid="{00000000-0004-0000-0100-0000C9340000}"/>
    <hyperlink ref="I15593" r:id="rId13515" xr:uid="{00000000-0004-0000-0100-0000CA340000}"/>
    <hyperlink ref="I15594" r:id="rId13516" xr:uid="{00000000-0004-0000-0100-0000CB340000}"/>
    <hyperlink ref="I15595" r:id="rId13517" xr:uid="{00000000-0004-0000-0100-0000CC340000}"/>
    <hyperlink ref="I15596" r:id="rId13518" xr:uid="{00000000-0004-0000-0100-0000CD340000}"/>
    <hyperlink ref="I15597" r:id="rId13519" xr:uid="{00000000-0004-0000-0100-0000CE340000}"/>
    <hyperlink ref="I15598" r:id="rId13520" xr:uid="{00000000-0004-0000-0100-0000CF340000}"/>
    <hyperlink ref="I15599" r:id="rId13521" xr:uid="{00000000-0004-0000-0100-0000D0340000}"/>
    <hyperlink ref="I15600" r:id="rId13522" xr:uid="{00000000-0004-0000-0100-0000D1340000}"/>
    <hyperlink ref="I15601" r:id="rId13523" xr:uid="{00000000-0004-0000-0100-0000D2340000}"/>
    <hyperlink ref="I15602" r:id="rId13524" xr:uid="{00000000-0004-0000-0100-0000D3340000}"/>
    <hyperlink ref="I15603" r:id="rId13525" xr:uid="{00000000-0004-0000-0100-0000D4340000}"/>
    <hyperlink ref="I15604" r:id="rId13526" xr:uid="{00000000-0004-0000-0100-0000D5340000}"/>
    <hyperlink ref="I15605" r:id="rId13527" xr:uid="{00000000-0004-0000-0100-0000D6340000}"/>
    <hyperlink ref="I15606" r:id="rId13528" xr:uid="{00000000-0004-0000-0100-0000D7340000}"/>
    <hyperlink ref="I15607" r:id="rId13529" xr:uid="{00000000-0004-0000-0100-0000D8340000}"/>
    <hyperlink ref="I15608" r:id="rId13530" xr:uid="{00000000-0004-0000-0100-0000D9340000}"/>
    <hyperlink ref="I15609" r:id="rId13531" xr:uid="{00000000-0004-0000-0100-0000DA340000}"/>
    <hyperlink ref="I15610" r:id="rId13532" xr:uid="{00000000-0004-0000-0100-0000DB340000}"/>
    <hyperlink ref="I15611" r:id="rId13533" xr:uid="{00000000-0004-0000-0100-0000DC340000}"/>
    <hyperlink ref="I15612" r:id="rId13534" xr:uid="{00000000-0004-0000-0100-0000DD340000}"/>
    <hyperlink ref="I15613" r:id="rId13535" xr:uid="{00000000-0004-0000-0100-0000DE340000}"/>
    <hyperlink ref="I15614" r:id="rId13536" xr:uid="{00000000-0004-0000-0100-0000DF340000}"/>
    <hyperlink ref="I15615" r:id="rId13537" xr:uid="{00000000-0004-0000-0100-0000E0340000}"/>
    <hyperlink ref="I15616" r:id="rId13538" xr:uid="{00000000-0004-0000-0100-0000E1340000}"/>
    <hyperlink ref="I15617" r:id="rId13539" xr:uid="{00000000-0004-0000-0100-0000E2340000}"/>
    <hyperlink ref="I15618" r:id="rId13540" xr:uid="{00000000-0004-0000-0100-0000E3340000}"/>
    <hyperlink ref="I15619" r:id="rId13541" xr:uid="{00000000-0004-0000-0100-0000E4340000}"/>
    <hyperlink ref="I15620" r:id="rId13542" xr:uid="{00000000-0004-0000-0100-0000E5340000}"/>
    <hyperlink ref="I15621" r:id="rId13543" xr:uid="{00000000-0004-0000-0100-0000E6340000}"/>
    <hyperlink ref="I15622" r:id="rId13544" xr:uid="{00000000-0004-0000-0100-0000E7340000}"/>
    <hyperlink ref="I15623" r:id="rId13545" xr:uid="{00000000-0004-0000-0100-0000E8340000}"/>
    <hyperlink ref="I15624" r:id="rId13546" xr:uid="{00000000-0004-0000-0100-0000E9340000}"/>
    <hyperlink ref="I15625" r:id="rId13547" xr:uid="{00000000-0004-0000-0100-0000EA340000}"/>
    <hyperlink ref="I15626" r:id="rId13548" xr:uid="{00000000-0004-0000-0100-0000EB340000}"/>
    <hyperlink ref="I15627" r:id="rId13549" xr:uid="{00000000-0004-0000-0100-0000EC340000}"/>
    <hyperlink ref="I15628" r:id="rId13550" xr:uid="{00000000-0004-0000-0100-0000ED340000}"/>
    <hyperlink ref="I15629" r:id="rId13551" xr:uid="{00000000-0004-0000-0100-0000EE340000}"/>
    <hyperlink ref="I15630" r:id="rId13552" xr:uid="{00000000-0004-0000-0100-0000EF340000}"/>
    <hyperlink ref="I15631" r:id="rId13553" xr:uid="{00000000-0004-0000-0100-0000F0340000}"/>
    <hyperlink ref="I15632" r:id="rId13554" xr:uid="{00000000-0004-0000-0100-0000F1340000}"/>
    <hyperlink ref="I15633" r:id="rId13555" xr:uid="{00000000-0004-0000-0100-0000F2340000}"/>
    <hyperlink ref="I15634" r:id="rId13556" xr:uid="{00000000-0004-0000-0100-0000F3340000}"/>
    <hyperlink ref="I15635" r:id="rId13557" xr:uid="{00000000-0004-0000-0100-0000F4340000}"/>
    <hyperlink ref="I15636" r:id="rId13558" xr:uid="{00000000-0004-0000-0100-0000F5340000}"/>
    <hyperlink ref="I15637" r:id="rId13559" xr:uid="{00000000-0004-0000-0100-0000F6340000}"/>
    <hyperlink ref="I15638" r:id="rId13560" xr:uid="{00000000-0004-0000-0100-0000F7340000}"/>
    <hyperlink ref="I15639" r:id="rId13561" xr:uid="{00000000-0004-0000-0100-0000F8340000}"/>
    <hyperlink ref="I15640" r:id="rId13562" xr:uid="{00000000-0004-0000-0100-0000F9340000}"/>
    <hyperlink ref="I15641" r:id="rId13563" xr:uid="{00000000-0004-0000-0100-0000FA340000}"/>
    <hyperlink ref="I15642" r:id="rId13564" xr:uid="{00000000-0004-0000-0100-0000FB340000}"/>
    <hyperlink ref="I15643" r:id="rId13565" xr:uid="{00000000-0004-0000-0100-0000FC340000}"/>
    <hyperlink ref="I15644" r:id="rId13566" xr:uid="{00000000-0004-0000-0100-0000FD340000}"/>
    <hyperlink ref="I15645" r:id="rId13567" xr:uid="{00000000-0004-0000-0100-0000FE340000}"/>
    <hyperlink ref="I15646" r:id="rId13568" xr:uid="{00000000-0004-0000-0100-0000FF340000}"/>
    <hyperlink ref="I15647" r:id="rId13569" xr:uid="{00000000-0004-0000-0100-000000350000}"/>
    <hyperlink ref="I15648" r:id="rId13570" xr:uid="{00000000-0004-0000-0100-000001350000}"/>
    <hyperlink ref="I15649" r:id="rId13571" xr:uid="{00000000-0004-0000-0100-000002350000}"/>
    <hyperlink ref="I15650" r:id="rId13572" xr:uid="{00000000-0004-0000-0100-000003350000}"/>
    <hyperlink ref="I15651" r:id="rId13573" xr:uid="{00000000-0004-0000-0100-000004350000}"/>
    <hyperlink ref="I15652" r:id="rId13574" xr:uid="{00000000-0004-0000-0100-000005350000}"/>
    <hyperlink ref="I15653" r:id="rId13575" xr:uid="{00000000-0004-0000-0100-000006350000}"/>
    <hyperlink ref="I15654" r:id="rId13576" xr:uid="{00000000-0004-0000-0100-000007350000}"/>
    <hyperlink ref="I15655" r:id="rId13577" xr:uid="{00000000-0004-0000-0100-000008350000}"/>
    <hyperlink ref="I15656" r:id="rId13578" xr:uid="{00000000-0004-0000-0100-000009350000}"/>
    <hyperlink ref="I15657" r:id="rId13579" xr:uid="{00000000-0004-0000-0100-00000A350000}"/>
    <hyperlink ref="I15658" r:id="rId13580" xr:uid="{00000000-0004-0000-0100-00000B350000}"/>
    <hyperlink ref="I15659" r:id="rId13581" xr:uid="{00000000-0004-0000-0100-00000C350000}"/>
    <hyperlink ref="I15660" r:id="rId13582" xr:uid="{00000000-0004-0000-0100-00000D350000}"/>
    <hyperlink ref="I15661" r:id="rId13583" xr:uid="{00000000-0004-0000-0100-00000E350000}"/>
    <hyperlink ref="I15662" r:id="rId13584" xr:uid="{00000000-0004-0000-0100-00000F350000}"/>
    <hyperlink ref="I15663" r:id="rId13585" xr:uid="{00000000-0004-0000-0100-000010350000}"/>
    <hyperlink ref="I15664" r:id="rId13586" xr:uid="{00000000-0004-0000-0100-000011350000}"/>
    <hyperlink ref="I15665" r:id="rId13587" xr:uid="{00000000-0004-0000-0100-000012350000}"/>
    <hyperlink ref="I15666" r:id="rId13588" xr:uid="{00000000-0004-0000-0100-000013350000}"/>
    <hyperlink ref="I15667" r:id="rId13589" xr:uid="{00000000-0004-0000-0100-000014350000}"/>
    <hyperlink ref="I15668" r:id="rId13590" xr:uid="{00000000-0004-0000-0100-000015350000}"/>
    <hyperlink ref="I15669" r:id="rId13591" xr:uid="{00000000-0004-0000-0100-000016350000}"/>
    <hyperlink ref="I15670" r:id="rId13592" xr:uid="{00000000-0004-0000-0100-000017350000}"/>
    <hyperlink ref="I15671" r:id="rId13593" xr:uid="{00000000-0004-0000-0100-000018350000}"/>
    <hyperlink ref="I15672" r:id="rId13594" xr:uid="{00000000-0004-0000-0100-000019350000}"/>
    <hyperlink ref="I15673" r:id="rId13595" xr:uid="{00000000-0004-0000-0100-00001A350000}"/>
    <hyperlink ref="I15674" r:id="rId13596" xr:uid="{00000000-0004-0000-0100-00001B350000}"/>
    <hyperlink ref="I15675" r:id="rId13597" xr:uid="{00000000-0004-0000-0100-00001C350000}"/>
    <hyperlink ref="I15676" r:id="rId13598" xr:uid="{00000000-0004-0000-0100-00001D350000}"/>
    <hyperlink ref="I15677" r:id="rId13599" xr:uid="{00000000-0004-0000-0100-00001E350000}"/>
    <hyperlink ref="I15678" r:id="rId13600" xr:uid="{00000000-0004-0000-0100-00001F350000}"/>
    <hyperlink ref="I15679" r:id="rId13601" xr:uid="{00000000-0004-0000-0100-000020350000}"/>
    <hyperlink ref="I15680" r:id="rId13602" xr:uid="{00000000-0004-0000-0100-000021350000}"/>
    <hyperlink ref="I15681" r:id="rId13603" xr:uid="{00000000-0004-0000-0100-000022350000}"/>
    <hyperlink ref="I15682" r:id="rId13604" xr:uid="{00000000-0004-0000-0100-000023350000}"/>
    <hyperlink ref="I15683" r:id="rId13605" xr:uid="{00000000-0004-0000-0100-000024350000}"/>
    <hyperlink ref="I15684" r:id="rId13606" xr:uid="{00000000-0004-0000-0100-000025350000}"/>
    <hyperlink ref="I15685" r:id="rId13607" xr:uid="{00000000-0004-0000-0100-000026350000}"/>
    <hyperlink ref="I15686" r:id="rId13608" xr:uid="{00000000-0004-0000-0100-000027350000}"/>
    <hyperlink ref="I15687" r:id="rId13609" xr:uid="{00000000-0004-0000-0100-000028350000}"/>
    <hyperlink ref="I15688" r:id="rId13610" xr:uid="{00000000-0004-0000-0100-000029350000}"/>
    <hyperlink ref="I15689" r:id="rId13611" xr:uid="{00000000-0004-0000-0100-00002A350000}"/>
    <hyperlink ref="I15690" r:id="rId13612" xr:uid="{00000000-0004-0000-0100-00002B350000}"/>
    <hyperlink ref="I15691" r:id="rId13613" xr:uid="{00000000-0004-0000-0100-00002C350000}"/>
    <hyperlink ref="I15692" r:id="rId13614" xr:uid="{00000000-0004-0000-0100-00002D350000}"/>
    <hyperlink ref="I15693" r:id="rId13615" xr:uid="{00000000-0004-0000-0100-00002E350000}"/>
    <hyperlink ref="I15694" r:id="rId13616" xr:uid="{00000000-0004-0000-0100-00002F350000}"/>
    <hyperlink ref="I15695" r:id="rId13617" xr:uid="{00000000-0004-0000-0100-000030350000}"/>
    <hyperlink ref="I15696" r:id="rId13618" xr:uid="{00000000-0004-0000-0100-000031350000}"/>
    <hyperlink ref="I15697" r:id="rId13619" xr:uid="{00000000-0004-0000-0100-000032350000}"/>
    <hyperlink ref="I15698" r:id="rId13620" xr:uid="{00000000-0004-0000-0100-000033350000}"/>
    <hyperlink ref="I15699" r:id="rId13621" xr:uid="{00000000-0004-0000-0100-000034350000}"/>
    <hyperlink ref="I15700" r:id="rId13622" xr:uid="{00000000-0004-0000-0100-000035350000}"/>
    <hyperlink ref="I15701" r:id="rId13623" xr:uid="{00000000-0004-0000-0100-000036350000}"/>
    <hyperlink ref="I15702" r:id="rId13624" xr:uid="{00000000-0004-0000-0100-000037350000}"/>
    <hyperlink ref="I15703" r:id="rId13625" xr:uid="{00000000-0004-0000-0100-000038350000}"/>
    <hyperlink ref="I15704" r:id="rId13626" xr:uid="{00000000-0004-0000-0100-000039350000}"/>
    <hyperlink ref="I15705" r:id="rId13627" xr:uid="{00000000-0004-0000-0100-00003A350000}"/>
    <hyperlink ref="I15706" r:id="rId13628" xr:uid="{00000000-0004-0000-0100-00003B350000}"/>
    <hyperlink ref="I15707" r:id="rId13629" xr:uid="{00000000-0004-0000-0100-00003C350000}"/>
    <hyperlink ref="I15708" r:id="rId13630" xr:uid="{00000000-0004-0000-0100-00003D350000}"/>
    <hyperlink ref="I15709" r:id="rId13631" xr:uid="{00000000-0004-0000-0100-00003E350000}"/>
    <hyperlink ref="I15710" r:id="rId13632" xr:uid="{00000000-0004-0000-0100-00003F350000}"/>
    <hyperlink ref="I15711" r:id="rId13633" xr:uid="{00000000-0004-0000-0100-000040350000}"/>
    <hyperlink ref="I15712" r:id="rId13634" xr:uid="{00000000-0004-0000-0100-000041350000}"/>
    <hyperlink ref="I15713" r:id="rId13635" xr:uid="{00000000-0004-0000-0100-000042350000}"/>
    <hyperlink ref="I15714" r:id="rId13636" xr:uid="{00000000-0004-0000-0100-000043350000}"/>
    <hyperlink ref="I15715" r:id="rId13637" xr:uid="{00000000-0004-0000-0100-000044350000}"/>
    <hyperlink ref="I15716" r:id="rId13638" xr:uid="{00000000-0004-0000-0100-000045350000}"/>
    <hyperlink ref="I15717" r:id="rId13639" xr:uid="{00000000-0004-0000-0100-000046350000}"/>
    <hyperlink ref="I15718" r:id="rId13640" xr:uid="{00000000-0004-0000-0100-000047350000}"/>
    <hyperlink ref="I15719" r:id="rId13641" xr:uid="{00000000-0004-0000-0100-000048350000}"/>
    <hyperlink ref="I15720" r:id="rId13642" xr:uid="{00000000-0004-0000-0100-000049350000}"/>
    <hyperlink ref="I15721" r:id="rId13643" xr:uid="{00000000-0004-0000-0100-00004A350000}"/>
    <hyperlink ref="I15722" r:id="rId13644" xr:uid="{00000000-0004-0000-0100-00004B350000}"/>
    <hyperlink ref="I15723" r:id="rId13645" xr:uid="{00000000-0004-0000-0100-00004C350000}"/>
    <hyperlink ref="I15724" r:id="rId13646" xr:uid="{00000000-0004-0000-0100-00004D350000}"/>
    <hyperlink ref="I15725" r:id="rId13647" xr:uid="{00000000-0004-0000-0100-00004E350000}"/>
    <hyperlink ref="I15726" r:id="rId13648" xr:uid="{00000000-0004-0000-0100-00004F350000}"/>
    <hyperlink ref="I15727" r:id="rId13649" xr:uid="{00000000-0004-0000-0100-000050350000}"/>
    <hyperlink ref="I15728" r:id="rId13650" xr:uid="{00000000-0004-0000-0100-000051350000}"/>
    <hyperlink ref="I15729" r:id="rId13651" xr:uid="{00000000-0004-0000-0100-000052350000}"/>
    <hyperlink ref="I15730" r:id="rId13652" xr:uid="{00000000-0004-0000-0100-000053350000}"/>
    <hyperlink ref="I15731" r:id="rId13653" xr:uid="{00000000-0004-0000-0100-000054350000}"/>
    <hyperlink ref="I15732" r:id="rId13654" xr:uid="{00000000-0004-0000-0100-000055350000}"/>
    <hyperlink ref="I15733" r:id="rId13655" xr:uid="{00000000-0004-0000-0100-000056350000}"/>
    <hyperlink ref="I15734" r:id="rId13656" xr:uid="{00000000-0004-0000-0100-000057350000}"/>
    <hyperlink ref="I15735" r:id="rId13657" xr:uid="{00000000-0004-0000-0100-000058350000}"/>
    <hyperlink ref="I15736" r:id="rId13658" xr:uid="{00000000-0004-0000-0100-000059350000}"/>
    <hyperlink ref="I15737" r:id="rId13659" xr:uid="{00000000-0004-0000-0100-00005A350000}"/>
    <hyperlink ref="I15738" r:id="rId13660" xr:uid="{00000000-0004-0000-0100-00005B350000}"/>
    <hyperlink ref="I15739" r:id="rId13661" xr:uid="{00000000-0004-0000-0100-00005C350000}"/>
    <hyperlink ref="I15740" r:id="rId13662" xr:uid="{00000000-0004-0000-0100-00005D350000}"/>
    <hyperlink ref="I15741" r:id="rId13663" xr:uid="{00000000-0004-0000-0100-00005E350000}"/>
    <hyperlink ref="I15742" r:id="rId13664" xr:uid="{00000000-0004-0000-0100-00005F350000}"/>
    <hyperlink ref="I15743" r:id="rId13665" xr:uid="{00000000-0004-0000-0100-000060350000}"/>
    <hyperlink ref="I15744" r:id="rId13666" xr:uid="{00000000-0004-0000-0100-000061350000}"/>
    <hyperlink ref="I15745" r:id="rId13667" xr:uid="{00000000-0004-0000-0100-000062350000}"/>
    <hyperlink ref="I15746" r:id="rId13668" xr:uid="{00000000-0004-0000-0100-000063350000}"/>
    <hyperlink ref="I15747" r:id="rId13669" xr:uid="{00000000-0004-0000-0100-000064350000}"/>
    <hyperlink ref="I15748" r:id="rId13670" xr:uid="{00000000-0004-0000-0100-000065350000}"/>
    <hyperlink ref="I15749" r:id="rId13671" xr:uid="{00000000-0004-0000-0100-000066350000}"/>
    <hyperlink ref="I15750" r:id="rId13672" xr:uid="{00000000-0004-0000-0100-000067350000}"/>
    <hyperlink ref="I15751" r:id="rId13673" xr:uid="{00000000-0004-0000-0100-000068350000}"/>
    <hyperlink ref="I15752" r:id="rId13674" xr:uid="{00000000-0004-0000-0100-000069350000}"/>
    <hyperlink ref="I15753" r:id="rId13675" xr:uid="{00000000-0004-0000-0100-00006A350000}"/>
    <hyperlink ref="I15754" r:id="rId13676" xr:uid="{00000000-0004-0000-0100-00006B350000}"/>
    <hyperlink ref="I15755" r:id="rId13677" xr:uid="{00000000-0004-0000-0100-00006C350000}"/>
    <hyperlink ref="I15756" r:id="rId13678" xr:uid="{00000000-0004-0000-0100-00006D350000}"/>
    <hyperlink ref="I2041" r:id="rId13679" xr:uid="{8A08CD31-9EDC-471C-889D-3011FD180B69}"/>
    <hyperlink ref="I2042" r:id="rId13680" xr:uid="{AD384DE5-28F9-45D1-A68F-0E528513A89F}"/>
    <hyperlink ref="I2043" r:id="rId13681" xr:uid="{F9706CC1-BA8B-46FA-B588-CD7AEE790559}"/>
    <hyperlink ref="I2044" r:id="rId13682" xr:uid="{FBFE3A40-5E93-43C1-A354-91B5F8957309}"/>
    <hyperlink ref="I2045" r:id="rId13683" xr:uid="{42F3CB13-07A1-46EF-8B12-6761D4774F07}"/>
    <hyperlink ref="I2046" r:id="rId13684" xr:uid="{45251FCE-84F3-400F-8A08-0475A64D62D7}"/>
    <hyperlink ref="I2047" r:id="rId13685" xr:uid="{E7B18F57-EA4F-483F-9BC3-A8D0A49F6767}"/>
    <hyperlink ref="I2048" r:id="rId13686" xr:uid="{19CF7835-4A88-4F43-997B-A8B6424515E8}"/>
    <hyperlink ref="I2049" r:id="rId13687" xr:uid="{6A21560B-2E94-4A2C-9964-F3AB67A0BC4A}"/>
    <hyperlink ref="I2050" r:id="rId13688" xr:uid="{8886FE20-6CC3-4BEA-8008-19443F2AADF4}"/>
    <hyperlink ref="I2051" r:id="rId13689" xr:uid="{DEBC6E93-9E3D-43D5-9078-3C30DB476DB8}"/>
    <hyperlink ref="I2052" r:id="rId13690" xr:uid="{B126C561-89DF-4A9A-952C-0D11989DC9B9}"/>
    <hyperlink ref="I2053" r:id="rId13691" xr:uid="{63243626-13C5-43C6-84D8-4B22893DDBAD}"/>
    <hyperlink ref="I2054" r:id="rId13692" xr:uid="{ABEA2BC3-F5F2-4F87-9599-53F392228B31}"/>
    <hyperlink ref="I2055" r:id="rId13693" xr:uid="{EEDC9837-0D54-4F16-907D-5BCD0A43BF86}"/>
    <hyperlink ref="I2056" r:id="rId13694" xr:uid="{C46C76BA-CB53-4FAE-925A-A23C8BFF846D}"/>
    <hyperlink ref="I2057" r:id="rId13695" xr:uid="{2665FC27-F315-4050-9085-D1594E845CAD}"/>
    <hyperlink ref="I2058" r:id="rId13696" xr:uid="{A16BBCD7-F1BF-4AD8-BFD8-2734B60DEED6}"/>
    <hyperlink ref="I2059" r:id="rId13697" xr:uid="{2B01D149-886B-46C6-9CC0-FCB26356381F}"/>
    <hyperlink ref="I2060" r:id="rId13698" xr:uid="{CF697AE3-2AC0-4BFC-8687-976B3382FD13}"/>
    <hyperlink ref="I2061" r:id="rId13699" xr:uid="{8C99C2A3-ECBD-42FB-9725-DD80777492E4}"/>
    <hyperlink ref="I2062" r:id="rId13700" xr:uid="{2375A2BD-BCB4-4B53-BF63-27EAF66E1CB0}"/>
    <hyperlink ref="I2063" r:id="rId13701" xr:uid="{F0BECA72-1FD4-4541-AEA8-ED0777409218}"/>
    <hyperlink ref="I2064" r:id="rId13702" xr:uid="{80E65D29-18C8-49F6-BCC5-884C2D9A1E85}"/>
    <hyperlink ref="I2065" r:id="rId13703" xr:uid="{06E2703D-4F5F-49A8-B9DA-546B1D4AEA3C}"/>
    <hyperlink ref="I2066" r:id="rId13704" xr:uid="{1DAA8724-C0F6-41F0-B8D0-97753908553E}"/>
    <hyperlink ref="I2067" r:id="rId13705" xr:uid="{0D41281F-4F46-43DF-8BCA-97D3800D31E4}"/>
    <hyperlink ref="I2068" r:id="rId13706" xr:uid="{CC6853D0-03E1-4F06-B9E9-B82BBB8E8768}"/>
    <hyperlink ref="I2069" r:id="rId13707" xr:uid="{2A6A5B06-BA3D-4E21-B8EA-F8C0145073F4}"/>
    <hyperlink ref="I2070" r:id="rId13708" xr:uid="{F30276C2-B77E-4657-9BC8-4FF51BF24C14}"/>
    <hyperlink ref="I2071" r:id="rId13709" xr:uid="{8361E026-6A7C-4A2B-8620-D0E03A2093FA}"/>
    <hyperlink ref="I2072" r:id="rId13710" xr:uid="{380301AB-B73F-404E-8317-E41FA746D2BA}"/>
    <hyperlink ref="I2073" r:id="rId13711" xr:uid="{1C80376C-636B-4649-B175-EFAC0079FD79}"/>
    <hyperlink ref="I2074" r:id="rId13712" xr:uid="{06707839-682C-43C4-A710-BD3855CF1BAE}"/>
    <hyperlink ref="I2075" r:id="rId13713" xr:uid="{3BB9293D-052D-44B5-849D-DC686470DA69}"/>
    <hyperlink ref="I2076" r:id="rId13714" xr:uid="{D3C125DA-3B61-4913-B68B-AFC01DEA4096}"/>
    <hyperlink ref="I2077" r:id="rId13715" xr:uid="{EEAFE2F5-D6AF-453E-9017-2630D7D52560}"/>
    <hyperlink ref="I2078" r:id="rId13716" xr:uid="{939B74BC-D531-4AFE-A591-AD0F2C67C74B}"/>
    <hyperlink ref="I2014" r:id="rId13717" xr:uid="{D3C92E74-C56D-47F9-BB5D-7B0FF801E048}"/>
    <hyperlink ref="I2015" r:id="rId13718" xr:uid="{78F0513B-98CE-4D95-AA92-E395C0CFA9BB}"/>
    <hyperlink ref="I2016" r:id="rId13719" xr:uid="{2CC19126-7388-4BCF-B5D0-19A4B912DC89}"/>
    <hyperlink ref="I2017" r:id="rId13720" xr:uid="{49B81602-A7F7-49F9-850B-17CDC0F4EFC3}"/>
    <hyperlink ref="I2018" r:id="rId13721" xr:uid="{76575F25-04A6-4E1F-A795-D47CA1ACF501}"/>
    <hyperlink ref="I2019" r:id="rId13722" xr:uid="{9BA1A72B-EDE4-4DBB-86A6-7195D88E9879}"/>
    <hyperlink ref="I2020" r:id="rId13723" xr:uid="{4F511EAB-7058-4A26-8123-04F4E9870A71}"/>
    <hyperlink ref="I2021" r:id="rId13724" xr:uid="{CC81E956-B821-45DA-AB03-6572B021F503}"/>
    <hyperlink ref="I2022" r:id="rId13725" xr:uid="{A56AD9B8-C0BE-45CD-BC19-464C1F81AF00}"/>
    <hyperlink ref="I2023" r:id="rId13726" xr:uid="{AC1017CE-E8BF-4609-A6C6-D5AB3C974E33}"/>
    <hyperlink ref="I2024" r:id="rId13727" xr:uid="{658F1411-912C-415B-BFB4-B08A3A1212A0}"/>
    <hyperlink ref="I2025" r:id="rId13728" xr:uid="{DCC8B65D-A555-4E88-A19F-453864574643}"/>
    <hyperlink ref="I2026" r:id="rId13729" xr:uid="{7B08E448-A7A4-4EA4-9382-0B45776F0F98}"/>
    <hyperlink ref="I2027" r:id="rId13730" xr:uid="{1F977914-5B93-433C-945D-B25D738309AB}"/>
    <hyperlink ref="I2028" r:id="rId13731" xr:uid="{A14574F5-BE2D-492E-9E09-B44A209D53D8}"/>
    <hyperlink ref="I2029" r:id="rId13732" xr:uid="{F6825305-EDDB-4456-A209-E0EB937FDAEA}"/>
    <hyperlink ref="I2030" r:id="rId13733" xr:uid="{AD51F2F0-5D27-4313-9A29-C2B5F3D01063}"/>
    <hyperlink ref="I2031" r:id="rId13734" xr:uid="{49C34D39-82C0-433E-B2A2-447303CC32A6}"/>
    <hyperlink ref="I2032" r:id="rId13735" xr:uid="{301BE76F-3FAB-41A4-B022-480765BCC66E}"/>
    <hyperlink ref="I2033" r:id="rId13736" xr:uid="{B1A8D3D3-E511-4A69-974F-B904561E6F44}"/>
    <hyperlink ref="I2034" r:id="rId13737" xr:uid="{7488B4A8-E73A-4832-93C8-8B87E02AD9B9}"/>
    <hyperlink ref="I2035" r:id="rId13738" xr:uid="{20DC6A07-C878-4F0D-A594-81E92B577364}"/>
    <hyperlink ref="I2036" r:id="rId13739" xr:uid="{77414820-0E21-4A92-BDA6-192762DC1569}"/>
    <hyperlink ref="I2037" r:id="rId13740" xr:uid="{717C26D3-3776-40A3-B0F1-ADEF049827B3}"/>
    <hyperlink ref="I2038" r:id="rId13741" xr:uid="{5348AADF-D79E-4427-914F-41C872437FBC}"/>
    <hyperlink ref="I2039" r:id="rId13742" xr:uid="{226001DB-40B9-4387-A284-D2251647FA95}"/>
    <hyperlink ref="I2040" r:id="rId13743" xr:uid="{F44FEAF7-DBB0-409C-B02B-58D240198344}"/>
    <hyperlink ref="I2009" r:id="rId13744" xr:uid="{1D8BE707-7AA4-4C34-A1E6-E7A5C11A9BF9}"/>
    <hyperlink ref="I2010" r:id="rId13745" xr:uid="{BC436F00-1B06-448A-BB57-8074A71451DB}"/>
    <hyperlink ref="I2011" r:id="rId13746" xr:uid="{23A20310-FBD8-4D95-ABD5-6E6B892AC6D4}"/>
    <hyperlink ref="I2012" r:id="rId13747" xr:uid="{7018CECB-3AB5-42F9-A1AC-73E1E86C0E11}"/>
    <hyperlink ref="I2013" r:id="rId13748" xr:uid="{5FB17397-C3D9-4464-A9B6-C55AD8C842B4}"/>
    <hyperlink ref="I2000" r:id="rId13749" xr:uid="{6A55124C-CCC1-4D5E-9834-C022C8B688F3}"/>
    <hyperlink ref="I2001" r:id="rId13750" xr:uid="{1C609F62-AE50-4DD4-8710-90E2954774EC}"/>
    <hyperlink ref="I2002" r:id="rId13751" xr:uid="{270344F2-B754-4230-B51E-83C6A71020F7}"/>
    <hyperlink ref="I2003" r:id="rId13752" xr:uid="{32EFA57A-5752-4674-9563-6D1AF32C7898}"/>
    <hyperlink ref="I2004" r:id="rId13753" xr:uid="{FE4FC3C2-4C29-4D5D-8EAA-7A833BF556DC}"/>
    <hyperlink ref="I2005" r:id="rId13754" xr:uid="{1A83459A-DC56-4459-92E9-E3540BA16838}"/>
    <hyperlink ref="I2006" r:id="rId13755" xr:uid="{04F50072-1E6D-4D0D-A81F-8306B66A8D30}"/>
    <hyperlink ref="I2007" r:id="rId13756" xr:uid="{D97EC106-F67A-4C37-A083-7E477D46E35C}"/>
    <hyperlink ref="I2008" r:id="rId13757" xr:uid="{68E19D31-D525-4988-BB38-E8958E3007F0}"/>
    <hyperlink ref="I1987" r:id="rId13758" xr:uid="{FCB38BC7-96B0-4849-88FC-316FE74E3F4C}"/>
    <hyperlink ref="I1988" r:id="rId13759" xr:uid="{440CE63E-0FD5-46E8-A722-9FE3C34BA669}"/>
    <hyperlink ref="I1989" r:id="rId13760" xr:uid="{56EE244B-975E-4514-823F-62EF8BACF9F3}"/>
    <hyperlink ref="I1990" r:id="rId13761" xr:uid="{7B6B42C6-4F0F-4EA4-B5BF-AEE95601B083}"/>
    <hyperlink ref="I1991" r:id="rId13762" xr:uid="{DCC50184-DE40-499A-AE13-F0D1129990E7}"/>
    <hyperlink ref="I1992" r:id="rId13763" xr:uid="{09A1A3C0-9ACE-4C82-8A53-9AD1E5816C5A}"/>
    <hyperlink ref="I1993" r:id="rId13764" xr:uid="{2132F4D2-3D6F-461B-9E7F-4DE8857A221F}"/>
    <hyperlink ref="I1994" r:id="rId13765" xr:uid="{EC31D3DE-A0B8-4918-B5FD-2A567639E7E2}"/>
    <hyperlink ref="I1995" r:id="rId13766" xr:uid="{96FC8A13-ED37-4708-A9A5-CA83C9EB4168}"/>
    <hyperlink ref="I1996" r:id="rId13767" xr:uid="{C8D712B5-7860-4832-9C57-09D54C562D42}"/>
    <hyperlink ref="I1997" r:id="rId13768" xr:uid="{09D0B192-C0DF-406A-AD0C-12E8DFC143F9}"/>
    <hyperlink ref="I1998" r:id="rId13769" xr:uid="{CC7DB335-098D-4123-A157-E8C96511F510}"/>
    <hyperlink ref="I1999" r:id="rId13770" xr:uid="{CD427069-6EF9-45B1-9024-EB744448BC89}"/>
    <hyperlink ref="I1929" r:id="rId13771" xr:uid="{330FE283-4B96-4ECE-8BFF-5F2B659591D0}"/>
    <hyperlink ref="I1930" r:id="rId13772" xr:uid="{5D73C925-6EE8-4A8E-9B35-16384AD94144}"/>
    <hyperlink ref="I1931" r:id="rId13773" xr:uid="{3C568860-9DD4-4DD8-92F2-02B346B5AE2F}"/>
    <hyperlink ref="I1932" r:id="rId13774" xr:uid="{5D9B7F33-C0C9-4579-8EA0-444485BA069A}"/>
    <hyperlink ref="I1933" r:id="rId13775" xr:uid="{1E63EBE1-0934-42AB-AD9B-A63EA5B466C2}"/>
    <hyperlink ref="I1934" r:id="rId13776" xr:uid="{199ED8E5-D0FC-446F-BF6A-159B9A5B9FD9}"/>
    <hyperlink ref="I1935" r:id="rId13777" xr:uid="{91E1E16A-039A-449E-A28F-7EDD6A6CC2D1}"/>
    <hyperlink ref="I1936" r:id="rId13778" xr:uid="{4E03BDF2-C0DE-4CC5-A175-1848F08A861E}"/>
    <hyperlink ref="I1937" r:id="rId13779" xr:uid="{C6F401B9-042B-4CC4-B2AE-3ADE6C253642}"/>
    <hyperlink ref="I1938" r:id="rId13780" xr:uid="{BEE838DF-6BB4-46A2-B9D1-1E394E600B9B}"/>
    <hyperlink ref="I1939" r:id="rId13781" xr:uid="{0E112974-EBF6-4FEA-AB8F-820FF9ECE658}"/>
    <hyperlink ref="I1940" r:id="rId13782" xr:uid="{5D84002D-F906-49BE-B051-F79A3E914EBB}"/>
    <hyperlink ref="I1941" r:id="rId13783" xr:uid="{2DFAB636-3BB0-473D-BEDF-971DAD8BAAB0}"/>
    <hyperlink ref="I1942" r:id="rId13784" xr:uid="{93C15868-9EDD-4241-A0CF-D848B68FFC50}"/>
    <hyperlink ref="I1943" r:id="rId13785" xr:uid="{AE203F60-633A-4655-A029-F73315A41A21}"/>
    <hyperlink ref="I1944" r:id="rId13786" xr:uid="{8D9773E0-04F5-4649-A630-4222150C0FFA}"/>
    <hyperlink ref="I1945" r:id="rId13787" xr:uid="{899DF1D6-4773-4185-83F9-3D0162A217E5}"/>
    <hyperlink ref="I1946" r:id="rId13788" xr:uid="{2EF4C2AA-910E-4BF8-BF46-651949B02FC2}"/>
    <hyperlink ref="I1947" r:id="rId13789" xr:uid="{BDF541A6-86B3-4407-B994-F22339E00C11}"/>
    <hyperlink ref="I1948" r:id="rId13790" xr:uid="{A759F014-DE30-42F8-B183-BCCD607F1602}"/>
    <hyperlink ref="I1949" r:id="rId13791" xr:uid="{41A2B59C-5600-47B3-A86C-BB78AAC640A0}"/>
    <hyperlink ref="I1950" r:id="rId13792" xr:uid="{65751657-687D-46B6-AC2A-AD6B1D2A6EAC}"/>
    <hyperlink ref="I1951" r:id="rId13793" xr:uid="{58CCA5B7-E36E-4BBF-A707-3130085841F1}"/>
    <hyperlink ref="I1952" r:id="rId13794" xr:uid="{B44370B9-774E-47C3-BC11-419E6ABD0676}"/>
    <hyperlink ref="I1953" r:id="rId13795" xr:uid="{328F0A82-EADC-47F7-BDB9-9C0092CE6611}"/>
    <hyperlink ref="I1954" r:id="rId13796" xr:uid="{7C6329EA-70A4-40A5-8BF2-5A6303637C15}"/>
    <hyperlink ref="I1955" r:id="rId13797" xr:uid="{81228F47-A7ED-4E6D-B14B-5A481D52C1FE}"/>
    <hyperlink ref="I1956" r:id="rId13798" xr:uid="{65B5F73D-273C-4450-AF04-61C8AE1A2193}"/>
    <hyperlink ref="I1957" r:id="rId13799" xr:uid="{780AE068-0681-4503-A7EE-A76192DA3A17}"/>
    <hyperlink ref="I1958" r:id="rId13800" xr:uid="{5AD6B9B9-C549-4182-84A9-8B023DA3DA3F}"/>
    <hyperlink ref="I1959" r:id="rId13801" xr:uid="{98964BC8-C475-41C1-B322-00A9CB52CE21}"/>
    <hyperlink ref="I1960" r:id="rId13802" xr:uid="{9E2917FC-2004-4DFC-B242-C9B66BA7314E}"/>
    <hyperlink ref="I1961" r:id="rId13803" xr:uid="{BD85E03B-5BC3-4F46-851A-949AFE6B5F61}"/>
    <hyperlink ref="I1962" r:id="rId13804" xr:uid="{E0C0FB67-E0FB-4D73-89CA-3FC856B0D8B8}"/>
    <hyperlink ref="I1963" r:id="rId13805" xr:uid="{5D93BD95-82B4-4F3C-9568-BE6844E29C42}"/>
    <hyperlink ref="I1964" r:id="rId13806" xr:uid="{3ECA3257-31BA-4F12-A9CD-BEA47AD14468}"/>
    <hyperlink ref="I1965" r:id="rId13807" xr:uid="{58864B7E-2492-4A67-913A-444B4A3E36F4}"/>
    <hyperlink ref="I1966" r:id="rId13808" xr:uid="{C7BFBFE4-7BE1-4852-9670-46FEA71F73EA}"/>
    <hyperlink ref="I1967" r:id="rId13809" xr:uid="{1B95AF67-AEA7-4040-9091-97C1FA167128}"/>
    <hyperlink ref="I1968" r:id="rId13810" xr:uid="{80F00F8B-5E14-4415-9A62-588967D7B1F6}"/>
    <hyperlink ref="I1969" r:id="rId13811" xr:uid="{9504FC12-75D2-4862-878E-6397BB2D745F}"/>
    <hyperlink ref="I1970" r:id="rId13812" xr:uid="{FF51B776-7CDA-4055-B398-1097E5A9FFD5}"/>
    <hyperlink ref="I1971" r:id="rId13813" xr:uid="{E33101A7-8F22-41FE-8328-E1F3A60CB61A}"/>
    <hyperlink ref="I1972" r:id="rId13814" xr:uid="{1C1F055E-378A-4B02-B904-24B3F2CBDAAD}"/>
    <hyperlink ref="I1973" r:id="rId13815" xr:uid="{A25C0619-C562-4D78-B3A9-5EB009F4D873}"/>
    <hyperlink ref="I1974" r:id="rId13816" xr:uid="{66474704-2C0A-4AB0-B278-3DE4F12B3B81}"/>
    <hyperlink ref="I1975" r:id="rId13817" xr:uid="{22B89FC0-A289-49F9-8011-E34311696940}"/>
    <hyperlink ref="I1976" r:id="rId13818" xr:uid="{29D66463-153E-49ED-BFC7-FD02C60645E2}"/>
    <hyperlink ref="I1977" r:id="rId13819" xr:uid="{36952D1C-FEF0-42B7-B9E5-E32F885CED3A}"/>
    <hyperlink ref="I1978" r:id="rId13820" xr:uid="{E4CF2263-3120-4CBC-974C-337F78B4D0DF}"/>
    <hyperlink ref="I1979" r:id="rId13821" xr:uid="{A21042EB-01AF-4EB3-A8DE-FA660E10ABF0}"/>
    <hyperlink ref="I1980" r:id="rId13822" xr:uid="{FEC7CB75-2A40-4E7C-BED1-9DD93632BA1B}"/>
    <hyperlink ref="I1981" r:id="rId13823" xr:uid="{447CA8D5-6076-4310-9EE4-DA2FDA8BEBF7}"/>
    <hyperlink ref="I1982" r:id="rId13824" xr:uid="{D4775233-D291-4C06-91BF-C6E98B3FE8A1}"/>
    <hyperlink ref="I1983" r:id="rId13825" xr:uid="{0C8D1ABA-9658-4916-BCE4-7A84043EAB6E}"/>
    <hyperlink ref="I1984" r:id="rId13826" xr:uid="{4054A25A-8154-47D7-8CFD-CC896EBD8CD7}"/>
    <hyperlink ref="I1985" r:id="rId13827" xr:uid="{B3725467-0853-450B-B2EC-CB81A3898B8F}"/>
    <hyperlink ref="I1986" r:id="rId13828" xr:uid="{930A0A30-A20F-46EF-9C9C-6F46A891994A}"/>
    <hyperlink ref="I1922" r:id="rId13829" xr:uid="{5CE645BE-0F77-448C-96FD-4476FA2E48A0}"/>
    <hyperlink ref="I1923" r:id="rId13830" xr:uid="{C0335E2B-AE55-4E80-A904-9314B341C5AF}"/>
    <hyperlink ref="I1924" r:id="rId13831" xr:uid="{520DA590-3DAC-4A56-A0A7-71A079B00262}"/>
    <hyperlink ref="I1925" r:id="rId13832" xr:uid="{31B223E8-3F27-4D2E-840B-E09CA0BA4619}"/>
    <hyperlink ref="I1926" r:id="rId13833" xr:uid="{564505C4-8E73-47D9-9290-A98A00074F2D}"/>
    <hyperlink ref="I1927" r:id="rId13834" xr:uid="{E988A319-4237-4317-83C0-EC1AAB59449E}"/>
    <hyperlink ref="I1928" r:id="rId13835" xr:uid="{53B8529E-208F-4931-974C-51A6DB8978D4}"/>
    <hyperlink ref="I1900" r:id="rId13836" xr:uid="{964385A3-3276-4AD7-B69A-F2898FA0B1F6}"/>
    <hyperlink ref="I1901" r:id="rId13837" xr:uid="{B35C34A1-0206-41B7-87D6-15B0F4E06774}"/>
    <hyperlink ref="I1902" r:id="rId13838" xr:uid="{C160190C-4839-47F3-8D32-296B00AFF331}"/>
    <hyperlink ref="I1903" r:id="rId13839" xr:uid="{0EA418E4-8E12-4A0C-9516-279796553250}"/>
    <hyperlink ref="I1904" r:id="rId13840" xr:uid="{3BB0D1BE-D652-4A99-8AAE-DE08AFA25FE2}"/>
    <hyperlink ref="I1905" r:id="rId13841" xr:uid="{7755C029-9170-4685-AD44-9CCEE7FEAD5C}"/>
    <hyperlink ref="I1906" r:id="rId13842" xr:uid="{A7F9234D-C057-45F2-8258-CEDDAC779262}"/>
    <hyperlink ref="I1907" r:id="rId13843" xr:uid="{85C0E99C-809C-42A7-AFF6-34AA39277DF7}"/>
    <hyperlink ref="I1908" r:id="rId13844" xr:uid="{FDD5E909-455E-4B98-A87D-33B97075DA8E}"/>
    <hyperlink ref="I1909" r:id="rId13845" xr:uid="{FD68EF94-25C1-41F2-A1BB-FD1E4C64B66C}"/>
    <hyperlink ref="I1910" r:id="rId13846" xr:uid="{5B83C7A6-0385-497D-BD5F-335373A6AF18}"/>
    <hyperlink ref="I1911" r:id="rId13847" xr:uid="{9A5E1F7A-3A74-420E-9122-424DA8265768}"/>
    <hyperlink ref="I1912" r:id="rId13848" xr:uid="{5DAB919F-1B9A-4BEE-A4C7-22C3F0E85058}"/>
    <hyperlink ref="I1913" r:id="rId13849" xr:uid="{B5E02444-E16F-4375-9620-634AEE2C70EB}"/>
    <hyperlink ref="I1914" r:id="rId13850" xr:uid="{1832B385-1DDE-4D89-A7AC-2EDC0508E35A}"/>
    <hyperlink ref="I1915" r:id="rId13851" xr:uid="{C98C4445-B08C-4D81-B847-9CF5B4517B26}"/>
    <hyperlink ref="I1916" r:id="rId13852" xr:uid="{B1F192BD-1FBE-4211-92E8-4D06C971017D}"/>
    <hyperlink ref="I1917" r:id="rId13853" xr:uid="{F7DE128E-E793-40A3-AB59-329048B3C5AB}"/>
    <hyperlink ref="I1918" r:id="rId13854" xr:uid="{700E6EA4-2281-4AEE-9F02-154B5CD1240C}"/>
    <hyperlink ref="I1919" r:id="rId13855" xr:uid="{F61F37C4-3200-4809-B582-96B97B445B1B}"/>
    <hyperlink ref="I1920" r:id="rId13856" xr:uid="{245DEF9C-0D96-4A0C-832D-94D2E67EB7C9}"/>
    <hyperlink ref="I1921" r:id="rId13857" xr:uid="{B21336AD-5CFA-44C2-8999-86A22DC40A64}"/>
    <hyperlink ref="I1877" r:id="rId13858" xr:uid="{85B0892F-C228-4E67-A427-D2919018F77C}"/>
    <hyperlink ref="I1878" r:id="rId13859" xr:uid="{7FDCA563-D548-4C58-8B35-59C2ACCE5301}"/>
    <hyperlink ref="I1879" r:id="rId13860" xr:uid="{027693A7-0198-4645-B678-3B4C38043AF6}"/>
    <hyperlink ref="I1880" r:id="rId13861" xr:uid="{58D9B4D3-9BA0-47C6-8D4F-EAA0BF4566C1}"/>
    <hyperlink ref="I1881" r:id="rId13862" xr:uid="{A1F74911-5291-412D-9DA3-A45868A5CEA0}"/>
    <hyperlink ref="I1882" r:id="rId13863" xr:uid="{194280CC-59F2-496A-81BC-B6780818616C}"/>
    <hyperlink ref="I1883" r:id="rId13864" xr:uid="{F7561C77-C497-4699-8E35-FC3C4CD9C06A}"/>
    <hyperlink ref="I1884" r:id="rId13865" xr:uid="{517E192E-4746-4DCF-8798-8A90F56776D9}"/>
    <hyperlink ref="I1885" r:id="rId13866" xr:uid="{E9AADB7D-52F5-4FB7-85F5-2CE57243770E}"/>
    <hyperlink ref="I1886" r:id="rId13867" xr:uid="{0E31AD35-E641-496E-B9EE-E206CAF621F4}"/>
    <hyperlink ref="I1887" r:id="rId13868" xr:uid="{4F64D8D8-432D-4CF5-B747-71904CFF06FF}"/>
    <hyperlink ref="I1888" r:id="rId13869" xr:uid="{8AA43DAC-2D19-4C0D-80F6-CDC0A2BC6EB3}"/>
    <hyperlink ref="I1889" r:id="rId13870" xr:uid="{25E00FC4-22E6-4B87-B7BF-47C80B7EE00F}"/>
    <hyperlink ref="I1890" r:id="rId13871" xr:uid="{16AC71E4-4218-49CB-ADA4-C067C3DD74F8}"/>
    <hyperlink ref="I1891" r:id="rId13872" xr:uid="{CCE2990D-5587-48C6-BED2-9AA5498EE05C}"/>
    <hyperlink ref="I1892" r:id="rId13873" xr:uid="{B200AA4D-4AAC-480B-B00B-D1233ABDDAAA}"/>
    <hyperlink ref="I1893" r:id="rId13874" xr:uid="{68B2E093-B2D0-4666-9ADC-76BF8C4BA05E}"/>
    <hyperlink ref="I1894" r:id="rId13875" xr:uid="{CC419A0A-7104-473A-B7EC-7EBD5AECA748}"/>
    <hyperlink ref="I1895" r:id="rId13876" xr:uid="{4C4B3A98-AEBA-41AD-91BD-A77B56E062E6}"/>
    <hyperlink ref="I1896" r:id="rId13877" xr:uid="{795D871F-A4DC-4375-A381-591AC20ADF4E}"/>
    <hyperlink ref="I1897" r:id="rId13878" xr:uid="{43D02616-D581-4CD8-B6F8-54DDCF2F6D37}"/>
    <hyperlink ref="I1898" r:id="rId13879" xr:uid="{41B94F63-E0B8-4BC2-A1C0-F282F2AAA192}"/>
    <hyperlink ref="I1899" r:id="rId13880" xr:uid="{FCF34222-B876-439E-AB2F-B23AA19FE1CF}"/>
    <hyperlink ref="I1861" r:id="rId13881" xr:uid="{A2ABB5F5-FE55-44E6-93C7-9D68ED00E115}"/>
    <hyperlink ref="I1862" r:id="rId13882" xr:uid="{C1053CD4-E1D1-4751-A362-08CF664C489D}"/>
    <hyperlink ref="I1863" r:id="rId13883" xr:uid="{BCA4F5F4-00AD-4D4C-8228-4B21D7CB48AA}"/>
    <hyperlink ref="I1864" r:id="rId13884" xr:uid="{AF597A94-F665-4459-B789-78AAC9EF3F51}"/>
    <hyperlink ref="I1865" r:id="rId13885" xr:uid="{D854937C-7308-49B0-A6F7-6872B5B1DF01}"/>
    <hyperlink ref="I1866" r:id="rId13886" xr:uid="{7C06D890-252A-4CF2-BD15-0607AFE3257F}"/>
    <hyperlink ref="I1867" r:id="rId13887" xr:uid="{7022667D-AD55-4919-8753-2EBBD1BCCF6C}"/>
    <hyperlink ref="I1868" r:id="rId13888" xr:uid="{CF623B4A-DE77-4F08-A8EE-1608C2E3937E}"/>
    <hyperlink ref="I1869" r:id="rId13889" xr:uid="{67975D0E-2855-4A84-82A2-2DC84A40007B}"/>
    <hyperlink ref="I1870" r:id="rId13890" xr:uid="{97F453A0-94A9-4895-84D5-CE740161E2DB}"/>
    <hyperlink ref="I1871" r:id="rId13891" xr:uid="{AE100B76-D53C-4603-B106-2B65D61C2EF5}"/>
    <hyperlink ref="I1872" r:id="rId13892" xr:uid="{639A8C3F-105A-4907-9A67-3EB1FFFF4AA3}"/>
    <hyperlink ref="I1873" r:id="rId13893" xr:uid="{51B01360-EEA5-4B16-8B81-53DAB647585D}"/>
    <hyperlink ref="I1874" r:id="rId13894" xr:uid="{4D5B2DF5-8D3C-4B87-B8D7-43035A47EF26}"/>
    <hyperlink ref="I1875" r:id="rId13895" xr:uid="{0A4DBFC2-4CCE-4332-8150-B25344B30A5A}"/>
    <hyperlink ref="I1876" r:id="rId13896" xr:uid="{312118F2-2C85-4913-8327-3FC377231B4E}"/>
    <hyperlink ref="I1841" r:id="rId13897" xr:uid="{695CD0BD-DDA6-4B68-9BD1-1BB80C223AC5}"/>
    <hyperlink ref="I1842" r:id="rId13898" xr:uid="{2A23A5ED-D56A-44F6-B32D-FB9B668940BE}"/>
    <hyperlink ref="I1843" r:id="rId13899" xr:uid="{B20D86B1-A520-4AFF-AAAC-C870633E880C}"/>
    <hyperlink ref="I1844" r:id="rId13900" xr:uid="{E9431C54-16F9-4826-9EE0-36A0561F1D2E}"/>
    <hyperlink ref="I1845" r:id="rId13901" xr:uid="{1E95173A-5C41-4756-B703-7205CBABF8B1}"/>
    <hyperlink ref="I1846" r:id="rId13902" xr:uid="{C5E176EF-54DF-418E-89D0-5DC43B2E8F38}"/>
    <hyperlink ref="I1847" r:id="rId13903" xr:uid="{8C7CC4E5-00CE-42A6-9C47-0BDCD6242AE6}"/>
    <hyperlink ref="I1848" r:id="rId13904" xr:uid="{9A7A23A1-4900-473A-8EF8-C5CD9A92DD34}"/>
    <hyperlink ref="I1849" r:id="rId13905" xr:uid="{2DF93BC6-CE5E-481D-9F66-50F7DE077CFE}"/>
    <hyperlink ref="I1850" r:id="rId13906" xr:uid="{4FB38EB4-5F79-40D4-B741-E0B76341468D}"/>
    <hyperlink ref="I1851" r:id="rId13907" xr:uid="{B7E297DC-1917-4ED2-9AE0-AA8EA9218E44}"/>
    <hyperlink ref="I1852" r:id="rId13908" xr:uid="{7A498D94-D03C-4F5A-B342-66C6C6508209}"/>
    <hyperlink ref="I1853" r:id="rId13909" xr:uid="{9EA8F729-3311-412E-BFBC-8D9534D0B16F}"/>
    <hyperlink ref="I1854" r:id="rId13910" xr:uid="{78E8DFAD-017F-49B5-ABA7-5506A4021CE9}"/>
    <hyperlink ref="I1855" r:id="rId13911" xr:uid="{AAEE2413-E537-4E5B-947D-F6511FCA083F}"/>
    <hyperlink ref="I1856" r:id="rId13912" xr:uid="{C64889D1-56A9-4FFD-9E31-F8200B551FE2}"/>
    <hyperlink ref="I1857" r:id="rId13913" xr:uid="{74BA5570-6DB7-43AD-9A79-2606BB0B2287}"/>
    <hyperlink ref="I1858" r:id="rId13914" xr:uid="{2E1F0DA0-78DA-42A8-A64B-DA0B82C1B135}"/>
    <hyperlink ref="I1859" r:id="rId13915" xr:uid="{FADFED1A-DB30-40C3-8E22-81C29B925685}"/>
    <hyperlink ref="I1860" r:id="rId13916" xr:uid="{B3D5A66A-1FA7-480F-89CB-15A2EDF38347}"/>
    <hyperlink ref="I1826" r:id="rId13917" xr:uid="{AB805050-E0CC-4E14-B408-F1CBC46C995E}"/>
    <hyperlink ref="I1827" r:id="rId13918" xr:uid="{F5D1556B-12D0-4410-A3FD-B011CFEC0633}"/>
    <hyperlink ref="I1828" r:id="rId13919" xr:uid="{75F0AE6F-4B52-47F7-8F4F-C77A59AD0A7F}"/>
    <hyperlink ref="I1829" r:id="rId13920" xr:uid="{08133658-64EB-4989-9E69-F48296C56810}"/>
    <hyperlink ref="I1830" r:id="rId13921" xr:uid="{22516261-9017-4C1E-96C2-60A83F4EDAB6}"/>
    <hyperlink ref="I1831" r:id="rId13922" xr:uid="{7751A0DD-37A9-4778-B0FC-302BD6AD0CED}"/>
    <hyperlink ref="I1832" r:id="rId13923" xr:uid="{C01F452B-BBEC-4496-B9B3-5A813941668A}"/>
    <hyperlink ref="I1833" r:id="rId13924" xr:uid="{209036AF-3CBB-4D5C-8E73-20ABCBEDE8BE}"/>
    <hyperlink ref="I1834" r:id="rId13925" xr:uid="{A037F65C-6CCC-4D06-A0D0-683B16C5FBEF}"/>
    <hyperlink ref="I1835" r:id="rId13926" xr:uid="{C10537E5-EAB7-44E7-863C-6DCAC0C9182F}"/>
    <hyperlink ref="I1836" r:id="rId13927" xr:uid="{DDB54174-B9D8-424E-8AC1-D4B2FA20B3DA}"/>
    <hyperlink ref="I1837" r:id="rId13928" xr:uid="{31460987-C09A-4353-94F0-90EAF6B647D4}"/>
    <hyperlink ref="I1838" r:id="rId13929" xr:uid="{C94C2BD1-5099-4A47-B6C4-EB627E95B0A2}"/>
    <hyperlink ref="I1839" r:id="rId13930" xr:uid="{C84FB7D4-AE30-44F2-BD50-99D252804444}"/>
    <hyperlink ref="I1840" r:id="rId13931" xr:uid="{B05B38E0-6B61-4098-8CE9-6F82CFE9E315}"/>
    <hyperlink ref="I1746" r:id="rId13932" xr:uid="{9FBD4FBE-9A16-4DDA-A6E6-2018A4AB55A4}"/>
    <hyperlink ref="I1747" r:id="rId13933" xr:uid="{512117A5-D903-4CAA-8507-D075D9DBFC13}"/>
    <hyperlink ref="I1748" r:id="rId13934" xr:uid="{D80406A0-DCDA-4AC1-A99A-F000BD57DBC9}"/>
    <hyperlink ref="I1749" r:id="rId13935" xr:uid="{AB9B93D5-6816-42EC-8F1B-AD03CAFA9E9D}"/>
    <hyperlink ref="I1750" r:id="rId13936" xr:uid="{231E64D0-C87D-4933-8E56-A3F6ED08A526}"/>
    <hyperlink ref="I1751" r:id="rId13937" xr:uid="{F30871A0-C292-4D40-8110-77ED89063F70}"/>
    <hyperlink ref="I1752" r:id="rId13938" xr:uid="{53F0735B-E69A-4C9E-9CF8-8822DB980B21}"/>
    <hyperlink ref="I1753" r:id="rId13939" xr:uid="{B3842F62-CF16-45DD-AF96-56BE8DA02D96}"/>
    <hyperlink ref="I1754" r:id="rId13940" xr:uid="{F17637AD-D53E-4F2E-8F53-670EDFBC7938}"/>
    <hyperlink ref="I1755" r:id="rId13941" xr:uid="{3007A08C-B3A6-41AA-8C00-4BA3B91FC761}"/>
    <hyperlink ref="I1756" r:id="rId13942" xr:uid="{52E42989-F7BE-441D-BD34-6D5546E97A5E}"/>
    <hyperlink ref="I1757" r:id="rId13943" xr:uid="{0D8AFFF1-537E-497B-908A-E3C24CE9B0C4}"/>
    <hyperlink ref="I1758" r:id="rId13944" xr:uid="{472A0E7F-4932-4BA5-A410-B87E7B98BA5F}"/>
    <hyperlink ref="I1759" r:id="rId13945" xr:uid="{2C1CD173-8F5C-4E08-BA96-E0461D706C78}"/>
    <hyperlink ref="I1760" r:id="rId13946" xr:uid="{77F35B8C-D66B-4F13-B5FD-95C93B50DBEA}"/>
    <hyperlink ref="I1761" r:id="rId13947" xr:uid="{32C83551-DC7A-442A-B916-AD4CA17CF37E}"/>
    <hyperlink ref="I1762" r:id="rId13948" xr:uid="{73B35829-73C9-4407-8DE8-1C6D0D210985}"/>
    <hyperlink ref="I1763" r:id="rId13949" xr:uid="{F8A68716-D533-49BB-B920-4CE78961B756}"/>
    <hyperlink ref="I1764" r:id="rId13950" xr:uid="{F46DACDC-1284-4896-856A-02525DEE8960}"/>
    <hyperlink ref="I1765" r:id="rId13951" xr:uid="{E4078901-72EC-40CB-A615-2DEDF6AC745A}"/>
    <hyperlink ref="I1766" r:id="rId13952" xr:uid="{44320459-51B7-420E-A138-90F3893B9E57}"/>
    <hyperlink ref="I1767" r:id="rId13953" xr:uid="{835AEDA7-A41F-477E-B1E3-B12D9F5583E5}"/>
    <hyperlink ref="I1768" r:id="rId13954" xr:uid="{503F5209-C002-4523-8946-3BD0E193DED1}"/>
    <hyperlink ref="I1769" r:id="rId13955" xr:uid="{F8C1AC78-11A2-408B-87BF-08DE47BDB7D5}"/>
    <hyperlink ref="I1770" r:id="rId13956" xr:uid="{F259A026-5411-4ECE-A7AF-977B12167E1D}"/>
    <hyperlink ref="I1771" r:id="rId13957" xr:uid="{BAA47F02-B312-4B15-9753-29FFD97BA601}"/>
    <hyperlink ref="I1772" r:id="rId13958" xr:uid="{A9338A6B-C54D-4EF6-9F3F-4784E3B60C95}"/>
    <hyperlink ref="I1773" r:id="rId13959" xr:uid="{8A3819CD-5678-4B10-9011-185DD2DE686C}"/>
    <hyperlink ref="I1774" r:id="rId13960" xr:uid="{540DF423-A186-4082-9888-9388C05F1AE6}"/>
    <hyperlink ref="I1775" r:id="rId13961" xr:uid="{E78D3556-768D-4EEC-B3F5-6DD3C65E3559}"/>
    <hyperlink ref="I1776" r:id="rId13962" xr:uid="{E6AC5D6F-8E78-41FF-89F2-B79CDCB54B72}"/>
    <hyperlink ref="I1777" r:id="rId13963" xr:uid="{FE7DF08B-9E01-4B32-8BB7-0B2EDF7EA844}"/>
    <hyperlink ref="I1778" r:id="rId13964" xr:uid="{6C2D5737-A4F5-4547-861B-C0F93DA87F61}"/>
    <hyperlink ref="I1779" r:id="rId13965" xr:uid="{42503B06-5577-4771-BF01-B433A1E74D11}"/>
    <hyperlink ref="I1780" r:id="rId13966" xr:uid="{E18C250B-4D75-4D83-92E3-1A5B16BDCC83}"/>
    <hyperlink ref="I1781" r:id="rId13967" xr:uid="{93AD9B9A-6714-4781-8B04-3396DBC32809}"/>
    <hyperlink ref="I1782" r:id="rId13968" xr:uid="{CDB5185B-F189-40CC-AC82-1B13C911B7BE}"/>
    <hyperlink ref="I1783" r:id="rId13969" xr:uid="{C177C98A-EFBA-4281-945E-2211C470BB6B}"/>
    <hyperlink ref="I1784" r:id="rId13970" xr:uid="{73689332-3708-4D6A-AD57-BE9002D8620A}"/>
    <hyperlink ref="I1785" r:id="rId13971" xr:uid="{FD3962D1-AD4E-488B-885D-74B2A33B1679}"/>
    <hyperlink ref="I1786" r:id="rId13972" xr:uid="{1505C292-F1D7-4C2F-8560-E2E8065E0226}"/>
    <hyperlink ref="I1787" r:id="rId13973" xr:uid="{1D376B6D-CACD-440A-9587-F13802846997}"/>
    <hyperlink ref="I1788" r:id="rId13974" xr:uid="{5E192E87-A8F7-4B08-AF0B-C0BDC937832D}"/>
    <hyperlink ref="I1789" r:id="rId13975" xr:uid="{E82398E3-BA7B-4644-BF03-B7C198FAD2ED}"/>
    <hyperlink ref="I1790" r:id="rId13976" xr:uid="{681EDBD8-9B3A-40FA-BA24-16FBFA1EFDA2}"/>
    <hyperlink ref="I1791" r:id="rId13977" xr:uid="{BEA8CB74-211A-4BF9-8C16-C6CE4534E5A4}"/>
    <hyperlink ref="I1792" r:id="rId13978" xr:uid="{0DEA0C91-A814-4B4F-863D-879DD36CF3FF}"/>
    <hyperlink ref="I1793" r:id="rId13979" xr:uid="{837FF398-A71D-4DBF-94AC-2BCB3A24E6F6}"/>
    <hyperlink ref="I1794" r:id="rId13980" xr:uid="{A0163C73-9554-456C-91A4-31121A58228B}"/>
    <hyperlink ref="I1795" r:id="rId13981" xr:uid="{670460CF-EBBF-4826-A80F-C235A8C90256}"/>
    <hyperlink ref="I1796" r:id="rId13982" xr:uid="{2B7BA1B2-FD93-413D-9C57-29891A5F251D}"/>
    <hyperlink ref="I1797" r:id="rId13983" xr:uid="{C2D6E98E-2E72-4297-BF30-E7178ACAD19E}"/>
    <hyperlink ref="I1798" r:id="rId13984" xr:uid="{155464B0-F258-45A2-8945-E1985551CF20}"/>
    <hyperlink ref="I1799" r:id="rId13985" xr:uid="{50EE2432-9E9C-4898-B4F9-CAD5498ED793}"/>
    <hyperlink ref="I1800" r:id="rId13986" xr:uid="{2B599C2A-C6BE-4243-B2DE-14927006EF2A}"/>
    <hyperlink ref="I1801" r:id="rId13987" xr:uid="{6FE7671E-DBBB-4191-816F-C4E1F9184C25}"/>
    <hyperlink ref="I1802" r:id="rId13988" xr:uid="{80023E77-D8C3-42C5-BCA9-768B5002AC61}"/>
    <hyperlink ref="I1803" r:id="rId13989" xr:uid="{B8AEFB1F-7AC7-43C3-8637-85F057BB98CA}"/>
    <hyperlink ref="I1804" r:id="rId13990" xr:uid="{BBF94A4D-BAFB-47CD-80F7-4037957DC0A2}"/>
    <hyperlink ref="I1805" r:id="rId13991" xr:uid="{4F28B703-CC80-4B2E-A516-6C1AD0FA5760}"/>
    <hyperlink ref="I1806" r:id="rId13992" xr:uid="{B8825313-3888-436E-873D-79B9CF0A21D2}"/>
    <hyperlink ref="I1807" r:id="rId13993" xr:uid="{BAD10910-FDBC-40C1-BF4C-574E87152EC2}"/>
    <hyperlink ref="I1808" r:id="rId13994" xr:uid="{0DE5F9B3-3EFF-44CF-AF55-612F20565934}"/>
    <hyperlink ref="I1809" r:id="rId13995" xr:uid="{C75D8342-3871-48BA-BC7F-0A0F96BD6722}"/>
    <hyperlink ref="I1810" r:id="rId13996" xr:uid="{7C6E5118-F07C-45D2-98A9-3C56E18971A7}"/>
    <hyperlink ref="I1811" r:id="rId13997" xr:uid="{C7D46D1E-FB68-4053-B68F-7FFA1B09CFF3}"/>
    <hyperlink ref="I1812" r:id="rId13998" xr:uid="{B427F265-9907-47BA-A4E1-B762D12048F4}"/>
    <hyperlink ref="I1813" r:id="rId13999" xr:uid="{469CEC14-BC95-440E-98B7-299B89C3FC88}"/>
    <hyperlink ref="I1814" r:id="rId14000" xr:uid="{75C16800-C430-4CDE-A67C-73561A78C7EB}"/>
    <hyperlink ref="I1815" r:id="rId14001" xr:uid="{331C220F-907A-4C4E-9373-C34BB2AE7556}"/>
    <hyperlink ref="I1816" r:id="rId14002" xr:uid="{7628A712-0548-4FB6-B875-DC58899ADD68}"/>
    <hyperlink ref="I1817" r:id="rId14003" xr:uid="{BBD5AAEB-D208-427E-AAD7-4A02D6547E00}"/>
    <hyperlink ref="I1818" r:id="rId14004" xr:uid="{A32BFA16-BC2F-4594-B6A1-AB185F7E1CA1}"/>
    <hyperlink ref="I1819" r:id="rId14005" xr:uid="{E5436BF4-1114-40AA-9904-1B4E9905BDA4}"/>
    <hyperlink ref="I1820" r:id="rId14006" xr:uid="{25C302FC-1D5E-4AAF-9B51-16BFB88F6167}"/>
    <hyperlink ref="I1821" r:id="rId14007" xr:uid="{F8326B3B-0AEE-4C7D-BF12-21A86ABAE7DA}"/>
    <hyperlink ref="I1822" r:id="rId14008" xr:uid="{2AEDF5D9-6A8F-4B4E-967E-1F36A6204C38}"/>
    <hyperlink ref="I1823" r:id="rId14009" xr:uid="{CD650CD9-3F14-4F03-A5B5-76D479BE717A}"/>
    <hyperlink ref="I1824" r:id="rId14010" xr:uid="{23457300-7BBA-4A2C-ABE5-339894B02E16}"/>
    <hyperlink ref="I1825" r:id="rId14011" xr:uid="{959914EB-7D4A-4383-AFED-E1D8E7A698FF}"/>
    <hyperlink ref="I1711" r:id="rId14012" xr:uid="{EA17D068-F421-4465-BF80-A522C44356B8}"/>
    <hyperlink ref="I1712" r:id="rId14013" xr:uid="{0A4B8F6B-B333-4EF8-8618-2A619910918D}"/>
    <hyperlink ref="I1713" r:id="rId14014" xr:uid="{5B01291E-B004-4767-B784-8FDECF17E167}"/>
    <hyperlink ref="I1714" r:id="rId14015" xr:uid="{7B806161-B995-4E58-9798-CE3C12556647}"/>
    <hyperlink ref="I1715" r:id="rId14016" xr:uid="{C6F65758-B654-4DCF-9A9D-8C68A8D4A429}"/>
    <hyperlink ref="I1716" r:id="rId14017" xr:uid="{AE8AF9A0-37FB-4799-BD51-68B4D1C57D27}"/>
    <hyperlink ref="I1717" r:id="rId14018" xr:uid="{2EF51144-1D4B-44F8-88FE-808FD2F98FC9}"/>
    <hyperlink ref="I1718" r:id="rId14019" xr:uid="{AE11DBEB-2253-4FD9-9CCD-8DF4E0B05135}"/>
    <hyperlink ref="I1719" r:id="rId14020" xr:uid="{892425CC-863A-49A7-868E-A482C68B83BD}"/>
    <hyperlink ref="I1720" r:id="rId14021" xr:uid="{49CEA452-E2A9-4D58-91F9-CF2D91EB2C8F}"/>
    <hyperlink ref="I1721" r:id="rId14022" xr:uid="{620053CC-BC7B-4A63-8744-72A9B8F9F5E0}"/>
    <hyperlink ref="I1722" r:id="rId14023" xr:uid="{E9B5388F-1E32-4DFD-BD0D-8BBAF49C9798}"/>
    <hyperlink ref="I1723" r:id="rId14024" xr:uid="{0664D9D8-E865-4B6F-8FFB-8D8AEE470B1B}"/>
    <hyperlink ref="I1724" r:id="rId14025" xr:uid="{74D487A8-92D1-4B45-B36C-8A22EE255DC9}"/>
    <hyperlink ref="I1725" r:id="rId14026" xr:uid="{34D7FE31-D41D-4836-99A3-811ABA4813B2}"/>
    <hyperlink ref="I1726" r:id="rId14027" xr:uid="{F9717047-DC06-4A2B-9698-464E3547C5A8}"/>
    <hyperlink ref="I1727" r:id="rId14028" xr:uid="{0C29FE2E-2814-4771-A15C-A4B65B09D1A0}"/>
    <hyperlink ref="I1728" r:id="rId14029" xr:uid="{135F3FF9-C285-4EAB-8CB9-04F83E1F44C0}"/>
    <hyperlink ref="I1729" r:id="rId14030" xr:uid="{2449102A-491A-418E-8560-66C9CAF93191}"/>
    <hyperlink ref="I1730" r:id="rId14031" xr:uid="{866F7BE4-2D91-4CEE-BDEE-0F33F0E17119}"/>
    <hyperlink ref="I1731" r:id="rId14032" xr:uid="{4DEB2ABF-2A59-4CFB-A9BD-18609B5D2FAB}"/>
    <hyperlink ref="I1732" r:id="rId14033" xr:uid="{7EC35FE6-700B-4173-A0AC-DA6947967963}"/>
    <hyperlink ref="I1733" r:id="rId14034" xr:uid="{2920AC91-71AB-45E0-81A9-96B242EBC925}"/>
    <hyperlink ref="I1734" r:id="rId14035" xr:uid="{E42C87E8-84DD-4ABB-86FC-2A083ECB2ECD}"/>
    <hyperlink ref="I1735" r:id="rId14036" xr:uid="{E80AA79D-6BFC-4EFD-9B4F-3710ADB1CE33}"/>
    <hyperlink ref="I1736" r:id="rId14037" xr:uid="{7F7A3BD8-5300-4E6E-B7F2-CC83C5846C3F}"/>
    <hyperlink ref="I1737" r:id="rId14038" xr:uid="{44B4387D-DB3C-4D9A-99F9-B97FC8A6F1D5}"/>
    <hyperlink ref="I1738" r:id="rId14039" xr:uid="{50C859F8-EDCA-46A8-A6EC-EE8A752D3871}"/>
    <hyperlink ref="I1739" r:id="rId14040" xr:uid="{D5C6BEC0-F48F-4408-9325-0F21E4466C85}"/>
    <hyperlink ref="I1740" r:id="rId14041" xr:uid="{34774B11-58A3-4177-A185-01249FC4E87B}"/>
    <hyperlink ref="I1741" r:id="rId14042" xr:uid="{5B6B1B65-C09B-4A87-A1C8-9628526B333F}"/>
    <hyperlink ref="I1742" r:id="rId14043" xr:uid="{77B8E631-F92B-434E-A1EB-A4CC3F6099CB}"/>
    <hyperlink ref="I1743" r:id="rId14044" xr:uid="{C56D65CB-E572-41AB-8B39-F3CA2C8654EC}"/>
    <hyperlink ref="I1744" r:id="rId14045" xr:uid="{C35DB887-01CC-4DD5-A16C-64A4A13FDE12}"/>
    <hyperlink ref="I1745" r:id="rId14046" xr:uid="{C35E0522-3374-4BAA-BD40-EAFF09BCE6E4}"/>
    <hyperlink ref="I1688" r:id="rId14047" xr:uid="{DDC78C92-68D5-4841-A150-689A8B884552}"/>
    <hyperlink ref="I1689" r:id="rId14048" xr:uid="{1E488B9A-8F93-4191-9C17-1E21544CF289}"/>
    <hyperlink ref="I1690" r:id="rId14049" xr:uid="{9ECCC0CF-DC17-4648-921C-7DAADFC1A98B}"/>
    <hyperlink ref="I1691" r:id="rId14050" xr:uid="{C0DA98A1-D146-4669-9C2C-5D3166EFED5E}"/>
    <hyperlink ref="I1692" r:id="rId14051" xr:uid="{A9CF6A53-C63E-4DF7-BDD8-283846EFC753}"/>
    <hyperlink ref="I1693" r:id="rId14052" xr:uid="{1A983E8A-BB21-46F2-BA55-BD9251509BF2}"/>
    <hyperlink ref="I1694" r:id="rId14053" xr:uid="{674204FD-4C8C-4C41-869E-5EC0247CA3D1}"/>
    <hyperlink ref="I1695" r:id="rId14054" xr:uid="{08C4842A-8F73-4B39-A734-C2D422C4BB59}"/>
    <hyperlink ref="I1696" r:id="rId14055" xr:uid="{302F112F-798C-42B3-B987-CD7A026033D2}"/>
    <hyperlink ref="I1697" r:id="rId14056" xr:uid="{E48CFC68-110B-4C2A-A12D-7A202D242D3D}"/>
    <hyperlink ref="I1698" r:id="rId14057" xr:uid="{0FA6719C-8612-44CD-91BA-4D08445D0F39}"/>
    <hyperlink ref="I1699" r:id="rId14058" xr:uid="{9ED0FA44-66C3-423B-B69B-204D41FF8BEA}"/>
    <hyperlink ref="I1700" r:id="rId14059" xr:uid="{349CC04A-6FE1-4322-835E-10A9C99B9D7E}"/>
    <hyperlink ref="I1701" r:id="rId14060" xr:uid="{9062B374-48F3-4B5F-83BF-25A03E4E4B55}"/>
    <hyperlink ref="I1702" r:id="rId14061" xr:uid="{D7E73859-11CA-473E-B1B2-075F3987D29D}"/>
    <hyperlink ref="I1703" r:id="rId14062" xr:uid="{218CABBE-59E3-477A-9264-13249A8CB6EA}"/>
    <hyperlink ref="I1704" r:id="rId14063" xr:uid="{EE44A6F1-9E41-4F97-BB54-724FC2EBC999}"/>
    <hyperlink ref="I1705" r:id="rId14064" xr:uid="{AD9620C4-C017-41AC-92DB-B3688CD4E6B0}"/>
    <hyperlink ref="I1706" r:id="rId14065" xr:uid="{95A4F34E-3520-46CC-8574-825A2F51E65D}"/>
    <hyperlink ref="I1707" r:id="rId14066" xr:uid="{74EB1FA6-2C5E-4C9F-8457-8C547079D531}"/>
    <hyperlink ref="I1708" r:id="rId14067" xr:uid="{8B4F2080-31F3-430C-914F-A0BE93582613}"/>
    <hyperlink ref="I1709" r:id="rId14068" xr:uid="{69F3111C-D578-4A08-B9EF-60764A928D94}"/>
    <hyperlink ref="I1710" r:id="rId14069" xr:uid="{3CB3286B-49A6-4D40-9F64-7B578DF03A85}"/>
    <hyperlink ref="I1680" r:id="rId14070" xr:uid="{62001191-C766-412F-BD75-912B8AC72B7F}"/>
    <hyperlink ref="I1681" r:id="rId14071" xr:uid="{306B2996-51F1-435C-917C-A07CB467C7B2}"/>
    <hyperlink ref="I1682" r:id="rId14072" xr:uid="{9A71D518-0D09-4A01-87A8-C3493F04346A}"/>
    <hyperlink ref="I1683" r:id="rId14073" xr:uid="{47182CCC-4954-4048-954E-5C715D159B22}"/>
    <hyperlink ref="I1684" r:id="rId14074" xr:uid="{B34F9FFB-BE85-4D69-A377-A828087735E7}"/>
    <hyperlink ref="I1685" r:id="rId14075" xr:uid="{5AC76350-790E-4B31-9115-C5389C162F1F}"/>
    <hyperlink ref="I1686" r:id="rId14076" xr:uid="{F30979D9-DC67-4066-BBEE-14DFB6A3A916}"/>
    <hyperlink ref="I1687" r:id="rId14077" xr:uid="{F176637D-60E3-4C90-B94E-A5DA7A4ADEEF}"/>
    <hyperlink ref="I1640" r:id="rId14078" xr:uid="{79683139-A7B9-43F0-A58F-B871B8C539DB}"/>
    <hyperlink ref="I1641" r:id="rId14079" xr:uid="{2FBB8DEA-702B-45D0-A3C3-599C5BF51500}"/>
    <hyperlink ref="I1642" r:id="rId14080" xr:uid="{708472EB-3282-4EEC-91F6-74E521348A6E}"/>
    <hyperlink ref="I1643" r:id="rId14081" xr:uid="{4C27DC80-3141-47D9-B54F-C82F63B03446}"/>
    <hyperlink ref="I1644" r:id="rId14082" xr:uid="{C763AD97-C92F-4092-96EE-F6BE0272D4F6}"/>
    <hyperlink ref="I1645" r:id="rId14083" xr:uid="{C5C6B93A-5784-4F67-B1A6-3443D96A2107}"/>
    <hyperlink ref="I1646" r:id="rId14084" xr:uid="{10C99272-5903-4DC8-8935-5CBC00C62013}"/>
    <hyperlink ref="I1647" r:id="rId14085" xr:uid="{8CB92F98-D744-4EF5-9E7B-52425A80C7B4}"/>
    <hyperlink ref="I1648" r:id="rId14086" xr:uid="{CA076189-8A02-4918-97BE-32653C5B1C8F}"/>
    <hyperlink ref="I1649" r:id="rId14087" xr:uid="{E830D3B7-8649-4D69-8FBC-881431914C77}"/>
    <hyperlink ref="I1650" r:id="rId14088" xr:uid="{2615BBFC-7639-4558-BE41-FA68A9E2376C}"/>
    <hyperlink ref="I1651" r:id="rId14089" xr:uid="{2374BC75-AA18-4FF1-BCBA-459FB44A62D4}"/>
    <hyperlink ref="I1652" r:id="rId14090" xr:uid="{29C787CE-720E-4398-8132-1E16D08C2189}"/>
    <hyperlink ref="I1653" r:id="rId14091" xr:uid="{D52BE448-1EBE-4E6B-939D-C1436519995B}"/>
    <hyperlink ref="I1654" r:id="rId14092" xr:uid="{777998D1-400E-4B05-8CB2-8DE29D64859A}"/>
    <hyperlink ref="I1655" r:id="rId14093" xr:uid="{6849915B-1ACC-4F9D-B477-61620B8E91E7}"/>
    <hyperlink ref="I1656" r:id="rId14094" xr:uid="{4E175F4D-133B-4B95-BC60-DC9E3F258196}"/>
    <hyperlink ref="I1657" r:id="rId14095" xr:uid="{67AB26C9-6C49-4ECB-BDAF-B3D36676550C}"/>
    <hyperlink ref="I1658" r:id="rId14096" xr:uid="{A6AAED6B-B39C-49A9-AD91-5F415FB99ACF}"/>
    <hyperlink ref="I1659" r:id="rId14097" xr:uid="{13CBBCD4-4716-4D56-B8E9-61463ABD2E58}"/>
    <hyperlink ref="I1660" r:id="rId14098" xr:uid="{0C2D168F-6399-46B8-8D99-9EB4966BAFD9}"/>
    <hyperlink ref="I1661" r:id="rId14099" xr:uid="{DAAE61A7-E37E-4E66-A1E8-9EC1312398B2}"/>
    <hyperlink ref="I1662" r:id="rId14100" xr:uid="{EA9FDF99-F983-4130-9B88-170AA44BAEAC}"/>
    <hyperlink ref="I1663" r:id="rId14101" xr:uid="{CFE28074-6631-4C36-A689-8A716822E011}"/>
    <hyperlink ref="I1664" r:id="rId14102" xr:uid="{7C33E9EB-982B-435F-80D7-3A8D32EAD059}"/>
    <hyperlink ref="I1665" r:id="rId14103" xr:uid="{E0B6C690-90F4-4F31-82F1-7E6547AF214B}"/>
    <hyperlink ref="I1666" r:id="rId14104" xr:uid="{882117E3-1A37-4C82-B4BA-8B593A03ADF7}"/>
    <hyperlink ref="I1667" r:id="rId14105" xr:uid="{FA89F825-7EEF-4447-BD0B-6860FE3D7A40}"/>
    <hyperlink ref="I1668" r:id="rId14106" xr:uid="{0D0274BC-A244-4AE5-B482-D0875FF94235}"/>
    <hyperlink ref="I1669" r:id="rId14107" xr:uid="{78D2085B-17DE-435D-8EFE-C8576BA043CF}"/>
    <hyperlink ref="I1670" r:id="rId14108" xr:uid="{3A4765F1-6602-45EB-A11F-560421E98E8A}"/>
    <hyperlink ref="I1671" r:id="rId14109" xr:uid="{1F959203-0F18-4D3E-AA3F-55B4F3EBFC0D}"/>
    <hyperlink ref="I1672" r:id="rId14110" xr:uid="{C28D1313-A54F-4C44-BEE4-4B7F1F951FC5}"/>
    <hyperlink ref="I1673" r:id="rId14111" xr:uid="{3F7F0229-ED51-4A10-8F58-2954EA0D9173}"/>
    <hyperlink ref="I1674" r:id="rId14112" xr:uid="{C7B9DDF0-ACE7-4C07-8EB4-7D471B4F45FF}"/>
    <hyperlink ref="I1675" r:id="rId14113" xr:uid="{32BFC018-3282-4E0D-BFC6-4427E30F783B}"/>
    <hyperlink ref="I1676" r:id="rId14114" xr:uid="{757A80D9-301C-4E4A-ABED-244C1ABEDB5A}"/>
    <hyperlink ref="I1677" r:id="rId14115" xr:uid="{243045EC-5F43-48DC-9DC8-7A1601FBE800}"/>
    <hyperlink ref="I1678" r:id="rId14116" xr:uid="{BABB0FA8-2B86-4CF3-A97B-8654B3A908E1}"/>
    <hyperlink ref="I1679" r:id="rId14117" xr:uid="{6C35BC71-EB28-42AB-8E9F-61C74B2B4AAD}"/>
    <hyperlink ref="I1582" r:id="rId14118" xr:uid="{AFCFAE02-B832-4071-83C4-B06B93ABB490}"/>
    <hyperlink ref="I1583" r:id="rId14119" xr:uid="{C42F02BB-62E9-4BBE-B0B7-D63086968995}"/>
    <hyperlink ref="I1584" r:id="rId14120" xr:uid="{0F73F077-4896-481D-BBCF-26A13390C962}"/>
    <hyperlink ref="I1585" r:id="rId14121" xr:uid="{0D07DC79-FE71-41DC-80AF-1D675364F2FB}"/>
    <hyperlink ref="I1586" r:id="rId14122" xr:uid="{B9D83C21-8D65-4306-A066-92F5B8D6D3CB}"/>
    <hyperlink ref="I1587" r:id="rId14123" xr:uid="{2AA2C4F4-F633-4C08-83A3-275B5B274358}"/>
    <hyperlink ref="I1588" r:id="rId14124" xr:uid="{90DED799-BF8A-4CBA-80CB-F0AD28230809}"/>
    <hyperlink ref="I1589" r:id="rId14125" xr:uid="{76511868-E3B2-4B3D-8B23-A66E6E2E5CCA}"/>
    <hyperlink ref="I1590" r:id="rId14126" xr:uid="{BBBD5ED9-DDE7-451D-8335-E81BCEBA7757}"/>
    <hyperlink ref="I1591" r:id="rId14127" xr:uid="{816551F4-6CE3-40B0-BC00-A627E409054D}"/>
    <hyperlink ref="I1592" r:id="rId14128" xr:uid="{BC319648-7364-4B92-A778-2AF2A6FC1B9D}"/>
    <hyperlink ref="I1593" r:id="rId14129" xr:uid="{D1FCAC19-1D2A-43DA-A8C4-FA27BB8F21C4}"/>
    <hyperlink ref="I1594" r:id="rId14130" xr:uid="{EBC1D5E0-8F49-4DD6-AC86-23D3C678B28F}"/>
    <hyperlink ref="I1595" r:id="rId14131" xr:uid="{ECFB4B8A-3B33-4A8B-A1E0-277070C2C38E}"/>
    <hyperlink ref="I1596" r:id="rId14132" xr:uid="{B1A82DE1-FDFB-4246-8549-A1342F03B9D6}"/>
    <hyperlink ref="I1597" r:id="rId14133" xr:uid="{5E81E917-5368-4E40-9ECA-3A7A7FD7112A}"/>
    <hyperlink ref="I1598" r:id="rId14134" xr:uid="{32D74148-D424-428E-817C-5B9907861BA0}"/>
    <hyperlink ref="I1599" r:id="rId14135" xr:uid="{33B13578-60D4-4124-8478-294A95819315}"/>
    <hyperlink ref="I1600" r:id="rId14136" xr:uid="{3CFB8CF8-2293-4184-B936-F05AFA8D2B58}"/>
    <hyperlink ref="I1601" r:id="rId14137" xr:uid="{80A73FFE-6E82-4F15-BC96-50FF8098290B}"/>
    <hyperlink ref="I1602" r:id="rId14138" xr:uid="{C79DF77B-194C-4980-A60A-51F849E17B74}"/>
    <hyperlink ref="I1603" r:id="rId14139" xr:uid="{EB6A4427-B817-4462-BAFB-DE65490DBBDE}"/>
    <hyperlink ref="I1604" r:id="rId14140" xr:uid="{448D4745-7E0F-43AB-9D5A-EA26497F142C}"/>
    <hyperlink ref="I1605" r:id="rId14141" xr:uid="{2C14DF20-9E85-44B3-94D0-2AFFD32667A8}"/>
    <hyperlink ref="I1606" r:id="rId14142" xr:uid="{5CE18DFE-45E3-42F6-8C9C-F4F3BDB7E562}"/>
    <hyperlink ref="I1607" r:id="rId14143" xr:uid="{6B94134E-79BC-4C67-A108-15B8D55742E9}"/>
    <hyperlink ref="I1608" r:id="rId14144" xr:uid="{2611439F-1DF0-46AA-B3A8-DEE1E5BD8512}"/>
    <hyperlink ref="I1609" r:id="rId14145" xr:uid="{C5A2110D-569A-406A-A164-ECF1C35AD1F0}"/>
    <hyperlink ref="I1610" r:id="rId14146" xr:uid="{C9E926BF-E51A-4223-8CFC-B2FC5289053A}"/>
    <hyperlink ref="I1611" r:id="rId14147" xr:uid="{8B4473AE-D08B-49FC-9B49-39AB5ED9E5E4}"/>
    <hyperlink ref="I1612" r:id="rId14148" xr:uid="{E5CCB3BA-647D-49DA-9B74-AD1D9FB63687}"/>
    <hyperlink ref="I1613" r:id="rId14149" xr:uid="{FAD6A881-449B-49B9-ABB6-73AF4313F287}"/>
    <hyperlink ref="I1614" r:id="rId14150" xr:uid="{AF7D96E0-0C9F-4BEE-AC1F-7305FA408A9C}"/>
    <hyperlink ref="I1615" r:id="rId14151" xr:uid="{5FBDFF9F-0BE1-4BF9-8DEF-139A7FDC3DC5}"/>
    <hyperlink ref="I1616" r:id="rId14152" xr:uid="{DC4D2AD3-C19F-486E-AACA-34A85348AB0B}"/>
    <hyperlink ref="I1617" r:id="rId14153" xr:uid="{EA3CD8A3-E493-4F3D-832F-7B775D24ADB3}"/>
    <hyperlink ref="I1618" r:id="rId14154" xr:uid="{D9ACFAEF-F27D-40B3-B141-E249913425C0}"/>
    <hyperlink ref="I1619" r:id="rId14155" xr:uid="{A38B5ABC-D00E-41F6-BFC8-ABAD4405EEC5}"/>
    <hyperlink ref="I1620" r:id="rId14156" xr:uid="{DF34FF57-28D1-4B0F-BD74-C90B8679C2F0}"/>
    <hyperlink ref="I1621" r:id="rId14157" xr:uid="{2230747B-2029-4230-8EBC-F1C9AC1CE21D}"/>
    <hyperlink ref="I1622" r:id="rId14158" xr:uid="{85D7C3D7-B128-43A6-935C-61522A95C8E4}"/>
    <hyperlink ref="I1623" r:id="rId14159" xr:uid="{6479A3AD-FF41-410F-ADEA-75EBB46F6D1A}"/>
    <hyperlink ref="I1624" r:id="rId14160" xr:uid="{DF1CC093-BB56-4174-8C75-45C9A805C8C5}"/>
    <hyperlink ref="I1625" r:id="rId14161" xr:uid="{1979523D-F959-4FED-867F-108EE23C3DD6}"/>
    <hyperlink ref="I1626" r:id="rId14162" xr:uid="{DE11C712-51AD-4878-B6B1-F52C64351744}"/>
    <hyperlink ref="I1627" r:id="rId14163" xr:uid="{33EF369D-A9AC-4DFE-B2CD-40987DD89B0D}"/>
    <hyperlink ref="I1628" r:id="rId14164" xr:uid="{DCFF62D0-5DB7-4D01-86E8-7EF32CD1642C}"/>
    <hyperlink ref="I1629" r:id="rId14165" xr:uid="{6D5007DF-A59B-418A-9C83-322075A0F6B1}"/>
    <hyperlink ref="I1630" r:id="rId14166" xr:uid="{4B63D276-1500-405F-9BA8-E67517FBC8E9}"/>
    <hyperlink ref="I1631" r:id="rId14167" xr:uid="{4945A999-627F-4983-989A-E7DC5BD2C3A5}"/>
    <hyperlink ref="I1632" r:id="rId14168" xr:uid="{F1E00E1B-01B1-4B8B-A373-2E8B28566285}"/>
    <hyperlink ref="I1633" r:id="rId14169" xr:uid="{B55F2F23-39F3-4F98-BA0F-C0A96D91BA77}"/>
    <hyperlink ref="I1634" r:id="rId14170" xr:uid="{DCF2A3D5-BA62-4D87-A385-8CB35A3413C6}"/>
    <hyperlink ref="I1635" r:id="rId14171" xr:uid="{AE2D909C-DB53-4CD4-994D-F18C96813CF4}"/>
    <hyperlink ref="I1636" r:id="rId14172" xr:uid="{85EEC77C-C02B-4169-B097-21C44E6C0895}"/>
    <hyperlink ref="I1637" r:id="rId14173" xr:uid="{89A69712-1C83-409A-9BDF-81EC7D46B228}"/>
    <hyperlink ref="I1638" r:id="rId14174" xr:uid="{2FEA7CE3-3A99-4843-A7B7-EEC012E2662B}"/>
    <hyperlink ref="I1639" r:id="rId14175" xr:uid="{1A4B4C30-DB06-4D47-8172-C8C667F9FD5C}"/>
    <hyperlink ref="I1538" r:id="rId14176" xr:uid="{CF9F6A35-356C-426B-B442-78718FD1B159}"/>
    <hyperlink ref="I1539" r:id="rId14177" xr:uid="{A7D77217-2E8F-4351-9F43-97AF20B153EC}"/>
    <hyperlink ref="I1540" r:id="rId14178" xr:uid="{23A612E4-0018-4D18-A001-2B2B31AD2B6E}"/>
    <hyperlink ref="I1541" r:id="rId14179" xr:uid="{86388DD5-A5CE-407D-BEE4-DA0C81A4B0E8}"/>
    <hyperlink ref="I1542" r:id="rId14180" xr:uid="{B728312D-0A64-4031-AE2C-AACE6EB7227F}"/>
    <hyperlink ref="I1543" r:id="rId14181" xr:uid="{CC716B91-629E-4FDB-B79F-9DD719B3DA24}"/>
    <hyperlink ref="I1544" r:id="rId14182" xr:uid="{3FC718B7-C5A4-4EFF-B032-AD7140FDCF55}"/>
    <hyperlink ref="I1545" r:id="rId14183" xr:uid="{F9DCF590-80FD-4F70-85BF-F04AB834F200}"/>
    <hyperlink ref="I1546" r:id="rId14184" xr:uid="{4FAEF30A-79F1-4BE5-87A4-B5D3D5B8BBED}"/>
    <hyperlink ref="I1547" r:id="rId14185" xr:uid="{C72CAE9F-86F6-4D97-8007-AC3B86C2077A}"/>
    <hyperlink ref="I1548" r:id="rId14186" xr:uid="{916722F2-E409-4312-B161-5081C8692B77}"/>
    <hyperlink ref="I1549" r:id="rId14187" xr:uid="{E1F14C69-8C0A-4FF7-B6F4-131F27A897CD}"/>
    <hyperlink ref="I1550" r:id="rId14188" xr:uid="{7E37EFE7-8702-4AF5-8ABE-2C2FB972866D}"/>
    <hyperlink ref="I1551" r:id="rId14189" xr:uid="{36AA0A50-9017-47DC-96A3-27BD77AC254B}"/>
    <hyperlink ref="I1552" r:id="rId14190" xr:uid="{66B3954F-80F3-4D2F-BEAE-C17A6DC54FF7}"/>
    <hyperlink ref="I1553" r:id="rId14191" xr:uid="{2A97ABBE-AD40-4C32-8F18-DD50FB92E811}"/>
    <hyperlink ref="I1554" r:id="rId14192" xr:uid="{C9B0BD01-B8F5-4231-9684-85943E744701}"/>
    <hyperlink ref="I1555" r:id="rId14193" xr:uid="{3AC04320-783E-4C6C-A716-8FD791A4596F}"/>
    <hyperlink ref="I1556" r:id="rId14194" xr:uid="{A40AA2F8-74E6-4FD2-A908-391374327A62}"/>
    <hyperlink ref="I1557" r:id="rId14195" xr:uid="{D4AE99B5-EFF9-40D4-9885-CAFF6F3CB5A7}"/>
    <hyperlink ref="I1558" r:id="rId14196" xr:uid="{A0E2AA75-5165-491F-8218-806DFE711C93}"/>
    <hyperlink ref="I1559" r:id="rId14197" xr:uid="{A128B50B-8E07-44A5-B9C2-2762D233D273}"/>
    <hyperlink ref="I1560" r:id="rId14198" xr:uid="{59E01230-192B-4D75-8874-876CA4D54CA4}"/>
    <hyperlink ref="I1561" r:id="rId14199" xr:uid="{0E496E0F-423F-4FC0-9CE7-F6C49D45B462}"/>
    <hyperlink ref="I1562" r:id="rId14200" xr:uid="{2F981B6D-06AE-407C-9CA6-369C24A122B2}"/>
    <hyperlink ref="I1563" r:id="rId14201" xr:uid="{093DBFFE-58BE-4C95-8E41-973CBCC22EDD}"/>
    <hyperlink ref="I1564" r:id="rId14202" xr:uid="{011732CF-7356-4FFC-ADEC-E417EAA230D5}"/>
    <hyperlink ref="I1565" r:id="rId14203" xr:uid="{59BCB6B9-916B-4B92-BFF1-396E4EEEE1EC}"/>
    <hyperlink ref="I1566" r:id="rId14204" xr:uid="{2D093278-D9BC-4BBB-B3E0-BE11DB9A2940}"/>
    <hyperlink ref="I1567" r:id="rId14205" xr:uid="{85587A75-3340-4DDA-B89D-4C9DF308AE49}"/>
    <hyperlink ref="I1568" r:id="rId14206" xr:uid="{29398D47-2D8A-4C4A-8722-3FC4E4043999}"/>
    <hyperlink ref="I1569" r:id="rId14207" xr:uid="{ED8D1BE8-69F1-4760-A453-3578AA0173CF}"/>
    <hyperlink ref="I1570" r:id="rId14208" xr:uid="{4720D4C2-7988-4ACC-AC32-E29D276B56BF}"/>
    <hyperlink ref="I1571" r:id="rId14209" xr:uid="{F70FAA0C-E137-49C1-8EBF-BC456A48937B}"/>
    <hyperlink ref="I1572" r:id="rId14210" xr:uid="{9C98841B-80D6-4F32-829B-6F4530FF5CAA}"/>
    <hyperlink ref="I1573" r:id="rId14211" xr:uid="{3CDD8315-25B9-45EE-B91C-674701783697}"/>
    <hyperlink ref="I1574" r:id="rId14212" xr:uid="{EF37C592-116F-4F49-9F7D-008195799667}"/>
    <hyperlink ref="I1575" r:id="rId14213" xr:uid="{13E1025D-C6E2-4957-A722-60DB332A79F0}"/>
    <hyperlink ref="I1576" r:id="rId14214" xr:uid="{953C7A2F-8B51-401E-B62A-83E26C2EDEF9}"/>
    <hyperlink ref="I1577" r:id="rId14215" xr:uid="{0605E1AD-CAA4-421F-93A9-45618F89B0C4}"/>
    <hyperlink ref="I1578" r:id="rId14216" xr:uid="{5316252A-6351-4666-B634-8C4870CA381F}"/>
    <hyperlink ref="I1579" r:id="rId14217" xr:uid="{DBA680BF-CD0D-4771-85FA-9243DFAA5099}"/>
    <hyperlink ref="I1580" r:id="rId14218" xr:uid="{3032CDC7-9FA0-47DD-90B9-372F894703C5}"/>
    <hyperlink ref="I1581" r:id="rId14219" xr:uid="{8D22A471-C793-4AA6-991A-35655581D0A9}"/>
    <hyperlink ref="I1497" r:id="rId14220" xr:uid="{5DE4C2EB-E9DD-4A89-9E1B-4E2EE6F772F8}"/>
    <hyperlink ref="I1498" r:id="rId14221" xr:uid="{019C807A-1E04-4962-AFF9-FADA67FE14E4}"/>
    <hyperlink ref="I1499" r:id="rId14222" xr:uid="{4413F2D1-39D3-4482-BD8B-C9161B5B0B1F}"/>
    <hyperlink ref="I1500" r:id="rId14223" xr:uid="{9E3BDF1E-CCD2-41C4-AD05-D3564006BBAD}"/>
    <hyperlink ref="I1501" r:id="rId14224" xr:uid="{D071BE24-ECBD-4810-B6A9-4F226267805D}"/>
    <hyperlink ref="I1502" r:id="rId14225" xr:uid="{8629A15F-AD06-4AEA-8215-80B6FD95A5B1}"/>
    <hyperlink ref="I1503" r:id="rId14226" xr:uid="{3180DCAB-027A-4C56-880C-2107E1677735}"/>
    <hyperlink ref="I1504" r:id="rId14227" xr:uid="{F2F6F3F6-05CC-452E-847D-14017DF7C049}"/>
    <hyperlink ref="I1505" r:id="rId14228" xr:uid="{48DF421A-D40A-4565-9497-2130B7ED915E}"/>
    <hyperlink ref="I1506" r:id="rId14229" xr:uid="{582CEC9F-267C-47F7-83C1-A1824773CD82}"/>
    <hyperlink ref="I1507" r:id="rId14230" xr:uid="{33B48098-632C-41A7-819C-5492F5A35968}"/>
    <hyperlink ref="I1508" r:id="rId14231" xr:uid="{9D5EAF43-4A85-4F28-AD21-D4A9B9EA35A4}"/>
    <hyperlink ref="I1509" r:id="rId14232" xr:uid="{99667493-37FE-4096-BCA5-6DA1B2B1F224}"/>
    <hyperlink ref="I1510" r:id="rId14233" xr:uid="{DD6E8843-48F5-444F-AEC8-2C87908519F9}"/>
    <hyperlink ref="I1511" r:id="rId14234" xr:uid="{C1302102-175F-4D86-AADA-9A7F7C688A65}"/>
    <hyperlink ref="I1512" r:id="rId14235" xr:uid="{B4BB6E75-DB91-421A-A5EF-F8778EA8AA98}"/>
    <hyperlink ref="I1513" r:id="rId14236" xr:uid="{4C124A07-C379-43D9-9592-2C9751BA5CD9}"/>
    <hyperlink ref="I1514" r:id="rId14237" xr:uid="{BF0F392A-8051-4EED-8750-453FC6B098A0}"/>
    <hyperlink ref="I1515" r:id="rId14238" xr:uid="{60664C1D-3110-408A-A84E-47F30C2F8757}"/>
    <hyperlink ref="I1516" r:id="rId14239" xr:uid="{32C2D530-5540-470D-82BC-1F2031477A01}"/>
    <hyperlink ref="I1517" r:id="rId14240" xr:uid="{290368AB-6C84-4C1A-BD48-B8ED2A542F26}"/>
    <hyperlink ref="I1518" r:id="rId14241" xr:uid="{85A870C1-05B5-4520-B14E-15D8B331EEB1}"/>
    <hyperlink ref="I1519" r:id="rId14242" xr:uid="{2DEF9F20-5351-4CEE-A11A-B7D89AD7EE35}"/>
    <hyperlink ref="I1520" r:id="rId14243" xr:uid="{3591377B-2718-439A-B49F-591E9F79A7F4}"/>
    <hyperlink ref="I1521" r:id="rId14244" xr:uid="{998D1ACA-CFD6-4C19-AC77-416680DBEA34}"/>
    <hyperlink ref="I1522" r:id="rId14245" xr:uid="{95D91374-C141-45D8-905C-1960FB177E95}"/>
    <hyperlink ref="I1523" r:id="rId14246" xr:uid="{3BE8F078-E812-41FD-9C7F-8823D63777EC}"/>
    <hyperlink ref="I1524" r:id="rId14247" xr:uid="{2AC1068D-335F-4DF0-B5F2-1C664B518ECF}"/>
    <hyperlink ref="I1525" r:id="rId14248" xr:uid="{741C0A16-A959-4B57-928A-3DF32910A48F}"/>
    <hyperlink ref="I1526" r:id="rId14249" xr:uid="{B02630EA-2776-4D9F-931A-BFCA42CE1CDA}"/>
    <hyperlink ref="I1527" r:id="rId14250" xr:uid="{474C120D-34BE-42CC-8DC5-8424E5906E5D}"/>
    <hyperlink ref="I1528" r:id="rId14251" xr:uid="{794F6809-4364-4C92-AF7C-80C915F9D5FA}"/>
    <hyperlink ref="I1529" r:id="rId14252" xr:uid="{0E1C6380-FD64-4560-B797-E583D3EE8B01}"/>
    <hyperlink ref="I1530" r:id="rId14253" xr:uid="{BE81B610-8C86-4B15-9FEB-D408D9C727D4}"/>
    <hyperlink ref="I1531" r:id="rId14254" xr:uid="{F2756CF2-AAFF-4312-9DB8-954DB1C009FD}"/>
    <hyperlink ref="I1532" r:id="rId14255" xr:uid="{410C18D8-5A75-429C-A0BF-4C9638803B13}"/>
    <hyperlink ref="I1533" r:id="rId14256" xr:uid="{DA471816-BC2F-447D-A8FB-FF69416B4C59}"/>
    <hyperlink ref="I1534" r:id="rId14257" xr:uid="{2BB96681-6794-4D59-8B12-A39FFDAFA117}"/>
    <hyperlink ref="I1535" r:id="rId14258" xr:uid="{257125D5-8BFF-4C2F-81DE-12C641BA099E}"/>
    <hyperlink ref="I1536" r:id="rId14259" xr:uid="{063A3E7E-D4DF-4D72-B271-FB435465542D}"/>
    <hyperlink ref="I1537" r:id="rId14260" xr:uid="{845ED927-4F7A-4858-9DCB-949C7A8CA1B1}"/>
    <hyperlink ref="I1483" r:id="rId14261" xr:uid="{AD2BA937-D4BA-4EFF-8727-F000DE8EEF0F}"/>
    <hyperlink ref="I1484" r:id="rId14262" xr:uid="{6480D858-A479-4477-964C-EC1FF9584BE3}"/>
    <hyperlink ref="I1485" r:id="rId14263" xr:uid="{5CF57ED8-9CF9-41AB-9DB3-5A368520D471}"/>
    <hyperlink ref="I1486" r:id="rId14264" xr:uid="{E97632B5-CA9F-4D91-9D6F-230D2CBF2229}"/>
    <hyperlink ref="I1487" r:id="rId14265" xr:uid="{49B4D5CA-791B-49FF-A190-161BA095BF6C}"/>
    <hyperlink ref="I1488" r:id="rId14266" xr:uid="{596CA840-A97A-48BA-B830-0B985F739010}"/>
    <hyperlink ref="I1489" r:id="rId14267" xr:uid="{E7831686-C114-44B1-B297-857A40B98093}"/>
    <hyperlink ref="I1490" r:id="rId14268" xr:uid="{0CAA590D-32BC-4C07-88CB-B96E1F0BF1A8}"/>
    <hyperlink ref="I1491" r:id="rId14269" xr:uid="{9A810C48-79F0-4EF5-873C-28EB4D40D68A}"/>
    <hyperlink ref="I1492" r:id="rId14270" xr:uid="{96C6092B-1CE0-405B-8A8F-52AA9357AD28}"/>
    <hyperlink ref="I1493" r:id="rId14271" xr:uid="{EA36E2C3-3256-411E-B01D-7770ECC03F59}"/>
    <hyperlink ref="I1494" r:id="rId14272" xr:uid="{D7BBD7C1-389A-4BE3-B360-AEF9731660B9}"/>
    <hyperlink ref="I1495" r:id="rId14273" xr:uid="{7DC171C8-A38A-4387-A988-C2166619BD3C}"/>
    <hyperlink ref="I1496" r:id="rId14274" xr:uid="{FFA48E0E-783A-4326-9011-36C4E5A88D55}"/>
    <hyperlink ref="I1431" r:id="rId14275" xr:uid="{C662B6F0-A7CD-4AFE-91F3-78C7DBBD2C27}"/>
    <hyperlink ref="I1432" r:id="rId14276" xr:uid="{63942B07-0F03-405C-81D5-E7174E4C134D}"/>
    <hyperlink ref="I1433" r:id="rId14277" xr:uid="{41ACEA13-35EB-42E0-9796-B12170B732CF}"/>
    <hyperlink ref="I1434" r:id="rId14278" xr:uid="{57AC4FB1-A20C-423B-B04A-686DE7D4FC2C}"/>
    <hyperlink ref="I1435" r:id="rId14279" xr:uid="{C83F9A97-EABE-41AC-BE84-D2E617F7D3D7}"/>
    <hyperlink ref="I1436" r:id="rId14280" xr:uid="{76F8A6DD-F261-4665-BE8C-AB42E29E8FC6}"/>
    <hyperlink ref="I1437" r:id="rId14281" xr:uid="{75DE695B-3413-4829-8FF9-381AF1DF33AE}"/>
    <hyperlink ref="I1438" r:id="rId14282" xr:uid="{B3FAB306-44EE-4EC2-8871-2CFFE008D04D}"/>
    <hyperlink ref="I1439" r:id="rId14283" xr:uid="{A46665FD-30FB-4EA2-BFDF-F176C15CFE65}"/>
    <hyperlink ref="I1440" r:id="rId14284" xr:uid="{015A1434-CA57-4069-9CA3-1FE0E74509EA}"/>
    <hyperlink ref="I1441" r:id="rId14285" xr:uid="{9E6CEE6E-0F66-4CFB-9F5D-0E5292EB2AA9}"/>
    <hyperlink ref="I1442" r:id="rId14286" xr:uid="{F3FE345B-5AF1-4598-81CA-FCFB0C9307F7}"/>
    <hyperlink ref="I1443" r:id="rId14287" xr:uid="{F8441A07-C202-40A1-ACA0-3AFDFC94EB2B}"/>
    <hyperlink ref="I1444" r:id="rId14288" xr:uid="{40CAE056-875D-4780-A543-7E6302A3110F}"/>
    <hyperlink ref="I1445" r:id="rId14289" xr:uid="{E8745F9B-FEA4-4FC6-BFEB-FB75E9A676CA}"/>
    <hyperlink ref="I1446" r:id="rId14290" xr:uid="{907F3F5D-FFD6-4243-B156-3245F21CE1D7}"/>
    <hyperlink ref="I1447" r:id="rId14291" xr:uid="{3F998BC7-E7C4-49E2-8733-CB4B27F8615A}"/>
    <hyperlink ref="I1448" r:id="rId14292" xr:uid="{1DA097F5-E58A-4D9E-A41A-B2D12A2FB67C}"/>
    <hyperlink ref="I1449" r:id="rId14293" xr:uid="{29A7F8CE-F09D-463A-B6B0-1E3DBF75F724}"/>
    <hyperlink ref="I1450" r:id="rId14294" xr:uid="{02E4E9B7-DD28-4425-A5D1-2F78BA48CBD8}"/>
    <hyperlink ref="I1451" r:id="rId14295" xr:uid="{E50CC474-88EE-4B1B-8D4C-93B9C32957F2}"/>
    <hyperlink ref="I1452" r:id="rId14296" xr:uid="{94CA6980-67B0-44AF-B8AE-FA3AEEF122FF}"/>
    <hyperlink ref="I1453" r:id="rId14297" xr:uid="{29788F53-48D0-454E-9560-F2CA288CDB72}"/>
    <hyperlink ref="I1454" r:id="rId14298" xr:uid="{CDA1983F-47B9-4C35-9834-449A0810CE2E}"/>
    <hyperlink ref="I1455" r:id="rId14299" xr:uid="{D16AE6DD-3975-453E-B941-6DD8316DA615}"/>
    <hyperlink ref="I1456" r:id="rId14300" xr:uid="{8101DDBC-6CDA-4FEB-B01F-D25605550F8D}"/>
    <hyperlink ref="I1457" r:id="rId14301" xr:uid="{5C55A1FF-ADE7-4838-810E-C4CFE58175CE}"/>
    <hyperlink ref="I1458" r:id="rId14302" xr:uid="{43AB3B22-A982-46D5-9DF2-018E3E34E474}"/>
    <hyperlink ref="I1459" r:id="rId14303" xr:uid="{C56DAAC6-C6D1-406E-8962-213CB50DD59A}"/>
    <hyperlink ref="I1460" r:id="rId14304" xr:uid="{41EFA1C6-1A5A-497B-B14D-1B3A0CDB3063}"/>
    <hyperlink ref="I1461" r:id="rId14305" xr:uid="{E3E2723A-D244-4DF1-9607-93B826782F2B}"/>
    <hyperlink ref="I1462" r:id="rId14306" xr:uid="{310BD5B4-FBC9-48D8-9EC6-DCF054F9506C}"/>
    <hyperlink ref="I1463" r:id="rId14307" xr:uid="{D64F9A5F-4D5B-4001-8F01-89E20D94E520}"/>
    <hyperlink ref="I1464" r:id="rId14308" xr:uid="{8334F406-1EE0-441D-83D8-078BA435D758}"/>
    <hyperlink ref="I1465" r:id="rId14309" xr:uid="{8F72D506-FCC1-42BA-A8F4-AE1371653C0E}"/>
    <hyperlink ref="I1466" r:id="rId14310" xr:uid="{B3546D16-2797-4A37-93C0-873C71B69885}"/>
    <hyperlink ref="I1467" r:id="rId14311" xr:uid="{64B7EC0B-EBAB-45BD-913B-5A4AD06D9FC6}"/>
    <hyperlink ref="I1468" r:id="rId14312" xr:uid="{ACDCCEF4-311F-447E-857D-EF2A5EE0F647}"/>
    <hyperlink ref="I1469" r:id="rId14313" xr:uid="{D93DD656-0569-4BD6-8AC2-1A4D01712D3A}"/>
    <hyperlink ref="I1470" r:id="rId14314" xr:uid="{24A69215-D31C-4348-9199-28BE3A9A93D8}"/>
    <hyperlink ref="I1471" r:id="rId14315" xr:uid="{E4062FBA-60D2-4324-99C6-DC60AE865D38}"/>
    <hyperlink ref="I1472" r:id="rId14316" xr:uid="{4CEA054F-6995-4FD6-8407-11446FD93F70}"/>
    <hyperlink ref="I1473" r:id="rId14317" xr:uid="{9066CFCF-BAEE-477F-8478-B949DAE663A3}"/>
    <hyperlink ref="I1474" r:id="rId14318" xr:uid="{23652B07-CFCF-495F-B4EB-C25CA50F91D0}"/>
    <hyperlink ref="I1475" r:id="rId14319" xr:uid="{4D787EDE-8001-47A8-834E-8790A21D9D51}"/>
    <hyperlink ref="I1476" r:id="rId14320" xr:uid="{A2141FB6-7FF4-4EF5-AEB1-797CB3EE5FFC}"/>
    <hyperlink ref="I1477" r:id="rId14321" xr:uid="{03C4D9EB-5D22-46D1-A214-EEB49BA9C371}"/>
    <hyperlink ref="I1478" r:id="rId14322" xr:uid="{D22D2E22-2377-4B41-AB69-F9F80806834A}"/>
    <hyperlink ref="I1479" r:id="rId14323" xr:uid="{F122D0F4-A852-41EF-807D-EC08DBD68D09}"/>
    <hyperlink ref="I1480" r:id="rId14324" xr:uid="{B75C68FE-3A3E-467C-BB6C-DD55E0E9CF50}"/>
    <hyperlink ref="I1481" r:id="rId14325" xr:uid="{B82ADF1E-8E33-4968-B69C-8F2AEC0A1785}"/>
    <hyperlink ref="I1482" r:id="rId14326" xr:uid="{76811BFC-E7C6-42C9-AC2D-7FB410AB911F}"/>
    <hyperlink ref="I1396" r:id="rId14327" xr:uid="{CA1B26C3-4234-4A94-8939-AFCA10B8E77A}"/>
    <hyperlink ref="I1397" r:id="rId14328" xr:uid="{71110FCA-982F-4CD2-AD59-D5488C50D3EC}"/>
    <hyperlink ref="I1398" r:id="rId14329" xr:uid="{4938EC78-D125-4C4A-BDE8-32F18D944615}"/>
    <hyperlink ref="I1399" r:id="rId14330" xr:uid="{9148DA76-2475-4092-A579-E8B82083FDA5}"/>
    <hyperlink ref="I1400" r:id="rId14331" xr:uid="{47ADBBC2-FCD1-4053-BBA7-095D4F7A01DE}"/>
    <hyperlink ref="I1401" r:id="rId14332" xr:uid="{131F0A75-FF2E-45FC-9D2C-60EB604419A1}"/>
    <hyperlink ref="I1402" r:id="rId14333" xr:uid="{5C7B8D0C-C614-49C0-94E3-105E319A959A}"/>
    <hyperlink ref="I1403" r:id="rId14334" xr:uid="{A944FD48-01F0-4BE9-8534-4B043E543671}"/>
    <hyperlink ref="I1404" r:id="rId14335" xr:uid="{FEE74092-5CD5-4DBC-BDA8-08F0F4321E2A}"/>
    <hyperlink ref="I1405" r:id="rId14336" xr:uid="{96DC5B84-2804-4C3A-A505-404324EF2964}"/>
    <hyperlink ref="I1406" r:id="rId14337" xr:uid="{D7935851-D67D-403A-8F4F-BC89C86BC92E}"/>
    <hyperlink ref="I1407" r:id="rId14338" xr:uid="{176AD9B1-071A-487E-BD16-FE2CE4463262}"/>
    <hyperlink ref="I1408" r:id="rId14339" xr:uid="{AFAD4865-BAF6-49C9-A9CF-0AA74C65E0AA}"/>
    <hyperlink ref="I1409" r:id="rId14340" xr:uid="{2ED4309F-FC0B-474C-8FE2-97FFEDF8B7EF}"/>
    <hyperlink ref="I1410" r:id="rId14341" xr:uid="{AD0406DC-C151-4CD9-B445-5A71265005CC}"/>
    <hyperlink ref="I1411" r:id="rId14342" xr:uid="{9D067A94-5B0A-4E63-B93E-D44DEF030FB2}"/>
    <hyperlink ref="I1412" r:id="rId14343" xr:uid="{753AEC0A-51CC-41C3-8D60-53B003D30449}"/>
    <hyperlink ref="I1413" r:id="rId14344" xr:uid="{51EE7857-AB59-4A7C-9A0E-7AAB92C59246}"/>
    <hyperlink ref="I1414" r:id="rId14345" xr:uid="{BE6A6DE9-E3D5-47C6-AAA8-B4843A577168}"/>
    <hyperlink ref="I1415" r:id="rId14346" xr:uid="{0A1976BE-0EF3-4331-84E6-55936C4945FA}"/>
    <hyperlink ref="I1416" r:id="rId14347" xr:uid="{0C11CE6F-2B19-426C-B0FA-F528CADB243C}"/>
    <hyperlink ref="I1417" r:id="rId14348" xr:uid="{AC830917-8E9F-4AE0-9650-F9C6A045FB48}"/>
    <hyperlink ref="I1418" r:id="rId14349" xr:uid="{7F5615FB-AADA-4B81-BF9F-C25F4EBDF409}"/>
    <hyperlink ref="I1419" r:id="rId14350" xr:uid="{E2D2EEC5-5D56-4E7B-91A8-BC5D97082048}"/>
    <hyperlink ref="I1420" r:id="rId14351" xr:uid="{60D327E5-B44C-4051-A552-4D20A000D63B}"/>
    <hyperlink ref="I1421" r:id="rId14352" xr:uid="{F296F443-746D-4490-989F-EA83B71D7646}"/>
    <hyperlink ref="I1422" r:id="rId14353" xr:uid="{06725F39-397B-4095-9B11-08F4C1B23F32}"/>
    <hyperlink ref="I1423" r:id="rId14354" xr:uid="{98DA1B66-50EA-4784-A20C-A932716F481B}"/>
    <hyperlink ref="I1424" r:id="rId14355" xr:uid="{FB9F2203-8249-463F-948F-6253B8B35A8E}"/>
    <hyperlink ref="I1425" r:id="rId14356" xr:uid="{0730E4C5-F9D7-4D04-92B4-B72B736EA6D8}"/>
    <hyperlink ref="I1426" r:id="rId14357" xr:uid="{EDBB14F9-CCE2-4A59-B804-A04335A00B72}"/>
    <hyperlink ref="I1427" r:id="rId14358" xr:uid="{E4D8F653-5985-448F-83FE-62A5D5B28E3D}"/>
    <hyperlink ref="I1428" r:id="rId14359" xr:uid="{89E73AC1-97B8-42E2-9347-42A3CA5F9F8D}"/>
    <hyperlink ref="I1429" r:id="rId14360" xr:uid="{0B769993-5C1B-4FDA-836B-81451A3567DD}"/>
    <hyperlink ref="I1430" r:id="rId14361" xr:uid="{1E2F7636-0CFA-42E3-8C1A-E8E3BCDB9ADD}"/>
    <hyperlink ref="I1370" r:id="rId14362" xr:uid="{A3E17806-B66D-4AE6-82E7-92BB187FB3F3}"/>
    <hyperlink ref="I1371" r:id="rId14363" xr:uid="{B41B04B7-EBEF-4F6E-A140-EE716B096E9F}"/>
    <hyperlink ref="I1372" r:id="rId14364" xr:uid="{2CCBE124-33AA-401E-B1A8-7491B09CD44F}"/>
    <hyperlink ref="I1373" r:id="rId14365" xr:uid="{EC22D9A5-D31B-4F78-8D94-666F5EF52648}"/>
    <hyperlink ref="I1374" r:id="rId14366" xr:uid="{59CB57E7-5642-4586-BA9D-5CC67DF0B9BF}"/>
    <hyperlink ref="I1375" r:id="rId14367" xr:uid="{D356768D-730A-46DD-9132-078AF67D7C8D}"/>
    <hyperlink ref="I1376" r:id="rId14368" xr:uid="{47F9C749-33E5-4276-A70F-2CA3B01377EB}"/>
    <hyperlink ref="I1377" r:id="rId14369" xr:uid="{F323E02B-1096-4135-811F-AD84F566A05F}"/>
    <hyperlink ref="I1378" r:id="rId14370" xr:uid="{18CD4150-29C9-458F-AF1C-805112DD55AF}"/>
    <hyperlink ref="I1379" r:id="rId14371" xr:uid="{C6BED6F6-0EC9-47E2-9AFF-8D4D435AF8E3}"/>
    <hyperlink ref="I1380" r:id="rId14372" xr:uid="{BD64CE0F-ADB7-4131-818E-248BCECBE347}"/>
    <hyperlink ref="I1381" r:id="rId14373" xr:uid="{B0502DBF-275E-4D2A-AE21-737BEE8D4BE7}"/>
    <hyperlink ref="I1382" r:id="rId14374" xr:uid="{D9548B24-515A-40EA-BA65-B401CBB70165}"/>
    <hyperlink ref="I1383" r:id="rId14375" xr:uid="{00791AA8-2E00-4EB9-A4BD-B298E6119B00}"/>
    <hyperlink ref="I1384" r:id="rId14376" xr:uid="{6642962F-9ECF-4271-BAED-3E7BE82A1AB3}"/>
    <hyperlink ref="I1385" r:id="rId14377" xr:uid="{5E18D26C-6264-4BFA-BDB3-D07EB4A96EB7}"/>
    <hyperlink ref="I1386" r:id="rId14378" xr:uid="{093F6BF8-0928-4113-9783-FF324D80FCC9}"/>
    <hyperlink ref="I1387" r:id="rId14379" xr:uid="{D0FB157D-F3C8-4882-ADE7-77781467A230}"/>
    <hyperlink ref="I1388" r:id="rId14380" xr:uid="{E9BDBB0D-1AC5-44FC-B3E8-6130A21C51FF}"/>
    <hyperlink ref="I1389" r:id="rId14381" xr:uid="{093133B4-B6F4-4CE4-9842-196A0D0E76D5}"/>
    <hyperlink ref="I1390" r:id="rId14382" xr:uid="{C52596AF-C014-4913-9859-EADB0F9B15C8}"/>
    <hyperlink ref="I1391" r:id="rId14383" xr:uid="{85721F17-2628-4A63-9768-D1D807B01E0B}"/>
    <hyperlink ref="I1392" r:id="rId14384" xr:uid="{F72A3553-CF13-494B-81C6-6B19ABF9C928}"/>
    <hyperlink ref="I1393" r:id="rId14385" xr:uid="{566BD7F2-0412-4B8E-A7FC-CDFB824D6053}"/>
    <hyperlink ref="I1394" r:id="rId14386" xr:uid="{3B3AE1D1-3DF0-4A98-B16F-3F1A6427BF71}"/>
    <hyperlink ref="I1395" r:id="rId14387" xr:uid="{4945C35A-AEB7-48FC-B6CB-8DE3A720BD12}"/>
    <hyperlink ref="I1364" r:id="rId14388" xr:uid="{DC0014FB-14D1-47F6-A772-02CA8A13E2F5}"/>
    <hyperlink ref="I1365" r:id="rId14389" xr:uid="{408C20E0-7157-495E-A74C-7685C746CB38}"/>
    <hyperlink ref="I1366" r:id="rId14390" xr:uid="{39EF30DA-1429-4D89-BA71-8FF8D3C88A48}"/>
    <hyperlink ref="I1367" r:id="rId14391" xr:uid="{F421E497-E43D-488A-9FDF-BC5D48298939}"/>
    <hyperlink ref="I1368" r:id="rId14392" xr:uid="{D8A7637C-3767-4FDE-AFA0-64109EE1D364}"/>
    <hyperlink ref="I1369" r:id="rId14393" xr:uid="{685B686A-C28D-44CB-98B8-D040B02862A3}"/>
    <hyperlink ref="I1331" r:id="rId14394" xr:uid="{F162AD67-DA99-4954-8A81-43BEBFCFD8D3}"/>
    <hyperlink ref="I1332" r:id="rId14395" xr:uid="{0B8E3E5D-6851-48FC-A722-ABDDFD5B1ADB}"/>
    <hyperlink ref="I1333" r:id="rId14396" xr:uid="{489310D0-4886-42E0-9915-3DC899E0940D}"/>
    <hyperlink ref="I1334" r:id="rId14397" xr:uid="{AD9562A1-FC68-49DC-9032-2C59AAE0B54D}"/>
    <hyperlink ref="I1335" r:id="rId14398" xr:uid="{75E124F9-BE4B-4564-83AD-3E2A1512AD3B}"/>
    <hyperlink ref="I1336" r:id="rId14399" xr:uid="{6D2EB233-CCA5-41DC-95EC-D358452F0507}"/>
    <hyperlink ref="I1337" r:id="rId14400" xr:uid="{BFE57801-F77D-42A4-A7F8-1A68508308F2}"/>
    <hyperlink ref="I1338" r:id="rId14401" xr:uid="{9635E531-0E1D-416B-A61B-2997D5E99B40}"/>
    <hyperlink ref="I1339" r:id="rId14402" xr:uid="{A80FED37-5FE5-451D-8FE8-BE74145F7CEB}"/>
    <hyperlink ref="I1340" r:id="rId14403" xr:uid="{D4A4E794-224A-4FDB-879E-0F1289B95BF8}"/>
    <hyperlink ref="I1341" r:id="rId14404" xr:uid="{862FAA7E-CD5A-4106-AFC9-9391910EE27F}"/>
    <hyperlink ref="I1342" r:id="rId14405" xr:uid="{3D1BE8F6-74E7-47F5-9576-03947037CCF8}"/>
    <hyperlink ref="I1343" r:id="rId14406" xr:uid="{4A51FE6C-1189-4554-AA7A-E87035139E76}"/>
    <hyperlink ref="I1344" r:id="rId14407" xr:uid="{1ECF99A5-257C-4B78-A6CE-A33507766153}"/>
    <hyperlink ref="I1345" r:id="rId14408" xr:uid="{B098E1A6-8261-4192-B2DA-90F0894937AE}"/>
    <hyperlink ref="I1346" r:id="rId14409" xr:uid="{0BD89577-42E7-4A0F-9775-B2CAD03CA504}"/>
    <hyperlink ref="I1347" r:id="rId14410" xr:uid="{7950EC5C-1CE8-46EE-B905-9E134C02AA50}"/>
    <hyperlink ref="I1348" r:id="rId14411" xr:uid="{A2D9892E-DB0A-4347-AB76-F3B26988EEBD}"/>
    <hyperlink ref="I1349" r:id="rId14412" xr:uid="{E7E8966A-FF7D-4974-AFD5-3D0188281D7F}"/>
    <hyperlink ref="I1350" r:id="rId14413" xr:uid="{7910177C-5165-42D9-B7EE-C6FCEF1F2DBF}"/>
    <hyperlink ref="I1351" r:id="rId14414" xr:uid="{C351CB51-4058-4CD3-A9DA-FCBB33B34FE1}"/>
    <hyperlink ref="I1352" r:id="rId14415" xr:uid="{0EE84F85-3665-4F7C-9B19-212F5E755B8F}"/>
    <hyperlink ref="I1353" r:id="rId14416" xr:uid="{AAE3DF8A-68E4-4C45-A06E-F2FF17B4BAEE}"/>
    <hyperlink ref="I1354" r:id="rId14417" xr:uid="{1B727D31-2184-437D-8857-B1280322F67E}"/>
    <hyperlink ref="I1355" r:id="rId14418" xr:uid="{2DB5DE94-0894-4C4D-BE66-B86DCA7D894F}"/>
    <hyperlink ref="I1356" r:id="rId14419" xr:uid="{D7C16A97-3537-42C3-9C53-AC2EF376D7D3}"/>
    <hyperlink ref="I1357" r:id="rId14420" xr:uid="{E06BF1B6-2A7B-4E79-BF91-C369017FFCB4}"/>
    <hyperlink ref="I1358" r:id="rId14421" xr:uid="{F36FDCB6-E0E9-4FCD-92FA-A352AD395005}"/>
    <hyperlink ref="I1359" r:id="rId14422" xr:uid="{9B784729-B5D4-4645-9FC9-4E67EE3309E0}"/>
    <hyperlink ref="I1360" r:id="rId14423" xr:uid="{7E051008-6BEC-4162-B942-33E5AF02B56A}"/>
    <hyperlink ref="I1361" r:id="rId14424" xr:uid="{2D0C269E-15F7-4FE1-AE3A-ED68E9515BED}"/>
    <hyperlink ref="I1362" r:id="rId14425" xr:uid="{7AAA4D3E-C171-4AB6-BA57-402964058692}"/>
    <hyperlink ref="I1363" r:id="rId14426" xr:uid="{6BE7C3B9-FD37-420B-9179-BCA2895D91E1}"/>
    <hyperlink ref="I1174" r:id="rId14427" xr:uid="{1148B5A0-4CAD-442A-976C-A3A2F0944D7E}"/>
    <hyperlink ref="I1175" r:id="rId14428" xr:uid="{C834B2ED-91A1-49E5-8BD8-842FFC38A3B8}"/>
    <hyperlink ref="I1176" r:id="rId14429" xr:uid="{8C4E4178-921C-4E85-979C-3CCD717A101D}"/>
    <hyperlink ref="I1177" r:id="rId14430" xr:uid="{96C6C25A-98D0-4903-987B-CF198B71B25C}"/>
    <hyperlink ref="I1178" r:id="rId14431" xr:uid="{368D6BA6-4C99-463E-952A-5D16C190BCD6}"/>
    <hyperlink ref="I1179" r:id="rId14432" xr:uid="{B9FF7D14-B417-4E3C-BB1A-291D655504F7}"/>
    <hyperlink ref="I1180" r:id="rId14433" xr:uid="{615904A2-A011-445B-98DE-149B0F0AE2AE}"/>
    <hyperlink ref="I1181" r:id="rId14434" xr:uid="{DFDA2200-82E7-40E1-A29F-C15A346499BA}"/>
    <hyperlink ref="I1182" r:id="rId14435" xr:uid="{EB4EB6EE-EB21-4956-9E63-02DA1383DDB6}"/>
    <hyperlink ref="I1183" r:id="rId14436" xr:uid="{790E2F36-23BE-4F95-86E4-C43BC1ACFB98}"/>
    <hyperlink ref="I1184" r:id="rId14437" xr:uid="{8077883D-23F2-4630-963E-A31565DE9328}"/>
    <hyperlink ref="I1185" r:id="rId14438" xr:uid="{C0106450-5995-4773-B1EE-138E3DB22ABB}"/>
    <hyperlink ref="I1186" r:id="rId14439" xr:uid="{FCCEB8F7-722C-406F-BD3B-7412C0A678DC}"/>
    <hyperlink ref="I1187" r:id="rId14440" xr:uid="{BFFE5D05-5FF9-4AA6-8098-968AA0984C4C}"/>
    <hyperlink ref="I1188" r:id="rId14441" xr:uid="{C20CF499-C667-41F1-B7E3-18BEFBD9872D}"/>
    <hyperlink ref="I1189" r:id="rId14442" xr:uid="{DC6BD033-70D6-4C06-966C-729DCB7F0201}"/>
    <hyperlink ref="I1190" r:id="rId14443" xr:uid="{0393DFF1-D8C0-4244-9F32-0CAF2BD82F0D}"/>
    <hyperlink ref="I1191" r:id="rId14444" xr:uid="{784D3E5B-8728-496D-852B-95F996491858}"/>
    <hyperlink ref="I1192" r:id="rId14445" xr:uid="{89E6C188-11EB-41D2-A687-80EC9174B0E2}"/>
    <hyperlink ref="I1193" r:id="rId14446" xr:uid="{47A8B9D5-12D8-4D58-8A46-D350F7921703}"/>
    <hyperlink ref="I1194" r:id="rId14447" xr:uid="{4E5C66B8-D8FD-4742-9D67-1824F429CCE4}"/>
    <hyperlink ref="I1195" r:id="rId14448" xr:uid="{8EAA30E8-1BF5-49AB-A911-77791FC089C0}"/>
    <hyperlink ref="I1196" r:id="rId14449" xr:uid="{F42A2A58-0B05-4755-9100-427E99F10F5E}"/>
    <hyperlink ref="I1197" r:id="rId14450" xr:uid="{CF48FF49-F36D-4C15-B8F4-73C90D8D019E}"/>
    <hyperlink ref="I1198" r:id="rId14451" xr:uid="{B3CF6452-B8B2-4DE6-AD27-5383F54008C3}"/>
    <hyperlink ref="I1199" r:id="rId14452" xr:uid="{847A1F1D-D542-48C0-AC12-626C425280B4}"/>
    <hyperlink ref="I1200" r:id="rId14453" xr:uid="{EAFFFF6B-A1B6-4DC1-AC53-938DE5DDC004}"/>
    <hyperlink ref="I1201" r:id="rId14454" xr:uid="{F63BA615-5798-44CD-BA56-DF2DC1ECF5FD}"/>
    <hyperlink ref="I1202" r:id="rId14455" xr:uid="{2854C178-0B01-434F-B73A-36736FC43FD6}"/>
    <hyperlink ref="I1203" r:id="rId14456" xr:uid="{BCC75465-B523-4AA1-BF35-5A5EDD25C40C}"/>
    <hyperlink ref="I1204" r:id="rId14457" xr:uid="{D9624AC3-A37F-4490-8D7F-A95BE29AF4C3}"/>
    <hyperlink ref="I1205" r:id="rId14458" xr:uid="{8659BCB6-2022-437B-9D5F-67639FABE9DB}"/>
    <hyperlink ref="I1206" r:id="rId14459" xr:uid="{76D9632C-E462-4261-8AA8-A6751F400D23}"/>
    <hyperlink ref="I1207" r:id="rId14460" xr:uid="{EA1134FA-25BB-45DB-A54C-12FCD2527B35}"/>
    <hyperlink ref="I1208" r:id="rId14461" xr:uid="{8ACCCA80-E10F-45D1-846C-45D59E1E8418}"/>
    <hyperlink ref="I1209" r:id="rId14462" xr:uid="{E4971F92-FD8A-44E3-9816-C7F7415A564A}"/>
    <hyperlink ref="I1210" r:id="rId14463" xr:uid="{15C7491D-E600-47E5-99F9-EE2003DA4B7C}"/>
    <hyperlink ref="I1211" r:id="rId14464" xr:uid="{F5D324BD-49A3-48F6-881F-DBFC1D9F7D24}"/>
    <hyperlink ref="I1212" r:id="rId14465" xr:uid="{B28DF792-E676-45B4-A364-CABA7FABE9E0}"/>
    <hyperlink ref="I1213" r:id="rId14466" xr:uid="{D5E80618-C651-4BA2-A2FC-0AAA1530E1A5}"/>
    <hyperlink ref="I1214" r:id="rId14467" xr:uid="{0FEF90F6-D4B2-4D56-881D-DD99617BE7ED}"/>
    <hyperlink ref="I1215" r:id="rId14468" xr:uid="{95E14CD1-64F4-4DCC-9A4E-AE77A4AD7A7A}"/>
    <hyperlink ref="I1216" r:id="rId14469" xr:uid="{74200C75-45BC-485C-AD25-514AB6AF4333}"/>
    <hyperlink ref="I1217" r:id="rId14470" xr:uid="{7934CC8F-40C0-45F1-9F30-DCDF3A753665}"/>
    <hyperlink ref="I1218" r:id="rId14471" xr:uid="{BCC4172B-8E5F-4B2C-BF89-A6B4BF85029F}"/>
    <hyperlink ref="I1219" r:id="rId14472" xr:uid="{70B45B35-898A-4A40-B0E8-FCEB038D0E5B}"/>
    <hyperlink ref="I1220" r:id="rId14473" xr:uid="{BB8BD3ED-B208-47A8-99F0-0A4DB7272746}"/>
    <hyperlink ref="I1221" r:id="rId14474" xr:uid="{D64899C6-F86F-4036-A05B-9D1CA19D39B5}"/>
    <hyperlink ref="I1222" r:id="rId14475" xr:uid="{2ABECD15-6B9A-4CCC-982B-414A2A9ECDB7}"/>
    <hyperlink ref="I1223" r:id="rId14476" xr:uid="{3DD97373-54DC-42FC-9E5A-AC1F982DD81F}"/>
    <hyperlink ref="I1224" r:id="rId14477" xr:uid="{064782B6-1EF9-44AA-A32F-6F013BF0F36D}"/>
    <hyperlink ref="I1225" r:id="rId14478" xr:uid="{46A06C69-2C6E-45AE-BE22-C94EB77B365E}"/>
    <hyperlink ref="I1226" r:id="rId14479" xr:uid="{B06B13A7-73C6-41D9-B557-9E6EFF2CF9DB}"/>
    <hyperlink ref="I1227" r:id="rId14480" xr:uid="{20E53B72-D024-4F0A-9FE4-6ECA0E702683}"/>
    <hyperlink ref="I1228" r:id="rId14481" xr:uid="{69543D59-C12A-4C0E-B338-3A65DBFB579A}"/>
    <hyperlink ref="I1229" r:id="rId14482" xr:uid="{CA2A668A-3D9C-48B9-AAD5-4F6EBF622D42}"/>
    <hyperlink ref="I1230" r:id="rId14483" xr:uid="{299EDCD0-8906-4382-8731-0A68CAECCB52}"/>
    <hyperlink ref="I1231" r:id="rId14484" xr:uid="{099B56F9-D2C0-4E38-9405-F6FFEF2FDAE8}"/>
    <hyperlink ref="I1232" r:id="rId14485" xr:uid="{FB23CBF5-5A4C-4C52-A624-7CDCB5722028}"/>
    <hyperlink ref="I1233" r:id="rId14486" xr:uid="{44371E2E-3885-4AFD-B346-FFC26D32B6FF}"/>
    <hyperlink ref="I1234" r:id="rId14487" xr:uid="{5532CDC3-3A0D-46ED-AD79-F49AEB74D0BB}"/>
    <hyperlink ref="I1235" r:id="rId14488" xr:uid="{C90CED0D-ED40-4637-A5F4-8DAA33A12653}"/>
    <hyperlink ref="I1236" r:id="rId14489" xr:uid="{3B791B76-D6C2-494D-869C-914FCC9E6DB1}"/>
    <hyperlink ref="I1237" r:id="rId14490" xr:uid="{D37978EC-4C52-41AE-AE74-44701E5CD0F4}"/>
    <hyperlink ref="I1238" r:id="rId14491" xr:uid="{E54C51BF-6AA3-4514-BDCE-33E09932D97D}"/>
    <hyperlink ref="I1239" r:id="rId14492" xr:uid="{A6E64345-1BBF-4C46-B820-C08434E7A348}"/>
    <hyperlink ref="I1240" r:id="rId14493" xr:uid="{B935A365-15DB-4438-9907-439B65461368}"/>
    <hyperlink ref="I1241" r:id="rId14494" xr:uid="{385F36C2-5DDA-432D-849E-5F559FFA4C4C}"/>
    <hyperlink ref="I1242" r:id="rId14495" xr:uid="{8EED6290-0683-4116-8DA4-A8D3503A144C}"/>
    <hyperlink ref="I1243" r:id="rId14496" xr:uid="{7849292A-539A-4C41-AC82-000915615369}"/>
    <hyperlink ref="I1244" r:id="rId14497" xr:uid="{37DD8C24-46D5-4826-BA46-F0CA3665C32B}"/>
    <hyperlink ref="I1245" r:id="rId14498" xr:uid="{041F0AE8-6263-4ABC-BB72-AC41DD81AFF4}"/>
    <hyperlink ref="I1246" r:id="rId14499" xr:uid="{3C1B934B-1B1D-41E8-8FC4-392EA78D2E2A}"/>
    <hyperlink ref="I1247" r:id="rId14500" xr:uid="{5C014A7F-D07C-4624-947C-4B22622177B0}"/>
    <hyperlink ref="I1248" r:id="rId14501" xr:uid="{54B97C8D-2C2C-49AB-8CE7-DB9225C6364C}"/>
    <hyperlink ref="I1249" r:id="rId14502" xr:uid="{CB6D9084-0024-490B-A760-328C775AAF88}"/>
    <hyperlink ref="I1250" r:id="rId14503" xr:uid="{39FCEB86-0105-44CB-8D48-2AEB241022EC}"/>
    <hyperlink ref="I1251" r:id="rId14504" xr:uid="{4FB326B3-875D-4011-836A-83DC11B83299}"/>
    <hyperlink ref="I1252" r:id="rId14505" xr:uid="{B0F4686F-DD31-4F42-869B-8C5F39341F1C}"/>
    <hyperlink ref="I1253" r:id="rId14506" xr:uid="{30CC2272-2189-4BAC-A8AD-9A5B2723460B}"/>
    <hyperlink ref="I1254" r:id="rId14507" xr:uid="{5093F8F3-E44C-4FF7-A963-28FACB94EE7F}"/>
    <hyperlink ref="I1255" r:id="rId14508" xr:uid="{500A97F4-AA0D-4456-83A4-F84BFDFD6D3D}"/>
    <hyperlink ref="I1256" r:id="rId14509" xr:uid="{448ACB1D-5345-4DEB-8FE7-0359156AF6D1}"/>
    <hyperlink ref="I1257" r:id="rId14510" xr:uid="{16CD0E7F-753A-4EA6-87A4-41A67FD7FD51}"/>
    <hyperlink ref="I1258" r:id="rId14511" xr:uid="{F8053869-D26A-454F-8BFE-6CCD723639E3}"/>
    <hyperlink ref="I1259" r:id="rId14512" xr:uid="{2BD1F549-7C52-4A36-98E9-FA8B6B19CFF5}"/>
    <hyperlink ref="I1260" r:id="rId14513" xr:uid="{70D6317C-86D9-41AA-A449-F1FAE2381F38}"/>
    <hyperlink ref="I1261" r:id="rId14514" xr:uid="{5FBD9447-9E3C-4BED-B95F-6FE236D28FE5}"/>
    <hyperlink ref="I1262" r:id="rId14515" xr:uid="{E3AC5577-D4E0-43E0-B819-558699AECD6E}"/>
    <hyperlink ref="I1263" r:id="rId14516" xr:uid="{156AFAB1-2EE0-4E00-9A51-8B44563CC818}"/>
    <hyperlink ref="I1264" r:id="rId14517" xr:uid="{E2A94791-C40D-41B1-9C9F-900EC6634B6B}"/>
    <hyperlink ref="I1265" r:id="rId14518" xr:uid="{4C762A16-D0DA-42D8-B945-692DE97AFCD4}"/>
    <hyperlink ref="I1266" r:id="rId14519" xr:uid="{63DDE13F-824A-4D80-89FF-4E3F59D0327A}"/>
    <hyperlink ref="I1267" r:id="rId14520" xr:uid="{ACA02C4A-3A50-4266-985B-415F9D25B3D9}"/>
    <hyperlink ref="I1268" r:id="rId14521" xr:uid="{53617616-5446-487A-A096-933DD35E2648}"/>
    <hyperlink ref="I1269" r:id="rId14522" xr:uid="{CFB7241A-6D08-4796-A455-1809773E277F}"/>
    <hyperlink ref="I1270" r:id="rId14523" xr:uid="{C6111C14-0AC3-471D-A3BD-D80F02215B07}"/>
    <hyperlink ref="I1271" r:id="rId14524" xr:uid="{12472D66-E315-4E3C-AE8E-AE9F3C44BC29}"/>
    <hyperlink ref="I1272" r:id="rId14525" xr:uid="{BB1ECFC1-E833-4D33-9448-3BBD2FBEF9EA}"/>
    <hyperlink ref="I1273" r:id="rId14526" xr:uid="{670C3C3A-56C6-4F57-AA6E-AF8435417A25}"/>
    <hyperlink ref="I1274" r:id="rId14527" xr:uid="{C6F69324-C911-4D89-A196-2AE0268DE84B}"/>
    <hyperlink ref="I1275" r:id="rId14528" xr:uid="{D6715635-3FDA-4748-A834-91B8B40593B2}"/>
    <hyperlink ref="I1276" r:id="rId14529" xr:uid="{D7DB066D-02F7-4F7B-A212-442B19097EC5}"/>
    <hyperlink ref="I1277" r:id="rId14530" xr:uid="{C899AB1D-44BB-47A2-AA46-4635C8092F89}"/>
    <hyperlink ref="I1278" r:id="rId14531" xr:uid="{250BF9D8-93EB-4110-A56F-73516FBE83E1}"/>
    <hyperlink ref="I1279" r:id="rId14532" xr:uid="{A04BE195-0107-43AD-AB6D-0C890DE1F1D2}"/>
    <hyperlink ref="I1280" r:id="rId14533" xr:uid="{61287070-C5C9-4BA5-B7F1-C4F4612ED7FF}"/>
    <hyperlink ref="I1281" r:id="rId14534" xr:uid="{520DD451-B235-4289-BAD6-52DA2EB68BF0}"/>
    <hyperlink ref="I1282" r:id="rId14535" xr:uid="{98F492F1-4394-4212-B539-92A0804957EF}"/>
    <hyperlink ref="I1283" r:id="rId14536" xr:uid="{B6CC65C5-52B7-4BE0-856B-0D2890B9D0DF}"/>
    <hyperlink ref="I1284" r:id="rId14537" xr:uid="{E03C9303-DD48-4F55-9DE1-A5D7C3BA7D1A}"/>
    <hyperlink ref="I1285" r:id="rId14538" xr:uid="{CA09789E-D7DE-470A-8858-B93CFEA65758}"/>
    <hyperlink ref="I1286" r:id="rId14539" xr:uid="{6A718A51-CCB1-4323-AA50-11B976D868AA}"/>
    <hyperlink ref="I1287" r:id="rId14540" xr:uid="{D6303136-A8C1-4BDD-A14D-ED5930F9637B}"/>
    <hyperlink ref="I1288" r:id="rId14541" xr:uid="{CE13F0A6-89B1-4E42-A51C-A23D0941A3FD}"/>
    <hyperlink ref="I1289" r:id="rId14542" xr:uid="{57E63538-6751-4BAE-9E46-BB8238AB1E68}"/>
    <hyperlink ref="I1290" r:id="rId14543" xr:uid="{F17CE7DE-4DB4-4FED-BD60-B18FE8F5659A}"/>
    <hyperlink ref="I1291" r:id="rId14544" xr:uid="{21ADB9A8-3D85-4DA6-8A9B-D266706061CC}"/>
    <hyperlink ref="I1292" r:id="rId14545" xr:uid="{F3679DC9-0FED-419E-9A09-C6FFA146FE61}"/>
    <hyperlink ref="I1293" r:id="rId14546" xr:uid="{8BE5C34B-799D-4E98-AE1E-0CE936AC0102}"/>
    <hyperlink ref="I1294" r:id="rId14547" xr:uid="{167938F1-1C5E-446C-8AB2-5D8BCA377DCA}"/>
    <hyperlink ref="I1295" r:id="rId14548" xr:uid="{11CEA0BA-3868-45EF-95BC-02D33D31131D}"/>
    <hyperlink ref="I1296" r:id="rId14549" xr:uid="{32E1316F-30CE-4F68-ADC7-FBF6ED4464D8}"/>
    <hyperlink ref="I1297" r:id="rId14550" xr:uid="{2734509C-CFA1-41B2-B5D5-02520387E622}"/>
    <hyperlink ref="I1298" r:id="rId14551" xr:uid="{151EB17E-0CFE-4787-9148-7687B600A1BA}"/>
    <hyperlink ref="I1299" r:id="rId14552" xr:uid="{C2C66624-34C8-4CCF-B17F-04B33218F2B8}"/>
    <hyperlink ref="I1300" r:id="rId14553" xr:uid="{D81F1A38-4CD4-45F5-9599-592775AFE8B0}"/>
    <hyperlink ref="I1301" r:id="rId14554" xr:uid="{29DCA08F-BFE1-49A1-8B4C-7B2EE8E136FE}"/>
    <hyperlink ref="I1302" r:id="rId14555" xr:uid="{8E114523-4040-46EB-BAE7-6D3B40694C21}"/>
    <hyperlink ref="I1303" r:id="rId14556" xr:uid="{4A30CF5E-0482-4671-A08A-86D0B5982744}"/>
    <hyperlink ref="I1304" r:id="rId14557" xr:uid="{C64195B3-4115-47E4-8DFD-D9C5F6EE042E}"/>
    <hyperlink ref="I1305" r:id="rId14558" xr:uid="{F72B4AFD-FEE9-4440-AAA8-9812F8DB9D6A}"/>
    <hyperlink ref="I1306" r:id="rId14559" xr:uid="{98B82882-341F-4789-9D64-24E4163D5660}"/>
    <hyperlink ref="I1307" r:id="rId14560" xr:uid="{B39B20A2-8AA9-4370-A9B2-7A81BC016FD3}"/>
    <hyperlink ref="I1308" r:id="rId14561" xr:uid="{CC388F09-0AD1-44E6-94E0-0EE53703E5E5}"/>
    <hyperlink ref="I1309" r:id="rId14562" xr:uid="{468AD572-BF78-4E81-800F-C59DD6303648}"/>
    <hyperlink ref="I1310" r:id="rId14563" xr:uid="{94A7D8DE-F299-4CEF-B658-EC0AFFECE228}"/>
    <hyperlink ref="I1311" r:id="rId14564" xr:uid="{C40B4B71-9BDF-4CE8-8499-9A93DE84B4CF}"/>
    <hyperlink ref="I1312" r:id="rId14565" xr:uid="{FF6659D3-A311-4385-9F2E-36F2B02D0430}"/>
    <hyperlink ref="I1313" r:id="rId14566" xr:uid="{7FB6A48C-3435-4553-B718-91F4067FACEF}"/>
    <hyperlink ref="I1314" r:id="rId14567" xr:uid="{B42A4C6C-FFCF-4E34-AEAE-9472DC628517}"/>
    <hyperlink ref="I1315" r:id="rId14568" xr:uid="{7C489583-E3A0-4DB8-A93A-2DFEC2516C32}"/>
    <hyperlink ref="I1316" r:id="rId14569" xr:uid="{8193A7F7-D06B-4553-B0D3-2CDD9DABC489}"/>
    <hyperlink ref="I1317" r:id="rId14570" xr:uid="{F8970D7B-AA89-4DBA-8EFC-F716AB3FC27D}"/>
    <hyperlink ref="I1318" r:id="rId14571" xr:uid="{D524B9CE-6CE4-4C7A-8266-A57E1DF623E0}"/>
    <hyperlink ref="I1319" r:id="rId14572" xr:uid="{3400EF5B-0ABD-4672-84F4-4C54EDCAFF56}"/>
    <hyperlink ref="I1320" r:id="rId14573" xr:uid="{B30D6EC9-53BC-467D-8736-70609FD5333A}"/>
    <hyperlink ref="I1321" r:id="rId14574" xr:uid="{9224BC61-9CD4-47B1-94DA-646F7452B0B5}"/>
    <hyperlink ref="I1322" r:id="rId14575" xr:uid="{5016E2E6-E6BA-46D4-A06C-D5C33F2D25A0}"/>
    <hyperlink ref="I1323" r:id="rId14576" xr:uid="{A80EB550-31EF-4F2A-8E6F-88F9C1732785}"/>
    <hyperlink ref="I1324" r:id="rId14577" xr:uid="{3B0A3BF5-0D50-46B8-A87F-8228A3A09C6E}"/>
    <hyperlink ref="I1325" r:id="rId14578" xr:uid="{C49B901C-9165-408C-9877-D1D20AA6BBA6}"/>
    <hyperlink ref="I1326" r:id="rId14579" xr:uid="{01FC4C52-943B-4BA4-9FB7-8AEDADF31254}"/>
    <hyperlink ref="I1327" r:id="rId14580" xr:uid="{9D08D64F-4247-47DA-B95C-9350DDD071EB}"/>
    <hyperlink ref="I1328" r:id="rId14581" xr:uid="{DDEF22A2-5F57-46E9-A40D-CD007B05ED57}"/>
    <hyperlink ref="I1329" r:id="rId14582" xr:uid="{B6162322-6F47-4128-A165-FF0739841EAD}"/>
    <hyperlink ref="I1330" r:id="rId14583" xr:uid="{6827D3D4-D46E-435E-B208-F31F88A2E1D6}"/>
    <hyperlink ref="I1163" r:id="rId14584" xr:uid="{063B1BC7-BFD6-4456-9CBD-0722FC8133D9}"/>
    <hyperlink ref="I1164" r:id="rId14585" xr:uid="{35437803-CE64-4192-8279-5CA39BFA0F8B}"/>
    <hyperlink ref="I1165" r:id="rId14586" xr:uid="{B139063A-C250-40A1-85AA-03BA453A5AD3}"/>
    <hyperlink ref="I1166" r:id="rId14587" xr:uid="{081125A1-AFCC-4F67-940B-41A3B4D94A83}"/>
    <hyperlink ref="I1167" r:id="rId14588" xr:uid="{EB801294-77F6-4DEC-805D-EDF5EEB7BE4D}"/>
    <hyperlink ref="I1168" r:id="rId14589" xr:uid="{E80EB20C-5286-4B38-9A17-B78B88426228}"/>
    <hyperlink ref="I1169" r:id="rId14590" xr:uid="{1265680B-C63A-4C5E-AF40-C89A644B68FB}"/>
    <hyperlink ref="I1170" r:id="rId14591" xr:uid="{6DF9A7E6-557C-47CB-A970-C3B0CF3A2B4E}"/>
    <hyperlink ref="I1171" r:id="rId14592" xr:uid="{D9A112C0-ABE9-4F62-BC48-74E8DD377262}"/>
    <hyperlink ref="I1172" r:id="rId14593" xr:uid="{BF76A5A9-97B0-4701-AA38-686F639821F7}"/>
    <hyperlink ref="I1173" r:id="rId14594" xr:uid="{DA655D9A-3DA0-4149-93CC-3CB6B26F479C}"/>
    <hyperlink ref="I1075" r:id="rId14595" xr:uid="{91F92D5D-4E8F-42A8-8718-D3668FBCAF6E}"/>
    <hyperlink ref="I1076" r:id="rId14596" xr:uid="{868D9237-50E1-42E1-9EDC-A4D9339D8956}"/>
    <hyperlink ref="I1077" r:id="rId14597" xr:uid="{4F3A0938-A07A-429E-A597-437C58B3687E}"/>
    <hyperlink ref="I1078" r:id="rId14598" xr:uid="{BA34E6D2-C5D3-45CD-BED3-292DC3B6ECA2}"/>
    <hyperlink ref="I1079" r:id="rId14599" xr:uid="{C33316A7-6540-4EFA-BA63-0739D06B3046}"/>
    <hyperlink ref="I1080" r:id="rId14600" xr:uid="{8A42CFD6-C3BE-42C6-8949-DFF7AC596247}"/>
    <hyperlink ref="I1081" r:id="rId14601" xr:uid="{14AC536B-9402-4BCE-8172-A695B00C01F0}"/>
    <hyperlink ref="I1082" r:id="rId14602" xr:uid="{B8F80D7A-8532-41AE-9B97-B7291474D772}"/>
    <hyperlink ref="I1083" r:id="rId14603" xr:uid="{9F11F3F7-A197-4711-92F0-355CEF20A9F4}"/>
    <hyperlink ref="I1084" r:id="rId14604" xr:uid="{1C603A92-BA94-4187-8B18-D82EFF9F8C51}"/>
    <hyperlink ref="I1085" r:id="rId14605" xr:uid="{4388C834-B822-4DC4-BEEE-163E7DC4DDAC}"/>
    <hyperlink ref="I1086" r:id="rId14606" xr:uid="{D464FDDE-B038-491E-867C-844014030B25}"/>
    <hyperlink ref="I1087" r:id="rId14607" xr:uid="{7E0E95CA-A9AC-44CB-9C40-A9F827767469}"/>
    <hyperlink ref="I1088" r:id="rId14608" xr:uid="{30B16AED-5065-4F5B-818B-E792CCD614EB}"/>
    <hyperlink ref="I1089" r:id="rId14609" xr:uid="{705BE132-23B7-48D6-A7C6-A7031569838E}"/>
    <hyperlink ref="I1090" r:id="rId14610" xr:uid="{8CD49DAD-260E-4C2B-9490-CD5C41B8EA27}"/>
    <hyperlink ref="I1091" r:id="rId14611" xr:uid="{1D014588-14CA-4749-BC7D-C9EF9B4D2560}"/>
    <hyperlink ref="I1092" r:id="rId14612" xr:uid="{6C58B61D-C194-49EB-B1BF-DDD73C11E997}"/>
    <hyperlink ref="I1093" r:id="rId14613" xr:uid="{8BAA419C-304E-4A4F-A716-2B0F59567A5E}"/>
    <hyperlink ref="I1094" r:id="rId14614" xr:uid="{67FF5DB9-6FEC-4673-A88F-D8D157757C56}"/>
    <hyperlink ref="I1095" r:id="rId14615" xr:uid="{096542A1-7AF6-4F0D-9050-23BAD9690125}"/>
    <hyperlink ref="I1096" r:id="rId14616" xr:uid="{282CE926-804A-4759-B64C-7EA4933617A0}"/>
    <hyperlink ref="I1097" r:id="rId14617" xr:uid="{E422965E-48D0-4163-87CB-6019516C30F6}"/>
    <hyperlink ref="I1098" r:id="rId14618" xr:uid="{60B2D593-B53F-4819-816A-E0CA668C8285}"/>
    <hyperlink ref="I1099" r:id="rId14619" xr:uid="{C1D8B04C-CE64-4C8A-9002-FDB5DABB16EF}"/>
    <hyperlink ref="I1100" r:id="rId14620" xr:uid="{D39A5A8B-201C-455E-BA5B-DCC18492C743}"/>
    <hyperlink ref="I1101" r:id="rId14621" xr:uid="{3935C0FF-86B8-453C-8C39-27C4282EF6FA}"/>
    <hyperlink ref="I1102" r:id="rId14622" xr:uid="{E81FAB6F-2A5C-4CB1-ACF5-51344F7F20BB}"/>
    <hyperlink ref="I1103" r:id="rId14623" xr:uid="{9F4F2A87-11CB-4A17-A1DC-B4D55871A7AC}"/>
    <hyperlink ref="I1104" r:id="rId14624" xr:uid="{8F488CBD-5894-40D8-8658-8C961690BD19}"/>
    <hyperlink ref="I1105" r:id="rId14625" xr:uid="{66B96101-5F4D-49EF-8191-9BA11894C3B0}"/>
    <hyperlink ref="I1106" r:id="rId14626" xr:uid="{645F46FE-A338-4907-8B2A-637C271C9BB6}"/>
    <hyperlink ref="I1107" r:id="rId14627" xr:uid="{0DB66C5A-2534-42F0-B815-F39BD36AFAB6}"/>
    <hyperlink ref="I1108" r:id="rId14628" xr:uid="{877F36B6-90EB-4A03-BF2D-29AC7B1C8F45}"/>
    <hyperlink ref="I1109" r:id="rId14629" xr:uid="{DB446738-E681-4182-A79F-E89A28C57ACA}"/>
    <hyperlink ref="I1110" r:id="rId14630" xr:uid="{3B277015-B54F-4063-B939-0D847FC61AC8}"/>
    <hyperlink ref="I1111" r:id="rId14631" xr:uid="{AADA9FBF-B4CB-4CD9-8A4F-26E84EA007D8}"/>
    <hyperlink ref="I1112" r:id="rId14632" xr:uid="{5EE86248-336D-4172-B6FC-52D0371BB613}"/>
    <hyperlink ref="I1113" r:id="rId14633" xr:uid="{D960B744-07D2-4F9C-9DBC-B9FBF58CB816}"/>
    <hyperlink ref="I1114" r:id="rId14634" xr:uid="{1EBC172D-72F2-4672-9006-F85F392CF1F2}"/>
    <hyperlink ref="I1115" r:id="rId14635" xr:uid="{64CF8306-02F2-4FE9-8DC1-D0AA4FEE936B}"/>
    <hyperlink ref="I1116" r:id="rId14636" xr:uid="{644180C1-67E3-475A-96F7-981C63CF6036}"/>
    <hyperlink ref="I1117" r:id="rId14637" xr:uid="{6FF34E78-9EAB-4F87-8516-39606E0D9A38}"/>
    <hyperlink ref="I1118" r:id="rId14638" xr:uid="{0A155A49-AA97-4594-A464-1FC3EBA93537}"/>
    <hyperlink ref="I1119" r:id="rId14639" xr:uid="{2BA8C720-3B5D-424C-A3CF-B054314306B1}"/>
    <hyperlink ref="I1120" r:id="rId14640" xr:uid="{BBED704A-27D4-431A-A9DA-73C003628AC9}"/>
    <hyperlink ref="I1121" r:id="rId14641" xr:uid="{A5088F71-A8AD-4B30-80D9-634193AF2E50}"/>
    <hyperlink ref="I1122" r:id="rId14642" xr:uid="{94A0004F-DFAE-4DD9-B853-B6A5F0CBB144}"/>
    <hyperlink ref="I1123" r:id="rId14643" xr:uid="{C8D71E59-4ACC-4614-8F9F-4C416718C13F}"/>
    <hyperlink ref="I1124" r:id="rId14644" xr:uid="{B730DDD6-4513-46A6-8331-EF0E247BFFB6}"/>
    <hyperlink ref="I1125" r:id="rId14645" xr:uid="{F548CF89-BF22-4608-B4C5-91F03619B276}"/>
    <hyperlink ref="I1126" r:id="rId14646" xr:uid="{91CD41DA-E4EF-4313-B5EF-4F11CDCB65F4}"/>
    <hyperlink ref="I1127" r:id="rId14647" xr:uid="{C3679DCF-C78A-4F30-B840-0E39CF03A0CF}"/>
    <hyperlink ref="I1128" r:id="rId14648" xr:uid="{D7D49344-391F-4473-B9CB-0C94D5C3D3F1}"/>
    <hyperlink ref="I1129" r:id="rId14649" xr:uid="{08EDD9CF-6146-4047-9CF6-EB837AD09D70}"/>
    <hyperlink ref="I1130" r:id="rId14650" xr:uid="{3812A32B-1D55-4B8E-8DF5-2FE861F79B40}"/>
    <hyperlink ref="I1131" r:id="rId14651" xr:uid="{DCE6A105-DE68-4918-8C10-164865983106}"/>
    <hyperlink ref="I1132" r:id="rId14652" xr:uid="{EEABA557-3CEE-408B-934F-C94A03AEF775}"/>
    <hyperlink ref="I1133" r:id="rId14653" xr:uid="{EDEABAC6-ADD5-473B-A2E8-E5B89A0F69A6}"/>
    <hyperlink ref="I1134" r:id="rId14654" xr:uid="{DA4B2B8B-2969-4EF6-8098-8D9F6F10583D}"/>
    <hyperlink ref="I1135" r:id="rId14655" xr:uid="{F63510C6-FF38-4D86-AA21-8C8C628C6899}"/>
    <hyperlink ref="I1136" r:id="rId14656" xr:uid="{21B48AD6-2B98-4A33-9CE3-791B9754A9F2}"/>
    <hyperlink ref="I1137" r:id="rId14657" xr:uid="{1ABA9719-F7FC-4605-937A-59C94EC6BD0E}"/>
    <hyperlink ref="I1138" r:id="rId14658" xr:uid="{801DC437-E4C6-47B1-AC7B-1FCB4AD2E0A5}"/>
    <hyperlink ref="I1139" r:id="rId14659" xr:uid="{05A2D5A4-1DEE-449A-AFB6-C44CB5CCBA22}"/>
    <hyperlink ref="I1140" r:id="rId14660" xr:uid="{5969DFDD-DB15-4677-B17D-66FDED64FF67}"/>
    <hyperlink ref="I1141" r:id="rId14661" xr:uid="{EC2D5C55-D57B-4205-B930-9587DB258065}"/>
    <hyperlink ref="I1142" r:id="rId14662" xr:uid="{464D6381-3710-421B-AF77-6DFBC4ED2425}"/>
    <hyperlink ref="I1143" r:id="rId14663" xr:uid="{DD7C2DBE-3BCD-4B2A-864B-96DEF3192322}"/>
    <hyperlink ref="I1144" r:id="rId14664" xr:uid="{B623166E-B53B-45B0-81A7-97E93682BBC3}"/>
    <hyperlink ref="I1145" r:id="rId14665" xr:uid="{ABA02039-9E39-475F-AD08-7F097E66895C}"/>
    <hyperlink ref="I1146" r:id="rId14666" xr:uid="{A7CD2169-B03B-4D12-A4B4-FD32C2973965}"/>
    <hyperlink ref="I1147" r:id="rId14667" xr:uid="{DCA38C67-A7CB-4C3D-808A-C3C5179F4F55}"/>
    <hyperlink ref="I1148" r:id="rId14668" xr:uid="{1838EA68-D702-4644-937D-9466D96D8645}"/>
    <hyperlink ref="I1149" r:id="rId14669" xr:uid="{A736B358-FB97-4E3F-995D-E57AE76C7CFB}"/>
    <hyperlink ref="I1150" r:id="rId14670" xr:uid="{F0F63744-FB53-40B5-838B-7F2332052158}"/>
    <hyperlink ref="I1151" r:id="rId14671" xr:uid="{7F87BE63-A497-4B0C-B950-944B01D73BB6}"/>
    <hyperlink ref="I1152" r:id="rId14672" xr:uid="{ABA62B77-3883-48BC-A110-61A641E97120}"/>
    <hyperlink ref="I1153" r:id="rId14673" xr:uid="{719B9B66-78B4-4CFE-9370-44C93641A5CD}"/>
    <hyperlink ref="I1154" r:id="rId14674" xr:uid="{FEC46FDC-7CAE-421A-96E6-F3715ECDA233}"/>
    <hyperlink ref="I1155" r:id="rId14675" xr:uid="{0FB54AB6-FC60-46CF-B948-3582B2968CE7}"/>
    <hyperlink ref="I1156" r:id="rId14676" xr:uid="{39CE17FB-2D6C-4104-853E-F9BE81EC8BAE}"/>
    <hyperlink ref="I1157" r:id="rId14677" xr:uid="{A36E7FD6-3967-4618-8BE3-F39C376D1706}"/>
    <hyperlink ref="I1158" r:id="rId14678" xr:uid="{04F0707B-F120-4CF3-99DD-3E47DB6B7F7E}"/>
    <hyperlink ref="I1159" r:id="rId14679" xr:uid="{C2C77B53-A395-47CF-AF88-A2F9C576D5B5}"/>
    <hyperlink ref="I1160" r:id="rId14680" xr:uid="{3E6AD964-652E-4EF5-B706-69BECAEE753C}"/>
    <hyperlink ref="I1161" r:id="rId14681" xr:uid="{5F65A96C-34F8-4C64-9C3E-F03C93A5B3B2}"/>
    <hyperlink ref="I1162" r:id="rId14682" xr:uid="{C6CBFA1C-BC65-4BAD-8EC7-2985B9D8887E}"/>
    <hyperlink ref="I940" r:id="rId14683" xr:uid="{C52A9D06-5E96-4DDA-98F5-C51671933572}"/>
    <hyperlink ref="I941" r:id="rId14684" xr:uid="{DE874ACD-A175-41EB-87C5-756384C5943E}"/>
    <hyperlink ref="I942" r:id="rId14685" xr:uid="{75996B6A-BC9F-4FAE-AE9A-6F9C89D0D475}"/>
    <hyperlink ref="I943" r:id="rId14686" xr:uid="{D01E4A8C-EE4A-499F-A924-2CB0B69D9FB1}"/>
    <hyperlink ref="I944" r:id="rId14687" xr:uid="{58FE1950-BC05-47D9-B962-E3E44652AAFD}"/>
    <hyperlink ref="I945" r:id="rId14688" xr:uid="{D41FC28D-0A02-4BC6-B603-6B5D831C5D7E}"/>
    <hyperlink ref="I946" r:id="rId14689" xr:uid="{37807EEB-B97D-459B-9318-FBB2BC585154}"/>
    <hyperlink ref="I947" r:id="rId14690" xr:uid="{4A3AF65A-4B8E-4D2B-8946-AB15610ED2A8}"/>
    <hyperlink ref="I948" r:id="rId14691" xr:uid="{D73E6A83-3EF6-4D04-A404-4AAD34227F86}"/>
    <hyperlink ref="I949" r:id="rId14692" xr:uid="{BE0C3D16-6171-4BC7-A460-8378CC575D9F}"/>
    <hyperlink ref="I950" r:id="rId14693" xr:uid="{D88E08FC-54D8-42E9-9BB0-9AE890E6498A}"/>
    <hyperlink ref="I951" r:id="rId14694" xr:uid="{B152B493-C66B-4181-854A-49DA273F8681}"/>
    <hyperlink ref="I952" r:id="rId14695" xr:uid="{A2C65A48-9902-4536-9323-E9957E178672}"/>
    <hyperlink ref="I953" r:id="rId14696" xr:uid="{A94E14CF-6DB1-4C1B-876A-238590684C56}"/>
    <hyperlink ref="I954" r:id="rId14697" xr:uid="{48B974B8-E0E0-46F4-9C45-E6E1CB07E467}"/>
    <hyperlink ref="I955" r:id="rId14698" xr:uid="{261A9150-BC52-48C6-8F99-25A56F27FCBE}"/>
    <hyperlink ref="I956" r:id="rId14699" xr:uid="{7EE8B70D-B496-4A10-9A4F-1A572DBCCBB8}"/>
    <hyperlink ref="I957" r:id="rId14700" xr:uid="{976DF261-F091-4F01-8943-F1A8AFADA85F}"/>
    <hyperlink ref="I958" r:id="rId14701" xr:uid="{38505FED-4253-48E7-8697-037C1879DE34}"/>
    <hyperlink ref="I959" r:id="rId14702" xr:uid="{BE80143C-58D7-45D0-9891-2933564E9130}"/>
    <hyperlink ref="I960" r:id="rId14703" xr:uid="{3B9CCD0A-11E4-4A2D-AA5C-80C2DDFD33EC}"/>
    <hyperlink ref="I961" r:id="rId14704" xr:uid="{8000EFD4-BA6E-4456-A8DB-81E7E332EE9C}"/>
    <hyperlink ref="I962" r:id="rId14705" xr:uid="{5249AA74-4C10-45C0-ABD8-41EC8519D68A}"/>
    <hyperlink ref="I963" r:id="rId14706" xr:uid="{16367115-634E-4128-8541-45BC31CC8C36}"/>
    <hyperlink ref="I964" r:id="rId14707" xr:uid="{4C0466C1-A0BF-42F4-BCCE-85A862E1529C}"/>
    <hyperlink ref="I965" r:id="rId14708" xr:uid="{CFE72AFD-A14A-40DC-8B2A-0C27D694D510}"/>
    <hyperlink ref="I966" r:id="rId14709" xr:uid="{EC7661D6-36F1-4F23-A701-757B1EAB081B}"/>
    <hyperlink ref="I967" r:id="rId14710" xr:uid="{2D991D9F-BA50-4E57-B4D3-D8F6531A00B3}"/>
    <hyperlink ref="I968" r:id="rId14711" xr:uid="{FE0890AC-E65C-48CD-8875-9316F1080B95}"/>
    <hyperlink ref="I969" r:id="rId14712" xr:uid="{655BE497-0050-4850-88D3-C3B48E4FD7AA}"/>
    <hyperlink ref="I970" r:id="rId14713" xr:uid="{282477CB-0B78-468E-AB8D-1DDFD355170E}"/>
    <hyperlink ref="I971" r:id="rId14714" xr:uid="{05AB6368-364D-4CE1-B6B0-C4AC97398DEC}"/>
    <hyperlink ref="I972" r:id="rId14715" xr:uid="{209E178C-0636-4D51-9A88-5C4C002A9355}"/>
    <hyperlink ref="I973" r:id="rId14716" xr:uid="{3E029614-E5C2-4843-B5FC-BB067432D93D}"/>
    <hyperlink ref="I974" r:id="rId14717" xr:uid="{3937C781-EAB6-4B2C-B7D4-0BC5A71316AD}"/>
    <hyperlink ref="I975" r:id="rId14718" xr:uid="{BC46CF26-146E-4ED6-A14B-EA27160A675E}"/>
    <hyperlink ref="I976" r:id="rId14719" xr:uid="{605DE61B-C763-4871-8FEC-DF7E8D894D36}"/>
    <hyperlink ref="I977" r:id="rId14720" xr:uid="{B8AC2931-13D9-45B3-B520-22368551CF1B}"/>
    <hyperlink ref="I978" r:id="rId14721" xr:uid="{7D9008F6-64F4-4D83-B41A-7118FC44BA0E}"/>
    <hyperlink ref="I979" r:id="rId14722" xr:uid="{1F236BCE-B2FD-478E-9704-738C069A8A72}"/>
    <hyperlink ref="I980" r:id="rId14723" xr:uid="{DB9A6688-B0E8-4F1C-AA7A-2C3D193F7914}"/>
    <hyperlink ref="I981" r:id="rId14724" xr:uid="{120F6B56-ADFA-4D0A-AF94-AD27EDF75975}"/>
    <hyperlink ref="I982" r:id="rId14725" xr:uid="{1C78BC14-7797-481D-89F3-10436212C02B}"/>
    <hyperlink ref="I983" r:id="rId14726" xr:uid="{3EF04225-D3B8-4592-A42C-8E6F560EB8D8}"/>
    <hyperlink ref="I984" r:id="rId14727" xr:uid="{6F404746-FC7B-41FB-8F07-71864E253702}"/>
    <hyperlink ref="I985" r:id="rId14728" xr:uid="{1A220BD5-8441-48AF-9071-C57C4774A324}"/>
    <hyperlink ref="I986" r:id="rId14729" xr:uid="{7F5A7CBD-9F8A-453F-A357-E92ABD0FB158}"/>
    <hyperlink ref="I987" r:id="rId14730" xr:uid="{756B1C1C-8751-4E8B-A6CA-C774923DA7E6}"/>
    <hyperlink ref="I988" r:id="rId14731" xr:uid="{1B44D656-3CF1-4D2C-B945-F490E86FB6A7}"/>
    <hyperlink ref="I989" r:id="rId14732" xr:uid="{E1BCE20C-7C3F-4617-8BE6-B9E22752787A}"/>
    <hyperlink ref="I990" r:id="rId14733" xr:uid="{B59F3D42-07E2-4568-B383-6D8360DF1F1C}"/>
    <hyperlink ref="I991" r:id="rId14734" xr:uid="{A6AE2A71-79F3-41D8-AAD7-B0B7C240310E}"/>
    <hyperlink ref="I992" r:id="rId14735" xr:uid="{2A5D4E51-3629-44F1-B6A0-99A27A47557D}"/>
    <hyperlink ref="I993" r:id="rId14736" xr:uid="{348197B6-D48D-40F2-8810-27D95C75EB51}"/>
    <hyperlink ref="I994" r:id="rId14737" xr:uid="{917B4D38-037F-4B62-A8A2-E1CCE3559179}"/>
    <hyperlink ref="I995" r:id="rId14738" xr:uid="{7B8E6074-F9A0-44D6-8094-19B558568650}"/>
    <hyperlink ref="I996" r:id="rId14739" xr:uid="{04F97DA9-65A4-487D-8C1C-75478C3663CF}"/>
    <hyperlink ref="I997" r:id="rId14740" xr:uid="{58EE5319-65C7-4B69-A777-0B1259F9B5F7}"/>
    <hyperlink ref="I998" r:id="rId14741" xr:uid="{6512B113-F998-4E46-8188-35AE2426A061}"/>
    <hyperlink ref="I999" r:id="rId14742" xr:uid="{13B7252C-1A2F-405B-B190-AA6D5EBAA814}"/>
    <hyperlink ref="I1000" r:id="rId14743" xr:uid="{3402951F-5D84-4157-8EA3-6EE6D76A06CB}"/>
    <hyperlink ref="I1001" r:id="rId14744" xr:uid="{D2237F31-43F3-4B99-B53A-0A11A68577DF}"/>
    <hyperlink ref="I1002" r:id="rId14745" xr:uid="{999F849B-E1D2-45A7-99F6-5C084BDE1C80}"/>
    <hyperlink ref="I1003" r:id="rId14746" xr:uid="{FEFB4094-0D7F-4172-9436-A9537691BAD1}"/>
    <hyperlink ref="I1004" r:id="rId14747" xr:uid="{6FBFDDC5-A290-427C-9899-0E08E97B7F0E}"/>
    <hyperlink ref="I1005" r:id="rId14748" xr:uid="{0ACC6BD4-530A-455B-A4BF-09550B0C8128}"/>
    <hyperlink ref="I1006" r:id="rId14749" xr:uid="{351F0FA9-82C1-4061-8995-4F6D5DBC8D11}"/>
    <hyperlink ref="I1007" r:id="rId14750" xr:uid="{BBB37F86-66CA-4E64-9F5A-EFBD2D67663F}"/>
    <hyperlink ref="I1008" r:id="rId14751" xr:uid="{3164CBCD-417C-4FB6-AA8C-595E26A47D70}"/>
    <hyperlink ref="I1009" r:id="rId14752" xr:uid="{9399FB1F-56CA-45C4-BEFD-4586581F58D4}"/>
    <hyperlink ref="I1010" r:id="rId14753" xr:uid="{F9E6C169-DAF0-4A12-8C43-C228CE65CEC5}"/>
    <hyperlink ref="I1011" r:id="rId14754" xr:uid="{B2E6E959-A794-46F9-BD84-33C22DFEBB9C}"/>
    <hyperlink ref="I1012" r:id="rId14755" xr:uid="{CBA01271-FF13-410E-BA1C-61CAD6E07721}"/>
    <hyperlink ref="I1013" r:id="rId14756" xr:uid="{AB95534A-C27C-4AD0-AE43-100F57E9B68B}"/>
    <hyperlink ref="I1014" r:id="rId14757" xr:uid="{A459B766-A363-4547-A6B9-1688C9D55AD8}"/>
    <hyperlink ref="I1015" r:id="rId14758" xr:uid="{615AE68D-EE66-4E9F-80F5-5BF0E7D0D561}"/>
    <hyperlink ref="I1016" r:id="rId14759" xr:uid="{64CA8254-A60C-44E1-9189-E064DA6EC2C0}"/>
    <hyperlink ref="I1017" r:id="rId14760" xr:uid="{3D937016-5AE2-4CA9-B1EC-3F53BD562949}"/>
    <hyperlink ref="I1018" r:id="rId14761" xr:uid="{3595FD25-A9B7-463C-B279-B88E602CEC82}"/>
    <hyperlink ref="I1019" r:id="rId14762" xr:uid="{72857962-F703-4328-946A-3DE73C4329F7}"/>
    <hyperlink ref="I1020" r:id="rId14763" xr:uid="{F43BACF9-C9CD-4706-9D52-0C8455F756DE}"/>
    <hyperlink ref="I1021" r:id="rId14764" xr:uid="{A9D20758-D576-4C27-9150-FC5A54908AD9}"/>
    <hyperlink ref="I1022" r:id="rId14765" xr:uid="{F5932C2F-31F6-4BB4-9703-ACBBEF766B66}"/>
    <hyperlink ref="I1023" r:id="rId14766" xr:uid="{18C82764-5F3C-4008-8C4A-B9ECF828451A}"/>
    <hyperlink ref="I1024" r:id="rId14767" xr:uid="{264B9B5B-F4D3-45C9-9B01-EE796F2905FC}"/>
    <hyperlink ref="I1025" r:id="rId14768" xr:uid="{C7CC5F50-1444-4D90-B51A-6D69D9FBDBED}"/>
    <hyperlink ref="I1026" r:id="rId14769" xr:uid="{8EBD8607-21E3-44D4-8D4C-BAFF58B68380}"/>
    <hyperlink ref="I1027" r:id="rId14770" xr:uid="{9E0599FA-0408-413E-B103-2861D1BC8647}"/>
    <hyperlink ref="I1028" r:id="rId14771" xr:uid="{2159D166-4FD9-4E99-B895-7327453536AA}"/>
    <hyperlink ref="I1029" r:id="rId14772" xr:uid="{4142C4B8-5B70-4EB3-89CE-C558F1F62897}"/>
    <hyperlink ref="I1030" r:id="rId14773" xr:uid="{20DFD7BE-5286-4921-A4BF-48D0A97E77EF}"/>
    <hyperlink ref="I1031" r:id="rId14774" xr:uid="{2B04DC91-CAD5-4BC5-A977-993D72EF7ABF}"/>
    <hyperlink ref="I1032" r:id="rId14775" xr:uid="{941DB366-2DE4-43B3-8E8A-D9A06E6114EC}"/>
    <hyperlink ref="I1033" r:id="rId14776" xr:uid="{89F84BF9-F282-471F-A5A1-1806AF38988F}"/>
    <hyperlink ref="I1034" r:id="rId14777" xr:uid="{8A377AB7-0DBE-42EF-821C-C2D869C412CA}"/>
    <hyperlink ref="I1035" r:id="rId14778" xr:uid="{5BE98FA4-1B02-469F-BCA2-0F05A9BDD3D4}"/>
    <hyperlink ref="I1036" r:id="rId14779" xr:uid="{0EE5182D-833A-40A3-804A-193DE0CD9B6C}"/>
    <hyperlink ref="I1037" r:id="rId14780" xr:uid="{A907DD04-00FA-43CC-97FC-8582BA267867}"/>
    <hyperlink ref="I1038" r:id="rId14781" xr:uid="{92D4B246-1570-4FEB-B4E7-868BE05298BA}"/>
    <hyperlink ref="I1039" r:id="rId14782" xr:uid="{F7D4BCA1-1B05-4835-BE33-406122059E77}"/>
    <hyperlink ref="I1040" r:id="rId14783" xr:uid="{F509E4FC-DB9D-4CD5-86D9-B91A7ED71BCC}"/>
    <hyperlink ref="I1041" r:id="rId14784" xr:uid="{35E5AA58-CF77-40E0-B2BF-35639A68C141}"/>
    <hyperlink ref="I1042" r:id="rId14785" xr:uid="{F1CDA643-FC56-47BC-8001-A380104610A4}"/>
    <hyperlink ref="I1043" r:id="rId14786" xr:uid="{044ABBCF-9FA1-49F4-8BD6-E70C45FCE100}"/>
    <hyperlink ref="I1044" r:id="rId14787" xr:uid="{B4B99F9E-6C6B-4903-A90D-28D2B0365D8D}"/>
    <hyperlink ref="I1045" r:id="rId14788" xr:uid="{5DC45DAF-734D-4B59-9A31-4C14D636BC3B}"/>
    <hyperlink ref="I1046" r:id="rId14789" xr:uid="{4D42F901-FF48-4308-8B06-39246ED0091D}"/>
    <hyperlink ref="I1047" r:id="rId14790" xr:uid="{8E6A6F6D-6E4C-4308-8671-E78A123D7B44}"/>
    <hyperlink ref="I1048" r:id="rId14791" xr:uid="{593A976F-9EEC-4C74-A6E9-80B8C866A22C}"/>
    <hyperlink ref="I1049" r:id="rId14792" xr:uid="{B65682C5-FA0C-4777-9BE8-5FD1E5D08C19}"/>
    <hyperlink ref="I1050" r:id="rId14793" xr:uid="{5D1E5A5A-92A0-4B4A-BA3F-77E3DFC85688}"/>
    <hyperlink ref="I1051" r:id="rId14794" xr:uid="{047C511D-7544-469E-BF9A-CAF85C84D30D}"/>
    <hyperlink ref="I1052" r:id="rId14795" xr:uid="{DD6E804D-17FF-4F7C-B8CF-FBC9F5995FE0}"/>
    <hyperlink ref="I1053" r:id="rId14796" xr:uid="{33F29814-4B40-4565-881E-B58CADA7FC8F}"/>
    <hyperlink ref="I1054" r:id="rId14797" xr:uid="{D779D4A8-72BC-4E58-997A-57DE30F870AF}"/>
    <hyperlink ref="I1055" r:id="rId14798" xr:uid="{166FF569-63B2-46D7-879C-B34150A35271}"/>
    <hyperlink ref="I1056" r:id="rId14799" xr:uid="{C7B3323B-4DA4-45E6-8137-FAE63C98D95D}"/>
    <hyperlink ref="I1057" r:id="rId14800" xr:uid="{8D21BA3C-7A02-4B06-9F1C-213EBCDC1213}"/>
    <hyperlink ref="I1058" r:id="rId14801" xr:uid="{0858404B-05FE-4194-815D-07A8BBFA78B4}"/>
    <hyperlink ref="I1059" r:id="rId14802" xr:uid="{1A4ABEB8-E22C-4EB3-A859-E337C9A5F066}"/>
    <hyperlink ref="I1060" r:id="rId14803" xr:uid="{F1A3CC9B-B278-41E0-A608-04B81F46BFDE}"/>
    <hyperlink ref="I1061" r:id="rId14804" xr:uid="{2A8C26E0-0E9F-465C-894D-96B59DEF496B}"/>
    <hyperlink ref="I1062" r:id="rId14805" xr:uid="{CEA2300F-E1B4-40A5-A110-9D745E2C0E7A}"/>
    <hyperlink ref="I1063" r:id="rId14806" xr:uid="{54E427F7-D82F-4B45-AD3C-928F879A2361}"/>
    <hyperlink ref="I1064" r:id="rId14807" xr:uid="{311F7280-BB89-4D4E-85CA-5F0335F17084}"/>
    <hyperlink ref="I1065" r:id="rId14808" xr:uid="{DDE24AA3-E7F2-4C99-92F0-9EBA0217EE51}"/>
    <hyperlink ref="I1066" r:id="rId14809" xr:uid="{CB993A36-3CDA-4531-AE47-83DB6FD7CE46}"/>
    <hyperlink ref="I1067" r:id="rId14810" xr:uid="{00EE9B94-EBB6-4894-A304-54A21BF7AE0D}"/>
    <hyperlink ref="I1068" r:id="rId14811" xr:uid="{5A06C091-B7B1-4976-B077-325BB67414EE}"/>
    <hyperlink ref="I1069" r:id="rId14812" xr:uid="{B3B42968-811B-4514-9809-E4872B9625A7}"/>
    <hyperlink ref="I1070" r:id="rId14813" xr:uid="{8102BB92-1154-4B80-AC2B-DE5FF988B66B}"/>
    <hyperlink ref="I1071" r:id="rId14814" xr:uid="{3358E38F-CDF6-4ABB-BFAB-923ACA6AB72F}"/>
    <hyperlink ref="I1072" r:id="rId14815" xr:uid="{78D9B602-89E7-44D4-997B-026D52AC56F1}"/>
    <hyperlink ref="I1073" r:id="rId14816" xr:uid="{D8491F29-EEDC-434A-A4FD-8B488ADDEF93}"/>
    <hyperlink ref="I1074" r:id="rId14817" xr:uid="{43FDE920-E784-42C0-BE1D-79CC4D017E86}"/>
    <hyperlink ref="I851" r:id="rId14818" xr:uid="{15985D73-625D-49FE-8BDE-AEE7AFF25607}"/>
    <hyperlink ref="I852" r:id="rId14819" xr:uid="{CA442399-F7E9-4800-B9B7-B1271B7B9322}"/>
    <hyperlink ref="I853" r:id="rId14820" xr:uid="{328FDCEF-60F3-4B2D-BC51-0B91E8DBE8A3}"/>
    <hyperlink ref="I854" r:id="rId14821" xr:uid="{88F62366-C483-4D9B-B54C-4D0A9624C7F8}"/>
    <hyperlink ref="I855" r:id="rId14822" xr:uid="{319F19BE-5035-49ED-B4D3-016B2170245B}"/>
    <hyperlink ref="I856" r:id="rId14823" xr:uid="{C00EF16E-DE20-442C-BB0C-7E00FFDA378E}"/>
    <hyperlink ref="I857" r:id="rId14824" xr:uid="{011053A2-69F4-4947-9B1E-ED5BC085180B}"/>
    <hyperlink ref="I858" r:id="rId14825" xr:uid="{2D398D32-3593-47B0-98D1-43153A261370}"/>
    <hyperlink ref="I859" r:id="rId14826" xr:uid="{E9D7C7D0-09BD-4985-A743-8B3AA1FE7C76}"/>
    <hyperlink ref="I860" r:id="rId14827" xr:uid="{32EBE7A7-81F6-4EC2-8E09-DD8AA2982230}"/>
    <hyperlink ref="I861" r:id="rId14828" xr:uid="{A422F2E2-2FFB-4BD0-8881-D9D2A616EB4D}"/>
    <hyperlink ref="I862" r:id="rId14829" xr:uid="{F0C27729-8217-4679-88BD-422D6B2389D0}"/>
    <hyperlink ref="I863" r:id="rId14830" xr:uid="{3A21DC63-A9EA-4ABD-A8E4-33FFDE0B92D9}"/>
    <hyperlink ref="I864" r:id="rId14831" xr:uid="{4146E91E-235B-42DB-8FC6-A86AFAB871DC}"/>
    <hyperlink ref="I865" r:id="rId14832" xr:uid="{1A108FAB-DDF6-4B36-AE6D-AFDE4BFC03E7}"/>
    <hyperlink ref="I866" r:id="rId14833" xr:uid="{3BC9C216-E26C-4D5F-92A8-8DDA574D6475}"/>
    <hyperlink ref="I867" r:id="rId14834" xr:uid="{8EF296FA-B661-4D35-8AC8-081BD98E24A3}"/>
    <hyperlink ref="I868" r:id="rId14835" xr:uid="{F6AFF9D8-FA80-4817-B5CE-63B9635B8BDF}"/>
    <hyperlink ref="I869" r:id="rId14836" xr:uid="{22BEF00B-B1C6-4147-8A4A-0E80B1BCB844}"/>
    <hyperlink ref="I870" r:id="rId14837" xr:uid="{D4214D12-33B5-46B2-929E-D9D51FDDC49C}"/>
    <hyperlink ref="I871" r:id="rId14838" xr:uid="{D46115F8-7BC1-4300-9324-4BB8A255B149}"/>
    <hyperlink ref="I872" r:id="rId14839" xr:uid="{A74A519E-DDAC-433A-ACCA-1FB4FB5AED2C}"/>
    <hyperlink ref="I873" r:id="rId14840" xr:uid="{7EC7CA49-9389-412D-A44D-B0661F2026E3}"/>
    <hyperlink ref="I874" r:id="rId14841" xr:uid="{2B1E25B2-5905-4928-B212-98ECA2025729}"/>
    <hyperlink ref="I875" r:id="rId14842" xr:uid="{0687AEBA-8732-4C9C-B178-BB1820BF2A3C}"/>
    <hyperlink ref="I876" r:id="rId14843" xr:uid="{2BDE8173-300D-4640-9B5B-CA33CCACCC3B}"/>
    <hyperlink ref="I877" r:id="rId14844" xr:uid="{C4B34547-8891-45B4-A38C-5332A9AA8C87}"/>
    <hyperlink ref="I878" r:id="rId14845" xr:uid="{39838956-1F32-4C6A-A73C-2D0CB611E793}"/>
    <hyperlink ref="I879" r:id="rId14846" xr:uid="{62507020-ED71-4795-8265-9577133BA9D1}"/>
    <hyperlink ref="I880" r:id="rId14847" xr:uid="{85925200-6F83-43FA-B7F0-F7F6DEFBC9ED}"/>
    <hyperlink ref="I881" r:id="rId14848" xr:uid="{66B22B7E-83FF-4B97-8AC9-C0D479ACE917}"/>
    <hyperlink ref="I882" r:id="rId14849" xr:uid="{BA49A6BE-3005-43A0-838A-30E26CE5624B}"/>
    <hyperlink ref="I883" r:id="rId14850" xr:uid="{2E2A6ECA-0C21-465B-9BA3-982BDE107E0D}"/>
    <hyperlink ref="I884" r:id="rId14851" xr:uid="{6BE03143-658F-4AE2-9F13-3C637B6B067A}"/>
    <hyperlink ref="I885" r:id="rId14852" xr:uid="{3464F824-E54E-417C-898D-627F117F42F3}"/>
    <hyperlink ref="I886" r:id="rId14853" xr:uid="{45246C52-B551-4C89-8F68-78BC97E93E0D}"/>
    <hyperlink ref="I887" r:id="rId14854" xr:uid="{015C06C0-E1A2-4B18-8FD4-B846143ABBA5}"/>
    <hyperlink ref="I888" r:id="rId14855" xr:uid="{DAD5B5B8-165C-4C66-AAF8-714CDD6D95D5}"/>
    <hyperlink ref="I889" r:id="rId14856" xr:uid="{6DCDB1B4-96E4-4F84-BB22-9E122A70D0D3}"/>
    <hyperlink ref="I890" r:id="rId14857" xr:uid="{1C40694D-2F69-40AB-BD1B-F407586F8F96}"/>
    <hyperlink ref="I891" r:id="rId14858" xr:uid="{0C17C220-0071-4DC3-A1F5-C29B0CD20C1C}"/>
    <hyperlink ref="I892" r:id="rId14859" xr:uid="{FBCC7EF5-4B82-4A4D-82A9-2532F4D81B0A}"/>
    <hyperlink ref="I893" r:id="rId14860" xr:uid="{FA67F09D-2BA0-4009-AD65-2B447D8E0C72}"/>
    <hyperlink ref="I894" r:id="rId14861" xr:uid="{94367439-CCC2-4D31-B119-F890B910610C}"/>
    <hyperlink ref="I895" r:id="rId14862" xr:uid="{9261272E-F5D6-4910-9A90-2412BA572679}"/>
    <hyperlink ref="I896" r:id="rId14863" xr:uid="{EEE6A2FE-8F6A-4A8B-93C9-1E72C0AAB8BC}"/>
    <hyperlink ref="I897" r:id="rId14864" xr:uid="{F24BF4E6-256B-4F10-870E-C611441D32AE}"/>
    <hyperlink ref="I898" r:id="rId14865" xr:uid="{2FCB25F0-DC6A-44F6-95B5-05CDFFFDA645}"/>
    <hyperlink ref="I899" r:id="rId14866" xr:uid="{8DA83666-5A80-4FBA-AD6B-367DA3A37A73}"/>
    <hyperlink ref="I900" r:id="rId14867" xr:uid="{8DFDEC99-6E18-4BC4-988E-6E2816D4CDA3}"/>
    <hyperlink ref="I901" r:id="rId14868" xr:uid="{034FF80C-6E8E-4CC4-8C45-D8C2AC2C9E8B}"/>
    <hyperlink ref="I902" r:id="rId14869" xr:uid="{6B331448-30AE-43A5-8A6E-0211DB140B27}"/>
    <hyperlink ref="I903" r:id="rId14870" xr:uid="{5E8950BE-16A1-4748-9BD1-002BFB3464F4}"/>
    <hyperlink ref="I904" r:id="rId14871" xr:uid="{A994B731-5079-4CDC-8DFC-E4307DF97BE2}"/>
    <hyperlink ref="I905" r:id="rId14872" xr:uid="{3204B62F-EDA9-4B6D-BC12-7892024AA864}"/>
    <hyperlink ref="I906" r:id="rId14873" xr:uid="{4E7106DF-A91B-498C-8F7B-3A8686FFAC08}"/>
    <hyperlink ref="I907" r:id="rId14874" xr:uid="{FE5063A0-2E65-4123-B1A0-1E140F35A19F}"/>
    <hyperlink ref="I908" r:id="rId14875" xr:uid="{F85A3C9D-1F41-4648-A7DC-35430E355C01}"/>
    <hyperlink ref="I909" r:id="rId14876" xr:uid="{2E11BAB6-D186-402A-8E24-C75838EF32DE}"/>
    <hyperlink ref="I910" r:id="rId14877" xr:uid="{FB75DEE8-33AE-4591-B65F-657877099B1C}"/>
    <hyperlink ref="I911" r:id="rId14878" xr:uid="{6328A73E-4C85-4FF0-B946-06E10AA41E68}"/>
    <hyperlink ref="I912" r:id="rId14879" xr:uid="{7602054D-FEFF-47A7-A11F-D222B74B846C}"/>
    <hyperlink ref="I913" r:id="rId14880" xr:uid="{7166889B-DB2C-46EA-898E-9F217750557A}"/>
    <hyperlink ref="I914" r:id="rId14881" xr:uid="{EF99B1D3-75FA-4BF8-A18F-604D3E4351D6}"/>
    <hyperlink ref="I915" r:id="rId14882" xr:uid="{FD5F0932-956E-44BB-B5FE-7393382790EC}"/>
    <hyperlink ref="I916" r:id="rId14883" xr:uid="{29B39707-3F81-41F6-94D5-8178F379160C}"/>
    <hyperlink ref="I917" r:id="rId14884" xr:uid="{A0D37E42-589E-4EBF-B834-AE17CB98955C}"/>
    <hyperlink ref="I918" r:id="rId14885" xr:uid="{8DF14790-9ECF-4A0E-AE7A-E1BD16437A3B}"/>
    <hyperlink ref="I919" r:id="rId14886" xr:uid="{3D90AA89-390F-4C9C-BF4D-DFFEE94CD7DD}"/>
    <hyperlink ref="I920" r:id="rId14887" xr:uid="{F28D86DA-820D-4FD0-809D-34EE88AB77B7}"/>
    <hyperlink ref="I921" r:id="rId14888" xr:uid="{F0E4B375-C3C0-4348-9865-2AFC504A94E4}"/>
    <hyperlink ref="I922" r:id="rId14889" xr:uid="{BE1DAF0A-FA9D-41AD-9037-DC4126437D87}"/>
    <hyperlink ref="I923" r:id="rId14890" xr:uid="{1C5312B5-1E2C-4F8F-9DBB-6FB026FC6942}"/>
    <hyperlink ref="I924" r:id="rId14891" xr:uid="{2E27B152-4976-48D2-B24F-10B57115B5F7}"/>
    <hyperlink ref="I925" r:id="rId14892" xr:uid="{ED5F6BEB-4831-4FED-8D11-F0553DF38208}"/>
    <hyperlink ref="I926" r:id="rId14893" xr:uid="{C6EAD0E2-91BE-4DA1-B860-AA25F15AFA13}"/>
    <hyperlink ref="I927" r:id="rId14894" xr:uid="{DE69CDD9-0F98-49AD-93C7-7BA0ACD04B54}"/>
    <hyperlink ref="I928" r:id="rId14895" xr:uid="{A5E56D35-2386-4B50-A1E4-446891E090A0}"/>
    <hyperlink ref="I929" r:id="rId14896" xr:uid="{09DDCCC0-3B7E-4BB1-A9EC-716AF75E7F01}"/>
    <hyperlink ref="I930" r:id="rId14897" xr:uid="{0772E48F-BD3C-4940-8A35-9DD2039185AB}"/>
    <hyperlink ref="I931" r:id="rId14898" xr:uid="{B04FA029-FEEB-403F-9A09-3B39E7EB3B07}"/>
    <hyperlink ref="I932" r:id="rId14899" xr:uid="{4F902AEE-4138-46DF-83BE-53EA0359B3BE}"/>
    <hyperlink ref="I933" r:id="rId14900" xr:uid="{C4CD37C2-592E-4DC5-B427-71D71BEEC4D5}"/>
    <hyperlink ref="I934" r:id="rId14901" xr:uid="{A43AFA64-3A12-4959-BF65-F72EC5A9BDAC}"/>
    <hyperlink ref="I935" r:id="rId14902" xr:uid="{E08EE9F9-7B58-47B6-8200-8E9F9FF7720F}"/>
    <hyperlink ref="I936" r:id="rId14903" xr:uid="{17035F55-7D3C-437E-96FB-B33C3E422833}"/>
    <hyperlink ref="I937" r:id="rId14904" xr:uid="{3C874171-FADA-4A29-9606-EC5D83B69650}"/>
    <hyperlink ref="I938" r:id="rId14905" xr:uid="{7BE22F57-A744-4E49-8AD6-6A19BB0B1CB4}"/>
    <hyperlink ref="I939" r:id="rId14906" xr:uid="{CB27188A-6675-41E7-8BF8-32A0D0B027DD}"/>
    <hyperlink ref="I730" r:id="rId14907" xr:uid="{D1615910-33B0-47A1-89BB-115F53FB86A8}"/>
    <hyperlink ref="I731" r:id="rId14908" xr:uid="{57A52D4F-2380-4E79-9E5F-D89FC3CF4181}"/>
    <hyperlink ref="I732" r:id="rId14909" xr:uid="{948FD630-5D4E-4B86-A942-5927EEB4F4CB}"/>
    <hyperlink ref="I733" r:id="rId14910" xr:uid="{31C113E3-12AB-4663-99F5-8F9FBA12AB8C}"/>
    <hyperlink ref="I734" r:id="rId14911" xr:uid="{85AFE24B-57A7-4BA2-971F-B2F0C7B589F8}"/>
    <hyperlink ref="I735" r:id="rId14912" xr:uid="{F1567181-D170-4B61-80D5-7392908FEDF0}"/>
    <hyperlink ref="I736" r:id="rId14913" xr:uid="{8CCA3C63-4164-4232-8E54-160B70CCD14A}"/>
    <hyperlink ref="I737" r:id="rId14914" xr:uid="{5E42A1F5-FE80-49DA-8848-16D5B81865D1}"/>
    <hyperlink ref="I738" r:id="rId14915" xr:uid="{7DA9D83C-1CE4-4462-8F09-DE5935697B44}"/>
    <hyperlink ref="I739" r:id="rId14916" xr:uid="{1C02142D-52D7-4FDF-817B-B58D2C5C288E}"/>
    <hyperlink ref="I740" r:id="rId14917" xr:uid="{3C582C81-F450-4A8A-9473-8C4669663A82}"/>
    <hyperlink ref="I741" r:id="rId14918" xr:uid="{CEB8E232-FB2D-4A15-8644-ABDFDDFAFE56}"/>
    <hyperlink ref="I742" r:id="rId14919" xr:uid="{5B515BEF-EBA6-4F3D-B080-3E66EE3B4A72}"/>
    <hyperlink ref="I743" r:id="rId14920" xr:uid="{4DEA123A-E9E9-49D8-8158-584F848A52E9}"/>
    <hyperlink ref="I744" r:id="rId14921" xr:uid="{DD0D0A51-FDE4-4705-B394-DF74E5885021}"/>
    <hyperlink ref="I745" r:id="rId14922" xr:uid="{A3BFC04C-34EE-4509-8672-66E5F51A3ECB}"/>
    <hyperlink ref="I746" r:id="rId14923" xr:uid="{9D52FB82-6F30-4EA7-994A-46832AA9AB33}"/>
    <hyperlink ref="I747" r:id="rId14924" xr:uid="{51E7FF7E-FED2-49DE-8575-5A370C8569B6}"/>
    <hyperlink ref="I748" r:id="rId14925" xr:uid="{91B8FFF5-3302-4CE6-807C-A4738D5F7D77}"/>
    <hyperlink ref="I749" r:id="rId14926" xr:uid="{0A55DF90-7D3E-4972-9487-9A0D14904B2A}"/>
    <hyperlink ref="I750" r:id="rId14927" xr:uid="{F3CF6A86-FE8D-4BD3-AF5D-76520AF5F30F}"/>
    <hyperlink ref="I751" r:id="rId14928" xr:uid="{F8D08A5A-3FBF-430B-8636-63010FDDF34B}"/>
    <hyperlink ref="I752" r:id="rId14929" xr:uid="{F2EE5A15-C760-4B08-89E5-FF62282F8B39}"/>
    <hyperlink ref="I753" r:id="rId14930" xr:uid="{47A9640A-98F4-4A71-B1A9-67D1BB9E23F8}"/>
    <hyperlink ref="I754" r:id="rId14931" xr:uid="{1C1ED1C7-3073-434E-A63E-0F030A7A3101}"/>
    <hyperlink ref="I755" r:id="rId14932" xr:uid="{88A2D03E-A723-466C-B08A-6AE8B538E63F}"/>
    <hyperlink ref="I756" r:id="rId14933" xr:uid="{39FF5F35-1B9D-4363-ABD9-197AB7584D0C}"/>
    <hyperlink ref="I757" r:id="rId14934" xr:uid="{B330C5BD-663D-4F91-AC27-C534D0674BAF}"/>
    <hyperlink ref="I758" r:id="rId14935" xr:uid="{8CFDAF6F-B0E0-429A-B666-424E3F94285E}"/>
    <hyperlink ref="I759" r:id="rId14936" xr:uid="{3C0D2BF5-6A60-4551-B619-1F9FF16EC3CB}"/>
    <hyperlink ref="I760" r:id="rId14937" xr:uid="{D3168C83-7E06-4D11-9642-6CE48F3C424A}"/>
    <hyperlink ref="I761" r:id="rId14938" xr:uid="{06EF9E65-0722-44A0-9DF7-01F3255D0E21}"/>
    <hyperlink ref="I762" r:id="rId14939" xr:uid="{ABF65ADF-0FBB-4B62-856A-270E3E32D802}"/>
    <hyperlink ref="I763" r:id="rId14940" xr:uid="{FE4A04D1-21C6-4E96-BEC5-6828358A5824}"/>
    <hyperlink ref="I764" r:id="rId14941" xr:uid="{0BD6BD5E-B8BC-40D9-8714-861695B90D72}"/>
    <hyperlink ref="I765" r:id="rId14942" xr:uid="{AFCF156A-8F8B-4C76-A395-FCFBCEE86E7D}"/>
    <hyperlink ref="I766" r:id="rId14943" xr:uid="{1E57C716-A9CE-4304-90F1-45212E22A533}"/>
    <hyperlink ref="I767" r:id="rId14944" xr:uid="{55341769-D12F-4A9C-A972-0E43BBD55BFB}"/>
    <hyperlink ref="I768" r:id="rId14945" xr:uid="{F9A0C251-71E7-400C-AD93-D8EEE101F572}"/>
    <hyperlink ref="I769" r:id="rId14946" xr:uid="{48893DB6-A6BF-4EBF-BE60-CAF19612A849}"/>
    <hyperlink ref="I770" r:id="rId14947" xr:uid="{2BEAC7B0-4CDA-4F87-8B97-0DFB9DA7A0BF}"/>
    <hyperlink ref="I771" r:id="rId14948" xr:uid="{86E67ECD-2B27-48A8-A86C-247A0E82D82D}"/>
    <hyperlink ref="I772" r:id="rId14949" xr:uid="{362768AE-C024-4D88-823E-3E639CC6AAE0}"/>
    <hyperlink ref="I773" r:id="rId14950" xr:uid="{277A5271-B56C-4C86-82E2-D82AD807606B}"/>
    <hyperlink ref="I774" r:id="rId14951" xr:uid="{CB47BFAD-70A2-4420-9150-1B7058243814}"/>
    <hyperlink ref="I775" r:id="rId14952" xr:uid="{C55B1CF8-AD6F-4DCF-A619-6E233F2B3E8A}"/>
    <hyperlink ref="I776" r:id="rId14953" xr:uid="{3BD77E0A-DDC6-4EF0-A61E-D6B7B54ACACB}"/>
    <hyperlink ref="I777" r:id="rId14954" xr:uid="{BEE2E508-B178-47ED-893F-EA2D555ECEB3}"/>
    <hyperlink ref="I778" r:id="rId14955" xr:uid="{25280008-7EB3-4DA0-9C9F-55F2243E9282}"/>
    <hyperlink ref="I779" r:id="rId14956" xr:uid="{0D800430-5ECB-4668-8561-B4E620FAE4BA}"/>
    <hyperlink ref="I780" r:id="rId14957" xr:uid="{6CC3F3C9-499C-49BB-89B7-64123EF18446}"/>
    <hyperlink ref="I781" r:id="rId14958" xr:uid="{5938FC3E-A012-4A0E-A697-7A6097C13738}"/>
    <hyperlink ref="I782" r:id="rId14959" xr:uid="{BA1C3485-A8F2-4E55-8A5B-C675F4A548B4}"/>
    <hyperlink ref="I783" r:id="rId14960" xr:uid="{A5B3BED3-B280-4253-9F12-8DEDD4724959}"/>
    <hyperlink ref="I784" r:id="rId14961" xr:uid="{4B17F436-E057-44B6-833D-01C85B469A53}"/>
    <hyperlink ref="I785" r:id="rId14962" xr:uid="{A981861A-6709-474C-8E51-AE3ADA0F8C0C}"/>
    <hyperlink ref="I786" r:id="rId14963" xr:uid="{C9CACA4A-7A4C-4FE1-8929-36C1214B0EA5}"/>
    <hyperlink ref="I787" r:id="rId14964" xr:uid="{81C0484A-5D23-4F3E-AC98-8465E2A073BF}"/>
    <hyperlink ref="I788" r:id="rId14965" xr:uid="{07962EA2-66BF-46AF-BD44-9070CFB18536}"/>
    <hyperlink ref="I789" r:id="rId14966" xr:uid="{ED9322EB-631B-4310-BF6C-C069DC64D9B5}"/>
    <hyperlink ref="I790" r:id="rId14967" xr:uid="{D60FD7E9-FB92-4E48-A6E2-5A8DDB50A4C5}"/>
    <hyperlink ref="I791" r:id="rId14968" xr:uid="{B7F8DF36-A5CF-49AC-B0A1-759EC4ED8E36}"/>
    <hyperlink ref="I792" r:id="rId14969" xr:uid="{5CED9DDB-CBCC-4EE3-BE09-8AD908B36779}"/>
    <hyperlink ref="I793" r:id="rId14970" xr:uid="{AA3582A5-823B-4C25-9833-08015088DA97}"/>
    <hyperlink ref="I794" r:id="rId14971" xr:uid="{B6BEC6D2-22FC-4231-AE29-B62315FC50EB}"/>
    <hyperlink ref="I795" r:id="rId14972" xr:uid="{6D94E2A0-7A56-4F3B-B568-5708865EC6BA}"/>
    <hyperlink ref="I796" r:id="rId14973" xr:uid="{3124F05E-97A7-4911-BA5E-8724723E8128}"/>
    <hyperlink ref="I797" r:id="rId14974" xr:uid="{40A094ED-FA8E-49B2-A02E-99A04E8C2B1E}"/>
    <hyperlink ref="I798" r:id="rId14975" xr:uid="{3689F5E3-716D-438F-8AEF-176FB5D13983}"/>
    <hyperlink ref="I799" r:id="rId14976" xr:uid="{84AC5139-D47D-468E-A0B9-843CEEAE5F4D}"/>
    <hyperlink ref="I800" r:id="rId14977" xr:uid="{066A8FF5-C119-469E-98C1-CC073FF72210}"/>
    <hyperlink ref="I801" r:id="rId14978" xr:uid="{BA202785-58F5-4E66-A317-F70C7776AF75}"/>
    <hyperlink ref="I802" r:id="rId14979" xr:uid="{0A2A559F-5FEA-4EDA-BA42-EBC81C140520}"/>
    <hyperlink ref="I803" r:id="rId14980" xr:uid="{B4C56901-7053-40E9-B14C-DEECEC060B41}"/>
    <hyperlink ref="I804" r:id="rId14981" xr:uid="{D31C546E-DD41-46DB-AF76-A5AD0C88D0FA}"/>
    <hyperlink ref="I805" r:id="rId14982" xr:uid="{A773E445-4E8A-4F32-9A37-AC682210B4CA}"/>
    <hyperlink ref="I806" r:id="rId14983" xr:uid="{24B555E2-61FF-44F3-B12F-0C12761F4C58}"/>
    <hyperlink ref="I807" r:id="rId14984" xr:uid="{A6AE85E7-000D-45B5-BB33-B94D37A50449}"/>
    <hyperlink ref="I808" r:id="rId14985" xr:uid="{82F79AEF-956A-427E-8FAB-2F50DE068214}"/>
    <hyperlink ref="I809" r:id="rId14986" xr:uid="{3F102FD0-9E13-4C1B-8DC6-BF34E4E49277}"/>
    <hyperlink ref="I810" r:id="rId14987" xr:uid="{306FB5DF-B884-4ED1-907B-51A7A34A943A}"/>
    <hyperlink ref="I811" r:id="rId14988" xr:uid="{4DFB0946-3C4C-47D0-87D3-CD96B39A8881}"/>
    <hyperlink ref="I812" r:id="rId14989" xr:uid="{6F6F529A-CBBF-402B-ADE2-C6C7EE118304}"/>
    <hyperlink ref="I813" r:id="rId14990" xr:uid="{431014AF-EDFB-4A08-A4CA-AA07DDC477DF}"/>
    <hyperlink ref="I814" r:id="rId14991" xr:uid="{6F7ADCF5-2E60-4DFF-9929-328A8065449F}"/>
    <hyperlink ref="I815" r:id="rId14992" xr:uid="{5A127E4E-D717-4662-9389-02DDEF66A5B4}"/>
    <hyperlink ref="I816" r:id="rId14993" xr:uid="{ABC46C9B-38C6-4E5A-8B55-FE629C234C0B}"/>
    <hyperlink ref="I817" r:id="rId14994" xr:uid="{663458DF-3A6E-4F78-BF0C-8BAF2332BB2B}"/>
    <hyperlink ref="I818" r:id="rId14995" xr:uid="{155DA4FC-32BF-48FB-88E3-1CF593B03CFC}"/>
    <hyperlink ref="I819" r:id="rId14996" xr:uid="{5EFFCC7A-B41C-4582-87AA-7A1E19CE9A06}"/>
    <hyperlink ref="I820" r:id="rId14997" xr:uid="{A2C5F3E0-2E55-432D-9AF5-4468295E7839}"/>
    <hyperlink ref="I821" r:id="rId14998" xr:uid="{A09695BF-7183-489F-B15C-8EB24450F0A3}"/>
    <hyperlink ref="I822" r:id="rId14999" xr:uid="{AB22F15D-3EDB-42EB-9B53-797CC8CC16D5}"/>
    <hyperlink ref="I823" r:id="rId15000" xr:uid="{68D7B2B3-875E-470A-9063-5F0B6A3D11E0}"/>
    <hyperlink ref="I824" r:id="rId15001" xr:uid="{AF2D6C05-65FD-4593-8EC3-523600C5C2C1}"/>
    <hyperlink ref="I825" r:id="rId15002" xr:uid="{4A44D45D-BE9B-4791-A6E3-A918E0B1E126}"/>
    <hyperlink ref="I826" r:id="rId15003" xr:uid="{BDB9D18F-E157-432D-9D52-DB2F275444F2}"/>
    <hyperlink ref="I827" r:id="rId15004" xr:uid="{8CD3DC06-017B-4F35-9229-38C87C6C1FC5}"/>
    <hyperlink ref="I828" r:id="rId15005" xr:uid="{F1B57F36-6863-4F73-B7BF-887F2A5C1F09}"/>
    <hyperlink ref="I829" r:id="rId15006" xr:uid="{9F9FDFED-33EF-425F-AF82-B8B29505363C}"/>
    <hyperlink ref="I830" r:id="rId15007" xr:uid="{F4E319D3-8CC5-402B-AE09-768DE9A2689A}"/>
    <hyperlink ref="I831" r:id="rId15008" xr:uid="{6537AFA0-36F1-42C2-A771-EA83D451ED31}"/>
    <hyperlink ref="I832" r:id="rId15009" xr:uid="{8BFA3DD8-A01B-46E0-9ECE-CD42BE7AA16E}"/>
    <hyperlink ref="I833" r:id="rId15010" xr:uid="{CCFD9E55-2091-4526-AE8B-5DCB47836497}"/>
    <hyperlink ref="I834" r:id="rId15011" xr:uid="{655443DE-C650-4474-9B3C-56A15020561D}"/>
    <hyperlink ref="I835" r:id="rId15012" xr:uid="{0D7CBBC9-C03F-4493-B479-7B25DA42D37D}"/>
    <hyperlink ref="I836" r:id="rId15013" xr:uid="{B8D35FBA-6015-43CB-A406-BAEF423B7C37}"/>
    <hyperlink ref="I837" r:id="rId15014" xr:uid="{DD7ED928-3084-4EBA-81D4-8E01BD9D2311}"/>
    <hyperlink ref="I838" r:id="rId15015" xr:uid="{DD88895F-8A96-436F-9C0D-310F7D7149C9}"/>
    <hyperlink ref="I839" r:id="rId15016" xr:uid="{539681B1-EFE5-42C4-B2A1-B3494BD3B498}"/>
    <hyperlink ref="I840" r:id="rId15017" xr:uid="{6C815FA2-FD5B-4E6A-A3E4-6D38F6C9178D}"/>
    <hyperlink ref="I841" r:id="rId15018" xr:uid="{3F3DD2D8-8E3E-470A-ADA0-C6C9651C49B1}"/>
    <hyperlink ref="I842" r:id="rId15019" xr:uid="{E45F9DE1-73E5-44CA-AE7C-29C92F1246C9}"/>
    <hyperlink ref="I843" r:id="rId15020" xr:uid="{FA4B9BD3-4C22-4B00-B682-64EB7A6913BF}"/>
    <hyperlink ref="I844" r:id="rId15021" xr:uid="{BD70E505-1B33-45CC-98C3-8B08E4B97FD4}"/>
    <hyperlink ref="I845" r:id="rId15022" xr:uid="{3ED3D5A9-0122-425B-89AD-6CD87FA4D0B1}"/>
    <hyperlink ref="I846" r:id="rId15023" xr:uid="{F7EF0D6D-5C4C-4CBD-9889-EBB572DB7E01}"/>
    <hyperlink ref="I847" r:id="rId15024" xr:uid="{9A1BA82A-30FD-4F58-9857-D10121B280C5}"/>
    <hyperlink ref="I848" r:id="rId15025" xr:uid="{2F089383-A690-4002-900A-371A8CA883CF}"/>
    <hyperlink ref="I849" r:id="rId15026" xr:uid="{4EEDED62-2E78-48EF-9471-BB85032C0E1A}"/>
    <hyperlink ref="I850" r:id="rId15027" xr:uid="{1136E9E9-3662-43F9-8B4C-907229A10D97}"/>
    <hyperlink ref="I717" r:id="rId15028" xr:uid="{053D4F39-3120-4BED-A13D-FF252FAAAD94}"/>
    <hyperlink ref="I718" r:id="rId15029" xr:uid="{9A2B765C-3BC1-46F7-B9FB-C5427A8EB763}"/>
    <hyperlink ref="I719" r:id="rId15030" xr:uid="{B98DB5A9-80F0-47E0-81E4-7F95B2972465}"/>
    <hyperlink ref="I720" r:id="rId15031" xr:uid="{869E8549-82FF-4608-AD3B-E4CE60CFD6AB}"/>
    <hyperlink ref="I721" r:id="rId15032" xr:uid="{C221E3C6-0DD5-4F2E-A0B5-F25B262C6D55}"/>
    <hyperlink ref="I722" r:id="rId15033" xr:uid="{2DB7A4F6-E14B-4B48-8C28-6EAC72401B11}"/>
    <hyperlink ref="I723" r:id="rId15034" xr:uid="{602D920E-E38B-4C20-9A31-C1E55F9C3688}"/>
    <hyperlink ref="I724" r:id="rId15035" xr:uid="{A4725E4F-65E1-4995-BDCB-48D05B71E10D}"/>
    <hyperlink ref="I725" r:id="rId15036" xr:uid="{CC8E8E63-97F2-40EA-9B7D-D7D3E2CB85B5}"/>
    <hyperlink ref="I726" r:id="rId15037" xr:uid="{8C6B54D7-48F8-4877-9E41-C06A2EDA192E}"/>
    <hyperlink ref="I727" r:id="rId15038" xr:uid="{D951D5F1-22F6-4E17-B99D-7E7B9A8DB62F}"/>
    <hyperlink ref="I728" r:id="rId15039" xr:uid="{5917B76F-4761-4830-8886-544026D7531B}"/>
    <hyperlink ref="I729" r:id="rId15040" xr:uid="{10A832E0-BA1A-4E09-BBE1-9AC38E643E63}"/>
    <hyperlink ref="I604" r:id="rId15041" xr:uid="{EA22A152-090F-4D23-86AB-C2828D957477}"/>
    <hyperlink ref="I605" r:id="rId15042" xr:uid="{4278AF40-5218-463A-94E0-4333BF525DFE}"/>
    <hyperlink ref="I606" r:id="rId15043" xr:uid="{18BB18B8-C488-4939-80C6-2BECBE1CEF2E}"/>
    <hyperlink ref="I607" r:id="rId15044" xr:uid="{D6639673-101E-4B72-BC90-A911B1246204}"/>
    <hyperlink ref="I608" r:id="rId15045" xr:uid="{76A46DA5-C886-4D52-A21D-A7268BD968E5}"/>
    <hyperlink ref="I609" r:id="rId15046" xr:uid="{C3750950-2384-47E3-8E95-1B0CFD6057F3}"/>
    <hyperlink ref="I610" r:id="rId15047" xr:uid="{145F11AD-8289-4CDB-8B66-7BF59A68D041}"/>
    <hyperlink ref="I611" r:id="rId15048" xr:uid="{4B802612-9418-414D-8352-E7890A5BC12D}"/>
    <hyperlink ref="I612" r:id="rId15049" xr:uid="{574577C1-3847-4E9E-9DBC-3F1B1498172A}"/>
    <hyperlink ref="I613" r:id="rId15050" xr:uid="{A4CBB462-8195-4D0D-A876-F202405C1208}"/>
    <hyperlink ref="I614" r:id="rId15051" xr:uid="{83B3F7B7-5742-4CBE-A3E0-D839793EBDEF}"/>
    <hyperlink ref="I615" r:id="rId15052" xr:uid="{A0543278-7E67-4D6C-9827-17612C1556DF}"/>
    <hyperlink ref="I616" r:id="rId15053" xr:uid="{7C60DB2B-B482-4907-9697-F608AA61E974}"/>
    <hyperlink ref="I617" r:id="rId15054" xr:uid="{E53123C8-B06C-4647-91D9-6A0AEA37EDBB}"/>
    <hyperlink ref="I618" r:id="rId15055" xr:uid="{81551F70-9913-4D32-8B84-61BF354879C9}"/>
    <hyperlink ref="I619" r:id="rId15056" xr:uid="{6281E4C4-D5ED-4E17-8770-AA038EA45026}"/>
    <hyperlink ref="I620" r:id="rId15057" xr:uid="{75F36A68-EE83-4A32-AF09-C856B7CD273C}"/>
    <hyperlink ref="I621" r:id="rId15058" xr:uid="{CD8877D5-DD3F-4C4C-8526-F632BB4C0702}"/>
    <hyperlink ref="I622" r:id="rId15059" xr:uid="{4BE4D443-98A5-4BEB-8FF0-9BFBB3DBFFA5}"/>
    <hyperlink ref="I623" r:id="rId15060" xr:uid="{CC171893-4377-4A79-8B7E-A9506942619B}"/>
    <hyperlink ref="I624" r:id="rId15061" xr:uid="{975991CD-E8D2-4FD8-8ECA-1F3154FEE795}"/>
    <hyperlink ref="I625" r:id="rId15062" xr:uid="{63F0C032-2407-4438-B310-981D26B965EE}"/>
    <hyperlink ref="I626" r:id="rId15063" xr:uid="{227B0C45-229F-45C5-B1EA-99916FBE7098}"/>
    <hyperlink ref="I627" r:id="rId15064" xr:uid="{2C669C0D-15B3-400D-8E14-CFF1215EFEF3}"/>
    <hyperlink ref="I628" r:id="rId15065" xr:uid="{6007EDF2-F2EA-4497-8D4C-92B387348121}"/>
    <hyperlink ref="I629" r:id="rId15066" xr:uid="{9310B2F4-7667-431E-9224-C37E0C7D1F31}"/>
    <hyperlink ref="I630" r:id="rId15067" xr:uid="{8FFD67B9-B12C-40A3-94DC-44495731749D}"/>
    <hyperlink ref="I631" r:id="rId15068" xr:uid="{6CF141A5-26F2-497A-AA3A-1B46014A7F3A}"/>
    <hyperlink ref="I632" r:id="rId15069" xr:uid="{72B89A64-A40D-4AF5-91DF-8397605482F4}"/>
    <hyperlink ref="I633" r:id="rId15070" xr:uid="{62B1B930-3419-48FD-AE2D-1CCD7C95E9EB}"/>
    <hyperlink ref="I634" r:id="rId15071" xr:uid="{C44A564E-C1C5-405E-9BB0-F1614D84ECC6}"/>
    <hyperlink ref="I635" r:id="rId15072" xr:uid="{316FD0F2-F182-4D1F-A353-62FCA5B9C091}"/>
    <hyperlink ref="I636" r:id="rId15073" xr:uid="{796D682C-EDBF-4CFF-971A-F1B3F4A3D46A}"/>
    <hyperlink ref="I637" r:id="rId15074" xr:uid="{31C066F5-389B-40F1-98B4-54A5F67AA76F}"/>
    <hyperlink ref="I638" r:id="rId15075" xr:uid="{4BE71760-3901-4E4C-87D6-1455385E73FC}"/>
    <hyperlink ref="I639" r:id="rId15076" xr:uid="{67160426-16F3-47A6-939A-34BB4ED6BCCD}"/>
    <hyperlink ref="I640" r:id="rId15077" xr:uid="{A06BFEDE-169C-4910-AA72-60DFFF3C4CB5}"/>
    <hyperlink ref="I641" r:id="rId15078" xr:uid="{EB9159A7-7245-4B69-8CE6-60102CF681A4}"/>
    <hyperlink ref="I642" r:id="rId15079" xr:uid="{BFF402D3-4B8B-40F7-B9CB-9D0269D4BD6F}"/>
    <hyperlink ref="I643" r:id="rId15080" xr:uid="{DF04C328-4F49-49B6-B715-12E5EEBAAF3C}"/>
    <hyperlink ref="I644" r:id="rId15081" xr:uid="{0A38D0FC-6835-455F-B1FD-82B7E1D9C3EF}"/>
    <hyperlink ref="I645" r:id="rId15082" xr:uid="{04B02BAF-73F0-4E6F-9E7F-4014DA8CC4E0}"/>
    <hyperlink ref="I646" r:id="rId15083" xr:uid="{47506401-C998-437C-9F7D-E0AC6F4BF6B1}"/>
    <hyperlink ref="I647" r:id="rId15084" xr:uid="{277C1C50-9746-413F-9C73-1229013F85DD}"/>
    <hyperlink ref="I648" r:id="rId15085" xr:uid="{723C0948-454B-4C35-93C6-3B2F9B636EDB}"/>
    <hyperlink ref="I649" r:id="rId15086" xr:uid="{4CA3E9B6-0645-4B3C-BE8B-829928DCFC90}"/>
    <hyperlink ref="I650" r:id="rId15087" xr:uid="{B442DACD-13EE-4CC9-999F-DD9E4CC6CB76}"/>
    <hyperlink ref="I651" r:id="rId15088" xr:uid="{05E6C123-4F06-4B45-A18E-7E94E966858F}"/>
    <hyperlink ref="I652" r:id="rId15089" xr:uid="{FDC09931-A432-4823-8F76-92E75BAE5C7A}"/>
    <hyperlink ref="I653" r:id="rId15090" xr:uid="{292DF30C-1577-4E52-B45C-43A9755420D8}"/>
    <hyperlink ref="I654" r:id="rId15091" xr:uid="{16901B40-F80E-411F-95F6-990FEB327DB4}"/>
    <hyperlink ref="I655" r:id="rId15092" xr:uid="{1A05230B-EB44-49F3-8A7E-92EF2213830F}"/>
    <hyperlink ref="I656" r:id="rId15093" xr:uid="{700F6973-9204-459B-9071-2BA59781AF9F}"/>
    <hyperlink ref="I657" r:id="rId15094" xr:uid="{38DB90E6-7709-4DC8-B793-0782B0AD03BA}"/>
    <hyperlink ref="I658" r:id="rId15095" xr:uid="{B2CF7261-21CB-4E61-8E12-37421D1D0785}"/>
    <hyperlink ref="I659" r:id="rId15096" xr:uid="{FC40CA64-E09C-4109-BF61-FF84A43F16FB}"/>
    <hyperlink ref="I660" r:id="rId15097" xr:uid="{EC79944B-AAB9-4F5E-BC05-C51A1ECBB8B2}"/>
    <hyperlink ref="I661" r:id="rId15098" xr:uid="{7FDDE5AA-F769-4EAC-80ED-B195933A8ED7}"/>
    <hyperlink ref="I662" r:id="rId15099" xr:uid="{B99F2284-2229-4BF7-B37B-F1C5AE3DF483}"/>
    <hyperlink ref="I663" r:id="rId15100" xr:uid="{36025A54-A2B1-4565-9D54-02A047563F44}"/>
    <hyperlink ref="I664" r:id="rId15101" xr:uid="{A8F24E95-70A9-4281-9885-F33181EDC571}"/>
    <hyperlink ref="I665" r:id="rId15102" xr:uid="{68674129-E0FC-4209-8116-F90AF0209B74}"/>
    <hyperlink ref="I666" r:id="rId15103" xr:uid="{6F9EB3B6-B150-486E-834C-7A18EB10EFB4}"/>
    <hyperlink ref="I667" r:id="rId15104" xr:uid="{EEEFCD31-97A7-4515-BCD4-EE2AF5ABA90C}"/>
    <hyperlink ref="I668" r:id="rId15105" xr:uid="{28B9E524-EC1D-47D7-B0AA-8FC99EC42E15}"/>
    <hyperlink ref="I669" r:id="rId15106" xr:uid="{11D27E5B-6D98-41C9-9DEF-420B0496F214}"/>
    <hyperlink ref="I670" r:id="rId15107" xr:uid="{15FEC705-E8A3-43A8-A117-73198C829BD6}"/>
    <hyperlink ref="I671" r:id="rId15108" xr:uid="{027FCA7B-2095-4BE2-8594-741799889B73}"/>
    <hyperlink ref="I672" r:id="rId15109" xr:uid="{E6E9CB19-03C6-4ADF-BFCE-1BE959558F15}"/>
    <hyperlink ref="I673" r:id="rId15110" xr:uid="{E8E3716B-B5D3-4355-B762-AED14F373FF1}"/>
    <hyperlink ref="I674" r:id="rId15111" xr:uid="{1286A969-E26B-42C9-9636-50A8AEFD1089}"/>
    <hyperlink ref="I675" r:id="rId15112" xr:uid="{8FE504C9-E622-464A-8244-50EC34389E0C}"/>
    <hyperlink ref="I676" r:id="rId15113" xr:uid="{F40A9601-BE35-4E45-A405-D7241B83B0F6}"/>
    <hyperlink ref="I677" r:id="rId15114" xr:uid="{62DD53B9-528D-4591-AFC6-F35A72C0C07B}"/>
    <hyperlink ref="I678" r:id="rId15115" xr:uid="{D3526B3E-9E2C-439C-870D-2291E1B3BD1B}"/>
    <hyperlink ref="I679" r:id="rId15116" xr:uid="{07F0A279-F947-4004-AA01-538BB14D5F26}"/>
    <hyperlink ref="I680" r:id="rId15117" xr:uid="{95579D17-BEA3-4394-8FC3-DD9D9E00CE15}"/>
    <hyperlink ref="I681" r:id="rId15118" xr:uid="{9450F268-5EE8-481E-9C0C-6F551414B2BB}"/>
    <hyperlink ref="I682" r:id="rId15119" xr:uid="{02013AAF-3A30-4CC8-8A95-B6E66D4EE44F}"/>
    <hyperlink ref="I683" r:id="rId15120" xr:uid="{005A5F54-EE14-4866-A841-5D114DD79AE9}"/>
    <hyperlink ref="I684" r:id="rId15121" xr:uid="{0FD20764-02E8-4684-8CDC-A512BCB40DCC}"/>
    <hyperlink ref="I685" r:id="rId15122" xr:uid="{BE3AA8C7-A92C-4FE2-853F-B4EE02E5396C}"/>
    <hyperlink ref="I686" r:id="rId15123" xr:uid="{2CFF4D62-17C7-4087-A93D-2BA5A723CD0E}"/>
    <hyperlink ref="I687" r:id="rId15124" xr:uid="{E24672FA-7803-4E66-A0D3-8B12B9411223}"/>
    <hyperlink ref="I688" r:id="rId15125" xr:uid="{EC9FEBEF-AAA8-4CA3-A889-97F7E7B69D29}"/>
    <hyperlink ref="I689" r:id="rId15126" xr:uid="{69BA1A38-9617-471A-89B7-51669A2D4646}"/>
    <hyperlink ref="I690" r:id="rId15127" xr:uid="{F728EE52-DD9C-4E7F-9C26-8B703B93A808}"/>
    <hyperlink ref="I691" r:id="rId15128" xr:uid="{F26371E3-358D-4644-97F2-2DEB213892A6}"/>
    <hyperlink ref="I692" r:id="rId15129" xr:uid="{6B7DA143-21EF-42F3-8D41-515BE5C5913B}"/>
    <hyperlink ref="I693" r:id="rId15130" xr:uid="{9024FD91-FE02-4173-AA3E-556205B18134}"/>
    <hyperlink ref="I694" r:id="rId15131" xr:uid="{141BDEB9-6C1C-4885-A9B3-364B2B30732D}"/>
    <hyperlink ref="I695" r:id="rId15132" xr:uid="{1E5491FC-83A2-41AE-8B9C-1DF972F3EF72}"/>
    <hyperlink ref="I696" r:id="rId15133" xr:uid="{CC08DFE8-CE1A-404D-B4E7-A255289187BA}"/>
    <hyperlink ref="I697" r:id="rId15134" xr:uid="{AE29870A-002F-4B14-93B7-294FB47FFDCA}"/>
    <hyperlink ref="I698" r:id="rId15135" xr:uid="{B1F0E8A2-C9DE-4E76-87D8-1E6D0A630F4B}"/>
    <hyperlink ref="I699" r:id="rId15136" xr:uid="{A68AA942-3344-4CFC-A879-F3C057426DEA}"/>
    <hyperlink ref="I700" r:id="rId15137" xr:uid="{DC4A435F-7047-44FB-B52D-17D438BF3072}"/>
    <hyperlink ref="I701" r:id="rId15138" xr:uid="{D4784585-15DF-4CA1-A62C-3FD6BA2F401E}"/>
    <hyperlink ref="I702" r:id="rId15139" xr:uid="{9129622F-C36C-4FA3-A8C9-657B44BCC808}"/>
    <hyperlink ref="I703" r:id="rId15140" xr:uid="{358A6B91-7F01-4991-A24B-E72EC8551737}"/>
    <hyperlink ref="I704" r:id="rId15141" xr:uid="{58227D3B-8FB3-4192-938F-C0C6DE131F7C}"/>
    <hyperlink ref="I705" r:id="rId15142" xr:uid="{1DCDE221-59CF-4913-8CCC-CA42040ADA81}"/>
    <hyperlink ref="I706" r:id="rId15143" xr:uid="{B4E8022A-8269-44F6-B3AF-57FA06ED686E}"/>
    <hyperlink ref="I707" r:id="rId15144" xr:uid="{1B6453D1-648E-45C5-84C4-287E3D51E051}"/>
    <hyperlink ref="I708" r:id="rId15145" xr:uid="{5BF8CAC7-F4E3-4D6A-A735-4A8A34C8C6ED}"/>
    <hyperlink ref="I709" r:id="rId15146" xr:uid="{B1C34D2F-F994-4088-ADE6-AF02498AC323}"/>
    <hyperlink ref="I710" r:id="rId15147" xr:uid="{26BC9F22-561D-420C-BA97-E51144A149EB}"/>
    <hyperlink ref="I711" r:id="rId15148" xr:uid="{146D4038-BC7D-479B-A468-D8494FDBDDAE}"/>
    <hyperlink ref="I712" r:id="rId15149" xr:uid="{309193EC-CC39-4856-9DF6-47BC40CA9ABF}"/>
    <hyperlink ref="I713" r:id="rId15150" xr:uid="{D209596F-1524-4936-B481-68FB6DAC6E7C}"/>
    <hyperlink ref="I714" r:id="rId15151" xr:uid="{F8CC7C8F-0011-44B5-805D-1AFC2027C6D1}"/>
    <hyperlink ref="I715" r:id="rId15152" xr:uid="{50F30072-479C-4DE1-AD5E-FEFC4ADCEA40}"/>
    <hyperlink ref="I716" r:id="rId15153" xr:uid="{A13A3F31-6D2E-4D31-8CC6-98E74E193451}"/>
    <hyperlink ref="I451" r:id="rId15154" xr:uid="{1CA5122C-D3E9-475B-90F4-F2B0EAA3AB55}"/>
    <hyperlink ref="I452" r:id="rId15155" xr:uid="{4E456645-1749-4197-90D3-390297204F55}"/>
    <hyperlink ref="I453" r:id="rId15156" xr:uid="{CB6A0536-B839-4D2F-B824-A5340EBF4C06}"/>
    <hyperlink ref="I454" r:id="rId15157" xr:uid="{B7930281-9A50-4C7D-A13F-018776297974}"/>
    <hyperlink ref="I455" r:id="rId15158" xr:uid="{114CAD04-0758-4AFB-B15E-510DDC0A5BE4}"/>
    <hyperlink ref="I456" r:id="rId15159" xr:uid="{ECD8AD57-1DE2-4ECC-AAD0-F0AAD98D5F2F}"/>
    <hyperlink ref="I457" r:id="rId15160" xr:uid="{41693791-7C85-4672-A0F1-7C02A275E797}"/>
    <hyperlink ref="I458" r:id="rId15161" xr:uid="{3CF17341-E794-4DB7-AF13-4117E9F8AF7F}"/>
    <hyperlink ref="I459" r:id="rId15162" xr:uid="{07D74684-A1DB-49AC-8452-75EA2737460B}"/>
    <hyperlink ref="I460" r:id="rId15163" xr:uid="{4FF1FE1E-836C-420B-B766-9DB635F98C0B}"/>
    <hyperlink ref="I461" r:id="rId15164" xr:uid="{D488E606-6A68-4809-AFF9-1B2837610682}"/>
    <hyperlink ref="I462" r:id="rId15165" xr:uid="{08C22B77-D76C-4879-BA1F-0799F2A94B14}"/>
    <hyperlink ref="I463" r:id="rId15166" xr:uid="{7AEEBB75-B809-478C-9878-53EC660F31FB}"/>
    <hyperlink ref="I464" r:id="rId15167" xr:uid="{AFFCE777-69E0-4A1C-8425-2441A6399C0E}"/>
    <hyperlink ref="I465" r:id="rId15168" xr:uid="{05A402A0-FF2E-4761-9555-EE6C050FCFDA}"/>
    <hyperlink ref="I466" r:id="rId15169" xr:uid="{31C81477-8EFF-456D-AEC7-2D780F01AF8F}"/>
    <hyperlink ref="I467" r:id="rId15170" xr:uid="{E7C9EDB2-4EE8-4E2B-A5BB-764B5A3FFF5E}"/>
    <hyperlink ref="I468" r:id="rId15171" xr:uid="{D2094704-29C1-427A-812B-1FD098C2D83C}"/>
    <hyperlink ref="I469" r:id="rId15172" xr:uid="{94C74CA6-554F-448B-B4D2-FBB9118F4DC8}"/>
    <hyperlink ref="I470" r:id="rId15173" xr:uid="{5F35C65C-32E4-404C-AD99-915BBC4E46F9}"/>
    <hyperlink ref="I471" r:id="rId15174" xr:uid="{070431DC-EB51-475C-A7C1-69C7BC73CE60}"/>
    <hyperlink ref="I472" r:id="rId15175" xr:uid="{ECB57283-ABBD-4CDE-A5FA-74CBA4489517}"/>
    <hyperlink ref="I473" r:id="rId15176" xr:uid="{BC9ACAEA-AC15-4947-9913-C40E38341076}"/>
    <hyperlink ref="I474" r:id="rId15177" xr:uid="{D94B3991-568C-42F1-B309-22C865D8118B}"/>
    <hyperlink ref="I475" r:id="rId15178" xr:uid="{3D6198EC-D44D-4D6C-AC61-4D0C2C79A68C}"/>
    <hyperlink ref="I476" r:id="rId15179" xr:uid="{5306B2B4-87AB-4306-8E0C-AD0F0AB800AD}"/>
    <hyperlink ref="I477" r:id="rId15180" xr:uid="{9C279272-FD96-4838-9F1D-23D18077F768}"/>
    <hyperlink ref="I478" r:id="rId15181" xr:uid="{41ABF28C-7F5C-4647-85AD-38ABCA2170A1}"/>
    <hyperlink ref="I479" r:id="rId15182" xr:uid="{4D569336-21A4-4DD5-A08D-F7ECE2857A48}"/>
    <hyperlink ref="I480" r:id="rId15183" xr:uid="{E0E8800E-FA2A-46F6-8F24-051E0A73BC3C}"/>
    <hyperlink ref="I481" r:id="rId15184" xr:uid="{F3C4179D-DC6E-4287-B86E-5AB7D860FDF4}"/>
    <hyperlink ref="I482" r:id="rId15185" xr:uid="{4747E603-E58E-46CE-8C60-5A06B46679EB}"/>
    <hyperlink ref="I483" r:id="rId15186" xr:uid="{67581DCD-7B2B-44CB-84D5-E6CDFE1AE16C}"/>
    <hyperlink ref="I484" r:id="rId15187" xr:uid="{8CC9CDEA-FACD-4E4E-A73A-97D4490FBA5B}"/>
    <hyperlink ref="I485" r:id="rId15188" xr:uid="{F09AFC5A-7BF9-427F-A902-06DBCF9A3596}"/>
    <hyperlink ref="I486" r:id="rId15189" xr:uid="{59841CC8-FCAB-4873-B571-808818500B16}"/>
    <hyperlink ref="I487" r:id="rId15190" xr:uid="{12545FF1-73A4-4D35-8152-5A7B563891BE}"/>
    <hyperlink ref="I488" r:id="rId15191" xr:uid="{EAD67502-C86F-421A-A476-AC8D5B4F0522}"/>
    <hyperlink ref="I489" r:id="rId15192" xr:uid="{622B8BF8-6BB8-4E08-AF3C-BE35725F4CF6}"/>
    <hyperlink ref="I490" r:id="rId15193" xr:uid="{4478F535-1B92-4FBC-A93D-D56D6C50EF23}"/>
    <hyperlink ref="I491" r:id="rId15194" xr:uid="{DD2E7F08-C0BF-4B24-ADE2-DC1C2469DA47}"/>
    <hyperlink ref="I492" r:id="rId15195" xr:uid="{3DEF9CC7-FB8B-414E-88EE-BCA8CE662ED2}"/>
    <hyperlink ref="I493" r:id="rId15196" xr:uid="{9B3462EA-556C-4591-8B18-FF8550E45195}"/>
    <hyperlink ref="I494" r:id="rId15197" xr:uid="{32AB3BF1-EE15-4736-8464-F34A0D1D6A2C}"/>
    <hyperlink ref="I495" r:id="rId15198" xr:uid="{5087420A-5BFA-43AE-93AD-05B03E4DABC9}"/>
    <hyperlink ref="I496" r:id="rId15199" xr:uid="{D85C1B54-6366-4B23-A6BC-4359AD121B46}"/>
    <hyperlink ref="I497" r:id="rId15200" xr:uid="{1BC7639B-6EC9-4498-B494-AF06C37B45D8}"/>
    <hyperlink ref="I498" r:id="rId15201" xr:uid="{E17DB2CF-6A39-43D4-BECB-B68E530B1D55}"/>
    <hyperlink ref="I499" r:id="rId15202" xr:uid="{B2738F48-989E-4D5E-BE26-31AB7B2DED19}"/>
    <hyperlink ref="I500" r:id="rId15203" xr:uid="{8819B503-B397-4526-8B1D-580700E05E52}"/>
    <hyperlink ref="I501" r:id="rId15204" xr:uid="{E1D1AC27-E84B-4899-9C40-B853C2074C8A}"/>
    <hyperlink ref="I502" r:id="rId15205" xr:uid="{1788FF4F-F197-4B0D-B367-DC721B2B74F4}"/>
    <hyperlink ref="I503" r:id="rId15206" xr:uid="{D0C3C8F9-674F-4E12-B550-167873DF06E7}"/>
    <hyperlink ref="I504" r:id="rId15207" xr:uid="{7B25ED8E-8F28-4282-88F9-4D9DD0AD6F0B}"/>
    <hyperlink ref="I505" r:id="rId15208" xr:uid="{89359C1E-8BFB-44C0-9D85-F12EF4DA04E6}"/>
    <hyperlink ref="I506" r:id="rId15209" xr:uid="{D951525E-E255-401D-9295-AB9F7E3C36D7}"/>
    <hyperlink ref="I507" r:id="rId15210" xr:uid="{B2A2CB89-636C-43DF-B8ED-CA2FCF1982BF}"/>
    <hyperlink ref="I508" r:id="rId15211" xr:uid="{D71D3B18-03A8-4D6D-9295-D44737319685}"/>
    <hyperlink ref="I509" r:id="rId15212" xr:uid="{27D1CB11-3A0B-4CD9-A3B5-51605C37855C}"/>
    <hyperlink ref="I510" r:id="rId15213" xr:uid="{8A013A56-BF09-47B8-888D-783A70186E16}"/>
    <hyperlink ref="I511" r:id="rId15214" xr:uid="{A32FE5FD-BB6B-4FA0-914F-FF8A2A467123}"/>
    <hyperlink ref="I512" r:id="rId15215" xr:uid="{62AAE651-BBA8-465A-8225-99CE11712397}"/>
    <hyperlink ref="I513" r:id="rId15216" xr:uid="{A76CD1C4-146D-444A-92A0-B3CD88BDBE91}"/>
    <hyperlink ref="I514" r:id="rId15217" xr:uid="{7810205D-1E4C-4E61-A4E9-63C343C7D6FD}"/>
    <hyperlink ref="I515" r:id="rId15218" xr:uid="{34177555-C4A5-45A6-87B6-66BC4E1DB1F3}"/>
    <hyperlink ref="I516" r:id="rId15219" xr:uid="{E27704A1-2302-4D94-B5F5-40D83206944A}"/>
    <hyperlink ref="I517" r:id="rId15220" xr:uid="{F1AC88C8-6DE5-4E6B-9E64-22900AD51089}"/>
    <hyperlink ref="I518" r:id="rId15221" xr:uid="{222A4EC0-6D2B-4031-88CF-D6911C39C7BB}"/>
    <hyperlink ref="I519" r:id="rId15222" xr:uid="{09373104-73DB-41D5-8AE3-C1C478B39686}"/>
    <hyperlink ref="I520" r:id="rId15223" xr:uid="{BB6BE20A-82B0-4C0C-BE63-5E8DCDCA3FE0}"/>
    <hyperlink ref="I521" r:id="rId15224" xr:uid="{381A8A01-6943-49F6-A014-6F3FF2F7A83A}"/>
    <hyperlink ref="I522" r:id="rId15225" xr:uid="{D4C2D615-70AF-4D6A-88D5-C03BFE5CA5F6}"/>
    <hyperlink ref="I523" r:id="rId15226" xr:uid="{80AB823D-69C2-44E6-A4BE-6296300E49F2}"/>
    <hyperlink ref="I524" r:id="rId15227" xr:uid="{5E79C352-F7DD-49B3-A0C8-516C8A79BE2F}"/>
    <hyperlink ref="I525" r:id="rId15228" xr:uid="{B62AFF55-F135-4A11-A401-298A57E08945}"/>
    <hyperlink ref="I526" r:id="rId15229" xr:uid="{F628649E-112E-4089-829A-FDA52226335C}"/>
    <hyperlink ref="I527" r:id="rId15230" xr:uid="{7AC88306-ED47-4BE7-9E3B-ACED1B6E991F}"/>
    <hyperlink ref="I528" r:id="rId15231" xr:uid="{9BBA9A1F-EE17-4E11-95BD-28E24BD9F9E9}"/>
    <hyperlink ref="I529" r:id="rId15232" xr:uid="{0E7FD3E8-2E24-4C48-9797-5A17965FB5E9}"/>
    <hyperlink ref="I530" r:id="rId15233" xr:uid="{D2DCBF5F-584D-4810-AC6A-0010AAAD42D8}"/>
    <hyperlink ref="I531" r:id="rId15234" xr:uid="{E7C1F7CA-D833-47F7-935C-4F3720C8EDCD}"/>
    <hyperlink ref="I532" r:id="rId15235" xr:uid="{A7AE0D55-566F-4031-812D-8F54C649352A}"/>
    <hyperlink ref="I533" r:id="rId15236" xr:uid="{C02F6C47-4835-4FFF-A234-C22FAD2818CF}"/>
    <hyperlink ref="I534" r:id="rId15237" xr:uid="{7F846405-1A5D-43F6-A913-020767318BB8}"/>
    <hyperlink ref="I535" r:id="rId15238" xr:uid="{B654D84E-C5F2-4186-AE02-D86BA8C14C8E}"/>
    <hyperlink ref="I536" r:id="rId15239" xr:uid="{518998A3-3CAE-4BC6-9EA4-0A47FF0EE096}"/>
    <hyperlink ref="I537" r:id="rId15240" xr:uid="{B83AC434-65F0-484C-AD4A-5BB0BBD02831}"/>
    <hyperlink ref="I538" r:id="rId15241" xr:uid="{E64E08B5-5B1F-4E2B-8E31-EFA2925025E8}"/>
    <hyperlink ref="I539" r:id="rId15242" xr:uid="{951AAE60-B52B-47B6-97CE-98E700D4531B}"/>
    <hyperlink ref="I540" r:id="rId15243" xr:uid="{7E23E288-27BD-48E5-A488-AC6E749A4A10}"/>
    <hyperlink ref="I541" r:id="rId15244" xr:uid="{0158C35E-5576-499D-B841-3B3F57715EB7}"/>
    <hyperlink ref="I542" r:id="rId15245" xr:uid="{6C35145C-B448-4C9D-AA8D-39D6C414DC39}"/>
    <hyperlink ref="I543" r:id="rId15246" xr:uid="{4AB2BE7C-24CA-4264-858E-7138DF819BD0}"/>
    <hyperlink ref="I544" r:id="rId15247" xr:uid="{859904F7-C2B3-4404-988A-B8CE80D3F009}"/>
    <hyperlink ref="I545" r:id="rId15248" xr:uid="{B0408AD1-7EC6-453F-BF85-C2B0DC696223}"/>
    <hyperlink ref="I546" r:id="rId15249" xr:uid="{5F318FFB-29F4-4012-A9DF-3613593B8100}"/>
    <hyperlink ref="I547" r:id="rId15250" xr:uid="{E8C6017A-29EB-42AC-BCEA-E1C7F9F685F6}"/>
    <hyperlink ref="I548" r:id="rId15251" xr:uid="{7A5FA552-E7CC-4C47-A978-187A17BB0E6A}"/>
    <hyperlink ref="I549" r:id="rId15252" xr:uid="{AC9CFF97-16DA-4F74-B366-CE103C3FCE6C}"/>
    <hyperlink ref="I550" r:id="rId15253" xr:uid="{BA45AE23-D493-41EE-BADD-AB4B8632D86D}"/>
    <hyperlink ref="I551" r:id="rId15254" xr:uid="{FC689890-F7DF-4BFA-87FF-A29511B360A6}"/>
    <hyperlink ref="I552" r:id="rId15255" xr:uid="{B5FE0C55-ED9C-483C-8DE2-A038D35AC01A}"/>
    <hyperlink ref="I553" r:id="rId15256" xr:uid="{65D87575-303E-4DD5-8511-22B6A2C49CC3}"/>
    <hyperlink ref="I554" r:id="rId15257" xr:uid="{DDF61FE6-C902-4EDF-8F6D-EA1ABE8196BD}"/>
    <hyperlink ref="I555" r:id="rId15258" xr:uid="{8B5986D7-0B20-424C-BCF9-A3C7876B0728}"/>
    <hyperlink ref="I556" r:id="rId15259" xr:uid="{03FAE5C4-7370-4189-AF38-DAAC91A86EE7}"/>
    <hyperlink ref="I557" r:id="rId15260" xr:uid="{2BC7F11E-4918-4FD9-BAB4-05BB831A7D11}"/>
    <hyperlink ref="I558" r:id="rId15261" xr:uid="{F3AFBE24-1923-4220-97F5-6CA1898F679A}"/>
    <hyperlink ref="I559" r:id="rId15262" xr:uid="{D6CC5872-FF07-46D9-BD36-EC0E4591A1E4}"/>
    <hyperlink ref="I560" r:id="rId15263" xr:uid="{734FD514-416A-49AE-863A-57F9677F9EB9}"/>
    <hyperlink ref="I561" r:id="rId15264" xr:uid="{C9A8526D-E48E-4919-8099-F35823AF1DFB}"/>
    <hyperlink ref="I562" r:id="rId15265" xr:uid="{6E2174E7-2B44-47FA-B3CE-56D39560DB2A}"/>
    <hyperlink ref="I563" r:id="rId15266" xr:uid="{205C4743-A79F-4462-A92C-3811EC4555DD}"/>
    <hyperlink ref="I564" r:id="rId15267" xr:uid="{BDB6B036-349B-495C-8401-99A26E9D7CB8}"/>
    <hyperlink ref="I565" r:id="rId15268" xr:uid="{273FA6BC-0C2F-4F1C-968E-9FFD451F3E33}"/>
    <hyperlink ref="I566" r:id="rId15269" xr:uid="{4712E65F-9A76-4A4C-83EA-F664F03CB168}"/>
    <hyperlink ref="I567" r:id="rId15270" xr:uid="{45449F6A-5711-4D26-98DB-CD92154CC11B}"/>
    <hyperlink ref="I568" r:id="rId15271" xr:uid="{47E3FF96-F863-451D-B9A5-2F08A6DDE723}"/>
    <hyperlink ref="I569" r:id="rId15272" xr:uid="{7460B1E8-8786-4857-8D8C-C5E8D6C101CF}"/>
    <hyperlink ref="I570" r:id="rId15273" xr:uid="{AF79B741-6388-4AF0-8158-D938F4FCD87D}"/>
    <hyperlink ref="I571" r:id="rId15274" xr:uid="{94B9FE45-7E7E-4544-90BF-7664D16A4C16}"/>
    <hyperlink ref="I572" r:id="rId15275" xr:uid="{3AA48975-5302-45A9-AF30-0D36C34B8AF8}"/>
    <hyperlink ref="I573" r:id="rId15276" xr:uid="{4F39500E-856A-4EB1-8F46-796AFB224F49}"/>
    <hyperlink ref="I574" r:id="rId15277" xr:uid="{26AD548C-5D86-418C-A448-65A63DBF1918}"/>
    <hyperlink ref="I575" r:id="rId15278" xr:uid="{FF85CF72-07C8-4979-A325-1DA463CB9487}"/>
    <hyperlink ref="I576" r:id="rId15279" xr:uid="{37EEEB04-EA45-48C0-9C45-7ABF7C1A56EC}"/>
    <hyperlink ref="I577" r:id="rId15280" xr:uid="{BFE37AC1-B91D-45FC-942F-98FAE3E1805C}"/>
    <hyperlink ref="I578" r:id="rId15281" xr:uid="{BEC4D207-88F0-4003-A7F4-2B70DC64EF0F}"/>
    <hyperlink ref="I579" r:id="rId15282" xr:uid="{6BAF67B5-699E-4AA6-8167-B9F5DF346459}"/>
    <hyperlink ref="I580" r:id="rId15283" xr:uid="{253011DB-EB4C-4AEA-B2EA-411DD83897AA}"/>
    <hyperlink ref="I581" r:id="rId15284" xr:uid="{1C809830-BB9E-48BD-B012-C6994D90466F}"/>
    <hyperlink ref="I582" r:id="rId15285" xr:uid="{7CDD390F-D75B-4277-BB4E-B2BB11FA3C12}"/>
    <hyperlink ref="I583" r:id="rId15286" xr:uid="{DF32E8BA-69AD-4D90-BCD9-D5243B465033}"/>
    <hyperlink ref="I584" r:id="rId15287" xr:uid="{198D67AC-94C4-4E53-9619-CF30428FF5B2}"/>
    <hyperlink ref="I585" r:id="rId15288" xr:uid="{CE6614E8-D35D-4A17-8ACA-AB3BF94249E1}"/>
    <hyperlink ref="I586" r:id="rId15289" xr:uid="{1A6DD39A-0D2A-43D6-981B-B2CDF86C15C7}"/>
    <hyperlink ref="I587" r:id="rId15290" xr:uid="{38F60252-5585-4057-A37E-989C799DF2B2}"/>
    <hyperlink ref="I588" r:id="rId15291" xr:uid="{666F9161-BBB8-4D50-B00A-447A57D60098}"/>
    <hyperlink ref="I589" r:id="rId15292" xr:uid="{35122411-603D-419A-81DD-7450E4638D08}"/>
    <hyperlink ref="I590" r:id="rId15293" xr:uid="{1BE42D28-E6F2-4896-A752-C914052F27FC}"/>
    <hyperlink ref="I591" r:id="rId15294" xr:uid="{3A6253D5-209D-4B57-B2FE-AB9E1C92D313}"/>
    <hyperlink ref="I592" r:id="rId15295" xr:uid="{C7EFCD28-522C-4192-B71C-FD6A3A4EDF2E}"/>
    <hyperlink ref="I593" r:id="rId15296" xr:uid="{F7D04A9C-4764-43AD-BE51-E4ED281D5A62}"/>
    <hyperlink ref="I594" r:id="rId15297" xr:uid="{E04290A5-9AA6-4763-9496-1270FEF0F028}"/>
    <hyperlink ref="I595" r:id="rId15298" xr:uid="{200BB3DC-F2D2-43F9-9388-2C1890CB3081}"/>
    <hyperlink ref="I596" r:id="rId15299" xr:uid="{F6AB7F00-555F-4BB5-9AD2-0AE2563AE926}"/>
    <hyperlink ref="I597" r:id="rId15300" xr:uid="{E8C2DDB6-6788-478F-A493-745245013F4A}"/>
    <hyperlink ref="I598" r:id="rId15301" xr:uid="{F8A55375-4E96-42C1-9B62-3D670E4F24AC}"/>
    <hyperlink ref="I599" r:id="rId15302" xr:uid="{387494FD-D786-4DFF-9096-DBABFBE7B74B}"/>
    <hyperlink ref="I600" r:id="rId15303" xr:uid="{3DE75B11-3A41-4301-9C70-030C79464BB9}"/>
    <hyperlink ref="I601" r:id="rId15304" xr:uid="{ED10FC20-21B1-4E37-A764-F8D2355E9DD8}"/>
    <hyperlink ref="I602" r:id="rId15305" xr:uid="{83F1DB1B-8A0E-493E-A659-60FD2363A3EE}"/>
    <hyperlink ref="I603" r:id="rId15306" xr:uid="{E71AA03C-532A-4112-99E3-A237B14BABCD}"/>
    <hyperlink ref="I376" r:id="rId15307" xr:uid="{969BAAF8-71C1-4003-A8E4-0B4BA47CB87F}"/>
    <hyperlink ref="I377" r:id="rId15308" xr:uid="{DD01670A-867C-4947-A7D8-CBF322DEE034}"/>
    <hyperlink ref="I378" r:id="rId15309" xr:uid="{B525F899-8F03-4DD9-B784-EF95B02CF46D}"/>
    <hyperlink ref="I379" r:id="rId15310" xr:uid="{E88C5E40-F118-4342-B6E1-9DBC5CB8A24E}"/>
    <hyperlink ref="I380" r:id="rId15311" xr:uid="{FBFFC669-149A-4BDD-AC39-139A35C811C1}"/>
    <hyperlink ref="I381" r:id="rId15312" xr:uid="{3C7AB26A-4E66-4D01-A62B-8C2863A5FEED}"/>
    <hyperlink ref="I382" r:id="rId15313" xr:uid="{E0C3312B-FBC6-4B61-95BC-0BAD55F08FF1}"/>
    <hyperlink ref="I383" r:id="rId15314" xr:uid="{D1A93678-3FE7-4A30-B096-5CF2A2596181}"/>
    <hyperlink ref="I384" r:id="rId15315" xr:uid="{B0471DE9-826B-49A1-9A41-68C17A7A8333}"/>
    <hyperlink ref="I385" r:id="rId15316" xr:uid="{5EA738D0-BF06-494F-A186-705062296945}"/>
    <hyperlink ref="I386" r:id="rId15317" xr:uid="{0528988D-B600-4586-833F-166BDB4B20CD}"/>
    <hyperlink ref="I387" r:id="rId15318" xr:uid="{9C54CEB2-EE2D-4F76-B091-123345E47387}"/>
    <hyperlink ref="I388" r:id="rId15319" xr:uid="{F61276D0-4B7D-46E0-825D-EFA6CA2E606E}"/>
    <hyperlink ref="I389" r:id="rId15320" xr:uid="{4AC92E67-54CD-4553-9D3A-00C4EA6302A1}"/>
    <hyperlink ref="I390" r:id="rId15321" xr:uid="{4B8B6FAD-FCB4-47EA-A167-4D1DBED983EF}"/>
    <hyperlink ref="I391" r:id="rId15322" xr:uid="{12460318-BD51-4CC5-9AAE-04D7091A403A}"/>
    <hyperlink ref="I392" r:id="rId15323" xr:uid="{6A8EE6F3-6C05-4649-B7DD-DCDC50DCA2E4}"/>
    <hyperlink ref="I393" r:id="rId15324" xr:uid="{0ED37782-4A99-47E6-88B5-DB58C9897C8F}"/>
    <hyperlink ref="I394" r:id="rId15325" xr:uid="{F0EE466E-7B62-4C7E-8373-31345E65D9F4}"/>
    <hyperlink ref="I395" r:id="rId15326" xr:uid="{32726741-C64A-41CB-B9BA-8622FAD73069}"/>
    <hyperlink ref="I396" r:id="rId15327" xr:uid="{C022E49C-7FF8-40AA-8B5E-EDD5FC9528F7}"/>
    <hyperlink ref="I397" r:id="rId15328" xr:uid="{73E350CB-3D4B-41D0-9EF1-CE5047F308F2}"/>
    <hyperlink ref="I398" r:id="rId15329" xr:uid="{47EBCA1F-D8A3-4205-B411-335D3BC9F802}"/>
    <hyperlink ref="I399" r:id="rId15330" xr:uid="{E50C821C-CA4A-4F5F-90A6-6E1F9A96F05C}"/>
    <hyperlink ref="I400" r:id="rId15331" xr:uid="{F62D4510-76F6-4BF0-A83F-6ED02DB69BBB}"/>
    <hyperlink ref="I401" r:id="rId15332" xr:uid="{E4063419-7946-4145-A72F-BE14EDEE1ECE}"/>
    <hyperlink ref="I402" r:id="rId15333" xr:uid="{7B69F7CF-40B2-43FC-9021-9231F49508BB}"/>
    <hyperlink ref="I403" r:id="rId15334" xr:uid="{7637A921-B46A-41C2-B2C3-8092E8D88266}"/>
    <hyperlink ref="I404" r:id="rId15335" xr:uid="{9B6CD137-452C-4812-BAF4-3A464E13BD1C}"/>
    <hyperlink ref="I405" r:id="rId15336" xr:uid="{305861FD-F1B3-45AE-9286-BB8FE8EB2AAA}"/>
    <hyperlink ref="I406" r:id="rId15337" xr:uid="{EEDF94F0-0EB9-45E6-B842-7A05CEC9A970}"/>
    <hyperlink ref="I407" r:id="rId15338" xr:uid="{0C4E3600-594B-4BEA-A601-F1CEA5581177}"/>
    <hyperlink ref="I408" r:id="rId15339" xr:uid="{6779BAAC-18AE-4A77-B8FB-8B839398BA0C}"/>
    <hyperlink ref="I409" r:id="rId15340" xr:uid="{58EAC6EE-739E-41B0-9310-B44659FBF046}"/>
    <hyperlink ref="I410" r:id="rId15341" xr:uid="{15C24618-D74D-4E05-835B-F95476C631E6}"/>
    <hyperlink ref="I411" r:id="rId15342" xr:uid="{F2EE1424-B54A-467B-8EBD-142D52AF724D}"/>
    <hyperlink ref="I412" r:id="rId15343" xr:uid="{62738975-4EB6-4D84-8AD7-38948D52F7C4}"/>
    <hyperlink ref="I413" r:id="rId15344" xr:uid="{EDF9A3EB-9892-405B-9FD5-F0BFA130AD5A}"/>
    <hyperlink ref="I414" r:id="rId15345" xr:uid="{857DEBFF-03C7-420D-A229-6ABE4E5805B9}"/>
    <hyperlink ref="I415" r:id="rId15346" xr:uid="{D881B63A-D9AE-46E1-82F2-5378B36719E8}"/>
    <hyperlink ref="I416" r:id="rId15347" xr:uid="{B2865DD2-05F5-4E3B-96E7-A212A8AD0C7D}"/>
    <hyperlink ref="I417" r:id="rId15348" xr:uid="{A1753F1D-DBA9-4E30-80D0-2E685090E1B4}"/>
    <hyperlink ref="I418" r:id="rId15349" xr:uid="{938165F0-9E60-4ED4-8608-D4E68ED9D845}"/>
    <hyperlink ref="I419" r:id="rId15350" xr:uid="{D1E5A856-C3C3-4DDB-B60D-FD9766491F50}"/>
    <hyperlink ref="I420" r:id="rId15351" xr:uid="{62317386-74C2-4CCF-B5CC-C687A3B42E50}"/>
    <hyperlink ref="I421" r:id="rId15352" xr:uid="{6425B846-5F3C-4053-AAB5-6ACDD5BDBECE}"/>
    <hyperlink ref="I422" r:id="rId15353" xr:uid="{71D446D7-1DF6-46A5-9B33-6B21B5F956DE}"/>
    <hyperlink ref="I423" r:id="rId15354" xr:uid="{CE171B95-37A0-439E-86B4-613AA3070D6C}"/>
    <hyperlink ref="I424" r:id="rId15355" xr:uid="{E8DCC265-D03C-423A-B032-47D7CAF2C066}"/>
    <hyperlink ref="I425" r:id="rId15356" xr:uid="{A090D0DF-D26B-471D-962D-7036DCC443AD}"/>
    <hyperlink ref="I426" r:id="rId15357" xr:uid="{8A310DE2-7A93-4574-9372-76E33FC8F969}"/>
    <hyperlink ref="I427" r:id="rId15358" xr:uid="{1DB93A0C-59CF-471E-8EB0-E66403FCDCAC}"/>
    <hyperlink ref="I428" r:id="rId15359" xr:uid="{EFAC7CA6-9C1F-4274-974C-6E0459A00C73}"/>
    <hyperlink ref="I429" r:id="rId15360" xr:uid="{94086EC0-082A-42C9-AB1E-B8D8B087E366}"/>
    <hyperlink ref="I430" r:id="rId15361" xr:uid="{04D07DBC-C040-40AA-8DD6-C583B07C7341}"/>
    <hyperlink ref="I431" r:id="rId15362" xr:uid="{7F679630-9648-45CB-8E9A-23FCFDEF6807}"/>
    <hyperlink ref="I432" r:id="rId15363" xr:uid="{E4DC4A5A-6305-48BF-9463-306B27A1803F}"/>
    <hyperlink ref="I433" r:id="rId15364" xr:uid="{9F722669-1AC0-4541-94A5-40178FCE4ECB}"/>
    <hyperlink ref="I434" r:id="rId15365" xr:uid="{9F5767EC-F5D7-482C-9852-5682992539A0}"/>
    <hyperlink ref="I435" r:id="rId15366" xr:uid="{8B5F1A70-4FCA-42B6-9C80-A1F16030F4B7}"/>
    <hyperlink ref="I436" r:id="rId15367" xr:uid="{CC60AA3C-F5CE-405E-97DC-D49F8E9D04B7}"/>
    <hyperlink ref="I437" r:id="rId15368" xr:uid="{D1447045-F2CC-489C-9F57-C9662EA9A3AA}"/>
    <hyperlink ref="I438" r:id="rId15369" xr:uid="{88CCF4B8-4626-493F-A8FB-F4478F15A6D4}"/>
    <hyperlink ref="I439" r:id="rId15370" xr:uid="{AF773B87-B406-4FAF-9814-ADC6C8F92BAD}"/>
    <hyperlink ref="I440" r:id="rId15371" xr:uid="{30C4BE7C-B2C5-4E7A-9953-704705DE1A36}"/>
    <hyperlink ref="I441" r:id="rId15372" xr:uid="{B1CE33F9-5371-45A0-8EE7-2CFACE567DC3}"/>
    <hyperlink ref="I442" r:id="rId15373" xr:uid="{537BB5E0-1F7E-4A1D-ABC8-5F09FF800C3A}"/>
    <hyperlink ref="I443" r:id="rId15374" xr:uid="{E4E38BA0-F364-478B-BB0D-22BCB0B506D8}"/>
    <hyperlink ref="I444" r:id="rId15375" xr:uid="{4F5789DD-F857-4DC5-996B-465DE2D9F702}"/>
    <hyperlink ref="I445" r:id="rId15376" xr:uid="{8C055427-5FDC-4FD4-B8E1-40B8A7C12B77}"/>
    <hyperlink ref="I446" r:id="rId15377" xr:uid="{CB96888A-F61B-4A1F-9169-C553552E8F45}"/>
    <hyperlink ref="I447" r:id="rId15378" xr:uid="{A5420B2E-0299-4857-A6CC-146F41CCFE93}"/>
    <hyperlink ref="I448" r:id="rId15379" xr:uid="{97AEA455-AED8-4192-B73F-9A0BF805AD96}"/>
    <hyperlink ref="I449" r:id="rId15380" xr:uid="{81C5A0DC-B227-4B14-B8A4-09A2953F8F15}"/>
    <hyperlink ref="I450" r:id="rId15381" xr:uid="{D78EEEB7-49FB-4D84-ACCA-400876469778}"/>
    <hyperlink ref="I252" r:id="rId15382" xr:uid="{8F153E2C-2F0D-4B61-8741-401F63464C55}"/>
    <hyperlink ref="I253" r:id="rId15383" xr:uid="{27971188-85CA-4E24-A5AB-23B54DCDF748}"/>
    <hyperlink ref="I254" r:id="rId15384" xr:uid="{A19A9E07-851B-4C8B-83C1-4CD77B6AD6F7}"/>
    <hyperlink ref="I255" r:id="rId15385" xr:uid="{2B917193-22DC-447D-B734-AA437E2258BC}"/>
    <hyperlink ref="I256" r:id="rId15386" xr:uid="{E6D28C8F-AD07-407A-9C30-3967E74CC4A7}"/>
    <hyperlink ref="I257" r:id="rId15387" xr:uid="{EB6DB92A-B33D-42B7-AEC4-7D54231FB16E}"/>
    <hyperlink ref="I258" r:id="rId15388" xr:uid="{8CE04E87-C888-447B-B9D2-EF4DEA36AFFC}"/>
    <hyperlink ref="I259" r:id="rId15389" xr:uid="{B0208204-B39A-41A0-ADCD-80CBA18C6DDD}"/>
    <hyperlink ref="I260" r:id="rId15390" xr:uid="{E96C056C-AF90-4BBE-8E2D-BC1F56F38F35}"/>
    <hyperlink ref="I261" r:id="rId15391" xr:uid="{E74EDAA5-E128-4A8B-9047-513F84ED3E55}"/>
    <hyperlink ref="I262" r:id="rId15392" xr:uid="{98CDEC83-7574-45D8-B37B-33CD20A80551}"/>
    <hyperlink ref="I263" r:id="rId15393" xr:uid="{41EE97E7-09A8-4938-869E-56A91BEC0BCE}"/>
    <hyperlink ref="I264" r:id="rId15394" xr:uid="{4912416B-C22D-412F-8DDE-3F390215A73E}"/>
    <hyperlink ref="I265" r:id="rId15395" xr:uid="{ACC33A35-9559-452F-B730-BBE556AEE45B}"/>
    <hyperlink ref="I266" r:id="rId15396" xr:uid="{1F102527-7A37-40A3-AE53-FE0946CFED32}"/>
    <hyperlink ref="I267" r:id="rId15397" xr:uid="{B7566BC4-3ABD-45AA-8EF0-181E3A3FE85A}"/>
    <hyperlink ref="I268" r:id="rId15398" xr:uid="{5EB9735E-AA8F-4785-8653-610E69D04904}"/>
    <hyperlink ref="I269" r:id="rId15399" xr:uid="{6DAF03F9-785A-4207-AB26-B3EA8C441533}"/>
    <hyperlink ref="I270" r:id="rId15400" xr:uid="{2AE3B099-4477-4763-B1EC-57A100DC779B}"/>
    <hyperlink ref="I271" r:id="rId15401" xr:uid="{FE0ABBD8-A76C-4770-AF42-419732E4EF6A}"/>
    <hyperlink ref="I272" r:id="rId15402" xr:uid="{72A7E1CF-F3C2-4732-AC22-FF7AEABA51F5}"/>
    <hyperlink ref="I273" r:id="rId15403" xr:uid="{5419F869-88F0-4FAE-92AF-171B70B2D55B}"/>
    <hyperlink ref="I274" r:id="rId15404" xr:uid="{4E116CB2-E624-4897-88D2-0637C0908DB3}"/>
    <hyperlink ref="I275" r:id="rId15405" xr:uid="{689AC351-2FCF-4E74-BB61-6AB36CAF2DE9}"/>
    <hyperlink ref="I276" r:id="rId15406" xr:uid="{B524BE24-10E6-4E68-9EB6-CACDCD345451}"/>
    <hyperlink ref="I277" r:id="rId15407" xr:uid="{7897794E-46C0-4FF8-B96B-8E139303DC52}"/>
    <hyperlink ref="I278" r:id="rId15408" xr:uid="{B9174B29-A26A-44C5-839A-4BCD9A87B6BF}"/>
    <hyperlink ref="I279" r:id="rId15409" xr:uid="{572EFDAD-AE60-4BA6-A474-2D35E422EA17}"/>
    <hyperlink ref="I280" r:id="rId15410" xr:uid="{FC8D00C4-1601-463F-8819-0D5ABED78C04}"/>
    <hyperlink ref="I281" r:id="rId15411" xr:uid="{67230026-48D7-47FD-BB62-45B69B35915F}"/>
    <hyperlink ref="I282" r:id="rId15412" xr:uid="{D93672DC-D615-4B50-AA22-FC7F5E40BA2B}"/>
    <hyperlink ref="I283" r:id="rId15413" xr:uid="{0400CA78-FE34-417A-B18E-1D020C2A03F6}"/>
    <hyperlink ref="I284" r:id="rId15414" xr:uid="{987C3586-41A1-47C1-ACC3-93D39DFD574F}"/>
    <hyperlink ref="I285" r:id="rId15415" xr:uid="{28B1FC01-2703-4BF5-BA39-DD30FD9110AE}"/>
    <hyperlink ref="I286" r:id="rId15416" xr:uid="{1AD4584C-63A5-4550-9021-D8FFE98D0072}"/>
    <hyperlink ref="I287" r:id="rId15417" xr:uid="{C635035F-7407-4B04-A8EB-8A32F862B71B}"/>
    <hyperlink ref="I288" r:id="rId15418" xr:uid="{1C27EF40-EF2C-479B-A78A-A3041D6FF5F8}"/>
    <hyperlink ref="I289" r:id="rId15419" xr:uid="{DA89A609-D40E-40CC-B7FA-EFD51C3E402B}"/>
    <hyperlink ref="I290" r:id="rId15420" xr:uid="{B8ADE575-3A63-44E8-95C4-C4638E0278F6}"/>
    <hyperlink ref="I291" r:id="rId15421" xr:uid="{19B5A4E9-A336-42EA-960B-E72361276218}"/>
    <hyperlink ref="I292" r:id="rId15422" xr:uid="{9E1EEBAC-10D1-4E6D-9FEA-342D794B2D3C}"/>
    <hyperlink ref="I293" r:id="rId15423" xr:uid="{FE3944CA-C890-4816-9EC8-CAC5C1FE4668}"/>
    <hyperlink ref="I294" r:id="rId15424" xr:uid="{797804C0-C56E-4948-B4B8-A76EBF7919D9}"/>
    <hyperlink ref="I295" r:id="rId15425" xr:uid="{33E45B28-628B-4257-8E58-AEE332FD9105}"/>
    <hyperlink ref="I296" r:id="rId15426" xr:uid="{BDF72C5F-92F5-4E5D-8FF3-8CA8A8CFD70C}"/>
    <hyperlink ref="I297" r:id="rId15427" xr:uid="{E1936B58-760F-41B0-A788-B982A8A5CD8D}"/>
    <hyperlink ref="I298" r:id="rId15428" xr:uid="{4BA835A0-3DAE-4597-9A04-941192859806}"/>
    <hyperlink ref="I299" r:id="rId15429" xr:uid="{57D92256-853B-4E0C-BFA3-54083412E16E}"/>
    <hyperlink ref="I300" r:id="rId15430" xr:uid="{BB8EF158-CCA1-4F6D-86A8-376EBEA01257}"/>
    <hyperlink ref="I301" r:id="rId15431" xr:uid="{E5D8898F-6D6E-43A3-B261-0CDEE98A3A31}"/>
    <hyperlink ref="I302" r:id="rId15432" xr:uid="{032EC77D-E27A-4480-9A28-C6D89274BBF0}"/>
    <hyperlink ref="I303" r:id="rId15433" xr:uid="{E2B10E64-7049-4FC6-9DA7-E48513143CAA}"/>
    <hyperlink ref="I304" r:id="rId15434" xr:uid="{DEB3F220-98B8-48E1-8062-C88C5F92D827}"/>
    <hyperlink ref="I305" r:id="rId15435" xr:uid="{C9FB4568-91E3-4B0B-8CF7-AF7D1E48C698}"/>
    <hyperlink ref="I306" r:id="rId15436" xr:uid="{126CDFD1-059B-428B-AC05-622C4C91A300}"/>
    <hyperlink ref="I307" r:id="rId15437" xr:uid="{17F4152E-B166-46B9-A162-C5E135F0B480}"/>
    <hyperlink ref="I308" r:id="rId15438" xr:uid="{980AC94F-0408-4379-A7DC-33083CD1E5DB}"/>
    <hyperlink ref="I309" r:id="rId15439" xr:uid="{7A67383F-492B-40F8-89C2-D644DC2F48B6}"/>
    <hyperlink ref="I310" r:id="rId15440" xr:uid="{2C0670C3-2F15-4124-8B89-1D9A6D8B36C0}"/>
    <hyperlink ref="I311" r:id="rId15441" xr:uid="{66F6E548-750C-49ED-B60E-A5D1A04DE243}"/>
    <hyperlink ref="I312" r:id="rId15442" xr:uid="{74F53204-A816-4A5D-96D8-33C4113F27D7}"/>
    <hyperlink ref="I313" r:id="rId15443" xr:uid="{10A3E66F-D24C-42E7-8505-D6279020ED75}"/>
    <hyperlink ref="I314" r:id="rId15444" xr:uid="{E3601EE5-4B48-424E-A539-73C0FB8F83B5}"/>
    <hyperlink ref="I315" r:id="rId15445" xr:uid="{D727B8A7-31DB-440A-8217-ABA1080DBE6B}"/>
    <hyperlink ref="I316" r:id="rId15446" xr:uid="{9F2CE0F6-BE0A-4227-AA65-B6605440BCB2}"/>
    <hyperlink ref="I317" r:id="rId15447" xr:uid="{7B54520E-3913-4B6A-8842-F367664D75D9}"/>
    <hyperlink ref="I318" r:id="rId15448" xr:uid="{5F74226A-CD97-4485-B18F-641D49415282}"/>
    <hyperlink ref="I319" r:id="rId15449" xr:uid="{F37DCAEC-4C5E-41BE-BB6D-A916D732C267}"/>
    <hyperlink ref="I320" r:id="rId15450" xr:uid="{E884C3C4-D8FE-4965-B4DE-04A542A149FA}"/>
    <hyperlink ref="I321" r:id="rId15451" xr:uid="{57668C37-0E24-4775-BEFF-BB1F9C971871}"/>
    <hyperlink ref="I322" r:id="rId15452" xr:uid="{36A34A4D-A560-4386-8BFB-2E40FB4BAD24}"/>
    <hyperlink ref="I323" r:id="rId15453" xr:uid="{264C8479-8A46-4918-91FA-6436AE115CB0}"/>
    <hyperlink ref="I324" r:id="rId15454" xr:uid="{B7E6AC3A-4DFB-4E06-8096-E772375C37D2}"/>
    <hyperlink ref="I325" r:id="rId15455" xr:uid="{2486636C-0962-4F7C-91A5-ABA2D3C2BFF5}"/>
    <hyperlink ref="I326" r:id="rId15456" xr:uid="{ABCA9C43-52B6-4171-957B-5B56237390A0}"/>
    <hyperlink ref="I327" r:id="rId15457" xr:uid="{F4C01D70-5600-41C5-BE9F-81139469628F}"/>
    <hyperlink ref="I328" r:id="rId15458" xr:uid="{A7A450E5-AE2E-4B30-A73E-D0B47163D5F8}"/>
    <hyperlink ref="I329" r:id="rId15459" xr:uid="{29C7BD8F-6B08-44D0-9E36-705A3F2A34D0}"/>
    <hyperlink ref="I330" r:id="rId15460" xr:uid="{74B66E9F-B00F-49AD-93A3-FBFD8881F5AD}"/>
    <hyperlink ref="I331" r:id="rId15461" xr:uid="{9FD142F5-F267-4595-B57A-38DC4A0668AB}"/>
    <hyperlink ref="I332" r:id="rId15462" xr:uid="{72B8D197-D64E-434C-A545-2E65DB906C0F}"/>
    <hyperlink ref="I333" r:id="rId15463" xr:uid="{56C32666-3A75-4443-AB41-12CA6BBBA65C}"/>
    <hyperlink ref="I334" r:id="rId15464" xr:uid="{DEA0C767-C849-4E0F-8544-249D8112B493}"/>
    <hyperlink ref="I335" r:id="rId15465" xr:uid="{B29056F6-A93B-4010-B87A-D4515CC9445A}"/>
    <hyperlink ref="I336" r:id="rId15466" xr:uid="{FE6C6152-1408-4A4F-8A52-D0355103B5AF}"/>
    <hyperlink ref="I337" r:id="rId15467" xr:uid="{1E53C021-6BBA-4657-B8BC-7EB04697E1F2}"/>
    <hyperlink ref="I338" r:id="rId15468" xr:uid="{BF99374E-5968-4B6F-90B8-6C52098A818C}"/>
    <hyperlink ref="I339" r:id="rId15469" xr:uid="{742FE199-1BC0-4A71-A59F-45C26C4ED84F}"/>
    <hyperlink ref="I340" r:id="rId15470" xr:uid="{776A9719-13AC-40F5-8373-7D9166778A05}"/>
    <hyperlink ref="I341" r:id="rId15471" xr:uid="{FA739F37-4D77-4CC9-929B-95CEB759CE65}"/>
    <hyperlink ref="I342" r:id="rId15472" xr:uid="{5DE6DDA8-F7FC-41D7-A637-BAC1A27A60BD}"/>
    <hyperlink ref="I343" r:id="rId15473" xr:uid="{C798B14E-0017-4861-9CB2-4C2D91659192}"/>
    <hyperlink ref="I344" r:id="rId15474" xr:uid="{D8E89F21-4BFB-42CB-ADF4-5E865D560E3F}"/>
    <hyperlink ref="I345" r:id="rId15475" xr:uid="{BA274490-16C9-4FE9-812E-127C3FD0BFC9}"/>
    <hyperlink ref="I346" r:id="rId15476" xr:uid="{3C751F10-814F-487E-842C-7E1BC9F38FBB}"/>
    <hyperlink ref="I347" r:id="rId15477" xr:uid="{09B087F5-DCC2-4647-81EC-1511CBE45F09}"/>
    <hyperlink ref="I348" r:id="rId15478" xr:uid="{91682D93-D6CC-43A7-8A17-9F4D2F35B14F}"/>
    <hyperlink ref="I349" r:id="rId15479" xr:uid="{90900D5A-5658-4A94-9BA0-D35FE41D387A}"/>
    <hyperlink ref="I350" r:id="rId15480" xr:uid="{32CE9194-22E7-4A62-AE30-21160EBDDE33}"/>
    <hyperlink ref="I351" r:id="rId15481" xr:uid="{4996D4AA-2EE6-4254-964C-FB333C16FF0C}"/>
    <hyperlink ref="I352" r:id="rId15482" xr:uid="{C0C9ABE8-5B14-44AB-B40E-852E04BCE8D5}"/>
    <hyperlink ref="I353" r:id="rId15483" xr:uid="{C4EAB57E-B12B-45D6-A5C9-D69085A3C1D4}"/>
    <hyperlink ref="I354" r:id="rId15484" xr:uid="{745BC93D-3304-42A9-9048-489F06E23741}"/>
    <hyperlink ref="I355" r:id="rId15485" xr:uid="{0047B1AA-EACC-4747-80C5-C989921B6FC8}"/>
    <hyperlink ref="I356" r:id="rId15486" xr:uid="{2E4F371C-DCB6-457A-8B29-774C5F54B71D}"/>
    <hyperlink ref="I357" r:id="rId15487" xr:uid="{147BBDB3-C632-4817-9E86-521658036275}"/>
    <hyperlink ref="I358" r:id="rId15488" xr:uid="{F133F2C9-9FD7-4179-939B-5B367FB0F587}"/>
    <hyperlink ref="I359" r:id="rId15489" xr:uid="{64A2E302-A373-4059-B356-B8998697D028}"/>
    <hyperlink ref="I360" r:id="rId15490" xr:uid="{F272F039-26C3-4622-BEE5-0660F4B48EDA}"/>
    <hyperlink ref="I361" r:id="rId15491" xr:uid="{2E05BF90-30C3-42D7-A86F-E853EEB6A155}"/>
    <hyperlink ref="I362" r:id="rId15492" xr:uid="{A0C33F00-0B5C-42E7-9CF6-C89BFFAACB29}"/>
    <hyperlink ref="I363" r:id="rId15493" xr:uid="{3252F1C0-09FA-471A-8554-B595271F7D38}"/>
    <hyperlink ref="I364" r:id="rId15494" xr:uid="{99382D97-27EA-41B5-B6F8-CCEFE23B486E}"/>
    <hyperlink ref="I365" r:id="rId15495" xr:uid="{8DDCD5FE-3AFE-49F0-BBE6-DB70BDEAC97D}"/>
    <hyperlink ref="I366" r:id="rId15496" xr:uid="{E3E925C9-A10C-455F-ACC5-4ED29919B5AB}"/>
    <hyperlink ref="I367" r:id="rId15497" xr:uid="{6947BC6D-6B02-42DA-BE8B-59144EB3EE73}"/>
    <hyperlink ref="I368" r:id="rId15498" xr:uid="{4CC7FE00-73C5-4FD5-9D4B-F9E73EFB2C21}"/>
    <hyperlink ref="I369" r:id="rId15499" xr:uid="{752DA9C5-E53A-4103-B703-EC814E7E126C}"/>
    <hyperlink ref="I370" r:id="rId15500" xr:uid="{F9237A55-2880-4706-B569-7253E6D8400E}"/>
    <hyperlink ref="I371" r:id="rId15501" xr:uid="{A22A804A-01D8-4A33-BBDE-10EC4AB2B8C1}"/>
    <hyperlink ref="I372" r:id="rId15502" xr:uid="{D86F9139-25E1-4CB8-8E85-D13F6C703F45}"/>
    <hyperlink ref="I373" r:id="rId15503" xr:uid="{9DA785D3-158E-4830-81FA-B52861164E6A}"/>
    <hyperlink ref="I374" r:id="rId15504" xr:uid="{E8982635-3AD1-4FD7-878B-DF4B27096850}"/>
    <hyperlink ref="I375" r:id="rId15505" xr:uid="{BDD8841F-4BC6-49A3-8882-168F6865C7F4}"/>
    <hyperlink ref="I127" r:id="rId15506" xr:uid="{D816B1DC-2766-4667-857D-4986E5B31F69}"/>
    <hyperlink ref="I128" r:id="rId15507" xr:uid="{234DC095-1A9C-48C8-81BE-22246949ED5D}"/>
    <hyperlink ref="I129" r:id="rId15508" xr:uid="{4A288CE0-4329-472E-8B8E-0A60DC139821}"/>
    <hyperlink ref="I130" r:id="rId15509" xr:uid="{55AAC888-B9C2-4A7B-9148-12CDC11FC026}"/>
    <hyperlink ref="I131" r:id="rId15510" xr:uid="{B9F8662E-8B64-425A-9CF4-C51D1985FD99}"/>
    <hyperlink ref="I132" r:id="rId15511" xr:uid="{09708BEA-7815-4247-B83A-988BF7568A0C}"/>
    <hyperlink ref="I133" r:id="rId15512" xr:uid="{EC977957-BE37-431D-957D-623A7B21CEBB}"/>
    <hyperlink ref="I134" r:id="rId15513" xr:uid="{1A728BC0-E1C7-4284-ADDD-A6CDD7BA39BC}"/>
    <hyperlink ref="I135" r:id="rId15514" xr:uid="{A0AE2BF3-AA57-49F7-AD54-E9D6526ACB8F}"/>
    <hyperlink ref="I136" r:id="rId15515" xr:uid="{EA6C28C6-48A0-47E3-BFC4-3631A1E142B2}"/>
    <hyperlink ref="I137" r:id="rId15516" xr:uid="{F3AFBEBD-C11D-4F92-B5BF-EC1BF9317EF8}"/>
    <hyperlink ref="I138" r:id="rId15517" xr:uid="{F5B14929-5F1C-498A-8007-14878D276138}"/>
    <hyperlink ref="I139" r:id="rId15518" xr:uid="{41D91828-1A58-46AC-A80F-9B50C9DE5D60}"/>
    <hyperlink ref="I140" r:id="rId15519" xr:uid="{2D93C231-FA34-4529-9C8B-5F96082C03C3}"/>
    <hyperlink ref="I141" r:id="rId15520" xr:uid="{9AC9ECE7-52E4-4DB7-9729-0F81F3A30020}"/>
    <hyperlink ref="I142" r:id="rId15521" xr:uid="{473009AE-E171-4C47-8811-2B95C4FE3287}"/>
    <hyperlink ref="I143" r:id="rId15522" xr:uid="{A56097FE-3F02-40B1-9A11-04C7FF47B409}"/>
    <hyperlink ref="I144" r:id="rId15523" xr:uid="{11CF66EF-C68A-4B66-86AB-D73CBC25AF92}"/>
    <hyperlink ref="I145" r:id="rId15524" xr:uid="{E17E544C-F6C4-4D98-948B-036ACB04CAF8}"/>
    <hyperlink ref="I146" r:id="rId15525" xr:uid="{27E678F2-9FCB-4CA2-96B3-0C6EDA608C3F}"/>
    <hyperlink ref="I147" r:id="rId15526" xr:uid="{C1DB7921-44B4-47E4-996C-30839BB8DDF4}"/>
    <hyperlink ref="I148" r:id="rId15527" xr:uid="{ABDA1840-05F4-4FEC-96F5-891B03A3AE0E}"/>
    <hyperlink ref="I149" r:id="rId15528" xr:uid="{81B343BF-7965-4FCF-9814-791EA18D90BA}"/>
    <hyperlink ref="I150" r:id="rId15529" xr:uid="{333460E1-1009-41CA-8319-3D65AF214F54}"/>
    <hyperlink ref="I151" r:id="rId15530" xr:uid="{F090920F-4CCC-4DC2-B29E-796013B4657F}"/>
    <hyperlink ref="I152" r:id="rId15531" xr:uid="{ACCE2E4B-365D-4C59-9EA6-233495C9095F}"/>
    <hyperlink ref="I153" r:id="rId15532" xr:uid="{982AC873-30CF-4172-A351-3F89EB39C356}"/>
    <hyperlink ref="I154" r:id="rId15533" xr:uid="{51436FAC-72B5-42EF-8A9A-EAFEBFC2EE02}"/>
    <hyperlink ref="I155" r:id="rId15534" xr:uid="{667476EB-6DD5-4CE1-ADDC-08445296488B}"/>
    <hyperlink ref="I156" r:id="rId15535" xr:uid="{56392911-0CB9-46A8-AB64-03A295F20E3E}"/>
    <hyperlink ref="I157" r:id="rId15536" xr:uid="{40890BF0-7371-4498-8BE4-26B4D0E585BA}"/>
    <hyperlink ref="I158" r:id="rId15537" xr:uid="{121442C1-C56D-461C-BED2-DF5834ABBB51}"/>
    <hyperlink ref="I159" r:id="rId15538" xr:uid="{6A9FD5A1-83DA-4BB7-92A6-FB07ADC0E933}"/>
    <hyperlink ref="I160" r:id="rId15539" xr:uid="{12D26F1A-4F73-4253-8088-0DB6B21FDA27}"/>
    <hyperlink ref="I161" r:id="rId15540" xr:uid="{117E2AE6-D02D-4387-A40E-4326BBDA9567}"/>
    <hyperlink ref="I162" r:id="rId15541" xr:uid="{3371F7A1-C478-4ECC-AA39-56A1BBE2DDAC}"/>
    <hyperlink ref="I163" r:id="rId15542" xr:uid="{938DFA3A-C5E4-422A-A2D2-B81EB30CA31D}"/>
    <hyperlink ref="I164" r:id="rId15543" xr:uid="{25EDF63A-6DAF-41EF-816C-1A93835EE0F9}"/>
    <hyperlink ref="I165" r:id="rId15544" xr:uid="{3217B9F9-8DA2-4455-A410-1205A1B574D0}"/>
    <hyperlink ref="I166" r:id="rId15545" xr:uid="{BCE78B17-72DD-49B0-A747-E59AEA01A13D}"/>
    <hyperlink ref="I167" r:id="rId15546" xr:uid="{3BC5E0E7-31B4-4FA5-AB26-78DCC28EAB13}"/>
    <hyperlink ref="I168" r:id="rId15547" xr:uid="{522D8DC2-2E38-4CE9-970A-BE7BD2833108}"/>
    <hyperlink ref="I169" r:id="rId15548" xr:uid="{1E741A29-40F9-4038-A483-6944263C68FE}"/>
    <hyperlink ref="I170" r:id="rId15549" xr:uid="{B0A9A2C3-1B26-451F-B364-EE7F258DF440}"/>
    <hyperlink ref="I171" r:id="rId15550" xr:uid="{166AE230-6142-4EE6-A448-BD131948F8A8}"/>
    <hyperlink ref="I172" r:id="rId15551" xr:uid="{35D01778-ED9D-4B18-AAB1-B7726DDF9065}"/>
    <hyperlink ref="I173" r:id="rId15552" xr:uid="{8631328B-DA66-4AE0-B2FF-A2157AFCA60D}"/>
    <hyperlink ref="I174" r:id="rId15553" xr:uid="{8A8167DB-B01C-4BF5-938C-13A15E9F054C}"/>
    <hyperlink ref="I175" r:id="rId15554" xr:uid="{5CEAFE5C-8076-423A-915B-BEED11F75AD2}"/>
    <hyperlink ref="I176" r:id="rId15555" xr:uid="{0E0BE06D-5AF8-4456-AB7C-5845CBCAD89E}"/>
    <hyperlink ref="I177" r:id="rId15556" xr:uid="{6623CED8-1696-4377-957B-55709168F335}"/>
    <hyperlink ref="I178" r:id="rId15557" xr:uid="{B0956137-5D6F-48DE-BDB8-B8BE83FF2D62}"/>
    <hyperlink ref="I179" r:id="rId15558" xr:uid="{81C5A1D6-F80F-464B-9350-BA251D2458C3}"/>
    <hyperlink ref="I180" r:id="rId15559" xr:uid="{A2378727-E599-4E3D-91A0-860B622569BE}"/>
    <hyperlink ref="I181" r:id="rId15560" xr:uid="{44D7869A-88FE-4439-899D-F90A945AABCB}"/>
    <hyperlink ref="I182" r:id="rId15561" xr:uid="{5F33931D-08AF-4685-A4FF-B62598E34A7C}"/>
    <hyperlink ref="I183" r:id="rId15562" xr:uid="{3EB4D952-7552-46A7-BBE5-3561C7760E51}"/>
    <hyperlink ref="I184" r:id="rId15563" xr:uid="{D1380AF5-9047-4CCD-A930-B955A39EE296}"/>
    <hyperlink ref="I185" r:id="rId15564" xr:uid="{42CBED41-471A-4F5C-B9CC-75A9259F7FCB}"/>
    <hyperlink ref="I186" r:id="rId15565" xr:uid="{78A15621-0545-4213-A39E-7BC0108D1C67}"/>
    <hyperlink ref="I187" r:id="rId15566" xr:uid="{F017F2A0-667C-4A12-9EDF-2DDC71C7D5F0}"/>
    <hyperlink ref="I188" r:id="rId15567" xr:uid="{C3559A4D-7D83-4205-B029-5E0B8F54F1F6}"/>
    <hyperlink ref="I189" r:id="rId15568" xr:uid="{B54C7357-DA92-4874-BB85-BF5E0078E457}"/>
    <hyperlink ref="I190" r:id="rId15569" xr:uid="{EE68B902-94F5-41F0-A7A2-8892C1395586}"/>
    <hyperlink ref="I191" r:id="rId15570" xr:uid="{BAE7DB91-F8DF-4E01-AE1E-E3E9D99E84F6}"/>
    <hyperlink ref="I192" r:id="rId15571" xr:uid="{E5E52FAF-894B-449B-A824-A835A4851043}"/>
    <hyperlink ref="I193" r:id="rId15572" xr:uid="{DCC87F0A-995B-4E04-AFC8-9B0B79D86B7A}"/>
    <hyperlink ref="I194" r:id="rId15573" xr:uid="{0D6DA939-0668-461B-BC3F-40CBED368C76}"/>
    <hyperlink ref="I195" r:id="rId15574" xr:uid="{C86A6FF4-4478-481F-A7A9-EBD898793391}"/>
    <hyperlink ref="I196" r:id="rId15575" xr:uid="{B1BEFC53-B433-4B80-8FEE-C1A1BF4B4922}"/>
    <hyperlink ref="I197" r:id="rId15576" xr:uid="{222D1376-312F-42E1-A9C8-BC7E695E13DB}"/>
    <hyperlink ref="I198" r:id="rId15577" xr:uid="{907D20F2-DD76-4F37-A13D-9F8028689132}"/>
    <hyperlink ref="I199" r:id="rId15578" xr:uid="{8B189982-EAC7-4BD7-B167-FBE450270E78}"/>
    <hyperlink ref="I200" r:id="rId15579" xr:uid="{94D659C7-E89B-42DE-868B-8C1B4A538CAC}"/>
    <hyperlink ref="I201" r:id="rId15580" xr:uid="{8502C485-B01D-4DF3-BC73-88441C927EEF}"/>
    <hyperlink ref="I202" r:id="rId15581" xr:uid="{B56EBA23-97EF-4FE7-B217-261C7E7611B3}"/>
    <hyperlink ref="I203" r:id="rId15582" xr:uid="{081D58A6-046D-4FAB-80C9-F2075B6B9DA1}"/>
    <hyperlink ref="I204" r:id="rId15583" xr:uid="{9FF0E439-881D-48BC-999B-A29BBD73512E}"/>
    <hyperlink ref="I205" r:id="rId15584" xr:uid="{5E105A47-29A3-4860-B858-0112716F19CD}"/>
    <hyperlink ref="I206" r:id="rId15585" xr:uid="{3D111ED9-BCD5-4C1F-B97E-99FFC8A7CADA}"/>
    <hyperlink ref="I207" r:id="rId15586" xr:uid="{365AC07B-128C-43FA-82A2-775BD1745013}"/>
    <hyperlink ref="I208" r:id="rId15587" xr:uid="{248932AD-D126-44D3-A798-A0B5EA20F8B7}"/>
    <hyperlink ref="I209" r:id="rId15588" xr:uid="{0E29FA0E-847B-423D-ADD3-D5E050B4A56C}"/>
    <hyperlink ref="I210" r:id="rId15589" xr:uid="{3C92F903-58E7-493B-9FB9-3652A49A3DB2}"/>
    <hyperlink ref="I211" r:id="rId15590" xr:uid="{627CE76F-349F-45C7-BA80-7E95C96CC730}"/>
    <hyperlink ref="I212" r:id="rId15591" xr:uid="{B1BAA735-BF89-49AC-84B8-AA6DDFB7C415}"/>
    <hyperlink ref="I213" r:id="rId15592" xr:uid="{0846C00D-0E39-44B0-8794-32DE38B8F872}"/>
    <hyperlink ref="I214" r:id="rId15593" xr:uid="{6CDF4478-8A69-4FF9-9EC7-244EFAEEE5C6}"/>
    <hyperlink ref="I215" r:id="rId15594" xr:uid="{E82B5D47-CCF6-421C-B270-1AB9001377C3}"/>
    <hyperlink ref="I216" r:id="rId15595" xr:uid="{7E875027-8F55-47D5-AB2A-2516E889B424}"/>
    <hyperlink ref="I217" r:id="rId15596" xr:uid="{F2AF6C94-1FDC-4CF5-8C73-A3C082FBDFCA}"/>
    <hyperlink ref="I218" r:id="rId15597" xr:uid="{6DAD614A-2958-40E9-89B5-1539F3F407B2}"/>
    <hyperlink ref="I219" r:id="rId15598" xr:uid="{5EE48650-A760-4E39-87CA-5AF91DAEE66D}"/>
    <hyperlink ref="I220" r:id="rId15599" xr:uid="{FE325CC7-2EB9-4B09-9118-741117C62A9D}"/>
    <hyperlink ref="I221" r:id="rId15600" xr:uid="{7A5EC067-0259-42D3-8165-E9D0DF02DFB0}"/>
    <hyperlink ref="I222" r:id="rId15601" xr:uid="{013D8BF0-D73F-4EE7-99EC-911DEA7316D2}"/>
    <hyperlink ref="I223" r:id="rId15602" xr:uid="{93E15B96-040A-4BBE-BCE9-AC028ECD6F28}"/>
    <hyperlink ref="I224" r:id="rId15603" xr:uid="{02847075-192F-49CB-824B-752495EB0AC5}"/>
    <hyperlink ref="I225" r:id="rId15604" xr:uid="{5F489B0B-4A81-4178-966B-34DB4B1C22B8}"/>
    <hyperlink ref="I226" r:id="rId15605" xr:uid="{2D8392DB-C0AA-4D87-BB0B-788C1191CACB}"/>
    <hyperlink ref="I227" r:id="rId15606" xr:uid="{EE7551CE-C6EE-4185-BF1D-15B622591DE7}"/>
    <hyperlink ref="I228" r:id="rId15607" xr:uid="{632EE761-3723-472E-9583-A4224359AB38}"/>
    <hyperlink ref="I229" r:id="rId15608" xr:uid="{0AAAD86A-DD82-4151-87CD-CBB204E9CF1A}"/>
    <hyperlink ref="I230" r:id="rId15609" xr:uid="{F24E10FD-20D0-42ED-8DCD-B1CB5C09CCAA}"/>
    <hyperlink ref="I231" r:id="rId15610" xr:uid="{743FB930-6288-4F75-817B-102336901DED}"/>
    <hyperlink ref="I232" r:id="rId15611" xr:uid="{6F2CECBD-F325-40AC-BCFD-3E9C9767B4B8}"/>
    <hyperlink ref="I233" r:id="rId15612" xr:uid="{D1AF9CAD-8E38-4DD7-AAC9-EC4E95828722}"/>
    <hyperlink ref="I234" r:id="rId15613" xr:uid="{B0B780FF-686F-4017-9298-4D209174A0C2}"/>
    <hyperlink ref="I235" r:id="rId15614" xr:uid="{FB49BE8A-31CE-4156-B337-88DFC1A5F5C9}"/>
    <hyperlink ref="I236" r:id="rId15615" xr:uid="{93BA4AF0-21ED-44B5-A3E4-6A2297939E6B}"/>
    <hyperlink ref="I237" r:id="rId15616" xr:uid="{F9F41350-3B86-4C51-B554-2349E144A578}"/>
    <hyperlink ref="I238" r:id="rId15617" xr:uid="{62580A29-110E-49C9-83FD-3C1BDA24C5F1}"/>
    <hyperlink ref="I239" r:id="rId15618" xr:uid="{189B4065-5957-4807-BB7F-10A0B12BE21A}"/>
    <hyperlink ref="I240" r:id="rId15619" xr:uid="{E8FF1369-24D6-4B6E-B7F1-3D2752BB9CBD}"/>
    <hyperlink ref="I241" r:id="rId15620" xr:uid="{87867D29-69B5-45E7-BF46-8FB46142040D}"/>
    <hyperlink ref="I242" r:id="rId15621" xr:uid="{BF9CC1B7-3AAE-47D8-832D-884A9C867CE3}"/>
    <hyperlink ref="I243" r:id="rId15622" xr:uid="{5B434F33-EB71-4717-86C9-DB7F92120FE5}"/>
    <hyperlink ref="I244" r:id="rId15623" xr:uid="{FE8516B7-2080-46A6-8779-ACFEE0CD0DB2}"/>
    <hyperlink ref="I245" r:id="rId15624" xr:uid="{2EBC7626-2D09-4BD6-9D58-4E006C07B50A}"/>
    <hyperlink ref="I246" r:id="rId15625" xr:uid="{66D88EF6-B07D-4F53-9D49-555B5389A778}"/>
    <hyperlink ref="I247" r:id="rId15626" xr:uid="{321C3FBE-5972-4073-B236-72D94D4A900B}"/>
    <hyperlink ref="I248" r:id="rId15627" xr:uid="{F390AF1A-E671-4F5B-8468-330C0E0F1D9F}"/>
    <hyperlink ref="I249" r:id="rId15628" xr:uid="{9DBB7275-B7E5-4B31-AC05-5192DAD66E6E}"/>
    <hyperlink ref="I250" r:id="rId15629" xr:uid="{05AA5C3A-3126-47BA-84ED-1BE6AEF47B06}"/>
    <hyperlink ref="I251" r:id="rId15630" xr:uid="{A9A4645D-E12D-46D5-A7F1-346F01268330}"/>
    <hyperlink ref="I2" r:id="rId15631" xr:uid="{125078A6-8CC4-4D09-BA1A-DADA4B66D5BF}"/>
    <hyperlink ref="I3" r:id="rId15632" xr:uid="{7D2E6715-62F9-4D97-A70D-5E919F098CC3}"/>
    <hyperlink ref="I4" r:id="rId15633" xr:uid="{65A6D2EA-960E-4113-82BF-876B33B1EBF3}"/>
    <hyperlink ref="I5" r:id="rId15634" xr:uid="{541CD20E-440A-4A09-99E4-3D6FF485A0A0}"/>
    <hyperlink ref="I6" r:id="rId15635" xr:uid="{AC552EEA-2FDA-4800-BA78-49B96D0F0A5D}"/>
    <hyperlink ref="I7" r:id="rId15636" xr:uid="{A728F3CB-5963-4EF9-A147-C1357F8CC134}"/>
    <hyperlink ref="I8" r:id="rId15637" xr:uid="{24D7CE2D-97E0-4AAA-A13F-39CD72327AE7}"/>
    <hyperlink ref="I9" r:id="rId15638" xr:uid="{9D61C31D-DEAB-4361-8657-B56EAEE7B1D4}"/>
    <hyperlink ref="I10" r:id="rId15639" xr:uid="{3337D710-ECD4-465D-81E7-7649BA01CC31}"/>
    <hyperlink ref="I11" r:id="rId15640" xr:uid="{230ECE54-1D60-4BDB-A906-52BDB1408917}"/>
    <hyperlink ref="I12" r:id="rId15641" xr:uid="{1B38B53F-C6CA-42A2-8FD7-C30A545F513A}"/>
    <hyperlink ref="I13" r:id="rId15642" xr:uid="{3F3AADCD-DCBF-4528-91F3-5EFB4705AD96}"/>
    <hyperlink ref="I14" r:id="rId15643" xr:uid="{60964F54-CA64-484F-8FD0-174B963ACD8E}"/>
    <hyperlink ref="I15" r:id="rId15644" xr:uid="{5DDD7D64-63A1-4481-9905-B148BCD26664}"/>
    <hyperlink ref="I16" r:id="rId15645" xr:uid="{416B444B-4086-4224-8747-6BAE3E85B44E}"/>
    <hyperlink ref="I17" r:id="rId15646" xr:uid="{FE2B4485-7894-4E33-B4D6-56145B1D9A8A}"/>
    <hyperlink ref="I18" r:id="rId15647" xr:uid="{67A8F4BD-2A34-45E5-8E7C-4DDB35B93B85}"/>
    <hyperlink ref="I19" r:id="rId15648" xr:uid="{3FF35960-2C28-4F14-AF63-0D59DABBFE4A}"/>
    <hyperlink ref="I20" r:id="rId15649" xr:uid="{E9B5592D-0089-4A97-95F6-8F3D1A757591}"/>
    <hyperlink ref="I21" r:id="rId15650" xr:uid="{0E9249A7-2CB6-40A3-8686-439BC40571DF}"/>
    <hyperlink ref="I22" r:id="rId15651" xr:uid="{EE422A10-D349-4506-82CC-B2A6832916F8}"/>
    <hyperlink ref="I23" r:id="rId15652" xr:uid="{1E8AFD72-F4C6-4AEB-BC0A-5C32E08284B2}"/>
    <hyperlink ref="I24" r:id="rId15653" xr:uid="{79721E7D-D7E4-4879-A6CB-7578E317C1A6}"/>
    <hyperlink ref="I25" r:id="rId15654" xr:uid="{BDF642BD-4CC2-45E9-B171-DA04DC868957}"/>
    <hyperlink ref="I26" r:id="rId15655" xr:uid="{E5DA950B-CC75-46AF-87AD-8E59CB18036E}"/>
    <hyperlink ref="I27" r:id="rId15656" xr:uid="{1E9879D8-8FD2-43DE-8CC9-260435F608F6}"/>
    <hyperlink ref="I28" r:id="rId15657" xr:uid="{AFF897AD-27AC-4A6B-9D7B-A789F389039A}"/>
    <hyperlink ref="I29" r:id="rId15658" xr:uid="{69D5D789-B314-44D8-8DB8-377BB775EAD3}"/>
    <hyperlink ref="I30" r:id="rId15659" xr:uid="{0BB5D4D9-9F21-45F1-8F5A-21048DFE962F}"/>
    <hyperlink ref="I31" r:id="rId15660" xr:uid="{3DD6A372-CCB1-43FC-BDCC-38A59DDC631A}"/>
    <hyperlink ref="I32" r:id="rId15661" xr:uid="{B49D1D72-E08A-4DF3-BB1A-B39A161C140E}"/>
    <hyperlink ref="I33" r:id="rId15662" xr:uid="{18A15A52-9DE9-4817-8E85-AF7D3A3C55F7}"/>
    <hyperlink ref="I34" r:id="rId15663" xr:uid="{EEA8C591-4A98-41B5-88AA-ABBB17E69290}"/>
    <hyperlink ref="I35" r:id="rId15664" xr:uid="{6E02CE05-0F85-4F85-94A2-9C9768315AF6}"/>
    <hyperlink ref="I36" r:id="rId15665" xr:uid="{E295D39F-4A14-48CF-B2DB-E5D727ADAA1B}"/>
    <hyperlink ref="I37" r:id="rId15666" xr:uid="{199B3C9D-1E39-4075-A725-7AE42817DA3D}"/>
    <hyperlink ref="I38" r:id="rId15667" xr:uid="{4472D65E-39E8-43D2-8357-C2C940564D30}"/>
    <hyperlink ref="I39" r:id="rId15668" xr:uid="{907374C7-AEBE-472B-816C-C339C610060D}"/>
    <hyperlink ref="I40" r:id="rId15669" xr:uid="{38962BD9-65FA-47BA-9BA9-C55BB9F693EB}"/>
    <hyperlink ref="I41" r:id="rId15670" xr:uid="{069F750E-6EB1-4756-ADD1-D9818ACCFBAD}"/>
    <hyperlink ref="I42" r:id="rId15671" xr:uid="{1A334002-AA8A-4C8B-842C-AB6741728260}"/>
    <hyperlink ref="I43" r:id="rId15672" xr:uid="{B9CFDD57-776F-490B-8B75-7996A445EEF6}"/>
    <hyperlink ref="I44" r:id="rId15673" xr:uid="{20DC0202-F9CA-4684-9091-D5162930D69A}"/>
    <hyperlink ref="I45" r:id="rId15674" xr:uid="{EA912CD1-6527-424B-B30D-D8BE855DC1C1}"/>
    <hyperlink ref="I46" r:id="rId15675" xr:uid="{217390F3-E89F-4E73-9084-5EB684AFCF6D}"/>
    <hyperlink ref="I47" r:id="rId15676" xr:uid="{D004C7AF-744F-4901-956B-F62AE46DA3AF}"/>
    <hyperlink ref="I48" r:id="rId15677" xr:uid="{7D17D73F-0842-46DB-9B08-08E156E2BAC4}"/>
    <hyperlink ref="I49" r:id="rId15678" xr:uid="{6784B908-DCE4-4B77-986D-11CDCF70AFEA}"/>
    <hyperlink ref="I50" r:id="rId15679" xr:uid="{34A2245C-77A4-429D-BF4C-E44F0ADFC5A5}"/>
    <hyperlink ref="I51" r:id="rId15680" xr:uid="{2BBE6173-3F00-4553-9BCE-407FE2FC5F39}"/>
    <hyperlink ref="I52" r:id="rId15681" xr:uid="{4A1C287A-216B-408F-B9BE-B29F6775F437}"/>
    <hyperlink ref="I53" r:id="rId15682" xr:uid="{81F9015D-8B13-4683-AB17-D59CAF954D48}"/>
    <hyperlink ref="I54" r:id="rId15683" xr:uid="{DCF47CF4-D4FE-497B-BDD6-3BCD2336DBB1}"/>
    <hyperlink ref="I55" r:id="rId15684" xr:uid="{0654FC3B-E788-4620-941E-63C999EE2209}"/>
    <hyperlink ref="I56" r:id="rId15685" xr:uid="{89930641-BA43-4D4C-88A5-A8DE4E6E6893}"/>
    <hyperlink ref="I57" r:id="rId15686" xr:uid="{DF82B7F3-8C05-475A-8EA0-0413C820A1C8}"/>
    <hyperlink ref="I58" r:id="rId15687" xr:uid="{592B3BAD-6A57-4913-A87F-936D865BD6EB}"/>
    <hyperlink ref="I59" r:id="rId15688" xr:uid="{75D96EEC-F285-4305-8CDA-21449CC4F0A4}"/>
    <hyperlink ref="I60" r:id="rId15689" xr:uid="{0C51120B-4F1D-4575-9C34-5C83724B4FE5}"/>
    <hyperlink ref="I61" r:id="rId15690" xr:uid="{E1184718-E9F3-47AF-86AF-A257E33DCB32}"/>
    <hyperlink ref="I62" r:id="rId15691" xr:uid="{70FC7987-34E7-461C-9366-E80021999ACA}"/>
    <hyperlink ref="I63" r:id="rId15692" xr:uid="{605F619B-CC4C-4EE4-A743-36072B538567}"/>
    <hyperlink ref="I64" r:id="rId15693" xr:uid="{A5484D07-1725-4106-BA94-86696B791424}"/>
    <hyperlink ref="I65" r:id="rId15694" xr:uid="{423B677A-3BC2-412C-9569-2C84DD166092}"/>
    <hyperlink ref="I66" r:id="rId15695" xr:uid="{3FEFC6DD-8886-446F-AD2E-9BE7568A0255}"/>
    <hyperlink ref="I67" r:id="rId15696" xr:uid="{FF142045-AF17-4077-BC41-653A2BB09932}"/>
    <hyperlink ref="I68" r:id="rId15697" xr:uid="{32AFAF04-934F-4EF3-B5E4-6628D25653C2}"/>
    <hyperlink ref="I69" r:id="rId15698" xr:uid="{972D9EA6-7F5D-4907-BB52-9AE6D3F832D1}"/>
    <hyperlink ref="I70" r:id="rId15699" xr:uid="{18721A3F-22E3-4ABF-A68B-7A776499C38B}"/>
    <hyperlink ref="I71" r:id="rId15700" xr:uid="{C408091F-CB2A-4EB7-B68E-ACD9B376434C}"/>
    <hyperlink ref="I72" r:id="rId15701" xr:uid="{711FC55E-EB7B-4F05-A886-2F95307E0312}"/>
    <hyperlink ref="I73" r:id="rId15702" xr:uid="{C3488EF0-602F-4423-86F1-2B0CBE611930}"/>
    <hyperlink ref="I74" r:id="rId15703" xr:uid="{9477246D-A814-4ED8-A4ED-91DAB6D5B08F}"/>
    <hyperlink ref="I75" r:id="rId15704" xr:uid="{FE57C171-B769-42E0-9D25-E9C8DD248BF8}"/>
    <hyperlink ref="I76" r:id="rId15705" xr:uid="{D6E4D73C-9DC6-4151-90F3-7BFCD14B5771}"/>
    <hyperlink ref="I77" r:id="rId15706" xr:uid="{5012288C-4B67-4AE1-AF19-60BBA580D83D}"/>
    <hyperlink ref="I78" r:id="rId15707" xr:uid="{FF1D7F5C-86E2-41F0-8CEA-7A048BB9C15A}"/>
    <hyperlink ref="I79" r:id="rId15708" xr:uid="{E934F8F0-66A7-40F3-ABA7-BE158D514145}"/>
    <hyperlink ref="I80" r:id="rId15709" xr:uid="{12A1B77E-FC42-4A50-B63D-11A3CB4CA747}"/>
    <hyperlink ref="I81" r:id="rId15710" xr:uid="{8E3BFA32-9F59-4163-93F6-F05A18A5DD7A}"/>
    <hyperlink ref="I82" r:id="rId15711" xr:uid="{3C64C09A-5593-4EC2-AC57-BEF1062C5102}"/>
    <hyperlink ref="I83" r:id="rId15712" xr:uid="{53A6D769-9117-48D1-A37C-EFB5047356DD}"/>
    <hyperlink ref="I84" r:id="rId15713" xr:uid="{FAB87BD9-4FD0-4500-A87B-41C081B20252}"/>
    <hyperlink ref="I85" r:id="rId15714" xr:uid="{BE6768CF-7C73-407A-B698-923B87E5ABCB}"/>
    <hyperlink ref="I86" r:id="rId15715" xr:uid="{2661A691-4730-4BF3-A7EB-D0239BA8B212}"/>
    <hyperlink ref="I87" r:id="rId15716" xr:uid="{2AB613B2-AB3A-4A30-BCD8-02421B027A5E}"/>
    <hyperlink ref="I88" r:id="rId15717" xr:uid="{7901023C-A5B7-4AEE-A8AB-8569FDF8B6B6}"/>
    <hyperlink ref="I89" r:id="rId15718" xr:uid="{80B1FF86-66CF-4D8A-8EB4-2D70B5F6D963}"/>
    <hyperlink ref="I90" r:id="rId15719" xr:uid="{5364199C-1DE6-4937-833F-7BD249845CE5}"/>
    <hyperlink ref="I91" r:id="rId15720" xr:uid="{8614E01F-C84A-48CB-9E02-D623C6ADDA2B}"/>
    <hyperlink ref="I92" r:id="rId15721" xr:uid="{15539BD2-7D78-4679-874D-E1D3393AF543}"/>
    <hyperlink ref="I93" r:id="rId15722" xr:uid="{8758CDF9-1230-4F51-93CA-A156A02344A9}"/>
    <hyperlink ref="I94" r:id="rId15723" xr:uid="{A9DC028B-4B5C-4A96-85AF-D014B9717C67}"/>
    <hyperlink ref="I95" r:id="rId15724" xr:uid="{CDE47455-FAF4-4750-A86F-55B6FFF3F540}"/>
    <hyperlink ref="I96" r:id="rId15725" xr:uid="{2C927516-EA8A-4281-BB7F-E01EFE1703A1}"/>
    <hyperlink ref="I97" r:id="rId15726" xr:uid="{BA3412CD-2FA2-4316-93DE-A082A520C8D8}"/>
    <hyperlink ref="I98" r:id="rId15727" xr:uid="{279D0EEA-126C-4CC1-BF56-24A1B238EC8F}"/>
    <hyperlink ref="I99" r:id="rId15728" xr:uid="{87F2F17A-8E89-4C51-9AD1-A781FFB47800}"/>
    <hyperlink ref="I100" r:id="rId15729" xr:uid="{94B7D2DB-64F2-4B60-AF60-DAF62E941000}"/>
    <hyperlink ref="I101" r:id="rId15730" xr:uid="{BD934BE6-D82B-45B9-8C7F-93DDEB24A029}"/>
    <hyperlink ref="I102" r:id="rId15731" xr:uid="{C2739ACE-5A4B-43B6-9843-D9281EA6ABC4}"/>
    <hyperlink ref="I103" r:id="rId15732" xr:uid="{88601385-36C3-4AD6-A186-60CA07AE3CEA}"/>
    <hyperlink ref="I104" r:id="rId15733" xr:uid="{26FABC45-6964-46F8-A47C-80264B51DA94}"/>
    <hyperlink ref="I105" r:id="rId15734" xr:uid="{5359C749-FF67-495C-AC6C-1263EEE80BC3}"/>
    <hyperlink ref="I106" r:id="rId15735" xr:uid="{908D7B33-1FD7-4486-A38B-DEE4610CDE4F}"/>
    <hyperlink ref="I107" r:id="rId15736" xr:uid="{B2641239-51A1-46E5-9450-0992899E0B09}"/>
    <hyperlink ref="I108" r:id="rId15737" xr:uid="{2CEE803E-A4E9-4782-B127-4646B22A3134}"/>
    <hyperlink ref="I109" r:id="rId15738" xr:uid="{3BF37B54-2C18-4183-9CE3-DF431E650019}"/>
    <hyperlink ref="I110" r:id="rId15739" xr:uid="{D588249A-D57C-4565-B20A-B0E66BD556C9}"/>
    <hyperlink ref="I111" r:id="rId15740" xr:uid="{F2B46791-0A87-40EB-9E20-B78588DAF9FF}"/>
    <hyperlink ref="I112" r:id="rId15741" xr:uid="{CB29466B-FFB5-446D-B326-113C025D1F2C}"/>
    <hyperlink ref="I113" r:id="rId15742" xr:uid="{450C0401-CB12-481A-82B7-3F2EC48C8788}"/>
    <hyperlink ref="I114" r:id="rId15743" xr:uid="{AA9D43D7-B60D-4D71-8CC7-CF584591E3B9}"/>
    <hyperlink ref="I115" r:id="rId15744" xr:uid="{7C1008CC-4953-4C5D-BD31-280E501D549A}"/>
    <hyperlink ref="I116" r:id="rId15745" xr:uid="{B0974DA0-9FDB-4B4B-AE05-5E569060580A}"/>
    <hyperlink ref="I117" r:id="rId15746" xr:uid="{60A3E3A7-9F9C-4C8D-B9B5-1BB69EBA47F3}"/>
    <hyperlink ref="I118" r:id="rId15747" xr:uid="{79CEDC33-6F4B-42E5-A266-CBB5E777D0D4}"/>
    <hyperlink ref="I119" r:id="rId15748" xr:uid="{3C8C6EBA-831A-4315-8BC8-3AD940B8D877}"/>
    <hyperlink ref="I120" r:id="rId15749" xr:uid="{4E015368-7431-4796-9F8F-3BC0537432B3}"/>
    <hyperlink ref="I121" r:id="rId15750" xr:uid="{1092DF42-2676-46C9-B489-BC08222C8826}"/>
    <hyperlink ref="I122" r:id="rId15751" xr:uid="{CB85AB0C-D21B-46D8-9313-19C22D495EB2}"/>
    <hyperlink ref="I123" r:id="rId15752" xr:uid="{D92F95D7-2012-44E8-A101-2E34CEB491E7}"/>
    <hyperlink ref="I124" r:id="rId15753" xr:uid="{F106B146-6C07-4306-B536-E5B1FA7D0E0B}"/>
    <hyperlink ref="I125" r:id="rId15754" xr:uid="{A0C84C2C-F49C-47CE-8495-CEB71EEF7C97}"/>
    <hyperlink ref="I126" r:id="rId15755" xr:uid="{1329983C-4AE7-491B-B003-15FDF9AB02A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A6" sqref="A6:F7"/>
    </sheetView>
  </sheetViews>
  <sheetFormatPr defaultRowHeight="17" x14ac:dyDescent="0.45"/>
  <cols>
    <col min="1" max="1" width="14" customWidth="1"/>
    <col min="2" max="3" width="16" customWidth="1"/>
    <col min="4" max="4" width="24.4140625" customWidth="1"/>
    <col min="5" max="5" width="26" customWidth="1"/>
    <col min="6" max="6" width="16" customWidth="1"/>
  </cols>
  <sheetData>
    <row r="1" spans="1:6" ht="20" customHeight="1" x14ac:dyDescent="0.45">
      <c r="A1" s="8" t="s">
        <v>30254</v>
      </c>
      <c r="B1" s="8" t="s">
        <v>30255</v>
      </c>
      <c r="C1" s="8" t="s">
        <v>30256</v>
      </c>
      <c r="D1" s="8" t="s">
        <v>30257</v>
      </c>
      <c r="E1" s="8" t="s">
        <v>30258</v>
      </c>
      <c r="F1" s="8" t="s">
        <v>30259</v>
      </c>
    </row>
    <row r="2" spans="1:6" ht="18" customHeight="1" x14ac:dyDescent="0.45">
      <c r="A2" s="9" t="s">
        <v>30260</v>
      </c>
      <c r="B2" s="9" t="s">
        <v>2426</v>
      </c>
      <c r="C2" s="9" t="s">
        <v>1687</v>
      </c>
      <c r="D2" s="9" t="s">
        <v>32343</v>
      </c>
      <c r="E2" s="9" t="s">
        <v>30263</v>
      </c>
      <c r="F2" s="9" t="s">
        <v>30262</v>
      </c>
    </row>
    <row r="3" spans="1:6" ht="18" customHeight="1" x14ac:dyDescent="0.45">
      <c r="A3" s="9" t="s">
        <v>30264</v>
      </c>
      <c r="B3" s="9" t="s">
        <v>171</v>
      </c>
      <c r="C3" s="9" t="s">
        <v>30265</v>
      </c>
      <c r="D3" s="9" t="s">
        <v>32344</v>
      </c>
      <c r="E3" s="9" t="s">
        <v>30261</v>
      </c>
      <c r="F3" s="9" t="s">
        <v>30266</v>
      </c>
    </row>
    <row r="4" spans="1:6" ht="18" customHeight="1" x14ac:dyDescent="0.45">
      <c r="A4" s="9" t="s">
        <v>30267</v>
      </c>
      <c r="B4" s="9" t="s">
        <v>30268</v>
      </c>
      <c r="C4" s="9" t="s">
        <v>30269</v>
      </c>
      <c r="D4" s="9" t="s">
        <v>14138</v>
      </c>
      <c r="E4" s="9" t="s">
        <v>30261</v>
      </c>
      <c r="F4" s="9" t="s">
        <v>30270</v>
      </c>
    </row>
    <row r="5" spans="1:6" ht="18" customHeight="1" x14ac:dyDescent="0.45">
      <c r="A5" s="9" t="s">
        <v>30271</v>
      </c>
      <c r="B5" s="9" t="s">
        <v>2888</v>
      </c>
      <c r="C5" s="9" t="s">
        <v>1691</v>
      </c>
      <c r="D5" s="9" t="s">
        <v>32345</v>
      </c>
      <c r="E5" s="9" t="s">
        <v>30272</v>
      </c>
      <c r="F5" s="9" t="s">
        <v>30270</v>
      </c>
    </row>
    <row r="6" spans="1:6" ht="18" customHeight="1" x14ac:dyDescent="0.45">
      <c r="A6" s="9" t="s">
        <v>30273</v>
      </c>
      <c r="B6" s="9" t="s">
        <v>1082</v>
      </c>
      <c r="C6" s="9" t="s">
        <v>20</v>
      </c>
      <c r="D6" s="9" t="s">
        <v>32346</v>
      </c>
      <c r="E6" s="9" t="s">
        <v>30274</v>
      </c>
      <c r="F6" s="9" t="s">
        <v>30275</v>
      </c>
    </row>
    <row r="7" spans="1:6" ht="18" customHeight="1" x14ac:dyDescent="0.45">
      <c r="A7" s="9" t="s">
        <v>30276</v>
      </c>
      <c r="B7" s="9" t="s">
        <v>30277</v>
      </c>
      <c r="C7" s="9" t="s">
        <v>877</v>
      </c>
      <c r="D7" s="9" t="s">
        <v>32347</v>
      </c>
      <c r="E7" s="9" t="s">
        <v>30261</v>
      </c>
      <c r="F7" s="9" t="s">
        <v>30270</v>
      </c>
    </row>
    <row r="8" spans="1:6" ht="18" customHeight="1" x14ac:dyDescent="0.45">
      <c r="A8" s="9" t="s">
        <v>30279</v>
      </c>
      <c r="B8" s="9" t="s">
        <v>2759</v>
      </c>
      <c r="C8" s="9" t="s">
        <v>2577</v>
      </c>
      <c r="D8" s="9" t="s">
        <v>32348</v>
      </c>
      <c r="E8" s="9" t="s">
        <v>30280</v>
      </c>
      <c r="F8" s="9" t="s">
        <v>30270</v>
      </c>
    </row>
    <row r="9" spans="1:6" ht="18" customHeight="1" x14ac:dyDescent="0.45">
      <c r="A9" s="9" t="s">
        <v>30281</v>
      </c>
      <c r="B9" s="9" t="s">
        <v>2951</v>
      </c>
      <c r="C9" s="9" t="s">
        <v>19938</v>
      </c>
      <c r="D9" s="9" t="s">
        <v>31917</v>
      </c>
      <c r="E9" s="9" t="s">
        <v>30261</v>
      </c>
      <c r="F9" s="9" t="s">
        <v>30282</v>
      </c>
    </row>
    <row r="10" spans="1:6" ht="18" customHeight="1" x14ac:dyDescent="0.45">
      <c r="A10" s="9" t="s">
        <v>30283</v>
      </c>
      <c r="B10" s="9" t="s">
        <v>14</v>
      </c>
      <c r="C10" s="9" t="s">
        <v>335</v>
      </c>
      <c r="D10" s="9" t="s">
        <v>14146</v>
      </c>
      <c r="E10" s="9" t="s">
        <v>30284</v>
      </c>
      <c r="F10" s="9" t="s">
        <v>30285</v>
      </c>
    </row>
    <row r="11" spans="1:6" ht="18" customHeight="1" x14ac:dyDescent="0.45">
      <c r="A11" s="9" t="s">
        <v>30286</v>
      </c>
      <c r="B11" s="9" t="s">
        <v>11690</v>
      </c>
      <c r="C11" s="9" t="s">
        <v>30287</v>
      </c>
      <c r="D11" s="9" t="s">
        <v>11690</v>
      </c>
      <c r="E11" s="9" t="s">
        <v>30288</v>
      </c>
      <c r="F11" s="9" t="s">
        <v>30275</v>
      </c>
    </row>
    <row r="12" spans="1:6" ht="18" customHeight="1" x14ac:dyDescent="0.45">
      <c r="A12" s="9" t="s">
        <v>30289</v>
      </c>
      <c r="B12" s="9" t="s">
        <v>520</v>
      </c>
      <c r="C12" s="9" t="s">
        <v>2436</v>
      </c>
      <c r="D12" s="9" t="s">
        <v>22488</v>
      </c>
      <c r="E12" s="9" t="s">
        <v>30290</v>
      </c>
      <c r="F12" s="9" t="s">
        <v>30282</v>
      </c>
    </row>
    <row r="13" spans="1:6" ht="18" customHeight="1" x14ac:dyDescent="0.45">
      <c r="A13" s="9" t="s">
        <v>30291</v>
      </c>
      <c r="B13" s="9" t="s">
        <v>73</v>
      </c>
      <c r="C13" s="9" t="s">
        <v>3025</v>
      </c>
      <c r="D13" s="9" t="s">
        <v>133</v>
      </c>
      <c r="E13" s="9" t="s">
        <v>30261</v>
      </c>
      <c r="F13" s="9" t="s">
        <v>30266</v>
      </c>
    </row>
    <row r="14" spans="1:6" ht="18" customHeight="1" x14ac:dyDescent="0.45">
      <c r="A14" s="9" t="s">
        <v>30292</v>
      </c>
      <c r="B14" s="9" t="s">
        <v>1141</v>
      </c>
      <c r="C14" s="9" t="s">
        <v>1735</v>
      </c>
      <c r="D14" s="9" t="s">
        <v>30294</v>
      </c>
      <c r="E14" s="9" t="s">
        <v>30261</v>
      </c>
      <c r="F14" s="9" t="s">
        <v>30293</v>
      </c>
    </row>
    <row r="15" spans="1:6" ht="18" customHeight="1" x14ac:dyDescent="0.45">
      <c r="A15" s="9" t="s">
        <v>30295</v>
      </c>
      <c r="B15" s="9" t="s">
        <v>3165</v>
      </c>
      <c r="C15" s="9" t="s">
        <v>3205</v>
      </c>
      <c r="D15" s="9" t="s">
        <v>32349</v>
      </c>
      <c r="E15" s="9" t="s">
        <v>30296</v>
      </c>
      <c r="F15" s="9" t="s">
        <v>30282</v>
      </c>
    </row>
    <row r="16" spans="1:6" ht="18" customHeight="1" x14ac:dyDescent="0.45">
      <c r="A16" s="9" t="s">
        <v>30297</v>
      </c>
      <c r="B16" s="9" t="s">
        <v>77</v>
      </c>
      <c r="C16" s="9" t="s">
        <v>3750</v>
      </c>
      <c r="D16" s="9" t="s">
        <v>3750</v>
      </c>
      <c r="E16" s="9" t="s">
        <v>30261</v>
      </c>
      <c r="F16" s="9" t="s">
        <v>30282</v>
      </c>
    </row>
    <row r="17" spans="1:6" ht="18" customHeight="1" x14ac:dyDescent="0.45">
      <c r="A17" s="9" t="s">
        <v>30298</v>
      </c>
      <c r="B17" s="9" t="s">
        <v>542</v>
      </c>
      <c r="C17" s="9" t="s">
        <v>534</v>
      </c>
      <c r="D17" s="9" t="s">
        <v>12287</v>
      </c>
      <c r="E17" s="9" t="s">
        <v>30261</v>
      </c>
      <c r="F17" s="9" t="s">
        <v>30299</v>
      </c>
    </row>
    <row r="18" spans="1:6" ht="18" customHeight="1" x14ac:dyDescent="0.45">
      <c r="A18" s="9" t="s">
        <v>30300</v>
      </c>
      <c r="B18" s="9" t="s">
        <v>837</v>
      </c>
      <c r="C18" s="9" t="s">
        <v>1267</v>
      </c>
      <c r="D18" s="9" t="s">
        <v>837</v>
      </c>
      <c r="E18" s="9" t="s">
        <v>30301</v>
      </c>
      <c r="F18" s="9" t="s">
        <v>30302</v>
      </c>
    </row>
    <row r="19" spans="1:6" ht="18" customHeight="1" x14ac:dyDescent="0.45">
      <c r="A19" s="9" t="s">
        <v>30303</v>
      </c>
      <c r="B19" s="9" t="s">
        <v>15</v>
      </c>
      <c r="C19" s="9" t="s">
        <v>82</v>
      </c>
      <c r="D19" s="9" t="s">
        <v>32350</v>
      </c>
      <c r="E19" s="9" t="s">
        <v>30304</v>
      </c>
      <c r="F19" s="9" t="s">
        <v>30302</v>
      </c>
    </row>
    <row r="20" spans="1:6" ht="18" customHeight="1" x14ac:dyDescent="0.45">
      <c r="A20" s="9" t="s">
        <v>30305</v>
      </c>
      <c r="B20" s="9" t="s">
        <v>1267</v>
      </c>
      <c r="C20" s="9" t="s">
        <v>1259</v>
      </c>
      <c r="D20" s="9" t="s">
        <v>29663</v>
      </c>
      <c r="E20" s="9" t="s">
        <v>30261</v>
      </c>
      <c r="F20" s="9" t="s">
        <v>30302</v>
      </c>
    </row>
    <row r="21" spans="1:6" ht="18" customHeight="1" x14ac:dyDescent="0.45">
      <c r="A21" s="9" t="s">
        <v>30306</v>
      </c>
      <c r="B21" s="9" t="s">
        <v>3088</v>
      </c>
      <c r="C21" s="9" t="s">
        <v>31</v>
      </c>
      <c r="D21" s="9" t="s">
        <v>32351</v>
      </c>
      <c r="E21" s="9" t="s">
        <v>30261</v>
      </c>
      <c r="F21" s="9" t="s">
        <v>30282</v>
      </c>
    </row>
    <row r="22" spans="1:6" ht="18" customHeight="1" x14ac:dyDescent="0.45">
      <c r="A22" s="9" t="s">
        <v>30307</v>
      </c>
      <c r="B22" s="9" t="s">
        <v>14</v>
      </c>
      <c r="C22" s="9" t="s">
        <v>335</v>
      </c>
      <c r="D22" s="9" t="s">
        <v>32343</v>
      </c>
      <c r="E22" s="9" t="s">
        <v>30261</v>
      </c>
      <c r="F22" s="9" t="s">
        <v>30282</v>
      </c>
    </row>
    <row r="23" spans="1:6" ht="18" customHeight="1" x14ac:dyDescent="0.45">
      <c r="A23" s="9" t="s">
        <v>30308</v>
      </c>
      <c r="B23" s="9" t="s">
        <v>30309</v>
      </c>
      <c r="C23" s="9" t="s">
        <v>30310</v>
      </c>
      <c r="D23" s="9" t="s">
        <v>32352</v>
      </c>
      <c r="E23" s="9" t="s">
        <v>30311</v>
      </c>
      <c r="F23" s="9" t="s">
        <v>30312</v>
      </c>
    </row>
    <row r="24" spans="1:6" ht="18" customHeight="1" x14ac:dyDescent="0.45">
      <c r="A24" s="9" t="s">
        <v>30313</v>
      </c>
      <c r="B24" s="9" t="s">
        <v>43</v>
      </c>
      <c r="C24" s="9" t="s">
        <v>2778</v>
      </c>
      <c r="D24" s="9" t="s">
        <v>1683</v>
      </c>
      <c r="E24" s="9" t="s">
        <v>30261</v>
      </c>
      <c r="F24" s="9" t="s">
        <v>30285</v>
      </c>
    </row>
    <row r="25" spans="1:6" ht="18" customHeight="1" x14ac:dyDescent="0.45">
      <c r="A25" s="9" t="s">
        <v>30314</v>
      </c>
      <c r="B25" s="9" t="s">
        <v>3106</v>
      </c>
      <c r="C25" s="9" t="s">
        <v>3019</v>
      </c>
      <c r="D25" s="9" t="s">
        <v>32353</v>
      </c>
      <c r="E25" s="9" t="s">
        <v>30315</v>
      </c>
      <c r="F25" s="9" t="s">
        <v>30299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2"/>
  <sheetViews>
    <sheetView workbookViewId="0">
      <pane xSplit="1" ySplit="1" topLeftCell="B2" activePane="bottomRight" state="frozen"/>
      <selection pane="topRight"/>
      <selection pane="bottomLeft"/>
      <selection pane="bottomRight" activeCell="A3" sqref="A3:XFD3"/>
    </sheetView>
  </sheetViews>
  <sheetFormatPr defaultRowHeight="17" x14ac:dyDescent="0.45"/>
  <cols>
    <col min="1" max="1" width="12" customWidth="1"/>
    <col min="2" max="12" width="13" customWidth="1"/>
  </cols>
  <sheetData>
    <row r="1" spans="1:12" ht="20" customHeight="1" x14ac:dyDescent="0.45">
      <c r="A1" s="10" t="s">
        <v>30316</v>
      </c>
      <c r="B1" s="10" t="s">
        <v>30317</v>
      </c>
      <c r="C1" s="10" t="s">
        <v>30318</v>
      </c>
      <c r="D1" s="10" t="s">
        <v>30319</v>
      </c>
      <c r="E1" s="10" t="s">
        <v>30320</v>
      </c>
      <c r="F1" s="10" t="s">
        <v>30321</v>
      </c>
      <c r="G1" s="10" t="s">
        <v>30322</v>
      </c>
      <c r="H1" s="10" t="s">
        <v>30323</v>
      </c>
      <c r="I1" s="10" t="s">
        <v>30324</v>
      </c>
      <c r="J1" s="10" t="s">
        <v>30325</v>
      </c>
      <c r="K1" s="10" t="s">
        <v>30326</v>
      </c>
      <c r="L1" s="10" t="s">
        <v>30327</v>
      </c>
    </row>
    <row r="2" spans="1:12" ht="15" customHeight="1" x14ac:dyDescent="0.45">
      <c r="A2" s="3"/>
    </row>
    <row r="3" spans="1:12" ht="15" customHeight="1" x14ac:dyDescent="0.45">
      <c r="A3" s="3">
        <v>46251</v>
      </c>
      <c r="B3" s="37">
        <v>60.88</v>
      </c>
      <c r="C3" s="4">
        <v>58.64</v>
      </c>
      <c r="D3" s="37">
        <v>61.5</v>
      </c>
      <c r="E3" s="38">
        <v>70.09</v>
      </c>
      <c r="F3" s="4">
        <v>53.64</v>
      </c>
      <c r="G3" s="37">
        <v>61.13</v>
      </c>
      <c r="H3" s="4">
        <v>50.53</v>
      </c>
      <c r="I3" s="4">
        <v>48.08</v>
      </c>
      <c r="J3" s="4">
        <v>47.07</v>
      </c>
      <c r="K3" s="4">
        <v>50.25</v>
      </c>
      <c r="L3" s="4">
        <v>48.74</v>
      </c>
    </row>
    <row r="4" spans="1:12" ht="15" customHeight="1" x14ac:dyDescent="0.45">
      <c r="A4" s="3">
        <v>46248</v>
      </c>
      <c r="B4" s="37">
        <v>60.46</v>
      </c>
      <c r="C4" s="37">
        <v>67.42</v>
      </c>
      <c r="D4" s="37">
        <v>62.42</v>
      </c>
      <c r="E4" s="37">
        <v>66.84</v>
      </c>
      <c r="F4" s="4">
        <v>56.22</v>
      </c>
      <c r="G4" s="37">
        <v>61.19</v>
      </c>
      <c r="H4" s="4">
        <v>56.01</v>
      </c>
      <c r="I4" s="4">
        <v>55.85</v>
      </c>
      <c r="J4" s="4">
        <v>48.82</v>
      </c>
      <c r="K4" s="4">
        <v>58.02</v>
      </c>
      <c r="L4" s="4">
        <v>54.05</v>
      </c>
    </row>
    <row r="5" spans="1:12" ht="15" customHeight="1" x14ac:dyDescent="0.45">
      <c r="A5" s="3">
        <v>46245</v>
      </c>
      <c r="B5" s="4">
        <v>56.1</v>
      </c>
      <c r="C5" s="37">
        <v>63.51</v>
      </c>
      <c r="D5" s="37">
        <v>65.91</v>
      </c>
      <c r="E5" s="37">
        <v>64.48</v>
      </c>
      <c r="F5" s="37">
        <v>60.14</v>
      </c>
      <c r="G5" s="4">
        <v>58.45</v>
      </c>
      <c r="H5" s="4">
        <v>59.09</v>
      </c>
      <c r="I5" s="4">
        <v>48.94</v>
      </c>
      <c r="J5" s="4">
        <v>40.229999999999997</v>
      </c>
      <c r="K5" s="4">
        <v>52.69</v>
      </c>
      <c r="L5" s="4">
        <v>39.26</v>
      </c>
    </row>
    <row r="6" spans="1:12" ht="15" customHeight="1" x14ac:dyDescent="0.45">
      <c r="A6" s="3">
        <v>46241</v>
      </c>
      <c r="B6" s="4">
        <v>59.15</v>
      </c>
      <c r="C6" s="37">
        <v>63.67</v>
      </c>
      <c r="D6" s="37">
        <v>61.58</v>
      </c>
      <c r="E6" s="4">
        <v>49.69</v>
      </c>
      <c r="F6" s="4">
        <v>59.79</v>
      </c>
      <c r="G6" s="4">
        <v>58.68</v>
      </c>
      <c r="H6" s="37">
        <v>62.17</v>
      </c>
      <c r="I6" s="4">
        <v>51.42</v>
      </c>
      <c r="J6" s="4">
        <v>35.93</v>
      </c>
      <c r="K6" s="4">
        <v>53.77</v>
      </c>
      <c r="L6" s="4">
        <v>49.03</v>
      </c>
    </row>
    <row r="7" spans="1:12" ht="15" customHeight="1" x14ac:dyDescent="0.45">
      <c r="A7" s="3">
        <v>46240</v>
      </c>
      <c r="B7" s="4">
        <v>56.55</v>
      </c>
      <c r="C7" s="37">
        <v>66.489999999999995</v>
      </c>
      <c r="D7" s="4">
        <v>58.99</v>
      </c>
      <c r="E7" s="4">
        <v>53.44</v>
      </c>
      <c r="F7" s="4">
        <v>55.99</v>
      </c>
      <c r="G7" s="4">
        <v>57.89</v>
      </c>
      <c r="H7" s="4">
        <v>58.1</v>
      </c>
      <c r="I7" s="4">
        <v>51.37</v>
      </c>
      <c r="J7" s="4">
        <v>32.520000000000003</v>
      </c>
      <c r="K7" s="4">
        <v>53.58</v>
      </c>
      <c r="L7" s="4">
        <v>46.66</v>
      </c>
    </row>
    <row r="8" spans="1:12" ht="15" customHeight="1" x14ac:dyDescent="0.45">
      <c r="A8" s="3">
        <v>46239</v>
      </c>
      <c r="B8" s="4">
        <v>57.29</v>
      </c>
      <c r="C8" s="37">
        <v>69.06</v>
      </c>
      <c r="D8" s="4">
        <v>58.38</v>
      </c>
      <c r="E8" s="4">
        <v>48.83</v>
      </c>
      <c r="F8" s="4">
        <v>59.55</v>
      </c>
      <c r="G8" s="37">
        <v>62.08</v>
      </c>
      <c r="H8" s="4">
        <v>59.94</v>
      </c>
      <c r="I8" s="4">
        <v>52.5</v>
      </c>
      <c r="J8" s="4">
        <v>34.6</v>
      </c>
      <c r="K8" s="4">
        <v>52.76</v>
      </c>
      <c r="L8" s="4">
        <v>51.8</v>
      </c>
    </row>
    <row r="9" spans="1:12" ht="15" customHeight="1" x14ac:dyDescent="0.45">
      <c r="A9" s="3">
        <v>46238</v>
      </c>
      <c r="B9" s="4">
        <v>58.51</v>
      </c>
      <c r="C9" s="37">
        <v>68.349999999999994</v>
      </c>
      <c r="D9" s="4">
        <v>53.81</v>
      </c>
      <c r="E9" s="4">
        <v>56.19</v>
      </c>
      <c r="F9" s="4">
        <v>56.02</v>
      </c>
      <c r="G9" s="37">
        <v>62.21</v>
      </c>
      <c r="H9" s="4">
        <v>59.16</v>
      </c>
      <c r="I9" s="4">
        <v>52.7</v>
      </c>
      <c r="J9" s="4">
        <v>38.25</v>
      </c>
      <c r="K9" s="4">
        <v>56.24</v>
      </c>
      <c r="L9" s="4">
        <v>51.41</v>
      </c>
    </row>
    <row r="10" spans="1:12" ht="15" customHeight="1" x14ac:dyDescent="0.45">
      <c r="A10" s="3">
        <v>46237</v>
      </c>
      <c r="B10" s="4">
        <v>50.5</v>
      </c>
      <c r="C10" s="37">
        <v>64.7</v>
      </c>
      <c r="D10" s="4">
        <v>53.73</v>
      </c>
      <c r="E10" s="4">
        <v>57.97</v>
      </c>
      <c r="F10" s="4">
        <v>49.93</v>
      </c>
      <c r="G10" s="4">
        <v>56.38</v>
      </c>
      <c r="H10" s="4">
        <v>59.07</v>
      </c>
      <c r="I10" s="4">
        <v>50.62</v>
      </c>
      <c r="J10" s="4">
        <v>39.840000000000003</v>
      </c>
      <c r="K10" s="4">
        <v>54.34</v>
      </c>
      <c r="L10" s="4">
        <v>51.44</v>
      </c>
    </row>
    <row r="11" spans="1:12" ht="15" customHeight="1" x14ac:dyDescent="0.45">
      <c r="A11" s="3">
        <v>46234</v>
      </c>
      <c r="B11" s="4">
        <v>46.96</v>
      </c>
      <c r="C11" s="37">
        <v>62.55</v>
      </c>
      <c r="D11" s="4">
        <v>55.08</v>
      </c>
      <c r="E11" s="37">
        <v>60.61</v>
      </c>
      <c r="F11" s="4">
        <v>46.46</v>
      </c>
      <c r="G11" s="4">
        <v>51.29</v>
      </c>
      <c r="H11" s="4">
        <v>54.99</v>
      </c>
      <c r="I11" s="4">
        <v>51.41</v>
      </c>
      <c r="J11" s="4">
        <v>39.33</v>
      </c>
      <c r="K11" s="4">
        <v>46.96</v>
      </c>
      <c r="L11" s="4">
        <v>51.18</v>
      </c>
    </row>
    <row r="12" spans="1:12" ht="15" customHeight="1" x14ac:dyDescent="0.45">
      <c r="A12" s="3">
        <v>46233</v>
      </c>
      <c r="B12" s="4">
        <v>47.36</v>
      </c>
      <c r="C12" s="37">
        <v>63.25</v>
      </c>
      <c r="D12" s="4">
        <v>57.53</v>
      </c>
      <c r="E12" s="4">
        <v>57.91</v>
      </c>
      <c r="F12" s="4">
        <v>55.43</v>
      </c>
      <c r="G12" s="4">
        <v>47.95</v>
      </c>
      <c r="H12" s="4">
        <v>44.94</v>
      </c>
      <c r="I12" s="4">
        <v>53.19</v>
      </c>
      <c r="J12" s="4">
        <v>41.89</v>
      </c>
      <c r="K12" s="4">
        <v>41.62</v>
      </c>
      <c r="L12" s="4">
        <v>53.86</v>
      </c>
    </row>
    <row r="13" spans="1:12" ht="15" customHeight="1" x14ac:dyDescent="0.45">
      <c r="A13" s="3">
        <v>46232</v>
      </c>
      <c r="B13" s="4">
        <v>34.799999999999997</v>
      </c>
      <c r="C13" s="37">
        <v>60.78</v>
      </c>
      <c r="D13" s="37">
        <v>65.2</v>
      </c>
      <c r="E13" s="4">
        <v>59.37</v>
      </c>
      <c r="F13" s="4">
        <v>56.27</v>
      </c>
      <c r="G13" s="4">
        <v>42.21</v>
      </c>
      <c r="H13" s="4">
        <v>41.55</v>
      </c>
      <c r="I13" s="37">
        <v>62.43</v>
      </c>
      <c r="J13" s="4">
        <v>45.11</v>
      </c>
      <c r="K13" s="4">
        <v>48.52</v>
      </c>
      <c r="L13" s="37">
        <v>61.76</v>
      </c>
    </row>
    <row r="14" spans="1:12" ht="15" customHeight="1" x14ac:dyDescent="0.45">
      <c r="A14" s="3">
        <v>46231</v>
      </c>
      <c r="B14" s="4">
        <v>39</v>
      </c>
      <c r="C14" s="38">
        <v>72.239999999999995</v>
      </c>
      <c r="D14" s="37">
        <v>68.3</v>
      </c>
      <c r="E14" s="4">
        <v>53.96</v>
      </c>
      <c r="F14" s="37">
        <v>61.42</v>
      </c>
      <c r="G14" s="4">
        <v>57.32</v>
      </c>
      <c r="H14" s="4">
        <v>43.65</v>
      </c>
      <c r="I14" s="37">
        <v>61.47</v>
      </c>
      <c r="J14" s="4">
        <v>51.18</v>
      </c>
      <c r="K14" s="4">
        <v>49.02</v>
      </c>
      <c r="L14" s="37">
        <v>62.49</v>
      </c>
    </row>
    <row r="15" spans="1:12" ht="15" customHeight="1" x14ac:dyDescent="0.45">
      <c r="A15" s="3">
        <v>46227</v>
      </c>
      <c r="B15" s="4">
        <v>42.64</v>
      </c>
      <c r="C15" s="37">
        <v>63.53</v>
      </c>
      <c r="D15" s="37">
        <v>60.22</v>
      </c>
      <c r="E15" s="38">
        <v>70.150000000000006</v>
      </c>
      <c r="F15" s="4">
        <v>52.63</v>
      </c>
      <c r="G15" s="4">
        <v>56.97</v>
      </c>
      <c r="H15" s="4">
        <v>32.47</v>
      </c>
      <c r="I15" s="4">
        <v>50.36</v>
      </c>
      <c r="J15" s="37">
        <v>60.18</v>
      </c>
      <c r="K15" s="4">
        <v>36.93</v>
      </c>
      <c r="L15" s="37">
        <v>63.22</v>
      </c>
    </row>
    <row r="16" spans="1:12" ht="15" customHeight="1" x14ac:dyDescent="0.45">
      <c r="A16" s="3">
        <v>46226</v>
      </c>
      <c r="B16" s="4">
        <v>45.48</v>
      </c>
      <c r="C16" s="4">
        <v>59.35</v>
      </c>
      <c r="D16" s="4">
        <v>58.01</v>
      </c>
      <c r="E16" s="37">
        <v>69.23</v>
      </c>
      <c r="F16" s="4">
        <v>44.8</v>
      </c>
      <c r="G16" s="4">
        <v>55.27</v>
      </c>
      <c r="H16" s="7">
        <v>29.97</v>
      </c>
      <c r="I16" s="4">
        <v>46.01</v>
      </c>
      <c r="J16" s="4">
        <v>59.34</v>
      </c>
      <c r="K16" s="4">
        <v>32.97</v>
      </c>
      <c r="L16" s="4">
        <v>53.78</v>
      </c>
    </row>
    <row r="17" spans="1:12" ht="15" customHeight="1" x14ac:dyDescent="0.45">
      <c r="A17" s="3">
        <v>46225</v>
      </c>
      <c r="B17" s="4">
        <v>47.57</v>
      </c>
      <c r="C17" s="37">
        <v>62.39</v>
      </c>
      <c r="D17" s="4">
        <v>53.76</v>
      </c>
      <c r="E17" s="37">
        <v>68.56</v>
      </c>
      <c r="F17" s="4">
        <v>48.9</v>
      </c>
      <c r="G17" s="4">
        <v>46.94</v>
      </c>
      <c r="H17" s="4">
        <v>41.52</v>
      </c>
      <c r="I17" s="4">
        <v>51.32</v>
      </c>
      <c r="J17" s="4">
        <v>57.17</v>
      </c>
      <c r="K17" s="4">
        <v>43.48</v>
      </c>
      <c r="L17" s="4">
        <v>54.56</v>
      </c>
    </row>
    <row r="18" spans="1:12" ht="15" customHeight="1" x14ac:dyDescent="0.45">
      <c r="A18" s="3">
        <v>46224</v>
      </c>
      <c r="B18" s="4">
        <v>48.14</v>
      </c>
      <c r="C18" s="37">
        <v>63.22</v>
      </c>
      <c r="D18" s="4">
        <v>55.9</v>
      </c>
      <c r="E18" s="37">
        <v>65.849999999999994</v>
      </c>
      <c r="F18" s="4">
        <v>42.23</v>
      </c>
      <c r="G18" s="4">
        <v>46.37</v>
      </c>
      <c r="H18" s="4">
        <v>44.07</v>
      </c>
      <c r="I18" s="4">
        <v>49.85</v>
      </c>
      <c r="J18" s="4">
        <v>46.91</v>
      </c>
      <c r="K18" s="4">
        <v>46.46</v>
      </c>
      <c r="L18" s="4">
        <v>56.99</v>
      </c>
    </row>
    <row r="19" spans="1:12" ht="15" customHeight="1" x14ac:dyDescent="0.45">
      <c r="A19" s="3">
        <v>46220</v>
      </c>
      <c r="B19" s="4">
        <v>41.71</v>
      </c>
      <c r="C19" s="37">
        <v>64.430000000000007</v>
      </c>
      <c r="D19" s="4">
        <v>58.21</v>
      </c>
      <c r="E19" s="37">
        <v>61.89</v>
      </c>
      <c r="F19" s="4">
        <v>45.69</v>
      </c>
      <c r="G19" s="4">
        <v>50.13</v>
      </c>
      <c r="H19" s="4">
        <v>45.35</v>
      </c>
      <c r="I19" s="4">
        <v>55.48</v>
      </c>
      <c r="J19" s="4">
        <v>51.59</v>
      </c>
      <c r="K19" s="4">
        <v>48.45</v>
      </c>
      <c r="L19" s="4">
        <v>59.61</v>
      </c>
    </row>
    <row r="20" spans="1:12" ht="15" customHeight="1" x14ac:dyDescent="0.45">
      <c r="A20" s="3">
        <v>46219</v>
      </c>
      <c r="B20" s="4">
        <v>44.16</v>
      </c>
      <c r="C20" s="38">
        <v>71.709999999999994</v>
      </c>
      <c r="D20" s="37">
        <v>60.02</v>
      </c>
      <c r="E20" s="4">
        <v>58.35</v>
      </c>
      <c r="F20" s="4">
        <v>48.66</v>
      </c>
      <c r="G20" s="4">
        <v>50.73</v>
      </c>
      <c r="H20" s="4">
        <v>52.34</v>
      </c>
      <c r="I20" s="4">
        <v>57.49</v>
      </c>
      <c r="J20" s="4">
        <v>52.47</v>
      </c>
      <c r="K20" s="4">
        <v>56.88</v>
      </c>
      <c r="L20" s="4">
        <v>59.36</v>
      </c>
    </row>
    <row r="21" spans="1:12" ht="15" customHeight="1" x14ac:dyDescent="0.45">
      <c r="A21" s="3">
        <v>46218</v>
      </c>
      <c r="B21" s="4">
        <v>48.24</v>
      </c>
      <c r="C21" s="38">
        <v>70.66</v>
      </c>
      <c r="D21" s="4">
        <v>53.07</v>
      </c>
      <c r="E21" s="4">
        <v>55.85</v>
      </c>
      <c r="F21" s="4">
        <v>45.3</v>
      </c>
      <c r="G21" s="4">
        <v>50.52</v>
      </c>
      <c r="H21" s="4">
        <v>51.26</v>
      </c>
      <c r="I21" s="4">
        <v>47.38</v>
      </c>
      <c r="J21" s="4">
        <v>50.03</v>
      </c>
      <c r="K21" s="37">
        <v>60.22</v>
      </c>
      <c r="L21" s="4">
        <v>51.25</v>
      </c>
    </row>
    <row r="22" spans="1:12" ht="15" customHeight="1" x14ac:dyDescent="0.45">
      <c r="A22" s="3">
        <v>46217</v>
      </c>
      <c r="B22" s="4">
        <v>50.41</v>
      </c>
      <c r="C22" s="37">
        <v>68.510000000000005</v>
      </c>
      <c r="D22" s="4">
        <v>53.07</v>
      </c>
      <c r="E22" s="4">
        <v>58.68</v>
      </c>
      <c r="F22" s="4">
        <v>46.31</v>
      </c>
      <c r="G22" s="4">
        <v>51.42</v>
      </c>
      <c r="H22" s="4">
        <v>47.72</v>
      </c>
      <c r="I22" s="4">
        <v>47.13</v>
      </c>
      <c r="J22" s="4">
        <v>54.95</v>
      </c>
      <c r="K22" s="4">
        <v>53.52</v>
      </c>
      <c r="L22" s="4">
        <v>50.43</v>
      </c>
    </row>
    <row r="23" spans="1:12" ht="15" customHeight="1" x14ac:dyDescent="0.45">
      <c r="A23" s="3">
        <v>46216</v>
      </c>
      <c r="B23" s="4">
        <v>47.91</v>
      </c>
      <c r="C23" s="37">
        <v>67.87</v>
      </c>
      <c r="D23" s="37">
        <v>61.23</v>
      </c>
      <c r="E23" s="4">
        <v>57.75</v>
      </c>
      <c r="F23" s="4">
        <v>45.83</v>
      </c>
      <c r="G23" s="4">
        <v>51.25</v>
      </c>
      <c r="H23" s="4">
        <v>48.13</v>
      </c>
      <c r="I23" s="4">
        <v>52.54</v>
      </c>
      <c r="J23" s="4">
        <v>55.27</v>
      </c>
      <c r="K23" s="4">
        <v>54.14</v>
      </c>
      <c r="L23" s="4">
        <v>52.69</v>
      </c>
    </row>
    <row r="24" spans="1:12" ht="15" customHeight="1" x14ac:dyDescent="0.45">
      <c r="A24" s="3">
        <v>46213</v>
      </c>
      <c r="B24" s="4">
        <v>52.64</v>
      </c>
      <c r="C24" s="37">
        <v>65.77</v>
      </c>
      <c r="D24" s="37">
        <v>60.19</v>
      </c>
      <c r="E24" s="4">
        <v>49.39</v>
      </c>
      <c r="F24" s="4">
        <v>47.89</v>
      </c>
      <c r="G24" s="4">
        <v>54.59</v>
      </c>
      <c r="H24" s="4">
        <v>51.7</v>
      </c>
      <c r="I24" s="4">
        <v>50.42</v>
      </c>
      <c r="J24" s="4">
        <v>52.61</v>
      </c>
      <c r="K24" s="4">
        <v>54.34</v>
      </c>
      <c r="L24" s="4">
        <v>50.35</v>
      </c>
    </row>
    <row r="25" spans="1:12" ht="15" customHeight="1" x14ac:dyDescent="0.45">
      <c r="A25" s="3">
        <v>46212</v>
      </c>
      <c r="B25" s="4">
        <v>52.23</v>
      </c>
      <c r="C25" s="37">
        <v>64.760000000000005</v>
      </c>
      <c r="D25" s="37">
        <v>63.9</v>
      </c>
      <c r="E25" s="4">
        <v>47.89</v>
      </c>
      <c r="F25" s="4">
        <v>43.07</v>
      </c>
      <c r="G25" s="4">
        <v>53.11</v>
      </c>
      <c r="H25" s="4">
        <v>50.6</v>
      </c>
      <c r="I25" s="4">
        <v>46.03</v>
      </c>
      <c r="J25" s="4">
        <v>50.12</v>
      </c>
      <c r="K25" s="4">
        <v>50.37</v>
      </c>
      <c r="L25" s="4">
        <v>48.25</v>
      </c>
    </row>
    <row r="26" spans="1:12" ht="15" customHeight="1" x14ac:dyDescent="0.45">
      <c r="A26" s="3">
        <v>46211</v>
      </c>
      <c r="B26" s="4">
        <v>48.33</v>
      </c>
      <c r="C26" s="37">
        <v>61.2</v>
      </c>
      <c r="D26" s="37">
        <v>64.260000000000005</v>
      </c>
      <c r="E26" s="4">
        <v>52.2</v>
      </c>
      <c r="F26" s="4">
        <v>42.28</v>
      </c>
      <c r="G26" s="4">
        <v>51.86</v>
      </c>
      <c r="H26" s="4">
        <v>46.03</v>
      </c>
      <c r="I26" s="4">
        <v>51.51</v>
      </c>
      <c r="J26" s="4">
        <v>52.21</v>
      </c>
      <c r="K26" s="4">
        <v>46.34</v>
      </c>
      <c r="L26" s="4">
        <v>47.51</v>
      </c>
    </row>
    <row r="27" spans="1:12" ht="15" customHeight="1" x14ac:dyDescent="0.45">
      <c r="A27" s="3">
        <v>46210</v>
      </c>
      <c r="B27" s="4">
        <v>46.03</v>
      </c>
      <c r="C27" s="38">
        <v>74.44</v>
      </c>
      <c r="D27" s="38">
        <v>70.3</v>
      </c>
      <c r="E27" s="4">
        <v>46.72</v>
      </c>
      <c r="F27" s="4">
        <v>51.14</v>
      </c>
      <c r="G27" s="4">
        <v>55.76</v>
      </c>
      <c r="H27" s="4">
        <v>52.05</v>
      </c>
      <c r="I27" s="4">
        <v>53.86</v>
      </c>
      <c r="J27" s="4">
        <v>55.39</v>
      </c>
      <c r="K27" s="4">
        <v>52.19</v>
      </c>
      <c r="L27" s="4">
        <v>54.23</v>
      </c>
    </row>
    <row r="28" spans="1:12" ht="15" customHeight="1" x14ac:dyDescent="0.45">
      <c r="A28" s="3">
        <v>46210</v>
      </c>
      <c r="B28" s="4">
        <v>46.35</v>
      </c>
      <c r="C28" s="38">
        <v>74.760000000000005</v>
      </c>
      <c r="D28" s="38">
        <v>70.72</v>
      </c>
      <c r="E28" s="4">
        <v>45.63</v>
      </c>
      <c r="F28" s="4">
        <v>50.71</v>
      </c>
      <c r="G28" s="4">
        <v>55.87</v>
      </c>
      <c r="H28" s="4">
        <v>53.3</v>
      </c>
      <c r="I28" s="4">
        <v>53.93</v>
      </c>
      <c r="J28" s="4">
        <v>55.53</v>
      </c>
      <c r="K28" s="4">
        <v>53.3</v>
      </c>
      <c r="L28" s="4">
        <v>54.76</v>
      </c>
    </row>
    <row r="29" spans="1:12" ht="15" customHeight="1" x14ac:dyDescent="0.45">
      <c r="A29" s="3">
        <v>46205</v>
      </c>
      <c r="B29" s="4">
        <v>47.16</v>
      </c>
      <c r="C29" s="38">
        <v>73.27</v>
      </c>
      <c r="D29" s="38">
        <v>72.39</v>
      </c>
      <c r="E29" s="4">
        <v>36.409999999999997</v>
      </c>
      <c r="F29" s="4">
        <v>55.09</v>
      </c>
      <c r="G29" s="37">
        <v>60.44</v>
      </c>
      <c r="H29" s="4">
        <v>51.59</v>
      </c>
      <c r="I29" s="4">
        <v>54.85</v>
      </c>
      <c r="J29" s="4">
        <v>56.51</v>
      </c>
      <c r="K29" s="4">
        <v>46.67</v>
      </c>
      <c r="L29" s="4">
        <v>52.56</v>
      </c>
    </row>
    <row r="30" spans="1:12" ht="15" customHeight="1" x14ac:dyDescent="0.45">
      <c r="A30" s="3">
        <v>46204</v>
      </c>
      <c r="B30" s="4">
        <v>52</v>
      </c>
      <c r="C30" s="37">
        <v>68.52</v>
      </c>
      <c r="D30" s="37">
        <v>66.42</v>
      </c>
      <c r="E30" s="4">
        <v>33.229999999999997</v>
      </c>
      <c r="F30" s="4">
        <v>48.23</v>
      </c>
      <c r="G30" s="4">
        <v>59.62</v>
      </c>
      <c r="H30" s="4">
        <v>54.48</v>
      </c>
      <c r="I30" s="4">
        <v>46.67</v>
      </c>
      <c r="J30" s="4">
        <v>47.95</v>
      </c>
      <c r="K30" s="4">
        <v>47.15</v>
      </c>
      <c r="L30" s="4">
        <v>47.73</v>
      </c>
    </row>
    <row r="31" spans="1:12" ht="15" customHeight="1" x14ac:dyDescent="0.45">
      <c r="A31" s="3">
        <v>46203</v>
      </c>
      <c r="B31" s="4">
        <v>57.33</v>
      </c>
      <c r="C31" s="4">
        <v>59.13</v>
      </c>
      <c r="D31" s="37">
        <v>64.95</v>
      </c>
      <c r="E31" s="4">
        <v>34.39</v>
      </c>
      <c r="F31" s="4">
        <v>46.78</v>
      </c>
      <c r="G31" s="37">
        <v>63.78</v>
      </c>
      <c r="H31" s="4">
        <v>52.41</v>
      </c>
      <c r="I31" s="4">
        <v>45.42</v>
      </c>
      <c r="J31" s="4">
        <v>53.58</v>
      </c>
      <c r="K31" s="4">
        <v>35.78</v>
      </c>
      <c r="L31" s="4">
        <v>46.2</v>
      </c>
    </row>
    <row r="32" spans="1:12" ht="15" customHeight="1" x14ac:dyDescent="0.45">
      <c r="A32" s="3">
        <v>46202</v>
      </c>
      <c r="B32" s="4">
        <v>52.63</v>
      </c>
      <c r="C32" s="37">
        <v>60.71</v>
      </c>
      <c r="D32" s="38">
        <v>71.88</v>
      </c>
      <c r="E32" s="4">
        <v>36.25</v>
      </c>
      <c r="F32" s="4">
        <v>45.52</v>
      </c>
      <c r="G32" s="37">
        <v>60.39</v>
      </c>
      <c r="H32" s="4">
        <v>52.01</v>
      </c>
      <c r="I32" s="4">
        <v>51.79</v>
      </c>
      <c r="J32" s="37">
        <v>61.61</v>
      </c>
      <c r="K32" s="4">
        <v>37.96</v>
      </c>
      <c r="L32" s="4">
        <v>55.05</v>
      </c>
    </row>
    <row r="33" spans="1:12" ht="15" customHeight="1" x14ac:dyDescent="0.45">
      <c r="A33" s="3">
        <v>46199</v>
      </c>
      <c r="B33" s="4">
        <v>48.17</v>
      </c>
      <c r="C33" s="4">
        <v>59.33</v>
      </c>
      <c r="D33" s="38">
        <v>71.33</v>
      </c>
      <c r="E33" s="4">
        <v>37.28</v>
      </c>
      <c r="F33" s="4">
        <v>51.86</v>
      </c>
      <c r="G33" s="4">
        <v>58.08</v>
      </c>
      <c r="H33" s="4">
        <v>44.58</v>
      </c>
      <c r="I33" s="4">
        <v>53.62</v>
      </c>
      <c r="J33" s="37">
        <v>63.96</v>
      </c>
      <c r="K33" s="7">
        <v>28.85</v>
      </c>
      <c r="L33" s="4">
        <v>58.81</v>
      </c>
    </row>
    <row r="34" spans="1:12" ht="15" customHeight="1" x14ac:dyDescent="0.45">
      <c r="A34" s="3">
        <v>46198</v>
      </c>
      <c r="B34" s="4">
        <v>51.81</v>
      </c>
      <c r="C34" s="4">
        <v>58.24</v>
      </c>
      <c r="D34" s="37">
        <v>63.6</v>
      </c>
      <c r="E34" s="4">
        <v>38.26</v>
      </c>
      <c r="F34" s="4">
        <v>53.63</v>
      </c>
      <c r="G34" s="37">
        <v>64.61</v>
      </c>
      <c r="H34" s="4">
        <v>41.46</v>
      </c>
      <c r="I34" s="4">
        <v>49.91</v>
      </c>
      <c r="J34" s="37">
        <v>61.29</v>
      </c>
      <c r="K34" s="7">
        <v>25.25</v>
      </c>
      <c r="L34" s="4">
        <v>52.72</v>
      </c>
    </row>
    <row r="35" spans="1:12" ht="15" customHeight="1" x14ac:dyDescent="0.45">
      <c r="A35" s="3">
        <v>46197</v>
      </c>
      <c r="B35" s="4">
        <v>50.28</v>
      </c>
      <c r="C35" s="37">
        <v>61.69</v>
      </c>
      <c r="D35" s="4">
        <v>58.59</v>
      </c>
      <c r="E35" s="4">
        <v>34.979999999999997</v>
      </c>
      <c r="F35" s="4">
        <v>49.05</v>
      </c>
      <c r="G35" s="4">
        <v>58.86</v>
      </c>
      <c r="H35" s="4">
        <v>45.47</v>
      </c>
      <c r="I35" s="4">
        <v>52.44</v>
      </c>
      <c r="J35" s="4">
        <v>58.78</v>
      </c>
      <c r="K35" s="7">
        <v>27.3</v>
      </c>
      <c r="L35" s="4">
        <v>51.91</v>
      </c>
    </row>
    <row r="36" spans="1:12" ht="15" customHeight="1" x14ac:dyDescent="0.45">
      <c r="A36" s="3">
        <v>46196</v>
      </c>
      <c r="B36" s="4">
        <v>51.42</v>
      </c>
      <c r="C36" s="37">
        <v>63.76</v>
      </c>
      <c r="D36" s="4">
        <v>55.68</v>
      </c>
      <c r="E36" s="4">
        <v>38.200000000000003</v>
      </c>
      <c r="F36" s="4">
        <v>46.98</v>
      </c>
      <c r="G36" s="4">
        <v>55.31</v>
      </c>
      <c r="H36" s="4">
        <v>41.46</v>
      </c>
      <c r="I36" s="4">
        <v>48.98</v>
      </c>
      <c r="J36" s="4">
        <v>54.63</v>
      </c>
      <c r="K36" s="7">
        <v>28.96</v>
      </c>
      <c r="L36" s="4">
        <v>53.29</v>
      </c>
    </row>
    <row r="37" spans="1:12" ht="15" customHeight="1" x14ac:dyDescent="0.45">
      <c r="A37" s="3">
        <v>46195</v>
      </c>
      <c r="B37" s="37">
        <v>60.28</v>
      </c>
      <c r="C37" s="37">
        <v>62.44</v>
      </c>
      <c r="D37" s="4">
        <v>49.74</v>
      </c>
      <c r="E37" s="4">
        <v>35.729999999999997</v>
      </c>
      <c r="F37" s="4">
        <v>52.06</v>
      </c>
      <c r="G37" s="37">
        <v>64.47</v>
      </c>
      <c r="H37" s="4">
        <v>44.18</v>
      </c>
      <c r="I37" s="4">
        <v>40.35</v>
      </c>
      <c r="J37" s="4">
        <v>51.24</v>
      </c>
      <c r="K37" s="7">
        <v>26.63</v>
      </c>
      <c r="L37" s="4">
        <v>47.05</v>
      </c>
    </row>
    <row r="38" spans="1:12" ht="15" customHeight="1" x14ac:dyDescent="0.45">
      <c r="A38" s="3">
        <v>46191</v>
      </c>
      <c r="B38" s="4">
        <v>59.71</v>
      </c>
      <c r="C38" s="37">
        <v>61.5</v>
      </c>
      <c r="D38" s="4">
        <v>47.71</v>
      </c>
      <c r="E38" s="4">
        <v>33.950000000000003</v>
      </c>
      <c r="F38" s="4">
        <v>53.42</v>
      </c>
      <c r="G38" s="37">
        <v>63.09</v>
      </c>
      <c r="H38" s="4">
        <v>49.88</v>
      </c>
      <c r="I38" s="4">
        <v>45.55</v>
      </c>
      <c r="J38" s="4">
        <v>51.65</v>
      </c>
      <c r="K38" s="4">
        <v>32.97</v>
      </c>
      <c r="L38" s="4">
        <v>45.29</v>
      </c>
    </row>
    <row r="39" spans="1:12" ht="15" customHeight="1" x14ac:dyDescent="0.45">
      <c r="A39" s="3">
        <v>46190</v>
      </c>
      <c r="B39" s="4">
        <v>54.89</v>
      </c>
      <c r="C39" s="37">
        <v>67.28</v>
      </c>
      <c r="D39" s="4">
        <v>51.54</v>
      </c>
      <c r="E39" s="4">
        <v>36.89</v>
      </c>
      <c r="F39" s="4">
        <v>54.9</v>
      </c>
      <c r="G39" s="37">
        <v>61.01</v>
      </c>
      <c r="H39" s="4">
        <v>44.91</v>
      </c>
      <c r="I39" s="4">
        <v>47.48</v>
      </c>
      <c r="J39" s="4">
        <v>48.8</v>
      </c>
      <c r="K39" s="4">
        <v>31.51</v>
      </c>
      <c r="L39" s="4">
        <v>46.27</v>
      </c>
    </row>
    <row r="40" spans="1:12" ht="15" customHeight="1" x14ac:dyDescent="0.45">
      <c r="A40" s="3">
        <v>46189</v>
      </c>
      <c r="B40" s="4">
        <v>55.59</v>
      </c>
      <c r="C40" s="38">
        <v>71.16</v>
      </c>
      <c r="D40" s="4">
        <v>59.03</v>
      </c>
      <c r="E40" s="4">
        <v>39.32</v>
      </c>
      <c r="F40" s="37">
        <v>60.02</v>
      </c>
      <c r="G40" s="37">
        <v>61.63</v>
      </c>
      <c r="H40" s="4">
        <v>53.7</v>
      </c>
      <c r="I40" s="4">
        <v>59.16</v>
      </c>
      <c r="J40" s="4">
        <v>54.8</v>
      </c>
      <c r="K40" s="4">
        <v>42.17</v>
      </c>
      <c r="L40" s="4">
        <v>58.27</v>
      </c>
    </row>
    <row r="41" spans="1:12" ht="15" customHeight="1" x14ac:dyDescent="0.45">
      <c r="A41" s="3">
        <v>46188</v>
      </c>
      <c r="B41" s="37">
        <v>61.7</v>
      </c>
      <c r="C41" s="37">
        <v>66.42</v>
      </c>
      <c r="D41" s="4">
        <v>58.91</v>
      </c>
      <c r="E41" s="4">
        <v>39.99</v>
      </c>
      <c r="F41" s="4">
        <v>58.9</v>
      </c>
      <c r="G41" s="4">
        <v>59.87</v>
      </c>
      <c r="H41" s="4">
        <v>54.06</v>
      </c>
      <c r="I41" s="4">
        <v>58.62</v>
      </c>
      <c r="J41" s="4">
        <v>51.87</v>
      </c>
      <c r="K41" s="4">
        <v>41.4</v>
      </c>
      <c r="L41" s="4">
        <v>57.27</v>
      </c>
    </row>
    <row r="42" spans="1:12" ht="15" customHeight="1" x14ac:dyDescent="0.45">
      <c r="A42" s="3">
        <v>46185</v>
      </c>
      <c r="B42" s="4">
        <v>55.8</v>
      </c>
      <c r="C42" s="37">
        <v>64.94</v>
      </c>
      <c r="D42" s="37">
        <v>62.13</v>
      </c>
      <c r="E42" s="4">
        <v>48.02</v>
      </c>
      <c r="F42" s="4">
        <v>57.28</v>
      </c>
      <c r="G42" s="4">
        <v>55.87</v>
      </c>
      <c r="H42" s="4">
        <v>48.23</v>
      </c>
      <c r="I42" s="37">
        <v>60.95</v>
      </c>
      <c r="J42" s="4">
        <v>49.89</v>
      </c>
      <c r="K42" s="4">
        <v>38.24</v>
      </c>
      <c r="L42" s="37">
        <v>61.91</v>
      </c>
    </row>
    <row r="43" spans="1:12" ht="15" customHeight="1" x14ac:dyDescent="0.45">
      <c r="A43" s="3">
        <v>46184</v>
      </c>
      <c r="B43" s="4">
        <v>54.32</v>
      </c>
      <c r="C43" s="4">
        <v>59.48</v>
      </c>
      <c r="D43" s="37">
        <v>63.11</v>
      </c>
      <c r="E43" s="4">
        <v>45.85</v>
      </c>
      <c r="F43" s="4">
        <v>52.03</v>
      </c>
      <c r="G43" s="4">
        <v>54.11</v>
      </c>
      <c r="H43" s="4">
        <v>47.28</v>
      </c>
      <c r="I43" s="4">
        <v>58.47</v>
      </c>
      <c r="J43" s="4">
        <v>45.1</v>
      </c>
      <c r="K43" s="4">
        <v>39.979999999999997</v>
      </c>
      <c r="L43" s="4">
        <v>58.16</v>
      </c>
    </row>
    <row r="44" spans="1:12" ht="15" customHeight="1" x14ac:dyDescent="0.45">
      <c r="A44" s="3">
        <v>46183</v>
      </c>
      <c r="B44" s="4">
        <v>47.54</v>
      </c>
      <c r="C44" s="4">
        <v>56.04</v>
      </c>
      <c r="D44" s="37">
        <v>60.56</v>
      </c>
      <c r="E44" s="4">
        <v>51.04</v>
      </c>
      <c r="F44" s="4">
        <v>40.6</v>
      </c>
      <c r="G44" s="4">
        <v>42.89</v>
      </c>
      <c r="H44" s="4">
        <v>37.32</v>
      </c>
      <c r="I44" s="4">
        <v>59.88</v>
      </c>
      <c r="J44" s="4">
        <v>44.59</v>
      </c>
      <c r="K44" s="4">
        <v>33.32</v>
      </c>
      <c r="L44" s="4">
        <v>59.02</v>
      </c>
    </row>
    <row r="45" spans="1:12" ht="15" customHeight="1" x14ac:dyDescent="0.45">
      <c r="A45" s="3">
        <v>46182</v>
      </c>
      <c r="B45" s="4">
        <v>52.05</v>
      </c>
      <c r="C45" s="4">
        <v>58.77</v>
      </c>
      <c r="D45" s="37">
        <v>66.47</v>
      </c>
      <c r="E45" s="4">
        <v>46.78</v>
      </c>
      <c r="F45" s="4">
        <v>48.33</v>
      </c>
      <c r="G45" s="4">
        <v>56.86</v>
      </c>
      <c r="H45" s="4">
        <v>43.84</v>
      </c>
      <c r="I45" s="4">
        <v>53.25</v>
      </c>
      <c r="J45" s="4">
        <v>44.39</v>
      </c>
      <c r="K45" s="4">
        <v>34.840000000000003</v>
      </c>
      <c r="L45" s="4">
        <v>58.86</v>
      </c>
    </row>
    <row r="46" spans="1:12" ht="15" customHeight="1" x14ac:dyDescent="0.45">
      <c r="A46" s="3">
        <v>46181</v>
      </c>
      <c r="B46" s="4">
        <v>56.13</v>
      </c>
      <c r="C46" s="4">
        <v>54.37</v>
      </c>
      <c r="D46" s="37">
        <v>62.7</v>
      </c>
      <c r="E46" s="4">
        <v>51.32</v>
      </c>
      <c r="F46" s="4">
        <v>41.12</v>
      </c>
      <c r="G46" s="4">
        <v>52.05</v>
      </c>
      <c r="H46" s="4">
        <v>41.94</v>
      </c>
      <c r="I46" s="4">
        <v>47.25</v>
      </c>
      <c r="J46" s="4">
        <v>39.93</v>
      </c>
      <c r="K46" s="4">
        <v>32.47</v>
      </c>
      <c r="L46" s="4">
        <v>50.36</v>
      </c>
    </row>
    <row r="47" spans="1:12" ht="15" customHeight="1" x14ac:dyDescent="0.45">
      <c r="A47" s="3">
        <v>46178</v>
      </c>
      <c r="B47" s="4">
        <v>52.17</v>
      </c>
      <c r="C47" s="4">
        <v>58.26</v>
      </c>
      <c r="D47" s="37">
        <v>63.95</v>
      </c>
      <c r="E47" s="4">
        <v>48.03</v>
      </c>
      <c r="F47" s="4">
        <v>46.06</v>
      </c>
      <c r="G47" s="4">
        <v>53.6</v>
      </c>
      <c r="H47" s="4">
        <v>39.85</v>
      </c>
      <c r="I47" s="4">
        <v>49.36</v>
      </c>
      <c r="J47" s="4">
        <v>46.14</v>
      </c>
      <c r="K47" s="4">
        <v>34.19</v>
      </c>
      <c r="L47" s="4">
        <v>58.34</v>
      </c>
    </row>
    <row r="48" spans="1:12" ht="15" customHeight="1" x14ac:dyDescent="0.45">
      <c r="A48" s="3">
        <v>46177</v>
      </c>
      <c r="B48" s="38">
        <v>72.22</v>
      </c>
      <c r="C48" s="4">
        <v>57.31</v>
      </c>
      <c r="D48" s="37">
        <v>62.13</v>
      </c>
      <c r="E48" s="4">
        <v>53.52</v>
      </c>
      <c r="F48" s="4">
        <v>55.12</v>
      </c>
      <c r="G48" s="4">
        <v>59.53</v>
      </c>
      <c r="H48" s="4">
        <v>46.94</v>
      </c>
      <c r="I48" s="4">
        <v>39.909999999999997</v>
      </c>
      <c r="J48" s="4">
        <v>42</v>
      </c>
      <c r="K48" s="4">
        <v>38.94</v>
      </c>
      <c r="L48" s="4">
        <v>55.4</v>
      </c>
    </row>
    <row r="49" spans="1:12" ht="15" customHeight="1" x14ac:dyDescent="0.45">
      <c r="A49" s="3">
        <v>46176</v>
      </c>
      <c r="B49" s="38">
        <v>79.180000000000007</v>
      </c>
      <c r="C49" s="4">
        <v>42.58</v>
      </c>
      <c r="D49" s="4">
        <v>50.5</v>
      </c>
      <c r="E49" s="4">
        <v>52.66</v>
      </c>
      <c r="F49" s="4">
        <v>55.28</v>
      </c>
      <c r="G49" s="4">
        <v>54.22</v>
      </c>
      <c r="H49" s="4">
        <v>44.91</v>
      </c>
      <c r="I49" s="4">
        <v>40.24</v>
      </c>
      <c r="J49" s="4">
        <v>39.06</v>
      </c>
      <c r="K49" s="4">
        <v>32.43</v>
      </c>
      <c r="L49" s="4">
        <v>44.47</v>
      </c>
    </row>
    <row r="50" spans="1:12" ht="15" customHeight="1" x14ac:dyDescent="0.45">
      <c r="A50" s="3">
        <v>46171</v>
      </c>
      <c r="B50" s="38">
        <v>79.73</v>
      </c>
      <c r="C50" s="4">
        <v>51.35</v>
      </c>
      <c r="D50" s="4">
        <v>57.56</v>
      </c>
      <c r="E50" s="4">
        <v>41.33</v>
      </c>
      <c r="F50" s="4">
        <v>51.41</v>
      </c>
      <c r="G50" s="4">
        <v>52.47</v>
      </c>
      <c r="H50" s="4">
        <v>59.69</v>
      </c>
      <c r="I50" s="4">
        <v>43.07</v>
      </c>
      <c r="J50" s="4">
        <v>41.56</v>
      </c>
      <c r="K50" s="4">
        <v>47.92</v>
      </c>
      <c r="L50" s="4">
        <v>49.54</v>
      </c>
    </row>
    <row r="51" spans="1:12" ht="15" customHeight="1" x14ac:dyDescent="0.45">
      <c r="A51" s="3">
        <v>46170</v>
      </c>
      <c r="B51" s="38">
        <v>76.900000000000006</v>
      </c>
      <c r="C51" s="4">
        <v>47.6</v>
      </c>
      <c r="D51" s="37">
        <v>63.2</v>
      </c>
      <c r="E51" s="4">
        <v>44.01</v>
      </c>
      <c r="F51" s="4">
        <v>53.21</v>
      </c>
      <c r="G51" s="4">
        <v>54.28</v>
      </c>
      <c r="H51" s="37">
        <v>65.16</v>
      </c>
      <c r="I51" s="4">
        <v>51.69</v>
      </c>
      <c r="J51" s="4">
        <v>43.45</v>
      </c>
      <c r="K51" s="4">
        <v>53.56</v>
      </c>
      <c r="L51" s="4">
        <v>55.5</v>
      </c>
    </row>
    <row r="52" spans="1:12" ht="15" customHeight="1" x14ac:dyDescent="0.45">
      <c r="A52" s="3">
        <v>46169</v>
      </c>
      <c r="B52" s="38">
        <v>75.010000000000005</v>
      </c>
      <c r="C52" s="4">
        <v>49.31</v>
      </c>
      <c r="D52" s="4">
        <v>57.46</v>
      </c>
      <c r="E52" s="4">
        <v>44.17</v>
      </c>
      <c r="F52" s="4">
        <v>51.87</v>
      </c>
      <c r="G52" s="4">
        <v>55.61</v>
      </c>
      <c r="H52" s="37">
        <v>63.84</v>
      </c>
      <c r="I52" s="4">
        <v>52.65</v>
      </c>
      <c r="J52" s="4">
        <v>48.41</v>
      </c>
      <c r="K52" s="4">
        <v>51.33</v>
      </c>
      <c r="L52" s="4">
        <v>58.95</v>
      </c>
    </row>
    <row r="53" spans="1:12" ht="15" customHeight="1" x14ac:dyDescent="0.45">
      <c r="A53" s="3">
        <v>46168</v>
      </c>
      <c r="B53" s="38">
        <v>76.72</v>
      </c>
      <c r="C53" s="4">
        <v>54.52</v>
      </c>
      <c r="D53" s="4">
        <v>56.62</v>
      </c>
      <c r="E53" s="4">
        <v>47.65</v>
      </c>
      <c r="F53" s="4">
        <v>50.47</v>
      </c>
      <c r="G53" s="4">
        <v>55.61</v>
      </c>
      <c r="H53" s="4">
        <v>57.72</v>
      </c>
      <c r="I53" s="4">
        <v>46.81</v>
      </c>
      <c r="J53" s="4">
        <v>50.4</v>
      </c>
      <c r="K53" s="4">
        <v>47.27</v>
      </c>
      <c r="L53" s="37">
        <v>60.21</v>
      </c>
    </row>
    <row r="54" spans="1:12" ht="15" customHeight="1" x14ac:dyDescent="0.45">
      <c r="A54" s="3">
        <v>46164</v>
      </c>
      <c r="B54" s="38">
        <v>72.89</v>
      </c>
      <c r="C54" s="4">
        <v>55.67</v>
      </c>
      <c r="D54" s="37">
        <v>62.26</v>
      </c>
      <c r="E54" s="4">
        <v>55.39</v>
      </c>
      <c r="F54" s="4">
        <v>45.01</v>
      </c>
      <c r="G54" s="4">
        <v>50.3</v>
      </c>
      <c r="H54" s="4">
        <v>56.85</v>
      </c>
      <c r="I54" s="4">
        <v>54.5</v>
      </c>
      <c r="J54" s="4">
        <v>50.6</v>
      </c>
      <c r="K54" s="4">
        <v>46.74</v>
      </c>
      <c r="L54" s="4">
        <v>58.67</v>
      </c>
    </row>
    <row r="55" spans="1:12" ht="15" customHeight="1" x14ac:dyDescent="0.45">
      <c r="A55" s="3">
        <v>46163</v>
      </c>
      <c r="B55" s="38">
        <v>71.239999999999995</v>
      </c>
      <c r="C55" s="4">
        <v>53.56</v>
      </c>
      <c r="D55" s="4">
        <v>57.28</v>
      </c>
      <c r="E55" s="4">
        <v>53.86</v>
      </c>
      <c r="F55" s="4">
        <v>42.76</v>
      </c>
      <c r="G55" s="4">
        <v>47.43</v>
      </c>
      <c r="H55" s="4">
        <v>55.33</v>
      </c>
      <c r="I55" s="4">
        <v>53.65</v>
      </c>
      <c r="J55" s="4">
        <v>47.14</v>
      </c>
      <c r="K55" s="4">
        <v>50.02</v>
      </c>
      <c r="L55" s="4">
        <v>58.06</v>
      </c>
    </row>
    <row r="56" spans="1:12" ht="15" customHeight="1" x14ac:dyDescent="0.45">
      <c r="A56" s="3">
        <v>46162</v>
      </c>
      <c r="B56" s="37">
        <v>69.84</v>
      </c>
      <c r="C56" s="4">
        <v>52.86</v>
      </c>
      <c r="D56" s="4">
        <v>53.97</v>
      </c>
      <c r="E56" s="4">
        <v>57.25</v>
      </c>
      <c r="F56" s="4">
        <v>40.22</v>
      </c>
      <c r="G56" s="4">
        <v>47.84</v>
      </c>
      <c r="H56" s="4">
        <v>52.89</v>
      </c>
      <c r="I56" s="37">
        <v>60.02</v>
      </c>
      <c r="J56" s="4">
        <v>41.83</v>
      </c>
      <c r="K56" s="4">
        <v>50.02</v>
      </c>
      <c r="L56" s="4">
        <v>57.39</v>
      </c>
    </row>
    <row r="57" spans="1:12" ht="15" customHeight="1" x14ac:dyDescent="0.45">
      <c r="A57" s="3">
        <v>46161</v>
      </c>
      <c r="B57" s="37">
        <v>65.73</v>
      </c>
      <c r="C57" s="4">
        <v>46.97</v>
      </c>
      <c r="D57" s="4">
        <v>54.7</v>
      </c>
      <c r="E57" s="37">
        <v>65.78</v>
      </c>
      <c r="F57" s="4">
        <v>34.08</v>
      </c>
      <c r="G57" s="4">
        <v>43.28</v>
      </c>
      <c r="H57" s="4">
        <v>41.53</v>
      </c>
      <c r="I57" s="37">
        <v>64.739999999999995</v>
      </c>
      <c r="J57" s="4">
        <v>39.89</v>
      </c>
      <c r="K57" s="4">
        <v>48.81</v>
      </c>
      <c r="L57" s="4">
        <v>52.41</v>
      </c>
    </row>
    <row r="58" spans="1:12" ht="15" customHeight="1" x14ac:dyDescent="0.45">
      <c r="A58" s="3">
        <v>46160</v>
      </c>
      <c r="B58" s="37">
        <v>68.209999999999994</v>
      </c>
      <c r="C58" s="4">
        <v>54.15</v>
      </c>
      <c r="D58" s="4">
        <v>49.33</v>
      </c>
      <c r="E58" s="37">
        <v>63.37</v>
      </c>
      <c r="F58" s="4">
        <v>40.840000000000003</v>
      </c>
      <c r="G58" s="4">
        <v>47.15</v>
      </c>
      <c r="H58" s="4">
        <v>46.11</v>
      </c>
      <c r="I58" s="37">
        <v>63.86</v>
      </c>
      <c r="J58" s="4">
        <v>35.159999999999997</v>
      </c>
      <c r="K58" s="4">
        <v>54.34</v>
      </c>
      <c r="L58" s="4">
        <v>50.33</v>
      </c>
    </row>
    <row r="59" spans="1:12" ht="15" customHeight="1" x14ac:dyDescent="0.45">
      <c r="A59" s="3">
        <v>46157</v>
      </c>
      <c r="B59" s="38">
        <v>72.53</v>
      </c>
      <c r="C59" s="4">
        <v>46.56</v>
      </c>
      <c r="D59" s="4">
        <v>47.07</v>
      </c>
      <c r="E59" s="4">
        <v>59.05</v>
      </c>
      <c r="F59" s="4">
        <v>41.36</v>
      </c>
      <c r="G59" s="4">
        <v>48.45</v>
      </c>
      <c r="H59" s="4">
        <v>46.89</v>
      </c>
      <c r="I59" s="4">
        <v>57.29</v>
      </c>
      <c r="J59" s="4">
        <v>34.32</v>
      </c>
      <c r="K59" s="4">
        <v>50.17</v>
      </c>
      <c r="L59" s="4">
        <v>44.09</v>
      </c>
    </row>
    <row r="60" spans="1:12" ht="15" customHeight="1" x14ac:dyDescent="0.45">
      <c r="A60" s="3">
        <v>46156</v>
      </c>
      <c r="B60" s="38">
        <v>80.61</v>
      </c>
      <c r="C60" s="4">
        <v>48.79</v>
      </c>
      <c r="D60" s="4">
        <v>52.43</v>
      </c>
      <c r="E60" s="4">
        <v>52.86</v>
      </c>
      <c r="F60" s="4">
        <v>51.77</v>
      </c>
      <c r="G60" s="4">
        <v>55.22</v>
      </c>
      <c r="H60" s="4">
        <v>55.84</v>
      </c>
      <c r="I60" s="37">
        <v>60.03</v>
      </c>
      <c r="J60" s="4">
        <v>41.7</v>
      </c>
      <c r="K60" s="4">
        <v>55.56</v>
      </c>
      <c r="L60" s="4">
        <v>52.02</v>
      </c>
    </row>
    <row r="61" spans="1:12" ht="15" customHeight="1" x14ac:dyDescent="0.45">
      <c r="A61" s="3">
        <v>46155</v>
      </c>
      <c r="B61" s="38">
        <v>78.819999999999993</v>
      </c>
      <c r="C61" s="4">
        <v>44.92</v>
      </c>
      <c r="D61" s="4">
        <v>52.72</v>
      </c>
      <c r="E61" s="4">
        <v>50.63</v>
      </c>
      <c r="F61" s="4">
        <v>55.45</v>
      </c>
      <c r="G61" s="4">
        <v>53.49</v>
      </c>
      <c r="H61" s="4">
        <v>56.07</v>
      </c>
      <c r="I61" s="4">
        <v>58.62</v>
      </c>
      <c r="J61" s="4">
        <v>38.979999999999997</v>
      </c>
      <c r="K61" s="4">
        <v>54</v>
      </c>
      <c r="L61" s="4">
        <v>56.16</v>
      </c>
    </row>
    <row r="62" spans="1:12" ht="15" customHeight="1" x14ac:dyDescent="0.45">
      <c r="A62" s="3">
        <v>46154</v>
      </c>
      <c r="B62" s="38">
        <v>77.62</v>
      </c>
      <c r="C62" s="4">
        <v>52.1</v>
      </c>
      <c r="D62" s="4">
        <v>49.94</v>
      </c>
      <c r="E62" s="4">
        <v>50.34</v>
      </c>
      <c r="F62" s="4">
        <v>56.22</v>
      </c>
      <c r="G62" s="4">
        <v>55.11</v>
      </c>
      <c r="H62" s="4">
        <v>54.56</v>
      </c>
      <c r="I62" s="4">
        <v>57.12</v>
      </c>
      <c r="J62" s="4">
        <v>43.22</v>
      </c>
      <c r="K62" s="4">
        <v>49.79</v>
      </c>
      <c r="L62" s="37">
        <v>61.78</v>
      </c>
    </row>
    <row r="63" spans="1:12" ht="15" customHeight="1" x14ac:dyDescent="0.45">
      <c r="A63" s="3">
        <v>46153</v>
      </c>
      <c r="B63" s="38">
        <v>84.85</v>
      </c>
      <c r="C63" s="4">
        <v>46.74</v>
      </c>
      <c r="D63" s="4">
        <v>39.08</v>
      </c>
      <c r="E63" s="4">
        <v>48.41</v>
      </c>
      <c r="F63" s="4">
        <v>57.32</v>
      </c>
      <c r="G63" s="4">
        <v>56.61</v>
      </c>
      <c r="H63" s="4">
        <v>59.32</v>
      </c>
      <c r="I63" s="4">
        <v>50.77</v>
      </c>
      <c r="J63" s="4">
        <v>42.66</v>
      </c>
      <c r="K63" s="4">
        <v>48.43</v>
      </c>
      <c r="L63" s="37">
        <v>61.68</v>
      </c>
    </row>
    <row r="64" spans="1:12" ht="15" customHeight="1" x14ac:dyDescent="0.45">
      <c r="A64" s="3">
        <v>46150</v>
      </c>
      <c r="B64" s="38">
        <v>83.6</v>
      </c>
      <c r="C64" s="4">
        <v>47.48</v>
      </c>
      <c r="D64" s="4">
        <v>40.39</v>
      </c>
      <c r="E64" s="4">
        <v>40.57</v>
      </c>
      <c r="F64" s="4">
        <v>52.5</v>
      </c>
      <c r="G64" s="4">
        <v>53.47</v>
      </c>
      <c r="H64" s="37">
        <v>63.25</v>
      </c>
      <c r="I64" s="4">
        <v>56.67</v>
      </c>
      <c r="J64" s="4">
        <v>37.92</v>
      </c>
      <c r="K64" s="4">
        <v>55.19</v>
      </c>
      <c r="L64" s="37">
        <v>60.19</v>
      </c>
    </row>
    <row r="65" spans="1:12" ht="15" customHeight="1" x14ac:dyDescent="0.45">
      <c r="A65" s="3">
        <v>46149</v>
      </c>
      <c r="B65" s="38">
        <v>79.78</v>
      </c>
      <c r="C65" s="4">
        <v>51.38</v>
      </c>
      <c r="D65" s="4">
        <v>44.12</v>
      </c>
      <c r="E65" s="4">
        <v>41.57</v>
      </c>
      <c r="F65" s="4">
        <v>51.05</v>
      </c>
      <c r="G65" s="4">
        <v>55.08</v>
      </c>
      <c r="H65" s="37">
        <v>62.35</v>
      </c>
      <c r="I65" s="4">
        <v>55.48</v>
      </c>
      <c r="J65" s="4">
        <v>40.909999999999997</v>
      </c>
      <c r="K65" s="4">
        <v>57.6</v>
      </c>
      <c r="L65" s="37">
        <v>60.1</v>
      </c>
    </row>
    <row r="66" spans="1:12" ht="15" customHeight="1" x14ac:dyDescent="0.45">
      <c r="A66" s="3">
        <v>46148</v>
      </c>
      <c r="B66" s="38">
        <v>80.8</v>
      </c>
      <c r="C66" s="4">
        <v>55.33</v>
      </c>
      <c r="D66" s="4">
        <v>46.32</v>
      </c>
      <c r="E66" s="4">
        <v>45.98</v>
      </c>
      <c r="F66" s="37">
        <v>60.13</v>
      </c>
      <c r="G66" s="37">
        <v>61.22</v>
      </c>
      <c r="H66" s="37">
        <v>62.33</v>
      </c>
      <c r="I66" s="4">
        <v>57.38</v>
      </c>
      <c r="J66" s="4">
        <v>45.87</v>
      </c>
      <c r="K66" s="4">
        <v>57.49</v>
      </c>
      <c r="L66" s="37">
        <v>64.73</v>
      </c>
    </row>
    <row r="67" spans="1:12" ht="15" customHeight="1" x14ac:dyDescent="0.45">
      <c r="A67" s="3">
        <v>46147</v>
      </c>
      <c r="B67" s="38">
        <v>77.319999999999993</v>
      </c>
      <c r="C67" s="4">
        <v>52.4</v>
      </c>
      <c r="D67" s="4">
        <v>45.95</v>
      </c>
      <c r="E67" s="4">
        <v>59.72</v>
      </c>
      <c r="F67" s="4">
        <v>53.43</v>
      </c>
      <c r="G67" s="4">
        <v>53.78</v>
      </c>
      <c r="H67" s="4">
        <v>57.29</v>
      </c>
      <c r="I67" s="4">
        <v>56.42</v>
      </c>
      <c r="J67" s="4">
        <v>52.48</v>
      </c>
      <c r="K67" s="4">
        <v>50.1</v>
      </c>
      <c r="L67" s="4">
        <v>59.93</v>
      </c>
    </row>
    <row r="68" spans="1:12" ht="15" customHeight="1" x14ac:dyDescent="0.45">
      <c r="A68" s="3">
        <v>46146</v>
      </c>
      <c r="B68" s="38">
        <v>73.709999999999994</v>
      </c>
      <c r="C68" s="4">
        <v>52.29</v>
      </c>
      <c r="D68" s="4">
        <v>43.92</v>
      </c>
      <c r="E68" s="4">
        <v>59.44</v>
      </c>
      <c r="F68" s="4">
        <v>44.82</v>
      </c>
      <c r="G68" s="4">
        <v>50.99</v>
      </c>
      <c r="H68" s="4">
        <v>56.23</v>
      </c>
      <c r="I68" s="4">
        <v>53.62</v>
      </c>
      <c r="J68" s="4">
        <v>52.48</v>
      </c>
      <c r="K68" s="4">
        <v>52.41</v>
      </c>
      <c r="L68" s="4">
        <v>59.11</v>
      </c>
    </row>
    <row r="69" spans="1:12" ht="15" customHeight="1" x14ac:dyDescent="0.45">
      <c r="A69" s="31">
        <v>46143</v>
      </c>
      <c r="B69" s="34">
        <v>72.78</v>
      </c>
      <c r="C69" s="33">
        <v>55.35</v>
      </c>
      <c r="D69" s="33">
        <v>44.53</v>
      </c>
      <c r="E69" s="33">
        <v>56.17</v>
      </c>
      <c r="F69" s="33">
        <v>49.11</v>
      </c>
      <c r="G69" s="33">
        <v>54.82</v>
      </c>
      <c r="H69" s="33">
        <v>58.33</v>
      </c>
      <c r="I69" s="33">
        <v>57.44</v>
      </c>
      <c r="J69" s="33">
        <v>54.38</v>
      </c>
      <c r="K69" s="33">
        <v>55.16</v>
      </c>
      <c r="L69" s="32">
        <v>61.83</v>
      </c>
    </row>
    <row r="70" spans="1:12" ht="15" customHeight="1" x14ac:dyDescent="0.45">
      <c r="A70" s="31">
        <v>46142</v>
      </c>
      <c r="B70" s="32">
        <v>69.349999999999994</v>
      </c>
      <c r="C70" s="32">
        <v>60.34</v>
      </c>
      <c r="D70" s="33">
        <v>48.37</v>
      </c>
      <c r="E70" s="32">
        <v>62.81</v>
      </c>
      <c r="F70" s="33">
        <v>54.79</v>
      </c>
      <c r="G70" s="33">
        <v>59.13</v>
      </c>
      <c r="H70" s="33">
        <v>58.64</v>
      </c>
      <c r="I70" s="33">
        <v>59.35</v>
      </c>
      <c r="J70" s="33">
        <v>57.21</v>
      </c>
      <c r="K70" s="33">
        <v>54.01</v>
      </c>
      <c r="L70" s="32">
        <v>64.180000000000007</v>
      </c>
    </row>
    <row r="71" spans="1:12" ht="15" customHeight="1" x14ac:dyDescent="0.45">
      <c r="A71" s="25">
        <v>46141</v>
      </c>
      <c r="B71" s="38">
        <v>70.39</v>
      </c>
      <c r="C71" s="4">
        <v>57.52</v>
      </c>
      <c r="D71" s="4">
        <v>35.89</v>
      </c>
      <c r="E71" s="4">
        <v>59.52</v>
      </c>
      <c r="F71" s="4">
        <v>47.94</v>
      </c>
      <c r="G71" s="4">
        <v>49.94</v>
      </c>
      <c r="H71" s="4">
        <v>54.89</v>
      </c>
      <c r="I71" s="4">
        <v>51.43</v>
      </c>
      <c r="J71" s="4">
        <v>46.27</v>
      </c>
      <c r="K71" s="4">
        <v>49.47</v>
      </c>
      <c r="L71" s="4">
        <v>56.95</v>
      </c>
    </row>
    <row r="72" spans="1:12" ht="15" customHeight="1" x14ac:dyDescent="0.45">
      <c r="A72" s="3">
        <v>46140</v>
      </c>
      <c r="B72" s="37">
        <v>68.94</v>
      </c>
      <c r="C72" s="4">
        <v>56.86</v>
      </c>
      <c r="D72" s="4">
        <v>38.369999999999997</v>
      </c>
      <c r="E72" s="4">
        <v>53.01</v>
      </c>
      <c r="F72" s="4">
        <v>52.74</v>
      </c>
      <c r="G72" s="4">
        <v>52.39</v>
      </c>
      <c r="H72" s="4">
        <v>55.48</v>
      </c>
      <c r="I72" s="4">
        <v>52.43</v>
      </c>
      <c r="J72" s="4">
        <v>52.5</v>
      </c>
      <c r="K72" s="4">
        <v>51.55</v>
      </c>
      <c r="L72" s="37">
        <v>60.39</v>
      </c>
    </row>
    <row r="73" spans="1:12" ht="15" customHeight="1" x14ac:dyDescent="0.45">
      <c r="A73" s="3">
        <v>46139</v>
      </c>
      <c r="B73" s="5">
        <v>76.47</v>
      </c>
      <c r="C73" s="4">
        <v>56.51</v>
      </c>
      <c r="D73" s="4">
        <v>36.83</v>
      </c>
      <c r="E73" s="4">
        <v>47.41</v>
      </c>
      <c r="F73" s="4">
        <v>57.34</v>
      </c>
      <c r="G73" s="4">
        <v>56.12</v>
      </c>
      <c r="H73" s="4">
        <v>58.33</v>
      </c>
      <c r="I73" s="4">
        <v>48.13</v>
      </c>
      <c r="J73" s="4">
        <v>51.87</v>
      </c>
      <c r="K73" s="4">
        <v>51.81</v>
      </c>
      <c r="L73" s="4">
        <v>56.6</v>
      </c>
    </row>
    <row r="74" spans="1:12" ht="15" customHeight="1" x14ac:dyDescent="0.45">
      <c r="A74" s="3">
        <v>46136</v>
      </c>
      <c r="B74" s="5">
        <v>76.16</v>
      </c>
      <c r="C74" s="4">
        <v>53.01</v>
      </c>
      <c r="D74" s="4">
        <v>38.520000000000003</v>
      </c>
      <c r="E74" s="4">
        <v>47.98</v>
      </c>
      <c r="F74" s="4">
        <v>59.1</v>
      </c>
      <c r="G74" s="4">
        <v>56.05</v>
      </c>
      <c r="H74" s="6">
        <v>61.32</v>
      </c>
      <c r="I74" s="4">
        <v>53.53</v>
      </c>
      <c r="J74" s="4">
        <v>51.77</v>
      </c>
      <c r="K74" s="4">
        <v>50.76</v>
      </c>
      <c r="L74" s="6">
        <v>60.98</v>
      </c>
    </row>
    <row r="75" spans="1:12" ht="15" customHeight="1" x14ac:dyDescent="0.45">
      <c r="A75" s="3">
        <v>46135</v>
      </c>
      <c r="B75" s="5">
        <v>71.83</v>
      </c>
      <c r="C75" s="4">
        <v>57.17</v>
      </c>
      <c r="D75" s="4">
        <v>43.87</v>
      </c>
      <c r="E75" s="4">
        <v>48.57</v>
      </c>
      <c r="F75" s="4">
        <v>58.17</v>
      </c>
      <c r="G75" s="4">
        <v>59.9</v>
      </c>
      <c r="H75" s="4">
        <v>59.14</v>
      </c>
      <c r="I75" s="4">
        <v>55.14</v>
      </c>
      <c r="J75" s="4">
        <v>50.92</v>
      </c>
      <c r="K75" s="4">
        <v>58.97</v>
      </c>
      <c r="L75" s="6">
        <v>62.71</v>
      </c>
    </row>
    <row r="76" spans="1:12" ht="15" customHeight="1" x14ac:dyDescent="0.45">
      <c r="A76" s="3">
        <v>46134</v>
      </c>
      <c r="B76" s="5">
        <v>78.64</v>
      </c>
      <c r="C76" s="6">
        <v>62.06</v>
      </c>
      <c r="D76" s="4">
        <v>44.26</v>
      </c>
      <c r="E76" s="4">
        <v>46.11</v>
      </c>
      <c r="F76" s="4">
        <v>58.39</v>
      </c>
      <c r="G76" s="4">
        <v>54.38</v>
      </c>
      <c r="H76" s="6">
        <v>63.29</v>
      </c>
      <c r="I76" s="4">
        <v>47.02</v>
      </c>
      <c r="J76" s="4">
        <v>36.96</v>
      </c>
      <c r="K76" s="6">
        <v>61.42</v>
      </c>
      <c r="L76" s="4">
        <v>58.52</v>
      </c>
    </row>
    <row r="77" spans="1:12" ht="15" customHeight="1" x14ac:dyDescent="0.45">
      <c r="A77" s="3">
        <v>46133</v>
      </c>
      <c r="B77" s="5">
        <v>75.36</v>
      </c>
      <c r="C77" s="6">
        <v>63.16</v>
      </c>
      <c r="D77" s="4">
        <v>42.71</v>
      </c>
      <c r="E77" s="4">
        <v>42.19</v>
      </c>
      <c r="F77" s="4">
        <v>57.94</v>
      </c>
      <c r="G77" s="4">
        <v>55.32</v>
      </c>
      <c r="H77" s="6">
        <v>63.43</v>
      </c>
      <c r="I77" s="4">
        <v>45.2</v>
      </c>
      <c r="J77" s="4">
        <v>37.61</v>
      </c>
      <c r="K77" s="4">
        <v>59.11</v>
      </c>
      <c r="L77" s="6">
        <v>62.71</v>
      </c>
    </row>
    <row r="78" spans="1:12" ht="15" customHeight="1" x14ac:dyDescent="0.45">
      <c r="A78" s="3">
        <v>46132</v>
      </c>
      <c r="B78" s="5">
        <v>75.23</v>
      </c>
      <c r="C78" s="6">
        <v>67.22</v>
      </c>
      <c r="D78" s="4">
        <v>46.62</v>
      </c>
      <c r="E78" s="4">
        <v>37.130000000000003</v>
      </c>
      <c r="F78" s="6">
        <v>62.84</v>
      </c>
      <c r="G78" s="6">
        <v>61.32</v>
      </c>
      <c r="H78" s="6">
        <v>66.47</v>
      </c>
      <c r="I78" s="4">
        <v>48.33</v>
      </c>
      <c r="J78" s="4">
        <v>44.97</v>
      </c>
      <c r="K78" s="6">
        <v>67.39</v>
      </c>
      <c r="L78" s="5">
        <v>76.34</v>
      </c>
    </row>
    <row r="79" spans="1:12" ht="15" customHeight="1" x14ac:dyDescent="0.45">
      <c r="A79" s="3">
        <v>46129</v>
      </c>
      <c r="B79" s="5">
        <v>75.02</v>
      </c>
      <c r="C79" s="6">
        <v>65.989999999999995</v>
      </c>
      <c r="D79" s="4">
        <v>50.58</v>
      </c>
      <c r="E79" s="4">
        <v>36.81</v>
      </c>
      <c r="F79" s="6">
        <v>60.48</v>
      </c>
      <c r="G79" s="6">
        <v>60.69</v>
      </c>
      <c r="H79" s="6">
        <v>68.3</v>
      </c>
      <c r="I79" s="4">
        <v>48.73</v>
      </c>
      <c r="J79" s="4">
        <v>49.59</v>
      </c>
      <c r="K79" s="6">
        <v>69.38</v>
      </c>
      <c r="L79" s="5">
        <v>75.41</v>
      </c>
    </row>
    <row r="80" spans="1:12" ht="15" customHeight="1" x14ac:dyDescent="0.45">
      <c r="A80" s="3">
        <v>46128</v>
      </c>
      <c r="B80" s="5">
        <v>72.69</v>
      </c>
      <c r="C80" s="6">
        <v>63.44</v>
      </c>
      <c r="D80" s="4">
        <v>43.51</v>
      </c>
      <c r="E80" s="4">
        <v>43.2</v>
      </c>
      <c r="F80" s="4">
        <v>59.59</v>
      </c>
      <c r="G80" s="4">
        <v>55.18</v>
      </c>
      <c r="H80" s="6">
        <v>63.51</v>
      </c>
      <c r="I80" s="4">
        <v>42.21</v>
      </c>
      <c r="J80" s="4">
        <v>51.88</v>
      </c>
      <c r="K80" s="6">
        <v>68.72</v>
      </c>
      <c r="L80" s="5">
        <v>71.02</v>
      </c>
    </row>
    <row r="81" spans="1:12" ht="15" customHeight="1" x14ac:dyDescent="0.45">
      <c r="A81" s="3">
        <v>46127</v>
      </c>
      <c r="B81" s="5">
        <v>70.819999999999993</v>
      </c>
      <c r="C81" s="6">
        <v>65.03</v>
      </c>
      <c r="D81" s="4">
        <v>46.81</v>
      </c>
      <c r="E81" s="4">
        <v>37.94</v>
      </c>
      <c r="F81" s="4">
        <v>57.04</v>
      </c>
      <c r="G81" s="4">
        <v>57.17</v>
      </c>
      <c r="H81" s="6">
        <v>65.319999999999993</v>
      </c>
      <c r="I81" s="4">
        <v>39.65</v>
      </c>
      <c r="J81" s="4">
        <v>48</v>
      </c>
      <c r="K81" s="6">
        <v>64.89</v>
      </c>
      <c r="L81" s="6">
        <v>67.83</v>
      </c>
    </row>
    <row r="82" spans="1:12" ht="15" customHeight="1" x14ac:dyDescent="0.45">
      <c r="A82" s="3">
        <v>46126</v>
      </c>
      <c r="B82" s="6">
        <v>68.040000000000006</v>
      </c>
      <c r="C82" s="6">
        <v>62.61</v>
      </c>
      <c r="D82" s="4">
        <v>50.02</v>
      </c>
      <c r="E82" s="4">
        <v>38.71</v>
      </c>
      <c r="F82" s="6">
        <v>63.35</v>
      </c>
      <c r="G82" s="6">
        <v>62.51</v>
      </c>
      <c r="H82" s="6">
        <v>62.14</v>
      </c>
      <c r="I82" s="4">
        <v>41.54</v>
      </c>
      <c r="J82" s="4">
        <v>53.45</v>
      </c>
      <c r="K82" s="6">
        <v>62.57</v>
      </c>
      <c r="L82" s="6">
        <v>68.17</v>
      </c>
    </row>
    <row r="83" spans="1:12" ht="15" customHeight="1" x14ac:dyDescent="0.45">
      <c r="A83" s="3">
        <v>46125</v>
      </c>
      <c r="B83" s="6">
        <v>64.97</v>
      </c>
      <c r="C83" s="6">
        <v>61.86</v>
      </c>
      <c r="D83" s="4">
        <v>47.3</v>
      </c>
      <c r="E83" s="4">
        <v>43.76</v>
      </c>
      <c r="F83" s="6">
        <v>65.27</v>
      </c>
      <c r="G83" s="6">
        <v>61.56</v>
      </c>
      <c r="H83" s="4">
        <v>56.82</v>
      </c>
      <c r="I83" s="4">
        <v>41.9</v>
      </c>
      <c r="J83" s="4">
        <v>52.56</v>
      </c>
      <c r="K83" s="4">
        <v>56.81</v>
      </c>
      <c r="L83" s="6">
        <v>64.73</v>
      </c>
    </row>
    <row r="84" spans="1:12" ht="15" customHeight="1" x14ac:dyDescent="0.45">
      <c r="A84" s="3">
        <v>46122</v>
      </c>
      <c r="B84" s="6">
        <v>60.45</v>
      </c>
      <c r="C84" s="4">
        <v>55.73</v>
      </c>
      <c r="D84" s="4">
        <v>45.16</v>
      </c>
      <c r="E84" s="4">
        <v>42.74</v>
      </c>
      <c r="F84" s="6">
        <v>63.98</v>
      </c>
      <c r="G84" s="4">
        <v>59.71</v>
      </c>
      <c r="H84" s="4">
        <v>54.39</v>
      </c>
      <c r="I84" s="4">
        <v>45.71</v>
      </c>
      <c r="J84" s="6">
        <v>60.17</v>
      </c>
      <c r="K84" s="4">
        <v>53.49</v>
      </c>
      <c r="L84" s="6">
        <v>62.9</v>
      </c>
    </row>
    <row r="85" spans="1:12" ht="15" customHeight="1" x14ac:dyDescent="0.45">
      <c r="A85" s="3">
        <v>46121</v>
      </c>
      <c r="B85" s="4">
        <v>59.56</v>
      </c>
      <c r="C85" s="6">
        <v>61.51</v>
      </c>
      <c r="D85" s="4">
        <v>51.03</v>
      </c>
      <c r="E85" s="4">
        <v>44.45</v>
      </c>
      <c r="F85" s="6">
        <v>62.34</v>
      </c>
      <c r="G85" s="6">
        <v>61.23</v>
      </c>
      <c r="H85" s="4">
        <v>54.04</v>
      </c>
      <c r="I85" s="4">
        <v>51.41</v>
      </c>
      <c r="J85" s="6">
        <v>62.99</v>
      </c>
      <c r="K85" s="4">
        <v>54.93</v>
      </c>
      <c r="L85" s="6">
        <v>62.09</v>
      </c>
    </row>
    <row r="86" spans="1:12" ht="15" customHeight="1" x14ac:dyDescent="0.45">
      <c r="A86" s="3">
        <v>46120</v>
      </c>
      <c r="B86" s="4">
        <v>58.96</v>
      </c>
      <c r="C86" s="6">
        <v>60.63</v>
      </c>
      <c r="D86" s="4">
        <v>52.08</v>
      </c>
      <c r="E86" s="4">
        <v>47.72</v>
      </c>
      <c r="F86" s="6">
        <v>63.07</v>
      </c>
      <c r="G86" s="4">
        <v>58.67</v>
      </c>
      <c r="H86" s="4">
        <v>49.42</v>
      </c>
      <c r="I86" s="4">
        <v>47.65</v>
      </c>
      <c r="J86" s="4">
        <v>59.56</v>
      </c>
      <c r="K86" s="4">
        <v>53.25</v>
      </c>
      <c r="L86" s="4">
        <v>59.41</v>
      </c>
    </row>
    <row r="87" spans="1:12" ht="15" customHeight="1" x14ac:dyDescent="0.45">
      <c r="A87" s="3">
        <v>46119</v>
      </c>
      <c r="B87" s="4">
        <v>51.56</v>
      </c>
      <c r="C87" s="4">
        <v>49.81</v>
      </c>
      <c r="D87" s="4">
        <v>41.9</v>
      </c>
      <c r="E87" s="4">
        <v>59.67</v>
      </c>
      <c r="F87" s="4">
        <v>52.11</v>
      </c>
      <c r="G87" s="4">
        <v>47.34</v>
      </c>
      <c r="H87" s="4">
        <v>40.630000000000003</v>
      </c>
      <c r="I87" s="4">
        <v>37.44</v>
      </c>
      <c r="J87" s="4">
        <v>54.12</v>
      </c>
      <c r="K87" s="4">
        <v>45</v>
      </c>
      <c r="L87" s="4">
        <v>51.51</v>
      </c>
    </row>
    <row r="88" spans="1:12" ht="15" customHeight="1" x14ac:dyDescent="0.45">
      <c r="A88" s="3">
        <v>46118</v>
      </c>
      <c r="B88" s="4">
        <v>50.29</v>
      </c>
      <c r="C88" s="4">
        <v>49.81</v>
      </c>
      <c r="D88" s="4">
        <v>40.799999999999997</v>
      </c>
      <c r="E88" s="4">
        <v>57.42</v>
      </c>
      <c r="F88" s="4">
        <v>53.35</v>
      </c>
      <c r="G88" s="4">
        <v>48</v>
      </c>
      <c r="H88" s="4">
        <v>43.55</v>
      </c>
      <c r="I88" s="4">
        <v>44.93</v>
      </c>
      <c r="J88" s="4">
        <v>52.97</v>
      </c>
      <c r="K88" s="4">
        <v>44.73</v>
      </c>
      <c r="L88" s="4">
        <v>52.04</v>
      </c>
    </row>
    <row r="89" spans="1:12" ht="15" customHeight="1" x14ac:dyDescent="0.45">
      <c r="A89" s="3">
        <v>46115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" customHeight="1" x14ac:dyDescent="0.45">
      <c r="A90" s="3">
        <v>46114</v>
      </c>
      <c r="B90" s="4">
        <v>48.78</v>
      </c>
      <c r="C90" s="4">
        <v>46.45</v>
      </c>
      <c r="D90" s="4">
        <v>42.15</v>
      </c>
      <c r="E90" s="4">
        <v>55.34</v>
      </c>
      <c r="F90" s="4">
        <v>54.98</v>
      </c>
      <c r="G90" s="4">
        <v>46.24</v>
      </c>
      <c r="H90" s="4">
        <v>40.78</v>
      </c>
      <c r="I90" s="4">
        <v>38.659999999999997</v>
      </c>
      <c r="J90" s="4">
        <v>55.16</v>
      </c>
      <c r="K90" s="4">
        <v>44.47</v>
      </c>
      <c r="L90" s="4">
        <v>50.28</v>
      </c>
    </row>
    <row r="91" spans="1:12" ht="15" customHeight="1" x14ac:dyDescent="0.45">
      <c r="A91" s="3">
        <v>46113</v>
      </c>
      <c r="B91" s="4">
        <v>46.71</v>
      </c>
      <c r="C91" s="4">
        <v>45.58</v>
      </c>
      <c r="D91" s="4">
        <v>44.52</v>
      </c>
      <c r="E91" s="4">
        <v>53.99</v>
      </c>
      <c r="F91" s="4">
        <v>55.4</v>
      </c>
      <c r="G91" s="4">
        <v>47.41</v>
      </c>
      <c r="H91" s="4">
        <v>44.55</v>
      </c>
      <c r="I91" s="4">
        <v>34.82</v>
      </c>
      <c r="J91" s="4">
        <v>52.71</v>
      </c>
      <c r="K91" s="4">
        <v>42.57</v>
      </c>
      <c r="L91" s="4">
        <v>41.54</v>
      </c>
    </row>
    <row r="92" spans="1:12" ht="15" customHeight="1" x14ac:dyDescent="0.45">
      <c r="A92" s="3">
        <v>46112</v>
      </c>
      <c r="B92" s="4">
        <v>42.73</v>
      </c>
      <c r="C92" s="4">
        <v>44.93</v>
      </c>
      <c r="D92" s="4">
        <v>40.76</v>
      </c>
      <c r="E92" s="5">
        <v>70.16</v>
      </c>
      <c r="F92" s="4">
        <v>52.11</v>
      </c>
      <c r="G92" s="4">
        <v>41.83</v>
      </c>
      <c r="H92" s="4">
        <v>42.08</v>
      </c>
      <c r="I92" s="4">
        <v>37.450000000000003</v>
      </c>
      <c r="J92" s="4">
        <v>50.29</v>
      </c>
      <c r="K92" s="4">
        <v>41.03</v>
      </c>
      <c r="L92" s="4">
        <v>39.75</v>
      </c>
    </row>
    <row r="93" spans="1:12" ht="15" customHeight="1" x14ac:dyDescent="0.45">
      <c r="A93" s="3">
        <v>46111</v>
      </c>
      <c r="B93" s="7">
        <v>29.59</v>
      </c>
      <c r="C93" s="4">
        <v>34.5</v>
      </c>
      <c r="D93" s="7">
        <v>29.74</v>
      </c>
      <c r="E93" s="5">
        <v>76.69</v>
      </c>
      <c r="F93" s="4">
        <v>45.37</v>
      </c>
      <c r="G93" s="7">
        <v>28.45</v>
      </c>
      <c r="H93" s="4">
        <v>30.4</v>
      </c>
      <c r="I93" s="4">
        <v>36.6</v>
      </c>
      <c r="J93" s="4">
        <v>50.62</v>
      </c>
      <c r="K93" s="7">
        <v>27.16</v>
      </c>
      <c r="L93" s="7">
        <v>29.4</v>
      </c>
    </row>
    <row r="94" spans="1:12" ht="15" customHeight="1" x14ac:dyDescent="0.45">
      <c r="A94" s="3">
        <v>46108</v>
      </c>
      <c r="B94" s="4">
        <v>32.72</v>
      </c>
      <c r="C94" s="7">
        <v>27.56</v>
      </c>
      <c r="D94" s="7">
        <v>27.22</v>
      </c>
      <c r="E94" s="5">
        <v>82.81</v>
      </c>
      <c r="F94" s="4">
        <v>43.88</v>
      </c>
      <c r="G94" s="4">
        <v>31.89</v>
      </c>
      <c r="H94" s="4">
        <v>30.43</v>
      </c>
      <c r="I94" s="4">
        <v>35.78</v>
      </c>
      <c r="J94" s="4">
        <v>47.11</v>
      </c>
      <c r="K94" s="7">
        <v>21.74</v>
      </c>
      <c r="L94" s="7">
        <v>25.56</v>
      </c>
    </row>
    <row r="95" spans="1:12" ht="15" customHeight="1" x14ac:dyDescent="0.45">
      <c r="A95" s="3">
        <v>46107</v>
      </c>
      <c r="B95" s="4">
        <v>36.53</v>
      </c>
      <c r="C95" s="4">
        <v>35.409999999999997</v>
      </c>
      <c r="D95" s="4">
        <v>31.93</v>
      </c>
      <c r="E95" s="5">
        <v>80.28</v>
      </c>
      <c r="F95" s="4">
        <v>45.02</v>
      </c>
      <c r="G95" s="4">
        <v>35.04</v>
      </c>
      <c r="H95" s="4">
        <v>36.450000000000003</v>
      </c>
      <c r="I95" s="4">
        <v>30.45</v>
      </c>
      <c r="J95" s="4">
        <v>44.2</v>
      </c>
      <c r="K95" s="7">
        <v>25.07</v>
      </c>
      <c r="L95" s="7">
        <v>27.5</v>
      </c>
    </row>
    <row r="96" spans="1:12" ht="15" customHeight="1" x14ac:dyDescent="0.45">
      <c r="A96" s="3">
        <v>46106</v>
      </c>
      <c r="B96" s="4">
        <v>44.49</v>
      </c>
      <c r="C96" s="4">
        <v>37.75</v>
      </c>
      <c r="D96" s="4">
        <v>33</v>
      </c>
      <c r="E96" s="5">
        <v>77.45</v>
      </c>
      <c r="F96" s="4">
        <v>47.05</v>
      </c>
      <c r="G96" s="4">
        <v>42.2</v>
      </c>
      <c r="H96" s="4">
        <v>40.99</v>
      </c>
      <c r="I96" s="4">
        <v>31.87</v>
      </c>
      <c r="J96" s="4">
        <v>43.31</v>
      </c>
      <c r="K96" s="4">
        <v>31.81</v>
      </c>
      <c r="L96" s="7">
        <v>27.14</v>
      </c>
    </row>
    <row r="97" spans="1:12" ht="15" customHeight="1" x14ac:dyDescent="0.45">
      <c r="A97" s="3">
        <v>46105</v>
      </c>
      <c r="B97" s="4">
        <v>42.83</v>
      </c>
      <c r="C97" s="4">
        <v>36.950000000000003</v>
      </c>
      <c r="D97" s="7">
        <v>26.36</v>
      </c>
      <c r="E97" s="5">
        <v>80.489999999999995</v>
      </c>
      <c r="F97" s="4">
        <v>39.450000000000003</v>
      </c>
      <c r="G97" s="4">
        <v>38.869999999999997</v>
      </c>
      <c r="H97" s="4">
        <v>36.96</v>
      </c>
      <c r="I97" s="7">
        <v>28.52</v>
      </c>
      <c r="J97" s="4">
        <v>41.58</v>
      </c>
      <c r="K97" s="7">
        <v>29.74</v>
      </c>
      <c r="L97" s="7">
        <v>27.26</v>
      </c>
    </row>
    <row r="98" spans="1:12" ht="15" customHeight="1" x14ac:dyDescent="0.45">
      <c r="A98" s="3">
        <v>46104</v>
      </c>
      <c r="B98" s="4">
        <v>44.45</v>
      </c>
      <c r="C98" s="4">
        <v>36.83</v>
      </c>
      <c r="D98" s="7">
        <v>26.26</v>
      </c>
      <c r="E98" s="5">
        <v>76.69</v>
      </c>
      <c r="F98" s="4">
        <v>30.8</v>
      </c>
      <c r="G98" s="4">
        <v>35.909999999999997</v>
      </c>
      <c r="H98" s="4">
        <v>37.97</v>
      </c>
      <c r="I98" s="7">
        <v>28.75</v>
      </c>
      <c r="J98" s="4">
        <v>38.19</v>
      </c>
      <c r="K98" s="4">
        <v>34.72</v>
      </c>
      <c r="L98" s="7">
        <v>29.39</v>
      </c>
    </row>
    <row r="99" spans="1:12" ht="15" customHeight="1" x14ac:dyDescent="0.45">
      <c r="A99" s="3">
        <v>46101</v>
      </c>
      <c r="B99" s="4">
        <v>40.1</v>
      </c>
      <c r="C99" s="4">
        <v>34.53</v>
      </c>
      <c r="D99" s="7">
        <v>27.16</v>
      </c>
      <c r="E99" s="5">
        <v>75.510000000000005</v>
      </c>
      <c r="F99" s="7">
        <v>24.45</v>
      </c>
      <c r="G99" s="4">
        <v>31.43</v>
      </c>
      <c r="H99" s="7">
        <v>28.11</v>
      </c>
      <c r="I99" s="7">
        <v>29.09</v>
      </c>
      <c r="J99" s="4">
        <v>36.76</v>
      </c>
      <c r="K99" s="4">
        <v>31.48</v>
      </c>
      <c r="L99" s="7">
        <v>28.92</v>
      </c>
    </row>
    <row r="100" spans="1:12" ht="15" customHeight="1" x14ac:dyDescent="0.45">
      <c r="A100" s="3">
        <v>46100</v>
      </c>
      <c r="B100" s="4">
        <v>46.49</v>
      </c>
      <c r="C100" s="4">
        <v>33.46</v>
      </c>
      <c r="D100" s="7">
        <v>29.29</v>
      </c>
      <c r="E100" s="5">
        <v>76.069999999999993</v>
      </c>
      <c r="F100" s="7">
        <v>27.58</v>
      </c>
      <c r="G100" s="4">
        <v>35.409999999999997</v>
      </c>
      <c r="H100" s="4">
        <v>32</v>
      </c>
      <c r="I100" s="4">
        <v>31.22</v>
      </c>
      <c r="J100" s="4">
        <v>53.46</v>
      </c>
      <c r="K100" s="4">
        <v>34.49</v>
      </c>
      <c r="L100" s="4">
        <v>39.78</v>
      </c>
    </row>
    <row r="101" spans="1:12" ht="15" customHeight="1" x14ac:dyDescent="0.45">
      <c r="A101" s="3">
        <v>46099</v>
      </c>
      <c r="B101" s="4">
        <v>45.28</v>
      </c>
      <c r="C101" s="4">
        <v>33.24</v>
      </c>
      <c r="D101" s="4">
        <v>30.2</v>
      </c>
      <c r="E101" s="5">
        <v>72.59</v>
      </c>
      <c r="F101" s="4">
        <v>31.19</v>
      </c>
      <c r="G101" s="4">
        <v>37.479999999999997</v>
      </c>
      <c r="H101" s="4">
        <v>33.94</v>
      </c>
      <c r="I101" s="4">
        <v>33.46</v>
      </c>
      <c r="J101" s="4">
        <v>55.82</v>
      </c>
      <c r="K101" s="4">
        <v>36.33</v>
      </c>
      <c r="L101" s="4">
        <v>40.85</v>
      </c>
    </row>
    <row r="102" spans="1:12" ht="15" customHeight="1" x14ac:dyDescent="0.45">
      <c r="A102" s="3">
        <v>46098</v>
      </c>
      <c r="B102" s="4">
        <v>48.72</v>
      </c>
      <c r="C102" s="4">
        <v>36.619999999999997</v>
      </c>
      <c r="D102" s="4">
        <v>34.950000000000003</v>
      </c>
      <c r="E102" s="5">
        <v>73.44</v>
      </c>
      <c r="F102" s="4">
        <v>37.630000000000003</v>
      </c>
      <c r="G102" s="4">
        <v>40.04</v>
      </c>
      <c r="H102" s="4">
        <v>40.81</v>
      </c>
      <c r="I102" s="4">
        <v>42.09</v>
      </c>
      <c r="J102" s="6">
        <v>61.11</v>
      </c>
      <c r="K102" s="4">
        <v>43.4</v>
      </c>
      <c r="L102" s="4">
        <v>49.51</v>
      </c>
    </row>
    <row r="103" spans="1:12" ht="15" customHeight="1" x14ac:dyDescent="0.45">
      <c r="A103" s="3">
        <v>46097</v>
      </c>
      <c r="B103" s="4">
        <v>46.92</v>
      </c>
      <c r="C103" s="4">
        <v>33.869999999999997</v>
      </c>
      <c r="D103" s="4">
        <v>37.99</v>
      </c>
      <c r="E103" s="5">
        <v>71.03</v>
      </c>
      <c r="F103" s="4">
        <v>36.22</v>
      </c>
      <c r="G103" s="4">
        <v>38.74</v>
      </c>
      <c r="H103" s="4">
        <v>36.31</v>
      </c>
      <c r="I103" s="4">
        <v>43.5</v>
      </c>
      <c r="J103" s="6">
        <v>62.91</v>
      </c>
      <c r="K103" s="4">
        <v>43.16</v>
      </c>
      <c r="L103" s="4">
        <v>47.44</v>
      </c>
    </row>
    <row r="104" spans="1:12" ht="15" customHeight="1" x14ac:dyDescent="0.45">
      <c r="A104" s="3">
        <v>46094</v>
      </c>
      <c r="B104" s="4">
        <v>41.98</v>
      </c>
      <c r="C104" s="7">
        <v>29.38</v>
      </c>
      <c r="D104" s="4">
        <v>33.18</v>
      </c>
      <c r="E104" s="5">
        <v>70.2</v>
      </c>
      <c r="F104" s="4">
        <v>33.79</v>
      </c>
      <c r="G104" s="4">
        <v>34.54</v>
      </c>
      <c r="H104" s="7">
        <v>29.51</v>
      </c>
      <c r="I104" s="4">
        <v>41.95</v>
      </c>
      <c r="J104" s="6">
        <v>60.42</v>
      </c>
      <c r="K104" s="4">
        <v>37.76</v>
      </c>
      <c r="L104" s="4">
        <v>42.26</v>
      </c>
    </row>
    <row r="105" spans="1:12" ht="15" customHeight="1" x14ac:dyDescent="0.45">
      <c r="A105" s="3">
        <v>46093</v>
      </c>
      <c r="B105" s="4">
        <v>43.97</v>
      </c>
      <c r="C105" s="7">
        <v>28.72</v>
      </c>
      <c r="D105" s="4">
        <v>33.92</v>
      </c>
      <c r="E105" s="6">
        <v>69.44</v>
      </c>
      <c r="F105" s="4">
        <v>36.83</v>
      </c>
      <c r="G105" s="4">
        <v>35.49</v>
      </c>
      <c r="H105" s="4">
        <v>31.03</v>
      </c>
      <c r="I105" s="4">
        <v>38.75</v>
      </c>
      <c r="J105" s="4">
        <v>56.22</v>
      </c>
      <c r="K105" s="4">
        <v>41.15</v>
      </c>
      <c r="L105" s="4">
        <v>40.450000000000003</v>
      </c>
    </row>
    <row r="106" spans="1:12" ht="15" customHeight="1" x14ac:dyDescent="0.45">
      <c r="A106" s="3">
        <v>46092</v>
      </c>
      <c r="B106" s="4">
        <v>49.41</v>
      </c>
      <c r="C106" s="4">
        <v>32.520000000000003</v>
      </c>
      <c r="D106" s="4">
        <v>39.94</v>
      </c>
      <c r="E106" s="6">
        <v>67.25</v>
      </c>
      <c r="F106" s="4">
        <v>37.86</v>
      </c>
      <c r="G106" s="4">
        <v>43.44</v>
      </c>
      <c r="H106" s="4">
        <v>38.270000000000003</v>
      </c>
      <c r="I106" s="4">
        <v>40.18</v>
      </c>
      <c r="J106" s="4">
        <v>52.89</v>
      </c>
      <c r="K106" s="4">
        <v>49.9</v>
      </c>
      <c r="L106" s="4">
        <v>43.57</v>
      </c>
    </row>
    <row r="107" spans="1:12" ht="15" customHeight="1" x14ac:dyDescent="0.45">
      <c r="A107" s="3">
        <v>46091</v>
      </c>
      <c r="B107" s="4">
        <v>47.86</v>
      </c>
      <c r="C107" s="4">
        <v>34.72</v>
      </c>
      <c r="D107" s="4">
        <v>40.68</v>
      </c>
      <c r="E107" s="6">
        <v>60.42</v>
      </c>
      <c r="F107" s="4">
        <v>38.11</v>
      </c>
      <c r="G107" s="4">
        <v>44.6</v>
      </c>
      <c r="H107" s="4">
        <v>39.25</v>
      </c>
      <c r="I107" s="4">
        <v>45.32</v>
      </c>
      <c r="J107" s="4">
        <v>57.7</v>
      </c>
      <c r="K107" s="4">
        <v>52.17</v>
      </c>
      <c r="L107" s="4">
        <v>50.4</v>
      </c>
    </row>
    <row r="108" spans="1:12" ht="15" customHeight="1" x14ac:dyDescent="0.45">
      <c r="A108" s="3">
        <v>46090</v>
      </c>
      <c r="B108" s="4">
        <v>47.86</v>
      </c>
      <c r="C108" s="4">
        <v>36.19</v>
      </c>
      <c r="D108" s="4">
        <v>43.48</v>
      </c>
      <c r="E108" s="6">
        <v>67.209999999999994</v>
      </c>
      <c r="F108" s="4">
        <v>38.76</v>
      </c>
      <c r="G108" s="4">
        <v>46.6</v>
      </c>
      <c r="H108" s="4">
        <v>39.72</v>
      </c>
      <c r="I108" s="4">
        <v>46.54</v>
      </c>
      <c r="J108" s="6">
        <v>61.57</v>
      </c>
      <c r="K108" s="4">
        <v>53.23</v>
      </c>
      <c r="L108" s="4">
        <v>51.28</v>
      </c>
    </row>
    <row r="109" spans="1:12" ht="15" customHeight="1" x14ac:dyDescent="0.45">
      <c r="A109" s="3">
        <v>46087</v>
      </c>
      <c r="B109" s="4">
        <v>42.24</v>
      </c>
      <c r="C109" s="4">
        <v>37.5</v>
      </c>
      <c r="D109" s="4">
        <v>37.909999999999997</v>
      </c>
      <c r="E109" s="6">
        <v>69.739999999999995</v>
      </c>
      <c r="F109" s="4">
        <v>37.590000000000003</v>
      </c>
      <c r="G109" s="4">
        <v>44.07</v>
      </c>
      <c r="H109" s="4">
        <v>39.04</v>
      </c>
      <c r="I109" s="4">
        <v>45.5</v>
      </c>
      <c r="J109" s="6">
        <v>60.64</v>
      </c>
      <c r="K109" s="4">
        <v>52.73</v>
      </c>
      <c r="L109" s="4">
        <v>50.07</v>
      </c>
    </row>
    <row r="110" spans="1:12" ht="15" customHeight="1" x14ac:dyDescent="0.45">
      <c r="A110" s="3">
        <v>46086</v>
      </c>
      <c r="B110" s="4">
        <v>47.84</v>
      </c>
      <c r="C110" s="4">
        <v>41.3</v>
      </c>
      <c r="D110" s="4">
        <v>40.81</v>
      </c>
      <c r="E110" s="6">
        <v>69.36</v>
      </c>
      <c r="F110" s="4">
        <v>43.31</v>
      </c>
      <c r="G110" s="4">
        <v>48.61</v>
      </c>
      <c r="H110" s="4">
        <v>45.75</v>
      </c>
      <c r="I110" s="4">
        <v>43.52</v>
      </c>
      <c r="J110" s="6">
        <v>62.69</v>
      </c>
      <c r="K110" s="4">
        <v>58.37</v>
      </c>
      <c r="L110" s="4">
        <v>56.6</v>
      </c>
    </row>
    <row r="111" spans="1:12" ht="15" customHeight="1" x14ac:dyDescent="0.45">
      <c r="A111" s="3">
        <v>46085</v>
      </c>
      <c r="B111" s="4">
        <v>47.08</v>
      </c>
      <c r="C111" s="4">
        <v>42.96</v>
      </c>
      <c r="D111" s="4">
        <v>50.01</v>
      </c>
      <c r="E111" s="6">
        <v>68.14</v>
      </c>
      <c r="F111" s="4">
        <v>51.48</v>
      </c>
      <c r="G111" s="4">
        <v>59.04</v>
      </c>
      <c r="H111" s="4">
        <v>45.09</v>
      </c>
      <c r="I111" s="4">
        <v>51.79</v>
      </c>
      <c r="J111" s="6">
        <v>67.59</v>
      </c>
      <c r="K111" s="6">
        <v>60.52</v>
      </c>
      <c r="L111" s="6">
        <v>63.82</v>
      </c>
    </row>
    <row r="112" spans="1:12" ht="15" customHeight="1" x14ac:dyDescent="0.45">
      <c r="A112" s="3">
        <v>46084</v>
      </c>
      <c r="B112" s="4">
        <v>41.59</v>
      </c>
      <c r="C112" s="4">
        <v>40.58</v>
      </c>
      <c r="D112" s="4">
        <v>48.95</v>
      </c>
      <c r="E112" s="5">
        <v>71.12</v>
      </c>
      <c r="F112" s="4">
        <v>51.64</v>
      </c>
      <c r="G112" s="4">
        <v>57.9</v>
      </c>
      <c r="H112" s="4">
        <v>35.82</v>
      </c>
      <c r="I112" s="4">
        <v>55.01</v>
      </c>
      <c r="J112" s="6">
        <v>66.27</v>
      </c>
      <c r="K112" s="4">
        <v>57.04</v>
      </c>
      <c r="L112" s="6">
        <v>63.2</v>
      </c>
    </row>
    <row r="113" spans="1:12" ht="15" customHeight="1" x14ac:dyDescent="0.45">
      <c r="A113" s="3">
        <v>46083</v>
      </c>
      <c r="B113" s="4">
        <v>45.4</v>
      </c>
      <c r="C113" s="4">
        <v>41.08</v>
      </c>
      <c r="D113" s="4">
        <v>55.2</v>
      </c>
      <c r="E113" s="5">
        <v>75.98</v>
      </c>
      <c r="F113" s="6">
        <v>64.239999999999995</v>
      </c>
      <c r="G113" s="6">
        <v>69.599999999999994</v>
      </c>
      <c r="H113" s="4">
        <v>39.01</v>
      </c>
      <c r="I113" s="6">
        <v>60.89</v>
      </c>
      <c r="J113" s="5">
        <v>70.27</v>
      </c>
      <c r="K113" s="4">
        <v>56.66</v>
      </c>
      <c r="L113" s="6">
        <v>67.13</v>
      </c>
    </row>
    <row r="114" spans="1:12" ht="15" customHeight="1" x14ac:dyDescent="0.45">
      <c r="A114" s="3">
        <v>46080</v>
      </c>
      <c r="B114" s="4">
        <v>43.57</v>
      </c>
      <c r="C114" s="4">
        <v>41.76</v>
      </c>
      <c r="D114" s="6">
        <v>62.07</v>
      </c>
      <c r="E114" s="5">
        <v>72.180000000000007</v>
      </c>
      <c r="F114" s="6">
        <v>66.06</v>
      </c>
      <c r="G114" s="6">
        <v>66.39</v>
      </c>
      <c r="H114" s="4">
        <v>43.95</v>
      </c>
      <c r="I114" s="5">
        <v>70.22</v>
      </c>
      <c r="J114" s="5">
        <v>75.33</v>
      </c>
      <c r="K114" s="4">
        <v>57.61</v>
      </c>
      <c r="L114" s="6">
        <v>66.430000000000007</v>
      </c>
    </row>
    <row r="115" spans="1:12" ht="15" customHeight="1" x14ac:dyDescent="0.45">
      <c r="A115" s="3">
        <v>46079</v>
      </c>
      <c r="B115" s="4">
        <v>47.88</v>
      </c>
      <c r="C115" s="4">
        <v>47.82</v>
      </c>
      <c r="D115" s="4">
        <v>53.04</v>
      </c>
      <c r="E115" s="6">
        <v>68.599999999999994</v>
      </c>
      <c r="F115" s="6">
        <v>63.6</v>
      </c>
      <c r="G115" s="6">
        <v>65.55</v>
      </c>
      <c r="H115" s="4">
        <v>44.64</v>
      </c>
      <c r="I115" s="6">
        <v>65.930000000000007</v>
      </c>
      <c r="J115" s="5">
        <v>72.52</v>
      </c>
      <c r="K115" s="4">
        <v>52.05</v>
      </c>
      <c r="L115" s="6">
        <v>64.569999999999993</v>
      </c>
    </row>
    <row r="116" spans="1:12" ht="15" customHeight="1" x14ac:dyDescent="0.45">
      <c r="A116" s="3">
        <v>46078</v>
      </c>
      <c r="B116" s="4">
        <v>52.13</v>
      </c>
      <c r="C116" s="4">
        <v>43.32</v>
      </c>
      <c r="D116" s="4">
        <v>54.83</v>
      </c>
      <c r="E116" s="6">
        <v>67.8</v>
      </c>
      <c r="F116" s="6">
        <v>64.23</v>
      </c>
      <c r="G116" s="6">
        <v>63.42</v>
      </c>
      <c r="H116" s="4">
        <v>44.78</v>
      </c>
      <c r="I116" s="6">
        <v>67.099999999999994</v>
      </c>
      <c r="J116" s="5">
        <v>75.12</v>
      </c>
      <c r="K116" s="4">
        <v>51.07</v>
      </c>
      <c r="L116" s="6">
        <v>62.85</v>
      </c>
    </row>
    <row r="117" spans="1:12" ht="15" customHeight="1" x14ac:dyDescent="0.45">
      <c r="A117" s="3">
        <v>46077</v>
      </c>
      <c r="B117" s="4">
        <v>46.15</v>
      </c>
      <c r="C117" s="4">
        <v>36.1</v>
      </c>
      <c r="D117" s="4">
        <v>55</v>
      </c>
      <c r="E117" s="6">
        <v>69.900000000000006</v>
      </c>
      <c r="F117" s="6">
        <v>67.349999999999994</v>
      </c>
      <c r="G117" s="6">
        <v>68.349999999999994</v>
      </c>
      <c r="H117" s="4">
        <v>43.36</v>
      </c>
      <c r="I117" s="5">
        <v>72.959999999999994</v>
      </c>
      <c r="J117" s="5">
        <v>74.37</v>
      </c>
      <c r="K117" s="4">
        <v>49.58</v>
      </c>
      <c r="L117" s="6">
        <v>67.5</v>
      </c>
    </row>
    <row r="118" spans="1:12" ht="15" customHeight="1" x14ac:dyDescent="0.45">
      <c r="A118" s="3">
        <v>46076</v>
      </c>
      <c r="B118" s="4">
        <v>41.62</v>
      </c>
      <c r="C118" s="4">
        <v>33.9</v>
      </c>
      <c r="D118" s="4">
        <v>57.74</v>
      </c>
      <c r="E118" s="5">
        <v>70.349999999999994</v>
      </c>
      <c r="F118" s="6">
        <v>65.260000000000005</v>
      </c>
      <c r="G118" s="6">
        <v>64.34</v>
      </c>
      <c r="H118" s="4">
        <v>35.659999999999997</v>
      </c>
      <c r="I118" s="5">
        <v>70.430000000000007</v>
      </c>
      <c r="J118" s="5">
        <v>71.77</v>
      </c>
      <c r="K118" s="4">
        <v>45.99</v>
      </c>
      <c r="L118" s="6">
        <v>66.55</v>
      </c>
    </row>
    <row r="119" spans="1:12" ht="15" customHeight="1" x14ac:dyDescent="0.45">
      <c r="A119" s="3">
        <v>46073</v>
      </c>
      <c r="B119" s="4">
        <v>46.37</v>
      </c>
      <c r="C119" s="4">
        <v>43.73</v>
      </c>
      <c r="D119" s="4">
        <v>52.03</v>
      </c>
      <c r="E119" s="6">
        <v>69.38</v>
      </c>
      <c r="F119" s="6">
        <v>65.260000000000005</v>
      </c>
      <c r="G119" s="5">
        <v>74.06</v>
      </c>
      <c r="H119" s="4">
        <v>43.35</v>
      </c>
      <c r="I119" s="6">
        <v>66.33</v>
      </c>
      <c r="J119" s="6">
        <v>69.86</v>
      </c>
      <c r="K119" s="4">
        <v>52.2</v>
      </c>
      <c r="L119" s="6">
        <v>66.17</v>
      </c>
    </row>
    <row r="120" spans="1:12" ht="15" customHeight="1" x14ac:dyDescent="0.45">
      <c r="A120" s="3">
        <v>46072</v>
      </c>
      <c r="B120" s="4">
        <v>44.71</v>
      </c>
      <c r="C120" s="4">
        <v>40.64</v>
      </c>
      <c r="D120" s="4">
        <v>53.76</v>
      </c>
      <c r="E120" s="5">
        <v>71.8</v>
      </c>
      <c r="F120" s="6">
        <v>64.63</v>
      </c>
      <c r="G120" s="5">
        <v>72.64</v>
      </c>
      <c r="H120" s="4">
        <v>37.17</v>
      </c>
      <c r="I120" s="6">
        <v>65.430000000000007</v>
      </c>
      <c r="J120" s="6">
        <v>68.62</v>
      </c>
      <c r="K120" s="4">
        <v>44.12</v>
      </c>
      <c r="L120" s="6">
        <v>63.36</v>
      </c>
    </row>
    <row r="121" spans="1:12" ht="15" customHeight="1" x14ac:dyDescent="0.45">
      <c r="A121" s="3">
        <v>46071</v>
      </c>
      <c r="B121" s="4">
        <v>46.1</v>
      </c>
      <c r="C121" s="4">
        <v>43.51</v>
      </c>
      <c r="D121" s="4">
        <v>55.35</v>
      </c>
      <c r="E121" s="5">
        <v>70.52</v>
      </c>
      <c r="F121" s="6">
        <v>66.27</v>
      </c>
      <c r="G121" s="5">
        <v>70.44</v>
      </c>
      <c r="H121" s="4">
        <v>39.770000000000003</v>
      </c>
      <c r="I121" s="6">
        <v>68.3</v>
      </c>
      <c r="J121" s="6">
        <v>65.64</v>
      </c>
      <c r="K121" s="4">
        <v>41.06</v>
      </c>
      <c r="L121" s="6">
        <v>65.459999999999994</v>
      </c>
    </row>
    <row r="122" spans="1:12" ht="15" customHeight="1" x14ac:dyDescent="0.45">
      <c r="A122" s="3">
        <v>46070</v>
      </c>
      <c r="B122" s="4">
        <v>42.73</v>
      </c>
      <c r="C122" s="4">
        <v>40.03</v>
      </c>
      <c r="D122" s="4">
        <v>54.43</v>
      </c>
      <c r="E122" s="6">
        <v>66.959999999999994</v>
      </c>
      <c r="F122" s="6">
        <v>64.87</v>
      </c>
      <c r="G122" s="5">
        <v>70.599999999999994</v>
      </c>
      <c r="H122" s="4">
        <v>34.409999999999997</v>
      </c>
      <c r="I122" s="6">
        <v>69.52</v>
      </c>
      <c r="J122" s="5">
        <v>75.95</v>
      </c>
      <c r="K122" s="4">
        <v>40</v>
      </c>
      <c r="L122" s="5">
        <v>74.489999999999995</v>
      </c>
    </row>
    <row r="123" spans="1:12" ht="15" customHeight="1" x14ac:dyDescent="0.45">
      <c r="A123" s="3">
        <v>46066</v>
      </c>
      <c r="B123" s="4">
        <v>42.87</v>
      </c>
      <c r="C123" s="4">
        <v>34.76</v>
      </c>
      <c r="D123" s="4">
        <v>55.49</v>
      </c>
      <c r="E123" s="5">
        <v>71.650000000000006</v>
      </c>
      <c r="F123" s="6">
        <v>69.989999999999995</v>
      </c>
      <c r="G123" s="6">
        <v>69.09</v>
      </c>
      <c r="H123" s="4">
        <v>34.82</v>
      </c>
      <c r="I123" s="5">
        <v>80.5</v>
      </c>
      <c r="J123" s="5">
        <v>77.72</v>
      </c>
      <c r="K123" s="4">
        <v>40.64</v>
      </c>
      <c r="L123" s="5">
        <v>71.8</v>
      </c>
    </row>
    <row r="124" spans="1:12" ht="15" customHeight="1" x14ac:dyDescent="0.45">
      <c r="A124" s="3">
        <v>46065</v>
      </c>
      <c r="B124" s="4">
        <v>42.1</v>
      </c>
      <c r="C124" s="4">
        <v>34.96</v>
      </c>
      <c r="D124" s="4">
        <v>50.52</v>
      </c>
      <c r="E124" s="5">
        <v>70.459999999999994</v>
      </c>
      <c r="F124" s="6">
        <v>68.16</v>
      </c>
      <c r="G124" s="6">
        <v>66.62</v>
      </c>
      <c r="H124" s="4">
        <v>34.57</v>
      </c>
      <c r="I124" s="5">
        <v>79.83</v>
      </c>
      <c r="J124" s="5">
        <v>71.25</v>
      </c>
      <c r="K124" s="4">
        <v>40.840000000000003</v>
      </c>
      <c r="L124" s="6">
        <v>67.19</v>
      </c>
    </row>
    <row r="125" spans="1:12" ht="15" customHeight="1" x14ac:dyDescent="0.45">
      <c r="A125" s="3">
        <v>46064</v>
      </c>
      <c r="B125" s="4">
        <v>48.61</v>
      </c>
      <c r="C125" s="4">
        <v>40.92</v>
      </c>
      <c r="D125" s="4">
        <v>51.32</v>
      </c>
      <c r="E125" s="5">
        <v>78.72</v>
      </c>
      <c r="F125" s="5">
        <v>75.180000000000007</v>
      </c>
      <c r="G125" s="5">
        <v>74.81</v>
      </c>
      <c r="H125" s="4">
        <v>39.29</v>
      </c>
      <c r="I125" s="5">
        <v>77.900000000000006</v>
      </c>
      <c r="J125" s="6">
        <v>66.48</v>
      </c>
      <c r="K125" s="4">
        <v>48.73</v>
      </c>
      <c r="L125" s="6">
        <v>66.63</v>
      </c>
    </row>
    <row r="126" spans="1:12" ht="15" customHeight="1" x14ac:dyDescent="0.45">
      <c r="A126" s="3">
        <v>46063</v>
      </c>
      <c r="B126" s="4">
        <v>47.77</v>
      </c>
      <c r="C126" s="4">
        <v>46.61</v>
      </c>
      <c r="D126" s="4">
        <v>48.55</v>
      </c>
      <c r="E126" s="5">
        <v>74.900000000000006</v>
      </c>
      <c r="F126" s="5">
        <v>72.849999999999994</v>
      </c>
      <c r="G126" s="5">
        <v>73.459999999999994</v>
      </c>
      <c r="H126" s="4">
        <v>41.11</v>
      </c>
      <c r="I126" s="5">
        <v>74.400000000000006</v>
      </c>
      <c r="J126" s="6">
        <v>63.12</v>
      </c>
      <c r="K126" s="4">
        <v>52.49</v>
      </c>
      <c r="L126" s="6">
        <v>67.239999999999995</v>
      </c>
    </row>
    <row r="127" spans="1:12" ht="15" customHeight="1" x14ac:dyDescent="0.45">
      <c r="A127" s="3">
        <v>46062</v>
      </c>
      <c r="B127" s="4">
        <v>49.19</v>
      </c>
      <c r="C127" s="4">
        <v>49.7</v>
      </c>
      <c r="D127" s="4">
        <v>51.47</v>
      </c>
      <c r="E127" s="5">
        <v>75.430000000000007</v>
      </c>
      <c r="F127" s="5">
        <v>70.17</v>
      </c>
      <c r="G127" s="5">
        <v>73.16</v>
      </c>
      <c r="H127" s="4">
        <v>37.42</v>
      </c>
      <c r="I127" s="5">
        <v>76.930000000000007</v>
      </c>
      <c r="J127" s="4">
        <v>55.46</v>
      </c>
      <c r="K127" s="4">
        <v>49.47</v>
      </c>
      <c r="L127" s="6">
        <v>62.53</v>
      </c>
    </row>
    <row r="128" spans="1:12" ht="15" customHeight="1" x14ac:dyDescent="0.45">
      <c r="A128" s="3">
        <v>46059</v>
      </c>
      <c r="B128" s="4">
        <v>44.98</v>
      </c>
      <c r="C128" s="4">
        <v>52.34</v>
      </c>
      <c r="D128" s="4">
        <v>55.86</v>
      </c>
      <c r="E128" s="5">
        <v>74.319999999999993</v>
      </c>
      <c r="F128" s="6">
        <v>67.42</v>
      </c>
      <c r="G128" s="5">
        <v>72.44</v>
      </c>
      <c r="H128" s="4">
        <v>38.69</v>
      </c>
      <c r="I128" s="5">
        <v>81.64</v>
      </c>
      <c r="J128" s="4">
        <v>53.86</v>
      </c>
      <c r="K128" s="4">
        <v>44.2</v>
      </c>
      <c r="L128" s="6">
        <v>60.19</v>
      </c>
    </row>
    <row r="129" spans="1:12" ht="15" customHeight="1" x14ac:dyDescent="0.45">
      <c r="A129" s="3">
        <v>46058</v>
      </c>
      <c r="B129" s="4">
        <v>32.03</v>
      </c>
      <c r="C129" s="4">
        <v>43.95</v>
      </c>
      <c r="D129" s="4">
        <v>47.24</v>
      </c>
      <c r="E129" s="5">
        <v>71.06</v>
      </c>
      <c r="F129" s="6">
        <v>62.61</v>
      </c>
      <c r="G129" s="6">
        <v>64.2</v>
      </c>
      <c r="H129" s="4">
        <v>36.51</v>
      </c>
      <c r="I129" s="5">
        <v>79.290000000000006</v>
      </c>
      <c r="J129" s="4">
        <v>50.69</v>
      </c>
      <c r="K129" s="4">
        <v>45.99</v>
      </c>
      <c r="L129" s="4">
        <v>52.06</v>
      </c>
    </row>
    <row r="130" spans="1:12" ht="15" customHeight="1" x14ac:dyDescent="0.45">
      <c r="A130" s="3">
        <v>46057</v>
      </c>
      <c r="B130" s="4">
        <v>35.549999999999997</v>
      </c>
      <c r="C130" s="4">
        <v>49.55</v>
      </c>
      <c r="D130" s="4">
        <v>51.08</v>
      </c>
      <c r="E130" s="5">
        <v>76.430000000000007</v>
      </c>
      <c r="F130" s="5">
        <v>77.17</v>
      </c>
      <c r="G130" s="6">
        <v>68.209999999999994</v>
      </c>
      <c r="H130" s="4">
        <v>44.44</v>
      </c>
      <c r="I130" s="5">
        <v>79.94</v>
      </c>
      <c r="J130" s="4">
        <v>50.43</v>
      </c>
      <c r="K130" s="4">
        <v>48.38</v>
      </c>
      <c r="L130" s="4">
        <v>55.23</v>
      </c>
    </row>
    <row r="131" spans="1:12" ht="15" customHeight="1" x14ac:dyDescent="0.45">
      <c r="A131" s="3">
        <v>46056</v>
      </c>
      <c r="B131" s="4">
        <v>42.43</v>
      </c>
      <c r="C131" s="4">
        <v>45.41</v>
      </c>
      <c r="D131" s="4">
        <v>44.25</v>
      </c>
      <c r="E131" s="5">
        <v>72.87</v>
      </c>
      <c r="F131" s="5">
        <v>72</v>
      </c>
      <c r="G131" s="6">
        <v>67.38</v>
      </c>
      <c r="H131" s="4">
        <v>47.75</v>
      </c>
      <c r="I131" s="5">
        <v>77.14</v>
      </c>
      <c r="J131" s="4">
        <v>52.43</v>
      </c>
      <c r="K131" s="4">
        <v>52.39</v>
      </c>
      <c r="L131" s="4">
        <v>46.71</v>
      </c>
    </row>
    <row r="132" spans="1:12" ht="15" customHeight="1" x14ac:dyDescent="0.45">
      <c r="A132" s="3">
        <v>46055</v>
      </c>
      <c r="B132" s="4">
        <v>49.58</v>
      </c>
      <c r="C132" s="4">
        <v>49.82</v>
      </c>
      <c r="D132" s="4">
        <v>49.54</v>
      </c>
      <c r="E132" s="6">
        <v>66.260000000000005</v>
      </c>
      <c r="F132" s="6">
        <v>65.61</v>
      </c>
      <c r="G132" s="6">
        <v>64.680000000000007</v>
      </c>
      <c r="H132" s="4">
        <v>51.69</v>
      </c>
      <c r="I132" s="5">
        <v>72.84</v>
      </c>
      <c r="J132" s="4">
        <v>44.51</v>
      </c>
      <c r="K132" s="6">
        <v>62.25</v>
      </c>
      <c r="L132" s="4">
        <v>48.7</v>
      </c>
    </row>
    <row r="133" spans="1:12" ht="15" customHeight="1" x14ac:dyDescent="0.45">
      <c r="A133" s="3">
        <v>46052</v>
      </c>
      <c r="B133" s="4">
        <v>45.91</v>
      </c>
      <c r="C133" s="4">
        <v>43.84</v>
      </c>
      <c r="D133" s="4">
        <v>45.96</v>
      </c>
      <c r="E133" s="5">
        <v>77.010000000000005</v>
      </c>
      <c r="F133" s="6">
        <v>62.75</v>
      </c>
      <c r="G133" s="6">
        <v>60.13</v>
      </c>
      <c r="H133" s="4">
        <v>48.47</v>
      </c>
      <c r="I133" s="6">
        <v>68.92</v>
      </c>
      <c r="J133" s="4">
        <v>52.81</v>
      </c>
      <c r="K133" s="6">
        <v>64.650000000000006</v>
      </c>
      <c r="L133" s="4">
        <v>55.57</v>
      </c>
    </row>
    <row r="134" spans="1:12" ht="15" customHeight="1" x14ac:dyDescent="0.45">
      <c r="A134" s="3">
        <v>46051</v>
      </c>
      <c r="B134" s="4">
        <v>53.8</v>
      </c>
      <c r="C134" s="4">
        <v>44.76</v>
      </c>
      <c r="D134" s="4">
        <v>42.27</v>
      </c>
      <c r="E134" s="5">
        <v>74.97</v>
      </c>
      <c r="F134" s="5">
        <v>73.67</v>
      </c>
      <c r="G134" s="6">
        <v>61.61</v>
      </c>
      <c r="H134" s="4">
        <v>48.54</v>
      </c>
      <c r="I134" s="6">
        <v>61.78</v>
      </c>
      <c r="J134" s="4">
        <v>54</v>
      </c>
      <c r="K134" s="6">
        <v>63.73</v>
      </c>
      <c r="L134" s="4">
        <v>54.81</v>
      </c>
    </row>
    <row r="135" spans="1:12" ht="15" customHeight="1" x14ac:dyDescent="0.45">
      <c r="A135" s="3">
        <v>46050</v>
      </c>
      <c r="B135" s="6">
        <v>61.55</v>
      </c>
      <c r="C135" s="4">
        <v>38.65</v>
      </c>
      <c r="D135" s="4">
        <v>43.75</v>
      </c>
      <c r="E135" s="5">
        <v>73.09</v>
      </c>
      <c r="F135" s="5">
        <v>73.37</v>
      </c>
      <c r="G135" s="4">
        <v>57.64</v>
      </c>
      <c r="H135" s="4">
        <v>50.66</v>
      </c>
      <c r="I135" s="6">
        <v>63.65</v>
      </c>
      <c r="J135" s="4">
        <v>54</v>
      </c>
      <c r="K135" s="4">
        <v>51.46</v>
      </c>
      <c r="L135" s="4">
        <v>47.65</v>
      </c>
    </row>
    <row r="136" spans="1:12" ht="15" customHeight="1" x14ac:dyDescent="0.45">
      <c r="A136" s="3">
        <v>46049</v>
      </c>
      <c r="B136" s="4">
        <v>58.79</v>
      </c>
      <c r="C136" s="4">
        <v>38.72</v>
      </c>
      <c r="D136" s="4">
        <v>47.32</v>
      </c>
      <c r="E136" s="5">
        <v>71.44</v>
      </c>
      <c r="F136" s="5">
        <v>73.83</v>
      </c>
      <c r="G136" s="6">
        <v>60.76</v>
      </c>
      <c r="H136" s="4">
        <v>54.13</v>
      </c>
      <c r="I136" s="5">
        <v>72.69</v>
      </c>
      <c r="J136" s="4">
        <v>55.34</v>
      </c>
      <c r="K136" s="4">
        <v>52.27</v>
      </c>
      <c r="L136" s="4">
        <v>53.73</v>
      </c>
    </row>
    <row r="137" spans="1:12" ht="15" customHeight="1" x14ac:dyDescent="0.45">
      <c r="A137" s="3">
        <v>46048</v>
      </c>
      <c r="B137" s="4">
        <v>53.64</v>
      </c>
      <c r="C137" s="4">
        <v>41.63</v>
      </c>
      <c r="D137" s="4">
        <v>57.43</v>
      </c>
      <c r="E137" s="6">
        <v>69.37</v>
      </c>
      <c r="F137" s="5">
        <v>74.56</v>
      </c>
      <c r="G137" s="4">
        <v>59.25</v>
      </c>
      <c r="H137" s="4">
        <v>52.92</v>
      </c>
      <c r="I137" s="5">
        <v>70.95</v>
      </c>
      <c r="J137" s="4">
        <v>48.72</v>
      </c>
      <c r="K137" s="4">
        <v>57.12</v>
      </c>
      <c r="L137" s="4">
        <v>53.32</v>
      </c>
    </row>
    <row r="138" spans="1:12" ht="15" customHeight="1" x14ac:dyDescent="0.45">
      <c r="A138" s="3">
        <v>46045</v>
      </c>
      <c r="B138" s="4">
        <v>50.76</v>
      </c>
      <c r="C138" s="4">
        <v>38.04</v>
      </c>
      <c r="D138" s="4">
        <v>55.36</v>
      </c>
      <c r="E138" s="6">
        <v>69.23</v>
      </c>
      <c r="F138" s="5">
        <v>74.27</v>
      </c>
      <c r="G138" s="4">
        <v>58.9</v>
      </c>
      <c r="H138" s="4">
        <v>55.91</v>
      </c>
      <c r="I138" s="5">
        <v>72.41</v>
      </c>
      <c r="J138" s="4">
        <v>44.49</v>
      </c>
      <c r="K138" s="4">
        <v>53.38</v>
      </c>
      <c r="L138" s="4">
        <v>53.77</v>
      </c>
    </row>
    <row r="139" spans="1:12" ht="15" customHeight="1" x14ac:dyDescent="0.45">
      <c r="A139" s="3">
        <v>46044</v>
      </c>
      <c r="B139" s="4">
        <v>50.15</v>
      </c>
      <c r="C139" s="4">
        <v>43.44</v>
      </c>
      <c r="D139" s="4">
        <v>58.84</v>
      </c>
      <c r="E139" s="6">
        <v>67.989999999999995</v>
      </c>
      <c r="F139" s="5">
        <v>72.13</v>
      </c>
      <c r="G139" s="6">
        <v>62.87</v>
      </c>
      <c r="H139" s="4">
        <v>54.41</v>
      </c>
      <c r="I139" s="6">
        <v>69.55</v>
      </c>
      <c r="J139" s="4">
        <v>46.2</v>
      </c>
      <c r="K139" s="4">
        <v>49.82</v>
      </c>
      <c r="L139" s="4">
        <v>52.4</v>
      </c>
    </row>
    <row r="140" spans="1:12" ht="15" customHeight="1" x14ac:dyDescent="0.45">
      <c r="A140" s="3">
        <v>46043</v>
      </c>
      <c r="B140" s="4">
        <v>47.06</v>
      </c>
      <c r="C140" s="4">
        <v>39.68</v>
      </c>
      <c r="D140" s="4">
        <v>58.75</v>
      </c>
      <c r="E140" s="6">
        <v>67.28</v>
      </c>
      <c r="F140" s="5">
        <v>70.72</v>
      </c>
      <c r="G140" s="6">
        <v>65.62</v>
      </c>
      <c r="H140" s="4">
        <v>50.67</v>
      </c>
      <c r="I140" s="5">
        <v>71.38</v>
      </c>
      <c r="J140" s="4">
        <v>49.88</v>
      </c>
      <c r="K140" s="4">
        <v>40.15</v>
      </c>
      <c r="L140" s="4">
        <v>58.35</v>
      </c>
    </row>
    <row r="141" spans="1:12" ht="15" customHeight="1" x14ac:dyDescent="0.45">
      <c r="A141" s="3">
        <v>46042</v>
      </c>
      <c r="B141" s="4">
        <v>40.770000000000003</v>
      </c>
      <c r="C141" s="4">
        <v>36.78</v>
      </c>
      <c r="D141" s="4">
        <v>48.97</v>
      </c>
      <c r="E141" s="6">
        <v>61.66</v>
      </c>
      <c r="F141" s="6">
        <v>64.47</v>
      </c>
      <c r="G141" s="6">
        <v>60.31</v>
      </c>
      <c r="H141" s="4">
        <v>42.49</v>
      </c>
      <c r="I141" s="5">
        <v>71.040000000000006</v>
      </c>
      <c r="J141" s="4">
        <v>49.15</v>
      </c>
      <c r="K141" s="4">
        <v>31.35</v>
      </c>
      <c r="L141" s="4">
        <v>56.68</v>
      </c>
    </row>
    <row r="142" spans="1:12" ht="15" customHeight="1" x14ac:dyDescent="0.45">
      <c r="A142" s="3">
        <v>46041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5" customHeight="1" x14ac:dyDescent="0.45">
      <c r="A143" s="3">
        <v>46038</v>
      </c>
      <c r="B143" s="4">
        <v>51.72</v>
      </c>
      <c r="C143" s="4">
        <v>46.73</v>
      </c>
      <c r="D143" s="4">
        <v>50.29</v>
      </c>
      <c r="E143" s="6">
        <v>62.44</v>
      </c>
      <c r="F143" s="5">
        <v>71.05</v>
      </c>
      <c r="G143" s="5">
        <v>72.75</v>
      </c>
      <c r="H143" s="4">
        <v>54.11</v>
      </c>
      <c r="I143" s="5">
        <v>70.040000000000006</v>
      </c>
      <c r="J143" s="4">
        <v>54.42</v>
      </c>
      <c r="K143" s="4">
        <v>39.19</v>
      </c>
      <c r="L143" s="5">
        <v>70.959999999999994</v>
      </c>
    </row>
    <row r="144" spans="1:12" ht="15" customHeight="1" x14ac:dyDescent="0.45">
      <c r="A144" s="3">
        <v>46037</v>
      </c>
      <c r="B144" s="4">
        <v>51.2</v>
      </c>
      <c r="C144" s="4">
        <v>45.97</v>
      </c>
      <c r="D144" s="4">
        <v>55.23</v>
      </c>
      <c r="E144" s="6">
        <v>62.04</v>
      </c>
      <c r="F144" s="5">
        <v>75.11</v>
      </c>
      <c r="G144" s="5">
        <v>70.89</v>
      </c>
      <c r="H144" s="4">
        <v>55.89</v>
      </c>
      <c r="I144" s="5">
        <v>72.47</v>
      </c>
      <c r="J144" s="4">
        <v>57.34</v>
      </c>
      <c r="K144" s="4">
        <v>45.68</v>
      </c>
      <c r="L144" s="6">
        <v>65.94</v>
      </c>
    </row>
    <row r="145" spans="1:12" ht="15" customHeight="1" x14ac:dyDescent="0.45">
      <c r="A145" s="3">
        <v>46036</v>
      </c>
      <c r="B145" s="4">
        <v>48.79</v>
      </c>
      <c r="C145" s="4">
        <v>43.6</v>
      </c>
      <c r="D145" s="4">
        <v>59.22</v>
      </c>
      <c r="E145" s="6">
        <v>65.66</v>
      </c>
      <c r="F145" s="5">
        <v>74.08</v>
      </c>
      <c r="G145" s="6">
        <v>68.19</v>
      </c>
      <c r="H145" s="4">
        <v>54.32</v>
      </c>
      <c r="I145" s="5">
        <v>71.989999999999995</v>
      </c>
      <c r="J145" s="4">
        <v>52.62</v>
      </c>
      <c r="K145" s="4">
        <v>48.79</v>
      </c>
      <c r="L145" s="6">
        <v>62.26</v>
      </c>
    </row>
    <row r="146" spans="1:12" ht="15" customHeight="1" x14ac:dyDescent="0.45">
      <c r="A146" s="3">
        <v>46035</v>
      </c>
      <c r="B146" s="4">
        <v>54.66</v>
      </c>
      <c r="C146" s="4">
        <v>44.25</v>
      </c>
      <c r="D146" s="4">
        <v>55.51</v>
      </c>
      <c r="E146" s="6">
        <v>60.64</v>
      </c>
      <c r="F146" s="5">
        <v>73.98</v>
      </c>
      <c r="G146" s="6">
        <v>67.709999999999994</v>
      </c>
      <c r="H146" s="6">
        <v>63.49</v>
      </c>
      <c r="I146" s="6">
        <v>67.739999999999995</v>
      </c>
      <c r="J146" s="4">
        <v>48.8</v>
      </c>
      <c r="K146" s="4">
        <v>50.64</v>
      </c>
      <c r="L146" s="4">
        <v>55.67</v>
      </c>
    </row>
    <row r="147" spans="1:12" ht="15" customHeight="1" x14ac:dyDescent="0.45">
      <c r="A147" s="3">
        <v>46034</v>
      </c>
      <c r="B147" s="4">
        <v>55.74</v>
      </c>
      <c r="C147" s="4">
        <v>54.29</v>
      </c>
      <c r="D147" s="4">
        <v>58.33</v>
      </c>
      <c r="E147" s="4">
        <v>57</v>
      </c>
      <c r="F147" s="5">
        <v>73.010000000000005</v>
      </c>
      <c r="G147" s="6">
        <v>66.17</v>
      </c>
      <c r="H147" s="6">
        <v>65.099999999999994</v>
      </c>
      <c r="I147" s="6">
        <v>63.47</v>
      </c>
      <c r="J147" s="4">
        <v>45.34</v>
      </c>
      <c r="K147" s="4">
        <v>55.86</v>
      </c>
      <c r="L147" s="4">
        <v>50.23</v>
      </c>
    </row>
    <row r="148" spans="1:12" ht="15" customHeight="1" x14ac:dyDescent="0.45">
      <c r="A148" s="3">
        <v>46031</v>
      </c>
      <c r="B148" s="4">
        <v>53.99</v>
      </c>
      <c r="C148" s="4">
        <v>59.5</v>
      </c>
      <c r="D148" s="4">
        <v>58.11</v>
      </c>
      <c r="E148" s="4">
        <v>59.56</v>
      </c>
      <c r="F148" s="5">
        <v>71.81</v>
      </c>
      <c r="G148" s="6">
        <v>63.82</v>
      </c>
      <c r="H148" s="6">
        <v>64.81</v>
      </c>
      <c r="I148" s="4">
        <v>58.35</v>
      </c>
      <c r="J148" s="4">
        <v>44.44</v>
      </c>
      <c r="K148" s="4">
        <v>58.93</v>
      </c>
      <c r="L148" s="4">
        <v>47.93</v>
      </c>
    </row>
    <row r="149" spans="1:12" ht="15" customHeight="1" x14ac:dyDescent="0.45">
      <c r="A149" s="3">
        <v>46030</v>
      </c>
      <c r="B149" s="4">
        <v>48.34</v>
      </c>
      <c r="C149" s="6">
        <v>61.61</v>
      </c>
      <c r="D149" s="6">
        <v>61.54</v>
      </c>
      <c r="E149" s="4">
        <v>58.93</v>
      </c>
      <c r="F149" s="6">
        <v>67.91</v>
      </c>
      <c r="G149" s="6">
        <v>60.17</v>
      </c>
      <c r="H149" s="6">
        <v>60.63</v>
      </c>
      <c r="I149" s="4">
        <v>53.02</v>
      </c>
      <c r="J149" s="4">
        <v>37.29</v>
      </c>
      <c r="K149" s="4">
        <v>56.26</v>
      </c>
      <c r="L149" s="4">
        <v>46.79</v>
      </c>
    </row>
    <row r="150" spans="1:12" ht="15" customHeight="1" x14ac:dyDescent="0.45">
      <c r="A150" s="3">
        <v>46029</v>
      </c>
      <c r="B150" s="4">
        <v>56.01</v>
      </c>
      <c r="C150" s="4">
        <v>59.32</v>
      </c>
      <c r="D150" s="6">
        <v>68.69</v>
      </c>
      <c r="E150" s="4">
        <v>50.59</v>
      </c>
      <c r="F150" s="6">
        <v>62.74</v>
      </c>
      <c r="G150" s="4">
        <v>57.45</v>
      </c>
      <c r="H150" s="4">
        <v>53.69</v>
      </c>
      <c r="I150" s="4">
        <v>35.93</v>
      </c>
      <c r="J150" s="4">
        <v>35.520000000000003</v>
      </c>
      <c r="K150" s="4">
        <v>53.73</v>
      </c>
      <c r="L150" s="4">
        <v>40.76</v>
      </c>
    </row>
    <row r="151" spans="1:12" ht="15" customHeight="1" x14ac:dyDescent="0.45">
      <c r="A151" s="3">
        <v>46028</v>
      </c>
      <c r="B151" s="4">
        <v>56.44</v>
      </c>
      <c r="C151" s="6">
        <v>69.89</v>
      </c>
      <c r="D151" s="6">
        <v>64.819999999999993</v>
      </c>
      <c r="E151" s="4">
        <v>54.27</v>
      </c>
      <c r="F151" s="5">
        <v>73.760000000000005</v>
      </c>
      <c r="G151" s="6">
        <v>68.48</v>
      </c>
      <c r="H151" s="4">
        <v>54.44</v>
      </c>
      <c r="I151" s="4">
        <v>42.66</v>
      </c>
      <c r="J151" s="4">
        <v>46.01</v>
      </c>
      <c r="K151" s="4">
        <v>55.57</v>
      </c>
      <c r="L151" s="4">
        <v>50.72</v>
      </c>
    </row>
    <row r="152" spans="1:12" ht="15" customHeight="1" x14ac:dyDescent="0.45">
      <c r="A152" s="3">
        <v>46027</v>
      </c>
      <c r="B152" s="4">
        <v>50.38</v>
      </c>
      <c r="C152" s="6">
        <v>68.08</v>
      </c>
      <c r="D152" s="4">
        <v>54.72</v>
      </c>
      <c r="E152" s="6">
        <v>65.02</v>
      </c>
      <c r="F152" s="6">
        <v>67.88</v>
      </c>
      <c r="G152" s="6">
        <v>63.9</v>
      </c>
      <c r="H152" s="4">
        <v>51.6</v>
      </c>
      <c r="I152" s="4">
        <v>41.21</v>
      </c>
      <c r="J152" s="4">
        <v>42.84</v>
      </c>
      <c r="K152" s="4">
        <v>58.84</v>
      </c>
      <c r="L152" s="4">
        <v>44.67</v>
      </c>
    </row>
    <row r="153" spans="1:12" ht="15" customHeight="1" x14ac:dyDescent="0.45">
      <c r="A153" s="3">
        <v>46024</v>
      </c>
      <c r="B153" s="4">
        <v>49.34</v>
      </c>
      <c r="C153" s="4">
        <v>57.6</v>
      </c>
      <c r="D153" s="4">
        <v>57.06</v>
      </c>
      <c r="E153" s="4">
        <v>57.21</v>
      </c>
      <c r="F153" s="6">
        <v>64.16</v>
      </c>
      <c r="G153" s="4">
        <v>59.15</v>
      </c>
      <c r="H153" s="4">
        <v>43.29</v>
      </c>
      <c r="I153" s="4">
        <v>44.14</v>
      </c>
      <c r="J153" s="4">
        <v>48.93</v>
      </c>
      <c r="K153" s="4">
        <v>53.72</v>
      </c>
      <c r="L153" s="4">
        <v>43.48</v>
      </c>
    </row>
    <row r="154" spans="1:12" ht="15" customHeight="1" x14ac:dyDescent="0.45">
      <c r="A154" s="3">
        <v>46022</v>
      </c>
      <c r="B154" s="4">
        <v>48.31</v>
      </c>
      <c r="C154" s="4">
        <v>55.8</v>
      </c>
      <c r="D154" s="4">
        <v>54.32</v>
      </c>
      <c r="E154" s="4">
        <v>49.23</v>
      </c>
      <c r="F154" s="4">
        <v>56.27</v>
      </c>
      <c r="G154" s="4">
        <v>49.76</v>
      </c>
      <c r="H154" s="4">
        <v>47.4</v>
      </c>
      <c r="I154" s="4">
        <v>44.03</v>
      </c>
      <c r="J154" s="4">
        <v>40.98</v>
      </c>
      <c r="K154" s="6">
        <v>60.45</v>
      </c>
      <c r="L154" s="4">
        <v>42.79</v>
      </c>
    </row>
    <row r="155" spans="1:12" ht="15" customHeight="1" x14ac:dyDescent="0.45">
      <c r="A155" s="3">
        <v>46021</v>
      </c>
      <c r="B155" s="4">
        <v>52.65</v>
      </c>
      <c r="C155" s="6">
        <v>62.06</v>
      </c>
      <c r="D155" s="4">
        <v>58.63</v>
      </c>
      <c r="E155" s="4">
        <v>51.6</v>
      </c>
      <c r="F155" s="6">
        <v>62.58</v>
      </c>
      <c r="G155" s="4">
        <v>55.11</v>
      </c>
      <c r="H155" s="4">
        <v>51.47</v>
      </c>
      <c r="I155" s="4">
        <v>48.1</v>
      </c>
      <c r="J155" s="4">
        <v>44.53</v>
      </c>
      <c r="K155" s="6">
        <v>65.78</v>
      </c>
      <c r="L155" s="4">
        <v>49.71</v>
      </c>
    </row>
    <row r="156" spans="1:12" ht="15" customHeight="1" x14ac:dyDescent="0.45">
      <c r="A156" s="3">
        <v>46020</v>
      </c>
      <c r="B156" s="4">
        <v>54.09</v>
      </c>
      <c r="C156" s="6">
        <v>64.349999999999994</v>
      </c>
      <c r="D156" s="4">
        <v>59.28</v>
      </c>
      <c r="E156" s="4">
        <v>48.46</v>
      </c>
      <c r="F156" s="6">
        <v>62.75</v>
      </c>
      <c r="G156" s="4">
        <v>57.08</v>
      </c>
      <c r="H156" s="4">
        <v>53.67</v>
      </c>
      <c r="I156" s="4">
        <v>49.28</v>
      </c>
      <c r="J156" s="4">
        <v>42.82</v>
      </c>
      <c r="K156" s="6">
        <v>63.69</v>
      </c>
      <c r="L156" s="4">
        <v>47.8</v>
      </c>
    </row>
    <row r="157" spans="1:12" ht="15" customHeight="1" x14ac:dyDescent="0.45">
      <c r="A157" s="3">
        <v>46017</v>
      </c>
      <c r="B157" s="4">
        <v>56.14</v>
      </c>
      <c r="C157" s="6">
        <v>69.45</v>
      </c>
      <c r="D157" s="6">
        <v>60.42</v>
      </c>
      <c r="E157" s="4">
        <v>44.31</v>
      </c>
      <c r="F157" s="6">
        <v>69.3</v>
      </c>
      <c r="G157" s="4">
        <v>58.55</v>
      </c>
      <c r="H157" s="4">
        <v>59.46</v>
      </c>
      <c r="I157" s="4">
        <v>48.83</v>
      </c>
      <c r="J157" s="4">
        <v>41.49</v>
      </c>
      <c r="K157" s="6">
        <v>64.42</v>
      </c>
      <c r="L157" s="4">
        <v>45.46</v>
      </c>
    </row>
    <row r="158" spans="1:12" ht="15" customHeight="1" x14ac:dyDescent="0.45">
      <c r="A158" s="3">
        <v>46015</v>
      </c>
      <c r="B158" s="4">
        <v>55.59</v>
      </c>
      <c r="C158" s="5">
        <v>71.37</v>
      </c>
      <c r="D158" s="4">
        <v>59.67</v>
      </c>
      <c r="E158" s="4">
        <v>45.69</v>
      </c>
      <c r="F158" s="6">
        <v>66.959999999999994</v>
      </c>
      <c r="G158" s="4">
        <v>59.77</v>
      </c>
      <c r="H158" s="6">
        <v>62.27</v>
      </c>
      <c r="I158" s="4">
        <v>47.9</v>
      </c>
      <c r="J158" s="4">
        <v>41.83</v>
      </c>
      <c r="K158" s="6">
        <v>65.459999999999994</v>
      </c>
      <c r="L158" s="4">
        <v>43.75</v>
      </c>
    </row>
    <row r="159" spans="1:12" ht="15" customHeight="1" x14ac:dyDescent="0.45">
      <c r="A159" s="3">
        <v>46014</v>
      </c>
      <c r="B159" s="4">
        <v>54.8</v>
      </c>
      <c r="C159" s="6">
        <v>69.209999999999994</v>
      </c>
      <c r="D159" s="4">
        <v>57.23</v>
      </c>
      <c r="E159" s="4">
        <v>46.73</v>
      </c>
      <c r="F159" s="6">
        <v>66.17</v>
      </c>
      <c r="G159" s="4">
        <v>58.36</v>
      </c>
      <c r="H159" s="6">
        <v>60.94</v>
      </c>
      <c r="I159" s="4">
        <v>42.49</v>
      </c>
      <c r="J159" s="4">
        <v>38.89</v>
      </c>
      <c r="K159" s="6">
        <v>62.15</v>
      </c>
      <c r="L159" s="4">
        <v>37.869999999999997</v>
      </c>
    </row>
    <row r="160" spans="1:12" ht="15" customHeight="1" x14ac:dyDescent="0.45">
      <c r="A160" s="3">
        <v>46013</v>
      </c>
      <c r="B160" s="4">
        <v>53.05</v>
      </c>
      <c r="C160" s="6">
        <v>68.400000000000006</v>
      </c>
      <c r="D160" s="4">
        <v>58.49</v>
      </c>
      <c r="E160" s="4">
        <v>44.1</v>
      </c>
      <c r="F160" s="6">
        <v>65.48</v>
      </c>
      <c r="G160" s="4">
        <v>58.58</v>
      </c>
      <c r="H160" s="6">
        <v>61.76</v>
      </c>
      <c r="I160" s="4">
        <v>45.13</v>
      </c>
      <c r="J160" s="4">
        <v>36.54</v>
      </c>
      <c r="K160" s="4">
        <v>58.26</v>
      </c>
      <c r="L160" s="4">
        <v>38.020000000000003</v>
      </c>
    </row>
    <row r="161" spans="1:12" ht="15" customHeight="1" x14ac:dyDescent="0.45">
      <c r="A161" s="3">
        <v>46010</v>
      </c>
      <c r="B161" s="4">
        <v>51.82</v>
      </c>
      <c r="C161" s="6">
        <v>64.62</v>
      </c>
      <c r="D161" s="4">
        <v>57.48</v>
      </c>
      <c r="E161" s="4">
        <v>43.39</v>
      </c>
      <c r="F161" s="6">
        <v>62.85</v>
      </c>
      <c r="G161" s="4">
        <v>55.41</v>
      </c>
      <c r="H161" s="6">
        <v>60.33</v>
      </c>
      <c r="I161" s="4">
        <v>52.49</v>
      </c>
      <c r="J161" s="4">
        <v>37.979999999999997</v>
      </c>
      <c r="K161" s="4">
        <v>57.49</v>
      </c>
      <c r="L161" s="4">
        <v>39.96</v>
      </c>
    </row>
    <row r="162" spans="1:12" ht="15" customHeight="1" x14ac:dyDescent="0.45">
      <c r="A162" s="3">
        <v>46009</v>
      </c>
      <c r="B162" s="4">
        <v>44.43</v>
      </c>
      <c r="C162" s="6">
        <v>61.97</v>
      </c>
      <c r="D162" s="4">
        <v>54.55</v>
      </c>
      <c r="E162" s="4">
        <v>43.39</v>
      </c>
      <c r="F162" s="6">
        <v>61.02</v>
      </c>
      <c r="G162" s="4">
        <v>51.57</v>
      </c>
      <c r="H162" s="6">
        <v>62.5</v>
      </c>
      <c r="I162" s="4">
        <v>56.37</v>
      </c>
      <c r="J162" s="4">
        <v>43.49</v>
      </c>
      <c r="K162" s="4">
        <v>57.22</v>
      </c>
      <c r="L162" s="4">
        <v>42.1</v>
      </c>
    </row>
    <row r="163" spans="1:12" ht="15" customHeight="1" x14ac:dyDescent="0.45">
      <c r="A163" s="3">
        <v>46008</v>
      </c>
      <c r="B163" s="4">
        <v>38.25</v>
      </c>
      <c r="C163" s="6">
        <v>63.29</v>
      </c>
      <c r="D163" s="4">
        <v>54.21</v>
      </c>
      <c r="E163" s="4">
        <v>47.66</v>
      </c>
      <c r="F163" s="6">
        <v>61.3</v>
      </c>
      <c r="G163" s="4">
        <v>48.46</v>
      </c>
      <c r="H163" s="4">
        <v>57.2</v>
      </c>
      <c r="I163" s="6">
        <v>61.09</v>
      </c>
      <c r="J163" s="4">
        <v>37.020000000000003</v>
      </c>
      <c r="K163" s="4">
        <v>53.7</v>
      </c>
      <c r="L163" s="4">
        <v>45.91</v>
      </c>
    </row>
    <row r="164" spans="1:12" ht="15" customHeight="1" x14ac:dyDescent="0.45">
      <c r="A164" s="3">
        <v>46007</v>
      </c>
      <c r="B164" s="4">
        <v>45.11</v>
      </c>
      <c r="C164" s="6">
        <v>63.43</v>
      </c>
      <c r="D164" s="4">
        <v>55.1</v>
      </c>
      <c r="E164" s="4">
        <v>39.4</v>
      </c>
      <c r="F164" s="4">
        <v>59.66</v>
      </c>
      <c r="G164" s="4">
        <v>57.05</v>
      </c>
      <c r="H164" s="6">
        <v>63.67</v>
      </c>
      <c r="I164" s="4">
        <v>58.49</v>
      </c>
      <c r="J164" s="4">
        <v>39.840000000000003</v>
      </c>
      <c r="K164" s="4">
        <v>59.49</v>
      </c>
      <c r="L164" s="4">
        <v>42.43</v>
      </c>
    </row>
    <row r="165" spans="1:12" ht="15" customHeight="1" x14ac:dyDescent="0.45">
      <c r="A165" s="3">
        <v>46006</v>
      </c>
      <c r="B165" s="4">
        <v>44.35</v>
      </c>
      <c r="C165" s="6">
        <v>68.3</v>
      </c>
      <c r="D165" s="6">
        <v>62.01</v>
      </c>
      <c r="E165" s="4">
        <v>49.77</v>
      </c>
      <c r="F165" s="6">
        <v>61.18</v>
      </c>
      <c r="G165" s="6">
        <v>60.72</v>
      </c>
      <c r="H165" s="6">
        <v>63.12</v>
      </c>
      <c r="I165" s="6">
        <v>62.24</v>
      </c>
      <c r="J165" s="4">
        <v>41.74</v>
      </c>
      <c r="K165" s="4">
        <v>59.1</v>
      </c>
      <c r="L165" s="4">
        <v>48.19</v>
      </c>
    </row>
    <row r="166" spans="1:12" ht="15" customHeight="1" x14ac:dyDescent="0.45">
      <c r="A166" s="3">
        <v>46003</v>
      </c>
      <c r="B166" s="4">
        <v>47.63</v>
      </c>
      <c r="C166" s="6">
        <v>68.040000000000006</v>
      </c>
      <c r="D166" s="4">
        <v>56.98</v>
      </c>
      <c r="E166" s="4">
        <v>52.76</v>
      </c>
      <c r="F166" s="6">
        <v>61.54</v>
      </c>
      <c r="G166" s="6">
        <v>60.08</v>
      </c>
      <c r="H166" s="6">
        <v>60.24</v>
      </c>
      <c r="I166" s="6">
        <v>60.82</v>
      </c>
      <c r="J166" s="4">
        <v>35.56</v>
      </c>
      <c r="K166" s="4">
        <v>59.01</v>
      </c>
      <c r="L166" s="4">
        <v>45.12</v>
      </c>
    </row>
    <row r="167" spans="1:12" ht="15" customHeight="1" x14ac:dyDescent="0.45">
      <c r="A167" s="3">
        <v>46002</v>
      </c>
      <c r="B167" s="6">
        <v>60.4</v>
      </c>
      <c r="C167" s="6">
        <v>67.55</v>
      </c>
      <c r="D167" s="4">
        <v>55.7</v>
      </c>
      <c r="E167" s="4">
        <v>57.26</v>
      </c>
      <c r="F167" s="6">
        <v>61.33</v>
      </c>
      <c r="G167" s="6">
        <v>63.92</v>
      </c>
      <c r="H167" s="4">
        <v>58.73</v>
      </c>
      <c r="I167" s="4">
        <v>56.53</v>
      </c>
      <c r="J167" s="4">
        <v>37.549999999999997</v>
      </c>
      <c r="K167" s="6">
        <v>60.65</v>
      </c>
      <c r="L167" s="4">
        <v>45.91</v>
      </c>
    </row>
    <row r="168" spans="1:12" ht="15" customHeight="1" x14ac:dyDescent="0.45">
      <c r="A168" s="3">
        <v>46001</v>
      </c>
      <c r="B168" s="6">
        <v>63.19</v>
      </c>
      <c r="C168" s="6">
        <v>60.6</v>
      </c>
      <c r="D168" s="4">
        <v>51.68</v>
      </c>
      <c r="E168" s="4">
        <v>59.56</v>
      </c>
      <c r="F168" s="4">
        <v>54.43</v>
      </c>
      <c r="G168" s="4">
        <v>59.91</v>
      </c>
      <c r="H168" s="4">
        <v>57.37</v>
      </c>
      <c r="I168" s="4">
        <v>51.96</v>
      </c>
      <c r="J168" s="4">
        <v>32.35</v>
      </c>
      <c r="K168" s="6">
        <v>62.25</v>
      </c>
      <c r="L168" s="4">
        <v>41.73</v>
      </c>
    </row>
    <row r="169" spans="1:12" ht="15" customHeight="1" x14ac:dyDescent="0.45">
      <c r="A169" s="3">
        <v>46000</v>
      </c>
      <c r="B169" s="6">
        <v>61.66</v>
      </c>
      <c r="C169" s="4">
        <v>55.03</v>
      </c>
      <c r="D169" s="4">
        <v>44.64</v>
      </c>
      <c r="E169" s="4">
        <v>55.97</v>
      </c>
      <c r="F169" s="4">
        <v>45.74</v>
      </c>
      <c r="G169" s="4">
        <v>51.51</v>
      </c>
      <c r="H169" s="4">
        <v>51.97</v>
      </c>
      <c r="I169" s="4">
        <v>50.02</v>
      </c>
      <c r="J169" s="4">
        <v>32.51</v>
      </c>
      <c r="K169" s="4">
        <v>59.66</v>
      </c>
      <c r="L169" s="4">
        <v>40.17</v>
      </c>
    </row>
    <row r="170" spans="1:12" ht="15" customHeight="1" x14ac:dyDescent="0.45">
      <c r="A170" s="3">
        <v>45999</v>
      </c>
      <c r="B170" s="6">
        <v>60.82</v>
      </c>
      <c r="C170" s="4">
        <v>57.5</v>
      </c>
      <c r="D170" s="4">
        <v>49.13</v>
      </c>
      <c r="E170" s="4">
        <v>53.75</v>
      </c>
      <c r="F170" s="4">
        <v>46.62</v>
      </c>
      <c r="G170" s="4">
        <v>55.9</v>
      </c>
      <c r="H170" s="4">
        <v>52</v>
      </c>
      <c r="I170" s="4">
        <v>48.52</v>
      </c>
      <c r="J170" s="4">
        <v>32.04</v>
      </c>
      <c r="K170" s="4">
        <v>59.16</v>
      </c>
      <c r="L170" s="4">
        <v>43.41</v>
      </c>
    </row>
    <row r="171" spans="1:12" ht="15" customHeight="1" x14ac:dyDescent="0.45">
      <c r="A171" s="3">
        <v>45996</v>
      </c>
      <c r="B171" s="4">
        <v>58.61</v>
      </c>
      <c r="C171" s="6">
        <v>60.01</v>
      </c>
      <c r="D171" s="4">
        <v>55.58</v>
      </c>
      <c r="E171" s="4">
        <v>58.66</v>
      </c>
      <c r="F171" s="4">
        <v>52.98</v>
      </c>
      <c r="G171" s="4">
        <v>56.65</v>
      </c>
      <c r="H171" s="4">
        <v>58.44</v>
      </c>
      <c r="I171" s="4">
        <v>53.97</v>
      </c>
      <c r="J171" s="4">
        <v>36.67</v>
      </c>
      <c r="K171" s="6">
        <v>64.08</v>
      </c>
      <c r="L171" s="4">
        <v>47.08</v>
      </c>
    </row>
    <row r="172" spans="1:12" ht="15" customHeight="1" x14ac:dyDescent="0.45">
      <c r="A172" s="3">
        <v>45995</v>
      </c>
      <c r="B172" s="4">
        <v>56.24</v>
      </c>
      <c r="C172" s="4">
        <v>59.85</v>
      </c>
      <c r="D172" s="4">
        <v>58.06</v>
      </c>
      <c r="E172" s="6">
        <v>60.61</v>
      </c>
      <c r="F172" s="4">
        <v>54.63</v>
      </c>
      <c r="G172" s="4">
        <v>58.3</v>
      </c>
      <c r="H172" s="4">
        <v>56.54</v>
      </c>
      <c r="I172" s="4">
        <v>53.9</v>
      </c>
      <c r="J172" s="4">
        <v>40.51</v>
      </c>
      <c r="K172" s="4">
        <v>59.23</v>
      </c>
      <c r="L172" s="4">
        <v>47.22</v>
      </c>
    </row>
    <row r="173" spans="1:12" ht="15" customHeight="1" x14ac:dyDescent="0.45">
      <c r="A173" s="3">
        <v>45994</v>
      </c>
      <c r="B173" s="4">
        <v>55.03</v>
      </c>
      <c r="C173" s="4">
        <v>58.99</v>
      </c>
      <c r="D173" s="6">
        <v>62.85</v>
      </c>
      <c r="E173" s="4">
        <v>59.32</v>
      </c>
      <c r="F173" s="4">
        <v>57.61</v>
      </c>
      <c r="G173" s="4">
        <v>56.09</v>
      </c>
      <c r="H173" s="4">
        <v>58.13</v>
      </c>
      <c r="I173" s="4">
        <v>57.14</v>
      </c>
      <c r="J173" s="4">
        <v>41.39</v>
      </c>
      <c r="K173" s="4">
        <v>56.55</v>
      </c>
      <c r="L173" s="4">
        <v>48.21</v>
      </c>
    </row>
    <row r="174" spans="1:12" ht="15" customHeight="1" x14ac:dyDescent="0.45">
      <c r="A174" s="3">
        <v>45993</v>
      </c>
      <c r="B174" s="4">
        <v>54.27</v>
      </c>
      <c r="C174" s="4">
        <v>53.03</v>
      </c>
      <c r="D174" s="6">
        <v>61.03</v>
      </c>
      <c r="E174" s="4">
        <v>53.14</v>
      </c>
      <c r="F174" s="4">
        <v>54.88</v>
      </c>
      <c r="G174" s="4">
        <v>51.79</v>
      </c>
      <c r="H174" s="4">
        <v>54.58</v>
      </c>
      <c r="I174" s="4">
        <v>56.76</v>
      </c>
      <c r="J174" s="4">
        <v>42.74</v>
      </c>
      <c r="K174" s="4">
        <v>57.07</v>
      </c>
      <c r="L174" s="4">
        <v>47.04</v>
      </c>
    </row>
    <row r="175" spans="1:12" ht="15" customHeight="1" x14ac:dyDescent="0.45">
      <c r="A175" s="3">
        <v>45992</v>
      </c>
      <c r="B175" s="4">
        <v>51.02</v>
      </c>
      <c r="C175" s="4">
        <v>53.54</v>
      </c>
      <c r="D175" s="6">
        <v>64.849999999999994</v>
      </c>
      <c r="E175" s="4">
        <v>58.95</v>
      </c>
      <c r="F175" s="4">
        <v>59.53</v>
      </c>
      <c r="G175" s="4">
        <v>47.44</v>
      </c>
      <c r="H175" s="4">
        <v>54.85</v>
      </c>
      <c r="I175" s="6">
        <v>61.14</v>
      </c>
      <c r="J175" s="4">
        <v>45.85</v>
      </c>
      <c r="K175" s="4">
        <v>55.61</v>
      </c>
      <c r="L175" s="4">
        <v>48.31</v>
      </c>
    </row>
    <row r="176" spans="1:12" ht="15" customHeight="1" x14ac:dyDescent="0.45">
      <c r="A176" s="3">
        <v>45989</v>
      </c>
      <c r="B176" s="4">
        <v>50.88</v>
      </c>
      <c r="C176" s="4">
        <v>58.1</v>
      </c>
      <c r="D176" s="5">
        <v>76.069999999999993</v>
      </c>
      <c r="E176" s="4">
        <v>55.63</v>
      </c>
      <c r="F176" s="6">
        <v>60.83</v>
      </c>
      <c r="G176" s="4">
        <v>55.35</v>
      </c>
      <c r="H176" s="4">
        <v>54.67</v>
      </c>
      <c r="I176" s="6">
        <v>61.82</v>
      </c>
      <c r="J176" s="4">
        <v>59.39</v>
      </c>
      <c r="K176" s="4">
        <v>58.23</v>
      </c>
      <c r="L176" s="4">
        <v>56.53</v>
      </c>
    </row>
    <row r="177" spans="1:12" ht="15" customHeight="1" x14ac:dyDescent="0.45">
      <c r="A177" s="3">
        <v>45988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5" customHeight="1" x14ac:dyDescent="0.45">
      <c r="A178" s="3">
        <v>45987</v>
      </c>
      <c r="B178" s="4">
        <v>48.25</v>
      </c>
      <c r="C178" s="4">
        <v>55.03</v>
      </c>
      <c r="D178" s="5">
        <v>80.27</v>
      </c>
      <c r="E178" s="4">
        <v>50.65</v>
      </c>
      <c r="F178" s="4">
        <v>58.9</v>
      </c>
      <c r="G178" s="4">
        <v>52.44</v>
      </c>
      <c r="H178" s="4">
        <v>52.83</v>
      </c>
      <c r="I178" s="4">
        <v>59.4</v>
      </c>
      <c r="J178" s="4">
        <v>55.73</v>
      </c>
      <c r="K178" s="4">
        <v>54.83</v>
      </c>
      <c r="L178" s="4">
        <v>54.02</v>
      </c>
    </row>
    <row r="179" spans="1:12" ht="15" customHeight="1" x14ac:dyDescent="0.45">
      <c r="A179" s="3">
        <v>45986</v>
      </c>
      <c r="B179" s="4">
        <v>44.49</v>
      </c>
      <c r="C179" s="4">
        <v>51.47</v>
      </c>
      <c r="D179" s="5">
        <v>82.19</v>
      </c>
      <c r="E179" s="4">
        <v>47.51</v>
      </c>
      <c r="F179" s="4">
        <v>54.49</v>
      </c>
      <c r="G179" s="4">
        <v>49.41</v>
      </c>
      <c r="H179" s="4">
        <v>50.79</v>
      </c>
      <c r="I179" s="4">
        <v>54.46</v>
      </c>
      <c r="J179" s="4">
        <v>47.64</v>
      </c>
      <c r="K179" s="4">
        <v>54.23</v>
      </c>
      <c r="L179" s="4">
        <v>51.7</v>
      </c>
    </row>
    <row r="180" spans="1:12" ht="15" customHeight="1" x14ac:dyDescent="0.45">
      <c r="A180" s="3">
        <v>45985</v>
      </c>
      <c r="B180" s="4">
        <v>43.63</v>
      </c>
      <c r="C180" s="4">
        <v>45.06</v>
      </c>
      <c r="D180" s="5">
        <v>77.09</v>
      </c>
      <c r="E180" s="4">
        <v>49.98</v>
      </c>
      <c r="F180" s="4">
        <v>48.35</v>
      </c>
      <c r="G180" s="4">
        <v>41.91</v>
      </c>
      <c r="H180" s="4">
        <v>43.91</v>
      </c>
      <c r="I180" s="4">
        <v>46.98</v>
      </c>
      <c r="J180" s="4">
        <v>50.09</v>
      </c>
      <c r="K180" s="4">
        <v>49.21</v>
      </c>
      <c r="L180" s="4">
        <v>47.14</v>
      </c>
    </row>
    <row r="181" spans="1:12" ht="15" customHeight="1" x14ac:dyDescent="0.45">
      <c r="A181" s="3">
        <v>45982</v>
      </c>
      <c r="B181" s="4">
        <v>35.61</v>
      </c>
      <c r="C181" s="4">
        <v>42.68</v>
      </c>
      <c r="D181" s="5">
        <v>75.91</v>
      </c>
      <c r="E181" s="4">
        <v>51.07</v>
      </c>
      <c r="F181" s="4">
        <v>47.48</v>
      </c>
      <c r="G181" s="4">
        <v>40.33</v>
      </c>
      <c r="H181" s="4">
        <v>39.04</v>
      </c>
      <c r="I181" s="4">
        <v>53.97</v>
      </c>
      <c r="J181" s="4">
        <v>41.94</v>
      </c>
      <c r="K181" s="4">
        <v>44.33</v>
      </c>
      <c r="L181" s="4">
        <v>46.29</v>
      </c>
    </row>
    <row r="182" spans="1:12" ht="15" customHeight="1" x14ac:dyDescent="0.45">
      <c r="A182" s="3">
        <v>45981</v>
      </c>
      <c r="B182" s="4">
        <v>34.200000000000003</v>
      </c>
      <c r="C182" s="4">
        <v>36.15</v>
      </c>
      <c r="D182" s="6">
        <v>68.47</v>
      </c>
      <c r="E182" s="4">
        <v>48.73</v>
      </c>
      <c r="F182" s="4">
        <v>36.46</v>
      </c>
      <c r="G182" s="4">
        <v>31.96</v>
      </c>
      <c r="H182" s="4">
        <v>31.02</v>
      </c>
      <c r="I182" s="4">
        <v>47.16</v>
      </c>
      <c r="J182" s="4">
        <v>40.770000000000003</v>
      </c>
      <c r="K182" s="4">
        <v>34.119999999999997</v>
      </c>
      <c r="L182" s="4">
        <v>38.07</v>
      </c>
    </row>
    <row r="183" spans="1:12" ht="15" customHeight="1" x14ac:dyDescent="0.45">
      <c r="A183" s="3">
        <v>45980</v>
      </c>
      <c r="B183" s="4">
        <v>41.21</v>
      </c>
      <c r="C183" s="4">
        <v>39.51</v>
      </c>
      <c r="D183" s="5">
        <v>74.56</v>
      </c>
      <c r="E183" s="4">
        <v>53.02</v>
      </c>
      <c r="F183" s="4">
        <v>42</v>
      </c>
      <c r="G183" s="4">
        <v>39.08</v>
      </c>
      <c r="H183" s="4">
        <v>34.24</v>
      </c>
      <c r="I183" s="4">
        <v>41.94</v>
      </c>
      <c r="J183" s="4">
        <v>43.59</v>
      </c>
      <c r="K183" s="4">
        <v>38.24</v>
      </c>
      <c r="L183" s="4">
        <v>39.549999999999997</v>
      </c>
    </row>
    <row r="184" spans="1:12" ht="15" customHeight="1" x14ac:dyDescent="0.45">
      <c r="A184" s="3">
        <v>45979</v>
      </c>
      <c r="B184" s="4">
        <v>38.64</v>
      </c>
      <c r="C184" s="4">
        <v>37.22</v>
      </c>
      <c r="D184" s="5">
        <v>76.37</v>
      </c>
      <c r="E184" s="4">
        <v>58.56</v>
      </c>
      <c r="F184" s="4">
        <v>40.56</v>
      </c>
      <c r="G184" s="4">
        <v>36.47</v>
      </c>
      <c r="H184" s="4">
        <v>34.229999999999997</v>
      </c>
      <c r="I184" s="4">
        <v>46.52</v>
      </c>
      <c r="J184" s="4">
        <v>48.81</v>
      </c>
      <c r="K184" s="4">
        <v>40.549999999999997</v>
      </c>
      <c r="L184" s="4">
        <v>43.12</v>
      </c>
    </row>
    <row r="185" spans="1:12" ht="15" customHeight="1" x14ac:dyDescent="0.45">
      <c r="A185" s="3">
        <v>45978</v>
      </c>
      <c r="B185" s="4">
        <v>42.76</v>
      </c>
      <c r="C185" s="4">
        <v>37.78</v>
      </c>
      <c r="D185" s="5">
        <v>74.400000000000006</v>
      </c>
      <c r="E185" s="4">
        <v>55.96</v>
      </c>
      <c r="F185" s="4">
        <v>40.119999999999997</v>
      </c>
      <c r="G185" s="4">
        <v>38.53</v>
      </c>
      <c r="H185" s="4">
        <v>38.590000000000003</v>
      </c>
      <c r="I185" s="4">
        <v>43.3</v>
      </c>
      <c r="J185" s="4">
        <v>51.4</v>
      </c>
      <c r="K185" s="4">
        <v>36.950000000000003</v>
      </c>
      <c r="L185" s="4">
        <v>40.79</v>
      </c>
    </row>
    <row r="186" spans="1:12" ht="15" customHeight="1" x14ac:dyDescent="0.45">
      <c r="A186" s="3">
        <v>45975</v>
      </c>
      <c r="B186" s="4">
        <v>47.34</v>
      </c>
      <c r="C186" s="4">
        <v>45.75</v>
      </c>
      <c r="D186" s="5">
        <v>75.25</v>
      </c>
      <c r="E186" s="6">
        <v>64.790000000000006</v>
      </c>
      <c r="F186" s="4">
        <v>46.09</v>
      </c>
      <c r="G186" s="4">
        <v>43.6</v>
      </c>
      <c r="H186" s="4">
        <v>41.09</v>
      </c>
      <c r="I186" s="4">
        <v>47.21</v>
      </c>
      <c r="J186" s="4">
        <v>45.02</v>
      </c>
      <c r="K186" s="4">
        <v>37.450000000000003</v>
      </c>
      <c r="L186" s="4">
        <v>43.79</v>
      </c>
    </row>
    <row r="187" spans="1:12" ht="15" customHeight="1" x14ac:dyDescent="0.45">
      <c r="A187" s="3">
        <v>45974</v>
      </c>
      <c r="B187" s="4">
        <v>45.47</v>
      </c>
      <c r="C187" s="4">
        <v>51.05</v>
      </c>
      <c r="D187" s="5">
        <v>81.290000000000006</v>
      </c>
      <c r="E187" s="4">
        <v>59.33</v>
      </c>
      <c r="F187" s="4">
        <v>50.31</v>
      </c>
      <c r="G187" s="4">
        <v>43.55</v>
      </c>
      <c r="H187" s="4">
        <v>42.4</v>
      </c>
      <c r="I187" s="4">
        <v>47.7</v>
      </c>
      <c r="J187" s="4">
        <v>44.35</v>
      </c>
      <c r="K187" s="4">
        <v>39.44</v>
      </c>
      <c r="L187" s="4">
        <v>42.03</v>
      </c>
    </row>
    <row r="188" spans="1:12" ht="15" customHeight="1" x14ac:dyDescent="0.45">
      <c r="A188" s="3">
        <v>45973</v>
      </c>
      <c r="B188" s="4">
        <v>53.84</v>
      </c>
      <c r="C188" s="4">
        <v>59.36</v>
      </c>
      <c r="D188" s="5">
        <v>81.83</v>
      </c>
      <c r="E188" s="4">
        <v>58.43</v>
      </c>
      <c r="F188" s="4">
        <v>53.6</v>
      </c>
      <c r="G188" s="4">
        <v>53.26</v>
      </c>
      <c r="H188" s="4">
        <v>50.35</v>
      </c>
      <c r="I188" s="4">
        <v>47.7</v>
      </c>
      <c r="J188" s="4">
        <v>53.91</v>
      </c>
      <c r="K188" s="4">
        <v>45.43</v>
      </c>
      <c r="L188" s="4">
        <v>48.34</v>
      </c>
    </row>
    <row r="189" spans="1:12" ht="15" customHeight="1" x14ac:dyDescent="0.45">
      <c r="A189" s="3">
        <v>45972</v>
      </c>
      <c r="B189" s="4">
        <v>52.84</v>
      </c>
      <c r="C189" s="4">
        <v>54.81</v>
      </c>
      <c r="D189" s="5">
        <v>78.27</v>
      </c>
      <c r="E189" s="6">
        <v>65.930000000000007</v>
      </c>
      <c r="F189" s="4">
        <v>50.37</v>
      </c>
      <c r="G189" s="4">
        <v>52.65</v>
      </c>
      <c r="H189" s="4">
        <v>52.85</v>
      </c>
      <c r="I189" s="4">
        <v>48.5</v>
      </c>
      <c r="J189" s="4">
        <v>52.29</v>
      </c>
      <c r="K189" s="4">
        <v>48.22</v>
      </c>
      <c r="L189" s="4">
        <v>52.84</v>
      </c>
    </row>
    <row r="190" spans="1:12" ht="15" customHeight="1" x14ac:dyDescent="0.45">
      <c r="A190" s="3">
        <v>45971</v>
      </c>
      <c r="B190" s="4">
        <v>55.97</v>
      </c>
      <c r="C190" s="4">
        <v>52.21</v>
      </c>
      <c r="D190" s="6">
        <v>69.430000000000007</v>
      </c>
      <c r="E190" s="6">
        <v>61.72</v>
      </c>
      <c r="F190" s="4">
        <v>45.23</v>
      </c>
      <c r="G190" s="4">
        <v>52.49</v>
      </c>
      <c r="H190" s="4">
        <v>52.04</v>
      </c>
      <c r="I190" s="4">
        <v>40.06</v>
      </c>
      <c r="J190" s="4">
        <v>51.92</v>
      </c>
      <c r="K190" s="4">
        <v>43.75</v>
      </c>
      <c r="L190" s="4">
        <v>46.38</v>
      </c>
    </row>
    <row r="191" spans="1:12" ht="15" customHeight="1" x14ac:dyDescent="0.45">
      <c r="A191" s="3">
        <v>45968</v>
      </c>
      <c r="B191" s="4">
        <v>47.55</v>
      </c>
      <c r="C191" s="4">
        <v>50.1</v>
      </c>
      <c r="D191" s="6">
        <v>64.989999999999995</v>
      </c>
      <c r="E191" s="4">
        <v>58.46</v>
      </c>
      <c r="F191" s="4">
        <v>40.04</v>
      </c>
      <c r="G191" s="4">
        <v>49.13</v>
      </c>
      <c r="H191" s="4">
        <v>47.66</v>
      </c>
      <c r="I191" s="4">
        <v>41.84</v>
      </c>
      <c r="J191" s="4">
        <v>52.14</v>
      </c>
      <c r="K191" s="4">
        <v>37.36</v>
      </c>
      <c r="L191" s="4">
        <v>46.77</v>
      </c>
    </row>
    <row r="192" spans="1:12" ht="15" customHeight="1" x14ac:dyDescent="0.45">
      <c r="A192" s="3">
        <v>45967</v>
      </c>
      <c r="B192" s="4">
        <v>48.72</v>
      </c>
      <c r="C192" s="4">
        <v>45.78</v>
      </c>
      <c r="D192" s="6">
        <v>64.14</v>
      </c>
      <c r="E192" s="4">
        <v>52.56</v>
      </c>
      <c r="F192" s="4">
        <v>32.57</v>
      </c>
      <c r="G192" s="4">
        <v>46.12</v>
      </c>
      <c r="H192" s="4">
        <v>47.13</v>
      </c>
      <c r="I192" s="4">
        <v>30.44</v>
      </c>
      <c r="J192" s="4">
        <v>42.58</v>
      </c>
      <c r="K192" s="4">
        <v>38.36</v>
      </c>
      <c r="L192" s="4">
        <v>38.119999999999997</v>
      </c>
    </row>
    <row r="193" spans="1:12" ht="15" customHeight="1" x14ac:dyDescent="0.45">
      <c r="A193" s="3">
        <v>45966</v>
      </c>
      <c r="B193" s="4">
        <v>56.39</v>
      </c>
      <c r="C193" s="4">
        <v>47.75</v>
      </c>
      <c r="D193" s="6">
        <v>62.98</v>
      </c>
      <c r="E193" s="4">
        <v>47.97</v>
      </c>
      <c r="F193" s="4">
        <v>34.200000000000003</v>
      </c>
      <c r="G193" s="4">
        <v>48.31</v>
      </c>
      <c r="H193" s="4">
        <v>54.98</v>
      </c>
      <c r="I193" s="4">
        <v>32.24</v>
      </c>
      <c r="J193" s="4">
        <v>45.24</v>
      </c>
      <c r="K193" s="4">
        <v>42.05</v>
      </c>
      <c r="L193" s="4">
        <v>40.369999999999997</v>
      </c>
    </row>
    <row r="194" spans="1:12" ht="15" customHeight="1" x14ac:dyDescent="0.45">
      <c r="A194" s="3">
        <v>45965</v>
      </c>
      <c r="B194" s="4">
        <v>55.11</v>
      </c>
      <c r="C194" s="4">
        <v>45.7</v>
      </c>
      <c r="D194" s="6">
        <v>60.6</v>
      </c>
      <c r="E194" s="4">
        <v>46.68</v>
      </c>
      <c r="F194" s="4">
        <v>30.35</v>
      </c>
      <c r="G194" s="4">
        <v>46.01</v>
      </c>
      <c r="H194" s="4">
        <v>51.04</v>
      </c>
      <c r="I194" s="4">
        <v>32.5</v>
      </c>
      <c r="J194" s="4">
        <v>45.08</v>
      </c>
      <c r="K194" s="4">
        <v>38.78</v>
      </c>
      <c r="L194" s="4">
        <v>40.479999999999997</v>
      </c>
    </row>
    <row r="195" spans="1:12" ht="15" customHeight="1" x14ac:dyDescent="0.45">
      <c r="A195" s="3">
        <v>45964</v>
      </c>
      <c r="B195" s="6">
        <v>67.84</v>
      </c>
      <c r="C195" s="4">
        <v>42.54</v>
      </c>
      <c r="D195" s="4">
        <v>57.67</v>
      </c>
      <c r="E195" s="4">
        <v>51.61</v>
      </c>
      <c r="F195" s="4">
        <v>31.8</v>
      </c>
      <c r="G195" s="4">
        <v>52.6</v>
      </c>
      <c r="H195" s="4">
        <v>57.53</v>
      </c>
      <c r="I195" s="7">
        <v>29.18</v>
      </c>
      <c r="J195" s="4">
        <v>47.17</v>
      </c>
      <c r="K195" s="4">
        <v>41.57</v>
      </c>
      <c r="L195" s="4">
        <v>38.76</v>
      </c>
    </row>
    <row r="196" spans="1:12" ht="15" customHeight="1" x14ac:dyDescent="0.45">
      <c r="A196" s="3">
        <v>45961</v>
      </c>
      <c r="B196" s="6">
        <v>66.739999999999995</v>
      </c>
      <c r="C196" s="4">
        <v>44.5</v>
      </c>
      <c r="D196" s="4">
        <v>56.75</v>
      </c>
      <c r="E196" s="4">
        <v>51.56</v>
      </c>
      <c r="F196" s="4">
        <v>33.69</v>
      </c>
      <c r="G196" s="4">
        <v>55.32</v>
      </c>
      <c r="H196" s="4">
        <v>54.52</v>
      </c>
      <c r="I196" s="4">
        <v>32.01</v>
      </c>
      <c r="J196" s="4">
        <v>46.81</v>
      </c>
      <c r="K196" s="4">
        <v>46.4</v>
      </c>
      <c r="L196" s="4">
        <v>39.43</v>
      </c>
    </row>
    <row r="197" spans="1:12" ht="15" customHeight="1" x14ac:dyDescent="0.45">
      <c r="A197" s="3">
        <v>45960</v>
      </c>
      <c r="B197" s="6">
        <v>66.489999999999995</v>
      </c>
      <c r="C197" s="4">
        <v>42.95</v>
      </c>
      <c r="D197" s="4">
        <v>57.04</v>
      </c>
      <c r="E197" s="4">
        <v>48.39</v>
      </c>
      <c r="F197" s="4">
        <v>35.54</v>
      </c>
      <c r="G197" s="4">
        <v>54.08</v>
      </c>
      <c r="H197" s="4">
        <v>44.5</v>
      </c>
      <c r="I197" s="4">
        <v>33.1</v>
      </c>
      <c r="J197" s="4">
        <v>50.78</v>
      </c>
      <c r="K197" s="4">
        <v>43.97</v>
      </c>
      <c r="L197" s="4">
        <v>39.15</v>
      </c>
    </row>
    <row r="198" spans="1:12" ht="15" customHeight="1" x14ac:dyDescent="0.45">
      <c r="A198" s="3">
        <v>45959</v>
      </c>
      <c r="B198" s="5">
        <v>73.099999999999994</v>
      </c>
      <c r="C198" s="4">
        <v>41.43</v>
      </c>
      <c r="D198" s="4">
        <v>55.71</v>
      </c>
      <c r="E198" s="4">
        <v>50.9</v>
      </c>
      <c r="F198" s="4">
        <v>40.35</v>
      </c>
      <c r="G198" s="4">
        <v>55.58</v>
      </c>
      <c r="H198" s="4">
        <v>54.19</v>
      </c>
      <c r="I198" s="4">
        <v>33.479999999999997</v>
      </c>
      <c r="J198" s="4">
        <v>53.35</v>
      </c>
      <c r="K198" s="4">
        <v>52.94</v>
      </c>
      <c r="L198" s="4">
        <v>35.979999999999997</v>
      </c>
    </row>
    <row r="199" spans="1:12" ht="15" customHeight="1" x14ac:dyDescent="0.45">
      <c r="A199" s="3">
        <v>45958</v>
      </c>
      <c r="B199" s="5">
        <v>71.58</v>
      </c>
      <c r="C199" s="4">
        <v>49.25</v>
      </c>
      <c r="D199" s="6">
        <v>64.209999999999994</v>
      </c>
      <c r="E199" s="4">
        <v>47.75</v>
      </c>
      <c r="F199" s="4">
        <v>49.7</v>
      </c>
      <c r="G199" s="4">
        <v>54.38</v>
      </c>
      <c r="H199" s="4">
        <v>58.55</v>
      </c>
      <c r="I199" s="4">
        <v>44.64</v>
      </c>
      <c r="J199" s="4">
        <v>53.55</v>
      </c>
      <c r="K199" s="4">
        <v>54.45</v>
      </c>
      <c r="L199" s="4">
        <v>47.34</v>
      </c>
    </row>
    <row r="200" spans="1:12" ht="15" customHeight="1" x14ac:dyDescent="0.45">
      <c r="A200" s="3">
        <v>45957</v>
      </c>
      <c r="B200" s="6">
        <v>69.38</v>
      </c>
      <c r="C200" s="4">
        <v>52.75</v>
      </c>
      <c r="D200" s="5">
        <v>70.45</v>
      </c>
      <c r="E200" s="4">
        <v>52.15</v>
      </c>
      <c r="F200" s="4">
        <v>48.95</v>
      </c>
      <c r="G200" s="4">
        <v>58.47</v>
      </c>
      <c r="H200" s="4">
        <v>58.46</v>
      </c>
      <c r="I200" s="4">
        <v>51.44</v>
      </c>
      <c r="J200" s="6">
        <v>64.849999999999994</v>
      </c>
      <c r="K200" s="4">
        <v>57.51</v>
      </c>
      <c r="L200" s="6">
        <v>62.65</v>
      </c>
    </row>
    <row r="201" spans="1:12" ht="15" customHeight="1" x14ac:dyDescent="0.45">
      <c r="A201" s="3">
        <v>45954</v>
      </c>
      <c r="B201" s="6">
        <v>64.760000000000005</v>
      </c>
      <c r="C201" s="4">
        <v>50.64</v>
      </c>
      <c r="D201" s="6">
        <v>69.430000000000007</v>
      </c>
      <c r="E201" s="4">
        <v>51.19</v>
      </c>
      <c r="F201" s="4">
        <v>49.18</v>
      </c>
      <c r="G201" s="4">
        <v>56.03</v>
      </c>
      <c r="H201" s="4">
        <v>52.82</v>
      </c>
      <c r="I201" s="4">
        <v>50.28</v>
      </c>
      <c r="J201" s="6">
        <v>63.67</v>
      </c>
      <c r="K201" s="4">
        <v>50.31</v>
      </c>
      <c r="L201" s="6">
        <v>61.55</v>
      </c>
    </row>
    <row r="202" spans="1:12" ht="15" customHeight="1" x14ac:dyDescent="0.45">
      <c r="A202" s="3">
        <v>45953</v>
      </c>
      <c r="B202" s="6">
        <v>60.12</v>
      </c>
      <c r="C202" s="4">
        <v>44.72</v>
      </c>
      <c r="D202" s="6">
        <v>69.5</v>
      </c>
      <c r="E202" s="4">
        <v>55.6</v>
      </c>
      <c r="F202" s="4">
        <v>51.23</v>
      </c>
      <c r="G202" s="4">
        <v>55.68</v>
      </c>
      <c r="H202" s="4">
        <v>54.24</v>
      </c>
      <c r="I202" s="4">
        <v>52.61</v>
      </c>
      <c r="J202" s="4">
        <v>58.15</v>
      </c>
      <c r="K202" s="4">
        <v>48.81</v>
      </c>
      <c r="L202" s="4">
        <v>59.73</v>
      </c>
    </row>
    <row r="203" spans="1:12" ht="15" customHeight="1" x14ac:dyDescent="0.45">
      <c r="A203" s="3">
        <v>45952</v>
      </c>
      <c r="B203" s="4">
        <v>55.79</v>
      </c>
      <c r="C203" s="4">
        <v>43.51</v>
      </c>
      <c r="D203" s="6">
        <v>69.28</v>
      </c>
      <c r="E203" s="4">
        <v>50.45</v>
      </c>
      <c r="F203" s="4">
        <v>45.15</v>
      </c>
      <c r="G203" s="4">
        <v>50.17</v>
      </c>
      <c r="H203" s="4">
        <v>52.45</v>
      </c>
      <c r="I203" s="4">
        <v>56.24</v>
      </c>
      <c r="J203" s="4">
        <v>58.69</v>
      </c>
      <c r="K203" s="4">
        <v>50.66</v>
      </c>
      <c r="L203" s="6">
        <v>60.44</v>
      </c>
    </row>
    <row r="204" spans="1:12" ht="15" customHeight="1" x14ac:dyDescent="0.45">
      <c r="A204" s="3">
        <v>45951</v>
      </c>
      <c r="B204" s="6">
        <v>60.63</v>
      </c>
      <c r="C204" s="4">
        <v>46.07</v>
      </c>
      <c r="D204" s="6">
        <v>67.040000000000006</v>
      </c>
      <c r="E204" s="4">
        <v>44.82</v>
      </c>
      <c r="F204" s="4">
        <v>46.52</v>
      </c>
      <c r="G204" s="4">
        <v>57.1</v>
      </c>
      <c r="H204" s="4">
        <v>56</v>
      </c>
      <c r="I204" s="4">
        <v>52.75</v>
      </c>
      <c r="J204" s="6">
        <v>60.27</v>
      </c>
      <c r="K204" s="4">
        <v>55.73</v>
      </c>
      <c r="L204" s="4">
        <v>58.25</v>
      </c>
    </row>
    <row r="205" spans="1:12" ht="15" customHeight="1" x14ac:dyDescent="0.45">
      <c r="A205" s="3">
        <v>45950</v>
      </c>
      <c r="B205" s="6">
        <v>60.46</v>
      </c>
      <c r="C205" s="4">
        <v>46.58</v>
      </c>
      <c r="D205" s="6">
        <v>66.099999999999994</v>
      </c>
      <c r="E205" s="4">
        <v>45.69</v>
      </c>
      <c r="F205" s="4">
        <v>48.23</v>
      </c>
      <c r="G205" s="4">
        <v>53.02</v>
      </c>
      <c r="H205" s="4">
        <v>51.27</v>
      </c>
      <c r="I205" s="4">
        <v>56.17</v>
      </c>
      <c r="J205" s="6">
        <v>67.78</v>
      </c>
      <c r="K205" s="4">
        <v>54</v>
      </c>
      <c r="L205" s="6">
        <v>60.37</v>
      </c>
    </row>
    <row r="206" spans="1:12" ht="15" customHeight="1" x14ac:dyDescent="0.45">
      <c r="A206" s="3">
        <v>45947</v>
      </c>
      <c r="B206" s="4">
        <v>56.85</v>
      </c>
      <c r="C206" s="4">
        <v>40.35</v>
      </c>
      <c r="D206" s="6">
        <v>61.54</v>
      </c>
      <c r="E206" s="4">
        <v>40.840000000000003</v>
      </c>
      <c r="F206" s="4">
        <v>42.12</v>
      </c>
      <c r="G206" s="4">
        <v>46.84</v>
      </c>
      <c r="H206" s="4">
        <v>47.91</v>
      </c>
      <c r="I206" s="4">
        <v>56.81</v>
      </c>
      <c r="J206" s="6">
        <v>68.03</v>
      </c>
      <c r="K206" s="4">
        <v>47.99</v>
      </c>
      <c r="L206" s="4">
        <v>55.24</v>
      </c>
    </row>
    <row r="207" spans="1:12" ht="15" customHeight="1" x14ac:dyDescent="0.45">
      <c r="A207" s="3">
        <v>45946</v>
      </c>
      <c r="B207" s="4">
        <v>56.26</v>
      </c>
      <c r="C207" s="4">
        <v>35.549999999999997</v>
      </c>
      <c r="D207" s="4">
        <v>58.28</v>
      </c>
      <c r="E207" s="4">
        <v>36.81</v>
      </c>
      <c r="F207" s="4">
        <v>42.88</v>
      </c>
      <c r="G207" s="4">
        <v>46.37</v>
      </c>
      <c r="H207" s="4">
        <v>44.07</v>
      </c>
      <c r="I207" s="4">
        <v>48.56</v>
      </c>
      <c r="J207" s="5">
        <v>70.66</v>
      </c>
      <c r="K207" s="4">
        <v>43.96</v>
      </c>
      <c r="L207" s="4">
        <v>51.68</v>
      </c>
    </row>
    <row r="208" spans="1:12" ht="15" customHeight="1" x14ac:dyDescent="0.45">
      <c r="A208" s="3">
        <v>45945</v>
      </c>
      <c r="B208" s="4">
        <v>56.03</v>
      </c>
      <c r="C208" s="4">
        <v>48.27</v>
      </c>
      <c r="D208" s="4">
        <v>59.46</v>
      </c>
      <c r="E208" s="4">
        <v>40.630000000000003</v>
      </c>
      <c r="F208" s="4">
        <v>45.87</v>
      </c>
      <c r="G208" s="4">
        <v>49.53</v>
      </c>
      <c r="H208" s="4">
        <v>47.79</v>
      </c>
      <c r="I208" s="4">
        <v>53.54</v>
      </c>
      <c r="J208" s="5">
        <v>79.650000000000006</v>
      </c>
      <c r="K208" s="4">
        <v>49.66</v>
      </c>
      <c r="L208" s="4">
        <v>53.59</v>
      </c>
    </row>
    <row r="209" spans="1:12" ht="15" customHeight="1" x14ac:dyDescent="0.45">
      <c r="A209" s="3">
        <v>45944</v>
      </c>
      <c r="B209" s="4">
        <v>52.95</v>
      </c>
      <c r="C209" s="4">
        <v>48.27</v>
      </c>
      <c r="D209" s="4">
        <v>58.75</v>
      </c>
      <c r="E209" s="4">
        <v>40.82</v>
      </c>
      <c r="F209" s="4">
        <v>47.74</v>
      </c>
      <c r="G209" s="4">
        <v>51.63</v>
      </c>
      <c r="H209" s="4">
        <v>47.17</v>
      </c>
      <c r="I209" s="4">
        <v>52.38</v>
      </c>
      <c r="J209" s="5">
        <v>76.319999999999993</v>
      </c>
      <c r="K209" s="4">
        <v>45.33</v>
      </c>
      <c r="L209" s="4">
        <v>44.88</v>
      </c>
    </row>
    <row r="210" spans="1:12" ht="15" customHeight="1" x14ac:dyDescent="0.45">
      <c r="A210" s="3">
        <v>45943</v>
      </c>
      <c r="B210" s="4">
        <v>57.89</v>
      </c>
      <c r="C210" s="4">
        <v>41.16</v>
      </c>
      <c r="D210" s="4">
        <v>57.52</v>
      </c>
      <c r="E210" s="4">
        <v>40.85</v>
      </c>
      <c r="F210" s="4">
        <v>42.99</v>
      </c>
      <c r="G210" s="4">
        <v>45.69</v>
      </c>
      <c r="H210" s="4">
        <v>46.32</v>
      </c>
      <c r="I210" s="4">
        <v>40.049999999999997</v>
      </c>
      <c r="J210" s="5">
        <v>73.62</v>
      </c>
      <c r="K210" s="4">
        <v>40.96</v>
      </c>
      <c r="L210" s="4">
        <v>37.83</v>
      </c>
    </row>
    <row r="211" spans="1:12" ht="15" customHeight="1" x14ac:dyDescent="0.45">
      <c r="A211" s="3">
        <v>45940</v>
      </c>
      <c r="B211" s="4">
        <v>49.84</v>
      </c>
      <c r="C211" s="4">
        <v>33.880000000000003</v>
      </c>
      <c r="D211" s="4">
        <v>58.18</v>
      </c>
      <c r="E211" s="4">
        <v>34.78</v>
      </c>
      <c r="F211" s="4">
        <v>34.28</v>
      </c>
      <c r="G211" s="4">
        <v>39.67</v>
      </c>
      <c r="H211" s="4">
        <v>36.380000000000003</v>
      </c>
      <c r="I211" s="4">
        <v>42.16</v>
      </c>
      <c r="J211" s="5">
        <v>71.010000000000005</v>
      </c>
      <c r="K211" s="4">
        <v>34.18</v>
      </c>
      <c r="L211" s="4">
        <v>33.15</v>
      </c>
    </row>
    <row r="212" spans="1:12" ht="15" customHeight="1" x14ac:dyDescent="0.45">
      <c r="A212" s="3">
        <v>45939</v>
      </c>
      <c r="B212" s="5">
        <v>72.14</v>
      </c>
      <c r="C212" s="4">
        <v>46.19</v>
      </c>
      <c r="D212" s="6">
        <v>67.53</v>
      </c>
      <c r="E212" s="4">
        <v>43.95</v>
      </c>
      <c r="F212" s="4">
        <v>42.17</v>
      </c>
      <c r="G212" s="4">
        <v>51.11</v>
      </c>
      <c r="H212" s="4">
        <v>46.5</v>
      </c>
      <c r="I212" s="4">
        <v>41.5</v>
      </c>
      <c r="J212" s="5">
        <v>74.69</v>
      </c>
      <c r="K212" s="4">
        <v>43.67</v>
      </c>
      <c r="L212" s="4">
        <v>38.4</v>
      </c>
    </row>
    <row r="213" spans="1:12" ht="15" customHeight="1" x14ac:dyDescent="0.45">
      <c r="A213" s="3">
        <v>45938</v>
      </c>
      <c r="B213" s="5">
        <v>73.41</v>
      </c>
      <c r="C213" s="4">
        <v>48.89</v>
      </c>
      <c r="D213" s="6">
        <v>69.11</v>
      </c>
      <c r="E213" s="4">
        <v>49.76</v>
      </c>
      <c r="F213" s="4">
        <v>49.28</v>
      </c>
      <c r="G213" s="6">
        <v>62.46</v>
      </c>
      <c r="H213" s="4">
        <v>48.8</v>
      </c>
      <c r="I213" s="4">
        <v>38.799999999999997</v>
      </c>
      <c r="J213" s="5">
        <v>77</v>
      </c>
      <c r="K213" s="4">
        <v>47.48</v>
      </c>
      <c r="L213" s="4">
        <v>40.94</v>
      </c>
    </row>
    <row r="214" spans="1:12" ht="15" customHeight="1" x14ac:dyDescent="0.45">
      <c r="A214" s="3">
        <v>45937</v>
      </c>
      <c r="B214" s="6">
        <v>68.09</v>
      </c>
      <c r="C214" s="4">
        <v>52.81</v>
      </c>
      <c r="D214" s="6">
        <v>68.510000000000005</v>
      </c>
      <c r="E214" s="4">
        <v>52.53</v>
      </c>
      <c r="F214" s="4">
        <v>45.98</v>
      </c>
      <c r="G214" s="4">
        <v>57.33</v>
      </c>
      <c r="H214" s="4">
        <v>47.36</v>
      </c>
      <c r="I214" s="4">
        <v>41.58</v>
      </c>
      <c r="J214" s="5">
        <v>75.08</v>
      </c>
      <c r="K214" s="4">
        <v>50.45</v>
      </c>
      <c r="L214" s="4">
        <v>43.93</v>
      </c>
    </row>
    <row r="215" spans="1:12" ht="15" customHeight="1" x14ac:dyDescent="0.45">
      <c r="A215" s="3">
        <v>45936</v>
      </c>
      <c r="B215" s="5">
        <v>73.31</v>
      </c>
      <c r="C215" s="4">
        <v>51.84</v>
      </c>
      <c r="D215" s="6">
        <v>68.290000000000006</v>
      </c>
      <c r="E215" s="4">
        <v>51.86</v>
      </c>
      <c r="F215" s="4">
        <v>48.16</v>
      </c>
      <c r="G215" s="6">
        <v>62.54</v>
      </c>
      <c r="H215" s="4">
        <v>56.11</v>
      </c>
      <c r="I215" s="4">
        <v>33.39</v>
      </c>
      <c r="J215" s="5">
        <v>73.72</v>
      </c>
      <c r="K215" s="4">
        <v>53.36</v>
      </c>
      <c r="L215" s="4">
        <v>45.85</v>
      </c>
    </row>
    <row r="216" spans="1:12" ht="15" customHeight="1" x14ac:dyDescent="0.45">
      <c r="A216" s="3">
        <v>45933</v>
      </c>
      <c r="B216" s="5">
        <v>70.12</v>
      </c>
      <c r="C216" s="4">
        <v>52.13</v>
      </c>
      <c r="D216" s="5">
        <v>71.3</v>
      </c>
      <c r="E216" s="4">
        <v>49.79</v>
      </c>
      <c r="F216" s="4">
        <v>48.64</v>
      </c>
      <c r="G216" s="4">
        <v>59.76</v>
      </c>
      <c r="H216" s="4">
        <v>52.12</v>
      </c>
      <c r="I216" s="4">
        <v>37.22</v>
      </c>
      <c r="J216" s="5">
        <v>70.62</v>
      </c>
      <c r="K216" s="4">
        <v>52.68</v>
      </c>
      <c r="L216" s="4">
        <v>52.78</v>
      </c>
    </row>
    <row r="217" spans="1:12" ht="15" customHeight="1" x14ac:dyDescent="0.45">
      <c r="A217" s="3">
        <v>45932</v>
      </c>
      <c r="B217" s="5">
        <v>74.23</v>
      </c>
      <c r="C217" s="4">
        <v>47.17</v>
      </c>
      <c r="D217" s="6">
        <v>68.27</v>
      </c>
      <c r="E217" s="4">
        <v>47.56</v>
      </c>
      <c r="F217" s="4">
        <v>47.74</v>
      </c>
      <c r="G217" s="4">
        <v>58.94</v>
      </c>
      <c r="H217" s="4">
        <v>55.67</v>
      </c>
      <c r="I217" s="4">
        <v>36.15</v>
      </c>
      <c r="J217" s="6">
        <v>66.22</v>
      </c>
      <c r="K217" s="4">
        <v>53.04</v>
      </c>
      <c r="L217" s="4">
        <v>49.93</v>
      </c>
    </row>
    <row r="218" spans="1:12" ht="15" customHeight="1" x14ac:dyDescent="0.45">
      <c r="A218" s="3">
        <v>45931</v>
      </c>
      <c r="B218" s="5">
        <v>72.64</v>
      </c>
      <c r="C218" s="4">
        <v>47.67</v>
      </c>
      <c r="D218" s="6">
        <v>69.44</v>
      </c>
      <c r="E218" s="4">
        <v>51.64</v>
      </c>
      <c r="F218" s="4">
        <v>41.16</v>
      </c>
      <c r="G218" s="4">
        <v>57.4</v>
      </c>
      <c r="H218" s="4">
        <v>59.95</v>
      </c>
      <c r="I218" s="4">
        <v>38.24</v>
      </c>
      <c r="J218" s="6">
        <v>67.69</v>
      </c>
      <c r="K218" s="4">
        <v>54.53</v>
      </c>
      <c r="L218" s="4">
        <v>53.83</v>
      </c>
    </row>
    <row r="219" spans="1:12" ht="15" customHeight="1" x14ac:dyDescent="0.45">
      <c r="A219" s="3">
        <v>45930</v>
      </c>
      <c r="B219" s="6">
        <v>69.5</v>
      </c>
      <c r="C219" s="4">
        <v>53.98</v>
      </c>
      <c r="D219" s="4">
        <v>59.59</v>
      </c>
      <c r="E219" s="4">
        <v>51.64</v>
      </c>
      <c r="F219" s="4">
        <v>46.07</v>
      </c>
      <c r="G219" s="4">
        <v>59.63</v>
      </c>
      <c r="H219" s="4">
        <v>57.32</v>
      </c>
      <c r="I219" s="4">
        <v>39.06</v>
      </c>
      <c r="J219" s="6">
        <v>63.75</v>
      </c>
      <c r="K219" s="6">
        <v>65.38</v>
      </c>
      <c r="L219" s="4">
        <v>53.83</v>
      </c>
    </row>
    <row r="220" spans="1:12" ht="15" customHeight="1" x14ac:dyDescent="0.45">
      <c r="A220" s="3">
        <v>45929</v>
      </c>
      <c r="B220" s="6">
        <v>67.59</v>
      </c>
      <c r="C220" s="4">
        <v>57.84</v>
      </c>
      <c r="D220" s="4">
        <v>47.67</v>
      </c>
      <c r="E220" s="4">
        <v>56.07</v>
      </c>
      <c r="F220" s="4">
        <v>43.12</v>
      </c>
      <c r="G220" s="4">
        <v>55.18</v>
      </c>
      <c r="H220" s="6">
        <v>60.05</v>
      </c>
      <c r="I220" s="4">
        <v>36.33</v>
      </c>
      <c r="J220" s="6">
        <v>63</v>
      </c>
      <c r="K220" s="6">
        <v>66.709999999999994</v>
      </c>
      <c r="L220" s="4">
        <v>51.3</v>
      </c>
    </row>
    <row r="221" spans="1:12" ht="15" customHeight="1" x14ac:dyDescent="0.45">
      <c r="A221" s="3">
        <v>45926</v>
      </c>
      <c r="B221" s="6">
        <v>65.63</v>
      </c>
      <c r="C221" s="4">
        <v>54.72</v>
      </c>
      <c r="D221" s="4">
        <v>45.86</v>
      </c>
      <c r="E221" s="6">
        <v>65.209999999999994</v>
      </c>
      <c r="F221" s="4">
        <v>40.79</v>
      </c>
      <c r="G221" s="4">
        <v>53.28</v>
      </c>
      <c r="H221" s="4">
        <v>58.32</v>
      </c>
      <c r="I221" s="4">
        <v>34.770000000000003</v>
      </c>
      <c r="J221" s="6">
        <v>61.78</v>
      </c>
      <c r="K221" s="6">
        <v>65.319999999999993</v>
      </c>
      <c r="L221" s="4">
        <v>50.1</v>
      </c>
    </row>
    <row r="222" spans="1:12" ht="15" customHeight="1" x14ac:dyDescent="0.45">
      <c r="A222" s="3">
        <v>45925</v>
      </c>
      <c r="B222" s="6">
        <v>64.52</v>
      </c>
      <c r="C222" s="4">
        <v>49.73</v>
      </c>
      <c r="D222" s="4">
        <v>39.15</v>
      </c>
      <c r="E222" s="6">
        <v>62.38</v>
      </c>
      <c r="F222" s="4">
        <v>33.18</v>
      </c>
      <c r="G222" s="4">
        <v>47.25</v>
      </c>
      <c r="H222" s="4">
        <v>51.9</v>
      </c>
      <c r="I222" s="4">
        <v>32.83</v>
      </c>
      <c r="J222" s="4">
        <v>53.94</v>
      </c>
      <c r="K222" s="6">
        <v>60.76</v>
      </c>
      <c r="L222" s="4">
        <v>43.51</v>
      </c>
    </row>
    <row r="223" spans="1:12" ht="15" customHeight="1" x14ac:dyDescent="0.45">
      <c r="A223" s="3">
        <v>45924</v>
      </c>
      <c r="B223" s="6">
        <v>65.67</v>
      </c>
      <c r="C223" s="4">
        <v>51.63</v>
      </c>
      <c r="D223" s="4">
        <v>48.32</v>
      </c>
      <c r="E223" s="4">
        <v>59.43</v>
      </c>
      <c r="F223" s="4">
        <v>38.39</v>
      </c>
      <c r="G223" s="4">
        <v>51.96</v>
      </c>
      <c r="H223" s="6">
        <v>60.25</v>
      </c>
      <c r="I223" s="4">
        <v>36.85</v>
      </c>
      <c r="J223" s="6">
        <v>60.87</v>
      </c>
      <c r="K223" s="6">
        <v>63.48</v>
      </c>
      <c r="L223" s="4">
        <v>44.85</v>
      </c>
    </row>
    <row r="224" spans="1:12" ht="15" customHeight="1" x14ac:dyDescent="0.45">
      <c r="A224" s="3">
        <v>45923</v>
      </c>
      <c r="B224" s="6">
        <v>69.78</v>
      </c>
      <c r="C224" s="4">
        <v>53.67</v>
      </c>
      <c r="D224" s="4">
        <v>51.02</v>
      </c>
      <c r="E224" s="4">
        <v>54.69</v>
      </c>
      <c r="F224" s="4">
        <v>44.56</v>
      </c>
      <c r="G224" s="4">
        <v>55.94</v>
      </c>
      <c r="H224" s="4">
        <v>57.06</v>
      </c>
      <c r="I224" s="4">
        <v>35.18</v>
      </c>
      <c r="J224" s="4">
        <v>57.11</v>
      </c>
      <c r="K224" s="5">
        <v>70.69</v>
      </c>
      <c r="L224" s="4">
        <v>51.15</v>
      </c>
    </row>
    <row r="225" spans="1:12" ht="15" customHeight="1" x14ac:dyDescent="0.45">
      <c r="A225" s="3">
        <v>45922</v>
      </c>
      <c r="B225" s="5">
        <v>76</v>
      </c>
      <c r="C225" s="4">
        <v>57</v>
      </c>
      <c r="D225" s="4">
        <v>49.55</v>
      </c>
      <c r="E225" s="4">
        <v>47.25</v>
      </c>
      <c r="F225" s="4">
        <v>46.38</v>
      </c>
      <c r="G225" s="4">
        <v>55.78</v>
      </c>
      <c r="H225" s="6">
        <v>63.41</v>
      </c>
      <c r="I225" s="4">
        <v>31.31</v>
      </c>
      <c r="J225" s="4">
        <v>54.16</v>
      </c>
      <c r="K225" s="5">
        <v>72.010000000000005</v>
      </c>
      <c r="L225" s="4">
        <v>45.72</v>
      </c>
    </row>
    <row r="226" spans="1:12" ht="15" customHeight="1" x14ac:dyDescent="0.45">
      <c r="A226" s="3">
        <v>45919</v>
      </c>
      <c r="B226" s="5">
        <v>72.510000000000005</v>
      </c>
      <c r="C226" s="6">
        <v>60.66</v>
      </c>
      <c r="D226" s="4">
        <v>52.68</v>
      </c>
      <c r="E226" s="4">
        <v>51.69</v>
      </c>
      <c r="F226" s="4">
        <v>49.35</v>
      </c>
      <c r="G226" s="4">
        <v>56.34</v>
      </c>
      <c r="H226" s="6">
        <v>67.13</v>
      </c>
      <c r="I226" s="4">
        <v>39.22</v>
      </c>
      <c r="J226" s="4">
        <v>52.43</v>
      </c>
      <c r="K226" s="5">
        <v>78.650000000000006</v>
      </c>
      <c r="L226" s="4">
        <v>48.45</v>
      </c>
    </row>
    <row r="227" spans="1:12" ht="15" customHeight="1" x14ac:dyDescent="0.45">
      <c r="A227" s="3">
        <v>45918</v>
      </c>
      <c r="B227" s="6">
        <v>69.42</v>
      </c>
      <c r="C227" s="4">
        <v>59.5</v>
      </c>
      <c r="D227" s="4">
        <v>53.54</v>
      </c>
      <c r="E227" s="4">
        <v>58.88</v>
      </c>
      <c r="F227" s="4">
        <v>49.61</v>
      </c>
      <c r="G227" s="4">
        <v>55.04</v>
      </c>
      <c r="H227" s="6">
        <v>65.72</v>
      </c>
      <c r="I227" s="4">
        <v>40.29</v>
      </c>
      <c r="J227" s="4">
        <v>48.55</v>
      </c>
      <c r="K227" s="5">
        <v>77.510000000000005</v>
      </c>
      <c r="L227" s="4">
        <v>51.8</v>
      </c>
    </row>
    <row r="228" spans="1:12" ht="15" customHeight="1" x14ac:dyDescent="0.45">
      <c r="A228" s="3">
        <v>45917</v>
      </c>
      <c r="B228" s="6">
        <v>62.95</v>
      </c>
      <c r="C228" s="4">
        <v>59.03</v>
      </c>
      <c r="D228" s="4">
        <v>52.46</v>
      </c>
      <c r="E228" s="6">
        <v>60.72</v>
      </c>
      <c r="F228" s="4">
        <v>49.61</v>
      </c>
      <c r="G228" s="4">
        <v>48.85</v>
      </c>
      <c r="H228" s="6">
        <v>69</v>
      </c>
      <c r="I228" s="4">
        <v>45.28</v>
      </c>
      <c r="J228" s="4">
        <v>48.11</v>
      </c>
      <c r="K228" s="5">
        <v>77.31</v>
      </c>
      <c r="L228" s="4">
        <v>51.35</v>
      </c>
    </row>
    <row r="229" spans="1:12" ht="15" customHeight="1" x14ac:dyDescent="0.45">
      <c r="A229" s="3">
        <v>45916</v>
      </c>
      <c r="B229" s="6">
        <v>65.53</v>
      </c>
      <c r="C229" s="4">
        <v>53.92</v>
      </c>
      <c r="D229" s="4">
        <v>51.41</v>
      </c>
      <c r="E229" s="4">
        <v>59.85</v>
      </c>
      <c r="F229" s="4">
        <v>48.39</v>
      </c>
      <c r="G229" s="4">
        <v>51.68</v>
      </c>
      <c r="H229" s="5">
        <v>70.83</v>
      </c>
      <c r="I229" s="4">
        <v>40.590000000000003</v>
      </c>
      <c r="J229" s="4">
        <v>46.63</v>
      </c>
      <c r="K229" s="5">
        <v>76.62</v>
      </c>
      <c r="L229" s="4">
        <v>51.65</v>
      </c>
    </row>
    <row r="230" spans="1:12" ht="15" customHeight="1" x14ac:dyDescent="0.45">
      <c r="A230" s="3">
        <v>45915</v>
      </c>
      <c r="B230" s="6">
        <v>68.150000000000006</v>
      </c>
      <c r="C230" s="4">
        <v>55.4</v>
      </c>
      <c r="D230" s="4">
        <v>51.41</v>
      </c>
      <c r="E230" s="4">
        <v>52.98</v>
      </c>
      <c r="F230" s="4">
        <v>49.88</v>
      </c>
      <c r="G230" s="4">
        <v>53.56</v>
      </c>
      <c r="H230" s="6">
        <v>68.97</v>
      </c>
      <c r="I230" s="4">
        <v>36.82</v>
      </c>
      <c r="J230" s="4">
        <v>58</v>
      </c>
      <c r="K230" s="5">
        <v>80.099999999999994</v>
      </c>
      <c r="L230" s="4">
        <v>55.36</v>
      </c>
    </row>
    <row r="231" spans="1:12" ht="15" customHeight="1" x14ac:dyDescent="0.45">
      <c r="A231" s="3">
        <v>45912</v>
      </c>
      <c r="B231" s="6">
        <v>64.790000000000006</v>
      </c>
      <c r="C231" s="4">
        <v>56.85</v>
      </c>
      <c r="D231" s="4">
        <v>56.07</v>
      </c>
      <c r="E231" s="4">
        <v>54.74</v>
      </c>
      <c r="F231" s="4">
        <v>53.96</v>
      </c>
      <c r="G231" s="4">
        <v>50.98</v>
      </c>
      <c r="H231" s="6">
        <v>66.180000000000007</v>
      </c>
      <c r="I231" s="4">
        <v>43.35</v>
      </c>
      <c r="J231" s="4">
        <v>56.75</v>
      </c>
      <c r="K231" s="5">
        <v>76.73</v>
      </c>
      <c r="L231" s="4">
        <v>56.1</v>
      </c>
    </row>
    <row r="232" spans="1:12" ht="15" customHeight="1" x14ac:dyDescent="0.45">
      <c r="A232" s="3">
        <v>45911</v>
      </c>
      <c r="B232" s="6">
        <v>65.260000000000005</v>
      </c>
      <c r="C232" s="4">
        <v>59.63</v>
      </c>
      <c r="D232" s="6">
        <v>63.34</v>
      </c>
      <c r="E232" s="4">
        <v>57.9</v>
      </c>
      <c r="F232" s="4">
        <v>59.65</v>
      </c>
      <c r="G232" s="4">
        <v>56.01</v>
      </c>
      <c r="H232" s="6">
        <v>64.41</v>
      </c>
      <c r="I232" s="4">
        <v>45.55</v>
      </c>
      <c r="J232" s="4">
        <v>54</v>
      </c>
      <c r="K232" s="5">
        <v>74.349999999999994</v>
      </c>
      <c r="L232" s="4">
        <v>58.91</v>
      </c>
    </row>
    <row r="233" spans="1:12" ht="15" customHeight="1" x14ac:dyDescent="0.45">
      <c r="A233" s="3">
        <v>45910</v>
      </c>
      <c r="B233" s="6">
        <v>64.03</v>
      </c>
      <c r="C233" s="4">
        <v>51.25</v>
      </c>
      <c r="D233" s="4">
        <v>55.36</v>
      </c>
      <c r="E233" s="4">
        <v>57.81</v>
      </c>
      <c r="F233" s="4">
        <v>49.56</v>
      </c>
      <c r="G233" s="4">
        <v>50.68</v>
      </c>
      <c r="H233" s="4">
        <v>56.65</v>
      </c>
      <c r="I233" s="4">
        <v>38.58</v>
      </c>
      <c r="J233" s="4">
        <v>50.98</v>
      </c>
      <c r="K233" s="6">
        <v>69.040000000000006</v>
      </c>
      <c r="L233" s="4">
        <v>50.71</v>
      </c>
    </row>
    <row r="234" spans="1:12" ht="15" customHeight="1" x14ac:dyDescent="0.45">
      <c r="A234" s="3">
        <v>45909</v>
      </c>
      <c r="B234" s="4">
        <v>56.47</v>
      </c>
      <c r="C234" s="4">
        <v>53.38</v>
      </c>
      <c r="D234" s="6">
        <v>61.96</v>
      </c>
      <c r="E234" s="4">
        <v>50.73</v>
      </c>
      <c r="F234" s="4">
        <v>48.49</v>
      </c>
      <c r="G234" s="4">
        <v>46</v>
      </c>
      <c r="H234" s="6">
        <v>64.81</v>
      </c>
      <c r="I234" s="4">
        <v>45.1</v>
      </c>
      <c r="J234" s="4">
        <v>39.19</v>
      </c>
      <c r="K234" s="5">
        <v>76.12</v>
      </c>
      <c r="L234" s="4">
        <v>50.99</v>
      </c>
    </row>
    <row r="235" spans="1:12" ht="15" customHeight="1" x14ac:dyDescent="0.45">
      <c r="A235" s="3">
        <v>45908</v>
      </c>
      <c r="B235" s="4">
        <v>55.55</v>
      </c>
      <c r="C235" s="4">
        <v>50.97</v>
      </c>
      <c r="D235" s="4">
        <v>59.32</v>
      </c>
      <c r="E235" s="4">
        <v>48.52</v>
      </c>
      <c r="F235" s="4">
        <v>58.69</v>
      </c>
      <c r="G235" s="4">
        <v>50.05</v>
      </c>
      <c r="H235" s="6">
        <v>65.849999999999994</v>
      </c>
      <c r="I235" s="4">
        <v>43.3</v>
      </c>
      <c r="J235" s="4">
        <v>33.25</v>
      </c>
      <c r="K235" s="5">
        <v>74.239999999999995</v>
      </c>
      <c r="L235" s="4">
        <v>51.25</v>
      </c>
    </row>
    <row r="236" spans="1:12" ht="15" customHeight="1" x14ac:dyDescent="0.45">
      <c r="A236" s="3">
        <v>45905</v>
      </c>
      <c r="B236" s="4">
        <v>51.9</v>
      </c>
      <c r="C236" s="4">
        <v>50.55</v>
      </c>
      <c r="D236" s="4">
        <v>59.58</v>
      </c>
      <c r="E236" s="4">
        <v>49.5</v>
      </c>
      <c r="F236" s="4">
        <v>58.26</v>
      </c>
      <c r="G236" s="4">
        <v>48.65</v>
      </c>
      <c r="H236" s="6">
        <v>64.400000000000006</v>
      </c>
      <c r="I236" s="4">
        <v>45.92</v>
      </c>
      <c r="J236" s="4">
        <v>38.450000000000003</v>
      </c>
      <c r="K236" s="5">
        <v>73.86</v>
      </c>
      <c r="L236" s="4">
        <v>54.9</v>
      </c>
    </row>
    <row r="237" spans="1:12" ht="15" customHeight="1" x14ac:dyDescent="0.45">
      <c r="A237" s="3">
        <v>45904</v>
      </c>
      <c r="B237" s="4">
        <v>51.48</v>
      </c>
      <c r="C237" s="6">
        <v>62.72</v>
      </c>
      <c r="D237" s="4">
        <v>57.97</v>
      </c>
      <c r="E237" s="4">
        <v>59.01</v>
      </c>
      <c r="F237" s="4">
        <v>54.72</v>
      </c>
      <c r="G237" s="4">
        <v>50.83</v>
      </c>
      <c r="H237" s="6">
        <v>64.540000000000006</v>
      </c>
      <c r="I237" s="4">
        <v>43.48</v>
      </c>
      <c r="J237" s="4">
        <v>40.24</v>
      </c>
      <c r="K237" s="5">
        <v>72.06</v>
      </c>
      <c r="L237" s="4">
        <v>49.94</v>
      </c>
    </row>
    <row r="238" spans="1:12" ht="15" customHeight="1" x14ac:dyDescent="0.45">
      <c r="A238" s="3">
        <v>45903</v>
      </c>
      <c r="B238" s="4">
        <v>49.1</v>
      </c>
      <c r="C238" s="4">
        <v>57.33</v>
      </c>
      <c r="D238" s="4">
        <v>56.18</v>
      </c>
      <c r="E238" s="4">
        <v>56.34</v>
      </c>
      <c r="F238" s="4">
        <v>52.68</v>
      </c>
      <c r="G238" s="4">
        <v>43.77</v>
      </c>
      <c r="H238" s="4">
        <v>57.26</v>
      </c>
      <c r="I238" s="4">
        <v>42.96</v>
      </c>
      <c r="J238" s="4">
        <v>40.92</v>
      </c>
      <c r="K238" s="6">
        <v>68.709999999999994</v>
      </c>
      <c r="L238" s="4">
        <v>46.28</v>
      </c>
    </row>
    <row r="239" spans="1:12" ht="15" customHeight="1" x14ac:dyDescent="0.45">
      <c r="A239" s="3">
        <v>45902</v>
      </c>
      <c r="B239" s="4">
        <v>46.16</v>
      </c>
      <c r="C239" s="4">
        <v>58.59</v>
      </c>
      <c r="D239" s="4">
        <v>59.1</v>
      </c>
      <c r="E239" s="5">
        <v>71.17</v>
      </c>
      <c r="F239" s="4">
        <v>56.89</v>
      </c>
      <c r="G239" s="4">
        <v>46.56</v>
      </c>
      <c r="H239" s="4">
        <v>55.39</v>
      </c>
      <c r="I239" s="4">
        <v>43.41</v>
      </c>
      <c r="J239" s="4">
        <v>42.31</v>
      </c>
      <c r="K239" s="6">
        <v>60.73</v>
      </c>
      <c r="L239" s="4">
        <v>47.54</v>
      </c>
    </row>
    <row r="240" spans="1:12" ht="15" customHeight="1" x14ac:dyDescent="0.45">
      <c r="A240" s="3">
        <v>45901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5" customHeight="1" x14ac:dyDescent="0.45">
      <c r="A241" s="3">
        <v>45898</v>
      </c>
      <c r="B241" s="4">
        <v>50.83</v>
      </c>
      <c r="C241" s="6">
        <v>64.459999999999994</v>
      </c>
      <c r="D241" s="4">
        <v>58.7</v>
      </c>
      <c r="E241" s="5">
        <v>70.709999999999994</v>
      </c>
      <c r="F241" s="6">
        <v>62.02</v>
      </c>
      <c r="G241" s="4">
        <v>52.49</v>
      </c>
      <c r="H241" s="4">
        <v>59.92</v>
      </c>
      <c r="I241" s="4">
        <v>44.33</v>
      </c>
      <c r="J241" s="4">
        <v>44.18</v>
      </c>
      <c r="K241" s="6">
        <v>62.24</v>
      </c>
      <c r="L241" s="4">
        <v>57.05</v>
      </c>
    </row>
    <row r="242" spans="1:12" ht="15" customHeight="1" x14ac:dyDescent="0.45">
      <c r="A242" s="3">
        <v>45897</v>
      </c>
      <c r="B242" s="4">
        <v>59.45</v>
      </c>
      <c r="C242" s="6">
        <v>63.27</v>
      </c>
      <c r="D242" s="4">
        <v>55.61</v>
      </c>
      <c r="E242" s="6">
        <v>68.989999999999995</v>
      </c>
      <c r="F242" s="6">
        <v>61.41</v>
      </c>
      <c r="G242" s="4">
        <v>59.32</v>
      </c>
      <c r="H242" s="6">
        <v>67.02</v>
      </c>
      <c r="I242" s="4">
        <v>39.56</v>
      </c>
      <c r="J242" s="4">
        <v>46.27</v>
      </c>
      <c r="K242" s="6">
        <v>63.94</v>
      </c>
      <c r="L242" s="4">
        <v>54.34</v>
      </c>
    </row>
    <row r="243" spans="1:12" ht="15" customHeight="1" x14ac:dyDescent="0.45">
      <c r="A243" s="3">
        <v>45896</v>
      </c>
      <c r="B243" s="4">
        <v>55.9</v>
      </c>
      <c r="C243" s="6">
        <v>62.68</v>
      </c>
      <c r="D243" s="4">
        <v>57.78</v>
      </c>
      <c r="E243" s="6">
        <v>66.44</v>
      </c>
      <c r="F243" s="6">
        <v>61.41</v>
      </c>
      <c r="G243" s="4">
        <v>58.36</v>
      </c>
      <c r="H243" s="6">
        <v>66.41</v>
      </c>
      <c r="I243" s="4">
        <v>42.91</v>
      </c>
      <c r="J243" s="4">
        <v>50.97</v>
      </c>
      <c r="K243" s="6">
        <v>62.1</v>
      </c>
      <c r="L243" s="4">
        <v>55.91</v>
      </c>
    </row>
    <row r="244" spans="1:12" ht="15" customHeight="1" x14ac:dyDescent="0.45">
      <c r="A244" s="3">
        <v>45895</v>
      </c>
      <c r="B244" s="4">
        <v>53.32</v>
      </c>
      <c r="C244" s="6">
        <v>61.8</v>
      </c>
      <c r="D244" s="4">
        <v>58.09</v>
      </c>
      <c r="E244" s="6">
        <v>62.24</v>
      </c>
      <c r="F244" s="6">
        <v>60.44</v>
      </c>
      <c r="G244" s="4">
        <v>58.46</v>
      </c>
      <c r="H244" s="6">
        <v>66.34</v>
      </c>
      <c r="I244" s="4">
        <v>40.71</v>
      </c>
      <c r="J244" s="4">
        <v>50.83</v>
      </c>
      <c r="K244" s="6">
        <v>61.27</v>
      </c>
      <c r="L244" s="4">
        <v>53.89</v>
      </c>
    </row>
    <row r="245" spans="1:12" ht="15" customHeight="1" x14ac:dyDescent="0.45">
      <c r="A245" s="3">
        <v>45894</v>
      </c>
      <c r="B245" s="4">
        <v>51.08</v>
      </c>
      <c r="C245" s="4">
        <v>58.38</v>
      </c>
      <c r="D245" s="4">
        <v>55.74</v>
      </c>
      <c r="E245" s="6">
        <v>63.28</v>
      </c>
      <c r="F245" s="4">
        <v>59.42</v>
      </c>
      <c r="G245" s="4">
        <v>52.89</v>
      </c>
      <c r="H245" s="6">
        <v>64.819999999999993</v>
      </c>
      <c r="I245" s="4">
        <v>44.2</v>
      </c>
      <c r="J245" s="4">
        <v>49.53</v>
      </c>
      <c r="K245" s="6">
        <v>64.66</v>
      </c>
      <c r="L245" s="4">
        <v>55.46</v>
      </c>
    </row>
    <row r="246" spans="1:12" ht="15" customHeight="1" x14ac:dyDescent="0.45">
      <c r="A246" s="3">
        <v>45891</v>
      </c>
      <c r="B246" s="4">
        <v>52.23</v>
      </c>
      <c r="C246" s="6">
        <v>62.29</v>
      </c>
      <c r="D246" s="6">
        <v>63.41</v>
      </c>
      <c r="E246" s="6">
        <v>62.32</v>
      </c>
      <c r="F246" s="6">
        <v>62.49</v>
      </c>
      <c r="G246" s="6">
        <v>60.24</v>
      </c>
      <c r="H246" s="6">
        <v>66.03</v>
      </c>
      <c r="I246" s="4">
        <v>56.04</v>
      </c>
      <c r="J246" s="4">
        <v>56.62</v>
      </c>
      <c r="K246" s="6">
        <v>63.98</v>
      </c>
      <c r="L246" s="4">
        <v>58.22</v>
      </c>
    </row>
    <row r="247" spans="1:12" ht="15" customHeight="1" x14ac:dyDescent="0.45">
      <c r="A247" s="3">
        <v>45890</v>
      </c>
      <c r="B247" s="4">
        <v>45.47</v>
      </c>
      <c r="C247" s="4">
        <v>54.32</v>
      </c>
      <c r="D247" s="6">
        <v>60.51</v>
      </c>
      <c r="E247" s="4">
        <v>53.74</v>
      </c>
      <c r="F247" s="4">
        <v>54.89</v>
      </c>
      <c r="G247" s="4">
        <v>49.83</v>
      </c>
      <c r="H247" s="4">
        <v>54.51</v>
      </c>
      <c r="I247" s="4">
        <v>56.04</v>
      </c>
      <c r="J247" s="4">
        <v>53.7</v>
      </c>
      <c r="K247" s="4">
        <v>57.29</v>
      </c>
      <c r="L247" s="4">
        <v>51.12</v>
      </c>
    </row>
    <row r="248" spans="1:12" ht="15" customHeight="1" x14ac:dyDescent="0.45">
      <c r="A248" s="3">
        <v>45889</v>
      </c>
      <c r="B248" s="4">
        <v>47.13</v>
      </c>
      <c r="C248" s="4">
        <v>56.48</v>
      </c>
      <c r="D248" s="6">
        <v>62.38</v>
      </c>
      <c r="E248" s="4">
        <v>50.2</v>
      </c>
      <c r="F248" s="4">
        <v>53.58</v>
      </c>
      <c r="G248" s="4">
        <v>52.64</v>
      </c>
      <c r="H248" s="4">
        <v>58.11</v>
      </c>
      <c r="I248" s="6">
        <v>63.89</v>
      </c>
      <c r="J248" s="4">
        <v>58.37</v>
      </c>
      <c r="K248" s="4">
        <v>58.05</v>
      </c>
      <c r="L248" s="4">
        <v>53.02</v>
      </c>
    </row>
    <row r="249" spans="1:12" ht="15" customHeight="1" x14ac:dyDescent="0.45">
      <c r="A249" s="3">
        <v>45888</v>
      </c>
      <c r="B249" s="4">
        <v>50.33</v>
      </c>
      <c r="C249" s="4">
        <v>53.76</v>
      </c>
      <c r="D249" s="6">
        <v>60.56</v>
      </c>
      <c r="E249" s="4">
        <v>45.56</v>
      </c>
      <c r="F249" s="4">
        <v>53.25</v>
      </c>
      <c r="G249" s="4">
        <v>53.36</v>
      </c>
      <c r="H249" s="6">
        <v>64.78</v>
      </c>
      <c r="I249" s="6">
        <v>60.69</v>
      </c>
      <c r="J249" s="4">
        <v>57.85</v>
      </c>
      <c r="K249" s="6">
        <v>60.09</v>
      </c>
      <c r="L249" s="4">
        <v>51.23</v>
      </c>
    </row>
    <row r="250" spans="1:12" ht="15" customHeight="1" x14ac:dyDescent="0.45">
      <c r="A250" s="3">
        <v>45887</v>
      </c>
      <c r="B250" s="6">
        <v>60.36</v>
      </c>
      <c r="C250" s="4">
        <v>52.75</v>
      </c>
      <c r="D250" s="4">
        <v>58.37</v>
      </c>
      <c r="E250" s="4">
        <v>45.36</v>
      </c>
      <c r="F250" s="4">
        <v>50.75</v>
      </c>
      <c r="G250" s="4">
        <v>51.92</v>
      </c>
      <c r="H250" s="6">
        <v>65.12</v>
      </c>
      <c r="I250" s="4">
        <v>53.89</v>
      </c>
      <c r="J250" s="4">
        <v>52.81</v>
      </c>
      <c r="K250" s="6">
        <v>64.010000000000005</v>
      </c>
      <c r="L250" s="4">
        <v>41.81</v>
      </c>
    </row>
    <row r="251" spans="1:12" ht="15" customHeight="1" x14ac:dyDescent="0.45">
      <c r="A251" s="3">
        <v>45884</v>
      </c>
      <c r="B251" s="4">
        <v>59.44</v>
      </c>
      <c r="C251" s="4">
        <v>52.36</v>
      </c>
      <c r="D251" s="4">
        <v>59.5</v>
      </c>
      <c r="E251" s="4">
        <v>48.15</v>
      </c>
      <c r="F251" s="4">
        <v>53.3</v>
      </c>
      <c r="G251" s="4">
        <v>49.3</v>
      </c>
      <c r="H251" s="6">
        <v>63.65</v>
      </c>
      <c r="I251" s="4">
        <v>55.05</v>
      </c>
      <c r="J251" s="4">
        <v>55.56</v>
      </c>
      <c r="K251" s="6">
        <v>68.56</v>
      </c>
      <c r="L251" s="4">
        <v>46.24</v>
      </c>
    </row>
    <row r="252" spans="1:12" ht="15" customHeight="1" x14ac:dyDescent="0.45">
      <c r="A252" s="3">
        <v>45883</v>
      </c>
      <c r="B252" s="6">
        <v>64.38</v>
      </c>
      <c r="C252" s="4">
        <v>58.51</v>
      </c>
      <c r="D252" s="4">
        <v>53.63</v>
      </c>
      <c r="E252" s="4">
        <v>48.15</v>
      </c>
      <c r="F252" s="4">
        <v>53.3</v>
      </c>
      <c r="G252" s="4">
        <v>52.39</v>
      </c>
      <c r="H252" s="6">
        <v>65.17</v>
      </c>
      <c r="I252" s="4">
        <v>53.97</v>
      </c>
      <c r="J252" s="4">
        <v>57.44</v>
      </c>
      <c r="K252" s="6">
        <v>67.680000000000007</v>
      </c>
      <c r="L252" s="4">
        <v>42.31</v>
      </c>
    </row>
    <row r="253" spans="1:12" ht="15" customHeight="1" x14ac:dyDescent="0.45">
      <c r="A253" s="3">
        <v>45882</v>
      </c>
      <c r="B253" s="6">
        <v>65.83</v>
      </c>
      <c r="C253" s="4">
        <v>56.34</v>
      </c>
      <c r="D253" s="4">
        <v>51.7</v>
      </c>
      <c r="E253" s="4">
        <v>48.55</v>
      </c>
      <c r="F253" s="4">
        <v>57.87</v>
      </c>
      <c r="G253" s="4">
        <v>59.13</v>
      </c>
      <c r="H253" s="6">
        <v>65.86</v>
      </c>
      <c r="I253" s="6">
        <v>61.85</v>
      </c>
      <c r="J253" s="6">
        <v>62.11</v>
      </c>
      <c r="K253" s="6">
        <v>67.41</v>
      </c>
      <c r="L253" s="4">
        <v>45.63</v>
      </c>
    </row>
    <row r="254" spans="1:12" ht="15" customHeight="1" x14ac:dyDescent="0.45">
      <c r="A254" s="3">
        <v>45881</v>
      </c>
      <c r="B254" s="6">
        <v>65.709999999999994</v>
      </c>
      <c r="C254" s="4">
        <v>53.65</v>
      </c>
      <c r="D254" s="4">
        <v>45.03</v>
      </c>
      <c r="E254" s="4">
        <v>43.12</v>
      </c>
      <c r="F254" s="4">
        <v>50.96</v>
      </c>
      <c r="G254" s="4">
        <v>56.92</v>
      </c>
      <c r="H254" s="6">
        <v>61.31</v>
      </c>
      <c r="I254" s="6">
        <v>61.85</v>
      </c>
      <c r="J254" s="6">
        <v>61.19</v>
      </c>
      <c r="K254" s="6">
        <v>64.78</v>
      </c>
      <c r="L254" s="4">
        <v>41.67</v>
      </c>
    </row>
    <row r="255" spans="1:12" ht="15" customHeight="1" x14ac:dyDescent="0.45">
      <c r="A255" s="3">
        <v>45880</v>
      </c>
      <c r="B255" s="6">
        <v>60.24</v>
      </c>
      <c r="C255" s="4">
        <v>47.31</v>
      </c>
      <c r="D255" s="4">
        <v>41.84</v>
      </c>
      <c r="E255" s="4">
        <v>40.69</v>
      </c>
      <c r="F255" s="4">
        <v>45.26</v>
      </c>
      <c r="G255" s="4">
        <v>50.2</v>
      </c>
      <c r="H255" s="4">
        <v>57.26</v>
      </c>
      <c r="I255" s="6">
        <v>60.37</v>
      </c>
      <c r="J255" s="4">
        <v>59.38</v>
      </c>
      <c r="K255" s="4">
        <v>57.03</v>
      </c>
      <c r="L255" s="4">
        <v>40.619999999999997</v>
      </c>
    </row>
    <row r="256" spans="1:12" ht="15" customHeight="1" x14ac:dyDescent="0.45">
      <c r="A256" s="3">
        <v>45877</v>
      </c>
      <c r="B256" s="6">
        <v>64.44</v>
      </c>
      <c r="C256" s="4">
        <v>47.5</v>
      </c>
      <c r="D256" s="4">
        <v>41.38</v>
      </c>
      <c r="E256" s="4">
        <v>43.56</v>
      </c>
      <c r="F256" s="4">
        <v>46.12</v>
      </c>
      <c r="G256" s="4">
        <v>52.59</v>
      </c>
      <c r="H256" s="4">
        <v>56.22</v>
      </c>
      <c r="I256" s="6">
        <v>61.07</v>
      </c>
      <c r="J256" s="6">
        <v>61.31</v>
      </c>
      <c r="K256" s="4">
        <v>54.57</v>
      </c>
      <c r="L256" s="4">
        <v>43.08</v>
      </c>
    </row>
    <row r="257" spans="1:12" ht="15" customHeight="1" x14ac:dyDescent="0.45">
      <c r="A257" s="3">
        <v>45876</v>
      </c>
      <c r="B257" s="6">
        <v>60.72</v>
      </c>
      <c r="C257" s="4">
        <v>42.29</v>
      </c>
      <c r="D257" s="4">
        <v>37.33</v>
      </c>
      <c r="E257" s="4">
        <v>40.46</v>
      </c>
      <c r="F257" s="4">
        <v>43.93</v>
      </c>
      <c r="G257" s="4">
        <v>52.07</v>
      </c>
      <c r="H257" s="4">
        <v>55.55</v>
      </c>
      <c r="I257" s="4">
        <v>59.57</v>
      </c>
      <c r="J257" s="6">
        <v>63.95</v>
      </c>
      <c r="K257" s="4">
        <v>52.92</v>
      </c>
      <c r="L257" s="4">
        <v>46.79</v>
      </c>
    </row>
    <row r="258" spans="1:12" ht="15" customHeight="1" x14ac:dyDescent="0.45">
      <c r="A258" s="3">
        <v>45875</v>
      </c>
      <c r="B258" s="6">
        <v>60.37</v>
      </c>
      <c r="C258" s="4">
        <v>47.59</v>
      </c>
      <c r="D258" s="4">
        <v>40.74</v>
      </c>
      <c r="E258" s="4">
        <v>41.76</v>
      </c>
      <c r="F258" s="4">
        <v>42.04</v>
      </c>
      <c r="G258" s="4">
        <v>53.06</v>
      </c>
      <c r="H258" s="4">
        <v>55.69</v>
      </c>
      <c r="I258" s="4">
        <v>55.46</v>
      </c>
      <c r="J258" s="4">
        <v>59.92</v>
      </c>
      <c r="K258" s="4">
        <v>55.29</v>
      </c>
      <c r="L258" s="4">
        <v>44.71</v>
      </c>
    </row>
    <row r="259" spans="1:12" ht="15" customHeight="1" x14ac:dyDescent="0.45">
      <c r="A259" s="3">
        <v>45874</v>
      </c>
      <c r="B259" s="4">
        <v>55.91</v>
      </c>
      <c r="C259" s="4">
        <v>44.82</v>
      </c>
      <c r="D259" s="4">
        <v>45.9</v>
      </c>
      <c r="E259" s="4">
        <v>44.97</v>
      </c>
      <c r="F259" s="4">
        <v>45.65</v>
      </c>
      <c r="G259" s="4">
        <v>52.61</v>
      </c>
      <c r="H259" s="4">
        <v>47.55</v>
      </c>
      <c r="I259" s="4">
        <v>46.01</v>
      </c>
      <c r="J259" s="6">
        <v>65.56</v>
      </c>
      <c r="K259" s="4">
        <v>53.57</v>
      </c>
      <c r="L259" s="4">
        <v>48.57</v>
      </c>
    </row>
    <row r="260" spans="1:12" ht="15" customHeight="1" x14ac:dyDescent="0.45">
      <c r="A260" s="3">
        <v>45873</v>
      </c>
      <c r="B260" s="6">
        <v>60.6</v>
      </c>
      <c r="C260" s="4">
        <v>46.74</v>
      </c>
      <c r="D260" s="4">
        <v>47.32</v>
      </c>
      <c r="E260" s="4">
        <v>44.42</v>
      </c>
      <c r="F260" s="4">
        <v>42.7</v>
      </c>
      <c r="G260" s="4">
        <v>53.86</v>
      </c>
      <c r="H260" s="4">
        <v>46.99</v>
      </c>
      <c r="I260" s="4">
        <v>46.65</v>
      </c>
      <c r="J260" s="5">
        <v>73.290000000000006</v>
      </c>
      <c r="K260" s="4">
        <v>57.81</v>
      </c>
      <c r="L260" s="4">
        <v>46.87</v>
      </c>
    </row>
    <row r="261" spans="1:12" ht="15" customHeight="1" x14ac:dyDescent="0.45">
      <c r="A261" s="3">
        <v>45870</v>
      </c>
      <c r="B261" s="4">
        <v>51.5</v>
      </c>
      <c r="C261" s="4">
        <v>41.04</v>
      </c>
      <c r="D261" s="4">
        <v>41.05</v>
      </c>
      <c r="E261" s="4">
        <v>45.15</v>
      </c>
      <c r="F261" s="4">
        <v>36.78</v>
      </c>
      <c r="G261" s="4">
        <v>48.8</v>
      </c>
      <c r="H261" s="4">
        <v>41.79</v>
      </c>
      <c r="I261" s="4">
        <v>43.07</v>
      </c>
      <c r="J261" s="6">
        <v>67.47</v>
      </c>
      <c r="K261" s="4">
        <v>48.66</v>
      </c>
      <c r="L261" s="4">
        <v>42.43</v>
      </c>
    </row>
    <row r="262" spans="1:12" ht="15" customHeight="1" x14ac:dyDescent="0.45">
      <c r="A262" s="3">
        <v>45869</v>
      </c>
      <c r="B262" s="6">
        <v>67.150000000000006</v>
      </c>
      <c r="C262" s="4">
        <v>50.62</v>
      </c>
      <c r="D262" s="4">
        <v>38.53</v>
      </c>
      <c r="E262" s="4">
        <v>51.87</v>
      </c>
      <c r="F262" s="4">
        <v>40.17</v>
      </c>
      <c r="G262" s="4">
        <v>58.62</v>
      </c>
      <c r="H262" s="4">
        <v>51.7</v>
      </c>
      <c r="I262" s="4">
        <v>39.39</v>
      </c>
      <c r="J262" s="6">
        <v>66.89</v>
      </c>
      <c r="K262" s="4">
        <v>55.76</v>
      </c>
      <c r="L262" s="4">
        <v>43.59</v>
      </c>
    </row>
    <row r="263" spans="1:12" ht="15" customHeight="1" x14ac:dyDescent="0.45">
      <c r="A263" s="3">
        <v>45868</v>
      </c>
      <c r="B263" s="5">
        <v>74.319999999999993</v>
      </c>
      <c r="C263" s="4">
        <v>54.65</v>
      </c>
      <c r="D263" s="4">
        <v>49.01</v>
      </c>
      <c r="E263" s="4">
        <v>54.04</v>
      </c>
      <c r="F263" s="4">
        <v>44.37</v>
      </c>
      <c r="G263" s="4">
        <v>58.59</v>
      </c>
      <c r="H263" s="4">
        <v>55.76</v>
      </c>
      <c r="I263" s="4">
        <v>44.21</v>
      </c>
      <c r="J263" s="6">
        <v>64.86</v>
      </c>
      <c r="K263" s="4">
        <v>50.8</v>
      </c>
      <c r="L263" s="4">
        <v>51.66</v>
      </c>
    </row>
    <row r="264" spans="1:12" ht="15" customHeight="1" x14ac:dyDescent="0.45">
      <c r="A264" s="3">
        <v>45867</v>
      </c>
      <c r="B264" s="5">
        <v>73.52</v>
      </c>
      <c r="C264" s="4">
        <v>55.9</v>
      </c>
      <c r="D264" s="4">
        <v>49.82</v>
      </c>
      <c r="E264" s="6">
        <v>60.37</v>
      </c>
      <c r="F264" s="4">
        <v>52.73</v>
      </c>
      <c r="G264" s="6">
        <v>62.15</v>
      </c>
      <c r="H264" s="4">
        <v>59.24</v>
      </c>
      <c r="I264" s="4">
        <v>50.16</v>
      </c>
      <c r="J264" s="6">
        <v>61.88</v>
      </c>
      <c r="K264" s="4">
        <v>48.97</v>
      </c>
      <c r="L264" s="6">
        <v>60.03</v>
      </c>
    </row>
    <row r="265" spans="1:12" ht="15" customHeight="1" x14ac:dyDescent="0.45">
      <c r="A265" s="3">
        <v>45866</v>
      </c>
      <c r="B265" s="5">
        <v>73.510000000000005</v>
      </c>
      <c r="C265" s="4">
        <v>59.31</v>
      </c>
      <c r="D265" s="4">
        <v>52.69</v>
      </c>
      <c r="E265" s="4">
        <v>57.22</v>
      </c>
      <c r="F265" s="4">
        <v>54.56</v>
      </c>
      <c r="G265" s="5">
        <v>71.650000000000006</v>
      </c>
      <c r="H265" s="6">
        <v>63.25</v>
      </c>
      <c r="I265" s="4">
        <v>45.11</v>
      </c>
      <c r="J265" s="4">
        <v>56.69</v>
      </c>
      <c r="K265" s="4">
        <v>54.18</v>
      </c>
      <c r="L265" s="4">
        <v>51.52</v>
      </c>
    </row>
    <row r="266" spans="1:12" ht="15" customHeight="1" x14ac:dyDescent="0.45">
      <c r="A266" s="3">
        <v>45863</v>
      </c>
      <c r="B266" s="5">
        <v>70.72</v>
      </c>
      <c r="C266" s="6">
        <v>64.290000000000006</v>
      </c>
      <c r="D266" s="4">
        <v>56.92</v>
      </c>
      <c r="E266" s="4">
        <v>53.25</v>
      </c>
      <c r="F266" s="6">
        <v>62.23</v>
      </c>
      <c r="G266" s="5">
        <v>74.540000000000006</v>
      </c>
      <c r="H266" s="6">
        <v>61.2</v>
      </c>
      <c r="I266" s="4">
        <v>53.01</v>
      </c>
      <c r="J266" s="6">
        <v>64.319999999999993</v>
      </c>
      <c r="K266" s="4">
        <v>57.77</v>
      </c>
      <c r="L266" s="6">
        <v>65.13</v>
      </c>
    </row>
    <row r="267" spans="1:12" ht="15" customHeight="1" x14ac:dyDescent="0.45">
      <c r="A267" s="3">
        <v>45862</v>
      </c>
      <c r="B267" s="6">
        <v>69.88</v>
      </c>
      <c r="C267" s="6">
        <v>61.27</v>
      </c>
      <c r="D267" s="4">
        <v>54.89</v>
      </c>
      <c r="E267" s="4">
        <v>54.82</v>
      </c>
      <c r="F267" s="4">
        <v>57.79</v>
      </c>
      <c r="G267" s="5">
        <v>71.12</v>
      </c>
      <c r="H267" s="4">
        <v>57.74</v>
      </c>
      <c r="I267" s="4">
        <v>51.7</v>
      </c>
      <c r="J267" s="6">
        <v>63.19</v>
      </c>
      <c r="K267" s="6">
        <v>64.72</v>
      </c>
      <c r="L267" s="6">
        <v>65.13</v>
      </c>
    </row>
    <row r="268" spans="1:12" ht="15" customHeight="1" x14ac:dyDescent="0.45">
      <c r="A268" s="3">
        <v>45861</v>
      </c>
      <c r="B268" s="6">
        <v>68.33</v>
      </c>
      <c r="C268" s="6">
        <v>61.66</v>
      </c>
      <c r="D268" s="4">
        <v>56.64</v>
      </c>
      <c r="E268" s="4">
        <v>52.36</v>
      </c>
      <c r="F268" s="6">
        <v>63.92</v>
      </c>
      <c r="G268" s="5">
        <v>72.67</v>
      </c>
      <c r="H268" s="6">
        <v>67.94</v>
      </c>
      <c r="I268" s="4">
        <v>54.63</v>
      </c>
      <c r="J268" s="6">
        <v>64.13</v>
      </c>
      <c r="K268" s="6">
        <v>64</v>
      </c>
      <c r="L268" s="6">
        <v>66.36</v>
      </c>
    </row>
    <row r="269" spans="1:12" ht="15" customHeight="1" x14ac:dyDescent="0.45">
      <c r="A269" s="3">
        <v>45860</v>
      </c>
      <c r="B269" s="6">
        <v>66.150000000000006</v>
      </c>
      <c r="C269" s="4">
        <v>58.17</v>
      </c>
      <c r="D269" s="4">
        <v>48.41</v>
      </c>
      <c r="E269" s="4">
        <v>46.51</v>
      </c>
      <c r="F269" s="6">
        <v>62.73</v>
      </c>
      <c r="G269" s="6">
        <v>65.36</v>
      </c>
      <c r="H269" s="6">
        <v>66.36</v>
      </c>
      <c r="I269" s="4">
        <v>54.38</v>
      </c>
      <c r="J269" s="6">
        <v>69.72</v>
      </c>
      <c r="K269" s="6">
        <v>61.63</v>
      </c>
      <c r="L269" s="6">
        <v>65.14</v>
      </c>
    </row>
    <row r="270" spans="1:12" ht="15" customHeight="1" x14ac:dyDescent="0.45">
      <c r="A270" s="3">
        <v>45859</v>
      </c>
      <c r="B270" s="5">
        <v>73.87</v>
      </c>
      <c r="C270" s="4">
        <v>55.58</v>
      </c>
      <c r="D270" s="4">
        <v>38.799999999999997</v>
      </c>
      <c r="E270" s="4">
        <v>44.63</v>
      </c>
      <c r="F270" s="4">
        <v>57.43</v>
      </c>
      <c r="G270" s="6">
        <v>64.180000000000007</v>
      </c>
      <c r="H270" s="6">
        <v>62.78</v>
      </c>
      <c r="I270" s="4">
        <v>47.85</v>
      </c>
      <c r="J270" s="6">
        <v>65.19</v>
      </c>
      <c r="K270" s="6">
        <v>60.61</v>
      </c>
      <c r="L270" s="4">
        <v>56.18</v>
      </c>
    </row>
    <row r="271" spans="1:12" ht="15" customHeight="1" x14ac:dyDescent="0.45">
      <c r="A271" s="3">
        <v>45856</v>
      </c>
      <c r="B271" s="5">
        <v>73.47</v>
      </c>
      <c r="C271" s="4">
        <v>57.29</v>
      </c>
      <c r="D271" s="4">
        <v>40.97</v>
      </c>
      <c r="E271" s="4">
        <v>48.13</v>
      </c>
      <c r="F271" s="4">
        <v>55.25</v>
      </c>
      <c r="G271" s="6">
        <v>69.03</v>
      </c>
      <c r="H271" s="6">
        <v>60.98</v>
      </c>
      <c r="I271" s="4">
        <v>47.93</v>
      </c>
      <c r="J271" s="6">
        <v>63.87</v>
      </c>
      <c r="K271" s="4">
        <v>54.18</v>
      </c>
      <c r="L271" s="4">
        <v>53.76</v>
      </c>
    </row>
    <row r="272" spans="1:12" ht="15" customHeight="1" x14ac:dyDescent="0.45">
      <c r="A272" s="3">
        <v>45855</v>
      </c>
      <c r="B272" s="5">
        <v>74</v>
      </c>
      <c r="C272" s="4">
        <v>57.04</v>
      </c>
      <c r="D272" s="4">
        <v>43.64</v>
      </c>
      <c r="E272" s="4">
        <v>51.06</v>
      </c>
      <c r="F272" s="4">
        <v>54.26</v>
      </c>
      <c r="G272" s="5">
        <v>71.16</v>
      </c>
      <c r="H272" s="4">
        <v>57.45</v>
      </c>
      <c r="I272" s="4">
        <v>49.76</v>
      </c>
      <c r="J272" s="4">
        <v>55.96</v>
      </c>
      <c r="K272" s="4">
        <v>57.17</v>
      </c>
      <c r="L272" s="4">
        <v>51.91</v>
      </c>
    </row>
    <row r="273" spans="1:12" ht="15" customHeight="1" x14ac:dyDescent="0.45">
      <c r="A273" s="3">
        <v>45854</v>
      </c>
      <c r="B273" s="5">
        <v>71.34</v>
      </c>
      <c r="C273" s="4">
        <v>52.86</v>
      </c>
      <c r="D273" s="4">
        <v>48.78</v>
      </c>
      <c r="E273" s="4">
        <v>48.87</v>
      </c>
      <c r="F273" s="4">
        <v>51.26</v>
      </c>
      <c r="G273" s="6">
        <v>67.34</v>
      </c>
      <c r="H273" s="4">
        <v>56.03</v>
      </c>
      <c r="I273" s="4">
        <v>42.75</v>
      </c>
      <c r="J273" s="4">
        <v>53.64</v>
      </c>
      <c r="K273" s="4">
        <v>55.45</v>
      </c>
      <c r="L273" s="4">
        <v>52.56</v>
      </c>
    </row>
    <row r="274" spans="1:12" ht="15" customHeight="1" x14ac:dyDescent="0.45">
      <c r="A274" s="3">
        <v>45853</v>
      </c>
      <c r="B274" s="5">
        <v>70.38</v>
      </c>
      <c r="C274" s="4">
        <v>49.58</v>
      </c>
      <c r="D274" s="4">
        <v>41.94</v>
      </c>
      <c r="E274" s="4">
        <v>51.92</v>
      </c>
      <c r="F274" s="4">
        <v>50.1</v>
      </c>
      <c r="G274" s="6">
        <v>65.739999999999995</v>
      </c>
      <c r="H274" s="4">
        <v>55.29</v>
      </c>
      <c r="I274" s="4">
        <v>39.880000000000003</v>
      </c>
      <c r="J274" s="4">
        <v>53.37</v>
      </c>
      <c r="K274" s="4">
        <v>53.96</v>
      </c>
      <c r="L274" s="4">
        <v>45.41</v>
      </c>
    </row>
    <row r="275" spans="1:12" ht="15" customHeight="1" x14ac:dyDescent="0.45">
      <c r="A275" s="3">
        <v>45852</v>
      </c>
      <c r="B275" s="6">
        <v>67.52</v>
      </c>
      <c r="C275" s="4">
        <v>59.13</v>
      </c>
      <c r="D275" s="4">
        <v>51.31</v>
      </c>
      <c r="E275" s="4">
        <v>57.57</v>
      </c>
      <c r="F275" s="6">
        <v>60.51</v>
      </c>
      <c r="G275" s="5">
        <v>72.83</v>
      </c>
      <c r="H275" s="6">
        <v>63.14</v>
      </c>
      <c r="I275" s="4">
        <v>46.09</v>
      </c>
      <c r="J275" s="4">
        <v>59.71</v>
      </c>
      <c r="K275" s="6">
        <v>60.14</v>
      </c>
      <c r="L275" s="4">
        <v>54.57</v>
      </c>
    </row>
    <row r="276" spans="1:12" ht="15" customHeight="1" x14ac:dyDescent="0.45">
      <c r="A276" s="3">
        <v>45849</v>
      </c>
      <c r="B276" s="6">
        <v>68.08</v>
      </c>
      <c r="C276" s="4">
        <v>55.7</v>
      </c>
      <c r="D276" s="4">
        <v>52.02</v>
      </c>
      <c r="E276" s="6">
        <v>62.43</v>
      </c>
      <c r="F276" s="6">
        <v>63.88</v>
      </c>
      <c r="G276" s="5">
        <v>70.72</v>
      </c>
      <c r="H276" s="6">
        <v>61.84</v>
      </c>
      <c r="I276" s="4">
        <v>45.4</v>
      </c>
      <c r="J276" s="4">
        <v>57.77</v>
      </c>
      <c r="K276" s="4">
        <v>55.5</v>
      </c>
      <c r="L276" s="4">
        <v>49.69</v>
      </c>
    </row>
    <row r="277" spans="1:12" ht="15" customHeight="1" x14ac:dyDescent="0.45">
      <c r="A277" s="3">
        <v>45848</v>
      </c>
      <c r="B277" s="5">
        <v>71.05</v>
      </c>
      <c r="C277" s="6">
        <v>62.59</v>
      </c>
      <c r="D277" s="4">
        <v>57.21</v>
      </c>
      <c r="E277" s="6">
        <v>61.19</v>
      </c>
      <c r="F277" s="6">
        <v>69.12</v>
      </c>
      <c r="G277" s="5">
        <v>74.28</v>
      </c>
      <c r="H277" s="6">
        <v>61.75</v>
      </c>
      <c r="I277" s="4">
        <v>47.81</v>
      </c>
      <c r="J277" s="4">
        <v>58.73</v>
      </c>
      <c r="K277" s="4">
        <v>59.78</v>
      </c>
      <c r="L277" s="4">
        <v>50.41</v>
      </c>
    </row>
    <row r="278" spans="1:12" ht="15" customHeight="1" x14ac:dyDescent="0.45">
      <c r="A278" s="3">
        <v>45847</v>
      </c>
      <c r="B278" s="5">
        <v>73.290000000000006</v>
      </c>
      <c r="C278" s="6">
        <v>60</v>
      </c>
      <c r="D278" s="4">
        <v>54.08</v>
      </c>
      <c r="E278" s="4">
        <v>59.08</v>
      </c>
      <c r="F278" s="6">
        <v>67.5</v>
      </c>
      <c r="G278" s="5">
        <v>72.27</v>
      </c>
      <c r="H278" s="4">
        <v>57.97</v>
      </c>
      <c r="I278" s="4">
        <v>45.2</v>
      </c>
      <c r="J278" s="4">
        <v>54.84</v>
      </c>
      <c r="K278" s="6">
        <v>62.11</v>
      </c>
      <c r="L278" s="4">
        <v>46.64</v>
      </c>
    </row>
    <row r="279" spans="1:12" ht="15" customHeight="1" x14ac:dyDescent="0.45">
      <c r="A279" s="3">
        <v>45846</v>
      </c>
      <c r="B279" s="5">
        <v>71.790000000000006</v>
      </c>
      <c r="C279" s="4">
        <v>58.36</v>
      </c>
      <c r="D279" s="4">
        <v>52.04</v>
      </c>
      <c r="E279" s="6">
        <v>61.15</v>
      </c>
      <c r="F279" s="6">
        <v>65.62</v>
      </c>
      <c r="G279" s="6">
        <v>69.52</v>
      </c>
      <c r="H279" s="4">
        <v>55.82</v>
      </c>
      <c r="I279" s="4">
        <v>49.39</v>
      </c>
      <c r="J279" s="4">
        <v>49.87</v>
      </c>
      <c r="K279" s="6">
        <v>61.01</v>
      </c>
      <c r="L279" s="4">
        <v>46.95</v>
      </c>
    </row>
    <row r="280" spans="1:12" ht="15" customHeight="1" x14ac:dyDescent="0.45">
      <c r="A280" s="3">
        <v>45845</v>
      </c>
      <c r="B280" s="5">
        <v>70.430000000000007</v>
      </c>
      <c r="C280" s="6">
        <v>64.430000000000007</v>
      </c>
      <c r="D280" s="4">
        <v>49.61</v>
      </c>
      <c r="E280" s="4">
        <v>53.33</v>
      </c>
      <c r="F280" s="6">
        <v>62.95</v>
      </c>
      <c r="G280" s="6">
        <v>69.77</v>
      </c>
      <c r="H280" s="4">
        <v>57.39</v>
      </c>
      <c r="I280" s="4">
        <v>56.35</v>
      </c>
      <c r="J280" s="4">
        <v>56.48</v>
      </c>
      <c r="K280" s="6">
        <v>62.33</v>
      </c>
      <c r="L280" s="4">
        <v>47.86</v>
      </c>
    </row>
    <row r="281" spans="1:12" ht="15" customHeight="1" x14ac:dyDescent="0.45">
      <c r="A281" s="3">
        <v>45842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5" customHeight="1" x14ac:dyDescent="0.45">
      <c r="A282" s="3">
        <v>45841</v>
      </c>
      <c r="B282" s="5">
        <v>75.48</v>
      </c>
      <c r="C282" s="5">
        <v>71.97</v>
      </c>
      <c r="D282" s="4">
        <v>54.4</v>
      </c>
      <c r="E282" s="4">
        <v>57.2</v>
      </c>
      <c r="F282" s="6">
        <v>68.87</v>
      </c>
      <c r="G282" s="5">
        <v>72.89</v>
      </c>
      <c r="H282" s="6">
        <v>63.7</v>
      </c>
      <c r="I282" s="4">
        <v>57.03</v>
      </c>
      <c r="J282" s="4">
        <v>55.4</v>
      </c>
      <c r="K282" s="6">
        <v>68.84</v>
      </c>
      <c r="L282" s="4">
        <v>52.88</v>
      </c>
    </row>
    <row r="283" spans="1:12" ht="15" customHeight="1" x14ac:dyDescent="0.45">
      <c r="A283" s="3">
        <v>45840</v>
      </c>
      <c r="B283" s="5">
        <v>72.48</v>
      </c>
      <c r="C283" s="6">
        <v>68.09</v>
      </c>
      <c r="D283" s="4">
        <v>53.89</v>
      </c>
      <c r="E283" s="4">
        <v>56.85</v>
      </c>
      <c r="F283" s="6">
        <v>69.28</v>
      </c>
      <c r="G283" s="6">
        <v>69.86</v>
      </c>
      <c r="H283" s="6">
        <v>62.04</v>
      </c>
      <c r="I283" s="4">
        <v>57.4</v>
      </c>
      <c r="J283" s="4">
        <v>51.41</v>
      </c>
      <c r="K283" s="6">
        <v>67.02</v>
      </c>
      <c r="L283" s="4">
        <v>52.59</v>
      </c>
    </row>
    <row r="284" spans="1:12" ht="15" customHeight="1" x14ac:dyDescent="0.45">
      <c r="A284" s="3">
        <v>45839</v>
      </c>
      <c r="B284" s="6">
        <v>69.75</v>
      </c>
      <c r="C284" s="6">
        <v>68.709999999999994</v>
      </c>
      <c r="D284" s="4">
        <v>59.87</v>
      </c>
      <c r="E284" s="4">
        <v>51.5</v>
      </c>
      <c r="F284" s="6">
        <v>64.89</v>
      </c>
      <c r="G284" s="6">
        <v>69.48</v>
      </c>
      <c r="H284" s="4">
        <v>59.54</v>
      </c>
      <c r="I284" s="4">
        <v>55.8</v>
      </c>
      <c r="J284" s="4">
        <v>56.92</v>
      </c>
      <c r="K284" s="6">
        <v>68.98</v>
      </c>
      <c r="L284" s="4">
        <v>51.49</v>
      </c>
    </row>
    <row r="285" spans="1:12" ht="15" customHeight="1" x14ac:dyDescent="0.45">
      <c r="A285" s="3">
        <v>45838</v>
      </c>
      <c r="B285" s="5">
        <v>75.69</v>
      </c>
      <c r="C285" s="6">
        <v>66.67</v>
      </c>
      <c r="D285" s="4">
        <v>52.99</v>
      </c>
      <c r="E285" s="4">
        <v>48.89</v>
      </c>
      <c r="F285" s="4">
        <v>54.79</v>
      </c>
      <c r="G285" s="6">
        <v>68.27</v>
      </c>
      <c r="H285" s="4">
        <v>58.19</v>
      </c>
      <c r="I285" s="4">
        <v>48.18</v>
      </c>
      <c r="J285" s="4">
        <v>55.16</v>
      </c>
      <c r="K285" s="5">
        <v>73.97</v>
      </c>
      <c r="L285" s="4">
        <v>47.51</v>
      </c>
    </row>
    <row r="286" spans="1:12" ht="15" customHeight="1" x14ac:dyDescent="0.45">
      <c r="A286" s="3">
        <v>45835</v>
      </c>
      <c r="B286" s="5">
        <v>73.400000000000006</v>
      </c>
      <c r="C286" s="6">
        <v>63.39</v>
      </c>
      <c r="D286" s="4">
        <v>49.37</v>
      </c>
      <c r="E286" s="4">
        <v>50.8</v>
      </c>
      <c r="F286" s="4">
        <v>55.31</v>
      </c>
      <c r="G286" s="6">
        <v>66.44</v>
      </c>
      <c r="H286" s="6">
        <v>60.75</v>
      </c>
      <c r="I286" s="4">
        <v>44.49</v>
      </c>
      <c r="J286" s="4">
        <v>53.06</v>
      </c>
      <c r="K286" s="5">
        <v>71.89</v>
      </c>
      <c r="L286" s="4">
        <v>42.85</v>
      </c>
    </row>
    <row r="287" spans="1:12" ht="15" customHeight="1" x14ac:dyDescent="0.45">
      <c r="A287" s="3">
        <v>45834</v>
      </c>
      <c r="B287" s="5">
        <v>74.19</v>
      </c>
      <c r="C287" s="6">
        <v>62.18</v>
      </c>
      <c r="D287" s="4">
        <v>50.59</v>
      </c>
      <c r="E287" s="4">
        <v>52.55</v>
      </c>
      <c r="F287" s="4">
        <v>54.76</v>
      </c>
      <c r="G287" s="6">
        <v>62.44</v>
      </c>
      <c r="H287" s="4">
        <v>55.58</v>
      </c>
      <c r="I287" s="4">
        <v>40.950000000000003</v>
      </c>
      <c r="J287" s="4">
        <v>52.06</v>
      </c>
      <c r="K287" s="6">
        <v>68.44</v>
      </c>
      <c r="L287" s="4">
        <v>40.39</v>
      </c>
    </row>
    <row r="288" spans="1:12" ht="15" customHeight="1" x14ac:dyDescent="0.45">
      <c r="A288" s="3">
        <v>45833</v>
      </c>
      <c r="B288" s="5">
        <v>72.62</v>
      </c>
      <c r="C288" s="4">
        <v>59</v>
      </c>
      <c r="D288" s="4">
        <v>49.31</v>
      </c>
      <c r="E288" s="4">
        <v>48.09</v>
      </c>
      <c r="F288" s="4">
        <v>49.76</v>
      </c>
      <c r="G288" s="4">
        <v>57.35</v>
      </c>
      <c r="H288" s="4">
        <v>52.39</v>
      </c>
      <c r="I288" s="4">
        <v>41.4</v>
      </c>
      <c r="J288" s="4">
        <v>47.68</v>
      </c>
      <c r="K288" s="6">
        <v>64.489999999999995</v>
      </c>
      <c r="L288" s="4">
        <v>43.4</v>
      </c>
    </row>
    <row r="289" spans="1:12" ht="15" customHeight="1" x14ac:dyDescent="0.45">
      <c r="A289" s="3">
        <v>45832</v>
      </c>
      <c r="B289" s="5">
        <v>70.58</v>
      </c>
      <c r="C289" s="6">
        <v>61.13</v>
      </c>
      <c r="D289" s="4">
        <v>48.85</v>
      </c>
      <c r="E289" s="4">
        <v>49.41</v>
      </c>
      <c r="F289" s="4">
        <v>54.67</v>
      </c>
      <c r="G289" s="6">
        <v>63.95</v>
      </c>
      <c r="H289" s="4">
        <v>57.35</v>
      </c>
      <c r="I289" s="4">
        <v>49.25</v>
      </c>
      <c r="J289" s="4">
        <v>55.3</v>
      </c>
      <c r="K289" s="6">
        <v>64.61</v>
      </c>
      <c r="L289" s="4">
        <v>59.74</v>
      </c>
    </row>
    <row r="290" spans="1:12" ht="15" customHeight="1" x14ac:dyDescent="0.45">
      <c r="A290" s="3">
        <v>45831</v>
      </c>
      <c r="B290" s="6">
        <v>65.680000000000007</v>
      </c>
      <c r="C290" s="4">
        <v>54.25</v>
      </c>
      <c r="D290" s="4">
        <v>42.25</v>
      </c>
      <c r="E290" s="4">
        <v>53.54</v>
      </c>
      <c r="F290" s="4">
        <v>50.81</v>
      </c>
      <c r="G290" s="4">
        <v>59.94</v>
      </c>
      <c r="H290" s="4">
        <v>55.52</v>
      </c>
      <c r="I290" s="4">
        <v>49.81</v>
      </c>
      <c r="J290" s="4">
        <v>53.07</v>
      </c>
      <c r="K290" s="4">
        <v>59.84</v>
      </c>
      <c r="L290" s="4">
        <v>56.81</v>
      </c>
    </row>
    <row r="291" spans="1:12" ht="15" customHeight="1" x14ac:dyDescent="0.45">
      <c r="A291" s="3">
        <v>45828</v>
      </c>
      <c r="B291" s="6">
        <v>62.58</v>
      </c>
      <c r="C291" s="4">
        <v>49.2</v>
      </c>
      <c r="D291" s="4">
        <v>43.67</v>
      </c>
      <c r="E291" s="6">
        <v>67.319999999999993</v>
      </c>
      <c r="F291" s="4">
        <v>47.83</v>
      </c>
      <c r="G291" s="4">
        <v>54.05</v>
      </c>
      <c r="H291" s="4">
        <v>49.19</v>
      </c>
      <c r="I291" s="4">
        <v>46.74</v>
      </c>
      <c r="J291" s="4">
        <v>50.02</v>
      </c>
      <c r="K291" s="4">
        <v>55.48</v>
      </c>
      <c r="L291" s="4">
        <v>53.16</v>
      </c>
    </row>
    <row r="292" spans="1:12" ht="15" customHeight="1" x14ac:dyDescent="0.45">
      <c r="A292" s="3">
        <v>45827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5" customHeight="1" x14ac:dyDescent="0.45">
      <c r="A293" s="3">
        <v>45826</v>
      </c>
      <c r="B293" s="6">
        <v>65.08</v>
      </c>
      <c r="C293" s="4">
        <v>47.56</v>
      </c>
      <c r="D293" s="4">
        <v>45.75</v>
      </c>
      <c r="E293" s="6">
        <v>64.75</v>
      </c>
      <c r="F293" s="4">
        <v>51.09</v>
      </c>
      <c r="G293" s="4">
        <v>53.36</v>
      </c>
      <c r="H293" s="4">
        <v>48.74</v>
      </c>
      <c r="I293" s="4">
        <v>41.6</v>
      </c>
      <c r="J293" s="4">
        <v>48.53</v>
      </c>
      <c r="K293" s="4">
        <v>59.05</v>
      </c>
      <c r="L293" s="4">
        <v>53.35</v>
      </c>
    </row>
    <row r="294" spans="1:12" ht="15" customHeight="1" x14ac:dyDescent="0.45">
      <c r="A294" s="3">
        <v>45825</v>
      </c>
      <c r="B294" s="6">
        <v>64.72</v>
      </c>
      <c r="C294" s="4">
        <v>47.77</v>
      </c>
      <c r="D294" s="4">
        <v>46.49</v>
      </c>
      <c r="E294" s="6">
        <v>67.94</v>
      </c>
      <c r="F294" s="4">
        <v>52.5</v>
      </c>
      <c r="G294" s="4">
        <v>54.98</v>
      </c>
      <c r="H294" s="4">
        <v>48.57</v>
      </c>
      <c r="I294" s="4">
        <v>42.24</v>
      </c>
      <c r="J294" s="4">
        <v>47.14</v>
      </c>
      <c r="K294" s="4">
        <v>58.86</v>
      </c>
      <c r="L294" s="4">
        <v>52.13</v>
      </c>
    </row>
    <row r="295" spans="1:12" ht="15" customHeight="1" x14ac:dyDescent="0.45">
      <c r="A295" s="3">
        <v>45824</v>
      </c>
      <c r="B295" s="6">
        <v>68.56</v>
      </c>
      <c r="C295" s="4">
        <v>50.7</v>
      </c>
      <c r="D295" s="4">
        <v>54.42</v>
      </c>
      <c r="E295" s="6">
        <v>65.72</v>
      </c>
      <c r="F295" s="4">
        <v>57.57</v>
      </c>
      <c r="G295" s="6">
        <v>60.36</v>
      </c>
      <c r="H295" s="4">
        <v>54.84</v>
      </c>
      <c r="I295" s="4">
        <v>46.88</v>
      </c>
      <c r="J295" s="4">
        <v>51.25</v>
      </c>
      <c r="K295" s="6">
        <v>64.08</v>
      </c>
      <c r="L295" s="4">
        <v>54.95</v>
      </c>
    </row>
    <row r="296" spans="1:12" ht="15" customHeight="1" x14ac:dyDescent="0.45">
      <c r="A296" s="3">
        <v>45821</v>
      </c>
      <c r="B296" s="6">
        <v>64.12</v>
      </c>
      <c r="C296" s="4">
        <v>44.48</v>
      </c>
      <c r="D296" s="4">
        <v>56.09</v>
      </c>
      <c r="E296" s="6">
        <v>67.09</v>
      </c>
      <c r="F296" s="4">
        <v>54.02</v>
      </c>
      <c r="G296" s="4">
        <v>56.8</v>
      </c>
      <c r="H296" s="4">
        <v>51.22</v>
      </c>
      <c r="I296" s="4">
        <v>44.76</v>
      </c>
      <c r="J296" s="4">
        <v>53.85</v>
      </c>
      <c r="K296" s="4">
        <v>57.36</v>
      </c>
      <c r="L296" s="4">
        <v>54.41</v>
      </c>
    </row>
    <row r="297" spans="1:12" ht="15" customHeight="1" x14ac:dyDescent="0.45">
      <c r="A297" s="3">
        <v>45820</v>
      </c>
      <c r="B297" s="5">
        <v>72.48</v>
      </c>
      <c r="C297" s="4">
        <v>56.56</v>
      </c>
      <c r="D297" s="4">
        <v>58.8</v>
      </c>
      <c r="E297" s="6">
        <v>62.93</v>
      </c>
      <c r="F297" s="6">
        <v>60.57</v>
      </c>
      <c r="G297" s="6">
        <v>63.33</v>
      </c>
      <c r="H297" s="4">
        <v>54.74</v>
      </c>
      <c r="I297" s="4">
        <v>52.21</v>
      </c>
      <c r="J297" s="4">
        <v>57</v>
      </c>
      <c r="K297" s="6">
        <v>64</v>
      </c>
      <c r="L297" s="6">
        <v>60.1</v>
      </c>
    </row>
    <row r="298" spans="1:12" ht="15" customHeight="1" x14ac:dyDescent="0.45">
      <c r="A298" s="3">
        <v>45819</v>
      </c>
      <c r="B298" s="5">
        <v>70.099999999999994</v>
      </c>
      <c r="C298" s="4">
        <v>56.56</v>
      </c>
      <c r="D298" s="4">
        <v>55.7</v>
      </c>
      <c r="E298" s="6">
        <v>62.04</v>
      </c>
      <c r="F298" s="4">
        <v>58.91</v>
      </c>
      <c r="G298" s="6">
        <v>65.53</v>
      </c>
      <c r="H298" s="4">
        <v>56.58</v>
      </c>
      <c r="I298" s="4">
        <v>48.38</v>
      </c>
      <c r="J298" s="4">
        <v>51.5</v>
      </c>
      <c r="K298" s="5">
        <v>70.09</v>
      </c>
      <c r="L298" s="4">
        <v>57.3</v>
      </c>
    </row>
    <row r="299" spans="1:12" ht="15" customHeight="1" x14ac:dyDescent="0.45">
      <c r="A299" s="3">
        <v>45818</v>
      </c>
      <c r="B299" s="5">
        <v>71.459999999999994</v>
      </c>
      <c r="C299" s="4">
        <v>57.34</v>
      </c>
      <c r="D299" s="4">
        <v>55.5</v>
      </c>
      <c r="E299" s="4">
        <v>58.24</v>
      </c>
      <c r="F299" s="6">
        <v>64.94</v>
      </c>
      <c r="G299" s="6">
        <v>65.319999999999993</v>
      </c>
      <c r="H299" s="4">
        <v>59.75</v>
      </c>
      <c r="I299" s="4">
        <v>50.58</v>
      </c>
      <c r="J299" s="4">
        <v>51.2</v>
      </c>
      <c r="K299" s="5">
        <v>71.89</v>
      </c>
      <c r="L299" s="6">
        <v>61.29</v>
      </c>
    </row>
    <row r="300" spans="1:12" ht="15" customHeight="1" x14ac:dyDescent="0.45">
      <c r="A300" s="3">
        <v>45817</v>
      </c>
      <c r="B300" s="5">
        <v>70.099999999999994</v>
      </c>
      <c r="C300" s="4">
        <v>56.79</v>
      </c>
      <c r="D300" s="4">
        <v>50.88</v>
      </c>
      <c r="E300" s="4">
        <v>52.94</v>
      </c>
      <c r="F300" s="6">
        <v>62.73</v>
      </c>
      <c r="G300" s="6">
        <v>68.75</v>
      </c>
      <c r="H300" s="4">
        <v>56.35</v>
      </c>
      <c r="I300" s="4">
        <v>49.2</v>
      </c>
      <c r="J300" s="4">
        <v>50.13</v>
      </c>
      <c r="K300" s="6">
        <v>67.69</v>
      </c>
      <c r="L300" s="4">
        <v>56.79</v>
      </c>
    </row>
    <row r="301" spans="1:12" ht="15" customHeight="1" x14ac:dyDescent="0.45">
      <c r="A301" s="3">
        <v>45814</v>
      </c>
      <c r="B301" s="6">
        <v>68.900000000000006</v>
      </c>
      <c r="C301" s="6">
        <v>60.15</v>
      </c>
      <c r="D301" s="4">
        <v>51.63</v>
      </c>
      <c r="E301" s="4">
        <v>52.34</v>
      </c>
      <c r="F301" s="6">
        <v>60.22</v>
      </c>
      <c r="G301" s="6">
        <v>69.45</v>
      </c>
      <c r="H301" s="4">
        <v>53.96</v>
      </c>
      <c r="I301" s="4">
        <v>49.99</v>
      </c>
      <c r="J301" s="4">
        <v>53.1</v>
      </c>
      <c r="K301" s="6">
        <v>69.91</v>
      </c>
      <c r="L301" s="4">
        <v>57.12</v>
      </c>
    </row>
    <row r="302" spans="1:12" ht="15" customHeight="1" x14ac:dyDescent="0.45">
      <c r="A302" s="3">
        <v>45813</v>
      </c>
      <c r="B302" s="6">
        <v>66.510000000000005</v>
      </c>
      <c r="C302" s="4">
        <v>54.53</v>
      </c>
      <c r="D302" s="4">
        <v>47.69</v>
      </c>
      <c r="E302" s="4">
        <v>46.17</v>
      </c>
      <c r="F302" s="4">
        <v>59.23</v>
      </c>
      <c r="G302" s="6">
        <v>66.510000000000005</v>
      </c>
      <c r="H302" s="4">
        <v>49.87</v>
      </c>
      <c r="I302" s="4">
        <v>48.16</v>
      </c>
      <c r="J302" s="4">
        <v>51.24</v>
      </c>
      <c r="K302" s="6">
        <v>65.3</v>
      </c>
      <c r="L302" s="4">
        <v>55.67</v>
      </c>
    </row>
    <row r="303" spans="1:12" ht="15" customHeight="1" x14ac:dyDescent="0.45">
      <c r="A303" s="3">
        <v>45812</v>
      </c>
      <c r="B303" s="6">
        <v>67.97</v>
      </c>
      <c r="C303" s="4">
        <v>56.16</v>
      </c>
      <c r="D303" s="4">
        <v>48.21</v>
      </c>
      <c r="E303" s="4">
        <v>46.46</v>
      </c>
      <c r="F303" s="6">
        <v>62.5</v>
      </c>
      <c r="G303" s="6">
        <v>67</v>
      </c>
      <c r="H303" s="4">
        <v>59.68</v>
      </c>
      <c r="I303" s="4">
        <v>53.7</v>
      </c>
      <c r="J303" s="4">
        <v>51.93</v>
      </c>
      <c r="K303" s="6">
        <v>64.77</v>
      </c>
      <c r="L303" s="4">
        <v>55.82</v>
      </c>
    </row>
    <row r="304" spans="1:12" ht="15" customHeight="1" x14ac:dyDescent="0.45">
      <c r="A304" s="3">
        <v>45811</v>
      </c>
      <c r="B304" s="6">
        <v>67.62</v>
      </c>
      <c r="C304" s="4">
        <v>59.6</v>
      </c>
      <c r="D304" s="4">
        <v>47.44</v>
      </c>
      <c r="E304" s="4">
        <v>52.72</v>
      </c>
      <c r="F304" s="6">
        <v>61.24</v>
      </c>
      <c r="G304" s="6">
        <v>66.819999999999993</v>
      </c>
      <c r="H304" s="6">
        <v>60.85</v>
      </c>
      <c r="I304" s="4">
        <v>58.27</v>
      </c>
      <c r="J304" s="6">
        <v>60.27</v>
      </c>
      <c r="K304" s="6">
        <v>62.25</v>
      </c>
      <c r="L304" s="4">
        <v>54.38</v>
      </c>
    </row>
    <row r="305" spans="1:12" ht="15" customHeight="1" x14ac:dyDescent="0.45">
      <c r="A305" s="3">
        <v>45810</v>
      </c>
      <c r="B305" s="6">
        <v>64.040000000000006</v>
      </c>
      <c r="C305" s="4">
        <v>58.79</v>
      </c>
      <c r="D305" s="4">
        <v>46.57</v>
      </c>
      <c r="E305" s="4">
        <v>48.88</v>
      </c>
      <c r="F305" s="4">
        <v>57.67</v>
      </c>
      <c r="G305" s="6">
        <v>64.28</v>
      </c>
      <c r="H305" s="4">
        <v>59.37</v>
      </c>
      <c r="I305" s="4">
        <v>58.91</v>
      </c>
      <c r="J305" s="4">
        <v>59.35</v>
      </c>
      <c r="K305" s="6">
        <v>64.150000000000006</v>
      </c>
      <c r="L305" s="4">
        <v>56.35</v>
      </c>
    </row>
    <row r="306" spans="1:12" ht="15" customHeight="1" x14ac:dyDescent="0.45">
      <c r="A306" s="3">
        <v>45807</v>
      </c>
      <c r="B306" s="6">
        <v>61.75</v>
      </c>
      <c r="C306" s="4">
        <v>58.64</v>
      </c>
      <c r="D306" s="4">
        <v>46.36</v>
      </c>
      <c r="E306" s="4">
        <v>44.28</v>
      </c>
      <c r="F306" s="4">
        <v>55.49</v>
      </c>
      <c r="G306" s="6">
        <v>65.040000000000006</v>
      </c>
      <c r="H306" s="4">
        <v>58.73</v>
      </c>
      <c r="I306" s="4">
        <v>58.64</v>
      </c>
      <c r="J306" s="4">
        <v>58.28</v>
      </c>
      <c r="K306" s="6">
        <v>62.31</v>
      </c>
      <c r="L306" s="4">
        <v>55.75</v>
      </c>
    </row>
    <row r="307" spans="1:12" ht="15" customHeight="1" x14ac:dyDescent="0.45">
      <c r="A307" s="3">
        <v>45806</v>
      </c>
      <c r="B307" s="6">
        <v>63.07</v>
      </c>
      <c r="C307" s="4">
        <v>57.84</v>
      </c>
      <c r="D307" s="4">
        <v>45.65</v>
      </c>
      <c r="E307" s="4">
        <v>46.95</v>
      </c>
      <c r="F307" s="4">
        <v>55.44</v>
      </c>
      <c r="G307" s="6">
        <v>64.84</v>
      </c>
      <c r="H307" s="6">
        <v>60.8</v>
      </c>
      <c r="I307" s="4">
        <v>54.75</v>
      </c>
      <c r="J307" s="4">
        <v>54.76</v>
      </c>
      <c r="K307" s="6">
        <v>60.74</v>
      </c>
      <c r="L307" s="4">
        <v>55.38</v>
      </c>
    </row>
    <row r="308" spans="1:12" ht="15" customHeight="1" x14ac:dyDescent="0.45">
      <c r="A308" s="3">
        <v>45805</v>
      </c>
      <c r="B308" s="6">
        <v>62.67</v>
      </c>
      <c r="C308" s="4">
        <v>55.96</v>
      </c>
      <c r="D308" s="4">
        <v>43.49</v>
      </c>
      <c r="E308" s="4">
        <v>44.34</v>
      </c>
      <c r="F308" s="4">
        <v>54.17</v>
      </c>
      <c r="G308" s="6">
        <v>64.58</v>
      </c>
      <c r="H308" s="6">
        <v>60.7</v>
      </c>
      <c r="I308" s="4">
        <v>52.86</v>
      </c>
      <c r="J308" s="4">
        <v>52.23</v>
      </c>
      <c r="K308" s="6">
        <v>65.7</v>
      </c>
      <c r="L308" s="4">
        <v>51.74</v>
      </c>
    </row>
    <row r="309" spans="1:12" ht="15" customHeight="1" x14ac:dyDescent="0.45">
      <c r="A309" s="3">
        <v>45804</v>
      </c>
      <c r="B309" s="6">
        <v>64.260000000000005</v>
      </c>
      <c r="C309" s="4">
        <v>59.15</v>
      </c>
      <c r="D309" s="4">
        <v>44.77</v>
      </c>
      <c r="E309" s="4">
        <v>48.13</v>
      </c>
      <c r="F309" s="6">
        <v>60.13</v>
      </c>
      <c r="G309" s="6">
        <v>67.11</v>
      </c>
      <c r="H309" s="6">
        <v>64</v>
      </c>
      <c r="I309" s="4">
        <v>56.58</v>
      </c>
      <c r="J309" s="4">
        <v>58.39</v>
      </c>
      <c r="K309" s="6">
        <v>65.819999999999993</v>
      </c>
      <c r="L309" s="4">
        <v>51.74</v>
      </c>
    </row>
    <row r="310" spans="1:12" ht="15" customHeight="1" x14ac:dyDescent="0.45">
      <c r="A310" s="3">
        <v>45803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5" customHeight="1" x14ac:dyDescent="0.45">
      <c r="A311" s="3">
        <v>45800</v>
      </c>
      <c r="B311" s="4">
        <v>58.8</v>
      </c>
      <c r="C311" s="4">
        <v>52.67</v>
      </c>
      <c r="D311" s="4">
        <v>40.4</v>
      </c>
      <c r="E311" s="4">
        <v>45.19</v>
      </c>
      <c r="F311" s="4">
        <v>54.23</v>
      </c>
      <c r="G311" s="6">
        <v>62.33</v>
      </c>
      <c r="H311" s="4">
        <v>57.25</v>
      </c>
      <c r="I311" s="4">
        <v>52.48</v>
      </c>
      <c r="J311" s="4">
        <v>55.8</v>
      </c>
      <c r="K311" s="6">
        <v>60.25</v>
      </c>
      <c r="L311" s="4">
        <v>44.92</v>
      </c>
    </row>
    <row r="312" spans="1:12" ht="15" customHeight="1" x14ac:dyDescent="0.45">
      <c r="A312" s="3">
        <v>45799</v>
      </c>
      <c r="B312" s="6">
        <v>62.99</v>
      </c>
      <c r="C312" s="4">
        <v>54.31</v>
      </c>
      <c r="D312" s="4">
        <v>40.75</v>
      </c>
      <c r="E312" s="4">
        <v>44.12</v>
      </c>
      <c r="F312" s="4">
        <v>55.09</v>
      </c>
      <c r="G312" s="6">
        <v>63.93</v>
      </c>
      <c r="H312" s="6">
        <v>60.48</v>
      </c>
      <c r="I312" s="4">
        <v>50.73</v>
      </c>
      <c r="J312" s="4">
        <v>51.37</v>
      </c>
      <c r="K312" s="6">
        <v>62.94</v>
      </c>
      <c r="L312" s="4">
        <v>44.81</v>
      </c>
    </row>
    <row r="313" spans="1:12" ht="15" customHeight="1" x14ac:dyDescent="0.45">
      <c r="A313" s="3">
        <v>45798</v>
      </c>
      <c r="B313" s="6">
        <v>62.94</v>
      </c>
      <c r="C313" s="4">
        <v>54.83</v>
      </c>
      <c r="D313" s="4">
        <v>42.4</v>
      </c>
      <c r="E313" s="4">
        <v>45.13</v>
      </c>
      <c r="F313" s="4">
        <v>55.52</v>
      </c>
      <c r="G313" s="6">
        <v>64.03</v>
      </c>
      <c r="H313" s="4">
        <v>59.47</v>
      </c>
      <c r="I313" s="4">
        <v>52.78</v>
      </c>
      <c r="J313" s="4">
        <v>57.88</v>
      </c>
      <c r="K313" s="6">
        <v>64.209999999999994</v>
      </c>
      <c r="L313" s="4">
        <v>45.99</v>
      </c>
    </row>
    <row r="314" spans="1:12" ht="15" customHeight="1" x14ac:dyDescent="0.45">
      <c r="A314" s="3">
        <v>45797</v>
      </c>
      <c r="B314" s="5">
        <v>70.459999999999994</v>
      </c>
      <c r="C314" s="6">
        <v>65.12</v>
      </c>
      <c r="D314" s="4">
        <v>47.84</v>
      </c>
      <c r="E314" s="4">
        <v>50.28</v>
      </c>
      <c r="F314" s="6">
        <v>61.26</v>
      </c>
      <c r="G314" s="5">
        <v>72.510000000000005</v>
      </c>
      <c r="H314" s="6">
        <v>67.180000000000007</v>
      </c>
      <c r="I314" s="4">
        <v>59.03</v>
      </c>
      <c r="J314" s="6">
        <v>68.34</v>
      </c>
      <c r="K314" s="6">
        <v>68.67</v>
      </c>
      <c r="L314" s="4">
        <v>56.97</v>
      </c>
    </row>
    <row r="315" spans="1:12" ht="15" customHeight="1" x14ac:dyDescent="0.45">
      <c r="A315" s="3">
        <v>45796</v>
      </c>
      <c r="B315" s="5">
        <v>72.06</v>
      </c>
      <c r="C315" s="6">
        <v>68.290000000000006</v>
      </c>
      <c r="D315" s="4">
        <v>47.17</v>
      </c>
      <c r="E315" s="4">
        <v>53.14</v>
      </c>
      <c r="F315" s="6">
        <v>62.03</v>
      </c>
      <c r="G315" s="5">
        <v>74.47</v>
      </c>
      <c r="H315" s="6">
        <v>69.33</v>
      </c>
      <c r="I315" s="4">
        <v>57.62</v>
      </c>
      <c r="J315" s="6">
        <v>67.47</v>
      </c>
      <c r="K315" s="5">
        <v>70.16</v>
      </c>
      <c r="L315" s="4">
        <v>59.58</v>
      </c>
    </row>
    <row r="316" spans="1:12" ht="15" customHeight="1" x14ac:dyDescent="0.45">
      <c r="A316" s="3">
        <v>45793</v>
      </c>
      <c r="B316" s="5">
        <v>72.66</v>
      </c>
      <c r="C316" s="6">
        <v>68.13</v>
      </c>
      <c r="D316" s="4">
        <v>44.63</v>
      </c>
      <c r="E316" s="4">
        <v>57.45</v>
      </c>
      <c r="F316" s="6">
        <v>61.37</v>
      </c>
      <c r="G316" s="5">
        <v>73.849999999999994</v>
      </c>
      <c r="H316" s="5">
        <v>70.27</v>
      </c>
      <c r="I316" s="4">
        <v>56.47</v>
      </c>
      <c r="J316" s="6">
        <v>66.22</v>
      </c>
      <c r="K316" s="6">
        <v>69.91</v>
      </c>
      <c r="L316" s="4">
        <v>58.87</v>
      </c>
    </row>
    <row r="317" spans="1:12" ht="15" customHeight="1" x14ac:dyDescent="0.45">
      <c r="A317" s="3">
        <v>45792</v>
      </c>
      <c r="B317" s="5">
        <v>72.38</v>
      </c>
      <c r="C317" s="6">
        <v>66.569999999999993</v>
      </c>
      <c r="D317" s="4">
        <v>39.01</v>
      </c>
      <c r="E317" s="4">
        <v>57.96</v>
      </c>
      <c r="F317" s="4">
        <v>58.7</v>
      </c>
      <c r="G317" s="5">
        <v>71.75</v>
      </c>
      <c r="H317" s="6">
        <v>68.69</v>
      </c>
      <c r="I317" s="4">
        <v>51.76</v>
      </c>
      <c r="J317" s="6">
        <v>61.54</v>
      </c>
      <c r="K317" s="6">
        <v>68.27</v>
      </c>
      <c r="L317" s="4">
        <v>54.53</v>
      </c>
    </row>
    <row r="318" spans="1:12" ht="15" customHeight="1" x14ac:dyDescent="0.45">
      <c r="A318" s="3">
        <v>45791</v>
      </c>
      <c r="B318" s="5">
        <v>72.2</v>
      </c>
      <c r="C318" s="6">
        <v>64.81</v>
      </c>
      <c r="D318" s="4">
        <v>35.090000000000003</v>
      </c>
      <c r="E318" s="4">
        <v>56.98</v>
      </c>
      <c r="F318" s="4">
        <v>55.9</v>
      </c>
      <c r="G318" s="6">
        <v>69.569999999999993</v>
      </c>
      <c r="H318" s="6">
        <v>69.5</v>
      </c>
      <c r="I318" s="4">
        <v>41.45</v>
      </c>
      <c r="J318" s="4">
        <v>52.94</v>
      </c>
      <c r="K318" s="6">
        <v>67.3</v>
      </c>
      <c r="L318" s="4">
        <v>47.06</v>
      </c>
    </row>
    <row r="319" spans="1:12" ht="15" customHeight="1" x14ac:dyDescent="0.45">
      <c r="A319" s="3">
        <v>45790</v>
      </c>
      <c r="B319" s="5">
        <v>71.34</v>
      </c>
      <c r="C319" s="6">
        <v>66.14</v>
      </c>
      <c r="D319" s="4">
        <v>39.409999999999997</v>
      </c>
      <c r="E319" s="4">
        <v>58.83</v>
      </c>
      <c r="F319" s="4">
        <v>59.29</v>
      </c>
      <c r="G319" s="5">
        <v>71.819999999999993</v>
      </c>
      <c r="H319" s="6">
        <v>68.91</v>
      </c>
      <c r="I319" s="4">
        <v>43.74</v>
      </c>
      <c r="J319" s="4">
        <v>55.32</v>
      </c>
      <c r="K319" s="6">
        <v>66.06</v>
      </c>
      <c r="L319" s="4">
        <v>50.67</v>
      </c>
    </row>
    <row r="320" spans="1:12" ht="15" customHeight="1" x14ac:dyDescent="0.45">
      <c r="A320" s="3">
        <v>45789</v>
      </c>
      <c r="B320" s="6">
        <v>68.41</v>
      </c>
      <c r="C320" s="6">
        <v>65.150000000000006</v>
      </c>
      <c r="D320" s="4">
        <v>46.41</v>
      </c>
      <c r="E320" s="4">
        <v>55.78</v>
      </c>
      <c r="F320" s="6">
        <v>61.16</v>
      </c>
      <c r="G320" s="5">
        <v>70.540000000000006</v>
      </c>
      <c r="H320" s="6">
        <v>66.91</v>
      </c>
      <c r="I320" s="4">
        <v>50.28</v>
      </c>
      <c r="J320" s="4">
        <v>56.06</v>
      </c>
      <c r="K320" s="6">
        <v>63.66</v>
      </c>
      <c r="L320" s="4">
        <v>57.18</v>
      </c>
    </row>
    <row r="321" spans="1:12" ht="15" customHeight="1" x14ac:dyDescent="0.45">
      <c r="A321" s="3">
        <v>45786</v>
      </c>
      <c r="B321" s="6">
        <v>60.76</v>
      </c>
      <c r="C321" s="4">
        <v>59.88</v>
      </c>
      <c r="D321" s="4">
        <v>38.24</v>
      </c>
      <c r="E321" s="4">
        <v>49.51</v>
      </c>
      <c r="F321" s="4">
        <v>55.16</v>
      </c>
      <c r="G321" s="6">
        <v>64.09</v>
      </c>
      <c r="H321" s="4">
        <v>57.88</v>
      </c>
      <c r="I321" s="4">
        <v>49.51</v>
      </c>
      <c r="J321" s="4">
        <v>59.24</v>
      </c>
      <c r="K321" s="4">
        <v>57.91</v>
      </c>
      <c r="L321" s="4">
        <v>56.81</v>
      </c>
    </row>
    <row r="322" spans="1:12" ht="15" customHeight="1" x14ac:dyDescent="0.45">
      <c r="A322" s="3">
        <v>45785</v>
      </c>
      <c r="B322" s="6">
        <v>61.12</v>
      </c>
      <c r="C322" s="4">
        <v>59.88</v>
      </c>
      <c r="D322" s="4">
        <v>40.81</v>
      </c>
      <c r="E322" s="4">
        <v>46.84</v>
      </c>
      <c r="F322" s="4">
        <v>54.42</v>
      </c>
      <c r="G322" s="6">
        <v>63.9</v>
      </c>
      <c r="H322" s="4">
        <v>56.83</v>
      </c>
      <c r="I322" s="4">
        <v>52.47</v>
      </c>
      <c r="J322" s="4">
        <v>58.61</v>
      </c>
      <c r="K322" s="6">
        <v>60.1</v>
      </c>
      <c r="L322" s="4">
        <v>54.54</v>
      </c>
    </row>
    <row r="323" spans="1:12" ht="15" customHeight="1" x14ac:dyDescent="0.45">
      <c r="A323" s="3">
        <v>45784</v>
      </c>
      <c r="B323" s="4">
        <v>59.38</v>
      </c>
      <c r="C323" s="4">
        <v>57.65</v>
      </c>
      <c r="D323" s="4">
        <v>43.06</v>
      </c>
      <c r="E323" s="4">
        <v>43.23</v>
      </c>
      <c r="F323" s="4">
        <v>50.64</v>
      </c>
      <c r="G323" s="6">
        <v>60.6</v>
      </c>
      <c r="H323" s="4">
        <v>54.25</v>
      </c>
      <c r="I323" s="4">
        <v>53.09</v>
      </c>
      <c r="J323" s="6">
        <v>62.85</v>
      </c>
      <c r="K323" s="4">
        <v>59.44</v>
      </c>
      <c r="L323" s="4">
        <v>56.76</v>
      </c>
    </row>
    <row r="324" spans="1:12" ht="15" customHeight="1" x14ac:dyDescent="0.45">
      <c r="A324" s="3">
        <v>45783</v>
      </c>
      <c r="B324" s="4">
        <v>57.55</v>
      </c>
      <c r="C324" s="4">
        <v>56.03</v>
      </c>
      <c r="D324" s="4">
        <v>40.49</v>
      </c>
      <c r="E324" s="4">
        <v>43.13</v>
      </c>
      <c r="F324" s="4">
        <v>52.31</v>
      </c>
      <c r="G324" s="4">
        <v>59.33</v>
      </c>
      <c r="H324" s="4">
        <v>52.53</v>
      </c>
      <c r="I324" s="4">
        <v>52.41</v>
      </c>
      <c r="J324" s="6">
        <v>61.94</v>
      </c>
      <c r="K324" s="6">
        <v>60.16</v>
      </c>
      <c r="L324" s="4">
        <v>57.08</v>
      </c>
    </row>
    <row r="325" spans="1:12" ht="15" customHeight="1" x14ac:dyDescent="0.45">
      <c r="A325" s="3">
        <v>45782</v>
      </c>
      <c r="B325" s="4">
        <v>59.64</v>
      </c>
      <c r="C325" s="4">
        <v>58.01</v>
      </c>
      <c r="D325" s="4">
        <v>47.92</v>
      </c>
      <c r="E325" s="4">
        <v>43.07</v>
      </c>
      <c r="F325" s="4">
        <v>54.53</v>
      </c>
      <c r="G325" s="6">
        <v>62.58</v>
      </c>
      <c r="H325" s="4">
        <v>54.69</v>
      </c>
      <c r="I325" s="4">
        <v>53.19</v>
      </c>
      <c r="J325" s="4">
        <v>57.93</v>
      </c>
      <c r="K325" s="6">
        <v>60.24</v>
      </c>
      <c r="L325" s="6">
        <v>60.15</v>
      </c>
    </row>
    <row r="326" spans="1:12" ht="15" customHeight="1" x14ac:dyDescent="0.45">
      <c r="A326" s="3">
        <v>45779</v>
      </c>
      <c r="B326" s="6">
        <v>60.96</v>
      </c>
      <c r="C326" s="6">
        <v>60.27</v>
      </c>
      <c r="D326" s="4">
        <v>48.77</v>
      </c>
      <c r="E326" s="4">
        <v>46.61</v>
      </c>
      <c r="F326" s="4">
        <v>56.84</v>
      </c>
      <c r="G326" s="6">
        <v>62.46</v>
      </c>
      <c r="H326" s="4">
        <v>57.39</v>
      </c>
      <c r="I326" s="4">
        <v>53.56</v>
      </c>
      <c r="J326" s="4">
        <v>59.12</v>
      </c>
      <c r="K326" s="4">
        <v>59.7</v>
      </c>
      <c r="L326" s="6">
        <v>60.68</v>
      </c>
    </row>
    <row r="327" spans="1:12" ht="15" customHeight="1" x14ac:dyDescent="0.45">
      <c r="A327" s="3">
        <v>45778</v>
      </c>
      <c r="B327" s="4">
        <v>58.3</v>
      </c>
      <c r="C327" s="4">
        <v>55.15</v>
      </c>
      <c r="D327" s="4">
        <v>44.32</v>
      </c>
      <c r="E327" s="4">
        <v>43.15</v>
      </c>
      <c r="F327" s="4">
        <v>52.67</v>
      </c>
      <c r="G327" s="4">
        <v>58.52</v>
      </c>
      <c r="H327" s="4">
        <v>54.38</v>
      </c>
      <c r="I327" s="4">
        <v>51.59</v>
      </c>
      <c r="J327" s="4">
        <v>56.55</v>
      </c>
      <c r="K327" s="4">
        <v>56.15</v>
      </c>
      <c r="L327" s="4">
        <v>57.15</v>
      </c>
    </row>
    <row r="328" spans="1:12" ht="15" customHeight="1" x14ac:dyDescent="0.45">
      <c r="A328" s="3">
        <v>45777</v>
      </c>
      <c r="B328" s="4">
        <v>55.89</v>
      </c>
      <c r="C328" s="4">
        <v>55.22</v>
      </c>
      <c r="D328" s="4">
        <v>52.97</v>
      </c>
      <c r="E328" s="4">
        <v>42.26</v>
      </c>
      <c r="F328" s="4">
        <v>53.94</v>
      </c>
      <c r="G328" s="4">
        <v>56.76</v>
      </c>
      <c r="H328" s="4">
        <v>53.3</v>
      </c>
      <c r="I328" s="4">
        <v>55.08</v>
      </c>
      <c r="J328" s="4">
        <v>55.58</v>
      </c>
      <c r="K328" s="4">
        <v>54.94</v>
      </c>
      <c r="L328" s="4">
        <v>56.29</v>
      </c>
    </row>
    <row r="329" spans="1:12" ht="15" customHeight="1" x14ac:dyDescent="0.45">
      <c r="A329" s="3">
        <v>45776</v>
      </c>
      <c r="B329" s="4">
        <v>55.21</v>
      </c>
      <c r="C329" s="4">
        <v>54.77</v>
      </c>
      <c r="D329" s="4">
        <v>50.16</v>
      </c>
      <c r="E329" s="4">
        <v>47.34</v>
      </c>
      <c r="F329" s="4">
        <v>52.71</v>
      </c>
      <c r="G329" s="4">
        <v>55.07</v>
      </c>
      <c r="H329" s="4">
        <v>55.32</v>
      </c>
      <c r="I329" s="4">
        <v>52.61</v>
      </c>
      <c r="J329" s="4">
        <v>57.65</v>
      </c>
      <c r="K329" s="4">
        <v>54.87</v>
      </c>
      <c r="L329" s="4">
        <v>54.97</v>
      </c>
    </row>
    <row r="330" spans="1:12" ht="15" customHeight="1" x14ac:dyDescent="0.45">
      <c r="A330" s="3">
        <v>45775</v>
      </c>
      <c r="B330" s="4">
        <v>54.49</v>
      </c>
      <c r="C330" s="4">
        <v>52.31</v>
      </c>
      <c r="D330" s="4">
        <v>48.53</v>
      </c>
      <c r="E330" s="4">
        <v>47.92</v>
      </c>
      <c r="F330" s="4">
        <v>50.75</v>
      </c>
      <c r="G330" s="4">
        <v>53.57</v>
      </c>
      <c r="H330" s="4">
        <v>54.07</v>
      </c>
      <c r="I330" s="4">
        <v>49.69</v>
      </c>
      <c r="J330" s="4">
        <v>55.3</v>
      </c>
      <c r="K330" s="4">
        <v>53.29</v>
      </c>
      <c r="L330" s="4">
        <v>52.66</v>
      </c>
    </row>
    <row r="331" spans="1:12" ht="15" customHeight="1" x14ac:dyDescent="0.45">
      <c r="A331" s="3">
        <v>45772</v>
      </c>
      <c r="B331" s="4">
        <v>54.77</v>
      </c>
      <c r="C331" s="4">
        <v>51.57</v>
      </c>
      <c r="D331" s="4">
        <v>47.24</v>
      </c>
      <c r="E331" s="4">
        <v>46.46</v>
      </c>
      <c r="F331" s="4">
        <v>50.33</v>
      </c>
      <c r="G331" s="4">
        <v>52.82</v>
      </c>
      <c r="H331" s="4">
        <v>54.01</v>
      </c>
      <c r="I331" s="4">
        <v>50.86</v>
      </c>
      <c r="J331" s="4">
        <v>53.4</v>
      </c>
      <c r="K331" s="4">
        <v>52.49</v>
      </c>
      <c r="L331" s="4">
        <v>50.88</v>
      </c>
    </row>
    <row r="332" spans="1:12" ht="15" customHeight="1" x14ac:dyDescent="0.45">
      <c r="A332" s="3">
        <v>45771</v>
      </c>
      <c r="B332" s="4">
        <v>52.69</v>
      </c>
      <c r="C332" s="4">
        <v>52.73</v>
      </c>
      <c r="D332" s="4">
        <v>45.72</v>
      </c>
      <c r="E332" s="4">
        <v>46.77</v>
      </c>
      <c r="F332" s="4">
        <v>52.02</v>
      </c>
      <c r="G332" s="4">
        <v>52.84</v>
      </c>
      <c r="H332" s="4">
        <v>51.05</v>
      </c>
      <c r="I332" s="4">
        <v>51.74</v>
      </c>
      <c r="J332" s="4">
        <v>54.47</v>
      </c>
      <c r="K332" s="4">
        <v>51.22</v>
      </c>
      <c r="L332" s="4">
        <v>51.31</v>
      </c>
    </row>
    <row r="333" spans="1:12" ht="15" customHeight="1" x14ac:dyDescent="0.45">
      <c r="A333" s="3">
        <v>45770</v>
      </c>
      <c r="B333" s="4">
        <v>47.2</v>
      </c>
      <c r="C333" s="4">
        <v>50.35</v>
      </c>
      <c r="D333" s="4">
        <v>41.79</v>
      </c>
      <c r="E333" s="4">
        <v>43.7</v>
      </c>
      <c r="F333" s="4">
        <v>47.38</v>
      </c>
      <c r="G333" s="4">
        <v>48.09</v>
      </c>
      <c r="H333" s="4">
        <v>47.66</v>
      </c>
      <c r="I333" s="4">
        <v>54.77</v>
      </c>
      <c r="J333" s="4">
        <v>54.05</v>
      </c>
      <c r="K333" s="4">
        <v>47.12</v>
      </c>
      <c r="L333" s="4">
        <v>50.54</v>
      </c>
    </row>
    <row r="334" spans="1:12" ht="15" customHeight="1" x14ac:dyDescent="0.45">
      <c r="A334" s="3">
        <v>45769</v>
      </c>
      <c r="B334" s="4">
        <v>42.52</v>
      </c>
      <c r="C334" s="4">
        <v>47.76</v>
      </c>
      <c r="D334" s="4">
        <v>40.17</v>
      </c>
      <c r="E334" s="4">
        <v>43.97</v>
      </c>
      <c r="F334" s="4">
        <v>47.11</v>
      </c>
      <c r="G334" s="4">
        <v>45.27</v>
      </c>
      <c r="H334" s="4">
        <v>43.69</v>
      </c>
      <c r="I334" s="4">
        <v>56.78</v>
      </c>
      <c r="J334" s="4">
        <v>52.92</v>
      </c>
      <c r="K334" s="4">
        <v>43.65</v>
      </c>
      <c r="L334" s="4">
        <v>50.23</v>
      </c>
    </row>
    <row r="335" spans="1:12" ht="15" customHeight="1" x14ac:dyDescent="0.45">
      <c r="A335" s="3">
        <v>45768</v>
      </c>
      <c r="B335" s="4">
        <v>38.36</v>
      </c>
      <c r="C335" s="4">
        <v>39.94</v>
      </c>
      <c r="D335" s="4">
        <v>33.82</v>
      </c>
      <c r="E335" s="4">
        <v>39.25</v>
      </c>
      <c r="F335" s="4">
        <v>41.96</v>
      </c>
      <c r="G335" s="4">
        <v>41.19</v>
      </c>
      <c r="H335" s="4">
        <v>37.65</v>
      </c>
      <c r="I335" s="4">
        <v>52.84</v>
      </c>
      <c r="J335" s="4">
        <v>45.05</v>
      </c>
      <c r="K335" s="4">
        <v>37.619999999999997</v>
      </c>
      <c r="L335" s="4">
        <v>45.13</v>
      </c>
    </row>
    <row r="336" spans="1:12" ht="15" customHeight="1" x14ac:dyDescent="0.45">
      <c r="A336" s="3">
        <v>45765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5" customHeight="1" x14ac:dyDescent="0.45">
      <c r="A337" s="3">
        <v>45764</v>
      </c>
      <c r="B337" s="4">
        <v>41.39</v>
      </c>
      <c r="C337" s="4">
        <v>43.99</v>
      </c>
      <c r="D337" s="4">
        <v>38.24</v>
      </c>
      <c r="E337" s="4">
        <v>42.78</v>
      </c>
      <c r="F337" s="4">
        <v>44.63</v>
      </c>
      <c r="G337" s="4">
        <v>45.31</v>
      </c>
      <c r="H337" s="4">
        <v>41.21</v>
      </c>
      <c r="I337" s="4">
        <v>56.06</v>
      </c>
      <c r="J337" s="4">
        <v>52.26</v>
      </c>
      <c r="K337" s="4">
        <v>41.24</v>
      </c>
      <c r="L337" s="4">
        <v>50.07</v>
      </c>
    </row>
    <row r="338" spans="1:12" ht="15" customHeight="1" x14ac:dyDescent="0.45">
      <c r="A338" s="3">
        <v>45763</v>
      </c>
      <c r="B338" s="4">
        <v>42.04</v>
      </c>
      <c r="C338" s="4">
        <v>43.35</v>
      </c>
      <c r="D338" s="4">
        <v>39.56</v>
      </c>
      <c r="E338" s="4">
        <v>38.43</v>
      </c>
      <c r="F338" s="4">
        <v>43.13</v>
      </c>
      <c r="G338" s="4">
        <v>44.05</v>
      </c>
      <c r="H338" s="4">
        <v>39.97</v>
      </c>
      <c r="I338" s="4">
        <v>49.85</v>
      </c>
      <c r="J338" s="4">
        <v>49.01</v>
      </c>
      <c r="K338" s="4">
        <v>39.700000000000003</v>
      </c>
      <c r="L338" s="4">
        <v>45.95</v>
      </c>
    </row>
    <row r="339" spans="1:12" ht="15" customHeight="1" x14ac:dyDescent="0.45">
      <c r="A339" s="3">
        <v>45762</v>
      </c>
      <c r="B339" s="4">
        <v>46.54</v>
      </c>
      <c r="C339" s="4">
        <v>46.39</v>
      </c>
      <c r="D339" s="4">
        <v>41.9</v>
      </c>
      <c r="E339" s="4">
        <v>36.82</v>
      </c>
      <c r="F339" s="4">
        <v>44.41</v>
      </c>
      <c r="G339" s="4">
        <v>46.57</v>
      </c>
      <c r="H339" s="4">
        <v>43.37</v>
      </c>
      <c r="I339" s="4">
        <v>53.41</v>
      </c>
      <c r="J339" s="4">
        <v>51.91</v>
      </c>
      <c r="K339" s="4">
        <v>44.3</v>
      </c>
      <c r="L339" s="4">
        <v>46.06</v>
      </c>
    </row>
    <row r="340" spans="1:12" ht="15" customHeight="1" x14ac:dyDescent="0.45">
      <c r="A340" s="3">
        <v>45761</v>
      </c>
      <c r="B340" s="4">
        <v>45.98</v>
      </c>
      <c r="C340" s="4">
        <v>45.82</v>
      </c>
      <c r="D340" s="4">
        <v>43.35</v>
      </c>
      <c r="E340" s="4">
        <v>36.979999999999997</v>
      </c>
      <c r="F340" s="4">
        <v>45.69</v>
      </c>
      <c r="G340" s="4">
        <v>47.49</v>
      </c>
      <c r="H340" s="4">
        <v>44.4</v>
      </c>
      <c r="I340" s="4">
        <v>56.39</v>
      </c>
      <c r="J340" s="4">
        <v>51.96</v>
      </c>
      <c r="K340" s="4">
        <v>43.74</v>
      </c>
      <c r="L340" s="4">
        <v>45.69</v>
      </c>
    </row>
    <row r="341" spans="1:12" ht="15" customHeight="1" x14ac:dyDescent="0.45">
      <c r="A341" s="3">
        <v>45758</v>
      </c>
      <c r="B341" s="4">
        <v>44.64</v>
      </c>
      <c r="C341" s="4">
        <v>43.59</v>
      </c>
      <c r="D341" s="4">
        <v>39.54</v>
      </c>
      <c r="E341" s="4">
        <v>36.36</v>
      </c>
      <c r="F341" s="4">
        <v>43.39</v>
      </c>
      <c r="G341" s="4">
        <v>45.41</v>
      </c>
      <c r="H341" s="4">
        <v>43.9</v>
      </c>
      <c r="I341" s="4">
        <v>51.4</v>
      </c>
      <c r="J341" s="4">
        <v>46.6</v>
      </c>
      <c r="K341" s="4">
        <v>42.31</v>
      </c>
      <c r="L341" s="4">
        <v>40.24</v>
      </c>
    </row>
    <row r="342" spans="1:12" ht="15" customHeight="1" x14ac:dyDescent="0.45">
      <c r="A342" s="3">
        <v>45757</v>
      </c>
      <c r="B342" s="4">
        <v>41.68</v>
      </c>
      <c r="C342" s="4">
        <v>39.950000000000003</v>
      </c>
      <c r="D342" s="4">
        <v>34.700000000000003</v>
      </c>
      <c r="E342" s="4">
        <v>32.119999999999997</v>
      </c>
      <c r="F342" s="4">
        <v>37.54</v>
      </c>
      <c r="G342" s="4">
        <v>41.85</v>
      </c>
      <c r="H342" s="4">
        <v>42.32</v>
      </c>
      <c r="I342" s="4">
        <v>47.32</v>
      </c>
      <c r="J342" s="4">
        <v>42.62</v>
      </c>
      <c r="K342" s="4">
        <v>40.53</v>
      </c>
      <c r="L342" s="4">
        <v>36.53</v>
      </c>
    </row>
    <row r="343" spans="1:12" ht="15" customHeight="1" x14ac:dyDescent="0.45">
      <c r="A343" s="3">
        <v>45756</v>
      </c>
      <c r="B343" s="4">
        <v>47.27</v>
      </c>
      <c r="C343" s="4">
        <v>44.59</v>
      </c>
      <c r="D343" s="4">
        <v>40.6</v>
      </c>
      <c r="E343" s="4">
        <v>38.9</v>
      </c>
      <c r="F343" s="4">
        <v>42.03</v>
      </c>
      <c r="G343" s="4">
        <v>46.03</v>
      </c>
      <c r="H343" s="4">
        <v>47.54</v>
      </c>
      <c r="I343" s="4">
        <v>47.16</v>
      </c>
      <c r="J343" s="4">
        <v>44.53</v>
      </c>
      <c r="K343" s="4">
        <v>46.07</v>
      </c>
      <c r="L343" s="4">
        <v>40.08</v>
      </c>
    </row>
    <row r="344" spans="1:12" ht="15" customHeight="1" x14ac:dyDescent="0.45">
      <c r="A344" s="3">
        <v>45755</v>
      </c>
      <c r="B344" s="7">
        <v>22.86</v>
      </c>
      <c r="C344" s="7">
        <v>24.05</v>
      </c>
      <c r="D344" s="7">
        <v>22.27</v>
      </c>
      <c r="E344" s="7">
        <v>22.11</v>
      </c>
      <c r="F344" s="7">
        <v>19.559999999999999</v>
      </c>
      <c r="G344" s="7">
        <v>23.58</v>
      </c>
      <c r="H344" s="7">
        <v>26.31</v>
      </c>
      <c r="I344" s="4">
        <v>32.69</v>
      </c>
      <c r="J344" s="7">
        <v>29.73</v>
      </c>
      <c r="K344" s="7">
        <v>23.19</v>
      </c>
      <c r="L344" s="7">
        <v>21.99</v>
      </c>
    </row>
    <row r="345" spans="1:12" ht="15" customHeight="1" x14ac:dyDescent="0.45">
      <c r="A345" s="3">
        <v>45754</v>
      </c>
      <c r="B345" s="7">
        <v>24.49</v>
      </c>
      <c r="C345" s="7">
        <v>24.48</v>
      </c>
      <c r="D345" s="7">
        <v>24.04</v>
      </c>
      <c r="E345" s="7">
        <v>23.98</v>
      </c>
      <c r="F345" s="7">
        <v>22.51</v>
      </c>
      <c r="G345" s="7">
        <v>24.47</v>
      </c>
      <c r="H345" s="7">
        <v>28.72</v>
      </c>
      <c r="I345" s="4">
        <v>36.450000000000003</v>
      </c>
      <c r="J345" s="4">
        <v>30.52</v>
      </c>
      <c r="K345" s="7">
        <v>24.75</v>
      </c>
      <c r="L345" s="7">
        <v>25.1</v>
      </c>
    </row>
    <row r="346" spans="1:12" ht="15" customHeight="1" x14ac:dyDescent="0.45">
      <c r="A346" s="3">
        <v>45751</v>
      </c>
      <c r="B346" s="7">
        <v>23</v>
      </c>
      <c r="C346" s="7">
        <v>24.75</v>
      </c>
      <c r="D346" s="7">
        <v>25.05</v>
      </c>
      <c r="E346" s="7">
        <v>24.53</v>
      </c>
      <c r="F346" s="7">
        <v>24.31</v>
      </c>
      <c r="G346" s="7">
        <v>24.97</v>
      </c>
      <c r="H346" s="7">
        <v>30</v>
      </c>
      <c r="I346" s="4">
        <v>39.659999999999997</v>
      </c>
      <c r="J346" s="4">
        <v>33.67</v>
      </c>
      <c r="K346" s="7">
        <v>24.29</v>
      </c>
      <c r="L346" s="7">
        <v>28.89</v>
      </c>
    </row>
    <row r="347" spans="1:12" ht="15" customHeight="1" x14ac:dyDescent="0.45">
      <c r="A347" s="3">
        <v>45750</v>
      </c>
      <c r="B347" s="7">
        <v>29.33</v>
      </c>
      <c r="C347" s="4">
        <v>36.5</v>
      </c>
      <c r="D347" s="4">
        <v>40.24</v>
      </c>
      <c r="E347" s="4">
        <v>36.549999999999997</v>
      </c>
      <c r="F347" s="4">
        <v>35.17</v>
      </c>
      <c r="G347" s="4">
        <v>34.19</v>
      </c>
      <c r="H347" s="4">
        <v>35.659999999999997</v>
      </c>
      <c r="I347" s="4">
        <v>58.3</v>
      </c>
      <c r="J347" s="4">
        <v>53.32</v>
      </c>
      <c r="K347" s="4">
        <v>32.56</v>
      </c>
      <c r="L347" s="4">
        <v>39.96</v>
      </c>
    </row>
    <row r="348" spans="1:12" ht="15" customHeight="1" x14ac:dyDescent="0.45">
      <c r="A348" s="3">
        <v>45749</v>
      </c>
      <c r="B348" s="4">
        <v>40.97</v>
      </c>
      <c r="C348" s="4">
        <v>53.06</v>
      </c>
      <c r="D348" s="4">
        <v>43.93</v>
      </c>
      <c r="E348" s="6">
        <v>63.18</v>
      </c>
      <c r="F348" s="4">
        <v>51.25</v>
      </c>
      <c r="G348" s="4">
        <v>49.7</v>
      </c>
      <c r="H348" s="4">
        <v>48.26</v>
      </c>
      <c r="I348" s="4">
        <v>55.75</v>
      </c>
      <c r="J348" s="4">
        <v>56.83</v>
      </c>
      <c r="K348" s="4">
        <v>43.87</v>
      </c>
      <c r="L348" s="4">
        <v>52.67</v>
      </c>
    </row>
    <row r="349" spans="1:12" ht="15" customHeight="1" x14ac:dyDescent="0.45">
      <c r="A349" s="3">
        <v>45748</v>
      </c>
      <c r="B349" s="4">
        <v>38.53</v>
      </c>
      <c r="C349" s="4">
        <v>49.53</v>
      </c>
      <c r="D349" s="4">
        <v>39.72</v>
      </c>
      <c r="E349" s="6">
        <v>62.73</v>
      </c>
      <c r="F349" s="4">
        <v>47.2</v>
      </c>
      <c r="G349" s="4">
        <v>45.77</v>
      </c>
      <c r="H349" s="4">
        <v>42.44</v>
      </c>
      <c r="I349" s="4">
        <v>57.41</v>
      </c>
      <c r="J349" s="4">
        <v>54.78</v>
      </c>
      <c r="K349" s="4">
        <v>42.41</v>
      </c>
      <c r="L349" s="4">
        <v>50.34</v>
      </c>
    </row>
    <row r="350" spans="1:12" ht="15" customHeight="1" x14ac:dyDescent="0.45">
      <c r="A350" s="3">
        <v>45747</v>
      </c>
      <c r="B350" s="4">
        <v>36.130000000000003</v>
      </c>
      <c r="C350" s="4">
        <v>50.04</v>
      </c>
      <c r="D350" s="4">
        <v>49.27</v>
      </c>
      <c r="E350" s="6">
        <v>60.88</v>
      </c>
      <c r="F350" s="4">
        <v>45.3</v>
      </c>
      <c r="G350" s="4">
        <v>43.31</v>
      </c>
      <c r="H350" s="4">
        <v>38.97</v>
      </c>
      <c r="I350" s="4">
        <v>56.82</v>
      </c>
      <c r="J350" s="4">
        <v>53.68</v>
      </c>
      <c r="K350" s="4">
        <v>42.16</v>
      </c>
      <c r="L350" s="4">
        <v>50</v>
      </c>
    </row>
    <row r="351" spans="1:12" ht="15" customHeight="1" x14ac:dyDescent="0.45">
      <c r="A351" s="3">
        <v>45744</v>
      </c>
      <c r="B351" s="4">
        <v>35.97</v>
      </c>
      <c r="C351" s="4">
        <v>44.75</v>
      </c>
      <c r="D351" s="4">
        <v>42.05</v>
      </c>
      <c r="E351" s="4">
        <v>57.22</v>
      </c>
      <c r="F351" s="4">
        <v>39.409999999999997</v>
      </c>
      <c r="G351" s="4">
        <v>40.18</v>
      </c>
      <c r="H351" s="4">
        <v>38.26</v>
      </c>
      <c r="I351" s="4">
        <v>49.95</v>
      </c>
      <c r="J351" s="4">
        <v>48.63</v>
      </c>
      <c r="K351" s="4">
        <v>39.299999999999997</v>
      </c>
      <c r="L351" s="4">
        <v>44.82</v>
      </c>
    </row>
    <row r="352" spans="1:12" ht="15" customHeight="1" x14ac:dyDescent="0.45">
      <c r="A352" s="3">
        <v>45743</v>
      </c>
      <c r="B352" s="4">
        <v>40.64</v>
      </c>
      <c r="C352" s="4">
        <v>53.21</v>
      </c>
      <c r="D352" s="4">
        <v>43.8</v>
      </c>
      <c r="E352" s="4">
        <v>59.45</v>
      </c>
      <c r="F352" s="4">
        <v>47.53</v>
      </c>
      <c r="G352" s="4">
        <v>47.42</v>
      </c>
      <c r="H352" s="4">
        <v>45.62</v>
      </c>
      <c r="I352" s="4">
        <v>52.41</v>
      </c>
      <c r="J352" s="4">
        <v>44.98</v>
      </c>
      <c r="K352" s="4">
        <v>48.4</v>
      </c>
      <c r="L352" s="4">
        <v>45.01</v>
      </c>
    </row>
    <row r="353" spans="1:12" ht="15" customHeight="1" x14ac:dyDescent="0.45">
      <c r="A353" s="3">
        <v>45742</v>
      </c>
      <c r="B353" s="4">
        <v>42.61</v>
      </c>
      <c r="C353" s="4">
        <v>54.19</v>
      </c>
      <c r="D353" s="4">
        <v>42.67</v>
      </c>
      <c r="E353" s="6">
        <v>64.260000000000005</v>
      </c>
      <c r="F353" s="4">
        <v>47.76</v>
      </c>
      <c r="G353" s="4">
        <v>49.57</v>
      </c>
      <c r="H353" s="4">
        <v>45.42</v>
      </c>
      <c r="I353" s="4">
        <v>46.9</v>
      </c>
      <c r="J353" s="4">
        <v>45.09</v>
      </c>
      <c r="K353" s="4">
        <v>50.03</v>
      </c>
      <c r="L353" s="4">
        <v>45.95</v>
      </c>
    </row>
    <row r="354" spans="1:12" ht="15" customHeight="1" x14ac:dyDescent="0.45">
      <c r="A354" s="3">
        <v>45741</v>
      </c>
      <c r="B354" s="4">
        <v>47.94</v>
      </c>
      <c r="C354" s="4">
        <v>55.62</v>
      </c>
      <c r="D354" s="4">
        <v>44.59</v>
      </c>
      <c r="E354" s="6">
        <v>62.56</v>
      </c>
      <c r="F354" s="4">
        <v>46.81</v>
      </c>
      <c r="G354" s="4">
        <v>52.33</v>
      </c>
      <c r="H354" s="4">
        <v>48.88</v>
      </c>
      <c r="I354" s="4">
        <v>37.950000000000003</v>
      </c>
      <c r="J354" s="4">
        <v>41.89</v>
      </c>
      <c r="K354" s="4">
        <v>53.24</v>
      </c>
      <c r="L354" s="4">
        <v>43.66</v>
      </c>
    </row>
    <row r="355" spans="1:12" ht="15" customHeight="1" x14ac:dyDescent="0.45">
      <c r="A355" s="3">
        <v>45740</v>
      </c>
      <c r="B355" s="4">
        <v>47.03</v>
      </c>
      <c r="C355" s="4">
        <v>53.5</v>
      </c>
      <c r="D355" s="4">
        <v>52.34</v>
      </c>
      <c r="E355" s="6">
        <v>61.38</v>
      </c>
      <c r="F355" s="4">
        <v>46.91</v>
      </c>
      <c r="G355" s="4">
        <v>51.77</v>
      </c>
      <c r="H355" s="4">
        <v>46.59</v>
      </c>
      <c r="I355" s="4">
        <v>41.81</v>
      </c>
      <c r="J355" s="4">
        <v>48.28</v>
      </c>
      <c r="K355" s="4">
        <v>48.75</v>
      </c>
      <c r="L355" s="4">
        <v>48.17</v>
      </c>
    </row>
    <row r="356" spans="1:12" ht="15" customHeight="1" x14ac:dyDescent="0.45">
      <c r="A356" s="3">
        <v>45737</v>
      </c>
      <c r="B356" s="4">
        <v>42.25</v>
      </c>
      <c r="C356" s="4">
        <v>47.77</v>
      </c>
      <c r="D356" s="4">
        <v>49.98</v>
      </c>
      <c r="E356" s="6">
        <v>60.38</v>
      </c>
      <c r="F356" s="4">
        <v>42.66</v>
      </c>
      <c r="G356" s="4">
        <v>45.72</v>
      </c>
      <c r="H356" s="4">
        <v>35.29</v>
      </c>
      <c r="I356" s="4">
        <v>41.27</v>
      </c>
      <c r="J356" s="4">
        <v>51.68</v>
      </c>
      <c r="K356" s="4">
        <v>44.43</v>
      </c>
      <c r="L356" s="4">
        <v>44.9</v>
      </c>
    </row>
    <row r="357" spans="1:12" ht="15" customHeight="1" x14ac:dyDescent="0.45">
      <c r="A357" s="3">
        <v>45736</v>
      </c>
      <c r="B357" s="4">
        <v>41.47</v>
      </c>
      <c r="C357" s="4">
        <v>49.24</v>
      </c>
      <c r="D357" s="4">
        <v>51.76</v>
      </c>
      <c r="E357" s="6">
        <v>63.39</v>
      </c>
      <c r="F357" s="4">
        <v>46.63</v>
      </c>
      <c r="G357" s="4">
        <v>47.65</v>
      </c>
      <c r="H357" s="4">
        <v>33.94</v>
      </c>
      <c r="I357" s="4">
        <v>41.42</v>
      </c>
      <c r="J357" s="4">
        <v>54.83</v>
      </c>
      <c r="K357" s="4">
        <v>41.22</v>
      </c>
      <c r="L357" s="4">
        <v>48.67</v>
      </c>
    </row>
    <row r="358" spans="1:12" ht="15" customHeight="1" x14ac:dyDescent="0.45">
      <c r="A358" s="3">
        <v>45735</v>
      </c>
      <c r="B358" s="4">
        <v>42.88</v>
      </c>
      <c r="C358" s="4">
        <v>48.67</v>
      </c>
      <c r="D358" s="4">
        <v>51.4</v>
      </c>
      <c r="E358" s="6">
        <v>62.48</v>
      </c>
      <c r="F358" s="4">
        <v>49.36</v>
      </c>
      <c r="G358" s="4">
        <v>49.48</v>
      </c>
      <c r="H358" s="4">
        <v>34.380000000000003</v>
      </c>
      <c r="I358" s="4">
        <v>43.36</v>
      </c>
      <c r="J358" s="4">
        <v>53.16</v>
      </c>
      <c r="K358" s="4">
        <v>41.84</v>
      </c>
      <c r="L358" s="4">
        <v>49.14</v>
      </c>
    </row>
    <row r="359" spans="1:12" ht="15" customHeight="1" x14ac:dyDescent="0.45">
      <c r="A359" s="3">
        <v>45734</v>
      </c>
      <c r="B359" s="4">
        <v>39.44</v>
      </c>
      <c r="C359" s="4">
        <v>44.18</v>
      </c>
      <c r="D359" s="4">
        <v>51.11</v>
      </c>
      <c r="E359" s="4">
        <v>58.26</v>
      </c>
      <c r="F359" s="4">
        <v>47.87</v>
      </c>
      <c r="G359" s="4">
        <v>44.29</v>
      </c>
      <c r="H359" s="7">
        <v>27.49</v>
      </c>
      <c r="I359" s="4">
        <v>43.36</v>
      </c>
      <c r="J359" s="4">
        <v>51.67</v>
      </c>
      <c r="K359" s="4">
        <v>37.07</v>
      </c>
      <c r="L359" s="4">
        <v>48.68</v>
      </c>
    </row>
    <row r="360" spans="1:12" ht="15" customHeight="1" x14ac:dyDescent="0.45">
      <c r="A360" s="3">
        <v>45733</v>
      </c>
      <c r="B360" s="4">
        <v>42.25</v>
      </c>
      <c r="C360" s="4">
        <v>44.59</v>
      </c>
      <c r="D360" s="4">
        <v>50.87</v>
      </c>
      <c r="E360" s="4">
        <v>57.82</v>
      </c>
      <c r="F360" s="4">
        <v>48.56</v>
      </c>
      <c r="G360" s="4">
        <v>47.01</v>
      </c>
      <c r="H360" s="4">
        <v>30.28</v>
      </c>
      <c r="I360" s="4">
        <v>47.92</v>
      </c>
      <c r="J360" s="4">
        <v>54.75</v>
      </c>
      <c r="K360" s="4">
        <v>40.770000000000003</v>
      </c>
      <c r="L360" s="4">
        <v>50.9</v>
      </c>
    </row>
    <row r="361" spans="1:12" ht="15" customHeight="1" x14ac:dyDescent="0.45">
      <c r="A361" s="3">
        <v>45730</v>
      </c>
      <c r="B361" s="4">
        <v>40.46</v>
      </c>
      <c r="C361" s="4">
        <v>39.75</v>
      </c>
      <c r="D361" s="4">
        <v>44.12</v>
      </c>
      <c r="E361" s="4">
        <v>53.43</v>
      </c>
      <c r="F361" s="4">
        <v>43.08</v>
      </c>
      <c r="G361" s="4">
        <v>41.3</v>
      </c>
      <c r="H361" s="7">
        <v>29.7</v>
      </c>
      <c r="I361" s="4">
        <v>40.61</v>
      </c>
      <c r="J361" s="4">
        <v>53.19</v>
      </c>
      <c r="K361" s="4">
        <v>37.85</v>
      </c>
      <c r="L361" s="4">
        <v>44.29</v>
      </c>
    </row>
    <row r="362" spans="1:12" ht="15" customHeight="1" x14ac:dyDescent="0.45">
      <c r="A362" s="3">
        <v>45729</v>
      </c>
      <c r="B362" s="4">
        <v>32.22</v>
      </c>
      <c r="C362" s="7">
        <v>28.57</v>
      </c>
      <c r="D362" s="4">
        <v>39.5</v>
      </c>
      <c r="E362" s="4">
        <v>43.62</v>
      </c>
      <c r="F362" s="4">
        <v>36.65</v>
      </c>
      <c r="G362" s="4">
        <v>32.53</v>
      </c>
      <c r="H362" s="7">
        <v>21.61</v>
      </c>
      <c r="I362" s="4">
        <v>39.380000000000003</v>
      </c>
      <c r="J362" s="4">
        <v>45.19</v>
      </c>
      <c r="K362" s="7">
        <v>29.71</v>
      </c>
      <c r="L362" s="4">
        <v>35.58</v>
      </c>
    </row>
    <row r="363" spans="1:12" ht="15" customHeight="1" x14ac:dyDescent="0.45">
      <c r="A363" s="3">
        <v>45728</v>
      </c>
      <c r="B363" s="4">
        <v>35.11</v>
      </c>
      <c r="C363" s="7">
        <v>29.78</v>
      </c>
      <c r="D363" s="4">
        <v>41.74</v>
      </c>
      <c r="E363" s="4">
        <v>45.7</v>
      </c>
      <c r="F363" s="4">
        <v>36.86</v>
      </c>
      <c r="G363" s="4">
        <v>35.299999999999997</v>
      </c>
      <c r="H363" s="7">
        <v>24.79</v>
      </c>
      <c r="I363" s="4">
        <v>41</v>
      </c>
      <c r="J363" s="4">
        <v>44.07</v>
      </c>
      <c r="K363" s="4">
        <v>34.51</v>
      </c>
      <c r="L363" s="4">
        <v>41.8</v>
      </c>
    </row>
    <row r="364" spans="1:12" ht="15" customHeight="1" x14ac:dyDescent="0.45">
      <c r="A364" s="3">
        <v>45727</v>
      </c>
      <c r="B364" s="4">
        <v>30.38</v>
      </c>
      <c r="C364" s="7">
        <v>29.03</v>
      </c>
      <c r="D364" s="4">
        <v>46.37</v>
      </c>
      <c r="E364" s="4">
        <v>44.04</v>
      </c>
      <c r="F364" s="4">
        <v>38.21</v>
      </c>
      <c r="G364" s="4">
        <v>35.32</v>
      </c>
      <c r="H364" s="7">
        <v>22.34</v>
      </c>
      <c r="I364" s="4">
        <v>50.14</v>
      </c>
      <c r="J364" s="4">
        <v>45.15</v>
      </c>
      <c r="K364" s="4">
        <v>32.049999999999997</v>
      </c>
      <c r="L364" s="4">
        <v>43.1</v>
      </c>
    </row>
    <row r="365" spans="1:12" ht="15" customHeight="1" x14ac:dyDescent="0.45">
      <c r="A365" s="3">
        <v>45726</v>
      </c>
      <c r="B365" s="4">
        <v>30.92</v>
      </c>
      <c r="C365" s="4">
        <v>30.83</v>
      </c>
      <c r="D365" s="4">
        <v>52.32</v>
      </c>
      <c r="E365" s="4">
        <v>46.34</v>
      </c>
      <c r="F365" s="4">
        <v>40.479999999999997</v>
      </c>
      <c r="G365" s="4">
        <v>39.79</v>
      </c>
      <c r="H365" s="7">
        <v>23.55</v>
      </c>
      <c r="I365" s="4">
        <v>58.4</v>
      </c>
      <c r="J365" s="4">
        <v>48.51</v>
      </c>
      <c r="K365" s="4">
        <v>35.79</v>
      </c>
      <c r="L365" s="4">
        <v>47.07</v>
      </c>
    </row>
    <row r="366" spans="1:12" ht="15" customHeight="1" x14ac:dyDescent="0.45">
      <c r="A366" s="3">
        <v>45723</v>
      </c>
      <c r="B366" s="4">
        <v>37.76</v>
      </c>
      <c r="C366" s="4">
        <v>36.450000000000003</v>
      </c>
      <c r="D366" s="4">
        <v>59.39</v>
      </c>
      <c r="E366" s="4">
        <v>43.82</v>
      </c>
      <c r="F366" s="4">
        <v>47.79</v>
      </c>
      <c r="G366" s="4">
        <v>45.28</v>
      </c>
      <c r="H366" s="7">
        <v>29.13</v>
      </c>
      <c r="I366" s="4">
        <v>59.76</v>
      </c>
      <c r="J366" s="4">
        <v>44.01</v>
      </c>
      <c r="K366" s="4">
        <v>44.08</v>
      </c>
      <c r="L366" s="4">
        <v>51.16</v>
      </c>
    </row>
    <row r="367" spans="1:12" ht="15" customHeight="1" x14ac:dyDescent="0.45">
      <c r="A367" s="3">
        <v>45722</v>
      </c>
      <c r="B367" s="4">
        <v>33.15</v>
      </c>
      <c r="C367" s="4">
        <v>37.97</v>
      </c>
      <c r="D367" s="4">
        <v>59.35</v>
      </c>
      <c r="E367" s="4">
        <v>37.67</v>
      </c>
      <c r="F367" s="4">
        <v>46.62</v>
      </c>
      <c r="G367" s="4">
        <v>39.56</v>
      </c>
      <c r="H367" s="7">
        <v>29.46</v>
      </c>
      <c r="I367" s="4">
        <v>58.41</v>
      </c>
      <c r="J367" s="4">
        <v>35.29</v>
      </c>
      <c r="K367" s="4">
        <v>40.82</v>
      </c>
      <c r="L367" s="4">
        <v>48.74</v>
      </c>
    </row>
    <row r="368" spans="1:12" ht="15" customHeight="1" x14ac:dyDescent="0.45">
      <c r="A368" s="3">
        <v>45721</v>
      </c>
      <c r="B368" s="4">
        <v>38.35</v>
      </c>
      <c r="C368" s="4">
        <v>43.33</v>
      </c>
      <c r="D368" s="6">
        <v>61.17</v>
      </c>
      <c r="E368" s="4">
        <v>36.53</v>
      </c>
      <c r="F368" s="4">
        <v>48.56</v>
      </c>
      <c r="G368" s="4">
        <v>42.63</v>
      </c>
      <c r="H368" s="4">
        <v>34.69</v>
      </c>
      <c r="I368" s="4">
        <v>57.68</v>
      </c>
      <c r="J368" s="4">
        <v>42.26</v>
      </c>
      <c r="K368" s="4">
        <v>48.25</v>
      </c>
      <c r="L368" s="6">
        <v>63.12</v>
      </c>
    </row>
    <row r="369" spans="1:12" ht="15" customHeight="1" x14ac:dyDescent="0.45">
      <c r="A369" s="3">
        <v>45720</v>
      </c>
      <c r="B369" s="4">
        <v>33.520000000000003</v>
      </c>
      <c r="C369" s="4">
        <v>40.61</v>
      </c>
      <c r="D369" s="4">
        <v>56.7</v>
      </c>
      <c r="E369" s="4">
        <v>39.840000000000003</v>
      </c>
      <c r="F369" s="4">
        <v>36.6</v>
      </c>
      <c r="G369" s="4">
        <v>34.03</v>
      </c>
      <c r="H369" s="7">
        <v>27.64</v>
      </c>
      <c r="I369" s="4">
        <v>56.05</v>
      </c>
      <c r="J369" s="4">
        <v>45.09</v>
      </c>
      <c r="K369" s="4">
        <v>41.21</v>
      </c>
      <c r="L369" s="4">
        <v>59.38</v>
      </c>
    </row>
    <row r="370" spans="1:12" ht="15" customHeight="1" x14ac:dyDescent="0.45">
      <c r="A370" s="3">
        <v>45719</v>
      </c>
      <c r="B370" s="4">
        <v>33.65</v>
      </c>
      <c r="C370" s="4">
        <v>56.38</v>
      </c>
      <c r="D370" s="6">
        <v>62.98</v>
      </c>
      <c r="E370" s="4">
        <v>42.21</v>
      </c>
      <c r="F370" s="4">
        <v>41.3</v>
      </c>
      <c r="G370" s="4">
        <v>41.27</v>
      </c>
      <c r="H370" s="4">
        <v>31.35</v>
      </c>
      <c r="I370" s="6">
        <v>65.88</v>
      </c>
      <c r="J370" s="4">
        <v>52.78</v>
      </c>
      <c r="K370" s="4">
        <v>44.72</v>
      </c>
      <c r="L370" s="6">
        <v>67.31</v>
      </c>
    </row>
    <row r="371" spans="1:12" ht="15" customHeight="1" x14ac:dyDescent="0.45">
      <c r="A371" s="3">
        <v>45716</v>
      </c>
      <c r="B371" s="4">
        <v>39.659999999999997</v>
      </c>
      <c r="C371" s="6">
        <v>61.76</v>
      </c>
      <c r="D371" s="6">
        <v>61.11</v>
      </c>
      <c r="E371" s="4">
        <v>53.22</v>
      </c>
      <c r="F371" s="4">
        <v>50.35</v>
      </c>
      <c r="G371" s="4">
        <v>48.33</v>
      </c>
      <c r="H371" s="4">
        <v>36.14</v>
      </c>
      <c r="I371" s="6">
        <v>64.06</v>
      </c>
      <c r="J371" s="4">
        <v>52.13</v>
      </c>
      <c r="K371" s="4">
        <v>49.72</v>
      </c>
      <c r="L371" s="6">
        <v>64.010000000000005</v>
      </c>
    </row>
    <row r="372" spans="1:12" ht="15" customHeight="1" x14ac:dyDescent="0.45">
      <c r="A372" s="3">
        <v>45715</v>
      </c>
      <c r="B372" s="4">
        <v>35.049999999999997</v>
      </c>
      <c r="C372" s="4">
        <v>51.5</v>
      </c>
      <c r="D372" s="4">
        <v>55.63</v>
      </c>
      <c r="E372" s="4">
        <v>47.68</v>
      </c>
      <c r="F372" s="4">
        <v>45.69</v>
      </c>
      <c r="G372" s="4">
        <v>39.39</v>
      </c>
      <c r="H372" s="7">
        <v>26.94</v>
      </c>
      <c r="I372" s="4">
        <v>59.06</v>
      </c>
      <c r="J372" s="4">
        <v>44.5</v>
      </c>
      <c r="K372" s="4">
        <v>40.86</v>
      </c>
      <c r="L372" s="6">
        <v>61.05</v>
      </c>
    </row>
    <row r="373" spans="1:12" ht="15" customHeight="1" x14ac:dyDescent="0.45">
      <c r="A373" s="3">
        <v>45714</v>
      </c>
      <c r="B373" s="4">
        <v>43.99</v>
      </c>
      <c r="C373" s="4">
        <v>48.05</v>
      </c>
      <c r="D373" s="4">
        <v>58.31</v>
      </c>
      <c r="E373" s="4">
        <v>45.62</v>
      </c>
      <c r="F373" s="4">
        <v>49.11</v>
      </c>
      <c r="G373" s="4">
        <v>41.11</v>
      </c>
      <c r="H373" s="4">
        <v>30.54</v>
      </c>
      <c r="I373" s="4">
        <v>59.13</v>
      </c>
      <c r="J373" s="4">
        <v>57.07</v>
      </c>
      <c r="K373" s="4">
        <v>45.87</v>
      </c>
      <c r="L373" s="4">
        <v>59.07</v>
      </c>
    </row>
    <row r="374" spans="1:12" ht="15" customHeight="1" x14ac:dyDescent="0.45">
      <c r="A374" s="3">
        <v>45713</v>
      </c>
      <c r="B374" s="4">
        <v>39.76</v>
      </c>
      <c r="C374" s="4">
        <v>49.33</v>
      </c>
      <c r="D374" s="6">
        <v>63.36</v>
      </c>
      <c r="E374" s="4">
        <v>47.47</v>
      </c>
      <c r="F374" s="4">
        <v>49.34</v>
      </c>
      <c r="G374" s="4">
        <v>40.700000000000003</v>
      </c>
      <c r="H374" s="4">
        <v>31.67</v>
      </c>
      <c r="I374" s="5">
        <v>71.8</v>
      </c>
      <c r="J374" s="4">
        <v>54.86</v>
      </c>
      <c r="K374" s="4">
        <v>46.84</v>
      </c>
      <c r="L374" s="6">
        <v>62.32</v>
      </c>
    </row>
    <row r="375" spans="1:12" ht="15" customHeight="1" x14ac:dyDescent="0.45">
      <c r="A375" s="3">
        <v>45712</v>
      </c>
      <c r="B375" s="4">
        <v>43.43</v>
      </c>
      <c r="C375" s="4">
        <v>49.44</v>
      </c>
      <c r="D375" s="4">
        <v>59.49</v>
      </c>
      <c r="E375" s="4">
        <v>52.55</v>
      </c>
      <c r="F375" s="4">
        <v>45.32</v>
      </c>
      <c r="G375" s="4">
        <v>37.200000000000003</v>
      </c>
      <c r="H375" s="4">
        <v>33.119999999999997</v>
      </c>
      <c r="I375" s="6">
        <v>67</v>
      </c>
      <c r="J375" s="4">
        <v>58.23</v>
      </c>
      <c r="K375" s="4">
        <v>56.33</v>
      </c>
      <c r="L375" s="4">
        <v>57.68</v>
      </c>
    </row>
    <row r="376" spans="1:12" ht="15" customHeight="1" x14ac:dyDescent="0.45">
      <c r="A376" s="3">
        <v>45709</v>
      </c>
      <c r="B376" s="4">
        <v>48.04</v>
      </c>
      <c r="C376" s="4">
        <v>47</v>
      </c>
      <c r="D376" s="4">
        <v>55.4</v>
      </c>
      <c r="E376" s="4">
        <v>52.47</v>
      </c>
      <c r="F376" s="4">
        <v>45.82</v>
      </c>
      <c r="G376" s="4">
        <v>39.1</v>
      </c>
      <c r="H376" s="4">
        <v>34.159999999999997</v>
      </c>
      <c r="I376" s="6">
        <v>65.84</v>
      </c>
      <c r="J376" s="6">
        <v>61.75</v>
      </c>
      <c r="K376" s="4">
        <v>55.23</v>
      </c>
      <c r="L376" s="4">
        <v>55.54</v>
      </c>
    </row>
    <row r="377" spans="1:12" ht="15" customHeight="1" x14ac:dyDescent="0.45">
      <c r="A377" s="3">
        <v>45708</v>
      </c>
      <c r="B377" s="4">
        <v>59.43</v>
      </c>
      <c r="C377" s="4">
        <v>54.05</v>
      </c>
      <c r="D377" s="4">
        <v>59.08</v>
      </c>
      <c r="E377" s="6">
        <v>60.75</v>
      </c>
      <c r="F377" s="4">
        <v>54.99</v>
      </c>
      <c r="G377" s="4">
        <v>51.07</v>
      </c>
      <c r="H377" s="4">
        <v>43.28</v>
      </c>
      <c r="I377" s="6">
        <v>61.03</v>
      </c>
      <c r="J377" s="6">
        <v>61.64</v>
      </c>
      <c r="K377" s="6">
        <v>66.31</v>
      </c>
      <c r="L377" s="6">
        <v>60.81</v>
      </c>
    </row>
    <row r="378" spans="1:12" ht="15" customHeight="1" x14ac:dyDescent="0.45">
      <c r="A378" s="3">
        <v>45707</v>
      </c>
      <c r="B378" s="6">
        <v>61.01</v>
      </c>
      <c r="C378" s="6">
        <v>65.45</v>
      </c>
      <c r="D378" s="4">
        <v>56.28</v>
      </c>
      <c r="E378" s="4">
        <v>58.07</v>
      </c>
      <c r="F378" s="4">
        <v>56.33</v>
      </c>
      <c r="G378" s="4">
        <v>55.85</v>
      </c>
      <c r="H378" s="4">
        <v>47.15</v>
      </c>
      <c r="I378" s="6">
        <v>63.84</v>
      </c>
      <c r="J378" s="6">
        <v>61.72</v>
      </c>
      <c r="K378" s="5">
        <v>70.84</v>
      </c>
      <c r="L378" s="4">
        <v>57.72</v>
      </c>
    </row>
    <row r="379" spans="1:12" ht="15" customHeight="1" x14ac:dyDescent="0.45">
      <c r="A379" s="3">
        <v>45706</v>
      </c>
      <c r="B379" s="6">
        <v>60.99</v>
      </c>
      <c r="C379" s="6">
        <v>65.28</v>
      </c>
      <c r="D379" s="4">
        <v>48.83</v>
      </c>
      <c r="E379" s="4">
        <v>55.67</v>
      </c>
      <c r="F379" s="6">
        <v>63.67</v>
      </c>
      <c r="G379" s="4">
        <v>55.25</v>
      </c>
      <c r="H379" s="4">
        <v>47.41</v>
      </c>
      <c r="I379" s="6">
        <v>60.41</v>
      </c>
      <c r="J379" s="4">
        <v>59.66</v>
      </c>
      <c r="K379" s="5">
        <v>70.38</v>
      </c>
      <c r="L379" s="4">
        <v>56.85</v>
      </c>
    </row>
    <row r="380" spans="1:12" ht="15" customHeight="1" x14ac:dyDescent="0.45">
      <c r="A380" s="3">
        <v>45705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5" customHeight="1" x14ac:dyDescent="0.45">
      <c r="A381" s="3">
        <v>45702</v>
      </c>
      <c r="B381" s="4">
        <v>58.26</v>
      </c>
      <c r="C381" s="6">
        <v>62.07</v>
      </c>
      <c r="D381" s="4">
        <v>50.01</v>
      </c>
      <c r="E381" s="4">
        <v>51.25</v>
      </c>
      <c r="F381" s="4">
        <v>58.29</v>
      </c>
      <c r="G381" s="4">
        <v>50.44</v>
      </c>
      <c r="H381" s="4">
        <v>48.63</v>
      </c>
      <c r="I381" s="4">
        <v>58.78</v>
      </c>
      <c r="J381" s="4">
        <v>55.77</v>
      </c>
      <c r="K381" s="5">
        <v>74.849999999999994</v>
      </c>
      <c r="L381" s="4">
        <v>55.25</v>
      </c>
    </row>
    <row r="382" spans="1:12" ht="15" customHeight="1" x14ac:dyDescent="0.45">
      <c r="A382" s="3">
        <v>45701</v>
      </c>
      <c r="B382" s="4">
        <v>57.24</v>
      </c>
      <c r="C382" s="6">
        <v>61.17</v>
      </c>
      <c r="D382" s="4">
        <v>57.3</v>
      </c>
      <c r="E382" s="4">
        <v>49.89</v>
      </c>
      <c r="F382" s="6">
        <v>60.55</v>
      </c>
      <c r="G382" s="4">
        <v>52.08</v>
      </c>
      <c r="H382" s="4">
        <v>48.81</v>
      </c>
      <c r="I382" s="6">
        <v>65.78</v>
      </c>
      <c r="J382" s="4">
        <v>58.09</v>
      </c>
      <c r="K382" s="5">
        <v>72.75</v>
      </c>
      <c r="L382" s="4">
        <v>57.5</v>
      </c>
    </row>
    <row r="383" spans="1:12" ht="15" customHeight="1" x14ac:dyDescent="0.45">
      <c r="A383" s="3">
        <v>45700</v>
      </c>
      <c r="B383" s="4">
        <v>52.79</v>
      </c>
      <c r="C383" s="4">
        <v>58.03</v>
      </c>
      <c r="D383" s="4">
        <v>55.12</v>
      </c>
      <c r="E383" s="4">
        <v>47.35</v>
      </c>
      <c r="F383" s="4">
        <v>51.95</v>
      </c>
      <c r="G383" s="4">
        <v>51.47</v>
      </c>
      <c r="H383" s="4">
        <v>41.94</v>
      </c>
      <c r="I383" s="6">
        <v>61.17</v>
      </c>
      <c r="J383" s="4">
        <v>57.19</v>
      </c>
      <c r="K383" s="6">
        <v>68.16</v>
      </c>
      <c r="L383" s="4">
        <v>54.13</v>
      </c>
    </row>
    <row r="384" spans="1:12" ht="15" customHeight="1" x14ac:dyDescent="0.45">
      <c r="A384" s="3">
        <v>45699</v>
      </c>
      <c r="B384" s="4">
        <v>53.58</v>
      </c>
      <c r="C384" s="6">
        <v>60.43</v>
      </c>
      <c r="D384" s="4">
        <v>56.1</v>
      </c>
      <c r="E384" s="4">
        <v>56</v>
      </c>
      <c r="F384" s="4">
        <v>56.72</v>
      </c>
      <c r="G384" s="4">
        <v>55.45</v>
      </c>
      <c r="H384" s="4">
        <v>42</v>
      </c>
      <c r="I384" s="6">
        <v>61.7</v>
      </c>
      <c r="J384" s="4">
        <v>58.1</v>
      </c>
      <c r="K384" s="6">
        <v>67.69</v>
      </c>
      <c r="L384" s="4">
        <v>58.85</v>
      </c>
    </row>
    <row r="385" spans="1:12" ht="15" customHeight="1" x14ac:dyDescent="0.45">
      <c r="A385" s="3">
        <v>45698</v>
      </c>
      <c r="B385" s="4">
        <v>53.44</v>
      </c>
      <c r="C385" s="4">
        <v>59.3</v>
      </c>
      <c r="D385" s="4">
        <v>57.31</v>
      </c>
      <c r="E385" s="4">
        <v>53.37</v>
      </c>
      <c r="F385" s="4">
        <v>53.5</v>
      </c>
      <c r="G385" s="4">
        <v>55.27</v>
      </c>
      <c r="H385" s="4">
        <v>46.09</v>
      </c>
      <c r="I385" s="4">
        <v>57.27</v>
      </c>
      <c r="J385" s="4">
        <v>56.26</v>
      </c>
      <c r="K385" s="6">
        <v>67</v>
      </c>
      <c r="L385" s="4">
        <v>56.6</v>
      </c>
    </row>
    <row r="386" spans="1:12" ht="15" customHeight="1" x14ac:dyDescent="0.45">
      <c r="A386" s="3">
        <v>45695</v>
      </c>
      <c r="B386" s="4">
        <v>49.04</v>
      </c>
      <c r="C386" s="6">
        <v>64.72</v>
      </c>
      <c r="D386" s="4">
        <v>57.88</v>
      </c>
      <c r="E386" s="4">
        <v>45.27</v>
      </c>
      <c r="F386" s="4">
        <v>50.53</v>
      </c>
      <c r="G386" s="4">
        <v>50.53</v>
      </c>
      <c r="H386" s="4">
        <v>44.59</v>
      </c>
      <c r="I386" s="4">
        <v>54.13</v>
      </c>
      <c r="J386" s="4">
        <v>52.13</v>
      </c>
      <c r="K386" s="6">
        <v>65.11</v>
      </c>
      <c r="L386" s="4">
        <v>56.02</v>
      </c>
    </row>
    <row r="387" spans="1:12" ht="15" customHeight="1" x14ac:dyDescent="0.45">
      <c r="A387" s="3">
        <v>45694</v>
      </c>
      <c r="B387" s="4">
        <v>51.72</v>
      </c>
      <c r="C387" s="6">
        <v>68.849999999999994</v>
      </c>
      <c r="D387" s="6">
        <v>60.81</v>
      </c>
      <c r="E387" s="4">
        <v>45.31</v>
      </c>
      <c r="F387" s="4">
        <v>58.98</v>
      </c>
      <c r="G387" s="4">
        <v>52.24</v>
      </c>
      <c r="H387" s="4">
        <v>52.52</v>
      </c>
      <c r="I387" s="4">
        <v>55.05</v>
      </c>
      <c r="J387" s="4">
        <v>53.01</v>
      </c>
      <c r="K387" s="6">
        <v>66.81</v>
      </c>
      <c r="L387" s="4">
        <v>57.82</v>
      </c>
    </row>
    <row r="388" spans="1:12" ht="15" customHeight="1" x14ac:dyDescent="0.45">
      <c r="A388" s="3">
        <v>45693</v>
      </c>
      <c r="B388" s="4">
        <v>50.93</v>
      </c>
      <c r="C388" s="6">
        <v>65.849999999999994</v>
      </c>
      <c r="D388" s="6">
        <v>66.87</v>
      </c>
      <c r="E388" s="4">
        <v>51.94</v>
      </c>
      <c r="F388" s="4">
        <v>57.09</v>
      </c>
      <c r="G388" s="4">
        <v>49.86</v>
      </c>
      <c r="H388" s="4">
        <v>50.88</v>
      </c>
      <c r="I388" s="4">
        <v>52.82</v>
      </c>
      <c r="J388" s="4">
        <v>53.48</v>
      </c>
      <c r="K388" s="6">
        <v>65.12</v>
      </c>
      <c r="L388" s="4">
        <v>56.79</v>
      </c>
    </row>
    <row r="389" spans="1:12" ht="15" customHeight="1" x14ac:dyDescent="0.45">
      <c r="A389" s="3">
        <v>45692</v>
      </c>
      <c r="B389" s="4">
        <v>46.87</v>
      </c>
      <c r="C389" s="6">
        <v>61.53</v>
      </c>
      <c r="D389" s="6">
        <v>63.26</v>
      </c>
      <c r="E389" s="4">
        <v>51.18</v>
      </c>
      <c r="F389" s="4">
        <v>57.65</v>
      </c>
      <c r="G389" s="4">
        <v>49.48</v>
      </c>
      <c r="H389" s="4">
        <v>56.08</v>
      </c>
      <c r="I389" s="4">
        <v>49.66</v>
      </c>
      <c r="J389" s="4">
        <v>49.91</v>
      </c>
      <c r="K389" s="5">
        <v>72.95</v>
      </c>
      <c r="L389" s="4">
        <v>50.74</v>
      </c>
    </row>
    <row r="390" spans="1:12" ht="15" customHeight="1" x14ac:dyDescent="0.45">
      <c r="A390" s="3">
        <v>45691</v>
      </c>
      <c r="B390" s="4">
        <v>42.33</v>
      </c>
      <c r="C390" s="6">
        <v>63.18</v>
      </c>
      <c r="D390" s="6">
        <v>65.13</v>
      </c>
      <c r="E390" s="4">
        <v>43.05</v>
      </c>
      <c r="F390" s="4">
        <v>56.17</v>
      </c>
      <c r="G390" s="4">
        <v>49.34</v>
      </c>
      <c r="H390" s="4">
        <v>51.34</v>
      </c>
      <c r="I390" s="4">
        <v>54.27</v>
      </c>
      <c r="J390" s="4">
        <v>53.26</v>
      </c>
      <c r="K390" s="6">
        <v>69.849999999999994</v>
      </c>
      <c r="L390" s="4">
        <v>50.74</v>
      </c>
    </row>
    <row r="391" spans="1:12" ht="15" customHeight="1" x14ac:dyDescent="0.45">
      <c r="A391" s="3">
        <v>45688</v>
      </c>
      <c r="B391" s="4">
        <v>45.77</v>
      </c>
      <c r="C391" s="6">
        <v>66.05</v>
      </c>
      <c r="D391" s="6">
        <v>63.71</v>
      </c>
      <c r="E391" s="4">
        <v>40.299999999999997</v>
      </c>
      <c r="F391" s="4">
        <v>55.67</v>
      </c>
      <c r="G391" s="4">
        <v>54.17</v>
      </c>
      <c r="H391" s="4">
        <v>57.95</v>
      </c>
      <c r="I391" s="4">
        <v>52.37</v>
      </c>
      <c r="J391" s="4">
        <v>51.42</v>
      </c>
      <c r="K391" s="6">
        <v>69.069999999999993</v>
      </c>
      <c r="L391" s="4">
        <v>51.4</v>
      </c>
    </row>
    <row r="392" spans="1:12" ht="15" customHeight="1" x14ac:dyDescent="0.45">
      <c r="A392" s="3">
        <v>45687</v>
      </c>
      <c r="B392" s="4">
        <v>47.33</v>
      </c>
      <c r="C392" s="5">
        <v>70.3</v>
      </c>
      <c r="D392" s="6">
        <v>65.760000000000005</v>
      </c>
      <c r="E392" s="4">
        <v>50.7</v>
      </c>
      <c r="F392" s="6">
        <v>60.26</v>
      </c>
      <c r="G392" s="4">
        <v>57.95</v>
      </c>
      <c r="H392" s="6">
        <v>60.37</v>
      </c>
      <c r="I392" s="4">
        <v>57.77</v>
      </c>
      <c r="J392" s="4">
        <v>53.57</v>
      </c>
      <c r="K392" s="6">
        <v>67.599999999999994</v>
      </c>
      <c r="L392" s="4">
        <v>52.23</v>
      </c>
    </row>
    <row r="393" spans="1:12" ht="15" customHeight="1" x14ac:dyDescent="0.45">
      <c r="A393" s="3">
        <v>45686</v>
      </c>
      <c r="B393" s="4">
        <v>46.8</v>
      </c>
      <c r="C393" s="6">
        <v>67.09</v>
      </c>
      <c r="D393" s="6">
        <v>61.68</v>
      </c>
      <c r="E393" s="4">
        <v>48.44</v>
      </c>
      <c r="F393" s="4">
        <v>55.9</v>
      </c>
      <c r="G393" s="4">
        <v>53.19</v>
      </c>
      <c r="H393" s="4">
        <v>56.68</v>
      </c>
      <c r="I393" s="4">
        <v>53.1</v>
      </c>
      <c r="J393" s="4">
        <v>46.32</v>
      </c>
      <c r="K393" s="6">
        <v>67.25</v>
      </c>
      <c r="L393" s="4">
        <v>47.55</v>
      </c>
    </row>
    <row r="394" spans="1:12" ht="15" customHeight="1" x14ac:dyDescent="0.45">
      <c r="A394" s="3">
        <v>45685</v>
      </c>
      <c r="B394" s="4">
        <v>48.83</v>
      </c>
      <c r="C394" s="6">
        <v>67.650000000000006</v>
      </c>
      <c r="D394" s="6">
        <v>65.38</v>
      </c>
      <c r="E394" s="4">
        <v>47.48</v>
      </c>
      <c r="F394" s="4">
        <v>57</v>
      </c>
      <c r="G394" s="4">
        <v>54.95</v>
      </c>
      <c r="H394" s="4">
        <v>58.15</v>
      </c>
      <c r="I394" s="4">
        <v>51.9</v>
      </c>
      <c r="J394" s="4">
        <v>45.53</v>
      </c>
      <c r="K394" s="6">
        <v>65.7</v>
      </c>
      <c r="L394" s="4">
        <v>51.73</v>
      </c>
    </row>
    <row r="395" spans="1:12" ht="15" customHeight="1" x14ac:dyDescent="0.45">
      <c r="A395" s="3">
        <v>45684</v>
      </c>
      <c r="B395" s="4">
        <v>41.29</v>
      </c>
      <c r="C395" s="6">
        <v>68.83</v>
      </c>
      <c r="D395" s="5">
        <v>70.069999999999993</v>
      </c>
      <c r="E395" s="4">
        <v>51.33</v>
      </c>
      <c r="F395" s="4">
        <v>58.97</v>
      </c>
      <c r="G395" s="4">
        <v>58.47</v>
      </c>
      <c r="H395" s="4">
        <v>57.72</v>
      </c>
      <c r="I395" s="6">
        <v>61.53</v>
      </c>
      <c r="J395" s="4">
        <v>50.11</v>
      </c>
      <c r="K395" s="6">
        <v>63.98</v>
      </c>
      <c r="L395" s="4">
        <v>56.64</v>
      </c>
    </row>
    <row r="396" spans="1:12" ht="15" customHeight="1" x14ac:dyDescent="0.45">
      <c r="A396" s="3">
        <v>45681</v>
      </c>
      <c r="B396" s="4">
        <v>56.12</v>
      </c>
      <c r="C396" s="6">
        <v>65.31</v>
      </c>
      <c r="D396" s="6">
        <v>62.15</v>
      </c>
      <c r="E396" s="4">
        <v>55.99</v>
      </c>
      <c r="F396" s="4">
        <v>58.74</v>
      </c>
      <c r="G396" s="6">
        <v>66.61</v>
      </c>
      <c r="H396" s="4">
        <v>55.74</v>
      </c>
      <c r="I396" s="4">
        <v>45.75</v>
      </c>
      <c r="J396" s="4">
        <v>59.69</v>
      </c>
      <c r="K396" s="6">
        <v>62.1</v>
      </c>
      <c r="L396" s="4">
        <v>53.33</v>
      </c>
    </row>
    <row r="397" spans="1:12" ht="15" customHeight="1" x14ac:dyDescent="0.45">
      <c r="A397" s="3">
        <v>45680</v>
      </c>
      <c r="B397" s="6">
        <v>60.46</v>
      </c>
      <c r="C397" s="6">
        <v>64.31</v>
      </c>
      <c r="D397" s="6">
        <v>61.47</v>
      </c>
      <c r="E397" s="6">
        <v>60.8</v>
      </c>
      <c r="F397" s="6">
        <v>60.17</v>
      </c>
      <c r="G397" s="6">
        <v>69.459999999999994</v>
      </c>
      <c r="H397" s="4">
        <v>58.48</v>
      </c>
      <c r="I397" s="4">
        <v>41.53</v>
      </c>
      <c r="J397" s="4">
        <v>56.32</v>
      </c>
      <c r="K397" s="4">
        <v>58.64</v>
      </c>
      <c r="L397" s="4">
        <v>52.35</v>
      </c>
    </row>
    <row r="398" spans="1:12" ht="15" customHeight="1" x14ac:dyDescent="0.45">
      <c r="A398" s="3">
        <v>45679</v>
      </c>
      <c r="B398" s="4">
        <v>59.97</v>
      </c>
      <c r="C398" s="6">
        <v>62.36</v>
      </c>
      <c r="D398" s="4">
        <v>55.4</v>
      </c>
      <c r="E398" s="4">
        <v>59.26</v>
      </c>
      <c r="F398" s="4">
        <v>58.16</v>
      </c>
      <c r="G398" s="6">
        <v>66.290000000000006</v>
      </c>
      <c r="H398" s="4">
        <v>56.52</v>
      </c>
      <c r="I398" s="4">
        <v>38.409999999999997</v>
      </c>
      <c r="J398" s="4">
        <v>54.69</v>
      </c>
      <c r="K398" s="4">
        <v>57.6</v>
      </c>
      <c r="L398" s="4">
        <v>49.62</v>
      </c>
    </row>
    <row r="399" spans="1:12" ht="15" customHeight="1" x14ac:dyDescent="0.45">
      <c r="A399" s="3">
        <v>45678</v>
      </c>
      <c r="B399" s="4">
        <v>53.31</v>
      </c>
      <c r="C399" s="6">
        <v>65.099999999999994</v>
      </c>
      <c r="D399" s="4">
        <v>56.8</v>
      </c>
      <c r="E399" s="6">
        <v>69.459999999999994</v>
      </c>
      <c r="F399" s="6">
        <v>62.46</v>
      </c>
      <c r="G399" s="6">
        <v>67.81</v>
      </c>
      <c r="H399" s="4">
        <v>58.11</v>
      </c>
      <c r="I399" s="4">
        <v>41.18</v>
      </c>
      <c r="J399" s="6">
        <v>65.25</v>
      </c>
      <c r="K399" s="4">
        <v>53.51</v>
      </c>
      <c r="L399" s="4">
        <v>56.22</v>
      </c>
    </row>
    <row r="400" spans="1:12" ht="15" customHeight="1" x14ac:dyDescent="0.45">
      <c r="A400" s="3">
        <v>45677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5" customHeight="1" x14ac:dyDescent="0.45">
      <c r="A401" s="3">
        <v>45674</v>
      </c>
      <c r="B401" s="4">
        <v>50.51</v>
      </c>
      <c r="C401" s="6">
        <v>62.42</v>
      </c>
      <c r="D401" s="4">
        <v>47.93</v>
      </c>
      <c r="E401" s="5">
        <v>72.75</v>
      </c>
      <c r="F401" s="4">
        <v>57.92</v>
      </c>
      <c r="G401" s="6">
        <v>60.63</v>
      </c>
      <c r="H401" s="4">
        <v>55.88</v>
      </c>
      <c r="I401" s="4">
        <v>37.200000000000003</v>
      </c>
      <c r="J401" s="6">
        <v>60.27</v>
      </c>
      <c r="K401" s="4">
        <v>49.44</v>
      </c>
      <c r="L401" s="4">
        <v>49.86</v>
      </c>
    </row>
    <row r="402" spans="1:12" ht="15" customHeight="1" x14ac:dyDescent="0.45">
      <c r="A402" s="3">
        <v>45673</v>
      </c>
      <c r="B402" s="4">
        <v>44.84</v>
      </c>
      <c r="C402" s="4">
        <v>59.53</v>
      </c>
      <c r="D402" s="4">
        <v>51.99</v>
      </c>
      <c r="E402" s="5">
        <v>70.83</v>
      </c>
      <c r="F402" s="4">
        <v>55.4</v>
      </c>
      <c r="G402" s="4">
        <v>58.11</v>
      </c>
      <c r="H402" s="4">
        <v>51.35</v>
      </c>
      <c r="I402" s="4">
        <v>31.98</v>
      </c>
      <c r="J402" s="4">
        <v>59.78</v>
      </c>
      <c r="K402" s="4">
        <v>45.2</v>
      </c>
      <c r="L402" s="4">
        <v>49.95</v>
      </c>
    </row>
    <row r="403" spans="1:12" ht="15" customHeight="1" x14ac:dyDescent="0.45">
      <c r="A403" s="3">
        <v>45672</v>
      </c>
      <c r="B403" s="4">
        <v>47.34</v>
      </c>
      <c r="C403" s="4">
        <v>57.13</v>
      </c>
      <c r="D403" s="4">
        <v>49.65</v>
      </c>
      <c r="E403" s="6">
        <v>68.94</v>
      </c>
      <c r="F403" s="4">
        <v>52.03</v>
      </c>
      <c r="G403" s="4">
        <v>52.47</v>
      </c>
      <c r="H403" s="4">
        <v>53.33</v>
      </c>
      <c r="I403" s="7">
        <v>24.43</v>
      </c>
      <c r="J403" s="4">
        <v>49.69</v>
      </c>
      <c r="K403" s="4">
        <v>47.63</v>
      </c>
      <c r="L403" s="4">
        <v>41.09</v>
      </c>
    </row>
    <row r="404" spans="1:12" ht="15" customHeight="1" x14ac:dyDescent="0.45">
      <c r="A404" s="3">
        <v>45671</v>
      </c>
      <c r="B404" s="4">
        <v>39.39</v>
      </c>
      <c r="C404" s="4">
        <v>46.05</v>
      </c>
      <c r="D404" s="4">
        <v>47.23</v>
      </c>
      <c r="E404" s="6">
        <v>64.650000000000006</v>
      </c>
      <c r="F404" s="4">
        <v>47.86</v>
      </c>
      <c r="G404" s="4">
        <v>49.18</v>
      </c>
      <c r="H404" s="4">
        <v>44.2</v>
      </c>
      <c r="I404" s="7">
        <v>25.63</v>
      </c>
      <c r="J404" s="4">
        <v>41.94</v>
      </c>
      <c r="K404" s="4">
        <v>38.909999999999997</v>
      </c>
      <c r="L404" s="4">
        <v>39.200000000000003</v>
      </c>
    </row>
    <row r="405" spans="1:12" ht="15" customHeight="1" x14ac:dyDescent="0.45">
      <c r="A405" s="3">
        <v>45670</v>
      </c>
      <c r="B405" s="4">
        <v>38.25</v>
      </c>
      <c r="C405" s="4">
        <v>39.03</v>
      </c>
      <c r="D405" s="4">
        <v>53.34</v>
      </c>
      <c r="E405" s="6">
        <v>61.06</v>
      </c>
      <c r="F405" s="4">
        <v>41.79</v>
      </c>
      <c r="G405" s="4">
        <v>42.32</v>
      </c>
      <c r="H405" s="4">
        <v>44.82</v>
      </c>
      <c r="I405" s="7">
        <v>25.37</v>
      </c>
      <c r="J405" s="4">
        <v>33.56</v>
      </c>
      <c r="K405" s="4">
        <v>40.18</v>
      </c>
      <c r="L405" s="4">
        <v>35.35</v>
      </c>
    </row>
    <row r="406" spans="1:12" ht="15" customHeight="1" x14ac:dyDescent="0.45">
      <c r="A406" s="3">
        <v>45667</v>
      </c>
      <c r="B406" s="4">
        <v>40.15</v>
      </c>
      <c r="C406" s="4">
        <v>34.46</v>
      </c>
      <c r="D406" s="4">
        <v>45.13</v>
      </c>
      <c r="E406" s="4">
        <v>52.48</v>
      </c>
      <c r="F406" s="7">
        <v>28.15</v>
      </c>
      <c r="G406" s="4">
        <v>34.25</v>
      </c>
      <c r="H406" s="4">
        <v>42.65</v>
      </c>
      <c r="I406" s="7">
        <v>23.74</v>
      </c>
      <c r="J406" s="4">
        <v>38.15</v>
      </c>
      <c r="K406" s="4">
        <v>39.950000000000003</v>
      </c>
      <c r="L406" s="7">
        <v>29.23</v>
      </c>
    </row>
    <row r="407" spans="1:12" ht="15" customHeight="1" x14ac:dyDescent="0.45">
      <c r="A407" s="3">
        <v>45666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5" customHeight="1" x14ac:dyDescent="0.45">
      <c r="A408" s="3">
        <v>45665</v>
      </c>
      <c r="B408" s="4">
        <v>46.98</v>
      </c>
      <c r="C408" s="4">
        <v>45.3</v>
      </c>
      <c r="D408" s="4">
        <v>48.57</v>
      </c>
      <c r="E408" s="4">
        <v>50.52</v>
      </c>
      <c r="F408" s="4">
        <v>31.3</v>
      </c>
      <c r="G408" s="4">
        <v>39.18</v>
      </c>
      <c r="H408" s="4">
        <v>45.57</v>
      </c>
      <c r="I408" s="7">
        <v>28.34</v>
      </c>
      <c r="J408" s="4">
        <v>40.68</v>
      </c>
      <c r="K408" s="4">
        <v>45.79</v>
      </c>
      <c r="L408" s="4">
        <v>35.24</v>
      </c>
    </row>
    <row r="409" spans="1:12" ht="15" customHeight="1" x14ac:dyDescent="0.45">
      <c r="A409" s="3">
        <v>45664</v>
      </c>
      <c r="B409" s="4">
        <v>47.1</v>
      </c>
      <c r="C409" s="4">
        <v>43.02</v>
      </c>
      <c r="D409" s="4">
        <v>45.02</v>
      </c>
      <c r="E409" s="4">
        <v>50.04</v>
      </c>
      <c r="F409" s="7">
        <v>27.26</v>
      </c>
      <c r="G409" s="4">
        <v>36.200000000000003</v>
      </c>
      <c r="H409" s="4">
        <v>44.55</v>
      </c>
      <c r="I409" s="7">
        <v>26.56</v>
      </c>
      <c r="J409" s="4">
        <v>40.799999999999997</v>
      </c>
      <c r="K409" s="4">
        <v>48.42</v>
      </c>
      <c r="L409" s="4">
        <v>32.99</v>
      </c>
    </row>
    <row r="410" spans="1:12" ht="15" customHeight="1" x14ac:dyDescent="0.45">
      <c r="A410" s="3">
        <v>45663</v>
      </c>
      <c r="B410" s="4">
        <v>54.65</v>
      </c>
      <c r="C410" s="4">
        <v>44.19</v>
      </c>
      <c r="D410" s="4">
        <v>41.42</v>
      </c>
      <c r="E410" s="4">
        <v>45.29</v>
      </c>
      <c r="F410" s="7">
        <v>27.42</v>
      </c>
      <c r="G410" s="4">
        <v>36.619999999999997</v>
      </c>
      <c r="H410" s="4">
        <v>50.66</v>
      </c>
      <c r="I410" s="7">
        <v>27.79</v>
      </c>
      <c r="J410" s="4">
        <v>41.86</v>
      </c>
      <c r="K410" s="4">
        <v>53.87</v>
      </c>
      <c r="L410" s="4">
        <v>34.979999999999997</v>
      </c>
    </row>
    <row r="411" spans="1:12" ht="15" customHeight="1" x14ac:dyDescent="0.45">
      <c r="A411" s="3">
        <v>45660</v>
      </c>
      <c r="B411" s="4">
        <v>49.99</v>
      </c>
      <c r="C411" s="4">
        <v>45.77</v>
      </c>
      <c r="D411" s="4">
        <v>41.11</v>
      </c>
      <c r="E411" s="4">
        <v>47.21</v>
      </c>
      <c r="F411" s="7">
        <v>22.62</v>
      </c>
      <c r="G411" s="4">
        <v>37.51</v>
      </c>
      <c r="H411" s="4">
        <v>49.35</v>
      </c>
      <c r="I411" s="4">
        <v>31.98</v>
      </c>
      <c r="J411" s="4">
        <v>46.98</v>
      </c>
      <c r="K411" s="4">
        <v>48.71</v>
      </c>
      <c r="L411" s="4">
        <v>39.049999999999997</v>
      </c>
    </row>
    <row r="412" spans="1:12" ht="15" customHeight="1" x14ac:dyDescent="0.45">
      <c r="A412" s="3">
        <v>45659</v>
      </c>
      <c r="B412" s="4">
        <v>43.15</v>
      </c>
      <c r="C412" s="4">
        <v>40.79</v>
      </c>
      <c r="D412" s="4">
        <v>33.75</v>
      </c>
      <c r="E412" s="4">
        <v>42.64</v>
      </c>
      <c r="F412" s="7">
        <v>22.67</v>
      </c>
      <c r="G412" s="7">
        <v>29.72</v>
      </c>
      <c r="H412" s="4">
        <v>42.2</v>
      </c>
      <c r="I412" s="4">
        <v>32.200000000000003</v>
      </c>
      <c r="J412" s="4">
        <v>40.619999999999997</v>
      </c>
      <c r="K412" s="4">
        <v>45.5</v>
      </c>
      <c r="L412" s="4">
        <v>31.81</v>
      </c>
    </row>
    <row r="413" spans="1:12" ht="15" customHeight="1" x14ac:dyDescent="0.45">
      <c r="A413" s="3">
        <v>45657</v>
      </c>
      <c r="B413" s="4">
        <v>43.96</v>
      </c>
      <c r="C413" s="4">
        <v>41.92</v>
      </c>
      <c r="D413" s="4">
        <v>33.520000000000003</v>
      </c>
      <c r="E413" s="4">
        <v>36.340000000000003</v>
      </c>
      <c r="F413" s="7">
        <v>25.05</v>
      </c>
      <c r="G413" s="4">
        <v>30.88</v>
      </c>
      <c r="H413" s="4">
        <v>46.19</v>
      </c>
      <c r="I413" s="4">
        <v>33.49</v>
      </c>
      <c r="J413" s="4">
        <v>35.479999999999997</v>
      </c>
      <c r="K413" s="4">
        <v>42.9</v>
      </c>
      <c r="L413" s="4">
        <v>34.43</v>
      </c>
    </row>
    <row r="414" spans="1:12" ht="15" customHeight="1" x14ac:dyDescent="0.45">
      <c r="A414" s="3">
        <v>45656</v>
      </c>
      <c r="B414" s="4">
        <v>46.87</v>
      </c>
      <c r="C414" s="4">
        <v>41.3</v>
      </c>
      <c r="D414" s="4">
        <v>31.72</v>
      </c>
      <c r="E414" s="7">
        <v>28.2</v>
      </c>
      <c r="F414" s="7">
        <v>22.28</v>
      </c>
      <c r="G414" s="4">
        <v>31.27</v>
      </c>
      <c r="H414" s="4">
        <v>48.65</v>
      </c>
      <c r="I414" s="4">
        <v>30.93</v>
      </c>
      <c r="J414" s="4">
        <v>35.82</v>
      </c>
      <c r="K414" s="4">
        <v>44.24</v>
      </c>
      <c r="L414" s="7">
        <v>29.92</v>
      </c>
    </row>
    <row r="415" spans="1:12" ht="15" customHeight="1" x14ac:dyDescent="0.45">
      <c r="A415" s="3">
        <v>45653</v>
      </c>
      <c r="B415" s="4">
        <v>51.79</v>
      </c>
      <c r="C415" s="4">
        <v>45.6</v>
      </c>
      <c r="D415" s="4">
        <v>36.479999999999997</v>
      </c>
      <c r="E415" s="7">
        <v>28.23</v>
      </c>
      <c r="F415" s="7">
        <v>25.17</v>
      </c>
      <c r="G415" s="4">
        <v>34.71</v>
      </c>
      <c r="H415" s="4">
        <v>54.5</v>
      </c>
      <c r="I415" s="4">
        <v>35.89</v>
      </c>
      <c r="J415" s="4">
        <v>37.380000000000003</v>
      </c>
      <c r="K415" s="4">
        <v>48.76</v>
      </c>
      <c r="L415" s="4">
        <v>31.1</v>
      </c>
    </row>
    <row r="416" spans="1:12" ht="15" customHeight="1" x14ac:dyDescent="0.45">
      <c r="A416" s="3">
        <v>45652</v>
      </c>
      <c r="B416" s="4">
        <v>57.76</v>
      </c>
      <c r="C416" s="4">
        <v>49.26</v>
      </c>
      <c r="D416" s="4">
        <v>38.520000000000003</v>
      </c>
      <c r="E416" s="7">
        <v>28.26</v>
      </c>
      <c r="F416" s="7">
        <v>26.46</v>
      </c>
      <c r="G416" s="4">
        <v>37.57</v>
      </c>
      <c r="H416" s="6">
        <v>61.72</v>
      </c>
      <c r="I416" s="4">
        <v>38.28</v>
      </c>
      <c r="J416" s="4">
        <v>38.450000000000003</v>
      </c>
      <c r="K416" s="4">
        <v>53.07</v>
      </c>
      <c r="L416" s="4">
        <v>33.21</v>
      </c>
    </row>
    <row r="417" spans="1:12" ht="15" customHeight="1" x14ac:dyDescent="0.45">
      <c r="A417" s="3">
        <v>45650</v>
      </c>
      <c r="B417" s="4">
        <v>57.53</v>
      </c>
      <c r="C417" s="4">
        <v>47.97</v>
      </c>
      <c r="D417" s="4">
        <v>37.11</v>
      </c>
      <c r="E417" s="7">
        <v>28.45</v>
      </c>
      <c r="F417" s="7">
        <v>26.82</v>
      </c>
      <c r="G417" s="4">
        <v>37.090000000000003</v>
      </c>
      <c r="H417" s="6">
        <v>63.48</v>
      </c>
      <c r="I417" s="4">
        <v>35.74</v>
      </c>
      <c r="J417" s="4">
        <v>39.299999999999997</v>
      </c>
      <c r="K417" s="4">
        <v>53.73</v>
      </c>
      <c r="L417" s="4">
        <v>32.44</v>
      </c>
    </row>
    <row r="418" spans="1:12" ht="15" customHeight="1" x14ac:dyDescent="0.45">
      <c r="A418" s="3">
        <v>45649</v>
      </c>
      <c r="B418" s="4">
        <v>54</v>
      </c>
      <c r="C418" s="4">
        <v>41.39</v>
      </c>
      <c r="D418" s="4">
        <v>34.270000000000003</v>
      </c>
      <c r="E418" s="7">
        <v>23.78</v>
      </c>
      <c r="F418" s="7">
        <v>23.4</v>
      </c>
      <c r="G418" s="4">
        <v>32.020000000000003</v>
      </c>
      <c r="H418" s="4">
        <v>56.46</v>
      </c>
      <c r="I418" s="4">
        <v>30.17</v>
      </c>
      <c r="J418" s="4">
        <v>36.24</v>
      </c>
      <c r="K418" s="4">
        <v>49.62</v>
      </c>
      <c r="L418" s="7">
        <v>28.99</v>
      </c>
    </row>
    <row r="419" spans="1:12" ht="15" customHeight="1" x14ac:dyDescent="0.45">
      <c r="A419" s="3">
        <v>45646</v>
      </c>
      <c r="B419" s="4">
        <v>50.73</v>
      </c>
      <c r="C419" s="4">
        <v>42.17</v>
      </c>
      <c r="D419" s="4">
        <v>30.42</v>
      </c>
      <c r="E419" s="7">
        <v>24.21</v>
      </c>
      <c r="F419" s="7">
        <v>24.58</v>
      </c>
      <c r="G419" s="4">
        <v>33.72</v>
      </c>
      <c r="H419" s="4">
        <v>56.08</v>
      </c>
      <c r="I419" s="4">
        <v>35.82</v>
      </c>
      <c r="J419" s="4">
        <v>37.799999999999997</v>
      </c>
      <c r="K419" s="4">
        <v>48.34</v>
      </c>
      <c r="L419" s="4">
        <v>30.32</v>
      </c>
    </row>
    <row r="420" spans="1:12" ht="15" customHeight="1" x14ac:dyDescent="0.45">
      <c r="A420" s="3">
        <v>45645</v>
      </c>
      <c r="B420" s="4">
        <v>44.74</v>
      </c>
      <c r="C420" s="4">
        <v>32.89</v>
      </c>
      <c r="D420" s="7">
        <v>20.51</v>
      </c>
      <c r="E420" s="7">
        <v>18.84</v>
      </c>
      <c r="F420" s="7">
        <v>16.489999999999998</v>
      </c>
      <c r="G420" s="7">
        <v>25.61</v>
      </c>
      <c r="H420" s="4">
        <v>55.26</v>
      </c>
      <c r="I420" s="4">
        <v>32.6</v>
      </c>
      <c r="J420" s="7">
        <v>28.54</v>
      </c>
      <c r="K420" s="4">
        <v>45.92</v>
      </c>
      <c r="L420" s="7">
        <v>20.420000000000002</v>
      </c>
    </row>
    <row r="421" spans="1:12" ht="15" customHeight="1" x14ac:dyDescent="0.45">
      <c r="A421" s="3">
        <v>45644</v>
      </c>
      <c r="B421" s="4">
        <v>44.29</v>
      </c>
      <c r="C421" s="4">
        <v>30.41</v>
      </c>
      <c r="D421" s="7">
        <v>22.29</v>
      </c>
      <c r="E421" s="7">
        <v>20.010000000000002</v>
      </c>
      <c r="F421" s="7">
        <v>18.07</v>
      </c>
      <c r="G421" s="7">
        <v>25.93</v>
      </c>
      <c r="H421" s="4">
        <v>55.77</v>
      </c>
      <c r="I421" s="4">
        <v>36.020000000000003</v>
      </c>
      <c r="J421" s="7">
        <v>25.63</v>
      </c>
      <c r="K421" s="4">
        <v>46.96</v>
      </c>
      <c r="L421" s="7">
        <v>23.38</v>
      </c>
    </row>
    <row r="422" spans="1:12" ht="15" customHeight="1" x14ac:dyDescent="0.45">
      <c r="A422" s="3">
        <v>45643</v>
      </c>
      <c r="B422" s="4">
        <v>57.95</v>
      </c>
      <c r="C422" s="4">
        <v>43.26</v>
      </c>
      <c r="D422" s="7">
        <v>26.12</v>
      </c>
      <c r="E422" s="7">
        <v>25.1</v>
      </c>
      <c r="F422" s="7">
        <v>23.81</v>
      </c>
      <c r="G422" s="4">
        <v>35.299999999999997</v>
      </c>
      <c r="H422" s="5">
        <v>79.87</v>
      </c>
      <c r="I422" s="4">
        <v>45.69</v>
      </c>
      <c r="J422" s="4">
        <v>32.090000000000003</v>
      </c>
      <c r="K422" s="6">
        <v>60.48</v>
      </c>
      <c r="L422" s="4">
        <v>34.32</v>
      </c>
    </row>
    <row r="423" spans="1:12" ht="15" customHeight="1" x14ac:dyDescent="0.45">
      <c r="A423" s="3">
        <v>45642</v>
      </c>
      <c r="B423" s="6">
        <v>61.25</v>
      </c>
      <c r="C423" s="4">
        <v>47.72</v>
      </c>
      <c r="D423" s="7">
        <v>26.35</v>
      </c>
      <c r="E423" s="7">
        <v>26.7</v>
      </c>
      <c r="F423" s="7">
        <v>25.28</v>
      </c>
      <c r="G423" s="4">
        <v>39.659999999999997</v>
      </c>
      <c r="H423" s="5">
        <v>79.290000000000006</v>
      </c>
      <c r="I423" s="4">
        <v>47.01</v>
      </c>
      <c r="J423" s="4">
        <v>33.479999999999997</v>
      </c>
      <c r="K423" s="6">
        <v>65.09</v>
      </c>
      <c r="L423" s="4">
        <v>36.119999999999997</v>
      </c>
    </row>
    <row r="424" spans="1:12" ht="15" customHeight="1" x14ac:dyDescent="0.45">
      <c r="A424" s="3">
        <v>45639</v>
      </c>
      <c r="B424" s="4">
        <v>57.57</v>
      </c>
      <c r="C424" s="4">
        <v>48.93</v>
      </c>
      <c r="D424" s="4">
        <v>30.38</v>
      </c>
      <c r="E424" s="4">
        <v>32.5</v>
      </c>
      <c r="F424" s="7">
        <v>27.84</v>
      </c>
      <c r="G424" s="4">
        <v>38.99</v>
      </c>
      <c r="H424" s="5">
        <v>76.650000000000006</v>
      </c>
      <c r="I424" s="4">
        <v>51.24</v>
      </c>
      <c r="J424" s="4">
        <v>36.299999999999997</v>
      </c>
      <c r="K424" s="6">
        <v>63.77</v>
      </c>
      <c r="L424" s="4">
        <v>38.28</v>
      </c>
    </row>
    <row r="425" spans="1:12" ht="15" customHeight="1" x14ac:dyDescent="0.45">
      <c r="A425" s="3">
        <v>45638</v>
      </c>
      <c r="B425" s="4">
        <v>55.91</v>
      </c>
      <c r="C425" s="4">
        <v>49.44</v>
      </c>
      <c r="D425" s="4">
        <v>30.43</v>
      </c>
      <c r="E425" s="4">
        <v>34.08</v>
      </c>
      <c r="F425" s="4">
        <v>30.65</v>
      </c>
      <c r="G425" s="4">
        <v>40.229999999999997</v>
      </c>
      <c r="H425" s="5">
        <v>75.81</v>
      </c>
      <c r="I425" s="4">
        <v>53.43</v>
      </c>
      <c r="J425" s="4">
        <v>35.89</v>
      </c>
      <c r="K425" s="5">
        <v>71.61</v>
      </c>
      <c r="L425" s="4">
        <v>40.090000000000003</v>
      </c>
    </row>
    <row r="426" spans="1:12" ht="15" customHeight="1" x14ac:dyDescent="0.45">
      <c r="A426" s="3">
        <v>45637</v>
      </c>
      <c r="B426" s="4">
        <v>58.71</v>
      </c>
      <c r="C426" s="4">
        <v>52.25</v>
      </c>
      <c r="D426" s="4">
        <v>33.409999999999997</v>
      </c>
      <c r="E426" s="4">
        <v>36.770000000000003</v>
      </c>
      <c r="F426" s="4">
        <v>33.19</v>
      </c>
      <c r="G426" s="4">
        <v>43.39</v>
      </c>
      <c r="H426" s="5">
        <v>81.53</v>
      </c>
      <c r="I426" s="4">
        <v>51.22</v>
      </c>
      <c r="J426" s="4">
        <v>36.06</v>
      </c>
      <c r="K426" s="5">
        <v>71.099999999999994</v>
      </c>
      <c r="L426" s="4">
        <v>40.39</v>
      </c>
    </row>
    <row r="427" spans="1:12" ht="15" customHeight="1" x14ac:dyDescent="0.45">
      <c r="A427" s="3">
        <v>45636</v>
      </c>
      <c r="B427" s="4">
        <v>53.15</v>
      </c>
      <c r="C427" s="4">
        <v>51.08</v>
      </c>
      <c r="D427" s="4">
        <v>39.64</v>
      </c>
      <c r="E427" s="4">
        <v>35.81</v>
      </c>
      <c r="F427" s="4">
        <v>34.549999999999997</v>
      </c>
      <c r="G427" s="4">
        <v>44.55</v>
      </c>
      <c r="H427" s="5">
        <v>78.38</v>
      </c>
      <c r="I427" s="4">
        <v>57.9</v>
      </c>
      <c r="J427" s="4">
        <v>38.119999999999997</v>
      </c>
      <c r="K427" s="6">
        <v>66.19</v>
      </c>
      <c r="L427" s="4">
        <v>41.44</v>
      </c>
    </row>
    <row r="428" spans="1:12" ht="15" customHeight="1" x14ac:dyDescent="0.45">
      <c r="A428" s="3">
        <v>45635</v>
      </c>
      <c r="B428" s="6">
        <v>60.5</v>
      </c>
      <c r="C428" s="4">
        <v>51.19</v>
      </c>
      <c r="D428" s="4">
        <v>41.87</v>
      </c>
      <c r="E428" s="4">
        <v>38.04</v>
      </c>
      <c r="F428" s="4">
        <v>38.869999999999997</v>
      </c>
      <c r="G428" s="4">
        <v>45.77</v>
      </c>
      <c r="H428" s="5">
        <v>78.05</v>
      </c>
      <c r="I428" s="4">
        <v>54.49</v>
      </c>
      <c r="J428" s="4">
        <v>40.619999999999997</v>
      </c>
      <c r="K428" s="6">
        <v>60.28</v>
      </c>
      <c r="L428" s="4">
        <v>49.03</v>
      </c>
    </row>
    <row r="429" spans="1:12" ht="15" customHeight="1" x14ac:dyDescent="0.45">
      <c r="A429" s="3">
        <v>45632</v>
      </c>
      <c r="B429" s="6">
        <v>64.41</v>
      </c>
      <c r="C429" s="4">
        <v>59.98</v>
      </c>
      <c r="D429" s="4">
        <v>39.67</v>
      </c>
      <c r="E429" s="4">
        <v>38.58</v>
      </c>
      <c r="F429" s="4">
        <v>38.97</v>
      </c>
      <c r="G429" s="4">
        <v>50.34</v>
      </c>
      <c r="H429" s="5">
        <v>80.23</v>
      </c>
      <c r="I429" s="4">
        <v>55.89</v>
      </c>
      <c r="J429" s="4">
        <v>45.48</v>
      </c>
      <c r="K429" s="5">
        <v>77.81</v>
      </c>
      <c r="L429" s="4">
        <v>47.91</v>
      </c>
    </row>
    <row r="430" spans="1:12" ht="15" customHeight="1" x14ac:dyDescent="0.45">
      <c r="A430" s="3">
        <v>45631</v>
      </c>
      <c r="B430" s="6">
        <v>63.1</v>
      </c>
      <c r="C430" s="6">
        <v>60.12</v>
      </c>
      <c r="D430" s="4">
        <v>42.59</v>
      </c>
      <c r="E430" s="4">
        <v>44.77</v>
      </c>
      <c r="F430" s="4">
        <v>40.65</v>
      </c>
      <c r="G430" s="4">
        <v>51.76</v>
      </c>
      <c r="H430" s="5">
        <v>76.239999999999995</v>
      </c>
      <c r="I430" s="6">
        <v>60.44</v>
      </c>
      <c r="J430" s="4">
        <v>51.16</v>
      </c>
      <c r="K430" s="5">
        <v>74.91</v>
      </c>
      <c r="L430" s="4">
        <v>48.57</v>
      </c>
    </row>
    <row r="431" spans="1:12" ht="15" customHeight="1" x14ac:dyDescent="0.45">
      <c r="A431" s="3">
        <v>45630</v>
      </c>
      <c r="B431" s="6">
        <v>66.069999999999993</v>
      </c>
      <c r="C431" s="4">
        <v>58.79</v>
      </c>
      <c r="D431" s="4">
        <v>49.33</v>
      </c>
      <c r="E431" s="4">
        <v>42.81</v>
      </c>
      <c r="F431" s="4">
        <v>47.11</v>
      </c>
      <c r="G431" s="4">
        <v>59.19</v>
      </c>
      <c r="H431" s="5">
        <v>74.400000000000006</v>
      </c>
      <c r="I431" s="4">
        <v>57.88</v>
      </c>
      <c r="J431" s="4">
        <v>49.7</v>
      </c>
      <c r="K431" s="5">
        <v>77.25</v>
      </c>
      <c r="L431" s="4">
        <v>49.75</v>
      </c>
    </row>
    <row r="432" spans="1:12" ht="15" customHeight="1" x14ac:dyDescent="0.45">
      <c r="A432" s="3">
        <v>45629</v>
      </c>
      <c r="B432" s="4">
        <v>59.84</v>
      </c>
      <c r="C432" s="6">
        <v>61.19</v>
      </c>
      <c r="D432" s="4">
        <v>49.69</v>
      </c>
      <c r="E432" s="4">
        <v>54.05</v>
      </c>
      <c r="F432" s="4">
        <v>52.96</v>
      </c>
      <c r="G432" s="4">
        <v>57.15</v>
      </c>
      <c r="H432" s="5">
        <v>72.14</v>
      </c>
      <c r="I432" s="6">
        <v>60.42</v>
      </c>
      <c r="J432" s="4">
        <v>49.76</v>
      </c>
      <c r="K432" s="5">
        <v>76.569999999999993</v>
      </c>
      <c r="L432" s="4">
        <v>50.99</v>
      </c>
    </row>
    <row r="433" spans="1:12" ht="15" customHeight="1" x14ac:dyDescent="0.45">
      <c r="A433" s="3">
        <v>45628</v>
      </c>
      <c r="B433" s="4">
        <v>58.45</v>
      </c>
      <c r="C433" s="6">
        <v>66.2</v>
      </c>
      <c r="D433" s="4">
        <v>51.1</v>
      </c>
      <c r="E433" s="4">
        <v>54.11</v>
      </c>
      <c r="F433" s="4">
        <v>55.03</v>
      </c>
      <c r="G433" s="6">
        <v>61.29</v>
      </c>
      <c r="H433" s="5">
        <v>72.62</v>
      </c>
      <c r="I433" s="6">
        <v>65.39</v>
      </c>
      <c r="J433" s="4">
        <v>53.63</v>
      </c>
      <c r="K433" s="5">
        <v>74.069999999999993</v>
      </c>
      <c r="L433" s="4">
        <v>53.7</v>
      </c>
    </row>
    <row r="434" spans="1:12" ht="15" customHeight="1" x14ac:dyDescent="0.45">
      <c r="A434" s="3">
        <v>45625</v>
      </c>
      <c r="B434" s="4">
        <v>54.65</v>
      </c>
      <c r="C434" s="5">
        <v>73.73</v>
      </c>
      <c r="D434" s="4">
        <v>52.19</v>
      </c>
      <c r="E434" s="6">
        <v>60.14</v>
      </c>
      <c r="F434" s="4">
        <v>55.43</v>
      </c>
      <c r="G434" s="6">
        <v>66.58</v>
      </c>
      <c r="H434" s="5">
        <v>70.510000000000005</v>
      </c>
      <c r="I434" s="6">
        <v>66.569999999999993</v>
      </c>
      <c r="J434" s="6">
        <v>65.7</v>
      </c>
      <c r="K434" s="5">
        <v>71.17</v>
      </c>
      <c r="L434" s="6">
        <v>61.66</v>
      </c>
    </row>
    <row r="435" spans="1:12" ht="15" customHeight="1" x14ac:dyDescent="0.45">
      <c r="A435" s="3">
        <v>45624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5" customHeight="1" x14ac:dyDescent="0.45">
      <c r="A436" s="3">
        <v>45623</v>
      </c>
      <c r="B436" s="4">
        <v>50.58</v>
      </c>
      <c r="C436" s="5">
        <v>73.290000000000006</v>
      </c>
      <c r="D436" s="4">
        <v>50.46</v>
      </c>
      <c r="E436" s="4">
        <v>58.39</v>
      </c>
      <c r="F436" s="4">
        <v>52.87</v>
      </c>
      <c r="G436" s="6">
        <v>64.400000000000006</v>
      </c>
      <c r="H436" s="6">
        <v>67.84</v>
      </c>
      <c r="I436" s="6">
        <v>64.03</v>
      </c>
      <c r="J436" s="6">
        <v>65.58</v>
      </c>
      <c r="K436" s="6">
        <v>69.069999999999993</v>
      </c>
      <c r="L436" s="6">
        <v>64.39</v>
      </c>
    </row>
    <row r="437" spans="1:12" ht="15" customHeight="1" x14ac:dyDescent="0.45">
      <c r="A437" s="3">
        <v>45622</v>
      </c>
      <c r="B437" s="4">
        <v>57.69</v>
      </c>
      <c r="C437" s="5">
        <v>72.75</v>
      </c>
      <c r="D437" s="4">
        <v>47.46</v>
      </c>
      <c r="E437" s="4">
        <v>58.98</v>
      </c>
      <c r="F437" s="4">
        <v>53.17</v>
      </c>
      <c r="G437" s="6">
        <v>67.06</v>
      </c>
      <c r="H437" s="5">
        <v>70.709999999999994</v>
      </c>
      <c r="I437" s="6">
        <v>62.98</v>
      </c>
      <c r="J437" s="6">
        <v>65.58</v>
      </c>
      <c r="K437" s="6">
        <v>68.55</v>
      </c>
      <c r="L437" s="6">
        <v>62.09</v>
      </c>
    </row>
    <row r="438" spans="1:12" ht="15" customHeight="1" x14ac:dyDescent="0.45">
      <c r="A438" s="3">
        <v>45621</v>
      </c>
      <c r="B438" s="4">
        <v>55.55</v>
      </c>
      <c r="C438" s="5">
        <v>72.239999999999995</v>
      </c>
      <c r="D438" s="4">
        <v>44.34</v>
      </c>
      <c r="E438" s="4">
        <v>59.7</v>
      </c>
      <c r="F438" s="4">
        <v>57.39</v>
      </c>
      <c r="G438" s="6">
        <v>66.650000000000006</v>
      </c>
      <c r="H438" s="6">
        <v>69.84</v>
      </c>
      <c r="I438" s="6">
        <v>60.84</v>
      </c>
      <c r="J438" s="6">
        <v>60.34</v>
      </c>
      <c r="K438" s="6">
        <v>67.12</v>
      </c>
      <c r="L438" s="6">
        <v>60.4</v>
      </c>
    </row>
    <row r="439" spans="1:12" ht="15" customHeight="1" x14ac:dyDescent="0.45">
      <c r="A439" s="3">
        <v>45618</v>
      </c>
      <c r="B439" s="4">
        <v>55.58</v>
      </c>
      <c r="C439" s="5">
        <v>70.540000000000006</v>
      </c>
      <c r="D439" s="4">
        <v>39.03</v>
      </c>
      <c r="E439" s="5">
        <v>71.78</v>
      </c>
      <c r="F439" s="4">
        <v>52.62</v>
      </c>
      <c r="G439" s="6">
        <v>64.5</v>
      </c>
      <c r="H439" s="6">
        <v>67.319999999999993</v>
      </c>
      <c r="I439" s="4">
        <v>57.85</v>
      </c>
      <c r="J439" s="4">
        <v>59.68</v>
      </c>
      <c r="K439" s="6">
        <v>65.08</v>
      </c>
      <c r="L439" s="4">
        <v>55.45</v>
      </c>
    </row>
    <row r="440" spans="1:12" ht="15" customHeight="1" x14ac:dyDescent="0.45">
      <c r="A440" s="3">
        <v>45617</v>
      </c>
      <c r="B440" s="4">
        <v>55.38</v>
      </c>
      <c r="C440" s="6">
        <v>67.38</v>
      </c>
      <c r="D440" s="4">
        <v>38.46</v>
      </c>
      <c r="E440" s="5">
        <v>71.36</v>
      </c>
      <c r="F440" s="4">
        <v>49.82</v>
      </c>
      <c r="G440" s="4">
        <v>59.12</v>
      </c>
      <c r="H440" s="6">
        <v>63.38</v>
      </c>
      <c r="I440" s="4">
        <v>52.21</v>
      </c>
      <c r="J440" s="6">
        <v>62.5</v>
      </c>
      <c r="K440" s="6">
        <v>66.69</v>
      </c>
      <c r="L440" s="4">
        <v>52.36</v>
      </c>
    </row>
    <row r="441" spans="1:12" ht="15" customHeight="1" x14ac:dyDescent="0.45">
      <c r="A441" s="3">
        <v>45616</v>
      </c>
      <c r="B441" s="4">
        <v>51.41</v>
      </c>
      <c r="C441" s="6">
        <v>63.28</v>
      </c>
      <c r="D441" s="4">
        <v>33.28</v>
      </c>
      <c r="E441" s="6">
        <v>69.14</v>
      </c>
      <c r="F441" s="4">
        <v>43.03</v>
      </c>
      <c r="G441" s="4">
        <v>53.29</v>
      </c>
      <c r="H441" s="6">
        <v>62.87</v>
      </c>
      <c r="I441" s="4">
        <v>44.15</v>
      </c>
      <c r="J441" s="4">
        <v>56.41</v>
      </c>
      <c r="K441" s="6">
        <v>68.569999999999993</v>
      </c>
      <c r="L441" s="4">
        <v>49.51</v>
      </c>
    </row>
    <row r="442" spans="1:12" ht="15" customHeight="1" x14ac:dyDescent="0.45">
      <c r="A442" s="3">
        <v>45615</v>
      </c>
      <c r="B442" s="4">
        <v>51.78</v>
      </c>
      <c r="C442" s="6">
        <v>65.09</v>
      </c>
      <c r="D442" s="7">
        <v>24.74</v>
      </c>
      <c r="E442" s="6">
        <v>66.14</v>
      </c>
      <c r="F442" s="4">
        <v>37.85</v>
      </c>
      <c r="G442" s="4">
        <v>52.75</v>
      </c>
      <c r="H442" s="6">
        <v>64.97</v>
      </c>
      <c r="I442" s="4">
        <v>47.67</v>
      </c>
      <c r="J442" s="4">
        <v>56.23</v>
      </c>
      <c r="K442" s="6">
        <v>66.39</v>
      </c>
      <c r="L442" s="4">
        <v>50.18</v>
      </c>
    </row>
    <row r="443" spans="1:12" ht="15" customHeight="1" x14ac:dyDescent="0.45">
      <c r="A443" s="3">
        <v>45614</v>
      </c>
      <c r="B443" s="4">
        <v>48.6</v>
      </c>
      <c r="C443" s="6">
        <v>69.13</v>
      </c>
      <c r="D443" s="7">
        <v>26.1</v>
      </c>
      <c r="E443" s="5">
        <v>70.16</v>
      </c>
      <c r="F443" s="4">
        <v>39.17</v>
      </c>
      <c r="G443" s="4">
        <v>53.21</v>
      </c>
      <c r="H443" s="6">
        <v>64.78</v>
      </c>
      <c r="I443" s="4">
        <v>46.61</v>
      </c>
      <c r="J443" s="4">
        <v>53.86</v>
      </c>
      <c r="K443" s="6">
        <v>64.03</v>
      </c>
      <c r="L443" s="4">
        <v>48.51</v>
      </c>
    </row>
    <row r="444" spans="1:12" ht="15" customHeight="1" x14ac:dyDescent="0.45">
      <c r="A444" s="3">
        <v>45611</v>
      </c>
      <c r="B444" s="4">
        <v>47.34</v>
      </c>
      <c r="C444" s="6">
        <v>68.3</v>
      </c>
      <c r="D444" s="7">
        <v>25.58</v>
      </c>
      <c r="E444" s="6">
        <v>66.22</v>
      </c>
      <c r="F444" s="4">
        <v>34.11</v>
      </c>
      <c r="G444" s="4">
        <v>53.89</v>
      </c>
      <c r="H444" s="6">
        <v>62.53</v>
      </c>
      <c r="I444" s="4">
        <v>40.96</v>
      </c>
      <c r="J444" s="4">
        <v>50.5</v>
      </c>
      <c r="K444" s="6">
        <v>60.15</v>
      </c>
      <c r="L444" s="4">
        <v>44.87</v>
      </c>
    </row>
    <row r="445" spans="1:12" ht="15" customHeight="1" x14ac:dyDescent="0.45">
      <c r="A445" s="3">
        <v>45610</v>
      </c>
      <c r="B445" s="4">
        <v>57.72</v>
      </c>
      <c r="C445" s="6">
        <v>67.040000000000006</v>
      </c>
      <c r="D445" s="4">
        <v>30.99</v>
      </c>
      <c r="E445" s="6">
        <v>67.14</v>
      </c>
      <c r="F445" s="4">
        <v>36.659999999999997</v>
      </c>
      <c r="G445" s="4">
        <v>56.57</v>
      </c>
      <c r="H445" s="6">
        <v>66.2</v>
      </c>
      <c r="I445" s="4">
        <v>46.78</v>
      </c>
      <c r="J445" s="4">
        <v>44.1</v>
      </c>
      <c r="K445" s="5">
        <v>75.81</v>
      </c>
      <c r="L445" s="4">
        <v>44.4</v>
      </c>
    </row>
    <row r="446" spans="1:12" ht="15" customHeight="1" x14ac:dyDescent="0.45">
      <c r="A446" s="3">
        <v>45609</v>
      </c>
      <c r="B446" s="4">
        <v>59.38</v>
      </c>
      <c r="C446" s="6">
        <v>68.47</v>
      </c>
      <c r="D446" s="4">
        <v>37.31</v>
      </c>
      <c r="E446" s="6">
        <v>66.02</v>
      </c>
      <c r="F446" s="4">
        <v>39.96</v>
      </c>
      <c r="G446" s="6">
        <v>66.349999999999994</v>
      </c>
      <c r="H446" s="5">
        <v>72.900000000000006</v>
      </c>
      <c r="I446" s="4">
        <v>48.59</v>
      </c>
      <c r="J446" s="4">
        <v>45.36</v>
      </c>
      <c r="K446" s="5">
        <v>76.86</v>
      </c>
      <c r="L446" s="4">
        <v>47.38</v>
      </c>
    </row>
    <row r="447" spans="1:12" ht="15" customHeight="1" x14ac:dyDescent="0.45">
      <c r="A447" s="3">
        <v>45608</v>
      </c>
      <c r="B447" s="6">
        <v>61.06</v>
      </c>
      <c r="C447" s="6">
        <v>68.319999999999993</v>
      </c>
      <c r="D447" s="4">
        <v>38.54</v>
      </c>
      <c r="E447" s="6">
        <v>63.69</v>
      </c>
      <c r="F447" s="4">
        <v>38.47</v>
      </c>
      <c r="G447" s="6">
        <v>65.66</v>
      </c>
      <c r="H447" s="5">
        <v>71.290000000000006</v>
      </c>
      <c r="I447" s="4">
        <v>46.28</v>
      </c>
      <c r="J447" s="4">
        <v>45.99</v>
      </c>
      <c r="K447" s="5">
        <v>76.75</v>
      </c>
      <c r="L447" s="4">
        <v>44.35</v>
      </c>
    </row>
    <row r="448" spans="1:12" ht="15" customHeight="1" x14ac:dyDescent="0.45">
      <c r="A448" s="3">
        <v>45607</v>
      </c>
      <c r="B448" s="6">
        <v>60.68</v>
      </c>
      <c r="C448" s="6">
        <v>69.819999999999993</v>
      </c>
      <c r="D448" s="4">
        <v>46.07</v>
      </c>
      <c r="E448" s="6">
        <v>66.59</v>
      </c>
      <c r="F448" s="4">
        <v>46.21</v>
      </c>
      <c r="G448" s="5">
        <v>71.209999999999994</v>
      </c>
      <c r="H448" s="5">
        <v>78.12</v>
      </c>
      <c r="I448" s="4">
        <v>45.42</v>
      </c>
      <c r="J448" s="4">
        <v>50.21</v>
      </c>
      <c r="K448" s="5">
        <v>75.58</v>
      </c>
      <c r="L448" s="4">
        <v>48.55</v>
      </c>
    </row>
    <row r="449" spans="1:12" ht="15" customHeight="1" x14ac:dyDescent="0.45">
      <c r="A449" s="3">
        <v>45604</v>
      </c>
      <c r="B449" s="6">
        <v>63.16</v>
      </c>
      <c r="C449" s="6">
        <v>66.66</v>
      </c>
      <c r="D449" s="4">
        <v>49.9</v>
      </c>
      <c r="E449" s="6">
        <v>65.02</v>
      </c>
      <c r="F449" s="4">
        <v>48.53</v>
      </c>
      <c r="G449" s="6">
        <v>69.040000000000006</v>
      </c>
      <c r="H449" s="5">
        <v>74.8</v>
      </c>
      <c r="I449" s="4">
        <v>47.61</v>
      </c>
      <c r="J449" s="4">
        <v>49.16</v>
      </c>
      <c r="K449" s="5">
        <v>74.08</v>
      </c>
      <c r="L449" s="4">
        <v>51.68</v>
      </c>
    </row>
    <row r="450" spans="1:12" ht="15" customHeight="1" x14ac:dyDescent="0.45">
      <c r="A450" s="3">
        <v>45603</v>
      </c>
      <c r="B450" s="6">
        <v>63.63</v>
      </c>
      <c r="C450" s="6">
        <v>64.5</v>
      </c>
      <c r="D450" s="4">
        <v>44.71</v>
      </c>
      <c r="E450" s="6">
        <v>63.14</v>
      </c>
      <c r="F450" s="4">
        <v>53.87</v>
      </c>
      <c r="G450" s="6">
        <v>65.739999999999995</v>
      </c>
      <c r="H450" s="5">
        <v>72.069999999999993</v>
      </c>
      <c r="I450" s="4">
        <v>37.99</v>
      </c>
      <c r="J450" s="4">
        <v>41.41</v>
      </c>
      <c r="K450" s="5">
        <v>77.930000000000007</v>
      </c>
      <c r="L450" s="4">
        <v>45.29</v>
      </c>
    </row>
    <row r="451" spans="1:12" ht="15" customHeight="1" x14ac:dyDescent="0.45">
      <c r="A451" s="3">
        <v>45602</v>
      </c>
      <c r="B451" s="4">
        <v>59.13</v>
      </c>
      <c r="C451" s="5">
        <v>72.44</v>
      </c>
      <c r="D451" s="4">
        <v>38.82</v>
      </c>
      <c r="E451" s="6">
        <v>65.41</v>
      </c>
      <c r="F451" s="4">
        <v>51.78</v>
      </c>
      <c r="G451" s="6">
        <v>69.61</v>
      </c>
      <c r="H451" s="6">
        <v>69.319999999999993</v>
      </c>
      <c r="I451" s="4">
        <v>34.659999999999997</v>
      </c>
      <c r="J451" s="4">
        <v>40.619999999999997</v>
      </c>
      <c r="K451" s="5">
        <v>74.680000000000007</v>
      </c>
      <c r="L451" s="4">
        <v>40.01</v>
      </c>
    </row>
    <row r="452" spans="1:12" ht="15" customHeight="1" x14ac:dyDescent="0.45">
      <c r="A452" s="3">
        <v>45601</v>
      </c>
      <c r="B452" s="4">
        <v>50.02</v>
      </c>
      <c r="C452" s="4">
        <v>53.61</v>
      </c>
      <c r="D452" s="4">
        <v>37.729999999999997</v>
      </c>
      <c r="E452" s="4">
        <v>53.07</v>
      </c>
      <c r="F452" s="4">
        <v>43.47</v>
      </c>
      <c r="G452" s="4">
        <v>53.72</v>
      </c>
      <c r="H452" s="6">
        <v>60.62</v>
      </c>
      <c r="I452" s="4">
        <v>44.84</v>
      </c>
      <c r="J452" s="4">
        <v>43.79</v>
      </c>
      <c r="K452" s="6">
        <v>66.209999999999994</v>
      </c>
      <c r="L452" s="4">
        <v>49.88</v>
      </c>
    </row>
    <row r="453" spans="1:12" ht="15" customHeight="1" x14ac:dyDescent="0.45">
      <c r="A453" s="3">
        <v>45600</v>
      </c>
      <c r="B453" s="4">
        <v>44.4</v>
      </c>
      <c r="C453" s="4">
        <v>48.68</v>
      </c>
      <c r="D453" s="4">
        <v>31.25</v>
      </c>
      <c r="E453" s="4">
        <v>50.15</v>
      </c>
      <c r="F453" s="4">
        <v>42.47</v>
      </c>
      <c r="G453" s="4">
        <v>41.86</v>
      </c>
      <c r="H453" s="4">
        <v>54.03</v>
      </c>
      <c r="I453" s="4">
        <v>38.35</v>
      </c>
      <c r="J453" s="4">
        <v>37.28</v>
      </c>
      <c r="K453" s="6">
        <v>60.79</v>
      </c>
      <c r="L453" s="4">
        <v>43.34</v>
      </c>
    </row>
    <row r="454" spans="1:12" ht="15" customHeight="1" x14ac:dyDescent="0.45">
      <c r="A454" s="3">
        <v>45597</v>
      </c>
      <c r="B454" s="4">
        <v>44.66</v>
      </c>
      <c r="C454" s="4">
        <v>53.06</v>
      </c>
      <c r="D454" s="4">
        <v>34.22</v>
      </c>
      <c r="E454" s="4">
        <v>41.46</v>
      </c>
      <c r="F454" s="4">
        <v>39.57</v>
      </c>
      <c r="G454" s="4">
        <v>42.54</v>
      </c>
      <c r="H454" s="4">
        <v>55.72</v>
      </c>
      <c r="I454" s="4">
        <v>35.29</v>
      </c>
      <c r="J454" s="4">
        <v>40.799999999999997</v>
      </c>
      <c r="K454" s="6">
        <v>63.68</v>
      </c>
      <c r="L454" s="4">
        <v>37.14</v>
      </c>
    </row>
    <row r="455" spans="1:12" ht="15" customHeight="1" x14ac:dyDescent="0.45">
      <c r="A455" s="3">
        <v>45596</v>
      </c>
      <c r="B455" s="4">
        <v>41.64</v>
      </c>
      <c r="C455" s="4">
        <v>51.25</v>
      </c>
      <c r="D455" s="7">
        <v>28.56</v>
      </c>
      <c r="E455" s="4">
        <v>44.05</v>
      </c>
      <c r="F455" s="4">
        <v>40.78</v>
      </c>
      <c r="G455" s="4">
        <v>41.48</v>
      </c>
      <c r="H455" s="4">
        <v>48.82</v>
      </c>
      <c r="I455" s="4">
        <v>34.89</v>
      </c>
      <c r="J455" s="4">
        <v>49.02</v>
      </c>
      <c r="K455" s="6">
        <v>61.72</v>
      </c>
      <c r="L455" s="4">
        <v>41.15</v>
      </c>
    </row>
    <row r="456" spans="1:12" ht="15" customHeight="1" x14ac:dyDescent="0.45">
      <c r="A456" s="3">
        <v>45595</v>
      </c>
      <c r="B456" s="4">
        <v>53.6</v>
      </c>
      <c r="C456" s="4">
        <v>59.99</v>
      </c>
      <c r="D456" s="4">
        <v>32.26</v>
      </c>
      <c r="E456" s="4">
        <v>40.67</v>
      </c>
      <c r="F456" s="4">
        <v>47.24</v>
      </c>
      <c r="G456" s="4">
        <v>48.68</v>
      </c>
      <c r="H456" s="4">
        <v>56.66</v>
      </c>
      <c r="I456" s="4">
        <v>36.01</v>
      </c>
      <c r="J456" s="4">
        <v>44.21</v>
      </c>
      <c r="K456" s="6">
        <v>69.55</v>
      </c>
      <c r="L456" s="4">
        <v>49.43</v>
      </c>
    </row>
    <row r="457" spans="1:12" ht="15" customHeight="1" x14ac:dyDescent="0.45">
      <c r="A457" s="3">
        <v>45594</v>
      </c>
      <c r="B457" s="6">
        <v>61.92</v>
      </c>
      <c r="C457" s="4">
        <v>57.83</v>
      </c>
      <c r="D457" s="4">
        <v>33.159999999999997</v>
      </c>
      <c r="E457" s="4">
        <v>39.43</v>
      </c>
      <c r="F457" s="4">
        <v>43.87</v>
      </c>
      <c r="G457" s="4">
        <v>49.87</v>
      </c>
      <c r="H457" s="4">
        <v>57.44</v>
      </c>
      <c r="I457" s="4">
        <v>36.909999999999997</v>
      </c>
      <c r="J457" s="4">
        <v>45.13</v>
      </c>
      <c r="K457" s="6">
        <v>66.849999999999994</v>
      </c>
      <c r="L457" s="4">
        <v>47.39</v>
      </c>
    </row>
    <row r="458" spans="1:12" ht="15" customHeight="1" x14ac:dyDescent="0.45">
      <c r="A458" s="3">
        <v>45593</v>
      </c>
      <c r="B458" s="4">
        <v>56.71</v>
      </c>
      <c r="C458" s="6">
        <v>62.12</v>
      </c>
      <c r="D458" s="4">
        <v>34.450000000000003</v>
      </c>
      <c r="E458" s="4">
        <v>45.4</v>
      </c>
      <c r="F458" s="4">
        <v>47.22</v>
      </c>
      <c r="G458" s="4">
        <v>50.77</v>
      </c>
      <c r="H458" s="6">
        <v>60.35</v>
      </c>
      <c r="I458" s="4">
        <v>43.04</v>
      </c>
      <c r="J458" s="4">
        <v>54.71</v>
      </c>
      <c r="K458" s="6">
        <v>62.05</v>
      </c>
      <c r="L458" s="4">
        <v>52.29</v>
      </c>
    </row>
    <row r="459" spans="1:12" ht="15" customHeight="1" x14ac:dyDescent="0.45">
      <c r="A459" s="3">
        <v>45590</v>
      </c>
      <c r="B459" s="4">
        <v>56.87</v>
      </c>
      <c r="C459" s="4">
        <v>56.07</v>
      </c>
      <c r="D459" s="4">
        <v>33.15</v>
      </c>
      <c r="E459" s="4">
        <v>48.25</v>
      </c>
      <c r="F459" s="4">
        <v>41.96</v>
      </c>
      <c r="G459" s="4">
        <v>48.87</v>
      </c>
      <c r="H459" s="4">
        <v>59.5</v>
      </c>
      <c r="I459" s="4">
        <v>41.35</v>
      </c>
      <c r="J459" s="4">
        <v>51.21</v>
      </c>
      <c r="K459" s="4">
        <v>58.26</v>
      </c>
      <c r="L459" s="4">
        <v>50.63</v>
      </c>
    </row>
    <row r="460" spans="1:12" ht="15" customHeight="1" x14ac:dyDescent="0.45">
      <c r="A460" s="3">
        <v>45589</v>
      </c>
      <c r="B460" s="4">
        <v>54.82</v>
      </c>
      <c r="C460" s="6">
        <v>64.67</v>
      </c>
      <c r="D460" s="4">
        <v>35.6</v>
      </c>
      <c r="E460" s="4">
        <v>48.4</v>
      </c>
      <c r="F460" s="4">
        <v>45.17</v>
      </c>
      <c r="G460" s="4">
        <v>50.5</v>
      </c>
      <c r="H460" s="4">
        <v>58.39</v>
      </c>
      <c r="I460" s="4">
        <v>47.28</v>
      </c>
      <c r="J460" s="4">
        <v>59.4</v>
      </c>
      <c r="K460" s="4">
        <v>56.66</v>
      </c>
      <c r="L460" s="4">
        <v>55.08</v>
      </c>
    </row>
    <row r="461" spans="1:12" ht="15" customHeight="1" x14ac:dyDescent="0.45">
      <c r="A461" s="3">
        <v>45588</v>
      </c>
      <c r="B461" s="4">
        <v>53.67</v>
      </c>
      <c r="C461" s="6">
        <v>64.28</v>
      </c>
      <c r="D461" s="4">
        <v>38.82</v>
      </c>
      <c r="E461" s="4">
        <v>48.45</v>
      </c>
      <c r="F461" s="4">
        <v>52.45</v>
      </c>
      <c r="G461" s="4">
        <v>54.94</v>
      </c>
      <c r="H461" s="4">
        <v>44.68</v>
      </c>
      <c r="I461" s="4">
        <v>48.32</v>
      </c>
      <c r="J461" s="6">
        <v>63.54</v>
      </c>
      <c r="K461" s="4">
        <v>54.49</v>
      </c>
      <c r="L461" s="4">
        <v>54.01</v>
      </c>
    </row>
    <row r="462" spans="1:12" ht="15" customHeight="1" x14ac:dyDescent="0.45">
      <c r="A462" s="3">
        <v>45587</v>
      </c>
      <c r="B462" s="6">
        <v>60.8</v>
      </c>
      <c r="C462" s="6">
        <v>64.95</v>
      </c>
      <c r="D462" s="4">
        <v>41.31</v>
      </c>
      <c r="E462" s="4">
        <v>50.55</v>
      </c>
      <c r="F462" s="4">
        <v>54.25</v>
      </c>
      <c r="G462" s="4">
        <v>56.91</v>
      </c>
      <c r="H462" s="4">
        <v>52.87</v>
      </c>
      <c r="I462" s="4">
        <v>49.8</v>
      </c>
      <c r="J462" s="4">
        <v>59.71</v>
      </c>
      <c r="K462" s="6">
        <v>60.79</v>
      </c>
      <c r="L462" s="4">
        <v>49.16</v>
      </c>
    </row>
    <row r="463" spans="1:12" ht="15" customHeight="1" x14ac:dyDescent="0.45">
      <c r="A463" s="3">
        <v>45586</v>
      </c>
      <c r="B463" s="6">
        <v>61.35</v>
      </c>
      <c r="C463" s="6">
        <v>66.39</v>
      </c>
      <c r="D463" s="4">
        <v>42.08</v>
      </c>
      <c r="E463" s="4">
        <v>49.64</v>
      </c>
      <c r="F463" s="6">
        <v>60.91</v>
      </c>
      <c r="G463" s="6">
        <v>66.209999999999994</v>
      </c>
      <c r="H463" s="4">
        <v>55.3</v>
      </c>
      <c r="I463" s="4">
        <v>45.33</v>
      </c>
      <c r="J463" s="6">
        <v>61.96</v>
      </c>
      <c r="K463" s="4">
        <v>59.98</v>
      </c>
      <c r="L463" s="4">
        <v>48.34</v>
      </c>
    </row>
    <row r="464" spans="1:12" ht="15" customHeight="1" x14ac:dyDescent="0.45">
      <c r="A464" s="3">
        <v>45583</v>
      </c>
      <c r="B464" s="4">
        <v>59.84</v>
      </c>
      <c r="C464" s="5">
        <v>72.73</v>
      </c>
      <c r="D464" s="4">
        <v>49.08</v>
      </c>
      <c r="E464" s="4">
        <v>50.75</v>
      </c>
      <c r="F464" s="6">
        <v>67.38</v>
      </c>
      <c r="G464" s="6">
        <v>69.28</v>
      </c>
      <c r="H464" s="6">
        <v>60.28</v>
      </c>
      <c r="I464" s="4">
        <v>51.75</v>
      </c>
      <c r="J464" s="6">
        <v>64.44</v>
      </c>
      <c r="K464" s="6">
        <v>63.35</v>
      </c>
      <c r="L464" s="6">
        <v>60.25</v>
      </c>
    </row>
    <row r="465" spans="1:12" ht="15" customHeight="1" x14ac:dyDescent="0.45">
      <c r="A465" s="3">
        <v>45582</v>
      </c>
      <c r="B465" s="4">
        <v>58.7</v>
      </c>
      <c r="C465" s="5">
        <v>72.66</v>
      </c>
      <c r="D465" s="4">
        <v>45.63</v>
      </c>
      <c r="E465" s="4">
        <v>51.95</v>
      </c>
      <c r="F465" s="6">
        <v>65.62</v>
      </c>
      <c r="G465" s="6">
        <v>68.099999999999994</v>
      </c>
      <c r="H465" s="4">
        <v>58.54</v>
      </c>
      <c r="I465" s="4">
        <v>50.04</v>
      </c>
      <c r="J465" s="6">
        <v>62.38</v>
      </c>
      <c r="K465" s="4">
        <v>59.41</v>
      </c>
      <c r="L465" s="4">
        <v>56.93</v>
      </c>
    </row>
    <row r="466" spans="1:12" ht="15" customHeight="1" x14ac:dyDescent="0.45">
      <c r="A466" s="3">
        <v>45581</v>
      </c>
      <c r="B466" s="4">
        <v>57.75</v>
      </c>
      <c r="C466" s="5">
        <v>71.87</v>
      </c>
      <c r="D466" s="4">
        <v>49.37</v>
      </c>
      <c r="E466" s="4">
        <v>50.39</v>
      </c>
      <c r="F466" s="6">
        <v>64.94</v>
      </c>
      <c r="G466" s="5">
        <v>70.48</v>
      </c>
      <c r="H466" s="4">
        <v>59.09</v>
      </c>
      <c r="I466" s="4">
        <v>53.68</v>
      </c>
      <c r="J466" s="6">
        <v>68.069999999999993</v>
      </c>
      <c r="K466" s="6">
        <v>63.48</v>
      </c>
      <c r="L466" s="6">
        <v>61.38</v>
      </c>
    </row>
    <row r="467" spans="1:12" ht="15" customHeight="1" x14ac:dyDescent="0.45">
      <c r="A467" s="3">
        <v>45580</v>
      </c>
      <c r="B467" s="4">
        <v>56.81</v>
      </c>
      <c r="C467" s="6">
        <v>68.03</v>
      </c>
      <c r="D467" s="4">
        <v>47.44</v>
      </c>
      <c r="E467" s="4">
        <v>48.85</v>
      </c>
      <c r="F467" s="6">
        <v>61.41</v>
      </c>
      <c r="G467" s="6">
        <v>67.67</v>
      </c>
      <c r="H467" s="4">
        <v>56.9</v>
      </c>
      <c r="I467" s="4">
        <v>54.28</v>
      </c>
      <c r="J467" s="6">
        <v>60.8</v>
      </c>
      <c r="K467" s="6">
        <v>64.040000000000006</v>
      </c>
      <c r="L467" s="4">
        <v>56.6</v>
      </c>
    </row>
    <row r="468" spans="1:12" ht="15" customHeight="1" x14ac:dyDescent="0.45">
      <c r="A468" s="3">
        <v>45579</v>
      </c>
      <c r="B468" s="6">
        <v>66.739999999999995</v>
      </c>
      <c r="C468" s="6">
        <v>67.31</v>
      </c>
      <c r="D468" s="4">
        <v>56.19</v>
      </c>
      <c r="E468" s="6">
        <v>61.1</v>
      </c>
      <c r="F468" s="6">
        <v>62.19</v>
      </c>
      <c r="G468" s="5">
        <v>74.239999999999995</v>
      </c>
      <c r="H468" s="4">
        <v>55.99</v>
      </c>
      <c r="I468" s="4">
        <v>49.8</v>
      </c>
      <c r="J468" s="4">
        <v>58.84</v>
      </c>
      <c r="K468" s="6">
        <v>63.02</v>
      </c>
      <c r="L468" s="4">
        <v>49.31</v>
      </c>
    </row>
    <row r="469" spans="1:12" ht="15" customHeight="1" x14ac:dyDescent="0.45">
      <c r="A469" s="3">
        <v>45576</v>
      </c>
      <c r="B469" s="6">
        <v>63.25</v>
      </c>
      <c r="C469" s="6">
        <v>65.209999999999994</v>
      </c>
      <c r="D469" s="4">
        <v>52.53</v>
      </c>
      <c r="E469" s="6">
        <v>61.29</v>
      </c>
      <c r="F469" s="4">
        <v>59.58</v>
      </c>
      <c r="G469" s="5">
        <v>72.3</v>
      </c>
      <c r="H469" s="4">
        <v>54.2</v>
      </c>
      <c r="I469" s="4">
        <v>46.72</v>
      </c>
      <c r="J469" s="4">
        <v>52.75</v>
      </c>
      <c r="K469" s="6">
        <v>60.85</v>
      </c>
      <c r="L469" s="4">
        <v>44.59</v>
      </c>
    </row>
    <row r="470" spans="1:12" ht="15" customHeight="1" x14ac:dyDescent="0.45">
      <c r="A470" s="3">
        <v>45575</v>
      </c>
      <c r="B470" s="6">
        <v>62.77</v>
      </c>
      <c r="C470" s="4">
        <v>57.55</v>
      </c>
      <c r="D470" s="4">
        <v>47.13</v>
      </c>
      <c r="E470" s="4">
        <v>59.62</v>
      </c>
      <c r="F470" s="4">
        <v>56.45</v>
      </c>
      <c r="G470" s="6">
        <v>65.19</v>
      </c>
      <c r="H470" s="4">
        <v>56.27</v>
      </c>
      <c r="I470" s="4">
        <v>42.24</v>
      </c>
      <c r="J470" s="4">
        <v>47.8</v>
      </c>
      <c r="K470" s="4">
        <v>57.42</v>
      </c>
      <c r="L470" s="4">
        <v>36.56</v>
      </c>
    </row>
    <row r="471" spans="1:12" ht="15" customHeight="1" x14ac:dyDescent="0.45">
      <c r="A471" s="3">
        <v>45574</v>
      </c>
      <c r="B471" s="6">
        <v>62.88</v>
      </c>
      <c r="C471" s="4">
        <v>59.48</v>
      </c>
      <c r="D471" s="4">
        <v>49.81</v>
      </c>
      <c r="E471" s="4">
        <v>57.78</v>
      </c>
      <c r="F471" s="4">
        <v>55.3</v>
      </c>
      <c r="G471" s="5">
        <v>70</v>
      </c>
      <c r="H471" s="4">
        <v>58.71</v>
      </c>
      <c r="I471" s="4">
        <v>45.06</v>
      </c>
      <c r="J471" s="4">
        <v>49.47</v>
      </c>
      <c r="K471" s="6">
        <v>62.95</v>
      </c>
      <c r="L471" s="4">
        <v>41.08</v>
      </c>
    </row>
    <row r="472" spans="1:12" ht="15" customHeight="1" x14ac:dyDescent="0.45">
      <c r="A472" s="3">
        <v>45573</v>
      </c>
      <c r="B472" s="4">
        <v>59.99</v>
      </c>
      <c r="C472" s="4">
        <v>55.29</v>
      </c>
      <c r="D472" s="4">
        <v>41.4</v>
      </c>
      <c r="E472" s="4">
        <v>56.14</v>
      </c>
      <c r="F472" s="4">
        <v>52.12</v>
      </c>
      <c r="G472" s="6">
        <v>65.97</v>
      </c>
      <c r="H472" s="4">
        <v>56.18</v>
      </c>
      <c r="I472" s="4">
        <v>40</v>
      </c>
      <c r="J472" s="4">
        <v>54.49</v>
      </c>
      <c r="K472" s="6">
        <v>62.8</v>
      </c>
      <c r="L472" s="4">
        <v>40.71</v>
      </c>
    </row>
    <row r="473" spans="1:12" ht="15" customHeight="1" x14ac:dyDescent="0.45">
      <c r="A473" s="3">
        <v>45572</v>
      </c>
      <c r="B473" s="4">
        <v>54.61</v>
      </c>
      <c r="C473" s="4">
        <v>52.46</v>
      </c>
      <c r="D473" s="4">
        <v>36.14</v>
      </c>
      <c r="E473" s="6">
        <v>66.88</v>
      </c>
      <c r="F473" s="4">
        <v>54.78</v>
      </c>
      <c r="G473" s="6">
        <v>64.89</v>
      </c>
      <c r="H473" s="4">
        <v>52.52</v>
      </c>
      <c r="I473" s="4">
        <v>35.5</v>
      </c>
      <c r="J473" s="4">
        <v>54.24</v>
      </c>
      <c r="K473" s="4">
        <v>58.75</v>
      </c>
      <c r="L473" s="4">
        <v>38.31</v>
      </c>
    </row>
    <row r="474" spans="1:12" ht="15" customHeight="1" x14ac:dyDescent="0.45">
      <c r="A474" s="3">
        <v>45569</v>
      </c>
      <c r="B474" s="4">
        <v>57.26</v>
      </c>
      <c r="C474" s="6">
        <v>60.06</v>
      </c>
      <c r="D474" s="4">
        <v>38.78</v>
      </c>
      <c r="E474" s="6">
        <v>66.06</v>
      </c>
      <c r="F474" s="4">
        <v>56.48</v>
      </c>
      <c r="G474" s="6">
        <v>67.069999999999993</v>
      </c>
      <c r="H474" s="6">
        <v>60.06</v>
      </c>
      <c r="I474" s="4">
        <v>41.33</v>
      </c>
      <c r="J474" s="5">
        <v>71.55</v>
      </c>
      <c r="K474" s="6">
        <v>69.63</v>
      </c>
      <c r="L474" s="4">
        <v>42.21</v>
      </c>
    </row>
    <row r="475" spans="1:12" ht="15" customHeight="1" x14ac:dyDescent="0.45">
      <c r="A475" s="3">
        <v>45568</v>
      </c>
      <c r="B475" s="4">
        <v>53.93</v>
      </c>
      <c r="C475" s="4">
        <v>51.14</v>
      </c>
      <c r="D475" s="4">
        <v>38.03</v>
      </c>
      <c r="E475" s="6">
        <v>63.91</v>
      </c>
      <c r="F475" s="4">
        <v>54.31</v>
      </c>
      <c r="G475" s="6">
        <v>63.85</v>
      </c>
      <c r="H475" s="4">
        <v>55.02</v>
      </c>
      <c r="I475" s="4">
        <v>38.19</v>
      </c>
      <c r="J475" s="5">
        <v>73.05</v>
      </c>
      <c r="K475" s="6">
        <v>64.64</v>
      </c>
      <c r="L475" s="4">
        <v>46.15</v>
      </c>
    </row>
    <row r="476" spans="1:12" ht="15" customHeight="1" x14ac:dyDescent="0.45">
      <c r="A476" s="3">
        <v>45567</v>
      </c>
      <c r="B476" s="4">
        <v>52.67</v>
      </c>
      <c r="C476" s="4">
        <v>54.73</v>
      </c>
      <c r="D476" s="4">
        <v>43.78</v>
      </c>
      <c r="E476" s="4">
        <v>59.48</v>
      </c>
      <c r="F476" s="6">
        <v>60.78</v>
      </c>
      <c r="G476" s="6">
        <v>68.41</v>
      </c>
      <c r="H476" s="6">
        <v>61.38</v>
      </c>
      <c r="I476" s="4">
        <v>44.98</v>
      </c>
      <c r="J476" s="5">
        <v>73.39</v>
      </c>
      <c r="K476" s="6">
        <v>67.849999999999994</v>
      </c>
      <c r="L476" s="4">
        <v>52.97</v>
      </c>
    </row>
    <row r="477" spans="1:12" ht="15" customHeight="1" x14ac:dyDescent="0.45">
      <c r="A477" s="3">
        <v>45566</v>
      </c>
      <c r="B477" s="4">
        <v>50.42</v>
      </c>
      <c r="C477" s="4">
        <v>54.1</v>
      </c>
      <c r="D477" s="4">
        <v>45.2</v>
      </c>
      <c r="E477" s="4">
        <v>56.63</v>
      </c>
      <c r="F477" s="6">
        <v>63.22</v>
      </c>
      <c r="G477" s="5">
        <v>70.099999999999994</v>
      </c>
      <c r="H477" s="6">
        <v>66.650000000000006</v>
      </c>
      <c r="I477" s="4">
        <v>52.35</v>
      </c>
      <c r="J477" s="5">
        <v>73.239999999999995</v>
      </c>
      <c r="K477" s="5">
        <v>70.8</v>
      </c>
      <c r="L477" s="4">
        <v>55.82</v>
      </c>
    </row>
    <row r="478" spans="1:12" ht="15" customHeight="1" x14ac:dyDescent="0.45">
      <c r="A478" s="3">
        <v>45565</v>
      </c>
      <c r="B478" s="4">
        <v>59.23</v>
      </c>
      <c r="C478" s="4">
        <v>57.63</v>
      </c>
      <c r="D478" s="4">
        <v>49.08</v>
      </c>
      <c r="E478" s="4">
        <v>49.46</v>
      </c>
      <c r="F478" s="6">
        <v>64.790000000000006</v>
      </c>
      <c r="G478" s="6">
        <v>69.900000000000006</v>
      </c>
      <c r="H478" s="6">
        <v>69.3</v>
      </c>
      <c r="I478" s="4">
        <v>55.75</v>
      </c>
      <c r="J478" s="5">
        <v>70.75</v>
      </c>
      <c r="K478" s="5">
        <v>70.5</v>
      </c>
      <c r="L478" s="6">
        <v>60.96</v>
      </c>
    </row>
    <row r="479" spans="1:12" ht="15" customHeight="1" x14ac:dyDescent="0.45">
      <c r="A479" s="3">
        <v>45562</v>
      </c>
      <c r="B479" s="4">
        <v>58.42</v>
      </c>
      <c r="C479" s="4">
        <v>55.73</v>
      </c>
      <c r="D479" s="4">
        <v>43.53</v>
      </c>
      <c r="E479" s="4">
        <v>46.98</v>
      </c>
      <c r="F479" s="6">
        <v>68.319999999999993</v>
      </c>
      <c r="G479" s="6">
        <v>68.25</v>
      </c>
      <c r="H479" s="5">
        <v>70.819999999999993</v>
      </c>
      <c r="I479" s="4">
        <v>55.99</v>
      </c>
      <c r="J479" s="6">
        <v>69.28</v>
      </c>
      <c r="K479" s="6">
        <v>68.86</v>
      </c>
      <c r="L479" s="4">
        <v>55.62</v>
      </c>
    </row>
    <row r="480" spans="1:12" ht="15" customHeight="1" x14ac:dyDescent="0.45">
      <c r="A480" s="3">
        <v>45561</v>
      </c>
      <c r="B480" s="6">
        <v>62.1</v>
      </c>
      <c r="C480" s="4">
        <v>54.28</v>
      </c>
      <c r="D480" s="4">
        <v>43.88</v>
      </c>
      <c r="E480" s="4">
        <v>39.049999999999997</v>
      </c>
      <c r="F480" s="6">
        <v>69.430000000000007</v>
      </c>
      <c r="G480" s="6">
        <v>67.739999999999995</v>
      </c>
      <c r="H480" s="5">
        <v>70.44</v>
      </c>
      <c r="I480" s="4">
        <v>54.62</v>
      </c>
      <c r="J480" s="6">
        <v>65.77</v>
      </c>
      <c r="K480" s="6">
        <v>66.459999999999994</v>
      </c>
      <c r="L480" s="4">
        <v>54.71</v>
      </c>
    </row>
    <row r="481" spans="1:12" ht="15" customHeight="1" x14ac:dyDescent="0.45">
      <c r="A481" s="3">
        <v>45560</v>
      </c>
      <c r="B481" s="4">
        <v>58.72</v>
      </c>
      <c r="C481" s="4">
        <v>51.67</v>
      </c>
      <c r="D481" s="4">
        <v>41.03</v>
      </c>
      <c r="E481" s="4">
        <v>45.22</v>
      </c>
      <c r="F481" s="6">
        <v>62.97</v>
      </c>
      <c r="G481" s="6">
        <v>65.930000000000007</v>
      </c>
      <c r="H481" s="6">
        <v>69.38</v>
      </c>
      <c r="I481" s="4">
        <v>52.9</v>
      </c>
      <c r="J481" s="5">
        <v>71.010000000000005</v>
      </c>
      <c r="K481" s="6">
        <v>64.09</v>
      </c>
      <c r="L481" s="6">
        <v>63.58</v>
      </c>
    </row>
    <row r="482" spans="1:12" ht="15" customHeight="1" x14ac:dyDescent="0.45">
      <c r="A482" s="3">
        <v>45559</v>
      </c>
      <c r="B482" s="4">
        <v>57.96</v>
      </c>
      <c r="C482" s="4">
        <v>55.1</v>
      </c>
      <c r="D482" s="4">
        <v>47.64</v>
      </c>
      <c r="E482" s="4">
        <v>53.16</v>
      </c>
      <c r="F482" s="6">
        <v>67.260000000000005</v>
      </c>
      <c r="G482" s="6">
        <v>69.319999999999993</v>
      </c>
      <c r="H482" s="5">
        <v>71.39</v>
      </c>
      <c r="I482" s="4">
        <v>55.04</v>
      </c>
      <c r="J482" s="6">
        <v>69.27</v>
      </c>
      <c r="K482" s="6">
        <v>66.540000000000006</v>
      </c>
      <c r="L482" s="6">
        <v>67.989999999999995</v>
      </c>
    </row>
    <row r="483" spans="1:12" ht="15" customHeight="1" x14ac:dyDescent="0.45">
      <c r="A483" s="3">
        <v>45558</v>
      </c>
      <c r="B483" s="4">
        <v>56.21</v>
      </c>
      <c r="C483" s="6">
        <v>60.33</v>
      </c>
      <c r="D483" s="4">
        <v>49.16</v>
      </c>
      <c r="E483" s="4">
        <v>54.28</v>
      </c>
      <c r="F483" s="6">
        <v>62.47</v>
      </c>
      <c r="G483" s="6">
        <v>66.91</v>
      </c>
      <c r="H483" s="6">
        <v>69.400000000000006</v>
      </c>
      <c r="I483" s="4">
        <v>57.08</v>
      </c>
      <c r="J483" s="5">
        <v>74.92</v>
      </c>
      <c r="K483" s="6">
        <v>64.650000000000006</v>
      </c>
      <c r="L483" s="6">
        <v>67.989999999999995</v>
      </c>
    </row>
    <row r="484" spans="1:12" ht="15" customHeight="1" x14ac:dyDescent="0.45">
      <c r="A484" s="3">
        <v>45555</v>
      </c>
      <c r="B484" s="4">
        <v>56.85</v>
      </c>
      <c r="C484" s="6">
        <v>63.58</v>
      </c>
      <c r="D484" s="4">
        <v>53.68</v>
      </c>
      <c r="E484" s="4">
        <v>52.77</v>
      </c>
      <c r="F484" s="6">
        <v>60.83</v>
      </c>
      <c r="G484" s="6">
        <v>65.72</v>
      </c>
      <c r="H484" s="6">
        <v>66.97</v>
      </c>
      <c r="I484" s="4">
        <v>56.79</v>
      </c>
      <c r="J484" s="5">
        <v>74.06</v>
      </c>
      <c r="K484" s="6">
        <v>65.22</v>
      </c>
      <c r="L484" s="6">
        <v>66.069999999999993</v>
      </c>
    </row>
    <row r="485" spans="1:12" ht="15" customHeight="1" x14ac:dyDescent="0.45">
      <c r="A485" s="3">
        <v>45554</v>
      </c>
      <c r="B485" s="4">
        <v>58.37</v>
      </c>
      <c r="C485" s="6">
        <v>64.010000000000005</v>
      </c>
      <c r="D485" s="4">
        <v>57.22</v>
      </c>
      <c r="E485" s="4">
        <v>53.68</v>
      </c>
      <c r="F485" s="6">
        <v>65.290000000000006</v>
      </c>
      <c r="G485" s="5">
        <v>70.55</v>
      </c>
      <c r="H485" s="6">
        <v>68.11</v>
      </c>
      <c r="I485" s="4">
        <v>53.81</v>
      </c>
      <c r="J485" s="6">
        <v>64.819999999999993</v>
      </c>
      <c r="K485" s="6">
        <v>65.22</v>
      </c>
      <c r="L485" s="6">
        <v>67.75</v>
      </c>
    </row>
    <row r="486" spans="1:12" ht="15" customHeight="1" x14ac:dyDescent="0.45">
      <c r="A486" s="3">
        <v>45553</v>
      </c>
      <c r="B486" s="4">
        <v>51.18</v>
      </c>
      <c r="C486" s="4">
        <v>59.74</v>
      </c>
      <c r="D486" s="4">
        <v>54.8</v>
      </c>
      <c r="E486" s="4">
        <v>49.41</v>
      </c>
      <c r="F486" s="4">
        <v>59.48</v>
      </c>
      <c r="G486" s="6">
        <v>64.739999999999995</v>
      </c>
      <c r="H486" s="6">
        <v>62.28</v>
      </c>
      <c r="I486" s="4">
        <v>58.38</v>
      </c>
      <c r="J486" s="6">
        <v>69.989999999999995</v>
      </c>
      <c r="K486" s="6">
        <v>60.08</v>
      </c>
      <c r="L486" s="5">
        <v>70.02</v>
      </c>
    </row>
    <row r="487" spans="1:12" ht="15" customHeight="1" x14ac:dyDescent="0.45">
      <c r="A487" s="3">
        <v>45552</v>
      </c>
      <c r="B487" s="4">
        <v>53.86</v>
      </c>
      <c r="C487" s="6">
        <v>61.64</v>
      </c>
      <c r="D487" s="4">
        <v>56.17</v>
      </c>
      <c r="E487" s="4">
        <v>48.7</v>
      </c>
      <c r="F487" s="6">
        <v>62.22</v>
      </c>
      <c r="G487" s="6">
        <v>65.319999999999993</v>
      </c>
      <c r="H487" s="6">
        <v>63.21</v>
      </c>
      <c r="I487" s="6">
        <v>61.55</v>
      </c>
      <c r="J487" s="5">
        <v>77.47</v>
      </c>
      <c r="K487" s="6">
        <v>60.57</v>
      </c>
      <c r="L487" s="5">
        <v>72.7</v>
      </c>
    </row>
    <row r="488" spans="1:12" ht="15" customHeight="1" x14ac:dyDescent="0.45">
      <c r="A488" s="3">
        <v>45551</v>
      </c>
      <c r="B488" s="4">
        <v>54.43</v>
      </c>
      <c r="C488" s="4">
        <v>59.59</v>
      </c>
      <c r="D488" s="6">
        <v>65.7</v>
      </c>
      <c r="E488" s="4">
        <v>43.63</v>
      </c>
      <c r="F488" s="6">
        <v>61.48</v>
      </c>
      <c r="G488" s="6">
        <v>63.33</v>
      </c>
      <c r="H488" s="6">
        <v>61.85</v>
      </c>
      <c r="I488" s="5">
        <v>70.430000000000007</v>
      </c>
      <c r="J488" s="5">
        <v>78.25</v>
      </c>
      <c r="K488" s="6">
        <v>60.57</v>
      </c>
      <c r="L488" s="5">
        <v>80.64</v>
      </c>
    </row>
    <row r="489" spans="1:12" ht="15" customHeight="1" x14ac:dyDescent="0.45">
      <c r="A489" s="3">
        <v>45548</v>
      </c>
      <c r="B489" s="4">
        <v>55.49</v>
      </c>
      <c r="C489" s="4">
        <v>54.09</v>
      </c>
      <c r="D489" s="6">
        <v>61.68</v>
      </c>
      <c r="E489" s="4">
        <v>38.94</v>
      </c>
      <c r="F489" s="4">
        <v>57.8</v>
      </c>
      <c r="G489" s="6">
        <v>61.41</v>
      </c>
      <c r="H489" s="6">
        <v>62.57</v>
      </c>
      <c r="I489" s="6">
        <v>68.7</v>
      </c>
      <c r="J489" s="5">
        <v>76.010000000000005</v>
      </c>
      <c r="K489" s="4">
        <v>56.61</v>
      </c>
      <c r="L489" s="5">
        <v>79.78</v>
      </c>
    </row>
    <row r="490" spans="1:12" ht="15" customHeight="1" x14ac:dyDescent="0.45">
      <c r="A490" s="3">
        <v>45547</v>
      </c>
      <c r="B490" s="4">
        <v>54.41</v>
      </c>
      <c r="C490" s="4">
        <v>52.75</v>
      </c>
      <c r="D490" s="6">
        <v>60.4</v>
      </c>
      <c r="E490" s="4">
        <v>36.54</v>
      </c>
      <c r="F490" s="4">
        <v>53.85</v>
      </c>
      <c r="G490" s="4">
        <v>57.36</v>
      </c>
      <c r="H490" s="6">
        <v>60.9</v>
      </c>
      <c r="I490" s="6">
        <v>65.34</v>
      </c>
      <c r="J490" s="5">
        <v>70.989999999999995</v>
      </c>
      <c r="K490" s="4">
        <v>52.58</v>
      </c>
      <c r="L490" s="5">
        <v>77.849999999999994</v>
      </c>
    </row>
    <row r="491" spans="1:12" ht="15" customHeight="1" x14ac:dyDescent="0.45">
      <c r="A491" s="3">
        <v>45546</v>
      </c>
      <c r="B491" s="4">
        <v>52.66</v>
      </c>
      <c r="C491" s="4">
        <v>51.74</v>
      </c>
      <c r="D491" s="4">
        <v>58.13</v>
      </c>
      <c r="E491" s="4">
        <v>32.64</v>
      </c>
      <c r="F491" s="4">
        <v>49.41</v>
      </c>
      <c r="G491" s="4">
        <v>53.97</v>
      </c>
      <c r="H491" s="4">
        <v>58.04</v>
      </c>
      <c r="I491" s="6">
        <v>62.06</v>
      </c>
      <c r="J491" s="5">
        <v>70.08</v>
      </c>
      <c r="K491" s="4">
        <v>43.25</v>
      </c>
      <c r="L491" s="5">
        <v>77.34</v>
      </c>
    </row>
    <row r="492" spans="1:12" ht="15" customHeight="1" x14ac:dyDescent="0.45">
      <c r="A492" s="3">
        <v>45545</v>
      </c>
      <c r="B492" s="4">
        <v>44.82</v>
      </c>
      <c r="C492" s="4">
        <v>53.98</v>
      </c>
      <c r="D492" s="6">
        <v>60.79</v>
      </c>
      <c r="E492" s="4">
        <v>34.700000000000003</v>
      </c>
      <c r="F492" s="4">
        <v>48.19</v>
      </c>
      <c r="G492" s="4">
        <v>53.16</v>
      </c>
      <c r="H492" s="4">
        <v>55.39</v>
      </c>
      <c r="I492" s="5">
        <v>71.680000000000007</v>
      </c>
      <c r="J492" s="6">
        <v>68.8</v>
      </c>
      <c r="K492" s="4">
        <v>40.86</v>
      </c>
      <c r="L492" s="5">
        <v>79.87</v>
      </c>
    </row>
    <row r="493" spans="1:12" ht="15" customHeight="1" x14ac:dyDescent="0.45">
      <c r="A493" s="3">
        <v>45544</v>
      </c>
      <c r="B493" s="4">
        <v>40.89</v>
      </c>
      <c r="C493" s="4">
        <v>59.2</v>
      </c>
      <c r="D493" s="4">
        <v>58.04</v>
      </c>
      <c r="E493" s="4">
        <v>39</v>
      </c>
      <c r="F493" s="4">
        <v>47.98</v>
      </c>
      <c r="G493" s="4">
        <v>52.43</v>
      </c>
      <c r="H493" s="4">
        <v>52.2</v>
      </c>
      <c r="I493" s="5">
        <v>71.94</v>
      </c>
      <c r="J493" s="6">
        <v>66.83</v>
      </c>
      <c r="K493" s="4">
        <v>40.950000000000003</v>
      </c>
      <c r="L493" s="5">
        <v>74.930000000000007</v>
      </c>
    </row>
    <row r="494" spans="1:12" ht="15" customHeight="1" x14ac:dyDescent="0.45">
      <c r="A494" s="3">
        <v>45541</v>
      </c>
      <c r="B494" s="4">
        <v>36.36</v>
      </c>
      <c r="C494" s="4">
        <v>53.17</v>
      </c>
      <c r="D494" s="4">
        <v>53.42</v>
      </c>
      <c r="E494" s="4">
        <v>35.93</v>
      </c>
      <c r="F494" s="4">
        <v>43.32</v>
      </c>
      <c r="G494" s="4">
        <v>45.43</v>
      </c>
      <c r="H494" s="4">
        <v>47.86</v>
      </c>
      <c r="I494" s="6">
        <v>68.47</v>
      </c>
      <c r="J494" s="6">
        <v>62.05</v>
      </c>
      <c r="K494" s="4">
        <v>38.65</v>
      </c>
      <c r="L494" s="5">
        <v>70.430000000000007</v>
      </c>
    </row>
    <row r="495" spans="1:12" ht="15" customHeight="1" x14ac:dyDescent="0.45">
      <c r="A495" s="3">
        <v>45540</v>
      </c>
      <c r="B495" s="4">
        <v>41.12</v>
      </c>
      <c r="C495" s="6">
        <v>61.62</v>
      </c>
      <c r="D495" s="4">
        <v>56.24</v>
      </c>
      <c r="E495" s="4">
        <v>39.14</v>
      </c>
      <c r="F495" s="4">
        <v>48.67</v>
      </c>
      <c r="G495" s="4">
        <v>49.99</v>
      </c>
      <c r="H495" s="4">
        <v>56.3</v>
      </c>
      <c r="I495" s="5">
        <v>70.63</v>
      </c>
      <c r="J495" s="5">
        <v>71.05</v>
      </c>
      <c r="K495" s="4">
        <v>47.12</v>
      </c>
      <c r="L495" s="5">
        <v>70.430000000000007</v>
      </c>
    </row>
    <row r="496" spans="1:12" ht="15" customHeight="1" x14ac:dyDescent="0.45">
      <c r="A496" s="3">
        <v>45539</v>
      </c>
      <c r="B496" s="4">
        <v>41.41</v>
      </c>
      <c r="C496" s="6">
        <v>69.38</v>
      </c>
      <c r="D496" s="5">
        <v>70.19</v>
      </c>
      <c r="E496" s="4">
        <v>41.28</v>
      </c>
      <c r="F496" s="4">
        <v>52.44</v>
      </c>
      <c r="G496" s="4">
        <v>56.08</v>
      </c>
      <c r="H496" s="4">
        <v>52.88</v>
      </c>
      <c r="I496" s="5">
        <v>74.739999999999995</v>
      </c>
      <c r="J496" s="5">
        <v>73.64</v>
      </c>
      <c r="K496" s="4">
        <v>45.57</v>
      </c>
      <c r="L496" s="5">
        <v>73.03</v>
      </c>
    </row>
    <row r="497" spans="1:12" ht="15" customHeight="1" x14ac:dyDescent="0.45">
      <c r="A497" s="3">
        <v>45538</v>
      </c>
      <c r="B497" s="4">
        <v>41.89</v>
      </c>
      <c r="C497" s="6">
        <v>69.010000000000005</v>
      </c>
      <c r="D497" s="5">
        <v>72.28</v>
      </c>
      <c r="E497" s="4">
        <v>45.46</v>
      </c>
      <c r="F497" s="4">
        <v>54.5</v>
      </c>
      <c r="G497" s="4">
        <v>55.64</v>
      </c>
      <c r="H497" s="4">
        <v>52.08</v>
      </c>
      <c r="I497" s="5">
        <v>72.959999999999994</v>
      </c>
      <c r="J497" s="5">
        <v>70.2</v>
      </c>
      <c r="K497" s="4">
        <v>47.7</v>
      </c>
      <c r="L497" s="5">
        <v>72.239999999999995</v>
      </c>
    </row>
    <row r="498" spans="1:12" ht="15" customHeight="1" x14ac:dyDescent="0.45">
      <c r="A498" s="3">
        <v>45537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5" customHeight="1" x14ac:dyDescent="0.45">
      <c r="A499" s="3">
        <v>45534</v>
      </c>
      <c r="B499" s="4">
        <v>52.29</v>
      </c>
      <c r="C499" s="5">
        <v>74.58</v>
      </c>
      <c r="D499" s="5">
        <v>74.58</v>
      </c>
      <c r="E499" s="4">
        <v>54.99</v>
      </c>
      <c r="F499" s="6">
        <v>68.64</v>
      </c>
      <c r="G499" s="5">
        <v>70.040000000000006</v>
      </c>
      <c r="H499" s="4">
        <v>56.86</v>
      </c>
      <c r="I499" s="5">
        <v>70.040000000000006</v>
      </c>
      <c r="J499" s="5">
        <v>71.67</v>
      </c>
      <c r="K499" s="4">
        <v>57.39</v>
      </c>
      <c r="L499" s="5">
        <v>71.459999999999994</v>
      </c>
    </row>
    <row r="500" spans="1:12" ht="15" customHeight="1" x14ac:dyDescent="0.45">
      <c r="A500" s="3">
        <v>45533</v>
      </c>
      <c r="B500" s="4">
        <v>48.92</v>
      </c>
      <c r="C500" s="5">
        <v>71.92</v>
      </c>
      <c r="D500" s="5">
        <v>71.56</v>
      </c>
      <c r="E500" s="4">
        <v>53.64</v>
      </c>
      <c r="F500" s="6">
        <v>64.58</v>
      </c>
      <c r="G500" s="6">
        <v>66.16</v>
      </c>
      <c r="H500" s="4">
        <v>52.48</v>
      </c>
      <c r="I500" s="6">
        <v>66.260000000000005</v>
      </c>
      <c r="J500" s="6">
        <v>68.489999999999995</v>
      </c>
      <c r="K500" s="4">
        <v>54.26</v>
      </c>
      <c r="L500" s="6">
        <v>67.94</v>
      </c>
    </row>
    <row r="501" spans="1:12" ht="15" customHeight="1" x14ac:dyDescent="0.45">
      <c r="A501" s="3">
        <v>45532</v>
      </c>
      <c r="B501" s="4">
        <v>51.22</v>
      </c>
      <c r="C501" s="6">
        <v>69.13</v>
      </c>
      <c r="D501" s="5">
        <v>70.569999999999993</v>
      </c>
      <c r="E501" s="4">
        <v>48.72</v>
      </c>
      <c r="F501" s="6">
        <v>62.31</v>
      </c>
      <c r="G501" s="6">
        <v>63.26</v>
      </c>
      <c r="H501" s="4">
        <v>52.12</v>
      </c>
      <c r="I501" s="5">
        <v>71.55</v>
      </c>
      <c r="J501" s="6">
        <v>65.94</v>
      </c>
      <c r="K501" s="4">
        <v>55.44</v>
      </c>
      <c r="L501" s="5">
        <v>71.239999999999995</v>
      </c>
    </row>
    <row r="502" spans="1:12" ht="15" customHeight="1" x14ac:dyDescent="0.45">
      <c r="A502" s="3">
        <v>45531</v>
      </c>
      <c r="B502" s="4">
        <v>54.93</v>
      </c>
      <c r="C502" s="6">
        <v>68.33</v>
      </c>
      <c r="D502" s="5">
        <v>70.040000000000006</v>
      </c>
      <c r="E502" s="4">
        <v>51.22</v>
      </c>
      <c r="F502" s="6">
        <v>65.36</v>
      </c>
      <c r="G502" s="6">
        <v>63.59</v>
      </c>
      <c r="H502" s="4">
        <v>55.28</v>
      </c>
      <c r="I502" s="5">
        <v>76.39</v>
      </c>
      <c r="J502" s="6">
        <v>65.94</v>
      </c>
      <c r="K502" s="4">
        <v>59.27</v>
      </c>
      <c r="L502" s="5">
        <v>74.2</v>
      </c>
    </row>
    <row r="503" spans="1:12" ht="15" customHeight="1" x14ac:dyDescent="0.45">
      <c r="A503" s="3">
        <v>45530</v>
      </c>
      <c r="B503" s="4">
        <v>53.57</v>
      </c>
      <c r="C503" s="6">
        <v>66.64</v>
      </c>
      <c r="D503" s="6">
        <v>69.36</v>
      </c>
      <c r="E503" s="4">
        <v>55.07</v>
      </c>
      <c r="F503" s="6">
        <v>65.319999999999993</v>
      </c>
      <c r="G503" s="6">
        <v>63.36</v>
      </c>
      <c r="H503" s="4">
        <v>56.14</v>
      </c>
      <c r="I503" s="5">
        <v>75.510000000000005</v>
      </c>
      <c r="J503" s="5">
        <v>73.44</v>
      </c>
      <c r="K503" s="6">
        <v>60.61</v>
      </c>
      <c r="L503" s="5">
        <v>73.45</v>
      </c>
    </row>
    <row r="504" spans="1:12" ht="15" customHeight="1" x14ac:dyDescent="0.45">
      <c r="A504" s="3">
        <v>45527</v>
      </c>
      <c r="B504" s="4">
        <v>56.92</v>
      </c>
      <c r="C504" s="6">
        <v>65.61</v>
      </c>
      <c r="D504" s="6">
        <v>69.849999999999994</v>
      </c>
      <c r="E504" s="4">
        <v>51.87</v>
      </c>
      <c r="F504" s="6">
        <v>63.75</v>
      </c>
      <c r="G504" s="6">
        <v>64.040000000000006</v>
      </c>
      <c r="H504" s="4">
        <v>58.67</v>
      </c>
      <c r="I504" s="5">
        <v>72.78</v>
      </c>
      <c r="J504" s="5">
        <v>70.930000000000007</v>
      </c>
      <c r="K504" s="4">
        <v>59.77</v>
      </c>
      <c r="L504" s="5">
        <v>73.989999999999995</v>
      </c>
    </row>
    <row r="505" spans="1:12" ht="15" customHeight="1" x14ac:dyDescent="0.45">
      <c r="A505" s="3">
        <v>45526</v>
      </c>
      <c r="B505" s="4">
        <v>53.49</v>
      </c>
      <c r="C505" s="6">
        <v>62.69</v>
      </c>
      <c r="D505" s="6">
        <v>68.09</v>
      </c>
      <c r="E505" s="4">
        <v>46</v>
      </c>
      <c r="F505" s="4">
        <v>58.61</v>
      </c>
      <c r="G505" s="6">
        <v>60.42</v>
      </c>
      <c r="H505" s="4">
        <v>53.98</v>
      </c>
      <c r="I505" s="5">
        <v>71.62</v>
      </c>
      <c r="J505" s="6">
        <v>69.8</v>
      </c>
      <c r="K505" s="4">
        <v>57.16</v>
      </c>
      <c r="L505" s="6">
        <v>67.959999999999994</v>
      </c>
    </row>
    <row r="506" spans="1:12" ht="15" customHeight="1" x14ac:dyDescent="0.45">
      <c r="A506" s="3">
        <v>45525</v>
      </c>
      <c r="B506" s="4">
        <v>59.94</v>
      </c>
      <c r="C506" s="6">
        <v>60.65</v>
      </c>
      <c r="D506" s="6">
        <v>67.83</v>
      </c>
      <c r="E506" s="4">
        <v>44.92</v>
      </c>
      <c r="F506" s="4">
        <v>59.85</v>
      </c>
      <c r="G506" s="6">
        <v>61.13</v>
      </c>
      <c r="H506" s="4">
        <v>59.7</v>
      </c>
      <c r="I506" s="5">
        <v>73.14</v>
      </c>
      <c r="J506" s="5">
        <v>70.900000000000006</v>
      </c>
      <c r="K506" s="6">
        <v>61.14</v>
      </c>
      <c r="L506" s="6">
        <v>65.61</v>
      </c>
    </row>
    <row r="507" spans="1:12" ht="15" customHeight="1" x14ac:dyDescent="0.45">
      <c r="A507" s="3">
        <v>45524</v>
      </c>
      <c r="B507" s="4">
        <v>58.77</v>
      </c>
      <c r="C507" s="6">
        <v>61.52</v>
      </c>
      <c r="D507" s="6">
        <v>67.19</v>
      </c>
      <c r="E507" s="4">
        <v>44.25</v>
      </c>
      <c r="F507" s="4">
        <v>55.02</v>
      </c>
      <c r="G507" s="4">
        <v>58.96</v>
      </c>
      <c r="H507" s="4">
        <v>56.62</v>
      </c>
      <c r="I507" s="5">
        <v>70.48</v>
      </c>
      <c r="J507" s="6">
        <v>68.150000000000006</v>
      </c>
      <c r="K507" s="4">
        <v>59.68</v>
      </c>
      <c r="L507" s="6">
        <v>64.3</v>
      </c>
    </row>
    <row r="508" spans="1:12" ht="15" customHeight="1" x14ac:dyDescent="0.45">
      <c r="A508" s="3">
        <v>45523</v>
      </c>
      <c r="B508" s="4">
        <v>59.74</v>
      </c>
      <c r="C508" s="6">
        <v>63.21</v>
      </c>
      <c r="D508" s="6">
        <v>65.66</v>
      </c>
      <c r="E508" s="4">
        <v>54.08</v>
      </c>
      <c r="F508" s="4">
        <v>57.04</v>
      </c>
      <c r="G508" s="6">
        <v>60.38</v>
      </c>
      <c r="H508" s="4">
        <v>56.91</v>
      </c>
      <c r="I508" s="6">
        <v>68.36</v>
      </c>
      <c r="J508" s="5">
        <v>70.010000000000005</v>
      </c>
      <c r="K508" s="6">
        <v>60.02</v>
      </c>
      <c r="L508" s="6">
        <v>63.94</v>
      </c>
    </row>
    <row r="509" spans="1:12" ht="15" customHeight="1" x14ac:dyDescent="0.45">
      <c r="A509" s="3">
        <v>45520</v>
      </c>
      <c r="B509" s="4">
        <v>56.66</v>
      </c>
      <c r="C509" s="6">
        <v>61.53</v>
      </c>
      <c r="D509" s="6">
        <v>63.28</v>
      </c>
      <c r="E509" s="4">
        <v>51.54</v>
      </c>
      <c r="F509" s="4">
        <v>55.05</v>
      </c>
      <c r="G509" s="4">
        <v>58.33</v>
      </c>
      <c r="H509" s="4">
        <v>53.97</v>
      </c>
      <c r="I509" s="6">
        <v>66.87</v>
      </c>
      <c r="J509" s="6">
        <v>67.489999999999995</v>
      </c>
      <c r="K509" s="4">
        <v>56.24</v>
      </c>
      <c r="L509" s="6">
        <v>61.67</v>
      </c>
    </row>
    <row r="510" spans="1:12" ht="15" customHeight="1" x14ac:dyDescent="0.45">
      <c r="A510" s="3">
        <v>45519</v>
      </c>
      <c r="B510" s="4">
        <v>56.34</v>
      </c>
      <c r="C510" s="4">
        <v>59.21</v>
      </c>
      <c r="D510" s="6">
        <v>62.87</v>
      </c>
      <c r="E510" s="4">
        <v>51.98</v>
      </c>
      <c r="F510" s="4">
        <v>54.54</v>
      </c>
      <c r="G510" s="4">
        <v>58.99</v>
      </c>
      <c r="H510" s="4">
        <v>53.41</v>
      </c>
      <c r="I510" s="6">
        <v>65.650000000000006</v>
      </c>
      <c r="J510" s="6">
        <v>65.7</v>
      </c>
      <c r="K510" s="4">
        <v>55.2</v>
      </c>
      <c r="L510" s="6">
        <v>61.96</v>
      </c>
    </row>
    <row r="511" spans="1:12" ht="15" customHeight="1" x14ac:dyDescent="0.45">
      <c r="A511" s="3">
        <v>45518</v>
      </c>
      <c r="B511" s="4">
        <v>50.8</v>
      </c>
      <c r="C511" s="4">
        <v>56.15</v>
      </c>
      <c r="D511" s="6">
        <v>60.43</v>
      </c>
      <c r="E511" s="4">
        <v>47.55</v>
      </c>
      <c r="F511" s="4">
        <v>47.58</v>
      </c>
      <c r="G511" s="4">
        <v>54.47</v>
      </c>
      <c r="H511" s="4">
        <v>45.24</v>
      </c>
      <c r="I511" s="6">
        <v>60.62</v>
      </c>
      <c r="J511" s="6">
        <v>65.8</v>
      </c>
      <c r="K511" s="4">
        <v>52.05</v>
      </c>
      <c r="L511" s="6">
        <v>63.63</v>
      </c>
    </row>
    <row r="512" spans="1:12" ht="15" customHeight="1" x14ac:dyDescent="0.45">
      <c r="A512" s="3">
        <v>45517</v>
      </c>
      <c r="B512" s="4">
        <v>49.68</v>
      </c>
      <c r="C512" s="4">
        <v>51.79</v>
      </c>
      <c r="D512" s="4">
        <v>59.01</v>
      </c>
      <c r="E512" s="4">
        <v>45.27</v>
      </c>
      <c r="F512" s="4">
        <v>47.58</v>
      </c>
      <c r="G512" s="4">
        <v>53.02</v>
      </c>
      <c r="H512" s="4">
        <v>46.51</v>
      </c>
      <c r="I512" s="4">
        <v>58.12</v>
      </c>
      <c r="J512" s="6">
        <v>66.28</v>
      </c>
      <c r="K512" s="4">
        <v>54.3</v>
      </c>
      <c r="L512" s="6">
        <v>62.46</v>
      </c>
    </row>
    <row r="513" spans="1:12" ht="15" customHeight="1" x14ac:dyDescent="0.45">
      <c r="A513" s="3">
        <v>45516</v>
      </c>
      <c r="B513" s="4">
        <v>43.12</v>
      </c>
      <c r="C513" s="4">
        <v>48.59</v>
      </c>
      <c r="D513" s="4">
        <v>53.85</v>
      </c>
      <c r="E513" s="4">
        <v>48.55</v>
      </c>
      <c r="F513" s="4">
        <v>42.88</v>
      </c>
      <c r="G513" s="4">
        <v>49.19</v>
      </c>
      <c r="H513" s="4">
        <v>39.24</v>
      </c>
      <c r="I513" s="4">
        <v>55.5</v>
      </c>
      <c r="J513" s="6">
        <v>64.2</v>
      </c>
      <c r="K513" s="4">
        <v>49.78</v>
      </c>
      <c r="L513" s="6">
        <v>60.16</v>
      </c>
    </row>
    <row r="514" spans="1:12" ht="15" customHeight="1" x14ac:dyDescent="0.45">
      <c r="A514" s="3">
        <v>45513</v>
      </c>
      <c r="B514" s="4">
        <v>41.25</v>
      </c>
      <c r="C514" s="4">
        <v>50.54</v>
      </c>
      <c r="D514" s="4">
        <v>55.91</v>
      </c>
      <c r="E514" s="4">
        <v>46.74</v>
      </c>
      <c r="F514" s="4">
        <v>44.52</v>
      </c>
      <c r="G514" s="4">
        <v>51.07</v>
      </c>
      <c r="H514" s="4">
        <v>40.04</v>
      </c>
      <c r="I514" s="4">
        <v>59.33</v>
      </c>
      <c r="J514" s="6">
        <v>63.57</v>
      </c>
      <c r="K514" s="4">
        <v>52.36</v>
      </c>
      <c r="L514" s="6">
        <v>63.26</v>
      </c>
    </row>
    <row r="515" spans="1:12" ht="15" customHeight="1" x14ac:dyDescent="0.45">
      <c r="A515" s="3">
        <v>45512</v>
      </c>
      <c r="B515" s="4">
        <v>40.25</v>
      </c>
      <c r="C515" s="4">
        <v>48.98</v>
      </c>
      <c r="D515" s="4">
        <v>53.77</v>
      </c>
      <c r="E515" s="4">
        <v>45.94</v>
      </c>
      <c r="F515" s="4">
        <v>44.81</v>
      </c>
      <c r="G515" s="4">
        <v>51.01</v>
      </c>
      <c r="H515" s="4">
        <v>39.07</v>
      </c>
      <c r="I515" s="4">
        <v>58.53</v>
      </c>
      <c r="J515" s="6">
        <v>62.38</v>
      </c>
      <c r="K515" s="4">
        <v>49.38</v>
      </c>
      <c r="L515" s="6">
        <v>61.72</v>
      </c>
    </row>
    <row r="516" spans="1:12" ht="15" customHeight="1" x14ac:dyDescent="0.45">
      <c r="A516" s="3">
        <v>45511</v>
      </c>
      <c r="B516" s="4">
        <v>31.57</v>
      </c>
      <c r="C516" s="4">
        <v>42.73</v>
      </c>
      <c r="D516" s="4">
        <v>42.51</v>
      </c>
      <c r="E516" s="4">
        <v>37.75</v>
      </c>
      <c r="F516" s="4">
        <v>37.619999999999997</v>
      </c>
      <c r="G516" s="4">
        <v>42.63</v>
      </c>
      <c r="H516" s="4">
        <v>32.57</v>
      </c>
      <c r="I516" s="4">
        <v>53.52</v>
      </c>
      <c r="J516" s="6">
        <v>62.01</v>
      </c>
      <c r="K516" s="4">
        <v>41.61</v>
      </c>
      <c r="L516" s="4">
        <v>59.06</v>
      </c>
    </row>
    <row r="517" spans="1:12" ht="15" customHeight="1" x14ac:dyDescent="0.45">
      <c r="A517" s="3">
        <v>45510</v>
      </c>
      <c r="B517" s="4">
        <v>33.56</v>
      </c>
      <c r="C517" s="4">
        <v>42.24</v>
      </c>
      <c r="D517" s="4">
        <v>47.5</v>
      </c>
      <c r="E517" s="4">
        <v>36.08</v>
      </c>
      <c r="F517" s="4">
        <v>42.15</v>
      </c>
      <c r="G517" s="4">
        <v>44.1</v>
      </c>
      <c r="H517" s="4">
        <v>35.42</v>
      </c>
      <c r="I517" s="4">
        <v>52.93</v>
      </c>
      <c r="J517" s="6">
        <v>60.17</v>
      </c>
      <c r="K517" s="4">
        <v>43.26</v>
      </c>
      <c r="L517" s="6">
        <v>62.52</v>
      </c>
    </row>
    <row r="518" spans="1:12" ht="15" customHeight="1" x14ac:dyDescent="0.45">
      <c r="A518" s="3">
        <v>45509</v>
      </c>
      <c r="B518" s="4">
        <v>30.17</v>
      </c>
      <c r="C518" s="4">
        <v>35.46</v>
      </c>
      <c r="D518" s="4">
        <v>44.77</v>
      </c>
      <c r="E518" s="4">
        <v>33.57</v>
      </c>
      <c r="F518" s="4">
        <v>39.61</v>
      </c>
      <c r="G518" s="4">
        <v>39.299999999999997</v>
      </c>
      <c r="H518" s="4">
        <v>31.96</v>
      </c>
      <c r="I518" s="4">
        <v>48.82</v>
      </c>
      <c r="J518" s="4">
        <v>57.29</v>
      </c>
      <c r="K518" s="4">
        <v>38.270000000000003</v>
      </c>
      <c r="L518" s="4">
        <v>55.23</v>
      </c>
    </row>
    <row r="519" spans="1:12" ht="15" customHeight="1" x14ac:dyDescent="0.45">
      <c r="A519" s="3">
        <v>45506</v>
      </c>
      <c r="B519" s="4">
        <v>34.29</v>
      </c>
      <c r="C519" s="4">
        <v>44.4</v>
      </c>
      <c r="D519" s="6">
        <v>62.72</v>
      </c>
      <c r="E519" s="4">
        <v>38.770000000000003</v>
      </c>
      <c r="F519" s="4">
        <v>48.41</v>
      </c>
      <c r="G519" s="4">
        <v>44.52</v>
      </c>
      <c r="H519" s="4">
        <v>36.79</v>
      </c>
      <c r="I519" s="6">
        <v>63.74</v>
      </c>
      <c r="J519" s="5">
        <v>73</v>
      </c>
      <c r="K519" s="4">
        <v>48.11</v>
      </c>
      <c r="L519" s="5">
        <v>72.930000000000007</v>
      </c>
    </row>
    <row r="520" spans="1:12" ht="15" customHeight="1" x14ac:dyDescent="0.45">
      <c r="A520" s="3">
        <v>45505</v>
      </c>
      <c r="B520" s="4">
        <v>38.54</v>
      </c>
      <c r="C520" s="4">
        <v>55.74</v>
      </c>
      <c r="D520" s="6">
        <v>64.510000000000005</v>
      </c>
      <c r="E520" s="4">
        <v>46.86</v>
      </c>
      <c r="F520" s="4">
        <v>58.86</v>
      </c>
      <c r="G520" s="4">
        <v>52.98</v>
      </c>
      <c r="H520" s="4">
        <v>45.4</v>
      </c>
      <c r="I520" s="4">
        <v>58.54</v>
      </c>
      <c r="J520" s="5">
        <v>72.569999999999993</v>
      </c>
      <c r="K520" s="4">
        <v>55.79</v>
      </c>
      <c r="L520" s="5">
        <v>72.73</v>
      </c>
    </row>
    <row r="521" spans="1:12" ht="15" customHeight="1" x14ac:dyDescent="0.45">
      <c r="A521" s="3">
        <v>45504</v>
      </c>
      <c r="B521" s="4">
        <v>45.8</v>
      </c>
      <c r="C521" s="6">
        <v>64.72</v>
      </c>
      <c r="D521" s="4">
        <v>58.97</v>
      </c>
      <c r="E521" s="4">
        <v>58.9</v>
      </c>
      <c r="F521" s="6">
        <v>61.49</v>
      </c>
      <c r="G521" s="6">
        <v>62.44</v>
      </c>
      <c r="H521" s="4">
        <v>53.32</v>
      </c>
      <c r="I521" s="4">
        <v>51.84</v>
      </c>
      <c r="J521" s="6">
        <v>67.33</v>
      </c>
      <c r="K521" s="4">
        <v>54.09</v>
      </c>
      <c r="L521" s="6">
        <v>68.02</v>
      </c>
    </row>
    <row r="522" spans="1:12" ht="15" customHeight="1" x14ac:dyDescent="0.45">
      <c r="A522" s="3">
        <v>45503</v>
      </c>
      <c r="B522" s="4">
        <v>33.04</v>
      </c>
      <c r="C522" s="6">
        <v>66.489999999999995</v>
      </c>
      <c r="D522" s="6">
        <v>62.21</v>
      </c>
      <c r="E522" s="4">
        <v>57.3</v>
      </c>
      <c r="F522" s="4">
        <v>56.89</v>
      </c>
      <c r="G522" s="4">
        <v>58.32</v>
      </c>
      <c r="H522" s="4">
        <v>48.09</v>
      </c>
      <c r="I522" s="4">
        <v>53.4</v>
      </c>
      <c r="J522" s="6">
        <v>62.62</v>
      </c>
      <c r="K522" s="4">
        <v>48.81</v>
      </c>
      <c r="L522" s="6">
        <v>69.77</v>
      </c>
    </row>
    <row r="523" spans="1:12" ht="15" customHeight="1" x14ac:dyDescent="0.45">
      <c r="A523" s="3">
        <v>45502</v>
      </c>
      <c r="B523" s="4">
        <v>38.11</v>
      </c>
      <c r="C523" s="6">
        <v>62.13</v>
      </c>
      <c r="D523" s="6">
        <v>61.75</v>
      </c>
      <c r="E523" s="4">
        <v>50.78</v>
      </c>
      <c r="F523" s="4">
        <v>58.95</v>
      </c>
      <c r="G523" s="4">
        <v>57.18</v>
      </c>
      <c r="H523" s="4">
        <v>49.96</v>
      </c>
      <c r="I523" s="4">
        <v>59.7</v>
      </c>
      <c r="J523" s="6">
        <v>60.51</v>
      </c>
      <c r="K523" s="4">
        <v>46.9</v>
      </c>
      <c r="L523" s="6">
        <v>67.430000000000007</v>
      </c>
    </row>
    <row r="524" spans="1:12" ht="15" customHeight="1" x14ac:dyDescent="0.45">
      <c r="A524" s="3">
        <v>45499</v>
      </c>
      <c r="B524" s="4">
        <v>39.1</v>
      </c>
      <c r="C524" s="6">
        <v>63.04</v>
      </c>
      <c r="D524" s="6">
        <v>61.44</v>
      </c>
      <c r="E524" s="4">
        <v>55.12</v>
      </c>
      <c r="F524" s="4">
        <v>58.2</v>
      </c>
      <c r="G524" s="4">
        <v>58.06</v>
      </c>
      <c r="H524" s="4">
        <v>43.97</v>
      </c>
      <c r="I524" s="4">
        <v>59.45</v>
      </c>
      <c r="J524" s="4">
        <v>58.64</v>
      </c>
      <c r="K524" s="4">
        <v>42.58</v>
      </c>
      <c r="L524" s="6">
        <v>65.28</v>
      </c>
    </row>
    <row r="525" spans="1:12" ht="15" customHeight="1" x14ac:dyDescent="0.45">
      <c r="A525" s="3">
        <v>45498</v>
      </c>
      <c r="B525" s="4">
        <v>34.659999999999997</v>
      </c>
      <c r="C525" s="4">
        <v>56.4</v>
      </c>
      <c r="D525" s="4">
        <v>58.61</v>
      </c>
      <c r="E525" s="4">
        <v>53.78</v>
      </c>
      <c r="F525" s="4">
        <v>50.47</v>
      </c>
      <c r="G525" s="4">
        <v>51.38</v>
      </c>
      <c r="H525" s="4">
        <v>39.51</v>
      </c>
      <c r="I525" s="4">
        <v>52.14</v>
      </c>
      <c r="J525" s="4">
        <v>54.31</v>
      </c>
      <c r="K525" s="4">
        <v>31.85</v>
      </c>
      <c r="L525" s="4">
        <v>58.75</v>
      </c>
    </row>
    <row r="526" spans="1:12" ht="15" customHeight="1" x14ac:dyDescent="0.45">
      <c r="A526" s="3">
        <v>45497</v>
      </c>
      <c r="B526" s="4">
        <v>36.78</v>
      </c>
      <c r="C526" s="4">
        <v>54.58</v>
      </c>
      <c r="D526" s="6">
        <v>62.42</v>
      </c>
      <c r="E526" s="4">
        <v>45.61</v>
      </c>
      <c r="F526" s="4">
        <v>48.97</v>
      </c>
      <c r="G526" s="4">
        <v>47.77</v>
      </c>
      <c r="H526" s="4">
        <v>40.56</v>
      </c>
      <c r="I526" s="4">
        <v>53.16</v>
      </c>
      <c r="J526" s="4">
        <v>59.24</v>
      </c>
      <c r="K526" s="4">
        <v>35.71</v>
      </c>
      <c r="L526" s="6">
        <v>62.32</v>
      </c>
    </row>
    <row r="527" spans="1:12" ht="15" customHeight="1" x14ac:dyDescent="0.45">
      <c r="A527" s="3">
        <v>45496</v>
      </c>
      <c r="B527" s="4">
        <v>47.75</v>
      </c>
      <c r="C527" s="6">
        <v>63.64</v>
      </c>
      <c r="D527" s="4">
        <v>58.25</v>
      </c>
      <c r="E527" s="4">
        <v>45.56</v>
      </c>
      <c r="F527" s="4">
        <v>56.28</v>
      </c>
      <c r="G527" s="4">
        <v>58.88</v>
      </c>
      <c r="H527" s="4">
        <v>55.53</v>
      </c>
      <c r="I527" s="4">
        <v>53.91</v>
      </c>
      <c r="J527" s="4">
        <v>54.06</v>
      </c>
      <c r="K527" s="4">
        <v>48.36</v>
      </c>
      <c r="L527" s="5">
        <v>72.790000000000006</v>
      </c>
    </row>
    <row r="528" spans="1:12" ht="15" customHeight="1" x14ac:dyDescent="0.45">
      <c r="A528" s="3">
        <v>45495</v>
      </c>
      <c r="B528" s="4">
        <v>49.06</v>
      </c>
      <c r="C528" s="6">
        <v>62.86</v>
      </c>
      <c r="D528" s="4">
        <v>58.69</v>
      </c>
      <c r="E528" s="4">
        <v>53.14</v>
      </c>
      <c r="F528" s="4">
        <v>54.31</v>
      </c>
      <c r="G528" s="6">
        <v>60.02</v>
      </c>
      <c r="H528" s="4">
        <v>57.7</v>
      </c>
      <c r="I528" s="4">
        <v>56.92</v>
      </c>
      <c r="J528" s="4">
        <v>57.86</v>
      </c>
      <c r="K528" s="4">
        <v>49.23</v>
      </c>
      <c r="L528" s="5">
        <v>74.239999999999995</v>
      </c>
    </row>
    <row r="529" spans="1:12" ht="15" customHeight="1" x14ac:dyDescent="0.45">
      <c r="A529" s="3">
        <v>45492</v>
      </c>
      <c r="B529" s="4">
        <v>40.200000000000003</v>
      </c>
      <c r="C529" s="6">
        <v>60.51</v>
      </c>
      <c r="D529" s="4">
        <v>55.77</v>
      </c>
      <c r="E529" s="4">
        <v>56.61</v>
      </c>
      <c r="F529" s="4">
        <v>52.67</v>
      </c>
      <c r="G529" s="4">
        <v>55.79</v>
      </c>
      <c r="H529" s="4">
        <v>53.59</v>
      </c>
      <c r="I529" s="4">
        <v>56.52</v>
      </c>
      <c r="J529" s="4">
        <v>53.82</v>
      </c>
      <c r="K529" s="4">
        <v>46.55</v>
      </c>
      <c r="L529" s="5">
        <v>71.2</v>
      </c>
    </row>
    <row r="530" spans="1:12" ht="15" customHeight="1" x14ac:dyDescent="0.45">
      <c r="A530" s="3">
        <v>45491</v>
      </c>
      <c r="B530" s="4">
        <v>45.09</v>
      </c>
      <c r="C530" s="6">
        <v>67.8</v>
      </c>
      <c r="D530" s="4">
        <v>53.05</v>
      </c>
      <c r="E530" s="6">
        <v>63.38</v>
      </c>
      <c r="F530" s="4">
        <v>57.89</v>
      </c>
      <c r="G530" s="4">
        <v>58.94</v>
      </c>
      <c r="H530" s="4">
        <v>57.85</v>
      </c>
      <c r="I530" s="4">
        <v>59.19</v>
      </c>
      <c r="J530" s="4">
        <v>53.25</v>
      </c>
      <c r="K530" s="4">
        <v>49.09</v>
      </c>
      <c r="L530" s="5">
        <v>72.19</v>
      </c>
    </row>
    <row r="531" spans="1:12" ht="15" customHeight="1" x14ac:dyDescent="0.45">
      <c r="A531" s="3">
        <v>45490</v>
      </c>
      <c r="B531" s="4">
        <v>45.05</v>
      </c>
      <c r="C531" s="5">
        <v>78.36</v>
      </c>
      <c r="D531" s="5">
        <v>71.709999999999994</v>
      </c>
      <c r="E531" s="6">
        <v>62.69</v>
      </c>
      <c r="F531" s="6">
        <v>64.569999999999993</v>
      </c>
      <c r="G531" s="6">
        <v>63.73</v>
      </c>
      <c r="H531" s="6">
        <v>63.24</v>
      </c>
      <c r="I531" s="6">
        <v>63.36</v>
      </c>
      <c r="J531" s="4">
        <v>53.71</v>
      </c>
      <c r="K531" s="4">
        <v>49.42</v>
      </c>
      <c r="L531" s="5">
        <v>79.12</v>
      </c>
    </row>
    <row r="532" spans="1:12" ht="15" customHeight="1" x14ac:dyDescent="0.45">
      <c r="A532" s="3">
        <v>45489</v>
      </c>
      <c r="B532" s="6">
        <v>61.84</v>
      </c>
      <c r="C532" s="5">
        <v>76.22</v>
      </c>
      <c r="D532" s="6">
        <v>69.739999999999995</v>
      </c>
      <c r="E532" s="4">
        <v>58.78</v>
      </c>
      <c r="F532" s="6">
        <v>66.05</v>
      </c>
      <c r="G532" s="5">
        <v>72.849999999999994</v>
      </c>
      <c r="H532" s="5">
        <v>73.88</v>
      </c>
      <c r="I532" s="4">
        <v>55.98</v>
      </c>
      <c r="J532" s="4">
        <v>53.46</v>
      </c>
      <c r="K532" s="4">
        <v>59.08</v>
      </c>
      <c r="L532" s="5">
        <v>76.94</v>
      </c>
    </row>
    <row r="533" spans="1:12" ht="15" customHeight="1" x14ac:dyDescent="0.45">
      <c r="A533" s="3">
        <v>45488</v>
      </c>
      <c r="B533" s="6">
        <v>63.73</v>
      </c>
      <c r="C533" s="5">
        <v>72.47</v>
      </c>
      <c r="D533" s="6">
        <v>62.18</v>
      </c>
      <c r="E533" s="4">
        <v>56.92</v>
      </c>
      <c r="F533" s="4">
        <v>57.79</v>
      </c>
      <c r="G533" s="6">
        <v>63.67</v>
      </c>
      <c r="H533" s="6">
        <v>68.72</v>
      </c>
      <c r="I533" s="4">
        <v>48.9</v>
      </c>
      <c r="J533" s="4">
        <v>50.12</v>
      </c>
      <c r="K533" s="4">
        <v>57.73</v>
      </c>
      <c r="L533" s="5">
        <v>74.319999999999993</v>
      </c>
    </row>
    <row r="534" spans="1:12" ht="15" customHeight="1" x14ac:dyDescent="0.45">
      <c r="A534" s="3">
        <v>45485</v>
      </c>
      <c r="B534" s="6">
        <v>63.17</v>
      </c>
      <c r="C534" s="6">
        <v>66.19</v>
      </c>
      <c r="D534" s="6">
        <v>65.95</v>
      </c>
      <c r="E534" s="4">
        <v>49.88</v>
      </c>
      <c r="F534" s="4">
        <v>59.56</v>
      </c>
      <c r="G534" s="6">
        <v>60.1</v>
      </c>
      <c r="H534" s="6">
        <v>69.540000000000006</v>
      </c>
      <c r="I534" s="4">
        <v>53.78</v>
      </c>
      <c r="J534" s="6">
        <v>63.75</v>
      </c>
      <c r="K534" s="4">
        <v>55.92</v>
      </c>
      <c r="L534" s="5">
        <v>73.040000000000006</v>
      </c>
    </row>
    <row r="535" spans="1:12" ht="15" customHeight="1" x14ac:dyDescent="0.45">
      <c r="A535" s="3">
        <v>45484</v>
      </c>
      <c r="B535" s="6">
        <v>60.35</v>
      </c>
      <c r="C535" s="6">
        <v>64.489999999999995</v>
      </c>
      <c r="D535" s="6">
        <v>62.18</v>
      </c>
      <c r="E535" s="4">
        <v>48.57</v>
      </c>
      <c r="F535" s="4">
        <v>54.75</v>
      </c>
      <c r="G535" s="4">
        <v>56.96</v>
      </c>
      <c r="H535" s="6">
        <v>65.22</v>
      </c>
      <c r="I535" s="4">
        <v>50.3</v>
      </c>
      <c r="J535" s="6">
        <v>60.77</v>
      </c>
      <c r="K535" s="4">
        <v>58.01</v>
      </c>
      <c r="L535" s="5">
        <v>70.739999999999995</v>
      </c>
    </row>
    <row r="536" spans="1:12" ht="15" customHeight="1" x14ac:dyDescent="0.45">
      <c r="A536" s="3">
        <v>45483</v>
      </c>
      <c r="B536" s="5">
        <v>75.87</v>
      </c>
      <c r="C536" s="6">
        <v>60.11</v>
      </c>
      <c r="D536" s="4">
        <v>57.26</v>
      </c>
      <c r="E536" s="4">
        <v>42.98</v>
      </c>
      <c r="F536" s="4">
        <v>46.42</v>
      </c>
      <c r="G536" s="4">
        <v>48.81</v>
      </c>
      <c r="H536" s="5">
        <v>74.92</v>
      </c>
      <c r="I536" s="4">
        <v>53.49</v>
      </c>
      <c r="J536" s="4">
        <v>51.79</v>
      </c>
      <c r="K536" s="6">
        <v>68.14</v>
      </c>
      <c r="L536" s="4">
        <v>59.28</v>
      </c>
    </row>
    <row r="537" spans="1:12" ht="15" customHeight="1" x14ac:dyDescent="0.45">
      <c r="A537" s="3">
        <v>45482</v>
      </c>
      <c r="B537" s="5">
        <v>72.06</v>
      </c>
      <c r="C537" s="4">
        <v>57.77</v>
      </c>
      <c r="D537" s="4">
        <v>49.08</v>
      </c>
      <c r="E537" s="4">
        <v>39</v>
      </c>
      <c r="F537" s="4">
        <v>35.82</v>
      </c>
      <c r="G537" s="4">
        <v>41.66</v>
      </c>
      <c r="H537" s="5">
        <v>72.7</v>
      </c>
      <c r="I537" s="4">
        <v>50.04</v>
      </c>
      <c r="J537" s="4">
        <v>45.9</v>
      </c>
      <c r="K537" s="6">
        <v>65.58</v>
      </c>
      <c r="L537" s="4">
        <v>54.99</v>
      </c>
    </row>
    <row r="538" spans="1:12" ht="15" customHeight="1" x14ac:dyDescent="0.45">
      <c r="A538" s="3">
        <v>45481</v>
      </c>
      <c r="B538" s="5">
        <v>72.650000000000006</v>
      </c>
      <c r="C538" s="4">
        <v>52.59</v>
      </c>
      <c r="D538" s="4">
        <v>43.99</v>
      </c>
      <c r="E538" s="4">
        <v>42.64</v>
      </c>
      <c r="F538" s="4">
        <v>41.72</v>
      </c>
      <c r="G538" s="4">
        <v>44.49</v>
      </c>
      <c r="H538" s="5">
        <v>71.680000000000007</v>
      </c>
      <c r="I538" s="4">
        <v>52.16</v>
      </c>
      <c r="J538" s="4">
        <v>43.95</v>
      </c>
      <c r="K538" s="6">
        <v>64.27</v>
      </c>
      <c r="L538" s="4">
        <v>54.82</v>
      </c>
    </row>
    <row r="539" spans="1:12" ht="15" customHeight="1" x14ac:dyDescent="0.45">
      <c r="A539" s="3">
        <v>45478</v>
      </c>
      <c r="B539" s="5">
        <v>70.77</v>
      </c>
      <c r="C539" s="4">
        <v>54.73</v>
      </c>
      <c r="D539" s="4">
        <v>44.94</v>
      </c>
      <c r="E539" s="4">
        <v>45.37</v>
      </c>
      <c r="F539" s="4">
        <v>39.03</v>
      </c>
      <c r="G539" s="4">
        <v>43.48</v>
      </c>
      <c r="H539" s="5">
        <v>71.53</v>
      </c>
      <c r="I539" s="4">
        <v>53.41</v>
      </c>
      <c r="J539" s="4">
        <v>43.28</v>
      </c>
      <c r="K539" s="5">
        <v>71.680000000000007</v>
      </c>
      <c r="L539" s="4">
        <v>53.41</v>
      </c>
    </row>
    <row r="540" spans="1:12" ht="15" customHeight="1" x14ac:dyDescent="0.45">
      <c r="A540" s="3">
        <v>45477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5" customHeight="1" x14ac:dyDescent="0.45">
      <c r="A541" s="3">
        <v>45476</v>
      </c>
      <c r="B541" s="6">
        <v>69.92</v>
      </c>
      <c r="C541" s="4">
        <v>54.92</v>
      </c>
      <c r="D541" s="4">
        <v>36.01</v>
      </c>
      <c r="E541" s="4">
        <v>53.67</v>
      </c>
      <c r="F541" s="4">
        <v>37.590000000000003</v>
      </c>
      <c r="G541" s="4">
        <v>45.75</v>
      </c>
      <c r="H541" s="6">
        <v>69.09</v>
      </c>
      <c r="I541" s="4">
        <v>43.51</v>
      </c>
      <c r="J541" s="4">
        <v>42.19</v>
      </c>
      <c r="K541" s="6">
        <v>63.4</v>
      </c>
      <c r="L541" s="4">
        <v>51.2</v>
      </c>
    </row>
    <row r="542" spans="1:12" ht="15" customHeight="1" x14ac:dyDescent="0.45">
      <c r="A542" s="3">
        <v>45475</v>
      </c>
      <c r="B542" s="6">
        <v>65.88</v>
      </c>
      <c r="C542" s="4">
        <v>57.31</v>
      </c>
      <c r="D542" s="4">
        <v>42.33</v>
      </c>
      <c r="E542" s="4">
        <v>51.36</v>
      </c>
      <c r="F542" s="4">
        <v>30.5</v>
      </c>
      <c r="G542" s="4">
        <v>42.99</v>
      </c>
      <c r="H542" s="6">
        <v>67.05</v>
      </c>
      <c r="I542" s="4">
        <v>44.73</v>
      </c>
      <c r="J542" s="4">
        <v>38.42</v>
      </c>
      <c r="K542" s="6">
        <v>63.22</v>
      </c>
      <c r="L542" s="4">
        <v>51.85</v>
      </c>
    </row>
    <row r="543" spans="1:12" ht="15" customHeight="1" x14ac:dyDescent="0.45">
      <c r="A543" s="3">
        <v>45474</v>
      </c>
      <c r="B543" s="6">
        <v>64.23</v>
      </c>
      <c r="C543" s="4">
        <v>49.83</v>
      </c>
      <c r="D543" s="4">
        <v>45.93</v>
      </c>
      <c r="E543" s="4">
        <v>51.78</v>
      </c>
      <c r="F543" s="7">
        <v>28.65</v>
      </c>
      <c r="G543" s="4">
        <v>38.64</v>
      </c>
      <c r="H543" s="4">
        <v>59.65</v>
      </c>
      <c r="I543" s="4">
        <v>38.159999999999997</v>
      </c>
      <c r="J543" s="4">
        <v>35.07</v>
      </c>
      <c r="K543" s="4">
        <v>58.44</v>
      </c>
      <c r="L543" s="4">
        <v>49.45</v>
      </c>
    </row>
    <row r="544" spans="1:12" ht="15" customHeight="1" x14ac:dyDescent="0.45">
      <c r="A544" s="3">
        <v>45471</v>
      </c>
      <c r="B544" s="6">
        <v>61.65</v>
      </c>
      <c r="C544" s="4">
        <v>48.25</v>
      </c>
      <c r="D544" s="4">
        <v>52.34</v>
      </c>
      <c r="E544" s="4">
        <v>51.52</v>
      </c>
      <c r="F544" s="4">
        <v>36.28</v>
      </c>
      <c r="G544" s="4">
        <v>44.96</v>
      </c>
      <c r="H544" s="4">
        <v>58.13</v>
      </c>
      <c r="I544" s="4">
        <v>43</v>
      </c>
      <c r="J544" s="4">
        <v>37.619999999999997</v>
      </c>
      <c r="K544" s="6">
        <v>61.99</v>
      </c>
      <c r="L544" s="4">
        <v>55.36</v>
      </c>
    </row>
    <row r="545" spans="1:12" ht="15" customHeight="1" x14ac:dyDescent="0.45">
      <c r="A545" s="3">
        <v>45470</v>
      </c>
      <c r="B545" s="6">
        <v>61.94</v>
      </c>
      <c r="C545" s="4">
        <v>45.79</v>
      </c>
      <c r="D545" s="4">
        <v>53.35</v>
      </c>
      <c r="E545" s="4">
        <v>49.74</v>
      </c>
      <c r="F545" s="4">
        <v>36.479999999999997</v>
      </c>
      <c r="G545" s="4">
        <v>44.64</v>
      </c>
      <c r="H545" s="6">
        <v>65.739999999999995</v>
      </c>
      <c r="I545" s="4">
        <v>46.44</v>
      </c>
      <c r="J545" s="4">
        <v>42.31</v>
      </c>
      <c r="K545" s="5">
        <v>70.739999999999995</v>
      </c>
      <c r="L545" s="4">
        <v>50.79</v>
      </c>
    </row>
    <row r="546" spans="1:12" ht="15" customHeight="1" x14ac:dyDescent="0.45">
      <c r="A546" s="3">
        <v>45469</v>
      </c>
      <c r="B546" s="6">
        <v>61.79</v>
      </c>
      <c r="C546" s="4">
        <v>46.52</v>
      </c>
      <c r="D546" s="4">
        <v>55.34</v>
      </c>
      <c r="E546" s="4">
        <v>48.68</v>
      </c>
      <c r="F546" s="4">
        <v>38.090000000000003</v>
      </c>
      <c r="G546" s="4">
        <v>43.85</v>
      </c>
      <c r="H546" s="6">
        <v>63.3</v>
      </c>
      <c r="I546" s="4">
        <v>50.05</v>
      </c>
      <c r="J546" s="4">
        <v>41.25</v>
      </c>
      <c r="K546" s="6">
        <v>68.150000000000006</v>
      </c>
      <c r="L546" s="4">
        <v>45.05</v>
      </c>
    </row>
    <row r="547" spans="1:12" ht="15" customHeight="1" x14ac:dyDescent="0.45">
      <c r="A547" s="3">
        <v>45468</v>
      </c>
      <c r="B547" s="6">
        <v>62.34</v>
      </c>
      <c r="C547" s="4">
        <v>50.42</v>
      </c>
      <c r="D547" s="4">
        <v>59.82</v>
      </c>
      <c r="E547" s="4">
        <v>53.1</v>
      </c>
      <c r="F547" s="4">
        <v>38.47</v>
      </c>
      <c r="G547" s="4">
        <v>45.38</v>
      </c>
      <c r="H547" s="4">
        <v>56.6</v>
      </c>
      <c r="I547" s="4">
        <v>51.86</v>
      </c>
      <c r="J547" s="4">
        <v>43.03</v>
      </c>
      <c r="K547" s="6">
        <v>68.099999999999994</v>
      </c>
      <c r="L547" s="4">
        <v>45.78</v>
      </c>
    </row>
    <row r="548" spans="1:12" ht="15" customHeight="1" x14ac:dyDescent="0.45">
      <c r="A548" s="3">
        <v>45467</v>
      </c>
      <c r="B548" s="4">
        <v>56.71</v>
      </c>
      <c r="C548" s="4">
        <v>55.59</v>
      </c>
      <c r="D548" s="6">
        <v>64.08</v>
      </c>
      <c r="E548" s="4">
        <v>52.16</v>
      </c>
      <c r="F548" s="4">
        <v>46.68</v>
      </c>
      <c r="G548" s="4">
        <v>50.58</v>
      </c>
      <c r="H548" s="4">
        <v>59.41</v>
      </c>
      <c r="I548" s="4">
        <v>57.96</v>
      </c>
      <c r="J548" s="4">
        <v>47.33</v>
      </c>
      <c r="K548" s="6">
        <v>62.54</v>
      </c>
      <c r="L548" s="4">
        <v>54.65</v>
      </c>
    </row>
    <row r="549" spans="1:12" ht="15" customHeight="1" x14ac:dyDescent="0.45">
      <c r="A549" s="3">
        <v>45464</v>
      </c>
      <c r="B549" s="5">
        <v>71.23</v>
      </c>
      <c r="C549" s="4">
        <v>51.74</v>
      </c>
      <c r="D549" s="6">
        <v>62.57</v>
      </c>
      <c r="E549" s="4">
        <v>44.65</v>
      </c>
      <c r="F549" s="4">
        <v>45.25</v>
      </c>
      <c r="G549" s="4">
        <v>50.08</v>
      </c>
      <c r="H549" s="6">
        <v>64.14</v>
      </c>
      <c r="I549" s="4">
        <v>55.63</v>
      </c>
      <c r="J549" s="4">
        <v>44.6</v>
      </c>
      <c r="K549" s="6">
        <v>62.16</v>
      </c>
      <c r="L549" s="4">
        <v>57.12</v>
      </c>
    </row>
    <row r="550" spans="1:12" ht="15" customHeight="1" x14ac:dyDescent="0.45">
      <c r="A550" s="3">
        <v>45463</v>
      </c>
      <c r="B550" s="5">
        <v>72.38</v>
      </c>
      <c r="C550" s="4">
        <v>54.44</v>
      </c>
      <c r="D550" s="6">
        <v>60.31</v>
      </c>
      <c r="E550" s="4">
        <v>46.98</v>
      </c>
      <c r="F550" s="4">
        <v>45.16</v>
      </c>
      <c r="G550" s="4">
        <v>51.35</v>
      </c>
      <c r="H550" s="6">
        <v>60.3</v>
      </c>
      <c r="I550" s="4">
        <v>55.06</v>
      </c>
      <c r="J550" s="4">
        <v>47.26</v>
      </c>
      <c r="K550" s="4">
        <v>58.52</v>
      </c>
      <c r="L550" s="4">
        <v>55.69</v>
      </c>
    </row>
    <row r="551" spans="1:12" ht="15" customHeight="1" x14ac:dyDescent="0.45">
      <c r="A551" s="3">
        <v>45462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5" customHeight="1" x14ac:dyDescent="0.45">
      <c r="A552" s="3">
        <v>45461</v>
      </c>
      <c r="B552" s="5">
        <v>80.180000000000007</v>
      </c>
      <c r="C552" s="4">
        <v>51.19</v>
      </c>
      <c r="D552" s="4">
        <v>57.51</v>
      </c>
      <c r="E552" s="4">
        <v>37.5</v>
      </c>
      <c r="F552" s="4">
        <v>44.39</v>
      </c>
      <c r="G552" s="4">
        <v>50.99</v>
      </c>
      <c r="H552" s="4">
        <v>59.7</v>
      </c>
      <c r="I552" s="4">
        <v>57.01</v>
      </c>
      <c r="J552" s="4">
        <v>42.61</v>
      </c>
      <c r="K552" s="4">
        <v>55.94</v>
      </c>
      <c r="L552" s="4">
        <v>57.47</v>
      </c>
    </row>
    <row r="553" spans="1:12" ht="15" customHeight="1" x14ac:dyDescent="0.45">
      <c r="A553" s="3">
        <v>45460</v>
      </c>
      <c r="B553" s="5">
        <v>79.959999999999994</v>
      </c>
      <c r="C553" s="4">
        <v>47.04</v>
      </c>
      <c r="D553" s="4">
        <v>56.39</v>
      </c>
      <c r="E553" s="4">
        <v>35.049999999999997</v>
      </c>
      <c r="F553" s="4">
        <v>45.04</v>
      </c>
      <c r="G553" s="4">
        <v>48.09</v>
      </c>
      <c r="H553" s="6">
        <v>62.02</v>
      </c>
      <c r="I553" s="4">
        <v>56.16</v>
      </c>
      <c r="J553" s="4">
        <v>42.37</v>
      </c>
      <c r="K553" s="6">
        <v>60.81</v>
      </c>
      <c r="L553" s="4">
        <v>55.48</v>
      </c>
    </row>
    <row r="554" spans="1:12" ht="15" customHeight="1" x14ac:dyDescent="0.45">
      <c r="A554" s="3">
        <v>45457</v>
      </c>
      <c r="B554" s="5">
        <v>77.099999999999994</v>
      </c>
      <c r="C554" s="4">
        <v>40.56</v>
      </c>
      <c r="D554" s="4">
        <v>57.5</v>
      </c>
      <c r="E554" s="4">
        <v>33.549999999999997</v>
      </c>
      <c r="F554" s="4">
        <v>39.590000000000003</v>
      </c>
      <c r="G554" s="4">
        <v>41.56</v>
      </c>
      <c r="H554" s="4">
        <v>53.39</v>
      </c>
      <c r="I554" s="4">
        <v>49.39</v>
      </c>
      <c r="J554" s="4">
        <v>46.98</v>
      </c>
      <c r="K554" s="4">
        <v>58.1</v>
      </c>
      <c r="L554" s="4">
        <v>58.89</v>
      </c>
    </row>
    <row r="555" spans="1:12" ht="15" customHeight="1" x14ac:dyDescent="0.45">
      <c r="A555" s="3">
        <v>45456</v>
      </c>
      <c r="B555" s="5">
        <v>76.33</v>
      </c>
      <c r="C555" s="4">
        <v>42.29</v>
      </c>
      <c r="D555" s="4">
        <v>57.86</v>
      </c>
      <c r="E555" s="4">
        <v>35.75</v>
      </c>
      <c r="F555" s="4">
        <v>44.78</v>
      </c>
      <c r="G555" s="4">
        <v>46.55</v>
      </c>
      <c r="H555" s="4">
        <v>59.04</v>
      </c>
      <c r="I555" s="4">
        <v>47.96</v>
      </c>
      <c r="J555" s="4">
        <v>48.05</v>
      </c>
      <c r="K555" s="4">
        <v>56.2</v>
      </c>
      <c r="L555" s="4">
        <v>58.53</v>
      </c>
    </row>
    <row r="556" spans="1:12" ht="15" customHeight="1" x14ac:dyDescent="0.45">
      <c r="A556" s="3">
        <v>45455</v>
      </c>
      <c r="B556" s="5">
        <v>74.67</v>
      </c>
      <c r="C556" s="4">
        <v>42.69</v>
      </c>
      <c r="D556" s="4">
        <v>58.67</v>
      </c>
      <c r="E556" s="4">
        <v>38.68</v>
      </c>
      <c r="F556" s="4">
        <v>44.98</v>
      </c>
      <c r="G556" s="4">
        <v>50.14</v>
      </c>
      <c r="H556" s="4">
        <v>58.64</v>
      </c>
      <c r="I556" s="4">
        <v>46.97</v>
      </c>
      <c r="J556" s="4">
        <v>46.99</v>
      </c>
      <c r="K556" s="6">
        <v>63.42</v>
      </c>
      <c r="L556" s="4">
        <v>56.32</v>
      </c>
    </row>
    <row r="557" spans="1:12" ht="15" customHeight="1" x14ac:dyDescent="0.45">
      <c r="A557" s="3">
        <v>45454</v>
      </c>
      <c r="B557" s="6">
        <v>69.17</v>
      </c>
      <c r="C557" s="4">
        <v>43.18</v>
      </c>
      <c r="D557" s="6">
        <v>60.7</v>
      </c>
      <c r="E557" s="4">
        <v>42.51</v>
      </c>
      <c r="F557" s="4">
        <v>43.67</v>
      </c>
      <c r="G557" s="4">
        <v>44.28</v>
      </c>
      <c r="H557" s="4">
        <v>53</v>
      </c>
      <c r="I557" s="4">
        <v>55.31</v>
      </c>
      <c r="J557" s="4">
        <v>49.69</v>
      </c>
      <c r="K557" s="6">
        <v>65.34</v>
      </c>
      <c r="L557" s="4">
        <v>53.01</v>
      </c>
    </row>
    <row r="558" spans="1:12" ht="15" customHeight="1" x14ac:dyDescent="0.45">
      <c r="A558" s="3">
        <v>45453</v>
      </c>
      <c r="B558" s="6">
        <v>63.02</v>
      </c>
      <c r="C558" s="4">
        <v>49.44</v>
      </c>
      <c r="D558" s="6">
        <v>64.81</v>
      </c>
      <c r="E558" s="4">
        <v>43.25</v>
      </c>
      <c r="F558" s="4">
        <v>43.84</v>
      </c>
      <c r="G558" s="4">
        <v>47.4</v>
      </c>
      <c r="H558" s="4">
        <v>54.76</v>
      </c>
      <c r="I558" s="4">
        <v>55.74</v>
      </c>
      <c r="J558" s="4">
        <v>52.29</v>
      </c>
      <c r="K558" s="6">
        <v>64.45</v>
      </c>
      <c r="L558" s="4">
        <v>54.72</v>
      </c>
    </row>
    <row r="559" spans="1:12" ht="15" customHeight="1" x14ac:dyDescent="0.45">
      <c r="A559" s="3">
        <v>45450</v>
      </c>
      <c r="B559" s="6">
        <v>62.06</v>
      </c>
      <c r="C559" s="4">
        <v>51.82</v>
      </c>
      <c r="D559" s="6">
        <v>62.74</v>
      </c>
      <c r="E559" s="4">
        <v>39.57</v>
      </c>
      <c r="F559" s="4">
        <v>44.32</v>
      </c>
      <c r="G559" s="4">
        <v>45.47</v>
      </c>
      <c r="H559" s="4">
        <v>53</v>
      </c>
      <c r="I559" s="4">
        <v>56.35</v>
      </c>
      <c r="J559" s="4">
        <v>46.88</v>
      </c>
      <c r="K559" s="6">
        <v>63.3</v>
      </c>
      <c r="L559" s="4">
        <v>52.47</v>
      </c>
    </row>
    <row r="560" spans="1:12" ht="15" customHeight="1" x14ac:dyDescent="0.45">
      <c r="A560" s="3">
        <v>45449</v>
      </c>
      <c r="B560" s="6">
        <v>61.21</v>
      </c>
      <c r="C560" s="4">
        <v>49.12</v>
      </c>
      <c r="D560" s="6">
        <v>62.12</v>
      </c>
      <c r="E560" s="4">
        <v>40.869999999999997</v>
      </c>
      <c r="F560" s="4">
        <v>49.44</v>
      </c>
      <c r="G560" s="4">
        <v>44.82</v>
      </c>
      <c r="H560" s="4">
        <v>55.57</v>
      </c>
      <c r="I560" s="6">
        <v>60.37</v>
      </c>
      <c r="J560" s="4">
        <v>51.52</v>
      </c>
      <c r="K560" s="6">
        <v>69.010000000000005</v>
      </c>
      <c r="L560" s="4">
        <v>56.6</v>
      </c>
    </row>
    <row r="561" spans="1:12" ht="15" customHeight="1" x14ac:dyDescent="0.45">
      <c r="A561" s="3">
        <v>45448</v>
      </c>
      <c r="B561" s="6">
        <v>63.1</v>
      </c>
      <c r="C561" s="4">
        <v>49.39</v>
      </c>
      <c r="D561" s="6">
        <v>60.3</v>
      </c>
      <c r="E561" s="4">
        <v>38.42</v>
      </c>
      <c r="F561" s="4">
        <v>48.84</v>
      </c>
      <c r="G561" s="4">
        <v>47.77</v>
      </c>
      <c r="H561" s="4">
        <v>51.73</v>
      </c>
      <c r="I561" s="4">
        <v>58.69</v>
      </c>
      <c r="J561" s="4">
        <v>56.52</v>
      </c>
      <c r="K561" s="6">
        <v>68.78</v>
      </c>
      <c r="L561" s="4">
        <v>55.95</v>
      </c>
    </row>
    <row r="562" spans="1:12" ht="15" customHeight="1" x14ac:dyDescent="0.45">
      <c r="A562" s="3">
        <v>45447</v>
      </c>
      <c r="B562" s="4">
        <v>54.61</v>
      </c>
      <c r="C562" s="4">
        <v>47.79</v>
      </c>
      <c r="D562" s="4">
        <v>57.71</v>
      </c>
      <c r="E562" s="4">
        <v>38.450000000000003</v>
      </c>
      <c r="F562" s="4">
        <v>45.07</v>
      </c>
      <c r="G562" s="4">
        <v>41.78</v>
      </c>
      <c r="H562" s="4">
        <v>48.43</v>
      </c>
      <c r="I562" s="6">
        <v>60.37</v>
      </c>
      <c r="J562" s="4">
        <v>59.48</v>
      </c>
      <c r="K562" s="6">
        <v>63.8</v>
      </c>
      <c r="L562" s="4">
        <v>56.6</v>
      </c>
    </row>
    <row r="563" spans="1:12" ht="15" customHeight="1" x14ac:dyDescent="0.45">
      <c r="A563" s="3">
        <v>45446</v>
      </c>
      <c r="B563" s="4">
        <v>53.68</v>
      </c>
      <c r="C563" s="4">
        <v>50.12</v>
      </c>
      <c r="D563" s="4">
        <v>56.01</v>
      </c>
      <c r="E563" s="4">
        <v>41.18</v>
      </c>
      <c r="F563" s="4">
        <v>50.72</v>
      </c>
      <c r="G563" s="4">
        <v>42.89</v>
      </c>
      <c r="H563" s="4">
        <v>47.85</v>
      </c>
      <c r="I563" s="4">
        <v>55.72</v>
      </c>
      <c r="J563" s="4">
        <v>59.7</v>
      </c>
      <c r="K563" s="6">
        <v>62.03</v>
      </c>
      <c r="L563" s="4">
        <v>52.95</v>
      </c>
    </row>
    <row r="564" spans="1:12" ht="15" customHeight="1" x14ac:dyDescent="0.45">
      <c r="A564" s="3">
        <v>45443</v>
      </c>
      <c r="B564" s="4">
        <v>52.6</v>
      </c>
      <c r="C564" s="4">
        <v>53.43</v>
      </c>
      <c r="D564" s="4">
        <v>51.67</v>
      </c>
      <c r="E564" s="4">
        <v>50.54</v>
      </c>
      <c r="F564" s="4">
        <v>54.09</v>
      </c>
      <c r="G564" s="4">
        <v>49</v>
      </c>
      <c r="H564" s="4">
        <v>48.07</v>
      </c>
      <c r="I564" s="4">
        <v>55.99</v>
      </c>
      <c r="J564" s="6">
        <v>65.739999999999995</v>
      </c>
      <c r="K564" s="6">
        <v>60.17</v>
      </c>
      <c r="L564" s="4">
        <v>54.73</v>
      </c>
    </row>
    <row r="565" spans="1:12" ht="15" customHeight="1" x14ac:dyDescent="0.45">
      <c r="A565" s="3">
        <v>45442</v>
      </c>
      <c r="B565" s="4">
        <v>51.95</v>
      </c>
      <c r="C565" s="4">
        <v>45.76</v>
      </c>
      <c r="D565" s="4">
        <v>40.5</v>
      </c>
      <c r="E565" s="4">
        <v>38.520000000000003</v>
      </c>
      <c r="F565" s="4">
        <v>47.56</v>
      </c>
      <c r="G565" s="4">
        <v>41.41</v>
      </c>
      <c r="H565" s="4">
        <v>45.16</v>
      </c>
      <c r="I565" s="4">
        <v>46.29</v>
      </c>
      <c r="J565" s="6">
        <v>60.04</v>
      </c>
      <c r="K565" s="4">
        <v>54.67</v>
      </c>
      <c r="L565" s="4">
        <v>46.47</v>
      </c>
    </row>
    <row r="566" spans="1:12" ht="15" customHeight="1" x14ac:dyDescent="0.45">
      <c r="A566" s="3">
        <v>45441</v>
      </c>
      <c r="B566" s="6">
        <v>64.08</v>
      </c>
      <c r="C566" s="4">
        <v>42.54</v>
      </c>
      <c r="D566" s="4">
        <v>40.07</v>
      </c>
      <c r="E566" s="4">
        <v>36.880000000000003</v>
      </c>
      <c r="F566" s="4">
        <v>42.47</v>
      </c>
      <c r="G566" s="4">
        <v>36.49</v>
      </c>
      <c r="H566" s="4">
        <v>42</v>
      </c>
      <c r="I566" s="4">
        <v>44.38</v>
      </c>
      <c r="J566" s="4">
        <v>54.76</v>
      </c>
      <c r="K566" s="4">
        <v>56.91</v>
      </c>
      <c r="L566" s="4">
        <v>39.08</v>
      </c>
    </row>
    <row r="567" spans="1:12" ht="15" customHeight="1" x14ac:dyDescent="0.45">
      <c r="A567" s="3">
        <v>45440</v>
      </c>
      <c r="B567" s="6">
        <v>68.209999999999994</v>
      </c>
      <c r="C567" s="4">
        <v>46.37</v>
      </c>
      <c r="D567" s="4">
        <v>44.9</v>
      </c>
      <c r="E567" s="4">
        <v>43.66</v>
      </c>
      <c r="F567" s="4">
        <v>50.59</v>
      </c>
      <c r="G567" s="4">
        <v>43.62</v>
      </c>
      <c r="H567" s="4">
        <v>44.67</v>
      </c>
      <c r="I567" s="4">
        <v>48.82</v>
      </c>
      <c r="J567" s="6">
        <v>62.14</v>
      </c>
      <c r="K567" s="6">
        <v>60.67</v>
      </c>
      <c r="L567" s="4">
        <v>42.7</v>
      </c>
    </row>
    <row r="568" spans="1:12" ht="15" customHeight="1" x14ac:dyDescent="0.45">
      <c r="A568" s="3">
        <v>45439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5" customHeight="1" x14ac:dyDescent="0.45">
      <c r="A569" s="3">
        <v>45436</v>
      </c>
      <c r="B569" s="6">
        <v>66.89</v>
      </c>
      <c r="C569" s="4">
        <v>52.5</v>
      </c>
      <c r="D569" s="4">
        <v>54.52</v>
      </c>
      <c r="E569" s="4">
        <v>37.51</v>
      </c>
      <c r="F569" s="4">
        <v>53.13</v>
      </c>
      <c r="G569" s="4">
        <v>51.84</v>
      </c>
      <c r="H569" s="4">
        <v>45.68</v>
      </c>
      <c r="I569" s="4">
        <v>54.33</v>
      </c>
      <c r="J569" s="6">
        <v>62.74</v>
      </c>
      <c r="K569" s="4">
        <v>59.89</v>
      </c>
      <c r="L569" s="4">
        <v>45.13</v>
      </c>
    </row>
    <row r="570" spans="1:12" ht="15" customHeight="1" x14ac:dyDescent="0.45">
      <c r="A570" s="3">
        <v>45435</v>
      </c>
      <c r="B570" s="6">
        <v>64.16</v>
      </c>
      <c r="C570" s="4">
        <v>49.11</v>
      </c>
      <c r="D570" s="4">
        <v>57.74</v>
      </c>
      <c r="E570" s="4">
        <v>36.630000000000003</v>
      </c>
      <c r="F570" s="4">
        <v>47.62</v>
      </c>
      <c r="G570" s="4">
        <v>48.07</v>
      </c>
      <c r="H570" s="4">
        <v>40.6</v>
      </c>
      <c r="I570" s="4">
        <v>52.67</v>
      </c>
      <c r="J570" s="4">
        <v>59.03</v>
      </c>
      <c r="K570" s="4">
        <v>53.43</v>
      </c>
      <c r="L570" s="4">
        <v>45.13</v>
      </c>
    </row>
    <row r="571" spans="1:12" ht="15" customHeight="1" x14ac:dyDescent="0.45">
      <c r="A571" s="3">
        <v>45434</v>
      </c>
      <c r="B571" s="6">
        <v>69.319999999999993</v>
      </c>
      <c r="C571" s="4">
        <v>58.05</v>
      </c>
      <c r="D571" s="5">
        <v>70.33</v>
      </c>
      <c r="E571" s="4">
        <v>40.04</v>
      </c>
      <c r="F571" s="4">
        <v>53.62</v>
      </c>
      <c r="G571" s="4">
        <v>57.96</v>
      </c>
      <c r="H571" s="4">
        <v>47.32</v>
      </c>
      <c r="I571" s="6">
        <v>62.3</v>
      </c>
      <c r="J571" s="5">
        <v>70.16</v>
      </c>
      <c r="K571" s="6">
        <v>61.69</v>
      </c>
      <c r="L571" s="4">
        <v>55.12</v>
      </c>
    </row>
    <row r="572" spans="1:12" ht="15" customHeight="1" x14ac:dyDescent="0.45">
      <c r="A572" s="3">
        <v>45433</v>
      </c>
      <c r="B572" s="6">
        <v>68.680000000000007</v>
      </c>
      <c r="C572" s="6">
        <v>62.41</v>
      </c>
      <c r="D572" s="6">
        <v>69.319999999999993</v>
      </c>
      <c r="E572" s="4">
        <v>49.15</v>
      </c>
      <c r="F572" s="6">
        <v>61.63</v>
      </c>
      <c r="G572" s="4">
        <v>57.13</v>
      </c>
      <c r="H572" s="4">
        <v>52.57</v>
      </c>
      <c r="I572" s="6">
        <v>66.08</v>
      </c>
      <c r="J572" s="5">
        <v>80.040000000000006</v>
      </c>
      <c r="K572" s="6">
        <v>61.09</v>
      </c>
      <c r="L572" s="6">
        <v>60.16</v>
      </c>
    </row>
    <row r="573" spans="1:12" ht="15" customHeight="1" x14ac:dyDescent="0.45">
      <c r="A573" s="3">
        <v>45432</v>
      </c>
      <c r="B573" s="6">
        <v>68.23</v>
      </c>
      <c r="C573" s="4">
        <v>59.21</v>
      </c>
      <c r="D573" s="6">
        <v>68.36</v>
      </c>
      <c r="E573" s="4">
        <v>51.96</v>
      </c>
      <c r="F573" s="6">
        <v>61.63</v>
      </c>
      <c r="G573" s="6">
        <v>60.14</v>
      </c>
      <c r="H573" s="4">
        <v>49.37</v>
      </c>
      <c r="I573" s="6">
        <v>62.99</v>
      </c>
      <c r="J573" s="5">
        <v>77.86</v>
      </c>
      <c r="K573" s="6">
        <v>62.07</v>
      </c>
      <c r="L573" s="6">
        <v>60.63</v>
      </c>
    </row>
    <row r="574" spans="1:12" ht="15" customHeight="1" x14ac:dyDescent="0.45">
      <c r="A574" s="3">
        <v>45429</v>
      </c>
      <c r="B574" s="6">
        <v>64.900000000000006</v>
      </c>
      <c r="C574" s="5">
        <v>71.33</v>
      </c>
      <c r="D574" s="5">
        <v>70.91</v>
      </c>
      <c r="E574" s="4">
        <v>55.96</v>
      </c>
      <c r="F574" s="6">
        <v>60.91</v>
      </c>
      <c r="G574" s="4">
        <v>58.97</v>
      </c>
      <c r="H574" s="4">
        <v>53.26</v>
      </c>
      <c r="I574" s="6">
        <v>69.94</v>
      </c>
      <c r="J574" s="5">
        <v>79.349999999999994</v>
      </c>
      <c r="K574" s="6">
        <v>60.8</v>
      </c>
      <c r="L574" s="6">
        <v>64.349999999999994</v>
      </c>
    </row>
    <row r="575" spans="1:12" ht="15" customHeight="1" x14ac:dyDescent="0.45">
      <c r="A575" s="3">
        <v>45428</v>
      </c>
      <c r="B575" s="6">
        <v>66.12</v>
      </c>
      <c r="C575" s="6">
        <v>68.09</v>
      </c>
      <c r="D575" s="6">
        <v>69.97</v>
      </c>
      <c r="E575" s="4">
        <v>48.12</v>
      </c>
      <c r="F575" s="4">
        <v>56.29</v>
      </c>
      <c r="G575" s="4">
        <v>58.3</v>
      </c>
      <c r="H575" s="4">
        <v>50.8</v>
      </c>
      <c r="I575" s="5">
        <v>72.56</v>
      </c>
      <c r="J575" s="5">
        <v>79.16</v>
      </c>
      <c r="K575" s="6">
        <v>60.07</v>
      </c>
      <c r="L575" s="6">
        <v>64.349999999999994</v>
      </c>
    </row>
    <row r="576" spans="1:12" ht="15" customHeight="1" x14ac:dyDescent="0.45">
      <c r="A576" s="3">
        <v>45427</v>
      </c>
      <c r="B576" s="6">
        <v>67.98</v>
      </c>
      <c r="C576" s="6">
        <v>68.09</v>
      </c>
      <c r="D576" s="5">
        <v>71.27</v>
      </c>
      <c r="E576" s="4">
        <v>49.75</v>
      </c>
      <c r="F576" s="6">
        <v>62.05</v>
      </c>
      <c r="G576" s="6">
        <v>63.43</v>
      </c>
      <c r="H576" s="4">
        <v>54.17</v>
      </c>
      <c r="I576" s="6">
        <v>65.650000000000006</v>
      </c>
      <c r="J576" s="5">
        <v>82.01</v>
      </c>
      <c r="K576" s="6">
        <v>60.52</v>
      </c>
      <c r="L576" s="6">
        <v>65.349999999999994</v>
      </c>
    </row>
    <row r="577" spans="1:12" ht="15" customHeight="1" x14ac:dyDescent="0.45">
      <c r="A577" s="3">
        <v>45426</v>
      </c>
      <c r="B577" s="6">
        <v>61.63</v>
      </c>
      <c r="C577" s="6">
        <v>64.64</v>
      </c>
      <c r="D577" s="6">
        <v>63.29</v>
      </c>
      <c r="E577" s="4">
        <v>48.44</v>
      </c>
      <c r="F577" s="6">
        <v>61.15</v>
      </c>
      <c r="G577" s="4">
        <v>59.84</v>
      </c>
      <c r="H577" s="4">
        <v>53.5</v>
      </c>
      <c r="I577" s="6">
        <v>65.28</v>
      </c>
      <c r="J577" s="5">
        <v>79.010000000000005</v>
      </c>
      <c r="K577" s="4">
        <v>58</v>
      </c>
      <c r="L577" s="4">
        <v>59.95</v>
      </c>
    </row>
    <row r="578" spans="1:12" ht="15" customHeight="1" x14ac:dyDescent="0.45">
      <c r="A578" s="3">
        <v>45425</v>
      </c>
      <c r="B578" s="4">
        <v>58.65</v>
      </c>
      <c r="C578" s="6">
        <v>62.06</v>
      </c>
      <c r="D578" s="6">
        <v>60.38</v>
      </c>
      <c r="E578" s="4">
        <v>47.72</v>
      </c>
      <c r="F578" s="6">
        <v>60.67</v>
      </c>
      <c r="G578" s="6">
        <v>60.04</v>
      </c>
      <c r="H578" s="4">
        <v>51.54</v>
      </c>
      <c r="I578" s="6">
        <v>67.3</v>
      </c>
      <c r="J578" s="5">
        <v>78.42</v>
      </c>
      <c r="K578" s="4">
        <v>56.15</v>
      </c>
      <c r="L578" s="4">
        <v>57.38</v>
      </c>
    </row>
    <row r="579" spans="1:12" ht="15" customHeight="1" x14ac:dyDescent="0.45">
      <c r="A579" s="3">
        <v>45422</v>
      </c>
      <c r="B579" s="4">
        <v>57.02</v>
      </c>
      <c r="C579" s="6">
        <v>65.66</v>
      </c>
      <c r="D579" s="6">
        <v>61.42</v>
      </c>
      <c r="E579" s="4">
        <v>49.05</v>
      </c>
      <c r="F579" s="6">
        <v>61.14</v>
      </c>
      <c r="G579" s="6">
        <v>63.52</v>
      </c>
      <c r="H579" s="4">
        <v>52.12</v>
      </c>
      <c r="I579" s="5">
        <v>70.25</v>
      </c>
      <c r="J579" s="5">
        <v>78.42</v>
      </c>
      <c r="K579" s="4">
        <v>57.09</v>
      </c>
      <c r="L579" s="4">
        <v>56.42</v>
      </c>
    </row>
    <row r="580" spans="1:12" ht="15" customHeight="1" x14ac:dyDescent="0.45">
      <c r="A580" s="3">
        <v>45421</v>
      </c>
      <c r="B580" s="4">
        <v>55.74</v>
      </c>
      <c r="C580" s="6">
        <v>63.83</v>
      </c>
      <c r="D580" s="6">
        <v>60.1</v>
      </c>
      <c r="E580" s="4">
        <v>51.84</v>
      </c>
      <c r="F580" s="6">
        <v>60.62</v>
      </c>
      <c r="G580" s="6">
        <v>63.19</v>
      </c>
      <c r="H580" s="4">
        <v>54.5</v>
      </c>
      <c r="I580" s="6">
        <v>67.61</v>
      </c>
      <c r="J580" s="5">
        <v>79.13</v>
      </c>
      <c r="K580" s="4">
        <v>56.55</v>
      </c>
      <c r="L580" s="4">
        <v>58.12</v>
      </c>
    </row>
    <row r="581" spans="1:12" ht="15" customHeight="1" x14ac:dyDescent="0.45">
      <c r="A581" s="3">
        <v>45420</v>
      </c>
      <c r="B581" s="4">
        <v>55.86</v>
      </c>
      <c r="C581" s="4">
        <v>59.98</v>
      </c>
      <c r="D581" s="4">
        <v>53.94</v>
      </c>
      <c r="E581" s="4">
        <v>44.83</v>
      </c>
      <c r="F581" s="4">
        <v>55.53</v>
      </c>
      <c r="G581" s="4">
        <v>58.26</v>
      </c>
      <c r="H581" s="4">
        <v>51.93</v>
      </c>
      <c r="I581" s="6">
        <v>63.04</v>
      </c>
      <c r="J581" s="5">
        <v>76.040000000000006</v>
      </c>
      <c r="K581" s="4">
        <v>54.73</v>
      </c>
      <c r="L581" s="4">
        <v>49.17</v>
      </c>
    </row>
    <row r="582" spans="1:12" ht="15" customHeight="1" x14ac:dyDescent="0.45">
      <c r="A582" s="3">
        <v>45419</v>
      </c>
      <c r="B582" s="4">
        <v>54.98</v>
      </c>
      <c r="C582" s="4">
        <v>57.97</v>
      </c>
      <c r="D582" s="4">
        <v>57.23</v>
      </c>
      <c r="E582" s="4">
        <v>45.37</v>
      </c>
      <c r="F582" s="4">
        <v>58.45</v>
      </c>
      <c r="G582" s="4">
        <v>58.26</v>
      </c>
      <c r="H582" s="4">
        <v>53.48</v>
      </c>
      <c r="I582" s="6">
        <v>66.06</v>
      </c>
      <c r="J582" s="5">
        <v>73.569999999999993</v>
      </c>
      <c r="K582" s="4">
        <v>55.41</v>
      </c>
      <c r="L582" s="4">
        <v>53.39</v>
      </c>
    </row>
    <row r="583" spans="1:12" ht="15" customHeight="1" x14ac:dyDescent="0.45">
      <c r="A583" s="3">
        <v>45418</v>
      </c>
      <c r="B583" s="4">
        <v>56.18</v>
      </c>
      <c r="C583" s="4">
        <v>56.06</v>
      </c>
      <c r="D583" s="4">
        <v>50.53</v>
      </c>
      <c r="E583" s="4">
        <v>45.79</v>
      </c>
      <c r="F583" s="4">
        <v>52.55</v>
      </c>
      <c r="G583" s="4">
        <v>56.89</v>
      </c>
      <c r="H583" s="4">
        <v>56.51</v>
      </c>
      <c r="I583" s="4">
        <v>59.58</v>
      </c>
      <c r="J583" s="5">
        <v>70.55</v>
      </c>
      <c r="K583" s="4">
        <v>55.05</v>
      </c>
      <c r="L583" s="4">
        <v>48.85</v>
      </c>
    </row>
    <row r="584" spans="1:12" ht="15" customHeight="1" x14ac:dyDescent="0.45">
      <c r="A584" s="3">
        <v>45415</v>
      </c>
      <c r="B584" s="4">
        <v>52.78</v>
      </c>
      <c r="C584" s="4">
        <v>47.89</v>
      </c>
      <c r="D584" s="4">
        <v>46.76</v>
      </c>
      <c r="E584" s="4">
        <v>41.74</v>
      </c>
      <c r="F584" s="4">
        <v>49.17</v>
      </c>
      <c r="G584" s="4">
        <v>51.53</v>
      </c>
      <c r="H584" s="4">
        <v>52.86</v>
      </c>
      <c r="I584" s="4">
        <v>59.24</v>
      </c>
      <c r="J584" s="6">
        <v>69.08</v>
      </c>
      <c r="K584" s="4">
        <v>50.55</v>
      </c>
      <c r="L584" s="4">
        <v>48.73</v>
      </c>
    </row>
    <row r="585" spans="1:12" ht="15" customHeight="1" x14ac:dyDescent="0.45">
      <c r="A585" s="3">
        <v>45414</v>
      </c>
      <c r="B585" s="4">
        <v>43.34</v>
      </c>
      <c r="C585" s="4">
        <v>46.28</v>
      </c>
      <c r="D585" s="4">
        <v>44.34</v>
      </c>
      <c r="E585" s="4">
        <v>41.68</v>
      </c>
      <c r="F585" s="4">
        <v>42.88</v>
      </c>
      <c r="G585" s="4">
        <v>47.36</v>
      </c>
      <c r="H585" s="4">
        <v>50.44</v>
      </c>
      <c r="I585" s="4">
        <v>57.27</v>
      </c>
      <c r="J585" s="6">
        <v>66.7</v>
      </c>
      <c r="K585" s="4">
        <v>46.73</v>
      </c>
      <c r="L585" s="4">
        <v>45.31</v>
      </c>
    </row>
    <row r="586" spans="1:12" ht="15" customHeight="1" x14ac:dyDescent="0.45">
      <c r="A586" s="3">
        <v>45413</v>
      </c>
      <c r="B586" s="4">
        <v>37.409999999999997</v>
      </c>
      <c r="C586" s="4">
        <v>44.52</v>
      </c>
      <c r="D586" s="4">
        <v>44.88</v>
      </c>
      <c r="E586" s="4">
        <v>38.82</v>
      </c>
      <c r="F586" s="4">
        <v>45.55</v>
      </c>
      <c r="G586" s="4">
        <v>43.66</v>
      </c>
      <c r="H586" s="4">
        <v>45.66</v>
      </c>
      <c r="I586" s="4">
        <v>51.3</v>
      </c>
      <c r="J586" s="6">
        <v>65.03</v>
      </c>
      <c r="K586" s="4">
        <v>42.88</v>
      </c>
      <c r="L586" s="4">
        <v>38.479999999999997</v>
      </c>
    </row>
    <row r="587" spans="1:12" ht="15" customHeight="1" x14ac:dyDescent="0.45">
      <c r="A587" s="3">
        <v>45412</v>
      </c>
      <c r="B587" s="4">
        <v>40.21</v>
      </c>
      <c r="C587" s="4">
        <v>44.52</v>
      </c>
      <c r="D587" s="4">
        <v>43.28</v>
      </c>
      <c r="E587" s="4">
        <v>44.53</v>
      </c>
      <c r="F587" s="4">
        <v>42.2</v>
      </c>
      <c r="G587" s="4">
        <v>44.92</v>
      </c>
      <c r="H587" s="4">
        <v>47.8</v>
      </c>
      <c r="I587" s="4">
        <v>56.93</v>
      </c>
      <c r="J587" s="6">
        <v>61.16</v>
      </c>
      <c r="K587" s="4">
        <v>39.159999999999997</v>
      </c>
      <c r="L587" s="4">
        <v>38.21</v>
      </c>
    </row>
    <row r="588" spans="1:12" ht="15" customHeight="1" x14ac:dyDescent="0.45">
      <c r="A588" s="3">
        <v>45411</v>
      </c>
      <c r="B588" s="4">
        <v>47.48</v>
      </c>
      <c r="C588" s="4">
        <v>50.2</v>
      </c>
      <c r="D588" s="4">
        <v>43.75</v>
      </c>
      <c r="E588" s="6">
        <v>60.44</v>
      </c>
      <c r="F588" s="4">
        <v>53</v>
      </c>
      <c r="G588" s="4">
        <v>54.43</v>
      </c>
      <c r="H588" s="4">
        <v>57.84</v>
      </c>
      <c r="I588" s="6">
        <v>61.21</v>
      </c>
      <c r="J588" s="6">
        <v>64.16</v>
      </c>
      <c r="K588" s="4">
        <v>44.05</v>
      </c>
      <c r="L588" s="4">
        <v>44.5</v>
      </c>
    </row>
    <row r="589" spans="1:12" ht="15" customHeight="1" x14ac:dyDescent="0.45">
      <c r="A589" s="3">
        <v>45408</v>
      </c>
      <c r="B589" s="4">
        <v>45.71</v>
      </c>
      <c r="C589" s="4">
        <v>51.11</v>
      </c>
      <c r="D589" s="4">
        <v>40.93</v>
      </c>
      <c r="E589" s="4">
        <v>57.22</v>
      </c>
      <c r="F589" s="4">
        <v>47.27</v>
      </c>
      <c r="G589" s="4">
        <v>50.35</v>
      </c>
      <c r="H589" s="4">
        <v>48.45</v>
      </c>
      <c r="I589" s="4">
        <v>59.14</v>
      </c>
      <c r="J589" s="4">
        <v>59.41</v>
      </c>
      <c r="K589" s="4">
        <v>47.96</v>
      </c>
      <c r="L589" s="4">
        <v>38.86</v>
      </c>
    </row>
    <row r="590" spans="1:12" ht="15" customHeight="1" x14ac:dyDescent="0.45">
      <c r="A590" s="3">
        <v>45407</v>
      </c>
      <c r="B590" s="4">
        <v>40.909999999999997</v>
      </c>
      <c r="C590" s="4">
        <v>51.98</v>
      </c>
      <c r="D590" s="4">
        <v>40.69</v>
      </c>
      <c r="E590" s="6">
        <v>63.82</v>
      </c>
      <c r="F590" s="4">
        <v>42.5</v>
      </c>
      <c r="G590" s="4">
        <v>49.32</v>
      </c>
      <c r="H590" s="4">
        <v>44.01</v>
      </c>
      <c r="I590" s="6">
        <v>61.16</v>
      </c>
      <c r="J590" s="6">
        <v>65.989999999999995</v>
      </c>
      <c r="K590" s="4">
        <v>35.69</v>
      </c>
      <c r="L590" s="4">
        <v>38.44</v>
      </c>
    </row>
    <row r="591" spans="1:12" ht="15" customHeight="1" x14ac:dyDescent="0.45">
      <c r="A591" s="3">
        <v>45406</v>
      </c>
      <c r="B591" s="4">
        <v>41.56</v>
      </c>
      <c r="C591" s="4">
        <v>55.51</v>
      </c>
      <c r="D591" s="4">
        <v>44.56</v>
      </c>
      <c r="E591" s="6">
        <v>61.8</v>
      </c>
      <c r="F591" s="4">
        <v>36.369999999999997</v>
      </c>
      <c r="G591" s="4">
        <v>47.44</v>
      </c>
      <c r="H591" s="4">
        <v>43.58</v>
      </c>
      <c r="I591" s="6">
        <v>63.44</v>
      </c>
      <c r="J591" s="6">
        <v>65.099999999999994</v>
      </c>
      <c r="K591" s="4">
        <v>50.5</v>
      </c>
      <c r="L591" s="4">
        <v>40.26</v>
      </c>
    </row>
    <row r="592" spans="1:12" ht="15" customHeight="1" x14ac:dyDescent="0.45">
      <c r="A592" s="3">
        <v>45405</v>
      </c>
      <c r="B592" s="4">
        <v>39.68</v>
      </c>
      <c r="C592" s="4">
        <v>55.66</v>
      </c>
      <c r="D592" s="4">
        <v>46.49</v>
      </c>
      <c r="E592" s="6">
        <v>61.48</v>
      </c>
      <c r="F592" s="4">
        <v>35.76</v>
      </c>
      <c r="G592" s="4">
        <v>52.19</v>
      </c>
      <c r="H592" s="4">
        <v>38.76</v>
      </c>
      <c r="I592" s="4">
        <v>58.95</v>
      </c>
      <c r="J592" s="6">
        <v>63.13</v>
      </c>
      <c r="K592" s="4">
        <v>50.17</v>
      </c>
      <c r="L592" s="4">
        <v>38.450000000000003</v>
      </c>
    </row>
    <row r="593" spans="1:12" ht="15" customHeight="1" x14ac:dyDescent="0.45">
      <c r="A593" s="3">
        <v>45404</v>
      </c>
      <c r="B593" s="4">
        <v>33.28</v>
      </c>
      <c r="C593" s="4">
        <v>52.65</v>
      </c>
      <c r="D593" s="4">
        <v>35.86</v>
      </c>
      <c r="E593" s="4">
        <v>59.09</v>
      </c>
      <c r="F593" s="4">
        <v>40.33</v>
      </c>
      <c r="G593" s="4">
        <v>43.07</v>
      </c>
      <c r="H593" s="4">
        <v>32.130000000000003</v>
      </c>
      <c r="I593" s="4">
        <v>57.15</v>
      </c>
      <c r="J593" s="6">
        <v>61.56</v>
      </c>
      <c r="K593" s="4">
        <v>41.28</v>
      </c>
      <c r="L593" s="4">
        <v>34.1</v>
      </c>
    </row>
    <row r="594" spans="1:12" ht="15" customHeight="1" x14ac:dyDescent="0.45">
      <c r="A594" s="3">
        <v>45401</v>
      </c>
      <c r="B594" s="7">
        <v>29.11</v>
      </c>
      <c r="C594" s="4">
        <v>46.27</v>
      </c>
      <c r="D594" s="4">
        <v>32.22</v>
      </c>
      <c r="E594" s="4">
        <v>56.13</v>
      </c>
      <c r="F594" s="4">
        <v>39.49</v>
      </c>
      <c r="G594" s="4">
        <v>37.08</v>
      </c>
      <c r="H594" s="7">
        <v>29.52</v>
      </c>
      <c r="I594" s="4">
        <v>50.33</v>
      </c>
      <c r="J594" s="4">
        <v>58.38</v>
      </c>
      <c r="K594" s="4">
        <v>40.39</v>
      </c>
      <c r="L594" s="4">
        <v>30.06</v>
      </c>
    </row>
    <row r="595" spans="1:12" ht="15" customHeight="1" x14ac:dyDescent="0.45">
      <c r="A595" s="3">
        <v>45400</v>
      </c>
      <c r="B595" s="4">
        <v>33.72</v>
      </c>
      <c r="C595" s="4">
        <v>37.49</v>
      </c>
      <c r="D595" s="7">
        <v>28.52</v>
      </c>
      <c r="E595" s="4">
        <v>50.01</v>
      </c>
      <c r="F595" s="4">
        <v>39.9</v>
      </c>
      <c r="G595" s="4">
        <v>37.979999999999997</v>
      </c>
      <c r="H595" s="4">
        <v>31.79</v>
      </c>
      <c r="I595" s="4">
        <v>41.56</v>
      </c>
      <c r="J595" s="4">
        <v>52.34</v>
      </c>
      <c r="K595" s="4">
        <v>45.56</v>
      </c>
      <c r="L595" s="7">
        <v>28.09</v>
      </c>
    </row>
    <row r="596" spans="1:12" ht="15" customHeight="1" x14ac:dyDescent="0.45">
      <c r="A596" s="3">
        <v>45399</v>
      </c>
      <c r="B596" s="4">
        <v>36.75</v>
      </c>
      <c r="C596" s="4">
        <v>34.979999999999997</v>
      </c>
      <c r="D596" s="7">
        <v>28.55</v>
      </c>
      <c r="E596" s="4">
        <v>51.72</v>
      </c>
      <c r="F596" s="4">
        <v>39.65</v>
      </c>
      <c r="G596" s="4">
        <v>39.68</v>
      </c>
      <c r="H596" s="4">
        <v>33.51</v>
      </c>
      <c r="I596" s="4">
        <v>36.65</v>
      </c>
      <c r="J596" s="4">
        <v>49.88</v>
      </c>
      <c r="K596" s="4">
        <v>42.53</v>
      </c>
      <c r="L596" s="7">
        <v>27.95</v>
      </c>
    </row>
    <row r="597" spans="1:12" ht="15" customHeight="1" x14ac:dyDescent="0.45">
      <c r="A597" s="3">
        <v>45398</v>
      </c>
      <c r="B597" s="4">
        <v>41.14</v>
      </c>
      <c r="C597" s="4">
        <v>33.200000000000003</v>
      </c>
      <c r="D597" s="7">
        <v>29.18</v>
      </c>
      <c r="E597" s="4">
        <v>53.31</v>
      </c>
      <c r="F597" s="4">
        <v>38.08</v>
      </c>
      <c r="G597" s="4">
        <v>42.32</v>
      </c>
      <c r="H597" s="4">
        <v>34.869999999999997</v>
      </c>
      <c r="I597" s="4">
        <v>32.479999999999997</v>
      </c>
      <c r="J597" s="4">
        <v>39.31</v>
      </c>
      <c r="K597" s="4">
        <v>42.93</v>
      </c>
      <c r="L597" s="7">
        <v>29.49</v>
      </c>
    </row>
    <row r="598" spans="1:12" ht="15" customHeight="1" x14ac:dyDescent="0.45">
      <c r="A598" s="3">
        <v>45397</v>
      </c>
      <c r="B598" s="4">
        <v>40.6</v>
      </c>
      <c r="C598" s="4">
        <v>35.65</v>
      </c>
      <c r="D598" s="7">
        <v>28.88</v>
      </c>
      <c r="E598" s="4">
        <v>58.42</v>
      </c>
      <c r="F598" s="4">
        <v>41.55</v>
      </c>
      <c r="G598" s="4">
        <v>43.52</v>
      </c>
      <c r="H598" s="4">
        <v>36.5</v>
      </c>
      <c r="I598" s="4">
        <v>32.01</v>
      </c>
      <c r="J598" s="4">
        <v>44.95</v>
      </c>
      <c r="K598" s="4">
        <v>44.42</v>
      </c>
      <c r="L598" s="4">
        <v>32.61</v>
      </c>
    </row>
    <row r="599" spans="1:12" ht="15" customHeight="1" x14ac:dyDescent="0.45">
      <c r="A599" s="3">
        <v>45394</v>
      </c>
      <c r="B599" s="4">
        <v>47.18</v>
      </c>
      <c r="C599" s="4">
        <v>37.549999999999997</v>
      </c>
      <c r="D599" s="7">
        <v>29.54</v>
      </c>
      <c r="E599" s="6">
        <v>64.66</v>
      </c>
      <c r="F599" s="4">
        <v>43.87</v>
      </c>
      <c r="G599" s="4">
        <v>47.44</v>
      </c>
      <c r="H599" s="4">
        <v>41.93</v>
      </c>
      <c r="I599" s="4">
        <v>34.19</v>
      </c>
      <c r="J599" s="4">
        <v>49.6</v>
      </c>
      <c r="K599" s="4">
        <v>50.64</v>
      </c>
      <c r="L599" s="4">
        <v>36.81</v>
      </c>
    </row>
    <row r="600" spans="1:12" ht="15" customHeight="1" x14ac:dyDescent="0.45">
      <c r="A600" s="3">
        <v>45393</v>
      </c>
      <c r="B600" s="4">
        <v>54.26</v>
      </c>
      <c r="C600" s="4">
        <v>43.35</v>
      </c>
      <c r="D600" s="4">
        <v>35.159999999999997</v>
      </c>
      <c r="E600" s="5">
        <v>78.400000000000006</v>
      </c>
      <c r="F600" s="4">
        <v>54.48</v>
      </c>
      <c r="G600" s="4">
        <v>54.29</v>
      </c>
      <c r="H600" s="4">
        <v>48.57</v>
      </c>
      <c r="I600" s="4">
        <v>40.590000000000003</v>
      </c>
      <c r="J600" s="4">
        <v>53.89</v>
      </c>
      <c r="K600" s="6">
        <v>61.15</v>
      </c>
      <c r="L600" s="4">
        <v>39.65</v>
      </c>
    </row>
    <row r="601" spans="1:12" ht="15" customHeight="1" x14ac:dyDescent="0.45">
      <c r="A601" s="3">
        <v>45392</v>
      </c>
      <c r="B601" s="4">
        <v>44.98</v>
      </c>
      <c r="C601" s="4">
        <v>46.97</v>
      </c>
      <c r="D601" s="4">
        <v>36.96</v>
      </c>
      <c r="E601" s="5">
        <v>79.09</v>
      </c>
      <c r="F601" s="4">
        <v>55.01</v>
      </c>
      <c r="G601" s="4">
        <v>53.63</v>
      </c>
      <c r="H601" s="4">
        <v>44.55</v>
      </c>
      <c r="I601" s="4">
        <v>42.36</v>
      </c>
      <c r="J601" s="4">
        <v>55.07</v>
      </c>
      <c r="K601" s="4">
        <v>56.73</v>
      </c>
      <c r="L601" s="4">
        <v>39.200000000000003</v>
      </c>
    </row>
    <row r="602" spans="1:12" ht="15" customHeight="1" x14ac:dyDescent="0.45">
      <c r="A602" s="3">
        <v>45391</v>
      </c>
      <c r="B602" s="4">
        <v>50.94</v>
      </c>
      <c r="C602" s="4">
        <v>56.3</v>
      </c>
      <c r="D602" s="4">
        <v>42.88</v>
      </c>
      <c r="E602" s="5">
        <v>78.33</v>
      </c>
      <c r="F602" s="6">
        <v>67.8</v>
      </c>
      <c r="G602" s="4">
        <v>59.7</v>
      </c>
      <c r="H602" s="4">
        <v>51.86</v>
      </c>
      <c r="I602" s="4">
        <v>45.09</v>
      </c>
      <c r="J602" s="6">
        <v>66.83</v>
      </c>
      <c r="K602" s="6">
        <v>62.7</v>
      </c>
      <c r="L602" s="4">
        <v>54.21</v>
      </c>
    </row>
    <row r="603" spans="1:12" ht="15" customHeight="1" x14ac:dyDescent="0.45">
      <c r="A603" s="3">
        <v>45390</v>
      </c>
      <c r="B603" s="4">
        <v>48.34</v>
      </c>
      <c r="C603" s="6">
        <v>60.63</v>
      </c>
      <c r="D603" s="4">
        <v>40.18</v>
      </c>
      <c r="E603" s="5">
        <v>78.260000000000005</v>
      </c>
      <c r="F603" s="6">
        <v>66.709999999999994</v>
      </c>
      <c r="G603" s="6">
        <v>61.45</v>
      </c>
      <c r="H603" s="4">
        <v>49.53</v>
      </c>
      <c r="I603" s="4">
        <v>40.32</v>
      </c>
      <c r="J603" s="6">
        <v>64.59</v>
      </c>
      <c r="K603" s="6">
        <v>62.19</v>
      </c>
      <c r="L603" s="4">
        <v>48.65</v>
      </c>
    </row>
    <row r="604" spans="1:12" ht="15" customHeight="1" x14ac:dyDescent="0.45">
      <c r="A604" s="3">
        <v>45387</v>
      </c>
      <c r="B604" s="4">
        <v>48.9</v>
      </c>
      <c r="C604" s="4">
        <v>58.4</v>
      </c>
      <c r="D604" s="4">
        <v>41.83</v>
      </c>
      <c r="E604" s="5">
        <v>83.66</v>
      </c>
      <c r="F604" s="6">
        <v>66.37</v>
      </c>
      <c r="G604" s="6">
        <v>62.75</v>
      </c>
      <c r="H604" s="4">
        <v>44.53</v>
      </c>
      <c r="I604" s="4">
        <v>41.34</v>
      </c>
      <c r="J604" s="6">
        <v>61.73</v>
      </c>
      <c r="K604" s="6">
        <v>62.14</v>
      </c>
      <c r="L604" s="4">
        <v>44.44</v>
      </c>
    </row>
    <row r="605" spans="1:12" ht="15" customHeight="1" x14ac:dyDescent="0.45">
      <c r="A605" s="3">
        <v>45386</v>
      </c>
      <c r="B605" s="4">
        <v>42.96</v>
      </c>
      <c r="C605" s="4">
        <v>53.06</v>
      </c>
      <c r="D605" s="4">
        <v>34.96</v>
      </c>
      <c r="E605" s="5">
        <v>81.69</v>
      </c>
      <c r="F605" s="6">
        <v>62.16</v>
      </c>
      <c r="G605" s="4">
        <v>56.02</v>
      </c>
      <c r="H605" s="4">
        <v>41.39</v>
      </c>
      <c r="I605" s="4">
        <v>39.799999999999997</v>
      </c>
      <c r="J605" s="6">
        <v>60.41</v>
      </c>
      <c r="K605" s="4">
        <v>57.5</v>
      </c>
      <c r="L605" s="4">
        <v>41.03</v>
      </c>
    </row>
    <row r="606" spans="1:12" ht="15" customHeight="1" x14ac:dyDescent="0.45">
      <c r="A606" s="3">
        <v>45385</v>
      </c>
      <c r="B606" s="4">
        <v>50.61</v>
      </c>
      <c r="C606" s="6">
        <v>61.97</v>
      </c>
      <c r="D606" s="4">
        <v>42.62</v>
      </c>
      <c r="E606" s="5">
        <v>82.23</v>
      </c>
      <c r="F606" s="5">
        <v>71.58</v>
      </c>
      <c r="G606" s="6">
        <v>62.75</v>
      </c>
      <c r="H606" s="4">
        <v>46.61</v>
      </c>
      <c r="I606" s="4">
        <v>42.57</v>
      </c>
      <c r="J606" s="6">
        <v>61.76</v>
      </c>
      <c r="K606" s="6">
        <v>67.930000000000007</v>
      </c>
      <c r="L606" s="4">
        <v>44.04</v>
      </c>
    </row>
    <row r="607" spans="1:12" ht="15" customHeight="1" x14ac:dyDescent="0.45">
      <c r="A607" s="3">
        <v>45384</v>
      </c>
      <c r="B607" s="4">
        <v>49.2</v>
      </c>
      <c r="C607" s="6">
        <v>62.38</v>
      </c>
      <c r="D607" s="4">
        <v>43.3</v>
      </c>
      <c r="E607" s="5">
        <v>80.959999999999994</v>
      </c>
      <c r="F607" s="6">
        <v>69.03</v>
      </c>
      <c r="G607" s="6">
        <v>60.16</v>
      </c>
      <c r="H607" s="4">
        <v>46.22</v>
      </c>
      <c r="I607" s="4">
        <v>51.14</v>
      </c>
      <c r="J607" s="6">
        <v>64.430000000000007</v>
      </c>
      <c r="K607" s="6">
        <v>64.45</v>
      </c>
      <c r="L607" s="4">
        <v>43.78</v>
      </c>
    </row>
    <row r="608" spans="1:12" ht="15" customHeight="1" x14ac:dyDescent="0.45">
      <c r="A608" s="3">
        <v>45383</v>
      </c>
      <c r="B608" s="4">
        <v>54.48</v>
      </c>
      <c r="C608" s="6">
        <v>66.95</v>
      </c>
      <c r="D608" s="4">
        <v>54.82</v>
      </c>
      <c r="E608" s="5">
        <v>78.040000000000006</v>
      </c>
      <c r="F608" s="5">
        <v>72.78</v>
      </c>
      <c r="G608" s="6">
        <v>63.9</v>
      </c>
      <c r="H608" s="4">
        <v>53.73</v>
      </c>
      <c r="I608" s="4">
        <v>56.07</v>
      </c>
      <c r="J608" s="6">
        <v>63.81</v>
      </c>
      <c r="K608" s="6">
        <v>65.78</v>
      </c>
      <c r="L608" s="4">
        <v>48.17</v>
      </c>
    </row>
    <row r="609" spans="1:12" ht="15" customHeight="1" x14ac:dyDescent="0.45">
      <c r="A609" s="3">
        <v>45380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5" customHeight="1" x14ac:dyDescent="0.45">
      <c r="A610" s="3">
        <v>45379</v>
      </c>
      <c r="B610" s="4">
        <v>53.13</v>
      </c>
      <c r="C610" s="5">
        <v>72.069999999999993</v>
      </c>
      <c r="D610" s="6">
        <v>63.49</v>
      </c>
      <c r="E610" s="5">
        <v>76.260000000000005</v>
      </c>
      <c r="F610" s="5">
        <v>75.239999999999995</v>
      </c>
      <c r="G610" s="5">
        <v>70.709999999999994</v>
      </c>
      <c r="H610" s="4">
        <v>58.2</v>
      </c>
      <c r="I610" s="6">
        <v>65.2</v>
      </c>
      <c r="J610" s="6">
        <v>67.760000000000005</v>
      </c>
      <c r="K610" s="6">
        <v>62.29</v>
      </c>
      <c r="L610" s="4">
        <v>56.61</v>
      </c>
    </row>
    <row r="611" spans="1:12" ht="15" customHeight="1" x14ac:dyDescent="0.45">
      <c r="A611" s="3">
        <v>45378</v>
      </c>
      <c r="B611" s="4">
        <v>54.29</v>
      </c>
      <c r="C611" s="6">
        <v>69.94</v>
      </c>
      <c r="D611" s="6">
        <v>63.4</v>
      </c>
      <c r="E611" s="5">
        <v>73.37</v>
      </c>
      <c r="F611" s="5">
        <v>74.319999999999993</v>
      </c>
      <c r="G611" s="5">
        <v>70.650000000000006</v>
      </c>
      <c r="H611" s="6">
        <v>60.13</v>
      </c>
      <c r="I611" s="6">
        <v>64.31</v>
      </c>
      <c r="J611" s="6">
        <v>65.53</v>
      </c>
      <c r="K611" s="6">
        <v>63.53</v>
      </c>
      <c r="L611" s="4">
        <v>53.89</v>
      </c>
    </row>
    <row r="612" spans="1:12" ht="15" customHeight="1" x14ac:dyDescent="0.45">
      <c r="A612" s="3">
        <v>45377</v>
      </c>
      <c r="B612" s="4">
        <v>52</v>
      </c>
      <c r="C612" s="6">
        <v>64.58</v>
      </c>
      <c r="D612" s="4">
        <v>53.65</v>
      </c>
      <c r="E612" s="5">
        <v>70.52</v>
      </c>
      <c r="F612" s="6">
        <v>68.7</v>
      </c>
      <c r="G612" s="6">
        <v>63.81</v>
      </c>
      <c r="H612" s="4">
        <v>54.99</v>
      </c>
      <c r="I612" s="4">
        <v>56.14</v>
      </c>
      <c r="J612" s="4">
        <v>53.91</v>
      </c>
      <c r="K612" s="6">
        <v>61.21</v>
      </c>
      <c r="L612" s="4">
        <v>40.44</v>
      </c>
    </row>
    <row r="613" spans="1:12" ht="15" customHeight="1" x14ac:dyDescent="0.45">
      <c r="A613" s="3">
        <v>45376</v>
      </c>
      <c r="B613" s="4">
        <v>54.04</v>
      </c>
      <c r="C613" s="6">
        <v>62.82</v>
      </c>
      <c r="D613" s="4">
        <v>50.28</v>
      </c>
      <c r="E613" s="5">
        <v>76.900000000000006</v>
      </c>
      <c r="F613" s="6">
        <v>69.459999999999994</v>
      </c>
      <c r="G613" s="6">
        <v>67.099999999999994</v>
      </c>
      <c r="H613" s="4">
        <v>54.4</v>
      </c>
      <c r="I613" s="4">
        <v>55.66</v>
      </c>
      <c r="J613" s="6">
        <v>61.9</v>
      </c>
      <c r="K613" s="6">
        <v>62.71</v>
      </c>
      <c r="L613" s="4">
        <v>42.33</v>
      </c>
    </row>
    <row r="614" spans="1:12" ht="15" customHeight="1" x14ac:dyDescent="0.45">
      <c r="A614" s="3">
        <v>45373</v>
      </c>
      <c r="B614" s="4">
        <v>57.41</v>
      </c>
      <c r="C614" s="6">
        <v>66.31</v>
      </c>
      <c r="D614" s="4">
        <v>51.6</v>
      </c>
      <c r="E614" s="5">
        <v>74.33</v>
      </c>
      <c r="F614" s="6">
        <v>69.319999999999993</v>
      </c>
      <c r="G614" s="5">
        <v>73.42</v>
      </c>
      <c r="H614" s="4">
        <v>56.19</v>
      </c>
      <c r="I614" s="4">
        <v>58.78</v>
      </c>
      <c r="J614" s="4">
        <v>59.61</v>
      </c>
      <c r="K614" s="6">
        <v>65.150000000000006</v>
      </c>
      <c r="L614" s="4">
        <v>44.13</v>
      </c>
    </row>
    <row r="615" spans="1:12" ht="15" customHeight="1" x14ac:dyDescent="0.45">
      <c r="A615" s="3">
        <v>45372</v>
      </c>
      <c r="B615" s="4">
        <v>57.28</v>
      </c>
      <c r="C615" s="5">
        <v>78.47</v>
      </c>
      <c r="D615" s="4">
        <v>52.88</v>
      </c>
      <c r="E615" s="5">
        <v>76.16</v>
      </c>
      <c r="F615" s="5">
        <v>75.14</v>
      </c>
      <c r="G615" s="5">
        <v>76.989999999999995</v>
      </c>
      <c r="H615" s="6">
        <v>61.24</v>
      </c>
      <c r="I615" s="6">
        <v>64.709999999999994</v>
      </c>
      <c r="J615" s="4">
        <v>58.93</v>
      </c>
      <c r="K615" s="6">
        <v>64.37</v>
      </c>
      <c r="L615" s="4">
        <v>50.19</v>
      </c>
    </row>
    <row r="616" spans="1:12" ht="15" customHeight="1" x14ac:dyDescent="0.45">
      <c r="A616" s="3">
        <v>45371</v>
      </c>
      <c r="B616" s="4">
        <v>57.03</v>
      </c>
      <c r="C616" s="5">
        <v>75.510000000000005</v>
      </c>
      <c r="D616" s="4">
        <v>51.82</v>
      </c>
      <c r="E616" s="5">
        <v>74.56</v>
      </c>
      <c r="F616" s="5">
        <v>73.78</v>
      </c>
      <c r="G616" s="5">
        <v>73.569999999999993</v>
      </c>
      <c r="H616" s="4">
        <v>58.97</v>
      </c>
      <c r="I616" s="6">
        <v>64.349999999999994</v>
      </c>
      <c r="J616" s="4">
        <v>59.98</v>
      </c>
      <c r="K616" s="6">
        <v>64.239999999999995</v>
      </c>
      <c r="L616" s="4">
        <v>48.03</v>
      </c>
    </row>
    <row r="617" spans="1:12" ht="15" customHeight="1" x14ac:dyDescent="0.45">
      <c r="A617" s="3">
        <v>45370</v>
      </c>
      <c r="B617" s="4">
        <v>53.09</v>
      </c>
      <c r="C617" s="5">
        <v>70.010000000000005</v>
      </c>
      <c r="D617" s="4">
        <v>53.76</v>
      </c>
      <c r="E617" s="5">
        <v>75.67</v>
      </c>
      <c r="F617" s="5">
        <v>70.14</v>
      </c>
      <c r="G617" s="6">
        <v>68.31</v>
      </c>
      <c r="H617" s="4">
        <v>52.46</v>
      </c>
      <c r="I617" s="6">
        <v>62.29</v>
      </c>
      <c r="J617" s="4">
        <v>59.44</v>
      </c>
      <c r="K617" s="4">
        <v>59.89</v>
      </c>
      <c r="L617" s="4">
        <v>45.69</v>
      </c>
    </row>
    <row r="618" spans="1:12" ht="15" customHeight="1" x14ac:dyDescent="0.45">
      <c r="A618" s="3">
        <v>45369</v>
      </c>
      <c r="B618" s="4">
        <v>51.17</v>
      </c>
      <c r="C618" s="6">
        <v>67.22</v>
      </c>
      <c r="D618" s="4">
        <v>48.56</v>
      </c>
      <c r="E618" s="5">
        <v>72.63</v>
      </c>
      <c r="F618" s="5">
        <v>70.099999999999994</v>
      </c>
      <c r="G618" s="6">
        <v>63.53</v>
      </c>
      <c r="H618" s="4">
        <v>48.04</v>
      </c>
      <c r="I618" s="4">
        <v>59.65</v>
      </c>
      <c r="J618" s="4">
        <v>55.56</v>
      </c>
      <c r="K618" s="6">
        <v>60.11</v>
      </c>
      <c r="L618" s="4">
        <v>45.69</v>
      </c>
    </row>
    <row r="619" spans="1:12" ht="15" customHeight="1" x14ac:dyDescent="0.45">
      <c r="A619" s="3">
        <v>45366</v>
      </c>
      <c r="B619" s="4">
        <v>49.98</v>
      </c>
      <c r="C619" s="6">
        <v>66.05</v>
      </c>
      <c r="D619" s="4">
        <v>51.59</v>
      </c>
      <c r="E619" s="5">
        <v>76.2</v>
      </c>
      <c r="F619" s="5">
        <v>71.599999999999994</v>
      </c>
      <c r="G619" s="6">
        <v>64.92</v>
      </c>
      <c r="H619" s="4">
        <v>45.08</v>
      </c>
      <c r="I619" s="6">
        <v>60.64</v>
      </c>
      <c r="J619" s="4">
        <v>57.67</v>
      </c>
      <c r="K619" s="4">
        <v>52.73</v>
      </c>
      <c r="L619" s="4">
        <v>48.89</v>
      </c>
    </row>
    <row r="620" spans="1:12" ht="15" customHeight="1" x14ac:dyDescent="0.45">
      <c r="A620" s="3">
        <v>45365</v>
      </c>
      <c r="B620" s="4">
        <v>55.93</v>
      </c>
      <c r="C620" s="6">
        <v>67.17</v>
      </c>
      <c r="D620" s="4">
        <v>55.02</v>
      </c>
      <c r="E620" s="5">
        <v>75.48</v>
      </c>
      <c r="F620" s="5">
        <v>71.459999999999994</v>
      </c>
      <c r="G620" s="6">
        <v>64.83</v>
      </c>
      <c r="H620" s="4">
        <v>49.96</v>
      </c>
      <c r="I620" s="6">
        <v>61.04</v>
      </c>
      <c r="J620" s="4">
        <v>57.07</v>
      </c>
      <c r="K620" s="4">
        <v>58.42</v>
      </c>
      <c r="L620" s="4">
        <v>49.13</v>
      </c>
    </row>
    <row r="621" spans="1:12" ht="15" customHeight="1" x14ac:dyDescent="0.45">
      <c r="A621" s="3">
        <v>45364</v>
      </c>
      <c r="B621" s="4">
        <v>55.87</v>
      </c>
      <c r="C621" s="5">
        <v>77.16</v>
      </c>
      <c r="D621" s="4">
        <v>58.24</v>
      </c>
      <c r="E621" s="5">
        <v>72.86</v>
      </c>
      <c r="F621" s="5">
        <v>75.7</v>
      </c>
      <c r="G621" s="6">
        <v>69.06</v>
      </c>
      <c r="H621" s="4">
        <v>53.41</v>
      </c>
      <c r="I621" s="6">
        <v>69.42</v>
      </c>
      <c r="J621" s="6">
        <v>61.6</v>
      </c>
      <c r="K621" s="4">
        <v>59.85</v>
      </c>
      <c r="L621" s="4">
        <v>56.19</v>
      </c>
    </row>
    <row r="622" spans="1:12" ht="15" customHeight="1" x14ac:dyDescent="0.45">
      <c r="A622" s="3">
        <v>45363</v>
      </c>
      <c r="B622" s="6">
        <v>60.36</v>
      </c>
      <c r="C622" s="5">
        <v>73.88</v>
      </c>
      <c r="D622" s="6">
        <v>61.93</v>
      </c>
      <c r="E622" s="6">
        <v>67.989999999999995</v>
      </c>
      <c r="F622" s="5">
        <v>72.94</v>
      </c>
      <c r="G622" s="6">
        <v>67.83</v>
      </c>
      <c r="H622" s="4">
        <v>54.57</v>
      </c>
      <c r="I622" s="6">
        <v>68.11</v>
      </c>
      <c r="J622" s="4">
        <v>59.06</v>
      </c>
      <c r="K622" s="4">
        <v>59.16</v>
      </c>
      <c r="L622" s="4">
        <v>59.76</v>
      </c>
    </row>
    <row r="623" spans="1:12" ht="15" customHeight="1" x14ac:dyDescent="0.45">
      <c r="A623" s="3">
        <v>45362</v>
      </c>
      <c r="B623" s="4">
        <v>53.97</v>
      </c>
      <c r="C623" s="5">
        <v>71.739999999999995</v>
      </c>
      <c r="D623" s="4">
        <v>59.06</v>
      </c>
      <c r="E623" s="6">
        <v>69.12</v>
      </c>
      <c r="F623" s="5">
        <v>73.02</v>
      </c>
      <c r="G623" s="6">
        <v>65.739999999999995</v>
      </c>
      <c r="H623" s="4">
        <v>50.51</v>
      </c>
      <c r="I623" s="6">
        <v>65.27</v>
      </c>
      <c r="J623" s="6">
        <v>64.8</v>
      </c>
      <c r="K623" s="4">
        <v>55.68</v>
      </c>
      <c r="L623" s="6">
        <v>61.2</v>
      </c>
    </row>
    <row r="624" spans="1:12" ht="15" customHeight="1" x14ac:dyDescent="0.45">
      <c r="A624" s="3">
        <v>45359</v>
      </c>
      <c r="B624" s="4">
        <v>55.08</v>
      </c>
      <c r="C624" s="5">
        <v>70.83</v>
      </c>
      <c r="D624" s="4">
        <v>59.55</v>
      </c>
      <c r="E624" s="6">
        <v>65.66</v>
      </c>
      <c r="F624" s="6">
        <v>69.64</v>
      </c>
      <c r="G624" s="5">
        <v>70.7</v>
      </c>
      <c r="H624" s="4">
        <v>51.87</v>
      </c>
      <c r="I624" s="6">
        <v>61.98</v>
      </c>
      <c r="J624" s="6">
        <v>63.08</v>
      </c>
      <c r="K624" s="4">
        <v>56.64</v>
      </c>
      <c r="L624" s="6">
        <v>64.069999999999993</v>
      </c>
    </row>
    <row r="625" spans="1:12" ht="15" customHeight="1" x14ac:dyDescent="0.45">
      <c r="A625" s="3">
        <v>45358</v>
      </c>
      <c r="B625" s="6">
        <v>61.52</v>
      </c>
      <c r="C625" s="6">
        <v>69.930000000000007</v>
      </c>
      <c r="D625" s="6">
        <v>61.14</v>
      </c>
      <c r="E625" s="6">
        <v>64.400000000000006</v>
      </c>
      <c r="F625" s="5">
        <v>74.08</v>
      </c>
      <c r="G625" s="5">
        <v>72.89</v>
      </c>
      <c r="H625" s="4">
        <v>53.7</v>
      </c>
      <c r="I625" s="5">
        <v>71.16</v>
      </c>
      <c r="J625" s="6">
        <v>62.22</v>
      </c>
      <c r="K625" s="4">
        <v>57.38</v>
      </c>
      <c r="L625" s="4">
        <v>59.97</v>
      </c>
    </row>
    <row r="626" spans="1:12" ht="15" customHeight="1" x14ac:dyDescent="0.45">
      <c r="A626" s="3">
        <v>45357</v>
      </c>
      <c r="B626" s="4">
        <v>56.6</v>
      </c>
      <c r="C626" s="5">
        <v>71.69</v>
      </c>
      <c r="D626" s="4">
        <v>58.55</v>
      </c>
      <c r="E626" s="6">
        <v>61.25</v>
      </c>
      <c r="F626" s="5">
        <v>70.41</v>
      </c>
      <c r="G626" s="6">
        <v>69.73</v>
      </c>
      <c r="H626" s="4">
        <v>50.37</v>
      </c>
      <c r="I626" s="6">
        <v>68</v>
      </c>
      <c r="J626" s="6">
        <v>60.01</v>
      </c>
      <c r="K626" s="4">
        <v>51.12</v>
      </c>
      <c r="L626" s="4">
        <v>59.97</v>
      </c>
    </row>
    <row r="627" spans="1:12" ht="15" customHeight="1" x14ac:dyDescent="0.45">
      <c r="A627" s="3">
        <v>45356</v>
      </c>
      <c r="B627" s="4">
        <v>53.86</v>
      </c>
      <c r="C627" s="6">
        <v>69.17</v>
      </c>
      <c r="D627" s="4">
        <v>54.44</v>
      </c>
      <c r="E627" s="6">
        <v>60.05</v>
      </c>
      <c r="F627" s="6">
        <v>67.900000000000006</v>
      </c>
      <c r="G627" s="6">
        <v>67.47</v>
      </c>
      <c r="H627" s="4">
        <v>52</v>
      </c>
      <c r="I627" s="6">
        <v>62.41</v>
      </c>
      <c r="J627" s="4">
        <v>56.56</v>
      </c>
      <c r="K627" s="4">
        <v>50.54</v>
      </c>
      <c r="L627" s="4">
        <v>58.04</v>
      </c>
    </row>
    <row r="628" spans="1:12" ht="15" customHeight="1" x14ac:dyDescent="0.45">
      <c r="A628" s="3">
        <v>45355</v>
      </c>
      <c r="B628" s="6">
        <v>66.17</v>
      </c>
      <c r="C628" s="6">
        <v>69.040000000000006</v>
      </c>
      <c r="D628" s="6">
        <v>60.58</v>
      </c>
      <c r="E628" s="4">
        <v>57.13</v>
      </c>
      <c r="F628" s="5">
        <v>72</v>
      </c>
      <c r="G628" s="5">
        <v>75.819999999999993</v>
      </c>
      <c r="H628" s="4">
        <v>58.17</v>
      </c>
      <c r="I628" s="6">
        <v>60.59</v>
      </c>
      <c r="J628" s="4">
        <v>57.96</v>
      </c>
      <c r="K628" s="4">
        <v>54.03</v>
      </c>
      <c r="L628" s="6">
        <v>64.77</v>
      </c>
    </row>
    <row r="629" spans="1:12" ht="15" customHeight="1" x14ac:dyDescent="0.45">
      <c r="A629" s="3">
        <v>45352</v>
      </c>
      <c r="B629" s="6">
        <v>66.17</v>
      </c>
      <c r="C629" s="6">
        <v>67.86</v>
      </c>
      <c r="D629" s="6">
        <v>61.89</v>
      </c>
      <c r="E629" s="6">
        <v>63.38</v>
      </c>
      <c r="F629" s="6">
        <v>69.680000000000007</v>
      </c>
      <c r="G629" s="5">
        <v>74.53</v>
      </c>
      <c r="H629" s="6">
        <v>66.22</v>
      </c>
      <c r="I629" s="4">
        <v>59.99</v>
      </c>
      <c r="J629" s="4">
        <v>51.55</v>
      </c>
      <c r="K629" s="6">
        <v>60.36</v>
      </c>
      <c r="L629" s="6">
        <v>61.07</v>
      </c>
    </row>
    <row r="630" spans="1:12" ht="15" customHeight="1" x14ac:dyDescent="0.45">
      <c r="A630" s="3">
        <v>45351</v>
      </c>
      <c r="B630" s="6">
        <v>60.49</v>
      </c>
      <c r="C630" s="6">
        <v>69.09</v>
      </c>
      <c r="D630" s="4">
        <v>55.75</v>
      </c>
      <c r="E630" s="4">
        <v>58.89</v>
      </c>
      <c r="F630" s="6">
        <v>68.150000000000006</v>
      </c>
      <c r="G630" s="5">
        <v>72.95</v>
      </c>
      <c r="H630" s="6">
        <v>65.12</v>
      </c>
      <c r="I630" s="4">
        <v>59.89</v>
      </c>
      <c r="J630" s="4">
        <v>54.36</v>
      </c>
      <c r="K630" s="4">
        <v>57.45</v>
      </c>
      <c r="L630" s="4">
        <v>57.08</v>
      </c>
    </row>
    <row r="631" spans="1:12" ht="15" customHeight="1" x14ac:dyDescent="0.45">
      <c r="A631" s="3">
        <v>45350</v>
      </c>
      <c r="B631" s="4">
        <v>56.38</v>
      </c>
      <c r="C631" s="6">
        <v>69.55</v>
      </c>
      <c r="D631" s="6">
        <v>63.14</v>
      </c>
      <c r="E631" s="4">
        <v>56.82</v>
      </c>
      <c r="F631" s="6">
        <v>65.48</v>
      </c>
      <c r="G631" s="5">
        <v>71.790000000000006</v>
      </c>
      <c r="H631" s="6">
        <v>62.86</v>
      </c>
      <c r="I631" s="6">
        <v>61.51</v>
      </c>
      <c r="J631" s="4">
        <v>54.24</v>
      </c>
      <c r="K631" s="4">
        <v>54.13</v>
      </c>
      <c r="L631" s="4">
        <v>53.91</v>
      </c>
    </row>
    <row r="632" spans="1:12" ht="15" customHeight="1" x14ac:dyDescent="0.45">
      <c r="A632" s="3">
        <v>45349</v>
      </c>
      <c r="B632" s="4">
        <v>58.79</v>
      </c>
      <c r="C632" s="6">
        <v>68.05</v>
      </c>
      <c r="D632" s="6">
        <v>68.3</v>
      </c>
      <c r="E632" s="4">
        <v>57.91</v>
      </c>
      <c r="F632" s="6">
        <v>64.34</v>
      </c>
      <c r="G632" s="5">
        <v>70.5</v>
      </c>
      <c r="H632" s="6">
        <v>61.51</v>
      </c>
      <c r="I632" s="6">
        <v>60.86</v>
      </c>
      <c r="J632" s="4">
        <v>53.14</v>
      </c>
      <c r="K632" s="4">
        <v>57.33</v>
      </c>
      <c r="L632" s="4">
        <v>48.32</v>
      </c>
    </row>
    <row r="633" spans="1:12" ht="15" customHeight="1" x14ac:dyDescent="0.45">
      <c r="A633" s="3">
        <v>45348</v>
      </c>
      <c r="B633" s="4">
        <v>58.49</v>
      </c>
      <c r="C633" s="6">
        <v>66.94</v>
      </c>
      <c r="D633" s="5">
        <v>70.95</v>
      </c>
      <c r="E633" s="6">
        <v>60.26</v>
      </c>
      <c r="F633" s="6">
        <v>63</v>
      </c>
      <c r="G633" s="6">
        <v>69.930000000000007</v>
      </c>
      <c r="H633" s="6">
        <v>60.39</v>
      </c>
      <c r="I633" s="6">
        <v>60.78</v>
      </c>
      <c r="J633" s="4">
        <v>45.79</v>
      </c>
      <c r="K633" s="4">
        <v>54.36</v>
      </c>
      <c r="L633" s="4">
        <v>47.96</v>
      </c>
    </row>
    <row r="634" spans="1:12" ht="15" customHeight="1" x14ac:dyDescent="0.45">
      <c r="A634" s="3">
        <v>45345</v>
      </c>
      <c r="B634" s="4">
        <v>58.17</v>
      </c>
      <c r="C634" s="5">
        <v>71.11</v>
      </c>
      <c r="D634" s="5">
        <v>76.8</v>
      </c>
      <c r="E634" s="4">
        <v>59.01</v>
      </c>
      <c r="F634" s="6">
        <v>66.790000000000006</v>
      </c>
      <c r="G634" s="5">
        <v>71.19</v>
      </c>
      <c r="H634" s="4">
        <v>59.37</v>
      </c>
      <c r="I634" s="6">
        <v>64.34</v>
      </c>
      <c r="J634" s="4">
        <v>54.15</v>
      </c>
      <c r="K634" s="6">
        <v>61.59</v>
      </c>
      <c r="L634" s="4">
        <v>52.97</v>
      </c>
    </row>
    <row r="635" spans="1:12" ht="15" customHeight="1" x14ac:dyDescent="0.45">
      <c r="A635" s="3">
        <v>45344</v>
      </c>
      <c r="B635" s="4">
        <v>59.19</v>
      </c>
      <c r="C635" s="6">
        <v>69.34</v>
      </c>
      <c r="D635" s="5">
        <v>75.040000000000006</v>
      </c>
      <c r="E635" s="6">
        <v>62.47</v>
      </c>
      <c r="F635" s="6">
        <v>64.87</v>
      </c>
      <c r="G635" s="6">
        <v>69.400000000000006</v>
      </c>
      <c r="H635" s="6">
        <v>61.53</v>
      </c>
      <c r="I635" s="6">
        <v>62.79</v>
      </c>
      <c r="J635" s="4">
        <v>51.17</v>
      </c>
      <c r="K635" s="6">
        <v>62.93</v>
      </c>
      <c r="L635" s="4">
        <v>52.45</v>
      </c>
    </row>
    <row r="636" spans="1:12" ht="15" customHeight="1" x14ac:dyDescent="0.45">
      <c r="A636" s="3">
        <v>45343</v>
      </c>
      <c r="B636" s="4">
        <v>47.62</v>
      </c>
      <c r="C636" s="6">
        <v>64.709999999999994</v>
      </c>
      <c r="D636" s="6">
        <v>69.86</v>
      </c>
      <c r="E636" s="6">
        <v>61.93</v>
      </c>
      <c r="F636" s="6">
        <v>61.36</v>
      </c>
      <c r="G636" s="6">
        <v>64.66</v>
      </c>
      <c r="H636" s="4">
        <v>55.14</v>
      </c>
      <c r="I636" s="6">
        <v>61.22</v>
      </c>
      <c r="J636" s="4">
        <v>54.78</v>
      </c>
      <c r="K636" s="4">
        <v>57.91</v>
      </c>
      <c r="L636" s="4">
        <v>51.44</v>
      </c>
    </row>
    <row r="637" spans="1:12" ht="15" customHeight="1" x14ac:dyDescent="0.45">
      <c r="A637" s="3">
        <v>45342</v>
      </c>
      <c r="B637" s="4">
        <v>50.17</v>
      </c>
      <c r="C637" s="6">
        <v>63.37</v>
      </c>
      <c r="D637" s="6">
        <v>68.73</v>
      </c>
      <c r="E637" s="4">
        <v>55.56</v>
      </c>
      <c r="F637" s="4">
        <v>59.3</v>
      </c>
      <c r="G637" s="6">
        <v>62.94</v>
      </c>
      <c r="H637" s="4">
        <v>52.37</v>
      </c>
      <c r="I637" s="4">
        <v>59.36</v>
      </c>
      <c r="J637" s="4">
        <v>49.15</v>
      </c>
      <c r="K637" s="4">
        <v>58.47</v>
      </c>
      <c r="L637" s="4">
        <v>48.62</v>
      </c>
    </row>
    <row r="638" spans="1:12" ht="15" customHeight="1" x14ac:dyDescent="0.45">
      <c r="A638" s="3">
        <v>45341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5" customHeight="1" x14ac:dyDescent="0.45">
      <c r="A639" s="3">
        <v>45338</v>
      </c>
      <c r="B639" s="4">
        <v>54.61</v>
      </c>
      <c r="C639" s="6">
        <v>65.48</v>
      </c>
      <c r="D639" s="5">
        <v>72.599999999999994</v>
      </c>
      <c r="E639" s="6">
        <v>60.14</v>
      </c>
      <c r="F639" s="6">
        <v>60.45</v>
      </c>
      <c r="G639" s="6">
        <v>65.260000000000005</v>
      </c>
      <c r="H639" s="4">
        <v>56.55</v>
      </c>
      <c r="I639" s="4">
        <v>53.43</v>
      </c>
      <c r="J639" s="4">
        <v>49.43</v>
      </c>
      <c r="K639" s="4">
        <v>59.18</v>
      </c>
      <c r="L639" s="4">
        <v>49.19</v>
      </c>
    </row>
    <row r="640" spans="1:12" ht="15" customHeight="1" x14ac:dyDescent="0.45">
      <c r="A640" s="3">
        <v>45337</v>
      </c>
      <c r="B640" s="4">
        <v>59.04</v>
      </c>
      <c r="C640" s="6">
        <v>68.180000000000007</v>
      </c>
      <c r="D640" s="5">
        <v>71.150000000000006</v>
      </c>
      <c r="E640" s="6">
        <v>60.44</v>
      </c>
      <c r="F640" s="4">
        <v>58.59</v>
      </c>
      <c r="G640" s="6">
        <v>69.84</v>
      </c>
      <c r="H640" s="4">
        <v>59.34</v>
      </c>
      <c r="I640" s="4">
        <v>52.51</v>
      </c>
      <c r="J640" s="4">
        <v>49.9</v>
      </c>
      <c r="K640" s="6">
        <v>67.040000000000006</v>
      </c>
      <c r="L640" s="4">
        <v>53.03</v>
      </c>
    </row>
    <row r="641" spans="1:12" ht="15" customHeight="1" x14ac:dyDescent="0.45">
      <c r="A641" s="3">
        <v>45336</v>
      </c>
      <c r="B641" s="6">
        <v>60.08</v>
      </c>
      <c r="C641" s="6">
        <v>61.06</v>
      </c>
      <c r="D641" s="6">
        <v>67.599999999999994</v>
      </c>
      <c r="E641" s="4">
        <v>49.75</v>
      </c>
      <c r="F641" s="4">
        <v>51.15</v>
      </c>
      <c r="G641" s="6">
        <v>67.19</v>
      </c>
      <c r="H641" s="4">
        <v>55.41</v>
      </c>
      <c r="I641" s="4">
        <v>48.47</v>
      </c>
      <c r="J641" s="4">
        <v>42.66</v>
      </c>
      <c r="K641" s="6">
        <v>64.78</v>
      </c>
      <c r="L641" s="4">
        <v>43.74</v>
      </c>
    </row>
    <row r="642" spans="1:12" ht="15" customHeight="1" x14ac:dyDescent="0.45">
      <c r="A642" s="3">
        <v>45335</v>
      </c>
      <c r="B642" s="4">
        <v>56.6</v>
      </c>
      <c r="C642" s="4">
        <v>56.02</v>
      </c>
      <c r="D642" s="6">
        <v>62.56</v>
      </c>
      <c r="E642" s="4">
        <v>50.19</v>
      </c>
      <c r="F642" s="4">
        <v>48.24</v>
      </c>
      <c r="G642" s="4">
        <v>59.99</v>
      </c>
      <c r="H642" s="4">
        <v>51.48</v>
      </c>
      <c r="I642" s="4">
        <v>49.64</v>
      </c>
      <c r="J642" s="4">
        <v>40.03</v>
      </c>
      <c r="K642" s="4">
        <v>59.87</v>
      </c>
      <c r="L642" s="4">
        <v>40.75</v>
      </c>
    </row>
    <row r="643" spans="1:12" ht="15" customHeight="1" x14ac:dyDescent="0.45">
      <c r="A643" s="3">
        <v>45334</v>
      </c>
      <c r="B643" s="6">
        <v>65.34</v>
      </c>
      <c r="C643" s="6">
        <v>67.67</v>
      </c>
      <c r="D643" s="5">
        <v>74.150000000000006</v>
      </c>
      <c r="E643" s="4">
        <v>54.91</v>
      </c>
      <c r="F643" s="4">
        <v>55.03</v>
      </c>
      <c r="G643" s="6">
        <v>68.64</v>
      </c>
      <c r="H643" s="6">
        <v>61.11</v>
      </c>
      <c r="I643" s="4">
        <v>56.8</v>
      </c>
      <c r="J643" s="4">
        <v>46.03</v>
      </c>
      <c r="K643" s="6">
        <v>67.73</v>
      </c>
      <c r="L643" s="4">
        <v>47.29</v>
      </c>
    </row>
    <row r="644" spans="1:12" ht="15" customHeight="1" x14ac:dyDescent="0.45">
      <c r="A644" s="3">
        <v>45331</v>
      </c>
      <c r="B644" s="6">
        <v>69.86</v>
      </c>
      <c r="C644" s="6">
        <v>65.41</v>
      </c>
      <c r="D644" s="5">
        <v>73.5</v>
      </c>
      <c r="E644" s="4">
        <v>50.2</v>
      </c>
      <c r="F644" s="4">
        <v>51.48</v>
      </c>
      <c r="G644" s="6">
        <v>68.03</v>
      </c>
      <c r="H644" s="6">
        <v>61.56</v>
      </c>
      <c r="I644" s="4">
        <v>52.62</v>
      </c>
      <c r="J644" s="4">
        <v>40.270000000000003</v>
      </c>
      <c r="K644" s="6">
        <v>66.83</v>
      </c>
      <c r="L644" s="4">
        <v>48.52</v>
      </c>
    </row>
    <row r="645" spans="1:12" ht="15" customHeight="1" x14ac:dyDescent="0.45">
      <c r="A645" s="3">
        <v>45330</v>
      </c>
      <c r="B645" s="6">
        <v>66.05</v>
      </c>
      <c r="C645" s="6">
        <v>63.97</v>
      </c>
      <c r="D645" s="5">
        <v>74.5</v>
      </c>
      <c r="E645" s="4">
        <v>58.18</v>
      </c>
      <c r="F645" s="4">
        <v>50.49</v>
      </c>
      <c r="G645" s="6">
        <v>67.41</v>
      </c>
      <c r="H645" s="4">
        <v>59.21</v>
      </c>
      <c r="I645" s="4">
        <v>59.63</v>
      </c>
      <c r="J645" s="4">
        <v>38.26</v>
      </c>
      <c r="K645" s="6">
        <v>66.510000000000005</v>
      </c>
      <c r="L645" s="4">
        <v>47.46</v>
      </c>
    </row>
    <row r="646" spans="1:12" ht="15" customHeight="1" x14ac:dyDescent="0.45">
      <c r="A646" s="3">
        <v>45329</v>
      </c>
      <c r="B646" s="6">
        <v>65.099999999999994</v>
      </c>
      <c r="C646" s="6">
        <v>67.52</v>
      </c>
      <c r="D646" s="5">
        <v>76.709999999999994</v>
      </c>
      <c r="E646" s="4">
        <v>53.65</v>
      </c>
      <c r="F646" s="4">
        <v>51.08</v>
      </c>
      <c r="G646" s="6">
        <v>67.349999999999994</v>
      </c>
      <c r="H646" s="4">
        <v>57.73</v>
      </c>
      <c r="I646" s="4">
        <v>59.84</v>
      </c>
      <c r="J646" s="4">
        <v>40.630000000000003</v>
      </c>
      <c r="K646" s="6">
        <v>65.510000000000005</v>
      </c>
      <c r="L646" s="4">
        <v>45.25</v>
      </c>
    </row>
    <row r="647" spans="1:12" ht="15" customHeight="1" x14ac:dyDescent="0.45">
      <c r="A647" s="3">
        <v>45328</v>
      </c>
      <c r="B647" s="6">
        <v>60.85</v>
      </c>
      <c r="C647" s="6">
        <v>63.93</v>
      </c>
      <c r="D647" s="5">
        <v>75.67</v>
      </c>
      <c r="E647" s="4">
        <v>52.71</v>
      </c>
      <c r="F647" s="4">
        <v>47.67</v>
      </c>
      <c r="G647" s="6">
        <v>64.83</v>
      </c>
      <c r="H647" s="4">
        <v>53.81</v>
      </c>
      <c r="I647" s="6">
        <v>60.56</v>
      </c>
      <c r="J647" s="4">
        <v>40.31</v>
      </c>
      <c r="K647" s="6">
        <v>64.17</v>
      </c>
      <c r="L647" s="4">
        <v>45.42</v>
      </c>
    </row>
    <row r="648" spans="1:12" ht="15" customHeight="1" x14ac:dyDescent="0.45">
      <c r="A648" s="3">
        <v>45327</v>
      </c>
      <c r="B648" s="6">
        <v>63.34</v>
      </c>
      <c r="C648" s="6">
        <v>62.88</v>
      </c>
      <c r="D648" s="5">
        <v>70.84</v>
      </c>
      <c r="E648" s="4">
        <v>51.26</v>
      </c>
      <c r="F648" s="4">
        <v>39.14</v>
      </c>
      <c r="G648" s="6">
        <v>61.1</v>
      </c>
      <c r="H648" s="4">
        <v>51.57</v>
      </c>
      <c r="I648" s="4">
        <v>59.46</v>
      </c>
      <c r="J648" s="4">
        <v>38.619999999999997</v>
      </c>
      <c r="K648" s="6">
        <v>65.59</v>
      </c>
      <c r="L648" s="4">
        <v>39.44</v>
      </c>
    </row>
    <row r="649" spans="1:12" ht="15" customHeight="1" x14ac:dyDescent="0.45">
      <c r="A649" s="3">
        <v>45324</v>
      </c>
      <c r="B649" s="6">
        <v>62.64</v>
      </c>
      <c r="C649" s="6">
        <v>68.180000000000007</v>
      </c>
      <c r="D649" s="6">
        <v>69.239999999999995</v>
      </c>
      <c r="E649" s="4">
        <v>52.42</v>
      </c>
      <c r="F649" s="4">
        <v>50.4</v>
      </c>
      <c r="G649" s="6">
        <v>65.010000000000005</v>
      </c>
      <c r="H649" s="4">
        <v>57.71</v>
      </c>
      <c r="I649" s="6">
        <v>63.93</v>
      </c>
      <c r="J649" s="4">
        <v>45.59</v>
      </c>
      <c r="K649" s="5">
        <v>72.510000000000005</v>
      </c>
      <c r="L649" s="4">
        <v>45.63</v>
      </c>
    </row>
    <row r="650" spans="1:12" ht="15" customHeight="1" x14ac:dyDescent="0.45">
      <c r="A650" s="3">
        <v>45323</v>
      </c>
      <c r="B650" s="4">
        <v>59.39</v>
      </c>
      <c r="C650" s="6">
        <v>66.349999999999994</v>
      </c>
      <c r="D650" s="5">
        <v>70.97</v>
      </c>
      <c r="E650" s="4">
        <v>51.84</v>
      </c>
      <c r="F650" s="4">
        <v>53.74</v>
      </c>
      <c r="G650" s="6">
        <v>62.27</v>
      </c>
      <c r="H650" s="4">
        <v>50.97</v>
      </c>
      <c r="I650" s="6">
        <v>66.349999999999994</v>
      </c>
      <c r="J650" s="4">
        <v>53.51</v>
      </c>
      <c r="K650" s="6">
        <v>62.37</v>
      </c>
      <c r="L650" s="4">
        <v>50.36</v>
      </c>
    </row>
    <row r="651" spans="1:12" ht="15" customHeight="1" x14ac:dyDescent="0.45">
      <c r="A651" s="3">
        <v>45322</v>
      </c>
      <c r="B651" s="4">
        <v>55.01</v>
      </c>
      <c r="C651" s="6">
        <v>65.66</v>
      </c>
      <c r="D651" s="6">
        <v>63.65</v>
      </c>
      <c r="E651" s="4">
        <v>51.89</v>
      </c>
      <c r="F651" s="4">
        <v>44.14</v>
      </c>
      <c r="G651" s="4">
        <v>53.9</v>
      </c>
      <c r="H651" s="4">
        <v>41.87</v>
      </c>
      <c r="I651" s="4">
        <v>56.98</v>
      </c>
      <c r="J651" s="4">
        <v>44.19</v>
      </c>
      <c r="K651" s="4">
        <v>58.79</v>
      </c>
      <c r="L651" s="4">
        <v>42.84</v>
      </c>
    </row>
    <row r="652" spans="1:12" ht="15" customHeight="1" x14ac:dyDescent="0.45">
      <c r="A652" s="3">
        <v>45321</v>
      </c>
      <c r="B652" s="6">
        <v>66.31</v>
      </c>
      <c r="C652" s="5">
        <v>77.430000000000007</v>
      </c>
      <c r="D652" s="6">
        <v>65.239999999999995</v>
      </c>
      <c r="E652" s="6">
        <v>60.33</v>
      </c>
      <c r="F652" s="4">
        <v>52.13</v>
      </c>
      <c r="G652" s="6">
        <v>62.79</v>
      </c>
      <c r="H652" s="4">
        <v>50.21</v>
      </c>
      <c r="I652" s="6">
        <v>62.87</v>
      </c>
      <c r="J652" s="4">
        <v>45.13</v>
      </c>
      <c r="K652" s="5">
        <v>75.099999999999994</v>
      </c>
      <c r="L652" s="4">
        <v>45.52</v>
      </c>
    </row>
    <row r="653" spans="1:12" ht="15" customHeight="1" x14ac:dyDescent="0.45">
      <c r="A653" s="3">
        <v>45320</v>
      </c>
      <c r="B653" s="5">
        <v>71.739999999999995</v>
      </c>
      <c r="C653" s="5">
        <v>72.81</v>
      </c>
      <c r="D653" s="6">
        <v>63.83</v>
      </c>
      <c r="E653" s="4">
        <v>56.75</v>
      </c>
      <c r="F653" s="4">
        <v>49.15</v>
      </c>
      <c r="G653" s="6">
        <v>62.62</v>
      </c>
      <c r="H653" s="4">
        <v>50.5</v>
      </c>
      <c r="I653" s="4">
        <v>59.95</v>
      </c>
      <c r="J653" s="4">
        <v>45.26</v>
      </c>
      <c r="K653" s="5">
        <v>80.84</v>
      </c>
      <c r="L653" s="4">
        <v>49.18</v>
      </c>
    </row>
    <row r="654" spans="1:12" ht="15" customHeight="1" x14ac:dyDescent="0.45">
      <c r="A654" s="3">
        <v>45317</v>
      </c>
      <c r="B654" s="6">
        <v>69.16</v>
      </c>
      <c r="C654" s="5">
        <v>71.709999999999994</v>
      </c>
      <c r="D654" s="4">
        <v>59.08</v>
      </c>
      <c r="E654" s="4">
        <v>57.42</v>
      </c>
      <c r="F654" s="4">
        <v>45.77</v>
      </c>
      <c r="G654" s="4">
        <v>59.36</v>
      </c>
      <c r="H654" s="4">
        <v>42.66</v>
      </c>
      <c r="I654" s="4">
        <v>56.71</v>
      </c>
      <c r="J654" s="4">
        <v>42.09</v>
      </c>
      <c r="K654" s="5">
        <v>79.02</v>
      </c>
      <c r="L654" s="4">
        <v>46.04</v>
      </c>
    </row>
    <row r="655" spans="1:12" ht="15" customHeight="1" x14ac:dyDescent="0.45">
      <c r="A655" s="3">
        <v>45316</v>
      </c>
      <c r="B655" s="5">
        <v>77.5</v>
      </c>
      <c r="C655" s="5">
        <v>70.14</v>
      </c>
      <c r="D655" s="4">
        <v>54.62</v>
      </c>
      <c r="E655" s="4">
        <v>54.89</v>
      </c>
      <c r="F655" s="4">
        <v>45.53</v>
      </c>
      <c r="G655" s="6">
        <v>60.55</v>
      </c>
      <c r="H655" s="4">
        <v>39.909999999999997</v>
      </c>
      <c r="I655" s="4">
        <v>53.82</v>
      </c>
      <c r="J655" s="4">
        <v>40.619999999999997</v>
      </c>
      <c r="K655" s="5">
        <v>78.27</v>
      </c>
      <c r="L655" s="4">
        <v>47.71</v>
      </c>
    </row>
    <row r="656" spans="1:12" ht="15" customHeight="1" x14ac:dyDescent="0.45">
      <c r="A656" s="3">
        <v>45315</v>
      </c>
      <c r="B656" s="5">
        <v>76.55</v>
      </c>
      <c r="C656" s="6">
        <v>67.900000000000006</v>
      </c>
      <c r="D656" s="4">
        <v>56.13</v>
      </c>
      <c r="E656" s="4">
        <v>46.08</v>
      </c>
      <c r="F656" s="4">
        <v>38.049999999999997</v>
      </c>
      <c r="G656" s="4">
        <v>55.59</v>
      </c>
      <c r="H656" s="4">
        <v>45.46</v>
      </c>
      <c r="I656" s="4">
        <v>47.4</v>
      </c>
      <c r="J656" s="4">
        <v>30.8</v>
      </c>
      <c r="K656" s="5">
        <v>74.06</v>
      </c>
      <c r="L656" s="4">
        <v>41.73</v>
      </c>
    </row>
    <row r="657" spans="1:12" ht="15" customHeight="1" x14ac:dyDescent="0.45">
      <c r="A657" s="3">
        <v>45314</v>
      </c>
      <c r="B657" s="5">
        <v>74.94</v>
      </c>
      <c r="C657" s="6">
        <v>66.03</v>
      </c>
      <c r="D657" s="6">
        <v>66.540000000000006</v>
      </c>
      <c r="E657" s="4">
        <v>39.19</v>
      </c>
      <c r="F657" s="4">
        <v>45.62</v>
      </c>
      <c r="G657" s="6">
        <v>60.14</v>
      </c>
      <c r="H657" s="4">
        <v>47.34</v>
      </c>
      <c r="I657" s="4">
        <v>56.88</v>
      </c>
      <c r="J657" s="4">
        <v>34.92</v>
      </c>
      <c r="K657" s="5">
        <v>72.150000000000006</v>
      </c>
      <c r="L657" s="4">
        <v>46.79</v>
      </c>
    </row>
    <row r="658" spans="1:12" ht="15" customHeight="1" x14ac:dyDescent="0.45">
      <c r="A658" s="3">
        <v>45313</v>
      </c>
      <c r="B658" s="5">
        <v>73.98</v>
      </c>
      <c r="C658" s="6">
        <v>65.28</v>
      </c>
      <c r="D658" s="6">
        <v>67.44</v>
      </c>
      <c r="E658" s="4">
        <v>38.1</v>
      </c>
      <c r="F658" s="4">
        <v>43.09</v>
      </c>
      <c r="G658" s="6">
        <v>60.74</v>
      </c>
      <c r="H658" s="4">
        <v>48.53</v>
      </c>
      <c r="I658" s="4">
        <v>48.5</v>
      </c>
      <c r="J658" s="4">
        <v>33.840000000000003</v>
      </c>
      <c r="K658" s="6">
        <v>68.81</v>
      </c>
      <c r="L658" s="4">
        <v>48.98</v>
      </c>
    </row>
    <row r="659" spans="1:12" ht="15" customHeight="1" x14ac:dyDescent="0.45">
      <c r="A659" s="3">
        <v>45310</v>
      </c>
      <c r="B659" s="5">
        <v>72.92</v>
      </c>
      <c r="C659" s="6">
        <v>63</v>
      </c>
      <c r="D659" s="6">
        <v>64.72</v>
      </c>
      <c r="E659" s="4">
        <v>36.24</v>
      </c>
      <c r="F659" s="4">
        <v>40.81</v>
      </c>
      <c r="G659" s="4">
        <v>56.92</v>
      </c>
      <c r="H659" s="4">
        <v>50.7</v>
      </c>
      <c r="I659" s="4">
        <v>52.77</v>
      </c>
      <c r="J659" s="4">
        <v>35.380000000000003</v>
      </c>
      <c r="K659" s="6">
        <v>68.09</v>
      </c>
      <c r="L659" s="4">
        <v>47.01</v>
      </c>
    </row>
    <row r="660" spans="1:12" ht="15" customHeight="1" x14ac:dyDescent="0.45">
      <c r="A660" s="3">
        <v>45309</v>
      </c>
      <c r="B660" s="6">
        <v>66.48</v>
      </c>
      <c r="C660" s="4">
        <v>53.57</v>
      </c>
      <c r="D660" s="6">
        <v>64.36</v>
      </c>
      <c r="E660" s="4">
        <v>34.65</v>
      </c>
      <c r="F660" s="4">
        <v>40.06</v>
      </c>
      <c r="G660" s="4">
        <v>53.38</v>
      </c>
      <c r="H660" s="4">
        <v>45.83</v>
      </c>
      <c r="I660" s="4">
        <v>55.49</v>
      </c>
      <c r="J660" s="4">
        <v>35.78</v>
      </c>
      <c r="K660" s="6">
        <v>62.75</v>
      </c>
      <c r="L660" s="4">
        <v>42.79</v>
      </c>
    </row>
    <row r="661" spans="1:12" ht="15" customHeight="1" x14ac:dyDescent="0.45">
      <c r="A661" s="3">
        <v>45308</v>
      </c>
      <c r="B661" s="4">
        <v>58.58</v>
      </c>
      <c r="C661" s="4">
        <v>52.45</v>
      </c>
      <c r="D661" s="6">
        <v>64.510000000000005</v>
      </c>
      <c r="E661" s="4">
        <v>35.06</v>
      </c>
      <c r="F661" s="4">
        <v>37.700000000000003</v>
      </c>
      <c r="G661" s="4">
        <v>44.79</v>
      </c>
      <c r="H661" s="4">
        <v>42.75</v>
      </c>
      <c r="I661" s="4">
        <v>56.66</v>
      </c>
      <c r="J661" s="4">
        <v>39.1</v>
      </c>
      <c r="K661" s="4">
        <v>56.78</v>
      </c>
      <c r="L661" s="4">
        <v>45.04</v>
      </c>
    </row>
    <row r="662" spans="1:12" ht="15" customHeight="1" x14ac:dyDescent="0.45">
      <c r="A662" s="3">
        <v>45307</v>
      </c>
      <c r="B662" s="6">
        <v>61.89</v>
      </c>
      <c r="C662" s="4">
        <v>53.86</v>
      </c>
      <c r="D662" s="6">
        <v>66.58</v>
      </c>
      <c r="E662" s="4">
        <v>37.130000000000003</v>
      </c>
      <c r="F662" s="4">
        <v>41.18</v>
      </c>
      <c r="G662" s="4">
        <v>49.01</v>
      </c>
      <c r="H662" s="4">
        <v>46.56</v>
      </c>
      <c r="I662" s="4">
        <v>57.28</v>
      </c>
      <c r="J662" s="4">
        <v>44.38</v>
      </c>
      <c r="K662" s="6">
        <v>61.4</v>
      </c>
      <c r="L662" s="4">
        <v>52.4</v>
      </c>
    </row>
    <row r="663" spans="1:12" ht="15" customHeight="1" x14ac:dyDescent="0.45">
      <c r="A663" s="3">
        <v>45306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5" customHeight="1" x14ac:dyDescent="0.45">
      <c r="A664" s="3">
        <v>45303</v>
      </c>
      <c r="B664" s="6">
        <v>60.85</v>
      </c>
      <c r="C664" s="4">
        <v>59.39</v>
      </c>
      <c r="D664" s="5">
        <v>73.14</v>
      </c>
      <c r="E664" s="4">
        <v>44.29</v>
      </c>
      <c r="F664" s="4">
        <v>47.71</v>
      </c>
      <c r="G664" s="4">
        <v>56.45</v>
      </c>
      <c r="H664" s="4">
        <v>47.08</v>
      </c>
      <c r="I664" s="6">
        <v>62.34</v>
      </c>
      <c r="J664" s="4">
        <v>49.03</v>
      </c>
      <c r="K664" s="6">
        <v>66.06</v>
      </c>
      <c r="L664" s="4">
        <v>55.19</v>
      </c>
    </row>
    <row r="665" spans="1:12" ht="15" customHeight="1" x14ac:dyDescent="0.45">
      <c r="A665" s="3">
        <v>45302</v>
      </c>
      <c r="B665" s="4">
        <v>59.53</v>
      </c>
      <c r="C665" s="6">
        <v>60.95</v>
      </c>
      <c r="D665" s="5">
        <v>76.03</v>
      </c>
      <c r="E665" s="4">
        <v>39.21</v>
      </c>
      <c r="F665" s="4">
        <v>47.06</v>
      </c>
      <c r="G665" s="4">
        <v>56.52</v>
      </c>
      <c r="H665" s="4">
        <v>52.81</v>
      </c>
      <c r="I665" s="6">
        <v>60.48</v>
      </c>
      <c r="J665" s="4">
        <v>46.3</v>
      </c>
      <c r="K665" s="6">
        <v>63.88</v>
      </c>
      <c r="L665" s="4">
        <v>52.24</v>
      </c>
    </row>
    <row r="666" spans="1:12" ht="15" customHeight="1" x14ac:dyDescent="0.45">
      <c r="A666" s="3">
        <v>45301</v>
      </c>
      <c r="B666" s="4">
        <v>57.44</v>
      </c>
      <c r="C666" s="6">
        <v>64.08</v>
      </c>
      <c r="D666" s="5">
        <v>76.84</v>
      </c>
      <c r="E666" s="4">
        <v>38.01</v>
      </c>
      <c r="F666" s="4">
        <v>48.82</v>
      </c>
      <c r="G666" s="4">
        <v>58.28</v>
      </c>
      <c r="H666" s="4">
        <v>53.47</v>
      </c>
      <c r="I666" s="6">
        <v>60.6</v>
      </c>
      <c r="J666" s="4">
        <v>58.42</v>
      </c>
      <c r="K666" s="6">
        <v>66.53</v>
      </c>
      <c r="L666" s="4">
        <v>56.51</v>
      </c>
    </row>
    <row r="667" spans="1:12" ht="15" customHeight="1" x14ac:dyDescent="0.45">
      <c r="A667" s="3">
        <v>45300</v>
      </c>
      <c r="B667" s="4">
        <v>53.77</v>
      </c>
      <c r="C667" s="6">
        <v>63.33</v>
      </c>
      <c r="D667" s="5">
        <v>75.28</v>
      </c>
      <c r="E667" s="4">
        <v>40.9</v>
      </c>
      <c r="F667" s="4">
        <v>49.58</v>
      </c>
      <c r="G667" s="4">
        <v>55.46</v>
      </c>
      <c r="H667" s="4">
        <v>49.95</v>
      </c>
      <c r="I667" s="6">
        <v>62.34</v>
      </c>
      <c r="J667" s="4">
        <v>58.51</v>
      </c>
      <c r="K667" s="6">
        <v>62.43</v>
      </c>
      <c r="L667" s="4">
        <v>55.96</v>
      </c>
    </row>
    <row r="668" spans="1:12" ht="15" customHeight="1" x14ac:dyDescent="0.45">
      <c r="A668" s="3">
        <v>45299</v>
      </c>
      <c r="B668" s="4">
        <v>53.07</v>
      </c>
      <c r="C668" s="6">
        <v>68.66</v>
      </c>
      <c r="D668" s="5">
        <v>75.42</v>
      </c>
      <c r="E668" s="4">
        <v>46.31</v>
      </c>
      <c r="F668" s="4">
        <v>56.8</v>
      </c>
      <c r="G668" s="4">
        <v>57.68</v>
      </c>
      <c r="H668" s="4">
        <v>51.63</v>
      </c>
      <c r="I668" s="6">
        <v>61.02</v>
      </c>
      <c r="J668" s="6">
        <v>63.59</v>
      </c>
      <c r="K668" s="6">
        <v>64.040000000000006</v>
      </c>
      <c r="L668" s="4">
        <v>59.16</v>
      </c>
    </row>
    <row r="669" spans="1:12" ht="15" customHeight="1" x14ac:dyDescent="0.45">
      <c r="A669" s="3">
        <v>45296</v>
      </c>
      <c r="B669" s="4">
        <v>40.090000000000003</v>
      </c>
      <c r="C669" s="6">
        <v>66</v>
      </c>
      <c r="D669" s="5">
        <v>72.33</v>
      </c>
      <c r="E669" s="4">
        <v>50.87</v>
      </c>
      <c r="F669" s="4">
        <v>54.52</v>
      </c>
      <c r="G669" s="4">
        <v>54.12</v>
      </c>
      <c r="H669" s="4">
        <v>43.67</v>
      </c>
      <c r="I669" s="4">
        <v>57.14</v>
      </c>
      <c r="J669" s="6">
        <v>60.79</v>
      </c>
      <c r="K669" s="4">
        <v>56.24</v>
      </c>
      <c r="L669" s="4">
        <v>54.51</v>
      </c>
    </row>
    <row r="670" spans="1:12" ht="15" customHeight="1" x14ac:dyDescent="0.45">
      <c r="A670" s="3">
        <v>45295</v>
      </c>
      <c r="B670" s="4">
        <v>40.200000000000003</v>
      </c>
      <c r="C670" s="6">
        <v>64.12</v>
      </c>
      <c r="D670" s="5">
        <v>73.17</v>
      </c>
      <c r="E670" s="4">
        <v>50.55</v>
      </c>
      <c r="F670" s="4">
        <v>53.63</v>
      </c>
      <c r="G670" s="4">
        <v>53.48</v>
      </c>
      <c r="H670" s="4">
        <v>42.87</v>
      </c>
      <c r="I670" s="4">
        <v>58.78</v>
      </c>
      <c r="J670" s="4">
        <v>59.3</v>
      </c>
      <c r="K670" s="4">
        <v>53.74</v>
      </c>
      <c r="L670" s="4">
        <v>55.38</v>
      </c>
    </row>
    <row r="671" spans="1:12" ht="15" customHeight="1" x14ac:dyDescent="0.45">
      <c r="A671" s="3">
        <v>45294</v>
      </c>
      <c r="B671" s="4">
        <v>43.25</v>
      </c>
      <c r="C671" s="6">
        <v>62.31</v>
      </c>
      <c r="D671" s="5">
        <v>71.41</v>
      </c>
      <c r="E671" s="4">
        <v>58.23</v>
      </c>
      <c r="F671" s="4">
        <v>55.57</v>
      </c>
      <c r="G671" s="4">
        <v>52.81</v>
      </c>
      <c r="H671" s="4">
        <v>45.59</v>
      </c>
      <c r="I671" s="4">
        <v>59.78</v>
      </c>
      <c r="J671" s="6">
        <v>61.09</v>
      </c>
      <c r="K671" s="4">
        <v>56.12</v>
      </c>
      <c r="L671" s="4">
        <v>56.42</v>
      </c>
    </row>
    <row r="672" spans="1:12" ht="15" customHeight="1" x14ac:dyDescent="0.45">
      <c r="A672" s="3">
        <v>45293</v>
      </c>
      <c r="B672" s="4">
        <v>47.99</v>
      </c>
      <c r="C672" s="6">
        <v>69.239999999999995</v>
      </c>
      <c r="D672" s="5">
        <v>72.89</v>
      </c>
      <c r="E672" s="4">
        <v>52.05</v>
      </c>
      <c r="F672" s="6">
        <v>62.73</v>
      </c>
      <c r="G672" s="6">
        <v>62.83</v>
      </c>
      <c r="H672" s="4">
        <v>55.14</v>
      </c>
      <c r="I672" s="6">
        <v>65.67</v>
      </c>
      <c r="J672" s="4">
        <v>59.74</v>
      </c>
      <c r="K672" s="4">
        <v>58.84</v>
      </c>
      <c r="L672" s="6">
        <v>67.78</v>
      </c>
    </row>
  </sheetData>
  <autoFilter ref="A1:L1" xr:uid="{00000000-0009-0000-0000-000003000000}">
    <sortState xmlns:xlrd2="http://schemas.microsoft.com/office/spreadsheetml/2017/richdata2" ref="A2:L605">
      <sortCondition descending="1" ref="A1"/>
    </sortState>
  </autoFilter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81"/>
  <sheetViews>
    <sheetView workbookViewId="0">
      <pane xSplit="1" ySplit="7" topLeftCell="B8" activePane="bottomRight" state="frozen"/>
      <selection pane="topRight"/>
      <selection pane="bottomLeft"/>
      <selection pane="bottomRight" activeCell="A8" sqref="A8:XFD9"/>
    </sheetView>
  </sheetViews>
  <sheetFormatPr defaultRowHeight="17" x14ac:dyDescent="0.45"/>
  <cols>
    <col min="1" max="1" width="12" customWidth="1"/>
    <col min="2" max="25" width="13" customWidth="1"/>
  </cols>
  <sheetData>
    <row r="1" spans="1:25" ht="20" customHeight="1" x14ac:dyDescent="0.45">
      <c r="A1" s="1" t="s">
        <v>30316</v>
      </c>
      <c r="B1" s="1" t="s">
        <v>30260</v>
      </c>
      <c r="C1" s="1" t="s">
        <v>30264</v>
      </c>
      <c r="D1" s="1" t="s">
        <v>30267</v>
      </c>
      <c r="E1" s="1" t="s">
        <v>30271</v>
      </c>
      <c r="F1" s="1" t="s">
        <v>30273</v>
      </c>
      <c r="G1" s="1" t="s">
        <v>30276</v>
      </c>
      <c r="H1" s="1" t="s">
        <v>30279</v>
      </c>
      <c r="I1" s="1" t="s">
        <v>30281</v>
      </c>
      <c r="J1" s="1" t="s">
        <v>30283</v>
      </c>
      <c r="K1" s="1" t="s">
        <v>30286</v>
      </c>
      <c r="L1" s="1" t="s">
        <v>30289</v>
      </c>
      <c r="M1" s="1" t="s">
        <v>30291</v>
      </c>
      <c r="N1" s="1" t="s">
        <v>30292</v>
      </c>
      <c r="O1" s="1" t="s">
        <v>30295</v>
      </c>
      <c r="P1" s="1" t="s">
        <v>30297</v>
      </c>
      <c r="Q1" s="1" t="s">
        <v>30298</v>
      </c>
      <c r="R1" s="1" t="s">
        <v>30300</v>
      </c>
      <c r="S1" s="1" t="s">
        <v>30303</v>
      </c>
      <c r="T1" s="1" t="s">
        <v>30305</v>
      </c>
      <c r="U1" s="1" t="s">
        <v>30306</v>
      </c>
      <c r="V1" s="1" t="s">
        <v>30307</v>
      </c>
      <c r="W1" s="1" t="s">
        <v>30308</v>
      </c>
      <c r="X1" s="1" t="s">
        <v>30313</v>
      </c>
      <c r="Y1" s="1" t="s">
        <v>30314</v>
      </c>
    </row>
    <row r="2" spans="1:25" ht="28" customHeight="1" x14ac:dyDescent="0.45">
      <c r="A2" s="2" t="s">
        <v>30255</v>
      </c>
      <c r="B2" s="2" t="s">
        <v>2426</v>
      </c>
      <c r="C2" s="2" t="s">
        <v>171</v>
      </c>
      <c r="D2" s="2" t="s">
        <v>30268</v>
      </c>
      <c r="E2" s="2" t="s">
        <v>2888</v>
      </c>
      <c r="F2" s="2" t="s">
        <v>1082</v>
      </c>
      <c r="G2" s="2" t="s">
        <v>30277</v>
      </c>
      <c r="H2" s="2" t="s">
        <v>2759</v>
      </c>
      <c r="I2" s="2" t="s">
        <v>2951</v>
      </c>
      <c r="J2" s="2" t="s">
        <v>14</v>
      </c>
      <c r="K2" s="2" t="s">
        <v>11690</v>
      </c>
      <c r="L2" s="2" t="s">
        <v>520</v>
      </c>
      <c r="M2" s="2" t="s">
        <v>73</v>
      </c>
      <c r="N2" s="2" t="s">
        <v>1141</v>
      </c>
      <c r="O2" s="2" t="s">
        <v>3165</v>
      </c>
      <c r="P2" s="2" t="s">
        <v>77</v>
      </c>
      <c r="Q2" s="2" t="s">
        <v>542</v>
      </c>
      <c r="R2" s="2" t="s">
        <v>837</v>
      </c>
      <c r="S2" s="2" t="s">
        <v>15</v>
      </c>
      <c r="T2" s="2" t="s">
        <v>1267</v>
      </c>
      <c r="U2" s="2" t="s">
        <v>3088</v>
      </c>
      <c r="V2" s="2" t="s">
        <v>14</v>
      </c>
      <c r="W2" s="2" t="s">
        <v>30309</v>
      </c>
      <c r="X2" s="2" t="s">
        <v>43</v>
      </c>
      <c r="Y2" s="2" t="s">
        <v>3106</v>
      </c>
    </row>
    <row r="3" spans="1:25" ht="28" customHeight="1" x14ac:dyDescent="0.45">
      <c r="A3" s="2" t="s">
        <v>30256</v>
      </c>
      <c r="B3" s="2" t="s">
        <v>1687</v>
      </c>
      <c r="C3" s="2" t="s">
        <v>30265</v>
      </c>
      <c r="D3" s="2" t="s">
        <v>30269</v>
      </c>
      <c r="E3" s="2" t="s">
        <v>1691</v>
      </c>
      <c r="F3" s="2" t="s">
        <v>20</v>
      </c>
      <c r="G3" s="2" t="s">
        <v>877</v>
      </c>
      <c r="H3" s="2" t="s">
        <v>2577</v>
      </c>
      <c r="I3" s="2" t="s">
        <v>19938</v>
      </c>
      <c r="J3" s="2" t="s">
        <v>335</v>
      </c>
      <c r="K3" s="2" t="s">
        <v>30287</v>
      </c>
      <c r="L3" s="2" t="s">
        <v>1549</v>
      </c>
      <c r="M3" s="2" t="s">
        <v>3025</v>
      </c>
      <c r="N3" s="2" t="s">
        <v>1735</v>
      </c>
      <c r="O3" s="2" t="s">
        <v>3205</v>
      </c>
      <c r="P3" s="2" t="s">
        <v>3750</v>
      </c>
      <c r="Q3" s="2" t="s">
        <v>534</v>
      </c>
      <c r="R3" s="2" t="s">
        <v>3374</v>
      </c>
      <c r="S3" s="2" t="s">
        <v>82</v>
      </c>
      <c r="T3" s="2" t="s">
        <v>1259</v>
      </c>
      <c r="U3" s="2" t="s">
        <v>31</v>
      </c>
      <c r="V3" s="2" t="s">
        <v>335</v>
      </c>
      <c r="W3" s="2" t="s">
        <v>30310</v>
      </c>
      <c r="X3" s="2" t="s">
        <v>917</v>
      </c>
      <c r="Y3" s="2" t="s">
        <v>3019</v>
      </c>
    </row>
    <row r="4" spans="1:25" ht="28" customHeight="1" x14ac:dyDescent="0.45">
      <c r="A4" s="2" t="s">
        <v>30257</v>
      </c>
      <c r="B4" s="2" t="s">
        <v>1121</v>
      </c>
      <c r="C4" s="2" t="s">
        <v>367</v>
      </c>
      <c r="D4" s="2" t="s">
        <v>1508</v>
      </c>
      <c r="E4" s="2" t="s">
        <v>496</v>
      </c>
      <c r="F4" s="2" t="s">
        <v>2659</v>
      </c>
      <c r="G4" s="2" t="s">
        <v>30278</v>
      </c>
      <c r="H4" s="2" t="s">
        <v>2226</v>
      </c>
      <c r="I4" s="2" t="s">
        <v>1553</v>
      </c>
      <c r="J4" s="2" t="s">
        <v>2379</v>
      </c>
      <c r="K4" s="2" t="s">
        <v>1102</v>
      </c>
      <c r="L4" s="2" t="s">
        <v>2436</v>
      </c>
      <c r="M4" s="2" t="s">
        <v>1657</v>
      </c>
      <c r="N4" s="2" t="s">
        <v>2218</v>
      </c>
      <c r="O4" s="2" t="s">
        <v>2983</v>
      </c>
      <c r="P4" s="2" t="s">
        <v>4643</v>
      </c>
      <c r="Q4" s="2" t="s">
        <v>538</v>
      </c>
      <c r="R4" s="2" t="s">
        <v>1267</v>
      </c>
      <c r="S4" s="2" t="s">
        <v>44</v>
      </c>
      <c r="T4" s="2" t="s">
        <v>1275</v>
      </c>
      <c r="U4" s="2" t="s">
        <v>733</v>
      </c>
      <c r="V4" s="2" t="s">
        <v>520</v>
      </c>
      <c r="W4" s="2" t="s">
        <v>22217</v>
      </c>
      <c r="X4" s="2" t="s">
        <v>2523</v>
      </c>
      <c r="Y4" s="2" t="s">
        <v>427</v>
      </c>
    </row>
    <row r="5" spans="1:25" ht="28" customHeight="1" x14ac:dyDescent="0.45">
      <c r="A5" s="2" t="s">
        <v>30328</v>
      </c>
      <c r="B5" s="2" t="s">
        <v>30263</v>
      </c>
      <c r="C5" s="2" t="s">
        <v>30261</v>
      </c>
      <c r="D5" s="2" t="s">
        <v>30261</v>
      </c>
      <c r="E5" s="2" t="s">
        <v>30272</v>
      </c>
      <c r="F5" s="2" t="s">
        <v>30274</v>
      </c>
      <c r="G5" s="2" t="s">
        <v>30261</v>
      </c>
      <c r="H5" s="2" t="s">
        <v>30280</v>
      </c>
      <c r="I5" s="2" t="s">
        <v>30261</v>
      </c>
      <c r="J5" s="2" t="s">
        <v>30284</v>
      </c>
      <c r="K5" s="2" t="s">
        <v>30288</v>
      </c>
      <c r="L5" s="2" t="s">
        <v>30290</v>
      </c>
      <c r="M5" s="2" t="s">
        <v>30261</v>
      </c>
      <c r="N5" s="2" t="s">
        <v>30261</v>
      </c>
      <c r="O5" s="2" t="s">
        <v>30296</v>
      </c>
      <c r="P5" s="2" t="s">
        <v>30261</v>
      </c>
      <c r="Q5" s="2" t="s">
        <v>30261</v>
      </c>
      <c r="R5" s="2" t="s">
        <v>30301</v>
      </c>
      <c r="S5" s="2" t="s">
        <v>30304</v>
      </c>
      <c r="T5" s="2" t="s">
        <v>30261</v>
      </c>
      <c r="U5" s="2" t="s">
        <v>30261</v>
      </c>
      <c r="V5" s="2" t="s">
        <v>30261</v>
      </c>
      <c r="W5" s="2" t="s">
        <v>30311</v>
      </c>
      <c r="X5" s="2" t="s">
        <v>30261</v>
      </c>
      <c r="Y5" s="2" t="s">
        <v>30315</v>
      </c>
    </row>
    <row r="6" spans="1:25" ht="28" customHeight="1" x14ac:dyDescent="0.45">
      <c r="A6" s="2" t="s">
        <v>30329</v>
      </c>
      <c r="B6" s="2" t="s">
        <v>30262</v>
      </c>
      <c r="C6" s="2" t="s">
        <v>30266</v>
      </c>
      <c r="D6" s="2" t="s">
        <v>30270</v>
      </c>
      <c r="E6" s="2" t="s">
        <v>30270</v>
      </c>
      <c r="F6" s="2" t="s">
        <v>30275</v>
      </c>
      <c r="G6" s="2" t="s">
        <v>30270</v>
      </c>
      <c r="H6" s="2" t="s">
        <v>30270</v>
      </c>
      <c r="I6" s="2" t="s">
        <v>30282</v>
      </c>
      <c r="J6" s="2" t="s">
        <v>30285</v>
      </c>
      <c r="K6" s="2" t="s">
        <v>30275</v>
      </c>
      <c r="L6" s="2" t="s">
        <v>30282</v>
      </c>
      <c r="M6" s="2" t="s">
        <v>30266</v>
      </c>
      <c r="N6" s="2" t="s">
        <v>30293</v>
      </c>
      <c r="O6" s="2" t="s">
        <v>30282</v>
      </c>
      <c r="P6" s="2" t="s">
        <v>30282</v>
      </c>
      <c r="Q6" s="2" t="s">
        <v>30299</v>
      </c>
      <c r="R6" s="2" t="s">
        <v>30302</v>
      </c>
      <c r="S6" s="2" t="s">
        <v>30302</v>
      </c>
      <c r="T6" s="2" t="s">
        <v>30302</v>
      </c>
      <c r="U6" s="2" t="s">
        <v>30282</v>
      </c>
      <c r="V6" s="2" t="s">
        <v>30282</v>
      </c>
      <c r="W6" s="2" t="s">
        <v>30312</v>
      </c>
      <c r="X6" s="2" t="s">
        <v>30285</v>
      </c>
      <c r="Y6" s="2" t="s">
        <v>30299</v>
      </c>
    </row>
    <row r="8" spans="1:25" ht="14" customHeight="1" x14ac:dyDescent="0.45">
      <c r="A8" s="3">
        <v>46253</v>
      </c>
      <c r="B8" s="4">
        <v>50.26</v>
      </c>
      <c r="C8" s="4">
        <v>39.42</v>
      </c>
      <c r="D8" s="4">
        <v>53.56</v>
      </c>
      <c r="E8" s="4">
        <v>54.89</v>
      </c>
      <c r="F8" s="4">
        <v>54.97</v>
      </c>
      <c r="G8" s="4">
        <v>44.71</v>
      </c>
      <c r="H8" s="4">
        <v>51.34</v>
      </c>
      <c r="I8" s="4">
        <v>47.91</v>
      </c>
      <c r="J8" s="4">
        <v>45.91</v>
      </c>
      <c r="K8" s="4">
        <v>44.86</v>
      </c>
      <c r="L8" s="4">
        <v>47.91</v>
      </c>
      <c r="M8" s="4">
        <v>43.12</v>
      </c>
      <c r="N8" s="4">
        <v>35.4</v>
      </c>
      <c r="O8" s="4">
        <v>54.51</v>
      </c>
      <c r="P8" s="4">
        <v>51.33</v>
      </c>
      <c r="Q8" s="4">
        <v>55.92</v>
      </c>
      <c r="R8" s="4">
        <v>44.95</v>
      </c>
      <c r="S8" s="4">
        <v>39.479999999999997</v>
      </c>
      <c r="T8" s="4">
        <v>46.51</v>
      </c>
      <c r="U8" s="4">
        <v>51.9</v>
      </c>
      <c r="V8" s="4">
        <v>46.19</v>
      </c>
      <c r="W8" s="4">
        <v>59.16</v>
      </c>
      <c r="X8" s="4">
        <v>50.69</v>
      </c>
      <c r="Y8" s="4">
        <v>38.770000000000003</v>
      </c>
    </row>
    <row r="9" spans="1:25" ht="15" customHeight="1" x14ac:dyDescent="0.45">
      <c r="A9" s="3">
        <v>46252</v>
      </c>
      <c r="B9" s="4">
        <v>52.57</v>
      </c>
      <c r="C9" s="4">
        <v>42.1</v>
      </c>
      <c r="D9" s="4">
        <v>56.31</v>
      </c>
      <c r="E9" s="37">
        <v>60.41</v>
      </c>
      <c r="F9" s="4">
        <v>55.23</v>
      </c>
      <c r="G9" s="4">
        <v>49.38</v>
      </c>
      <c r="H9" s="4">
        <v>56.73</v>
      </c>
      <c r="I9" s="4">
        <v>52.4</v>
      </c>
      <c r="J9" s="4">
        <v>51.4</v>
      </c>
      <c r="K9" s="4">
        <v>50</v>
      </c>
      <c r="L9" s="4">
        <v>52.66</v>
      </c>
      <c r="M9" s="4">
        <v>48.96</v>
      </c>
      <c r="N9" s="4">
        <v>42.67</v>
      </c>
      <c r="O9" s="4">
        <v>54.65</v>
      </c>
      <c r="P9" s="4">
        <v>59.34</v>
      </c>
      <c r="Q9" s="37">
        <v>61.04</v>
      </c>
      <c r="R9" s="4">
        <v>52.02</v>
      </c>
      <c r="S9" s="4">
        <v>44.35</v>
      </c>
      <c r="T9" s="4">
        <v>53.18</v>
      </c>
      <c r="U9" s="4">
        <v>54.23</v>
      </c>
      <c r="V9" s="4">
        <v>51.9</v>
      </c>
      <c r="W9" s="37">
        <v>63.89</v>
      </c>
      <c r="X9" s="4">
        <v>52.73</v>
      </c>
      <c r="Y9" s="4">
        <v>39.799999999999997</v>
      </c>
    </row>
    <row r="10" spans="1:25" ht="15" customHeight="1" x14ac:dyDescent="0.45">
      <c r="A10" s="3">
        <v>46248</v>
      </c>
      <c r="B10" s="4">
        <v>55.72</v>
      </c>
      <c r="C10" s="4">
        <v>47.35</v>
      </c>
      <c r="D10" s="4">
        <v>58.53</v>
      </c>
      <c r="E10" s="37">
        <v>63.75</v>
      </c>
      <c r="F10" s="37">
        <v>60.8</v>
      </c>
      <c r="G10" s="4">
        <v>53.87</v>
      </c>
      <c r="H10" s="37">
        <v>60.13</v>
      </c>
      <c r="I10" s="4">
        <v>57.62</v>
      </c>
      <c r="J10" s="4">
        <v>51.7</v>
      </c>
      <c r="K10" s="4">
        <v>53.58</v>
      </c>
      <c r="L10" s="4">
        <v>56.98</v>
      </c>
      <c r="M10" s="4">
        <v>51.06</v>
      </c>
      <c r="N10" s="4">
        <v>45.37</v>
      </c>
      <c r="O10" s="4">
        <v>59.5</v>
      </c>
      <c r="P10" s="4">
        <v>57.71</v>
      </c>
      <c r="Q10" s="37">
        <v>61.74</v>
      </c>
      <c r="R10" s="4">
        <v>54.58</v>
      </c>
      <c r="S10" s="4">
        <v>50.41</v>
      </c>
      <c r="T10" s="4">
        <v>51.22</v>
      </c>
      <c r="U10" s="4">
        <v>59.92</v>
      </c>
      <c r="V10" s="4">
        <v>52.77</v>
      </c>
      <c r="W10" s="37">
        <v>68.38</v>
      </c>
      <c r="X10" s="37">
        <v>63.74</v>
      </c>
      <c r="Y10" s="4">
        <v>44.98</v>
      </c>
    </row>
    <row r="11" spans="1:25" ht="15" customHeight="1" x14ac:dyDescent="0.45">
      <c r="A11" s="3">
        <v>46247</v>
      </c>
      <c r="B11" s="4">
        <v>48.37</v>
      </c>
      <c r="C11" s="4">
        <v>47.1</v>
      </c>
      <c r="D11" s="4">
        <v>54.85</v>
      </c>
      <c r="E11" s="37">
        <v>61.98</v>
      </c>
      <c r="F11" s="37">
        <v>62.27</v>
      </c>
      <c r="G11" s="4">
        <v>51.59</v>
      </c>
      <c r="H11" s="37">
        <v>61.24</v>
      </c>
      <c r="I11" s="4">
        <v>57.72</v>
      </c>
      <c r="J11" s="4">
        <v>51.29</v>
      </c>
      <c r="K11" s="4">
        <v>54.36</v>
      </c>
      <c r="L11" s="4">
        <v>55.17</v>
      </c>
      <c r="M11" s="4">
        <v>51.62</v>
      </c>
      <c r="N11" s="4">
        <v>45.72</v>
      </c>
      <c r="O11" s="37">
        <v>60.03</v>
      </c>
      <c r="P11" s="4">
        <v>55.48</v>
      </c>
      <c r="Q11" s="4">
        <v>52.7</v>
      </c>
      <c r="R11" s="4">
        <v>52.48</v>
      </c>
      <c r="S11" s="4">
        <v>51.33</v>
      </c>
      <c r="T11" s="4">
        <v>48.52</v>
      </c>
      <c r="U11" s="4">
        <v>59.11</v>
      </c>
      <c r="V11" s="4">
        <v>52.24</v>
      </c>
      <c r="W11" s="4">
        <v>59.96</v>
      </c>
      <c r="X11" s="37">
        <v>61.7</v>
      </c>
      <c r="Y11" s="4">
        <v>41.53</v>
      </c>
    </row>
    <row r="12" spans="1:25" ht="15" customHeight="1" x14ac:dyDescent="0.45">
      <c r="A12" s="3">
        <v>46246</v>
      </c>
      <c r="B12" s="4">
        <v>50.61</v>
      </c>
      <c r="C12" s="4">
        <v>42.98</v>
      </c>
      <c r="D12" s="4">
        <v>56.41</v>
      </c>
      <c r="E12" s="4">
        <v>59.44</v>
      </c>
      <c r="F12" s="4">
        <v>59.95</v>
      </c>
      <c r="G12" s="4">
        <v>53.4</v>
      </c>
      <c r="H12" s="4">
        <v>56.62</v>
      </c>
      <c r="I12" s="4">
        <v>52.4</v>
      </c>
      <c r="J12" s="4">
        <v>46.05</v>
      </c>
      <c r="K12" s="4">
        <v>52.16</v>
      </c>
      <c r="L12" s="4">
        <v>49.29</v>
      </c>
      <c r="M12" s="4">
        <v>47.32</v>
      </c>
      <c r="N12" s="4">
        <v>54.98</v>
      </c>
      <c r="O12" s="4">
        <v>56.66</v>
      </c>
      <c r="P12" s="4">
        <v>53.11</v>
      </c>
      <c r="Q12" s="4">
        <v>47.86</v>
      </c>
      <c r="R12" s="4">
        <v>46.75</v>
      </c>
      <c r="S12" s="4">
        <v>46.51</v>
      </c>
      <c r="T12" s="4">
        <v>48.53</v>
      </c>
      <c r="U12" s="4">
        <v>56.65</v>
      </c>
      <c r="V12" s="4">
        <v>46.74</v>
      </c>
      <c r="W12" s="37">
        <v>61.21</v>
      </c>
      <c r="X12" s="4">
        <v>56.49</v>
      </c>
      <c r="Y12" s="4">
        <v>43.47</v>
      </c>
    </row>
    <row r="13" spans="1:25" ht="15" customHeight="1" x14ac:dyDescent="0.45">
      <c r="A13" s="3">
        <v>46245</v>
      </c>
      <c r="B13" s="4">
        <v>55.73</v>
      </c>
      <c r="C13" s="4">
        <v>44.69</v>
      </c>
      <c r="D13" s="4">
        <v>59.02</v>
      </c>
      <c r="E13" s="4">
        <v>58.12</v>
      </c>
      <c r="F13" s="37">
        <v>68.06</v>
      </c>
      <c r="G13" s="4">
        <v>56.61</v>
      </c>
      <c r="H13" s="4">
        <v>56.56</v>
      </c>
      <c r="I13" s="4">
        <v>50.42</v>
      </c>
      <c r="J13" s="4">
        <v>41.99</v>
      </c>
      <c r="K13" s="4">
        <v>51.14</v>
      </c>
      <c r="L13" s="4">
        <v>47.26</v>
      </c>
      <c r="M13" s="4">
        <v>46.04</v>
      </c>
      <c r="N13" s="4">
        <v>53.45</v>
      </c>
      <c r="O13" s="4">
        <v>55.02</v>
      </c>
      <c r="P13" s="4">
        <v>55.69</v>
      </c>
      <c r="Q13" s="4">
        <v>47.58</v>
      </c>
      <c r="R13" s="4">
        <v>44.37</v>
      </c>
      <c r="S13" s="4">
        <v>44.78</v>
      </c>
      <c r="T13" s="4">
        <v>46.81</v>
      </c>
      <c r="U13" s="4">
        <v>58.19</v>
      </c>
      <c r="V13" s="4">
        <v>42.9</v>
      </c>
      <c r="W13" s="37">
        <v>67.36</v>
      </c>
      <c r="X13" s="4">
        <v>57.65</v>
      </c>
      <c r="Y13" s="4">
        <v>43.86</v>
      </c>
    </row>
    <row r="14" spans="1:25" ht="15" customHeight="1" x14ac:dyDescent="0.45">
      <c r="A14" s="3">
        <v>46244</v>
      </c>
      <c r="B14" s="37">
        <v>62.57</v>
      </c>
      <c r="C14" s="4">
        <v>45.92</v>
      </c>
      <c r="D14" s="4">
        <v>58.92</v>
      </c>
      <c r="E14" s="4">
        <v>59.29</v>
      </c>
      <c r="F14" s="37">
        <v>64.61</v>
      </c>
      <c r="G14" s="4">
        <v>56.88</v>
      </c>
      <c r="H14" s="37">
        <v>61.39</v>
      </c>
      <c r="I14" s="4">
        <v>53.07</v>
      </c>
      <c r="J14" s="4">
        <v>41.5</v>
      </c>
      <c r="K14" s="4">
        <v>49.8</v>
      </c>
      <c r="L14" s="4">
        <v>52.79</v>
      </c>
      <c r="M14" s="4">
        <v>45.85</v>
      </c>
      <c r="N14" s="4">
        <v>53.66</v>
      </c>
      <c r="O14" s="4">
        <v>55.12</v>
      </c>
      <c r="P14" s="4">
        <v>56.91</v>
      </c>
      <c r="Q14" s="4">
        <v>45.36</v>
      </c>
      <c r="R14" s="4">
        <v>45.25</v>
      </c>
      <c r="S14" s="4">
        <v>46.57</v>
      </c>
      <c r="T14" s="4">
        <v>43.95</v>
      </c>
      <c r="U14" s="4">
        <v>57.93</v>
      </c>
      <c r="V14" s="4">
        <v>42.9</v>
      </c>
      <c r="W14" s="37">
        <v>61.22</v>
      </c>
      <c r="X14" s="4">
        <v>55.01</v>
      </c>
      <c r="Y14" s="4">
        <v>45.1</v>
      </c>
    </row>
    <row r="15" spans="1:25" ht="15" customHeight="1" x14ac:dyDescent="0.45">
      <c r="A15" s="3">
        <v>46241</v>
      </c>
      <c r="B15" s="37">
        <v>64.849999999999994</v>
      </c>
      <c r="C15" s="4">
        <v>44.52</v>
      </c>
      <c r="D15" s="4">
        <v>57.65</v>
      </c>
      <c r="E15" s="4">
        <v>58.23</v>
      </c>
      <c r="F15" s="37">
        <v>63.05</v>
      </c>
      <c r="G15" s="4">
        <v>54.67</v>
      </c>
      <c r="H15" s="4">
        <v>54.67</v>
      </c>
      <c r="I15" s="4">
        <v>48.87</v>
      </c>
      <c r="J15" s="4">
        <v>41.35</v>
      </c>
      <c r="K15" s="4">
        <v>44.17</v>
      </c>
      <c r="L15" s="4">
        <v>49.01</v>
      </c>
      <c r="M15" s="4">
        <v>45.86</v>
      </c>
      <c r="N15" s="4">
        <v>52.41</v>
      </c>
      <c r="O15" s="4">
        <v>53.53</v>
      </c>
      <c r="P15" s="37">
        <v>61.04</v>
      </c>
      <c r="Q15" s="4">
        <v>49.46</v>
      </c>
      <c r="R15" s="4">
        <v>45.24</v>
      </c>
      <c r="S15" s="4">
        <v>41.93</v>
      </c>
      <c r="T15" s="4">
        <v>43.52</v>
      </c>
      <c r="U15" s="4">
        <v>55.36</v>
      </c>
      <c r="V15" s="4">
        <v>42.24</v>
      </c>
      <c r="W15" s="4">
        <v>58.3</v>
      </c>
      <c r="X15" s="4">
        <v>54.16</v>
      </c>
      <c r="Y15" s="4">
        <v>45.96</v>
      </c>
    </row>
    <row r="16" spans="1:25" ht="15" customHeight="1" x14ac:dyDescent="0.45">
      <c r="A16" s="3">
        <v>46240</v>
      </c>
      <c r="B16" s="37">
        <v>61.25</v>
      </c>
      <c r="C16" s="4">
        <v>44.53</v>
      </c>
      <c r="D16" s="4">
        <v>56.75</v>
      </c>
      <c r="E16" s="4">
        <v>53.39</v>
      </c>
      <c r="F16" s="37">
        <v>60.95</v>
      </c>
      <c r="G16" s="4">
        <v>54.48</v>
      </c>
      <c r="H16" s="4">
        <v>56.06</v>
      </c>
      <c r="I16" s="4">
        <v>49.17</v>
      </c>
      <c r="J16" s="4">
        <v>41.94</v>
      </c>
      <c r="K16" s="4">
        <v>45.4</v>
      </c>
      <c r="L16" s="4">
        <v>48.18</v>
      </c>
      <c r="M16" s="4">
        <v>45.71</v>
      </c>
      <c r="N16" s="4">
        <v>52.31</v>
      </c>
      <c r="O16" s="4">
        <v>56.61</v>
      </c>
      <c r="P16" s="4">
        <v>59.69</v>
      </c>
      <c r="Q16" s="4">
        <v>52.99</v>
      </c>
      <c r="R16" s="4">
        <v>45.9</v>
      </c>
      <c r="S16" s="4">
        <v>44.05</v>
      </c>
      <c r="T16" s="4">
        <v>46.53</v>
      </c>
      <c r="U16" s="4">
        <v>56.11</v>
      </c>
      <c r="V16" s="4">
        <v>42.64</v>
      </c>
      <c r="W16" s="4">
        <v>55.81</v>
      </c>
      <c r="X16" s="4">
        <v>57.78</v>
      </c>
      <c r="Y16" s="4">
        <v>45.02</v>
      </c>
    </row>
    <row r="17" spans="1:25" ht="15" customHeight="1" x14ac:dyDescent="0.45">
      <c r="A17" s="3">
        <v>46239</v>
      </c>
      <c r="B17" s="4">
        <v>50.92</v>
      </c>
      <c r="C17" s="4">
        <v>39.06</v>
      </c>
      <c r="D17" s="4">
        <v>53.79</v>
      </c>
      <c r="E17" s="4">
        <v>48.83</v>
      </c>
      <c r="F17" s="4">
        <v>56.54</v>
      </c>
      <c r="G17" s="4">
        <v>51.43</v>
      </c>
      <c r="H17" s="4">
        <v>54.17</v>
      </c>
      <c r="I17" s="4">
        <v>50.51</v>
      </c>
      <c r="J17" s="4">
        <v>45.77</v>
      </c>
      <c r="K17" s="4">
        <v>48.64</v>
      </c>
      <c r="L17" s="4">
        <v>49.69</v>
      </c>
      <c r="M17" s="4">
        <v>45.4</v>
      </c>
      <c r="N17" s="4">
        <v>51.41</v>
      </c>
      <c r="O17" s="4">
        <v>53.91</v>
      </c>
      <c r="P17" s="4">
        <v>58.93</v>
      </c>
      <c r="Q17" s="4">
        <v>53.47</v>
      </c>
      <c r="R17" s="4">
        <v>48.15</v>
      </c>
      <c r="S17" s="4">
        <v>43.96</v>
      </c>
      <c r="T17" s="4">
        <v>45.12</v>
      </c>
      <c r="U17" s="4">
        <v>52.28</v>
      </c>
      <c r="V17" s="4">
        <v>46.19</v>
      </c>
      <c r="W17" s="4">
        <v>50.23</v>
      </c>
      <c r="X17" s="4">
        <v>57.09</v>
      </c>
      <c r="Y17" s="4">
        <v>41.67</v>
      </c>
    </row>
    <row r="18" spans="1:25" ht="15" customHeight="1" x14ac:dyDescent="0.45">
      <c r="A18" s="3">
        <v>46238</v>
      </c>
      <c r="B18" s="4">
        <v>51.65</v>
      </c>
      <c r="C18" s="4">
        <v>37.35</v>
      </c>
      <c r="D18" s="4">
        <v>51.28</v>
      </c>
      <c r="E18" s="4">
        <v>47.4</v>
      </c>
      <c r="F18" s="4">
        <v>54.48</v>
      </c>
      <c r="G18" s="4">
        <v>47.87</v>
      </c>
      <c r="H18" s="4">
        <v>50.91</v>
      </c>
      <c r="I18" s="4">
        <v>45.95</v>
      </c>
      <c r="J18" s="4">
        <v>43.5</v>
      </c>
      <c r="K18" s="4">
        <v>46.91</v>
      </c>
      <c r="L18" s="4">
        <v>45.46</v>
      </c>
      <c r="M18" s="4">
        <v>42.07</v>
      </c>
      <c r="N18" s="4">
        <v>48.91</v>
      </c>
      <c r="O18" s="4">
        <v>49.39</v>
      </c>
      <c r="P18" s="4">
        <v>54.04</v>
      </c>
      <c r="Q18" s="4">
        <v>52.47</v>
      </c>
      <c r="R18" s="4">
        <v>44.36</v>
      </c>
      <c r="S18" s="4">
        <v>41.98</v>
      </c>
      <c r="T18" s="4">
        <v>41</v>
      </c>
      <c r="U18" s="4">
        <v>49.86</v>
      </c>
      <c r="V18" s="4">
        <v>43.62</v>
      </c>
      <c r="W18" s="4">
        <v>49.49</v>
      </c>
      <c r="X18" s="4">
        <v>55.02</v>
      </c>
      <c r="Y18" s="4">
        <v>41.92</v>
      </c>
    </row>
    <row r="19" spans="1:25" ht="15" customHeight="1" x14ac:dyDescent="0.45">
      <c r="A19" s="3">
        <v>46237</v>
      </c>
      <c r="B19" s="4">
        <v>48.21</v>
      </c>
      <c r="C19" s="4">
        <v>34.78</v>
      </c>
      <c r="D19" s="4">
        <v>44.11</v>
      </c>
      <c r="E19" s="4">
        <v>41.54</v>
      </c>
      <c r="F19" s="4">
        <v>49.2</v>
      </c>
      <c r="G19" s="4">
        <v>41.79</v>
      </c>
      <c r="H19" s="4">
        <v>44.68</v>
      </c>
      <c r="I19" s="4">
        <v>41.48</v>
      </c>
      <c r="J19" s="4">
        <v>43</v>
      </c>
      <c r="K19" s="4">
        <v>44.45</v>
      </c>
      <c r="L19" s="4">
        <v>42.59</v>
      </c>
      <c r="M19" s="4">
        <v>41.64</v>
      </c>
      <c r="N19" s="4">
        <v>45.87</v>
      </c>
      <c r="O19" s="4">
        <v>42.75</v>
      </c>
      <c r="P19" s="4">
        <v>50.86</v>
      </c>
      <c r="Q19" s="4">
        <v>42.73</v>
      </c>
      <c r="R19" s="4">
        <v>42.79</v>
      </c>
      <c r="S19" s="4">
        <v>39.92</v>
      </c>
      <c r="T19" s="4">
        <v>42.14</v>
      </c>
      <c r="U19" s="4">
        <v>44.22</v>
      </c>
      <c r="V19" s="4">
        <v>42.62</v>
      </c>
      <c r="W19" s="4">
        <v>47.32</v>
      </c>
      <c r="X19" s="4">
        <v>48.14</v>
      </c>
      <c r="Y19" s="4">
        <v>37.99</v>
      </c>
    </row>
    <row r="20" spans="1:25" ht="15" customHeight="1" x14ac:dyDescent="0.45">
      <c r="A20" s="3">
        <v>46230</v>
      </c>
      <c r="B20" s="4">
        <v>55.97</v>
      </c>
      <c r="C20" s="4">
        <v>50.01</v>
      </c>
      <c r="D20" s="4">
        <v>47.69</v>
      </c>
      <c r="E20" s="4">
        <v>46.2</v>
      </c>
      <c r="F20" s="4">
        <v>58.42</v>
      </c>
      <c r="G20" s="4">
        <v>43.14</v>
      </c>
      <c r="H20" s="4">
        <v>44.24</v>
      </c>
      <c r="I20" s="4">
        <v>39.840000000000003</v>
      </c>
      <c r="J20" s="4">
        <v>42.91</v>
      </c>
      <c r="K20" s="4">
        <v>43.74</v>
      </c>
      <c r="L20" s="4">
        <v>37.07</v>
      </c>
      <c r="M20" s="4">
        <v>41.31</v>
      </c>
      <c r="N20" s="4">
        <v>51.04</v>
      </c>
      <c r="O20" s="4">
        <v>45.27</v>
      </c>
      <c r="P20" s="4">
        <v>52.52</v>
      </c>
      <c r="Q20" s="4">
        <v>56.02</v>
      </c>
      <c r="R20" s="4">
        <v>44.11</v>
      </c>
      <c r="S20" s="4">
        <v>44.98</v>
      </c>
      <c r="T20" s="4">
        <v>44.73</v>
      </c>
      <c r="U20" s="4">
        <v>47.76</v>
      </c>
      <c r="V20" s="4">
        <v>42.21</v>
      </c>
      <c r="W20" s="4">
        <v>50.63</v>
      </c>
      <c r="X20" s="4">
        <v>52.4</v>
      </c>
      <c r="Y20" s="4">
        <v>52.34</v>
      </c>
    </row>
    <row r="21" spans="1:25" ht="15" customHeight="1" x14ac:dyDescent="0.45">
      <c r="A21" s="3">
        <v>46227</v>
      </c>
      <c r="B21" s="4">
        <v>54.43</v>
      </c>
      <c r="C21" s="4">
        <v>47.8</v>
      </c>
      <c r="D21" s="4">
        <v>49</v>
      </c>
      <c r="E21" s="4">
        <v>50.8</v>
      </c>
      <c r="F21" s="4">
        <v>57.48</v>
      </c>
      <c r="G21" s="4">
        <v>44.16</v>
      </c>
      <c r="H21" s="4">
        <v>48.44</v>
      </c>
      <c r="I21" s="4">
        <v>39.53</v>
      </c>
      <c r="J21" s="4">
        <v>39.85</v>
      </c>
      <c r="K21" s="4">
        <v>40.49</v>
      </c>
      <c r="L21" s="4">
        <v>39.700000000000003</v>
      </c>
      <c r="M21" s="4">
        <v>40.24</v>
      </c>
      <c r="N21" s="4">
        <v>47.64</v>
      </c>
      <c r="O21" s="4">
        <v>48.58</v>
      </c>
      <c r="P21" s="4">
        <v>57.06</v>
      </c>
      <c r="Q21" s="4">
        <v>59.47</v>
      </c>
      <c r="R21" s="4">
        <v>43.24</v>
      </c>
      <c r="S21" s="4">
        <v>39.340000000000003</v>
      </c>
      <c r="T21" s="4">
        <v>44.79</v>
      </c>
      <c r="U21" s="4">
        <v>49.11</v>
      </c>
      <c r="V21" s="4">
        <v>39.69</v>
      </c>
      <c r="W21" s="4">
        <v>49.02</v>
      </c>
      <c r="X21" s="4">
        <v>47.59</v>
      </c>
      <c r="Y21" s="4">
        <v>47.52</v>
      </c>
    </row>
    <row r="22" spans="1:25" ht="15" customHeight="1" x14ac:dyDescent="0.45">
      <c r="A22" s="3">
        <v>46226</v>
      </c>
      <c r="B22" s="4">
        <v>50.74</v>
      </c>
      <c r="C22" s="4">
        <v>49.27</v>
      </c>
      <c r="D22" s="4">
        <v>46.77</v>
      </c>
      <c r="E22" s="4">
        <v>54.64</v>
      </c>
      <c r="F22" s="4">
        <v>48.07</v>
      </c>
      <c r="G22" s="4">
        <v>45.88</v>
      </c>
      <c r="H22" s="4">
        <v>48</v>
      </c>
      <c r="I22" s="4">
        <v>42.43</v>
      </c>
      <c r="J22" s="4">
        <v>44.32</v>
      </c>
      <c r="K22" s="4">
        <v>44.54</v>
      </c>
      <c r="L22" s="4">
        <v>44.67</v>
      </c>
      <c r="M22" s="4">
        <v>43.19</v>
      </c>
      <c r="N22" s="4">
        <v>48.34</v>
      </c>
      <c r="O22" s="4">
        <v>51.63</v>
      </c>
      <c r="P22" s="4">
        <v>55.17</v>
      </c>
      <c r="Q22" s="4">
        <v>57.69</v>
      </c>
      <c r="R22" s="4">
        <v>46.68</v>
      </c>
      <c r="S22" s="4">
        <v>42.92</v>
      </c>
      <c r="T22" s="4">
        <v>46.11</v>
      </c>
      <c r="U22" s="4">
        <v>48.62</v>
      </c>
      <c r="V22" s="4">
        <v>44.19</v>
      </c>
      <c r="W22" s="4">
        <v>49.14</v>
      </c>
      <c r="X22" s="4">
        <v>53.09</v>
      </c>
      <c r="Y22" s="4">
        <v>46.92</v>
      </c>
    </row>
    <row r="23" spans="1:25" ht="15" customHeight="1" x14ac:dyDescent="0.45">
      <c r="A23" s="3">
        <v>46225</v>
      </c>
      <c r="B23" s="4">
        <v>45.73</v>
      </c>
      <c r="C23" s="4">
        <v>42.35</v>
      </c>
      <c r="D23" s="4">
        <v>39.299999999999997</v>
      </c>
      <c r="E23" s="4">
        <v>44.73</v>
      </c>
      <c r="F23" s="4">
        <v>45.63</v>
      </c>
      <c r="G23" s="4">
        <v>35.93</v>
      </c>
      <c r="H23" s="4">
        <v>38.94</v>
      </c>
      <c r="I23" s="4">
        <v>37.229999999999997</v>
      </c>
      <c r="J23" s="4">
        <v>40.76</v>
      </c>
      <c r="K23" s="4">
        <v>42.79</v>
      </c>
      <c r="L23" s="4">
        <v>38.22</v>
      </c>
      <c r="M23" s="4">
        <v>40.26</v>
      </c>
      <c r="N23" s="4">
        <v>38.950000000000003</v>
      </c>
      <c r="O23" s="4">
        <v>42.43</v>
      </c>
      <c r="P23" s="4">
        <v>47.36</v>
      </c>
      <c r="Q23" s="4">
        <v>51.7</v>
      </c>
      <c r="R23" s="4">
        <v>43.71</v>
      </c>
      <c r="S23" s="4">
        <v>38.81</v>
      </c>
      <c r="T23" s="4">
        <v>43.61</v>
      </c>
      <c r="U23" s="4">
        <v>39.42</v>
      </c>
      <c r="V23" s="4">
        <v>39.869999999999997</v>
      </c>
      <c r="W23" s="4">
        <v>42.06</v>
      </c>
      <c r="X23" s="4">
        <v>42.37</v>
      </c>
      <c r="Y23" s="4">
        <v>39.1</v>
      </c>
    </row>
    <row r="24" spans="1:25" ht="15" customHeight="1" x14ac:dyDescent="0.45">
      <c r="A24" s="3">
        <v>46224</v>
      </c>
      <c r="B24" s="4">
        <v>47.05</v>
      </c>
      <c r="C24" s="4">
        <v>44.81</v>
      </c>
      <c r="D24" s="4">
        <v>38.409999999999997</v>
      </c>
      <c r="E24" s="4">
        <v>44.09</v>
      </c>
      <c r="F24" s="4">
        <v>47.49</v>
      </c>
      <c r="G24" s="4">
        <v>36.11</v>
      </c>
      <c r="H24" s="4">
        <v>37.090000000000003</v>
      </c>
      <c r="I24" s="4">
        <v>34.94</v>
      </c>
      <c r="J24" s="4">
        <v>40.4</v>
      </c>
      <c r="K24" s="4">
        <v>47.57</v>
      </c>
      <c r="L24" s="4">
        <v>34.07</v>
      </c>
      <c r="M24" s="4">
        <v>38.78</v>
      </c>
      <c r="N24" s="4">
        <v>37.340000000000003</v>
      </c>
      <c r="O24" s="4">
        <v>37.79</v>
      </c>
      <c r="P24" s="4">
        <v>45.39</v>
      </c>
      <c r="Q24" s="4">
        <v>40.340000000000003</v>
      </c>
      <c r="R24" s="4">
        <v>43.21</v>
      </c>
      <c r="S24" s="4">
        <v>39.119999999999997</v>
      </c>
      <c r="T24" s="4">
        <v>42.08</v>
      </c>
      <c r="U24" s="4">
        <v>35.49</v>
      </c>
      <c r="V24" s="4">
        <v>39.25</v>
      </c>
      <c r="W24" s="4">
        <v>42.06</v>
      </c>
      <c r="X24" s="4">
        <v>39.35</v>
      </c>
      <c r="Y24" s="4">
        <v>38.29</v>
      </c>
    </row>
    <row r="25" spans="1:25" ht="15" customHeight="1" x14ac:dyDescent="0.45">
      <c r="A25" s="3">
        <v>46223</v>
      </c>
      <c r="B25" s="4">
        <v>45.16</v>
      </c>
      <c r="C25" s="4">
        <v>43.9</v>
      </c>
      <c r="D25" s="4">
        <v>39.29</v>
      </c>
      <c r="E25" s="4">
        <v>43.74</v>
      </c>
      <c r="F25" s="4">
        <v>44.15</v>
      </c>
      <c r="G25" s="4">
        <v>37.81</v>
      </c>
      <c r="H25" s="4">
        <v>35.96</v>
      </c>
      <c r="I25" s="4">
        <v>35.42</v>
      </c>
      <c r="J25" s="4">
        <v>37.53</v>
      </c>
      <c r="K25" s="4">
        <v>45.02</v>
      </c>
      <c r="L25" s="4">
        <v>31.91</v>
      </c>
      <c r="M25" s="4">
        <v>32.99</v>
      </c>
      <c r="N25" s="4">
        <v>34.130000000000003</v>
      </c>
      <c r="O25" s="4">
        <v>35.14</v>
      </c>
      <c r="P25" s="4">
        <v>44.8</v>
      </c>
      <c r="Q25" s="4">
        <v>40.729999999999997</v>
      </c>
      <c r="R25" s="4">
        <v>40.18</v>
      </c>
      <c r="S25" s="4">
        <v>39.270000000000003</v>
      </c>
      <c r="T25" s="4">
        <v>38.39</v>
      </c>
      <c r="U25" s="4">
        <v>36.909999999999997</v>
      </c>
      <c r="V25" s="4">
        <v>36.270000000000003</v>
      </c>
      <c r="W25" s="4">
        <v>42.87</v>
      </c>
      <c r="X25" s="4">
        <v>34.32</v>
      </c>
      <c r="Y25" s="4">
        <v>40.17</v>
      </c>
    </row>
    <row r="26" spans="1:25" ht="15" customHeight="1" x14ac:dyDescent="0.45">
      <c r="A26" s="3">
        <v>46219</v>
      </c>
      <c r="B26" s="4">
        <v>47.24</v>
      </c>
      <c r="C26" s="4">
        <v>51.52</v>
      </c>
      <c r="D26" s="4">
        <v>46.32</v>
      </c>
      <c r="E26" s="4">
        <v>49.04</v>
      </c>
      <c r="F26" s="4">
        <v>49.17</v>
      </c>
      <c r="G26" s="4">
        <v>39.17</v>
      </c>
      <c r="H26" s="4">
        <v>39.83</v>
      </c>
      <c r="I26" s="4">
        <v>38.46</v>
      </c>
      <c r="J26" s="4">
        <v>39.229999999999997</v>
      </c>
      <c r="K26" s="4">
        <v>49.79</v>
      </c>
      <c r="L26" s="4">
        <v>35.99</v>
      </c>
      <c r="M26" s="4">
        <v>37.909999999999997</v>
      </c>
      <c r="N26" s="4">
        <v>37.56</v>
      </c>
      <c r="O26" s="4">
        <v>38.61</v>
      </c>
      <c r="P26" s="4">
        <v>46.35</v>
      </c>
      <c r="Q26" s="4">
        <v>45.27</v>
      </c>
      <c r="R26" s="4">
        <v>44.68</v>
      </c>
      <c r="S26" s="4">
        <v>42.55</v>
      </c>
      <c r="T26" s="4">
        <v>46.3</v>
      </c>
      <c r="U26" s="4">
        <v>39.020000000000003</v>
      </c>
      <c r="V26" s="4">
        <v>38.369999999999997</v>
      </c>
      <c r="W26" s="4">
        <v>40.01</v>
      </c>
      <c r="X26" s="4">
        <v>38.49</v>
      </c>
      <c r="Y26" s="4">
        <v>42.46</v>
      </c>
    </row>
    <row r="27" spans="1:25" ht="15" customHeight="1" x14ac:dyDescent="0.45">
      <c r="A27" s="3">
        <v>46218</v>
      </c>
      <c r="B27" s="4">
        <v>41.35</v>
      </c>
      <c r="C27" s="4">
        <v>48.74</v>
      </c>
      <c r="D27" s="4">
        <v>41.26</v>
      </c>
      <c r="E27" s="4">
        <v>48.76</v>
      </c>
      <c r="F27" s="4">
        <v>48.24</v>
      </c>
      <c r="G27" s="4">
        <v>39.85</v>
      </c>
      <c r="H27" s="4">
        <v>41.94</v>
      </c>
      <c r="I27" s="4">
        <v>40.97</v>
      </c>
      <c r="J27" s="4">
        <v>44.22</v>
      </c>
      <c r="K27" s="4">
        <v>52.45</v>
      </c>
      <c r="L27" s="4">
        <v>36.19</v>
      </c>
      <c r="M27" s="4">
        <v>39.81</v>
      </c>
      <c r="N27" s="4">
        <v>37.479999999999997</v>
      </c>
      <c r="O27" s="4">
        <v>39.76</v>
      </c>
      <c r="P27" s="4">
        <v>47.86</v>
      </c>
      <c r="Q27" s="4">
        <v>36.07</v>
      </c>
      <c r="R27" s="4">
        <v>47.8</v>
      </c>
      <c r="S27" s="4">
        <v>44.76</v>
      </c>
      <c r="T27" s="4">
        <v>45.14</v>
      </c>
      <c r="U27" s="4">
        <v>39.78</v>
      </c>
      <c r="V27" s="4">
        <v>43.16</v>
      </c>
      <c r="W27" s="4">
        <v>39.92</v>
      </c>
      <c r="X27" s="4">
        <v>38.979999999999997</v>
      </c>
      <c r="Y27" s="4">
        <v>42.31</v>
      </c>
    </row>
    <row r="28" spans="1:25" ht="15" customHeight="1" x14ac:dyDescent="0.45">
      <c r="A28" s="3">
        <v>46217</v>
      </c>
      <c r="B28" s="4">
        <v>41.67</v>
      </c>
      <c r="C28" s="4">
        <v>47.3</v>
      </c>
      <c r="D28" s="4">
        <v>40.21</v>
      </c>
      <c r="E28" s="4">
        <v>42.67</v>
      </c>
      <c r="F28" s="4">
        <v>45.01</v>
      </c>
      <c r="G28" s="4">
        <v>40.49</v>
      </c>
      <c r="H28" s="4">
        <v>35.82</v>
      </c>
      <c r="I28" s="4">
        <v>32.51</v>
      </c>
      <c r="J28" s="4">
        <v>39.22</v>
      </c>
      <c r="K28" s="4">
        <v>46.03</v>
      </c>
      <c r="L28" s="4">
        <v>31.47</v>
      </c>
      <c r="M28" s="4">
        <v>36.450000000000003</v>
      </c>
      <c r="N28" s="4">
        <v>36.86</v>
      </c>
      <c r="O28" s="4">
        <v>38.86</v>
      </c>
      <c r="P28" s="4">
        <v>44.21</v>
      </c>
      <c r="Q28" s="4">
        <v>35.4</v>
      </c>
      <c r="R28" s="4">
        <v>39.520000000000003</v>
      </c>
      <c r="S28" s="4">
        <v>38.58</v>
      </c>
      <c r="T28" s="4">
        <v>39.61</v>
      </c>
      <c r="U28" s="4">
        <v>37.409999999999997</v>
      </c>
      <c r="V28" s="4">
        <v>37.49</v>
      </c>
      <c r="W28" s="4">
        <v>40.49</v>
      </c>
      <c r="X28" s="4">
        <v>34.43</v>
      </c>
      <c r="Y28" s="4">
        <v>43.26</v>
      </c>
    </row>
    <row r="29" spans="1:25" ht="15" customHeight="1" x14ac:dyDescent="0.45">
      <c r="A29" s="3">
        <v>46216</v>
      </c>
      <c r="B29" s="4">
        <v>46.29</v>
      </c>
      <c r="C29" s="4">
        <v>50.54</v>
      </c>
      <c r="D29" s="4">
        <v>43.28</v>
      </c>
      <c r="E29" s="4">
        <v>46.11</v>
      </c>
      <c r="F29" s="4">
        <v>48.72</v>
      </c>
      <c r="G29" s="4">
        <v>41.28</v>
      </c>
      <c r="H29" s="4">
        <v>37.58</v>
      </c>
      <c r="I29" s="4">
        <v>32.83</v>
      </c>
      <c r="J29" s="4">
        <v>36.82</v>
      </c>
      <c r="K29" s="4">
        <v>45.32</v>
      </c>
      <c r="L29" s="4">
        <v>33.1</v>
      </c>
      <c r="M29" s="4">
        <v>37.74</v>
      </c>
      <c r="N29" s="4">
        <v>37.85</v>
      </c>
      <c r="O29" s="4">
        <v>38.28</v>
      </c>
      <c r="P29" s="4">
        <v>43.94</v>
      </c>
      <c r="Q29" s="4">
        <v>36.799999999999997</v>
      </c>
      <c r="R29" s="4">
        <v>41.05</v>
      </c>
      <c r="S29" s="4">
        <v>40.86</v>
      </c>
      <c r="T29" s="4">
        <v>41.21</v>
      </c>
      <c r="U29" s="4">
        <v>36.979999999999997</v>
      </c>
      <c r="V29" s="4">
        <v>35.67</v>
      </c>
      <c r="W29" s="4">
        <v>43.61</v>
      </c>
      <c r="X29" s="4">
        <v>36.700000000000003</v>
      </c>
      <c r="Y29" s="4">
        <v>46.17</v>
      </c>
    </row>
    <row r="30" spans="1:25" ht="15" customHeight="1" x14ac:dyDescent="0.45">
      <c r="A30" s="3">
        <v>46213</v>
      </c>
      <c r="B30" s="4">
        <v>47.91</v>
      </c>
      <c r="C30" s="4">
        <v>50.22</v>
      </c>
      <c r="D30" s="4">
        <v>45.37</v>
      </c>
      <c r="E30" s="4">
        <v>45.54</v>
      </c>
      <c r="F30" s="4">
        <v>49.26</v>
      </c>
      <c r="G30" s="4">
        <v>46.58</v>
      </c>
      <c r="H30" s="4">
        <v>39.31</v>
      </c>
      <c r="I30" s="4">
        <v>36.44</v>
      </c>
      <c r="J30" s="4">
        <v>43.76</v>
      </c>
      <c r="K30" s="4">
        <v>49.84</v>
      </c>
      <c r="L30" s="4">
        <v>35.43</v>
      </c>
      <c r="M30" s="4">
        <v>41.75</v>
      </c>
      <c r="N30" s="4">
        <v>43.35</v>
      </c>
      <c r="O30" s="4">
        <v>42.78</v>
      </c>
      <c r="P30" s="4">
        <v>46.78</v>
      </c>
      <c r="Q30" s="4">
        <v>44.17</v>
      </c>
      <c r="R30" s="4">
        <v>47.73</v>
      </c>
      <c r="S30" s="4">
        <v>44.37</v>
      </c>
      <c r="T30" s="4">
        <v>43.82</v>
      </c>
      <c r="U30" s="4">
        <v>40.39</v>
      </c>
      <c r="V30" s="4">
        <v>42.44</v>
      </c>
      <c r="W30" s="4">
        <v>45.11</v>
      </c>
      <c r="X30" s="4">
        <v>39.549999999999997</v>
      </c>
      <c r="Y30" s="4">
        <v>49.33</v>
      </c>
    </row>
    <row r="31" spans="1:25" ht="15" customHeight="1" x14ac:dyDescent="0.45">
      <c r="A31" s="3">
        <v>46212</v>
      </c>
      <c r="B31" s="4">
        <v>47.32</v>
      </c>
      <c r="C31" s="4">
        <v>48.74</v>
      </c>
      <c r="D31" s="4">
        <v>39.770000000000003</v>
      </c>
      <c r="E31" s="4">
        <v>40.5</v>
      </c>
      <c r="F31" s="4">
        <v>44.49</v>
      </c>
      <c r="G31" s="4">
        <v>43.09</v>
      </c>
      <c r="H31" s="4">
        <v>32.369999999999997</v>
      </c>
      <c r="I31" s="7">
        <v>29.46</v>
      </c>
      <c r="J31" s="4">
        <v>42.33</v>
      </c>
      <c r="K31" s="4">
        <v>42.12</v>
      </c>
      <c r="L31" s="4">
        <v>31.85</v>
      </c>
      <c r="M31" s="4">
        <v>38.85</v>
      </c>
      <c r="N31" s="4">
        <v>38.9</v>
      </c>
      <c r="O31" s="4">
        <v>36.54</v>
      </c>
      <c r="P31" s="4">
        <v>42.36</v>
      </c>
      <c r="Q31" s="4">
        <v>47.83</v>
      </c>
      <c r="R31" s="4">
        <v>39.46</v>
      </c>
      <c r="S31" s="4">
        <v>38.28</v>
      </c>
      <c r="T31" s="4">
        <v>38.44</v>
      </c>
      <c r="U31" s="4">
        <v>35.770000000000003</v>
      </c>
      <c r="V31" s="4">
        <v>40.369999999999997</v>
      </c>
      <c r="W31" s="4">
        <v>42.05</v>
      </c>
      <c r="X31" s="4">
        <v>34.22</v>
      </c>
      <c r="Y31" s="4">
        <v>47.46</v>
      </c>
    </row>
    <row r="32" spans="1:25" ht="15" customHeight="1" x14ac:dyDescent="0.45">
      <c r="A32" s="3">
        <v>46211</v>
      </c>
      <c r="B32" s="4">
        <v>54.62</v>
      </c>
      <c r="C32" s="4">
        <v>52.9</v>
      </c>
      <c r="D32" s="4">
        <v>42.87</v>
      </c>
      <c r="E32" s="4">
        <v>42.16</v>
      </c>
      <c r="F32" s="4">
        <v>48.06</v>
      </c>
      <c r="G32" s="4">
        <v>47.44</v>
      </c>
      <c r="H32" s="4">
        <v>33.68</v>
      </c>
      <c r="I32" s="7">
        <v>29.2</v>
      </c>
      <c r="J32" s="4">
        <v>40.85</v>
      </c>
      <c r="K32" s="4">
        <v>42.11</v>
      </c>
      <c r="L32" s="4">
        <v>35.44</v>
      </c>
      <c r="M32" s="4">
        <v>41.2</v>
      </c>
      <c r="N32" s="4">
        <v>44.82</v>
      </c>
      <c r="O32" s="4">
        <v>36.1</v>
      </c>
      <c r="P32" s="4">
        <v>48.4</v>
      </c>
      <c r="Q32" s="4">
        <v>37.93</v>
      </c>
      <c r="R32" s="4">
        <v>41.18</v>
      </c>
      <c r="S32" s="4">
        <v>42.07</v>
      </c>
      <c r="T32" s="4">
        <v>43.66</v>
      </c>
      <c r="U32" s="4">
        <v>38.130000000000003</v>
      </c>
      <c r="V32" s="4">
        <v>39.5</v>
      </c>
      <c r="W32" s="4">
        <v>49.61</v>
      </c>
      <c r="X32" s="4">
        <v>37.65</v>
      </c>
      <c r="Y32" s="4">
        <v>53.29</v>
      </c>
    </row>
    <row r="33" spans="1:25" ht="15" customHeight="1" x14ac:dyDescent="0.45">
      <c r="A33" s="3">
        <v>46210</v>
      </c>
      <c r="B33" s="4">
        <v>57.69</v>
      </c>
      <c r="C33" s="4">
        <v>59.1</v>
      </c>
      <c r="D33" s="4">
        <v>44.38</v>
      </c>
      <c r="E33" s="4">
        <v>46.63</v>
      </c>
      <c r="F33" s="4">
        <v>52.32</v>
      </c>
      <c r="G33" s="4">
        <v>48.79</v>
      </c>
      <c r="H33" s="4">
        <v>38.369999999999997</v>
      </c>
      <c r="I33" s="4">
        <v>33.61</v>
      </c>
      <c r="J33" s="4">
        <v>44.48</v>
      </c>
      <c r="K33" s="4">
        <v>47.32</v>
      </c>
      <c r="L33" s="4">
        <v>39.29</v>
      </c>
      <c r="M33" s="4">
        <v>46.27</v>
      </c>
      <c r="N33" s="4">
        <v>49.66</v>
      </c>
      <c r="O33" s="4">
        <v>39.93</v>
      </c>
      <c r="P33" s="4">
        <v>50.04</v>
      </c>
      <c r="Q33" s="4">
        <v>39.94</v>
      </c>
      <c r="R33" s="4">
        <v>46.62</v>
      </c>
      <c r="S33" s="4">
        <v>45.4</v>
      </c>
      <c r="T33" s="4">
        <v>48.79</v>
      </c>
      <c r="U33" s="4">
        <v>43.01</v>
      </c>
      <c r="V33" s="4">
        <v>43.51</v>
      </c>
      <c r="W33" s="4">
        <v>51.57</v>
      </c>
      <c r="X33" s="4">
        <v>40.92</v>
      </c>
      <c r="Y33" s="4">
        <v>55.33</v>
      </c>
    </row>
    <row r="34" spans="1:25" ht="15" customHeight="1" x14ac:dyDescent="0.45">
      <c r="A34" s="3">
        <v>46209</v>
      </c>
      <c r="B34" s="4">
        <v>46.34</v>
      </c>
      <c r="C34" s="4">
        <v>53.25</v>
      </c>
      <c r="D34" s="4">
        <v>46.09</v>
      </c>
      <c r="E34" s="4">
        <v>43.14</v>
      </c>
      <c r="F34" s="4">
        <v>49.82</v>
      </c>
      <c r="G34" s="4">
        <v>46.36</v>
      </c>
      <c r="H34" s="4">
        <v>40.64</v>
      </c>
      <c r="I34" s="4">
        <v>36.229999999999997</v>
      </c>
      <c r="J34" s="4">
        <v>48.6</v>
      </c>
      <c r="K34" s="4">
        <v>50.09</v>
      </c>
      <c r="L34" s="4">
        <v>44.49</v>
      </c>
      <c r="M34" s="4">
        <v>48.88</v>
      </c>
      <c r="N34" s="4">
        <v>50.31</v>
      </c>
      <c r="O34" s="4">
        <v>42.01</v>
      </c>
      <c r="P34" s="4">
        <v>47.58</v>
      </c>
      <c r="Q34" s="4">
        <v>35.04</v>
      </c>
      <c r="R34" s="4">
        <v>50.01</v>
      </c>
      <c r="S34" s="4">
        <v>47.42</v>
      </c>
      <c r="T34" s="4">
        <v>50.74</v>
      </c>
      <c r="U34" s="4">
        <v>42.78</v>
      </c>
      <c r="V34" s="4">
        <v>47.76</v>
      </c>
      <c r="W34" s="4">
        <v>48.26</v>
      </c>
      <c r="X34" s="4">
        <v>38.24</v>
      </c>
      <c r="Y34" s="4">
        <v>48.45</v>
      </c>
    </row>
    <row r="35" spans="1:25" ht="15" customHeight="1" x14ac:dyDescent="0.45">
      <c r="A35" s="3">
        <v>46206</v>
      </c>
      <c r="B35" s="4">
        <v>47.09</v>
      </c>
      <c r="C35" s="4">
        <v>50.96</v>
      </c>
      <c r="D35" s="4">
        <v>43.15</v>
      </c>
      <c r="E35" s="4">
        <v>42.59</v>
      </c>
      <c r="F35" s="4">
        <v>53.84</v>
      </c>
      <c r="G35" s="4">
        <v>44.79</v>
      </c>
      <c r="H35" s="4">
        <v>39.81</v>
      </c>
      <c r="I35" s="4">
        <v>37.229999999999997</v>
      </c>
      <c r="J35" s="4">
        <v>49.31</v>
      </c>
      <c r="K35" s="4">
        <v>54.88</v>
      </c>
      <c r="L35" s="4">
        <v>41.49</v>
      </c>
      <c r="M35" s="4">
        <v>46.94</v>
      </c>
      <c r="N35" s="4">
        <v>47.81</v>
      </c>
      <c r="O35" s="4">
        <v>42.32</v>
      </c>
      <c r="P35" s="4">
        <v>48.03</v>
      </c>
      <c r="Q35" s="4">
        <v>34.15</v>
      </c>
      <c r="R35" s="4">
        <v>51.7</v>
      </c>
      <c r="S35" s="4">
        <v>44</v>
      </c>
      <c r="T35" s="4">
        <v>47.7</v>
      </c>
      <c r="U35" s="4">
        <v>44.41</v>
      </c>
      <c r="V35" s="4">
        <v>48.36</v>
      </c>
      <c r="W35" s="4">
        <v>44.69</v>
      </c>
      <c r="X35" s="4">
        <v>38.880000000000003</v>
      </c>
      <c r="Y35" s="4">
        <v>44.66</v>
      </c>
    </row>
    <row r="36" spans="1:25" ht="15" customHeight="1" x14ac:dyDescent="0.45">
      <c r="A36" s="3">
        <v>46205</v>
      </c>
      <c r="B36" s="4">
        <v>48.76</v>
      </c>
      <c r="C36" s="4">
        <v>51.39</v>
      </c>
      <c r="D36" s="4">
        <v>42.12</v>
      </c>
      <c r="E36" s="4">
        <v>42.9</v>
      </c>
      <c r="F36" s="4">
        <v>51.04</v>
      </c>
      <c r="G36" s="4">
        <v>46.9</v>
      </c>
      <c r="H36" s="4">
        <v>37.14</v>
      </c>
      <c r="I36" s="4">
        <v>35.479999999999997</v>
      </c>
      <c r="J36" s="4">
        <v>43.36</v>
      </c>
      <c r="K36" s="4">
        <v>56.69</v>
      </c>
      <c r="L36" s="4">
        <v>38.36</v>
      </c>
      <c r="M36" s="4">
        <v>43.3</v>
      </c>
      <c r="N36" s="4">
        <v>47.24</v>
      </c>
      <c r="O36" s="4">
        <v>43.03</v>
      </c>
      <c r="P36" s="4">
        <v>47.07</v>
      </c>
      <c r="Q36" s="4">
        <v>36.130000000000003</v>
      </c>
      <c r="R36" s="4">
        <v>46.84</v>
      </c>
      <c r="S36" s="4">
        <v>35.53</v>
      </c>
      <c r="T36" s="4">
        <v>44.06</v>
      </c>
      <c r="U36" s="4">
        <v>45.51</v>
      </c>
      <c r="V36" s="4">
        <v>42.18</v>
      </c>
      <c r="W36" s="4">
        <v>43.98</v>
      </c>
      <c r="X36" s="4">
        <v>40.520000000000003</v>
      </c>
      <c r="Y36" s="4">
        <v>48.47</v>
      </c>
    </row>
    <row r="37" spans="1:25" ht="15" customHeight="1" x14ac:dyDescent="0.45">
      <c r="A37" s="3">
        <v>46204</v>
      </c>
      <c r="B37" s="4">
        <v>42.88</v>
      </c>
      <c r="C37" s="4">
        <v>47.63</v>
      </c>
      <c r="D37" s="4">
        <v>41.33</v>
      </c>
      <c r="E37" s="4">
        <v>45</v>
      </c>
      <c r="F37" s="4">
        <v>50.57</v>
      </c>
      <c r="G37" s="4">
        <v>49.23</v>
      </c>
      <c r="H37" s="4">
        <v>39.049999999999997</v>
      </c>
      <c r="I37" s="4">
        <v>40.78</v>
      </c>
      <c r="J37" s="4">
        <v>52.76</v>
      </c>
      <c r="K37" s="37">
        <v>64.91</v>
      </c>
      <c r="L37" s="4">
        <v>39.46</v>
      </c>
      <c r="M37" s="4">
        <v>47.85</v>
      </c>
      <c r="N37" s="4">
        <v>48.32</v>
      </c>
      <c r="O37" s="4">
        <v>49.04</v>
      </c>
      <c r="P37" s="4">
        <v>46.53</v>
      </c>
      <c r="Q37" s="4">
        <v>39.18</v>
      </c>
      <c r="R37" s="4">
        <v>55.27</v>
      </c>
      <c r="S37" s="4">
        <v>42.67</v>
      </c>
      <c r="T37" s="4">
        <v>47.1</v>
      </c>
      <c r="U37" s="4">
        <v>49.09</v>
      </c>
      <c r="V37" s="4">
        <v>51.4</v>
      </c>
      <c r="W37" s="4">
        <v>45.07</v>
      </c>
      <c r="X37" s="4">
        <v>40.5</v>
      </c>
      <c r="Y37" s="4">
        <v>44.76</v>
      </c>
    </row>
    <row r="38" spans="1:25" ht="15" customHeight="1" x14ac:dyDescent="0.45">
      <c r="A38" s="3">
        <v>46203</v>
      </c>
      <c r="B38" s="4">
        <v>39.14</v>
      </c>
      <c r="C38" s="4">
        <v>44.79</v>
      </c>
      <c r="D38" s="4">
        <v>36.9</v>
      </c>
      <c r="E38" s="4">
        <v>40</v>
      </c>
      <c r="F38" s="4">
        <v>49.01</v>
      </c>
      <c r="G38" s="4">
        <v>39.94</v>
      </c>
      <c r="H38" s="4">
        <v>34.99</v>
      </c>
      <c r="I38" s="4">
        <v>37.520000000000003</v>
      </c>
      <c r="J38" s="4">
        <v>55.92</v>
      </c>
      <c r="K38" s="37">
        <v>62.15</v>
      </c>
      <c r="L38" s="4">
        <v>35.020000000000003</v>
      </c>
      <c r="M38" s="4">
        <v>50.34</v>
      </c>
      <c r="N38" s="4">
        <v>42.74</v>
      </c>
      <c r="O38" s="4">
        <v>40.85</v>
      </c>
      <c r="P38" s="4">
        <v>41.28</v>
      </c>
      <c r="Q38" s="4">
        <v>33.659999999999997</v>
      </c>
      <c r="R38" s="4">
        <v>51.97</v>
      </c>
      <c r="S38" s="4">
        <v>36.869999999999997</v>
      </c>
      <c r="T38" s="4">
        <v>48.15</v>
      </c>
      <c r="U38" s="4">
        <v>43.06</v>
      </c>
      <c r="V38" s="4">
        <v>53.77</v>
      </c>
      <c r="W38" s="4">
        <v>39.72</v>
      </c>
      <c r="X38" s="4">
        <v>38.81</v>
      </c>
      <c r="Y38" s="4">
        <v>37.21</v>
      </c>
    </row>
    <row r="39" spans="1:25" ht="15" customHeight="1" x14ac:dyDescent="0.45">
      <c r="A39" s="3">
        <v>46202</v>
      </c>
      <c r="B39" s="4">
        <v>44.98</v>
      </c>
      <c r="C39" s="4">
        <v>47.13</v>
      </c>
      <c r="D39" s="4">
        <v>38.020000000000003</v>
      </c>
      <c r="E39" s="4">
        <v>43.39</v>
      </c>
      <c r="F39" s="4">
        <v>54.45</v>
      </c>
      <c r="G39" s="4">
        <v>45.66</v>
      </c>
      <c r="H39" s="4">
        <v>38.11</v>
      </c>
      <c r="I39" s="4">
        <v>38.409999999999997</v>
      </c>
      <c r="J39" s="4">
        <v>54.16</v>
      </c>
      <c r="K39" s="4">
        <v>52.42</v>
      </c>
      <c r="L39" s="4">
        <v>36.31</v>
      </c>
      <c r="M39" s="4">
        <v>51.13</v>
      </c>
      <c r="N39" s="4">
        <v>46.67</v>
      </c>
      <c r="O39" s="4">
        <v>42.53</v>
      </c>
      <c r="P39" s="4">
        <v>44.81</v>
      </c>
      <c r="Q39" s="4">
        <v>36.19</v>
      </c>
      <c r="R39" s="4">
        <v>50.75</v>
      </c>
      <c r="S39" s="4">
        <v>37.78</v>
      </c>
      <c r="T39" s="4">
        <v>49.69</v>
      </c>
      <c r="U39" s="4">
        <v>44.64</v>
      </c>
      <c r="V39" s="4">
        <v>52.43</v>
      </c>
      <c r="W39" s="4">
        <v>41.6</v>
      </c>
      <c r="X39" s="4">
        <v>40</v>
      </c>
      <c r="Y39" s="4">
        <v>39.96</v>
      </c>
    </row>
    <row r="40" spans="1:25" ht="15" customHeight="1" x14ac:dyDescent="0.45">
      <c r="A40" s="3">
        <v>46199</v>
      </c>
      <c r="B40" s="7">
        <v>29.18</v>
      </c>
      <c r="C40" s="4">
        <v>36.18</v>
      </c>
      <c r="D40" s="7">
        <v>27.09</v>
      </c>
      <c r="E40" s="4">
        <v>30.21</v>
      </c>
      <c r="F40" s="4">
        <v>42.05</v>
      </c>
      <c r="G40" s="7">
        <v>27.13</v>
      </c>
      <c r="H40" s="7">
        <v>29.84</v>
      </c>
      <c r="I40" s="4">
        <v>31.14</v>
      </c>
      <c r="J40" s="4">
        <v>56.07</v>
      </c>
      <c r="K40" s="4">
        <v>43.31</v>
      </c>
      <c r="L40" s="4">
        <v>30.12</v>
      </c>
      <c r="M40" s="4">
        <v>52.56</v>
      </c>
      <c r="N40" s="4">
        <v>41.97</v>
      </c>
      <c r="O40" s="4">
        <v>33.85</v>
      </c>
      <c r="P40" s="4">
        <v>38.65</v>
      </c>
      <c r="Q40" s="4">
        <v>34.79</v>
      </c>
      <c r="R40" s="4">
        <v>50.09</v>
      </c>
      <c r="S40" s="7">
        <v>29.45</v>
      </c>
      <c r="T40" s="4">
        <v>53.2</v>
      </c>
      <c r="U40" s="4">
        <v>32.92</v>
      </c>
      <c r="V40" s="4">
        <v>53.06</v>
      </c>
      <c r="W40" s="4">
        <v>41.39</v>
      </c>
      <c r="X40" s="4">
        <v>32.590000000000003</v>
      </c>
      <c r="Y40" s="7">
        <v>26.36</v>
      </c>
    </row>
    <row r="41" spans="1:25" ht="15" customHeight="1" x14ac:dyDescent="0.45">
      <c r="A41" s="3">
        <v>46198</v>
      </c>
      <c r="B41" s="4">
        <v>30.16</v>
      </c>
      <c r="C41" s="4">
        <v>36.51</v>
      </c>
      <c r="D41" s="7">
        <v>28.56</v>
      </c>
      <c r="E41" s="4">
        <v>32.590000000000003</v>
      </c>
      <c r="F41" s="4">
        <v>46.57</v>
      </c>
      <c r="G41" s="7">
        <v>27.66</v>
      </c>
      <c r="H41" s="4">
        <v>32.630000000000003</v>
      </c>
      <c r="I41" s="4">
        <v>34.29</v>
      </c>
      <c r="J41" s="37">
        <v>62.55</v>
      </c>
      <c r="K41" s="4">
        <v>41.05</v>
      </c>
      <c r="L41" s="4">
        <v>32.89</v>
      </c>
      <c r="M41" s="4">
        <v>56.56</v>
      </c>
      <c r="N41" s="4">
        <v>45.34</v>
      </c>
      <c r="O41" s="4">
        <v>35.76</v>
      </c>
      <c r="P41" s="4">
        <v>41.35</v>
      </c>
      <c r="Q41" s="4">
        <v>34.119999999999997</v>
      </c>
      <c r="R41" s="4">
        <v>58.24</v>
      </c>
      <c r="S41" s="4">
        <v>32.03</v>
      </c>
      <c r="T41" s="4">
        <v>56.41</v>
      </c>
      <c r="U41" s="4">
        <v>35.590000000000003</v>
      </c>
      <c r="V41" s="4">
        <v>59.59</v>
      </c>
      <c r="W41" s="4">
        <v>42.47</v>
      </c>
      <c r="X41" s="4">
        <v>33.53</v>
      </c>
      <c r="Y41" s="7">
        <v>28.08</v>
      </c>
    </row>
    <row r="42" spans="1:25" ht="15" customHeight="1" x14ac:dyDescent="0.45">
      <c r="A42" s="3">
        <v>46197</v>
      </c>
      <c r="B42" s="4">
        <v>33.340000000000003</v>
      </c>
      <c r="C42" s="4">
        <v>39.61</v>
      </c>
      <c r="D42" s="4">
        <v>32.72</v>
      </c>
      <c r="E42" s="4">
        <v>36.53</v>
      </c>
      <c r="F42" s="4">
        <v>49.49</v>
      </c>
      <c r="G42" s="4">
        <v>31.69</v>
      </c>
      <c r="H42" s="4">
        <v>37.25</v>
      </c>
      <c r="I42" s="4">
        <v>38.729999999999997</v>
      </c>
      <c r="J42" s="4">
        <v>58.49</v>
      </c>
      <c r="K42" s="4">
        <v>44.79</v>
      </c>
      <c r="L42" s="4">
        <v>36.130000000000003</v>
      </c>
      <c r="M42" s="4">
        <v>52.93</v>
      </c>
      <c r="N42" s="4">
        <v>41.96</v>
      </c>
      <c r="O42" s="4">
        <v>38.96</v>
      </c>
      <c r="P42" s="4">
        <v>42.46</v>
      </c>
      <c r="Q42" s="4">
        <v>34.54</v>
      </c>
      <c r="R42" s="4">
        <v>55.77</v>
      </c>
      <c r="S42" s="4">
        <v>31.41</v>
      </c>
      <c r="T42" s="4">
        <v>55.13</v>
      </c>
      <c r="U42" s="4">
        <v>37.99</v>
      </c>
      <c r="V42" s="4">
        <v>55.98</v>
      </c>
      <c r="W42" s="4">
        <v>39.479999999999997</v>
      </c>
      <c r="X42" s="4">
        <v>36.08</v>
      </c>
      <c r="Y42" s="4">
        <v>31.05</v>
      </c>
    </row>
    <row r="43" spans="1:25" ht="15" customHeight="1" x14ac:dyDescent="0.45">
      <c r="A43" s="3">
        <v>46196</v>
      </c>
      <c r="B43" s="4">
        <v>31.12</v>
      </c>
      <c r="C43" s="4">
        <v>35.61</v>
      </c>
      <c r="D43" s="7">
        <v>27.43</v>
      </c>
      <c r="E43" s="4">
        <v>30.4</v>
      </c>
      <c r="F43" s="4">
        <v>33.21</v>
      </c>
      <c r="G43" s="7">
        <v>27.99</v>
      </c>
      <c r="H43" s="4">
        <v>31.75</v>
      </c>
      <c r="I43" s="4">
        <v>34.090000000000003</v>
      </c>
      <c r="J43" s="4">
        <v>53.6</v>
      </c>
      <c r="K43" s="4">
        <v>43.19</v>
      </c>
      <c r="L43" s="4">
        <v>32.86</v>
      </c>
      <c r="M43" s="4">
        <v>48.55</v>
      </c>
      <c r="N43" s="4">
        <v>37.96</v>
      </c>
      <c r="O43" s="4">
        <v>35.22</v>
      </c>
      <c r="P43" s="4">
        <v>37.11</v>
      </c>
      <c r="Q43" s="4">
        <v>33.33</v>
      </c>
      <c r="R43" s="4">
        <v>54.71</v>
      </c>
      <c r="S43" s="7">
        <v>28.79</v>
      </c>
      <c r="T43" s="4">
        <v>53.6</v>
      </c>
      <c r="U43" s="4">
        <v>32.93</v>
      </c>
      <c r="V43" s="4">
        <v>50.51</v>
      </c>
      <c r="W43" s="4">
        <v>38.42</v>
      </c>
      <c r="X43" s="4">
        <v>35.19</v>
      </c>
      <c r="Y43" s="4">
        <v>31.37</v>
      </c>
    </row>
    <row r="44" spans="1:25" ht="15" customHeight="1" x14ac:dyDescent="0.45">
      <c r="A44" s="3">
        <v>46195</v>
      </c>
      <c r="B44" s="4">
        <v>32.32</v>
      </c>
      <c r="C44" s="4">
        <v>39.03</v>
      </c>
      <c r="D44" s="4">
        <v>33.840000000000003</v>
      </c>
      <c r="E44" s="4">
        <v>37.04</v>
      </c>
      <c r="F44" s="4">
        <v>36.72</v>
      </c>
      <c r="G44" s="4">
        <v>33.4</v>
      </c>
      <c r="H44" s="4">
        <v>36.4</v>
      </c>
      <c r="I44" s="4">
        <v>40.090000000000003</v>
      </c>
      <c r="J44" s="38">
        <v>70.02</v>
      </c>
      <c r="K44" s="4">
        <v>53.99</v>
      </c>
      <c r="L44" s="4">
        <v>40.86</v>
      </c>
      <c r="M44" s="4">
        <v>59.52</v>
      </c>
      <c r="N44" s="4">
        <v>42.38</v>
      </c>
      <c r="O44" s="4">
        <v>41.59</v>
      </c>
      <c r="P44" s="4">
        <v>42.66</v>
      </c>
      <c r="Q44" s="4">
        <v>36.49</v>
      </c>
      <c r="R44" s="37">
        <v>65.180000000000007</v>
      </c>
      <c r="S44" s="4">
        <v>32.549999999999997</v>
      </c>
      <c r="T44" s="37">
        <v>60.21</v>
      </c>
      <c r="U44" s="4">
        <v>37.39</v>
      </c>
      <c r="V44" s="37">
        <v>66.94</v>
      </c>
      <c r="W44" s="4">
        <v>41.85</v>
      </c>
      <c r="X44" s="4">
        <v>41.29</v>
      </c>
      <c r="Y44" s="4">
        <v>38.78</v>
      </c>
    </row>
    <row r="45" spans="1:25" ht="15" customHeight="1" x14ac:dyDescent="0.45">
      <c r="A45" s="3">
        <v>46192</v>
      </c>
      <c r="B45" s="4">
        <v>38.869999999999997</v>
      </c>
      <c r="C45" s="4">
        <v>46.74</v>
      </c>
      <c r="D45" s="4">
        <v>35.4</v>
      </c>
      <c r="E45" s="4">
        <v>40.14</v>
      </c>
      <c r="F45" s="4">
        <v>43.92</v>
      </c>
      <c r="G45" s="4">
        <v>36.01</v>
      </c>
      <c r="H45" s="4">
        <v>38.979999999999997</v>
      </c>
      <c r="I45" s="4">
        <v>43.08</v>
      </c>
      <c r="J45" s="37">
        <v>68.819999999999993</v>
      </c>
      <c r="K45" s="4">
        <v>51.75</v>
      </c>
      <c r="L45" s="4">
        <v>47.07</v>
      </c>
      <c r="M45" s="4">
        <v>57.49</v>
      </c>
      <c r="N45" s="4">
        <v>43.63</v>
      </c>
      <c r="O45" s="4">
        <v>42.26</v>
      </c>
      <c r="P45" s="4">
        <v>50.33</v>
      </c>
      <c r="Q45" s="4">
        <v>38.880000000000003</v>
      </c>
      <c r="R45" s="37">
        <v>66.94</v>
      </c>
      <c r="S45" s="4">
        <v>37.74</v>
      </c>
      <c r="T45" s="38">
        <v>72.59</v>
      </c>
      <c r="U45" s="4">
        <v>41.41</v>
      </c>
      <c r="V45" s="37">
        <v>66.430000000000007</v>
      </c>
      <c r="W45" s="4">
        <v>45.64</v>
      </c>
      <c r="X45" s="4">
        <v>45.01</v>
      </c>
      <c r="Y45" s="4">
        <v>45.18</v>
      </c>
    </row>
    <row r="46" spans="1:25" ht="15" customHeight="1" x14ac:dyDescent="0.45">
      <c r="A46" s="3">
        <v>46191</v>
      </c>
      <c r="B46" s="4">
        <v>40.17</v>
      </c>
      <c r="C46" s="4">
        <v>48.06</v>
      </c>
      <c r="D46" s="4">
        <v>39.57</v>
      </c>
      <c r="E46" s="4">
        <v>42.09</v>
      </c>
      <c r="F46" s="4">
        <v>50.16</v>
      </c>
      <c r="G46" s="4">
        <v>38.68</v>
      </c>
      <c r="H46" s="4">
        <v>41.53</v>
      </c>
      <c r="I46" s="4">
        <v>46.06</v>
      </c>
      <c r="J46" s="37">
        <v>68.7</v>
      </c>
      <c r="K46" s="4">
        <v>57.21</v>
      </c>
      <c r="L46" s="4">
        <v>48.25</v>
      </c>
      <c r="M46" s="4">
        <v>57.78</v>
      </c>
      <c r="N46" s="4">
        <v>48.21</v>
      </c>
      <c r="O46" s="4">
        <v>45.62</v>
      </c>
      <c r="P46" s="4">
        <v>50.25</v>
      </c>
      <c r="Q46" s="4">
        <v>40.270000000000003</v>
      </c>
      <c r="R46" s="37">
        <v>65.760000000000005</v>
      </c>
      <c r="S46" s="4">
        <v>39.51</v>
      </c>
      <c r="T46" s="38">
        <v>70.23</v>
      </c>
      <c r="U46" s="4">
        <v>45.56</v>
      </c>
      <c r="V46" s="37">
        <v>66.73</v>
      </c>
      <c r="W46" s="4">
        <v>49.62</v>
      </c>
      <c r="X46" s="4">
        <v>46.88</v>
      </c>
      <c r="Y46" s="4">
        <v>47.77</v>
      </c>
    </row>
    <row r="47" spans="1:25" ht="15" customHeight="1" x14ac:dyDescent="0.45">
      <c r="A47" s="3">
        <v>46190</v>
      </c>
      <c r="B47" s="4">
        <v>47.27</v>
      </c>
      <c r="C47" s="4">
        <v>54.22</v>
      </c>
      <c r="D47" s="4">
        <v>44.54</v>
      </c>
      <c r="E47" s="4">
        <v>49.4</v>
      </c>
      <c r="F47" s="4">
        <v>47.54</v>
      </c>
      <c r="G47" s="4">
        <v>44.15</v>
      </c>
      <c r="H47" s="4">
        <v>47.04</v>
      </c>
      <c r="I47" s="4">
        <v>50.07</v>
      </c>
      <c r="J47" s="37">
        <v>65.540000000000006</v>
      </c>
      <c r="K47" s="4">
        <v>59.52</v>
      </c>
      <c r="L47" s="4">
        <v>53.88</v>
      </c>
      <c r="M47" s="37">
        <v>60.69</v>
      </c>
      <c r="N47" s="4">
        <v>52.94</v>
      </c>
      <c r="O47" s="4">
        <v>49.63</v>
      </c>
      <c r="P47" s="4">
        <v>57.84</v>
      </c>
      <c r="Q47" s="4">
        <v>45.37</v>
      </c>
      <c r="R47" s="37">
        <v>65.040000000000006</v>
      </c>
      <c r="S47" s="4">
        <v>41.42</v>
      </c>
      <c r="T47" s="37">
        <v>67.7</v>
      </c>
      <c r="U47" s="4">
        <v>50.06</v>
      </c>
      <c r="V47" s="37">
        <v>64.239999999999995</v>
      </c>
      <c r="W47" s="4">
        <v>49.85</v>
      </c>
      <c r="X47" s="4">
        <v>50.81</v>
      </c>
      <c r="Y47" s="4">
        <v>53.43</v>
      </c>
    </row>
    <row r="48" spans="1:25" ht="15" customHeight="1" x14ac:dyDescent="0.45">
      <c r="A48" s="3">
        <v>46189</v>
      </c>
      <c r="B48" s="4">
        <v>46.31</v>
      </c>
      <c r="C48" s="4">
        <v>51.35</v>
      </c>
      <c r="D48" s="4">
        <v>44.09</v>
      </c>
      <c r="E48" s="4">
        <v>51.29</v>
      </c>
      <c r="F48" s="4">
        <v>43.43</v>
      </c>
      <c r="G48" s="4">
        <v>46.2</v>
      </c>
      <c r="H48" s="4">
        <v>50.55</v>
      </c>
      <c r="I48" s="4">
        <v>50.83</v>
      </c>
      <c r="J48" s="37">
        <v>63.56</v>
      </c>
      <c r="K48" s="4">
        <v>58.69</v>
      </c>
      <c r="L48" s="4">
        <v>55.41</v>
      </c>
      <c r="M48" s="37">
        <v>63.45</v>
      </c>
      <c r="N48" s="4">
        <v>51.13</v>
      </c>
      <c r="O48" s="4">
        <v>54.94</v>
      </c>
      <c r="P48" s="4">
        <v>59.39</v>
      </c>
      <c r="Q48" s="4">
        <v>48.94</v>
      </c>
      <c r="R48" s="37">
        <v>64.42</v>
      </c>
      <c r="S48" s="4">
        <v>43.36</v>
      </c>
      <c r="T48" s="37">
        <v>66.03</v>
      </c>
      <c r="U48" s="4">
        <v>54.75</v>
      </c>
      <c r="V48" s="37">
        <v>62.53</v>
      </c>
      <c r="W48" s="4">
        <v>47.72</v>
      </c>
      <c r="X48" s="4">
        <v>51.19</v>
      </c>
      <c r="Y48" s="4">
        <v>49.2</v>
      </c>
    </row>
    <row r="49" spans="1:25" ht="15" customHeight="1" x14ac:dyDescent="0.45">
      <c r="A49" s="3">
        <v>46188</v>
      </c>
      <c r="B49" s="4">
        <v>46.98</v>
      </c>
      <c r="C49" s="4">
        <v>52.3</v>
      </c>
      <c r="D49" s="4">
        <v>42.65</v>
      </c>
      <c r="E49" s="4">
        <v>49.27</v>
      </c>
      <c r="F49" s="4">
        <v>41.23</v>
      </c>
      <c r="G49" s="4">
        <v>41.43</v>
      </c>
      <c r="H49" s="4">
        <v>42.75</v>
      </c>
      <c r="I49" s="4">
        <v>49.49</v>
      </c>
      <c r="J49" s="37">
        <v>61.02</v>
      </c>
      <c r="K49" s="4">
        <v>54.99</v>
      </c>
      <c r="L49" s="4">
        <v>51.6</v>
      </c>
      <c r="M49" s="37">
        <v>60.97</v>
      </c>
      <c r="N49" s="4">
        <v>54.2</v>
      </c>
      <c r="O49" s="4">
        <v>47.47</v>
      </c>
      <c r="P49" s="4">
        <v>55.11</v>
      </c>
      <c r="Q49" s="4">
        <v>49.97</v>
      </c>
      <c r="R49" s="4">
        <v>59.66</v>
      </c>
      <c r="S49" s="4">
        <v>39.64</v>
      </c>
      <c r="T49" s="37">
        <v>63.81</v>
      </c>
      <c r="U49" s="4">
        <v>50.52</v>
      </c>
      <c r="V49" s="4">
        <v>59.7</v>
      </c>
      <c r="W49" s="4">
        <v>45.54</v>
      </c>
      <c r="X49" s="4">
        <v>52.06</v>
      </c>
      <c r="Y49" s="4">
        <v>41.44</v>
      </c>
    </row>
    <row r="50" spans="1:25" ht="15" customHeight="1" x14ac:dyDescent="0.45">
      <c r="A50" s="3">
        <v>46185</v>
      </c>
      <c r="B50" s="4">
        <v>48.27</v>
      </c>
      <c r="C50" s="4">
        <v>56.29</v>
      </c>
      <c r="D50" s="4">
        <v>38.76</v>
      </c>
      <c r="E50" s="4">
        <v>44.05</v>
      </c>
      <c r="F50" s="4">
        <v>38.64</v>
      </c>
      <c r="G50" s="4">
        <v>38.270000000000003</v>
      </c>
      <c r="H50" s="4">
        <v>36.49</v>
      </c>
      <c r="I50" s="4">
        <v>46.27</v>
      </c>
      <c r="J50" s="4">
        <v>57.61</v>
      </c>
      <c r="K50" s="4">
        <v>56.73</v>
      </c>
      <c r="L50" s="4">
        <v>45.79</v>
      </c>
      <c r="M50" s="4">
        <v>55.05</v>
      </c>
      <c r="N50" s="4">
        <v>43.62</v>
      </c>
      <c r="O50" s="4">
        <v>50.26</v>
      </c>
      <c r="P50" s="4">
        <v>47.46</v>
      </c>
      <c r="Q50" s="4">
        <v>49.21</v>
      </c>
      <c r="R50" s="4">
        <v>55.93</v>
      </c>
      <c r="S50" s="4">
        <v>40.880000000000003</v>
      </c>
      <c r="T50" s="4">
        <v>59.28</v>
      </c>
      <c r="U50" s="4">
        <v>50.14</v>
      </c>
      <c r="V50" s="4">
        <v>55.99</v>
      </c>
      <c r="W50" s="4">
        <v>41.86</v>
      </c>
      <c r="X50" s="4">
        <v>51.72</v>
      </c>
      <c r="Y50" s="4">
        <v>47.99</v>
      </c>
    </row>
    <row r="51" spans="1:25" ht="15" customHeight="1" x14ac:dyDescent="0.45">
      <c r="A51" s="3">
        <v>46184</v>
      </c>
      <c r="B51" s="4">
        <v>46.75</v>
      </c>
      <c r="C51" s="4">
        <v>50.92</v>
      </c>
      <c r="D51" s="7">
        <v>27.86</v>
      </c>
      <c r="E51" s="4">
        <v>40.159999999999997</v>
      </c>
      <c r="F51" s="4">
        <v>33.590000000000003</v>
      </c>
      <c r="G51" s="7">
        <v>27.55</v>
      </c>
      <c r="H51" s="7">
        <v>29.45</v>
      </c>
      <c r="I51" s="4">
        <v>35.43</v>
      </c>
      <c r="J51" s="4">
        <v>53.33</v>
      </c>
      <c r="K51" s="4">
        <v>51.46</v>
      </c>
      <c r="L51" s="4">
        <v>37.869999999999997</v>
      </c>
      <c r="M51" s="4">
        <v>51.73</v>
      </c>
      <c r="N51" s="4">
        <v>32.74</v>
      </c>
      <c r="O51" s="4">
        <v>35.56</v>
      </c>
      <c r="P51" s="4">
        <v>34.99</v>
      </c>
      <c r="Q51" s="4">
        <v>50.2</v>
      </c>
      <c r="R51" s="4">
        <v>48.66</v>
      </c>
      <c r="S51" s="4">
        <v>34.979999999999997</v>
      </c>
      <c r="T51" s="4">
        <v>55.6</v>
      </c>
      <c r="U51" s="4">
        <v>42.64</v>
      </c>
      <c r="V51" s="4">
        <v>51.02</v>
      </c>
      <c r="W51" s="4">
        <v>46.05</v>
      </c>
      <c r="X51" s="4">
        <v>47.65</v>
      </c>
      <c r="Y51" s="4">
        <v>42.29</v>
      </c>
    </row>
    <row r="52" spans="1:25" ht="15" customHeight="1" x14ac:dyDescent="0.45">
      <c r="A52" s="3">
        <v>46183</v>
      </c>
      <c r="B52" s="4">
        <v>43.56</v>
      </c>
      <c r="C52" s="4">
        <v>46.6</v>
      </c>
      <c r="D52" s="7">
        <v>22.12</v>
      </c>
      <c r="E52" s="4">
        <v>39.57</v>
      </c>
      <c r="F52" s="4">
        <v>36.049999999999997</v>
      </c>
      <c r="G52" s="7">
        <v>28.41</v>
      </c>
      <c r="H52" s="4">
        <v>32.29</v>
      </c>
      <c r="I52" s="4">
        <v>36.020000000000003</v>
      </c>
      <c r="J52" s="4">
        <v>54.04</v>
      </c>
      <c r="K52" s="4">
        <v>45.33</v>
      </c>
      <c r="L52" s="4">
        <v>40.26</v>
      </c>
      <c r="M52" s="4">
        <v>51.48</v>
      </c>
      <c r="N52" s="4">
        <v>36.78</v>
      </c>
      <c r="O52" s="4">
        <v>38.630000000000003</v>
      </c>
      <c r="P52" s="4">
        <v>35.68</v>
      </c>
      <c r="Q52" s="4">
        <v>50.77</v>
      </c>
      <c r="R52" s="4">
        <v>49.01</v>
      </c>
      <c r="S52" s="4">
        <v>36.25</v>
      </c>
      <c r="T52" s="4">
        <v>55.24</v>
      </c>
      <c r="U52" s="4">
        <v>39.96</v>
      </c>
      <c r="V52" s="4">
        <v>51.95</v>
      </c>
      <c r="W52" s="4">
        <v>36.54</v>
      </c>
      <c r="X52" s="4">
        <v>47.08</v>
      </c>
      <c r="Y52" s="4">
        <v>33.82</v>
      </c>
    </row>
    <row r="53" spans="1:25" ht="15" customHeight="1" x14ac:dyDescent="0.45">
      <c r="A53" s="3">
        <v>46182</v>
      </c>
      <c r="B53" s="4">
        <v>43.4</v>
      </c>
      <c r="C53" s="4">
        <v>40.76</v>
      </c>
      <c r="D53" s="7">
        <v>23.16</v>
      </c>
      <c r="E53" s="4">
        <v>39.85</v>
      </c>
      <c r="F53" s="4">
        <v>36.950000000000003</v>
      </c>
      <c r="G53" s="7">
        <v>27.09</v>
      </c>
      <c r="H53" s="7">
        <v>29.86</v>
      </c>
      <c r="I53" s="4">
        <v>36.33</v>
      </c>
      <c r="J53" s="4">
        <v>59.98</v>
      </c>
      <c r="K53" s="4">
        <v>46</v>
      </c>
      <c r="L53" s="4">
        <v>40.79</v>
      </c>
      <c r="M53" s="4">
        <v>52.68</v>
      </c>
      <c r="N53" s="4">
        <v>33.64</v>
      </c>
      <c r="O53" s="4">
        <v>33.270000000000003</v>
      </c>
      <c r="P53" s="4">
        <v>37.22</v>
      </c>
      <c r="Q53" s="4">
        <v>51.69</v>
      </c>
      <c r="R53" s="4">
        <v>52.52</v>
      </c>
      <c r="S53" s="4">
        <v>36.83</v>
      </c>
      <c r="T53" s="37">
        <v>61.56</v>
      </c>
      <c r="U53" s="4">
        <v>38.71</v>
      </c>
      <c r="V53" s="4">
        <v>57.16</v>
      </c>
      <c r="W53" s="7">
        <v>27.4</v>
      </c>
      <c r="X53" s="4">
        <v>54.11</v>
      </c>
      <c r="Y53" s="4">
        <v>35.85</v>
      </c>
    </row>
    <row r="54" spans="1:25" ht="15" customHeight="1" x14ac:dyDescent="0.45">
      <c r="A54" s="3">
        <v>46181</v>
      </c>
      <c r="B54" s="4">
        <v>32.42</v>
      </c>
      <c r="C54" s="7">
        <v>27.07</v>
      </c>
      <c r="D54" s="7">
        <v>12.84</v>
      </c>
      <c r="E54" s="4">
        <v>30.58</v>
      </c>
      <c r="F54" s="7">
        <v>24.19</v>
      </c>
      <c r="G54" s="7">
        <v>21.82</v>
      </c>
      <c r="H54" s="7">
        <v>24.28</v>
      </c>
      <c r="I54" s="7">
        <v>28.94</v>
      </c>
      <c r="J54" s="4">
        <v>51.4</v>
      </c>
      <c r="K54" s="4">
        <v>34.659999999999997</v>
      </c>
      <c r="L54" s="4">
        <v>38.76</v>
      </c>
      <c r="M54" s="4">
        <v>48.19</v>
      </c>
      <c r="N54" s="4">
        <v>30.09</v>
      </c>
      <c r="O54" s="7">
        <v>28.26</v>
      </c>
      <c r="P54" s="7">
        <v>29.87</v>
      </c>
      <c r="Q54" s="4">
        <v>51.19</v>
      </c>
      <c r="R54" s="4">
        <v>43.7</v>
      </c>
      <c r="S54" s="4">
        <v>31.15</v>
      </c>
      <c r="T54" s="4">
        <v>57.85</v>
      </c>
      <c r="U54" s="7">
        <v>29.36</v>
      </c>
      <c r="V54" s="4">
        <v>48.13</v>
      </c>
      <c r="W54" s="7">
        <v>21.13</v>
      </c>
      <c r="X54" s="4">
        <v>56.88</v>
      </c>
      <c r="Y54" s="7">
        <v>24.73</v>
      </c>
    </row>
    <row r="55" spans="1:25" ht="15" customHeight="1" x14ac:dyDescent="0.45">
      <c r="A55" s="3">
        <v>46178</v>
      </c>
      <c r="B55" s="4">
        <v>37.81</v>
      </c>
      <c r="C55" s="4">
        <v>34.24</v>
      </c>
      <c r="D55" s="7">
        <v>16</v>
      </c>
      <c r="E55" s="4">
        <v>38.9</v>
      </c>
      <c r="F55" s="4">
        <v>34.08</v>
      </c>
      <c r="G55" s="7">
        <v>27.68</v>
      </c>
      <c r="H55" s="4">
        <v>30.14</v>
      </c>
      <c r="I55" s="4">
        <v>36.49</v>
      </c>
      <c r="J55" s="37">
        <v>62.03</v>
      </c>
      <c r="K55" s="4">
        <v>41.31</v>
      </c>
      <c r="L55" s="4">
        <v>49.23</v>
      </c>
      <c r="M55" s="4">
        <v>57</v>
      </c>
      <c r="N55" s="4">
        <v>36.93</v>
      </c>
      <c r="O55" s="4">
        <v>33.950000000000003</v>
      </c>
      <c r="P55" s="4">
        <v>36.83</v>
      </c>
      <c r="Q55" s="4">
        <v>50.37</v>
      </c>
      <c r="R55" s="4">
        <v>59.85</v>
      </c>
      <c r="S55" s="4">
        <v>38.92</v>
      </c>
      <c r="T55" s="37">
        <v>67.959999999999994</v>
      </c>
      <c r="U55" s="4">
        <v>37.81</v>
      </c>
      <c r="V55" s="4">
        <v>59.61</v>
      </c>
      <c r="W55" s="7">
        <v>24.66</v>
      </c>
      <c r="X55" s="4">
        <v>59.98</v>
      </c>
      <c r="Y55" s="4">
        <v>31.4</v>
      </c>
    </row>
    <row r="56" spans="1:25" ht="15" customHeight="1" x14ac:dyDescent="0.45">
      <c r="A56" s="3">
        <v>46177</v>
      </c>
      <c r="B56" s="4">
        <v>36.93</v>
      </c>
      <c r="C56" s="4">
        <v>33.020000000000003</v>
      </c>
      <c r="D56" s="7">
        <v>16.440000000000001</v>
      </c>
      <c r="E56" s="4">
        <v>44.03</v>
      </c>
      <c r="F56" s="4">
        <v>38.14</v>
      </c>
      <c r="G56" s="4">
        <v>31.24</v>
      </c>
      <c r="H56" s="4">
        <v>33.06</v>
      </c>
      <c r="I56" s="4">
        <v>40.33</v>
      </c>
      <c r="J56" s="38">
        <v>75.569999999999993</v>
      </c>
      <c r="K56" s="4">
        <v>44.73</v>
      </c>
      <c r="L56" s="4">
        <v>51.78</v>
      </c>
      <c r="M56" s="38">
        <v>72.709999999999994</v>
      </c>
      <c r="N56" s="4">
        <v>39.08</v>
      </c>
      <c r="O56" s="4">
        <v>36.1</v>
      </c>
      <c r="P56" s="4">
        <v>38.14</v>
      </c>
      <c r="Q56" s="4">
        <v>53.06</v>
      </c>
      <c r="R56" s="37">
        <v>67.77</v>
      </c>
      <c r="S56" s="4">
        <v>42.34</v>
      </c>
      <c r="T56" s="38">
        <v>78.03</v>
      </c>
      <c r="U56" s="4">
        <v>40.520000000000003</v>
      </c>
      <c r="V56" s="38">
        <v>72.55</v>
      </c>
      <c r="W56" s="7">
        <v>24.79</v>
      </c>
      <c r="X56" s="37">
        <v>64.8</v>
      </c>
      <c r="Y56" s="4">
        <v>32.96</v>
      </c>
    </row>
    <row r="57" spans="1:25" ht="15" customHeight="1" x14ac:dyDescent="0.45">
      <c r="A57" s="3">
        <v>46175</v>
      </c>
      <c r="B57" s="4">
        <v>40.67</v>
      </c>
      <c r="C57" s="4">
        <v>32.14</v>
      </c>
      <c r="D57" s="7">
        <v>17.13</v>
      </c>
      <c r="E57" s="4">
        <v>39.08</v>
      </c>
      <c r="F57" s="4">
        <v>39.869999999999997</v>
      </c>
      <c r="G57" s="4">
        <v>30.35</v>
      </c>
      <c r="H57" s="4">
        <v>31.96</v>
      </c>
      <c r="I57" s="4">
        <v>40.090000000000003</v>
      </c>
      <c r="J57" s="38">
        <v>82.38</v>
      </c>
      <c r="K57" s="4">
        <v>38.19</v>
      </c>
      <c r="L57" s="4">
        <v>56.16</v>
      </c>
      <c r="M57" s="37">
        <v>65.989999999999995</v>
      </c>
      <c r="N57" s="4">
        <v>36.69</v>
      </c>
      <c r="O57" s="4">
        <v>35.229999999999997</v>
      </c>
      <c r="P57" s="4">
        <v>41.33</v>
      </c>
      <c r="Q57" s="37">
        <v>67.72</v>
      </c>
      <c r="R57" s="37">
        <v>66.739999999999995</v>
      </c>
      <c r="S57" s="4">
        <v>37.799999999999997</v>
      </c>
      <c r="T57" s="38">
        <v>84.22</v>
      </c>
      <c r="U57" s="4">
        <v>42.17</v>
      </c>
      <c r="V57" s="38">
        <v>79.08</v>
      </c>
      <c r="W57" s="7">
        <v>26.51</v>
      </c>
      <c r="X57" s="38">
        <v>74.28</v>
      </c>
      <c r="Y57" s="4">
        <v>30.56</v>
      </c>
    </row>
    <row r="58" spans="1:25" ht="15" customHeight="1" x14ac:dyDescent="0.45">
      <c r="A58" s="3">
        <v>46174</v>
      </c>
      <c r="B58" s="4">
        <v>40.6</v>
      </c>
      <c r="C58" s="7">
        <v>29.97</v>
      </c>
      <c r="D58" s="7">
        <v>16.309999999999999</v>
      </c>
      <c r="E58" s="4">
        <v>40.61</v>
      </c>
      <c r="F58" s="4">
        <v>40.200000000000003</v>
      </c>
      <c r="G58" s="7">
        <v>28.72</v>
      </c>
      <c r="H58" s="4">
        <v>34.409999999999997</v>
      </c>
      <c r="I58" s="4">
        <v>41.81</v>
      </c>
      <c r="J58" s="38">
        <v>80.12</v>
      </c>
      <c r="K58" s="4">
        <v>37.78</v>
      </c>
      <c r="L58" s="4">
        <v>59.72</v>
      </c>
      <c r="M58" s="4">
        <v>59.93</v>
      </c>
      <c r="N58" s="4">
        <v>35.1</v>
      </c>
      <c r="O58" s="4">
        <v>36.630000000000003</v>
      </c>
      <c r="P58" s="4">
        <v>42.15</v>
      </c>
      <c r="Q58" s="4">
        <v>59</v>
      </c>
      <c r="R58" s="37">
        <v>60.07</v>
      </c>
      <c r="S58" s="4">
        <v>39.5</v>
      </c>
      <c r="T58" s="38">
        <v>75.430000000000007</v>
      </c>
      <c r="U58" s="4">
        <v>43.59</v>
      </c>
      <c r="V58" s="38">
        <v>77.28</v>
      </c>
      <c r="W58" s="7">
        <v>27</v>
      </c>
      <c r="X58" s="38">
        <v>78.209999999999994</v>
      </c>
      <c r="Y58" s="7">
        <v>29.45</v>
      </c>
    </row>
    <row r="59" spans="1:25" ht="15" customHeight="1" x14ac:dyDescent="0.45">
      <c r="A59" s="3">
        <v>46171</v>
      </c>
      <c r="B59" s="4">
        <v>43.24</v>
      </c>
      <c r="C59" s="4">
        <v>34.659999999999997</v>
      </c>
      <c r="D59" s="7">
        <v>20.45</v>
      </c>
      <c r="E59" s="4">
        <v>42.85</v>
      </c>
      <c r="F59" s="4">
        <v>41.66</v>
      </c>
      <c r="G59" s="4">
        <v>33.22</v>
      </c>
      <c r="H59" s="4">
        <v>38</v>
      </c>
      <c r="I59" s="4">
        <v>39.729999999999997</v>
      </c>
      <c r="J59" s="38">
        <v>78.59</v>
      </c>
      <c r="K59" s="4">
        <v>42</v>
      </c>
      <c r="L59" s="37">
        <v>60.45</v>
      </c>
      <c r="M59" s="4">
        <v>57.74</v>
      </c>
      <c r="N59" s="4">
        <v>38.08</v>
      </c>
      <c r="O59" s="4">
        <v>41.26</v>
      </c>
      <c r="P59" s="4">
        <v>48.42</v>
      </c>
      <c r="Q59" s="4">
        <v>47.48</v>
      </c>
      <c r="R59" s="4">
        <v>59.47</v>
      </c>
      <c r="S59" s="4">
        <v>39.58</v>
      </c>
      <c r="T59" s="38">
        <v>72.83</v>
      </c>
      <c r="U59" s="4">
        <v>42.22</v>
      </c>
      <c r="V59" s="38">
        <v>75.83</v>
      </c>
      <c r="W59" s="4">
        <v>32.11</v>
      </c>
      <c r="X59" s="38">
        <v>72.88</v>
      </c>
      <c r="Y59" s="4">
        <v>31.88</v>
      </c>
    </row>
    <row r="60" spans="1:25" ht="15" customHeight="1" x14ac:dyDescent="0.45">
      <c r="A60" s="3">
        <v>46170</v>
      </c>
      <c r="B60" s="4">
        <v>46.04</v>
      </c>
      <c r="C60" s="4">
        <v>38.17</v>
      </c>
      <c r="D60" s="7">
        <v>24.88</v>
      </c>
      <c r="E60" s="4">
        <v>44.18</v>
      </c>
      <c r="F60" s="4">
        <v>45.36</v>
      </c>
      <c r="G60" s="4">
        <v>37.5</v>
      </c>
      <c r="H60" s="4">
        <v>42.27</v>
      </c>
      <c r="I60" s="4">
        <v>43.06</v>
      </c>
      <c r="J60" s="38">
        <v>76.73</v>
      </c>
      <c r="K60" s="4">
        <v>49.05</v>
      </c>
      <c r="L60" s="4">
        <v>58.77</v>
      </c>
      <c r="M60" s="4">
        <v>54.4</v>
      </c>
      <c r="N60" s="4">
        <v>41.14</v>
      </c>
      <c r="O60" s="4">
        <v>40.049999999999997</v>
      </c>
      <c r="P60" s="4">
        <v>48.9</v>
      </c>
      <c r="Q60" s="4">
        <v>41.81</v>
      </c>
      <c r="R60" s="4">
        <v>59.49</v>
      </c>
      <c r="S60" s="4">
        <v>42.97</v>
      </c>
      <c r="T60" s="37">
        <v>68.94</v>
      </c>
      <c r="U60" s="4">
        <v>44.54</v>
      </c>
      <c r="V60" s="38">
        <v>74.040000000000006</v>
      </c>
      <c r="W60" s="4">
        <v>38.42</v>
      </c>
      <c r="X60" s="37">
        <v>62.38</v>
      </c>
      <c r="Y60" s="4">
        <v>35.729999999999997</v>
      </c>
    </row>
    <row r="61" spans="1:25" ht="15" customHeight="1" x14ac:dyDescent="0.45">
      <c r="A61" s="3">
        <v>46169</v>
      </c>
      <c r="B61" s="4">
        <v>40.520000000000003</v>
      </c>
      <c r="C61" s="4">
        <v>33.53</v>
      </c>
      <c r="D61" s="7">
        <v>21.78</v>
      </c>
      <c r="E61" s="4">
        <v>38.270000000000003</v>
      </c>
      <c r="F61" s="4">
        <v>40.25</v>
      </c>
      <c r="G61" s="4">
        <v>35.090000000000003</v>
      </c>
      <c r="H61" s="4">
        <v>38.5</v>
      </c>
      <c r="I61" s="4">
        <v>41.94</v>
      </c>
      <c r="J61" s="38">
        <v>73.36</v>
      </c>
      <c r="K61" s="4">
        <v>46.25</v>
      </c>
      <c r="L61" s="4">
        <v>56.38</v>
      </c>
      <c r="M61" s="4">
        <v>52.36</v>
      </c>
      <c r="N61" s="4">
        <v>37.24</v>
      </c>
      <c r="O61" s="4">
        <v>38.58</v>
      </c>
      <c r="P61" s="4">
        <v>42.33</v>
      </c>
      <c r="Q61" s="4">
        <v>40.159999999999997</v>
      </c>
      <c r="R61" s="4">
        <v>58.97</v>
      </c>
      <c r="S61" s="4">
        <v>40.86</v>
      </c>
      <c r="T61" s="37">
        <v>65.650000000000006</v>
      </c>
      <c r="U61" s="4">
        <v>42.32</v>
      </c>
      <c r="V61" s="38">
        <v>70.02</v>
      </c>
      <c r="W61" s="4">
        <v>37.21</v>
      </c>
      <c r="X61" s="4">
        <v>58.22</v>
      </c>
      <c r="Y61" s="4">
        <v>33.71</v>
      </c>
    </row>
    <row r="62" spans="1:25" ht="15" customHeight="1" x14ac:dyDescent="0.45">
      <c r="A62" s="3">
        <v>46168</v>
      </c>
      <c r="B62" s="4">
        <v>47.86</v>
      </c>
      <c r="C62" s="4">
        <v>36.630000000000003</v>
      </c>
      <c r="D62" s="7">
        <v>26.35</v>
      </c>
      <c r="E62" s="4">
        <v>45.61</v>
      </c>
      <c r="F62" s="4">
        <v>44.26</v>
      </c>
      <c r="G62" s="4">
        <v>42.31</v>
      </c>
      <c r="H62" s="4">
        <v>46.53</v>
      </c>
      <c r="I62" s="4">
        <v>46.76</v>
      </c>
      <c r="J62" s="38">
        <v>70.45</v>
      </c>
      <c r="K62" s="4">
        <v>55.84</v>
      </c>
      <c r="L62" s="37">
        <v>60.76</v>
      </c>
      <c r="M62" s="4">
        <v>55.87</v>
      </c>
      <c r="N62" s="4">
        <v>39.33</v>
      </c>
      <c r="O62" s="4">
        <v>44.8</v>
      </c>
      <c r="P62" s="4">
        <v>51.44</v>
      </c>
      <c r="Q62" s="4">
        <v>47.05</v>
      </c>
      <c r="R62" s="37">
        <v>60.84</v>
      </c>
      <c r="S62" s="4">
        <v>44.59</v>
      </c>
      <c r="T62" s="37">
        <v>67.86</v>
      </c>
      <c r="U62" s="4">
        <v>49.75</v>
      </c>
      <c r="V62" s="37">
        <v>68.400000000000006</v>
      </c>
      <c r="W62" s="4">
        <v>39.11</v>
      </c>
      <c r="X62" s="4">
        <v>50.51</v>
      </c>
      <c r="Y62" s="4">
        <v>36.69</v>
      </c>
    </row>
    <row r="63" spans="1:25" ht="15" customHeight="1" x14ac:dyDescent="0.45">
      <c r="A63" s="3">
        <v>46164</v>
      </c>
      <c r="B63" s="4">
        <v>54.61</v>
      </c>
      <c r="C63" s="4">
        <v>45.21</v>
      </c>
      <c r="D63" s="7">
        <v>29.37</v>
      </c>
      <c r="E63" s="4">
        <v>45.98</v>
      </c>
      <c r="F63" s="4">
        <v>47.2</v>
      </c>
      <c r="G63" s="4">
        <v>45.07</v>
      </c>
      <c r="H63" s="4">
        <v>47.9</v>
      </c>
      <c r="I63" s="4">
        <v>47.3</v>
      </c>
      <c r="J63" s="37">
        <v>69.75</v>
      </c>
      <c r="K63" s="4">
        <v>55.94</v>
      </c>
      <c r="L63" s="4">
        <v>57.26</v>
      </c>
      <c r="M63" s="37">
        <v>60.79</v>
      </c>
      <c r="N63" s="4">
        <v>41.01</v>
      </c>
      <c r="O63" s="4">
        <v>45.28</v>
      </c>
      <c r="P63" s="4">
        <v>52.16</v>
      </c>
      <c r="Q63" s="4">
        <v>51.83</v>
      </c>
      <c r="R63" s="37">
        <v>64.459999999999994</v>
      </c>
      <c r="S63" s="4">
        <v>47.94</v>
      </c>
      <c r="T63" s="38">
        <v>75.819999999999993</v>
      </c>
      <c r="U63" s="4">
        <v>50.74</v>
      </c>
      <c r="V63" s="37">
        <v>67.59</v>
      </c>
      <c r="W63" s="4">
        <v>36.94</v>
      </c>
      <c r="X63" s="4">
        <v>54.49</v>
      </c>
      <c r="Y63" s="4">
        <v>39.89</v>
      </c>
    </row>
    <row r="64" spans="1:25" ht="15" customHeight="1" x14ac:dyDescent="0.45">
      <c r="A64" s="3">
        <v>46163</v>
      </c>
      <c r="B64" s="4">
        <v>49.39</v>
      </c>
      <c r="C64" s="4">
        <v>41.14</v>
      </c>
      <c r="D64" s="7">
        <v>24.68</v>
      </c>
      <c r="E64" s="4">
        <v>41.41</v>
      </c>
      <c r="F64" s="4">
        <v>39.979999999999997</v>
      </c>
      <c r="G64" s="4">
        <v>38.29</v>
      </c>
      <c r="H64" s="4">
        <v>43.26</v>
      </c>
      <c r="I64" s="4">
        <v>45.36</v>
      </c>
      <c r="J64" s="38">
        <v>70.64</v>
      </c>
      <c r="K64" s="4">
        <v>51.98</v>
      </c>
      <c r="L64" s="4">
        <v>56.85</v>
      </c>
      <c r="M64" s="37">
        <v>60.15</v>
      </c>
      <c r="N64" s="4">
        <v>39.6</v>
      </c>
      <c r="O64" s="4">
        <v>43.04</v>
      </c>
      <c r="P64" s="4">
        <v>49.56</v>
      </c>
      <c r="Q64" s="4">
        <v>51.38</v>
      </c>
      <c r="R64" s="37">
        <v>61.33</v>
      </c>
      <c r="S64" s="4">
        <v>45.76</v>
      </c>
      <c r="T64" s="38">
        <v>74.22</v>
      </c>
      <c r="U64" s="4">
        <v>45.24</v>
      </c>
      <c r="V64" s="37">
        <v>67.64</v>
      </c>
      <c r="W64" s="7">
        <v>28.28</v>
      </c>
      <c r="X64" s="4">
        <v>50.89</v>
      </c>
      <c r="Y64" s="4">
        <v>35.74</v>
      </c>
    </row>
    <row r="65" spans="1:25" ht="15" customHeight="1" x14ac:dyDescent="0.45">
      <c r="A65" s="3">
        <v>46162</v>
      </c>
      <c r="B65" s="4">
        <v>49.17</v>
      </c>
      <c r="C65" s="4">
        <v>39.869999999999997</v>
      </c>
      <c r="D65" s="7">
        <v>24.38</v>
      </c>
      <c r="E65" s="4">
        <v>34.479999999999997</v>
      </c>
      <c r="F65" s="7">
        <v>27.27</v>
      </c>
      <c r="G65" s="4">
        <v>31.38</v>
      </c>
      <c r="H65" s="4">
        <v>33.950000000000003</v>
      </c>
      <c r="I65" s="4">
        <v>33.630000000000003</v>
      </c>
      <c r="J65" s="37">
        <v>62.93</v>
      </c>
      <c r="K65" s="4">
        <v>43.59</v>
      </c>
      <c r="L65" s="4">
        <v>44.27</v>
      </c>
      <c r="M65" s="4">
        <v>50.16</v>
      </c>
      <c r="N65" s="7">
        <v>28.19</v>
      </c>
      <c r="O65" s="4">
        <v>35.590000000000003</v>
      </c>
      <c r="P65" s="4">
        <v>38.49</v>
      </c>
      <c r="Q65" s="4">
        <v>44.77</v>
      </c>
      <c r="R65" s="4">
        <v>49.42</v>
      </c>
      <c r="S65" s="4">
        <v>37.47</v>
      </c>
      <c r="T65" s="37">
        <v>64.91</v>
      </c>
      <c r="U65" s="4">
        <v>36.57</v>
      </c>
      <c r="V65" s="4">
        <v>58.64</v>
      </c>
      <c r="W65" s="7">
        <v>29.77</v>
      </c>
      <c r="X65" s="4">
        <v>41.49</v>
      </c>
      <c r="Y65" s="4">
        <v>32.72</v>
      </c>
    </row>
    <row r="66" spans="1:25" ht="15" customHeight="1" x14ac:dyDescent="0.45">
      <c r="A66" s="3">
        <v>46161</v>
      </c>
      <c r="B66" s="4">
        <v>52.18</v>
      </c>
      <c r="C66" s="4">
        <v>45.49</v>
      </c>
      <c r="D66" s="7">
        <v>26.28</v>
      </c>
      <c r="E66" s="4">
        <v>38.39</v>
      </c>
      <c r="F66" s="7">
        <v>29.09</v>
      </c>
      <c r="G66" s="4">
        <v>36.1</v>
      </c>
      <c r="H66" s="4">
        <v>39.61</v>
      </c>
      <c r="I66" s="4">
        <v>36.32</v>
      </c>
      <c r="J66" s="37">
        <v>63.16</v>
      </c>
      <c r="K66" s="4">
        <v>45.26</v>
      </c>
      <c r="L66" s="4">
        <v>45.56</v>
      </c>
      <c r="M66" s="4">
        <v>54.52</v>
      </c>
      <c r="N66" s="4">
        <v>33.799999999999997</v>
      </c>
      <c r="O66" s="4">
        <v>37.46</v>
      </c>
      <c r="P66" s="4">
        <v>41.65</v>
      </c>
      <c r="Q66" s="4">
        <v>45.53</v>
      </c>
      <c r="R66" s="4">
        <v>52.32</v>
      </c>
      <c r="S66" s="4">
        <v>41.11</v>
      </c>
      <c r="T66" s="37">
        <v>69.39</v>
      </c>
      <c r="U66" s="4">
        <v>39.54</v>
      </c>
      <c r="V66" s="4">
        <v>59.68</v>
      </c>
      <c r="W66" s="4">
        <v>32.9</v>
      </c>
      <c r="X66" s="4">
        <v>45.03</v>
      </c>
      <c r="Y66" s="4">
        <v>37.020000000000003</v>
      </c>
    </row>
    <row r="67" spans="1:25" ht="15" customHeight="1" x14ac:dyDescent="0.45">
      <c r="A67" s="3">
        <v>46160</v>
      </c>
      <c r="B67" s="4">
        <v>52.03</v>
      </c>
      <c r="C67" s="4">
        <v>51.32</v>
      </c>
      <c r="D67" s="7">
        <v>29.35</v>
      </c>
      <c r="E67" s="4">
        <v>42.9</v>
      </c>
      <c r="F67" s="4">
        <v>31.13</v>
      </c>
      <c r="G67" s="4">
        <v>40.65</v>
      </c>
      <c r="H67" s="4">
        <v>43.96</v>
      </c>
      <c r="I67" s="4">
        <v>43.04</v>
      </c>
      <c r="J67" s="37">
        <v>69.03</v>
      </c>
      <c r="K67" s="4">
        <v>48.98</v>
      </c>
      <c r="L67" s="4">
        <v>52.32</v>
      </c>
      <c r="M67" s="37">
        <v>60.28</v>
      </c>
      <c r="N67" s="7">
        <v>25.47</v>
      </c>
      <c r="O67" s="4">
        <v>41.42</v>
      </c>
      <c r="P67" s="4">
        <v>45.58</v>
      </c>
      <c r="Q67" s="4">
        <v>49.82</v>
      </c>
      <c r="R67" s="4">
        <v>57.57</v>
      </c>
      <c r="S67" s="4">
        <v>45.71</v>
      </c>
      <c r="T67" s="37">
        <v>69.180000000000007</v>
      </c>
      <c r="U67" s="4">
        <v>42.43</v>
      </c>
      <c r="V67" s="37">
        <v>66.33</v>
      </c>
      <c r="W67" s="4">
        <v>30.92</v>
      </c>
      <c r="X67" s="4">
        <v>50.42</v>
      </c>
      <c r="Y67" s="4">
        <v>37.229999999999997</v>
      </c>
    </row>
    <row r="68" spans="1:25" ht="15" customHeight="1" x14ac:dyDescent="0.45">
      <c r="A68" s="3">
        <v>46157</v>
      </c>
      <c r="B68" s="4">
        <v>59.17</v>
      </c>
      <c r="C68" s="4">
        <v>59.29</v>
      </c>
      <c r="D68" s="4">
        <v>31.21</v>
      </c>
      <c r="E68" s="4">
        <v>45.09</v>
      </c>
      <c r="F68" s="4">
        <v>35.82</v>
      </c>
      <c r="G68" s="4">
        <v>43.99</v>
      </c>
      <c r="H68" s="4">
        <v>45.47</v>
      </c>
      <c r="I68" s="4">
        <v>48.37</v>
      </c>
      <c r="J68" s="37">
        <v>67.45</v>
      </c>
      <c r="K68" s="4">
        <v>49.1</v>
      </c>
      <c r="L68" s="4">
        <v>59.25</v>
      </c>
      <c r="M68" s="37">
        <v>62.73</v>
      </c>
      <c r="N68" s="7">
        <v>28.24</v>
      </c>
      <c r="O68" s="4">
        <v>43.62</v>
      </c>
      <c r="P68" s="4">
        <v>50.02</v>
      </c>
      <c r="Q68" s="4">
        <v>54.82</v>
      </c>
      <c r="R68" s="4">
        <v>59.71</v>
      </c>
      <c r="S68" s="4">
        <v>46.35</v>
      </c>
      <c r="T68" s="37">
        <v>67.72</v>
      </c>
      <c r="U68" s="4">
        <v>43.94</v>
      </c>
      <c r="V68" s="37">
        <v>65.55</v>
      </c>
      <c r="W68" s="4">
        <v>34.31</v>
      </c>
      <c r="X68" s="4">
        <v>57.34</v>
      </c>
      <c r="Y68" s="4">
        <v>42.06</v>
      </c>
    </row>
    <row r="69" spans="1:25" ht="15" customHeight="1" x14ac:dyDescent="0.45">
      <c r="A69" s="3">
        <v>46156</v>
      </c>
      <c r="B69" s="37">
        <v>65.959999999999994</v>
      </c>
      <c r="C69" s="37">
        <v>61.01</v>
      </c>
      <c r="D69" s="4">
        <v>32.54</v>
      </c>
      <c r="E69" s="4">
        <v>54.97</v>
      </c>
      <c r="F69" s="4">
        <v>40.03</v>
      </c>
      <c r="G69" s="4">
        <v>47.31</v>
      </c>
      <c r="H69" s="4">
        <v>54.25</v>
      </c>
      <c r="I69" s="4">
        <v>58.67</v>
      </c>
      <c r="J69" s="38">
        <v>84.03</v>
      </c>
      <c r="K69" s="37">
        <v>66.099999999999994</v>
      </c>
      <c r="L69" s="37">
        <v>69.48</v>
      </c>
      <c r="M69" s="38">
        <v>78.849999999999994</v>
      </c>
      <c r="N69" s="4">
        <v>31.03</v>
      </c>
      <c r="O69" s="4">
        <v>53.95</v>
      </c>
      <c r="P69" s="37">
        <v>60.43</v>
      </c>
      <c r="Q69" s="37">
        <v>63.47</v>
      </c>
      <c r="R69" s="38">
        <v>72</v>
      </c>
      <c r="S69" s="4">
        <v>51.47</v>
      </c>
      <c r="T69" s="38">
        <v>77.89</v>
      </c>
      <c r="U69" s="4">
        <v>51.88</v>
      </c>
      <c r="V69" s="38">
        <v>82.11</v>
      </c>
      <c r="W69" s="4">
        <v>34.549999999999997</v>
      </c>
      <c r="X69" s="37">
        <v>65.599999999999994</v>
      </c>
      <c r="Y69" s="4">
        <v>42.94</v>
      </c>
    </row>
    <row r="70" spans="1:25" ht="15" customHeight="1" x14ac:dyDescent="0.45">
      <c r="A70" s="3">
        <v>46155</v>
      </c>
      <c r="B70" s="4">
        <v>48.77</v>
      </c>
      <c r="C70" s="4">
        <v>54.97</v>
      </c>
      <c r="D70" s="7">
        <v>28.8</v>
      </c>
      <c r="E70" s="4">
        <v>48.67</v>
      </c>
      <c r="F70" s="4">
        <v>30.61</v>
      </c>
      <c r="G70" s="4">
        <v>37.67</v>
      </c>
      <c r="H70" s="4">
        <v>51.25</v>
      </c>
      <c r="I70" s="4">
        <v>59.73</v>
      </c>
      <c r="J70" s="38">
        <v>82.86</v>
      </c>
      <c r="K70" s="4">
        <v>57.81</v>
      </c>
      <c r="L70" s="38">
        <v>71.97</v>
      </c>
      <c r="M70" s="38">
        <v>74.17</v>
      </c>
      <c r="N70" s="4">
        <v>32.799999999999997</v>
      </c>
      <c r="O70" s="4">
        <v>45.45</v>
      </c>
      <c r="P70" s="37">
        <v>61.43</v>
      </c>
      <c r="Q70" s="37">
        <v>61.34</v>
      </c>
      <c r="R70" s="37">
        <v>68.53</v>
      </c>
      <c r="S70" s="4">
        <v>50.55</v>
      </c>
      <c r="T70" s="37">
        <v>67.930000000000007</v>
      </c>
      <c r="U70" s="4">
        <v>48.09</v>
      </c>
      <c r="V70" s="38">
        <v>80.8</v>
      </c>
      <c r="W70" s="4">
        <v>30.71</v>
      </c>
      <c r="X70" s="4">
        <v>57.28</v>
      </c>
      <c r="Y70" s="7">
        <v>29.48</v>
      </c>
    </row>
    <row r="71" spans="1:25" ht="15" customHeight="1" x14ac:dyDescent="0.45">
      <c r="A71" s="3">
        <v>46154</v>
      </c>
      <c r="B71" s="4">
        <v>55.63</v>
      </c>
      <c r="C71" s="37">
        <v>60.08</v>
      </c>
      <c r="D71" s="7">
        <v>29.95</v>
      </c>
      <c r="E71" s="4">
        <v>50.42</v>
      </c>
      <c r="F71" s="4">
        <v>33.99</v>
      </c>
      <c r="G71" s="4">
        <v>33.880000000000003</v>
      </c>
      <c r="H71" s="4">
        <v>51.38</v>
      </c>
      <c r="I71" s="37">
        <v>61.99</v>
      </c>
      <c r="J71" s="38">
        <v>80.900000000000006</v>
      </c>
      <c r="K71" s="4">
        <v>52.14</v>
      </c>
      <c r="L71" s="37">
        <v>64.72</v>
      </c>
      <c r="M71" s="38">
        <v>75.680000000000007</v>
      </c>
      <c r="N71" s="4">
        <v>34.340000000000003</v>
      </c>
      <c r="O71" s="4">
        <v>46.53</v>
      </c>
      <c r="P71" s="4">
        <v>55.02</v>
      </c>
      <c r="Q71" s="37">
        <v>60.15</v>
      </c>
      <c r="R71" s="37">
        <v>67.81</v>
      </c>
      <c r="S71" s="4">
        <v>52.4</v>
      </c>
      <c r="T71" s="37">
        <v>66.75</v>
      </c>
      <c r="U71" s="4">
        <v>53.18</v>
      </c>
      <c r="V71" s="38">
        <v>78.540000000000006</v>
      </c>
      <c r="W71" s="4">
        <v>34.33</v>
      </c>
      <c r="X71" s="4">
        <v>53.82</v>
      </c>
      <c r="Y71" s="4">
        <v>30.18</v>
      </c>
    </row>
    <row r="72" spans="1:25" ht="15" customHeight="1" x14ac:dyDescent="0.45">
      <c r="A72" s="3">
        <v>46153</v>
      </c>
      <c r="B72" s="4">
        <v>56.99</v>
      </c>
      <c r="C72" s="37">
        <v>68.099999999999994</v>
      </c>
      <c r="D72" s="4">
        <v>33.07</v>
      </c>
      <c r="E72" s="4">
        <v>59.89</v>
      </c>
      <c r="F72" s="4">
        <v>33.200000000000003</v>
      </c>
      <c r="G72" s="4">
        <v>38.729999999999997</v>
      </c>
      <c r="H72" s="4">
        <v>57.84</v>
      </c>
      <c r="I72" s="37">
        <v>69.31</v>
      </c>
      <c r="J72" s="38">
        <v>86.67</v>
      </c>
      <c r="K72" s="37">
        <v>61.31</v>
      </c>
      <c r="L72" s="37">
        <v>69.55</v>
      </c>
      <c r="M72" s="38">
        <v>84.05</v>
      </c>
      <c r="N72" s="4">
        <v>40.799999999999997</v>
      </c>
      <c r="O72" s="4">
        <v>53.8</v>
      </c>
      <c r="P72" s="4">
        <v>53.77</v>
      </c>
      <c r="Q72" s="4">
        <v>52.12</v>
      </c>
      <c r="R72" s="38">
        <v>78.66</v>
      </c>
      <c r="S72" s="37">
        <v>60.73</v>
      </c>
      <c r="T72" s="37">
        <v>67.010000000000005</v>
      </c>
      <c r="U72" s="4">
        <v>58.28</v>
      </c>
      <c r="V72" s="38">
        <v>84.98</v>
      </c>
      <c r="W72" s="4">
        <v>37.979999999999997</v>
      </c>
      <c r="X72" s="4">
        <v>58.96</v>
      </c>
      <c r="Y72" s="4">
        <v>33.909999999999997</v>
      </c>
    </row>
    <row r="73" spans="1:25" ht="15" customHeight="1" x14ac:dyDescent="0.45">
      <c r="A73" s="3">
        <v>46150</v>
      </c>
      <c r="B73" s="37">
        <v>63.38</v>
      </c>
      <c r="C73" s="37">
        <v>69.03</v>
      </c>
      <c r="D73" s="4">
        <v>36.17</v>
      </c>
      <c r="E73" s="37">
        <v>64.48</v>
      </c>
      <c r="F73" s="4">
        <v>37.14</v>
      </c>
      <c r="G73" s="4">
        <v>43.11</v>
      </c>
      <c r="H73" s="37">
        <v>60.32</v>
      </c>
      <c r="I73" s="37">
        <v>69.13</v>
      </c>
      <c r="J73" s="38">
        <v>83.63</v>
      </c>
      <c r="K73" s="37">
        <v>60.43</v>
      </c>
      <c r="L73" s="37">
        <v>63.25</v>
      </c>
      <c r="M73" s="38">
        <v>81.849999999999994</v>
      </c>
      <c r="N73" s="4">
        <v>45.15</v>
      </c>
      <c r="O73" s="4">
        <v>55.86</v>
      </c>
      <c r="P73" s="4">
        <v>59.52</v>
      </c>
      <c r="Q73" s="4">
        <v>45.7</v>
      </c>
      <c r="R73" s="38">
        <v>77.25</v>
      </c>
      <c r="S73" s="37">
        <v>61.67</v>
      </c>
      <c r="T73" s="37">
        <v>66.290000000000006</v>
      </c>
      <c r="U73" s="4">
        <v>59.15</v>
      </c>
      <c r="V73" s="38">
        <v>81.819999999999993</v>
      </c>
      <c r="W73" s="4">
        <v>41.6</v>
      </c>
      <c r="X73" s="4">
        <v>58.59</v>
      </c>
      <c r="Y73" s="4">
        <v>37.590000000000003</v>
      </c>
    </row>
    <row r="74" spans="1:25" ht="15" customHeight="1" x14ac:dyDescent="0.45">
      <c r="A74" s="3">
        <v>46149</v>
      </c>
      <c r="B74" s="4">
        <v>54.57</v>
      </c>
      <c r="C74" s="37">
        <v>66.92</v>
      </c>
      <c r="D74" s="4">
        <v>37.44</v>
      </c>
      <c r="E74" s="37">
        <v>64.33</v>
      </c>
      <c r="F74" s="4">
        <v>38.21</v>
      </c>
      <c r="G74" s="4">
        <v>43.54</v>
      </c>
      <c r="H74" s="37">
        <v>63.19</v>
      </c>
      <c r="I74" s="38">
        <v>78.680000000000007</v>
      </c>
      <c r="J74" s="38">
        <v>83.61</v>
      </c>
      <c r="K74" s="37">
        <v>66.03</v>
      </c>
      <c r="L74" s="4">
        <v>59.95</v>
      </c>
      <c r="M74" s="38">
        <v>80.09</v>
      </c>
      <c r="N74" s="4">
        <v>48</v>
      </c>
      <c r="O74" s="4">
        <v>59.58</v>
      </c>
      <c r="P74" s="4">
        <v>54.66</v>
      </c>
      <c r="Q74" s="4">
        <v>46.41</v>
      </c>
      <c r="R74" s="38">
        <v>78.599999999999994</v>
      </c>
      <c r="S74" s="37">
        <v>63.61</v>
      </c>
      <c r="T74" s="37">
        <v>68.099999999999994</v>
      </c>
      <c r="U74" s="37">
        <v>67.27</v>
      </c>
      <c r="V74" s="38">
        <v>81.77</v>
      </c>
      <c r="W74" s="4">
        <v>36.619999999999997</v>
      </c>
      <c r="X74" s="4">
        <v>49.11</v>
      </c>
      <c r="Y74" s="4">
        <v>35.4</v>
      </c>
    </row>
    <row r="75" spans="1:25" ht="15" customHeight="1" x14ac:dyDescent="0.45">
      <c r="A75" s="3">
        <v>46148</v>
      </c>
      <c r="B75" s="4">
        <v>55.23</v>
      </c>
      <c r="C75" s="37">
        <v>65.099999999999994</v>
      </c>
      <c r="D75" s="4">
        <v>39.03</v>
      </c>
      <c r="E75" s="37">
        <v>68.77</v>
      </c>
      <c r="F75" s="4">
        <v>36.08</v>
      </c>
      <c r="G75" s="4">
        <v>42.61</v>
      </c>
      <c r="H75" s="38">
        <v>72.77</v>
      </c>
      <c r="I75" s="38">
        <v>75.72</v>
      </c>
      <c r="J75" s="38">
        <v>82.61</v>
      </c>
      <c r="K75" s="37">
        <v>68.069999999999993</v>
      </c>
      <c r="L75" s="4">
        <v>58.67</v>
      </c>
      <c r="M75" s="38">
        <v>76.17</v>
      </c>
      <c r="N75" s="4">
        <v>48.66</v>
      </c>
      <c r="O75" s="4">
        <v>55.99</v>
      </c>
      <c r="P75" s="4">
        <v>45.23</v>
      </c>
      <c r="Q75" s="4">
        <v>47.89</v>
      </c>
      <c r="R75" s="38">
        <v>78.37</v>
      </c>
      <c r="S75" s="38">
        <v>70.98</v>
      </c>
      <c r="T75" s="37">
        <v>67.45</v>
      </c>
      <c r="U75" s="4">
        <v>59.02</v>
      </c>
      <c r="V75" s="38">
        <v>80.760000000000005</v>
      </c>
      <c r="W75" s="4">
        <v>32</v>
      </c>
      <c r="X75" s="4">
        <v>50.43</v>
      </c>
      <c r="Y75" s="4">
        <v>36.18</v>
      </c>
    </row>
    <row r="76" spans="1:25" ht="15" customHeight="1" x14ac:dyDescent="0.45">
      <c r="A76" s="3">
        <v>46147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customHeight="1" x14ac:dyDescent="0.45">
      <c r="A77" s="3">
        <v>46146</v>
      </c>
      <c r="B77" s="37">
        <v>67.709999999999994</v>
      </c>
      <c r="C77" s="37">
        <v>67.95</v>
      </c>
      <c r="D77" s="4">
        <v>44.61</v>
      </c>
      <c r="E77" s="38">
        <v>70.34</v>
      </c>
      <c r="F77" s="4">
        <v>38.369999999999997</v>
      </c>
      <c r="G77" s="4">
        <v>49.29</v>
      </c>
      <c r="H77" s="38">
        <v>70.81</v>
      </c>
      <c r="I77" s="38">
        <v>75.319999999999993</v>
      </c>
      <c r="J77" s="38">
        <v>76.05</v>
      </c>
      <c r="K77" s="37">
        <v>66.36</v>
      </c>
      <c r="L77" s="37">
        <v>61.56</v>
      </c>
      <c r="M77" s="37">
        <v>67.88</v>
      </c>
      <c r="N77" s="4">
        <v>47.5</v>
      </c>
      <c r="O77" s="4">
        <v>55.37</v>
      </c>
      <c r="P77" s="4">
        <v>50.23</v>
      </c>
      <c r="Q77" s="4">
        <v>55.42</v>
      </c>
      <c r="R77" s="38">
        <v>73.89</v>
      </c>
      <c r="S77" s="4">
        <v>59.67</v>
      </c>
      <c r="T77" s="4">
        <v>58.76</v>
      </c>
      <c r="U77" s="37">
        <v>68.98</v>
      </c>
      <c r="V77" s="38">
        <v>74.900000000000006</v>
      </c>
      <c r="W77" s="4">
        <v>39.25</v>
      </c>
      <c r="X77" s="4">
        <v>51.94</v>
      </c>
      <c r="Y77" s="4">
        <v>42.7</v>
      </c>
    </row>
    <row r="78" spans="1:25" ht="15" customHeight="1" x14ac:dyDescent="0.45">
      <c r="A78" s="31">
        <v>46143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15" customHeight="1" x14ac:dyDescent="0.45">
      <c r="A79" s="31">
        <v>46142</v>
      </c>
      <c r="B79" s="32">
        <v>69.069999999999993</v>
      </c>
      <c r="C79" s="33">
        <v>58.42</v>
      </c>
      <c r="D79" s="33">
        <v>47.86</v>
      </c>
      <c r="E79" s="32">
        <v>67.8</v>
      </c>
      <c r="F79" s="33">
        <v>37.94</v>
      </c>
      <c r="G79" s="33">
        <v>52.79</v>
      </c>
      <c r="H79" s="32">
        <v>63.74</v>
      </c>
      <c r="I79" s="34">
        <v>72.400000000000006</v>
      </c>
      <c r="J79" s="32">
        <v>66.930000000000007</v>
      </c>
      <c r="K79" s="32">
        <v>61.47</v>
      </c>
      <c r="L79" s="33">
        <v>57.09</v>
      </c>
      <c r="M79" s="32">
        <v>60.87</v>
      </c>
      <c r="N79" s="33">
        <v>42.65</v>
      </c>
      <c r="O79" s="32">
        <v>61.73</v>
      </c>
      <c r="P79" s="33">
        <v>46.78</v>
      </c>
      <c r="Q79" s="33">
        <v>51.51</v>
      </c>
      <c r="R79" s="32">
        <v>65.959999999999994</v>
      </c>
      <c r="S79" s="33">
        <v>45.31</v>
      </c>
      <c r="T79" s="33">
        <v>51.03</v>
      </c>
      <c r="U79" s="32">
        <v>67.56</v>
      </c>
      <c r="V79" s="32">
        <v>66.41</v>
      </c>
      <c r="W79" s="33">
        <v>49.05</v>
      </c>
      <c r="X79" s="33">
        <v>49.42</v>
      </c>
      <c r="Y79" s="33">
        <v>45.02</v>
      </c>
    </row>
    <row r="80" spans="1:25" ht="15" customHeight="1" x14ac:dyDescent="0.45">
      <c r="A80" s="25">
        <v>46141</v>
      </c>
      <c r="B80" s="26">
        <v>69.05</v>
      </c>
      <c r="C80" s="26">
        <v>63.36</v>
      </c>
      <c r="D80" s="27">
        <v>49.03</v>
      </c>
      <c r="E80" s="28">
        <v>76.84</v>
      </c>
      <c r="F80" s="27">
        <v>42.22</v>
      </c>
      <c r="G80" s="26">
        <v>62.62</v>
      </c>
      <c r="H80" s="28">
        <v>72.930000000000007</v>
      </c>
      <c r="I80" s="28">
        <v>76.489999999999995</v>
      </c>
      <c r="J80" s="28">
        <v>72.75</v>
      </c>
      <c r="K80" s="26">
        <v>67.3</v>
      </c>
      <c r="L80" s="26">
        <v>65.150000000000006</v>
      </c>
      <c r="M80" s="26">
        <v>68.34</v>
      </c>
      <c r="N80" s="27">
        <v>49.79</v>
      </c>
      <c r="O80" s="28">
        <v>71.37</v>
      </c>
      <c r="P80" s="27">
        <v>55.35</v>
      </c>
      <c r="Q80" s="27">
        <v>54.31</v>
      </c>
      <c r="R80" s="26">
        <v>69.430000000000007</v>
      </c>
      <c r="S80" s="27">
        <v>52.18</v>
      </c>
      <c r="T80" s="27">
        <v>56.58</v>
      </c>
      <c r="U80" s="28">
        <v>74.39</v>
      </c>
      <c r="V80" s="28">
        <v>73.2</v>
      </c>
      <c r="W80" s="27">
        <v>44.41</v>
      </c>
      <c r="X80" s="27">
        <v>59.09</v>
      </c>
      <c r="Y80" s="27">
        <v>39.979999999999997</v>
      </c>
    </row>
    <row r="81" spans="1:25" ht="15" customHeight="1" x14ac:dyDescent="0.45">
      <c r="A81" s="3">
        <v>46140</v>
      </c>
      <c r="B81" s="6">
        <v>65.27</v>
      </c>
      <c r="C81" s="6">
        <v>60.07</v>
      </c>
      <c r="D81" s="4">
        <v>46.94</v>
      </c>
      <c r="E81" s="5">
        <v>71.36</v>
      </c>
      <c r="F81" s="4">
        <v>44.77</v>
      </c>
      <c r="G81" s="4">
        <v>58.61</v>
      </c>
      <c r="H81" s="5">
        <v>71.25</v>
      </c>
      <c r="I81" s="5">
        <v>75.48</v>
      </c>
      <c r="J81" s="5">
        <v>71.78</v>
      </c>
      <c r="K81" s="6">
        <v>67.430000000000007</v>
      </c>
      <c r="L81" s="6">
        <v>62.9</v>
      </c>
      <c r="M81" s="6">
        <v>67.239999999999995</v>
      </c>
      <c r="N81" s="4">
        <v>47.7</v>
      </c>
      <c r="O81" s="5">
        <v>70.709999999999994</v>
      </c>
      <c r="P81" s="4">
        <v>51.99</v>
      </c>
      <c r="Q81" s="4">
        <v>56.83</v>
      </c>
      <c r="R81" s="6">
        <v>67.83</v>
      </c>
      <c r="S81" s="4">
        <v>55.94</v>
      </c>
      <c r="T81" s="4">
        <v>56.9</v>
      </c>
      <c r="U81" s="5">
        <v>77.489999999999995</v>
      </c>
      <c r="V81" s="5">
        <v>71.91</v>
      </c>
      <c r="W81" s="6">
        <v>68.3</v>
      </c>
      <c r="X81" s="6">
        <v>60.61</v>
      </c>
      <c r="Y81" s="4">
        <v>37.15</v>
      </c>
    </row>
    <row r="82" spans="1:25" ht="15" customHeight="1" x14ac:dyDescent="0.45">
      <c r="A82" s="3">
        <v>46139</v>
      </c>
      <c r="B82" s="6">
        <v>67.16</v>
      </c>
      <c r="C82" s="4">
        <v>59.94</v>
      </c>
      <c r="D82" s="4">
        <v>47.33</v>
      </c>
      <c r="E82" s="6">
        <v>69.56</v>
      </c>
      <c r="F82" s="4">
        <v>44.32</v>
      </c>
      <c r="G82" s="4">
        <v>55.92</v>
      </c>
      <c r="H82" s="6">
        <v>66.59</v>
      </c>
      <c r="I82" s="5">
        <v>79.05</v>
      </c>
      <c r="J82" s="5">
        <v>71.75</v>
      </c>
      <c r="K82" s="6">
        <v>66.72</v>
      </c>
      <c r="L82" s="6">
        <v>60.78</v>
      </c>
      <c r="M82" s="6">
        <v>66.709999999999994</v>
      </c>
      <c r="N82" s="4">
        <v>51.72</v>
      </c>
      <c r="O82" s="6">
        <v>68.319999999999993</v>
      </c>
      <c r="P82" s="4">
        <v>51.87</v>
      </c>
      <c r="Q82" s="4">
        <v>58.78</v>
      </c>
      <c r="R82" s="6">
        <v>66.72</v>
      </c>
      <c r="S82" s="4">
        <v>56.69</v>
      </c>
      <c r="T82" s="4">
        <v>54.18</v>
      </c>
      <c r="U82" s="5">
        <v>77.010000000000005</v>
      </c>
      <c r="V82" s="5">
        <v>71.59</v>
      </c>
      <c r="W82" s="5">
        <v>76.44</v>
      </c>
      <c r="X82" s="4">
        <v>56.1</v>
      </c>
      <c r="Y82" s="4">
        <v>37.33</v>
      </c>
    </row>
    <row r="83" spans="1:25" ht="15" customHeight="1" x14ac:dyDescent="0.45">
      <c r="A83" s="3">
        <v>46136</v>
      </c>
      <c r="B83" s="6">
        <v>67.02</v>
      </c>
      <c r="C83" s="4">
        <v>57.81</v>
      </c>
      <c r="D83" s="4">
        <v>49.97</v>
      </c>
      <c r="E83" s="5">
        <v>71.11</v>
      </c>
      <c r="F83" s="4">
        <v>47.38</v>
      </c>
      <c r="G83" s="4">
        <v>53.56</v>
      </c>
      <c r="H83" s="6">
        <v>66.52</v>
      </c>
      <c r="I83" s="5">
        <v>74.08</v>
      </c>
      <c r="J83" s="6">
        <v>68.680000000000007</v>
      </c>
      <c r="K83" s="6">
        <v>66.62</v>
      </c>
      <c r="L83" s="6">
        <v>60.26</v>
      </c>
      <c r="M83" s="6">
        <v>65.36</v>
      </c>
      <c r="N83" s="4">
        <v>53.3</v>
      </c>
      <c r="O83" s="6">
        <v>68.8</v>
      </c>
      <c r="P83" s="4">
        <v>51</v>
      </c>
      <c r="Q83" s="6">
        <v>63.24</v>
      </c>
      <c r="R83" s="6">
        <v>64.180000000000007</v>
      </c>
      <c r="S83" s="4">
        <v>53.7</v>
      </c>
      <c r="T83" s="4">
        <v>52.59</v>
      </c>
      <c r="U83" s="5">
        <v>73.989999999999995</v>
      </c>
      <c r="V83" s="6">
        <v>68.819999999999993</v>
      </c>
      <c r="W83" s="5">
        <v>75.849999999999994</v>
      </c>
      <c r="X83" s="4">
        <v>55.2</v>
      </c>
      <c r="Y83" s="4">
        <v>37.54</v>
      </c>
    </row>
    <row r="84" spans="1:25" ht="15" customHeight="1" x14ac:dyDescent="0.45">
      <c r="A84" s="3">
        <v>46135</v>
      </c>
      <c r="B84" s="6">
        <v>65.31</v>
      </c>
      <c r="C84" s="4">
        <v>56.39</v>
      </c>
      <c r="D84" s="4">
        <v>50.78</v>
      </c>
      <c r="E84" s="6">
        <v>69</v>
      </c>
      <c r="F84" s="4">
        <v>44.35</v>
      </c>
      <c r="G84" s="4">
        <v>52.53</v>
      </c>
      <c r="H84" s="6">
        <v>65.52</v>
      </c>
      <c r="I84" s="5">
        <v>70.900000000000006</v>
      </c>
      <c r="J84" s="6">
        <v>69.650000000000006</v>
      </c>
      <c r="K84" s="6">
        <v>62.59</v>
      </c>
      <c r="L84" s="6">
        <v>61.86</v>
      </c>
      <c r="M84" s="6">
        <v>65.010000000000005</v>
      </c>
      <c r="N84" s="4">
        <v>53.09</v>
      </c>
      <c r="O84" s="5">
        <v>70.11</v>
      </c>
      <c r="P84" s="4">
        <v>51.73</v>
      </c>
      <c r="Q84" s="6">
        <v>62.73</v>
      </c>
      <c r="R84" s="6">
        <v>63.69</v>
      </c>
      <c r="S84" s="4">
        <v>54.39</v>
      </c>
      <c r="T84" s="4">
        <v>57.12</v>
      </c>
      <c r="U84" s="6">
        <v>68.430000000000007</v>
      </c>
      <c r="V84" s="6">
        <v>69.08</v>
      </c>
      <c r="W84" s="5">
        <v>74.22</v>
      </c>
      <c r="X84" s="4">
        <v>57.68</v>
      </c>
      <c r="Y84" s="4">
        <v>32.75</v>
      </c>
    </row>
    <row r="85" spans="1:25" ht="15" customHeight="1" x14ac:dyDescent="0.45">
      <c r="A85" s="3">
        <v>46134</v>
      </c>
      <c r="B85" s="6">
        <v>64.47</v>
      </c>
      <c r="C85" s="4">
        <v>56.7</v>
      </c>
      <c r="D85" s="4">
        <v>54.32</v>
      </c>
      <c r="E85" s="6">
        <v>68.63</v>
      </c>
      <c r="F85" s="4">
        <v>46.67</v>
      </c>
      <c r="G85" s="4">
        <v>54.69</v>
      </c>
      <c r="H85" s="5">
        <v>71.239999999999995</v>
      </c>
      <c r="I85" s="6">
        <v>67.55</v>
      </c>
      <c r="J85" s="6">
        <v>68.42</v>
      </c>
      <c r="K85" s="6">
        <v>62.23</v>
      </c>
      <c r="L85" s="6">
        <v>62.93</v>
      </c>
      <c r="M85" s="4">
        <v>59.66</v>
      </c>
      <c r="N85" s="4">
        <v>52.88</v>
      </c>
      <c r="O85" s="6">
        <v>68.31</v>
      </c>
      <c r="P85" s="4">
        <v>55.17</v>
      </c>
      <c r="Q85" s="6">
        <v>64.459999999999994</v>
      </c>
      <c r="R85" s="6">
        <v>61.97</v>
      </c>
      <c r="S85" s="4">
        <v>55.71</v>
      </c>
      <c r="T85" s="4">
        <v>54.41</v>
      </c>
      <c r="U85" s="6">
        <v>69.599999999999994</v>
      </c>
      <c r="V85" s="6">
        <v>68.12</v>
      </c>
      <c r="W85" s="5">
        <v>73.819999999999993</v>
      </c>
      <c r="X85" s="4">
        <v>57.54</v>
      </c>
      <c r="Y85" s="4">
        <v>34.090000000000003</v>
      </c>
    </row>
    <row r="86" spans="1:25" ht="15" customHeight="1" x14ac:dyDescent="0.45">
      <c r="A86" s="3">
        <v>46133</v>
      </c>
      <c r="B86" s="6">
        <v>66.14</v>
      </c>
      <c r="C86" s="4">
        <v>59.63</v>
      </c>
      <c r="D86" s="4">
        <v>57.84</v>
      </c>
      <c r="E86" s="6">
        <v>66.5</v>
      </c>
      <c r="F86" s="4">
        <v>48.77</v>
      </c>
      <c r="G86" s="4">
        <v>54.82</v>
      </c>
      <c r="H86" s="6">
        <v>67.540000000000006</v>
      </c>
      <c r="I86" s="6">
        <v>66.94</v>
      </c>
      <c r="J86" s="6">
        <v>68.180000000000007</v>
      </c>
      <c r="K86" s="6">
        <v>60.43</v>
      </c>
      <c r="L86" s="4">
        <v>59.22</v>
      </c>
      <c r="M86" s="4">
        <v>59.15</v>
      </c>
      <c r="N86" s="4">
        <v>51.21</v>
      </c>
      <c r="O86" s="5">
        <v>70.47</v>
      </c>
      <c r="P86" s="4">
        <v>56.6</v>
      </c>
      <c r="Q86" s="6">
        <v>68.150000000000006</v>
      </c>
      <c r="R86" s="6">
        <v>62.79</v>
      </c>
      <c r="S86" s="4">
        <v>56.03</v>
      </c>
      <c r="T86" s="4">
        <v>58.13</v>
      </c>
      <c r="U86" s="6">
        <v>69.31</v>
      </c>
      <c r="V86" s="6">
        <v>67.41</v>
      </c>
      <c r="W86" s="5">
        <v>71.239999999999995</v>
      </c>
      <c r="X86" s="4">
        <v>56.4</v>
      </c>
      <c r="Y86" s="4">
        <v>33.630000000000003</v>
      </c>
    </row>
    <row r="87" spans="1:25" ht="15" customHeight="1" x14ac:dyDescent="0.45">
      <c r="A87" s="3">
        <v>46132</v>
      </c>
      <c r="B87" s="6">
        <v>65.95</v>
      </c>
      <c r="C87" s="4">
        <v>58.8</v>
      </c>
      <c r="D87" s="4">
        <v>59.69</v>
      </c>
      <c r="E87" s="6">
        <v>63.36</v>
      </c>
      <c r="F87" s="4">
        <v>52</v>
      </c>
      <c r="G87" s="4">
        <v>54.09</v>
      </c>
      <c r="H87" s="6">
        <v>64.489999999999995</v>
      </c>
      <c r="I87" s="6">
        <v>62.76</v>
      </c>
      <c r="J87" s="6">
        <v>64.739999999999995</v>
      </c>
      <c r="K87" s="6">
        <v>60.5</v>
      </c>
      <c r="L87" s="4">
        <v>54.8</v>
      </c>
      <c r="M87" s="4">
        <v>57.58</v>
      </c>
      <c r="N87" s="4">
        <v>51.11</v>
      </c>
      <c r="O87" s="6">
        <v>66.19</v>
      </c>
      <c r="P87" s="4">
        <v>53.67</v>
      </c>
      <c r="Q87" s="6">
        <v>65.39</v>
      </c>
      <c r="R87" s="6">
        <v>61.75</v>
      </c>
      <c r="S87" s="4">
        <v>55.28</v>
      </c>
      <c r="T87" s="4">
        <v>58.15</v>
      </c>
      <c r="U87" s="6">
        <v>64.209999999999994</v>
      </c>
      <c r="V87" s="6">
        <v>63.91</v>
      </c>
      <c r="W87" s="6">
        <v>67.78</v>
      </c>
      <c r="X87" s="4">
        <v>56.09</v>
      </c>
      <c r="Y87" s="4">
        <v>35.46</v>
      </c>
    </row>
    <row r="88" spans="1:25" ht="15" customHeight="1" x14ac:dyDescent="0.45">
      <c r="A88" s="3">
        <v>46129</v>
      </c>
      <c r="B88" s="6">
        <v>66.790000000000006</v>
      </c>
      <c r="C88" s="4">
        <v>57.99</v>
      </c>
      <c r="D88" s="4">
        <v>59.08</v>
      </c>
      <c r="E88" s="6">
        <v>64.12</v>
      </c>
      <c r="F88" s="4">
        <v>52.93</v>
      </c>
      <c r="G88" s="4">
        <v>56.71</v>
      </c>
      <c r="H88" s="6">
        <v>63.58</v>
      </c>
      <c r="I88" s="6">
        <v>61.49</v>
      </c>
      <c r="J88" s="6">
        <v>63.76</v>
      </c>
      <c r="K88" s="6">
        <v>62.56</v>
      </c>
      <c r="L88" s="4">
        <v>56.17</v>
      </c>
      <c r="M88" s="4">
        <v>57.3</v>
      </c>
      <c r="N88" s="4">
        <v>50.71</v>
      </c>
      <c r="O88" s="6">
        <v>69.22</v>
      </c>
      <c r="P88" s="4">
        <v>53.97</v>
      </c>
      <c r="Q88" s="5">
        <v>70.489999999999995</v>
      </c>
      <c r="R88" s="6">
        <v>61.56</v>
      </c>
      <c r="S88" s="4">
        <v>56.96</v>
      </c>
      <c r="T88" s="4">
        <v>58.66</v>
      </c>
      <c r="U88" s="6">
        <v>65.290000000000006</v>
      </c>
      <c r="V88" s="6">
        <v>63.19</v>
      </c>
      <c r="W88" s="6">
        <v>64.61</v>
      </c>
      <c r="X88" s="4">
        <v>58.43</v>
      </c>
      <c r="Y88" s="4">
        <v>38.03</v>
      </c>
    </row>
    <row r="89" spans="1:25" ht="15" customHeight="1" x14ac:dyDescent="0.45">
      <c r="A89" s="3">
        <v>46128</v>
      </c>
      <c r="B89" s="6">
        <v>66.59</v>
      </c>
      <c r="C89" s="4">
        <v>57.3</v>
      </c>
      <c r="D89" s="6">
        <v>64.2</v>
      </c>
      <c r="E89" s="6">
        <v>63.58</v>
      </c>
      <c r="F89" s="4">
        <v>53.86</v>
      </c>
      <c r="G89" s="4">
        <v>59.4</v>
      </c>
      <c r="H89" s="6">
        <v>62.51</v>
      </c>
      <c r="I89" s="6">
        <v>61.96</v>
      </c>
      <c r="J89" s="6">
        <v>65.03</v>
      </c>
      <c r="K89" s="6">
        <v>60.22</v>
      </c>
      <c r="L89" s="4">
        <v>56.85</v>
      </c>
      <c r="M89" s="4">
        <v>58.62</v>
      </c>
      <c r="N89" s="4">
        <v>50.31</v>
      </c>
      <c r="O89" s="5">
        <v>70.3</v>
      </c>
      <c r="P89" s="4">
        <v>55.41</v>
      </c>
      <c r="Q89" s="6">
        <v>68.069999999999993</v>
      </c>
      <c r="R89" s="6">
        <v>62.7</v>
      </c>
      <c r="S89" s="4">
        <v>58.34</v>
      </c>
      <c r="T89" s="6">
        <v>60.82</v>
      </c>
      <c r="U89" s="6">
        <v>65.430000000000007</v>
      </c>
      <c r="V89" s="6">
        <v>64.239999999999995</v>
      </c>
      <c r="W89" s="6">
        <v>62.41</v>
      </c>
      <c r="X89" s="6">
        <v>60.57</v>
      </c>
      <c r="Y89" s="4">
        <v>40.03</v>
      </c>
    </row>
    <row r="90" spans="1:25" ht="15" customHeight="1" x14ac:dyDescent="0.45">
      <c r="A90" s="3">
        <v>46127</v>
      </c>
      <c r="B90" s="6">
        <v>63.12</v>
      </c>
      <c r="C90" s="4">
        <v>53.43</v>
      </c>
      <c r="D90" s="4">
        <v>57.6</v>
      </c>
      <c r="E90" s="6">
        <v>60.52</v>
      </c>
      <c r="F90" s="4">
        <v>50.38</v>
      </c>
      <c r="G90" s="4">
        <v>59.11</v>
      </c>
      <c r="H90" s="6">
        <v>61.41</v>
      </c>
      <c r="I90" s="4">
        <v>58.5</v>
      </c>
      <c r="J90" s="6">
        <v>62.98</v>
      </c>
      <c r="K90" s="4">
        <v>57.19</v>
      </c>
      <c r="L90" s="4">
        <v>52.22</v>
      </c>
      <c r="M90" s="4">
        <v>56.48</v>
      </c>
      <c r="N90" s="4">
        <v>46.33</v>
      </c>
      <c r="O90" s="5">
        <v>70.88</v>
      </c>
      <c r="P90" s="4">
        <v>51.68</v>
      </c>
      <c r="Q90" s="5">
        <v>73.56</v>
      </c>
      <c r="R90" s="6">
        <v>60.94</v>
      </c>
      <c r="S90" s="4">
        <v>57.62</v>
      </c>
      <c r="T90" s="4">
        <v>59.99</v>
      </c>
      <c r="U90" s="6">
        <v>64.709999999999994</v>
      </c>
      <c r="V90" s="6">
        <v>61.77</v>
      </c>
      <c r="W90" s="6">
        <v>61.68</v>
      </c>
      <c r="X90" s="4">
        <v>55.16</v>
      </c>
      <c r="Y90" s="4">
        <v>32.11</v>
      </c>
    </row>
    <row r="91" spans="1:25" ht="15" customHeight="1" x14ac:dyDescent="0.45">
      <c r="A91" s="3">
        <v>46126</v>
      </c>
      <c r="B91" s="4">
        <v>59.81</v>
      </c>
      <c r="C91" s="4">
        <v>52.8</v>
      </c>
      <c r="D91" s="6">
        <v>60.04</v>
      </c>
      <c r="E91" s="4">
        <v>57.98</v>
      </c>
      <c r="F91" s="4">
        <v>43.84</v>
      </c>
      <c r="G91" s="4">
        <v>57.23</v>
      </c>
      <c r="H91" s="6">
        <v>61.52</v>
      </c>
      <c r="I91" s="4">
        <v>54.67</v>
      </c>
      <c r="J91" s="6">
        <v>60.96</v>
      </c>
      <c r="K91" s="4">
        <v>56.5</v>
      </c>
      <c r="L91" s="4">
        <v>50.77</v>
      </c>
      <c r="M91" s="4">
        <v>53.08</v>
      </c>
      <c r="N91" s="4">
        <v>46.43</v>
      </c>
      <c r="O91" s="6">
        <v>66.86</v>
      </c>
      <c r="P91" s="4">
        <v>50.74</v>
      </c>
      <c r="Q91" s="5">
        <v>72.03</v>
      </c>
      <c r="R91" s="4">
        <v>59.02</v>
      </c>
      <c r="S91" s="6">
        <v>60.01</v>
      </c>
      <c r="T91" s="4">
        <v>57.86</v>
      </c>
      <c r="U91" s="6">
        <v>62.2</v>
      </c>
      <c r="V91" s="4">
        <v>59.59</v>
      </c>
      <c r="W91" s="5">
        <v>70.55</v>
      </c>
      <c r="X91" s="4">
        <v>47.19</v>
      </c>
      <c r="Y91" s="7">
        <v>26.32</v>
      </c>
    </row>
    <row r="92" spans="1:25" ht="15" customHeight="1" x14ac:dyDescent="0.45">
      <c r="A92" s="3">
        <v>46125</v>
      </c>
      <c r="B92" s="4">
        <v>59.72</v>
      </c>
      <c r="C92" s="4">
        <v>48.92</v>
      </c>
      <c r="D92" s="4">
        <v>59.25</v>
      </c>
      <c r="E92" s="4">
        <v>57.55</v>
      </c>
      <c r="F92" s="4">
        <v>43.11</v>
      </c>
      <c r="G92" s="4">
        <v>50.74</v>
      </c>
      <c r="H92" s="6">
        <v>61.87</v>
      </c>
      <c r="I92" s="4">
        <v>53.15</v>
      </c>
      <c r="J92" s="4">
        <v>57.86</v>
      </c>
      <c r="K92" s="4">
        <v>53.38</v>
      </c>
      <c r="L92" s="4">
        <v>47.88</v>
      </c>
      <c r="M92" s="4">
        <v>50.8</v>
      </c>
      <c r="N92" s="4">
        <v>40.82</v>
      </c>
      <c r="O92" s="6">
        <v>66.06</v>
      </c>
      <c r="P92" s="4">
        <v>48.98</v>
      </c>
      <c r="Q92" s="6">
        <v>69.11</v>
      </c>
      <c r="R92" s="4">
        <v>54.69</v>
      </c>
      <c r="S92" s="4">
        <v>53.78</v>
      </c>
      <c r="T92" s="4">
        <v>53</v>
      </c>
      <c r="U92" s="4">
        <v>58.51</v>
      </c>
      <c r="V92" s="4">
        <v>56.67</v>
      </c>
      <c r="W92" s="6">
        <v>69.069999999999993</v>
      </c>
      <c r="X92" s="4">
        <v>43.85</v>
      </c>
      <c r="Y92" s="7">
        <v>26.97</v>
      </c>
    </row>
    <row r="93" spans="1:25" ht="15" customHeight="1" x14ac:dyDescent="0.45">
      <c r="A93" s="3">
        <v>46122</v>
      </c>
      <c r="B93" s="4">
        <v>57.99</v>
      </c>
      <c r="C93" s="4">
        <v>54.25</v>
      </c>
      <c r="D93" s="4">
        <v>52.27</v>
      </c>
      <c r="E93" s="4">
        <v>59.69</v>
      </c>
      <c r="F93" s="4">
        <v>45.38</v>
      </c>
      <c r="G93" s="4">
        <v>52.83</v>
      </c>
      <c r="H93" s="6">
        <v>60.33</v>
      </c>
      <c r="I93" s="4">
        <v>54.9</v>
      </c>
      <c r="J93" s="4">
        <v>58.84</v>
      </c>
      <c r="K93" s="4">
        <v>52.09</v>
      </c>
      <c r="L93" s="4">
        <v>50.16</v>
      </c>
      <c r="M93" s="4">
        <v>55.68</v>
      </c>
      <c r="N93" s="4">
        <v>43.54</v>
      </c>
      <c r="O93" s="6">
        <v>68.69</v>
      </c>
      <c r="P93" s="4">
        <v>53.41</v>
      </c>
      <c r="Q93" s="6">
        <v>68.81</v>
      </c>
      <c r="R93" s="4">
        <v>55.44</v>
      </c>
      <c r="S93" s="4">
        <v>54.88</v>
      </c>
      <c r="T93" s="4">
        <v>53.28</v>
      </c>
      <c r="U93" s="4">
        <v>59.72</v>
      </c>
      <c r="V93" s="4">
        <v>57.89</v>
      </c>
      <c r="W93" s="6">
        <v>65.88</v>
      </c>
      <c r="X93" s="4">
        <v>45.12</v>
      </c>
      <c r="Y93" s="7">
        <v>27.98</v>
      </c>
    </row>
    <row r="94" spans="1:25" ht="15" customHeight="1" x14ac:dyDescent="0.45">
      <c r="A94" s="3">
        <v>46121</v>
      </c>
      <c r="B94" s="4">
        <v>53.93</v>
      </c>
      <c r="C94" s="4">
        <v>49.38</v>
      </c>
      <c r="D94" s="4">
        <v>47.48</v>
      </c>
      <c r="E94" s="4">
        <v>58.18</v>
      </c>
      <c r="F94" s="4">
        <v>46.02</v>
      </c>
      <c r="G94" s="4">
        <v>48.41</v>
      </c>
      <c r="H94" s="4">
        <v>57.78</v>
      </c>
      <c r="I94" s="4">
        <v>54.17</v>
      </c>
      <c r="J94" s="4">
        <v>57.5</v>
      </c>
      <c r="K94" s="4">
        <v>47.55</v>
      </c>
      <c r="L94" s="4">
        <v>48.82</v>
      </c>
      <c r="M94" s="4">
        <v>54.74</v>
      </c>
      <c r="N94" s="4">
        <v>43.08</v>
      </c>
      <c r="O94" s="6">
        <v>68.33</v>
      </c>
      <c r="P94" s="4">
        <v>47.56</v>
      </c>
      <c r="Q94" s="6">
        <v>66.87</v>
      </c>
      <c r="R94" s="4">
        <v>53.3</v>
      </c>
      <c r="S94" s="4">
        <v>54.63</v>
      </c>
      <c r="T94" s="4">
        <v>51.18</v>
      </c>
      <c r="U94" s="4">
        <v>59.84</v>
      </c>
      <c r="V94" s="4">
        <v>56.48</v>
      </c>
      <c r="W94" s="6">
        <v>61.2</v>
      </c>
      <c r="X94" s="4">
        <v>44.05</v>
      </c>
      <c r="Y94" s="7">
        <v>27.28</v>
      </c>
    </row>
    <row r="95" spans="1:25" ht="15" customHeight="1" x14ac:dyDescent="0.45">
      <c r="A95" s="3">
        <v>46120</v>
      </c>
      <c r="B95" s="4">
        <v>50.02</v>
      </c>
      <c r="C95" s="4">
        <v>47.79</v>
      </c>
      <c r="D95" s="4">
        <v>46.22</v>
      </c>
      <c r="E95" s="4">
        <v>55.04</v>
      </c>
      <c r="F95" s="4">
        <v>47.11</v>
      </c>
      <c r="G95" s="4">
        <v>49.76</v>
      </c>
      <c r="H95" s="4">
        <v>56.78</v>
      </c>
      <c r="I95" s="4">
        <v>54.4</v>
      </c>
      <c r="J95" s="6">
        <v>60.39</v>
      </c>
      <c r="K95" s="4">
        <v>47.72</v>
      </c>
      <c r="L95" s="4">
        <v>52.52</v>
      </c>
      <c r="M95" s="4">
        <v>56.42</v>
      </c>
      <c r="N95" s="4">
        <v>43.96</v>
      </c>
      <c r="O95" s="6">
        <v>69.64</v>
      </c>
      <c r="P95" s="4">
        <v>49.44</v>
      </c>
      <c r="Q95" s="6">
        <v>63.4</v>
      </c>
      <c r="R95" s="4">
        <v>54.52</v>
      </c>
      <c r="S95" s="4">
        <v>55.69</v>
      </c>
      <c r="T95" s="4">
        <v>54.32</v>
      </c>
      <c r="U95" s="4">
        <v>59.62</v>
      </c>
      <c r="V95" s="4">
        <v>59.03</v>
      </c>
      <c r="W95" s="4">
        <v>58.11</v>
      </c>
      <c r="X95" s="4">
        <v>45.11</v>
      </c>
      <c r="Y95" s="7">
        <v>28.06</v>
      </c>
    </row>
    <row r="96" spans="1:25" ht="15" customHeight="1" x14ac:dyDescent="0.45">
      <c r="A96" s="3">
        <v>46119</v>
      </c>
      <c r="B96" s="4">
        <v>47.5</v>
      </c>
      <c r="C96" s="4">
        <v>43.12</v>
      </c>
      <c r="D96" s="4">
        <v>51.44</v>
      </c>
      <c r="E96" s="4">
        <v>49.18</v>
      </c>
      <c r="F96" s="4">
        <v>43.45</v>
      </c>
      <c r="G96" s="4">
        <v>39.85</v>
      </c>
      <c r="H96" s="4">
        <v>51.16</v>
      </c>
      <c r="I96" s="4">
        <v>46.15</v>
      </c>
      <c r="J96" s="4">
        <v>53.71</v>
      </c>
      <c r="K96" s="4">
        <v>41.51</v>
      </c>
      <c r="L96" s="4">
        <v>47.92</v>
      </c>
      <c r="M96" s="4">
        <v>47.38</v>
      </c>
      <c r="N96" s="4">
        <v>32.44</v>
      </c>
      <c r="O96" s="4">
        <v>57.39</v>
      </c>
      <c r="P96" s="4">
        <v>41.73</v>
      </c>
      <c r="Q96" s="4">
        <v>54.1</v>
      </c>
      <c r="R96" s="4">
        <v>45.02</v>
      </c>
      <c r="S96" s="4">
        <v>47.09</v>
      </c>
      <c r="T96" s="4">
        <v>47.09</v>
      </c>
      <c r="U96" s="4">
        <v>53.81</v>
      </c>
      <c r="V96" s="4">
        <v>52.33</v>
      </c>
      <c r="W96" s="4">
        <v>55.6</v>
      </c>
      <c r="X96" s="4">
        <v>38.57</v>
      </c>
      <c r="Y96" s="7">
        <v>24.29</v>
      </c>
    </row>
    <row r="97" spans="1:25" ht="15" customHeight="1" x14ac:dyDescent="0.45">
      <c r="A97" s="3">
        <v>46118</v>
      </c>
      <c r="B97" s="4">
        <v>50.43</v>
      </c>
      <c r="C97" s="4">
        <v>42.2</v>
      </c>
      <c r="D97" s="4">
        <v>53.4</v>
      </c>
      <c r="E97" s="4">
        <v>50.4</v>
      </c>
      <c r="F97" s="4">
        <v>42.57</v>
      </c>
      <c r="G97" s="4">
        <v>42.76</v>
      </c>
      <c r="H97" s="4">
        <v>52.58</v>
      </c>
      <c r="I97" s="4">
        <v>46.64</v>
      </c>
      <c r="J97" s="4">
        <v>52.09</v>
      </c>
      <c r="K97" s="4">
        <v>41.41</v>
      </c>
      <c r="L97" s="4">
        <v>46.44</v>
      </c>
      <c r="M97" s="4">
        <v>47.46</v>
      </c>
      <c r="N97" s="4">
        <v>33.28</v>
      </c>
      <c r="O97" s="4">
        <v>56.81</v>
      </c>
      <c r="P97" s="4">
        <v>42.33</v>
      </c>
      <c r="Q97" s="4">
        <v>53.63</v>
      </c>
      <c r="R97" s="4">
        <v>46.03</v>
      </c>
      <c r="S97" s="4">
        <v>48.55</v>
      </c>
      <c r="T97" s="4">
        <v>48.69</v>
      </c>
      <c r="U97" s="4">
        <v>52.6</v>
      </c>
      <c r="V97" s="4">
        <v>50.95</v>
      </c>
      <c r="W97" s="4">
        <v>57.03</v>
      </c>
      <c r="X97" s="4">
        <v>38.68</v>
      </c>
      <c r="Y97" s="7">
        <v>27.15</v>
      </c>
    </row>
    <row r="98" spans="1:25" ht="15" customHeight="1" x14ac:dyDescent="0.45">
      <c r="A98" s="3">
        <v>46115</v>
      </c>
      <c r="B98" s="4">
        <v>50.36</v>
      </c>
      <c r="C98" s="4">
        <v>43.19</v>
      </c>
      <c r="D98" s="4">
        <v>50.33</v>
      </c>
      <c r="E98" s="4">
        <v>47.31</v>
      </c>
      <c r="F98" s="4">
        <v>42.91</v>
      </c>
      <c r="G98" s="4">
        <v>41.96</v>
      </c>
      <c r="H98" s="4">
        <v>53.78</v>
      </c>
      <c r="I98" s="4">
        <v>47.74</v>
      </c>
      <c r="J98" s="4">
        <v>49.87</v>
      </c>
      <c r="K98" s="4">
        <v>42.11</v>
      </c>
      <c r="L98" s="4">
        <v>47.39</v>
      </c>
      <c r="M98" s="4">
        <v>46.18</v>
      </c>
      <c r="N98" s="4">
        <v>33.28</v>
      </c>
      <c r="O98" s="4">
        <v>56.65</v>
      </c>
      <c r="P98" s="4">
        <v>42.42</v>
      </c>
      <c r="Q98" s="4">
        <v>52.7</v>
      </c>
      <c r="R98" s="4">
        <v>44.89</v>
      </c>
      <c r="S98" s="4">
        <v>47.88</v>
      </c>
      <c r="T98" s="4">
        <v>47</v>
      </c>
      <c r="U98" s="4">
        <v>49.81</v>
      </c>
      <c r="V98" s="4">
        <v>49.26</v>
      </c>
      <c r="W98" s="4">
        <v>55.08</v>
      </c>
      <c r="X98" s="4">
        <v>39.54</v>
      </c>
      <c r="Y98" s="7">
        <v>27.01</v>
      </c>
    </row>
    <row r="99" spans="1:25" ht="15" customHeight="1" x14ac:dyDescent="0.45">
      <c r="A99" s="3">
        <v>46114</v>
      </c>
      <c r="B99" s="4">
        <v>49.83</v>
      </c>
      <c r="C99" s="4">
        <v>43.37</v>
      </c>
      <c r="D99" s="4">
        <v>46.65</v>
      </c>
      <c r="E99" s="4">
        <v>45.77</v>
      </c>
      <c r="F99" s="4">
        <v>44.69</v>
      </c>
      <c r="G99" s="4">
        <v>40.15</v>
      </c>
      <c r="H99" s="4">
        <v>48.96</v>
      </c>
      <c r="I99" s="4">
        <v>44.59</v>
      </c>
      <c r="J99" s="4">
        <v>46.34</v>
      </c>
      <c r="K99" s="4">
        <v>40.67</v>
      </c>
      <c r="L99" s="4">
        <v>43.8</v>
      </c>
      <c r="M99" s="4">
        <v>45.12</v>
      </c>
      <c r="N99" s="4">
        <v>34.409999999999997</v>
      </c>
      <c r="O99" s="4">
        <v>53.66</v>
      </c>
      <c r="P99" s="4">
        <v>42.7</v>
      </c>
      <c r="Q99" s="4">
        <v>49.69</v>
      </c>
      <c r="R99" s="4">
        <v>43.41</v>
      </c>
      <c r="S99" s="4">
        <v>46.28</v>
      </c>
      <c r="T99" s="4">
        <v>46.08</v>
      </c>
      <c r="U99" s="4">
        <v>43.93</v>
      </c>
      <c r="V99" s="4">
        <v>45.81</v>
      </c>
      <c r="W99" s="4">
        <v>53.29</v>
      </c>
      <c r="X99" s="4">
        <v>39.01</v>
      </c>
      <c r="Y99" s="7">
        <v>27.52</v>
      </c>
    </row>
    <row r="100" spans="1:25" ht="15" customHeight="1" x14ac:dyDescent="0.45">
      <c r="A100" s="3">
        <v>46113</v>
      </c>
      <c r="B100" s="4">
        <v>56.28</v>
      </c>
      <c r="C100" s="4">
        <v>48.06</v>
      </c>
      <c r="D100" s="4">
        <v>47.81</v>
      </c>
      <c r="E100" s="4">
        <v>50.23</v>
      </c>
      <c r="F100" s="4">
        <v>48.09</v>
      </c>
      <c r="G100" s="4">
        <v>43.92</v>
      </c>
      <c r="H100" s="4">
        <v>51.91</v>
      </c>
      <c r="I100" s="4">
        <v>50.06</v>
      </c>
      <c r="J100" s="4">
        <v>51.13</v>
      </c>
      <c r="K100" s="4">
        <v>47.03</v>
      </c>
      <c r="L100" s="4">
        <v>45.66</v>
      </c>
      <c r="M100" s="4">
        <v>47.79</v>
      </c>
      <c r="N100" s="4">
        <v>38.630000000000003</v>
      </c>
      <c r="O100" s="6">
        <v>61.97</v>
      </c>
      <c r="P100" s="4">
        <v>46.44</v>
      </c>
      <c r="Q100" s="4">
        <v>53.25</v>
      </c>
      <c r="R100" s="4">
        <v>47.98</v>
      </c>
      <c r="S100" s="4">
        <v>52.42</v>
      </c>
      <c r="T100" s="4">
        <v>50.45</v>
      </c>
      <c r="U100" s="4">
        <v>52.16</v>
      </c>
      <c r="V100" s="4">
        <v>50.39</v>
      </c>
      <c r="W100" s="4">
        <v>52.56</v>
      </c>
      <c r="X100" s="4">
        <v>45.33</v>
      </c>
      <c r="Y100" s="4">
        <v>32.35</v>
      </c>
    </row>
    <row r="101" spans="1:25" ht="15" customHeight="1" x14ac:dyDescent="0.45">
      <c r="A101" s="3">
        <v>46112</v>
      </c>
      <c r="B101" s="4">
        <v>49.67</v>
      </c>
      <c r="C101" s="4">
        <v>41.58</v>
      </c>
      <c r="D101" s="4">
        <v>47.72</v>
      </c>
      <c r="E101" s="4">
        <v>43.8</v>
      </c>
      <c r="F101" s="4">
        <v>40.53</v>
      </c>
      <c r="G101" s="4">
        <v>34.43</v>
      </c>
      <c r="H101" s="4">
        <v>40.54</v>
      </c>
      <c r="I101" s="4">
        <v>40.22</v>
      </c>
      <c r="J101" s="4">
        <v>40.659999999999997</v>
      </c>
      <c r="K101" s="4">
        <v>40.32</v>
      </c>
      <c r="L101" s="4">
        <v>36.35</v>
      </c>
      <c r="M101" s="4">
        <v>39.64</v>
      </c>
      <c r="N101" s="4">
        <v>32.39</v>
      </c>
      <c r="O101" s="4">
        <v>52.33</v>
      </c>
      <c r="P101" s="4">
        <v>38.81</v>
      </c>
      <c r="Q101" s="4">
        <v>49.64</v>
      </c>
      <c r="R101" s="4">
        <v>40.36</v>
      </c>
      <c r="S101" s="4">
        <v>45.83</v>
      </c>
      <c r="T101" s="4">
        <v>43.98</v>
      </c>
      <c r="U101" s="4">
        <v>43.69</v>
      </c>
      <c r="V101" s="4">
        <v>39.72</v>
      </c>
      <c r="W101" s="4">
        <v>46.39</v>
      </c>
      <c r="X101" s="4">
        <v>37.35</v>
      </c>
      <c r="Y101" s="4">
        <v>33.380000000000003</v>
      </c>
    </row>
    <row r="102" spans="1:25" ht="15" customHeight="1" x14ac:dyDescent="0.45">
      <c r="A102" s="3">
        <v>46111</v>
      </c>
      <c r="B102" s="4">
        <v>47.75</v>
      </c>
      <c r="C102" s="4">
        <v>46.26</v>
      </c>
      <c r="D102" s="4">
        <v>54.66</v>
      </c>
      <c r="E102" s="4">
        <v>47.4</v>
      </c>
      <c r="F102" s="4">
        <v>43.56</v>
      </c>
      <c r="G102" s="4">
        <v>38.36</v>
      </c>
      <c r="H102" s="4">
        <v>45.26</v>
      </c>
      <c r="I102" s="4">
        <v>42.73</v>
      </c>
      <c r="J102" s="4">
        <v>45.48</v>
      </c>
      <c r="K102" s="4">
        <v>45.49</v>
      </c>
      <c r="L102" s="4">
        <v>39.869999999999997</v>
      </c>
      <c r="M102" s="4">
        <v>42.45</v>
      </c>
      <c r="N102" s="4">
        <v>33.46</v>
      </c>
      <c r="O102" s="4">
        <v>58.31</v>
      </c>
      <c r="P102" s="4">
        <v>40.619999999999997</v>
      </c>
      <c r="Q102" s="4">
        <v>51.89</v>
      </c>
      <c r="R102" s="4">
        <v>44.04</v>
      </c>
      <c r="S102" s="4">
        <v>47.83</v>
      </c>
      <c r="T102" s="4">
        <v>47.26</v>
      </c>
      <c r="U102" s="4">
        <v>44.14</v>
      </c>
      <c r="V102" s="4">
        <v>44.37</v>
      </c>
      <c r="W102" s="4">
        <v>49.7</v>
      </c>
      <c r="X102" s="4">
        <v>39.979999999999997</v>
      </c>
      <c r="Y102" s="4">
        <v>35.46</v>
      </c>
    </row>
    <row r="103" spans="1:25" ht="15" customHeight="1" x14ac:dyDescent="0.45">
      <c r="A103" s="3">
        <v>46108</v>
      </c>
      <c r="B103" s="4">
        <v>51.08</v>
      </c>
      <c r="C103" s="4">
        <v>50.9</v>
      </c>
      <c r="D103" s="4">
        <v>53.67</v>
      </c>
      <c r="E103" s="4">
        <v>48.38</v>
      </c>
      <c r="F103" s="4">
        <v>49.06</v>
      </c>
      <c r="G103" s="4">
        <v>42.8</v>
      </c>
      <c r="H103" s="4">
        <v>47.11</v>
      </c>
      <c r="I103" s="4">
        <v>47.16</v>
      </c>
      <c r="J103" s="4">
        <v>48.14</v>
      </c>
      <c r="K103" s="4">
        <v>50.29</v>
      </c>
      <c r="L103" s="4">
        <v>44.04</v>
      </c>
      <c r="M103" s="4">
        <v>45.11</v>
      </c>
      <c r="N103" s="4">
        <v>36.22</v>
      </c>
      <c r="O103" s="4">
        <v>58.98</v>
      </c>
      <c r="P103" s="4">
        <v>45.08</v>
      </c>
      <c r="Q103" s="4">
        <v>55.13</v>
      </c>
      <c r="R103" s="4">
        <v>49.26</v>
      </c>
      <c r="S103" s="4">
        <v>53.93</v>
      </c>
      <c r="T103" s="4">
        <v>49.28</v>
      </c>
      <c r="U103" s="4">
        <v>47.56</v>
      </c>
      <c r="V103" s="4">
        <v>47.5</v>
      </c>
      <c r="W103" s="4">
        <v>55.53</v>
      </c>
      <c r="X103" s="4">
        <v>43.87</v>
      </c>
      <c r="Y103" s="4">
        <v>37.82</v>
      </c>
    </row>
    <row r="104" spans="1:25" ht="15" customHeight="1" x14ac:dyDescent="0.45">
      <c r="A104" s="3">
        <v>46107</v>
      </c>
      <c r="B104" s="4">
        <v>49.43</v>
      </c>
      <c r="C104" s="4">
        <v>47.24</v>
      </c>
      <c r="D104" s="4">
        <v>57.68</v>
      </c>
      <c r="E104" s="4">
        <v>47.04</v>
      </c>
      <c r="F104" s="4">
        <v>46.96</v>
      </c>
      <c r="G104" s="4">
        <v>46.24</v>
      </c>
      <c r="H104" s="4">
        <v>49.25</v>
      </c>
      <c r="I104" s="4">
        <v>49.43</v>
      </c>
      <c r="J104" s="4">
        <v>48.76</v>
      </c>
      <c r="K104" s="4">
        <v>51.43</v>
      </c>
      <c r="L104" s="4">
        <v>44.75</v>
      </c>
      <c r="M104" s="4">
        <v>47.57</v>
      </c>
      <c r="N104" s="4">
        <v>39.869999999999997</v>
      </c>
      <c r="O104" s="4">
        <v>58.85</v>
      </c>
      <c r="P104" s="4">
        <v>44.55</v>
      </c>
      <c r="Q104" s="4">
        <v>53.76</v>
      </c>
      <c r="R104" s="4">
        <v>49.26</v>
      </c>
      <c r="S104" s="4">
        <v>51.52</v>
      </c>
      <c r="T104" s="4">
        <v>49.62</v>
      </c>
      <c r="U104" s="4">
        <v>45.57</v>
      </c>
      <c r="V104" s="4">
        <v>48.1</v>
      </c>
      <c r="W104" s="4">
        <v>53.51</v>
      </c>
      <c r="X104" s="4">
        <v>41.6</v>
      </c>
      <c r="Y104" s="4">
        <v>36.04</v>
      </c>
    </row>
    <row r="105" spans="1:25" ht="15" customHeight="1" x14ac:dyDescent="0.45">
      <c r="A105" s="3">
        <v>46106</v>
      </c>
      <c r="B105" s="4">
        <v>51.93</v>
      </c>
      <c r="C105" s="4">
        <v>48.54</v>
      </c>
      <c r="D105" s="4">
        <v>50.45</v>
      </c>
      <c r="E105" s="4">
        <v>50.21</v>
      </c>
      <c r="F105" s="4">
        <v>46.51</v>
      </c>
      <c r="G105" s="4">
        <v>49.5</v>
      </c>
      <c r="H105" s="4">
        <v>50.85</v>
      </c>
      <c r="I105" s="4">
        <v>53.49</v>
      </c>
      <c r="J105" s="4">
        <v>53.73</v>
      </c>
      <c r="K105" s="4">
        <v>54.72</v>
      </c>
      <c r="L105" s="4">
        <v>46.57</v>
      </c>
      <c r="M105" s="4">
        <v>49.97</v>
      </c>
      <c r="N105" s="4">
        <v>40.659999999999997</v>
      </c>
      <c r="O105" s="6">
        <v>63.24</v>
      </c>
      <c r="P105" s="4">
        <v>46.34</v>
      </c>
      <c r="Q105" s="4">
        <v>53.4</v>
      </c>
      <c r="R105" s="4">
        <v>52.15</v>
      </c>
      <c r="S105" s="4">
        <v>54.7</v>
      </c>
      <c r="T105" s="4">
        <v>55.6</v>
      </c>
      <c r="U105" s="4">
        <v>48.68</v>
      </c>
      <c r="V105" s="4">
        <v>52.52</v>
      </c>
      <c r="W105" s="4">
        <v>56.05</v>
      </c>
      <c r="X105" s="4">
        <v>43.63</v>
      </c>
      <c r="Y105" s="4">
        <v>36.18</v>
      </c>
    </row>
    <row r="106" spans="1:25" ht="15" customHeight="1" x14ac:dyDescent="0.45">
      <c r="A106" s="3">
        <v>46105</v>
      </c>
      <c r="B106" s="4">
        <v>51.78</v>
      </c>
      <c r="C106" s="4">
        <v>46.64</v>
      </c>
      <c r="D106" s="4">
        <v>44.04</v>
      </c>
      <c r="E106" s="4">
        <v>47.85</v>
      </c>
      <c r="F106" s="4">
        <v>41.99</v>
      </c>
      <c r="G106" s="4">
        <v>49.81</v>
      </c>
      <c r="H106" s="4">
        <v>46.25</v>
      </c>
      <c r="I106" s="4">
        <v>50.72</v>
      </c>
      <c r="J106" s="4">
        <v>53.01</v>
      </c>
      <c r="K106" s="4">
        <v>48.82</v>
      </c>
      <c r="L106" s="4">
        <v>43.35</v>
      </c>
      <c r="M106" s="4">
        <v>46.93</v>
      </c>
      <c r="N106" s="4">
        <v>41.11</v>
      </c>
      <c r="O106" s="6">
        <v>60.62</v>
      </c>
      <c r="P106" s="4">
        <v>43.84</v>
      </c>
      <c r="Q106" s="4">
        <v>49.14</v>
      </c>
      <c r="R106" s="4">
        <v>48.37</v>
      </c>
      <c r="S106" s="4">
        <v>48.73</v>
      </c>
      <c r="T106" s="4">
        <v>52.14</v>
      </c>
      <c r="U106" s="4">
        <v>45.73</v>
      </c>
      <c r="V106" s="4">
        <v>51.09</v>
      </c>
      <c r="W106" s="4">
        <v>51.83</v>
      </c>
      <c r="X106" s="4">
        <v>41.61</v>
      </c>
      <c r="Y106" s="4">
        <v>32.86</v>
      </c>
    </row>
    <row r="107" spans="1:25" ht="15" customHeight="1" x14ac:dyDescent="0.45">
      <c r="A107" s="3">
        <v>46104</v>
      </c>
      <c r="B107" s="4">
        <v>44.25</v>
      </c>
      <c r="C107" s="4">
        <v>43.29</v>
      </c>
      <c r="D107" s="4">
        <v>38.840000000000003</v>
      </c>
      <c r="E107" s="4">
        <v>43.79</v>
      </c>
      <c r="F107" s="4">
        <v>36.65</v>
      </c>
      <c r="G107" s="4">
        <v>49.59</v>
      </c>
      <c r="H107" s="4">
        <v>42.26</v>
      </c>
      <c r="I107" s="4">
        <v>50.46</v>
      </c>
      <c r="J107" s="4">
        <v>49.88</v>
      </c>
      <c r="K107" s="4">
        <v>47.38</v>
      </c>
      <c r="L107" s="4">
        <v>40.6</v>
      </c>
      <c r="M107" s="4">
        <v>44.64</v>
      </c>
      <c r="N107" s="4">
        <v>38.19</v>
      </c>
      <c r="O107" s="6">
        <v>65.180000000000007</v>
      </c>
      <c r="P107" s="4">
        <v>40.67</v>
      </c>
      <c r="Q107" s="4">
        <v>44.85</v>
      </c>
      <c r="R107" s="4">
        <v>45.63</v>
      </c>
      <c r="S107" s="4">
        <v>49.35</v>
      </c>
      <c r="T107" s="4">
        <v>48.68</v>
      </c>
      <c r="U107" s="4">
        <v>43.35</v>
      </c>
      <c r="V107" s="4">
        <v>47.69</v>
      </c>
      <c r="W107" s="4">
        <v>50.65</v>
      </c>
      <c r="X107" s="4">
        <v>37.520000000000003</v>
      </c>
      <c r="Y107" s="4">
        <v>30.04</v>
      </c>
    </row>
    <row r="108" spans="1:25" ht="15" customHeight="1" x14ac:dyDescent="0.45">
      <c r="A108" s="3">
        <v>46101</v>
      </c>
      <c r="B108" s="4">
        <v>51.06</v>
      </c>
      <c r="C108" s="4">
        <v>49.6</v>
      </c>
      <c r="D108" s="4">
        <v>44.68</v>
      </c>
      <c r="E108" s="4">
        <v>51.66</v>
      </c>
      <c r="F108" s="4">
        <v>44.05</v>
      </c>
      <c r="G108" s="4">
        <v>55.3</v>
      </c>
      <c r="H108" s="4">
        <v>48.77</v>
      </c>
      <c r="I108" s="4">
        <v>59.56</v>
      </c>
      <c r="J108" s="4">
        <v>57.18</v>
      </c>
      <c r="K108" s="4">
        <v>58.5</v>
      </c>
      <c r="L108" s="4">
        <v>47.55</v>
      </c>
      <c r="M108" s="4">
        <v>53.14</v>
      </c>
      <c r="N108" s="4">
        <v>44.44</v>
      </c>
      <c r="O108" s="5">
        <v>74.819999999999993</v>
      </c>
      <c r="P108" s="4">
        <v>49.77</v>
      </c>
      <c r="Q108" s="4">
        <v>53.82</v>
      </c>
      <c r="R108" s="4">
        <v>55.76</v>
      </c>
      <c r="S108" s="4">
        <v>58.16</v>
      </c>
      <c r="T108" s="4">
        <v>55.87</v>
      </c>
      <c r="U108" s="4">
        <v>52.68</v>
      </c>
      <c r="V108" s="4">
        <v>55.73</v>
      </c>
      <c r="W108" s="4">
        <v>58.69</v>
      </c>
      <c r="X108" s="4">
        <v>44.88</v>
      </c>
      <c r="Y108" s="4">
        <v>43.17</v>
      </c>
    </row>
    <row r="109" spans="1:25" ht="15" customHeight="1" x14ac:dyDescent="0.45">
      <c r="A109" s="3">
        <v>46100</v>
      </c>
      <c r="B109" s="4">
        <v>45.33</v>
      </c>
      <c r="C109" s="4">
        <v>42.44</v>
      </c>
      <c r="D109" s="4">
        <v>41.12</v>
      </c>
      <c r="E109" s="4">
        <v>49.1</v>
      </c>
      <c r="F109" s="4">
        <v>41.85</v>
      </c>
      <c r="G109" s="4">
        <v>49.18</v>
      </c>
      <c r="H109" s="4">
        <v>48.69</v>
      </c>
      <c r="I109" s="4">
        <v>57.09</v>
      </c>
      <c r="J109" s="4">
        <v>57.65</v>
      </c>
      <c r="K109" s="4">
        <v>56.39</v>
      </c>
      <c r="L109" s="4">
        <v>49.77</v>
      </c>
      <c r="M109" s="4">
        <v>48.05</v>
      </c>
      <c r="N109" s="4">
        <v>41.27</v>
      </c>
      <c r="O109" s="5">
        <v>70.92</v>
      </c>
      <c r="P109" s="4">
        <v>45.54</v>
      </c>
      <c r="Q109" s="4">
        <v>51.23</v>
      </c>
      <c r="R109" s="4">
        <v>53.89</v>
      </c>
      <c r="S109" s="4">
        <v>55.53</v>
      </c>
      <c r="T109" s="4">
        <v>55.34</v>
      </c>
      <c r="U109" s="4">
        <v>46.95</v>
      </c>
      <c r="V109" s="4">
        <v>56.02</v>
      </c>
      <c r="W109" s="4">
        <v>56.05</v>
      </c>
      <c r="X109" s="4">
        <v>43.04</v>
      </c>
      <c r="Y109" s="4">
        <v>45.92</v>
      </c>
    </row>
    <row r="110" spans="1:25" ht="15" customHeight="1" x14ac:dyDescent="0.45">
      <c r="A110" s="3">
        <v>46099</v>
      </c>
      <c r="B110" s="4">
        <v>48.37</v>
      </c>
      <c r="C110" s="4">
        <v>44.38</v>
      </c>
      <c r="D110" s="4">
        <v>43.27</v>
      </c>
      <c r="E110" s="4">
        <v>51.87</v>
      </c>
      <c r="F110" s="4">
        <v>45.95</v>
      </c>
      <c r="G110" s="4">
        <v>52.36</v>
      </c>
      <c r="H110" s="4">
        <v>51.98</v>
      </c>
      <c r="I110" s="4">
        <v>58.7</v>
      </c>
      <c r="J110" s="6">
        <v>61.75</v>
      </c>
      <c r="K110" s="4">
        <v>57.16</v>
      </c>
      <c r="L110" s="4">
        <v>54.02</v>
      </c>
      <c r="M110" s="4">
        <v>51.17</v>
      </c>
      <c r="N110" s="4">
        <v>43.94</v>
      </c>
      <c r="O110" s="6">
        <v>69.38</v>
      </c>
      <c r="P110" s="4">
        <v>49.22</v>
      </c>
      <c r="Q110" s="4">
        <v>55.54</v>
      </c>
      <c r="R110" s="4">
        <v>56.73</v>
      </c>
      <c r="S110" s="4">
        <v>59.61</v>
      </c>
      <c r="T110" s="4">
        <v>58.93</v>
      </c>
      <c r="U110" s="4">
        <v>50.03</v>
      </c>
      <c r="V110" s="6">
        <v>60.36</v>
      </c>
      <c r="W110" s="4">
        <v>56.46</v>
      </c>
      <c r="X110" s="4">
        <v>46.84</v>
      </c>
      <c r="Y110" s="4">
        <v>50.3</v>
      </c>
    </row>
    <row r="111" spans="1:25" ht="15" customHeight="1" x14ac:dyDescent="0.45">
      <c r="A111" s="3">
        <v>46098</v>
      </c>
      <c r="B111" s="4">
        <v>44.58</v>
      </c>
      <c r="C111" s="4">
        <v>44.28</v>
      </c>
      <c r="D111" s="4">
        <v>44.93</v>
      </c>
      <c r="E111" s="4">
        <v>47.13</v>
      </c>
      <c r="F111" s="4">
        <v>42.5</v>
      </c>
      <c r="G111" s="4">
        <v>51.86</v>
      </c>
      <c r="H111" s="4">
        <v>49.12</v>
      </c>
      <c r="I111" s="4">
        <v>55.96</v>
      </c>
      <c r="J111" s="4">
        <v>55.82</v>
      </c>
      <c r="K111" s="4">
        <v>52.63</v>
      </c>
      <c r="L111" s="4">
        <v>51.66</v>
      </c>
      <c r="M111" s="4">
        <v>45.18</v>
      </c>
      <c r="N111" s="4">
        <v>39.6</v>
      </c>
      <c r="O111" s="6">
        <v>63.69</v>
      </c>
      <c r="P111" s="4">
        <v>45.98</v>
      </c>
      <c r="Q111" s="4">
        <v>54.41</v>
      </c>
      <c r="R111" s="4">
        <v>51.55</v>
      </c>
      <c r="S111" s="4">
        <v>57.08</v>
      </c>
      <c r="T111" s="4">
        <v>52.38</v>
      </c>
      <c r="U111" s="4">
        <v>46.54</v>
      </c>
      <c r="V111" s="4">
        <v>54.68</v>
      </c>
      <c r="W111" s="4">
        <v>54.83</v>
      </c>
      <c r="X111" s="4">
        <v>44.9</v>
      </c>
      <c r="Y111" s="4">
        <v>49.54</v>
      </c>
    </row>
    <row r="112" spans="1:25" ht="15" customHeight="1" x14ac:dyDescent="0.45">
      <c r="A112" s="3">
        <v>46097</v>
      </c>
      <c r="B112" s="4">
        <v>39.1</v>
      </c>
      <c r="C112" s="4">
        <v>42.43</v>
      </c>
      <c r="D112" s="4">
        <v>44.18</v>
      </c>
      <c r="E112" s="4">
        <v>42.78</v>
      </c>
      <c r="F112" s="4">
        <v>38.75</v>
      </c>
      <c r="G112" s="4">
        <v>50.15</v>
      </c>
      <c r="H112" s="4">
        <v>48.01</v>
      </c>
      <c r="I112" s="4">
        <v>56.31</v>
      </c>
      <c r="J112" s="4">
        <v>54.29</v>
      </c>
      <c r="K112" s="4">
        <v>51.43</v>
      </c>
      <c r="L112" s="4">
        <v>50.44</v>
      </c>
      <c r="M112" s="4">
        <v>44.95</v>
      </c>
      <c r="N112" s="4">
        <v>36.61</v>
      </c>
      <c r="O112" s="6">
        <v>63.31</v>
      </c>
      <c r="P112" s="4">
        <v>43.04</v>
      </c>
      <c r="Q112" s="4">
        <v>48.9</v>
      </c>
      <c r="R112" s="4">
        <v>48.95</v>
      </c>
      <c r="S112" s="4">
        <v>57.5</v>
      </c>
      <c r="T112" s="4">
        <v>49.67</v>
      </c>
      <c r="U112" s="4">
        <v>42.78</v>
      </c>
      <c r="V112" s="4">
        <v>52.94</v>
      </c>
      <c r="W112" s="4">
        <v>53.12</v>
      </c>
      <c r="X112" s="4">
        <v>41.82</v>
      </c>
      <c r="Y112" s="4">
        <v>43.05</v>
      </c>
    </row>
    <row r="113" spans="1:25" ht="15" customHeight="1" x14ac:dyDescent="0.45">
      <c r="A113" s="3">
        <v>46094</v>
      </c>
      <c r="B113" s="4">
        <v>41.33</v>
      </c>
      <c r="C113" s="4">
        <v>44.08</v>
      </c>
      <c r="D113" s="4">
        <v>46.3</v>
      </c>
      <c r="E113" s="4">
        <v>45.41</v>
      </c>
      <c r="F113" s="4">
        <v>41.17</v>
      </c>
      <c r="G113" s="4">
        <v>54.15</v>
      </c>
      <c r="H113" s="4">
        <v>49.36</v>
      </c>
      <c r="I113" s="4">
        <v>58.23</v>
      </c>
      <c r="J113" s="4">
        <v>51.24</v>
      </c>
      <c r="K113" s="4">
        <v>50.4</v>
      </c>
      <c r="L113" s="4">
        <v>52.89</v>
      </c>
      <c r="M113" s="4">
        <v>44.89</v>
      </c>
      <c r="N113" s="4">
        <v>38.869999999999997</v>
      </c>
      <c r="O113" s="6">
        <v>66.930000000000007</v>
      </c>
      <c r="P113" s="4">
        <v>43.11</v>
      </c>
      <c r="Q113" s="4">
        <v>47.91</v>
      </c>
      <c r="R113" s="4">
        <v>48.69</v>
      </c>
      <c r="S113" s="4">
        <v>56.54</v>
      </c>
      <c r="T113" s="4">
        <v>50.6</v>
      </c>
      <c r="U113" s="4">
        <v>45.16</v>
      </c>
      <c r="V113" s="4">
        <v>51.13</v>
      </c>
      <c r="W113" s="4">
        <v>55.72</v>
      </c>
      <c r="X113" s="4">
        <v>43.92</v>
      </c>
      <c r="Y113" s="4">
        <v>46.5</v>
      </c>
    </row>
    <row r="114" spans="1:25" ht="15" customHeight="1" x14ac:dyDescent="0.45">
      <c r="A114" s="3">
        <v>46093</v>
      </c>
      <c r="B114" s="4">
        <v>42.91</v>
      </c>
      <c r="C114" s="4">
        <v>47.14</v>
      </c>
      <c r="D114" s="4">
        <v>47.23</v>
      </c>
      <c r="E114" s="4">
        <v>49.44</v>
      </c>
      <c r="F114" s="4">
        <v>42.33</v>
      </c>
      <c r="G114" s="4">
        <v>55.13</v>
      </c>
      <c r="H114" s="4">
        <v>52.56</v>
      </c>
      <c r="I114" s="4">
        <v>57.98</v>
      </c>
      <c r="J114" s="4">
        <v>53.49</v>
      </c>
      <c r="K114" s="4">
        <v>51.63</v>
      </c>
      <c r="L114" s="4">
        <v>53.76</v>
      </c>
      <c r="M114" s="4">
        <v>46.84</v>
      </c>
      <c r="N114" s="4">
        <v>37.64</v>
      </c>
      <c r="O114" s="6">
        <v>62.69</v>
      </c>
      <c r="P114" s="4">
        <v>46.25</v>
      </c>
      <c r="Q114" s="4">
        <v>51.75</v>
      </c>
      <c r="R114" s="4">
        <v>51.4</v>
      </c>
      <c r="S114" s="4">
        <v>58.6</v>
      </c>
      <c r="T114" s="4">
        <v>52.73</v>
      </c>
      <c r="U114" s="4">
        <v>44.98</v>
      </c>
      <c r="V114" s="4">
        <v>53.34</v>
      </c>
      <c r="W114" s="4">
        <v>52.5</v>
      </c>
      <c r="X114" s="4">
        <v>41.6</v>
      </c>
      <c r="Y114" s="4">
        <v>44.61</v>
      </c>
    </row>
    <row r="115" spans="1:25" ht="15" customHeight="1" x14ac:dyDescent="0.45">
      <c r="A115" s="3">
        <v>46092</v>
      </c>
      <c r="B115" s="4">
        <v>43.73</v>
      </c>
      <c r="C115" s="4">
        <v>45.21</v>
      </c>
      <c r="D115" s="4">
        <v>46.51</v>
      </c>
      <c r="E115" s="4">
        <v>49.45</v>
      </c>
      <c r="F115" s="4">
        <v>44.11</v>
      </c>
      <c r="G115" s="4">
        <v>50.23</v>
      </c>
      <c r="H115" s="4">
        <v>51.35</v>
      </c>
      <c r="I115" s="4">
        <v>56.33</v>
      </c>
      <c r="J115" s="4">
        <v>54.64</v>
      </c>
      <c r="K115" s="4">
        <v>51.07</v>
      </c>
      <c r="L115" s="4">
        <v>52.07</v>
      </c>
      <c r="M115" s="4">
        <v>46.78</v>
      </c>
      <c r="N115" s="4">
        <v>37.9</v>
      </c>
      <c r="O115" s="4">
        <v>59.14</v>
      </c>
      <c r="P115" s="4">
        <v>45.76</v>
      </c>
      <c r="Q115" s="4">
        <v>51.21</v>
      </c>
      <c r="R115" s="4">
        <v>52.69</v>
      </c>
      <c r="S115" s="4">
        <v>59.44</v>
      </c>
      <c r="T115" s="4">
        <v>56.39</v>
      </c>
      <c r="U115" s="4">
        <v>43.45</v>
      </c>
      <c r="V115" s="4">
        <v>53.92</v>
      </c>
      <c r="W115" s="4">
        <v>47.76</v>
      </c>
      <c r="X115" s="4">
        <v>41.77</v>
      </c>
      <c r="Y115" s="4">
        <v>43.34</v>
      </c>
    </row>
    <row r="116" spans="1:25" ht="15" customHeight="1" x14ac:dyDescent="0.45">
      <c r="A116" s="3">
        <v>46091</v>
      </c>
      <c r="B116" s="4">
        <v>38.590000000000003</v>
      </c>
      <c r="C116" s="4">
        <v>38.53</v>
      </c>
      <c r="D116" s="4">
        <v>44.89</v>
      </c>
      <c r="E116" s="4">
        <v>47.45</v>
      </c>
      <c r="F116" s="4">
        <v>39.729999999999997</v>
      </c>
      <c r="G116" s="4">
        <v>43.83</v>
      </c>
      <c r="H116" s="4">
        <v>50.05</v>
      </c>
      <c r="I116" s="4">
        <v>57.58</v>
      </c>
      <c r="J116" s="4">
        <v>53.79</v>
      </c>
      <c r="K116" s="4">
        <v>50.23</v>
      </c>
      <c r="L116" s="4">
        <v>51.31</v>
      </c>
      <c r="M116" s="4">
        <v>42.84</v>
      </c>
      <c r="N116" s="4">
        <v>37.22</v>
      </c>
      <c r="O116" s="4">
        <v>58.48</v>
      </c>
      <c r="P116" s="4">
        <v>44.8</v>
      </c>
      <c r="Q116" s="4">
        <v>50.99</v>
      </c>
      <c r="R116" s="4">
        <v>48.89</v>
      </c>
      <c r="S116" s="4">
        <v>54.43</v>
      </c>
      <c r="T116" s="4">
        <v>51.87</v>
      </c>
      <c r="U116" s="4">
        <v>41.14</v>
      </c>
      <c r="V116" s="4">
        <v>52.93</v>
      </c>
      <c r="W116" s="4">
        <v>45.86</v>
      </c>
      <c r="X116" s="4">
        <v>41.99</v>
      </c>
      <c r="Y116" s="4">
        <v>41.34</v>
      </c>
    </row>
    <row r="117" spans="1:25" ht="15" customHeight="1" x14ac:dyDescent="0.45">
      <c r="A117" s="3">
        <v>46090</v>
      </c>
      <c r="B117" s="4">
        <v>36.11</v>
      </c>
      <c r="C117" s="4">
        <v>35.6</v>
      </c>
      <c r="D117" s="4">
        <v>41.86</v>
      </c>
      <c r="E117" s="4">
        <v>45.46</v>
      </c>
      <c r="F117" s="4">
        <v>37.18</v>
      </c>
      <c r="G117" s="4">
        <v>40.57</v>
      </c>
      <c r="H117" s="4">
        <v>49.67</v>
      </c>
      <c r="I117" s="4">
        <v>53.31</v>
      </c>
      <c r="J117" s="4">
        <v>47.24</v>
      </c>
      <c r="K117" s="4">
        <v>42.26</v>
      </c>
      <c r="L117" s="4">
        <v>49.38</v>
      </c>
      <c r="M117" s="4">
        <v>41.91</v>
      </c>
      <c r="N117" s="4">
        <v>31.53</v>
      </c>
      <c r="O117" s="4">
        <v>55.67</v>
      </c>
      <c r="P117" s="4">
        <v>39.71</v>
      </c>
      <c r="Q117" s="4">
        <v>48.52</v>
      </c>
      <c r="R117" s="4">
        <v>44.8</v>
      </c>
      <c r="S117" s="4">
        <v>53.17</v>
      </c>
      <c r="T117" s="4">
        <v>47.76</v>
      </c>
      <c r="U117" s="4">
        <v>38.89</v>
      </c>
      <c r="V117" s="4">
        <v>47.15</v>
      </c>
      <c r="W117" s="4">
        <v>42.24</v>
      </c>
      <c r="X117" s="4">
        <v>38.340000000000003</v>
      </c>
      <c r="Y117" s="4">
        <v>38.950000000000003</v>
      </c>
    </row>
    <row r="118" spans="1:25" ht="15" customHeight="1" x14ac:dyDescent="0.45">
      <c r="A118" s="3">
        <v>46087</v>
      </c>
      <c r="B118" s="4">
        <v>38.700000000000003</v>
      </c>
      <c r="C118" s="4">
        <v>40.9</v>
      </c>
      <c r="D118" s="4">
        <v>47.48</v>
      </c>
      <c r="E118" s="4">
        <v>51.09</v>
      </c>
      <c r="F118" s="4">
        <v>42.22</v>
      </c>
      <c r="G118" s="4">
        <v>47.33</v>
      </c>
      <c r="H118" s="4">
        <v>56.3</v>
      </c>
      <c r="I118" s="4">
        <v>57.08</v>
      </c>
      <c r="J118" s="4">
        <v>54.3</v>
      </c>
      <c r="K118" s="4">
        <v>49.57</v>
      </c>
      <c r="L118" s="4">
        <v>54.32</v>
      </c>
      <c r="M118" s="4">
        <v>44.73</v>
      </c>
      <c r="N118" s="4">
        <v>35.76</v>
      </c>
      <c r="O118" s="6">
        <v>60.19</v>
      </c>
      <c r="P118" s="4">
        <v>46.54</v>
      </c>
      <c r="Q118" s="4">
        <v>49.21</v>
      </c>
      <c r="R118" s="4">
        <v>50.12</v>
      </c>
      <c r="S118" s="4">
        <v>57.35</v>
      </c>
      <c r="T118" s="4">
        <v>52.66</v>
      </c>
      <c r="U118" s="4">
        <v>42.67</v>
      </c>
      <c r="V118" s="4">
        <v>54.16</v>
      </c>
      <c r="W118" s="4">
        <v>47.48</v>
      </c>
      <c r="X118" s="4">
        <v>41.62</v>
      </c>
      <c r="Y118" s="4">
        <v>42.15</v>
      </c>
    </row>
    <row r="119" spans="1:25" ht="15" customHeight="1" x14ac:dyDescent="0.45">
      <c r="A119" s="3">
        <v>46086</v>
      </c>
      <c r="B119" s="4">
        <v>39.619999999999997</v>
      </c>
      <c r="C119" s="4">
        <v>41.14</v>
      </c>
      <c r="D119" s="4">
        <v>45.05</v>
      </c>
      <c r="E119" s="4">
        <v>48.87</v>
      </c>
      <c r="F119" s="4">
        <v>41.98</v>
      </c>
      <c r="G119" s="4">
        <v>47.33</v>
      </c>
      <c r="H119" s="4">
        <v>53.34</v>
      </c>
      <c r="I119" s="4">
        <v>52.57</v>
      </c>
      <c r="J119" s="4">
        <v>55.39</v>
      </c>
      <c r="K119" s="4">
        <v>47.52</v>
      </c>
      <c r="L119" s="4">
        <v>52.29</v>
      </c>
      <c r="M119" s="4">
        <v>45.08</v>
      </c>
      <c r="N119" s="4">
        <v>34.44</v>
      </c>
      <c r="O119" s="4">
        <v>56.07</v>
      </c>
      <c r="P119" s="4">
        <v>47.85</v>
      </c>
      <c r="Q119" s="4">
        <v>49.08</v>
      </c>
      <c r="R119" s="4">
        <v>50.77</v>
      </c>
      <c r="S119" s="4">
        <v>56.29</v>
      </c>
      <c r="T119" s="4">
        <v>52.99</v>
      </c>
      <c r="U119" s="4">
        <v>42.12</v>
      </c>
      <c r="V119" s="4">
        <v>54.16</v>
      </c>
      <c r="W119" s="4">
        <v>49.19</v>
      </c>
      <c r="X119" s="4">
        <v>38.35</v>
      </c>
      <c r="Y119" s="4">
        <v>38.729999999999997</v>
      </c>
    </row>
    <row r="120" spans="1:25" ht="15" customHeight="1" x14ac:dyDescent="0.45">
      <c r="A120" s="3">
        <v>46085</v>
      </c>
      <c r="B120" s="4">
        <v>32.840000000000003</v>
      </c>
      <c r="C120" s="4">
        <v>33.19</v>
      </c>
      <c r="D120" s="4">
        <v>38.71</v>
      </c>
      <c r="E120" s="4">
        <v>38.17</v>
      </c>
      <c r="F120" s="7">
        <v>26.71</v>
      </c>
      <c r="G120" s="4">
        <v>37.24</v>
      </c>
      <c r="H120" s="4">
        <v>43.23</v>
      </c>
      <c r="I120" s="4">
        <v>40.549999999999997</v>
      </c>
      <c r="J120" s="4">
        <v>46.15</v>
      </c>
      <c r="K120" s="7">
        <v>28.86</v>
      </c>
      <c r="L120" s="4">
        <v>43.33</v>
      </c>
      <c r="M120" s="4">
        <v>36.049999999999997</v>
      </c>
      <c r="N120" s="7">
        <v>28.18</v>
      </c>
      <c r="O120" s="4">
        <v>46.88</v>
      </c>
      <c r="P120" s="4">
        <v>39.49</v>
      </c>
      <c r="Q120" s="4">
        <v>39.1</v>
      </c>
      <c r="R120" s="4">
        <v>40.33</v>
      </c>
      <c r="S120" s="4">
        <v>47.22</v>
      </c>
      <c r="T120" s="4">
        <v>44.11</v>
      </c>
      <c r="U120" s="7">
        <v>29.63</v>
      </c>
      <c r="V120" s="4">
        <v>43.99</v>
      </c>
      <c r="W120" s="7">
        <v>26.95</v>
      </c>
      <c r="X120" s="7">
        <v>28.02</v>
      </c>
      <c r="Y120" s="7">
        <v>29.47</v>
      </c>
    </row>
    <row r="121" spans="1:25" ht="15" customHeight="1" x14ac:dyDescent="0.45">
      <c r="A121" s="3">
        <v>46084</v>
      </c>
      <c r="B121" s="4">
        <v>47.24</v>
      </c>
      <c r="C121" s="4">
        <v>49.73</v>
      </c>
      <c r="D121" s="4">
        <v>54.34</v>
      </c>
      <c r="E121" s="6">
        <v>61.46</v>
      </c>
      <c r="F121" s="4">
        <v>43.81</v>
      </c>
      <c r="G121" s="4">
        <v>53.39</v>
      </c>
      <c r="H121" s="6">
        <v>66.06</v>
      </c>
      <c r="I121" s="4">
        <v>58.15</v>
      </c>
      <c r="J121" s="4">
        <v>59.36</v>
      </c>
      <c r="K121" s="4">
        <v>44.18</v>
      </c>
      <c r="L121" s="6">
        <v>64.95</v>
      </c>
      <c r="M121" s="4">
        <v>53.29</v>
      </c>
      <c r="N121" s="4">
        <v>34.72</v>
      </c>
      <c r="O121" s="6">
        <v>66.73</v>
      </c>
      <c r="P121" s="6">
        <v>67.290000000000006</v>
      </c>
      <c r="Q121" s="4">
        <v>56.98</v>
      </c>
      <c r="R121" s="4">
        <v>58.75</v>
      </c>
      <c r="S121" s="6">
        <v>61.12</v>
      </c>
      <c r="T121" s="4">
        <v>58.32</v>
      </c>
      <c r="U121" s="4">
        <v>48.99</v>
      </c>
      <c r="V121" s="6">
        <v>60.66</v>
      </c>
      <c r="W121" s="4">
        <v>52.15</v>
      </c>
      <c r="X121" s="4">
        <v>42.38</v>
      </c>
      <c r="Y121" s="4">
        <v>41.59</v>
      </c>
    </row>
    <row r="122" spans="1:25" ht="15" customHeight="1" x14ac:dyDescent="0.45">
      <c r="A122" s="3">
        <v>46083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customHeight="1" x14ac:dyDescent="0.45">
      <c r="A123" s="3">
        <v>46080</v>
      </c>
      <c r="B123" s="4">
        <v>53.12</v>
      </c>
      <c r="C123" s="4">
        <v>59.33</v>
      </c>
      <c r="D123" s="6">
        <v>63.68</v>
      </c>
      <c r="E123" s="5">
        <v>75.569999999999993</v>
      </c>
      <c r="F123" s="6">
        <v>61.12</v>
      </c>
      <c r="G123" s="6">
        <v>60.32</v>
      </c>
      <c r="H123" s="6">
        <v>69.7</v>
      </c>
      <c r="I123" s="5">
        <v>77.44</v>
      </c>
      <c r="J123" s="5">
        <v>79.540000000000006</v>
      </c>
      <c r="K123" s="4">
        <v>57.88</v>
      </c>
      <c r="L123" s="5">
        <v>74.290000000000006</v>
      </c>
      <c r="M123" s="6">
        <v>67.97</v>
      </c>
      <c r="N123" s="4">
        <v>46.97</v>
      </c>
      <c r="O123" s="5">
        <v>86.18</v>
      </c>
      <c r="P123" s="6">
        <v>66.72</v>
      </c>
      <c r="Q123" s="6">
        <v>61.34</v>
      </c>
      <c r="R123" s="5">
        <v>72.010000000000005</v>
      </c>
      <c r="S123" s="5">
        <v>72.81</v>
      </c>
      <c r="T123" s="6">
        <v>63.41</v>
      </c>
      <c r="U123" s="6">
        <v>66.11</v>
      </c>
      <c r="V123" s="5">
        <v>81.040000000000006</v>
      </c>
      <c r="W123" s="5">
        <v>72.37</v>
      </c>
      <c r="X123" s="6">
        <v>61.16</v>
      </c>
      <c r="Y123" s="4">
        <v>56.99</v>
      </c>
    </row>
    <row r="124" spans="1:25" ht="15" customHeight="1" x14ac:dyDescent="0.45">
      <c r="A124" s="3">
        <v>46079</v>
      </c>
      <c r="B124" s="4">
        <v>59.93</v>
      </c>
      <c r="C124" s="6">
        <v>60.33</v>
      </c>
      <c r="D124" s="6">
        <v>62.95</v>
      </c>
      <c r="E124" s="5">
        <v>75.37</v>
      </c>
      <c r="F124" s="6">
        <v>62.42</v>
      </c>
      <c r="G124" s="6">
        <v>63.04</v>
      </c>
      <c r="H124" s="6">
        <v>68.489999999999995</v>
      </c>
      <c r="I124" s="5">
        <v>73.47</v>
      </c>
      <c r="J124" s="5">
        <v>83.87</v>
      </c>
      <c r="K124" s="6">
        <v>63.17</v>
      </c>
      <c r="L124" s="5">
        <v>71.150000000000006</v>
      </c>
      <c r="M124" s="5">
        <v>75.09</v>
      </c>
      <c r="N124" s="4">
        <v>59.94</v>
      </c>
      <c r="O124" s="5">
        <v>86.19</v>
      </c>
      <c r="P124" s="5">
        <v>73.09</v>
      </c>
      <c r="Q124" s="5">
        <v>70.02</v>
      </c>
      <c r="R124" s="5">
        <v>82.72</v>
      </c>
      <c r="S124" s="5">
        <v>77.349999999999994</v>
      </c>
      <c r="T124" s="5">
        <v>74.09</v>
      </c>
      <c r="U124" s="6">
        <v>69.53</v>
      </c>
      <c r="V124" s="5">
        <v>82.59</v>
      </c>
      <c r="W124" s="6">
        <v>69.08</v>
      </c>
      <c r="X124" s="6">
        <v>63.83</v>
      </c>
      <c r="Y124" s="6">
        <v>60.07</v>
      </c>
    </row>
    <row r="125" spans="1:25" ht="15" customHeight="1" x14ac:dyDescent="0.45">
      <c r="A125" s="3">
        <v>46078</v>
      </c>
      <c r="B125" s="5">
        <v>77.28</v>
      </c>
      <c r="C125" s="6">
        <v>66.319999999999993</v>
      </c>
      <c r="D125" s="5">
        <v>72.44</v>
      </c>
      <c r="E125" s="5">
        <v>74.989999999999995</v>
      </c>
      <c r="F125" s="6">
        <v>61.63</v>
      </c>
      <c r="G125" s="5">
        <v>75.47</v>
      </c>
      <c r="H125" s="5">
        <v>71.77</v>
      </c>
      <c r="I125" s="6">
        <v>68.03</v>
      </c>
      <c r="J125" s="5">
        <v>79.88</v>
      </c>
      <c r="K125" s="6">
        <v>61.71</v>
      </c>
      <c r="L125" s="6">
        <v>67.88</v>
      </c>
      <c r="M125" s="5">
        <v>73.92</v>
      </c>
      <c r="N125" s="6">
        <v>63.42</v>
      </c>
      <c r="O125" s="5">
        <v>84.71</v>
      </c>
      <c r="P125" s="5">
        <v>78.39</v>
      </c>
      <c r="Q125" s="6">
        <v>69.34</v>
      </c>
      <c r="R125" s="5">
        <v>82.54</v>
      </c>
      <c r="S125" s="5">
        <v>76.73</v>
      </c>
      <c r="T125" s="5">
        <v>76.09</v>
      </c>
      <c r="U125" s="5">
        <v>70.34</v>
      </c>
      <c r="V125" s="5">
        <v>78.930000000000007</v>
      </c>
      <c r="W125" s="6">
        <v>68.77</v>
      </c>
      <c r="X125" s="4">
        <v>58.47</v>
      </c>
      <c r="Y125" s="6">
        <v>64.91</v>
      </c>
    </row>
    <row r="126" spans="1:25" ht="15" customHeight="1" x14ac:dyDescent="0.45">
      <c r="A126" s="3">
        <v>46077</v>
      </c>
      <c r="B126" s="5">
        <v>74.23</v>
      </c>
      <c r="C126" s="6">
        <v>63.38</v>
      </c>
      <c r="D126" s="6">
        <v>69.349999999999994</v>
      </c>
      <c r="E126" s="5">
        <v>72.75</v>
      </c>
      <c r="F126" s="6">
        <v>65.08</v>
      </c>
      <c r="G126" s="5">
        <v>75.16</v>
      </c>
      <c r="H126" s="6">
        <v>66.37</v>
      </c>
      <c r="I126" s="6">
        <v>66.400000000000006</v>
      </c>
      <c r="J126" s="5">
        <v>78.69</v>
      </c>
      <c r="K126" s="6">
        <v>65.81</v>
      </c>
      <c r="L126" s="6">
        <v>62.78</v>
      </c>
      <c r="M126" s="5">
        <v>71.64</v>
      </c>
      <c r="N126" s="6">
        <v>60.58</v>
      </c>
      <c r="O126" s="5">
        <v>80.680000000000007</v>
      </c>
      <c r="P126" s="5">
        <v>74.13</v>
      </c>
      <c r="Q126" s="6">
        <v>69.459999999999994</v>
      </c>
      <c r="R126" s="5">
        <v>80.98</v>
      </c>
      <c r="S126" s="5">
        <v>74.510000000000005</v>
      </c>
      <c r="T126" s="5">
        <v>72.77</v>
      </c>
      <c r="U126" s="6">
        <v>68.05</v>
      </c>
      <c r="V126" s="5">
        <v>77.209999999999994</v>
      </c>
      <c r="W126" s="6">
        <v>67.599999999999994</v>
      </c>
      <c r="X126" s="4">
        <v>55.38</v>
      </c>
      <c r="Y126" s="6">
        <v>66.97</v>
      </c>
    </row>
    <row r="127" spans="1:25" ht="15" customHeight="1" x14ac:dyDescent="0.45">
      <c r="A127" s="3">
        <v>46076</v>
      </c>
      <c r="B127" s="5">
        <v>80.95</v>
      </c>
      <c r="C127" s="5">
        <v>70.02</v>
      </c>
      <c r="D127" s="6">
        <v>69.760000000000005</v>
      </c>
      <c r="E127" s="6">
        <v>69.31</v>
      </c>
      <c r="F127" s="6">
        <v>62.85</v>
      </c>
      <c r="G127" s="5">
        <v>75.92</v>
      </c>
      <c r="H127" s="6">
        <v>60.49</v>
      </c>
      <c r="I127" s="6">
        <v>66.28</v>
      </c>
      <c r="J127" s="5">
        <v>75.37</v>
      </c>
      <c r="K127" s="6">
        <v>65.33</v>
      </c>
      <c r="L127" s="6">
        <v>62.87</v>
      </c>
      <c r="M127" s="5">
        <v>70.75</v>
      </c>
      <c r="N127" s="6">
        <v>60.43</v>
      </c>
      <c r="O127" s="5">
        <v>79.28</v>
      </c>
      <c r="P127" s="5">
        <v>73.650000000000006</v>
      </c>
      <c r="Q127" s="5">
        <v>71.38</v>
      </c>
      <c r="R127" s="5">
        <v>83.44</v>
      </c>
      <c r="S127" s="5">
        <v>79.099999999999994</v>
      </c>
      <c r="T127" s="5">
        <v>83.15</v>
      </c>
      <c r="U127" s="6">
        <v>69.069999999999993</v>
      </c>
      <c r="V127" s="5">
        <v>74.2</v>
      </c>
      <c r="W127" s="6">
        <v>65.58</v>
      </c>
      <c r="X127" s="4">
        <v>56.05</v>
      </c>
      <c r="Y127" s="6">
        <v>69.819999999999993</v>
      </c>
    </row>
    <row r="128" spans="1:25" ht="15" customHeight="1" x14ac:dyDescent="0.45">
      <c r="A128" s="3">
        <v>46073</v>
      </c>
      <c r="B128" s="5">
        <v>78.400000000000006</v>
      </c>
      <c r="C128" s="6">
        <v>62.77</v>
      </c>
      <c r="D128" s="6">
        <v>67.069999999999993</v>
      </c>
      <c r="E128" s="5">
        <v>71.11</v>
      </c>
      <c r="F128" s="6">
        <v>62.22</v>
      </c>
      <c r="G128" s="5">
        <v>76.709999999999994</v>
      </c>
      <c r="H128" s="4">
        <v>59.69</v>
      </c>
      <c r="I128" s="6">
        <v>68.31</v>
      </c>
      <c r="J128" s="5">
        <v>74.3</v>
      </c>
      <c r="K128" s="6">
        <v>64.05</v>
      </c>
      <c r="L128" s="6">
        <v>62.05</v>
      </c>
      <c r="M128" s="6">
        <v>69.97</v>
      </c>
      <c r="N128" s="6">
        <v>61.78</v>
      </c>
      <c r="O128" s="5">
        <v>77.84</v>
      </c>
      <c r="P128" s="5">
        <v>73.34</v>
      </c>
      <c r="Q128" s="5">
        <v>74.87</v>
      </c>
      <c r="R128" s="5">
        <v>84.72</v>
      </c>
      <c r="S128" s="5">
        <v>85.89</v>
      </c>
      <c r="T128" s="5">
        <v>82.8</v>
      </c>
      <c r="U128" s="6">
        <v>66.52</v>
      </c>
      <c r="V128" s="5">
        <v>73.25</v>
      </c>
      <c r="W128" s="6">
        <v>61.19</v>
      </c>
      <c r="X128" s="4">
        <v>53.84</v>
      </c>
      <c r="Y128" s="6">
        <v>68.64</v>
      </c>
    </row>
    <row r="129" spans="1:25" ht="15" customHeight="1" x14ac:dyDescent="0.45">
      <c r="A129" s="3">
        <v>46072</v>
      </c>
      <c r="B129" s="5">
        <v>77.319999999999993</v>
      </c>
      <c r="C129" s="6">
        <v>64.02</v>
      </c>
      <c r="D129" s="5">
        <v>71.510000000000005</v>
      </c>
      <c r="E129" s="6">
        <v>69.66</v>
      </c>
      <c r="F129" s="6">
        <v>62.57</v>
      </c>
      <c r="G129" s="5">
        <v>73.67</v>
      </c>
      <c r="H129" s="4">
        <v>57.34</v>
      </c>
      <c r="I129" s="6">
        <v>64.790000000000006</v>
      </c>
      <c r="J129" s="5">
        <v>72.319999999999993</v>
      </c>
      <c r="K129" s="6">
        <v>64.069999999999993</v>
      </c>
      <c r="L129" s="4">
        <v>58.29</v>
      </c>
      <c r="M129" s="6">
        <v>66.14</v>
      </c>
      <c r="N129" s="4">
        <v>59.35</v>
      </c>
      <c r="O129" s="5">
        <v>75.87</v>
      </c>
      <c r="P129" s="5">
        <v>71.709999999999994</v>
      </c>
      <c r="Q129" s="5">
        <v>73.28</v>
      </c>
      <c r="R129" s="5">
        <v>81.96</v>
      </c>
      <c r="S129" s="5">
        <v>85.18</v>
      </c>
      <c r="T129" s="5">
        <v>76.67</v>
      </c>
      <c r="U129" s="6">
        <v>63.76</v>
      </c>
      <c r="V129" s="5">
        <v>71</v>
      </c>
      <c r="W129" s="6">
        <v>65.52</v>
      </c>
      <c r="X129" s="4">
        <v>52.83</v>
      </c>
      <c r="Y129" s="5">
        <v>71.42</v>
      </c>
    </row>
    <row r="130" spans="1:25" ht="15" customHeight="1" x14ac:dyDescent="0.45">
      <c r="A130" s="3">
        <v>46071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customHeight="1" x14ac:dyDescent="0.45">
      <c r="A131" s="3">
        <v>46070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customHeight="1" x14ac:dyDescent="0.45">
      <c r="A132" s="3">
        <v>46066</v>
      </c>
      <c r="B132" s="5">
        <v>78.17</v>
      </c>
      <c r="C132" s="6">
        <v>61.19</v>
      </c>
      <c r="D132" s="6">
        <v>63.57</v>
      </c>
      <c r="E132" s="6">
        <v>64.52</v>
      </c>
      <c r="F132" s="4">
        <v>58.34</v>
      </c>
      <c r="G132" s="5">
        <v>70.569999999999993</v>
      </c>
      <c r="H132" s="4">
        <v>54.58</v>
      </c>
      <c r="I132" s="6">
        <v>62.23</v>
      </c>
      <c r="J132" s="6">
        <v>68.73</v>
      </c>
      <c r="K132" s="4">
        <v>59.99</v>
      </c>
      <c r="L132" s="4">
        <v>52.67</v>
      </c>
      <c r="M132" s="6">
        <v>65.239999999999995</v>
      </c>
      <c r="N132" s="4">
        <v>54.21</v>
      </c>
      <c r="O132" s="5">
        <v>70.150000000000006</v>
      </c>
      <c r="P132" s="6">
        <v>65.8</v>
      </c>
      <c r="Q132" s="5">
        <v>77.56</v>
      </c>
      <c r="R132" s="5">
        <v>79.59</v>
      </c>
      <c r="S132" s="5">
        <v>80.209999999999994</v>
      </c>
      <c r="T132" s="5">
        <v>74.930000000000007</v>
      </c>
      <c r="U132" s="6">
        <v>61.52</v>
      </c>
      <c r="V132" s="6">
        <v>66.91</v>
      </c>
      <c r="W132" s="6">
        <v>65.5</v>
      </c>
      <c r="X132" s="4">
        <v>50.53</v>
      </c>
      <c r="Y132" s="6">
        <v>67.17</v>
      </c>
    </row>
    <row r="133" spans="1:25" ht="15" customHeight="1" x14ac:dyDescent="0.45">
      <c r="A133" s="3">
        <v>46065</v>
      </c>
      <c r="B133" s="5">
        <v>79.67</v>
      </c>
      <c r="C133" s="6">
        <v>64.14</v>
      </c>
      <c r="D133" s="6">
        <v>62.14</v>
      </c>
      <c r="E133" s="6">
        <v>69.91</v>
      </c>
      <c r="F133" s="6">
        <v>60.21</v>
      </c>
      <c r="G133" s="5">
        <v>72.349999999999994</v>
      </c>
      <c r="H133" s="4">
        <v>58.16</v>
      </c>
      <c r="I133" s="6">
        <v>62.68</v>
      </c>
      <c r="J133" s="6">
        <v>68.790000000000006</v>
      </c>
      <c r="K133" s="6">
        <v>60.1</v>
      </c>
      <c r="L133" s="4">
        <v>54.61</v>
      </c>
      <c r="M133" s="5">
        <v>73.67</v>
      </c>
      <c r="N133" s="4">
        <v>54.87</v>
      </c>
      <c r="O133" s="5">
        <v>70.55</v>
      </c>
      <c r="P133" s="6">
        <v>68.61</v>
      </c>
      <c r="Q133" s="5">
        <v>73.569999999999993</v>
      </c>
      <c r="R133" s="5">
        <v>79.13</v>
      </c>
      <c r="S133" s="5">
        <v>74.48</v>
      </c>
      <c r="T133" s="5">
        <v>76.84</v>
      </c>
      <c r="U133" s="6">
        <v>63.9</v>
      </c>
      <c r="V133" s="6">
        <v>67.89</v>
      </c>
      <c r="W133" s="6">
        <v>65.13</v>
      </c>
      <c r="X133" s="4">
        <v>53.9</v>
      </c>
      <c r="Y133" s="6">
        <v>64.87</v>
      </c>
    </row>
    <row r="134" spans="1:25" ht="15" customHeight="1" x14ac:dyDescent="0.45">
      <c r="A134" s="3">
        <v>46064</v>
      </c>
      <c r="B134" s="5">
        <v>75.95</v>
      </c>
      <c r="C134" s="6">
        <v>66.45</v>
      </c>
      <c r="D134" s="6">
        <v>66.430000000000007</v>
      </c>
      <c r="E134" s="6">
        <v>67.23</v>
      </c>
      <c r="F134" s="4">
        <v>59.83</v>
      </c>
      <c r="G134" s="5">
        <v>72.08</v>
      </c>
      <c r="H134" s="4">
        <v>55.46</v>
      </c>
      <c r="I134" s="6">
        <v>60.46</v>
      </c>
      <c r="J134" s="6">
        <v>63.94</v>
      </c>
      <c r="K134" s="4">
        <v>59.71</v>
      </c>
      <c r="L134" s="4">
        <v>53.65</v>
      </c>
      <c r="M134" s="6">
        <v>69.849999999999994</v>
      </c>
      <c r="N134" s="4">
        <v>56.61</v>
      </c>
      <c r="O134" s="6">
        <v>69.94</v>
      </c>
      <c r="P134" s="6">
        <v>66.790000000000006</v>
      </c>
      <c r="Q134" s="5">
        <v>70.36</v>
      </c>
      <c r="R134" s="5">
        <v>75.69</v>
      </c>
      <c r="S134" s="5">
        <v>72.650000000000006</v>
      </c>
      <c r="T134" s="5">
        <v>73.150000000000006</v>
      </c>
      <c r="U134" s="4">
        <v>59.67</v>
      </c>
      <c r="V134" s="6">
        <v>63.58</v>
      </c>
      <c r="W134" s="6">
        <v>60.46</v>
      </c>
      <c r="X134" s="4">
        <v>53.86</v>
      </c>
      <c r="Y134" s="6">
        <v>66.069999999999993</v>
      </c>
    </row>
    <row r="135" spans="1:25" ht="15" customHeight="1" x14ac:dyDescent="0.45">
      <c r="A135" s="3">
        <v>46063</v>
      </c>
      <c r="B135" s="5">
        <v>75.44</v>
      </c>
      <c r="C135" s="5">
        <v>71.78</v>
      </c>
      <c r="D135" s="5">
        <v>78.44</v>
      </c>
      <c r="E135" s="6">
        <v>65.48</v>
      </c>
      <c r="F135" s="4">
        <v>55.6</v>
      </c>
      <c r="G135" s="5">
        <v>71.180000000000007</v>
      </c>
      <c r="H135" s="4">
        <v>56.03</v>
      </c>
      <c r="I135" s="4">
        <v>59.29</v>
      </c>
      <c r="J135" s="6">
        <v>63.54</v>
      </c>
      <c r="K135" s="6">
        <v>63.71</v>
      </c>
      <c r="L135" s="4">
        <v>50.56</v>
      </c>
      <c r="M135" s="6">
        <v>69.17</v>
      </c>
      <c r="N135" s="4">
        <v>56.57</v>
      </c>
      <c r="O135" s="6">
        <v>67.849999999999994</v>
      </c>
      <c r="P135" s="6">
        <v>64.39</v>
      </c>
      <c r="Q135" s="6">
        <v>67.010000000000005</v>
      </c>
      <c r="R135" s="5">
        <v>73.42</v>
      </c>
      <c r="S135" s="5">
        <v>73.430000000000007</v>
      </c>
      <c r="T135" s="5">
        <v>70.66</v>
      </c>
      <c r="U135" s="6">
        <v>60.45</v>
      </c>
      <c r="V135" s="6">
        <v>62.57</v>
      </c>
      <c r="W135" s="4">
        <v>57.77</v>
      </c>
      <c r="X135" s="4">
        <v>49.46</v>
      </c>
      <c r="Y135" s="6">
        <v>63.58</v>
      </c>
    </row>
    <row r="136" spans="1:25" ht="15" customHeight="1" x14ac:dyDescent="0.45">
      <c r="A136" s="3">
        <v>46062</v>
      </c>
      <c r="B136" s="5">
        <v>70.42</v>
      </c>
      <c r="C136" s="6">
        <v>65.59</v>
      </c>
      <c r="D136" s="6">
        <v>62.54</v>
      </c>
      <c r="E136" s="6">
        <v>63.91</v>
      </c>
      <c r="F136" s="4">
        <v>53.96</v>
      </c>
      <c r="G136" s="6">
        <v>66.89</v>
      </c>
      <c r="H136" s="4">
        <v>55.21</v>
      </c>
      <c r="I136" s="4">
        <v>59.02</v>
      </c>
      <c r="J136" s="6">
        <v>64.94</v>
      </c>
      <c r="K136" s="6">
        <v>66.16</v>
      </c>
      <c r="L136" s="4">
        <v>51.94</v>
      </c>
      <c r="M136" s="6">
        <v>65.97</v>
      </c>
      <c r="N136" s="6">
        <v>60.64</v>
      </c>
      <c r="O136" s="6">
        <v>65.790000000000006</v>
      </c>
      <c r="P136" s="4">
        <v>58.34</v>
      </c>
      <c r="Q136" s="6">
        <v>65.25</v>
      </c>
      <c r="R136" s="5">
        <v>71.91</v>
      </c>
      <c r="S136" s="5">
        <v>72.849999999999994</v>
      </c>
      <c r="T136" s="6">
        <v>67.849999999999994</v>
      </c>
      <c r="U136" s="4">
        <v>58.92</v>
      </c>
      <c r="V136" s="6">
        <v>63.52</v>
      </c>
      <c r="W136" s="4">
        <v>56.55</v>
      </c>
      <c r="X136" s="4">
        <v>45.64</v>
      </c>
      <c r="Y136" s="6">
        <v>62.26</v>
      </c>
    </row>
    <row r="137" spans="1:25" ht="15" customHeight="1" x14ac:dyDescent="0.45">
      <c r="A137" s="3">
        <v>46059</v>
      </c>
      <c r="B137" s="6">
        <v>63.72</v>
      </c>
      <c r="C137" s="6">
        <v>65.709999999999994</v>
      </c>
      <c r="D137" s="4">
        <v>49.02</v>
      </c>
      <c r="E137" s="4">
        <v>55.17</v>
      </c>
      <c r="F137" s="4">
        <v>47.48</v>
      </c>
      <c r="G137" s="6">
        <v>62.81</v>
      </c>
      <c r="H137" s="4">
        <v>51.58</v>
      </c>
      <c r="I137" s="4">
        <v>53.45</v>
      </c>
      <c r="J137" s="4">
        <v>59.44</v>
      </c>
      <c r="K137" s="4">
        <v>55.32</v>
      </c>
      <c r="L137" s="4">
        <v>49.55</v>
      </c>
      <c r="M137" s="4">
        <v>58.06</v>
      </c>
      <c r="N137" s="4">
        <v>57.22</v>
      </c>
      <c r="O137" s="4">
        <v>59.22</v>
      </c>
      <c r="P137" s="4">
        <v>53.41</v>
      </c>
      <c r="Q137" s="4">
        <v>58.37</v>
      </c>
      <c r="R137" s="6">
        <v>66.67</v>
      </c>
      <c r="S137" s="6">
        <v>67.680000000000007</v>
      </c>
      <c r="T137" s="6">
        <v>63.05</v>
      </c>
      <c r="U137" s="4">
        <v>51.96</v>
      </c>
      <c r="V137" s="4">
        <v>57.72</v>
      </c>
      <c r="W137" s="4">
        <v>56.45</v>
      </c>
      <c r="X137" s="4">
        <v>42.03</v>
      </c>
      <c r="Y137" s="4">
        <v>52.84</v>
      </c>
    </row>
    <row r="138" spans="1:25" ht="15" customHeight="1" x14ac:dyDescent="0.45">
      <c r="A138" s="3">
        <v>46058</v>
      </c>
      <c r="B138" s="6">
        <v>65.05</v>
      </c>
      <c r="C138" s="5">
        <v>73.84</v>
      </c>
      <c r="D138" s="4">
        <v>54.06</v>
      </c>
      <c r="E138" s="6">
        <v>60.04</v>
      </c>
      <c r="F138" s="4">
        <v>49.79</v>
      </c>
      <c r="G138" s="6">
        <v>63.91</v>
      </c>
      <c r="H138" s="4">
        <v>55.09</v>
      </c>
      <c r="I138" s="4">
        <v>56.48</v>
      </c>
      <c r="J138" s="6">
        <v>61.06</v>
      </c>
      <c r="K138" s="4">
        <v>57.84</v>
      </c>
      <c r="L138" s="4">
        <v>54.14</v>
      </c>
      <c r="M138" s="6">
        <v>69.95</v>
      </c>
      <c r="N138" s="6">
        <v>60.39</v>
      </c>
      <c r="O138" s="6">
        <v>63.08</v>
      </c>
      <c r="P138" s="4">
        <v>57.64</v>
      </c>
      <c r="Q138" s="5">
        <v>71.83</v>
      </c>
      <c r="R138" s="6">
        <v>69.66</v>
      </c>
      <c r="S138" s="5">
        <v>72.989999999999995</v>
      </c>
      <c r="T138" s="6">
        <v>65.19</v>
      </c>
      <c r="U138" s="4">
        <v>57.65</v>
      </c>
      <c r="V138" s="6">
        <v>60.61</v>
      </c>
      <c r="W138" s="4">
        <v>57.08</v>
      </c>
      <c r="X138" s="4">
        <v>46.57</v>
      </c>
      <c r="Y138" s="4">
        <v>58.69</v>
      </c>
    </row>
    <row r="139" spans="1:25" ht="15" customHeight="1" x14ac:dyDescent="0.45">
      <c r="A139" s="3">
        <v>46057</v>
      </c>
      <c r="B139" s="6">
        <v>65.97</v>
      </c>
      <c r="C139" s="5">
        <v>70.040000000000006</v>
      </c>
      <c r="D139" s="4">
        <v>52.98</v>
      </c>
      <c r="E139" s="6">
        <v>64.25</v>
      </c>
      <c r="F139" s="4">
        <v>53.5</v>
      </c>
      <c r="G139" s="6">
        <v>63.46</v>
      </c>
      <c r="H139" s="6">
        <v>61.79</v>
      </c>
      <c r="I139" s="6">
        <v>65.69</v>
      </c>
      <c r="J139" s="5">
        <v>72.849999999999994</v>
      </c>
      <c r="K139" s="6">
        <v>64.91</v>
      </c>
      <c r="L139" s="6">
        <v>62.16</v>
      </c>
      <c r="M139" s="5">
        <v>75.67</v>
      </c>
      <c r="N139" s="6">
        <v>61.83</v>
      </c>
      <c r="O139" s="6">
        <v>67.88</v>
      </c>
      <c r="P139" s="6">
        <v>61.71</v>
      </c>
      <c r="Q139" s="5">
        <v>77.2</v>
      </c>
      <c r="R139" s="5">
        <v>74.680000000000007</v>
      </c>
      <c r="S139" s="5">
        <v>78.930000000000007</v>
      </c>
      <c r="T139" s="6">
        <v>69.819999999999993</v>
      </c>
      <c r="U139" s="6">
        <v>64.540000000000006</v>
      </c>
      <c r="V139" s="5">
        <v>72.87</v>
      </c>
      <c r="W139" s="4">
        <v>54.87</v>
      </c>
      <c r="X139" s="4">
        <v>52.25</v>
      </c>
      <c r="Y139" s="6">
        <v>60.35</v>
      </c>
    </row>
    <row r="140" spans="1:25" ht="15" customHeight="1" x14ac:dyDescent="0.45">
      <c r="A140" s="3">
        <v>46056</v>
      </c>
      <c r="B140" s="4">
        <v>59.47</v>
      </c>
      <c r="C140" s="6">
        <v>64.23</v>
      </c>
      <c r="D140" s="4">
        <v>42.78</v>
      </c>
      <c r="E140" s="4">
        <v>58.36</v>
      </c>
      <c r="F140" s="4">
        <v>49.46</v>
      </c>
      <c r="G140" s="4">
        <v>57.19</v>
      </c>
      <c r="H140" s="4">
        <v>57.26</v>
      </c>
      <c r="I140" s="6">
        <v>61.62</v>
      </c>
      <c r="J140" s="5">
        <v>72.19</v>
      </c>
      <c r="K140" s="6">
        <v>65.040000000000006</v>
      </c>
      <c r="L140" s="4">
        <v>59.88</v>
      </c>
      <c r="M140" s="5">
        <v>73.39</v>
      </c>
      <c r="N140" s="4">
        <v>56.39</v>
      </c>
      <c r="O140" s="6">
        <v>63.83</v>
      </c>
      <c r="P140" s="4">
        <v>57.79</v>
      </c>
      <c r="Q140" s="5">
        <v>73.510000000000005</v>
      </c>
      <c r="R140" s="5">
        <v>71.239999999999995</v>
      </c>
      <c r="S140" s="5">
        <v>78.709999999999994</v>
      </c>
      <c r="T140" s="6">
        <v>61.25</v>
      </c>
      <c r="U140" s="6">
        <v>60.58</v>
      </c>
      <c r="V140" s="5">
        <v>71.400000000000006</v>
      </c>
      <c r="W140" s="4">
        <v>50.48</v>
      </c>
      <c r="X140" s="4">
        <v>53.67</v>
      </c>
      <c r="Y140" s="4">
        <v>57.9</v>
      </c>
    </row>
    <row r="141" spans="1:25" ht="15" customHeight="1" x14ac:dyDescent="0.45">
      <c r="A141" s="3">
        <v>46055</v>
      </c>
      <c r="B141" s="4">
        <v>53.73</v>
      </c>
      <c r="C141" s="4">
        <v>59.93</v>
      </c>
      <c r="D141" s="4">
        <v>33.33</v>
      </c>
      <c r="E141" s="4">
        <v>51.92</v>
      </c>
      <c r="F141" s="4">
        <v>41.64</v>
      </c>
      <c r="G141" s="4">
        <v>47.3</v>
      </c>
      <c r="H141" s="4">
        <v>51.74</v>
      </c>
      <c r="I141" s="4">
        <v>50.94</v>
      </c>
      <c r="J141" s="6">
        <v>61.82</v>
      </c>
      <c r="K141" s="4">
        <v>58.62</v>
      </c>
      <c r="L141" s="4">
        <v>54.85</v>
      </c>
      <c r="M141" s="6">
        <v>61.89</v>
      </c>
      <c r="N141" s="4">
        <v>51.99</v>
      </c>
      <c r="O141" s="4">
        <v>54.1</v>
      </c>
      <c r="P141" s="4">
        <v>52.16</v>
      </c>
      <c r="Q141" s="6">
        <v>67.930000000000007</v>
      </c>
      <c r="R141" s="6">
        <v>61.59</v>
      </c>
      <c r="S141" s="6">
        <v>69.73</v>
      </c>
      <c r="T141" s="4">
        <v>55.25</v>
      </c>
      <c r="U141" s="4">
        <v>51.78</v>
      </c>
      <c r="V141" s="6">
        <v>60.71</v>
      </c>
      <c r="W141" s="4">
        <v>45.06</v>
      </c>
      <c r="X141" s="4">
        <v>51.37</v>
      </c>
      <c r="Y141" s="4">
        <v>50.77</v>
      </c>
    </row>
    <row r="142" spans="1:25" ht="15" customHeight="1" x14ac:dyDescent="0.45">
      <c r="A142" s="3">
        <v>46052</v>
      </c>
      <c r="B142" s="6">
        <v>61.23</v>
      </c>
      <c r="C142" s="6">
        <v>65.569999999999993</v>
      </c>
      <c r="D142" s="4">
        <v>40.06</v>
      </c>
      <c r="E142" s="6">
        <v>62.81</v>
      </c>
      <c r="F142" s="4">
        <v>48.49</v>
      </c>
      <c r="G142" s="4">
        <v>54.04</v>
      </c>
      <c r="H142" s="6">
        <v>66.290000000000006</v>
      </c>
      <c r="I142" s="6">
        <v>64.010000000000005</v>
      </c>
      <c r="J142" s="5">
        <v>83.71</v>
      </c>
      <c r="K142" s="5">
        <v>75.650000000000006</v>
      </c>
      <c r="L142" s="6">
        <v>63.1</v>
      </c>
      <c r="M142" s="5">
        <v>76.959999999999994</v>
      </c>
      <c r="N142" s="4">
        <v>54.51</v>
      </c>
      <c r="O142" s="6">
        <v>61.43</v>
      </c>
      <c r="P142" s="4">
        <v>55.16</v>
      </c>
      <c r="Q142" s="5">
        <v>82.14</v>
      </c>
      <c r="R142" s="5">
        <v>79.8</v>
      </c>
      <c r="S142" s="5">
        <v>84.68</v>
      </c>
      <c r="T142" s="6">
        <v>67.540000000000006</v>
      </c>
      <c r="U142" s="6">
        <v>64.17</v>
      </c>
      <c r="V142" s="5">
        <v>84.84</v>
      </c>
      <c r="W142" s="4">
        <v>52.35</v>
      </c>
      <c r="X142" s="6">
        <v>61.83</v>
      </c>
      <c r="Y142" s="6">
        <v>63.96</v>
      </c>
    </row>
    <row r="143" spans="1:25" ht="15" customHeight="1" x14ac:dyDescent="0.45">
      <c r="A143" s="3">
        <v>46051</v>
      </c>
      <c r="B143" s="4">
        <v>55.52</v>
      </c>
      <c r="C143" s="4">
        <v>58.81</v>
      </c>
      <c r="D143" s="4">
        <v>40.71</v>
      </c>
      <c r="E143" s="5">
        <v>71.87</v>
      </c>
      <c r="F143" s="4">
        <v>54.62</v>
      </c>
      <c r="G143" s="4">
        <v>55.91</v>
      </c>
      <c r="H143" s="5">
        <v>77.14</v>
      </c>
      <c r="I143" s="5">
        <v>70.650000000000006</v>
      </c>
      <c r="J143" s="5">
        <v>82.45</v>
      </c>
      <c r="K143" s="5">
        <v>77.22</v>
      </c>
      <c r="L143" s="6">
        <v>68.27</v>
      </c>
      <c r="M143" s="5">
        <v>75.5</v>
      </c>
      <c r="N143" s="6">
        <v>60.82</v>
      </c>
      <c r="O143" s="5">
        <v>73.02</v>
      </c>
      <c r="P143" s="6">
        <v>65.22</v>
      </c>
      <c r="Q143" s="5">
        <v>79.540000000000006</v>
      </c>
      <c r="R143" s="5">
        <v>79.209999999999994</v>
      </c>
      <c r="S143" s="5">
        <v>83.23</v>
      </c>
      <c r="T143" s="5">
        <v>71.069999999999993</v>
      </c>
      <c r="U143" s="6">
        <v>68.66</v>
      </c>
      <c r="V143" s="5">
        <v>84.63</v>
      </c>
      <c r="W143" s="4">
        <v>59.59</v>
      </c>
      <c r="X143" s="5">
        <v>70.040000000000006</v>
      </c>
      <c r="Y143" s="6">
        <v>68.02</v>
      </c>
    </row>
    <row r="144" spans="1:25" ht="15" customHeight="1" x14ac:dyDescent="0.45">
      <c r="A144" s="3">
        <v>46050</v>
      </c>
      <c r="B144" s="4">
        <v>50.82</v>
      </c>
      <c r="C144" s="4">
        <v>57.59</v>
      </c>
      <c r="D144" s="4">
        <v>39.85</v>
      </c>
      <c r="E144" s="6">
        <v>69.989999999999995</v>
      </c>
      <c r="F144" s="4">
        <v>57.94</v>
      </c>
      <c r="G144" s="4">
        <v>49.5</v>
      </c>
      <c r="H144" s="5">
        <v>74.72</v>
      </c>
      <c r="I144" s="6">
        <v>66.03</v>
      </c>
      <c r="J144" s="5">
        <v>82.59</v>
      </c>
      <c r="K144" s="5">
        <v>75.33</v>
      </c>
      <c r="L144" s="6">
        <v>65.47</v>
      </c>
      <c r="M144" s="5">
        <v>74.510000000000005</v>
      </c>
      <c r="N144" s="4">
        <v>57.89</v>
      </c>
      <c r="O144" s="5">
        <v>71.39</v>
      </c>
      <c r="P144" s="4">
        <v>57.91</v>
      </c>
      <c r="Q144" s="5">
        <v>78.8</v>
      </c>
      <c r="R144" s="5">
        <v>75.34</v>
      </c>
      <c r="S144" s="5">
        <v>76.540000000000006</v>
      </c>
      <c r="T144" s="6">
        <v>68.650000000000006</v>
      </c>
      <c r="U144" s="6">
        <v>66.709999999999994</v>
      </c>
      <c r="V144" s="5">
        <v>84.11</v>
      </c>
      <c r="W144" s="4">
        <v>54.17</v>
      </c>
      <c r="X144" s="6">
        <v>66.27</v>
      </c>
      <c r="Y144" s="6">
        <v>67.66</v>
      </c>
    </row>
    <row r="145" spans="1:25" ht="15" customHeight="1" x14ac:dyDescent="0.45">
      <c r="A145" s="3">
        <v>46049</v>
      </c>
      <c r="B145" s="4">
        <v>50.68</v>
      </c>
      <c r="C145" s="4">
        <v>47.39</v>
      </c>
      <c r="D145" s="4">
        <v>43.22</v>
      </c>
      <c r="E145" s="6">
        <v>68.8</v>
      </c>
      <c r="F145" s="4">
        <v>54.02</v>
      </c>
      <c r="G145" s="4">
        <v>45.04</v>
      </c>
      <c r="H145" s="5">
        <v>73.3</v>
      </c>
      <c r="I145" s="6">
        <v>67.209999999999994</v>
      </c>
      <c r="J145" s="5">
        <v>79.89</v>
      </c>
      <c r="K145" s="5">
        <v>71.06</v>
      </c>
      <c r="L145" s="6">
        <v>64.56</v>
      </c>
      <c r="M145" s="5">
        <v>72.67</v>
      </c>
      <c r="N145" s="6">
        <v>60.79</v>
      </c>
      <c r="O145" s="5">
        <v>70.81</v>
      </c>
      <c r="P145" s="4">
        <v>58.58</v>
      </c>
      <c r="Q145" s="5">
        <v>82.05</v>
      </c>
      <c r="R145" s="5">
        <v>74.92</v>
      </c>
      <c r="S145" s="5">
        <v>75.92</v>
      </c>
      <c r="T145" s="6">
        <v>67.61</v>
      </c>
      <c r="U145" s="6">
        <v>62.61</v>
      </c>
      <c r="V145" s="5">
        <v>81.81</v>
      </c>
      <c r="W145" s="6">
        <v>62.79</v>
      </c>
      <c r="X145" s="6">
        <v>69.239999999999995</v>
      </c>
      <c r="Y145" s="6">
        <v>67.41</v>
      </c>
    </row>
    <row r="146" spans="1:25" ht="15" customHeight="1" x14ac:dyDescent="0.45">
      <c r="A146" s="3">
        <v>46048</v>
      </c>
      <c r="B146" s="4">
        <v>48.04</v>
      </c>
      <c r="C146" s="4">
        <v>48.03</v>
      </c>
      <c r="D146" s="4">
        <v>43.26</v>
      </c>
      <c r="E146" s="6">
        <v>69.58</v>
      </c>
      <c r="F146" s="4">
        <v>56.94</v>
      </c>
      <c r="G146" s="4">
        <v>45.45</v>
      </c>
      <c r="H146" s="5">
        <v>75.25</v>
      </c>
      <c r="I146" s="6">
        <v>65.2</v>
      </c>
      <c r="J146" s="5">
        <v>74.2</v>
      </c>
      <c r="K146" s="6">
        <v>65.53</v>
      </c>
      <c r="L146" s="6">
        <v>67.06</v>
      </c>
      <c r="M146" s="5">
        <v>71.790000000000006</v>
      </c>
      <c r="N146" s="6">
        <v>60.67</v>
      </c>
      <c r="O146" s="6">
        <v>69.739999999999995</v>
      </c>
      <c r="P146" s="4">
        <v>58.39</v>
      </c>
      <c r="Q146" s="6">
        <v>69.98</v>
      </c>
      <c r="R146" s="6">
        <v>69.790000000000006</v>
      </c>
      <c r="S146" s="5">
        <v>71.64</v>
      </c>
      <c r="T146" s="6">
        <v>63.25</v>
      </c>
      <c r="U146" s="6">
        <v>60.73</v>
      </c>
      <c r="V146" s="5">
        <v>78.11</v>
      </c>
      <c r="W146" s="4">
        <v>57.06</v>
      </c>
      <c r="X146" s="6">
        <v>65.319999999999993</v>
      </c>
      <c r="Y146" s="5">
        <v>70.31</v>
      </c>
    </row>
    <row r="147" spans="1:25" ht="15" customHeight="1" x14ac:dyDescent="0.45">
      <c r="A147" s="3">
        <v>46045</v>
      </c>
      <c r="B147" s="4">
        <v>56.5</v>
      </c>
      <c r="C147" s="4">
        <v>48.5</v>
      </c>
      <c r="D147" s="4">
        <v>46.08</v>
      </c>
      <c r="E147" s="5">
        <v>71</v>
      </c>
      <c r="F147" s="4">
        <v>54.49</v>
      </c>
      <c r="G147" s="4">
        <v>45.24</v>
      </c>
      <c r="H147" s="5">
        <v>70.430000000000007</v>
      </c>
      <c r="I147" s="6">
        <v>68.09</v>
      </c>
      <c r="J147" s="5">
        <v>78.84</v>
      </c>
      <c r="K147" s="4">
        <v>57.52</v>
      </c>
      <c r="L147" s="6">
        <v>69.97</v>
      </c>
      <c r="M147" s="5">
        <v>83.25</v>
      </c>
      <c r="N147" s="6">
        <v>62.66</v>
      </c>
      <c r="O147" s="5">
        <v>74.94</v>
      </c>
      <c r="P147" s="6">
        <v>66</v>
      </c>
      <c r="Q147" s="5">
        <v>73.78</v>
      </c>
      <c r="R147" s="5">
        <v>75.569999999999993</v>
      </c>
      <c r="S147" s="5">
        <v>75.540000000000006</v>
      </c>
      <c r="T147" s="6">
        <v>66.19</v>
      </c>
      <c r="U147" s="6">
        <v>61.61</v>
      </c>
      <c r="V147" s="5">
        <v>82.26</v>
      </c>
      <c r="W147" s="4">
        <v>56.16</v>
      </c>
      <c r="X147" s="6">
        <v>63.12</v>
      </c>
      <c r="Y147" s="5">
        <v>70.09</v>
      </c>
    </row>
    <row r="148" spans="1:25" ht="15" customHeight="1" x14ac:dyDescent="0.45">
      <c r="A148" s="3">
        <v>46044</v>
      </c>
      <c r="B148" s="4">
        <v>53.94</v>
      </c>
      <c r="C148" s="4">
        <v>44.46</v>
      </c>
      <c r="D148" s="4">
        <v>41.52</v>
      </c>
      <c r="E148" s="6">
        <v>69.34</v>
      </c>
      <c r="F148" s="4">
        <v>48.25</v>
      </c>
      <c r="G148" s="4">
        <v>41.41</v>
      </c>
      <c r="H148" s="6">
        <v>68.290000000000006</v>
      </c>
      <c r="I148" s="6">
        <v>64.42</v>
      </c>
      <c r="J148" s="5">
        <v>78.599999999999994</v>
      </c>
      <c r="K148" s="4">
        <v>55.14</v>
      </c>
      <c r="L148" s="5">
        <v>72.650000000000006</v>
      </c>
      <c r="M148" s="5">
        <v>80.680000000000007</v>
      </c>
      <c r="N148" s="5">
        <v>74.92</v>
      </c>
      <c r="O148" s="5">
        <v>71.239999999999995</v>
      </c>
      <c r="P148" s="5">
        <v>73.39</v>
      </c>
      <c r="Q148" s="5">
        <v>73.62</v>
      </c>
      <c r="R148" s="6">
        <v>69.91</v>
      </c>
      <c r="S148" s="6">
        <v>64.569999999999993</v>
      </c>
      <c r="T148" s="6">
        <v>61.87</v>
      </c>
      <c r="U148" s="4">
        <v>57.4</v>
      </c>
      <c r="V148" s="5">
        <v>81.93</v>
      </c>
      <c r="W148" s="4">
        <v>54.77</v>
      </c>
      <c r="X148" s="4">
        <v>53.69</v>
      </c>
      <c r="Y148" s="6">
        <v>66.61</v>
      </c>
    </row>
    <row r="149" spans="1:25" ht="15" customHeight="1" x14ac:dyDescent="0.45">
      <c r="A149" s="3">
        <v>46043</v>
      </c>
      <c r="B149" s="4">
        <v>49.79</v>
      </c>
      <c r="C149" s="4">
        <v>43.94</v>
      </c>
      <c r="D149" s="4">
        <v>44.85</v>
      </c>
      <c r="E149" s="6">
        <v>60.14</v>
      </c>
      <c r="F149" s="4">
        <v>53.28</v>
      </c>
      <c r="G149" s="4">
        <v>39.549999999999997</v>
      </c>
      <c r="H149" s="5">
        <v>72.81</v>
      </c>
      <c r="I149" s="6">
        <v>67.930000000000007</v>
      </c>
      <c r="J149" s="5">
        <v>75.86</v>
      </c>
      <c r="K149" s="4">
        <v>55.59</v>
      </c>
      <c r="L149" s="5">
        <v>81.099999999999994</v>
      </c>
      <c r="M149" s="5">
        <v>80.56</v>
      </c>
      <c r="N149" s="5">
        <v>80.069999999999993</v>
      </c>
      <c r="O149" s="5">
        <v>76.88</v>
      </c>
      <c r="P149" s="5">
        <v>71.55</v>
      </c>
      <c r="Q149" s="5">
        <v>73.42</v>
      </c>
      <c r="R149" s="6">
        <v>67.319999999999993</v>
      </c>
      <c r="S149" s="6">
        <v>61.65</v>
      </c>
      <c r="T149" s="6">
        <v>60.84</v>
      </c>
      <c r="U149" s="4">
        <v>59.18</v>
      </c>
      <c r="V149" s="5">
        <v>80.83</v>
      </c>
      <c r="W149" s="4">
        <v>57.61</v>
      </c>
      <c r="X149" s="4">
        <v>51.72</v>
      </c>
      <c r="Y149" s="6">
        <v>64.209999999999994</v>
      </c>
    </row>
    <row r="150" spans="1:25" ht="15" customHeight="1" x14ac:dyDescent="0.45">
      <c r="A150" s="3">
        <v>46042</v>
      </c>
      <c r="B150" s="4">
        <v>55.96</v>
      </c>
      <c r="C150" s="4">
        <v>44.84</v>
      </c>
      <c r="D150" s="4">
        <v>48.11</v>
      </c>
      <c r="E150" s="6">
        <v>63</v>
      </c>
      <c r="F150" s="6">
        <v>64.14</v>
      </c>
      <c r="G150" s="4">
        <v>46.14</v>
      </c>
      <c r="H150" s="5">
        <v>73.19</v>
      </c>
      <c r="I150" s="5">
        <v>76.42</v>
      </c>
      <c r="J150" s="5">
        <v>74.59</v>
      </c>
      <c r="K150" s="4">
        <v>57.27</v>
      </c>
      <c r="L150" s="5">
        <v>78.41</v>
      </c>
      <c r="M150" s="5">
        <v>80.36</v>
      </c>
      <c r="N150" s="5">
        <v>78.14</v>
      </c>
      <c r="O150" s="5">
        <v>80.959999999999994</v>
      </c>
      <c r="P150" s="5">
        <v>79.92</v>
      </c>
      <c r="Q150" s="5">
        <v>77.34</v>
      </c>
      <c r="R150" s="5">
        <v>71.48</v>
      </c>
      <c r="S150" s="5">
        <v>70.55</v>
      </c>
      <c r="T150" s="6">
        <v>61.59</v>
      </c>
      <c r="U150" s="6">
        <v>66.16</v>
      </c>
      <c r="V150" s="5">
        <v>79.72</v>
      </c>
      <c r="W150" s="6">
        <v>62.81</v>
      </c>
      <c r="X150" s="4">
        <v>57.45</v>
      </c>
      <c r="Y150" s="5">
        <v>70.78</v>
      </c>
    </row>
    <row r="151" spans="1:25" ht="15" customHeight="1" x14ac:dyDescent="0.45">
      <c r="A151" s="3">
        <v>46041</v>
      </c>
      <c r="B151" s="4">
        <v>47.69</v>
      </c>
      <c r="C151" s="4">
        <v>38.08</v>
      </c>
      <c r="D151" s="4">
        <v>36.56</v>
      </c>
      <c r="E151" s="4">
        <v>59.11</v>
      </c>
      <c r="F151" s="6">
        <v>63.03</v>
      </c>
      <c r="G151" s="4">
        <v>41.42</v>
      </c>
      <c r="H151" s="5">
        <v>71.28</v>
      </c>
      <c r="I151" s="5">
        <v>76.95</v>
      </c>
      <c r="J151" s="5">
        <v>83.28</v>
      </c>
      <c r="K151" s="4">
        <v>54.51</v>
      </c>
      <c r="L151" s="5">
        <v>82.07</v>
      </c>
      <c r="M151" s="5">
        <v>77.34</v>
      </c>
      <c r="N151" s="6">
        <v>65.709999999999994</v>
      </c>
      <c r="O151" s="5">
        <v>80.03</v>
      </c>
      <c r="P151" s="5">
        <v>79.180000000000007</v>
      </c>
      <c r="Q151" s="6">
        <v>69.84</v>
      </c>
      <c r="R151" s="6">
        <v>66.81</v>
      </c>
      <c r="S151" s="5">
        <v>72.45</v>
      </c>
      <c r="T151" s="4">
        <v>52.9</v>
      </c>
      <c r="U151" s="4">
        <v>59.78</v>
      </c>
      <c r="V151" s="5">
        <v>86.33</v>
      </c>
      <c r="W151" s="6">
        <v>60.42</v>
      </c>
      <c r="X151" s="4">
        <v>54.81</v>
      </c>
      <c r="Y151" s="6">
        <v>68.92</v>
      </c>
    </row>
    <row r="152" spans="1:25" ht="15" customHeight="1" x14ac:dyDescent="0.45">
      <c r="A152" s="3">
        <v>46038</v>
      </c>
      <c r="B152" s="4">
        <v>43.27</v>
      </c>
      <c r="C152" s="4">
        <v>41.62</v>
      </c>
      <c r="D152" s="4">
        <v>37.68</v>
      </c>
      <c r="E152" s="4">
        <v>57.61</v>
      </c>
      <c r="F152" s="6">
        <v>68.47</v>
      </c>
      <c r="G152" s="4">
        <v>42.31</v>
      </c>
      <c r="H152" s="6">
        <v>68.760000000000005</v>
      </c>
      <c r="I152" s="5">
        <v>75.400000000000006</v>
      </c>
      <c r="J152" s="5">
        <v>82.51</v>
      </c>
      <c r="K152" s="4">
        <v>57.44</v>
      </c>
      <c r="L152" s="5">
        <v>77.12</v>
      </c>
      <c r="M152" s="5">
        <v>76.8</v>
      </c>
      <c r="N152" s="6">
        <v>62.49</v>
      </c>
      <c r="O152" s="5">
        <v>78.81</v>
      </c>
      <c r="P152" s="5">
        <v>76.37</v>
      </c>
      <c r="Q152" s="6">
        <v>61.6</v>
      </c>
      <c r="R152" s="6">
        <v>69.75</v>
      </c>
      <c r="S152" s="5">
        <v>72.599999999999994</v>
      </c>
      <c r="T152" s="4">
        <v>56.44</v>
      </c>
      <c r="U152" s="6">
        <v>61.48</v>
      </c>
      <c r="V152" s="5">
        <v>84.82</v>
      </c>
      <c r="W152" s="4">
        <v>56.52</v>
      </c>
      <c r="X152" s="4">
        <v>55.67</v>
      </c>
      <c r="Y152" s="4">
        <v>56.83</v>
      </c>
    </row>
    <row r="153" spans="1:25" ht="15" customHeight="1" x14ac:dyDescent="0.45">
      <c r="A153" s="3">
        <v>46037</v>
      </c>
      <c r="B153" s="4">
        <v>45</v>
      </c>
      <c r="C153" s="4">
        <v>41.25</v>
      </c>
      <c r="D153" s="4">
        <v>39.49</v>
      </c>
      <c r="E153" s="6">
        <v>61.74</v>
      </c>
      <c r="F153" s="5">
        <v>71.23</v>
      </c>
      <c r="G153" s="4">
        <v>44.73</v>
      </c>
      <c r="H153" s="6">
        <v>68.11</v>
      </c>
      <c r="I153" s="5">
        <v>72.13</v>
      </c>
      <c r="J153" s="5">
        <v>80.66</v>
      </c>
      <c r="K153" s="4">
        <v>59.22</v>
      </c>
      <c r="L153" s="5">
        <v>81.849999999999994</v>
      </c>
      <c r="M153" s="5">
        <v>75.36</v>
      </c>
      <c r="N153" s="6">
        <v>60.47</v>
      </c>
      <c r="O153" s="5">
        <v>75.66</v>
      </c>
      <c r="P153" s="5">
        <v>80.97</v>
      </c>
      <c r="Q153" s="6">
        <v>60.32</v>
      </c>
      <c r="R153" s="6">
        <v>67.44</v>
      </c>
      <c r="S153" s="5">
        <v>70.91</v>
      </c>
      <c r="T153" s="4">
        <v>47.51</v>
      </c>
      <c r="U153" s="4">
        <v>58.26</v>
      </c>
      <c r="V153" s="5">
        <v>83.89</v>
      </c>
      <c r="W153" s="4">
        <v>54.43</v>
      </c>
      <c r="X153" s="4">
        <v>58.63</v>
      </c>
      <c r="Y153" s="4">
        <v>59.78</v>
      </c>
    </row>
    <row r="154" spans="1:25" ht="15" customHeight="1" x14ac:dyDescent="0.45">
      <c r="A154" s="3">
        <v>46036</v>
      </c>
      <c r="B154" s="4">
        <v>47.55</v>
      </c>
      <c r="C154" s="4">
        <v>39.56</v>
      </c>
      <c r="D154" s="4">
        <v>40.450000000000003</v>
      </c>
      <c r="E154" s="4">
        <v>55.91</v>
      </c>
      <c r="F154" s="6">
        <v>69</v>
      </c>
      <c r="G154" s="4">
        <v>45.61</v>
      </c>
      <c r="H154" s="6">
        <v>62.73</v>
      </c>
      <c r="I154" s="5">
        <v>71.25</v>
      </c>
      <c r="J154" s="5">
        <v>78.790000000000006</v>
      </c>
      <c r="K154" s="6">
        <v>61.72</v>
      </c>
      <c r="L154" s="5">
        <v>79.63</v>
      </c>
      <c r="M154" s="5">
        <v>73.56</v>
      </c>
      <c r="N154" s="4">
        <v>59.89</v>
      </c>
      <c r="O154" s="5">
        <v>72.52</v>
      </c>
      <c r="P154" s="5">
        <v>80.59</v>
      </c>
      <c r="Q154" s="4">
        <v>58.11</v>
      </c>
      <c r="R154" s="6">
        <v>65.91</v>
      </c>
      <c r="S154" s="6">
        <v>66.91</v>
      </c>
      <c r="T154" s="4">
        <v>48.92</v>
      </c>
      <c r="U154" s="4">
        <v>49.82</v>
      </c>
      <c r="V154" s="5">
        <v>81.88</v>
      </c>
      <c r="W154" s="4">
        <v>51.92</v>
      </c>
      <c r="X154" s="6">
        <v>64.2</v>
      </c>
      <c r="Y154" s="4">
        <v>55.66</v>
      </c>
    </row>
    <row r="155" spans="1:25" ht="15" customHeight="1" x14ac:dyDescent="0.45">
      <c r="A155" s="3">
        <v>46035</v>
      </c>
      <c r="B155" s="4">
        <v>39.61</v>
      </c>
      <c r="C155" s="4">
        <v>32.29</v>
      </c>
      <c r="D155" s="4">
        <v>36.57</v>
      </c>
      <c r="E155" s="4">
        <v>52.54</v>
      </c>
      <c r="F155" s="5">
        <v>73.48</v>
      </c>
      <c r="G155" s="4">
        <v>42.47</v>
      </c>
      <c r="H155" s="6">
        <v>67.92</v>
      </c>
      <c r="I155" s="6">
        <v>69.569999999999993</v>
      </c>
      <c r="J155" s="5">
        <v>77.510000000000005</v>
      </c>
      <c r="K155" s="4">
        <v>58.86</v>
      </c>
      <c r="L155" s="5">
        <v>82.56</v>
      </c>
      <c r="M155" s="6">
        <v>67.650000000000006</v>
      </c>
      <c r="N155" s="6">
        <v>67.290000000000006</v>
      </c>
      <c r="O155" s="5">
        <v>70.53</v>
      </c>
      <c r="P155" s="5">
        <v>79.5</v>
      </c>
      <c r="Q155" s="4">
        <v>56.14</v>
      </c>
      <c r="R155" s="6">
        <v>62.34</v>
      </c>
      <c r="S155" s="6">
        <v>62.47</v>
      </c>
      <c r="T155" s="4">
        <v>44.29</v>
      </c>
      <c r="U155" s="4">
        <v>49.28</v>
      </c>
      <c r="V155" s="5">
        <v>81.239999999999995</v>
      </c>
      <c r="W155" s="4">
        <v>51.79</v>
      </c>
      <c r="X155" s="6">
        <v>67.41</v>
      </c>
      <c r="Y155" s="4">
        <v>56.92</v>
      </c>
    </row>
    <row r="156" spans="1:25" ht="15" customHeight="1" x14ac:dyDescent="0.45">
      <c r="A156" s="3">
        <v>46034</v>
      </c>
      <c r="B156" s="4">
        <v>40.28</v>
      </c>
      <c r="C156" s="4">
        <v>33.590000000000003</v>
      </c>
      <c r="D156" s="4">
        <v>37.76</v>
      </c>
      <c r="E156" s="4">
        <v>43.97</v>
      </c>
      <c r="F156" s="5">
        <v>70.17</v>
      </c>
      <c r="G156" s="4">
        <v>48.15</v>
      </c>
      <c r="H156" s="4">
        <v>56.77</v>
      </c>
      <c r="I156" s="6">
        <v>69.680000000000007</v>
      </c>
      <c r="J156" s="5">
        <v>78.27</v>
      </c>
      <c r="K156" s="4">
        <v>59.59</v>
      </c>
      <c r="L156" s="5">
        <v>77.48</v>
      </c>
      <c r="M156" s="6">
        <v>62.16</v>
      </c>
      <c r="N156" s="4">
        <v>55.76</v>
      </c>
      <c r="O156" s="5">
        <v>70.31</v>
      </c>
      <c r="P156" s="5">
        <v>74.98</v>
      </c>
      <c r="Q156" s="4">
        <v>44.54</v>
      </c>
      <c r="R156" s="6">
        <v>60.18</v>
      </c>
      <c r="S156" s="6">
        <v>61.24</v>
      </c>
      <c r="T156" s="4">
        <v>44.46</v>
      </c>
      <c r="U156" s="4">
        <v>42.33</v>
      </c>
      <c r="V156" s="5">
        <v>79.69</v>
      </c>
      <c r="W156" s="4">
        <v>54.61</v>
      </c>
      <c r="X156" s="6">
        <v>60.28</v>
      </c>
      <c r="Y156" s="4">
        <v>55.89</v>
      </c>
    </row>
    <row r="157" spans="1:25" ht="15" customHeight="1" x14ac:dyDescent="0.45">
      <c r="A157" s="3">
        <v>46031</v>
      </c>
      <c r="B157" s="4">
        <v>36.06</v>
      </c>
      <c r="C157" s="4">
        <v>33.94</v>
      </c>
      <c r="D157" s="4">
        <v>31.38</v>
      </c>
      <c r="E157" s="4">
        <v>36.21</v>
      </c>
      <c r="F157" s="5">
        <v>75.180000000000007</v>
      </c>
      <c r="G157" s="4">
        <v>37.200000000000003</v>
      </c>
      <c r="H157" s="4">
        <v>49.69</v>
      </c>
      <c r="I157" s="6">
        <v>65.53</v>
      </c>
      <c r="J157" s="5">
        <v>77.48</v>
      </c>
      <c r="K157" s="4">
        <v>56.49</v>
      </c>
      <c r="L157" s="5">
        <v>77.31</v>
      </c>
      <c r="M157" s="6">
        <v>60.84</v>
      </c>
      <c r="N157" s="4">
        <v>50</v>
      </c>
      <c r="O157" s="4">
        <v>57.55</v>
      </c>
      <c r="P157" s="6">
        <v>68.709999999999994</v>
      </c>
      <c r="Q157" s="4">
        <v>44.06</v>
      </c>
      <c r="R157" s="4">
        <v>58.51</v>
      </c>
      <c r="S157" s="4">
        <v>58.12</v>
      </c>
      <c r="T157" s="4">
        <v>44.77</v>
      </c>
      <c r="U157" s="4">
        <v>38.9</v>
      </c>
      <c r="V157" s="5">
        <v>78.739999999999995</v>
      </c>
      <c r="W157" s="4">
        <v>59.13</v>
      </c>
      <c r="X157" s="4">
        <v>59.41</v>
      </c>
      <c r="Y157" s="4">
        <v>55.28</v>
      </c>
    </row>
    <row r="158" spans="1:25" ht="15" customHeight="1" x14ac:dyDescent="0.45">
      <c r="A158" s="3">
        <v>46030</v>
      </c>
      <c r="B158" s="4">
        <v>31.86</v>
      </c>
      <c r="C158" s="4">
        <v>32.22</v>
      </c>
      <c r="D158" s="4">
        <v>32.42</v>
      </c>
      <c r="E158" s="4">
        <v>34.299999999999997</v>
      </c>
      <c r="F158" s="5">
        <v>74.569999999999993</v>
      </c>
      <c r="G158" s="4">
        <v>32.21</v>
      </c>
      <c r="H158" s="4">
        <v>49.44</v>
      </c>
      <c r="I158" s="6">
        <v>64.63</v>
      </c>
      <c r="J158" s="5">
        <v>78.959999999999994</v>
      </c>
      <c r="K158" s="4">
        <v>59.51</v>
      </c>
      <c r="L158" s="5">
        <v>70.930000000000007</v>
      </c>
      <c r="M158" s="6">
        <v>60.99</v>
      </c>
      <c r="N158" s="4">
        <v>49.02</v>
      </c>
      <c r="O158" s="4">
        <v>53.26</v>
      </c>
      <c r="P158" s="6">
        <v>66.599999999999994</v>
      </c>
      <c r="Q158" s="4">
        <v>41.28</v>
      </c>
      <c r="R158" s="4">
        <v>56.38</v>
      </c>
      <c r="S158" s="4">
        <v>58.56</v>
      </c>
      <c r="T158" s="4">
        <v>44.97</v>
      </c>
      <c r="U158" s="4">
        <v>32.67</v>
      </c>
      <c r="V158" s="5">
        <v>77.88</v>
      </c>
      <c r="W158" s="4">
        <v>59.97</v>
      </c>
      <c r="X158" s="4">
        <v>54.76</v>
      </c>
      <c r="Y158" s="4">
        <v>57.06</v>
      </c>
    </row>
    <row r="159" spans="1:25" ht="15" customHeight="1" x14ac:dyDescent="0.45">
      <c r="A159" s="3">
        <v>46029</v>
      </c>
      <c r="B159" s="4">
        <v>32.44</v>
      </c>
      <c r="C159" s="4">
        <v>35.979999999999997</v>
      </c>
      <c r="D159" s="4">
        <v>34.24</v>
      </c>
      <c r="E159" s="4">
        <v>35.78</v>
      </c>
      <c r="F159" s="6">
        <v>67.39</v>
      </c>
      <c r="G159" s="4">
        <v>37.950000000000003</v>
      </c>
      <c r="H159" s="4">
        <v>50.59</v>
      </c>
      <c r="I159" s="6">
        <v>66.05</v>
      </c>
      <c r="J159" s="5">
        <v>79.39</v>
      </c>
      <c r="K159" s="6">
        <v>62.3</v>
      </c>
      <c r="L159" s="6">
        <v>68.290000000000006</v>
      </c>
      <c r="M159" s="6">
        <v>60.08</v>
      </c>
      <c r="N159" s="4">
        <v>50.85</v>
      </c>
      <c r="O159" s="4">
        <v>54.71</v>
      </c>
      <c r="P159" s="6">
        <v>66.25</v>
      </c>
      <c r="Q159" s="4">
        <v>45.83</v>
      </c>
      <c r="R159" s="6">
        <v>60.97</v>
      </c>
      <c r="S159" s="6">
        <v>62.07</v>
      </c>
      <c r="T159" s="4">
        <v>50.68</v>
      </c>
      <c r="U159" s="4">
        <v>36.97</v>
      </c>
      <c r="V159" s="5">
        <v>77.489999999999995</v>
      </c>
      <c r="W159" s="6">
        <v>64.05</v>
      </c>
      <c r="X159" s="4">
        <v>57.63</v>
      </c>
      <c r="Y159" s="4">
        <v>54.44</v>
      </c>
    </row>
    <row r="160" spans="1:25" ht="15" customHeight="1" x14ac:dyDescent="0.45">
      <c r="A160" s="3">
        <v>46028</v>
      </c>
      <c r="B160" s="4">
        <v>40.590000000000003</v>
      </c>
      <c r="C160" s="4">
        <v>32.89</v>
      </c>
      <c r="D160" s="4">
        <v>36.85</v>
      </c>
      <c r="E160" s="4">
        <v>40.53</v>
      </c>
      <c r="F160" s="6">
        <v>64.900000000000006</v>
      </c>
      <c r="G160" s="4">
        <v>39.11</v>
      </c>
      <c r="H160" s="4">
        <v>48.64</v>
      </c>
      <c r="I160" s="6">
        <v>68.790000000000006</v>
      </c>
      <c r="J160" s="5">
        <v>78.45</v>
      </c>
      <c r="K160" s="5">
        <v>70.400000000000006</v>
      </c>
      <c r="L160" s="6">
        <v>62.31</v>
      </c>
      <c r="M160" s="4">
        <v>56.49</v>
      </c>
      <c r="N160" s="4">
        <v>54.41</v>
      </c>
      <c r="O160" s="4">
        <v>56.96</v>
      </c>
      <c r="P160" s="4">
        <v>52.54</v>
      </c>
      <c r="Q160" s="4">
        <v>49.63</v>
      </c>
      <c r="R160" s="6">
        <v>69.349999999999994</v>
      </c>
      <c r="S160" s="6">
        <v>69.42</v>
      </c>
      <c r="T160" s="4">
        <v>56.07</v>
      </c>
      <c r="U160" s="4">
        <v>40.81</v>
      </c>
      <c r="V160" s="5">
        <v>76.14</v>
      </c>
      <c r="W160" s="6">
        <v>64.19</v>
      </c>
      <c r="X160" s="6">
        <v>64.48</v>
      </c>
      <c r="Y160" s="4">
        <v>59.7</v>
      </c>
    </row>
    <row r="161" spans="1:25" ht="15" customHeight="1" x14ac:dyDescent="0.45">
      <c r="A161" s="3">
        <v>46027</v>
      </c>
      <c r="B161" s="4">
        <v>41.48</v>
      </c>
      <c r="C161" s="4">
        <v>35.130000000000003</v>
      </c>
      <c r="D161" s="4">
        <v>37.880000000000003</v>
      </c>
      <c r="E161" s="4">
        <v>41.54</v>
      </c>
      <c r="F161" s="6">
        <v>62.72</v>
      </c>
      <c r="G161" s="4">
        <v>40.729999999999997</v>
      </c>
      <c r="H161" s="4">
        <v>51.55</v>
      </c>
      <c r="I161" s="6">
        <v>63.84</v>
      </c>
      <c r="J161" s="5">
        <v>77.11</v>
      </c>
      <c r="K161" s="6">
        <v>62.52</v>
      </c>
      <c r="L161" s="4">
        <v>58.77</v>
      </c>
      <c r="M161" s="4">
        <v>53.62</v>
      </c>
      <c r="N161" s="4">
        <v>52.2</v>
      </c>
      <c r="O161" s="4">
        <v>53.85</v>
      </c>
      <c r="P161" s="4">
        <v>46.19</v>
      </c>
      <c r="Q161" s="4">
        <v>41.3</v>
      </c>
      <c r="R161" s="6">
        <v>64.17</v>
      </c>
      <c r="S161" s="4">
        <v>57.94</v>
      </c>
      <c r="T161" s="4">
        <v>54.69</v>
      </c>
      <c r="U161" s="4">
        <v>37.04</v>
      </c>
      <c r="V161" s="5">
        <v>74.400000000000006</v>
      </c>
      <c r="W161" s="4">
        <v>59.71</v>
      </c>
      <c r="X161" s="4">
        <v>59.44</v>
      </c>
      <c r="Y161" s="6">
        <v>62.42</v>
      </c>
    </row>
    <row r="162" spans="1:25" ht="15" customHeight="1" x14ac:dyDescent="0.45">
      <c r="A162" s="3">
        <v>46024</v>
      </c>
      <c r="B162" s="4">
        <v>39.76</v>
      </c>
      <c r="C162" s="4">
        <v>37.19</v>
      </c>
      <c r="D162" s="4">
        <v>40.590000000000003</v>
      </c>
      <c r="E162" s="4">
        <v>35.07</v>
      </c>
      <c r="F162" s="4">
        <v>55.63</v>
      </c>
      <c r="G162" s="4">
        <v>40.96</v>
      </c>
      <c r="H162" s="4">
        <v>47.98</v>
      </c>
      <c r="I162" s="4">
        <v>50.19</v>
      </c>
      <c r="J162" s="5">
        <v>72.34</v>
      </c>
      <c r="K162" s="4">
        <v>58.71</v>
      </c>
      <c r="L162" s="4">
        <v>53.73</v>
      </c>
      <c r="M162" s="4">
        <v>45.19</v>
      </c>
      <c r="N162" s="4">
        <v>39.21</v>
      </c>
      <c r="O162" s="4">
        <v>46.41</v>
      </c>
      <c r="P162" s="4">
        <v>50.39</v>
      </c>
      <c r="Q162" s="4">
        <v>40.020000000000003</v>
      </c>
      <c r="R162" s="4">
        <v>58.15</v>
      </c>
      <c r="S162" s="4">
        <v>55.99</v>
      </c>
      <c r="T162" s="4">
        <v>50.61</v>
      </c>
      <c r="U162" s="4">
        <v>36.53</v>
      </c>
      <c r="V162" s="6">
        <v>68.59</v>
      </c>
      <c r="W162" s="4">
        <v>58.6</v>
      </c>
      <c r="X162" s="4">
        <v>59.01</v>
      </c>
      <c r="Y162" s="6">
        <v>69.23</v>
      </c>
    </row>
    <row r="163" spans="1:25" ht="15" customHeight="1" x14ac:dyDescent="0.45">
      <c r="A163" s="3">
        <v>46022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" customHeight="1" x14ac:dyDescent="0.45">
      <c r="A164" s="3">
        <v>46021</v>
      </c>
      <c r="B164" s="4">
        <v>41.07</v>
      </c>
      <c r="C164" s="4">
        <v>40.67</v>
      </c>
      <c r="D164" s="4">
        <v>44.74</v>
      </c>
      <c r="E164" s="4">
        <v>36.979999999999997</v>
      </c>
      <c r="F164" s="4">
        <v>44.85</v>
      </c>
      <c r="G164" s="4">
        <v>45.13</v>
      </c>
      <c r="H164" s="4">
        <v>50.06</v>
      </c>
      <c r="I164" s="4">
        <v>47.24</v>
      </c>
      <c r="J164" s="6">
        <v>66.489999999999995</v>
      </c>
      <c r="K164" s="4">
        <v>46.79</v>
      </c>
      <c r="L164" s="4">
        <v>53.22</v>
      </c>
      <c r="M164" s="4">
        <v>45.63</v>
      </c>
      <c r="N164" s="4">
        <v>42.05</v>
      </c>
      <c r="O164" s="4">
        <v>50.46</v>
      </c>
      <c r="P164" s="4">
        <v>54.8</v>
      </c>
      <c r="Q164" s="4">
        <v>47.59</v>
      </c>
      <c r="R164" s="4">
        <v>58.24</v>
      </c>
      <c r="S164" s="4">
        <v>49.94</v>
      </c>
      <c r="T164" s="4">
        <v>52.64</v>
      </c>
      <c r="U164" s="4">
        <v>40.159999999999997</v>
      </c>
      <c r="V164" s="6">
        <v>62.88</v>
      </c>
      <c r="W164" s="4">
        <v>50.84</v>
      </c>
      <c r="X164" s="4">
        <v>53.05</v>
      </c>
      <c r="Y164" s="6">
        <v>64.790000000000006</v>
      </c>
    </row>
    <row r="165" spans="1:25" ht="15" customHeight="1" x14ac:dyDescent="0.45">
      <c r="A165" s="3">
        <v>46020</v>
      </c>
      <c r="B165" s="4">
        <v>45.69</v>
      </c>
      <c r="C165" s="4">
        <v>42.43</v>
      </c>
      <c r="D165" s="4">
        <v>46.7</v>
      </c>
      <c r="E165" s="4">
        <v>38.54</v>
      </c>
      <c r="F165" s="4">
        <v>46.74</v>
      </c>
      <c r="G165" s="4">
        <v>46.68</v>
      </c>
      <c r="H165" s="4">
        <v>55.78</v>
      </c>
      <c r="I165" s="4">
        <v>50.74</v>
      </c>
      <c r="J165" s="6">
        <v>66.23</v>
      </c>
      <c r="K165" s="4">
        <v>45.01</v>
      </c>
      <c r="L165" s="4">
        <v>54.44</v>
      </c>
      <c r="M165" s="4">
        <v>48.42</v>
      </c>
      <c r="N165" s="4">
        <v>42.32</v>
      </c>
      <c r="O165" s="4">
        <v>49.21</v>
      </c>
      <c r="P165" s="4">
        <v>55.49</v>
      </c>
      <c r="Q165" s="4">
        <v>49.43</v>
      </c>
      <c r="R165" s="4">
        <v>57.95</v>
      </c>
      <c r="S165" s="4">
        <v>54.45</v>
      </c>
      <c r="T165" s="4">
        <v>51.87</v>
      </c>
      <c r="U165" s="4">
        <v>42.77</v>
      </c>
      <c r="V165" s="6">
        <v>63.61</v>
      </c>
      <c r="W165" s="4">
        <v>45.36</v>
      </c>
      <c r="X165" s="4">
        <v>52.48</v>
      </c>
      <c r="Y165" s="4">
        <v>59.23</v>
      </c>
    </row>
    <row r="166" spans="1:25" ht="15" customHeight="1" x14ac:dyDescent="0.45">
      <c r="A166" s="3">
        <v>46017</v>
      </c>
      <c r="B166" s="4">
        <v>47.45</v>
      </c>
      <c r="C166" s="4">
        <v>48.67</v>
      </c>
      <c r="D166" s="4">
        <v>54.87</v>
      </c>
      <c r="E166" s="4">
        <v>38.159999999999997</v>
      </c>
      <c r="F166" s="4">
        <v>44.36</v>
      </c>
      <c r="G166" s="6">
        <v>63.05</v>
      </c>
      <c r="H166" s="4">
        <v>49.09</v>
      </c>
      <c r="I166" s="4">
        <v>44.82</v>
      </c>
      <c r="J166" s="6">
        <v>61.53</v>
      </c>
      <c r="K166" s="4">
        <v>45.57</v>
      </c>
      <c r="L166" s="4">
        <v>48.5</v>
      </c>
      <c r="M166" s="4">
        <v>49.29</v>
      </c>
      <c r="N166" s="4">
        <v>47.33</v>
      </c>
      <c r="O166" s="4">
        <v>48.85</v>
      </c>
      <c r="P166" s="4">
        <v>53.66</v>
      </c>
      <c r="Q166" s="4">
        <v>52.85</v>
      </c>
      <c r="R166" s="4">
        <v>53.82</v>
      </c>
      <c r="S166" s="4">
        <v>53.93</v>
      </c>
      <c r="T166" s="4">
        <v>54.19</v>
      </c>
      <c r="U166" s="4">
        <v>42.98</v>
      </c>
      <c r="V166" s="4">
        <v>58.03</v>
      </c>
      <c r="W166" s="4">
        <v>51.04</v>
      </c>
      <c r="X166" s="4">
        <v>42.68</v>
      </c>
      <c r="Y166" s="4">
        <v>56.53</v>
      </c>
    </row>
    <row r="167" spans="1:25" ht="15" customHeight="1" x14ac:dyDescent="0.45">
      <c r="A167" s="3">
        <v>46015</v>
      </c>
      <c r="B167" s="4">
        <v>53.02</v>
      </c>
      <c r="C167" s="4">
        <v>54</v>
      </c>
      <c r="D167" s="6">
        <v>62.04</v>
      </c>
      <c r="E167" s="4">
        <v>42.77</v>
      </c>
      <c r="F167" s="4">
        <v>46.12</v>
      </c>
      <c r="G167" s="6">
        <v>64.11</v>
      </c>
      <c r="H167" s="4">
        <v>52.65</v>
      </c>
      <c r="I167" s="4">
        <v>47.41</v>
      </c>
      <c r="J167" s="4">
        <v>57.05</v>
      </c>
      <c r="K167" s="4">
        <v>45.94</v>
      </c>
      <c r="L167" s="4">
        <v>51.53</v>
      </c>
      <c r="M167" s="4">
        <v>51.77</v>
      </c>
      <c r="N167" s="4">
        <v>46.21</v>
      </c>
      <c r="O167" s="4">
        <v>52.69</v>
      </c>
      <c r="P167" s="4">
        <v>59.82</v>
      </c>
      <c r="Q167" s="4">
        <v>57.76</v>
      </c>
      <c r="R167" s="4">
        <v>57.52</v>
      </c>
      <c r="S167" s="4">
        <v>55.79</v>
      </c>
      <c r="T167" s="4">
        <v>57.52</v>
      </c>
      <c r="U167" s="4">
        <v>50.32</v>
      </c>
      <c r="V167" s="4">
        <v>55.34</v>
      </c>
      <c r="W167" s="4">
        <v>49.31</v>
      </c>
      <c r="X167" s="4">
        <v>47.89</v>
      </c>
      <c r="Y167" s="6">
        <v>65.28</v>
      </c>
    </row>
    <row r="168" spans="1:25" ht="15" customHeight="1" x14ac:dyDescent="0.45">
      <c r="A168" s="3">
        <v>46014</v>
      </c>
      <c r="B168" s="4">
        <v>51.39</v>
      </c>
      <c r="C168" s="4">
        <v>57.27</v>
      </c>
      <c r="D168" s="4">
        <v>56.43</v>
      </c>
      <c r="E168" s="4">
        <v>44.07</v>
      </c>
      <c r="F168" s="4">
        <v>50.37</v>
      </c>
      <c r="G168" s="6">
        <v>65.45</v>
      </c>
      <c r="H168" s="4">
        <v>52.71</v>
      </c>
      <c r="I168" s="4">
        <v>51.77</v>
      </c>
      <c r="J168" s="4">
        <v>57.09</v>
      </c>
      <c r="K168" s="4">
        <v>49.35</v>
      </c>
      <c r="L168" s="4">
        <v>54.17</v>
      </c>
      <c r="M168" s="4">
        <v>52.4</v>
      </c>
      <c r="N168" s="4">
        <v>46.96</v>
      </c>
      <c r="O168" s="4">
        <v>53.76</v>
      </c>
      <c r="P168" s="4">
        <v>56.71</v>
      </c>
      <c r="Q168" s="4">
        <v>56.16</v>
      </c>
      <c r="R168" s="4">
        <v>56.49</v>
      </c>
      <c r="S168" s="4">
        <v>58.49</v>
      </c>
      <c r="T168" s="4">
        <v>56.97</v>
      </c>
      <c r="U168" s="4">
        <v>50.92</v>
      </c>
      <c r="V168" s="4">
        <v>56.44</v>
      </c>
      <c r="W168" s="4">
        <v>46.64</v>
      </c>
      <c r="X168" s="4">
        <v>47.71</v>
      </c>
      <c r="Y168" s="6">
        <v>66.400000000000006</v>
      </c>
    </row>
    <row r="169" spans="1:25" ht="15" customHeight="1" x14ac:dyDescent="0.45">
      <c r="A169" s="3">
        <v>46013</v>
      </c>
      <c r="B169" s="4">
        <v>52.54</v>
      </c>
      <c r="C169" s="6">
        <v>65.760000000000005</v>
      </c>
      <c r="D169" s="4">
        <v>58.51</v>
      </c>
      <c r="E169" s="4">
        <v>45.49</v>
      </c>
      <c r="F169" s="4">
        <v>52.47</v>
      </c>
      <c r="G169" s="6">
        <v>64.23</v>
      </c>
      <c r="H169" s="4">
        <v>55.35</v>
      </c>
      <c r="I169" s="4">
        <v>52.23</v>
      </c>
      <c r="J169" s="4">
        <v>56.33</v>
      </c>
      <c r="K169" s="4">
        <v>50.72</v>
      </c>
      <c r="L169" s="4">
        <v>50.35</v>
      </c>
      <c r="M169" s="4">
        <v>55.72</v>
      </c>
      <c r="N169" s="4">
        <v>49.22</v>
      </c>
      <c r="O169" s="4">
        <v>54.96</v>
      </c>
      <c r="P169" s="4">
        <v>59.06</v>
      </c>
      <c r="Q169" s="4">
        <v>54.49</v>
      </c>
      <c r="R169" s="4">
        <v>56.5</v>
      </c>
      <c r="S169" s="4">
        <v>55.56</v>
      </c>
      <c r="T169" s="4">
        <v>54.64</v>
      </c>
      <c r="U169" s="4">
        <v>50.03</v>
      </c>
      <c r="V169" s="4">
        <v>55.47</v>
      </c>
      <c r="W169" s="4">
        <v>45.51</v>
      </c>
      <c r="X169" s="4">
        <v>48.5</v>
      </c>
      <c r="Y169" s="4">
        <v>59.92</v>
      </c>
    </row>
    <row r="170" spans="1:25" ht="15" customHeight="1" x14ac:dyDescent="0.45">
      <c r="A170" s="3">
        <v>46010</v>
      </c>
      <c r="B170" s="4">
        <v>51.54</v>
      </c>
      <c r="C170" s="6">
        <v>68.739999999999995</v>
      </c>
      <c r="D170" s="4">
        <v>58</v>
      </c>
      <c r="E170" s="4">
        <v>41.77</v>
      </c>
      <c r="F170" s="4">
        <v>53.97</v>
      </c>
      <c r="G170" s="6">
        <v>64.3</v>
      </c>
      <c r="H170" s="4">
        <v>50.81</v>
      </c>
      <c r="I170" s="4">
        <v>48.47</v>
      </c>
      <c r="J170" s="4">
        <v>49.66</v>
      </c>
      <c r="K170" s="4">
        <v>44.07</v>
      </c>
      <c r="L170" s="4">
        <v>50.41</v>
      </c>
      <c r="M170" s="4">
        <v>57.69</v>
      </c>
      <c r="N170" s="4">
        <v>49.93</v>
      </c>
      <c r="O170" s="4">
        <v>53.35</v>
      </c>
      <c r="P170" s="4">
        <v>57.72</v>
      </c>
      <c r="Q170" s="4">
        <v>57.48</v>
      </c>
      <c r="R170" s="4">
        <v>51.07</v>
      </c>
      <c r="S170" s="4">
        <v>53.77</v>
      </c>
      <c r="T170" s="4">
        <v>50.21</v>
      </c>
      <c r="U170" s="4">
        <v>46.02</v>
      </c>
      <c r="V170" s="4">
        <v>49.58</v>
      </c>
      <c r="W170" s="4">
        <v>47.67</v>
      </c>
      <c r="X170" s="4">
        <v>46.75</v>
      </c>
      <c r="Y170" s="6">
        <v>62.13</v>
      </c>
    </row>
    <row r="171" spans="1:25" ht="15" customHeight="1" x14ac:dyDescent="0.45">
      <c r="A171" s="3">
        <v>46009</v>
      </c>
      <c r="B171" s="4">
        <v>48.89</v>
      </c>
      <c r="C171" s="5">
        <v>70.349999999999994</v>
      </c>
      <c r="D171" s="4">
        <v>53.45</v>
      </c>
      <c r="E171" s="4">
        <v>38.1</v>
      </c>
      <c r="F171" s="4">
        <v>52.05</v>
      </c>
      <c r="G171" s="6">
        <v>64.2</v>
      </c>
      <c r="H171" s="4">
        <v>48.26</v>
      </c>
      <c r="I171" s="4">
        <v>42.46</v>
      </c>
      <c r="J171" s="4">
        <v>50.84</v>
      </c>
      <c r="K171" s="4">
        <v>40.200000000000003</v>
      </c>
      <c r="L171" s="4">
        <v>44.32</v>
      </c>
      <c r="M171" s="4">
        <v>54.02</v>
      </c>
      <c r="N171" s="4">
        <v>46.55</v>
      </c>
      <c r="O171" s="4">
        <v>52.82</v>
      </c>
      <c r="P171" s="4">
        <v>57.23</v>
      </c>
      <c r="Q171" s="4">
        <v>52.52</v>
      </c>
      <c r="R171" s="4">
        <v>46.57</v>
      </c>
      <c r="S171" s="4">
        <v>48.83</v>
      </c>
      <c r="T171" s="4">
        <v>47.32</v>
      </c>
      <c r="U171" s="4">
        <v>42.88</v>
      </c>
      <c r="V171" s="4">
        <v>48.75</v>
      </c>
      <c r="W171" s="4">
        <v>37.4</v>
      </c>
      <c r="X171" s="4">
        <v>38.29</v>
      </c>
      <c r="Y171" s="4">
        <v>56.93</v>
      </c>
    </row>
    <row r="172" spans="1:25" ht="15" customHeight="1" x14ac:dyDescent="0.45">
      <c r="A172" s="3">
        <v>46008</v>
      </c>
      <c r="B172" s="4">
        <v>49.9</v>
      </c>
      <c r="C172" s="5">
        <v>74.87</v>
      </c>
      <c r="D172" s="4">
        <v>58.46</v>
      </c>
      <c r="E172" s="4">
        <v>49.58</v>
      </c>
      <c r="F172" s="4">
        <v>56.06</v>
      </c>
      <c r="G172" s="6">
        <v>68.45</v>
      </c>
      <c r="H172" s="4">
        <v>54.44</v>
      </c>
      <c r="I172" s="4">
        <v>46.21</v>
      </c>
      <c r="J172" s="4">
        <v>53.29</v>
      </c>
      <c r="K172" s="4">
        <v>41.23</v>
      </c>
      <c r="L172" s="4">
        <v>48.24</v>
      </c>
      <c r="M172" s="4">
        <v>59.23</v>
      </c>
      <c r="N172" s="4">
        <v>57.47</v>
      </c>
      <c r="O172" s="4">
        <v>54.81</v>
      </c>
      <c r="P172" s="6">
        <v>63.25</v>
      </c>
      <c r="Q172" s="4">
        <v>58.95</v>
      </c>
      <c r="R172" s="4">
        <v>49.71</v>
      </c>
      <c r="S172" s="4">
        <v>43.64</v>
      </c>
      <c r="T172" s="4">
        <v>50.26</v>
      </c>
      <c r="U172" s="4">
        <v>47.51</v>
      </c>
      <c r="V172" s="4">
        <v>52.72</v>
      </c>
      <c r="W172" s="4">
        <v>47.34</v>
      </c>
      <c r="X172" s="4">
        <v>40.340000000000003</v>
      </c>
      <c r="Y172" s="4">
        <v>55.76</v>
      </c>
    </row>
    <row r="173" spans="1:25" ht="15" customHeight="1" x14ac:dyDescent="0.45">
      <c r="A173" s="3">
        <v>46007</v>
      </c>
      <c r="B173" s="4">
        <v>53.63</v>
      </c>
      <c r="C173" s="6">
        <v>68.290000000000006</v>
      </c>
      <c r="D173" s="4">
        <v>57.78</v>
      </c>
      <c r="E173" s="4">
        <v>46.59</v>
      </c>
      <c r="F173" s="6">
        <v>62.92</v>
      </c>
      <c r="G173" s="6">
        <v>64.7</v>
      </c>
      <c r="H173" s="4">
        <v>52.15</v>
      </c>
      <c r="I173" s="4">
        <v>49.34</v>
      </c>
      <c r="J173" s="4">
        <v>47.38</v>
      </c>
      <c r="K173" s="4">
        <v>37.74</v>
      </c>
      <c r="L173" s="4">
        <v>48.54</v>
      </c>
      <c r="M173" s="4">
        <v>57.77</v>
      </c>
      <c r="N173" s="4">
        <v>54.98</v>
      </c>
      <c r="O173" s="4">
        <v>52.84</v>
      </c>
      <c r="P173" s="6">
        <v>62.43</v>
      </c>
      <c r="Q173" s="4">
        <v>59.69</v>
      </c>
      <c r="R173" s="4">
        <v>49.11</v>
      </c>
      <c r="S173" s="4">
        <v>47.43</v>
      </c>
      <c r="T173" s="4">
        <v>47.26</v>
      </c>
      <c r="U173" s="4">
        <v>47.82</v>
      </c>
      <c r="V173" s="4">
        <v>48.21</v>
      </c>
      <c r="W173" s="4">
        <v>47.68</v>
      </c>
      <c r="X173" s="4">
        <v>41.59</v>
      </c>
      <c r="Y173" s="4">
        <v>52.49</v>
      </c>
    </row>
    <row r="174" spans="1:25" ht="15" customHeight="1" x14ac:dyDescent="0.45">
      <c r="A174" s="3">
        <v>46006</v>
      </c>
      <c r="B174" s="4">
        <v>45.15</v>
      </c>
      <c r="C174" s="6">
        <v>66.930000000000007</v>
      </c>
      <c r="D174" s="6">
        <v>67.650000000000006</v>
      </c>
      <c r="E174" s="4">
        <v>51.64</v>
      </c>
      <c r="F174" s="6">
        <v>63.51</v>
      </c>
      <c r="G174" s="6">
        <v>67.63</v>
      </c>
      <c r="H174" s="5">
        <v>72.099999999999994</v>
      </c>
      <c r="I174" s="4">
        <v>51.85</v>
      </c>
      <c r="J174" s="4">
        <v>52.97</v>
      </c>
      <c r="K174" s="4">
        <v>42.2</v>
      </c>
      <c r="L174" s="4">
        <v>54.9</v>
      </c>
      <c r="M174" s="6">
        <v>62.15</v>
      </c>
      <c r="N174" s="4">
        <v>54.26</v>
      </c>
      <c r="O174" s="4">
        <v>58.94</v>
      </c>
      <c r="P174" s="6">
        <v>64.72</v>
      </c>
      <c r="Q174" s="4">
        <v>55.64</v>
      </c>
      <c r="R174" s="4">
        <v>53</v>
      </c>
      <c r="S174" s="4">
        <v>47.69</v>
      </c>
      <c r="T174" s="4">
        <v>48.4</v>
      </c>
      <c r="U174" s="4">
        <v>57.15</v>
      </c>
      <c r="V174" s="4">
        <v>55</v>
      </c>
      <c r="W174" s="4">
        <v>51.43</v>
      </c>
      <c r="X174" s="4">
        <v>47.63</v>
      </c>
      <c r="Y174" s="4">
        <v>55.41</v>
      </c>
    </row>
    <row r="175" spans="1:25" ht="15" customHeight="1" x14ac:dyDescent="0.45">
      <c r="A175" s="3">
        <v>46003</v>
      </c>
      <c r="B175" s="4">
        <v>46.74</v>
      </c>
      <c r="C175" s="6">
        <v>64.39</v>
      </c>
      <c r="D175" s="6">
        <v>64.44</v>
      </c>
      <c r="E175" s="4">
        <v>51.74</v>
      </c>
      <c r="F175" s="4">
        <v>55.55</v>
      </c>
      <c r="G175" s="5">
        <v>70.599999999999994</v>
      </c>
      <c r="H175" s="6">
        <v>69.3</v>
      </c>
      <c r="I175" s="4">
        <v>57.19</v>
      </c>
      <c r="J175" s="4">
        <v>59.62</v>
      </c>
      <c r="K175" s="4">
        <v>48.51</v>
      </c>
      <c r="L175" s="6">
        <v>61.76</v>
      </c>
      <c r="M175" s="6">
        <v>65.78</v>
      </c>
      <c r="N175" s="4">
        <v>53.29</v>
      </c>
      <c r="O175" s="6">
        <v>68.73</v>
      </c>
      <c r="P175" s="6">
        <v>65.489999999999995</v>
      </c>
      <c r="Q175" s="4">
        <v>56.44</v>
      </c>
      <c r="R175" s="4">
        <v>59.28</v>
      </c>
      <c r="S175" s="4">
        <v>52.54</v>
      </c>
      <c r="T175" s="4">
        <v>49.61</v>
      </c>
      <c r="U175" s="4">
        <v>57.68</v>
      </c>
      <c r="V175" s="6">
        <v>61.42</v>
      </c>
      <c r="W175" s="4">
        <v>59.58</v>
      </c>
      <c r="X175" s="4">
        <v>51.85</v>
      </c>
      <c r="Y175" s="4">
        <v>55.04</v>
      </c>
    </row>
    <row r="176" spans="1:25" ht="15" customHeight="1" x14ac:dyDescent="0.45">
      <c r="A176" s="3">
        <v>46002</v>
      </c>
      <c r="B176" s="4">
        <v>44.86</v>
      </c>
      <c r="C176" s="6">
        <v>61.45</v>
      </c>
      <c r="D176" s="4">
        <v>55.44</v>
      </c>
      <c r="E176" s="4">
        <v>48.06</v>
      </c>
      <c r="F176" s="4">
        <v>53.9</v>
      </c>
      <c r="G176" s="6">
        <v>68.42</v>
      </c>
      <c r="H176" s="6">
        <v>65.84</v>
      </c>
      <c r="I176" s="4">
        <v>52.55</v>
      </c>
      <c r="J176" s="4">
        <v>57.73</v>
      </c>
      <c r="K176" s="4">
        <v>46.58</v>
      </c>
      <c r="L176" s="4">
        <v>56.29</v>
      </c>
      <c r="M176" s="6">
        <v>64.010000000000005</v>
      </c>
      <c r="N176" s="4">
        <v>50.02</v>
      </c>
      <c r="O176" s="6">
        <v>62.1</v>
      </c>
      <c r="P176" s="6">
        <v>62.89</v>
      </c>
      <c r="Q176" s="4">
        <v>48.24</v>
      </c>
      <c r="R176" s="4">
        <v>56.08</v>
      </c>
      <c r="S176" s="4">
        <v>44.92</v>
      </c>
      <c r="T176" s="6">
        <v>65.19</v>
      </c>
      <c r="U176" s="4">
        <v>55.36</v>
      </c>
      <c r="V176" s="4">
        <v>58.31</v>
      </c>
      <c r="W176" s="5">
        <v>73.75</v>
      </c>
      <c r="X176" s="4">
        <v>48.25</v>
      </c>
      <c r="Y176" s="4">
        <v>50.92</v>
      </c>
    </row>
    <row r="177" spans="1:25" ht="15" customHeight="1" x14ac:dyDescent="0.45">
      <c r="A177" s="3">
        <v>46001</v>
      </c>
      <c r="B177" s="4">
        <v>44.34</v>
      </c>
      <c r="C177" s="4">
        <v>56.98</v>
      </c>
      <c r="D177" s="4">
        <v>55.75</v>
      </c>
      <c r="E177" s="4">
        <v>52.15</v>
      </c>
      <c r="F177" s="4">
        <v>50.32</v>
      </c>
      <c r="G177" s="4">
        <v>58.49</v>
      </c>
      <c r="H177" s="6">
        <v>65.27</v>
      </c>
      <c r="I177" s="4">
        <v>51.52</v>
      </c>
      <c r="J177" s="6">
        <v>60.95</v>
      </c>
      <c r="K177" s="4">
        <v>45.49</v>
      </c>
      <c r="L177" s="6">
        <v>60.13</v>
      </c>
      <c r="M177" s="6">
        <v>61.05</v>
      </c>
      <c r="N177" s="4">
        <v>53.07</v>
      </c>
      <c r="O177" s="4">
        <v>58.76</v>
      </c>
      <c r="P177" s="4">
        <v>59.77</v>
      </c>
      <c r="Q177" s="4">
        <v>52.83</v>
      </c>
      <c r="R177" s="4">
        <v>54.4</v>
      </c>
      <c r="S177" s="4">
        <v>45.97</v>
      </c>
      <c r="T177" s="4">
        <v>48.41</v>
      </c>
      <c r="U177" s="4">
        <v>51.65</v>
      </c>
      <c r="V177" s="6">
        <v>61.59</v>
      </c>
      <c r="W177" s="5">
        <v>78.69</v>
      </c>
      <c r="X177" s="4">
        <v>49.1</v>
      </c>
      <c r="Y177" s="4">
        <v>52.5</v>
      </c>
    </row>
    <row r="178" spans="1:25" ht="15" customHeight="1" x14ac:dyDescent="0.45">
      <c r="A178" s="3">
        <v>46000</v>
      </c>
      <c r="B178" s="4">
        <v>44.51</v>
      </c>
      <c r="C178" s="4">
        <v>58.01</v>
      </c>
      <c r="D178" s="4">
        <v>56.39</v>
      </c>
      <c r="E178" s="4">
        <v>55.12</v>
      </c>
      <c r="F178" s="4">
        <v>50.52</v>
      </c>
      <c r="G178" s="4">
        <v>56.64</v>
      </c>
      <c r="H178" s="6">
        <v>65.66</v>
      </c>
      <c r="I178" s="4">
        <v>51.53</v>
      </c>
      <c r="J178" s="4">
        <v>59.64</v>
      </c>
      <c r="K178" s="4">
        <v>46.43</v>
      </c>
      <c r="L178" s="6">
        <v>64.489999999999995</v>
      </c>
      <c r="M178" s="6">
        <v>66.989999999999995</v>
      </c>
      <c r="N178" s="4">
        <v>56.73</v>
      </c>
      <c r="O178" s="6">
        <v>61.2</v>
      </c>
      <c r="P178" s="6">
        <v>65.02</v>
      </c>
      <c r="Q178" s="4">
        <v>54.11</v>
      </c>
      <c r="R178" s="4">
        <v>59.48</v>
      </c>
      <c r="S178" s="4">
        <v>48.69</v>
      </c>
      <c r="T178" s="4">
        <v>53.16</v>
      </c>
      <c r="U178" s="4">
        <v>54.09</v>
      </c>
      <c r="V178" s="6">
        <v>61.14</v>
      </c>
      <c r="W178" s="5">
        <v>77.25</v>
      </c>
      <c r="X178" s="4">
        <v>53.7</v>
      </c>
      <c r="Y178" s="4">
        <v>49.2</v>
      </c>
    </row>
    <row r="179" spans="1:25" ht="15" customHeight="1" x14ac:dyDescent="0.45">
      <c r="A179" s="3">
        <v>45999</v>
      </c>
      <c r="B179" s="4">
        <v>44.95</v>
      </c>
      <c r="C179" s="4">
        <v>56.97</v>
      </c>
      <c r="D179" s="4">
        <v>52.66</v>
      </c>
      <c r="E179" s="4">
        <v>55.58</v>
      </c>
      <c r="F179" s="4">
        <v>45.83</v>
      </c>
      <c r="G179" s="4">
        <v>52.99</v>
      </c>
      <c r="H179" s="6">
        <v>63.38</v>
      </c>
      <c r="I179" s="4">
        <v>50.29</v>
      </c>
      <c r="J179" s="6">
        <v>62.29</v>
      </c>
      <c r="K179" s="4">
        <v>47.36</v>
      </c>
      <c r="L179" s="6">
        <v>63.21</v>
      </c>
      <c r="M179" s="6">
        <v>67.22</v>
      </c>
      <c r="N179" s="4">
        <v>59.94</v>
      </c>
      <c r="O179" s="6">
        <v>62.06</v>
      </c>
      <c r="P179" s="6">
        <v>64.989999999999995</v>
      </c>
      <c r="Q179" s="4">
        <v>53.82</v>
      </c>
      <c r="R179" s="4">
        <v>58.23</v>
      </c>
      <c r="S179" s="4">
        <v>50.12</v>
      </c>
      <c r="T179" s="4">
        <v>51.69</v>
      </c>
      <c r="U179" s="4">
        <v>54.79</v>
      </c>
      <c r="V179" s="6">
        <v>62.48</v>
      </c>
      <c r="W179" s="5">
        <v>82.22</v>
      </c>
      <c r="X179" s="4">
        <v>54.77</v>
      </c>
      <c r="Y179" s="4">
        <v>46.83</v>
      </c>
    </row>
    <row r="180" spans="1:25" ht="15" customHeight="1" x14ac:dyDescent="0.45">
      <c r="A180" s="3">
        <v>45996</v>
      </c>
      <c r="B180" s="4">
        <v>47.84</v>
      </c>
      <c r="C180" s="4">
        <v>58.23</v>
      </c>
      <c r="D180" s="6">
        <v>60.11</v>
      </c>
      <c r="E180" s="4">
        <v>52.73</v>
      </c>
      <c r="F180" s="4">
        <v>46.15</v>
      </c>
      <c r="G180" s="4">
        <v>59.16</v>
      </c>
      <c r="H180" s="4">
        <v>58.52</v>
      </c>
      <c r="I180" s="4">
        <v>54.69</v>
      </c>
      <c r="J180" s="4">
        <v>58.29</v>
      </c>
      <c r="K180" s="4">
        <v>51.51</v>
      </c>
      <c r="L180" s="4">
        <v>59.56</v>
      </c>
      <c r="M180" s="6">
        <v>65.11</v>
      </c>
      <c r="N180" s="6">
        <v>61.91</v>
      </c>
      <c r="O180" s="6">
        <v>66.010000000000005</v>
      </c>
      <c r="P180" s="6">
        <v>64.78</v>
      </c>
      <c r="Q180" s="6">
        <v>63.68</v>
      </c>
      <c r="R180" s="6">
        <v>60.67</v>
      </c>
      <c r="S180" s="4">
        <v>51.46</v>
      </c>
      <c r="T180" s="6">
        <v>60.11</v>
      </c>
      <c r="U180" s="4">
        <v>53.84</v>
      </c>
      <c r="V180" s="4">
        <v>58.66</v>
      </c>
      <c r="W180" s="5">
        <v>81.02</v>
      </c>
      <c r="X180" s="4">
        <v>55.47</v>
      </c>
      <c r="Y180" s="4">
        <v>47.09</v>
      </c>
    </row>
    <row r="181" spans="1:25" ht="15" customHeight="1" x14ac:dyDescent="0.45">
      <c r="A181" s="3">
        <v>45995</v>
      </c>
      <c r="B181" s="4">
        <v>48.77</v>
      </c>
      <c r="C181" s="6">
        <v>62.53</v>
      </c>
      <c r="D181" s="4">
        <v>58.87</v>
      </c>
      <c r="E181" s="4">
        <v>50.82</v>
      </c>
      <c r="F181" s="4">
        <v>50.64</v>
      </c>
      <c r="G181" s="4">
        <v>49.22</v>
      </c>
      <c r="H181" s="4">
        <v>53.13</v>
      </c>
      <c r="I181" s="4">
        <v>52.18</v>
      </c>
      <c r="J181" s="4">
        <v>54.74</v>
      </c>
      <c r="K181" s="4">
        <v>48.36</v>
      </c>
      <c r="L181" s="4">
        <v>51.1</v>
      </c>
      <c r="M181" s="6">
        <v>63.39</v>
      </c>
      <c r="N181" s="4">
        <v>58.11</v>
      </c>
      <c r="O181" s="4">
        <v>56.79</v>
      </c>
      <c r="P181" s="6">
        <v>62.19</v>
      </c>
      <c r="Q181" s="6">
        <v>62.85</v>
      </c>
      <c r="R181" s="4">
        <v>58.89</v>
      </c>
      <c r="S181" s="4">
        <v>50.15</v>
      </c>
      <c r="T181" s="4">
        <v>55.66</v>
      </c>
      <c r="U181" s="4">
        <v>51.58</v>
      </c>
      <c r="V181" s="4">
        <v>54.29</v>
      </c>
      <c r="W181" s="5">
        <v>79.290000000000006</v>
      </c>
      <c r="X181" s="4">
        <v>52.72</v>
      </c>
      <c r="Y181" s="4">
        <v>50.04</v>
      </c>
    </row>
    <row r="182" spans="1:25" ht="15" customHeight="1" x14ac:dyDescent="0.45">
      <c r="A182" s="3">
        <v>45994</v>
      </c>
      <c r="B182" s="4">
        <v>52.01</v>
      </c>
      <c r="C182" s="6">
        <v>65.040000000000006</v>
      </c>
      <c r="D182" s="4">
        <v>57.72</v>
      </c>
      <c r="E182" s="4">
        <v>53.89</v>
      </c>
      <c r="F182" s="4">
        <v>48.55</v>
      </c>
      <c r="G182" s="4">
        <v>53.13</v>
      </c>
      <c r="H182" s="4">
        <v>55.24</v>
      </c>
      <c r="I182" s="4">
        <v>51.59</v>
      </c>
      <c r="J182" s="4">
        <v>55.72</v>
      </c>
      <c r="K182" s="4">
        <v>54.03</v>
      </c>
      <c r="L182" s="4">
        <v>47.65</v>
      </c>
      <c r="M182" s="6">
        <v>68.52</v>
      </c>
      <c r="N182" s="4">
        <v>59.47</v>
      </c>
      <c r="O182" s="6">
        <v>60.08</v>
      </c>
      <c r="P182" s="6">
        <v>60.51</v>
      </c>
      <c r="Q182" s="6">
        <v>61.78</v>
      </c>
      <c r="R182" s="6">
        <v>60.74</v>
      </c>
      <c r="S182" s="4">
        <v>52.38</v>
      </c>
      <c r="T182" s="4">
        <v>55.98</v>
      </c>
      <c r="U182" s="4">
        <v>51.41</v>
      </c>
      <c r="V182" s="4">
        <v>54.69</v>
      </c>
      <c r="W182" s="5">
        <v>74.81</v>
      </c>
      <c r="X182" s="4">
        <v>49.24</v>
      </c>
      <c r="Y182" s="4">
        <v>52.03</v>
      </c>
    </row>
    <row r="183" spans="1:25" ht="15" customHeight="1" x14ac:dyDescent="0.45">
      <c r="A183" s="3">
        <v>45993</v>
      </c>
      <c r="B183" s="4">
        <v>49.98</v>
      </c>
      <c r="C183" s="6">
        <v>63.3</v>
      </c>
      <c r="D183" s="4">
        <v>54.64</v>
      </c>
      <c r="E183" s="4">
        <v>50.97</v>
      </c>
      <c r="F183" s="4">
        <v>48.5</v>
      </c>
      <c r="G183" s="4">
        <v>47.23</v>
      </c>
      <c r="H183" s="4">
        <v>54.99</v>
      </c>
      <c r="I183" s="4">
        <v>46.17</v>
      </c>
      <c r="J183" s="4">
        <v>54.96</v>
      </c>
      <c r="K183" s="4">
        <v>50.4</v>
      </c>
      <c r="L183" s="4">
        <v>42.62</v>
      </c>
      <c r="M183" s="6">
        <v>60.62</v>
      </c>
      <c r="N183" s="4">
        <v>58.79</v>
      </c>
      <c r="O183" s="4">
        <v>54.55</v>
      </c>
      <c r="P183" s="4">
        <v>58.34</v>
      </c>
      <c r="Q183" s="4">
        <v>50.74</v>
      </c>
      <c r="R183" s="4">
        <v>57.67</v>
      </c>
      <c r="S183" s="4">
        <v>48.91</v>
      </c>
      <c r="T183" s="4">
        <v>55.81</v>
      </c>
      <c r="U183" s="4">
        <v>47.51</v>
      </c>
      <c r="V183" s="4">
        <v>53</v>
      </c>
      <c r="W183" s="6">
        <v>69.819999999999993</v>
      </c>
      <c r="X183" s="4">
        <v>46.8</v>
      </c>
      <c r="Y183" s="4">
        <v>55.11</v>
      </c>
    </row>
    <row r="184" spans="1:25" ht="15" customHeight="1" x14ac:dyDescent="0.45">
      <c r="A184" s="3">
        <v>45992</v>
      </c>
      <c r="B184" s="4">
        <v>49.94</v>
      </c>
      <c r="C184" s="4">
        <v>56.97</v>
      </c>
      <c r="D184" s="4">
        <v>51.24</v>
      </c>
      <c r="E184" s="4">
        <v>48.96</v>
      </c>
      <c r="F184" s="4">
        <v>49.82</v>
      </c>
      <c r="G184" s="4">
        <v>43.93</v>
      </c>
      <c r="H184" s="4">
        <v>57.24</v>
      </c>
      <c r="I184" s="4">
        <v>45.03</v>
      </c>
      <c r="J184" s="4">
        <v>51.02</v>
      </c>
      <c r="K184" s="4">
        <v>48.91</v>
      </c>
      <c r="L184" s="4">
        <v>36.33</v>
      </c>
      <c r="M184" s="4">
        <v>58.31</v>
      </c>
      <c r="N184" s="4">
        <v>56.98</v>
      </c>
      <c r="O184" s="4">
        <v>50.24</v>
      </c>
      <c r="P184" s="4">
        <v>52.43</v>
      </c>
      <c r="Q184" s="4">
        <v>50.78</v>
      </c>
      <c r="R184" s="4">
        <v>51.9</v>
      </c>
      <c r="S184" s="4">
        <v>46.48</v>
      </c>
      <c r="T184" s="4">
        <v>54.92</v>
      </c>
      <c r="U184" s="4">
        <v>46.18</v>
      </c>
      <c r="V184" s="4">
        <v>48.94</v>
      </c>
      <c r="W184" s="6">
        <v>67.47</v>
      </c>
      <c r="X184" s="4">
        <v>43.5</v>
      </c>
      <c r="Y184" s="4">
        <v>51</v>
      </c>
    </row>
    <row r="185" spans="1:25" ht="15" customHeight="1" x14ac:dyDescent="0.45">
      <c r="A185" s="3">
        <v>45989</v>
      </c>
      <c r="B185" s="4">
        <v>57.57</v>
      </c>
      <c r="C185" s="6">
        <v>60.25</v>
      </c>
      <c r="D185" s="4">
        <v>56.44</v>
      </c>
      <c r="E185" s="4">
        <v>49.8</v>
      </c>
      <c r="F185" s="4">
        <v>45.19</v>
      </c>
      <c r="G185" s="4">
        <v>46.73</v>
      </c>
      <c r="H185" s="4">
        <v>57.46</v>
      </c>
      <c r="I185" s="4">
        <v>47.4</v>
      </c>
      <c r="J185" s="4">
        <v>50.39</v>
      </c>
      <c r="K185" s="4">
        <v>48.45</v>
      </c>
      <c r="L185" s="4">
        <v>41.34</v>
      </c>
      <c r="M185" s="4">
        <v>56.46</v>
      </c>
      <c r="N185" s="6">
        <v>64.62</v>
      </c>
      <c r="O185" s="4">
        <v>54.9</v>
      </c>
      <c r="P185" s="4">
        <v>47.02</v>
      </c>
      <c r="Q185" s="4">
        <v>49.5</v>
      </c>
      <c r="R185" s="4">
        <v>51.72</v>
      </c>
      <c r="S185" s="4">
        <v>46.71</v>
      </c>
      <c r="T185" s="4">
        <v>50.3</v>
      </c>
      <c r="U185" s="4">
        <v>48.03</v>
      </c>
      <c r="V185" s="4">
        <v>49.32</v>
      </c>
      <c r="W185" s="6">
        <v>66.900000000000006</v>
      </c>
      <c r="X185" s="4">
        <v>44.03</v>
      </c>
      <c r="Y185" s="4">
        <v>52.53</v>
      </c>
    </row>
    <row r="186" spans="1:25" ht="15" customHeight="1" x14ac:dyDescent="0.45">
      <c r="A186" s="3">
        <v>45988</v>
      </c>
      <c r="B186" s="4">
        <v>56.31</v>
      </c>
      <c r="C186" s="4">
        <v>58.8</v>
      </c>
      <c r="D186" s="4">
        <v>54.4</v>
      </c>
      <c r="E186" s="4">
        <v>53.2</v>
      </c>
      <c r="F186" s="4">
        <v>46.63</v>
      </c>
      <c r="G186" s="4">
        <v>44.64</v>
      </c>
      <c r="H186" s="4">
        <v>57.44</v>
      </c>
      <c r="I186" s="4">
        <v>48.52</v>
      </c>
      <c r="J186" s="4">
        <v>54.88</v>
      </c>
      <c r="K186" s="4">
        <v>44.89</v>
      </c>
      <c r="L186" s="4">
        <v>43.52</v>
      </c>
      <c r="M186" s="6">
        <v>61.82</v>
      </c>
      <c r="N186" s="6">
        <v>63.6</v>
      </c>
      <c r="O186" s="4">
        <v>51.94</v>
      </c>
      <c r="P186" s="4">
        <v>45.66</v>
      </c>
      <c r="Q186" s="4">
        <v>50.2</v>
      </c>
      <c r="R186" s="4">
        <v>52.6</v>
      </c>
      <c r="S186" s="4">
        <v>47.53</v>
      </c>
      <c r="T186" s="4">
        <v>51.49</v>
      </c>
      <c r="U186" s="4">
        <v>51.68</v>
      </c>
      <c r="V186" s="4">
        <v>53.43</v>
      </c>
      <c r="W186" s="6">
        <v>69.5</v>
      </c>
      <c r="X186" s="4">
        <v>46.12</v>
      </c>
      <c r="Y186" s="4">
        <v>50.59</v>
      </c>
    </row>
    <row r="187" spans="1:25" ht="15" customHeight="1" x14ac:dyDescent="0.45">
      <c r="A187" s="3">
        <v>45987</v>
      </c>
      <c r="B187" s="4">
        <v>53.17</v>
      </c>
      <c r="C187" s="4">
        <v>57.02</v>
      </c>
      <c r="D187" s="4">
        <v>54.52</v>
      </c>
      <c r="E187" s="4">
        <v>53.4</v>
      </c>
      <c r="F187" s="4">
        <v>48.17</v>
      </c>
      <c r="G187" s="4">
        <v>47.11</v>
      </c>
      <c r="H187" s="4">
        <v>50.9</v>
      </c>
      <c r="I187" s="4">
        <v>49.55</v>
      </c>
      <c r="J187" s="4">
        <v>52.74</v>
      </c>
      <c r="K187" s="4">
        <v>44.23</v>
      </c>
      <c r="L187" s="4">
        <v>43.8</v>
      </c>
      <c r="M187" s="6">
        <v>64.2</v>
      </c>
      <c r="N187" s="6">
        <v>66</v>
      </c>
      <c r="O187" s="4">
        <v>53.03</v>
      </c>
      <c r="P187" s="4">
        <v>43.56</v>
      </c>
      <c r="Q187" s="4">
        <v>52.12</v>
      </c>
      <c r="R187" s="4">
        <v>51.44</v>
      </c>
      <c r="S187" s="4">
        <v>48.88</v>
      </c>
      <c r="T187" s="4">
        <v>49.94</v>
      </c>
      <c r="U187" s="4">
        <v>54.35</v>
      </c>
      <c r="V187" s="4">
        <v>51.56</v>
      </c>
      <c r="W187" s="6">
        <v>68.92</v>
      </c>
      <c r="X187" s="4">
        <v>51.14</v>
      </c>
      <c r="Y187" s="4">
        <v>44.87</v>
      </c>
    </row>
    <row r="188" spans="1:25" ht="15" customHeight="1" x14ac:dyDescent="0.45">
      <c r="A188" s="3">
        <v>45986</v>
      </c>
      <c r="B188" s="4">
        <v>44.31</v>
      </c>
      <c r="C188" s="4">
        <v>53.87</v>
      </c>
      <c r="D188" s="4">
        <v>47.51</v>
      </c>
      <c r="E188" s="4">
        <v>44.47</v>
      </c>
      <c r="F188" s="4">
        <v>40</v>
      </c>
      <c r="G188" s="4">
        <v>36.880000000000003</v>
      </c>
      <c r="H188" s="4">
        <v>44.41</v>
      </c>
      <c r="I188" s="4">
        <v>41.5</v>
      </c>
      <c r="J188" s="4">
        <v>48.72</v>
      </c>
      <c r="K188" s="4">
        <v>37.840000000000003</v>
      </c>
      <c r="L188" s="4">
        <v>39.92</v>
      </c>
      <c r="M188" s="4">
        <v>59.39</v>
      </c>
      <c r="N188" s="6">
        <v>63.61</v>
      </c>
      <c r="O188" s="4">
        <v>42.96</v>
      </c>
      <c r="P188" s="4">
        <v>38.69</v>
      </c>
      <c r="Q188" s="4">
        <v>48.22</v>
      </c>
      <c r="R188" s="4">
        <v>45.59</v>
      </c>
      <c r="S188" s="4">
        <v>43.26</v>
      </c>
      <c r="T188" s="4">
        <v>41.88</v>
      </c>
      <c r="U188" s="4">
        <v>41.39</v>
      </c>
      <c r="V188" s="4">
        <v>46.15</v>
      </c>
      <c r="W188" s="6">
        <v>64.06</v>
      </c>
      <c r="X188" s="4">
        <v>42.48</v>
      </c>
      <c r="Y188" s="4">
        <v>40.97</v>
      </c>
    </row>
    <row r="189" spans="1:25" ht="15" customHeight="1" x14ac:dyDescent="0.45">
      <c r="A189" s="3">
        <v>45985</v>
      </c>
      <c r="B189" s="4">
        <v>54.66</v>
      </c>
      <c r="C189" s="4">
        <v>57.36</v>
      </c>
      <c r="D189" s="4">
        <v>46.64</v>
      </c>
      <c r="E189" s="4">
        <v>44.32</v>
      </c>
      <c r="F189" s="4">
        <v>56.48</v>
      </c>
      <c r="G189" s="4">
        <v>41.63</v>
      </c>
      <c r="H189" s="4">
        <v>41.77</v>
      </c>
      <c r="I189" s="4">
        <v>41.13</v>
      </c>
      <c r="J189" s="4">
        <v>46.45</v>
      </c>
      <c r="K189" s="4">
        <v>37.67</v>
      </c>
      <c r="L189" s="4">
        <v>40.75</v>
      </c>
      <c r="M189" s="4">
        <v>54.49</v>
      </c>
      <c r="N189" s="4">
        <v>56.88</v>
      </c>
      <c r="O189" s="4">
        <v>41.97</v>
      </c>
      <c r="P189" s="4">
        <v>37.26</v>
      </c>
      <c r="Q189" s="4">
        <v>56.67</v>
      </c>
      <c r="R189" s="4">
        <v>46.39</v>
      </c>
      <c r="S189" s="4">
        <v>44.42</v>
      </c>
      <c r="T189" s="4">
        <v>40.15</v>
      </c>
      <c r="U189" s="4">
        <v>45.32</v>
      </c>
      <c r="V189" s="4">
        <v>45.18</v>
      </c>
      <c r="W189" s="6">
        <v>63.73</v>
      </c>
      <c r="X189" s="4">
        <v>45.03</v>
      </c>
      <c r="Y189" s="4">
        <v>46.79</v>
      </c>
    </row>
    <row r="190" spans="1:25" ht="15" customHeight="1" x14ac:dyDescent="0.45">
      <c r="A190" s="3">
        <v>45982</v>
      </c>
      <c r="B190" s="4">
        <v>58.78</v>
      </c>
      <c r="C190" s="6">
        <v>65.48</v>
      </c>
      <c r="D190" s="4">
        <v>45.2</v>
      </c>
      <c r="E190" s="4">
        <v>48.14</v>
      </c>
      <c r="F190" s="6">
        <v>61.16</v>
      </c>
      <c r="G190" s="4">
        <v>42.01</v>
      </c>
      <c r="H190" s="4">
        <v>46.26</v>
      </c>
      <c r="I190" s="4">
        <v>40.72</v>
      </c>
      <c r="J190" s="4">
        <v>45.83</v>
      </c>
      <c r="K190" s="4">
        <v>39.15</v>
      </c>
      <c r="L190" s="4">
        <v>43.17</v>
      </c>
      <c r="M190" s="4">
        <v>56.45</v>
      </c>
      <c r="N190" s="4">
        <v>57.05</v>
      </c>
      <c r="O190" s="4">
        <v>42.08</v>
      </c>
      <c r="P190" s="4">
        <v>41.05</v>
      </c>
      <c r="Q190" s="4">
        <v>51.45</v>
      </c>
      <c r="R190" s="4">
        <v>45.76</v>
      </c>
      <c r="S190" s="4">
        <v>43.09</v>
      </c>
      <c r="T190" s="4">
        <v>40.58</v>
      </c>
      <c r="U190" s="4">
        <v>45.72</v>
      </c>
      <c r="V190" s="4">
        <v>45.59</v>
      </c>
      <c r="W190" s="4">
        <v>59.92</v>
      </c>
      <c r="X190" s="4">
        <v>45.47</v>
      </c>
      <c r="Y190" s="4">
        <v>48.34</v>
      </c>
    </row>
    <row r="191" spans="1:25" ht="15" customHeight="1" x14ac:dyDescent="0.45">
      <c r="A191" s="3">
        <v>45981</v>
      </c>
      <c r="B191" s="4">
        <v>57.45</v>
      </c>
      <c r="C191" s="6">
        <v>68.69</v>
      </c>
      <c r="D191" s="4">
        <v>50.03</v>
      </c>
      <c r="E191" s="4">
        <v>55.23</v>
      </c>
      <c r="F191" s="6">
        <v>63.13</v>
      </c>
      <c r="G191" s="4">
        <v>45.49</v>
      </c>
      <c r="H191" s="4">
        <v>50.77</v>
      </c>
      <c r="I191" s="4">
        <v>46.12</v>
      </c>
      <c r="J191" s="4">
        <v>55.01</v>
      </c>
      <c r="K191" s="4">
        <v>48.95</v>
      </c>
      <c r="L191" s="4">
        <v>48.83</v>
      </c>
      <c r="M191" s="6">
        <v>61.82</v>
      </c>
      <c r="N191" s="4">
        <v>59.74</v>
      </c>
      <c r="O191" s="4">
        <v>45.77</v>
      </c>
      <c r="P191" s="4">
        <v>43.07</v>
      </c>
      <c r="Q191" s="4">
        <v>50.18</v>
      </c>
      <c r="R191" s="4">
        <v>51.26</v>
      </c>
      <c r="S191" s="4">
        <v>48.05</v>
      </c>
      <c r="T191" s="4">
        <v>41.48</v>
      </c>
      <c r="U191" s="4">
        <v>49.12</v>
      </c>
      <c r="V191" s="4">
        <v>54.45</v>
      </c>
      <c r="W191" s="6">
        <v>65.37</v>
      </c>
      <c r="X191" s="4">
        <v>44.68</v>
      </c>
      <c r="Y191" s="4">
        <v>50.58</v>
      </c>
    </row>
    <row r="192" spans="1:25" ht="15" customHeight="1" x14ac:dyDescent="0.45">
      <c r="A192" s="3">
        <v>45980</v>
      </c>
      <c r="B192" s="4">
        <v>58.38</v>
      </c>
      <c r="C192" s="6">
        <v>61.63</v>
      </c>
      <c r="D192" s="4">
        <v>46.14</v>
      </c>
      <c r="E192" s="4">
        <v>51.96</v>
      </c>
      <c r="F192" s="6">
        <v>60.77</v>
      </c>
      <c r="G192" s="4">
        <v>39.71</v>
      </c>
      <c r="H192" s="4">
        <v>48.46</v>
      </c>
      <c r="I192" s="4">
        <v>41.15</v>
      </c>
      <c r="J192" s="4">
        <v>51.14</v>
      </c>
      <c r="K192" s="4">
        <v>48.91</v>
      </c>
      <c r="L192" s="4">
        <v>46.78</v>
      </c>
      <c r="M192" s="4">
        <v>54.42</v>
      </c>
      <c r="N192" s="4">
        <v>56.13</v>
      </c>
      <c r="O192" s="4">
        <v>41.47</v>
      </c>
      <c r="P192" s="4">
        <v>38.93</v>
      </c>
      <c r="Q192" s="4">
        <v>50.42</v>
      </c>
      <c r="R192" s="4">
        <v>49.1</v>
      </c>
      <c r="S192" s="4">
        <v>45.75</v>
      </c>
      <c r="T192" s="4">
        <v>41.98</v>
      </c>
      <c r="U192" s="4">
        <v>42.67</v>
      </c>
      <c r="V192" s="4">
        <v>50.5</v>
      </c>
      <c r="W192" s="6">
        <v>61.03</v>
      </c>
      <c r="X192" s="4">
        <v>39.67</v>
      </c>
      <c r="Y192" s="4">
        <v>42.85</v>
      </c>
    </row>
    <row r="193" spans="1:25" ht="15" customHeight="1" x14ac:dyDescent="0.45">
      <c r="A193" s="3">
        <v>45979</v>
      </c>
      <c r="B193" s="4">
        <v>53.99</v>
      </c>
      <c r="C193" s="6">
        <v>60.43</v>
      </c>
      <c r="D193" s="4">
        <v>44.63</v>
      </c>
      <c r="E193" s="4">
        <v>49.85</v>
      </c>
      <c r="F193" s="6">
        <v>62.34</v>
      </c>
      <c r="G193" s="4">
        <v>36.92</v>
      </c>
      <c r="H193" s="4">
        <v>44.24</v>
      </c>
      <c r="I193" s="4">
        <v>41.82</v>
      </c>
      <c r="J193" s="4">
        <v>52.95</v>
      </c>
      <c r="K193" s="4">
        <v>49.97</v>
      </c>
      <c r="L193" s="4">
        <v>50.07</v>
      </c>
      <c r="M193" s="4">
        <v>55.01</v>
      </c>
      <c r="N193" s="6">
        <v>62.57</v>
      </c>
      <c r="O193" s="4">
        <v>41.78</v>
      </c>
      <c r="P193" s="4">
        <v>36.33</v>
      </c>
      <c r="Q193" s="4">
        <v>42.54</v>
      </c>
      <c r="R193" s="4">
        <v>49.1</v>
      </c>
      <c r="S193" s="4">
        <v>45.2</v>
      </c>
      <c r="T193" s="4">
        <v>41.89</v>
      </c>
      <c r="U193" s="4">
        <v>41.92</v>
      </c>
      <c r="V193" s="4">
        <v>52.17</v>
      </c>
      <c r="W193" s="4">
        <v>56.55</v>
      </c>
      <c r="X193" s="4">
        <v>39.51</v>
      </c>
      <c r="Y193" s="4">
        <v>45.04</v>
      </c>
    </row>
    <row r="194" spans="1:25" ht="15" customHeight="1" x14ac:dyDescent="0.45">
      <c r="A194" s="3">
        <v>45978</v>
      </c>
      <c r="B194" s="4">
        <v>58</v>
      </c>
      <c r="C194" s="6">
        <v>68.73</v>
      </c>
      <c r="D194" s="4">
        <v>47.05</v>
      </c>
      <c r="E194" s="6">
        <v>60.4</v>
      </c>
      <c r="F194" s="6">
        <v>69.83</v>
      </c>
      <c r="G194" s="4">
        <v>43.46</v>
      </c>
      <c r="H194" s="4">
        <v>49.48</v>
      </c>
      <c r="I194" s="4">
        <v>47.76</v>
      </c>
      <c r="J194" s="6">
        <v>60.17</v>
      </c>
      <c r="K194" s="4">
        <v>57.31</v>
      </c>
      <c r="L194" s="4">
        <v>56.53</v>
      </c>
      <c r="M194" s="6">
        <v>60.41</v>
      </c>
      <c r="N194" s="6">
        <v>62.72</v>
      </c>
      <c r="O194" s="4">
        <v>49.5</v>
      </c>
      <c r="P194" s="4">
        <v>40.1</v>
      </c>
      <c r="Q194" s="4">
        <v>52.03</v>
      </c>
      <c r="R194" s="4">
        <v>57.37</v>
      </c>
      <c r="S194" s="4">
        <v>51.75</v>
      </c>
      <c r="T194" s="4">
        <v>47.48</v>
      </c>
      <c r="U194" s="4">
        <v>50.48</v>
      </c>
      <c r="V194" s="6">
        <v>60.25</v>
      </c>
      <c r="W194" s="4">
        <v>59.72</v>
      </c>
      <c r="X194" s="4">
        <v>46.15</v>
      </c>
      <c r="Y194" s="4">
        <v>45.23</v>
      </c>
    </row>
    <row r="195" spans="1:25" ht="15" customHeight="1" x14ac:dyDescent="0.45">
      <c r="A195" s="3">
        <v>45975</v>
      </c>
      <c r="B195" s="4">
        <v>53.13</v>
      </c>
      <c r="C195" s="6">
        <v>69.11</v>
      </c>
      <c r="D195" s="4">
        <v>59.82</v>
      </c>
      <c r="E195" s="6">
        <v>60.24</v>
      </c>
      <c r="F195" s="5">
        <v>74.569999999999993</v>
      </c>
      <c r="G195" s="4">
        <v>44.68</v>
      </c>
      <c r="H195" s="4">
        <v>50.47</v>
      </c>
      <c r="I195" s="4">
        <v>46.49</v>
      </c>
      <c r="J195" s="4">
        <v>54.36</v>
      </c>
      <c r="K195" s="4">
        <v>52.13</v>
      </c>
      <c r="L195" s="4">
        <v>54.21</v>
      </c>
      <c r="M195" s="4">
        <v>57.74</v>
      </c>
      <c r="N195" s="4">
        <v>59.19</v>
      </c>
      <c r="O195" s="4">
        <v>46.02</v>
      </c>
      <c r="P195" s="4">
        <v>42.68</v>
      </c>
      <c r="Q195" s="4">
        <v>54.19</v>
      </c>
      <c r="R195" s="4">
        <v>57.71</v>
      </c>
      <c r="S195" s="4">
        <v>52.18</v>
      </c>
      <c r="T195" s="4">
        <v>51.02</v>
      </c>
      <c r="U195" s="4">
        <v>50.83</v>
      </c>
      <c r="V195" s="4">
        <v>55.44</v>
      </c>
      <c r="W195" s="4">
        <v>56.04</v>
      </c>
      <c r="X195" s="4">
        <v>46.19</v>
      </c>
      <c r="Y195" s="4">
        <v>45.27</v>
      </c>
    </row>
    <row r="196" spans="1:25" ht="15" customHeight="1" x14ac:dyDescent="0.45">
      <c r="A196" s="3">
        <v>45974</v>
      </c>
      <c r="B196" s="4">
        <v>56.54</v>
      </c>
      <c r="C196" s="6">
        <v>68.33</v>
      </c>
      <c r="D196" s="6">
        <v>60.32</v>
      </c>
      <c r="E196" s="6">
        <v>67.36</v>
      </c>
      <c r="F196" s="5">
        <v>74.09</v>
      </c>
      <c r="G196" s="4">
        <v>48.75</v>
      </c>
      <c r="H196" s="4">
        <v>56.62</v>
      </c>
      <c r="I196" s="4">
        <v>54.02</v>
      </c>
      <c r="J196" s="6">
        <v>68.39</v>
      </c>
      <c r="K196" s="6">
        <v>63.91</v>
      </c>
      <c r="L196" s="4">
        <v>54.58</v>
      </c>
      <c r="M196" s="6">
        <v>64.03</v>
      </c>
      <c r="N196" s="6">
        <v>65.41</v>
      </c>
      <c r="O196" s="4">
        <v>49.28</v>
      </c>
      <c r="P196" s="4">
        <v>47.61</v>
      </c>
      <c r="Q196" s="4">
        <v>56.61</v>
      </c>
      <c r="R196" s="6">
        <v>69.349999999999994</v>
      </c>
      <c r="S196" s="4">
        <v>59.56</v>
      </c>
      <c r="T196" s="6">
        <v>65.95</v>
      </c>
      <c r="U196" s="4">
        <v>53.84</v>
      </c>
      <c r="V196" s="6">
        <v>67.62</v>
      </c>
      <c r="W196" s="6">
        <v>60.08</v>
      </c>
      <c r="X196" s="4">
        <v>54.03</v>
      </c>
      <c r="Y196" s="4">
        <v>47.95</v>
      </c>
    </row>
    <row r="197" spans="1:25" ht="15" customHeight="1" x14ac:dyDescent="0.45">
      <c r="A197" s="3">
        <v>45973</v>
      </c>
      <c r="B197" s="4">
        <v>51.46</v>
      </c>
      <c r="C197" s="6">
        <v>67.56</v>
      </c>
      <c r="D197" s="6">
        <v>60.7</v>
      </c>
      <c r="E197" s="6">
        <v>64.12</v>
      </c>
      <c r="F197" s="5">
        <v>70.02</v>
      </c>
      <c r="G197" s="4">
        <v>49.62</v>
      </c>
      <c r="H197" s="4">
        <v>51.17</v>
      </c>
      <c r="I197" s="4">
        <v>47.85</v>
      </c>
      <c r="J197" s="6">
        <v>68.569999999999993</v>
      </c>
      <c r="K197" s="4">
        <v>58.57</v>
      </c>
      <c r="L197" s="4">
        <v>51.74</v>
      </c>
      <c r="M197" s="6">
        <v>65.63</v>
      </c>
      <c r="N197" s="6">
        <v>62.83</v>
      </c>
      <c r="O197" s="4">
        <v>43.68</v>
      </c>
      <c r="P197" s="4">
        <v>49.19</v>
      </c>
      <c r="Q197" s="4">
        <v>52.65</v>
      </c>
      <c r="R197" s="5">
        <v>70.66</v>
      </c>
      <c r="S197" s="4">
        <v>59.23</v>
      </c>
      <c r="T197" s="6">
        <v>69.67</v>
      </c>
      <c r="U197" s="4">
        <v>53.03</v>
      </c>
      <c r="V197" s="6">
        <v>66.459999999999994</v>
      </c>
      <c r="W197" s="4">
        <v>58.64</v>
      </c>
      <c r="X197" s="4">
        <v>54.13</v>
      </c>
      <c r="Y197" s="4">
        <v>42.2</v>
      </c>
    </row>
    <row r="198" spans="1:25" ht="15" customHeight="1" x14ac:dyDescent="0.45">
      <c r="A198" s="3">
        <v>45972</v>
      </c>
      <c r="B198" s="4">
        <v>43.54</v>
      </c>
      <c r="C198" s="6">
        <v>63.24</v>
      </c>
      <c r="D198" s="4">
        <v>48.69</v>
      </c>
      <c r="E198" s="4">
        <v>59.18</v>
      </c>
      <c r="F198" s="6">
        <v>62.95</v>
      </c>
      <c r="G198" s="4">
        <v>41.71</v>
      </c>
      <c r="H198" s="4">
        <v>41.77</v>
      </c>
      <c r="I198" s="4">
        <v>47.47</v>
      </c>
      <c r="J198" s="6">
        <v>68.98</v>
      </c>
      <c r="K198" s="4">
        <v>56.67</v>
      </c>
      <c r="L198" s="4">
        <v>49.58</v>
      </c>
      <c r="M198" s="6">
        <v>61.94</v>
      </c>
      <c r="N198" s="6">
        <v>68.81</v>
      </c>
      <c r="O198" s="4">
        <v>42.39</v>
      </c>
      <c r="P198" s="4">
        <v>43.34</v>
      </c>
      <c r="Q198" s="4">
        <v>53.35</v>
      </c>
      <c r="R198" s="6">
        <v>65.19</v>
      </c>
      <c r="S198" s="4">
        <v>52.14</v>
      </c>
      <c r="T198" s="6">
        <v>62.74</v>
      </c>
      <c r="U198" s="4">
        <v>48.41</v>
      </c>
      <c r="V198" s="6">
        <v>65.540000000000006</v>
      </c>
      <c r="W198" s="4">
        <v>55.2</v>
      </c>
      <c r="X198" s="4">
        <v>51.81</v>
      </c>
      <c r="Y198" s="4">
        <v>37.770000000000003</v>
      </c>
    </row>
    <row r="199" spans="1:25" ht="15" customHeight="1" x14ac:dyDescent="0.45">
      <c r="A199" s="3">
        <v>45971</v>
      </c>
      <c r="B199" s="4">
        <v>49.61</v>
      </c>
      <c r="C199" s="4">
        <v>50.47</v>
      </c>
      <c r="D199" s="4">
        <v>50.14</v>
      </c>
      <c r="E199" s="4">
        <v>59.39</v>
      </c>
      <c r="F199" s="6">
        <v>64.819999999999993</v>
      </c>
      <c r="G199" s="4">
        <v>41.62</v>
      </c>
      <c r="H199" s="4">
        <v>42.21</v>
      </c>
      <c r="I199" s="4">
        <v>49.28</v>
      </c>
      <c r="J199" s="6">
        <v>66.459999999999994</v>
      </c>
      <c r="K199" s="4">
        <v>52.01</v>
      </c>
      <c r="L199" s="4">
        <v>51.84</v>
      </c>
      <c r="M199" s="6">
        <v>61.46</v>
      </c>
      <c r="N199" s="6">
        <v>62.9</v>
      </c>
      <c r="O199" s="4">
        <v>42.91</v>
      </c>
      <c r="P199" s="4">
        <v>45.53</v>
      </c>
      <c r="Q199" s="4">
        <v>53.6</v>
      </c>
      <c r="R199" s="6">
        <v>65.430000000000007</v>
      </c>
      <c r="S199" s="4">
        <v>57.22</v>
      </c>
      <c r="T199" s="6">
        <v>64.790000000000006</v>
      </c>
      <c r="U199" s="4">
        <v>50.5</v>
      </c>
      <c r="V199" s="6">
        <v>63.79</v>
      </c>
      <c r="W199" s="4">
        <v>49.96</v>
      </c>
      <c r="X199" s="4">
        <v>49.66</v>
      </c>
      <c r="Y199" s="4">
        <v>48.53</v>
      </c>
    </row>
    <row r="200" spans="1:25" ht="15" customHeight="1" x14ac:dyDescent="0.45">
      <c r="A200" s="3">
        <v>45968</v>
      </c>
      <c r="B200" s="4">
        <v>41.31</v>
      </c>
      <c r="C200" s="4">
        <v>38.18</v>
      </c>
      <c r="D200" s="4">
        <v>49.58</v>
      </c>
      <c r="E200" s="4">
        <v>49.95</v>
      </c>
      <c r="F200" s="6">
        <v>64.02</v>
      </c>
      <c r="G200" s="7">
        <v>29.45</v>
      </c>
      <c r="H200" s="4">
        <v>37.14</v>
      </c>
      <c r="I200" s="4">
        <v>45.63</v>
      </c>
      <c r="J200" s="6">
        <v>62.59</v>
      </c>
      <c r="K200" s="4">
        <v>46.69</v>
      </c>
      <c r="L200" s="4">
        <v>45.11</v>
      </c>
      <c r="M200" s="4">
        <v>52.44</v>
      </c>
      <c r="N200" s="4">
        <v>57.51</v>
      </c>
      <c r="O200" s="4">
        <v>39.14</v>
      </c>
      <c r="P200" s="4">
        <v>37.42</v>
      </c>
      <c r="Q200" s="4">
        <v>46.47</v>
      </c>
      <c r="R200" s="4">
        <v>57.27</v>
      </c>
      <c r="S200" s="4">
        <v>47.7</v>
      </c>
      <c r="T200" s="4">
        <v>55.49</v>
      </c>
      <c r="U200" s="4">
        <v>41.17</v>
      </c>
      <c r="V200" s="4">
        <v>58.82</v>
      </c>
      <c r="W200" s="4">
        <v>51.82</v>
      </c>
      <c r="X200" s="4">
        <v>47.06</v>
      </c>
      <c r="Y200" s="4">
        <v>45.95</v>
      </c>
    </row>
    <row r="201" spans="1:25" ht="15" customHeight="1" x14ac:dyDescent="0.45">
      <c r="A201" s="3">
        <v>45967</v>
      </c>
      <c r="B201" s="4">
        <v>45.42</v>
      </c>
      <c r="C201" s="4">
        <v>42.41</v>
      </c>
      <c r="D201" s="4">
        <v>54.5</v>
      </c>
      <c r="E201" s="4">
        <v>54.91</v>
      </c>
      <c r="F201" s="6">
        <v>67.58</v>
      </c>
      <c r="G201" s="4">
        <v>30.24</v>
      </c>
      <c r="H201" s="4">
        <v>42.45</v>
      </c>
      <c r="I201" s="4">
        <v>48.45</v>
      </c>
      <c r="J201" s="6">
        <v>67.23</v>
      </c>
      <c r="K201" s="4">
        <v>52.45</v>
      </c>
      <c r="L201" s="4">
        <v>48.39</v>
      </c>
      <c r="M201" s="4">
        <v>55.79</v>
      </c>
      <c r="N201" s="6">
        <v>64.400000000000006</v>
      </c>
      <c r="O201" s="4">
        <v>44.3</v>
      </c>
      <c r="P201" s="4">
        <v>39.950000000000003</v>
      </c>
      <c r="Q201" s="4">
        <v>48.85</v>
      </c>
      <c r="R201" s="6">
        <v>63.74</v>
      </c>
      <c r="S201" s="4">
        <v>52.63</v>
      </c>
      <c r="T201" s="6">
        <v>61.38</v>
      </c>
      <c r="U201" s="4">
        <v>48.65</v>
      </c>
      <c r="V201" s="6">
        <v>64.08</v>
      </c>
      <c r="W201" s="4">
        <v>49.82</v>
      </c>
      <c r="X201" s="4">
        <v>49.12</v>
      </c>
      <c r="Y201" s="4">
        <v>54.29</v>
      </c>
    </row>
    <row r="202" spans="1:25" ht="15" customHeight="1" x14ac:dyDescent="0.45">
      <c r="A202" s="3">
        <v>45966</v>
      </c>
      <c r="B202" s="4">
        <v>42.86</v>
      </c>
      <c r="C202" s="7">
        <v>28.17</v>
      </c>
      <c r="D202" s="4">
        <v>51.84</v>
      </c>
      <c r="E202" s="4">
        <v>56.74</v>
      </c>
      <c r="F202" s="6">
        <v>68.12</v>
      </c>
      <c r="G202" s="7">
        <v>27.95</v>
      </c>
      <c r="H202" s="4">
        <v>42.45</v>
      </c>
      <c r="I202" s="4">
        <v>54.06</v>
      </c>
      <c r="J202" s="6">
        <v>66.84</v>
      </c>
      <c r="K202" s="4">
        <v>46.45</v>
      </c>
      <c r="L202" s="4">
        <v>48.91</v>
      </c>
      <c r="M202" s="4">
        <v>51.89</v>
      </c>
      <c r="N202" s="4">
        <v>57.3</v>
      </c>
      <c r="O202" s="4">
        <v>44.26</v>
      </c>
      <c r="P202" s="4">
        <v>36.68</v>
      </c>
      <c r="Q202" s="4">
        <v>37.54</v>
      </c>
      <c r="R202" s="4">
        <v>54.97</v>
      </c>
      <c r="S202" s="4">
        <v>51.78</v>
      </c>
      <c r="T202" s="4">
        <v>44.99</v>
      </c>
      <c r="U202" s="4">
        <v>49.54</v>
      </c>
      <c r="V202" s="6">
        <v>64.11</v>
      </c>
      <c r="W202" s="4">
        <v>40.28</v>
      </c>
      <c r="X202" s="4">
        <v>55.78</v>
      </c>
      <c r="Y202" s="6">
        <v>60.45</v>
      </c>
    </row>
    <row r="203" spans="1:25" ht="15" customHeight="1" x14ac:dyDescent="0.45">
      <c r="A203" s="3">
        <v>45965</v>
      </c>
      <c r="B203" s="4">
        <v>48.34</v>
      </c>
      <c r="C203" s="4">
        <v>30.31</v>
      </c>
      <c r="D203" s="4">
        <v>53.18</v>
      </c>
      <c r="E203" s="5">
        <v>72.680000000000007</v>
      </c>
      <c r="F203" s="6">
        <v>69.650000000000006</v>
      </c>
      <c r="G203" s="7">
        <v>29.27</v>
      </c>
      <c r="H203" s="4">
        <v>49.42</v>
      </c>
      <c r="I203" s="6">
        <v>65.760000000000005</v>
      </c>
      <c r="J203" s="5">
        <v>74.12</v>
      </c>
      <c r="K203" s="4">
        <v>55.4</v>
      </c>
      <c r="L203" s="6">
        <v>60.93</v>
      </c>
      <c r="M203" s="4">
        <v>58.21</v>
      </c>
      <c r="N203" s="6">
        <v>64.22</v>
      </c>
      <c r="O203" s="4">
        <v>51.55</v>
      </c>
      <c r="P203" s="4">
        <v>40.82</v>
      </c>
      <c r="Q203" s="4">
        <v>31.45</v>
      </c>
      <c r="R203" s="6">
        <v>63.22</v>
      </c>
      <c r="S203" s="4">
        <v>55.79</v>
      </c>
      <c r="T203" s="4">
        <v>37.76</v>
      </c>
      <c r="U203" s="4">
        <v>59.64</v>
      </c>
      <c r="V203" s="5">
        <v>74.48</v>
      </c>
      <c r="W203" s="4">
        <v>44.89</v>
      </c>
      <c r="X203" s="4">
        <v>59.59</v>
      </c>
      <c r="Y203" s="5">
        <v>72</v>
      </c>
    </row>
    <row r="204" spans="1:25" ht="15" customHeight="1" x14ac:dyDescent="0.45">
      <c r="A204" s="3">
        <v>45964</v>
      </c>
      <c r="B204" s="4">
        <v>37.340000000000003</v>
      </c>
      <c r="C204" s="7">
        <v>29.26</v>
      </c>
      <c r="D204" s="4">
        <v>46.14</v>
      </c>
      <c r="E204" s="5">
        <v>71.760000000000005</v>
      </c>
      <c r="F204" s="6">
        <v>67</v>
      </c>
      <c r="G204" s="7">
        <v>28.62</v>
      </c>
      <c r="H204" s="4">
        <v>52.69</v>
      </c>
      <c r="I204" s="6">
        <v>68.63</v>
      </c>
      <c r="J204" s="5">
        <v>87.38</v>
      </c>
      <c r="K204" s="4">
        <v>54.99</v>
      </c>
      <c r="L204" s="5">
        <v>73.64</v>
      </c>
      <c r="M204" s="6">
        <v>61.36</v>
      </c>
      <c r="N204" s="6">
        <v>64.8</v>
      </c>
      <c r="O204" s="4">
        <v>52.24</v>
      </c>
      <c r="P204" s="4">
        <v>44.63</v>
      </c>
      <c r="Q204" s="4">
        <v>33.36</v>
      </c>
      <c r="R204" s="6">
        <v>65.099999999999994</v>
      </c>
      <c r="S204" s="6">
        <v>66.760000000000005</v>
      </c>
      <c r="T204" s="4">
        <v>38.04</v>
      </c>
      <c r="U204" s="4">
        <v>57.88</v>
      </c>
      <c r="V204" s="5">
        <v>87.7</v>
      </c>
      <c r="W204" s="4">
        <v>47</v>
      </c>
      <c r="X204" s="6">
        <v>61.84</v>
      </c>
      <c r="Y204" s="5">
        <v>72.63</v>
      </c>
    </row>
    <row r="205" spans="1:25" ht="15" customHeight="1" x14ac:dyDescent="0.45">
      <c r="A205" s="3">
        <v>45961</v>
      </c>
      <c r="B205" s="4">
        <v>38.74</v>
      </c>
      <c r="C205" s="4">
        <v>34.380000000000003</v>
      </c>
      <c r="D205" s="4">
        <v>40.33</v>
      </c>
      <c r="E205" s="5">
        <v>70.489999999999995</v>
      </c>
      <c r="F205" s="6">
        <v>67.650000000000006</v>
      </c>
      <c r="G205" s="4">
        <v>32.5</v>
      </c>
      <c r="H205" s="4">
        <v>50.41</v>
      </c>
      <c r="I205" s="6">
        <v>67.09</v>
      </c>
      <c r="J205" s="5">
        <v>84.27</v>
      </c>
      <c r="K205" s="4">
        <v>54.35</v>
      </c>
      <c r="L205" s="5">
        <v>72.37</v>
      </c>
      <c r="M205" s="6">
        <v>61.51</v>
      </c>
      <c r="N205" s="4">
        <v>57.98</v>
      </c>
      <c r="O205" s="4">
        <v>57.83</v>
      </c>
      <c r="P205" s="4">
        <v>53.58</v>
      </c>
      <c r="Q205" s="4">
        <v>37.43</v>
      </c>
      <c r="R205" s="6">
        <v>60.91</v>
      </c>
      <c r="S205" s="6">
        <v>62.96</v>
      </c>
      <c r="T205" s="4">
        <v>40.79</v>
      </c>
      <c r="U205" s="4">
        <v>52.25</v>
      </c>
      <c r="V205" s="5">
        <v>85.06</v>
      </c>
      <c r="W205" s="4">
        <v>54.02</v>
      </c>
      <c r="X205" s="4">
        <v>59.07</v>
      </c>
      <c r="Y205" s="5">
        <v>72.739999999999995</v>
      </c>
    </row>
    <row r="206" spans="1:25" ht="15" customHeight="1" x14ac:dyDescent="0.45">
      <c r="A206" s="3">
        <v>45960</v>
      </c>
      <c r="B206" s="4">
        <v>37.28</v>
      </c>
      <c r="C206" s="4">
        <v>35.090000000000003</v>
      </c>
      <c r="D206" s="4">
        <v>42.55</v>
      </c>
      <c r="E206" s="5">
        <v>75.989999999999995</v>
      </c>
      <c r="F206" s="6">
        <v>66.040000000000006</v>
      </c>
      <c r="G206" s="4">
        <v>35.64</v>
      </c>
      <c r="H206" s="4">
        <v>56.42</v>
      </c>
      <c r="I206" s="6">
        <v>68.19</v>
      </c>
      <c r="J206" s="5">
        <v>83.69</v>
      </c>
      <c r="K206" s="4">
        <v>53.27</v>
      </c>
      <c r="L206" s="5">
        <v>70.11</v>
      </c>
      <c r="M206" s="6">
        <v>63.79</v>
      </c>
      <c r="N206" s="6">
        <v>60.05</v>
      </c>
      <c r="O206" s="4">
        <v>57.53</v>
      </c>
      <c r="P206" s="4">
        <v>46.92</v>
      </c>
      <c r="Q206" s="4">
        <v>36.51</v>
      </c>
      <c r="R206" s="6">
        <v>63.94</v>
      </c>
      <c r="S206" s="6">
        <v>61.65</v>
      </c>
      <c r="T206" s="4">
        <v>45.57</v>
      </c>
      <c r="U206" s="4">
        <v>56.34</v>
      </c>
      <c r="V206" s="5">
        <v>84.51</v>
      </c>
      <c r="W206" s="6">
        <v>67.13</v>
      </c>
      <c r="X206" s="4">
        <v>50.99</v>
      </c>
      <c r="Y206" s="6">
        <v>67.64</v>
      </c>
    </row>
    <row r="207" spans="1:25" ht="15" customHeight="1" x14ac:dyDescent="0.45">
      <c r="A207" s="3">
        <v>45959</v>
      </c>
      <c r="B207" s="4">
        <v>30.49</v>
      </c>
      <c r="C207" s="4">
        <v>39.76</v>
      </c>
      <c r="D207" s="4">
        <v>48.85</v>
      </c>
      <c r="E207" s="5">
        <v>83.77</v>
      </c>
      <c r="F207" s="6">
        <v>68.849999999999994</v>
      </c>
      <c r="G207" s="4">
        <v>42.86</v>
      </c>
      <c r="H207" s="6">
        <v>65.010000000000005</v>
      </c>
      <c r="I207" s="5">
        <v>80.25</v>
      </c>
      <c r="J207" s="5">
        <v>82.53</v>
      </c>
      <c r="K207" s="6">
        <v>61.74</v>
      </c>
      <c r="L207" s="6">
        <v>68.05</v>
      </c>
      <c r="M207" s="6">
        <v>69.73</v>
      </c>
      <c r="N207" s="5">
        <v>73.31</v>
      </c>
      <c r="O207" s="6">
        <v>68.989999999999995</v>
      </c>
      <c r="P207" s="4">
        <v>44.4</v>
      </c>
      <c r="Q207" s="4">
        <v>45.83</v>
      </c>
      <c r="R207" s="6">
        <v>66.03</v>
      </c>
      <c r="S207" s="6">
        <v>62</v>
      </c>
      <c r="T207" s="4">
        <v>48.55</v>
      </c>
      <c r="U207" s="6">
        <v>64.97</v>
      </c>
      <c r="V207" s="5">
        <v>83.86</v>
      </c>
      <c r="W207" s="6">
        <v>66.959999999999994</v>
      </c>
      <c r="X207" s="6">
        <v>61.9</v>
      </c>
      <c r="Y207" s="6">
        <v>61.55</v>
      </c>
    </row>
    <row r="208" spans="1:25" ht="15" customHeight="1" x14ac:dyDescent="0.45">
      <c r="A208" s="3">
        <v>45958</v>
      </c>
      <c r="B208" s="4">
        <v>33.799999999999997</v>
      </c>
      <c r="C208" s="4">
        <v>49.08</v>
      </c>
      <c r="D208" s="4">
        <v>51.68</v>
      </c>
      <c r="E208" s="5">
        <v>83.53</v>
      </c>
      <c r="F208" s="5">
        <v>74.540000000000006</v>
      </c>
      <c r="G208" s="4">
        <v>47.97</v>
      </c>
      <c r="H208" s="6">
        <v>60.61</v>
      </c>
      <c r="I208" s="5">
        <v>74.58</v>
      </c>
      <c r="J208" s="5">
        <v>80.33</v>
      </c>
      <c r="K208" s="4">
        <v>59.77</v>
      </c>
      <c r="L208" s="6">
        <v>67.2</v>
      </c>
      <c r="M208" s="4">
        <v>58.95</v>
      </c>
      <c r="N208" s="6">
        <v>69.92</v>
      </c>
      <c r="O208" s="6">
        <v>64.77</v>
      </c>
      <c r="P208" s="4">
        <v>47.71</v>
      </c>
      <c r="Q208" s="4">
        <v>44.34</v>
      </c>
      <c r="R208" s="6">
        <v>65.62</v>
      </c>
      <c r="S208" s="6">
        <v>63.08</v>
      </c>
      <c r="T208" s="4">
        <v>51.84</v>
      </c>
      <c r="U208" s="6">
        <v>69.739999999999995</v>
      </c>
      <c r="V208" s="5">
        <v>81.94</v>
      </c>
      <c r="W208" s="6">
        <v>66.47</v>
      </c>
      <c r="X208" s="4">
        <v>53.3</v>
      </c>
      <c r="Y208" s="6">
        <v>66.19</v>
      </c>
    </row>
    <row r="209" spans="1:25" ht="15" customHeight="1" x14ac:dyDescent="0.45">
      <c r="A209" s="3">
        <v>45957</v>
      </c>
      <c r="B209" s="4">
        <v>32.92</v>
      </c>
      <c r="C209" s="4">
        <v>50.67</v>
      </c>
      <c r="D209" s="4">
        <v>52.17</v>
      </c>
      <c r="E209" s="5">
        <v>82.68</v>
      </c>
      <c r="F209" s="5">
        <v>72.67</v>
      </c>
      <c r="G209" s="4">
        <v>48.24</v>
      </c>
      <c r="H209" s="6">
        <v>63.57</v>
      </c>
      <c r="I209" s="5">
        <v>72.95</v>
      </c>
      <c r="J209" s="5">
        <v>84.6</v>
      </c>
      <c r="K209" s="6">
        <v>62.6</v>
      </c>
      <c r="L209" s="5">
        <v>75.58</v>
      </c>
      <c r="M209" s="6">
        <v>66.27</v>
      </c>
      <c r="N209" s="6">
        <v>67.17</v>
      </c>
      <c r="O209" s="6">
        <v>67.239999999999995</v>
      </c>
      <c r="P209" s="4">
        <v>48.56</v>
      </c>
      <c r="Q209" s="4">
        <v>44.5</v>
      </c>
      <c r="R209" s="6">
        <v>69.88</v>
      </c>
      <c r="S209" s="6">
        <v>63.41</v>
      </c>
      <c r="T209" s="4">
        <v>55.66</v>
      </c>
      <c r="U209" s="5">
        <v>70.099999999999994</v>
      </c>
      <c r="V209" s="5">
        <v>86.29</v>
      </c>
      <c r="W209" s="6">
        <v>64.83</v>
      </c>
      <c r="X209" s="4">
        <v>50.4</v>
      </c>
      <c r="Y209" s="6">
        <v>64.66</v>
      </c>
    </row>
    <row r="210" spans="1:25" ht="15" customHeight="1" x14ac:dyDescent="0.45">
      <c r="A210" s="3">
        <v>45954</v>
      </c>
      <c r="B210" s="4">
        <v>34.06</v>
      </c>
      <c r="C210" s="4">
        <v>47.52</v>
      </c>
      <c r="D210" s="4">
        <v>48.93</v>
      </c>
      <c r="E210" s="5">
        <v>81.93</v>
      </c>
      <c r="F210" s="6">
        <v>64.819999999999993</v>
      </c>
      <c r="G210" s="4">
        <v>45.01</v>
      </c>
      <c r="H210" s="6">
        <v>67.87</v>
      </c>
      <c r="I210" s="5">
        <v>71.73</v>
      </c>
      <c r="J210" s="5">
        <v>82.44</v>
      </c>
      <c r="K210" s="6">
        <v>61.6</v>
      </c>
      <c r="L210" s="5">
        <v>71.52</v>
      </c>
      <c r="M210" s="6">
        <v>62.55</v>
      </c>
      <c r="N210" s="6">
        <v>68.69</v>
      </c>
      <c r="O210" s="6">
        <v>62.81</v>
      </c>
      <c r="P210" s="4">
        <v>43.48</v>
      </c>
      <c r="Q210" s="4">
        <v>43.19</v>
      </c>
      <c r="R210" s="6">
        <v>63.37</v>
      </c>
      <c r="S210" s="4">
        <v>58.62</v>
      </c>
      <c r="T210" s="4">
        <v>55.99</v>
      </c>
      <c r="U210" s="6">
        <v>64.67</v>
      </c>
      <c r="V210" s="5">
        <v>84.11</v>
      </c>
      <c r="W210" s="6">
        <v>62.4</v>
      </c>
      <c r="X210" s="4">
        <v>44.98</v>
      </c>
      <c r="Y210" s="4">
        <v>51.22</v>
      </c>
    </row>
    <row r="211" spans="1:25" ht="15" customHeight="1" x14ac:dyDescent="0.45">
      <c r="A211" s="3">
        <v>45953</v>
      </c>
      <c r="B211" s="4">
        <v>35.82</v>
      </c>
      <c r="C211" s="4">
        <v>50.06</v>
      </c>
      <c r="D211" s="4">
        <v>55.61</v>
      </c>
      <c r="E211" s="5">
        <v>78.39</v>
      </c>
      <c r="F211" s="6">
        <v>63.17</v>
      </c>
      <c r="G211" s="4">
        <v>40.93</v>
      </c>
      <c r="H211" s="6">
        <v>62.73</v>
      </c>
      <c r="I211" s="6">
        <v>67.650000000000006</v>
      </c>
      <c r="J211" s="5">
        <v>78.56</v>
      </c>
      <c r="K211" s="4">
        <v>58.4</v>
      </c>
      <c r="L211" s="5">
        <v>71.45</v>
      </c>
      <c r="M211" s="6">
        <v>62.07</v>
      </c>
      <c r="N211" s="6">
        <v>65.56</v>
      </c>
      <c r="O211" s="4">
        <v>48.94</v>
      </c>
      <c r="P211" s="4">
        <v>45.24</v>
      </c>
      <c r="Q211" s="4">
        <v>44.44</v>
      </c>
      <c r="R211" s="6">
        <v>60.5</v>
      </c>
      <c r="S211" s="4">
        <v>54.31</v>
      </c>
      <c r="T211" s="4">
        <v>54.96</v>
      </c>
      <c r="U211" s="6">
        <v>62.43</v>
      </c>
      <c r="V211" s="5">
        <v>80.87</v>
      </c>
      <c r="W211" s="4">
        <v>59.39</v>
      </c>
      <c r="X211" s="4">
        <v>41.13</v>
      </c>
      <c r="Y211" s="4">
        <v>51.74</v>
      </c>
    </row>
    <row r="212" spans="1:25" ht="15" customHeight="1" x14ac:dyDescent="0.45">
      <c r="A212" s="3">
        <v>45952</v>
      </c>
      <c r="B212" s="4">
        <v>36.94</v>
      </c>
      <c r="C212" s="4">
        <v>49.8</v>
      </c>
      <c r="D212" s="4">
        <v>52.13</v>
      </c>
      <c r="E212" s="5">
        <v>81.96</v>
      </c>
      <c r="F212" s="5">
        <v>71.239999999999995</v>
      </c>
      <c r="G212" s="4">
        <v>45.9</v>
      </c>
      <c r="H212" s="6">
        <v>62.92</v>
      </c>
      <c r="I212" s="5">
        <v>72.39</v>
      </c>
      <c r="J212" s="5">
        <v>81.760000000000005</v>
      </c>
      <c r="K212" s="6">
        <v>63.34</v>
      </c>
      <c r="L212" s="5">
        <v>72.67</v>
      </c>
      <c r="M212" s="6">
        <v>61.16</v>
      </c>
      <c r="N212" s="5">
        <v>76.510000000000005</v>
      </c>
      <c r="O212" s="4">
        <v>51.58</v>
      </c>
      <c r="P212" s="4">
        <v>49.12</v>
      </c>
      <c r="Q212" s="4">
        <v>48.5</v>
      </c>
      <c r="R212" s="6">
        <v>66.2</v>
      </c>
      <c r="S212" s="4">
        <v>58.23</v>
      </c>
      <c r="T212" s="4">
        <v>52.96</v>
      </c>
      <c r="U212" s="6">
        <v>66.63</v>
      </c>
      <c r="V212" s="5">
        <v>85.08</v>
      </c>
      <c r="W212" s="4">
        <v>58.46</v>
      </c>
      <c r="X212" s="4">
        <v>49.83</v>
      </c>
      <c r="Y212" s="4">
        <v>48.25</v>
      </c>
    </row>
    <row r="213" spans="1:25" ht="15" customHeight="1" x14ac:dyDescent="0.45">
      <c r="A213" s="3">
        <v>45951</v>
      </c>
      <c r="B213" s="4">
        <v>37.11</v>
      </c>
      <c r="C213" s="4">
        <v>43.27</v>
      </c>
      <c r="D213" s="4">
        <v>41.6</v>
      </c>
      <c r="E213" s="5">
        <v>74.790000000000006</v>
      </c>
      <c r="F213" s="6">
        <v>67.95</v>
      </c>
      <c r="G213" s="4">
        <v>39.49</v>
      </c>
      <c r="H213" s="6">
        <v>60.07</v>
      </c>
      <c r="I213" s="5">
        <v>72.91</v>
      </c>
      <c r="J213" s="5">
        <v>80.790000000000006</v>
      </c>
      <c r="K213" s="4">
        <v>58.36</v>
      </c>
      <c r="L213" s="6">
        <v>67.08</v>
      </c>
      <c r="M213" s="4">
        <v>55.7</v>
      </c>
      <c r="N213" s="5">
        <v>75.569999999999993</v>
      </c>
      <c r="O213" s="4">
        <v>50.79</v>
      </c>
      <c r="P213" s="4">
        <v>37.14</v>
      </c>
      <c r="Q213" s="4">
        <v>46.55</v>
      </c>
      <c r="R213" s="6">
        <v>63.24</v>
      </c>
      <c r="S213" s="4">
        <v>59.35</v>
      </c>
      <c r="T213" s="4">
        <v>52.15</v>
      </c>
      <c r="U213" s="6">
        <v>63.27</v>
      </c>
      <c r="V213" s="5">
        <v>83.37</v>
      </c>
      <c r="W213" s="4">
        <v>55.38</v>
      </c>
      <c r="X213" s="4">
        <v>49.76</v>
      </c>
      <c r="Y213" s="4">
        <v>48.23</v>
      </c>
    </row>
    <row r="214" spans="1:25" ht="15" customHeight="1" x14ac:dyDescent="0.45">
      <c r="A214" s="3">
        <v>45950</v>
      </c>
      <c r="B214" s="4">
        <v>42.2</v>
      </c>
      <c r="C214" s="4">
        <v>44.08</v>
      </c>
      <c r="D214" s="4">
        <v>40.159999999999997</v>
      </c>
      <c r="E214" s="5">
        <v>73.27</v>
      </c>
      <c r="F214" s="6">
        <v>66.510000000000005</v>
      </c>
      <c r="G214" s="4">
        <v>41.93</v>
      </c>
      <c r="H214" s="6">
        <v>60.81</v>
      </c>
      <c r="I214" s="5">
        <v>72.430000000000007</v>
      </c>
      <c r="J214" s="5">
        <v>83.01</v>
      </c>
      <c r="K214" s="6">
        <v>61.35</v>
      </c>
      <c r="L214" s="4">
        <v>59.55</v>
      </c>
      <c r="M214" s="4">
        <v>59.85</v>
      </c>
      <c r="N214" s="5">
        <v>71.59</v>
      </c>
      <c r="O214" s="4">
        <v>45.4</v>
      </c>
      <c r="P214" s="4">
        <v>39.07</v>
      </c>
      <c r="Q214" s="4">
        <v>48.52</v>
      </c>
      <c r="R214" s="6">
        <v>64.45</v>
      </c>
      <c r="S214" s="6">
        <v>65.87</v>
      </c>
      <c r="T214" s="4">
        <v>51.04</v>
      </c>
      <c r="U214" s="4">
        <v>52.91</v>
      </c>
      <c r="V214" s="5">
        <v>83.08</v>
      </c>
      <c r="W214" s="4">
        <v>55.81</v>
      </c>
      <c r="X214" s="4">
        <v>47.81</v>
      </c>
      <c r="Y214" s="4">
        <v>46.53</v>
      </c>
    </row>
    <row r="215" spans="1:25" ht="15" customHeight="1" x14ac:dyDescent="0.45">
      <c r="A215" s="3">
        <v>45947</v>
      </c>
      <c r="B215" s="4">
        <v>35.82</v>
      </c>
      <c r="C215" s="4">
        <v>34.93</v>
      </c>
      <c r="D215" s="4">
        <v>38.799999999999997</v>
      </c>
      <c r="E215" s="5">
        <v>70.349999999999994</v>
      </c>
      <c r="F215" s="6">
        <v>62.66</v>
      </c>
      <c r="G215" s="4">
        <v>41.78</v>
      </c>
      <c r="H215" s="4">
        <v>59.75</v>
      </c>
      <c r="I215" s="5">
        <v>71.099999999999994</v>
      </c>
      <c r="J215" s="5">
        <v>81.81</v>
      </c>
      <c r="K215" s="4">
        <v>56.54</v>
      </c>
      <c r="L215" s="4">
        <v>53.27</v>
      </c>
      <c r="M215" s="6">
        <v>61.43</v>
      </c>
      <c r="N215" s="5">
        <v>74.489999999999995</v>
      </c>
      <c r="O215" s="4">
        <v>43.15</v>
      </c>
      <c r="P215" s="4">
        <v>39.299999999999997</v>
      </c>
      <c r="Q215" s="4">
        <v>44.38</v>
      </c>
      <c r="R215" s="4">
        <v>55.39</v>
      </c>
      <c r="S215" s="4">
        <v>51.47</v>
      </c>
      <c r="T215" s="4">
        <v>44.94</v>
      </c>
      <c r="U215" s="4">
        <v>51.99</v>
      </c>
      <c r="V215" s="5">
        <v>81.33</v>
      </c>
      <c r="W215" s="4">
        <v>54.1</v>
      </c>
      <c r="X215" s="4">
        <v>44.18</v>
      </c>
      <c r="Y215" s="4">
        <v>40.36</v>
      </c>
    </row>
    <row r="216" spans="1:25" ht="15" customHeight="1" x14ac:dyDescent="0.45">
      <c r="A216" s="3">
        <v>45946</v>
      </c>
      <c r="B216" s="4">
        <v>38.450000000000003</v>
      </c>
      <c r="C216" s="4">
        <v>41.71</v>
      </c>
      <c r="D216" s="4">
        <v>48.96</v>
      </c>
      <c r="E216" s="6">
        <v>67.02</v>
      </c>
      <c r="F216" s="6">
        <v>67.89</v>
      </c>
      <c r="G216" s="4">
        <v>45.61</v>
      </c>
      <c r="H216" s="6">
        <v>64.849999999999994</v>
      </c>
      <c r="I216" s="5">
        <v>78.900000000000006</v>
      </c>
      <c r="J216" s="5">
        <v>80.86</v>
      </c>
      <c r="K216" s="6">
        <v>65.8</v>
      </c>
      <c r="L216" s="4">
        <v>55.38</v>
      </c>
      <c r="M216" s="6">
        <v>68.66</v>
      </c>
      <c r="N216" s="6">
        <v>67.5</v>
      </c>
      <c r="O216" s="4">
        <v>55.83</v>
      </c>
      <c r="P216" s="4">
        <v>41.98</v>
      </c>
      <c r="Q216" s="4">
        <v>47.45</v>
      </c>
      <c r="R216" s="4">
        <v>59.09</v>
      </c>
      <c r="S216" s="4">
        <v>57.17</v>
      </c>
      <c r="T216" s="4">
        <v>57.84</v>
      </c>
      <c r="U216" s="4">
        <v>54.27</v>
      </c>
      <c r="V216" s="5">
        <v>80.88</v>
      </c>
      <c r="W216" s="4">
        <v>57.71</v>
      </c>
      <c r="X216" s="4">
        <v>48.49</v>
      </c>
      <c r="Y216" s="4">
        <v>42.83</v>
      </c>
    </row>
    <row r="217" spans="1:25" ht="15" customHeight="1" x14ac:dyDescent="0.45">
      <c r="A217" s="3">
        <v>45945</v>
      </c>
      <c r="B217" s="4">
        <v>39.94</v>
      </c>
      <c r="C217" s="4">
        <v>41.22</v>
      </c>
      <c r="D217" s="4">
        <v>49.62</v>
      </c>
      <c r="E217" s="4">
        <v>56.22</v>
      </c>
      <c r="F217" s="6">
        <v>65.709999999999994</v>
      </c>
      <c r="G217" s="4">
        <v>46.25</v>
      </c>
      <c r="H217" s="5">
        <v>72.37</v>
      </c>
      <c r="I217" s="5">
        <v>78.099999999999994</v>
      </c>
      <c r="J217" s="5">
        <v>77.14</v>
      </c>
      <c r="K217" s="6">
        <v>65.34</v>
      </c>
      <c r="L217" s="4">
        <v>48.07</v>
      </c>
      <c r="M217" s="6">
        <v>61.43</v>
      </c>
      <c r="N217" s="6">
        <v>64.42</v>
      </c>
      <c r="O217" s="4">
        <v>54.69</v>
      </c>
      <c r="P217" s="4">
        <v>33.19</v>
      </c>
      <c r="Q217" s="4">
        <v>41.43</v>
      </c>
      <c r="R217" s="4">
        <v>56.7</v>
      </c>
      <c r="S217" s="4">
        <v>53.24</v>
      </c>
      <c r="T217" s="4">
        <v>56.54</v>
      </c>
      <c r="U217" s="4">
        <v>51.72</v>
      </c>
      <c r="V217" s="5">
        <v>77.010000000000005</v>
      </c>
      <c r="W217" s="4">
        <v>58.14</v>
      </c>
      <c r="X217" s="4">
        <v>47.86</v>
      </c>
      <c r="Y217" s="4">
        <v>45.41</v>
      </c>
    </row>
    <row r="218" spans="1:25" ht="15" customHeight="1" x14ac:dyDescent="0.45">
      <c r="A218" s="3">
        <v>45944</v>
      </c>
      <c r="B218" s="4">
        <v>39.29</v>
      </c>
      <c r="C218" s="4">
        <v>30.02</v>
      </c>
      <c r="D218" s="4">
        <v>33.85</v>
      </c>
      <c r="E218" s="4">
        <v>51.76</v>
      </c>
      <c r="F218" s="4">
        <v>46.85</v>
      </c>
      <c r="G218" s="4">
        <v>35.6</v>
      </c>
      <c r="H218" s="5">
        <v>70.790000000000006</v>
      </c>
      <c r="I218" s="5">
        <v>70.83</v>
      </c>
      <c r="J218" s="5">
        <v>73.989999999999995</v>
      </c>
      <c r="K218" s="4">
        <v>58.78</v>
      </c>
      <c r="L218" s="4">
        <v>41.92</v>
      </c>
      <c r="M218" s="4">
        <v>50.22</v>
      </c>
      <c r="N218" s="4">
        <v>55.63</v>
      </c>
      <c r="O218" s="4">
        <v>41.64</v>
      </c>
      <c r="P218" s="4">
        <v>31.39</v>
      </c>
      <c r="Q218" s="4">
        <v>30.82</v>
      </c>
      <c r="R218" s="4">
        <v>47.72</v>
      </c>
      <c r="S218" s="4">
        <v>45.63</v>
      </c>
      <c r="T218" s="6">
        <v>60.04</v>
      </c>
      <c r="U218" s="4">
        <v>45.96</v>
      </c>
      <c r="V218" s="5">
        <v>72.33</v>
      </c>
      <c r="W218" s="4">
        <v>53.73</v>
      </c>
      <c r="X218" s="4">
        <v>47.3</v>
      </c>
      <c r="Y218" s="4">
        <v>37.97</v>
      </c>
    </row>
    <row r="219" spans="1:25" ht="15" customHeight="1" x14ac:dyDescent="0.45">
      <c r="A219" s="3">
        <v>45943</v>
      </c>
      <c r="B219" s="4">
        <v>37.53</v>
      </c>
      <c r="C219" s="4">
        <v>31.12</v>
      </c>
      <c r="D219" s="4">
        <v>34.090000000000003</v>
      </c>
      <c r="E219" s="4">
        <v>50.68</v>
      </c>
      <c r="F219" s="4">
        <v>45.73</v>
      </c>
      <c r="G219" s="4">
        <v>32.450000000000003</v>
      </c>
      <c r="H219" s="4">
        <v>59.44</v>
      </c>
      <c r="I219" s="5">
        <v>76.709999999999994</v>
      </c>
      <c r="J219" s="5">
        <v>76.06</v>
      </c>
      <c r="K219" s="6">
        <v>69.5</v>
      </c>
      <c r="L219" s="4">
        <v>48.5</v>
      </c>
      <c r="M219" s="4">
        <v>58.13</v>
      </c>
      <c r="N219" s="4">
        <v>42</v>
      </c>
      <c r="O219" s="4">
        <v>44.75</v>
      </c>
      <c r="P219" s="7">
        <v>26.6</v>
      </c>
      <c r="Q219" s="4">
        <v>38.1</v>
      </c>
      <c r="R219" s="4">
        <v>50.86</v>
      </c>
      <c r="S219" s="4">
        <v>47.98</v>
      </c>
      <c r="T219" s="4">
        <v>52.48</v>
      </c>
      <c r="U219" s="4">
        <v>49.85</v>
      </c>
      <c r="V219" s="5">
        <v>74.98</v>
      </c>
      <c r="W219" s="4">
        <v>54.66</v>
      </c>
      <c r="X219" s="4">
        <v>51.9</v>
      </c>
      <c r="Y219" s="4">
        <v>47.39</v>
      </c>
    </row>
    <row r="220" spans="1:25" ht="15" customHeight="1" x14ac:dyDescent="0.45">
      <c r="A220" s="3">
        <v>45940</v>
      </c>
      <c r="B220" s="4">
        <v>41.74</v>
      </c>
      <c r="C220" s="4">
        <v>31.47</v>
      </c>
      <c r="D220" s="4">
        <v>35.51</v>
      </c>
      <c r="E220" s="4">
        <v>48.85</v>
      </c>
      <c r="F220" s="4">
        <v>48.11</v>
      </c>
      <c r="G220" s="4">
        <v>33.520000000000003</v>
      </c>
      <c r="H220" s="4">
        <v>39.950000000000003</v>
      </c>
      <c r="I220" s="5">
        <v>73.989999999999995</v>
      </c>
      <c r="J220" s="5">
        <v>80.58</v>
      </c>
      <c r="K220" s="6">
        <v>69.8</v>
      </c>
      <c r="L220" s="4">
        <v>53.53</v>
      </c>
      <c r="M220" s="4">
        <v>58.89</v>
      </c>
      <c r="N220" s="4">
        <v>42.15</v>
      </c>
      <c r="O220" s="4">
        <v>42.41</v>
      </c>
      <c r="P220" s="7">
        <v>28.23</v>
      </c>
      <c r="Q220" s="4">
        <v>40.840000000000003</v>
      </c>
      <c r="R220" s="4">
        <v>54.27</v>
      </c>
      <c r="S220" s="4">
        <v>53.2</v>
      </c>
      <c r="T220" s="4">
        <v>56.45</v>
      </c>
      <c r="U220" s="4">
        <v>44.96</v>
      </c>
      <c r="V220" s="5">
        <v>78.599999999999994</v>
      </c>
      <c r="W220" s="4">
        <v>59.02</v>
      </c>
      <c r="X220" s="4">
        <v>57.78</v>
      </c>
      <c r="Y220" s="4">
        <v>36.85</v>
      </c>
    </row>
    <row r="221" spans="1:25" ht="15" customHeight="1" x14ac:dyDescent="0.45">
      <c r="A221" s="3">
        <v>45939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" customHeight="1" x14ac:dyDescent="0.45">
      <c r="A222" s="3">
        <v>45938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" customHeight="1" x14ac:dyDescent="0.45">
      <c r="A223" s="3">
        <v>45937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" customHeight="1" x14ac:dyDescent="0.45">
      <c r="A224" s="3">
        <v>45936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" customHeight="1" x14ac:dyDescent="0.45">
      <c r="A225" s="3">
        <v>45933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" customHeight="1" x14ac:dyDescent="0.45">
      <c r="A226" s="3">
        <v>45932</v>
      </c>
      <c r="B226" s="4">
        <v>44.28</v>
      </c>
      <c r="C226" s="4">
        <v>35.630000000000003</v>
      </c>
      <c r="D226" s="4">
        <v>41.44</v>
      </c>
      <c r="E226" s="4">
        <v>49.49</v>
      </c>
      <c r="F226" s="4">
        <v>49.09</v>
      </c>
      <c r="G226" s="4">
        <v>36.299999999999997</v>
      </c>
      <c r="H226" s="4">
        <v>44.25</v>
      </c>
      <c r="I226" s="4">
        <v>59.31</v>
      </c>
      <c r="J226" s="5">
        <v>76.36</v>
      </c>
      <c r="K226" s="6">
        <v>68.42</v>
      </c>
      <c r="L226" s="6">
        <v>63.35</v>
      </c>
      <c r="M226" s="4">
        <v>59.34</v>
      </c>
      <c r="N226" s="4">
        <v>40.68</v>
      </c>
      <c r="O226" s="4">
        <v>40.369999999999997</v>
      </c>
      <c r="P226" s="4">
        <v>31.8</v>
      </c>
      <c r="Q226" s="4">
        <v>46.64</v>
      </c>
      <c r="R226" s="4">
        <v>57.72</v>
      </c>
      <c r="S226" s="4">
        <v>52.92</v>
      </c>
      <c r="T226" s="4">
        <v>56.68</v>
      </c>
      <c r="U226" s="4">
        <v>48.9</v>
      </c>
      <c r="V226" s="5">
        <v>74.66</v>
      </c>
      <c r="W226" s="4">
        <v>59.48</v>
      </c>
      <c r="X226" s="4">
        <v>49.89</v>
      </c>
      <c r="Y226" s="4">
        <v>36.93</v>
      </c>
    </row>
    <row r="227" spans="1:25" ht="15" customHeight="1" x14ac:dyDescent="0.45">
      <c r="A227" s="3">
        <v>45931</v>
      </c>
      <c r="B227" s="4">
        <v>48.7</v>
      </c>
      <c r="C227" s="4">
        <v>31.53</v>
      </c>
      <c r="D227" s="4">
        <v>39.31</v>
      </c>
      <c r="E227" s="4">
        <v>46.15</v>
      </c>
      <c r="F227" s="4">
        <v>48.25</v>
      </c>
      <c r="G227" s="4">
        <v>37.119999999999997</v>
      </c>
      <c r="H227" s="4">
        <v>45.34</v>
      </c>
      <c r="I227" s="4">
        <v>57.1</v>
      </c>
      <c r="J227" s="6">
        <v>69.34</v>
      </c>
      <c r="K227" s="6">
        <v>63.91</v>
      </c>
      <c r="L227" s="6">
        <v>60.61</v>
      </c>
      <c r="M227" s="4">
        <v>50.27</v>
      </c>
      <c r="N227" s="4">
        <v>40.93</v>
      </c>
      <c r="O227" s="4">
        <v>41.75</v>
      </c>
      <c r="P227" s="7">
        <v>26.25</v>
      </c>
      <c r="Q227" s="4">
        <v>43.64</v>
      </c>
      <c r="R227" s="4">
        <v>50.37</v>
      </c>
      <c r="S227" s="4">
        <v>47.72</v>
      </c>
      <c r="T227" s="4">
        <v>53.86</v>
      </c>
      <c r="U227" s="4">
        <v>45.43</v>
      </c>
      <c r="V227" s="6">
        <v>67.88</v>
      </c>
      <c r="W227" s="4">
        <v>57.01</v>
      </c>
      <c r="X227" s="4">
        <v>50.75</v>
      </c>
      <c r="Y227" s="4">
        <v>36.92</v>
      </c>
    </row>
    <row r="228" spans="1:25" ht="15" customHeight="1" x14ac:dyDescent="0.45">
      <c r="A228" s="3">
        <v>45930</v>
      </c>
      <c r="B228" s="4">
        <v>43.58</v>
      </c>
      <c r="C228" s="7">
        <v>28.97</v>
      </c>
      <c r="D228" s="4">
        <v>38.43</v>
      </c>
      <c r="E228" s="4">
        <v>44.28</v>
      </c>
      <c r="F228" s="4">
        <v>45.22</v>
      </c>
      <c r="G228" s="4">
        <v>38.11</v>
      </c>
      <c r="H228" s="4">
        <v>45.87</v>
      </c>
      <c r="I228" s="4">
        <v>52.63</v>
      </c>
      <c r="J228" s="6">
        <v>65.62</v>
      </c>
      <c r="K228" s="4">
        <v>56.29</v>
      </c>
      <c r="L228" s="4">
        <v>59.69</v>
      </c>
      <c r="M228" s="4">
        <v>48.95</v>
      </c>
      <c r="N228" s="4">
        <v>44.18</v>
      </c>
      <c r="O228" s="4">
        <v>39.14</v>
      </c>
      <c r="P228" s="7">
        <v>27.25</v>
      </c>
      <c r="Q228" s="4">
        <v>43.35</v>
      </c>
      <c r="R228" s="4">
        <v>51.29</v>
      </c>
      <c r="S228" s="4">
        <v>50.36</v>
      </c>
      <c r="T228" s="4">
        <v>55.77</v>
      </c>
      <c r="U228" s="4">
        <v>38.380000000000003</v>
      </c>
      <c r="V228" s="6">
        <v>63.95</v>
      </c>
      <c r="W228" s="4">
        <v>51.21</v>
      </c>
      <c r="X228" s="4">
        <v>55.15</v>
      </c>
      <c r="Y228" s="4">
        <v>37.020000000000003</v>
      </c>
    </row>
    <row r="229" spans="1:25" ht="15" customHeight="1" x14ac:dyDescent="0.45">
      <c r="A229" s="3">
        <v>45929</v>
      </c>
      <c r="B229" s="4">
        <v>45.53</v>
      </c>
      <c r="C229" s="4">
        <v>32.82</v>
      </c>
      <c r="D229" s="4">
        <v>41.33</v>
      </c>
      <c r="E229" s="4">
        <v>46.28</v>
      </c>
      <c r="F229" s="4">
        <v>50.04</v>
      </c>
      <c r="G229" s="4">
        <v>40.869999999999997</v>
      </c>
      <c r="H229" s="4">
        <v>45.61</v>
      </c>
      <c r="I229" s="4">
        <v>49.99</v>
      </c>
      <c r="J229" s="6">
        <v>67.02</v>
      </c>
      <c r="K229" s="4">
        <v>57.06</v>
      </c>
      <c r="L229" s="4">
        <v>52.18</v>
      </c>
      <c r="M229" s="4">
        <v>56.46</v>
      </c>
      <c r="N229" s="4">
        <v>48.83</v>
      </c>
      <c r="O229" s="4">
        <v>37.299999999999997</v>
      </c>
      <c r="P229" s="4">
        <v>31.23</v>
      </c>
      <c r="Q229" s="4">
        <v>44.34</v>
      </c>
      <c r="R229" s="4">
        <v>52.19</v>
      </c>
      <c r="S229" s="4">
        <v>53.78</v>
      </c>
      <c r="T229" s="4">
        <v>58.88</v>
      </c>
      <c r="U229" s="4">
        <v>39.380000000000003</v>
      </c>
      <c r="V229" s="6">
        <v>63.83</v>
      </c>
      <c r="W229" s="4">
        <v>53.28</v>
      </c>
      <c r="X229" s="6">
        <v>60.64</v>
      </c>
      <c r="Y229" s="4">
        <v>38.32</v>
      </c>
    </row>
    <row r="230" spans="1:25" ht="15" customHeight="1" x14ac:dyDescent="0.45">
      <c r="A230" s="3">
        <v>45926</v>
      </c>
      <c r="B230" s="4">
        <v>43.16</v>
      </c>
      <c r="C230" s="4">
        <v>30.93</v>
      </c>
      <c r="D230" s="4">
        <v>37.090000000000003</v>
      </c>
      <c r="E230" s="4">
        <v>40.28</v>
      </c>
      <c r="F230" s="4">
        <v>47.22</v>
      </c>
      <c r="G230" s="4">
        <v>33.840000000000003</v>
      </c>
      <c r="H230" s="4">
        <v>42.57</v>
      </c>
      <c r="I230" s="4">
        <v>49.62</v>
      </c>
      <c r="J230" s="6">
        <v>64.14</v>
      </c>
      <c r="K230" s="4">
        <v>55.36</v>
      </c>
      <c r="L230" s="4">
        <v>49.48</v>
      </c>
      <c r="M230" s="4">
        <v>55.38</v>
      </c>
      <c r="N230" s="4">
        <v>43.95</v>
      </c>
      <c r="O230" s="4">
        <v>35.369999999999997</v>
      </c>
      <c r="P230" s="7">
        <v>28.04</v>
      </c>
      <c r="Q230" s="4">
        <v>45.5</v>
      </c>
      <c r="R230" s="4">
        <v>45.97</v>
      </c>
      <c r="S230" s="4">
        <v>47.51</v>
      </c>
      <c r="T230" s="4">
        <v>53.27</v>
      </c>
      <c r="U230" s="4">
        <v>39.53</v>
      </c>
      <c r="V230" s="6">
        <v>60.3</v>
      </c>
      <c r="W230" s="4">
        <v>53.08</v>
      </c>
      <c r="X230" s="4">
        <v>51.4</v>
      </c>
      <c r="Y230" s="4">
        <v>36.53</v>
      </c>
    </row>
    <row r="231" spans="1:25" ht="15" customHeight="1" x14ac:dyDescent="0.45">
      <c r="A231" s="3">
        <v>45925</v>
      </c>
      <c r="B231" s="4">
        <v>40.72</v>
      </c>
      <c r="C231" s="4">
        <v>36.53</v>
      </c>
      <c r="D231" s="4">
        <v>42.37</v>
      </c>
      <c r="E231" s="4">
        <v>47.67</v>
      </c>
      <c r="F231" s="4">
        <v>53.99</v>
      </c>
      <c r="G231" s="4">
        <v>35.47</v>
      </c>
      <c r="H231" s="4">
        <v>49.82</v>
      </c>
      <c r="I231" s="4">
        <v>55.7</v>
      </c>
      <c r="J231" s="5">
        <v>78.599999999999994</v>
      </c>
      <c r="K231" s="6">
        <v>66.180000000000007</v>
      </c>
      <c r="L231" s="4">
        <v>58.45</v>
      </c>
      <c r="M231" s="6">
        <v>62.35</v>
      </c>
      <c r="N231" s="4">
        <v>43.05</v>
      </c>
      <c r="O231" s="4">
        <v>41.65</v>
      </c>
      <c r="P231" s="4">
        <v>31.17</v>
      </c>
      <c r="Q231" s="4">
        <v>46.77</v>
      </c>
      <c r="R231" s="4">
        <v>52.36</v>
      </c>
      <c r="S231" s="4">
        <v>48.88</v>
      </c>
      <c r="T231" s="4">
        <v>52.55</v>
      </c>
      <c r="U231" s="4">
        <v>50.55</v>
      </c>
      <c r="V231" s="5">
        <v>76.400000000000006</v>
      </c>
      <c r="W231" s="4">
        <v>57.73</v>
      </c>
      <c r="X231" s="4">
        <v>59.36</v>
      </c>
      <c r="Y231" s="4">
        <v>39.630000000000003</v>
      </c>
    </row>
    <row r="232" spans="1:25" ht="15" customHeight="1" x14ac:dyDescent="0.45">
      <c r="A232" s="3">
        <v>45924</v>
      </c>
      <c r="B232" s="4">
        <v>49.05</v>
      </c>
      <c r="C232" s="4">
        <v>39.119999999999997</v>
      </c>
      <c r="D232" s="4">
        <v>40.64</v>
      </c>
      <c r="E232" s="4">
        <v>44.73</v>
      </c>
      <c r="F232" s="6">
        <v>61.65</v>
      </c>
      <c r="G232" s="4">
        <v>32.51</v>
      </c>
      <c r="H232" s="4">
        <v>47.74</v>
      </c>
      <c r="I232" s="6">
        <v>61.75</v>
      </c>
      <c r="J232" s="5">
        <v>77.77</v>
      </c>
      <c r="K232" s="5">
        <v>73.900000000000006</v>
      </c>
      <c r="L232" s="6">
        <v>62.94</v>
      </c>
      <c r="M232" s="6">
        <v>63.69</v>
      </c>
      <c r="N232" s="4">
        <v>48.12</v>
      </c>
      <c r="O232" s="4">
        <v>45.11</v>
      </c>
      <c r="P232" s="4">
        <v>33</v>
      </c>
      <c r="Q232" s="4">
        <v>44.75</v>
      </c>
      <c r="R232" s="4">
        <v>55.86</v>
      </c>
      <c r="S232" s="4">
        <v>50.97</v>
      </c>
      <c r="T232" s="4">
        <v>56.5</v>
      </c>
      <c r="U232" s="4">
        <v>51.8</v>
      </c>
      <c r="V232" s="5">
        <v>76.33</v>
      </c>
      <c r="W232" s="4">
        <v>55.65</v>
      </c>
      <c r="X232" s="4">
        <v>48.08</v>
      </c>
      <c r="Y232" s="4">
        <v>42.94</v>
      </c>
    </row>
    <row r="233" spans="1:25" ht="15" customHeight="1" x14ac:dyDescent="0.45">
      <c r="A233" s="3">
        <v>45923</v>
      </c>
      <c r="B233" s="4">
        <v>55.51</v>
      </c>
      <c r="C233" s="4">
        <v>42.17</v>
      </c>
      <c r="D233" s="4">
        <v>44.07</v>
      </c>
      <c r="E233" s="4">
        <v>51.51</v>
      </c>
      <c r="F233" s="6">
        <v>68.599999999999994</v>
      </c>
      <c r="G233" s="4">
        <v>36.17</v>
      </c>
      <c r="H233" s="4">
        <v>48.38</v>
      </c>
      <c r="I233" s="4">
        <v>56.87</v>
      </c>
      <c r="J233" s="5">
        <v>78.72</v>
      </c>
      <c r="K233" s="5">
        <v>76.260000000000005</v>
      </c>
      <c r="L233" s="4">
        <v>58.23</v>
      </c>
      <c r="M233" s="5">
        <v>71.59</v>
      </c>
      <c r="N233" s="4">
        <v>48.26</v>
      </c>
      <c r="O233" s="4">
        <v>43.25</v>
      </c>
      <c r="P233" s="4">
        <v>34.869999999999997</v>
      </c>
      <c r="Q233" s="4">
        <v>37.590000000000003</v>
      </c>
      <c r="R233" s="6">
        <v>63.09</v>
      </c>
      <c r="S233" s="4">
        <v>58.41</v>
      </c>
      <c r="T233" s="6">
        <v>65.12</v>
      </c>
      <c r="U233" s="4">
        <v>56.23</v>
      </c>
      <c r="V233" s="5">
        <v>76.61</v>
      </c>
      <c r="W233" s="4">
        <v>53.82</v>
      </c>
      <c r="X233" s="4">
        <v>53.4</v>
      </c>
      <c r="Y233" s="4">
        <v>52.18</v>
      </c>
    </row>
    <row r="234" spans="1:25" ht="15" customHeight="1" x14ac:dyDescent="0.45">
      <c r="A234" s="3">
        <v>45922</v>
      </c>
      <c r="B234" s="4">
        <v>59.79</v>
      </c>
      <c r="C234" s="4">
        <v>45.1</v>
      </c>
      <c r="D234" s="4">
        <v>48.08</v>
      </c>
      <c r="E234" s="4">
        <v>54.19</v>
      </c>
      <c r="F234" s="4">
        <v>55.91</v>
      </c>
      <c r="G234" s="4">
        <v>38.49</v>
      </c>
      <c r="H234" s="4">
        <v>49.66</v>
      </c>
      <c r="I234" s="4">
        <v>55.36</v>
      </c>
      <c r="J234" s="5">
        <v>76.86</v>
      </c>
      <c r="K234" s="5">
        <v>74.959999999999994</v>
      </c>
      <c r="L234" s="4">
        <v>58.57</v>
      </c>
      <c r="M234" s="5">
        <v>74.25</v>
      </c>
      <c r="N234" s="4">
        <v>42.02</v>
      </c>
      <c r="O234" s="4">
        <v>44.54</v>
      </c>
      <c r="P234" s="4">
        <v>39.39</v>
      </c>
      <c r="Q234" s="4">
        <v>37.72</v>
      </c>
      <c r="R234" s="6">
        <v>67.150000000000006</v>
      </c>
      <c r="S234" s="6">
        <v>65.36</v>
      </c>
      <c r="T234" s="6">
        <v>63.48</v>
      </c>
      <c r="U234" s="4">
        <v>54.08</v>
      </c>
      <c r="V234" s="5">
        <v>74.59</v>
      </c>
      <c r="W234" s="6">
        <v>63.1</v>
      </c>
      <c r="X234" s="6">
        <v>60.41</v>
      </c>
      <c r="Y234" s="4">
        <v>53.86</v>
      </c>
    </row>
    <row r="235" spans="1:25" ht="15" customHeight="1" x14ac:dyDescent="0.45">
      <c r="A235" s="3">
        <v>45919</v>
      </c>
      <c r="B235" s="4">
        <v>59.76</v>
      </c>
      <c r="C235" s="4">
        <v>46.89</v>
      </c>
      <c r="D235" s="4">
        <v>48.34</v>
      </c>
      <c r="E235" s="4">
        <v>53.43</v>
      </c>
      <c r="F235" s="4">
        <v>54.83</v>
      </c>
      <c r="G235" s="4">
        <v>41.99</v>
      </c>
      <c r="H235" s="4">
        <v>53.92</v>
      </c>
      <c r="I235" s="4">
        <v>52.59</v>
      </c>
      <c r="J235" s="5">
        <v>74.05</v>
      </c>
      <c r="K235" s="5">
        <v>72.459999999999994</v>
      </c>
      <c r="L235" s="4">
        <v>59.15</v>
      </c>
      <c r="M235" s="5">
        <v>73.73</v>
      </c>
      <c r="N235" s="4">
        <v>39.51</v>
      </c>
      <c r="O235" s="4">
        <v>46.41</v>
      </c>
      <c r="P235" s="4">
        <v>43.29</v>
      </c>
      <c r="Q235" s="4">
        <v>45.18</v>
      </c>
      <c r="R235" s="6">
        <v>67.45</v>
      </c>
      <c r="S235" s="6">
        <v>64.790000000000006</v>
      </c>
      <c r="T235" s="6">
        <v>60.89</v>
      </c>
      <c r="U235" s="6">
        <v>63.06</v>
      </c>
      <c r="V235" s="5">
        <v>72.08</v>
      </c>
      <c r="W235" s="6">
        <v>68.39</v>
      </c>
      <c r="X235" s="6">
        <v>66.42</v>
      </c>
      <c r="Y235" s="4">
        <v>56.91</v>
      </c>
    </row>
    <row r="236" spans="1:25" ht="15" customHeight="1" x14ac:dyDescent="0.45">
      <c r="A236" s="3">
        <v>45918</v>
      </c>
      <c r="B236" s="6">
        <v>63.08</v>
      </c>
      <c r="C236" s="4">
        <v>54.82</v>
      </c>
      <c r="D236" s="4">
        <v>56.27</v>
      </c>
      <c r="E236" s="6">
        <v>60.72</v>
      </c>
      <c r="F236" s="4">
        <v>51.29</v>
      </c>
      <c r="G236" s="4">
        <v>44.54</v>
      </c>
      <c r="H236" s="4">
        <v>57.18</v>
      </c>
      <c r="I236" s="4">
        <v>51.93</v>
      </c>
      <c r="J236" s="5">
        <v>76.94</v>
      </c>
      <c r="K236" s="6">
        <v>68.11</v>
      </c>
      <c r="L236" s="4">
        <v>59.34</v>
      </c>
      <c r="M236" s="5">
        <v>74.91</v>
      </c>
      <c r="N236" s="4">
        <v>45.26</v>
      </c>
      <c r="O236" s="4">
        <v>48.86</v>
      </c>
      <c r="P236" s="4">
        <v>54.95</v>
      </c>
      <c r="Q236" s="4">
        <v>46.1</v>
      </c>
      <c r="R236" s="6">
        <v>68.66</v>
      </c>
      <c r="S236" s="6">
        <v>67.7</v>
      </c>
      <c r="T236" s="6">
        <v>61.37</v>
      </c>
      <c r="U236" s="4">
        <v>58.8</v>
      </c>
      <c r="V236" s="5">
        <v>74.95</v>
      </c>
      <c r="W236" s="6">
        <v>69.849999999999994</v>
      </c>
      <c r="X236" s="6">
        <v>67.2</v>
      </c>
      <c r="Y236" s="6">
        <v>60.4</v>
      </c>
    </row>
    <row r="237" spans="1:25" ht="15" customHeight="1" x14ac:dyDescent="0.45">
      <c r="A237" s="3">
        <v>45917</v>
      </c>
      <c r="B237" s="4">
        <v>59.78</v>
      </c>
      <c r="C237" s="4">
        <v>52.34</v>
      </c>
      <c r="D237" s="4">
        <v>56.03</v>
      </c>
      <c r="E237" s="4">
        <v>54.83</v>
      </c>
      <c r="F237" s="4">
        <v>47.17</v>
      </c>
      <c r="G237" s="4">
        <v>46.84</v>
      </c>
      <c r="H237" s="6">
        <v>63.81</v>
      </c>
      <c r="I237" s="4">
        <v>51.58</v>
      </c>
      <c r="J237" s="5">
        <v>72.63</v>
      </c>
      <c r="K237" s="6">
        <v>64.760000000000005</v>
      </c>
      <c r="L237" s="6">
        <v>60.52</v>
      </c>
      <c r="M237" s="5">
        <v>72.739999999999995</v>
      </c>
      <c r="N237" s="4">
        <v>46.2</v>
      </c>
      <c r="O237" s="4">
        <v>51.48</v>
      </c>
      <c r="P237" s="4">
        <v>57.69</v>
      </c>
      <c r="Q237" s="4">
        <v>41.34</v>
      </c>
      <c r="R237" s="6">
        <v>67.760000000000005</v>
      </c>
      <c r="S237" s="6">
        <v>64.56</v>
      </c>
      <c r="T237" s="6">
        <v>61</v>
      </c>
      <c r="U237" s="4">
        <v>54.91</v>
      </c>
      <c r="V237" s="5">
        <v>71.11</v>
      </c>
      <c r="W237" s="6">
        <v>69.53</v>
      </c>
      <c r="X237" s="6">
        <v>62.11</v>
      </c>
      <c r="Y237" s="4">
        <v>57.23</v>
      </c>
    </row>
    <row r="238" spans="1:25" ht="15" customHeight="1" x14ac:dyDescent="0.45">
      <c r="A238" s="3">
        <v>45916</v>
      </c>
      <c r="B238" s="4">
        <v>59.46</v>
      </c>
      <c r="C238" s="4">
        <v>51.9</v>
      </c>
      <c r="D238" s="4">
        <v>54.28</v>
      </c>
      <c r="E238" s="4">
        <v>53.63</v>
      </c>
      <c r="F238" s="4">
        <v>54.31</v>
      </c>
      <c r="G238" s="4">
        <v>47.65</v>
      </c>
      <c r="H238" s="6">
        <v>68.53</v>
      </c>
      <c r="I238" s="4">
        <v>56.7</v>
      </c>
      <c r="J238" s="5">
        <v>80.599999999999994</v>
      </c>
      <c r="K238" s="6">
        <v>65.38</v>
      </c>
      <c r="L238" s="4">
        <v>59.89</v>
      </c>
      <c r="M238" s="5">
        <v>73.849999999999994</v>
      </c>
      <c r="N238" s="4">
        <v>46.82</v>
      </c>
      <c r="O238" s="6">
        <v>62.14</v>
      </c>
      <c r="P238" s="4">
        <v>58.4</v>
      </c>
      <c r="Q238" s="4">
        <v>39.92</v>
      </c>
      <c r="R238" s="5">
        <v>75.22</v>
      </c>
      <c r="S238" s="5">
        <v>70.72</v>
      </c>
      <c r="T238" s="5">
        <v>72.83</v>
      </c>
      <c r="U238" s="4">
        <v>56.89</v>
      </c>
      <c r="V238" s="5">
        <v>78.17</v>
      </c>
      <c r="W238" s="6">
        <v>66.989999999999995</v>
      </c>
      <c r="X238" s="6">
        <v>62.65</v>
      </c>
      <c r="Y238" s="4">
        <v>53.29</v>
      </c>
    </row>
    <row r="239" spans="1:25" ht="15" customHeight="1" x14ac:dyDescent="0.45">
      <c r="A239" s="3">
        <v>45915</v>
      </c>
      <c r="B239" s="6">
        <v>66.56</v>
      </c>
      <c r="C239" s="4">
        <v>56.42</v>
      </c>
      <c r="D239" s="4">
        <v>57.17</v>
      </c>
      <c r="E239" s="4">
        <v>58.9</v>
      </c>
      <c r="F239" s="4">
        <v>56.67</v>
      </c>
      <c r="G239" s="6">
        <v>60.8</v>
      </c>
      <c r="H239" s="6">
        <v>67.8</v>
      </c>
      <c r="I239" s="4">
        <v>47.63</v>
      </c>
      <c r="J239" s="5">
        <v>76.72</v>
      </c>
      <c r="K239" s="6">
        <v>67.75</v>
      </c>
      <c r="L239" s="4">
        <v>55.68</v>
      </c>
      <c r="M239" s="5">
        <v>73.599999999999994</v>
      </c>
      <c r="N239" s="4">
        <v>46.57</v>
      </c>
      <c r="O239" s="4">
        <v>59.54</v>
      </c>
      <c r="P239" s="4">
        <v>57.21</v>
      </c>
      <c r="Q239" s="4">
        <v>41.99</v>
      </c>
      <c r="R239" s="5">
        <v>76.91</v>
      </c>
      <c r="S239" s="5">
        <v>74.05</v>
      </c>
      <c r="T239" s="5">
        <v>77.010000000000005</v>
      </c>
      <c r="U239" s="4">
        <v>56.06</v>
      </c>
      <c r="V239" s="5">
        <v>74.22</v>
      </c>
      <c r="W239" s="5">
        <v>75.66</v>
      </c>
      <c r="X239" s="6">
        <v>64.290000000000006</v>
      </c>
      <c r="Y239" s="4">
        <v>51.84</v>
      </c>
    </row>
    <row r="240" spans="1:25" ht="15" customHeight="1" x14ac:dyDescent="0.45">
      <c r="A240" s="3">
        <v>45912</v>
      </c>
      <c r="B240" s="6">
        <v>64.95</v>
      </c>
      <c r="C240" s="4">
        <v>56.92</v>
      </c>
      <c r="D240" s="4">
        <v>57.31</v>
      </c>
      <c r="E240" s="4">
        <v>55.77</v>
      </c>
      <c r="F240" s="4">
        <v>57.34</v>
      </c>
      <c r="G240" s="6">
        <v>60.59</v>
      </c>
      <c r="H240" s="6">
        <v>67.599999999999994</v>
      </c>
      <c r="I240" s="4">
        <v>52.88</v>
      </c>
      <c r="J240" s="5">
        <v>75.42</v>
      </c>
      <c r="K240" s="6">
        <v>61.76</v>
      </c>
      <c r="L240" s="6">
        <v>66.31</v>
      </c>
      <c r="M240" s="6">
        <v>64.790000000000006</v>
      </c>
      <c r="N240" s="4">
        <v>46.82</v>
      </c>
      <c r="O240" s="4">
        <v>57.47</v>
      </c>
      <c r="P240" s="5">
        <v>70.03</v>
      </c>
      <c r="Q240" s="4">
        <v>43.89</v>
      </c>
      <c r="R240" s="5">
        <v>73.59</v>
      </c>
      <c r="S240" s="6">
        <v>69.2</v>
      </c>
      <c r="T240" s="5">
        <v>75.88</v>
      </c>
      <c r="U240" s="4">
        <v>59.85</v>
      </c>
      <c r="V240" s="5">
        <v>74.150000000000006</v>
      </c>
      <c r="W240" s="5">
        <v>74.34</v>
      </c>
      <c r="X240" s="6">
        <v>68.28</v>
      </c>
      <c r="Y240" s="4">
        <v>56.86</v>
      </c>
    </row>
    <row r="241" spans="1:25" ht="15" customHeight="1" x14ac:dyDescent="0.45">
      <c r="A241" s="3">
        <v>45911</v>
      </c>
      <c r="B241" s="6">
        <v>61.63</v>
      </c>
      <c r="C241" s="4">
        <v>55.62</v>
      </c>
      <c r="D241" s="4">
        <v>55.83</v>
      </c>
      <c r="E241" s="4">
        <v>56.04</v>
      </c>
      <c r="F241" s="4">
        <v>55.59</v>
      </c>
      <c r="G241" s="6">
        <v>62.13</v>
      </c>
      <c r="H241" s="4">
        <v>57.74</v>
      </c>
      <c r="I241" s="4">
        <v>54.03</v>
      </c>
      <c r="J241" s="6">
        <v>69.59</v>
      </c>
      <c r="K241" s="4">
        <v>58.78</v>
      </c>
      <c r="L241" s="6">
        <v>68.55</v>
      </c>
      <c r="M241" s="6">
        <v>66.78</v>
      </c>
      <c r="N241" s="4">
        <v>49.92</v>
      </c>
      <c r="O241" s="6">
        <v>60.37</v>
      </c>
      <c r="P241" s="6">
        <v>66.69</v>
      </c>
      <c r="Q241" s="4">
        <v>47.23</v>
      </c>
      <c r="R241" s="5">
        <v>71.97</v>
      </c>
      <c r="S241" s="6">
        <v>68.900000000000006</v>
      </c>
      <c r="T241" s="5">
        <v>76</v>
      </c>
      <c r="U241" s="6">
        <v>63.32</v>
      </c>
      <c r="V241" s="6">
        <v>69.59</v>
      </c>
      <c r="W241" s="5">
        <v>71.92</v>
      </c>
      <c r="X241" s="4">
        <v>57.95</v>
      </c>
      <c r="Y241" s="4">
        <v>51.36</v>
      </c>
    </row>
    <row r="242" spans="1:25" ht="15" customHeight="1" x14ac:dyDescent="0.45">
      <c r="A242" s="3">
        <v>45910</v>
      </c>
      <c r="B242" s="4">
        <v>48.86</v>
      </c>
      <c r="C242" s="4">
        <v>52.56</v>
      </c>
      <c r="D242" s="4">
        <v>53.74</v>
      </c>
      <c r="E242" s="4">
        <v>52.99</v>
      </c>
      <c r="F242" s="4">
        <v>53.52</v>
      </c>
      <c r="G242" s="6">
        <v>61.88</v>
      </c>
      <c r="H242" s="4">
        <v>54.69</v>
      </c>
      <c r="I242" s="4">
        <v>55.11</v>
      </c>
      <c r="J242" s="6">
        <v>66.83</v>
      </c>
      <c r="K242" s="4">
        <v>59.93</v>
      </c>
      <c r="L242" s="6">
        <v>63.25</v>
      </c>
      <c r="M242" s="6">
        <v>62.47</v>
      </c>
      <c r="N242" s="4">
        <v>56.28</v>
      </c>
      <c r="O242" s="6">
        <v>60.72</v>
      </c>
      <c r="P242" s="6">
        <v>66.34</v>
      </c>
      <c r="Q242" s="4">
        <v>34.950000000000003</v>
      </c>
      <c r="R242" s="5">
        <v>71.650000000000006</v>
      </c>
      <c r="S242" s="5">
        <v>74.27</v>
      </c>
      <c r="T242" s="5">
        <v>74.83</v>
      </c>
      <c r="U242" s="6">
        <v>60.8</v>
      </c>
      <c r="V242" s="6">
        <v>65.97</v>
      </c>
      <c r="W242" s="5">
        <v>71.010000000000005</v>
      </c>
      <c r="X242" s="4">
        <v>57.93</v>
      </c>
      <c r="Y242" s="4">
        <v>55.18</v>
      </c>
    </row>
    <row r="243" spans="1:25" ht="15" customHeight="1" x14ac:dyDescent="0.45">
      <c r="A243" s="3">
        <v>45909</v>
      </c>
      <c r="B243" s="4">
        <v>47.89</v>
      </c>
      <c r="C243" s="4">
        <v>53.53</v>
      </c>
      <c r="D243" s="4">
        <v>52.01</v>
      </c>
      <c r="E243" s="4">
        <v>53.75</v>
      </c>
      <c r="F243" s="4">
        <v>54.99</v>
      </c>
      <c r="G243" s="4">
        <v>54.44</v>
      </c>
      <c r="H243" s="4">
        <v>50.74</v>
      </c>
      <c r="I243" s="4">
        <v>52.22</v>
      </c>
      <c r="J243" s="6">
        <v>61.14</v>
      </c>
      <c r="K243" s="4">
        <v>57.15</v>
      </c>
      <c r="L243" s="6">
        <v>60.24</v>
      </c>
      <c r="M243" s="4">
        <v>57.57</v>
      </c>
      <c r="N243" s="4">
        <v>52.59</v>
      </c>
      <c r="O243" s="4">
        <v>54.24</v>
      </c>
      <c r="P243" s="4">
        <v>59.76</v>
      </c>
      <c r="Q243" s="4">
        <v>34.51</v>
      </c>
      <c r="R243" s="6">
        <v>65.010000000000005</v>
      </c>
      <c r="S243" s="6">
        <v>69.86</v>
      </c>
      <c r="T243" s="5">
        <v>71.989999999999995</v>
      </c>
      <c r="U243" s="4">
        <v>57.92</v>
      </c>
      <c r="V243" s="6">
        <v>60.97</v>
      </c>
      <c r="W243" s="5">
        <v>70.84</v>
      </c>
      <c r="X243" s="4">
        <v>55.15</v>
      </c>
      <c r="Y243" s="4">
        <v>53.78</v>
      </c>
    </row>
    <row r="244" spans="1:25" ht="15" customHeight="1" x14ac:dyDescent="0.45">
      <c r="A244" s="3">
        <v>45908</v>
      </c>
      <c r="B244" s="4">
        <v>51.28</v>
      </c>
      <c r="C244" s="4">
        <v>48.8</v>
      </c>
      <c r="D244" s="4">
        <v>47.43</v>
      </c>
      <c r="E244" s="4">
        <v>46.39</v>
      </c>
      <c r="F244" s="4">
        <v>54.2</v>
      </c>
      <c r="G244" s="4">
        <v>54.04</v>
      </c>
      <c r="H244" s="4">
        <v>49.91</v>
      </c>
      <c r="I244" s="4">
        <v>50.52</v>
      </c>
      <c r="J244" s="4">
        <v>54.52</v>
      </c>
      <c r="K244" s="4">
        <v>54.17</v>
      </c>
      <c r="L244" s="6">
        <v>63.74</v>
      </c>
      <c r="M244" s="4">
        <v>53.92</v>
      </c>
      <c r="N244" s="4">
        <v>49.79</v>
      </c>
      <c r="O244" s="4">
        <v>58.26</v>
      </c>
      <c r="P244" s="4">
        <v>59.42</v>
      </c>
      <c r="Q244" s="4">
        <v>38.700000000000003</v>
      </c>
      <c r="R244" s="4">
        <v>57.08</v>
      </c>
      <c r="S244" s="4">
        <v>57.4</v>
      </c>
      <c r="T244" s="6">
        <v>66.790000000000006</v>
      </c>
      <c r="U244" s="6">
        <v>61</v>
      </c>
      <c r="V244" s="4">
        <v>56.39</v>
      </c>
      <c r="W244" s="5">
        <v>75.150000000000006</v>
      </c>
      <c r="X244" s="4">
        <v>51.12</v>
      </c>
      <c r="Y244" s="4">
        <v>56.59</v>
      </c>
    </row>
    <row r="245" spans="1:25" ht="15" customHeight="1" x14ac:dyDescent="0.45">
      <c r="A245" s="3">
        <v>45905</v>
      </c>
      <c r="B245" s="4">
        <v>53.98</v>
      </c>
      <c r="C245" s="4">
        <v>48</v>
      </c>
      <c r="D245" s="4">
        <v>45.04</v>
      </c>
      <c r="E245" s="4">
        <v>44.31</v>
      </c>
      <c r="F245" s="4">
        <v>51.93</v>
      </c>
      <c r="G245" s="4">
        <v>43.25</v>
      </c>
      <c r="H245" s="4">
        <v>47.34</v>
      </c>
      <c r="I245" s="4">
        <v>51.94</v>
      </c>
      <c r="J245" s="4">
        <v>52.17</v>
      </c>
      <c r="K245" s="4">
        <v>46.74</v>
      </c>
      <c r="L245" s="6">
        <v>62.83</v>
      </c>
      <c r="M245" s="4">
        <v>54.25</v>
      </c>
      <c r="N245" s="4">
        <v>44.81</v>
      </c>
      <c r="O245" s="4">
        <v>54.06</v>
      </c>
      <c r="P245" s="4">
        <v>58.88</v>
      </c>
      <c r="Q245" s="4">
        <v>41.76</v>
      </c>
      <c r="R245" s="4">
        <v>55.84</v>
      </c>
      <c r="S245" s="4">
        <v>50.2</v>
      </c>
      <c r="T245" s="6">
        <v>66.17</v>
      </c>
      <c r="U245" s="6">
        <v>60.93</v>
      </c>
      <c r="V245" s="4">
        <v>54.3</v>
      </c>
      <c r="W245" s="6">
        <v>67.569999999999993</v>
      </c>
      <c r="X245" s="4">
        <v>48.19</v>
      </c>
      <c r="Y245" s="4">
        <v>54.18</v>
      </c>
    </row>
    <row r="246" spans="1:25" ht="15" customHeight="1" x14ac:dyDescent="0.45">
      <c r="A246" s="3">
        <v>45904</v>
      </c>
      <c r="B246" s="4">
        <v>55.81</v>
      </c>
      <c r="C246" s="4">
        <v>43.11</v>
      </c>
      <c r="D246" s="4">
        <v>46.14</v>
      </c>
      <c r="E246" s="4">
        <v>44.57</v>
      </c>
      <c r="F246" s="4">
        <v>49.35</v>
      </c>
      <c r="G246" s="4">
        <v>44.45</v>
      </c>
      <c r="H246" s="4">
        <v>50.34</v>
      </c>
      <c r="I246" s="4">
        <v>52.98</v>
      </c>
      <c r="J246" s="4">
        <v>51.75</v>
      </c>
      <c r="K246" s="4">
        <v>47.72</v>
      </c>
      <c r="L246" s="6">
        <v>66.84</v>
      </c>
      <c r="M246" s="4">
        <v>53.47</v>
      </c>
      <c r="N246" s="4">
        <v>48.39</v>
      </c>
      <c r="O246" s="4">
        <v>51.24</v>
      </c>
      <c r="P246" s="4">
        <v>54.73</v>
      </c>
      <c r="Q246" s="4">
        <v>39.700000000000003</v>
      </c>
      <c r="R246" s="4">
        <v>53.16</v>
      </c>
      <c r="S246" s="4">
        <v>50.42</v>
      </c>
      <c r="T246" s="6">
        <v>64.11</v>
      </c>
      <c r="U246" s="4">
        <v>54.33</v>
      </c>
      <c r="V246" s="4">
        <v>54.93</v>
      </c>
      <c r="W246" s="6">
        <v>63.24</v>
      </c>
      <c r="X246" s="4">
        <v>46.68</v>
      </c>
      <c r="Y246" s="4">
        <v>49.42</v>
      </c>
    </row>
    <row r="247" spans="1:25" ht="15" customHeight="1" x14ac:dyDescent="0.45">
      <c r="A247" s="3">
        <v>45903</v>
      </c>
      <c r="B247" s="4">
        <v>54.37</v>
      </c>
      <c r="C247" s="4">
        <v>36.53</v>
      </c>
      <c r="D247" s="4">
        <v>43.09</v>
      </c>
      <c r="E247" s="4">
        <v>35.340000000000003</v>
      </c>
      <c r="F247" s="4">
        <v>48.36</v>
      </c>
      <c r="G247" s="4">
        <v>35.78</v>
      </c>
      <c r="H247" s="4">
        <v>47.93</v>
      </c>
      <c r="I247" s="4">
        <v>51.99</v>
      </c>
      <c r="J247" s="4">
        <v>50.04</v>
      </c>
      <c r="K247" s="4">
        <v>38.619999999999997</v>
      </c>
      <c r="L247" s="6">
        <v>67.06</v>
      </c>
      <c r="M247" s="4">
        <v>47.33</v>
      </c>
      <c r="N247" s="4">
        <v>44.68</v>
      </c>
      <c r="O247" s="4">
        <v>45.83</v>
      </c>
      <c r="P247" s="4">
        <v>53.1</v>
      </c>
      <c r="Q247" s="4">
        <v>33.79</v>
      </c>
      <c r="R247" s="4">
        <v>52.9</v>
      </c>
      <c r="S247" s="4">
        <v>47.59</v>
      </c>
      <c r="T247" s="6">
        <v>64.900000000000006</v>
      </c>
      <c r="U247" s="4">
        <v>51.56</v>
      </c>
      <c r="V247" s="4">
        <v>52.93</v>
      </c>
      <c r="W247" s="6">
        <v>60.77</v>
      </c>
      <c r="X247" s="4">
        <v>40.01</v>
      </c>
      <c r="Y247" s="4">
        <v>47.75</v>
      </c>
    </row>
    <row r="248" spans="1:25" ht="15" customHeight="1" x14ac:dyDescent="0.45">
      <c r="A248" s="3">
        <v>45902</v>
      </c>
      <c r="B248" s="4">
        <v>54.66</v>
      </c>
      <c r="C248" s="4">
        <v>33.18</v>
      </c>
      <c r="D248" s="4">
        <v>38.340000000000003</v>
      </c>
      <c r="E248" s="4">
        <v>35.700000000000003</v>
      </c>
      <c r="F248" s="4">
        <v>41.62</v>
      </c>
      <c r="G248" s="4">
        <v>38.729999999999997</v>
      </c>
      <c r="H248" s="4">
        <v>38.24</v>
      </c>
      <c r="I248" s="4">
        <v>48.81</v>
      </c>
      <c r="J248" s="4">
        <v>47.43</v>
      </c>
      <c r="K248" s="4">
        <v>36.85</v>
      </c>
      <c r="L248" s="6">
        <v>68.900000000000006</v>
      </c>
      <c r="M248" s="4">
        <v>43.2</v>
      </c>
      <c r="N248" s="4">
        <v>44.51</v>
      </c>
      <c r="O248" s="4">
        <v>43.26</v>
      </c>
      <c r="P248" s="4">
        <v>55.4</v>
      </c>
      <c r="Q248" s="7">
        <v>29.29</v>
      </c>
      <c r="R248" s="4">
        <v>54.04</v>
      </c>
      <c r="S248" s="4">
        <v>48.2</v>
      </c>
      <c r="T248" s="5">
        <v>71.02</v>
      </c>
      <c r="U248" s="4">
        <v>48.08</v>
      </c>
      <c r="V248" s="4">
        <v>50.38</v>
      </c>
      <c r="W248" s="4">
        <v>59.74</v>
      </c>
      <c r="X248" s="4">
        <v>42.03</v>
      </c>
      <c r="Y248" s="4">
        <v>46.27</v>
      </c>
    </row>
    <row r="249" spans="1:25" ht="15" customHeight="1" x14ac:dyDescent="0.45">
      <c r="A249" s="3">
        <v>45901</v>
      </c>
      <c r="B249" s="4">
        <v>57.57</v>
      </c>
      <c r="C249" s="4">
        <v>33.57</v>
      </c>
      <c r="D249" s="4">
        <v>39.81</v>
      </c>
      <c r="E249" s="4">
        <v>36.229999999999997</v>
      </c>
      <c r="F249" s="4">
        <v>38.96</v>
      </c>
      <c r="G249" s="4">
        <v>38.04</v>
      </c>
      <c r="H249" s="4">
        <v>36.94</v>
      </c>
      <c r="I249" s="4">
        <v>46.23</v>
      </c>
      <c r="J249" s="4">
        <v>41.43</v>
      </c>
      <c r="K249" s="4">
        <v>35.64</v>
      </c>
      <c r="L249" s="6">
        <v>65.239999999999995</v>
      </c>
      <c r="M249" s="4">
        <v>43.87</v>
      </c>
      <c r="N249" s="4">
        <v>42.77</v>
      </c>
      <c r="O249" s="4">
        <v>43.31</v>
      </c>
      <c r="P249" s="4">
        <v>54.03</v>
      </c>
      <c r="Q249" s="4">
        <v>35.799999999999997</v>
      </c>
      <c r="R249" s="4">
        <v>51.96</v>
      </c>
      <c r="S249" s="4">
        <v>49.65</v>
      </c>
      <c r="T249" s="6">
        <v>65.14</v>
      </c>
      <c r="U249" s="4">
        <v>49.65</v>
      </c>
      <c r="V249" s="4">
        <v>44.79</v>
      </c>
      <c r="W249" s="4">
        <v>54.85</v>
      </c>
      <c r="X249" s="4">
        <v>40.43</v>
      </c>
      <c r="Y249" s="4">
        <v>49.64</v>
      </c>
    </row>
    <row r="250" spans="1:25" ht="15" customHeight="1" x14ac:dyDescent="0.45">
      <c r="A250" s="3">
        <v>45898</v>
      </c>
      <c r="B250" s="4">
        <v>54.2</v>
      </c>
      <c r="C250" s="4">
        <v>37.97</v>
      </c>
      <c r="D250" s="4">
        <v>37.729999999999997</v>
      </c>
      <c r="E250" s="4">
        <v>40.98</v>
      </c>
      <c r="F250" s="4">
        <v>39.64</v>
      </c>
      <c r="G250" s="4">
        <v>42.49</v>
      </c>
      <c r="H250" s="4">
        <v>39.46</v>
      </c>
      <c r="I250" s="4">
        <v>51.73</v>
      </c>
      <c r="J250" s="4">
        <v>51.26</v>
      </c>
      <c r="K250" s="4">
        <v>44.59</v>
      </c>
      <c r="L250" s="6">
        <v>63.96</v>
      </c>
      <c r="M250" s="4">
        <v>47.47</v>
      </c>
      <c r="N250" s="4">
        <v>42.04</v>
      </c>
      <c r="O250" s="4">
        <v>44.73</v>
      </c>
      <c r="P250" s="4">
        <v>52.28</v>
      </c>
      <c r="Q250" s="4">
        <v>39.619999999999997</v>
      </c>
      <c r="R250" s="4">
        <v>54.1</v>
      </c>
      <c r="S250" s="4">
        <v>53.04</v>
      </c>
      <c r="T250" s="6">
        <v>61.56</v>
      </c>
      <c r="U250" s="4">
        <v>55.94</v>
      </c>
      <c r="V250" s="4">
        <v>52.42</v>
      </c>
      <c r="W250" s="4">
        <v>49.98</v>
      </c>
      <c r="X250" s="4">
        <v>43.6</v>
      </c>
      <c r="Y250" s="4">
        <v>52.5</v>
      </c>
    </row>
    <row r="251" spans="1:25" ht="15" customHeight="1" x14ac:dyDescent="0.45">
      <c r="A251" s="3">
        <v>45897</v>
      </c>
      <c r="B251" s="4">
        <v>58.72</v>
      </c>
      <c r="C251" s="4">
        <v>39.15</v>
      </c>
      <c r="D251" s="4">
        <v>41.44</v>
      </c>
      <c r="E251" s="4">
        <v>43.48</v>
      </c>
      <c r="F251" s="4">
        <v>45.29</v>
      </c>
      <c r="G251" s="4">
        <v>43.03</v>
      </c>
      <c r="H251" s="4">
        <v>38.99</v>
      </c>
      <c r="I251" s="4">
        <v>52.32</v>
      </c>
      <c r="J251" s="4">
        <v>52.84</v>
      </c>
      <c r="K251" s="4">
        <v>46.76</v>
      </c>
      <c r="L251" s="6">
        <v>62.06</v>
      </c>
      <c r="M251" s="4">
        <v>50.02</v>
      </c>
      <c r="N251" s="4">
        <v>44.89</v>
      </c>
      <c r="O251" s="4">
        <v>42.65</v>
      </c>
      <c r="P251" s="4">
        <v>46.34</v>
      </c>
      <c r="Q251" s="4">
        <v>41.53</v>
      </c>
      <c r="R251" s="4">
        <v>55.73</v>
      </c>
      <c r="S251" s="4">
        <v>53.74</v>
      </c>
      <c r="T251" s="6">
        <v>64.2</v>
      </c>
      <c r="U251" s="4">
        <v>57.8</v>
      </c>
      <c r="V251" s="4">
        <v>53.8</v>
      </c>
      <c r="W251" s="4">
        <v>55.19</v>
      </c>
      <c r="X251" s="4">
        <v>46.78</v>
      </c>
      <c r="Y251" s="4">
        <v>53.65</v>
      </c>
    </row>
    <row r="252" spans="1:25" ht="15" customHeight="1" x14ac:dyDescent="0.45">
      <c r="A252" s="3">
        <v>45896</v>
      </c>
      <c r="B252" s="4">
        <v>53.55</v>
      </c>
      <c r="C252" s="4">
        <v>40.25</v>
      </c>
      <c r="D252" s="4">
        <v>35.15</v>
      </c>
      <c r="E252" s="4">
        <v>44.1</v>
      </c>
      <c r="F252" s="4">
        <v>45.67</v>
      </c>
      <c r="G252" s="4">
        <v>39.520000000000003</v>
      </c>
      <c r="H252" s="4">
        <v>40.700000000000003</v>
      </c>
      <c r="I252" s="4">
        <v>52.57</v>
      </c>
      <c r="J252" s="4">
        <v>54.45</v>
      </c>
      <c r="K252" s="4">
        <v>44.86</v>
      </c>
      <c r="L252" s="6">
        <v>63</v>
      </c>
      <c r="M252" s="4">
        <v>44.81</v>
      </c>
      <c r="N252" s="4">
        <v>45.19</v>
      </c>
      <c r="O252" s="4">
        <v>41.34</v>
      </c>
      <c r="P252" s="4">
        <v>45.1</v>
      </c>
      <c r="Q252" s="4">
        <v>44.53</v>
      </c>
      <c r="R252" s="4">
        <v>47.11</v>
      </c>
      <c r="S252" s="4">
        <v>44.17</v>
      </c>
      <c r="T252" s="4">
        <v>57.2</v>
      </c>
      <c r="U252" s="6">
        <v>60.24</v>
      </c>
      <c r="V252" s="4">
        <v>55.12</v>
      </c>
      <c r="W252" s="4">
        <v>50.64</v>
      </c>
      <c r="X252" s="4">
        <v>48.6</v>
      </c>
      <c r="Y252" s="4">
        <v>58.04</v>
      </c>
    </row>
    <row r="253" spans="1:25" ht="15" customHeight="1" x14ac:dyDescent="0.45">
      <c r="A253" s="3">
        <v>45895</v>
      </c>
      <c r="B253" s="4">
        <v>52.86</v>
      </c>
      <c r="C253" s="4">
        <v>41.69</v>
      </c>
      <c r="D253" s="4">
        <v>35.78</v>
      </c>
      <c r="E253" s="4">
        <v>46.68</v>
      </c>
      <c r="F253" s="4">
        <v>46.71</v>
      </c>
      <c r="G253" s="4">
        <v>39.61</v>
      </c>
      <c r="H253" s="4">
        <v>43.21</v>
      </c>
      <c r="I253" s="4">
        <v>52.29</v>
      </c>
      <c r="J253" s="4">
        <v>55.07</v>
      </c>
      <c r="K253" s="4">
        <v>45.19</v>
      </c>
      <c r="L253" s="4">
        <v>56.02</v>
      </c>
      <c r="M253" s="4">
        <v>47.21</v>
      </c>
      <c r="N253" s="4">
        <v>44.52</v>
      </c>
      <c r="O253" s="4">
        <v>40.369999999999997</v>
      </c>
      <c r="P253" s="4">
        <v>45.31</v>
      </c>
      <c r="Q253" s="4">
        <v>50.34</v>
      </c>
      <c r="R253" s="4">
        <v>45.37</v>
      </c>
      <c r="S253" s="4">
        <v>43.9</v>
      </c>
      <c r="T253" s="4">
        <v>57.05</v>
      </c>
      <c r="U253" s="4">
        <v>57.77</v>
      </c>
      <c r="V253" s="4">
        <v>53.9</v>
      </c>
      <c r="W253" s="4">
        <v>55.24</v>
      </c>
      <c r="X253" s="4">
        <v>51.06</v>
      </c>
      <c r="Y253" s="6">
        <v>61.43</v>
      </c>
    </row>
    <row r="254" spans="1:25" ht="15" customHeight="1" x14ac:dyDescent="0.45">
      <c r="A254" s="3">
        <v>45894</v>
      </c>
      <c r="B254" s="4">
        <v>48.95</v>
      </c>
      <c r="C254" s="4">
        <v>34.979999999999997</v>
      </c>
      <c r="D254" s="4">
        <v>36.56</v>
      </c>
      <c r="E254" s="4">
        <v>48.28</v>
      </c>
      <c r="F254" s="4">
        <v>49.41</v>
      </c>
      <c r="G254" s="4">
        <v>41.7</v>
      </c>
      <c r="H254" s="4">
        <v>47.55</v>
      </c>
      <c r="I254" s="4">
        <v>56.23</v>
      </c>
      <c r="J254" s="4">
        <v>57.51</v>
      </c>
      <c r="K254" s="4">
        <v>45.6</v>
      </c>
      <c r="L254" s="6">
        <v>61.99</v>
      </c>
      <c r="M254" s="4">
        <v>49.82</v>
      </c>
      <c r="N254" s="4">
        <v>49.92</v>
      </c>
      <c r="O254" s="4">
        <v>47.28</v>
      </c>
      <c r="P254" s="4">
        <v>53.59</v>
      </c>
      <c r="Q254" s="4">
        <v>49.4</v>
      </c>
      <c r="R254" s="4">
        <v>50.13</v>
      </c>
      <c r="S254" s="4">
        <v>46.93</v>
      </c>
      <c r="T254" s="6">
        <v>61.06</v>
      </c>
      <c r="U254" s="4">
        <v>58.51</v>
      </c>
      <c r="V254" s="4">
        <v>57.87</v>
      </c>
      <c r="W254" s="4">
        <v>52.66</v>
      </c>
      <c r="X254" s="4">
        <v>51.14</v>
      </c>
      <c r="Y254" s="4">
        <v>58.55</v>
      </c>
    </row>
    <row r="255" spans="1:25" ht="15" customHeight="1" x14ac:dyDescent="0.45">
      <c r="A255" s="3">
        <v>45891</v>
      </c>
      <c r="B255" s="4">
        <v>47.3</v>
      </c>
      <c r="C255" s="4">
        <v>32.54</v>
      </c>
      <c r="D255" s="4">
        <v>35.83</v>
      </c>
      <c r="E255" s="4">
        <v>43.18</v>
      </c>
      <c r="F255" s="4">
        <v>47.99</v>
      </c>
      <c r="G255" s="4">
        <v>43.59</v>
      </c>
      <c r="H255" s="4">
        <v>44.81</v>
      </c>
      <c r="I255" s="4">
        <v>49.81</v>
      </c>
      <c r="J255" s="4">
        <v>53.09</v>
      </c>
      <c r="K255" s="4">
        <v>42.93</v>
      </c>
      <c r="L255" s="6">
        <v>60.23</v>
      </c>
      <c r="M255" s="4">
        <v>46.06</v>
      </c>
      <c r="N255" s="4">
        <v>51.22</v>
      </c>
      <c r="O255" s="4">
        <v>43.72</v>
      </c>
      <c r="P255" s="4">
        <v>50.69</v>
      </c>
      <c r="Q255" s="4">
        <v>49.26</v>
      </c>
      <c r="R255" s="4">
        <v>44.56</v>
      </c>
      <c r="S255" s="4">
        <v>39.119999999999997</v>
      </c>
      <c r="T255" s="6">
        <v>60.19</v>
      </c>
      <c r="U255" s="4">
        <v>51.81</v>
      </c>
      <c r="V255" s="4">
        <v>53.13</v>
      </c>
      <c r="W255" s="4">
        <v>50.18</v>
      </c>
      <c r="X255" s="4">
        <v>44.77</v>
      </c>
      <c r="Y255" s="4">
        <v>54.08</v>
      </c>
    </row>
    <row r="256" spans="1:25" ht="15" customHeight="1" x14ac:dyDescent="0.45">
      <c r="A256" s="3">
        <v>45890</v>
      </c>
      <c r="B256" s="4">
        <v>44.76</v>
      </c>
      <c r="C256" s="4">
        <v>33.53</v>
      </c>
      <c r="D256" s="4">
        <v>32.57</v>
      </c>
      <c r="E256" s="4">
        <v>44.89</v>
      </c>
      <c r="F256" s="4">
        <v>42.89</v>
      </c>
      <c r="G256" s="4">
        <v>42.78</v>
      </c>
      <c r="H256" s="4">
        <v>40.25</v>
      </c>
      <c r="I256" s="4">
        <v>49.15</v>
      </c>
      <c r="J256" s="4">
        <v>49.03</v>
      </c>
      <c r="K256" s="4">
        <v>45.98</v>
      </c>
      <c r="L256" s="4">
        <v>53.99</v>
      </c>
      <c r="M256" s="4">
        <v>40.6</v>
      </c>
      <c r="N256" s="4">
        <v>49.72</v>
      </c>
      <c r="O256" s="4">
        <v>41.49</v>
      </c>
      <c r="P256" s="4">
        <v>52.43</v>
      </c>
      <c r="Q256" s="4">
        <v>51.03</v>
      </c>
      <c r="R256" s="4">
        <v>44.11</v>
      </c>
      <c r="S256" s="4">
        <v>37.96</v>
      </c>
      <c r="T256" s="4">
        <v>59.73</v>
      </c>
      <c r="U256" s="4">
        <v>49.56</v>
      </c>
      <c r="V256" s="4">
        <v>48.02</v>
      </c>
      <c r="W256" s="4">
        <v>48.47</v>
      </c>
      <c r="X256" s="4">
        <v>45.41</v>
      </c>
      <c r="Y256" s="4">
        <v>58.14</v>
      </c>
    </row>
    <row r="257" spans="1:25" ht="15" customHeight="1" x14ac:dyDescent="0.45">
      <c r="A257" s="3">
        <v>45889</v>
      </c>
      <c r="B257" s="4">
        <v>42.42</v>
      </c>
      <c r="C257" s="7">
        <v>26.66</v>
      </c>
      <c r="D257" s="7">
        <v>28.01</v>
      </c>
      <c r="E257" s="4">
        <v>39.4</v>
      </c>
      <c r="F257" s="4">
        <v>43.62</v>
      </c>
      <c r="G257" s="4">
        <v>39.020000000000003</v>
      </c>
      <c r="H257" s="4">
        <v>36.57</v>
      </c>
      <c r="I257" s="4">
        <v>42.13</v>
      </c>
      <c r="J257" s="4">
        <v>51.89</v>
      </c>
      <c r="K257" s="4">
        <v>43.94</v>
      </c>
      <c r="L257" s="4">
        <v>47.78</v>
      </c>
      <c r="M257" s="4">
        <v>37.32</v>
      </c>
      <c r="N257" s="4">
        <v>45.83</v>
      </c>
      <c r="O257" s="4">
        <v>30.77</v>
      </c>
      <c r="P257" s="4">
        <v>55.59</v>
      </c>
      <c r="Q257" s="4">
        <v>54.21</v>
      </c>
      <c r="R257" s="4">
        <v>40.729999999999997</v>
      </c>
      <c r="S257" s="4">
        <v>37.29</v>
      </c>
      <c r="T257" s="4">
        <v>52.3</v>
      </c>
      <c r="U257" s="4">
        <v>44.38</v>
      </c>
      <c r="V257" s="4">
        <v>47.03</v>
      </c>
      <c r="W257" s="4">
        <v>46.19</v>
      </c>
      <c r="X257" s="4">
        <v>46.77</v>
      </c>
      <c r="Y257" s="4">
        <v>56.32</v>
      </c>
    </row>
    <row r="258" spans="1:25" ht="15" customHeight="1" x14ac:dyDescent="0.45">
      <c r="A258" s="3">
        <v>45888</v>
      </c>
      <c r="B258" s="4">
        <v>40.22</v>
      </c>
      <c r="C258" s="7">
        <v>24.31</v>
      </c>
      <c r="D258" s="7">
        <v>29.96</v>
      </c>
      <c r="E258" s="4">
        <v>40.28</v>
      </c>
      <c r="F258" s="4">
        <v>45.33</v>
      </c>
      <c r="G258" s="4">
        <v>41.44</v>
      </c>
      <c r="H258" s="4">
        <v>38.67</v>
      </c>
      <c r="I258" s="4">
        <v>45.88</v>
      </c>
      <c r="J258" s="4">
        <v>54.86</v>
      </c>
      <c r="K258" s="4">
        <v>48.21</v>
      </c>
      <c r="L258" s="4">
        <v>47.8</v>
      </c>
      <c r="M258" s="4">
        <v>37.89</v>
      </c>
      <c r="N258" s="4">
        <v>45.59</v>
      </c>
      <c r="O258" s="4">
        <v>33.99</v>
      </c>
      <c r="P258" s="4">
        <v>57.05</v>
      </c>
      <c r="Q258" s="4">
        <v>55.4</v>
      </c>
      <c r="R258" s="4">
        <v>42.86</v>
      </c>
      <c r="S258" s="4">
        <v>40.590000000000003</v>
      </c>
      <c r="T258" s="4">
        <v>52.1</v>
      </c>
      <c r="U258" s="4">
        <v>47.26</v>
      </c>
      <c r="V258" s="4">
        <v>49.64</v>
      </c>
      <c r="W258" s="4">
        <v>47.22</v>
      </c>
      <c r="X258" s="4">
        <v>50.53</v>
      </c>
      <c r="Y258" s="4">
        <v>55.78</v>
      </c>
    </row>
    <row r="259" spans="1:25" ht="15" customHeight="1" x14ac:dyDescent="0.45">
      <c r="A259" s="3">
        <v>45887</v>
      </c>
      <c r="B259" s="4">
        <v>40.86</v>
      </c>
      <c r="C259" s="7">
        <v>25.04</v>
      </c>
      <c r="D259" s="4">
        <v>30.83</v>
      </c>
      <c r="E259" s="4">
        <v>40.11</v>
      </c>
      <c r="F259" s="4">
        <v>46.35</v>
      </c>
      <c r="G259" s="4">
        <v>44.78</v>
      </c>
      <c r="H259" s="4">
        <v>40.700000000000003</v>
      </c>
      <c r="I259" s="4">
        <v>54.99</v>
      </c>
      <c r="J259" s="4">
        <v>56.83</v>
      </c>
      <c r="K259" s="4">
        <v>54.8</v>
      </c>
      <c r="L259" s="4">
        <v>55.29</v>
      </c>
      <c r="M259" s="4">
        <v>38.9</v>
      </c>
      <c r="N259" s="4">
        <v>53.51</v>
      </c>
      <c r="O259" s="4">
        <v>40.479999999999997</v>
      </c>
      <c r="P259" s="4">
        <v>59.8</v>
      </c>
      <c r="Q259" s="4">
        <v>55.07</v>
      </c>
      <c r="R259" s="4">
        <v>43.7</v>
      </c>
      <c r="S259" s="4">
        <v>41.7</v>
      </c>
      <c r="T259" s="4">
        <v>50.72</v>
      </c>
      <c r="U259" s="4">
        <v>53.49</v>
      </c>
      <c r="V259" s="4">
        <v>53.78</v>
      </c>
      <c r="W259" s="4">
        <v>43.48</v>
      </c>
      <c r="X259" s="4">
        <v>48.52</v>
      </c>
      <c r="Y259" s="4">
        <v>53.17</v>
      </c>
    </row>
    <row r="260" spans="1:25" ht="15" customHeight="1" x14ac:dyDescent="0.45">
      <c r="A260" s="3">
        <v>45884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" customHeight="1" x14ac:dyDescent="0.45">
      <c r="A261" s="3">
        <v>45883</v>
      </c>
      <c r="B261" s="4">
        <v>43.19</v>
      </c>
      <c r="C261" s="7">
        <v>29.33</v>
      </c>
      <c r="D261" s="4">
        <v>34.159999999999997</v>
      </c>
      <c r="E261" s="4">
        <v>44.13</v>
      </c>
      <c r="F261" s="4">
        <v>48.23</v>
      </c>
      <c r="G261" s="4">
        <v>46.54</v>
      </c>
      <c r="H261" s="4">
        <v>44.72</v>
      </c>
      <c r="I261" s="4">
        <v>57.71</v>
      </c>
      <c r="J261" s="6">
        <v>67.8</v>
      </c>
      <c r="K261" s="4">
        <v>53.78</v>
      </c>
      <c r="L261" s="4">
        <v>55.3</v>
      </c>
      <c r="M261" s="4">
        <v>41.95</v>
      </c>
      <c r="N261" s="4">
        <v>51.48</v>
      </c>
      <c r="O261" s="4">
        <v>41.13</v>
      </c>
      <c r="P261" s="4">
        <v>54.23</v>
      </c>
      <c r="Q261" s="4">
        <v>55.11</v>
      </c>
      <c r="R261" s="4">
        <v>49.85</v>
      </c>
      <c r="S261" s="4">
        <v>44.76</v>
      </c>
      <c r="T261" s="4">
        <v>51.6</v>
      </c>
      <c r="U261" s="4">
        <v>58.07</v>
      </c>
      <c r="V261" s="6">
        <v>62.24</v>
      </c>
      <c r="W261" s="4">
        <v>43.86</v>
      </c>
      <c r="X261" s="4">
        <v>48.34</v>
      </c>
      <c r="Y261" s="4">
        <v>54.81</v>
      </c>
    </row>
    <row r="262" spans="1:25" ht="15" customHeight="1" x14ac:dyDescent="0.45">
      <c r="A262" s="3">
        <v>45882</v>
      </c>
      <c r="B262" s="4">
        <v>46.79</v>
      </c>
      <c r="C262" s="7">
        <v>26</v>
      </c>
      <c r="D262" s="4">
        <v>35.68</v>
      </c>
      <c r="E262" s="4">
        <v>41.77</v>
      </c>
      <c r="F262" s="4">
        <v>49.46</v>
      </c>
      <c r="G262" s="4">
        <v>49.74</v>
      </c>
      <c r="H262" s="4">
        <v>44.08</v>
      </c>
      <c r="I262" s="4">
        <v>58.96</v>
      </c>
      <c r="J262" s="6">
        <v>68.58</v>
      </c>
      <c r="K262" s="4">
        <v>58.35</v>
      </c>
      <c r="L262" s="4">
        <v>53.92</v>
      </c>
      <c r="M262" s="4">
        <v>40.119999999999997</v>
      </c>
      <c r="N262" s="4">
        <v>54.1</v>
      </c>
      <c r="O262" s="4">
        <v>41.34</v>
      </c>
      <c r="P262" s="4">
        <v>56.54</v>
      </c>
      <c r="Q262" s="4">
        <v>48.17</v>
      </c>
      <c r="R262" s="4">
        <v>49.38</v>
      </c>
      <c r="S262" s="4">
        <v>45.82</v>
      </c>
      <c r="T262" s="4">
        <v>48.5</v>
      </c>
      <c r="U262" s="4">
        <v>54.25</v>
      </c>
      <c r="V262" s="6">
        <v>62.49</v>
      </c>
      <c r="W262" s="4">
        <v>55.72</v>
      </c>
      <c r="X262" s="4">
        <v>46.46</v>
      </c>
      <c r="Y262" s="4">
        <v>54.32</v>
      </c>
    </row>
    <row r="263" spans="1:25" ht="15" customHeight="1" x14ac:dyDescent="0.45">
      <c r="A263" s="3">
        <v>45881</v>
      </c>
      <c r="B263" s="4">
        <v>54.52</v>
      </c>
      <c r="C263" s="7">
        <v>26.61</v>
      </c>
      <c r="D263" s="4">
        <v>36.57</v>
      </c>
      <c r="E263" s="4">
        <v>41.8</v>
      </c>
      <c r="F263" s="4">
        <v>42.96</v>
      </c>
      <c r="G263" s="4">
        <v>51.64</v>
      </c>
      <c r="H263" s="4">
        <v>41.21</v>
      </c>
      <c r="I263" s="4">
        <v>57.77</v>
      </c>
      <c r="J263" s="6">
        <v>64.8</v>
      </c>
      <c r="K263" s="4">
        <v>50.11</v>
      </c>
      <c r="L263" s="4">
        <v>48.29</v>
      </c>
      <c r="M263" s="4">
        <v>39.76</v>
      </c>
      <c r="N263" s="4">
        <v>51</v>
      </c>
      <c r="O263" s="4">
        <v>45.83</v>
      </c>
      <c r="P263" s="4">
        <v>51.16</v>
      </c>
      <c r="Q263" s="4">
        <v>53.34</v>
      </c>
      <c r="R263" s="4">
        <v>47.08</v>
      </c>
      <c r="S263" s="4">
        <v>44.98</v>
      </c>
      <c r="T263" s="4">
        <v>47.91</v>
      </c>
      <c r="U263" s="4">
        <v>53.99</v>
      </c>
      <c r="V263" s="4">
        <v>57.9</v>
      </c>
      <c r="W263" s="4">
        <v>58.19</v>
      </c>
      <c r="X263" s="4">
        <v>46.25</v>
      </c>
      <c r="Y263" s="4">
        <v>56.24</v>
      </c>
    </row>
    <row r="264" spans="1:25" ht="15" customHeight="1" x14ac:dyDescent="0.45">
      <c r="A264" s="3">
        <v>45880</v>
      </c>
      <c r="B264" s="4">
        <v>58.53</v>
      </c>
      <c r="C264" s="7">
        <v>28.35</v>
      </c>
      <c r="D264" s="4">
        <v>38.29</v>
      </c>
      <c r="E264" s="4">
        <v>45.79</v>
      </c>
      <c r="F264" s="4">
        <v>45.35</v>
      </c>
      <c r="G264" s="4">
        <v>54.74</v>
      </c>
      <c r="H264" s="4">
        <v>43.2</v>
      </c>
      <c r="I264" s="6">
        <v>65.09</v>
      </c>
      <c r="J264" s="6">
        <v>65.239999999999995</v>
      </c>
      <c r="K264" s="4">
        <v>55.67</v>
      </c>
      <c r="L264" s="4">
        <v>52.32</v>
      </c>
      <c r="M264" s="4">
        <v>43.03</v>
      </c>
      <c r="N264" s="4">
        <v>52.82</v>
      </c>
      <c r="O264" s="4">
        <v>48.36</v>
      </c>
      <c r="P264" s="4">
        <v>49.23</v>
      </c>
      <c r="Q264" s="4">
        <v>48.4</v>
      </c>
      <c r="R264" s="4">
        <v>47</v>
      </c>
      <c r="S264" s="4">
        <v>40.340000000000003</v>
      </c>
      <c r="T264" s="4">
        <v>46.62</v>
      </c>
      <c r="U264" s="4">
        <v>57.74</v>
      </c>
      <c r="V264" s="6">
        <v>61.43</v>
      </c>
      <c r="W264" s="4">
        <v>57.69</v>
      </c>
      <c r="X264" s="4">
        <v>46.57</v>
      </c>
      <c r="Y264" s="6">
        <v>61.1</v>
      </c>
    </row>
    <row r="265" spans="1:25" ht="15" customHeight="1" x14ac:dyDescent="0.45">
      <c r="A265" s="3">
        <v>45877</v>
      </c>
      <c r="B265" s="6">
        <v>65.069999999999993</v>
      </c>
      <c r="C265" s="4">
        <v>30.73</v>
      </c>
      <c r="D265" s="4">
        <v>39.340000000000003</v>
      </c>
      <c r="E265" s="4">
        <v>50.52</v>
      </c>
      <c r="F265" s="4">
        <v>44.5</v>
      </c>
      <c r="G265" s="6">
        <v>60.01</v>
      </c>
      <c r="H265" s="4">
        <v>40.06</v>
      </c>
      <c r="I265" s="6">
        <v>61.25</v>
      </c>
      <c r="J265" s="6">
        <v>63.19</v>
      </c>
      <c r="K265" s="4">
        <v>56.14</v>
      </c>
      <c r="L265" s="4">
        <v>58.26</v>
      </c>
      <c r="M265" s="4">
        <v>44.12</v>
      </c>
      <c r="N265" s="4">
        <v>55.8</v>
      </c>
      <c r="O265" s="4">
        <v>52.32</v>
      </c>
      <c r="P265" s="4">
        <v>56.11</v>
      </c>
      <c r="Q265" s="4">
        <v>46.07</v>
      </c>
      <c r="R265" s="4">
        <v>48.66</v>
      </c>
      <c r="S265" s="4">
        <v>43.76</v>
      </c>
      <c r="T265" s="4">
        <v>46.88</v>
      </c>
      <c r="U265" s="4">
        <v>57.09</v>
      </c>
      <c r="V265" s="6">
        <v>60.75</v>
      </c>
      <c r="W265" s="4">
        <v>57.46</v>
      </c>
      <c r="X265" s="4">
        <v>49.02</v>
      </c>
      <c r="Y265" s="6">
        <v>63.01</v>
      </c>
    </row>
    <row r="266" spans="1:25" ht="15" customHeight="1" x14ac:dyDescent="0.45">
      <c r="A266" s="3">
        <v>45876</v>
      </c>
      <c r="B266" s="4">
        <v>57.87</v>
      </c>
      <c r="C266" s="4">
        <v>30.79</v>
      </c>
      <c r="D266" s="4">
        <v>38.5</v>
      </c>
      <c r="E266" s="4">
        <v>54.79</v>
      </c>
      <c r="F266" s="4">
        <v>44.76</v>
      </c>
      <c r="G266" s="4">
        <v>59.87</v>
      </c>
      <c r="H266" s="4">
        <v>49.6</v>
      </c>
      <c r="I266" s="4">
        <v>59.25</v>
      </c>
      <c r="J266" s="6">
        <v>63.09</v>
      </c>
      <c r="K266" s="4">
        <v>51.25</v>
      </c>
      <c r="L266" s="6">
        <v>65.86</v>
      </c>
      <c r="M266" s="4">
        <v>45.95</v>
      </c>
      <c r="N266" s="6">
        <v>65.78</v>
      </c>
      <c r="O266" s="4">
        <v>54.41</v>
      </c>
      <c r="P266" s="4">
        <v>57.02</v>
      </c>
      <c r="Q266" s="4">
        <v>46.18</v>
      </c>
      <c r="R266" s="4">
        <v>50.4</v>
      </c>
      <c r="S266" s="4">
        <v>45.04</v>
      </c>
      <c r="T266" s="4">
        <v>49.44</v>
      </c>
      <c r="U266" s="6">
        <v>60.11</v>
      </c>
      <c r="V266" s="6">
        <v>62.83</v>
      </c>
      <c r="W266" s="4">
        <v>57.92</v>
      </c>
      <c r="X266" s="4">
        <v>52.78</v>
      </c>
      <c r="Y266" s="4">
        <v>56.27</v>
      </c>
    </row>
    <row r="267" spans="1:25" ht="15" customHeight="1" x14ac:dyDescent="0.45">
      <c r="A267" s="3">
        <v>45875</v>
      </c>
      <c r="B267" s="4">
        <v>58.95</v>
      </c>
      <c r="C267" s="4">
        <v>31.57</v>
      </c>
      <c r="D267" s="4">
        <v>37.97</v>
      </c>
      <c r="E267" s="4">
        <v>55.07</v>
      </c>
      <c r="F267" s="4">
        <v>47.92</v>
      </c>
      <c r="G267" s="6">
        <v>61.59</v>
      </c>
      <c r="H267" s="4">
        <v>46.28</v>
      </c>
      <c r="I267" s="4">
        <v>59.42</v>
      </c>
      <c r="J267" s="4">
        <v>59.98</v>
      </c>
      <c r="K267" s="4">
        <v>49.4</v>
      </c>
      <c r="L267" s="6">
        <v>64.22</v>
      </c>
      <c r="M267" s="4">
        <v>44.04</v>
      </c>
      <c r="N267" s="6">
        <v>64.06</v>
      </c>
      <c r="O267" s="4">
        <v>54.17</v>
      </c>
      <c r="P267" s="4">
        <v>52.51</v>
      </c>
      <c r="Q267" s="4">
        <v>49.59</v>
      </c>
      <c r="R267" s="4">
        <v>48.74</v>
      </c>
      <c r="S267" s="4">
        <v>44.14</v>
      </c>
      <c r="T267" s="4">
        <v>47.77</v>
      </c>
      <c r="U267" s="6">
        <v>60.12</v>
      </c>
      <c r="V267" s="6">
        <v>60.61</v>
      </c>
      <c r="W267" s="4">
        <v>54.35</v>
      </c>
      <c r="X267" s="4">
        <v>40</v>
      </c>
      <c r="Y267" s="4">
        <v>45.25</v>
      </c>
    </row>
    <row r="268" spans="1:25" ht="15" customHeight="1" x14ac:dyDescent="0.45">
      <c r="A268" s="3">
        <v>45874</v>
      </c>
      <c r="B268" s="4">
        <v>53.69</v>
      </c>
      <c r="C268" s="7">
        <v>27.53</v>
      </c>
      <c r="D268" s="4">
        <v>37.08</v>
      </c>
      <c r="E268" s="4">
        <v>49.39</v>
      </c>
      <c r="F268" s="4">
        <v>50.4</v>
      </c>
      <c r="G268" s="6">
        <v>60.48</v>
      </c>
      <c r="H268" s="4">
        <v>46.16</v>
      </c>
      <c r="I268" s="4">
        <v>57.86</v>
      </c>
      <c r="J268" s="6">
        <v>64.22</v>
      </c>
      <c r="K268" s="4">
        <v>46.3</v>
      </c>
      <c r="L268" s="6">
        <v>66.739999999999995</v>
      </c>
      <c r="M268" s="4">
        <v>40.89</v>
      </c>
      <c r="N268" s="4">
        <v>54.57</v>
      </c>
      <c r="O268" s="4">
        <v>45.75</v>
      </c>
      <c r="P268" s="4">
        <v>44.7</v>
      </c>
      <c r="Q268" s="4">
        <v>51.98</v>
      </c>
      <c r="R268" s="4">
        <v>46.28</v>
      </c>
      <c r="S268" s="4">
        <v>41.71</v>
      </c>
      <c r="T268" s="4">
        <v>45.44</v>
      </c>
      <c r="U268" s="6">
        <v>61.41</v>
      </c>
      <c r="V268" s="6">
        <v>63</v>
      </c>
      <c r="W268" s="4">
        <v>53.44</v>
      </c>
      <c r="X268" s="4">
        <v>39.32</v>
      </c>
      <c r="Y268" s="4">
        <v>44.87</v>
      </c>
    </row>
    <row r="269" spans="1:25" ht="15" customHeight="1" x14ac:dyDescent="0.45">
      <c r="A269" s="3">
        <v>45873</v>
      </c>
      <c r="B269" s="4">
        <v>52.03</v>
      </c>
      <c r="C269" s="7">
        <v>28.62</v>
      </c>
      <c r="D269" s="4">
        <v>36.979999999999997</v>
      </c>
      <c r="E269" s="4">
        <v>42.44</v>
      </c>
      <c r="F269" s="4">
        <v>47.02</v>
      </c>
      <c r="G269" s="4">
        <v>58.33</v>
      </c>
      <c r="H269" s="4">
        <v>41.38</v>
      </c>
      <c r="I269" s="4">
        <v>55.44</v>
      </c>
      <c r="J269" s="6">
        <v>60.59</v>
      </c>
      <c r="K269" s="4">
        <v>42.49</v>
      </c>
      <c r="L269" s="6">
        <v>64</v>
      </c>
      <c r="M269" s="4">
        <v>38.92</v>
      </c>
      <c r="N269" s="4">
        <v>50.17</v>
      </c>
      <c r="O269" s="4">
        <v>40.15</v>
      </c>
      <c r="P269" s="4">
        <v>42.64</v>
      </c>
      <c r="Q269" s="4">
        <v>49.34</v>
      </c>
      <c r="R269" s="4">
        <v>39.82</v>
      </c>
      <c r="S269" s="4">
        <v>37.79</v>
      </c>
      <c r="T269" s="4">
        <v>39.32</v>
      </c>
      <c r="U269" s="4">
        <v>48.39</v>
      </c>
      <c r="V269" s="4">
        <v>58.7</v>
      </c>
      <c r="W269" s="4">
        <v>45.26</v>
      </c>
      <c r="X269" s="4">
        <v>39.32</v>
      </c>
      <c r="Y269" s="4">
        <v>42.13</v>
      </c>
    </row>
    <row r="270" spans="1:25" ht="15" customHeight="1" x14ac:dyDescent="0.45">
      <c r="A270" s="3">
        <v>45870</v>
      </c>
      <c r="B270" s="4">
        <v>46.7</v>
      </c>
      <c r="C270" s="7">
        <v>27.03</v>
      </c>
      <c r="D270" s="7">
        <v>29.8</v>
      </c>
      <c r="E270" s="4">
        <v>40.130000000000003</v>
      </c>
      <c r="F270" s="4">
        <v>43.14</v>
      </c>
      <c r="G270" s="4">
        <v>52.7</v>
      </c>
      <c r="H270" s="4">
        <v>40.35</v>
      </c>
      <c r="I270" s="4">
        <v>50.26</v>
      </c>
      <c r="J270" s="4">
        <v>58.58</v>
      </c>
      <c r="K270" s="4">
        <v>36.51</v>
      </c>
      <c r="L270" s="6">
        <v>64.540000000000006</v>
      </c>
      <c r="M270" s="4">
        <v>37.51</v>
      </c>
      <c r="N270" s="4">
        <v>45.5</v>
      </c>
      <c r="O270" s="4">
        <v>33.99</v>
      </c>
      <c r="P270" s="4">
        <v>41.69</v>
      </c>
      <c r="Q270" s="4">
        <v>44.31</v>
      </c>
      <c r="R270" s="4">
        <v>37.08</v>
      </c>
      <c r="S270" s="4">
        <v>34.130000000000003</v>
      </c>
      <c r="T270" s="4">
        <v>38.69</v>
      </c>
      <c r="U270" s="4">
        <v>41.69</v>
      </c>
      <c r="V270" s="4">
        <v>56.14</v>
      </c>
      <c r="W270" s="4">
        <v>31.66</v>
      </c>
      <c r="X270" s="4">
        <v>34.81</v>
      </c>
      <c r="Y270" s="4">
        <v>34.799999999999997</v>
      </c>
    </row>
    <row r="271" spans="1:25" ht="15" customHeight="1" x14ac:dyDescent="0.45">
      <c r="A271" s="3">
        <v>45869</v>
      </c>
      <c r="B271" s="4">
        <v>51.45</v>
      </c>
      <c r="C271" s="4">
        <v>34.340000000000003</v>
      </c>
      <c r="D271" s="4">
        <v>35.81</v>
      </c>
      <c r="E271" s="4">
        <v>57.21</v>
      </c>
      <c r="F271" s="4">
        <v>53.91</v>
      </c>
      <c r="G271" s="6">
        <v>63.47</v>
      </c>
      <c r="H271" s="4">
        <v>57.23</v>
      </c>
      <c r="I271" s="4">
        <v>59.46</v>
      </c>
      <c r="J271" s="5">
        <v>74.69</v>
      </c>
      <c r="K271" s="4">
        <v>47.39</v>
      </c>
      <c r="L271" s="5">
        <v>76.319999999999993</v>
      </c>
      <c r="M271" s="4">
        <v>44.65</v>
      </c>
      <c r="N271" s="4">
        <v>58.68</v>
      </c>
      <c r="O271" s="4">
        <v>42.05</v>
      </c>
      <c r="P271" s="4">
        <v>47.92</v>
      </c>
      <c r="Q271" s="4">
        <v>51.38</v>
      </c>
      <c r="R271" s="4">
        <v>48.51</v>
      </c>
      <c r="S271" s="4">
        <v>43.38</v>
      </c>
      <c r="T271" s="4">
        <v>46.71</v>
      </c>
      <c r="U271" s="6">
        <v>66.069999999999993</v>
      </c>
      <c r="V271" s="5">
        <v>76.59</v>
      </c>
      <c r="W271" s="4">
        <v>40.18</v>
      </c>
      <c r="X271" s="4">
        <v>43.54</v>
      </c>
      <c r="Y271" s="4">
        <v>40.6</v>
      </c>
    </row>
    <row r="272" spans="1:25" ht="15" customHeight="1" x14ac:dyDescent="0.45">
      <c r="A272" s="3">
        <v>45868</v>
      </c>
      <c r="B272" s="4">
        <v>46.76</v>
      </c>
      <c r="C272" s="4">
        <v>31.58</v>
      </c>
      <c r="D272" s="4">
        <v>32.44</v>
      </c>
      <c r="E272" s="6">
        <v>63.91</v>
      </c>
      <c r="F272" s="6">
        <v>61.15</v>
      </c>
      <c r="G272" s="4">
        <v>59.02</v>
      </c>
      <c r="H272" s="6">
        <v>62.35</v>
      </c>
      <c r="I272" s="4">
        <v>56.29</v>
      </c>
      <c r="J272" s="5">
        <v>76.14</v>
      </c>
      <c r="K272" s="4">
        <v>50.67</v>
      </c>
      <c r="L272" s="5">
        <v>75.849999999999994</v>
      </c>
      <c r="M272" s="4">
        <v>51.84</v>
      </c>
      <c r="N272" s="6">
        <v>62.36</v>
      </c>
      <c r="O272" s="4">
        <v>37.33</v>
      </c>
      <c r="P272" s="4">
        <v>50.39</v>
      </c>
      <c r="Q272" s="4">
        <v>48.86</v>
      </c>
      <c r="R272" s="4">
        <v>49.38</v>
      </c>
      <c r="S272" s="4">
        <v>43.27</v>
      </c>
      <c r="T272" s="4">
        <v>48.47</v>
      </c>
      <c r="U272" s="6">
        <v>66.08</v>
      </c>
      <c r="V272" s="5">
        <v>78.599999999999994</v>
      </c>
      <c r="W272" s="4">
        <v>46.3</v>
      </c>
      <c r="X272" s="4">
        <v>41.24</v>
      </c>
      <c r="Y272" s="4">
        <v>31.53</v>
      </c>
    </row>
    <row r="273" spans="1:25" ht="15" customHeight="1" x14ac:dyDescent="0.45">
      <c r="A273" s="3">
        <v>45867</v>
      </c>
      <c r="B273" s="4">
        <v>46.23</v>
      </c>
      <c r="C273" s="4">
        <v>32.07</v>
      </c>
      <c r="D273" s="4">
        <v>31.98</v>
      </c>
      <c r="E273" s="6">
        <v>63.8</v>
      </c>
      <c r="F273" s="4">
        <v>59.88</v>
      </c>
      <c r="G273" s="4">
        <v>47.5</v>
      </c>
      <c r="H273" s="6">
        <v>64.16</v>
      </c>
      <c r="I273" s="4">
        <v>58.3</v>
      </c>
      <c r="J273" s="5">
        <v>73.2</v>
      </c>
      <c r="K273" s="4">
        <v>45.46</v>
      </c>
      <c r="L273" s="5">
        <v>74.72</v>
      </c>
      <c r="M273" s="4">
        <v>49.04</v>
      </c>
      <c r="N273" s="6">
        <v>66.989999999999995</v>
      </c>
      <c r="O273" s="4">
        <v>40.36</v>
      </c>
      <c r="P273" s="4">
        <v>48.76</v>
      </c>
      <c r="Q273" s="4">
        <v>43</v>
      </c>
      <c r="R273" s="4">
        <v>48.23</v>
      </c>
      <c r="S273" s="4">
        <v>44.46</v>
      </c>
      <c r="T273" s="4">
        <v>46.92</v>
      </c>
      <c r="U273" s="6">
        <v>69.540000000000006</v>
      </c>
      <c r="V273" s="5">
        <v>76.510000000000005</v>
      </c>
      <c r="W273" s="4">
        <v>45.04</v>
      </c>
      <c r="X273" s="4">
        <v>41.81</v>
      </c>
      <c r="Y273" s="4">
        <v>34.92</v>
      </c>
    </row>
    <row r="274" spans="1:25" ht="15" customHeight="1" x14ac:dyDescent="0.45">
      <c r="A274" s="3">
        <v>45866</v>
      </c>
      <c r="B274" s="4">
        <v>43.96</v>
      </c>
      <c r="C274" s="4">
        <v>30.23</v>
      </c>
      <c r="D274" s="7">
        <v>29.46</v>
      </c>
      <c r="E274" s="6">
        <v>64.569999999999993</v>
      </c>
      <c r="F274" s="4">
        <v>56.09</v>
      </c>
      <c r="G274" s="4">
        <v>41.25</v>
      </c>
      <c r="H274" s="6">
        <v>64.45</v>
      </c>
      <c r="I274" s="4">
        <v>55.69</v>
      </c>
      <c r="J274" s="5">
        <v>72.38</v>
      </c>
      <c r="K274" s="4">
        <v>46.77</v>
      </c>
      <c r="L274" s="5">
        <v>72.2</v>
      </c>
      <c r="M274" s="4">
        <v>44.91</v>
      </c>
      <c r="N274" s="6">
        <v>68.19</v>
      </c>
      <c r="O274" s="4">
        <v>35.6</v>
      </c>
      <c r="P274" s="4">
        <v>51.96</v>
      </c>
      <c r="Q274" s="4">
        <v>45.79</v>
      </c>
      <c r="R274" s="4">
        <v>45.91</v>
      </c>
      <c r="S274" s="4">
        <v>42.61</v>
      </c>
      <c r="T274" s="4">
        <v>44.59</v>
      </c>
      <c r="U274" s="6">
        <v>64.48</v>
      </c>
      <c r="V274" s="5">
        <v>74.959999999999994</v>
      </c>
      <c r="W274" s="4">
        <v>42.63</v>
      </c>
      <c r="X274" s="4">
        <v>41.91</v>
      </c>
      <c r="Y274" s="4">
        <v>34.22</v>
      </c>
    </row>
    <row r="275" spans="1:25" ht="15" customHeight="1" x14ac:dyDescent="0.45">
      <c r="A275" s="3">
        <v>45863</v>
      </c>
      <c r="B275" s="4">
        <v>46.48</v>
      </c>
      <c r="C275" s="4">
        <v>34.950000000000003</v>
      </c>
      <c r="D275" s="4">
        <v>32.07</v>
      </c>
      <c r="E275" s="6">
        <v>67.23</v>
      </c>
      <c r="F275" s="4">
        <v>58.18</v>
      </c>
      <c r="G275" s="4">
        <v>47.56</v>
      </c>
      <c r="H275" s="6">
        <v>68.900000000000006</v>
      </c>
      <c r="I275" s="6">
        <v>60.42</v>
      </c>
      <c r="J275" s="6">
        <v>64.510000000000005</v>
      </c>
      <c r="K275" s="4">
        <v>39.65</v>
      </c>
      <c r="L275" s="6">
        <v>68.31</v>
      </c>
      <c r="M275" s="4">
        <v>50.56</v>
      </c>
      <c r="N275" s="6">
        <v>64.540000000000006</v>
      </c>
      <c r="O275" s="4">
        <v>38.340000000000003</v>
      </c>
      <c r="P275" s="4">
        <v>58.9</v>
      </c>
      <c r="Q275" s="4">
        <v>51.48</v>
      </c>
      <c r="R275" s="4">
        <v>56.93</v>
      </c>
      <c r="S275" s="4">
        <v>49.98</v>
      </c>
      <c r="T275" s="4">
        <v>52.3</v>
      </c>
      <c r="U275" s="6">
        <v>64.78</v>
      </c>
      <c r="V275" s="5">
        <v>70</v>
      </c>
      <c r="W275" s="4">
        <v>47.06</v>
      </c>
      <c r="X275" s="4">
        <v>42.67</v>
      </c>
      <c r="Y275" s="4">
        <v>37.450000000000003</v>
      </c>
    </row>
    <row r="276" spans="1:25" ht="15" customHeight="1" x14ac:dyDescent="0.45">
      <c r="A276" s="3">
        <v>45862</v>
      </c>
      <c r="B276" s="4">
        <v>44.97</v>
      </c>
      <c r="C276" s="4">
        <v>41.36</v>
      </c>
      <c r="D276" s="4">
        <v>32.35</v>
      </c>
      <c r="E276" s="5">
        <v>70.709999999999994</v>
      </c>
      <c r="F276" s="6">
        <v>64.88</v>
      </c>
      <c r="G276" s="4">
        <v>50.34</v>
      </c>
      <c r="H276" s="6">
        <v>68.14</v>
      </c>
      <c r="I276" s="4">
        <v>59</v>
      </c>
      <c r="J276" s="6">
        <v>66.86</v>
      </c>
      <c r="K276" s="4">
        <v>37.93</v>
      </c>
      <c r="L276" s="6">
        <v>66.14</v>
      </c>
      <c r="M276" s="4">
        <v>51.85</v>
      </c>
      <c r="N276" s="6">
        <v>62.41</v>
      </c>
      <c r="O276" s="4">
        <v>37.75</v>
      </c>
      <c r="P276" s="4">
        <v>57.24</v>
      </c>
      <c r="Q276" s="4">
        <v>52.92</v>
      </c>
      <c r="R276" s="4">
        <v>53.77</v>
      </c>
      <c r="S276" s="4">
        <v>48.01</v>
      </c>
      <c r="T276" s="4">
        <v>51.49</v>
      </c>
      <c r="U276" s="6">
        <v>63.57</v>
      </c>
      <c r="V276" s="5">
        <v>71.44</v>
      </c>
      <c r="W276" s="4">
        <v>46.3</v>
      </c>
      <c r="X276" s="4">
        <v>37.18</v>
      </c>
      <c r="Y276" s="4">
        <v>41.02</v>
      </c>
    </row>
    <row r="277" spans="1:25" ht="15" customHeight="1" x14ac:dyDescent="0.45">
      <c r="A277" s="3">
        <v>45861</v>
      </c>
      <c r="B277" s="4">
        <v>51.75</v>
      </c>
      <c r="C277" s="4">
        <v>48.77</v>
      </c>
      <c r="D277" s="4">
        <v>43.38</v>
      </c>
      <c r="E277" s="6">
        <v>69.069999999999993</v>
      </c>
      <c r="F277" s="6">
        <v>62.11</v>
      </c>
      <c r="G277" s="4">
        <v>50.37</v>
      </c>
      <c r="H277" s="5">
        <v>72.91</v>
      </c>
      <c r="I277" s="4">
        <v>55.63</v>
      </c>
      <c r="J277" s="6">
        <v>64.790000000000006</v>
      </c>
      <c r="K277" s="4">
        <v>39.229999999999997</v>
      </c>
      <c r="L277" s="6">
        <v>64.459999999999994</v>
      </c>
      <c r="M277" s="4">
        <v>55.7</v>
      </c>
      <c r="N277" s="6">
        <v>62.99</v>
      </c>
      <c r="O277" s="4">
        <v>37.19</v>
      </c>
      <c r="P277" s="6">
        <v>60.75</v>
      </c>
      <c r="Q277" s="4">
        <v>57.56</v>
      </c>
      <c r="R277" s="4">
        <v>54.55</v>
      </c>
      <c r="S277" s="4">
        <v>51.6</v>
      </c>
      <c r="T277" s="4">
        <v>54.07</v>
      </c>
      <c r="U277" s="6">
        <v>64.25</v>
      </c>
      <c r="V277" s="6">
        <v>69.489999999999995</v>
      </c>
      <c r="W277" s="4">
        <v>47.15</v>
      </c>
      <c r="X277" s="4">
        <v>42.49</v>
      </c>
      <c r="Y277" s="4">
        <v>46.3</v>
      </c>
    </row>
    <row r="278" spans="1:25" ht="15" customHeight="1" x14ac:dyDescent="0.45">
      <c r="A278" s="3">
        <v>45860</v>
      </c>
      <c r="B278" s="4">
        <v>54.23</v>
      </c>
      <c r="C278" s="4">
        <v>53.89</v>
      </c>
      <c r="D278" s="4">
        <v>52.37</v>
      </c>
      <c r="E278" s="6">
        <v>68.19</v>
      </c>
      <c r="F278" s="4">
        <v>59.81</v>
      </c>
      <c r="G278" s="4">
        <v>49.55</v>
      </c>
      <c r="H278" s="6">
        <v>69.84</v>
      </c>
      <c r="I278" s="4">
        <v>53.29</v>
      </c>
      <c r="J278" s="6">
        <v>63.19</v>
      </c>
      <c r="K278" s="4">
        <v>40.229999999999997</v>
      </c>
      <c r="L278" s="4">
        <v>59.81</v>
      </c>
      <c r="M278" s="4">
        <v>53.56</v>
      </c>
      <c r="N278" s="6">
        <v>60.34</v>
      </c>
      <c r="O278" s="4">
        <v>38.47</v>
      </c>
      <c r="P278" s="4">
        <v>57.37</v>
      </c>
      <c r="Q278" s="6">
        <v>65.150000000000006</v>
      </c>
      <c r="R278" s="4">
        <v>55.96</v>
      </c>
      <c r="S278" s="4">
        <v>54.07</v>
      </c>
      <c r="T278" s="4">
        <v>56.35</v>
      </c>
      <c r="U278" s="6">
        <v>64.14</v>
      </c>
      <c r="V278" s="6">
        <v>66.84</v>
      </c>
      <c r="W278" s="4">
        <v>46.71</v>
      </c>
      <c r="X278" s="4">
        <v>47.5</v>
      </c>
      <c r="Y278" s="4">
        <v>50.88</v>
      </c>
    </row>
    <row r="279" spans="1:25" ht="15" customHeight="1" x14ac:dyDescent="0.45">
      <c r="A279" s="3">
        <v>45859</v>
      </c>
      <c r="B279" s="4">
        <v>57.74</v>
      </c>
      <c r="C279" s="4">
        <v>54.02</v>
      </c>
      <c r="D279" s="4">
        <v>52.63</v>
      </c>
      <c r="E279" s="6">
        <v>69.25</v>
      </c>
      <c r="F279" s="4">
        <v>59.87</v>
      </c>
      <c r="G279" s="4">
        <v>53.09</v>
      </c>
      <c r="H279" s="5">
        <v>78.89</v>
      </c>
      <c r="I279" s="6">
        <v>63.02</v>
      </c>
      <c r="J279" s="5">
        <v>72.569999999999993</v>
      </c>
      <c r="K279" s="4">
        <v>43.56</v>
      </c>
      <c r="L279" s="6">
        <v>63.82</v>
      </c>
      <c r="M279" s="4">
        <v>58.78</v>
      </c>
      <c r="N279" s="6">
        <v>61.06</v>
      </c>
      <c r="O279" s="4">
        <v>45.74</v>
      </c>
      <c r="P279" s="4">
        <v>59.55</v>
      </c>
      <c r="Q279" s="6">
        <v>60.7</v>
      </c>
      <c r="R279" s="4">
        <v>57.72</v>
      </c>
      <c r="S279" s="4">
        <v>54.89</v>
      </c>
      <c r="T279" s="4">
        <v>57.44</v>
      </c>
      <c r="U279" s="6">
        <v>68.260000000000005</v>
      </c>
      <c r="V279" s="5">
        <v>77.650000000000006</v>
      </c>
      <c r="W279" s="4">
        <v>51.83</v>
      </c>
      <c r="X279" s="4">
        <v>51.93</v>
      </c>
      <c r="Y279" s="4">
        <v>53.16</v>
      </c>
    </row>
    <row r="280" spans="1:25" ht="15" customHeight="1" x14ac:dyDescent="0.45">
      <c r="A280" s="3">
        <v>45856</v>
      </c>
      <c r="B280" s="6">
        <v>62.26</v>
      </c>
      <c r="C280" s="4">
        <v>58.16</v>
      </c>
      <c r="D280" s="4">
        <v>58.55</v>
      </c>
      <c r="E280" s="6">
        <v>65.75</v>
      </c>
      <c r="F280" s="6">
        <v>63.76</v>
      </c>
      <c r="G280" s="4">
        <v>54.17</v>
      </c>
      <c r="H280" s="5">
        <v>73.760000000000005</v>
      </c>
      <c r="I280" s="4">
        <v>57.93</v>
      </c>
      <c r="J280" s="5">
        <v>70.11</v>
      </c>
      <c r="K280" s="4">
        <v>47.39</v>
      </c>
      <c r="L280" s="4">
        <v>59.72</v>
      </c>
      <c r="M280" s="4">
        <v>58.37</v>
      </c>
      <c r="N280" s="4">
        <v>57.34</v>
      </c>
      <c r="O280" s="4">
        <v>46.09</v>
      </c>
      <c r="P280" s="6">
        <v>67.38</v>
      </c>
      <c r="Q280" s="6">
        <v>64.81</v>
      </c>
      <c r="R280" s="4">
        <v>58.69</v>
      </c>
      <c r="S280" s="4">
        <v>57.12</v>
      </c>
      <c r="T280" s="6">
        <v>60.35</v>
      </c>
      <c r="U280" s="6">
        <v>65.849999999999994</v>
      </c>
      <c r="V280" s="5">
        <v>74.73</v>
      </c>
      <c r="W280" s="4">
        <v>51.52</v>
      </c>
      <c r="X280" s="4">
        <v>52.82</v>
      </c>
      <c r="Y280" s="4">
        <v>45.86</v>
      </c>
    </row>
    <row r="281" spans="1:25" ht="15" customHeight="1" x14ac:dyDescent="0.45">
      <c r="A281" s="3">
        <v>45855</v>
      </c>
      <c r="B281" s="6">
        <v>69.7</v>
      </c>
      <c r="C281" s="6">
        <v>65</v>
      </c>
      <c r="D281" s="6">
        <v>61.29</v>
      </c>
      <c r="E281" s="6">
        <v>66</v>
      </c>
      <c r="F281" s="6">
        <v>68.53</v>
      </c>
      <c r="G281" s="4">
        <v>52.56</v>
      </c>
      <c r="H281" s="5">
        <v>74.069999999999993</v>
      </c>
      <c r="I281" s="4">
        <v>56.21</v>
      </c>
      <c r="J281" s="6">
        <v>68.13</v>
      </c>
      <c r="K281" s="4">
        <v>49.66</v>
      </c>
      <c r="L281" s="6">
        <v>60.37</v>
      </c>
      <c r="M281" s="6">
        <v>67.400000000000006</v>
      </c>
      <c r="N281" s="4">
        <v>59.53</v>
      </c>
      <c r="O281" s="4">
        <v>45.85</v>
      </c>
      <c r="P281" s="5">
        <v>71.180000000000007</v>
      </c>
      <c r="Q281" s="5">
        <v>70.08</v>
      </c>
      <c r="R281" s="6">
        <v>61.77</v>
      </c>
      <c r="S281" s="6">
        <v>60.57</v>
      </c>
      <c r="T281" s="6">
        <v>67.03</v>
      </c>
      <c r="U281" s="6">
        <v>65.69</v>
      </c>
      <c r="V281" s="5">
        <v>73.930000000000007</v>
      </c>
      <c r="W281" s="4">
        <v>49.29</v>
      </c>
      <c r="X281" s="4">
        <v>53.6</v>
      </c>
      <c r="Y281" s="4">
        <v>48.76</v>
      </c>
    </row>
    <row r="282" spans="1:25" ht="15" customHeight="1" x14ac:dyDescent="0.45">
      <c r="A282" s="3">
        <v>45854</v>
      </c>
      <c r="B282" s="6">
        <v>68.459999999999994</v>
      </c>
      <c r="C282" s="6">
        <v>65</v>
      </c>
      <c r="D282" s="6">
        <v>64.98</v>
      </c>
      <c r="E282" s="6">
        <v>65.02</v>
      </c>
      <c r="F282" s="4">
        <v>58.18</v>
      </c>
      <c r="G282" s="4">
        <v>54.25</v>
      </c>
      <c r="H282" s="5">
        <v>72.75</v>
      </c>
      <c r="I282" s="4">
        <v>57.67</v>
      </c>
      <c r="J282" s="5">
        <v>71.819999999999993</v>
      </c>
      <c r="K282" s="4">
        <v>48.24</v>
      </c>
      <c r="L282" s="4">
        <v>54.77</v>
      </c>
      <c r="M282" s="6">
        <v>66.599999999999994</v>
      </c>
      <c r="N282" s="4">
        <v>59.61</v>
      </c>
      <c r="O282" s="4">
        <v>46.47</v>
      </c>
      <c r="P282" s="5">
        <v>70.39</v>
      </c>
      <c r="Q282" s="6">
        <v>68.72</v>
      </c>
      <c r="R282" s="6">
        <v>63.45</v>
      </c>
      <c r="S282" s="6">
        <v>61.41</v>
      </c>
      <c r="T282" s="6">
        <v>64.64</v>
      </c>
      <c r="U282" s="6">
        <v>62.12</v>
      </c>
      <c r="V282" s="5">
        <v>72.86</v>
      </c>
      <c r="W282" s="4">
        <v>47.04</v>
      </c>
      <c r="X282" s="4">
        <v>55</v>
      </c>
      <c r="Y282" s="4">
        <v>44.57</v>
      </c>
    </row>
    <row r="283" spans="1:25" ht="15" customHeight="1" x14ac:dyDescent="0.45">
      <c r="A283" s="3">
        <v>45853</v>
      </c>
      <c r="B283" s="5">
        <v>76.3</v>
      </c>
      <c r="C283" s="6">
        <v>68.64</v>
      </c>
      <c r="D283" s="5">
        <v>70.14</v>
      </c>
      <c r="E283" s="5">
        <v>73.989999999999995</v>
      </c>
      <c r="F283" s="6">
        <v>60.13</v>
      </c>
      <c r="G283" s="6">
        <v>60.68</v>
      </c>
      <c r="H283" s="5">
        <v>82.81</v>
      </c>
      <c r="I283" s="6">
        <v>61.22</v>
      </c>
      <c r="J283" s="5">
        <v>71.31</v>
      </c>
      <c r="K283" s="4">
        <v>53.83</v>
      </c>
      <c r="L283" s="4">
        <v>54.83</v>
      </c>
      <c r="M283" s="5">
        <v>70.599999999999994</v>
      </c>
      <c r="N283" s="6">
        <v>60.67</v>
      </c>
      <c r="O283" s="4">
        <v>51.71</v>
      </c>
      <c r="P283" s="5">
        <v>81.400000000000006</v>
      </c>
      <c r="Q283" s="5">
        <v>73.430000000000007</v>
      </c>
      <c r="R283" s="5">
        <v>72.650000000000006</v>
      </c>
      <c r="S283" s="5">
        <v>74.25</v>
      </c>
      <c r="T283" s="5">
        <v>71.08</v>
      </c>
      <c r="U283" s="6">
        <v>67.67</v>
      </c>
      <c r="V283" s="5">
        <v>75.069999999999993</v>
      </c>
      <c r="W283" s="4">
        <v>52.05</v>
      </c>
      <c r="X283" s="4">
        <v>56.27</v>
      </c>
      <c r="Y283" s="4">
        <v>50.61</v>
      </c>
    </row>
    <row r="284" spans="1:25" ht="15" customHeight="1" x14ac:dyDescent="0.45">
      <c r="A284" s="3">
        <v>45852</v>
      </c>
      <c r="B284" s="5">
        <v>76.569999999999993</v>
      </c>
      <c r="C284" s="5">
        <v>72.7</v>
      </c>
      <c r="D284" s="5">
        <v>72.27</v>
      </c>
      <c r="E284" s="5">
        <v>73.72</v>
      </c>
      <c r="F284" s="6">
        <v>60.36</v>
      </c>
      <c r="G284" s="6">
        <v>64.59</v>
      </c>
      <c r="H284" s="5">
        <v>81.37</v>
      </c>
      <c r="I284" s="4">
        <v>53.67</v>
      </c>
      <c r="J284" s="6">
        <v>69.239999999999995</v>
      </c>
      <c r="K284" s="4">
        <v>52.74</v>
      </c>
      <c r="L284" s="4">
        <v>53.5</v>
      </c>
      <c r="M284" s="5">
        <v>73.8</v>
      </c>
      <c r="N284" s="6">
        <v>63.06</v>
      </c>
      <c r="O284" s="4">
        <v>48.95</v>
      </c>
      <c r="P284" s="5">
        <v>81.11</v>
      </c>
      <c r="Q284" s="5">
        <v>73.33</v>
      </c>
      <c r="R284" s="5">
        <v>75.260000000000005</v>
      </c>
      <c r="S284" s="5">
        <v>74.47</v>
      </c>
      <c r="T284" s="5">
        <v>81.62</v>
      </c>
      <c r="U284" s="6">
        <v>65.790000000000006</v>
      </c>
      <c r="V284" s="5">
        <v>72.87</v>
      </c>
      <c r="W284" s="4">
        <v>58.15</v>
      </c>
      <c r="X284" s="4">
        <v>56.91</v>
      </c>
      <c r="Y284" s="4">
        <v>52.24</v>
      </c>
    </row>
    <row r="285" spans="1:25" ht="15" customHeight="1" x14ac:dyDescent="0.45">
      <c r="A285" s="3">
        <v>45849</v>
      </c>
      <c r="B285" s="5">
        <v>74.02</v>
      </c>
      <c r="C285" s="5">
        <v>71.56</v>
      </c>
      <c r="D285" s="5">
        <v>70.17</v>
      </c>
      <c r="E285" s="5">
        <v>72.22</v>
      </c>
      <c r="F285" s="6">
        <v>64.48</v>
      </c>
      <c r="G285" s="4">
        <v>59.45</v>
      </c>
      <c r="H285" s="5">
        <v>80.73</v>
      </c>
      <c r="I285" s="4">
        <v>55.63</v>
      </c>
      <c r="J285" s="6">
        <v>68.63</v>
      </c>
      <c r="K285" s="4">
        <v>52.38</v>
      </c>
      <c r="L285" s="4">
        <v>49.63</v>
      </c>
      <c r="M285" s="6">
        <v>66.7</v>
      </c>
      <c r="N285" s="6">
        <v>62.85</v>
      </c>
      <c r="O285" s="4">
        <v>49.88</v>
      </c>
      <c r="P285" s="5">
        <v>77.69</v>
      </c>
      <c r="Q285" s="5">
        <v>72.47</v>
      </c>
      <c r="R285" s="5">
        <v>71.989999999999995</v>
      </c>
      <c r="S285" s="5">
        <v>72.77</v>
      </c>
      <c r="T285" s="5">
        <v>75.099999999999994</v>
      </c>
      <c r="U285" s="6">
        <v>66.05</v>
      </c>
      <c r="V285" s="5">
        <v>71.849999999999994</v>
      </c>
      <c r="W285" s="6">
        <v>61.87</v>
      </c>
      <c r="X285" s="6">
        <v>61.76</v>
      </c>
      <c r="Y285" s="4">
        <v>51.28</v>
      </c>
    </row>
    <row r="286" spans="1:25" ht="15" customHeight="1" x14ac:dyDescent="0.45">
      <c r="A286" s="3">
        <v>45848</v>
      </c>
      <c r="B286" s="5">
        <v>75.77</v>
      </c>
      <c r="C286" s="5">
        <v>72.650000000000006</v>
      </c>
      <c r="D286" s="6">
        <v>69.61</v>
      </c>
      <c r="E286" s="5">
        <v>74.62</v>
      </c>
      <c r="F286" s="5">
        <v>70.03</v>
      </c>
      <c r="G286" s="6">
        <v>62.74</v>
      </c>
      <c r="H286" s="5">
        <v>79.89</v>
      </c>
      <c r="I286" s="6">
        <v>61.27</v>
      </c>
      <c r="J286" s="6">
        <v>66.48</v>
      </c>
      <c r="K286" s="4">
        <v>53.88</v>
      </c>
      <c r="L286" s="4">
        <v>56.32</v>
      </c>
      <c r="M286" s="5">
        <v>72.64</v>
      </c>
      <c r="N286" s="6">
        <v>63.42</v>
      </c>
      <c r="O286" s="4">
        <v>51.81</v>
      </c>
      <c r="P286" s="5">
        <v>74.52</v>
      </c>
      <c r="Q286" s="6">
        <v>66.819999999999993</v>
      </c>
      <c r="R286" s="5">
        <v>74.989999999999995</v>
      </c>
      <c r="S286" s="5">
        <v>72.510000000000005</v>
      </c>
      <c r="T286" s="5">
        <v>74.900000000000006</v>
      </c>
      <c r="U286" s="6">
        <v>67.25</v>
      </c>
      <c r="V286" s="5">
        <v>72.39</v>
      </c>
      <c r="W286" s="6">
        <v>62.58</v>
      </c>
      <c r="X286" s="6">
        <v>63.19</v>
      </c>
      <c r="Y286" s="4">
        <v>52.92</v>
      </c>
    </row>
    <row r="287" spans="1:25" ht="15" customHeight="1" x14ac:dyDescent="0.45">
      <c r="A287" s="3">
        <v>45847</v>
      </c>
      <c r="B287" s="5">
        <v>75.66</v>
      </c>
      <c r="C287" s="5">
        <v>73.680000000000007</v>
      </c>
      <c r="D287" s="6">
        <v>68.819999999999993</v>
      </c>
      <c r="E287" s="5">
        <v>71.040000000000006</v>
      </c>
      <c r="F287" s="6">
        <v>60.37</v>
      </c>
      <c r="G287" s="6">
        <v>60.42</v>
      </c>
      <c r="H287" s="5">
        <v>78.64</v>
      </c>
      <c r="I287" s="6">
        <v>61.99</v>
      </c>
      <c r="J287" s="6">
        <v>60.56</v>
      </c>
      <c r="K287" s="4">
        <v>52.26</v>
      </c>
      <c r="L287" s="4">
        <v>55.29</v>
      </c>
      <c r="M287" s="6">
        <v>69.11</v>
      </c>
      <c r="N287" s="6">
        <v>63.83</v>
      </c>
      <c r="O287" s="4">
        <v>53.67</v>
      </c>
      <c r="P287" s="5">
        <v>73.77</v>
      </c>
      <c r="Q287" s="6">
        <v>64.180000000000007</v>
      </c>
      <c r="R287" s="5">
        <v>73.69</v>
      </c>
      <c r="S287" s="5">
        <v>71.05</v>
      </c>
      <c r="T287" s="5">
        <v>73.95</v>
      </c>
      <c r="U287" s="6">
        <v>65.81</v>
      </c>
      <c r="V287" s="6">
        <v>67.34</v>
      </c>
      <c r="W287" s="6">
        <v>60.94</v>
      </c>
      <c r="X287" s="6">
        <v>61.22</v>
      </c>
      <c r="Y287" s="4">
        <v>54.03</v>
      </c>
    </row>
    <row r="288" spans="1:25" ht="15" customHeight="1" x14ac:dyDescent="0.45">
      <c r="A288" s="3">
        <v>45846</v>
      </c>
      <c r="B288" s="5">
        <v>72.33</v>
      </c>
      <c r="C288" s="6">
        <v>68.55</v>
      </c>
      <c r="D288" s="4">
        <v>59.12</v>
      </c>
      <c r="E288" s="6">
        <v>68.510000000000005</v>
      </c>
      <c r="F288" s="4">
        <v>57.58</v>
      </c>
      <c r="G288" s="4">
        <v>52.94</v>
      </c>
      <c r="H288" s="5">
        <v>77.38</v>
      </c>
      <c r="I288" s="6">
        <v>64.75</v>
      </c>
      <c r="J288" s="6">
        <v>64.03</v>
      </c>
      <c r="K288" s="4">
        <v>44.26</v>
      </c>
      <c r="L288" s="4">
        <v>49.74</v>
      </c>
      <c r="M288" s="6">
        <v>64.55</v>
      </c>
      <c r="N288" s="6">
        <v>67.27</v>
      </c>
      <c r="O288" s="4">
        <v>52.2</v>
      </c>
      <c r="P288" s="6">
        <v>69.819999999999993</v>
      </c>
      <c r="Q288" s="6">
        <v>63.74</v>
      </c>
      <c r="R288" s="5">
        <v>71.06</v>
      </c>
      <c r="S288" s="6">
        <v>64.97</v>
      </c>
      <c r="T288" s="6">
        <v>69.83</v>
      </c>
      <c r="U288" s="6">
        <v>60.1</v>
      </c>
      <c r="V288" s="6">
        <v>66.83</v>
      </c>
      <c r="W288" s="4">
        <v>56.95</v>
      </c>
      <c r="X288" s="6">
        <v>62.18</v>
      </c>
      <c r="Y288" s="4">
        <v>55.2</v>
      </c>
    </row>
    <row r="289" spans="1:25" ht="15" customHeight="1" x14ac:dyDescent="0.45">
      <c r="A289" s="3">
        <v>45845</v>
      </c>
      <c r="B289" s="5">
        <v>70.489999999999995</v>
      </c>
      <c r="C289" s="6">
        <v>67.19</v>
      </c>
      <c r="D289" s="4">
        <v>58.18</v>
      </c>
      <c r="E289" s="6">
        <v>66.83</v>
      </c>
      <c r="F289" s="6">
        <v>64.45</v>
      </c>
      <c r="G289" s="4">
        <v>50.94</v>
      </c>
      <c r="H289" s="5">
        <v>74.239999999999995</v>
      </c>
      <c r="I289" s="6">
        <v>60.07</v>
      </c>
      <c r="J289" s="6">
        <v>62.29</v>
      </c>
      <c r="K289" s="4">
        <v>42.74</v>
      </c>
      <c r="L289" s="4">
        <v>43.19</v>
      </c>
      <c r="M289" s="6">
        <v>60.84</v>
      </c>
      <c r="N289" s="6">
        <v>63.49</v>
      </c>
      <c r="O289" s="4">
        <v>48.63</v>
      </c>
      <c r="P289" s="6">
        <v>66.930000000000007</v>
      </c>
      <c r="Q289" s="6">
        <v>62.52</v>
      </c>
      <c r="R289" s="6">
        <v>62.69</v>
      </c>
      <c r="S289" s="4">
        <v>56.59</v>
      </c>
      <c r="T289" s="6">
        <v>63.72</v>
      </c>
      <c r="U289" s="4">
        <v>56.42</v>
      </c>
      <c r="V289" s="6">
        <v>63.97</v>
      </c>
      <c r="W289" s="4">
        <v>55.23</v>
      </c>
      <c r="X289" s="6">
        <v>60.65</v>
      </c>
      <c r="Y289" s="4">
        <v>50.08</v>
      </c>
    </row>
    <row r="290" spans="1:25" ht="15" customHeight="1" x14ac:dyDescent="0.45">
      <c r="A290" s="3">
        <v>45842</v>
      </c>
      <c r="B290" s="6">
        <v>62.12</v>
      </c>
      <c r="C290" s="6">
        <v>63.65</v>
      </c>
      <c r="D290" s="4">
        <v>56.68</v>
      </c>
      <c r="E290" s="6">
        <v>68.180000000000007</v>
      </c>
      <c r="F290" s="6">
        <v>65.31</v>
      </c>
      <c r="G290" s="4">
        <v>54.81</v>
      </c>
      <c r="H290" s="5">
        <v>72.44</v>
      </c>
      <c r="I290" s="4">
        <v>56.48</v>
      </c>
      <c r="J290" s="6">
        <v>67.010000000000005</v>
      </c>
      <c r="K290" s="4">
        <v>45.42</v>
      </c>
      <c r="L290" s="4">
        <v>39.9</v>
      </c>
      <c r="M290" s="6">
        <v>61.93</v>
      </c>
      <c r="N290" s="6">
        <v>65.13</v>
      </c>
      <c r="O290" s="4">
        <v>49.08</v>
      </c>
      <c r="P290" s="6">
        <v>69.48</v>
      </c>
      <c r="Q290" s="5">
        <v>70.75</v>
      </c>
      <c r="R290" s="4">
        <v>59.78</v>
      </c>
      <c r="S290" s="4">
        <v>54.86</v>
      </c>
      <c r="T290" s="4">
        <v>59.8</v>
      </c>
      <c r="U290" s="4">
        <v>55.52</v>
      </c>
      <c r="V290" s="6">
        <v>65.05</v>
      </c>
      <c r="W290" s="4">
        <v>56.85</v>
      </c>
      <c r="X290" s="4">
        <v>58.22</v>
      </c>
      <c r="Y290" s="4">
        <v>48.44</v>
      </c>
    </row>
    <row r="291" spans="1:25" ht="15" customHeight="1" x14ac:dyDescent="0.45">
      <c r="A291" s="3">
        <v>45841</v>
      </c>
      <c r="B291" s="5">
        <v>71.7</v>
      </c>
      <c r="C291" s="5">
        <v>72.150000000000006</v>
      </c>
      <c r="D291" s="6">
        <v>61.95</v>
      </c>
      <c r="E291" s="5">
        <v>75.349999999999994</v>
      </c>
      <c r="F291" s="6">
        <v>65.2</v>
      </c>
      <c r="G291" s="6">
        <v>62.43</v>
      </c>
      <c r="H291" s="5">
        <v>80.39</v>
      </c>
      <c r="I291" s="6">
        <v>63.03</v>
      </c>
      <c r="J291" s="5">
        <v>75.040000000000006</v>
      </c>
      <c r="K291" s="4">
        <v>51.14</v>
      </c>
      <c r="L291" s="4">
        <v>51.48</v>
      </c>
      <c r="M291" s="6">
        <v>65.430000000000007</v>
      </c>
      <c r="N291" s="6">
        <v>62.02</v>
      </c>
      <c r="O291" s="4">
        <v>55.11</v>
      </c>
      <c r="P291" s="5">
        <v>70.400000000000006</v>
      </c>
      <c r="Q291" s="5">
        <v>80.569999999999993</v>
      </c>
      <c r="R291" s="5">
        <v>71.56</v>
      </c>
      <c r="S291" s="6">
        <v>68.78</v>
      </c>
      <c r="T291" s="6">
        <v>66.150000000000006</v>
      </c>
      <c r="U291" s="6">
        <v>65.41</v>
      </c>
      <c r="V291" s="5">
        <v>76.86</v>
      </c>
      <c r="W291" s="4">
        <v>54.26</v>
      </c>
      <c r="X291" s="6">
        <v>61.42</v>
      </c>
      <c r="Y291" s="4">
        <v>54.33</v>
      </c>
    </row>
    <row r="292" spans="1:25" ht="15" customHeight="1" x14ac:dyDescent="0.45">
      <c r="A292" s="3">
        <v>45840</v>
      </c>
      <c r="B292" s="5">
        <v>78.17</v>
      </c>
      <c r="C292" s="6">
        <v>69.739999999999995</v>
      </c>
      <c r="D292" s="4">
        <v>58.64</v>
      </c>
      <c r="E292" s="5">
        <v>72.5</v>
      </c>
      <c r="F292" s="4">
        <v>56.71</v>
      </c>
      <c r="G292" s="4">
        <v>59.95</v>
      </c>
      <c r="H292" s="5">
        <v>74.2</v>
      </c>
      <c r="I292" s="6">
        <v>63.56</v>
      </c>
      <c r="J292" s="6">
        <v>69.83</v>
      </c>
      <c r="K292" s="4">
        <v>41.2</v>
      </c>
      <c r="L292" s="4">
        <v>54.47</v>
      </c>
      <c r="M292" s="6">
        <v>64.150000000000006</v>
      </c>
      <c r="N292" s="6">
        <v>61.41</v>
      </c>
      <c r="O292" s="4">
        <v>56.24</v>
      </c>
      <c r="P292" s="6">
        <v>66.430000000000007</v>
      </c>
      <c r="Q292" s="5">
        <v>82.13</v>
      </c>
      <c r="R292" s="5">
        <v>70.709999999999994</v>
      </c>
      <c r="S292" s="6">
        <v>67.78</v>
      </c>
      <c r="T292" s="6">
        <v>66.45</v>
      </c>
      <c r="U292" s="6">
        <v>66.260000000000005</v>
      </c>
      <c r="V292" s="5">
        <v>72.599999999999994</v>
      </c>
      <c r="W292" s="4">
        <v>53.55</v>
      </c>
      <c r="X292" s="6">
        <v>60.42</v>
      </c>
      <c r="Y292" s="6">
        <v>62.27</v>
      </c>
    </row>
    <row r="293" spans="1:25" ht="15" customHeight="1" x14ac:dyDescent="0.45">
      <c r="A293" s="3">
        <v>45839</v>
      </c>
      <c r="B293" s="5">
        <v>73.290000000000006</v>
      </c>
      <c r="C293" s="6">
        <v>67.790000000000006</v>
      </c>
      <c r="D293" s="4">
        <v>59.9</v>
      </c>
      <c r="E293" s="5">
        <v>75.260000000000005</v>
      </c>
      <c r="F293" s="4">
        <v>49.52</v>
      </c>
      <c r="G293" s="4">
        <v>59.33</v>
      </c>
      <c r="H293" s="5">
        <v>71.56</v>
      </c>
      <c r="I293" s="6">
        <v>66.150000000000006</v>
      </c>
      <c r="J293" s="5">
        <v>70.58</v>
      </c>
      <c r="K293" s="4">
        <v>42.53</v>
      </c>
      <c r="L293" s="4">
        <v>56.47</v>
      </c>
      <c r="M293" s="6">
        <v>66.069999999999993</v>
      </c>
      <c r="N293" s="6">
        <v>68.25</v>
      </c>
      <c r="O293" s="6">
        <v>60.42</v>
      </c>
      <c r="P293" s="6">
        <v>64.010000000000005</v>
      </c>
      <c r="Q293" s="5">
        <v>82.42</v>
      </c>
      <c r="R293" s="5">
        <v>77.650000000000006</v>
      </c>
      <c r="S293" s="5">
        <v>73.47</v>
      </c>
      <c r="T293" s="5">
        <v>70.86</v>
      </c>
      <c r="U293" s="6">
        <v>67.52</v>
      </c>
      <c r="V293" s="5">
        <v>72.56</v>
      </c>
      <c r="W293" s="4">
        <v>47.8</v>
      </c>
      <c r="X293" s="6">
        <v>65.23</v>
      </c>
      <c r="Y293" s="6">
        <v>66.36</v>
      </c>
    </row>
    <row r="294" spans="1:25" ht="15" customHeight="1" x14ac:dyDescent="0.45">
      <c r="A294" s="3">
        <v>45838</v>
      </c>
      <c r="B294" s="5">
        <v>71.3</v>
      </c>
      <c r="C294" s="6">
        <v>61.94</v>
      </c>
      <c r="D294" s="4">
        <v>54.65</v>
      </c>
      <c r="E294" s="5">
        <v>70.239999999999995</v>
      </c>
      <c r="F294" s="4">
        <v>45.14</v>
      </c>
      <c r="G294" s="4">
        <v>54.88</v>
      </c>
      <c r="H294" s="6">
        <v>68.180000000000007</v>
      </c>
      <c r="I294" s="5">
        <v>81.08</v>
      </c>
      <c r="J294" s="5">
        <v>71.17</v>
      </c>
      <c r="K294" s="4">
        <v>43.12</v>
      </c>
      <c r="L294" s="4">
        <v>54.84</v>
      </c>
      <c r="M294" s="6">
        <v>60.46</v>
      </c>
      <c r="N294" s="5">
        <v>73.05</v>
      </c>
      <c r="O294" s="6">
        <v>61.12</v>
      </c>
      <c r="P294" s="4">
        <v>57.85</v>
      </c>
      <c r="Q294" s="5">
        <v>78.930000000000007</v>
      </c>
      <c r="R294" s="5">
        <v>75.319999999999993</v>
      </c>
      <c r="S294" s="5">
        <v>71.959999999999994</v>
      </c>
      <c r="T294" s="6">
        <v>67.98</v>
      </c>
      <c r="U294" s="6">
        <v>65.16</v>
      </c>
      <c r="V294" s="5">
        <v>72.08</v>
      </c>
      <c r="W294" s="4">
        <v>43.95</v>
      </c>
      <c r="X294" s="6">
        <v>64.790000000000006</v>
      </c>
      <c r="Y294" s="6">
        <v>64.709999999999994</v>
      </c>
    </row>
    <row r="295" spans="1:25" ht="15" customHeight="1" x14ac:dyDescent="0.45">
      <c r="A295" s="3">
        <v>45835</v>
      </c>
      <c r="B295" s="6">
        <v>61.7</v>
      </c>
      <c r="C295" s="6">
        <v>60.05</v>
      </c>
      <c r="D295" s="4">
        <v>54.89</v>
      </c>
      <c r="E295" s="6">
        <v>61.78</v>
      </c>
      <c r="F295" s="4">
        <v>45.79</v>
      </c>
      <c r="G295" s="4">
        <v>53.81</v>
      </c>
      <c r="H295" s="5">
        <v>71.930000000000007</v>
      </c>
      <c r="I295" s="5">
        <v>79.5</v>
      </c>
      <c r="J295" s="5">
        <v>70.209999999999994</v>
      </c>
      <c r="K295" s="4">
        <v>47.1</v>
      </c>
      <c r="L295" s="4">
        <v>57.91</v>
      </c>
      <c r="M295" s="4">
        <v>57.02</v>
      </c>
      <c r="N295" s="5">
        <v>72.58</v>
      </c>
      <c r="O295" s="6">
        <v>65.03</v>
      </c>
      <c r="P295" s="6">
        <v>60.12</v>
      </c>
      <c r="Q295" s="5">
        <v>75.959999999999994</v>
      </c>
      <c r="R295" s="5">
        <v>74.53</v>
      </c>
      <c r="S295" s="5">
        <v>71.900000000000006</v>
      </c>
      <c r="T295" s="6">
        <v>67.33</v>
      </c>
      <c r="U295" s="6">
        <v>63.79</v>
      </c>
      <c r="V295" s="5">
        <v>70.680000000000007</v>
      </c>
      <c r="W295" s="4">
        <v>50.02</v>
      </c>
      <c r="X295" s="6">
        <v>65.23</v>
      </c>
      <c r="Y295" s="6">
        <v>62.42</v>
      </c>
    </row>
    <row r="296" spans="1:25" ht="15" customHeight="1" x14ac:dyDescent="0.45">
      <c r="A296" s="3">
        <v>45834</v>
      </c>
      <c r="B296" s="6">
        <v>67.09</v>
      </c>
      <c r="C296" s="6">
        <v>64.209999999999994</v>
      </c>
      <c r="D296" s="4">
        <v>56.87</v>
      </c>
      <c r="E296" s="6">
        <v>67.930000000000007</v>
      </c>
      <c r="F296" s="4">
        <v>46.95</v>
      </c>
      <c r="G296" s="6">
        <v>60.45</v>
      </c>
      <c r="H296" s="6">
        <v>69.150000000000006</v>
      </c>
      <c r="I296" s="5">
        <v>78.87</v>
      </c>
      <c r="J296" s="5">
        <v>73.84</v>
      </c>
      <c r="K296" s="4">
        <v>51.78</v>
      </c>
      <c r="L296" s="6">
        <v>60.59</v>
      </c>
      <c r="M296" s="6">
        <v>60.42</v>
      </c>
      <c r="N296" s="5">
        <v>78.959999999999994</v>
      </c>
      <c r="O296" s="6">
        <v>69.56</v>
      </c>
      <c r="P296" s="5">
        <v>70.64</v>
      </c>
      <c r="Q296" s="5">
        <v>72.400000000000006</v>
      </c>
      <c r="R296" s="5">
        <v>78.87</v>
      </c>
      <c r="S296" s="5">
        <v>76.900000000000006</v>
      </c>
      <c r="T296" s="6">
        <v>69.13</v>
      </c>
      <c r="U296" s="6">
        <v>69.709999999999994</v>
      </c>
      <c r="V296" s="5">
        <v>74.33</v>
      </c>
      <c r="W296" s="4">
        <v>54.63</v>
      </c>
      <c r="X296" s="6">
        <v>67.17</v>
      </c>
      <c r="Y296" s="6">
        <v>64.010000000000005</v>
      </c>
    </row>
    <row r="297" spans="1:25" ht="15" customHeight="1" x14ac:dyDescent="0.45">
      <c r="A297" s="3">
        <v>45833</v>
      </c>
      <c r="B297" s="6">
        <v>68.47</v>
      </c>
      <c r="C297" s="6">
        <v>63.48</v>
      </c>
      <c r="D297" s="6">
        <v>61.96</v>
      </c>
      <c r="E297" s="6">
        <v>69.37</v>
      </c>
      <c r="F297" s="4">
        <v>48.63</v>
      </c>
      <c r="G297" s="6">
        <v>66.650000000000006</v>
      </c>
      <c r="H297" s="5">
        <v>71.06</v>
      </c>
      <c r="I297" s="5">
        <v>81.78</v>
      </c>
      <c r="J297" s="5">
        <v>75.62</v>
      </c>
      <c r="K297" s="4">
        <v>55.75</v>
      </c>
      <c r="L297" s="6">
        <v>64.03</v>
      </c>
      <c r="M297" s="6">
        <v>65.91</v>
      </c>
      <c r="N297" s="5">
        <v>75.900000000000006</v>
      </c>
      <c r="O297" s="5">
        <v>73.180000000000007</v>
      </c>
      <c r="P297" s="6">
        <v>69.67</v>
      </c>
      <c r="Q297" s="5">
        <v>71.099999999999994</v>
      </c>
      <c r="R297" s="5">
        <v>86.7</v>
      </c>
      <c r="S297" s="5">
        <v>88.46</v>
      </c>
      <c r="T297" s="5">
        <v>72.73</v>
      </c>
      <c r="U297" s="5">
        <v>73.55</v>
      </c>
      <c r="V297" s="5">
        <v>77.319999999999993</v>
      </c>
      <c r="W297" s="4">
        <v>49.75</v>
      </c>
      <c r="X297" s="5">
        <v>81.069999999999993</v>
      </c>
      <c r="Y297" s="5">
        <v>70.5</v>
      </c>
    </row>
    <row r="298" spans="1:25" ht="15" customHeight="1" x14ac:dyDescent="0.45">
      <c r="A298" s="3">
        <v>45832</v>
      </c>
      <c r="B298" s="6">
        <v>67.53</v>
      </c>
      <c r="C298" s="6">
        <v>63.29</v>
      </c>
      <c r="D298" s="6">
        <v>61.22</v>
      </c>
      <c r="E298" s="6">
        <v>69.89</v>
      </c>
      <c r="F298" s="4">
        <v>49.53</v>
      </c>
      <c r="G298" s="6">
        <v>65.17</v>
      </c>
      <c r="H298" s="5">
        <v>73.37</v>
      </c>
      <c r="I298" s="5">
        <v>89.36</v>
      </c>
      <c r="J298" s="5">
        <v>73.97</v>
      </c>
      <c r="K298" s="4">
        <v>55.94</v>
      </c>
      <c r="L298" s="6">
        <v>68.25</v>
      </c>
      <c r="M298" s="6">
        <v>63.61</v>
      </c>
      <c r="N298" s="6">
        <v>69.25</v>
      </c>
      <c r="O298" s="6">
        <v>69</v>
      </c>
      <c r="P298" s="6">
        <v>68.489999999999995</v>
      </c>
      <c r="Q298" s="6">
        <v>69.55</v>
      </c>
      <c r="R298" s="5">
        <v>86.67</v>
      </c>
      <c r="S298" s="5">
        <v>87.59</v>
      </c>
      <c r="T298" s="5">
        <v>72.36</v>
      </c>
      <c r="U298" s="5">
        <v>80.45</v>
      </c>
      <c r="V298" s="5">
        <v>76.89</v>
      </c>
      <c r="W298" s="4">
        <v>40.97</v>
      </c>
      <c r="X298" s="5">
        <v>91.37</v>
      </c>
      <c r="Y298" s="5">
        <v>70.209999999999994</v>
      </c>
    </row>
    <row r="299" spans="1:25" ht="15" customHeight="1" x14ac:dyDescent="0.45">
      <c r="A299" s="3">
        <v>45831</v>
      </c>
      <c r="B299" s="6">
        <v>64.22</v>
      </c>
      <c r="C299" s="6">
        <v>60.59</v>
      </c>
      <c r="D299" s="4">
        <v>58.19</v>
      </c>
      <c r="E299" s="6">
        <v>66.75</v>
      </c>
      <c r="F299" s="4">
        <v>45.14</v>
      </c>
      <c r="G299" s="4">
        <v>57.16</v>
      </c>
      <c r="H299" s="5">
        <v>79.8</v>
      </c>
      <c r="I299" s="5">
        <v>88.47</v>
      </c>
      <c r="J299" s="6">
        <v>65.89</v>
      </c>
      <c r="K299" s="4">
        <v>50.82</v>
      </c>
      <c r="L299" s="6">
        <v>66.3</v>
      </c>
      <c r="M299" s="6">
        <v>61.96</v>
      </c>
      <c r="N299" s="4">
        <v>50.13</v>
      </c>
      <c r="O299" s="6">
        <v>66.790000000000006</v>
      </c>
      <c r="P299" s="6">
        <v>67.89</v>
      </c>
      <c r="Q299" s="6">
        <v>62.74</v>
      </c>
      <c r="R299" s="5">
        <v>83.08</v>
      </c>
      <c r="S299" s="5">
        <v>84.72</v>
      </c>
      <c r="T299" s="6">
        <v>67.989999999999995</v>
      </c>
      <c r="U299" s="5">
        <v>77.16</v>
      </c>
      <c r="V299" s="5">
        <v>71.41</v>
      </c>
      <c r="W299" s="7">
        <v>27.43</v>
      </c>
      <c r="X299" s="5">
        <v>90.62</v>
      </c>
      <c r="Y299" s="6">
        <v>65.39</v>
      </c>
    </row>
    <row r="300" spans="1:25" ht="15" customHeight="1" x14ac:dyDescent="0.45">
      <c r="A300" s="3">
        <v>45828</v>
      </c>
      <c r="B300" s="5">
        <v>70.400000000000006</v>
      </c>
      <c r="C300" s="6">
        <v>66.58</v>
      </c>
      <c r="D300" s="6">
        <v>67.209999999999994</v>
      </c>
      <c r="E300" s="5">
        <v>72.81</v>
      </c>
      <c r="F300" s="4">
        <v>53.39</v>
      </c>
      <c r="G300" s="4">
        <v>59.62</v>
      </c>
      <c r="H300" s="5">
        <v>80.760000000000005</v>
      </c>
      <c r="I300" s="5">
        <v>84.29</v>
      </c>
      <c r="J300" s="5">
        <v>72.459999999999994</v>
      </c>
      <c r="K300" s="4">
        <v>58.58</v>
      </c>
      <c r="L300" s="5">
        <v>77.260000000000005</v>
      </c>
      <c r="M300" s="6">
        <v>62.65</v>
      </c>
      <c r="N300" s="4">
        <v>54.51</v>
      </c>
      <c r="O300" s="6">
        <v>65.44</v>
      </c>
      <c r="P300" s="6">
        <v>66.33</v>
      </c>
      <c r="Q300" s="6">
        <v>66.400000000000006</v>
      </c>
      <c r="R300" s="5">
        <v>81.5</v>
      </c>
      <c r="S300" s="5">
        <v>80.89</v>
      </c>
      <c r="T300" s="5">
        <v>71.38</v>
      </c>
      <c r="U300" s="5">
        <v>83.24</v>
      </c>
      <c r="V300" s="5">
        <v>78.25</v>
      </c>
      <c r="W300" s="7">
        <v>27.73</v>
      </c>
      <c r="X300" s="5">
        <v>89</v>
      </c>
      <c r="Y300" s="6">
        <v>69.73</v>
      </c>
    </row>
    <row r="301" spans="1:25" ht="15" customHeight="1" x14ac:dyDescent="0.45">
      <c r="A301" s="3">
        <v>45827</v>
      </c>
      <c r="B301" s="6">
        <v>67.83</v>
      </c>
      <c r="C301" s="5">
        <v>71.16</v>
      </c>
      <c r="D301" s="6">
        <v>69.63</v>
      </c>
      <c r="E301" s="6">
        <v>68.599999999999994</v>
      </c>
      <c r="F301" s="4">
        <v>46.14</v>
      </c>
      <c r="G301" s="6">
        <v>64.16</v>
      </c>
      <c r="H301" s="5">
        <v>80.42</v>
      </c>
      <c r="I301" s="5">
        <v>86.11</v>
      </c>
      <c r="J301" s="6">
        <v>68.66</v>
      </c>
      <c r="K301" s="6">
        <v>63.31</v>
      </c>
      <c r="L301" s="5">
        <v>76.61</v>
      </c>
      <c r="M301" s="6">
        <v>62.49</v>
      </c>
      <c r="N301" s="4">
        <v>50.8</v>
      </c>
      <c r="O301" s="5">
        <v>72.25</v>
      </c>
      <c r="P301" s="6">
        <v>63.17</v>
      </c>
      <c r="Q301" s="6">
        <v>64.39</v>
      </c>
      <c r="R301" s="5">
        <v>79.66</v>
      </c>
      <c r="S301" s="5">
        <v>81.37</v>
      </c>
      <c r="T301" s="6">
        <v>69.739999999999995</v>
      </c>
      <c r="U301" s="5">
        <v>82.17</v>
      </c>
      <c r="V301" s="5">
        <v>75.62</v>
      </c>
      <c r="W301" s="7">
        <v>29.28</v>
      </c>
      <c r="X301" s="5">
        <v>86.39</v>
      </c>
      <c r="Y301" s="6">
        <v>66.27</v>
      </c>
    </row>
    <row r="302" spans="1:25" ht="15" customHeight="1" x14ac:dyDescent="0.45">
      <c r="A302" s="3">
        <v>45826</v>
      </c>
      <c r="B302" s="6">
        <v>67.64</v>
      </c>
      <c r="C302" s="6">
        <v>67.040000000000006</v>
      </c>
      <c r="D302" s="6">
        <v>64.319999999999993</v>
      </c>
      <c r="E302" s="6">
        <v>67.87</v>
      </c>
      <c r="F302" s="4">
        <v>49.12</v>
      </c>
      <c r="G302" s="6">
        <v>67.069999999999993</v>
      </c>
      <c r="H302" s="5">
        <v>77.87</v>
      </c>
      <c r="I302" s="5">
        <v>85.51</v>
      </c>
      <c r="J302" s="5">
        <v>70.69</v>
      </c>
      <c r="K302" s="6">
        <v>63.22</v>
      </c>
      <c r="L302" s="5">
        <v>76.41</v>
      </c>
      <c r="M302" s="6">
        <v>61.62</v>
      </c>
      <c r="N302" s="4">
        <v>54.21</v>
      </c>
      <c r="O302" s="5">
        <v>70.56</v>
      </c>
      <c r="P302" s="6">
        <v>65.34</v>
      </c>
      <c r="Q302" s="6">
        <v>66.72</v>
      </c>
      <c r="R302" s="5">
        <v>79.2</v>
      </c>
      <c r="S302" s="5">
        <v>85.52</v>
      </c>
      <c r="T302" s="6">
        <v>68.75</v>
      </c>
      <c r="U302" s="5">
        <v>80.3</v>
      </c>
      <c r="V302" s="5">
        <v>76.11</v>
      </c>
      <c r="W302" s="4">
        <v>31.66</v>
      </c>
      <c r="X302" s="5">
        <v>84.54</v>
      </c>
      <c r="Y302" s="6">
        <v>67.36</v>
      </c>
    </row>
    <row r="303" spans="1:25" ht="15" customHeight="1" x14ac:dyDescent="0.45">
      <c r="A303" s="3">
        <v>45825</v>
      </c>
      <c r="B303" s="6">
        <v>68.95</v>
      </c>
      <c r="C303" s="6">
        <v>65.05</v>
      </c>
      <c r="D303" s="6">
        <v>62.87</v>
      </c>
      <c r="E303" s="6">
        <v>65.22</v>
      </c>
      <c r="F303" s="4">
        <v>49.76</v>
      </c>
      <c r="G303" s="6">
        <v>68.849999999999994</v>
      </c>
      <c r="H303" s="5">
        <v>77.59</v>
      </c>
      <c r="I303" s="5">
        <v>84.76</v>
      </c>
      <c r="J303" s="6">
        <v>68.040000000000006</v>
      </c>
      <c r="K303" s="6">
        <v>60.91</v>
      </c>
      <c r="L303" s="5">
        <v>78.09</v>
      </c>
      <c r="M303" s="6">
        <v>66.98</v>
      </c>
      <c r="N303" s="4">
        <v>51.61</v>
      </c>
      <c r="O303" s="5">
        <v>74.73</v>
      </c>
      <c r="P303" s="6">
        <v>62.38</v>
      </c>
      <c r="Q303" s="6">
        <v>68.17</v>
      </c>
      <c r="R303" s="5">
        <v>82.96</v>
      </c>
      <c r="S303" s="5">
        <v>84.73</v>
      </c>
      <c r="T303" s="5">
        <v>77.98</v>
      </c>
      <c r="U303" s="5">
        <v>81.11</v>
      </c>
      <c r="V303" s="5">
        <v>74.680000000000007</v>
      </c>
      <c r="W303" s="4">
        <v>34.22</v>
      </c>
      <c r="X303" s="5">
        <v>76.08</v>
      </c>
      <c r="Y303" s="6">
        <v>63.64</v>
      </c>
    </row>
    <row r="304" spans="1:25" ht="15" customHeight="1" x14ac:dyDescent="0.45">
      <c r="A304" s="3">
        <v>45824</v>
      </c>
      <c r="B304" s="6">
        <v>68.33</v>
      </c>
      <c r="C304" s="6">
        <v>65.09</v>
      </c>
      <c r="D304" s="6">
        <v>64.06</v>
      </c>
      <c r="E304" s="6">
        <v>69.16</v>
      </c>
      <c r="F304" s="4">
        <v>50.7</v>
      </c>
      <c r="G304" s="5">
        <v>75.790000000000006</v>
      </c>
      <c r="H304" s="5">
        <v>76.36</v>
      </c>
      <c r="I304" s="5">
        <v>84.27</v>
      </c>
      <c r="J304" s="6">
        <v>65.760000000000005</v>
      </c>
      <c r="K304" s="6">
        <v>61.62</v>
      </c>
      <c r="L304" s="5">
        <v>77.56</v>
      </c>
      <c r="M304" s="5">
        <v>71.67</v>
      </c>
      <c r="N304" s="4">
        <v>49.09</v>
      </c>
      <c r="O304" s="5">
        <v>78.510000000000005</v>
      </c>
      <c r="P304" s="5">
        <v>70.87</v>
      </c>
      <c r="Q304" s="6">
        <v>69.88</v>
      </c>
      <c r="R304" s="5">
        <v>85.31</v>
      </c>
      <c r="S304" s="5">
        <v>84.59</v>
      </c>
      <c r="T304" s="5">
        <v>79.349999999999994</v>
      </c>
      <c r="U304" s="5">
        <v>81.459999999999994</v>
      </c>
      <c r="V304" s="5">
        <v>73.53</v>
      </c>
      <c r="W304" s="4">
        <v>34.42</v>
      </c>
      <c r="X304" s="5">
        <v>82.44</v>
      </c>
      <c r="Y304" s="6">
        <v>65.16</v>
      </c>
    </row>
    <row r="305" spans="1:25" ht="15" customHeight="1" x14ac:dyDescent="0.45">
      <c r="A305" s="3">
        <v>45821</v>
      </c>
      <c r="B305" s="6">
        <v>63.16</v>
      </c>
      <c r="C305" s="6">
        <v>60.5</v>
      </c>
      <c r="D305" s="6">
        <v>65.790000000000006</v>
      </c>
      <c r="E305" s="6">
        <v>66.94</v>
      </c>
      <c r="F305" s="4">
        <v>51.46</v>
      </c>
      <c r="G305" s="5">
        <v>72.489999999999995</v>
      </c>
      <c r="H305" s="5">
        <v>75.17</v>
      </c>
      <c r="I305" s="5">
        <v>80.599999999999994</v>
      </c>
      <c r="J305" s="6">
        <v>63.95</v>
      </c>
      <c r="K305" s="6">
        <v>62.43</v>
      </c>
      <c r="L305" s="5">
        <v>74.34</v>
      </c>
      <c r="M305" s="6">
        <v>66.88</v>
      </c>
      <c r="N305" s="4">
        <v>48.3</v>
      </c>
      <c r="O305" s="5">
        <v>73.7</v>
      </c>
      <c r="P305" s="6">
        <v>69.94</v>
      </c>
      <c r="Q305" s="6">
        <v>63.97</v>
      </c>
      <c r="R305" s="5">
        <v>82.6</v>
      </c>
      <c r="S305" s="5">
        <v>81.75</v>
      </c>
      <c r="T305" s="5">
        <v>77.44</v>
      </c>
      <c r="U305" s="5">
        <v>79.180000000000007</v>
      </c>
      <c r="V305" s="5">
        <v>70.849999999999994</v>
      </c>
      <c r="W305" s="4">
        <v>40.229999999999997</v>
      </c>
      <c r="X305" s="5">
        <v>75.86</v>
      </c>
      <c r="Y305" s="6">
        <v>64.13</v>
      </c>
    </row>
    <row r="306" spans="1:25" ht="15" customHeight="1" x14ac:dyDescent="0.45">
      <c r="A306" s="3">
        <v>45820</v>
      </c>
      <c r="B306" s="6">
        <v>67.83</v>
      </c>
      <c r="C306" s="5">
        <v>77.08</v>
      </c>
      <c r="D306" s="5">
        <v>72.52</v>
      </c>
      <c r="E306" s="5">
        <v>77.260000000000005</v>
      </c>
      <c r="F306" s="4">
        <v>58.62</v>
      </c>
      <c r="G306" s="5">
        <v>75.16</v>
      </c>
      <c r="H306" s="5">
        <v>71.09</v>
      </c>
      <c r="I306" s="5">
        <v>82.23</v>
      </c>
      <c r="J306" s="5">
        <v>70.88</v>
      </c>
      <c r="K306" s="5">
        <v>73.540000000000006</v>
      </c>
      <c r="L306" s="5">
        <v>73.98</v>
      </c>
      <c r="M306" s="5">
        <v>75.16</v>
      </c>
      <c r="N306" s="4">
        <v>52.29</v>
      </c>
      <c r="O306" s="5">
        <v>84.24</v>
      </c>
      <c r="P306" s="6">
        <v>66.91</v>
      </c>
      <c r="Q306" s="6">
        <v>64.739999999999995</v>
      </c>
      <c r="R306" s="5">
        <v>85.46</v>
      </c>
      <c r="S306" s="5">
        <v>84.37</v>
      </c>
      <c r="T306" s="5">
        <v>78.36</v>
      </c>
      <c r="U306" s="5">
        <v>79.86</v>
      </c>
      <c r="V306" s="5">
        <v>76.81</v>
      </c>
      <c r="W306" s="4">
        <v>49.73</v>
      </c>
      <c r="X306" s="5">
        <v>75.599999999999994</v>
      </c>
      <c r="Y306" s="5">
        <v>70.97</v>
      </c>
    </row>
    <row r="307" spans="1:25" ht="15" customHeight="1" x14ac:dyDescent="0.45">
      <c r="A307" s="3">
        <v>45819</v>
      </c>
      <c r="B307" s="6">
        <v>67.989999999999995</v>
      </c>
      <c r="C307" s="5">
        <v>76.680000000000007</v>
      </c>
      <c r="D307" s="5">
        <v>78.38</v>
      </c>
      <c r="E307" s="5">
        <v>77.599999999999994</v>
      </c>
      <c r="F307" s="6">
        <v>60.29</v>
      </c>
      <c r="G307" s="5">
        <v>75.069999999999993</v>
      </c>
      <c r="H307" s="6">
        <v>69.44</v>
      </c>
      <c r="I307" s="5">
        <v>79.19</v>
      </c>
      <c r="J307" s="5">
        <v>71.62</v>
      </c>
      <c r="K307" s="5">
        <v>72.44</v>
      </c>
      <c r="L307" s="5">
        <v>70.59</v>
      </c>
      <c r="M307" s="5">
        <v>80.44</v>
      </c>
      <c r="N307" s="4">
        <v>50.34</v>
      </c>
      <c r="O307" s="5">
        <v>81.64</v>
      </c>
      <c r="P307" s="6">
        <v>65.88</v>
      </c>
      <c r="Q307" s="6">
        <v>62.09</v>
      </c>
      <c r="R307" s="5">
        <v>85.4</v>
      </c>
      <c r="S307" s="5">
        <v>84.24</v>
      </c>
      <c r="T307" s="5">
        <v>77.16</v>
      </c>
      <c r="U307" s="5">
        <v>75.62</v>
      </c>
      <c r="V307" s="5">
        <v>75.89</v>
      </c>
      <c r="W307" s="4">
        <v>48.49</v>
      </c>
      <c r="X307" s="5">
        <v>74.849999999999994</v>
      </c>
      <c r="Y307" s="6">
        <v>69.959999999999994</v>
      </c>
    </row>
    <row r="308" spans="1:25" ht="15" customHeight="1" x14ac:dyDescent="0.45">
      <c r="A308" s="3">
        <v>45818</v>
      </c>
      <c r="B308" s="6">
        <v>66.239999999999995</v>
      </c>
      <c r="C308" s="5">
        <v>76.39</v>
      </c>
      <c r="D308" s="5">
        <v>75.63</v>
      </c>
      <c r="E308" s="5">
        <v>75.12</v>
      </c>
      <c r="F308" s="4">
        <v>59.63</v>
      </c>
      <c r="G308" s="5">
        <v>76.56</v>
      </c>
      <c r="H308" s="6">
        <v>68.010000000000005</v>
      </c>
      <c r="I308" s="5">
        <v>76.540000000000006</v>
      </c>
      <c r="J308" s="6">
        <v>68.14</v>
      </c>
      <c r="K308" s="6">
        <v>67.39</v>
      </c>
      <c r="L308" s="5">
        <v>70.03</v>
      </c>
      <c r="M308" s="5">
        <v>78.319999999999993</v>
      </c>
      <c r="N308" s="4">
        <v>47.13</v>
      </c>
      <c r="O308" s="5">
        <v>81.239999999999995</v>
      </c>
      <c r="P308" s="6">
        <v>64.989999999999995</v>
      </c>
      <c r="Q308" s="4">
        <v>55.5</v>
      </c>
      <c r="R308" s="5">
        <v>84.46</v>
      </c>
      <c r="S308" s="5">
        <v>82.41</v>
      </c>
      <c r="T308" s="5">
        <v>73.959999999999994</v>
      </c>
      <c r="U308" s="5">
        <v>71.8</v>
      </c>
      <c r="V308" s="5">
        <v>73.36</v>
      </c>
      <c r="W308" s="4">
        <v>48.82</v>
      </c>
      <c r="X308" s="5">
        <v>73.75</v>
      </c>
      <c r="Y308" s="5">
        <v>77.510000000000005</v>
      </c>
    </row>
    <row r="309" spans="1:25" ht="15" customHeight="1" x14ac:dyDescent="0.45">
      <c r="A309" s="3">
        <v>45817</v>
      </c>
      <c r="B309" s="6">
        <v>67.180000000000007</v>
      </c>
      <c r="C309" s="5">
        <v>75.63</v>
      </c>
      <c r="D309" s="5">
        <v>71.760000000000005</v>
      </c>
      <c r="E309" s="5">
        <v>72.7</v>
      </c>
      <c r="F309" s="4">
        <v>56.91</v>
      </c>
      <c r="G309" s="5">
        <v>75.819999999999993</v>
      </c>
      <c r="H309" s="6">
        <v>63.99</v>
      </c>
      <c r="I309" s="5">
        <v>74.44</v>
      </c>
      <c r="J309" s="6">
        <v>67.67</v>
      </c>
      <c r="K309" s="6">
        <v>66.42</v>
      </c>
      <c r="L309" s="6">
        <v>65.650000000000006</v>
      </c>
      <c r="M309" s="5">
        <v>81.96</v>
      </c>
      <c r="N309" s="6">
        <v>68.2</v>
      </c>
      <c r="O309" s="5">
        <v>78.569999999999993</v>
      </c>
      <c r="P309" s="6">
        <v>64.05</v>
      </c>
      <c r="Q309" s="4">
        <v>56.06</v>
      </c>
      <c r="R309" s="5">
        <v>84.96</v>
      </c>
      <c r="S309" s="5">
        <v>83.56</v>
      </c>
      <c r="T309" s="5">
        <v>82.64</v>
      </c>
      <c r="U309" s="6">
        <v>68.180000000000007</v>
      </c>
      <c r="V309" s="5">
        <v>71.33</v>
      </c>
      <c r="W309" s="4">
        <v>45.72</v>
      </c>
      <c r="X309" s="5">
        <v>73.25</v>
      </c>
      <c r="Y309" s="5">
        <v>75.14</v>
      </c>
    </row>
    <row r="310" spans="1:25" ht="15" customHeight="1" x14ac:dyDescent="0.45">
      <c r="A310" s="3">
        <v>45814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" customHeight="1" x14ac:dyDescent="0.45">
      <c r="A311" s="3">
        <v>45813</v>
      </c>
      <c r="B311" s="6">
        <v>64.58</v>
      </c>
      <c r="C311" s="5">
        <v>73.91</v>
      </c>
      <c r="D311" s="6">
        <v>63.92</v>
      </c>
      <c r="E311" s="5">
        <v>70.83</v>
      </c>
      <c r="F311" s="4">
        <v>52.06</v>
      </c>
      <c r="G311" s="5">
        <v>74.34</v>
      </c>
      <c r="H311" s="6">
        <v>62.97</v>
      </c>
      <c r="I311" s="5">
        <v>73.13</v>
      </c>
      <c r="J311" s="6">
        <v>65.95</v>
      </c>
      <c r="K311" s="6">
        <v>65.25</v>
      </c>
      <c r="L311" s="6">
        <v>64.819999999999993</v>
      </c>
      <c r="M311" s="5">
        <v>80.37</v>
      </c>
      <c r="N311" s="6">
        <v>62.19</v>
      </c>
      <c r="O311" s="5">
        <v>77.989999999999995</v>
      </c>
      <c r="P311" s="4">
        <v>58.97</v>
      </c>
      <c r="Q311" s="4">
        <v>51.71</v>
      </c>
      <c r="R311" s="5">
        <v>82.43</v>
      </c>
      <c r="S311" s="5">
        <v>81.31</v>
      </c>
      <c r="T311" s="5">
        <v>82.07</v>
      </c>
      <c r="U311" s="6">
        <v>68</v>
      </c>
      <c r="V311" s="6">
        <v>69.400000000000006</v>
      </c>
      <c r="W311" s="4">
        <v>48.39</v>
      </c>
      <c r="X311" s="6">
        <v>63.15</v>
      </c>
      <c r="Y311" s="6">
        <v>67.83</v>
      </c>
    </row>
    <row r="312" spans="1:25" ht="15" customHeight="1" x14ac:dyDescent="0.45">
      <c r="A312" s="3">
        <v>45812</v>
      </c>
      <c r="B312" s="6">
        <v>65.53</v>
      </c>
      <c r="C312" s="5">
        <v>72.489999999999995</v>
      </c>
      <c r="D312" s="6">
        <v>62.15</v>
      </c>
      <c r="E312" s="6">
        <v>69.42</v>
      </c>
      <c r="F312" s="4">
        <v>53.34</v>
      </c>
      <c r="G312" s="5">
        <v>72.3</v>
      </c>
      <c r="H312" s="6">
        <v>60</v>
      </c>
      <c r="I312" s="6">
        <v>69.319999999999993</v>
      </c>
      <c r="J312" s="6">
        <v>61.19</v>
      </c>
      <c r="K312" s="6">
        <v>63.06</v>
      </c>
      <c r="L312" s="6">
        <v>60.48</v>
      </c>
      <c r="M312" s="5">
        <v>76.260000000000005</v>
      </c>
      <c r="N312" s="6">
        <v>65.180000000000007</v>
      </c>
      <c r="O312" s="5">
        <v>77.3</v>
      </c>
      <c r="P312" s="6">
        <v>64.099999999999994</v>
      </c>
      <c r="Q312" s="4">
        <v>51.79</v>
      </c>
      <c r="R312" s="5">
        <v>81.73</v>
      </c>
      <c r="S312" s="5">
        <v>81.09</v>
      </c>
      <c r="T312" s="5">
        <v>77.040000000000006</v>
      </c>
      <c r="U312" s="6">
        <v>62.2</v>
      </c>
      <c r="V312" s="6">
        <v>65.14</v>
      </c>
      <c r="W312" s="4">
        <v>52.52</v>
      </c>
      <c r="X312" s="4">
        <v>55.13</v>
      </c>
      <c r="Y312" s="6">
        <v>65.67</v>
      </c>
    </row>
    <row r="313" spans="1:25" ht="15" customHeight="1" x14ac:dyDescent="0.45">
      <c r="A313" s="3">
        <v>45811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" customHeight="1" x14ac:dyDescent="0.45">
      <c r="A314" s="3">
        <v>45810</v>
      </c>
      <c r="B314" s="4">
        <v>55.57</v>
      </c>
      <c r="C314" s="6">
        <v>67.84</v>
      </c>
      <c r="D314" s="4">
        <v>55.78</v>
      </c>
      <c r="E314" s="6">
        <v>62.19</v>
      </c>
      <c r="F314" s="4">
        <v>53.46</v>
      </c>
      <c r="G314" s="6">
        <v>62.91</v>
      </c>
      <c r="H314" s="4">
        <v>54.09</v>
      </c>
      <c r="I314" s="6">
        <v>65.23</v>
      </c>
      <c r="J314" s="4">
        <v>55.37</v>
      </c>
      <c r="K314" s="4">
        <v>57.17</v>
      </c>
      <c r="L314" s="4">
        <v>58.02</v>
      </c>
      <c r="M314" s="5">
        <v>70.3</v>
      </c>
      <c r="N314" s="6">
        <v>66.98</v>
      </c>
      <c r="O314" s="5">
        <v>74.45</v>
      </c>
      <c r="P314" s="6">
        <v>61.06</v>
      </c>
      <c r="Q314" s="4">
        <v>44.2</v>
      </c>
      <c r="R314" s="5">
        <v>73.819999999999993</v>
      </c>
      <c r="S314" s="5">
        <v>74.430000000000007</v>
      </c>
      <c r="T314" s="6">
        <v>66.02</v>
      </c>
      <c r="U314" s="4">
        <v>59.38</v>
      </c>
      <c r="V314" s="4">
        <v>59.27</v>
      </c>
      <c r="W314" s="4">
        <v>43.68</v>
      </c>
      <c r="X314" s="4">
        <v>56.77</v>
      </c>
      <c r="Y314" s="4">
        <v>59.79</v>
      </c>
    </row>
    <row r="315" spans="1:25" ht="15" customHeight="1" x14ac:dyDescent="0.45">
      <c r="A315" s="3">
        <v>45807</v>
      </c>
      <c r="B315" s="6">
        <v>60.16</v>
      </c>
      <c r="C315" s="5">
        <v>72.56</v>
      </c>
      <c r="D315" s="4">
        <v>55.2</v>
      </c>
      <c r="E315" s="6">
        <v>62.09</v>
      </c>
      <c r="F315" s="4">
        <v>53.5</v>
      </c>
      <c r="G315" s="6">
        <v>62.93</v>
      </c>
      <c r="H315" s="4">
        <v>56.46</v>
      </c>
      <c r="I315" s="6">
        <v>64.239999999999995</v>
      </c>
      <c r="J315" s="4">
        <v>53.3</v>
      </c>
      <c r="K315" s="6">
        <v>60.59</v>
      </c>
      <c r="L315" s="4">
        <v>55.91</v>
      </c>
      <c r="M315" s="5">
        <v>73.91</v>
      </c>
      <c r="N315" s="5">
        <v>70.8</v>
      </c>
      <c r="O315" s="5">
        <v>73.53</v>
      </c>
      <c r="P315" s="4">
        <v>56.13</v>
      </c>
      <c r="Q315" s="4">
        <v>48.71</v>
      </c>
      <c r="R315" s="5">
        <v>82.31</v>
      </c>
      <c r="S315" s="5">
        <v>77.53</v>
      </c>
      <c r="T315" s="5">
        <v>71.47</v>
      </c>
      <c r="U315" s="6">
        <v>60.34</v>
      </c>
      <c r="V315" s="4">
        <v>57.62</v>
      </c>
      <c r="W315" s="4">
        <v>48.7</v>
      </c>
      <c r="X315" s="4">
        <v>54.9</v>
      </c>
      <c r="Y315" s="4">
        <v>54.82</v>
      </c>
    </row>
    <row r="316" spans="1:25" ht="15" customHeight="1" x14ac:dyDescent="0.45">
      <c r="A316" s="3">
        <v>45806</v>
      </c>
      <c r="B316" s="6">
        <v>60.95</v>
      </c>
      <c r="C316" s="5">
        <v>71.52</v>
      </c>
      <c r="D316" s="4">
        <v>54.23</v>
      </c>
      <c r="E316" s="6">
        <v>62.06</v>
      </c>
      <c r="F316" s="4">
        <v>51</v>
      </c>
      <c r="G316" s="6">
        <v>65.83</v>
      </c>
      <c r="H316" s="6">
        <v>60.27</v>
      </c>
      <c r="I316" s="5">
        <v>71.510000000000005</v>
      </c>
      <c r="J316" s="4">
        <v>56.47</v>
      </c>
      <c r="K316" s="6">
        <v>63.45</v>
      </c>
      <c r="L316" s="6">
        <v>62.4</v>
      </c>
      <c r="M316" s="5">
        <v>80.489999999999995</v>
      </c>
      <c r="N316" s="6">
        <v>67.069999999999993</v>
      </c>
      <c r="O316" s="5">
        <v>82.66</v>
      </c>
      <c r="P316" s="6">
        <v>62.67</v>
      </c>
      <c r="Q316" s="4">
        <v>49.31</v>
      </c>
      <c r="R316" s="5">
        <v>84.93</v>
      </c>
      <c r="S316" s="5">
        <v>83.56</v>
      </c>
      <c r="T316" s="5">
        <v>72.78</v>
      </c>
      <c r="U316" s="6">
        <v>60.4</v>
      </c>
      <c r="V316" s="6">
        <v>62.02</v>
      </c>
      <c r="W316" s="4">
        <v>47.44</v>
      </c>
      <c r="X316" s="6">
        <v>62.71</v>
      </c>
      <c r="Y316" s="6">
        <v>60.26</v>
      </c>
    </row>
    <row r="317" spans="1:25" ht="15" customHeight="1" x14ac:dyDescent="0.45">
      <c r="A317" s="3">
        <v>45805</v>
      </c>
      <c r="B317" s="4">
        <v>59.76</v>
      </c>
      <c r="C317" s="6">
        <v>66.12</v>
      </c>
      <c r="D317" s="4">
        <v>49.86</v>
      </c>
      <c r="E317" s="4">
        <v>57.46</v>
      </c>
      <c r="F317" s="4">
        <v>48.51</v>
      </c>
      <c r="G317" s="6">
        <v>60.31</v>
      </c>
      <c r="H317" s="4">
        <v>56.23</v>
      </c>
      <c r="I317" s="6">
        <v>67.47</v>
      </c>
      <c r="J317" s="4">
        <v>54.48</v>
      </c>
      <c r="K317" s="6">
        <v>62.67</v>
      </c>
      <c r="L317" s="4">
        <v>55.6</v>
      </c>
      <c r="M317" s="5">
        <v>77.66</v>
      </c>
      <c r="N317" s="5">
        <v>73.19</v>
      </c>
      <c r="O317" s="5">
        <v>78.8</v>
      </c>
      <c r="P317" s="6">
        <v>60.05</v>
      </c>
      <c r="Q317" s="4">
        <v>49.45</v>
      </c>
      <c r="R317" s="5">
        <v>79.61</v>
      </c>
      <c r="S317" s="5">
        <v>72.400000000000006</v>
      </c>
      <c r="T317" s="6">
        <v>67.98</v>
      </c>
      <c r="U317" s="4">
        <v>54.99</v>
      </c>
      <c r="V317" s="4">
        <v>57.44</v>
      </c>
      <c r="W317" s="4">
        <v>44.69</v>
      </c>
      <c r="X317" s="4">
        <v>58.61</v>
      </c>
      <c r="Y317" s="6">
        <v>66.680000000000007</v>
      </c>
    </row>
    <row r="318" spans="1:25" ht="15" customHeight="1" x14ac:dyDescent="0.45">
      <c r="A318" s="3">
        <v>45804</v>
      </c>
      <c r="B318" s="6">
        <v>61.81</v>
      </c>
      <c r="C318" s="6">
        <v>69.37</v>
      </c>
      <c r="D318" s="4">
        <v>48.85</v>
      </c>
      <c r="E318" s="4">
        <v>50.43</v>
      </c>
      <c r="F318" s="4">
        <v>48.6</v>
      </c>
      <c r="G318" s="6">
        <v>60.59</v>
      </c>
      <c r="H318" s="4">
        <v>50.94</v>
      </c>
      <c r="I318" s="5">
        <v>75.94</v>
      </c>
      <c r="J318" s="4">
        <v>44.02</v>
      </c>
      <c r="K318" s="6">
        <v>63.32</v>
      </c>
      <c r="L318" s="6">
        <v>60.9</v>
      </c>
      <c r="M318" s="5">
        <v>76.680000000000007</v>
      </c>
      <c r="N318" s="5">
        <v>76.09</v>
      </c>
      <c r="O318" s="5">
        <v>79.900000000000006</v>
      </c>
      <c r="P318" s="4">
        <v>59.42</v>
      </c>
      <c r="Q318" s="4">
        <v>51.81</v>
      </c>
      <c r="R318" s="5">
        <v>77.319999999999993</v>
      </c>
      <c r="S318" s="5">
        <v>71.069999999999993</v>
      </c>
      <c r="T318" s="6">
        <v>68.58</v>
      </c>
      <c r="U318" s="4">
        <v>57.25</v>
      </c>
      <c r="V318" s="4">
        <v>51.74</v>
      </c>
      <c r="W318" s="4">
        <v>47.15</v>
      </c>
      <c r="X318" s="4">
        <v>55.13</v>
      </c>
      <c r="Y318" s="5">
        <v>75.05</v>
      </c>
    </row>
    <row r="319" spans="1:25" ht="15" customHeight="1" x14ac:dyDescent="0.45">
      <c r="A319" s="3">
        <v>45803</v>
      </c>
      <c r="B319" s="6">
        <v>62.79</v>
      </c>
      <c r="C319" s="6">
        <v>67.81</v>
      </c>
      <c r="D319" s="4">
        <v>50.32</v>
      </c>
      <c r="E319" s="4">
        <v>48.74</v>
      </c>
      <c r="F319" s="4">
        <v>49.54</v>
      </c>
      <c r="G319" s="4">
        <v>59.96</v>
      </c>
      <c r="H319" s="4">
        <v>54.61</v>
      </c>
      <c r="I319" s="5">
        <v>75.53</v>
      </c>
      <c r="J319" s="4">
        <v>47.48</v>
      </c>
      <c r="K319" s="4">
        <v>56.08</v>
      </c>
      <c r="L319" s="4">
        <v>56.8</v>
      </c>
      <c r="M319" s="5">
        <v>82.21</v>
      </c>
      <c r="N319" s="5">
        <v>87.62</v>
      </c>
      <c r="O319" s="5">
        <v>77.88</v>
      </c>
      <c r="P319" s="6">
        <v>63.41</v>
      </c>
      <c r="Q319" s="4">
        <v>52.69</v>
      </c>
      <c r="R319" s="5">
        <v>77.91</v>
      </c>
      <c r="S319" s="5">
        <v>76.45</v>
      </c>
      <c r="T319" s="5">
        <v>74.14</v>
      </c>
      <c r="U319" s="4">
        <v>56.43</v>
      </c>
      <c r="V319" s="4">
        <v>52.99</v>
      </c>
      <c r="W319" s="4">
        <v>50.3</v>
      </c>
      <c r="X319" s="4">
        <v>55.03</v>
      </c>
      <c r="Y319" s="5">
        <v>77.81</v>
      </c>
    </row>
    <row r="320" spans="1:25" ht="15" customHeight="1" x14ac:dyDescent="0.45">
      <c r="A320" s="3">
        <v>45800</v>
      </c>
      <c r="B320" s="4">
        <v>59</v>
      </c>
      <c r="C320" s="6">
        <v>66</v>
      </c>
      <c r="D320" s="4">
        <v>50.08</v>
      </c>
      <c r="E320" s="4">
        <v>41.32</v>
      </c>
      <c r="F320" s="4">
        <v>45.22</v>
      </c>
      <c r="G320" s="4">
        <v>54.44</v>
      </c>
      <c r="H320" s="4">
        <v>48.75</v>
      </c>
      <c r="I320" s="5">
        <v>73.19</v>
      </c>
      <c r="J320" s="4">
        <v>42.28</v>
      </c>
      <c r="K320" s="4">
        <v>53.5</v>
      </c>
      <c r="L320" s="4">
        <v>49.22</v>
      </c>
      <c r="M320" s="5">
        <v>74.52</v>
      </c>
      <c r="N320" s="5">
        <v>85.12</v>
      </c>
      <c r="O320" s="5">
        <v>74.94</v>
      </c>
      <c r="P320" s="6">
        <v>61.36</v>
      </c>
      <c r="Q320" s="4">
        <v>40.98</v>
      </c>
      <c r="R320" s="5">
        <v>73.12</v>
      </c>
      <c r="S320" s="5">
        <v>75.66</v>
      </c>
      <c r="T320" s="6">
        <v>65.099999999999994</v>
      </c>
      <c r="U320" s="4">
        <v>51.38</v>
      </c>
      <c r="V320" s="4">
        <v>45.53</v>
      </c>
      <c r="W320" s="4">
        <v>48.8</v>
      </c>
      <c r="X320" s="4">
        <v>46.56</v>
      </c>
      <c r="Y320" s="5">
        <v>76.38</v>
      </c>
    </row>
    <row r="321" spans="1:25" ht="15" customHeight="1" x14ac:dyDescent="0.45">
      <c r="A321" s="3">
        <v>45799</v>
      </c>
      <c r="B321" s="4">
        <v>58.11</v>
      </c>
      <c r="C321" s="6">
        <v>62.58</v>
      </c>
      <c r="D321" s="4">
        <v>50.9</v>
      </c>
      <c r="E321" s="4">
        <v>43.06</v>
      </c>
      <c r="F321" s="4">
        <v>54.18</v>
      </c>
      <c r="G321" s="4">
        <v>45.95</v>
      </c>
      <c r="H321" s="4">
        <v>49.8</v>
      </c>
      <c r="I321" s="6">
        <v>69.900000000000006</v>
      </c>
      <c r="J321" s="4">
        <v>43.43</v>
      </c>
      <c r="K321" s="4">
        <v>59.18</v>
      </c>
      <c r="L321" s="4">
        <v>51.84</v>
      </c>
      <c r="M321" s="5">
        <v>71.87</v>
      </c>
      <c r="N321" s="5">
        <v>82.08</v>
      </c>
      <c r="O321" s="6">
        <v>64.709999999999994</v>
      </c>
      <c r="P321" s="6">
        <v>62.48</v>
      </c>
      <c r="Q321" s="4">
        <v>46.12</v>
      </c>
      <c r="R321" s="6">
        <v>69.81</v>
      </c>
      <c r="S321" s="5">
        <v>74.88</v>
      </c>
      <c r="T321" s="4">
        <v>58.08</v>
      </c>
      <c r="U321" s="4">
        <v>47.17</v>
      </c>
      <c r="V321" s="4">
        <v>48.12</v>
      </c>
      <c r="W321" s="4">
        <v>48.68</v>
      </c>
      <c r="X321" s="4">
        <v>49.11</v>
      </c>
      <c r="Y321" s="5">
        <v>74.88</v>
      </c>
    </row>
    <row r="322" spans="1:25" ht="15" customHeight="1" x14ac:dyDescent="0.45">
      <c r="A322" s="3">
        <v>45798</v>
      </c>
      <c r="B322" s="4">
        <v>59.16</v>
      </c>
      <c r="C322" s="4">
        <v>55.2</v>
      </c>
      <c r="D322" s="4">
        <v>52.35</v>
      </c>
      <c r="E322" s="4">
        <v>47.81</v>
      </c>
      <c r="F322" s="4">
        <v>58.53</v>
      </c>
      <c r="G322" s="4">
        <v>49.53</v>
      </c>
      <c r="H322" s="4">
        <v>55.9</v>
      </c>
      <c r="I322" s="5">
        <v>78.87</v>
      </c>
      <c r="J322" s="4">
        <v>47.9</v>
      </c>
      <c r="K322" s="4">
        <v>57.9</v>
      </c>
      <c r="L322" s="4">
        <v>57.68</v>
      </c>
      <c r="M322" s="5">
        <v>73.16</v>
      </c>
      <c r="N322" s="5">
        <v>81.11</v>
      </c>
      <c r="O322" s="5">
        <v>70.67</v>
      </c>
      <c r="P322" s="6">
        <v>61.99</v>
      </c>
      <c r="Q322" s="4">
        <v>51.89</v>
      </c>
      <c r="R322" s="5">
        <v>75.209999999999994</v>
      </c>
      <c r="S322" s="5">
        <v>77.650000000000006</v>
      </c>
      <c r="T322" s="6">
        <v>65.94</v>
      </c>
      <c r="U322" s="4">
        <v>51.67</v>
      </c>
      <c r="V322" s="4">
        <v>55.02</v>
      </c>
      <c r="W322" s="4">
        <v>52.36</v>
      </c>
      <c r="X322" s="4">
        <v>51.91</v>
      </c>
      <c r="Y322" s="5">
        <v>73.69</v>
      </c>
    </row>
    <row r="323" spans="1:25" ht="15" customHeight="1" x14ac:dyDescent="0.45">
      <c r="A323" s="3">
        <v>45797</v>
      </c>
      <c r="B323" s="6">
        <v>60.17</v>
      </c>
      <c r="C323" s="4">
        <v>54.1</v>
      </c>
      <c r="D323" s="4">
        <v>52.3</v>
      </c>
      <c r="E323" s="4">
        <v>45.42</v>
      </c>
      <c r="F323" s="4">
        <v>45.78</v>
      </c>
      <c r="G323" s="4">
        <v>47.87</v>
      </c>
      <c r="H323" s="4">
        <v>54.85</v>
      </c>
      <c r="I323" s="5">
        <v>76.5</v>
      </c>
      <c r="J323" s="4">
        <v>49.05</v>
      </c>
      <c r="K323" s="4">
        <v>52.89</v>
      </c>
      <c r="L323" s="4">
        <v>52.83</v>
      </c>
      <c r="M323" s="4">
        <v>59.66</v>
      </c>
      <c r="N323" s="5">
        <v>80.11</v>
      </c>
      <c r="O323" s="6">
        <v>67.41</v>
      </c>
      <c r="P323" s="6">
        <v>61.1</v>
      </c>
      <c r="Q323" s="4">
        <v>53.38</v>
      </c>
      <c r="R323" s="5">
        <v>72.680000000000007</v>
      </c>
      <c r="S323" s="5">
        <v>73.010000000000005</v>
      </c>
      <c r="T323" s="6">
        <v>61.2</v>
      </c>
      <c r="U323" s="4">
        <v>49.01</v>
      </c>
      <c r="V323" s="4">
        <v>51.89</v>
      </c>
      <c r="W323" s="4">
        <v>52.43</v>
      </c>
      <c r="X323" s="4">
        <v>47.03</v>
      </c>
      <c r="Y323" s="5">
        <v>72.900000000000006</v>
      </c>
    </row>
    <row r="324" spans="1:25" ht="15" customHeight="1" x14ac:dyDescent="0.45">
      <c r="A324" s="3">
        <v>45796</v>
      </c>
      <c r="B324" s="6">
        <v>63.2</v>
      </c>
      <c r="C324" s="4">
        <v>51.91</v>
      </c>
      <c r="D324" s="4">
        <v>45.64</v>
      </c>
      <c r="E324" s="4">
        <v>50.86</v>
      </c>
      <c r="F324" s="4">
        <v>45.69</v>
      </c>
      <c r="G324" s="4">
        <v>45.87</v>
      </c>
      <c r="H324" s="4">
        <v>54.57</v>
      </c>
      <c r="I324" s="5">
        <v>72.75</v>
      </c>
      <c r="J324" s="4">
        <v>49.11</v>
      </c>
      <c r="K324" s="4">
        <v>53.14</v>
      </c>
      <c r="L324" s="4">
        <v>59.69</v>
      </c>
      <c r="M324" s="4">
        <v>55.17</v>
      </c>
      <c r="N324" s="5">
        <v>76.8</v>
      </c>
      <c r="O324" s="6">
        <v>63.24</v>
      </c>
      <c r="P324" s="6">
        <v>66.010000000000005</v>
      </c>
      <c r="Q324" s="4">
        <v>52.3</v>
      </c>
      <c r="R324" s="5">
        <v>71.08</v>
      </c>
      <c r="S324" s="5">
        <v>70.45</v>
      </c>
      <c r="T324" s="6">
        <v>62.57</v>
      </c>
      <c r="U324" s="4">
        <v>51.06</v>
      </c>
      <c r="V324" s="4">
        <v>53.47</v>
      </c>
      <c r="W324" s="4">
        <v>51.07</v>
      </c>
      <c r="X324" s="4">
        <v>47.62</v>
      </c>
      <c r="Y324" s="6">
        <v>69.05</v>
      </c>
    </row>
    <row r="325" spans="1:25" ht="15" customHeight="1" x14ac:dyDescent="0.45">
      <c r="A325" s="3">
        <v>45793</v>
      </c>
      <c r="B325" s="6">
        <v>69.55</v>
      </c>
      <c r="C325" s="4">
        <v>53.84</v>
      </c>
      <c r="D325" s="4">
        <v>47.83</v>
      </c>
      <c r="E325" s="4">
        <v>52.26</v>
      </c>
      <c r="F325" s="4">
        <v>41.46</v>
      </c>
      <c r="G325" s="4">
        <v>48.51</v>
      </c>
      <c r="H325" s="4">
        <v>59.3</v>
      </c>
      <c r="I325" s="5">
        <v>76.209999999999994</v>
      </c>
      <c r="J325" s="4">
        <v>53.99</v>
      </c>
      <c r="K325" s="4">
        <v>55.65</v>
      </c>
      <c r="L325" s="6">
        <v>64.52</v>
      </c>
      <c r="M325" s="4">
        <v>56.29</v>
      </c>
      <c r="N325" s="5">
        <v>75.45</v>
      </c>
      <c r="O325" s="6">
        <v>63.65</v>
      </c>
      <c r="P325" s="5">
        <v>70.44</v>
      </c>
      <c r="Q325" s="4">
        <v>54.35</v>
      </c>
      <c r="R325" s="5">
        <v>72.88</v>
      </c>
      <c r="S325" s="5">
        <v>80.739999999999995</v>
      </c>
      <c r="T325" s="4">
        <v>56.58</v>
      </c>
      <c r="U325" s="4">
        <v>56.47</v>
      </c>
      <c r="V325" s="4">
        <v>58.7</v>
      </c>
      <c r="W325" s="4">
        <v>56.81</v>
      </c>
      <c r="X325" s="4">
        <v>53.74</v>
      </c>
      <c r="Y325" s="5">
        <v>75.010000000000005</v>
      </c>
    </row>
    <row r="326" spans="1:25" ht="15" customHeight="1" x14ac:dyDescent="0.45">
      <c r="A326" s="3">
        <v>45792</v>
      </c>
      <c r="B326" s="4">
        <v>58.73</v>
      </c>
      <c r="C326" s="4">
        <v>59.72</v>
      </c>
      <c r="D326" s="4">
        <v>52.76</v>
      </c>
      <c r="E326" s="4">
        <v>55.4</v>
      </c>
      <c r="F326" s="4">
        <v>41.03</v>
      </c>
      <c r="G326" s="6">
        <v>60.28</v>
      </c>
      <c r="H326" s="4">
        <v>58.84</v>
      </c>
      <c r="I326" s="5">
        <v>70.56</v>
      </c>
      <c r="J326" s="4">
        <v>56.1</v>
      </c>
      <c r="K326" s="4">
        <v>53.37</v>
      </c>
      <c r="L326" s="6">
        <v>62.02</v>
      </c>
      <c r="M326" s="4">
        <v>57.64</v>
      </c>
      <c r="N326" s="6">
        <v>66.55</v>
      </c>
      <c r="O326" s="4">
        <v>59.57</v>
      </c>
      <c r="P326" s="6">
        <v>68.27</v>
      </c>
      <c r="Q326" s="4">
        <v>49.67</v>
      </c>
      <c r="R326" s="5">
        <v>72.53</v>
      </c>
      <c r="S326" s="5">
        <v>79.53</v>
      </c>
      <c r="T326" s="4">
        <v>55.94</v>
      </c>
      <c r="U326" s="4">
        <v>56.26</v>
      </c>
      <c r="V326" s="4">
        <v>58.4</v>
      </c>
      <c r="W326" s="4">
        <v>53.28</v>
      </c>
      <c r="X326" s="4">
        <v>52.68</v>
      </c>
      <c r="Y326" s="5">
        <v>74.959999999999994</v>
      </c>
    </row>
    <row r="327" spans="1:25" ht="15" customHeight="1" x14ac:dyDescent="0.45">
      <c r="A327" s="3">
        <v>45791</v>
      </c>
      <c r="B327" s="6">
        <v>61.99</v>
      </c>
      <c r="C327" s="6">
        <v>67.77</v>
      </c>
      <c r="D327" s="4">
        <v>57.62</v>
      </c>
      <c r="E327" s="4">
        <v>57.68</v>
      </c>
      <c r="F327" s="4">
        <v>42.07</v>
      </c>
      <c r="G327" s="6">
        <v>65</v>
      </c>
      <c r="H327" s="6">
        <v>62.22</v>
      </c>
      <c r="I327" s="5">
        <v>72.83</v>
      </c>
      <c r="J327" s="4">
        <v>59.37</v>
      </c>
      <c r="K327" s="4">
        <v>54.18</v>
      </c>
      <c r="L327" s="6">
        <v>64.150000000000006</v>
      </c>
      <c r="M327" s="6">
        <v>60.76</v>
      </c>
      <c r="N327" s="6">
        <v>63.18</v>
      </c>
      <c r="O327" s="6">
        <v>67.33</v>
      </c>
      <c r="P327" s="6">
        <v>63.41</v>
      </c>
      <c r="Q327" s="4">
        <v>52.29</v>
      </c>
      <c r="R327" s="5">
        <v>79.38</v>
      </c>
      <c r="S327" s="5">
        <v>85.62</v>
      </c>
      <c r="T327" s="6">
        <v>63.75</v>
      </c>
      <c r="U327" s="4">
        <v>59.17</v>
      </c>
      <c r="V327" s="6">
        <v>62.3</v>
      </c>
      <c r="W327" s="6">
        <v>60</v>
      </c>
      <c r="X327" s="4">
        <v>55.64</v>
      </c>
      <c r="Y327" s="5">
        <v>74.260000000000005</v>
      </c>
    </row>
    <row r="328" spans="1:25" ht="15" customHeight="1" x14ac:dyDescent="0.45">
      <c r="A328" s="3">
        <v>45790</v>
      </c>
      <c r="B328" s="4">
        <v>58.17</v>
      </c>
      <c r="C328" s="6">
        <v>65.06</v>
      </c>
      <c r="D328" s="4">
        <v>55.85</v>
      </c>
      <c r="E328" s="4">
        <v>54.44</v>
      </c>
      <c r="F328" s="4">
        <v>40.56</v>
      </c>
      <c r="G328" s="6">
        <v>64</v>
      </c>
      <c r="H328" s="6">
        <v>60.29</v>
      </c>
      <c r="I328" s="6">
        <v>68.88</v>
      </c>
      <c r="J328" s="4">
        <v>55.84</v>
      </c>
      <c r="K328" s="4">
        <v>48.16</v>
      </c>
      <c r="L328" s="6">
        <v>61.69</v>
      </c>
      <c r="M328" s="6">
        <v>60.2</v>
      </c>
      <c r="N328" s="6">
        <v>62.27</v>
      </c>
      <c r="O328" s="6">
        <v>65.41</v>
      </c>
      <c r="P328" s="6">
        <v>61.41</v>
      </c>
      <c r="Q328" s="4">
        <v>50.1</v>
      </c>
      <c r="R328" s="5">
        <v>76.349999999999994</v>
      </c>
      <c r="S328" s="5">
        <v>86.07</v>
      </c>
      <c r="T328" s="6">
        <v>62.46</v>
      </c>
      <c r="U328" s="6">
        <v>61.01</v>
      </c>
      <c r="V328" s="4">
        <v>58.18</v>
      </c>
      <c r="W328" s="6">
        <v>63.31</v>
      </c>
      <c r="X328" s="4">
        <v>51.48</v>
      </c>
      <c r="Y328" s="5">
        <v>70.540000000000006</v>
      </c>
    </row>
    <row r="329" spans="1:25" ht="15" customHeight="1" x14ac:dyDescent="0.45">
      <c r="A329" s="3">
        <v>45789</v>
      </c>
      <c r="B329" s="6">
        <v>60.57</v>
      </c>
      <c r="C329" s="6">
        <v>62.87</v>
      </c>
      <c r="D329" s="6">
        <v>61.21</v>
      </c>
      <c r="E329" s="4">
        <v>56.66</v>
      </c>
      <c r="F329" s="4">
        <v>36.75</v>
      </c>
      <c r="G329" s="6">
        <v>69.510000000000005</v>
      </c>
      <c r="H329" s="6">
        <v>68.53</v>
      </c>
      <c r="I329" s="6">
        <v>66.680000000000007</v>
      </c>
      <c r="J329" s="4">
        <v>57.72</v>
      </c>
      <c r="K329" s="4">
        <v>44.17</v>
      </c>
      <c r="L329" s="6">
        <v>61.38</v>
      </c>
      <c r="M329" s="6">
        <v>64.7</v>
      </c>
      <c r="N329" s="5">
        <v>78.59</v>
      </c>
      <c r="O329" s="6">
        <v>69.180000000000007</v>
      </c>
      <c r="P329" s="4">
        <v>54.24</v>
      </c>
      <c r="Q329" s="4">
        <v>52.82</v>
      </c>
      <c r="R329" s="5">
        <v>73.91</v>
      </c>
      <c r="S329" s="5">
        <v>84.53</v>
      </c>
      <c r="T329" s="6">
        <v>63.55</v>
      </c>
      <c r="U329" s="4">
        <v>53.73</v>
      </c>
      <c r="V329" s="4">
        <v>59.52</v>
      </c>
      <c r="W329" s="6">
        <v>62.03</v>
      </c>
      <c r="X329" s="4">
        <v>55.4</v>
      </c>
      <c r="Y329" s="6">
        <v>69.11</v>
      </c>
    </row>
    <row r="330" spans="1:25" ht="15" customHeight="1" x14ac:dyDescent="0.45">
      <c r="A330" s="3">
        <v>45786</v>
      </c>
      <c r="B330" s="5">
        <v>71.400000000000006</v>
      </c>
      <c r="C330" s="4">
        <v>56</v>
      </c>
      <c r="D330" s="4">
        <v>45.21</v>
      </c>
      <c r="E330" s="4">
        <v>53.69</v>
      </c>
      <c r="F330" s="4">
        <v>44.97</v>
      </c>
      <c r="G330" s="6">
        <v>63.93</v>
      </c>
      <c r="H330" s="6">
        <v>67.56</v>
      </c>
      <c r="I330" s="6">
        <v>62.77</v>
      </c>
      <c r="J330" s="4">
        <v>48.22</v>
      </c>
      <c r="K330" s="4">
        <v>43.06</v>
      </c>
      <c r="L330" s="6">
        <v>68.95</v>
      </c>
      <c r="M330" s="6">
        <v>60.2</v>
      </c>
      <c r="N330" s="5">
        <v>78.459999999999994</v>
      </c>
      <c r="O330" s="6">
        <v>61.47</v>
      </c>
      <c r="P330" s="4">
        <v>42.64</v>
      </c>
      <c r="Q330" s="4">
        <v>55.85</v>
      </c>
      <c r="R330" s="5">
        <v>71.040000000000006</v>
      </c>
      <c r="S330" s="5">
        <v>80.27</v>
      </c>
      <c r="T330" s="4">
        <v>58.17</v>
      </c>
      <c r="U330" s="4">
        <v>53.67</v>
      </c>
      <c r="V330" s="4">
        <v>55.43</v>
      </c>
      <c r="W330" s="6">
        <v>61.91</v>
      </c>
      <c r="X330" s="4">
        <v>53</v>
      </c>
      <c r="Y330" s="5">
        <v>73.33</v>
      </c>
    </row>
    <row r="331" spans="1:25" ht="15" customHeight="1" x14ac:dyDescent="0.45">
      <c r="A331" s="3">
        <v>45785</v>
      </c>
      <c r="B331" s="6">
        <v>68.040000000000006</v>
      </c>
      <c r="C331" s="4">
        <v>56.79</v>
      </c>
      <c r="D331" s="4">
        <v>45.85</v>
      </c>
      <c r="E331" s="4">
        <v>57.77</v>
      </c>
      <c r="F331" s="4">
        <v>45.25</v>
      </c>
      <c r="G331" s="6">
        <v>69.16</v>
      </c>
      <c r="H331" s="6">
        <v>62.75</v>
      </c>
      <c r="I331" s="6">
        <v>62.41</v>
      </c>
      <c r="J331" s="4">
        <v>49.24</v>
      </c>
      <c r="K331" s="4">
        <v>55.09</v>
      </c>
      <c r="L331" s="6">
        <v>67.91</v>
      </c>
      <c r="M331" s="4">
        <v>58.91</v>
      </c>
      <c r="N331" s="5">
        <v>75.64</v>
      </c>
      <c r="O331" s="5">
        <v>70.52</v>
      </c>
      <c r="P331" s="4">
        <v>43.52</v>
      </c>
      <c r="Q331" s="4">
        <v>53.19</v>
      </c>
      <c r="R331" s="5">
        <v>73.61</v>
      </c>
      <c r="S331" s="5">
        <v>81.95</v>
      </c>
      <c r="T331" s="6">
        <v>60.3</v>
      </c>
      <c r="U331" s="6">
        <v>60.98</v>
      </c>
      <c r="V331" s="4">
        <v>55.63</v>
      </c>
      <c r="W331" s="6">
        <v>64.489999999999995</v>
      </c>
      <c r="X331" s="4">
        <v>50.07</v>
      </c>
      <c r="Y331" s="5">
        <v>71.709999999999994</v>
      </c>
    </row>
    <row r="332" spans="1:25" ht="15" customHeight="1" x14ac:dyDescent="0.45">
      <c r="A332" s="3">
        <v>45784</v>
      </c>
      <c r="B332" s="6">
        <v>64.47</v>
      </c>
      <c r="C332" s="4">
        <v>59.36</v>
      </c>
      <c r="D332" s="4">
        <v>46.28</v>
      </c>
      <c r="E332" s="4">
        <v>52.09</v>
      </c>
      <c r="F332" s="4">
        <v>45.72</v>
      </c>
      <c r="G332" s="6">
        <v>66.819999999999993</v>
      </c>
      <c r="H332" s="4">
        <v>57.15</v>
      </c>
      <c r="I332" s="6">
        <v>61.02</v>
      </c>
      <c r="J332" s="4">
        <v>48.28</v>
      </c>
      <c r="K332" s="4">
        <v>50.77</v>
      </c>
      <c r="L332" s="6">
        <v>67.94</v>
      </c>
      <c r="M332" s="4">
        <v>59.65</v>
      </c>
      <c r="N332" s="5">
        <v>80.510000000000005</v>
      </c>
      <c r="O332" s="5">
        <v>75.73</v>
      </c>
      <c r="P332" s="4">
        <v>46.73</v>
      </c>
      <c r="Q332" s="4">
        <v>56.79</v>
      </c>
      <c r="R332" s="5">
        <v>73.27</v>
      </c>
      <c r="S332" s="5">
        <v>81.25</v>
      </c>
      <c r="T332" s="6">
        <v>60.29</v>
      </c>
      <c r="U332" s="4">
        <v>55.72</v>
      </c>
      <c r="V332" s="4">
        <v>53.97</v>
      </c>
      <c r="W332" s="6">
        <v>62.1</v>
      </c>
      <c r="X332" s="6">
        <v>60.47</v>
      </c>
      <c r="Y332" s="5">
        <v>71.63</v>
      </c>
    </row>
    <row r="333" spans="1:25" ht="15" customHeight="1" x14ac:dyDescent="0.45">
      <c r="A333" s="3">
        <v>45783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" customHeight="1" x14ac:dyDescent="0.45">
      <c r="A334" s="3">
        <v>45782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" customHeight="1" x14ac:dyDescent="0.45">
      <c r="A335" s="3">
        <v>45779</v>
      </c>
      <c r="B335" s="5">
        <v>70.260000000000005</v>
      </c>
      <c r="C335" s="6">
        <v>62.88</v>
      </c>
      <c r="D335" s="4">
        <v>46.79</v>
      </c>
      <c r="E335" s="4">
        <v>51.88</v>
      </c>
      <c r="F335" s="4">
        <v>54.28</v>
      </c>
      <c r="G335" s="6">
        <v>66.45</v>
      </c>
      <c r="H335" s="4">
        <v>55.2</v>
      </c>
      <c r="I335" s="6">
        <v>60.77</v>
      </c>
      <c r="J335" s="4">
        <v>45.3</v>
      </c>
      <c r="K335" s="4">
        <v>50.5</v>
      </c>
      <c r="L335" s="6">
        <v>63.89</v>
      </c>
      <c r="M335" s="4">
        <v>58.85</v>
      </c>
      <c r="N335" s="5">
        <v>75.02</v>
      </c>
      <c r="O335" s="5">
        <v>72.53</v>
      </c>
      <c r="P335" s="4">
        <v>37.71</v>
      </c>
      <c r="Q335" s="6">
        <v>63.99</v>
      </c>
      <c r="R335" s="5">
        <v>72.28</v>
      </c>
      <c r="S335" s="5">
        <v>80.459999999999994</v>
      </c>
      <c r="T335" s="6">
        <v>63.14</v>
      </c>
      <c r="U335" s="4">
        <v>59.85</v>
      </c>
      <c r="V335" s="4">
        <v>52.13</v>
      </c>
      <c r="W335" s="6">
        <v>67.650000000000006</v>
      </c>
      <c r="X335" s="4">
        <v>58.11</v>
      </c>
      <c r="Y335" s="5">
        <v>70.41</v>
      </c>
    </row>
    <row r="336" spans="1:25" ht="15" customHeight="1" x14ac:dyDescent="0.45">
      <c r="A336" s="3">
        <v>45778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" customHeight="1" x14ac:dyDescent="0.45">
      <c r="A337" s="3">
        <v>45777</v>
      </c>
      <c r="B337" s="6">
        <v>67.69</v>
      </c>
      <c r="C337" s="6">
        <v>62.61</v>
      </c>
      <c r="D337" s="4">
        <v>52.67</v>
      </c>
      <c r="E337" s="4">
        <v>53.32</v>
      </c>
      <c r="F337" s="4">
        <v>49.11</v>
      </c>
      <c r="G337" s="6">
        <v>66.19</v>
      </c>
      <c r="H337" s="4">
        <v>58.25</v>
      </c>
      <c r="I337" s="6">
        <v>64.38</v>
      </c>
      <c r="J337" s="4">
        <v>45.38</v>
      </c>
      <c r="K337" s="4">
        <v>49.91</v>
      </c>
      <c r="L337" s="6">
        <v>63.57</v>
      </c>
      <c r="M337" s="6">
        <v>61.02</v>
      </c>
      <c r="N337" s="5">
        <v>77.989999999999995</v>
      </c>
      <c r="O337" s="5">
        <v>75.38</v>
      </c>
      <c r="P337" s="4">
        <v>40.97</v>
      </c>
      <c r="Q337" s="4">
        <v>59.48</v>
      </c>
      <c r="R337" s="5">
        <v>71.260000000000005</v>
      </c>
      <c r="S337" s="5">
        <v>79.790000000000006</v>
      </c>
      <c r="T337" s="6">
        <v>63.18</v>
      </c>
      <c r="U337" s="6">
        <v>61.91</v>
      </c>
      <c r="V337" s="4">
        <v>51.81</v>
      </c>
      <c r="W337" s="6">
        <v>64.86</v>
      </c>
      <c r="X337" s="4">
        <v>57.23</v>
      </c>
      <c r="Y337" s="5">
        <v>72.739999999999995</v>
      </c>
    </row>
    <row r="338" spans="1:25" ht="15" customHeight="1" x14ac:dyDescent="0.45">
      <c r="A338" s="3">
        <v>45776</v>
      </c>
      <c r="B338" s="6">
        <v>68.08</v>
      </c>
      <c r="C338" s="6">
        <v>61.82</v>
      </c>
      <c r="D338" s="4">
        <v>53.48</v>
      </c>
      <c r="E338" s="4">
        <v>57.45</v>
      </c>
      <c r="F338" s="4">
        <v>50.05</v>
      </c>
      <c r="G338" s="5">
        <v>71.260000000000005</v>
      </c>
      <c r="H338" s="4">
        <v>58.18</v>
      </c>
      <c r="I338" s="6">
        <v>65.569999999999993</v>
      </c>
      <c r="J338" s="4">
        <v>50.09</v>
      </c>
      <c r="K338" s="4">
        <v>52.43</v>
      </c>
      <c r="L338" s="6">
        <v>64.05</v>
      </c>
      <c r="M338" s="4">
        <v>57.1</v>
      </c>
      <c r="N338" s="5">
        <v>79.069999999999993</v>
      </c>
      <c r="O338" s="5">
        <v>74.77</v>
      </c>
      <c r="P338" s="4">
        <v>41.68</v>
      </c>
      <c r="Q338" s="4">
        <v>55.89</v>
      </c>
      <c r="R338" s="6">
        <v>67.5</v>
      </c>
      <c r="S338" s="5">
        <v>73.83</v>
      </c>
      <c r="T338" s="4">
        <v>59.68</v>
      </c>
      <c r="U338" s="4">
        <v>58.67</v>
      </c>
      <c r="V338" s="4">
        <v>55.88</v>
      </c>
      <c r="W338" s="6">
        <v>62.85</v>
      </c>
      <c r="X338" s="4">
        <v>55.93</v>
      </c>
      <c r="Y338" s="6">
        <v>66.959999999999994</v>
      </c>
    </row>
    <row r="339" spans="1:25" ht="15" customHeight="1" x14ac:dyDescent="0.45">
      <c r="A339" s="3">
        <v>45775</v>
      </c>
      <c r="B339" s="6">
        <v>64</v>
      </c>
      <c r="C339" s="4">
        <v>58.07</v>
      </c>
      <c r="D339" s="4">
        <v>49.43</v>
      </c>
      <c r="E339" s="4">
        <v>54.33</v>
      </c>
      <c r="F339" s="4">
        <v>43.46</v>
      </c>
      <c r="G339" s="6">
        <v>67.23</v>
      </c>
      <c r="H339" s="4">
        <v>56.7</v>
      </c>
      <c r="I339" s="6">
        <v>63.07</v>
      </c>
      <c r="J339" s="4">
        <v>49.46</v>
      </c>
      <c r="K339" s="4">
        <v>48.79</v>
      </c>
      <c r="L339" s="6">
        <v>66.87</v>
      </c>
      <c r="M339" s="4">
        <v>53.98</v>
      </c>
      <c r="N339" s="5">
        <v>78.209999999999994</v>
      </c>
      <c r="O339" s="5">
        <v>72.61</v>
      </c>
      <c r="P339" s="4">
        <v>42.14</v>
      </c>
      <c r="Q339" s="4">
        <v>55.4</v>
      </c>
      <c r="R339" s="6">
        <v>63.59</v>
      </c>
      <c r="S339" s="6">
        <v>68.47</v>
      </c>
      <c r="T339" s="4">
        <v>54.18</v>
      </c>
      <c r="U339" s="4">
        <v>56.18</v>
      </c>
      <c r="V339" s="4">
        <v>54.52</v>
      </c>
      <c r="W339" s="6">
        <v>62.14</v>
      </c>
      <c r="X339" s="4">
        <v>55.44</v>
      </c>
      <c r="Y339" s="6">
        <v>64.62</v>
      </c>
    </row>
    <row r="340" spans="1:25" ht="15" customHeight="1" x14ac:dyDescent="0.45">
      <c r="A340" s="3">
        <v>45772</v>
      </c>
      <c r="B340" s="6">
        <v>64.27</v>
      </c>
      <c r="C340" s="4">
        <v>59.4</v>
      </c>
      <c r="D340" s="4">
        <v>53.61</v>
      </c>
      <c r="E340" s="4">
        <v>54.99</v>
      </c>
      <c r="F340" s="4">
        <v>43.95</v>
      </c>
      <c r="G340" s="6">
        <v>65.81</v>
      </c>
      <c r="H340" s="4">
        <v>50.64</v>
      </c>
      <c r="I340" s="6">
        <v>64.260000000000005</v>
      </c>
      <c r="J340" s="4">
        <v>49.7</v>
      </c>
      <c r="K340" s="4">
        <v>51.24</v>
      </c>
      <c r="L340" s="6">
        <v>66.81</v>
      </c>
      <c r="M340" s="4">
        <v>52.13</v>
      </c>
      <c r="N340" s="5">
        <v>75.58</v>
      </c>
      <c r="O340" s="6">
        <v>66.31</v>
      </c>
      <c r="P340" s="4">
        <v>43.45</v>
      </c>
      <c r="Q340" s="6">
        <v>63.16</v>
      </c>
      <c r="R340" s="6">
        <v>64.42</v>
      </c>
      <c r="S340" s="6">
        <v>66.92</v>
      </c>
      <c r="T340" s="4">
        <v>52.7</v>
      </c>
      <c r="U340" s="4">
        <v>55.53</v>
      </c>
      <c r="V340" s="4">
        <v>54.5</v>
      </c>
      <c r="W340" s="4">
        <v>58.93</v>
      </c>
      <c r="X340" s="4">
        <v>51.46</v>
      </c>
      <c r="Y340" s="4">
        <v>53.79</v>
      </c>
    </row>
    <row r="341" spans="1:25" ht="15" customHeight="1" x14ac:dyDescent="0.45">
      <c r="A341" s="3">
        <v>45771</v>
      </c>
      <c r="B341" s="6">
        <v>63.93</v>
      </c>
      <c r="C341" s="4">
        <v>59.31</v>
      </c>
      <c r="D341" s="4">
        <v>53.45</v>
      </c>
      <c r="E341" s="4">
        <v>51.38</v>
      </c>
      <c r="F341" s="4">
        <v>45.56</v>
      </c>
      <c r="G341" s="6">
        <v>63.12</v>
      </c>
      <c r="H341" s="4">
        <v>50.03</v>
      </c>
      <c r="I341" s="6">
        <v>61.64</v>
      </c>
      <c r="J341" s="4">
        <v>47.4</v>
      </c>
      <c r="K341" s="4">
        <v>49.52</v>
      </c>
      <c r="L341" s="6">
        <v>62.92</v>
      </c>
      <c r="M341" s="4">
        <v>51.81</v>
      </c>
      <c r="N341" s="5">
        <v>74.569999999999993</v>
      </c>
      <c r="O341" s="6">
        <v>66.12</v>
      </c>
      <c r="P341" s="4">
        <v>43.54</v>
      </c>
      <c r="Q341" s="4">
        <v>59.94</v>
      </c>
      <c r="R341" s="6">
        <v>60.75</v>
      </c>
      <c r="S341" s="6">
        <v>65.53</v>
      </c>
      <c r="T341" s="4">
        <v>53.33</v>
      </c>
      <c r="U341" s="4">
        <v>54.73</v>
      </c>
      <c r="V341" s="4">
        <v>51.67</v>
      </c>
      <c r="W341" s="4">
        <v>58.64</v>
      </c>
      <c r="X341" s="4">
        <v>53.19</v>
      </c>
      <c r="Y341" s="4">
        <v>49.44</v>
      </c>
    </row>
    <row r="342" spans="1:25" ht="15" customHeight="1" x14ac:dyDescent="0.45">
      <c r="A342" s="3">
        <v>45770</v>
      </c>
      <c r="B342" s="6">
        <v>63.38</v>
      </c>
      <c r="C342" s="4">
        <v>59.32</v>
      </c>
      <c r="D342" s="4">
        <v>54.78</v>
      </c>
      <c r="E342" s="4">
        <v>49.35</v>
      </c>
      <c r="F342" s="4">
        <v>48.58</v>
      </c>
      <c r="G342" s="6">
        <v>64.91</v>
      </c>
      <c r="H342" s="4">
        <v>49.96</v>
      </c>
      <c r="I342" s="4">
        <v>59.74</v>
      </c>
      <c r="J342" s="4">
        <v>49.01</v>
      </c>
      <c r="K342" s="4">
        <v>49.25</v>
      </c>
      <c r="L342" s="6">
        <v>61.33</v>
      </c>
      <c r="M342" s="4">
        <v>52.06</v>
      </c>
      <c r="N342" s="5">
        <v>78.19</v>
      </c>
      <c r="O342" s="6">
        <v>60.78</v>
      </c>
      <c r="P342" s="4">
        <v>45.58</v>
      </c>
      <c r="Q342" s="6">
        <v>63.82</v>
      </c>
      <c r="R342" s="4">
        <v>59.87</v>
      </c>
      <c r="S342" s="6">
        <v>65.430000000000007</v>
      </c>
      <c r="T342" s="4">
        <v>53.13</v>
      </c>
      <c r="U342" s="4">
        <v>57.86</v>
      </c>
      <c r="V342" s="4">
        <v>52.37</v>
      </c>
      <c r="W342" s="4">
        <v>57.55</v>
      </c>
      <c r="X342" s="4">
        <v>51.72</v>
      </c>
      <c r="Y342" s="4">
        <v>51.68</v>
      </c>
    </row>
    <row r="343" spans="1:25" ht="15" customHeight="1" x14ac:dyDescent="0.45">
      <c r="A343" s="3">
        <v>45769</v>
      </c>
      <c r="B343" s="6">
        <v>69.03</v>
      </c>
      <c r="C343" s="4">
        <v>53.34</v>
      </c>
      <c r="D343" s="4">
        <v>56.06</v>
      </c>
      <c r="E343" s="4">
        <v>43.45</v>
      </c>
      <c r="F343" s="4">
        <v>48.22</v>
      </c>
      <c r="G343" s="6">
        <v>66.66</v>
      </c>
      <c r="H343" s="4">
        <v>46.21</v>
      </c>
      <c r="I343" s="4">
        <v>55.53</v>
      </c>
      <c r="J343" s="4">
        <v>43.01</v>
      </c>
      <c r="K343" s="4">
        <v>43.62</v>
      </c>
      <c r="L343" s="4">
        <v>59.15</v>
      </c>
      <c r="M343" s="4">
        <v>48.42</v>
      </c>
      <c r="N343" s="5">
        <v>79.45</v>
      </c>
      <c r="O343" s="4">
        <v>59.86</v>
      </c>
      <c r="P343" s="4">
        <v>41.53</v>
      </c>
      <c r="Q343" s="6">
        <v>67.150000000000006</v>
      </c>
      <c r="R343" s="4">
        <v>55.88</v>
      </c>
      <c r="S343" s="6">
        <v>62.16</v>
      </c>
      <c r="T343" s="4">
        <v>50.56</v>
      </c>
      <c r="U343" s="4">
        <v>54.65</v>
      </c>
      <c r="V343" s="4">
        <v>47.35</v>
      </c>
      <c r="W343" s="4">
        <v>55.69</v>
      </c>
      <c r="X343" s="4">
        <v>51.69</v>
      </c>
      <c r="Y343" s="4">
        <v>50.78</v>
      </c>
    </row>
    <row r="344" spans="1:25" ht="15" customHeight="1" x14ac:dyDescent="0.45">
      <c r="A344" s="3">
        <v>45768</v>
      </c>
      <c r="B344" s="6">
        <v>66.33</v>
      </c>
      <c r="C344" s="4">
        <v>58.64</v>
      </c>
      <c r="D344" s="6">
        <v>64.23</v>
      </c>
      <c r="E344" s="4">
        <v>43.72</v>
      </c>
      <c r="F344" s="4">
        <v>47.84</v>
      </c>
      <c r="G344" s="6">
        <v>66.760000000000005</v>
      </c>
      <c r="H344" s="4">
        <v>40.46</v>
      </c>
      <c r="I344" s="4">
        <v>55.36</v>
      </c>
      <c r="J344" s="4">
        <v>44.9</v>
      </c>
      <c r="K344" s="4">
        <v>44.04</v>
      </c>
      <c r="L344" s="4">
        <v>58.21</v>
      </c>
      <c r="M344" s="4">
        <v>47.94</v>
      </c>
      <c r="N344" s="5">
        <v>78.48</v>
      </c>
      <c r="O344" s="6">
        <v>61.94</v>
      </c>
      <c r="P344" s="4">
        <v>42.77</v>
      </c>
      <c r="Q344" s="6">
        <v>65.290000000000006</v>
      </c>
      <c r="R344" s="4">
        <v>54.51</v>
      </c>
      <c r="S344" s="4">
        <v>58.26</v>
      </c>
      <c r="T344" s="4">
        <v>47.72</v>
      </c>
      <c r="U344" s="4">
        <v>55.5</v>
      </c>
      <c r="V344" s="4">
        <v>48.06</v>
      </c>
      <c r="W344" s="6">
        <v>60.49</v>
      </c>
      <c r="X344" s="4">
        <v>49.25</v>
      </c>
      <c r="Y344" s="4">
        <v>50.43</v>
      </c>
    </row>
    <row r="345" spans="1:25" ht="15" customHeight="1" x14ac:dyDescent="0.45">
      <c r="A345" s="3">
        <v>45765</v>
      </c>
      <c r="B345" s="6">
        <v>65.760000000000005</v>
      </c>
      <c r="C345" s="4">
        <v>56.45</v>
      </c>
      <c r="D345" s="4">
        <v>59.86</v>
      </c>
      <c r="E345" s="4">
        <v>43.38</v>
      </c>
      <c r="F345" s="4">
        <v>44.86</v>
      </c>
      <c r="G345" s="4">
        <v>59.34</v>
      </c>
      <c r="H345" s="4">
        <v>40.520000000000003</v>
      </c>
      <c r="I345" s="4">
        <v>55.07</v>
      </c>
      <c r="J345" s="4">
        <v>44.85</v>
      </c>
      <c r="K345" s="4">
        <v>42.76</v>
      </c>
      <c r="L345" s="4">
        <v>59.57</v>
      </c>
      <c r="M345" s="4">
        <v>48.24</v>
      </c>
      <c r="N345" s="5">
        <v>72.19</v>
      </c>
      <c r="O345" s="6">
        <v>62.27</v>
      </c>
      <c r="P345" s="4">
        <v>46.65</v>
      </c>
      <c r="Q345" s="6">
        <v>62.46</v>
      </c>
      <c r="R345" s="4">
        <v>51.76</v>
      </c>
      <c r="S345" s="4">
        <v>50.74</v>
      </c>
      <c r="T345" s="4">
        <v>45.71</v>
      </c>
      <c r="U345" s="4">
        <v>58.31</v>
      </c>
      <c r="V345" s="4">
        <v>47.82</v>
      </c>
      <c r="W345" s="4">
        <v>57.49</v>
      </c>
      <c r="X345" s="4">
        <v>49.64</v>
      </c>
      <c r="Y345" s="4">
        <v>50.46</v>
      </c>
    </row>
    <row r="346" spans="1:25" ht="15" customHeight="1" x14ac:dyDescent="0.45">
      <c r="A346" s="3">
        <v>45764</v>
      </c>
      <c r="B346" s="6">
        <v>65.27</v>
      </c>
      <c r="C346" s="4">
        <v>50.7</v>
      </c>
      <c r="D346" s="4">
        <v>58.09</v>
      </c>
      <c r="E346" s="4">
        <v>42.68</v>
      </c>
      <c r="F346" s="4">
        <v>46.18</v>
      </c>
      <c r="G346" s="4">
        <v>53.13</v>
      </c>
      <c r="H346" s="4">
        <v>41.73</v>
      </c>
      <c r="I346" s="4">
        <v>50.44</v>
      </c>
      <c r="J346" s="4">
        <v>44.66</v>
      </c>
      <c r="K346" s="4">
        <v>43.26</v>
      </c>
      <c r="L346" s="4">
        <v>58.01</v>
      </c>
      <c r="M346" s="4">
        <v>46.72</v>
      </c>
      <c r="N346" s="5">
        <v>70.48</v>
      </c>
      <c r="O346" s="4">
        <v>58.13</v>
      </c>
      <c r="P346" s="4">
        <v>41.6</v>
      </c>
      <c r="Q346" s="6">
        <v>61.13</v>
      </c>
      <c r="R346" s="4">
        <v>48.78</v>
      </c>
      <c r="S346" s="4">
        <v>47.57</v>
      </c>
      <c r="T346" s="4">
        <v>43.97</v>
      </c>
      <c r="U346" s="4">
        <v>55.07</v>
      </c>
      <c r="V346" s="4">
        <v>47.17</v>
      </c>
      <c r="W346" s="4">
        <v>56.06</v>
      </c>
      <c r="X346" s="4">
        <v>46.09</v>
      </c>
      <c r="Y346" s="4">
        <v>47.08</v>
      </c>
    </row>
    <row r="347" spans="1:25" ht="15" customHeight="1" x14ac:dyDescent="0.45">
      <c r="A347" s="3">
        <v>45763</v>
      </c>
      <c r="B347" s="6">
        <v>64.72</v>
      </c>
      <c r="C347" s="4">
        <v>44.38</v>
      </c>
      <c r="D347" s="4">
        <v>56.61</v>
      </c>
      <c r="E347" s="4">
        <v>39.630000000000003</v>
      </c>
      <c r="F347" s="4">
        <v>41.25</v>
      </c>
      <c r="G347" s="4">
        <v>51.06</v>
      </c>
      <c r="H347" s="4">
        <v>40.840000000000003</v>
      </c>
      <c r="I347" s="4">
        <v>45.65</v>
      </c>
      <c r="J347" s="4">
        <v>43.14</v>
      </c>
      <c r="K347" s="4">
        <v>38.51</v>
      </c>
      <c r="L347" s="4">
        <v>54.67</v>
      </c>
      <c r="M347" s="4">
        <v>46.93</v>
      </c>
      <c r="N347" s="5">
        <v>71.040000000000006</v>
      </c>
      <c r="O347" s="4">
        <v>56.03</v>
      </c>
      <c r="P347" s="4">
        <v>41.8</v>
      </c>
      <c r="Q347" s="4">
        <v>59.66</v>
      </c>
      <c r="R347" s="4">
        <v>47.91</v>
      </c>
      <c r="S347" s="4">
        <v>47.16</v>
      </c>
      <c r="T347" s="4">
        <v>43.7</v>
      </c>
      <c r="U347" s="4">
        <v>52.55</v>
      </c>
      <c r="V347" s="4">
        <v>44.29</v>
      </c>
      <c r="W347" s="4">
        <v>53.66</v>
      </c>
      <c r="X347" s="4">
        <v>42.95</v>
      </c>
      <c r="Y347" s="4">
        <v>46.53</v>
      </c>
    </row>
    <row r="348" spans="1:25" ht="15" customHeight="1" x14ac:dyDescent="0.45">
      <c r="A348" s="3">
        <v>45762</v>
      </c>
      <c r="B348" s="4">
        <v>59.88</v>
      </c>
      <c r="C348" s="4">
        <v>48.09</v>
      </c>
      <c r="D348" s="6">
        <v>61.08</v>
      </c>
      <c r="E348" s="4">
        <v>41.73</v>
      </c>
      <c r="F348" s="4">
        <v>42.69</v>
      </c>
      <c r="G348" s="4">
        <v>52.61</v>
      </c>
      <c r="H348" s="4">
        <v>41.77</v>
      </c>
      <c r="I348" s="4">
        <v>48.79</v>
      </c>
      <c r="J348" s="4">
        <v>47.75</v>
      </c>
      <c r="K348" s="4">
        <v>43.36</v>
      </c>
      <c r="L348" s="4">
        <v>56.32</v>
      </c>
      <c r="M348" s="4">
        <v>49.52</v>
      </c>
      <c r="N348" s="5">
        <v>71.81</v>
      </c>
      <c r="O348" s="6">
        <v>60.28</v>
      </c>
      <c r="P348" s="4">
        <v>42.2</v>
      </c>
      <c r="Q348" s="4">
        <v>49.42</v>
      </c>
      <c r="R348" s="4">
        <v>47.39</v>
      </c>
      <c r="S348" s="4">
        <v>46.42</v>
      </c>
      <c r="T348" s="4">
        <v>44.18</v>
      </c>
      <c r="U348" s="4">
        <v>53.69</v>
      </c>
      <c r="V348" s="4">
        <v>48.02</v>
      </c>
      <c r="W348" s="4">
        <v>52.18</v>
      </c>
      <c r="X348" s="4">
        <v>43.58</v>
      </c>
      <c r="Y348" s="4">
        <v>44.15</v>
      </c>
    </row>
    <row r="349" spans="1:25" ht="15" customHeight="1" x14ac:dyDescent="0.45">
      <c r="A349" s="3">
        <v>45761</v>
      </c>
      <c r="B349" s="4">
        <v>56.34</v>
      </c>
      <c r="C349" s="4">
        <v>44.47</v>
      </c>
      <c r="D349" s="4">
        <v>59.46</v>
      </c>
      <c r="E349" s="4">
        <v>40.89</v>
      </c>
      <c r="F349" s="4">
        <v>44.14</v>
      </c>
      <c r="G349" s="4">
        <v>50.82</v>
      </c>
      <c r="H349" s="4">
        <v>39.549999999999997</v>
      </c>
      <c r="I349" s="4">
        <v>45.04</v>
      </c>
      <c r="J349" s="4">
        <v>46.38</v>
      </c>
      <c r="K349" s="4">
        <v>42.38</v>
      </c>
      <c r="L349" s="4">
        <v>53.94</v>
      </c>
      <c r="M349" s="4">
        <v>45.24</v>
      </c>
      <c r="N349" s="6">
        <v>66.31</v>
      </c>
      <c r="O349" s="4">
        <v>56.77</v>
      </c>
      <c r="P349" s="4">
        <v>40.450000000000003</v>
      </c>
      <c r="Q349" s="4">
        <v>47.01</v>
      </c>
      <c r="R349" s="4">
        <v>43.01</v>
      </c>
      <c r="S349" s="4">
        <v>41.31</v>
      </c>
      <c r="T349" s="4">
        <v>40.99</v>
      </c>
      <c r="U349" s="4">
        <v>52.51</v>
      </c>
      <c r="V349" s="4">
        <v>46.32</v>
      </c>
      <c r="W349" s="4">
        <v>45.21</v>
      </c>
      <c r="X349" s="4">
        <v>43.16</v>
      </c>
      <c r="Y349" s="4">
        <v>42.09</v>
      </c>
    </row>
    <row r="350" spans="1:25" ht="15" customHeight="1" x14ac:dyDescent="0.45">
      <c r="A350" s="3">
        <v>45758</v>
      </c>
      <c r="B350" s="4">
        <v>53.63</v>
      </c>
      <c r="C350" s="4">
        <v>37.15</v>
      </c>
      <c r="D350" s="4">
        <v>57.72</v>
      </c>
      <c r="E350" s="4">
        <v>39.619999999999997</v>
      </c>
      <c r="F350" s="4">
        <v>43.31</v>
      </c>
      <c r="G350" s="4">
        <v>49.8</v>
      </c>
      <c r="H350" s="4">
        <v>37.94</v>
      </c>
      <c r="I350" s="4">
        <v>43.46</v>
      </c>
      <c r="J350" s="4">
        <v>43.9</v>
      </c>
      <c r="K350" s="4">
        <v>41.55</v>
      </c>
      <c r="L350" s="4">
        <v>51.5</v>
      </c>
      <c r="M350" s="4">
        <v>45.95</v>
      </c>
      <c r="N350" s="6">
        <v>61.84</v>
      </c>
      <c r="O350" s="4">
        <v>56.41</v>
      </c>
      <c r="P350" s="4">
        <v>40.32</v>
      </c>
      <c r="Q350" s="4">
        <v>48.59</v>
      </c>
      <c r="R350" s="4">
        <v>40.479999999999997</v>
      </c>
      <c r="S350" s="4">
        <v>40.26</v>
      </c>
      <c r="T350" s="4">
        <v>37.82</v>
      </c>
      <c r="U350" s="4">
        <v>48.24</v>
      </c>
      <c r="V350" s="4">
        <v>43.74</v>
      </c>
      <c r="W350" s="4">
        <v>43.48</v>
      </c>
      <c r="X350" s="4">
        <v>42.42</v>
      </c>
      <c r="Y350" s="4">
        <v>43.17</v>
      </c>
    </row>
    <row r="351" spans="1:25" ht="15" customHeight="1" x14ac:dyDescent="0.45">
      <c r="A351" s="3">
        <v>45757</v>
      </c>
      <c r="B351" s="4">
        <v>52.81</v>
      </c>
      <c r="C351" s="4">
        <v>37.49</v>
      </c>
      <c r="D351" s="4">
        <v>58.78</v>
      </c>
      <c r="E351" s="4">
        <v>39.99</v>
      </c>
      <c r="F351" s="4">
        <v>40.86</v>
      </c>
      <c r="G351" s="4">
        <v>48.14</v>
      </c>
      <c r="H351" s="4">
        <v>38.93</v>
      </c>
      <c r="I351" s="4">
        <v>36.380000000000003</v>
      </c>
      <c r="J351" s="4">
        <v>46.7</v>
      </c>
      <c r="K351" s="4">
        <v>39.71</v>
      </c>
      <c r="L351" s="4">
        <v>51.04</v>
      </c>
      <c r="M351" s="4">
        <v>45.11</v>
      </c>
      <c r="N351" s="6">
        <v>60.09</v>
      </c>
      <c r="O351" s="4">
        <v>52.51</v>
      </c>
      <c r="P351" s="4">
        <v>41.83</v>
      </c>
      <c r="Q351" s="4">
        <v>48.44</v>
      </c>
      <c r="R351" s="4">
        <v>41.35</v>
      </c>
      <c r="S351" s="4">
        <v>40.79</v>
      </c>
      <c r="T351" s="4">
        <v>40.450000000000003</v>
      </c>
      <c r="U351" s="4">
        <v>44.75</v>
      </c>
      <c r="V351" s="4">
        <v>44.98</v>
      </c>
      <c r="W351" s="4">
        <v>42.62</v>
      </c>
      <c r="X351" s="4">
        <v>42.54</v>
      </c>
      <c r="Y351" s="4">
        <v>44.4</v>
      </c>
    </row>
    <row r="352" spans="1:25" ht="15" customHeight="1" x14ac:dyDescent="0.45">
      <c r="A352" s="3">
        <v>45756</v>
      </c>
      <c r="B352" s="4">
        <v>36.56</v>
      </c>
      <c r="C352" s="7">
        <v>19.14</v>
      </c>
      <c r="D352" s="4">
        <v>53.36</v>
      </c>
      <c r="E352" s="7">
        <v>22.99</v>
      </c>
      <c r="F352" s="4">
        <v>30.99</v>
      </c>
      <c r="G352" s="4">
        <v>34.89</v>
      </c>
      <c r="H352" s="7">
        <v>26.48</v>
      </c>
      <c r="I352" s="7">
        <v>19.670000000000002</v>
      </c>
      <c r="J352" s="7">
        <v>29.32</v>
      </c>
      <c r="K352" s="7">
        <v>27.49</v>
      </c>
      <c r="L352" s="4">
        <v>39.47</v>
      </c>
      <c r="M352" s="7">
        <v>25.87</v>
      </c>
      <c r="N352" s="4">
        <v>51.23</v>
      </c>
      <c r="O352" s="4">
        <v>38.159999999999997</v>
      </c>
      <c r="P352" s="7">
        <v>25.92</v>
      </c>
      <c r="Q352" s="4">
        <v>36.57</v>
      </c>
      <c r="R352" s="7">
        <v>19.37</v>
      </c>
      <c r="S352" s="7">
        <v>24</v>
      </c>
      <c r="T352" s="7">
        <v>22.82</v>
      </c>
      <c r="U352" s="7">
        <v>29.88</v>
      </c>
      <c r="V352" s="7">
        <v>26.47</v>
      </c>
      <c r="W352" s="4">
        <v>30.88</v>
      </c>
      <c r="X352" s="7">
        <v>28.96</v>
      </c>
      <c r="Y352" s="4">
        <v>32.380000000000003</v>
      </c>
    </row>
    <row r="353" spans="1:25" ht="15" customHeight="1" x14ac:dyDescent="0.45">
      <c r="A353" s="3">
        <v>45755</v>
      </c>
      <c r="B353" s="4">
        <v>44.15</v>
      </c>
      <c r="C353" s="7">
        <v>22.8</v>
      </c>
      <c r="D353" s="6">
        <v>69.64</v>
      </c>
      <c r="E353" s="7">
        <v>25.88</v>
      </c>
      <c r="F353" s="4">
        <v>34.35</v>
      </c>
      <c r="G353" s="4">
        <v>41.14</v>
      </c>
      <c r="H353" s="7">
        <v>27.8</v>
      </c>
      <c r="I353" s="7">
        <v>21.26</v>
      </c>
      <c r="J353" s="4">
        <v>31.12</v>
      </c>
      <c r="K353" s="4">
        <v>31.18</v>
      </c>
      <c r="L353" s="4">
        <v>40.4</v>
      </c>
      <c r="M353" s="7">
        <v>28.14</v>
      </c>
      <c r="N353" s="4">
        <v>48.75</v>
      </c>
      <c r="O353" s="4">
        <v>41.46</v>
      </c>
      <c r="P353" s="7">
        <v>27.17</v>
      </c>
      <c r="Q353" s="4">
        <v>38.520000000000003</v>
      </c>
      <c r="R353" s="7">
        <v>21.62</v>
      </c>
      <c r="S353" s="7">
        <v>26.14</v>
      </c>
      <c r="T353" s="7">
        <v>26.57</v>
      </c>
      <c r="U353" s="4">
        <v>33.6</v>
      </c>
      <c r="V353" s="7">
        <v>28.66</v>
      </c>
      <c r="W353" s="4">
        <v>34.04</v>
      </c>
      <c r="X353" s="4">
        <v>32.409999999999997</v>
      </c>
      <c r="Y353" s="4">
        <v>40.47</v>
      </c>
    </row>
    <row r="354" spans="1:25" ht="15" customHeight="1" x14ac:dyDescent="0.45">
      <c r="A354" s="3">
        <v>45754</v>
      </c>
      <c r="B354" s="4">
        <v>37.229999999999997</v>
      </c>
      <c r="C354" s="7">
        <v>23.36</v>
      </c>
      <c r="D354" s="4">
        <v>56.68</v>
      </c>
      <c r="E354" s="7">
        <v>26.33</v>
      </c>
      <c r="F354" s="4">
        <v>34.42</v>
      </c>
      <c r="G354" s="7">
        <v>28.13</v>
      </c>
      <c r="H354" s="7">
        <v>27.98</v>
      </c>
      <c r="I354" s="7">
        <v>18.2</v>
      </c>
      <c r="J354" s="7">
        <v>29.28</v>
      </c>
      <c r="K354" s="4">
        <v>31.2</v>
      </c>
      <c r="L354" s="4">
        <v>34.630000000000003</v>
      </c>
      <c r="M354" s="7">
        <v>29.14</v>
      </c>
      <c r="N354" s="4">
        <v>48.8</v>
      </c>
      <c r="O354" s="4">
        <v>33.44</v>
      </c>
      <c r="P354" s="7">
        <v>29.25</v>
      </c>
      <c r="Q354" s="4">
        <v>45.76</v>
      </c>
      <c r="R354" s="7">
        <v>22.7</v>
      </c>
      <c r="S354" s="7">
        <v>25.48</v>
      </c>
      <c r="T354" s="7">
        <v>27.98</v>
      </c>
      <c r="U354" s="7">
        <v>29.82</v>
      </c>
      <c r="V354" s="7">
        <v>25.75</v>
      </c>
      <c r="W354" s="7">
        <v>29.86</v>
      </c>
      <c r="X354" s="4">
        <v>37.35</v>
      </c>
      <c r="Y354" s="4">
        <v>40.58</v>
      </c>
    </row>
    <row r="355" spans="1:25" ht="15" customHeight="1" x14ac:dyDescent="0.45">
      <c r="A355" s="3">
        <v>45751</v>
      </c>
      <c r="B355" s="4">
        <v>47.87</v>
      </c>
      <c r="C355" s="7">
        <v>28.73</v>
      </c>
      <c r="D355" s="6">
        <v>61.55</v>
      </c>
      <c r="E355" s="4">
        <v>34.49</v>
      </c>
      <c r="F355" s="4">
        <v>43.47</v>
      </c>
      <c r="G355" s="4">
        <v>37.6</v>
      </c>
      <c r="H355" s="4">
        <v>34.85</v>
      </c>
      <c r="I355" s="7">
        <v>25.33</v>
      </c>
      <c r="J355" s="4">
        <v>37.520000000000003</v>
      </c>
      <c r="K355" s="4">
        <v>40.51</v>
      </c>
      <c r="L355" s="4">
        <v>46.12</v>
      </c>
      <c r="M355" s="4">
        <v>40.07</v>
      </c>
      <c r="N355" s="4">
        <v>47.11</v>
      </c>
      <c r="O355" s="4">
        <v>48.18</v>
      </c>
      <c r="P355" s="4">
        <v>38.74</v>
      </c>
      <c r="Q355" s="4">
        <v>52.5</v>
      </c>
      <c r="R355" s="4">
        <v>33.57</v>
      </c>
      <c r="S355" s="4">
        <v>36.26</v>
      </c>
      <c r="T355" s="4">
        <v>34.15</v>
      </c>
      <c r="U355" s="4">
        <v>41.08</v>
      </c>
      <c r="V355" s="4">
        <v>35.61</v>
      </c>
      <c r="W355" s="4">
        <v>41.05</v>
      </c>
      <c r="X355" s="4">
        <v>45.71</v>
      </c>
      <c r="Y355" s="4">
        <v>54.12</v>
      </c>
    </row>
    <row r="356" spans="1:25" ht="15" customHeight="1" x14ac:dyDescent="0.45">
      <c r="A356" s="3">
        <v>45750</v>
      </c>
      <c r="B356" s="4">
        <v>50.06</v>
      </c>
      <c r="C356" s="7">
        <v>23.93</v>
      </c>
      <c r="D356" s="4">
        <v>43.06</v>
      </c>
      <c r="E356" s="4">
        <v>30.11</v>
      </c>
      <c r="F356" s="4">
        <v>47.94</v>
      </c>
      <c r="G356" s="7">
        <v>27.05</v>
      </c>
      <c r="H356" s="4">
        <v>34.93</v>
      </c>
      <c r="I356" s="7">
        <v>27.62</v>
      </c>
      <c r="J356" s="4">
        <v>41.02</v>
      </c>
      <c r="K356" s="4">
        <v>43.41</v>
      </c>
      <c r="L356" s="4">
        <v>47.69</v>
      </c>
      <c r="M356" s="4">
        <v>34.380000000000003</v>
      </c>
      <c r="N356" s="4">
        <v>43.95</v>
      </c>
      <c r="O356" s="4">
        <v>46.96</v>
      </c>
      <c r="P356" s="4">
        <v>37.9</v>
      </c>
      <c r="Q356" s="4">
        <v>45.32</v>
      </c>
      <c r="R356" s="4">
        <v>35.32</v>
      </c>
      <c r="S356" s="4">
        <v>37.68</v>
      </c>
      <c r="T356" s="4">
        <v>35.32</v>
      </c>
      <c r="U356" s="4">
        <v>43.89</v>
      </c>
      <c r="V356" s="4">
        <v>38.58</v>
      </c>
      <c r="W356" s="4">
        <v>43.77</v>
      </c>
      <c r="X356" s="4">
        <v>43.51</v>
      </c>
      <c r="Y356" s="4">
        <v>43.04</v>
      </c>
    </row>
    <row r="357" spans="1:25" ht="15" customHeight="1" x14ac:dyDescent="0.45">
      <c r="A357" s="3">
        <v>45749</v>
      </c>
      <c r="B357" s="4">
        <v>53.78</v>
      </c>
      <c r="C357" s="4">
        <v>30.2</v>
      </c>
      <c r="D357" s="4">
        <v>44.71</v>
      </c>
      <c r="E357" s="4">
        <v>33.24</v>
      </c>
      <c r="F357" s="4">
        <v>36.590000000000003</v>
      </c>
      <c r="G357" s="7">
        <v>28.2</v>
      </c>
      <c r="H357" s="4">
        <v>35.76</v>
      </c>
      <c r="I357" s="7">
        <v>28.14</v>
      </c>
      <c r="J357" s="4">
        <v>45.7</v>
      </c>
      <c r="K357" s="4">
        <v>46.43</v>
      </c>
      <c r="L357" s="4">
        <v>46.05</v>
      </c>
      <c r="M357" s="4">
        <v>36.65</v>
      </c>
      <c r="N357" s="4">
        <v>40.68</v>
      </c>
      <c r="O357" s="4">
        <v>47.02</v>
      </c>
      <c r="P357" s="4">
        <v>43.41</v>
      </c>
      <c r="Q357" s="4">
        <v>42.79</v>
      </c>
      <c r="R357" s="4">
        <v>40.04</v>
      </c>
      <c r="S357" s="4">
        <v>42.83</v>
      </c>
      <c r="T357" s="4">
        <v>37.950000000000003</v>
      </c>
      <c r="U357" s="4">
        <v>40.090000000000003</v>
      </c>
      <c r="V357" s="4">
        <v>40.659999999999997</v>
      </c>
      <c r="W357" s="4">
        <v>47.24</v>
      </c>
      <c r="X357" s="4">
        <v>37.909999999999997</v>
      </c>
      <c r="Y357" s="4">
        <v>42.82</v>
      </c>
    </row>
    <row r="358" spans="1:25" ht="15" customHeight="1" x14ac:dyDescent="0.45">
      <c r="A358" s="3">
        <v>45748</v>
      </c>
      <c r="B358" s="4">
        <v>52.34</v>
      </c>
      <c r="C358" s="4">
        <v>31.34</v>
      </c>
      <c r="D358" s="4">
        <v>47.18</v>
      </c>
      <c r="E358" s="4">
        <v>36.409999999999997</v>
      </c>
      <c r="F358" s="4">
        <v>39.909999999999997</v>
      </c>
      <c r="G358" s="4">
        <v>30.22</v>
      </c>
      <c r="H358" s="4">
        <v>39.270000000000003</v>
      </c>
      <c r="I358" s="7">
        <v>28.94</v>
      </c>
      <c r="J358" s="4">
        <v>46.12</v>
      </c>
      <c r="K358" s="4">
        <v>47.74</v>
      </c>
      <c r="L358" s="4">
        <v>48.08</v>
      </c>
      <c r="M358" s="4">
        <v>37.29</v>
      </c>
      <c r="N358" s="4">
        <v>43.41</v>
      </c>
      <c r="O358" s="4">
        <v>48.35</v>
      </c>
      <c r="P358" s="4">
        <v>43.17</v>
      </c>
      <c r="Q358" s="4">
        <v>43.54</v>
      </c>
      <c r="R358" s="4">
        <v>41.28</v>
      </c>
      <c r="S358" s="4">
        <v>41.04</v>
      </c>
      <c r="T358" s="4">
        <v>39.64</v>
      </c>
      <c r="U358" s="4">
        <v>40.020000000000003</v>
      </c>
      <c r="V358" s="4">
        <v>42.52</v>
      </c>
      <c r="W358" s="4">
        <v>45.63</v>
      </c>
      <c r="X358" s="4">
        <v>39.69</v>
      </c>
      <c r="Y358" s="4">
        <v>46.55</v>
      </c>
    </row>
    <row r="359" spans="1:25" ht="15" customHeight="1" x14ac:dyDescent="0.45">
      <c r="A359" s="3">
        <v>45747</v>
      </c>
      <c r="B359" s="4">
        <v>50.16</v>
      </c>
      <c r="C359" s="7">
        <v>27.75</v>
      </c>
      <c r="D359" s="4">
        <v>30.41</v>
      </c>
      <c r="E359" s="4">
        <v>33.090000000000003</v>
      </c>
      <c r="F359" s="7">
        <v>27.22</v>
      </c>
      <c r="G359" s="7">
        <v>24.53</v>
      </c>
      <c r="H359" s="4">
        <v>38</v>
      </c>
      <c r="I359" s="7">
        <v>27.25</v>
      </c>
      <c r="J359" s="4">
        <v>42.32</v>
      </c>
      <c r="K359" s="4">
        <v>37.729999999999997</v>
      </c>
      <c r="L359" s="4">
        <v>41.89</v>
      </c>
      <c r="M359" s="4">
        <v>36.65</v>
      </c>
      <c r="N359" s="4">
        <v>44.37</v>
      </c>
      <c r="O359" s="4">
        <v>40.159999999999997</v>
      </c>
      <c r="P359" s="4">
        <v>32.340000000000003</v>
      </c>
      <c r="Q359" s="4">
        <v>47.77</v>
      </c>
      <c r="R359" s="4">
        <v>34.85</v>
      </c>
      <c r="S359" s="4">
        <v>39.44</v>
      </c>
      <c r="T359" s="4">
        <v>37.04</v>
      </c>
      <c r="U359" s="4">
        <v>36.450000000000003</v>
      </c>
      <c r="V359" s="4">
        <v>36.11</v>
      </c>
      <c r="W359" s="4">
        <v>42.86</v>
      </c>
      <c r="X359" s="7">
        <v>28.25</v>
      </c>
      <c r="Y359" s="4">
        <v>44.48</v>
      </c>
    </row>
    <row r="360" spans="1:25" ht="15" customHeight="1" x14ac:dyDescent="0.45">
      <c r="A360" s="3">
        <v>45744</v>
      </c>
      <c r="B360" s="4">
        <v>55.12</v>
      </c>
      <c r="C360" s="4">
        <v>30.75</v>
      </c>
      <c r="D360" s="4">
        <v>39.35</v>
      </c>
      <c r="E360" s="4">
        <v>42.06</v>
      </c>
      <c r="F360" s="4">
        <v>34.409999999999997</v>
      </c>
      <c r="G360" s="4">
        <v>33.51</v>
      </c>
      <c r="H360" s="4">
        <v>40.72</v>
      </c>
      <c r="I360" s="4">
        <v>32.01</v>
      </c>
      <c r="J360" s="4">
        <v>52.65</v>
      </c>
      <c r="K360" s="4">
        <v>45.46</v>
      </c>
      <c r="L360" s="4">
        <v>44.98</v>
      </c>
      <c r="M360" s="4">
        <v>44.72</v>
      </c>
      <c r="N360" s="4">
        <v>48.85</v>
      </c>
      <c r="O360" s="4">
        <v>42.4</v>
      </c>
      <c r="P360" s="4">
        <v>35.270000000000003</v>
      </c>
      <c r="Q360" s="4">
        <v>50.33</v>
      </c>
      <c r="R360" s="4">
        <v>40.44</v>
      </c>
      <c r="S360" s="4">
        <v>47.47</v>
      </c>
      <c r="T360" s="4">
        <v>39.299999999999997</v>
      </c>
      <c r="U360" s="4">
        <v>42.61</v>
      </c>
      <c r="V360" s="4">
        <v>45.89</v>
      </c>
      <c r="W360" s="4">
        <v>52.69</v>
      </c>
      <c r="X360" s="4">
        <v>36.29</v>
      </c>
      <c r="Y360" s="4">
        <v>50.69</v>
      </c>
    </row>
    <row r="361" spans="1:25" ht="15" customHeight="1" x14ac:dyDescent="0.45">
      <c r="A361" s="3">
        <v>45743</v>
      </c>
      <c r="B361" s="4">
        <v>54.44</v>
      </c>
      <c r="C361" s="4">
        <v>36.96</v>
      </c>
      <c r="D361" s="4">
        <v>44.17</v>
      </c>
      <c r="E361" s="4">
        <v>47.17</v>
      </c>
      <c r="F361" s="4">
        <v>38.880000000000003</v>
      </c>
      <c r="G361" s="4">
        <v>35.44</v>
      </c>
      <c r="H361" s="4">
        <v>47.69</v>
      </c>
      <c r="I361" s="4">
        <v>34.869999999999997</v>
      </c>
      <c r="J361" s="6">
        <v>60.71</v>
      </c>
      <c r="K361" s="4">
        <v>49.31</v>
      </c>
      <c r="L361" s="4">
        <v>50.08</v>
      </c>
      <c r="M361" s="4">
        <v>52.47</v>
      </c>
      <c r="N361" s="4">
        <v>52.29</v>
      </c>
      <c r="O361" s="4">
        <v>47.42</v>
      </c>
      <c r="P361" s="4">
        <v>41.08</v>
      </c>
      <c r="Q361" s="4">
        <v>53.3</v>
      </c>
      <c r="R361" s="4">
        <v>45.16</v>
      </c>
      <c r="S361" s="4">
        <v>58.48</v>
      </c>
      <c r="T361" s="4">
        <v>40.44</v>
      </c>
      <c r="U361" s="4">
        <v>44.22</v>
      </c>
      <c r="V361" s="4">
        <v>55.07</v>
      </c>
      <c r="W361" s="4">
        <v>54.65</v>
      </c>
      <c r="X361" s="4">
        <v>37.25</v>
      </c>
      <c r="Y361" s="4">
        <v>55.26</v>
      </c>
    </row>
    <row r="362" spans="1:25" ht="15" customHeight="1" x14ac:dyDescent="0.45">
      <c r="A362" s="3">
        <v>45742</v>
      </c>
      <c r="B362" s="4">
        <v>54.28</v>
      </c>
      <c r="C362" s="4">
        <v>34.1</v>
      </c>
      <c r="D362" s="4">
        <v>45.77</v>
      </c>
      <c r="E362" s="4">
        <v>51.94</v>
      </c>
      <c r="F362" s="4">
        <v>44.24</v>
      </c>
      <c r="G362" s="4">
        <v>36.979999999999997</v>
      </c>
      <c r="H362" s="4">
        <v>51.79</v>
      </c>
      <c r="I362" s="4">
        <v>39.64</v>
      </c>
      <c r="J362" s="6">
        <v>64.78</v>
      </c>
      <c r="K362" s="4">
        <v>52.99</v>
      </c>
      <c r="L362" s="4">
        <v>57.8</v>
      </c>
      <c r="M362" s="4">
        <v>54.49</v>
      </c>
      <c r="N362" s="4">
        <v>57.03</v>
      </c>
      <c r="O362" s="4">
        <v>45.72</v>
      </c>
      <c r="P362" s="4">
        <v>47.39</v>
      </c>
      <c r="Q362" s="4">
        <v>53.82</v>
      </c>
      <c r="R362" s="4">
        <v>50.17</v>
      </c>
      <c r="S362" s="6">
        <v>65.930000000000007</v>
      </c>
      <c r="T362" s="4">
        <v>41.9</v>
      </c>
      <c r="U362" s="4">
        <v>50.28</v>
      </c>
      <c r="V362" s="6">
        <v>63.12</v>
      </c>
      <c r="W362" s="4">
        <v>59.98</v>
      </c>
      <c r="X362" s="4">
        <v>42.57</v>
      </c>
      <c r="Y362" s="4">
        <v>53.48</v>
      </c>
    </row>
    <row r="363" spans="1:25" ht="15" customHeight="1" x14ac:dyDescent="0.45">
      <c r="A363" s="3">
        <v>45741</v>
      </c>
      <c r="B363" s="4">
        <v>59.63</v>
      </c>
      <c r="C363" s="4">
        <v>35.89</v>
      </c>
      <c r="D363" s="4">
        <v>44.01</v>
      </c>
      <c r="E363" s="4">
        <v>46.99</v>
      </c>
      <c r="F363" s="4">
        <v>45.84</v>
      </c>
      <c r="G363" s="4">
        <v>34.53</v>
      </c>
      <c r="H363" s="4">
        <v>50.36</v>
      </c>
      <c r="I363" s="4">
        <v>43.6</v>
      </c>
      <c r="J363" s="4">
        <v>57.71</v>
      </c>
      <c r="K363" s="4">
        <v>48.68</v>
      </c>
      <c r="L363" s="4">
        <v>55.97</v>
      </c>
      <c r="M363" s="4">
        <v>53.98</v>
      </c>
      <c r="N363" s="4">
        <v>56.88</v>
      </c>
      <c r="O363" s="4">
        <v>46.5</v>
      </c>
      <c r="P363" s="4">
        <v>47.87</v>
      </c>
      <c r="Q363" s="4">
        <v>56.32</v>
      </c>
      <c r="R363" s="4">
        <v>51.7</v>
      </c>
      <c r="S363" s="6">
        <v>62.77</v>
      </c>
      <c r="T363" s="4">
        <v>45.51</v>
      </c>
      <c r="U363" s="4">
        <v>51.95</v>
      </c>
      <c r="V363" s="4">
        <v>56.84</v>
      </c>
      <c r="W363" s="4">
        <v>59.98</v>
      </c>
      <c r="X363" s="4">
        <v>42.16</v>
      </c>
      <c r="Y363" s="4">
        <v>51.55</v>
      </c>
    </row>
    <row r="364" spans="1:25" ht="15" customHeight="1" x14ac:dyDescent="0.45">
      <c r="A364" s="3">
        <v>45740</v>
      </c>
      <c r="B364" s="6">
        <v>64.52</v>
      </c>
      <c r="C364" s="4">
        <v>37.06</v>
      </c>
      <c r="D364" s="4">
        <v>47.74</v>
      </c>
      <c r="E364" s="4">
        <v>50.99</v>
      </c>
      <c r="F364" s="4">
        <v>44.25</v>
      </c>
      <c r="G364" s="4">
        <v>38.39</v>
      </c>
      <c r="H364" s="4">
        <v>52.75</v>
      </c>
      <c r="I364" s="4">
        <v>45.85</v>
      </c>
      <c r="J364" s="6">
        <v>60.98</v>
      </c>
      <c r="K364" s="4">
        <v>46.82</v>
      </c>
      <c r="L364" s="4">
        <v>59.14</v>
      </c>
      <c r="M364" s="6">
        <v>61.26</v>
      </c>
      <c r="N364" s="4">
        <v>55.31</v>
      </c>
      <c r="O364" s="4">
        <v>44.23</v>
      </c>
      <c r="P364" s="4">
        <v>49.63</v>
      </c>
      <c r="Q364" s="4">
        <v>53.26</v>
      </c>
      <c r="R364" s="4">
        <v>54.32</v>
      </c>
      <c r="S364" s="6">
        <v>62.09</v>
      </c>
      <c r="T364" s="4">
        <v>50.19</v>
      </c>
      <c r="U364" s="4">
        <v>48.03</v>
      </c>
      <c r="V364" s="6">
        <v>61.57</v>
      </c>
      <c r="W364" s="6">
        <v>61.54</v>
      </c>
      <c r="X364" s="4">
        <v>41.65</v>
      </c>
      <c r="Y364" s="4">
        <v>45.31</v>
      </c>
    </row>
    <row r="365" spans="1:25" ht="15" customHeight="1" x14ac:dyDescent="0.45">
      <c r="A365" s="3">
        <v>45737</v>
      </c>
      <c r="B365" s="6">
        <v>69.84</v>
      </c>
      <c r="C365" s="4">
        <v>39.54</v>
      </c>
      <c r="D365" s="4">
        <v>46.37</v>
      </c>
      <c r="E365" s="4">
        <v>49.34</v>
      </c>
      <c r="F365" s="4">
        <v>48.16</v>
      </c>
      <c r="G365" s="4">
        <v>40.93</v>
      </c>
      <c r="H365" s="4">
        <v>58.92</v>
      </c>
      <c r="I365" s="4">
        <v>50.2</v>
      </c>
      <c r="J365" s="6">
        <v>66.72</v>
      </c>
      <c r="K365" s="4">
        <v>43.12</v>
      </c>
      <c r="L365" s="4">
        <v>53.05</v>
      </c>
      <c r="M365" s="6">
        <v>67.22</v>
      </c>
      <c r="N365" s="4">
        <v>53.83</v>
      </c>
      <c r="O365" s="4">
        <v>49.42</v>
      </c>
      <c r="P365" s="4">
        <v>41.64</v>
      </c>
      <c r="Q365" s="4">
        <v>56.28</v>
      </c>
      <c r="R365" s="4">
        <v>54.21</v>
      </c>
      <c r="S365" s="6">
        <v>62.59</v>
      </c>
      <c r="T365" s="4">
        <v>50.1</v>
      </c>
      <c r="U365" s="4">
        <v>52.43</v>
      </c>
      <c r="V365" s="6">
        <v>64.87</v>
      </c>
      <c r="W365" s="6">
        <v>65.83</v>
      </c>
      <c r="X365" s="4">
        <v>44.17</v>
      </c>
      <c r="Y365" s="4">
        <v>45.32</v>
      </c>
    </row>
    <row r="366" spans="1:25" ht="15" customHeight="1" x14ac:dyDescent="0.45">
      <c r="A366" s="3">
        <v>45736</v>
      </c>
      <c r="B366" s="6">
        <v>69.03</v>
      </c>
      <c r="C366" s="4">
        <v>40.020000000000003</v>
      </c>
      <c r="D366" s="4">
        <v>52.71</v>
      </c>
      <c r="E366" s="4">
        <v>52.44</v>
      </c>
      <c r="F366" s="4">
        <v>46.12</v>
      </c>
      <c r="G366" s="4">
        <v>44.16</v>
      </c>
      <c r="H366" s="6">
        <v>61.57</v>
      </c>
      <c r="I366" s="4">
        <v>44.84</v>
      </c>
      <c r="J366" s="6">
        <v>63.89</v>
      </c>
      <c r="K366" s="4">
        <v>49.41</v>
      </c>
      <c r="L366" s="4">
        <v>58.47</v>
      </c>
      <c r="M366" s="6">
        <v>62.4</v>
      </c>
      <c r="N366" s="4">
        <v>51.47</v>
      </c>
      <c r="O366" s="4">
        <v>49.99</v>
      </c>
      <c r="P366" s="4">
        <v>39.99</v>
      </c>
      <c r="Q366" s="6">
        <v>61.75</v>
      </c>
      <c r="R366" s="4">
        <v>55.82</v>
      </c>
      <c r="S366" s="6">
        <v>61.67</v>
      </c>
      <c r="T366" s="4">
        <v>51.52</v>
      </c>
      <c r="U366" s="4">
        <v>51.64</v>
      </c>
      <c r="V366" s="6">
        <v>63.86</v>
      </c>
      <c r="W366" s="6">
        <v>64.78</v>
      </c>
      <c r="X366" s="4">
        <v>42.57</v>
      </c>
      <c r="Y366" s="4">
        <v>42.24</v>
      </c>
    </row>
    <row r="367" spans="1:25" ht="15" customHeight="1" x14ac:dyDescent="0.45">
      <c r="A367" s="3">
        <v>45735</v>
      </c>
      <c r="B367" s="6">
        <v>64.02</v>
      </c>
      <c r="C367" s="4">
        <v>40.799999999999997</v>
      </c>
      <c r="D367" s="4">
        <v>52.74</v>
      </c>
      <c r="E367" s="4">
        <v>51.13</v>
      </c>
      <c r="F367" s="4">
        <v>48.24</v>
      </c>
      <c r="G367" s="4">
        <v>45.09</v>
      </c>
      <c r="H367" s="4">
        <v>57.87</v>
      </c>
      <c r="I367" s="4">
        <v>51.32</v>
      </c>
      <c r="J367" s="4">
        <v>58.43</v>
      </c>
      <c r="K367" s="4">
        <v>51.06</v>
      </c>
      <c r="L367" s="6">
        <v>67.400000000000006</v>
      </c>
      <c r="M367" s="6">
        <v>61.06</v>
      </c>
      <c r="N367" s="4">
        <v>51.63</v>
      </c>
      <c r="O367" s="4">
        <v>49.93</v>
      </c>
      <c r="P367" s="4">
        <v>40.74</v>
      </c>
      <c r="Q367" s="6">
        <v>64.180000000000007</v>
      </c>
      <c r="R367" s="4">
        <v>56.22</v>
      </c>
      <c r="S367" s="6">
        <v>63.64</v>
      </c>
      <c r="T367" s="4">
        <v>52.66</v>
      </c>
      <c r="U367" s="4">
        <v>54.54</v>
      </c>
      <c r="V367" s="6">
        <v>61.66</v>
      </c>
      <c r="W367" s="6">
        <v>65.400000000000006</v>
      </c>
      <c r="X367" s="4">
        <v>46.56</v>
      </c>
      <c r="Y367" s="4">
        <v>46.19</v>
      </c>
    </row>
    <row r="368" spans="1:25" ht="15" customHeight="1" x14ac:dyDescent="0.45">
      <c r="A368" s="3">
        <v>45734</v>
      </c>
      <c r="B368" s="4">
        <v>58.63</v>
      </c>
      <c r="C368" s="4">
        <v>39.15</v>
      </c>
      <c r="D368" s="4">
        <v>51.22</v>
      </c>
      <c r="E368" s="4">
        <v>48.45</v>
      </c>
      <c r="F368" s="4">
        <v>48.95</v>
      </c>
      <c r="G368" s="4">
        <v>43.14</v>
      </c>
      <c r="H368" s="4">
        <v>59.15</v>
      </c>
      <c r="I368" s="4">
        <v>49.38</v>
      </c>
      <c r="J368" s="4">
        <v>54.83</v>
      </c>
      <c r="K368" s="4">
        <v>46.98</v>
      </c>
      <c r="L368" s="6">
        <v>66.87</v>
      </c>
      <c r="M368" s="4">
        <v>59.01</v>
      </c>
      <c r="N368" s="4">
        <v>49.42</v>
      </c>
      <c r="O368" s="4">
        <v>53.09</v>
      </c>
      <c r="P368" s="4">
        <v>45.92</v>
      </c>
      <c r="Q368" s="4">
        <v>57.77</v>
      </c>
      <c r="R368" s="4">
        <v>53.01</v>
      </c>
      <c r="S368" s="6">
        <v>62.34</v>
      </c>
      <c r="T368" s="4">
        <v>48.73</v>
      </c>
      <c r="U368" s="4">
        <v>58.18</v>
      </c>
      <c r="V368" s="4">
        <v>58.97</v>
      </c>
      <c r="W368" s="6">
        <v>61.75</v>
      </c>
      <c r="X368" s="4">
        <v>47.52</v>
      </c>
      <c r="Y368" s="4">
        <v>40.93</v>
      </c>
    </row>
    <row r="369" spans="1:25" ht="15" customHeight="1" x14ac:dyDescent="0.45">
      <c r="A369" s="3">
        <v>45733</v>
      </c>
      <c r="B369" s="4">
        <v>57.26</v>
      </c>
      <c r="C369" s="4">
        <v>39.78</v>
      </c>
      <c r="D369" s="4">
        <v>53.57</v>
      </c>
      <c r="E369" s="4">
        <v>49.95</v>
      </c>
      <c r="F369" s="4">
        <v>46.3</v>
      </c>
      <c r="G369" s="4">
        <v>42.59</v>
      </c>
      <c r="H369" s="6">
        <v>60.7</v>
      </c>
      <c r="I369" s="4">
        <v>46.19</v>
      </c>
      <c r="J369" s="4">
        <v>55.94</v>
      </c>
      <c r="K369" s="4">
        <v>49.43</v>
      </c>
      <c r="L369" s="6">
        <v>65.53</v>
      </c>
      <c r="M369" s="6">
        <v>60.03</v>
      </c>
      <c r="N369" s="4">
        <v>53.31</v>
      </c>
      <c r="O369" s="4">
        <v>51.96</v>
      </c>
      <c r="P369" s="4">
        <v>46.84</v>
      </c>
      <c r="Q369" s="4">
        <v>59.57</v>
      </c>
      <c r="R369" s="4">
        <v>50.97</v>
      </c>
      <c r="S369" s="6">
        <v>60.82</v>
      </c>
      <c r="T369" s="4">
        <v>45.48</v>
      </c>
      <c r="U369" s="4">
        <v>54.37</v>
      </c>
      <c r="V369" s="4">
        <v>58.84</v>
      </c>
      <c r="W369" s="4">
        <v>57.64</v>
      </c>
      <c r="X369" s="4">
        <v>49.13</v>
      </c>
      <c r="Y369" s="4">
        <v>48.8</v>
      </c>
    </row>
    <row r="370" spans="1:25" ht="15" customHeight="1" x14ac:dyDescent="0.45">
      <c r="A370" s="3">
        <v>45730</v>
      </c>
      <c r="B370" s="4">
        <v>52.34</v>
      </c>
      <c r="C370" s="4">
        <v>36.64</v>
      </c>
      <c r="D370" s="4">
        <v>48.45</v>
      </c>
      <c r="E370" s="4">
        <v>51.49</v>
      </c>
      <c r="F370" s="4">
        <v>41.77</v>
      </c>
      <c r="G370" s="4">
        <v>40.4</v>
      </c>
      <c r="H370" s="6">
        <v>60.24</v>
      </c>
      <c r="I370" s="4">
        <v>49.02</v>
      </c>
      <c r="J370" s="4">
        <v>46</v>
      </c>
      <c r="K370" s="4">
        <v>44.09</v>
      </c>
      <c r="L370" s="6">
        <v>60.46</v>
      </c>
      <c r="M370" s="4">
        <v>55.15</v>
      </c>
      <c r="N370" s="4">
        <v>54.07</v>
      </c>
      <c r="O370" s="4">
        <v>50.91</v>
      </c>
      <c r="P370" s="4">
        <v>45.61</v>
      </c>
      <c r="Q370" s="4">
        <v>54.47</v>
      </c>
      <c r="R370" s="4">
        <v>45.54</v>
      </c>
      <c r="S370" s="4">
        <v>54.65</v>
      </c>
      <c r="T370" s="4">
        <v>42.37</v>
      </c>
      <c r="U370" s="4">
        <v>51.83</v>
      </c>
      <c r="V370" s="4">
        <v>50.83</v>
      </c>
      <c r="W370" s="4">
        <v>53.29</v>
      </c>
      <c r="X370" s="4">
        <v>47.36</v>
      </c>
      <c r="Y370" s="4">
        <v>41</v>
      </c>
    </row>
    <row r="371" spans="1:25" ht="15" customHeight="1" x14ac:dyDescent="0.45">
      <c r="A371" s="3">
        <v>45729</v>
      </c>
      <c r="B371" s="4">
        <v>49.81</v>
      </c>
      <c r="C371" s="4">
        <v>37.78</v>
      </c>
      <c r="D371" s="4">
        <v>42.72</v>
      </c>
      <c r="E371" s="4">
        <v>55.99</v>
      </c>
      <c r="F371" s="4">
        <v>40.119999999999997</v>
      </c>
      <c r="G371" s="4">
        <v>42.41</v>
      </c>
      <c r="H371" s="6">
        <v>65.459999999999994</v>
      </c>
      <c r="I371" s="4">
        <v>49.15</v>
      </c>
      <c r="J371" s="4">
        <v>46.04</v>
      </c>
      <c r="K371" s="4">
        <v>39.590000000000003</v>
      </c>
      <c r="L371" s="6">
        <v>62.21</v>
      </c>
      <c r="M371" s="4">
        <v>55.41</v>
      </c>
      <c r="N371" s="4">
        <v>54.85</v>
      </c>
      <c r="O371" s="4">
        <v>51.87</v>
      </c>
      <c r="P371" s="4">
        <v>45.87</v>
      </c>
      <c r="Q371" s="4">
        <v>54.16</v>
      </c>
      <c r="R371" s="4">
        <v>46.24</v>
      </c>
      <c r="S371" s="4">
        <v>58.26</v>
      </c>
      <c r="T371" s="4">
        <v>45.87</v>
      </c>
      <c r="U371" s="4">
        <v>52.04</v>
      </c>
      <c r="V371" s="4">
        <v>52.17</v>
      </c>
      <c r="W371" s="4">
        <v>52.74</v>
      </c>
      <c r="X371" s="4">
        <v>49.83</v>
      </c>
      <c r="Y371" s="4">
        <v>41.68</v>
      </c>
    </row>
    <row r="372" spans="1:25" ht="15" customHeight="1" x14ac:dyDescent="0.45">
      <c r="A372" s="3">
        <v>45728</v>
      </c>
      <c r="B372" s="4">
        <v>50.76</v>
      </c>
      <c r="C372" s="4">
        <v>43.46</v>
      </c>
      <c r="D372" s="4">
        <v>43.18</v>
      </c>
      <c r="E372" s="4">
        <v>57.01</v>
      </c>
      <c r="F372" s="4">
        <v>43.86</v>
      </c>
      <c r="G372" s="4">
        <v>43.63</v>
      </c>
      <c r="H372" s="5">
        <v>73.209999999999994</v>
      </c>
      <c r="I372" s="4">
        <v>49.41</v>
      </c>
      <c r="J372" s="4">
        <v>48.01</v>
      </c>
      <c r="K372" s="4">
        <v>36.119999999999997</v>
      </c>
      <c r="L372" s="4">
        <v>55.77</v>
      </c>
      <c r="M372" s="4">
        <v>58.43</v>
      </c>
      <c r="N372" s="4">
        <v>53.36</v>
      </c>
      <c r="O372" s="4">
        <v>54.37</v>
      </c>
      <c r="P372" s="4">
        <v>48.88</v>
      </c>
      <c r="Q372" s="4">
        <v>55.58</v>
      </c>
      <c r="R372" s="4">
        <v>44.4</v>
      </c>
      <c r="S372" s="4">
        <v>55.4</v>
      </c>
      <c r="T372" s="4">
        <v>48.67</v>
      </c>
      <c r="U372" s="4">
        <v>48.54</v>
      </c>
      <c r="V372" s="4">
        <v>52.9</v>
      </c>
      <c r="W372" s="4">
        <v>53.03</v>
      </c>
      <c r="X372" s="4">
        <v>48.49</v>
      </c>
      <c r="Y372" s="4">
        <v>44.53</v>
      </c>
    </row>
    <row r="373" spans="1:25" ht="15" customHeight="1" x14ac:dyDescent="0.45">
      <c r="A373" s="3">
        <v>45727</v>
      </c>
      <c r="B373" s="4">
        <v>51.02</v>
      </c>
      <c r="C373" s="4">
        <v>44.81</v>
      </c>
      <c r="D373" s="4">
        <v>42.76</v>
      </c>
      <c r="E373" s="4">
        <v>53.01</v>
      </c>
      <c r="F373" s="4">
        <v>39.97</v>
      </c>
      <c r="G373" s="4">
        <v>41.67</v>
      </c>
      <c r="H373" s="6">
        <v>63.79</v>
      </c>
      <c r="I373" s="4">
        <v>46.91</v>
      </c>
      <c r="J373" s="4">
        <v>37.6</v>
      </c>
      <c r="K373" s="4">
        <v>30.94</v>
      </c>
      <c r="L373" s="4">
        <v>58.35</v>
      </c>
      <c r="M373" s="4">
        <v>58.57</v>
      </c>
      <c r="N373" s="4">
        <v>54.62</v>
      </c>
      <c r="O373" s="4">
        <v>54.37</v>
      </c>
      <c r="P373" s="4">
        <v>52.24</v>
      </c>
      <c r="Q373" s="4">
        <v>47.83</v>
      </c>
      <c r="R373" s="4">
        <v>40.33</v>
      </c>
      <c r="S373" s="4">
        <v>50.39</v>
      </c>
      <c r="T373" s="4">
        <v>44.17</v>
      </c>
      <c r="U373" s="4">
        <v>43.04</v>
      </c>
      <c r="V373" s="4">
        <v>44.81</v>
      </c>
      <c r="W373" s="4">
        <v>59.11</v>
      </c>
      <c r="X373" s="4">
        <v>46.95</v>
      </c>
      <c r="Y373" s="4">
        <v>46.98</v>
      </c>
    </row>
    <row r="374" spans="1:25" ht="15" customHeight="1" x14ac:dyDescent="0.45">
      <c r="A374" s="3">
        <v>45726</v>
      </c>
      <c r="B374" s="4">
        <v>55.48</v>
      </c>
      <c r="C374" s="4">
        <v>48.04</v>
      </c>
      <c r="D374" s="4">
        <v>46.87</v>
      </c>
      <c r="E374" s="4">
        <v>58.5</v>
      </c>
      <c r="F374" s="4">
        <v>42.3</v>
      </c>
      <c r="G374" s="4">
        <v>43.37</v>
      </c>
      <c r="H374" s="6">
        <v>69.72</v>
      </c>
      <c r="I374" s="4">
        <v>50.27</v>
      </c>
      <c r="J374" s="4">
        <v>39.28</v>
      </c>
      <c r="K374" s="4">
        <v>33.270000000000003</v>
      </c>
      <c r="L374" s="6">
        <v>64.819999999999993</v>
      </c>
      <c r="M374" s="6">
        <v>66.95</v>
      </c>
      <c r="N374" s="6">
        <v>60.47</v>
      </c>
      <c r="O374" s="6">
        <v>64.040000000000006</v>
      </c>
      <c r="P374" s="6">
        <v>64.52</v>
      </c>
      <c r="Q374" s="4">
        <v>49.94</v>
      </c>
      <c r="R374" s="4">
        <v>44.98</v>
      </c>
      <c r="S374" s="4">
        <v>56.16</v>
      </c>
      <c r="T374" s="4">
        <v>47.06</v>
      </c>
      <c r="U374" s="4">
        <v>46.76</v>
      </c>
      <c r="V374" s="4">
        <v>49.42</v>
      </c>
      <c r="W374" s="6">
        <v>68.930000000000007</v>
      </c>
      <c r="X374" s="4">
        <v>51.16</v>
      </c>
      <c r="Y374" s="4">
        <v>49.64</v>
      </c>
    </row>
    <row r="375" spans="1:25" ht="15" customHeight="1" x14ac:dyDescent="0.45">
      <c r="A375" s="3">
        <v>45723</v>
      </c>
      <c r="B375" s="4">
        <v>57.37</v>
      </c>
      <c r="C375" s="4">
        <v>50.75</v>
      </c>
      <c r="D375" s="4">
        <v>45.75</v>
      </c>
      <c r="E375" s="4">
        <v>55.48</v>
      </c>
      <c r="F375" s="4">
        <v>44.54</v>
      </c>
      <c r="G375" s="4">
        <v>43.31</v>
      </c>
      <c r="H375" s="6">
        <v>66.900000000000006</v>
      </c>
      <c r="I375" s="4">
        <v>49.18</v>
      </c>
      <c r="J375" s="4">
        <v>39.29</v>
      </c>
      <c r="K375" s="4">
        <v>34.24</v>
      </c>
      <c r="L375" s="6">
        <v>66.150000000000006</v>
      </c>
      <c r="M375" s="6">
        <v>65.260000000000005</v>
      </c>
      <c r="N375" s="4">
        <v>57.6</v>
      </c>
      <c r="O375" s="6">
        <v>63.83</v>
      </c>
      <c r="P375" s="6">
        <v>62.71</v>
      </c>
      <c r="Q375" s="4">
        <v>50.43</v>
      </c>
      <c r="R375" s="4">
        <v>40.39</v>
      </c>
      <c r="S375" s="4">
        <v>55.24</v>
      </c>
      <c r="T375" s="4">
        <v>39.07</v>
      </c>
      <c r="U375" s="4">
        <v>47.14</v>
      </c>
      <c r="V375" s="4">
        <v>49.19</v>
      </c>
      <c r="W375" s="5">
        <v>71.83</v>
      </c>
      <c r="X375" s="4">
        <v>49.53</v>
      </c>
      <c r="Y375" s="4">
        <v>57.09</v>
      </c>
    </row>
    <row r="376" spans="1:25" ht="15" customHeight="1" x14ac:dyDescent="0.45">
      <c r="A376" s="3">
        <v>45722</v>
      </c>
      <c r="B376" s="4">
        <v>59.43</v>
      </c>
      <c r="C376" s="4">
        <v>51.34</v>
      </c>
      <c r="D376" s="4">
        <v>52.75</v>
      </c>
      <c r="E376" s="4">
        <v>50.93</v>
      </c>
      <c r="F376" s="4">
        <v>52.71</v>
      </c>
      <c r="G376" s="4">
        <v>45.8</v>
      </c>
      <c r="H376" s="6">
        <v>60.94</v>
      </c>
      <c r="I376" s="4">
        <v>49.07</v>
      </c>
      <c r="J376" s="4">
        <v>40.01</v>
      </c>
      <c r="K376" s="4">
        <v>34.85</v>
      </c>
      <c r="L376" s="6">
        <v>64.88</v>
      </c>
      <c r="M376" s="6">
        <v>65.58</v>
      </c>
      <c r="N376" s="6">
        <v>60.47</v>
      </c>
      <c r="O376" s="6">
        <v>63.55</v>
      </c>
      <c r="P376" s="6">
        <v>64.239999999999995</v>
      </c>
      <c r="Q376" s="4">
        <v>55.05</v>
      </c>
      <c r="R376" s="4">
        <v>47.62</v>
      </c>
      <c r="S376" s="4">
        <v>57.23</v>
      </c>
      <c r="T376" s="4">
        <v>43.47</v>
      </c>
      <c r="U376" s="4">
        <v>52.76</v>
      </c>
      <c r="V376" s="4">
        <v>49.19</v>
      </c>
      <c r="W376" s="5">
        <v>80.84</v>
      </c>
      <c r="X376" s="4">
        <v>53.85</v>
      </c>
      <c r="Y376" s="4">
        <v>56.56</v>
      </c>
    </row>
    <row r="377" spans="1:25" ht="15" customHeight="1" x14ac:dyDescent="0.45">
      <c r="A377" s="3">
        <v>45721</v>
      </c>
      <c r="B377" s="4">
        <v>47.29</v>
      </c>
      <c r="C377" s="4">
        <v>51.8</v>
      </c>
      <c r="D377" s="4">
        <v>49.53</v>
      </c>
      <c r="E377" s="4">
        <v>50.06</v>
      </c>
      <c r="F377" s="4">
        <v>54.14</v>
      </c>
      <c r="G377" s="4">
        <v>41.9</v>
      </c>
      <c r="H377" s="4">
        <v>54.08</v>
      </c>
      <c r="I377" s="4">
        <v>51.23</v>
      </c>
      <c r="J377" s="4">
        <v>40.04</v>
      </c>
      <c r="K377" s="4">
        <v>37.07</v>
      </c>
      <c r="L377" s="6">
        <v>63.4</v>
      </c>
      <c r="M377" s="6">
        <v>65.91</v>
      </c>
      <c r="N377" s="4">
        <v>59</v>
      </c>
      <c r="O377" s="6">
        <v>63.41</v>
      </c>
      <c r="P377" s="6">
        <v>62.73</v>
      </c>
      <c r="Q377" s="4">
        <v>52.75</v>
      </c>
      <c r="R377" s="4">
        <v>40.97</v>
      </c>
      <c r="S377" s="4">
        <v>44.93</v>
      </c>
      <c r="T377" s="4">
        <v>43.21</v>
      </c>
      <c r="U377" s="4">
        <v>44.79</v>
      </c>
      <c r="V377" s="4">
        <v>47.88</v>
      </c>
      <c r="W377" s="5">
        <v>78.41</v>
      </c>
      <c r="X377" s="4">
        <v>44.96</v>
      </c>
      <c r="Y377" s="4">
        <v>56.76</v>
      </c>
    </row>
    <row r="378" spans="1:25" ht="15" customHeight="1" x14ac:dyDescent="0.45">
      <c r="A378" s="3">
        <v>45720</v>
      </c>
      <c r="B378" s="4">
        <v>45.35</v>
      </c>
      <c r="C378" s="4">
        <v>45.32</v>
      </c>
      <c r="D378" s="4">
        <v>44.42</v>
      </c>
      <c r="E378" s="4">
        <v>43.59</v>
      </c>
      <c r="F378" s="4">
        <v>48.99</v>
      </c>
      <c r="G378" s="4">
        <v>31.8</v>
      </c>
      <c r="H378" s="4">
        <v>49.61</v>
      </c>
      <c r="I378" s="4">
        <v>43.44</v>
      </c>
      <c r="J378" s="4">
        <v>37.72</v>
      </c>
      <c r="K378" s="4">
        <v>33.29</v>
      </c>
      <c r="L378" s="6">
        <v>61.88</v>
      </c>
      <c r="M378" s="4">
        <v>56.9</v>
      </c>
      <c r="N378" s="4">
        <v>49.83</v>
      </c>
      <c r="O378" s="4">
        <v>51.73</v>
      </c>
      <c r="P378" s="4">
        <v>56.96</v>
      </c>
      <c r="Q378" s="4">
        <v>51.73</v>
      </c>
      <c r="R378" s="4">
        <v>39.25</v>
      </c>
      <c r="S378" s="4">
        <v>46.99</v>
      </c>
      <c r="T378" s="4">
        <v>41.69</v>
      </c>
      <c r="U378" s="4">
        <v>42.28</v>
      </c>
      <c r="V378" s="4">
        <v>43.35</v>
      </c>
      <c r="W378" s="5">
        <v>75.72</v>
      </c>
      <c r="X378" s="4">
        <v>39.83</v>
      </c>
      <c r="Y378" s="4">
        <v>56.52</v>
      </c>
    </row>
    <row r="379" spans="1:25" ht="15" customHeight="1" x14ac:dyDescent="0.45">
      <c r="A379" s="3">
        <v>45719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" customHeight="1" x14ac:dyDescent="0.45">
      <c r="A380" s="3">
        <v>45716</v>
      </c>
      <c r="B380" s="4">
        <v>42.32</v>
      </c>
      <c r="C380" s="4">
        <v>50.93</v>
      </c>
      <c r="D380" s="4">
        <v>49.12</v>
      </c>
      <c r="E380" s="4">
        <v>48.6</v>
      </c>
      <c r="F380" s="4">
        <v>47.62</v>
      </c>
      <c r="G380" s="4">
        <v>34.53</v>
      </c>
      <c r="H380" s="4">
        <v>49.04</v>
      </c>
      <c r="I380" s="4">
        <v>45.26</v>
      </c>
      <c r="J380" s="4">
        <v>40.72</v>
      </c>
      <c r="K380" s="4">
        <v>38.71</v>
      </c>
      <c r="L380" s="4">
        <v>51.24</v>
      </c>
      <c r="M380" s="4">
        <v>55.88</v>
      </c>
      <c r="N380" s="4">
        <v>49.2</v>
      </c>
      <c r="O380" s="4">
        <v>51.09</v>
      </c>
      <c r="P380" s="4">
        <v>51.31</v>
      </c>
      <c r="Q380" s="4">
        <v>49.85</v>
      </c>
      <c r="R380" s="4">
        <v>41.85</v>
      </c>
      <c r="S380" s="4">
        <v>50.03</v>
      </c>
      <c r="T380" s="4">
        <v>43</v>
      </c>
      <c r="U380" s="4">
        <v>38.65</v>
      </c>
      <c r="V380" s="4">
        <v>43.36</v>
      </c>
      <c r="W380" s="5">
        <v>74.47</v>
      </c>
      <c r="X380" s="4">
        <v>44.28</v>
      </c>
      <c r="Y380" s="6">
        <v>64.53</v>
      </c>
    </row>
    <row r="381" spans="1:25" ht="15" customHeight="1" x14ac:dyDescent="0.45">
      <c r="A381" s="3">
        <v>45715</v>
      </c>
      <c r="B381" s="4">
        <v>52.02</v>
      </c>
      <c r="C381" s="6">
        <v>66.03</v>
      </c>
      <c r="D381" s="4">
        <v>53.43</v>
      </c>
      <c r="E381" s="6">
        <v>62.55</v>
      </c>
      <c r="F381" s="4">
        <v>57.29</v>
      </c>
      <c r="G381" s="4">
        <v>44.71</v>
      </c>
      <c r="H381" s="4">
        <v>57.74</v>
      </c>
      <c r="I381" s="4">
        <v>55.7</v>
      </c>
      <c r="J381" s="4">
        <v>52.18</v>
      </c>
      <c r="K381" s="4">
        <v>46.17</v>
      </c>
      <c r="L381" s="6">
        <v>62.73</v>
      </c>
      <c r="M381" s="6">
        <v>68.11</v>
      </c>
      <c r="N381" s="6">
        <v>69.94</v>
      </c>
      <c r="O381" s="6">
        <v>63.18</v>
      </c>
      <c r="P381" s="6">
        <v>66.069999999999993</v>
      </c>
      <c r="Q381" s="4">
        <v>53.64</v>
      </c>
      <c r="R381" s="4">
        <v>53.52</v>
      </c>
      <c r="S381" s="6">
        <v>63.12</v>
      </c>
      <c r="T381" s="4">
        <v>47.71</v>
      </c>
      <c r="U381" s="4">
        <v>49.93</v>
      </c>
      <c r="V381" s="4">
        <v>57.86</v>
      </c>
      <c r="W381" s="5">
        <v>80.17</v>
      </c>
      <c r="X381" s="4">
        <v>55.2</v>
      </c>
      <c r="Y381" s="5">
        <v>74.37</v>
      </c>
    </row>
    <row r="382" spans="1:25" ht="15" customHeight="1" x14ac:dyDescent="0.45">
      <c r="A382" s="3">
        <v>45714</v>
      </c>
      <c r="B382" s="4">
        <v>57.77</v>
      </c>
      <c r="C382" s="6">
        <v>63.47</v>
      </c>
      <c r="D382" s="4">
        <v>53.37</v>
      </c>
      <c r="E382" s="6">
        <v>61.33</v>
      </c>
      <c r="F382" s="6">
        <v>64.010000000000005</v>
      </c>
      <c r="G382" s="4">
        <v>49.56</v>
      </c>
      <c r="H382" s="4">
        <v>59.16</v>
      </c>
      <c r="I382" s="6">
        <v>60.66</v>
      </c>
      <c r="J382" s="4">
        <v>55.74</v>
      </c>
      <c r="K382" s="4">
        <v>53.09</v>
      </c>
      <c r="L382" s="6">
        <v>63.8</v>
      </c>
      <c r="M382" s="6">
        <v>66.08</v>
      </c>
      <c r="N382" s="5">
        <v>75.709999999999994</v>
      </c>
      <c r="O382" s="6">
        <v>65.569999999999993</v>
      </c>
      <c r="P382" s="6">
        <v>67.239999999999995</v>
      </c>
      <c r="Q382" s="6">
        <v>62.12</v>
      </c>
      <c r="R382" s="4">
        <v>59.18</v>
      </c>
      <c r="S382" s="6">
        <v>66.739999999999995</v>
      </c>
      <c r="T382" s="4">
        <v>48.97</v>
      </c>
      <c r="U382" s="4">
        <v>49.23</v>
      </c>
      <c r="V382" s="6">
        <v>62.03</v>
      </c>
      <c r="W382" s="5">
        <v>78.45</v>
      </c>
      <c r="X382" s="4">
        <v>59.31</v>
      </c>
      <c r="Y382" s="6">
        <v>69.31</v>
      </c>
    </row>
    <row r="383" spans="1:25" ht="15" customHeight="1" x14ac:dyDescent="0.45">
      <c r="A383" s="3">
        <v>45713</v>
      </c>
      <c r="B383" s="4">
        <v>57.2</v>
      </c>
      <c r="C383" s="6">
        <v>62.28</v>
      </c>
      <c r="D383" s="4">
        <v>57.08</v>
      </c>
      <c r="E383" s="4">
        <v>57.79</v>
      </c>
      <c r="F383" s="4">
        <v>57.59</v>
      </c>
      <c r="G383" s="4">
        <v>44.63</v>
      </c>
      <c r="H383" s="4">
        <v>56.92</v>
      </c>
      <c r="I383" s="6">
        <v>61.49</v>
      </c>
      <c r="J383" s="4">
        <v>55.95</v>
      </c>
      <c r="K383" s="4">
        <v>55.79</v>
      </c>
      <c r="L383" s="6">
        <v>66.83</v>
      </c>
      <c r="M383" s="5">
        <v>71.739999999999995</v>
      </c>
      <c r="N383" s="5">
        <v>73.19</v>
      </c>
      <c r="O383" s="6">
        <v>63.64</v>
      </c>
      <c r="P383" s="5">
        <v>72.37</v>
      </c>
      <c r="Q383" s="6">
        <v>61.36</v>
      </c>
      <c r="R383" s="4">
        <v>55.05</v>
      </c>
      <c r="S383" s="6">
        <v>63.84</v>
      </c>
      <c r="T383" s="4">
        <v>47.52</v>
      </c>
      <c r="U383" s="4">
        <v>47.27</v>
      </c>
      <c r="V383" s="6">
        <v>61.29</v>
      </c>
      <c r="W383" s="5">
        <v>78.569999999999993</v>
      </c>
      <c r="X383" s="4">
        <v>51.45</v>
      </c>
      <c r="Y383" s="6">
        <v>68.25</v>
      </c>
    </row>
    <row r="384" spans="1:25" ht="15" customHeight="1" x14ac:dyDescent="0.45">
      <c r="A384" s="3">
        <v>45712</v>
      </c>
      <c r="B384" s="6">
        <v>61.43</v>
      </c>
      <c r="C384" s="6">
        <v>67.91</v>
      </c>
      <c r="D384" s="4">
        <v>57.52</v>
      </c>
      <c r="E384" s="6">
        <v>65.88</v>
      </c>
      <c r="F384" s="4">
        <v>55.56</v>
      </c>
      <c r="G384" s="4">
        <v>46.63</v>
      </c>
      <c r="H384" s="6">
        <v>64.040000000000006</v>
      </c>
      <c r="I384" s="6">
        <v>61.6</v>
      </c>
      <c r="J384" s="6">
        <v>61.04</v>
      </c>
      <c r="K384" s="4">
        <v>58.15</v>
      </c>
      <c r="L384" s="6">
        <v>64.89</v>
      </c>
      <c r="M384" s="5">
        <v>75.650000000000006</v>
      </c>
      <c r="N384" s="6">
        <v>65.489999999999995</v>
      </c>
      <c r="O384" s="6">
        <v>64.02</v>
      </c>
      <c r="P384" s="5">
        <v>70.489999999999995</v>
      </c>
      <c r="Q384" s="6">
        <v>64.900000000000006</v>
      </c>
      <c r="R384" s="4">
        <v>57.74</v>
      </c>
      <c r="S384" s="6">
        <v>61.02</v>
      </c>
      <c r="T384" s="4">
        <v>49.52</v>
      </c>
      <c r="U384" s="4">
        <v>49.83</v>
      </c>
      <c r="V384" s="6">
        <v>65.28</v>
      </c>
      <c r="W384" s="5">
        <v>77.45</v>
      </c>
      <c r="X384" s="4">
        <v>52.72</v>
      </c>
      <c r="Y384" s="6">
        <v>64.33</v>
      </c>
    </row>
    <row r="385" spans="1:25" ht="15" customHeight="1" x14ac:dyDescent="0.45">
      <c r="A385" s="3">
        <v>45709</v>
      </c>
      <c r="B385" s="6">
        <v>61.04</v>
      </c>
      <c r="C385" s="6">
        <v>69.81</v>
      </c>
      <c r="D385" s="4">
        <v>52.41</v>
      </c>
      <c r="E385" s="6">
        <v>66.3</v>
      </c>
      <c r="F385" s="4">
        <v>57.72</v>
      </c>
      <c r="G385" s="4">
        <v>47.07</v>
      </c>
      <c r="H385" s="6">
        <v>65.349999999999994</v>
      </c>
      <c r="I385" s="6">
        <v>67.099999999999994</v>
      </c>
      <c r="J385" s="6">
        <v>64.83</v>
      </c>
      <c r="K385" s="4">
        <v>59.66</v>
      </c>
      <c r="L385" s="6">
        <v>65</v>
      </c>
      <c r="M385" s="5">
        <v>72.349999999999994</v>
      </c>
      <c r="N385" s="6">
        <v>61.91</v>
      </c>
      <c r="O385" s="6">
        <v>64.17</v>
      </c>
      <c r="P385" s="4">
        <v>59.68</v>
      </c>
      <c r="Q385" s="6">
        <v>61.36</v>
      </c>
      <c r="R385" s="4">
        <v>59.42</v>
      </c>
      <c r="S385" s="6">
        <v>62.46</v>
      </c>
      <c r="T385" s="4">
        <v>49.13</v>
      </c>
      <c r="U385" s="4">
        <v>54.67</v>
      </c>
      <c r="V385" s="6">
        <v>68.78</v>
      </c>
      <c r="W385" s="5">
        <v>75.84</v>
      </c>
      <c r="X385" s="4">
        <v>53.8</v>
      </c>
      <c r="Y385" s="6">
        <v>64.819999999999993</v>
      </c>
    </row>
    <row r="386" spans="1:25" ht="15" customHeight="1" x14ac:dyDescent="0.45">
      <c r="A386" s="3">
        <v>45708</v>
      </c>
      <c r="B386" s="6">
        <v>61.54</v>
      </c>
      <c r="C386" s="6">
        <v>69.73</v>
      </c>
      <c r="D386" s="4">
        <v>56.47</v>
      </c>
      <c r="E386" s="6">
        <v>65.5</v>
      </c>
      <c r="F386" s="4">
        <v>57.23</v>
      </c>
      <c r="G386" s="4">
        <v>48.18</v>
      </c>
      <c r="H386" s="6">
        <v>62.08</v>
      </c>
      <c r="I386" s="6">
        <v>67.03</v>
      </c>
      <c r="J386" s="6">
        <v>65.98</v>
      </c>
      <c r="K386" s="6">
        <v>61.38</v>
      </c>
      <c r="L386" s="6">
        <v>63.84</v>
      </c>
      <c r="M386" s="5">
        <v>71.66</v>
      </c>
      <c r="N386" s="6">
        <v>63.39</v>
      </c>
      <c r="O386" s="6">
        <v>64.09</v>
      </c>
      <c r="P386" s="4">
        <v>57.44</v>
      </c>
      <c r="Q386" s="6">
        <v>68.099999999999994</v>
      </c>
      <c r="R386" s="6">
        <v>61.59</v>
      </c>
      <c r="S386" s="5">
        <v>70.13</v>
      </c>
      <c r="T386" s="4">
        <v>54.82</v>
      </c>
      <c r="U386" s="4">
        <v>56.26</v>
      </c>
      <c r="V386" s="6">
        <v>68.56</v>
      </c>
      <c r="W386" s="5">
        <v>71.61</v>
      </c>
      <c r="X386" s="4">
        <v>52.23</v>
      </c>
      <c r="Y386" s="6">
        <v>67.55</v>
      </c>
    </row>
    <row r="387" spans="1:25" ht="15" customHeight="1" x14ac:dyDescent="0.45">
      <c r="A387" s="3">
        <v>45707</v>
      </c>
      <c r="B387" s="6">
        <v>60.33</v>
      </c>
      <c r="C387" s="6">
        <v>67.150000000000006</v>
      </c>
      <c r="D387" s="4">
        <v>55.31</v>
      </c>
      <c r="E387" s="6">
        <v>64.849999999999994</v>
      </c>
      <c r="F387" s="4">
        <v>58.61</v>
      </c>
      <c r="G387" s="4">
        <v>48.67</v>
      </c>
      <c r="H387" s="4">
        <v>59.06</v>
      </c>
      <c r="I387" s="5">
        <v>74.03</v>
      </c>
      <c r="J387" s="6">
        <v>68.58</v>
      </c>
      <c r="K387" s="6">
        <v>62.36</v>
      </c>
      <c r="L387" s="5">
        <v>73.540000000000006</v>
      </c>
      <c r="M387" s="5">
        <v>71.599999999999994</v>
      </c>
      <c r="N387" s="4">
        <v>55.88</v>
      </c>
      <c r="O387" s="5">
        <v>71.48</v>
      </c>
      <c r="P387" s="4">
        <v>51.82</v>
      </c>
      <c r="Q387" s="6">
        <v>61.4</v>
      </c>
      <c r="R387" s="6">
        <v>67.819999999999993</v>
      </c>
      <c r="S387" s="5">
        <v>70.010000000000005</v>
      </c>
      <c r="T387" s="6">
        <v>60.62</v>
      </c>
      <c r="U387" s="6">
        <v>66.62</v>
      </c>
      <c r="V387" s="5">
        <v>72.81</v>
      </c>
      <c r="W387" s="6">
        <v>67.53</v>
      </c>
      <c r="X387" s="4">
        <v>52.51</v>
      </c>
      <c r="Y387" s="6">
        <v>63.39</v>
      </c>
    </row>
    <row r="388" spans="1:25" ht="15" customHeight="1" x14ac:dyDescent="0.45">
      <c r="A388" s="3">
        <v>45706</v>
      </c>
      <c r="B388" s="4">
        <v>57.09</v>
      </c>
      <c r="C388" s="5">
        <v>73.37</v>
      </c>
      <c r="D388" s="4">
        <v>47.91</v>
      </c>
      <c r="E388" s="6">
        <v>62.21</v>
      </c>
      <c r="F388" s="6">
        <v>62.44</v>
      </c>
      <c r="G388" s="4">
        <v>49.78</v>
      </c>
      <c r="H388" s="4">
        <v>53.7</v>
      </c>
      <c r="I388" s="5">
        <v>73.66</v>
      </c>
      <c r="J388" s="6">
        <v>61.71</v>
      </c>
      <c r="K388" s="6">
        <v>60.06</v>
      </c>
      <c r="L388" s="5">
        <v>70.459999999999994</v>
      </c>
      <c r="M388" s="6">
        <v>68.2</v>
      </c>
      <c r="N388" s="4">
        <v>52.85</v>
      </c>
      <c r="O388" s="5">
        <v>75.02</v>
      </c>
      <c r="P388" s="4">
        <v>48.25</v>
      </c>
      <c r="Q388" s="4">
        <v>55.28</v>
      </c>
      <c r="R388" s="6">
        <v>65.7</v>
      </c>
      <c r="S388" s="6">
        <v>66.75</v>
      </c>
      <c r="T388" s="6">
        <v>62.41</v>
      </c>
      <c r="U388" s="6">
        <v>61.31</v>
      </c>
      <c r="V388" s="6">
        <v>67.930000000000007</v>
      </c>
      <c r="W388" s="6">
        <v>63.25</v>
      </c>
      <c r="X388" s="4">
        <v>49.46</v>
      </c>
      <c r="Y388" s="6">
        <v>61.39</v>
      </c>
    </row>
    <row r="389" spans="1:25" ht="15" customHeight="1" x14ac:dyDescent="0.45">
      <c r="A389" s="3">
        <v>45705</v>
      </c>
      <c r="B389" s="6">
        <v>63.14</v>
      </c>
      <c r="C389" s="5">
        <v>72.680000000000007</v>
      </c>
      <c r="D389" s="4">
        <v>47.23</v>
      </c>
      <c r="E389" s="6">
        <v>61.09</v>
      </c>
      <c r="F389" s="6">
        <v>65.34</v>
      </c>
      <c r="G389" s="4">
        <v>52.67</v>
      </c>
      <c r="H389" s="4">
        <v>51.61</v>
      </c>
      <c r="I389" s="6">
        <v>69.72</v>
      </c>
      <c r="J389" s="4">
        <v>59.72</v>
      </c>
      <c r="K389" s="4">
        <v>57.91</v>
      </c>
      <c r="L389" s="6">
        <v>66.63</v>
      </c>
      <c r="M389" s="6">
        <v>66.569999999999993</v>
      </c>
      <c r="N389" s="4">
        <v>52.63</v>
      </c>
      <c r="O389" s="6">
        <v>68.78</v>
      </c>
      <c r="P389" s="4">
        <v>46.38</v>
      </c>
      <c r="Q389" s="4">
        <v>59.21</v>
      </c>
      <c r="R389" s="6">
        <v>65.25</v>
      </c>
      <c r="S389" s="6">
        <v>68.400000000000006</v>
      </c>
      <c r="T389" s="6">
        <v>68.7</v>
      </c>
      <c r="U389" s="6">
        <v>65</v>
      </c>
      <c r="V389" s="6">
        <v>65.599999999999994</v>
      </c>
      <c r="W389" s="6">
        <v>62.36</v>
      </c>
      <c r="X389" s="4">
        <v>50.08</v>
      </c>
      <c r="Y389" s="6">
        <v>60.2</v>
      </c>
    </row>
    <row r="390" spans="1:25" ht="15" customHeight="1" x14ac:dyDescent="0.45">
      <c r="A390" s="3">
        <v>45702</v>
      </c>
      <c r="B390" s="6">
        <v>61.21</v>
      </c>
      <c r="C390" s="6">
        <v>68.73</v>
      </c>
      <c r="D390" s="4">
        <v>47.06</v>
      </c>
      <c r="E390" s="4">
        <v>54.55</v>
      </c>
      <c r="F390" s="6">
        <v>64.510000000000005</v>
      </c>
      <c r="G390" s="4">
        <v>54.32</v>
      </c>
      <c r="H390" s="4">
        <v>48.43</v>
      </c>
      <c r="I390" s="6">
        <v>68.44</v>
      </c>
      <c r="J390" s="4">
        <v>58.74</v>
      </c>
      <c r="K390" s="4">
        <v>55.3</v>
      </c>
      <c r="L390" s="6">
        <v>67.540000000000006</v>
      </c>
      <c r="M390" s="6">
        <v>61.41</v>
      </c>
      <c r="N390" s="4">
        <v>48.35</v>
      </c>
      <c r="O390" s="5">
        <v>70.64</v>
      </c>
      <c r="P390" s="4">
        <v>48.2</v>
      </c>
      <c r="Q390" s="4">
        <v>59.11</v>
      </c>
      <c r="R390" s="4">
        <v>59.05</v>
      </c>
      <c r="S390" s="6">
        <v>62.42</v>
      </c>
      <c r="T390" s="4">
        <v>59.71</v>
      </c>
      <c r="U390" s="6">
        <v>61.86</v>
      </c>
      <c r="V390" s="6">
        <v>64.08</v>
      </c>
      <c r="W390" s="4">
        <v>53.9</v>
      </c>
      <c r="X390" s="4">
        <v>48.37</v>
      </c>
      <c r="Y390" s="6">
        <v>68.8</v>
      </c>
    </row>
    <row r="391" spans="1:25" ht="15" customHeight="1" x14ac:dyDescent="0.45">
      <c r="A391" s="3">
        <v>45701</v>
      </c>
      <c r="B391" s="4">
        <v>52.12</v>
      </c>
      <c r="C391" s="6">
        <v>67.510000000000005</v>
      </c>
      <c r="D391" s="4">
        <v>46.05</v>
      </c>
      <c r="E391" s="4">
        <v>56.44</v>
      </c>
      <c r="F391" s="6">
        <v>63.69</v>
      </c>
      <c r="G391" s="4">
        <v>51.34</v>
      </c>
      <c r="H391" s="4">
        <v>47.06</v>
      </c>
      <c r="I391" s="6">
        <v>63.48</v>
      </c>
      <c r="J391" s="4">
        <v>58.97</v>
      </c>
      <c r="K391" s="4">
        <v>53.93</v>
      </c>
      <c r="L391" s="5">
        <v>70.92</v>
      </c>
      <c r="M391" s="4">
        <v>55.33</v>
      </c>
      <c r="N391" s="4">
        <v>43.73</v>
      </c>
      <c r="O391" s="6">
        <v>67.989999999999995</v>
      </c>
      <c r="P391" s="4">
        <v>46.54</v>
      </c>
      <c r="Q391" s="4">
        <v>51.26</v>
      </c>
      <c r="R391" s="4">
        <v>54.3</v>
      </c>
      <c r="S391" s="4">
        <v>56.07</v>
      </c>
      <c r="T391" s="4">
        <v>45.46</v>
      </c>
      <c r="U391" s="6">
        <v>60.63</v>
      </c>
      <c r="V391" s="6">
        <v>63.94</v>
      </c>
      <c r="W391" s="4">
        <v>51.12</v>
      </c>
      <c r="X391" s="4">
        <v>49.77</v>
      </c>
      <c r="Y391" s="6">
        <v>67.8</v>
      </c>
    </row>
    <row r="392" spans="1:25" ht="15" customHeight="1" x14ac:dyDescent="0.45">
      <c r="A392" s="3">
        <v>45700</v>
      </c>
      <c r="B392" s="4">
        <v>58.29</v>
      </c>
      <c r="C392" s="6">
        <v>60.39</v>
      </c>
      <c r="D392" s="4">
        <v>46</v>
      </c>
      <c r="E392" s="4">
        <v>48.56</v>
      </c>
      <c r="F392" s="6">
        <v>61.45</v>
      </c>
      <c r="G392" s="4">
        <v>37.75</v>
      </c>
      <c r="H392" s="4">
        <v>41.16</v>
      </c>
      <c r="I392" s="4">
        <v>59.1</v>
      </c>
      <c r="J392" s="4">
        <v>53.7</v>
      </c>
      <c r="K392" s="4">
        <v>46.81</v>
      </c>
      <c r="L392" s="6">
        <v>66.510000000000005</v>
      </c>
      <c r="M392" s="4">
        <v>52.34</v>
      </c>
      <c r="N392" s="4">
        <v>40.64</v>
      </c>
      <c r="O392" s="6">
        <v>61.18</v>
      </c>
      <c r="P392" s="4">
        <v>48.42</v>
      </c>
      <c r="Q392" s="4">
        <v>49.84</v>
      </c>
      <c r="R392" s="4">
        <v>53.63</v>
      </c>
      <c r="S392" s="4">
        <v>56.82</v>
      </c>
      <c r="T392" s="4">
        <v>50.22</v>
      </c>
      <c r="U392" s="6">
        <v>60.03</v>
      </c>
      <c r="V392" s="4">
        <v>57.97</v>
      </c>
      <c r="W392" s="4">
        <v>50.82</v>
      </c>
      <c r="X392" s="4">
        <v>54.24</v>
      </c>
      <c r="Y392" s="5">
        <v>71.959999999999994</v>
      </c>
    </row>
    <row r="393" spans="1:25" ht="15" customHeight="1" x14ac:dyDescent="0.45">
      <c r="A393" s="3">
        <v>45699</v>
      </c>
      <c r="B393" s="4">
        <v>58.14</v>
      </c>
      <c r="C393" s="6">
        <v>62.46</v>
      </c>
      <c r="D393" s="4">
        <v>46.07</v>
      </c>
      <c r="E393" s="4">
        <v>47.55</v>
      </c>
      <c r="F393" s="6">
        <v>67.599999999999994</v>
      </c>
      <c r="G393" s="4">
        <v>42.8</v>
      </c>
      <c r="H393" s="4">
        <v>40.07</v>
      </c>
      <c r="I393" s="4">
        <v>56.92</v>
      </c>
      <c r="J393" s="4">
        <v>53.04</v>
      </c>
      <c r="K393" s="4">
        <v>46.55</v>
      </c>
      <c r="L393" s="4">
        <v>58.74</v>
      </c>
      <c r="M393" s="4">
        <v>48.19</v>
      </c>
      <c r="N393" s="4">
        <v>39.5</v>
      </c>
      <c r="O393" s="6">
        <v>63.55</v>
      </c>
      <c r="P393" s="4">
        <v>49.17</v>
      </c>
      <c r="Q393" s="4">
        <v>54.29</v>
      </c>
      <c r="R393" s="4">
        <v>50.03</v>
      </c>
      <c r="S393" s="4">
        <v>52.56</v>
      </c>
      <c r="T393" s="4">
        <v>46.47</v>
      </c>
      <c r="U393" s="4">
        <v>59.53</v>
      </c>
      <c r="V393" s="4">
        <v>55.97</v>
      </c>
      <c r="W393" s="4">
        <v>50.61</v>
      </c>
      <c r="X393" s="6">
        <v>66.989999999999995</v>
      </c>
      <c r="Y393" s="6">
        <v>69.13</v>
      </c>
    </row>
    <row r="394" spans="1:25" ht="15" customHeight="1" x14ac:dyDescent="0.45">
      <c r="A394" s="3">
        <v>45698</v>
      </c>
      <c r="B394" s="4">
        <v>57.52</v>
      </c>
      <c r="C394" s="6">
        <v>66.77</v>
      </c>
      <c r="D394" s="4">
        <v>47.5</v>
      </c>
      <c r="E394" s="4">
        <v>47.17</v>
      </c>
      <c r="F394" s="6">
        <v>63.59</v>
      </c>
      <c r="G394" s="4">
        <v>44.81</v>
      </c>
      <c r="H394" s="4">
        <v>36.56</v>
      </c>
      <c r="I394" s="4">
        <v>55.04</v>
      </c>
      <c r="J394" s="4">
        <v>52.48</v>
      </c>
      <c r="K394" s="4">
        <v>48.18</v>
      </c>
      <c r="L394" s="4">
        <v>50.96</v>
      </c>
      <c r="M394" s="4">
        <v>44.48</v>
      </c>
      <c r="N394" s="4">
        <v>40.130000000000003</v>
      </c>
      <c r="O394" s="6">
        <v>60.9</v>
      </c>
      <c r="P394" s="4">
        <v>48.83</v>
      </c>
      <c r="Q394" s="4">
        <v>49.8</v>
      </c>
      <c r="R394" s="4">
        <v>49.56</v>
      </c>
      <c r="S394" s="4">
        <v>51.93</v>
      </c>
      <c r="T394" s="4">
        <v>46.8</v>
      </c>
      <c r="U394" s="4">
        <v>56.3</v>
      </c>
      <c r="V394" s="4">
        <v>53.02</v>
      </c>
      <c r="W394" s="4">
        <v>48.72</v>
      </c>
      <c r="X394" s="6">
        <v>66.430000000000007</v>
      </c>
      <c r="Y394" s="6">
        <v>64.66</v>
      </c>
    </row>
    <row r="395" spans="1:25" ht="15" customHeight="1" x14ac:dyDescent="0.45">
      <c r="A395" s="3">
        <v>45695</v>
      </c>
      <c r="B395" s="4">
        <v>57.3</v>
      </c>
      <c r="C395" s="6">
        <v>64.61</v>
      </c>
      <c r="D395" s="4">
        <v>45.03</v>
      </c>
      <c r="E395" s="4">
        <v>45.31</v>
      </c>
      <c r="F395" s="6">
        <v>69.28</v>
      </c>
      <c r="G395" s="4">
        <v>46.57</v>
      </c>
      <c r="H395" s="4">
        <v>38.44</v>
      </c>
      <c r="I395" s="4">
        <v>59.41</v>
      </c>
      <c r="J395" s="4">
        <v>48.66</v>
      </c>
      <c r="K395" s="4">
        <v>48.96</v>
      </c>
      <c r="L395" s="4">
        <v>57.71</v>
      </c>
      <c r="M395" s="4">
        <v>45.97</v>
      </c>
      <c r="N395" s="4">
        <v>41.18</v>
      </c>
      <c r="O395" s="6">
        <v>60.87</v>
      </c>
      <c r="P395" s="4">
        <v>49.4</v>
      </c>
      <c r="Q395" s="4">
        <v>48.35</v>
      </c>
      <c r="R395" s="4">
        <v>52.94</v>
      </c>
      <c r="S395" s="4">
        <v>54.11</v>
      </c>
      <c r="T395" s="4">
        <v>49.3</v>
      </c>
      <c r="U395" s="6">
        <v>62.19</v>
      </c>
      <c r="V395" s="4">
        <v>52.14</v>
      </c>
      <c r="W395" s="4">
        <v>46.18</v>
      </c>
      <c r="X395" s="6">
        <v>69.05</v>
      </c>
      <c r="Y395" s="6">
        <v>62.52</v>
      </c>
    </row>
    <row r="396" spans="1:25" ht="15" customHeight="1" x14ac:dyDescent="0.45">
      <c r="A396" s="3">
        <v>45694</v>
      </c>
      <c r="B396" s="6">
        <v>64.8</v>
      </c>
      <c r="C396" s="6">
        <v>66.5</v>
      </c>
      <c r="D396" s="4">
        <v>49.82</v>
      </c>
      <c r="E396" s="4">
        <v>49.79</v>
      </c>
      <c r="F396" s="6">
        <v>62.95</v>
      </c>
      <c r="G396" s="4">
        <v>47.92</v>
      </c>
      <c r="H396" s="4">
        <v>40.17</v>
      </c>
      <c r="I396" s="6">
        <v>61.76</v>
      </c>
      <c r="J396" s="4">
        <v>50.38</v>
      </c>
      <c r="K396" s="4">
        <v>58.84</v>
      </c>
      <c r="L396" s="4">
        <v>58.76</v>
      </c>
      <c r="M396" s="4">
        <v>49.26</v>
      </c>
      <c r="N396" s="4">
        <v>53.55</v>
      </c>
      <c r="O396" s="4">
        <v>59.78</v>
      </c>
      <c r="P396" s="4">
        <v>53.34</v>
      </c>
      <c r="Q396" s="4">
        <v>52.97</v>
      </c>
      <c r="R396" s="4">
        <v>57.32</v>
      </c>
      <c r="S396" s="4">
        <v>49.85</v>
      </c>
      <c r="T396" s="4">
        <v>53.89</v>
      </c>
      <c r="U396" s="6">
        <v>62.98</v>
      </c>
      <c r="V396" s="4">
        <v>53.47</v>
      </c>
      <c r="W396" s="4">
        <v>49.5</v>
      </c>
      <c r="X396" s="5">
        <v>75.180000000000007</v>
      </c>
      <c r="Y396" s="6">
        <v>65.77</v>
      </c>
    </row>
    <row r="397" spans="1:25" ht="15" customHeight="1" x14ac:dyDescent="0.45">
      <c r="A397" s="3">
        <v>45693</v>
      </c>
      <c r="B397" s="4">
        <v>51.01</v>
      </c>
      <c r="C397" s="6">
        <v>62.24</v>
      </c>
      <c r="D397" s="4">
        <v>47.16</v>
      </c>
      <c r="E397" s="4">
        <v>46.59</v>
      </c>
      <c r="F397" s="6">
        <v>60.09</v>
      </c>
      <c r="G397" s="4">
        <v>45.43</v>
      </c>
      <c r="H397" s="4">
        <v>39.31</v>
      </c>
      <c r="I397" s="6">
        <v>60.97</v>
      </c>
      <c r="J397" s="4">
        <v>46.33</v>
      </c>
      <c r="K397" s="4">
        <v>51.16</v>
      </c>
      <c r="L397" s="4">
        <v>57.4</v>
      </c>
      <c r="M397" s="4">
        <v>47.05</v>
      </c>
      <c r="N397" s="4">
        <v>52.63</v>
      </c>
      <c r="O397" s="4">
        <v>52.07</v>
      </c>
      <c r="P397" s="4">
        <v>54.38</v>
      </c>
      <c r="Q397" s="4">
        <v>52.88</v>
      </c>
      <c r="R397" s="4">
        <v>56.84</v>
      </c>
      <c r="S397" s="4">
        <v>52.21</v>
      </c>
      <c r="T397" s="4">
        <v>51.25</v>
      </c>
      <c r="U397" s="4">
        <v>54.2</v>
      </c>
      <c r="V397" s="4">
        <v>49.36</v>
      </c>
      <c r="W397" s="4">
        <v>40.72</v>
      </c>
      <c r="X397" s="5">
        <v>71.989999999999995</v>
      </c>
      <c r="Y397" s="6">
        <v>65.92</v>
      </c>
    </row>
    <row r="398" spans="1:25" ht="15" customHeight="1" x14ac:dyDescent="0.45">
      <c r="A398" s="3">
        <v>45692</v>
      </c>
      <c r="B398" s="4">
        <v>46.6</v>
      </c>
      <c r="C398" s="4">
        <v>54.72</v>
      </c>
      <c r="D398" s="4">
        <v>46.44</v>
      </c>
      <c r="E398" s="4">
        <v>41.92</v>
      </c>
      <c r="F398" s="4">
        <v>55.75</v>
      </c>
      <c r="G398" s="4">
        <v>48.31</v>
      </c>
      <c r="H398" s="4">
        <v>37.71</v>
      </c>
      <c r="I398" s="6">
        <v>62.16</v>
      </c>
      <c r="J398" s="4">
        <v>41.88</v>
      </c>
      <c r="K398" s="4">
        <v>50</v>
      </c>
      <c r="L398" s="4">
        <v>57.44</v>
      </c>
      <c r="M398" s="4">
        <v>43.02</v>
      </c>
      <c r="N398" s="4">
        <v>44.8</v>
      </c>
      <c r="O398" s="4">
        <v>53.6</v>
      </c>
      <c r="P398" s="4">
        <v>53.49</v>
      </c>
      <c r="Q398" s="4">
        <v>51.09</v>
      </c>
      <c r="R398" s="4">
        <v>56.03</v>
      </c>
      <c r="S398" s="4">
        <v>55.93</v>
      </c>
      <c r="T398" s="4">
        <v>52.65</v>
      </c>
      <c r="U398" s="4">
        <v>53.23</v>
      </c>
      <c r="V398" s="4">
        <v>45.25</v>
      </c>
      <c r="W398" s="4">
        <v>41.7</v>
      </c>
      <c r="X398" s="6">
        <v>63.51</v>
      </c>
      <c r="Y398" s="6">
        <v>63.54</v>
      </c>
    </row>
    <row r="399" spans="1:25" ht="15" customHeight="1" x14ac:dyDescent="0.45">
      <c r="A399" s="3">
        <v>45691</v>
      </c>
      <c r="B399" s="4">
        <v>48.25</v>
      </c>
      <c r="C399" s="4">
        <v>53.99</v>
      </c>
      <c r="D399" s="4">
        <v>44.43</v>
      </c>
      <c r="E399" s="4">
        <v>40.75</v>
      </c>
      <c r="F399" s="4">
        <v>57.26</v>
      </c>
      <c r="G399" s="4">
        <v>44.58</v>
      </c>
      <c r="H399" s="4">
        <v>38.049999999999997</v>
      </c>
      <c r="I399" s="4">
        <v>57.72</v>
      </c>
      <c r="J399" s="4">
        <v>37.21</v>
      </c>
      <c r="K399" s="4">
        <v>49.65</v>
      </c>
      <c r="L399" s="4">
        <v>53.33</v>
      </c>
      <c r="M399" s="4">
        <v>42.79</v>
      </c>
      <c r="N399" s="4">
        <v>47.73</v>
      </c>
      <c r="O399" s="4">
        <v>50.01</v>
      </c>
      <c r="P399" s="4">
        <v>53</v>
      </c>
      <c r="Q399" s="4">
        <v>53.06</v>
      </c>
      <c r="R399" s="4">
        <v>50.22</v>
      </c>
      <c r="S399" s="4">
        <v>51.35</v>
      </c>
      <c r="T399" s="4">
        <v>50.89</v>
      </c>
      <c r="U399" s="4">
        <v>45.34</v>
      </c>
      <c r="V399" s="4">
        <v>40.92</v>
      </c>
      <c r="W399" s="4">
        <v>37.520000000000003</v>
      </c>
      <c r="X399" s="6">
        <v>62.46</v>
      </c>
      <c r="Y399" s="4">
        <v>57.5</v>
      </c>
    </row>
    <row r="400" spans="1:25" ht="15" customHeight="1" x14ac:dyDescent="0.45">
      <c r="A400" s="3">
        <v>45688</v>
      </c>
      <c r="B400" s="4">
        <v>45.09</v>
      </c>
      <c r="C400" s="6">
        <v>67.3</v>
      </c>
      <c r="D400" s="4">
        <v>55</v>
      </c>
      <c r="E400" s="4">
        <v>52.84</v>
      </c>
      <c r="F400" s="6">
        <v>60.31</v>
      </c>
      <c r="G400" s="4">
        <v>46.21</v>
      </c>
      <c r="H400" s="4">
        <v>43.32</v>
      </c>
      <c r="I400" s="6">
        <v>65.319999999999993</v>
      </c>
      <c r="J400" s="4">
        <v>44.79</v>
      </c>
      <c r="K400" s="4">
        <v>50.89</v>
      </c>
      <c r="L400" s="6">
        <v>61.84</v>
      </c>
      <c r="M400" s="4">
        <v>47.99</v>
      </c>
      <c r="N400" s="4">
        <v>48.88</v>
      </c>
      <c r="O400" s="4">
        <v>56.15</v>
      </c>
      <c r="P400" s="6">
        <v>66.510000000000005</v>
      </c>
      <c r="Q400" s="4">
        <v>56.19</v>
      </c>
      <c r="R400" s="6">
        <v>61.41</v>
      </c>
      <c r="S400" s="4">
        <v>58.61</v>
      </c>
      <c r="T400" s="4">
        <v>50.48</v>
      </c>
      <c r="U400" s="4">
        <v>55.49</v>
      </c>
      <c r="V400" s="4">
        <v>50.62</v>
      </c>
      <c r="W400" s="4">
        <v>43.43</v>
      </c>
      <c r="X400" s="4">
        <v>59.03</v>
      </c>
      <c r="Y400" s="6">
        <v>60.71</v>
      </c>
    </row>
    <row r="401" spans="1:25" ht="15" customHeight="1" x14ac:dyDescent="0.45">
      <c r="A401" s="3">
        <v>45687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" customHeight="1" x14ac:dyDescent="0.45">
      <c r="A402" s="3">
        <v>45686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" customHeight="1" x14ac:dyDescent="0.45">
      <c r="A403" s="3">
        <v>45685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" customHeight="1" x14ac:dyDescent="0.45">
      <c r="A404" s="3">
        <v>45684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" customHeight="1" x14ac:dyDescent="0.45">
      <c r="A405" s="3">
        <v>45681</v>
      </c>
      <c r="B405" s="4">
        <v>34.270000000000003</v>
      </c>
      <c r="C405" s="6">
        <v>63.33</v>
      </c>
      <c r="D405" s="6">
        <v>61.43</v>
      </c>
      <c r="E405" s="4">
        <v>52.25</v>
      </c>
      <c r="F405" s="6">
        <v>62.33</v>
      </c>
      <c r="G405" s="4">
        <v>52.75</v>
      </c>
      <c r="H405" s="4">
        <v>45.44</v>
      </c>
      <c r="I405" s="5">
        <v>75.56</v>
      </c>
      <c r="J405" s="4">
        <v>56.93</v>
      </c>
      <c r="K405" s="6">
        <v>62.21</v>
      </c>
      <c r="L405" s="6">
        <v>60.83</v>
      </c>
      <c r="M405" s="4">
        <v>43.97</v>
      </c>
      <c r="N405" s="4">
        <v>49.7</v>
      </c>
      <c r="O405" s="6">
        <v>62.63</v>
      </c>
      <c r="P405" s="6">
        <v>62.67</v>
      </c>
      <c r="Q405" s="4">
        <v>50.48</v>
      </c>
      <c r="R405" s="4">
        <v>52.05</v>
      </c>
      <c r="S405" s="4">
        <v>53.26</v>
      </c>
      <c r="T405" s="7">
        <v>27.3</v>
      </c>
      <c r="U405" s="4">
        <v>56.43</v>
      </c>
      <c r="V405" s="6">
        <v>60.41</v>
      </c>
      <c r="W405" s="4">
        <v>43.5</v>
      </c>
      <c r="X405" s="4">
        <v>38.74</v>
      </c>
      <c r="Y405" s="4">
        <v>57.84</v>
      </c>
    </row>
    <row r="406" spans="1:25" ht="15" customHeight="1" x14ac:dyDescent="0.45">
      <c r="A406" s="3">
        <v>45680</v>
      </c>
      <c r="B406" s="4">
        <v>30.95</v>
      </c>
      <c r="C406" s="6">
        <v>61.55</v>
      </c>
      <c r="D406" s="5">
        <v>72.400000000000006</v>
      </c>
      <c r="E406" s="4">
        <v>51.92</v>
      </c>
      <c r="F406" s="4">
        <v>57.35</v>
      </c>
      <c r="G406" s="4">
        <v>49.87</v>
      </c>
      <c r="H406" s="4">
        <v>36.78</v>
      </c>
      <c r="I406" s="5">
        <v>73.06</v>
      </c>
      <c r="J406" s="4">
        <v>55.45</v>
      </c>
      <c r="K406" s="4">
        <v>58.27</v>
      </c>
      <c r="L406" s="4">
        <v>56.1</v>
      </c>
      <c r="M406" s="4">
        <v>41.49</v>
      </c>
      <c r="N406" s="4">
        <v>46.25</v>
      </c>
      <c r="O406" s="4">
        <v>55.81</v>
      </c>
      <c r="P406" s="4">
        <v>58.79</v>
      </c>
      <c r="Q406" s="4">
        <v>44.51</v>
      </c>
      <c r="R406" s="4">
        <v>50.6</v>
      </c>
      <c r="S406" s="4">
        <v>51.66</v>
      </c>
      <c r="T406" s="7">
        <v>29.03</v>
      </c>
      <c r="U406" s="4">
        <v>57.09</v>
      </c>
      <c r="V406" s="4">
        <v>56.55</v>
      </c>
      <c r="W406" s="4">
        <v>42.96</v>
      </c>
      <c r="X406" s="4">
        <v>40.75</v>
      </c>
      <c r="Y406" s="4">
        <v>54.07</v>
      </c>
    </row>
    <row r="407" spans="1:25" ht="15" customHeight="1" x14ac:dyDescent="0.45">
      <c r="A407" s="3">
        <v>45679</v>
      </c>
      <c r="B407" s="4">
        <v>34.130000000000003</v>
      </c>
      <c r="C407" s="6">
        <v>62.29</v>
      </c>
      <c r="D407" s="6">
        <v>64.89</v>
      </c>
      <c r="E407" s="4">
        <v>57.41</v>
      </c>
      <c r="F407" s="4">
        <v>53.56</v>
      </c>
      <c r="G407" s="4">
        <v>54.34</v>
      </c>
      <c r="H407" s="4">
        <v>38.71</v>
      </c>
      <c r="I407" s="5">
        <v>79.63</v>
      </c>
      <c r="J407" s="6">
        <v>61.64</v>
      </c>
      <c r="K407" s="6">
        <v>62.56</v>
      </c>
      <c r="L407" s="6">
        <v>62.88</v>
      </c>
      <c r="M407" s="4">
        <v>53.43</v>
      </c>
      <c r="N407" s="4">
        <v>52.4</v>
      </c>
      <c r="O407" s="4">
        <v>54.76</v>
      </c>
      <c r="P407" s="4">
        <v>59.93</v>
      </c>
      <c r="Q407" s="4">
        <v>42.72</v>
      </c>
      <c r="R407" s="4">
        <v>55.36</v>
      </c>
      <c r="S407" s="4">
        <v>53.91</v>
      </c>
      <c r="T407" s="4">
        <v>30.59</v>
      </c>
      <c r="U407" s="5">
        <v>75.040000000000006</v>
      </c>
      <c r="V407" s="6">
        <v>63.53</v>
      </c>
      <c r="W407" s="4">
        <v>43.9</v>
      </c>
      <c r="X407" s="4">
        <v>44.32</v>
      </c>
      <c r="Y407" s="4">
        <v>59.35</v>
      </c>
    </row>
    <row r="408" spans="1:25" ht="15" customHeight="1" x14ac:dyDescent="0.45">
      <c r="A408" s="3">
        <v>45678</v>
      </c>
      <c r="B408" s="4">
        <v>36.54</v>
      </c>
      <c r="C408" s="6">
        <v>60.25</v>
      </c>
      <c r="D408" s="5">
        <v>72.099999999999994</v>
      </c>
      <c r="E408" s="4">
        <v>54.69</v>
      </c>
      <c r="F408" s="4">
        <v>51.34</v>
      </c>
      <c r="G408" s="4">
        <v>53.44</v>
      </c>
      <c r="H408" s="4">
        <v>36.119999999999997</v>
      </c>
      <c r="I408" s="5">
        <v>72.709999999999994</v>
      </c>
      <c r="J408" s="4">
        <v>55.66</v>
      </c>
      <c r="K408" s="6">
        <v>64.61</v>
      </c>
      <c r="L408" s="6">
        <v>64.73</v>
      </c>
      <c r="M408" s="4">
        <v>50.03</v>
      </c>
      <c r="N408" s="4">
        <v>54.74</v>
      </c>
      <c r="O408" s="4">
        <v>45.32</v>
      </c>
      <c r="P408" s="4">
        <v>50.39</v>
      </c>
      <c r="Q408" s="4">
        <v>46.11</v>
      </c>
      <c r="R408" s="4">
        <v>53.58</v>
      </c>
      <c r="S408" s="4">
        <v>52.07</v>
      </c>
      <c r="T408" s="4">
        <v>33.6</v>
      </c>
      <c r="U408" s="5">
        <v>72.260000000000005</v>
      </c>
      <c r="V408" s="4">
        <v>58.13</v>
      </c>
      <c r="W408" s="4">
        <v>44.84</v>
      </c>
      <c r="X408" s="4">
        <v>45.51</v>
      </c>
      <c r="Y408" s="4">
        <v>58.95</v>
      </c>
    </row>
    <row r="409" spans="1:25" ht="15" customHeight="1" x14ac:dyDescent="0.45">
      <c r="A409" s="3">
        <v>45677</v>
      </c>
      <c r="B409" s="4">
        <v>35.32</v>
      </c>
      <c r="C409" s="4">
        <v>59.15</v>
      </c>
      <c r="D409" s="5">
        <v>71.709999999999994</v>
      </c>
      <c r="E409" s="6">
        <v>61.42</v>
      </c>
      <c r="F409" s="4">
        <v>54.14</v>
      </c>
      <c r="G409" s="4">
        <v>48.11</v>
      </c>
      <c r="H409" s="4">
        <v>41.82</v>
      </c>
      <c r="I409" s="6">
        <v>69.78</v>
      </c>
      <c r="J409" s="4">
        <v>56.09</v>
      </c>
      <c r="K409" s="6">
        <v>64.349999999999994</v>
      </c>
      <c r="L409" s="4">
        <v>59.93</v>
      </c>
      <c r="M409" s="4">
        <v>52.71</v>
      </c>
      <c r="N409" s="4">
        <v>50.28</v>
      </c>
      <c r="O409" s="4">
        <v>44.72</v>
      </c>
      <c r="P409" s="4">
        <v>47.93</v>
      </c>
      <c r="Q409" s="4">
        <v>50.02</v>
      </c>
      <c r="R409" s="4">
        <v>53.85</v>
      </c>
      <c r="S409" s="4">
        <v>50.57</v>
      </c>
      <c r="T409" s="4">
        <v>36.36</v>
      </c>
      <c r="U409" s="5">
        <v>71.56</v>
      </c>
      <c r="V409" s="4">
        <v>58.74</v>
      </c>
      <c r="W409" s="4">
        <v>40.26</v>
      </c>
      <c r="X409" s="4">
        <v>45.51</v>
      </c>
      <c r="Y409" s="6">
        <v>61.67</v>
      </c>
    </row>
    <row r="410" spans="1:25" ht="15" customHeight="1" x14ac:dyDescent="0.45">
      <c r="A410" s="3">
        <v>45674</v>
      </c>
      <c r="B410" s="4">
        <v>38.35</v>
      </c>
      <c r="C410" s="6">
        <v>64.53</v>
      </c>
      <c r="D410" s="6">
        <v>68.06</v>
      </c>
      <c r="E410" s="6">
        <v>60.04</v>
      </c>
      <c r="F410" s="4">
        <v>54.03</v>
      </c>
      <c r="G410" s="4">
        <v>48.57</v>
      </c>
      <c r="H410" s="4">
        <v>38.81</v>
      </c>
      <c r="I410" s="5">
        <v>74.14</v>
      </c>
      <c r="J410" s="4">
        <v>55.83</v>
      </c>
      <c r="K410" s="6">
        <v>63.75</v>
      </c>
      <c r="L410" s="6">
        <v>63.37</v>
      </c>
      <c r="M410" s="4">
        <v>49.02</v>
      </c>
      <c r="N410" s="4">
        <v>48.79</v>
      </c>
      <c r="O410" s="4">
        <v>45.14</v>
      </c>
      <c r="P410" s="6">
        <v>60.67</v>
      </c>
      <c r="Q410" s="4">
        <v>50.6</v>
      </c>
      <c r="R410" s="4">
        <v>55.02</v>
      </c>
      <c r="S410" s="4">
        <v>47.07</v>
      </c>
      <c r="T410" s="4">
        <v>40.74</v>
      </c>
      <c r="U410" s="5">
        <v>70.08</v>
      </c>
      <c r="V410" s="4">
        <v>58.95</v>
      </c>
      <c r="W410" s="4">
        <v>43.5</v>
      </c>
      <c r="X410" s="4">
        <v>47.98</v>
      </c>
      <c r="Y410" s="6">
        <v>65.650000000000006</v>
      </c>
    </row>
    <row r="411" spans="1:25" ht="15" customHeight="1" x14ac:dyDescent="0.45">
      <c r="A411" s="3">
        <v>45673</v>
      </c>
      <c r="B411" s="4">
        <v>39.229999999999997</v>
      </c>
      <c r="C411" s="6">
        <v>62.86</v>
      </c>
      <c r="D411" s="6">
        <v>66.13</v>
      </c>
      <c r="E411" s="4">
        <v>57.99</v>
      </c>
      <c r="F411" s="6">
        <v>60.69</v>
      </c>
      <c r="G411" s="4">
        <v>50.06</v>
      </c>
      <c r="H411" s="4">
        <v>37.72</v>
      </c>
      <c r="I411" s="5">
        <v>70.69</v>
      </c>
      <c r="J411" s="4">
        <v>55.72</v>
      </c>
      <c r="K411" s="4">
        <v>59.96</v>
      </c>
      <c r="L411" s="6">
        <v>69.84</v>
      </c>
      <c r="M411" s="4">
        <v>50.52</v>
      </c>
      <c r="N411" s="4">
        <v>41.71</v>
      </c>
      <c r="O411" s="4">
        <v>46.72</v>
      </c>
      <c r="P411" s="6">
        <v>61.59</v>
      </c>
      <c r="Q411" s="4">
        <v>45.04</v>
      </c>
      <c r="R411" s="4">
        <v>56.84</v>
      </c>
      <c r="S411" s="4">
        <v>47.35</v>
      </c>
      <c r="T411" s="4">
        <v>42.64</v>
      </c>
      <c r="U411" s="6">
        <v>67.260000000000005</v>
      </c>
      <c r="V411" s="6">
        <v>60.11</v>
      </c>
      <c r="W411" s="4">
        <v>44.65</v>
      </c>
      <c r="X411" s="4">
        <v>46.33</v>
      </c>
      <c r="Y411" s="6">
        <v>64.44</v>
      </c>
    </row>
    <row r="412" spans="1:25" ht="15" customHeight="1" x14ac:dyDescent="0.45">
      <c r="A412" s="3">
        <v>45672</v>
      </c>
      <c r="B412" s="4">
        <v>39.89</v>
      </c>
      <c r="C412" s="6">
        <v>62.03</v>
      </c>
      <c r="D412" s="6">
        <v>63.71</v>
      </c>
      <c r="E412" s="4">
        <v>52.47</v>
      </c>
      <c r="F412" s="4">
        <v>56.25</v>
      </c>
      <c r="G412" s="4">
        <v>48.07</v>
      </c>
      <c r="H412" s="4">
        <v>36.85</v>
      </c>
      <c r="I412" s="6">
        <v>68.89</v>
      </c>
      <c r="J412" s="4">
        <v>50.17</v>
      </c>
      <c r="K412" s="4">
        <v>58.44</v>
      </c>
      <c r="L412" s="5">
        <v>70.63</v>
      </c>
      <c r="M412" s="4">
        <v>45.49</v>
      </c>
      <c r="N412" s="4">
        <v>42.76</v>
      </c>
      <c r="O412" s="4">
        <v>42.02</v>
      </c>
      <c r="P412" s="6">
        <v>62.5</v>
      </c>
      <c r="Q412" s="4">
        <v>43.04</v>
      </c>
      <c r="R412" s="4">
        <v>52.39</v>
      </c>
      <c r="S412" s="4">
        <v>43</v>
      </c>
      <c r="T412" s="4">
        <v>38.01</v>
      </c>
      <c r="U412" s="6">
        <v>64.66</v>
      </c>
      <c r="V412" s="4">
        <v>55.07</v>
      </c>
      <c r="W412" s="4">
        <v>43.65</v>
      </c>
      <c r="X412" s="4">
        <v>46.13</v>
      </c>
      <c r="Y412" s="6">
        <v>64.849999999999994</v>
      </c>
    </row>
    <row r="413" spans="1:25" ht="15" customHeight="1" x14ac:dyDescent="0.45">
      <c r="A413" s="3">
        <v>45671</v>
      </c>
      <c r="B413" s="4">
        <v>43.23</v>
      </c>
      <c r="C413" s="6">
        <v>61.24</v>
      </c>
      <c r="D413" s="6">
        <v>64.510000000000005</v>
      </c>
      <c r="E413" s="4">
        <v>55.05</v>
      </c>
      <c r="F413" s="4">
        <v>59.99</v>
      </c>
      <c r="G413" s="4">
        <v>46.7</v>
      </c>
      <c r="H413" s="4">
        <v>37.74</v>
      </c>
      <c r="I413" s="6">
        <v>67.67</v>
      </c>
      <c r="J413" s="4">
        <v>50.45</v>
      </c>
      <c r="K413" s="6">
        <v>60.82</v>
      </c>
      <c r="L413" s="6">
        <v>69.91</v>
      </c>
      <c r="M413" s="4">
        <v>47.82</v>
      </c>
      <c r="N413" s="4">
        <v>40.79</v>
      </c>
      <c r="O413" s="4">
        <v>45.4</v>
      </c>
      <c r="P413" s="4">
        <v>52.55</v>
      </c>
      <c r="Q413" s="4">
        <v>42.64</v>
      </c>
      <c r="R413" s="4">
        <v>50.7</v>
      </c>
      <c r="S413" s="4">
        <v>40.86</v>
      </c>
      <c r="T413" s="4">
        <v>39.08</v>
      </c>
      <c r="U413" s="6">
        <v>65.45</v>
      </c>
      <c r="V413" s="4">
        <v>56</v>
      </c>
      <c r="W413" s="4">
        <v>45.27</v>
      </c>
      <c r="X413" s="4">
        <v>46.04</v>
      </c>
      <c r="Y413" s="6">
        <v>63.25</v>
      </c>
    </row>
    <row r="414" spans="1:25" ht="15" customHeight="1" x14ac:dyDescent="0.45">
      <c r="A414" s="3">
        <v>45670</v>
      </c>
      <c r="B414" s="4">
        <v>45.98</v>
      </c>
      <c r="C414" s="6">
        <v>60.44</v>
      </c>
      <c r="D414" s="6">
        <v>66.48</v>
      </c>
      <c r="E414" s="4">
        <v>52.92</v>
      </c>
      <c r="F414" s="4">
        <v>59.78</v>
      </c>
      <c r="G414" s="4">
        <v>48.44</v>
      </c>
      <c r="H414" s="4">
        <v>36.630000000000003</v>
      </c>
      <c r="I414" s="6">
        <v>66.709999999999994</v>
      </c>
      <c r="J414" s="4">
        <v>48.83</v>
      </c>
      <c r="K414" s="6">
        <v>65.349999999999994</v>
      </c>
      <c r="L414" s="6">
        <v>67.849999999999994</v>
      </c>
      <c r="M414" s="4">
        <v>48.68</v>
      </c>
      <c r="N414" s="4">
        <v>41.28</v>
      </c>
      <c r="O414" s="4">
        <v>46.7</v>
      </c>
      <c r="P414" s="4">
        <v>54.32</v>
      </c>
      <c r="Q414" s="4">
        <v>45.73</v>
      </c>
      <c r="R414" s="4">
        <v>52.85</v>
      </c>
      <c r="S414" s="4">
        <v>41.31</v>
      </c>
      <c r="T414" s="4">
        <v>42.32</v>
      </c>
      <c r="U414" s="6">
        <v>63.49</v>
      </c>
      <c r="V414" s="4">
        <v>53.97</v>
      </c>
      <c r="W414" s="4">
        <v>46.4</v>
      </c>
      <c r="X414" s="4">
        <v>45.12</v>
      </c>
      <c r="Y414" s="4">
        <v>59.67</v>
      </c>
    </row>
    <row r="415" spans="1:25" ht="15" customHeight="1" x14ac:dyDescent="0.45">
      <c r="A415" s="3">
        <v>45667</v>
      </c>
      <c r="B415" s="4">
        <v>47</v>
      </c>
      <c r="C415" s="4">
        <v>57.47</v>
      </c>
      <c r="D415" s="4">
        <v>58.35</v>
      </c>
      <c r="E415" s="4">
        <v>54.73</v>
      </c>
      <c r="F415" s="4">
        <v>59.12</v>
      </c>
      <c r="G415" s="4">
        <v>49.27</v>
      </c>
      <c r="H415" s="4">
        <v>39.1</v>
      </c>
      <c r="I415" s="6">
        <v>69.83</v>
      </c>
      <c r="J415" s="4">
        <v>55.29</v>
      </c>
      <c r="K415" s="5">
        <v>73.5</v>
      </c>
      <c r="L415" s="5">
        <v>71.62</v>
      </c>
      <c r="M415" s="4">
        <v>51.59</v>
      </c>
      <c r="N415" s="4">
        <v>43.26</v>
      </c>
      <c r="O415" s="4">
        <v>50.95</v>
      </c>
      <c r="P415" s="4">
        <v>56.77</v>
      </c>
      <c r="Q415" s="4">
        <v>43.62</v>
      </c>
      <c r="R415" s="4">
        <v>52.4</v>
      </c>
      <c r="S415" s="4">
        <v>44.26</v>
      </c>
      <c r="T415" s="4">
        <v>41.99</v>
      </c>
      <c r="U415" s="6">
        <v>63.81</v>
      </c>
      <c r="V415" s="6">
        <v>60.59</v>
      </c>
      <c r="W415" s="4">
        <v>48.83</v>
      </c>
      <c r="X415" s="4">
        <v>46.29</v>
      </c>
      <c r="Y415" s="6">
        <v>62.21</v>
      </c>
    </row>
    <row r="416" spans="1:25" ht="15" customHeight="1" x14ac:dyDescent="0.45">
      <c r="A416" s="3">
        <v>45666</v>
      </c>
      <c r="B416" s="4">
        <v>45.06</v>
      </c>
      <c r="C416" s="4">
        <v>57.73</v>
      </c>
      <c r="D416" s="4">
        <v>52.19</v>
      </c>
      <c r="E416" s="4">
        <v>57.02</v>
      </c>
      <c r="F416" s="6">
        <v>61.27</v>
      </c>
      <c r="G416" s="4">
        <v>44.27</v>
      </c>
      <c r="H416" s="4">
        <v>41.4</v>
      </c>
      <c r="I416" s="6">
        <v>66.53</v>
      </c>
      <c r="J416" s="6">
        <v>60.05</v>
      </c>
      <c r="K416" s="5">
        <v>70.11</v>
      </c>
      <c r="L416" s="6">
        <v>67.430000000000007</v>
      </c>
      <c r="M416" s="4">
        <v>50.83</v>
      </c>
      <c r="N416" s="4">
        <v>41.84</v>
      </c>
      <c r="O416" s="4">
        <v>44.84</v>
      </c>
      <c r="P416" s="4">
        <v>57.93</v>
      </c>
      <c r="Q416" s="4">
        <v>45.21</v>
      </c>
      <c r="R416" s="4">
        <v>51.04</v>
      </c>
      <c r="S416" s="4">
        <v>42.5</v>
      </c>
      <c r="T416" s="4">
        <v>43.23</v>
      </c>
      <c r="U416" s="6">
        <v>65.13</v>
      </c>
      <c r="V416" s="6">
        <v>63.11</v>
      </c>
      <c r="W416" s="4">
        <v>47.55</v>
      </c>
      <c r="X416" s="4">
        <v>46.37</v>
      </c>
      <c r="Y416" s="4">
        <v>51.85</v>
      </c>
    </row>
    <row r="417" spans="1:25" ht="15" customHeight="1" x14ac:dyDescent="0.45">
      <c r="A417" s="3">
        <v>45665</v>
      </c>
      <c r="B417" s="4">
        <v>39.93</v>
      </c>
      <c r="C417" s="6">
        <v>61.42</v>
      </c>
      <c r="D417" s="4">
        <v>56.45</v>
      </c>
      <c r="E417" s="4">
        <v>54.83</v>
      </c>
      <c r="F417" s="6">
        <v>60.68</v>
      </c>
      <c r="G417" s="4">
        <v>47.34</v>
      </c>
      <c r="H417" s="4">
        <v>40.58</v>
      </c>
      <c r="I417" s="6">
        <v>68.28</v>
      </c>
      <c r="J417" s="6">
        <v>61.46</v>
      </c>
      <c r="K417" s="5">
        <v>70.8</v>
      </c>
      <c r="L417" s="6">
        <v>66.03</v>
      </c>
      <c r="M417" s="4">
        <v>52.61</v>
      </c>
      <c r="N417" s="4">
        <v>43.3</v>
      </c>
      <c r="O417" s="4">
        <v>47.62</v>
      </c>
      <c r="P417" s="4">
        <v>56.92</v>
      </c>
      <c r="Q417" s="4">
        <v>43.84</v>
      </c>
      <c r="R417" s="4">
        <v>49.74</v>
      </c>
      <c r="S417" s="4">
        <v>43.79</v>
      </c>
      <c r="T417" s="4">
        <v>43.63</v>
      </c>
      <c r="U417" s="6">
        <v>63.46</v>
      </c>
      <c r="V417" s="6">
        <v>63.02</v>
      </c>
      <c r="W417" s="4">
        <v>51.1</v>
      </c>
      <c r="X417" s="4">
        <v>48.19</v>
      </c>
      <c r="Y417" s="4">
        <v>55.66</v>
      </c>
    </row>
    <row r="418" spans="1:25" ht="15" customHeight="1" x14ac:dyDescent="0.45">
      <c r="A418" s="3">
        <v>45664</v>
      </c>
      <c r="B418" s="4">
        <v>41.61</v>
      </c>
      <c r="C418" s="6">
        <v>62.8</v>
      </c>
      <c r="D418" s="4">
        <v>55.44</v>
      </c>
      <c r="E418" s="4">
        <v>52.51</v>
      </c>
      <c r="F418" s="4">
        <v>56.73</v>
      </c>
      <c r="G418" s="4">
        <v>46.19</v>
      </c>
      <c r="H418" s="4">
        <v>42.44</v>
      </c>
      <c r="I418" s="6">
        <v>63.26</v>
      </c>
      <c r="J418" s="4">
        <v>56.71</v>
      </c>
      <c r="K418" s="6">
        <v>69.989999999999995</v>
      </c>
      <c r="L418" s="6">
        <v>62.48</v>
      </c>
      <c r="M418" s="4">
        <v>49.84</v>
      </c>
      <c r="N418" s="4">
        <v>44.17</v>
      </c>
      <c r="O418" s="4">
        <v>51.34</v>
      </c>
      <c r="P418" s="4">
        <v>57.61</v>
      </c>
      <c r="Q418" s="4">
        <v>42.79</v>
      </c>
      <c r="R418" s="4">
        <v>48.74</v>
      </c>
      <c r="S418" s="4">
        <v>43.21</v>
      </c>
      <c r="T418" s="4">
        <v>40.130000000000003</v>
      </c>
      <c r="U418" s="6">
        <v>62.1</v>
      </c>
      <c r="V418" s="4">
        <v>58.16</v>
      </c>
      <c r="W418" s="4">
        <v>51.05</v>
      </c>
      <c r="X418" s="4">
        <v>49.92</v>
      </c>
      <c r="Y418" s="4">
        <v>55.29</v>
      </c>
    </row>
    <row r="419" spans="1:25" ht="15" customHeight="1" x14ac:dyDescent="0.45">
      <c r="A419" s="3">
        <v>45663</v>
      </c>
      <c r="B419" s="4">
        <v>40.700000000000003</v>
      </c>
      <c r="C419" s="6">
        <v>62.52</v>
      </c>
      <c r="D419" s="4">
        <v>56.1</v>
      </c>
      <c r="E419" s="4">
        <v>51.59</v>
      </c>
      <c r="F419" s="4">
        <v>51.9</v>
      </c>
      <c r="G419" s="4">
        <v>44.91</v>
      </c>
      <c r="H419" s="4">
        <v>42.06</v>
      </c>
      <c r="I419" s="6">
        <v>61.42</v>
      </c>
      <c r="J419" s="4">
        <v>59.42</v>
      </c>
      <c r="K419" s="5">
        <v>70.680000000000007</v>
      </c>
      <c r="L419" s="4">
        <v>59.03</v>
      </c>
      <c r="M419" s="4">
        <v>49.3</v>
      </c>
      <c r="N419" s="4">
        <v>37.4</v>
      </c>
      <c r="O419" s="4">
        <v>46</v>
      </c>
      <c r="P419" s="4">
        <v>59.14</v>
      </c>
      <c r="Q419" s="4">
        <v>42.87</v>
      </c>
      <c r="R419" s="4">
        <v>48.14</v>
      </c>
      <c r="S419" s="4">
        <v>39.729999999999997</v>
      </c>
      <c r="T419" s="4">
        <v>41.89</v>
      </c>
      <c r="U419" s="4">
        <v>51.34</v>
      </c>
      <c r="V419" s="4">
        <v>57.84</v>
      </c>
      <c r="W419" s="4">
        <v>49.78</v>
      </c>
      <c r="X419" s="4">
        <v>53.67</v>
      </c>
      <c r="Y419" s="4">
        <v>53.56</v>
      </c>
    </row>
    <row r="420" spans="1:25" ht="15" customHeight="1" x14ac:dyDescent="0.45">
      <c r="A420" s="3">
        <v>45660</v>
      </c>
      <c r="B420" s="4">
        <v>42.63</v>
      </c>
      <c r="C420" s="6">
        <v>60.66</v>
      </c>
      <c r="D420" s="4">
        <v>51.63</v>
      </c>
      <c r="E420" s="4">
        <v>48.56</v>
      </c>
      <c r="F420" s="4">
        <v>49.26</v>
      </c>
      <c r="G420" s="4">
        <v>44.86</v>
      </c>
      <c r="H420" s="4">
        <v>42.36</v>
      </c>
      <c r="I420" s="4">
        <v>57.31</v>
      </c>
      <c r="J420" s="4">
        <v>49.57</v>
      </c>
      <c r="K420" s="6">
        <v>60.49</v>
      </c>
      <c r="L420" s="4">
        <v>58.92</v>
      </c>
      <c r="M420" s="4">
        <v>45.55</v>
      </c>
      <c r="N420" s="4">
        <v>36.35</v>
      </c>
      <c r="O420" s="4">
        <v>44.9</v>
      </c>
      <c r="P420" s="4">
        <v>57.96</v>
      </c>
      <c r="Q420" s="4">
        <v>46.26</v>
      </c>
      <c r="R420" s="4">
        <v>44.04</v>
      </c>
      <c r="S420" s="4">
        <v>39.799999999999997</v>
      </c>
      <c r="T420" s="4">
        <v>40.020000000000003</v>
      </c>
      <c r="U420" s="4">
        <v>50.41</v>
      </c>
      <c r="V420" s="4">
        <v>50.32</v>
      </c>
      <c r="W420" s="4">
        <v>50.15</v>
      </c>
      <c r="X420" s="4">
        <v>46.59</v>
      </c>
      <c r="Y420" s="4">
        <v>50.28</v>
      </c>
    </row>
    <row r="421" spans="1:25" ht="15" customHeight="1" x14ac:dyDescent="0.45">
      <c r="A421" s="3">
        <v>45659</v>
      </c>
      <c r="B421" s="4">
        <v>42.72</v>
      </c>
      <c r="C421" s="4">
        <v>54.91</v>
      </c>
      <c r="D421" s="4">
        <v>50.03</v>
      </c>
      <c r="E421" s="4">
        <v>35.979999999999997</v>
      </c>
      <c r="F421" s="4">
        <v>47.47</v>
      </c>
      <c r="G421" s="4">
        <v>40.82</v>
      </c>
      <c r="H421" s="4">
        <v>40.07</v>
      </c>
      <c r="I421" s="4">
        <v>54.91</v>
      </c>
      <c r="J421" s="4">
        <v>39.83</v>
      </c>
      <c r="K421" s="4">
        <v>54.57</v>
      </c>
      <c r="L421" s="6">
        <v>60.75</v>
      </c>
      <c r="M421" s="4">
        <v>37.42</v>
      </c>
      <c r="N421" s="4">
        <v>30.48</v>
      </c>
      <c r="O421" s="4">
        <v>41.47</v>
      </c>
      <c r="P421" s="4">
        <v>52.94</v>
      </c>
      <c r="Q421" s="4">
        <v>42.76</v>
      </c>
      <c r="R421" s="4">
        <v>40.76</v>
      </c>
      <c r="S421" s="4">
        <v>39.49</v>
      </c>
      <c r="T421" s="4">
        <v>37.65</v>
      </c>
      <c r="U421" s="4">
        <v>49.82</v>
      </c>
      <c r="V421" s="4">
        <v>42.12</v>
      </c>
      <c r="W421" s="4">
        <v>46.13</v>
      </c>
      <c r="X421" s="4">
        <v>37.729999999999997</v>
      </c>
      <c r="Y421" s="4">
        <v>46.67</v>
      </c>
    </row>
    <row r="422" spans="1:25" ht="15" customHeight="1" x14ac:dyDescent="0.45">
      <c r="A422" s="3">
        <v>45657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" customHeight="1" x14ac:dyDescent="0.45">
      <c r="A423" s="3">
        <v>45656</v>
      </c>
      <c r="B423" s="4">
        <v>45.43</v>
      </c>
      <c r="C423" s="4">
        <v>51</v>
      </c>
      <c r="D423" s="4">
        <v>45.5</v>
      </c>
      <c r="E423" s="4">
        <v>38.090000000000003</v>
      </c>
      <c r="F423" s="4">
        <v>52.64</v>
      </c>
      <c r="G423" s="4">
        <v>41.82</v>
      </c>
      <c r="H423" s="4">
        <v>40.770000000000003</v>
      </c>
      <c r="I423" s="4">
        <v>43.08</v>
      </c>
      <c r="J423" s="4">
        <v>40.15</v>
      </c>
      <c r="K423" s="4">
        <v>47.34</v>
      </c>
      <c r="L423" s="4">
        <v>56.15</v>
      </c>
      <c r="M423" s="4">
        <v>39.26</v>
      </c>
      <c r="N423" s="4">
        <v>33.72</v>
      </c>
      <c r="O423" s="4">
        <v>41.47</v>
      </c>
      <c r="P423" s="4">
        <v>40.31</v>
      </c>
      <c r="Q423" s="4">
        <v>39.86</v>
      </c>
      <c r="R423" s="4">
        <v>41.05</v>
      </c>
      <c r="S423" s="4">
        <v>40.200000000000003</v>
      </c>
      <c r="T423" s="4">
        <v>40.229999999999997</v>
      </c>
      <c r="U423" s="4">
        <v>54.9</v>
      </c>
      <c r="V423" s="4">
        <v>41.93</v>
      </c>
      <c r="W423" s="4">
        <v>39.659999999999997</v>
      </c>
      <c r="X423" s="4">
        <v>40.85</v>
      </c>
      <c r="Y423" s="4">
        <v>42.65</v>
      </c>
    </row>
    <row r="424" spans="1:25" ht="15" customHeight="1" x14ac:dyDescent="0.45">
      <c r="A424" s="3">
        <v>45653</v>
      </c>
      <c r="B424" s="4">
        <v>46.93</v>
      </c>
      <c r="C424" s="4">
        <v>49.1</v>
      </c>
      <c r="D424" s="4">
        <v>42.99</v>
      </c>
      <c r="E424" s="4">
        <v>36.549999999999997</v>
      </c>
      <c r="F424" s="4">
        <v>45.19</v>
      </c>
      <c r="G424" s="4">
        <v>44.33</v>
      </c>
      <c r="H424" s="4">
        <v>40.92</v>
      </c>
      <c r="I424" s="4">
        <v>44.31</v>
      </c>
      <c r="J424" s="4">
        <v>41.58</v>
      </c>
      <c r="K424" s="4">
        <v>43.75</v>
      </c>
      <c r="L424" s="4">
        <v>56.63</v>
      </c>
      <c r="M424" s="4">
        <v>40.08</v>
      </c>
      <c r="N424" s="4">
        <v>32.68</v>
      </c>
      <c r="O424" s="4">
        <v>42.14</v>
      </c>
      <c r="P424" s="4">
        <v>41.11</v>
      </c>
      <c r="Q424" s="4">
        <v>45.86</v>
      </c>
      <c r="R424" s="4">
        <v>43.74</v>
      </c>
      <c r="S424" s="4">
        <v>42.13</v>
      </c>
      <c r="T424" s="4">
        <v>43.62</v>
      </c>
      <c r="U424" s="4">
        <v>50.6</v>
      </c>
      <c r="V424" s="4">
        <v>41.91</v>
      </c>
      <c r="W424" s="4">
        <v>44.13</v>
      </c>
      <c r="X424" s="4">
        <v>40.99</v>
      </c>
      <c r="Y424" s="4">
        <v>42.13</v>
      </c>
    </row>
    <row r="425" spans="1:25" ht="15" customHeight="1" x14ac:dyDescent="0.45">
      <c r="A425" s="3">
        <v>45652</v>
      </c>
      <c r="B425" s="4">
        <v>52.85</v>
      </c>
      <c r="C425" s="4">
        <v>53.27</v>
      </c>
      <c r="D425" s="4">
        <v>44.45</v>
      </c>
      <c r="E425" s="4">
        <v>39.72</v>
      </c>
      <c r="F425" s="4">
        <v>47.33</v>
      </c>
      <c r="G425" s="6">
        <v>62.44</v>
      </c>
      <c r="H425" s="4">
        <v>48.07</v>
      </c>
      <c r="I425" s="4">
        <v>48.35</v>
      </c>
      <c r="J425" s="4">
        <v>39.76</v>
      </c>
      <c r="K425" s="4">
        <v>42.34</v>
      </c>
      <c r="L425" s="6">
        <v>62.49</v>
      </c>
      <c r="M425" s="4">
        <v>47.25</v>
      </c>
      <c r="N425" s="4">
        <v>36.869999999999997</v>
      </c>
      <c r="O425" s="4">
        <v>46.63</v>
      </c>
      <c r="P425" s="4">
        <v>46.61</v>
      </c>
      <c r="Q425" s="4">
        <v>48.59</v>
      </c>
      <c r="R425" s="4">
        <v>47.46</v>
      </c>
      <c r="S425" s="4">
        <v>51.34</v>
      </c>
      <c r="T425" s="4">
        <v>47.58</v>
      </c>
      <c r="U425" s="4">
        <v>56.29</v>
      </c>
      <c r="V425" s="4">
        <v>44.27</v>
      </c>
      <c r="W425" s="4">
        <v>47.36</v>
      </c>
      <c r="X425" s="4">
        <v>42.33</v>
      </c>
      <c r="Y425" s="4">
        <v>48.25</v>
      </c>
    </row>
    <row r="426" spans="1:25" ht="15" customHeight="1" x14ac:dyDescent="0.45">
      <c r="A426" s="3">
        <v>45650</v>
      </c>
      <c r="B426" s="4">
        <v>56.49</v>
      </c>
      <c r="C426" s="4">
        <v>52.58</v>
      </c>
      <c r="D426" s="4">
        <v>47.37</v>
      </c>
      <c r="E426" s="4">
        <v>41.15</v>
      </c>
      <c r="F426" s="4">
        <v>48.92</v>
      </c>
      <c r="G426" s="6">
        <v>64.599999999999994</v>
      </c>
      <c r="H426" s="4">
        <v>45.82</v>
      </c>
      <c r="I426" s="4">
        <v>51.53</v>
      </c>
      <c r="J426" s="4">
        <v>42.13</v>
      </c>
      <c r="K426" s="4">
        <v>45.62</v>
      </c>
      <c r="L426" s="4">
        <v>58.11</v>
      </c>
      <c r="M426" s="4">
        <v>47.7</v>
      </c>
      <c r="N426" s="4">
        <v>38.36</v>
      </c>
      <c r="O426" s="4">
        <v>50.36</v>
      </c>
      <c r="P426" s="4">
        <v>47.82</v>
      </c>
      <c r="Q426" s="4">
        <v>51.82</v>
      </c>
      <c r="R426" s="4">
        <v>49.05</v>
      </c>
      <c r="S426" s="4">
        <v>52.28</v>
      </c>
      <c r="T426" s="4">
        <v>49.62</v>
      </c>
      <c r="U426" s="6">
        <v>60.65</v>
      </c>
      <c r="V426" s="4">
        <v>45.21</v>
      </c>
      <c r="W426" s="4">
        <v>48.29</v>
      </c>
      <c r="X426" s="4">
        <v>45.26</v>
      </c>
      <c r="Y426" s="4">
        <v>48.93</v>
      </c>
    </row>
    <row r="427" spans="1:25" ht="15" customHeight="1" x14ac:dyDescent="0.45">
      <c r="A427" s="3">
        <v>45649</v>
      </c>
      <c r="B427" s="4">
        <v>55.29</v>
      </c>
      <c r="C427" s="4">
        <v>55.61</v>
      </c>
      <c r="D427" s="4">
        <v>49.41</v>
      </c>
      <c r="E427" s="4">
        <v>43.2</v>
      </c>
      <c r="F427" s="4">
        <v>50.36</v>
      </c>
      <c r="G427" s="6">
        <v>63.07</v>
      </c>
      <c r="H427" s="4">
        <v>44.68</v>
      </c>
      <c r="I427" s="4">
        <v>52.28</v>
      </c>
      <c r="J427" s="4">
        <v>41.28</v>
      </c>
      <c r="K427" s="4">
        <v>46.2</v>
      </c>
      <c r="L427" s="4">
        <v>58.42</v>
      </c>
      <c r="M427" s="4">
        <v>49.11</v>
      </c>
      <c r="N427" s="4">
        <v>39.57</v>
      </c>
      <c r="O427" s="4">
        <v>51.73</v>
      </c>
      <c r="P427" s="4">
        <v>46.33</v>
      </c>
      <c r="Q427" s="4">
        <v>50.56</v>
      </c>
      <c r="R427" s="4">
        <v>49.94</v>
      </c>
      <c r="S427" s="4">
        <v>51.58</v>
      </c>
      <c r="T427" s="4">
        <v>49.5</v>
      </c>
      <c r="U427" s="4">
        <v>59.45</v>
      </c>
      <c r="V427" s="4">
        <v>45.18</v>
      </c>
      <c r="W427" s="4">
        <v>42.43</v>
      </c>
      <c r="X427" s="4">
        <v>45.52</v>
      </c>
      <c r="Y427" s="4">
        <v>51.59</v>
      </c>
    </row>
    <row r="428" spans="1:25" ht="15" customHeight="1" x14ac:dyDescent="0.45">
      <c r="A428" s="3">
        <v>45646</v>
      </c>
      <c r="B428" s="4">
        <v>49.59</v>
      </c>
      <c r="C428" s="4">
        <v>52.45</v>
      </c>
      <c r="D428" s="4">
        <v>45.09</v>
      </c>
      <c r="E428" s="4">
        <v>40.97</v>
      </c>
      <c r="F428" s="4">
        <v>47.37</v>
      </c>
      <c r="G428" s="6">
        <v>61.72</v>
      </c>
      <c r="H428" s="4">
        <v>38.89</v>
      </c>
      <c r="I428" s="4">
        <v>44.72</v>
      </c>
      <c r="J428" s="4">
        <v>37.590000000000003</v>
      </c>
      <c r="K428" s="4">
        <v>39.47</v>
      </c>
      <c r="L428" s="4">
        <v>53.77</v>
      </c>
      <c r="M428" s="4">
        <v>41.86</v>
      </c>
      <c r="N428" s="4">
        <v>32.32</v>
      </c>
      <c r="O428" s="4">
        <v>48.13</v>
      </c>
      <c r="P428" s="4">
        <v>46.68</v>
      </c>
      <c r="Q428" s="4">
        <v>45.83</v>
      </c>
      <c r="R428" s="4">
        <v>41.74</v>
      </c>
      <c r="S428" s="4">
        <v>44.89</v>
      </c>
      <c r="T428" s="4">
        <v>41.75</v>
      </c>
      <c r="U428" s="4">
        <v>57.23</v>
      </c>
      <c r="V428" s="4">
        <v>39.82</v>
      </c>
      <c r="W428" s="4">
        <v>36.68</v>
      </c>
      <c r="X428" s="4">
        <v>50.14</v>
      </c>
      <c r="Y428" s="4">
        <v>46.78</v>
      </c>
    </row>
    <row r="429" spans="1:25" ht="15" customHeight="1" x14ac:dyDescent="0.45">
      <c r="A429" s="3">
        <v>45645</v>
      </c>
      <c r="B429" s="4">
        <v>57.53</v>
      </c>
      <c r="C429" s="4">
        <v>54.3</v>
      </c>
      <c r="D429" s="4">
        <v>49.92</v>
      </c>
      <c r="E429" s="4">
        <v>43.21</v>
      </c>
      <c r="F429" s="4">
        <v>50.06</v>
      </c>
      <c r="G429" s="6">
        <v>61.07</v>
      </c>
      <c r="H429" s="4">
        <v>41.66</v>
      </c>
      <c r="I429" s="4">
        <v>49.49</v>
      </c>
      <c r="J429" s="4">
        <v>41.24</v>
      </c>
      <c r="K429" s="4">
        <v>42.69</v>
      </c>
      <c r="L429" s="4">
        <v>54.17</v>
      </c>
      <c r="M429" s="4">
        <v>42.54</v>
      </c>
      <c r="N429" s="4">
        <v>33.51</v>
      </c>
      <c r="O429" s="4">
        <v>49.48</v>
      </c>
      <c r="P429" s="4">
        <v>46.18</v>
      </c>
      <c r="Q429" s="4">
        <v>48.82</v>
      </c>
      <c r="R429" s="4">
        <v>45.62</v>
      </c>
      <c r="S429" s="4">
        <v>49.12</v>
      </c>
      <c r="T429" s="4">
        <v>44.62</v>
      </c>
      <c r="U429" s="4">
        <v>56.27</v>
      </c>
      <c r="V429" s="4">
        <v>43.58</v>
      </c>
      <c r="W429" s="4">
        <v>39.76</v>
      </c>
      <c r="X429" s="4">
        <v>51.52</v>
      </c>
      <c r="Y429" s="4">
        <v>51.57</v>
      </c>
    </row>
    <row r="430" spans="1:25" ht="15" customHeight="1" x14ac:dyDescent="0.45">
      <c r="A430" s="3">
        <v>45644</v>
      </c>
      <c r="B430" s="4">
        <v>53.33</v>
      </c>
      <c r="C430" s="4">
        <v>55.34</v>
      </c>
      <c r="D430" s="4">
        <v>52.04</v>
      </c>
      <c r="E430" s="4">
        <v>46.45</v>
      </c>
      <c r="F430" s="4">
        <v>57.38</v>
      </c>
      <c r="G430" s="6">
        <v>63.65</v>
      </c>
      <c r="H430" s="4">
        <v>42.29</v>
      </c>
      <c r="I430" s="4">
        <v>49.23</v>
      </c>
      <c r="J430" s="4">
        <v>49.56</v>
      </c>
      <c r="K430" s="4">
        <v>49.74</v>
      </c>
      <c r="L430" s="4">
        <v>54.58</v>
      </c>
      <c r="M430" s="4">
        <v>48.11</v>
      </c>
      <c r="N430" s="4">
        <v>38.619999999999997</v>
      </c>
      <c r="O430" s="4">
        <v>51.22</v>
      </c>
      <c r="P430" s="4">
        <v>51.65</v>
      </c>
      <c r="Q430" s="4">
        <v>52.49</v>
      </c>
      <c r="R430" s="4">
        <v>49.27</v>
      </c>
      <c r="S430" s="4">
        <v>52.93</v>
      </c>
      <c r="T430" s="4">
        <v>45.39</v>
      </c>
      <c r="U430" s="6">
        <v>63.32</v>
      </c>
      <c r="V430" s="4">
        <v>50.13</v>
      </c>
      <c r="W430" s="4">
        <v>40.21</v>
      </c>
      <c r="X430" s="4">
        <v>58.23</v>
      </c>
      <c r="Y430" s="4">
        <v>53.43</v>
      </c>
    </row>
    <row r="431" spans="1:25" ht="15" customHeight="1" x14ac:dyDescent="0.45">
      <c r="A431" s="3">
        <v>45643</v>
      </c>
      <c r="B431" s="4">
        <v>52.73</v>
      </c>
      <c r="C431" s="4">
        <v>52.92</v>
      </c>
      <c r="D431" s="4">
        <v>51.84</v>
      </c>
      <c r="E431" s="4">
        <v>44.64</v>
      </c>
      <c r="F431" s="4">
        <v>53.66</v>
      </c>
      <c r="G431" s="6">
        <v>61.88</v>
      </c>
      <c r="H431" s="4">
        <v>43.16</v>
      </c>
      <c r="I431" s="4">
        <v>44.02</v>
      </c>
      <c r="J431" s="4">
        <v>47.29</v>
      </c>
      <c r="K431" s="4">
        <v>50.92</v>
      </c>
      <c r="L431" s="4">
        <v>47.45</v>
      </c>
      <c r="M431" s="4">
        <v>44.97</v>
      </c>
      <c r="N431" s="4">
        <v>38.33</v>
      </c>
      <c r="O431" s="4">
        <v>47.87</v>
      </c>
      <c r="P431" s="4">
        <v>47.66</v>
      </c>
      <c r="Q431" s="4">
        <v>50.67</v>
      </c>
      <c r="R431" s="4">
        <v>45</v>
      </c>
      <c r="S431" s="4">
        <v>46.88</v>
      </c>
      <c r="T431" s="4">
        <v>42.23</v>
      </c>
      <c r="U431" s="4">
        <v>59.27</v>
      </c>
      <c r="V431" s="4">
        <v>46.15</v>
      </c>
      <c r="W431" s="4">
        <v>39.659999999999997</v>
      </c>
      <c r="X431" s="4">
        <v>57.53</v>
      </c>
      <c r="Y431" s="4">
        <v>51.8</v>
      </c>
    </row>
    <row r="432" spans="1:25" ht="15" customHeight="1" x14ac:dyDescent="0.45">
      <c r="A432" s="3">
        <v>45642</v>
      </c>
      <c r="B432" s="4">
        <v>57.11</v>
      </c>
      <c r="C432" s="4">
        <v>51.6</v>
      </c>
      <c r="D432" s="4">
        <v>54.23</v>
      </c>
      <c r="E432" s="4">
        <v>48.58</v>
      </c>
      <c r="F432" s="4">
        <v>59.28</v>
      </c>
      <c r="G432" s="4">
        <v>59.85</v>
      </c>
      <c r="H432" s="4">
        <v>45.16</v>
      </c>
      <c r="I432" s="4">
        <v>43.58</v>
      </c>
      <c r="J432" s="4">
        <v>52.39</v>
      </c>
      <c r="K432" s="4">
        <v>50.62</v>
      </c>
      <c r="L432" s="4">
        <v>49.62</v>
      </c>
      <c r="M432" s="4">
        <v>45.42</v>
      </c>
      <c r="N432" s="4">
        <v>38.93</v>
      </c>
      <c r="O432" s="4">
        <v>46.79</v>
      </c>
      <c r="P432" s="4">
        <v>50.23</v>
      </c>
      <c r="Q432" s="4">
        <v>55.27</v>
      </c>
      <c r="R432" s="4">
        <v>46.71</v>
      </c>
      <c r="S432" s="4">
        <v>48.88</v>
      </c>
      <c r="T432" s="4">
        <v>43.07</v>
      </c>
      <c r="U432" s="4">
        <v>59.53</v>
      </c>
      <c r="V432" s="4">
        <v>51.38</v>
      </c>
      <c r="W432" s="4">
        <v>42.04</v>
      </c>
      <c r="X432" s="6">
        <v>63.45</v>
      </c>
      <c r="Y432" s="4">
        <v>54.56</v>
      </c>
    </row>
    <row r="433" spans="1:25" ht="15" customHeight="1" x14ac:dyDescent="0.45">
      <c r="A433" s="3">
        <v>45639</v>
      </c>
      <c r="B433" s="4">
        <v>57.31</v>
      </c>
      <c r="C433" s="4">
        <v>57.06</v>
      </c>
      <c r="D433" s="4">
        <v>53.62</v>
      </c>
      <c r="E433" s="4">
        <v>47.04</v>
      </c>
      <c r="F433" s="4">
        <v>57.05</v>
      </c>
      <c r="G433" s="4">
        <v>57.7</v>
      </c>
      <c r="H433" s="4">
        <v>46.84</v>
      </c>
      <c r="I433" s="4">
        <v>41.78</v>
      </c>
      <c r="J433" s="4">
        <v>52.13</v>
      </c>
      <c r="K433" s="4">
        <v>49.67</v>
      </c>
      <c r="L433" s="4">
        <v>53.57</v>
      </c>
      <c r="M433" s="4">
        <v>46.31</v>
      </c>
      <c r="N433" s="4">
        <v>35.340000000000003</v>
      </c>
      <c r="O433" s="4">
        <v>49.32</v>
      </c>
      <c r="P433" s="4">
        <v>55.44</v>
      </c>
      <c r="Q433" s="4">
        <v>49.52</v>
      </c>
      <c r="R433" s="4">
        <v>48.43</v>
      </c>
      <c r="S433" s="4">
        <v>50.48</v>
      </c>
      <c r="T433" s="4">
        <v>45.97</v>
      </c>
      <c r="U433" s="4">
        <v>59.79</v>
      </c>
      <c r="V433" s="4">
        <v>51.74</v>
      </c>
      <c r="W433" s="4">
        <v>47.46</v>
      </c>
      <c r="X433" s="6">
        <v>64.739999999999995</v>
      </c>
      <c r="Y433" s="4">
        <v>54.79</v>
      </c>
    </row>
    <row r="434" spans="1:25" ht="15" customHeight="1" x14ac:dyDescent="0.45">
      <c r="A434" s="3">
        <v>45638</v>
      </c>
      <c r="B434" s="4">
        <v>56.77</v>
      </c>
      <c r="C434" s="4">
        <v>53.21</v>
      </c>
      <c r="D434" s="4">
        <v>49.7</v>
      </c>
      <c r="E434" s="4">
        <v>46</v>
      </c>
      <c r="F434" s="4">
        <v>50.02</v>
      </c>
      <c r="G434" s="4">
        <v>54.75</v>
      </c>
      <c r="H434" s="4">
        <v>51.05</v>
      </c>
      <c r="I434" s="4">
        <v>42.06</v>
      </c>
      <c r="J434" s="4">
        <v>51.89</v>
      </c>
      <c r="K434" s="4">
        <v>47.14</v>
      </c>
      <c r="L434" s="4">
        <v>50.38</v>
      </c>
      <c r="M434" s="4">
        <v>45.12</v>
      </c>
      <c r="N434" s="4">
        <v>34.380000000000003</v>
      </c>
      <c r="O434" s="4">
        <v>44.54</v>
      </c>
      <c r="P434" s="4">
        <v>52.37</v>
      </c>
      <c r="Q434" s="4">
        <v>45.52</v>
      </c>
      <c r="R434" s="4">
        <v>48.88</v>
      </c>
      <c r="S434" s="4">
        <v>50.99</v>
      </c>
      <c r="T434" s="4">
        <v>49.92</v>
      </c>
      <c r="U434" s="4">
        <v>57.61</v>
      </c>
      <c r="V434" s="4">
        <v>50.46</v>
      </c>
      <c r="W434" s="4">
        <v>49.78</v>
      </c>
      <c r="X434" s="4">
        <v>59.3</v>
      </c>
      <c r="Y434" s="4">
        <v>49.39</v>
      </c>
    </row>
    <row r="435" spans="1:25" ht="15" customHeight="1" x14ac:dyDescent="0.45">
      <c r="A435" s="3">
        <v>45637</v>
      </c>
      <c r="B435" s="4">
        <v>55.21</v>
      </c>
      <c r="C435" s="4">
        <v>53.6</v>
      </c>
      <c r="D435" s="4">
        <v>51.61</v>
      </c>
      <c r="E435" s="4">
        <v>43.63</v>
      </c>
      <c r="F435" s="4">
        <v>47.86</v>
      </c>
      <c r="G435" s="4">
        <v>51.85</v>
      </c>
      <c r="H435" s="4">
        <v>51.46</v>
      </c>
      <c r="I435" s="4">
        <v>37.369999999999997</v>
      </c>
      <c r="J435" s="4">
        <v>41.51</v>
      </c>
      <c r="K435" s="4">
        <v>47.36</v>
      </c>
      <c r="L435" s="4">
        <v>48.45</v>
      </c>
      <c r="M435" s="4">
        <v>41.44</v>
      </c>
      <c r="N435" s="4">
        <v>35.61</v>
      </c>
      <c r="O435" s="4">
        <v>44.91</v>
      </c>
      <c r="P435" s="4">
        <v>51.28</v>
      </c>
      <c r="Q435" s="4">
        <v>46.39</v>
      </c>
      <c r="R435" s="4">
        <v>46.52</v>
      </c>
      <c r="S435" s="4">
        <v>47.27</v>
      </c>
      <c r="T435" s="4">
        <v>47.2</v>
      </c>
      <c r="U435" s="4">
        <v>52.1</v>
      </c>
      <c r="V435" s="4">
        <v>43.02</v>
      </c>
      <c r="W435" s="4">
        <v>44.81</v>
      </c>
      <c r="X435" s="6">
        <v>63.67</v>
      </c>
      <c r="Y435" s="4">
        <v>46.59</v>
      </c>
    </row>
    <row r="436" spans="1:25" ht="15" customHeight="1" x14ac:dyDescent="0.45">
      <c r="A436" s="3">
        <v>45636</v>
      </c>
      <c r="B436" s="4">
        <v>53.76</v>
      </c>
      <c r="C436" s="4">
        <v>50.91</v>
      </c>
      <c r="D436" s="4">
        <v>37.64</v>
      </c>
      <c r="E436" s="4">
        <v>41.99</v>
      </c>
      <c r="F436" s="4">
        <v>46.52</v>
      </c>
      <c r="G436" s="4">
        <v>45.03</v>
      </c>
      <c r="H436" s="4">
        <v>54.46</v>
      </c>
      <c r="I436" s="7">
        <v>29.06</v>
      </c>
      <c r="J436" s="4">
        <v>40.65</v>
      </c>
      <c r="K436" s="4">
        <v>41.33</v>
      </c>
      <c r="L436" s="4">
        <v>43.49</v>
      </c>
      <c r="M436" s="4">
        <v>36.450000000000003</v>
      </c>
      <c r="N436" s="4">
        <v>35.340000000000003</v>
      </c>
      <c r="O436" s="4">
        <v>39.99</v>
      </c>
      <c r="P436" s="4">
        <v>46.12</v>
      </c>
      <c r="Q436" s="4">
        <v>42.94</v>
      </c>
      <c r="R436" s="4">
        <v>41.11</v>
      </c>
      <c r="S436" s="4">
        <v>43.99</v>
      </c>
      <c r="T436" s="4">
        <v>44.42</v>
      </c>
      <c r="U436" s="4">
        <v>47.73</v>
      </c>
      <c r="V436" s="4">
        <v>40.99</v>
      </c>
      <c r="W436" s="4">
        <v>39.450000000000003</v>
      </c>
      <c r="X436" s="4">
        <v>56.84</v>
      </c>
      <c r="Y436" s="4">
        <v>46.88</v>
      </c>
    </row>
    <row r="437" spans="1:25" ht="15" customHeight="1" x14ac:dyDescent="0.45">
      <c r="A437" s="3">
        <v>45635</v>
      </c>
      <c r="B437" s="4">
        <v>44.72</v>
      </c>
      <c r="C437" s="4">
        <v>35.26</v>
      </c>
      <c r="D437" s="7">
        <v>26.07</v>
      </c>
      <c r="E437" s="7">
        <v>26.11</v>
      </c>
      <c r="F437" s="4">
        <v>38.32</v>
      </c>
      <c r="G437" s="4">
        <v>30.91</v>
      </c>
      <c r="H437" s="4">
        <v>51.15</v>
      </c>
      <c r="I437" s="7">
        <v>26.98</v>
      </c>
      <c r="J437" s="4">
        <v>35.82</v>
      </c>
      <c r="K437" s="4">
        <v>31.79</v>
      </c>
      <c r="L437" s="4">
        <v>32.17</v>
      </c>
      <c r="M437" s="4">
        <v>30.67</v>
      </c>
      <c r="N437" s="7">
        <v>28.24</v>
      </c>
      <c r="O437" s="7">
        <v>26.27</v>
      </c>
      <c r="P437" s="4">
        <v>36.36</v>
      </c>
      <c r="Q437" s="4">
        <v>45.52</v>
      </c>
      <c r="R437" s="4">
        <v>36.619999999999997</v>
      </c>
      <c r="S437" s="4">
        <v>35.630000000000003</v>
      </c>
      <c r="T437" s="4">
        <v>40.9</v>
      </c>
      <c r="U437" s="4">
        <v>38.21</v>
      </c>
      <c r="V437" s="4">
        <v>30.09</v>
      </c>
      <c r="W437" s="7">
        <v>22.2</v>
      </c>
      <c r="X437" s="4">
        <v>49.23</v>
      </c>
      <c r="Y437" s="4">
        <v>34.82</v>
      </c>
    </row>
    <row r="438" spans="1:25" ht="15" customHeight="1" x14ac:dyDescent="0.45">
      <c r="A438" s="3">
        <v>45632</v>
      </c>
      <c r="B438" s="4">
        <v>49.71</v>
      </c>
      <c r="C438" s="4">
        <v>43.74</v>
      </c>
      <c r="D438" s="4">
        <v>30.75</v>
      </c>
      <c r="E438" s="4">
        <v>32.479999999999997</v>
      </c>
      <c r="F438" s="4">
        <v>43.51</v>
      </c>
      <c r="G438" s="4">
        <v>43.17</v>
      </c>
      <c r="H438" s="6">
        <v>64.13</v>
      </c>
      <c r="I438" s="4">
        <v>31.69</v>
      </c>
      <c r="J438" s="4">
        <v>38.5</v>
      </c>
      <c r="K438" s="4">
        <v>36.74</v>
      </c>
      <c r="L438" s="4">
        <v>36.229999999999997</v>
      </c>
      <c r="M438" s="4">
        <v>37.46</v>
      </c>
      <c r="N438" s="4">
        <v>30.35</v>
      </c>
      <c r="O438" s="4">
        <v>34.28</v>
      </c>
      <c r="P438" s="4">
        <v>43.47</v>
      </c>
      <c r="Q438" s="4">
        <v>51.58</v>
      </c>
      <c r="R438" s="4">
        <v>43.05</v>
      </c>
      <c r="S438" s="4">
        <v>45.06</v>
      </c>
      <c r="T438" s="4">
        <v>47.18</v>
      </c>
      <c r="U438" s="4">
        <v>52.08</v>
      </c>
      <c r="V438" s="4">
        <v>36.36</v>
      </c>
      <c r="W438" s="7">
        <v>28.07</v>
      </c>
      <c r="X438" s="6">
        <v>60.79</v>
      </c>
      <c r="Y438" s="4">
        <v>40.15</v>
      </c>
    </row>
    <row r="439" spans="1:25" ht="15" customHeight="1" x14ac:dyDescent="0.45">
      <c r="A439" s="3">
        <v>45631</v>
      </c>
      <c r="B439" s="4">
        <v>53.61</v>
      </c>
      <c r="C439" s="4">
        <v>41.75</v>
      </c>
      <c r="D439" s="4">
        <v>30.94</v>
      </c>
      <c r="E439" s="4">
        <v>32.46</v>
      </c>
      <c r="F439" s="4">
        <v>44.92</v>
      </c>
      <c r="G439" s="4">
        <v>47.94</v>
      </c>
      <c r="H439" s="5">
        <v>73.599999999999994</v>
      </c>
      <c r="I439" s="4">
        <v>34.26</v>
      </c>
      <c r="J439" s="4">
        <v>38.79</v>
      </c>
      <c r="K439" s="4">
        <v>43.21</v>
      </c>
      <c r="L439" s="4">
        <v>37.729999999999997</v>
      </c>
      <c r="M439" s="4">
        <v>38.96</v>
      </c>
      <c r="N439" s="4">
        <v>33.61</v>
      </c>
      <c r="O439" s="4">
        <v>36.46</v>
      </c>
      <c r="P439" s="4">
        <v>47.16</v>
      </c>
      <c r="Q439" s="4">
        <v>59.16</v>
      </c>
      <c r="R439" s="4">
        <v>42.08</v>
      </c>
      <c r="S439" s="4">
        <v>47.54</v>
      </c>
      <c r="T439" s="4">
        <v>47.91</v>
      </c>
      <c r="U439" s="4">
        <v>53.87</v>
      </c>
      <c r="V439" s="4">
        <v>38.42</v>
      </c>
      <c r="W439" s="7">
        <v>26.54</v>
      </c>
      <c r="X439" s="6">
        <v>62.33</v>
      </c>
      <c r="Y439" s="4">
        <v>41.33</v>
      </c>
    </row>
    <row r="440" spans="1:25" ht="15" customHeight="1" x14ac:dyDescent="0.45">
      <c r="A440" s="3">
        <v>45630</v>
      </c>
      <c r="B440" s="4">
        <v>57.24</v>
      </c>
      <c r="C440" s="4">
        <v>44.16</v>
      </c>
      <c r="D440" s="4">
        <v>33.22</v>
      </c>
      <c r="E440" s="4">
        <v>36.28</v>
      </c>
      <c r="F440" s="4">
        <v>45.95</v>
      </c>
      <c r="G440" s="4">
        <v>52.43</v>
      </c>
      <c r="H440" s="6">
        <v>67</v>
      </c>
      <c r="I440" s="4">
        <v>36.49</v>
      </c>
      <c r="J440" s="4">
        <v>36.799999999999997</v>
      </c>
      <c r="K440" s="4">
        <v>39.770000000000003</v>
      </c>
      <c r="L440" s="4">
        <v>44.55</v>
      </c>
      <c r="M440" s="4">
        <v>41.28</v>
      </c>
      <c r="N440" s="4">
        <v>32.56</v>
      </c>
      <c r="O440" s="4">
        <v>41.05</v>
      </c>
      <c r="P440" s="4">
        <v>48.61</v>
      </c>
      <c r="Q440" s="6">
        <v>62.48</v>
      </c>
      <c r="R440" s="4">
        <v>51.61</v>
      </c>
      <c r="S440" s="4">
        <v>54.4</v>
      </c>
      <c r="T440" s="4">
        <v>55.45</v>
      </c>
      <c r="U440" s="6">
        <v>65.17</v>
      </c>
      <c r="V440" s="4">
        <v>38.54</v>
      </c>
      <c r="W440" s="7">
        <v>29.81</v>
      </c>
      <c r="X440" s="5">
        <v>74.349999999999994</v>
      </c>
      <c r="Y440" s="4">
        <v>46.76</v>
      </c>
    </row>
    <row r="441" spans="1:25" ht="15" customHeight="1" x14ac:dyDescent="0.45">
      <c r="A441" s="3">
        <v>45629</v>
      </c>
      <c r="B441" s="4">
        <v>56.28</v>
      </c>
      <c r="C441" s="4">
        <v>45.4</v>
      </c>
      <c r="D441" s="4">
        <v>36.479999999999997</v>
      </c>
      <c r="E441" s="4">
        <v>39.99</v>
      </c>
      <c r="F441" s="4">
        <v>49.5</v>
      </c>
      <c r="G441" s="4">
        <v>57.47</v>
      </c>
      <c r="H441" s="6">
        <v>63.95</v>
      </c>
      <c r="I441" s="4">
        <v>43.73</v>
      </c>
      <c r="J441" s="4">
        <v>38.06</v>
      </c>
      <c r="K441" s="4">
        <v>47.42</v>
      </c>
      <c r="L441" s="4">
        <v>47.04</v>
      </c>
      <c r="M441" s="4">
        <v>50.89</v>
      </c>
      <c r="N441" s="4">
        <v>53.08</v>
      </c>
      <c r="O441" s="4">
        <v>55.03</v>
      </c>
      <c r="P441" s="4">
        <v>56.9</v>
      </c>
      <c r="Q441" s="6">
        <v>69.290000000000006</v>
      </c>
      <c r="R441" s="6">
        <v>63.36</v>
      </c>
      <c r="S441" s="6">
        <v>65.709999999999994</v>
      </c>
      <c r="T441" s="6">
        <v>68.349999999999994</v>
      </c>
      <c r="U441" s="6">
        <v>68.63</v>
      </c>
      <c r="V441" s="4">
        <v>40.89</v>
      </c>
      <c r="W441" s="4">
        <v>31.97</v>
      </c>
      <c r="X441" s="5">
        <v>73.7</v>
      </c>
      <c r="Y441" s="4">
        <v>54.7</v>
      </c>
    </row>
    <row r="442" spans="1:25" ht="15" customHeight="1" x14ac:dyDescent="0.45">
      <c r="A442" s="3">
        <v>45628</v>
      </c>
      <c r="B442" s="4">
        <v>48.73</v>
      </c>
      <c r="C442" s="4">
        <v>38.44</v>
      </c>
      <c r="D442" s="4">
        <v>32.06</v>
      </c>
      <c r="E442" s="4">
        <v>32.619999999999997</v>
      </c>
      <c r="F442" s="4">
        <v>47.51</v>
      </c>
      <c r="G442" s="4">
        <v>53.57</v>
      </c>
      <c r="H442" s="4">
        <v>59.6</v>
      </c>
      <c r="I442" s="4">
        <v>35.44</v>
      </c>
      <c r="J442" s="4">
        <v>34.17</v>
      </c>
      <c r="K442" s="4">
        <v>45.02</v>
      </c>
      <c r="L442" s="4">
        <v>41.87</v>
      </c>
      <c r="M442" s="4">
        <v>41.68</v>
      </c>
      <c r="N442" s="4">
        <v>54.05</v>
      </c>
      <c r="O442" s="4">
        <v>48.83</v>
      </c>
      <c r="P442" s="4">
        <v>53.17</v>
      </c>
      <c r="Q442" s="5">
        <v>73.540000000000006</v>
      </c>
      <c r="R442" s="4">
        <v>51.8</v>
      </c>
      <c r="S442" s="4">
        <v>52.24</v>
      </c>
      <c r="T442" s="4">
        <v>59.2</v>
      </c>
      <c r="U442" s="6">
        <v>65.930000000000007</v>
      </c>
      <c r="V442" s="4">
        <v>33.65</v>
      </c>
      <c r="W442" s="4">
        <v>35.29</v>
      </c>
      <c r="X442" s="5">
        <v>72.88</v>
      </c>
      <c r="Y442" s="4">
        <v>43.76</v>
      </c>
    </row>
    <row r="443" spans="1:25" ht="15" customHeight="1" x14ac:dyDescent="0.45">
      <c r="A443" s="3">
        <v>45625</v>
      </c>
      <c r="B443" s="4">
        <v>47.4</v>
      </c>
      <c r="C443" s="4">
        <v>46.2</v>
      </c>
      <c r="D443" s="4">
        <v>43.46</v>
      </c>
      <c r="E443" s="4">
        <v>33.68</v>
      </c>
      <c r="F443" s="4">
        <v>48.83</v>
      </c>
      <c r="G443" s="4">
        <v>53.88</v>
      </c>
      <c r="H443" s="4">
        <v>50.28</v>
      </c>
      <c r="I443" s="4">
        <v>38.1</v>
      </c>
      <c r="J443" s="4">
        <v>34.92</v>
      </c>
      <c r="K443" s="4">
        <v>47.6</v>
      </c>
      <c r="L443" s="4">
        <v>43.52</v>
      </c>
      <c r="M443" s="4">
        <v>42.85</v>
      </c>
      <c r="N443" s="6">
        <v>60.17</v>
      </c>
      <c r="O443" s="4">
        <v>51.29</v>
      </c>
      <c r="P443" s="4">
        <v>58.57</v>
      </c>
      <c r="Q443" s="5">
        <v>75.05</v>
      </c>
      <c r="R443" s="4">
        <v>50.18</v>
      </c>
      <c r="S443" s="4">
        <v>46.76</v>
      </c>
      <c r="T443" s="4">
        <v>58.84</v>
      </c>
      <c r="U443" s="6">
        <v>63.25</v>
      </c>
      <c r="V443" s="4">
        <v>34.119999999999997</v>
      </c>
      <c r="W443" s="4">
        <v>36.97</v>
      </c>
      <c r="X443" s="6">
        <v>69.83</v>
      </c>
      <c r="Y443" s="4">
        <v>48.11</v>
      </c>
    </row>
    <row r="444" spans="1:25" ht="15" customHeight="1" x14ac:dyDescent="0.45">
      <c r="A444" s="3">
        <v>45624</v>
      </c>
      <c r="B444" s="4">
        <v>52.1</v>
      </c>
      <c r="C444" s="4">
        <v>45.82</v>
      </c>
      <c r="D444" s="4">
        <v>34.299999999999997</v>
      </c>
      <c r="E444" s="4">
        <v>41.21</v>
      </c>
      <c r="F444" s="4">
        <v>53.3</v>
      </c>
      <c r="G444" s="6">
        <v>63.78</v>
      </c>
      <c r="H444" s="4">
        <v>52.01</v>
      </c>
      <c r="I444" s="4">
        <v>43.97</v>
      </c>
      <c r="J444" s="4">
        <v>39.54</v>
      </c>
      <c r="K444" s="4">
        <v>50.46</v>
      </c>
      <c r="L444" s="4">
        <v>48.22</v>
      </c>
      <c r="M444" s="4">
        <v>52.95</v>
      </c>
      <c r="N444" s="6">
        <v>64.709999999999994</v>
      </c>
      <c r="O444" s="4">
        <v>56.21</v>
      </c>
      <c r="P444" s="6">
        <v>66.510000000000005</v>
      </c>
      <c r="Q444" s="5">
        <v>77.23</v>
      </c>
      <c r="R444" s="4">
        <v>56.19</v>
      </c>
      <c r="S444" s="4">
        <v>47.21</v>
      </c>
      <c r="T444" s="4">
        <v>58.68</v>
      </c>
      <c r="U444" s="6">
        <v>63.35</v>
      </c>
      <c r="V444" s="4">
        <v>40.67</v>
      </c>
      <c r="W444" s="4">
        <v>43.3</v>
      </c>
      <c r="X444" s="6">
        <v>67.95</v>
      </c>
      <c r="Y444" s="4">
        <v>56.56</v>
      </c>
    </row>
    <row r="445" spans="1:25" ht="15" customHeight="1" x14ac:dyDescent="0.45">
      <c r="A445" s="3">
        <v>45623</v>
      </c>
      <c r="B445" s="4">
        <v>50.62</v>
      </c>
      <c r="C445" s="4">
        <v>44.46</v>
      </c>
      <c r="D445" s="4">
        <v>35.89</v>
      </c>
      <c r="E445" s="4">
        <v>35.4</v>
      </c>
      <c r="F445" s="4">
        <v>42.44</v>
      </c>
      <c r="G445" s="6">
        <v>61.01</v>
      </c>
      <c r="H445" s="4">
        <v>45.78</v>
      </c>
      <c r="I445" s="4">
        <v>43.48</v>
      </c>
      <c r="J445" s="4">
        <v>42.25</v>
      </c>
      <c r="K445" s="4">
        <v>45.56</v>
      </c>
      <c r="L445" s="4">
        <v>48.67</v>
      </c>
      <c r="M445" s="4">
        <v>52.16</v>
      </c>
      <c r="N445" s="6">
        <v>65.66</v>
      </c>
      <c r="O445" s="4">
        <v>58</v>
      </c>
      <c r="P445" s="6">
        <v>65.88</v>
      </c>
      <c r="Q445" s="5">
        <v>75.48</v>
      </c>
      <c r="R445" s="4">
        <v>57.05</v>
      </c>
      <c r="S445" s="4">
        <v>46.42</v>
      </c>
      <c r="T445" s="4">
        <v>59.37</v>
      </c>
      <c r="U445" s="6">
        <v>62.85</v>
      </c>
      <c r="V445" s="4">
        <v>40.28</v>
      </c>
      <c r="W445" s="4">
        <v>46.21</v>
      </c>
      <c r="X445" s="6">
        <v>66.42</v>
      </c>
      <c r="Y445" s="6">
        <v>66.569999999999993</v>
      </c>
    </row>
    <row r="446" spans="1:25" ht="15" customHeight="1" x14ac:dyDescent="0.45">
      <c r="A446" s="3">
        <v>45622</v>
      </c>
      <c r="B446" s="4">
        <v>48.65</v>
      </c>
      <c r="C446" s="4">
        <v>38.28</v>
      </c>
      <c r="D446" s="4">
        <v>36.380000000000003</v>
      </c>
      <c r="E446" s="4">
        <v>38.770000000000003</v>
      </c>
      <c r="F446" s="4">
        <v>36.64</v>
      </c>
      <c r="G446" s="4">
        <v>57.32</v>
      </c>
      <c r="H446" s="4">
        <v>42.68</v>
      </c>
      <c r="I446" s="4">
        <v>45.93</v>
      </c>
      <c r="J446" s="4">
        <v>49.9</v>
      </c>
      <c r="K446" s="4">
        <v>47.31</v>
      </c>
      <c r="L446" s="4">
        <v>51.15</v>
      </c>
      <c r="M446" s="4">
        <v>50.49</v>
      </c>
      <c r="N446" s="6">
        <v>69.59</v>
      </c>
      <c r="O446" s="4">
        <v>56.31</v>
      </c>
      <c r="P446" s="6">
        <v>64.91</v>
      </c>
      <c r="Q446" s="6">
        <v>68.13</v>
      </c>
      <c r="R446" s="4">
        <v>52.16</v>
      </c>
      <c r="S446" s="4">
        <v>43.07</v>
      </c>
      <c r="T446" s="4">
        <v>51.38</v>
      </c>
      <c r="U446" s="4">
        <v>56.85</v>
      </c>
      <c r="V446" s="4">
        <v>45.86</v>
      </c>
      <c r="W446" s="4">
        <v>46.43</v>
      </c>
      <c r="X446" s="6">
        <v>60.12</v>
      </c>
      <c r="Y446" s="6">
        <v>64.39</v>
      </c>
    </row>
    <row r="447" spans="1:25" ht="15" customHeight="1" x14ac:dyDescent="0.45">
      <c r="A447" s="3">
        <v>45621</v>
      </c>
      <c r="B447" s="4">
        <v>45.18</v>
      </c>
      <c r="C447" s="4">
        <v>35.49</v>
      </c>
      <c r="D447" s="4">
        <v>37.270000000000003</v>
      </c>
      <c r="E447" s="4">
        <v>39.340000000000003</v>
      </c>
      <c r="F447" s="4">
        <v>40.96</v>
      </c>
      <c r="G447" s="4">
        <v>49.58</v>
      </c>
      <c r="H447" s="4">
        <v>40.31</v>
      </c>
      <c r="I447" s="4">
        <v>52.26</v>
      </c>
      <c r="J447" s="4">
        <v>50.77</v>
      </c>
      <c r="K447" s="4">
        <v>44.18</v>
      </c>
      <c r="L447" s="4">
        <v>56.26</v>
      </c>
      <c r="M447" s="4">
        <v>49.31</v>
      </c>
      <c r="N447" s="6">
        <v>66.13</v>
      </c>
      <c r="O447" s="4">
        <v>54.43</v>
      </c>
      <c r="P447" s="6">
        <v>63.29</v>
      </c>
      <c r="Q447" s="6">
        <v>62.71</v>
      </c>
      <c r="R447" s="4">
        <v>57.88</v>
      </c>
      <c r="S447" s="4">
        <v>45.36</v>
      </c>
      <c r="T447" s="4">
        <v>56.95</v>
      </c>
      <c r="U447" s="4">
        <v>56.38</v>
      </c>
      <c r="V447" s="4">
        <v>48.22</v>
      </c>
      <c r="W447" s="4">
        <v>48.08</v>
      </c>
      <c r="X447" s="4">
        <v>58.16</v>
      </c>
      <c r="Y447" s="6">
        <v>65.25</v>
      </c>
    </row>
    <row r="448" spans="1:25" ht="15" customHeight="1" x14ac:dyDescent="0.45">
      <c r="A448" s="3">
        <v>45618</v>
      </c>
      <c r="B448" s="4">
        <v>49.02</v>
      </c>
      <c r="C448" s="4">
        <v>34.299999999999997</v>
      </c>
      <c r="D448" s="4">
        <v>33.78</v>
      </c>
      <c r="E448" s="4">
        <v>35.369999999999997</v>
      </c>
      <c r="F448" s="4">
        <v>33.130000000000003</v>
      </c>
      <c r="G448" s="4">
        <v>45.67</v>
      </c>
      <c r="H448" s="4">
        <v>41.96</v>
      </c>
      <c r="I448" s="4">
        <v>50.08</v>
      </c>
      <c r="J448" s="4">
        <v>43.04</v>
      </c>
      <c r="K448" s="4">
        <v>42.44</v>
      </c>
      <c r="L448" s="4">
        <v>59.07</v>
      </c>
      <c r="M448" s="4">
        <v>44.37</v>
      </c>
      <c r="N448" s="6">
        <v>64.709999999999994</v>
      </c>
      <c r="O448" s="4">
        <v>48.51</v>
      </c>
      <c r="P448" s="4">
        <v>59.61</v>
      </c>
      <c r="Q448" s="6">
        <v>61.98</v>
      </c>
      <c r="R448" s="4">
        <v>56.62</v>
      </c>
      <c r="S448" s="4">
        <v>47.13</v>
      </c>
      <c r="T448" s="4">
        <v>58.66</v>
      </c>
      <c r="U448" s="4">
        <v>50.58</v>
      </c>
      <c r="V448" s="4">
        <v>41.45</v>
      </c>
      <c r="W448" s="4">
        <v>48.41</v>
      </c>
      <c r="X448" s="4">
        <v>54.22</v>
      </c>
      <c r="Y448" s="6">
        <v>63.71</v>
      </c>
    </row>
    <row r="449" spans="1:25" ht="15" customHeight="1" x14ac:dyDescent="0.45">
      <c r="A449" s="3">
        <v>45617</v>
      </c>
      <c r="B449" s="4">
        <v>48.31</v>
      </c>
      <c r="C449" s="4">
        <v>30.03</v>
      </c>
      <c r="D449" s="7">
        <v>28.13</v>
      </c>
      <c r="E449" s="4">
        <v>33.94</v>
      </c>
      <c r="F449" s="4">
        <v>33.6</v>
      </c>
      <c r="G449" s="4">
        <v>39.049999999999997</v>
      </c>
      <c r="H449" s="4">
        <v>42.47</v>
      </c>
      <c r="I449" s="4">
        <v>42.23</v>
      </c>
      <c r="J449" s="4">
        <v>40.630000000000003</v>
      </c>
      <c r="K449" s="4">
        <v>41.68</v>
      </c>
      <c r="L449" s="4">
        <v>54.89</v>
      </c>
      <c r="M449" s="4">
        <v>40.1</v>
      </c>
      <c r="N449" s="6">
        <v>64.150000000000006</v>
      </c>
      <c r="O449" s="4">
        <v>46.37</v>
      </c>
      <c r="P449" s="6">
        <v>61.37</v>
      </c>
      <c r="Q449" s="4">
        <v>57.95</v>
      </c>
      <c r="R449" s="4">
        <v>52.45</v>
      </c>
      <c r="S449" s="4">
        <v>46.11</v>
      </c>
      <c r="T449" s="4">
        <v>55.04</v>
      </c>
      <c r="U449" s="4">
        <v>48.73</v>
      </c>
      <c r="V449" s="4">
        <v>37.5</v>
      </c>
      <c r="W449" s="4">
        <v>45.68</v>
      </c>
      <c r="X449" s="4">
        <v>51.69</v>
      </c>
      <c r="Y449" s="6">
        <v>63.25</v>
      </c>
    </row>
    <row r="450" spans="1:25" ht="15" customHeight="1" x14ac:dyDescent="0.45">
      <c r="A450" s="3">
        <v>45616</v>
      </c>
      <c r="B450" s="4">
        <v>53.62</v>
      </c>
      <c r="C450" s="4">
        <v>30.99</v>
      </c>
      <c r="D450" s="4">
        <v>30.13</v>
      </c>
      <c r="E450" s="4">
        <v>31.57</v>
      </c>
      <c r="F450" s="4">
        <v>33.71</v>
      </c>
      <c r="G450" s="4">
        <v>38.450000000000003</v>
      </c>
      <c r="H450" s="4">
        <v>43.17</v>
      </c>
      <c r="I450" s="4">
        <v>48.24</v>
      </c>
      <c r="J450" s="4">
        <v>38.58</v>
      </c>
      <c r="K450" s="4">
        <v>42.99</v>
      </c>
      <c r="L450" s="6">
        <v>61.77</v>
      </c>
      <c r="M450" s="4">
        <v>38.770000000000003</v>
      </c>
      <c r="N450" s="6">
        <v>63.43</v>
      </c>
      <c r="O450" s="4">
        <v>40.53</v>
      </c>
      <c r="P450" s="6">
        <v>61.12</v>
      </c>
      <c r="Q450" s="4">
        <v>55.33</v>
      </c>
      <c r="R450" s="4">
        <v>51.95</v>
      </c>
      <c r="S450" s="4">
        <v>45.7</v>
      </c>
      <c r="T450" s="4">
        <v>56.44</v>
      </c>
      <c r="U450" s="4">
        <v>52.7</v>
      </c>
      <c r="V450" s="4">
        <v>37.729999999999997</v>
      </c>
      <c r="W450" s="4">
        <v>43.62</v>
      </c>
      <c r="X450" s="4">
        <v>55.95</v>
      </c>
      <c r="Y450" s="6">
        <v>67.03</v>
      </c>
    </row>
    <row r="451" spans="1:25" ht="15" customHeight="1" x14ac:dyDescent="0.45">
      <c r="A451" s="3">
        <v>45615</v>
      </c>
      <c r="B451" s="4">
        <v>44.49</v>
      </c>
      <c r="C451" s="4">
        <v>32.01</v>
      </c>
      <c r="D451" s="4">
        <v>32.270000000000003</v>
      </c>
      <c r="E451" s="4">
        <v>31.72</v>
      </c>
      <c r="F451" s="4">
        <v>30.31</v>
      </c>
      <c r="G451" s="4">
        <v>39.67</v>
      </c>
      <c r="H451" s="4">
        <v>42.33</v>
      </c>
      <c r="I451" s="4">
        <v>48.61</v>
      </c>
      <c r="J451" s="4">
        <v>39.81</v>
      </c>
      <c r="K451" s="4">
        <v>43.2</v>
      </c>
      <c r="L451" s="4">
        <v>57.45</v>
      </c>
      <c r="M451" s="4">
        <v>39.74</v>
      </c>
      <c r="N451" s="6">
        <v>66.86</v>
      </c>
      <c r="O451" s="4">
        <v>43.69</v>
      </c>
      <c r="P451" s="6">
        <v>60.21</v>
      </c>
      <c r="Q451" s="4">
        <v>44.88</v>
      </c>
      <c r="R451" s="4">
        <v>44.81</v>
      </c>
      <c r="S451" s="4">
        <v>44.42</v>
      </c>
      <c r="T451" s="4">
        <v>54.04</v>
      </c>
      <c r="U451" s="4">
        <v>51.73</v>
      </c>
      <c r="V451" s="4">
        <v>37.21</v>
      </c>
      <c r="W451" s="4">
        <v>36.79</v>
      </c>
      <c r="X451" s="4">
        <v>56.54</v>
      </c>
      <c r="Y451" s="6">
        <v>65.53</v>
      </c>
    </row>
    <row r="452" spans="1:25" ht="15" customHeight="1" x14ac:dyDescent="0.45">
      <c r="A452" s="3">
        <v>45614</v>
      </c>
      <c r="B452" s="4">
        <v>41.61</v>
      </c>
      <c r="C452" s="4">
        <v>33.020000000000003</v>
      </c>
      <c r="D452" s="4">
        <v>32.81</v>
      </c>
      <c r="E452" s="7">
        <v>28.42</v>
      </c>
      <c r="F452" s="4">
        <v>30.11</v>
      </c>
      <c r="G452" s="4">
        <v>37.36</v>
      </c>
      <c r="H452" s="4">
        <v>42.38</v>
      </c>
      <c r="I452" s="4">
        <v>44.15</v>
      </c>
      <c r="J452" s="4">
        <v>39.880000000000003</v>
      </c>
      <c r="K452" s="4">
        <v>41.04</v>
      </c>
      <c r="L452" s="6">
        <v>61.08</v>
      </c>
      <c r="M452" s="4">
        <v>41.08</v>
      </c>
      <c r="N452" s="6">
        <v>61.82</v>
      </c>
      <c r="O452" s="4">
        <v>45.45</v>
      </c>
      <c r="P452" s="4">
        <v>56.55</v>
      </c>
      <c r="Q452" s="4">
        <v>44.11</v>
      </c>
      <c r="R452" s="4">
        <v>45.02</v>
      </c>
      <c r="S452" s="4">
        <v>44.71</v>
      </c>
      <c r="T452" s="4">
        <v>58.8</v>
      </c>
      <c r="U452" s="4">
        <v>46.35</v>
      </c>
      <c r="V452" s="4">
        <v>37.299999999999997</v>
      </c>
      <c r="W452" s="4">
        <v>30.28</v>
      </c>
      <c r="X452" s="4">
        <v>50.12</v>
      </c>
      <c r="Y452" s="6">
        <v>62.03</v>
      </c>
    </row>
    <row r="453" spans="1:25" ht="15" customHeight="1" x14ac:dyDescent="0.45">
      <c r="A453" s="3">
        <v>45611</v>
      </c>
      <c r="B453" s="4">
        <v>32.19</v>
      </c>
      <c r="C453" s="4">
        <v>30.77</v>
      </c>
      <c r="D453" s="4">
        <v>32.14</v>
      </c>
      <c r="E453" s="7">
        <v>20.329999999999998</v>
      </c>
      <c r="F453" s="4">
        <v>30.34</v>
      </c>
      <c r="G453" s="7">
        <v>29.58</v>
      </c>
      <c r="H453" s="4">
        <v>40.770000000000003</v>
      </c>
      <c r="I453" s="4">
        <v>45.41</v>
      </c>
      <c r="J453" s="4">
        <v>31.61</v>
      </c>
      <c r="K453" s="4">
        <v>38.07</v>
      </c>
      <c r="L453" s="4">
        <v>54.14</v>
      </c>
      <c r="M453" s="7">
        <v>29.37</v>
      </c>
      <c r="N453" s="4">
        <v>52.73</v>
      </c>
      <c r="O453" s="4">
        <v>42</v>
      </c>
      <c r="P453" s="4">
        <v>53.59</v>
      </c>
      <c r="Q453" s="4">
        <v>44.61</v>
      </c>
      <c r="R453" s="4">
        <v>34.01</v>
      </c>
      <c r="S453" s="4">
        <v>37.75</v>
      </c>
      <c r="T453" s="4">
        <v>36.32</v>
      </c>
      <c r="U453" s="4">
        <v>38.64</v>
      </c>
      <c r="V453" s="7">
        <v>27.71</v>
      </c>
      <c r="W453" s="7">
        <v>21.3</v>
      </c>
      <c r="X453" s="4">
        <v>41.93</v>
      </c>
      <c r="Y453" s="4">
        <v>56.74</v>
      </c>
    </row>
    <row r="454" spans="1:25" ht="15" customHeight="1" x14ac:dyDescent="0.45">
      <c r="A454" s="3">
        <v>45610</v>
      </c>
      <c r="B454" s="4">
        <v>30.94</v>
      </c>
      <c r="C454" s="7">
        <v>26.04</v>
      </c>
      <c r="D454" s="7">
        <v>27.96</v>
      </c>
      <c r="E454" s="7">
        <v>22.41</v>
      </c>
      <c r="F454" s="4">
        <v>32.340000000000003</v>
      </c>
      <c r="G454" s="7">
        <v>27.69</v>
      </c>
      <c r="H454" s="4">
        <v>44.58</v>
      </c>
      <c r="I454" s="4">
        <v>44.91</v>
      </c>
      <c r="J454" s="7">
        <v>27.83</v>
      </c>
      <c r="K454" s="7">
        <v>28.86</v>
      </c>
      <c r="L454" s="4">
        <v>54.49</v>
      </c>
      <c r="M454" s="7">
        <v>29.8</v>
      </c>
      <c r="N454" s="4">
        <v>57.99</v>
      </c>
      <c r="O454" s="4">
        <v>43.19</v>
      </c>
      <c r="P454" s="4">
        <v>46.66</v>
      </c>
      <c r="Q454" s="4">
        <v>44.66</v>
      </c>
      <c r="R454" s="4">
        <v>37.020000000000003</v>
      </c>
      <c r="S454" s="4">
        <v>43.29</v>
      </c>
      <c r="T454" s="4">
        <v>36.630000000000003</v>
      </c>
      <c r="U454" s="4">
        <v>36.43</v>
      </c>
      <c r="V454" s="7">
        <v>27.43</v>
      </c>
      <c r="W454" s="7">
        <v>21.54</v>
      </c>
      <c r="X454" s="4">
        <v>39.42</v>
      </c>
      <c r="Y454" s="4">
        <v>47.96</v>
      </c>
    </row>
    <row r="455" spans="1:25" ht="15" customHeight="1" x14ac:dyDescent="0.45">
      <c r="A455" s="3">
        <v>45609</v>
      </c>
      <c r="B455" s="4">
        <v>31.68</v>
      </c>
      <c r="C455" s="7">
        <v>26.66</v>
      </c>
      <c r="D455" s="7">
        <v>29.5</v>
      </c>
      <c r="E455" s="7">
        <v>23.61</v>
      </c>
      <c r="F455" s="4">
        <v>31.65</v>
      </c>
      <c r="G455" s="7">
        <v>21.69</v>
      </c>
      <c r="H455" s="4">
        <v>39.61</v>
      </c>
      <c r="I455" s="4">
        <v>38.57</v>
      </c>
      <c r="J455" s="7">
        <v>29.3</v>
      </c>
      <c r="K455" s="7">
        <v>21.12</v>
      </c>
      <c r="L455" s="4">
        <v>45.9</v>
      </c>
      <c r="M455" s="7">
        <v>26.87</v>
      </c>
      <c r="N455" s="4">
        <v>49.08</v>
      </c>
      <c r="O455" s="4">
        <v>32.78</v>
      </c>
      <c r="P455" s="4">
        <v>42.15</v>
      </c>
      <c r="Q455" s="4">
        <v>48.25</v>
      </c>
      <c r="R455" s="4">
        <v>38.630000000000003</v>
      </c>
      <c r="S455" s="4">
        <v>30.12</v>
      </c>
      <c r="T455" s="4">
        <v>39.18</v>
      </c>
      <c r="U455" s="4">
        <v>32.24</v>
      </c>
      <c r="V455" s="7">
        <v>27.32</v>
      </c>
      <c r="W455" s="7">
        <v>21.96</v>
      </c>
      <c r="X455" s="4">
        <v>35.03</v>
      </c>
      <c r="Y455" s="4">
        <v>48.31</v>
      </c>
    </row>
    <row r="456" spans="1:25" ht="15" customHeight="1" x14ac:dyDescent="0.45">
      <c r="A456" s="3">
        <v>45608</v>
      </c>
      <c r="B456" s="4">
        <v>34.22</v>
      </c>
      <c r="C456" s="7">
        <v>29.16</v>
      </c>
      <c r="D456" s="4">
        <v>35.590000000000003</v>
      </c>
      <c r="E456" s="7">
        <v>27</v>
      </c>
      <c r="F456" s="4">
        <v>35.44</v>
      </c>
      <c r="G456" s="7">
        <v>28.46</v>
      </c>
      <c r="H456" s="4">
        <v>47.96</v>
      </c>
      <c r="I456" s="4">
        <v>44.57</v>
      </c>
      <c r="J456" s="4">
        <v>34.909999999999997</v>
      </c>
      <c r="K456" s="7">
        <v>23.12</v>
      </c>
      <c r="L456" s="4">
        <v>54.32</v>
      </c>
      <c r="M456" s="4">
        <v>31.09</v>
      </c>
      <c r="N456" s="4">
        <v>40.590000000000003</v>
      </c>
      <c r="O456" s="4">
        <v>40.520000000000003</v>
      </c>
      <c r="P456" s="4">
        <v>34.56</v>
      </c>
      <c r="Q456" s="4">
        <v>52.4</v>
      </c>
      <c r="R456" s="4">
        <v>43.59</v>
      </c>
      <c r="S456" s="4">
        <v>38.35</v>
      </c>
      <c r="T456" s="4">
        <v>43.47</v>
      </c>
      <c r="U456" s="4">
        <v>35.54</v>
      </c>
      <c r="V456" s="4">
        <v>33.89</v>
      </c>
      <c r="W456" s="7">
        <v>11.95</v>
      </c>
      <c r="X456" s="4">
        <v>37.409999999999997</v>
      </c>
      <c r="Y456" s="4">
        <v>48.33</v>
      </c>
    </row>
    <row r="457" spans="1:25" ht="15" customHeight="1" x14ac:dyDescent="0.45">
      <c r="A457" s="3">
        <v>45607</v>
      </c>
      <c r="B457" s="4">
        <v>38.869999999999997</v>
      </c>
      <c r="C457" s="4">
        <v>31.93</v>
      </c>
      <c r="D457" s="4">
        <v>37.74</v>
      </c>
      <c r="E457" s="4">
        <v>30.08</v>
      </c>
      <c r="F457" s="4">
        <v>41.19</v>
      </c>
      <c r="G457" s="4">
        <v>36.520000000000003</v>
      </c>
      <c r="H457" s="4">
        <v>49.21</v>
      </c>
      <c r="I457" s="4">
        <v>50.26</v>
      </c>
      <c r="J457" s="4">
        <v>39.340000000000003</v>
      </c>
      <c r="K457" s="7">
        <v>27.16</v>
      </c>
      <c r="L457" s="6">
        <v>61.94</v>
      </c>
      <c r="M457" s="4">
        <v>33.979999999999997</v>
      </c>
      <c r="N457" s="4">
        <v>49.08</v>
      </c>
      <c r="O457" s="4">
        <v>40.11</v>
      </c>
      <c r="P457" s="4">
        <v>36.99</v>
      </c>
      <c r="Q457" s="4">
        <v>54.78</v>
      </c>
      <c r="R457" s="4">
        <v>50.8</v>
      </c>
      <c r="S457" s="4">
        <v>44.73</v>
      </c>
      <c r="T457" s="4">
        <v>50.53</v>
      </c>
      <c r="U457" s="4">
        <v>39.69</v>
      </c>
      <c r="V457" s="4">
        <v>39.75</v>
      </c>
      <c r="W457" s="7">
        <v>14.58</v>
      </c>
      <c r="X457" s="4">
        <v>39.29</v>
      </c>
      <c r="Y457" s="4">
        <v>56.07</v>
      </c>
    </row>
    <row r="458" spans="1:25" ht="15" customHeight="1" x14ac:dyDescent="0.45">
      <c r="A458" s="3">
        <v>45604</v>
      </c>
      <c r="B458" s="4">
        <v>45.7</v>
      </c>
      <c r="C458" s="4">
        <v>42.27</v>
      </c>
      <c r="D458" s="4">
        <v>44.71</v>
      </c>
      <c r="E458" s="4">
        <v>34.78</v>
      </c>
      <c r="F458" s="4">
        <v>43.31</v>
      </c>
      <c r="G458" s="4">
        <v>46.78</v>
      </c>
      <c r="H458" s="4">
        <v>51.74</v>
      </c>
      <c r="I458" s="4">
        <v>55.11</v>
      </c>
      <c r="J458" s="4">
        <v>44.26</v>
      </c>
      <c r="K458" s="4">
        <v>33.81</v>
      </c>
      <c r="L458" s="4">
        <v>52.21</v>
      </c>
      <c r="M458" s="4">
        <v>39.11</v>
      </c>
      <c r="N458" s="4">
        <v>50.52</v>
      </c>
      <c r="O458" s="4">
        <v>45.56</v>
      </c>
      <c r="P458" s="4">
        <v>47.33</v>
      </c>
      <c r="Q458" s="4">
        <v>43.34</v>
      </c>
      <c r="R458" s="4">
        <v>54.5</v>
      </c>
      <c r="S458" s="4">
        <v>43.02</v>
      </c>
      <c r="T458" s="4">
        <v>51.83</v>
      </c>
      <c r="U458" s="4">
        <v>44.37</v>
      </c>
      <c r="V458" s="4">
        <v>43.84</v>
      </c>
      <c r="W458" s="7">
        <v>17.21</v>
      </c>
      <c r="X458" s="4">
        <v>43.35</v>
      </c>
      <c r="Y458" s="4">
        <v>58.18</v>
      </c>
    </row>
    <row r="459" spans="1:25" ht="15" customHeight="1" x14ac:dyDescent="0.45">
      <c r="A459" s="3">
        <v>45603</v>
      </c>
      <c r="B459" s="4">
        <v>48.79</v>
      </c>
      <c r="C459" s="4">
        <v>46.15</v>
      </c>
      <c r="D459" s="4">
        <v>50.77</v>
      </c>
      <c r="E459" s="4">
        <v>36.369999999999997</v>
      </c>
      <c r="F459" s="4">
        <v>41.21</v>
      </c>
      <c r="G459" s="4">
        <v>49.85</v>
      </c>
      <c r="H459" s="4">
        <v>56.98</v>
      </c>
      <c r="I459" s="4">
        <v>57.27</v>
      </c>
      <c r="J459" s="4">
        <v>42.54</v>
      </c>
      <c r="K459" s="4">
        <v>36.83</v>
      </c>
      <c r="L459" s="4">
        <v>52.15</v>
      </c>
      <c r="M459" s="4">
        <v>41.32</v>
      </c>
      <c r="N459" s="4">
        <v>59.93</v>
      </c>
      <c r="O459" s="4">
        <v>40.61</v>
      </c>
      <c r="P459" s="4">
        <v>48.88</v>
      </c>
      <c r="Q459" s="4">
        <v>54.47</v>
      </c>
      <c r="R459" s="4">
        <v>54.59</v>
      </c>
      <c r="S459" s="4">
        <v>44.68</v>
      </c>
      <c r="T459" s="4">
        <v>49.82</v>
      </c>
      <c r="U459" s="4">
        <v>54.07</v>
      </c>
      <c r="V459" s="4">
        <v>43.11</v>
      </c>
      <c r="W459" s="7">
        <v>18.73</v>
      </c>
      <c r="X459" s="4">
        <v>54.35</v>
      </c>
      <c r="Y459" s="4">
        <v>59.12</v>
      </c>
    </row>
    <row r="460" spans="1:25" ht="15" customHeight="1" x14ac:dyDescent="0.45">
      <c r="A460" s="3">
        <v>45602</v>
      </c>
      <c r="B460" s="4">
        <v>52</v>
      </c>
      <c r="C460" s="4">
        <v>48.54</v>
      </c>
      <c r="D460" s="4">
        <v>47.92</v>
      </c>
      <c r="E460" s="4">
        <v>38.67</v>
      </c>
      <c r="F460" s="4">
        <v>47.59</v>
      </c>
      <c r="G460" s="4">
        <v>49.86</v>
      </c>
      <c r="H460" s="4">
        <v>55.73</v>
      </c>
      <c r="I460" s="4">
        <v>54.16</v>
      </c>
      <c r="J460" s="4">
        <v>42.24</v>
      </c>
      <c r="K460" s="4">
        <v>38.340000000000003</v>
      </c>
      <c r="L460" s="4">
        <v>38.43</v>
      </c>
      <c r="M460" s="4">
        <v>38.53</v>
      </c>
      <c r="N460" s="4">
        <v>58.87</v>
      </c>
      <c r="O460" s="4">
        <v>43.59</v>
      </c>
      <c r="P460" s="4">
        <v>49.48</v>
      </c>
      <c r="Q460" s="4">
        <v>59.08</v>
      </c>
      <c r="R460" s="4">
        <v>55.17</v>
      </c>
      <c r="S460" s="4">
        <v>54.27</v>
      </c>
      <c r="T460" s="4">
        <v>56.54</v>
      </c>
      <c r="U460" s="4">
        <v>54.3</v>
      </c>
      <c r="V460" s="4">
        <v>42.69</v>
      </c>
      <c r="W460" s="7">
        <v>20.04</v>
      </c>
      <c r="X460" s="4">
        <v>52.59</v>
      </c>
      <c r="Y460" s="6">
        <v>63.42</v>
      </c>
    </row>
    <row r="461" spans="1:25" ht="15" customHeight="1" x14ac:dyDescent="0.45">
      <c r="A461" s="3">
        <v>45601</v>
      </c>
      <c r="B461" s="4">
        <v>52.34</v>
      </c>
      <c r="C461" s="4">
        <v>51.97</v>
      </c>
      <c r="D461" s="4">
        <v>48.81</v>
      </c>
      <c r="E461" s="4">
        <v>47.12</v>
      </c>
      <c r="F461" s="4">
        <v>44.87</v>
      </c>
      <c r="G461" s="4">
        <v>43.79</v>
      </c>
      <c r="H461" s="6">
        <v>60.05</v>
      </c>
      <c r="I461" s="4">
        <v>49.26</v>
      </c>
      <c r="J461" s="4">
        <v>45.5</v>
      </c>
      <c r="K461" s="4">
        <v>42.79</v>
      </c>
      <c r="L461" s="4">
        <v>38.32</v>
      </c>
      <c r="M461" s="4">
        <v>42.29</v>
      </c>
      <c r="N461" s="6">
        <v>61.52</v>
      </c>
      <c r="O461" s="4">
        <v>41.46</v>
      </c>
      <c r="P461" s="6">
        <v>60.56</v>
      </c>
      <c r="Q461" s="4">
        <v>52.29</v>
      </c>
      <c r="R461" s="4">
        <v>49.65</v>
      </c>
      <c r="S461" s="4">
        <v>50.58</v>
      </c>
      <c r="T461" s="4">
        <v>53.31</v>
      </c>
      <c r="U461" s="4">
        <v>54.22</v>
      </c>
      <c r="V461" s="4">
        <v>45.86</v>
      </c>
      <c r="W461" s="7">
        <v>21.84</v>
      </c>
      <c r="X461" s="4">
        <v>52.54</v>
      </c>
      <c r="Y461" s="6">
        <v>66.27</v>
      </c>
    </row>
    <row r="462" spans="1:25" ht="15" customHeight="1" x14ac:dyDescent="0.45">
      <c r="A462" s="3">
        <v>45600</v>
      </c>
      <c r="B462" s="4">
        <v>54.23</v>
      </c>
      <c r="C462" s="4">
        <v>52.8</v>
      </c>
      <c r="D462" s="4">
        <v>46.96</v>
      </c>
      <c r="E462" s="4">
        <v>45.75</v>
      </c>
      <c r="F462" s="4">
        <v>47.54</v>
      </c>
      <c r="G462" s="4">
        <v>42.31</v>
      </c>
      <c r="H462" s="4">
        <v>55.36</v>
      </c>
      <c r="I462" s="4">
        <v>46.96</v>
      </c>
      <c r="J462" s="4">
        <v>49.12</v>
      </c>
      <c r="K462" s="4">
        <v>42.45</v>
      </c>
      <c r="L462" s="4">
        <v>39.880000000000003</v>
      </c>
      <c r="M462" s="4">
        <v>41.55</v>
      </c>
      <c r="N462" s="6">
        <v>61.92</v>
      </c>
      <c r="O462" s="4">
        <v>33.86</v>
      </c>
      <c r="P462" s="6">
        <v>61.47</v>
      </c>
      <c r="Q462" s="4">
        <v>58.51</v>
      </c>
      <c r="R462" s="4">
        <v>48.9</v>
      </c>
      <c r="S462" s="4">
        <v>48.68</v>
      </c>
      <c r="T462" s="4">
        <v>53.48</v>
      </c>
      <c r="U462" s="4">
        <v>54.87</v>
      </c>
      <c r="V462" s="4">
        <v>48.19</v>
      </c>
      <c r="W462" s="7">
        <v>20.309999999999999</v>
      </c>
      <c r="X462" s="4">
        <v>53.12</v>
      </c>
      <c r="Y462" s="6">
        <v>63.08</v>
      </c>
    </row>
    <row r="463" spans="1:25" ht="15" customHeight="1" x14ac:dyDescent="0.45">
      <c r="A463" s="3">
        <v>45597</v>
      </c>
      <c r="B463" s="4">
        <v>42.96</v>
      </c>
      <c r="C463" s="4">
        <v>47.68</v>
      </c>
      <c r="D463" s="4">
        <v>44.44</v>
      </c>
      <c r="E463" s="4">
        <v>41.26</v>
      </c>
      <c r="F463" s="4">
        <v>39.92</v>
      </c>
      <c r="G463" s="4">
        <v>40.01</v>
      </c>
      <c r="H463" s="4">
        <v>50.87</v>
      </c>
      <c r="I463" s="4">
        <v>44.15</v>
      </c>
      <c r="J463" s="4">
        <v>41.83</v>
      </c>
      <c r="K463" s="4">
        <v>40.42</v>
      </c>
      <c r="L463" s="4">
        <v>35.69</v>
      </c>
      <c r="M463" s="4">
        <v>34.85</v>
      </c>
      <c r="N463" s="4">
        <v>57.76</v>
      </c>
      <c r="O463" s="4">
        <v>30.59</v>
      </c>
      <c r="P463" s="4">
        <v>51.86</v>
      </c>
      <c r="Q463" s="4">
        <v>59.87</v>
      </c>
      <c r="R463" s="4">
        <v>46.7</v>
      </c>
      <c r="S463" s="4">
        <v>43.95</v>
      </c>
      <c r="T463" s="4">
        <v>52.32</v>
      </c>
      <c r="U463" s="4">
        <v>45.58</v>
      </c>
      <c r="V463" s="4">
        <v>39.61</v>
      </c>
      <c r="W463" s="7">
        <v>22.17</v>
      </c>
      <c r="X463" s="4">
        <v>46.94</v>
      </c>
      <c r="Y463" s="4">
        <v>54.24</v>
      </c>
    </row>
    <row r="464" spans="1:25" ht="15" customHeight="1" x14ac:dyDescent="0.45">
      <c r="A464" s="3">
        <v>45596</v>
      </c>
      <c r="B464" s="4">
        <v>46.43</v>
      </c>
      <c r="C464" s="4">
        <v>50.71</v>
      </c>
      <c r="D464" s="4">
        <v>47.03</v>
      </c>
      <c r="E464" s="4">
        <v>41.64</v>
      </c>
      <c r="F464" s="4">
        <v>42.29</v>
      </c>
      <c r="G464" s="4">
        <v>45.91</v>
      </c>
      <c r="H464" s="4">
        <v>50.84</v>
      </c>
      <c r="I464" s="4">
        <v>45.57</v>
      </c>
      <c r="J464" s="4">
        <v>44.29</v>
      </c>
      <c r="K464" s="4">
        <v>51.67</v>
      </c>
      <c r="L464" s="4">
        <v>36.14</v>
      </c>
      <c r="M464" s="4">
        <v>36.119999999999997</v>
      </c>
      <c r="N464" s="6">
        <v>61.43</v>
      </c>
      <c r="O464" s="4">
        <v>35.06</v>
      </c>
      <c r="P464" s="4">
        <v>55.57</v>
      </c>
      <c r="Q464" s="4">
        <v>59</v>
      </c>
      <c r="R464" s="4">
        <v>44.45</v>
      </c>
      <c r="S464" s="4">
        <v>48.94</v>
      </c>
      <c r="T464" s="4">
        <v>47.92</v>
      </c>
      <c r="U464" s="4">
        <v>49.06</v>
      </c>
      <c r="V464" s="4">
        <v>41.92</v>
      </c>
      <c r="W464" s="7">
        <v>23.43</v>
      </c>
      <c r="X464" s="4">
        <v>49.24</v>
      </c>
      <c r="Y464" s="4">
        <v>54.8</v>
      </c>
    </row>
    <row r="465" spans="1:25" ht="15" customHeight="1" x14ac:dyDescent="0.45">
      <c r="A465" s="3">
        <v>45595</v>
      </c>
      <c r="B465" s="4">
        <v>38.159999999999997</v>
      </c>
      <c r="C465" s="4">
        <v>42.07</v>
      </c>
      <c r="D465" s="4">
        <v>46.98</v>
      </c>
      <c r="E465" s="4">
        <v>41.58</v>
      </c>
      <c r="F465" s="4">
        <v>47.18</v>
      </c>
      <c r="G465" s="4">
        <v>43.46</v>
      </c>
      <c r="H465" s="4">
        <v>54.38</v>
      </c>
      <c r="I465" s="4">
        <v>53.35</v>
      </c>
      <c r="J465" s="4">
        <v>47.23</v>
      </c>
      <c r="K465" s="4">
        <v>47.18</v>
      </c>
      <c r="L465" s="4">
        <v>41.18</v>
      </c>
      <c r="M465" s="4">
        <v>46.04</v>
      </c>
      <c r="N465" s="6">
        <v>60.57</v>
      </c>
      <c r="O465" s="4">
        <v>38.71</v>
      </c>
      <c r="P465" s="4">
        <v>56.31</v>
      </c>
      <c r="Q465" s="4">
        <v>59.49</v>
      </c>
      <c r="R465" s="4">
        <v>52.56</v>
      </c>
      <c r="S465" s="4">
        <v>55.01</v>
      </c>
      <c r="T465" s="4">
        <v>51.06</v>
      </c>
      <c r="U465" s="4">
        <v>58.21</v>
      </c>
      <c r="V465" s="4">
        <v>46.08</v>
      </c>
      <c r="W465" s="7">
        <v>20.86</v>
      </c>
      <c r="X465" s="4">
        <v>58.2</v>
      </c>
      <c r="Y465" s="6">
        <v>60.04</v>
      </c>
    </row>
    <row r="466" spans="1:25" ht="15" customHeight="1" x14ac:dyDescent="0.45">
      <c r="A466" s="3">
        <v>45594</v>
      </c>
      <c r="B466" s="4">
        <v>40.04</v>
      </c>
      <c r="C466" s="4">
        <v>37.17</v>
      </c>
      <c r="D466" s="4">
        <v>45.99</v>
      </c>
      <c r="E466" s="4">
        <v>43.89</v>
      </c>
      <c r="F466" s="4">
        <v>49.99</v>
      </c>
      <c r="G466" s="4">
        <v>44.89</v>
      </c>
      <c r="H466" s="5">
        <v>82.81</v>
      </c>
      <c r="I466" s="4">
        <v>51.74</v>
      </c>
      <c r="J466" s="4">
        <v>47.56</v>
      </c>
      <c r="K466" s="4">
        <v>46.47</v>
      </c>
      <c r="L466" s="4">
        <v>42.92</v>
      </c>
      <c r="M466" s="4">
        <v>47.8</v>
      </c>
      <c r="N466" s="6">
        <v>62.19</v>
      </c>
      <c r="O466" s="4">
        <v>40.590000000000003</v>
      </c>
      <c r="P466" s="6">
        <v>60.48</v>
      </c>
      <c r="Q466" s="4">
        <v>58.3</v>
      </c>
      <c r="R466" s="4">
        <v>57.93</v>
      </c>
      <c r="S466" s="4">
        <v>55.34</v>
      </c>
      <c r="T466" s="4">
        <v>54.94</v>
      </c>
      <c r="U466" s="4">
        <v>56.42</v>
      </c>
      <c r="V466" s="4">
        <v>50.02</v>
      </c>
      <c r="W466" s="7">
        <v>22.72</v>
      </c>
      <c r="X466" s="4">
        <v>53.62</v>
      </c>
      <c r="Y466" s="6">
        <v>61.42</v>
      </c>
    </row>
    <row r="467" spans="1:25" ht="15" customHeight="1" x14ac:dyDescent="0.45">
      <c r="A467" s="3">
        <v>45593</v>
      </c>
      <c r="B467" s="4">
        <v>40.68</v>
      </c>
      <c r="C467" s="4">
        <v>39.47</v>
      </c>
      <c r="D467" s="4">
        <v>43.74</v>
      </c>
      <c r="E467" s="4">
        <v>48.52</v>
      </c>
      <c r="F467" s="4">
        <v>51.95</v>
      </c>
      <c r="G467" s="4">
        <v>44.63</v>
      </c>
      <c r="H467" s="5">
        <v>77.84</v>
      </c>
      <c r="I467" s="4">
        <v>50.88</v>
      </c>
      <c r="J467" s="4">
        <v>46.53</v>
      </c>
      <c r="K467" s="4">
        <v>49.24</v>
      </c>
      <c r="L467" s="4">
        <v>46.16</v>
      </c>
      <c r="M467" s="4">
        <v>43.66</v>
      </c>
      <c r="N467" s="6">
        <v>61.96</v>
      </c>
      <c r="O467" s="4">
        <v>41.03</v>
      </c>
      <c r="P467" s="4">
        <v>56.76</v>
      </c>
      <c r="Q467" s="4">
        <v>58.71</v>
      </c>
      <c r="R467" s="4">
        <v>57.76</v>
      </c>
      <c r="S467" s="4">
        <v>53.91</v>
      </c>
      <c r="T467" s="4">
        <v>53.17</v>
      </c>
      <c r="U467" s="4">
        <v>54.73</v>
      </c>
      <c r="V467" s="4">
        <v>49.35</v>
      </c>
      <c r="W467" s="7">
        <v>22.83</v>
      </c>
      <c r="X467" s="4">
        <v>53.19</v>
      </c>
      <c r="Y467" s="4">
        <v>58.86</v>
      </c>
    </row>
    <row r="468" spans="1:25" ht="15" customHeight="1" x14ac:dyDescent="0.45">
      <c r="A468" s="3">
        <v>45590</v>
      </c>
      <c r="B468" s="4">
        <v>37.369999999999997</v>
      </c>
      <c r="C468" s="4">
        <v>37.06</v>
      </c>
      <c r="D468" s="4">
        <v>37.14</v>
      </c>
      <c r="E468" s="4">
        <v>35.67</v>
      </c>
      <c r="F468" s="4">
        <v>51.29</v>
      </c>
      <c r="G468" s="4">
        <v>43.94</v>
      </c>
      <c r="H468" s="5">
        <v>74.290000000000006</v>
      </c>
      <c r="I468" s="4">
        <v>49.04</v>
      </c>
      <c r="J468" s="4">
        <v>40.340000000000003</v>
      </c>
      <c r="K468" s="4">
        <v>47.12</v>
      </c>
      <c r="L468" s="4">
        <v>47.71</v>
      </c>
      <c r="M468" s="4">
        <v>34.450000000000003</v>
      </c>
      <c r="N468" s="6">
        <v>61.47</v>
      </c>
      <c r="O468" s="4">
        <v>36.03</v>
      </c>
      <c r="P468" s="4">
        <v>51.7</v>
      </c>
      <c r="Q468" s="6">
        <v>61.25</v>
      </c>
      <c r="R468" s="6">
        <v>64.41</v>
      </c>
      <c r="S468" s="4">
        <v>53.94</v>
      </c>
      <c r="T468" s="4">
        <v>54.17</v>
      </c>
      <c r="U468" s="4">
        <v>47.61</v>
      </c>
      <c r="V468" s="4">
        <v>42.63</v>
      </c>
      <c r="W468" s="7">
        <v>25.67</v>
      </c>
      <c r="X468" s="4">
        <v>46.99</v>
      </c>
      <c r="Y468" s="4">
        <v>53.98</v>
      </c>
    </row>
    <row r="469" spans="1:25" ht="15" customHeight="1" x14ac:dyDescent="0.45">
      <c r="A469" s="3">
        <v>45589</v>
      </c>
      <c r="B469" s="4">
        <v>41.16</v>
      </c>
      <c r="C469" s="4">
        <v>43.76</v>
      </c>
      <c r="D469" s="4">
        <v>42.48</v>
      </c>
      <c r="E469" s="4">
        <v>38.99</v>
      </c>
      <c r="F469" s="4">
        <v>50.19</v>
      </c>
      <c r="G469" s="4">
        <v>43.26</v>
      </c>
      <c r="H469" s="5">
        <v>71.06</v>
      </c>
      <c r="I469" s="4">
        <v>51.95</v>
      </c>
      <c r="J469" s="4">
        <v>41.46</v>
      </c>
      <c r="K469" s="4">
        <v>44.57</v>
      </c>
      <c r="L469" s="4">
        <v>45.78</v>
      </c>
      <c r="M469" s="4">
        <v>37.82</v>
      </c>
      <c r="N469" s="6">
        <v>64.430000000000007</v>
      </c>
      <c r="O469" s="4">
        <v>37.33</v>
      </c>
      <c r="P469" s="4">
        <v>53.08</v>
      </c>
      <c r="Q469" s="4">
        <v>59.84</v>
      </c>
      <c r="R469" s="4">
        <v>56.72</v>
      </c>
      <c r="S469" s="4">
        <v>53.49</v>
      </c>
      <c r="T469" s="4">
        <v>49.07</v>
      </c>
      <c r="U469" s="4">
        <v>54.27</v>
      </c>
      <c r="V469" s="4">
        <v>43.31</v>
      </c>
      <c r="W469" s="4">
        <v>31.25</v>
      </c>
      <c r="X469" s="4">
        <v>52.6</v>
      </c>
      <c r="Y469" s="4">
        <v>56.78</v>
      </c>
    </row>
    <row r="470" spans="1:25" ht="15" customHeight="1" x14ac:dyDescent="0.45">
      <c r="A470" s="3">
        <v>45588</v>
      </c>
      <c r="B470" s="4">
        <v>38.96</v>
      </c>
      <c r="C470" s="4">
        <v>43.93</v>
      </c>
      <c r="D470" s="4">
        <v>42.74</v>
      </c>
      <c r="E470" s="4">
        <v>39.56</v>
      </c>
      <c r="F470" s="4">
        <v>51.61</v>
      </c>
      <c r="G470" s="4">
        <v>40.56</v>
      </c>
      <c r="H470" s="4">
        <v>57.09</v>
      </c>
      <c r="I470" s="4">
        <v>51.71</v>
      </c>
      <c r="J470" s="4">
        <v>45.75</v>
      </c>
      <c r="K470" s="4">
        <v>47.04</v>
      </c>
      <c r="L470" s="4">
        <v>52.4</v>
      </c>
      <c r="M470" s="4">
        <v>38.76</v>
      </c>
      <c r="N470" s="4">
        <v>57.07</v>
      </c>
      <c r="O470" s="4">
        <v>37.659999999999997</v>
      </c>
      <c r="P470" s="4">
        <v>52.47</v>
      </c>
      <c r="Q470" s="4">
        <v>55.49</v>
      </c>
      <c r="R470" s="4">
        <v>59.48</v>
      </c>
      <c r="S470" s="4">
        <v>56.41</v>
      </c>
      <c r="T470" s="4">
        <v>55.15</v>
      </c>
      <c r="U470" s="4">
        <v>53.42</v>
      </c>
      <c r="V470" s="4">
        <v>46.55</v>
      </c>
      <c r="W470" s="4">
        <v>33.28</v>
      </c>
      <c r="X470" s="4">
        <v>50.6</v>
      </c>
      <c r="Y470" s="4">
        <v>56.62</v>
      </c>
    </row>
    <row r="471" spans="1:25" ht="15" customHeight="1" x14ac:dyDescent="0.45">
      <c r="A471" s="3">
        <v>45587</v>
      </c>
      <c r="B471" s="4">
        <v>41.45</v>
      </c>
      <c r="C471" s="4">
        <v>46.66</v>
      </c>
      <c r="D471" s="4">
        <v>42.56</v>
      </c>
      <c r="E471" s="4">
        <v>35.909999999999997</v>
      </c>
      <c r="F471" s="4">
        <v>53.81</v>
      </c>
      <c r="G471" s="4">
        <v>42</v>
      </c>
      <c r="H471" s="4">
        <v>53.27</v>
      </c>
      <c r="I471" s="4">
        <v>54.81</v>
      </c>
      <c r="J471" s="4">
        <v>36.28</v>
      </c>
      <c r="K471" s="4">
        <v>44.76</v>
      </c>
      <c r="L471" s="4">
        <v>49.83</v>
      </c>
      <c r="M471" s="4">
        <v>43.42</v>
      </c>
      <c r="N471" s="4">
        <v>55.35</v>
      </c>
      <c r="O471" s="4">
        <v>41.91</v>
      </c>
      <c r="P471" s="4">
        <v>52.33</v>
      </c>
      <c r="Q471" s="6">
        <v>63.9</v>
      </c>
      <c r="R471" s="4">
        <v>59.97</v>
      </c>
      <c r="S471" s="4">
        <v>59</v>
      </c>
      <c r="T471" s="4">
        <v>56.39</v>
      </c>
      <c r="U471" s="4">
        <v>52.43</v>
      </c>
      <c r="V471" s="4">
        <v>39.299999999999997</v>
      </c>
      <c r="W471" s="4">
        <v>35.65</v>
      </c>
      <c r="X471" s="4">
        <v>49.38</v>
      </c>
      <c r="Y471" s="6">
        <v>60.04</v>
      </c>
    </row>
    <row r="472" spans="1:25" ht="15" customHeight="1" x14ac:dyDescent="0.45">
      <c r="A472" s="3">
        <v>45586</v>
      </c>
      <c r="B472" s="4">
        <v>43.03</v>
      </c>
      <c r="C472" s="4">
        <v>46.25</v>
      </c>
      <c r="D472" s="4">
        <v>45.61</v>
      </c>
      <c r="E472" s="4">
        <v>41.45</v>
      </c>
      <c r="F472" s="6">
        <v>60.48</v>
      </c>
      <c r="G472" s="4">
        <v>45.67</v>
      </c>
      <c r="H472" s="4">
        <v>59.81</v>
      </c>
      <c r="I472" s="4">
        <v>58.57</v>
      </c>
      <c r="J472" s="4">
        <v>40.590000000000003</v>
      </c>
      <c r="K472" s="4">
        <v>51.18</v>
      </c>
      <c r="L472" s="4">
        <v>51.8</v>
      </c>
      <c r="M472" s="4">
        <v>41.09</v>
      </c>
      <c r="N472" s="4">
        <v>50.05</v>
      </c>
      <c r="O472" s="4">
        <v>48.11</v>
      </c>
      <c r="P472" s="4">
        <v>56.59</v>
      </c>
      <c r="Q472" s="4">
        <v>57.86</v>
      </c>
      <c r="R472" s="4">
        <v>59.48</v>
      </c>
      <c r="S472" s="4">
        <v>57.32</v>
      </c>
      <c r="T472" s="4">
        <v>52.78</v>
      </c>
      <c r="U472" s="6">
        <v>63.03</v>
      </c>
      <c r="V472" s="4">
        <v>45.24</v>
      </c>
      <c r="W472" s="4">
        <v>39.159999999999997</v>
      </c>
      <c r="X472" s="4">
        <v>59.92</v>
      </c>
      <c r="Y472" s="6">
        <v>61.01</v>
      </c>
    </row>
    <row r="473" spans="1:25" ht="15" customHeight="1" x14ac:dyDescent="0.45">
      <c r="A473" s="3">
        <v>45583</v>
      </c>
      <c r="B473" s="4">
        <v>42.88</v>
      </c>
      <c r="C473" s="4">
        <v>47.64</v>
      </c>
      <c r="D473" s="4">
        <v>46.33</v>
      </c>
      <c r="E473" s="4">
        <v>40.479999999999997</v>
      </c>
      <c r="F473" s="4">
        <v>56.39</v>
      </c>
      <c r="G473" s="4">
        <v>44.23</v>
      </c>
      <c r="H473" s="4">
        <v>55.25</v>
      </c>
      <c r="I473" s="4">
        <v>57.18</v>
      </c>
      <c r="J473" s="4">
        <v>39.49</v>
      </c>
      <c r="K473" s="4">
        <v>50.54</v>
      </c>
      <c r="L473" s="4">
        <v>50.71</v>
      </c>
      <c r="M473" s="4">
        <v>41.93</v>
      </c>
      <c r="N473" s="4">
        <v>48.23</v>
      </c>
      <c r="O473" s="4">
        <v>48.7</v>
      </c>
      <c r="P473" s="4">
        <v>52.59</v>
      </c>
      <c r="Q473" s="4">
        <v>58.23</v>
      </c>
      <c r="R473" s="6">
        <v>61.41</v>
      </c>
      <c r="S473" s="6">
        <v>60.28</v>
      </c>
      <c r="T473" s="4">
        <v>51.93</v>
      </c>
      <c r="U473" s="4">
        <v>58.79</v>
      </c>
      <c r="V473" s="4">
        <v>42.61</v>
      </c>
      <c r="W473" s="4">
        <v>39.69</v>
      </c>
      <c r="X473" s="4">
        <v>55.6</v>
      </c>
      <c r="Y473" s="4">
        <v>57.85</v>
      </c>
    </row>
    <row r="474" spans="1:25" ht="15" customHeight="1" x14ac:dyDescent="0.45">
      <c r="A474" s="3">
        <v>45582</v>
      </c>
      <c r="B474" s="4">
        <v>45.13</v>
      </c>
      <c r="C474" s="4">
        <v>47.2</v>
      </c>
      <c r="D474" s="4">
        <v>47.49</v>
      </c>
      <c r="E474" s="4">
        <v>41.33</v>
      </c>
      <c r="F474" s="4">
        <v>52.62</v>
      </c>
      <c r="G474" s="4">
        <v>45.03</v>
      </c>
      <c r="H474" s="4">
        <v>51.98</v>
      </c>
      <c r="I474" s="6">
        <v>64.989999999999995</v>
      </c>
      <c r="J474" s="4">
        <v>43.34</v>
      </c>
      <c r="K474" s="4">
        <v>57.71</v>
      </c>
      <c r="L474" s="4">
        <v>53.84</v>
      </c>
      <c r="M474" s="4">
        <v>44.09</v>
      </c>
      <c r="N474" s="4">
        <v>44.06</v>
      </c>
      <c r="O474" s="4">
        <v>51.34</v>
      </c>
      <c r="P474" s="4">
        <v>53.25</v>
      </c>
      <c r="Q474" s="4">
        <v>55.12</v>
      </c>
      <c r="R474" s="6">
        <v>60.61</v>
      </c>
      <c r="S474" s="4">
        <v>57.49</v>
      </c>
      <c r="T474" s="4">
        <v>51.57</v>
      </c>
      <c r="U474" s="4">
        <v>58.46</v>
      </c>
      <c r="V474" s="4">
        <v>45.88</v>
      </c>
      <c r="W474" s="4">
        <v>40.69</v>
      </c>
      <c r="X474" s="4">
        <v>53.29</v>
      </c>
      <c r="Y474" s="6">
        <v>61.38</v>
      </c>
    </row>
    <row r="475" spans="1:25" ht="15" customHeight="1" x14ac:dyDescent="0.45">
      <c r="A475" s="3">
        <v>45581</v>
      </c>
      <c r="B475" s="4">
        <v>50.55</v>
      </c>
      <c r="C475" s="4">
        <v>51.28</v>
      </c>
      <c r="D475" s="4">
        <v>49.9</v>
      </c>
      <c r="E475" s="4">
        <v>43.01</v>
      </c>
      <c r="F475" s="4">
        <v>58.97</v>
      </c>
      <c r="G475" s="4">
        <v>48.55</v>
      </c>
      <c r="H475" s="4">
        <v>57.02</v>
      </c>
      <c r="I475" s="4">
        <v>55.47</v>
      </c>
      <c r="J475" s="4">
        <v>41.13</v>
      </c>
      <c r="K475" s="4">
        <v>57.14</v>
      </c>
      <c r="L475" s="4">
        <v>57.45</v>
      </c>
      <c r="M475" s="4">
        <v>40.29</v>
      </c>
      <c r="N475" s="4">
        <v>45.19</v>
      </c>
      <c r="O475" s="4">
        <v>44.5</v>
      </c>
      <c r="P475" s="4">
        <v>53.18</v>
      </c>
      <c r="Q475" s="4">
        <v>58.9</v>
      </c>
      <c r="R475" s="6">
        <v>61.92</v>
      </c>
      <c r="S475" s="6">
        <v>61.33</v>
      </c>
      <c r="T475" s="4">
        <v>56.53</v>
      </c>
      <c r="U475" s="4">
        <v>58.32</v>
      </c>
      <c r="V475" s="4">
        <v>45.96</v>
      </c>
      <c r="W475" s="4">
        <v>38.56</v>
      </c>
      <c r="X475" s="4">
        <v>57.14</v>
      </c>
      <c r="Y475" s="4">
        <v>52.2</v>
      </c>
    </row>
    <row r="476" spans="1:25" ht="15" customHeight="1" x14ac:dyDescent="0.45">
      <c r="A476" s="3">
        <v>45580</v>
      </c>
      <c r="B476" s="4">
        <v>50.83</v>
      </c>
      <c r="C476" s="4">
        <v>54.99</v>
      </c>
      <c r="D476" s="4">
        <v>52.24</v>
      </c>
      <c r="E476" s="4">
        <v>46.42</v>
      </c>
      <c r="F476" s="6">
        <v>65.349999999999994</v>
      </c>
      <c r="G476" s="4">
        <v>45.35</v>
      </c>
      <c r="H476" s="6">
        <v>60.54</v>
      </c>
      <c r="I476" s="4">
        <v>57.94</v>
      </c>
      <c r="J476" s="4">
        <v>45.38</v>
      </c>
      <c r="K476" s="4">
        <v>59.92</v>
      </c>
      <c r="L476" s="4">
        <v>55.19</v>
      </c>
      <c r="M476" s="4">
        <v>43.22</v>
      </c>
      <c r="N476" s="4">
        <v>46.98</v>
      </c>
      <c r="O476" s="4">
        <v>44.55</v>
      </c>
      <c r="P476" s="4">
        <v>45.04</v>
      </c>
      <c r="Q476" s="4">
        <v>52.09</v>
      </c>
      <c r="R476" s="6">
        <v>62.49</v>
      </c>
      <c r="S476" s="4">
        <v>58.92</v>
      </c>
      <c r="T476" s="4">
        <v>55.13</v>
      </c>
      <c r="U476" s="4">
        <v>59.37</v>
      </c>
      <c r="V476" s="4">
        <v>50.58</v>
      </c>
      <c r="W476" s="4">
        <v>42.36</v>
      </c>
      <c r="X476" s="4">
        <v>56.85</v>
      </c>
      <c r="Y476" s="4">
        <v>58.34</v>
      </c>
    </row>
    <row r="477" spans="1:25" ht="15" customHeight="1" x14ac:dyDescent="0.45">
      <c r="A477" s="3">
        <v>45579</v>
      </c>
      <c r="B477" s="4">
        <v>50.49</v>
      </c>
      <c r="C477" s="6">
        <v>64.28</v>
      </c>
      <c r="D477" s="6">
        <v>65.290000000000006</v>
      </c>
      <c r="E477" s="4">
        <v>51.73</v>
      </c>
      <c r="F477" s="4">
        <v>59.17</v>
      </c>
      <c r="G477" s="4">
        <v>46.6</v>
      </c>
      <c r="H477" s="6">
        <v>64.48</v>
      </c>
      <c r="I477" s="4">
        <v>55.37</v>
      </c>
      <c r="J477" s="4">
        <v>44.5</v>
      </c>
      <c r="K477" s="4">
        <v>56.04</v>
      </c>
      <c r="L477" s="4">
        <v>53.16</v>
      </c>
      <c r="M477" s="4">
        <v>43.73</v>
      </c>
      <c r="N477" s="4">
        <v>46.18</v>
      </c>
      <c r="O477" s="4">
        <v>44.32</v>
      </c>
      <c r="P477" s="4">
        <v>46.01</v>
      </c>
      <c r="Q477" s="4">
        <v>52.28</v>
      </c>
      <c r="R477" s="6">
        <v>62.43</v>
      </c>
      <c r="S477" s="4">
        <v>57.97</v>
      </c>
      <c r="T477" s="4">
        <v>54.29</v>
      </c>
      <c r="U477" s="4">
        <v>53.18</v>
      </c>
      <c r="V477" s="4">
        <v>49.07</v>
      </c>
      <c r="W477" s="4">
        <v>40</v>
      </c>
      <c r="X477" s="4">
        <v>49.9</v>
      </c>
      <c r="Y477" s="4">
        <v>57.87</v>
      </c>
    </row>
    <row r="478" spans="1:25" ht="15" customHeight="1" x14ac:dyDescent="0.45">
      <c r="A478" s="3">
        <v>45576</v>
      </c>
      <c r="B478" s="4">
        <v>45.64</v>
      </c>
      <c r="C478" s="4">
        <v>55.56</v>
      </c>
      <c r="D478" s="4">
        <v>49.19</v>
      </c>
      <c r="E478" s="4">
        <v>52.53</v>
      </c>
      <c r="F478" s="4">
        <v>58.72</v>
      </c>
      <c r="G478" s="4">
        <v>49.49</v>
      </c>
      <c r="H478" s="6">
        <v>65.72</v>
      </c>
      <c r="I478" s="4">
        <v>51.46</v>
      </c>
      <c r="J478" s="4">
        <v>41.03</v>
      </c>
      <c r="K478" s="4">
        <v>53.33</v>
      </c>
      <c r="L478" s="4">
        <v>53.03</v>
      </c>
      <c r="M478" s="4">
        <v>42.03</v>
      </c>
      <c r="N478" s="4">
        <v>39.68</v>
      </c>
      <c r="O478" s="4">
        <v>43.14</v>
      </c>
      <c r="P478" s="4">
        <v>41.97</v>
      </c>
      <c r="Q478" s="4">
        <v>48.2</v>
      </c>
      <c r="R478" s="4">
        <v>56.25</v>
      </c>
      <c r="S478" s="4">
        <v>53.73</v>
      </c>
      <c r="T478" s="4">
        <v>48.52</v>
      </c>
      <c r="U478" s="4">
        <v>53.21</v>
      </c>
      <c r="V478" s="4">
        <v>46.15</v>
      </c>
      <c r="W478" s="4">
        <v>34.93</v>
      </c>
      <c r="X478" s="4">
        <v>52.79</v>
      </c>
      <c r="Y478" s="4">
        <v>51.26</v>
      </c>
    </row>
    <row r="479" spans="1:25" ht="15" customHeight="1" x14ac:dyDescent="0.45">
      <c r="A479" s="3">
        <v>45575</v>
      </c>
      <c r="B479" s="4">
        <v>47.64</v>
      </c>
      <c r="C479" s="6">
        <v>61.75</v>
      </c>
      <c r="D479" s="4">
        <v>47.95</v>
      </c>
      <c r="E479" s="4">
        <v>57.41</v>
      </c>
      <c r="F479" s="4">
        <v>54.1</v>
      </c>
      <c r="G479" s="4">
        <v>45.8</v>
      </c>
      <c r="H479" s="6">
        <v>68.650000000000006</v>
      </c>
      <c r="I479" s="4">
        <v>53.48</v>
      </c>
      <c r="J479" s="4">
        <v>41.88</v>
      </c>
      <c r="K479" s="4">
        <v>52.64</v>
      </c>
      <c r="L479" s="4">
        <v>53.02</v>
      </c>
      <c r="M479" s="4">
        <v>40.450000000000003</v>
      </c>
      <c r="N479" s="4">
        <v>39.65</v>
      </c>
      <c r="O479" s="4">
        <v>43.22</v>
      </c>
      <c r="P479" s="4">
        <v>43.39</v>
      </c>
      <c r="Q479" s="4">
        <v>46.74</v>
      </c>
      <c r="R479" s="4">
        <v>54.48</v>
      </c>
      <c r="S479" s="4">
        <v>51.1</v>
      </c>
      <c r="T479" s="4">
        <v>47</v>
      </c>
      <c r="U479" s="4">
        <v>50.85</v>
      </c>
      <c r="V479" s="4">
        <v>47.26</v>
      </c>
      <c r="W479" s="4">
        <v>32.53</v>
      </c>
      <c r="X479" s="4">
        <v>51.44</v>
      </c>
      <c r="Y479" s="4">
        <v>52.53</v>
      </c>
    </row>
    <row r="480" spans="1:25" ht="15" customHeight="1" x14ac:dyDescent="0.45">
      <c r="A480" s="3">
        <v>45574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" customHeight="1" x14ac:dyDescent="0.45">
      <c r="A481" s="3">
        <v>45573</v>
      </c>
      <c r="B481" s="4">
        <v>42.29</v>
      </c>
      <c r="C481" s="6">
        <v>62.32</v>
      </c>
      <c r="D481" s="4">
        <v>45.76</v>
      </c>
      <c r="E481" s="4">
        <v>56.17</v>
      </c>
      <c r="F481" s="4">
        <v>51.77</v>
      </c>
      <c r="G481" s="4">
        <v>45.3</v>
      </c>
      <c r="H481" s="6">
        <v>69.89</v>
      </c>
      <c r="I481" s="4">
        <v>53.02</v>
      </c>
      <c r="J481" s="4">
        <v>43.3</v>
      </c>
      <c r="K481" s="4">
        <v>47.82</v>
      </c>
      <c r="L481" s="4">
        <v>50.67</v>
      </c>
      <c r="M481" s="4">
        <v>41.68</v>
      </c>
      <c r="N481" s="4">
        <v>40.85</v>
      </c>
      <c r="O481" s="4">
        <v>45.06</v>
      </c>
      <c r="P481" s="4">
        <v>42.67</v>
      </c>
      <c r="Q481" s="4">
        <v>44.17</v>
      </c>
      <c r="R481" s="4">
        <v>51.89</v>
      </c>
      <c r="S481" s="4">
        <v>51.43</v>
      </c>
      <c r="T481" s="4">
        <v>44.35</v>
      </c>
      <c r="U481" s="4">
        <v>49.87</v>
      </c>
      <c r="V481" s="4">
        <v>47.1</v>
      </c>
      <c r="W481" s="7">
        <v>20.78</v>
      </c>
      <c r="X481" s="4">
        <v>50.72</v>
      </c>
      <c r="Y481" s="4">
        <v>53.48</v>
      </c>
    </row>
    <row r="482" spans="1:25" ht="15" customHeight="1" x14ac:dyDescent="0.45">
      <c r="A482" s="3">
        <v>45572</v>
      </c>
      <c r="B482" s="4">
        <v>47.28</v>
      </c>
      <c r="C482" s="5">
        <v>70.739999999999995</v>
      </c>
      <c r="D482" s="4">
        <v>48.09</v>
      </c>
      <c r="E482" s="6">
        <v>60.52</v>
      </c>
      <c r="F482" s="4">
        <v>51.69</v>
      </c>
      <c r="G482" s="4">
        <v>46.12</v>
      </c>
      <c r="H482" s="5">
        <v>71.2</v>
      </c>
      <c r="I482" s="4">
        <v>55.58</v>
      </c>
      <c r="J482" s="4">
        <v>45.36</v>
      </c>
      <c r="K482" s="4">
        <v>48.97</v>
      </c>
      <c r="L482" s="4">
        <v>50.66</v>
      </c>
      <c r="M482" s="4">
        <v>44.67</v>
      </c>
      <c r="N482" s="4">
        <v>41.37</v>
      </c>
      <c r="O482" s="4">
        <v>41.27</v>
      </c>
      <c r="P482" s="4">
        <v>43.82</v>
      </c>
      <c r="Q482" s="4">
        <v>53.68</v>
      </c>
      <c r="R482" s="4">
        <v>52.45</v>
      </c>
      <c r="S482" s="4">
        <v>51.53</v>
      </c>
      <c r="T482" s="4">
        <v>46.31</v>
      </c>
      <c r="U482" s="4">
        <v>49.33</v>
      </c>
      <c r="V482" s="4">
        <v>49.37</v>
      </c>
      <c r="W482" s="7">
        <v>24.61</v>
      </c>
      <c r="X482" s="4">
        <v>50.45</v>
      </c>
      <c r="Y482" s="4">
        <v>50.9</v>
      </c>
    </row>
    <row r="483" spans="1:25" ht="15" customHeight="1" x14ac:dyDescent="0.45">
      <c r="A483" s="3">
        <v>45569</v>
      </c>
      <c r="B483" s="4">
        <v>42.51</v>
      </c>
      <c r="C483" s="6">
        <v>69.98</v>
      </c>
      <c r="D483" s="4">
        <v>44.21</v>
      </c>
      <c r="E483" s="4">
        <v>55.31</v>
      </c>
      <c r="F483" s="4">
        <v>51.35</v>
      </c>
      <c r="G483" s="4">
        <v>42.18</v>
      </c>
      <c r="H483" s="6">
        <v>67.180000000000007</v>
      </c>
      <c r="I483" s="4">
        <v>47.58</v>
      </c>
      <c r="J483" s="4">
        <v>39.369999999999997</v>
      </c>
      <c r="K483" s="4">
        <v>46.55</v>
      </c>
      <c r="L483" s="4">
        <v>46.56</v>
      </c>
      <c r="M483" s="4">
        <v>39.83</v>
      </c>
      <c r="N483" s="4">
        <v>42.56</v>
      </c>
      <c r="O483" s="4">
        <v>41.41</v>
      </c>
      <c r="P483" s="4">
        <v>45.14</v>
      </c>
      <c r="Q483" s="4">
        <v>52.07</v>
      </c>
      <c r="R483" s="4">
        <v>48.06</v>
      </c>
      <c r="S483" s="4">
        <v>50.78</v>
      </c>
      <c r="T483" s="4">
        <v>43.36</v>
      </c>
      <c r="U483" s="4">
        <v>51.13</v>
      </c>
      <c r="V483" s="4">
        <v>42.96</v>
      </c>
      <c r="W483" s="7">
        <v>23.68</v>
      </c>
      <c r="X483" s="4">
        <v>53.93</v>
      </c>
      <c r="Y483" s="4">
        <v>50.58</v>
      </c>
    </row>
    <row r="484" spans="1:25" ht="15" customHeight="1" x14ac:dyDescent="0.45">
      <c r="A484" s="3">
        <v>45568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" customHeight="1" x14ac:dyDescent="0.45">
      <c r="A485" s="3">
        <v>45567</v>
      </c>
      <c r="B485" s="4">
        <v>41.17</v>
      </c>
      <c r="C485" s="6">
        <v>69.61</v>
      </c>
      <c r="D485" s="4">
        <v>42.72</v>
      </c>
      <c r="E485" s="4">
        <v>58.21</v>
      </c>
      <c r="F485" s="4">
        <v>46.92</v>
      </c>
      <c r="G485" s="4">
        <v>39.11</v>
      </c>
      <c r="H485" s="6">
        <v>65.180000000000007</v>
      </c>
      <c r="I485" s="4">
        <v>46.54</v>
      </c>
      <c r="J485" s="4">
        <v>39.96</v>
      </c>
      <c r="K485" s="4">
        <v>44.68</v>
      </c>
      <c r="L485" s="4">
        <v>42.85</v>
      </c>
      <c r="M485" s="4">
        <v>40.590000000000003</v>
      </c>
      <c r="N485" s="4">
        <v>39.840000000000003</v>
      </c>
      <c r="O485" s="4">
        <v>41.62</v>
      </c>
      <c r="P485" s="4">
        <v>54.94</v>
      </c>
      <c r="Q485" s="4">
        <v>44.28</v>
      </c>
      <c r="R485" s="4">
        <v>45.64</v>
      </c>
      <c r="S485" s="4">
        <v>45.64</v>
      </c>
      <c r="T485" s="4">
        <v>39.22</v>
      </c>
      <c r="U485" s="4">
        <v>47.61</v>
      </c>
      <c r="V485" s="4">
        <v>42.22</v>
      </c>
      <c r="W485" s="7">
        <v>25.39</v>
      </c>
      <c r="X485" s="4">
        <v>50.59</v>
      </c>
      <c r="Y485" s="4">
        <v>50.23</v>
      </c>
    </row>
    <row r="486" spans="1:25" ht="15" customHeight="1" x14ac:dyDescent="0.45">
      <c r="A486" s="3">
        <v>45566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" customHeight="1" x14ac:dyDescent="0.45">
      <c r="A487" s="3">
        <v>45565</v>
      </c>
      <c r="B487" s="4">
        <v>49.91</v>
      </c>
      <c r="C487" s="6">
        <v>68.459999999999994</v>
      </c>
      <c r="D487" s="4">
        <v>47.16</v>
      </c>
      <c r="E487" s="6">
        <v>64.39</v>
      </c>
      <c r="F487" s="4">
        <v>49.47</v>
      </c>
      <c r="G487" s="4">
        <v>43.75</v>
      </c>
      <c r="H487" s="6">
        <v>66.72</v>
      </c>
      <c r="I487" s="4">
        <v>50.23</v>
      </c>
      <c r="J487" s="4">
        <v>42.05</v>
      </c>
      <c r="K487" s="4">
        <v>47.31</v>
      </c>
      <c r="L487" s="4">
        <v>44.95</v>
      </c>
      <c r="M487" s="4">
        <v>45.23</v>
      </c>
      <c r="N487" s="4">
        <v>46.12</v>
      </c>
      <c r="O487" s="4">
        <v>44.47</v>
      </c>
      <c r="P487" s="6">
        <v>63.96</v>
      </c>
      <c r="Q487" s="4">
        <v>47.29</v>
      </c>
      <c r="R487" s="4">
        <v>47.96</v>
      </c>
      <c r="S487" s="4">
        <v>45.46</v>
      </c>
      <c r="T487" s="4">
        <v>44.33</v>
      </c>
      <c r="U487" s="4">
        <v>50.99</v>
      </c>
      <c r="V487" s="4">
        <v>45.47</v>
      </c>
      <c r="W487" s="4">
        <v>31.68</v>
      </c>
      <c r="X487" s="4">
        <v>53.4</v>
      </c>
      <c r="Y487" s="4">
        <v>50.46</v>
      </c>
    </row>
    <row r="488" spans="1:25" ht="15" customHeight="1" x14ac:dyDescent="0.45">
      <c r="A488" s="3">
        <v>45562</v>
      </c>
      <c r="B488" s="4">
        <v>54.06</v>
      </c>
      <c r="C488" s="5">
        <v>71.489999999999995</v>
      </c>
      <c r="D488" s="4">
        <v>50.51</v>
      </c>
      <c r="E488" s="5">
        <v>70.28</v>
      </c>
      <c r="F488" s="4">
        <v>50.62</v>
      </c>
      <c r="G488" s="4">
        <v>45.52</v>
      </c>
      <c r="H488" s="5">
        <v>71.150000000000006</v>
      </c>
      <c r="I488" s="4">
        <v>54.16</v>
      </c>
      <c r="J488" s="4">
        <v>48.43</v>
      </c>
      <c r="K488" s="4">
        <v>51.73</v>
      </c>
      <c r="L488" s="4">
        <v>52.26</v>
      </c>
      <c r="M488" s="4">
        <v>51.28</v>
      </c>
      <c r="N488" s="4">
        <v>47.74</v>
      </c>
      <c r="O488" s="4">
        <v>45.22</v>
      </c>
      <c r="P488" s="5">
        <v>72.41</v>
      </c>
      <c r="Q488" s="4">
        <v>50.12</v>
      </c>
      <c r="R488" s="4">
        <v>53.01</v>
      </c>
      <c r="S488" s="4">
        <v>51.6</v>
      </c>
      <c r="T488" s="4">
        <v>47.67</v>
      </c>
      <c r="U488" s="4">
        <v>54.9</v>
      </c>
      <c r="V488" s="4">
        <v>52.99</v>
      </c>
      <c r="W488" s="4">
        <v>38.270000000000003</v>
      </c>
      <c r="X488" s="4">
        <v>55.57</v>
      </c>
      <c r="Y488" s="4">
        <v>55.91</v>
      </c>
    </row>
    <row r="489" spans="1:25" ht="15" customHeight="1" x14ac:dyDescent="0.45">
      <c r="A489" s="3">
        <v>45561</v>
      </c>
      <c r="B489" s="4">
        <v>53.66</v>
      </c>
      <c r="C489" s="6">
        <v>66.09</v>
      </c>
      <c r="D489" s="4">
        <v>51.95</v>
      </c>
      <c r="E489" s="6">
        <v>68.48</v>
      </c>
      <c r="F489" s="6">
        <v>62.26</v>
      </c>
      <c r="G489" s="4">
        <v>44.98</v>
      </c>
      <c r="H489" s="5">
        <v>70.06</v>
      </c>
      <c r="I489" s="4">
        <v>58.47</v>
      </c>
      <c r="J489" s="4">
        <v>49.18</v>
      </c>
      <c r="K489" s="4">
        <v>51.62</v>
      </c>
      <c r="L489" s="4">
        <v>58.88</v>
      </c>
      <c r="M489" s="4">
        <v>51.5</v>
      </c>
      <c r="N489" s="4">
        <v>45.4</v>
      </c>
      <c r="O489" s="4">
        <v>48.2</v>
      </c>
      <c r="P489" s="5">
        <v>70.61</v>
      </c>
      <c r="Q489" s="6">
        <v>61.1</v>
      </c>
      <c r="R489" s="4">
        <v>55.32</v>
      </c>
      <c r="S489" s="4">
        <v>50.26</v>
      </c>
      <c r="T489" s="4">
        <v>48.45</v>
      </c>
      <c r="U489" s="4">
        <v>59.51</v>
      </c>
      <c r="V489" s="4">
        <v>56.13</v>
      </c>
      <c r="W489" s="4">
        <v>44.06</v>
      </c>
      <c r="X489" s="4">
        <v>58.36</v>
      </c>
      <c r="Y489" s="4">
        <v>51.81</v>
      </c>
    </row>
    <row r="490" spans="1:25" ht="15" customHeight="1" x14ac:dyDescent="0.45">
      <c r="A490" s="3">
        <v>45560</v>
      </c>
      <c r="B490" s="4">
        <v>44.79</v>
      </c>
      <c r="C490" s="6">
        <v>63.78</v>
      </c>
      <c r="D490" s="4">
        <v>48.14</v>
      </c>
      <c r="E490" s="6">
        <v>64.61</v>
      </c>
      <c r="F490" s="6">
        <v>60.55</v>
      </c>
      <c r="G490" s="4">
        <v>42.54</v>
      </c>
      <c r="H490" s="6">
        <v>67.400000000000006</v>
      </c>
      <c r="I490" s="4">
        <v>52.3</v>
      </c>
      <c r="J490" s="4">
        <v>38.619999999999997</v>
      </c>
      <c r="K490" s="4">
        <v>43.31</v>
      </c>
      <c r="L490" s="4">
        <v>55.27</v>
      </c>
      <c r="M490" s="4">
        <v>45.19</v>
      </c>
      <c r="N490" s="4">
        <v>39.78</v>
      </c>
      <c r="O490" s="4">
        <v>44.36</v>
      </c>
      <c r="P490" s="6">
        <v>65</v>
      </c>
      <c r="Q490" s="4">
        <v>53.36</v>
      </c>
      <c r="R490" s="4">
        <v>45.5</v>
      </c>
      <c r="S490" s="4">
        <v>43.43</v>
      </c>
      <c r="T490" s="4">
        <v>42.24</v>
      </c>
      <c r="U490" s="4">
        <v>53.03</v>
      </c>
      <c r="V490" s="4">
        <v>46.41</v>
      </c>
      <c r="W490" s="4">
        <v>45.7</v>
      </c>
      <c r="X490" s="4">
        <v>52.44</v>
      </c>
      <c r="Y490" s="4">
        <v>42.84</v>
      </c>
    </row>
    <row r="491" spans="1:25" ht="15" customHeight="1" x14ac:dyDescent="0.45">
      <c r="A491" s="3">
        <v>45559</v>
      </c>
      <c r="B491" s="4">
        <v>47.79</v>
      </c>
      <c r="C491" s="4">
        <v>58.71</v>
      </c>
      <c r="D491" s="4">
        <v>52.43</v>
      </c>
      <c r="E491" s="6">
        <v>62.32</v>
      </c>
      <c r="F491" s="5">
        <v>70.45</v>
      </c>
      <c r="G491" s="4">
        <v>46.08</v>
      </c>
      <c r="H491" s="5">
        <v>70.739999999999995</v>
      </c>
      <c r="I491" s="4">
        <v>53.27</v>
      </c>
      <c r="J491" s="4">
        <v>40.380000000000003</v>
      </c>
      <c r="K491" s="4">
        <v>43.46</v>
      </c>
      <c r="L491" s="4">
        <v>57.53</v>
      </c>
      <c r="M491" s="4">
        <v>55.32</v>
      </c>
      <c r="N491" s="4">
        <v>43.82</v>
      </c>
      <c r="O491" s="4">
        <v>48.34</v>
      </c>
      <c r="P491" s="6">
        <v>64.58</v>
      </c>
      <c r="Q491" s="6">
        <v>63.37</v>
      </c>
      <c r="R491" s="4">
        <v>55.62</v>
      </c>
      <c r="S491" s="4">
        <v>55.61</v>
      </c>
      <c r="T491" s="4">
        <v>51.82</v>
      </c>
      <c r="U491" s="4">
        <v>58.06</v>
      </c>
      <c r="V491" s="4">
        <v>49.6</v>
      </c>
      <c r="W491" s="4">
        <v>49.9</v>
      </c>
      <c r="X491" s="4">
        <v>56.21</v>
      </c>
      <c r="Y491" s="4">
        <v>45.62</v>
      </c>
    </row>
    <row r="492" spans="1:25" ht="15" customHeight="1" x14ac:dyDescent="0.45">
      <c r="A492" s="3">
        <v>45558</v>
      </c>
      <c r="B492" s="4">
        <v>47.8</v>
      </c>
      <c r="C492" s="4">
        <v>52.44</v>
      </c>
      <c r="D492" s="4">
        <v>46.27</v>
      </c>
      <c r="E492" s="4">
        <v>51.86</v>
      </c>
      <c r="F492" s="5">
        <v>70.02</v>
      </c>
      <c r="G492" s="4">
        <v>41.98</v>
      </c>
      <c r="H492" s="6">
        <v>69.77</v>
      </c>
      <c r="I492" s="4">
        <v>48.81</v>
      </c>
      <c r="J492" s="4">
        <v>36.19</v>
      </c>
      <c r="K492" s="4">
        <v>38.799999999999997</v>
      </c>
      <c r="L492" s="4">
        <v>55.12</v>
      </c>
      <c r="M492" s="4">
        <v>51.67</v>
      </c>
      <c r="N492" s="4">
        <v>44.85</v>
      </c>
      <c r="O492" s="4">
        <v>43.53</v>
      </c>
      <c r="P492" s="6">
        <v>60.46</v>
      </c>
      <c r="Q492" s="6">
        <v>63.09</v>
      </c>
      <c r="R492" s="4">
        <v>54.97</v>
      </c>
      <c r="S492" s="4">
        <v>57.28</v>
      </c>
      <c r="T492" s="4">
        <v>50.97</v>
      </c>
      <c r="U492" s="4">
        <v>54.79</v>
      </c>
      <c r="V492" s="4">
        <v>44.16</v>
      </c>
      <c r="W492" s="4">
        <v>51.55</v>
      </c>
      <c r="X492" s="4">
        <v>53.87</v>
      </c>
      <c r="Y492" s="4">
        <v>40.03</v>
      </c>
    </row>
    <row r="493" spans="1:25" ht="15" customHeight="1" x14ac:dyDescent="0.45">
      <c r="A493" s="3">
        <v>45555</v>
      </c>
      <c r="B493" s="4">
        <v>43.31</v>
      </c>
      <c r="C493" s="4">
        <v>48.43</v>
      </c>
      <c r="D493" s="4">
        <v>44.97</v>
      </c>
      <c r="E493" s="4">
        <v>47.48</v>
      </c>
      <c r="F493" s="6">
        <v>67.239999999999995</v>
      </c>
      <c r="G493" s="4">
        <v>46.95</v>
      </c>
      <c r="H493" s="5">
        <v>70.75</v>
      </c>
      <c r="I493" s="4">
        <v>48.12</v>
      </c>
      <c r="J493" s="4">
        <v>34.619999999999997</v>
      </c>
      <c r="K493" s="4">
        <v>38.28</v>
      </c>
      <c r="L493" s="4">
        <v>56.99</v>
      </c>
      <c r="M493" s="4">
        <v>55.64</v>
      </c>
      <c r="N493" s="6">
        <v>60.46</v>
      </c>
      <c r="O493" s="4">
        <v>48.1</v>
      </c>
      <c r="P493" s="4">
        <v>59.87</v>
      </c>
      <c r="Q493" s="6">
        <v>63.02</v>
      </c>
      <c r="R493" s="4">
        <v>55.44</v>
      </c>
      <c r="S493" s="4">
        <v>56.95</v>
      </c>
      <c r="T493" s="4">
        <v>54.61</v>
      </c>
      <c r="U493" s="4">
        <v>50.3</v>
      </c>
      <c r="V493" s="4">
        <v>41.93</v>
      </c>
      <c r="W493" s="4">
        <v>54.88</v>
      </c>
      <c r="X493" s="4">
        <v>49.62</v>
      </c>
      <c r="Y493" s="4">
        <v>43.26</v>
      </c>
    </row>
    <row r="494" spans="1:25" ht="15" customHeight="1" x14ac:dyDescent="0.45">
      <c r="A494" s="3">
        <v>45554</v>
      </c>
      <c r="B494" s="4">
        <v>45.23</v>
      </c>
      <c r="C494" s="4">
        <v>48.77</v>
      </c>
      <c r="D494" s="4">
        <v>45.53</v>
      </c>
      <c r="E494" s="4">
        <v>48.8</v>
      </c>
      <c r="F494" s="6">
        <v>64.56</v>
      </c>
      <c r="G494" s="4">
        <v>47.19</v>
      </c>
      <c r="H494" s="6">
        <v>69.14</v>
      </c>
      <c r="I494" s="4">
        <v>47.9</v>
      </c>
      <c r="J494" s="4">
        <v>32.75</v>
      </c>
      <c r="K494" s="4">
        <v>38.85</v>
      </c>
      <c r="L494" s="4">
        <v>53.49</v>
      </c>
      <c r="M494" s="4">
        <v>55.17</v>
      </c>
      <c r="N494" s="4">
        <v>58.15</v>
      </c>
      <c r="O494" s="4">
        <v>51.48</v>
      </c>
      <c r="P494" s="4">
        <v>57.63</v>
      </c>
      <c r="Q494" s="6">
        <v>67.58</v>
      </c>
      <c r="R494" s="4">
        <v>54.96</v>
      </c>
      <c r="S494" s="4">
        <v>59.6</v>
      </c>
      <c r="T494" s="4">
        <v>55.06</v>
      </c>
      <c r="U494" s="4">
        <v>54.85</v>
      </c>
      <c r="V494" s="4">
        <v>38.76</v>
      </c>
      <c r="W494" s="4">
        <v>55.68</v>
      </c>
      <c r="X494" s="4">
        <v>52.91</v>
      </c>
      <c r="Y494" s="4">
        <v>45.08</v>
      </c>
    </row>
    <row r="495" spans="1:25" ht="15" customHeight="1" x14ac:dyDescent="0.45">
      <c r="A495" s="3">
        <v>45553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" customHeight="1" x14ac:dyDescent="0.45">
      <c r="A496" s="3">
        <v>45552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" customHeight="1" x14ac:dyDescent="0.45">
      <c r="A497" s="3">
        <v>45551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" customHeight="1" x14ac:dyDescent="0.45">
      <c r="A498" s="3">
        <v>45548</v>
      </c>
      <c r="B498" s="4">
        <v>40.31</v>
      </c>
      <c r="C498" s="4">
        <v>49.42</v>
      </c>
      <c r="D498" s="4">
        <v>41.27</v>
      </c>
      <c r="E498" s="4">
        <v>48.32</v>
      </c>
      <c r="F498" s="4">
        <v>56.89</v>
      </c>
      <c r="G498" s="4">
        <v>45.03</v>
      </c>
      <c r="H498" s="6">
        <v>66.069999999999993</v>
      </c>
      <c r="I498" s="4">
        <v>47.08</v>
      </c>
      <c r="J498" s="4">
        <v>35.32</v>
      </c>
      <c r="K498" s="4">
        <v>39.729999999999997</v>
      </c>
      <c r="L498" s="4">
        <v>47.61</v>
      </c>
      <c r="M498" s="4">
        <v>54.42</v>
      </c>
      <c r="N498" s="4">
        <v>57.6</v>
      </c>
      <c r="O498" s="4">
        <v>53.24</v>
      </c>
      <c r="P498" s="4">
        <v>52.88</v>
      </c>
      <c r="Q498" s="5">
        <v>70.34</v>
      </c>
      <c r="R498" s="4">
        <v>51.14</v>
      </c>
      <c r="S498" s="4">
        <v>57.61</v>
      </c>
      <c r="T498" s="4">
        <v>51.05</v>
      </c>
      <c r="U498" s="4">
        <v>53</v>
      </c>
      <c r="V498" s="4">
        <v>39.08</v>
      </c>
      <c r="W498" s="4">
        <v>48.77</v>
      </c>
      <c r="X498" s="4">
        <v>52.06</v>
      </c>
      <c r="Y498" s="4">
        <v>47.27</v>
      </c>
    </row>
    <row r="499" spans="1:25" ht="15" customHeight="1" x14ac:dyDescent="0.45">
      <c r="A499" s="3">
        <v>45547</v>
      </c>
      <c r="B499" s="4">
        <v>37.44</v>
      </c>
      <c r="C499" s="4">
        <v>45.43</v>
      </c>
      <c r="D499" s="4">
        <v>38.4</v>
      </c>
      <c r="E499" s="4">
        <v>49.76</v>
      </c>
      <c r="F499" s="4">
        <v>54.34</v>
      </c>
      <c r="G499" s="4">
        <v>40.020000000000003</v>
      </c>
      <c r="H499" s="4">
        <v>55.72</v>
      </c>
      <c r="I499" s="4">
        <v>44.66</v>
      </c>
      <c r="J499" s="4">
        <v>39.28</v>
      </c>
      <c r="K499" s="4">
        <v>40.04</v>
      </c>
      <c r="L499" s="4">
        <v>40.35</v>
      </c>
      <c r="M499" s="4">
        <v>52.28</v>
      </c>
      <c r="N499" s="4">
        <v>54.25</v>
      </c>
      <c r="O499" s="4">
        <v>49.06</v>
      </c>
      <c r="P499" s="4">
        <v>47.33</v>
      </c>
      <c r="Q499" s="6">
        <v>68.08</v>
      </c>
      <c r="R499" s="4">
        <v>43.52</v>
      </c>
      <c r="S499" s="4">
        <v>50.75</v>
      </c>
      <c r="T499" s="4">
        <v>47.91</v>
      </c>
      <c r="U499" s="4">
        <v>49.58</v>
      </c>
      <c r="V499" s="4">
        <v>40.619999999999997</v>
      </c>
      <c r="W499" s="4">
        <v>50.09</v>
      </c>
      <c r="X499" s="4">
        <v>47.7</v>
      </c>
      <c r="Y499" s="4">
        <v>50.89</v>
      </c>
    </row>
    <row r="500" spans="1:25" ht="15" customHeight="1" x14ac:dyDescent="0.45">
      <c r="A500" s="3">
        <v>45546</v>
      </c>
      <c r="B500" s="4">
        <v>33.049999999999997</v>
      </c>
      <c r="C500" s="4">
        <v>41.9</v>
      </c>
      <c r="D500" s="4">
        <v>32.39</v>
      </c>
      <c r="E500" s="4">
        <v>43.93</v>
      </c>
      <c r="F500" s="4">
        <v>52.42</v>
      </c>
      <c r="G500" s="4">
        <v>33.97</v>
      </c>
      <c r="H500" s="4">
        <v>48.71</v>
      </c>
      <c r="I500" s="4">
        <v>34.92</v>
      </c>
      <c r="J500" s="7">
        <v>29.83</v>
      </c>
      <c r="K500" s="4">
        <v>31.54</v>
      </c>
      <c r="L500" s="4">
        <v>31.57</v>
      </c>
      <c r="M500" s="4">
        <v>47.97</v>
      </c>
      <c r="N500" s="4">
        <v>51.96</v>
      </c>
      <c r="O500" s="4">
        <v>40.36</v>
      </c>
      <c r="P500" s="4">
        <v>43.13</v>
      </c>
      <c r="Q500" s="6">
        <v>66.12</v>
      </c>
      <c r="R500" s="4">
        <v>37.799999999999997</v>
      </c>
      <c r="S500" s="4">
        <v>44.75</v>
      </c>
      <c r="T500" s="4">
        <v>42.74</v>
      </c>
      <c r="U500" s="4">
        <v>41.06</v>
      </c>
      <c r="V500" s="7">
        <v>29.59</v>
      </c>
      <c r="W500" s="4">
        <v>50.49</v>
      </c>
      <c r="X500" s="4">
        <v>41.03</v>
      </c>
      <c r="Y500" s="4">
        <v>53.19</v>
      </c>
    </row>
    <row r="501" spans="1:25" ht="15" customHeight="1" x14ac:dyDescent="0.45">
      <c r="A501" s="3">
        <v>45545</v>
      </c>
      <c r="B501" s="4">
        <v>34.17</v>
      </c>
      <c r="C501" s="4">
        <v>40.659999999999997</v>
      </c>
      <c r="D501" s="4">
        <v>33.090000000000003</v>
      </c>
      <c r="E501" s="4">
        <v>37.01</v>
      </c>
      <c r="F501" s="4">
        <v>57.47</v>
      </c>
      <c r="G501" s="4">
        <v>36.25</v>
      </c>
      <c r="H501" s="4">
        <v>42.35</v>
      </c>
      <c r="I501" s="4">
        <v>32.31</v>
      </c>
      <c r="J501" s="7">
        <v>28.41</v>
      </c>
      <c r="K501" s="4">
        <v>30.1</v>
      </c>
      <c r="L501" s="4">
        <v>36.049999999999997</v>
      </c>
      <c r="M501" s="4">
        <v>48.02</v>
      </c>
      <c r="N501" s="4">
        <v>50.94</v>
      </c>
      <c r="O501" s="4">
        <v>38.200000000000003</v>
      </c>
      <c r="P501" s="4">
        <v>42.73</v>
      </c>
      <c r="Q501" s="6">
        <v>62.96</v>
      </c>
      <c r="R501" s="4">
        <v>45.39</v>
      </c>
      <c r="S501" s="4">
        <v>55.26</v>
      </c>
      <c r="T501" s="4">
        <v>48.72</v>
      </c>
      <c r="U501" s="4">
        <v>39.950000000000003</v>
      </c>
      <c r="V501" s="7">
        <v>29.49</v>
      </c>
      <c r="W501" s="4">
        <v>51.27</v>
      </c>
      <c r="X501" s="4">
        <v>39.64</v>
      </c>
      <c r="Y501" s="4">
        <v>47.81</v>
      </c>
    </row>
    <row r="502" spans="1:25" ht="15" customHeight="1" x14ac:dyDescent="0.45">
      <c r="A502" s="3">
        <v>45544</v>
      </c>
      <c r="B502" s="4">
        <v>34.24</v>
      </c>
      <c r="C502" s="4">
        <v>43.74</v>
      </c>
      <c r="D502" s="4">
        <v>34.380000000000003</v>
      </c>
      <c r="E502" s="4">
        <v>38.07</v>
      </c>
      <c r="F502" s="4">
        <v>52.04</v>
      </c>
      <c r="G502" s="4">
        <v>36.46</v>
      </c>
      <c r="H502" s="4">
        <v>41.74</v>
      </c>
      <c r="I502" s="4">
        <v>32.56</v>
      </c>
      <c r="J502" s="4">
        <v>31.19</v>
      </c>
      <c r="K502" s="4">
        <v>30.18</v>
      </c>
      <c r="L502" s="4">
        <v>36</v>
      </c>
      <c r="M502" s="4">
        <v>44.92</v>
      </c>
      <c r="N502" s="4">
        <v>53.28</v>
      </c>
      <c r="O502" s="4">
        <v>41.68</v>
      </c>
      <c r="P502" s="4">
        <v>40.9</v>
      </c>
      <c r="Q502" s="6">
        <v>63.64</v>
      </c>
      <c r="R502" s="4">
        <v>42.58</v>
      </c>
      <c r="S502" s="4">
        <v>52.5</v>
      </c>
      <c r="T502" s="4">
        <v>45.4</v>
      </c>
      <c r="U502" s="4">
        <v>39.380000000000003</v>
      </c>
      <c r="V502" s="4">
        <v>31.24</v>
      </c>
      <c r="W502" s="4">
        <v>47.36</v>
      </c>
      <c r="X502" s="4">
        <v>39.22</v>
      </c>
      <c r="Y502" s="4">
        <v>48.76</v>
      </c>
    </row>
    <row r="503" spans="1:25" ht="15" customHeight="1" x14ac:dyDescent="0.45">
      <c r="A503" s="3">
        <v>45541</v>
      </c>
      <c r="B503" s="7">
        <v>26.16</v>
      </c>
      <c r="C503" s="4">
        <v>39.94</v>
      </c>
      <c r="D503" s="4">
        <v>33.51</v>
      </c>
      <c r="E503" s="4">
        <v>36.200000000000003</v>
      </c>
      <c r="F503" s="4">
        <v>51.82</v>
      </c>
      <c r="G503" s="4">
        <v>35.369999999999997</v>
      </c>
      <c r="H503" s="4">
        <v>42.35</v>
      </c>
      <c r="I503" s="4">
        <v>30.65</v>
      </c>
      <c r="J503" s="4">
        <v>32.24</v>
      </c>
      <c r="K503" s="7">
        <v>27.48</v>
      </c>
      <c r="L503" s="4">
        <v>33.840000000000003</v>
      </c>
      <c r="M503" s="4">
        <v>45.59</v>
      </c>
      <c r="N503" s="4">
        <v>53.69</v>
      </c>
      <c r="O503" s="4">
        <v>38.479999999999997</v>
      </c>
      <c r="P503" s="4">
        <v>41.18</v>
      </c>
      <c r="Q503" s="6">
        <v>68.239999999999995</v>
      </c>
      <c r="R503" s="4">
        <v>45.7</v>
      </c>
      <c r="S503" s="4">
        <v>53.72</v>
      </c>
      <c r="T503" s="4">
        <v>50.13</v>
      </c>
      <c r="U503" s="4">
        <v>38.49</v>
      </c>
      <c r="V503" s="4">
        <v>31.67</v>
      </c>
      <c r="W503" s="4">
        <v>49.11</v>
      </c>
      <c r="X503" s="4">
        <v>38.369999999999997</v>
      </c>
      <c r="Y503" s="4">
        <v>47.04</v>
      </c>
    </row>
    <row r="504" spans="1:25" ht="15" customHeight="1" x14ac:dyDescent="0.45">
      <c r="A504" s="3">
        <v>45540</v>
      </c>
      <c r="B504" s="7">
        <v>28.39</v>
      </c>
      <c r="C504" s="4">
        <v>46.33</v>
      </c>
      <c r="D504" s="4">
        <v>38.17</v>
      </c>
      <c r="E504" s="4">
        <v>41.28</v>
      </c>
      <c r="F504" s="4">
        <v>47.56</v>
      </c>
      <c r="G504" s="4">
        <v>40.6</v>
      </c>
      <c r="H504" s="4">
        <v>48.36</v>
      </c>
      <c r="I504" s="4">
        <v>32.64</v>
      </c>
      <c r="J504" s="4">
        <v>34.520000000000003</v>
      </c>
      <c r="K504" s="7">
        <v>28.72</v>
      </c>
      <c r="L504" s="4">
        <v>35.549999999999997</v>
      </c>
      <c r="M504" s="4">
        <v>53.38</v>
      </c>
      <c r="N504" s="6">
        <v>61.22</v>
      </c>
      <c r="O504" s="4">
        <v>41.56</v>
      </c>
      <c r="P504" s="4">
        <v>46.1</v>
      </c>
      <c r="Q504" s="6">
        <v>66.87</v>
      </c>
      <c r="R504" s="4">
        <v>47.97</v>
      </c>
      <c r="S504" s="4">
        <v>56.82</v>
      </c>
      <c r="T504" s="4">
        <v>53.82</v>
      </c>
      <c r="U504" s="4">
        <v>43.99</v>
      </c>
      <c r="V504" s="4">
        <v>33.97</v>
      </c>
      <c r="W504" s="4">
        <v>44.78</v>
      </c>
      <c r="X504" s="4">
        <v>42.68</v>
      </c>
      <c r="Y504" s="4">
        <v>54.86</v>
      </c>
    </row>
    <row r="505" spans="1:25" ht="15" customHeight="1" x14ac:dyDescent="0.45">
      <c r="A505" s="3">
        <v>45539</v>
      </c>
      <c r="B505" s="7">
        <v>28.74</v>
      </c>
      <c r="C505" s="4">
        <v>42.8</v>
      </c>
      <c r="D505" s="4">
        <v>38.479999999999997</v>
      </c>
      <c r="E505" s="4">
        <v>41.62</v>
      </c>
      <c r="F505" s="4">
        <v>51.5</v>
      </c>
      <c r="G505" s="4">
        <v>40.97</v>
      </c>
      <c r="H505" s="4">
        <v>50.2</v>
      </c>
      <c r="I505" s="4">
        <v>34.950000000000003</v>
      </c>
      <c r="J505" s="4">
        <v>34.659999999999997</v>
      </c>
      <c r="K505" s="7">
        <v>29.98</v>
      </c>
      <c r="L505" s="4">
        <v>37.130000000000003</v>
      </c>
      <c r="M505" s="4">
        <v>55.42</v>
      </c>
      <c r="N505" s="4">
        <v>59.9</v>
      </c>
      <c r="O505" s="4">
        <v>45.36</v>
      </c>
      <c r="P505" s="4">
        <v>37.299999999999997</v>
      </c>
      <c r="Q505" s="6">
        <v>60.84</v>
      </c>
      <c r="R505" s="4">
        <v>47.82</v>
      </c>
      <c r="S505" s="4">
        <v>56.7</v>
      </c>
      <c r="T505" s="4">
        <v>56.28</v>
      </c>
      <c r="U505" s="4">
        <v>41</v>
      </c>
      <c r="V505" s="4">
        <v>34.85</v>
      </c>
      <c r="W505" s="4">
        <v>49</v>
      </c>
      <c r="X505" s="4">
        <v>36.840000000000003</v>
      </c>
      <c r="Y505" s="4">
        <v>48.59</v>
      </c>
    </row>
    <row r="506" spans="1:25" ht="15" customHeight="1" x14ac:dyDescent="0.45">
      <c r="A506" s="3">
        <v>45538</v>
      </c>
      <c r="B506" s="4">
        <v>33.520000000000003</v>
      </c>
      <c r="C506" s="4">
        <v>51.73</v>
      </c>
      <c r="D506" s="4">
        <v>43.34</v>
      </c>
      <c r="E506" s="4">
        <v>50.47</v>
      </c>
      <c r="F506" s="4">
        <v>59.15</v>
      </c>
      <c r="G506" s="4">
        <v>48.5</v>
      </c>
      <c r="H506" s="4">
        <v>58.71</v>
      </c>
      <c r="I506" s="4">
        <v>40.58</v>
      </c>
      <c r="J506" s="4">
        <v>41.57</v>
      </c>
      <c r="K506" s="4">
        <v>33.74</v>
      </c>
      <c r="L506" s="4">
        <v>41.4</v>
      </c>
      <c r="M506" s="6">
        <v>63.6</v>
      </c>
      <c r="N506" s="6">
        <v>63.98</v>
      </c>
      <c r="O506" s="4">
        <v>52.66</v>
      </c>
      <c r="P506" s="4">
        <v>44.46</v>
      </c>
      <c r="Q506" s="6">
        <v>64.459999999999994</v>
      </c>
      <c r="R506" s="4">
        <v>57.62</v>
      </c>
      <c r="S506" s="6">
        <v>62.45</v>
      </c>
      <c r="T506" s="6">
        <v>62.5</v>
      </c>
      <c r="U506" s="4">
        <v>52.66</v>
      </c>
      <c r="V506" s="4">
        <v>43.01</v>
      </c>
      <c r="W506" s="4">
        <v>51.46</v>
      </c>
      <c r="X506" s="4">
        <v>44.95</v>
      </c>
      <c r="Y506" s="4">
        <v>59.95</v>
      </c>
    </row>
    <row r="507" spans="1:25" ht="15" customHeight="1" x14ac:dyDescent="0.45">
      <c r="A507" s="3">
        <v>45537</v>
      </c>
      <c r="B507" s="4">
        <v>32.68</v>
      </c>
      <c r="C507" s="4">
        <v>49.08</v>
      </c>
      <c r="D507" s="4">
        <v>40.58</v>
      </c>
      <c r="E507" s="4">
        <v>49.99</v>
      </c>
      <c r="F507" s="4">
        <v>59.44</v>
      </c>
      <c r="G507" s="4">
        <v>46.27</v>
      </c>
      <c r="H507" s="4">
        <v>57.94</v>
      </c>
      <c r="I507" s="4">
        <v>41.5</v>
      </c>
      <c r="J507" s="4">
        <v>46.29</v>
      </c>
      <c r="K507" s="4">
        <v>34.35</v>
      </c>
      <c r="L507" s="4">
        <v>45.66</v>
      </c>
      <c r="M507" s="4">
        <v>54.63</v>
      </c>
      <c r="N507" s="6">
        <v>60</v>
      </c>
      <c r="O507" s="4">
        <v>53.29</v>
      </c>
      <c r="P507" s="4">
        <v>43.69</v>
      </c>
      <c r="Q507" s="4">
        <v>55.73</v>
      </c>
      <c r="R507" s="4">
        <v>52.57</v>
      </c>
      <c r="S507" s="4">
        <v>58.97</v>
      </c>
      <c r="T507" s="4">
        <v>56.09</v>
      </c>
      <c r="U507" s="4">
        <v>54.23</v>
      </c>
      <c r="V507" s="4">
        <v>47.41</v>
      </c>
      <c r="W507" s="4">
        <v>50.44</v>
      </c>
      <c r="X507" s="4">
        <v>48.06</v>
      </c>
      <c r="Y507" s="4">
        <v>56.32</v>
      </c>
    </row>
    <row r="508" spans="1:25" ht="15" customHeight="1" x14ac:dyDescent="0.45">
      <c r="A508" s="3">
        <v>45534</v>
      </c>
      <c r="B508" s="4">
        <v>33.53</v>
      </c>
      <c r="C508" s="4">
        <v>50.08</v>
      </c>
      <c r="D508" s="4">
        <v>42.8</v>
      </c>
      <c r="E508" s="4">
        <v>45.14</v>
      </c>
      <c r="F508" s="6">
        <v>65.69</v>
      </c>
      <c r="G508" s="4">
        <v>50.74</v>
      </c>
      <c r="H508" s="4">
        <v>49.6</v>
      </c>
      <c r="I508" s="4">
        <v>44.08</v>
      </c>
      <c r="J508" s="4">
        <v>42.97</v>
      </c>
      <c r="K508" s="4">
        <v>37.75</v>
      </c>
      <c r="L508" s="4">
        <v>51.41</v>
      </c>
      <c r="M508" s="4">
        <v>57.09</v>
      </c>
      <c r="N508" s="6">
        <v>64.06</v>
      </c>
      <c r="O508" s="4">
        <v>54.12</v>
      </c>
      <c r="P508" s="4">
        <v>45.88</v>
      </c>
      <c r="Q508" s="4">
        <v>52.9</v>
      </c>
      <c r="R508" s="4">
        <v>51.41</v>
      </c>
      <c r="S508" s="4">
        <v>57.69</v>
      </c>
      <c r="T508" s="4">
        <v>52.59</v>
      </c>
      <c r="U508" s="4">
        <v>56.3</v>
      </c>
      <c r="V508" s="4">
        <v>46.03</v>
      </c>
      <c r="W508" s="4">
        <v>54.12</v>
      </c>
      <c r="X508" s="4">
        <v>50.63</v>
      </c>
      <c r="Y508" s="6">
        <v>60.68</v>
      </c>
    </row>
    <row r="509" spans="1:25" ht="15" customHeight="1" x14ac:dyDescent="0.45">
      <c r="A509" s="3">
        <v>45533</v>
      </c>
      <c r="B509" s="7">
        <v>29.89</v>
      </c>
      <c r="C509" s="4">
        <v>49.29</v>
      </c>
      <c r="D509" s="4">
        <v>41.38</v>
      </c>
      <c r="E509" s="4">
        <v>43.52</v>
      </c>
      <c r="F509" s="6">
        <v>61.32</v>
      </c>
      <c r="G509" s="4">
        <v>50.26</v>
      </c>
      <c r="H509" s="4">
        <v>51.66</v>
      </c>
      <c r="I509" s="4">
        <v>41.95</v>
      </c>
      <c r="J509" s="4">
        <v>41.17</v>
      </c>
      <c r="K509" s="4">
        <v>36.25</v>
      </c>
      <c r="L509" s="4">
        <v>50.59</v>
      </c>
      <c r="M509" s="4">
        <v>57.11</v>
      </c>
      <c r="N509" s="6">
        <v>66.64</v>
      </c>
      <c r="O509" s="4">
        <v>54.16</v>
      </c>
      <c r="P509" s="4">
        <v>46.31</v>
      </c>
      <c r="Q509" s="4">
        <v>56.35</v>
      </c>
      <c r="R509" s="4">
        <v>52.23</v>
      </c>
      <c r="S509" s="4">
        <v>56.69</v>
      </c>
      <c r="T509" s="4">
        <v>51.39</v>
      </c>
      <c r="U509" s="4">
        <v>55.25</v>
      </c>
      <c r="V509" s="4">
        <v>43.52</v>
      </c>
      <c r="W509" s="4">
        <v>47.71</v>
      </c>
      <c r="X509" s="4">
        <v>49.35</v>
      </c>
      <c r="Y509" s="6">
        <v>60.38</v>
      </c>
    </row>
    <row r="510" spans="1:25" ht="15" customHeight="1" x14ac:dyDescent="0.45">
      <c r="A510" s="3">
        <v>45532</v>
      </c>
      <c r="B510" s="4">
        <v>34.090000000000003</v>
      </c>
      <c r="C510" s="4">
        <v>49.43</v>
      </c>
      <c r="D510" s="4">
        <v>45.52</v>
      </c>
      <c r="E510" s="4">
        <v>42.07</v>
      </c>
      <c r="F510" s="6">
        <v>68.5</v>
      </c>
      <c r="G510" s="4">
        <v>50.23</v>
      </c>
      <c r="H510" s="4">
        <v>48.65</v>
      </c>
      <c r="I510" s="4">
        <v>48.26</v>
      </c>
      <c r="J510" s="4">
        <v>45.07</v>
      </c>
      <c r="K510" s="4">
        <v>40.81</v>
      </c>
      <c r="L510" s="4">
        <v>50.81</v>
      </c>
      <c r="M510" s="4">
        <v>55.89</v>
      </c>
      <c r="N510" s="6">
        <v>69.05</v>
      </c>
      <c r="O510" s="4">
        <v>54.93</v>
      </c>
      <c r="P510" s="4">
        <v>51.78</v>
      </c>
      <c r="Q510" s="6">
        <v>60.41</v>
      </c>
      <c r="R510" s="4">
        <v>53.3</v>
      </c>
      <c r="S510" s="4">
        <v>56.17</v>
      </c>
      <c r="T510" s="4">
        <v>51.37</v>
      </c>
      <c r="U510" s="4">
        <v>54.09</v>
      </c>
      <c r="V510" s="4">
        <v>47.61</v>
      </c>
      <c r="W510" s="4">
        <v>49.39</v>
      </c>
      <c r="X510" s="4">
        <v>48.85</v>
      </c>
      <c r="Y510" s="4">
        <v>56.01</v>
      </c>
    </row>
    <row r="511" spans="1:25" ht="15" customHeight="1" x14ac:dyDescent="0.45">
      <c r="A511" s="3">
        <v>45531</v>
      </c>
      <c r="B511" s="4">
        <v>36.020000000000003</v>
      </c>
      <c r="C511" s="4">
        <v>53.81</v>
      </c>
      <c r="D511" s="4">
        <v>47.65</v>
      </c>
      <c r="E511" s="4">
        <v>44.94</v>
      </c>
      <c r="F511" s="6">
        <v>63.71</v>
      </c>
      <c r="G511" s="4">
        <v>57.39</v>
      </c>
      <c r="H511" s="4">
        <v>53.75</v>
      </c>
      <c r="I511" s="4">
        <v>44.51</v>
      </c>
      <c r="J511" s="4">
        <v>43.71</v>
      </c>
      <c r="K511" s="4">
        <v>40.6</v>
      </c>
      <c r="L511" s="4">
        <v>45.22</v>
      </c>
      <c r="M511" s="6">
        <v>61.05</v>
      </c>
      <c r="N511" s="5">
        <v>73.42</v>
      </c>
      <c r="O511" s="6">
        <v>62.3</v>
      </c>
      <c r="P511" s="4">
        <v>50.88</v>
      </c>
      <c r="Q511" s="6">
        <v>66.59</v>
      </c>
      <c r="R511" s="4">
        <v>59.37</v>
      </c>
      <c r="S511" s="6">
        <v>61.59</v>
      </c>
      <c r="T511" s="4">
        <v>54.43</v>
      </c>
      <c r="U511" s="4">
        <v>58.53</v>
      </c>
      <c r="V511" s="4">
        <v>45.39</v>
      </c>
      <c r="W511" s="4">
        <v>50.53</v>
      </c>
      <c r="X511" s="4">
        <v>54.65</v>
      </c>
      <c r="Y511" s="4">
        <v>52.88</v>
      </c>
    </row>
    <row r="512" spans="1:25" ht="15" customHeight="1" x14ac:dyDescent="0.45">
      <c r="A512" s="3">
        <v>45530</v>
      </c>
      <c r="B512" s="4">
        <v>33.32</v>
      </c>
      <c r="C512" s="4">
        <v>51.48</v>
      </c>
      <c r="D512" s="4">
        <v>47.13</v>
      </c>
      <c r="E512" s="4">
        <v>42.84</v>
      </c>
      <c r="F512" s="6">
        <v>65.069999999999993</v>
      </c>
      <c r="G512" s="4">
        <v>57.07</v>
      </c>
      <c r="H512" s="4">
        <v>52.53</v>
      </c>
      <c r="I512" s="4">
        <v>41.11</v>
      </c>
      <c r="J512" s="4">
        <v>44.89</v>
      </c>
      <c r="K512" s="4">
        <v>42.49</v>
      </c>
      <c r="L512" s="4">
        <v>45.5</v>
      </c>
      <c r="M512" s="6">
        <v>60.02</v>
      </c>
      <c r="N512" s="5">
        <v>70.12</v>
      </c>
      <c r="O512" s="6">
        <v>61.14</v>
      </c>
      <c r="P512" s="4">
        <v>56.43</v>
      </c>
      <c r="Q512" s="6">
        <v>65.709999999999994</v>
      </c>
      <c r="R512" s="6">
        <v>62.57</v>
      </c>
      <c r="S512" s="6">
        <v>66.83</v>
      </c>
      <c r="T512" s="4">
        <v>57.65</v>
      </c>
      <c r="U512" s="6">
        <v>62.19</v>
      </c>
      <c r="V512" s="4">
        <v>46.03</v>
      </c>
      <c r="W512" s="4">
        <v>51.88</v>
      </c>
      <c r="X512" s="4">
        <v>59.22</v>
      </c>
      <c r="Y512" s="4">
        <v>51.6</v>
      </c>
    </row>
    <row r="513" spans="1:25" ht="15" customHeight="1" x14ac:dyDescent="0.45">
      <c r="A513" s="3">
        <v>45527</v>
      </c>
      <c r="B513" s="4">
        <v>34.020000000000003</v>
      </c>
      <c r="C513" s="4">
        <v>52.17</v>
      </c>
      <c r="D513" s="4">
        <v>47.6</v>
      </c>
      <c r="E513" s="4">
        <v>42.42</v>
      </c>
      <c r="F513" s="6">
        <v>63.51</v>
      </c>
      <c r="G513" s="4">
        <v>55.44</v>
      </c>
      <c r="H513" s="4">
        <v>49.39</v>
      </c>
      <c r="I513" s="4">
        <v>42.41</v>
      </c>
      <c r="J513" s="4">
        <v>47.22</v>
      </c>
      <c r="K513" s="4">
        <v>44.94</v>
      </c>
      <c r="L513" s="4">
        <v>48.43</v>
      </c>
      <c r="M513" s="4">
        <v>56.82</v>
      </c>
      <c r="N513" s="6">
        <v>64.73</v>
      </c>
      <c r="O513" s="4">
        <v>59.3</v>
      </c>
      <c r="P513" s="4">
        <v>51.54</v>
      </c>
      <c r="Q513" s="6">
        <v>64.72</v>
      </c>
      <c r="R513" s="6">
        <v>60.46</v>
      </c>
      <c r="S513" s="6">
        <v>63.79</v>
      </c>
      <c r="T513" s="4">
        <v>57.97</v>
      </c>
      <c r="U513" s="4">
        <v>58.29</v>
      </c>
      <c r="V513" s="4">
        <v>47.93</v>
      </c>
      <c r="W513" s="4">
        <v>48.8</v>
      </c>
      <c r="X513" s="4">
        <v>53.28</v>
      </c>
      <c r="Y513" s="4">
        <v>50.57</v>
      </c>
    </row>
    <row r="514" spans="1:25" ht="15" customHeight="1" x14ac:dyDescent="0.45">
      <c r="A514" s="3">
        <v>45526</v>
      </c>
      <c r="B514" s="4">
        <v>36.49</v>
      </c>
      <c r="C514" s="4">
        <v>50.05</v>
      </c>
      <c r="D514" s="4">
        <v>48.69</v>
      </c>
      <c r="E514" s="4">
        <v>43.57</v>
      </c>
      <c r="F514" s="6">
        <v>61.99</v>
      </c>
      <c r="G514" s="4">
        <v>51.63</v>
      </c>
      <c r="H514" s="4">
        <v>52.18</v>
      </c>
      <c r="I514" s="4">
        <v>43.05</v>
      </c>
      <c r="J514" s="4">
        <v>49.6</v>
      </c>
      <c r="K514" s="4">
        <v>46.95</v>
      </c>
      <c r="L514" s="4">
        <v>46.06</v>
      </c>
      <c r="M514" s="4">
        <v>54.14</v>
      </c>
      <c r="N514" s="6">
        <v>62.76</v>
      </c>
      <c r="O514" s="4">
        <v>56.18</v>
      </c>
      <c r="P514" s="4">
        <v>50.7</v>
      </c>
      <c r="Q514" s="6">
        <v>61.15</v>
      </c>
      <c r="R514" s="4">
        <v>59.41</v>
      </c>
      <c r="S514" s="6">
        <v>63.63</v>
      </c>
      <c r="T514" s="4">
        <v>57.54</v>
      </c>
      <c r="U514" s="4">
        <v>57.3</v>
      </c>
      <c r="V514" s="4">
        <v>49.45</v>
      </c>
      <c r="W514" s="4">
        <v>48.25</v>
      </c>
      <c r="X514" s="4">
        <v>53.35</v>
      </c>
      <c r="Y514" s="4">
        <v>49.16</v>
      </c>
    </row>
    <row r="515" spans="1:25" ht="15" customHeight="1" x14ac:dyDescent="0.45">
      <c r="A515" s="3">
        <v>45525</v>
      </c>
      <c r="B515" s="4">
        <v>38.1</v>
      </c>
      <c r="C515" s="4">
        <v>48.18</v>
      </c>
      <c r="D515" s="4">
        <v>52.72</v>
      </c>
      <c r="E515" s="4">
        <v>39.81</v>
      </c>
      <c r="F515" s="6">
        <v>60.7</v>
      </c>
      <c r="G515" s="4">
        <v>55.14</v>
      </c>
      <c r="H515" s="4">
        <v>45.74</v>
      </c>
      <c r="I515" s="4">
        <v>46.64</v>
      </c>
      <c r="J515" s="4">
        <v>48.87</v>
      </c>
      <c r="K515" s="4">
        <v>50.34</v>
      </c>
      <c r="L515" s="4">
        <v>50.41</v>
      </c>
      <c r="M515" s="4">
        <v>51.87</v>
      </c>
      <c r="N515" s="6">
        <v>62.41</v>
      </c>
      <c r="O515" s="6">
        <v>60.86</v>
      </c>
      <c r="P515" s="4">
        <v>50.22</v>
      </c>
      <c r="Q515" s="6">
        <v>60.39</v>
      </c>
      <c r="R515" s="4">
        <v>59.56</v>
      </c>
      <c r="S515" s="6">
        <v>64.819999999999993</v>
      </c>
      <c r="T515" s="4">
        <v>58.2</v>
      </c>
      <c r="U515" s="4">
        <v>51.2</v>
      </c>
      <c r="V515" s="4">
        <v>49.04</v>
      </c>
      <c r="W515" s="4">
        <v>49.1</v>
      </c>
      <c r="X515" s="4">
        <v>45.08</v>
      </c>
      <c r="Y515" s="4">
        <v>41.48</v>
      </c>
    </row>
    <row r="516" spans="1:25" ht="15" customHeight="1" x14ac:dyDescent="0.45">
      <c r="A516" s="3">
        <v>45524</v>
      </c>
      <c r="B516" s="4">
        <v>39.21</v>
      </c>
      <c r="C516" s="4">
        <v>43.12</v>
      </c>
      <c r="D516" s="4">
        <v>55.4</v>
      </c>
      <c r="E516" s="4">
        <v>39.200000000000003</v>
      </c>
      <c r="F516" s="4">
        <v>55.4</v>
      </c>
      <c r="G516" s="4">
        <v>49.59</v>
      </c>
      <c r="H516" s="4">
        <v>42.65</v>
      </c>
      <c r="I516" s="4">
        <v>46.07</v>
      </c>
      <c r="J516" s="4">
        <v>49.26</v>
      </c>
      <c r="K516" s="4">
        <v>57.16</v>
      </c>
      <c r="L516" s="4">
        <v>52.4</v>
      </c>
      <c r="M516" s="4">
        <v>49.42</v>
      </c>
      <c r="N516" s="4">
        <v>55.84</v>
      </c>
      <c r="O516" s="4">
        <v>57.07</v>
      </c>
      <c r="P516" s="4">
        <v>46.71</v>
      </c>
      <c r="Q516" s="4">
        <v>57.39</v>
      </c>
      <c r="R516" s="6">
        <v>61.07</v>
      </c>
      <c r="S516" s="6">
        <v>63.85</v>
      </c>
      <c r="T516" s="4">
        <v>59.49</v>
      </c>
      <c r="U516" s="4">
        <v>47.91</v>
      </c>
      <c r="V516" s="4">
        <v>48.76</v>
      </c>
      <c r="W516" s="4">
        <v>49.78</v>
      </c>
      <c r="X516" s="4">
        <v>42.48</v>
      </c>
      <c r="Y516" s="4">
        <v>39.82</v>
      </c>
    </row>
    <row r="517" spans="1:25" ht="15" customHeight="1" x14ac:dyDescent="0.45">
      <c r="A517" s="3">
        <v>45523</v>
      </c>
      <c r="B517" s="4">
        <v>37.21</v>
      </c>
      <c r="C517" s="4">
        <v>41.26</v>
      </c>
      <c r="D517" s="4">
        <v>53.49</v>
      </c>
      <c r="E517" s="4">
        <v>36.770000000000003</v>
      </c>
      <c r="F517" s="6">
        <v>60.77</v>
      </c>
      <c r="G517" s="4">
        <v>47.35</v>
      </c>
      <c r="H517" s="4">
        <v>41.17</v>
      </c>
      <c r="I517" s="4">
        <v>46.26</v>
      </c>
      <c r="J517" s="4">
        <v>47.06</v>
      </c>
      <c r="K517" s="4">
        <v>59.65</v>
      </c>
      <c r="L517" s="4">
        <v>51.94</v>
      </c>
      <c r="M517" s="4">
        <v>49.12</v>
      </c>
      <c r="N517" s="4">
        <v>51.03</v>
      </c>
      <c r="O517" s="4">
        <v>52.14</v>
      </c>
      <c r="P517" s="4">
        <v>43.81</v>
      </c>
      <c r="Q517" s="4">
        <v>56.49</v>
      </c>
      <c r="R517" s="4">
        <v>56.82</v>
      </c>
      <c r="S517" s="4">
        <v>59.99</v>
      </c>
      <c r="T517" s="4">
        <v>53.39</v>
      </c>
      <c r="U517" s="4">
        <v>45.53</v>
      </c>
      <c r="V517" s="4">
        <v>47.28</v>
      </c>
      <c r="W517" s="4">
        <v>50.59</v>
      </c>
      <c r="X517" s="4">
        <v>39.26</v>
      </c>
      <c r="Y517" s="4">
        <v>38.020000000000003</v>
      </c>
    </row>
    <row r="518" spans="1:25" ht="15" customHeight="1" x14ac:dyDescent="0.45">
      <c r="A518" s="3">
        <v>45520</v>
      </c>
      <c r="B518" s="4">
        <v>39.9</v>
      </c>
      <c r="C518" s="4">
        <v>42.02</v>
      </c>
      <c r="D518" s="4">
        <v>52.79</v>
      </c>
      <c r="E518" s="4">
        <v>38.29</v>
      </c>
      <c r="F518" s="4">
        <v>59.59</v>
      </c>
      <c r="G518" s="4">
        <v>47.6</v>
      </c>
      <c r="H518" s="4">
        <v>43.32</v>
      </c>
      <c r="I518" s="4">
        <v>49.22</v>
      </c>
      <c r="J518" s="4">
        <v>51.47</v>
      </c>
      <c r="K518" s="4">
        <v>54.78</v>
      </c>
      <c r="L518" s="4">
        <v>52.9</v>
      </c>
      <c r="M518" s="4">
        <v>50.44</v>
      </c>
      <c r="N518" s="4">
        <v>55.99</v>
      </c>
      <c r="O518" s="4">
        <v>50.96</v>
      </c>
      <c r="P518" s="4">
        <v>47.3</v>
      </c>
      <c r="Q518" s="4">
        <v>52.93</v>
      </c>
      <c r="R518" s="4">
        <v>52.51</v>
      </c>
      <c r="S518" s="4">
        <v>57.23</v>
      </c>
      <c r="T518" s="4">
        <v>46.84</v>
      </c>
      <c r="U518" s="4">
        <v>44.83</v>
      </c>
      <c r="V518" s="4">
        <v>50.85</v>
      </c>
      <c r="W518" s="4">
        <v>51.8</v>
      </c>
      <c r="X518" s="4">
        <v>39.229999999999997</v>
      </c>
      <c r="Y518" s="4">
        <v>35.76</v>
      </c>
    </row>
    <row r="519" spans="1:25" ht="15" customHeight="1" x14ac:dyDescent="0.45">
      <c r="A519" s="3">
        <v>45519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" customHeight="1" x14ac:dyDescent="0.45">
      <c r="A520" s="3">
        <v>45518</v>
      </c>
      <c r="B520" s="4">
        <v>45.51</v>
      </c>
      <c r="C520" s="4">
        <v>40.43</v>
      </c>
      <c r="D520" s="4">
        <v>47.1</v>
      </c>
      <c r="E520" s="4">
        <v>38.31</v>
      </c>
      <c r="F520" s="4">
        <v>57.12</v>
      </c>
      <c r="G520" s="4">
        <v>49.24</v>
      </c>
      <c r="H520" s="4">
        <v>43.23</v>
      </c>
      <c r="I520" s="4">
        <v>43.76</v>
      </c>
      <c r="J520" s="4">
        <v>44.48</v>
      </c>
      <c r="K520" s="4">
        <v>51.56</v>
      </c>
      <c r="L520" s="4">
        <v>48.12</v>
      </c>
      <c r="M520" s="4">
        <v>44</v>
      </c>
      <c r="N520" s="4">
        <v>53.22</v>
      </c>
      <c r="O520" s="4">
        <v>52.09</v>
      </c>
      <c r="P520" s="4">
        <v>43.95</v>
      </c>
      <c r="Q520" s="4">
        <v>55.96</v>
      </c>
      <c r="R520" s="4">
        <v>49.62</v>
      </c>
      <c r="S520" s="4">
        <v>53.77</v>
      </c>
      <c r="T520" s="4">
        <v>44.76</v>
      </c>
      <c r="U520" s="4">
        <v>45.21</v>
      </c>
      <c r="V520" s="4">
        <v>44.83</v>
      </c>
      <c r="W520" s="4">
        <v>53.25</v>
      </c>
      <c r="X520" s="4">
        <v>41.75</v>
      </c>
      <c r="Y520" s="4">
        <v>31.9</v>
      </c>
    </row>
    <row r="521" spans="1:25" ht="15" customHeight="1" x14ac:dyDescent="0.45">
      <c r="A521" s="3">
        <v>45517</v>
      </c>
      <c r="B521" s="4">
        <v>44.96</v>
      </c>
      <c r="C521" s="4">
        <v>36.61</v>
      </c>
      <c r="D521" s="4">
        <v>43.53</v>
      </c>
      <c r="E521" s="4">
        <v>34.299999999999997</v>
      </c>
      <c r="F521" s="4">
        <v>56.75</v>
      </c>
      <c r="G521" s="4">
        <v>49.08</v>
      </c>
      <c r="H521" s="4">
        <v>38.729999999999997</v>
      </c>
      <c r="I521" s="4">
        <v>38.99</v>
      </c>
      <c r="J521" s="4">
        <v>40.700000000000003</v>
      </c>
      <c r="K521" s="4">
        <v>51.74</v>
      </c>
      <c r="L521" s="4">
        <v>47.5</v>
      </c>
      <c r="M521" s="4">
        <v>44.14</v>
      </c>
      <c r="N521" s="4">
        <v>52.57</v>
      </c>
      <c r="O521" s="4">
        <v>50.87</v>
      </c>
      <c r="P521" s="4">
        <v>42.82</v>
      </c>
      <c r="Q521" s="4">
        <v>55.94</v>
      </c>
      <c r="R521" s="4">
        <v>50.61</v>
      </c>
      <c r="S521" s="4">
        <v>52.43</v>
      </c>
      <c r="T521" s="4">
        <v>55.07</v>
      </c>
      <c r="U521" s="4">
        <v>45.27</v>
      </c>
      <c r="V521" s="4">
        <v>41.3</v>
      </c>
      <c r="W521" s="4">
        <v>50.12</v>
      </c>
      <c r="X521" s="4">
        <v>41.87</v>
      </c>
      <c r="Y521" s="4">
        <v>34.51</v>
      </c>
    </row>
    <row r="522" spans="1:25" ht="15" customHeight="1" x14ac:dyDescent="0.45">
      <c r="A522" s="3">
        <v>45516</v>
      </c>
      <c r="B522" s="4">
        <v>42.5</v>
      </c>
      <c r="C522" s="4">
        <v>37.6</v>
      </c>
      <c r="D522" s="4">
        <v>46.29</v>
      </c>
      <c r="E522" s="4">
        <v>35.35</v>
      </c>
      <c r="F522" s="6">
        <v>62.67</v>
      </c>
      <c r="G522" s="4">
        <v>50.91</v>
      </c>
      <c r="H522" s="4">
        <v>40.14</v>
      </c>
      <c r="I522" s="4">
        <v>40.81</v>
      </c>
      <c r="J522" s="4">
        <v>39.29</v>
      </c>
      <c r="K522" s="4">
        <v>55.98</v>
      </c>
      <c r="L522" s="4">
        <v>48.05</v>
      </c>
      <c r="M522" s="4">
        <v>46.32</v>
      </c>
      <c r="N522" s="4">
        <v>52.07</v>
      </c>
      <c r="O522" s="4">
        <v>54.58</v>
      </c>
      <c r="P522" s="4">
        <v>43.16</v>
      </c>
      <c r="Q522" s="4">
        <v>52.59</v>
      </c>
      <c r="R522" s="4">
        <v>48.23</v>
      </c>
      <c r="S522" s="4">
        <v>52.74</v>
      </c>
      <c r="T522" s="4">
        <v>48.47</v>
      </c>
      <c r="U522" s="4">
        <v>44.79</v>
      </c>
      <c r="V522" s="4">
        <v>41.32</v>
      </c>
      <c r="W522" s="4">
        <v>51.33</v>
      </c>
      <c r="X522" s="4">
        <v>38.14</v>
      </c>
      <c r="Y522" s="4">
        <v>36.049999999999997</v>
      </c>
    </row>
    <row r="523" spans="1:25" ht="15" customHeight="1" x14ac:dyDescent="0.45">
      <c r="A523" s="3">
        <v>45513</v>
      </c>
      <c r="B523" s="4">
        <v>42.51</v>
      </c>
      <c r="C523" s="4">
        <v>33.46</v>
      </c>
      <c r="D523" s="4">
        <v>45.04</v>
      </c>
      <c r="E523" s="4">
        <v>32.51</v>
      </c>
      <c r="F523" s="6">
        <v>61.66</v>
      </c>
      <c r="G523" s="4">
        <v>48.91</v>
      </c>
      <c r="H523" s="4">
        <v>38.22</v>
      </c>
      <c r="I523" s="4">
        <v>35.520000000000003</v>
      </c>
      <c r="J523" s="4">
        <v>35.83</v>
      </c>
      <c r="K523" s="4">
        <v>51.3</v>
      </c>
      <c r="L523" s="4">
        <v>46.61</v>
      </c>
      <c r="M523" s="4">
        <v>42.65</v>
      </c>
      <c r="N523" s="4">
        <v>45.28</v>
      </c>
      <c r="O523" s="4">
        <v>50.73</v>
      </c>
      <c r="P523" s="4">
        <v>41</v>
      </c>
      <c r="Q523" s="4">
        <v>54.65</v>
      </c>
      <c r="R523" s="4">
        <v>46.55</v>
      </c>
      <c r="S523" s="4">
        <v>51.2</v>
      </c>
      <c r="T523" s="4">
        <v>48.07</v>
      </c>
      <c r="U523" s="4">
        <v>42.77</v>
      </c>
      <c r="V523" s="4">
        <v>38.020000000000003</v>
      </c>
      <c r="W523" s="4">
        <v>46.47</v>
      </c>
      <c r="X523" s="4">
        <v>38.54</v>
      </c>
      <c r="Y523" s="4">
        <v>35.479999999999997</v>
      </c>
    </row>
    <row r="524" spans="1:25" ht="15" customHeight="1" x14ac:dyDescent="0.45">
      <c r="A524" s="3">
        <v>45512</v>
      </c>
      <c r="B524" s="4">
        <v>41.9</v>
      </c>
      <c r="C524" s="4">
        <v>32.42</v>
      </c>
      <c r="D524" s="4">
        <v>40.6</v>
      </c>
      <c r="E524" s="7">
        <v>27.27</v>
      </c>
      <c r="F524" s="6">
        <v>63.54</v>
      </c>
      <c r="G524" s="4">
        <v>43.83</v>
      </c>
      <c r="H524" s="4">
        <v>34.700000000000003</v>
      </c>
      <c r="I524" s="4">
        <v>32.9</v>
      </c>
      <c r="J524" s="4">
        <v>31.04</v>
      </c>
      <c r="K524" s="4">
        <v>49.94</v>
      </c>
      <c r="L524" s="4">
        <v>44.79</v>
      </c>
      <c r="M524" s="4">
        <v>37.74</v>
      </c>
      <c r="N524" s="4">
        <v>46.47</v>
      </c>
      <c r="O524" s="4">
        <v>48.27</v>
      </c>
      <c r="P524" s="4">
        <v>40.32</v>
      </c>
      <c r="Q524" s="4">
        <v>57.96</v>
      </c>
      <c r="R524" s="4">
        <v>45.41</v>
      </c>
      <c r="S524" s="4">
        <v>49.14</v>
      </c>
      <c r="T524" s="4">
        <v>45.29</v>
      </c>
      <c r="U524" s="4">
        <v>42.97</v>
      </c>
      <c r="V524" s="4">
        <v>33.81</v>
      </c>
      <c r="W524" s="4">
        <v>44.39</v>
      </c>
      <c r="X524" s="4">
        <v>39.89</v>
      </c>
      <c r="Y524" s="4">
        <v>42.01</v>
      </c>
    </row>
    <row r="525" spans="1:25" ht="15" customHeight="1" x14ac:dyDescent="0.45">
      <c r="A525" s="3">
        <v>45511</v>
      </c>
      <c r="B525" s="4">
        <v>42.12</v>
      </c>
      <c r="C525" s="4">
        <v>33.11</v>
      </c>
      <c r="D525" s="4">
        <v>38.68</v>
      </c>
      <c r="E525" s="7">
        <v>28.66</v>
      </c>
      <c r="F525" s="6">
        <v>62.28</v>
      </c>
      <c r="G525" s="4">
        <v>42.74</v>
      </c>
      <c r="H525" s="4">
        <v>36.03</v>
      </c>
      <c r="I525" s="7">
        <v>29.71</v>
      </c>
      <c r="J525" s="4">
        <v>33.36</v>
      </c>
      <c r="K525" s="4">
        <v>45.08</v>
      </c>
      <c r="L525" s="4">
        <v>41.78</v>
      </c>
      <c r="M525" s="4">
        <v>39.32</v>
      </c>
      <c r="N525" s="4">
        <v>49.52</v>
      </c>
      <c r="O525" s="4">
        <v>37.68</v>
      </c>
      <c r="P525" s="4">
        <v>40.119999999999997</v>
      </c>
      <c r="Q525" s="4">
        <v>55.29</v>
      </c>
      <c r="R525" s="4">
        <v>43.01</v>
      </c>
      <c r="S525" s="4">
        <v>45.09</v>
      </c>
      <c r="T525" s="4">
        <v>44.72</v>
      </c>
      <c r="U525" s="4">
        <v>40.36</v>
      </c>
      <c r="V525" s="4">
        <v>35.17</v>
      </c>
      <c r="W525" s="4">
        <v>50.92</v>
      </c>
      <c r="X525" s="4">
        <v>36.799999999999997</v>
      </c>
      <c r="Y525" s="4">
        <v>37.630000000000003</v>
      </c>
    </row>
    <row r="526" spans="1:25" ht="15" customHeight="1" x14ac:dyDescent="0.45">
      <c r="A526" s="3">
        <v>45510</v>
      </c>
      <c r="B526" s="4">
        <v>35.880000000000003</v>
      </c>
      <c r="C526" s="4">
        <v>31.45</v>
      </c>
      <c r="D526" s="7">
        <v>29.13</v>
      </c>
      <c r="E526" s="4">
        <v>31.74</v>
      </c>
      <c r="F526" s="4">
        <v>53.27</v>
      </c>
      <c r="G526" s="4">
        <v>36.99</v>
      </c>
      <c r="H526" s="4">
        <v>33.4</v>
      </c>
      <c r="I526" s="7">
        <v>25.96</v>
      </c>
      <c r="J526" s="7">
        <v>28.46</v>
      </c>
      <c r="K526" s="4">
        <v>35.56</v>
      </c>
      <c r="L526" s="4">
        <v>40.54</v>
      </c>
      <c r="M526" s="4">
        <v>35.29</v>
      </c>
      <c r="N526" s="4">
        <v>43.85</v>
      </c>
      <c r="O526" s="4">
        <v>36.68</v>
      </c>
      <c r="P526" s="4">
        <v>38.880000000000003</v>
      </c>
      <c r="Q526" s="4">
        <v>39.76</v>
      </c>
      <c r="R526" s="4">
        <v>37.56</v>
      </c>
      <c r="S526" s="4">
        <v>40.340000000000003</v>
      </c>
      <c r="T526" s="4">
        <v>37.130000000000003</v>
      </c>
      <c r="U526" s="4">
        <v>34.96</v>
      </c>
      <c r="V526" s="4">
        <v>30.59</v>
      </c>
      <c r="W526" s="4">
        <v>45.16</v>
      </c>
      <c r="X526" s="4">
        <v>32.409999999999997</v>
      </c>
      <c r="Y526" s="7">
        <v>26.06</v>
      </c>
    </row>
    <row r="527" spans="1:25" ht="15" customHeight="1" x14ac:dyDescent="0.45">
      <c r="A527" s="3">
        <v>45509</v>
      </c>
      <c r="B527" s="4">
        <v>30.25</v>
      </c>
      <c r="C527" s="7">
        <v>24.96</v>
      </c>
      <c r="D527" s="7">
        <v>17.36</v>
      </c>
      <c r="E527" s="7">
        <v>17.22</v>
      </c>
      <c r="F527" s="4">
        <v>45.84</v>
      </c>
      <c r="G527" s="7">
        <v>29.07</v>
      </c>
      <c r="H527" s="7">
        <v>23.1</v>
      </c>
      <c r="I527" s="7">
        <v>14.76</v>
      </c>
      <c r="J527" s="7">
        <v>21.31</v>
      </c>
      <c r="K527" s="7">
        <v>24.6</v>
      </c>
      <c r="L527" s="7">
        <v>29.75</v>
      </c>
      <c r="M527" s="4">
        <v>30.52</v>
      </c>
      <c r="N527" s="4">
        <v>34.9</v>
      </c>
      <c r="O527" s="4">
        <v>33.26</v>
      </c>
      <c r="P527" s="4">
        <v>30.03</v>
      </c>
      <c r="Q527" s="4">
        <v>40.950000000000003</v>
      </c>
      <c r="R527" s="4">
        <v>30.64</v>
      </c>
      <c r="S527" s="4">
        <v>32.94</v>
      </c>
      <c r="T527" s="4">
        <v>33.01</v>
      </c>
      <c r="U527" s="7">
        <v>21.78</v>
      </c>
      <c r="V527" s="7">
        <v>20.37</v>
      </c>
      <c r="W527" s="4">
        <v>33.85</v>
      </c>
      <c r="X527" s="7">
        <v>19.71</v>
      </c>
      <c r="Y527" s="7">
        <v>18.62</v>
      </c>
    </row>
    <row r="528" spans="1:25" ht="15" customHeight="1" x14ac:dyDescent="0.45">
      <c r="A528" s="3">
        <v>45506</v>
      </c>
      <c r="B528" s="4">
        <v>41.49</v>
      </c>
      <c r="C528" s="4">
        <v>36.53</v>
      </c>
      <c r="D528" s="4">
        <v>34.53</v>
      </c>
      <c r="E528" s="4">
        <v>31.13</v>
      </c>
      <c r="F528" s="6">
        <v>60.27</v>
      </c>
      <c r="G528" s="4">
        <v>51.6</v>
      </c>
      <c r="H528" s="4">
        <v>37.33</v>
      </c>
      <c r="I528" s="7">
        <v>22.1</v>
      </c>
      <c r="J528" s="4">
        <v>31.91</v>
      </c>
      <c r="K528" s="4">
        <v>36.450000000000003</v>
      </c>
      <c r="L528" s="4">
        <v>44.51</v>
      </c>
      <c r="M528" s="4">
        <v>48.9</v>
      </c>
      <c r="N528" s="4">
        <v>47.87</v>
      </c>
      <c r="O528" s="4">
        <v>50.22</v>
      </c>
      <c r="P528" s="4">
        <v>47.87</v>
      </c>
      <c r="Q528" s="6">
        <v>64.540000000000006</v>
      </c>
      <c r="R528" s="4">
        <v>47.13</v>
      </c>
      <c r="S528" s="4">
        <v>46.74</v>
      </c>
      <c r="T528" s="4">
        <v>47.4</v>
      </c>
      <c r="U528" s="4">
        <v>40.729999999999997</v>
      </c>
      <c r="V528" s="4">
        <v>33.01</v>
      </c>
      <c r="W528" s="4">
        <v>53.06</v>
      </c>
      <c r="X528" s="4">
        <v>31.83</v>
      </c>
      <c r="Y528" s="7">
        <v>28.8</v>
      </c>
    </row>
    <row r="529" spans="1:25" ht="15" customHeight="1" x14ac:dyDescent="0.45">
      <c r="A529" s="3">
        <v>45505</v>
      </c>
      <c r="B529" s="4">
        <v>48.54</v>
      </c>
      <c r="C529" s="4">
        <v>41.93</v>
      </c>
      <c r="D529" s="4">
        <v>47.36</v>
      </c>
      <c r="E529" s="4">
        <v>38.22</v>
      </c>
      <c r="F529" s="6">
        <v>69.14</v>
      </c>
      <c r="G529" s="6">
        <v>63.26</v>
      </c>
      <c r="H529" s="4">
        <v>42.47</v>
      </c>
      <c r="I529" s="7">
        <v>29.03</v>
      </c>
      <c r="J529" s="4">
        <v>42.09</v>
      </c>
      <c r="K529" s="4">
        <v>41.25</v>
      </c>
      <c r="L529" s="4">
        <v>54.16</v>
      </c>
      <c r="M529" s="4">
        <v>58</v>
      </c>
      <c r="N529" s="4">
        <v>55.79</v>
      </c>
      <c r="O529" s="6">
        <v>61.72</v>
      </c>
      <c r="P529" s="4">
        <v>55.86</v>
      </c>
      <c r="Q529" s="6">
        <v>62.14</v>
      </c>
      <c r="R529" s="6">
        <v>63.24</v>
      </c>
      <c r="S529" s="6">
        <v>62.45</v>
      </c>
      <c r="T529" s="4">
        <v>58.33</v>
      </c>
      <c r="U529" s="4">
        <v>50.93</v>
      </c>
      <c r="V529" s="4">
        <v>44.6</v>
      </c>
      <c r="W529" s="6">
        <v>66.94</v>
      </c>
      <c r="X529" s="4">
        <v>36.72</v>
      </c>
      <c r="Y529" s="7">
        <v>23.69</v>
      </c>
    </row>
    <row r="530" spans="1:25" ht="15" customHeight="1" x14ac:dyDescent="0.45">
      <c r="A530" s="3">
        <v>45504</v>
      </c>
      <c r="B530" s="4">
        <v>51.05</v>
      </c>
      <c r="C530" s="4">
        <v>40.479999999999997</v>
      </c>
      <c r="D530" s="4">
        <v>31.95</v>
      </c>
      <c r="E530" s="7">
        <v>29.2</v>
      </c>
      <c r="F530" s="5">
        <v>74.59</v>
      </c>
      <c r="G530" s="6">
        <v>61.91</v>
      </c>
      <c r="H530" s="4">
        <v>33.92</v>
      </c>
      <c r="I530" s="7">
        <v>28.94</v>
      </c>
      <c r="J530" s="4">
        <v>42.15</v>
      </c>
      <c r="K530" s="4">
        <v>42.86</v>
      </c>
      <c r="L530" s="4">
        <v>50.05</v>
      </c>
      <c r="M530" s="4">
        <v>57.31</v>
      </c>
      <c r="N530" s="4">
        <v>53.55</v>
      </c>
      <c r="O530" s="6">
        <v>63.31</v>
      </c>
      <c r="P530" s="4">
        <v>53.76</v>
      </c>
      <c r="Q530" s="5">
        <v>74.400000000000006</v>
      </c>
      <c r="R530" s="6">
        <v>62.97</v>
      </c>
      <c r="S530" s="4">
        <v>59.43</v>
      </c>
      <c r="T530" s="6">
        <v>61.16</v>
      </c>
      <c r="U530" s="4">
        <v>47.19</v>
      </c>
      <c r="V530" s="4">
        <v>43.34</v>
      </c>
      <c r="W530" s="6">
        <v>65.150000000000006</v>
      </c>
      <c r="X530" s="4">
        <v>33.74</v>
      </c>
      <c r="Y530" s="7">
        <v>21.81</v>
      </c>
    </row>
    <row r="531" spans="1:25" ht="15" customHeight="1" x14ac:dyDescent="0.45">
      <c r="A531" s="3">
        <v>45503</v>
      </c>
      <c r="B531" s="4">
        <v>46.61</v>
      </c>
      <c r="C531" s="4">
        <v>37.6</v>
      </c>
      <c r="D531" s="7">
        <v>29.91</v>
      </c>
      <c r="E531" s="7">
        <v>28.6</v>
      </c>
      <c r="F531" s="5">
        <v>79.89</v>
      </c>
      <c r="G531" s="4">
        <v>52.89</v>
      </c>
      <c r="H531" s="4">
        <v>36.21</v>
      </c>
      <c r="I531" s="7">
        <v>28.23</v>
      </c>
      <c r="J531" s="4">
        <v>33.85</v>
      </c>
      <c r="K531" s="4">
        <v>32.22</v>
      </c>
      <c r="L531" s="4">
        <v>51.28</v>
      </c>
      <c r="M531" s="4">
        <v>47.22</v>
      </c>
      <c r="N531" s="4">
        <v>48.74</v>
      </c>
      <c r="O531" s="6">
        <v>60.75</v>
      </c>
      <c r="P531" s="4">
        <v>47.03</v>
      </c>
      <c r="Q531" s="5">
        <v>73</v>
      </c>
      <c r="R531" s="4">
        <v>58.91</v>
      </c>
      <c r="S531" s="4">
        <v>57.47</v>
      </c>
      <c r="T531" s="4">
        <v>55.57</v>
      </c>
      <c r="U531" s="4">
        <v>42.41</v>
      </c>
      <c r="V531" s="4">
        <v>37.93</v>
      </c>
      <c r="W531" s="6">
        <v>61.88</v>
      </c>
      <c r="X531" s="4">
        <v>31.34</v>
      </c>
      <c r="Y531" s="7">
        <v>15.11</v>
      </c>
    </row>
    <row r="532" spans="1:25" ht="15" customHeight="1" x14ac:dyDescent="0.45">
      <c r="A532" s="3">
        <v>45502</v>
      </c>
      <c r="B532" s="4">
        <v>49.45</v>
      </c>
      <c r="C532" s="4">
        <v>41.03</v>
      </c>
      <c r="D532" s="4">
        <v>34.32</v>
      </c>
      <c r="E532" s="4">
        <v>31.25</v>
      </c>
      <c r="F532" s="5">
        <v>80.040000000000006</v>
      </c>
      <c r="G532" s="4">
        <v>56.38</v>
      </c>
      <c r="H532" s="4">
        <v>39.49</v>
      </c>
      <c r="I532" s="4">
        <v>32.29</v>
      </c>
      <c r="J532" s="4">
        <v>35.64</v>
      </c>
      <c r="K532" s="4">
        <v>34.86</v>
      </c>
      <c r="L532" s="4">
        <v>56.49</v>
      </c>
      <c r="M532" s="4">
        <v>52.81</v>
      </c>
      <c r="N532" s="4">
        <v>51.91</v>
      </c>
      <c r="O532" s="6">
        <v>63.61</v>
      </c>
      <c r="P532" s="4">
        <v>48.14</v>
      </c>
      <c r="Q532" s="5">
        <v>71.72</v>
      </c>
      <c r="R532" s="6">
        <v>64.150000000000006</v>
      </c>
      <c r="S532" s="6">
        <v>60.59</v>
      </c>
      <c r="T532" s="4">
        <v>54.85</v>
      </c>
      <c r="U532" s="4">
        <v>50.44</v>
      </c>
      <c r="V532" s="4">
        <v>41.07</v>
      </c>
      <c r="W532" s="4">
        <v>58.35</v>
      </c>
      <c r="X532" s="4">
        <v>35.229999999999997</v>
      </c>
      <c r="Y532" s="7">
        <v>16.38</v>
      </c>
    </row>
    <row r="533" spans="1:25" ht="15" customHeight="1" x14ac:dyDescent="0.45">
      <c r="A533" s="3">
        <v>45499</v>
      </c>
      <c r="B533" s="4">
        <v>45.8</v>
      </c>
      <c r="C533" s="4">
        <v>44.66</v>
      </c>
      <c r="D533" s="4">
        <v>32.130000000000003</v>
      </c>
      <c r="E533" s="7">
        <v>23.02</v>
      </c>
      <c r="F533" s="5">
        <v>75.91</v>
      </c>
      <c r="G533" s="4">
        <v>52.95</v>
      </c>
      <c r="H533" s="4">
        <v>34.69</v>
      </c>
      <c r="I533" s="4">
        <v>32.67</v>
      </c>
      <c r="J533" s="4">
        <v>33.159999999999997</v>
      </c>
      <c r="K533" s="4">
        <v>32.49</v>
      </c>
      <c r="L533" s="4">
        <v>49</v>
      </c>
      <c r="M533" s="4">
        <v>45.09</v>
      </c>
      <c r="N533" s="4">
        <v>41.75</v>
      </c>
      <c r="O533" s="6">
        <v>60.69</v>
      </c>
      <c r="P533" s="4">
        <v>44.15</v>
      </c>
      <c r="Q533" s="5">
        <v>70.16</v>
      </c>
      <c r="R533" s="4">
        <v>58.38</v>
      </c>
      <c r="S533" s="4">
        <v>52.81</v>
      </c>
      <c r="T533" s="4">
        <v>52.11</v>
      </c>
      <c r="U533" s="4">
        <v>46.25</v>
      </c>
      <c r="V533" s="4">
        <v>35.21</v>
      </c>
      <c r="W533" s="4">
        <v>52.49</v>
      </c>
      <c r="X533" s="4">
        <v>32.369999999999997</v>
      </c>
      <c r="Y533" s="7">
        <v>10.71</v>
      </c>
    </row>
    <row r="534" spans="1:25" ht="15" customHeight="1" x14ac:dyDescent="0.45">
      <c r="A534" s="3">
        <v>45498</v>
      </c>
      <c r="B534" s="4">
        <v>46.57</v>
      </c>
      <c r="C534" s="4">
        <v>45.69</v>
      </c>
      <c r="D534" s="7">
        <v>25.49</v>
      </c>
      <c r="E534" s="7">
        <v>25.03</v>
      </c>
      <c r="F534" s="5">
        <v>71.510000000000005</v>
      </c>
      <c r="G534" s="4">
        <v>39.6</v>
      </c>
      <c r="H534" s="4">
        <v>32.21</v>
      </c>
      <c r="I534" s="4">
        <v>31.83</v>
      </c>
      <c r="J534" s="4">
        <v>33.39</v>
      </c>
      <c r="K534" s="7">
        <v>28.65</v>
      </c>
      <c r="L534" s="4">
        <v>44.68</v>
      </c>
      <c r="M534" s="4">
        <v>40.54</v>
      </c>
      <c r="N534" s="4">
        <v>38.65</v>
      </c>
      <c r="O534" s="4">
        <v>49.55</v>
      </c>
      <c r="P534" s="4">
        <v>36.06</v>
      </c>
      <c r="Q534" s="6">
        <v>67.05</v>
      </c>
      <c r="R534" s="4">
        <v>44.14</v>
      </c>
      <c r="S534" s="4">
        <v>46.11</v>
      </c>
      <c r="T534" s="4">
        <v>44.82</v>
      </c>
      <c r="U534" s="4">
        <v>45.78</v>
      </c>
      <c r="V534" s="4">
        <v>33.71</v>
      </c>
      <c r="W534" s="4">
        <v>48.63</v>
      </c>
      <c r="X534" s="4">
        <v>34.03</v>
      </c>
      <c r="Y534" s="7">
        <v>6.89</v>
      </c>
    </row>
    <row r="535" spans="1:25" ht="15" customHeight="1" x14ac:dyDescent="0.45">
      <c r="A535" s="3">
        <v>45497</v>
      </c>
      <c r="B535" s="4">
        <v>55.67</v>
      </c>
      <c r="C535" s="4">
        <v>48.51</v>
      </c>
      <c r="D535" s="7">
        <v>28.2</v>
      </c>
      <c r="E535" s="7">
        <v>25.92</v>
      </c>
      <c r="F535" s="5">
        <v>71.8</v>
      </c>
      <c r="G535" s="4">
        <v>44.01</v>
      </c>
      <c r="H535" s="7">
        <v>28.65</v>
      </c>
      <c r="I535" s="4">
        <v>41.18</v>
      </c>
      <c r="J535" s="4">
        <v>39.700000000000003</v>
      </c>
      <c r="K535" s="4">
        <v>31.74</v>
      </c>
      <c r="L535" s="4">
        <v>51.28</v>
      </c>
      <c r="M535" s="4">
        <v>42.58</v>
      </c>
      <c r="N535" s="4">
        <v>41.25</v>
      </c>
      <c r="O535" s="4">
        <v>52.33</v>
      </c>
      <c r="P535" s="4">
        <v>37.99</v>
      </c>
      <c r="Q535" s="6">
        <v>63.11</v>
      </c>
      <c r="R535" s="4">
        <v>51.49</v>
      </c>
      <c r="S535" s="4">
        <v>58.35</v>
      </c>
      <c r="T535" s="4">
        <v>51.13</v>
      </c>
      <c r="U535" s="4">
        <v>41.17</v>
      </c>
      <c r="V535" s="4">
        <v>40.69</v>
      </c>
      <c r="W535" s="4">
        <v>50.12</v>
      </c>
      <c r="X535" s="7">
        <v>24.72</v>
      </c>
      <c r="Y535" s="7">
        <v>7.86</v>
      </c>
    </row>
    <row r="536" spans="1:25" ht="15" customHeight="1" x14ac:dyDescent="0.45">
      <c r="A536" s="3">
        <v>45496</v>
      </c>
      <c r="B536" s="4">
        <v>53.91</v>
      </c>
      <c r="C536" s="4">
        <v>47.11</v>
      </c>
      <c r="D536" s="7">
        <v>27.04</v>
      </c>
      <c r="E536" s="7">
        <v>26.45</v>
      </c>
      <c r="F536" s="6">
        <v>64.97</v>
      </c>
      <c r="G536" s="4">
        <v>48.52</v>
      </c>
      <c r="H536" s="4">
        <v>33.130000000000003</v>
      </c>
      <c r="I536" s="4">
        <v>43.95</v>
      </c>
      <c r="J536" s="4">
        <v>42.62</v>
      </c>
      <c r="K536" s="7">
        <v>27.65</v>
      </c>
      <c r="L536" s="4">
        <v>53.31</v>
      </c>
      <c r="M536" s="4">
        <v>44.25</v>
      </c>
      <c r="N536" s="4">
        <v>41.73</v>
      </c>
      <c r="O536" s="4">
        <v>56.71</v>
      </c>
      <c r="P536" s="4">
        <v>35.01</v>
      </c>
      <c r="Q536" s="6">
        <v>64.42</v>
      </c>
      <c r="R536" s="4">
        <v>57.99</v>
      </c>
      <c r="S536" s="4">
        <v>58.41</v>
      </c>
      <c r="T536" s="4">
        <v>52.16</v>
      </c>
      <c r="U536" s="4">
        <v>40.29</v>
      </c>
      <c r="V536" s="4">
        <v>42.86</v>
      </c>
      <c r="W536" s="4">
        <v>45.59</v>
      </c>
      <c r="X536" s="7">
        <v>23.17</v>
      </c>
      <c r="Y536" s="7">
        <v>8.33</v>
      </c>
    </row>
    <row r="537" spans="1:25" ht="15" customHeight="1" x14ac:dyDescent="0.45">
      <c r="A537" s="3">
        <v>45495</v>
      </c>
      <c r="B537" s="4">
        <v>46.32</v>
      </c>
      <c r="C537" s="4">
        <v>50.45</v>
      </c>
      <c r="D537" s="7">
        <v>27.82</v>
      </c>
      <c r="E537" s="7">
        <v>28.68</v>
      </c>
      <c r="F537" s="6">
        <v>68.37</v>
      </c>
      <c r="G537" s="4">
        <v>56.67</v>
      </c>
      <c r="H537" s="4">
        <v>36.799999999999997</v>
      </c>
      <c r="I537" s="4">
        <v>42.15</v>
      </c>
      <c r="J537" s="4">
        <v>39.56</v>
      </c>
      <c r="K537" s="7">
        <v>29.31</v>
      </c>
      <c r="L537" s="4">
        <v>42.39</v>
      </c>
      <c r="M537" s="4">
        <v>48.35</v>
      </c>
      <c r="N537" s="4">
        <v>42.51</v>
      </c>
      <c r="O537" s="6">
        <v>62.36</v>
      </c>
      <c r="P537" s="4">
        <v>36.729999999999997</v>
      </c>
      <c r="Q537" s="6">
        <v>64.41</v>
      </c>
      <c r="R537" s="4">
        <v>57.64</v>
      </c>
      <c r="S537" s="4">
        <v>59.69</v>
      </c>
      <c r="T537" s="4">
        <v>53.55</v>
      </c>
      <c r="U537" s="4">
        <v>46.12</v>
      </c>
      <c r="V537" s="4">
        <v>39.06</v>
      </c>
      <c r="W537" s="4">
        <v>45.4</v>
      </c>
      <c r="X537" s="7">
        <v>26.48</v>
      </c>
      <c r="Y537" s="7">
        <v>8.41</v>
      </c>
    </row>
    <row r="538" spans="1:25" ht="15" customHeight="1" x14ac:dyDescent="0.45">
      <c r="A538" s="3">
        <v>45492</v>
      </c>
      <c r="B538" s="4">
        <v>49.13</v>
      </c>
      <c r="C538" s="4">
        <v>50.31</v>
      </c>
      <c r="D538" s="4">
        <v>33.700000000000003</v>
      </c>
      <c r="E538" s="4">
        <v>32.950000000000003</v>
      </c>
      <c r="F538" s="6">
        <v>64.569999999999993</v>
      </c>
      <c r="G538" s="6">
        <v>64.55</v>
      </c>
      <c r="H538" s="4">
        <v>42.87</v>
      </c>
      <c r="I538" s="4">
        <v>45.86</v>
      </c>
      <c r="J538" s="4">
        <v>46.35</v>
      </c>
      <c r="K538" s="4">
        <v>31.32</v>
      </c>
      <c r="L538" s="4">
        <v>43.49</v>
      </c>
      <c r="M538" s="4">
        <v>52.07</v>
      </c>
      <c r="N538" s="4">
        <v>45.43</v>
      </c>
      <c r="O538" s="4">
        <v>59.87</v>
      </c>
      <c r="P538" s="4">
        <v>39.229999999999997</v>
      </c>
      <c r="Q538" s="6">
        <v>63.52</v>
      </c>
      <c r="R538" s="4">
        <v>56.48</v>
      </c>
      <c r="S538" s="6">
        <v>66.44</v>
      </c>
      <c r="T538" s="4">
        <v>52.39</v>
      </c>
      <c r="U538" s="4">
        <v>47.37</v>
      </c>
      <c r="V538" s="4">
        <v>45.26</v>
      </c>
      <c r="W538" s="4">
        <v>46.22</v>
      </c>
      <c r="X538" s="7">
        <v>26.41</v>
      </c>
      <c r="Y538" s="7">
        <v>8.74</v>
      </c>
    </row>
    <row r="539" spans="1:25" ht="15" customHeight="1" x14ac:dyDescent="0.45">
      <c r="A539" s="3">
        <v>45491</v>
      </c>
      <c r="B539" s="4">
        <v>52.21</v>
      </c>
      <c r="C539" s="6">
        <v>60.04</v>
      </c>
      <c r="D539" s="4">
        <v>37.04</v>
      </c>
      <c r="E539" s="4">
        <v>35.35</v>
      </c>
      <c r="F539" s="5">
        <v>70.09</v>
      </c>
      <c r="G539" s="5">
        <v>73.52</v>
      </c>
      <c r="H539" s="4">
        <v>40.68</v>
      </c>
      <c r="I539" s="4">
        <v>48.63</v>
      </c>
      <c r="J539" s="4">
        <v>51.33</v>
      </c>
      <c r="K539" s="4">
        <v>34.29</v>
      </c>
      <c r="L539" s="4">
        <v>47.86</v>
      </c>
      <c r="M539" s="4">
        <v>55.67</v>
      </c>
      <c r="N539" s="4">
        <v>43.55</v>
      </c>
      <c r="O539" s="6">
        <v>69.83</v>
      </c>
      <c r="P539" s="4">
        <v>46.99</v>
      </c>
      <c r="Q539" s="6">
        <v>69.56</v>
      </c>
      <c r="R539" s="4">
        <v>57.95</v>
      </c>
      <c r="S539" s="5">
        <v>71.099999999999994</v>
      </c>
      <c r="T539" s="4">
        <v>53.49</v>
      </c>
      <c r="U539" s="4">
        <v>50.71</v>
      </c>
      <c r="V539" s="4">
        <v>51.13</v>
      </c>
      <c r="W539" s="4"/>
      <c r="X539" s="4"/>
      <c r="Y539" s="4"/>
    </row>
    <row r="540" spans="1:25" ht="15" customHeight="1" x14ac:dyDescent="0.45">
      <c r="A540" s="3">
        <v>45490</v>
      </c>
      <c r="B540" s="4">
        <v>49.28</v>
      </c>
      <c r="C540" s="5">
        <v>71.13</v>
      </c>
      <c r="D540" s="4">
        <v>39.44</v>
      </c>
      <c r="E540" s="4">
        <v>37.9</v>
      </c>
      <c r="F540" s="5">
        <v>74.67</v>
      </c>
      <c r="G540" s="5">
        <v>73.209999999999994</v>
      </c>
      <c r="H540" s="4">
        <v>43.31</v>
      </c>
      <c r="I540" s="4">
        <v>56.36</v>
      </c>
      <c r="J540" s="4">
        <v>54.02</v>
      </c>
      <c r="K540" s="4">
        <v>36.96</v>
      </c>
      <c r="L540" s="4">
        <v>54.62</v>
      </c>
      <c r="M540" s="4">
        <v>54.4</v>
      </c>
      <c r="N540" s="4">
        <v>41.42</v>
      </c>
      <c r="O540" s="5">
        <v>74.72</v>
      </c>
      <c r="P540" s="4">
        <v>47.14</v>
      </c>
      <c r="Q540" s="4">
        <v>57.81</v>
      </c>
      <c r="R540" s="6">
        <v>61.05</v>
      </c>
      <c r="S540" s="5">
        <v>73.58</v>
      </c>
      <c r="T540" s="4">
        <v>53</v>
      </c>
      <c r="U540" s="4">
        <v>51.32</v>
      </c>
      <c r="V540" s="4">
        <v>56</v>
      </c>
      <c r="W540" s="4"/>
      <c r="X540" s="4"/>
      <c r="Y540" s="4"/>
    </row>
    <row r="541" spans="1:25" ht="15" customHeight="1" x14ac:dyDescent="0.45">
      <c r="A541" s="3">
        <v>45489</v>
      </c>
      <c r="B541" s="4">
        <v>49.18</v>
      </c>
      <c r="C541" s="4">
        <v>42.1</v>
      </c>
      <c r="D541" s="4">
        <v>40.01</v>
      </c>
      <c r="E541" s="4">
        <v>32.909999999999997</v>
      </c>
      <c r="F541" s="6">
        <v>69.599999999999994</v>
      </c>
      <c r="G541" s="6">
        <v>66.03</v>
      </c>
      <c r="H541" s="4">
        <v>47.1</v>
      </c>
      <c r="I541" s="6">
        <v>62.14</v>
      </c>
      <c r="J541" s="6">
        <v>63.67</v>
      </c>
      <c r="K541" s="4">
        <v>45.48</v>
      </c>
      <c r="L541" s="4">
        <v>56.4</v>
      </c>
      <c r="M541" s="4">
        <v>54.7</v>
      </c>
      <c r="N541" s="4">
        <v>42.98</v>
      </c>
      <c r="O541" s="6">
        <v>68.599999999999994</v>
      </c>
      <c r="P541" s="4">
        <v>51.44</v>
      </c>
      <c r="Q541" s="4">
        <v>57.44</v>
      </c>
      <c r="R541" s="6">
        <v>62.15</v>
      </c>
      <c r="S541" s="5">
        <v>75.3</v>
      </c>
      <c r="T541" s="4">
        <v>54.08</v>
      </c>
      <c r="U541" s="4">
        <v>48.15</v>
      </c>
      <c r="V541" s="6">
        <v>63.27</v>
      </c>
      <c r="W541" s="4"/>
      <c r="X541" s="4"/>
      <c r="Y541" s="4"/>
    </row>
    <row r="542" spans="1:25" ht="15" customHeight="1" x14ac:dyDescent="0.45">
      <c r="A542" s="3">
        <v>45488</v>
      </c>
      <c r="B542" s="4">
        <v>51.07</v>
      </c>
      <c r="C542" s="4">
        <v>46.95</v>
      </c>
      <c r="D542" s="4">
        <v>38.659999999999997</v>
      </c>
      <c r="E542" s="4">
        <v>38.74</v>
      </c>
      <c r="F542" s="6">
        <v>69.2</v>
      </c>
      <c r="G542" s="6">
        <v>61.61</v>
      </c>
      <c r="H542" s="4">
        <v>55.84</v>
      </c>
      <c r="I542" s="4">
        <v>58.96</v>
      </c>
      <c r="J542" s="6">
        <v>62.58</v>
      </c>
      <c r="K542" s="4">
        <v>46.18</v>
      </c>
      <c r="L542" s="4">
        <v>49.3</v>
      </c>
      <c r="M542" s="4">
        <v>50.62</v>
      </c>
      <c r="N542" s="4">
        <v>44.22</v>
      </c>
      <c r="O542" s="6">
        <v>68.83</v>
      </c>
      <c r="P542" s="4">
        <v>49.75</v>
      </c>
      <c r="Q542" s="4">
        <v>53.29</v>
      </c>
      <c r="R542" s="6">
        <v>61.64</v>
      </c>
      <c r="S542" s="5">
        <v>73.099999999999994</v>
      </c>
      <c r="T542" s="4">
        <v>54.61</v>
      </c>
      <c r="U542" s="4">
        <v>55.14</v>
      </c>
      <c r="V542" s="6">
        <v>62.13</v>
      </c>
      <c r="W542" s="4"/>
      <c r="X542" s="4"/>
      <c r="Y542" s="4"/>
    </row>
    <row r="543" spans="1:25" ht="15" customHeight="1" x14ac:dyDescent="0.45">
      <c r="A543" s="3">
        <v>45485</v>
      </c>
      <c r="B543" s="4">
        <v>47.18</v>
      </c>
      <c r="C543" s="4">
        <v>46.16</v>
      </c>
      <c r="D543" s="4">
        <v>34.39</v>
      </c>
      <c r="E543" s="4">
        <v>42.65</v>
      </c>
      <c r="F543" s="5">
        <v>70.59</v>
      </c>
      <c r="G543" s="4">
        <v>48.14</v>
      </c>
      <c r="H543" s="6">
        <v>60.86</v>
      </c>
      <c r="I543" s="6">
        <v>61.51</v>
      </c>
      <c r="J543" s="6">
        <v>60.1</v>
      </c>
      <c r="K543" s="4">
        <v>46.75</v>
      </c>
      <c r="L543" s="4">
        <v>49.46</v>
      </c>
      <c r="M543" s="4">
        <v>53.11</v>
      </c>
      <c r="N543" s="4">
        <v>46</v>
      </c>
      <c r="O543" s="4">
        <v>57.45</v>
      </c>
      <c r="P543" s="4">
        <v>48.1</v>
      </c>
      <c r="Q543" s="4">
        <v>54.56</v>
      </c>
      <c r="R543" s="6">
        <v>65.989999999999995</v>
      </c>
      <c r="S543" s="5">
        <v>71.37</v>
      </c>
      <c r="T543" s="6">
        <v>60.08</v>
      </c>
      <c r="U543" s="4">
        <v>56.02</v>
      </c>
      <c r="V543" s="6">
        <v>60.68</v>
      </c>
      <c r="W543" s="4"/>
      <c r="X543" s="4"/>
      <c r="Y543" s="4"/>
    </row>
    <row r="544" spans="1:25" ht="15" customHeight="1" x14ac:dyDescent="0.45">
      <c r="A544" s="3">
        <v>45484</v>
      </c>
      <c r="B544" s="4">
        <v>50.9</v>
      </c>
      <c r="C544" s="4">
        <v>36.270000000000003</v>
      </c>
      <c r="D544" s="4">
        <v>30.64</v>
      </c>
      <c r="E544" s="4">
        <v>42.43</v>
      </c>
      <c r="F544" s="6">
        <v>66.3</v>
      </c>
      <c r="G544" s="4">
        <v>45.54</v>
      </c>
      <c r="H544" s="6">
        <v>60.82</v>
      </c>
      <c r="I544" s="4">
        <v>56.46</v>
      </c>
      <c r="J544" s="5">
        <v>75.78</v>
      </c>
      <c r="K544" s="4">
        <v>52.51</v>
      </c>
      <c r="L544" s="4">
        <v>53.84</v>
      </c>
      <c r="M544" s="4">
        <v>55.83</v>
      </c>
      <c r="N544" s="4">
        <v>50.37</v>
      </c>
      <c r="O544" s="4">
        <v>51.32</v>
      </c>
      <c r="P544" s="4">
        <v>52.62</v>
      </c>
      <c r="Q544" s="4">
        <v>56.24</v>
      </c>
      <c r="R544" s="6">
        <v>66.28</v>
      </c>
      <c r="S544" s="5">
        <v>74.34</v>
      </c>
      <c r="T544" s="6">
        <v>63.52</v>
      </c>
      <c r="U544" s="4">
        <v>55.24</v>
      </c>
      <c r="V544" s="5">
        <v>72.260000000000005</v>
      </c>
      <c r="W544" s="4"/>
      <c r="X544" s="4"/>
      <c r="Y544" s="4"/>
    </row>
    <row r="545" spans="1:25" ht="15" customHeight="1" x14ac:dyDescent="0.45">
      <c r="A545" s="3">
        <v>45483</v>
      </c>
      <c r="B545" s="4">
        <v>49.58</v>
      </c>
      <c r="C545" s="4">
        <v>35.26</v>
      </c>
      <c r="D545" s="4">
        <v>32.19</v>
      </c>
      <c r="E545" s="4">
        <v>39.369999999999997</v>
      </c>
      <c r="F545" s="6">
        <v>64.900000000000006</v>
      </c>
      <c r="G545" s="4">
        <v>49.19</v>
      </c>
      <c r="H545" s="4">
        <v>45</v>
      </c>
      <c r="I545" s="4">
        <v>54.44</v>
      </c>
      <c r="J545" s="5">
        <v>74.42</v>
      </c>
      <c r="K545" s="4">
        <v>47.83</v>
      </c>
      <c r="L545" s="4">
        <v>51.7</v>
      </c>
      <c r="M545" s="4">
        <v>51.26</v>
      </c>
      <c r="N545" s="4">
        <v>46.22</v>
      </c>
      <c r="O545" s="4">
        <v>47.27</v>
      </c>
      <c r="P545" s="4">
        <v>51.88</v>
      </c>
      <c r="Q545" s="4">
        <v>44.15</v>
      </c>
      <c r="R545" s="6">
        <v>61.57</v>
      </c>
      <c r="S545" s="6">
        <v>68.56</v>
      </c>
      <c r="T545" s="6">
        <v>60.36</v>
      </c>
      <c r="U545" s="4">
        <v>55.5</v>
      </c>
      <c r="V545" s="6">
        <v>69.89</v>
      </c>
      <c r="W545" s="4"/>
      <c r="X545" s="4"/>
      <c r="Y545" s="4"/>
    </row>
    <row r="546" spans="1:25" ht="15" customHeight="1" x14ac:dyDescent="0.45">
      <c r="A546" s="3">
        <v>45482</v>
      </c>
      <c r="B546" s="4">
        <v>51.99</v>
      </c>
      <c r="C546" s="4">
        <v>33.450000000000003</v>
      </c>
      <c r="D546" s="4">
        <v>32.39</v>
      </c>
      <c r="E546" s="4">
        <v>42.39</v>
      </c>
      <c r="F546" s="6">
        <v>63.37</v>
      </c>
      <c r="G546" s="4">
        <v>41.55</v>
      </c>
      <c r="H546" s="4">
        <v>49.25</v>
      </c>
      <c r="I546" s="4">
        <v>56.83</v>
      </c>
      <c r="J546" s="5">
        <v>74.319999999999993</v>
      </c>
      <c r="K546" s="4">
        <v>51.06</v>
      </c>
      <c r="L546" s="4">
        <v>50.63</v>
      </c>
      <c r="M546" s="4">
        <v>53.65</v>
      </c>
      <c r="N546" s="4">
        <v>49.39</v>
      </c>
      <c r="O546" s="4">
        <v>47.61</v>
      </c>
      <c r="P546" s="4">
        <v>52.19</v>
      </c>
      <c r="Q546" s="4">
        <v>46.14</v>
      </c>
      <c r="R546" s="6">
        <v>60.63</v>
      </c>
      <c r="S546" s="6">
        <v>68.150000000000006</v>
      </c>
      <c r="T546" s="4">
        <v>53.84</v>
      </c>
      <c r="U546" s="4">
        <v>52.88</v>
      </c>
      <c r="V546" s="5">
        <v>70.16</v>
      </c>
      <c r="W546" s="4"/>
      <c r="X546" s="4"/>
      <c r="Y546" s="4"/>
    </row>
    <row r="547" spans="1:25" ht="15" customHeight="1" x14ac:dyDescent="0.45">
      <c r="A547" s="3">
        <v>45481</v>
      </c>
      <c r="B547" s="4">
        <v>51.1</v>
      </c>
      <c r="C547" s="4">
        <v>32.04</v>
      </c>
      <c r="D547" s="4">
        <v>32.229999999999997</v>
      </c>
      <c r="E547" s="4">
        <v>41.28</v>
      </c>
      <c r="F547" s="4">
        <v>59.75</v>
      </c>
      <c r="G547" s="4">
        <v>36.119999999999997</v>
      </c>
      <c r="H547" s="4">
        <v>51.96</v>
      </c>
      <c r="I547" s="4">
        <v>51.35</v>
      </c>
      <c r="J547" s="5">
        <v>72.45</v>
      </c>
      <c r="K547" s="4">
        <v>47.37</v>
      </c>
      <c r="L547" s="4">
        <v>56.12</v>
      </c>
      <c r="M547" s="4">
        <v>53.73</v>
      </c>
      <c r="N547" s="4">
        <v>51.36</v>
      </c>
      <c r="O547" s="4">
        <v>41.85</v>
      </c>
      <c r="P547" s="4">
        <v>55.24</v>
      </c>
      <c r="Q547" s="4">
        <v>45.08</v>
      </c>
      <c r="R547" s="6">
        <v>62.31</v>
      </c>
      <c r="S547" s="6">
        <v>68.62</v>
      </c>
      <c r="T547" s="4">
        <v>54.72</v>
      </c>
      <c r="U547" s="4">
        <v>50.79</v>
      </c>
      <c r="V547" s="6">
        <v>68.47</v>
      </c>
      <c r="W547" s="4"/>
      <c r="X547" s="4"/>
      <c r="Y547" s="4"/>
    </row>
    <row r="548" spans="1:25" ht="15" customHeight="1" x14ac:dyDescent="0.45">
      <c r="A548" s="3">
        <v>45478</v>
      </c>
      <c r="B548" s="4">
        <v>45.09</v>
      </c>
      <c r="C548" s="4">
        <v>33.270000000000003</v>
      </c>
      <c r="D548" s="4">
        <v>31.19</v>
      </c>
      <c r="E548" s="4">
        <v>39.32</v>
      </c>
      <c r="F548" s="6">
        <v>64.63</v>
      </c>
      <c r="G548" s="4">
        <v>38.21</v>
      </c>
      <c r="H548" s="4">
        <v>51.46</v>
      </c>
      <c r="I548" s="4">
        <v>45.38</v>
      </c>
      <c r="J548" s="5">
        <v>72.37</v>
      </c>
      <c r="K548" s="4">
        <v>42.89</v>
      </c>
      <c r="L548" s="4">
        <v>55.25</v>
      </c>
      <c r="M548" s="4">
        <v>59.93</v>
      </c>
      <c r="N548" s="4">
        <v>48.26</v>
      </c>
      <c r="O548" s="4">
        <v>38.81</v>
      </c>
      <c r="P548" s="6">
        <v>62.57</v>
      </c>
      <c r="Q548" s="4">
        <v>48.32</v>
      </c>
      <c r="R548" s="5">
        <v>70.23</v>
      </c>
      <c r="S548" s="6">
        <v>68.02</v>
      </c>
      <c r="T548" s="6">
        <v>66.95</v>
      </c>
      <c r="U548" s="4">
        <v>47.35</v>
      </c>
      <c r="V548" s="6">
        <v>68.13</v>
      </c>
      <c r="W548" s="4"/>
      <c r="X548" s="4"/>
      <c r="Y548" s="4"/>
    </row>
    <row r="549" spans="1:25" ht="15" customHeight="1" x14ac:dyDescent="0.45">
      <c r="A549" s="3">
        <v>45477</v>
      </c>
      <c r="B549" s="4">
        <v>44.79</v>
      </c>
      <c r="C549" s="4">
        <v>30.16</v>
      </c>
      <c r="D549" s="4">
        <v>32.82</v>
      </c>
      <c r="E549" s="4">
        <v>41.49</v>
      </c>
      <c r="F549" s="6">
        <v>60.53</v>
      </c>
      <c r="G549" s="4">
        <v>39.479999999999997</v>
      </c>
      <c r="H549" s="4">
        <v>51.78</v>
      </c>
      <c r="I549" s="4">
        <v>42.55</v>
      </c>
      <c r="J549" s="6">
        <v>67.34</v>
      </c>
      <c r="K549" s="4">
        <v>46.23</v>
      </c>
      <c r="L549" s="4">
        <v>54.78</v>
      </c>
      <c r="M549" s="4">
        <v>51.13</v>
      </c>
      <c r="N549" s="4">
        <v>44.37</v>
      </c>
      <c r="O549" s="4">
        <v>38.97</v>
      </c>
      <c r="P549" s="6">
        <v>69.599999999999994</v>
      </c>
      <c r="Q549" s="4">
        <v>48.44</v>
      </c>
      <c r="R549" s="6">
        <v>67.5</v>
      </c>
      <c r="S549" s="6">
        <v>69.98</v>
      </c>
      <c r="T549" s="6">
        <v>64.239999999999995</v>
      </c>
      <c r="U549" s="4">
        <v>37.03</v>
      </c>
      <c r="V549" s="6">
        <v>63.44</v>
      </c>
      <c r="W549" s="4"/>
      <c r="X549" s="4"/>
      <c r="Y549" s="4"/>
    </row>
    <row r="550" spans="1:25" ht="15" customHeight="1" x14ac:dyDescent="0.45">
      <c r="A550" s="3">
        <v>45476</v>
      </c>
      <c r="B550" s="4">
        <v>46.27</v>
      </c>
      <c r="C550" s="4">
        <v>30.62</v>
      </c>
      <c r="D550" s="4">
        <v>30.17</v>
      </c>
      <c r="E550" s="4">
        <v>37.03</v>
      </c>
      <c r="F550" s="6">
        <v>60.16</v>
      </c>
      <c r="G550" s="4">
        <v>39.94</v>
      </c>
      <c r="H550" s="4">
        <v>44.25</v>
      </c>
      <c r="I550" s="4">
        <v>44.12</v>
      </c>
      <c r="J550" s="6">
        <v>63.22</v>
      </c>
      <c r="K550" s="4">
        <v>40.6</v>
      </c>
      <c r="L550" s="4">
        <v>51.18</v>
      </c>
      <c r="M550" s="4">
        <v>48.25</v>
      </c>
      <c r="N550" s="4">
        <v>43</v>
      </c>
      <c r="O550" s="4">
        <v>40.33</v>
      </c>
      <c r="P550" s="5">
        <v>70.290000000000006</v>
      </c>
      <c r="Q550" s="4">
        <v>45.3</v>
      </c>
      <c r="R550" s="6">
        <v>62.01</v>
      </c>
      <c r="S550" s="6">
        <v>62.31</v>
      </c>
      <c r="T550" s="4">
        <v>59.66</v>
      </c>
      <c r="U550" s="4">
        <v>35.89</v>
      </c>
      <c r="V550" s="4">
        <v>58.88</v>
      </c>
      <c r="W550" s="4"/>
      <c r="X550" s="4"/>
      <c r="Y550" s="4"/>
    </row>
    <row r="551" spans="1:25" ht="15" customHeight="1" x14ac:dyDescent="0.45">
      <c r="A551" s="3">
        <v>45475</v>
      </c>
      <c r="B551" s="4">
        <v>48.65</v>
      </c>
      <c r="C551" s="4">
        <v>34.94</v>
      </c>
      <c r="D551" s="4">
        <v>34.08</v>
      </c>
      <c r="E551" s="4">
        <v>37.92</v>
      </c>
      <c r="F551" s="6">
        <v>62.74</v>
      </c>
      <c r="G551" s="4">
        <v>42.21</v>
      </c>
      <c r="H551" s="4">
        <v>41.57</v>
      </c>
      <c r="I551" s="4">
        <v>46.23</v>
      </c>
      <c r="J551" s="6">
        <v>60.27</v>
      </c>
      <c r="K551" s="4">
        <v>45.62</v>
      </c>
      <c r="L551" s="4">
        <v>51.08</v>
      </c>
      <c r="M551" s="4">
        <v>48.77</v>
      </c>
      <c r="N551" s="4">
        <v>44.52</v>
      </c>
      <c r="O551" s="4">
        <v>41.33</v>
      </c>
      <c r="P551" s="6">
        <v>69.27</v>
      </c>
      <c r="Q551" s="4">
        <v>46.3</v>
      </c>
      <c r="R551" s="4">
        <v>58.23</v>
      </c>
      <c r="S551" s="4">
        <v>56.57</v>
      </c>
      <c r="T551" s="6">
        <v>60.96</v>
      </c>
      <c r="U551" s="4">
        <v>33.869999999999997</v>
      </c>
      <c r="V551" s="4">
        <v>57.03</v>
      </c>
      <c r="W551" s="4"/>
      <c r="X551" s="4"/>
      <c r="Y551" s="4"/>
    </row>
    <row r="552" spans="1:25" ht="15" customHeight="1" x14ac:dyDescent="0.45">
      <c r="A552" s="3">
        <v>45474</v>
      </c>
      <c r="B552" s="4">
        <v>50.07</v>
      </c>
      <c r="C552" s="4">
        <v>37.31</v>
      </c>
      <c r="D552" s="4">
        <v>40.22</v>
      </c>
      <c r="E552" s="4">
        <v>44.55</v>
      </c>
      <c r="F552" s="4">
        <v>55.65</v>
      </c>
      <c r="G552" s="4">
        <v>42.48</v>
      </c>
      <c r="H552" s="4">
        <v>45.8</v>
      </c>
      <c r="I552" s="4">
        <v>55.21</v>
      </c>
      <c r="J552" s="6">
        <v>63.39</v>
      </c>
      <c r="K552" s="4">
        <v>50.78</v>
      </c>
      <c r="L552" s="6">
        <v>64.930000000000007</v>
      </c>
      <c r="M552" s="4">
        <v>57.29</v>
      </c>
      <c r="N552" s="4">
        <v>53.25</v>
      </c>
      <c r="O552" s="4">
        <v>50.94</v>
      </c>
      <c r="P552" s="5">
        <v>72.97</v>
      </c>
      <c r="Q552" s="4">
        <v>49.82</v>
      </c>
      <c r="R552" s="4">
        <v>55.27</v>
      </c>
      <c r="S552" s="4">
        <v>55.1</v>
      </c>
      <c r="T552" s="4">
        <v>58.4</v>
      </c>
      <c r="U552" s="4">
        <v>40.29</v>
      </c>
      <c r="V552" s="6">
        <v>63.16</v>
      </c>
      <c r="W552" s="4"/>
      <c r="X552" s="4"/>
      <c r="Y552" s="4"/>
    </row>
    <row r="553" spans="1:25" ht="15" customHeight="1" x14ac:dyDescent="0.45">
      <c r="A553" s="3">
        <v>45471</v>
      </c>
      <c r="B553" s="4">
        <v>59.4</v>
      </c>
      <c r="C553" s="4">
        <v>38.47</v>
      </c>
      <c r="D553" s="4">
        <v>42.01</v>
      </c>
      <c r="E553" s="4">
        <v>43.89</v>
      </c>
      <c r="F553" s="4">
        <v>36.22</v>
      </c>
      <c r="G553" s="4">
        <v>41.69</v>
      </c>
      <c r="H553" s="4">
        <v>40.11</v>
      </c>
      <c r="I553" s="4">
        <v>57.43</v>
      </c>
      <c r="J553" s="6">
        <v>61.2</v>
      </c>
      <c r="K553" s="4">
        <v>59.53</v>
      </c>
      <c r="L553" s="5">
        <v>71.05</v>
      </c>
      <c r="M553" s="6">
        <v>60.91</v>
      </c>
      <c r="N553" s="4">
        <v>53.62</v>
      </c>
      <c r="O553" s="4">
        <v>48.29</v>
      </c>
      <c r="P553" s="6">
        <v>68.680000000000007</v>
      </c>
      <c r="Q553" s="4">
        <v>53.76</v>
      </c>
      <c r="R553" s="6">
        <v>60.08</v>
      </c>
      <c r="S553" s="6">
        <v>60.1</v>
      </c>
      <c r="T553" s="6">
        <v>68.36</v>
      </c>
      <c r="U553" s="4">
        <v>41.64</v>
      </c>
      <c r="V553" s="6">
        <v>61.07</v>
      </c>
      <c r="W553" s="4"/>
      <c r="X553" s="4"/>
      <c r="Y553" s="4"/>
    </row>
    <row r="554" spans="1:25" ht="15" customHeight="1" x14ac:dyDescent="0.45">
      <c r="A554" s="3">
        <v>45470</v>
      </c>
      <c r="B554" s="4">
        <v>54.54</v>
      </c>
      <c r="C554" s="4">
        <v>30.21</v>
      </c>
      <c r="D554" s="4">
        <v>42.43</v>
      </c>
      <c r="E554" s="4">
        <v>39.67</v>
      </c>
      <c r="F554" s="4">
        <v>36.520000000000003</v>
      </c>
      <c r="G554" s="4">
        <v>39.369999999999997</v>
      </c>
      <c r="H554" s="4">
        <v>37.42</v>
      </c>
      <c r="I554" s="4">
        <v>54.64</v>
      </c>
      <c r="J554" s="6">
        <v>61.22</v>
      </c>
      <c r="K554" s="6">
        <v>60</v>
      </c>
      <c r="L554" s="5">
        <v>71.790000000000006</v>
      </c>
      <c r="M554" s="4">
        <v>58.93</v>
      </c>
      <c r="N554" s="4">
        <v>52.53</v>
      </c>
      <c r="O554" s="4">
        <v>43.48</v>
      </c>
      <c r="P554" s="6">
        <v>67.290000000000006</v>
      </c>
      <c r="Q554" s="4">
        <v>45.84</v>
      </c>
      <c r="R554" s="4">
        <v>53.85</v>
      </c>
      <c r="S554" s="4">
        <v>51.76</v>
      </c>
      <c r="T554" s="6">
        <v>63.82</v>
      </c>
      <c r="U554" s="4">
        <v>34.090000000000003</v>
      </c>
      <c r="V554" s="6">
        <v>60.35</v>
      </c>
      <c r="W554" s="4"/>
      <c r="X554" s="4"/>
      <c r="Y554" s="4"/>
    </row>
    <row r="555" spans="1:25" ht="15" customHeight="1" x14ac:dyDescent="0.45">
      <c r="A555" s="3">
        <v>45469</v>
      </c>
      <c r="B555" s="4">
        <v>58.17</v>
      </c>
      <c r="C555" s="4">
        <v>32.299999999999997</v>
      </c>
      <c r="D555" s="4">
        <v>46.9</v>
      </c>
      <c r="E555" s="4">
        <v>43.95</v>
      </c>
      <c r="F555" s="4">
        <v>37.4</v>
      </c>
      <c r="G555" s="4">
        <v>43.74</v>
      </c>
      <c r="H555" s="4">
        <v>40.99</v>
      </c>
      <c r="I555" s="6">
        <v>62.88</v>
      </c>
      <c r="J555" s="6">
        <v>61.05</v>
      </c>
      <c r="K555" s="6">
        <v>65.790000000000006</v>
      </c>
      <c r="L555" s="6">
        <v>69.47</v>
      </c>
      <c r="M555" s="6">
        <v>60.39</v>
      </c>
      <c r="N555" s="4">
        <v>57.11</v>
      </c>
      <c r="O555" s="4">
        <v>47.45</v>
      </c>
      <c r="P555" s="6">
        <v>66.180000000000007</v>
      </c>
      <c r="Q555" s="4">
        <v>55.8</v>
      </c>
      <c r="R555" s="4">
        <v>55.71</v>
      </c>
      <c r="S555" s="4">
        <v>52.43</v>
      </c>
      <c r="T555" s="6">
        <v>63.63</v>
      </c>
      <c r="U555" s="4">
        <v>41</v>
      </c>
      <c r="V555" s="6">
        <v>60.99</v>
      </c>
      <c r="W555" s="4"/>
      <c r="X555" s="4"/>
      <c r="Y555" s="4"/>
    </row>
    <row r="556" spans="1:25" ht="15" customHeight="1" x14ac:dyDescent="0.45">
      <c r="A556" s="3">
        <v>45468</v>
      </c>
      <c r="B556" s="4">
        <v>59.95</v>
      </c>
      <c r="C556" s="4">
        <v>34.619999999999997</v>
      </c>
      <c r="D556" s="4">
        <v>46.76</v>
      </c>
      <c r="E556" s="4">
        <v>43.32</v>
      </c>
      <c r="F556" s="4">
        <v>40.31</v>
      </c>
      <c r="G556" s="4">
        <v>49.74</v>
      </c>
      <c r="H556" s="4">
        <v>40.74</v>
      </c>
      <c r="I556" s="6">
        <v>60.86</v>
      </c>
      <c r="J556" s="4">
        <v>57.2</v>
      </c>
      <c r="K556" s="6">
        <v>60.58</v>
      </c>
      <c r="L556" s="6">
        <v>68.56</v>
      </c>
      <c r="M556" s="4">
        <v>57.94</v>
      </c>
      <c r="N556" s="6">
        <v>60.26</v>
      </c>
      <c r="O556" s="4">
        <v>47.03</v>
      </c>
      <c r="P556" s="6">
        <v>65.94</v>
      </c>
      <c r="Q556" s="6">
        <v>60</v>
      </c>
      <c r="R556" s="4">
        <v>54.98</v>
      </c>
      <c r="S556" s="4">
        <v>58.03</v>
      </c>
      <c r="T556" s="6">
        <v>60.03</v>
      </c>
      <c r="U556" s="4">
        <v>39.29</v>
      </c>
      <c r="V556" s="4">
        <v>57.93</v>
      </c>
      <c r="W556" s="4"/>
      <c r="X556" s="4"/>
      <c r="Y556" s="4"/>
    </row>
    <row r="557" spans="1:25" ht="15" customHeight="1" x14ac:dyDescent="0.45">
      <c r="A557" s="3">
        <v>45467</v>
      </c>
      <c r="B557" s="6">
        <v>61.27</v>
      </c>
      <c r="C557" s="4">
        <v>34.92</v>
      </c>
      <c r="D557" s="4">
        <v>46.44</v>
      </c>
      <c r="E557" s="4">
        <v>43.71</v>
      </c>
      <c r="F557" s="4">
        <v>38.78</v>
      </c>
      <c r="G557" s="4">
        <v>48.18</v>
      </c>
      <c r="H557" s="4">
        <v>36.94</v>
      </c>
      <c r="I557" s="6">
        <v>64.45</v>
      </c>
      <c r="J557" s="4">
        <v>56.77</v>
      </c>
      <c r="K557" s="6">
        <v>65.069999999999993</v>
      </c>
      <c r="L557" s="6">
        <v>65.010000000000005</v>
      </c>
      <c r="M557" s="4">
        <v>58.75</v>
      </c>
      <c r="N557" s="6">
        <v>65.55</v>
      </c>
      <c r="O557" s="4">
        <v>45.06</v>
      </c>
      <c r="P557" s="6">
        <v>60.6</v>
      </c>
      <c r="Q557" s="4">
        <v>58.1</v>
      </c>
      <c r="R557" s="4">
        <v>52.7</v>
      </c>
      <c r="S557" s="4">
        <v>49.65</v>
      </c>
      <c r="T557" s="4">
        <v>57.65</v>
      </c>
      <c r="U557" s="4">
        <v>36.18</v>
      </c>
      <c r="V557" s="4">
        <v>56.83</v>
      </c>
      <c r="W557" s="4"/>
      <c r="X557" s="4"/>
      <c r="Y557" s="4"/>
    </row>
    <row r="558" spans="1:25" ht="15" customHeight="1" x14ac:dyDescent="0.45">
      <c r="A558" s="3">
        <v>45464</v>
      </c>
      <c r="B558" s="6">
        <v>67.88</v>
      </c>
      <c r="C558" s="4">
        <v>38.07</v>
      </c>
      <c r="D558" s="4">
        <v>49.53</v>
      </c>
      <c r="E558" s="4">
        <v>47.91</v>
      </c>
      <c r="F558" s="4">
        <v>41.33</v>
      </c>
      <c r="G558" s="4">
        <v>45.83</v>
      </c>
      <c r="H558" s="4">
        <v>39.47</v>
      </c>
      <c r="I558" s="5">
        <v>70.260000000000005</v>
      </c>
      <c r="J558" s="4">
        <v>59.63</v>
      </c>
      <c r="K558" s="6">
        <v>65.75</v>
      </c>
      <c r="L558" s="6">
        <v>63.28</v>
      </c>
      <c r="M558" s="4">
        <v>56.33</v>
      </c>
      <c r="N558" s="6">
        <v>64.08</v>
      </c>
      <c r="O558" s="4">
        <v>50.28</v>
      </c>
      <c r="P558" s="6">
        <v>61.74</v>
      </c>
      <c r="Q558" s="4">
        <v>57.95</v>
      </c>
      <c r="R558" s="4">
        <v>58.24</v>
      </c>
      <c r="S558" s="4">
        <v>51.24</v>
      </c>
      <c r="T558" s="6">
        <v>64.66</v>
      </c>
      <c r="U558" s="4">
        <v>42.02</v>
      </c>
      <c r="V558" s="6">
        <v>60.13</v>
      </c>
      <c r="W558" s="4"/>
      <c r="X558" s="4"/>
      <c r="Y558" s="4"/>
    </row>
    <row r="559" spans="1:25" ht="15" customHeight="1" x14ac:dyDescent="0.45">
      <c r="A559" s="3">
        <v>45463</v>
      </c>
      <c r="B559" s="6">
        <v>65.790000000000006</v>
      </c>
      <c r="C559" s="4">
        <v>41.02</v>
      </c>
      <c r="D559" s="4">
        <v>55.23</v>
      </c>
      <c r="E559" s="4">
        <v>52.26</v>
      </c>
      <c r="F559" s="4">
        <v>43.4</v>
      </c>
      <c r="G559" s="4">
        <v>47.89</v>
      </c>
      <c r="H559" s="4">
        <v>41.26</v>
      </c>
      <c r="I559" s="6">
        <v>69.760000000000005</v>
      </c>
      <c r="J559" s="6">
        <v>65.739999999999995</v>
      </c>
      <c r="K559" s="6">
        <v>61.97</v>
      </c>
      <c r="L559" s="5">
        <v>70.11</v>
      </c>
      <c r="M559" s="4">
        <v>54.44</v>
      </c>
      <c r="N559" s="5">
        <v>75.02</v>
      </c>
      <c r="O559" s="4">
        <v>53.96</v>
      </c>
      <c r="P559" s="6">
        <v>62.65</v>
      </c>
      <c r="Q559" s="4">
        <v>49.18</v>
      </c>
      <c r="R559" s="4">
        <v>57.85</v>
      </c>
      <c r="S559" s="4">
        <v>56.82</v>
      </c>
      <c r="T559" s="6">
        <v>63.27</v>
      </c>
      <c r="U559" s="4">
        <v>40.51</v>
      </c>
      <c r="V559" s="6">
        <v>66.86</v>
      </c>
      <c r="W559" s="4"/>
      <c r="X559" s="4"/>
      <c r="Y559" s="4"/>
    </row>
    <row r="560" spans="1:25" ht="15" customHeight="1" x14ac:dyDescent="0.45">
      <c r="A560" s="3">
        <v>45462</v>
      </c>
      <c r="B560" s="6">
        <v>69.03</v>
      </c>
      <c r="C560" s="4">
        <v>42.05</v>
      </c>
      <c r="D560" s="4">
        <v>44.43</v>
      </c>
      <c r="E560" s="4">
        <v>49.22</v>
      </c>
      <c r="F560" s="4">
        <v>46.85</v>
      </c>
      <c r="G560" s="4">
        <v>47.05</v>
      </c>
      <c r="H560" s="4">
        <v>41.95</v>
      </c>
      <c r="I560" s="6">
        <v>69.31</v>
      </c>
      <c r="J560" s="6">
        <v>64.75</v>
      </c>
      <c r="K560" s="4">
        <v>59.14</v>
      </c>
      <c r="L560" s="5">
        <v>74.19</v>
      </c>
      <c r="M560" s="4">
        <v>52.35</v>
      </c>
      <c r="N560" s="5">
        <v>70.03</v>
      </c>
      <c r="O560" s="4">
        <v>46.8</v>
      </c>
      <c r="P560" s="4">
        <v>59.4</v>
      </c>
      <c r="Q560" s="4">
        <v>47.98</v>
      </c>
      <c r="R560" s="4">
        <v>53.33</v>
      </c>
      <c r="S560" s="4">
        <v>47.76</v>
      </c>
      <c r="T560" s="4">
        <v>57.45</v>
      </c>
      <c r="U560" s="4">
        <v>40.4</v>
      </c>
      <c r="V560" s="6">
        <v>66.47</v>
      </c>
      <c r="W560" s="4"/>
      <c r="X560" s="4"/>
      <c r="Y560" s="4"/>
    </row>
    <row r="561" spans="1:25" ht="15" customHeight="1" x14ac:dyDescent="0.45">
      <c r="A561" s="3">
        <v>45461</v>
      </c>
      <c r="B561" s="5">
        <v>82.8</v>
      </c>
      <c r="C561" s="4">
        <v>44.19</v>
      </c>
      <c r="D561" s="4">
        <v>47.31</v>
      </c>
      <c r="E561" s="4">
        <v>46.73</v>
      </c>
      <c r="F561" s="4">
        <v>39.090000000000003</v>
      </c>
      <c r="G561" s="4">
        <v>50.65</v>
      </c>
      <c r="H561" s="4">
        <v>35.57</v>
      </c>
      <c r="I561" s="6">
        <v>67.47</v>
      </c>
      <c r="J561" s="6">
        <v>61.23</v>
      </c>
      <c r="K561" s="4">
        <v>55.02</v>
      </c>
      <c r="L561" s="5">
        <v>70.42</v>
      </c>
      <c r="M561" s="4">
        <v>54.67</v>
      </c>
      <c r="N561" s="6">
        <v>69.33</v>
      </c>
      <c r="O561" s="4">
        <v>39.97</v>
      </c>
      <c r="P561" s="4">
        <v>54.7</v>
      </c>
      <c r="Q561" s="4">
        <v>50.95</v>
      </c>
      <c r="R561" s="4">
        <v>47.56</v>
      </c>
      <c r="S561" s="4">
        <v>44.76</v>
      </c>
      <c r="T561" s="4">
        <v>49.85</v>
      </c>
      <c r="U561" s="4">
        <v>36.200000000000003</v>
      </c>
      <c r="V561" s="6">
        <v>62.48</v>
      </c>
      <c r="W561" s="4"/>
      <c r="X561" s="4"/>
      <c r="Y561" s="4"/>
    </row>
    <row r="562" spans="1:25" ht="15" customHeight="1" x14ac:dyDescent="0.45">
      <c r="A562" s="3">
        <v>45460</v>
      </c>
      <c r="B562" s="5">
        <v>84.78</v>
      </c>
      <c r="C562" s="4">
        <v>46.18</v>
      </c>
      <c r="D562" s="4">
        <v>49.42</v>
      </c>
      <c r="E562" s="4">
        <v>51.33</v>
      </c>
      <c r="F562" s="4">
        <v>39.299999999999997</v>
      </c>
      <c r="G562" s="4">
        <v>48.9</v>
      </c>
      <c r="H562" s="4">
        <v>36.79</v>
      </c>
      <c r="I562" s="6">
        <v>67.650000000000006</v>
      </c>
      <c r="J562" s="4">
        <v>56.29</v>
      </c>
      <c r="K562" s="4">
        <v>56.58</v>
      </c>
      <c r="L562" s="6">
        <v>69.39</v>
      </c>
      <c r="M562" s="4">
        <v>55.94</v>
      </c>
      <c r="N562" s="6">
        <v>66.45</v>
      </c>
      <c r="O562" s="4">
        <v>41.65</v>
      </c>
      <c r="P562" s="4">
        <v>50.22</v>
      </c>
      <c r="Q562" s="4">
        <v>44.55</v>
      </c>
      <c r="R562" s="4">
        <v>47.65</v>
      </c>
      <c r="S562" s="4">
        <v>36.340000000000003</v>
      </c>
      <c r="T562" s="4">
        <v>46.41</v>
      </c>
      <c r="U562" s="4">
        <v>37.18</v>
      </c>
      <c r="V562" s="4">
        <v>59.16</v>
      </c>
      <c r="W562" s="4"/>
      <c r="X562" s="4"/>
      <c r="Y562" s="4"/>
    </row>
    <row r="563" spans="1:25" ht="15" customHeight="1" x14ac:dyDescent="0.45">
      <c r="A563" s="3">
        <v>45457</v>
      </c>
      <c r="B563" s="5">
        <v>82.1</v>
      </c>
      <c r="C563" s="4">
        <v>44.76</v>
      </c>
      <c r="D563" s="4">
        <v>50.97</v>
      </c>
      <c r="E563" s="4">
        <v>56.85</v>
      </c>
      <c r="F563" s="4">
        <v>41.1</v>
      </c>
      <c r="G563" s="4">
        <v>49.96</v>
      </c>
      <c r="H563" s="4">
        <v>40.85</v>
      </c>
      <c r="I563" s="6">
        <v>66.790000000000006</v>
      </c>
      <c r="J563" s="6">
        <v>60.97</v>
      </c>
      <c r="K563" s="4">
        <v>56.12</v>
      </c>
      <c r="L563" s="6">
        <v>61.94</v>
      </c>
      <c r="M563" s="4">
        <v>57.6</v>
      </c>
      <c r="N563" s="6">
        <v>65.040000000000006</v>
      </c>
      <c r="O563" s="4">
        <v>45.03</v>
      </c>
      <c r="P563" s="4">
        <v>54.37</v>
      </c>
      <c r="Q563" s="4">
        <v>45.15</v>
      </c>
      <c r="R563" s="4">
        <v>49.61</v>
      </c>
      <c r="S563" s="4">
        <v>36.35</v>
      </c>
      <c r="T563" s="4">
        <v>45.49</v>
      </c>
      <c r="U563" s="4">
        <v>42.93</v>
      </c>
      <c r="V563" s="6">
        <v>61.41</v>
      </c>
      <c r="W563" s="4"/>
      <c r="X563" s="4"/>
      <c r="Y563" s="4"/>
    </row>
    <row r="564" spans="1:25" ht="15" customHeight="1" x14ac:dyDescent="0.45">
      <c r="A564" s="3">
        <v>45456</v>
      </c>
      <c r="B564" s="5">
        <v>78.53</v>
      </c>
      <c r="C564" s="4">
        <v>46.68</v>
      </c>
      <c r="D564" s="4">
        <v>47.24</v>
      </c>
      <c r="E564" s="4">
        <v>59.44</v>
      </c>
      <c r="F564" s="4">
        <v>41.17</v>
      </c>
      <c r="G564" s="4">
        <v>52.07</v>
      </c>
      <c r="H564" s="4">
        <v>39.979999999999997</v>
      </c>
      <c r="I564" s="6">
        <v>69.010000000000005</v>
      </c>
      <c r="J564" s="6">
        <v>60.95</v>
      </c>
      <c r="K564" s="4">
        <v>57.07</v>
      </c>
      <c r="L564" s="4">
        <v>57.82</v>
      </c>
      <c r="M564" s="4">
        <v>56.5</v>
      </c>
      <c r="N564" s="6">
        <v>64.650000000000006</v>
      </c>
      <c r="O564" s="4">
        <v>46.54</v>
      </c>
      <c r="P564" s="4">
        <v>45.94</v>
      </c>
      <c r="Q564" s="4">
        <v>45.35</v>
      </c>
      <c r="R564" s="4">
        <v>51.85</v>
      </c>
      <c r="S564" s="4">
        <v>39.020000000000003</v>
      </c>
      <c r="T564" s="4">
        <v>44.35</v>
      </c>
      <c r="U564" s="4">
        <v>41.63</v>
      </c>
      <c r="V564" s="6">
        <v>60.83</v>
      </c>
      <c r="W564" s="4"/>
      <c r="X564" s="4"/>
      <c r="Y564" s="4"/>
    </row>
    <row r="565" spans="1:25" ht="15" customHeight="1" x14ac:dyDescent="0.45">
      <c r="A565" s="3">
        <v>45455</v>
      </c>
      <c r="B565" s="5">
        <v>78.489999999999995</v>
      </c>
      <c r="C565" s="4">
        <v>52.16</v>
      </c>
      <c r="D565" s="4">
        <v>44.23</v>
      </c>
      <c r="E565" s="6">
        <v>61.17</v>
      </c>
      <c r="F565" s="4">
        <v>44.52</v>
      </c>
      <c r="G565" s="4">
        <v>48.84</v>
      </c>
      <c r="H565" s="4">
        <v>41.86</v>
      </c>
      <c r="I565" s="6">
        <v>65.930000000000007</v>
      </c>
      <c r="J565" s="4">
        <v>54.79</v>
      </c>
      <c r="K565" s="4">
        <v>45.2</v>
      </c>
      <c r="L565" s="4">
        <v>58.24</v>
      </c>
      <c r="M565" s="4">
        <v>49.75</v>
      </c>
      <c r="N565" s="6">
        <v>60.83</v>
      </c>
      <c r="O565" s="4">
        <v>45.98</v>
      </c>
      <c r="P565" s="4">
        <v>46.25</v>
      </c>
      <c r="Q565" s="4">
        <v>49.52</v>
      </c>
      <c r="R565" s="4">
        <v>52.87</v>
      </c>
      <c r="S565" s="4">
        <v>40.58</v>
      </c>
      <c r="T565" s="4">
        <v>47.88</v>
      </c>
      <c r="U565" s="4">
        <v>38.47</v>
      </c>
      <c r="V565" s="4">
        <v>56.75</v>
      </c>
      <c r="W565" s="4"/>
      <c r="X565" s="4"/>
      <c r="Y565" s="4"/>
    </row>
    <row r="566" spans="1:25" ht="15" customHeight="1" x14ac:dyDescent="0.45">
      <c r="A566" s="3">
        <v>45454</v>
      </c>
      <c r="B566" s="5">
        <v>75.739999999999995</v>
      </c>
      <c r="C566" s="4">
        <v>50.51</v>
      </c>
      <c r="D566" s="4">
        <v>42.47</v>
      </c>
      <c r="E566" s="4">
        <v>56.92</v>
      </c>
      <c r="F566" s="4">
        <v>47.46</v>
      </c>
      <c r="G566" s="4">
        <v>52.04</v>
      </c>
      <c r="H566" s="4">
        <v>44.8</v>
      </c>
      <c r="I566" s="4">
        <v>56.22</v>
      </c>
      <c r="J566" s="4">
        <v>51.72</v>
      </c>
      <c r="K566" s="4">
        <v>47.56</v>
      </c>
      <c r="L566" s="4">
        <v>56.72</v>
      </c>
      <c r="M566" s="4">
        <v>47.82</v>
      </c>
      <c r="N566" s="4">
        <v>59.14</v>
      </c>
      <c r="O566" s="4">
        <v>41.66</v>
      </c>
      <c r="P566" s="4">
        <v>49.55</v>
      </c>
      <c r="Q566" s="4">
        <v>48.29</v>
      </c>
      <c r="R566" s="4">
        <v>49.31</v>
      </c>
      <c r="S566" s="4">
        <v>39.11</v>
      </c>
      <c r="T566" s="4">
        <v>48.04</v>
      </c>
      <c r="U566" s="4">
        <v>34.93</v>
      </c>
      <c r="V566" s="4">
        <v>53.55</v>
      </c>
      <c r="W566" s="4"/>
      <c r="X566" s="4"/>
      <c r="Y566" s="4"/>
    </row>
    <row r="567" spans="1:25" ht="15" customHeight="1" x14ac:dyDescent="0.45">
      <c r="A567" s="3">
        <v>45453</v>
      </c>
      <c r="B567" s="5">
        <v>78.28</v>
      </c>
      <c r="C567" s="4">
        <v>48.06</v>
      </c>
      <c r="D567" s="4">
        <v>45.88</v>
      </c>
      <c r="E567" s="4">
        <v>50.63</v>
      </c>
      <c r="F567" s="4">
        <v>45.65</v>
      </c>
      <c r="G567" s="4">
        <v>55.54</v>
      </c>
      <c r="H567" s="4">
        <v>41.79</v>
      </c>
      <c r="I567" s="4">
        <v>58.11</v>
      </c>
      <c r="J567" s="4">
        <v>51.4</v>
      </c>
      <c r="K567" s="4">
        <v>51.27</v>
      </c>
      <c r="L567" s="4">
        <v>55.92</v>
      </c>
      <c r="M567" s="4">
        <v>41.34</v>
      </c>
      <c r="N567" s="4">
        <v>56.6</v>
      </c>
      <c r="O567" s="4">
        <v>45.06</v>
      </c>
      <c r="P567" s="4">
        <v>54.98</v>
      </c>
      <c r="Q567" s="4">
        <v>50.03</v>
      </c>
      <c r="R567" s="4">
        <v>51.09</v>
      </c>
      <c r="S567" s="4">
        <v>42.86</v>
      </c>
      <c r="T567" s="4">
        <v>49.25</v>
      </c>
      <c r="U567" s="4">
        <v>35.47</v>
      </c>
      <c r="V567" s="4">
        <v>52.49</v>
      </c>
      <c r="W567" s="4"/>
      <c r="X567" s="4"/>
      <c r="Y567" s="4"/>
    </row>
    <row r="568" spans="1:25" ht="15" customHeight="1" x14ac:dyDescent="0.45">
      <c r="A568" s="3">
        <v>45450</v>
      </c>
      <c r="B568" s="6">
        <v>69.56</v>
      </c>
      <c r="C568" s="4">
        <v>52.69</v>
      </c>
      <c r="D568" s="4">
        <v>45.03</v>
      </c>
      <c r="E568" s="4">
        <v>53.72</v>
      </c>
      <c r="F568" s="4">
        <v>51.56</v>
      </c>
      <c r="G568" s="4">
        <v>55.58</v>
      </c>
      <c r="H568" s="4">
        <v>47.6</v>
      </c>
      <c r="I568" s="4">
        <v>55.54</v>
      </c>
      <c r="J568" s="4">
        <v>54.87</v>
      </c>
      <c r="K568" s="4">
        <v>53.3</v>
      </c>
      <c r="L568" s="4">
        <v>54.86</v>
      </c>
      <c r="M568" s="4">
        <v>44.77</v>
      </c>
      <c r="N568" s="4">
        <v>55.49</v>
      </c>
      <c r="O568" s="4">
        <v>44.86</v>
      </c>
      <c r="P568" s="6">
        <v>64.13</v>
      </c>
      <c r="Q568" s="4">
        <v>55.52</v>
      </c>
      <c r="R568" s="4">
        <v>53</v>
      </c>
      <c r="S568" s="4">
        <v>45.89</v>
      </c>
      <c r="T568" s="4">
        <v>50.08</v>
      </c>
      <c r="U568" s="4">
        <v>41.75</v>
      </c>
      <c r="V568" s="4">
        <v>55.34</v>
      </c>
      <c r="W568" s="4"/>
      <c r="X568" s="4"/>
      <c r="Y568" s="4"/>
    </row>
    <row r="569" spans="1:25" ht="15" customHeight="1" x14ac:dyDescent="0.45">
      <c r="A569" s="3">
        <v>45449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" customHeight="1" x14ac:dyDescent="0.45">
      <c r="A570" s="3">
        <v>45448</v>
      </c>
      <c r="B570" s="6">
        <v>65.97</v>
      </c>
      <c r="C570" s="4">
        <v>49.06</v>
      </c>
      <c r="D570" s="4">
        <v>47.89</v>
      </c>
      <c r="E570" s="4">
        <v>50.39</v>
      </c>
      <c r="F570" s="4">
        <v>52.01</v>
      </c>
      <c r="G570" s="6">
        <v>61.83</v>
      </c>
      <c r="H570" s="4">
        <v>44.16</v>
      </c>
      <c r="I570" s="4">
        <v>54.29</v>
      </c>
      <c r="J570" s="4">
        <v>50.48</v>
      </c>
      <c r="K570" s="4">
        <v>49.92</v>
      </c>
      <c r="L570" s="4">
        <v>52.17</v>
      </c>
      <c r="M570" s="4">
        <v>42.43</v>
      </c>
      <c r="N570" s="6">
        <v>64.45</v>
      </c>
      <c r="O570" s="4">
        <v>44.79</v>
      </c>
      <c r="P570" s="6">
        <v>60.68</v>
      </c>
      <c r="Q570" s="4">
        <v>50.54</v>
      </c>
      <c r="R570" s="4">
        <v>44.77</v>
      </c>
      <c r="S570" s="4">
        <v>41.57</v>
      </c>
      <c r="T570" s="4">
        <v>46.79</v>
      </c>
      <c r="U570" s="4">
        <v>40.25</v>
      </c>
      <c r="V570" s="4">
        <v>51.24</v>
      </c>
      <c r="W570" s="4"/>
      <c r="X570" s="4"/>
      <c r="Y570" s="4"/>
    </row>
    <row r="571" spans="1:25" ht="15" customHeight="1" x14ac:dyDescent="0.45">
      <c r="A571" s="3">
        <v>45447</v>
      </c>
      <c r="B571" s="6">
        <v>64.510000000000005</v>
      </c>
      <c r="C571" s="4">
        <v>43.82</v>
      </c>
      <c r="D571" s="4">
        <v>57.78</v>
      </c>
      <c r="E571" s="4">
        <v>46.83</v>
      </c>
      <c r="F571" s="4">
        <v>48.86</v>
      </c>
      <c r="G571" s="4">
        <v>56.21</v>
      </c>
      <c r="H571" s="4">
        <v>39.31</v>
      </c>
      <c r="I571" s="4">
        <v>51.56</v>
      </c>
      <c r="J571" s="4">
        <v>44.02</v>
      </c>
      <c r="K571" s="4">
        <v>43.66</v>
      </c>
      <c r="L571" s="4">
        <v>50.81</v>
      </c>
      <c r="M571" s="4">
        <v>42</v>
      </c>
      <c r="N571" s="6">
        <v>60.38</v>
      </c>
      <c r="O571" s="4">
        <v>47.35</v>
      </c>
      <c r="P571" s="6">
        <v>60.78</v>
      </c>
      <c r="Q571" s="4">
        <v>46.66</v>
      </c>
      <c r="R571" s="4">
        <v>45.97</v>
      </c>
      <c r="S571" s="4">
        <v>38.18</v>
      </c>
      <c r="T571" s="4">
        <v>47.69</v>
      </c>
      <c r="U571" s="4">
        <v>40.520000000000003</v>
      </c>
      <c r="V571" s="4">
        <v>45.47</v>
      </c>
      <c r="W571" s="4"/>
      <c r="X571" s="4"/>
      <c r="Y571" s="4"/>
    </row>
    <row r="572" spans="1:25" ht="15" customHeight="1" x14ac:dyDescent="0.45">
      <c r="A572" s="3">
        <v>45446</v>
      </c>
      <c r="B572" s="5">
        <v>73.58</v>
      </c>
      <c r="C572" s="4">
        <v>48.17</v>
      </c>
      <c r="D572" s="4">
        <v>49.17</v>
      </c>
      <c r="E572" s="4">
        <v>51.58</v>
      </c>
      <c r="F572" s="4">
        <v>41.03</v>
      </c>
      <c r="G572" s="4">
        <v>53.53</v>
      </c>
      <c r="H572" s="4">
        <v>39.15</v>
      </c>
      <c r="I572" s="4">
        <v>57.15</v>
      </c>
      <c r="J572" s="4">
        <v>44.77</v>
      </c>
      <c r="K572" s="4">
        <v>45.75</v>
      </c>
      <c r="L572" s="4">
        <v>56.49</v>
      </c>
      <c r="M572" s="4">
        <v>50.04</v>
      </c>
      <c r="N572" s="6">
        <v>61.87</v>
      </c>
      <c r="O572" s="4">
        <v>52.59</v>
      </c>
      <c r="P572" s="6">
        <v>63.5</v>
      </c>
      <c r="Q572" s="4">
        <v>55.07</v>
      </c>
      <c r="R572" s="4">
        <v>54.65</v>
      </c>
      <c r="S572" s="4">
        <v>45</v>
      </c>
      <c r="T572" s="4">
        <v>54.19</v>
      </c>
      <c r="U572" s="4">
        <v>36.49</v>
      </c>
      <c r="V572" s="4">
        <v>47.07</v>
      </c>
      <c r="W572" s="4"/>
      <c r="X572" s="4"/>
      <c r="Y572" s="4"/>
    </row>
    <row r="573" spans="1:25" ht="15" customHeight="1" x14ac:dyDescent="0.45">
      <c r="A573" s="3">
        <v>45443</v>
      </c>
      <c r="B573" s="6">
        <v>68.760000000000005</v>
      </c>
      <c r="C573" s="4">
        <v>53.38</v>
      </c>
      <c r="D573" s="4">
        <v>41.99</v>
      </c>
      <c r="E573" s="4">
        <v>49.45</v>
      </c>
      <c r="F573" s="7">
        <v>29.31</v>
      </c>
      <c r="G573" s="4">
        <v>47.22</v>
      </c>
      <c r="H573" s="4">
        <v>38.39</v>
      </c>
      <c r="I573" s="6">
        <v>65.290000000000006</v>
      </c>
      <c r="J573" s="4">
        <v>37.659999999999997</v>
      </c>
      <c r="K573" s="4">
        <v>45.07</v>
      </c>
      <c r="L573" s="4">
        <v>45.77</v>
      </c>
      <c r="M573" s="4">
        <v>34.78</v>
      </c>
      <c r="N573" s="4">
        <v>43.82</v>
      </c>
      <c r="O573" s="4">
        <v>49.68</v>
      </c>
      <c r="P573" s="4">
        <v>52.91</v>
      </c>
      <c r="Q573" s="4">
        <v>45.92</v>
      </c>
      <c r="R573" s="4">
        <v>53.12</v>
      </c>
      <c r="S573" s="4">
        <v>43.07</v>
      </c>
      <c r="T573" s="4">
        <v>50.73</v>
      </c>
      <c r="U573" s="7">
        <v>29.98</v>
      </c>
      <c r="V573" s="4">
        <v>39.26</v>
      </c>
      <c r="W573" s="4"/>
      <c r="X573" s="4"/>
      <c r="Y573" s="4"/>
    </row>
    <row r="574" spans="1:25" ht="15" customHeight="1" x14ac:dyDescent="0.45">
      <c r="A574" s="3">
        <v>45442</v>
      </c>
      <c r="B574" s="6">
        <v>69.94</v>
      </c>
      <c r="C574" s="4">
        <v>35.65</v>
      </c>
      <c r="D574" s="4">
        <v>38.619999999999997</v>
      </c>
      <c r="E574" s="4">
        <v>44.46</v>
      </c>
      <c r="F574" s="4">
        <v>30.57</v>
      </c>
      <c r="G574" s="4">
        <v>36.909999999999997</v>
      </c>
      <c r="H574" s="4">
        <v>36.43</v>
      </c>
      <c r="I574" s="6">
        <v>65.25</v>
      </c>
      <c r="J574" s="4">
        <v>38.75</v>
      </c>
      <c r="K574" s="4">
        <v>38.89</v>
      </c>
      <c r="L574" s="4">
        <v>48.33</v>
      </c>
      <c r="M574" s="4">
        <v>32.99</v>
      </c>
      <c r="N574" s="4">
        <v>37.159999999999997</v>
      </c>
      <c r="O574" s="4">
        <v>47.35</v>
      </c>
      <c r="P574" s="4">
        <v>50.02</v>
      </c>
      <c r="Q574" s="4">
        <v>47.64</v>
      </c>
      <c r="R574" s="4">
        <v>48.65</v>
      </c>
      <c r="S574" s="4">
        <v>44.07</v>
      </c>
      <c r="T574" s="4">
        <v>49.67</v>
      </c>
      <c r="U574" s="4">
        <v>30.08</v>
      </c>
      <c r="V574" s="4">
        <v>40.049999999999997</v>
      </c>
      <c r="W574" s="4"/>
      <c r="X574" s="4"/>
      <c r="Y574" s="4"/>
    </row>
    <row r="575" spans="1:25" ht="15" customHeight="1" x14ac:dyDescent="0.45">
      <c r="A575" s="3">
        <v>45441</v>
      </c>
      <c r="B575" s="5">
        <v>76.650000000000006</v>
      </c>
      <c r="C575" s="4">
        <v>37.340000000000003</v>
      </c>
      <c r="D575" s="4">
        <v>42.29</v>
      </c>
      <c r="E575" s="4">
        <v>47.67</v>
      </c>
      <c r="F575" s="4">
        <v>31.49</v>
      </c>
      <c r="G575" s="4">
        <v>43.72</v>
      </c>
      <c r="H575" s="4">
        <v>39.71</v>
      </c>
      <c r="I575" s="5">
        <v>71.34</v>
      </c>
      <c r="J575" s="4">
        <v>45.22</v>
      </c>
      <c r="K575" s="4">
        <v>39.520000000000003</v>
      </c>
      <c r="L575" s="4">
        <v>56.44</v>
      </c>
      <c r="M575" s="4">
        <v>33.49</v>
      </c>
      <c r="N575" s="4">
        <v>42.15</v>
      </c>
      <c r="O575" s="4">
        <v>56.1</v>
      </c>
      <c r="P575" s="4">
        <v>53.08</v>
      </c>
      <c r="Q575" s="4">
        <v>48.46</v>
      </c>
      <c r="R575" s="4">
        <v>49.41</v>
      </c>
      <c r="S575" s="4">
        <v>43.28</v>
      </c>
      <c r="T575" s="4">
        <v>50.01</v>
      </c>
      <c r="U575" s="4">
        <v>32.31</v>
      </c>
      <c r="V575" s="4">
        <v>46.72</v>
      </c>
      <c r="W575" s="4"/>
      <c r="X575" s="4"/>
      <c r="Y575" s="4"/>
    </row>
    <row r="576" spans="1:25" ht="15" customHeight="1" x14ac:dyDescent="0.45">
      <c r="A576" s="3">
        <v>45440</v>
      </c>
      <c r="B576" s="5">
        <v>80.290000000000006</v>
      </c>
      <c r="C576" s="4">
        <v>39.950000000000003</v>
      </c>
      <c r="D576" s="4">
        <v>48.33</v>
      </c>
      <c r="E576" s="4">
        <v>54.51</v>
      </c>
      <c r="F576" s="4">
        <v>35.81</v>
      </c>
      <c r="G576" s="4">
        <v>47.11</v>
      </c>
      <c r="H576" s="4">
        <v>42.96</v>
      </c>
      <c r="I576" s="5">
        <v>75.680000000000007</v>
      </c>
      <c r="J576" s="4">
        <v>53.61</v>
      </c>
      <c r="K576" s="4">
        <v>44.33</v>
      </c>
      <c r="L576" s="6">
        <v>61.85</v>
      </c>
      <c r="M576" s="4">
        <v>38.61</v>
      </c>
      <c r="N576" s="4">
        <v>44.3</v>
      </c>
      <c r="O576" s="4">
        <v>59.17</v>
      </c>
      <c r="P576" s="4">
        <v>54.42</v>
      </c>
      <c r="Q576" s="4">
        <v>48.44</v>
      </c>
      <c r="R576" s="4">
        <v>51.2</v>
      </c>
      <c r="S576" s="4">
        <v>43.04</v>
      </c>
      <c r="T576" s="4">
        <v>51.3</v>
      </c>
      <c r="U576" s="4">
        <v>36.659999999999997</v>
      </c>
      <c r="V576" s="4">
        <v>55.42</v>
      </c>
      <c r="W576" s="4"/>
      <c r="X576" s="4"/>
      <c r="Y576" s="4"/>
    </row>
    <row r="577" spans="1:25" ht="15" customHeight="1" x14ac:dyDescent="0.45">
      <c r="A577" s="3">
        <v>45439</v>
      </c>
      <c r="B577" s="5">
        <v>79.22</v>
      </c>
      <c r="C577" s="4">
        <v>42.44</v>
      </c>
      <c r="D577" s="4">
        <v>42.55</v>
      </c>
      <c r="E577" s="4">
        <v>58.76</v>
      </c>
      <c r="F577" s="4">
        <v>36.96</v>
      </c>
      <c r="G577" s="4">
        <v>49.26</v>
      </c>
      <c r="H577" s="4">
        <v>47.41</v>
      </c>
      <c r="I577" s="5">
        <v>72.78</v>
      </c>
      <c r="J577" s="4">
        <v>52.29</v>
      </c>
      <c r="K577" s="4">
        <v>45.95</v>
      </c>
      <c r="L577" s="6">
        <v>60.68</v>
      </c>
      <c r="M577" s="4">
        <v>41.69</v>
      </c>
      <c r="N577" s="4">
        <v>44.75</v>
      </c>
      <c r="O577" s="4">
        <v>59.96</v>
      </c>
      <c r="P577" s="4">
        <v>52.58</v>
      </c>
      <c r="Q577" s="4">
        <v>53.54</v>
      </c>
      <c r="R577" s="4">
        <v>50.76</v>
      </c>
      <c r="S577" s="4">
        <v>43.87</v>
      </c>
      <c r="T577" s="4">
        <v>48.32</v>
      </c>
      <c r="U577" s="4">
        <v>43.32</v>
      </c>
      <c r="V577" s="4">
        <v>54.66</v>
      </c>
      <c r="W577" s="4"/>
      <c r="X577" s="4"/>
      <c r="Y577" s="4"/>
    </row>
    <row r="578" spans="1:25" ht="15" customHeight="1" x14ac:dyDescent="0.45">
      <c r="A578" s="3">
        <v>45436</v>
      </c>
      <c r="B578" s="5">
        <v>77.34</v>
      </c>
      <c r="C578" s="4">
        <v>39.270000000000003</v>
      </c>
      <c r="D578" s="4">
        <v>43.92</v>
      </c>
      <c r="E578" s="4">
        <v>51.23</v>
      </c>
      <c r="F578" s="4">
        <v>36.35</v>
      </c>
      <c r="G578" s="4">
        <v>52.82</v>
      </c>
      <c r="H578" s="4">
        <v>41.86</v>
      </c>
      <c r="I578" s="6">
        <v>60.47</v>
      </c>
      <c r="J578" s="4">
        <v>45.74</v>
      </c>
      <c r="K578" s="4">
        <v>40.450000000000003</v>
      </c>
      <c r="L578" s="4">
        <v>59.24</v>
      </c>
      <c r="M578" s="4">
        <v>36.54</v>
      </c>
      <c r="N578" s="4">
        <v>43.56</v>
      </c>
      <c r="O578" s="4">
        <v>51.54</v>
      </c>
      <c r="P578" s="4">
        <v>47.83</v>
      </c>
      <c r="Q578" s="4">
        <v>50.88</v>
      </c>
      <c r="R578" s="4">
        <v>49.96</v>
      </c>
      <c r="S578" s="4">
        <v>42.87</v>
      </c>
      <c r="T578" s="4">
        <v>48.55</v>
      </c>
      <c r="U578" s="4">
        <v>40.92</v>
      </c>
      <c r="V578" s="4">
        <v>47.75</v>
      </c>
      <c r="W578" s="4"/>
      <c r="X578" s="4"/>
      <c r="Y578" s="4"/>
    </row>
    <row r="579" spans="1:25" ht="15" customHeight="1" x14ac:dyDescent="0.45">
      <c r="A579" s="3">
        <v>45435</v>
      </c>
      <c r="B579" s="5">
        <v>73.91</v>
      </c>
      <c r="C579" s="4">
        <v>41.77</v>
      </c>
      <c r="D579" s="4">
        <v>48.47</v>
      </c>
      <c r="E579" s="4">
        <v>57.4</v>
      </c>
      <c r="F579" s="4">
        <v>42.06</v>
      </c>
      <c r="G579" s="4">
        <v>58.25</v>
      </c>
      <c r="H579" s="4">
        <v>45</v>
      </c>
      <c r="I579" s="4">
        <v>58.92</v>
      </c>
      <c r="J579" s="4">
        <v>52.94</v>
      </c>
      <c r="K579" s="4">
        <v>45.53</v>
      </c>
      <c r="L579" s="6">
        <v>61.34</v>
      </c>
      <c r="M579" s="4">
        <v>40.26</v>
      </c>
      <c r="N579" s="4">
        <v>47.02</v>
      </c>
      <c r="O579" s="4">
        <v>55.43</v>
      </c>
      <c r="P579" s="4">
        <v>48.69</v>
      </c>
      <c r="Q579" s="4">
        <v>51.15</v>
      </c>
      <c r="R579" s="4">
        <v>51.81</v>
      </c>
      <c r="S579" s="4">
        <v>48.14</v>
      </c>
      <c r="T579" s="4">
        <v>51.71</v>
      </c>
      <c r="U579" s="4">
        <v>44.58</v>
      </c>
      <c r="V579" s="4">
        <v>54.78</v>
      </c>
      <c r="W579" s="4"/>
      <c r="X579" s="4"/>
      <c r="Y579" s="4"/>
    </row>
    <row r="580" spans="1:25" ht="15" customHeight="1" x14ac:dyDescent="0.45">
      <c r="A580" s="3">
        <v>45434</v>
      </c>
      <c r="B580" s="5">
        <v>81.290000000000006</v>
      </c>
      <c r="C580" s="4">
        <v>42.83</v>
      </c>
      <c r="D580" s="4">
        <v>48.99</v>
      </c>
      <c r="E580" s="4">
        <v>55.85</v>
      </c>
      <c r="F580" s="4">
        <v>45.03</v>
      </c>
      <c r="G580" s="6">
        <v>63.06</v>
      </c>
      <c r="H580" s="4">
        <v>48.89</v>
      </c>
      <c r="I580" s="4">
        <v>59.13</v>
      </c>
      <c r="J580" s="4">
        <v>50.68</v>
      </c>
      <c r="K580" s="4">
        <v>48.76</v>
      </c>
      <c r="L580" s="6">
        <v>61.61</v>
      </c>
      <c r="M580" s="4">
        <v>46.87</v>
      </c>
      <c r="N580" s="4">
        <v>47.8</v>
      </c>
      <c r="O580" s="4">
        <v>55.82</v>
      </c>
      <c r="P580" s="4">
        <v>50.15</v>
      </c>
      <c r="Q580" s="4">
        <v>58.64</v>
      </c>
      <c r="R580" s="4">
        <v>54.19</v>
      </c>
      <c r="S580" s="4">
        <v>51.56</v>
      </c>
      <c r="T580" s="4">
        <v>51.64</v>
      </c>
      <c r="U580" s="4">
        <v>45.36</v>
      </c>
      <c r="V580" s="4">
        <v>53.85</v>
      </c>
      <c r="W580" s="4"/>
      <c r="X580" s="4"/>
      <c r="Y580" s="4"/>
    </row>
    <row r="581" spans="1:25" ht="15" customHeight="1" x14ac:dyDescent="0.45">
      <c r="A581" s="3">
        <v>45433</v>
      </c>
      <c r="B581" s="5">
        <v>78.790000000000006</v>
      </c>
      <c r="C581" s="4">
        <v>45.35</v>
      </c>
      <c r="D581" s="4">
        <v>51.5</v>
      </c>
      <c r="E581" s="4">
        <v>53.1</v>
      </c>
      <c r="F581" s="4">
        <v>47.8</v>
      </c>
      <c r="G581" s="6">
        <v>64.349999999999994</v>
      </c>
      <c r="H581" s="4">
        <v>52.34</v>
      </c>
      <c r="I581" s="4">
        <v>54.08</v>
      </c>
      <c r="J581" s="4">
        <v>51.26</v>
      </c>
      <c r="K581" s="4">
        <v>48.22</v>
      </c>
      <c r="L581" s="4">
        <v>52.14</v>
      </c>
      <c r="M581" s="4">
        <v>48.98</v>
      </c>
      <c r="N581" s="4">
        <v>46.45</v>
      </c>
      <c r="O581" s="4">
        <v>48.84</v>
      </c>
      <c r="P581" s="4">
        <v>52.36</v>
      </c>
      <c r="Q581" s="4">
        <v>55.52</v>
      </c>
      <c r="R581" s="6">
        <v>60.01</v>
      </c>
      <c r="S581" s="4">
        <v>52.73</v>
      </c>
      <c r="T581" s="6">
        <v>64.02</v>
      </c>
      <c r="U581" s="4">
        <v>47.05</v>
      </c>
      <c r="V581" s="4">
        <v>52.22</v>
      </c>
      <c r="W581" s="4"/>
      <c r="X581" s="4"/>
      <c r="Y581" s="4"/>
    </row>
    <row r="582" spans="1:25" ht="15" customHeight="1" x14ac:dyDescent="0.45">
      <c r="A582" s="3">
        <v>45432</v>
      </c>
      <c r="B582" s="5">
        <v>83.11</v>
      </c>
      <c r="C582" s="4">
        <v>48.27</v>
      </c>
      <c r="D582" s="4">
        <v>54.69</v>
      </c>
      <c r="E582" s="4">
        <v>58.73</v>
      </c>
      <c r="F582" s="4">
        <v>51.34</v>
      </c>
      <c r="G582" s="5">
        <v>77.41</v>
      </c>
      <c r="H582" s="4">
        <v>57.22</v>
      </c>
      <c r="I582" s="4">
        <v>56.15</v>
      </c>
      <c r="J582" s="4">
        <v>54.04</v>
      </c>
      <c r="K582" s="4">
        <v>43.52</v>
      </c>
      <c r="L582" s="4">
        <v>52.48</v>
      </c>
      <c r="M582" s="4">
        <v>53.25</v>
      </c>
      <c r="N582" s="4">
        <v>45.99</v>
      </c>
      <c r="O582" s="4">
        <v>52.21</v>
      </c>
      <c r="P582" s="4">
        <v>57.32</v>
      </c>
      <c r="Q582" s="4">
        <v>59.51</v>
      </c>
      <c r="R582" s="6">
        <v>61.98</v>
      </c>
      <c r="S582" s="4">
        <v>54.59</v>
      </c>
      <c r="T582" s="6">
        <v>65.569999999999993</v>
      </c>
      <c r="U582" s="4">
        <v>46.53</v>
      </c>
      <c r="V582" s="4">
        <v>55.65</v>
      </c>
      <c r="W582" s="4"/>
      <c r="X582" s="4"/>
      <c r="Y582" s="4"/>
    </row>
    <row r="583" spans="1:25" ht="15" customHeight="1" x14ac:dyDescent="0.45">
      <c r="A583" s="3">
        <v>45429</v>
      </c>
      <c r="B583" s="5">
        <v>79.12</v>
      </c>
      <c r="C583" s="4">
        <v>52.17</v>
      </c>
      <c r="D583" s="4">
        <v>52.03</v>
      </c>
      <c r="E583" s="4">
        <v>57.05</v>
      </c>
      <c r="F583" s="4">
        <v>55.12</v>
      </c>
      <c r="G583" s="5">
        <v>76.55</v>
      </c>
      <c r="H583" s="4">
        <v>52.79</v>
      </c>
      <c r="I583" s="4">
        <v>55.51</v>
      </c>
      <c r="J583" s="4">
        <v>50.68</v>
      </c>
      <c r="K583" s="4">
        <v>44.15</v>
      </c>
      <c r="L583" s="4">
        <v>48.95</v>
      </c>
      <c r="M583" s="4">
        <v>50.98</v>
      </c>
      <c r="N583" s="4">
        <v>44</v>
      </c>
      <c r="O583" s="4">
        <v>52.64</v>
      </c>
      <c r="P583" s="4">
        <v>51.43</v>
      </c>
      <c r="Q583" s="4">
        <v>59.33</v>
      </c>
      <c r="R583" s="4">
        <v>59.84</v>
      </c>
      <c r="S583" s="4">
        <v>54.69</v>
      </c>
      <c r="T583" s="6">
        <v>63.35</v>
      </c>
      <c r="U583" s="4">
        <v>54.14</v>
      </c>
      <c r="V583" s="4">
        <v>52.49</v>
      </c>
      <c r="W583" s="4"/>
      <c r="X583" s="4"/>
      <c r="Y583" s="4"/>
    </row>
    <row r="584" spans="1:25" ht="15" customHeight="1" x14ac:dyDescent="0.45">
      <c r="A584" s="3">
        <v>45428</v>
      </c>
      <c r="B584" s="6">
        <v>68.98</v>
      </c>
      <c r="C584" s="4">
        <v>52.33</v>
      </c>
      <c r="D584" s="4">
        <v>56.56</v>
      </c>
      <c r="E584" s="6">
        <v>60.53</v>
      </c>
      <c r="F584" s="4">
        <v>54.31</v>
      </c>
      <c r="G584" s="5">
        <v>75.19</v>
      </c>
      <c r="H584" s="4">
        <v>58.49</v>
      </c>
      <c r="I584" s="6">
        <v>65.55</v>
      </c>
      <c r="J584" s="4">
        <v>55.15</v>
      </c>
      <c r="K584" s="4">
        <v>46.31</v>
      </c>
      <c r="L584" s="4">
        <v>55.27</v>
      </c>
      <c r="M584" s="4">
        <v>54.69</v>
      </c>
      <c r="N584" s="4">
        <v>42.49</v>
      </c>
      <c r="O584" s="6">
        <v>62.14</v>
      </c>
      <c r="P584" s="4">
        <v>54.64</v>
      </c>
      <c r="Q584" s="6">
        <v>64.44</v>
      </c>
      <c r="R584" s="6">
        <v>64.36</v>
      </c>
      <c r="S584" s="4">
        <v>59.12</v>
      </c>
      <c r="T584" s="5">
        <v>71.099999999999994</v>
      </c>
      <c r="U584" s="4">
        <v>56.93</v>
      </c>
      <c r="V584" s="4">
        <v>57.52</v>
      </c>
      <c r="W584" s="4"/>
      <c r="X584" s="4"/>
      <c r="Y584" s="4"/>
    </row>
    <row r="585" spans="1:25" ht="15" customHeight="1" x14ac:dyDescent="0.45">
      <c r="A585" s="3">
        <v>45427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" customHeight="1" x14ac:dyDescent="0.45">
      <c r="A586" s="3">
        <v>45426</v>
      </c>
      <c r="B586" s="6">
        <v>68.55</v>
      </c>
      <c r="C586" s="4">
        <v>50.92</v>
      </c>
      <c r="D586" s="4">
        <v>56.03</v>
      </c>
      <c r="E586" s="4">
        <v>58.37</v>
      </c>
      <c r="F586" s="4">
        <v>51.09</v>
      </c>
      <c r="G586" s="6">
        <v>67.66</v>
      </c>
      <c r="H586" s="4">
        <v>54.84</v>
      </c>
      <c r="I586" s="6">
        <v>61.89</v>
      </c>
      <c r="J586" s="4">
        <v>52.42</v>
      </c>
      <c r="K586" s="4">
        <v>44.54</v>
      </c>
      <c r="L586" s="4">
        <v>54.36</v>
      </c>
      <c r="M586" s="4">
        <v>52.02</v>
      </c>
      <c r="N586" s="4">
        <v>41.34</v>
      </c>
      <c r="O586" s="6">
        <v>60.24</v>
      </c>
      <c r="P586" s="6">
        <v>65.97</v>
      </c>
      <c r="Q586" s="6">
        <v>62.68</v>
      </c>
      <c r="R586" s="6">
        <v>60.69</v>
      </c>
      <c r="S586" s="4">
        <v>56.77</v>
      </c>
      <c r="T586" s="6">
        <v>64.34</v>
      </c>
      <c r="U586" s="4">
        <v>55.19</v>
      </c>
      <c r="V586" s="4">
        <v>54.49</v>
      </c>
      <c r="W586" s="4"/>
      <c r="X586" s="4"/>
      <c r="Y586" s="4"/>
    </row>
    <row r="587" spans="1:25" ht="15" customHeight="1" x14ac:dyDescent="0.45">
      <c r="A587" s="3">
        <v>45425</v>
      </c>
      <c r="B587" s="5">
        <v>78.739999999999995</v>
      </c>
      <c r="C587" s="4">
        <v>49.09</v>
      </c>
      <c r="D587" s="4">
        <v>53.41</v>
      </c>
      <c r="E587" s="4">
        <v>54.08</v>
      </c>
      <c r="F587" s="4">
        <v>50.69</v>
      </c>
      <c r="G587" s="6">
        <v>65.650000000000006</v>
      </c>
      <c r="H587" s="4">
        <v>52.34</v>
      </c>
      <c r="I587" s="6">
        <v>61.42</v>
      </c>
      <c r="J587" s="4">
        <v>51.86</v>
      </c>
      <c r="K587" s="4">
        <v>37.25</v>
      </c>
      <c r="L587" s="4">
        <v>55.48</v>
      </c>
      <c r="M587" s="4">
        <v>51.98</v>
      </c>
      <c r="N587" s="4">
        <v>36.76</v>
      </c>
      <c r="O587" s="4">
        <v>54.5</v>
      </c>
      <c r="P587" s="5">
        <v>70.040000000000006</v>
      </c>
      <c r="Q587" s="4">
        <v>57.73</v>
      </c>
      <c r="R587" s="6">
        <v>62.66</v>
      </c>
      <c r="S587" s="4">
        <v>57.6</v>
      </c>
      <c r="T587" s="6">
        <v>62.21</v>
      </c>
      <c r="U587" s="4">
        <v>53.31</v>
      </c>
      <c r="V587" s="4">
        <v>53.7</v>
      </c>
      <c r="W587" s="4"/>
      <c r="X587" s="4"/>
      <c r="Y587" s="4"/>
    </row>
    <row r="588" spans="1:25" ht="15" customHeight="1" x14ac:dyDescent="0.45">
      <c r="A588" s="3">
        <v>45422</v>
      </c>
      <c r="B588" s="5">
        <v>73.66</v>
      </c>
      <c r="C588" s="4">
        <v>55.31</v>
      </c>
      <c r="D588" s="4">
        <v>57.91</v>
      </c>
      <c r="E588" s="4">
        <v>57.33</v>
      </c>
      <c r="F588" s="4">
        <v>53.74</v>
      </c>
      <c r="G588" s="5">
        <v>70.55</v>
      </c>
      <c r="H588" s="4">
        <v>53.71</v>
      </c>
      <c r="I588" s="4">
        <v>58.93</v>
      </c>
      <c r="J588" s="4">
        <v>52.9</v>
      </c>
      <c r="K588" s="4">
        <v>39.06</v>
      </c>
      <c r="L588" s="4">
        <v>51.7</v>
      </c>
      <c r="M588" s="4">
        <v>54.4</v>
      </c>
      <c r="N588" s="4">
        <v>45.75</v>
      </c>
      <c r="O588" s="4">
        <v>53.46</v>
      </c>
      <c r="P588" s="5">
        <v>70.3</v>
      </c>
      <c r="Q588" s="4">
        <v>57.49</v>
      </c>
      <c r="R588" s="6">
        <v>60.17</v>
      </c>
      <c r="S588" s="4">
        <v>59.49</v>
      </c>
      <c r="T588" s="4">
        <v>59.64</v>
      </c>
      <c r="U588" s="4">
        <v>56.28</v>
      </c>
      <c r="V588" s="4">
        <v>54.19</v>
      </c>
      <c r="W588" s="4"/>
      <c r="X588" s="4"/>
      <c r="Y588" s="4"/>
    </row>
    <row r="589" spans="1:25" ht="15" customHeight="1" x14ac:dyDescent="0.45">
      <c r="A589" s="3">
        <v>45421</v>
      </c>
      <c r="B589" s="6">
        <v>69.33</v>
      </c>
      <c r="C589" s="4">
        <v>54.76</v>
      </c>
      <c r="D589" s="4">
        <v>57.07</v>
      </c>
      <c r="E589" s="4">
        <v>56.6</v>
      </c>
      <c r="F589" s="4">
        <v>51.05</v>
      </c>
      <c r="G589" s="6">
        <v>68.08</v>
      </c>
      <c r="H589" s="4">
        <v>51.96</v>
      </c>
      <c r="I589" s="6">
        <v>61.05</v>
      </c>
      <c r="J589" s="4">
        <v>53.05</v>
      </c>
      <c r="K589" s="4">
        <v>48.18</v>
      </c>
      <c r="L589" s="4">
        <v>48.23</v>
      </c>
      <c r="M589" s="4">
        <v>51.14</v>
      </c>
      <c r="N589" s="4">
        <v>55.06</v>
      </c>
      <c r="O589" s="4">
        <v>55.35</v>
      </c>
      <c r="P589" s="6">
        <v>65.39</v>
      </c>
      <c r="Q589" s="4">
        <v>55.84</v>
      </c>
      <c r="R589" s="4">
        <v>55.3</v>
      </c>
      <c r="S589" s="4">
        <v>50.39</v>
      </c>
      <c r="T589" s="4">
        <v>54.39</v>
      </c>
      <c r="U589" s="4">
        <v>52.72</v>
      </c>
      <c r="V589" s="4">
        <v>53.49</v>
      </c>
      <c r="W589" s="4"/>
      <c r="X589" s="4"/>
      <c r="Y589" s="4"/>
    </row>
    <row r="590" spans="1:25" ht="15" customHeight="1" x14ac:dyDescent="0.45">
      <c r="A590" s="3">
        <v>45420</v>
      </c>
      <c r="B590" s="6">
        <v>69.84</v>
      </c>
      <c r="C590" s="4">
        <v>59.52</v>
      </c>
      <c r="D590" s="4">
        <v>56.35</v>
      </c>
      <c r="E590" s="4">
        <v>58.99</v>
      </c>
      <c r="F590" s="4">
        <v>57.09</v>
      </c>
      <c r="G590" s="6">
        <v>66.739999999999995</v>
      </c>
      <c r="H590" s="4">
        <v>55.64</v>
      </c>
      <c r="I590" s="6">
        <v>60.8</v>
      </c>
      <c r="J590" s="4">
        <v>57.78</v>
      </c>
      <c r="K590" s="4">
        <v>51.69</v>
      </c>
      <c r="L590" s="4">
        <v>54.72</v>
      </c>
      <c r="M590" s="4">
        <v>55.59</v>
      </c>
      <c r="N590" s="4">
        <v>52.03</v>
      </c>
      <c r="O590" s="4">
        <v>59.9</v>
      </c>
      <c r="P590" s="6">
        <v>62.09</v>
      </c>
      <c r="Q590" s="4">
        <v>53.13</v>
      </c>
      <c r="R590" s="4">
        <v>59.3</v>
      </c>
      <c r="S590" s="4">
        <v>57.56</v>
      </c>
      <c r="T590" s="4">
        <v>56.25</v>
      </c>
      <c r="U590" s="4">
        <v>57.45</v>
      </c>
      <c r="V590" s="4">
        <v>59.04</v>
      </c>
      <c r="W590" s="4"/>
      <c r="X590" s="4"/>
      <c r="Y590" s="4"/>
    </row>
    <row r="591" spans="1:25" ht="15" customHeight="1" x14ac:dyDescent="0.45">
      <c r="A591" s="3">
        <v>45419</v>
      </c>
      <c r="B591" s="5">
        <v>70.75</v>
      </c>
      <c r="C591" s="4">
        <v>58.36</v>
      </c>
      <c r="D591" s="4">
        <v>55.63</v>
      </c>
      <c r="E591" s="4">
        <v>57.4</v>
      </c>
      <c r="F591" s="4">
        <v>55.82</v>
      </c>
      <c r="G591" s="6">
        <v>61.72</v>
      </c>
      <c r="H591" s="4">
        <v>54.84</v>
      </c>
      <c r="I591" s="4">
        <v>58.79</v>
      </c>
      <c r="J591" s="4">
        <v>57.86</v>
      </c>
      <c r="K591" s="4">
        <v>52.93</v>
      </c>
      <c r="L591" s="4">
        <v>54.17</v>
      </c>
      <c r="M591" s="4">
        <v>52.11</v>
      </c>
      <c r="N591" s="4">
        <v>55.24</v>
      </c>
      <c r="O591" s="4">
        <v>58.53</v>
      </c>
      <c r="P591" s="4">
        <v>55.65</v>
      </c>
      <c r="Q591" s="4">
        <v>52.49</v>
      </c>
      <c r="R591" s="4">
        <v>55.61</v>
      </c>
      <c r="S591" s="4">
        <v>53.99</v>
      </c>
      <c r="T591" s="4">
        <v>53.52</v>
      </c>
      <c r="U591" s="4">
        <v>57.39</v>
      </c>
      <c r="V591" s="4">
        <v>58.66</v>
      </c>
      <c r="W591" s="4"/>
      <c r="X591" s="4"/>
      <c r="Y591" s="4"/>
    </row>
    <row r="592" spans="1:25" ht="15" customHeight="1" x14ac:dyDescent="0.45">
      <c r="A592" s="3">
        <v>45418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" customHeight="1" x14ac:dyDescent="0.45">
      <c r="A593" s="3">
        <v>45415</v>
      </c>
      <c r="B593" s="5">
        <v>70.709999999999994</v>
      </c>
      <c r="C593" s="6">
        <v>62.16</v>
      </c>
      <c r="D593" s="4">
        <v>54.4</v>
      </c>
      <c r="E593" s="4">
        <v>57.09</v>
      </c>
      <c r="F593" s="4">
        <v>49.48</v>
      </c>
      <c r="G593" s="4">
        <v>57.43</v>
      </c>
      <c r="H593" s="4">
        <v>52.04</v>
      </c>
      <c r="I593" s="4">
        <v>54.64</v>
      </c>
      <c r="J593" s="4">
        <v>49.01</v>
      </c>
      <c r="K593" s="4">
        <v>50.45</v>
      </c>
      <c r="L593" s="4">
        <v>49.87</v>
      </c>
      <c r="M593" s="4">
        <v>46.47</v>
      </c>
      <c r="N593" s="4">
        <v>49.87</v>
      </c>
      <c r="O593" s="4">
        <v>54.23</v>
      </c>
      <c r="P593" s="4">
        <v>50.9</v>
      </c>
      <c r="Q593" s="4">
        <v>44.31</v>
      </c>
      <c r="R593" s="4">
        <v>51.47</v>
      </c>
      <c r="S593" s="4">
        <v>49.51</v>
      </c>
      <c r="T593" s="4">
        <v>46.46</v>
      </c>
      <c r="U593" s="4">
        <v>53.64</v>
      </c>
      <c r="V593" s="4">
        <v>50.69</v>
      </c>
      <c r="W593" s="4"/>
      <c r="X593" s="4"/>
      <c r="Y593" s="4"/>
    </row>
    <row r="594" spans="1:25" ht="15" customHeight="1" x14ac:dyDescent="0.45">
      <c r="A594" s="3">
        <v>45414</v>
      </c>
      <c r="B594" s="5">
        <v>74.22</v>
      </c>
      <c r="C594" s="4">
        <v>57.4</v>
      </c>
      <c r="D594" s="4">
        <v>53.16</v>
      </c>
      <c r="E594" s="4">
        <v>56.75</v>
      </c>
      <c r="F594" s="4">
        <v>49.85</v>
      </c>
      <c r="G594" s="4">
        <v>57.45</v>
      </c>
      <c r="H594" s="4">
        <v>49.25</v>
      </c>
      <c r="I594" s="4">
        <v>55.12</v>
      </c>
      <c r="J594" s="4">
        <v>50.19</v>
      </c>
      <c r="K594" s="4">
        <v>50.37</v>
      </c>
      <c r="L594" s="4">
        <v>59</v>
      </c>
      <c r="M594" s="4">
        <v>46.12</v>
      </c>
      <c r="N594" s="4">
        <v>50.39</v>
      </c>
      <c r="O594" s="6">
        <v>60.38</v>
      </c>
      <c r="P594" s="4">
        <v>52.37</v>
      </c>
      <c r="Q594" s="4">
        <v>44.63</v>
      </c>
      <c r="R594" s="4">
        <v>50.78</v>
      </c>
      <c r="S594" s="4">
        <v>49.98</v>
      </c>
      <c r="T594" s="4">
        <v>47.66</v>
      </c>
      <c r="U594" s="4">
        <v>49.29</v>
      </c>
      <c r="V594" s="4">
        <v>52.71</v>
      </c>
      <c r="W594" s="4"/>
      <c r="X594" s="4"/>
      <c r="Y594" s="4"/>
    </row>
    <row r="595" spans="1:25" ht="15" customHeight="1" x14ac:dyDescent="0.45">
      <c r="A595" s="3">
        <v>45413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" customHeight="1" x14ac:dyDescent="0.45">
      <c r="A596" s="3">
        <v>45412</v>
      </c>
      <c r="B596" s="5">
        <v>71.53</v>
      </c>
      <c r="C596" s="4">
        <v>49.83</v>
      </c>
      <c r="D596" s="4">
        <v>45.75</v>
      </c>
      <c r="E596" s="4">
        <v>58.45</v>
      </c>
      <c r="F596" s="4">
        <v>51.69</v>
      </c>
      <c r="G596" s="4">
        <v>58.88</v>
      </c>
      <c r="H596" s="4">
        <v>52.76</v>
      </c>
      <c r="I596" s="4">
        <v>54.86</v>
      </c>
      <c r="J596" s="4">
        <v>49.74</v>
      </c>
      <c r="K596" s="4">
        <v>51.15</v>
      </c>
      <c r="L596" s="4">
        <v>58.55</v>
      </c>
      <c r="M596" s="4">
        <v>51.21</v>
      </c>
      <c r="N596" s="4">
        <v>49.33</v>
      </c>
      <c r="O596" s="6">
        <v>63.85</v>
      </c>
      <c r="P596" s="4">
        <v>51.78</v>
      </c>
      <c r="Q596" s="4">
        <v>46.37</v>
      </c>
      <c r="R596" s="4">
        <v>56.71</v>
      </c>
      <c r="S596" s="4">
        <v>55.25</v>
      </c>
      <c r="T596" s="4">
        <v>53.88</v>
      </c>
      <c r="U596" s="4">
        <v>47.79</v>
      </c>
      <c r="V596" s="4">
        <v>52.63</v>
      </c>
      <c r="W596" s="4"/>
      <c r="X596" s="4"/>
      <c r="Y596" s="4"/>
    </row>
    <row r="597" spans="1:25" ht="15" customHeight="1" x14ac:dyDescent="0.45">
      <c r="A597" s="3">
        <v>45411</v>
      </c>
      <c r="B597" s="5">
        <v>71.52</v>
      </c>
      <c r="C597" s="4">
        <v>49.78</v>
      </c>
      <c r="D597" s="4">
        <v>45.98</v>
      </c>
      <c r="E597" s="4">
        <v>55.18</v>
      </c>
      <c r="F597" s="4">
        <v>47.82</v>
      </c>
      <c r="G597" s="4">
        <v>59.75</v>
      </c>
      <c r="H597" s="4">
        <v>54.3</v>
      </c>
      <c r="I597" s="4">
        <v>57.78</v>
      </c>
      <c r="J597" s="4">
        <v>47.67</v>
      </c>
      <c r="K597" s="4">
        <v>54.2</v>
      </c>
      <c r="L597" s="6">
        <v>63.62</v>
      </c>
      <c r="M597" s="4">
        <v>52.17</v>
      </c>
      <c r="N597" s="4">
        <v>50.63</v>
      </c>
      <c r="O597" s="6">
        <v>61.16</v>
      </c>
      <c r="P597" s="4">
        <v>54.41</v>
      </c>
      <c r="Q597" s="4">
        <v>46.19</v>
      </c>
      <c r="R597" s="4">
        <v>59.02</v>
      </c>
      <c r="S597" s="4">
        <v>55.96</v>
      </c>
      <c r="T597" s="4">
        <v>55.88</v>
      </c>
      <c r="U597" s="4">
        <v>48.13</v>
      </c>
      <c r="V597" s="4">
        <v>51.21</v>
      </c>
      <c r="W597" s="4"/>
      <c r="X597" s="4"/>
      <c r="Y597" s="4"/>
    </row>
    <row r="598" spans="1:25" ht="15" customHeight="1" x14ac:dyDescent="0.45">
      <c r="A598" s="3">
        <v>45408</v>
      </c>
      <c r="B598" s="6">
        <v>68.48</v>
      </c>
      <c r="C598" s="4">
        <v>41.9</v>
      </c>
      <c r="D598" s="4">
        <v>38.44</v>
      </c>
      <c r="E598" s="4">
        <v>40.630000000000003</v>
      </c>
      <c r="F598" s="4">
        <v>40.65</v>
      </c>
      <c r="G598" s="4">
        <v>55.6</v>
      </c>
      <c r="H598" s="4">
        <v>44</v>
      </c>
      <c r="I598" s="4">
        <v>53.91</v>
      </c>
      <c r="J598" s="4">
        <v>46.53</v>
      </c>
      <c r="K598" s="4">
        <v>48.44</v>
      </c>
      <c r="L598" s="6">
        <v>63.57</v>
      </c>
      <c r="M598" s="4">
        <v>48.47</v>
      </c>
      <c r="N598" s="4">
        <v>48.15</v>
      </c>
      <c r="O598" s="4">
        <v>53.14</v>
      </c>
      <c r="P598" s="4">
        <v>46.21</v>
      </c>
      <c r="Q598" s="4">
        <v>44.86</v>
      </c>
      <c r="R598" s="4">
        <v>56.56</v>
      </c>
      <c r="S598" s="4">
        <v>53.69</v>
      </c>
      <c r="T598" s="4">
        <v>56.26</v>
      </c>
      <c r="U598" s="4">
        <v>40.15</v>
      </c>
      <c r="V598" s="4">
        <v>47.72</v>
      </c>
      <c r="W598" s="4"/>
      <c r="X598" s="4"/>
      <c r="Y598" s="4"/>
    </row>
    <row r="599" spans="1:25" ht="15" customHeight="1" x14ac:dyDescent="0.45">
      <c r="A599" s="3">
        <v>45407</v>
      </c>
      <c r="B599" s="5">
        <v>71.459999999999994</v>
      </c>
      <c r="C599" s="4">
        <v>42.23</v>
      </c>
      <c r="D599" s="4">
        <v>39.479999999999997</v>
      </c>
      <c r="E599" s="4">
        <v>39.96</v>
      </c>
      <c r="F599" s="4">
        <v>42.43</v>
      </c>
      <c r="G599" s="4">
        <v>51.8</v>
      </c>
      <c r="H599" s="4">
        <v>42.39</v>
      </c>
      <c r="I599" s="4">
        <v>52.03</v>
      </c>
      <c r="J599" s="4">
        <v>43.55</v>
      </c>
      <c r="K599" s="4">
        <v>43.27</v>
      </c>
      <c r="L599" s="6">
        <v>62.29</v>
      </c>
      <c r="M599" s="4">
        <v>46.54</v>
      </c>
      <c r="N599" s="4">
        <v>47.21</v>
      </c>
      <c r="O599" s="4">
        <v>52.48</v>
      </c>
      <c r="P599" s="4">
        <v>43.58</v>
      </c>
      <c r="Q599" s="4">
        <v>41.46</v>
      </c>
      <c r="R599" s="4">
        <v>48.55</v>
      </c>
      <c r="S599" s="4">
        <v>47.11</v>
      </c>
      <c r="T599" s="4">
        <v>51.57</v>
      </c>
      <c r="U599" s="4">
        <v>38.81</v>
      </c>
      <c r="V599" s="4">
        <v>45.2</v>
      </c>
      <c r="W599" s="4"/>
      <c r="X599" s="4"/>
      <c r="Y599" s="4"/>
    </row>
    <row r="600" spans="1:25" ht="15" customHeight="1" x14ac:dyDescent="0.45">
      <c r="A600" s="3">
        <v>45406</v>
      </c>
      <c r="B600" s="5">
        <v>70.08</v>
      </c>
      <c r="C600" s="4">
        <v>43.69</v>
      </c>
      <c r="D600" s="4">
        <v>39.54</v>
      </c>
      <c r="E600" s="4">
        <v>43.44</v>
      </c>
      <c r="F600" s="4">
        <v>45.78</v>
      </c>
      <c r="G600" s="4">
        <v>52.65</v>
      </c>
      <c r="H600" s="4">
        <v>44.92</v>
      </c>
      <c r="I600" s="4">
        <v>57.22</v>
      </c>
      <c r="J600" s="4">
        <v>51.07</v>
      </c>
      <c r="K600" s="4">
        <v>46.19</v>
      </c>
      <c r="L600" s="6">
        <v>65</v>
      </c>
      <c r="M600" s="4">
        <v>47.42</v>
      </c>
      <c r="N600" s="4">
        <v>46.85</v>
      </c>
      <c r="O600" s="4">
        <v>53.24</v>
      </c>
      <c r="P600" s="4">
        <v>43.84</v>
      </c>
      <c r="Q600" s="4">
        <v>44.1</v>
      </c>
      <c r="R600" s="4">
        <v>49.28</v>
      </c>
      <c r="S600" s="4">
        <v>46.47</v>
      </c>
      <c r="T600" s="4">
        <v>49.41</v>
      </c>
      <c r="U600" s="4">
        <v>42.98</v>
      </c>
      <c r="V600" s="4">
        <v>52.48</v>
      </c>
      <c r="W600" s="4"/>
      <c r="X600" s="4"/>
      <c r="Y600" s="4"/>
    </row>
    <row r="601" spans="1:25" ht="15" customHeight="1" x14ac:dyDescent="0.45">
      <c r="A601" s="3">
        <v>45405</v>
      </c>
      <c r="B601" s="5">
        <v>71.12</v>
      </c>
      <c r="C601" s="4">
        <v>44.51</v>
      </c>
      <c r="D601" s="4">
        <v>33.4</v>
      </c>
      <c r="E601" s="4">
        <v>37.04</v>
      </c>
      <c r="F601" s="4">
        <v>46.17</v>
      </c>
      <c r="G601" s="4">
        <v>47.68</v>
      </c>
      <c r="H601" s="4">
        <v>42.76</v>
      </c>
      <c r="I601" s="4">
        <v>49.25</v>
      </c>
      <c r="J601" s="4">
        <v>38.74</v>
      </c>
      <c r="K601" s="4">
        <v>47</v>
      </c>
      <c r="L601" s="6">
        <v>62.92</v>
      </c>
      <c r="M601" s="4">
        <v>46.91</v>
      </c>
      <c r="N601" s="4">
        <v>50.29</v>
      </c>
      <c r="O601" s="4">
        <v>51.15</v>
      </c>
      <c r="P601" s="4">
        <v>43.33</v>
      </c>
      <c r="Q601" s="4">
        <v>42.5</v>
      </c>
      <c r="R601" s="4">
        <v>50.37</v>
      </c>
      <c r="S601" s="4">
        <v>46.67</v>
      </c>
      <c r="T601" s="4">
        <v>52.12</v>
      </c>
      <c r="U601" s="4">
        <v>36.31</v>
      </c>
      <c r="V601" s="4">
        <v>42.07</v>
      </c>
      <c r="W601" s="4"/>
      <c r="X601" s="4"/>
      <c r="Y601" s="4"/>
    </row>
    <row r="602" spans="1:25" ht="15" customHeight="1" x14ac:dyDescent="0.45">
      <c r="A602" s="3">
        <v>45404</v>
      </c>
      <c r="B602" s="5">
        <v>76.91</v>
      </c>
      <c r="C602" s="4">
        <v>45.57</v>
      </c>
      <c r="D602" s="4">
        <v>33.92</v>
      </c>
      <c r="E602" s="4">
        <v>39.6</v>
      </c>
      <c r="F602" s="4">
        <v>46.92</v>
      </c>
      <c r="G602" s="4">
        <v>45.68</v>
      </c>
      <c r="H602" s="4">
        <v>44.96</v>
      </c>
      <c r="I602" s="4">
        <v>46.44</v>
      </c>
      <c r="J602" s="4">
        <v>40.64</v>
      </c>
      <c r="K602" s="4">
        <v>47.73</v>
      </c>
      <c r="L602" s="4">
        <v>58.64</v>
      </c>
      <c r="M602" s="4">
        <v>43.98</v>
      </c>
      <c r="N602" s="4">
        <v>45.03</v>
      </c>
      <c r="O602" s="4">
        <v>50.55</v>
      </c>
      <c r="P602" s="4">
        <v>49.7</v>
      </c>
      <c r="Q602" s="4">
        <v>41.44</v>
      </c>
      <c r="R602" s="4">
        <v>48.61</v>
      </c>
      <c r="S602" s="4">
        <v>47.23</v>
      </c>
      <c r="T602" s="4">
        <v>47.7</v>
      </c>
      <c r="U602" s="4">
        <v>40.869999999999997</v>
      </c>
      <c r="V602" s="4">
        <v>43.2</v>
      </c>
      <c r="W602" s="4"/>
      <c r="X602" s="4"/>
      <c r="Y602" s="4"/>
    </row>
    <row r="603" spans="1:25" ht="15" customHeight="1" x14ac:dyDescent="0.45">
      <c r="A603" s="3">
        <v>45401</v>
      </c>
      <c r="B603" s="6">
        <v>66.650000000000006</v>
      </c>
      <c r="C603" s="4">
        <v>36.76</v>
      </c>
      <c r="D603" s="4">
        <v>30.31</v>
      </c>
      <c r="E603" s="4">
        <v>30.46</v>
      </c>
      <c r="F603" s="4">
        <v>37.36</v>
      </c>
      <c r="G603" s="4">
        <v>47.27</v>
      </c>
      <c r="H603" s="4">
        <v>40.43</v>
      </c>
      <c r="I603" s="4">
        <v>45.22</v>
      </c>
      <c r="J603" s="4">
        <v>41.79</v>
      </c>
      <c r="K603" s="4">
        <v>48.15</v>
      </c>
      <c r="L603" s="4">
        <v>53.58</v>
      </c>
      <c r="M603" s="7">
        <v>29.25</v>
      </c>
      <c r="N603" s="4">
        <v>38.03</v>
      </c>
      <c r="O603" s="4">
        <v>40.46</v>
      </c>
      <c r="P603" s="4">
        <v>38.229999999999997</v>
      </c>
      <c r="Q603" s="4">
        <v>30.81</v>
      </c>
      <c r="R603" s="4">
        <v>33.619999999999997</v>
      </c>
      <c r="S603" s="4">
        <v>33.590000000000003</v>
      </c>
      <c r="T603" s="4">
        <v>30.57</v>
      </c>
      <c r="U603" s="4">
        <v>35.729999999999997</v>
      </c>
      <c r="V603" s="4">
        <v>40.93</v>
      </c>
      <c r="W603" s="4"/>
      <c r="X603" s="4"/>
      <c r="Y603" s="4"/>
    </row>
    <row r="604" spans="1:25" ht="15" customHeight="1" x14ac:dyDescent="0.45">
      <c r="A604" s="3">
        <v>45400</v>
      </c>
      <c r="B604" s="6">
        <v>66.61</v>
      </c>
      <c r="C604" s="4">
        <v>40.619999999999997</v>
      </c>
      <c r="D604" s="4">
        <v>34.69</v>
      </c>
      <c r="E604" s="4">
        <v>35.25</v>
      </c>
      <c r="F604" s="4">
        <v>41.36</v>
      </c>
      <c r="G604" s="4">
        <v>42.48</v>
      </c>
      <c r="H604" s="4">
        <v>42.22</v>
      </c>
      <c r="I604" s="4">
        <v>49.94</v>
      </c>
      <c r="J604" s="4">
        <v>48.73</v>
      </c>
      <c r="K604" s="4">
        <v>54.7</v>
      </c>
      <c r="L604" s="4">
        <v>52.63</v>
      </c>
      <c r="M604" s="4">
        <v>31.15</v>
      </c>
      <c r="N604" s="4">
        <v>39.630000000000003</v>
      </c>
      <c r="O604" s="4">
        <v>37.29</v>
      </c>
      <c r="P604" s="4">
        <v>34.82</v>
      </c>
      <c r="Q604" s="4">
        <v>32.92</v>
      </c>
      <c r="R604" s="4">
        <v>35.85</v>
      </c>
      <c r="S604" s="4">
        <v>36.51</v>
      </c>
      <c r="T604" s="4">
        <v>31.19</v>
      </c>
      <c r="U604" s="4">
        <v>38.43</v>
      </c>
      <c r="V604" s="4">
        <v>47.09</v>
      </c>
      <c r="W604" s="4"/>
      <c r="X604" s="4"/>
      <c r="Y604" s="4"/>
    </row>
    <row r="605" spans="1:25" ht="15" customHeight="1" x14ac:dyDescent="0.45">
      <c r="A605" s="3">
        <v>45399</v>
      </c>
      <c r="B605" s="6">
        <v>62.3</v>
      </c>
      <c r="C605" s="4">
        <v>39.42</v>
      </c>
      <c r="D605" s="7">
        <v>24.33</v>
      </c>
      <c r="E605" s="7">
        <v>26.02</v>
      </c>
      <c r="F605" s="4">
        <v>30.75</v>
      </c>
      <c r="G605" s="4">
        <v>36.409999999999997</v>
      </c>
      <c r="H605" s="7">
        <v>28.12</v>
      </c>
      <c r="I605" s="4">
        <v>41.84</v>
      </c>
      <c r="J605" s="4">
        <v>42.7</v>
      </c>
      <c r="K605" s="4">
        <v>49.31</v>
      </c>
      <c r="L605" s="4">
        <v>48.22</v>
      </c>
      <c r="M605" s="7">
        <v>24.61</v>
      </c>
      <c r="N605" s="4">
        <v>33.47</v>
      </c>
      <c r="O605" s="7">
        <v>26.57</v>
      </c>
      <c r="P605" s="7">
        <v>29.76</v>
      </c>
      <c r="Q605" s="7">
        <v>29.18</v>
      </c>
      <c r="R605" s="7">
        <v>27.99</v>
      </c>
      <c r="S605" s="7">
        <v>28.91</v>
      </c>
      <c r="T605" s="4">
        <v>30.27</v>
      </c>
      <c r="U605" s="7">
        <v>24.77</v>
      </c>
      <c r="V605" s="4">
        <v>38.61</v>
      </c>
      <c r="W605" s="4"/>
      <c r="X605" s="4"/>
      <c r="Y605" s="4"/>
    </row>
    <row r="606" spans="1:25" ht="15" customHeight="1" x14ac:dyDescent="0.45">
      <c r="A606" s="3">
        <v>45398</v>
      </c>
      <c r="B606" s="6">
        <v>65.180000000000007</v>
      </c>
      <c r="C606" s="7">
        <v>29.63</v>
      </c>
      <c r="D606" s="7">
        <v>24.69</v>
      </c>
      <c r="E606" s="7">
        <v>26.3</v>
      </c>
      <c r="F606" s="4">
        <v>32.729999999999997</v>
      </c>
      <c r="G606" s="4">
        <v>38.6</v>
      </c>
      <c r="H606" s="4">
        <v>31.31</v>
      </c>
      <c r="I606" s="4">
        <v>47.16</v>
      </c>
      <c r="J606" s="4">
        <v>45.21</v>
      </c>
      <c r="K606" s="4">
        <v>48.33</v>
      </c>
      <c r="L606" s="4">
        <v>51.83</v>
      </c>
      <c r="M606" s="7">
        <v>27.42</v>
      </c>
      <c r="N606" s="4">
        <v>37.5</v>
      </c>
      <c r="O606" s="7">
        <v>29.21</v>
      </c>
      <c r="P606" s="7">
        <v>27.69</v>
      </c>
      <c r="Q606" s="4">
        <v>31.43</v>
      </c>
      <c r="R606" s="4">
        <v>30.14</v>
      </c>
      <c r="S606" s="4">
        <v>30.46</v>
      </c>
      <c r="T606" s="4">
        <v>31.77</v>
      </c>
      <c r="U606" s="7">
        <v>26.18</v>
      </c>
      <c r="V606" s="4">
        <v>41.6</v>
      </c>
      <c r="W606" s="4"/>
      <c r="X606" s="4"/>
      <c r="Y606" s="4"/>
    </row>
    <row r="607" spans="1:25" ht="15" customHeight="1" x14ac:dyDescent="0.45">
      <c r="A607" s="3">
        <v>45397</v>
      </c>
      <c r="B607" s="6">
        <v>64.650000000000006</v>
      </c>
      <c r="C607" s="4">
        <v>30.2</v>
      </c>
      <c r="D607" s="7">
        <v>28.23</v>
      </c>
      <c r="E607" s="4">
        <v>30.73</v>
      </c>
      <c r="F607" s="4">
        <v>37.659999999999997</v>
      </c>
      <c r="G607" s="4">
        <v>42.96</v>
      </c>
      <c r="H607" s="4">
        <v>37.01</v>
      </c>
      <c r="I607" s="4">
        <v>57.16</v>
      </c>
      <c r="J607" s="4">
        <v>55.73</v>
      </c>
      <c r="K607" s="4">
        <v>58.93</v>
      </c>
      <c r="L607" s="4">
        <v>54.63</v>
      </c>
      <c r="M607" s="7">
        <v>29.1</v>
      </c>
      <c r="N607" s="4">
        <v>40.67</v>
      </c>
      <c r="O607" s="4">
        <v>33.71</v>
      </c>
      <c r="P607" s="4">
        <v>34.86</v>
      </c>
      <c r="Q607" s="4">
        <v>32.14</v>
      </c>
      <c r="R607" s="4">
        <v>34.369999999999997</v>
      </c>
      <c r="S607" s="4">
        <v>34.799999999999997</v>
      </c>
      <c r="T607" s="4">
        <v>34.369999999999997</v>
      </c>
      <c r="U607" s="7">
        <v>28.65</v>
      </c>
      <c r="V607" s="4">
        <v>51.91</v>
      </c>
      <c r="W607" s="4"/>
      <c r="X607" s="4"/>
      <c r="Y607" s="4"/>
    </row>
    <row r="608" spans="1:25" ht="15" customHeight="1" x14ac:dyDescent="0.45">
      <c r="A608" s="3">
        <v>45394</v>
      </c>
      <c r="B608" s="4">
        <v>58.36</v>
      </c>
      <c r="C608" s="4">
        <v>32.36</v>
      </c>
      <c r="D608" s="4">
        <v>31.56</v>
      </c>
      <c r="E608" s="4">
        <v>33</v>
      </c>
      <c r="F608" s="4">
        <v>40.46</v>
      </c>
      <c r="G608" s="4">
        <v>35.49</v>
      </c>
      <c r="H608" s="4">
        <v>37.65</v>
      </c>
      <c r="I608" s="4">
        <v>58.89</v>
      </c>
      <c r="J608" s="6">
        <v>60.71</v>
      </c>
      <c r="K608" s="4">
        <v>54.7</v>
      </c>
      <c r="L608" s="4">
        <v>50.64</v>
      </c>
      <c r="M608" s="7">
        <v>26.63</v>
      </c>
      <c r="N608" s="4">
        <v>31</v>
      </c>
      <c r="O608" s="4">
        <v>34.35</v>
      </c>
      <c r="P608" s="4">
        <v>35.51</v>
      </c>
      <c r="Q608" s="4">
        <v>32</v>
      </c>
      <c r="R608" s="4">
        <v>32.950000000000003</v>
      </c>
      <c r="S608" s="4">
        <v>32.43</v>
      </c>
      <c r="T608" s="4">
        <v>32.49</v>
      </c>
      <c r="U608" s="4">
        <v>31</v>
      </c>
      <c r="V608" s="4">
        <v>55.17</v>
      </c>
      <c r="W608" s="4"/>
      <c r="X608" s="4"/>
      <c r="Y608" s="4"/>
    </row>
    <row r="609" spans="1:25" ht="15" customHeight="1" x14ac:dyDescent="0.45">
      <c r="A609" s="3">
        <v>45393</v>
      </c>
      <c r="B609" s="6">
        <v>62.46</v>
      </c>
      <c r="C609" s="4">
        <v>39.380000000000003</v>
      </c>
      <c r="D609" s="4">
        <v>31.37</v>
      </c>
      <c r="E609" s="4">
        <v>34.51</v>
      </c>
      <c r="F609" s="4">
        <v>38.22</v>
      </c>
      <c r="G609" s="4">
        <v>35.07</v>
      </c>
      <c r="H609" s="4">
        <v>39.96</v>
      </c>
      <c r="I609" s="4">
        <v>55.09</v>
      </c>
      <c r="J609" s="6">
        <v>64.319999999999993</v>
      </c>
      <c r="K609" s="4">
        <v>49.02</v>
      </c>
      <c r="L609" s="4">
        <v>52.21</v>
      </c>
      <c r="M609" s="4">
        <v>32.18</v>
      </c>
      <c r="N609" s="4">
        <v>38.44</v>
      </c>
      <c r="O609" s="4">
        <v>40.43</v>
      </c>
      <c r="P609" s="4">
        <v>42.62</v>
      </c>
      <c r="Q609" s="4">
        <v>35.79</v>
      </c>
      <c r="R609" s="4">
        <v>37.65</v>
      </c>
      <c r="S609" s="4">
        <v>35.71</v>
      </c>
      <c r="T609" s="4">
        <v>38.04</v>
      </c>
      <c r="U609" s="4">
        <v>32.26</v>
      </c>
      <c r="V609" s="4">
        <v>58.11</v>
      </c>
      <c r="W609" s="4"/>
      <c r="X609" s="4"/>
      <c r="Y609" s="4"/>
    </row>
    <row r="610" spans="1:25" ht="15" customHeight="1" x14ac:dyDescent="0.45">
      <c r="A610" s="3">
        <v>45392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" customHeight="1" x14ac:dyDescent="0.45">
      <c r="A611" s="3">
        <v>45391</v>
      </c>
      <c r="B611" s="6">
        <v>62</v>
      </c>
      <c r="C611" s="4">
        <v>41.94</v>
      </c>
      <c r="D611" s="4">
        <v>34.1</v>
      </c>
      <c r="E611" s="4">
        <v>37.659999999999997</v>
      </c>
      <c r="F611" s="4">
        <v>40.98</v>
      </c>
      <c r="G611" s="4">
        <v>37.6</v>
      </c>
      <c r="H611" s="4">
        <v>41.33</v>
      </c>
      <c r="I611" s="4">
        <v>57.31</v>
      </c>
      <c r="J611" s="6">
        <v>61.59</v>
      </c>
      <c r="K611" s="4">
        <v>45.64</v>
      </c>
      <c r="L611" s="4">
        <v>45.23</v>
      </c>
      <c r="M611" s="4">
        <v>34.96</v>
      </c>
      <c r="N611" s="4">
        <v>46.77</v>
      </c>
      <c r="O611" s="4">
        <v>41.76</v>
      </c>
      <c r="P611" s="4">
        <v>41.01</v>
      </c>
      <c r="Q611" s="4">
        <v>41.05</v>
      </c>
      <c r="R611" s="4">
        <v>41.52</v>
      </c>
      <c r="S611" s="4">
        <v>42.18</v>
      </c>
      <c r="T611" s="4">
        <v>44.15</v>
      </c>
      <c r="U611" s="4">
        <v>37.340000000000003</v>
      </c>
      <c r="V611" s="4">
        <v>55.4</v>
      </c>
      <c r="W611" s="4"/>
      <c r="X611" s="4"/>
      <c r="Y611" s="4"/>
    </row>
    <row r="612" spans="1:25" ht="15" customHeight="1" x14ac:dyDescent="0.45">
      <c r="A612" s="3">
        <v>45390</v>
      </c>
      <c r="B612" s="6">
        <v>60.24</v>
      </c>
      <c r="C612" s="4">
        <v>46.03</v>
      </c>
      <c r="D612" s="4">
        <v>32.630000000000003</v>
      </c>
      <c r="E612" s="4">
        <v>40.130000000000003</v>
      </c>
      <c r="F612" s="4">
        <v>47.07</v>
      </c>
      <c r="G612" s="4">
        <v>34.229999999999997</v>
      </c>
      <c r="H612" s="4">
        <v>37.85</v>
      </c>
      <c r="I612" s="4">
        <v>56.12</v>
      </c>
      <c r="J612" s="6">
        <v>63.32</v>
      </c>
      <c r="K612" s="4">
        <v>46.38</v>
      </c>
      <c r="L612" s="4">
        <v>46.01</v>
      </c>
      <c r="M612" s="4">
        <v>36.46</v>
      </c>
      <c r="N612" s="4">
        <v>46.74</v>
      </c>
      <c r="O612" s="4">
        <v>41.45</v>
      </c>
      <c r="P612" s="4">
        <v>34.08</v>
      </c>
      <c r="Q612" s="4">
        <v>43.22</v>
      </c>
      <c r="R612" s="4">
        <v>44</v>
      </c>
      <c r="S612" s="4">
        <v>41.88</v>
      </c>
      <c r="T612" s="4">
        <v>47.9</v>
      </c>
      <c r="U612" s="4">
        <v>38.450000000000003</v>
      </c>
      <c r="V612" s="4">
        <v>57.66</v>
      </c>
      <c r="W612" s="4"/>
      <c r="X612" s="4"/>
      <c r="Y612" s="4"/>
    </row>
    <row r="613" spans="1:25" ht="15" customHeight="1" x14ac:dyDescent="0.45">
      <c r="A613" s="3">
        <v>45387</v>
      </c>
      <c r="B613" s="6">
        <v>64.28</v>
      </c>
      <c r="C613" s="4">
        <v>49.68</v>
      </c>
      <c r="D613" s="4">
        <v>33.32</v>
      </c>
      <c r="E613" s="4">
        <v>43.74</v>
      </c>
      <c r="F613" s="4">
        <v>39.340000000000003</v>
      </c>
      <c r="G613" s="4">
        <v>39.409999999999997</v>
      </c>
      <c r="H613" s="4">
        <v>33.4</v>
      </c>
      <c r="I613" s="6">
        <v>60.65</v>
      </c>
      <c r="J613" s="6">
        <v>63.59</v>
      </c>
      <c r="K613" s="4">
        <v>50.72</v>
      </c>
      <c r="L613" s="4">
        <v>42.49</v>
      </c>
      <c r="M613" s="4">
        <v>36.82</v>
      </c>
      <c r="N613" s="4">
        <v>39.6</v>
      </c>
      <c r="O613" s="4">
        <v>48.96</v>
      </c>
      <c r="P613" s="4">
        <v>34.68</v>
      </c>
      <c r="Q613" s="4">
        <v>39.56</v>
      </c>
      <c r="R613" s="4">
        <v>42.71</v>
      </c>
      <c r="S613" s="4">
        <v>39.74</v>
      </c>
      <c r="T613" s="4">
        <v>43.55</v>
      </c>
      <c r="U613" s="4">
        <v>39.96</v>
      </c>
      <c r="V613" s="4">
        <v>57.16</v>
      </c>
      <c r="W613" s="4"/>
      <c r="X613" s="4"/>
      <c r="Y613" s="4"/>
    </row>
    <row r="614" spans="1:25" ht="15" customHeight="1" x14ac:dyDescent="0.45">
      <c r="A614" s="3">
        <v>45386</v>
      </c>
      <c r="B614" s="6">
        <v>67.45</v>
      </c>
      <c r="C614" s="4">
        <v>54.12</v>
      </c>
      <c r="D614" s="4">
        <v>35.85</v>
      </c>
      <c r="E614" s="4">
        <v>44.73</v>
      </c>
      <c r="F614" s="4">
        <v>42.15</v>
      </c>
      <c r="G614" s="4">
        <v>40.369999999999997</v>
      </c>
      <c r="H614" s="4">
        <v>36.43</v>
      </c>
      <c r="I614" s="6">
        <v>65.709999999999994</v>
      </c>
      <c r="J614" s="6">
        <v>69.27</v>
      </c>
      <c r="K614" s="4">
        <v>59.64</v>
      </c>
      <c r="L614" s="4">
        <v>44.98</v>
      </c>
      <c r="M614" s="4">
        <v>38.89</v>
      </c>
      <c r="N614" s="4">
        <v>40.549999999999997</v>
      </c>
      <c r="O614" s="4">
        <v>47.54</v>
      </c>
      <c r="P614" s="4">
        <v>37.200000000000003</v>
      </c>
      <c r="Q614" s="4">
        <v>42.31</v>
      </c>
      <c r="R614" s="4">
        <v>44.66</v>
      </c>
      <c r="S614" s="4">
        <v>39.409999999999997</v>
      </c>
      <c r="T614" s="4">
        <v>45.06</v>
      </c>
      <c r="U614" s="4">
        <v>43.47</v>
      </c>
      <c r="V614" s="6">
        <v>62.86</v>
      </c>
      <c r="W614" s="4"/>
      <c r="X614" s="4"/>
      <c r="Y614" s="4"/>
    </row>
    <row r="615" spans="1:25" ht="15" customHeight="1" x14ac:dyDescent="0.45">
      <c r="A615" s="3">
        <v>45385</v>
      </c>
      <c r="B615" s="6">
        <v>66.52</v>
      </c>
      <c r="C615" s="4">
        <v>58.13</v>
      </c>
      <c r="D615" s="4">
        <v>38.06</v>
      </c>
      <c r="E615" s="4">
        <v>42.73</v>
      </c>
      <c r="F615" s="4">
        <v>41.87</v>
      </c>
      <c r="G615" s="4">
        <v>44.41</v>
      </c>
      <c r="H615" s="7">
        <v>29.53</v>
      </c>
      <c r="I615" s="6">
        <v>68.77</v>
      </c>
      <c r="J615" s="6">
        <v>64.72</v>
      </c>
      <c r="K615" s="4">
        <v>56.05</v>
      </c>
      <c r="L615" s="4">
        <v>37.93</v>
      </c>
      <c r="M615" s="4">
        <v>38.97</v>
      </c>
      <c r="N615" s="4">
        <v>35.43</v>
      </c>
      <c r="O615" s="4">
        <v>47.85</v>
      </c>
      <c r="P615" s="4">
        <v>39.880000000000003</v>
      </c>
      <c r="Q615" s="4">
        <v>35.090000000000003</v>
      </c>
      <c r="R615" s="4">
        <v>39.96</v>
      </c>
      <c r="S615" s="4">
        <v>36.76</v>
      </c>
      <c r="T615" s="4">
        <v>43.92</v>
      </c>
      <c r="U615" s="4">
        <v>44.3</v>
      </c>
      <c r="V615" s="4">
        <v>57.39</v>
      </c>
      <c r="W615" s="4"/>
      <c r="X615" s="4"/>
      <c r="Y615" s="4"/>
    </row>
    <row r="616" spans="1:25" ht="15" customHeight="1" x14ac:dyDescent="0.45">
      <c r="A616" s="3">
        <v>45384</v>
      </c>
      <c r="B616" s="4">
        <v>59.92</v>
      </c>
      <c r="C616" s="6">
        <v>60.92</v>
      </c>
      <c r="D616" s="4">
        <v>41.37</v>
      </c>
      <c r="E616" s="4">
        <v>50.17</v>
      </c>
      <c r="F616" s="4">
        <v>46.51</v>
      </c>
      <c r="G616" s="4">
        <v>48.34</v>
      </c>
      <c r="H616" s="4">
        <v>34.450000000000003</v>
      </c>
      <c r="I616" s="5">
        <v>74.540000000000006</v>
      </c>
      <c r="J616" s="5">
        <v>76.05</v>
      </c>
      <c r="K616" s="4">
        <v>57.51</v>
      </c>
      <c r="L616" s="4">
        <v>42.94</v>
      </c>
      <c r="M616" s="4">
        <v>44.37</v>
      </c>
      <c r="N616" s="4">
        <v>37.19</v>
      </c>
      <c r="O616" s="4">
        <v>45.81</v>
      </c>
      <c r="P616" s="4">
        <v>36.58</v>
      </c>
      <c r="Q616" s="4">
        <v>40.049999999999997</v>
      </c>
      <c r="R616" s="4">
        <v>43.09</v>
      </c>
      <c r="S616" s="4">
        <v>38.29</v>
      </c>
      <c r="T616" s="4">
        <v>46.1</v>
      </c>
      <c r="U616" s="4">
        <v>46.52</v>
      </c>
      <c r="V616" s="6">
        <v>69.489999999999995</v>
      </c>
      <c r="W616" s="4"/>
      <c r="X616" s="4"/>
      <c r="Y616" s="4"/>
    </row>
    <row r="617" spans="1:25" ht="15" customHeight="1" x14ac:dyDescent="0.45">
      <c r="A617" s="3">
        <v>45383</v>
      </c>
      <c r="B617" s="6">
        <v>67.790000000000006</v>
      </c>
      <c r="C617" s="6">
        <v>67.94</v>
      </c>
      <c r="D617" s="4">
        <v>45.11</v>
      </c>
      <c r="E617" s="4">
        <v>52.71</v>
      </c>
      <c r="F617" s="4">
        <v>52.62</v>
      </c>
      <c r="G617" s="4">
        <v>49.25</v>
      </c>
      <c r="H617" s="4">
        <v>39.4</v>
      </c>
      <c r="I617" s="5">
        <v>77.739999999999995</v>
      </c>
      <c r="J617" s="5">
        <v>72.349999999999994</v>
      </c>
      <c r="K617" s="6">
        <v>63.86</v>
      </c>
      <c r="L617" s="4">
        <v>44.89</v>
      </c>
      <c r="M617" s="4">
        <v>47.57</v>
      </c>
      <c r="N617" s="4">
        <v>41.55</v>
      </c>
      <c r="O617" s="4">
        <v>46.36</v>
      </c>
      <c r="P617" s="4">
        <v>39.89</v>
      </c>
      <c r="Q617" s="4">
        <v>45.52</v>
      </c>
      <c r="R617" s="4">
        <v>43.65</v>
      </c>
      <c r="S617" s="4">
        <v>38.03</v>
      </c>
      <c r="T617" s="4">
        <v>43.8</v>
      </c>
      <c r="U617" s="4">
        <v>55.18</v>
      </c>
      <c r="V617" s="6">
        <v>67.39</v>
      </c>
      <c r="W617" s="4"/>
      <c r="X617" s="4"/>
      <c r="Y617" s="4"/>
    </row>
    <row r="618" spans="1:25" ht="15" customHeight="1" x14ac:dyDescent="0.45">
      <c r="A618" s="3">
        <v>45380</v>
      </c>
      <c r="B618" s="4">
        <v>52.66</v>
      </c>
      <c r="C618" s="4">
        <v>52.75</v>
      </c>
      <c r="D618" s="4">
        <v>41.51</v>
      </c>
      <c r="E618" s="4">
        <v>46.44</v>
      </c>
      <c r="F618" s="4">
        <v>57.13</v>
      </c>
      <c r="G618" s="4">
        <v>49.38</v>
      </c>
      <c r="H618" s="4">
        <v>40.020000000000003</v>
      </c>
      <c r="I618" s="5">
        <v>75.03</v>
      </c>
      <c r="J618" s="5">
        <v>72.69</v>
      </c>
      <c r="K618" s="6">
        <v>64.39</v>
      </c>
      <c r="L618" s="4">
        <v>46.4</v>
      </c>
      <c r="M618" s="4">
        <v>44.93</v>
      </c>
      <c r="N618" s="4">
        <v>40.36</v>
      </c>
      <c r="O618" s="4">
        <v>38.07</v>
      </c>
      <c r="P618" s="4">
        <v>31.26</v>
      </c>
      <c r="Q618" s="4">
        <v>46.33</v>
      </c>
      <c r="R618" s="4">
        <v>46.47</v>
      </c>
      <c r="S618" s="4">
        <v>41.58</v>
      </c>
      <c r="T618" s="4">
        <v>44.93</v>
      </c>
      <c r="U618" s="4">
        <v>49.14</v>
      </c>
      <c r="V618" s="6">
        <v>67.22</v>
      </c>
      <c r="W618" s="4"/>
      <c r="X618" s="4"/>
      <c r="Y618" s="4"/>
    </row>
    <row r="619" spans="1:25" ht="15" customHeight="1" x14ac:dyDescent="0.45">
      <c r="A619" s="3">
        <v>45379</v>
      </c>
      <c r="B619" s="4">
        <v>56.27</v>
      </c>
      <c r="C619" s="4">
        <v>57.4</v>
      </c>
      <c r="D619" s="4">
        <v>42.54</v>
      </c>
      <c r="E619" s="4">
        <v>50.34</v>
      </c>
      <c r="F619" s="4">
        <v>54.43</v>
      </c>
      <c r="G619" s="4">
        <v>56.3</v>
      </c>
      <c r="H619" s="4">
        <v>40.479999999999997</v>
      </c>
      <c r="I619" s="5">
        <v>78.430000000000007</v>
      </c>
      <c r="J619" s="5">
        <v>70.09</v>
      </c>
      <c r="K619" s="4">
        <v>59.99</v>
      </c>
      <c r="L619" s="4">
        <v>49.34</v>
      </c>
      <c r="M619" s="4">
        <v>47.24</v>
      </c>
      <c r="N619" s="4">
        <v>41.62</v>
      </c>
      <c r="O619" s="4">
        <v>43.78</v>
      </c>
      <c r="P619" s="4">
        <v>35.049999999999997</v>
      </c>
      <c r="Q619" s="4">
        <v>50.99</v>
      </c>
      <c r="R619" s="4">
        <v>49.96</v>
      </c>
      <c r="S619" s="4">
        <v>44.35</v>
      </c>
      <c r="T619" s="4">
        <v>48.16</v>
      </c>
      <c r="U619" s="4">
        <v>52.49</v>
      </c>
      <c r="V619" s="6">
        <v>65.680000000000007</v>
      </c>
      <c r="W619" s="4"/>
      <c r="X619" s="4"/>
      <c r="Y619" s="4"/>
    </row>
    <row r="620" spans="1:25" ht="15" customHeight="1" x14ac:dyDescent="0.45">
      <c r="A620" s="3">
        <v>45378</v>
      </c>
      <c r="B620" s="4">
        <v>55.63</v>
      </c>
      <c r="C620" s="4">
        <v>58.99</v>
      </c>
      <c r="D620" s="4">
        <v>48.86</v>
      </c>
      <c r="E620" s="4">
        <v>55.57</v>
      </c>
      <c r="F620" s="4">
        <v>56.06</v>
      </c>
      <c r="G620" s="4">
        <v>58.66</v>
      </c>
      <c r="H620" s="4">
        <v>45.68</v>
      </c>
      <c r="I620" s="5">
        <v>73.849999999999994</v>
      </c>
      <c r="J620" s="6">
        <v>69.98</v>
      </c>
      <c r="K620" s="4">
        <v>59.13</v>
      </c>
      <c r="L620" s="4">
        <v>55.22</v>
      </c>
      <c r="M620" s="4">
        <v>46.48</v>
      </c>
      <c r="N620" s="4">
        <v>42.18</v>
      </c>
      <c r="O620" s="4">
        <v>42.85</v>
      </c>
      <c r="P620" s="4">
        <v>35.17</v>
      </c>
      <c r="Q620" s="4">
        <v>58.04</v>
      </c>
      <c r="R620" s="4">
        <v>50.75</v>
      </c>
      <c r="S620" s="4">
        <v>48.05</v>
      </c>
      <c r="T620" s="4">
        <v>48.92</v>
      </c>
      <c r="U620" s="4">
        <v>57.63</v>
      </c>
      <c r="V620" s="6">
        <v>67.56</v>
      </c>
      <c r="W620" s="4"/>
      <c r="X620" s="4"/>
      <c r="Y620" s="4"/>
    </row>
    <row r="621" spans="1:25" ht="15" customHeight="1" x14ac:dyDescent="0.45">
      <c r="A621" s="3">
        <v>45377</v>
      </c>
      <c r="B621" s="4">
        <v>55.66</v>
      </c>
      <c r="C621" s="4">
        <v>57.71</v>
      </c>
      <c r="D621" s="4">
        <v>56</v>
      </c>
      <c r="E621" s="4">
        <v>56.59</v>
      </c>
      <c r="F621" s="4">
        <v>57.48</v>
      </c>
      <c r="G621" s="6">
        <v>60.03</v>
      </c>
      <c r="H621" s="4">
        <v>45.43</v>
      </c>
      <c r="I621" s="5">
        <v>70.8</v>
      </c>
      <c r="J621" s="6">
        <v>68.790000000000006</v>
      </c>
      <c r="K621" s="4">
        <v>54.14</v>
      </c>
      <c r="L621" s="4">
        <v>55.34</v>
      </c>
      <c r="M621" s="4">
        <v>48.85</v>
      </c>
      <c r="N621" s="4">
        <v>41.85</v>
      </c>
      <c r="O621" s="4">
        <v>40.15</v>
      </c>
      <c r="P621" s="4">
        <v>30.9</v>
      </c>
      <c r="Q621" s="4">
        <v>59.08</v>
      </c>
      <c r="R621" s="4">
        <v>58.26</v>
      </c>
      <c r="S621" s="4">
        <v>54.78</v>
      </c>
      <c r="T621" s="4">
        <v>54.43</v>
      </c>
      <c r="U621" s="4">
        <v>54.01</v>
      </c>
      <c r="V621" s="6">
        <v>66.59</v>
      </c>
      <c r="W621" s="4"/>
      <c r="X621" s="4"/>
      <c r="Y621" s="4"/>
    </row>
    <row r="622" spans="1:25" ht="15" customHeight="1" x14ac:dyDescent="0.45">
      <c r="A622" s="3">
        <v>45376</v>
      </c>
      <c r="B622" s="4">
        <v>50.52</v>
      </c>
      <c r="C622" s="4">
        <v>51.24</v>
      </c>
      <c r="D622" s="4">
        <v>58.69</v>
      </c>
      <c r="E622" s="4">
        <v>58.32</v>
      </c>
      <c r="F622" s="6">
        <v>62.69</v>
      </c>
      <c r="G622" s="4">
        <v>56.97</v>
      </c>
      <c r="H622" s="4">
        <v>46.98</v>
      </c>
      <c r="I622" s="6">
        <v>64.599999999999994</v>
      </c>
      <c r="J622" s="6">
        <v>65.63</v>
      </c>
      <c r="K622" s="4">
        <v>54.69</v>
      </c>
      <c r="L622" s="4">
        <v>52.22</v>
      </c>
      <c r="M622" s="4">
        <v>47.69</v>
      </c>
      <c r="N622" s="4">
        <v>43.89</v>
      </c>
      <c r="O622" s="4">
        <v>42.14</v>
      </c>
      <c r="P622" s="4">
        <v>30.49</v>
      </c>
      <c r="Q622" s="4">
        <v>51.33</v>
      </c>
      <c r="R622" s="4">
        <v>59.59</v>
      </c>
      <c r="S622" s="4">
        <v>54.75</v>
      </c>
      <c r="T622" s="4">
        <v>58.63</v>
      </c>
      <c r="U622" s="4">
        <v>48.22</v>
      </c>
      <c r="V622" s="6">
        <v>63.82</v>
      </c>
      <c r="W622" s="4"/>
      <c r="X622" s="4"/>
      <c r="Y622" s="4"/>
    </row>
    <row r="623" spans="1:25" ht="15" customHeight="1" x14ac:dyDescent="0.45">
      <c r="A623" s="3">
        <v>45373</v>
      </c>
      <c r="B623" s="4">
        <v>46.16</v>
      </c>
      <c r="C623" s="4">
        <v>58.69</v>
      </c>
      <c r="D623" s="6">
        <v>60.64</v>
      </c>
      <c r="E623" s="4">
        <v>55.83</v>
      </c>
      <c r="F623" s="6">
        <v>60.59</v>
      </c>
      <c r="G623" s="6">
        <v>60.52</v>
      </c>
      <c r="H623" s="4">
        <v>43.78</v>
      </c>
      <c r="I623" s="6">
        <v>68.17</v>
      </c>
      <c r="J623" s="6">
        <v>67.48</v>
      </c>
      <c r="K623" s="6">
        <v>60.5</v>
      </c>
      <c r="L623" s="4">
        <v>55.36</v>
      </c>
      <c r="M623" s="4">
        <v>49.73</v>
      </c>
      <c r="N623" s="4">
        <v>47.26</v>
      </c>
      <c r="O623" s="4">
        <v>48.03</v>
      </c>
      <c r="P623" s="4">
        <v>32.700000000000003</v>
      </c>
      <c r="Q623" s="4">
        <v>55.85</v>
      </c>
      <c r="R623" s="6">
        <v>63.73</v>
      </c>
      <c r="S623" s="6">
        <v>60.25</v>
      </c>
      <c r="T623" s="4">
        <v>59.86</v>
      </c>
      <c r="U623" s="4">
        <v>46.12</v>
      </c>
      <c r="V623" s="6">
        <v>65.14</v>
      </c>
      <c r="W623" s="4"/>
      <c r="X623" s="4"/>
      <c r="Y623" s="4"/>
    </row>
    <row r="624" spans="1:25" ht="15" customHeight="1" x14ac:dyDescent="0.45">
      <c r="A624" s="3">
        <v>45372</v>
      </c>
      <c r="B624" s="4">
        <v>40.96</v>
      </c>
      <c r="C624" s="4">
        <v>49.02</v>
      </c>
      <c r="D624" s="6">
        <v>62.75</v>
      </c>
      <c r="E624" s="4">
        <v>53.77</v>
      </c>
      <c r="F624" s="6">
        <v>61.8</v>
      </c>
      <c r="G624" s="4">
        <v>56.85</v>
      </c>
      <c r="H624" s="4">
        <v>44.44</v>
      </c>
      <c r="I624" s="6">
        <v>69.099999999999994</v>
      </c>
      <c r="J624" s="6">
        <v>68.28</v>
      </c>
      <c r="K624" s="4">
        <v>55.89</v>
      </c>
      <c r="L624" s="4">
        <v>59.21</v>
      </c>
      <c r="M624" s="4">
        <v>53.21</v>
      </c>
      <c r="N624" s="4">
        <v>47.52</v>
      </c>
      <c r="O624" s="4">
        <v>49.02</v>
      </c>
      <c r="P624" s="4">
        <v>33.97</v>
      </c>
      <c r="Q624" s="4">
        <v>53.75</v>
      </c>
      <c r="R624" s="6">
        <v>64.31</v>
      </c>
      <c r="S624" s="6">
        <v>60.1</v>
      </c>
      <c r="T624" s="6">
        <v>61.23</v>
      </c>
      <c r="U624" s="4">
        <v>45.73</v>
      </c>
      <c r="V624" s="6">
        <v>66.319999999999993</v>
      </c>
      <c r="W624" s="4"/>
      <c r="X624" s="4"/>
      <c r="Y624" s="4"/>
    </row>
    <row r="625" spans="1:25" ht="15" customHeight="1" x14ac:dyDescent="0.45">
      <c r="A625" s="3">
        <v>45371</v>
      </c>
      <c r="B625" s="4">
        <v>40.96</v>
      </c>
      <c r="C625" s="4">
        <v>43.7</v>
      </c>
      <c r="D625" s="4">
        <v>57.87</v>
      </c>
      <c r="E625" s="4">
        <v>50.03</v>
      </c>
      <c r="F625" s="4">
        <v>58.48</v>
      </c>
      <c r="G625" s="4">
        <v>55.93</v>
      </c>
      <c r="H625" s="4">
        <v>41.54</v>
      </c>
      <c r="I625" s="6">
        <v>66.989999999999995</v>
      </c>
      <c r="J625" s="6">
        <v>60.59</v>
      </c>
      <c r="K625" s="4">
        <v>52.02</v>
      </c>
      <c r="L625" s="4">
        <v>54.3</v>
      </c>
      <c r="M625" s="4">
        <v>45.9</v>
      </c>
      <c r="N625" s="4">
        <v>42.35</v>
      </c>
      <c r="O625" s="4">
        <v>42.98</v>
      </c>
      <c r="P625" s="4">
        <v>30.12</v>
      </c>
      <c r="Q625" s="4">
        <v>46.76</v>
      </c>
      <c r="R625" s="4">
        <v>57.94</v>
      </c>
      <c r="S625" s="4">
        <v>55.78</v>
      </c>
      <c r="T625" s="4">
        <v>55.25</v>
      </c>
      <c r="U625" s="4">
        <v>39.76</v>
      </c>
      <c r="V625" s="4">
        <v>59.12</v>
      </c>
      <c r="W625" s="4"/>
      <c r="X625" s="4"/>
      <c r="Y625" s="4"/>
    </row>
    <row r="626" spans="1:25" ht="15" customHeight="1" x14ac:dyDescent="0.45">
      <c r="A626" s="3">
        <v>45370</v>
      </c>
      <c r="B626" s="4">
        <v>41.3</v>
      </c>
      <c r="C626" s="4">
        <v>44.93</v>
      </c>
      <c r="D626" s="4">
        <v>44.95</v>
      </c>
      <c r="E626" s="4">
        <v>51.81</v>
      </c>
      <c r="F626" s="4">
        <v>58.06</v>
      </c>
      <c r="G626" s="4">
        <v>55.66</v>
      </c>
      <c r="H626" s="4">
        <v>43.98</v>
      </c>
      <c r="I626" s="6">
        <v>66.39</v>
      </c>
      <c r="J626" s="4">
        <v>51.92</v>
      </c>
      <c r="K626" s="4">
        <v>48.94</v>
      </c>
      <c r="L626" s="4">
        <v>53.92</v>
      </c>
      <c r="M626" s="4">
        <v>42.04</v>
      </c>
      <c r="N626" s="4">
        <v>43</v>
      </c>
      <c r="O626" s="4">
        <v>42.51</v>
      </c>
      <c r="P626" s="4">
        <v>30.06</v>
      </c>
      <c r="Q626" s="4">
        <v>47.66</v>
      </c>
      <c r="R626" s="4">
        <v>55.44</v>
      </c>
      <c r="S626" s="4">
        <v>54.39</v>
      </c>
      <c r="T626" s="4">
        <v>52.35</v>
      </c>
      <c r="U626" s="4">
        <v>36.36</v>
      </c>
      <c r="V626" s="4">
        <v>53.59</v>
      </c>
      <c r="W626" s="4"/>
      <c r="X626" s="4"/>
      <c r="Y626" s="4"/>
    </row>
    <row r="627" spans="1:25" ht="15" customHeight="1" x14ac:dyDescent="0.45">
      <c r="A627" s="3">
        <v>45369</v>
      </c>
      <c r="B627" s="4">
        <v>45.46</v>
      </c>
      <c r="C627" s="4">
        <v>43.77</v>
      </c>
      <c r="D627" s="4">
        <v>48.35</v>
      </c>
      <c r="E627" s="4">
        <v>55.81</v>
      </c>
      <c r="F627" s="4">
        <v>59.11</v>
      </c>
      <c r="G627" s="4">
        <v>54.97</v>
      </c>
      <c r="H627" s="4">
        <v>47.74</v>
      </c>
      <c r="I627" s="5">
        <v>70.62</v>
      </c>
      <c r="J627" s="4">
        <v>53.75</v>
      </c>
      <c r="K627" s="4">
        <v>54.49</v>
      </c>
      <c r="L627" s="6">
        <v>64.75</v>
      </c>
      <c r="M627" s="4">
        <v>43.96</v>
      </c>
      <c r="N627" s="4">
        <v>58.73</v>
      </c>
      <c r="O627" s="4">
        <v>46.99</v>
      </c>
      <c r="P627" s="4">
        <v>32.97</v>
      </c>
      <c r="Q627" s="4">
        <v>51.62</v>
      </c>
      <c r="R627" s="6">
        <v>60.63</v>
      </c>
      <c r="S627" s="4">
        <v>57.18</v>
      </c>
      <c r="T627" s="4">
        <v>57.26</v>
      </c>
      <c r="U627" s="4">
        <v>40.21</v>
      </c>
      <c r="V627" s="4">
        <v>58.21</v>
      </c>
      <c r="W627" s="4"/>
      <c r="X627" s="4"/>
      <c r="Y627" s="4"/>
    </row>
    <row r="628" spans="1:25" ht="15" customHeight="1" x14ac:dyDescent="0.45">
      <c r="A628" s="3">
        <v>45366</v>
      </c>
      <c r="B628" s="4">
        <v>43.54</v>
      </c>
      <c r="C628" s="4">
        <v>42.63</v>
      </c>
      <c r="D628" s="4">
        <v>40.21</v>
      </c>
      <c r="E628" s="4">
        <v>49.63</v>
      </c>
      <c r="F628" s="4">
        <v>51.85</v>
      </c>
      <c r="G628" s="4">
        <v>57.63</v>
      </c>
      <c r="H628" s="4">
        <v>44.88</v>
      </c>
      <c r="I628" s="6">
        <v>68.13</v>
      </c>
      <c r="J628" s="4">
        <v>48.97</v>
      </c>
      <c r="K628" s="4">
        <v>55</v>
      </c>
      <c r="L628" s="6">
        <v>62.14</v>
      </c>
      <c r="M628" s="4">
        <v>45.89</v>
      </c>
      <c r="N628" s="6">
        <v>65.760000000000005</v>
      </c>
      <c r="O628" s="4">
        <v>49.55</v>
      </c>
      <c r="P628" s="4">
        <v>33.520000000000003</v>
      </c>
      <c r="Q628" s="4">
        <v>53</v>
      </c>
      <c r="R628" s="6">
        <v>63.98</v>
      </c>
      <c r="S628" s="4">
        <v>57.44</v>
      </c>
      <c r="T628" s="4">
        <v>59.07</v>
      </c>
      <c r="U628" s="4">
        <v>41.96</v>
      </c>
      <c r="V628" s="4">
        <v>52.73</v>
      </c>
      <c r="W628" s="4"/>
      <c r="X628" s="4"/>
      <c r="Y628" s="4"/>
    </row>
    <row r="629" spans="1:25" ht="15" customHeight="1" x14ac:dyDescent="0.45">
      <c r="A629" s="3">
        <v>45365</v>
      </c>
      <c r="B629" s="4">
        <v>38.46</v>
      </c>
      <c r="C629" s="4">
        <v>40.799999999999997</v>
      </c>
      <c r="D629" s="4">
        <v>41.01</v>
      </c>
      <c r="E629" s="4">
        <v>52.39</v>
      </c>
      <c r="F629" s="4">
        <v>55.86</v>
      </c>
      <c r="G629" s="4">
        <v>58.43</v>
      </c>
      <c r="H629" s="4">
        <v>48.53</v>
      </c>
      <c r="I629" s="5">
        <v>76.8</v>
      </c>
      <c r="J629" s="4">
        <v>59.72</v>
      </c>
      <c r="K629" s="4">
        <v>54.67</v>
      </c>
      <c r="L629" s="6">
        <v>68.47</v>
      </c>
      <c r="M629" s="6">
        <v>62.16</v>
      </c>
      <c r="N629" s="6">
        <v>65.75</v>
      </c>
      <c r="O629" s="4">
        <v>45.66</v>
      </c>
      <c r="P629" s="4">
        <v>40.69</v>
      </c>
      <c r="Q629" s="4">
        <v>59.08</v>
      </c>
      <c r="R629" s="5">
        <v>71.42</v>
      </c>
      <c r="S629" s="6">
        <v>63.1</v>
      </c>
      <c r="T629" s="6">
        <v>64.28</v>
      </c>
      <c r="U629" s="4">
        <v>47.49</v>
      </c>
      <c r="V629" s="6">
        <v>63.42</v>
      </c>
      <c r="W629" s="4"/>
      <c r="X629" s="4"/>
      <c r="Y629" s="4"/>
    </row>
    <row r="630" spans="1:25" ht="15" customHeight="1" x14ac:dyDescent="0.45">
      <c r="A630" s="3">
        <v>45364</v>
      </c>
      <c r="B630" s="4">
        <v>35.33</v>
      </c>
      <c r="C630" s="4">
        <v>39.97</v>
      </c>
      <c r="D630" s="4">
        <v>40.81</v>
      </c>
      <c r="E630" s="4">
        <v>50.14</v>
      </c>
      <c r="F630" s="4">
        <v>54.12</v>
      </c>
      <c r="G630" s="4">
        <v>55.58</v>
      </c>
      <c r="H630" s="4">
        <v>49.67</v>
      </c>
      <c r="I630" s="5">
        <v>74.290000000000006</v>
      </c>
      <c r="J630" s="6">
        <v>60.59</v>
      </c>
      <c r="K630" s="4">
        <v>59.83</v>
      </c>
      <c r="L630" s="6">
        <v>62.55</v>
      </c>
      <c r="M630" s="4">
        <v>59.08</v>
      </c>
      <c r="N630" s="4">
        <v>59.69</v>
      </c>
      <c r="O630" s="4">
        <v>38.17</v>
      </c>
      <c r="P630" s="7">
        <v>27.09</v>
      </c>
      <c r="Q630" s="4">
        <v>52.7</v>
      </c>
      <c r="R630" s="6">
        <v>65.33</v>
      </c>
      <c r="S630" s="4">
        <v>59.94</v>
      </c>
      <c r="T630" s="4">
        <v>59.29</v>
      </c>
      <c r="U630" s="4">
        <v>47.16</v>
      </c>
      <c r="V630" s="6">
        <v>61.73</v>
      </c>
      <c r="W630" s="4"/>
      <c r="X630" s="4"/>
      <c r="Y630" s="4"/>
    </row>
    <row r="631" spans="1:25" ht="15" customHeight="1" x14ac:dyDescent="0.45">
      <c r="A631" s="3">
        <v>45363</v>
      </c>
      <c r="B631" s="4">
        <v>38.69</v>
      </c>
      <c r="C631" s="4">
        <v>40.950000000000003</v>
      </c>
      <c r="D631" s="4">
        <v>37.049999999999997</v>
      </c>
      <c r="E631" s="4">
        <v>52.12</v>
      </c>
      <c r="F631" s="4">
        <v>59.05</v>
      </c>
      <c r="G631" s="4">
        <v>54.16</v>
      </c>
      <c r="H631" s="4">
        <v>51.84</v>
      </c>
      <c r="I631" s="5">
        <v>70.84</v>
      </c>
      <c r="J631" s="4">
        <v>59.15</v>
      </c>
      <c r="K631" s="4">
        <v>59.4</v>
      </c>
      <c r="L631" s="6">
        <v>60.94</v>
      </c>
      <c r="M631" s="4">
        <v>57.21</v>
      </c>
      <c r="N631" s="4">
        <v>57.99</v>
      </c>
      <c r="O631" s="4">
        <v>38.53</v>
      </c>
      <c r="P631" s="7">
        <v>28.59</v>
      </c>
      <c r="Q631" s="4">
        <v>50.92</v>
      </c>
      <c r="R631" s="6">
        <v>60.47</v>
      </c>
      <c r="S631" s="4">
        <v>51.5</v>
      </c>
      <c r="T631" s="4">
        <v>57.01</v>
      </c>
      <c r="U631" s="4">
        <v>48.76</v>
      </c>
      <c r="V631" s="6">
        <v>60.93</v>
      </c>
      <c r="W631" s="4"/>
      <c r="X631" s="4"/>
      <c r="Y631" s="4"/>
    </row>
    <row r="632" spans="1:25" ht="15" customHeight="1" x14ac:dyDescent="0.45">
      <c r="A632" s="3">
        <v>45362</v>
      </c>
      <c r="B632" s="4">
        <v>38.75</v>
      </c>
      <c r="C632" s="4">
        <v>41.19</v>
      </c>
      <c r="D632" s="4">
        <v>38.1</v>
      </c>
      <c r="E632" s="4">
        <v>46.89</v>
      </c>
      <c r="F632" s="4">
        <v>56.43</v>
      </c>
      <c r="G632" s="4">
        <v>53.35</v>
      </c>
      <c r="H632" s="4">
        <v>46.1</v>
      </c>
      <c r="I632" s="5">
        <v>72.67</v>
      </c>
      <c r="J632" s="4">
        <v>52.49</v>
      </c>
      <c r="K632" s="6">
        <v>61.34</v>
      </c>
      <c r="L632" s="6">
        <v>63.02</v>
      </c>
      <c r="M632" s="4">
        <v>56.05</v>
      </c>
      <c r="N632" s="6">
        <v>61.77</v>
      </c>
      <c r="O632" s="4">
        <v>41.22</v>
      </c>
      <c r="P632" s="7">
        <v>29.56</v>
      </c>
      <c r="Q632" s="4">
        <v>51.36</v>
      </c>
      <c r="R632" s="6">
        <v>62.28</v>
      </c>
      <c r="S632" s="4">
        <v>51.17</v>
      </c>
      <c r="T632" s="6">
        <v>64.319999999999993</v>
      </c>
      <c r="U632" s="4">
        <v>46.82</v>
      </c>
      <c r="V632" s="4">
        <v>55.87</v>
      </c>
      <c r="W632" s="4"/>
      <c r="X632" s="4"/>
      <c r="Y632" s="4"/>
    </row>
    <row r="633" spans="1:25" ht="15" customHeight="1" x14ac:dyDescent="0.45">
      <c r="A633" s="3">
        <v>45359</v>
      </c>
      <c r="B633" s="4">
        <v>40.1</v>
      </c>
      <c r="C633" s="4">
        <v>38.47</v>
      </c>
      <c r="D633" s="4">
        <v>39.03</v>
      </c>
      <c r="E633" s="4">
        <v>49.59</v>
      </c>
      <c r="F633" s="4">
        <v>57.89</v>
      </c>
      <c r="G633" s="4">
        <v>58.63</v>
      </c>
      <c r="H633" s="4">
        <v>50.16</v>
      </c>
      <c r="I633" s="5">
        <v>70.790000000000006</v>
      </c>
      <c r="J633" s="4">
        <v>58.7</v>
      </c>
      <c r="K633" s="5">
        <v>74.19</v>
      </c>
      <c r="L633" s="6">
        <v>68.02</v>
      </c>
      <c r="M633" s="4">
        <v>57.95</v>
      </c>
      <c r="N633" s="6">
        <v>62.65</v>
      </c>
      <c r="O633" s="4">
        <v>44.66</v>
      </c>
      <c r="P633" s="4">
        <v>30.88</v>
      </c>
      <c r="Q633" s="4">
        <v>55.72</v>
      </c>
      <c r="R633" s="6">
        <v>64.84</v>
      </c>
      <c r="S633" s="4">
        <v>59.75</v>
      </c>
      <c r="T633" s="6">
        <v>65.34</v>
      </c>
      <c r="U633" s="4">
        <v>38.93</v>
      </c>
      <c r="V633" s="6">
        <v>62.23</v>
      </c>
      <c r="W633" s="4"/>
      <c r="X633" s="4"/>
      <c r="Y633" s="4"/>
    </row>
    <row r="634" spans="1:25" ht="15" customHeight="1" x14ac:dyDescent="0.45">
      <c r="A634" s="3">
        <v>45358</v>
      </c>
      <c r="B634" s="4">
        <v>34.86</v>
      </c>
      <c r="C634" s="4">
        <v>34.04</v>
      </c>
      <c r="D634" s="4">
        <v>44.16</v>
      </c>
      <c r="E634" s="4">
        <v>47.18</v>
      </c>
      <c r="F634" s="4">
        <v>45.52</v>
      </c>
      <c r="G634" s="4">
        <v>50.09</v>
      </c>
      <c r="H634" s="4">
        <v>47.89</v>
      </c>
      <c r="I634" s="6">
        <v>66.930000000000007</v>
      </c>
      <c r="J634" s="4">
        <v>51.87</v>
      </c>
      <c r="K634" s="5">
        <v>71.84</v>
      </c>
      <c r="L634" s="6">
        <v>66.59</v>
      </c>
      <c r="M634" s="4">
        <v>54.87</v>
      </c>
      <c r="N634" s="6">
        <v>65.599999999999994</v>
      </c>
      <c r="O634" s="4">
        <v>41.6</v>
      </c>
      <c r="P634" s="4">
        <v>32.15</v>
      </c>
      <c r="Q634" s="4">
        <v>55.85</v>
      </c>
      <c r="R634" s="6">
        <v>64.61</v>
      </c>
      <c r="S634" s="4">
        <v>58.69</v>
      </c>
      <c r="T634" s="6">
        <v>65.88</v>
      </c>
      <c r="U634" s="4">
        <v>31.67</v>
      </c>
      <c r="V634" s="4">
        <v>55.22</v>
      </c>
      <c r="W634" s="4"/>
      <c r="X634" s="4"/>
      <c r="Y634" s="4"/>
    </row>
    <row r="635" spans="1:25" ht="15" customHeight="1" x14ac:dyDescent="0.45">
      <c r="A635" s="3">
        <v>45357</v>
      </c>
      <c r="B635" s="4">
        <v>40.1</v>
      </c>
      <c r="C635" s="4">
        <v>35.79</v>
      </c>
      <c r="D635" s="4">
        <v>50.71</v>
      </c>
      <c r="E635" s="4">
        <v>46.17</v>
      </c>
      <c r="F635" s="4">
        <v>46.2</v>
      </c>
      <c r="G635" s="4">
        <v>50.44</v>
      </c>
      <c r="H635" s="4">
        <v>45.7</v>
      </c>
      <c r="I635" s="6">
        <v>69.14</v>
      </c>
      <c r="J635" s="4">
        <v>49.95</v>
      </c>
      <c r="K635" s="5">
        <v>80.22</v>
      </c>
      <c r="L635" s="6">
        <v>68.72</v>
      </c>
      <c r="M635" s="4">
        <v>55.66</v>
      </c>
      <c r="N635" s="5">
        <v>70.7</v>
      </c>
      <c r="O635" s="4">
        <v>45.98</v>
      </c>
      <c r="P635" s="4">
        <v>33.17</v>
      </c>
      <c r="Q635" s="4">
        <v>55.69</v>
      </c>
      <c r="R635" s="6">
        <v>62.27</v>
      </c>
      <c r="S635" s="4">
        <v>58.36</v>
      </c>
      <c r="T635" s="6">
        <v>63.51</v>
      </c>
      <c r="U635" s="4">
        <v>31.25</v>
      </c>
      <c r="V635" s="4">
        <v>54.51</v>
      </c>
      <c r="W635" s="4"/>
      <c r="X635" s="4"/>
      <c r="Y635" s="4"/>
    </row>
    <row r="636" spans="1:25" ht="15" customHeight="1" x14ac:dyDescent="0.45">
      <c r="A636" s="3">
        <v>45356</v>
      </c>
      <c r="B636" s="4">
        <v>39.049999999999997</v>
      </c>
      <c r="C636" s="4">
        <v>37.32</v>
      </c>
      <c r="D636" s="4">
        <v>52.24</v>
      </c>
      <c r="E636" s="4">
        <v>49.49</v>
      </c>
      <c r="F636" s="4">
        <v>40.76</v>
      </c>
      <c r="G636" s="4">
        <v>54.49</v>
      </c>
      <c r="H636" s="4">
        <v>49.47</v>
      </c>
      <c r="I636" s="6">
        <v>63.3</v>
      </c>
      <c r="J636" s="4">
        <v>54.74</v>
      </c>
      <c r="K636" s="5">
        <v>76.989999999999995</v>
      </c>
      <c r="L636" s="6">
        <v>65.540000000000006</v>
      </c>
      <c r="M636" s="4">
        <v>57.47</v>
      </c>
      <c r="N636" s="6">
        <v>69.489999999999995</v>
      </c>
      <c r="O636" s="4">
        <v>47.76</v>
      </c>
      <c r="P636" s="4">
        <v>37.72</v>
      </c>
      <c r="Q636" s="4">
        <v>54.76</v>
      </c>
      <c r="R636" s="6">
        <v>63.43</v>
      </c>
      <c r="S636" s="6">
        <v>66.069999999999993</v>
      </c>
      <c r="T636" s="6">
        <v>65.959999999999994</v>
      </c>
      <c r="U636" s="4">
        <v>31.7</v>
      </c>
      <c r="V636" s="4">
        <v>56.07</v>
      </c>
      <c r="W636" s="4"/>
      <c r="X636" s="4"/>
      <c r="Y636" s="4"/>
    </row>
    <row r="637" spans="1:25" ht="15" customHeight="1" x14ac:dyDescent="0.45">
      <c r="A637" s="3">
        <v>45355</v>
      </c>
      <c r="B637" s="4">
        <v>40.51</v>
      </c>
      <c r="C637" s="4">
        <v>39.46</v>
      </c>
      <c r="D637" s="4">
        <v>56.06</v>
      </c>
      <c r="E637" s="4">
        <v>48.33</v>
      </c>
      <c r="F637" s="4">
        <v>38.4</v>
      </c>
      <c r="G637" s="4">
        <v>58.88</v>
      </c>
      <c r="H637" s="4">
        <v>55.14</v>
      </c>
      <c r="I637" s="6">
        <v>65.28</v>
      </c>
      <c r="J637" s="6">
        <v>64.069999999999993</v>
      </c>
      <c r="K637" s="5">
        <v>74.69</v>
      </c>
      <c r="L637" s="5">
        <v>71.22</v>
      </c>
      <c r="M637" s="4">
        <v>57.63</v>
      </c>
      <c r="N637" s="5">
        <v>72.87</v>
      </c>
      <c r="O637" s="4">
        <v>50.88</v>
      </c>
      <c r="P637" s="4">
        <v>38.659999999999997</v>
      </c>
      <c r="Q637" s="4">
        <v>53.86</v>
      </c>
      <c r="R637" s="6">
        <v>64.39</v>
      </c>
      <c r="S637" s="6">
        <v>68.58</v>
      </c>
      <c r="T637" s="6">
        <v>66.45</v>
      </c>
      <c r="U637" s="4">
        <v>34.78</v>
      </c>
      <c r="V637" s="6">
        <v>63.12</v>
      </c>
      <c r="W637" s="4"/>
      <c r="X637" s="4"/>
      <c r="Y637" s="4"/>
    </row>
    <row r="638" spans="1:25" ht="15" customHeight="1" x14ac:dyDescent="0.45">
      <c r="A638" s="3">
        <v>45352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" customHeight="1" x14ac:dyDescent="0.45">
      <c r="A639" s="3">
        <v>45351</v>
      </c>
      <c r="B639" s="4">
        <v>38.03</v>
      </c>
      <c r="C639" s="4">
        <v>45.46</v>
      </c>
      <c r="D639" s="4">
        <v>51.7</v>
      </c>
      <c r="E639" s="4">
        <v>45.56</v>
      </c>
      <c r="F639" s="4">
        <v>41.05</v>
      </c>
      <c r="G639" s="6">
        <v>60.5</v>
      </c>
      <c r="H639" s="4">
        <v>45.94</v>
      </c>
      <c r="I639" s="4">
        <v>59.5</v>
      </c>
      <c r="J639" s="4">
        <v>54.9</v>
      </c>
      <c r="K639" s="5">
        <v>75.58</v>
      </c>
      <c r="L639" s="5">
        <v>70.19</v>
      </c>
      <c r="M639" s="4">
        <v>53.74</v>
      </c>
      <c r="N639" s="5">
        <v>73.260000000000005</v>
      </c>
      <c r="O639" s="4">
        <v>55.97</v>
      </c>
      <c r="P639" s="4">
        <v>43.42</v>
      </c>
      <c r="Q639" s="6">
        <v>60.02</v>
      </c>
      <c r="R639" s="6">
        <v>60.56</v>
      </c>
      <c r="S639" s="6">
        <v>66.05</v>
      </c>
      <c r="T639" s="6">
        <v>62.03</v>
      </c>
      <c r="U639" s="4">
        <v>39.090000000000003</v>
      </c>
      <c r="V639" s="4">
        <v>56.68</v>
      </c>
      <c r="W639" s="4"/>
      <c r="X639" s="4"/>
      <c r="Y639" s="4"/>
    </row>
    <row r="640" spans="1:25" ht="15" customHeight="1" x14ac:dyDescent="0.45">
      <c r="A640" s="3">
        <v>45350</v>
      </c>
      <c r="B640" s="4">
        <v>40.76</v>
      </c>
      <c r="C640" s="4">
        <v>46.46</v>
      </c>
      <c r="D640" s="4">
        <v>49.32</v>
      </c>
      <c r="E640" s="4">
        <v>49.65</v>
      </c>
      <c r="F640" s="4">
        <v>54.21</v>
      </c>
      <c r="G640" s="6">
        <v>61.38</v>
      </c>
      <c r="H640" s="4">
        <v>49.73</v>
      </c>
      <c r="I640" s="6">
        <v>65.58</v>
      </c>
      <c r="J640" s="4">
        <v>54.69</v>
      </c>
      <c r="K640" s="6">
        <v>68.81</v>
      </c>
      <c r="L640" s="6">
        <v>68.209999999999994</v>
      </c>
      <c r="M640" s="4">
        <v>54.77</v>
      </c>
      <c r="N640" s="5">
        <v>71.599999999999994</v>
      </c>
      <c r="O640" s="4">
        <v>59.26</v>
      </c>
      <c r="P640" s="4">
        <v>46.74</v>
      </c>
      <c r="Q640" s="4">
        <v>56.84</v>
      </c>
      <c r="R640" s="6">
        <v>60.2</v>
      </c>
      <c r="S640" s="6">
        <v>63.96</v>
      </c>
      <c r="T640" s="6">
        <v>64.28</v>
      </c>
      <c r="U640" s="4">
        <v>46.87</v>
      </c>
      <c r="V640" s="4">
        <v>59</v>
      </c>
      <c r="W640" s="4"/>
      <c r="X640" s="4"/>
      <c r="Y640" s="4"/>
    </row>
    <row r="641" spans="1:25" ht="15" customHeight="1" x14ac:dyDescent="0.45">
      <c r="A641" s="3">
        <v>45349</v>
      </c>
      <c r="B641" s="4">
        <v>41.87</v>
      </c>
      <c r="C641" s="4">
        <v>44.53</v>
      </c>
      <c r="D641" s="4">
        <v>48.96</v>
      </c>
      <c r="E641" s="4">
        <v>47.17</v>
      </c>
      <c r="F641" s="4">
        <v>55.76</v>
      </c>
      <c r="G641" s="6">
        <v>60.83</v>
      </c>
      <c r="H641" s="4">
        <v>44.43</v>
      </c>
      <c r="I641" s="4">
        <v>58.56</v>
      </c>
      <c r="J641" s="4">
        <v>51.83</v>
      </c>
      <c r="K641" s="6">
        <v>65.34</v>
      </c>
      <c r="L641" s="6">
        <v>61.2</v>
      </c>
      <c r="M641" s="4">
        <v>48.29</v>
      </c>
      <c r="N641" s="5">
        <v>71.13</v>
      </c>
      <c r="O641" s="4">
        <v>51.88</v>
      </c>
      <c r="P641" s="4">
        <v>46.03</v>
      </c>
      <c r="Q641" s="4">
        <v>54.62</v>
      </c>
      <c r="R641" s="4">
        <v>57.24</v>
      </c>
      <c r="S641" s="6">
        <v>60.74</v>
      </c>
      <c r="T641" s="4">
        <v>58.11</v>
      </c>
      <c r="U641" s="4">
        <v>46.07</v>
      </c>
      <c r="V641" s="4">
        <v>54.19</v>
      </c>
      <c r="W641" s="4"/>
      <c r="X641" s="4"/>
      <c r="Y641" s="4"/>
    </row>
    <row r="642" spans="1:25" ht="15" customHeight="1" x14ac:dyDescent="0.45">
      <c r="A642" s="3">
        <v>45348</v>
      </c>
      <c r="B642" s="4">
        <v>47.14</v>
      </c>
      <c r="C642" s="4">
        <v>46.83</v>
      </c>
      <c r="D642" s="4">
        <v>53.69</v>
      </c>
      <c r="E642" s="4">
        <v>50.94</v>
      </c>
      <c r="F642" s="4">
        <v>52.4</v>
      </c>
      <c r="G642" s="6">
        <v>64.77</v>
      </c>
      <c r="H642" s="4">
        <v>47.69</v>
      </c>
      <c r="I642" s="4">
        <v>57.84</v>
      </c>
      <c r="J642" s="4">
        <v>58.88</v>
      </c>
      <c r="K642" s="6">
        <v>67.94</v>
      </c>
      <c r="L642" s="6">
        <v>61.64</v>
      </c>
      <c r="M642" s="4">
        <v>53.16</v>
      </c>
      <c r="N642" s="5">
        <v>77.7</v>
      </c>
      <c r="O642" s="4">
        <v>55.94</v>
      </c>
      <c r="P642" s="4">
        <v>52.8</v>
      </c>
      <c r="Q642" s="4">
        <v>59.94</v>
      </c>
      <c r="R642" s="4">
        <v>58.76</v>
      </c>
      <c r="S642" s="6">
        <v>60.09</v>
      </c>
      <c r="T642" s="6">
        <v>61.3</v>
      </c>
      <c r="U642" s="4">
        <v>50.38</v>
      </c>
      <c r="V642" s="4">
        <v>59.28</v>
      </c>
      <c r="W642" s="4"/>
      <c r="X642" s="4"/>
      <c r="Y642" s="4"/>
    </row>
    <row r="643" spans="1:25" ht="15" customHeight="1" x14ac:dyDescent="0.45">
      <c r="A643" s="3">
        <v>45345</v>
      </c>
      <c r="B643" s="4">
        <v>52.61</v>
      </c>
      <c r="C643" s="4">
        <v>53.28</v>
      </c>
      <c r="D643" s="6">
        <v>60.77</v>
      </c>
      <c r="E643" s="4">
        <v>54.86</v>
      </c>
      <c r="F643" s="4">
        <v>51.25</v>
      </c>
      <c r="G643" s="5">
        <v>72.73</v>
      </c>
      <c r="H643" s="4">
        <v>50.67</v>
      </c>
      <c r="I643" s="4">
        <v>56.17</v>
      </c>
      <c r="J643" s="4">
        <v>58.16</v>
      </c>
      <c r="K643" s="6">
        <v>64.56</v>
      </c>
      <c r="L643" s="6">
        <v>66.180000000000007</v>
      </c>
      <c r="M643" s="6">
        <v>63.31</v>
      </c>
      <c r="N643" s="5">
        <v>73.66</v>
      </c>
      <c r="O643" s="4">
        <v>56.53</v>
      </c>
      <c r="P643" s="4">
        <v>52.73</v>
      </c>
      <c r="Q643" s="6">
        <v>64.3</v>
      </c>
      <c r="R643" s="6">
        <v>69.22</v>
      </c>
      <c r="S643" s="6">
        <v>69.709999999999994</v>
      </c>
      <c r="T643" s="5">
        <v>70.06</v>
      </c>
      <c r="U643" s="4">
        <v>52.73</v>
      </c>
      <c r="V643" s="6">
        <v>60.83</v>
      </c>
      <c r="W643" s="4"/>
      <c r="X643" s="4"/>
      <c r="Y643" s="4"/>
    </row>
    <row r="644" spans="1:25" ht="15" customHeight="1" x14ac:dyDescent="0.45">
      <c r="A644" s="3">
        <v>45344</v>
      </c>
      <c r="B644" s="4">
        <v>49.16</v>
      </c>
      <c r="C644" s="4">
        <v>50.43</v>
      </c>
      <c r="D644" s="6">
        <v>61.25</v>
      </c>
      <c r="E644" s="4">
        <v>59.46</v>
      </c>
      <c r="F644" s="4">
        <v>49.36</v>
      </c>
      <c r="G644" s="5">
        <v>73.72</v>
      </c>
      <c r="H644" s="4">
        <v>51.13</v>
      </c>
      <c r="I644" s="6">
        <v>62.19</v>
      </c>
      <c r="J644" s="4">
        <v>57.47</v>
      </c>
      <c r="K644" s="4">
        <v>57.96</v>
      </c>
      <c r="L644" s="6">
        <v>67.209999999999994</v>
      </c>
      <c r="M644" s="6">
        <v>67.91</v>
      </c>
      <c r="N644" s="5">
        <v>71.87</v>
      </c>
      <c r="O644" s="4">
        <v>58.5</v>
      </c>
      <c r="P644" s="4">
        <v>54.15</v>
      </c>
      <c r="Q644" s="6">
        <v>65.33</v>
      </c>
      <c r="R644" s="6">
        <v>66.58</v>
      </c>
      <c r="S644" s="6">
        <v>67.19</v>
      </c>
      <c r="T644" s="6">
        <v>66.81</v>
      </c>
      <c r="U644" s="4">
        <v>55.15</v>
      </c>
      <c r="V644" s="6">
        <v>61.12</v>
      </c>
      <c r="W644" s="4"/>
      <c r="X644" s="4"/>
      <c r="Y644" s="4"/>
    </row>
    <row r="645" spans="1:25" ht="15" customHeight="1" x14ac:dyDescent="0.45">
      <c r="A645" s="3">
        <v>45343</v>
      </c>
      <c r="B645" s="4">
        <v>51.59</v>
      </c>
      <c r="C645" s="4">
        <v>51.61</v>
      </c>
      <c r="D645" s="6">
        <v>61</v>
      </c>
      <c r="E645" s="6">
        <v>67.150000000000006</v>
      </c>
      <c r="F645" s="4">
        <v>51.66</v>
      </c>
      <c r="G645" s="5">
        <v>75.41</v>
      </c>
      <c r="H645" s="4">
        <v>53.51</v>
      </c>
      <c r="I645" s="4">
        <v>55.48</v>
      </c>
      <c r="J645" s="4">
        <v>53.72</v>
      </c>
      <c r="K645" s="6">
        <v>65.540000000000006</v>
      </c>
      <c r="L645" s="6">
        <v>64.42</v>
      </c>
      <c r="M645" s="6">
        <v>66.33</v>
      </c>
      <c r="N645" s="5">
        <v>70.97</v>
      </c>
      <c r="O645" s="4">
        <v>58.28</v>
      </c>
      <c r="P645" s="4">
        <v>54.25</v>
      </c>
      <c r="Q645" s="6">
        <v>65.849999999999994</v>
      </c>
      <c r="R645" s="6">
        <v>66.349999999999994</v>
      </c>
      <c r="S645" s="5">
        <v>70.56</v>
      </c>
      <c r="T645" s="6">
        <v>66.209999999999994</v>
      </c>
      <c r="U645" s="4">
        <v>53.04</v>
      </c>
      <c r="V645" s="4">
        <v>59.23</v>
      </c>
      <c r="W645" s="4"/>
      <c r="X645" s="4"/>
      <c r="Y645" s="4"/>
    </row>
    <row r="646" spans="1:25" ht="15" customHeight="1" x14ac:dyDescent="0.45">
      <c r="A646" s="3">
        <v>45342</v>
      </c>
      <c r="B646" s="4">
        <v>49.42</v>
      </c>
      <c r="C646" s="4">
        <v>44.07</v>
      </c>
      <c r="D646" s="6">
        <v>68.19</v>
      </c>
      <c r="E646" s="6">
        <v>69.819999999999993</v>
      </c>
      <c r="F646" s="4">
        <v>52.54</v>
      </c>
      <c r="G646" s="5">
        <v>75.81</v>
      </c>
      <c r="H646" s="4">
        <v>54.53</v>
      </c>
      <c r="I646" s="4">
        <v>57.57</v>
      </c>
      <c r="J646" s="4">
        <v>54.61</v>
      </c>
      <c r="K646" s="6">
        <v>65.569999999999993</v>
      </c>
      <c r="L646" s="6">
        <v>64.180000000000007</v>
      </c>
      <c r="M646" s="6">
        <v>67.83</v>
      </c>
      <c r="N646" s="5">
        <v>76.150000000000006</v>
      </c>
      <c r="O646" s="4">
        <v>58.68</v>
      </c>
      <c r="P646" s="4">
        <v>51.86</v>
      </c>
      <c r="Q646" s="5">
        <v>77.400000000000006</v>
      </c>
      <c r="R646" s="6">
        <v>66.33</v>
      </c>
      <c r="S646" s="6">
        <v>68.73</v>
      </c>
      <c r="T646" s="6">
        <v>63.48</v>
      </c>
      <c r="U646" s="4">
        <v>54.06</v>
      </c>
      <c r="V646" s="6">
        <v>60.19</v>
      </c>
      <c r="W646" s="4"/>
      <c r="X646" s="4"/>
      <c r="Y646" s="4"/>
    </row>
    <row r="647" spans="1:25" ht="15" customHeight="1" x14ac:dyDescent="0.45">
      <c r="A647" s="3">
        <v>45341</v>
      </c>
      <c r="B647" s="4">
        <v>52.24</v>
      </c>
      <c r="C647" s="4">
        <v>48.25</v>
      </c>
      <c r="D647" s="6">
        <v>64.38</v>
      </c>
      <c r="E647" s="5">
        <v>70.52</v>
      </c>
      <c r="F647" s="4">
        <v>53.68</v>
      </c>
      <c r="G647" s="5">
        <v>77.94</v>
      </c>
      <c r="H647" s="4">
        <v>57.38</v>
      </c>
      <c r="I647" s="6">
        <v>62.32</v>
      </c>
      <c r="J647" s="4">
        <v>55.4</v>
      </c>
      <c r="K647" s="6">
        <v>64.400000000000006</v>
      </c>
      <c r="L647" s="5">
        <v>70.75</v>
      </c>
      <c r="M647" s="5">
        <v>77.05</v>
      </c>
      <c r="N647" s="5">
        <v>76.11</v>
      </c>
      <c r="O647" s="6">
        <v>64.930000000000007</v>
      </c>
      <c r="P647" s="4">
        <v>52.08</v>
      </c>
      <c r="Q647" s="5">
        <v>78.75</v>
      </c>
      <c r="R647" s="5">
        <v>74.819999999999993</v>
      </c>
      <c r="S647" s="5">
        <v>77.19</v>
      </c>
      <c r="T647" s="5">
        <v>72.61</v>
      </c>
      <c r="U647" s="4">
        <v>56.24</v>
      </c>
      <c r="V647" s="6">
        <v>62.92</v>
      </c>
      <c r="W647" s="4"/>
      <c r="X647" s="4"/>
      <c r="Y647" s="4"/>
    </row>
    <row r="648" spans="1:25" ht="15" customHeight="1" x14ac:dyDescent="0.45">
      <c r="A648" s="3">
        <v>45338</v>
      </c>
      <c r="B648" s="4">
        <v>48.28</v>
      </c>
      <c r="C648" s="4">
        <v>41.61</v>
      </c>
      <c r="D648" s="4">
        <v>57.78</v>
      </c>
      <c r="E648" s="6">
        <v>69.150000000000006</v>
      </c>
      <c r="F648" s="4">
        <v>54.07</v>
      </c>
      <c r="G648" s="5">
        <v>76.83</v>
      </c>
      <c r="H648" s="4">
        <v>55.24</v>
      </c>
      <c r="I648" s="6">
        <v>63.41</v>
      </c>
      <c r="J648" s="4">
        <v>52.94</v>
      </c>
      <c r="K648" s="6">
        <v>64.260000000000005</v>
      </c>
      <c r="L648" s="6">
        <v>68.34</v>
      </c>
      <c r="M648" s="5">
        <v>73.599999999999994</v>
      </c>
      <c r="N648" s="6">
        <v>63.38</v>
      </c>
      <c r="O648" s="4">
        <v>59.31</v>
      </c>
      <c r="P648" s="4">
        <v>47.29</v>
      </c>
      <c r="Q648" s="5">
        <v>71.2</v>
      </c>
      <c r="R648" s="5">
        <v>70.81</v>
      </c>
      <c r="S648" s="5">
        <v>75.08</v>
      </c>
      <c r="T648" s="6">
        <v>68.42</v>
      </c>
      <c r="U648" s="4">
        <v>55.75</v>
      </c>
      <c r="V648" s="6">
        <v>60.59</v>
      </c>
      <c r="W648" s="4"/>
      <c r="X648" s="4"/>
      <c r="Y648" s="4"/>
    </row>
    <row r="649" spans="1:25" ht="15" customHeight="1" x14ac:dyDescent="0.45">
      <c r="A649" s="3">
        <v>45337</v>
      </c>
      <c r="B649" s="4">
        <v>38.630000000000003</v>
      </c>
      <c r="C649" s="4">
        <v>40.619999999999997</v>
      </c>
      <c r="D649" s="4">
        <v>54.01</v>
      </c>
      <c r="E649" s="6">
        <v>61.76</v>
      </c>
      <c r="F649" s="4">
        <v>52.75</v>
      </c>
      <c r="G649" s="5">
        <v>74.91</v>
      </c>
      <c r="H649" s="4">
        <v>52.08</v>
      </c>
      <c r="I649" s="6">
        <v>61.98</v>
      </c>
      <c r="J649" s="4">
        <v>51.64</v>
      </c>
      <c r="K649" s="4">
        <v>59.03</v>
      </c>
      <c r="L649" s="6">
        <v>64.72</v>
      </c>
      <c r="M649" s="6">
        <v>69.42</v>
      </c>
      <c r="N649" s="4">
        <v>59.83</v>
      </c>
      <c r="O649" s="4">
        <v>52.08</v>
      </c>
      <c r="P649" s="4">
        <v>42.03</v>
      </c>
      <c r="Q649" s="6">
        <v>66.91</v>
      </c>
      <c r="R649" s="6">
        <v>65.59</v>
      </c>
      <c r="S649" s="6">
        <v>68.73</v>
      </c>
      <c r="T649" s="6">
        <v>64.91</v>
      </c>
      <c r="U649" s="4">
        <v>53.99</v>
      </c>
      <c r="V649" s="4">
        <v>57.01</v>
      </c>
      <c r="W649" s="4"/>
      <c r="X649" s="4"/>
      <c r="Y649" s="4"/>
    </row>
    <row r="650" spans="1:25" ht="15" customHeight="1" x14ac:dyDescent="0.45">
      <c r="A650" s="3">
        <v>45336</v>
      </c>
      <c r="B650" s="4">
        <v>40.270000000000003</v>
      </c>
      <c r="C650" s="4">
        <v>44.4</v>
      </c>
      <c r="D650" s="4">
        <v>54.68</v>
      </c>
      <c r="E650" s="4">
        <v>55.53</v>
      </c>
      <c r="F650" s="4">
        <v>55.45</v>
      </c>
      <c r="G650" s="5">
        <v>77.05</v>
      </c>
      <c r="H650" s="4">
        <v>49.47</v>
      </c>
      <c r="I650" s="6">
        <v>64.55</v>
      </c>
      <c r="J650" s="4">
        <v>53.2</v>
      </c>
      <c r="K650" s="4">
        <v>55.84</v>
      </c>
      <c r="L650" s="5">
        <v>71.45</v>
      </c>
      <c r="M650" s="6">
        <v>67.47</v>
      </c>
      <c r="N650" s="6">
        <v>65.8</v>
      </c>
      <c r="O650" s="4">
        <v>51.82</v>
      </c>
      <c r="P650" s="4">
        <v>45.18</v>
      </c>
      <c r="Q650" s="6">
        <v>64.47</v>
      </c>
      <c r="R650" s="6">
        <v>69.040000000000006</v>
      </c>
      <c r="S650" s="6">
        <v>67.67</v>
      </c>
      <c r="T650" s="6">
        <v>68.16</v>
      </c>
      <c r="U650" s="4">
        <v>49.31</v>
      </c>
      <c r="V650" s="4">
        <v>58.61</v>
      </c>
      <c r="W650" s="4"/>
      <c r="X650" s="4"/>
      <c r="Y650" s="4"/>
    </row>
    <row r="651" spans="1:25" ht="15" customHeight="1" x14ac:dyDescent="0.45">
      <c r="A651" s="3">
        <v>45335</v>
      </c>
      <c r="B651" s="4">
        <v>43.45</v>
      </c>
      <c r="C651" s="4">
        <v>45.79</v>
      </c>
      <c r="D651" s="4">
        <v>55.23</v>
      </c>
      <c r="E651" s="4">
        <v>58.82</v>
      </c>
      <c r="F651" s="4">
        <v>59.82</v>
      </c>
      <c r="G651" s="5">
        <v>76.900000000000006</v>
      </c>
      <c r="H651" s="4">
        <v>52.44</v>
      </c>
      <c r="I651" s="6">
        <v>64.52</v>
      </c>
      <c r="J651" s="4">
        <v>58.53</v>
      </c>
      <c r="K651" s="4">
        <v>55.26</v>
      </c>
      <c r="L651" s="5">
        <v>72.61</v>
      </c>
      <c r="M651" s="5">
        <v>75.91</v>
      </c>
      <c r="N651" s="6">
        <v>69.55</v>
      </c>
      <c r="O651" s="4">
        <v>56.58</v>
      </c>
      <c r="P651" s="4">
        <v>50.34</v>
      </c>
      <c r="Q651" s="5">
        <v>71.03</v>
      </c>
      <c r="R651" s="5">
        <v>77.849999999999994</v>
      </c>
      <c r="S651" s="5">
        <v>75.17</v>
      </c>
      <c r="T651" s="5">
        <v>79.17</v>
      </c>
      <c r="U651" s="4">
        <v>48.78</v>
      </c>
      <c r="V651" s="6">
        <v>63.82</v>
      </c>
      <c r="W651" s="4"/>
      <c r="X651" s="4"/>
      <c r="Y651" s="4"/>
    </row>
    <row r="652" spans="1:25" ht="15" customHeight="1" x14ac:dyDescent="0.45">
      <c r="A652" s="3">
        <v>45334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" customHeight="1" x14ac:dyDescent="0.45">
      <c r="A653" s="3">
        <v>45331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" customHeight="1" x14ac:dyDescent="0.45">
      <c r="A654" s="3">
        <v>45330</v>
      </c>
      <c r="B654" s="4">
        <v>41.5</v>
      </c>
      <c r="C654" s="4">
        <v>42.2</v>
      </c>
      <c r="D654" s="4">
        <v>55.78</v>
      </c>
      <c r="E654" s="4">
        <v>57.73</v>
      </c>
      <c r="F654" s="4">
        <v>51.63</v>
      </c>
      <c r="G654" s="5">
        <v>76.48</v>
      </c>
      <c r="H654" s="4">
        <v>57.1</v>
      </c>
      <c r="I654" s="4">
        <v>59.39</v>
      </c>
      <c r="J654" s="4">
        <v>51.27</v>
      </c>
      <c r="K654" s="4">
        <v>53.12</v>
      </c>
      <c r="L654" s="5">
        <v>71.2</v>
      </c>
      <c r="M654" s="5">
        <v>78.180000000000007</v>
      </c>
      <c r="N654" s="6">
        <v>64.02</v>
      </c>
      <c r="O654" s="4">
        <v>52.91</v>
      </c>
      <c r="P654" s="4">
        <v>52.76</v>
      </c>
      <c r="Q654" s="6">
        <v>66.010000000000005</v>
      </c>
      <c r="R654" s="5">
        <v>77.78</v>
      </c>
      <c r="S654" s="5">
        <v>72.900000000000006</v>
      </c>
      <c r="T654" s="5">
        <v>82.35</v>
      </c>
      <c r="U654" s="4">
        <v>46.4</v>
      </c>
      <c r="V654" s="4">
        <v>58.47</v>
      </c>
      <c r="W654" s="4"/>
      <c r="X654" s="4"/>
      <c r="Y654" s="4"/>
    </row>
    <row r="655" spans="1:25" ht="15" customHeight="1" x14ac:dyDescent="0.45">
      <c r="A655" s="3">
        <v>45329</v>
      </c>
      <c r="B655" s="4">
        <v>44.39</v>
      </c>
      <c r="C655" s="4">
        <v>54.5</v>
      </c>
      <c r="D655" s="4">
        <v>58.53</v>
      </c>
      <c r="E655" s="4">
        <v>57.09</v>
      </c>
      <c r="F655" s="4">
        <v>53.44</v>
      </c>
      <c r="G655" s="5">
        <v>75.88</v>
      </c>
      <c r="H655" s="4">
        <v>56.47</v>
      </c>
      <c r="I655" s="4">
        <v>46.17</v>
      </c>
      <c r="J655" s="4">
        <v>50.15</v>
      </c>
      <c r="K655" s="4">
        <v>51.15</v>
      </c>
      <c r="L655" s="5">
        <v>70.67</v>
      </c>
      <c r="M655" s="5">
        <v>77.42</v>
      </c>
      <c r="N655" s="5">
        <v>70.77</v>
      </c>
      <c r="O655" s="4">
        <v>53.98</v>
      </c>
      <c r="P655" s="4">
        <v>57.48</v>
      </c>
      <c r="Q655" s="5">
        <v>74.569999999999993</v>
      </c>
      <c r="R655" s="5">
        <v>76.05</v>
      </c>
      <c r="S655" s="5">
        <v>72.94</v>
      </c>
      <c r="T655" s="5">
        <v>79.59</v>
      </c>
      <c r="U655" s="4">
        <v>44.69</v>
      </c>
      <c r="V655" s="4">
        <v>57.36</v>
      </c>
      <c r="W655" s="4"/>
      <c r="X655" s="4"/>
      <c r="Y655" s="4"/>
    </row>
    <row r="656" spans="1:25" ht="15" customHeight="1" x14ac:dyDescent="0.45">
      <c r="A656" s="3">
        <v>45328</v>
      </c>
      <c r="B656" s="4">
        <v>40.99</v>
      </c>
      <c r="C656" s="4">
        <v>44.79</v>
      </c>
      <c r="D656" s="4">
        <v>55.95</v>
      </c>
      <c r="E656" s="4">
        <v>53.43</v>
      </c>
      <c r="F656" s="4">
        <v>58.23</v>
      </c>
      <c r="G656" s="5">
        <v>74.209999999999994</v>
      </c>
      <c r="H656" s="4">
        <v>49.26</v>
      </c>
      <c r="I656" s="4">
        <v>43.21</v>
      </c>
      <c r="J656" s="4">
        <v>45.47</v>
      </c>
      <c r="K656" s="4">
        <v>51.79</v>
      </c>
      <c r="L656" s="6">
        <v>67.09</v>
      </c>
      <c r="M656" s="5">
        <v>73.150000000000006</v>
      </c>
      <c r="N656" s="6">
        <v>66.099999999999994</v>
      </c>
      <c r="O656" s="4">
        <v>49.9</v>
      </c>
      <c r="P656" s="4">
        <v>54.25</v>
      </c>
      <c r="Q656" s="5">
        <v>71.36</v>
      </c>
      <c r="R656" s="5">
        <v>72.66</v>
      </c>
      <c r="S656" s="5">
        <v>70.05</v>
      </c>
      <c r="T656" s="5">
        <v>76.760000000000005</v>
      </c>
      <c r="U656" s="4">
        <v>44.81</v>
      </c>
      <c r="V656" s="4">
        <v>52.94</v>
      </c>
      <c r="W656" s="4"/>
      <c r="X656" s="4"/>
      <c r="Y656" s="4"/>
    </row>
    <row r="657" spans="1:25" ht="15" customHeight="1" x14ac:dyDescent="0.45">
      <c r="A657" s="3">
        <v>45327</v>
      </c>
      <c r="B657" s="4">
        <v>47.92</v>
      </c>
      <c r="C657" s="4">
        <v>46</v>
      </c>
      <c r="D657" s="4">
        <v>59.34</v>
      </c>
      <c r="E657" s="4">
        <v>54.99</v>
      </c>
      <c r="F657" s="4">
        <v>56.86</v>
      </c>
      <c r="G657" s="5">
        <v>79.41</v>
      </c>
      <c r="H657" s="4">
        <v>54.81</v>
      </c>
      <c r="I657" s="4">
        <v>44.08</v>
      </c>
      <c r="J657" s="4">
        <v>45.32</v>
      </c>
      <c r="K657" s="4">
        <v>44.3</v>
      </c>
      <c r="L657" s="5">
        <v>76.540000000000006</v>
      </c>
      <c r="M657" s="5">
        <v>79.099999999999994</v>
      </c>
      <c r="N657" s="6">
        <v>65.61</v>
      </c>
      <c r="O657" s="4">
        <v>57.06</v>
      </c>
      <c r="P657" s="4">
        <v>53.58</v>
      </c>
      <c r="Q657" s="5">
        <v>73.41</v>
      </c>
      <c r="R657" s="5">
        <v>76.89</v>
      </c>
      <c r="S657" s="5">
        <v>73.56</v>
      </c>
      <c r="T657" s="5">
        <v>81.069999999999993</v>
      </c>
      <c r="U657" s="4">
        <v>47</v>
      </c>
      <c r="V657" s="4">
        <v>55.17</v>
      </c>
      <c r="W657" s="4"/>
      <c r="X657" s="4"/>
      <c r="Y657" s="4"/>
    </row>
    <row r="658" spans="1:25" ht="15" customHeight="1" x14ac:dyDescent="0.45">
      <c r="A658" s="3">
        <v>45324</v>
      </c>
      <c r="B658" s="4">
        <v>49.5</v>
      </c>
      <c r="C658" s="4">
        <v>46.9</v>
      </c>
      <c r="D658" s="4">
        <v>55.61</v>
      </c>
      <c r="E658" s="4">
        <v>53.51</v>
      </c>
      <c r="F658" s="6">
        <v>61.65</v>
      </c>
      <c r="G658" s="5">
        <v>72.010000000000005</v>
      </c>
      <c r="H658" s="4">
        <v>56.51</v>
      </c>
      <c r="I658" s="4">
        <v>47.74</v>
      </c>
      <c r="J658" s="4">
        <v>50.03</v>
      </c>
      <c r="K658" s="4">
        <v>43.74</v>
      </c>
      <c r="L658" s="5">
        <v>75.25</v>
      </c>
      <c r="M658" s="5">
        <v>78.77</v>
      </c>
      <c r="N658" s="6">
        <v>67.91</v>
      </c>
      <c r="O658" s="4">
        <v>58.11</v>
      </c>
      <c r="P658" s="6">
        <v>62.53</v>
      </c>
      <c r="Q658" s="5">
        <v>77.67</v>
      </c>
      <c r="R658" s="5">
        <v>83.61</v>
      </c>
      <c r="S658" s="5">
        <v>80.66</v>
      </c>
      <c r="T658" s="5">
        <v>81.790000000000006</v>
      </c>
      <c r="U658" s="4">
        <v>53.67</v>
      </c>
      <c r="V658" s="4">
        <v>58.54</v>
      </c>
      <c r="W658" s="4"/>
      <c r="X658" s="4"/>
      <c r="Y658" s="4"/>
    </row>
    <row r="659" spans="1:25" ht="15" customHeight="1" x14ac:dyDescent="0.45">
      <c r="A659" s="3">
        <v>45323</v>
      </c>
      <c r="B659" s="4">
        <v>37.950000000000003</v>
      </c>
      <c r="C659" s="4">
        <v>31.04</v>
      </c>
      <c r="D659" s="4">
        <v>54.58</v>
      </c>
      <c r="E659" s="4">
        <v>45.51</v>
      </c>
      <c r="F659" s="4">
        <v>54.05</v>
      </c>
      <c r="G659" s="6">
        <v>66.260000000000005</v>
      </c>
      <c r="H659" s="4">
        <v>50.9</v>
      </c>
      <c r="I659" s="4">
        <v>37.700000000000003</v>
      </c>
      <c r="J659" s="4">
        <v>41.17</v>
      </c>
      <c r="K659" s="4">
        <v>38.04</v>
      </c>
      <c r="L659" s="6">
        <v>65.040000000000006</v>
      </c>
      <c r="M659" s="5">
        <v>77.56</v>
      </c>
      <c r="N659" s="6">
        <v>68.540000000000006</v>
      </c>
      <c r="O659" s="6">
        <v>62.93</v>
      </c>
      <c r="P659" s="4">
        <v>53.92</v>
      </c>
      <c r="Q659" s="5">
        <v>74.239999999999995</v>
      </c>
      <c r="R659" s="5">
        <v>79.75</v>
      </c>
      <c r="S659" s="5">
        <v>77.77</v>
      </c>
      <c r="T659" s="5">
        <v>78.81</v>
      </c>
      <c r="U659" s="4">
        <v>36.03</v>
      </c>
      <c r="V659" s="4">
        <v>46.85</v>
      </c>
      <c r="W659" s="4"/>
      <c r="X659" s="4"/>
      <c r="Y659" s="4"/>
    </row>
    <row r="660" spans="1:25" ht="15" customHeight="1" x14ac:dyDescent="0.45">
      <c r="A660" s="3">
        <v>45322</v>
      </c>
      <c r="B660" s="4">
        <v>32.47</v>
      </c>
      <c r="C660" s="4">
        <v>30.66</v>
      </c>
      <c r="D660" s="4">
        <v>46.93</v>
      </c>
      <c r="E660" s="4">
        <v>39.42</v>
      </c>
      <c r="F660" s="4">
        <v>56.89</v>
      </c>
      <c r="G660" s="4">
        <v>57.23</v>
      </c>
      <c r="H660" s="4">
        <v>44.28</v>
      </c>
      <c r="I660" s="4">
        <v>38.340000000000003</v>
      </c>
      <c r="J660" s="4">
        <v>36.380000000000003</v>
      </c>
      <c r="K660" s="4">
        <v>37.04</v>
      </c>
      <c r="L660" s="4">
        <v>58.18</v>
      </c>
      <c r="M660" s="6">
        <v>69.53</v>
      </c>
      <c r="N660" s="6">
        <v>62.65</v>
      </c>
      <c r="O660" s="4">
        <v>58.28</v>
      </c>
      <c r="P660" s="4">
        <v>50.98</v>
      </c>
      <c r="Q660" s="6">
        <v>64.790000000000006</v>
      </c>
      <c r="R660" s="5">
        <v>71.319999999999993</v>
      </c>
      <c r="S660" s="6">
        <v>67.66</v>
      </c>
      <c r="T660" s="6">
        <v>69.2</v>
      </c>
      <c r="U660" s="4">
        <v>32.840000000000003</v>
      </c>
      <c r="V660" s="4">
        <v>40.57</v>
      </c>
      <c r="W660" s="4"/>
      <c r="X660" s="4"/>
      <c r="Y660" s="4"/>
    </row>
    <row r="661" spans="1:25" ht="15" customHeight="1" x14ac:dyDescent="0.45">
      <c r="A661" s="3">
        <v>45321</v>
      </c>
      <c r="B661" s="4">
        <v>32.46</v>
      </c>
      <c r="C661" s="7">
        <v>28.9</v>
      </c>
      <c r="D661" s="4">
        <v>48.11</v>
      </c>
      <c r="E661" s="4">
        <v>41.62</v>
      </c>
      <c r="F661" s="4">
        <v>55.46</v>
      </c>
      <c r="G661" s="4">
        <v>56.89</v>
      </c>
      <c r="H661" s="4">
        <v>45.53</v>
      </c>
      <c r="I661" s="4">
        <v>34.549999999999997</v>
      </c>
      <c r="J661" s="4">
        <v>41.17</v>
      </c>
      <c r="K661" s="4">
        <v>44.59</v>
      </c>
      <c r="L661" s="4">
        <v>51.24</v>
      </c>
      <c r="M661" s="6">
        <v>62.2</v>
      </c>
      <c r="N661" s="6">
        <v>61.18</v>
      </c>
      <c r="O661" s="4">
        <v>57.38</v>
      </c>
      <c r="P661" s="4">
        <v>49.42</v>
      </c>
      <c r="Q661" s="6">
        <v>61.77</v>
      </c>
      <c r="R661" s="6">
        <v>65.39</v>
      </c>
      <c r="S661" s="6">
        <v>68.08</v>
      </c>
      <c r="T661" s="6">
        <v>61.89</v>
      </c>
      <c r="U661" s="4">
        <v>38.47</v>
      </c>
      <c r="V661" s="4">
        <v>42.86</v>
      </c>
      <c r="W661" s="4"/>
      <c r="X661" s="4"/>
      <c r="Y661" s="4"/>
    </row>
    <row r="662" spans="1:25" ht="15" customHeight="1" x14ac:dyDescent="0.45">
      <c r="A662" s="3">
        <v>45320</v>
      </c>
      <c r="B662" s="7">
        <v>28.42</v>
      </c>
      <c r="C662" s="7">
        <v>27.33</v>
      </c>
      <c r="D662" s="4">
        <v>47.67</v>
      </c>
      <c r="E662" s="4">
        <v>42.33</v>
      </c>
      <c r="F662" s="4">
        <v>52.85</v>
      </c>
      <c r="G662" s="4">
        <v>47.88</v>
      </c>
      <c r="H662" s="4">
        <v>43.26</v>
      </c>
      <c r="I662" s="4">
        <v>38.020000000000003</v>
      </c>
      <c r="J662" s="4">
        <v>41.74</v>
      </c>
      <c r="K662" s="4">
        <v>40.299999999999997</v>
      </c>
      <c r="L662" s="4">
        <v>57.44</v>
      </c>
      <c r="M662" s="6">
        <v>60.14</v>
      </c>
      <c r="N662" s="6">
        <v>65.55</v>
      </c>
      <c r="O662" s="4">
        <v>57.12</v>
      </c>
      <c r="P662" s="4">
        <v>51.48</v>
      </c>
      <c r="Q662" s="4">
        <v>56.27</v>
      </c>
      <c r="R662" s="6">
        <v>63.39</v>
      </c>
      <c r="S662" s="6">
        <v>63.98</v>
      </c>
      <c r="T662" s="4">
        <v>56.86</v>
      </c>
      <c r="U662" s="4">
        <v>40.19</v>
      </c>
      <c r="V662" s="4">
        <v>43.7</v>
      </c>
      <c r="W662" s="4"/>
      <c r="X662" s="4"/>
      <c r="Y662" s="4"/>
    </row>
    <row r="663" spans="1:25" ht="15" customHeight="1" x14ac:dyDescent="0.45">
      <c r="A663" s="3">
        <v>45317</v>
      </c>
      <c r="B663" s="7">
        <v>28.93</v>
      </c>
      <c r="C663" s="7">
        <v>27.52</v>
      </c>
      <c r="D663" s="4">
        <v>42.42</v>
      </c>
      <c r="E663" s="4">
        <v>37.49</v>
      </c>
      <c r="F663" s="4">
        <v>49.03</v>
      </c>
      <c r="G663" s="4">
        <v>40.24</v>
      </c>
      <c r="H663" s="4">
        <v>35.18</v>
      </c>
      <c r="I663" s="4">
        <v>38.68</v>
      </c>
      <c r="J663" s="4">
        <v>39.96</v>
      </c>
      <c r="K663" s="4">
        <v>37.880000000000003</v>
      </c>
      <c r="L663" s="4">
        <v>51.13</v>
      </c>
      <c r="M663" s="4">
        <v>43.23</v>
      </c>
      <c r="N663" s="4">
        <v>54.56</v>
      </c>
      <c r="O663" s="4">
        <v>49.49</v>
      </c>
      <c r="P663" s="4">
        <v>53.8</v>
      </c>
      <c r="Q663" s="4">
        <v>56.87</v>
      </c>
      <c r="R663" s="4">
        <v>57.05</v>
      </c>
      <c r="S663" s="4">
        <v>58.79</v>
      </c>
      <c r="T663" s="4">
        <v>46.47</v>
      </c>
      <c r="U663" s="4">
        <v>44.46</v>
      </c>
      <c r="V663" s="4">
        <v>39.229999999999997</v>
      </c>
      <c r="W663" s="4"/>
      <c r="X663" s="4"/>
      <c r="Y663" s="4"/>
    </row>
    <row r="664" spans="1:25" ht="15" customHeight="1" x14ac:dyDescent="0.45">
      <c r="A664" s="3">
        <v>45316</v>
      </c>
      <c r="B664" s="7">
        <v>26.78</v>
      </c>
      <c r="C664" s="7">
        <v>22.23</v>
      </c>
      <c r="D664" s="4">
        <v>41.98</v>
      </c>
      <c r="E664" s="4">
        <v>33.14</v>
      </c>
      <c r="F664" s="4">
        <v>50.08</v>
      </c>
      <c r="G664" s="4">
        <v>37.229999999999997</v>
      </c>
      <c r="H664" s="7">
        <v>27.76</v>
      </c>
      <c r="I664" s="4">
        <v>35.35</v>
      </c>
      <c r="J664" s="4">
        <v>40.14</v>
      </c>
      <c r="K664" s="4">
        <v>41.67</v>
      </c>
      <c r="L664" s="4">
        <v>51.92</v>
      </c>
      <c r="M664" s="4">
        <v>36.42</v>
      </c>
      <c r="N664" s="4">
        <v>53.59</v>
      </c>
      <c r="O664" s="4">
        <v>37.5</v>
      </c>
      <c r="P664" s="4">
        <v>53.29</v>
      </c>
      <c r="Q664" s="4">
        <v>49.95</v>
      </c>
      <c r="R664" s="4">
        <v>54.92</v>
      </c>
      <c r="S664" s="4">
        <v>49.21</v>
      </c>
      <c r="T664" s="4">
        <v>46.63</v>
      </c>
      <c r="U664" s="4">
        <v>39.36</v>
      </c>
      <c r="V664" s="4">
        <v>38.44</v>
      </c>
      <c r="W664" s="4"/>
      <c r="X664" s="4"/>
      <c r="Y664" s="4"/>
    </row>
    <row r="665" spans="1:25" ht="15" customHeight="1" x14ac:dyDescent="0.45">
      <c r="A665" s="3">
        <v>45315</v>
      </c>
      <c r="B665" s="7">
        <v>23.28</v>
      </c>
      <c r="C665" s="7">
        <v>21.77</v>
      </c>
      <c r="D665" s="4">
        <v>42.72</v>
      </c>
      <c r="E665" s="7">
        <v>28.97</v>
      </c>
      <c r="F665" s="4">
        <v>49.46</v>
      </c>
      <c r="G665" s="4">
        <v>30.33</v>
      </c>
      <c r="H665" s="7">
        <v>27.24</v>
      </c>
      <c r="I665" s="4">
        <v>36.67</v>
      </c>
      <c r="J665" s="4">
        <v>43.53</v>
      </c>
      <c r="K665" s="4">
        <v>46.87</v>
      </c>
      <c r="L665" s="4">
        <v>42.39</v>
      </c>
      <c r="M665" s="4">
        <v>32.340000000000003</v>
      </c>
      <c r="N665" s="4">
        <v>43.11</v>
      </c>
      <c r="O665" s="4">
        <v>30.26</v>
      </c>
      <c r="P665" s="4">
        <v>51.09</v>
      </c>
      <c r="Q665" s="4">
        <v>41.51</v>
      </c>
      <c r="R665" s="4">
        <v>51.55</v>
      </c>
      <c r="S665" s="4">
        <v>42.05</v>
      </c>
      <c r="T665" s="4">
        <v>41.55</v>
      </c>
      <c r="U665" s="4">
        <v>41.8</v>
      </c>
      <c r="V665" s="4">
        <v>39.03</v>
      </c>
      <c r="W665" s="4"/>
      <c r="X665" s="4"/>
      <c r="Y665" s="4"/>
    </row>
    <row r="666" spans="1:25" ht="15" customHeight="1" x14ac:dyDescent="0.45">
      <c r="A666" s="3">
        <v>45314</v>
      </c>
      <c r="B666" s="7">
        <v>25.01</v>
      </c>
      <c r="C666" s="7">
        <v>21.87</v>
      </c>
      <c r="D666" s="4">
        <v>47.63</v>
      </c>
      <c r="E666" s="7">
        <v>24.78</v>
      </c>
      <c r="F666" s="4">
        <v>52.35</v>
      </c>
      <c r="G666" s="4">
        <v>32.549999999999997</v>
      </c>
      <c r="H666" s="7">
        <v>28.24</v>
      </c>
      <c r="I666" s="4">
        <v>37.72</v>
      </c>
      <c r="J666" s="4">
        <v>45.93</v>
      </c>
      <c r="K666" s="4">
        <v>50.76</v>
      </c>
      <c r="L666" s="4">
        <v>43.72</v>
      </c>
      <c r="M666" s="4">
        <v>32.36</v>
      </c>
      <c r="N666" s="4">
        <v>42.38</v>
      </c>
      <c r="O666" s="4">
        <v>32.659999999999997</v>
      </c>
      <c r="P666" s="4">
        <v>54.61</v>
      </c>
      <c r="Q666" s="4">
        <v>39.520000000000003</v>
      </c>
      <c r="R666" s="4">
        <v>49.66</v>
      </c>
      <c r="S666" s="4">
        <v>41.29</v>
      </c>
      <c r="T666" s="4">
        <v>37.700000000000003</v>
      </c>
      <c r="U666" s="4">
        <v>43.24</v>
      </c>
      <c r="V666" s="4">
        <v>40.79</v>
      </c>
      <c r="W666" s="4"/>
      <c r="X666" s="4"/>
      <c r="Y666" s="4"/>
    </row>
    <row r="667" spans="1:25" ht="15" customHeight="1" x14ac:dyDescent="0.45">
      <c r="A667" s="3">
        <v>45313</v>
      </c>
      <c r="B667" s="7">
        <v>21.36</v>
      </c>
      <c r="C667" s="7">
        <v>21.6</v>
      </c>
      <c r="D667" s="4">
        <v>44.06</v>
      </c>
      <c r="E667" s="7">
        <v>18.850000000000001</v>
      </c>
      <c r="F667" s="4">
        <v>51.81</v>
      </c>
      <c r="G667" s="7">
        <v>23.65</v>
      </c>
      <c r="H667" s="7">
        <v>24.75</v>
      </c>
      <c r="I667" s="4">
        <v>36.51</v>
      </c>
      <c r="J667" s="4">
        <v>46.54</v>
      </c>
      <c r="K667" s="4">
        <v>48.42</v>
      </c>
      <c r="L667" s="4">
        <v>39.22</v>
      </c>
      <c r="M667" s="7">
        <v>29.58</v>
      </c>
      <c r="N667" s="4">
        <v>44.63</v>
      </c>
      <c r="O667" s="4">
        <v>30.35</v>
      </c>
      <c r="P667" s="4">
        <v>49.92</v>
      </c>
      <c r="Q667" s="4">
        <v>41.16</v>
      </c>
      <c r="R667" s="4">
        <v>39.33</v>
      </c>
      <c r="S667" s="4">
        <v>30.91</v>
      </c>
      <c r="T667" s="4">
        <v>31.79</v>
      </c>
      <c r="U667" s="4">
        <v>39.869999999999997</v>
      </c>
      <c r="V667" s="4">
        <v>39.590000000000003</v>
      </c>
      <c r="W667" s="4"/>
      <c r="X667" s="4"/>
      <c r="Y667" s="4"/>
    </row>
    <row r="668" spans="1:25" ht="15" customHeight="1" x14ac:dyDescent="0.45">
      <c r="A668" s="3">
        <v>45310</v>
      </c>
      <c r="B668" s="7">
        <v>21.78</v>
      </c>
      <c r="C668" s="7">
        <v>22.74</v>
      </c>
      <c r="D668" s="4">
        <v>50.02</v>
      </c>
      <c r="E668" s="7">
        <v>22.52</v>
      </c>
      <c r="F668" s="4">
        <v>44.67</v>
      </c>
      <c r="G668" s="7">
        <v>24.94</v>
      </c>
      <c r="H668" s="7">
        <v>28.01</v>
      </c>
      <c r="I668" s="4">
        <v>38.1</v>
      </c>
      <c r="J668" s="4">
        <v>47.96</v>
      </c>
      <c r="K668" s="4">
        <v>44.34</v>
      </c>
      <c r="L668" s="4">
        <v>40.15</v>
      </c>
      <c r="M668" s="7">
        <v>29.31</v>
      </c>
      <c r="N668" s="4">
        <v>38.130000000000003</v>
      </c>
      <c r="O668" s="4">
        <v>34.49</v>
      </c>
      <c r="P668" s="4">
        <v>52.56</v>
      </c>
      <c r="Q668" s="4">
        <v>40.83</v>
      </c>
      <c r="R668" s="4">
        <v>39.299999999999997</v>
      </c>
      <c r="S668" s="4">
        <v>31.9</v>
      </c>
      <c r="T668" s="7">
        <v>28.48</v>
      </c>
      <c r="U668" s="4">
        <v>40.61</v>
      </c>
      <c r="V668" s="4">
        <v>40.96</v>
      </c>
      <c r="W668" s="4"/>
      <c r="X668" s="4"/>
      <c r="Y668" s="4"/>
    </row>
    <row r="669" spans="1:25" ht="15" customHeight="1" x14ac:dyDescent="0.45">
      <c r="A669" s="3">
        <v>45309</v>
      </c>
      <c r="B669" s="7">
        <v>22.09</v>
      </c>
      <c r="C669" s="7">
        <v>20.77</v>
      </c>
      <c r="D669" s="4">
        <v>46.02</v>
      </c>
      <c r="E669" s="7">
        <v>23</v>
      </c>
      <c r="F669" s="4">
        <v>41.02</v>
      </c>
      <c r="G669" s="7">
        <v>22.05</v>
      </c>
      <c r="H669" s="7">
        <v>29.04</v>
      </c>
      <c r="I669" s="4">
        <v>35.090000000000003</v>
      </c>
      <c r="J669" s="4">
        <v>36.450000000000003</v>
      </c>
      <c r="K669" s="4">
        <v>39.340000000000003</v>
      </c>
      <c r="L669" s="4">
        <v>34.979999999999997</v>
      </c>
      <c r="M669" s="7">
        <v>23.02</v>
      </c>
      <c r="N669" s="4">
        <v>46.44</v>
      </c>
      <c r="O669" s="4">
        <v>31.96</v>
      </c>
      <c r="P669" s="4">
        <v>54.12</v>
      </c>
      <c r="Q669" s="4">
        <v>41.18</v>
      </c>
      <c r="R669" s="4">
        <v>37.630000000000003</v>
      </c>
      <c r="S669" s="4">
        <v>31.52</v>
      </c>
      <c r="T669" s="4">
        <v>30.16</v>
      </c>
      <c r="U669" s="4">
        <v>38.409999999999997</v>
      </c>
      <c r="V669" s="4">
        <v>32.14</v>
      </c>
      <c r="W669" s="4"/>
      <c r="X669" s="4"/>
      <c r="Y669" s="4"/>
    </row>
    <row r="670" spans="1:25" ht="15" customHeight="1" x14ac:dyDescent="0.45">
      <c r="A670" s="3">
        <v>45308</v>
      </c>
      <c r="B670" s="7">
        <v>22.3</v>
      </c>
      <c r="C670" s="7">
        <v>21.07</v>
      </c>
      <c r="D670" s="4">
        <v>42.02</v>
      </c>
      <c r="E670" s="7">
        <v>20.12</v>
      </c>
      <c r="F670" s="4">
        <v>43.02</v>
      </c>
      <c r="G670" s="7">
        <v>23.91</v>
      </c>
      <c r="H670" s="7">
        <v>28.26</v>
      </c>
      <c r="I670" s="4">
        <v>33.380000000000003</v>
      </c>
      <c r="J670" s="4">
        <v>31.39</v>
      </c>
      <c r="K670" s="4">
        <v>39.71</v>
      </c>
      <c r="L670" s="4">
        <v>35.56</v>
      </c>
      <c r="M670" s="7">
        <v>23.88</v>
      </c>
      <c r="N670" s="4">
        <v>50.21</v>
      </c>
      <c r="O670" s="4">
        <v>32.74</v>
      </c>
      <c r="P670" s="4">
        <v>56.94</v>
      </c>
      <c r="Q670" s="4">
        <v>37.700000000000003</v>
      </c>
      <c r="R670" s="4">
        <v>40.06</v>
      </c>
      <c r="S670" s="4">
        <v>33.64</v>
      </c>
      <c r="T670" s="4">
        <v>33.659999999999997</v>
      </c>
      <c r="U670" s="4">
        <v>39.94</v>
      </c>
      <c r="V670" s="7">
        <v>29.3</v>
      </c>
      <c r="W670" s="4"/>
      <c r="X670" s="4"/>
      <c r="Y670" s="4"/>
    </row>
    <row r="671" spans="1:25" ht="15" customHeight="1" x14ac:dyDescent="0.45">
      <c r="A671" s="3">
        <v>45307</v>
      </c>
      <c r="B671" s="7">
        <v>26.57</v>
      </c>
      <c r="C671" s="7">
        <v>24.56</v>
      </c>
      <c r="D671" s="4">
        <v>51.51</v>
      </c>
      <c r="E671" s="7">
        <v>25.74</v>
      </c>
      <c r="F671" s="4">
        <v>50.4</v>
      </c>
      <c r="G671" s="7">
        <v>29.78</v>
      </c>
      <c r="H671" s="4">
        <v>34.18</v>
      </c>
      <c r="I671" s="4">
        <v>39.950000000000003</v>
      </c>
      <c r="J671" s="4">
        <v>37.869999999999997</v>
      </c>
      <c r="K671" s="4">
        <v>46.32</v>
      </c>
      <c r="L671" s="4">
        <v>42.78</v>
      </c>
      <c r="M671" s="7">
        <v>28.67</v>
      </c>
      <c r="N671" s="4">
        <v>56.13</v>
      </c>
      <c r="O671" s="4">
        <v>39.97</v>
      </c>
      <c r="P671" s="6">
        <v>62.01</v>
      </c>
      <c r="Q671" s="4">
        <v>36.18</v>
      </c>
      <c r="R671" s="4">
        <v>48.02</v>
      </c>
      <c r="S671" s="4">
        <v>37.29</v>
      </c>
      <c r="T671" s="4">
        <v>38.19</v>
      </c>
      <c r="U671" s="4">
        <v>51.01</v>
      </c>
      <c r="V671" s="4">
        <v>36.42</v>
      </c>
      <c r="W671" s="4"/>
      <c r="X671" s="4"/>
      <c r="Y671" s="4"/>
    </row>
    <row r="672" spans="1:25" ht="15" customHeight="1" x14ac:dyDescent="0.45">
      <c r="A672" s="3">
        <v>45306</v>
      </c>
      <c r="B672" s="4">
        <v>41.43</v>
      </c>
      <c r="C672" s="7">
        <v>27.91</v>
      </c>
      <c r="D672" s="4">
        <v>54.87</v>
      </c>
      <c r="E672" s="7">
        <v>27.71</v>
      </c>
      <c r="F672" s="4">
        <v>50.45</v>
      </c>
      <c r="G672" s="4">
        <v>34.19</v>
      </c>
      <c r="H672" s="4">
        <v>35.770000000000003</v>
      </c>
      <c r="I672" s="4">
        <v>46.07</v>
      </c>
      <c r="J672" s="4">
        <v>42.44</v>
      </c>
      <c r="K672" s="4">
        <v>50.89</v>
      </c>
      <c r="L672" s="4">
        <v>47.83</v>
      </c>
      <c r="M672" s="4">
        <v>31.71</v>
      </c>
      <c r="N672" s="4">
        <v>48.66</v>
      </c>
      <c r="O672" s="4">
        <v>41.47</v>
      </c>
      <c r="P672" s="6">
        <v>66.37</v>
      </c>
      <c r="Q672" s="4">
        <v>40.32</v>
      </c>
      <c r="R672" s="4">
        <v>51.19</v>
      </c>
      <c r="S672" s="4">
        <v>40.99</v>
      </c>
      <c r="T672" s="4">
        <v>43.41</v>
      </c>
      <c r="U672" s="4">
        <v>58.78</v>
      </c>
      <c r="V672" s="4">
        <v>40.78</v>
      </c>
      <c r="W672" s="4"/>
      <c r="X672" s="4"/>
      <c r="Y672" s="4"/>
    </row>
    <row r="673" spans="1:25" ht="15" customHeight="1" x14ac:dyDescent="0.45">
      <c r="A673" s="3">
        <v>45303</v>
      </c>
      <c r="B673" s="4">
        <v>39.01</v>
      </c>
      <c r="C673" s="4">
        <v>32.28</v>
      </c>
      <c r="D673" s="4">
        <v>56.35</v>
      </c>
      <c r="E673" s="4">
        <v>30.24</v>
      </c>
      <c r="F673" s="4">
        <v>52.58</v>
      </c>
      <c r="G673" s="4">
        <v>32.340000000000003</v>
      </c>
      <c r="H673" s="4">
        <v>37.96</v>
      </c>
      <c r="I673" s="4">
        <v>46.7</v>
      </c>
      <c r="J673" s="4">
        <v>42.72</v>
      </c>
      <c r="K673" s="4">
        <v>53.78</v>
      </c>
      <c r="L673" s="4">
        <v>42.4</v>
      </c>
      <c r="M673" s="4">
        <v>34.97</v>
      </c>
      <c r="N673" s="4">
        <v>46.37</v>
      </c>
      <c r="O673" s="4">
        <v>46.24</v>
      </c>
      <c r="P673" s="6">
        <v>64.84</v>
      </c>
      <c r="Q673" s="4">
        <v>40</v>
      </c>
      <c r="R673" s="4">
        <v>44.84</v>
      </c>
      <c r="S673" s="4">
        <v>40.22</v>
      </c>
      <c r="T673" s="4">
        <v>38.01</v>
      </c>
      <c r="U673" s="6">
        <v>60.24</v>
      </c>
      <c r="V673" s="4">
        <v>41.37</v>
      </c>
      <c r="W673" s="4"/>
      <c r="X673" s="4"/>
      <c r="Y673" s="4"/>
    </row>
    <row r="674" spans="1:25" ht="15" customHeight="1" x14ac:dyDescent="0.45">
      <c r="A674" s="3">
        <v>45302</v>
      </c>
      <c r="B674" s="4">
        <v>37.200000000000003</v>
      </c>
      <c r="C674" s="4">
        <v>34.03</v>
      </c>
      <c r="D674" s="6">
        <v>61.85</v>
      </c>
      <c r="E674" s="4">
        <v>33.79</v>
      </c>
      <c r="F674" s="4">
        <v>58.63</v>
      </c>
      <c r="G674" s="4">
        <v>32.22</v>
      </c>
      <c r="H674" s="4">
        <v>39.67</v>
      </c>
      <c r="I674" s="4">
        <v>47.98</v>
      </c>
      <c r="J674" s="4">
        <v>44.8</v>
      </c>
      <c r="K674" s="4">
        <v>59.86</v>
      </c>
      <c r="L674" s="4">
        <v>44.42</v>
      </c>
      <c r="M674" s="4">
        <v>32.090000000000003</v>
      </c>
      <c r="N674" s="4">
        <v>46.29</v>
      </c>
      <c r="O674" s="4">
        <v>50.11</v>
      </c>
      <c r="P674" s="6">
        <v>61.73</v>
      </c>
      <c r="Q674" s="4">
        <v>37.92</v>
      </c>
      <c r="R674" s="4">
        <v>45.36</v>
      </c>
      <c r="S674" s="4">
        <v>45.47</v>
      </c>
      <c r="T674" s="7">
        <v>29.96</v>
      </c>
      <c r="U674" s="6">
        <v>64.709999999999994</v>
      </c>
      <c r="V674" s="4">
        <v>44.51</v>
      </c>
      <c r="W674" s="4"/>
      <c r="X674" s="4"/>
      <c r="Y674" s="4"/>
    </row>
    <row r="675" spans="1:25" ht="15" customHeight="1" x14ac:dyDescent="0.45">
      <c r="A675" s="3">
        <v>45301</v>
      </c>
      <c r="B675" s="4">
        <v>44.86</v>
      </c>
      <c r="C675" s="4">
        <v>34.24</v>
      </c>
      <c r="D675" s="4">
        <v>59.8</v>
      </c>
      <c r="E675" s="4">
        <v>37.31</v>
      </c>
      <c r="F675" s="4">
        <v>58.68</v>
      </c>
      <c r="G675" s="4">
        <v>32.35</v>
      </c>
      <c r="H675" s="4">
        <v>39.92</v>
      </c>
      <c r="I675" s="4">
        <v>49.98</v>
      </c>
      <c r="J675" s="4">
        <v>44.96</v>
      </c>
      <c r="K675" s="4">
        <v>59.36</v>
      </c>
      <c r="L675" s="4">
        <v>46.77</v>
      </c>
      <c r="M675" s="4">
        <v>34.950000000000003</v>
      </c>
      <c r="N675" s="4">
        <v>51.31</v>
      </c>
      <c r="O675" s="4">
        <v>52.28</v>
      </c>
      <c r="P675" s="6">
        <v>61.39</v>
      </c>
      <c r="Q675" s="4">
        <v>39.03</v>
      </c>
      <c r="R675" s="4">
        <v>41.04</v>
      </c>
      <c r="S675" s="4">
        <v>38.450000000000003</v>
      </c>
      <c r="T675" s="4">
        <v>32.409999999999997</v>
      </c>
      <c r="U675" s="6">
        <v>62.74</v>
      </c>
      <c r="V675" s="4">
        <v>45.63</v>
      </c>
      <c r="W675" s="4"/>
      <c r="X675" s="4"/>
      <c r="Y675" s="4"/>
    </row>
    <row r="676" spans="1:25" ht="15" customHeight="1" x14ac:dyDescent="0.45">
      <c r="A676" s="3">
        <v>45300</v>
      </c>
      <c r="B676" s="4">
        <v>44.23</v>
      </c>
      <c r="C676" s="4">
        <v>37.57</v>
      </c>
      <c r="D676" s="4">
        <v>39.58</v>
      </c>
      <c r="E676" s="4">
        <v>39.85</v>
      </c>
      <c r="F676" s="4">
        <v>59.4</v>
      </c>
      <c r="G676" s="4">
        <v>31.82</v>
      </c>
      <c r="H676" s="4">
        <v>43.23</v>
      </c>
      <c r="I676" s="4">
        <v>50.97</v>
      </c>
      <c r="J676" s="4">
        <v>50.77</v>
      </c>
      <c r="K676" s="6">
        <v>63.5</v>
      </c>
      <c r="L676" s="4">
        <v>43.2</v>
      </c>
      <c r="M676" s="4">
        <v>39.57</v>
      </c>
      <c r="N676" s="4">
        <v>55</v>
      </c>
      <c r="O676" s="4">
        <v>44.07</v>
      </c>
      <c r="P676" s="6">
        <v>63.84</v>
      </c>
      <c r="Q676" s="4">
        <v>40.020000000000003</v>
      </c>
      <c r="R676" s="4">
        <v>43.32</v>
      </c>
      <c r="S676" s="4">
        <v>40.06</v>
      </c>
      <c r="T676" s="4">
        <v>35.450000000000003</v>
      </c>
      <c r="U676" s="6">
        <v>61.41</v>
      </c>
      <c r="V676" s="4">
        <v>49.49</v>
      </c>
      <c r="W676" s="4"/>
      <c r="X676" s="4"/>
      <c r="Y676" s="4"/>
    </row>
    <row r="677" spans="1:25" ht="15" customHeight="1" x14ac:dyDescent="0.45">
      <c r="A677" s="3">
        <v>45299</v>
      </c>
      <c r="B677" s="4">
        <v>44.8</v>
      </c>
      <c r="C677" s="4">
        <v>35.76</v>
      </c>
      <c r="D677" s="4">
        <v>37.31</v>
      </c>
      <c r="E677" s="4">
        <v>39.35</v>
      </c>
      <c r="F677" s="4">
        <v>58.61</v>
      </c>
      <c r="G677" s="4">
        <v>30.07</v>
      </c>
      <c r="H677" s="4">
        <v>45.96</v>
      </c>
      <c r="I677" s="4">
        <v>50.41</v>
      </c>
      <c r="J677" s="4">
        <v>56.13</v>
      </c>
      <c r="K677" s="4">
        <v>57.47</v>
      </c>
      <c r="L677" s="4">
        <v>44.4</v>
      </c>
      <c r="M677" s="4">
        <v>39.76</v>
      </c>
      <c r="N677" s="4">
        <v>44.59</v>
      </c>
      <c r="O677" s="4">
        <v>32</v>
      </c>
      <c r="P677" s="6">
        <v>63.2</v>
      </c>
      <c r="Q677" s="4">
        <v>37.270000000000003</v>
      </c>
      <c r="R677" s="4">
        <v>39.69</v>
      </c>
      <c r="S677" s="4">
        <v>34.61</v>
      </c>
      <c r="T677" s="4">
        <v>33.17</v>
      </c>
      <c r="U677" s="4">
        <v>57.96</v>
      </c>
      <c r="V677" s="4">
        <v>52.58</v>
      </c>
      <c r="W677" s="4"/>
      <c r="X677" s="4"/>
      <c r="Y677" s="4"/>
    </row>
    <row r="678" spans="1:25" ht="15" customHeight="1" x14ac:dyDescent="0.45">
      <c r="A678" s="3">
        <v>45296</v>
      </c>
      <c r="B678" s="4">
        <v>47.93</v>
      </c>
      <c r="C678" s="4">
        <v>34.49</v>
      </c>
      <c r="D678" s="4">
        <v>35.24</v>
      </c>
      <c r="E678" s="4">
        <v>41.52</v>
      </c>
      <c r="F678" s="6">
        <v>64.63</v>
      </c>
      <c r="G678" s="4">
        <v>31.22</v>
      </c>
      <c r="H678" s="4">
        <v>49.83</v>
      </c>
      <c r="I678" s="4">
        <v>50.91</v>
      </c>
      <c r="J678" s="4">
        <v>57.34</v>
      </c>
      <c r="K678" s="6">
        <v>61.97</v>
      </c>
      <c r="L678" s="4">
        <v>48.33</v>
      </c>
      <c r="M678" s="4">
        <v>42.88</v>
      </c>
      <c r="N678" s="4">
        <v>49.93</v>
      </c>
      <c r="O678" s="4">
        <v>31.69</v>
      </c>
      <c r="P678" s="6">
        <v>65.53</v>
      </c>
      <c r="Q678" s="4">
        <v>38.25</v>
      </c>
      <c r="R678" s="4">
        <v>40.159999999999997</v>
      </c>
      <c r="S678" s="4">
        <v>36.81</v>
      </c>
      <c r="T678" s="4">
        <v>33.89</v>
      </c>
      <c r="U678" s="4">
        <v>52.5</v>
      </c>
      <c r="V678" s="4">
        <v>55.51</v>
      </c>
      <c r="W678" s="4"/>
      <c r="X678" s="4"/>
      <c r="Y678" s="4"/>
    </row>
    <row r="679" spans="1:25" ht="15" customHeight="1" x14ac:dyDescent="0.45">
      <c r="A679" s="3">
        <v>45295</v>
      </c>
      <c r="B679" s="4">
        <v>52.51</v>
      </c>
      <c r="C679" s="4">
        <v>38.28</v>
      </c>
      <c r="D679" s="4">
        <v>35.729999999999997</v>
      </c>
      <c r="E679" s="4">
        <v>41.79</v>
      </c>
      <c r="F679" s="6">
        <v>69.430000000000007</v>
      </c>
      <c r="G679" s="4">
        <v>34.659999999999997</v>
      </c>
      <c r="H679" s="4">
        <v>45.65</v>
      </c>
      <c r="I679" s="4">
        <v>55.11</v>
      </c>
      <c r="J679" s="4">
        <v>57.39</v>
      </c>
      <c r="K679" s="6">
        <v>61.8</v>
      </c>
      <c r="L679" s="4">
        <v>51.6</v>
      </c>
      <c r="M679" s="4">
        <v>45.17</v>
      </c>
      <c r="N679" s="4">
        <v>50.72</v>
      </c>
      <c r="O679" s="4">
        <v>32.92</v>
      </c>
      <c r="P679" s="6">
        <v>64.97</v>
      </c>
      <c r="Q679" s="4">
        <v>39.22</v>
      </c>
      <c r="R679" s="4">
        <v>42.03</v>
      </c>
      <c r="S679" s="4">
        <v>38.14</v>
      </c>
      <c r="T679" s="4">
        <v>35.909999999999997</v>
      </c>
      <c r="U679" s="4">
        <v>55.69</v>
      </c>
      <c r="V679" s="4">
        <v>56.84</v>
      </c>
      <c r="W679" s="4"/>
      <c r="X679" s="4"/>
      <c r="Y679" s="4"/>
    </row>
    <row r="680" spans="1:25" ht="15" customHeight="1" x14ac:dyDescent="0.45">
      <c r="A680" s="3">
        <v>45294</v>
      </c>
      <c r="B680" s="4">
        <v>51.11</v>
      </c>
      <c r="C680" s="4">
        <v>39.72</v>
      </c>
      <c r="D680" s="4">
        <v>37.340000000000003</v>
      </c>
      <c r="E680" s="4">
        <v>43.8</v>
      </c>
      <c r="F680" s="5">
        <v>84.1</v>
      </c>
      <c r="G680" s="4">
        <v>35.450000000000003</v>
      </c>
      <c r="H680" s="4">
        <v>46.52</v>
      </c>
      <c r="I680" s="4">
        <v>56.8</v>
      </c>
      <c r="J680" s="4">
        <v>58.56</v>
      </c>
      <c r="K680" s="6">
        <v>67.38</v>
      </c>
      <c r="L680" s="4">
        <v>56.69</v>
      </c>
      <c r="M680" s="4">
        <v>49.61</v>
      </c>
      <c r="N680" s="4">
        <v>57.82</v>
      </c>
      <c r="O680" s="4">
        <v>34.549999999999997</v>
      </c>
      <c r="P680" s="6">
        <v>62.99</v>
      </c>
      <c r="Q680" s="4">
        <v>39.270000000000003</v>
      </c>
      <c r="R680" s="4">
        <v>47.46</v>
      </c>
      <c r="S680" s="4">
        <v>41.14</v>
      </c>
      <c r="T680" s="4">
        <v>39.39</v>
      </c>
      <c r="U680" s="4">
        <v>57.08</v>
      </c>
      <c r="V680" s="6">
        <v>60.52</v>
      </c>
      <c r="W680" s="4"/>
      <c r="X680" s="4"/>
      <c r="Y680" s="4"/>
    </row>
    <row r="681" spans="1:25" ht="15" customHeight="1" x14ac:dyDescent="0.45">
      <c r="A681" s="3">
        <v>45293</v>
      </c>
      <c r="B681" s="4">
        <v>58.5</v>
      </c>
      <c r="C681" s="4">
        <v>45.3</v>
      </c>
      <c r="D681" s="4">
        <v>35.69</v>
      </c>
      <c r="E681" s="4">
        <v>52.02</v>
      </c>
      <c r="F681" s="5">
        <v>84.04</v>
      </c>
      <c r="G681" s="4">
        <v>41.15</v>
      </c>
      <c r="H681" s="4">
        <v>54.24</v>
      </c>
      <c r="I681" s="6">
        <v>66.19</v>
      </c>
      <c r="J681" s="5">
        <v>75.78</v>
      </c>
      <c r="K681" s="6">
        <v>65.2</v>
      </c>
      <c r="L681" s="5">
        <v>71.73</v>
      </c>
      <c r="M681" s="4">
        <v>54.61</v>
      </c>
      <c r="N681" s="4">
        <v>50.88</v>
      </c>
      <c r="O681" s="4">
        <v>34.83</v>
      </c>
      <c r="P681" s="6">
        <v>69.81</v>
      </c>
      <c r="Q681" s="4">
        <v>43.64</v>
      </c>
      <c r="R681" s="4">
        <v>56.24</v>
      </c>
      <c r="S681" s="4">
        <v>50.57</v>
      </c>
      <c r="T681" s="4">
        <v>45.06</v>
      </c>
      <c r="U681" s="5">
        <v>71.209999999999994</v>
      </c>
      <c r="V681" s="5">
        <v>76.34</v>
      </c>
      <c r="W681" s="4"/>
      <c r="X681" s="4"/>
      <c r="Y681" s="4"/>
    </row>
  </sheetData>
  <autoFilter ref="A1:Y1" xr:uid="{00000000-0009-0000-0000-000004000000}"/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199" workbookViewId="0">
      <selection activeCell="F246" sqref="F246"/>
    </sheetView>
  </sheetViews>
  <sheetFormatPr defaultRowHeight="17" x14ac:dyDescent="0.45"/>
  <sheetData/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관심종목</vt:lpstr>
      <vt:lpstr>금 시세</vt:lpstr>
      <vt:lpstr>리서치 보고서</vt:lpstr>
      <vt:lpstr>업종 정보</vt:lpstr>
      <vt:lpstr>미국 RSI</vt:lpstr>
      <vt:lpstr>한국 RSI</vt:lpstr>
      <vt:lpstr>비교 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2026-04-29T05:44:17Z</dcterms:created>
  <dcterms:modified xsi:type="dcterms:W3CDTF">2026-08-20T00:22:48Z</dcterms:modified>
</cp:coreProperties>
</file>